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drawings/drawing7.xml" ContentType="application/vnd.openxmlformats-officedocument.drawing+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drawings/drawing8.xml" ContentType="application/vnd.openxmlformats-officedocument.drawing+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drawings/drawing9.xml" ContentType="application/vnd.openxmlformats-officedocument.drawing+xml"/>
  <Override PartName="/xl/charts/chart1.xml" ContentType="application/vnd.openxmlformats-officedocument.drawingml.chart+xml"/>
  <Override PartName="/xl/drawings/drawing10.xml" ContentType="application/vnd.openxmlformats-officedocument.drawing+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drawings/drawing1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drawings/drawing1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N:\Estimating-R\2) Estimates\21334\E-23-373 Battery Storage - Hyde Park\01) Estimate Summary\01) Current\"/>
    </mc:Choice>
  </mc:AlternateContent>
  <xr:revisionPtr revIDLastSave="0" documentId="13_ncr:1_{B475E830-ABF6-4402-9083-39EAD86E70BB}" xr6:coauthVersionLast="47" xr6:coauthVersionMax="47" xr10:uidLastSave="{00000000-0000-0000-0000-000000000000}"/>
  <bookViews>
    <workbookView xWindow="-28770" yWindow="-16320" windowWidth="29040" windowHeight="15720" tabRatio="754" activeTab="2" xr2:uid="{BD2AFE26-1A86-4AA5-B864-C1F52A748D02}"/>
  </bookViews>
  <sheets>
    <sheet name="Data Input sheet" sheetId="1" r:id="rId1"/>
    <sheet name="RequestDetails" sheetId="51" state="hidden" r:id="rId2"/>
    <sheet name="Cover" sheetId="8" r:id="rId3"/>
    <sheet name="Cover (2)" sheetId="3" r:id="rId4"/>
    <sheet name="Delta" sheetId="7" r:id="rId5"/>
    <sheet name="DER customer summary" sheetId="49" r:id="rId6"/>
    <sheet name="DER Project Information" sheetId="48" r:id="rId7"/>
    <sheet name="PAF Summary (non WBS)" sheetId="11" state="hidden" r:id="rId8"/>
    <sheet name="PAF Summary" sheetId="12" r:id="rId9"/>
    <sheet name="PAF Summary (Full)" sheetId="50" r:id="rId10"/>
    <sheet name="ISO comparison table" sheetId="39" r:id="rId11"/>
    <sheet name="Cover (old)" sheetId="2" state="hidden" r:id="rId12"/>
    <sheet name="Unit Comparison" sheetId="44" r:id="rId13"/>
    <sheet name="Estimate Basis - Lines" sheetId="37" r:id="rId14"/>
    <sheet name="Estimate Basis - SS" sheetId="38" r:id="rId15"/>
    <sheet name="Estimate Closeout " sheetId="6" r:id="rId16"/>
    <sheet name="Chks and Balances" sheetId="13" r:id="rId17"/>
    <sheet name="PP4 Estimate and Schedule" sheetId="35" r:id="rId18"/>
    <sheet name="WBS by year" sheetId="10" r:id="rId19"/>
    <sheet name="Detail Summary" sheetId="14" r:id="rId20"/>
    <sheet name="Reference Info" sheetId="54" r:id="rId21"/>
    <sheet name="Peer Review Checklist" sheetId="55" r:id="rId22"/>
    <sheet name="Review Comments" sheetId="45" r:id="rId23"/>
    <sheet name="Summary-Scope" sheetId="15" r:id="rId24"/>
    <sheet name="PP4 Est Backup" sheetId="17" state="hidden" r:id="rId25"/>
    <sheet name="Milestone Summary" sheetId="36" r:id="rId26"/>
    <sheet name="Vendor Est Summary" sheetId="18" state="hidden" r:id="rId27"/>
    <sheet name="Estimated Risks" sheetId="21" r:id="rId28"/>
    <sheet name="Contingency" sheetId="33" r:id="rId29"/>
    <sheet name="Escalation" sheetId="23" r:id="rId30"/>
    <sheet name="Calc Sheet" sheetId="47" r:id="rId31"/>
    <sheet name="Additional  Est Input" sheetId="22" r:id="rId32"/>
    <sheet name="Structure replacements" sheetId="46" r:id="rId33"/>
    <sheet name="OH Constr" sheetId="24" r:id="rId34"/>
    <sheet name="OH Civil WS" sheetId="42" r:id="rId35"/>
    <sheet name="115 kV &amp; 345 kV HPFF" sheetId="25" r:id="rId36"/>
    <sheet name="115 kV Und XLPE" sheetId="26" r:id="rId37"/>
    <sheet name="345 kV Und XLPE" sheetId="27" r:id="rId38"/>
    <sheet name="Substation Const" sheetId="28" r:id="rId39"/>
    <sheet name="Substation_D" sheetId="43" state="hidden" r:id="rId40"/>
    <sheet name="Removals" sheetId="29" r:id="rId41"/>
    <sheet name="Eng &amp; Proj Supp" sheetId="30" r:id="rId42"/>
    <sheet name="Labor Rate Table" sheetId="52" r:id="rId43"/>
    <sheet name="Indirect Rates" sheetId="19" r:id="rId44"/>
    <sheet name="AFUDC Rates" sheetId="20" r:id="rId45"/>
    <sheet name="SCS &amp; Siting Info" sheetId="40" r:id="rId46"/>
    <sheet name="Parameters" sheetId="31" r:id="rId47"/>
    <sheet name="Revision History" sheetId="32" r:id="rId48"/>
    <sheet name="Indirect method" sheetId="53" r:id="rId49"/>
  </sheets>
  <functionGroups builtInGroupCount="19"/>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544</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35" hidden="1">'115 kV &amp; 345 kV HPFF'!$D$8:$AB$72</definedName>
    <definedName name="_xlnm._FilterDatabase" localSheetId="36" hidden="1">'115 kV Und XLPE'!$D$8:$AB$75</definedName>
    <definedName name="_xlnm._FilterDatabase" localSheetId="37" hidden="1">'345 kV Und XLPE'!$D$8:$AB$80</definedName>
    <definedName name="_xlnm._FilterDatabase" localSheetId="31" hidden="1">'Additional  Est Input'!$D$8:$AB$146</definedName>
    <definedName name="_xlnm._FilterDatabase" localSheetId="19" hidden="1">'Detail Summary'!$B$11:$E$200</definedName>
    <definedName name="_xlnm._FilterDatabase" localSheetId="33" hidden="1">'OH Constr'!$D$8:$AS$261</definedName>
    <definedName name="_xlnm._FilterDatabase" localSheetId="40" hidden="1">Removals!$D$8:$AS$153</definedName>
    <definedName name="_xlnm._FilterDatabase" localSheetId="38" hidden="1">'Substation Const'!$D$8:$AS$723</definedName>
    <definedName name="_xlnm._FilterDatabase" localSheetId="39" hidden="1">Substation_D!$D$8:$AS$134</definedName>
    <definedName name="_Hlk4486253" localSheetId="10">'ISO comparison table'!$B$3</definedName>
    <definedName name="_Hlk4486253" localSheetId="8">'PAF Summary'!$B$3</definedName>
    <definedName name="_Hlk4486253" localSheetId="9">'PAF Summary (Full)'!$B$3</definedName>
    <definedName name="a" localSheetId="22" hidden="1">{#N/A,#N/A,TRUE,"Task Status";#N/A,#N/A,TRUE,"Document Status";#N/A,#N/A,TRUE,"Percent Complete";#N/A,#N/A,TRUE,"Manhour Sum"}</definedName>
    <definedName name="a" localSheetId="32" hidden="1">{#N/A,#N/A,TRUE,"Task Status";#N/A,#N/A,TRUE,"Document Status";#N/A,#N/A,TRUE,"Percent Complete";#N/A,#N/A,TRUE,"Manhour Sum"}</definedName>
    <definedName name="a" hidden="1">{#N/A,#N/A,TRUE,"Task Status";#N/A,#N/A,TRUE,"Document Status";#N/A,#N/A,TRUE,"Percent Complete";#N/A,#N/A,TRUE,"Manhour Sum"}</definedName>
    <definedName name="a_1" localSheetId="22" hidden="1">{#N/A,#N/A,TRUE,"Task Status";#N/A,#N/A,TRUE,"Document Status";#N/A,#N/A,TRUE,"Percent Complete";#N/A,#N/A,TRUE,"Manhour Sum"}</definedName>
    <definedName name="a_1" localSheetId="32" hidden="1">{#N/A,#N/A,TRUE,"Task Status";#N/A,#N/A,TRUE,"Document Status";#N/A,#N/A,TRUE,"Percent Complete";#N/A,#N/A,TRUE,"Manhour Sum"}</definedName>
    <definedName name="a_1" hidden="1">{#N/A,#N/A,TRUE,"Task Status";#N/A,#N/A,TRUE,"Document Status";#N/A,#N/A,TRUE,"Percent Complete";#N/A,#N/A,TRUE,"Manhour Sum"}</definedName>
    <definedName name="a_2" localSheetId="22" hidden="1">{#N/A,#N/A,TRUE,"Task Status";#N/A,#N/A,TRUE,"Document Status";#N/A,#N/A,TRUE,"Percent Complete";#N/A,#N/A,TRUE,"Manhour Sum"}</definedName>
    <definedName name="a_2" localSheetId="32" hidden="1">{#N/A,#N/A,TRUE,"Task Status";#N/A,#N/A,TRUE,"Document Status";#N/A,#N/A,TRUE,"Percent Complete";#N/A,#N/A,TRUE,"Manhour Sum"}</definedName>
    <definedName name="a_2" hidden="1">{#N/A,#N/A,TRUE,"Task Status";#N/A,#N/A,TRUE,"Document Status";#N/A,#N/A,TRUE,"Percent Complete";#N/A,#N/A,TRUE,"Manhour Sum"}</definedName>
    <definedName name="aa" localSheetId="22" hidden="1">{#N/A,#N/A,TRUE,"Task Status";#N/A,#N/A,TRUE,"Document Status";#N/A,#N/A,TRUE,"Percent Complete";#N/A,#N/A,TRUE,"Manhour Sum"}</definedName>
    <definedName name="aa" localSheetId="32" hidden="1">{#N/A,#N/A,TRUE,"Task Status";#N/A,#N/A,TRUE,"Document Status";#N/A,#N/A,TRUE,"Percent Complete";#N/A,#N/A,TRUE,"Manhour Sum"}</definedName>
    <definedName name="aa" hidden="1">{#N/A,#N/A,TRUE,"Task Status";#N/A,#N/A,TRUE,"Document Status";#N/A,#N/A,TRUE,"Percent Complete";#N/A,#N/A,TRUE,"Manhour Sum"}</definedName>
    <definedName name="aa_1" localSheetId="22" hidden="1">{#N/A,#N/A,TRUE,"Task Status";#N/A,#N/A,TRUE,"Document Status";#N/A,#N/A,TRUE,"Percent Complete";#N/A,#N/A,TRUE,"Manhour Sum"}</definedName>
    <definedName name="aa_1" localSheetId="32" hidden="1">{#N/A,#N/A,TRUE,"Task Status";#N/A,#N/A,TRUE,"Document Status";#N/A,#N/A,TRUE,"Percent Complete";#N/A,#N/A,TRUE,"Manhour Sum"}</definedName>
    <definedName name="aa_1" hidden="1">{#N/A,#N/A,TRUE,"Task Status";#N/A,#N/A,TRUE,"Document Status";#N/A,#N/A,TRUE,"Percent Complete";#N/A,#N/A,TRUE,"Manhour Sum"}</definedName>
    <definedName name="aa_2" localSheetId="22" hidden="1">{#N/A,#N/A,TRUE,"Task Status";#N/A,#N/A,TRUE,"Document Status";#N/A,#N/A,TRUE,"Percent Complete";#N/A,#N/A,TRUE,"Manhour Sum"}</definedName>
    <definedName name="aa_2" localSheetId="32" hidden="1">{#N/A,#N/A,TRUE,"Task Status";#N/A,#N/A,TRUE,"Document Status";#N/A,#N/A,TRUE,"Percent Complete";#N/A,#N/A,TRUE,"Manhour Sum"}</definedName>
    <definedName name="aa_2" hidden="1">{#N/A,#N/A,TRUE,"Task Status";#N/A,#N/A,TRUE,"Document Status";#N/A,#N/A,TRUE,"Percent Complete";#N/A,#N/A,TRUE,"Manhour Sum"}</definedName>
    <definedName name="aaaa" localSheetId="22" hidden="1">{#N/A,#N/A,FALSE,"Sum6 (1)"}</definedName>
    <definedName name="aaaa" localSheetId="32" hidden="1">{#N/A,#N/A,FALSE,"Sum6 (1)"}</definedName>
    <definedName name="aaaa" hidden="1">{#N/A,#N/A,FALSE,"Sum6 (1)"}</definedName>
    <definedName name="aaaa_1" localSheetId="22" hidden="1">{#N/A,#N/A,FALSE,"Sum6 (1)"}</definedName>
    <definedName name="aaaa_1" localSheetId="32" hidden="1">{#N/A,#N/A,FALSE,"Sum6 (1)"}</definedName>
    <definedName name="aaaa_1" hidden="1">{#N/A,#N/A,FALSE,"Sum6 (1)"}</definedName>
    <definedName name="aaaa_2" localSheetId="22" hidden="1">{#N/A,#N/A,FALSE,"Sum6 (1)"}</definedName>
    <definedName name="aaaa_2" localSheetId="32" hidden="1">{#N/A,#N/A,FALSE,"Sum6 (1)"}</definedName>
    <definedName name="aaaa_2" hidden="1">{#N/A,#N/A,FALSE,"Sum6 (1)"}</definedName>
    <definedName name="ab" localSheetId="22" hidden="1">{#N/A,#N/A,TRUE,"Task Status";#N/A,#N/A,TRUE,"Document Status";#N/A,#N/A,TRUE,"Percent Complete";#N/A,#N/A,TRUE,"Manhour Sum"}</definedName>
    <definedName name="ab" localSheetId="32" hidden="1">{#N/A,#N/A,TRUE,"Task Status";#N/A,#N/A,TRUE,"Document Status";#N/A,#N/A,TRUE,"Percent Complete";#N/A,#N/A,TRUE,"Manhour Sum"}</definedName>
    <definedName name="ab" hidden="1">{#N/A,#N/A,TRUE,"Task Status";#N/A,#N/A,TRUE,"Document Status";#N/A,#N/A,TRUE,"Percent Complete";#N/A,#N/A,TRUE,"Manhour Sum"}</definedName>
    <definedName name="abcd" localSheetId="22" hidden="1">{#N/A,#N/A,TRUE,"Task Status";#N/A,#N/A,TRUE,"Document Status";#N/A,#N/A,TRUE,"Percent Complete";#N/A,#N/A,TRUE,"Manhour Sum"}</definedName>
    <definedName name="abcd" localSheetId="32" hidden="1">{#N/A,#N/A,TRUE,"Task Status";#N/A,#N/A,TRUE,"Document Status";#N/A,#N/A,TRUE,"Percent Complete";#N/A,#N/A,TRUE,"Manhour Sum"}</definedName>
    <definedName name="abcd" hidden="1">{#N/A,#N/A,TRUE,"Task Status";#N/A,#N/A,TRUE,"Document Status";#N/A,#N/A,TRUE,"Percent Complete";#N/A,#N/A,TRUE,"Manhour Sum"}</definedName>
    <definedName name="abcd_1" localSheetId="22" hidden="1">{#N/A,#N/A,TRUE,"Task Status";#N/A,#N/A,TRUE,"Document Status";#N/A,#N/A,TRUE,"Percent Complete";#N/A,#N/A,TRUE,"Manhour Sum"}</definedName>
    <definedName name="abcd_1" localSheetId="32" hidden="1">{#N/A,#N/A,TRUE,"Task Status";#N/A,#N/A,TRUE,"Document Status";#N/A,#N/A,TRUE,"Percent Complete";#N/A,#N/A,TRUE,"Manhour Sum"}</definedName>
    <definedName name="abcd_1" hidden="1">{#N/A,#N/A,TRUE,"Task Status";#N/A,#N/A,TRUE,"Document Status";#N/A,#N/A,TRUE,"Percent Complete";#N/A,#N/A,TRUE,"Manhour Sum"}</definedName>
    <definedName name="abcd_2" localSheetId="22" hidden="1">{#N/A,#N/A,TRUE,"Task Status";#N/A,#N/A,TRUE,"Document Status";#N/A,#N/A,TRUE,"Percent Complete";#N/A,#N/A,TRUE,"Manhour Sum"}</definedName>
    <definedName name="abcd_2" localSheetId="32" hidden="1">{#N/A,#N/A,TRUE,"Task Status";#N/A,#N/A,TRUE,"Document Status";#N/A,#N/A,TRUE,"Percent Complete";#N/A,#N/A,TRUE,"Manhour Sum"}</definedName>
    <definedName name="abcd_2" hidden="1">{#N/A,#N/A,TRUE,"Task Status";#N/A,#N/A,TRUE,"Document Status";#N/A,#N/A,TRUE,"Percent Complete";#N/A,#N/A,TRUE,"Manhour Sum"}</definedName>
    <definedName name="alpha" localSheetId="22" hidden="1">{#N/A,#N/A,FALSE,"Sum6 (1)"}</definedName>
    <definedName name="alpha" localSheetId="32" hidden="1">{#N/A,#N/A,FALSE,"Sum6 (1)"}</definedName>
    <definedName name="alpha" hidden="1">{#N/A,#N/A,FALSE,"Sum6 (1)"}</definedName>
    <definedName name="ana" localSheetId="22" hidden="1">{#N/A,#N/A,TRUE,"Task Status";#N/A,#N/A,TRUE,"Document Status";#N/A,#N/A,TRUE,"Percent Complete";#N/A,#N/A,TRUE,"Manhour Sum"}</definedName>
    <definedName name="ana" localSheetId="32" hidden="1">{#N/A,#N/A,TRUE,"Task Status";#N/A,#N/A,TRUE,"Document Status";#N/A,#N/A,TRUE,"Percent Complete";#N/A,#N/A,TRUE,"Manhour Sum"}</definedName>
    <definedName name="ana" hidden="1">{#N/A,#N/A,TRUE,"Task Status";#N/A,#N/A,TRUE,"Document Status";#N/A,#N/A,TRUE,"Percent Complete";#N/A,#N/A,TRUE,"Manhour Sum"}</definedName>
    <definedName name="ana_1" localSheetId="22" hidden="1">{#N/A,#N/A,TRUE,"Task Status";#N/A,#N/A,TRUE,"Document Status";#N/A,#N/A,TRUE,"Percent Complete";#N/A,#N/A,TRUE,"Manhour Sum"}</definedName>
    <definedName name="ana_1" localSheetId="32" hidden="1">{#N/A,#N/A,TRUE,"Task Status";#N/A,#N/A,TRUE,"Document Status";#N/A,#N/A,TRUE,"Percent Complete";#N/A,#N/A,TRUE,"Manhour Sum"}</definedName>
    <definedName name="ana_1" hidden="1">{#N/A,#N/A,TRUE,"Task Status";#N/A,#N/A,TRUE,"Document Status";#N/A,#N/A,TRUE,"Percent Complete";#N/A,#N/A,TRUE,"Manhour Sum"}</definedName>
    <definedName name="ana_2" localSheetId="22" hidden="1">{#N/A,#N/A,TRUE,"Task Status";#N/A,#N/A,TRUE,"Document Status";#N/A,#N/A,TRUE,"Percent Complete";#N/A,#N/A,TRUE,"Manhour Sum"}</definedName>
    <definedName name="ana_2" localSheetId="32" hidden="1">{#N/A,#N/A,TRUE,"Task Status";#N/A,#N/A,TRUE,"Document Status";#N/A,#N/A,TRUE,"Percent Complete";#N/A,#N/A,TRUE,"Manhour Sum"}</definedName>
    <definedName name="ana_2" hidden="1">{#N/A,#N/A,TRUE,"Task Status";#N/A,#N/A,TRUE,"Document Status";#N/A,#N/A,TRUE,"Percent Complete";#N/A,#N/A,TRUE,"Manhour Sum"}</definedName>
    <definedName name="asdfasdg" localSheetId="22" hidden="1">{#N/A,#N/A,TRUE,"Task Status";#N/A,#N/A,TRUE,"Document Status";#N/A,#N/A,TRUE,"Percent Complete";#N/A,#N/A,TRUE,"Manhour Sum"}</definedName>
    <definedName name="asdfasdg" localSheetId="32" hidden="1">{#N/A,#N/A,TRUE,"Task Status";#N/A,#N/A,TRUE,"Document Status";#N/A,#N/A,TRUE,"Percent Complete";#N/A,#N/A,TRUE,"Manhour Sum"}</definedName>
    <definedName name="asdfasdg" hidden="1">{#N/A,#N/A,TRUE,"Task Status";#N/A,#N/A,TRUE,"Document Status";#N/A,#N/A,TRUE,"Percent Complete";#N/A,#N/A,TRUE,"Manhour Sum"}</definedName>
    <definedName name="asfasdfasdf" localSheetId="22" hidden="1">{#N/A,#N/A,FALSE,"Sum6 (1)"}</definedName>
    <definedName name="asfasdfasdf" localSheetId="32" hidden="1">{#N/A,#N/A,FALSE,"Sum6 (1)"}</definedName>
    <definedName name="asfasdfasdf" hidden="1">{#N/A,#N/A,FALSE,"Sum6 (1)"}</definedName>
    <definedName name="AsSoldExcRev" localSheetId="22" hidden="1">{#N/A,#N/A,FALSE,"Sum6 (1)"}</definedName>
    <definedName name="AsSoldExcRev" localSheetId="32" hidden="1">{#N/A,#N/A,FALSE,"Sum6 (1)"}</definedName>
    <definedName name="AsSoldExcRev" hidden="1">{#N/A,#N/A,FALSE,"Sum6 (1)"}</definedName>
    <definedName name="AsSoldExcRev_1" localSheetId="22" hidden="1">{#N/A,#N/A,FALSE,"Sum6 (1)"}</definedName>
    <definedName name="AsSoldExcRev_1" localSheetId="32" hidden="1">{#N/A,#N/A,FALSE,"Sum6 (1)"}</definedName>
    <definedName name="AsSoldExcRev_1" hidden="1">{#N/A,#N/A,FALSE,"Sum6 (1)"}</definedName>
    <definedName name="AsSoldExcRev_2" localSheetId="22" hidden="1">{#N/A,#N/A,FALSE,"Sum6 (1)"}</definedName>
    <definedName name="AsSoldExcRev_2" localSheetId="32" hidden="1">{#N/A,#N/A,FALSE,"Sum6 (1)"}</definedName>
    <definedName name="AsSoldExcRev_2" hidden="1">{#N/A,#N/A,FALSE,"Sum6 (1)"}</definedName>
    <definedName name="b" localSheetId="22" hidden="1">{#N/A,#N/A,TRUE,"Task Status";#N/A,#N/A,TRUE,"Document Status";#N/A,#N/A,TRUE,"Percent Complete";#N/A,#N/A,TRUE,"Manhour Sum"}</definedName>
    <definedName name="b" localSheetId="32" hidden="1">{#N/A,#N/A,TRUE,"Task Status";#N/A,#N/A,TRUE,"Document Status";#N/A,#N/A,TRUE,"Percent Complete";#N/A,#N/A,TRUE,"Manhour Sum"}</definedName>
    <definedName name="b" hidden="1">{#N/A,#N/A,TRUE,"Task Status";#N/A,#N/A,TRUE,"Document Status";#N/A,#N/A,TRUE,"Percent Complete";#N/A,#N/A,TRUE,"Manhour Sum"}</definedName>
    <definedName name="b_1" localSheetId="22" hidden="1">{#N/A,#N/A,TRUE,"Task Status";#N/A,#N/A,TRUE,"Document Status";#N/A,#N/A,TRUE,"Percent Complete";#N/A,#N/A,TRUE,"Manhour Sum"}</definedName>
    <definedName name="b_1" localSheetId="32" hidden="1">{#N/A,#N/A,TRUE,"Task Status";#N/A,#N/A,TRUE,"Document Status";#N/A,#N/A,TRUE,"Percent Complete";#N/A,#N/A,TRUE,"Manhour Sum"}</definedName>
    <definedName name="b_1" hidden="1">{#N/A,#N/A,TRUE,"Task Status";#N/A,#N/A,TRUE,"Document Status";#N/A,#N/A,TRUE,"Percent Complete";#N/A,#N/A,TRUE,"Manhour Sum"}</definedName>
    <definedName name="b_2" localSheetId="22" hidden="1">{#N/A,#N/A,TRUE,"Task Status";#N/A,#N/A,TRUE,"Document Status";#N/A,#N/A,TRUE,"Percent Complete";#N/A,#N/A,TRUE,"Manhour Sum"}</definedName>
    <definedName name="b_2" localSheetId="32" hidden="1">{#N/A,#N/A,TRUE,"Task Status";#N/A,#N/A,TRUE,"Document Status";#N/A,#N/A,TRUE,"Percent Complete";#N/A,#N/A,TRUE,"Manhour Sum"}</definedName>
    <definedName name="b_2" hidden="1">{#N/A,#N/A,TRUE,"Task Status";#N/A,#N/A,TRUE,"Document Status";#N/A,#N/A,TRUE,"Percent Complete";#N/A,#N/A,TRUE,"Manhour Sum"}</definedName>
    <definedName name="BAR_Rate">'Data Input sheet'!$C$62</definedName>
    <definedName name="Bulk" localSheetId="22" hidden="1">{#N/A,#N/A,FALSE,"Sum6 (1)"}</definedName>
    <definedName name="Bulk" localSheetId="32" hidden="1">{#N/A,#N/A,FALSE,"Sum6 (1)"}</definedName>
    <definedName name="Bulk" hidden="1">{#N/A,#N/A,FALSE,"Sum6 (1)"}</definedName>
    <definedName name="cc_1" localSheetId="22" hidden="1">{#N/A,#N/A,TRUE,"Task Status";#N/A,#N/A,TRUE,"Document Status";#N/A,#N/A,TRUE,"Percent Complete";#N/A,#N/A,TRUE,"Manhour Sum"}</definedName>
    <definedName name="cc_1" localSheetId="32" hidden="1">{#N/A,#N/A,TRUE,"Task Status";#N/A,#N/A,TRUE,"Document Status";#N/A,#N/A,TRUE,"Percent Complete";#N/A,#N/A,TRUE,"Manhour Sum"}</definedName>
    <definedName name="cc_1" hidden="1">{#N/A,#N/A,TRUE,"Task Status";#N/A,#N/A,TRUE,"Document Status";#N/A,#N/A,TRUE,"Percent Complete";#N/A,#N/A,TRUE,"Manhour Sum"}</definedName>
    <definedName name="cc_2" localSheetId="22" hidden="1">{#N/A,#N/A,TRUE,"Task Status";#N/A,#N/A,TRUE,"Document Status";#N/A,#N/A,TRUE,"Percent Complete";#N/A,#N/A,TRUE,"Manhour Sum"}</definedName>
    <definedName name="cc_2" localSheetId="32" hidden="1">{#N/A,#N/A,TRUE,"Task Status";#N/A,#N/A,TRUE,"Document Status";#N/A,#N/A,TRUE,"Percent Complete";#N/A,#N/A,TRUE,"Manhour Sum"}</definedName>
    <definedName name="cc_2" hidden="1">{#N/A,#N/A,TRUE,"Task Status";#N/A,#N/A,TRUE,"Document Status";#N/A,#N/A,TRUE,"Percent Complete";#N/A,#N/A,TRUE,"Manhour Sum"}</definedName>
    <definedName name="CCC" localSheetId="22" hidden="1">{#N/A,#N/A,FALSE,"Sum6 (1)"}</definedName>
    <definedName name="CCC" localSheetId="32" hidden="1">{#N/A,#N/A,FALSE,"Sum6 (1)"}</definedName>
    <definedName name="CCC" hidden="1">{#N/A,#N/A,FALSE,"Sum6 (1)"}</definedName>
    <definedName name="CCC_1" localSheetId="22" hidden="1">{#N/A,#N/A,FALSE,"Sum6 (1)"}</definedName>
    <definedName name="CCC_1" localSheetId="32" hidden="1">{#N/A,#N/A,FALSE,"Sum6 (1)"}</definedName>
    <definedName name="CCC_1" hidden="1">{#N/A,#N/A,FALSE,"Sum6 (1)"}</definedName>
    <definedName name="CCC_2" localSheetId="22" hidden="1">{#N/A,#N/A,FALSE,"Sum6 (1)"}</definedName>
    <definedName name="CCC_2" localSheetId="32" hidden="1">{#N/A,#N/A,FALSE,"Sum6 (1)"}</definedName>
    <definedName name="CCC_2" hidden="1">{#N/A,#N/A,FALSE,"Sum6 (1)"}</definedName>
    <definedName name="Combined" localSheetId="22" hidden="1">{#N/A,#N/A,TRUE,"Task Status";#N/A,#N/A,TRUE,"Document Status";#N/A,#N/A,TRUE,"Percent Complete";#N/A,#N/A,TRUE,"Manhour Sum"}</definedName>
    <definedName name="Combined" localSheetId="32" hidden="1">{#N/A,#N/A,TRUE,"Task Status";#N/A,#N/A,TRUE,"Document Status";#N/A,#N/A,TRUE,"Percent Complete";#N/A,#N/A,TRUE,"Manhour Sum"}</definedName>
    <definedName name="Combined" hidden="1">{#N/A,#N/A,TRUE,"Task Status";#N/A,#N/A,TRUE,"Document Status";#N/A,#N/A,TRUE,"Percent Complete";#N/A,#N/A,TRUE,"Manhour Sum"}</definedName>
    <definedName name="Company">'Data Input sheet'!$D$19</definedName>
    <definedName name="cvgf" localSheetId="22" hidden="1">{"Rev 0 Normal",#N/A,FALSE,"FNM Plan-Rev 0";"Rev 0 Pricing",#N/A,FALSE,"FNM Plan-Rev 0"}</definedName>
    <definedName name="cvgf" localSheetId="32" hidden="1">{"Rev 0 Normal",#N/A,FALSE,"FNM Plan-Rev 0";"Rev 0 Pricing",#N/A,FALSE,"FNM Plan-Rev 0"}</definedName>
    <definedName name="cvgf" hidden="1">{"Rev 0 Normal",#N/A,FALSE,"FNM Plan-Rev 0";"Rev 0 Pricing",#N/A,FALSE,"FNM Plan-Rev 0"}</definedName>
    <definedName name="dddssd" localSheetId="22" hidden="1">{#N/A,#N/A,TRUE,"Task Status";#N/A,#N/A,TRUE,"Document Status";#N/A,#N/A,TRUE,"Percent Complete";#N/A,#N/A,TRUE,"Manhour Sum"}</definedName>
    <definedName name="dddssd" localSheetId="32" hidden="1">{#N/A,#N/A,TRUE,"Task Status";#N/A,#N/A,TRUE,"Document Status";#N/A,#N/A,TRUE,"Percent Complete";#N/A,#N/A,TRUE,"Manhour Sum"}</definedName>
    <definedName name="dddssd" hidden="1">{#N/A,#N/A,TRUE,"Task Status";#N/A,#N/A,TRUE,"Document Status";#N/A,#N/A,TRUE,"Percent Complete";#N/A,#N/A,TRUE,"Manhour Sum"}</definedName>
    <definedName name="DELTA" localSheetId="22" hidden="1">{#N/A,#N/A,FALSE,"Sum6 (1)"}</definedName>
    <definedName name="DELTA" localSheetId="32" hidden="1">{#N/A,#N/A,FALSE,"Sum6 (1)"}</definedName>
    <definedName name="DELTA" hidden="1">{#N/A,#N/A,FALSE,"Sum6 (1)"}</definedName>
    <definedName name="DELTA_1" localSheetId="22" hidden="1">{#N/A,#N/A,FALSE,"Sum6 (1)"}</definedName>
    <definedName name="DELTA_1" localSheetId="32" hidden="1">{#N/A,#N/A,FALSE,"Sum6 (1)"}</definedName>
    <definedName name="DELTA_1" hidden="1">{#N/A,#N/A,FALSE,"Sum6 (1)"}</definedName>
    <definedName name="DELTA_2" localSheetId="22" hidden="1">{#N/A,#N/A,FALSE,"Sum6 (1)"}</definedName>
    <definedName name="DELTA_2" localSheetId="32" hidden="1">{#N/A,#N/A,FALSE,"Sum6 (1)"}</definedName>
    <definedName name="DELTA_2" hidden="1">{#N/A,#N/A,FALSE,"Sum6 (1)"}</definedName>
    <definedName name="dfgwre" localSheetId="22" hidden="1">{#N/A,#N/A,TRUE,"Task Status";#N/A,#N/A,TRUE,"Document Status";#N/A,#N/A,TRUE,"Percent Complete";#N/A,#N/A,TRUE,"Manhour Sum"}</definedName>
    <definedName name="dfgwre" localSheetId="32" hidden="1">{#N/A,#N/A,TRUE,"Task Status";#N/A,#N/A,TRUE,"Document Status";#N/A,#N/A,TRUE,"Percent Complete";#N/A,#N/A,TRUE,"Manhour Sum"}</definedName>
    <definedName name="dfgwre" hidden="1">{#N/A,#N/A,TRUE,"Task Status";#N/A,#N/A,TRUE,"Document Status";#N/A,#N/A,TRUE,"Percent Complete";#N/A,#N/A,TRUE,"Manhour Sum"}</definedName>
    <definedName name="dfhws" localSheetId="22" hidden="1">{#N/A,#N/A,TRUE,"Task Status";#N/A,#N/A,TRUE,"Document Status";#N/A,#N/A,TRUE,"Percent Complete";#N/A,#N/A,TRUE,"Manhour Sum"}</definedName>
    <definedName name="dfhws" localSheetId="32" hidden="1">{#N/A,#N/A,TRUE,"Task Status";#N/A,#N/A,TRUE,"Document Status";#N/A,#N/A,TRUE,"Percent Complete";#N/A,#N/A,TRUE,"Manhour Sum"}</definedName>
    <definedName name="dfhws" hidden="1">{#N/A,#N/A,TRUE,"Task Status";#N/A,#N/A,TRUE,"Document Status";#N/A,#N/A,TRUE,"Percent Complete";#N/A,#N/A,TRUE,"Manhour Sum"}</definedName>
    <definedName name="EL" localSheetId="22" hidden="1">{#N/A,#N/A,TRUE,"Task Status";#N/A,#N/A,TRUE,"Document Status";#N/A,#N/A,TRUE,"Percent Complete";#N/A,#N/A,TRUE,"Manhour Sum"}</definedName>
    <definedName name="EL" localSheetId="32" hidden="1">{#N/A,#N/A,TRUE,"Task Status";#N/A,#N/A,TRUE,"Document Status";#N/A,#N/A,TRUE,"Percent Complete";#N/A,#N/A,TRUE,"Manhour Sum"}</definedName>
    <definedName name="EL" hidden="1">{#N/A,#N/A,TRUE,"Task Status";#N/A,#N/A,TRUE,"Document Status";#N/A,#N/A,TRUE,"Percent Complete";#N/A,#N/A,TRUE,"Manhour Sum"}</definedName>
    <definedName name="EL_1" localSheetId="22" hidden="1">{#N/A,#N/A,TRUE,"Task Status";#N/A,#N/A,TRUE,"Document Status";#N/A,#N/A,TRUE,"Percent Complete";#N/A,#N/A,TRUE,"Manhour Sum"}</definedName>
    <definedName name="EL_1" localSheetId="32" hidden="1">{#N/A,#N/A,TRUE,"Task Status";#N/A,#N/A,TRUE,"Document Status";#N/A,#N/A,TRUE,"Percent Complete";#N/A,#N/A,TRUE,"Manhour Sum"}</definedName>
    <definedName name="EL_1" hidden="1">{#N/A,#N/A,TRUE,"Task Status";#N/A,#N/A,TRUE,"Document Status";#N/A,#N/A,TRUE,"Percent Complete";#N/A,#N/A,TRUE,"Manhour Sum"}</definedName>
    <definedName name="EL_2" localSheetId="22" hidden="1">{#N/A,#N/A,TRUE,"Task Status";#N/A,#N/A,TRUE,"Document Status";#N/A,#N/A,TRUE,"Percent Complete";#N/A,#N/A,TRUE,"Manhour Sum"}</definedName>
    <definedName name="EL_2" localSheetId="32" hidden="1">{#N/A,#N/A,TRUE,"Task Status";#N/A,#N/A,TRUE,"Document Status";#N/A,#N/A,TRUE,"Percent Complete";#N/A,#N/A,TRUE,"Manhour Sum"}</definedName>
    <definedName name="EL_2" hidden="1">{#N/A,#N/A,TRUE,"Task Status";#N/A,#N/A,TRUE,"Document Status";#N/A,#N/A,TRUE,"Percent Complete";#N/A,#N/A,TRUE,"Manhour Sum"}</definedName>
    <definedName name="Electrical" localSheetId="22" hidden="1">{#N/A,#N/A,TRUE,"Task Status";#N/A,#N/A,TRUE,"Document Status";#N/A,#N/A,TRUE,"Percent Complete";#N/A,#N/A,TRUE,"Manhour Sum"}</definedName>
    <definedName name="Electrical" localSheetId="32" hidden="1">{#N/A,#N/A,TRUE,"Task Status";#N/A,#N/A,TRUE,"Document Status";#N/A,#N/A,TRUE,"Percent Complete";#N/A,#N/A,TRUE,"Manhour Sum"}</definedName>
    <definedName name="Electrical" hidden="1">{#N/A,#N/A,TRUE,"Task Status";#N/A,#N/A,TRUE,"Document Status";#N/A,#N/A,TRUE,"Percent Complete";#N/A,#N/A,TRUE,"Manhour Sum"}</definedName>
    <definedName name="Electrical_1" localSheetId="22" hidden="1">{#N/A,#N/A,TRUE,"Task Status";#N/A,#N/A,TRUE,"Document Status";#N/A,#N/A,TRUE,"Percent Complete";#N/A,#N/A,TRUE,"Manhour Sum"}</definedName>
    <definedName name="Electrical_1" localSheetId="32" hidden="1">{#N/A,#N/A,TRUE,"Task Status";#N/A,#N/A,TRUE,"Document Status";#N/A,#N/A,TRUE,"Percent Complete";#N/A,#N/A,TRUE,"Manhour Sum"}</definedName>
    <definedName name="Electrical_1" hidden="1">{#N/A,#N/A,TRUE,"Task Status";#N/A,#N/A,TRUE,"Document Status";#N/A,#N/A,TRUE,"Percent Complete";#N/A,#N/A,TRUE,"Manhour Sum"}</definedName>
    <definedName name="Electrical_2" localSheetId="22" hidden="1">{#N/A,#N/A,TRUE,"Task Status";#N/A,#N/A,TRUE,"Document Status";#N/A,#N/A,TRUE,"Percent Complete";#N/A,#N/A,TRUE,"Manhour Sum"}</definedName>
    <definedName name="Electrical_2" localSheetId="32" hidden="1">{#N/A,#N/A,TRUE,"Task Status";#N/A,#N/A,TRUE,"Document Status";#N/A,#N/A,TRUE,"Percent Complete";#N/A,#N/A,TRUE,"Manhour Sum"}</definedName>
    <definedName name="Electrical_2" hidden="1">{#N/A,#N/A,TRUE,"Task Status";#N/A,#N/A,TRUE,"Document Status";#N/A,#N/A,TRUE,"Percent Complete";#N/A,#N/A,TRUE,"Manhour Sum"}</definedName>
    <definedName name="erqwer" localSheetId="22" hidden="1">{#N/A,#N/A,FALSE,"Sum6 (1)"}</definedName>
    <definedName name="erqwer" localSheetId="32" hidden="1">{#N/A,#N/A,FALSE,"Sum6 (1)"}</definedName>
    <definedName name="erqwer" hidden="1">{#N/A,#N/A,FALSE,"Sum6 (1)"}</definedName>
    <definedName name="erwerty" localSheetId="22" hidden="1">{#N/A,#N/A,FALSE,"Sum6 (1)"}</definedName>
    <definedName name="erwerty" localSheetId="32" hidden="1">{#N/A,#N/A,FALSE,"Sum6 (1)"}</definedName>
    <definedName name="erwerty" hidden="1">{#N/A,#N/A,FALSE,"Sum6 (1)"}</definedName>
    <definedName name="erymk" localSheetId="22" hidden="1">{#N/A,#N/A,TRUE,"Task Status";#N/A,#N/A,TRUE,"Document Status";#N/A,#N/A,TRUE,"Percent Complete";#N/A,#N/A,TRUE,"Manhour Sum"}</definedName>
    <definedName name="erymk" localSheetId="32" hidden="1">{#N/A,#N/A,TRUE,"Task Status";#N/A,#N/A,TRUE,"Document Status";#N/A,#N/A,TRUE,"Percent Complete";#N/A,#N/A,TRUE,"Manhour Sum"}</definedName>
    <definedName name="erymk" hidden="1">{#N/A,#N/A,TRUE,"Task Status";#N/A,#N/A,TRUE,"Document Status";#N/A,#N/A,TRUE,"Percent Complete";#N/A,#N/A,TRUE,"Manhour Sum"}</definedName>
    <definedName name="EstimateNumber">'Data Input sheet'!$C$4</definedName>
    <definedName name="EstimateType">'Data Input sheet'!$D$15</definedName>
    <definedName name="etyik" localSheetId="22" hidden="1">{#N/A,#N/A,TRUE,"Task Status";#N/A,#N/A,TRUE,"Document Status";#N/A,#N/A,TRUE,"Percent Complete";#N/A,#N/A,TRUE,"Manhour Sum"}</definedName>
    <definedName name="etyik" localSheetId="32" hidden="1">{#N/A,#N/A,TRUE,"Task Status";#N/A,#N/A,TRUE,"Document Status";#N/A,#N/A,TRUE,"Percent Complete";#N/A,#N/A,TRUE,"Manhour Sum"}</definedName>
    <definedName name="etyik" hidden="1">{#N/A,#N/A,TRUE,"Task Status";#N/A,#N/A,TRUE,"Document Status";#N/A,#N/A,TRUE,"Percent Complete";#N/A,#N/A,TRUE,"Manhour Sum"}</definedName>
    <definedName name="f" localSheetId="22" hidden="1">{#N/A,#N/A,TRUE,"Task Status";#N/A,#N/A,TRUE,"Document Status";#N/A,#N/A,TRUE,"Percent Complete";#N/A,#N/A,TRUE,"Manhour Sum"}</definedName>
    <definedName name="f" localSheetId="32" hidden="1">{#N/A,#N/A,TRUE,"Task Status";#N/A,#N/A,TRUE,"Document Status";#N/A,#N/A,TRUE,"Percent Complete";#N/A,#N/A,TRUE,"Manhour Sum"}</definedName>
    <definedName name="f" hidden="1">{#N/A,#N/A,TRUE,"Task Status";#N/A,#N/A,TRUE,"Document Status";#N/A,#N/A,TRUE,"Percent Complete";#N/A,#N/A,TRUE,"Manhour Sum"}</definedName>
    <definedName name="fff" localSheetId="22" hidden="1">{#N/A,#N/A,TRUE,"Task Status";#N/A,#N/A,TRUE,"Document Status";#N/A,#N/A,TRUE,"Percent Complete";#N/A,#N/A,TRUE,"Manhour Sum"}</definedName>
    <definedName name="fff" localSheetId="32" hidden="1">{#N/A,#N/A,TRUE,"Task Status";#N/A,#N/A,TRUE,"Document Status";#N/A,#N/A,TRUE,"Percent Complete";#N/A,#N/A,TRUE,"Manhour Sum"}</definedName>
    <definedName name="fff" hidden="1">{#N/A,#N/A,TRUE,"Task Status";#N/A,#N/A,TRUE,"Document Status";#N/A,#N/A,TRUE,"Percent Complete";#N/A,#N/A,TRUE,"Manhour Sum"}</definedName>
    <definedName name="ggfsf" localSheetId="22" hidden="1">{#N/A,#N/A,TRUE,"Task Status";#N/A,#N/A,TRUE,"Document Status";#N/A,#N/A,TRUE,"Percent Complete";#N/A,#N/A,TRUE,"Manhour Sum"}</definedName>
    <definedName name="ggfsf" localSheetId="32" hidden="1">{#N/A,#N/A,TRUE,"Task Status";#N/A,#N/A,TRUE,"Document Status";#N/A,#N/A,TRUE,"Percent Complete";#N/A,#N/A,TRUE,"Manhour Sum"}</definedName>
    <definedName name="ggfsf" hidden="1">{#N/A,#N/A,TRUE,"Task Status";#N/A,#N/A,TRUE,"Document Status";#N/A,#N/A,TRUE,"Percent Complete";#N/A,#N/A,TRUE,"Manhour Sum"}</definedName>
    <definedName name="gonogo" localSheetId="22" hidden="1">{#N/A,#N/A,FALSE,"F. Tax Analysis";#N/A,#N/A,FALSE,"G. Bond Analysis";#N/A,#N/A,FALSE,"H. Insurance Analysis"}</definedName>
    <definedName name="gonogo" localSheetId="32" hidden="1">{#N/A,#N/A,FALSE,"F. Tax Analysis";#N/A,#N/A,FALSE,"G. Bond Analysis";#N/A,#N/A,FALSE,"H. Insurance Analysis"}</definedName>
    <definedName name="gonogo" hidden="1">{#N/A,#N/A,FALSE,"F. Tax Analysis";#N/A,#N/A,FALSE,"G. Bond Analysis";#N/A,#N/A,FALSE,"H. Insurance Analysis"}</definedName>
    <definedName name="grasdf" localSheetId="22" hidden="1">{#N/A,#N/A,FALSE,"Sum6 (1)"}</definedName>
    <definedName name="grasdf" localSheetId="32" hidden="1">{#N/A,#N/A,FALSE,"Sum6 (1)"}</definedName>
    <definedName name="grasdf" hidden="1">{#N/A,#N/A,FALSE,"Sum6 (1)"}</definedName>
    <definedName name="grog" localSheetId="22" hidden="1">{#N/A,#N/A,TRUE,"Task Status";#N/A,#N/A,TRUE,"Document Status";#N/A,#N/A,TRUE,"Percent Complete";#N/A,#N/A,TRUE,"Manhour Sum"}</definedName>
    <definedName name="grog" localSheetId="32" hidden="1">{#N/A,#N/A,TRUE,"Task Status";#N/A,#N/A,TRUE,"Document Status";#N/A,#N/A,TRUE,"Percent Complete";#N/A,#N/A,TRUE,"Manhour Sum"}</definedName>
    <definedName name="grog" hidden="1">{#N/A,#N/A,TRUE,"Task Status";#N/A,#N/A,TRUE,"Document Status";#N/A,#N/A,TRUE,"Percent Complete";#N/A,#N/A,TRUE,"Manhour Sum"}</definedName>
    <definedName name="ID" localSheetId="35" hidden="1">"0e7817ce-3548-4938-99e4-d13839f1fd0a"</definedName>
    <definedName name="ID" localSheetId="36" hidden="1">"8f2c37f3-0e02-4258-b967-0ca8f44c2432"</definedName>
    <definedName name="ID" localSheetId="37" hidden="1">"6497c45d-4271-45c9-bb77-dcce6afb0cb1"</definedName>
    <definedName name="ID" localSheetId="31" hidden="1">"72c000ed-13dd-4d21-9e94-8ce4b952a7b8"</definedName>
    <definedName name="ID" localSheetId="44" hidden="1">"0eee2fc1-8b4b-4052-a741-ce69bb254d1a"</definedName>
    <definedName name="ID" localSheetId="30" hidden="1">"6cb0d2f0-feb4-4073-b631-a33b9b10eb8a"</definedName>
    <definedName name="ID" localSheetId="16" hidden="1">"62e439b1-845e-41ab-8a11-ffe6f1dccfee"</definedName>
    <definedName name="ID" localSheetId="28" hidden="1">"ed18c92f-64c2-4645-b628-91f71c339aa0"</definedName>
    <definedName name="ID" localSheetId="2" hidden="1">"352410c1-4a37-4e36-b741-df82e4e3cd77"</definedName>
    <definedName name="ID" localSheetId="3" hidden="1">"16d12530-bf16-4fb1-89d4-2420c8a72880"</definedName>
    <definedName name="ID" localSheetId="11" hidden="1">"ff217762-695a-4800-b06f-1c1bf0b84340"</definedName>
    <definedName name="ID" localSheetId="0" hidden="1">"ab4960ad-4cf4-48e5-840c-d40b7b043ce2"</definedName>
    <definedName name="ID" localSheetId="4" hidden="1">"b9390115-7b92-4d03-bb69-3af6d3ab1177"</definedName>
    <definedName name="ID" localSheetId="5" hidden="1">"5335df8d-f66f-4390-9e12-766fa384aae1"</definedName>
    <definedName name="ID" localSheetId="6" hidden="1">"ff6ed6c3-354e-4dbe-908b-93b15eb27fc0"</definedName>
    <definedName name="ID" localSheetId="19" hidden="1">"d5a98928-aa10-479b-8349-fa2894f6802e"</definedName>
    <definedName name="ID" localSheetId="41" hidden="1">"e9870672-e4c3-49f0-a76c-e5ee681fe0a1"</definedName>
    <definedName name="ID" localSheetId="29" hidden="1">"57502790-adf0-4d21-884e-94024fbb79d0"</definedName>
    <definedName name="ID" localSheetId="13" hidden="1">"c1ab035a-6e76-40d2-ac5b-9f94e46e7133"</definedName>
    <definedName name="ID" localSheetId="14" hidden="1">"dcf32e60-d0ea-42d7-a977-401d46b0665e"</definedName>
    <definedName name="ID" localSheetId="15" hidden="1">"2814cf15-bb5a-4772-91c2-2cd76fe3ece1"</definedName>
    <definedName name="ID" localSheetId="27" hidden="1">"a7701395-e1b4-4979-997d-bdec5c0850df"</definedName>
    <definedName name="ID" localSheetId="43" hidden="1">"1e3f35ce-21b4-4dbd-b70c-b660f628c041"</definedName>
    <definedName name="ID" localSheetId="10" hidden="1">"cc238da6-28a0-4981-adbb-cc924703dc63"</definedName>
    <definedName name="ID" localSheetId="42" hidden="1">"0fae4798-4a41-432f-af15-ce601dae46a7"</definedName>
    <definedName name="ID" localSheetId="25" hidden="1">"1cfab838-2ee1-47c9-b77f-426efea59571"</definedName>
    <definedName name="ID" localSheetId="34" hidden="1">"c09a279f-c76c-454b-936a-b9c1a4ce9759"</definedName>
    <definedName name="ID" localSheetId="33" hidden="1">"e9ddf507-4d76-401f-aaf3-003002c77fe9"</definedName>
    <definedName name="ID" localSheetId="8" hidden="1">"def809a3-4899-4e16-97e7-d0a80f07c5eb"</definedName>
    <definedName name="ID" localSheetId="9" hidden="1">"63d6fb16-db4e-4cee-810c-dd3380d3b879"</definedName>
    <definedName name="ID" localSheetId="7" hidden="1">"1b64d0f1-04c7-4a4b-a4f8-c0d1a11728d6"</definedName>
    <definedName name="ID" localSheetId="46" hidden="1">"ed4d7e37-eccc-4fd2-a584-8e7c8d5379cc"</definedName>
    <definedName name="ID" localSheetId="24" hidden="1">"ea50025b-fedd-44d9-bb5f-62c150e15b8d"</definedName>
    <definedName name="ID" localSheetId="17" hidden="1">"c5854541-d8eb-4054-8384-34875e55c0f3"</definedName>
    <definedName name="ID" localSheetId="40" hidden="1">"f2d6981d-020b-4719-8043-5addc644bfaa"</definedName>
    <definedName name="ID" localSheetId="1" hidden="1">"eabe8eac-79d2-422e-b233-0bef4c318be7"</definedName>
    <definedName name="ID" localSheetId="22" hidden="1">"d45a454a-716f-4e84-a78d-8253c254b65e"</definedName>
    <definedName name="ID" localSheetId="47" hidden="1">"26cafbce-2641-4826-adc1-92ff17810752"</definedName>
    <definedName name="ID" localSheetId="45" hidden="1">"b923eb1b-705e-4268-bc9b-6264809bc658"</definedName>
    <definedName name="ID" localSheetId="32" hidden="1">"25be8250-5071-4909-abf2-3ec7ff548798"</definedName>
    <definedName name="ID" localSheetId="38" hidden="1">"fe1f780f-1f85-441f-9d91-ae194dae9b94"</definedName>
    <definedName name="ID" localSheetId="39" hidden="1">"0d4b2fc2-5971-4bf6-9024-1972ad0bb656"</definedName>
    <definedName name="ID" localSheetId="23" hidden="1">"f0ea7425-0c09-413d-93d4-457b6d5dfbca"</definedName>
    <definedName name="ID" localSheetId="12" hidden="1">"0311e266-7d49-463d-b4ef-d8aa1a6dc835"</definedName>
    <definedName name="ID" localSheetId="26" hidden="1">"836a5fd4-f7e0-41d9-9c24-5aa28f667326"</definedName>
    <definedName name="ID" localSheetId="18" hidden="1">"84d9bc25-2ed5-47d3-ad22-6d24c35e4a1e"</definedName>
    <definedName name="j" localSheetId="22" hidden="1">{#N/A,#N/A,TRUE,"Task Status";#N/A,#N/A,TRUE,"Document Status";#N/A,#N/A,TRUE,"Percent Complete";#N/A,#N/A,TRUE,"Manhour Sum"}</definedName>
    <definedName name="j" localSheetId="32" hidden="1">{#N/A,#N/A,TRUE,"Task Status";#N/A,#N/A,TRUE,"Document Status";#N/A,#N/A,TRUE,"Percent Complete";#N/A,#N/A,TRUE,"Manhour Sum"}</definedName>
    <definedName name="j" hidden="1">{#N/A,#N/A,TRUE,"Task Status";#N/A,#N/A,TRUE,"Document Status";#N/A,#N/A,TRUE,"Percent Complete";#N/A,#N/A,TRUE,"Manhour Sum"}</definedName>
    <definedName name="jjjj" localSheetId="22" hidden="1">{#N/A,#N/A,TRUE,"Task Status";#N/A,#N/A,TRUE,"Document Status";#N/A,#N/A,TRUE,"Percent Complete";#N/A,#N/A,TRUE,"Manhour Sum"}</definedName>
    <definedName name="jjjj" localSheetId="32" hidden="1">{#N/A,#N/A,TRUE,"Task Status";#N/A,#N/A,TRUE,"Document Status";#N/A,#N/A,TRUE,"Percent Complete";#N/A,#N/A,TRUE,"Manhour Sum"}</definedName>
    <definedName name="jjjj" hidden="1">{#N/A,#N/A,TRUE,"Task Status";#N/A,#N/A,TRUE,"Document Status";#N/A,#N/A,TRUE,"Percent Complete";#N/A,#N/A,TRUE,"Manhour Sum"}</definedName>
    <definedName name="jjjjjj" localSheetId="22" hidden="1">{#N/A,#N/A,TRUE,"Task Status";#N/A,#N/A,TRUE,"Document Status";#N/A,#N/A,TRUE,"Percent Complete";#N/A,#N/A,TRUE,"Manhour Sum"}</definedName>
    <definedName name="jjjjjj" localSheetId="32" hidden="1">{#N/A,#N/A,TRUE,"Task Status";#N/A,#N/A,TRUE,"Document Status";#N/A,#N/A,TRUE,"Percent Complete";#N/A,#N/A,TRUE,"Manhour Sum"}</definedName>
    <definedName name="jjjjjj" hidden="1">{#N/A,#N/A,TRUE,"Task Status";#N/A,#N/A,TRUE,"Document Status";#N/A,#N/A,TRUE,"Percent Complete";#N/A,#N/A,TRUE,"Manhour Sum"}</definedName>
    <definedName name="jrmk" localSheetId="22" hidden="1">{#N/A,#N/A,TRUE,"Task Status";#N/A,#N/A,TRUE,"Document Status";#N/A,#N/A,TRUE,"Percent Complete";#N/A,#N/A,TRUE,"Manhour Sum"}</definedName>
    <definedName name="jrmk" localSheetId="32" hidden="1">{#N/A,#N/A,TRUE,"Task Status";#N/A,#N/A,TRUE,"Document Status";#N/A,#N/A,TRUE,"Percent Complete";#N/A,#N/A,TRUE,"Manhour Sum"}</definedName>
    <definedName name="jrmk" hidden="1">{#N/A,#N/A,TRUE,"Task Status";#N/A,#N/A,TRUE,"Document Status";#N/A,#N/A,TRUE,"Percent Complete";#N/A,#N/A,TRUE,"Manhour Sum"}</definedName>
    <definedName name="kk" localSheetId="22" hidden="1">{#N/A,#N/A,TRUE,"Task Status";#N/A,#N/A,TRUE,"Document Status";#N/A,#N/A,TRUE,"Percent Complete";#N/A,#N/A,TRUE,"Manhour Sum"}</definedName>
    <definedName name="kk" localSheetId="32" hidden="1">{#N/A,#N/A,TRUE,"Task Status";#N/A,#N/A,TRUE,"Document Status";#N/A,#N/A,TRUE,"Percent Complete";#N/A,#N/A,TRUE,"Manhour Sum"}</definedName>
    <definedName name="kk" hidden="1">{#N/A,#N/A,TRUE,"Task Status";#N/A,#N/A,TRUE,"Document Status";#N/A,#N/A,TRUE,"Percent Complete";#N/A,#N/A,TRUE,"Manhour Sum"}</definedName>
    <definedName name="leaders" localSheetId="22" hidden="1">{#N/A,#N/A,FALSE,"Sum6 (1)"}</definedName>
    <definedName name="leaders" localSheetId="32" hidden="1">{#N/A,#N/A,FALSE,"Sum6 (1)"}</definedName>
    <definedName name="leaders" hidden="1">{#N/A,#N/A,FALSE,"Sum6 (1)"}</definedName>
    <definedName name="leroy" localSheetId="22" hidden="1">{#N/A,#N/A,TRUE,"Task Status";#N/A,#N/A,TRUE,"Document Status";#N/A,#N/A,TRUE,"Percent Complete";#N/A,#N/A,TRUE,"Manhour Sum"}</definedName>
    <definedName name="leroy" localSheetId="32" hidden="1">{#N/A,#N/A,TRUE,"Task Status";#N/A,#N/A,TRUE,"Document Status";#N/A,#N/A,TRUE,"Percent Complete";#N/A,#N/A,TRUE,"Manhour Sum"}</definedName>
    <definedName name="leroy" hidden="1">{#N/A,#N/A,TRUE,"Task Status";#N/A,#N/A,TRUE,"Document Status";#N/A,#N/A,TRUE,"Percent Complete";#N/A,#N/A,TRUE,"Manhour Sum"}</definedName>
    <definedName name="LogDetails">RequestDetails!$B$4:$B$132</definedName>
    <definedName name="Mult_CashHome_Per">1</definedName>
    <definedName name="Mult_CashSite_Per">1</definedName>
    <definedName name="nertujh" localSheetId="22" hidden="1">{#N/A,#N/A,TRUE,"Task Status";#N/A,#N/A,TRUE,"Document Status";#N/A,#N/A,TRUE,"Percent Complete";#N/A,#N/A,TRUE,"Manhour Sum"}</definedName>
    <definedName name="nertujh" localSheetId="32" hidden="1">{#N/A,#N/A,TRUE,"Task Status";#N/A,#N/A,TRUE,"Document Status";#N/A,#N/A,TRUE,"Percent Complete";#N/A,#N/A,TRUE,"Manhour Sum"}</definedName>
    <definedName name="nertujh" hidden="1">{#N/A,#N/A,TRUE,"Task Status";#N/A,#N/A,TRUE,"Document Status";#N/A,#N/A,TRUE,"Percent Complete";#N/A,#N/A,TRUE,"Manhour Sum"}</definedName>
    <definedName name="o" localSheetId="22" hidden="1">{#N/A,#N/A,TRUE,"Task Status";#N/A,#N/A,TRUE,"Document Status";#N/A,#N/A,TRUE,"Percent Complete";#N/A,#N/A,TRUE,"Manhour Sum"}</definedName>
    <definedName name="o" localSheetId="32" hidden="1">{#N/A,#N/A,TRUE,"Task Status";#N/A,#N/A,TRUE,"Document Status";#N/A,#N/A,TRUE,"Percent Complete";#N/A,#N/A,TRUE,"Manhour Sum"}</definedName>
    <definedName name="o" hidden="1">{#N/A,#N/A,TRUE,"Task Status";#N/A,#N/A,TRUE,"Document Status";#N/A,#N/A,TRUE,"Percent Complete";#N/A,#N/A,TRUE,"Manhour Sum"}</definedName>
    <definedName name="one" localSheetId="22" hidden="1">{#N/A,#N/A,FALSE,"Sum6 (1)"}</definedName>
    <definedName name="one" localSheetId="32" hidden="1">{#N/A,#N/A,FALSE,"Sum6 (1)"}</definedName>
    <definedName name="one" hidden="1">{#N/A,#N/A,FALSE,"Sum6 (1)"}</definedName>
    <definedName name="OPTexponents">"0 3 6"</definedName>
    <definedName name="OPTvec">"1 1 4 6 0 0 0 0 1 0 1 8 6 0 20 30 1 1 0 1 1 0 1 0 0 0 0 0 0 2 1 0 100 300 2 0 0 0 14 0 0 0 0"</definedName>
    <definedName name="p" localSheetId="22" hidden="1">{#N/A,#N/A,TRUE,"Task Status";#N/A,#N/A,TRUE,"Document Status";#N/A,#N/A,TRUE,"Percent Complete";#N/A,#N/A,TRUE,"Manhour Sum"}</definedName>
    <definedName name="p" localSheetId="32" hidden="1">{#N/A,#N/A,TRUE,"Task Status";#N/A,#N/A,TRUE,"Document Status";#N/A,#N/A,TRUE,"Percent Complete";#N/A,#N/A,TRUE,"Manhour Sum"}</definedName>
    <definedName name="p" hidden="1">{#N/A,#N/A,TRUE,"Task Status";#N/A,#N/A,TRUE,"Document Status";#N/A,#N/A,TRUE,"Percent Complete";#N/A,#N/A,TRUE,"Manhour Sum"}</definedName>
    <definedName name="Pal_Workbook_GUID" hidden="1">"WCCJ2XGKG89JGSKWGQEQTPXV"</definedName>
    <definedName name="PO" localSheetId="22" hidden="1">{#N/A,#N/A,TRUE,"Task Status";#N/A,#N/A,TRUE,"Document Status";#N/A,#N/A,TRUE,"Percent Complete";#N/A,#N/A,TRUE,"Manhour Sum"}</definedName>
    <definedName name="PO" localSheetId="32" hidden="1">{#N/A,#N/A,TRUE,"Task Status";#N/A,#N/A,TRUE,"Document Status";#N/A,#N/A,TRUE,"Percent Complete";#N/A,#N/A,TRUE,"Manhour Sum"}</definedName>
    <definedName name="PO" hidden="1">{#N/A,#N/A,TRUE,"Task Status";#N/A,#N/A,TRUE,"Document Status";#N/A,#N/A,TRUE,"Percent Complete";#N/A,#N/A,TRUE,"Manhour Sum"}</definedName>
    <definedName name="ppppp" localSheetId="22" hidden="1">{#N/A,#N/A,FALSE,"Sum6 (1)"}</definedName>
    <definedName name="ppppp" localSheetId="32" hidden="1">{#N/A,#N/A,FALSE,"Sum6 (1)"}</definedName>
    <definedName name="ppppp" hidden="1">{#N/A,#N/A,FALSE,"Sum6 (1)"}</definedName>
    <definedName name="_xlnm.Print_Area" localSheetId="35">'115 kV &amp; 345 kV HPFF'!$D$9:$AT$80</definedName>
    <definedName name="_xlnm.Print_Area" localSheetId="36">'115 kV Und XLPE'!$D$9:$AT$83</definedName>
    <definedName name="_xlnm.Print_Area" localSheetId="37">'345 kV Und XLPE'!$D$9:$AT$83</definedName>
    <definedName name="_xlnm.Print_Area" localSheetId="31">'Additional  Est Input'!$D$9:$AS$154</definedName>
    <definedName name="_xlnm.Print_Area" localSheetId="16">'Chks and Balances'!$B$1:$J$57</definedName>
    <definedName name="_xlnm.Print_Area" localSheetId="28">Contingency!$B$1:$L$54</definedName>
    <definedName name="_xlnm.Print_Area" localSheetId="2">Cover!$B$2:$AL$98</definedName>
    <definedName name="_xlnm.Print_Area" localSheetId="3">'Cover (2)'!$A$1:$O$67</definedName>
    <definedName name="_xlnm.Print_Area" localSheetId="11">'Cover (old)'!$A$1:$AK$89</definedName>
    <definedName name="_xlnm.Print_Area" localSheetId="0">'Data Input sheet'!$A$1:$S$204</definedName>
    <definedName name="_xlnm.Print_Area" localSheetId="4">Delta!$B$1:$V$199</definedName>
    <definedName name="_xlnm.Print_Area" localSheetId="19">'Detail Summary'!$G$9:$AS$204</definedName>
    <definedName name="_xlnm.Print_Area" localSheetId="41">'Eng &amp; Proj Supp'!#REF!</definedName>
    <definedName name="_xlnm.Print_Area" localSheetId="29">Escalation!$A$1:$AP$279</definedName>
    <definedName name="_xlnm.Print_Area" localSheetId="43">'Indirect Rates'!$B$1:$G$99</definedName>
    <definedName name="_xlnm.Print_Area" localSheetId="10">'ISO comparison table'!$B$1:$F$51</definedName>
    <definedName name="_xlnm.Print_Area" localSheetId="25">'Milestone Summary'!$A$1:$BW$6</definedName>
    <definedName name="_xlnm.Print_Area" localSheetId="33">'OH Constr'!$D$9:$AT$262</definedName>
    <definedName name="_xlnm.Print_Area" localSheetId="8">'PAF Summary'!$B$1:$K$39</definedName>
    <definedName name="_xlnm.Print_Area" localSheetId="9">'PAF Summary (Full)'!$B$1:$O$39</definedName>
    <definedName name="_xlnm.Print_Area" localSheetId="7">'PAF Summary (non WBS)'!$B$1:$O$41</definedName>
    <definedName name="_xlnm.Print_Area" localSheetId="24">'PP4 Est Backup'!$A$1:$L$85</definedName>
    <definedName name="_xlnm.Print_Area" localSheetId="17">'PP4 Estimate and Schedule'!$A$1:$O$67</definedName>
    <definedName name="_xlnm.Print_Area" localSheetId="40">Removals!$D$9:$AS$154</definedName>
    <definedName name="_xlnm.Print_Area" localSheetId="22">'Review Comments'!$B$1:$J$87</definedName>
    <definedName name="_xlnm.Print_Area" localSheetId="38">'Substation Const'!$D$9:$AT$546</definedName>
    <definedName name="_xlnm.Print_Area" localSheetId="39">Substation_D!$D$9:$AS$135</definedName>
    <definedName name="_xlnm.Print_Area" localSheetId="26">'Vendor Est Summary'!$A$1:$U$169</definedName>
    <definedName name="_xlnm.Print_Area" localSheetId="18">'WBS by year'!$B$1:$AI$53</definedName>
    <definedName name="_xlnm.Print_Titles" localSheetId="35">'115 kV &amp; 345 kV HPFF'!$1:$8</definedName>
    <definedName name="_xlnm.Print_Titles" localSheetId="36">'115 kV Und XLPE'!$1:$8</definedName>
    <definedName name="_xlnm.Print_Titles" localSheetId="37">'345 kV Und XLPE'!$1:$8</definedName>
    <definedName name="_xlnm.Print_Titles" localSheetId="31">'Additional  Est Input'!$1:$8</definedName>
    <definedName name="_xlnm.Print_Titles" localSheetId="28">Contingency!$5:$8</definedName>
    <definedName name="_xlnm.Print_Titles" localSheetId="33">'OH Constr'!$1:$8</definedName>
    <definedName name="_xlnm.Print_Titles" localSheetId="40">Removals!$1:$8</definedName>
    <definedName name="_xlnm.Print_Titles" localSheetId="38">'Substation Const'!$1:$8</definedName>
    <definedName name="_xlnm.Print_Titles" localSheetId="39">Substation_D!$1:$8</definedName>
    <definedName name="qqqqqqq" localSheetId="22" hidden="1">{#N/A,#N/A,FALSE,"Sum6 (1)"}</definedName>
    <definedName name="qqqqqqq" localSheetId="32" hidden="1">{#N/A,#N/A,FALSE,"Sum6 (1)"}</definedName>
    <definedName name="qqqqqqq" hidden="1">{#N/A,#N/A,FALSE,"Sum6 (1)"}</definedName>
    <definedName name="qqqqqqq_1" localSheetId="22" hidden="1">{#N/A,#N/A,FALSE,"Sum6 (1)"}</definedName>
    <definedName name="qqqqqqq_1" localSheetId="32" hidden="1">{#N/A,#N/A,FALSE,"Sum6 (1)"}</definedName>
    <definedName name="qqqqqqq_1" hidden="1">{#N/A,#N/A,FALSE,"Sum6 (1)"}</definedName>
    <definedName name="qqqqqqq_2" localSheetId="22" hidden="1">{#N/A,#N/A,FALSE,"Sum6 (1)"}</definedName>
    <definedName name="qqqqqqq_2" localSheetId="32" hidden="1">{#N/A,#N/A,FALSE,"Sum6 (1)"}</definedName>
    <definedName name="qqqqqqq_2" hidden="1">{#N/A,#N/A,FALSE,"Sum6 (1)"}</definedName>
    <definedName name="qwer" localSheetId="22" hidden="1">{#N/A,#N/A,TRUE,"Task Status";#N/A,#N/A,TRUE,"Document Status";#N/A,#N/A,TRUE,"Percent Complete";#N/A,#N/A,TRUE,"Manhour Sum"}</definedName>
    <definedName name="qwer" localSheetId="32" hidden="1">{#N/A,#N/A,TRUE,"Task Status";#N/A,#N/A,TRUE,"Document Status";#N/A,#N/A,TRUE,"Percent Complete";#N/A,#N/A,TRUE,"Manhour Sum"}</definedName>
    <definedName name="qwer" hidden="1">{#N/A,#N/A,TRUE,"Task Status";#N/A,#N/A,TRUE,"Document Status";#N/A,#N/A,TRUE,"Percent Complete";#N/A,#N/A,TRUE,"Manhour Sum"}</definedName>
    <definedName name="qwer_1" localSheetId="22" hidden="1">{#N/A,#N/A,TRUE,"Task Status";#N/A,#N/A,TRUE,"Document Status";#N/A,#N/A,TRUE,"Percent Complete";#N/A,#N/A,TRUE,"Manhour Sum"}</definedName>
    <definedName name="qwer_1" localSheetId="32" hidden="1">{#N/A,#N/A,TRUE,"Task Status";#N/A,#N/A,TRUE,"Document Status";#N/A,#N/A,TRUE,"Percent Complete";#N/A,#N/A,TRUE,"Manhour Sum"}</definedName>
    <definedName name="qwer_1" hidden="1">{#N/A,#N/A,TRUE,"Task Status";#N/A,#N/A,TRUE,"Document Status";#N/A,#N/A,TRUE,"Percent Complete";#N/A,#N/A,TRUE,"Manhour Sum"}</definedName>
    <definedName name="qwer_2" localSheetId="22" hidden="1">{#N/A,#N/A,TRUE,"Task Status";#N/A,#N/A,TRUE,"Document Status";#N/A,#N/A,TRUE,"Percent Complete";#N/A,#N/A,TRUE,"Manhour Sum"}</definedName>
    <definedName name="qwer_2" localSheetId="32" hidden="1">{#N/A,#N/A,TRUE,"Task Status";#N/A,#N/A,TRUE,"Document Status";#N/A,#N/A,TRUE,"Percent Complete";#N/A,#N/A,TRUE,"Manhour Sum"}</definedName>
    <definedName name="qwer_2" hidden="1">{#N/A,#N/A,TRUE,"Task Status";#N/A,#N/A,TRUE,"Document Status";#N/A,#N/A,TRUE,"Percent Complete";#N/A,#N/A,TRUE,"Manhour Sum"}</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rty" localSheetId="22" hidden="1">{"Budget",#N/A,TRUE,"Criteria";"Summary",#N/A,TRUE,"Summary";"Detail",#N/A,TRUE,"Detail";"Staff",#N/A,TRUE,"Staffing";"Equip",#N/A,TRUE,"Equipment"}</definedName>
    <definedName name="rty" localSheetId="32" hidden="1">{"Budget",#N/A,TRUE,"Criteria";"Summary",#N/A,TRUE,"Summary";"Detail",#N/A,TRUE,"Detail";"Staff",#N/A,TRUE,"Staffing";"Equip",#N/A,TRUE,"Equipment"}</definedName>
    <definedName name="rty" hidden="1">{"Budget",#N/A,TRUE,"Criteria";"Summary",#N/A,TRUE,"Summary";"Detail",#N/A,TRUE,"Detail";"Staff",#N/A,TRUE,"Staffing";"Equip",#N/A,TRUE,"Equipment"}</definedName>
    <definedName name="s" localSheetId="22" hidden="1">{#N/A,#N/A,TRUE,"Task Status";#N/A,#N/A,TRUE,"Document Status";#N/A,#N/A,TRUE,"Percent Complete";#N/A,#N/A,TRUE,"Manhour Sum"}</definedName>
    <definedName name="s" localSheetId="32" hidden="1">{#N/A,#N/A,TRUE,"Task Status";#N/A,#N/A,TRUE,"Document Status";#N/A,#N/A,TRUE,"Percent Complete";#N/A,#N/A,TRUE,"Manhour Sum"}</definedName>
    <definedName name="s" hidden="1">{#N/A,#N/A,TRUE,"Task Status";#N/A,#N/A,TRUE,"Document Status";#N/A,#N/A,TRUE,"Percent Complete";#N/A,#N/A,TRUE,"Manhour Sum"}</definedName>
    <definedName name="s_1" localSheetId="22" hidden="1">{#N/A,#N/A,TRUE,"Task Status";#N/A,#N/A,TRUE,"Document Status";#N/A,#N/A,TRUE,"Percent Complete";#N/A,#N/A,TRUE,"Manhour Sum"}</definedName>
    <definedName name="s_1" localSheetId="32" hidden="1">{#N/A,#N/A,TRUE,"Task Status";#N/A,#N/A,TRUE,"Document Status";#N/A,#N/A,TRUE,"Percent Complete";#N/A,#N/A,TRUE,"Manhour Sum"}</definedName>
    <definedName name="s_1" hidden="1">{#N/A,#N/A,TRUE,"Task Status";#N/A,#N/A,TRUE,"Document Status";#N/A,#N/A,TRUE,"Percent Complete";#N/A,#N/A,TRUE,"Manhour Sum"}</definedName>
    <definedName name="s_2" localSheetId="22" hidden="1">{#N/A,#N/A,TRUE,"Task Status";#N/A,#N/A,TRUE,"Document Status";#N/A,#N/A,TRUE,"Percent Complete";#N/A,#N/A,TRUE,"Manhour Sum"}</definedName>
    <definedName name="s_2" localSheetId="32" hidden="1">{#N/A,#N/A,TRUE,"Task Status";#N/A,#N/A,TRUE,"Document Status";#N/A,#N/A,TRUE,"Percent Complete";#N/A,#N/A,TRUE,"Manhour Sum"}</definedName>
    <definedName name="s_2" hidden="1">{#N/A,#N/A,TRUE,"Task Status";#N/A,#N/A,TRUE,"Document Status";#N/A,#N/A,TRUE,"Percent Complete";#N/A,#N/A,TRUE,"Manhour Sum"}</definedName>
    <definedName name="Schedule" localSheetId="22" hidden="1">{#N/A,#N/A,TRUE,"Task Status";#N/A,#N/A,TRUE,"Document Status";#N/A,#N/A,TRUE,"Percent Complete";#N/A,#N/A,TRUE,"Manhour Sum"}</definedName>
    <definedName name="Schedule" localSheetId="32" hidden="1">{#N/A,#N/A,TRUE,"Task Status";#N/A,#N/A,TRUE,"Document Status";#N/A,#N/A,TRUE,"Percent Complete";#N/A,#N/A,TRUE,"Manhour Sum"}</definedName>
    <definedName name="Schedule" hidden="1">{#N/A,#N/A,TRUE,"Task Status";#N/A,#N/A,TRUE,"Document Status";#N/A,#N/A,TRUE,"Percent Complete";#N/A,#N/A,TRUE,"Manhour Sum"}</definedName>
    <definedName name="Schedule_1" localSheetId="22" hidden="1">{#N/A,#N/A,TRUE,"Task Status";#N/A,#N/A,TRUE,"Document Status";#N/A,#N/A,TRUE,"Percent Complete";#N/A,#N/A,TRUE,"Manhour Sum"}</definedName>
    <definedName name="Schedule_1" localSheetId="32" hidden="1">{#N/A,#N/A,TRUE,"Task Status";#N/A,#N/A,TRUE,"Document Status";#N/A,#N/A,TRUE,"Percent Complete";#N/A,#N/A,TRUE,"Manhour Sum"}</definedName>
    <definedName name="Schedule_1" hidden="1">{#N/A,#N/A,TRUE,"Task Status";#N/A,#N/A,TRUE,"Document Status";#N/A,#N/A,TRUE,"Percent Complete";#N/A,#N/A,TRUE,"Manhour Sum"}</definedName>
    <definedName name="Schedule_2" localSheetId="22" hidden="1">{#N/A,#N/A,TRUE,"Task Status";#N/A,#N/A,TRUE,"Document Status";#N/A,#N/A,TRUE,"Percent Complete";#N/A,#N/A,TRUE,"Manhour Sum"}</definedName>
    <definedName name="Schedule_2" localSheetId="32" hidden="1">{#N/A,#N/A,TRUE,"Task Status";#N/A,#N/A,TRUE,"Document Status";#N/A,#N/A,TRUE,"Percent Complete";#N/A,#N/A,TRUE,"Manhour Sum"}</definedName>
    <definedName name="Schedule_2" hidden="1">{#N/A,#N/A,TRUE,"Task Status";#N/A,#N/A,TRUE,"Document Status";#N/A,#N/A,TRUE,"Percent Complete";#N/A,#N/A,TRUE,"Manhour Sum"}</definedName>
    <definedName name="sdfji" localSheetId="22" hidden="1">{"Detail",#N/A,FALSE,"Detail"}</definedName>
    <definedName name="sdfji" localSheetId="32" hidden="1">{"Detail",#N/A,FALSE,"Detail"}</definedName>
    <definedName name="sdfji" hidden="1">{"Detail",#N/A,FALSE,"Detail"}</definedName>
    <definedName name="sf" localSheetId="22" hidden="1">{#N/A,#N/A,TRUE,"Task Status";#N/A,#N/A,TRUE,"Document Status";#N/A,#N/A,TRUE,"Percent Complete";#N/A,#N/A,TRUE,"Manhour Sum"}</definedName>
    <definedName name="sf" localSheetId="32" hidden="1">{#N/A,#N/A,TRUE,"Task Status";#N/A,#N/A,TRUE,"Document Status";#N/A,#N/A,TRUE,"Percent Complete";#N/A,#N/A,TRUE,"Manhour Sum"}</definedName>
    <definedName name="sf" hidden="1">{#N/A,#N/A,TRUE,"Task Status";#N/A,#N/A,TRUE,"Document Status";#N/A,#N/A,TRUE,"Percent Complete";#N/A,#N/A,TRUE,"Manhour Sum"}</definedName>
    <definedName name="StationOrLine">'Data Input sheet'!$D$20</definedName>
    <definedName name="Sub" localSheetId="22" hidden="1">{#N/A,#N/A,TRUE,"Task Status";#N/A,#N/A,TRUE,"Document Status";#N/A,#N/A,TRUE,"Percent Complete";#N/A,#N/A,TRUE,"Manhour Sum"}</definedName>
    <definedName name="Sub" localSheetId="32" hidden="1">{#N/A,#N/A,TRUE,"Task Status";#N/A,#N/A,TRUE,"Document Status";#N/A,#N/A,TRUE,"Percent Complete";#N/A,#N/A,TRUE,"Manhour Sum"}</definedName>
    <definedName name="Sub" hidden="1">{#N/A,#N/A,TRUE,"Task Status";#N/A,#N/A,TRUE,"Document Status";#N/A,#N/A,TRUE,"Percent Complete";#N/A,#N/A,TRUE,"Manhour Sum"}</definedName>
    <definedName name="Sub_1" localSheetId="22" hidden="1">{#N/A,#N/A,TRUE,"Task Status";#N/A,#N/A,TRUE,"Document Status";#N/A,#N/A,TRUE,"Percent Complete";#N/A,#N/A,TRUE,"Manhour Sum"}</definedName>
    <definedName name="Sub_1" localSheetId="32" hidden="1">{#N/A,#N/A,TRUE,"Task Status";#N/A,#N/A,TRUE,"Document Status";#N/A,#N/A,TRUE,"Percent Complete";#N/A,#N/A,TRUE,"Manhour Sum"}</definedName>
    <definedName name="Sub_1" hidden="1">{#N/A,#N/A,TRUE,"Task Status";#N/A,#N/A,TRUE,"Document Status";#N/A,#N/A,TRUE,"Percent Complete";#N/A,#N/A,TRUE,"Manhour Sum"}</definedName>
    <definedName name="Sub_2" localSheetId="22" hidden="1">{#N/A,#N/A,TRUE,"Task Status";#N/A,#N/A,TRUE,"Document Status";#N/A,#N/A,TRUE,"Percent Complete";#N/A,#N/A,TRUE,"Manhour Sum"}</definedName>
    <definedName name="Sub_2" localSheetId="32" hidden="1">{#N/A,#N/A,TRUE,"Task Status";#N/A,#N/A,TRUE,"Document Status";#N/A,#N/A,TRUE,"Percent Complete";#N/A,#N/A,TRUE,"Manhour Sum"}</definedName>
    <definedName name="Sub_2" hidden="1">{#N/A,#N/A,TRUE,"Task Status";#N/A,#N/A,TRUE,"Document Status";#N/A,#N/A,TRUE,"Percent Complete";#N/A,#N/A,TRUE,"Manhour Sum"}</definedName>
    <definedName name="temp" localSheetId="22" hidden="1">{#N/A,#N/A,TRUE,"Task Status";#N/A,#N/A,TRUE,"Document Status";#N/A,#N/A,TRUE,"Percent Complete";#N/A,#N/A,TRUE,"Manhour Sum"}</definedName>
    <definedName name="temp" localSheetId="32" hidden="1">{#N/A,#N/A,TRUE,"Task Status";#N/A,#N/A,TRUE,"Document Status";#N/A,#N/A,TRUE,"Percent Complete";#N/A,#N/A,TRUE,"Manhour Sum"}</definedName>
    <definedName name="temp" hidden="1">{#N/A,#N/A,TRUE,"Task Status";#N/A,#N/A,TRUE,"Document Status";#N/A,#N/A,TRUE,"Percent Complete";#N/A,#N/A,TRUE,"Manhour Sum"}</definedName>
    <definedName name="temp_1" localSheetId="22" hidden="1">{#N/A,#N/A,TRUE,"Task Status";#N/A,#N/A,TRUE,"Document Status";#N/A,#N/A,TRUE,"Percent Complete";#N/A,#N/A,TRUE,"Manhour Sum"}</definedName>
    <definedName name="temp_1" localSheetId="32" hidden="1">{#N/A,#N/A,TRUE,"Task Status";#N/A,#N/A,TRUE,"Document Status";#N/A,#N/A,TRUE,"Percent Complete";#N/A,#N/A,TRUE,"Manhour Sum"}</definedName>
    <definedName name="temp_1" hidden="1">{#N/A,#N/A,TRUE,"Task Status";#N/A,#N/A,TRUE,"Document Status";#N/A,#N/A,TRUE,"Percent Complete";#N/A,#N/A,TRUE,"Manhour Sum"}</definedName>
    <definedName name="temp_2" localSheetId="22" hidden="1">{#N/A,#N/A,TRUE,"Task Status";#N/A,#N/A,TRUE,"Document Status";#N/A,#N/A,TRUE,"Percent Complete";#N/A,#N/A,TRUE,"Manhour Sum"}</definedName>
    <definedName name="temp_2" localSheetId="32" hidden="1">{#N/A,#N/A,TRUE,"Task Status";#N/A,#N/A,TRUE,"Document Status";#N/A,#N/A,TRUE,"Percent Complete";#N/A,#N/A,TRUE,"Manhour Sum"}</definedName>
    <definedName name="temp_2" hidden="1">{#N/A,#N/A,TRUE,"Task Status";#N/A,#N/A,TRUE,"Document Status";#N/A,#N/A,TRUE,"Percent Complete";#N/A,#N/A,TRUE,"Manhour Sum"}</definedName>
    <definedName name="temp1" localSheetId="22" hidden="1">{#N/A,#N/A,TRUE,"Task Status";#N/A,#N/A,TRUE,"Document Status";#N/A,#N/A,TRUE,"Percent Complete";#N/A,#N/A,TRUE,"Manhour Sum"}</definedName>
    <definedName name="temp1" localSheetId="32" hidden="1">{#N/A,#N/A,TRUE,"Task Status";#N/A,#N/A,TRUE,"Document Status";#N/A,#N/A,TRUE,"Percent Complete";#N/A,#N/A,TRUE,"Manhour Sum"}</definedName>
    <definedName name="temp1" hidden="1">{#N/A,#N/A,TRUE,"Task Status";#N/A,#N/A,TRUE,"Document Status";#N/A,#N/A,TRUE,"Percent Complete";#N/A,#N/A,TRUE,"Manhour Sum"}</definedName>
    <definedName name="temp1_1" localSheetId="22" hidden="1">{#N/A,#N/A,TRUE,"Task Status";#N/A,#N/A,TRUE,"Document Status";#N/A,#N/A,TRUE,"Percent Complete";#N/A,#N/A,TRUE,"Manhour Sum"}</definedName>
    <definedName name="temp1_1" localSheetId="32" hidden="1">{#N/A,#N/A,TRUE,"Task Status";#N/A,#N/A,TRUE,"Document Status";#N/A,#N/A,TRUE,"Percent Complete";#N/A,#N/A,TRUE,"Manhour Sum"}</definedName>
    <definedName name="temp1_1" hidden="1">{#N/A,#N/A,TRUE,"Task Status";#N/A,#N/A,TRUE,"Document Status";#N/A,#N/A,TRUE,"Percent Complete";#N/A,#N/A,TRUE,"Manhour Sum"}</definedName>
    <definedName name="temp1_2" localSheetId="22" hidden="1">{#N/A,#N/A,TRUE,"Task Status";#N/A,#N/A,TRUE,"Document Status";#N/A,#N/A,TRUE,"Percent Complete";#N/A,#N/A,TRUE,"Manhour Sum"}</definedName>
    <definedName name="temp1_2" localSheetId="32" hidden="1">{#N/A,#N/A,TRUE,"Task Status";#N/A,#N/A,TRUE,"Document Status";#N/A,#N/A,TRUE,"Percent Complete";#N/A,#N/A,TRUE,"Manhour Sum"}</definedName>
    <definedName name="temp1_2" hidden="1">{#N/A,#N/A,TRUE,"Task Status";#N/A,#N/A,TRUE,"Document Status";#N/A,#N/A,TRUE,"Percent Complete";#N/A,#N/A,TRUE,"Manhour Sum"}</definedName>
    <definedName name="temp2" localSheetId="22" hidden="1">{#N/A,#N/A,TRUE,"Task Status";#N/A,#N/A,TRUE,"Document Status";#N/A,#N/A,TRUE,"Percent Complete";#N/A,#N/A,TRUE,"Manhour Sum"}</definedName>
    <definedName name="temp2" localSheetId="32" hidden="1">{#N/A,#N/A,TRUE,"Task Status";#N/A,#N/A,TRUE,"Document Status";#N/A,#N/A,TRUE,"Percent Complete";#N/A,#N/A,TRUE,"Manhour Sum"}</definedName>
    <definedName name="temp2" hidden="1">{#N/A,#N/A,TRUE,"Task Status";#N/A,#N/A,TRUE,"Document Status";#N/A,#N/A,TRUE,"Percent Complete";#N/A,#N/A,TRUE,"Manhour Sum"}</definedName>
    <definedName name="temp2_1" localSheetId="22" hidden="1">{#N/A,#N/A,TRUE,"Task Status";#N/A,#N/A,TRUE,"Document Status";#N/A,#N/A,TRUE,"Percent Complete";#N/A,#N/A,TRUE,"Manhour Sum"}</definedName>
    <definedName name="temp2_1" localSheetId="32" hidden="1">{#N/A,#N/A,TRUE,"Task Status";#N/A,#N/A,TRUE,"Document Status";#N/A,#N/A,TRUE,"Percent Complete";#N/A,#N/A,TRUE,"Manhour Sum"}</definedName>
    <definedName name="temp2_1" hidden="1">{#N/A,#N/A,TRUE,"Task Status";#N/A,#N/A,TRUE,"Document Status";#N/A,#N/A,TRUE,"Percent Complete";#N/A,#N/A,TRUE,"Manhour Sum"}</definedName>
    <definedName name="temp2_2" localSheetId="22" hidden="1">{#N/A,#N/A,TRUE,"Task Status";#N/A,#N/A,TRUE,"Document Status";#N/A,#N/A,TRUE,"Percent Complete";#N/A,#N/A,TRUE,"Manhour Sum"}</definedName>
    <definedName name="temp2_2" localSheetId="32" hidden="1">{#N/A,#N/A,TRUE,"Task Status";#N/A,#N/A,TRUE,"Document Status";#N/A,#N/A,TRUE,"Percent Complete";#N/A,#N/A,TRUE,"Manhour Sum"}</definedName>
    <definedName name="temp2_2" hidden="1">{#N/A,#N/A,TRUE,"Task Status";#N/A,#N/A,TRUE,"Document Status";#N/A,#N/A,TRUE,"Percent Complete";#N/A,#N/A,TRUE,"Manhour Sum"}</definedName>
    <definedName name="temp3" localSheetId="22" hidden="1">{#N/A,#N/A,TRUE,"Task Status";#N/A,#N/A,TRUE,"Document Status";#N/A,#N/A,TRUE,"Percent Complete";#N/A,#N/A,TRUE,"Manhour Sum"}</definedName>
    <definedName name="temp3" localSheetId="32" hidden="1">{#N/A,#N/A,TRUE,"Task Status";#N/A,#N/A,TRUE,"Document Status";#N/A,#N/A,TRUE,"Percent Complete";#N/A,#N/A,TRUE,"Manhour Sum"}</definedName>
    <definedName name="temp3" hidden="1">{#N/A,#N/A,TRUE,"Task Status";#N/A,#N/A,TRUE,"Document Status";#N/A,#N/A,TRUE,"Percent Complete";#N/A,#N/A,TRUE,"Manhour Sum"}</definedName>
    <definedName name="tyikrto" localSheetId="22" hidden="1">{#N/A,#N/A,FALSE,"F. Tax Analysis";#N/A,#N/A,FALSE,"G. Bond Analysis";#N/A,#N/A,FALSE,"H. Insurance Analysis"}</definedName>
    <definedName name="tyikrto" localSheetId="32" hidden="1">{#N/A,#N/A,FALSE,"F. Tax Analysis";#N/A,#N/A,FALSE,"G. Bond Analysis";#N/A,#N/A,FALSE,"H. Insurance Analysis"}</definedName>
    <definedName name="tyikrto" hidden="1">{#N/A,#N/A,FALSE,"F. Tax Analysis";#N/A,#N/A,FALSE,"G. Bond Analysis";#N/A,#N/A,FALSE,"H. Insurance Analysis"}</definedName>
    <definedName name="vasdrfawer" localSheetId="22" hidden="1">{#N/A,#N/A,TRUE,"Task Status";#N/A,#N/A,TRUE,"Document Status";#N/A,#N/A,TRUE,"Percent Complete";#N/A,#N/A,TRUE,"Manhour Sum"}</definedName>
    <definedName name="vasdrfawer" localSheetId="32" hidden="1">{#N/A,#N/A,TRUE,"Task Status";#N/A,#N/A,TRUE,"Document Status";#N/A,#N/A,TRUE,"Percent Complete";#N/A,#N/A,TRUE,"Manhour Sum"}</definedName>
    <definedName name="vasdrfawer" hidden="1">{#N/A,#N/A,TRUE,"Task Status";#N/A,#N/A,TRUE,"Document Status";#N/A,#N/A,TRUE,"Percent Complete";#N/A,#N/A,TRUE,"Manhour Sum"}</definedName>
    <definedName name="vate" localSheetId="22" hidden="1">{#N/A,#N/A,TRUE,"Task Status";#N/A,#N/A,TRUE,"Document Status";#N/A,#N/A,TRUE,"Percent Complete";#N/A,#N/A,TRUE,"Manhour Sum"}</definedName>
    <definedName name="vate" localSheetId="32" hidden="1">{#N/A,#N/A,TRUE,"Task Status";#N/A,#N/A,TRUE,"Document Status";#N/A,#N/A,TRUE,"Percent Complete";#N/A,#N/A,TRUE,"Manhour Sum"}</definedName>
    <definedName name="vate" hidden="1">{#N/A,#N/A,TRUE,"Task Status";#N/A,#N/A,TRUE,"Document Status";#N/A,#N/A,TRUE,"Percent Complete";#N/A,#N/A,TRUE,"Manhour Sum"}</definedName>
    <definedName name="vk" localSheetId="22" hidden="1">{"Summary",#N/A,FALSE,"Summary"}</definedName>
    <definedName name="vk" localSheetId="32" hidden="1">{"Summary",#N/A,FALSE,"Summary"}</definedName>
    <definedName name="vk" hidden="1">{"Summary",#N/A,FALSE,"Summary"}</definedName>
    <definedName name="vl" localSheetId="22" hidden="1">{#N/A,#N/A,FALSE,"Sum6 (1)"}</definedName>
    <definedName name="vl" localSheetId="32" hidden="1">{#N/A,#N/A,FALSE,"Sum6 (1)"}</definedName>
    <definedName name="vl" hidden="1">{#N/A,#N/A,FALSE,"Sum6 (1)"}</definedName>
    <definedName name="wrn.Allowance._.Analysis." localSheetId="22" hidden="1">{#N/A,#N/A,FALSE,"F. Tax Analysis";#N/A,#N/A,FALSE,"G. Bond Analysis";#N/A,#N/A,FALSE,"H. Insurance Analysis"}</definedName>
    <definedName name="wrn.Allowance._.Analysis." localSheetId="32" hidden="1">{#N/A,#N/A,FALSE,"F. Tax Analysis";#N/A,#N/A,FALSE,"G. Bond Analysis";#N/A,#N/A,FALSE,"H. Insurance Analysis"}</definedName>
    <definedName name="wrn.Allowance._.Analysis." hidden="1">{#N/A,#N/A,FALSE,"F. Tax Analysis";#N/A,#N/A,FALSE,"G. Bond Analysis";#N/A,#N/A,FALSE,"H. Insurance Analysis"}</definedName>
    <definedName name="wrn.Allowance._.Analysis._1" localSheetId="22" hidden="1">{#N/A,#N/A,FALSE,"F. Tax Analysis";#N/A,#N/A,FALSE,"G. Bond Analysis";#N/A,#N/A,FALSE,"H. Insurance Analysis"}</definedName>
    <definedName name="wrn.Allowance._.Analysis._1" localSheetId="32" hidden="1">{#N/A,#N/A,FALSE,"F. Tax Analysis";#N/A,#N/A,FALSE,"G. Bond Analysis";#N/A,#N/A,FALSE,"H. Insurance Analysis"}</definedName>
    <definedName name="wrn.Allowance._.Analysis._1" hidden="1">{#N/A,#N/A,FALSE,"F. Tax Analysis";#N/A,#N/A,FALSE,"G. Bond Analysis";#N/A,#N/A,FALSE,"H. Insurance Analysis"}</definedName>
    <definedName name="wrn.Allowance._.Analysis._2" localSheetId="22" hidden="1">{#N/A,#N/A,FALSE,"F. Tax Analysis";#N/A,#N/A,FALSE,"G. Bond Analysis";#N/A,#N/A,FALSE,"H. Insurance Analysis"}</definedName>
    <definedName name="wrn.Allowance._.Analysis._2" localSheetId="32" hidden="1">{#N/A,#N/A,FALSE,"F. Tax Analysis";#N/A,#N/A,FALSE,"G. Bond Analysis";#N/A,#N/A,FALSE,"H. Insurance Analysis"}</definedName>
    <definedName name="wrn.Allowance._.Analysis._2" hidden="1">{#N/A,#N/A,FALSE,"F. Tax Analysis";#N/A,#N/A,FALSE,"G. Bond Analysis";#N/A,#N/A,FALSE,"H. Insurance Analysis"}</definedName>
    <definedName name="wrn.Citgo._.Status." localSheetId="22" hidden="1">{#N/A,#N/A,TRUE,"Task Status";#N/A,#N/A,TRUE,"Document Status";#N/A,#N/A,TRUE,"Percent Complete";#N/A,#N/A,TRUE,"Manhour Sum"}</definedName>
    <definedName name="wrn.Citgo._.Status." localSheetId="32" hidden="1">{#N/A,#N/A,TRUE,"Task Status";#N/A,#N/A,TRUE,"Document Status";#N/A,#N/A,TRUE,"Percent Complete";#N/A,#N/A,TRUE,"Manhour Sum"}</definedName>
    <definedName name="wrn.Citgo._.Status." hidden="1">{#N/A,#N/A,TRUE,"Task Status";#N/A,#N/A,TRUE,"Document Status";#N/A,#N/A,TRUE,"Percent Complete";#N/A,#N/A,TRUE,"Manhour Sum"}</definedName>
    <definedName name="wrn.Citgo._.Status._1" localSheetId="22" hidden="1">{#N/A,#N/A,TRUE,"Task Status";#N/A,#N/A,TRUE,"Document Status";#N/A,#N/A,TRUE,"Percent Complete";#N/A,#N/A,TRUE,"Manhour Sum"}</definedName>
    <definedName name="wrn.Citgo._.Status._1" localSheetId="32" hidden="1">{#N/A,#N/A,TRUE,"Task Status";#N/A,#N/A,TRUE,"Document Status";#N/A,#N/A,TRUE,"Percent Complete";#N/A,#N/A,TRUE,"Manhour Sum"}</definedName>
    <definedName name="wrn.Citgo._.Status._1" hidden="1">{#N/A,#N/A,TRUE,"Task Status";#N/A,#N/A,TRUE,"Document Status";#N/A,#N/A,TRUE,"Percent Complete";#N/A,#N/A,TRUE,"Manhour Sum"}</definedName>
    <definedName name="wrn.Citgo._.Status._2" localSheetId="22" hidden="1">{#N/A,#N/A,TRUE,"Task Status";#N/A,#N/A,TRUE,"Document Status";#N/A,#N/A,TRUE,"Percent Complete";#N/A,#N/A,TRUE,"Manhour Sum"}</definedName>
    <definedName name="wrn.Citgo._.Status._2" localSheetId="32" hidden="1">{#N/A,#N/A,TRUE,"Task Status";#N/A,#N/A,TRUE,"Document Status";#N/A,#N/A,TRUE,"Percent Complete";#N/A,#N/A,TRUE,"Manhour Sum"}</definedName>
    <definedName name="wrn.Citgo._.Status._2" hidden="1">{#N/A,#N/A,TRUE,"Task Status";#N/A,#N/A,TRUE,"Document Status";#N/A,#N/A,TRUE,"Percent Complete";#N/A,#N/A,TRUE,"Manhour Sum"}</definedName>
    <definedName name="wrn.Detail." localSheetId="22" hidden="1">{"Detail",#N/A,FALSE,"Detail"}</definedName>
    <definedName name="wrn.Detail." localSheetId="32" hidden="1">{"Detail",#N/A,FALSE,"Detail"}</definedName>
    <definedName name="wrn.Detail." hidden="1">{"Detail",#N/A,FALSE,"Detail"}</definedName>
    <definedName name="wrn.Detail._1" localSheetId="22" hidden="1">{"Detail",#N/A,FALSE,"Detail"}</definedName>
    <definedName name="wrn.Detail._1" localSheetId="32" hidden="1">{"Detail",#N/A,FALSE,"Detail"}</definedName>
    <definedName name="wrn.Detail._1" hidden="1">{"Detail",#N/A,FALSE,"Detail"}</definedName>
    <definedName name="wrn.Detail._2" localSheetId="22" hidden="1">{"Detail",#N/A,FALSE,"Detail"}</definedName>
    <definedName name="wrn.Detail._2" localSheetId="32" hidden="1">{"Detail",#N/A,FALSE,"Detail"}</definedName>
    <definedName name="wrn.Detail._2" hidden="1">{"Detail",#N/A,FALSE,"Detail"}</definedName>
    <definedName name="wrn.Executive._.Review._.Report." localSheetId="22" hidden="1">{#N/A,#N/A,FALSE,"Executive Review Sheet";#N/A,#N/A,FALSE,"Summary of Estimate Components";#N/A,#N/A,FALSE,"Summary of Allowances"}</definedName>
    <definedName name="wrn.Executive._.Review._.Report." localSheetId="32" hidden="1">{#N/A,#N/A,FALSE,"Executive Review Sheet";#N/A,#N/A,FALSE,"Summary of Estimate Components";#N/A,#N/A,FALSE,"Summary of Allowances"}</definedName>
    <definedName name="wrn.Executive._.Review._.Report." hidden="1">{#N/A,#N/A,FALSE,"Executive Review Sheet";#N/A,#N/A,FALSE,"Summary of Estimate Components";#N/A,#N/A,FALSE,"Summary of Allowances"}</definedName>
    <definedName name="wrn.Executive._.Review._.Report._1" localSheetId="22" hidden="1">{#N/A,#N/A,FALSE,"Executive Review Sheet";#N/A,#N/A,FALSE,"Summary of Estimate Components";#N/A,#N/A,FALSE,"Summary of Allowances"}</definedName>
    <definedName name="wrn.Executive._.Review._.Report._1" localSheetId="32" hidden="1">{#N/A,#N/A,FALSE,"Executive Review Sheet";#N/A,#N/A,FALSE,"Summary of Estimate Components";#N/A,#N/A,FALSE,"Summary of Allowances"}</definedName>
    <definedName name="wrn.Executive._.Review._.Report._1" hidden="1">{#N/A,#N/A,FALSE,"Executive Review Sheet";#N/A,#N/A,FALSE,"Summary of Estimate Components";#N/A,#N/A,FALSE,"Summary of Allowances"}</definedName>
    <definedName name="wrn.Executive._.Review._.Report._2" localSheetId="22" hidden="1">{#N/A,#N/A,FALSE,"Executive Review Sheet";#N/A,#N/A,FALSE,"Summary of Estimate Components";#N/A,#N/A,FALSE,"Summary of Allowances"}</definedName>
    <definedName name="wrn.Executive._.Review._.Report._2" localSheetId="32" hidden="1">{#N/A,#N/A,FALSE,"Executive Review Sheet";#N/A,#N/A,FALSE,"Summary of Estimate Components";#N/A,#N/A,FALSE,"Summary of Allowances"}</definedName>
    <definedName name="wrn.Executive._.Review._.Report._2" hidden="1">{#N/A,#N/A,FALSE,"Executive Review Sheet";#N/A,#N/A,FALSE,"Summary of Estimate Components";#N/A,#N/A,FALSE,"Summary of Allowances"}</definedName>
    <definedName name="wrn.FNM._.Graph." localSheetId="22" hidden="1">{"fnm graph",#N/A,FALSE,"Graphs"}</definedName>
    <definedName name="wrn.FNM._.Graph." localSheetId="32" hidden="1">{"fnm graph",#N/A,FALSE,"Graphs"}</definedName>
    <definedName name="wrn.FNM._.Graph." hidden="1">{"fnm graph",#N/A,FALSE,"Graphs"}</definedName>
    <definedName name="wrn.Indirects." localSheetId="22" hidden="1">{"Budget",#N/A,TRUE,"Criteria";"Summary",#N/A,TRUE,"Summary";"Detail",#N/A,TRUE,"Detail";"Staff",#N/A,TRUE,"Staffing";"Equip",#N/A,TRUE,"Equipment"}</definedName>
    <definedName name="wrn.Indirects." localSheetId="32" hidden="1">{"Budget",#N/A,TRUE,"Criteria";"Summary",#N/A,TRUE,"Summary";"Detail",#N/A,TRUE,"Detail";"Staff",#N/A,TRUE,"Staffing";"Equip",#N/A,TRUE,"Equipment"}</definedName>
    <definedName name="wrn.Indirects." hidden="1">{"Budget",#N/A,TRUE,"Criteria";"Summary",#N/A,TRUE,"Summary";"Detail",#N/A,TRUE,"Detail";"Staff",#N/A,TRUE,"Staffing";"Equip",#N/A,TRUE,"Equipment"}</definedName>
    <definedName name="wrn.Indirects._1" localSheetId="22" hidden="1">{"Budget",#N/A,TRUE,"Criteria";"Summary",#N/A,TRUE,"Summary";"Detail",#N/A,TRUE,"Detail";"Staff",#N/A,TRUE,"Staffing";"Equip",#N/A,TRUE,"Equipment"}</definedName>
    <definedName name="wrn.Indirects._1" localSheetId="32" hidden="1">{"Budget",#N/A,TRUE,"Criteria";"Summary",#N/A,TRUE,"Summary";"Detail",#N/A,TRUE,"Detail";"Staff",#N/A,TRUE,"Staffing";"Equip",#N/A,TRUE,"Equipment"}</definedName>
    <definedName name="wrn.Indirects._1" hidden="1">{"Budget",#N/A,TRUE,"Criteria";"Summary",#N/A,TRUE,"Summary";"Detail",#N/A,TRUE,"Detail";"Staff",#N/A,TRUE,"Staffing";"Equip",#N/A,TRUE,"Equipment"}</definedName>
    <definedName name="wrn.Indirects._2" localSheetId="22" hidden="1">{"Budget",#N/A,TRUE,"Criteria";"Summary",#N/A,TRUE,"Summary";"Detail",#N/A,TRUE,"Detail";"Staff",#N/A,TRUE,"Staffing";"Equip",#N/A,TRUE,"Equipment"}</definedName>
    <definedName name="wrn.Indirects._2" localSheetId="32" hidden="1">{"Budget",#N/A,TRUE,"Criteria";"Summary",#N/A,TRUE,"Summary";"Detail",#N/A,TRUE,"Detail";"Staff",#N/A,TRUE,"Staffing";"Equip",#N/A,TRUE,"Equipment"}</definedName>
    <definedName name="wrn.Indirects._2" hidden="1">{"Budget",#N/A,TRUE,"Criteria";"Summary",#N/A,TRUE,"Summary";"Detail",#N/A,TRUE,"Detail";"Staff",#N/A,TRUE,"Staffing";"Equip",#N/A,TRUE,"Equipment"}</definedName>
    <definedName name="wrn.leroy." localSheetId="22" hidden="1">{"Summary",#N/A,FALSE,"Summary"}</definedName>
    <definedName name="wrn.leroy." localSheetId="32" hidden="1">{"Summary",#N/A,FALSE,"Summary"}</definedName>
    <definedName name="wrn.leroy." hidden="1">{"Summary",#N/A,FALSE,"Summary"}</definedName>
    <definedName name="wrn.Profile._.and._.Basis." localSheetId="22" hidden="1">{#N/A,#N/A,FALSE,"Project Profile";#N/A,#N/A,FALSE,"Basis of Estimate"}</definedName>
    <definedName name="wrn.Profile._.and._.Basis." localSheetId="32" hidden="1">{#N/A,#N/A,FALSE,"Project Profile";#N/A,#N/A,FALSE,"Basis of Estimate"}</definedName>
    <definedName name="wrn.Profile._.and._.Basis." hidden="1">{#N/A,#N/A,FALSE,"Project Profile";#N/A,#N/A,FALSE,"Basis of Estimate"}</definedName>
    <definedName name="wrn.Profile._.and._.Basis._1" localSheetId="22" hidden="1">{#N/A,#N/A,FALSE,"Project Profile";#N/A,#N/A,FALSE,"Basis of Estimate"}</definedName>
    <definedName name="wrn.Profile._.and._.Basis._1" localSheetId="32" hidden="1">{#N/A,#N/A,FALSE,"Project Profile";#N/A,#N/A,FALSE,"Basis of Estimate"}</definedName>
    <definedName name="wrn.Profile._.and._.Basis._1" hidden="1">{#N/A,#N/A,FALSE,"Project Profile";#N/A,#N/A,FALSE,"Basis of Estimate"}</definedName>
    <definedName name="wrn.Profile._.and._.Basis._2" localSheetId="22" hidden="1">{#N/A,#N/A,FALSE,"Project Profile";#N/A,#N/A,FALSE,"Basis of Estimate"}</definedName>
    <definedName name="wrn.Profile._.and._.Basis._2" localSheetId="32" hidden="1">{#N/A,#N/A,FALSE,"Project Profile";#N/A,#N/A,FALSE,"Basis of Estimate"}</definedName>
    <definedName name="wrn.Profile._.and._.Basis._2" hidden="1">{#N/A,#N/A,FALSE,"Project Profile";#N/A,#N/A,FALSE,"Basis of Estimate"}</definedName>
    <definedName name="wrn.Rev._.0." localSheetId="22" hidden="1">{"Rev 0 Normal",#N/A,FALSE,"FNM Plan-Rev 0";"Rev 0 Pricing",#N/A,FALSE,"FNM Plan-Rev 0"}</definedName>
    <definedName name="wrn.Rev._.0." localSheetId="32" hidden="1">{"Rev 0 Normal",#N/A,FALSE,"FNM Plan-Rev 0";"Rev 0 Pricing",#N/A,FALSE,"FNM Plan-Rev 0"}</definedName>
    <definedName name="wrn.Rev._.0." hidden="1">{"Rev 0 Normal",#N/A,FALSE,"FNM Plan-Rev 0";"Rev 0 Pricing",#N/A,FALSE,"FNM Plan-Rev 0"}</definedName>
    <definedName name="wrn.Rev._.0._1" localSheetId="22" hidden="1">{"Rev 0 Normal",#N/A,FALSE,"FNM Plan-Rev 0";"Rev 0 Pricing",#N/A,FALSE,"FNM Plan-Rev 0"}</definedName>
    <definedName name="wrn.Rev._.0._1" localSheetId="32" hidden="1">{"Rev 0 Normal",#N/A,FALSE,"FNM Plan-Rev 0";"Rev 0 Pricing",#N/A,FALSE,"FNM Plan-Rev 0"}</definedName>
    <definedName name="wrn.Rev._.0._1" hidden="1">{"Rev 0 Normal",#N/A,FALSE,"FNM Plan-Rev 0";"Rev 0 Pricing",#N/A,FALSE,"FNM Plan-Rev 0"}</definedName>
    <definedName name="wrn.Rev._.0._2" localSheetId="22" hidden="1">{"Rev 0 Normal",#N/A,FALSE,"FNM Plan-Rev 0";"Rev 0 Pricing",#N/A,FALSE,"FNM Plan-Rev 0"}</definedName>
    <definedName name="wrn.Rev._.0._2" localSheetId="32" hidden="1">{"Rev 0 Normal",#N/A,FALSE,"FNM Plan-Rev 0";"Rev 0 Pricing",#N/A,FALSE,"FNM Plan-Rev 0"}</definedName>
    <definedName name="wrn.Rev._.0._2" hidden="1">{"Rev 0 Normal",#N/A,FALSE,"FNM Plan-Rev 0";"Rev 0 Pricing",#N/A,FALSE,"FNM Plan-Rev 0"}</definedName>
    <definedName name="wrn.Summary." localSheetId="22" hidden="1">{"Summary",#N/A,FALSE,"Summary"}</definedName>
    <definedName name="wrn.Summary." localSheetId="32" hidden="1">{"Summary",#N/A,FALSE,"Summary"}</definedName>
    <definedName name="wrn.Summary." hidden="1">{"Summary",#N/A,FALSE,"Summary"}</definedName>
    <definedName name="wrn.Summary._1" localSheetId="22" hidden="1">{"Summary",#N/A,FALSE,"Summary"}</definedName>
    <definedName name="wrn.Summary._1" localSheetId="32" hidden="1">{"Summary",#N/A,FALSE,"Summary"}</definedName>
    <definedName name="wrn.Summary._1" hidden="1">{"Summary",#N/A,FALSE,"Summary"}</definedName>
    <definedName name="wrn.Summary._2" localSheetId="22" hidden="1">{"Summary",#N/A,FALSE,"Summary"}</definedName>
    <definedName name="wrn.Summary._2" localSheetId="32" hidden="1">{"Summary",#N/A,FALSE,"Summary"}</definedName>
    <definedName name="wrn.Summary._2" hidden="1">{"Summary",#N/A,FALSE,"Summary"}</definedName>
    <definedName name="wrtywy" localSheetId="22" hidden="1">{#N/A,#N/A,TRUE,"Task Status";#N/A,#N/A,TRUE,"Document Status";#N/A,#N/A,TRUE,"Percent Complete";#N/A,#N/A,TRUE,"Manhour Sum"}</definedName>
    <definedName name="wrtywy" localSheetId="32" hidden="1">{#N/A,#N/A,TRUE,"Task Status";#N/A,#N/A,TRUE,"Document Status";#N/A,#N/A,TRUE,"Percent Complete";#N/A,#N/A,TRUE,"Manhour Sum"}</definedName>
    <definedName name="wrtywy" hidden="1">{#N/A,#N/A,TRUE,"Task Status";#N/A,#N/A,TRUE,"Document Status";#N/A,#N/A,TRUE,"Percent Complete";#N/A,#N/A,TRUE,"Manhour Sum"}</definedName>
    <definedName name="x" localSheetId="22" hidden="1">{#N/A,#N/A,TRUE,"Task Status";#N/A,#N/A,TRUE,"Document Status";#N/A,#N/A,TRUE,"Percent Complete";#N/A,#N/A,TRUE,"Manhour Sum"}</definedName>
    <definedName name="x" localSheetId="32" hidden="1">{#N/A,#N/A,TRUE,"Task Status";#N/A,#N/A,TRUE,"Document Status";#N/A,#N/A,TRUE,"Percent Complete";#N/A,#N/A,TRUE,"Manhour Sum"}</definedName>
    <definedName name="x" hidden="1">{#N/A,#N/A,TRUE,"Task Status";#N/A,#N/A,TRUE,"Document Status";#N/A,#N/A,TRUE,"Percent Complete";#N/A,#N/A,TRUE,"Manhour Sum"}</definedName>
    <definedName name="xch" localSheetId="22" hidden="1">{#N/A,#N/A,FALSE,"Project Profile";#N/A,#N/A,FALSE,"Basis of Estimate"}</definedName>
    <definedName name="xch" localSheetId="32" hidden="1">{#N/A,#N/A,FALSE,"Project Profile";#N/A,#N/A,FALSE,"Basis of Estimate"}</definedName>
    <definedName name="xch" hidden="1">{#N/A,#N/A,FALSE,"Project Profile";#N/A,#N/A,FALSE,"Basis of Estimate"}</definedName>
    <definedName name="XLOPTvec">"12 14 1 125 1 0 1 1 1 1 1 1 0 0 1 0 0 0 0 0"</definedName>
    <definedName name="xxx" localSheetId="22" hidden="1">{#N/A,#N/A,FALSE,"Sum6 (1)"}</definedName>
    <definedName name="xxx" localSheetId="32" hidden="1">{#N/A,#N/A,FALSE,"Sum6 (1)"}</definedName>
    <definedName name="xxx" hidden="1">{#N/A,#N/A,FALSE,"Sum6 (1)"}</definedName>
    <definedName name="xxxxxxx" localSheetId="22" hidden="1">{#N/A,#N/A,FALSE,"Sum6 (1)"}</definedName>
    <definedName name="xxxxxxx" localSheetId="32" hidden="1">{#N/A,#N/A,FALSE,"Sum6 (1)"}</definedName>
    <definedName name="xxxxxxx" hidden="1">{#N/A,#N/A,FALSE,"Sum6 (1)"}</definedName>
    <definedName name="xxxxxxx_1" localSheetId="22" hidden="1">{#N/A,#N/A,FALSE,"Sum6 (1)"}</definedName>
    <definedName name="xxxxxxx_1" localSheetId="32" hidden="1">{#N/A,#N/A,FALSE,"Sum6 (1)"}</definedName>
    <definedName name="xxxxxxx_1" hidden="1">{#N/A,#N/A,FALSE,"Sum6 (1)"}</definedName>
    <definedName name="xxxxxxx_2" localSheetId="22" hidden="1">{#N/A,#N/A,FALSE,"Sum6 (1)"}</definedName>
    <definedName name="xxxxxxx_2" localSheetId="32" hidden="1">{#N/A,#N/A,FALSE,"Sum6 (1)"}</definedName>
    <definedName name="xxxxxxx_2" hidden="1">{#N/A,#N/A,FALSE,"Sum6 (1)"}</definedName>
    <definedName name="yipkiedyu" localSheetId="22" hidden="1">{#N/A,#N/A,FALSE,"Executive Review Sheet";#N/A,#N/A,FALSE,"Summary of Estimate Components";#N/A,#N/A,FALSE,"Summary of Allowances"}</definedName>
    <definedName name="yipkiedyu" localSheetId="32" hidden="1">{#N/A,#N/A,FALSE,"Executive Review Sheet";#N/A,#N/A,FALSE,"Summary of Estimate Components";#N/A,#N/A,FALSE,"Summary of Allowances"}</definedName>
    <definedName name="yipkiedyu" hidden="1">{#N/A,#N/A,FALSE,"Executive Review Sheet";#N/A,#N/A,FALSE,"Summary of Estimate Components";#N/A,#N/A,FALSE,"Summary of Allowances"}</definedName>
    <definedName name="ypt" localSheetId="22" hidden="1">{#N/A,#N/A,TRUE,"Task Status";#N/A,#N/A,TRUE,"Document Status";#N/A,#N/A,TRUE,"Percent Complete";#N/A,#N/A,TRUE,"Manhour Sum"}</definedName>
    <definedName name="ypt" localSheetId="32" hidden="1">{#N/A,#N/A,TRUE,"Task Status";#N/A,#N/A,TRUE,"Document Status";#N/A,#N/A,TRUE,"Percent Complete";#N/A,#N/A,TRUE,"Manhour Sum"}</definedName>
    <definedName name="ypt" hidden="1">{#N/A,#N/A,TRUE,"Task Status";#N/A,#N/A,TRUE,"Document Status";#N/A,#N/A,TRUE,"Percent Complete";#N/A,#N/A,TRUE,"Manhour Sum"}</definedName>
    <definedName name="yy" localSheetId="22" hidden="1">{#N/A,#N/A,FALSE,"Sum6 (1)"}</definedName>
    <definedName name="yy" localSheetId="32" hidden="1">{#N/A,#N/A,FALSE,"Sum6 (1)"}</definedName>
    <definedName name="yy" hidden="1">{#N/A,#N/A,FALSE,"Sum6 (1)"}</definedName>
    <definedName name="z" localSheetId="22" hidden="1">{#N/A,#N/A,TRUE,"Task Status";#N/A,#N/A,TRUE,"Document Status";#N/A,#N/A,TRUE,"Percent Complete";#N/A,#N/A,TRUE,"Manhour Sum"}</definedName>
    <definedName name="z" localSheetId="32" hidden="1">{#N/A,#N/A,TRUE,"Task Status";#N/A,#N/A,TRUE,"Document Status";#N/A,#N/A,TRUE,"Percent Complete";#N/A,#N/A,TRUE,"Manhour Sum"}</definedName>
    <definedName name="z" hidden="1">{#N/A,#N/A,TRUE,"Task Status";#N/A,#N/A,TRUE,"Document Status";#N/A,#N/A,TRUE,"Percent Complete";#N/A,#N/A,TRUE,"Manhour Sum"}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22" i="22" l="1"/>
  <c r="P22" i="47"/>
  <c r="AR45" i="30" l="1"/>
  <c r="W15" i="22"/>
  <c r="W14" i="22"/>
  <c r="W13" i="22"/>
  <c r="W11" i="22"/>
  <c r="F13" i="47" l="1"/>
  <c r="F12" i="47" s="1"/>
  <c r="G22" i="47"/>
  <c r="F23" i="47" s="1"/>
  <c r="L19" i="47"/>
  <c r="D19" i="47"/>
  <c r="E19" i="47" s="1"/>
  <c r="G694" i="28"/>
  <c r="N97" i="8"/>
  <c r="N96" i="8"/>
  <c r="N95" i="8"/>
  <c r="N94" i="8"/>
  <c r="N93" i="8"/>
  <c r="N92" i="8"/>
  <c r="N91" i="8"/>
  <c r="F11" i="47" l="1"/>
  <c r="D23" i="47"/>
  <c r="E23" i="47"/>
  <c r="G59" i="1"/>
  <c r="G60" i="1"/>
  <c r="C62" i="1"/>
  <c r="DZ199" i="14"/>
  <c r="U84" i="28"/>
  <c r="AR85" i="28"/>
  <c r="AP85" i="28"/>
  <c r="AO85" i="28"/>
  <c r="AM85" i="28"/>
  <c r="AJ85" i="28"/>
  <c r="AG85" i="28"/>
  <c r="AD85" i="28"/>
  <c r="O85" i="28"/>
  <c r="V85" i="28" s="1"/>
  <c r="AL85" i="28" s="1"/>
  <c r="AR88" i="28"/>
  <c r="AP88" i="28"/>
  <c r="AO88" i="28"/>
  <c r="AM88" i="28"/>
  <c r="AN88" i="28" s="1"/>
  <c r="AJ88" i="28"/>
  <c r="AG88" i="28"/>
  <c r="AD88" i="28"/>
  <c r="O88" i="28"/>
  <c r="V88" i="28" s="1"/>
  <c r="AL88" i="28" s="1"/>
  <c r="AR87" i="28"/>
  <c r="AP87" i="28"/>
  <c r="AO87" i="28"/>
  <c r="AM87" i="28"/>
  <c r="AJ87" i="28"/>
  <c r="AG87" i="28"/>
  <c r="AD87" i="28"/>
  <c r="O87" i="28"/>
  <c r="V87" i="28" s="1"/>
  <c r="AL87" i="28" s="1"/>
  <c r="AK87" i="28" s="1"/>
  <c r="AR86" i="28"/>
  <c r="AP86" i="28"/>
  <c r="AO86" i="28"/>
  <c r="AM86" i="28"/>
  <c r="AJ86" i="28"/>
  <c r="AG86" i="28"/>
  <c r="AD86" i="28"/>
  <c r="O86" i="28"/>
  <c r="V86" i="28" s="1"/>
  <c r="AL86" i="28" s="1"/>
  <c r="C86" i="28"/>
  <c r="AP181" i="24"/>
  <c r="AM181" i="24"/>
  <c r="AJ181" i="24"/>
  <c r="AG181" i="24"/>
  <c r="AD181" i="24"/>
  <c r="V181" i="24"/>
  <c r="H181" i="24"/>
  <c r="AO181" i="24" s="1"/>
  <c r="AN181" i="24" s="1"/>
  <c r="C181" i="24"/>
  <c r="B181" i="24"/>
  <c r="AP180" i="24"/>
  <c r="AM180" i="24"/>
  <c r="AJ180" i="24"/>
  <c r="AG180" i="24"/>
  <c r="AD180" i="24"/>
  <c r="V180" i="24"/>
  <c r="C180" i="24"/>
  <c r="B180" i="24"/>
  <c r="AP179" i="24"/>
  <c r="AM179" i="24"/>
  <c r="AJ179" i="24"/>
  <c r="AG179" i="24"/>
  <c r="AD179" i="24"/>
  <c r="V179" i="24"/>
  <c r="C179" i="24"/>
  <c r="B179" i="24"/>
  <c r="AP176" i="24"/>
  <c r="AM176" i="24"/>
  <c r="AJ176" i="24"/>
  <c r="AG176" i="24"/>
  <c r="AD176" i="24"/>
  <c r="O176" i="24"/>
  <c r="V176" i="24" s="1"/>
  <c r="C176" i="24"/>
  <c r="AP175" i="24"/>
  <c r="AM175" i="24"/>
  <c r="AJ175" i="24"/>
  <c r="AG175" i="24"/>
  <c r="AD175" i="24"/>
  <c r="O175" i="24"/>
  <c r="V175" i="24" s="1"/>
  <c r="C175" i="24"/>
  <c r="AP174" i="24"/>
  <c r="AM174" i="24"/>
  <c r="AJ174" i="24"/>
  <c r="AG174" i="24"/>
  <c r="AD174" i="24"/>
  <c r="O174" i="24"/>
  <c r="V174" i="24" s="1"/>
  <c r="C174" i="24"/>
  <c r="AP178" i="24"/>
  <c r="AM178" i="24"/>
  <c r="AJ178" i="24"/>
  <c r="AG178" i="24"/>
  <c r="AD178" i="24"/>
  <c r="V178" i="24"/>
  <c r="C178" i="24"/>
  <c r="AK88" i="28" l="1"/>
  <c r="G23" i="47"/>
  <c r="F15" i="47"/>
  <c r="C11" i="47"/>
  <c r="C24" i="47" s="1"/>
  <c r="AN86" i="28"/>
  <c r="AR181" i="24"/>
  <c r="AQ181" i="24" s="1"/>
  <c r="AL181" i="24"/>
  <c r="AK181" i="24" s="1"/>
  <c r="AF181" i="24"/>
  <c r="AE181" i="24" s="1"/>
  <c r="AF88" i="28"/>
  <c r="AE88" i="28" s="1"/>
  <c r="AN87" i="28"/>
  <c r="AN85" i="28"/>
  <c r="AK85" i="28"/>
  <c r="AF85" i="28"/>
  <c r="AE85" i="28" s="1"/>
  <c r="AQ85" i="28"/>
  <c r="AQ88" i="28"/>
  <c r="AF87" i="28"/>
  <c r="AE87" i="28" s="1"/>
  <c r="AQ87" i="28"/>
  <c r="AK86" i="28"/>
  <c r="AF86" i="28"/>
  <c r="AE86" i="28" s="1"/>
  <c r="AQ86" i="28"/>
  <c r="C421" i="28"/>
  <c r="C420" i="28"/>
  <c r="C419" i="28"/>
  <c r="C418" i="28"/>
  <c r="C417" i="28"/>
  <c r="AR418" i="28"/>
  <c r="AP418" i="28"/>
  <c r="AO418" i="28"/>
  <c r="AM418" i="28"/>
  <c r="AJ418" i="28"/>
  <c r="AG418" i="28"/>
  <c r="AD418" i="28"/>
  <c r="O418" i="28"/>
  <c r="V418" i="28" s="1"/>
  <c r="AL418" i="28" s="1"/>
  <c r="AR419" i="28"/>
  <c r="AP419" i="28"/>
  <c r="AO419" i="28"/>
  <c r="AM419" i="28"/>
  <c r="AJ419" i="28"/>
  <c r="AG419" i="28"/>
  <c r="AD419" i="28"/>
  <c r="O419" i="28"/>
  <c r="AF419" i="28" s="1"/>
  <c r="AR415" i="28"/>
  <c r="AP415" i="28"/>
  <c r="AO415" i="28"/>
  <c r="AM415" i="28"/>
  <c r="AJ415" i="28"/>
  <c r="AI415" i="28"/>
  <c r="AG415" i="28"/>
  <c r="AD415" i="28"/>
  <c r="O415" i="28"/>
  <c r="AF415" i="28" s="1"/>
  <c r="C415" i="28"/>
  <c r="AR411" i="28"/>
  <c r="AP411" i="28"/>
  <c r="AO411" i="28"/>
  <c r="AM411" i="28"/>
  <c r="AJ411" i="28"/>
  <c r="AG411" i="28"/>
  <c r="AD411" i="28"/>
  <c r="O411" i="28"/>
  <c r="AF411" i="28" s="1"/>
  <c r="C411" i="28"/>
  <c r="C412" i="28"/>
  <c r="O412" i="28"/>
  <c r="AD412" i="28"/>
  <c r="AG412" i="28"/>
  <c r="AJ412" i="28"/>
  <c r="AM412" i="28"/>
  <c r="AO412" i="28"/>
  <c r="AP412" i="28"/>
  <c r="AR412" i="28"/>
  <c r="AR410" i="28"/>
  <c r="AP410" i="28"/>
  <c r="AO410" i="28"/>
  <c r="AM410" i="28"/>
  <c r="AJ410" i="28"/>
  <c r="AG410" i="28"/>
  <c r="AD410" i="28"/>
  <c r="O410" i="28"/>
  <c r="V410" i="28" s="1"/>
  <c r="AL410" i="28" s="1"/>
  <c r="C410" i="28"/>
  <c r="AR409" i="28"/>
  <c r="AP409" i="28"/>
  <c r="AO409" i="28"/>
  <c r="AM409" i="28"/>
  <c r="AJ409" i="28"/>
  <c r="AG409" i="28"/>
  <c r="AD409" i="28"/>
  <c r="O409" i="28"/>
  <c r="AF409" i="28" s="1"/>
  <c r="C409" i="28"/>
  <c r="AR370" i="28"/>
  <c r="AP370" i="28"/>
  <c r="AO370" i="28"/>
  <c r="AM370" i="28"/>
  <c r="AJ370" i="28"/>
  <c r="AG370" i="28"/>
  <c r="AD370" i="28"/>
  <c r="O370" i="28"/>
  <c r="V370" i="28" s="1"/>
  <c r="C370" i="28"/>
  <c r="AO83" i="28"/>
  <c r="AR82" i="28"/>
  <c r="AR90" i="28"/>
  <c r="AP90" i="28"/>
  <c r="AO90" i="28"/>
  <c r="AM90" i="28"/>
  <c r="AJ90" i="28"/>
  <c r="AG90" i="28"/>
  <c r="AD90" i="28"/>
  <c r="O90" i="28"/>
  <c r="O82" i="28"/>
  <c r="U83" i="28"/>
  <c r="U82" i="28"/>
  <c r="AR83" i="28"/>
  <c r="AP83" i="28"/>
  <c r="AM83" i="28"/>
  <c r="AJ83" i="28"/>
  <c r="AG83" i="28"/>
  <c r="AD83" i="28"/>
  <c r="O83" i="28"/>
  <c r="AF83" i="28" s="1"/>
  <c r="C83" i="28"/>
  <c r="U81" i="28"/>
  <c r="AP82" i="28"/>
  <c r="AM82" i="28"/>
  <c r="AJ82" i="28"/>
  <c r="AG82" i="28"/>
  <c r="AD82" i="28"/>
  <c r="C82" i="28"/>
  <c r="W95" i="8"/>
  <c r="W93" i="8"/>
  <c r="W91" i="8"/>
  <c r="W92" i="8"/>
  <c r="W97" i="8"/>
  <c r="W96" i="8"/>
  <c r="W94" i="8"/>
  <c r="AP152" i="28"/>
  <c r="AM152" i="28"/>
  <c r="AJ152" i="28"/>
  <c r="AG152" i="28"/>
  <c r="AD152" i="28"/>
  <c r="W152" i="28"/>
  <c r="O152" i="28"/>
  <c r="V152" i="28" s="1"/>
  <c r="H152" i="28"/>
  <c r="AR152" i="28" s="1"/>
  <c r="C152" i="28"/>
  <c r="C151" i="28"/>
  <c r="H151" i="28"/>
  <c r="O151" i="28"/>
  <c r="V151" i="28" s="1"/>
  <c r="W151" i="28"/>
  <c r="AD151" i="28"/>
  <c r="AG151" i="28"/>
  <c r="AJ151" i="28"/>
  <c r="AM151" i="28"/>
  <c r="AP151" i="28"/>
  <c r="D24" i="7"/>
  <c r="S24" i="7" s="1"/>
  <c r="DZ24" i="14"/>
  <c r="CO24" i="14"/>
  <c r="CJ24" i="14"/>
  <c r="L24" i="14"/>
  <c r="CT24" i="14" s="1"/>
  <c r="K24" i="14"/>
  <c r="AR24" i="14" s="1"/>
  <c r="J24" i="14"/>
  <c r="I24" i="14"/>
  <c r="G24" i="14"/>
  <c r="B24" i="7" s="1"/>
  <c r="DZ83" i="14"/>
  <c r="CO83" i="14"/>
  <c r="CJ83" i="14"/>
  <c r="I83" i="14"/>
  <c r="AO83" i="14"/>
  <c r="AL83" i="14"/>
  <c r="AI83" i="14"/>
  <c r="AF83" i="14"/>
  <c r="AC83" i="14"/>
  <c r="Z83" i="14"/>
  <c r="W83" i="14"/>
  <c r="T83" i="14"/>
  <c r="Q83" i="14"/>
  <c r="N83" i="14"/>
  <c r="L83" i="14"/>
  <c r="CT83" i="14" s="1"/>
  <c r="K83" i="14"/>
  <c r="G83" i="14"/>
  <c r="B83" i="7" s="1"/>
  <c r="M133" i="15"/>
  <c r="M132" i="15"/>
  <c r="M131" i="15"/>
  <c r="M130" i="15"/>
  <c r="M129" i="15"/>
  <c r="M128" i="15"/>
  <c r="M127" i="15"/>
  <c r="M126" i="15"/>
  <c r="M125" i="15"/>
  <c r="M124" i="15"/>
  <c r="M123" i="15"/>
  <c r="M122" i="15"/>
  <c r="M121" i="15"/>
  <c r="M120" i="15"/>
  <c r="M119" i="15"/>
  <c r="M118" i="15"/>
  <c r="M117" i="15"/>
  <c r="M116" i="15"/>
  <c r="M115" i="15"/>
  <c r="M114" i="15"/>
  <c r="M113" i="15"/>
  <c r="M112" i="15"/>
  <c r="M111" i="15"/>
  <c r="M110" i="15"/>
  <c r="M109" i="15"/>
  <c r="M108" i="15"/>
  <c r="M107" i="15"/>
  <c r="D47" i="15"/>
  <c r="H184" i="27"/>
  <c r="H183" i="27"/>
  <c r="H182" i="27"/>
  <c r="H181" i="27"/>
  <c r="H180" i="27"/>
  <c r="H179" i="27"/>
  <c r="H178" i="27"/>
  <c r="H177" i="27"/>
  <c r="H176" i="27"/>
  <c r="H175" i="27"/>
  <c r="H174" i="27"/>
  <c r="H173" i="27"/>
  <c r="H172" i="27"/>
  <c r="H171" i="27"/>
  <c r="H170" i="27"/>
  <c r="H169" i="27"/>
  <c r="H168" i="27"/>
  <c r="H167" i="27"/>
  <c r="H166" i="27"/>
  <c r="H165" i="27"/>
  <c r="H164" i="27"/>
  <c r="H163" i="27"/>
  <c r="H162" i="27"/>
  <c r="H161" i="27"/>
  <c r="H160" i="27"/>
  <c r="H159" i="27"/>
  <c r="H158" i="27"/>
  <c r="H157" i="27"/>
  <c r="H156" i="27"/>
  <c r="H155" i="27"/>
  <c r="H154" i="27"/>
  <c r="H153" i="27"/>
  <c r="H152" i="27"/>
  <c r="H151" i="27"/>
  <c r="H150" i="27"/>
  <c r="H149" i="27"/>
  <c r="H148" i="27"/>
  <c r="H147" i="27"/>
  <c r="H146" i="27"/>
  <c r="H145" i="27"/>
  <c r="H144" i="27"/>
  <c r="H143" i="27"/>
  <c r="H142" i="27"/>
  <c r="H141" i="27"/>
  <c r="H140" i="27"/>
  <c r="H139" i="27"/>
  <c r="H138" i="27"/>
  <c r="H137" i="27"/>
  <c r="H136" i="27"/>
  <c r="H135" i="27"/>
  <c r="H134" i="27"/>
  <c r="H133" i="27"/>
  <c r="H132" i="27"/>
  <c r="H131" i="27"/>
  <c r="H130" i="27"/>
  <c r="H129" i="27"/>
  <c r="H125" i="27"/>
  <c r="H124" i="27"/>
  <c r="H123" i="27"/>
  <c r="H122" i="27"/>
  <c r="H121" i="27"/>
  <c r="H120" i="27"/>
  <c r="H119" i="27"/>
  <c r="H118" i="27"/>
  <c r="H117" i="27"/>
  <c r="H116" i="27"/>
  <c r="H115" i="27"/>
  <c r="H114" i="27"/>
  <c r="H113" i="27"/>
  <c r="H112" i="27"/>
  <c r="H111" i="27"/>
  <c r="H110" i="27"/>
  <c r="H109" i="27"/>
  <c r="H108" i="27"/>
  <c r="H107" i="27"/>
  <c r="H106" i="27"/>
  <c r="H105" i="27"/>
  <c r="H104" i="27"/>
  <c r="H103" i="27"/>
  <c r="H102" i="27"/>
  <c r="H101" i="27"/>
  <c r="H100" i="27"/>
  <c r="H99" i="27"/>
  <c r="H98" i="27"/>
  <c r="H97" i="27"/>
  <c r="H96" i="27"/>
  <c r="H95" i="27"/>
  <c r="H94" i="27"/>
  <c r="H93" i="27"/>
  <c r="H92" i="27"/>
  <c r="H91" i="27"/>
  <c r="H90" i="27"/>
  <c r="H89" i="27"/>
  <c r="H88" i="27"/>
  <c r="H87" i="27"/>
  <c r="H86" i="27"/>
  <c r="C184" i="27"/>
  <c r="C183" i="27"/>
  <c r="C182" i="27"/>
  <c r="C181" i="27"/>
  <c r="C180" i="27"/>
  <c r="C179" i="27"/>
  <c r="C178" i="27"/>
  <c r="C177" i="27"/>
  <c r="C176" i="27"/>
  <c r="C175" i="27"/>
  <c r="C174" i="27"/>
  <c r="C173" i="27"/>
  <c r="C172" i="27"/>
  <c r="C171" i="27"/>
  <c r="C170" i="27"/>
  <c r="C169" i="27"/>
  <c r="C168" i="27"/>
  <c r="C167" i="27"/>
  <c r="C166" i="27"/>
  <c r="C165" i="27"/>
  <c r="C164" i="27"/>
  <c r="C163" i="27"/>
  <c r="C162" i="27"/>
  <c r="C161" i="27"/>
  <c r="C160" i="27"/>
  <c r="C159" i="27"/>
  <c r="C158" i="27"/>
  <c r="C157" i="27"/>
  <c r="C156" i="27"/>
  <c r="C155" i="27"/>
  <c r="C154" i="27"/>
  <c r="C153" i="27"/>
  <c r="C152" i="27"/>
  <c r="C151" i="27"/>
  <c r="C150" i="27"/>
  <c r="C149" i="27"/>
  <c r="C148" i="27"/>
  <c r="C147" i="27"/>
  <c r="C146" i="27"/>
  <c r="C145" i="27"/>
  <c r="C144" i="27"/>
  <c r="C143" i="27"/>
  <c r="C142" i="27"/>
  <c r="C141" i="27"/>
  <c r="C140" i="27"/>
  <c r="C139" i="27"/>
  <c r="C138" i="27"/>
  <c r="C137" i="27"/>
  <c r="C136" i="27"/>
  <c r="C135" i="27"/>
  <c r="C134" i="27"/>
  <c r="C133" i="27"/>
  <c r="C132" i="27"/>
  <c r="C131" i="27"/>
  <c r="C130" i="27"/>
  <c r="C129"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H184" i="26"/>
  <c r="H183" i="26"/>
  <c r="H182" i="26"/>
  <c r="H181" i="26"/>
  <c r="H180" i="26"/>
  <c r="H179" i="26"/>
  <c r="H178" i="26"/>
  <c r="H177" i="26"/>
  <c r="H176" i="26"/>
  <c r="H175" i="26"/>
  <c r="H174" i="26"/>
  <c r="H173" i="26"/>
  <c r="H172" i="26"/>
  <c r="H171" i="26"/>
  <c r="H170" i="26"/>
  <c r="H169" i="26"/>
  <c r="H168" i="26"/>
  <c r="H167" i="26"/>
  <c r="H166" i="26"/>
  <c r="H165" i="26"/>
  <c r="H164" i="26"/>
  <c r="H163" i="26"/>
  <c r="H162" i="26"/>
  <c r="H161" i="26"/>
  <c r="H160" i="26"/>
  <c r="H159" i="26"/>
  <c r="H158" i="26"/>
  <c r="H157" i="26"/>
  <c r="H156" i="26"/>
  <c r="H155" i="26"/>
  <c r="H154" i="26"/>
  <c r="H153" i="26"/>
  <c r="H152" i="26"/>
  <c r="H151" i="26"/>
  <c r="H150" i="26"/>
  <c r="H149" i="26"/>
  <c r="H148" i="26"/>
  <c r="H147" i="26"/>
  <c r="H146" i="26"/>
  <c r="H145" i="26"/>
  <c r="H144" i="26"/>
  <c r="H143" i="26"/>
  <c r="H142" i="26"/>
  <c r="H141" i="26"/>
  <c r="H140" i="26"/>
  <c r="H139" i="26"/>
  <c r="H138" i="26"/>
  <c r="H137" i="26"/>
  <c r="H136" i="26"/>
  <c r="H135" i="26"/>
  <c r="H134" i="26"/>
  <c r="H133" i="26"/>
  <c r="H132" i="26"/>
  <c r="H131" i="26"/>
  <c r="H130" i="26"/>
  <c r="H129" i="26"/>
  <c r="H125" i="26"/>
  <c r="H124" i="26"/>
  <c r="H123" i="26"/>
  <c r="H122" i="26"/>
  <c r="H121" i="26"/>
  <c r="H120" i="26"/>
  <c r="H119" i="26"/>
  <c r="H118" i="26"/>
  <c r="H117" i="26"/>
  <c r="H116" i="26"/>
  <c r="H115" i="26"/>
  <c r="H114" i="26"/>
  <c r="H113" i="26"/>
  <c r="H112" i="26"/>
  <c r="H111" i="26"/>
  <c r="H110" i="26"/>
  <c r="H109" i="26"/>
  <c r="H108" i="26"/>
  <c r="H107" i="26"/>
  <c r="H106" i="26"/>
  <c r="H105" i="26"/>
  <c r="H104" i="26"/>
  <c r="H103" i="26"/>
  <c r="H102" i="26"/>
  <c r="H101" i="26"/>
  <c r="H100" i="26"/>
  <c r="H99" i="26"/>
  <c r="H98" i="26"/>
  <c r="H97" i="26"/>
  <c r="H96" i="26"/>
  <c r="H95" i="26"/>
  <c r="H94" i="26"/>
  <c r="H93" i="26"/>
  <c r="H92" i="26"/>
  <c r="H91" i="26"/>
  <c r="H90" i="26"/>
  <c r="H89" i="26"/>
  <c r="H88" i="26"/>
  <c r="H87" i="26"/>
  <c r="H86" i="26"/>
  <c r="C184" i="26"/>
  <c r="C183" i="26"/>
  <c r="C182" i="26"/>
  <c r="C181" i="26"/>
  <c r="C180" i="26"/>
  <c r="C179" i="26"/>
  <c r="C178" i="26"/>
  <c r="C177" i="26"/>
  <c r="C176" i="26"/>
  <c r="C175" i="26"/>
  <c r="C174" i="26"/>
  <c r="C173" i="26"/>
  <c r="C172" i="26"/>
  <c r="C171" i="26"/>
  <c r="C170" i="26"/>
  <c r="C169" i="26"/>
  <c r="C168" i="26"/>
  <c r="C167" i="26"/>
  <c r="C166" i="26"/>
  <c r="C165" i="26"/>
  <c r="C164" i="26"/>
  <c r="C163" i="26"/>
  <c r="C162" i="26"/>
  <c r="C161" i="26"/>
  <c r="C160" i="26"/>
  <c r="C159" i="26"/>
  <c r="C158" i="26"/>
  <c r="C157" i="26"/>
  <c r="C156" i="26"/>
  <c r="C155" i="26"/>
  <c r="C154" i="26"/>
  <c r="C153" i="26"/>
  <c r="C152" i="26"/>
  <c r="C151" i="26"/>
  <c r="C150" i="26"/>
  <c r="C149" i="26"/>
  <c r="C148" i="26"/>
  <c r="C147" i="26"/>
  <c r="C146" i="26"/>
  <c r="C145" i="26"/>
  <c r="C144" i="26"/>
  <c r="C143" i="26"/>
  <c r="C142" i="26"/>
  <c r="C141" i="26"/>
  <c r="C140" i="26"/>
  <c r="C139" i="26"/>
  <c r="C138" i="26"/>
  <c r="C137" i="26"/>
  <c r="C136" i="26"/>
  <c r="C135" i="26"/>
  <c r="C134" i="26"/>
  <c r="C133" i="26"/>
  <c r="C132" i="26"/>
  <c r="C131" i="26"/>
  <c r="C130" i="26"/>
  <c r="C129"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H181" i="25"/>
  <c r="H180" i="25"/>
  <c r="H179" i="25"/>
  <c r="H178" i="25"/>
  <c r="H177" i="25"/>
  <c r="H176" i="25"/>
  <c r="H175" i="25"/>
  <c r="H174" i="25"/>
  <c r="H173" i="25"/>
  <c r="H172" i="25"/>
  <c r="H171" i="25"/>
  <c r="H170" i="25"/>
  <c r="H169" i="25"/>
  <c r="H168" i="25"/>
  <c r="H167" i="25"/>
  <c r="H166" i="25"/>
  <c r="H165" i="25"/>
  <c r="H164" i="25"/>
  <c r="H163" i="25"/>
  <c r="H162" i="25"/>
  <c r="H161" i="25"/>
  <c r="H160" i="25"/>
  <c r="H159" i="25"/>
  <c r="H158" i="25"/>
  <c r="H157" i="25"/>
  <c r="H156" i="25"/>
  <c r="H155" i="25"/>
  <c r="H154" i="25"/>
  <c r="H153" i="25"/>
  <c r="H152" i="25"/>
  <c r="H151" i="25"/>
  <c r="H150" i="25"/>
  <c r="H149" i="25"/>
  <c r="H148" i="25"/>
  <c r="H147" i="25"/>
  <c r="H146" i="25"/>
  <c r="H145" i="25"/>
  <c r="H144" i="25"/>
  <c r="H143" i="25"/>
  <c r="H142" i="25"/>
  <c r="H141" i="25"/>
  <c r="H140" i="25"/>
  <c r="H139" i="25"/>
  <c r="H138" i="25"/>
  <c r="H137" i="25"/>
  <c r="H136" i="25"/>
  <c r="H135" i="25"/>
  <c r="H134" i="25"/>
  <c r="H133" i="25"/>
  <c r="H132" i="25"/>
  <c r="H131" i="25"/>
  <c r="H130" i="25"/>
  <c r="H129" i="25"/>
  <c r="H128" i="25"/>
  <c r="H127" i="25"/>
  <c r="H126" i="25"/>
  <c r="H122" i="25"/>
  <c r="H121" i="25"/>
  <c r="H120" i="25"/>
  <c r="H119" i="25"/>
  <c r="H118" i="25"/>
  <c r="H117" i="25"/>
  <c r="H116" i="25"/>
  <c r="H115" i="25"/>
  <c r="H114" i="25"/>
  <c r="H113" i="25"/>
  <c r="H112" i="25"/>
  <c r="H111" i="25"/>
  <c r="H110" i="25"/>
  <c r="H109" i="25"/>
  <c r="H108" i="25"/>
  <c r="H107" i="25"/>
  <c r="H106" i="25"/>
  <c r="H105" i="25"/>
  <c r="H104" i="25"/>
  <c r="H103" i="25"/>
  <c r="H102" i="25"/>
  <c r="H101" i="25"/>
  <c r="H100" i="25"/>
  <c r="H99" i="25"/>
  <c r="H98" i="25"/>
  <c r="H97" i="25"/>
  <c r="H96" i="25"/>
  <c r="H95" i="25"/>
  <c r="H94" i="25"/>
  <c r="H93" i="25"/>
  <c r="H92" i="25"/>
  <c r="H91" i="25"/>
  <c r="H90" i="25"/>
  <c r="H89" i="25"/>
  <c r="H88" i="25"/>
  <c r="H87" i="25"/>
  <c r="H86" i="25"/>
  <c r="H85" i="25"/>
  <c r="H84" i="25"/>
  <c r="H83" i="25"/>
  <c r="C181" i="25"/>
  <c r="C180" i="25"/>
  <c r="C179" i="25"/>
  <c r="C178" i="25"/>
  <c r="C177" i="25"/>
  <c r="C176" i="25"/>
  <c r="C175" i="25"/>
  <c r="C174" i="25"/>
  <c r="C173" i="25"/>
  <c r="C172" i="25"/>
  <c r="C171" i="25"/>
  <c r="C170" i="25"/>
  <c r="C169" i="25"/>
  <c r="C168" i="25"/>
  <c r="C167" i="25"/>
  <c r="C166" i="25"/>
  <c r="C165" i="25"/>
  <c r="C164" i="25"/>
  <c r="C163" i="25"/>
  <c r="C162" i="25"/>
  <c r="C161" i="25"/>
  <c r="C160" i="25"/>
  <c r="C159" i="25"/>
  <c r="C158" i="25"/>
  <c r="C157" i="25"/>
  <c r="C156" i="25"/>
  <c r="C155" i="25"/>
  <c r="C154" i="25"/>
  <c r="C153" i="25"/>
  <c r="C152" i="25"/>
  <c r="C151" i="25"/>
  <c r="C150" i="25"/>
  <c r="C149" i="25"/>
  <c r="C148" i="25"/>
  <c r="C147" i="25"/>
  <c r="C146" i="25"/>
  <c r="C145" i="25"/>
  <c r="C144" i="25"/>
  <c r="C143" i="25"/>
  <c r="C142" i="25"/>
  <c r="C141" i="25"/>
  <c r="C140" i="25"/>
  <c r="C139" i="25"/>
  <c r="C138" i="25"/>
  <c r="C137" i="25"/>
  <c r="C136" i="25"/>
  <c r="C135" i="25"/>
  <c r="C134" i="25"/>
  <c r="C133" i="25"/>
  <c r="C132" i="25"/>
  <c r="C131" i="25"/>
  <c r="C130" i="25"/>
  <c r="C129" i="25"/>
  <c r="C128" i="25"/>
  <c r="C127" i="25"/>
  <c r="C126"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255" i="22"/>
  <c r="C254" i="22"/>
  <c r="C253" i="22"/>
  <c r="C252" i="22"/>
  <c r="C251" i="22"/>
  <c r="C250" i="22"/>
  <c r="C249" i="22"/>
  <c r="C248" i="22"/>
  <c r="C247" i="22"/>
  <c r="C246" i="22"/>
  <c r="C245" i="22"/>
  <c r="C244" i="22"/>
  <c r="C243" i="22"/>
  <c r="C242" i="22"/>
  <c r="C241" i="22"/>
  <c r="C240" i="22"/>
  <c r="C239" i="22"/>
  <c r="C238" i="22"/>
  <c r="C237" i="22"/>
  <c r="C236" i="22"/>
  <c r="C235" i="22"/>
  <c r="C234" i="22"/>
  <c r="C233" i="22"/>
  <c r="C232" i="22"/>
  <c r="C231" i="22"/>
  <c r="C230" i="22"/>
  <c r="C229" i="22"/>
  <c r="C228" i="22"/>
  <c r="C227" i="22"/>
  <c r="C226" i="22"/>
  <c r="C225" i="22"/>
  <c r="C224" i="22"/>
  <c r="C223" i="22"/>
  <c r="C222" i="22"/>
  <c r="C221" i="22"/>
  <c r="C220" i="22"/>
  <c r="C219" i="22"/>
  <c r="C218" i="22"/>
  <c r="C217" i="22"/>
  <c r="C216" i="22"/>
  <c r="C215" i="22"/>
  <c r="C214" i="22"/>
  <c r="C213" i="22"/>
  <c r="C212" i="22"/>
  <c r="C211" i="22"/>
  <c r="C210" i="22"/>
  <c r="C209" i="22"/>
  <c r="C208" i="22"/>
  <c r="C207" i="22"/>
  <c r="C206" i="22"/>
  <c r="C205" i="22"/>
  <c r="C204" i="22"/>
  <c r="C203" i="22"/>
  <c r="C202" i="22"/>
  <c r="C201" i="22"/>
  <c r="C200" i="22"/>
  <c r="C196" i="22"/>
  <c r="C195" i="22"/>
  <c r="C194" i="22"/>
  <c r="C193" i="22"/>
  <c r="C192" i="22"/>
  <c r="C191" i="22"/>
  <c r="C190" i="22"/>
  <c r="C189" i="22"/>
  <c r="C188" i="22"/>
  <c r="C187" i="22"/>
  <c r="C186" i="22"/>
  <c r="C185" i="22"/>
  <c r="C184" i="22"/>
  <c r="C183" i="22"/>
  <c r="C182" i="22"/>
  <c r="C181" i="22"/>
  <c r="C180" i="22"/>
  <c r="C179" i="22"/>
  <c r="C178" i="22"/>
  <c r="C177" i="22"/>
  <c r="C176" i="22"/>
  <c r="C175" i="22"/>
  <c r="C174" i="22"/>
  <c r="C173" i="22"/>
  <c r="C172" i="22"/>
  <c r="C171" i="22"/>
  <c r="C170" i="22"/>
  <c r="C169" i="22"/>
  <c r="C168" i="22"/>
  <c r="C167" i="22"/>
  <c r="C166" i="22"/>
  <c r="C165" i="22"/>
  <c r="C164" i="22"/>
  <c r="C163" i="22"/>
  <c r="C162" i="22"/>
  <c r="C161" i="22"/>
  <c r="C160" i="22"/>
  <c r="C159" i="22"/>
  <c r="C158" i="22"/>
  <c r="C157" i="22"/>
  <c r="C152" i="22"/>
  <c r="C151" i="22"/>
  <c r="C150" i="22"/>
  <c r="C149" i="22"/>
  <c r="C148" i="22"/>
  <c r="C147" i="22"/>
  <c r="C146" i="22"/>
  <c r="C145" i="22"/>
  <c r="C144" i="22"/>
  <c r="C143" i="22"/>
  <c r="C142" i="22"/>
  <c r="C141" i="22"/>
  <c r="C140" i="22"/>
  <c r="C139" i="22"/>
  <c r="C138" i="22"/>
  <c r="C137" i="22"/>
  <c r="C136" i="22"/>
  <c r="C135" i="22"/>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H255" i="29"/>
  <c r="H254" i="29"/>
  <c r="H253" i="29"/>
  <c r="H252" i="29"/>
  <c r="H251" i="29"/>
  <c r="H250" i="29"/>
  <c r="H249" i="29"/>
  <c r="H248" i="29"/>
  <c r="H247" i="29"/>
  <c r="H246" i="29"/>
  <c r="H245" i="29"/>
  <c r="H244" i="29"/>
  <c r="H243" i="29"/>
  <c r="H242" i="29"/>
  <c r="H241" i="29"/>
  <c r="H240" i="29"/>
  <c r="H239" i="29"/>
  <c r="H238" i="29"/>
  <c r="H237" i="29"/>
  <c r="H236" i="29"/>
  <c r="H235" i="29"/>
  <c r="H234" i="29"/>
  <c r="H233" i="29"/>
  <c r="H232" i="29"/>
  <c r="H231" i="29"/>
  <c r="H230" i="29"/>
  <c r="H229" i="29"/>
  <c r="H228" i="29"/>
  <c r="H227" i="29"/>
  <c r="H226" i="29"/>
  <c r="H225" i="29"/>
  <c r="H224" i="29"/>
  <c r="H223" i="29"/>
  <c r="H222" i="29"/>
  <c r="H221" i="29"/>
  <c r="H220" i="29"/>
  <c r="H219" i="29"/>
  <c r="H218" i="29"/>
  <c r="H217" i="29"/>
  <c r="H216" i="29"/>
  <c r="H215" i="29"/>
  <c r="H214" i="29"/>
  <c r="H213" i="29"/>
  <c r="H212" i="29"/>
  <c r="H211" i="29"/>
  <c r="H210" i="29"/>
  <c r="H209" i="29"/>
  <c r="H208" i="29"/>
  <c r="H207" i="29"/>
  <c r="H206" i="29"/>
  <c r="H205" i="29"/>
  <c r="H204" i="29"/>
  <c r="H203" i="29"/>
  <c r="H202" i="29"/>
  <c r="H201" i="29"/>
  <c r="H200" i="29"/>
  <c r="H196" i="29"/>
  <c r="H195" i="29"/>
  <c r="H194" i="29"/>
  <c r="H193" i="29"/>
  <c r="H192" i="29"/>
  <c r="H191" i="29"/>
  <c r="H190" i="29"/>
  <c r="H189" i="29"/>
  <c r="H188" i="29"/>
  <c r="H187" i="29"/>
  <c r="H186" i="29"/>
  <c r="H185" i="29"/>
  <c r="H184" i="29"/>
  <c r="H183" i="29"/>
  <c r="H182" i="29"/>
  <c r="H181" i="29"/>
  <c r="H180" i="29"/>
  <c r="H179" i="29"/>
  <c r="H178" i="29"/>
  <c r="H177" i="29"/>
  <c r="H176" i="29"/>
  <c r="H175" i="29"/>
  <c r="H174" i="29"/>
  <c r="H173" i="29"/>
  <c r="H172" i="29"/>
  <c r="H171" i="29"/>
  <c r="H170" i="29"/>
  <c r="H169" i="29"/>
  <c r="H168" i="29"/>
  <c r="H167" i="29"/>
  <c r="H166" i="29"/>
  <c r="H165" i="29"/>
  <c r="H164" i="29"/>
  <c r="H163" i="29"/>
  <c r="H162" i="29"/>
  <c r="H161" i="29"/>
  <c r="H160" i="29"/>
  <c r="H159" i="29"/>
  <c r="H158" i="29"/>
  <c r="H157"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C620" i="28"/>
  <c r="C619" i="28"/>
  <c r="C618" i="28"/>
  <c r="C617" i="28"/>
  <c r="C616" i="28"/>
  <c r="C615" i="28"/>
  <c r="C614" i="28"/>
  <c r="C613" i="28"/>
  <c r="C612" i="28"/>
  <c r="C611" i="28"/>
  <c r="C610" i="28"/>
  <c r="C609" i="28"/>
  <c r="C608" i="28"/>
  <c r="C607" i="28"/>
  <c r="C606" i="28"/>
  <c r="C605" i="28"/>
  <c r="C604" i="28"/>
  <c r="C603" i="28"/>
  <c r="C602" i="28"/>
  <c r="C601" i="28"/>
  <c r="C600" i="28"/>
  <c r="C599" i="28"/>
  <c r="C598" i="28"/>
  <c r="C597" i="28"/>
  <c r="C596" i="28"/>
  <c r="C595" i="28"/>
  <c r="C594" i="28"/>
  <c r="C593" i="28"/>
  <c r="C592" i="28"/>
  <c r="C591" i="28"/>
  <c r="C590" i="28"/>
  <c r="C589" i="28"/>
  <c r="C588" i="28"/>
  <c r="C587" i="28"/>
  <c r="C586" i="28"/>
  <c r="C585" i="28"/>
  <c r="C584" i="28"/>
  <c r="C583" i="28"/>
  <c r="C582" i="28"/>
  <c r="C581" i="28"/>
  <c r="C580" i="28"/>
  <c r="C579" i="28"/>
  <c r="C578" i="28"/>
  <c r="C577" i="28"/>
  <c r="C576" i="28"/>
  <c r="C575" i="28"/>
  <c r="C574" i="28"/>
  <c r="C573" i="28"/>
  <c r="C572" i="28"/>
  <c r="C571" i="28"/>
  <c r="C570" i="28"/>
  <c r="C569" i="28"/>
  <c r="C568" i="28"/>
  <c r="C567" i="28"/>
  <c r="C566" i="28"/>
  <c r="C565" i="28"/>
  <c r="C564" i="28"/>
  <c r="C563" i="28"/>
  <c r="C562" i="28"/>
  <c r="C561" i="28"/>
  <c r="C560" i="28"/>
  <c r="C559" i="28"/>
  <c r="C558" i="28"/>
  <c r="C557" i="28"/>
  <c r="C556" i="28"/>
  <c r="C555" i="28"/>
  <c r="C554" i="28"/>
  <c r="C553" i="28"/>
  <c r="C552" i="28"/>
  <c r="C551" i="28"/>
  <c r="C550" i="28"/>
  <c r="C549" i="28"/>
  <c r="C548" i="28"/>
  <c r="C547" i="28"/>
  <c r="C546" i="28"/>
  <c r="C545" i="28"/>
  <c r="C544" i="28"/>
  <c r="C543" i="28"/>
  <c r="C542" i="28"/>
  <c r="C541" i="28"/>
  <c r="C540" i="28"/>
  <c r="C539" i="28"/>
  <c r="C538" i="28"/>
  <c r="C537" i="28"/>
  <c r="C536" i="28"/>
  <c r="C535" i="28"/>
  <c r="C534" i="28"/>
  <c r="C533" i="28"/>
  <c r="C532" i="28"/>
  <c r="C531" i="28"/>
  <c r="C530" i="28"/>
  <c r="C529" i="28"/>
  <c r="C528" i="28"/>
  <c r="C527" i="28"/>
  <c r="C526" i="28"/>
  <c r="C525" i="28"/>
  <c r="C524" i="28"/>
  <c r="C523" i="28"/>
  <c r="C522" i="28"/>
  <c r="C521" i="28"/>
  <c r="C520" i="28"/>
  <c r="C519" i="28"/>
  <c r="C518" i="28"/>
  <c r="C517" i="28"/>
  <c r="C516" i="28"/>
  <c r="C515" i="28"/>
  <c r="C514" i="28"/>
  <c r="C513" i="28"/>
  <c r="C512" i="28"/>
  <c r="C511" i="28"/>
  <c r="C510" i="28"/>
  <c r="C509" i="28"/>
  <c r="C508" i="28"/>
  <c r="C507" i="28"/>
  <c r="C506" i="28"/>
  <c r="C505" i="28"/>
  <c r="C504" i="28"/>
  <c r="C503" i="28"/>
  <c r="C502" i="28"/>
  <c r="C501" i="28"/>
  <c r="C500" i="28"/>
  <c r="C499" i="28"/>
  <c r="C498" i="28"/>
  <c r="C497" i="28"/>
  <c r="C496" i="28"/>
  <c r="C495" i="28"/>
  <c r="C494" i="28"/>
  <c r="C493" i="28"/>
  <c r="C492" i="28"/>
  <c r="C491" i="28"/>
  <c r="C490" i="28"/>
  <c r="C489" i="28"/>
  <c r="C488" i="28"/>
  <c r="C487" i="28"/>
  <c r="C486" i="28"/>
  <c r="C485" i="28"/>
  <c r="C484" i="28"/>
  <c r="C483" i="28"/>
  <c r="C482" i="28"/>
  <c r="C481" i="28"/>
  <c r="C480" i="28"/>
  <c r="C479" i="28"/>
  <c r="C478" i="28"/>
  <c r="C477" i="28"/>
  <c r="C476" i="28"/>
  <c r="C475" i="28"/>
  <c r="C474" i="28"/>
  <c r="C473" i="28"/>
  <c r="C472" i="28"/>
  <c r="C471" i="28"/>
  <c r="C470" i="28"/>
  <c r="C469" i="28"/>
  <c r="C468" i="28"/>
  <c r="C467" i="28"/>
  <c r="C466" i="28"/>
  <c r="C465" i="28"/>
  <c r="C464" i="28"/>
  <c r="C463" i="28"/>
  <c r="C462" i="28"/>
  <c r="C461" i="28"/>
  <c r="C460" i="28"/>
  <c r="C459" i="28"/>
  <c r="C458" i="28"/>
  <c r="C457" i="28"/>
  <c r="C456" i="28"/>
  <c r="C455" i="28"/>
  <c r="C454" i="28"/>
  <c r="C453" i="28"/>
  <c r="C452" i="28"/>
  <c r="C451" i="28"/>
  <c r="C450" i="28"/>
  <c r="C449" i="28"/>
  <c r="C448" i="28"/>
  <c r="C447" i="28"/>
  <c r="C446" i="28"/>
  <c r="C445" i="28"/>
  <c r="C444" i="28"/>
  <c r="C443" i="28"/>
  <c r="C442" i="28"/>
  <c r="C441" i="28"/>
  <c r="C440" i="28"/>
  <c r="C439" i="28"/>
  <c r="C438" i="28"/>
  <c r="C437" i="28"/>
  <c r="C436" i="28"/>
  <c r="C435" i="28"/>
  <c r="C434" i="28"/>
  <c r="C433" i="28"/>
  <c r="C432" i="28"/>
  <c r="C431" i="28"/>
  <c r="C430" i="28"/>
  <c r="C429" i="28"/>
  <c r="C428" i="28"/>
  <c r="C427" i="28"/>
  <c r="C426" i="28"/>
  <c r="C425" i="28"/>
  <c r="C424" i="28"/>
  <c r="C423" i="28"/>
  <c r="C422" i="28"/>
  <c r="C416" i="28"/>
  <c r="C414" i="28"/>
  <c r="C413" i="28"/>
  <c r="C408" i="28"/>
  <c r="C407" i="28"/>
  <c r="C406" i="28"/>
  <c r="C405" i="28"/>
  <c r="C404" i="28"/>
  <c r="C403" i="28"/>
  <c r="C402" i="28"/>
  <c r="C401" i="28"/>
  <c r="C400" i="28"/>
  <c r="C399" i="28"/>
  <c r="C398" i="28"/>
  <c r="C397" i="28"/>
  <c r="C396" i="28"/>
  <c r="C395" i="28"/>
  <c r="C394" i="28"/>
  <c r="C393" i="28"/>
  <c r="C392" i="28"/>
  <c r="C391" i="28"/>
  <c r="C390" i="28"/>
  <c r="C389" i="28"/>
  <c r="C388" i="28"/>
  <c r="C387" i="28"/>
  <c r="C386" i="28"/>
  <c r="C385" i="28"/>
  <c r="C384" i="28"/>
  <c r="C383" i="28"/>
  <c r="C382" i="28"/>
  <c r="C381" i="28"/>
  <c r="C380" i="28"/>
  <c r="C379" i="28"/>
  <c r="C378" i="28"/>
  <c r="C377" i="28"/>
  <c r="C376" i="28"/>
  <c r="C375" i="28"/>
  <c r="C374" i="28"/>
  <c r="C373" i="28"/>
  <c r="C372" i="28"/>
  <c r="C371" i="28"/>
  <c r="C369" i="28"/>
  <c r="C368" i="28"/>
  <c r="C367" i="28"/>
  <c r="C366" i="28"/>
  <c r="C365" i="28"/>
  <c r="C364" i="28"/>
  <c r="C363" i="28"/>
  <c r="C362" i="28"/>
  <c r="C361" i="28"/>
  <c r="C360" i="28"/>
  <c r="C359" i="28"/>
  <c r="C358" i="28"/>
  <c r="C357" i="28"/>
  <c r="C356" i="28"/>
  <c r="C355" i="28"/>
  <c r="C354" i="28"/>
  <c r="C353" i="28"/>
  <c r="C352" i="28"/>
  <c r="C351" i="28"/>
  <c r="C350" i="28"/>
  <c r="C349" i="28"/>
  <c r="C348" i="28"/>
  <c r="C347" i="28"/>
  <c r="C346" i="28"/>
  <c r="C345" i="28"/>
  <c r="C344" i="28"/>
  <c r="C343" i="28"/>
  <c r="C342" i="28"/>
  <c r="C341" i="28"/>
  <c r="C340" i="28"/>
  <c r="C339" i="28"/>
  <c r="C338" i="28"/>
  <c r="C337" i="28"/>
  <c r="C336" i="28"/>
  <c r="C335" i="28"/>
  <c r="C334" i="28"/>
  <c r="C333" i="28"/>
  <c r="C332" i="28"/>
  <c r="C331" i="28"/>
  <c r="C330" i="28"/>
  <c r="C329" i="28"/>
  <c r="C328" i="28"/>
  <c r="C327" i="28"/>
  <c r="C326" i="28"/>
  <c r="C325" i="28"/>
  <c r="C324" i="28"/>
  <c r="C323" i="28"/>
  <c r="C322" i="28"/>
  <c r="C321" i="28"/>
  <c r="C320" i="28"/>
  <c r="C319" i="28"/>
  <c r="C318" i="28"/>
  <c r="C317" i="28"/>
  <c r="C316" i="28"/>
  <c r="C315" i="28"/>
  <c r="C314" i="28"/>
  <c r="C313" i="28"/>
  <c r="C312" i="28"/>
  <c r="C311" i="28"/>
  <c r="C310" i="28"/>
  <c r="C309" i="28"/>
  <c r="C308" i="28"/>
  <c r="C307" i="28"/>
  <c r="C306" i="28"/>
  <c r="C305" i="28"/>
  <c r="C304" i="28"/>
  <c r="C303" i="28"/>
  <c r="C302" i="28"/>
  <c r="C301" i="28"/>
  <c r="C300" i="28"/>
  <c r="C299" i="28"/>
  <c r="C298" i="28"/>
  <c r="C297" i="28"/>
  <c r="C296" i="28"/>
  <c r="C295" i="28"/>
  <c r="C294" i="28"/>
  <c r="C293" i="28"/>
  <c r="C292" i="28"/>
  <c r="C291" i="28"/>
  <c r="C290" i="28"/>
  <c r="C289" i="28"/>
  <c r="C288" i="28"/>
  <c r="C287" i="28"/>
  <c r="C286" i="28"/>
  <c r="C285" i="28"/>
  <c r="C284" i="28"/>
  <c r="C283" i="28"/>
  <c r="C282" i="28"/>
  <c r="C281" i="28"/>
  <c r="C280" i="28"/>
  <c r="C279" i="28"/>
  <c r="C278" i="28"/>
  <c r="C277" i="28"/>
  <c r="C276" i="28"/>
  <c r="C275" i="28"/>
  <c r="C274" i="28"/>
  <c r="C273" i="28"/>
  <c r="C272" i="28"/>
  <c r="C271" i="28"/>
  <c r="C270" i="28"/>
  <c r="C269" i="28"/>
  <c r="C268" i="28"/>
  <c r="C267" i="28"/>
  <c r="C266" i="28"/>
  <c r="C265" i="28"/>
  <c r="C264" i="28"/>
  <c r="C263" i="28"/>
  <c r="C262" i="28"/>
  <c r="C261" i="28"/>
  <c r="C260" i="28"/>
  <c r="C259" i="28"/>
  <c r="C258" i="28"/>
  <c r="C257" i="28"/>
  <c r="C256" i="28"/>
  <c r="C255" i="28"/>
  <c r="C254" i="28"/>
  <c r="C253" i="28"/>
  <c r="C252" i="28"/>
  <c r="C251" i="28"/>
  <c r="C250" i="28"/>
  <c r="C249" i="28"/>
  <c r="C248" i="28"/>
  <c r="C247" i="28"/>
  <c r="C246" i="28"/>
  <c r="C245" i="28"/>
  <c r="C244" i="28"/>
  <c r="C243" i="28"/>
  <c r="C242" i="28"/>
  <c r="C241" i="28"/>
  <c r="C240" i="28"/>
  <c r="C239" i="28"/>
  <c r="C238" i="28"/>
  <c r="C237" i="28"/>
  <c r="C236" i="28"/>
  <c r="C235" i="28"/>
  <c r="C234" i="28"/>
  <c r="C233" i="28"/>
  <c r="C232" i="28"/>
  <c r="C231" i="28"/>
  <c r="C230" i="28"/>
  <c r="C229" i="28"/>
  <c r="C228" i="28"/>
  <c r="C227" i="28"/>
  <c r="C226" i="28"/>
  <c r="C225" i="28"/>
  <c r="C224" i="28"/>
  <c r="C223" i="28"/>
  <c r="C222" i="28"/>
  <c r="C221" i="28"/>
  <c r="C220" i="28"/>
  <c r="C219" i="28"/>
  <c r="C218" i="28"/>
  <c r="C217" i="28"/>
  <c r="C216" i="28"/>
  <c r="C215" i="28"/>
  <c r="C214" i="28"/>
  <c r="C213" i="28"/>
  <c r="C212" i="28"/>
  <c r="C211" i="28"/>
  <c r="C210" i="28"/>
  <c r="C209" i="28"/>
  <c r="C208" i="28"/>
  <c r="C207" i="28"/>
  <c r="C206" i="28"/>
  <c r="C205" i="28"/>
  <c r="C204" i="28"/>
  <c r="C203" i="28"/>
  <c r="C202" i="28"/>
  <c r="C201" i="28"/>
  <c r="C200" i="28"/>
  <c r="C199" i="28"/>
  <c r="C198" i="28"/>
  <c r="C197" i="28"/>
  <c r="C196" i="28"/>
  <c r="C195" i="28"/>
  <c r="C194" i="28"/>
  <c r="C193" i="28"/>
  <c r="C192" i="28"/>
  <c r="C191" i="28"/>
  <c r="C190" i="28"/>
  <c r="C189" i="28"/>
  <c r="C188" i="28"/>
  <c r="C187" i="28"/>
  <c r="C186" i="28"/>
  <c r="C185" i="28"/>
  <c r="C184" i="28"/>
  <c r="C183" i="28"/>
  <c r="C182" i="28"/>
  <c r="C181" i="28"/>
  <c r="C180" i="28"/>
  <c r="C179" i="28"/>
  <c r="C178" i="28"/>
  <c r="C177" i="28"/>
  <c r="C176" i="28"/>
  <c r="C175" i="28"/>
  <c r="C174" i="28"/>
  <c r="C173" i="28"/>
  <c r="C172" i="28"/>
  <c r="C171" i="28"/>
  <c r="C170" i="28"/>
  <c r="C169" i="28"/>
  <c r="C168" i="28"/>
  <c r="C167" i="28"/>
  <c r="C166" i="28"/>
  <c r="C165" i="28"/>
  <c r="C164" i="28"/>
  <c r="C163" i="28"/>
  <c r="C162" i="28"/>
  <c r="C161" i="28"/>
  <c r="C160" i="28"/>
  <c r="C159" i="28"/>
  <c r="C158" i="28"/>
  <c r="C157" i="28"/>
  <c r="C156" i="28"/>
  <c r="C155" i="28"/>
  <c r="C154" i="28"/>
  <c r="C153" i="28"/>
  <c r="C150" i="28"/>
  <c r="C149" i="28"/>
  <c r="C148" i="28"/>
  <c r="C147" i="28"/>
  <c r="C146" i="28"/>
  <c r="C145" i="28"/>
  <c r="C144" i="28"/>
  <c r="C143" i="28"/>
  <c r="C142" i="28"/>
  <c r="C141" i="28"/>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4"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4"/>
  <c r="C10" i="28"/>
  <c r="C258" i="24"/>
  <c r="C257" i="24"/>
  <c r="C256" i="24"/>
  <c r="C255" i="24"/>
  <c r="C254" i="24"/>
  <c r="C253" i="24"/>
  <c r="C252" i="24"/>
  <c r="C251" i="24"/>
  <c r="C250" i="24"/>
  <c r="C249" i="24"/>
  <c r="C248" i="24"/>
  <c r="C247" i="24"/>
  <c r="C246" i="24"/>
  <c r="C245" i="24"/>
  <c r="C244" i="24"/>
  <c r="C243" i="24"/>
  <c r="C242" i="24"/>
  <c r="C241" i="24"/>
  <c r="C240" i="24"/>
  <c r="C239" i="24"/>
  <c r="C238" i="24"/>
  <c r="C237" i="24"/>
  <c r="C236" i="24"/>
  <c r="C235" i="24"/>
  <c r="C234" i="24"/>
  <c r="C233" i="24"/>
  <c r="C232" i="24"/>
  <c r="C231" i="24"/>
  <c r="C230" i="24"/>
  <c r="C229" i="24"/>
  <c r="C228" i="24"/>
  <c r="C227" i="24"/>
  <c r="C226" i="24"/>
  <c r="C225" i="24"/>
  <c r="C224" i="24"/>
  <c r="C223" i="24"/>
  <c r="C222" i="24"/>
  <c r="C221" i="24"/>
  <c r="C220" i="24"/>
  <c r="C219" i="24"/>
  <c r="C218" i="24"/>
  <c r="C217" i="24"/>
  <c r="C216" i="24"/>
  <c r="C215" i="24"/>
  <c r="C214" i="24"/>
  <c r="C213" i="24"/>
  <c r="C212" i="24"/>
  <c r="C211" i="24"/>
  <c r="C210" i="24"/>
  <c r="C209" i="24"/>
  <c r="C208" i="24"/>
  <c r="C207" i="24"/>
  <c r="C206" i="24"/>
  <c r="C205" i="24"/>
  <c r="C204" i="24"/>
  <c r="C203" i="24"/>
  <c r="C202" i="24"/>
  <c r="C201" i="24"/>
  <c r="C200" i="24"/>
  <c r="C199" i="24"/>
  <c r="C198" i="24"/>
  <c r="C197" i="24"/>
  <c r="C196" i="24"/>
  <c r="C195" i="24"/>
  <c r="C194" i="24"/>
  <c r="C193" i="24"/>
  <c r="C192" i="24"/>
  <c r="C191" i="24"/>
  <c r="C190" i="24"/>
  <c r="C189" i="24"/>
  <c r="C188" i="24"/>
  <c r="C187" i="24"/>
  <c r="C186" i="24"/>
  <c r="C185" i="24"/>
  <c r="C184" i="24"/>
  <c r="C183" i="24"/>
  <c r="C182" i="24"/>
  <c r="C177" i="24"/>
  <c r="C173" i="24"/>
  <c r="C172" i="24"/>
  <c r="C171" i="24"/>
  <c r="C170" i="24"/>
  <c r="C169" i="24"/>
  <c r="C168" i="24"/>
  <c r="C167" i="24"/>
  <c r="C166" i="24"/>
  <c r="C165" i="24"/>
  <c r="C164" i="24"/>
  <c r="C163" i="24"/>
  <c r="C162" i="24"/>
  <c r="C161" i="24"/>
  <c r="C160" i="24"/>
  <c r="C159" i="24"/>
  <c r="C158" i="24"/>
  <c r="C157" i="24"/>
  <c r="C156" i="24"/>
  <c r="C155" i="24"/>
  <c r="C154" i="24"/>
  <c r="C153" i="24"/>
  <c r="C152" i="24"/>
  <c r="C151" i="24"/>
  <c r="C150" i="24"/>
  <c r="C149" i="24"/>
  <c r="C148" i="24"/>
  <c r="C147" i="24"/>
  <c r="C146" i="24"/>
  <c r="C145" i="24"/>
  <c r="C144" i="24"/>
  <c r="C143" i="24"/>
  <c r="C142" i="24"/>
  <c r="C141" i="24"/>
  <c r="C140" i="24"/>
  <c r="C139" i="24"/>
  <c r="C138" i="24"/>
  <c r="C137" i="24"/>
  <c r="C136" i="24"/>
  <c r="C135" i="24"/>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H255" i="22" l="1"/>
  <c r="H173" i="22"/>
  <c r="H234" i="22"/>
  <c r="C25" i="47"/>
  <c r="M10" i="22"/>
  <c r="H181" i="22"/>
  <c r="H189" i="22"/>
  <c r="H200" i="22"/>
  <c r="H208" i="22"/>
  <c r="H216" i="22"/>
  <c r="H157" i="22"/>
  <c r="H224" i="22"/>
  <c r="H165" i="22"/>
  <c r="H232" i="22"/>
  <c r="H240" i="22"/>
  <c r="H248" i="22"/>
  <c r="H158" i="22"/>
  <c r="H166" i="22"/>
  <c r="H174" i="22"/>
  <c r="H182" i="22"/>
  <c r="H190" i="22"/>
  <c r="H201" i="22"/>
  <c r="H209" i="22"/>
  <c r="H217" i="22"/>
  <c r="H225" i="22"/>
  <c r="H233" i="22"/>
  <c r="H241" i="22"/>
  <c r="H249" i="22"/>
  <c r="H175" i="22"/>
  <c r="H218" i="22"/>
  <c r="H160" i="22"/>
  <c r="H168" i="22"/>
  <c r="H176" i="22"/>
  <c r="H184" i="22"/>
  <c r="H192" i="22"/>
  <c r="H203" i="22"/>
  <c r="H211" i="22"/>
  <c r="H219" i="22"/>
  <c r="H227" i="22"/>
  <c r="H235" i="22"/>
  <c r="H243" i="22"/>
  <c r="H251" i="22"/>
  <c r="H191" i="22"/>
  <c r="H226" i="22"/>
  <c r="H161" i="22"/>
  <c r="H169" i="22"/>
  <c r="H177" i="22"/>
  <c r="H185" i="22"/>
  <c r="H193" i="22"/>
  <c r="H204" i="22"/>
  <c r="H212" i="22"/>
  <c r="H220" i="22"/>
  <c r="H228" i="22"/>
  <c r="H236" i="22"/>
  <c r="H244" i="22"/>
  <c r="H252" i="22"/>
  <c r="H159" i="22"/>
  <c r="H202" i="22"/>
  <c r="H250" i="22"/>
  <c r="H162" i="22"/>
  <c r="H170" i="22"/>
  <c r="H178" i="22"/>
  <c r="H186" i="22"/>
  <c r="H194" i="22"/>
  <c r="H205" i="22"/>
  <c r="H213" i="22"/>
  <c r="H221" i="22"/>
  <c r="H229" i="22"/>
  <c r="H237" i="22"/>
  <c r="H245" i="22"/>
  <c r="H253" i="22"/>
  <c r="H183" i="22"/>
  <c r="H242" i="22"/>
  <c r="H163" i="22"/>
  <c r="H171" i="22"/>
  <c r="H179" i="22"/>
  <c r="H187" i="22"/>
  <c r="H195" i="22"/>
  <c r="H206" i="22"/>
  <c r="H214" i="22"/>
  <c r="H222" i="22"/>
  <c r="H230" i="22"/>
  <c r="H238" i="22"/>
  <c r="H246" i="22"/>
  <c r="H254" i="22"/>
  <c r="H167" i="22"/>
  <c r="H210" i="22"/>
  <c r="H164" i="22"/>
  <c r="H172" i="22"/>
  <c r="H180" i="22"/>
  <c r="H188" i="22"/>
  <c r="H196" i="22"/>
  <c r="H207" i="22"/>
  <c r="H215" i="22"/>
  <c r="H223" i="22"/>
  <c r="H231" i="22"/>
  <c r="H239" i="22"/>
  <c r="H247" i="22"/>
  <c r="D17" i="47"/>
  <c r="AQ415" i="28"/>
  <c r="AK418" i="28"/>
  <c r="V411" i="28"/>
  <c r="AL411" i="28" s="1"/>
  <c r="AK411" i="28" s="1"/>
  <c r="AN418" i="28"/>
  <c r="V415" i="28"/>
  <c r="AL415" i="28" s="1"/>
  <c r="AK415" i="28" s="1"/>
  <c r="AQ419" i="28"/>
  <c r="AN411" i="28"/>
  <c r="V419" i="28"/>
  <c r="AL419" i="28" s="1"/>
  <c r="AK419" i="28" s="1"/>
  <c r="AF418" i="28"/>
  <c r="AE418" i="28" s="1"/>
  <c r="AQ411" i="28"/>
  <c r="AQ418" i="28"/>
  <c r="AE415" i="28"/>
  <c r="AE419" i="28"/>
  <c r="AN419" i="28"/>
  <c r="AE411" i="28"/>
  <c r="AS415" i="28"/>
  <c r="AH415" i="28"/>
  <c r="AN415" i="28"/>
  <c r="AQ412" i="28"/>
  <c r="AN412" i="28"/>
  <c r="AN410" i="28"/>
  <c r="AF412" i="28"/>
  <c r="AE412" i="28" s="1"/>
  <c r="AQ410" i="28"/>
  <c r="V412" i="28"/>
  <c r="AL412" i="28" s="1"/>
  <c r="AK412" i="28" s="1"/>
  <c r="AK410" i="28"/>
  <c r="V409" i="28"/>
  <c r="AL409" i="28" s="1"/>
  <c r="AK409" i="28" s="1"/>
  <c r="AE409" i="28"/>
  <c r="AF410" i="28"/>
  <c r="AE410" i="28" s="1"/>
  <c r="AQ370" i="28"/>
  <c r="AN409" i="28"/>
  <c r="AQ409" i="28"/>
  <c r="AN370" i="28"/>
  <c r="AC370" i="28"/>
  <c r="AL370" i="28"/>
  <c r="AN90" i="28"/>
  <c r="AF370" i="28"/>
  <c r="AE370" i="28" s="1"/>
  <c r="AO82" i="28"/>
  <c r="AN82" i="28" s="1"/>
  <c r="AN83" i="28"/>
  <c r="V90" i="28"/>
  <c r="AL90" i="28" s="1"/>
  <c r="AK90" i="28" s="1"/>
  <c r="AF90" i="28"/>
  <c r="AE90" i="28" s="1"/>
  <c r="AQ90" i="28"/>
  <c r="V83" i="28"/>
  <c r="AL83" i="28" s="1"/>
  <c r="AK83" i="28" s="1"/>
  <c r="V82" i="28"/>
  <c r="AL82" i="28" s="1"/>
  <c r="AK82" i="28" s="1"/>
  <c r="AE83" i="28"/>
  <c r="AQ83" i="28"/>
  <c r="AF82" i="28"/>
  <c r="AE82" i="28" s="1"/>
  <c r="AQ82" i="28"/>
  <c r="AO151" i="28"/>
  <c r="AN151" i="28" s="1"/>
  <c r="AL152" i="28"/>
  <c r="AK152" i="28" s="1"/>
  <c r="AF151" i="28"/>
  <c r="AE151" i="28" s="1"/>
  <c r="AR151" i="28"/>
  <c r="AQ151" i="28" s="1"/>
  <c r="AL151" i="28"/>
  <c r="AK151" i="28" s="1"/>
  <c r="AO152" i="28"/>
  <c r="AN152" i="28" s="1"/>
  <c r="AQ152" i="28"/>
  <c r="AF152" i="28"/>
  <c r="AE152" i="28" s="1"/>
  <c r="AR83" i="14"/>
  <c r="D83" i="7" s="1"/>
  <c r="S83" i="7" s="1"/>
  <c r="Z415" i="28" l="1"/>
  <c r="AK370" i="28"/>
  <c r="AR579" i="28"/>
  <c r="AP579" i="28"/>
  <c r="AO579" i="28"/>
  <c r="AM579" i="28"/>
  <c r="AJ579" i="28"/>
  <c r="AG579" i="28"/>
  <c r="AD579" i="28"/>
  <c r="O579" i="28"/>
  <c r="V579" i="28" s="1"/>
  <c r="AL579" i="28" s="1"/>
  <c r="DZ149" i="14"/>
  <c r="CO149" i="14"/>
  <c r="CJ149" i="14"/>
  <c r="AO149" i="14"/>
  <c r="AL149" i="14"/>
  <c r="AI149" i="14"/>
  <c r="AF149" i="14"/>
  <c r="AC149" i="14"/>
  <c r="Z149" i="14"/>
  <c r="W149" i="14"/>
  <c r="T149" i="14"/>
  <c r="Q149" i="14"/>
  <c r="N149" i="14"/>
  <c r="L149" i="14"/>
  <c r="CT149" i="14" s="1"/>
  <c r="K149" i="14"/>
  <c r="G149" i="14"/>
  <c r="B149" i="7" s="1"/>
  <c r="DZ145" i="14"/>
  <c r="CO145" i="14"/>
  <c r="CJ145" i="14"/>
  <c r="AO145" i="14"/>
  <c r="AL145" i="14"/>
  <c r="AI145" i="14"/>
  <c r="AF145" i="14"/>
  <c r="AC145" i="14"/>
  <c r="Z145" i="14"/>
  <c r="W145" i="14"/>
  <c r="T145" i="14"/>
  <c r="Q145" i="14"/>
  <c r="N145" i="14"/>
  <c r="L145" i="14"/>
  <c r="CT145" i="14" s="1"/>
  <c r="K145" i="14"/>
  <c r="G145" i="14"/>
  <c r="B145" i="7" s="1"/>
  <c r="AQ579" i="28" l="1"/>
  <c r="AF579" i="28"/>
  <c r="AE579" i="28" s="1"/>
  <c r="AN579" i="28"/>
  <c r="AR149" i="14"/>
  <c r="D149" i="7" s="1"/>
  <c r="S149" i="7" s="1"/>
  <c r="AR145" i="14"/>
  <c r="D145" i="7" s="1"/>
  <c r="S145" i="7" s="1"/>
  <c r="AK579" i="28"/>
  <c r="X143" i="28"/>
  <c r="X142" i="28"/>
  <c r="X140" i="28"/>
  <c r="X138" i="28"/>
  <c r="X135" i="28"/>
  <c r="X129" i="28"/>
  <c r="X118" i="28"/>
  <c r="X111" i="28"/>
  <c r="X94" i="28"/>
  <c r="T512" i="42" l="1"/>
  <c r="T504" i="42"/>
  <c r="T496" i="42"/>
  <c r="T488" i="42"/>
  <c r="T480" i="42"/>
  <c r="T472" i="42"/>
  <c r="T464" i="42"/>
  <c r="T456" i="42"/>
  <c r="T448" i="42"/>
  <c r="T440" i="42"/>
  <c r="T432" i="42"/>
  <c r="T424" i="42"/>
  <c r="T416" i="42"/>
  <c r="T408" i="42"/>
  <c r="T400" i="42"/>
  <c r="T392" i="42"/>
  <c r="T384" i="42"/>
  <c r="T376" i="42"/>
  <c r="T368" i="42"/>
  <c r="T360" i="42"/>
  <c r="T352" i="42"/>
  <c r="T344" i="42"/>
  <c r="T336" i="42"/>
  <c r="T328" i="42"/>
  <c r="T320" i="42"/>
  <c r="T312" i="42"/>
  <c r="T304" i="42"/>
  <c r="T296" i="42"/>
  <c r="T288" i="42"/>
  <c r="T280" i="42"/>
  <c r="T272" i="42"/>
  <c r="T264" i="42"/>
  <c r="T256" i="42"/>
  <c r="T248" i="42"/>
  <c r="T240" i="42"/>
  <c r="T232" i="42"/>
  <c r="T224" i="42"/>
  <c r="T216" i="42"/>
  <c r="T208" i="42"/>
  <c r="T200" i="42"/>
  <c r="T192" i="42"/>
  <c r="T184" i="42"/>
  <c r="T176" i="42"/>
  <c r="T168" i="42"/>
  <c r="T160" i="42"/>
  <c r="T152" i="42"/>
  <c r="T144" i="42"/>
  <c r="T136" i="42"/>
  <c r="T128" i="42"/>
  <c r="T120" i="42"/>
  <c r="T112" i="42"/>
  <c r="T104" i="42"/>
  <c r="T96" i="42"/>
  <c r="T88" i="42"/>
  <c r="M516" i="42"/>
  <c r="L515" i="42"/>
  <c r="L514" i="42"/>
  <c r="L513" i="42"/>
  <c r="L512" i="42"/>
  <c r="L511" i="42"/>
  <c r="L510" i="42"/>
  <c r="M508" i="42"/>
  <c r="M502" i="42" s="1"/>
  <c r="M507" i="42"/>
  <c r="M506" i="42" s="1"/>
  <c r="M505" i="42" s="1"/>
  <c r="M504" i="42" s="1"/>
  <c r="M503" i="42" s="1"/>
  <c r="L507" i="42"/>
  <c r="L506" i="42"/>
  <c r="L505" i="42"/>
  <c r="L504" i="42"/>
  <c r="L503" i="42"/>
  <c r="L502" i="42"/>
  <c r="M500" i="42"/>
  <c r="M499" i="42" s="1"/>
  <c r="M498" i="42" s="1"/>
  <c r="M497" i="42" s="1"/>
  <c r="M496" i="42" s="1"/>
  <c r="M495" i="42" s="1"/>
  <c r="L499" i="42"/>
  <c r="L498" i="42"/>
  <c r="L497" i="42"/>
  <c r="L496" i="42"/>
  <c r="L495" i="42"/>
  <c r="M494" i="42"/>
  <c r="L494" i="42"/>
  <c r="M492" i="42"/>
  <c r="M491" i="42" s="1"/>
  <c r="M490" i="42" s="1"/>
  <c r="M489" i="42" s="1"/>
  <c r="M488" i="42" s="1"/>
  <c r="M487" i="42" s="1"/>
  <c r="L491" i="42"/>
  <c r="L490" i="42"/>
  <c r="L489" i="42"/>
  <c r="L488" i="42"/>
  <c r="L487" i="42"/>
  <c r="M486" i="42"/>
  <c r="L486" i="42"/>
  <c r="M484" i="42"/>
  <c r="M483" i="42" s="1"/>
  <c r="M482" i="42" s="1"/>
  <c r="M481" i="42" s="1"/>
  <c r="M480" i="42" s="1"/>
  <c r="M479" i="42" s="1"/>
  <c r="L483" i="42"/>
  <c r="L482" i="42"/>
  <c r="L481" i="42"/>
  <c r="L480" i="42"/>
  <c r="L479" i="42"/>
  <c r="M478" i="42"/>
  <c r="L478" i="42"/>
  <c r="M476" i="42"/>
  <c r="M470" i="42" s="1"/>
  <c r="L475" i="42"/>
  <c r="L474" i="42"/>
  <c r="L473" i="42"/>
  <c r="L472" i="42"/>
  <c r="L471" i="42"/>
  <c r="L470" i="42"/>
  <c r="M468" i="42"/>
  <c r="M462" i="42" s="1"/>
  <c r="L467" i="42"/>
  <c r="L466" i="42"/>
  <c r="L465" i="42"/>
  <c r="L464" i="42"/>
  <c r="L463" i="42"/>
  <c r="L462" i="42"/>
  <c r="M460" i="42"/>
  <c r="M459" i="42" s="1"/>
  <c r="M458" i="42" s="1"/>
  <c r="M457" i="42" s="1"/>
  <c r="M456" i="42" s="1"/>
  <c r="M455" i="42" s="1"/>
  <c r="L459" i="42"/>
  <c r="L458" i="42"/>
  <c r="L457" i="42"/>
  <c r="L456" i="42"/>
  <c r="L455" i="42"/>
  <c r="L454" i="42"/>
  <c r="M452" i="42"/>
  <c r="M446" i="42" s="1"/>
  <c r="M451" i="42"/>
  <c r="M450" i="42" s="1"/>
  <c r="M449" i="42" s="1"/>
  <c r="M448" i="42" s="1"/>
  <c r="M447" i="42" s="1"/>
  <c r="L451" i="42"/>
  <c r="L450" i="42"/>
  <c r="L449" i="42"/>
  <c r="L448" i="42"/>
  <c r="L447" i="42"/>
  <c r="L446" i="42"/>
  <c r="M444" i="42"/>
  <c r="L443" i="42"/>
  <c r="L442" i="42"/>
  <c r="L441" i="42"/>
  <c r="L440" i="42"/>
  <c r="L439" i="42"/>
  <c r="L438" i="42"/>
  <c r="M436" i="42"/>
  <c r="L435" i="42"/>
  <c r="L434" i="42"/>
  <c r="L433" i="42"/>
  <c r="L432" i="42"/>
  <c r="L431" i="42"/>
  <c r="L430" i="42"/>
  <c r="M428" i="42"/>
  <c r="L427" i="42"/>
  <c r="L426" i="42"/>
  <c r="L425" i="42"/>
  <c r="L424" i="42"/>
  <c r="L423" i="42"/>
  <c r="L422" i="42"/>
  <c r="M420" i="42"/>
  <c r="L419" i="42"/>
  <c r="L418" i="42"/>
  <c r="L417" i="42"/>
  <c r="L416" i="42"/>
  <c r="L415" i="42"/>
  <c r="L414" i="42"/>
  <c r="M412" i="42"/>
  <c r="M406" i="42" s="1"/>
  <c r="L411" i="42"/>
  <c r="L410" i="42"/>
  <c r="L409" i="42"/>
  <c r="L408" i="42"/>
  <c r="L407" i="42"/>
  <c r="L406" i="42"/>
  <c r="M404" i="42"/>
  <c r="L403" i="42"/>
  <c r="L402" i="42"/>
  <c r="L401" i="42"/>
  <c r="L400" i="42"/>
  <c r="L399" i="42"/>
  <c r="L398" i="42"/>
  <c r="M396" i="42"/>
  <c r="M395" i="42" s="1"/>
  <c r="M394" i="42" s="1"/>
  <c r="M393" i="42" s="1"/>
  <c r="M392" i="42" s="1"/>
  <c r="M391" i="42" s="1"/>
  <c r="L395" i="42"/>
  <c r="L394" i="42"/>
  <c r="L393" i="42"/>
  <c r="L392" i="42"/>
  <c r="L391" i="42"/>
  <c r="M390" i="42"/>
  <c r="L390" i="42"/>
  <c r="M388" i="42"/>
  <c r="M387" i="42" s="1"/>
  <c r="M386" i="42" s="1"/>
  <c r="M385" i="42" s="1"/>
  <c r="M384" i="42" s="1"/>
  <c r="M383" i="42" s="1"/>
  <c r="L387" i="42"/>
  <c r="L386" i="42"/>
  <c r="L385" i="42"/>
  <c r="L384" i="42"/>
  <c r="L383" i="42"/>
  <c r="M382" i="42"/>
  <c r="L382" i="42"/>
  <c r="M380" i="42"/>
  <c r="M379" i="42" s="1"/>
  <c r="M378" i="42" s="1"/>
  <c r="M377" i="42" s="1"/>
  <c r="M376" i="42" s="1"/>
  <c r="M375" i="42" s="1"/>
  <c r="L379" i="42"/>
  <c r="L378" i="42"/>
  <c r="L377" i="42"/>
  <c r="L376" i="42"/>
  <c r="L375" i="42"/>
  <c r="M374" i="42"/>
  <c r="L374" i="42"/>
  <c r="M372" i="42"/>
  <c r="M371" i="42" s="1"/>
  <c r="M370" i="42" s="1"/>
  <c r="M369" i="42" s="1"/>
  <c r="M368" i="42" s="1"/>
  <c r="M367" i="42" s="1"/>
  <c r="L371" i="42"/>
  <c r="L370" i="42"/>
  <c r="L369" i="42"/>
  <c r="L368" i="42"/>
  <c r="L367" i="42"/>
  <c r="L366" i="42"/>
  <c r="M364" i="42"/>
  <c r="M363" i="42" s="1"/>
  <c r="M362" i="42" s="1"/>
  <c r="M361" i="42" s="1"/>
  <c r="M360" i="42" s="1"/>
  <c r="M359" i="42" s="1"/>
  <c r="L363" i="42"/>
  <c r="L362" i="42"/>
  <c r="L361" i="42"/>
  <c r="L360" i="42"/>
  <c r="L359" i="42"/>
  <c r="L358" i="42"/>
  <c r="M356" i="42"/>
  <c r="M350" i="42" s="1"/>
  <c r="L355" i="42"/>
  <c r="L354" i="42"/>
  <c r="L353" i="42"/>
  <c r="L352" i="42"/>
  <c r="L351" i="42"/>
  <c r="L350" i="42"/>
  <c r="M348" i="42"/>
  <c r="L347" i="42"/>
  <c r="L346" i="42"/>
  <c r="L345" i="42"/>
  <c r="L344" i="42"/>
  <c r="L343" i="42"/>
  <c r="L342" i="42"/>
  <c r="M340" i="42"/>
  <c r="M334" i="42" s="1"/>
  <c r="L339" i="42"/>
  <c r="L338" i="42"/>
  <c r="L337" i="42"/>
  <c r="L336" i="42"/>
  <c r="L335" i="42"/>
  <c r="L334" i="42"/>
  <c r="M332" i="42"/>
  <c r="M326" i="42" s="1"/>
  <c r="L331" i="42"/>
  <c r="L330" i="42"/>
  <c r="L329" i="42"/>
  <c r="L328" i="42"/>
  <c r="L327" i="42"/>
  <c r="L326" i="42"/>
  <c r="M324" i="42"/>
  <c r="M318" i="42" s="1"/>
  <c r="L323" i="42"/>
  <c r="L322" i="42"/>
  <c r="L321" i="42"/>
  <c r="L320" i="42"/>
  <c r="L319" i="42"/>
  <c r="L318" i="42"/>
  <c r="M316" i="42"/>
  <c r="M315" i="42" s="1"/>
  <c r="M314" i="42" s="1"/>
  <c r="M313" i="42" s="1"/>
  <c r="M312" i="42" s="1"/>
  <c r="M311" i="42" s="1"/>
  <c r="L315" i="42"/>
  <c r="L314" i="42"/>
  <c r="L313" i="42"/>
  <c r="L312" i="42"/>
  <c r="L311" i="42"/>
  <c r="L310" i="42"/>
  <c r="M308" i="42"/>
  <c r="M302" i="42" s="1"/>
  <c r="L307" i="42"/>
  <c r="L306" i="42"/>
  <c r="L305" i="42"/>
  <c r="L304" i="42"/>
  <c r="L303" i="42"/>
  <c r="L302" i="42"/>
  <c r="M300" i="42"/>
  <c r="M294" i="42" s="1"/>
  <c r="L299" i="42"/>
  <c r="L298" i="42"/>
  <c r="L297" i="42"/>
  <c r="L296" i="42"/>
  <c r="L295" i="42"/>
  <c r="L294" i="42"/>
  <c r="M292" i="42"/>
  <c r="M286" i="42" s="1"/>
  <c r="L291" i="42"/>
  <c r="L290" i="42"/>
  <c r="L289" i="42"/>
  <c r="L288" i="42"/>
  <c r="L287" i="42"/>
  <c r="L286" i="42"/>
  <c r="M284" i="42"/>
  <c r="M278" i="42" s="1"/>
  <c r="L283" i="42"/>
  <c r="L282" i="42"/>
  <c r="L281" i="42"/>
  <c r="L280" i="42"/>
  <c r="L279" i="42"/>
  <c r="L278" i="42"/>
  <c r="M276" i="42"/>
  <c r="M270" i="42" s="1"/>
  <c r="L275" i="42"/>
  <c r="L274" i="42"/>
  <c r="L273" i="42"/>
  <c r="L272" i="42"/>
  <c r="L271" i="42"/>
  <c r="L270" i="42"/>
  <c r="M268" i="42"/>
  <c r="L267" i="42"/>
  <c r="L266" i="42"/>
  <c r="L265" i="42"/>
  <c r="L264" i="42"/>
  <c r="L263" i="42"/>
  <c r="L262" i="42"/>
  <c r="M260" i="42"/>
  <c r="M254" i="42" s="1"/>
  <c r="L259" i="42"/>
  <c r="L258" i="42"/>
  <c r="L257" i="42"/>
  <c r="L256" i="42"/>
  <c r="L255" i="42"/>
  <c r="L254" i="42"/>
  <c r="M252" i="42"/>
  <c r="L251" i="42"/>
  <c r="L250" i="42"/>
  <c r="L249" i="42"/>
  <c r="L248" i="42"/>
  <c r="L247" i="42"/>
  <c r="L246" i="42"/>
  <c r="M244" i="42"/>
  <c r="M238" i="42" s="1"/>
  <c r="L243" i="42"/>
  <c r="L242" i="42"/>
  <c r="L241" i="42"/>
  <c r="L240" i="42"/>
  <c r="L239" i="42"/>
  <c r="L238" i="42"/>
  <c r="M236" i="42"/>
  <c r="L235" i="42"/>
  <c r="L234" i="42"/>
  <c r="L233" i="42"/>
  <c r="L232" i="42"/>
  <c r="L231" i="42"/>
  <c r="L230" i="42"/>
  <c r="M228" i="42"/>
  <c r="M227" i="42" s="1"/>
  <c r="M226" i="42" s="1"/>
  <c r="M225" i="42" s="1"/>
  <c r="M224" i="42" s="1"/>
  <c r="M223" i="42" s="1"/>
  <c r="L227" i="42"/>
  <c r="L226" i="42"/>
  <c r="L225" i="42"/>
  <c r="L224" i="42"/>
  <c r="L223" i="42"/>
  <c r="M222" i="42"/>
  <c r="L222" i="42"/>
  <c r="M220" i="42"/>
  <c r="M214" i="42" s="1"/>
  <c r="L219" i="42"/>
  <c r="L218" i="42"/>
  <c r="L217" i="42"/>
  <c r="L216" i="42"/>
  <c r="L215" i="42"/>
  <c r="L214" i="42"/>
  <c r="M212" i="42"/>
  <c r="M211" i="42" s="1"/>
  <c r="M210" i="42" s="1"/>
  <c r="M209" i="42" s="1"/>
  <c r="M208" i="42" s="1"/>
  <c r="M207" i="42" s="1"/>
  <c r="L211" i="42"/>
  <c r="L210" i="42"/>
  <c r="L209" i="42"/>
  <c r="L208" i="42"/>
  <c r="L207" i="42"/>
  <c r="M206" i="42"/>
  <c r="L206" i="42"/>
  <c r="M204" i="42"/>
  <c r="M203" i="42" s="1"/>
  <c r="M202" i="42" s="1"/>
  <c r="M201" i="42" s="1"/>
  <c r="M200" i="42" s="1"/>
  <c r="M199" i="42" s="1"/>
  <c r="L203" i="42"/>
  <c r="L202" i="42"/>
  <c r="L201" i="42"/>
  <c r="L200" i="42"/>
  <c r="L199" i="42"/>
  <c r="M198" i="42"/>
  <c r="L198" i="42"/>
  <c r="M196" i="42"/>
  <c r="L195" i="42"/>
  <c r="L194" i="42"/>
  <c r="L193" i="42"/>
  <c r="L192" i="42"/>
  <c r="L191" i="42"/>
  <c r="L190" i="42"/>
  <c r="M188" i="42"/>
  <c r="L187" i="42"/>
  <c r="L186" i="42"/>
  <c r="L185" i="42"/>
  <c r="L184" i="42"/>
  <c r="L183" i="42"/>
  <c r="L182" i="42"/>
  <c r="M180" i="42"/>
  <c r="M174" i="42" s="1"/>
  <c r="L179" i="42"/>
  <c r="L178" i="42"/>
  <c r="L177" i="42"/>
  <c r="L176" i="42"/>
  <c r="L175" i="42"/>
  <c r="L174" i="42"/>
  <c r="M172" i="42"/>
  <c r="M171" i="42" s="1"/>
  <c r="M170" i="42" s="1"/>
  <c r="M169" i="42" s="1"/>
  <c r="M168" i="42" s="1"/>
  <c r="M167" i="42" s="1"/>
  <c r="L171" i="42"/>
  <c r="L170" i="42"/>
  <c r="L169" i="42"/>
  <c r="L168" i="42"/>
  <c r="L167" i="42"/>
  <c r="M166" i="42"/>
  <c r="L166" i="42"/>
  <c r="M164" i="42"/>
  <c r="M158" i="42" s="1"/>
  <c r="L163" i="42"/>
  <c r="L162" i="42"/>
  <c r="L161" i="42"/>
  <c r="L160" i="42"/>
  <c r="L159" i="42"/>
  <c r="L158" i="42"/>
  <c r="M156" i="42"/>
  <c r="L155" i="42"/>
  <c r="L154" i="42"/>
  <c r="L153" i="42"/>
  <c r="L152" i="42"/>
  <c r="L151" i="42"/>
  <c r="L150" i="42"/>
  <c r="M148" i="42"/>
  <c r="L147" i="42"/>
  <c r="L146" i="42"/>
  <c r="L145" i="42"/>
  <c r="L144" i="42"/>
  <c r="L143" i="42"/>
  <c r="L142" i="42"/>
  <c r="M140" i="42"/>
  <c r="L139" i="42"/>
  <c r="L138" i="42"/>
  <c r="L137" i="42"/>
  <c r="L136" i="42"/>
  <c r="L135" i="42"/>
  <c r="L134" i="42"/>
  <c r="M132" i="42"/>
  <c r="M131" i="42" s="1"/>
  <c r="M130" i="42" s="1"/>
  <c r="M129" i="42" s="1"/>
  <c r="M128" i="42" s="1"/>
  <c r="M127" i="42" s="1"/>
  <c r="L131" i="42"/>
  <c r="L130" i="42"/>
  <c r="L129" i="42"/>
  <c r="L128" i="42"/>
  <c r="L127" i="42"/>
  <c r="L126" i="42"/>
  <c r="M124" i="42"/>
  <c r="M118" i="42" s="1"/>
  <c r="L123" i="42"/>
  <c r="L122" i="42"/>
  <c r="L121" i="42"/>
  <c r="L120" i="42"/>
  <c r="L119" i="42"/>
  <c r="L118" i="42"/>
  <c r="M116" i="42"/>
  <c r="M115" i="42" s="1"/>
  <c r="M114" i="42" s="1"/>
  <c r="M113" i="42" s="1"/>
  <c r="M112" i="42" s="1"/>
  <c r="M111" i="42" s="1"/>
  <c r="L115" i="42"/>
  <c r="L114" i="42"/>
  <c r="L113" i="42"/>
  <c r="L112" i="42"/>
  <c r="L111" i="42"/>
  <c r="M110" i="42"/>
  <c r="L110" i="42"/>
  <c r="M108" i="42"/>
  <c r="M102" i="42" s="1"/>
  <c r="L107" i="42"/>
  <c r="L106" i="42"/>
  <c r="L105" i="42"/>
  <c r="L104" i="42"/>
  <c r="L103" i="42"/>
  <c r="L102" i="42"/>
  <c r="M100" i="42"/>
  <c r="M99" i="42" s="1"/>
  <c r="M98" i="42" s="1"/>
  <c r="M97" i="42" s="1"/>
  <c r="M96" i="42" s="1"/>
  <c r="M95" i="42" s="1"/>
  <c r="L99" i="42"/>
  <c r="L98" i="42"/>
  <c r="L97" i="42"/>
  <c r="L96" i="42"/>
  <c r="L95" i="42"/>
  <c r="M94" i="42"/>
  <c r="L94" i="42"/>
  <c r="M92" i="42"/>
  <c r="M91" i="42" s="1"/>
  <c r="M90" i="42" s="1"/>
  <c r="M89" i="42" s="1"/>
  <c r="M88" i="42" s="1"/>
  <c r="M87" i="42" s="1"/>
  <c r="L91" i="42"/>
  <c r="L90" i="42"/>
  <c r="L89" i="42"/>
  <c r="L88" i="42"/>
  <c r="L87" i="42"/>
  <c r="M86" i="42"/>
  <c r="L86" i="42"/>
  <c r="T80" i="42"/>
  <c r="T72" i="42"/>
  <c r="M84" i="42"/>
  <c r="L83" i="42"/>
  <c r="L82" i="42"/>
  <c r="L81" i="42"/>
  <c r="L80" i="42"/>
  <c r="L79" i="42"/>
  <c r="L78" i="42"/>
  <c r="M76" i="42"/>
  <c r="M75" i="42" s="1"/>
  <c r="M74" i="42" s="1"/>
  <c r="M73" i="42" s="1"/>
  <c r="M72" i="42" s="1"/>
  <c r="M71" i="42" s="1"/>
  <c r="L75" i="42"/>
  <c r="L74" i="42"/>
  <c r="L73" i="42"/>
  <c r="L72" i="42"/>
  <c r="L71" i="42"/>
  <c r="M70" i="42"/>
  <c r="L70" i="42"/>
  <c r="T64" i="42"/>
  <c r="T56" i="42"/>
  <c r="T48" i="42"/>
  <c r="M68" i="42"/>
  <c r="M67" i="42" s="1"/>
  <c r="M66" i="42" s="1"/>
  <c r="M65" i="42" s="1"/>
  <c r="M64" i="42" s="1"/>
  <c r="M63" i="42" s="1"/>
  <c r="L67" i="42"/>
  <c r="L66" i="42"/>
  <c r="L65" i="42"/>
  <c r="L64" i="42"/>
  <c r="L63" i="42"/>
  <c r="M62" i="42"/>
  <c r="L62" i="42"/>
  <c r="M60" i="42"/>
  <c r="M54" i="42" s="1"/>
  <c r="L59" i="42"/>
  <c r="L58" i="42"/>
  <c r="L57" i="42"/>
  <c r="L56" i="42"/>
  <c r="L55" i="42"/>
  <c r="L54" i="42"/>
  <c r="M52" i="42"/>
  <c r="M46" i="42" s="1"/>
  <c r="L51" i="42"/>
  <c r="L50" i="42"/>
  <c r="L49" i="42"/>
  <c r="L48" i="42"/>
  <c r="L47" i="42"/>
  <c r="L46" i="42"/>
  <c r="T40" i="42"/>
  <c r="M44" i="42"/>
  <c r="M38" i="42" s="1"/>
  <c r="L43" i="42"/>
  <c r="L42" i="42"/>
  <c r="L41" i="42"/>
  <c r="L40" i="42"/>
  <c r="L39" i="42"/>
  <c r="L38" i="42"/>
  <c r="M36" i="42"/>
  <c r="M30" i="42" s="1"/>
  <c r="L35" i="42"/>
  <c r="L34" i="42"/>
  <c r="L33" i="42"/>
  <c r="L32" i="42"/>
  <c r="L31" i="42"/>
  <c r="L30" i="42"/>
  <c r="T32" i="42"/>
  <c r="M28" i="42"/>
  <c r="M22" i="42" s="1"/>
  <c r="L27" i="42"/>
  <c r="L26" i="42"/>
  <c r="L25" i="42"/>
  <c r="L24" i="42"/>
  <c r="L23" i="42"/>
  <c r="L22" i="42"/>
  <c r="T24" i="42"/>
  <c r="M20" i="42"/>
  <c r="M14" i="42" s="1"/>
  <c r="L19" i="42"/>
  <c r="L18" i="42"/>
  <c r="L15" i="42"/>
  <c r="L14" i="42"/>
  <c r="T16" i="42"/>
  <c r="M358" i="42" l="1"/>
  <c r="M182" i="42"/>
  <c r="M187" i="42"/>
  <c r="M186" i="42" s="1"/>
  <c r="M185" i="42" s="1"/>
  <c r="M184" i="42" s="1"/>
  <c r="M183" i="42" s="1"/>
  <c r="M454" i="42"/>
  <c r="M291" i="42"/>
  <c r="M290" i="42" s="1"/>
  <c r="M289" i="42" s="1"/>
  <c r="M288" i="42" s="1"/>
  <c r="M287" i="42" s="1"/>
  <c r="M366" i="42"/>
  <c r="M126" i="42"/>
  <c r="M283" i="42"/>
  <c r="M282" i="42" s="1"/>
  <c r="M281" i="42" s="1"/>
  <c r="M280" i="42" s="1"/>
  <c r="M279" i="42" s="1"/>
  <c r="M310" i="42"/>
  <c r="M515" i="42"/>
  <c r="M514" i="42" s="1"/>
  <c r="M513" i="42" s="1"/>
  <c r="M512" i="42" s="1"/>
  <c r="M511" i="42" s="1"/>
  <c r="M510" i="42"/>
  <c r="M475" i="42"/>
  <c r="M474" i="42" s="1"/>
  <c r="M473" i="42" s="1"/>
  <c r="M472" i="42" s="1"/>
  <c r="M471" i="42" s="1"/>
  <c r="M467" i="42"/>
  <c r="M466" i="42" s="1"/>
  <c r="M465" i="42" s="1"/>
  <c r="M464" i="42" s="1"/>
  <c r="M463" i="42" s="1"/>
  <c r="M443" i="42"/>
  <c r="M442" i="42" s="1"/>
  <c r="M441" i="42" s="1"/>
  <c r="M440" i="42" s="1"/>
  <c r="M439" i="42" s="1"/>
  <c r="M438" i="42"/>
  <c r="M435" i="42"/>
  <c r="M434" i="42" s="1"/>
  <c r="M433" i="42" s="1"/>
  <c r="M432" i="42" s="1"/>
  <c r="M431" i="42" s="1"/>
  <c r="M430" i="42"/>
  <c r="M427" i="42"/>
  <c r="M426" i="42" s="1"/>
  <c r="M425" i="42" s="1"/>
  <c r="M424" i="42" s="1"/>
  <c r="M423" i="42" s="1"/>
  <c r="M422" i="42"/>
  <c r="M419" i="42"/>
  <c r="M418" i="42" s="1"/>
  <c r="M417" i="42" s="1"/>
  <c r="M416" i="42" s="1"/>
  <c r="M415" i="42" s="1"/>
  <c r="M414" i="42"/>
  <c r="M411" i="42"/>
  <c r="M410" i="42" s="1"/>
  <c r="M409" i="42" s="1"/>
  <c r="M408" i="42" s="1"/>
  <c r="M407" i="42" s="1"/>
  <c r="M403" i="42"/>
  <c r="M402" i="42" s="1"/>
  <c r="M401" i="42" s="1"/>
  <c r="M400" i="42" s="1"/>
  <c r="M399" i="42" s="1"/>
  <c r="M398" i="42"/>
  <c r="M355" i="42"/>
  <c r="M354" i="42" s="1"/>
  <c r="M353" i="42" s="1"/>
  <c r="M352" i="42" s="1"/>
  <c r="M351" i="42" s="1"/>
  <c r="M347" i="42"/>
  <c r="M346" i="42" s="1"/>
  <c r="M345" i="42" s="1"/>
  <c r="M344" i="42" s="1"/>
  <c r="M343" i="42" s="1"/>
  <c r="M342" i="42"/>
  <c r="M339" i="42"/>
  <c r="M338" i="42" s="1"/>
  <c r="M337" i="42" s="1"/>
  <c r="M336" i="42" s="1"/>
  <c r="M335" i="42" s="1"/>
  <c r="M331" i="42"/>
  <c r="M330" i="42" s="1"/>
  <c r="M329" i="42" s="1"/>
  <c r="M328" i="42" s="1"/>
  <c r="M327" i="42" s="1"/>
  <c r="M323" i="42"/>
  <c r="M322" i="42" s="1"/>
  <c r="M321" i="42" s="1"/>
  <c r="M320" i="42" s="1"/>
  <c r="M319" i="42" s="1"/>
  <c r="M307" i="42"/>
  <c r="M306" i="42" s="1"/>
  <c r="M305" i="42" s="1"/>
  <c r="M304" i="42" s="1"/>
  <c r="M303" i="42" s="1"/>
  <c r="M299" i="42"/>
  <c r="M298" i="42" s="1"/>
  <c r="M297" i="42" s="1"/>
  <c r="M296" i="42" s="1"/>
  <c r="M295" i="42" s="1"/>
  <c r="M275" i="42"/>
  <c r="M274" i="42" s="1"/>
  <c r="M273" i="42" s="1"/>
  <c r="M272" i="42" s="1"/>
  <c r="M271" i="42" s="1"/>
  <c r="M267" i="42"/>
  <c r="M266" i="42" s="1"/>
  <c r="M265" i="42" s="1"/>
  <c r="M264" i="42" s="1"/>
  <c r="M263" i="42" s="1"/>
  <c r="M262" i="42"/>
  <c r="M259" i="42"/>
  <c r="M258" i="42" s="1"/>
  <c r="M257" i="42" s="1"/>
  <c r="M256" i="42" s="1"/>
  <c r="M255" i="42" s="1"/>
  <c r="M251" i="42"/>
  <c r="M250" i="42" s="1"/>
  <c r="M249" i="42" s="1"/>
  <c r="M248" i="42" s="1"/>
  <c r="M247" i="42" s="1"/>
  <c r="M246" i="42"/>
  <c r="M243" i="42"/>
  <c r="M242" i="42" s="1"/>
  <c r="M241" i="42" s="1"/>
  <c r="M240" i="42" s="1"/>
  <c r="M239" i="42" s="1"/>
  <c r="M235" i="42"/>
  <c r="M234" i="42" s="1"/>
  <c r="M233" i="42" s="1"/>
  <c r="M232" i="42" s="1"/>
  <c r="M231" i="42" s="1"/>
  <c r="M230" i="42"/>
  <c r="M219" i="42"/>
  <c r="M218" i="42" s="1"/>
  <c r="M217" i="42" s="1"/>
  <c r="M216" i="42" s="1"/>
  <c r="M215" i="42" s="1"/>
  <c r="M195" i="42"/>
  <c r="M194" i="42" s="1"/>
  <c r="M193" i="42" s="1"/>
  <c r="M192" i="42" s="1"/>
  <c r="M191" i="42" s="1"/>
  <c r="M190" i="42"/>
  <c r="M179" i="42"/>
  <c r="M178" i="42" s="1"/>
  <c r="M177" i="42" s="1"/>
  <c r="M176" i="42" s="1"/>
  <c r="M175" i="42" s="1"/>
  <c r="M163" i="42"/>
  <c r="M162" i="42" s="1"/>
  <c r="M161" i="42" s="1"/>
  <c r="M160" i="42" s="1"/>
  <c r="M159" i="42" s="1"/>
  <c r="M155" i="42"/>
  <c r="M154" i="42" s="1"/>
  <c r="M153" i="42" s="1"/>
  <c r="M152" i="42" s="1"/>
  <c r="M151" i="42" s="1"/>
  <c r="M150" i="42"/>
  <c r="M147" i="42"/>
  <c r="M146" i="42" s="1"/>
  <c r="M145" i="42" s="1"/>
  <c r="M144" i="42" s="1"/>
  <c r="M143" i="42" s="1"/>
  <c r="M142" i="42"/>
  <c r="M139" i="42"/>
  <c r="M138" i="42" s="1"/>
  <c r="M137" i="42" s="1"/>
  <c r="M136" i="42" s="1"/>
  <c r="M135" i="42" s="1"/>
  <c r="M134" i="42"/>
  <c r="M123" i="42"/>
  <c r="M122" i="42" s="1"/>
  <c r="M121" i="42" s="1"/>
  <c r="M120" i="42" s="1"/>
  <c r="M119" i="42" s="1"/>
  <c r="M107" i="42"/>
  <c r="M106" i="42" s="1"/>
  <c r="M105" i="42" s="1"/>
  <c r="M104" i="42" s="1"/>
  <c r="M103" i="42" s="1"/>
  <c r="M83" i="42"/>
  <c r="M82" i="42" s="1"/>
  <c r="M81" i="42" s="1"/>
  <c r="M80" i="42" s="1"/>
  <c r="M79" i="42" s="1"/>
  <c r="M78" i="42"/>
  <c r="M59" i="42"/>
  <c r="M58" i="42" s="1"/>
  <c r="M57" i="42" s="1"/>
  <c r="M56" i="42" s="1"/>
  <c r="M55" i="42" s="1"/>
  <c r="M51" i="42"/>
  <c r="M50" i="42" s="1"/>
  <c r="M49" i="42" s="1"/>
  <c r="M48" i="42" s="1"/>
  <c r="M47" i="42" s="1"/>
  <c r="M43" i="42"/>
  <c r="M42" i="42" s="1"/>
  <c r="M41" i="42" s="1"/>
  <c r="M40" i="42" s="1"/>
  <c r="M39" i="42" s="1"/>
  <c r="M35" i="42"/>
  <c r="M34" i="42" s="1"/>
  <c r="M33" i="42" s="1"/>
  <c r="M32" i="42" s="1"/>
  <c r="M31" i="42" s="1"/>
  <c r="M27" i="42"/>
  <c r="M26" i="42" s="1"/>
  <c r="M25" i="42" s="1"/>
  <c r="M24" i="42" s="1"/>
  <c r="M23" i="42" s="1"/>
  <c r="M19" i="42"/>
  <c r="M18" i="42" s="1"/>
  <c r="M17" i="42" s="1"/>
  <c r="M16" i="42" l="1"/>
  <c r="AR270" i="28"/>
  <c r="AP270" i="28"/>
  <c r="AO270" i="28"/>
  <c r="AM270" i="28"/>
  <c r="AJ270" i="28"/>
  <c r="AG270" i="28"/>
  <c r="AD270" i="28"/>
  <c r="O270" i="28"/>
  <c r="AF270" i="28" s="1"/>
  <c r="O271" i="28"/>
  <c r="AF271" i="28" s="1"/>
  <c r="AD271" i="28"/>
  <c r="AG271" i="28"/>
  <c r="AJ271" i="28"/>
  <c r="AM271" i="28"/>
  <c r="AO271" i="28"/>
  <c r="AP271" i="28"/>
  <c r="AR271" i="28"/>
  <c r="X44" i="52"/>
  <c r="X43" i="52"/>
  <c r="X42" i="52"/>
  <c r="X41" i="52"/>
  <c r="X40" i="52"/>
  <c r="X39" i="52"/>
  <c r="X38" i="52"/>
  <c r="X37" i="52"/>
  <c r="X36" i="52"/>
  <c r="X35" i="52"/>
  <c r="X34" i="52"/>
  <c r="X33" i="52"/>
  <c r="X32" i="52"/>
  <c r="X31" i="52"/>
  <c r="X30" i="52"/>
  <c r="X29" i="52"/>
  <c r="X28" i="52"/>
  <c r="X27" i="52"/>
  <c r="X26" i="52"/>
  <c r="X25" i="52"/>
  <c r="X24" i="52"/>
  <c r="X23" i="52"/>
  <c r="X22" i="52"/>
  <c r="X21" i="52"/>
  <c r="X20" i="52"/>
  <c r="X19" i="52"/>
  <c r="X18" i="52"/>
  <c r="X17" i="52"/>
  <c r="X16" i="52"/>
  <c r="X15" i="52"/>
  <c r="X14" i="52"/>
  <c r="X13" i="52"/>
  <c r="X12" i="52"/>
  <c r="X11" i="52"/>
  <c r="X10" i="52"/>
  <c r="X9" i="52"/>
  <c r="X8" i="52"/>
  <c r="X7" i="52"/>
  <c r="X6" i="52"/>
  <c r="X5" i="52"/>
  <c r="X4" i="52"/>
  <c r="AD206" i="24"/>
  <c r="AG206" i="24"/>
  <c r="AJ206" i="24"/>
  <c r="AM206" i="24"/>
  <c r="AO206" i="24"/>
  <c r="AP206" i="24"/>
  <c r="AR206" i="24"/>
  <c r="O206" i="24"/>
  <c r="V206" i="24" s="1"/>
  <c r="AL206" i="24" s="1"/>
  <c r="AK206" i="24" s="1"/>
  <c r="AN206" i="24" l="1"/>
  <c r="AQ206" i="24"/>
  <c r="AF206" i="24"/>
  <c r="AE206" i="24" s="1"/>
  <c r="M15" i="42"/>
  <c r="AN270" i="28"/>
  <c r="AE271" i="28"/>
  <c r="AE270" i="28"/>
  <c r="AQ271" i="28"/>
  <c r="V271" i="28"/>
  <c r="AL271" i="28" s="1"/>
  <c r="AK271" i="28" s="1"/>
  <c r="AQ270" i="28"/>
  <c r="AN271" i="28"/>
  <c r="V270" i="28"/>
  <c r="AL270" i="28" s="1"/>
  <c r="AK270" i="28" s="1"/>
  <c r="AD211" i="24"/>
  <c r="AG211" i="24"/>
  <c r="AJ211" i="24"/>
  <c r="AM211" i="24"/>
  <c r="AO211" i="24"/>
  <c r="AP211" i="24"/>
  <c r="AR211" i="24"/>
  <c r="AD209" i="24"/>
  <c r="AG209" i="24"/>
  <c r="AJ209" i="24"/>
  <c r="AM209" i="24"/>
  <c r="AO209" i="24"/>
  <c r="AP209" i="24"/>
  <c r="AR209" i="24"/>
  <c r="AD210" i="24"/>
  <c r="AG210" i="24"/>
  <c r="AJ210" i="24"/>
  <c r="AM210" i="24"/>
  <c r="AO210" i="24"/>
  <c r="AN210" i="24" s="1"/>
  <c r="AP210" i="24"/>
  <c r="AR210" i="24"/>
  <c r="AD202" i="24"/>
  <c r="AG202" i="24"/>
  <c r="AJ202" i="24"/>
  <c r="AM202" i="24"/>
  <c r="AO202" i="24"/>
  <c r="AP202" i="24"/>
  <c r="AR202" i="24"/>
  <c r="AD203" i="24"/>
  <c r="AG203" i="24"/>
  <c r="AJ203" i="24"/>
  <c r="AM203" i="24"/>
  <c r="AO203" i="24"/>
  <c r="AN203" i="24" s="1"/>
  <c r="AP203" i="24"/>
  <c r="AR203" i="24"/>
  <c r="O203" i="24"/>
  <c r="V203" i="24" s="1"/>
  <c r="AL203" i="24" s="1"/>
  <c r="O202" i="24"/>
  <c r="V202" i="24" s="1"/>
  <c r="AL202" i="24" s="1"/>
  <c r="O209" i="24"/>
  <c r="AF209" i="24" s="1"/>
  <c r="AE209" i="24" s="1"/>
  <c r="O210" i="24"/>
  <c r="V210" i="24" s="1"/>
  <c r="AL210" i="24" s="1"/>
  <c r="AK210" i="24" s="1"/>
  <c r="O211" i="24"/>
  <c r="V211" i="24" s="1"/>
  <c r="AL211" i="24" s="1"/>
  <c r="AQ211" i="24" l="1"/>
  <c r="AK211" i="24"/>
  <c r="AQ209" i="24"/>
  <c r="AN202" i="24"/>
  <c r="AF211" i="24"/>
  <c r="AE211" i="24" s="1"/>
  <c r="AQ210" i="24"/>
  <c r="AQ202" i="24"/>
  <c r="AN209" i="24"/>
  <c r="AN211" i="24"/>
  <c r="AQ203" i="24"/>
  <c r="AK203" i="24"/>
  <c r="AF203" i="24"/>
  <c r="AE203" i="24" s="1"/>
  <c r="AK202" i="24"/>
  <c r="AF202" i="24"/>
  <c r="AE202" i="24" s="1"/>
  <c r="AF210" i="24"/>
  <c r="AE210" i="24" s="1"/>
  <c r="V209" i="24"/>
  <c r="AR280" i="28"/>
  <c r="AP280" i="28"/>
  <c r="AO280" i="28"/>
  <c r="AM280" i="28"/>
  <c r="AJ280" i="28"/>
  <c r="AG280" i="28"/>
  <c r="AD280" i="28"/>
  <c r="O280" i="28"/>
  <c r="O367" i="28"/>
  <c r="V367" i="28" s="1"/>
  <c r="AD367" i="28"/>
  <c r="AG367" i="28"/>
  <c r="AI367" i="28"/>
  <c r="AJ367" i="28"/>
  <c r="AM367" i="28"/>
  <c r="AO367" i="28"/>
  <c r="AP367" i="28"/>
  <c r="AR367" i="28"/>
  <c r="O350" i="28"/>
  <c r="V350" i="28" s="1"/>
  <c r="AL350" i="28" s="1"/>
  <c r="AD350" i="28"/>
  <c r="AG350" i="28"/>
  <c r="AJ350" i="28"/>
  <c r="AM350" i="28"/>
  <c r="AO350" i="28"/>
  <c r="AP350" i="28"/>
  <c r="AR350" i="28"/>
  <c r="AR264" i="28"/>
  <c r="AP264" i="28"/>
  <c r="AO264" i="28"/>
  <c r="AM264" i="28"/>
  <c r="AJ264" i="28"/>
  <c r="AG264" i="28"/>
  <c r="AD264" i="28"/>
  <c r="O264" i="28"/>
  <c r="V264" i="28" s="1"/>
  <c r="AL264" i="28" s="1"/>
  <c r="AR248" i="28"/>
  <c r="AP248" i="28"/>
  <c r="AO248" i="28"/>
  <c r="AM248" i="28"/>
  <c r="AJ248" i="28"/>
  <c r="AI248" i="28"/>
  <c r="AG248" i="28"/>
  <c r="AD248" i="28"/>
  <c r="O248" i="28"/>
  <c r="AF248" i="28" s="1"/>
  <c r="O330" i="28"/>
  <c r="V330" i="28" s="1"/>
  <c r="AL330" i="28" s="1"/>
  <c r="AD330" i="28"/>
  <c r="AG330" i="28"/>
  <c r="AJ330" i="28"/>
  <c r="AM330" i="28"/>
  <c r="AO330" i="28"/>
  <c r="AP330" i="28"/>
  <c r="AR330" i="28"/>
  <c r="O326" i="28"/>
  <c r="V326" i="28" s="1"/>
  <c r="AL326" i="28" s="1"/>
  <c r="AD326" i="28"/>
  <c r="AG326" i="28"/>
  <c r="AJ326" i="28"/>
  <c r="AM326" i="28"/>
  <c r="AO326" i="28"/>
  <c r="AP326" i="28"/>
  <c r="AR326" i="28"/>
  <c r="AR265" i="28"/>
  <c r="AP265" i="28"/>
  <c r="AO265" i="28"/>
  <c r="AM265" i="28"/>
  <c r="AJ265" i="28"/>
  <c r="AG265" i="28"/>
  <c r="AD265" i="28"/>
  <c r="O265" i="28"/>
  <c r="V265" i="28" s="1"/>
  <c r="AL265" i="28" s="1"/>
  <c r="AR489" i="28"/>
  <c r="AP489" i="28"/>
  <c r="AO489" i="28"/>
  <c r="AM489" i="28"/>
  <c r="AJ489" i="28"/>
  <c r="AI489" i="28"/>
  <c r="AG489" i="28"/>
  <c r="AD489" i="28"/>
  <c r="O489" i="28"/>
  <c r="AF489" i="28" s="1"/>
  <c r="AR522" i="28"/>
  <c r="AP522" i="28"/>
  <c r="AO522" i="28"/>
  <c r="AM522" i="28"/>
  <c r="AJ522" i="28"/>
  <c r="AG522" i="28"/>
  <c r="AD522" i="28"/>
  <c r="O522" i="28"/>
  <c r="V522" i="28" s="1"/>
  <c r="AL522" i="28" s="1"/>
  <c r="AR434" i="28"/>
  <c r="AP434" i="28"/>
  <c r="AO434" i="28"/>
  <c r="AM434" i="28"/>
  <c r="AJ434" i="28"/>
  <c r="AG434" i="28"/>
  <c r="AD434" i="28"/>
  <c r="O434" i="28"/>
  <c r="V434" i="28" s="1"/>
  <c r="AL434" i="28" s="1"/>
  <c r="AR371" i="28"/>
  <c r="AP371" i="28"/>
  <c r="AO371" i="28"/>
  <c r="AM371" i="28"/>
  <c r="AJ371" i="28"/>
  <c r="AG371" i="28"/>
  <c r="AD371" i="28"/>
  <c r="O371" i="28"/>
  <c r="V371" i="28" s="1"/>
  <c r="AL371" i="28" s="1"/>
  <c r="O204" i="28"/>
  <c r="AF204" i="28" s="1"/>
  <c r="AD204" i="28"/>
  <c r="AG204" i="28"/>
  <c r="AJ204" i="28"/>
  <c r="AM204" i="28"/>
  <c r="AO204" i="28"/>
  <c r="AP204" i="28"/>
  <c r="AR204" i="28"/>
  <c r="AR620" i="28"/>
  <c r="AP620" i="28"/>
  <c r="AO620" i="28"/>
  <c r="AM620" i="28"/>
  <c r="AJ620" i="28"/>
  <c r="AG620" i="28"/>
  <c r="AD620" i="28"/>
  <c r="AR619" i="28"/>
  <c r="AP619" i="28"/>
  <c r="AO619" i="28"/>
  <c r="AM619" i="28"/>
  <c r="AJ619" i="28"/>
  <c r="AG619" i="28"/>
  <c r="AD619" i="28"/>
  <c r="AR618" i="28"/>
  <c r="AP618" i="28"/>
  <c r="AO618" i="28"/>
  <c r="AM618" i="28"/>
  <c r="AJ618" i="28"/>
  <c r="AG618" i="28"/>
  <c r="AD618" i="28"/>
  <c r="AR617" i="28"/>
  <c r="AP617" i="28"/>
  <c r="AO617" i="28"/>
  <c r="AM617" i="28"/>
  <c r="AJ617" i="28"/>
  <c r="AG617" i="28"/>
  <c r="AD617" i="28"/>
  <c r="AR616" i="28"/>
  <c r="AP616" i="28"/>
  <c r="AO616" i="28"/>
  <c r="AM616" i="28"/>
  <c r="AJ616" i="28"/>
  <c r="AG616" i="28"/>
  <c r="AD616" i="28"/>
  <c r="AR615" i="28"/>
  <c r="AP615" i="28"/>
  <c r="AO615" i="28"/>
  <c r="AM615" i="28"/>
  <c r="AJ615" i="28"/>
  <c r="AG615" i="28"/>
  <c r="AD615" i="28"/>
  <c r="AR614" i="28"/>
  <c r="AP614" i="28"/>
  <c r="AO614" i="28"/>
  <c r="AM614" i="28"/>
  <c r="AJ614" i="28"/>
  <c r="AG614" i="28"/>
  <c r="AD614" i="28"/>
  <c r="AR613" i="28"/>
  <c r="AP613" i="28"/>
  <c r="AO613" i="28"/>
  <c r="AM613" i="28"/>
  <c r="AJ613" i="28"/>
  <c r="AG613" i="28"/>
  <c r="AD613" i="28"/>
  <c r="AR612" i="28"/>
  <c r="AP612" i="28"/>
  <c r="AO612" i="28"/>
  <c r="AM612" i="28"/>
  <c r="AJ612" i="28"/>
  <c r="AG612" i="28"/>
  <c r="AD612" i="28"/>
  <c r="AR611" i="28"/>
  <c r="AP611" i="28"/>
  <c r="AO611" i="28"/>
  <c r="AM611" i="28"/>
  <c r="AJ611" i="28"/>
  <c r="AG611" i="28"/>
  <c r="AD611" i="28"/>
  <c r="AR610" i="28"/>
  <c r="AP610" i="28"/>
  <c r="AO610" i="28"/>
  <c r="AM610" i="28"/>
  <c r="AJ610" i="28"/>
  <c r="AG610" i="28"/>
  <c r="AD610" i="28"/>
  <c r="AR609" i="28"/>
  <c r="AP609" i="28"/>
  <c r="AO609" i="28"/>
  <c r="AM609" i="28"/>
  <c r="AJ609" i="28"/>
  <c r="AG609" i="28"/>
  <c r="AD609" i="28"/>
  <c r="AR602" i="28"/>
  <c r="AP602" i="28"/>
  <c r="AO602" i="28"/>
  <c r="AM602" i="28"/>
  <c r="AJ602" i="28"/>
  <c r="AG602" i="28"/>
  <c r="AD602" i="28"/>
  <c r="AR593" i="28"/>
  <c r="AP593" i="28"/>
  <c r="AO593" i="28"/>
  <c r="AM593" i="28"/>
  <c r="AJ593" i="28"/>
  <c r="AG593" i="28"/>
  <c r="AD593" i="28"/>
  <c r="AR592" i="28"/>
  <c r="AP592" i="28"/>
  <c r="AO592" i="28"/>
  <c r="AM592" i="28"/>
  <c r="AJ592" i="28"/>
  <c r="AG592" i="28"/>
  <c r="AD592" i="28"/>
  <c r="AR591" i="28"/>
  <c r="AP591" i="28"/>
  <c r="AO591" i="28"/>
  <c r="AM591" i="28"/>
  <c r="AJ591" i="28"/>
  <c r="AG591" i="28"/>
  <c r="AD591" i="28"/>
  <c r="AR590" i="28"/>
  <c r="AP590" i="28"/>
  <c r="AO590" i="28"/>
  <c r="AM590" i="28"/>
  <c r="AJ590" i="28"/>
  <c r="AG590" i="28"/>
  <c r="AD590" i="28"/>
  <c r="AR286" i="28"/>
  <c r="AP286" i="28"/>
  <c r="AO286" i="28"/>
  <c r="AM286" i="28"/>
  <c r="AJ286" i="28"/>
  <c r="AG286" i="28"/>
  <c r="AD286" i="28"/>
  <c r="AR285" i="28"/>
  <c r="AP285" i="28"/>
  <c r="AM285" i="28"/>
  <c r="AJ285" i="28"/>
  <c r="AG285" i="28"/>
  <c r="AD285" i="28"/>
  <c r="AR284" i="28"/>
  <c r="AP284" i="28"/>
  <c r="AM284" i="28"/>
  <c r="AJ284" i="28"/>
  <c r="AG284" i="28"/>
  <c r="AD284" i="28"/>
  <c r="AR283" i="28"/>
  <c r="AP283" i="28"/>
  <c r="AO283" i="28"/>
  <c r="AM283" i="28"/>
  <c r="AJ283" i="28"/>
  <c r="AG283" i="28"/>
  <c r="AD283" i="28"/>
  <c r="AR589" i="28"/>
  <c r="AP589" i="28"/>
  <c r="AO589" i="28"/>
  <c r="AM589" i="28"/>
  <c r="AJ589" i="28"/>
  <c r="AG589" i="28"/>
  <c r="AD589" i="28"/>
  <c r="AR588" i="28"/>
  <c r="AP588" i="28"/>
  <c r="AO588" i="28"/>
  <c r="AM588" i="28"/>
  <c r="AJ588" i="28"/>
  <c r="AG588" i="28"/>
  <c r="AD588" i="28"/>
  <c r="AR587" i="28"/>
  <c r="AP587" i="28"/>
  <c r="AO587" i="28"/>
  <c r="AM587" i="28"/>
  <c r="AJ587" i="28"/>
  <c r="AG587" i="28"/>
  <c r="AD587" i="28"/>
  <c r="AR586" i="28"/>
  <c r="AP586" i="28"/>
  <c r="AO586" i="28"/>
  <c r="AM586" i="28"/>
  <c r="AJ586" i="28"/>
  <c r="AG586" i="28"/>
  <c r="AD586" i="28"/>
  <c r="AR585" i="28"/>
  <c r="AP585" i="28"/>
  <c r="AO585" i="28"/>
  <c r="AM585" i="28"/>
  <c r="AJ585" i="28"/>
  <c r="AG585" i="28"/>
  <c r="AD585" i="28"/>
  <c r="AR584" i="28"/>
  <c r="AP584" i="28"/>
  <c r="AO584" i="28"/>
  <c r="AM584" i="28"/>
  <c r="AJ584" i="28"/>
  <c r="AG584" i="28"/>
  <c r="AD584" i="28"/>
  <c r="AR561" i="28"/>
  <c r="AP561" i="28"/>
  <c r="AO561" i="28"/>
  <c r="AM561" i="28"/>
  <c r="AJ561" i="28"/>
  <c r="AG561" i="28"/>
  <c r="AD561" i="28"/>
  <c r="AR560" i="28"/>
  <c r="AP560" i="28"/>
  <c r="AO560" i="28"/>
  <c r="AM560" i="28"/>
  <c r="AJ560" i="28"/>
  <c r="AG560" i="28"/>
  <c r="AD560" i="28"/>
  <c r="AR559" i="28"/>
  <c r="AP559" i="28"/>
  <c r="AO559" i="28"/>
  <c r="AM559" i="28"/>
  <c r="AJ559" i="28"/>
  <c r="AI559" i="28"/>
  <c r="AG559" i="28"/>
  <c r="AF559" i="28"/>
  <c r="AD559" i="28"/>
  <c r="AR573" i="28"/>
  <c r="AP573" i="28"/>
  <c r="AO573" i="28"/>
  <c r="AM573" i="28"/>
  <c r="AJ573" i="28"/>
  <c r="AG573" i="28"/>
  <c r="AD573" i="28"/>
  <c r="AR572" i="28"/>
  <c r="AP572" i="28"/>
  <c r="AO572" i="28"/>
  <c r="AM572" i="28"/>
  <c r="AJ572" i="28"/>
  <c r="AG572" i="28"/>
  <c r="AD572" i="28"/>
  <c r="AR571" i="28"/>
  <c r="AP571" i="28"/>
  <c r="AO571" i="28"/>
  <c r="AM571" i="28"/>
  <c r="AJ571" i="28"/>
  <c r="AG571" i="28"/>
  <c r="AD571" i="28"/>
  <c r="AR570" i="28"/>
  <c r="AP570" i="28"/>
  <c r="AO570" i="28"/>
  <c r="AM570" i="28"/>
  <c r="AJ570" i="28"/>
  <c r="AI570" i="28"/>
  <c r="AG570" i="28"/>
  <c r="AD570" i="28"/>
  <c r="AR569" i="28"/>
  <c r="AP569" i="28"/>
  <c r="AO569" i="28"/>
  <c r="AM569" i="28"/>
  <c r="AJ569" i="28"/>
  <c r="AG569" i="28"/>
  <c r="AD569" i="28"/>
  <c r="AR568" i="28"/>
  <c r="AP568" i="28"/>
  <c r="AO568" i="28"/>
  <c r="AM568" i="28"/>
  <c r="AJ568" i="28"/>
  <c r="AG568" i="28"/>
  <c r="AD568" i="28"/>
  <c r="AR567" i="28"/>
  <c r="AP567" i="28"/>
  <c r="AO567" i="28"/>
  <c r="AM567" i="28"/>
  <c r="AJ567" i="28"/>
  <c r="AG567" i="28"/>
  <c r="AD567" i="28"/>
  <c r="AR566" i="28"/>
  <c r="AP566" i="28"/>
  <c r="AO566" i="28"/>
  <c r="AM566" i="28"/>
  <c r="AJ566" i="28"/>
  <c r="AG566" i="28"/>
  <c r="AD566" i="28"/>
  <c r="AR565" i="28"/>
  <c r="AP565" i="28"/>
  <c r="AO565" i="28"/>
  <c r="AM565" i="28"/>
  <c r="AJ565" i="28"/>
  <c r="AG565" i="28"/>
  <c r="AD565" i="28"/>
  <c r="AR564" i="28"/>
  <c r="AP564" i="28"/>
  <c r="AO564" i="28"/>
  <c r="AM564" i="28"/>
  <c r="AJ564" i="28"/>
  <c r="AG564" i="28"/>
  <c r="AD564" i="28"/>
  <c r="AR563" i="28"/>
  <c r="AP563" i="28"/>
  <c r="AO563" i="28"/>
  <c r="AM563" i="28"/>
  <c r="AJ563" i="28"/>
  <c r="AG563" i="28"/>
  <c r="AD563" i="28"/>
  <c r="AR550" i="28"/>
  <c r="AP550" i="28"/>
  <c r="AO550" i="28"/>
  <c r="AM550" i="28"/>
  <c r="AJ550" i="28"/>
  <c r="AG550" i="28"/>
  <c r="AD550" i="28"/>
  <c r="AR549" i="28"/>
  <c r="AP549" i="28"/>
  <c r="AO549" i="28"/>
  <c r="AM549" i="28"/>
  <c r="AJ549" i="28"/>
  <c r="AG549" i="28"/>
  <c r="AD549" i="28"/>
  <c r="AR548" i="28"/>
  <c r="AP548" i="28"/>
  <c r="AO548" i="28"/>
  <c r="AM548" i="28"/>
  <c r="AJ548" i="28"/>
  <c r="AG548" i="28"/>
  <c r="AD548" i="28"/>
  <c r="AR547" i="28"/>
  <c r="AP547" i="28"/>
  <c r="AO547" i="28"/>
  <c r="AM547" i="28"/>
  <c r="AJ547" i="28"/>
  <c r="AG547" i="28"/>
  <c r="AD547" i="28"/>
  <c r="AR546" i="28"/>
  <c r="AP546" i="28"/>
  <c r="AO546" i="28"/>
  <c r="AM546" i="28"/>
  <c r="AJ546" i="28"/>
  <c r="AG546" i="28"/>
  <c r="AD546" i="28"/>
  <c r="AR545" i="28"/>
  <c r="AP545" i="28"/>
  <c r="AO545" i="28"/>
  <c r="AM545" i="28"/>
  <c r="AJ545" i="28"/>
  <c r="AG545" i="28"/>
  <c r="AD545" i="28"/>
  <c r="AR544" i="28"/>
  <c r="AP544" i="28"/>
  <c r="AO544" i="28"/>
  <c r="AM544" i="28"/>
  <c r="AJ544" i="28"/>
  <c r="AG544" i="28"/>
  <c r="AD544" i="28"/>
  <c r="AR543" i="28"/>
  <c r="AP543" i="28"/>
  <c r="AO543" i="28"/>
  <c r="AM543" i="28"/>
  <c r="AJ543" i="28"/>
  <c r="AG543" i="28"/>
  <c r="AD543" i="28"/>
  <c r="AR542" i="28"/>
  <c r="AP542" i="28"/>
  <c r="AO542" i="28"/>
  <c r="AM542" i="28"/>
  <c r="AJ542" i="28"/>
  <c r="AG542" i="28"/>
  <c r="AD542" i="28"/>
  <c r="AR541" i="28"/>
  <c r="AP541" i="28"/>
  <c r="AO541" i="28"/>
  <c r="AM541" i="28"/>
  <c r="AJ541" i="28"/>
  <c r="AG541" i="28"/>
  <c r="AD541" i="28"/>
  <c r="AR540" i="28"/>
  <c r="AP540" i="28"/>
  <c r="AO540" i="28"/>
  <c r="AM540" i="28"/>
  <c r="AJ540" i="28"/>
  <c r="AG540" i="28"/>
  <c r="AD540" i="28"/>
  <c r="AR539" i="28"/>
  <c r="AP539" i="28"/>
  <c r="AO539" i="28"/>
  <c r="AM539" i="28"/>
  <c r="AJ539" i="28"/>
  <c r="AG539" i="28"/>
  <c r="AD539" i="28"/>
  <c r="AR538" i="28"/>
  <c r="AP538" i="28"/>
  <c r="AO538" i="28"/>
  <c r="AM538" i="28"/>
  <c r="AJ538" i="28"/>
  <c r="AG538" i="28"/>
  <c r="AD538" i="28"/>
  <c r="AR537" i="28"/>
  <c r="AP537" i="28"/>
  <c r="AO537" i="28"/>
  <c r="AM537" i="28"/>
  <c r="AJ537" i="28"/>
  <c r="AG537" i="28"/>
  <c r="AD537" i="28"/>
  <c r="AR536" i="28"/>
  <c r="AP536" i="28"/>
  <c r="AO536" i="28"/>
  <c r="AM536" i="28"/>
  <c r="AJ536" i="28"/>
  <c r="AG536" i="28"/>
  <c r="AD536" i="28"/>
  <c r="AR535" i="28"/>
  <c r="AP535" i="28"/>
  <c r="AO535" i="28"/>
  <c r="AM535" i="28"/>
  <c r="AJ535" i="28"/>
  <c r="AG535" i="28"/>
  <c r="AD535" i="28"/>
  <c r="AR534" i="28"/>
  <c r="AP534" i="28"/>
  <c r="AO534" i="28"/>
  <c r="AM534" i="28"/>
  <c r="AJ534" i="28"/>
  <c r="AG534" i="28"/>
  <c r="AD534" i="28"/>
  <c r="AR532" i="28"/>
  <c r="AP532" i="28"/>
  <c r="AO532" i="28"/>
  <c r="AM532" i="28"/>
  <c r="AJ532" i="28"/>
  <c r="AG532" i="28"/>
  <c r="AD532" i="28"/>
  <c r="AR531" i="28"/>
  <c r="AP531" i="28"/>
  <c r="AO531" i="28"/>
  <c r="AM531" i="28"/>
  <c r="AJ531" i="28"/>
  <c r="AG531" i="28"/>
  <c r="AD531" i="28"/>
  <c r="AR530" i="28"/>
  <c r="AP530" i="28"/>
  <c r="AO530" i="28"/>
  <c r="AM530" i="28"/>
  <c r="AJ530" i="28"/>
  <c r="AG530" i="28"/>
  <c r="AD530" i="28"/>
  <c r="AR529" i="28"/>
  <c r="AP529" i="28"/>
  <c r="AO529" i="28"/>
  <c r="AM529" i="28"/>
  <c r="AJ529" i="28"/>
  <c r="AG529" i="28"/>
  <c r="AD529" i="28"/>
  <c r="AR528" i="28"/>
  <c r="AP528" i="28"/>
  <c r="AO528" i="28"/>
  <c r="AM528" i="28"/>
  <c r="AJ528" i="28"/>
  <c r="AG528" i="28"/>
  <c r="AD528" i="28"/>
  <c r="AR527" i="28"/>
  <c r="AP527" i="28"/>
  <c r="AO527" i="28"/>
  <c r="AM527" i="28"/>
  <c r="AL527" i="28"/>
  <c r="AJ527" i="28"/>
  <c r="AI527" i="28"/>
  <c r="AG527" i="28"/>
  <c r="AF527" i="28"/>
  <c r="AD527" i="28"/>
  <c r="AR525" i="28"/>
  <c r="AP525" i="28"/>
  <c r="AO525" i="28"/>
  <c r="AM525" i="28"/>
  <c r="AJ525" i="28"/>
  <c r="AG525" i="28"/>
  <c r="AD525" i="28"/>
  <c r="AR526" i="28"/>
  <c r="AP526" i="28"/>
  <c r="AO526" i="28"/>
  <c r="AM526" i="28"/>
  <c r="AJ526" i="28"/>
  <c r="AG526" i="28"/>
  <c r="AD526" i="28"/>
  <c r="AR524" i="28"/>
  <c r="AP524" i="28"/>
  <c r="AO524" i="28"/>
  <c r="AM524" i="28"/>
  <c r="AR523" i="28"/>
  <c r="AP523" i="28"/>
  <c r="AO523" i="28"/>
  <c r="AM523" i="28"/>
  <c r="AL523" i="28"/>
  <c r="AJ523" i="28"/>
  <c r="AI523" i="28"/>
  <c r="AG523" i="28"/>
  <c r="AF523" i="28"/>
  <c r="AD523" i="28"/>
  <c r="AR583" i="28"/>
  <c r="AP583" i="28"/>
  <c r="AO583" i="28"/>
  <c r="AM583" i="28"/>
  <c r="AJ583" i="28"/>
  <c r="AG583" i="28"/>
  <c r="AD583" i="28"/>
  <c r="AR582" i="28"/>
  <c r="AP582" i="28"/>
  <c r="AO582" i="28"/>
  <c r="AM582" i="28"/>
  <c r="AJ582" i="28"/>
  <c r="AG582" i="28"/>
  <c r="AD582" i="28"/>
  <c r="AR580" i="28"/>
  <c r="AP580" i="28"/>
  <c r="AO580" i="28"/>
  <c r="AM580" i="28"/>
  <c r="AJ580" i="28"/>
  <c r="AG580" i="28"/>
  <c r="AD580" i="28"/>
  <c r="AR533" i="28"/>
  <c r="AP533" i="28"/>
  <c r="AO533" i="28"/>
  <c r="AM533" i="28"/>
  <c r="AJ533" i="28"/>
  <c r="AG533" i="28"/>
  <c r="AD533" i="28"/>
  <c r="AR578" i="28"/>
  <c r="AP578" i="28"/>
  <c r="AO578" i="28"/>
  <c r="AM578" i="28"/>
  <c r="AJ578" i="28"/>
  <c r="AG578" i="28"/>
  <c r="AD578" i="28"/>
  <c r="AR577" i="28"/>
  <c r="AP577" i="28"/>
  <c r="AO577" i="28"/>
  <c r="AM577" i="28"/>
  <c r="AJ577" i="28"/>
  <c r="AG577" i="28"/>
  <c r="AD577" i="28"/>
  <c r="AR576" i="28"/>
  <c r="AP576" i="28"/>
  <c r="AO576" i="28"/>
  <c r="AM576" i="28"/>
  <c r="AJ576" i="28"/>
  <c r="AI576" i="28"/>
  <c r="AG576" i="28"/>
  <c r="AD576" i="28"/>
  <c r="AR575" i="28"/>
  <c r="AP575" i="28"/>
  <c r="AO575" i="28"/>
  <c r="AM575" i="28"/>
  <c r="AJ575" i="28"/>
  <c r="AG575" i="28"/>
  <c r="AD575" i="28"/>
  <c r="AR574" i="28"/>
  <c r="AP574" i="28"/>
  <c r="AO574" i="28"/>
  <c r="AM574" i="28"/>
  <c r="AL574" i="28"/>
  <c r="AJ574" i="28"/>
  <c r="AI574" i="28"/>
  <c r="AG574" i="28"/>
  <c r="AD574" i="28"/>
  <c r="AR503" i="28"/>
  <c r="AP503" i="28"/>
  <c r="AO503" i="28"/>
  <c r="AM503" i="28"/>
  <c r="AJ503" i="28"/>
  <c r="AG503" i="28"/>
  <c r="AD503" i="28"/>
  <c r="AR502" i="28"/>
  <c r="AP502" i="28"/>
  <c r="AO502" i="28"/>
  <c r="AM502" i="28"/>
  <c r="AJ502" i="28"/>
  <c r="AG502" i="28"/>
  <c r="AD502" i="28"/>
  <c r="AR501" i="28"/>
  <c r="AP501" i="28"/>
  <c r="AO501" i="28"/>
  <c r="AM501" i="28"/>
  <c r="AJ501" i="28"/>
  <c r="AG501" i="28"/>
  <c r="AD501" i="28"/>
  <c r="AR500" i="28"/>
  <c r="AP500" i="28"/>
  <c r="AO500" i="28"/>
  <c r="AM500" i="28"/>
  <c r="AJ500" i="28"/>
  <c r="AG500" i="28"/>
  <c r="AD500" i="28"/>
  <c r="AR499" i="28"/>
  <c r="AP499" i="28"/>
  <c r="AO499" i="28"/>
  <c r="AM499" i="28"/>
  <c r="AJ499" i="28"/>
  <c r="AI499" i="28"/>
  <c r="AG499" i="28"/>
  <c r="AF499" i="28"/>
  <c r="AD499" i="28"/>
  <c r="AR514" i="28"/>
  <c r="AP514" i="28"/>
  <c r="AO514" i="28"/>
  <c r="AM514" i="28"/>
  <c r="AJ514" i="28"/>
  <c r="AG514" i="28"/>
  <c r="AD514" i="28"/>
  <c r="AR513" i="28"/>
  <c r="AP513" i="28"/>
  <c r="AO513" i="28"/>
  <c r="AM513" i="28"/>
  <c r="AJ513" i="28"/>
  <c r="AG513" i="28"/>
  <c r="AD513" i="28"/>
  <c r="AR512" i="28"/>
  <c r="AP512" i="28"/>
  <c r="AO512" i="28"/>
  <c r="AM512" i="28"/>
  <c r="AJ512" i="28"/>
  <c r="AG512" i="28"/>
  <c r="AD512" i="28"/>
  <c r="AR511" i="28"/>
  <c r="AP511" i="28"/>
  <c r="AO511" i="28"/>
  <c r="AM511" i="28"/>
  <c r="AJ511" i="28"/>
  <c r="AG511" i="28"/>
  <c r="AD511" i="28"/>
  <c r="AR510" i="28"/>
  <c r="AP510" i="28"/>
  <c r="AO510" i="28"/>
  <c r="AM510" i="28"/>
  <c r="AJ510" i="28"/>
  <c r="AG510" i="28"/>
  <c r="AD510" i="28"/>
  <c r="AR509" i="28"/>
  <c r="AP509" i="28"/>
  <c r="AO509" i="28"/>
  <c r="AM509" i="28"/>
  <c r="AJ509" i="28"/>
  <c r="AG509" i="28"/>
  <c r="AD509" i="28"/>
  <c r="AR508" i="28"/>
  <c r="AP508" i="28"/>
  <c r="AO508" i="28"/>
  <c r="AM508" i="28"/>
  <c r="AJ508" i="28"/>
  <c r="AG508" i="28"/>
  <c r="AD508" i="28"/>
  <c r="AR507" i="28"/>
  <c r="AP507" i="28"/>
  <c r="AO507" i="28"/>
  <c r="AM507" i="28"/>
  <c r="AJ507" i="28"/>
  <c r="AG507" i="28"/>
  <c r="AD507" i="28"/>
  <c r="AR506" i="28"/>
  <c r="AP506" i="28"/>
  <c r="AO506" i="28"/>
  <c r="AM506" i="28"/>
  <c r="AJ506" i="28"/>
  <c r="AG506" i="28"/>
  <c r="AD506" i="28"/>
  <c r="AR505" i="28"/>
  <c r="AP505" i="28"/>
  <c r="AO505" i="28"/>
  <c r="AM505" i="28"/>
  <c r="AJ505" i="28"/>
  <c r="AG505" i="28"/>
  <c r="AD505" i="28"/>
  <c r="AR504" i="28"/>
  <c r="AP504" i="28"/>
  <c r="AO504" i="28"/>
  <c r="AM504" i="28"/>
  <c r="AJ504" i="28"/>
  <c r="AI504" i="28"/>
  <c r="AG504" i="28"/>
  <c r="AF504" i="28"/>
  <c r="AD504" i="28"/>
  <c r="AR389" i="28"/>
  <c r="AP389" i="28"/>
  <c r="AO389" i="28"/>
  <c r="AM389" i="28"/>
  <c r="AJ389" i="28"/>
  <c r="AG389" i="28"/>
  <c r="AD389" i="28"/>
  <c r="AR388" i="28"/>
  <c r="AP388" i="28"/>
  <c r="AO388" i="28"/>
  <c r="AM388" i="28"/>
  <c r="AJ388" i="28"/>
  <c r="AG388" i="28"/>
  <c r="AD388" i="28"/>
  <c r="AR387" i="28"/>
  <c r="AP387" i="28"/>
  <c r="AO387" i="28"/>
  <c r="AM387" i="28"/>
  <c r="AJ387" i="28"/>
  <c r="AG387" i="28"/>
  <c r="AD387" i="28"/>
  <c r="AR386" i="28"/>
  <c r="AP386" i="28"/>
  <c r="AO386" i="28"/>
  <c r="AM386" i="28"/>
  <c r="AJ386" i="28"/>
  <c r="AG386" i="28"/>
  <c r="AD386" i="28"/>
  <c r="AR385" i="28"/>
  <c r="AP385" i="28"/>
  <c r="AO385" i="28"/>
  <c r="AM385" i="28"/>
  <c r="AJ385" i="28"/>
  <c r="AG385" i="28"/>
  <c r="AD385" i="28"/>
  <c r="AR384" i="28"/>
  <c r="AP384" i="28"/>
  <c r="AO384" i="28"/>
  <c r="AM384" i="28"/>
  <c r="AJ384" i="28"/>
  <c r="AG384" i="28"/>
  <c r="AD384" i="28"/>
  <c r="AR383" i="28"/>
  <c r="AP383" i="28"/>
  <c r="AO383" i="28"/>
  <c r="AM383" i="28"/>
  <c r="AJ383" i="28"/>
  <c r="AG383" i="28"/>
  <c r="AD383" i="28"/>
  <c r="AR382" i="28"/>
  <c r="AP382" i="28"/>
  <c r="AO382" i="28"/>
  <c r="AM382" i="28"/>
  <c r="AJ382" i="28"/>
  <c r="AG382" i="28"/>
  <c r="AD382" i="28"/>
  <c r="AR381" i="28"/>
  <c r="AP381" i="28"/>
  <c r="AO381" i="28"/>
  <c r="AM381" i="28"/>
  <c r="AJ381" i="28"/>
  <c r="AG381" i="28"/>
  <c r="AD381" i="28"/>
  <c r="AR380" i="28"/>
  <c r="AP380" i="28"/>
  <c r="AO380" i="28"/>
  <c r="AM380" i="28"/>
  <c r="AJ380" i="28"/>
  <c r="AG380" i="28"/>
  <c r="AD380" i="28"/>
  <c r="AR379" i="28"/>
  <c r="AP379" i="28"/>
  <c r="AO379" i="28"/>
  <c r="AM379" i="28"/>
  <c r="AJ379" i="28"/>
  <c r="AG379" i="28"/>
  <c r="AD379" i="28"/>
  <c r="AR378" i="28"/>
  <c r="AP378" i="28"/>
  <c r="AO378" i="28"/>
  <c r="AM378" i="28"/>
  <c r="AJ378" i="28"/>
  <c r="AG378" i="28"/>
  <c r="AD378" i="28"/>
  <c r="AR377" i="28"/>
  <c r="AP377" i="28"/>
  <c r="AO377" i="28"/>
  <c r="AM377" i="28"/>
  <c r="AJ377" i="28"/>
  <c r="AG377" i="28"/>
  <c r="AD377" i="28"/>
  <c r="AR376" i="28"/>
  <c r="AP376" i="28"/>
  <c r="AO376" i="28"/>
  <c r="AM376" i="28"/>
  <c r="AJ376" i="28"/>
  <c r="AG376" i="28"/>
  <c r="AD376" i="28"/>
  <c r="AR375" i="28"/>
  <c r="AP375" i="28"/>
  <c r="AO375" i="28"/>
  <c r="AM375" i="28"/>
  <c r="AJ375" i="28"/>
  <c r="AG375" i="28"/>
  <c r="AD375" i="28"/>
  <c r="AR374" i="28"/>
  <c r="AP374" i="28"/>
  <c r="AO374" i="28"/>
  <c r="AM374" i="28"/>
  <c r="AJ374" i="28"/>
  <c r="AG374" i="28"/>
  <c r="AD374" i="28"/>
  <c r="AR373" i="28"/>
  <c r="AP373" i="28"/>
  <c r="AO373" i="28"/>
  <c r="AM373" i="28"/>
  <c r="AJ373" i="28"/>
  <c r="AG373" i="28"/>
  <c r="AD373" i="28"/>
  <c r="AR372" i="28"/>
  <c r="AP372" i="28"/>
  <c r="AO372" i="28"/>
  <c r="AM372" i="28"/>
  <c r="AJ372" i="28"/>
  <c r="AG372" i="28"/>
  <c r="AD372" i="28"/>
  <c r="AR396" i="28"/>
  <c r="AP396" i="28"/>
  <c r="AO396" i="28"/>
  <c r="AM396" i="28"/>
  <c r="AJ396" i="28"/>
  <c r="AG396" i="28"/>
  <c r="AD396" i="28"/>
  <c r="AR395" i="28"/>
  <c r="AP395" i="28"/>
  <c r="AO395" i="28"/>
  <c r="AM395" i="28"/>
  <c r="AJ395" i="28"/>
  <c r="AG395" i="28"/>
  <c r="AD395" i="28"/>
  <c r="AR394" i="28"/>
  <c r="AP394" i="28"/>
  <c r="AO394" i="28"/>
  <c r="AM394" i="28"/>
  <c r="AJ394" i="28"/>
  <c r="AG394" i="28"/>
  <c r="AD394" i="28"/>
  <c r="AR393" i="28"/>
  <c r="AP393" i="28"/>
  <c r="AO393" i="28"/>
  <c r="AM393" i="28"/>
  <c r="AJ393" i="28"/>
  <c r="AG393" i="28"/>
  <c r="AD393" i="28"/>
  <c r="AR392" i="28"/>
  <c r="AP392" i="28"/>
  <c r="AO392" i="28"/>
  <c r="AM392" i="28"/>
  <c r="AJ392" i="28"/>
  <c r="AG392" i="28"/>
  <c r="AD392" i="28"/>
  <c r="AR391" i="28"/>
  <c r="AP391" i="28"/>
  <c r="AO391" i="28"/>
  <c r="AM391" i="28"/>
  <c r="AJ391" i="28"/>
  <c r="AG391" i="28"/>
  <c r="AD391" i="28"/>
  <c r="AR390" i="28"/>
  <c r="AP390" i="28"/>
  <c r="AO390" i="28"/>
  <c r="AM390" i="28"/>
  <c r="AJ390" i="28"/>
  <c r="AG390" i="28"/>
  <c r="AD390" i="28"/>
  <c r="AP433" i="28"/>
  <c r="AM433" i="28"/>
  <c r="AJ433" i="28"/>
  <c r="AG433" i="28"/>
  <c r="AD433" i="28"/>
  <c r="AP432" i="28"/>
  <c r="AM432" i="28"/>
  <c r="AJ432" i="28"/>
  <c r="AG432" i="28"/>
  <c r="AD432" i="28"/>
  <c r="AR431" i="28"/>
  <c r="AP431" i="28"/>
  <c r="AO431" i="28"/>
  <c r="AM431" i="28"/>
  <c r="AL431" i="28"/>
  <c r="AJ431" i="28"/>
  <c r="AI431" i="28"/>
  <c r="AG431" i="28"/>
  <c r="AF431" i="28"/>
  <c r="AD431" i="28"/>
  <c r="AR407" i="28"/>
  <c r="AP407" i="28"/>
  <c r="AO407" i="28"/>
  <c r="AM407" i="28"/>
  <c r="AJ407" i="28"/>
  <c r="AG407" i="28"/>
  <c r="AD407" i="28"/>
  <c r="AR406" i="28"/>
  <c r="AP406" i="28"/>
  <c r="AO406" i="28"/>
  <c r="AM406" i="28"/>
  <c r="AJ406" i="28"/>
  <c r="AG406" i="28"/>
  <c r="AD406" i="28"/>
  <c r="AR405" i="28"/>
  <c r="AP405" i="28"/>
  <c r="AO405" i="28"/>
  <c r="AM405" i="28"/>
  <c r="AJ405" i="28"/>
  <c r="AG405" i="28"/>
  <c r="AD405" i="28"/>
  <c r="AR404" i="28"/>
  <c r="AP404" i="28"/>
  <c r="AO404" i="28"/>
  <c r="AM404" i="28"/>
  <c r="AJ404" i="28"/>
  <c r="AG404" i="28"/>
  <c r="AD404" i="28"/>
  <c r="AR403" i="28"/>
  <c r="AP403" i="28"/>
  <c r="AO403" i="28"/>
  <c r="AM403" i="28"/>
  <c r="AJ403" i="28"/>
  <c r="AG403" i="28"/>
  <c r="AD403" i="28"/>
  <c r="AR402" i="28"/>
  <c r="AP402" i="28"/>
  <c r="AO402" i="28"/>
  <c r="AM402" i="28"/>
  <c r="AL402" i="28"/>
  <c r="AJ402" i="28"/>
  <c r="AI402" i="28"/>
  <c r="AG402" i="28"/>
  <c r="AF402" i="28"/>
  <c r="AD402" i="28"/>
  <c r="AR401" i="28"/>
  <c r="AP401" i="28"/>
  <c r="AO401" i="28"/>
  <c r="AM401" i="28"/>
  <c r="AL401" i="28"/>
  <c r="AJ401" i="28"/>
  <c r="AI401" i="28"/>
  <c r="AG401" i="28"/>
  <c r="AF401" i="28"/>
  <c r="AD401" i="28"/>
  <c r="AR400" i="28"/>
  <c r="AP400" i="28"/>
  <c r="AO400" i="28"/>
  <c r="AM400" i="28"/>
  <c r="AL400" i="28"/>
  <c r="AJ400" i="28"/>
  <c r="AI400" i="28"/>
  <c r="AG400" i="28"/>
  <c r="AF400" i="28"/>
  <c r="AD400" i="28"/>
  <c r="AR399" i="28"/>
  <c r="AP399" i="28"/>
  <c r="AO399" i="28"/>
  <c r="AM399" i="28"/>
  <c r="AL399" i="28"/>
  <c r="AJ399" i="28"/>
  <c r="AI399" i="28"/>
  <c r="AG399" i="28"/>
  <c r="AF399" i="28"/>
  <c r="AD399" i="28"/>
  <c r="AR398" i="28"/>
  <c r="AP398" i="28"/>
  <c r="AO398" i="28"/>
  <c r="AM398" i="28"/>
  <c r="AL398" i="28"/>
  <c r="AJ398" i="28"/>
  <c r="AI398" i="28"/>
  <c r="AG398" i="28"/>
  <c r="AF398" i="28"/>
  <c r="AD398" i="28"/>
  <c r="AR397" i="28"/>
  <c r="AP397" i="28"/>
  <c r="AO397" i="28"/>
  <c r="AM397" i="28"/>
  <c r="AL397" i="28"/>
  <c r="AJ397" i="28"/>
  <c r="AI397" i="28"/>
  <c r="AG397" i="28"/>
  <c r="AF397" i="28"/>
  <c r="AD397" i="28"/>
  <c r="AR498" i="28"/>
  <c r="AP498" i="28"/>
  <c r="AO498" i="28"/>
  <c r="AM498" i="28"/>
  <c r="AJ498" i="28"/>
  <c r="AG498" i="28"/>
  <c r="AD498" i="28"/>
  <c r="AR497" i="28"/>
  <c r="AP497" i="28"/>
  <c r="AO497" i="28"/>
  <c r="AM497" i="28"/>
  <c r="AJ497" i="28"/>
  <c r="AG497" i="28"/>
  <c r="AD497" i="28"/>
  <c r="AR496" i="28"/>
  <c r="AP496" i="28"/>
  <c r="AO496" i="28"/>
  <c r="AM496" i="28"/>
  <c r="AJ496" i="28"/>
  <c r="AG496" i="28"/>
  <c r="AD496" i="28"/>
  <c r="AR495" i="28"/>
  <c r="AP495" i="28"/>
  <c r="AO495" i="28"/>
  <c r="AM495" i="28"/>
  <c r="AJ495" i="28"/>
  <c r="AG495" i="28"/>
  <c r="AD495" i="28"/>
  <c r="AR494" i="28"/>
  <c r="AP494" i="28"/>
  <c r="AO494" i="28"/>
  <c r="AM494" i="28"/>
  <c r="AJ494" i="28"/>
  <c r="AG494" i="28"/>
  <c r="AD494" i="28"/>
  <c r="AR493" i="28"/>
  <c r="AP493" i="28"/>
  <c r="AO493" i="28"/>
  <c r="AM493" i="28"/>
  <c r="AJ493" i="28"/>
  <c r="AG493" i="28"/>
  <c r="AD493" i="28"/>
  <c r="AR492" i="28"/>
  <c r="AP492" i="28"/>
  <c r="AO492" i="28"/>
  <c r="AM492" i="28"/>
  <c r="AJ492" i="28"/>
  <c r="AG492" i="28"/>
  <c r="AD492" i="28"/>
  <c r="AR491" i="28"/>
  <c r="AP491" i="28"/>
  <c r="AO491" i="28"/>
  <c r="AM491" i="28"/>
  <c r="AJ491" i="28"/>
  <c r="AG491" i="28"/>
  <c r="AD491" i="28"/>
  <c r="AR490" i="28"/>
  <c r="AP490" i="28"/>
  <c r="AO490" i="28"/>
  <c r="AM490" i="28"/>
  <c r="AJ490" i="28"/>
  <c r="AG490" i="28"/>
  <c r="AD490" i="28"/>
  <c r="AR521" i="28"/>
  <c r="AP521" i="28"/>
  <c r="AO521" i="28"/>
  <c r="AM521" i="28"/>
  <c r="AJ521" i="28"/>
  <c r="AG521" i="28"/>
  <c r="AD521" i="28"/>
  <c r="AR520" i="28"/>
  <c r="AP520" i="28"/>
  <c r="AO520" i="28"/>
  <c r="AM520" i="28"/>
  <c r="AJ520" i="28"/>
  <c r="AG520" i="28"/>
  <c r="AD520" i="28"/>
  <c r="AR519" i="28"/>
  <c r="AP519" i="28"/>
  <c r="AO519" i="28"/>
  <c r="AM519" i="28"/>
  <c r="AJ519" i="28"/>
  <c r="AG519" i="28"/>
  <c r="AD519" i="28"/>
  <c r="AR518" i="28"/>
  <c r="AP518" i="28"/>
  <c r="AO518" i="28"/>
  <c r="AM518" i="28"/>
  <c r="AJ518" i="28"/>
  <c r="AG518" i="28"/>
  <c r="AD518" i="28"/>
  <c r="AR517" i="28"/>
  <c r="AP517" i="28"/>
  <c r="AO517" i="28"/>
  <c r="AM517" i="28"/>
  <c r="AJ517" i="28"/>
  <c r="AG517" i="28"/>
  <c r="AD517" i="28"/>
  <c r="AR516" i="28"/>
  <c r="AP516" i="28"/>
  <c r="AO516" i="28"/>
  <c r="AM516" i="28"/>
  <c r="AJ516" i="28"/>
  <c r="AG516" i="28"/>
  <c r="AD516" i="28"/>
  <c r="AR515" i="28"/>
  <c r="AP515" i="28"/>
  <c r="AO515" i="28"/>
  <c r="AM515" i="28"/>
  <c r="AJ515" i="28"/>
  <c r="AG515" i="28"/>
  <c r="AD515" i="28"/>
  <c r="AR488" i="28"/>
  <c r="AP488" i="28"/>
  <c r="AO488" i="28"/>
  <c r="AM488" i="28"/>
  <c r="AJ488" i="28"/>
  <c r="AG488" i="28"/>
  <c r="AD488" i="28"/>
  <c r="AR487" i="28"/>
  <c r="AP487" i="28"/>
  <c r="AO487" i="28"/>
  <c r="AM487" i="28"/>
  <c r="AJ487" i="28"/>
  <c r="AG487" i="28"/>
  <c r="AD487" i="28"/>
  <c r="AR486" i="28"/>
  <c r="AP486" i="28"/>
  <c r="AO486" i="28"/>
  <c r="AM486" i="28"/>
  <c r="AJ486" i="28"/>
  <c r="AG486" i="28"/>
  <c r="AD486" i="28"/>
  <c r="AR485" i="28"/>
  <c r="AP485" i="28"/>
  <c r="AO485" i="28"/>
  <c r="AM485" i="28"/>
  <c r="AJ485" i="28"/>
  <c r="AG485" i="28"/>
  <c r="AD485" i="28"/>
  <c r="AR484" i="28"/>
  <c r="AP484" i="28"/>
  <c r="AO484" i="28"/>
  <c r="AM484" i="28"/>
  <c r="AJ484" i="28"/>
  <c r="AG484" i="28"/>
  <c r="AD484" i="28"/>
  <c r="AR483" i="28"/>
  <c r="AP483" i="28"/>
  <c r="AO483" i="28"/>
  <c r="AM483" i="28"/>
  <c r="AJ483" i="28"/>
  <c r="AG483" i="28"/>
  <c r="AD483" i="28"/>
  <c r="AR482" i="28"/>
  <c r="AP482" i="28"/>
  <c r="AO482" i="28"/>
  <c r="AM482" i="28"/>
  <c r="AJ482" i="28"/>
  <c r="AG482" i="28"/>
  <c r="AD482" i="28"/>
  <c r="AR481" i="28"/>
  <c r="AP481" i="28"/>
  <c r="AO481" i="28"/>
  <c r="AM481" i="28"/>
  <c r="AJ481" i="28"/>
  <c r="AG481" i="28"/>
  <c r="AD481" i="28"/>
  <c r="AR480" i="28"/>
  <c r="AP480" i="28"/>
  <c r="AO480" i="28"/>
  <c r="AM480" i="28"/>
  <c r="AJ480" i="28"/>
  <c r="AG480" i="28"/>
  <c r="AD480" i="28"/>
  <c r="AR479" i="28"/>
  <c r="AP479" i="28"/>
  <c r="AO479" i="28"/>
  <c r="AM479" i="28"/>
  <c r="AJ479" i="28"/>
  <c r="AG479" i="28"/>
  <c r="AD479" i="28"/>
  <c r="AR478" i="28"/>
  <c r="AP478" i="28"/>
  <c r="AO478" i="28"/>
  <c r="AM478" i="28"/>
  <c r="AJ478" i="28"/>
  <c r="AG478" i="28"/>
  <c r="AD478" i="28"/>
  <c r="AR477" i="28"/>
  <c r="AP477" i="28"/>
  <c r="AO477" i="28"/>
  <c r="AM477" i="28"/>
  <c r="AJ477" i="28"/>
  <c r="AG477" i="28"/>
  <c r="AD477" i="28"/>
  <c r="AR476" i="28"/>
  <c r="AP476" i="28"/>
  <c r="AO476" i="28"/>
  <c r="AM476" i="28"/>
  <c r="AJ476" i="28"/>
  <c r="AG476" i="28"/>
  <c r="AD476" i="28"/>
  <c r="AR475" i="28"/>
  <c r="AP475" i="28"/>
  <c r="AO475" i="28"/>
  <c r="AM475" i="28"/>
  <c r="AJ475" i="28"/>
  <c r="AG475" i="28"/>
  <c r="AD475" i="28"/>
  <c r="AR474" i="28"/>
  <c r="AP474" i="28"/>
  <c r="AO474" i="28"/>
  <c r="AM474" i="28"/>
  <c r="AJ474" i="28"/>
  <c r="AG474" i="28"/>
  <c r="AD474" i="28"/>
  <c r="AR473" i="28"/>
  <c r="AP473" i="28"/>
  <c r="AO473" i="28"/>
  <c r="AM473" i="28"/>
  <c r="AJ473" i="28"/>
  <c r="AG473" i="28"/>
  <c r="AD473" i="28"/>
  <c r="AR472" i="28"/>
  <c r="AP472" i="28"/>
  <c r="AO472" i="28"/>
  <c r="AM472" i="28"/>
  <c r="AJ472" i="28"/>
  <c r="AG472" i="28"/>
  <c r="AD472" i="28"/>
  <c r="AR471" i="28"/>
  <c r="AP471" i="28"/>
  <c r="AO471" i="28"/>
  <c r="AM471" i="28"/>
  <c r="AJ471" i="28"/>
  <c r="AG471" i="28"/>
  <c r="AD471" i="28"/>
  <c r="AR470" i="28"/>
  <c r="AP470" i="28"/>
  <c r="AO470" i="28"/>
  <c r="AM470" i="28"/>
  <c r="AJ470" i="28"/>
  <c r="AG470" i="28"/>
  <c r="AD470" i="28"/>
  <c r="AR469" i="28"/>
  <c r="AP469" i="28"/>
  <c r="AO469" i="28"/>
  <c r="AM469" i="28"/>
  <c r="AJ469" i="28"/>
  <c r="AG469" i="28"/>
  <c r="AD469" i="28"/>
  <c r="AR468" i="28"/>
  <c r="AP468" i="28"/>
  <c r="AO468" i="28"/>
  <c r="AM468" i="28"/>
  <c r="AJ468" i="28"/>
  <c r="AG468" i="28"/>
  <c r="AD468" i="28"/>
  <c r="AR467" i="28"/>
  <c r="AP467" i="28"/>
  <c r="AO467" i="28"/>
  <c r="AM467" i="28"/>
  <c r="AJ467" i="28"/>
  <c r="AG467" i="28"/>
  <c r="AD467" i="28"/>
  <c r="AR466" i="28"/>
  <c r="AP466" i="28"/>
  <c r="AO466" i="28"/>
  <c r="AM466" i="28"/>
  <c r="AJ466" i="28"/>
  <c r="AG466" i="28"/>
  <c r="AD466" i="28"/>
  <c r="AR465" i="28"/>
  <c r="AP465" i="28"/>
  <c r="AO465" i="28"/>
  <c r="AM465" i="28"/>
  <c r="AJ465" i="28"/>
  <c r="AG465" i="28"/>
  <c r="AD465" i="28"/>
  <c r="AR464" i="28"/>
  <c r="AP464" i="28"/>
  <c r="AO464" i="28"/>
  <c r="AM464" i="28"/>
  <c r="AJ464" i="28"/>
  <c r="AG464" i="28"/>
  <c r="AD464" i="28"/>
  <c r="AR463" i="28"/>
  <c r="AP463" i="28"/>
  <c r="AO463" i="28"/>
  <c r="AM463" i="28"/>
  <c r="AJ463" i="28"/>
  <c r="AG463" i="28"/>
  <c r="AD463" i="28"/>
  <c r="AR462" i="28"/>
  <c r="AP462" i="28"/>
  <c r="AO462" i="28"/>
  <c r="AM462" i="28"/>
  <c r="AJ462" i="28"/>
  <c r="AG462" i="28"/>
  <c r="AD462" i="28"/>
  <c r="AR461" i="28"/>
  <c r="AP461" i="28"/>
  <c r="AO461" i="28"/>
  <c r="AM461" i="28"/>
  <c r="AJ461" i="28"/>
  <c r="AG461" i="28"/>
  <c r="AD461" i="28"/>
  <c r="AR460" i="28"/>
  <c r="AP460" i="28"/>
  <c r="AO460" i="28"/>
  <c r="AM460" i="28"/>
  <c r="AJ460" i="28"/>
  <c r="AG460" i="28"/>
  <c r="AD460" i="28"/>
  <c r="AR459" i="28"/>
  <c r="AP459" i="28"/>
  <c r="AO459" i="28"/>
  <c r="AM459" i="28"/>
  <c r="AJ459" i="28"/>
  <c r="AG459" i="28"/>
  <c r="AD459" i="28"/>
  <c r="AR458" i="28"/>
  <c r="AP458" i="28"/>
  <c r="AO458" i="28"/>
  <c r="AM458" i="28"/>
  <c r="AJ458" i="28"/>
  <c r="AG458" i="28"/>
  <c r="AD458" i="28"/>
  <c r="AR457" i="28"/>
  <c r="AP457" i="28"/>
  <c r="AO457" i="28"/>
  <c r="AM457" i="28"/>
  <c r="AJ457" i="28"/>
  <c r="AG457" i="28"/>
  <c r="AD457" i="28"/>
  <c r="AR456" i="28"/>
  <c r="AP456" i="28"/>
  <c r="AO456" i="28"/>
  <c r="AM456" i="28"/>
  <c r="AJ456" i="28"/>
  <c r="AG456" i="28"/>
  <c r="AD456" i="28"/>
  <c r="AR455" i="28"/>
  <c r="AP455" i="28"/>
  <c r="AO455" i="28"/>
  <c r="AM455" i="28"/>
  <c r="AJ455" i="28"/>
  <c r="AG455" i="28"/>
  <c r="AD455" i="28"/>
  <c r="AR454" i="28"/>
  <c r="AP454" i="28"/>
  <c r="AO454" i="28"/>
  <c r="AM454" i="28"/>
  <c r="AJ454" i="28"/>
  <c r="AG454" i="28"/>
  <c r="AD454" i="28"/>
  <c r="AR453" i="28"/>
  <c r="AP453" i="28"/>
  <c r="AO453" i="28"/>
  <c r="AM453" i="28"/>
  <c r="AJ453" i="28"/>
  <c r="AG453" i="28"/>
  <c r="AD453" i="28"/>
  <c r="AR452" i="28"/>
  <c r="AP452" i="28"/>
  <c r="AO452" i="28"/>
  <c r="AM452" i="28"/>
  <c r="AJ452" i="28"/>
  <c r="AG452" i="28"/>
  <c r="AD452" i="28"/>
  <c r="AR451" i="28"/>
  <c r="AP451" i="28"/>
  <c r="AO451" i="28"/>
  <c r="AM451" i="28"/>
  <c r="AJ451" i="28"/>
  <c r="AG451" i="28"/>
  <c r="AD451" i="28"/>
  <c r="AR450" i="28"/>
  <c r="AP450" i="28"/>
  <c r="AO450" i="28"/>
  <c r="AM450" i="28"/>
  <c r="AJ450" i="28"/>
  <c r="AG450" i="28"/>
  <c r="AD450" i="28"/>
  <c r="AR449" i="28"/>
  <c r="AP449" i="28"/>
  <c r="AO449" i="28"/>
  <c r="AM449" i="28"/>
  <c r="AJ449" i="28"/>
  <c r="AG449" i="28"/>
  <c r="AD449" i="28"/>
  <c r="AR448" i="28"/>
  <c r="AP448" i="28"/>
  <c r="AO448" i="28"/>
  <c r="AM448" i="28"/>
  <c r="AJ448" i="28"/>
  <c r="AG448" i="28"/>
  <c r="AD448" i="28"/>
  <c r="AR447" i="28"/>
  <c r="AP447" i="28"/>
  <c r="AO447" i="28"/>
  <c r="AM447" i="28"/>
  <c r="AJ447" i="28"/>
  <c r="AG447" i="28"/>
  <c r="AD447" i="28"/>
  <c r="AR601" i="28"/>
  <c r="AP601" i="28"/>
  <c r="AO601" i="28"/>
  <c r="AM601" i="28"/>
  <c r="AJ601" i="28"/>
  <c r="AG601" i="28"/>
  <c r="AD601" i="28"/>
  <c r="AR600" i="28"/>
  <c r="AP600" i="28"/>
  <c r="AO600" i="28"/>
  <c r="AM600" i="28"/>
  <c r="AJ600" i="28"/>
  <c r="AG600" i="28"/>
  <c r="AD600" i="28"/>
  <c r="AR599" i="28"/>
  <c r="AP599" i="28"/>
  <c r="AO599" i="28"/>
  <c r="AM599" i="28"/>
  <c r="AJ599" i="28"/>
  <c r="AG599" i="28"/>
  <c r="AD599" i="28"/>
  <c r="AR598" i="28"/>
  <c r="AP598" i="28"/>
  <c r="AO598" i="28"/>
  <c r="AM598" i="28"/>
  <c r="AJ598" i="28"/>
  <c r="AG598" i="28"/>
  <c r="AD598" i="28"/>
  <c r="AR597" i="28"/>
  <c r="AP597" i="28"/>
  <c r="AO597" i="28"/>
  <c r="AM597" i="28"/>
  <c r="AJ597" i="28"/>
  <c r="AG597" i="28"/>
  <c r="AD597" i="28"/>
  <c r="AR596" i="28"/>
  <c r="AP596" i="28"/>
  <c r="AO596" i="28"/>
  <c r="AM596" i="28"/>
  <c r="AJ596" i="28"/>
  <c r="AG596" i="28"/>
  <c r="AD596" i="28"/>
  <c r="AR595" i="28"/>
  <c r="AP595" i="28"/>
  <c r="AO595" i="28"/>
  <c r="AM595" i="28"/>
  <c r="AJ595" i="28"/>
  <c r="AG595" i="28"/>
  <c r="AD595" i="28"/>
  <c r="AR594" i="28"/>
  <c r="AP594" i="28"/>
  <c r="AO594" i="28"/>
  <c r="AM594" i="28"/>
  <c r="AJ594" i="28"/>
  <c r="AI594" i="28"/>
  <c r="AG594" i="28"/>
  <c r="AF594" i="28"/>
  <c r="AD594" i="28"/>
  <c r="AR562" i="28"/>
  <c r="AP562" i="28"/>
  <c r="AO562" i="28"/>
  <c r="AM562" i="28"/>
  <c r="AJ562" i="28"/>
  <c r="AG562" i="28"/>
  <c r="AD562" i="28"/>
  <c r="AR558" i="28"/>
  <c r="AP558" i="28"/>
  <c r="AO558" i="28"/>
  <c r="AM558" i="28"/>
  <c r="AJ558" i="28"/>
  <c r="AG558" i="28"/>
  <c r="AD558" i="28"/>
  <c r="AR557" i="28"/>
  <c r="AP557" i="28"/>
  <c r="AO557" i="28"/>
  <c r="AM557" i="28"/>
  <c r="AJ557" i="28"/>
  <c r="AG557" i="28"/>
  <c r="AD557" i="28"/>
  <c r="AR556" i="28"/>
  <c r="AP556" i="28"/>
  <c r="AO556" i="28"/>
  <c r="AM556" i="28"/>
  <c r="AJ556" i="28"/>
  <c r="AG556" i="28"/>
  <c r="AD556" i="28"/>
  <c r="AR555" i="28"/>
  <c r="AP555" i="28"/>
  <c r="AO555" i="28"/>
  <c r="AM555" i="28"/>
  <c r="AJ555" i="28"/>
  <c r="AG555" i="28"/>
  <c r="AD555" i="28"/>
  <c r="AR554" i="28"/>
  <c r="AP554" i="28"/>
  <c r="AO554" i="28"/>
  <c r="AM554" i="28"/>
  <c r="AJ554" i="28"/>
  <c r="AG554" i="28"/>
  <c r="AD554" i="28"/>
  <c r="AR553" i="28"/>
  <c r="AP553" i="28"/>
  <c r="AO553" i="28"/>
  <c r="AM553" i="28"/>
  <c r="AJ553" i="28"/>
  <c r="AG553" i="28"/>
  <c r="AD553" i="28"/>
  <c r="AR552" i="28"/>
  <c r="AP552" i="28"/>
  <c r="AO552" i="28"/>
  <c r="AM552" i="28"/>
  <c r="AJ552" i="28"/>
  <c r="AG552" i="28"/>
  <c r="AD552" i="28"/>
  <c r="AR551" i="28"/>
  <c r="AP551" i="28"/>
  <c r="AO551" i="28"/>
  <c r="AM551" i="28"/>
  <c r="AJ551" i="28"/>
  <c r="AI551" i="28"/>
  <c r="AG551" i="28"/>
  <c r="AF551" i="28"/>
  <c r="AD551" i="28"/>
  <c r="AR446" i="28"/>
  <c r="AP446" i="28"/>
  <c r="AO446" i="28"/>
  <c r="AM446" i="28"/>
  <c r="AJ446" i="28"/>
  <c r="AG446" i="28"/>
  <c r="AD446" i="28"/>
  <c r="AR445" i="28"/>
  <c r="AP445" i="28"/>
  <c r="AO445" i="28"/>
  <c r="AM445" i="28"/>
  <c r="AJ445" i="28"/>
  <c r="AG445" i="28"/>
  <c r="AD445" i="28"/>
  <c r="AR444" i="28"/>
  <c r="AP444" i="28"/>
  <c r="AO444" i="28"/>
  <c r="AM444" i="28"/>
  <c r="AJ444" i="28"/>
  <c r="AG444" i="28"/>
  <c r="AD444" i="28"/>
  <c r="AR443" i="28"/>
  <c r="AP443" i="28"/>
  <c r="AO443" i="28"/>
  <c r="AM443" i="28"/>
  <c r="AJ443" i="28"/>
  <c r="AG443" i="28"/>
  <c r="AD443" i="28"/>
  <c r="AR442" i="28"/>
  <c r="AP442" i="28"/>
  <c r="AO442" i="28"/>
  <c r="AM442" i="28"/>
  <c r="AJ442" i="28"/>
  <c r="AG442" i="28"/>
  <c r="AD442" i="28"/>
  <c r="AR441" i="28"/>
  <c r="AP441" i="28"/>
  <c r="AO441" i="28"/>
  <c r="AM441" i="28"/>
  <c r="AJ441" i="28"/>
  <c r="AG441" i="28"/>
  <c r="AD441" i="28"/>
  <c r="AR440" i="28"/>
  <c r="AP440" i="28"/>
  <c r="AO440" i="28"/>
  <c r="AM440" i="28"/>
  <c r="AJ440" i="28"/>
  <c r="AG440" i="28"/>
  <c r="AD440" i="28"/>
  <c r="AR439" i="28"/>
  <c r="AP439" i="28"/>
  <c r="AO439" i="28"/>
  <c r="AM439" i="28"/>
  <c r="AJ439" i="28"/>
  <c r="AG439" i="28"/>
  <c r="AD439" i="28"/>
  <c r="AR438" i="28"/>
  <c r="AP438" i="28"/>
  <c r="AO438" i="28"/>
  <c r="AM438" i="28"/>
  <c r="AJ438" i="28"/>
  <c r="AG438" i="28"/>
  <c r="AD438" i="28"/>
  <c r="AR437" i="28"/>
  <c r="AP437" i="28"/>
  <c r="AO437" i="28"/>
  <c r="AM437" i="28"/>
  <c r="AJ437" i="28"/>
  <c r="AG437" i="28"/>
  <c r="AD437" i="28"/>
  <c r="AR436" i="28"/>
  <c r="AP436" i="28"/>
  <c r="AO436" i="28"/>
  <c r="AM436" i="28"/>
  <c r="AJ436" i="28"/>
  <c r="AG436" i="28"/>
  <c r="AD436" i="28"/>
  <c r="AR435" i="28"/>
  <c r="AP435" i="28"/>
  <c r="AO435" i="28"/>
  <c r="AM435" i="28"/>
  <c r="AJ435" i="28"/>
  <c r="AG435" i="28"/>
  <c r="AD435" i="28"/>
  <c r="AR422" i="28"/>
  <c r="AP422" i="28"/>
  <c r="AO422" i="28"/>
  <c r="AM422" i="28"/>
  <c r="AJ422" i="28"/>
  <c r="AG422" i="28"/>
  <c r="AD422" i="28"/>
  <c r="AR421" i="28"/>
  <c r="AP421" i="28"/>
  <c r="AO421" i="28"/>
  <c r="AM421" i="28"/>
  <c r="AJ421" i="28"/>
  <c r="AG421" i="28"/>
  <c r="AD421" i="28"/>
  <c r="AR420" i="28"/>
  <c r="AP420" i="28"/>
  <c r="AO420" i="28"/>
  <c r="AM420" i="28"/>
  <c r="AJ420" i="28"/>
  <c r="AI420" i="28"/>
  <c r="AG420" i="28"/>
  <c r="AD420" i="28"/>
  <c r="AR417" i="28"/>
  <c r="AP417" i="28"/>
  <c r="AO417" i="28"/>
  <c r="AM417" i="28"/>
  <c r="AJ417" i="28"/>
  <c r="AG417" i="28"/>
  <c r="AD417" i="28"/>
  <c r="AR416" i="28"/>
  <c r="AP416" i="28"/>
  <c r="AO416" i="28"/>
  <c r="AM416" i="28"/>
  <c r="AJ416" i="28"/>
  <c r="AG416" i="28"/>
  <c r="AD416" i="28"/>
  <c r="AR414" i="28"/>
  <c r="AP414" i="28"/>
  <c r="AO414" i="28"/>
  <c r="AM414" i="28"/>
  <c r="AJ414" i="28"/>
  <c r="AG414" i="28"/>
  <c r="AD414" i="28"/>
  <c r="AR413" i="28"/>
  <c r="AP413" i="28"/>
  <c r="AO413" i="28"/>
  <c r="AM413" i="28"/>
  <c r="AJ413" i="28"/>
  <c r="AG413" i="28"/>
  <c r="AD413" i="28"/>
  <c r="AR408" i="28"/>
  <c r="AP408" i="28"/>
  <c r="AO408" i="28"/>
  <c r="AM408" i="28"/>
  <c r="AJ408" i="28"/>
  <c r="AI408" i="28"/>
  <c r="AG408" i="28"/>
  <c r="AF408" i="28"/>
  <c r="AD408" i="28"/>
  <c r="AR430" i="28"/>
  <c r="AP430" i="28"/>
  <c r="AO430" i="28"/>
  <c r="AM430" i="28"/>
  <c r="AJ430" i="28"/>
  <c r="AG430" i="28"/>
  <c r="AD430" i="28"/>
  <c r="AR429" i="28"/>
  <c r="AP429" i="28"/>
  <c r="AO429" i="28"/>
  <c r="AM429" i="28"/>
  <c r="AJ429" i="28"/>
  <c r="AG429" i="28"/>
  <c r="AD429" i="28"/>
  <c r="AR428" i="28"/>
  <c r="AP428" i="28"/>
  <c r="AO428" i="28"/>
  <c r="AM428" i="28"/>
  <c r="AJ428" i="28"/>
  <c r="AG428" i="28"/>
  <c r="AD428" i="28"/>
  <c r="AR427" i="28"/>
  <c r="AP427" i="28"/>
  <c r="AO427" i="28"/>
  <c r="AM427" i="28"/>
  <c r="AJ427" i="28"/>
  <c r="AG427" i="28"/>
  <c r="AD427" i="28"/>
  <c r="AR426" i="28"/>
  <c r="AP426" i="28"/>
  <c r="AO426" i="28"/>
  <c r="AM426" i="28"/>
  <c r="AJ426" i="28"/>
  <c r="AG426" i="28"/>
  <c r="AD426" i="28"/>
  <c r="AR425" i="28"/>
  <c r="AP425" i="28"/>
  <c r="AO425" i="28"/>
  <c r="AM425" i="28"/>
  <c r="AJ425" i="28"/>
  <c r="AG425" i="28"/>
  <c r="AD425" i="28"/>
  <c r="AR424" i="28"/>
  <c r="AP424" i="28"/>
  <c r="AO424" i="28"/>
  <c r="AM424" i="28"/>
  <c r="AJ424" i="28"/>
  <c r="AG424" i="28"/>
  <c r="AD424" i="28"/>
  <c r="AR423" i="28"/>
  <c r="AP423" i="28"/>
  <c r="AO423" i="28"/>
  <c r="AM423" i="28"/>
  <c r="AJ423" i="28"/>
  <c r="AG423" i="28"/>
  <c r="AD423" i="28"/>
  <c r="AR345" i="28"/>
  <c r="AP345" i="28"/>
  <c r="AO345" i="28"/>
  <c r="AM345" i="28"/>
  <c r="AJ345" i="28"/>
  <c r="AG345" i="28"/>
  <c r="AD345" i="28"/>
  <c r="AR346" i="28"/>
  <c r="AP346" i="28"/>
  <c r="AO346" i="28"/>
  <c r="AM346" i="28"/>
  <c r="AJ346" i="28"/>
  <c r="AG346" i="28"/>
  <c r="AD346" i="28"/>
  <c r="AR347" i="28"/>
  <c r="AP347" i="28"/>
  <c r="AO347" i="28"/>
  <c r="AM347" i="28"/>
  <c r="AJ347" i="28"/>
  <c r="AG347" i="28"/>
  <c r="AD347" i="28"/>
  <c r="AR348" i="28"/>
  <c r="AP348" i="28"/>
  <c r="AO348" i="28"/>
  <c r="AM348" i="28"/>
  <c r="AJ348" i="28"/>
  <c r="AG348" i="28"/>
  <c r="AD348" i="28"/>
  <c r="AR349" i="28"/>
  <c r="AP349" i="28"/>
  <c r="AO349" i="28"/>
  <c r="AM349" i="28"/>
  <c r="AJ349" i="28"/>
  <c r="AG349" i="28"/>
  <c r="AD349" i="28"/>
  <c r="AR364" i="28"/>
  <c r="AP364" i="28"/>
  <c r="AO364" i="28"/>
  <c r="AM364" i="28"/>
  <c r="AJ364" i="28"/>
  <c r="AG364" i="28"/>
  <c r="AD364" i="28"/>
  <c r="AR365" i="28"/>
  <c r="AP365" i="28"/>
  <c r="AO365" i="28"/>
  <c r="AM365" i="28"/>
  <c r="AJ365" i="28"/>
  <c r="AG365" i="28"/>
  <c r="AD365" i="28"/>
  <c r="AR363" i="28"/>
  <c r="AP363" i="28"/>
  <c r="AO363" i="28"/>
  <c r="AM363" i="28"/>
  <c r="AJ363" i="28"/>
  <c r="AI363" i="28"/>
  <c r="AG363" i="28"/>
  <c r="AD363" i="28"/>
  <c r="AR366" i="28"/>
  <c r="AP366" i="28"/>
  <c r="AO366" i="28"/>
  <c r="AM366" i="28"/>
  <c r="AJ366" i="28"/>
  <c r="AI366" i="28"/>
  <c r="AG366" i="28"/>
  <c r="AD366" i="28"/>
  <c r="AR362" i="28"/>
  <c r="AP362" i="28"/>
  <c r="AO362" i="28"/>
  <c r="AM362" i="28"/>
  <c r="AJ362" i="28"/>
  <c r="AI362" i="28"/>
  <c r="AG362" i="28"/>
  <c r="AF362" i="28"/>
  <c r="AD362" i="28"/>
  <c r="AR361" i="28"/>
  <c r="AP361" i="28"/>
  <c r="AO361" i="28"/>
  <c r="AM361" i="28"/>
  <c r="AJ361" i="28"/>
  <c r="AG361" i="28"/>
  <c r="AD361" i="28"/>
  <c r="AR359" i="28"/>
  <c r="AP359" i="28"/>
  <c r="AO359" i="28"/>
  <c r="AM359" i="28"/>
  <c r="AJ359" i="28"/>
  <c r="AG359" i="28"/>
  <c r="AD359" i="28"/>
  <c r="AR358" i="28"/>
  <c r="AP358" i="28"/>
  <c r="AO358" i="28"/>
  <c r="AM358" i="28"/>
  <c r="AJ358" i="28"/>
  <c r="AG358" i="28"/>
  <c r="AD358" i="28"/>
  <c r="AR357" i="28"/>
  <c r="AP357" i="28"/>
  <c r="AO357" i="28"/>
  <c r="AM357" i="28"/>
  <c r="AJ357" i="28"/>
  <c r="AG357" i="28"/>
  <c r="AD357" i="28"/>
  <c r="AR356" i="28"/>
  <c r="AP356" i="28"/>
  <c r="AO356" i="28"/>
  <c r="AM356" i="28"/>
  <c r="AJ356" i="28"/>
  <c r="AG356" i="28"/>
  <c r="AD356" i="28"/>
  <c r="AR368" i="28"/>
  <c r="AP368" i="28"/>
  <c r="AO368" i="28"/>
  <c r="AM368" i="28"/>
  <c r="AJ368" i="28"/>
  <c r="AG368" i="28"/>
  <c r="AD368" i="28"/>
  <c r="AR369" i="28"/>
  <c r="AP369" i="28"/>
  <c r="AO369" i="28"/>
  <c r="AM369" i="28"/>
  <c r="AJ369" i="28"/>
  <c r="AG369" i="28"/>
  <c r="AD369" i="28"/>
  <c r="AR333" i="28"/>
  <c r="AP333" i="28"/>
  <c r="AO333" i="28"/>
  <c r="AM333" i="28"/>
  <c r="AJ333" i="28"/>
  <c r="AG333" i="28"/>
  <c r="AD333" i="28"/>
  <c r="AR335" i="28"/>
  <c r="AP335" i="28"/>
  <c r="AO335" i="28"/>
  <c r="AM335" i="28"/>
  <c r="AJ335" i="28"/>
  <c r="AG335" i="28"/>
  <c r="AD335" i="28"/>
  <c r="AR337" i="28"/>
  <c r="AP337" i="28"/>
  <c r="AO337" i="28"/>
  <c r="AM337" i="28"/>
  <c r="AJ337" i="28"/>
  <c r="AG337" i="28"/>
  <c r="AD337" i="28"/>
  <c r="AR336" i="28"/>
  <c r="AP336" i="28"/>
  <c r="AO336" i="28"/>
  <c r="AM336" i="28"/>
  <c r="AJ336" i="28"/>
  <c r="AG336" i="28"/>
  <c r="AD336" i="28"/>
  <c r="AR338" i="28"/>
  <c r="AP338" i="28"/>
  <c r="AO338" i="28"/>
  <c r="AM338" i="28"/>
  <c r="AJ338" i="28"/>
  <c r="AG338" i="28"/>
  <c r="AD338" i="28"/>
  <c r="AR339" i="28"/>
  <c r="AP339" i="28"/>
  <c r="AO339" i="28"/>
  <c r="AM339" i="28"/>
  <c r="AJ339" i="28"/>
  <c r="AG339" i="28"/>
  <c r="AD339" i="28"/>
  <c r="AR340" i="28"/>
  <c r="AP340" i="28"/>
  <c r="AO340" i="28"/>
  <c r="AM340" i="28"/>
  <c r="AJ340" i="28"/>
  <c r="AG340" i="28"/>
  <c r="AD340" i="28"/>
  <c r="AR341" i="28"/>
  <c r="AP341" i="28"/>
  <c r="AO341" i="28"/>
  <c r="AM341" i="28"/>
  <c r="AJ341" i="28"/>
  <c r="AG341" i="28"/>
  <c r="AD341" i="28"/>
  <c r="AR355" i="28"/>
  <c r="AP355" i="28"/>
  <c r="AO355" i="28"/>
  <c r="AM355" i="28"/>
  <c r="AJ355" i="28"/>
  <c r="AG355" i="28"/>
  <c r="AD355" i="28"/>
  <c r="AR354" i="28"/>
  <c r="AP354" i="28"/>
  <c r="AO354" i="28"/>
  <c r="AM354" i="28"/>
  <c r="AJ354" i="28"/>
  <c r="AG354" i="28"/>
  <c r="AD354" i="28"/>
  <c r="AR353" i="28"/>
  <c r="AP353" i="28"/>
  <c r="AO353" i="28"/>
  <c r="AM353" i="28"/>
  <c r="AJ353" i="28"/>
  <c r="AG353" i="28"/>
  <c r="AD353" i="28"/>
  <c r="AR352" i="28"/>
  <c r="AP352" i="28"/>
  <c r="AO352" i="28"/>
  <c r="AM352" i="28"/>
  <c r="AJ352" i="28"/>
  <c r="AG352" i="28"/>
  <c r="AD352" i="28"/>
  <c r="AR351" i="28"/>
  <c r="AP351" i="28"/>
  <c r="AO351" i="28"/>
  <c r="AM351" i="28"/>
  <c r="AJ351" i="28"/>
  <c r="AG351" i="28"/>
  <c r="AD351" i="28"/>
  <c r="AR296" i="28"/>
  <c r="AP296" i="28"/>
  <c r="AO296" i="28"/>
  <c r="AM296" i="28"/>
  <c r="AJ296" i="28"/>
  <c r="AG296" i="28"/>
  <c r="AD296" i="28"/>
  <c r="AR295" i="28"/>
  <c r="AP295" i="28"/>
  <c r="AO295" i="28"/>
  <c r="AM295" i="28"/>
  <c r="AJ295" i="28"/>
  <c r="AG295" i="28"/>
  <c r="AD295" i="28"/>
  <c r="AR294" i="28"/>
  <c r="AP294" i="28"/>
  <c r="AO294" i="28"/>
  <c r="AM294" i="28"/>
  <c r="AJ294" i="28"/>
  <c r="AG294" i="28"/>
  <c r="AD294" i="28"/>
  <c r="AR293" i="28"/>
  <c r="AP293" i="28"/>
  <c r="AO293" i="28"/>
  <c r="AM293" i="28"/>
  <c r="AJ293" i="28"/>
  <c r="AG293" i="28"/>
  <c r="AD293" i="28"/>
  <c r="AR263" i="28"/>
  <c r="AP263" i="28"/>
  <c r="AO263" i="28"/>
  <c r="AM263" i="28"/>
  <c r="AJ263" i="28"/>
  <c r="AG263" i="28"/>
  <c r="AD263" i="28"/>
  <c r="AR262" i="28"/>
  <c r="AP262" i="28"/>
  <c r="AO262" i="28"/>
  <c r="AM262" i="28"/>
  <c r="AJ262" i="28"/>
  <c r="AG262" i="28"/>
  <c r="AD262" i="28"/>
  <c r="AR342" i="28"/>
  <c r="AP342" i="28"/>
  <c r="AO342" i="28"/>
  <c r="AM342" i="28"/>
  <c r="AJ342" i="28"/>
  <c r="AG342" i="28"/>
  <c r="AD342" i="28"/>
  <c r="AR289" i="28"/>
  <c r="AP289" i="28"/>
  <c r="AO289" i="28"/>
  <c r="AM289" i="28"/>
  <c r="AJ289" i="28"/>
  <c r="AG289" i="28"/>
  <c r="AD289" i="28"/>
  <c r="AR288" i="28"/>
  <c r="AP288" i="28"/>
  <c r="AO288" i="28"/>
  <c r="AM288" i="28"/>
  <c r="AJ288" i="28"/>
  <c r="AG288" i="28"/>
  <c r="AD288" i="28"/>
  <c r="AR287" i="28"/>
  <c r="AP287" i="28"/>
  <c r="AO287" i="28"/>
  <c r="AM287" i="28"/>
  <c r="AJ287" i="28"/>
  <c r="AI287" i="28"/>
  <c r="AG287" i="28"/>
  <c r="AF287" i="28"/>
  <c r="AD287" i="28"/>
  <c r="AR292" i="28"/>
  <c r="AP292" i="28"/>
  <c r="AO292" i="28"/>
  <c r="AM292" i="28"/>
  <c r="AJ292" i="28"/>
  <c r="AG292" i="28"/>
  <c r="AD292" i="28"/>
  <c r="AR291" i="28"/>
  <c r="AP291" i="28"/>
  <c r="AO291" i="28"/>
  <c r="AM291" i="28"/>
  <c r="AJ291" i="28"/>
  <c r="AG291" i="28"/>
  <c r="AD291" i="28"/>
  <c r="AR290" i="28"/>
  <c r="AP290" i="28"/>
  <c r="AO290" i="28"/>
  <c r="AM290" i="28"/>
  <c r="AJ290" i="28"/>
  <c r="AI290" i="28"/>
  <c r="AG290" i="28"/>
  <c r="AF290" i="28"/>
  <c r="AD290" i="28"/>
  <c r="AR331" i="28"/>
  <c r="AP331" i="28"/>
  <c r="AO331" i="28"/>
  <c r="AM331" i="28"/>
  <c r="AJ331" i="28"/>
  <c r="AG331" i="28"/>
  <c r="AD331" i="28"/>
  <c r="AR298" i="28"/>
  <c r="AP298" i="28"/>
  <c r="AO298" i="28"/>
  <c r="AM298" i="28"/>
  <c r="AJ298" i="28"/>
  <c r="AG298" i="28"/>
  <c r="AD298" i="28"/>
  <c r="AR297" i="28"/>
  <c r="AP297" i="28"/>
  <c r="AO297" i="28"/>
  <c r="AM297" i="28"/>
  <c r="AJ297" i="28"/>
  <c r="AI297" i="28"/>
  <c r="AG297" i="28"/>
  <c r="AF297" i="28"/>
  <c r="AD297" i="28"/>
  <c r="AR301" i="28"/>
  <c r="AP301" i="28"/>
  <c r="AO301" i="28"/>
  <c r="AM301" i="28"/>
  <c r="AJ301" i="28"/>
  <c r="AG301" i="28"/>
  <c r="AD301" i="28"/>
  <c r="AR300" i="28"/>
  <c r="AP300" i="28"/>
  <c r="AO300" i="28"/>
  <c r="AM300" i="28"/>
  <c r="AJ300" i="28"/>
  <c r="AG300" i="28"/>
  <c r="AD300" i="28"/>
  <c r="AR299" i="28"/>
  <c r="AP299" i="28"/>
  <c r="AO299" i="28"/>
  <c r="AM299" i="28"/>
  <c r="AJ299" i="28"/>
  <c r="AI299" i="28"/>
  <c r="AG299" i="28"/>
  <c r="AF299" i="28"/>
  <c r="AD299" i="28"/>
  <c r="AR247" i="28"/>
  <c r="AP247" i="28"/>
  <c r="AO247" i="28"/>
  <c r="AM247" i="28"/>
  <c r="AJ247" i="28"/>
  <c r="AG247" i="28"/>
  <c r="AD247" i="28"/>
  <c r="AR246" i="28"/>
  <c r="AP246" i="28"/>
  <c r="AO246" i="28"/>
  <c r="AM246" i="28"/>
  <c r="AJ246" i="28"/>
  <c r="AG246" i="28"/>
  <c r="AD246" i="28"/>
  <c r="AR245" i="28"/>
  <c r="AP245" i="28"/>
  <c r="AO245" i="28"/>
  <c r="AM245" i="28"/>
  <c r="AJ245" i="28"/>
  <c r="AG245" i="28"/>
  <c r="AD245" i="28"/>
  <c r="AR244" i="28"/>
  <c r="AP244" i="28"/>
  <c r="AO244" i="28"/>
  <c r="AM244" i="28"/>
  <c r="AJ244" i="28"/>
  <c r="AI244" i="28"/>
  <c r="AG244" i="28"/>
  <c r="AF244" i="28"/>
  <c r="AD244" i="28"/>
  <c r="AR243" i="28"/>
  <c r="AP243" i="28"/>
  <c r="AO243" i="28"/>
  <c r="AM243" i="28"/>
  <c r="AJ243" i="28"/>
  <c r="AG243" i="28"/>
  <c r="AD243" i="28"/>
  <c r="AR242" i="28"/>
  <c r="AP242" i="28"/>
  <c r="AO242" i="28"/>
  <c r="AM242" i="28"/>
  <c r="AJ242" i="28"/>
  <c r="AG242" i="28"/>
  <c r="AD242" i="28"/>
  <c r="AR241" i="28"/>
  <c r="AP241" i="28"/>
  <c r="AO241" i="28"/>
  <c r="AM241" i="28"/>
  <c r="AJ241" i="28"/>
  <c r="AG241" i="28"/>
  <c r="AD241" i="28"/>
  <c r="AR240" i="28"/>
  <c r="AP240" i="28"/>
  <c r="AO240" i="28"/>
  <c r="AM240" i="28"/>
  <c r="AJ240" i="28"/>
  <c r="AI240" i="28"/>
  <c r="AG240" i="28"/>
  <c r="AF240" i="28"/>
  <c r="AD240" i="28"/>
  <c r="AR239" i="28"/>
  <c r="AP239" i="28"/>
  <c r="AO239" i="28"/>
  <c r="AM239" i="28"/>
  <c r="AJ239" i="28"/>
  <c r="AG239" i="28"/>
  <c r="AD239" i="28"/>
  <c r="AR238" i="28"/>
  <c r="AP238" i="28"/>
  <c r="AO238" i="28"/>
  <c r="AM238" i="28"/>
  <c r="AJ238" i="28"/>
  <c r="AG238" i="28"/>
  <c r="AD238" i="28"/>
  <c r="AR237" i="28"/>
  <c r="AP237" i="28"/>
  <c r="AO237" i="28"/>
  <c r="AM237" i="28"/>
  <c r="AJ237" i="28"/>
  <c r="AG237" i="28"/>
  <c r="AD237" i="28"/>
  <c r="AR236" i="28"/>
  <c r="AP236" i="28"/>
  <c r="AO236" i="28"/>
  <c r="AM236" i="28"/>
  <c r="AJ236" i="28"/>
  <c r="AG236" i="28"/>
  <c r="AD236" i="28"/>
  <c r="AR235" i="28"/>
  <c r="AP235" i="28"/>
  <c r="AO235" i="28"/>
  <c r="AM235" i="28"/>
  <c r="AJ235" i="28"/>
  <c r="AG235" i="28"/>
  <c r="AD235" i="28"/>
  <c r="AR234" i="28"/>
  <c r="AP234" i="28"/>
  <c r="AO234" i="28"/>
  <c r="AM234" i="28"/>
  <c r="AJ234" i="28"/>
  <c r="AI234" i="28"/>
  <c r="AG234" i="28"/>
  <c r="AF234" i="28"/>
  <c r="AD234" i="28"/>
  <c r="AR581" i="28"/>
  <c r="AP581" i="28"/>
  <c r="AO581" i="28"/>
  <c r="AM581" i="28"/>
  <c r="AJ581" i="28"/>
  <c r="AG581" i="28"/>
  <c r="AD581" i="28"/>
  <c r="AR324" i="28"/>
  <c r="AP324" i="28"/>
  <c r="AO324" i="28"/>
  <c r="AM324" i="28"/>
  <c r="AJ324" i="28"/>
  <c r="AG324" i="28"/>
  <c r="AD324" i="28"/>
  <c r="AR327" i="28"/>
  <c r="AP327" i="28"/>
  <c r="AO327" i="28"/>
  <c r="AM327" i="28"/>
  <c r="AJ327" i="28"/>
  <c r="AG327" i="28"/>
  <c r="AD327" i="28"/>
  <c r="AR325" i="28"/>
  <c r="AP325" i="28"/>
  <c r="AO325" i="28"/>
  <c r="AM325" i="28"/>
  <c r="AJ325" i="28"/>
  <c r="AG325" i="28"/>
  <c r="AD325" i="28"/>
  <c r="AR328" i="28"/>
  <c r="AP328" i="28"/>
  <c r="AO328" i="28"/>
  <c r="AM328" i="28"/>
  <c r="AJ328" i="28"/>
  <c r="AG328" i="28"/>
  <c r="AD328" i="28"/>
  <c r="AR329" i="28"/>
  <c r="AP329" i="28"/>
  <c r="AO329" i="28"/>
  <c r="AM329" i="28"/>
  <c r="AJ329" i="28"/>
  <c r="AG329" i="28"/>
  <c r="AD329" i="28"/>
  <c r="AR323" i="28"/>
  <c r="AP323" i="28"/>
  <c r="AO323" i="28"/>
  <c r="AM323" i="28"/>
  <c r="AJ323" i="28"/>
  <c r="AG323" i="28"/>
  <c r="AD323" i="28"/>
  <c r="AR608" i="28"/>
  <c r="AP608" i="28"/>
  <c r="AO608" i="28"/>
  <c r="AM608" i="28"/>
  <c r="AJ608" i="28"/>
  <c r="AG608" i="28"/>
  <c r="AD608" i="28"/>
  <c r="AR317" i="28"/>
  <c r="AP317" i="28"/>
  <c r="AO317" i="28"/>
  <c r="AM317" i="28"/>
  <c r="AJ317" i="28"/>
  <c r="AG317" i="28"/>
  <c r="AD317" i="28"/>
  <c r="AR314" i="28"/>
  <c r="AP314" i="28"/>
  <c r="AO314" i="28"/>
  <c r="AM314" i="28"/>
  <c r="AJ314" i="28"/>
  <c r="AG314" i="28"/>
  <c r="AD314" i="28"/>
  <c r="AR316" i="28"/>
  <c r="AP316" i="28"/>
  <c r="AO316" i="28"/>
  <c r="AM316" i="28"/>
  <c r="AJ316" i="28"/>
  <c r="AG316" i="28"/>
  <c r="AD316" i="28"/>
  <c r="AR315" i="28"/>
  <c r="AP315" i="28"/>
  <c r="AO315" i="28"/>
  <c r="AM315" i="28"/>
  <c r="AJ315" i="28"/>
  <c r="AG315" i="28"/>
  <c r="AD315" i="28"/>
  <c r="AR360" i="28"/>
  <c r="AP360" i="28"/>
  <c r="AO360" i="28"/>
  <c r="AM360" i="28"/>
  <c r="AJ360" i="28"/>
  <c r="AG360" i="28"/>
  <c r="AD360" i="28"/>
  <c r="AR307" i="28"/>
  <c r="AP307" i="28"/>
  <c r="AO307" i="28"/>
  <c r="AM307" i="28"/>
  <c r="AJ307" i="28"/>
  <c r="AG307" i="28"/>
  <c r="AD307" i="28"/>
  <c r="AR306" i="28"/>
  <c r="AP306" i="28"/>
  <c r="AO306" i="28"/>
  <c r="AM306" i="28"/>
  <c r="AJ306" i="28"/>
  <c r="AI306" i="28"/>
  <c r="AG306" i="28"/>
  <c r="AD306" i="28"/>
  <c r="AR305" i="28"/>
  <c r="AP305" i="28"/>
  <c r="AO305" i="28"/>
  <c r="AM305" i="28"/>
  <c r="AJ305" i="28"/>
  <c r="AG305" i="28"/>
  <c r="AD305" i="28"/>
  <c r="AR313" i="28"/>
  <c r="AP313" i="28"/>
  <c r="AO313" i="28"/>
  <c r="AM313" i="28"/>
  <c r="AJ313" i="28"/>
  <c r="AG313" i="28"/>
  <c r="AD313" i="28"/>
  <c r="AR312" i="28"/>
  <c r="AP312" i="28"/>
  <c r="AO312" i="28"/>
  <c r="AM312" i="28"/>
  <c r="AJ312" i="28"/>
  <c r="AG312" i="28"/>
  <c r="AD312" i="28"/>
  <c r="AR311" i="28"/>
  <c r="AP311" i="28"/>
  <c r="AO311" i="28"/>
  <c r="AM311" i="28"/>
  <c r="AJ311" i="28"/>
  <c r="AG311" i="28"/>
  <c r="AD311" i="28"/>
  <c r="AR310" i="28"/>
  <c r="AP310" i="28"/>
  <c r="AO310" i="28"/>
  <c r="AM310" i="28"/>
  <c r="AJ310" i="28"/>
  <c r="AG310" i="28"/>
  <c r="AD310" i="28"/>
  <c r="AR309" i="28"/>
  <c r="AP309" i="28"/>
  <c r="AO309" i="28"/>
  <c r="AM309" i="28"/>
  <c r="AJ309" i="28"/>
  <c r="AG309" i="28"/>
  <c r="AD309" i="28"/>
  <c r="AR308" i="28"/>
  <c r="AP308" i="28"/>
  <c r="AO308" i="28"/>
  <c r="AM308" i="28"/>
  <c r="AJ308" i="28"/>
  <c r="AG308" i="28"/>
  <c r="AD308" i="28"/>
  <c r="AR304" i="28"/>
  <c r="AP304" i="28"/>
  <c r="AO304" i="28"/>
  <c r="AM304" i="28"/>
  <c r="AJ304" i="28"/>
  <c r="AG304" i="28"/>
  <c r="AD304" i="28"/>
  <c r="AR303" i="28"/>
  <c r="AP303" i="28"/>
  <c r="AO303" i="28"/>
  <c r="AM303" i="28"/>
  <c r="AJ303" i="28"/>
  <c r="AG303" i="28"/>
  <c r="AD303" i="28"/>
  <c r="AR302" i="28"/>
  <c r="AP302" i="28"/>
  <c r="AO302" i="28"/>
  <c r="AM302" i="28"/>
  <c r="AJ302" i="28"/>
  <c r="AG302" i="28"/>
  <c r="AD302" i="28"/>
  <c r="AR607" i="28"/>
  <c r="AP607" i="28"/>
  <c r="AO607" i="28"/>
  <c r="AM607" i="28"/>
  <c r="AJ607" i="28"/>
  <c r="AG607" i="28"/>
  <c r="AD607" i="28"/>
  <c r="AR606" i="28"/>
  <c r="AP606" i="28"/>
  <c r="AO606" i="28"/>
  <c r="AM606" i="28"/>
  <c r="AJ606" i="28"/>
  <c r="AG606" i="28"/>
  <c r="AD606" i="28"/>
  <c r="AR605" i="28"/>
  <c r="AP605" i="28"/>
  <c r="AO605" i="28"/>
  <c r="AM605" i="28"/>
  <c r="AJ605" i="28"/>
  <c r="AG605" i="28"/>
  <c r="AD605" i="28"/>
  <c r="AR604" i="28"/>
  <c r="AP604" i="28"/>
  <c r="AO604" i="28"/>
  <c r="AM604" i="28"/>
  <c r="AJ604" i="28"/>
  <c r="AG604" i="28"/>
  <c r="AD604" i="28"/>
  <c r="AR603" i="28"/>
  <c r="AP603" i="28"/>
  <c r="AO603" i="28"/>
  <c r="AM603" i="28"/>
  <c r="AJ603" i="28"/>
  <c r="AG603" i="28"/>
  <c r="AD603" i="28"/>
  <c r="AR233" i="28"/>
  <c r="AP233" i="28"/>
  <c r="AO233" i="28"/>
  <c r="AM233" i="28"/>
  <c r="AJ233" i="28"/>
  <c r="AG233" i="28"/>
  <c r="AD233" i="28"/>
  <c r="AR232" i="28"/>
  <c r="AP232" i="28"/>
  <c r="AO232" i="28"/>
  <c r="AM232" i="28"/>
  <c r="AJ232" i="28"/>
  <c r="AG232" i="28"/>
  <c r="AD232" i="28"/>
  <c r="AR231" i="28"/>
  <c r="AP231" i="28"/>
  <c r="AO231" i="28"/>
  <c r="AM231" i="28"/>
  <c r="AJ231" i="28"/>
  <c r="AG231" i="28"/>
  <c r="AD231" i="28"/>
  <c r="AR230" i="28"/>
  <c r="AP230" i="28"/>
  <c r="AO230" i="28"/>
  <c r="AM230" i="28"/>
  <c r="AJ230" i="28"/>
  <c r="AG230" i="28"/>
  <c r="AD230" i="28"/>
  <c r="AR229" i="28"/>
  <c r="AP229" i="28"/>
  <c r="AO229" i="28"/>
  <c r="AM229" i="28"/>
  <c r="AJ229" i="28"/>
  <c r="AG229" i="28"/>
  <c r="AD229" i="28"/>
  <c r="AR228" i="28"/>
  <c r="AP228" i="28"/>
  <c r="AO228" i="28"/>
  <c r="AM228" i="28"/>
  <c r="AJ228" i="28"/>
  <c r="AG228" i="28"/>
  <c r="AD228" i="28"/>
  <c r="AR227" i="28"/>
  <c r="AP227" i="28"/>
  <c r="AO227" i="28"/>
  <c r="AM227" i="28"/>
  <c r="AJ227" i="28"/>
  <c r="AG227" i="28"/>
  <c r="AD227" i="28"/>
  <c r="AR226" i="28"/>
  <c r="AP226" i="28"/>
  <c r="AO226" i="28"/>
  <c r="AM226" i="28"/>
  <c r="AJ226" i="28"/>
  <c r="AG226" i="28"/>
  <c r="AD226" i="28"/>
  <c r="AR225" i="28"/>
  <c r="AP225" i="28"/>
  <c r="AO225" i="28"/>
  <c r="AM225" i="28"/>
  <c r="AJ225" i="28"/>
  <c r="AG225" i="28"/>
  <c r="AD225" i="28"/>
  <c r="AR260" i="28"/>
  <c r="AP260" i="28"/>
  <c r="AO260" i="28"/>
  <c r="AM260" i="28"/>
  <c r="AJ260" i="28"/>
  <c r="AG260" i="28"/>
  <c r="AD260" i="28"/>
  <c r="AR259" i="28"/>
  <c r="AP259" i="28"/>
  <c r="AO259" i="28"/>
  <c r="AM259" i="28"/>
  <c r="AJ259" i="28"/>
  <c r="AG259" i="28"/>
  <c r="AD259" i="28"/>
  <c r="AR258" i="28"/>
  <c r="AP258" i="28"/>
  <c r="AO258" i="28"/>
  <c r="AM258" i="28"/>
  <c r="AJ258" i="28"/>
  <c r="AG258" i="28"/>
  <c r="AD258" i="28"/>
  <c r="AR257" i="28"/>
  <c r="AP257" i="28"/>
  <c r="AO257" i="28"/>
  <c r="AM257" i="28"/>
  <c r="AJ257" i="28"/>
  <c r="AG257" i="28"/>
  <c r="AD257" i="28"/>
  <c r="AR256" i="28"/>
  <c r="AP256" i="28"/>
  <c r="AO256" i="28"/>
  <c r="AM256" i="28"/>
  <c r="AJ256" i="28"/>
  <c r="AG256" i="28"/>
  <c r="AD256" i="28"/>
  <c r="AR255" i="28"/>
  <c r="AP255" i="28"/>
  <c r="AO255" i="28"/>
  <c r="AM255" i="28"/>
  <c r="AJ255" i="28"/>
  <c r="AG255" i="28"/>
  <c r="AD255" i="28"/>
  <c r="AR254" i="28"/>
  <c r="AP254" i="28"/>
  <c r="AO254" i="28"/>
  <c r="AM254" i="28"/>
  <c r="AJ254" i="28"/>
  <c r="AG254" i="28"/>
  <c r="AD254" i="28"/>
  <c r="AR253" i="28"/>
  <c r="AP253" i="28"/>
  <c r="AO253" i="28"/>
  <c r="AM253" i="28"/>
  <c r="AJ253" i="28"/>
  <c r="AG253" i="28"/>
  <c r="AD253" i="28"/>
  <c r="AR321" i="28"/>
  <c r="AP321" i="28"/>
  <c r="AO321" i="28"/>
  <c r="AM321" i="28"/>
  <c r="AJ321" i="28"/>
  <c r="AG321" i="28"/>
  <c r="AD321" i="28"/>
  <c r="AR320" i="28"/>
  <c r="AP320" i="28"/>
  <c r="AO320" i="28"/>
  <c r="AM320" i="28"/>
  <c r="AJ320" i="28"/>
  <c r="AG320" i="28"/>
  <c r="AD320" i="28"/>
  <c r="AR319" i="28"/>
  <c r="AP319" i="28"/>
  <c r="AO319" i="28"/>
  <c r="AM319" i="28"/>
  <c r="AJ319" i="28"/>
  <c r="AG319" i="28"/>
  <c r="AD319" i="28"/>
  <c r="AR344" i="28"/>
  <c r="AP344" i="28"/>
  <c r="AO344" i="28"/>
  <c r="AM344" i="28"/>
  <c r="AJ344" i="28"/>
  <c r="AG344" i="28"/>
  <c r="AD344" i="28"/>
  <c r="AR343" i="28"/>
  <c r="AP343" i="28"/>
  <c r="AO343" i="28"/>
  <c r="AM343" i="28"/>
  <c r="AJ343" i="28"/>
  <c r="AG343" i="28"/>
  <c r="AD343" i="28"/>
  <c r="AR318" i="28"/>
  <c r="AP318" i="28"/>
  <c r="AO318" i="28"/>
  <c r="AM318" i="28"/>
  <c r="AJ318" i="28"/>
  <c r="AG318" i="28"/>
  <c r="AD318" i="28"/>
  <c r="AR334" i="28"/>
  <c r="AP334" i="28"/>
  <c r="AO334" i="28"/>
  <c r="AM334" i="28"/>
  <c r="AJ334" i="28"/>
  <c r="AG334" i="28"/>
  <c r="AD334" i="28"/>
  <c r="AR261" i="28"/>
  <c r="AP261" i="28"/>
  <c r="AO261" i="28"/>
  <c r="AM261" i="28"/>
  <c r="AJ261" i="28"/>
  <c r="AG261" i="28"/>
  <c r="AD261" i="28"/>
  <c r="AR282" i="28"/>
  <c r="AP282" i="28"/>
  <c r="AO282" i="28"/>
  <c r="AM282" i="28"/>
  <c r="AJ282" i="28"/>
  <c r="AG282" i="28"/>
  <c r="AD282" i="28"/>
  <c r="AR281" i="28"/>
  <c r="AP281" i="28"/>
  <c r="AO281" i="28"/>
  <c r="AM281" i="28"/>
  <c r="AJ281" i="28"/>
  <c r="AG281" i="28"/>
  <c r="AD281" i="28"/>
  <c r="AR279" i="28"/>
  <c r="AP279" i="28"/>
  <c r="AO279" i="28"/>
  <c r="AM279" i="28"/>
  <c r="AJ279" i="28"/>
  <c r="AG279" i="28"/>
  <c r="AD279" i="28"/>
  <c r="AR278" i="28"/>
  <c r="AP278" i="28"/>
  <c r="AO278" i="28"/>
  <c r="AM278" i="28"/>
  <c r="AJ278" i="28"/>
  <c r="AG278" i="28"/>
  <c r="AD278" i="28"/>
  <c r="AR277" i="28"/>
  <c r="AP277" i="28"/>
  <c r="AM277" i="28"/>
  <c r="AJ277" i="28"/>
  <c r="AG277" i="28"/>
  <c r="AD277" i="28"/>
  <c r="AR276" i="28"/>
  <c r="AP276" i="28"/>
  <c r="AM276" i="28"/>
  <c r="AJ276" i="28"/>
  <c r="AG276" i="28"/>
  <c r="AD276" i="28"/>
  <c r="AR275" i="28"/>
  <c r="AP275" i="28"/>
  <c r="AO275" i="28"/>
  <c r="AM275" i="28"/>
  <c r="AJ275" i="28"/>
  <c r="AG275" i="28"/>
  <c r="AD275" i="28"/>
  <c r="AR274" i="28"/>
  <c r="AP274" i="28"/>
  <c r="AO274" i="28"/>
  <c r="AM274" i="28"/>
  <c r="AJ274" i="28"/>
  <c r="AG274" i="28"/>
  <c r="AD274" i="28"/>
  <c r="AR273" i="28"/>
  <c r="AP273" i="28"/>
  <c r="AO273" i="28"/>
  <c r="AM273" i="28"/>
  <c r="AJ273" i="28"/>
  <c r="AG273" i="28"/>
  <c r="AD273" i="28"/>
  <c r="AR272" i="28"/>
  <c r="AP272" i="28"/>
  <c r="AO272" i="28"/>
  <c r="AM272" i="28"/>
  <c r="AJ272" i="28"/>
  <c r="AG272" i="28"/>
  <c r="AD272" i="28"/>
  <c r="AR224" i="28"/>
  <c r="AP224" i="28"/>
  <c r="AO224" i="28"/>
  <c r="AM224" i="28"/>
  <c r="AJ224" i="28"/>
  <c r="AG224" i="28"/>
  <c r="AD224" i="28"/>
  <c r="AR223" i="28"/>
  <c r="AP223" i="28"/>
  <c r="AO223" i="28"/>
  <c r="AM223" i="28"/>
  <c r="AJ223" i="28"/>
  <c r="AG223" i="28"/>
  <c r="AD223" i="28"/>
  <c r="AR222" i="28"/>
  <c r="AP222" i="28"/>
  <c r="AO222" i="28"/>
  <c r="AM222" i="28"/>
  <c r="AJ222" i="28"/>
  <c r="AG222" i="28"/>
  <c r="AD222" i="28"/>
  <c r="AR221" i="28"/>
  <c r="AP221" i="28"/>
  <c r="AO221" i="28"/>
  <c r="AM221" i="28"/>
  <c r="AJ221" i="28"/>
  <c r="AG221" i="28"/>
  <c r="AD221" i="28"/>
  <c r="AR220" i="28"/>
  <c r="AP220" i="28"/>
  <c r="AO220" i="28"/>
  <c r="AM220" i="28"/>
  <c r="AJ220" i="28"/>
  <c r="AG220" i="28"/>
  <c r="AD220" i="28"/>
  <c r="AR219" i="28"/>
  <c r="AP219" i="28"/>
  <c r="AO219" i="28"/>
  <c r="AM219" i="28"/>
  <c r="AJ219" i="28"/>
  <c r="AG219" i="28"/>
  <c r="AD219" i="28"/>
  <c r="AR218" i="28"/>
  <c r="AP218" i="28"/>
  <c r="AO218" i="28"/>
  <c r="AM218" i="28"/>
  <c r="AJ218" i="28"/>
  <c r="AG218" i="28"/>
  <c r="AD218" i="28"/>
  <c r="AR217" i="28"/>
  <c r="AP217" i="28"/>
  <c r="AO217" i="28"/>
  <c r="AM217" i="28"/>
  <c r="AJ217" i="28"/>
  <c r="AG217" i="28"/>
  <c r="AD217" i="28"/>
  <c r="AR216" i="28"/>
  <c r="AP216" i="28"/>
  <c r="AO216" i="28"/>
  <c r="AM216" i="28"/>
  <c r="AJ216" i="28"/>
  <c r="AG216" i="28"/>
  <c r="AD216" i="28"/>
  <c r="AR252" i="28"/>
  <c r="AP252" i="28"/>
  <c r="AO252" i="28"/>
  <c r="AM252" i="28"/>
  <c r="AJ252" i="28"/>
  <c r="AG252" i="28"/>
  <c r="AD252" i="28"/>
  <c r="AR251" i="28"/>
  <c r="AP251" i="28"/>
  <c r="AO251" i="28"/>
  <c r="AM251" i="28"/>
  <c r="AJ251" i="28"/>
  <c r="AG251" i="28"/>
  <c r="AD251" i="28"/>
  <c r="AR250" i="28"/>
  <c r="AP250" i="28"/>
  <c r="AO250" i="28"/>
  <c r="AM250" i="28"/>
  <c r="AJ250" i="28"/>
  <c r="AG250" i="28"/>
  <c r="AD250" i="28"/>
  <c r="AR249" i="28"/>
  <c r="AP249" i="28"/>
  <c r="AO249" i="28"/>
  <c r="AM249" i="28"/>
  <c r="AJ249" i="28"/>
  <c r="AG249" i="28"/>
  <c r="AD249" i="28"/>
  <c r="AR332" i="28"/>
  <c r="AP332" i="28"/>
  <c r="AO332" i="28"/>
  <c r="AM332" i="28"/>
  <c r="AJ332" i="28"/>
  <c r="AG332" i="28"/>
  <c r="AD332" i="28"/>
  <c r="AR269" i="28"/>
  <c r="AP269" i="28"/>
  <c r="AO269" i="28"/>
  <c r="AM269" i="28"/>
  <c r="AJ269" i="28"/>
  <c r="AG269" i="28"/>
  <c r="AD269" i="28"/>
  <c r="AR268" i="28"/>
  <c r="AP268" i="28"/>
  <c r="AO268" i="28"/>
  <c r="AM268" i="28"/>
  <c r="AJ268" i="28"/>
  <c r="AG268" i="28"/>
  <c r="AD268" i="28"/>
  <c r="AR267" i="28"/>
  <c r="AP267" i="28"/>
  <c r="AO267" i="28"/>
  <c r="AM267" i="28"/>
  <c r="AJ267" i="28"/>
  <c r="AG267" i="28"/>
  <c r="AD267" i="28"/>
  <c r="AR266" i="28"/>
  <c r="AP266" i="28"/>
  <c r="AO266" i="28"/>
  <c r="AM266" i="28"/>
  <c r="AJ266" i="28"/>
  <c r="AG266" i="28"/>
  <c r="AD266" i="28"/>
  <c r="AR215" i="28"/>
  <c r="AP215" i="28"/>
  <c r="AO215" i="28"/>
  <c r="AM215" i="28"/>
  <c r="AJ215" i="28"/>
  <c r="AG215" i="28"/>
  <c r="AD215" i="28"/>
  <c r="AR322" i="28"/>
  <c r="AP322" i="28"/>
  <c r="AO322" i="28"/>
  <c r="AM322" i="28"/>
  <c r="AJ322" i="28"/>
  <c r="AG322" i="28"/>
  <c r="AD322" i="28"/>
  <c r="AR214" i="28"/>
  <c r="AP214" i="28"/>
  <c r="AO214" i="28"/>
  <c r="AM214" i="28"/>
  <c r="AJ214" i="28"/>
  <c r="AG214" i="28"/>
  <c r="AD214" i="28"/>
  <c r="AR213" i="28"/>
  <c r="AP213" i="28"/>
  <c r="AO213" i="28"/>
  <c r="AM213" i="28"/>
  <c r="AJ213" i="28"/>
  <c r="AG213" i="28"/>
  <c r="AD213" i="28"/>
  <c r="AR212" i="28"/>
  <c r="AP212" i="28"/>
  <c r="AO212" i="28"/>
  <c r="AM212" i="28"/>
  <c r="AJ212" i="28"/>
  <c r="AG212" i="28"/>
  <c r="AD212" i="28"/>
  <c r="AR211" i="28"/>
  <c r="AP211" i="28"/>
  <c r="AO211" i="28"/>
  <c r="AM211" i="28"/>
  <c r="AJ211" i="28"/>
  <c r="AG211" i="28"/>
  <c r="AD211" i="28"/>
  <c r="AR210" i="28"/>
  <c r="AP210" i="28"/>
  <c r="AO210" i="28"/>
  <c r="AM210" i="28"/>
  <c r="AJ210" i="28"/>
  <c r="AG210" i="28"/>
  <c r="AD210" i="28"/>
  <c r="AR209" i="28"/>
  <c r="AP209" i="28"/>
  <c r="AO209" i="28"/>
  <c r="AM209" i="28"/>
  <c r="AJ209" i="28"/>
  <c r="AG209" i="28"/>
  <c r="AD209" i="28"/>
  <c r="AR208" i="28"/>
  <c r="AP208" i="28"/>
  <c r="AO208" i="28"/>
  <c r="AM208" i="28"/>
  <c r="AJ208" i="28"/>
  <c r="AG208" i="28"/>
  <c r="AD208" i="28"/>
  <c r="AR207" i="28"/>
  <c r="AP207" i="28"/>
  <c r="AO207" i="28"/>
  <c r="AM207" i="28"/>
  <c r="AJ207" i="28"/>
  <c r="AG207" i="28"/>
  <c r="AD207" i="28"/>
  <c r="AR206" i="28"/>
  <c r="AP206" i="28"/>
  <c r="AO206" i="28"/>
  <c r="AM206" i="28"/>
  <c r="AJ206" i="28"/>
  <c r="AG206" i="28"/>
  <c r="AD206" i="28"/>
  <c r="AR205" i="28"/>
  <c r="AP205" i="28"/>
  <c r="AO205" i="28"/>
  <c r="AM205" i="28"/>
  <c r="AJ205" i="28"/>
  <c r="AG205" i="28"/>
  <c r="AD205" i="28"/>
  <c r="AR203" i="28"/>
  <c r="AP203" i="28"/>
  <c r="AO203" i="28"/>
  <c r="AM203" i="28"/>
  <c r="AJ203" i="28"/>
  <c r="AG203" i="28"/>
  <c r="AD203" i="28"/>
  <c r="AR202" i="28"/>
  <c r="AP202" i="28"/>
  <c r="AO202" i="28"/>
  <c r="AM202" i="28"/>
  <c r="AJ202" i="28"/>
  <c r="AG202" i="28"/>
  <c r="AD202" i="28"/>
  <c r="AR201" i="28"/>
  <c r="AP201" i="28"/>
  <c r="AO201" i="28"/>
  <c r="AM201" i="28"/>
  <c r="AJ201" i="28"/>
  <c r="AG201" i="28"/>
  <c r="AD201" i="28"/>
  <c r="AR200" i="28"/>
  <c r="AP200" i="28"/>
  <c r="AO200" i="28"/>
  <c r="AM200" i="28"/>
  <c r="AJ200" i="28"/>
  <c r="AG200" i="28"/>
  <c r="AD200" i="28"/>
  <c r="AP199" i="28"/>
  <c r="AJ199" i="28"/>
  <c r="AG199" i="28"/>
  <c r="AD199" i="28"/>
  <c r="AP198" i="28"/>
  <c r="AJ198" i="28"/>
  <c r="AG198" i="28"/>
  <c r="AD198" i="28"/>
  <c r="AP197" i="28"/>
  <c r="AJ197" i="28"/>
  <c r="AG197" i="28"/>
  <c r="AD197" i="28"/>
  <c r="AP196" i="28"/>
  <c r="AJ196" i="28"/>
  <c r="AG196" i="28"/>
  <c r="AD196" i="28"/>
  <c r="AP195" i="28"/>
  <c r="AJ195" i="28"/>
  <c r="AG195" i="28"/>
  <c r="AD195" i="28"/>
  <c r="AP194" i="28"/>
  <c r="AJ194" i="28"/>
  <c r="AG194" i="28"/>
  <c r="AD194" i="28"/>
  <c r="AP193" i="28"/>
  <c r="AJ193" i="28"/>
  <c r="AG193" i="28"/>
  <c r="AD193" i="28"/>
  <c r="AP192" i="28"/>
  <c r="AJ192" i="28"/>
  <c r="AG192" i="28"/>
  <c r="AD192" i="28"/>
  <c r="AP191" i="28"/>
  <c r="AJ191" i="28"/>
  <c r="AG191" i="28"/>
  <c r="AD191" i="28"/>
  <c r="AP190" i="28"/>
  <c r="AJ190" i="28"/>
  <c r="AG190" i="28"/>
  <c r="AD190" i="28"/>
  <c r="AP189" i="28"/>
  <c r="AJ189" i="28"/>
  <c r="AG189" i="28"/>
  <c r="AD189" i="28"/>
  <c r="AP188" i="28"/>
  <c r="AJ188" i="28"/>
  <c r="AG188" i="28"/>
  <c r="AD188" i="28"/>
  <c r="AP187" i="28"/>
  <c r="AJ187" i="28"/>
  <c r="AG187" i="28"/>
  <c r="AD187" i="28"/>
  <c r="AP186" i="28"/>
  <c r="AJ186" i="28"/>
  <c r="AG186" i="28"/>
  <c r="AD186" i="28"/>
  <c r="AP185" i="28"/>
  <c r="AJ185" i="28"/>
  <c r="AG185" i="28"/>
  <c r="AD185" i="28"/>
  <c r="AP184" i="28"/>
  <c r="AJ184" i="28"/>
  <c r="AG184" i="28"/>
  <c r="AD184" i="28"/>
  <c r="AP183" i="28"/>
  <c r="AJ183" i="28"/>
  <c r="AG183" i="28"/>
  <c r="AD183" i="28"/>
  <c r="AP182" i="28"/>
  <c r="AJ182" i="28"/>
  <c r="AG182" i="28"/>
  <c r="AD182" i="28"/>
  <c r="AP181" i="28"/>
  <c r="AJ181" i="28"/>
  <c r="AG181" i="28"/>
  <c r="AD181" i="28"/>
  <c r="AP180" i="28"/>
  <c r="AJ180" i="28"/>
  <c r="AG180" i="28"/>
  <c r="AD180" i="28"/>
  <c r="AP179" i="28"/>
  <c r="AJ179" i="28"/>
  <c r="AG179" i="28"/>
  <c r="AD179" i="28"/>
  <c r="AP178" i="28"/>
  <c r="AJ178" i="28"/>
  <c r="AG178" i="28"/>
  <c r="AD178" i="28"/>
  <c r="AP177" i="28"/>
  <c r="AJ177" i="28"/>
  <c r="AG177" i="28"/>
  <c r="AD177" i="28"/>
  <c r="AP176" i="28"/>
  <c r="AJ176" i="28"/>
  <c r="AG176" i="28"/>
  <c r="AD176" i="28"/>
  <c r="AP175" i="28"/>
  <c r="AJ175" i="28"/>
  <c r="AG175" i="28"/>
  <c r="AD175" i="28"/>
  <c r="AP174" i="28"/>
  <c r="AJ174" i="28"/>
  <c r="AG174" i="28"/>
  <c r="AD174" i="28"/>
  <c r="AP173" i="28"/>
  <c r="AJ173" i="28"/>
  <c r="AG173" i="28"/>
  <c r="AD173" i="28"/>
  <c r="AP172" i="28"/>
  <c r="AJ172" i="28"/>
  <c r="AG172" i="28"/>
  <c r="AD172" i="28"/>
  <c r="AP171" i="28"/>
  <c r="AJ171" i="28"/>
  <c r="AG171" i="28"/>
  <c r="AD171" i="28"/>
  <c r="AP170" i="28"/>
  <c r="AJ170" i="28"/>
  <c r="AG170" i="28"/>
  <c r="AD170" i="28"/>
  <c r="AR169" i="28"/>
  <c r="AP169" i="28"/>
  <c r="AO169" i="28"/>
  <c r="AM169" i="28"/>
  <c r="AJ169" i="28"/>
  <c r="AG169" i="28"/>
  <c r="AD169" i="28"/>
  <c r="AR168" i="28"/>
  <c r="AP168" i="28"/>
  <c r="AO168" i="28"/>
  <c r="AM168" i="28"/>
  <c r="AJ168" i="28"/>
  <c r="AG168" i="28"/>
  <c r="AD168" i="28"/>
  <c r="AR167" i="28"/>
  <c r="AP167" i="28"/>
  <c r="AO167" i="28"/>
  <c r="AM167" i="28"/>
  <c r="AJ167" i="28"/>
  <c r="AG167" i="28"/>
  <c r="AD167" i="28"/>
  <c r="AR166" i="28"/>
  <c r="AP166" i="28"/>
  <c r="AO166" i="28"/>
  <c r="AM166" i="28"/>
  <c r="AJ166" i="28"/>
  <c r="AG166" i="28"/>
  <c r="AD166" i="28"/>
  <c r="AP165" i="28"/>
  <c r="AM165" i="28"/>
  <c r="AJ165" i="28"/>
  <c r="AG165" i="28"/>
  <c r="AD165" i="28"/>
  <c r="AP164" i="28"/>
  <c r="AM164" i="28"/>
  <c r="AJ164" i="28"/>
  <c r="AG164" i="28"/>
  <c r="AD164" i="28"/>
  <c r="AP163" i="28"/>
  <c r="AM163" i="28"/>
  <c r="AJ163" i="28"/>
  <c r="AG163" i="28"/>
  <c r="AD163" i="28"/>
  <c r="AP162" i="28"/>
  <c r="AM162" i="28"/>
  <c r="AJ162" i="28"/>
  <c r="AG162" i="28"/>
  <c r="AD162" i="28"/>
  <c r="AP161" i="28"/>
  <c r="AM161" i="28"/>
  <c r="AJ161" i="28"/>
  <c r="AG161" i="28"/>
  <c r="AD161" i="28"/>
  <c r="AP160" i="28"/>
  <c r="AM160" i="28"/>
  <c r="AJ160" i="28"/>
  <c r="AG160" i="28"/>
  <c r="AD160" i="28"/>
  <c r="AP159" i="28"/>
  <c r="AM159" i="28"/>
  <c r="AJ159" i="28"/>
  <c r="AG159" i="28"/>
  <c r="AD159" i="28"/>
  <c r="AP158" i="28"/>
  <c r="AM158" i="28"/>
  <c r="AJ158" i="28"/>
  <c r="AG158" i="28"/>
  <c r="AD158" i="28"/>
  <c r="AP157" i="28"/>
  <c r="AM157" i="28"/>
  <c r="AJ157" i="28"/>
  <c r="AG157" i="28"/>
  <c r="AD157" i="28"/>
  <c r="AP156" i="28"/>
  <c r="AM156" i="28"/>
  <c r="AJ156" i="28"/>
  <c r="AG156" i="28"/>
  <c r="AD156" i="28"/>
  <c r="AP155" i="28"/>
  <c r="AM155" i="28"/>
  <c r="AJ155" i="28"/>
  <c r="AG155" i="28"/>
  <c r="AD155" i="28"/>
  <c r="AP154" i="28"/>
  <c r="AM154" i="28"/>
  <c r="AJ154" i="28"/>
  <c r="AG154" i="28"/>
  <c r="AD154" i="28"/>
  <c r="AP153" i="28"/>
  <c r="AM153" i="28"/>
  <c r="AJ153" i="28"/>
  <c r="AG153" i="28"/>
  <c r="AD153" i="28"/>
  <c r="AP150" i="28"/>
  <c r="AM150" i="28"/>
  <c r="AJ150" i="28"/>
  <c r="AG150" i="28"/>
  <c r="AD150" i="28"/>
  <c r="AP149" i="28"/>
  <c r="AM149" i="28"/>
  <c r="AJ149" i="28"/>
  <c r="AG149" i="28"/>
  <c r="AD149" i="28"/>
  <c r="AP148" i="28"/>
  <c r="AM148" i="28"/>
  <c r="AJ148" i="28"/>
  <c r="AG148" i="28"/>
  <c r="AD148" i="28"/>
  <c r="AP147" i="28"/>
  <c r="AM147" i="28"/>
  <c r="AJ147" i="28"/>
  <c r="AG147" i="28"/>
  <c r="AD147" i="28"/>
  <c r="AP146" i="28"/>
  <c r="AM146" i="28"/>
  <c r="AJ146" i="28"/>
  <c r="AG146" i="28"/>
  <c r="AD146" i="28"/>
  <c r="AP145" i="28"/>
  <c r="AM145" i="28"/>
  <c r="AJ145" i="28"/>
  <c r="AG145" i="28"/>
  <c r="AD145" i="28"/>
  <c r="AP144" i="28"/>
  <c r="AM144" i="28"/>
  <c r="AJ144" i="28"/>
  <c r="AG144" i="28"/>
  <c r="AD144" i="28"/>
  <c r="AP143" i="28"/>
  <c r="AM143" i="28"/>
  <c r="AJ143" i="28"/>
  <c r="AG143" i="28"/>
  <c r="AD143" i="28"/>
  <c r="AP142" i="28"/>
  <c r="AM142" i="28"/>
  <c r="AJ142" i="28"/>
  <c r="AG142" i="28"/>
  <c r="AD142" i="28"/>
  <c r="AP141" i="28"/>
  <c r="AM141" i="28"/>
  <c r="AJ141" i="28"/>
  <c r="AG141" i="28"/>
  <c r="AD141" i="28"/>
  <c r="AP140" i="28"/>
  <c r="AM140" i="28"/>
  <c r="AJ140" i="28"/>
  <c r="AG140" i="28"/>
  <c r="AD140" i="28"/>
  <c r="AP139" i="28"/>
  <c r="AM139" i="28"/>
  <c r="AJ139" i="28"/>
  <c r="AG139" i="28"/>
  <c r="AD139" i="28"/>
  <c r="AP138" i="28"/>
  <c r="AM138" i="28"/>
  <c r="AJ138" i="28"/>
  <c r="AG138" i="28"/>
  <c r="AD138" i="28"/>
  <c r="AP137" i="28"/>
  <c r="AM137" i="28"/>
  <c r="AJ137" i="28"/>
  <c r="AG137" i="28"/>
  <c r="AD137" i="28"/>
  <c r="AP136" i="28"/>
  <c r="AM136" i="28"/>
  <c r="AJ136" i="28"/>
  <c r="AG136" i="28"/>
  <c r="AD136" i="28"/>
  <c r="AP135" i="28"/>
  <c r="AM135" i="28"/>
  <c r="AJ135" i="28"/>
  <c r="AG135" i="28"/>
  <c r="AD135" i="28"/>
  <c r="AP134" i="28"/>
  <c r="AM134" i="28"/>
  <c r="AJ134" i="28"/>
  <c r="AG134" i="28"/>
  <c r="AD134" i="28"/>
  <c r="AP133" i="28"/>
  <c r="AM133" i="28"/>
  <c r="AJ133" i="28"/>
  <c r="AG133" i="28"/>
  <c r="AD133" i="28"/>
  <c r="AP132" i="28"/>
  <c r="AM132" i="28"/>
  <c r="AJ132" i="28"/>
  <c r="AG132" i="28"/>
  <c r="AD132" i="28"/>
  <c r="AP131" i="28"/>
  <c r="AM131" i="28"/>
  <c r="AJ131" i="28"/>
  <c r="AG131" i="28"/>
  <c r="AD131" i="28"/>
  <c r="AP130" i="28"/>
  <c r="AM130" i="28"/>
  <c r="AJ130" i="28"/>
  <c r="AG130" i="28"/>
  <c r="AD130" i="28"/>
  <c r="AP129" i="28"/>
  <c r="AM129" i="28"/>
  <c r="AJ129" i="28"/>
  <c r="AG129" i="28"/>
  <c r="AD129" i="28"/>
  <c r="AP128" i="28"/>
  <c r="AM128" i="28"/>
  <c r="AJ128" i="28"/>
  <c r="AG128" i="28"/>
  <c r="AD128" i="28"/>
  <c r="AP127" i="28"/>
  <c r="AM127" i="28"/>
  <c r="AJ127" i="28"/>
  <c r="AG127" i="28"/>
  <c r="AD127" i="28"/>
  <c r="AP126" i="28"/>
  <c r="AM126" i="28"/>
  <c r="AJ126" i="28"/>
  <c r="AG126" i="28"/>
  <c r="AD126" i="28"/>
  <c r="AP125" i="28"/>
  <c r="AM125" i="28"/>
  <c r="AJ125" i="28"/>
  <c r="AG125" i="28"/>
  <c r="AD125" i="28"/>
  <c r="AP124" i="28"/>
  <c r="AM124" i="28"/>
  <c r="AJ124" i="28"/>
  <c r="AG124" i="28"/>
  <c r="AD124" i="28"/>
  <c r="AP123" i="28"/>
  <c r="AM123" i="28"/>
  <c r="AJ123" i="28"/>
  <c r="AG123" i="28"/>
  <c r="AD123" i="28"/>
  <c r="AP122" i="28"/>
  <c r="AM122" i="28"/>
  <c r="AJ122" i="28"/>
  <c r="AG122" i="28"/>
  <c r="AD122" i="28"/>
  <c r="AP121" i="28"/>
  <c r="AM121" i="28"/>
  <c r="AJ121" i="28"/>
  <c r="AG121" i="28"/>
  <c r="AD121" i="28"/>
  <c r="AP120" i="28"/>
  <c r="AM120" i="28"/>
  <c r="AJ120" i="28"/>
  <c r="AG120" i="28"/>
  <c r="AD120" i="28"/>
  <c r="AP119" i="28"/>
  <c r="AM119" i="28"/>
  <c r="AJ119" i="28"/>
  <c r="AG119" i="28"/>
  <c r="AD119" i="28"/>
  <c r="AP118" i="28"/>
  <c r="AM118" i="28"/>
  <c r="AJ118" i="28"/>
  <c r="AG118" i="28"/>
  <c r="AD118" i="28"/>
  <c r="AP117" i="28"/>
  <c r="AM117" i="28"/>
  <c r="AJ117" i="28"/>
  <c r="AG117" i="28"/>
  <c r="AD117" i="28"/>
  <c r="AP116" i="28"/>
  <c r="AM116" i="28"/>
  <c r="AJ116" i="28"/>
  <c r="AG116" i="28"/>
  <c r="AD116" i="28"/>
  <c r="AP115" i="28"/>
  <c r="AM115" i="28"/>
  <c r="AJ115" i="28"/>
  <c r="AG115" i="28"/>
  <c r="AD115" i="28"/>
  <c r="AP114" i="28"/>
  <c r="AM114" i="28"/>
  <c r="AJ114" i="28"/>
  <c r="AG114" i="28"/>
  <c r="AD114" i="28"/>
  <c r="AP113" i="28"/>
  <c r="AM113" i="28"/>
  <c r="AJ113" i="28"/>
  <c r="AG113" i="28"/>
  <c r="AD113" i="28"/>
  <c r="AP112" i="28"/>
  <c r="AM112" i="28"/>
  <c r="AJ112" i="28"/>
  <c r="AG112" i="28"/>
  <c r="AD112" i="28"/>
  <c r="AP111" i="28"/>
  <c r="AM111" i="28"/>
  <c r="AJ111" i="28"/>
  <c r="AG111" i="28"/>
  <c r="AD111" i="28"/>
  <c r="AP110" i="28"/>
  <c r="AM110" i="28"/>
  <c r="AJ110" i="28"/>
  <c r="AG110" i="28"/>
  <c r="AD110" i="28"/>
  <c r="AP109" i="28"/>
  <c r="AM109" i="28"/>
  <c r="AJ109" i="28"/>
  <c r="AG109" i="28"/>
  <c r="AD109" i="28"/>
  <c r="AP108" i="28"/>
  <c r="AM108" i="28"/>
  <c r="AJ108" i="28"/>
  <c r="AG108" i="28"/>
  <c r="AD108" i="28"/>
  <c r="AP107" i="28"/>
  <c r="AM107" i="28"/>
  <c r="AJ107" i="28"/>
  <c r="AG107" i="28"/>
  <c r="AD107" i="28"/>
  <c r="AP106" i="28"/>
  <c r="AM106" i="28"/>
  <c r="AJ106" i="28"/>
  <c r="AG106" i="28"/>
  <c r="AD106" i="28"/>
  <c r="AP105" i="28"/>
  <c r="AM105" i="28"/>
  <c r="AJ105" i="28"/>
  <c r="AG105" i="28"/>
  <c r="AD105" i="28"/>
  <c r="AP104" i="28"/>
  <c r="AM104" i="28"/>
  <c r="AJ104" i="28"/>
  <c r="AG104" i="28"/>
  <c r="AD104" i="28"/>
  <c r="AP103" i="28"/>
  <c r="AM103" i="28"/>
  <c r="AJ103" i="28"/>
  <c r="AG103" i="28"/>
  <c r="AD103" i="28"/>
  <c r="AP102" i="28"/>
  <c r="AM102" i="28"/>
  <c r="AJ102" i="28"/>
  <c r="AG102" i="28"/>
  <c r="AD102" i="28"/>
  <c r="AP101" i="28"/>
  <c r="AM101" i="28"/>
  <c r="AJ101" i="28"/>
  <c r="AG101" i="28"/>
  <c r="AD101" i="28"/>
  <c r="AP100" i="28"/>
  <c r="AM100" i="28"/>
  <c r="AJ100" i="28"/>
  <c r="AG100" i="28"/>
  <c r="AD100" i="28"/>
  <c r="AP99" i="28"/>
  <c r="AM99" i="28"/>
  <c r="AJ99" i="28"/>
  <c r="AG99" i="28"/>
  <c r="AD99" i="28"/>
  <c r="AP98" i="28"/>
  <c r="AM98" i="28"/>
  <c r="AJ98" i="28"/>
  <c r="AG98" i="28"/>
  <c r="AD98" i="28"/>
  <c r="AP97" i="28"/>
  <c r="AM97" i="28"/>
  <c r="AJ97" i="28"/>
  <c r="AG97" i="28"/>
  <c r="AD97" i="28"/>
  <c r="AP96" i="28"/>
  <c r="AM96" i="28"/>
  <c r="AJ96" i="28"/>
  <c r="AG96" i="28"/>
  <c r="AD96" i="28"/>
  <c r="AP95" i="28"/>
  <c r="AM95" i="28"/>
  <c r="AJ95" i="28"/>
  <c r="AG95" i="28"/>
  <c r="AD95" i="28"/>
  <c r="AP94" i="28"/>
  <c r="AM94" i="28"/>
  <c r="AJ94" i="28"/>
  <c r="AG94" i="28"/>
  <c r="AD94" i="28"/>
  <c r="AR93" i="28"/>
  <c r="AP93" i="28"/>
  <c r="AO93" i="28"/>
  <c r="AM93" i="28"/>
  <c r="AJ93" i="28"/>
  <c r="AI93" i="28"/>
  <c r="AG93" i="28"/>
  <c r="AF93" i="28"/>
  <c r="AD93" i="28"/>
  <c r="AR92" i="28"/>
  <c r="AP92" i="28"/>
  <c r="AO92" i="28"/>
  <c r="AM92" i="28"/>
  <c r="AJ92" i="28"/>
  <c r="AG92" i="28"/>
  <c r="AD92" i="28"/>
  <c r="AR91" i="28"/>
  <c r="AP91" i="28"/>
  <c r="AO91" i="28"/>
  <c r="AM91" i="28"/>
  <c r="AJ91" i="28"/>
  <c r="AG91" i="28"/>
  <c r="AD91" i="28"/>
  <c r="AR84" i="28"/>
  <c r="AP84" i="28"/>
  <c r="AO84" i="28"/>
  <c r="AM84" i="28"/>
  <c r="AJ84" i="28"/>
  <c r="AG84" i="28"/>
  <c r="AD84" i="28"/>
  <c r="AR81" i="28"/>
  <c r="AP81" i="28"/>
  <c r="AO81" i="28"/>
  <c r="AM81" i="28"/>
  <c r="AJ81" i="28"/>
  <c r="AG81" i="28"/>
  <c r="AD81" i="28"/>
  <c r="AR80" i="28"/>
  <c r="AP80" i="28"/>
  <c r="AO80" i="28"/>
  <c r="AM80" i="28"/>
  <c r="AJ80" i="28"/>
  <c r="AG80" i="28"/>
  <c r="AD80" i="28"/>
  <c r="AR79" i="28"/>
  <c r="AP79" i="28"/>
  <c r="AO79" i="28"/>
  <c r="AM79" i="28"/>
  <c r="AJ79" i="28"/>
  <c r="AI79" i="28"/>
  <c r="AG79" i="28"/>
  <c r="AD79" i="28"/>
  <c r="AR78" i="28"/>
  <c r="AP78" i="28"/>
  <c r="AO78" i="28"/>
  <c r="AM78" i="28"/>
  <c r="AJ78" i="28"/>
  <c r="AG78" i="28"/>
  <c r="AD78" i="28"/>
  <c r="AR77" i="28"/>
  <c r="AP77" i="28"/>
  <c r="AO77" i="28"/>
  <c r="AM77" i="28"/>
  <c r="AJ77" i="28"/>
  <c r="AG77" i="28"/>
  <c r="AD77" i="28"/>
  <c r="AR76" i="28"/>
  <c r="AP76" i="28"/>
  <c r="AO76" i="28"/>
  <c r="AM76" i="28"/>
  <c r="AJ76" i="28"/>
  <c r="AI76" i="28"/>
  <c r="AG76" i="28"/>
  <c r="AD76" i="28"/>
  <c r="AR75" i="28"/>
  <c r="AP75" i="28"/>
  <c r="AO75" i="28"/>
  <c r="AM75" i="28"/>
  <c r="AJ75" i="28"/>
  <c r="AG75" i="28"/>
  <c r="AD75" i="28"/>
  <c r="AR74" i="28"/>
  <c r="AP74" i="28"/>
  <c r="AO74" i="28"/>
  <c r="AM74" i="28"/>
  <c r="AJ74" i="28"/>
  <c r="AG74" i="28"/>
  <c r="AD74" i="28"/>
  <c r="AR73" i="28"/>
  <c r="AP73" i="28"/>
  <c r="AO73" i="28"/>
  <c r="AM73" i="28"/>
  <c r="AJ73" i="28"/>
  <c r="AG73" i="28"/>
  <c r="AD73" i="28"/>
  <c r="AR72" i="28"/>
  <c r="AP72" i="28"/>
  <c r="AO72" i="28"/>
  <c r="AM72" i="28"/>
  <c r="AJ72" i="28"/>
  <c r="AG72" i="28"/>
  <c r="AD72" i="28"/>
  <c r="AR71" i="28"/>
  <c r="AP71" i="28"/>
  <c r="AO71" i="28"/>
  <c r="AM71" i="28"/>
  <c r="AJ71" i="28"/>
  <c r="AG71" i="28"/>
  <c r="AD71" i="28"/>
  <c r="AR70" i="28"/>
  <c r="AP70" i="28"/>
  <c r="AO70" i="28"/>
  <c r="AM70" i="28"/>
  <c r="AJ70" i="28"/>
  <c r="AI70" i="28"/>
  <c r="AG70" i="28"/>
  <c r="AD70" i="28"/>
  <c r="AR69" i="28"/>
  <c r="AP69" i="28"/>
  <c r="AO69" i="28"/>
  <c r="AM69" i="28"/>
  <c r="AJ69" i="28"/>
  <c r="AI69" i="28"/>
  <c r="AG69" i="28"/>
  <c r="AD69" i="28"/>
  <c r="AR68" i="28"/>
  <c r="AP68" i="28"/>
  <c r="AO68" i="28"/>
  <c r="AM68" i="28"/>
  <c r="AJ68" i="28"/>
  <c r="AI68" i="28"/>
  <c r="AG68" i="28"/>
  <c r="AD68" i="28"/>
  <c r="AR67" i="28"/>
  <c r="AP67" i="28"/>
  <c r="AO67" i="28"/>
  <c r="AM67" i="28"/>
  <c r="AJ67" i="28"/>
  <c r="AI67" i="28"/>
  <c r="AG67" i="28"/>
  <c r="AD67" i="28"/>
  <c r="AR66" i="28"/>
  <c r="AP66" i="28"/>
  <c r="AO66" i="28"/>
  <c r="AM66" i="28"/>
  <c r="AJ66" i="28"/>
  <c r="AG66" i="28"/>
  <c r="AD66" i="28"/>
  <c r="AR65" i="28"/>
  <c r="AP65" i="28"/>
  <c r="AO65" i="28"/>
  <c r="AM65" i="28"/>
  <c r="AJ65" i="28"/>
  <c r="AG65" i="28"/>
  <c r="AD65" i="28"/>
  <c r="AR64" i="28"/>
  <c r="AP64" i="28"/>
  <c r="AO64" i="28"/>
  <c r="AM64" i="28"/>
  <c r="AJ64" i="28"/>
  <c r="AG64" i="28"/>
  <c r="AD64" i="28"/>
  <c r="AR63" i="28"/>
  <c r="AP63" i="28"/>
  <c r="AO63" i="28"/>
  <c r="AM63" i="28"/>
  <c r="AJ63" i="28"/>
  <c r="AG63" i="28"/>
  <c r="AD63" i="28"/>
  <c r="AR62" i="28"/>
  <c r="AP62" i="28"/>
  <c r="AO62" i="28"/>
  <c r="AM62" i="28"/>
  <c r="AJ62" i="28"/>
  <c r="AG62" i="28"/>
  <c r="AD62" i="28"/>
  <c r="AR61" i="28"/>
  <c r="AP61" i="28"/>
  <c r="AO61" i="28"/>
  <c r="AM61" i="28"/>
  <c r="AJ61" i="28"/>
  <c r="AG61" i="28"/>
  <c r="AD61" i="28"/>
  <c r="AR60" i="28"/>
  <c r="AP60" i="28"/>
  <c r="AO60" i="28"/>
  <c r="AM60" i="28"/>
  <c r="AJ60" i="28"/>
  <c r="AG60" i="28"/>
  <c r="AD60" i="28"/>
  <c r="AR59" i="28"/>
  <c r="AP59" i="28"/>
  <c r="AO59" i="28"/>
  <c r="AM59" i="28"/>
  <c r="AJ59" i="28"/>
  <c r="AG59" i="28"/>
  <c r="AD59" i="28"/>
  <c r="AR58" i="28"/>
  <c r="AP58" i="28"/>
  <c r="AO58" i="28"/>
  <c r="AM58" i="28"/>
  <c r="AJ58" i="28"/>
  <c r="AG58" i="28"/>
  <c r="AD58" i="28"/>
  <c r="AR57" i="28"/>
  <c r="AP57" i="28"/>
  <c r="AO57" i="28"/>
  <c r="AM57" i="28"/>
  <c r="AJ57" i="28"/>
  <c r="AG57" i="28"/>
  <c r="AD57" i="28"/>
  <c r="AR56" i="28"/>
  <c r="AP56" i="28"/>
  <c r="AO56" i="28"/>
  <c r="AM56" i="28"/>
  <c r="AJ56" i="28"/>
  <c r="AG56" i="28"/>
  <c r="AD56" i="28"/>
  <c r="AR55" i="28"/>
  <c r="AP55" i="28"/>
  <c r="AO55" i="28"/>
  <c r="AM55" i="28"/>
  <c r="AJ55" i="28"/>
  <c r="AG55" i="28"/>
  <c r="AD55" i="28"/>
  <c r="AR54" i="28"/>
  <c r="AP54" i="28"/>
  <c r="AO54" i="28"/>
  <c r="AM54" i="28"/>
  <c r="AJ54" i="28"/>
  <c r="AG54" i="28"/>
  <c r="AD54" i="28"/>
  <c r="AR53" i="28"/>
  <c r="AP53" i="28"/>
  <c r="AO53" i="28"/>
  <c r="AM53" i="28"/>
  <c r="AJ53" i="28"/>
  <c r="AG53" i="28"/>
  <c r="AD53" i="28"/>
  <c r="AR52" i="28"/>
  <c r="AP52" i="28"/>
  <c r="AO52" i="28"/>
  <c r="AM52" i="28"/>
  <c r="AJ52" i="28"/>
  <c r="AG52" i="28"/>
  <c r="AD52" i="28"/>
  <c r="AR51" i="28"/>
  <c r="AP51" i="28"/>
  <c r="AO51" i="28"/>
  <c r="AM51" i="28"/>
  <c r="AJ51" i="28"/>
  <c r="AG51" i="28"/>
  <c r="AD51" i="28"/>
  <c r="AR50" i="28"/>
  <c r="AP50" i="28"/>
  <c r="AO50" i="28"/>
  <c r="AM50" i="28"/>
  <c r="AJ50" i="28"/>
  <c r="AG50" i="28"/>
  <c r="AD50" i="28"/>
  <c r="AR49" i="28"/>
  <c r="AP49" i="28"/>
  <c r="AO49" i="28"/>
  <c r="AM49" i="28"/>
  <c r="AJ49" i="28"/>
  <c r="AG49" i="28"/>
  <c r="AD49" i="28"/>
  <c r="AR47" i="28"/>
  <c r="AP47" i="28"/>
  <c r="AO47" i="28"/>
  <c r="AM47" i="28"/>
  <c r="AJ47" i="28"/>
  <c r="AG47" i="28"/>
  <c r="AD47" i="28"/>
  <c r="AR46" i="28"/>
  <c r="AP46" i="28"/>
  <c r="AO46" i="28"/>
  <c r="AM46" i="28"/>
  <c r="AJ46" i="28"/>
  <c r="AG46" i="28"/>
  <c r="AD46" i="28"/>
  <c r="AR45" i="28"/>
  <c r="AP45" i="28"/>
  <c r="AO45" i="28"/>
  <c r="AM45" i="28"/>
  <c r="AJ45" i="28"/>
  <c r="AG45" i="28"/>
  <c r="AD45" i="28"/>
  <c r="AR44" i="28"/>
  <c r="AP44" i="28"/>
  <c r="AO44" i="28"/>
  <c r="AM44" i="28"/>
  <c r="AJ44" i="28"/>
  <c r="AG44" i="28"/>
  <c r="AD44" i="28"/>
  <c r="AR43" i="28"/>
  <c r="AP43" i="28"/>
  <c r="AO43" i="28"/>
  <c r="AM43" i="28"/>
  <c r="AJ43" i="28"/>
  <c r="AG43" i="28"/>
  <c r="AD43" i="28"/>
  <c r="AR42" i="28"/>
  <c r="AP42" i="28"/>
  <c r="AO42" i="28"/>
  <c r="AM42" i="28"/>
  <c r="AJ42" i="28"/>
  <c r="AG42" i="28"/>
  <c r="AD42" i="28"/>
  <c r="AR41" i="28"/>
  <c r="AP41" i="28"/>
  <c r="AO41" i="28"/>
  <c r="AM41" i="28"/>
  <c r="AJ41" i="28"/>
  <c r="AG41" i="28"/>
  <c r="AD41" i="28"/>
  <c r="AR40" i="28"/>
  <c r="AP40" i="28"/>
  <c r="AO40" i="28"/>
  <c r="AM40" i="28"/>
  <c r="AJ40" i="28"/>
  <c r="AG40" i="28"/>
  <c r="AD40" i="28"/>
  <c r="AR39" i="28"/>
  <c r="AP39" i="28"/>
  <c r="AO39" i="28"/>
  <c r="AM39" i="28"/>
  <c r="AJ39" i="28"/>
  <c r="AG39" i="28"/>
  <c r="AD39" i="28"/>
  <c r="AR38" i="28"/>
  <c r="AP38" i="28"/>
  <c r="AO38" i="28"/>
  <c r="AM38" i="28"/>
  <c r="AJ38" i="28"/>
  <c r="AG38" i="28"/>
  <c r="AD38" i="28"/>
  <c r="AR37" i="28"/>
  <c r="AP37" i="28"/>
  <c r="AO37" i="28"/>
  <c r="AM37" i="28"/>
  <c r="AJ37" i="28"/>
  <c r="AG37" i="28"/>
  <c r="AD37" i="28"/>
  <c r="AR36" i="28"/>
  <c r="AP36" i="28"/>
  <c r="AO36" i="28"/>
  <c r="AM36" i="28"/>
  <c r="AJ36" i="28"/>
  <c r="AG36" i="28"/>
  <c r="AD36" i="28"/>
  <c r="AR35" i="28"/>
  <c r="AP35" i="28"/>
  <c r="AO35" i="28"/>
  <c r="AM35" i="28"/>
  <c r="AJ35" i="28"/>
  <c r="AG35" i="28"/>
  <c r="AD35" i="28"/>
  <c r="AR34" i="28"/>
  <c r="AP34" i="28"/>
  <c r="AO34" i="28"/>
  <c r="AM34" i="28"/>
  <c r="AJ34" i="28"/>
  <c r="AG34" i="28"/>
  <c r="AD34" i="28"/>
  <c r="AR33" i="28"/>
  <c r="AP33" i="28"/>
  <c r="AO33" i="28"/>
  <c r="AM33" i="28"/>
  <c r="AJ33" i="28"/>
  <c r="AG33" i="28"/>
  <c r="AD33" i="28"/>
  <c r="AR32" i="28"/>
  <c r="AP32" i="28"/>
  <c r="AO32" i="28"/>
  <c r="AM32" i="28"/>
  <c r="AJ32" i="28"/>
  <c r="AG32" i="28"/>
  <c r="AD32" i="28"/>
  <c r="AR31" i="28"/>
  <c r="AP31" i="28"/>
  <c r="AO31" i="28"/>
  <c r="AM31" i="28"/>
  <c r="AJ31" i="28"/>
  <c r="AG31" i="28"/>
  <c r="AD31" i="28"/>
  <c r="AR30" i="28"/>
  <c r="AP30" i="28"/>
  <c r="AO30" i="28"/>
  <c r="AM30" i="28"/>
  <c r="AR29" i="28"/>
  <c r="AP29" i="28"/>
  <c r="AO29" i="28"/>
  <c r="AM29" i="28"/>
  <c r="AJ29" i="28"/>
  <c r="AG29" i="28"/>
  <c r="AD29" i="28"/>
  <c r="AR28" i="28"/>
  <c r="AP28" i="28"/>
  <c r="AO28" i="28"/>
  <c r="AM28" i="28"/>
  <c r="AJ28" i="28"/>
  <c r="AG28" i="28"/>
  <c r="AD28" i="28"/>
  <c r="AR27" i="28"/>
  <c r="AP27" i="28"/>
  <c r="AO27" i="28"/>
  <c r="AM27" i="28"/>
  <c r="AJ27" i="28"/>
  <c r="AG27" i="28"/>
  <c r="AD27" i="28"/>
  <c r="AR26" i="28"/>
  <c r="AP26" i="28"/>
  <c r="AO26" i="28"/>
  <c r="AM26" i="28"/>
  <c r="AJ26" i="28"/>
  <c r="AG26" i="28"/>
  <c r="AD26" i="28"/>
  <c r="AR25" i="28"/>
  <c r="AP25" i="28"/>
  <c r="AO25" i="28"/>
  <c r="AM25" i="28"/>
  <c r="AJ25" i="28"/>
  <c r="AG25" i="28"/>
  <c r="AD25" i="28"/>
  <c r="AR24" i="28"/>
  <c r="AP24" i="28"/>
  <c r="AO24" i="28"/>
  <c r="AM24" i="28"/>
  <c r="AJ24" i="28"/>
  <c r="AG24" i="28"/>
  <c r="AD24" i="28"/>
  <c r="AR23" i="28"/>
  <c r="AP23" i="28"/>
  <c r="AO23" i="28"/>
  <c r="AM23" i="28"/>
  <c r="AJ23" i="28"/>
  <c r="AG23" i="28"/>
  <c r="AD23" i="28"/>
  <c r="AR22" i="28"/>
  <c r="AP22" i="28"/>
  <c r="AO22" i="28"/>
  <c r="AM22" i="28"/>
  <c r="AJ22" i="28"/>
  <c r="AG22" i="28"/>
  <c r="AD22" i="28"/>
  <c r="AR21" i="28"/>
  <c r="AP21" i="28"/>
  <c r="AO21" i="28"/>
  <c r="AM21" i="28"/>
  <c r="AJ21" i="28"/>
  <c r="AG21" i="28"/>
  <c r="AD21" i="28"/>
  <c r="AR20" i="28"/>
  <c r="AP20" i="28"/>
  <c r="AO20" i="28"/>
  <c r="AM20" i="28"/>
  <c r="AJ20" i="28"/>
  <c r="AG20" i="28"/>
  <c r="AD20" i="28"/>
  <c r="AR19" i="28"/>
  <c r="AP19" i="28"/>
  <c r="AO19" i="28"/>
  <c r="AM19" i="28"/>
  <c r="AJ19" i="28"/>
  <c r="AG19" i="28"/>
  <c r="AD19" i="28"/>
  <c r="AR18" i="28"/>
  <c r="AP18" i="28"/>
  <c r="AO18" i="28"/>
  <c r="AM18" i="28"/>
  <c r="AJ18" i="28"/>
  <c r="AG18" i="28"/>
  <c r="AD18" i="28"/>
  <c r="C23" i="50"/>
  <c r="C23" i="12"/>
  <c r="C26" i="12" s="1"/>
  <c r="B86" i="43"/>
  <c r="B87" i="43" s="1"/>
  <c r="B88" i="43" s="1"/>
  <c r="B89" i="43" s="1"/>
  <c r="B90" i="43" s="1"/>
  <c r="B91" i="43" s="1"/>
  <c r="B92" i="43" s="1"/>
  <c r="B93" i="43" s="1"/>
  <c r="B94" i="43" s="1"/>
  <c r="B95" i="43" s="1"/>
  <c r="B96" i="43" s="1"/>
  <c r="B97" i="43" s="1"/>
  <c r="B98" i="43" s="1"/>
  <c r="B99" i="43" s="1"/>
  <c r="B100" i="43" s="1"/>
  <c r="B101" i="43" s="1"/>
  <c r="B102" i="43" s="1"/>
  <c r="B103" i="43" s="1"/>
  <c r="B104" i="43" s="1"/>
  <c r="B105" i="43" s="1"/>
  <c r="B106" i="43" s="1"/>
  <c r="B107" i="43" s="1"/>
  <c r="B108" i="43" s="1"/>
  <c r="B109" i="43" s="1"/>
  <c r="B110" i="43" s="1"/>
  <c r="B111" i="43" s="1"/>
  <c r="B112" i="43" s="1"/>
  <c r="B113" i="43" s="1"/>
  <c r="B114" i="43" s="1"/>
  <c r="B115" i="43" s="1"/>
  <c r="B116" i="43" s="1"/>
  <c r="B117" i="43" s="1"/>
  <c r="B118" i="43" s="1"/>
  <c r="B119" i="43" s="1"/>
  <c r="B120" i="43" s="1"/>
  <c r="B121" i="43" s="1"/>
  <c r="B122" i="43" s="1"/>
  <c r="B123" i="43" s="1"/>
  <c r="B124" i="43" s="1"/>
  <c r="B125" i="43" s="1"/>
  <c r="B126" i="43" s="1"/>
  <c r="B127" i="43" s="1"/>
  <c r="B128" i="43" s="1"/>
  <c r="B129" i="43" s="1"/>
  <c r="B130" i="43" s="1"/>
  <c r="B131" i="43" s="1"/>
  <c r="B132" i="43" s="1"/>
  <c r="B133" i="43" s="1"/>
  <c r="B134" i="43" s="1"/>
  <c r="B135" i="43" s="1"/>
  <c r="B84" i="43"/>
  <c r="V93" i="43"/>
  <c r="AL93" i="43" s="1"/>
  <c r="AK93" i="43" s="1"/>
  <c r="AD93" i="43"/>
  <c r="AF93" i="43"/>
  <c r="AG93" i="43"/>
  <c r="AI93" i="43"/>
  <c r="AJ93" i="43"/>
  <c r="AM93" i="43"/>
  <c r="AO93" i="43"/>
  <c r="AP93" i="43"/>
  <c r="AR93" i="43"/>
  <c r="O561" i="28"/>
  <c r="O560" i="28"/>
  <c r="AF560" i="28" s="1"/>
  <c r="V559" i="28"/>
  <c r="AL559" i="28" s="1"/>
  <c r="AN280" i="28" l="1"/>
  <c r="AL209" i="24"/>
  <c r="V280" i="28"/>
  <c r="AL280" i="28" s="1"/>
  <c r="AK280" i="28" s="1"/>
  <c r="AF280" i="28"/>
  <c r="AE280" i="28" s="1"/>
  <c r="AQ280" i="28"/>
  <c r="AN367" i="28"/>
  <c r="AH367" i="28"/>
  <c r="AF367" i="28"/>
  <c r="AE367" i="28" s="1"/>
  <c r="AQ367" i="28"/>
  <c r="Z367" i="28"/>
  <c r="AL367" i="28"/>
  <c r="AK367" i="28" s="1"/>
  <c r="AK350" i="28"/>
  <c r="AF350" i="28"/>
  <c r="AE350" i="28" s="1"/>
  <c r="AQ350" i="28"/>
  <c r="AN350" i="28"/>
  <c r="AK264" i="28"/>
  <c r="AN248" i="28"/>
  <c r="V248" i="28"/>
  <c r="Z248" i="28" s="1"/>
  <c r="AN264" i="28"/>
  <c r="AE248" i="28"/>
  <c r="AH248" i="28"/>
  <c r="AF264" i="28"/>
  <c r="AE264" i="28" s="1"/>
  <c r="AQ264" i="28"/>
  <c r="AQ248" i="28"/>
  <c r="AF330" i="28"/>
  <c r="AE330" i="28" s="1"/>
  <c r="AN330" i="28"/>
  <c r="AQ330" i="28"/>
  <c r="AK330" i="28"/>
  <c r="AQ326" i="28"/>
  <c r="AF326" i="28"/>
  <c r="AE326" i="28" s="1"/>
  <c r="AK326" i="28"/>
  <c r="AN326" i="28"/>
  <c r="AQ265" i="28"/>
  <c r="AK265" i="28"/>
  <c r="AF265" i="28"/>
  <c r="AE265" i="28" s="1"/>
  <c r="AN265" i="28"/>
  <c r="AN489" i="28"/>
  <c r="V489" i="28"/>
  <c r="Z489" i="28" s="1"/>
  <c r="AQ522" i="28"/>
  <c r="AE489" i="28"/>
  <c r="AH489" i="28"/>
  <c r="AQ489" i="28"/>
  <c r="AF522" i="28"/>
  <c r="AE522" i="28" s="1"/>
  <c r="AN522" i="28"/>
  <c r="AK522" i="28"/>
  <c r="AH68" i="28"/>
  <c r="AE560" i="28"/>
  <c r="AN473" i="28"/>
  <c r="AQ460" i="28"/>
  <c r="AH398" i="28"/>
  <c r="AH402" i="28"/>
  <c r="AN422" i="28"/>
  <c r="AN43" i="28"/>
  <c r="AQ45" i="28"/>
  <c r="AF434" i="28"/>
  <c r="AE434" i="28" s="1"/>
  <c r="AN434" i="28"/>
  <c r="AK434" i="28"/>
  <c r="AK399" i="28"/>
  <c r="AQ525" i="28"/>
  <c r="AN564" i="28"/>
  <c r="AQ566" i="28"/>
  <c r="AN591" i="28"/>
  <c r="AN613" i="28"/>
  <c r="AN600" i="28"/>
  <c r="AH504" i="28"/>
  <c r="AQ509" i="28"/>
  <c r="AQ204" i="28"/>
  <c r="AQ371" i="28"/>
  <c r="AQ434" i="28"/>
  <c r="AN73" i="28"/>
  <c r="AQ69" i="28"/>
  <c r="AN74" i="28"/>
  <c r="AN585" i="28"/>
  <c r="AN371" i="28"/>
  <c r="AN445" i="28"/>
  <c r="AN551" i="28"/>
  <c r="AQ450" i="28"/>
  <c r="AN582" i="28"/>
  <c r="AN408" i="28"/>
  <c r="AQ596" i="28"/>
  <c r="AN455" i="28"/>
  <c r="AE400" i="28"/>
  <c r="AE523" i="28"/>
  <c r="AK527" i="28"/>
  <c r="AN529" i="28"/>
  <c r="AN538" i="28"/>
  <c r="AN546" i="28"/>
  <c r="AN453" i="28"/>
  <c r="AN396" i="28"/>
  <c r="AQ381" i="28"/>
  <c r="AN387" i="28"/>
  <c r="AQ600" i="28"/>
  <c r="AN459" i="28"/>
  <c r="AQ461" i="28"/>
  <c r="AE398" i="28"/>
  <c r="AH401" i="28"/>
  <c r="AQ402" i="28"/>
  <c r="AN377" i="28"/>
  <c r="AN570" i="28"/>
  <c r="AQ572" i="28"/>
  <c r="AQ559" i="28"/>
  <c r="AN587" i="28"/>
  <c r="AN611" i="28"/>
  <c r="AF371" i="28"/>
  <c r="AE371" i="28" s="1"/>
  <c r="AK371" i="28"/>
  <c r="AN71" i="28"/>
  <c r="AN242" i="28"/>
  <c r="AE204" i="28"/>
  <c r="AN58" i="28"/>
  <c r="AQ60" i="28"/>
  <c r="AN66" i="28"/>
  <c r="AN67" i="28"/>
  <c r="AN69" i="28"/>
  <c r="AN70" i="28"/>
  <c r="AN420" i="28"/>
  <c r="AN441" i="28"/>
  <c r="AQ478" i="28"/>
  <c r="AK574" i="28"/>
  <c r="AN413" i="28"/>
  <c r="AN72" i="28"/>
  <c r="AQ91" i="28"/>
  <c r="AQ413" i="28"/>
  <c r="AQ597" i="28"/>
  <c r="AN22" i="28"/>
  <c r="AQ24" i="28"/>
  <c r="AN35" i="28"/>
  <c r="AQ37" i="28"/>
  <c r="AQ308" i="28"/>
  <c r="AN426" i="28"/>
  <c r="AQ428" i="28"/>
  <c r="AQ408" i="28"/>
  <c r="AQ436" i="28"/>
  <c r="AQ487" i="28"/>
  <c r="AH400" i="28"/>
  <c r="AH366" i="28"/>
  <c r="AN230" i="28"/>
  <c r="AN607" i="28"/>
  <c r="AQ303" i="28"/>
  <c r="AN312" i="28"/>
  <c r="AQ305" i="28"/>
  <c r="AQ296" i="28"/>
  <c r="AQ340" i="28"/>
  <c r="AQ369" i="28"/>
  <c r="AN365" i="28"/>
  <c r="AN169" i="28"/>
  <c r="AQ555" i="28"/>
  <c r="AQ599" i="28"/>
  <c r="AN450" i="28"/>
  <c r="AQ452" i="28"/>
  <c r="AN481" i="28"/>
  <c r="AQ483" i="28"/>
  <c r="AN491" i="28"/>
  <c r="AN574" i="28"/>
  <c r="AQ77" i="28"/>
  <c r="AN93" i="28"/>
  <c r="AN457" i="28"/>
  <c r="AN480" i="28"/>
  <c r="AQ482" i="28"/>
  <c r="AN568" i="28"/>
  <c r="AN617" i="28"/>
  <c r="AN84" i="28"/>
  <c r="AQ92" i="28"/>
  <c r="AN91" i="28"/>
  <c r="AN50" i="28"/>
  <c r="AQ52" i="28"/>
  <c r="AE234" i="28"/>
  <c r="AE397" i="28"/>
  <c r="AN504" i="28"/>
  <c r="AQ530" i="28"/>
  <c r="AQ539" i="28"/>
  <c r="AQ547" i="28"/>
  <c r="AN565" i="28"/>
  <c r="AQ567" i="28"/>
  <c r="AN560" i="28"/>
  <c r="AN283" i="28"/>
  <c r="AN614" i="28"/>
  <c r="AQ486" i="28"/>
  <c r="AN75" i="28"/>
  <c r="AQ232" i="28"/>
  <c r="AN424" i="28"/>
  <c r="AQ426" i="28"/>
  <c r="AQ442" i="28"/>
  <c r="AN554" i="28"/>
  <c r="AN467" i="28"/>
  <c r="AQ564" i="28"/>
  <c r="AN204" i="28"/>
  <c r="AN79" i="28"/>
  <c r="AQ81" i="28"/>
  <c r="AQ242" i="28"/>
  <c r="AQ244" i="28"/>
  <c r="AN421" i="28"/>
  <c r="AN470" i="28"/>
  <c r="AQ472" i="28"/>
  <c r="AN391" i="28"/>
  <c r="AN382" i="28"/>
  <c r="AQ384" i="28"/>
  <c r="AQ571" i="28"/>
  <c r="AE559" i="28"/>
  <c r="AN609" i="28"/>
  <c r="AN20" i="28"/>
  <c r="AQ22" i="28"/>
  <c r="AN28" i="28"/>
  <c r="AN33" i="28"/>
  <c r="AQ35" i="28"/>
  <c r="AN41" i="28"/>
  <c r="AQ43" i="28"/>
  <c r="AN77" i="28"/>
  <c r="AQ80" i="28"/>
  <c r="AN618" i="28"/>
  <c r="AN273" i="28"/>
  <c r="AN316" i="28"/>
  <c r="AN416" i="28"/>
  <c r="AN555" i="28"/>
  <c r="AQ557" i="28"/>
  <c r="AN483" i="28"/>
  <c r="AQ500" i="28"/>
  <c r="AH576" i="28"/>
  <c r="AQ363" i="28"/>
  <c r="AQ568" i="28"/>
  <c r="AN573" i="28"/>
  <c r="AN593" i="28"/>
  <c r="AH240" i="28"/>
  <c r="AN430" i="28"/>
  <c r="AN553" i="28"/>
  <c r="AQ565" i="28"/>
  <c r="AQ554" i="28"/>
  <c r="AN596" i="28"/>
  <c r="AS398" i="28"/>
  <c r="AS400" i="28"/>
  <c r="AQ168" i="28"/>
  <c r="AQ446" i="28"/>
  <c r="AQ465" i="28"/>
  <c r="AQ473" i="28"/>
  <c r="AK397" i="28"/>
  <c r="AN407" i="28"/>
  <c r="AN508" i="28"/>
  <c r="AQ573" i="28"/>
  <c r="AQ560" i="28"/>
  <c r="AN590" i="28"/>
  <c r="AN460" i="28"/>
  <c r="AN469" i="28"/>
  <c r="AQ470" i="28"/>
  <c r="AN477" i="28"/>
  <c r="AQ479" i="28"/>
  <c r="AQ462" i="28"/>
  <c r="AQ469" i="28"/>
  <c r="AN475" i="28"/>
  <c r="AQ477" i="28"/>
  <c r="AN448" i="28"/>
  <c r="AN449" i="28"/>
  <c r="AQ476" i="28"/>
  <c r="AQ449" i="28"/>
  <c r="AQ480" i="28"/>
  <c r="AN487" i="28"/>
  <c r="AQ325" i="28"/>
  <c r="AQ313" i="28"/>
  <c r="AQ317" i="28"/>
  <c r="AQ226" i="28"/>
  <c r="AN295" i="28"/>
  <c r="AQ319" i="28"/>
  <c r="AQ258" i="28"/>
  <c r="AQ328" i="28"/>
  <c r="AQ291" i="28"/>
  <c r="AQ361" i="28"/>
  <c r="AQ423" i="28"/>
  <c r="AE362" i="28"/>
  <c r="AQ318" i="28"/>
  <c r="AQ255" i="28"/>
  <c r="AQ603" i="28"/>
  <c r="AQ353" i="28"/>
  <c r="AQ261" i="28"/>
  <c r="AQ253" i="28"/>
  <c r="AQ351" i="28"/>
  <c r="AE408" i="28"/>
  <c r="AQ247" i="28"/>
  <c r="AE297" i="28"/>
  <c r="AQ337" i="28"/>
  <c r="AQ358" i="28"/>
  <c r="AN423" i="28"/>
  <c r="AQ252" i="28"/>
  <c r="AN282" i="28"/>
  <c r="AQ334" i="28"/>
  <c r="AN321" i="28"/>
  <c r="AQ254" i="28"/>
  <c r="AN260" i="28"/>
  <c r="AQ245" i="28"/>
  <c r="AQ342" i="28"/>
  <c r="AN346" i="28"/>
  <c r="AQ345" i="28"/>
  <c r="AH234" i="28"/>
  <c r="AH299" i="28"/>
  <c r="AN348" i="28"/>
  <c r="AN347" i="28"/>
  <c r="AQ294" i="28"/>
  <c r="AQ25" i="28"/>
  <c r="AN36" i="28"/>
  <c r="AQ38" i="28"/>
  <c r="AN44" i="28"/>
  <c r="AQ46" i="28"/>
  <c r="AN81" i="28"/>
  <c r="AQ93" i="28"/>
  <c r="AN203" i="28"/>
  <c r="AQ228" i="28"/>
  <c r="AQ315" i="28"/>
  <c r="AN234" i="28"/>
  <c r="AQ236" i="28"/>
  <c r="AQ349" i="28"/>
  <c r="AN427" i="28"/>
  <c r="AE551" i="28"/>
  <c r="AN558" i="28"/>
  <c r="AN594" i="28"/>
  <c r="AQ454" i="28"/>
  <c r="AN463" i="28"/>
  <c r="AQ466" i="28"/>
  <c r="AN519" i="28"/>
  <c r="AN397" i="28"/>
  <c r="AK398" i="28"/>
  <c r="AQ380" i="28"/>
  <c r="AQ505" i="28"/>
  <c r="AN511" i="28"/>
  <c r="AE499" i="28"/>
  <c r="AQ583" i="28"/>
  <c r="AN569" i="28"/>
  <c r="AQ561" i="28"/>
  <c r="AN589" i="28"/>
  <c r="AN592" i="28"/>
  <c r="AN616" i="28"/>
  <c r="AN78" i="28"/>
  <c r="AQ354" i="28"/>
  <c r="AN438" i="28"/>
  <c r="AN439" i="28"/>
  <c r="AN462" i="28"/>
  <c r="AQ496" i="28"/>
  <c r="AQ504" i="28"/>
  <c r="AN615" i="28"/>
  <c r="AN51" i="28"/>
  <c r="AQ53" i="28"/>
  <c r="AN59" i="28"/>
  <c r="AQ61" i="28"/>
  <c r="AQ203" i="28"/>
  <c r="AN215" i="28"/>
  <c r="AQ246" i="28"/>
  <c r="AE299" i="28"/>
  <c r="AQ336" i="28"/>
  <c r="AE594" i="28"/>
  <c r="AQ378" i="28"/>
  <c r="AQ386" i="28"/>
  <c r="AH499" i="28"/>
  <c r="AN526" i="28"/>
  <c r="AQ569" i="28"/>
  <c r="AN286" i="28"/>
  <c r="V204" i="28"/>
  <c r="AL204" i="28" s="1"/>
  <c r="AK204" i="28" s="1"/>
  <c r="AQ225" i="28"/>
  <c r="AQ307" i="28"/>
  <c r="AQ243" i="28"/>
  <c r="AH297" i="28"/>
  <c r="AQ352" i="28"/>
  <c r="AQ356" i="28"/>
  <c r="AN345" i="28"/>
  <c r="AN436" i="28"/>
  <c r="AQ438" i="28"/>
  <c r="AN446" i="28"/>
  <c r="AN458" i="28"/>
  <c r="AQ481" i="28"/>
  <c r="AQ51" i="28"/>
  <c r="AN57" i="28"/>
  <c r="AQ59" i="28"/>
  <c r="AN65" i="28"/>
  <c r="AQ201" i="28"/>
  <c r="AH363" i="28"/>
  <c r="AQ424" i="28"/>
  <c r="AQ321" i="28"/>
  <c r="AQ260" i="28"/>
  <c r="AQ231" i="28"/>
  <c r="AQ302" i="28"/>
  <c r="AQ239" i="28"/>
  <c r="AQ241" i="28"/>
  <c r="AQ458" i="28"/>
  <c r="AQ474" i="28"/>
  <c r="AN486" i="28"/>
  <c r="AN490" i="28"/>
  <c r="AN401" i="28"/>
  <c r="AK402" i="28"/>
  <c r="AQ383" i="28"/>
  <c r="AK523" i="28"/>
  <c r="AE527" i="28"/>
  <c r="AN534" i="28"/>
  <c r="AN542" i="28"/>
  <c r="AN550" i="28"/>
  <c r="AN584" i="28"/>
  <c r="AN610" i="28"/>
  <c r="AN620" i="28"/>
  <c r="AQ19" i="28"/>
  <c r="AN25" i="28"/>
  <c r="AQ27" i="28"/>
  <c r="AN30" i="28"/>
  <c r="AQ32" i="28"/>
  <c r="AN38" i="28"/>
  <c r="AQ40" i="28"/>
  <c r="AN46" i="28"/>
  <c r="AQ49" i="28"/>
  <c r="AN55" i="28"/>
  <c r="AQ57" i="28"/>
  <c r="AN63" i="28"/>
  <c r="AN212" i="28"/>
  <c r="AN217" i="28"/>
  <c r="AQ274" i="28"/>
  <c r="AQ314" i="28"/>
  <c r="AN301" i="28"/>
  <c r="AQ292" i="28"/>
  <c r="AE287" i="28"/>
  <c r="AQ287" i="28"/>
  <c r="AN362" i="28"/>
  <c r="AQ346" i="28"/>
  <c r="AN428" i="28"/>
  <c r="AN429" i="28"/>
  <c r="AQ416" i="28"/>
  <c r="AQ420" i="28"/>
  <c r="AQ421" i="28"/>
  <c r="AN442" i="28"/>
  <c r="AN443" i="28"/>
  <c r="AN597" i="28"/>
  <c r="AN598" i="28"/>
  <c r="AQ601" i="28"/>
  <c r="AN464" i="28"/>
  <c r="AN465" i="28"/>
  <c r="AN466" i="28"/>
  <c r="AQ515" i="28"/>
  <c r="AQ431" i="28"/>
  <c r="AQ382" i="28"/>
  <c r="AH574" i="28"/>
  <c r="AS574" i="28"/>
  <c r="AQ535" i="28"/>
  <c r="AQ543" i="28"/>
  <c r="AQ563" i="28"/>
  <c r="AN561" i="28"/>
  <c r="AN602" i="28"/>
  <c r="AN619" i="28"/>
  <c r="AQ18" i="28"/>
  <c r="AN24" i="28"/>
  <c r="AQ26" i="28"/>
  <c r="AQ31" i="28"/>
  <c r="AN37" i="28"/>
  <c r="AQ39" i="28"/>
  <c r="AN45" i="28"/>
  <c r="AQ47" i="28"/>
  <c r="AN54" i="28"/>
  <c r="AQ56" i="28"/>
  <c r="AN62" i="28"/>
  <c r="AQ64" i="28"/>
  <c r="AQ70" i="28"/>
  <c r="AQ71" i="28"/>
  <c r="AQ72" i="28"/>
  <c r="AQ73" i="28"/>
  <c r="AQ74" i="28"/>
  <c r="AQ75" i="28"/>
  <c r="AQ76" i="28"/>
  <c r="AN23" i="28"/>
  <c r="AQ30" i="28"/>
  <c r="AN53" i="28"/>
  <c r="AQ55" i="28"/>
  <c r="AN61" i="28"/>
  <c r="AH69" i="28"/>
  <c r="AN21" i="28"/>
  <c r="AQ23" i="28"/>
  <c r="AN29" i="28"/>
  <c r="AN34" i="28"/>
  <c r="AQ36" i="28"/>
  <c r="AN42" i="28"/>
  <c r="AQ44" i="28"/>
  <c r="AQ21" i="28"/>
  <c r="AN27" i="28"/>
  <c r="AQ29" i="28"/>
  <c r="AQ42" i="28"/>
  <c r="AN49" i="28"/>
  <c r="V561" i="28"/>
  <c r="AL561" i="28" s="1"/>
  <c r="AK561" i="28" s="1"/>
  <c r="AF561" i="28"/>
  <c r="AE561" i="28" s="1"/>
  <c r="AN19" i="28"/>
  <c r="AN32" i="28"/>
  <c r="AQ34" i="28"/>
  <c r="AN40" i="28"/>
  <c r="AN18" i="28"/>
  <c r="AQ20" i="28"/>
  <c r="AN26" i="28"/>
  <c r="AQ28" i="28"/>
  <c r="AN31" i="28"/>
  <c r="AQ33" i="28"/>
  <c r="AN39" i="28"/>
  <c r="AQ41" i="28"/>
  <c r="AN76" i="28"/>
  <c r="AQ78" i="28"/>
  <c r="AQ79" i="28"/>
  <c r="AN47" i="28"/>
  <c r="AQ50" i="28"/>
  <c r="AN56" i="28"/>
  <c r="AQ58" i="28"/>
  <c r="AN64" i="28"/>
  <c r="AQ65" i="28"/>
  <c r="AQ66" i="28"/>
  <c r="AQ68" i="28"/>
  <c r="AN80" i="28"/>
  <c r="AQ84" i="28"/>
  <c r="AN168" i="28"/>
  <c r="AQ202" i="28"/>
  <c r="AN211" i="28"/>
  <c r="AN322" i="28"/>
  <c r="AQ218" i="28"/>
  <c r="AQ278" i="28"/>
  <c r="AQ605" i="28"/>
  <c r="AQ329" i="28"/>
  <c r="AQ234" i="28"/>
  <c r="AQ607" i="28"/>
  <c r="AN222" i="28"/>
  <c r="AN320" i="28"/>
  <c r="AN259" i="28"/>
  <c r="AQ316" i="28"/>
  <c r="AN52" i="28"/>
  <c r="AQ54" i="28"/>
  <c r="AN60" i="28"/>
  <c r="AQ62" i="28"/>
  <c r="AN92" i="28"/>
  <c r="AQ169" i="28"/>
  <c r="AN213" i="28"/>
  <c r="AQ332" i="28"/>
  <c r="AN251" i="28"/>
  <c r="AQ343" i="28"/>
  <c r="AQ256" i="28"/>
  <c r="AQ310" i="28"/>
  <c r="AQ230" i="28"/>
  <c r="AN210" i="28"/>
  <c r="AQ266" i="28"/>
  <c r="AN269" i="28"/>
  <c r="AQ312" i="28"/>
  <c r="AN363" i="28"/>
  <c r="AQ323" i="28"/>
  <c r="AQ237" i="28"/>
  <c r="AQ299" i="28"/>
  <c r="AQ492" i="28"/>
  <c r="AQ233" i="28"/>
  <c r="AQ304" i="28"/>
  <c r="AQ306" i="28"/>
  <c r="AQ608" i="28"/>
  <c r="AN328" i="28"/>
  <c r="AQ238" i="28"/>
  <c r="AQ298" i="28"/>
  <c r="AQ341" i="28"/>
  <c r="AQ335" i="28"/>
  <c r="AN229" i="28"/>
  <c r="AN606" i="28"/>
  <c r="AN311" i="28"/>
  <c r="AH306" i="28"/>
  <c r="AQ327" i="28"/>
  <c r="AQ581" i="28"/>
  <c r="AQ235" i="28"/>
  <c r="AQ288" i="28"/>
  <c r="AQ289" i="28"/>
  <c r="AH244" i="28"/>
  <c r="AQ360" i="28"/>
  <c r="AQ324" i="28"/>
  <c r="AQ240" i="28"/>
  <c r="AQ301" i="28"/>
  <c r="AN287" i="28"/>
  <c r="AQ262" i="28"/>
  <c r="AQ355" i="28"/>
  <c r="AQ338" i="28"/>
  <c r="AN556" i="28"/>
  <c r="AQ331" i="28"/>
  <c r="AQ263" i="28"/>
  <c r="AQ368" i="28"/>
  <c r="AQ357" i="28"/>
  <c r="AQ359" i="28"/>
  <c r="AH362" i="28"/>
  <c r="AQ362" i="28"/>
  <c r="AN364" i="28"/>
  <c r="AQ348" i="28"/>
  <c r="AQ425" i="28"/>
  <c r="AH420" i="28"/>
  <c r="AQ375" i="28"/>
  <c r="AE290" i="28"/>
  <c r="AH287" i="28"/>
  <c r="AQ365" i="28"/>
  <c r="AE240" i="28"/>
  <c r="AE244" i="28"/>
  <c r="AQ300" i="28"/>
  <c r="AQ297" i="28"/>
  <c r="AH290" i="28"/>
  <c r="AQ290" i="28"/>
  <c r="AQ293" i="28"/>
  <c r="AQ295" i="28"/>
  <c r="AN341" i="28"/>
  <c r="AQ339" i="28"/>
  <c r="AQ333" i="28"/>
  <c r="AN349" i="28"/>
  <c r="AQ427" i="28"/>
  <c r="AH408" i="28"/>
  <c r="AN437" i="28"/>
  <c r="AN451" i="28"/>
  <c r="AN366" i="28"/>
  <c r="AQ364" i="28"/>
  <c r="AQ347" i="28"/>
  <c r="AQ430" i="28"/>
  <c r="AN435" i="28"/>
  <c r="AQ448" i="28"/>
  <c r="AE402" i="28"/>
  <c r="AK431" i="28"/>
  <c r="AQ366" i="28"/>
  <c r="AN425" i="28"/>
  <c r="AQ435" i="28"/>
  <c r="AQ437" i="28"/>
  <c r="AN440" i="28"/>
  <c r="AN552" i="28"/>
  <c r="AN557" i="28"/>
  <c r="AQ562" i="28"/>
  <c r="AN599" i="28"/>
  <c r="AQ457" i="28"/>
  <c r="AK401" i="28"/>
  <c r="AS402" i="28"/>
  <c r="AQ407" i="28"/>
  <c r="AQ376" i="28"/>
  <c r="AQ396" i="28"/>
  <c r="AQ429" i="28"/>
  <c r="AN414" i="28"/>
  <c r="AN417" i="28"/>
  <c r="AQ422" i="28"/>
  <c r="AN595" i="28"/>
  <c r="AN447" i="28"/>
  <c r="AN452" i="28"/>
  <c r="AN456" i="28"/>
  <c r="AN468" i="28"/>
  <c r="AQ475" i="28"/>
  <c r="AQ484" i="28"/>
  <c r="AQ485" i="28"/>
  <c r="AQ491" i="28"/>
  <c r="AE431" i="28"/>
  <c r="AN394" i="28"/>
  <c r="AN374" i="28"/>
  <c r="AQ377" i="28"/>
  <c r="AQ471" i="28"/>
  <c r="AQ414" i="28"/>
  <c r="AQ417" i="28"/>
  <c r="AN444" i="28"/>
  <c r="AH594" i="28"/>
  <c r="AQ467" i="28"/>
  <c r="AQ468" i="28"/>
  <c r="AN482" i="28"/>
  <c r="AE399" i="28"/>
  <c r="AK400" i="28"/>
  <c r="AQ401" i="28"/>
  <c r="AS401" i="28"/>
  <c r="AQ405" i="28"/>
  <c r="AN461" i="28"/>
  <c r="AN471" i="28"/>
  <c r="AN495" i="28"/>
  <c r="AH397" i="28"/>
  <c r="AH399" i="28"/>
  <c r="AN400" i="28"/>
  <c r="AQ392" i="28"/>
  <c r="AQ394" i="28"/>
  <c r="AQ374" i="28"/>
  <c r="AN379" i="28"/>
  <c r="AN385" i="28"/>
  <c r="AN472" i="28"/>
  <c r="AN474" i="28"/>
  <c r="AN476" i="28"/>
  <c r="AN484" i="28"/>
  <c r="AN404" i="28"/>
  <c r="AQ390" i="28"/>
  <c r="AN393" i="28"/>
  <c r="AQ372" i="28"/>
  <c r="AQ379" i="28"/>
  <c r="AQ385" i="28"/>
  <c r="AN479" i="28"/>
  <c r="AN515" i="28"/>
  <c r="AQ516" i="28"/>
  <c r="AQ520" i="28"/>
  <c r="AQ398" i="28"/>
  <c r="AE401" i="28"/>
  <c r="AH431" i="28"/>
  <c r="AQ395" i="28"/>
  <c r="AQ373" i="28"/>
  <c r="AN612" i="28"/>
  <c r="AQ387" i="28"/>
  <c r="AE504" i="28"/>
  <c r="AN578" i="28"/>
  <c r="AQ533" i="28"/>
  <c r="AN549" i="28"/>
  <c r="AQ570" i="28"/>
  <c r="AH559" i="28"/>
  <c r="AN588" i="28"/>
  <c r="AN571" i="28"/>
  <c r="AQ584" i="28"/>
  <c r="AN512" i="28"/>
  <c r="AQ513" i="28"/>
  <c r="AH527" i="28"/>
  <c r="AH570" i="28"/>
  <c r="AN389" i="28"/>
  <c r="AN500" i="28"/>
  <c r="AQ501" i="28"/>
  <c r="AN566" i="28"/>
  <c r="AN559" i="28"/>
  <c r="AN586" i="28"/>
  <c r="AN572" i="28"/>
  <c r="AQ575" i="28"/>
  <c r="AH523" i="28"/>
  <c r="AQ63" i="28"/>
  <c r="AH67" i="28"/>
  <c r="AN68" i="28"/>
  <c r="AN167" i="28"/>
  <c r="AN166" i="28"/>
  <c r="AQ167" i="28"/>
  <c r="AQ166" i="28"/>
  <c r="AQ200" i="28"/>
  <c r="AE93" i="28"/>
  <c r="AH93" i="28"/>
  <c r="AN340" i="28"/>
  <c r="AQ393" i="28"/>
  <c r="AQ267" i="28"/>
  <c r="AN261" i="28"/>
  <c r="AN253" i="28"/>
  <c r="AN231" i="28"/>
  <c r="AN302" i="28"/>
  <c r="AQ445" i="28"/>
  <c r="AH79" i="28"/>
  <c r="AQ67" i="28"/>
  <c r="AN314" i="28"/>
  <c r="AH70" i="28"/>
  <c r="AH76" i="28"/>
  <c r="AN313" i="28"/>
  <c r="AN315" i="28"/>
  <c r="AQ205" i="28"/>
  <c r="AQ215" i="28"/>
  <c r="AN266" i="28"/>
  <c r="AQ219" i="28"/>
  <c r="AQ213" i="28"/>
  <c r="AN218" i="28"/>
  <c r="AN252" i="28"/>
  <c r="AQ249" i="28"/>
  <c r="AN332" i="28"/>
  <c r="AN201" i="28"/>
  <c r="AN206" i="28"/>
  <c r="AQ208" i="28"/>
  <c r="AN214" i="28"/>
  <c r="AN241" i="28"/>
  <c r="AN243" i="28"/>
  <c r="AN209" i="28"/>
  <c r="AQ211" i="28"/>
  <c r="AQ320" i="28"/>
  <c r="AQ259" i="28"/>
  <c r="AQ229" i="28"/>
  <c r="AQ606" i="28"/>
  <c r="AQ311" i="28"/>
  <c r="AN300" i="28"/>
  <c r="AN297" i="28"/>
  <c r="AN333" i="28"/>
  <c r="AQ206" i="28"/>
  <c r="AQ214" i="28"/>
  <c r="AQ344" i="28"/>
  <c r="AQ257" i="28"/>
  <c r="AQ227" i="28"/>
  <c r="AQ604" i="28"/>
  <c r="AQ309" i="28"/>
  <c r="AN329" i="28"/>
  <c r="AN369" i="28"/>
  <c r="AN356" i="28"/>
  <c r="AN358" i="28"/>
  <c r="AN361" i="28"/>
  <c r="AN200" i="28"/>
  <c r="AN207" i="28"/>
  <c r="AQ209" i="28"/>
  <c r="AN288" i="28"/>
  <c r="AQ212" i="28"/>
  <c r="AN202" i="28"/>
  <c r="AN205" i="28"/>
  <c r="AQ207" i="28"/>
  <c r="AQ322" i="28"/>
  <c r="AN581" i="28"/>
  <c r="AN235" i="28"/>
  <c r="AN294" i="28"/>
  <c r="AN296" i="28"/>
  <c r="AN208" i="28"/>
  <c r="AQ210" i="28"/>
  <c r="AQ223" i="28"/>
  <c r="AN268" i="28"/>
  <c r="AQ269" i="28"/>
  <c r="AN250" i="28"/>
  <c r="AQ251" i="28"/>
  <c r="AN216" i="28"/>
  <c r="AQ217" i="28"/>
  <c r="AN220" i="28"/>
  <c r="AQ221" i="28"/>
  <c r="AN224" i="28"/>
  <c r="AQ272" i="28"/>
  <c r="AN275" i="28"/>
  <c r="AQ276" i="28"/>
  <c r="AN279" i="28"/>
  <c r="AQ281" i="28"/>
  <c r="AN343" i="28"/>
  <c r="AN256" i="28"/>
  <c r="AN226" i="28"/>
  <c r="AN603" i="28"/>
  <c r="AN308" i="28"/>
  <c r="AN307" i="28"/>
  <c r="AN238" i="28"/>
  <c r="AN246" i="28"/>
  <c r="AN290" i="28"/>
  <c r="AN262" i="28"/>
  <c r="AN353" i="28"/>
  <c r="AN336" i="28"/>
  <c r="AQ443" i="28"/>
  <c r="AQ447" i="28"/>
  <c r="AN267" i="28"/>
  <c r="AQ268" i="28"/>
  <c r="AN249" i="28"/>
  <c r="AQ250" i="28"/>
  <c r="AQ216" i="28"/>
  <c r="AN219" i="28"/>
  <c r="AQ220" i="28"/>
  <c r="AN223" i="28"/>
  <c r="AQ224" i="28"/>
  <c r="AN274" i="28"/>
  <c r="AQ275" i="28"/>
  <c r="AN278" i="28"/>
  <c r="AQ279" i="28"/>
  <c r="AN319" i="28"/>
  <c r="AN258" i="28"/>
  <c r="AN228" i="28"/>
  <c r="AN605" i="28"/>
  <c r="AN310" i="28"/>
  <c r="AN324" i="28"/>
  <c r="AN240" i="28"/>
  <c r="AN299" i="28"/>
  <c r="AN292" i="28"/>
  <c r="AN293" i="28"/>
  <c r="AN355" i="28"/>
  <c r="AN335" i="28"/>
  <c r="AQ595" i="28"/>
  <c r="AN318" i="28"/>
  <c r="AN255" i="28"/>
  <c r="AN225" i="28"/>
  <c r="AN233" i="28"/>
  <c r="AN304" i="28"/>
  <c r="AN306" i="28"/>
  <c r="AN608" i="28"/>
  <c r="AN325" i="28"/>
  <c r="AN237" i="28"/>
  <c r="AN245" i="28"/>
  <c r="AN331" i="28"/>
  <c r="AN342" i="28"/>
  <c r="AN352" i="28"/>
  <c r="AN338" i="28"/>
  <c r="AQ441" i="28"/>
  <c r="AQ553" i="28"/>
  <c r="AQ456" i="28"/>
  <c r="AQ439" i="28"/>
  <c r="AQ551" i="28"/>
  <c r="AQ453" i="28"/>
  <c r="AN344" i="28"/>
  <c r="AN257" i="28"/>
  <c r="AN227" i="28"/>
  <c r="AN604" i="28"/>
  <c r="AN309" i="28"/>
  <c r="AN360" i="28"/>
  <c r="AN323" i="28"/>
  <c r="AN327" i="28"/>
  <c r="AN239" i="28"/>
  <c r="AN247" i="28"/>
  <c r="AN291" i="28"/>
  <c r="AN263" i="28"/>
  <c r="AN354" i="28"/>
  <c r="AN337" i="28"/>
  <c r="AN368" i="28"/>
  <c r="AN357" i="28"/>
  <c r="AN359" i="28"/>
  <c r="AN221" i="28"/>
  <c r="AQ222" i="28"/>
  <c r="AN272" i="28"/>
  <c r="AQ273" i="28"/>
  <c r="AQ277" i="28"/>
  <c r="AN281" i="28"/>
  <c r="AQ282" i="28"/>
  <c r="AN334" i="28"/>
  <c r="AN254" i="28"/>
  <c r="AN232" i="28"/>
  <c r="AN303" i="28"/>
  <c r="AN305" i="28"/>
  <c r="AN317" i="28"/>
  <c r="AN236" i="28"/>
  <c r="AN244" i="28"/>
  <c r="AN298" i="28"/>
  <c r="AN289" i="28"/>
  <c r="AN351" i="28"/>
  <c r="AN339" i="28"/>
  <c r="AQ451" i="28"/>
  <c r="AN454" i="28"/>
  <c r="AN485" i="28"/>
  <c r="AH551" i="28"/>
  <c r="AQ598" i="28"/>
  <c r="AQ463" i="28"/>
  <c r="AN488" i="28"/>
  <c r="AQ519" i="28"/>
  <c r="AN601" i="28"/>
  <c r="AN478" i="28"/>
  <c r="AN431" i="28"/>
  <c r="AS431" i="28"/>
  <c r="AQ440" i="28"/>
  <c r="AQ444" i="28"/>
  <c r="AQ552" i="28"/>
  <c r="AQ558" i="28"/>
  <c r="AQ594" i="28"/>
  <c r="AQ464" i="28"/>
  <c r="AQ495" i="28"/>
  <c r="AQ556" i="28"/>
  <c r="AN562" i="28"/>
  <c r="AQ455" i="28"/>
  <c r="AN494" i="28"/>
  <c r="AN406" i="28"/>
  <c r="AQ391" i="28"/>
  <c r="AN376" i="28"/>
  <c r="AN378" i="28"/>
  <c r="AN499" i="28"/>
  <c r="AN518" i="28"/>
  <c r="AQ397" i="28"/>
  <c r="AQ406" i="28"/>
  <c r="AN498" i="28"/>
  <c r="AS397" i="28"/>
  <c r="AQ404" i="28"/>
  <c r="AN384" i="28"/>
  <c r="AN386" i="28"/>
  <c r="AQ459" i="28"/>
  <c r="AN395" i="28"/>
  <c r="AN507" i="28"/>
  <c r="AQ488" i="28"/>
  <c r="AN517" i="28"/>
  <c r="AQ518" i="28"/>
  <c r="AN521" i="28"/>
  <c r="AQ490" i="28"/>
  <c r="AN493" i="28"/>
  <c r="AQ494" i="28"/>
  <c r="AN497" i="28"/>
  <c r="AQ498" i="28"/>
  <c r="AN399" i="28"/>
  <c r="AQ400" i="28"/>
  <c r="AN403" i="28"/>
  <c r="AN390" i="28"/>
  <c r="AN373" i="28"/>
  <c r="AN381" i="28"/>
  <c r="AQ508" i="28"/>
  <c r="AN516" i="28"/>
  <c r="AQ517" i="28"/>
  <c r="AN520" i="28"/>
  <c r="AQ521" i="28"/>
  <c r="AN492" i="28"/>
  <c r="AQ493" i="28"/>
  <c r="AN496" i="28"/>
  <c r="AQ497" i="28"/>
  <c r="AN398" i="28"/>
  <c r="AQ399" i="28"/>
  <c r="AN402" i="28"/>
  <c r="AQ403" i="28"/>
  <c r="AN405" i="28"/>
  <c r="AN392" i="28"/>
  <c r="AN375" i="28"/>
  <c r="AN383" i="28"/>
  <c r="AS399" i="28"/>
  <c r="AN372" i="28"/>
  <c r="AN380" i="28"/>
  <c r="AQ512" i="28"/>
  <c r="AN388" i="28"/>
  <c r="AQ389" i="28"/>
  <c r="AN506" i="28"/>
  <c r="AQ507" i="28"/>
  <c r="AN510" i="28"/>
  <c r="AQ511" i="28"/>
  <c r="AN514" i="28"/>
  <c r="AQ499" i="28"/>
  <c r="AN502" i="28"/>
  <c r="AQ503" i="28"/>
  <c r="AN576" i="28"/>
  <c r="AQ577" i="28"/>
  <c r="AN580" i="28"/>
  <c r="AN523" i="28"/>
  <c r="AQ524" i="28"/>
  <c r="AN527" i="28"/>
  <c r="AQ528" i="28"/>
  <c r="AN531" i="28"/>
  <c r="AQ532" i="28"/>
  <c r="AN536" i="28"/>
  <c r="AQ537" i="28"/>
  <c r="AN540" i="28"/>
  <c r="AQ541" i="28"/>
  <c r="AN544" i="28"/>
  <c r="AQ545" i="28"/>
  <c r="AN548" i="28"/>
  <c r="AQ549" i="28"/>
  <c r="AN567" i="28"/>
  <c r="AQ388" i="28"/>
  <c r="AN505" i="28"/>
  <c r="AQ506" i="28"/>
  <c r="AN509" i="28"/>
  <c r="AQ510" i="28"/>
  <c r="AN513" i="28"/>
  <c r="AQ514" i="28"/>
  <c r="AN501" i="28"/>
  <c r="AQ502" i="28"/>
  <c r="AN575" i="28"/>
  <c r="AQ576" i="28"/>
  <c r="AN533" i="28"/>
  <c r="AQ580" i="28"/>
  <c r="AN583" i="28"/>
  <c r="AQ523" i="28"/>
  <c r="AN525" i="28"/>
  <c r="AQ527" i="28"/>
  <c r="AN530" i="28"/>
  <c r="AQ531" i="28"/>
  <c r="AN535" i="28"/>
  <c r="AQ536" i="28"/>
  <c r="AN539" i="28"/>
  <c r="AQ540" i="28"/>
  <c r="AN543" i="28"/>
  <c r="AQ544" i="28"/>
  <c r="AN547" i="28"/>
  <c r="AQ548" i="28"/>
  <c r="AN563" i="28"/>
  <c r="AQ588" i="28"/>
  <c r="AS523" i="28"/>
  <c r="AS527" i="28"/>
  <c r="AN503" i="28"/>
  <c r="AQ574" i="28"/>
  <c r="AN577" i="28"/>
  <c r="AQ578" i="28"/>
  <c r="AQ582" i="28"/>
  <c r="AN524" i="28"/>
  <c r="AQ526" i="28"/>
  <c r="AN528" i="28"/>
  <c r="AQ529" i="28"/>
  <c r="AN532" i="28"/>
  <c r="AQ534" i="28"/>
  <c r="AN537" i="28"/>
  <c r="AQ538" i="28"/>
  <c r="AN541" i="28"/>
  <c r="AQ542" i="28"/>
  <c r="AN545" i="28"/>
  <c r="AQ546" i="28"/>
  <c r="AQ550" i="28"/>
  <c r="AQ585" i="28"/>
  <c r="AQ586" i="28"/>
  <c r="AS559" i="28"/>
  <c r="AQ589" i="28"/>
  <c r="AK559" i="28"/>
  <c r="AQ587" i="28"/>
  <c r="AQ283" i="28"/>
  <c r="AQ284" i="28"/>
  <c r="AQ285" i="28"/>
  <c r="AQ286" i="28"/>
  <c r="AQ590" i="28"/>
  <c r="AQ591" i="28"/>
  <c r="AQ592" i="28"/>
  <c r="AQ593" i="28"/>
  <c r="AQ602" i="28"/>
  <c r="AQ609" i="28"/>
  <c r="AQ610" i="28"/>
  <c r="AQ611" i="28"/>
  <c r="AQ612" i="28"/>
  <c r="AQ613" i="28"/>
  <c r="AQ614" i="28"/>
  <c r="AQ615" i="28"/>
  <c r="AQ616" i="28"/>
  <c r="AQ617" i="28"/>
  <c r="AQ618" i="28"/>
  <c r="AQ619" i="28"/>
  <c r="AQ620" i="28"/>
  <c r="V560" i="28"/>
  <c r="AL560" i="28" s="1"/>
  <c r="AK560" i="28" s="1"/>
  <c r="AH93" i="43"/>
  <c r="AE93" i="43"/>
  <c r="AQ93" i="43"/>
  <c r="AN93" i="43"/>
  <c r="AS93" i="43"/>
  <c r="AK209" i="24" l="1"/>
  <c r="AS367" i="28"/>
  <c r="AL248" i="28"/>
  <c r="AL489" i="28"/>
  <c r="O503" i="28"/>
  <c r="AF503" i="28" s="1"/>
  <c r="AE503" i="28" s="1"/>
  <c r="O502" i="28"/>
  <c r="O501" i="28"/>
  <c r="O500" i="28"/>
  <c r="V499" i="28"/>
  <c r="AL499" i="28" s="1"/>
  <c r="O373" i="28"/>
  <c r="AF373" i="28" s="1"/>
  <c r="AE373" i="28" s="1"/>
  <c r="O384" i="28"/>
  <c r="AF384" i="28" s="1"/>
  <c r="AE384" i="28" s="1"/>
  <c r="O391" i="28"/>
  <c r="O374" i="28"/>
  <c r="AF374" i="28" s="1"/>
  <c r="AE374" i="28" s="1"/>
  <c r="O368" i="28"/>
  <c r="AF368" i="28" s="1"/>
  <c r="AE368" i="28" s="1"/>
  <c r="O369" i="28"/>
  <c r="O521" i="28"/>
  <c r="O520" i="28"/>
  <c r="O519" i="28"/>
  <c r="O518" i="28"/>
  <c r="AF518" i="28" s="1"/>
  <c r="AE518" i="28" s="1"/>
  <c r="O517" i="28"/>
  <c r="AF517" i="28" s="1"/>
  <c r="AE517" i="28" s="1"/>
  <c r="O516" i="28"/>
  <c r="AF516" i="28" s="1"/>
  <c r="AE516" i="28" s="1"/>
  <c r="O515" i="28"/>
  <c r="O525" i="28"/>
  <c r="AF525" i="28" s="1"/>
  <c r="AE525" i="28" s="1"/>
  <c r="O465" i="28"/>
  <c r="O473" i="28"/>
  <c r="O195" i="28"/>
  <c r="V195" i="28" s="1"/>
  <c r="H195" i="28"/>
  <c r="AM195" i="28" s="1"/>
  <c r="O189" i="28"/>
  <c r="V189" i="28" s="1"/>
  <c r="H189" i="28"/>
  <c r="AM189" i="28" s="1"/>
  <c r="O188" i="28"/>
  <c r="V188" i="28" s="1"/>
  <c r="H188" i="28"/>
  <c r="AM188" i="28" s="1"/>
  <c r="O186" i="28"/>
  <c r="V186" i="28" s="1"/>
  <c r="H186" i="28"/>
  <c r="AM186" i="28" s="1"/>
  <c r="O185" i="28"/>
  <c r="V185" i="28" s="1"/>
  <c r="H185" i="28"/>
  <c r="AM185" i="28" s="1"/>
  <c r="O184" i="28"/>
  <c r="V184" i="28" s="1"/>
  <c r="H184" i="28"/>
  <c r="AM184" i="28" s="1"/>
  <c r="O183" i="28"/>
  <c r="V183" i="28" s="1"/>
  <c r="H183" i="28"/>
  <c r="AM183" i="28" s="1"/>
  <c r="O179" i="28"/>
  <c r="V179" i="28" s="1"/>
  <c r="H179" i="28"/>
  <c r="AM179" i="28" s="1"/>
  <c r="O177" i="28"/>
  <c r="V177" i="28" s="1"/>
  <c r="H177" i="28"/>
  <c r="AM177" i="28" s="1"/>
  <c r="O176" i="28"/>
  <c r="V176" i="28" s="1"/>
  <c r="H176" i="28"/>
  <c r="AM176" i="28" s="1"/>
  <c r="O175" i="28"/>
  <c r="V175" i="28" s="1"/>
  <c r="H175" i="28"/>
  <c r="AM175" i="28" s="1"/>
  <c r="O174" i="28"/>
  <c r="V174" i="28" s="1"/>
  <c r="H174" i="28"/>
  <c r="AM174" i="28" s="1"/>
  <c r="O173" i="28"/>
  <c r="V173" i="28" s="1"/>
  <c r="H173" i="28"/>
  <c r="AM173" i="28" s="1"/>
  <c r="O172" i="28"/>
  <c r="V172" i="28" s="1"/>
  <c r="H172" i="28"/>
  <c r="AM172" i="28" s="1"/>
  <c r="O165" i="28"/>
  <c r="V165" i="28" s="1"/>
  <c r="H165" i="28"/>
  <c r="O164" i="28"/>
  <c r="V164" i="28" s="1"/>
  <c r="H164" i="28"/>
  <c r="O163" i="28"/>
  <c r="V163" i="28" s="1"/>
  <c r="H163" i="28"/>
  <c r="O162" i="28"/>
  <c r="V162" i="28" s="1"/>
  <c r="H162" i="28"/>
  <c r="O161" i="28"/>
  <c r="V161" i="28" s="1"/>
  <c r="H161" i="28"/>
  <c r="O168" i="28"/>
  <c r="AF168" i="28" s="1"/>
  <c r="AE168" i="28" s="1"/>
  <c r="O167" i="28"/>
  <c r="AF167" i="28" s="1"/>
  <c r="AE167" i="28" s="1"/>
  <c r="O150" i="28"/>
  <c r="V150" i="28" s="1"/>
  <c r="H150" i="28"/>
  <c r="O149" i="28"/>
  <c r="V149" i="28" s="1"/>
  <c r="H149" i="28"/>
  <c r="O148" i="28"/>
  <c r="V148" i="28" s="1"/>
  <c r="H148" i="28"/>
  <c r="O147" i="28"/>
  <c r="V147" i="28" s="1"/>
  <c r="H147" i="28"/>
  <c r="O145" i="28"/>
  <c r="V145" i="28" s="1"/>
  <c r="H145" i="28"/>
  <c r="O144" i="28"/>
  <c r="V144" i="28" s="1"/>
  <c r="H144" i="28"/>
  <c r="O134" i="28"/>
  <c r="V134" i="28" s="1"/>
  <c r="H134" i="28"/>
  <c r="O133" i="28"/>
  <c r="V133" i="28" s="1"/>
  <c r="H133" i="28"/>
  <c r="O132" i="28"/>
  <c r="V132" i="28" s="1"/>
  <c r="H132" i="28"/>
  <c r="O131" i="28"/>
  <c r="V131" i="28" s="1"/>
  <c r="H131" i="28"/>
  <c r="O130" i="28"/>
  <c r="V130" i="28" s="1"/>
  <c r="H130" i="28"/>
  <c r="O128" i="28"/>
  <c r="V128" i="28" s="1"/>
  <c r="H128" i="28"/>
  <c r="O127" i="28"/>
  <c r="V127" i="28" s="1"/>
  <c r="H127" i="28"/>
  <c r="O126" i="28"/>
  <c r="V126" i="28" s="1"/>
  <c r="H126" i="28"/>
  <c r="O125" i="28"/>
  <c r="V125" i="28" s="1"/>
  <c r="H125" i="28"/>
  <c r="O124" i="28"/>
  <c r="V124" i="28" s="1"/>
  <c r="H124" i="28"/>
  <c r="O123" i="28"/>
  <c r="V123" i="28" s="1"/>
  <c r="H123" i="28"/>
  <c r="O122" i="28"/>
  <c r="V122" i="28" s="1"/>
  <c r="H122" i="28"/>
  <c r="O121" i="28"/>
  <c r="V121" i="28" s="1"/>
  <c r="H121" i="28"/>
  <c r="O120" i="28"/>
  <c r="V120" i="28" s="1"/>
  <c r="H120" i="28"/>
  <c r="O119" i="28"/>
  <c r="V119" i="28" s="1"/>
  <c r="H119" i="28"/>
  <c r="O112" i="28"/>
  <c r="V112" i="28" s="1"/>
  <c r="H112" i="28"/>
  <c r="O109" i="28"/>
  <c r="V109" i="28" s="1"/>
  <c r="H109" i="28"/>
  <c r="O106" i="28"/>
  <c r="V106" i="28" s="1"/>
  <c r="H106" i="28"/>
  <c r="O105" i="28"/>
  <c r="V105" i="28" s="1"/>
  <c r="H105" i="28"/>
  <c r="O104" i="28"/>
  <c r="V104" i="28" s="1"/>
  <c r="H104" i="28"/>
  <c r="O103" i="28"/>
  <c r="V103" i="28" s="1"/>
  <c r="H103" i="28"/>
  <c r="O102" i="28"/>
  <c r="V102" i="28" s="1"/>
  <c r="H102" i="28"/>
  <c r="O101" i="28"/>
  <c r="V101" i="28" s="1"/>
  <c r="H101" i="28"/>
  <c r="O100" i="28"/>
  <c r="V100" i="28" s="1"/>
  <c r="H100" i="28"/>
  <c r="O99" i="28"/>
  <c r="V99" i="28" s="1"/>
  <c r="H99" i="28"/>
  <c r="O98" i="28"/>
  <c r="V98" i="28" s="1"/>
  <c r="H98" i="28"/>
  <c r="O97" i="28"/>
  <c r="V97" i="28" s="1"/>
  <c r="H97" i="28"/>
  <c r="O96" i="28"/>
  <c r="V96" i="28" s="1"/>
  <c r="H96" i="28"/>
  <c r="O95" i="28"/>
  <c r="V95" i="28" s="1"/>
  <c r="H95" i="28"/>
  <c r="AK248" i="28" l="1"/>
  <c r="AS248" i="28"/>
  <c r="AK489" i="28"/>
  <c r="AS489" i="28"/>
  <c r="AL173" i="28"/>
  <c r="AK173" i="28" s="1"/>
  <c r="AL175" i="28"/>
  <c r="AK175" i="28" s="1"/>
  <c r="AL177" i="28"/>
  <c r="AK177" i="28" s="1"/>
  <c r="AL162" i="28"/>
  <c r="AK162" i="28" s="1"/>
  <c r="AL183" i="28"/>
  <c r="AK183" i="28" s="1"/>
  <c r="AL185" i="28"/>
  <c r="AK185" i="28" s="1"/>
  <c r="AL188" i="28"/>
  <c r="AK188" i="28" s="1"/>
  <c r="AL195" i="28"/>
  <c r="AK195" i="28" s="1"/>
  <c r="V473" i="28"/>
  <c r="AL473" i="28" s="1"/>
  <c r="AF473" i="28"/>
  <c r="AE473" i="28" s="1"/>
  <c r="V520" i="28"/>
  <c r="AL520" i="28" s="1"/>
  <c r="AF520" i="28"/>
  <c r="AE520" i="28" s="1"/>
  <c r="V465" i="28"/>
  <c r="AL465" i="28" s="1"/>
  <c r="AF465" i="28"/>
  <c r="AE465" i="28" s="1"/>
  <c r="V521" i="28"/>
  <c r="AL521" i="28" s="1"/>
  <c r="AF521" i="28"/>
  <c r="AE521" i="28" s="1"/>
  <c r="AK499" i="28"/>
  <c r="AS499" i="28"/>
  <c r="V500" i="28"/>
  <c r="AL500" i="28" s="1"/>
  <c r="AF500" i="28"/>
  <c r="AE500" i="28" s="1"/>
  <c r="V519" i="28"/>
  <c r="AL519" i="28" s="1"/>
  <c r="AF519" i="28"/>
  <c r="AE519" i="28" s="1"/>
  <c r="AL164" i="28"/>
  <c r="AK164" i="28" s="1"/>
  <c r="V515" i="28"/>
  <c r="AL515" i="28" s="1"/>
  <c r="AF515" i="28"/>
  <c r="AE515" i="28" s="1"/>
  <c r="V369" i="28"/>
  <c r="AL369" i="28" s="1"/>
  <c r="AF369" i="28"/>
  <c r="AE369" i="28" s="1"/>
  <c r="V501" i="28"/>
  <c r="AL501" i="28" s="1"/>
  <c r="AF501" i="28"/>
  <c r="AE501" i="28" s="1"/>
  <c r="V502" i="28"/>
  <c r="AL502" i="28" s="1"/>
  <c r="AF502" i="28"/>
  <c r="AE502" i="28" s="1"/>
  <c r="AL96" i="28"/>
  <c r="AK96" i="28" s="1"/>
  <c r="AL98" i="28"/>
  <c r="AK98" i="28" s="1"/>
  <c r="AL100" i="28"/>
  <c r="AK100" i="28" s="1"/>
  <c r="AL102" i="28"/>
  <c r="AK102" i="28" s="1"/>
  <c r="AL104" i="28"/>
  <c r="AK104" i="28" s="1"/>
  <c r="AL106" i="28"/>
  <c r="AK106" i="28" s="1"/>
  <c r="AL112" i="28"/>
  <c r="AK112" i="28" s="1"/>
  <c r="AL120" i="28"/>
  <c r="AK120" i="28" s="1"/>
  <c r="AL122" i="28"/>
  <c r="AK122" i="28" s="1"/>
  <c r="AL124" i="28"/>
  <c r="AK124" i="28" s="1"/>
  <c r="AL126" i="28"/>
  <c r="AK126" i="28" s="1"/>
  <c r="AL128" i="28"/>
  <c r="AK128" i="28" s="1"/>
  <c r="AL131" i="28"/>
  <c r="AK131" i="28" s="1"/>
  <c r="AL133" i="28"/>
  <c r="AK133" i="28" s="1"/>
  <c r="AL144" i="28"/>
  <c r="AK144" i="28" s="1"/>
  <c r="AL147" i="28"/>
  <c r="AK147" i="28" s="1"/>
  <c r="AL149" i="28"/>
  <c r="AK149" i="28" s="1"/>
  <c r="AF391" i="28"/>
  <c r="AE391" i="28" s="1"/>
  <c r="AR172" i="28"/>
  <c r="AF172" i="28"/>
  <c r="AE172" i="28" s="1"/>
  <c r="AO172" i="28"/>
  <c r="AN172" i="28" s="1"/>
  <c r="AF179" i="28"/>
  <c r="AE179" i="28" s="1"/>
  <c r="AO179" i="28"/>
  <c r="AN179" i="28" s="1"/>
  <c r="AR179" i="28"/>
  <c r="AR189" i="28"/>
  <c r="AF189" i="28"/>
  <c r="AE189" i="28" s="1"/>
  <c r="AO189" i="28"/>
  <c r="AN189" i="28" s="1"/>
  <c r="AL172" i="28"/>
  <c r="AK172" i="28" s="1"/>
  <c r="AL174" i="28"/>
  <c r="AK174" i="28" s="1"/>
  <c r="AL176" i="28"/>
  <c r="AK176" i="28" s="1"/>
  <c r="AL179" i="28"/>
  <c r="AK179" i="28" s="1"/>
  <c r="AL184" i="28"/>
  <c r="AK184" i="28" s="1"/>
  <c r="AL186" i="28"/>
  <c r="AK186" i="28" s="1"/>
  <c r="AL189" i="28"/>
  <c r="AK189" i="28" s="1"/>
  <c r="AR174" i="28"/>
  <c r="AF174" i="28"/>
  <c r="AE174" i="28" s="1"/>
  <c r="AO174" i="28"/>
  <c r="AN174" i="28" s="1"/>
  <c r="AO176" i="28"/>
  <c r="AN176" i="28" s="1"/>
  <c r="AF176" i="28"/>
  <c r="AE176" i="28" s="1"/>
  <c r="AR176" i="28"/>
  <c r="AR186" i="28"/>
  <c r="AF186" i="28"/>
  <c r="AE186" i="28" s="1"/>
  <c r="AO186" i="28"/>
  <c r="AN186" i="28" s="1"/>
  <c r="AF173" i="28"/>
  <c r="AE173" i="28" s="1"/>
  <c r="AO173" i="28"/>
  <c r="AN173" i="28" s="1"/>
  <c r="AR173" i="28"/>
  <c r="AR175" i="28"/>
  <c r="AF175" i="28"/>
  <c r="AE175" i="28" s="1"/>
  <c r="AO175" i="28"/>
  <c r="AN175" i="28" s="1"/>
  <c r="AR177" i="28"/>
  <c r="AF177" i="28"/>
  <c r="AE177" i="28" s="1"/>
  <c r="AO177" i="28"/>
  <c r="AN177" i="28" s="1"/>
  <c r="AF183" i="28"/>
  <c r="AE183" i="28" s="1"/>
  <c r="AO183" i="28"/>
  <c r="AN183" i="28" s="1"/>
  <c r="AR183" i="28"/>
  <c r="AO185" i="28"/>
  <c r="AN185" i="28" s="1"/>
  <c r="AF185" i="28"/>
  <c r="AE185" i="28" s="1"/>
  <c r="AR185" i="28"/>
  <c r="AR188" i="28"/>
  <c r="AF188" i="28"/>
  <c r="AE188" i="28" s="1"/>
  <c r="AO188" i="28"/>
  <c r="AN188" i="28" s="1"/>
  <c r="AO195" i="28"/>
  <c r="AN195" i="28" s="1"/>
  <c r="AR195" i="28"/>
  <c r="AF195" i="28"/>
  <c r="AE195" i="28" s="1"/>
  <c r="AR184" i="28"/>
  <c r="AF184" i="28"/>
  <c r="AE184" i="28" s="1"/>
  <c r="AO184" i="28"/>
  <c r="AN184" i="28" s="1"/>
  <c r="AR161" i="28"/>
  <c r="AF161" i="28"/>
  <c r="AE161" i="28" s="1"/>
  <c r="AO161" i="28"/>
  <c r="AN161" i="28" s="1"/>
  <c r="AF165" i="28"/>
  <c r="AE165" i="28" s="1"/>
  <c r="AO165" i="28"/>
  <c r="AN165" i="28" s="1"/>
  <c r="AR165" i="28"/>
  <c r="AR99" i="28"/>
  <c r="AF99" i="28"/>
  <c r="AE99" i="28" s="1"/>
  <c r="AO99" i="28"/>
  <c r="AN99" i="28" s="1"/>
  <c r="AR105" i="28"/>
  <c r="AQ105" i="28" s="1"/>
  <c r="AF105" i="28"/>
  <c r="AE105" i="28" s="1"/>
  <c r="AO105" i="28"/>
  <c r="AN105" i="28" s="1"/>
  <c r="AR121" i="28"/>
  <c r="AF121" i="28"/>
  <c r="AE121" i="28" s="1"/>
  <c r="AO121" i="28"/>
  <c r="AN121" i="28" s="1"/>
  <c r="AR127" i="28"/>
  <c r="AO127" i="28"/>
  <c r="AN127" i="28" s="1"/>
  <c r="AF127" i="28"/>
  <c r="AE127" i="28" s="1"/>
  <c r="AR132" i="28"/>
  <c r="AF132" i="28"/>
  <c r="AE132" i="28" s="1"/>
  <c r="AO132" i="28"/>
  <c r="AN132" i="28" s="1"/>
  <c r="AO134" i="28"/>
  <c r="AN134" i="28" s="1"/>
  <c r="AR134" i="28"/>
  <c r="AF134" i="28"/>
  <c r="AE134" i="28" s="1"/>
  <c r="AR145" i="28"/>
  <c r="AF145" i="28"/>
  <c r="AE145" i="28" s="1"/>
  <c r="AO145" i="28"/>
  <c r="AN145" i="28" s="1"/>
  <c r="AR148" i="28"/>
  <c r="AF148" i="28"/>
  <c r="AE148" i="28" s="1"/>
  <c r="AO148" i="28"/>
  <c r="AN148" i="28" s="1"/>
  <c r="AR150" i="28"/>
  <c r="AF150" i="28"/>
  <c r="AE150" i="28" s="1"/>
  <c r="AO150" i="28"/>
  <c r="AN150" i="28" s="1"/>
  <c r="AL161" i="28"/>
  <c r="AK161" i="28" s="1"/>
  <c r="AL163" i="28"/>
  <c r="AK163" i="28" s="1"/>
  <c r="AL165" i="28"/>
  <c r="AK165" i="28" s="1"/>
  <c r="AO163" i="28"/>
  <c r="AN163" i="28" s="1"/>
  <c r="AR163" i="28"/>
  <c r="AF163" i="28"/>
  <c r="AE163" i="28" s="1"/>
  <c r="AR95" i="28"/>
  <c r="AF95" i="28"/>
  <c r="AE95" i="28" s="1"/>
  <c r="AO95" i="28"/>
  <c r="AN95" i="28" s="1"/>
  <c r="AR101" i="28"/>
  <c r="AF101" i="28"/>
  <c r="AE101" i="28" s="1"/>
  <c r="AO101" i="28"/>
  <c r="AN101" i="28" s="1"/>
  <c r="AR109" i="28"/>
  <c r="AQ109" i="28" s="1"/>
  <c r="AF109" i="28"/>
  <c r="AE109" i="28" s="1"/>
  <c r="AO109" i="28"/>
  <c r="AN109" i="28" s="1"/>
  <c r="AR123" i="28"/>
  <c r="AO123" i="28"/>
  <c r="AN123" i="28" s="1"/>
  <c r="AF123" i="28"/>
  <c r="AE123" i="28" s="1"/>
  <c r="AR130" i="28"/>
  <c r="AF130" i="28"/>
  <c r="AE130" i="28" s="1"/>
  <c r="AO130" i="28"/>
  <c r="AN130" i="28" s="1"/>
  <c r="AR162" i="28"/>
  <c r="AF162" i="28"/>
  <c r="AE162" i="28" s="1"/>
  <c r="AO162" i="28"/>
  <c r="AN162" i="28" s="1"/>
  <c r="AR164" i="28"/>
  <c r="AF164" i="28"/>
  <c r="AE164" i="28" s="1"/>
  <c r="AO164" i="28"/>
  <c r="AN164" i="28" s="1"/>
  <c r="AL95" i="28"/>
  <c r="AK95" i="28" s="1"/>
  <c r="AL99" i="28"/>
  <c r="AK99" i="28" s="1"/>
  <c r="AL103" i="28"/>
  <c r="AK103" i="28" s="1"/>
  <c r="AL105" i="28"/>
  <c r="AL109" i="28"/>
  <c r="AL119" i="28"/>
  <c r="AK119" i="28" s="1"/>
  <c r="AL121" i="28"/>
  <c r="AK121" i="28" s="1"/>
  <c r="AL123" i="28"/>
  <c r="AK123" i="28" s="1"/>
  <c r="AL125" i="28"/>
  <c r="AK125" i="28" s="1"/>
  <c r="AL127" i="28"/>
  <c r="AK127" i="28" s="1"/>
  <c r="AL130" i="28"/>
  <c r="AK130" i="28" s="1"/>
  <c r="AL132" i="28"/>
  <c r="AK132" i="28" s="1"/>
  <c r="AL134" i="28"/>
  <c r="AK134" i="28" s="1"/>
  <c r="AL145" i="28"/>
  <c r="AK145" i="28" s="1"/>
  <c r="AL148" i="28"/>
  <c r="AK148" i="28" s="1"/>
  <c r="AL150" i="28"/>
  <c r="AK150" i="28" s="1"/>
  <c r="AR97" i="28"/>
  <c r="AF97" i="28"/>
  <c r="AE97" i="28" s="1"/>
  <c r="AO97" i="28"/>
  <c r="AN97" i="28" s="1"/>
  <c r="AR103" i="28"/>
  <c r="AF103" i="28"/>
  <c r="AE103" i="28" s="1"/>
  <c r="AO103" i="28"/>
  <c r="AN103" i="28" s="1"/>
  <c r="AO119" i="28"/>
  <c r="AN119" i="28" s="1"/>
  <c r="AF119" i="28"/>
  <c r="AE119" i="28" s="1"/>
  <c r="AR119" i="28"/>
  <c r="AR125" i="28"/>
  <c r="AF125" i="28"/>
  <c r="AE125" i="28" s="1"/>
  <c r="AO125" i="28"/>
  <c r="AN125" i="28" s="1"/>
  <c r="AL97" i="28"/>
  <c r="AK97" i="28" s="1"/>
  <c r="AL101" i="28"/>
  <c r="AK101" i="28" s="1"/>
  <c r="AF96" i="28"/>
  <c r="AE96" i="28" s="1"/>
  <c r="AO96" i="28"/>
  <c r="AN96" i="28" s="1"/>
  <c r="AR96" i="28"/>
  <c r="AF98" i="28"/>
  <c r="AE98" i="28" s="1"/>
  <c r="AO98" i="28"/>
  <c r="AN98" i="28" s="1"/>
  <c r="AR98" i="28"/>
  <c r="AF100" i="28"/>
  <c r="AE100" i="28" s="1"/>
  <c r="AO100" i="28"/>
  <c r="AN100" i="28" s="1"/>
  <c r="AR100" i="28"/>
  <c r="AF102" i="28"/>
  <c r="AE102" i="28" s="1"/>
  <c r="AO102" i="28"/>
  <c r="AN102" i="28" s="1"/>
  <c r="AR102" i="28"/>
  <c r="AF104" i="28"/>
  <c r="AE104" i="28" s="1"/>
  <c r="AO104" i="28"/>
  <c r="AN104" i="28" s="1"/>
  <c r="AR104" i="28"/>
  <c r="AF106" i="28"/>
  <c r="AE106" i="28" s="1"/>
  <c r="AO106" i="28"/>
  <c r="AN106" i="28" s="1"/>
  <c r="AR106" i="28"/>
  <c r="AF112" i="28"/>
  <c r="AE112" i="28" s="1"/>
  <c r="AO112" i="28"/>
  <c r="AN112" i="28" s="1"/>
  <c r="AR112" i="28"/>
  <c r="AR120" i="28"/>
  <c r="AF120" i="28"/>
  <c r="AE120" i="28" s="1"/>
  <c r="AO120" i="28"/>
  <c r="AN120" i="28" s="1"/>
  <c r="AO122" i="28"/>
  <c r="AN122" i="28" s="1"/>
  <c r="AF122" i="28"/>
  <c r="AE122" i="28" s="1"/>
  <c r="AR122" i="28"/>
  <c r="AR124" i="28"/>
  <c r="AF124" i="28"/>
  <c r="AE124" i="28" s="1"/>
  <c r="AO124" i="28"/>
  <c r="AN124" i="28" s="1"/>
  <c r="AR126" i="28"/>
  <c r="AF126" i="28"/>
  <c r="AE126" i="28" s="1"/>
  <c r="AO126" i="28"/>
  <c r="AN126" i="28" s="1"/>
  <c r="AF128" i="28"/>
  <c r="AE128" i="28" s="1"/>
  <c r="AO128" i="28"/>
  <c r="AN128" i="28" s="1"/>
  <c r="AR128" i="28"/>
  <c r="AO131" i="28"/>
  <c r="AN131" i="28" s="1"/>
  <c r="AF131" i="28"/>
  <c r="AE131" i="28" s="1"/>
  <c r="AR131" i="28"/>
  <c r="AR133" i="28"/>
  <c r="AF133" i="28"/>
  <c r="AE133" i="28" s="1"/>
  <c r="AO133" i="28"/>
  <c r="AN133" i="28" s="1"/>
  <c r="AR144" i="28"/>
  <c r="AF144" i="28"/>
  <c r="AE144" i="28" s="1"/>
  <c r="AO144" i="28"/>
  <c r="AN144" i="28" s="1"/>
  <c r="AO147" i="28"/>
  <c r="AN147" i="28" s="1"/>
  <c r="AF147" i="28"/>
  <c r="AE147" i="28" s="1"/>
  <c r="AR147" i="28"/>
  <c r="AF149" i="28"/>
  <c r="AE149" i="28" s="1"/>
  <c r="AO149" i="28"/>
  <c r="AN149" i="28" s="1"/>
  <c r="AR149" i="28"/>
  <c r="V503" i="28"/>
  <c r="AL503" i="28" s="1"/>
  <c r="V384" i="28"/>
  <c r="AL384" i="28" s="1"/>
  <c r="V373" i="28"/>
  <c r="AL373" i="28" s="1"/>
  <c r="V391" i="28"/>
  <c r="AL391" i="28" s="1"/>
  <c r="V374" i="28"/>
  <c r="AL374" i="28" s="1"/>
  <c r="V525" i="28"/>
  <c r="AL525" i="28" s="1"/>
  <c r="V368" i="28"/>
  <c r="AL368" i="28" s="1"/>
  <c r="V518" i="28"/>
  <c r="AL518" i="28" s="1"/>
  <c r="V517" i="28"/>
  <c r="AL517" i="28" s="1"/>
  <c r="V516" i="28"/>
  <c r="AL516" i="28" s="1"/>
  <c r="V168" i="28"/>
  <c r="AL168" i="28" s="1"/>
  <c r="V167" i="28"/>
  <c r="AL167" i="28" s="1"/>
  <c r="AC519" i="28" l="1"/>
  <c r="AC521" i="28"/>
  <c r="AC515" i="28"/>
  <c r="AK500" i="28"/>
  <c r="AK369" i="28"/>
  <c r="AK368" i="28"/>
  <c r="AK503" i="28"/>
  <c r="AK473" i="28"/>
  <c r="AK516" i="28"/>
  <c r="AC369" i="28"/>
  <c r="AK515" i="28"/>
  <c r="AK525" i="28"/>
  <c r="AK517" i="28"/>
  <c r="AK521" i="28"/>
  <c r="AK374" i="28"/>
  <c r="AK502" i="28"/>
  <c r="AK518" i="28"/>
  <c r="AK391" i="28"/>
  <c r="AK519" i="28"/>
  <c r="AK465" i="28"/>
  <c r="AC520" i="28"/>
  <c r="AK373" i="28"/>
  <c r="AK501" i="28"/>
  <c r="AK384" i="28"/>
  <c r="AK520" i="28"/>
  <c r="AQ177" i="28"/>
  <c r="AQ189" i="28"/>
  <c r="AQ179" i="28"/>
  <c r="AQ184" i="28"/>
  <c r="AQ188" i="28"/>
  <c r="AQ175" i="28"/>
  <c r="AQ186" i="28"/>
  <c r="AQ174" i="28"/>
  <c r="AQ183" i="28"/>
  <c r="AQ176" i="28"/>
  <c r="AQ195" i="28"/>
  <c r="AQ185" i="28"/>
  <c r="AQ173" i="28"/>
  <c r="AQ172" i="28"/>
  <c r="AQ144" i="28"/>
  <c r="AK105" i="28"/>
  <c r="AQ161" i="28"/>
  <c r="AQ98" i="28"/>
  <c r="AQ121" i="28"/>
  <c r="AQ106" i="28"/>
  <c r="AQ101" i="28"/>
  <c r="AQ165" i="28"/>
  <c r="AK168" i="28"/>
  <c r="AQ124" i="28"/>
  <c r="AQ120" i="28"/>
  <c r="AQ134" i="28"/>
  <c r="AQ132" i="28"/>
  <c r="AQ150" i="28"/>
  <c r="AQ99" i="28"/>
  <c r="AQ147" i="28"/>
  <c r="AQ102" i="28"/>
  <c r="AQ162" i="28"/>
  <c r="AQ133" i="28"/>
  <c r="AQ148" i="28"/>
  <c r="AQ122" i="28"/>
  <c r="AQ112" i="28"/>
  <c r="AQ104" i="28"/>
  <c r="AQ100" i="28"/>
  <c r="AQ125" i="28"/>
  <c r="AQ164" i="28"/>
  <c r="AQ130" i="28"/>
  <c r="AQ127" i="28"/>
  <c r="AQ126" i="28"/>
  <c r="AQ119" i="28"/>
  <c r="AQ163" i="28"/>
  <c r="AQ128" i="28"/>
  <c r="AQ145" i="28"/>
  <c r="AK167" i="28"/>
  <c r="AQ97" i="28"/>
  <c r="AQ123" i="28"/>
  <c r="AQ149" i="28"/>
  <c r="AQ131" i="28"/>
  <c r="AQ96" i="28"/>
  <c r="AQ103" i="28"/>
  <c r="AK109" i="28"/>
  <c r="AQ95" i="28"/>
  <c r="AC368" i="28"/>
  <c r="AC517" i="28"/>
  <c r="AC518" i="28"/>
  <c r="AC516" i="28"/>
  <c r="CH370" i="14" l="1"/>
  <c r="CH369" i="14"/>
  <c r="CH368" i="14"/>
  <c r="CH367" i="14"/>
  <c r="CH366" i="14"/>
  <c r="CH365" i="14"/>
  <c r="CH364" i="14"/>
  <c r="CH363" i="14"/>
  <c r="CH362" i="14"/>
  <c r="CG182" i="14" s="1"/>
  <c r="CH358" i="14"/>
  <c r="CE370" i="14"/>
  <c r="CE369" i="14"/>
  <c r="CE368" i="14"/>
  <c r="CE367" i="14"/>
  <c r="CE366" i="14"/>
  <c r="CE365" i="14"/>
  <c r="CE364" i="14"/>
  <c r="CE363" i="14"/>
  <c r="CE362" i="14"/>
  <c r="CD182" i="14" s="1"/>
  <c r="CE358" i="14"/>
  <c r="CB370" i="14"/>
  <c r="CB369" i="14"/>
  <c r="CB368" i="14"/>
  <c r="CB367" i="14"/>
  <c r="CB366" i="14"/>
  <c r="CB365" i="14"/>
  <c r="CB364" i="14"/>
  <c r="CB363" i="14"/>
  <c r="CB362" i="14"/>
  <c r="CA182" i="14" s="1"/>
  <c r="CB358" i="14"/>
  <c r="BY370" i="14"/>
  <c r="BY369" i="14"/>
  <c r="BY368" i="14"/>
  <c r="BY367" i="14"/>
  <c r="BY366" i="14"/>
  <c r="BY365" i="14"/>
  <c r="BY364" i="14"/>
  <c r="BY363" i="14"/>
  <c r="BY362" i="14"/>
  <c r="BX182" i="14" s="1"/>
  <c r="BY358" i="14"/>
  <c r="BV370" i="14"/>
  <c r="BV369" i="14"/>
  <c r="BV368" i="14"/>
  <c r="BV367" i="14"/>
  <c r="BV366" i="14"/>
  <c r="BV365" i="14"/>
  <c r="BV364" i="14"/>
  <c r="BV363" i="14"/>
  <c r="BV362" i="14"/>
  <c r="BU182" i="14" s="1"/>
  <c r="BV358" i="14"/>
  <c r="BS370" i="14"/>
  <c r="BS369" i="14"/>
  <c r="BS368" i="14"/>
  <c r="BS367" i="14"/>
  <c r="BS366" i="14"/>
  <c r="BS365" i="14"/>
  <c r="BS364" i="14"/>
  <c r="BS363" i="14"/>
  <c r="BS362" i="14"/>
  <c r="BR182" i="14" s="1"/>
  <c r="BS358" i="14"/>
  <c r="BP370" i="14"/>
  <c r="BP369" i="14"/>
  <c r="BP368" i="14"/>
  <c r="BP367" i="14"/>
  <c r="BP366" i="14"/>
  <c r="BP365" i="14"/>
  <c r="BP364" i="14"/>
  <c r="BP363" i="14"/>
  <c r="BP362" i="14"/>
  <c r="BO182" i="14" s="1"/>
  <c r="BP358" i="14"/>
  <c r="BM370" i="14"/>
  <c r="BM369" i="14"/>
  <c r="BM368" i="14"/>
  <c r="BM367" i="14"/>
  <c r="BM366" i="14"/>
  <c r="BM365" i="14"/>
  <c r="BM364" i="14"/>
  <c r="BM363" i="14"/>
  <c r="BM362" i="14"/>
  <c r="BL182" i="14" s="1"/>
  <c r="BM358" i="14"/>
  <c r="BJ370" i="14"/>
  <c r="BJ369" i="14"/>
  <c r="BJ368" i="14"/>
  <c r="BJ367" i="14"/>
  <c r="BJ366" i="14"/>
  <c r="BJ365" i="14"/>
  <c r="BJ364" i="14"/>
  <c r="BJ363" i="14"/>
  <c r="BJ362" i="14"/>
  <c r="BI182" i="14" s="1"/>
  <c r="BJ358" i="14"/>
  <c r="AY372" i="14"/>
  <c r="CK370" i="14"/>
  <c r="CK369" i="14"/>
  <c r="CK368" i="14"/>
  <c r="CK367" i="14"/>
  <c r="CK366" i="14"/>
  <c r="CK365" i="14"/>
  <c r="CK364" i="14"/>
  <c r="CK363" i="14"/>
  <c r="CK358" i="14"/>
  <c r="CK317" i="14"/>
  <c r="CK316" i="14"/>
  <c r="CK315" i="14"/>
  <c r="CK314" i="14"/>
  <c r="CK307" i="14"/>
  <c r="CK305" i="14"/>
  <c r="CH317" i="14"/>
  <c r="CH316" i="14"/>
  <c r="CH315" i="14"/>
  <c r="CH314" i="14"/>
  <c r="CH307" i="14"/>
  <c r="CH305" i="14"/>
  <c r="CE317" i="14"/>
  <c r="CE316" i="14"/>
  <c r="CE315" i="14"/>
  <c r="CE314" i="14"/>
  <c r="CE307" i="14"/>
  <c r="CE305" i="14"/>
  <c r="CB317" i="14"/>
  <c r="CB316" i="14"/>
  <c r="CB315" i="14"/>
  <c r="CB314" i="14"/>
  <c r="CB307" i="14"/>
  <c r="CB305" i="14"/>
  <c r="BY317" i="14"/>
  <c r="BY316" i="14"/>
  <c r="BY315" i="14"/>
  <c r="BY314" i="14"/>
  <c r="BY307" i="14"/>
  <c r="BY305" i="14"/>
  <c r="BV317" i="14"/>
  <c r="BV316" i="14"/>
  <c r="BV315" i="14"/>
  <c r="BV314" i="14"/>
  <c r="BV307" i="14"/>
  <c r="BV305" i="14"/>
  <c r="BS317" i="14"/>
  <c r="BS316" i="14"/>
  <c r="BS315" i="14"/>
  <c r="BS314" i="14"/>
  <c r="BS307" i="14"/>
  <c r="BS305" i="14"/>
  <c r="BP317" i="14"/>
  <c r="BP316" i="14"/>
  <c r="BP315" i="14"/>
  <c r="BP314" i="14"/>
  <c r="BP307" i="14"/>
  <c r="BP305" i="14"/>
  <c r="BM317" i="14"/>
  <c r="BM316" i="14"/>
  <c r="BM315" i="14"/>
  <c r="BM314" i="14"/>
  <c r="BM307" i="14"/>
  <c r="BM305" i="14"/>
  <c r="BJ317" i="14"/>
  <c r="BJ316" i="14"/>
  <c r="BJ315" i="14"/>
  <c r="BJ314" i="14"/>
  <c r="BJ307" i="14"/>
  <c r="BJ305" i="14"/>
  <c r="BD317" i="14"/>
  <c r="BD316" i="14"/>
  <c r="BD315" i="14"/>
  <c r="BD314" i="14"/>
  <c r="BD312" i="14"/>
  <c r="BD311" i="14"/>
  <c r="BD310" i="14"/>
  <c r="BD309" i="14"/>
  <c r="BD308" i="14"/>
  <c r="BD307" i="14"/>
  <c r="BD305" i="14"/>
  <c r="BG370" i="14"/>
  <c r="BG369" i="14"/>
  <c r="BG368" i="14"/>
  <c r="BG367" i="14"/>
  <c r="BG366" i="14"/>
  <c r="BG365" i="14"/>
  <c r="BG364" i="14"/>
  <c r="BG363" i="14"/>
  <c r="BG362" i="14"/>
  <c r="BF182" i="14" s="1"/>
  <c r="BG358" i="14"/>
  <c r="DZ374" i="14"/>
  <c r="DY374" i="14"/>
  <c r="DW374" i="14"/>
  <c r="DV374" i="14"/>
  <c r="DT374" i="14"/>
  <c r="DS374" i="14"/>
  <c r="DQ374" i="14"/>
  <c r="DP374" i="14"/>
  <c r="DN374" i="14"/>
  <c r="DM374" i="14"/>
  <c r="DK374" i="14"/>
  <c r="DJ374" i="14"/>
  <c r="DH374" i="14"/>
  <c r="DG374" i="14"/>
  <c r="DE374" i="14"/>
  <c r="DD374" i="14"/>
  <c r="DB374" i="14"/>
  <c r="DA374" i="14"/>
  <c r="CY374" i="14"/>
  <c r="CX374" i="14"/>
  <c r="CV374" i="14"/>
  <c r="CU374" i="14"/>
  <c r="CS374" i="14"/>
  <c r="CR374" i="14"/>
  <c r="CQ374" i="14"/>
  <c r="CP374" i="14"/>
  <c r="CO374" i="14"/>
  <c r="CN374" i="14"/>
  <c r="CJ374" i="14"/>
  <c r="CI374" i="14"/>
  <c r="CG374" i="14"/>
  <c r="CF374" i="14"/>
  <c r="CD374" i="14"/>
  <c r="CC374" i="14"/>
  <c r="CA374" i="14"/>
  <c r="BZ374" i="14"/>
  <c r="BX374" i="14"/>
  <c r="BW374" i="14"/>
  <c r="BU374" i="14"/>
  <c r="BT374" i="14"/>
  <c r="BR374" i="14"/>
  <c r="BQ374" i="14"/>
  <c r="BO374" i="14"/>
  <c r="BN374" i="14"/>
  <c r="BL374" i="14"/>
  <c r="BK374" i="14"/>
  <c r="BI374" i="14"/>
  <c r="BH374" i="14"/>
  <c r="BF374" i="14"/>
  <c r="BE374" i="14"/>
  <c r="BC374" i="14"/>
  <c r="BB374" i="14"/>
  <c r="BA374" i="14"/>
  <c r="AZ374" i="14"/>
  <c r="AY374" i="14"/>
  <c r="AX374" i="14"/>
  <c r="AW374" i="14"/>
  <c r="AT374" i="14"/>
  <c r="AR374" i="14"/>
  <c r="AQ374" i="14"/>
  <c r="AO374" i="14"/>
  <c r="AN374" i="14"/>
  <c r="AL374" i="14"/>
  <c r="AK374" i="14"/>
  <c r="AI374" i="14"/>
  <c r="AH374" i="14"/>
  <c r="AF374" i="14"/>
  <c r="AE374" i="14"/>
  <c r="AC374" i="14"/>
  <c r="AB374" i="14"/>
  <c r="Z374" i="14"/>
  <c r="Y374" i="14"/>
  <c r="W374" i="14"/>
  <c r="V374" i="14"/>
  <c r="T374" i="14"/>
  <c r="S374" i="14"/>
  <c r="Q374" i="14"/>
  <c r="P374" i="14"/>
  <c r="N374" i="14"/>
  <c r="M374" i="14"/>
  <c r="K374" i="14"/>
  <c r="F374" i="14"/>
  <c r="EA370" i="14"/>
  <c r="DX370" i="14"/>
  <c r="DU370" i="14"/>
  <c r="DR370" i="14"/>
  <c r="DO370" i="14"/>
  <c r="DL370" i="14"/>
  <c r="DI370" i="14"/>
  <c r="DF370" i="14"/>
  <c r="DC370" i="14"/>
  <c r="CZ370" i="14"/>
  <c r="CW370" i="14"/>
  <c r="CT370" i="14"/>
  <c r="CO370" i="14"/>
  <c r="BD370" i="14"/>
  <c r="AS370" i="14"/>
  <c r="AP370" i="14"/>
  <c r="AM370" i="14"/>
  <c r="AJ370" i="14"/>
  <c r="AG370" i="14"/>
  <c r="AD370" i="14"/>
  <c r="AA370" i="14"/>
  <c r="X370" i="14"/>
  <c r="U370" i="14"/>
  <c r="R370" i="14"/>
  <c r="O370" i="14"/>
  <c r="L370" i="14"/>
  <c r="DX369" i="14"/>
  <c r="DU369" i="14"/>
  <c r="DR369" i="14"/>
  <c r="DO369" i="14"/>
  <c r="DL369" i="14"/>
  <c r="DI369" i="14"/>
  <c r="DF369" i="14"/>
  <c r="DC369" i="14"/>
  <c r="CZ369" i="14"/>
  <c r="CT369" i="14"/>
  <c r="CO369" i="14"/>
  <c r="BD369" i="14"/>
  <c r="L369" i="14"/>
  <c r="CT368" i="14"/>
  <c r="CO368" i="14"/>
  <c r="BD368" i="14"/>
  <c r="L368" i="14"/>
  <c r="EA367" i="14"/>
  <c r="DX367" i="14"/>
  <c r="DU367" i="14"/>
  <c r="DR367" i="14"/>
  <c r="DO367" i="14"/>
  <c r="DL367" i="14"/>
  <c r="DI367" i="14"/>
  <c r="DF367" i="14"/>
  <c r="DC367" i="14"/>
  <c r="CZ367" i="14"/>
  <c r="CW367" i="14"/>
  <c r="CT367" i="14"/>
  <c r="CO367" i="14"/>
  <c r="BD367" i="14"/>
  <c r="AS367" i="14"/>
  <c r="AP367" i="14"/>
  <c r="AM367" i="14"/>
  <c r="AJ367" i="14"/>
  <c r="AG367" i="14"/>
  <c r="AD367" i="14"/>
  <c r="AA367" i="14"/>
  <c r="X367" i="14"/>
  <c r="U367" i="14"/>
  <c r="R367" i="14"/>
  <c r="O367" i="14"/>
  <c r="L367" i="14"/>
  <c r="CT366" i="14"/>
  <c r="CO366" i="14"/>
  <c r="BD366" i="14"/>
  <c r="L366" i="14"/>
  <c r="EA365" i="14"/>
  <c r="DX365" i="14"/>
  <c r="DU365" i="14"/>
  <c r="DR365" i="14"/>
  <c r="DO365" i="14"/>
  <c r="DL365" i="14"/>
  <c r="DI365" i="14"/>
  <c r="DF365" i="14"/>
  <c r="DC365" i="14"/>
  <c r="CZ365" i="14"/>
  <c r="CW365" i="14"/>
  <c r="CT365" i="14"/>
  <c r="CO365" i="14"/>
  <c r="BD365" i="14"/>
  <c r="AS365" i="14"/>
  <c r="AP365" i="14"/>
  <c r="AM365" i="14"/>
  <c r="AJ365" i="14"/>
  <c r="AG365" i="14"/>
  <c r="AD365" i="14"/>
  <c r="AA365" i="14"/>
  <c r="X365" i="14"/>
  <c r="U365" i="14"/>
  <c r="R365" i="14"/>
  <c r="O365" i="14"/>
  <c r="L365" i="14"/>
  <c r="CT364" i="14"/>
  <c r="CO364" i="14"/>
  <c r="BD364" i="14"/>
  <c r="L364" i="14"/>
  <c r="CT363" i="14"/>
  <c r="CO363" i="14"/>
  <c r="BD363" i="14"/>
  <c r="L363" i="14"/>
  <c r="CT362" i="14"/>
  <c r="CO362" i="14"/>
  <c r="BD362" i="14"/>
  <c r="L362" i="14"/>
  <c r="CT361" i="14"/>
  <c r="CO361" i="14"/>
  <c r="BD361" i="14"/>
  <c r="L361" i="14"/>
  <c r="CT360" i="14"/>
  <c r="CO360" i="14"/>
  <c r="BD360" i="14"/>
  <c r="L360" i="14"/>
  <c r="CT359" i="14"/>
  <c r="CO359" i="14"/>
  <c r="BD359" i="14"/>
  <c r="L359" i="14"/>
  <c r="EA358" i="14"/>
  <c r="DX358" i="14"/>
  <c r="DU358" i="14"/>
  <c r="DR358" i="14"/>
  <c r="DO358" i="14"/>
  <c r="DL358" i="14"/>
  <c r="DI358" i="14"/>
  <c r="DF358" i="14"/>
  <c r="DC358" i="14"/>
  <c r="CZ358" i="14"/>
  <c r="CW358" i="14"/>
  <c r="CT358" i="14"/>
  <c r="BD358" i="14"/>
  <c r="AS358" i="14"/>
  <c r="AP358" i="14"/>
  <c r="AM358" i="14"/>
  <c r="AJ358" i="14"/>
  <c r="AG358" i="14"/>
  <c r="AD358" i="14"/>
  <c r="AA358" i="14"/>
  <c r="X358" i="14"/>
  <c r="U358" i="14"/>
  <c r="R358" i="14"/>
  <c r="O358" i="14"/>
  <c r="L358" i="14"/>
  <c r="O581" i="28"/>
  <c r="AF581" i="28" s="1"/>
  <c r="AE581" i="28" s="1"/>
  <c r="O433" i="28"/>
  <c r="V433" i="28" s="1"/>
  <c r="H433" i="28"/>
  <c r="O432" i="28"/>
  <c r="V432" i="28" s="1"/>
  <c r="H432" i="28"/>
  <c r="O389" i="28"/>
  <c r="O388" i="28"/>
  <c r="O387" i="28"/>
  <c r="O386" i="28"/>
  <c r="AF386" i="28" s="1"/>
  <c r="AE386" i="28" s="1"/>
  <c r="O385" i="28"/>
  <c r="AF385" i="28" s="1"/>
  <c r="AE385" i="28" s="1"/>
  <c r="O383" i="28"/>
  <c r="O333" i="28"/>
  <c r="AF333" i="28" s="1"/>
  <c r="AE333" i="28" s="1"/>
  <c r="O335" i="28"/>
  <c r="O337" i="28"/>
  <c r="AF337" i="28" s="1"/>
  <c r="AE337" i="28" s="1"/>
  <c r="O336" i="28"/>
  <c r="O338" i="28"/>
  <c r="AF338" i="28" s="1"/>
  <c r="AE338" i="28" s="1"/>
  <c r="O339" i="28"/>
  <c r="O340" i="28"/>
  <c r="O341" i="28"/>
  <c r="AF341" i="28" s="1"/>
  <c r="AE341" i="28" s="1"/>
  <c r="O514" i="28"/>
  <c r="O513" i="28"/>
  <c r="O512" i="28"/>
  <c r="O511" i="28"/>
  <c r="O589" i="28"/>
  <c r="O588" i="28"/>
  <c r="AF588" i="28" s="1"/>
  <c r="AE588" i="28" s="1"/>
  <c r="O587" i="28"/>
  <c r="AF587" i="28" s="1"/>
  <c r="AE587" i="28" s="1"/>
  <c r="O592" i="28"/>
  <c r="AF592" i="28" s="1"/>
  <c r="AE592" i="28" s="1"/>
  <c r="O591" i="28"/>
  <c r="O590" i="28"/>
  <c r="O345" i="28"/>
  <c r="O346" i="28"/>
  <c r="AF346" i="28" s="1"/>
  <c r="AE346" i="28" s="1"/>
  <c r="O347" i="28"/>
  <c r="O348" i="28"/>
  <c r="O349" i="28"/>
  <c r="AF349" i="28" s="1"/>
  <c r="AE349" i="28" s="1"/>
  <c r="O498" i="28"/>
  <c r="O497" i="28"/>
  <c r="AF497" i="28" s="1"/>
  <c r="AE497" i="28" s="1"/>
  <c r="O496" i="28"/>
  <c r="AF496" i="28" s="1"/>
  <c r="AE496" i="28" s="1"/>
  <c r="O495" i="28"/>
  <c r="O494" i="28"/>
  <c r="AF494" i="28" s="1"/>
  <c r="AE494" i="28" s="1"/>
  <c r="O493" i="28"/>
  <c r="AF493" i="28" s="1"/>
  <c r="AE493" i="28" s="1"/>
  <c r="O492" i="28"/>
  <c r="O491" i="28"/>
  <c r="O490" i="28"/>
  <c r="AF490" i="28" s="1"/>
  <c r="AE490" i="28" s="1"/>
  <c r="O550" i="28"/>
  <c r="AF550" i="28" s="1"/>
  <c r="AE550" i="28" s="1"/>
  <c r="O549" i="28"/>
  <c r="O548" i="28"/>
  <c r="O563" i="28"/>
  <c r="AF563" i="28" s="1"/>
  <c r="AE563" i="28" s="1"/>
  <c r="O564" i="28"/>
  <c r="AF564" i="28" s="1"/>
  <c r="AE564" i="28" s="1"/>
  <c r="O565" i="28"/>
  <c r="AF565" i="28" s="1"/>
  <c r="AE565" i="28" s="1"/>
  <c r="O471" i="28"/>
  <c r="O470" i="28"/>
  <c r="O469" i="28"/>
  <c r="O468" i="28"/>
  <c r="O467" i="28"/>
  <c r="O466" i="28"/>
  <c r="O488" i="28"/>
  <c r="AF488" i="28" s="1"/>
  <c r="AE488" i="28" s="1"/>
  <c r="O487" i="28"/>
  <c r="AF487" i="28" s="1"/>
  <c r="AE487" i="28" s="1"/>
  <c r="O486" i="28"/>
  <c r="O485" i="28"/>
  <c r="AF485" i="28" s="1"/>
  <c r="AE485" i="28" s="1"/>
  <c r="O484" i="28"/>
  <c r="AF484" i="28" s="1"/>
  <c r="AE484" i="28" s="1"/>
  <c r="O483" i="28"/>
  <c r="AF483" i="28" s="1"/>
  <c r="AE483" i="28" s="1"/>
  <c r="O482" i="28"/>
  <c r="O481" i="28"/>
  <c r="AF481" i="28" s="1"/>
  <c r="AE481" i="28" s="1"/>
  <c r="O480" i="28"/>
  <c r="AF480" i="28" s="1"/>
  <c r="AE480" i="28" s="1"/>
  <c r="O479" i="28"/>
  <c r="O478" i="28"/>
  <c r="AF478" i="28" s="1"/>
  <c r="AE478" i="28" s="1"/>
  <c r="O477" i="28"/>
  <c r="AF477" i="28" s="1"/>
  <c r="AE477" i="28" s="1"/>
  <c r="O476" i="28"/>
  <c r="AF476" i="28" s="1"/>
  <c r="AE476" i="28" s="1"/>
  <c r="O475" i="28"/>
  <c r="O474" i="28"/>
  <c r="O541" i="28"/>
  <c r="O545" i="28"/>
  <c r="AL432" i="28" l="1"/>
  <c r="AK432" i="28" s="1"/>
  <c r="V513" i="28"/>
  <c r="AL513" i="28" s="1"/>
  <c r="AF513" i="28"/>
  <c r="AE513" i="28" s="1"/>
  <c r="V479" i="28"/>
  <c r="AL479" i="28" s="1"/>
  <c r="AF479" i="28"/>
  <c r="AE479" i="28" s="1"/>
  <c r="V486" i="28"/>
  <c r="AL486" i="28" s="1"/>
  <c r="AF486" i="28"/>
  <c r="AE486" i="28" s="1"/>
  <c r="V471" i="28"/>
  <c r="AL471" i="28" s="1"/>
  <c r="AF471" i="28"/>
  <c r="AE471" i="28" s="1"/>
  <c r="V491" i="28"/>
  <c r="AL491" i="28" s="1"/>
  <c r="AF491" i="28"/>
  <c r="AE491" i="28" s="1"/>
  <c r="V591" i="28"/>
  <c r="AL591" i="28" s="1"/>
  <c r="AF591" i="28"/>
  <c r="AE591" i="28" s="1"/>
  <c r="V514" i="28"/>
  <c r="AL514" i="28" s="1"/>
  <c r="AF514" i="28"/>
  <c r="AE514" i="28" s="1"/>
  <c r="V339" i="28"/>
  <c r="AL339" i="28" s="1"/>
  <c r="AF339" i="28"/>
  <c r="AE339" i="28" s="1"/>
  <c r="V470" i="28"/>
  <c r="AL470" i="28" s="1"/>
  <c r="AF470" i="28"/>
  <c r="AE470" i="28" s="1"/>
  <c r="V498" i="28"/>
  <c r="AL498" i="28" s="1"/>
  <c r="AF498" i="28"/>
  <c r="AE498" i="28" s="1"/>
  <c r="V590" i="28"/>
  <c r="AL590" i="28" s="1"/>
  <c r="AF590" i="28"/>
  <c r="AE590" i="28" s="1"/>
  <c r="V340" i="28"/>
  <c r="AL340" i="28" s="1"/>
  <c r="AF340" i="28"/>
  <c r="AE340" i="28" s="1"/>
  <c r="V387" i="28"/>
  <c r="AL387" i="28" s="1"/>
  <c r="AF387" i="28"/>
  <c r="AE387" i="28" s="1"/>
  <c r="V345" i="28"/>
  <c r="AL345" i="28" s="1"/>
  <c r="AF345" i="28"/>
  <c r="AE345" i="28" s="1"/>
  <c r="AR433" i="28"/>
  <c r="AQ433" i="28" s="1"/>
  <c r="AF433" i="28"/>
  <c r="AE433" i="28" s="1"/>
  <c r="AL433" i="28"/>
  <c r="AK433" i="28" s="1"/>
  <c r="V468" i="28"/>
  <c r="AL468" i="28" s="1"/>
  <c r="AF468" i="28"/>
  <c r="AE468" i="28" s="1"/>
  <c r="V549" i="28"/>
  <c r="AL549" i="28" s="1"/>
  <c r="AF549" i="28"/>
  <c r="AE549" i="28" s="1"/>
  <c r="V511" i="28"/>
  <c r="AF511" i="28"/>
  <c r="AE511" i="28" s="1"/>
  <c r="V545" i="28"/>
  <c r="AL545" i="28" s="1"/>
  <c r="AF545" i="28"/>
  <c r="AE545" i="28" s="1"/>
  <c r="V492" i="28"/>
  <c r="AL492" i="28" s="1"/>
  <c r="AF492" i="28"/>
  <c r="AE492" i="28" s="1"/>
  <c r="V541" i="28"/>
  <c r="AL541" i="28" s="1"/>
  <c r="AF541" i="28"/>
  <c r="AE541" i="28" s="1"/>
  <c r="V336" i="28"/>
  <c r="AL336" i="28" s="1"/>
  <c r="AF336" i="28"/>
  <c r="AE336" i="28" s="1"/>
  <c r="V388" i="28"/>
  <c r="AL388" i="28" s="1"/>
  <c r="AF388" i="28"/>
  <c r="AE388" i="28" s="1"/>
  <c r="V474" i="28"/>
  <c r="AL474" i="28" s="1"/>
  <c r="AF474" i="28"/>
  <c r="AE474" i="28" s="1"/>
  <c r="V466" i="28"/>
  <c r="AL466" i="28" s="1"/>
  <c r="AF466" i="28"/>
  <c r="AE466" i="28" s="1"/>
  <c r="V348" i="28"/>
  <c r="AL348" i="28" s="1"/>
  <c r="AF348" i="28"/>
  <c r="AE348" i="28" s="1"/>
  <c r="V389" i="28"/>
  <c r="AL389" i="28" s="1"/>
  <c r="AF389" i="28"/>
  <c r="AE389" i="28" s="1"/>
  <c r="V469" i="28"/>
  <c r="AL469" i="28" s="1"/>
  <c r="AF469" i="28"/>
  <c r="AE469" i="28" s="1"/>
  <c r="V512" i="28"/>
  <c r="AL512" i="28" s="1"/>
  <c r="AF512" i="28"/>
  <c r="AE512" i="28" s="1"/>
  <c r="V383" i="28"/>
  <c r="AL383" i="28" s="1"/>
  <c r="AF383" i="28"/>
  <c r="AE383" i="28" s="1"/>
  <c r="V475" i="28"/>
  <c r="AL475" i="28" s="1"/>
  <c r="AF475" i="28"/>
  <c r="AE475" i="28" s="1"/>
  <c r="V482" i="28"/>
  <c r="AL482" i="28" s="1"/>
  <c r="AF482" i="28"/>
  <c r="AE482" i="28" s="1"/>
  <c r="V467" i="28"/>
  <c r="AL467" i="28" s="1"/>
  <c r="AF467" i="28"/>
  <c r="AE467" i="28" s="1"/>
  <c r="V548" i="28"/>
  <c r="AL548" i="28" s="1"/>
  <c r="AF548" i="28"/>
  <c r="AE548" i="28" s="1"/>
  <c r="V495" i="28"/>
  <c r="AL495" i="28" s="1"/>
  <c r="AF495" i="28"/>
  <c r="AE495" i="28" s="1"/>
  <c r="V347" i="28"/>
  <c r="AL347" i="28" s="1"/>
  <c r="AF347" i="28"/>
  <c r="AE347" i="28" s="1"/>
  <c r="V589" i="28"/>
  <c r="AL589" i="28" s="1"/>
  <c r="AF589" i="28"/>
  <c r="AE589" i="28" s="1"/>
  <c r="V335" i="28"/>
  <c r="AL335" i="28" s="1"/>
  <c r="AF335" i="28"/>
  <c r="AE335" i="28" s="1"/>
  <c r="AO432" i="28"/>
  <c r="AN432" i="28" s="1"/>
  <c r="AR432" i="28"/>
  <c r="AF432" i="28"/>
  <c r="AE432" i="28" s="1"/>
  <c r="V587" i="28"/>
  <c r="AL587" i="28" s="1"/>
  <c r="V588" i="28"/>
  <c r="AL588" i="28" s="1"/>
  <c r="BD372" i="14"/>
  <c r="CT372" i="14"/>
  <c r="L372" i="14"/>
  <c r="V581" i="28"/>
  <c r="V385" i="28"/>
  <c r="AL385" i="28" s="1"/>
  <c r="V386" i="28"/>
  <c r="AL386" i="28" s="1"/>
  <c r="V592" i="28"/>
  <c r="V337" i="28"/>
  <c r="AL337" i="28" s="1"/>
  <c r="V333" i="28"/>
  <c r="AL333" i="28" s="1"/>
  <c r="V341" i="28"/>
  <c r="AL341" i="28" s="1"/>
  <c r="V338" i="28"/>
  <c r="AL338" i="28" s="1"/>
  <c r="V346" i="28"/>
  <c r="AL346" i="28" s="1"/>
  <c r="V349" i="28"/>
  <c r="AL349" i="28" s="1"/>
  <c r="V550" i="28"/>
  <c r="AL550" i="28" s="1"/>
  <c r="V497" i="28"/>
  <c r="AL497" i="28" s="1"/>
  <c r="V496" i="28"/>
  <c r="AL496" i="28" s="1"/>
  <c r="V493" i="28"/>
  <c r="AL493" i="28" s="1"/>
  <c r="V488" i="28"/>
  <c r="AL488" i="28" s="1"/>
  <c r="V494" i="28"/>
  <c r="AL494" i="28" s="1"/>
  <c r="V490" i="28"/>
  <c r="AL490" i="28" s="1"/>
  <c r="V565" i="28"/>
  <c r="AL565" i="28" s="1"/>
  <c r="V563" i="28"/>
  <c r="AL563" i="28" s="1"/>
  <c r="V481" i="28"/>
  <c r="AL481" i="28" s="1"/>
  <c r="V564" i="28"/>
  <c r="AL564" i="28" s="1"/>
  <c r="V484" i="28"/>
  <c r="AL484" i="28" s="1"/>
  <c r="V478" i="28"/>
  <c r="AL478" i="28" s="1"/>
  <c r="V480" i="28"/>
  <c r="AL480" i="28" s="1"/>
  <c r="V485" i="28"/>
  <c r="AL485" i="28" s="1"/>
  <c r="V477" i="28"/>
  <c r="AL477" i="28" s="1"/>
  <c r="V476" i="28"/>
  <c r="AL476" i="28" s="1"/>
  <c r="V483" i="28"/>
  <c r="AL483" i="28" s="1"/>
  <c r="V487" i="28"/>
  <c r="AL487" i="28" s="1"/>
  <c r="O547" i="28"/>
  <c r="O544" i="28"/>
  <c r="O263" i="28"/>
  <c r="AF263" i="28" s="1"/>
  <c r="AE263" i="28" s="1"/>
  <c r="O262" i="28"/>
  <c r="O304" i="28"/>
  <c r="O303" i="28"/>
  <c r="AF303" i="28" s="1"/>
  <c r="AE303" i="28" s="1"/>
  <c r="O260" i="28"/>
  <c r="AF260" i="28" s="1"/>
  <c r="AE260" i="28" s="1"/>
  <c r="O259" i="28"/>
  <c r="AF259" i="28" s="1"/>
  <c r="AE259" i="28" s="1"/>
  <c r="O258" i="28"/>
  <c r="O257" i="28"/>
  <c r="O256" i="28"/>
  <c r="O255" i="28"/>
  <c r="AF255" i="28" s="1"/>
  <c r="AE255" i="28" s="1"/>
  <c r="O254" i="28"/>
  <c r="AF254" i="28" s="1"/>
  <c r="AE254" i="28" s="1"/>
  <c r="O253" i="28"/>
  <c r="O250" i="28"/>
  <c r="O252" i="28"/>
  <c r="O251" i="28"/>
  <c r="AF251" i="28" s="1"/>
  <c r="AE251" i="28" s="1"/>
  <c r="O249" i="28"/>
  <c r="AF249" i="28" s="1"/>
  <c r="AE249" i="28" s="1"/>
  <c r="O296" i="28"/>
  <c r="O295" i="28"/>
  <c r="AF295" i="28" s="1"/>
  <c r="AE295" i="28" s="1"/>
  <c r="O294" i="28"/>
  <c r="AF294" i="28" s="1"/>
  <c r="AE294" i="28" s="1"/>
  <c r="O293" i="28"/>
  <c r="AF293" i="28" s="1"/>
  <c r="AE293" i="28" s="1"/>
  <c r="O292" i="28"/>
  <c r="O289" i="28"/>
  <c r="O288" i="28"/>
  <c r="AF288" i="28" s="1"/>
  <c r="AE288" i="28" s="1"/>
  <c r="O324" i="28"/>
  <c r="V234" i="28"/>
  <c r="AL234" i="28" s="1"/>
  <c r="O327" i="28"/>
  <c r="AF327" i="28" s="1"/>
  <c r="AE327" i="28" s="1"/>
  <c r="O325" i="28"/>
  <c r="AF325" i="28" s="1"/>
  <c r="AE325" i="28" s="1"/>
  <c r="O328" i="28"/>
  <c r="AF328" i="28" s="1"/>
  <c r="AE328" i="28" s="1"/>
  <c r="O329" i="28"/>
  <c r="O323" i="28"/>
  <c r="AF323" i="28" s="1"/>
  <c r="AE323" i="28" s="1"/>
  <c r="O361" i="28"/>
  <c r="O359" i="28"/>
  <c r="O358" i="28"/>
  <c r="O357" i="28"/>
  <c r="O356" i="28"/>
  <c r="O355" i="28"/>
  <c r="AF355" i="28" s="1"/>
  <c r="AE355" i="28" s="1"/>
  <c r="O354" i="28"/>
  <c r="AF354" i="28" s="1"/>
  <c r="AE354" i="28" s="1"/>
  <c r="O353" i="28"/>
  <c r="O352" i="28"/>
  <c r="AF352" i="28" s="1"/>
  <c r="AE352" i="28" s="1"/>
  <c r="O351" i="28"/>
  <c r="AF351" i="28" s="1"/>
  <c r="AE351" i="28" s="1"/>
  <c r="O314" i="28"/>
  <c r="AF314" i="28" s="1"/>
  <c r="AE314" i="28" s="1"/>
  <c r="O316" i="28"/>
  <c r="AF316" i="28" s="1"/>
  <c r="AE316" i="28" s="1"/>
  <c r="O306" i="28"/>
  <c r="AF306" i="28" s="1"/>
  <c r="AE306" i="28" s="1"/>
  <c r="O313" i="28"/>
  <c r="O312" i="28"/>
  <c r="AF312" i="28" s="1"/>
  <c r="AE312" i="28" s="1"/>
  <c r="O311" i="28"/>
  <c r="O310" i="28"/>
  <c r="AF310" i="28" s="1"/>
  <c r="AE310" i="28" s="1"/>
  <c r="O309" i="28"/>
  <c r="O308" i="28"/>
  <c r="AF308" i="28" s="1"/>
  <c r="AE308" i="28" s="1"/>
  <c r="O302" i="28"/>
  <c r="O364" i="28"/>
  <c r="O365" i="28"/>
  <c r="AF365" i="28" s="1"/>
  <c r="AE365" i="28" s="1"/>
  <c r="O421" i="28"/>
  <c r="O585" i="28"/>
  <c r="O578" i="28"/>
  <c r="O420" i="28"/>
  <c r="AF420" i="28" s="1"/>
  <c r="AE420" i="28" s="1"/>
  <c r="O283" i="28"/>
  <c r="AF283" i="28" s="1"/>
  <c r="AE283" i="28" s="1"/>
  <c r="O584" i="28"/>
  <c r="O580" i="28"/>
  <c r="O571" i="28"/>
  <c r="AF571" i="28" s="1"/>
  <c r="AE571" i="28" s="1"/>
  <c r="O572" i="28"/>
  <c r="O570" i="28"/>
  <c r="AF570" i="28" s="1"/>
  <c r="AE570" i="28" s="1"/>
  <c r="O422" i="28"/>
  <c r="AF422" i="28" s="1"/>
  <c r="AE422" i="28" s="1"/>
  <c r="O407" i="28"/>
  <c r="AF407" i="28" s="1"/>
  <c r="AE407" i="28" s="1"/>
  <c r="O417" i="28"/>
  <c r="O546" i="28"/>
  <c r="AF546" i="28" s="1"/>
  <c r="AE546" i="28" s="1"/>
  <c r="O543" i="28"/>
  <c r="AF543" i="28" s="1"/>
  <c r="AE543" i="28" s="1"/>
  <c r="O542" i="28"/>
  <c r="O540" i="28"/>
  <c r="AF540" i="28" s="1"/>
  <c r="AE540" i="28" s="1"/>
  <c r="O539" i="28"/>
  <c r="AF539" i="28" s="1"/>
  <c r="AE539" i="28" s="1"/>
  <c r="O538" i="28"/>
  <c r="AF538" i="28" s="1"/>
  <c r="AE538" i="28" s="1"/>
  <c r="O537" i="28"/>
  <c r="AF537" i="28" s="1"/>
  <c r="AE537" i="28" s="1"/>
  <c r="O536" i="28"/>
  <c r="AF536" i="28" s="1"/>
  <c r="AE536" i="28" s="1"/>
  <c r="O535" i="28"/>
  <c r="AF535" i="28" s="1"/>
  <c r="AE535" i="28" s="1"/>
  <c r="O534" i="28"/>
  <c r="AF534" i="28" s="1"/>
  <c r="AE534" i="28" s="1"/>
  <c r="O532" i="28"/>
  <c r="O531" i="28"/>
  <c r="O530" i="28"/>
  <c r="AF530" i="28" s="1"/>
  <c r="AE530" i="28" s="1"/>
  <c r="O529" i="28"/>
  <c r="O528" i="28"/>
  <c r="O526" i="28"/>
  <c r="AF526" i="28" s="1"/>
  <c r="AE526" i="28" s="1"/>
  <c r="O524" i="28"/>
  <c r="O583" i="28"/>
  <c r="AF583" i="28" s="1"/>
  <c r="AE583" i="28" s="1"/>
  <c r="O582" i="28"/>
  <c r="AF582" i="28" s="1"/>
  <c r="AE582" i="28" s="1"/>
  <c r="O472" i="28"/>
  <c r="O601" i="28"/>
  <c r="AF601" i="28" s="1"/>
  <c r="AE601" i="28" s="1"/>
  <c r="O600" i="28"/>
  <c r="O599" i="28"/>
  <c r="AF599" i="28" s="1"/>
  <c r="AE599" i="28" s="1"/>
  <c r="O598" i="28"/>
  <c r="AF598" i="28" s="1"/>
  <c r="AE598" i="28" s="1"/>
  <c r="O597" i="28"/>
  <c r="AF597" i="28" s="1"/>
  <c r="AE597" i="28" s="1"/>
  <c r="O596" i="28"/>
  <c r="AF596" i="28" s="1"/>
  <c r="AE596" i="28" s="1"/>
  <c r="O595" i="28"/>
  <c r="V594" i="28"/>
  <c r="AL594" i="28" s="1"/>
  <c r="O562" i="28"/>
  <c r="AF562" i="28" s="1"/>
  <c r="AE562" i="28" s="1"/>
  <c r="O558" i="28"/>
  <c r="O557" i="28"/>
  <c r="AF557" i="28" s="1"/>
  <c r="AE557" i="28" s="1"/>
  <c r="O556" i="28"/>
  <c r="AF556" i="28" s="1"/>
  <c r="AE556" i="28" s="1"/>
  <c r="O555" i="28"/>
  <c r="O554" i="28"/>
  <c r="AF554" i="28" s="1"/>
  <c r="AE554" i="28" s="1"/>
  <c r="O553" i="28"/>
  <c r="O552" i="28"/>
  <c r="AF552" i="28" s="1"/>
  <c r="AE552" i="28" s="1"/>
  <c r="V551" i="28"/>
  <c r="AL551" i="28" s="1"/>
  <c r="O446" i="28"/>
  <c r="O445" i="28"/>
  <c r="AF445" i="28" s="1"/>
  <c r="AE445" i="28" s="1"/>
  <c r="O444" i="28"/>
  <c r="AF444" i="28" s="1"/>
  <c r="AE444" i="28" s="1"/>
  <c r="O443" i="28"/>
  <c r="O442" i="28"/>
  <c r="AF442" i="28" s="1"/>
  <c r="AE442" i="28" s="1"/>
  <c r="O441" i="28"/>
  <c r="AF441" i="28" s="1"/>
  <c r="AE441" i="28" s="1"/>
  <c r="O440" i="28"/>
  <c r="O439" i="28"/>
  <c r="O438" i="28"/>
  <c r="AF438" i="28" s="1"/>
  <c r="AE438" i="28" s="1"/>
  <c r="O437" i="28"/>
  <c r="AF437" i="28" s="1"/>
  <c r="AE437" i="28" s="1"/>
  <c r="O436" i="28"/>
  <c r="O435" i="28"/>
  <c r="O416" i="28"/>
  <c r="O414" i="28"/>
  <c r="AF414" i="28" s="1"/>
  <c r="AE414" i="28" s="1"/>
  <c r="O413" i="28"/>
  <c r="AF413" i="28" s="1"/>
  <c r="AE413" i="28" s="1"/>
  <c r="V408" i="28"/>
  <c r="AL408" i="28" s="1"/>
  <c r="O430" i="28"/>
  <c r="O429" i="28"/>
  <c r="O428" i="28"/>
  <c r="AF428" i="28" s="1"/>
  <c r="AE428" i="28" s="1"/>
  <c r="O427" i="28"/>
  <c r="AF427" i="28" s="1"/>
  <c r="AE427" i="28" s="1"/>
  <c r="O426" i="28"/>
  <c r="O425" i="28"/>
  <c r="O424" i="28"/>
  <c r="AF424" i="28" s="1"/>
  <c r="AE424" i="28" s="1"/>
  <c r="O423" i="28"/>
  <c r="AF423" i="28" s="1"/>
  <c r="AE423" i="28" s="1"/>
  <c r="O510" i="28"/>
  <c r="O509" i="28"/>
  <c r="O508" i="28"/>
  <c r="O507" i="28"/>
  <c r="O506" i="28"/>
  <c r="AF506" i="28" s="1"/>
  <c r="AE506" i="28" s="1"/>
  <c r="O505" i="28"/>
  <c r="V504" i="28"/>
  <c r="AL504" i="28" s="1"/>
  <c r="O382" i="28"/>
  <c r="AF382" i="28" s="1"/>
  <c r="AE382" i="28" s="1"/>
  <c r="O381" i="28"/>
  <c r="AF381" i="28" s="1"/>
  <c r="AE381" i="28" s="1"/>
  <c r="O380" i="28"/>
  <c r="O379" i="28"/>
  <c r="AF379" i="28" s="1"/>
  <c r="AE379" i="28" s="1"/>
  <c r="O378" i="28"/>
  <c r="AF378" i="28" s="1"/>
  <c r="AE378" i="28" s="1"/>
  <c r="O377" i="28"/>
  <c r="O376" i="28"/>
  <c r="AF376" i="28" s="1"/>
  <c r="AE376" i="28" s="1"/>
  <c r="O375" i="28"/>
  <c r="O372" i="28"/>
  <c r="AF372" i="28" s="1"/>
  <c r="AE372" i="28" s="1"/>
  <c r="O396" i="28"/>
  <c r="O395" i="28"/>
  <c r="O394" i="28"/>
  <c r="AF394" i="28" s="1"/>
  <c r="AE394" i="28" s="1"/>
  <c r="O393" i="28"/>
  <c r="O392" i="28"/>
  <c r="AF392" i="28" s="1"/>
  <c r="AE392" i="28" s="1"/>
  <c r="O390" i="28"/>
  <c r="O406" i="28"/>
  <c r="O405" i="28"/>
  <c r="AF405" i="28" s="1"/>
  <c r="AE405" i="28" s="1"/>
  <c r="O404" i="28"/>
  <c r="O403" i="28"/>
  <c r="AF403" i="28" s="1"/>
  <c r="AE403" i="28" s="1"/>
  <c r="O363" i="28"/>
  <c r="O366" i="28"/>
  <c r="AF366" i="28" s="1"/>
  <c r="AE366" i="28" s="1"/>
  <c r="V362" i="28"/>
  <c r="AL362" i="28" s="1"/>
  <c r="O342" i="28"/>
  <c r="V287" i="28"/>
  <c r="AL287" i="28" s="1"/>
  <c r="O291" i="28"/>
  <c r="AF291" i="28" s="1"/>
  <c r="AE291" i="28" s="1"/>
  <c r="V290" i="28"/>
  <c r="AL290" i="28" s="1"/>
  <c r="O331" i="28"/>
  <c r="AF331" i="28" s="1"/>
  <c r="AE331" i="28" s="1"/>
  <c r="O298" i="28"/>
  <c r="V297" i="28"/>
  <c r="AL297" i="28" s="1"/>
  <c r="O301" i="28"/>
  <c r="AF301" i="28" s="1"/>
  <c r="AE301" i="28" s="1"/>
  <c r="O300" i="28"/>
  <c r="V299" i="28"/>
  <c r="AL299" i="28" s="1"/>
  <c r="O247" i="28"/>
  <c r="O246" i="28"/>
  <c r="O245" i="28"/>
  <c r="AF245" i="28" s="1"/>
  <c r="AE245" i="28" s="1"/>
  <c r="V244" i="28"/>
  <c r="AL244" i="28" s="1"/>
  <c r="O243" i="28"/>
  <c r="AF243" i="28" s="1"/>
  <c r="AE243" i="28" s="1"/>
  <c r="O242" i="28"/>
  <c r="AF242" i="28" s="1"/>
  <c r="AE242" i="28" s="1"/>
  <c r="O241" i="28"/>
  <c r="V240" i="28"/>
  <c r="AL240" i="28" s="1"/>
  <c r="O239" i="28"/>
  <c r="O238" i="28"/>
  <c r="O237" i="28"/>
  <c r="AF237" i="28" s="1"/>
  <c r="AE237" i="28" s="1"/>
  <c r="O236" i="28"/>
  <c r="AF236" i="28" s="1"/>
  <c r="AE236" i="28" s="1"/>
  <c r="O235" i="28"/>
  <c r="D112" i="1"/>
  <c r="DZ70" i="14"/>
  <c r="CO70" i="14"/>
  <c r="CK70" i="14"/>
  <c r="CJ70" i="14"/>
  <c r="AO70" i="14"/>
  <c r="AL70" i="14"/>
  <c r="AI70" i="14"/>
  <c r="AF70" i="14"/>
  <c r="AC70" i="14"/>
  <c r="Z70" i="14"/>
  <c r="W70" i="14"/>
  <c r="T70" i="14"/>
  <c r="Q70" i="14"/>
  <c r="N70" i="14"/>
  <c r="L70" i="14"/>
  <c r="CT70" i="14" s="1"/>
  <c r="K70" i="14"/>
  <c r="I70" i="14"/>
  <c r="G70" i="14"/>
  <c r="B70" i="7" s="1"/>
  <c r="M42" i="1"/>
  <c r="M41" i="1"/>
  <c r="M48" i="1"/>
  <c r="S48" i="1" s="1"/>
  <c r="M47" i="1"/>
  <c r="S47" i="1" s="1"/>
  <c r="O62" i="28"/>
  <c r="AF62" i="28" s="1"/>
  <c r="AE62" i="28" s="1"/>
  <c r="O45" i="28"/>
  <c r="O67" i="28"/>
  <c r="O92" i="28"/>
  <c r="O91" i="28"/>
  <c r="O76" i="28"/>
  <c r="AF76" i="28" s="1"/>
  <c r="AE76" i="28" s="1"/>
  <c r="O620" i="28"/>
  <c r="O619" i="28"/>
  <c r="AF619" i="28" s="1"/>
  <c r="AE619" i="28" s="1"/>
  <c r="O618" i="28"/>
  <c r="O617" i="28"/>
  <c r="AF617" i="28" s="1"/>
  <c r="AE617" i="28" s="1"/>
  <c r="O166" i="28"/>
  <c r="O20" i="28"/>
  <c r="O19" i="28"/>
  <c r="O577" i="28"/>
  <c r="O464" i="28"/>
  <c r="AF464" i="28" s="1"/>
  <c r="AE464" i="28" s="1"/>
  <c r="O463" i="28"/>
  <c r="O462" i="28"/>
  <c r="AF462" i="28" s="1"/>
  <c r="AE462" i="28" s="1"/>
  <c r="O461" i="28"/>
  <c r="O460" i="28"/>
  <c r="AF460" i="28" s="1"/>
  <c r="AE460" i="28" s="1"/>
  <c r="O459" i="28"/>
  <c r="AF459" i="28" s="1"/>
  <c r="AE459" i="28" s="1"/>
  <c r="O458" i="28"/>
  <c r="AF458" i="28" s="1"/>
  <c r="AE458" i="28" s="1"/>
  <c r="O457" i="28"/>
  <c r="AF457" i="28" s="1"/>
  <c r="AE457" i="28" s="1"/>
  <c r="O456" i="28"/>
  <c r="AF456" i="28" s="1"/>
  <c r="AE456" i="28" s="1"/>
  <c r="O455" i="28"/>
  <c r="AF455" i="28" s="1"/>
  <c r="AE455" i="28" s="1"/>
  <c r="O454" i="28"/>
  <c r="AF454" i="28" s="1"/>
  <c r="AE454" i="28" s="1"/>
  <c r="O453" i="28"/>
  <c r="AF453" i="28" s="1"/>
  <c r="AE453" i="28" s="1"/>
  <c r="O452" i="28"/>
  <c r="O451" i="28"/>
  <c r="AF451" i="28" s="1"/>
  <c r="AE451" i="28" s="1"/>
  <c r="O450" i="28"/>
  <c r="AF450" i="28" s="1"/>
  <c r="AE450" i="28" s="1"/>
  <c r="O449" i="28"/>
  <c r="AF449" i="28" s="1"/>
  <c r="AE449" i="28" s="1"/>
  <c r="O448" i="28"/>
  <c r="AF448" i="28" s="1"/>
  <c r="AE448" i="28" s="1"/>
  <c r="O447" i="28"/>
  <c r="AF447" i="28" s="1"/>
  <c r="AE447" i="28" s="1"/>
  <c r="O317" i="28"/>
  <c r="AF317" i="28" s="1"/>
  <c r="AE317" i="28" s="1"/>
  <c r="O307" i="28"/>
  <c r="O305" i="28"/>
  <c r="AF305" i="28" s="1"/>
  <c r="AE305" i="28" s="1"/>
  <c r="O607" i="28"/>
  <c r="O606" i="28"/>
  <c r="O605" i="28"/>
  <c r="AF605" i="28" s="1"/>
  <c r="AE605" i="28" s="1"/>
  <c r="O604" i="28"/>
  <c r="AF604" i="28" s="1"/>
  <c r="AE604" i="28" s="1"/>
  <c r="O603" i="28"/>
  <c r="AF603" i="28" s="1"/>
  <c r="AE603" i="28" s="1"/>
  <c r="O233" i="28"/>
  <c r="AF233" i="28" s="1"/>
  <c r="AE233" i="28" s="1"/>
  <c r="O232" i="28"/>
  <c r="O231" i="28"/>
  <c r="BM230" i="28"/>
  <c r="O230" i="28"/>
  <c r="BM229" i="28"/>
  <c r="O229" i="28"/>
  <c r="BM228" i="28"/>
  <c r="O228" i="28"/>
  <c r="T503" i="42" l="1"/>
  <c r="T471" i="42"/>
  <c r="T439" i="42"/>
  <c r="T407" i="42"/>
  <c r="T375" i="42"/>
  <c r="T343" i="42"/>
  <c r="T311" i="42"/>
  <c r="T279" i="42"/>
  <c r="T247" i="42"/>
  <c r="T215" i="42"/>
  <c r="T183" i="42"/>
  <c r="T151" i="42"/>
  <c r="T119" i="42"/>
  <c r="T87" i="42"/>
  <c r="T47" i="42"/>
  <c r="T39" i="42"/>
  <c r="T71" i="42"/>
  <c r="T495" i="42"/>
  <c r="T463" i="42"/>
  <c r="T431" i="42"/>
  <c r="T399" i="42"/>
  <c r="T367" i="42"/>
  <c r="T335" i="42"/>
  <c r="T303" i="42"/>
  <c r="T271" i="42"/>
  <c r="T239" i="42"/>
  <c r="T207" i="42"/>
  <c r="T175" i="42"/>
  <c r="T143" i="42"/>
  <c r="T111" i="42"/>
  <c r="T487" i="42"/>
  <c r="T455" i="42"/>
  <c r="T423" i="42"/>
  <c r="T391" i="42"/>
  <c r="T359" i="42"/>
  <c r="T327" i="42"/>
  <c r="T295" i="42"/>
  <c r="T263" i="42"/>
  <c r="T231" i="42"/>
  <c r="T199" i="42"/>
  <c r="T167" i="42"/>
  <c r="T135" i="42"/>
  <c r="T103" i="42"/>
  <c r="T63" i="42"/>
  <c r="T31" i="42"/>
  <c r="T15" i="42"/>
  <c r="T23" i="42"/>
  <c r="T511" i="42"/>
  <c r="T479" i="42"/>
  <c r="T447" i="42"/>
  <c r="T415" i="42"/>
  <c r="T383" i="42"/>
  <c r="T351" i="42"/>
  <c r="T319" i="42"/>
  <c r="T287" i="42"/>
  <c r="T255" i="42"/>
  <c r="T223" i="42"/>
  <c r="T191" i="42"/>
  <c r="T159" i="42"/>
  <c r="T127" i="42"/>
  <c r="T95" i="42"/>
  <c r="T55" i="42"/>
  <c r="T79" i="42"/>
  <c r="AR70" i="14"/>
  <c r="D70" i="7" s="1"/>
  <c r="S70" i="7" s="1"/>
  <c r="AC514" i="28"/>
  <c r="AC513" i="28"/>
  <c r="AC590" i="28"/>
  <c r="V246" i="28"/>
  <c r="AL246" i="28" s="1"/>
  <c r="AF246" i="28"/>
  <c r="AE246" i="28" s="1"/>
  <c r="V553" i="28"/>
  <c r="AL553" i="28" s="1"/>
  <c r="AF553" i="28"/>
  <c r="AE553" i="28" s="1"/>
  <c r="V544" i="28"/>
  <c r="AL544" i="28" s="1"/>
  <c r="AF544" i="28"/>
  <c r="AE544" i="28" s="1"/>
  <c r="V247" i="28"/>
  <c r="AL247" i="28" s="1"/>
  <c r="AF247" i="28"/>
  <c r="AE247" i="28" s="1"/>
  <c r="V363" i="28"/>
  <c r="AL363" i="28" s="1"/>
  <c r="AF363" i="28"/>
  <c r="AE363" i="28" s="1"/>
  <c r="V357" i="28"/>
  <c r="AL357" i="28" s="1"/>
  <c r="AF357" i="28"/>
  <c r="AE357" i="28" s="1"/>
  <c r="V252" i="28"/>
  <c r="AL252" i="28" s="1"/>
  <c r="AF252" i="28"/>
  <c r="AE252" i="28" s="1"/>
  <c r="V547" i="28"/>
  <c r="AL547" i="28" s="1"/>
  <c r="AF547" i="28"/>
  <c r="AE547" i="28" s="1"/>
  <c r="AK349" i="28"/>
  <c r="AQ432" i="28"/>
  <c r="AK348" i="28"/>
  <c r="AK486" i="28"/>
  <c r="V231" i="28"/>
  <c r="AL231" i="28" s="1"/>
  <c r="AF231" i="28"/>
  <c r="AE231" i="28" s="1"/>
  <c r="V452" i="28"/>
  <c r="AL452" i="28" s="1"/>
  <c r="AF452" i="28"/>
  <c r="AE452" i="28" s="1"/>
  <c r="AK240" i="28"/>
  <c r="AS240" i="28"/>
  <c r="AK299" i="28"/>
  <c r="AS299" i="28"/>
  <c r="V395" i="28"/>
  <c r="AL395" i="28" s="1"/>
  <c r="AF395" i="28"/>
  <c r="AE395" i="28" s="1"/>
  <c r="V380" i="28"/>
  <c r="AL380" i="28" s="1"/>
  <c r="AF380" i="28"/>
  <c r="AE380" i="28" s="1"/>
  <c r="V509" i="28"/>
  <c r="AL509" i="28" s="1"/>
  <c r="AF509" i="28"/>
  <c r="AE509" i="28" s="1"/>
  <c r="V429" i="28"/>
  <c r="AL429" i="28" s="1"/>
  <c r="AF429" i="28"/>
  <c r="AE429" i="28" s="1"/>
  <c r="V435" i="28"/>
  <c r="AL435" i="28" s="1"/>
  <c r="AF435" i="28"/>
  <c r="AE435" i="28" s="1"/>
  <c r="V443" i="28"/>
  <c r="AL443" i="28" s="1"/>
  <c r="AF443" i="28"/>
  <c r="AE443" i="28" s="1"/>
  <c r="V555" i="28"/>
  <c r="AL555" i="28" s="1"/>
  <c r="AF555" i="28"/>
  <c r="AE555" i="28" s="1"/>
  <c r="V529" i="28"/>
  <c r="AL529" i="28" s="1"/>
  <c r="AF529" i="28"/>
  <c r="AE529" i="28" s="1"/>
  <c r="V309" i="28"/>
  <c r="AL309" i="28" s="1"/>
  <c r="AF309" i="28"/>
  <c r="AE309" i="28" s="1"/>
  <c r="V358" i="28"/>
  <c r="AL358" i="28" s="1"/>
  <c r="AF358" i="28"/>
  <c r="AE358" i="28" s="1"/>
  <c r="V292" i="28"/>
  <c r="AL292" i="28" s="1"/>
  <c r="AF292" i="28"/>
  <c r="AE292" i="28" s="1"/>
  <c r="V250" i="28"/>
  <c r="AL250" i="28" s="1"/>
  <c r="AF250" i="28"/>
  <c r="AE250" i="28" s="1"/>
  <c r="AK478" i="28"/>
  <c r="AK488" i="28"/>
  <c r="AK346" i="28"/>
  <c r="AC581" i="28"/>
  <c r="AL581" i="28"/>
  <c r="V606" i="28"/>
  <c r="AL606" i="28" s="1"/>
  <c r="AF606" i="28"/>
  <c r="AE606" i="28" s="1"/>
  <c r="AK290" i="28"/>
  <c r="AS290" i="28"/>
  <c r="V302" i="28"/>
  <c r="AL302" i="28" s="1"/>
  <c r="AF302" i="28"/>
  <c r="AE302" i="28" s="1"/>
  <c r="V258" i="28"/>
  <c r="AL258" i="28" s="1"/>
  <c r="AF258" i="28"/>
  <c r="AE258" i="28" s="1"/>
  <c r="AK386" i="28"/>
  <c r="V607" i="28"/>
  <c r="AL607" i="28" s="1"/>
  <c r="AF607" i="28"/>
  <c r="AE607" i="28" s="1"/>
  <c r="V289" i="28"/>
  <c r="AL289" i="28" s="1"/>
  <c r="AF289" i="28"/>
  <c r="AE289" i="28" s="1"/>
  <c r="AK494" i="28"/>
  <c r="AK589" i="28"/>
  <c r="AK336" i="28"/>
  <c r="AK549" i="28"/>
  <c r="AK591" i="28"/>
  <c r="V232" i="28"/>
  <c r="AL232" i="28" s="1"/>
  <c r="AF232" i="28"/>
  <c r="AE232" i="28" s="1"/>
  <c r="V307" i="28"/>
  <c r="AL307" i="28" s="1"/>
  <c r="AF307" i="28"/>
  <c r="AE307" i="28" s="1"/>
  <c r="V461" i="28"/>
  <c r="AL461" i="28" s="1"/>
  <c r="AF461" i="28"/>
  <c r="AE461" i="28" s="1"/>
  <c r="V241" i="28"/>
  <c r="AL241" i="28" s="1"/>
  <c r="AF241" i="28"/>
  <c r="AE241" i="28" s="1"/>
  <c r="V300" i="28"/>
  <c r="AL300" i="28" s="1"/>
  <c r="AF300" i="28"/>
  <c r="AE300" i="28" s="1"/>
  <c r="AK287" i="28"/>
  <c r="AS287" i="28"/>
  <c r="V404" i="28"/>
  <c r="AL404" i="28" s="1"/>
  <c r="AF404" i="28"/>
  <c r="AE404" i="28" s="1"/>
  <c r="V396" i="28"/>
  <c r="AL396" i="28" s="1"/>
  <c r="AF396" i="28"/>
  <c r="AE396" i="28" s="1"/>
  <c r="V510" i="28"/>
  <c r="AL510" i="28" s="1"/>
  <c r="AF510" i="28"/>
  <c r="AE510" i="28" s="1"/>
  <c r="V430" i="28"/>
  <c r="AL430" i="28" s="1"/>
  <c r="AF430" i="28"/>
  <c r="AE430" i="28" s="1"/>
  <c r="V436" i="28"/>
  <c r="AL436" i="28" s="1"/>
  <c r="AF436" i="28"/>
  <c r="AE436" i="28" s="1"/>
  <c r="V578" i="28"/>
  <c r="AL578" i="28" s="1"/>
  <c r="AF578" i="28"/>
  <c r="AE578" i="28" s="1"/>
  <c r="V359" i="28"/>
  <c r="AL359" i="28" s="1"/>
  <c r="AF359" i="28"/>
  <c r="AE359" i="28" s="1"/>
  <c r="V253" i="28"/>
  <c r="AL253" i="28" s="1"/>
  <c r="AF253" i="28"/>
  <c r="AE253" i="28" s="1"/>
  <c r="AK487" i="28"/>
  <c r="AK484" i="28"/>
  <c r="AK493" i="28"/>
  <c r="AC589" i="28"/>
  <c r="AK338" i="28"/>
  <c r="AK347" i="28"/>
  <c r="AK482" i="28"/>
  <c r="AK469" i="28"/>
  <c r="AK466" i="28"/>
  <c r="AK492" i="28"/>
  <c r="AK468" i="28"/>
  <c r="AK387" i="28"/>
  <c r="AK470" i="28"/>
  <c r="AK479" i="28"/>
  <c r="V230" i="28"/>
  <c r="AL230" i="28" s="1"/>
  <c r="AF230" i="28"/>
  <c r="AE230" i="28" s="1"/>
  <c r="V393" i="28"/>
  <c r="AL393" i="28" s="1"/>
  <c r="AF393" i="28"/>
  <c r="AE393" i="28" s="1"/>
  <c r="V416" i="28"/>
  <c r="AL416" i="28" s="1"/>
  <c r="AF416" i="28"/>
  <c r="AE416" i="28" s="1"/>
  <c r="V595" i="28"/>
  <c r="AL595" i="28" s="1"/>
  <c r="AF595" i="28"/>
  <c r="AE595" i="28" s="1"/>
  <c r="V584" i="28"/>
  <c r="AL584" i="28" s="1"/>
  <c r="AF584" i="28"/>
  <c r="AE584" i="28" s="1"/>
  <c r="V356" i="28"/>
  <c r="AL356" i="28" s="1"/>
  <c r="AF356" i="28"/>
  <c r="AE356" i="28" s="1"/>
  <c r="AK490" i="28"/>
  <c r="V239" i="28"/>
  <c r="AL239" i="28" s="1"/>
  <c r="AF239" i="28"/>
  <c r="AE239" i="28" s="1"/>
  <c r="V508" i="28"/>
  <c r="AL508" i="28" s="1"/>
  <c r="AF508" i="28"/>
  <c r="AE508" i="28" s="1"/>
  <c r="V528" i="28"/>
  <c r="AL528" i="28" s="1"/>
  <c r="AF528" i="28"/>
  <c r="AE528" i="28" s="1"/>
  <c r="AK385" i="28"/>
  <c r="AK512" i="28"/>
  <c r="AK498" i="28"/>
  <c r="V618" i="28"/>
  <c r="AL618" i="28" s="1"/>
  <c r="AF618" i="28"/>
  <c r="AE618" i="28" s="1"/>
  <c r="V342" i="28"/>
  <c r="AL342" i="28" s="1"/>
  <c r="AF342" i="28"/>
  <c r="AE342" i="28" s="1"/>
  <c r="AS408" i="28"/>
  <c r="AK408" i="28"/>
  <c r="V531" i="28"/>
  <c r="AL531" i="28" s="1"/>
  <c r="AF531" i="28"/>
  <c r="AE531" i="28" s="1"/>
  <c r="V585" i="28"/>
  <c r="AL585" i="28" s="1"/>
  <c r="AF585" i="28"/>
  <c r="AE585" i="28" s="1"/>
  <c r="V311" i="28"/>
  <c r="AL311" i="28" s="1"/>
  <c r="AF311" i="28"/>
  <c r="AE311" i="28" s="1"/>
  <c r="V361" i="28"/>
  <c r="AL361" i="28" s="1"/>
  <c r="AF361" i="28"/>
  <c r="AE361" i="28" s="1"/>
  <c r="AK483" i="28"/>
  <c r="AK564" i="28"/>
  <c r="AK496" i="28"/>
  <c r="AK341" i="28"/>
  <c r="AK485" i="28"/>
  <c r="V417" i="28"/>
  <c r="AL417" i="28" s="1"/>
  <c r="AF417" i="28"/>
  <c r="AE417" i="28" s="1"/>
  <c r="AK480" i="28"/>
  <c r="AK467" i="28"/>
  <c r="AK345" i="28"/>
  <c r="V228" i="28"/>
  <c r="AL228" i="28" s="1"/>
  <c r="AF228" i="28"/>
  <c r="AE228" i="28" s="1"/>
  <c r="V463" i="28"/>
  <c r="AL463" i="28" s="1"/>
  <c r="AF463" i="28"/>
  <c r="AE463" i="28" s="1"/>
  <c r="V235" i="28"/>
  <c r="AL235" i="28" s="1"/>
  <c r="AF235" i="28"/>
  <c r="AE235" i="28" s="1"/>
  <c r="AK297" i="28"/>
  <c r="AS297" i="28"/>
  <c r="AK362" i="28"/>
  <c r="AS362" i="28"/>
  <c r="V406" i="28"/>
  <c r="AL406" i="28" s="1"/>
  <c r="AF406" i="28"/>
  <c r="AE406" i="28" s="1"/>
  <c r="V375" i="28"/>
  <c r="AL375" i="28" s="1"/>
  <c r="AF375" i="28"/>
  <c r="AE375" i="28" s="1"/>
  <c r="AK504" i="28"/>
  <c r="AS504" i="28"/>
  <c r="V446" i="28"/>
  <c r="AL446" i="28" s="1"/>
  <c r="AF446" i="28"/>
  <c r="AE446" i="28" s="1"/>
  <c r="V558" i="28"/>
  <c r="AL558" i="28" s="1"/>
  <c r="AF558" i="28"/>
  <c r="AE558" i="28" s="1"/>
  <c r="V600" i="28"/>
  <c r="AL600" i="28" s="1"/>
  <c r="AF600" i="28"/>
  <c r="AE600" i="28" s="1"/>
  <c r="V532" i="28"/>
  <c r="AL532" i="28" s="1"/>
  <c r="AF532" i="28"/>
  <c r="AE532" i="28" s="1"/>
  <c r="V542" i="28"/>
  <c r="AL542" i="28" s="1"/>
  <c r="AF542" i="28"/>
  <c r="AE542" i="28" s="1"/>
  <c r="V572" i="28"/>
  <c r="AL572" i="28" s="1"/>
  <c r="AF572" i="28"/>
  <c r="AE572" i="28" s="1"/>
  <c r="V421" i="28"/>
  <c r="AL421" i="28" s="1"/>
  <c r="AF421" i="28"/>
  <c r="AE421" i="28" s="1"/>
  <c r="V353" i="28"/>
  <c r="AL353" i="28" s="1"/>
  <c r="AF353" i="28"/>
  <c r="AE353" i="28" s="1"/>
  <c r="V304" i="28"/>
  <c r="AL304" i="28" s="1"/>
  <c r="AF304" i="28"/>
  <c r="AE304" i="28" s="1"/>
  <c r="AK481" i="28"/>
  <c r="AK497" i="28"/>
  <c r="AC512" i="28"/>
  <c r="AK333" i="28"/>
  <c r="AK335" i="28"/>
  <c r="AK495" i="28"/>
  <c r="AK475" i="28"/>
  <c r="AK389" i="28"/>
  <c r="AK474" i="28"/>
  <c r="AK541" i="28"/>
  <c r="AK545" i="28"/>
  <c r="AK340" i="28"/>
  <c r="AK339" i="28"/>
  <c r="AK491" i="28"/>
  <c r="AK513" i="28"/>
  <c r="AS551" i="28"/>
  <c r="AK551" i="28"/>
  <c r="AK234" i="28"/>
  <c r="AS234" i="28"/>
  <c r="V296" i="28"/>
  <c r="AL296" i="28" s="1"/>
  <c r="AF296" i="28"/>
  <c r="AE296" i="28" s="1"/>
  <c r="V256" i="28"/>
  <c r="AL256" i="28" s="1"/>
  <c r="AF256" i="28"/>
  <c r="AE256" i="28" s="1"/>
  <c r="V262" i="28"/>
  <c r="AL262" i="28" s="1"/>
  <c r="AF262" i="28"/>
  <c r="AE262" i="28" s="1"/>
  <c r="AK476" i="28"/>
  <c r="AK563" i="28"/>
  <c r="AK550" i="28"/>
  <c r="AK337" i="28"/>
  <c r="AK588" i="28"/>
  <c r="V238" i="28"/>
  <c r="AL238" i="28" s="1"/>
  <c r="AF238" i="28"/>
  <c r="AE238" i="28" s="1"/>
  <c r="V507" i="28"/>
  <c r="AL507" i="28" s="1"/>
  <c r="AF507" i="28"/>
  <c r="AE507" i="28" s="1"/>
  <c r="V229" i="28"/>
  <c r="AL229" i="28" s="1"/>
  <c r="AF229" i="28"/>
  <c r="AE229" i="28" s="1"/>
  <c r="V620" i="28"/>
  <c r="AL620" i="28" s="1"/>
  <c r="AF620" i="28"/>
  <c r="AE620" i="28" s="1"/>
  <c r="AK244" i="28"/>
  <c r="AS244" i="28"/>
  <c r="V298" i="28"/>
  <c r="AL298" i="28" s="1"/>
  <c r="AF298" i="28"/>
  <c r="AE298" i="28" s="1"/>
  <c r="V390" i="28"/>
  <c r="AL390" i="28" s="1"/>
  <c r="AF390" i="28"/>
  <c r="AE390" i="28" s="1"/>
  <c r="V505" i="28"/>
  <c r="AL505" i="28" s="1"/>
  <c r="AF505" i="28"/>
  <c r="AE505" i="28" s="1"/>
  <c r="V425" i="28"/>
  <c r="AL425" i="28" s="1"/>
  <c r="AF425" i="28"/>
  <c r="AE425" i="28" s="1"/>
  <c r="V439" i="28"/>
  <c r="AL439" i="28" s="1"/>
  <c r="AF439" i="28"/>
  <c r="AE439" i="28" s="1"/>
  <c r="V313" i="28"/>
  <c r="AL313" i="28" s="1"/>
  <c r="AF313" i="28"/>
  <c r="AE313" i="28" s="1"/>
  <c r="V577" i="28"/>
  <c r="AL577" i="28" s="1"/>
  <c r="AF577" i="28"/>
  <c r="AE577" i="28" s="1"/>
  <c r="V377" i="28"/>
  <c r="AL377" i="28" s="1"/>
  <c r="AF377" i="28"/>
  <c r="AE377" i="28" s="1"/>
  <c r="V426" i="28"/>
  <c r="AL426" i="28" s="1"/>
  <c r="AF426" i="28"/>
  <c r="AE426" i="28" s="1"/>
  <c r="V440" i="28"/>
  <c r="AL440" i="28" s="1"/>
  <c r="AF440" i="28"/>
  <c r="AE440" i="28" s="1"/>
  <c r="AS594" i="28"/>
  <c r="AK594" i="28"/>
  <c r="V472" i="28"/>
  <c r="AL472" i="28" s="1"/>
  <c r="AF472" i="28"/>
  <c r="AE472" i="28" s="1"/>
  <c r="V524" i="28"/>
  <c r="AF524" i="28"/>
  <c r="AD524" i="28"/>
  <c r="V580" i="28"/>
  <c r="AL580" i="28" s="1"/>
  <c r="AF580" i="28"/>
  <c r="AE580" i="28" s="1"/>
  <c r="V364" i="28"/>
  <c r="AL364" i="28" s="1"/>
  <c r="AF364" i="28"/>
  <c r="AE364" i="28" s="1"/>
  <c r="V329" i="28"/>
  <c r="AL329" i="28" s="1"/>
  <c r="AF329" i="28"/>
  <c r="AE329" i="28" s="1"/>
  <c r="V324" i="28"/>
  <c r="AL324" i="28" s="1"/>
  <c r="AF324" i="28"/>
  <c r="AE324" i="28" s="1"/>
  <c r="V257" i="28"/>
  <c r="AL257" i="28" s="1"/>
  <c r="AF257" i="28"/>
  <c r="AE257" i="28" s="1"/>
  <c r="AK477" i="28"/>
  <c r="AK565" i="28"/>
  <c r="AC591" i="28"/>
  <c r="AC592" i="28"/>
  <c r="AL592" i="28"/>
  <c r="AK587" i="28"/>
  <c r="AK548" i="28"/>
  <c r="AK383" i="28"/>
  <c r="AK388" i="28"/>
  <c r="AC511" i="28"/>
  <c r="AL511" i="28"/>
  <c r="AK590" i="28"/>
  <c r="AK514" i="28"/>
  <c r="AK471" i="28"/>
  <c r="V19" i="28"/>
  <c r="AL19" i="28" s="1"/>
  <c r="AF19" i="28"/>
  <c r="AE19" i="28" s="1"/>
  <c r="V91" i="28"/>
  <c r="AL91" i="28" s="1"/>
  <c r="AF91" i="28"/>
  <c r="AE91" i="28" s="1"/>
  <c r="V20" i="28"/>
  <c r="AL20" i="28" s="1"/>
  <c r="AF20" i="28"/>
  <c r="AE20" i="28" s="1"/>
  <c r="V92" i="28"/>
  <c r="AL92" i="28" s="1"/>
  <c r="AF92" i="28"/>
  <c r="AE92" i="28" s="1"/>
  <c r="V45" i="28"/>
  <c r="AL45" i="28" s="1"/>
  <c r="AF45" i="28"/>
  <c r="AE45" i="28" s="1"/>
  <c r="V67" i="28"/>
  <c r="AL67" i="28" s="1"/>
  <c r="AF67" i="28"/>
  <c r="AE67" i="28" s="1"/>
  <c r="V166" i="28"/>
  <c r="AL166" i="28" s="1"/>
  <c r="AF166" i="28"/>
  <c r="AE166" i="28" s="1"/>
  <c r="AC587" i="28"/>
  <c r="AC588" i="28"/>
  <c r="T7" i="42"/>
  <c r="V263" i="28"/>
  <c r="AL263" i="28" s="1"/>
  <c r="V260" i="28"/>
  <c r="AL260" i="28" s="1"/>
  <c r="V254" i="28"/>
  <c r="AL254" i="28" s="1"/>
  <c r="V303" i="28"/>
  <c r="AL303" i="28" s="1"/>
  <c r="V255" i="28"/>
  <c r="AL255" i="28" s="1"/>
  <c r="V259" i="28"/>
  <c r="AL259" i="28" s="1"/>
  <c r="V249" i="28"/>
  <c r="AL249" i="28" s="1"/>
  <c r="V295" i="28"/>
  <c r="AL295" i="28" s="1"/>
  <c r="V293" i="28"/>
  <c r="AL293" i="28" s="1"/>
  <c r="V251" i="28"/>
  <c r="AL251" i="28" s="1"/>
  <c r="V294" i="28"/>
  <c r="AL294" i="28" s="1"/>
  <c r="V288" i="28"/>
  <c r="AL288" i="28" s="1"/>
  <c r="V352" i="28"/>
  <c r="AL352" i="28" s="1"/>
  <c r="V354" i="28"/>
  <c r="AL354" i="28" s="1"/>
  <c r="V351" i="28"/>
  <c r="AL351" i="28" s="1"/>
  <c r="V355" i="28"/>
  <c r="AL355" i="28" s="1"/>
  <c r="V325" i="28"/>
  <c r="AL325" i="28" s="1"/>
  <c r="V327" i="28"/>
  <c r="AL327" i="28" s="1"/>
  <c r="V316" i="28"/>
  <c r="AL316" i="28" s="1"/>
  <c r="V328" i="28"/>
  <c r="AL328" i="28" s="1"/>
  <c r="V323" i="28"/>
  <c r="AL323" i="28" s="1"/>
  <c r="V308" i="28"/>
  <c r="AL308" i="28" s="1"/>
  <c r="V314" i="28"/>
  <c r="AL314" i="28" s="1"/>
  <c r="V365" i="28"/>
  <c r="AL365" i="28" s="1"/>
  <c r="V306" i="28"/>
  <c r="AL306" i="28" s="1"/>
  <c r="V312" i="28"/>
  <c r="AL312" i="28" s="1"/>
  <c r="V310" i="28"/>
  <c r="AL310" i="28" s="1"/>
  <c r="V420" i="28"/>
  <c r="AL420" i="28" s="1"/>
  <c r="V283" i="28"/>
  <c r="AL283" i="28" s="1"/>
  <c r="V570" i="28"/>
  <c r="AL570" i="28" s="1"/>
  <c r="V571" i="28"/>
  <c r="AL571" i="28" s="1"/>
  <c r="V538" i="28"/>
  <c r="AL538" i="28" s="1"/>
  <c r="V422" i="28"/>
  <c r="AL422" i="28" s="1"/>
  <c r="V407" i="28"/>
  <c r="AL407" i="28" s="1"/>
  <c r="V372" i="28"/>
  <c r="AL372" i="28" s="1"/>
  <c r="V562" i="28"/>
  <c r="AL562" i="28" s="1"/>
  <c r="V598" i="28"/>
  <c r="AL598" i="28" s="1"/>
  <c r="V444" i="28"/>
  <c r="AL444" i="28" s="1"/>
  <c r="V540" i="28"/>
  <c r="AL540" i="28" s="1"/>
  <c r="V617" i="28"/>
  <c r="AL617" i="28" s="1"/>
  <c r="V596" i="28"/>
  <c r="AL596" i="28" s="1"/>
  <c r="V535" i="28"/>
  <c r="AL535" i="28" s="1"/>
  <c r="V62" i="28"/>
  <c r="AL62" i="28" s="1"/>
  <c r="V381" i="28"/>
  <c r="AL381" i="28" s="1"/>
  <c r="V554" i="28"/>
  <c r="AL554" i="28" s="1"/>
  <c r="V599" i="28"/>
  <c r="AL599" i="28" s="1"/>
  <c r="V619" i="28"/>
  <c r="AL619" i="28" s="1"/>
  <c r="V382" i="28"/>
  <c r="AL382" i="28" s="1"/>
  <c r="V506" i="28"/>
  <c r="AL506" i="28" s="1"/>
  <c r="V556" i="28"/>
  <c r="AL556" i="28" s="1"/>
  <c r="V379" i="28"/>
  <c r="AL379" i="28" s="1"/>
  <c r="V376" i="28"/>
  <c r="AL376" i="28" s="1"/>
  <c r="V557" i="28"/>
  <c r="AL557" i="28" s="1"/>
  <c r="V601" i="28"/>
  <c r="AL601" i="28" s="1"/>
  <c r="V537" i="28"/>
  <c r="AL537" i="28" s="1"/>
  <c r="V403" i="28"/>
  <c r="AL403" i="28" s="1"/>
  <c r="V392" i="28"/>
  <c r="AL392" i="28" s="1"/>
  <c r="V394" i="28"/>
  <c r="AL394" i="28" s="1"/>
  <c r="V378" i="28"/>
  <c r="AL378" i="28" s="1"/>
  <c r="V445" i="28"/>
  <c r="AL445" i="28" s="1"/>
  <c r="V552" i="28"/>
  <c r="AL552" i="28" s="1"/>
  <c r="V597" i="28"/>
  <c r="AL597" i="28" s="1"/>
  <c r="V76" i="28"/>
  <c r="V526" i="28"/>
  <c r="AL526" i="28" s="1"/>
  <c r="V534" i="28"/>
  <c r="AL534" i="28" s="1"/>
  <c r="V539" i="28"/>
  <c r="AL539" i="28" s="1"/>
  <c r="V536" i="28"/>
  <c r="AL536" i="28" s="1"/>
  <c r="V543" i="28"/>
  <c r="AL543" i="28" s="1"/>
  <c r="V546" i="28"/>
  <c r="AL546" i="28" s="1"/>
  <c r="V530" i="28"/>
  <c r="AL530" i="28" s="1"/>
  <c r="V583" i="28"/>
  <c r="AL583" i="28" s="1"/>
  <c r="V448" i="28"/>
  <c r="AL448" i="28" s="1"/>
  <c r="V582" i="28"/>
  <c r="AL582" i="28" s="1"/>
  <c r="V237" i="28"/>
  <c r="AL237" i="28" s="1"/>
  <c r="V424" i="28"/>
  <c r="AL424" i="28" s="1"/>
  <c r="V428" i="28"/>
  <c r="AL428" i="28" s="1"/>
  <c r="V414" i="28"/>
  <c r="AL414" i="28" s="1"/>
  <c r="V438" i="28"/>
  <c r="AL438" i="28" s="1"/>
  <c r="V442" i="28"/>
  <c r="AL442" i="28" s="1"/>
  <c r="V423" i="28"/>
  <c r="AL423" i="28" s="1"/>
  <c r="V427" i="28"/>
  <c r="AL427" i="28" s="1"/>
  <c r="V413" i="28"/>
  <c r="AL413" i="28" s="1"/>
  <c r="V437" i="28"/>
  <c r="AL437" i="28" s="1"/>
  <c r="V441" i="28"/>
  <c r="AL441" i="28" s="1"/>
  <c r="V366" i="28"/>
  <c r="AL366" i="28" s="1"/>
  <c r="V301" i="28"/>
  <c r="AL301" i="28" s="1"/>
  <c r="V462" i="28"/>
  <c r="AL462" i="28" s="1"/>
  <c r="V291" i="28"/>
  <c r="AL291" i="28" s="1"/>
  <c r="V405" i="28"/>
  <c r="AL405" i="28" s="1"/>
  <c r="V233" i="28"/>
  <c r="AL233" i="28" s="1"/>
  <c r="V449" i="28"/>
  <c r="AL449" i="28" s="1"/>
  <c r="V455" i="28"/>
  <c r="AL455" i="28" s="1"/>
  <c r="V450" i="28"/>
  <c r="AL450" i="28" s="1"/>
  <c r="V453" i="28"/>
  <c r="AL453" i="28" s="1"/>
  <c r="V243" i="28"/>
  <c r="AL243" i="28" s="1"/>
  <c r="V245" i="28"/>
  <c r="AL245" i="28" s="1"/>
  <c r="V236" i="28"/>
  <c r="AL236" i="28" s="1"/>
  <c r="V242" i="28"/>
  <c r="AL242" i="28" s="1"/>
  <c r="V331" i="28"/>
  <c r="AL331" i="28" s="1"/>
  <c r="V605" i="28"/>
  <c r="AL605" i="28" s="1"/>
  <c r="V451" i="28"/>
  <c r="AL451" i="28" s="1"/>
  <c r="V457" i="28"/>
  <c r="AL457" i="28" s="1"/>
  <c r="V447" i="28"/>
  <c r="AL447" i="28" s="1"/>
  <c r="V459" i="28"/>
  <c r="AL459" i="28" s="1"/>
  <c r="V603" i="28"/>
  <c r="AL603" i="28" s="1"/>
  <c r="V464" i="28"/>
  <c r="AL464" i="28" s="1"/>
  <c r="V454" i="28"/>
  <c r="AL454" i="28" s="1"/>
  <c r="V456" i="28"/>
  <c r="AL456" i="28" s="1"/>
  <c r="V458" i="28"/>
  <c r="AL458" i="28" s="1"/>
  <c r="V460" i="28"/>
  <c r="AL460" i="28" s="1"/>
  <c r="V317" i="28"/>
  <c r="AL317" i="28" s="1"/>
  <c r="V604" i="28"/>
  <c r="AL604" i="28" s="1"/>
  <c r="V305" i="28"/>
  <c r="AL305" i="28" s="1"/>
  <c r="N258" i="42" l="1"/>
  <c r="N254" i="42"/>
  <c r="N257" i="42"/>
  <c r="N260" i="42"/>
  <c r="L260" i="42" s="1"/>
  <c r="N256" i="42"/>
  <c r="N259" i="42"/>
  <c r="N255" i="42"/>
  <c r="N515" i="42"/>
  <c r="N510" i="42"/>
  <c r="N514" i="42"/>
  <c r="N512" i="42"/>
  <c r="N516" i="42"/>
  <c r="L516" i="42" s="1"/>
  <c r="N513" i="42"/>
  <c r="N511" i="42"/>
  <c r="N201" i="42"/>
  <c r="N204" i="42"/>
  <c r="L204" i="42" s="1"/>
  <c r="N200" i="42"/>
  <c r="N203" i="42"/>
  <c r="N199" i="42"/>
  <c r="N202" i="42"/>
  <c r="N198" i="42"/>
  <c r="N458" i="42"/>
  <c r="N454" i="42"/>
  <c r="N457" i="42"/>
  <c r="N460" i="42"/>
  <c r="L460" i="42" s="1"/>
  <c r="N456" i="42"/>
  <c r="N459" i="42"/>
  <c r="N455" i="42"/>
  <c r="N304" i="42"/>
  <c r="N308" i="42"/>
  <c r="L308" i="42" s="1"/>
  <c r="N303" i="42"/>
  <c r="N307" i="42"/>
  <c r="N302" i="42"/>
  <c r="N306" i="42"/>
  <c r="N305" i="42"/>
  <c r="N42" i="42"/>
  <c r="N39" i="42"/>
  <c r="N43" i="42"/>
  <c r="N38" i="42"/>
  <c r="N41" i="42"/>
  <c r="N44" i="42"/>
  <c r="L44" i="42" s="1"/>
  <c r="N40" i="42"/>
  <c r="N281" i="42"/>
  <c r="N284" i="42"/>
  <c r="L284" i="42" s="1"/>
  <c r="N280" i="42"/>
  <c r="N283" i="42"/>
  <c r="N279" i="42"/>
  <c r="N282" i="42"/>
  <c r="N278" i="42"/>
  <c r="N81" i="42"/>
  <c r="N79" i="42"/>
  <c r="N83" i="42"/>
  <c r="N78" i="42"/>
  <c r="N82" i="42"/>
  <c r="N80" i="42"/>
  <c r="N84" i="42"/>
  <c r="L84" i="42" s="1"/>
  <c r="N290" i="42"/>
  <c r="N286" i="42"/>
  <c r="N289" i="42"/>
  <c r="N292" i="42"/>
  <c r="L292" i="42" s="1"/>
  <c r="N288" i="42"/>
  <c r="N291" i="42"/>
  <c r="N287" i="42"/>
  <c r="N27" i="42"/>
  <c r="N23" i="42"/>
  <c r="N26" i="42"/>
  <c r="N22" i="42"/>
  <c r="N25" i="42"/>
  <c r="N28" i="42"/>
  <c r="L28" i="42" s="1"/>
  <c r="N24" i="42"/>
  <c r="N235" i="42"/>
  <c r="N231" i="42"/>
  <c r="N234" i="42"/>
  <c r="N230" i="42"/>
  <c r="N233" i="42"/>
  <c r="N236" i="42"/>
  <c r="L236" i="42" s="1"/>
  <c r="N232" i="42"/>
  <c r="N489" i="42"/>
  <c r="N492" i="42"/>
  <c r="L492" i="42" s="1"/>
  <c r="N488" i="42"/>
  <c r="N491" i="42"/>
  <c r="N487" i="42"/>
  <c r="N490" i="42"/>
  <c r="N486" i="42"/>
  <c r="N340" i="42"/>
  <c r="L340" i="42" s="1"/>
  <c r="N336" i="42"/>
  <c r="N339" i="42"/>
  <c r="N335" i="42"/>
  <c r="N338" i="42"/>
  <c r="N334" i="42"/>
  <c r="N337" i="42"/>
  <c r="N50" i="42"/>
  <c r="N49" i="42"/>
  <c r="N52" i="42"/>
  <c r="L52" i="42" s="1"/>
  <c r="N51" i="42"/>
  <c r="N48" i="42"/>
  <c r="N46" i="42"/>
  <c r="N47" i="42"/>
  <c r="N313" i="42"/>
  <c r="N316" i="42"/>
  <c r="L316" i="42" s="1"/>
  <c r="N312" i="42"/>
  <c r="N315" i="42"/>
  <c r="N311" i="42"/>
  <c r="N314" i="42"/>
  <c r="N310" i="42"/>
  <c r="N58" i="42"/>
  <c r="N57" i="42"/>
  <c r="N59" i="42"/>
  <c r="N54" i="42"/>
  <c r="N56" i="42"/>
  <c r="N60" i="42"/>
  <c r="L60" i="42" s="1"/>
  <c r="N55" i="42"/>
  <c r="N322" i="42"/>
  <c r="N318" i="42"/>
  <c r="N321" i="42"/>
  <c r="N324" i="42"/>
  <c r="L324" i="42" s="1"/>
  <c r="N320" i="42"/>
  <c r="N323" i="42"/>
  <c r="N319" i="42"/>
  <c r="N17" i="42"/>
  <c r="L17" i="42" s="1"/>
  <c r="N15" i="42"/>
  <c r="N19" i="42"/>
  <c r="N14" i="42"/>
  <c r="N20" i="42"/>
  <c r="L20" i="42" s="1"/>
  <c r="N16" i="42"/>
  <c r="L16" i="42" s="1"/>
  <c r="N18" i="42"/>
  <c r="N267" i="42"/>
  <c r="N263" i="42"/>
  <c r="N266" i="42"/>
  <c r="N262" i="42"/>
  <c r="N265" i="42"/>
  <c r="N268" i="42"/>
  <c r="L268" i="42" s="1"/>
  <c r="N264" i="42"/>
  <c r="N114" i="42"/>
  <c r="N111" i="42"/>
  <c r="N113" i="42"/>
  <c r="N115" i="42"/>
  <c r="N116" i="42"/>
  <c r="L116" i="42" s="1"/>
  <c r="N112" i="42"/>
  <c r="N110" i="42"/>
  <c r="N369" i="42"/>
  <c r="N372" i="42"/>
  <c r="L372" i="42" s="1"/>
  <c r="N368" i="42"/>
  <c r="N371" i="42"/>
  <c r="N367" i="42"/>
  <c r="N370" i="42"/>
  <c r="N366" i="42"/>
  <c r="N91" i="42"/>
  <c r="N87" i="42"/>
  <c r="N90" i="42"/>
  <c r="N86" i="42"/>
  <c r="N89" i="42"/>
  <c r="N88" i="42"/>
  <c r="N92" i="42"/>
  <c r="L92" i="42" s="1"/>
  <c r="N345" i="42"/>
  <c r="N348" i="42"/>
  <c r="L348" i="42" s="1"/>
  <c r="N344" i="42"/>
  <c r="N347" i="42"/>
  <c r="N343" i="42"/>
  <c r="N346" i="42"/>
  <c r="N342" i="42"/>
  <c r="N100" i="42"/>
  <c r="L100" i="42" s="1"/>
  <c r="N96" i="42"/>
  <c r="N99" i="42"/>
  <c r="N95" i="42"/>
  <c r="N98" i="42"/>
  <c r="N94" i="42"/>
  <c r="N97" i="42"/>
  <c r="N352" i="42"/>
  <c r="N355" i="42"/>
  <c r="N353" i="42"/>
  <c r="N356" i="42"/>
  <c r="L356" i="42" s="1"/>
  <c r="N351" i="42"/>
  <c r="N350" i="42"/>
  <c r="N354" i="42"/>
  <c r="N34" i="42"/>
  <c r="N33" i="42"/>
  <c r="N36" i="42"/>
  <c r="L36" i="42" s="1"/>
  <c r="N32" i="42"/>
  <c r="N30" i="42"/>
  <c r="N35" i="42"/>
  <c r="N31" i="42"/>
  <c r="N298" i="42"/>
  <c r="N294" i="42"/>
  <c r="N297" i="42"/>
  <c r="N300" i="42"/>
  <c r="L300" i="42" s="1"/>
  <c r="N296" i="42"/>
  <c r="N299" i="42"/>
  <c r="N295" i="42"/>
  <c r="N148" i="42"/>
  <c r="L148" i="42" s="1"/>
  <c r="N145" i="42"/>
  <c r="N143" i="42"/>
  <c r="N147" i="42"/>
  <c r="N144" i="42"/>
  <c r="N142" i="42"/>
  <c r="N146" i="42"/>
  <c r="N404" i="42"/>
  <c r="L404" i="42" s="1"/>
  <c r="N400" i="42"/>
  <c r="N403" i="42"/>
  <c r="N399" i="42"/>
  <c r="N402" i="42"/>
  <c r="N398" i="42"/>
  <c r="N401" i="42"/>
  <c r="N122" i="42"/>
  <c r="N118" i="42"/>
  <c r="N121" i="42"/>
  <c r="N124" i="42"/>
  <c r="L124" i="42" s="1"/>
  <c r="N120" i="42"/>
  <c r="N123" i="42"/>
  <c r="N119" i="42"/>
  <c r="N378" i="42"/>
  <c r="N374" i="42"/>
  <c r="N377" i="42"/>
  <c r="N380" i="42"/>
  <c r="L380" i="42" s="1"/>
  <c r="N376" i="42"/>
  <c r="N379" i="42"/>
  <c r="N375" i="42"/>
  <c r="N131" i="42"/>
  <c r="N127" i="42"/>
  <c r="N130" i="42"/>
  <c r="N126" i="42"/>
  <c r="N129" i="42"/>
  <c r="N132" i="42"/>
  <c r="L132" i="42" s="1"/>
  <c r="N128" i="42"/>
  <c r="N386" i="42"/>
  <c r="N382" i="42"/>
  <c r="N385" i="42"/>
  <c r="N388" i="42"/>
  <c r="L388" i="42" s="1"/>
  <c r="N384" i="42"/>
  <c r="N387" i="42"/>
  <c r="N383" i="42"/>
  <c r="N64" i="42"/>
  <c r="N66" i="42"/>
  <c r="N63" i="42"/>
  <c r="N67" i="42"/>
  <c r="N65" i="42"/>
  <c r="N68" i="42"/>
  <c r="L68" i="42" s="1"/>
  <c r="N62" i="42"/>
  <c r="N331" i="42"/>
  <c r="N327" i="42"/>
  <c r="N330" i="42"/>
  <c r="N326" i="42"/>
  <c r="N329" i="42"/>
  <c r="N332" i="42"/>
  <c r="L332" i="42" s="1"/>
  <c r="N328" i="42"/>
  <c r="N178" i="42"/>
  <c r="N174" i="42"/>
  <c r="N177" i="42"/>
  <c r="N180" i="42"/>
  <c r="L180" i="42" s="1"/>
  <c r="N176" i="42"/>
  <c r="N179" i="42"/>
  <c r="N175" i="42"/>
  <c r="N436" i="42"/>
  <c r="L436" i="42" s="1"/>
  <c r="N432" i="42"/>
  <c r="N435" i="42"/>
  <c r="N431" i="42"/>
  <c r="N434" i="42"/>
  <c r="N430" i="42"/>
  <c r="N433" i="42"/>
  <c r="N156" i="42"/>
  <c r="L156" i="42" s="1"/>
  <c r="N152" i="42"/>
  <c r="N155" i="42"/>
  <c r="N151" i="42"/>
  <c r="N154" i="42"/>
  <c r="N150" i="42"/>
  <c r="N153" i="42"/>
  <c r="N409" i="42"/>
  <c r="N412" i="42"/>
  <c r="L412" i="42" s="1"/>
  <c r="N408" i="42"/>
  <c r="N411" i="42"/>
  <c r="N407" i="42"/>
  <c r="N410" i="42"/>
  <c r="N406" i="42"/>
  <c r="N161" i="42"/>
  <c r="N164" i="42"/>
  <c r="L164" i="42" s="1"/>
  <c r="N160" i="42"/>
  <c r="N163" i="42"/>
  <c r="N159" i="42"/>
  <c r="N162" i="42"/>
  <c r="N158" i="42"/>
  <c r="N418" i="42"/>
  <c r="N414" i="42"/>
  <c r="N417" i="42"/>
  <c r="N420" i="42"/>
  <c r="L420" i="42" s="1"/>
  <c r="N416" i="42"/>
  <c r="N419" i="42"/>
  <c r="N415" i="42"/>
  <c r="N105" i="42"/>
  <c r="N108" i="42"/>
  <c r="L108" i="42" s="1"/>
  <c r="N104" i="42"/>
  <c r="N107" i="42"/>
  <c r="N103" i="42"/>
  <c r="N106" i="42"/>
  <c r="N102" i="42"/>
  <c r="N364" i="42"/>
  <c r="L364" i="42" s="1"/>
  <c r="N360" i="42"/>
  <c r="N363" i="42"/>
  <c r="N359" i="42"/>
  <c r="N362" i="42"/>
  <c r="N358" i="42"/>
  <c r="N361" i="42"/>
  <c r="N209" i="42"/>
  <c r="N212" i="42"/>
  <c r="L212" i="42" s="1"/>
  <c r="N208" i="42"/>
  <c r="N211" i="42"/>
  <c r="N207" i="42"/>
  <c r="N210" i="42"/>
  <c r="N206" i="42"/>
  <c r="N467" i="42"/>
  <c r="N463" i="42"/>
  <c r="N466" i="42"/>
  <c r="N462" i="42"/>
  <c r="N465" i="42"/>
  <c r="N468" i="42"/>
  <c r="L468" i="42" s="1"/>
  <c r="N464" i="42"/>
  <c r="N187" i="42"/>
  <c r="N183" i="42"/>
  <c r="N186" i="42"/>
  <c r="N182" i="42"/>
  <c r="N185" i="42"/>
  <c r="N188" i="42"/>
  <c r="L188" i="42" s="1"/>
  <c r="N184" i="42"/>
  <c r="N441" i="42"/>
  <c r="N444" i="42"/>
  <c r="L444" i="42" s="1"/>
  <c r="N440" i="42"/>
  <c r="N443" i="42"/>
  <c r="N439" i="42"/>
  <c r="N442" i="42"/>
  <c r="N438" i="42"/>
  <c r="N196" i="42"/>
  <c r="L196" i="42" s="1"/>
  <c r="N192" i="42"/>
  <c r="N195" i="42"/>
  <c r="N191" i="42"/>
  <c r="N194" i="42"/>
  <c r="N190" i="42"/>
  <c r="N193" i="42"/>
  <c r="N450" i="42"/>
  <c r="N446" i="42"/>
  <c r="N449" i="42"/>
  <c r="N452" i="42"/>
  <c r="L452" i="42" s="1"/>
  <c r="N448" i="42"/>
  <c r="N451" i="42"/>
  <c r="N447" i="42"/>
  <c r="N140" i="42"/>
  <c r="L140" i="42" s="1"/>
  <c r="N136" i="42"/>
  <c r="N139" i="42"/>
  <c r="N135" i="42"/>
  <c r="N138" i="42"/>
  <c r="N134" i="42"/>
  <c r="N137" i="42"/>
  <c r="N395" i="42"/>
  <c r="N391" i="42"/>
  <c r="N394" i="42"/>
  <c r="N390" i="42"/>
  <c r="N393" i="42"/>
  <c r="N396" i="42"/>
  <c r="L396" i="42" s="1"/>
  <c r="N392" i="42"/>
  <c r="N244" i="42"/>
  <c r="L244" i="42" s="1"/>
  <c r="N240" i="42"/>
  <c r="N243" i="42"/>
  <c r="N239" i="42"/>
  <c r="N242" i="42"/>
  <c r="N238" i="42"/>
  <c r="N241" i="42"/>
  <c r="N498" i="42"/>
  <c r="N494" i="42"/>
  <c r="N497" i="42"/>
  <c r="N500" i="42"/>
  <c r="L500" i="42" s="1"/>
  <c r="N496" i="42"/>
  <c r="N499" i="42"/>
  <c r="N495" i="42"/>
  <c r="N217" i="42"/>
  <c r="N219" i="42"/>
  <c r="N216" i="42"/>
  <c r="N218" i="42"/>
  <c r="N214" i="42"/>
  <c r="N215" i="42"/>
  <c r="N220" i="42"/>
  <c r="L220" i="42" s="1"/>
  <c r="N476" i="42"/>
  <c r="L476" i="42" s="1"/>
  <c r="N472" i="42"/>
  <c r="N475" i="42"/>
  <c r="N471" i="42"/>
  <c r="N474" i="42"/>
  <c r="N470" i="42"/>
  <c r="N473" i="42"/>
  <c r="N226" i="42"/>
  <c r="N222" i="42"/>
  <c r="N225" i="42"/>
  <c r="N228" i="42"/>
  <c r="L228" i="42" s="1"/>
  <c r="N224" i="42"/>
  <c r="N227" i="42"/>
  <c r="N223" i="42"/>
  <c r="N481" i="42"/>
  <c r="N484" i="42"/>
  <c r="L484" i="42" s="1"/>
  <c r="N480" i="42"/>
  <c r="N483" i="42"/>
  <c r="N479" i="42"/>
  <c r="N482" i="42"/>
  <c r="N478" i="42"/>
  <c r="N169" i="42"/>
  <c r="N172" i="42"/>
  <c r="L172" i="42" s="1"/>
  <c r="N168" i="42"/>
  <c r="N171" i="42"/>
  <c r="N167" i="42"/>
  <c r="N170" i="42"/>
  <c r="N166" i="42"/>
  <c r="N427" i="42"/>
  <c r="N423" i="42"/>
  <c r="N426" i="42"/>
  <c r="N422" i="42"/>
  <c r="N425" i="42"/>
  <c r="N428" i="42"/>
  <c r="L428" i="42" s="1"/>
  <c r="N424" i="42"/>
  <c r="N276" i="42"/>
  <c r="L276" i="42" s="1"/>
  <c r="N272" i="42"/>
  <c r="N275" i="42"/>
  <c r="N271" i="42"/>
  <c r="N274" i="42"/>
  <c r="N270" i="42"/>
  <c r="N273" i="42"/>
  <c r="N74" i="42"/>
  <c r="N70" i="42"/>
  <c r="N73" i="42"/>
  <c r="N72" i="42"/>
  <c r="N76" i="42"/>
  <c r="L76" i="42" s="1"/>
  <c r="N71" i="42"/>
  <c r="N75" i="42"/>
  <c r="N249" i="42"/>
  <c r="N252" i="42"/>
  <c r="L252" i="42" s="1"/>
  <c r="N248" i="42"/>
  <c r="N251" i="42"/>
  <c r="N247" i="42"/>
  <c r="N250" i="42"/>
  <c r="N246" i="42"/>
  <c r="N504" i="42"/>
  <c r="N508" i="42"/>
  <c r="L508" i="42" s="1"/>
  <c r="N505" i="42"/>
  <c r="N507" i="42"/>
  <c r="N503" i="42"/>
  <c r="N502" i="42"/>
  <c r="N506" i="42"/>
  <c r="N12" i="42"/>
  <c r="N8" i="42"/>
  <c r="N11" i="42"/>
  <c r="N10" i="42"/>
  <c r="N9" i="42"/>
  <c r="N7" i="42"/>
  <c r="N6" i="42"/>
  <c r="AE524" i="28"/>
  <c r="Z67" i="28"/>
  <c r="Z363" i="28"/>
  <c r="AK317" i="28"/>
  <c r="AK243" i="28"/>
  <c r="AK301" i="28"/>
  <c r="AK414" i="28"/>
  <c r="AK536" i="28"/>
  <c r="AK506" i="28"/>
  <c r="AK540" i="28"/>
  <c r="AK316" i="28"/>
  <c r="AK375" i="28"/>
  <c r="AK460" i="28"/>
  <c r="AK453" i="28"/>
  <c r="AK428" i="28"/>
  <c r="AK583" i="28"/>
  <c r="AK597" i="28"/>
  <c r="AK403" i="28"/>
  <c r="AK557" i="28"/>
  <c r="AK382" i="28"/>
  <c r="AK444" i="28"/>
  <c r="AK372" i="28"/>
  <c r="AK420" i="28"/>
  <c r="AS420" i="28"/>
  <c r="AK365" i="28"/>
  <c r="AK327" i="28"/>
  <c r="AK295" i="28"/>
  <c r="AK439" i="28"/>
  <c r="AK229" i="28"/>
  <c r="AK262" i="28"/>
  <c r="AK253" i="28"/>
  <c r="AK430" i="28"/>
  <c r="AK307" i="28"/>
  <c r="AK607" i="28"/>
  <c r="AK250" i="28"/>
  <c r="AK529" i="28"/>
  <c r="AK435" i="28"/>
  <c r="AK395" i="28"/>
  <c r="AK231" i="28"/>
  <c r="AK357" i="28"/>
  <c r="AK544" i="28"/>
  <c r="AK459" i="28"/>
  <c r="AK455" i="28"/>
  <c r="AK601" i="28"/>
  <c r="AK354" i="28"/>
  <c r="AK235" i="28"/>
  <c r="AK595" i="28"/>
  <c r="AK447" i="28"/>
  <c r="AK331" i="28"/>
  <c r="AK449" i="28"/>
  <c r="AK424" i="28"/>
  <c r="AK582" i="28"/>
  <c r="AK552" i="28"/>
  <c r="AK407" i="28"/>
  <c r="AK314" i="28"/>
  <c r="AK325" i="28"/>
  <c r="AK352" i="28"/>
  <c r="AK249" i="28"/>
  <c r="AK511" i="28"/>
  <c r="AK592" i="28"/>
  <c r="AK257" i="28"/>
  <c r="AK580" i="28"/>
  <c r="AK304" i="28"/>
  <c r="AK542" i="28"/>
  <c r="AK446" i="28"/>
  <c r="AK406" i="28"/>
  <c r="AK463" i="28"/>
  <c r="AK311" i="28"/>
  <c r="AK342" i="28"/>
  <c r="AK416" i="28"/>
  <c r="AK306" i="28"/>
  <c r="AS306" i="28"/>
  <c r="AK293" i="28"/>
  <c r="AK572" i="28"/>
  <c r="AK361" i="28"/>
  <c r="AK605" i="28"/>
  <c r="AK458" i="28"/>
  <c r="AK456" i="28"/>
  <c r="AK242" i="28"/>
  <c r="AK366" i="28"/>
  <c r="AS366" i="28"/>
  <c r="AK445" i="28"/>
  <c r="AK376" i="28"/>
  <c r="AK599" i="28"/>
  <c r="AK598" i="28"/>
  <c r="AK422" i="28"/>
  <c r="AK308" i="28"/>
  <c r="AK288" i="28"/>
  <c r="AK259" i="28"/>
  <c r="AK440" i="28"/>
  <c r="AK577" i="28"/>
  <c r="AK425" i="28"/>
  <c r="AK298" i="28"/>
  <c r="AK507" i="28"/>
  <c r="AK256" i="28"/>
  <c r="AK359" i="28"/>
  <c r="AK510" i="28"/>
  <c r="AK300" i="28"/>
  <c r="AK232" i="28"/>
  <c r="AK292" i="28"/>
  <c r="AK429" i="28"/>
  <c r="AK464" i="28"/>
  <c r="AK451" i="28"/>
  <c r="AK423" i="28"/>
  <c r="AK392" i="28"/>
  <c r="AK283" i="28"/>
  <c r="AK263" i="28"/>
  <c r="AK364" i="28"/>
  <c r="AK558" i="28"/>
  <c r="AK239" i="28"/>
  <c r="AK454" i="28"/>
  <c r="AK236" i="28"/>
  <c r="AK233" i="28"/>
  <c r="AK462" i="28"/>
  <c r="AK441" i="28"/>
  <c r="AK237" i="28"/>
  <c r="AK379" i="28"/>
  <c r="AK554" i="28"/>
  <c r="AK535" i="28"/>
  <c r="AK562" i="28"/>
  <c r="AK255" i="28"/>
  <c r="AK324" i="28"/>
  <c r="AK353" i="28"/>
  <c r="AK532" i="28"/>
  <c r="AK228" i="28"/>
  <c r="AK417" i="28"/>
  <c r="AK585" i="28"/>
  <c r="AK618" i="28"/>
  <c r="AK528" i="28"/>
  <c r="AK356" i="28"/>
  <c r="AK393" i="28"/>
  <c r="AK578" i="28"/>
  <c r="AK396" i="28"/>
  <c r="AK241" i="28"/>
  <c r="AK258" i="28"/>
  <c r="AK606" i="28"/>
  <c r="AK358" i="28"/>
  <c r="AK555" i="28"/>
  <c r="AK509" i="28"/>
  <c r="AK547" i="28"/>
  <c r="AK363" i="28"/>
  <c r="AS363" i="28"/>
  <c r="AK553" i="28"/>
  <c r="AK450" i="28"/>
  <c r="AK530" i="28"/>
  <c r="AK619" i="28"/>
  <c r="AK596" i="28"/>
  <c r="AK538" i="28"/>
  <c r="AK323" i="28"/>
  <c r="AL524" i="28"/>
  <c r="AJ524" i="28"/>
  <c r="AK238" i="28"/>
  <c r="AK305" i="28"/>
  <c r="AK603" i="28"/>
  <c r="AK413" i="28"/>
  <c r="AK442" i="28"/>
  <c r="AK546" i="28"/>
  <c r="AK534" i="28"/>
  <c r="AK378" i="28"/>
  <c r="AK556" i="28"/>
  <c r="AK381" i="28"/>
  <c r="AK571" i="28"/>
  <c r="AK310" i="28"/>
  <c r="AK355" i="28"/>
  <c r="AK294" i="28"/>
  <c r="AK254" i="28"/>
  <c r="AK329" i="28"/>
  <c r="AK421" i="28"/>
  <c r="AK600" i="28"/>
  <c r="AK531" i="28"/>
  <c r="AK508" i="28"/>
  <c r="AK584" i="28"/>
  <c r="AK230" i="28"/>
  <c r="AK581" i="28"/>
  <c r="AK405" i="28"/>
  <c r="AK437" i="28"/>
  <c r="AK539" i="28"/>
  <c r="AK303" i="28"/>
  <c r="AK426" i="28"/>
  <c r="AK505" i="28"/>
  <c r="AK296" i="28"/>
  <c r="AK604" i="28"/>
  <c r="AK457" i="28"/>
  <c r="AK245" i="28"/>
  <c r="AK291" i="28"/>
  <c r="AK427" i="28"/>
  <c r="AK438" i="28"/>
  <c r="AK448" i="28"/>
  <c r="AK543" i="28"/>
  <c r="AK526" i="28"/>
  <c r="AK394" i="28"/>
  <c r="AK537" i="28"/>
  <c r="AK617" i="28"/>
  <c r="AS570" i="28"/>
  <c r="AK570" i="28"/>
  <c r="AK312" i="28"/>
  <c r="AK328" i="28"/>
  <c r="AK351" i="28"/>
  <c r="AK251" i="28"/>
  <c r="AK260" i="28"/>
  <c r="AK472" i="28"/>
  <c r="AK377" i="28"/>
  <c r="AK313" i="28"/>
  <c r="AK390" i="28"/>
  <c r="AK620" i="28"/>
  <c r="AK436" i="28"/>
  <c r="AK404" i="28"/>
  <c r="AK461" i="28"/>
  <c r="AK289" i="28"/>
  <c r="AK302" i="28"/>
  <c r="AK309" i="28"/>
  <c r="AK443" i="28"/>
  <c r="AK380" i="28"/>
  <c r="AK452" i="28"/>
  <c r="AK252" i="28"/>
  <c r="AK247" i="28"/>
  <c r="AK246" i="28"/>
  <c r="AK92" i="28"/>
  <c r="AK20" i="28"/>
  <c r="AK62" i="28"/>
  <c r="AK67" i="28"/>
  <c r="AS67" i="28"/>
  <c r="AK91" i="28"/>
  <c r="Z76" i="28"/>
  <c r="AL76" i="28"/>
  <c r="AK45" i="28"/>
  <c r="AK19" i="28"/>
  <c r="AK166" i="28"/>
  <c r="Z306" i="28"/>
  <c r="AC312" i="28"/>
  <c r="Z420" i="28"/>
  <c r="Z570" i="28"/>
  <c r="Z366" i="28"/>
  <c r="AK524" i="28" l="1"/>
  <c r="AK76" i="28"/>
  <c r="AS76" i="28"/>
  <c r="BM227" i="28"/>
  <c r="O227" i="28"/>
  <c r="BM226" i="28"/>
  <c r="O226" i="28"/>
  <c r="BM225" i="28"/>
  <c r="O225" i="28"/>
  <c r="O344" i="28"/>
  <c r="AF344" i="28" s="1"/>
  <c r="AE344" i="28" s="1"/>
  <c r="O343" i="28"/>
  <c r="AF343" i="28" s="1"/>
  <c r="AE343" i="28" s="1"/>
  <c r="O318" i="28"/>
  <c r="O334" i="28"/>
  <c r="AF334" i="28" s="1"/>
  <c r="AE334" i="28" s="1"/>
  <c r="O261" i="28"/>
  <c r="AF261" i="28" s="1"/>
  <c r="AE261" i="28" s="1"/>
  <c r="O281" i="28"/>
  <c r="O279" i="28"/>
  <c r="AF279" i="28" s="1"/>
  <c r="AE279" i="28" s="1"/>
  <c r="O278" i="28"/>
  <c r="AF278" i="28" s="1"/>
  <c r="AE278" i="28" s="1"/>
  <c r="BM277" i="28"/>
  <c r="W277" i="28"/>
  <c r="AO277" i="28" s="1"/>
  <c r="O277" i="28"/>
  <c r="AF277" i="28" s="1"/>
  <c r="AE277" i="28" s="1"/>
  <c r="BM276" i="28"/>
  <c r="W276" i="28"/>
  <c r="AO276" i="28" s="1"/>
  <c r="O276" i="28"/>
  <c r="AF276" i="28" s="1"/>
  <c r="AE276" i="28" s="1"/>
  <c r="BM275" i="28"/>
  <c r="O275" i="28"/>
  <c r="AF275" i="28" s="1"/>
  <c r="AE275" i="28" s="1"/>
  <c r="O274" i="28"/>
  <c r="O273" i="28"/>
  <c r="O272" i="28"/>
  <c r="AF272" i="28" s="1"/>
  <c r="AE272" i="28" s="1"/>
  <c r="O224" i="28"/>
  <c r="AF224" i="28" s="1"/>
  <c r="AE224" i="28" s="1"/>
  <c r="O223" i="28"/>
  <c r="AF223" i="28" s="1"/>
  <c r="AE223" i="28" s="1"/>
  <c r="O222" i="28"/>
  <c r="BM221" i="28"/>
  <c r="O221" i="28"/>
  <c r="AF221" i="28" s="1"/>
  <c r="AE221" i="28" s="1"/>
  <c r="BM220" i="28"/>
  <c r="O220" i="28"/>
  <c r="AF220" i="28" s="1"/>
  <c r="AE220" i="28" s="1"/>
  <c r="BM219" i="28"/>
  <c r="O219" i="28"/>
  <c r="O218" i="28"/>
  <c r="O217" i="28"/>
  <c r="AF217" i="28" s="1"/>
  <c r="AE217" i="28" s="1"/>
  <c r="O216" i="28"/>
  <c r="AF216" i="28" s="1"/>
  <c r="AE216" i="28" s="1"/>
  <c r="O332" i="28"/>
  <c r="O269" i="28"/>
  <c r="O268" i="28"/>
  <c r="AF268" i="28" s="1"/>
  <c r="AE268" i="28" s="1"/>
  <c r="O267" i="28"/>
  <c r="O266" i="28"/>
  <c r="AF266" i="28" s="1"/>
  <c r="AE266" i="28" s="1"/>
  <c r="O215" i="28"/>
  <c r="AF215" i="28" s="1"/>
  <c r="AE215" i="28" s="1"/>
  <c r="O212" i="28"/>
  <c r="AF212" i="28" s="1"/>
  <c r="AE212" i="28" s="1"/>
  <c r="BM211" i="28"/>
  <c r="O211" i="28"/>
  <c r="BM210" i="28"/>
  <c r="O210" i="28"/>
  <c r="BM209" i="28"/>
  <c r="O209" i="28"/>
  <c r="AF209" i="28" s="1"/>
  <c r="AE209" i="28" s="1"/>
  <c r="O208" i="28"/>
  <c r="AF208" i="28" s="1"/>
  <c r="AE208" i="28" s="1"/>
  <c r="O207" i="28"/>
  <c r="O206" i="28"/>
  <c r="AF206" i="28" s="1"/>
  <c r="AE206" i="28" s="1"/>
  <c r="V222" i="28" l="1"/>
  <c r="AL222" i="28" s="1"/>
  <c r="AF222" i="28"/>
  <c r="AE222" i="28" s="1"/>
  <c r="V281" i="28"/>
  <c r="AL281" i="28" s="1"/>
  <c r="AF281" i="28"/>
  <c r="AE281" i="28" s="1"/>
  <c r="V226" i="28"/>
  <c r="AL226" i="28" s="1"/>
  <c r="AF226" i="28"/>
  <c r="AE226" i="28" s="1"/>
  <c r="V207" i="28"/>
  <c r="AL207" i="28" s="1"/>
  <c r="AF207" i="28"/>
  <c r="AE207" i="28" s="1"/>
  <c r="V218" i="28"/>
  <c r="AL218" i="28" s="1"/>
  <c r="AF218" i="28"/>
  <c r="AE218" i="28" s="1"/>
  <c r="AN276" i="28"/>
  <c r="V219" i="28"/>
  <c r="AL219" i="28" s="1"/>
  <c r="AF219" i="28"/>
  <c r="AE219" i="28" s="1"/>
  <c r="V227" i="28"/>
  <c r="AL227" i="28" s="1"/>
  <c r="AF227" i="28"/>
  <c r="AE227" i="28" s="1"/>
  <c r="V318" i="28"/>
  <c r="AL318" i="28" s="1"/>
  <c r="AF318" i="28"/>
  <c r="AE318" i="28" s="1"/>
  <c r="V210" i="28"/>
  <c r="AL210" i="28" s="1"/>
  <c r="AF210" i="28"/>
  <c r="AE210" i="28" s="1"/>
  <c r="V273" i="28"/>
  <c r="AL273" i="28" s="1"/>
  <c r="AF273" i="28"/>
  <c r="AE273" i="28" s="1"/>
  <c r="AN277" i="28"/>
  <c r="V269" i="28"/>
  <c r="AL269" i="28" s="1"/>
  <c r="AF269" i="28"/>
  <c r="AE269" i="28" s="1"/>
  <c r="V274" i="28"/>
  <c r="AL274" i="28" s="1"/>
  <c r="AF274" i="28"/>
  <c r="AE274" i="28" s="1"/>
  <c r="V267" i="28"/>
  <c r="AL267" i="28" s="1"/>
  <c r="AF267" i="28"/>
  <c r="AE267" i="28" s="1"/>
  <c r="V211" i="28"/>
  <c r="AL211" i="28" s="1"/>
  <c r="AF211" i="28"/>
  <c r="AE211" i="28" s="1"/>
  <c r="V332" i="28"/>
  <c r="AL332" i="28" s="1"/>
  <c r="AF332" i="28"/>
  <c r="AE332" i="28" s="1"/>
  <c r="V225" i="28"/>
  <c r="AL225" i="28" s="1"/>
  <c r="AF225" i="28"/>
  <c r="AE225" i="28" s="1"/>
  <c r="V209" i="28"/>
  <c r="AL209" i="28" s="1"/>
  <c r="V261" i="28"/>
  <c r="AL261" i="28" s="1"/>
  <c r="V268" i="28"/>
  <c r="AL268" i="28" s="1"/>
  <c r="V223" i="28"/>
  <c r="AL223" i="28" s="1"/>
  <c r="V278" i="28"/>
  <c r="AL278" i="28" s="1"/>
  <c r="V206" i="28"/>
  <c r="AL206" i="28" s="1"/>
  <c r="V215" i="28"/>
  <c r="AL215" i="28" s="1"/>
  <c r="V276" i="28"/>
  <c r="AL276" i="28" s="1"/>
  <c r="AK276" i="28" s="1"/>
  <c r="V266" i="28"/>
  <c r="AL266" i="28" s="1"/>
  <c r="V224" i="28"/>
  <c r="AL224" i="28" s="1"/>
  <c r="V334" i="28"/>
  <c r="AL334" i="28" s="1"/>
  <c r="V277" i="28"/>
  <c r="AL277" i="28" s="1"/>
  <c r="AK277" i="28" s="1"/>
  <c r="V279" i="28"/>
  <c r="AL279" i="28" s="1"/>
  <c r="V343" i="28"/>
  <c r="AL343" i="28" s="1"/>
  <c r="V212" i="28"/>
  <c r="AL212" i="28" s="1"/>
  <c r="V220" i="28"/>
  <c r="AL220" i="28" s="1"/>
  <c r="V344" i="28"/>
  <c r="AL344" i="28" s="1"/>
  <c r="V272" i="28"/>
  <c r="AL272" i="28" s="1"/>
  <c r="V275" i="28"/>
  <c r="AL275" i="28" s="1"/>
  <c r="V217" i="28"/>
  <c r="AL217" i="28" s="1"/>
  <c r="V216" i="28"/>
  <c r="AL216" i="28" s="1"/>
  <c r="V221" i="28"/>
  <c r="AL221" i="28" s="1"/>
  <c r="V208" i="28"/>
  <c r="AL208" i="28" s="1"/>
  <c r="AK223" i="28" l="1"/>
  <c r="AK279" i="28"/>
  <c r="AK217" i="28"/>
  <c r="AK275" i="28"/>
  <c r="AK334" i="28"/>
  <c r="AK268" i="28"/>
  <c r="AK211" i="28"/>
  <c r="AK227" i="28"/>
  <c r="AK207" i="28"/>
  <c r="AK224" i="28"/>
  <c r="AK344" i="28"/>
  <c r="AK209" i="28"/>
  <c r="AK267" i="28"/>
  <c r="AK273" i="28"/>
  <c r="AK219" i="28"/>
  <c r="AK226" i="28"/>
  <c r="AK272" i="28"/>
  <c r="AK266" i="28"/>
  <c r="AK220" i="28"/>
  <c r="AK212" i="28"/>
  <c r="AK215" i="28"/>
  <c r="AK225" i="28"/>
  <c r="AK274" i="28"/>
  <c r="AK210" i="28"/>
  <c r="AK281" i="28"/>
  <c r="AK261" i="28"/>
  <c r="AK208" i="28"/>
  <c r="AK221" i="28"/>
  <c r="AK343" i="28"/>
  <c r="AK206" i="28"/>
  <c r="AK216" i="28"/>
  <c r="AK278" i="28"/>
  <c r="AK332" i="28"/>
  <c r="AK269" i="28"/>
  <c r="AK318" i="28"/>
  <c r="AK218" i="28"/>
  <c r="AK222" i="28"/>
  <c r="BB96" i="24"/>
  <c r="AP96" i="24"/>
  <c r="AJ96" i="24"/>
  <c r="AG96" i="24"/>
  <c r="AD96" i="24"/>
  <c r="W96" i="24"/>
  <c r="O96" i="24"/>
  <c r="V96" i="24" s="1"/>
  <c r="H96" i="24"/>
  <c r="AR96" i="24" s="1"/>
  <c r="BM114" i="24"/>
  <c r="BB114" i="24"/>
  <c r="AP114" i="24"/>
  <c r="AJ114" i="24"/>
  <c r="AG114" i="24"/>
  <c r="AD114" i="24"/>
  <c r="O114" i="24"/>
  <c r="V114" i="24" s="1"/>
  <c r="H114" i="24"/>
  <c r="AR114" i="24" s="1"/>
  <c r="AM114" i="24" l="1"/>
  <c r="AL114" i="24"/>
  <c r="AK114" i="24" s="1"/>
  <c r="AL96" i="24"/>
  <c r="AK96" i="24" s="1"/>
  <c r="AO96" i="24"/>
  <c r="AQ96" i="24"/>
  <c r="AM96" i="24"/>
  <c r="AF96" i="24"/>
  <c r="AE96" i="24" s="1"/>
  <c r="AQ114" i="24"/>
  <c r="AO114" i="24"/>
  <c r="AN114" i="24" s="1"/>
  <c r="AF114" i="24"/>
  <c r="AE114" i="24" s="1"/>
  <c r="J17" i="1"/>
  <c r="G17" i="1"/>
  <c r="J15" i="1"/>
  <c r="G15" i="1"/>
  <c r="AN96" i="24" l="1"/>
  <c r="M105" i="15"/>
  <c r="AW22" i="33"/>
  <c r="AX22" i="33" s="1"/>
  <c r="AW21" i="33"/>
  <c r="AX21" i="33" s="1"/>
  <c r="E6" i="21" l="1"/>
  <c r="D6" i="21" s="1"/>
  <c r="E7" i="21"/>
  <c r="D7" i="21" s="1"/>
  <c r="E8" i="21"/>
  <c r="D8" i="21" s="1"/>
  <c r="E9" i="21"/>
  <c r="D9" i="21" s="1"/>
  <c r="E10" i="21"/>
  <c r="D10" i="21" s="1"/>
  <c r="E11" i="21"/>
  <c r="D11" i="21" s="1"/>
  <c r="E12" i="21"/>
  <c r="D12" i="21" s="1"/>
  <c r="E18" i="21"/>
  <c r="D18" i="21"/>
  <c r="E17" i="21"/>
  <c r="D17" i="21"/>
  <c r="E16" i="21"/>
  <c r="D16" i="21"/>
  <c r="E15" i="21"/>
  <c r="D15" i="21" s="1"/>
  <c r="E14" i="21"/>
  <c r="D14" i="21"/>
  <c r="C92" i="8"/>
  <c r="C93" i="8"/>
  <c r="C94" i="8"/>
  <c r="C95" i="8"/>
  <c r="H95" i="8" s="1"/>
  <c r="C96" i="8"/>
  <c r="C97" i="8"/>
  <c r="C91" i="8"/>
  <c r="H91" i="8" s="1"/>
  <c r="W218" i="24"/>
  <c r="W217" i="24"/>
  <c r="AM217" i="24" s="1"/>
  <c r="W215" i="24"/>
  <c r="AM215" i="24" s="1"/>
  <c r="W214" i="24"/>
  <c r="W213" i="24"/>
  <c r="W212" i="24"/>
  <c r="W216" i="24"/>
  <c r="M215" i="24"/>
  <c r="O215" i="24" s="1"/>
  <c r="V215" i="24" s="1"/>
  <c r="AL215" i="24" s="1"/>
  <c r="BM215" i="24"/>
  <c r="AR215" i="24"/>
  <c r="AP215" i="24"/>
  <c r="AJ215" i="24"/>
  <c r="AG215" i="24"/>
  <c r="AD215" i="24"/>
  <c r="M217" i="24"/>
  <c r="O217" i="24"/>
  <c r="BM217" i="24"/>
  <c r="AR217" i="24"/>
  <c r="AP217" i="24"/>
  <c r="AJ217" i="24"/>
  <c r="AG217" i="24"/>
  <c r="AD217" i="24"/>
  <c r="Q193" i="7"/>
  <c r="P193" i="7"/>
  <c r="Q192" i="7"/>
  <c r="P192" i="7"/>
  <c r="Q185" i="7"/>
  <c r="P185" i="7"/>
  <c r="Q184" i="7"/>
  <c r="P184" i="7"/>
  <c r="Q183" i="7"/>
  <c r="P183" i="7"/>
  <c r="Q176" i="7"/>
  <c r="P176" i="7"/>
  <c r="Q162" i="7"/>
  <c r="P162" i="7"/>
  <c r="Q133" i="7"/>
  <c r="Q139" i="7" s="1"/>
  <c r="Q142" i="7" s="1"/>
  <c r="P133" i="7"/>
  <c r="P139" i="7" s="1"/>
  <c r="P142" i="7" s="1"/>
  <c r="P129" i="7"/>
  <c r="Q104" i="7"/>
  <c r="Q126" i="7" s="1"/>
  <c r="Q129" i="7" s="1"/>
  <c r="P104" i="7"/>
  <c r="Q85" i="7"/>
  <c r="Q88" i="7" s="1"/>
  <c r="P85" i="7"/>
  <c r="P88" i="7" s="1"/>
  <c r="Q73" i="7"/>
  <c r="Q76" i="7" s="1"/>
  <c r="P73" i="7"/>
  <c r="P76" i="7" s="1"/>
  <c r="Q48" i="7"/>
  <c r="Q62" i="7" s="1"/>
  <c r="Q65" i="7" s="1"/>
  <c r="P48" i="7"/>
  <c r="P62" i="7" s="1"/>
  <c r="P65" i="7" s="1"/>
  <c r="Q21" i="7"/>
  <c r="Q31" i="7" s="1"/>
  <c r="Q34" i="7" s="1"/>
  <c r="P21" i="7"/>
  <c r="P31" i="7" s="1"/>
  <c r="P34" i="7" s="1"/>
  <c r="N193" i="7"/>
  <c r="M193" i="7"/>
  <c r="N192" i="7"/>
  <c r="M192" i="7"/>
  <c r="N185" i="7"/>
  <c r="M185" i="7"/>
  <c r="N184" i="7"/>
  <c r="M184" i="7"/>
  <c r="N183" i="7"/>
  <c r="M183" i="7"/>
  <c r="N176" i="7"/>
  <c r="M176" i="7"/>
  <c r="N162" i="7"/>
  <c r="M162" i="7"/>
  <c r="N133" i="7"/>
  <c r="N139" i="7" s="1"/>
  <c r="N142" i="7" s="1"/>
  <c r="M133" i="7"/>
  <c r="M139" i="7" s="1"/>
  <c r="M142" i="7" s="1"/>
  <c r="M129" i="7"/>
  <c r="N104" i="7"/>
  <c r="N126" i="7" s="1"/>
  <c r="N129" i="7" s="1"/>
  <c r="M104" i="7"/>
  <c r="N85" i="7"/>
  <c r="N88" i="7" s="1"/>
  <c r="M85" i="7"/>
  <c r="M88" i="7" s="1"/>
  <c r="N73" i="7"/>
  <c r="N76" i="7" s="1"/>
  <c r="M73" i="7"/>
  <c r="M76" i="7" s="1"/>
  <c r="N48" i="7"/>
  <c r="N62" i="7" s="1"/>
  <c r="N65" i="7" s="1"/>
  <c r="M48" i="7"/>
  <c r="M62" i="7" s="1"/>
  <c r="M65" i="7" s="1"/>
  <c r="N21" i="7"/>
  <c r="N31" i="7" s="1"/>
  <c r="N34" i="7" s="1"/>
  <c r="M21" i="7"/>
  <c r="M31" i="7" s="1"/>
  <c r="M34" i="7" s="1"/>
  <c r="W227" i="24"/>
  <c r="W226" i="24"/>
  <c r="W224" i="24"/>
  <c r="H160" i="28"/>
  <c r="H159" i="28"/>
  <c r="H158" i="28"/>
  <c r="H157" i="28"/>
  <c r="H156" i="28"/>
  <c r="H155" i="28"/>
  <c r="H154" i="28"/>
  <c r="H153" i="28"/>
  <c r="H146" i="28"/>
  <c r="H143" i="28"/>
  <c r="H142" i="28"/>
  <c r="H141" i="28"/>
  <c r="H140" i="28"/>
  <c r="H139" i="28"/>
  <c r="H138" i="28"/>
  <c r="H137" i="28"/>
  <c r="H136" i="28"/>
  <c r="H135" i="28"/>
  <c r="H129" i="28"/>
  <c r="H118" i="28"/>
  <c r="H117" i="28"/>
  <c r="H116" i="28"/>
  <c r="H115" i="28"/>
  <c r="H114" i="28"/>
  <c r="H113" i="28"/>
  <c r="H111" i="28"/>
  <c r="H110" i="28"/>
  <c r="H108" i="28"/>
  <c r="H107" i="28"/>
  <c r="H94" i="28"/>
  <c r="H84" i="43"/>
  <c r="H92" i="43"/>
  <c r="H91" i="43"/>
  <c r="H90" i="43"/>
  <c r="H88" i="43"/>
  <c r="H87" i="43"/>
  <c r="H86" i="43"/>
  <c r="H81" i="43"/>
  <c r="H80" i="43"/>
  <c r="H79" i="43"/>
  <c r="H78" i="43"/>
  <c r="H77" i="43"/>
  <c r="H76" i="43"/>
  <c r="H75" i="43"/>
  <c r="H74" i="43"/>
  <c r="H73" i="43"/>
  <c r="H72" i="43"/>
  <c r="H71" i="43"/>
  <c r="H70" i="43"/>
  <c r="H69" i="43"/>
  <c r="H68" i="43"/>
  <c r="H67" i="43"/>
  <c r="H66" i="43"/>
  <c r="H65" i="43"/>
  <c r="H64" i="43"/>
  <c r="H63" i="43"/>
  <c r="H62" i="43"/>
  <c r="H61" i="43"/>
  <c r="H60" i="43"/>
  <c r="H59" i="43"/>
  <c r="H58" i="43"/>
  <c r="W81" i="43"/>
  <c r="W80" i="43"/>
  <c r="W79" i="43"/>
  <c r="W78" i="43"/>
  <c r="W77" i="43"/>
  <c r="W76" i="43"/>
  <c r="W75" i="43"/>
  <c r="W74" i="43"/>
  <c r="W73" i="43"/>
  <c r="W72" i="43"/>
  <c r="W71" i="43"/>
  <c r="W70" i="43"/>
  <c r="W69" i="43"/>
  <c r="W68" i="43"/>
  <c r="W67" i="43"/>
  <c r="W66" i="43"/>
  <c r="W65" i="43"/>
  <c r="W64" i="43"/>
  <c r="W63" i="43"/>
  <c r="W62" i="43"/>
  <c r="W61" i="43"/>
  <c r="W60" i="43"/>
  <c r="W59" i="43"/>
  <c r="W58" i="43"/>
  <c r="H199" i="28"/>
  <c r="AM199" i="28" s="1"/>
  <c r="H198" i="28"/>
  <c r="AM198" i="28" s="1"/>
  <c r="H197" i="28"/>
  <c r="AM197" i="28" s="1"/>
  <c r="H196" i="28"/>
  <c r="AM196" i="28" s="1"/>
  <c r="H194" i="28"/>
  <c r="AM194" i="28" s="1"/>
  <c r="H193" i="28"/>
  <c r="AM193" i="28" s="1"/>
  <c r="H192" i="28"/>
  <c r="AM192" i="28" s="1"/>
  <c r="H191" i="28"/>
  <c r="AM191" i="28" s="1"/>
  <c r="H190" i="28"/>
  <c r="AM190" i="28" s="1"/>
  <c r="H187" i="28"/>
  <c r="AM187" i="28" s="1"/>
  <c r="H182" i="28"/>
  <c r="AM182" i="28" s="1"/>
  <c r="H181" i="28"/>
  <c r="AM181" i="28" s="1"/>
  <c r="H180" i="28"/>
  <c r="AM180" i="28" s="1"/>
  <c r="H178" i="28"/>
  <c r="AM178" i="28" s="1"/>
  <c r="H171" i="28"/>
  <c r="AM171" i="28" s="1"/>
  <c r="H170" i="28"/>
  <c r="AM170" i="28" s="1"/>
  <c r="W159" i="28"/>
  <c r="W158" i="28"/>
  <c r="W157" i="28"/>
  <c r="W156" i="28"/>
  <c r="W155" i="28"/>
  <c r="W153" i="28"/>
  <c r="W146" i="28"/>
  <c r="W143" i="28"/>
  <c r="W142" i="28"/>
  <c r="W141" i="28"/>
  <c r="W140" i="28"/>
  <c r="W138" i="28"/>
  <c r="W137" i="28"/>
  <c r="W136" i="28"/>
  <c r="W135" i="28"/>
  <c r="W129" i="28"/>
  <c r="W118" i="28"/>
  <c r="W117" i="28"/>
  <c r="W116" i="28"/>
  <c r="W115" i="28"/>
  <c r="W113" i="28"/>
  <c r="W111" i="28"/>
  <c r="W110" i="28"/>
  <c r="W108" i="28"/>
  <c r="W107" i="28"/>
  <c r="W94" i="28"/>
  <c r="D185" i="1"/>
  <c r="D186" i="1" s="1"/>
  <c r="AB185" i="1"/>
  <c r="H96" i="8" l="1"/>
  <c r="H97" i="8"/>
  <c r="H94" i="8"/>
  <c r="AK215" i="24"/>
  <c r="AQ217" i="24"/>
  <c r="AO217" i="24"/>
  <c r="AR171" i="28"/>
  <c r="AQ171" i="28" s="1"/>
  <c r="AR192" i="28"/>
  <c r="AQ192" i="28" s="1"/>
  <c r="AR178" i="28"/>
  <c r="AQ178" i="28" s="1"/>
  <c r="AR193" i="28"/>
  <c r="AQ193" i="28" s="1"/>
  <c r="AR180" i="28"/>
  <c r="AQ180" i="28" s="1"/>
  <c r="AR194" i="28"/>
  <c r="AQ194" i="28" s="1"/>
  <c r="AR181" i="28"/>
  <c r="AQ181" i="28" s="1"/>
  <c r="AR196" i="28"/>
  <c r="AQ196" i="28" s="1"/>
  <c r="AR182" i="28"/>
  <c r="AQ182" i="28" s="1"/>
  <c r="AO197" i="28"/>
  <c r="AN197" i="28" s="1"/>
  <c r="AR197" i="28"/>
  <c r="AR187" i="28"/>
  <c r="AQ187" i="28" s="1"/>
  <c r="AR198" i="28"/>
  <c r="AO198" i="28"/>
  <c r="AN198" i="28" s="1"/>
  <c r="AR190" i="28"/>
  <c r="AQ190" i="28" s="1"/>
  <c r="AR199" i="28"/>
  <c r="AQ199" i="28" s="1"/>
  <c r="AR170" i="28"/>
  <c r="AQ170" i="28" s="1"/>
  <c r="AR191" i="28"/>
  <c r="AQ191" i="28" s="1"/>
  <c r="AO108" i="28"/>
  <c r="AN108" i="28" s="1"/>
  <c r="AR108" i="28"/>
  <c r="AR118" i="28"/>
  <c r="AO118" i="28"/>
  <c r="AN118" i="28" s="1"/>
  <c r="AO141" i="28"/>
  <c r="AN141" i="28" s="1"/>
  <c r="AR141" i="28"/>
  <c r="AR156" i="28"/>
  <c r="AO156" i="28"/>
  <c r="AN156" i="28" s="1"/>
  <c r="AO110" i="28"/>
  <c r="AN110" i="28" s="1"/>
  <c r="AR110" i="28"/>
  <c r="AR129" i="28"/>
  <c r="AO129" i="28"/>
  <c r="AN129" i="28" s="1"/>
  <c r="AR142" i="28"/>
  <c r="AO142" i="28"/>
  <c r="AN142" i="28" s="1"/>
  <c r="AR157" i="28"/>
  <c r="AO157" i="28"/>
  <c r="AN157" i="28" s="1"/>
  <c r="AR158" i="28"/>
  <c r="AO158" i="28"/>
  <c r="AN158" i="28" s="1"/>
  <c r="AR113" i="28"/>
  <c r="AO113" i="28"/>
  <c r="AN113" i="28" s="1"/>
  <c r="AR114" i="28"/>
  <c r="AO114" i="28"/>
  <c r="AN114" i="28" s="1"/>
  <c r="AR137" i="28"/>
  <c r="AO137" i="28"/>
  <c r="AN137" i="28" s="1"/>
  <c r="AR160" i="28"/>
  <c r="AR135" i="28"/>
  <c r="AO135" i="28"/>
  <c r="AN135" i="28" s="1"/>
  <c r="AR146" i="28"/>
  <c r="AO146" i="28"/>
  <c r="AN146" i="28" s="1"/>
  <c r="AO115" i="28"/>
  <c r="AN115" i="28" s="1"/>
  <c r="AR115" i="28"/>
  <c r="AR138" i="28"/>
  <c r="AO138" i="28"/>
  <c r="AN138" i="28" s="1"/>
  <c r="AR153" i="28"/>
  <c r="AO153" i="28"/>
  <c r="AN153" i="28" s="1"/>
  <c r="AR143" i="28"/>
  <c r="AO143" i="28"/>
  <c r="AN143" i="28" s="1"/>
  <c r="AR159" i="28"/>
  <c r="AO159" i="28"/>
  <c r="AN159" i="28" s="1"/>
  <c r="AO94" i="28"/>
  <c r="AR94" i="28"/>
  <c r="AR116" i="28"/>
  <c r="AO116" i="28"/>
  <c r="AN116" i="28" s="1"/>
  <c r="AR139" i="28"/>
  <c r="AO139" i="28"/>
  <c r="AN139" i="28" s="1"/>
  <c r="AR154" i="28"/>
  <c r="AR111" i="28"/>
  <c r="AO111" i="28"/>
  <c r="AN111" i="28" s="1"/>
  <c r="AO136" i="28"/>
  <c r="AN136" i="28" s="1"/>
  <c r="AR136" i="28"/>
  <c r="AR107" i="28"/>
  <c r="AQ107" i="28" s="1"/>
  <c r="AO107" i="28"/>
  <c r="AN107" i="28" s="1"/>
  <c r="AO117" i="28"/>
  <c r="AN117" i="28" s="1"/>
  <c r="AR117" i="28"/>
  <c r="AR140" i="28"/>
  <c r="AO140" i="28"/>
  <c r="AN140" i="28" s="1"/>
  <c r="AR155" i="28"/>
  <c r="AO155" i="28"/>
  <c r="AN155" i="28" s="1"/>
  <c r="AO215" i="24"/>
  <c r="AN215" i="24" s="1"/>
  <c r="AF215" i="24"/>
  <c r="AE215" i="24" s="1"/>
  <c r="AQ215" i="24"/>
  <c r="V217" i="24"/>
  <c r="AL217" i="24" s="1"/>
  <c r="AK217" i="24" s="1"/>
  <c r="AF217" i="24"/>
  <c r="AE217" i="24" s="1"/>
  <c r="AN217" i="24"/>
  <c r="P156" i="7"/>
  <c r="P163" i="7" s="1"/>
  <c r="P177" i="7" s="1"/>
  <c r="P186" i="7" s="1"/>
  <c r="P194" i="7" s="1"/>
  <c r="P199" i="7" s="1"/>
  <c r="Q156" i="7"/>
  <c r="Q163" i="7" s="1"/>
  <c r="Q177" i="7" s="1"/>
  <c r="Q186" i="7" s="1"/>
  <c r="Q194" i="7" s="1"/>
  <c r="Q199" i="7" s="1"/>
  <c r="M156" i="7"/>
  <c r="M163" i="7" s="1"/>
  <c r="M177" i="7" s="1"/>
  <c r="M186" i="7" s="1"/>
  <c r="M194" i="7" s="1"/>
  <c r="M199" i="7" s="1"/>
  <c r="N156" i="7"/>
  <c r="N163" i="7" s="1"/>
  <c r="N177" i="7" s="1"/>
  <c r="N186" i="7" s="1"/>
  <c r="N194" i="7" s="1"/>
  <c r="N199" i="7" s="1"/>
  <c r="W160" i="28"/>
  <c r="AO160" i="28" s="1"/>
  <c r="AN160" i="28" s="1"/>
  <c r="AN94" i="28" l="1"/>
  <c r="AQ197" i="28"/>
  <c r="AQ198" i="28"/>
  <c r="AQ135" i="28"/>
  <c r="AQ158" i="28"/>
  <c r="AQ154" i="28"/>
  <c r="AQ94" i="28"/>
  <c r="AQ160" i="28"/>
  <c r="AQ146" i="28"/>
  <c r="AQ137" i="28"/>
  <c r="AQ113" i="28"/>
  <c r="AQ129" i="28"/>
  <c r="AQ156" i="28"/>
  <c r="AQ118" i="28"/>
  <c r="AQ140" i="28"/>
  <c r="AQ111" i="28"/>
  <c r="AQ139" i="28"/>
  <c r="AQ143" i="28"/>
  <c r="AQ138" i="28"/>
  <c r="AQ157" i="28"/>
  <c r="AQ110" i="28"/>
  <c r="AQ136" i="28"/>
  <c r="AQ115" i="28"/>
  <c r="AQ141" i="28"/>
  <c r="AQ108" i="28"/>
  <c r="AQ117" i="28"/>
  <c r="AQ155" i="28"/>
  <c r="AQ116" i="28"/>
  <c r="AQ159" i="28"/>
  <c r="AQ153" i="28"/>
  <c r="AQ114" i="28"/>
  <c r="AQ142" i="28"/>
  <c r="AR67" i="27"/>
  <c r="AP67" i="27"/>
  <c r="AO67" i="27"/>
  <c r="AN67" i="27" s="1"/>
  <c r="AM67" i="27"/>
  <c r="AJ67" i="27"/>
  <c r="AG67" i="27"/>
  <c r="AD67" i="27"/>
  <c r="V67" i="27"/>
  <c r="AL67" i="27" s="1"/>
  <c r="AK67" i="27" s="1"/>
  <c r="O67" i="27"/>
  <c r="AR66" i="27"/>
  <c r="AP66" i="27"/>
  <c r="AO66" i="27"/>
  <c r="AN66" i="27" s="1"/>
  <c r="AM66" i="27"/>
  <c r="AJ66" i="27"/>
  <c r="AG66" i="27"/>
  <c r="AD66" i="27"/>
  <c r="O66" i="27"/>
  <c r="AF66" i="27" s="1"/>
  <c r="AE66" i="27" s="1"/>
  <c r="AR65" i="27"/>
  <c r="AP65" i="27"/>
  <c r="AO65" i="27"/>
  <c r="AN65" i="27" s="1"/>
  <c r="AM65" i="27"/>
  <c r="AL65" i="27"/>
  <c r="AK65" i="27" s="1"/>
  <c r="AJ65" i="27"/>
  <c r="AG65" i="27"/>
  <c r="AD65" i="27"/>
  <c r="V65" i="27"/>
  <c r="O65" i="27"/>
  <c r="AR64" i="27"/>
  <c r="AQ64" i="27"/>
  <c r="AP64" i="27"/>
  <c r="AO64" i="27"/>
  <c r="AN64" i="27" s="1"/>
  <c r="AM64" i="27"/>
  <c r="AJ64" i="27"/>
  <c r="AG64" i="27"/>
  <c r="AD64" i="27"/>
  <c r="O64" i="27"/>
  <c r="AF64" i="27" s="1"/>
  <c r="AE64" i="27" s="1"/>
  <c r="AR63" i="27"/>
  <c r="AP63" i="27"/>
  <c r="AO63" i="27"/>
  <c r="AN63" i="27"/>
  <c r="AM63" i="27"/>
  <c r="AJ63" i="27"/>
  <c r="AG63" i="27"/>
  <c r="AF63" i="27"/>
  <c r="AE63" i="27" s="1"/>
  <c r="AD63" i="27"/>
  <c r="O63" i="27"/>
  <c r="V63" i="27" s="1"/>
  <c r="AL63" i="27" s="1"/>
  <c r="AK63" i="27" s="1"/>
  <c r="O65" i="26"/>
  <c r="AD65" i="26"/>
  <c r="AF65" i="26"/>
  <c r="AE65" i="26" s="1"/>
  <c r="AG65" i="26"/>
  <c r="AJ65" i="26"/>
  <c r="AM65" i="26"/>
  <c r="AN65" i="26"/>
  <c r="AO65" i="26"/>
  <c r="AP65" i="26"/>
  <c r="AR65" i="26"/>
  <c r="AQ65" i="26" s="1"/>
  <c r="O66" i="26"/>
  <c r="V66" i="26"/>
  <c r="AL66" i="26" s="1"/>
  <c r="AD66" i="26"/>
  <c r="AF66" i="26"/>
  <c r="AE66" i="26" s="1"/>
  <c r="AG66" i="26"/>
  <c r="AJ66" i="26"/>
  <c r="AM66" i="26"/>
  <c r="AO66" i="26"/>
  <c r="AP66" i="26"/>
  <c r="AR66" i="26"/>
  <c r="AQ66" i="26" s="1"/>
  <c r="O67" i="26"/>
  <c r="AF67" i="26" s="1"/>
  <c r="AE67" i="26" s="1"/>
  <c r="V67" i="26"/>
  <c r="AL67" i="26" s="1"/>
  <c r="AK67" i="26" s="1"/>
  <c r="AD67" i="26"/>
  <c r="AG67" i="26"/>
  <c r="AJ67" i="26"/>
  <c r="AM67" i="26"/>
  <c r="AO67" i="26"/>
  <c r="AN67" i="26" s="1"/>
  <c r="AP67" i="26"/>
  <c r="AQ67" i="26"/>
  <c r="AR67" i="26"/>
  <c r="O68" i="26"/>
  <c r="V68" i="26" s="1"/>
  <c r="AL68" i="26" s="1"/>
  <c r="AK68" i="26" s="1"/>
  <c r="AD68" i="26"/>
  <c r="AG68" i="26"/>
  <c r="AJ68" i="26"/>
  <c r="AM68" i="26"/>
  <c r="AO68" i="26"/>
  <c r="AP68" i="26"/>
  <c r="AQ68" i="26"/>
  <c r="AR68" i="26"/>
  <c r="U553" i="42"/>
  <c r="O23" i="28"/>
  <c r="AP185" i="24"/>
  <c r="AM185" i="24"/>
  <c r="AJ185" i="24"/>
  <c r="AG185" i="24"/>
  <c r="AD185" i="24"/>
  <c r="O185" i="24"/>
  <c r="V185" i="24" s="1"/>
  <c r="W184" i="24"/>
  <c r="W183" i="24"/>
  <c r="W182" i="24"/>
  <c r="AP184" i="24"/>
  <c r="AM184" i="24"/>
  <c r="AJ184" i="24"/>
  <c r="AG184" i="24"/>
  <c r="AD184" i="24"/>
  <c r="O184" i="24"/>
  <c r="AP183" i="24"/>
  <c r="AM183" i="24"/>
  <c r="AJ183" i="24"/>
  <c r="AG183" i="24"/>
  <c r="AD183" i="24"/>
  <c r="O183" i="24"/>
  <c r="V183" i="24" s="1"/>
  <c r="AR237" i="24"/>
  <c r="AP237" i="24"/>
  <c r="AO237" i="24"/>
  <c r="AM237" i="24"/>
  <c r="AJ237" i="24"/>
  <c r="AG237" i="24"/>
  <c r="AD237" i="24"/>
  <c r="O237" i="24"/>
  <c r="V237" i="24" s="1"/>
  <c r="AL237" i="24" s="1"/>
  <c r="AR236" i="24"/>
  <c r="AP236" i="24"/>
  <c r="AO236" i="24"/>
  <c r="AM236" i="24"/>
  <c r="AJ236" i="24"/>
  <c r="AG236" i="24"/>
  <c r="AD236" i="24"/>
  <c r="O236" i="24"/>
  <c r="V236" i="24" s="1"/>
  <c r="AL236" i="24" s="1"/>
  <c r="C17" i="8"/>
  <c r="Y3" i="28"/>
  <c r="BM285" i="28"/>
  <c r="BM284" i="28"/>
  <c r="BM154" i="28"/>
  <c r="W232" i="24"/>
  <c r="W191" i="24"/>
  <c r="W190" i="24"/>
  <c r="W189" i="24"/>
  <c r="W231" i="24"/>
  <c r="W127" i="24"/>
  <c r="W126" i="24"/>
  <c r="W125" i="24"/>
  <c r="W124" i="24"/>
  <c r="W122" i="24"/>
  <c r="W121" i="24"/>
  <c r="W119" i="24"/>
  <c r="W118" i="24"/>
  <c r="W101" i="24"/>
  <c r="W95" i="24"/>
  <c r="W94" i="24"/>
  <c r="W93" i="24"/>
  <c r="W92" i="24"/>
  <c r="W90" i="24"/>
  <c r="W89" i="24"/>
  <c r="W88" i="24"/>
  <c r="W87" i="24"/>
  <c r="W85" i="24"/>
  <c r="W84" i="24"/>
  <c r="W83" i="24"/>
  <c r="W82" i="24"/>
  <c r="W81" i="24"/>
  <c r="W78" i="24"/>
  <c r="W77" i="24"/>
  <c r="W76" i="24"/>
  <c r="W75" i="24"/>
  <c r="W74" i="24"/>
  <c r="W73" i="24"/>
  <c r="W71" i="24"/>
  <c r="W70" i="24"/>
  <c r="W69" i="24"/>
  <c r="W68" i="24"/>
  <c r="W67" i="24"/>
  <c r="W66" i="24"/>
  <c r="W64" i="24"/>
  <c r="W63" i="24"/>
  <c r="W62" i="24"/>
  <c r="W61" i="24"/>
  <c r="W60" i="24"/>
  <c r="W59" i="24"/>
  <c r="W37" i="24"/>
  <c r="W36" i="24"/>
  <c r="W35" i="24"/>
  <c r="W34" i="24"/>
  <c r="W33" i="24"/>
  <c r="W31" i="24"/>
  <c r="W30" i="24"/>
  <c r="W29" i="24"/>
  <c r="W28" i="24"/>
  <c r="W27" i="24"/>
  <c r="W25" i="24"/>
  <c r="W24" i="24"/>
  <c r="W23" i="24"/>
  <c r="W22" i="24"/>
  <c r="W21" i="24"/>
  <c r="BM221" i="24"/>
  <c r="BM220" i="24"/>
  <c r="BM218" i="24"/>
  <c r="BM216" i="24"/>
  <c r="BM214" i="24"/>
  <c r="BM213" i="24"/>
  <c r="BM212" i="24"/>
  <c r="BM113" i="24"/>
  <c r="W113" i="24" s="1"/>
  <c r="BM112" i="24"/>
  <c r="W112" i="24" s="1"/>
  <c r="BM111" i="24"/>
  <c r="W111" i="24" s="1"/>
  <c r="BM110" i="24"/>
  <c r="W110" i="24" s="1"/>
  <c r="BM108" i="24"/>
  <c r="W108" i="24" s="1"/>
  <c r="BM107" i="24"/>
  <c r="W107" i="24" s="1"/>
  <c r="BM106" i="24"/>
  <c r="W106" i="24" s="1"/>
  <c r="BM105" i="24"/>
  <c r="W105" i="24" s="1"/>
  <c r="BM103" i="24"/>
  <c r="W103" i="24" s="1"/>
  <c r="BM102" i="24"/>
  <c r="W102" i="24" s="1"/>
  <c r="BM100" i="24"/>
  <c r="W100" i="24" s="1"/>
  <c r="BM99" i="24"/>
  <c r="W99" i="24" s="1"/>
  <c r="BM56" i="24"/>
  <c r="W56" i="24" s="1"/>
  <c r="BM55" i="24"/>
  <c r="W55" i="24" s="1"/>
  <c r="BM54" i="24"/>
  <c r="W54" i="24" s="1"/>
  <c r="BM53" i="24"/>
  <c r="W53" i="24" s="1"/>
  <c r="BM52" i="24"/>
  <c r="W52" i="24" s="1"/>
  <c r="BM50" i="24"/>
  <c r="W50" i="24" s="1"/>
  <c r="BM49" i="24"/>
  <c r="W49" i="24" s="1"/>
  <c r="BM48" i="24"/>
  <c r="W48" i="24" s="1"/>
  <c r="BM47" i="24"/>
  <c r="W47" i="24" s="1"/>
  <c r="BM46" i="24"/>
  <c r="W46" i="24" s="1"/>
  <c r="BM44" i="24"/>
  <c r="W44" i="24" s="1"/>
  <c r="BM43" i="24"/>
  <c r="W43" i="24" s="1"/>
  <c r="BM42" i="24"/>
  <c r="W42" i="24" s="1"/>
  <c r="BM41" i="24"/>
  <c r="W41" i="24" s="1"/>
  <c r="BM40" i="24"/>
  <c r="W40" i="24" s="1"/>
  <c r="H55" i="8"/>
  <c r="E55" i="8"/>
  <c r="AN236" i="24" l="1"/>
  <c r="AQ237" i="24"/>
  <c r="W433" i="28"/>
  <c r="AO433" i="28" s="1"/>
  <c r="AN433" i="28" s="1"/>
  <c r="BM173" i="28"/>
  <c r="BM181" i="28"/>
  <c r="BM189" i="28"/>
  <c r="BM174" i="28"/>
  <c r="BM190" i="28"/>
  <c r="BM191" i="28"/>
  <c r="BM182" i="28"/>
  <c r="BM175" i="28"/>
  <c r="BM172" i="28"/>
  <c r="BM183" i="28"/>
  <c r="BM176" i="28"/>
  <c r="BM184" i="28"/>
  <c r="BM192" i="28"/>
  <c r="BM185" i="28"/>
  <c r="BM193" i="28"/>
  <c r="BM188" i="28"/>
  <c r="BM177" i="28"/>
  <c r="BM196" i="28"/>
  <c r="BM178" i="28"/>
  <c r="BM186" i="28"/>
  <c r="BM194" i="28"/>
  <c r="BM171" i="28"/>
  <c r="BM179" i="28"/>
  <c r="BM187" i="28"/>
  <c r="BM195" i="28"/>
  <c r="BM180" i="28"/>
  <c r="V23" i="28"/>
  <c r="AL23" i="28" s="1"/>
  <c r="AF23" i="28"/>
  <c r="AE23" i="28" s="1"/>
  <c r="AN237" i="24"/>
  <c r="AF236" i="24"/>
  <c r="AE236" i="24" s="1"/>
  <c r="W196" i="28"/>
  <c r="AO196" i="28" s="1"/>
  <c r="W194" i="28"/>
  <c r="AO194" i="28" s="1"/>
  <c r="W193" i="28"/>
  <c r="AO193" i="28" s="1"/>
  <c r="W192" i="28"/>
  <c r="AO192" i="28" s="1"/>
  <c r="W182" i="28"/>
  <c r="AO182" i="28" s="1"/>
  <c r="W181" i="28"/>
  <c r="AO181" i="28" s="1"/>
  <c r="W187" i="28"/>
  <c r="AO187" i="28" s="1"/>
  <c r="W180" i="28"/>
  <c r="AO180" i="28" s="1"/>
  <c r="W171" i="28"/>
  <c r="AO171" i="28" s="1"/>
  <c r="W170" i="28"/>
  <c r="AO170" i="28" s="1"/>
  <c r="W178" i="28"/>
  <c r="AO178" i="28" s="1"/>
  <c r="W191" i="28"/>
  <c r="AO191" i="28" s="1"/>
  <c r="W190" i="28"/>
  <c r="AO190" i="28" s="1"/>
  <c r="W199" i="28"/>
  <c r="AO199" i="28" s="1"/>
  <c r="AF65" i="27"/>
  <c r="AE65" i="27" s="1"/>
  <c r="AQ66" i="27"/>
  <c r="V64" i="27"/>
  <c r="AL64" i="27" s="1"/>
  <c r="AK64" i="27" s="1"/>
  <c r="AQ63" i="27"/>
  <c r="V66" i="27"/>
  <c r="AL66" i="27" s="1"/>
  <c r="AK66" i="27" s="1"/>
  <c r="AF67" i="27"/>
  <c r="AE67" i="27" s="1"/>
  <c r="AQ65" i="27"/>
  <c r="AQ67" i="27"/>
  <c r="AN66" i="26"/>
  <c r="AK66" i="26"/>
  <c r="AN68" i="26"/>
  <c r="AF68" i="26"/>
  <c r="AE68" i="26" s="1"/>
  <c r="V65" i="26"/>
  <c r="AL65" i="26" s="1"/>
  <c r="BM170" i="28"/>
  <c r="V184" i="24"/>
  <c r="AK236" i="24"/>
  <c r="AF237" i="24"/>
  <c r="AE237" i="24" s="1"/>
  <c r="AK237" i="24"/>
  <c r="AQ236" i="24"/>
  <c r="BM199" i="28"/>
  <c r="F10" i="52"/>
  <c r="F11" i="52"/>
  <c r="F12" i="52"/>
  <c r="F13" i="52"/>
  <c r="F23" i="52"/>
  <c r="F24" i="52"/>
  <c r="F25" i="52"/>
  <c r="F27" i="52"/>
  <c r="F30" i="52"/>
  <c r="F38" i="52"/>
  <c r="F39" i="52"/>
  <c r="F40" i="52"/>
  <c r="F41" i="52"/>
  <c r="F42" i="52"/>
  <c r="E44" i="52"/>
  <c r="D44" i="52"/>
  <c r="C44" i="52"/>
  <c r="B44" i="52"/>
  <c r="F44" i="52" s="1"/>
  <c r="E43" i="52"/>
  <c r="D43" i="52"/>
  <c r="C43" i="52"/>
  <c r="B43" i="52"/>
  <c r="F43" i="52" s="1"/>
  <c r="E38" i="52"/>
  <c r="D38" i="52"/>
  <c r="C38" i="52"/>
  <c r="B38" i="52"/>
  <c r="E37" i="52"/>
  <c r="D37" i="52"/>
  <c r="C37" i="52"/>
  <c r="B37" i="52"/>
  <c r="F37" i="52" s="1"/>
  <c r="E36" i="52"/>
  <c r="D36" i="52"/>
  <c r="C36" i="52"/>
  <c r="B36" i="52"/>
  <c r="F36" i="52" s="1"/>
  <c r="E35" i="52"/>
  <c r="D35" i="52"/>
  <c r="C35" i="52"/>
  <c r="B35" i="52"/>
  <c r="F35" i="52" s="1"/>
  <c r="E34" i="52"/>
  <c r="D34" i="52"/>
  <c r="C34" i="52"/>
  <c r="B34" i="52"/>
  <c r="F34" i="52" s="1"/>
  <c r="E33" i="52"/>
  <c r="D33" i="52"/>
  <c r="C33" i="52"/>
  <c r="B33" i="52"/>
  <c r="F33" i="52" s="1"/>
  <c r="E32" i="52"/>
  <c r="D32" i="52"/>
  <c r="C32" i="52"/>
  <c r="B32" i="52"/>
  <c r="F32" i="52" s="1"/>
  <c r="E31" i="52"/>
  <c r="D31" i="52"/>
  <c r="C31" i="52"/>
  <c r="B31" i="52"/>
  <c r="F31" i="52" s="1"/>
  <c r="E30" i="52"/>
  <c r="D30" i="52"/>
  <c r="C30" i="52"/>
  <c r="B30" i="52"/>
  <c r="E29" i="52"/>
  <c r="D29" i="52"/>
  <c r="C29" i="52"/>
  <c r="B29" i="52"/>
  <c r="E28" i="52"/>
  <c r="D28" i="52"/>
  <c r="C28" i="52"/>
  <c r="B28" i="52"/>
  <c r="F28" i="52" s="1"/>
  <c r="E26" i="52"/>
  <c r="D26" i="52"/>
  <c r="C26" i="52"/>
  <c r="B26" i="52"/>
  <c r="F26" i="52" s="1"/>
  <c r="E22" i="52"/>
  <c r="D22" i="52"/>
  <c r="C22" i="52"/>
  <c r="B22" i="52"/>
  <c r="F22" i="52" s="1"/>
  <c r="E21" i="52"/>
  <c r="F21" i="52" s="1"/>
  <c r="D21" i="52"/>
  <c r="C21" i="52"/>
  <c r="B21" i="52"/>
  <c r="E20" i="52"/>
  <c r="D20" i="52"/>
  <c r="C20" i="52"/>
  <c r="B20" i="52"/>
  <c r="F20" i="52" s="1"/>
  <c r="E19" i="52"/>
  <c r="D19" i="52"/>
  <c r="C19" i="52"/>
  <c r="B19" i="52"/>
  <c r="F19" i="52" s="1"/>
  <c r="E18" i="52"/>
  <c r="D18" i="52"/>
  <c r="C18" i="52"/>
  <c r="B18" i="52"/>
  <c r="F18" i="52" s="1"/>
  <c r="E17" i="52"/>
  <c r="D17" i="52"/>
  <c r="C17" i="52"/>
  <c r="B17" i="52"/>
  <c r="F17" i="52" s="1"/>
  <c r="E16" i="52"/>
  <c r="D16" i="52"/>
  <c r="C16" i="52"/>
  <c r="B16" i="52"/>
  <c r="F16" i="52" s="1"/>
  <c r="E15" i="52"/>
  <c r="D15" i="52"/>
  <c r="C15" i="52"/>
  <c r="B15" i="52"/>
  <c r="F15" i="52" s="1"/>
  <c r="E14" i="52"/>
  <c r="D14" i="52"/>
  <c r="C14" i="52"/>
  <c r="B14" i="52"/>
  <c r="F14" i="52" s="1"/>
  <c r="E9" i="52"/>
  <c r="D9" i="52"/>
  <c r="C9" i="52"/>
  <c r="B9" i="52"/>
  <c r="F9" i="52" s="1"/>
  <c r="E8" i="52"/>
  <c r="D8" i="52"/>
  <c r="C8" i="52"/>
  <c r="B8" i="52"/>
  <c r="F8" i="52" s="1"/>
  <c r="E7" i="52"/>
  <c r="D7" i="52"/>
  <c r="C7" i="52"/>
  <c r="B7" i="52"/>
  <c r="F7" i="52" s="1"/>
  <c r="E6" i="52"/>
  <c r="D6" i="52"/>
  <c r="C6" i="52"/>
  <c r="B6" i="52"/>
  <c r="F6" i="52" s="1"/>
  <c r="E5" i="52"/>
  <c r="F5" i="52" s="1"/>
  <c r="D5" i="52"/>
  <c r="C5" i="52"/>
  <c r="B5" i="52"/>
  <c r="E4" i="52"/>
  <c r="D4" i="52"/>
  <c r="C4" i="52"/>
  <c r="B4" i="52"/>
  <c r="F4" i="52" s="1"/>
  <c r="D166" i="1"/>
  <c r="D165" i="1"/>
  <c r="BA103" i="14" s="1"/>
  <c r="D164" i="1"/>
  <c r="BA102" i="14" s="1"/>
  <c r="D163" i="1"/>
  <c r="BA101" i="14" s="1"/>
  <c r="D168" i="1"/>
  <c r="BA146" i="14" s="1"/>
  <c r="CE146" i="14" s="1"/>
  <c r="D167" i="1"/>
  <c r="BA144" i="14" s="1"/>
  <c r="J3" i="52"/>
  <c r="K3" i="52" s="1"/>
  <c r="D121" i="1"/>
  <c r="D126" i="1"/>
  <c r="D175" i="1"/>
  <c r="D179" i="1"/>
  <c r="BA54" i="14" s="1"/>
  <c r="BY54" i="14" s="1"/>
  <c r="D178" i="1"/>
  <c r="BA53" i="14" s="1"/>
  <c r="BP53" i="14" s="1"/>
  <c r="CK53" i="14" s="1"/>
  <c r="D177" i="1"/>
  <c r="BA51" i="14" s="1"/>
  <c r="BV51" i="14" s="1"/>
  <c r="D176" i="1"/>
  <c r="BA60" i="14" s="1"/>
  <c r="BV60" i="14" s="1"/>
  <c r="D174" i="1"/>
  <c r="D173" i="1"/>
  <c r="BA150" i="14" s="1"/>
  <c r="BM150" i="14" s="1"/>
  <c r="D120" i="1"/>
  <c r="BA29" i="14" s="1"/>
  <c r="CH29" i="14" s="1"/>
  <c r="D125" i="1"/>
  <c r="D124" i="1"/>
  <c r="D123" i="1"/>
  <c r="D122" i="1"/>
  <c r="D119" i="1"/>
  <c r="D118" i="1"/>
  <c r="D116" i="1"/>
  <c r="C1" i="51"/>
  <c r="W284" i="28"/>
  <c r="AO284" i="28" s="1"/>
  <c r="W285" i="28"/>
  <c r="AO285" i="28" s="1"/>
  <c r="BA148" i="14" l="1"/>
  <c r="BY148" i="14" s="1"/>
  <c r="BA149" i="14"/>
  <c r="I149" i="14" s="1"/>
  <c r="CE144" i="14"/>
  <c r="CE147" i="14" s="1"/>
  <c r="BS145" i="14"/>
  <c r="BM145" i="14"/>
  <c r="CH145" i="14"/>
  <c r="BJ145" i="14"/>
  <c r="CE145" i="14"/>
  <c r="BG145" i="14"/>
  <c r="BY145" i="14"/>
  <c r="CB145" i="14"/>
  <c r="BV145" i="14"/>
  <c r="BP145" i="14"/>
  <c r="BA118" i="14"/>
  <c r="BP118" i="14" s="1"/>
  <c r="BA52" i="14"/>
  <c r="CE52" i="14" s="1"/>
  <c r="F29" i="52"/>
  <c r="H35" i="52"/>
  <c r="D159" i="1" s="1"/>
  <c r="BA97" i="14" s="1"/>
  <c r="CH97" i="14" s="1"/>
  <c r="AN284" i="28"/>
  <c r="AN285" i="28"/>
  <c r="AK23" i="28"/>
  <c r="AN190" i="28"/>
  <c r="AN191" i="28"/>
  <c r="AN192" i="28"/>
  <c r="AN178" i="28"/>
  <c r="AN193" i="28"/>
  <c r="AN194" i="28"/>
  <c r="AN171" i="28"/>
  <c r="AN196" i="28"/>
  <c r="AN180" i="28"/>
  <c r="AN187" i="28"/>
  <c r="AN170" i="28"/>
  <c r="AN199" i="28"/>
  <c r="AN181" i="28"/>
  <c r="AN182" i="28"/>
  <c r="CH102" i="14"/>
  <c r="CE102" i="14"/>
  <c r="CH103" i="14"/>
  <c r="CE103" i="14"/>
  <c r="CH101" i="14"/>
  <c r="CE101" i="14"/>
  <c r="AK65" i="26"/>
  <c r="H34" i="52"/>
  <c r="D158" i="1" s="1"/>
  <c r="BA96" i="14" s="1"/>
  <c r="BV96" i="14" s="1"/>
  <c r="H38" i="52"/>
  <c r="D162" i="1" s="1"/>
  <c r="H28" i="52"/>
  <c r="D152" i="1" s="1"/>
  <c r="H20" i="52"/>
  <c r="D144" i="1" s="1"/>
  <c r="H12" i="52"/>
  <c r="D136" i="1" s="1"/>
  <c r="H37" i="52"/>
  <c r="D161" i="1" s="1"/>
  <c r="H27" i="52"/>
  <c r="D151" i="1" s="1"/>
  <c r="H19" i="52"/>
  <c r="D143" i="1" s="1"/>
  <c r="H11" i="52"/>
  <c r="H36" i="52"/>
  <c r="D160" i="1" s="1"/>
  <c r="H26" i="52"/>
  <c r="D150" i="1" s="1"/>
  <c r="H18" i="52"/>
  <c r="D142" i="1" s="1"/>
  <c r="H10" i="52"/>
  <c r="H15" i="52"/>
  <c r="D139" i="1" s="1"/>
  <c r="H33" i="52"/>
  <c r="D157" i="1" s="1"/>
  <c r="H25" i="52"/>
  <c r="D149" i="1" s="1"/>
  <c r="H17" i="52"/>
  <c r="D141" i="1" s="1"/>
  <c r="H8" i="52"/>
  <c r="D132" i="1" s="1"/>
  <c r="H23" i="52"/>
  <c r="D147" i="1" s="1"/>
  <c r="H32" i="52"/>
  <c r="D156" i="1" s="1"/>
  <c r="H24" i="52"/>
  <c r="D148" i="1" s="1"/>
  <c r="H16" i="52"/>
  <c r="D140" i="1" s="1"/>
  <c r="H7" i="52"/>
  <c r="D131" i="1" s="1"/>
  <c r="H31" i="52"/>
  <c r="D155" i="1" s="1"/>
  <c r="H6" i="52"/>
  <c r="D130" i="1" s="1"/>
  <c r="H30" i="52"/>
  <c r="D154" i="1" s="1"/>
  <c r="H22" i="52"/>
  <c r="D146" i="1" s="1"/>
  <c r="H14" i="52"/>
  <c r="D138" i="1" s="1"/>
  <c r="H5" i="52"/>
  <c r="D129" i="1" s="1"/>
  <c r="H29" i="52"/>
  <c r="D153" i="1" s="1"/>
  <c r="H21" i="52"/>
  <c r="D145" i="1" s="1"/>
  <c r="H13" i="52"/>
  <c r="D137" i="1" s="1"/>
  <c r="H4" i="52"/>
  <c r="H9" i="52" s="1"/>
  <c r="B137" i="1"/>
  <c r="BA59" i="14"/>
  <c r="BM59" i="14" s="1"/>
  <c r="BA112" i="14"/>
  <c r="CB112" i="14" s="1"/>
  <c r="BA106" i="14"/>
  <c r="CH106" i="14" s="1"/>
  <c r="BA116" i="14"/>
  <c r="BV116" i="14" s="1"/>
  <c r="BD8" i="14"/>
  <c r="BV103" i="14"/>
  <c r="CB101" i="14"/>
  <c r="BM102" i="14"/>
  <c r="BA117" i="14"/>
  <c r="CE117" i="14" s="1"/>
  <c r="BA113" i="14"/>
  <c r="CE113" i="14" s="1"/>
  <c r="B127" i="1"/>
  <c r="BA107" i="14"/>
  <c r="CH107" i="14" s="1"/>
  <c r="BA119" i="14"/>
  <c r="BY119" i="14" s="1"/>
  <c r="BA56" i="14"/>
  <c r="BS56" i="14" s="1"/>
  <c r="B149" i="1"/>
  <c r="BA108" i="14"/>
  <c r="BP108" i="14" s="1"/>
  <c r="BA28" i="14"/>
  <c r="BP28" i="14" s="1"/>
  <c r="BA57" i="14"/>
  <c r="BS57" i="14" s="1"/>
  <c r="B151" i="1"/>
  <c r="BA109" i="14"/>
  <c r="CH109" i="14" s="1"/>
  <c r="BA58" i="14"/>
  <c r="CB58" i="14" s="1"/>
  <c r="B166" i="1"/>
  <c r="BA50" i="14"/>
  <c r="BM50" i="14" s="1"/>
  <c r="BA115" i="14"/>
  <c r="BM115" i="14" s="1"/>
  <c r="BP54" i="14"/>
  <c r="BJ97" i="14"/>
  <c r="CE51" i="14"/>
  <c r="BV97" i="14"/>
  <c r="BM148" i="14"/>
  <c r="BV102" i="14"/>
  <c r="BG53" i="14"/>
  <c r="BJ54" i="14"/>
  <c r="CK54" i="14" s="1"/>
  <c r="CE53" i="14"/>
  <c r="CE60" i="14"/>
  <c r="CH54" i="14"/>
  <c r="BM101" i="14"/>
  <c r="BG97" i="14"/>
  <c r="BY146" i="14"/>
  <c r="BY53" i="14"/>
  <c r="BM29" i="14"/>
  <c r="BM60" i="14"/>
  <c r="BM97" i="14"/>
  <c r="BY97" i="14"/>
  <c r="BM103" i="14"/>
  <c r="BS101" i="14"/>
  <c r="CB102" i="14"/>
  <c r="BJ144" i="14"/>
  <c r="BP144" i="14"/>
  <c r="BS150" i="14"/>
  <c r="BY150" i="14"/>
  <c r="CE148" i="14"/>
  <c r="BV29" i="14"/>
  <c r="BG101" i="14"/>
  <c r="BG144" i="14"/>
  <c r="BV53" i="14"/>
  <c r="CB51" i="14"/>
  <c r="CE54" i="14"/>
  <c r="CB60" i="14"/>
  <c r="BP96" i="14"/>
  <c r="CB96" i="14"/>
  <c r="BJ101" i="14"/>
  <c r="BS102" i="14"/>
  <c r="CB103" i="14"/>
  <c r="BJ146" i="14"/>
  <c r="BP146" i="14"/>
  <c r="BV144" i="14"/>
  <c r="CB144" i="14"/>
  <c r="CE150" i="14"/>
  <c r="BY29" i="14"/>
  <c r="BG29" i="14"/>
  <c r="BG54" i="14"/>
  <c r="BG102" i="14"/>
  <c r="BG146" i="14"/>
  <c r="BP29" i="14"/>
  <c r="CB29" i="14"/>
  <c r="BM53" i="14"/>
  <c r="BS51" i="14"/>
  <c r="BV54" i="14"/>
  <c r="BS60" i="14"/>
  <c r="BP97" i="14"/>
  <c r="CB97" i="14"/>
  <c r="BJ102" i="14"/>
  <c r="BS103" i="14"/>
  <c r="BY101" i="14"/>
  <c r="BS108" i="14"/>
  <c r="BV146" i="14"/>
  <c r="CB146" i="14"/>
  <c r="CH144" i="14"/>
  <c r="BG103" i="14"/>
  <c r="BJ51" i="14"/>
  <c r="BM54" i="14"/>
  <c r="CB53" i="14"/>
  <c r="CH51" i="14"/>
  <c r="BJ60" i="14"/>
  <c r="CH60" i="14"/>
  <c r="BS96" i="14"/>
  <c r="BJ103" i="14"/>
  <c r="BP101" i="14"/>
  <c r="BY102" i="14"/>
  <c r="BJ150" i="14"/>
  <c r="BP150" i="14"/>
  <c r="CB148" i="14"/>
  <c r="CH146" i="14"/>
  <c r="BJ29" i="14"/>
  <c r="BM51" i="14"/>
  <c r="BG150" i="14"/>
  <c r="BS29" i="14"/>
  <c r="CE29" i="14"/>
  <c r="BS53" i="14"/>
  <c r="BY51" i="14"/>
  <c r="CB54" i="14"/>
  <c r="BY60" i="14"/>
  <c r="BS97" i="14"/>
  <c r="BP102" i="14"/>
  <c r="BY103" i="14"/>
  <c r="BM144" i="14"/>
  <c r="BS144" i="14"/>
  <c r="BV150" i="14"/>
  <c r="CB150" i="14"/>
  <c r="BP51" i="14"/>
  <c r="BS54" i="14"/>
  <c r="CH53" i="14"/>
  <c r="BP60" i="14"/>
  <c r="BJ96" i="14"/>
  <c r="BP103" i="14"/>
  <c r="BV101" i="14"/>
  <c r="BJ118" i="14"/>
  <c r="BM146" i="14"/>
  <c r="BS146" i="14"/>
  <c r="BY144" i="14"/>
  <c r="CH150" i="14"/>
  <c r="BG51" i="14"/>
  <c r="BG60" i="14"/>
  <c r="BM96" i="14"/>
  <c r="BA44" i="14" l="1"/>
  <c r="CH44" i="14" s="1"/>
  <c r="BA13" i="14"/>
  <c r="BG13" i="14" s="1"/>
  <c r="BA47" i="14"/>
  <c r="CE47" i="14" s="1"/>
  <c r="BA20" i="14"/>
  <c r="CH20" i="14" s="1"/>
  <c r="BA38" i="14"/>
  <c r="BM38" i="14" s="1"/>
  <c r="BA36" i="14"/>
  <c r="BV36" i="14" s="1"/>
  <c r="BA91" i="14"/>
  <c r="BY91" i="14" s="1"/>
  <c r="BA37" i="14"/>
  <c r="BM37" i="14" s="1"/>
  <c r="BA45" i="14"/>
  <c r="CH45" i="14" s="1"/>
  <c r="BA46" i="14"/>
  <c r="BV46" i="14" s="1"/>
  <c r="BA67" i="14"/>
  <c r="BG67" i="14" s="1"/>
  <c r="BA90" i="14"/>
  <c r="BA14" i="14"/>
  <c r="BM14" i="14" s="1"/>
  <c r="BA39" i="14"/>
  <c r="BP39" i="14" s="1"/>
  <c r="BA92" i="14"/>
  <c r="CH92" i="14" s="1"/>
  <c r="BA93" i="14"/>
  <c r="CH93" i="14" s="1"/>
  <c r="BA42" i="14"/>
  <c r="CE42" i="14" s="1"/>
  <c r="S620" i="28"/>
  <c r="S612" i="28"/>
  <c r="S604" i="28"/>
  <c r="S596" i="28"/>
  <c r="T596" i="28" s="1"/>
  <c r="S588" i="28"/>
  <c r="S580" i="28"/>
  <c r="S572" i="28"/>
  <c r="T572" i="28" s="1"/>
  <c r="AI572" i="28" s="1"/>
  <c r="S564" i="28"/>
  <c r="T564" i="28" s="1"/>
  <c r="AI564" i="28" s="1"/>
  <c r="S556" i="28"/>
  <c r="T556" i="28" s="1"/>
  <c r="S548" i="28"/>
  <c r="S540" i="28"/>
  <c r="S532" i="28"/>
  <c r="S524" i="28"/>
  <c r="S516" i="28"/>
  <c r="T516" i="28" s="1"/>
  <c r="AI516" i="28" s="1"/>
  <c r="S508" i="28"/>
  <c r="T508" i="28" s="1"/>
  <c r="S500" i="28"/>
  <c r="T500" i="28" s="1"/>
  <c r="AI500" i="28" s="1"/>
  <c r="S492" i="28"/>
  <c r="S484" i="28"/>
  <c r="S476" i="28"/>
  <c r="T476" i="28" s="1"/>
  <c r="AI476" i="28" s="1"/>
  <c r="S468" i="28"/>
  <c r="S460" i="28"/>
  <c r="S452" i="28"/>
  <c r="S444" i="28"/>
  <c r="T444" i="28" s="1"/>
  <c r="S436" i="28"/>
  <c r="T436" i="28" s="1"/>
  <c r="S428" i="28"/>
  <c r="T428" i="28" s="1"/>
  <c r="S412" i="28"/>
  <c r="T412" i="28" s="1"/>
  <c r="S396" i="28"/>
  <c r="T396" i="28" s="1"/>
  <c r="S380" i="28"/>
  <c r="T380" i="28" s="1"/>
  <c r="S364" i="28"/>
  <c r="T364" i="28" s="1"/>
  <c r="S356" i="28"/>
  <c r="S332" i="28"/>
  <c r="T332" i="28" s="1"/>
  <c r="AI332" i="28" s="1"/>
  <c r="S316" i="28"/>
  <c r="S300" i="28"/>
  <c r="T300" i="28" s="1"/>
  <c r="S284" i="28"/>
  <c r="S268" i="28"/>
  <c r="S252" i="28"/>
  <c r="S236" i="28"/>
  <c r="T236" i="28" s="1"/>
  <c r="S228" i="28"/>
  <c r="T228" i="28" s="1"/>
  <c r="AI228" i="28" s="1"/>
  <c r="S212" i="28"/>
  <c r="T212" i="28" s="1"/>
  <c r="AI212" i="28" s="1"/>
  <c r="S603" i="28"/>
  <c r="T603" i="28" s="1"/>
  <c r="AI603" i="28" s="1"/>
  <c r="S595" i="28"/>
  <c r="T595" i="28" s="1"/>
  <c r="S571" i="28"/>
  <c r="S555" i="28"/>
  <c r="T555" i="28" s="1"/>
  <c r="S547" i="28"/>
  <c r="S531" i="28"/>
  <c r="S515" i="28"/>
  <c r="S483" i="28"/>
  <c r="S467" i="28"/>
  <c r="T467" i="28" s="1"/>
  <c r="AI467" i="28" s="1"/>
  <c r="S443" i="28"/>
  <c r="T443" i="28" s="1"/>
  <c r="S419" i="28"/>
  <c r="T419" i="28" s="1"/>
  <c r="S403" i="28"/>
  <c r="T403" i="28" s="1"/>
  <c r="S379" i="28"/>
  <c r="T379" i="28" s="1"/>
  <c r="S355" i="28"/>
  <c r="S339" i="28"/>
  <c r="S315" i="28"/>
  <c r="S307" i="28"/>
  <c r="T307" i="28" s="1"/>
  <c r="AI307" i="28" s="1"/>
  <c r="S291" i="28"/>
  <c r="T291" i="28" s="1"/>
  <c r="S243" i="28"/>
  <c r="T243" i="28" s="1"/>
  <c r="S619" i="28"/>
  <c r="S618" i="28"/>
  <c r="S610" i="28"/>
  <c r="S602" i="28"/>
  <c r="S594" i="28"/>
  <c r="S586" i="28"/>
  <c r="S578" i="28"/>
  <c r="S570" i="28"/>
  <c r="S562" i="28"/>
  <c r="T562" i="28" s="1"/>
  <c r="S554" i="28"/>
  <c r="T554" i="28" s="1"/>
  <c r="S546" i="28"/>
  <c r="S538" i="28"/>
  <c r="S530" i="28"/>
  <c r="S522" i="28"/>
  <c r="T522" i="28" s="1"/>
  <c r="S514" i="28"/>
  <c r="S506" i="28"/>
  <c r="T506" i="28" s="1"/>
  <c r="S498" i="28"/>
  <c r="T498" i="28" s="1"/>
  <c r="AI498" i="28" s="1"/>
  <c r="S490" i="28"/>
  <c r="S482" i="28"/>
  <c r="S474" i="28"/>
  <c r="S466" i="28"/>
  <c r="T466" i="28" s="1"/>
  <c r="AI466" i="28" s="1"/>
  <c r="S458" i="28"/>
  <c r="S450" i="28"/>
  <c r="S442" i="28"/>
  <c r="T442" i="28" s="1"/>
  <c r="S434" i="28"/>
  <c r="S426" i="28"/>
  <c r="T426" i="28" s="1"/>
  <c r="S418" i="28"/>
  <c r="T418" i="28" s="1"/>
  <c r="S410" i="28"/>
  <c r="T410" i="28" s="1"/>
  <c r="S402" i="28"/>
  <c r="S394" i="28"/>
  <c r="T394" i="28" s="1"/>
  <c r="S386" i="28"/>
  <c r="S378" i="28"/>
  <c r="T378" i="28" s="1"/>
  <c r="S370" i="28"/>
  <c r="T370" i="28" s="1"/>
  <c r="Z370" i="28" s="1"/>
  <c r="S362" i="28"/>
  <c r="S354" i="28"/>
  <c r="S346" i="28"/>
  <c r="S338" i="28"/>
  <c r="S330" i="28"/>
  <c r="T330" i="28" s="1"/>
  <c r="S322" i="28"/>
  <c r="S314" i="28"/>
  <c r="S306" i="28"/>
  <c r="S298" i="28"/>
  <c r="T298" i="28" s="1"/>
  <c r="S290" i="28"/>
  <c r="S282" i="28"/>
  <c r="S274" i="28"/>
  <c r="T274" i="28" s="1"/>
  <c r="AI274" i="28" s="1"/>
  <c r="S266" i="28"/>
  <c r="T266" i="28" s="1"/>
  <c r="AI266" i="28" s="1"/>
  <c r="S258" i="28"/>
  <c r="S250" i="28"/>
  <c r="S242" i="28"/>
  <c r="T242" i="28" s="1"/>
  <c r="S234" i="28"/>
  <c r="S226" i="28"/>
  <c r="S218" i="28"/>
  <c r="T218" i="28" s="1"/>
  <c r="AI218" i="28" s="1"/>
  <c r="S210" i="28"/>
  <c r="T210" i="28" s="1"/>
  <c r="AI210" i="28" s="1"/>
  <c r="S251" i="28"/>
  <c r="T251" i="28" s="1"/>
  <c r="AI251" i="28" s="1"/>
  <c r="S211" i="28"/>
  <c r="S617" i="28"/>
  <c r="S609" i="28"/>
  <c r="S601" i="28"/>
  <c r="T601" i="28" s="1"/>
  <c r="S593" i="28"/>
  <c r="S585" i="28"/>
  <c r="S577" i="28"/>
  <c r="S569" i="28"/>
  <c r="S561" i="28"/>
  <c r="S553" i="28"/>
  <c r="T553" i="28" s="1"/>
  <c r="S545" i="28"/>
  <c r="T545" i="28" s="1"/>
  <c r="AI545" i="28" s="1"/>
  <c r="S537" i="28"/>
  <c r="S529" i="28"/>
  <c r="S521" i="28"/>
  <c r="S513" i="28"/>
  <c r="T513" i="28" s="1"/>
  <c r="AI513" i="28" s="1"/>
  <c r="S505" i="28"/>
  <c r="T505" i="28" s="1"/>
  <c r="S497" i="28"/>
  <c r="S489" i="28"/>
  <c r="S481" i="28"/>
  <c r="S473" i="28"/>
  <c r="S465" i="28"/>
  <c r="S457" i="28"/>
  <c r="T457" i="28" s="1"/>
  <c r="AI457" i="28" s="1"/>
  <c r="S449" i="28"/>
  <c r="T449" i="28" s="1"/>
  <c r="AI449" i="28" s="1"/>
  <c r="S441" i="28"/>
  <c r="T441" i="28" s="1"/>
  <c r="S433" i="28"/>
  <c r="S425" i="28"/>
  <c r="T425" i="28" s="1"/>
  <c r="S417" i="28"/>
  <c r="T417" i="28" s="1"/>
  <c r="S409" i="28"/>
  <c r="T409" i="28" s="1"/>
  <c r="S401" i="28"/>
  <c r="S393" i="28"/>
  <c r="T393" i="28" s="1"/>
  <c r="S385" i="28"/>
  <c r="S377" i="28"/>
  <c r="T377" i="28" s="1"/>
  <c r="S369" i="28"/>
  <c r="S361" i="28"/>
  <c r="T361" i="28" s="1"/>
  <c r="AI361" i="28" s="1"/>
  <c r="S353" i="28"/>
  <c r="T353" i="28" s="1"/>
  <c r="AI353" i="28" s="1"/>
  <c r="S345" i="28"/>
  <c r="S337" i="28"/>
  <c r="S329" i="28"/>
  <c r="S321" i="28"/>
  <c r="S313" i="28"/>
  <c r="T313" i="28" s="1"/>
  <c r="AI313" i="28" s="1"/>
  <c r="S305" i="28"/>
  <c r="S297" i="28"/>
  <c r="S289" i="28"/>
  <c r="T289" i="28" s="1"/>
  <c r="S281" i="28"/>
  <c r="S273" i="28"/>
  <c r="S265" i="28"/>
  <c r="T265" i="28" s="1"/>
  <c r="S257" i="28"/>
  <c r="T257" i="28" s="1"/>
  <c r="AI257" i="28" s="1"/>
  <c r="S249" i="28"/>
  <c r="T249" i="28" s="1"/>
  <c r="AI249" i="28" s="1"/>
  <c r="S241" i="28"/>
  <c r="T241" i="28" s="1"/>
  <c r="S233" i="28"/>
  <c r="S225" i="28"/>
  <c r="T225" i="28" s="1"/>
  <c r="AI225" i="28" s="1"/>
  <c r="S217" i="28"/>
  <c r="S209" i="28"/>
  <c r="S279" i="28"/>
  <c r="S255" i="28"/>
  <c r="S239" i="28"/>
  <c r="T239" i="28" s="1"/>
  <c r="S215" i="28"/>
  <c r="S267" i="28"/>
  <c r="T267" i="28" s="1"/>
  <c r="AI267" i="28" s="1"/>
  <c r="S219" i="28"/>
  <c r="T219" i="28" s="1"/>
  <c r="AI219" i="28" s="1"/>
  <c r="S616" i="28"/>
  <c r="S608" i="28"/>
  <c r="S600" i="28"/>
  <c r="T600" i="28" s="1"/>
  <c r="S592" i="28"/>
  <c r="T592" i="28" s="1"/>
  <c r="AI592" i="28" s="1"/>
  <c r="S584" i="28"/>
  <c r="T584" i="28" s="1"/>
  <c r="AI584" i="28" s="1"/>
  <c r="S576" i="28"/>
  <c r="S568" i="28"/>
  <c r="S560" i="28"/>
  <c r="S552" i="28"/>
  <c r="T552" i="28" s="1"/>
  <c r="S544" i="28"/>
  <c r="S536" i="28"/>
  <c r="S528" i="28"/>
  <c r="T528" i="28" s="1"/>
  <c r="AI528" i="28" s="1"/>
  <c r="S520" i="28"/>
  <c r="T520" i="28" s="1"/>
  <c r="AI520" i="28" s="1"/>
  <c r="S512" i="28"/>
  <c r="S504" i="28"/>
  <c r="S496" i="28"/>
  <c r="T496" i="28" s="1"/>
  <c r="AI496" i="28" s="1"/>
  <c r="S488" i="28"/>
  <c r="S480" i="28"/>
  <c r="S472" i="28"/>
  <c r="T472" i="28" s="1"/>
  <c r="AI472" i="28" s="1"/>
  <c r="S464" i="28"/>
  <c r="S456" i="28"/>
  <c r="T456" i="28" s="1"/>
  <c r="AI456" i="28" s="1"/>
  <c r="S448" i="28"/>
  <c r="S440" i="28"/>
  <c r="T440" i="28" s="1"/>
  <c r="S432" i="28"/>
  <c r="S424" i="28"/>
  <c r="T424" i="28" s="1"/>
  <c r="S416" i="28"/>
  <c r="T416" i="28" s="1"/>
  <c r="S408" i="28"/>
  <c r="S400" i="28"/>
  <c r="S392" i="28"/>
  <c r="T392" i="28" s="1"/>
  <c r="S384" i="28"/>
  <c r="T384" i="28" s="1"/>
  <c r="S376" i="28"/>
  <c r="T376" i="28" s="1"/>
  <c r="S368" i="28"/>
  <c r="S360" i="28"/>
  <c r="S352" i="28"/>
  <c r="S344" i="28"/>
  <c r="T344" i="28" s="1"/>
  <c r="AI344" i="28" s="1"/>
  <c r="S336" i="28"/>
  <c r="T336" i="28" s="1"/>
  <c r="AI336" i="28" s="1"/>
  <c r="S328" i="28"/>
  <c r="S320" i="28"/>
  <c r="S312" i="28"/>
  <c r="S304" i="28"/>
  <c r="T304" i="28" s="1"/>
  <c r="AI304" i="28" s="1"/>
  <c r="S296" i="28"/>
  <c r="S288" i="28"/>
  <c r="T288" i="28" s="1"/>
  <c r="S280" i="28"/>
  <c r="S272" i="28"/>
  <c r="S264" i="28"/>
  <c r="T264" i="28" s="1"/>
  <c r="S256" i="28"/>
  <c r="S248" i="28"/>
  <c r="S240" i="28"/>
  <c r="S232" i="28"/>
  <c r="S224" i="28"/>
  <c r="S216" i="28"/>
  <c r="S208" i="28"/>
  <c r="T208" i="28" s="1"/>
  <c r="AI208" i="28" s="1"/>
  <c r="S263" i="28"/>
  <c r="S247" i="28"/>
  <c r="T247" i="28" s="1"/>
  <c r="S231" i="28"/>
  <c r="T231" i="28" s="1"/>
  <c r="AI231" i="28" s="1"/>
  <c r="S207" i="28"/>
  <c r="S259" i="28"/>
  <c r="S235" i="28"/>
  <c r="T235" i="28" s="1"/>
  <c r="S615" i="28"/>
  <c r="S607" i="28"/>
  <c r="T607" i="28" s="1"/>
  <c r="AI607" i="28" s="1"/>
  <c r="S599" i="28"/>
  <c r="T599" i="28" s="1"/>
  <c r="S591" i="28"/>
  <c r="S583" i="28"/>
  <c r="S575" i="28"/>
  <c r="S567" i="28"/>
  <c r="S559" i="28"/>
  <c r="S551" i="28"/>
  <c r="S543" i="28"/>
  <c r="S535" i="28"/>
  <c r="S527" i="28"/>
  <c r="S519" i="28"/>
  <c r="T519" i="28" s="1"/>
  <c r="AI519" i="28" s="1"/>
  <c r="S511" i="28"/>
  <c r="T511" i="28" s="1"/>
  <c r="AI511" i="28" s="1"/>
  <c r="S503" i="28"/>
  <c r="S495" i="28"/>
  <c r="S487" i="28"/>
  <c r="S479" i="28"/>
  <c r="S471" i="28"/>
  <c r="S463" i="28"/>
  <c r="S455" i="28"/>
  <c r="T455" i="28" s="1"/>
  <c r="AI455" i="28" s="1"/>
  <c r="S447" i="28"/>
  <c r="S439" i="28"/>
  <c r="T439" i="28" s="1"/>
  <c r="S431" i="28"/>
  <c r="S423" i="28"/>
  <c r="T423" i="28" s="1"/>
  <c r="S415" i="28"/>
  <c r="S407" i="28"/>
  <c r="T407" i="28" s="1"/>
  <c r="AI407" i="28" s="1"/>
  <c r="S399" i="28"/>
  <c r="S391" i="28"/>
  <c r="T391" i="28" s="1"/>
  <c r="S383" i="28"/>
  <c r="T383" i="28" s="1"/>
  <c r="AI383" i="28" s="1"/>
  <c r="S375" i="28"/>
  <c r="T375" i="28" s="1"/>
  <c r="S367" i="28"/>
  <c r="S359" i="28"/>
  <c r="T359" i="28" s="1"/>
  <c r="AI359" i="28" s="1"/>
  <c r="S351" i="28"/>
  <c r="S343" i="28"/>
  <c r="T343" i="28" s="1"/>
  <c r="AI343" i="28" s="1"/>
  <c r="S335" i="28"/>
  <c r="S327" i="28"/>
  <c r="S319" i="28"/>
  <c r="S311" i="28"/>
  <c r="S303" i="28"/>
  <c r="S295" i="28"/>
  <c r="S287" i="28"/>
  <c r="S271" i="28"/>
  <c r="T271" i="28" s="1"/>
  <c r="S223" i="28"/>
  <c r="S275" i="28"/>
  <c r="S227" i="28"/>
  <c r="S614" i="28"/>
  <c r="S606" i="28"/>
  <c r="S598" i="28"/>
  <c r="T598" i="28" s="1"/>
  <c r="S590" i="28"/>
  <c r="T590" i="28" s="1"/>
  <c r="AI590" i="28" s="1"/>
  <c r="S582" i="28"/>
  <c r="T582" i="28" s="1"/>
  <c r="AI582" i="28" s="1"/>
  <c r="S574" i="28"/>
  <c r="S566" i="28"/>
  <c r="S558" i="28"/>
  <c r="T558" i="28" s="1"/>
  <c r="S550" i="28"/>
  <c r="S542" i="28"/>
  <c r="S534" i="28"/>
  <c r="T534" i="28" s="1"/>
  <c r="AI534" i="28" s="1"/>
  <c r="S526" i="28"/>
  <c r="S518" i="28"/>
  <c r="T518" i="28" s="1"/>
  <c r="AI518" i="28" s="1"/>
  <c r="S510" i="28"/>
  <c r="T510" i="28" s="1"/>
  <c r="S502" i="28"/>
  <c r="T502" i="28" s="1"/>
  <c r="AI502" i="28" s="1"/>
  <c r="S494" i="28"/>
  <c r="T494" i="28" s="1"/>
  <c r="AI494" i="28" s="1"/>
  <c r="S486" i="28"/>
  <c r="S478" i="28"/>
  <c r="S470" i="28"/>
  <c r="S462" i="28"/>
  <c r="T462" i="28" s="1"/>
  <c r="AI462" i="28" s="1"/>
  <c r="S454" i="28"/>
  <c r="T454" i="28" s="1"/>
  <c r="AI454" i="28" s="1"/>
  <c r="S446" i="28"/>
  <c r="T446" i="28" s="1"/>
  <c r="S438" i="28"/>
  <c r="T438" i="28" s="1"/>
  <c r="S430" i="28"/>
  <c r="T430" i="28" s="1"/>
  <c r="S422" i="28"/>
  <c r="T422" i="28" s="1"/>
  <c r="S414" i="28"/>
  <c r="T414" i="28" s="1"/>
  <c r="S406" i="28"/>
  <c r="T406" i="28" s="1"/>
  <c r="S398" i="28"/>
  <c r="S390" i="28"/>
  <c r="T390" i="28" s="1"/>
  <c r="S382" i="28"/>
  <c r="T382" i="28" s="1"/>
  <c r="S374" i="28"/>
  <c r="S366" i="28"/>
  <c r="S358" i="28"/>
  <c r="S350" i="28"/>
  <c r="T350" i="28" s="1"/>
  <c r="S342" i="28"/>
  <c r="T342" i="28" s="1"/>
  <c r="S334" i="28"/>
  <c r="S326" i="28"/>
  <c r="S318" i="28"/>
  <c r="S310" i="28"/>
  <c r="S302" i="28"/>
  <c r="T302" i="28" s="1"/>
  <c r="AI302" i="28" s="1"/>
  <c r="S294" i="28"/>
  <c r="S286" i="28"/>
  <c r="S278" i="28"/>
  <c r="S270" i="28"/>
  <c r="T270" i="28" s="1"/>
  <c r="S262" i="28"/>
  <c r="T262" i="28" s="1"/>
  <c r="AI262" i="28" s="1"/>
  <c r="S254" i="28"/>
  <c r="S246" i="28"/>
  <c r="T246" i="28" s="1"/>
  <c r="S238" i="28"/>
  <c r="T238" i="28" s="1"/>
  <c r="S230" i="28"/>
  <c r="S222" i="28"/>
  <c r="S214" i="28"/>
  <c r="S507" i="28"/>
  <c r="T507" i="28" s="1"/>
  <c r="S491" i="28"/>
  <c r="T491" i="28" s="1"/>
  <c r="AI491" i="28" s="1"/>
  <c r="S475" i="28"/>
  <c r="S451" i="28"/>
  <c r="T451" i="28" s="1"/>
  <c r="AI451" i="28" s="1"/>
  <c r="S427" i="28"/>
  <c r="T427" i="28" s="1"/>
  <c r="S395" i="28"/>
  <c r="T395" i="28" s="1"/>
  <c r="S371" i="28"/>
  <c r="S331" i="28"/>
  <c r="T331" i="28" s="1"/>
  <c r="S299" i="28"/>
  <c r="S613" i="28"/>
  <c r="S605" i="28"/>
  <c r="T605" i="28" s="1"/>
  <c r="AI605" i="28" s="1"/>
  <c r="S597" i="28"/>
  <c r="T597" i="28" s="1"/>
  <c r="S589" i="28"/>
  <c r="S581" i="28"/>
  <c r="S573" i="28"/>
  <c r="S565" i="28"/>
  <c r="S557" i="28"/>
  <c r="T557" i="28" s="1"/>
  <c r="S549" i="28"/>
  <c r="T549" i="28" s="1"/>
  <c r="AI549" i="28" s="1"/>
  <c r="S541" i="28"/>
  <c r="S533" i="28"/>
  <c r="S525" i="28"/>
  <c r="S517" i="28"/>
  <c r="S509" i="28"/>
  <c r="T509" i="28" s="1"/>
  <c r="S501" i="28"/>
  <c r="T501" i="28" s="1"/>
  <c r="AI501" i="28" s="1"/>
  <c r="S493" i="28"/>
  <c r="T493" i="28" s="1"/>
  <c r="AI493" i="28" s="1"/>
  <c r="S485" i="28"/>
  <c r="S477" i="28"/>
  <c r="T477" i="28" s="1"/>
  <c r="AI477" i="28" s="1"/>
  <c r="S469" i="28"/>
  <c r="S461" i="28"/>
  <c r="T461" i="28" s="1"/>
  <c r="AI461" i="28" s="1"/>
  <c r="S453" i="28"/>
  <c r="S445" i="28"/>
  <c r="T445" i="28" s="1"/>
  <c r="S437" i="28"/>
  <c r="T437" i="28" s="1"/>
  <c r="S429" i="28"/>
  <c r="T429" i="28" s="1"/>
  <c r="S421" i="28"/>
  <c r="T421" i="28" s="1"/>
  <c r="S413" i="28"/>
  <c r="T413" i="28" s="1"/>
  <c r="S405" i="28"/>
  <c r="T405" i="28" s="1"/>
  <c r="S397" i="28"/>
  <c r="S389" i="28"/>
  <c r="S381" i="28"/>
  <c r="T381" i="28" s="1"/>
  <c r="S373" i="28"/>
  <c r="S365" i="28"/>
  <c r="T365" i="28" s="1"/>
  <c r="S357" i="28"/>
  <c r="T357" i="28" s="1"/>
  <c r="AI357" i="28" s="1"/>
  <c r="S349" i="28"/>
  <c r="T349" i="28" s="1"/>
  <c r="AI349" i="28" s="1"/>
  <c r="S341" i="28"/>
  <c r="T341" i="28" s="1"/>
  <c r="AI341" i="28" s="1"/>
  <c r="S333" i="28"/>
  <c r="S325" i="28"/>
  <c r="S317" i="28"/>
  <c r="S309" i="28"/>
  <c r="T309" i="28" s="1"/>
  <c r="AI309" i="28" s="1"/>
  <c r="S301" i="28"/>
  <c r="T301" i="28" s="1"/>
  <c r="S293" i="28"/>
  <c r="T293" i="28" s="1"/>
  <c r="AI293" i="28" s="1"/>
  <c r="S285" i="28"/>
  <c r="S277" i="28"/>
  <c r="S269" i="28"/>
  <c r="T269" i="28" s="1"/>
  <c r="AI269" i="28" s="1"/>
  <c r="S261" i="28"/>
  <c r="S253" i="28"/>
  <c r="T253" i="28" s="1"/>
  <c r="AI253" i="28" s="1"/>
  <c r="S245" i="28"/>
  <c r="T245" i="28" s="1"/>
  <c r="S237" i="28"/>
  <c r="T237" i="28" s="1"/>
  <c r="S229" i="28"/>
  <c r="T229" i="28" s="1"/>
  <c r="AI229" i="28" s="1"/>
  <c r="S221" i="28"/>
  <c r="S213" i="28"/>
  <c r="S420" i="28"/>
  <c r="S404" i="28"/>
  <c r="T404" i="28" s="1"/>
  <c r="S388" i="28"/>
  <c r="S372" i="28"/>
  <c r="T372" i="28" s="1"/>
  <c r="S348" i="28"/>
  <c r="T348" i="28" s="1"/>
  <c r="AI348" i="28" s="1"/>
  <c r="S340" i="28"/>
  <c r="S324" i="28"/>
  <c r="S308" i="28"/>
  <c r="T308" i="28" s="1"/>
  <c r="AI308" i="28" s="1"/>
  <c r="S292" i="28"/>
  <c r="T292" i="28" s="1"/>
  <c r="S276" i="28"/>
  <c r="S260" i="28"/>
  <c r="S244" i="28"/>
  <c r="S220" i="28"/>
  <c r="T220" i="28" s="1"/>
  <c r="AI220" i="28" s="1"/>
  <c r="S611" i="28"/>
  <c r="S587" i="28"/>
  <c r="T587" i="28" s="1"/>
  <c r="AI587" i="28" s="1"/>
  <c r="S579" i="28"/>
  <c r="S563" i="28"/>
  <c r="T563" i="28" s="1"/>
  <c r="AI563" i="28" s="1"/>
  <c r="S539" i="28"/>
  <c r="T539" i="28" s="1"/>
  <c r="AI539" i="28" s="1"/>
  <c r="S523" i="28"/>
  <c r="S499" i="28"/>
  <c r="S459" i="28"/>
  <c r="S435" i="28"/>
  <c r="T435" i="28" s="1"/>
  <c r="S411" i="28"/>
  <c r="T411" i="28" s="1"/>
  <c r="S387" i="28"/>
  <c r="T387" i="28" s="1"/>
  <c r="AI387" i="28" s="1"/>
  <c r="S363" i="28"/>
  <c r="S347" i="28"/>
  <c r="S323" i="28"/>
  <c r="T323" i="28" s="1"/>
  <c r="AI323" i="28" s="1"/>
  <c r="S283" i="28"/>
  <c r="BS118" i="14"/>
  <c r="BM118" i="14"/>
  <c r="CE118" i="14"/>
  <c r="BG118" i="14"/>
  <c r="CB118" i="14"/>
  <c r="CH118" i="14"/>
  <c r="BV148" i="14"/>
  <c r="BJ148" i="14"/>
  <c r="BS148" i="14"/>
  <c r="BP149" i="14"/>
  <c r="BV149" i="14"/>
  <c r="BM56" i="14"/>
  <c r="BS149" i="14"/>
  <c r="CE149" i="14"/>
  <c r="BG148" i="14"/>
  <c r="BY108" i="14"/>
  <c r="BG149" i="14"/>
  <c r="BJ149" i="14"/>
  <c r="BG96" i="14"/>
  <c r="BY96" i="14"/>
  <c r="CH149" i="14"/>
  <c r="CB149" i="14"/>
  <c r="BY149" i="14"/>
  <c r="CH148" i="14"/>
  <c r="BP148" i="14"/>
  <c r="BM149" i="14"/>
  <c r="S151" i="28"/>
  <c r="T151" i="28" s="1"/>
  <c r="S179" i="24"/>
  <c r="T179" i="24" s="1"/>
  <c r="S82" i="28"/>
  <c r="T82" i="28" s="1"/>
  <c r="S86" i="28"/>
  <c r="T86" i="28" s="1"/>
  <c r="S90" i="28"/>
  <c r="T90" i="28" s="1"/>
  <c r="S180" i="24"/>
  <c r="T180" i="24" s="1"/>
  <c r="S83" i="28"/>
  <c r="T83" i="28" s="1"/>
  <c r="S87" i="28"/>
  <c r="T87" i="28" s="1"/>
  <c r="S175" i="24"/>
  <c r="T175" i="24" s="1"/>
  <c r="S88" i="28"/>
  <c r="T88" i="28" s="1"/>
  <c r="S181" i="24"/>
  <c r="T181" i="24" s="1"/>
  <c r="S178" i="24"/>
  <c r="T178" i="24" s="1"/>
  <c r="Z178" i="24" s="1"/>
  <c r="S174" i="24"/>
  <c r="T174" i="24" s="1"/>
  <c r="Z174" i="24" s="1"/>
  <c r="S85" i="28"/>
  <c r="T85" i="28" s="1"/>
  <c r="S152" i="28"/>
  <c r="T152" i="28" s="1"/>
  <c r="S176" i="24"/>
  <c r="T176" i="24" s="1"/>
  <c r="BV52" i="14"/>
  <c r="BS52" i="14"/>
  <c r="BY52" i="14"/>
  <c r="CH52" i="14"/>
  <c r="BG52" i="14"/>
  <c r="CB52" i="14"/>
  <c r="BV118" i="14"/>
  <c r="CK145" i="14"/>
  <c r="BJ52" i="14"/>
  <c r="BP52" i="14"/>
  <c r="BM52" i="14"/>
  <c r="BY118" i="14"/>
  <c r="T579" i="28"/>
  <c r="BA145" i="14"/>
  <c r="I145" i="14" s="1"/>
  <c r="CE115" i="14"/>
  <c r="BM108" i="14"/>
  <c r="BY115" i="14"/>
  <c r="BP115" i="14"/>
  <c r="BJ115" i="14"/>
  <c r="BP112" i="14"/>
  <c r="BY112" i="14"/>
  <c r="CE112" i="14"/>
  <c r="BM112" i="14"/>
  <c r="BM58" i="14"/>
  <c r="CE97" i="14"/>
  <c r="S206" i="24"/>
  <c r="T206" i="24" s="1"/>
  <c r="S209" i="24"/>
  <c r="T209" i="24" s="1"/>
  <c r="S210" i="24"/>
  <c r="T210" i="24" s="1"/>
  <c r="T280" i="28"/>
  <c r="S203" i="24"/>
  <c r="T203" i="24" s="1"/>
  <c r="AI203" i="24" s="1"/>
  <c r="S211" i="24"/>
  <c r="T211" i="24" s="1"/>
  <c r="S202" i="24"/>
  <c r="T202" i="24" s="1"/>
  <c r="AI202" i="24" s="1"/>
  <c r="T434" i="28"/>
  <c r="T371" i="28"/>
  <c r="T326" i="28"/>
  <c r="S204" i="28"/>
  <c r="T204" i="28" s="1"/>
  <c r="BM109" i="14"/>
  <c r="CE96" i="14"/>
  <c r="CH96" i="14"/>
  <c r="BP109" i="14"/>
  <c r="S149" i="28"/>
  <c r="T149" i="28" s="1"/>
  <c r="AI149" i="28" s="1"/>
  <c r="S132" i="28"/>
  <c r="T132" i="28" s="1"/>
  <c r="AI132" i="28" s="1"/>
  <c r="S124" i="28"/>
  <c r="T124" i="28" s="1"/>
  <c r="AI124" i="28" s="1"/>
  <c r="S106" i="28"/>
  <c r="T106" i="28" s="1"/>
  <c r="AI106" i="28" s="1"/>
  <c r="S98" i="28"/>
  <c r="T98" i="28" s="1"/>
  <c r="AI98" i="28" s="1"/>
  <c r="S122" i="28"/>
  <c r="T122" i="28" s="1"/>
  <c r="AI122" i="28" s="1"/>
  <c r="S195" i="28"/>
  <c r="T195" i="28" s="1"/>
  <c r="AI195" i="28" s="1"/>
  <c r="S148" i="28"/>
  <c r="T148" i="28" s="1"/>
  <c r="AI148" i="28" s="1"/>
  <c r="S131" i="28"/>
  <c r="T131" i="28" s="1"/>
  <c r="AI131" i="28" s="1"/>
  <c r="S123" i="28"/>
  <c r="T123" i="28" s="1"/>
  <c r="AI123" i="28" s="1"/>
  <c r="S105" i="28"/>
  <c r="T105" i="28" s="1"/>
  <c r="AI105" i="28" s="1"/>
  <c r="S97" i="28"/>
  <c r="T97" i="28" s="1"/>
  <c r="AI97" i="28" s="1"/>
  <c r="S130" i="28"/>
  <c r="T130" i="28" s="1"/>
  <c r="AI130" i="28" s="1"/>
  <c r="S103" i="28"/>
  <c r="T103" i="28" s="1"/>
  <c r="AI103" i="28" s="1"/>
  <c r="S165" i="28"/>
  <c r="T165" i="28" s="1"/>
  <c r="AI165" i="28" s="1"/>
  <c r="S164" i="28"/>
  <c r="T164" i="28" s="1"/>
  <c r="AI164" i="28" s="1"/>
  <c r="S145" i="28"/>
  <c r="T145" i="28" s="1"/>
  <c r="AI145" i="28" s="1"/>
  <c r="S129" i="28"/>
  <c r="S121" i="28"/>
  <c r="T121" i="28" s="1"/>
  <c r="AI121" i="28" s="1"/>
  <c r="S163" i="28"/>
  <c r="T163" i="28" s="1"/>
  <c r="AI163" i="28" s="1"/>
  <c r="S144" i="28"/>
  <c r="T144" i="28" s="1"/>
  <c r="AI144" i="28" s="1"/>
  <c r="S128" i="28"/>
  <c r="T128" i="28" s="1"/>
  <c r="AI128" i="28" s="1"/>
  <c r="S120" i="28"/>
  <c r="T120" i="28" s="1"/>
  <c r="AI120" i="28" s="1"/>
  <c r="S102" i="28"/>
  <c r="T102" i="28" s="1"/>
  <c r="AI102" i="28" s="1"/>
  <c r="S162" i="28"/>
  <c r="T162" i="28" s="1"/>
  <c r="AI162" i="28" s="1"/>
  <c r="S135" i="28"/>
  <c r="S127" i="28"/>
  <c r="T127" i="28" s="1"/>
  <c r="AI127" i="28" s="1"/>
  <c r="S119" i="28"/>
  <c r="T119" i="28" s="1"/>
  <c r="AI119" i="28" s="1"/>
  <c r="S101" i="28"/>
  <c r="T101" i="28" s="1"/>
  <c r="AI101" i="28" s="1"/>
  <c r="T561" i="28"/>
  <c r="AI561" i="28" s="1"/>
  <c r="S161" i="28"/>
  <c r="T161" i="28" s="1"/>
  <c r="AI161" i="28" s="1"/>
  <c r="S134" i="28"/>
  <c r="T134" i="28" s="1"/>
  <c r="AI134" i="28" s="1"/>
  <c r="S126" i="28"/>
  <c r="T126" i="28" s="1"/>
  <c r="AI126" i="28" s="1"/>
  <c r="S112" i="28"/>
  <c r="T112" i="28" s="1"/>
  <c r="AI112" i="28" s="1"/>
  <c r="S100" i="28"/>
  <c r="T100" i="28" s="1"/>
  <c r="AI100" i="28" s="1"/>
  <c r="S147" i="28"/>
  <c r="T147" i="28" s="1"/>
  <c r="AI147" i="28" s="1"/>
  <c r="S96" i="28"/>
  <c r="T96" i="28" s="1"/>
  <c r="AI96" i="28" s="1"/>
  <c r="S150" i="28"/>
  <c r="T150" i="28" s="1"/>
  <c r="AI150" i="28" s="1"/>
  <c r="S133" i="28"/>
  <c r="T133" i="28" s="1"/>
  <c r="AI133" i="28" s="1"/>
  <c r="S125" i="28"/>
  <c r="T125" i="28" s="1"/>
  <c r="AI125" i="28" s="1"/>
  <c r="S109" i="28"/>
  <c r="T109" i="28" s="1"/>
  <c r="AI109" i="28" s="1"/>
  <c r="S99" i="28"/>
  <c r="T99" i="28" s="1"/>
  <c r="AI99" i="28" s="1"/>
  <c r="T560" i="28"/>
  <c r="AI560" i="28" s="1"/>
  <c r="S104" i="28"/>
  <c r="T104" i="28" s="1"/>
  <c r="AI104" i="28" s="1"/>
  <c r="S95" i="28"/>
  <c r="T95" i="28" s="1"/>
  <c r="AI95" i="28" s="1"/>
  <c r="T503" i="28"/>
  <c r="AI503" i="28" s="1"/>
  <c r="T368" i="28"/>
  <c r="AI368" i="28" s="1"/>
  <c r="S174" i="28"/>
  <c r="T174" i="28" s="1"/>
  <c r="AI174" i="28" s="1"/>
  <c r="T369" i="28"/>
  <c r="AI369" i="28" s="1"/>
  <c r="T515" i="28"/>
  <c r="AI515" i="28" s="1"/>
  <c r="S189" i="28"/>
  <c r="T189" i="28" s="1"/>
  <c r="AI189" i="28" s="1"/>
  <c r="S181" i="28"/>
  <c r="S173" i="28"/>
  <c r="T173" i="28" s="1"/>
  <c r="AI173" i="28" s="1"/>
  <c r="T521" i="28"/>
  <c r="AI521" i="28" s="1"/>
  <c r="S179" i="28"/>
  <c r="T179" i="28" s="1"/>
  <c r="AI179" i="28" s="1"/>
  <c r="T525" i="28"/>
  <c r="AI525" i="28" s="1"/>
  <c r="S188" i="28"/>
  <c r="T188" i="28" s="1"/>
  <c r="AI188" i="28" s="1"/>
  <c r="S180" i="28"/>
  <c r="S172" i="28"/>
  <c r="T172" i="28" s="1"/>
  <c r="AI172" i="28" s="1"/>
  <c r="S187" i="28"/>
  <c r="T373" i="28"/>
  <c r="AI373" i="28" s="1"/>
  <c r="S186" i="28"/>
  <c r="T186" i="28" s="1"/>
  <c r="AI186" i="28" s="1"/>
  <c r="S178" i="28"/>
  <c r="S175" i="28"/>
  <c r="T175" i="28" s="1"/>
  <c r="AI175" i="28" s="1"/>
  <c r="S182" i="28"/>
  <c r="S185" i="28"/>
  <c r="T185" i="28" s="1"/>
  <c r="AI185" i="28" s="1"/>
  <c r="S177" i="28"/>
  <c r="T177" i="28" s="1"/>
  <c r="AI177" i="28" s="1"/>
  <c r="S167" i="28"/>
  <c r="T167" i="28" s="1"/>
  <c r="AI167" i="28" s="1"/>
  <c r="T465" i="28"/>
  <c r="AI465" i="28" s="1"/>
  <c r="S184" i="28"/>
  <c r="T184" i="28" s="1"/>
  <c r="AI184" i="28" s="1"/>
  <c r="S176" i="28"/>
  <c r="T176" i="28" s="1"/>
  <c r="AI176" i="28" s="1"/>
  <c r="S168" i="28"/>
  <c r="T168" i="28" s="1"/>
  <c r="AI168" i="28" s="1"/>
  <c r="T374" i="28"/>
  <c r="AI374" i="28" s="1"/>
  <c r="T517" i="28"/>
  <c r="AI517" i="28" s="1"/>
  <c r="T473" i="28"/>
  <c r="AI473" i="28" s="1"/>
  <c r="S183" i="28"/>
  <c r="T183" i="28" s="1"/>
  <c r="AI183" i="28" s="1"/>
  <c r="T388" i="28"/>
  <c r="AI388" i="28" s="1"/>
  <c r="T345" i="28"/>
  <c r="AI345" i="28" s="1"/>
  <c r="T495" i="28"/>
  <c r="AI495" i="28" s="1"/>
  <c r="T469" i="28"/>
  <c r="AI469" i="28" s="1"/>
  <c r="T484" i="28"/>
  <c r="AI484" i="28" s="1"/>
  <c r="T338" i="28"/>
  <c r="AI338" i="28" s="1"/>
  <c r="T346" i="28"/>
  <c r="AI346" i="28" s="1"/>
  <c r="T548" i="28"/>
  <c r="AI548" i="28" s="1"/>
  <c r="T514" i="28"/>
  <c r="AI514" i="28" s="1"/>
  <c r="T468" i="28"/>
  <c r="AI468" i="28" s="1"/>
  <c r="T482" i="28"/>
  <c r="AI482" i="28" s="1"/>
  <c r="T385" i="28"/>
  <c r="AI385" i="28" s="1"/>
  <c r="T340" i="28"/>
  <c r="AI340" i="28" s="1"/>
  <c r="T492" i="28"/>
  <c r="AI492" i="28" s="1"/>
  <c r="T481" i="28"/>
  <c r="AI481" i="28" s="1"/>
  <c r="T474" i="28"/>
  <c r="AI474" i="28" s="1"/>
  <c r="T479" i="28"/>
  <c r="AI479" i="28" s="1"/>
  <c r="T485" i="28"/>
  <c r="AI485" i="28" s="1"/>
  <c r="T386" i="28"/>
  <c r="AI386" i="28" s="1"/>
  <c r="T588" i="28"/>
  <c r="AI588" i="28" s="1"/>
  <c r="T512" i="28"/>
  <c r="AI512" i="28" s="1"/>
  <c r="T488" i="28"/>
  <c r="AI488" i="28" s="1"/>
  <c r="T480" i="28"/>
  <c r="AI480" i="28" s="1"/>
  <c r="T541" i="28"/>
  <c r="AI541" i="28" s="1"/>
  <c r="T565" i="28"/>
  <c r="AI565" i="28" s="1"/>
  <c r="T581" i="28"/>
  <c r="AI581" i="28" s="1"/>
  <c r="T433" i="28"/>
  <c r="AI433" i="28" s="1"/>
  <c r="T432" i="28"/>
  <c r="AI432" i="28" s="1"/>
  <c r="T333" i="28"/>
  <c r="AI333" i="28" s="1"/>
  <c r="T490" i="28"/>
  <c r="AI490" i="28" s="1"/>
  <c r="T487" i="28"/>
  <c r="AI487" i="28" s="1"/>
  <c r="T471" i="28"/>
  <c r="AI471" i="28" s="1"/>
  <c r="T589" i="28"/>
  <c r="AI589" i="28" s="1"/>
  <c r="T470" i="28"/>
  <c r="AI470" i="28" s="1"/>
  <c r="T335" i="28"/>
  <c r="AI335" i="28" s="1"/>
  <c r="T591" i="28"/>
  <c r="AI591" i="28" s="1"/>
  <c r="T497" i="28"/>
  <c r="AI497" i="28" s="1"/>
  <c r="T550" i="28"/>
  <c r="AI550" i="28" s="1"/>
  <c r="T486" i="28"/>
  <c r="AI486" i="28" s="1"/>
  <c r="T478" i="28"/>
  <c r="AI478" i="28" s="1"/>
  <c r="T389" i="28"/>
  <c r="AI389" i="28" s="1"/>
  <c r="T337" i="28"/>
  <c r="AI337" i="28" s="1"/>
  <c r="T483" i="28"/>
  <c r="AI483" i="28" s="1"/>
  <c r="T339" i="28"/>
  <c r="AI339" i="28" s="1"/>
  <c r="T347" i="28"/>
  <c r="AI347" i="28" s="1"/>
  <c r="T475" i="28"/>
  <c r="AI475" i="28" s="1"/>
  <c r="T537" i="28"/>
  <c r="AI537" i="28" s="1"/>
  <c r="T256" i="28"/>
  <c r="AI256" i="28" s="1"/>
  <c r="T296" i="28"/>
  <c r="AI296" i="28" s="1"/>
  <c r="T546" i="28"/>
  <c r="AI546" i="28" s="1"/>
  <c r="T536" i="28"/>
  <c r="AI536" i="28" s="1"/>
  <c r="T255" i="28"/>
  <c r="AI255" i="28" s="1"/>
  <c r="T295" i="28"/>
  <c r="AI295" i="28" s="1"/>
  <c r="T327" i="28"/>
  <c r="AI327" i="28" s="1"/>
  <c r="T352" i="28"/>
  <c r="AI352" i="28" s="1"/>
  <c r="T312" i="28"/>
  <c r="AI312" i="28" s="1"/>
  <c r="T578" i="28"/>
  <c r="T535" i="28"/>
  <c r="AI535" i="28" s="1"/>
  <c r="T303" i="28"/>
  <c r="AI303" i="28" s="1"/>
  <c r="T254" i="28"/>
  <c r="AI254" i="28" s="1"/>
  <c r="T294" i="28"/>
  <c r="AI294" i="28" s="1"/>
  <c r="T325" i="28"/>
  <c r="AI325" i="28" s="1"/>
  <c r="T351" i="28"/>
  <c r="AI351" i="28" s="1"/>
  <c r="T311" i="28"/>
  <c r="AI311" i="28" s="1"/>
  <c r="T543" i="28"/>
  <c r="AI543" i="28" s="1"/>
  <c r="T526" i="28"/>
  <c r="AI526" i="28" s="1"/>
  <c r="T358" i="28"/>
  <c r="AI358" i="28" s="1"/>
  <c r="T314" i="28"/>
  <c r="AI314" i="28" s="1"/>
  <c r="T310" i="28"/>
  <c r="AI310" i="28" s="1"/>
  <c r="T283" i="28"/>
  <c r="AI283" i="28" s="1"/>
  <c r="T532" i="28"/>
  <c r="AI532" i="28" s="1"/>
  <c r="T542" i="28"/>
  <c r="AI542" i="28" s="1"/>
  <c r="T524" i="28"/>
  <c r="T260" i="28"/>
  <c r="AI260" i="28" s="1"/>
  <c r="T250" i="28"/>
  <c r="AI250" i="28" s="1"/>
  <c r="T324" i="28"/>
  <c r="AI324" i="28" s="1"/>
  <c r="T316" i="28"/>
  <c r="AI316" i="28" s="1"/>
  <c r="T531" i="28"/>
  <c r="AI531" i="28" s="1"/>
  <c r="T540" i="28"/>
  <c r="AI540" i="28" s="1"/>
  <c r="T547" i="28"/>
  <c r="AI547" i="28" s="1"/>
  <c r="T259" i="28"/>
  <c r="AI259" i="28" s="1"/>
  <c r="T252" i="28"/>
  <c r="AI252" i="28" s="1"/>
  <c r="T328" i="28"/>
  <c r="AI328" i="28" s="1"/>
  <c r="T356" i="28"/>
  <c r="AI356" i="28" s="1"/>
  <c r="T580" i="28"/>
  <c r="AI580" i="28" s="1"/>
  <c r="T530" i="28"/>
  <c r="AI530" i="28" s="1"/>
  <c r="T544" i="28"/>
  <c r="AI544" i="28" s="1"/>
  <c r="T258" i="28"/>
  <c r="AI258" i="28" s="1"/>
  <c r="T329" i="28"/>
  <c r="AI329" i="28" s="1"/>
  <c r="T355" i="28"/>
  <c r="AI355" i="28" s="1"/>
  <c r="T529" i="28"/>
  <c r="AI529" i="28" s="1"/>
  <c r="T571" i="28"/>
  <c r="AI571" i="28" s="1"/>
  <c r="T538" i="28"/>
  <c r="AI538" i="28" s="1"/>
  <c r="T263" i="28"/>
  <c r="AI263" i="28" s="1"/>
  <c r="T354" i="28"/>
  <c r="AI354" i="28" s="1"/>
  <c r="T585" i="28"/>
  <c r="AI585" i="28" s="1"/>
  <c r="T583" i="28"/>
  <c r="AI583" i="28" s="1"/>
  <c r="CB115" i="14"/>
  <c r="BG108" i="14"/>
  <c r="BP113" i="14"/>
  <c r="BS113" i="14"/>
  <c r="BJ56" i="14"/>
  <c r="CH112" i="14"/>
  <c r="BV59" i="14"/>
  <c r="CE57" i="14"/>
  <c r="CH115" i="14"/>
  <c r="BS115" i="14"/>
  <c r="BP56" i="14"/>
  <c r="BV112" i="14"/>
  <c r="CB56" i="14"/>
  <c r="BV56" i="14"/>
  <c r="BG115" i="14"/>
  <c r="BJ112" i="14"/>
  <c r="BG112" i="14"/>
  <c r="CE56" i="14"/>
  <c r="BG56" i="14"/>
  <c r="BS112" i="14"/>
  <c r="S91" i="28"/>
  <c r="T91" i="28" s="1"/>
  <c r="AI91" i="28" s="1"/>
  <c r="T459" i="28"/>
  <c r="AI459" i="28" s="1"/>
  <c r="T317" i="28"/>
  <c r="AI317" i="28" s="1"/>
  <c r="T606" i="28"/>
  <c r="AI606" i="28" s="1"/>
  <c r="T227" i="28"/>
  <c r="AI227" i="28" s="1"/>
  <c r="T620" i="28"/>
  <c r="AI620" i="28" s="1"/>
  <c r="T619" i="28"/>
  <c r="AI619" i="28" s="1"/>
  <c r="S19" i="28"/>
  <c r="T19" i="28" s="1"/>
  <c r="AI19" i="28" s="1"/>
  <c r="T577" i="28"/>
  <c r="AI577" i="28" s="1"/>
  <c r="T452" i="28"/>
  <c r="AI452" i="28" s="1"/>
  <c r="T460" i="28"/>
  <c r="AI460" i="28" s="1"/>
  <c r="S67" i="28"/>
  <c r="S76" i="28"/>
  <c r="S166" i="28"/>
  <c r="T166" i="28" s="1"/>
  <c r="AI166" i="28" s="1"/>
  <c r="T453" i="28"/>
  <c r="AI453" i="28" s="1"/>
  <c r="T604" i="28"/>
  <c r="AI604" i="28" s="1"/>
  <c r="S62" i="28"/>
  <c r="T62" i="28" s="1"/>
  <c r="AI62" i="28" s="1"/>
  <c r="T617" i="28"/>
  <c r="AI617" i="28" s="1"/>
  <c r="S20" i="28"/>
  <c r="T20" i="28" s="1"/>
  <c r="AI20" i="28" s="1"/>
  <c r="T230" i="28"/>
  <c r="AI230" i="28" s="1"/>
  <c r="T447" i="28"/>
  <c r="AI447" i="28" s="1"/>
  <c r="T226" i="28"/>
  <c r="AI226" i="28" s="1"/>
  <c r="S92" i="28"/>
  <c r="T92" i="28" s="1"/>
  <c r="AI92" i="28" s="1"/>
  <c r="T618" i="28"/>
  <c r="AI618" i="28" s="1"/>
  <c r="T448" i="28"/>
  <c r="AI448" i="28" s="1"/>
  <c r="T464" i="28"/>
  <c r="AI464" i="28" s="1"/>
  <c r="T232" i="28"/>
  <c r="AI232" i="28" s="1"/>
  <c r="S45" i="28"/>
  <c r="T45" i="28" s="1"/>
  <c r="AI45" i="28" s="1"/>
  <c r="T305" i="28"/>
  <c r="AI305" i="28" s="1"/>
  <c r="T450" i="28"/>
  <c r="AI450" i="28" s="1"/>
  <c r="T458" i="28"/>
  <c r="AI458" i="28" s="1"/>
  <c r="T233" i="28"/>
  <c r="AI233" i="28" s="1"/>
  <c r="T463" i="28"/>
  <c r="AI463" i="28" s="1"/>
  <c r="T261" i="28"/>
  <c r="AI261" i="28" s="1"/>
  <c r="T272" i="28"/>
  <c r="AI272" i="28" s="1"/>
  <c r="T215" i="28"/>
  <c r="AI215" i="28" s="1"/>
  <c r="T209" i="28"/>
  <c r="AI209" i="28" s="1"/>
  <c r="T273" i="28"/>
  <c r="AI273" i="28" s="1"/>
  <c r="T211" i="28"/>
  <c r="AI211" i="28" s="1"/>
  <c r="T217" i="28"/>
  <c r="AI217" i="28" s="1"/>
  <c r="S196" i="28"/>
  <c r="T334" i="28"/>
  <c r="AI334" i="28" s="1"/>
  <c r="T221" i="28"/>
  <c r="AI221" i="28" s="1"/>
  <c r="T268" i="28"/>
  <c r="AI268" i="28" s="1"/>
  <c r="S205" i="28"/>
  <c r="T216" i="28"/>
  <c r="AI216" i="28" s="1"/>
  <c r="T207" i="28"/>
  <c r="AI207" i="28" s="1"/>
  <c r="T279" i="28"/>
  <c r="AI279" i="28" s="1"/>
  <c r="S197" i="28"/>
  <c r="T318" i="28"/>
  <c r="AI318" i="28" s="1"/>
  <c r="T275" i="28"/>
  <c r="AI275" i="28" s="1"/>
  <c r="T222" i="28"/>
  <c r="AI222" i="28" s="1"/>
  <c r="T224" i="28"/>
  <c r="AI224" i="28" s="1"/>
  <c r="T276" i="28"/>
  <c r="AI276" i="28" s="1"/>
  <c r="T223" i="28"/>
  <c r="AI223" i="28" s="1"/>
  <c r="S206" i="28"/>
  <c r="T206" i="28" s="1"/>
  <c r="AI206" i="28" s="1"/>
  <c r="T277" i="28"/>
  <c r="AI277" i="28" s="1"/>
  <c r="T281" i="28"/>
  <c r="AI281" i="28" s="1"/>
  <c r="T278" i="28"/>
  <c r="AI278" i="28" s="1"/>
  <c r="S114" i="24"/>
  <c r="T114" i="24" s="1"/>
  <c r="S96" i="24"/>
  <c r="T96" i="24" s="1"/>
  <c r="S217" i="24"/>
  <c r="T217" i="24" s="1"/>
  <c r="S215" i="24"/>
  <c r="T215" i="24" s="1"/>
  <c r="S65" i="26"/>
  <c r="T65" i="26" s="1"/>
  <c r="S23" i="28"/>
  <c r="T23" i="28" s="1"/>
  <c r="AI23" i="28" s="1"/>
  <c r="S183" i="24"/>
  <c r="T183" i="24" s="1"/>
  <c r="Z183" i="24" s="1"/>
  <c r="S67" i="26"/>
  <c r="T67" i="26" s="1"/>
  <c r="S184" i="24"/>
  <c r="T184" i="24" s="1"/>
  <c r="Z184" i="24" s="1"/>
  <c r="S65" i="27"/>
  <c r="T65" i="27" s="1"/>
  <c r="S64" i="27"/>
  <c r="T64" i="27" s="1"/>
  <c r="S237" i="24"/>
  <c r="T237" i="24" s="1"/>
  <c r="S67" i="27"/>
  <c r="T67" i="27" s="1"/>
  <c r="S66" i="26"/>
  <c r="T66" i="26" s="1"/>
  <c r="S236" i="24"/>
  <c r="T236" i="24" s="1"/>
  <c r="S185" i="24"/>
  <c r="T185" i="24" s="1"/>
  <c r="Z185" i="24" s="1"/>
  <c r="S66" i="27"/>
  <c r="T66" i="27" s="1"/>
  <c r="S63" i="27"/>
  <c r="T63" i="27" s="1"/>
  <c r="S68" i="26"/>
  <c r="T68" i="26" s="1"/>
  <c r="CB108" i="14"/>
  <c r="BP119" i="14"/>
  <c r="CB50" i="14"/>
  <c r="BG57" i="14"/>
  <c r="CB113" i="14"/>
  <c r="BJ58" i="14"/>
  <c r="BM116" i="14"/>
  <c r="BV115" i="14"/>
  <c r="CE119" i="14"/>
  <c r="CB116" i="14"/>
  <c r="BJ119" i="14"/>
  <c r="BP116" i="14"/>
  <c r="BG116" i="14"/>
  <c r="BY57" i="14"/>
  <c r="CH116" i="14"/>
  <c r="BP58" i="14"/>
  <c r="BJ57" i="14"/>
  <c r="CB119" i="14"/>
  <c r="BY58" i="14"/>
  <c r="CE116" i="14"/>
  <c r="BG109" i="14"/>
  <c r="BG58" i="14"/>
  <c r="BJ116" i="14"/>
  <c r="BS116" i="14"/>
  <c r="BV113" i="14"/>
  <c r="BS58" i="14"/>
  <c r="BG119" i="14"/>
  <c r="BV107" i="14"/>
  <c r="BY116" i="14"/>
  <c r="BM119" i="14"/>
  <c r="BV119" i="14"/>
  <c r="CH113" i="14"/>
  <c r="CB57" i="14"/>
  <c r="BV57" i="14"/>
  <c r="BY113" i="14"/>
  <c r="BP57" i="14"/>
  <c r="BG113" i="14"/>
  <c r="BJ113" i="14"/>
  <c r="CH58" i="14"/>
  <c r="BM106" i="14"/>
  <c r="CK106" i="14" s="1"/>
  <c r="BV58" i="14"/>
  <c r="CE58" i="14"/>
  <c r="CH57" i="14"/>
  <c r="CH119" i="14"/>
  <c r="BM57" i="14"/>
  <c r="BS119" i="14"/>
  <c r="BM113" i="14"/>
  <c r="BY107" i="14"/>
  <c r="CE109" i="14"/>
  <c r="BJ109" i="14"/>
  <c r="BG107" i="14"/>
  <c r="BP59" i="14"/>
  <c r="BY59" i="14"/>
  <c r="BJ59" i="14"/>
  <c r="BS59" i="14"/>
  <c r="BY106" i="14"/>
  <c r="BP106" i="14"/>
  <c r="BS117" i="14"/>
  <c r="CE106" i="14"/>
  <c r="BY147" i="14"/>
  <c r="CH50" i="14"/>
  <c r="BS106" i="14"/>
  <c r="CB107" i="14"/>
  <c r="CE50" i="14"/>
  <c r="CH59" i="14"/>
  <c r="CE107" i="14"/>
  <c r="CB109" i="14"/>
  <c r="BP107" i="14"/>
  <c r="CE59" i="14"/>
  <c r="CB106" i="14"/>
  <c r="BY109" i="14"/>
  <c r="BS107" i="14"/>
  <c r="BG59" i="14"/>
  <c r="CB59" i="14"/>
  <c r="BV109" i="14"/>
  <c r="BJ107" i="14"/>
  <c r="BV106" i="14"/>
  <c r="BP50" i="14"/>
  <c r="BS109" i="14"/>
  <c r="BY50" i="14"/>
  <c r="BJ50" i="14"/>
  <c r="BM107" i="14"/>
  <c r="BS50" i="14"/>
  <c r="BA100" i="14"/>
  <c r="BA99" i="14"/>
  <c r="CH99" i="14" s="1"/>
  <c r="BA40" i="14"/>
  <c r="BA41" i="14"/>
  <c r="BA16" i="14"/>
  <c r="BG16" i="14" s="1"/>
  <c r="D134" i="1"/>
  <c r="D135" i="1"/>
  <c r="D128" i="1"/>
  <c r="D133" i="1"/>
  <c r="BM28" i="14"/>
  <c r="BJ117" i="14"/>
  <c r="CE28" i="14"/>
  <c r="BP117" i="14"/>
  <c r="BS28" i="14"/>
  <c r="BM117" i="14"/>
  <c r="BV108" i="14"/>
  <c r="CH28" i="14"/>
  <c r="CH117" i="14"/>
  <c r="BV28" i="14"/>
  <c r="BJ28" i="14"/>
  <c r="CB117" i="14"/>
  <c r="BG117" i="14"/>
  <c r="CB28" i="14"/>
  <c r="BY117" i="14"/>
  <c r="BV117" i="14"/>
  <c r="CH56" i="14"/>
  <c r="BY56" i="14"/>
  <c r="BV50" i="14"/>
  <c r="CH108" i="14"/>
  <c r="BY28" i="14"/>
  <c r="BG28" i="14"/>
  <c r="CE108" i="14"/>
  <c r="BJ108" i="14"/>
  <c r="CH147" i="14"/>
  <c r="BS147" i="14"/>
  <c r="CB147" i="14"/>
  <c r="BM147" i="14"/>
  <c r="BV147" i="14"/>
  <c r="BJ147" i="14"/>
  <c r="BP147" i="14"/>
  <c r="Z227" i="23"/>
  <c r="Z228" i="23"/>
  <c r="Z229" i="23"/>
  <c r="Z230" i="23"/>
  <c r="Z231" i="23"/>
  <c r="Z232" i="23"/>
  <c r="Z233" i="23"/>
  <c r="Z234" i="23"/>
  <c r="Z235" i="23"/>
  <c r="Z236" i="23"/>
  <c r="Z237" i="23"/>
  <c r="Z238" i="23"/>
  <c r="Z239" i="23"/>
  <c r="Z240" i="23"/>
  <c r="Z226" i="23"/>
  <c r="AB227" i="23"/>
  <c r="AC227" i="23"/>
  <c r="AD227" i="23"/>
  <c r="AE227" i="23"/>
  <c r="AF227" i="23"/>
  <c r="AG227" i="23"/>
  <c r="AH227" i="23"/>
  <c r="AI227" i="23"/>
  <c r="AJ227" i="23"/>
  <c r="AK227" i="23"/>
  <c r="AB229" i="23"/>
  <c r="AC229" i="23"/>
  <c r="AD229" i="23"/>
  <c r="AE229" i="23"/>
  <c r="AF229" i="23"/>
  <c r="AG229" i="23"/>
  <c r="AH229" i="23"/>
  <c r="AI229" i="23"/>
  <c r="AJ229" i="23"/>
  <c r="AK229" i="23"/>
  <c r="AB230" i="23"/>
  <c r="AC230" i="23"/>
  <c r="AD230" i="23"/>
  <c r="AE230" i="23"/>
  <c r="AF230" i="23"/>
  <c r="AG230" i="23"/>
  <c r="AH230" i="23"/>
  <c r="AI230" i="23"/>
  <c r="AJ230" i="23"/>
  <c r="AK230" i="23"/>
  <c r="AB231" i="23"/>
  <c r="AC231" i="23"/>
  <c r="AD231" i="23"/>
  <c r="AE231" i="23"/>
  <c r="AF231" i="23"/>
  <c r="AG231" i="23"/>
  <c r="AH231" i="23"/>
  <c r="AI231" i="23"/>
  <c r="AJ231" i="23"/>
  <c r="AK231" i="23"/>
  <c r="AB232" i="23"/>
  <c r="AC232" i="23"/>
  <c r="AD232" i="23"/>
  <c r="AE232" i="23"/>
  <c r="AF232" i="23"/>
  <c r="AG232" i="23"/>
  <c r="AH232" i="23"/>
  <c r="AI232" i="23"/>
  <c r="AJ232" i="23"/>
  <c r="AK232" i="23"/>
  <c r="AB233" i="23"/>
  <c r="AC233" i="23"/>
  <c r="AD233" i="23"/>
  <c r="AE233" i="23"/>
  <c r="AF233" i="23"/>
  <c r="AG233" i="23"/>
  <c r="AH233" i="23"/>
  <c r="AI233" i="23"/>
  <c r="AJ233" i="23"/>
  <c r="AK233" i="23"/>
  <c r="BJ90" i="14" l="1"/>
  <c r="BP90" i="14"/>
  <c r="CH90" i="14"/>
  <c r="BM40" i="14"/>
  <c r="BG90" i="14"/>
  <c r="BJ47" i="14"/>
  <c r="CH67" i="14"/>
  <c r="BG47" i="14"/>
  <c r="CE90" i="14"/>
  <c r="CB90" i="14"/>
  <c r="BY90" i="14"/>
  <c r="CB20" i="14"/>
  <c r="BJ44" i="14"/>
  <c r="BG14" i="14"/>
  <c r="BJ14" i="14"/>
  <c r="CB14" i="14"/>
  <c r="BP13" i="14"/>
  <c r="CH91" i="14"/>
  <c r="BM90" i="14"/>
  <c r="BV90" i="14"/>
  <c r="BS20" i="14"/>
  <c r="BS90" i="14"/>
  <c r="BY46" i="14"/>
  <c r="BM46" i="14"/>
  <c r="BM13" i="14"/>
  <c r="CE46" i="14"/>
  <c r="BS46" i="14"/>
  <c r="CB47" i="14"/>
  <c r="BJ46" i="14"/>
  <c r="CH46" i="14"/>
  <c r="CH47" i="14"/>
  <c r="BP46" i="14"/>
  <c r="CH13" i="14"/>
  <c r="CB13" i="14"/>
  <c r="BS67" i="14"/>
  <c r="BS47" i="14"/>
  <c r="BG92" i="14"/>
  <c r="BY47" i="14"/>
  <c r="CB46" i="14"/>
  <c r="BP47" i="14"/>
  <c r="BG46" i="14"/>
  <c r="BY14" i="14"/>
  <c r="BY67" i="14"/>
  <c r="BV47" i="14"/>
  <c r="BV67" i="14"/>
  <c r="BM47" i="14"/>
  <c r="BV39" i="14"/>
  <c r="BG36" i="14"/>
  <c r="BY39" i="14"/>
  <c r="CE36" i="14"/>
  <c r="BJ39" i="14"/>
  <c r="BG39" i="14"/>
  <c r="CE39" i="14"/>
  <c r="BM39" i="14"/>
  <c r="BS39" i="14"/>
  <c r="CH39" i="14"/>
  <c r="BS45" i="14"/>
  <c r="BP45" i="14"/>
  <c r="BV14" i="14"/>
  <c r="BJ45" i="14"/>
  <c r="BS14" i="14"/>
  <c r="CH14" i="14"/>
  <c r="BY44" i="14"/>
  <c r="BY45" i="14"/>
  <c r="BP14" i="14"/>
  <c r="BG45" i="14"/>
  <c r="BP38" i="14"/>
  <c r="CE14" i="14"/>
  <c r="BS38" i="14"/>
  <c r="BS92" i="14"/>
  <c r="BV92" i="14"/>
  <c r="BM92" i="14"/>
  <c r="CE92" i="14"/>
  <c r="BY92" i="14"/>
  <c r="CB92" i="14"/>
  <c r="CB91" i="14"/>
  <c r="BJ92" i="14"/>
  <c r="BP92" i="14"/>
  <c r="BG37" i="14"/>
  <c r="BS93" i="14"/>
  <c r="BY93" i="14"/>
  <c r="BY37" i="14"/>
  <c r="BV93" i="14"/>
  <c r="CE93" i="14"/>
  <c r="BM93" i="14"/>
  <c r="BJ93" i="14"/>
  <c r="BJ37" i="14"/>
  <c r="CH37" i="14"/>
  <c r="BP93" i="14"/>
  <c r="BP37" i="14"/>
  <c r="BV37" i="14"/>
  <c r="BG93" i="14"/>
  <c r="CB37" i="14"/>
  <c r="BS37" i="14"/>
  <c r="CB93" i="14"/>
  <c r="BJ13" i="14"/>
  <c r="BP20" i="14"/>
  <c r="BV20" i="14"/>
  <c r="BV44" i="14"/>
  <c r="BM67" i="14"/>
  <c r="BJ91" i="14"/>
  <c r="CE20" i="14"/>
  <c r="BG44" i="14"/>
  <c r="CB67" i="14"/>
  <c r="BG91" i="14"/>
  <c r="BP36" i="14"/>
  <c r="BM91" i="14"/>
  <c r="CB45" i="14"/>
  <c r="BM44" i="14"/>
  <c r="CB44" i="14"/>
  <c r="BJ67" i="14"/>
  <c r="CB36" i="14"/>
  <c r="CE45" i="14"/>
  <c r="BS13" i="14"/>
  <c r="BA17" i="14"/>
  <c r="CE17" i="14" s="1"/>
  <c r="BY20" i="14"/>
  <c r="BS44" i="14"/>
  <c r="BM36" i="14"/>
  <c r="BP67" i="14"/>
  <c r="BJ36" i="14"/>
  <c r="CE67" i="14"/>
  <c r="BM45" i="14"/>
  <c r="BY13" i="14"/>
  <c r="BA19" i="14"/>
  <c r="BJ19" i="14" s="1"/>
  <c r="BG20" i="14"/>
  <c r="BV13" i="14"/>
  <c r="BP44" i="14"/>
  <c r="BY36" i="14"/>
  <c r="BV91" i="14"/>
  <c r="BS36" i="14"/>
  <c r="BS91" i="14"/>
  <c r="CE91" i="14"/>
  <c r="BA131" i="14"/>
  <c r="BP131" i="14" s="1"/>
  <c r="BV45" i="14"/>
  <c r="CE13" i="14"/>
  <c r="BM20" i="14"/>
  <c r="BJ20" i="14"/>
  <c r="CH36" i="14"/>
  <c r="CE44" i="14"/>
  <c r="BP91" i="14"/>
  <c r="AI377" i="28"/>
  <c r="Z377" i="28"/>
  <c r="AI436" i="28"/>
  <c r="Z436" i="28"/>
  <c r="AI237" i="28"/>
  <c r="Z237" i="28"/>
  <c r="AI301" i="28"/>
  <c r="Z301" i="28"/>
  <c r="AI365" i="28"/>
  <c r="Z365" i="28"/>
  <c r="AI429" i="28"/>
  <c r="Z429" i="28"/>
  <c r="AI557" i="28"/>
  <c r="Z557" i="28"/>
  <c r="Z507" i="28"/>
  <c r="AI507" i="28"/>
  <c r="AI444" i="28"/>
  <c r="Z444" i="28"/>
  <c r="AI508" i="28"/>
  <c r="Z508" i="28"/>
  <c r="AI394" i="28"/>
  <c r="Z394" i="28"/>
  <c r="AI372" i="28"/>
  <c r="Z372" i="28"/>
  <c r="AI245" i="28"/>
  <c r="Z245" i="28"/>
  <c r="AI437" i="28"/>
  <c r="Z437" i="28"/>
  <c r="AI331" i="28"/>
  <c r="Z331" i="28"/>
  <c r="AI342" i="28"/>
  <c r="Z342" i="28"/>
  <c r="AI406" i="28"/>
  <c r="Z406" i="28"/>
  <c r="AI598" i="28"/>
  <c r="Z598" i="28"/>
  <c r="AI423" i="28"/>
  <c r="Z423" i="28"/>
  <c r="Z600" i="28"/>
  <c r="AI600" i="28"/>
  <c r="AI393" i="28"/>
  <c r="Z393" i="28"/>
  <c r="AI410" i="28"/>
  <c r="Z410" i="28"/>
  <c r="Z239" i="28"/>
  <c r="AI239" i="28"/>
  <c r="AI381" i="28"/>
  <c r="Z381" i="28"/>
  <c r="AI445" i="28"/>
  <c r="Z445" i="28"/>
  <c r="AI509" i="28"/>
  <c r="Z509" i="28"/>
  <c r="AI414" i="28"/>
  <c r="Z414" i="28"/>
  <c r="Z235" i="28"/>
  <c r="AI235" i="28"/>
  <c r="AI288" i="28"/>
  <c r="Z288" i="28"/>
  <c r="AI416" i="28"/>
  <c r="Z416" i="28"/>
  <c r="AI418" i="28"/>
  <c r="Z418" i="28"/>
  <c r="AI236" i="28"/>
  <c r="Z236" i="28"/>
  <c r="Z364" i="28"/>
  <c r="AI364" i="28"/>
  <c r="AI435" i="28"/>
  <c r="Z435" i="28"/>
  <c r="AI404" i="28"/>
  <c r="Z404" i="28"/>
  <c r="Z395" i="28"/>
  <c r="AI395" i="28"/>
  <c r="AI422" i="28"/>
  <c r="Z422" i="28"/>
  <c r="AI375" i="28"/>
  <c r="Z375" i="28"/>
  <c r="AI439" i="28"/>
  <c r="Z439" i="28"/>
  <c r="AI424" i="28"/>
  <c r="Z424" i="28"/>
  <c r="AI552" i="28"/>
  <c r="Z552" i="28"/>
  <c r="AI409" i="28"/>
  <c r="Z409" i="28"/>
  <c r="AI601" i="28"/>
  <c r="Z601" i="28"/>
  <c r="AI298" i="28"/>
  <c r="Z298" i="28"/>
  <c r="AI426" i="28"/>
  <c r="Z426" i="28"/>
  <c r="AI554" i="28"/>
  <c r="Z554" i="28"/>
  <c r="AI379" i="28"/>
  <c r="Z379" i="28"/>
  <c r="Z380" i="28"/>
  <c r="AI380" i="28"/>
  <c r="AI596" i="28"/>
  <c r="Z596" i="28"/>
  <c r="AI599" i="28"/>
  <c r="Z599" i="28"/>
  <c r="AI505" i="28"/>
  <c r="Z505" i="28"/>
  <c r="AI292" i="28"/>
  <c r="Z292" i="28"/>
  <c r="AI427" i="28"/>
  <c r="Z427" i="28"/>
  <c r="AI238" i="28"/>
  <c r="Z238" i="28"/>
  <c r="AI430" i="28"/>
  <c r="Z430" i="28"/>
  <c r="Z558" i="28"/>
  <c r="AI558" i="28"/>
  <c r="AI289" i="28"/>
  <c r="Z289" i="28"/>
  <c r="AI417" i="28"/>
  <c r="Z417" i="28"/>
  <c r="AI242" i="28"/>
  <c r="Z242" i="28"/>
  <c r="AI562" i="28"/>
  <c r="Z562" i="28"/>
  <c r="AI403" i="28"/>
  <c r="Z403" i="28"/>
  <c r="Z555" i="28"/>
  <c r="AI555" i="28"/>
  <c r="AI396" i="28"/>
  <c r="Z396" i="28"/>
  <c r="Z421" i="28"/>
  <c r="AI421" i="28"/>
  <c r="AI392" i="28"/>
  <c r="Z392" i="28"/>
  <c r="AI441" i="28"/>
  <c r="Z441" i="28"/>
  <c r="AI405" i="28"/>
  <c r="Z405" i="28"/>
  <c r="AI597" i="28"/>
  <c r="Z597" i="28"/>
  <c r="AI246" i="28"/>
  <c r="Z246" i="28"/>
  <c r="AI438" i="28"/>
  <c r="Z438" i="28"/>
  <c r="AI391" i="28"/>
  <c r="Z391" i="28"/>
  <c r="AI376" i="28"/>
  <c r="Z376" i="28"/>
  <c r="AI440" i="28"/>
  <c r="Z440" i="28"/>
  <c r="AI425" i="28"/>
  <c r="Z425" i="28"/>
  <c r="AI553" i="28"/>
  <c r="Z553" i="28"/>
  <c r="AI378" i="28"/>
  <c r="Z378" i="28"/>
  <c r="AI442" i="28"/>
  <c r="Z442" i="28"/>
  <c r="AI506" i="28"/>
  <c r="Z506" i="28"/>
  <c r="AI243" i="28"/>
  <c r="Z243" i="28"/>
  <c r="AI419" i="28"/>
  <c r="Z419" i="28"/>
  <c r="AI412" i="28"/>
  <c r="Z412" i="28"/>
  <c r="Z390" i="28"/>
  <c r="AI390" i="28"/>
  <c r="AI411" i="28"/>
  <c r="Z411" i="28"/>
  <c r="AI413" i="28"/>
  <c r="Z413" i="28"/>
  <c r="AI382" i="28"/>
  <c r="Z382" i="28"/>
  <c r="AI446" i="28"/>
  <c r="Z446" i="28"/>
  <c r="AI510" i="28"/>
  <c r="Z510" i="28"/>
  <c r="AI247" i="28"/>
  <c r="Z247" i="28"/>
  <c r="AI384" i="28"/>
  <c r="Z384" i="28"/>
  <c r="AI241" i="28"/>
  <c r="Z241" i="28"/>
  <c r="AI291" i="28"/>
  <c r="Z291" i="28"/>
  <c r="AI443" i="28"/>
  <c r="Z443" i="28"/>
  <c r="AI595" i="28"/>
  <c r="Z595" i="28"/>
  <c r="AI300" i="28"/>
  <c r="Z300" i="28"/>
  <c r="AI428" i="28"/>
  <c r="Z428" i="28"/>
  <c r="AI556" i="28"/>
  <c r="Z556" i="28"/>
  <c r="CK149" i="14"/>
  <c r="AI370" i="28"/>
  <c r="AH370" i="28" s="1"/>
  <c r="Z85" i="28"/>
  <c r="AI85" i="28"/>
  <c r="Z180" i="24"/>
  <c r="AI90" i="28"/>
  <c r="Z90" i="28"/>
  <c r="Z86" i="28"/>
  <c r="AI86" i="28"/>
  <c r="AI181" i="24"/>
  <c r="Z181" i="24"/>
  <c r="AI82" i="28"/>
  <c r="Z82" i="28"/>
  <c r="AI88" i="28"/>
  <c r="Z88" i="28"/>
  <c r="Z179" i="24"/>
  <c r="Z175" i="24"/>
  <c r="Z151" i="28"/>
  <c r="AI151" i="28"/>
  <c r="Z176" i="24"/>
  <c r="AI87" i="28"/>
  <c r="Z87" i="28"/>
  <c r="AI152" i="28"/>
  <c r="Z152" i="28"/>
  <c r="AI83" i="28"/>
  <c r="Z83" i="28"/>
  <c r="Z579" i="28"/>
  <c r="AI579" i="28"/>
  <c r="BA18" i="14"/>
  <c r="BY18" i="14" s="1"/>
  <c r="BA15" i="14"/>
  <c r="BJ15" i="14" s="1"/>
  <c r="AI271" i="28"/>
  <c r="Z271" i="28"/>
  <c r="AI270" i="28"/>
  <c r="Z270" i="28"/>
  <c r="AI350" i="28"/>
  <c r="Z350" i="28"/>
  <c r="AH202" i="24"/>
  <c r="AS202" i="24"/>
  <c r="Z265" i="28"/>
  <c r="AI265" i="28"/>
  <c r="AI204" i="28"/>
  <c r="Z204" i="28"/>
  <c r="Z211" i="24"/>
  <c r="AI211" i="24"/>
  <c r="AI326" i="28"/>
  <c r="Z326" i="28"/>
  <c r="AH203" i="24"/>
  <c r="AS203" i="24"/>
  <c r="Z371" i="28"/>
  <c r="AI371" i="28"/>
  <c r="Z280" i="28"/>
  <c r="AI280" i="28"/>
  <c r="AI210" i="24"/>
  <c r="Z210" i="24"/>
  <c r="Z522" i="28"/>
  <c r="AI522" i="28"/>
  <c r="Z330" i="28"/>
  <c r="AI330" i="28"/>
  <c r="AI209" i="24"/>
  <c r="Z209" i="24"/>
  <c r="Z264" i="28"/>
  <c r="AI264" i="28"/>
  <c r="Z434" i="28"/>
  <c r="AI434" i="28"/>
  <c r="Z206" i="24"/>
  <c r="AI206" i="24"/>
  <c r="AI578" i="28"/>
  <c r="Z578" i="28"/>
  <c r="AH343" i="28"/>
  <c r="AS343" i="28"/>
  <c r="AH305" i="28"/>
  <c r="AS305" i="28"/>
  <c r="AH310" i="28"/>
  <c r="AS310" i="28"/>
  <c r="AH497" i="28"/>
  <c r="AS497" i="28"/>
  <c r="AH477" i="28"/>
  <c r="AS477" i="28"/>
  <c r="AH503" i="28"/>
  <c r="AS503" i="28"/>
  <c r="AH220" i="28"/>
  <c r="AS220" i="28"/>
  <c r="AH540" i="28"/>
  <c r="AS540" i="28"/>
  <c r="AH250" i="28"/>
  <c r="AS250" i="28"/>
  <c r="AH314" i="28"/>
  <c r="AS314" i="28"/>
  <c r="AH472" i="28"/>
  <c r="AS472" i="28"/>
  <c r="AH535" i="28"/>
  <c r="AS535" i="28"/>
  <c r="AH361" i="28"/>
  <c r="AS361" i="28"/>
  <c r="AH313" i="28"/>
  <c r="AS313" i="28"/>
  <c r="AH389" i="28"/>
  <c r="AS389" i="28"/>
  <c r="AH471" i="28"/>
  <c r="AS471" i="28"/>
  <c r="AH592" i="28"/>
  <c r="AS592" i="28"/>
  <c r="AH541" i="28"/>
  <c r="AS541" i="28"/>
  <c r="AH383" i="28"/>
  <c r="AS383" i="28"/>
  <c r="AH466" i="28"/>
  <c r="AS466" i="28"/>
  <c r="AH484" i="28"/>
  <c r="AS484" i="28"/>
  <c r="AH518" i="28"/>
  <c r="AS518" i="28"/>
  <c r="AH211" i="28"/>
  <c r="AS211" i="28"/>
  <c r="AH268" i="28"/>
  <c r="AS268" i="28"/>
  <c r="AH407" i="28"/>
  <c r="AS407" i="28"/>
  <c r="AH465" i="28"/>
  <c r="AS465" i="28"/>
  <c r="AH580" i="28"/>
  <c r="AS580" i="28"/>
  <c r="AH274" i="28"/>
  <c r="AS274" i="28"/>
  <c r="AH449" i="28"/>
  <c r="AS449" i="28"/>
  <c r="AH229" i="28"/>
  <c r="AS229" i="28"/>
  <c r="AH459" i="28"/>
  <c r="AS459" i="28"/>
  <c r="AH263" i="28"/>
  <c r="AS263" i="28"/>
  <c r="AH251" i="28"/>
  <c r="AS251" i="28"/>
  <c r="AH308" i="28"/>
  <c r="AS308" i="28"/>
  <c r="AH531" i="28"/>
  <c r="AS531" i="28"/>
  <c r="AH260" i="28"/>
  <c r="AS260" i="28"/>
  <c r="AH358" i="28"/>
  <c r="AS358" i="28"/>
  <c r="AH311" i="28"/>
  <c r="AS311" i="28"/>
  <c r="AH534" i="28"/>
  <c r="AS534" i="28"/>
  <c r="AH327" i="28"/>
  <c r="AS327" i="28"/>
  <c r="AH353" i="28"/>
  <c r="AS353" i="28"/>
  <c r="AH475" i="28"/>
  <c r="AS475" i="28"/>
  <c r="AH467" i="28"/>
  <c r="AS467" i="28"/>
  <c r="AH591" i="28"/>
  <c r="AS591" i="28"/>
  <c r="AH545" i="28"/>
  <c r="AS545" i="28"/>
  <c r="AH480" i="28"/>
  <c r="AS480" i="28"/>
  <c r="AH588" i="28"/>
  <c r="AS588" i="28"/>
  <c r="AH492" i="28"/>
  <c r="AS492" i="28"/>
  <c r="AH387" i="28"/>
  <c r="AS387" i="28"/>
  <c r="AH469" i="28"/>
  <c r="AS469" i="28"/>
  <c r="AH473" i="28"/>
  <c r="AS473" i="28"/>
  <c r="AH500" i="28"/>
  <c r="AS500" i="28"/>
  <c r="AH561" i="28"/>
  <c r="AS561" i="28"/>
  <c r="AH272" i="28"/>
  <c r="AS272" i="28"/>
  <c r="AH603" i="28"/>
  <c r="AS603" i="28"/>
  <c r="AH530" i="28"/>
  <c r="AS530" i="28"/>
  <c r="AH352" i="28"/>
  <c r="AS352" i="28"/>
  <c r="AH388" i="28"/>
  <c r="AS388" i="28"/>
  <c r="AH208" i="28"/>
  <c r="AS208" i="28"/>
  <c r="AH457" i="28"/>
  <c r="AS457" i="28"/>
  <c r="AH329" i="28"/>
  <c r="AS329" i="28"/>
  <c r="AH344" i="28"/>
  <c r="AS344" i="28"/>
  <c r="AH273" i="28"/>
  <c r="AS273" i="28"/>
  <c r="AH206" i="28"/>
  <c r="AS206" i="28"/>
  <c r="AH269" i="28"/>
  <c r="AS269" i="28"/>
  <c r="AH207" i="28"/>
  <c r="AS207" i="28"/>
  <c r="AH334" i="28"/>
  <c r="AS334" i="28"/>
  <c r="AH209" i="28"/>
  <c r="AS209" i="28"/>
  <c r="AH607" i="28"/>
  <c r="AS607" i="28"/>
  <c r="AH462" i="28"/>
  <c r="AS462" i="28"/>
  <c r="AH604" i="28"/>
  <c r="AS604" i="28"/>
  <c r="AH228" i="28"/>
  <c r="AS228" i="28"/>
  <c r="AH451" i="28"/>
  <c r="AS451" i="28"/>
  <c r="AH583" i="28"/>
  <c r="AS583" i="28"/>
  <c r="AH538" i="28"/>
  <c r="AS538" i="28"/>
  <c r="AH258" i="28"/>
  <c r="AS258" i="28"/>
  <c r="AH356" i="28"/>
  <c r="AS356" i="28"/>
  <c r="AH584" i="28"/>
  <c r="AS584" i="28"/>
  <c r="AI524" i="28"/>
  <c r="AS524" i="28" s="1"/>
  <c r="AG524" i="28"/>
  <c r="AH351" i="28"/>
  <c r="AS351" i="28"/>
  <c r="AH295" i="28"/>
  <c r="AS295" i="28"/>
  <c r="AH323" i="28"/>
  <c r="AS323" i="28"/>
  <c r="AH347" i="28"/>
  <c r="AS347" i="28"/>
  <c r="AH478" i="28"/>
  <c r="AS478" i="28"/>
  <c r="AH511" i="28"/>
  <c r="AS511" i="28"/>
  <c r="AH333" i="28"/>
  <c r="AS333" i="28"/>
  <c r="AH488" i="28"/>
  <c r="AS488" i="28"/>
  <c r="AH386" i="28"/>
  <c r="AS386" i="28"/>
  <c r="AH348" i="28"/>
  <c r="AS348" i="28"/>
  <c r="AH514" i="28"/>
  <c r="AS514" i="28"/>
  <c r="AH549" i="28"/>
  <c r="AS549" i="28"/>
  <c r="AH517" i="28"/>
  <c r="AS517" i="28"/>
  <c r="AH516" i="28"/>
  <c r="AS516" i="28"/>
  <c r="AH560" i="28"/>
  <c r="AS560" i="28"/>
  <c r="AH456" i="28"/>
  <c r="AS456" i="28"/>
  <c r="AH355" i="28"/>
  <c r="AS355" i="28"/>
  <c r="AH303" i="28"/>
  <c r="AS303" i="28"/>
  <c r="AH589" i="28"/>
  <c r="AS589" i="28"/>
  <c r="AH468" i="28"/>
  <c r="AS468" i="28"/>
  <c r="AH373" i="28"/>
  <c r="AS373" i="28"/>
  <c r="AH221" i="28"/>
  <c r="AS221" i="28"/>
  <c r="AH257" i="28"/>
  <c r="AS257" i="28"/>
  <c r="AH277" i="28"/>
  <c r="AS277" i="28"/>
  <c r="AH279" i="28"/>
  <c r="AS279" i="28"/>
  <c r="AH233" i="28"/>
  <c r="AS233" i="28"/>
  <c r="AH618" i="28"/>
  <c r="AS618" i="28"/>
  <c r="AH577" i="28"/>
  <c r="AS577" i="28"/>
  <c r="AH223" i="28"/>
  <c r="AS223" i="28"/>
  <c r="AH332" i="28"/>
  <c r="AS332" i="28"/>
  <c r="AH216" i="28"/>
  <c r="AS216" i="28"/>
  <c r="AH210" i="28"/>
  <c r="AS210" i="28"/>
  <c r="AH231" i="28"/>
  <c r="AS231" i="28"/>
  <c r="AH226" i="28"/>
  <c r="AS226" i="28"/>
  <c r="AH454" i="28"/>
  <c r="AS454" i="28"/>
  <c r="AH605" i="28"/>
  <c r="AS605" i="28"/>
  <c r="AH619" i="28"/>
  <c r="AS619" i="28"/>
  <c r="AH528" i="28"/>
  <c r="AS528" i="28"/>
  <c r="AH571" i="28"/>
  <c r="AS571" i="28"/>
  <c r="AH544" i="28"/>
  <c r="AS544" i="28"/>
  <c r="AH328" i="28"/>
  <c r="AS328" i="28"/>
  <c r="AH309" i="28"/>
  <c r="AS309" i="28"/>
  <c r="AH542" i="28"/>
  <c r="AS542" i="28"/>
  <c r="AH293" i="28"/>
  <c r="AS293" i="28"/>
  <c r="AH359" i="28"/>
  <c r="AS359" i="28"/>
  <c r="AH255" i="28"/>
  <c r="AS255" i="28"/>
  <c r="AH339" i="28"/>
  <c r="AS339" i="28"/>
  <c r="AH496" i="28"/>
  <c r="AS496" i="28"/>
  <c r="AH487" i="28"/>
  <c r="AS487" i="28"/>
  <c r="AH432" i="28"/>
  <c r="AS432" i="28"/>
  <c r="AH491" i="28"/>
  <c r="AS491" i="28"/>
  <c r="AH476" i="28"/>
  <c r="AS476" i="28"/>
  <c r="AH513" i="28"/>
  <c r="AS513" i="28"/>
  <c r="AH548" i="28"/>
  <c r="AS548" i="28"/>
  <c r="AH495" i="28"/>
  <c r="AS495" i="28"/>
  <c r="AH374" i="28"/>
  <c r="AS374" i="28"/>
  <c r="AH515" i="28"/>
  <c r="AS515" i="28"/>
  <c r="AH318" i="28"/>
  <c r="AS318" i="28"/>
  <c r="AH261" i="28"/>
  <c r="AS261" i="28"/>
  <c r="AH317" i="28"/>
  <c r="AS317" i="28"/>
  <c r="AH324" i="28"/>
  <c r="AS324" i="28"/>
  <c r="AH537" i="28"/>
  <c r="AS537" i="28"/>
  <c r="AH341" i="28"/>
  <c r="AS341" i="28"/>
  <c r="AH463" i="28"/>
  <c r="AS463" i="28"/>
  <c r="AH582" i="28"/>
  <c r="AS582" i="28"/>
  <c r="AH222" i="28"/>
  <c r="AS222" i="28"/>
  <c r="AH218" i="28"/>
  <c r="AS218" i="28"/>
  <c r="AH215" i="28"/>
  <c r="AS215" i="28"/>
  <c r="AH458" i="28"/>
  <c r="AS458" i="28"/>
  <c r="AH232" i="28"/>
  <c r="AS232" i="28"/>
  <c r="AH447" i="28"/>
  <c r="AS447" i="28"/>
  <c r="AH461" i="28"/>
  <c r="AS461" i="28"/>
  <c r="AH620" i="28"/>
  <c r="AS620" i="28"/>
  <c r="AH585" i="28"/>
  <c r="AS585" i="28"/>
  <c r="AH529" i="28"/>
  <c r="AS529" i="28"/>
  <c r="AH539" i="28"/>
  <c r="AS539" i="28"/>
  <c r="AH252" i="28"/>
  <c r="AS252" i="28"/>
  <c r="AH316" i="28"/>
  <c r="AS316" i="28"/>
  <c r="AH253" i="28"/>
  <c r="AS253" i="28"/>
  <c r="AH325" i="28"/>
  <c r="AS325" i="28"/>
  <c r="AH304" i="28"/>
  <c r="AS304" i="28"/>
  <c r="AH296" i="28"/>
  <c r="AS296" i="28"/>
  <c r="AH483" i="28"/>
  <c r="AS483" i="28"/>
  <c r="AH486" i="28"/>
  <c r="AS486" i="28"/>
  <c r="AH335" i="28"/>
  <c r="AS335" i="28"/>
  <c r="AH563" i="28"/>
  <c r="AS563" i="28"/>
  <c r="AH433" i="28"/>
  <c r="AS433" i="28"/>
  <c r="AH349" i="28"/>
  <c r="AS349" i="28"/>
  <c r="AH485" i="28"/>
  <c r="AS485" i="28"/>
  <c r="AH340" i="28"/>
  <c r="AS340" i="28"/>
  <c r="AH494" i="28"/>
  <c r="AS494" i="28"/>
  <c r="AH345" i="28"/>
  <c r="AS345" i="28"/>
  <c r="AH520" i="28"/>
  <c r="AS520" i="28"/>
  <c r="AH525" i="28"/>
  <c r="AS525" i="28"/>
  <c r="AH369" i="28"/>
  <c r="AS369" i="28"/>
  <c r="AH267" i="28"/>
  <c r="AS267" i="28"/>
  <c r="AH266" i="28"/>
  <c r="AS266" i="28"/>
  <c r="AH249" i="28"/>
  <c r="AS249" i="28"/>
  <c r="AH543" i="28"/>
  <c r="AS543" i="28"/>
  <c r="AH337" i="28"/>
  <c r="AS337" i="28"/>
  <c r="AH481" i="28"/>
  <c r="AS481" i="28"/>
  <c r="AH521" i="28"/>
  <c r="AS521" i="28"/>
  <c r="AH224" i="28"/>
  <c r="AS224" i="28"/>
  <c r="AH448" i="28"/>
  <c r="AS448" i="28"/>
  <c r="AH278" i="28"/>
  <c r="AS278" i="28"/>
  <c r="AH276" i="28"/>
  <c r="AS276" i="28"/>
  <c r="AH275" i="28"/>
  <c r="AS275" i="28"/>
  <c r="AH212" i="28"/>
  <c r="AS212" i="28"/>
  <c r="AH217" i="28"/>
  <c r="AS217" i="28"/>
  <c r="AH219" i="28"/>
  <c r="AS219" i="28"/>
  <c r="AH450" i="28"/>
  <c r="AS450" i="28"/>
  <c r="AH307" i="28"/>
  <c r="AS307" i="28"/>
  <c r="AH225" i="28"/>
  <c r="AS225" i="28"/>
  <c r="AH453" i="28"/>
  <c r="AS453" i="28"/>
  <c r="AH460" i="28"/>
  <c r="AS460" i="28"/>
  <c r="AH227" i="28"/>
  <c r="AS227" i="28"/>
  <c r="AH354" i="28"/>
  <c r="AS354" i="28"/>
  <c r="AH302" i="28"/>
  <c r="AS302" i="28"/>
  <c r="AH572" i="28"/>
  <c r="AS572" i="28"/>
  <c r="AH259" i="28"/>
  <c r="AS259" i="28"/>
  <c r="AH357" i="28"/>
  <c r="AS357" i="28"/>
  <c r="AH532" i="28"/>
  <c r="AS532" i="28"/>
  <c r="AH294" i="28"/>
  <c r="AS294" i="28"/>
  <c r="AH536" i="28"/>
  <c r="AS536" i="28"/>
  <c r="AH256" i="28"/>
  <c r="AS256" i="28"/>
  <c r="AH590" i="28"/>
  <c r="AS590" i="28"/>
  <c r="AH564" i="28"/>
  <c r="AS564" i="28"/>
  <c r="AH493" i="28"/>
  <c r="AS493" i="28"/>
  <c r="AH490" i="28"/>
  <c r="AS490" i="28"/>
  <c r="AH581" i="28"/>
  <c r="AS581" i="28"/>
  <c r="AH587" i="28"/>
  <c r="AS587" i="28"/>
  <c r="AH479" i="28"/>
  <c r="AS479" i="28"/>
  <c r="AH385" i="28"/>
  <c r="AS385" i="28"/>
  <c r="AH346" i="28"/>
  <c r="AS346" i="28"/>
  <c r="AH502" i="28"/>
  <c r="AS502" i="28"/>
  <c r="AH281" i="28"/>
  <c r="AS281" i="28"/>
  <c r="AH455" i="28"/>
  <c r="AS455" i="28"/>
  <c r="AH464" i="28"/>
  <c r="AS464" i="28"/>
  <c r="AH230" i="28"/>
  <c r="AS230" i="28"/>
  <c r="AH617" i="28"/>
  <c r="AS617" i="28"/>
  <c r="AH452" i="28"/>
  <c r="AS452" i="28"/>
  <c r="AH606" i="28"/>
  <c r="AS606" i="28"/>
  <c r="AH547" i="28"/>
  <c r="AS547" i="28"/>
  <c r="AH283" i="28"/>
  <c r="AS283" i="28"/>
  <c r="AH526" i="28"/>
  <c r="AS526" i="28"/>
  <c r="AH254" i="28"/>
  <c r="AS254" i="28"/>
  <c r="AH312" i="28"/>
  <c r="AS312" i="28"/>
  <c r="AH546" i="28"/>
  <c r="AS546" i="28"/>
  <c r="AH262" i="28"/>
  <c r="AS262" i="28"/>
  <c r="AH550" i="28"/>
  <c r="AS550" i="28"/>
  <c r="AH470" i="28"/>
  <c r="AS470" i="28"/>
  <c r="AH498" i="28"/>
  <c r="AS498" i="28"/>
  <c r="AH565" i="28"/>
  <c r="AS565" i="28"/>
  <c r="AH512" i="28"/>
  <c r="AS512" i="28"/>
  <c r="AH474" i="28"/>
  <c r="AS474" i="28"/>
  <c r="AH482" i="28"/>
  <c r="AS482" i="28"/>
  <c r="AH338" i="28"/>
  <c r="AS338" i="28"/>
  <c r="AH336" i="28"/>
  <c r="AS336" i="28"/>
  <c r="AH519" i="28"/>
  <c r="AS519" i="28"/>
  <c r="AH501" i="28"/>
  <c r="AS501" i="28"/>
  <c r="AH368" i="28"/>
  <c r="AS368" i="28"/>
  <c r="AH62" i="28"/>
  <c r="AS62" i="28"/>
  <c r="AH45" i="28"/>
  <c r="AS45" i="28"/>
  <c r="AH92" i="28"/>
  <c r="AS92" i="28"/>
  <c r="AH19" i="28"/>
  <c r="AS19" i="28"/>
  <c r="AH91" i="28"/>
  <c r="AS91" i="28"/>
  <c r="AH20" i="28"/>
  <c r="AS20" i="28"/>
  <c r="AH23" i="28"/>
  <c r="AS23" i="28"/>
  <c r="AH184" i="28"/>
  <c r="AS184" i="28"/>
  <c r="AH183" i="28"/>
  <c r="AS183" i="28"/>
  <c r="AH175" i="28"/>
  <c r="AS175" i="28"/>
  <c r="AH173" i="28"/>
  <c r="AS173" i="28"/>
  <c r="AH172" i="28"/>
  <c r="AS172" i="28"/>
  <c r="AH195" i="28"/>
  <c r="AS195" i="28"/>
  <c r="AH189" i="28"/>
  <c r="AS189" i="28"/>
  <c r="AH188" i="28"/>
  <c r="AS188" i="28"/>
  <c r="AH186" i="28"/>
  <c r="AS186" i="28"/>
  <c r="AH177" i="28"/>
  <c r="AS177" i="28"/>
  <c r="AH176" i="28"/>
  <c r="AS176" i="28"/>
  <c r="AH185" i="28"/>
  <c r="AS185" i="28"/>
  <c r="AH174" i="28"/>
  <c r="AS174" i="28"/>
  <c r="AH179" i="28"/>
  <c r="AS179" i="28"/>
  <c r="AH168" i="28"/>
  <c r="AS168" i="28"/>
  <c r="AH131" i="28"/>
  <c r="AS131" i="28"/>
  <c r="AH95" i="28"/>
  <c r="AS95" i="28"/>
  <c r="AH150" i="28"/>
  <c r="AS150" i="28"/>
  <c r="AH161" i="28"/>
  <c r="AS161" i="28"/>
  <c r="AH102" i="28"/>
  <c r="AS102" i="28"/>
  <c r="AH164" i="28"/>
  <c r="AS164" i="28"/>
  <c r="AH148" i="28"/>
  <c r="AS148" i="28"/>
  <c r="AH100" i="28"/>
  <c r="AS100" i="28"/>
  <c r="AH134" i="28"/>
  <c r="AS134" i="28"/>
  <c r="AH149" i="28"/>
  <c r="AS149" i="28"/>
  <c r="AH104" i="28"/>
  <c r="AS104" i="28"/>
  <c r="AH120" i="28"/>
  <c r="AS120" i="28"/>
  <c r="AH165" i="28"/>
  <c r="AS165" i="28"/>
  <c r="AH166" i="28"/>
  <c r="AS166" i="28"/>
  <c r="AH145" i="28"/>
  <c r="AS145" i="28"/>
  <c r="AH96" i="28"/>
  <c r="AS96" i="28"/>
  <c r="AH101" i="28"/>
  <c r="AS101" i="28"/>
  <c r="AH128" i="28"/>
  <c r="AS128" i="28"/>
  <c r="AH103" i="28"/>
  <c r="AS103" i="28"/>
  <c r="AH122" i="28"/>
  <c r="AS122" i="28"/>
  <c r="AH133" i="28"/>
  <c r="AS133" i="28"/>
  <c r="AH167" i="28"/>
  <c r="AS167" i="28"/>
  <c r="AH147" i="28"/>
  <c r="AS147" i="28"/>
  <c r="AH119" i="28"/>
  <c r="AS119" i="28"/>
  <c r="AH144" i="28"/>
  <c r="AS144" i="28"/>
  <c r="AH130" i="28"/>
  <c r="AS130" i="28"/>
  <c r="AH98" i="28"/>
  <c r="AS98" i="28"/>
  <c r="AH127" i="28"/>
  <c r="AS127" i="28"/>
  <c r="AH163" i="28"/>
  <c r="AS163" i="28"/>
  <c r="AH97" i="28"/>
  <c r="AS97" i="28"/>
  <c r="AH106" i="28"/>
  <c r="AS106" i="28"/>
  <c r="AH112" i="28"/>
  <c r="AS112" i="28"/>
  <c r="AH124" i="28"/>
  <c r="AS124" i="28"/>
  <c r="AH99" i="28"/>
  <c r="AS99" i="28"/>
  <c r="AH109" i="28"/>
  <c r="AS109" i="28"/>
  <c r="AH121" i="28"/>
  <c r="AS121" i="28"/>
  <c r="AH105" i="28"/>
  <c r="AS105" i="28"/>
  <c r="AH125" i="28"/>
  <c r="AS125" i="28"/>
  <c r="AH126" i="28"/>
  <c r="AS126" i="28"/>
  <c r="AH162" i="28"/>
  <c r="AS162" i="28"/>
  <c r="AH123" i="28"/>
  <c r="AS123" i="28"/>
  <c r="AH132" i="28"/>
  <c r="AS132" i="28"/>
  <c r="Z473" i="28"/>
  <c r="Z500" i="28"/>
  <c r="Z172" i="28"/>
  <c r="Z104" i="28"/>
  <c r="Z561" i="28"/>
  <c r="Z120" i="28"/>
  <c r="Z165" i="28"/>
  <c r="Z195" i="28"/>
  <c r="Z517" i="28"/>
  <c r="Z516" i="28"/>
  <c r="Z186" i="28"/>
  <c r="Z189" i="28"/>
  <c r="Z560" i="28"/>
  <c r="Z96" i="28"/>
  <c r="Z101" i="28"/>
  <c r="Z128" i="28"/>
  <c r="Z103" i="28"/>
  <c r="Z122" i="28"/>
  <c r="Z374" i="28"/>
  <c r="Z167" i="28"/>
  <c r="Z188" i="28"/>
  <c r="Z515" i="28"/>
  <c r="Z147" i="28"/>
  <c r="Z119" i="28"/>
  <c r="Z144" i="28"/>
  <c r="Z130" i="28"/>
  <c r="Z98" i="28"/>
  <c r="Z168" i="28"/>
  <c r="Z177" i="28"/>
  <c r="Z520" i="28"/>
  <c r="Z525" i="28"/>
  <c r="Z369" i="28"/>
  <c r="Z99" i="28"/>
  <c r="Z100" i="28"/>
  <c r="Z127" i="28"/>
  <c r="Z163" i="28"/>
  <c r="Z97" i="28"/>
  <c r="Z106" i="28"/>
  <c r="Z176" i="28"/>
  <c r="Z185" i="28"/>
  <c r="Z502" i="28"/>
  <c r="Z174" i="28"/>
  <c r="Z109" i="28"/>
  <c r="Z112" i="28"/>
  <c r="Z121" i="28"/>
  <c r="Z105" i="28"/>
  <c r="Z124" i="28"/>
  <c r="Z184" i="28"/>
  <c r="Z519" i="28"/>
  <c r="Z501" i="28"/>
  <c r="Z179" i="28"/>
  <c r="Z368" i="28"/>
  <c r="Z125" i="28"/>
  <c r="Z126" i="28"/>
  <c r="Z162" i="28"/>
  <c r="Z123" i="28"/>
  <c r="Z132" i="28"/>
  <c r="Z465" i="28"/>
  <c r="Z373" i="28"/>
  <c r="Z521" i="28"/>
  <c r="Z503" i="28"/>
  <c r="Z133" i="28"/>
  <c r="Z134" i="28"/>
  <c r="Z145" i="28"/>
  <c r="Z131" i="28"/>
  <c r="Z149" i="28"/>
  <c r="Z183" i="28"/>
  <c r="Z518" i="28"/>
  <c r="Z175" i="28"/>
  <c r="Z173" i="28"/>
  <c r="Z95" i="28"/>
  <c r="Z150" i="28"/>
  <c r="Z161" i="28"/>
  <c r="Z102" i="28"/>
  <c r="Z164" i="28"/>
  <c r="Z148" i="28"/>
  <c r="CE100" i="14"/>
  <c r="CH100" i="14"/>
  <c r="BM99" i="14"/>
  <c r="CE99" i="14"/>
  <c r="Z249" i="28"/>
  <c r="Z355" i="28"/>
  <c r="Z530" i="28"/>
  <c r="Z324" i="28"/>
  <c r="Z283" i="28"/>
  <c r="Z526" i="28"/>
  <c r="Z254" i="28"/>
  <c r="Z312" i="28"/>
  <c r="Z546" i="28"/>
  <c r="Z262" i="28"/>
  <c r="Z550" i="28"/>
  <c r="Z470" i="28"/>
  <c r="Z498" i="28"/>
  <c r="Z565" i="28"/>
  <c r="Z587" i="28"/>
  <c r="Z513" i="28"/>
  <c r="Z469" i="28"/>
  <c r="Z582" i="28"/>
  <c r="Z257" i="28"/>
  <c r="Z329" i="28"/>
  <c r="Z580" i="28"/>
  <c r="Z540" i="28"/>
  <c r="Z250" i="28"/>
  <c r="Z310" i="28"/>
  <c r="Z543" i="28"/>
  <c r="Z303" i="28"/>
  <c r="Z352" i="28"/>
  <c r="Z407" i="28"/>
  <c r="Z537" i="28"/>
  <c r="Z337" i="28"/>
  <c r="Z497" i="28"/>
  <c r="Z589" i="28"/>
  <c r="Z512" i="28"/>
  <c r="Z479" i="28"/>
  <c r="Z340" i="28"/>
  <c r="Z514" i="28"/>
  <c r="Z549" i="28"/>
  <c r="Z263" i="28"/>
  <c r="Z251" i="28"/>
  <c r="Z308" i="28"/>
  <c r="Z531" i="28"/>
  <c r="Z260" i="28"/>
  <c r="Z314" i="28"/>
  <c r="Z472" i="28"/>
  <c r="Z535" i="28"/>
  <c r="Z361" i="28"/>
  <c r="Z313" i="28"/>
  <c r="Z389" i="28"/>
  <c r="Z471" i="28"/>
  <c r="Z592" i="28"/>
  <c r="Z541" i="28"/>
  <c r="Z341" i="28"/>
  <c r="Z474" i="28"/>
  <c r="Z385" i="28"/>
  <c r="Z548" i="28"/>
  <c r="Z495" i="28"/>
  <c r="Z583" i="28"/>
  <c r="Z538" i="28"/>
  <c r="Z258" i="28"/>
  <c r="Z356" i="28"/>
  <c r="Z584" i="28"/>
  <c r="Z524" i="28"/>
  <c r="Z358" i="28"/>
  <c r="Z311" i="28"/>
  <c r="Z534" i="28"/>
  <c r="Z327" i="28"/>
  <c r="Z353" i="28"/>
  <c r="Z475" i="28"/>
  <c r="Z467" i="28"/>
  <c r="Z591" i="28"/>
  <c r="Z545" i="28"/>
  <c r="Z480" i="28"/>
  <c r="Z383" i="28"/>
  <c r="Z481" i="28"/>
  <c r="Z482" i="28"/>
  <c r="Z494" i="28"/>
  <c r="Z528" i="28"/>
  <c r="Z571" i="28"/>
  <c r="Z544" i="28"/>
  <c r="Z328" i="28"/>
  <c r="Z309" i="28"/>
  <c r="Z542" i="28"/>
  <c r="Z351" i="28"/>
  <c r="Z295" i="28"/>
  <c r="Z323" i="28"/>
  <c r="Z347" i="28"/>
  <c r="Z478" i="28"/>
  <c r="Z511" i="28"/>
  <c r="Z333" i="28"/>
  <c r="Z488" i="28"/>
  <c r="Z588" i="28"/>
  <c r="Z466" i="28"/>
  <c r="Z468" i="28"/>
  <c r="Z346" i="28"/>
  <c r="Z345" i="28"/>
  <c r="Z585" i="28"/>
  <c r="Z529" i="28"/>
  <c r="Z539" i="28"/>
  <c r="Z252" i="28"/>
  <c r="Z316" i="28"/>
  <c r="Z293" i="28"/>
  <c r="Z359" i="28"/>
  <c r="Z255" i="28"/>
  <c r="Z339" i="28"/>
  <c r="Z496" i="28"/>
  <c r="Z487" i="28"/>
  <c r="Z432" i="28"/>
  <c r="Z491" i="28"/>
  <c r="Z386" i="28"/>
  <c r="Z492" i="28"/>
  <c r="Z338" i="28"/>
  <c r="Z354" i="28"/>
  <c r="Z302" i="28"/>
  <c r="Z572" i="28"/>
  <c r="Z259" i="28"/>
  <c r="Z357" i="28"/>
  <c r="Z253" i="28"/>
  <c r="Z325" i="28"/>
  <c r="Z304" i="28"/>
  <c r="Z296" i="28"/>
  <c r="Z483" i="28"/>
  <c r="Z486" i="28"/>
  <c r="Z335" i="28"/>
  <c r="Z563" i="28"/>
  <c r="Z433" i="28"/>
  <c r="Z476" i="28"/>
  <c r="Z477" i="28"/>
  <c r="Z336" i="28"/>
  <c r="Z547" i="28"/>
  <c r="Z532" i="28"/>
  <c r="Z294" i="28"/>
  <c r="Z536" i="28"/>
  <c r="Z256" i="28"/>
  <c r="Z590" i="28"/>
  <c r="Z564" i="28"/>
  <c r="Z493" i="28"/>
  <c r="Z490" i="28"/>
  <c r="Z581" i="28"/>
  <c r="Z349" i="28"/>
  <c r="Z485" i="28"/>
  <c r="Z348" i="28"/>
  <c r="Z387" i="28"/>
  <c r="Z484" i="28"/>
  <c r="Z388" i="28"/>
  <c r="Z237" i="24"/>
  <c r="AI237" i="24"/>
  <c r="Z215" i="24"/>
  <c r="AI215" i="24"/>
  <c r="Z281" i="28"/>
  <c r="Z275" i="28"/>
  <c r="Z218" i="28"/>
  <c r="Z230" i="28"/>
  <c r="Z227" i="28"/>
  <c r="Z451" i="28"/>
  <c r="AI68" i="26"/>
  <c r="Z68" i="26"/>
  <c r="AI64" i="27"/>
  <c r="Z64" i="27"/>
  <c r="AI217" i="24"/>
  <c r="Z217" i="24"/>
  <c r="Z318" i="28"/>
  <c r="Z212" i="28"/>
  <c r="Z217" i="28"/>
  <c r="Z209" i="28"/>
  <c r="Z463" i="28"/>
  <c r="Z45" i="28"/>
  <c r="Z603" i="28"/>
  <c r="Z62" i="28"/>
  <c r="Z166" i="28"/>
  <c r="Z606" i="28"/>
  <c r="Z63" i="27"/>
  <c r="AI63" i="27"/>
  <c r="AI65" i="27"/>
  <c r="Z65" i="27"/>
  <c r="Z96" i="24"/>
  <c r="AI96" i="24"/>
  <c r="Z208" i="28"/>
  <c r="Z223" i="28"/>
  <c r="Z267" i="28"/>
  <c r="Z211" i="28"/>
  <c r="Z210" i="28"/>
  <c r="Z458" i="28"/>
  <c r="Z455" i="28"/>
  <c r="Z231" i="28"/>
  <c r="Z618" i="28"/>
  <c r="Z461" i="28"/>
  <c r="Z577" i="28"/>
  <c r="Z66" i="27"/>
  <c r="AI66" i="27"/>
  <c r="Z114" i="24"/>
  <c r="AI114" i="24"/>
  <c r="Z224" i="28"/>
  <c r="Z268" i="28"/>
  <c r="Z266" i="28"/>
  <c r="Z215" i="28"/>
  <c r="Z233" i="28"/>
  <c r="Z450" i="28"/>
  <c r="Z457" i="28"/>
  <c r="Z453" i="28"/>
  <c r="Z19" i="28"/>
  <c r="Z317" i="28"/>
  <c r="Z67" i="26"/>
  <c r="AI67" i="26"/>
  <c r="Z277" i="28"/>
  <c r="Z276" i="28"/>
  <c r="Z344" i="28"/>
  <c r="Z279" i="28"/>
  <c r="Z221" i="28"/>
  <c r="Z607" i="28"/>
  <c r="Z449" i="28"/>
  <c r="Z464" i="28"/>
  <c r="Z92" i="28"/>
  <c r="Z460" i="28"/>
  <c r="Z619" i="28"/>
  <c r="Z91" i="28"/>
  <c r="Z236" i="24"/>
  <c r="AI236" i="24"/>
  <c r="Z343" i="28"/>
  <c r="Z269" i="28"/>
  <c r="Z274" i="28"/>
  <c r="Z220" i="28"/>
  <c r="Z219" i="28"/>
  <c r="Z305" i="28"/>
  <c r="Z232" i="28"/>
  <c r="Z456" i="28"/>
  <c r="Z226" i="28"/>
  <c r="Z20" i="28"/>
  <c r="Z229" i="28"/>
  <c r="Z228" i="28"/>
  <c r="Z452" i="28"/>
  <c r="AI66" i="26"/>
  <c r="Z66" i="26"/>
  <c r="Z23" i="28"/>
  <c r="Z278" i="28"/>
  <c r="Z332" i="28"/>
  <c r="Z207" i="28"/>
  <c r="Z334" i="28"/>
  <c r="Z273" i="28"/>
  <c r="Z272" i="28"/>
  <c r="Z448" i="28"/>
  <c r="Z447" i="28"/>
  <c r="Z462" i="28"/>
  <c r="Z604" i="28"/>
  <c r="Z605" i="28"/>
  <c r="Z67" i="27"/>
  <c r="AI67" i="27"/>
  <c r="AI65" i="26"/>
  <c r="Z65" i="26"/>
  <c r="Z206" i="28"/>
  <c r="Z222" i="28"/>
  <c r="Z216" i="28"/>
  <c r="Z261" i="28"/>
  <c r="Z307" i="28"/>
  <c r="Z225" i="28"/>
  <c r="Z454" i="28"/>
  <c r="Z617" i="28"/>
  <c r="Z620" i="28"/>
  <c r="Z459" i="28"/>
  <c r="BV41" i="14"/>
  <c r="BM41" i="14"/>
  <c r="BG99" i="14"/>
  <c r="BS99" i="14"/>
  <c r="BJ99" i="14"/>
  <c r="BY99" i="14"/>
  <c r="BP99" i="14"/>
  <c r="BV99" i="14"/>
  <c r="CB99" i="14"/>
  <c r="BM100" i="14"/>
  <c r="BP100" i="14"/>
  <c r="BV100" i="14"/>
  <c r="BG100" i="14"/>
  <c r="BY100" i="14"/>
  <c r="CB100" i="14"/>
  <c r="BJ100" i="14"/>
  <c r="BS100" i="14"/>
  <c r="BJ16" i="14"/>
  <c r="CB16" i="14"/>
  <c r="BS16" i="14"/>
  <c r="BV16" i="14"/>
  <c r="CH16" i="14"/>
  <c r="CB39" i="14"/>
  <c r="BP16" i="14"/>
  <c r="BY16" i="14"/>
  <c r="CE37" i="14"/>
  <c r="BJ38" i="14"/>
  <c r="CB38" i="14"/>
  <c r="BV38" i="14"/>
  <c r="CH38" i="14"/>
  <c r="CE38" i="14"/>
  <c r="BG38" i="14"/>
  <c r="BY38" i="14"/>
  <c r="BV40" i="14"/>
  <c r="BY40" i="14"/>
  <c r="CH40" i="14"/>
  <c r="BG40" i="14"/>
  <c r="CB40" i="14"/>
  <c r="BS40" i="14"/>
  <c r="BP40" i="14"/>
  <c r="CE40" i="14"/>
  <c r="BS42" i="14"/>
  <c r="BY42" i="14"/>
  <c r="BP42" i="14"/>
  <c r="BV42" i="14"/>
  <c r="BM42" i="14"/>
  <c r="CH42" i="14"/>
  <c r="BG42" i="14"/>
  <c r="BJ42" i="14"/>
  <c r="CB42" i="14"/>
  <c r="BY41" i="14"/>
  <c r="BG41" i="14"/>
  <c r="BS41" i="14"/>
  <c r="BJ41" i="14"/>
  <c r="CE41" i="14"/>
  <c r="CB41" i="14"/>
  <c r="BP41" i="14"/>
  <c r="CH41" i="14"/>
  <c r="CE16" i="14"/>
  <c r="BM16" i="14"/>
  <c r="Z322" i="23"/>
  <c r="Z323" i="23"/>
  <c r="Z324" i="23"/>
  <c r="Z325" i="23"/>
  <c r="Z326" i="23"/>
  <c r="Z327" i="23"/>
  <c r="Z328" i="23"/>
  <c r="Z313" i="23"/>
  <c r="Z314" i="23"/>
  <c r="Z315" i="23"/>
  <c r="Z316" i="23"/>
  <c r="Z317" i="23"/>
  <c r="Z318" i="23"/>
  <c r="Z319" i="23"/>
  <c r="Z320" i="23"/>
  <c r="Z321" i="23"/>
  <c r="CK90" i="14" l="1"/>
  <c r="CK40" i="14"/>
  <c r="CK38" i="14"/>
  <c r="CB131" i="14"/>
  <c r="BG17" i="14"/>
  <c r="BV17" i="14"/>
  <c r="BM131" i="14"/>
  <c r="BS131" i="14"/>
  <c r="BY17" i="14"/>
  <c r="BS17" i="14"/>
  <c r="CH17" i="14"/>
  <c r="BP17" i="14"/>
  <c r="BM17" i="14"/>
  <c r="BJ17" i="14"/>
  <c r="CB17" i="14"/>
  <c r="BG19" i="14"/>
  <c r="BM19" i="14"/>
  <c r="CB19" i="14"/>
  <c r="CH19" i="14"/>
  <c r="BP19" i="14"/>
  <c r="BY19" i="14"/>
  <c r="CE131" i="14"/>
  <c r="CH131" i="14"/>
  <c r="BG131" i="14"/>
  <c r="CE19" i="14"/>
  <c r="BV19" i="14"/>
  <c r="BY131" i="14"/>
  <c r="BV131" i="14"/>
  <c r="BS19" i="14"/>
  <c r="BJ131" i="14"/>
  <c r="AH556" i="28"/>
  <c r="AS556" i="28"/>
  <c r="AH443" i="28"/>
  <c r="AS443" i="28"/>
  <c r="AH247" i="28"/>
  <c r="AS247" i="28"/>
  <c r="AH413" i="28"/>
  <c r="AS413" i="28"/>
  <c r="AS419" i="28"/>
  <c r="AH419" i="28"/>
  <c r="AH378" i="28"/>
  <c r="AS378" i="28"/>
  <c r="AH376" i="28"/>
  <c r="AS376" i="28"/>
  <c r="AH597" i="28"/>
  <c r="AS597" i="28"/>
  <c r="AH562" i="28"/>
  <c r="AS562" i="28"/>
  <c r="AH292" i="28"/>
  <c r="AS292" i="28"/>
  <c r="AH298" i="28"/>
  <c r="AS298" i="28"/>
  <c r="AH424" i="28"/>
  <c r="AS424" i="28"/>
  <c r="AH236" i="28"/>
  <c r="AS236" i="28"/>
  <c r="AH381" i="28"/>
  <c r="AS381" i="28"/>
  <c r="AH342" i="28"/>
  <c r="AS342" i="28"/>
  <c r="AH372" i="28"/>
  <c r="AS372" i="28"/>
  <c r="AH301" i="28"/>
  <c r="AS301" i="28"/>
  <c r="AH558" i="28"/>
  <c r="AS558" i="28"/>
  <c r="AH380" i="28"/>
  <c r="AS380" i="28"/>
  <c r="AH395" i="28"/>
  <c r="AS395" i="28"/>
  <c r="AH235" i="28"/>
  <c r="AS235" i="28"/>
  <c r="AH239" i="28"/>
  <c r="AS239" i="28"/>
  <c r="AH507" i="28"/>
  <c r="AS507" i="28"/>
  <c r="AH428" i="28"/>
  <c r="AS428" i="28"/>
  <c r="AH291" i="28"/>
  <c r="AS291" i="28"/>
  <c r="AH510" i="28"/>
  <c r="AS510" i="28"/>
  <c r="AH411" i="28"/>
  <c r="AS411" i="28"/>
  <c r="AH243" i="28"/>
  <c r="AS243" i="28"/>
  <c r="AH553" i="28"/>
  <c r="AS553" i="28"/>
  <c r="AH391" i="28"/>
  <c r="AS391" i="28"/>
  <c r="AH405" i="28"/>
  <c r="AS405" i="28"/>
  <c r="AH396" i="28"/>
  <c r="AS396" i="28"/>
  <c r="AH242" i="28"/>
  <c r="AS242" i="28"/>
  <c r="AH430" i="28"/>
  <c r="AS430" i="28"/>
  <c r="AH505" i="28"/>
  <c r="AS505" i="28"/>
  <c r="AH379" i="28"/>
  <c r="AS379" i="28"/>
  <c r="AH601" i="28"/>
  <c r="AS601" i="28"/>
  <c r="AH439" i="28"/>
  <c r="AS439" i="28"/>
  <c r="AH404" i="28"/>
  <c r="AS404" i="28"/>
  <c r="AS418" i="28"/>
  <c r="AH418" i="28"/>
  <c r="AH414" i="28"/>
  <c r="AS414" i="28"/>
  <c r="AH423" i="28"/>
  <c r="AS423" i="28"/>
  <c r="AH331" i="28"/>
  <c r="AS331" i="28"/>
  <c r="AH394" i="28"/>
  <c r="AS394" i="28"/>
  <c r="AH557" i="28"/>
  <c r="AS557" i="28"/>
  <c r="AH237" i="28"/>
  <c r="AS237" i="28"/>
  <c r="AH421" i="28"/>
  <c r="AS421" i="28"/>
  <c r="AH600" i="28"/>
  <c r="AS600" i="28"/>
  <c r="AH390" i="28"/>
  <c r="AS390" i="28"/>
  <c r="AH555" i="28"/>
  <c r="AS555" i="28"/>
  <c r="AH300" i="28"/>
  <c r="AS300" i="28"/>
  <c r="AH241" i="28"/>
  <c r="AS241" i="28"/>
  <c r="AH446" i="28"/>
  <c r="AS446" i="28"/>
  <c r="AH506" i="28"/>
  <c r="AS506" i="28"/>
  <c r="AH425" i="28"/>
  <c r="AS425" i="28"/>
  <c r="AH438" i="28"/>
  <c r="AS438" i="28"/>
  <c r="AH441" i="28"/>
  <c r="AS441" i="28"/>
  <c r="AH417" i="28"/>
  <c r="AS417" i="28"/>
  <c r="AH238" i="28"/>
  <c r="AS238" i="28"/>
  <c r="AH599" i="28"/>
  <c r="AS599" i="28"/>
  <c r="AH554" i="28"/>
  <c r="AS554" i="28"/>
  <c r="AH409" i="28"/>
  <c r="AS409" i="28"/>
  <c r="AH375" i="28"/>
  <c r="AS375" i="28"/>
  <c r="AH435" i="28"/>
  <c r="AS435" i="28"/>
  <c r="AH416" i="28"/>
  <c r="AS416" i="28"/>
  <c r="AH509" i="28"/>
  <c r="AS509" i="28"/>
  <c r="AH410" i="28"/>
  <c r="AS410" i="28"/>
  <c r="AH598" i="28"/>
  <c r="AS598" i="28"/>
  <c r="AH437" i="28"/>
  <c r="AS437" i="28"/>
  <c r="AH508" i="28"/>
  <c r="AS508" i="28"/>
  <c r="AH429" i="28"/>
  <c r="AS429" i="28"/>
  <c r="AH436" i="28"/>
  <c r="AS436" i="28"/>
  <c r="AH364" i="28"/>
  <c r="AS364" i="28"/>
  <c r="AH595" i="28"/>
  <c r="AS595" i="28"/>
  <c r="AH384" i="28"/>
  <c r="AS384" i="28"/>
  <c r="AH382" i="28"/>
  <c r="AS382" i="28"/>
  <c r="AH412" i="28"/>
  <c r="AS412" i="28"/>
  <c r="AH442" i="28"/>
  <c r="AS442" i="28"/>
  <c r="AH440" i="28"/>
  <c r="AS440" i="28"/>
  <c r="AH246" i="28"/>
  <c r="AS246" i="28"/>
  <c r="AH392" i="28"/>
  <c r="AS392" i="28"/>
  <c r="AH403" i="28"/>
  <c r="AS403" i="28"/>
  <c r="AH289" i="28"/>
  <c r="AS289" i="28"/>
  <c r="AH427" i="28"/>
  <c r="AS427" i="28"/>
  <c r="AH596" i="28"/>
  <c r="AS596" i="28"/>
  <c r="AH426" i="28"/>
  <c r="AS426" i="28"/>
  <c r="AH552" i="28"/>
  <c r="AS552" i="28"/>
  <c r="AH422" i="28"/>
  <c r="AS422" i="28"/>
  <c r="AH288" i="28"/>
  <c r="AS288" i="28"/>
  <c r="AH445" i="28"/>
  <c r="AS445" i="28"/>
  <c r="AH393" i="28"/>
  <c r="AS393" i="28"/>
  <c r="AH406" i="28"/>
  <c r="AS406" i="28"/>
  <c r="AH245" i="28"/>
  <c r="AS245" i="28"/>
  <c r="AH444" i="28"/>
  <c r="AS444" i="28"/>
  <c r="AH365" i="28"/>
  <c r="AS365" i="28"/>
  <c r="AH377" i="28"/>
  <c r="AS377" i="28"/>
  <c r="AS370" i="28"/>
  <c r="AS86" i="28"/>
  <c r="AH86" i="28"/>
  <c r="AH87" i="28"/>
  <c r="AS87" i="28"/>
  <c r="AS83" i="28"/>
  <c r="AH83" i="28"/>
  <c r="AH88" i="28"/>
  <c r="AS88" i="28"/>
  <c r="AH90" i="28"/>
  <c r="AS90" i="28"/>
  <c r="AH151" i="28"/>
  <c r="AS151" i="28"/>
  <c r="AH152" i="28"/>
  <c r="AS152" i="28"/>
  <c r="AH82" i="28"/>
  <c r="AS82" i="28"/>
  <c r="AH85" i="28"/>
  <c r="AS85" i="28"/>
  <c r="AH181" i="24"/>
  <c r="AS181" i="24"/>
  <c r="AH579" i="28"/>
  <c r="AS579" i="28"/>
  <c r="BJ18" i="14"/>
  <c r="BV18" i="14"/>
  <c r="CH18" i="14"/>
  <c r="CB18" i="14"/>
  <c r="BS18" i="14"/>
  <c r="BM18" i="14"/>
  <c r="CE18" i="14"/>
  <c r="BG18" i="14"/>
  <c r="BP18" i="14"/>
  <c r="BV15" i="14"/>
  <c r="BP15" i="14"/>
  <c r="BG15" i="14"/>
  <c r="BM15" i="14"/>
  <c r="CE15" i="14"/>
  <c r="BS15" i="14"/>
  <c r="CB15" i="14"/>
  <c r="BY15" i="14"/>
  <c r="CH15" i="14"/>
  <c r="AH270" i="28"/>
  <c r="AS270" i="28"/>
  <c r="AH271" i="28"/>
  <c r="AS271" i="28"/>
  <c r="AH206" i="24"/>
  <c r="AS206" i="24"/>
  <c r="AH330" i="28"/>
  <c r="AS330" i="28"/>
  <c r="AH371" i="28"/>
  <c r="AS371" i="28"/>
  <c r="AH204" i="28"/>
  <c r="AS204" i="28"/>
  <c r="AH434" i="28"/>
  <c r="AS434" i="28"/>
  <c r="AH522" i="28"/>
  <c r="AS522" i="28"/>
  <c r="AH265" i="28"/>
  <c r="AS265" i="28"/>
  <c r="AS264" i="28"/>
  <c r="AH264" i="28"/>
  <c r="AS210" i="24"/>
  <c r="AH210" i="24"/>
  <c r="AH326" i="28"/>
  <c r="AS326" i="28"/>
  <c r="AH280" i="28"/>
  <c r="AS280" i="28"/>
  <c r="AH211" i="24"/>
  <c r="AS211" i="24"/>
  <c r="AH209" i="24"/>
  <c r="AS209" i="24"/>
  <c r="AH350" i="28"/>
  <c r="AS350" i="28"/>
  <c r="AH578" i="28"/>
  <c r="AS578" i="28"/>
  <c r="AH524" i="28"/>
  <c r="AH63" i="27"/>
  <c r="AS63" i="27"/>
  <c r="AH114" i="24"/>
  <c r="AS114" i="24"/>
  <c r="AH217" i="24"/>
  <c r="AS217" i="24"/>
  <c r="AH236" i="24"/>
  <c r="AS236" i="24"/>
  <c r="AH67" i="26"/>
  <c r="AS67" i="26"/>
  <c r="AH66" i="27"/>
  <c r="AS66" i="27"/>
  <c r="AH96" i="24"/>
  <c r="AS96" i="24"/>
  <c r="AS215" i="24"/>
  <c r="AH215" i="24"/>
  <c r="AH65" i="26"/>
  <c r="AS65" i="26"/>
  <c r="AH66" i="26"/>
  <c r="AS66" i="26"/>
  <c r="AH64" i="27"/>
  <c r="AS64" i="27"/>
  <c r="AH67" i="27"/>
  <c r="AS67" i="27"/>
  <c r="AH237" i="24"/>
  <c r="AS237" i="24"/>
  <c r="AH65" i="27"/>
  <c r="AS65" i="27"/>
  <c r="AH68" i="26"/>
  <c r="AS68" i="26"/>
  <c r="C24" i="36"/>
  <c r="B24" i="36"/>
  <c r="C20" i="36"/>
  <c r="B20" i="36"/>
  <c r="C16" i="36"/>
  <c r="B16" i="36"/>
  <c r="C12" i="36"/>
  <c r="B12" i="36"/>
  <c r="Y24" i="36" l="1"/>
  <c r="M24" i="36"/>
  <c r="AD24" i="36"/>
  <c r="U24" i="36"/>
  <c r="I24" i="36"/>
  <c r="Q24" i="36"/>
  <c r="E24" i="36"/>
  <c r="AC20" i="36"/>
  <c r="F20" i="36"/>
  <c r="J20" i="36"/>
  <c r="N20" i="36"/>
  <c r="R20" i="36"/>
  <c r="V20" i="36"/>
  <c r="Z20" i="36"/>
  <c r="AD20" i="36"/>
  <c r="G20" i="36"/>
  <c r="K20" i="36"/>
  <c r="O20" i="36"/>
  <c r="S20" i="36"/>
  <c r="W20" i="36"/>
  <c r="AA20" i="36"/>
  <c r="F24" i="36"/>
  <c r="J24" i="36"/>
  <c r="N24" i="36"/>
  <c r="R24" i="36"/>
  <c r="V24" i="36"/>
  <c r="Z24" i="36"/>
  <c r="D20" i="36"/>
  <c r="H20" i="36"/>
  <c r="L20" i="36"/>
  <c r="P20" i="36"/>
  <c r="T20" i="36"/>
  <c r="X20" i="36"/>
  <c r="AB20" i="36"/>
  <c r="G24" i="36"/>
  <c r="K24" i="36"/>
  <c r="O24" i="36"/>
  <c r="S24" i="36"/>
  <c r="W24" i="36"/>
  <c r="AA24" i="36"/>
  <c r="E20" i="36"/>
  <c r="I20" i="36"/>
  <c r="M20" i="36"/>
  <c r="Q20" i="36"/>
  <c r="U20" i="36"/>
  <c r="Y20" i="36"/>
  <c r="D24" i="36"/>
  <c r="H24" i="36"/>
  <c r="L24" i="36"/>
  <c r="P24" i="36"/>
  <c r="T24" i="36"/>
  <c r="X24" i="36"/>
  <c r="AB24" i="36"/>
  <c r="AC24" i="36"/>
  <c r="X353" i="23" l="1"/>
  <c r="W353" i="23"/>
  <c r="V353" i="23"/>
  <c r="U353" i="23"/>
  <c r="X352" i="23"/>
  <c r="W352" i="23"/>
  <c r="V352" i="23"/>
  <c r="U352" i="23"/>
  <c r="X351" i="23"/>
  <c r="W351" i="23"/>
  <c r="V351" i="23"/>
  <c r="U351" i="23"/>
  <c r="X350" i="23"/>
  <c r="W350" i="23"/>
  <c r="V350" i="23"/>
  <c r="U350" i="23"/>
  <c r="X349" i="23"/>
  <c r="W349" i="23"/>
  <c r="V349" i="23"/>
  <c r="U349" i="23"/>
  <c r="X348" i="23"/>
  <c r="W348" i="23"/>
  <c r="V348" i="23"/>
  <c r="U348" i="23"/>
  <c r="X345" i="23"/>
  <c r="W345" i="23"/>
  <c r="V345" i="23"/>
  <c r="U345" i="23"/>
  <c r="X344" i="23"/>
  <c r="W344" i="23"/>
  <c r="V344" i="23"/>
  <c r="U344" i="23"/>
  <c r="X343" i="23"/>
  <c r="W343" i="23"/>
  <c r="V343" i="23"/>
  <c r="U343" i="23"/>
  <c r="X342" i="23"/>
  <c r="W342" i="23"/>
  <c r="V342" i="23"/>
  <c r="U342" i="23"/>
  <c r="X341" i="23"/>
  <c r="W341" i="23"/>
  <c r="V341" i="23"/>
  <c r="U341" i="23"/>
  <c r="X340" i="23"/>
  <c r="W340" i="23"/>
  <c r="V340" i="23"/>
  <c r="U340" i="23"/>
  <c r="O11" i="11" l="1"/>
  <c r="N39" i="11"/>
  <c r="N11" i="11"/>
  <c r="N5" i="11"/>
  <c r="M11" i="11"/>
  <c r="L39" i="11"/>
  <c r="L11" i="11"/>
  <c r="K39" i="11"/>
  <c r="K11" i="11"/>
  <c r="K5" i="11"/>
  <c r="DX6" i="14"/>
  <c r="DU6" i="14"/>
  <c r="DR6" i="14"/>
  <c r="DO6" i="14"/>
  <c r="C38" i="50" l="1"/>
  <c r="C37" i="50"/>
  <c r="C36" i="50"/>
  <c r="C34" i="50"/>
  <c r="C33" i="50"/>
  <c r="C32" i="50"/>
  <c r="C31" i="50"/>
  <c r="B25" i="50"/>
  <c r="B24" i="50"/>
  <c r="B22" i="50"/>
  <c r="B21" i="50"/>
  <c r="C20" i="50"/>
  <c r="C26" i="50" s="1"/>
  <c r="B19" i="50"/>
  <c r="B18" i="50"/>
  <c r="C17" i="50"/>
  <c r="B16" i="50"/>
  <c r="B15" i="50"/>
  <c r="B14" i="50"/>
  <c r="B13" i="50"/>
  <c r="B12" i="50"/>
  <c r="B11" i="50"/>
  <c r="B10" i="50"/>
  <c r="B9" i="50"/>
  <c r="B8" i="50"/>
  <c r="B7" i="50"/>
  <c r="B6" i="50"/>
  <c r="B5" i="50"/>
  <c r="D1" i="50"/>
  <c r="B1" i="50"/>
  <c r="DZ181" i="14"/>
  <c r="DZ201" i="14"/>
  <c r="DZ200" i="14"/>
  <c r="DZ184" i="14"/>
  <c r="DZ183" i="14"/>
  <c r="EA182" i="14"/>
  <c r="DZ182" i="14"/>
  <c r="DZ176" i="14"/>
  <c r="EA161" i="14"/>
  <c r="DZ161" i="14"/>
  <c r="EA160" i="14"/>
  <c r="DZ160" i="14"/>
  <c r="EA159" i="14"/>
  <c r="DZ159" i="14"/>
  <c r="EA157" i="14"/>
  <c r="DZ157" i="14"/>
  <c r="DZ154" i="14"/>
  <c r="DZ153" i="14"/>
  <c r="DZ151" i="14"/>
  <c r="DZ150" i="14"/>
  <c r="DZ148" i="14"/>
  <c r="DZ146" i="14"/>
  <c r="DZ144" i="14"/>
  <c r="EA143" i="14"/>
  <c r="DZ143" i="14"/>
  <c r="DZ141" i="14"/>
  <c r="DZ140" i="14"/>
  <c r="DZ138" i="14"/>
  <c r="DZ137" i="14"/>
  <c r="DZ136" i="14"/>
  <c r="DZ135" i="14"/>
  <c r="DZ134" i="14"/>
  <c r="DZ132" i="14"/>
  <c r="DZ131" i="14"/>
  <c r="EA130" i="14"/>
  <c r="DZ130" i="14"/>
  <c r="DZ128" i="14"/>
  <c r="DZ127" i="14"/>
  <c r="DZ125" i="14"/>
  <c r="DZ124" i="14"/>
  <c r="DZ123" i="14"/>
  <c r="DZ122" i="14"/>
  <c r="DZ121" i="14"/>
  <c r="DZ120" i="14"/>
  <c r="DZ119" i="14"/>
  <c r="DZ118" i="14"/>
  <c r="DZ117" i="14"/>
  <c r="DZ116" i="14"/>
  <c r="DZ115" i="14"/>
  <c r="DZ114" i="14"/>
  <c r="DZ113" i="14"/>
  <c r="DZ112" i="14"/>
  <c r="DZ111" i="14"/>
  <c r="DZ110" i="14"/>
  <c r="DZ109" i="14"/>
  <c r="DZ108" i="14"/>
  <c r="DZ107" i="14"/>
  <c r="DZ106" i="14"/>
  <c r="DZ105" i="14"/>
  <c r="DZ103" i="14"/>
  <c r="DZ102" i="14"/>
  <c r="DZ101" i="14"/>
  <c r="DZ100" i="14"/>
  <c r="DZ99" i="14"/>
  <c r="DZ98" i="14"/>
  <c r="DZ97" i="14"/>
  <c r="DZ96" i="14"/>
  <c r="DZ95" i="14"/>
  <c r="DZ94" i="14"/>
  <c r="DZ93" i="14"/>
  <c r="DZ92" i="14"/>
  <c r="DZ91" i="14"/>
  <c r="DZ90" i="14"/>
  <c r="DZ87" i="14"/>
  <c r="DZ86" i="14"/>
  <c r="DZ84" i="14"/>
  <c r="DZ82" i="14"/>
  <c r="DZ81" i="14"/>
  <c r="DZ80" i="14"/>
  <c r="DZ79" i="14"/>
  <c r="DZ78" i="14"/>
  <c r="EA77" i="14"/>
  <c r="DZ77" i="14"/>
  <c r="DZ75" i="14"/>
  <c r="DZ74" i="14"/>
  <c r="DZ72" i="14"/>
  <c r="DZ71" i="14"/>
  <c r="DZ69" i="14"/>
  <c r="DZ68" i="14"/>
  <c r="DZ67" i="14"/>
  <c r="EA66" i="14"/>
  <c r="DZ66" i="14"/>
  <c r="DZ64" i="14"/>
  <c r="DZ63" i="14"/>
  <c r="DZ61" i="14"/>
  <c r="DZ60" i="14"/>
  <c r="DZ59" i="14"/>
  <c r="DZ58" i="14"/>
  <c r="DZ57" i="14"/>
  <c r="DZ56" i="14"/>
  <c r="DZ55" i="14"/>
  <c r="DZ54" i="14"/>
  <c r="DZ53" i="14"/>
  <c r="DZ52" i="14"/>
  <c r="DZ51" i="14"/>
  <c r="DZ50" i="14"/>
  <c r="DZ49" i="14"/>
  <c r="DZ47" i="14"/>
  <c r="DZ46" i="14"/>
  <c r="DZ45" i="14"/>
  <c r="DZ44" i="14"/>
  <c r="DZ43" i="14"/>
  <c r="DZ42" i="14"/>
  <c r="DZ41" i="14"/>
  <c r="DZ40" i="14"/>
  <c r="DZ39" i="14"/>
  <c r="DZ38" i="14"/>
  <c r="DZ37" i="14"/>
  <c r="DZ36" i="14"/>
  <c r="EA35" i="14"/>
  <c r="DZ35" i="14"/>
  <c r="DZ33" i="14"/>
  <c r="DZ32" i="14"/>
  <c r="DZ30" i="14"/>
  <c r="DZ29" i="14"/>
  <c r="DZ28" i="14"/>
  <c r="DZ27" i="14"/>
  <c r="DZ26" i="14"/>
  <c r="DZ25" i="14"/>
  <c r="DZ23" i="14"/>
  <c r="DZ22" i="14"/>
  <c r="DZ20" i="14"/>
  <c r="DZ19" i="14"/>
  <c r="DZ18" i="14"/>
  <c r="DZ17" i="14"/>
  <c r="DZ16" i="14"/>
  <c r="DZ15" i="14"/>
  <c r="DZ14" i="14"/>
  <c r="DZ13" i="14"/>
  <c r="DZ12" i="14"/>
  <c r="AR201" i="14"/>
  <c r="AS182" i="14"/>
  <c r="AR182" i="14"/>
  <c r="AR176" i="14"/>
  <c r="AS157" i="14"/>
  <c r="AR157" i="14"/>
  <c r="AS143" i="14"/>
  <c r="AR143" i="14"/>
  <c r="AS130" i="14"/>
  <c r="AR130" i="14"/>
  <c r="AR88" i="14"/>
  <c r="AS77" i="14"/>
  <c r="AR77" i="14"/>
  <c r="AS66" i="14"/>
  <c r="AR66" i="14"/>
  <c r="AS35" i="14"/>
  <c r="AR35" i="14"/>
  <c r="CK198" i="14"/>
  <c r="CK192" i="14"/>
  <c r="CK184" i="14"/>
  <c r="CJ184" i="14"/>
  <c r="CK183" i="14"/>
  <c r="CK182" i="14"/>
  <c r="CJ182" i="14"/>
  <c r="CK175" i="14"/>
  <c r="CK161" i="14"/>
  <c r="CJ161" i="14"/>
  <c r="CK160" i="14"/>
  <c r="CJ160" i="14"/>
  <c r="CJ159" i="14"/>
  <c r="CJ154" i="14"/>
  <c r="CK153" i="14"/>
  <c r="CJ153" i="14"/>
  <c r="CJ151" i="14"/>
  <c r="CJ150" i="14"/>
  <c r="CJ148" i="14"/>
  <c r="CJ146" i="14"/>
  <c r="CJ144" i="14"/>
  <c r="CK138" i="14"/>
  <c r="CJ138" i="14"/>
  <c r="CJ137" i="14"/>
  <c r="CK135" i="14"/>
  <c r="CJ135" i="14"/>
  <c r="CJ134" i="14"/>
  <c r="CJ131" i="14"/>
  <c r="CJ128" i="14"/>
  <c r="CK127" i="14"/>
  <c r="CJ127" i="14"/>
  <c r="CK125" i="14"/>
  <c r="CJ125" i="14"/>
  <c r="CK124" i="14"/>
  <c r="CJ124" i="14"/>
  <c r="CK123" i="14"/>
  <c r="CJ123" i="14"/>
  <c r="CJ122" i="14"/>
  <c r="CJ121" i="14"/>
  <c r="CJ120" i="14"/>
  <c r="CJ119" i="14"/>
  <c r="CJ118" i="14"/>
  <c r="CJ117" i="14"/>
  <c r="CJ116" i="14"/>
  <c r="CJ115" i="14"/>
  <c r="CJ114" i="14"/>
  <c r="CJ113" i="14"/>
  <c r="CJ112" i="14"/>
  <c r="CJ111" i="14"/>
  <c r="CJ109" i="14"/>
  <c r="CJ108" i="14"/>
  <c r="CJ107" i="14"/>
  <c r="CJ105" i="14"/>
  <c r="CJ103" i="14"/>
  <c r="CJ102" i="14"/>
  <c r="CJ101" i="14"/>
  <c r="CJ100" i="14"/>
  <c r="CJ99" i="14"/>
  <c r="CJ98" i="14"/>
  <c r="CJ97" i="14"/>
  <c r="CJ96" i="14"/>
  <c r="CJ95" i="14"/>
  <c r="CJ93" i="14"/>
  <c r="CJ92" i="14"/>
  <c r="CJ91" i="14"/>
  <c r="CJ90" i="14"/>
  <c r="CJ87" i="14"/>
  <c r="CK86" i="14"/>
  <c r="CJ86" i="14"/>
  <c r="CJ84" i="14"/>
  <c r="CJ82" i="14"/>
  <c r="CK81" i="14"/>
  <c r="CJ81" i="14"/>
  <c r="CK80" i="14"/>
  <c r="CJ80" i="14"/>
  <c r="CJ79" i="14"/>
  <c r="CJ78" i="14"/>
  <c r="CJ75" i="14"/>
  <c r="CK74" i="14"/>
  <c r="CJ74" i="14"/>
  <c r="CK72" i="14"/>
  <c r="CJ72" i="14"/>
  <c r="CJ71" i="14"/>
  <c r="CK69" i="14"/>
  <c r="CK362" i="14" s="1"/>
  <c r="CJ69" i="14"/>
  <c r="CJ68" i="14"/>
  <c r="CJ67" i="14"/>
  <c r="CJ64" i="14"/>
  <c r="CK63" i="14"/>
  <c r="CJ63" i="14"/>
  <c r="CJ61" i="14"/>
  <c r="CJ60" i="14"/>
  <c r="CJ59" i="14"/>
  <c r="CJ58" i="14"/>
  <c r="CJ57" i="14"/>
  <c r="CJ56" i="14"/>
  <c r="CJ54" i="14"/>
  <c r="CJ53" i="14"/>
  <c r="CJ52" i="14"/>
  <c r="CJ51" i="14"/>
  <c r="CJ49" i="14"/>
  <c r="CJ47" i="14"/>
  <c r="CJ46" i="14"/>
  <c r="CJ45" i="14"/>
  <c r="CJ44" i="14"/>
  <c r="CJ42" i="14"/>
  <c r="CJ41" i="14"/>
  <c r="CJ40" i="14"/>
  <c r="CJ39" i="14"/>
  <c r="CJ38" i="14"/>
  <c r="CJ37" i="14"/>
  <c r="CJ36" i="14"/>
  <c r="CJ33" i="14"/>
  <c r="CK32" i="14"/>
  <c r="CJ32" i="14"/>
  <c r="CK30" i="14"/>
  <c r="CJ30" i="14"/>
  <c r="CJ29" i="14"/>
  <c r="CJ28" i="14"/>
  <c r="CJ27" i="14"/>
  <c r="CJ26" i="14"/>
  <c r="CJ23" i="14"/>
  <c r="CJ22" i="14"/>
  <c r="CJ20" i="14"/>
  <c r="CJ19" i="14"/>
  <c r="CJ18" i="14"/>
  <c r="CJ17" i="14"/>
  <c r="CJ16" i="14"/>
  <c r="CJ15" i="14"/>
  <c r="CJ14" i="14"/>
  <c r="CJ13" i="14"/>
  <c r="EA162" i="14" l="1"/>
  <c r="DZ139" i="14"/>
  <c r="CJ76" i="14"/>
  <c r="DZ48" i="14"/>
  <c r="DZ65" i="14" s="1"/>
  <c r="DZ354" i="14" s="1"/>
  <c r="DZ21" i="14"/>
  <c r="DZ76" i="14"/>
  <c r="DZ104" i="14"/>
  <c r="C28" i="50"/>
  <c r="AO345" i="14"/>
  <c r="AN345" i="14"/>
  <c r="AP329" i="14"/>
  <c r="AO321" i="14"/>
  <c r="AN321" i="14"/>
  <c r="AP317" i="14"/>
  <c r="AP316" i="14"/>
  <c r="AP315" i="14"/>
  <c r="AP314" i="14"/>
  <c r="AP307" i="14"/>
  <c r="N17" i="11" s="1"/>
  <c r="AP305" i="14"/>
  <c r="AP293" i="14"/>
  <c r="AP286" i="14"/>
  <c r="AP277" i="14"/>
  <c r="AP276" i="14"/>
  <c r="AP275" i="14"/>
  <c r="AP274" i="14"/>
  <c r="AP273" i="14"/>
  <c r="AP272" i="14"/>
  <c r="AP271" i="14"/>
  <c r="AP270" i="14"/>
  <c r="AP269" i="14"/>
  <c r="AP268" i="14"/>
  <c r="AP267" i="14"/>
  <c r="AP266" i="14"/>
  <c r="AP265" i="14"/>
  <c r="AP264" i="14"/>
  <c r="AP263" i="14"/>
  <c r="AP262" i="14"/>
  <c r="AP261" i="14"/>
  <c r="AP260" i="14"/>
  <c r="AP259" i="14"/>
  <c r="AP258" i="14"/>
  <c r="AP257" i="14"/>
  <c r="AP256" i="14"/>
  <c r="AP255" i="14"/>
  <c r="AP254" i="14"/>
  <c r="AP253" i="14"/>
  <c r="AP252" i="14"/>
  <c r="AP251" i="14"/>
  <c r="AP250" i="14"/>
  <c r="AP249" i="14"/>
  <c r="AP248" i="14"/>
  <c r="AP247" i="14"/>
  <c r="AP246" i="14"/>
  <c r="AP245" i="14"/>
  <c r="AP244" i="14"/>
  <c r="AP243" i="14"/>
  <c r="AP242" i="14"/>
  <c r="AP241" i="14"/>
  <c r="AP240" i="14"/>
  <c r="AP239" i="14"/>
  <c r="AP238" i="14"/>
  <c r="AP237" i="14"/>
  <c r="AP236" i="14"/>
  <c r="AP235" i="14"/>
  <c r="AP234" i="14"/>
  <c r="AP233" i="14"/>
  <c r="AO200" i="14"/>
  <c r="AO199" i="14"/>
  <c r="AO198" i="14"/>
  <c r="AP197" i="14"/>
  <c r="AO197" i="14"/>
  <c r="AO196" i="14"/>
  <c r="AO193" i="14"/>
  <c r="AP192" i="14"/>
  <c r="AO192" i="14"/>
  <c r="AO191" i="14"/>
  <c r="AO190" i="14"/>
  <c r="AP189" i="14"/>
  <c r="AO189" i="14"/>
  <c r="AO184" i="14"/>
  <c r="AO180" i="14"/>
  <c r="AO179" i="14"/>
  <c r="AO178" i="14"/>
  <c r="AO175" i="14"/>
  <c r="AO174" i="14"/>
  <c r="AO173" i="14"/>
  <c r="AO172" i="14"/>
  <c r="AO171" i="14"/>
  <c r="AO170" i="14"/>
  <c r="AO169" i="14"/>
  <c r="AO168" i="14"/>
  <c r="AO167" i="14"/>
  <c r="AO166" i="14"/>
  <c r="AP161" i="14"/>
  <c r="AO161" i="14"/>
  <c r="AP160" i="14"/>
  <c r="AO160" i="14"/>
  <c r="AO159" i="14"/>
  <c r="AO154" i="14"/>
  <c r="AO153" i="14"/>
  <c r="AO151" i="14"/>
  <c r="AO150" i="14"/>
  <c r="AO148" i="14"/>
  <c r="AO147" i="14"/>
  <c r="AO146" i="14"/>
  <c r="AO144" i="14"/>
  <c r="AO141" i="14"/>
  <c r="AO140" i="14"/>
  <c r="AO138" i="14"/>
  <c r="AO137" i="14"/>
  <c r="AO135" i="14"/>
  <c r="AO131" i="14"/>
  <c r="AO128" i="14"/>
  <c r="AO127" i="14"/>
  <c r="AO125" i="14"/>
  <c r="AO124" i="14"/>
  <c r="AO123" i="14"/>
  <c r="AO122" i="14"/>
  <c r="AO121" i="14"/>
  <c r="AO120" i="14"/>
  <c r="AO119" i="14"/>
  <c r="AO118" i="14"/>
  <c r="AO117" i="14"/>
  <c r="AO116" i="14"/>
  <c r="AO115" i="14"/>
  <c r="AO114" i="14"/>
  <c r="AO113" i="14"/>
  <c r="AO112" i="14"/>
  <c r="AO111" i="14"/>
  <c r="AO109" i="14"/>
  <c r="AO108" i="14"/>
  <c r="AO107" i="14"/>
  <c r="AO106" i="14"/>
  <c r="AO105" i="14"/>
  <c r="AO103" i="14"/>
  <c r="AO102" i="14"/>
  <c r="AO101" i="14"/>
  <c r="AO100" i="14"/>
  <c r="AO99" i="14"/>
  <c r="AO98" i="14"/>
  <c r="AO97" i="14"/>
  <c r="AO96" i="14"/>
  <c r="AO95" i="14"/>
  <c r="AO93" i="14"/>
  <c r="AO92" i="14"/>
  <c r="AO91" i="14"/>
  <c r="AO90" i="14"/>
  <c r="AO87" i="14"/>
  <c r="AP86" i="14"/>
  <c r="AO86" i="14"/>
  <c r="AO84" i="14"/>
  <c r="AO82" i="14"/>
  <c r="AO81" i="14"/>
  <c r="AO80" i="14"/>
  <c r="AO79" i="14"/>
  <c r="AO78" i="14"/>
  <c r="AO75" i="14"/>
  <c r="AP74" i="14"/>
  <c r="AO74" i="14"/>
  <c r="AO72" i="14"/>
  <c r="AO71" i="14"/>
  <c r="AO69" i="14"/>
  <c r="AO68" i="14"/>
  <c r="AO67" i="14"/>
  <c r="AO64" i="14"/>
  <c r="AO63" i="14"/>
  <c r="AO61" i="14"/>
  <c r="AO60" i="14"/>
  <c r="AO59" i="14"/>
  <c r="AO58" i="14"/>
  <c r="AO57" i="14"/>
  <c r="AO56" i="14"/>
  <c r="AO54" i="14"/>
  <c r="AO53" i="14"/>
  <c r="AO52" i="14"/>
  <c r="AO51" i="14"/>
  <c r="AO50" i="14"/>
  <c r="AO49" i="14"/>
  <c r="AO47" i="14"/>
  <c r="AO46" i="14"/>
  <c r="AO45" i="14"/>
  <c r="AO44" i="14"/>
  <c r="AO42" i="14"/>
  <c r="AO41" i="14"/>
  <c r="AO40" i="14"/>
  <c r="AO39" i="14"/>
  <c r="AO38" i="14"/>
  <c r="AO37" i="14"/>
  <c r="AO36" i="14"/>
  <c r="AO325" i="14" s="1"/>
  <c r="AO33" i="14"/>
  <c r="AO29" i="14"/>
  <c r="AO28" i="14"/>
  <c r="AO20" i="14"/>
  <c r="AO19" i="14"/>
  <c r="AO18" i="14"/>
  <c r="AO17" i="14"/>
  <c r="AO16" i="14"/>
  <c r="AO15" i="14"/>
  <c r="AO14" i="14"/>
  <c r="AO13" i="14"/>
  <c r="AL345" i="14"/>
  <c r="AK345" i="14"/>
  <c r="AM329" i="14"/>
  <c r="AL321" i="14"/>
  <c r="AK321" i="14"/>
  <c r="AM317" i="14"/>
  <c r="AM316" i="14"/>
  <c r="AM315" i="14"/>
  <c r="AM314" i="14"/>
  <c r="AM307" i="14"/>
  <c r="M17" i="11" s="1"/>
  <c r="AM305" i="14"/>
  <c r="AM293" i="14"/>
  <c r="AM286" i="14"/>
  <c r="AM277" i="14"/>
  <c r="AM276" i="14"/>
  <c r="AM275" i="14"/>
  <c r="AM274" i="14"/>
  <c r="AM273" i="14"/>
  <c r="AM272" i="14"/>
  <c r="AM271" i="14"/>
  <c r="AM270" i="14"/>
  <c r="AM269" i="14"/>
  <c r="AM268" i="14"/>
  <c r="AM267" i="14"/>
  <c r="AM266" i="14"/>
  <c r="AM265" i="14"/>
  <c r="AM264" i="14"/>
  <c r="AM263" i="14"/>
  <c r="AM262" i="14"/>
  <c r="AM261" i="14"/>
  <c r="AM260" i="14"/>
  <c r="AM259" i="14"/>
  <c r="AM258" i="14"/>
  <c r="AM257" i="14"/>
  <c r="AM256" i="14"/>
  <c r="AM255" i="14"/>
  <c r="AM254" i="14"/>
  <c r="AM253" i="14"/>
  <c r="AM252" i="14"/>
  <c r="AM251" i="14"/>
  <c r="AM250" i="14"/>
  <c r="AM249" i="14"/>
  <c r="AM248" i="14"/>
  <c r="AM247" i="14"/>
  <c r="AM246" i="14"/>
  <c r="AM245" i="14"/>
  <c r="AM244" i="14"/>
  <c r="AM243" i="14"/>
  <c r="AM242" i="14"/>
  <c r="AM241" i="14"/>
  <c r="AM240" i="14"/>
  <c r="AM239" i="14"/>
  <c r="AM238" i="14"/>
  <c r="AM237" i="14"/>
  <c r="AM236" i="14"/>
  <c r="AM235" i="14"/>
  <c r="AM234" i="14"/>
  <c r="AM233" i="14"/>
  <c r="AL200" i="14"/>
  <c r="AL199" i="14"/>
  <c r="AL198" i="14"/>
  <c r="AM197" i="14"/>
  <c r="AL197" i="14"/>
  <c r="AL196" i="14"/>
  <c r="AL193" i="14"/>
  <c r="AM192" i="14"/>
  <c r="AL192" i="14"/>
  <c r="AL191" i="14"/>
  <c r="AL190" i="14"/>
  <c r="AM189" i="14"/>
  <c r="AL189" i="14"/>
  <c r="AL184" i="14"/>
  <c r="AL180" i="14"/>
  <c r="AL179" i="14"/>
  <c r="AL178" i="14"/>
  <c r="AL175" i="14"/>
  <c r="AL174" i="14"/>
  <c r="AL173" i="14"/>
  <c r="AL172" i="14"/>
  <c r="AL171" i="14"/>
  <c r="AL170" i="14"/>
  <c r="AL169" i="14"/>
  <c r="AL168" i="14"/>
  <c r="AL167" i="14"/>
  <c r="AL166" i="14"/>
  <c r="AM161" i="14"/>
  <c r="AL161" i="14"/>
  <c r="AM160" i="14"/>
  <c r="AL160" i="14"/>
  <c r="AL159" i="14"/>
  <c r="AL154" i="14"/>
  <c r="AL153" i="14"/>
  <c r="AL151" i="14"/>
  <c r="AL150" i="14"/>
  <c r="AL148" i="14"/>
  <c r="AL147" i="14"/>
  <c r="AL146" i="14"/>
  <c r="AL144" i="14"/>
  <c r="AL141" i="14"/>
  <c r="AL140" i="14"/>
  <c r="AL138" i="14"/>
  <c r="AL137" i="14"/>
  <c r="AL135" i="14"/>
  <c r="AL131" i="14"/>
  <c r="AL128" i="14"/>
  <c r="AL127" i="14"/>
  <c r="AL125" i="14"/>
  <c r="AL124" i="14"/>
  <c r="AL123" i="14"/>
  <c r="AL122" i="14"/>
  <c r="AL121" i="14"/>
  <c r="AL120" i="14"/>
  <c r="AL119" i="14"/>
  <c r="AL118" i="14"/>
  <c r="AL117" i="14"/>
  <c r="AL116" i="14"/>
  <c r="AL115" i="14"/>
  <c r="AL114" i="14"/>
  <c r="AL113" i="14"/>
  <c r="AL112" i="14"/>
  <c r="AL111" i="14"/>
  <c r="AL109" i="14"/>
  <c r="AL108" i="14"/>
  <c r="AL107" i="14"/>
  <c r="AL106" i="14"/>
  <c r="AL105" i="14"/>
  <c r="AL103" i="14"/>
  <c r="AL102" i="14"/>
  <c r="AL101" i="14"/>
  <c r="AL100" i="14"/>
  <c r="AL99" i="14"/>
  <c r="AL98" i="14"/>
  <c r="AL97" i="14"/>
  <c r="AL96" i="14"/>
  <c r="AL95" i="14"/>
  <c r="AL93" i="14"/>
  <c r="AL92" i="14"/>
  <c r="AL91" i="14"/>
  <c r="AL90" i="14"/>
  <c r="AL87" i="14"/>
  <c r="AM86" i="14"/>
  <c r="AL86" i="14"/>
  <c r="AL84" i="14"/>
  <c r="AL82" i="14"/>
  <c r="AL81" i="14"/>
  <c r="AL80" i="14"/>
  <c r="AL79" i="14"/>
  <c r="AL78" i="14"/>
  <c r="AL75" i="14"/>
  <c r="AM74" i="14"/>
  <c r="AL74" i="14"/>
  <c r="AL72" i="14"/>
  <c r="AL71" i="14"/>
  <c r="AL69" i="14"/>
  <c r="AL68" i="14"/>
  <c r="AL67" i="14"/>
  <c r="AL64" i="14"/>
  <c r="AL63" i="14"/>
  <c r="AL61" i="14"/>
  <c r="AL60" i="14"/>
  <c r="AL59" i="14"/>
  <c r="AL58" i="14"/>
  <c r="AL57" i="14"/>
  <c r="AL56" i="14"/>
  <c r="AL54" i="14"/>
  <c r="AL53" i="14"/>
  <c r="AL52" i="14"/>
  <c r="AL51" i="14"/>
  <c r="AL50" i="14"/>
  <c r="AL49" i="14"/>
  <c r="AL47" i="14"/>
  <c r="AL46" i="14"/>
  <c r="AL45" i="14"/>
  <c r="AL44" i="14"/>
  <c r="AL42" i="14"/>
  <c r="AL41" i="14"/>
  <c r="AL40" i="14"/>
  <c r="AL39" i="14"/>
  <c r="AL38" i="14"/>
  <c r="AL37" i="14"/>
  <c r="AL36" i="14"/>
  <c r="AL325" i="14" s="1"/>
  <c r="AL33" i="14"/>
  <c r="AL29" i="14"/>
  <c r="AL28" i="14"/>
  <c r="AL20" i="14"/>
  <c r="AL19" i="14"/>
  <c r="AL18" i="14"/>
  <c r="AL17" i="14"/>
  <c r="AL16" i="14"/>
  <c r="AL15" i="14"/>
  <c r="AL14" i="14"/>
  <c r="AL13" i="14"/>
  <c r="AI345" i="14"/>
  <c r="AH345" i="14"/>
  <c r="AJ329" i="14"/>
  <c r="AI321" i="14"/>
  <c r="AH321" i="14"/>
  <c r="AJ317" i="14"/>
  <c r="AJ316" i="14"/>
  <c r="AJ315" i="14"/>
  <c r="AJ314" i="14"/>
  <c r="AJ307" i="14"/>
  <c r="L17" i="11" s="1"/>
  <c r="AJ305" i="14"/>
  <c r="AJ293" i="14"/>
  <c r="AJ286" i="14"/>
  <c r="AJ277" i="14"/>
  <c r="AJ276" i="14"/>
  <c r="AJ275" i="14"/>
  <c r="AJ274" i="14"/>
  <c r="AJ273" i="14"/>
  <c r="AJ272" i="14"/>
  <c r="AJ271" i="14"/>
  <c r="AJ270" i="14"/>
  <c r="AJ269" i="14"/>
  <c r="AJ268" i="14"/>
  <c r="AJ267" i="14"/>
  <c r="AJ266" i="14"/>
  <c r="AJ265" i="14"/>
  <c r="AJ264" i="14"/>
  <c r="AJ263" i="14"/>
  <c r="AJ262" i="14"/>
  <c r="AJ261" i="14"/>
  <c r="AJ260" i="14"/>
  <c r="AJ259" i="14"/>
  <c r="AJ258" i="14"/>
  <c r="AJ257" i="14"/>
  <c r="AJ256" i="14"/>
  <c r="AJ255" i="14"/>
  <c r="AJ254" i="14"/>
  <c r="AJ253" i="14"/>
  <c r="AJ252" i="14"/>
  <c r="AJ251" i="14"/>
  <c r="AJ250" i="14"/>
  <c r="AJ249" i="14"/>
  <c r="AJ248" i="14"/>
  <c r="AJ247" i="14"/>
  <c r="AJ246" i="14"/>
  <c r="AJ245" i="14"/>
  <c r="AJ244" i="14"/>
  <c r="AJ243" i="14"/>
  <c r="AJ242" i="14"/>
  <c r="AJ241" i="14"/>
  <c r="AJ240" i="14"/>
  <c r="AJ239" i="14"/>
  <c r="AJ238" i="14"/>
  <c r="AJ237" i="14"/>
  <c r="AJ236" i="14"/>
  <c r="AJ235" i="14"/>
  <c r="AJ234" i="14"/>
  <c r="AJ233" i="14"/>
  <c r="AI200" i="14"/>
  <c r="AI199" i="14"/>
  <c r="AI198" i="14"/>
  <c r="AJ197" i="14"/>
  <c r="AI197" i="14"/>
  <c r="AI196" i="14"/>
  <c r="AI193" i="14"/>
  <c r="AJ192" i="14"/>
  <c r="AI192" i="14"/>
  <c r="AI191" i="14"/>
  <c r="AI190" i="14"/>
  <c r="AJ189" i="14"/>
  <c r="AI189" i="14"/>
  <c r="AI184" i="14"/>
  <c r="AI180" i="14"/>
  <c r="AI179" i="14"/>
  <c r="AI178" i="14"/>
  <c r="AI175" i="14"/>
  <c r="AI174" i="14"/>
  <c r="AI173" i="14"/>
  <c r="AI172" i="14"/>
  <c r="AI171" i="14"/>
  <c r="AI170" i="14"/>
  <c r="AI169" i="14"/>
  <c r="AI168" i="14"/>
  <c r="AI167" i="14"/>
  <c r="AI166" i="14"/>
  <c r="AJ161" i="14"/>
  <c r="AI161" i="14"/>
  <c r="AJ160" i="14"/>
  <c r="AI160" i="14"/>
  <c r="AI159" i="14"/>
  <c r="AI154" i="14"/>
  <c r="AI153" i="14"/>
  <c r="AI151" i="14"/>
  <c r="AI150" i="14"/>
  <c r="AI148" i="14"/>
  <c r="AI147" i="14"/>
  <c r="AI146" i="14"/>
  <c r="AI144" i="14"/>
  <c r="AI141" i="14"/>
  <c r="AI140" i="14"/>
  <c r="AI138" i="14"/>
  <c r="AI137" i="14"/>
  <c r="AI135" i="14"/>
  <c r="AI131" i="14"/>
  <c r="AI128" i="14"/>
  <c r="AI127" i="14"/>
  <c r="AI125" i="14"/>
  <c r="AI124" i="14"/>
  <c r="AI123" i="14"/>
  <c r="AI122" i="14"/>
  <c r="AI121" i="14"/>
  <c r="AI120" i="14"/>
  <c r="AI119" i="14"/>
  <c r="AI118" i="14"/>
  <c r="AI117" i="14"/>
  <c r="AI116" i="14"/>
  <c r="AI115" i="14"/>
  <c r="AI114" i="14"/>
  <c r="AI113" i="14"/>
  <c r="AI112" i="14"/>
  <c r="AI111" i="14"/>
  <c r="AI109" i="14"/>
  <c r="AI108" i="14"/>
  <c r="AI107" i="14"/>
  <c r="AI106" i="14"/>
  <c r="AI105" i="14"/>
  <c r="AI103" i="14"/>
  <c r="AI102" i="14"/>
  <c r="AI101" i="14"/>
  <c r="AI100" i="14"/>
  <c r="AI99" i="14"/>
  <c r="AI98" i="14"/>
  <c r="AI97" i="14"/>
  <c r="AI96" i="14"/>
  <c r="AI95" i="14"/>
  <c r="AI93" i="14"/>
  <c r="AI92" i="14"/>
  <c r="AI91" i="14"/>
  <c r="AI90" i="14"/>
  <c r="AI87" i="14"/>
  <c r="AJ86" i="14"/>
  <c r="AI86" i="14"/>
  <c r="AI84" i="14"/>
  <c r="AI82" i="14"/>
  <c r="AI81" i="14"/>
  <c r="AI80" i="14"/>
  <c r="AI79" i="14"/>
  <c r="AI78" i="14"/>
  <c r="AI75" i="14"/>
  <c r="AJ74" i="14"/>
  <c r="AI74" i="14"/>
  <c r="AI72" i="14"/>
  <c r="AI71" i="14"/>
  <c r="AI69" i="14"/>
  <c r="AI68" i="14"/>
  <c r="AI67" i="14"/>
  <c r="AI64" i="14"/>
  <c r="AI63" i="14"/>
  <c r="AI61" i="14"/>
  <c r="AI60" i="14"/>
  <c r="AI59" i="14"/>
  <c r="AI58" i="14"/>
  <c r="AI57" i="14"/>
  <c r="AI56" i="14"/>
  <c r="AI54" i="14"/>
  <c r="AI53" i="14"/>
  <c r="AI52" i="14"/>
  <c r="AI51" i="14"/>
  <c r="AI50" i="14"/>
  <c r="AI49" i="14"/>
  <c r="AI47" i="14"/>
  <c r="AI46" i="14"/>
  <c r="AI45" i="14"/>
  <c r="AI44" i="14"/>
  <c r="AI42" i="14"/>
  <c r="AI41" i="14"/>
  <c r="AI40" i="14"/>
  <c r="AI39" i="14"/>
  <c r="AI38" i="14"/>
  <c r="AI37" i="14"/>
  <c r="AI36" i="14"/>
  <c r="AI325" i="14" s="1"/>
  <c r="AI33" i="14"/>
  <c r="AI29" i="14"/>
  <c r="AI28" i="14"/>
  <c r="AI20" i="14"/>
  <c r="AI19" i="14"/>
  <c r="AI18" i="14"/>
  <c r="AI17" i="14"/>
  <c r="AI16" i="14"/>
  <c r="AI15" i="14"/>
  <c r="AI14" i="14"/>
  <c r="AI13" i="14"/>
  <c r="AF345" i="14"/>
  <c r="AE345" i="14"/>
  <c r="AG329" i="14"/>
  <c r="AF321" i="14"/>
  <c r="AE321" i="14"/>
  <c r="AG317" i="14"/>
  <c r="AG316" i="14"/>
  <c r="AG315" i="14"/>
  <c r="AG314" i="14"/>
  <c r="AG307" i="14"/>
  <c r="K17" i="11" s="1"/>
  <c r="AG305" i="14"/>
  <c r="AG293" i="14"/>
  <c r="AG286" i="14"/>
  <c r="AG277" i="14"/>
  <c r="AG276" i="14"/>
  <c r="AG275" i="14"/>
  <c r="AG274" i="14"/>
  <c r="AG273" i="14"/>
  <c r="AG272" i="14"/>
  <c r="AG271" i="14"/>
  <c r="AG270" i="14"/>
  <c r="AG269" i="14"/>
  <c r="AG268" i="14"/>
  <c r="AG267" i="14"/>
  <c r="AG266" i="14"/>
  <c r="AG265" i="14"/>
  <c r="AG264" i="14"/>
  <c r="AG263" i="14"/>
  <c r="AG262" i="14"/>
  <c r="AG261" i="14"/>
  <c r="AG260" i="14"/>
  <c r="AG259" i="14"/>
  <c r="AG258" i="14"/>
  <c r="AG257" i="14"/>
  <c r="AG256" i="14"/>
  <c r="AG255" i="14"/>
  <c r="AG254" i="14"/>
  <c r="AG253" i="14"/>
  <c r="AG252" i="14"/>
  <c r="AG251" i="14"/>
  <c r="AG250" i="14"/>
  <c r="AG249" i="14"/>
  <c r="AG248" i="14"/>
  <c r="AG247" i="14"/>
  <c r="AG246" i="14"/>
  <c r="AG245" i="14"/>
  <c r="AG244" i="14"/>
  <c r="AG243" i="14"/>
  <c r="AG242" i="14"/>
  <c r="AG241" i="14"/>
  <c r="AG240" i="14"/>
  <c r="AG239" i="14"/>
  <c r="AG238" i="14"/>
  <c r="AG237" i="14"/>
  <c r="AG236" i="14"/>
  <c r="AG235" i="14"/>
  <c r="AG234" i="14"/>
  <c r="AG233" i="14"/>
  <c r="AF200" i="14"/>
  <c r="AF199" i="14"/>
  <c r="AF198" i="14"/>
  <c r="AG197" i="14"/>
  <c r="AF197" i="14"/>
  <c r="AF196" i="14"/>
  <c r="AF193" i="14"/>
  <c r="AG192" i="14"/>
  <c r="AF192" i="14"/>
  <c r="AF191" i="14"/>
  <c r="AF190" i="14"/>
  <c r="AG189" i="14"/>
  <c r="AF189" i="14"/>
  <c r="AF184" i="14"/>
  <c r="AF180" i="14"/>
  <c r="AF179" i="14"/>
  <c r="AF178" i="14"/>
  <c r="AF175" i="14"/>
  <c r="AF174" i="14"/>
  <c r="AF173" i="14"/>
  <c r="AF172" i="14"/>
  <c r="AF171" i="14"/>
  <c r="AF170" i="14"/>
  <c r="AF169" i="14"/>
  <c r="AF168" i="14"/>
  <c r="AF167" i="14"/>
  <c r="AF166" i="14"/>
  <c r="AG161" i="14"/>
  <c r="AF161" i="14"/>
  <c r="AG160" i="14"/>
  <c r="AF160" i="14"/>
  <c r="AF159" i="14"/>
  <c r="AF154" i="14"/>
  <c r="AF153" i="14"/>
  <c r="AF151" i="14"/>
  <c r="AF150" i="14"/>
  <c r="AF148" i="14"/>
  <c r="AF147" i="14"/>
  <c r="AF146" i="14"/>
  <c r="AF144" i="14"/>
  <c r="AF141" i="14"/>
  <c r="AF140" i="14"/>
  <c r="AF138" i="14"/>
  <c r="AF137" i="14"/>
  <c r="AF135" i="14"/>
  <c r="AF131" i="14"/>
  <c r="AF128" i="14"/>
  <c r="AF127" i="14"/>
  <c r="AF125" i="14"/>
  <c r="AF124" i="14"/>
  <c r="AF123" i="14"/>
  <c r="AF122" i="14"/>
  <c r="AF121" i="14"/>
  <c r="AF120" i="14"/>
  <c r="AF119" i="14"/>
  <c r="AF118" i="14"/>
  <c r="AF117" i="14"/>
  <c r="AF116" i="14"/>
  <c r="AF115" i="14"/>
  <c r="AF114" i="14"/>
  <c r="AF113" i="14"/>
  <c r="AF112" i="14"/>
  <c r="AF111" i="14"/>
  <c r="AF109" i="14"/>
  <c r="AF108" i="14"/>
  <c r="AF107" i="14"/>
  <c r="AF106" i="14"/>
  <c r="AF105" i="14"/>
  <c r="AF103" i="14"/>
  <c r="AF102" i="14"/>
  <c r="AF101" i="14"/>
  <c r="AF100" i="14"/>
  <c r="AF99" i="14"/>
  <c r="AF98" i="14"/>
  <c r="AF97" i="14"/>
  <c r="AF96" i="14"/>
  <c r="AF95" i="14"/>
  <c r="AF93" i="14"/>
  <c r="AF92" i="14"/>
  <c r="AF91" i="14"/>
  <c r="AF90" i="14"/>
  <c r="AF87" i="14"/>
  <c r="AG86" i="14"/>
  <c r="AF86" i="14"/>
  <c r="AF84" i="14"/>
  <c r="AF82" i="14"/>
  <c r="AF81" i="14"/>
  <c r="AF80" i="14"/>
  <c r="AF79" i="14"/>
  <c r="AF78" i="14"/>
  <c r="AF75" i="14"/>
  <c r="AG74" i="14"/>
  <c r="AF74" i="14"/>
  <c r="AF72" i="14"/>
  <c r="AF71" i="14"/>
  <c r="AF69" i="14"/>
  <c r="AF68" i="14"/>
  <c r="AF67" i="14"/>
  <c r="AF64" i="14"/>
  <c r="AF63" i="14"/>
  <c r="AF61" i="14"/>
  <c r="AF60" i="14"/>
  <c r="AF59" i="14"/>
  <c r="AF58" i="14"/>
  <c r="AF57" i="14"/>
  <c r="AF56" i="14"/>
  <c r="AF54" i="14"/>
  <c r="AF53" i="14"/>
  <c r="AF52" i="14"/>
  <c r="AF51" i="14"/>
  <c r="AF50" i="14"/>
  <c r="AF49" i="14"/>
  <c r="AF47" i="14"/>
  <c r="AF46" i="14"/>
  <c r="AF45" i="14"/>
  <c r="AF44" i="14"/>
  <c r="AF42" i="14"/>
  <c r="AF41" i="14"/>
  <c r="AF40" i="14"/>
  <c r="AF39" i="14"/>
  <c r="AF38" i="14"/>
  <c r="AF37" i="14"/>
  <c r="AF36" i="14"/>
  <c r="AF325" i="14" s="1"/>
  <c r="AF33" i="14"/>
  <c r="AF29" i="14"/>
  <c r="AF28" i="14"/>
  <c r="AF20" i="14"/>
  <c r="AF19" i="14"/>
  <c r="AF18" i="14"/>
  <c r="AF17" i="14"/>
  <c r="AF16" i="14"/>
  <c r="AF15" i="14"/>
  <c r="AF14" i="14"/>
  <c r="AF13" i="14"/>
  <c r="DW345" i="14"/>
  <c r="DV345" i="14"/>
  <c r="DX329" i="14"/>
  <c r="DW325" i="14"/>
  <c r="DW321" i="14"/>
  <c r="DV321" i="14"/>
  <c r="DX317" i="14"/>
  <c r="DX316" i="14"/>
  <c r="DX315" i="14"/>
  <c r="DX314" i="14"/>
  <c r="DX307" i="14"/>
  <c r="DX305" i="14"/>
  <c r="DX297" i="14"/>
  <c r="DW281" i="14"/>
  <c r="DV281" i="14"/>
  <c r="DX277" i="14"/>
  <c r="DX276" i="14"/>
  <c r="DX275" i="14"/>
  <c r="DX274" i="14"/>
  <c r="DX273" i="14"/>
  <c r="DX272" i="14"/>
  <c r="DX271" i="14"/>
  <c r="DX270" i="14"/>
  <c r="DX269" i="14"/>
  <c r="DX268" i="14"/>
  <c r="DX267" i="14"/>
  <c r="DX266" i="14"/>
  <c r="DX265" i="14"/>
  <c r="DX264" i="14"/>
  <c r="DX263" i="14"/>
  <c r="DX262" i="14"/>
  <c r="DX261" i="14"/>
  <c r="DX260" i="14"/>
  <c r="DX259" i="14"/>
  <c r="DX258" i="14"/>
  <c r="DX257" i="14"/>
  <c r="DX256" i="14"/>
  <c r="DX255" i="14"/>
  <c r="DX254" i="14"/>
  <c r="DX253" i="14"/>
  <c r="DX252" i="14"/>
  <c r="DX251" i="14"/>
  <c r="DX250" i="14"/>
  <c r="DX249" i="14"/>
  <c r="DX248" i="14"/>
  <c r="DX247" i="14"/>
  <c r="DX246" i="14"/>
  <c r="DX245" i="14"/>
  <c r="DX244" i="14"/>
  <c r="DX243" i="14"/>
  <c r="DX242" i="14"/>
  <c r="DX241" i="14"/>
  <c r="DX240" i="14"/>
  <c r="DX239" i="14"/>
  <c r="DX238" i="14"/>
  <c r="DX237" i="14"/>
  <c r="DX236" i="14"/>
  <c r="DX235" i="14"/>
  <c r="DX234" i="14"/>
  <c r="DX233" i="14"/>
  <c r="DX228" i="14"/>
  <c r="DX162" i="14"/>
  <c r="DW133" i="14"/>
  <c r="DW104" i="14"/>
  <c r="DW48" i="14"/>
  <c r="DW65" i="14" s="1"/>
  <c r="DW21" i="14"/>
  <c r="DW34" i="14" s="1"/>
  <c r="DV9" i="14"/>
  <c r="DT345" i="14"/>
  <c r="DS345" i="14"/>
  <c r="DU329" i="14"/>
  <c r="DT325" i="14"/>
  <c r="DT321" i="14"/>
  <c r="DS321" i="14"/>
  <c r="DU317" i="14"/>
  <c r="DU316" i="14"/>
  <c r="DU315" i="14"/>
  <c r="DU314" i="14"/>
  <c r="DU307" i="14"/>
  <c r="DU305" i="14"/>
  <c r="DU297" i="14"/>
  <c r="DT281" i="14"/>
  <c r="DS281" i="14"/>
  <c r="DU277" i="14"/>
  <c r="DU276" i="14"/>
  <c r="DU275" i="14"/>
  <c r="DU274" i="14"/>
  <c r="DU273" i="14"/>
  <c r="DU272" i="14"/>
  <c r="DU271" i="14"/>
  <c r="DU270" i="14"/>
  <c r="DU269" i="14"/>
  <c r="DU268" i="14"/>
  <c r="DU267" i="14"/>
  <c r="DU266" i="14"/>
  <c r="DU265" i="14"/>
  <c r="DU264" i="14"/>
  <c r="DU263" i="14"/>
  <c r="DU262" i="14"/>
  <c r="DU261" i="14"/>
  <c r="DU260" i="14"/>
  <c r="DU259" i="14"/>
  <c r="DU258" i="14"/>
  <c r="DU257" i="14"/>
  <c r="DU256" i="14"/>
  <c r="DU255" i="14"/>
  <c r="DU254" i="14"/>
  <c r="DU253" i="14"/>
  <c r="DU252" i="14"/>
  <c r="DU251" i="14"/>
  <c r="DU250" i="14"/>
  <c r="DU249" i="14"/>
  <c r="DU248" i="14"/>
  <c r="DU247" i="14"/>
  <c r="DU246" i="14"/>
  <c r="DU245" i="14"/>
  <c r="DU244" i="14"/>
  <c r="DU243" i="14"/>
  <c r="DU242" i="14"/>
  <c r="DU241" i="14"/>
  <c r="DU240" i="14"/>
  <c r="DU239" i="14"/>
  <c r="DU238" i="14"/>
  <c r="DU237" i="14"/>
  <c r="DU236" i="14"/>
  <c r="DU235" i="14"/>
  <c r="DU234" i="14"/>
  <c r="DU233" i="14"/>
  <c r="DU228" i="14"/>
  <c r="DU162" i="14"/>
  <c r="DT133" i="14"/>
  <c r="DT104" i="14"/>
  <c r="DT48" i="14"/>
  <c r="DT65" i="14" s="1"/>
  <c r="DT21" i="14"/>
  <c r="DT34" i="14" s="1"/>
  <c r="DS9" i="14"/>
  <c r="DQ345" i="14"/>
  <c r="DP345" i="14"/>
  <c r="DR329" i="14"/>
  <c r="DQ325" i="14"/>
  <c r="DQ321" i="14"/>
  <c r="DP321" i="14"/>
  <c r="DR317" i="14"/>
  <c r="DR316" i="14"/>
  <c r="DR315" i="14"/>
  <c r="DR314" i="14"/>
  <c r="DR307" i="14"/>
  <c r="DR305" i="14"/>
  <c r="DR297" i="14"/>
  <c r="DQ281" i="14"/>
  <c r="DP281" i="14"/>
  <c r="DR277" i="14"/>
  <c r="DR276" i="14"/>
  <c r="DR275" i="14"/>
  <c r="DR274" i="14"/>
  <c r="DR273" i="14"/>
  <c r="DR272" i="14"/>
  <c r="DR271" i="14"/>
  <c r="DR270" i="14"/>
  <c r="DR269" i="14"/>
  <c r="DR268" i="14"/>
  <c r="DR267" i="14"/>
  <c r="DR266" i="14"/>
  <c r="DR265" i="14"/>
  <c r="DR264" i="14"/>
  <c r="DR263" i="14"/>
  <c r="DR262" i="14"/>
  <c r="DR261" i="14"/>
  <c r="DR260" i="14"/>
  <c r="DR259" i="14"/>
  <c r="DR258" i="14"/>
  <c r="DR257" i="14"/>
  <c r="DR256" i="14"/>
  <c r="DR255" i="14"/>
  <c r="DR254" i="14"/>
  <c r="DR253" i="14"/>
  <c r="DR252" i="14"/>
  <c r="DR251" i="14"/>
  <c r="DR250" i="14"/>
  <c r="DR249" i="14"/>
  <c r="DR248" i="14"/>
  <c r="DR247" i="14"/>
  <c r="DR246" i="14"/>
  <c r="DR245" i="14"/>
  <c r="DR244" i="14"/>
  <c r="DR243" i="14"/>
  <c r="DR242" i="14"/>
  <c r="DR241" i="14"/>
  <c r="DR240" i="14"/>
  <c r="DR239" i="14"/>
  <c r="DR238" i="14"/>
  <c r="DR237" i="14"/>
  <c r="DR236" i="14"/>
  <c r="DR235" i="14"/>
  <c r="DR234" i="14"/>
  <c r="DR233" i="14"/>
  <c r="DR228" i="14"/>
  <c r="DR162" i="14"/>
  <c r="DQ133" i="14"/>
  <c r="DQ104" i="14"/>
  <c r="DQ48" i="14"/>
  <c r="DQ65" i="14" s="1"/>
  <c r="DQ21" i="14"/>
  <c r="DQ34" i="14" s="1"/>
  <c r="DP9" i="14"/>
  <c r="DN345" i="14"/>
  <c r="DM345" i="14"/>
  <c r="DO329" i="14"/>
  <c r="DN325" i="14"/>
  <c r="DN321" i="14"/>
  <c r="DM321" i="14"/>
  <c r="DO317" i="14"/>
  <c r="DO316" i="14"/>
  <c r="DO315" i="14"/>
  <c r="DO314" i="14"/>
  <c r="DO307" i="14"/>
  <c r="DO305" i="14"/>
  <c r="DO297" i="14"/>
  <c r="DN281" i="14"/>
  <c r="DM281" i="14"/>
  <c r="DO277" i="14"/>
  <c r="DO276" i="14"/>
  <c r="DO275" i="14"/>
  <c r="DO274" i="14"/>
  <c r="DO273" i="14"/>
  <c r="DO272" i="14"/>
  <c r="DO271" i="14"/>
  <c r="DO270" i="14"/>
  <c r="DO269" i="14"/>
  <c r="DO268" i="14"/>
  <c r="DO267" i="14"/>
  <c r="DO266" i="14"/>
  <c r="DO265" i="14"/>
  <c r="DO264" i="14"/>
  <c r="DO263" i="14"/>
  <c r="DO262" i="14"/>
  <c r="DO261" i="14"/>
  <c r="DO260" i="14"/>
  <c r="DO259" i="14"/>
  <c r="DO258" i="14"/>
  <c r="DO257" i="14"/>
  <c r="DO256" i="14"/>
  <c r="DO255" i="14"/>
  <c r="DO254" i="14"/>
  <c r="DO253" i="14"/>
  <c r="DO252" i="14"/>
  <c r="DO251" i="14"/>
  <c r="DO250" i="14"/>
  <c r="DO249" i="14"/>
  <c r="DO248" i="14"/>
  <c r="DO247" i="14"/>
  <c r="DO246" i="14"/>
  <c r="DO245" i="14"/>
  <c r="DO244" i="14"/>
  <c r="DO243" i="14"/>
  <c r="DO242" i="14"/>
  <c r="DO241" i="14"/>
  <c r="DO240" i="14"/>
  <c r="DO239" i="14"/>
  <c r="DO238" i="14"/>
  <c r="DO237" i="14"/>
  <c r="DO236" i="14"/>
  <c r="DO235" i="14"/>
  <c r="DO234" i="14"/>
  <c r="DO233" i="14"/>
  <c r="DO228" i="14"/>
  <c r="DO162" i="14"/>
  <c r="DN133" i="14"/>
  <c r="DN104" i="14"/>
  <c r="DN48" i="14"/>
  <c r="DN65" i="14" s="1"/>
  <c r="DN21" i="14"/>
  <c r="DN34" i="14" s="1"/>
  <c r="DM9" i="14"/>
  <c r="CG345" i="14"/>
  <c r="CF345" i="14"/>
  <c r="CH338" i="14"/>
  <c r="CH329" i="14"/>
  <c r="CG325" i="14"/>
  <c r="CG321" i="14"/>
  <c r="CF321" i="14"/>
  <c r="CH297" i="14"/>
  <c r="CG281" i="14"/>
  <c r="CF281" i="14"/>
  <c r="CH277" i="14"/>
  <c r="CH276" i="14"/>
  <c r="CH275" i="14"/>
  <c r="CH274" i="14"/>
  <c r="CH273" i="14"/>
  <c r="CH272" i="14"/>
  <c r="CH271" i="14"/>
  <c r="CH270" i="14"/>
  <c r="CH269" i="14"/>
  <c r="CH268" i="14"/>
  <c r="CH267" i="14"/>
  <c r="CH266" i="14"/>
  <c r="CH265" i="14"/>
  <c r="CH264" i="14"/>
  <c r="CH263" i="14"/>
  <c r="CH262" i="14"/>
  <c r="CH261" i="14"/>
  <c r="CH260" i="14"/>
  <c r="CH259" i="14"/>
  <c r="CH258" i="14"/>
  <c r="CH257" i="14"/>
  <c r="CH256" i="14"/>
  <c r="CH255" i="14"/>
  <c r="CH254" i="14"/>
  <c r="CH253" i="14"/>
  <c r="CH252" i="14"/>
  <c r="CH251" i="14"/>
  <c r="CH250" i="14"/>
  <c r="CH249" i="14"/>
  <c r="CH248" i="14"/>
  <c r="CH247" i="14"/>
  <c r="CH246" i="14"/>
  <c r="CH245" i="14"/>
  <c r="CH244" i="14"/>
  <c r="CH243" i="14"/>
  <c r="CH242" i="14"/>
  <c r="CH241" i="14"/>
  <c r="CH240" i="14"/>
  <c r="CH239" i="14"/>
  <c r="CH238" i="14"/>
  <c r="CH237" i="14"/>
  <c r="CH236" i="14"/>
  <c r="CH235" i="14"/>
  <c r="CH234" i="14"/>
  <c r="CH233" i="14"/>
  <c r="CG155" i="14"/>
  <c r="CG89" i="14"/>
  <c r="CG76" i="14"/>
  <c r="CD345" i="14"/>
  <c r="CC345" i="14"/>
  <c r="CE338" i="14"/>
  <c r="CE329" i="14"/>
  <c r="CD325" i="14"/>
  <c r="CD321" i="14"/>
  <c r="CC321" i="14"/>
  <c r="CE297" i="14"/>
  <c r="CD281" i="14"/>
  <c r="CC281" i="14"/>
  <c r="CE277" i="14"/>
  <c r="CE276" i="14"/>
  <c r="CE275" i="14"/>
  <c r="CE274" i="14"/>
  <c r="CE273" i="14"/>
  <c r="CE272" i="14"/>
  <c r="CE271" i="14"/>
  <c r="CE270" i="14"/>
  <c r="CE269" i="14"/>
  <c r="CE268" i="14"/>
  <c r="CE267" i="14"/>
  <c r="CE266" i="14"/>
  <c r="CE265" i="14"/>
  <c r="CE264" i="14"/>
  <c r="CE263" i="14"/>
  <c r="CE262" i="14"/>
  <c r="CE261" i="14"/>
  <c r="CE260" i="14"/>
  <c r="CE259" i="14"/>
  <c r="CE258" i="14"/>
  <c r="CE257" i="14"/>
  <c r="CE256" i="14"/>
  <c r="CE255" i="14"/>
  <c r="CE254" i="14"/>
  <c r="CE253" i="14"/>
  <c r="CE252" i="14"/>
  <c r="CE251" i="14"/>
  <c r="CE250" i="14"/>
  <c r="CE249" i="14"/>
  <c r="CE248" i="14"/>
  <c r="CE247" i="14"/>
  <c r="CE246" i="14"/>
  <c r="CE245" i="14"/>
  <c r="CE244" i="14"/>
  <c r="CE243" i="14"/>
  <c r="CE242" i="14"/>
  <c r="CE241" i="14"/>
  <c r="CE240" i="14"/>
  <c r="CE239" i="14"/>
  <c r="CE238" i="14"/>
  <c r="CE237" i="14"/>
  <c r="CE236" i="14"/>
  <c r="CE235" i="14"/>
  <c r="CE234" i="14"/>
  <c r="CE233" i="14"/>
  <c r="CD155" i="14"/>
  <c r="CD89" i="14"/>
  <c r="CD76" i="14"/>
  <c r="CA345" i="14"/>
  <c r="BZ345" i="14"/>
  <c r="CB338" i="14"/>
  <c r="CB329" i="14"/>
  <c r="CA325" i="14"/>
  <c r="CA321" i="14"/>
  <c r="BZ321" i="14"/>
  <c r="CB297" i="14"/>
  <c r="CA281" i="14"/>
  <c r="BZ281" i="14"/>
  <c r="CB277" i="14"/>
  <c r="CB276" i="14"/>
  <c r="CB275" i="14"/>
  <c r="CB274" i="14"/>
  <c r="CB273" i="14"/>
  <c r="CB272" i="14"/>
  <c r="CB271" i="14"/>
  <c r="CB270" i="14"/>
  <c r="CB269" i="14"/>
  <c r="CB268" i="14"/>
  <c r="CB267" i="14"/>
  <c r="CB266" i="14"/>
  <c r="CB265" i="14"/>
  <c r="CB264" i="14"/>
  <c r="CB263" i="14"/>
  <c r="CB262" i="14"/>
  <c r="CB261" i="14"/>
  <c r="CB260" i="14"/>
  <c r="CB259" i="14"/>
  <c r="CB258" i="14"/>
  <c r="CB257" i="14"/>
  <c r="CB256" i="14"/>
  <c r="CB255" i="14"/>
  <c r="CB254" i="14"/>
  <c r="CB253" i="14"/>
  <c r="CB252" i="14"/>
  <c r="CB251" i="14"/>
  <c r="CB250" i="14"/>
  <c r="CB249" i="14"/>
  <c r="CB248" i="14"/>
  <c r="CB247" i="14"/>
  <c r="CB246" i="14"/>
  <c r="CB245" i="14"/>
  <c r="CB244" i="14"/>
  <c r="CB243" i="14"/>
  <c r="CB242" i="14"/>
  <c r="CB241" i="14"/>
  <c r="CB240" i="14"/>
  <c r="CB239" i="14"/>
  <c r="CB238" i="14"/>
  <c r="CB237" i="14"/>
  <c r="CB236" i="14"/>
  <c r="CB235" i="14"/>
  <c r="CB234" i="14"/>
  <c r="CB233" i="14"/>
  <c r="CA155" i="14"/>
  <c r="CA89" i="14"/>
  <c r="CA76" i="14"/>
  <c r="BX345" i="14"/>
  <c r="BW345" i="14"/>
  <c r="BY338" i="14"/>
  <c r="BY329" i="14"/>
  <c r="BX325" i="14"/>
  <c r="BX321" i="14"/>
  <c r="BW321" i="14"/>
  <c r="BY297" i="14"/>
  <c r="BX281" i="14"/>
  <c r="BW281" i="14"/>
  <c r="BY277" i="14"/>
  <c r="BY276" i="14"/>
  <c r="BY275" i="14"/>
  <c r="BY274" i="14"/>
  <c r="BY273" i="14"/>
  <c r="BY272" i="14"/>
  <c r="BY271" i="14"/>
  <c r="BY270" i="14"/>
  <c r="BY269" i="14"/>
  <c r="BY268" i="14"/>
  <c r="BY267" i="14"/>
  <c r="BY266" i="14"/>
  <c r="BY265" i="14"/>
  <c r="BY264" i="14"/>
  <c r="BY263" i="14"/>
  <c r="BY262" i="14"/>
  <c r="BY261" i="14"/>
  <c r="BY260" i="14"/>
  <c r="BY259" i="14"/>
  <c r="BY258" i="14"/>
  <c r="BY257" i="14"/>
  <c r="BY256" i="14"/>
  <c r="BY255" i="14"/>
  <c r="BY254" i="14"/>
  <c r="BY253" i="14"/>
  <c r="BY252" i="14"/>
  <c r="BY251" i="14"/>
  <c r="BY250" i="14"/>
  <c r="BY249" i="14"/>
  <c r="BY248" i="14"/>
  <c r="BY247" i="14"/>
  <c r="BY246" i="14"/>
  <c r="BY245" i="14"/>
  <c r="BY244" i="14"/>
  <c r="BY243" i="14"/>
  <c r="BY242" i="14"/>
  <c r="BY241" i="14"/>
  <c r="BY240" i="14"/>
  <c r="BY239" i="14"/>
  <c r="BY238" i="14"/>
  <c r="BY237" i="14"/>
  <c r="BY236" i="14"/>
  <c r="BY235" i="14"/>
  <c r="BY234" i="14"/>
  <c r="BY233" i="14"/>
  <c r="BX155" i="14"/>
  <c r="BX89" i="14"/>
  <c r="BX76" i="14"/>
  <c r="DJ9" i="14"/>
  <c r="E20" i="21"/>
  <c r="E19" i="21"/>
  <c r="E13" i="21"/>
  <c r="H93" i="8"/>
  <c r="H92" i="8"/>
  <c r="P22" i="21"/>
  <c r="O22" i="21"/>
  <c r="N22" i="21"/>
  <c r="CB159" i="14" s="1"/>
  <c r="M22" i="21"/>
  <c r="BY159" i="14" s="1"/>
  <c r="AG159" i="14" s="1"/>
  <c r="AG228" i="14" s="1"/>
  <c r="AK328" i="23"/>
  <c r="AJ328" i="23"/>
  <c r="AI328" i="23"/>
  <c r="AH328" i="23"/>
  <c r="AK327" i="23"/>
  <c r="AJ327" i="23"/>
  <c r="AI327" i="23"/>
  <c r="AH327" i="23"/>
  <c r="AK326" i="23"/>
  <c r="AJ326" i="23"/>
  <c r="AI326" i="23"/>
  <c r="AH326" i="23"/>
  <c r="AK325" i="23"/>
  <c r="AJ325" i="23"/>
  <c r="AI325" i="23"/>
  <c r="AH325" i="23"/>
  <c r="AK324" i="23"/>
  <c r="AJ324" i="23"/>
  <c r="AI324" i="23"/>
  <c r="AH324" i="23"/>
  <c r="AK323" i="23"/>
  <c r="AJ323" i="23"/>
  <c r="AI323" i="23"/>
  <c r="AH323" i="23"/>
  <c r="AK320" i="23"/>
  <c r="AJ320" i="23"/>
  <c r="AI320" i="23"/>
  <c r="AH320" i="23"/>
  <c r="AK319" i="23"/>
  <c r="AJ319" i="23"/>
  <c r="AI319" i="23"/>
  <c r="AH319" i="23"/>
  <c r="AK318" i="23"/>
  <c r="AJ318" i="23"/>
  <c r="AI318" i="23"/>
  <c r="AH318" i="23"/>
  <c r="AK317" i="23"/>
  <c r="AJ317" i="23"/>
  <c r="AI317" i="23"/>
  <c r="AH317" i="23"/>
  <c r="AK316" i="23"/>
  <c r="AJ316" i="23"/>
  <c r="AI316" i="23"/>
  <c r="AH316" i="23"/>
  <c r="AK315" i="23"/>
  <c r="AJ315" i="23"/>
  <c r="AI315" i="23"/>
  <c r="AH315" i="23"/>
  <c r="AM233" i="23"/>
  <c r="AM232" i="23"/>
  <c r="AM231" i="23"/>
  <c r="AM230" i="23"/>
  <c r="AM229" i="23"/>
  <c r="AM227" i="23"/>
  <c r="AK241" i="23"/>
  <c r="AJ241" i="23"/>
  <c r="AI241" i="23"/>
  <c r="AH241" i="23"/>
  <c r="AK240" i="23"/>
  <c r="AJ240" i="23"/>
  <c r="AI240" i="23"/>
  <c r="AH240" i="23"/>
  <c r="AK239" i="23"/>
  <c r="AJ239" i="23"/>
  <c r="AI239" i="23"/>
  <c r="AH239" i="23"/>
  <c r="AK238" i="23"/>
  <c r="AJ238" i="23"/>
  <c r="AI238" i="23"/>
  <c r="AH238" i="23"/>
  <c r="AK237" i="23"/>
  <c r="AJ237" i="23"/>
  <c r="AI237" i="23"/>
  <c r="AH237" i="23"/>
  <c r="AK236" i="23"/>
  <c r="AJ236" i="23"/>
  <c r="AI236" i="23"/>
  <c r="AH236" i="23"/>
  <c r="AK235" i="23"/>
  <c r="AJ235" i="23"/>
  <c r="AI235" i="23"/>
  <c r="AH235" i="23"/>
  <c r="AK234" i="23"/>
  <c r="AJ234" i="23"/>
  <c r="AI234" i="23"/>
  <c r="AH234" i="23"/>
  <c r="AK132" i="23"/>
  <c r="AJ132" i="23"/>
  <c r="AI132" i="23"/>
  <c r="AH132" i="23"/>
  <c r="AK131" i="23"/>
  <c r="AJ131" i="23"/>
  <c r="AI131" i="23"/>
  <c r="AH131" i="23"/>
  <c r="AK130" i="23"/>
  <c r="AJ130" i="23"/>
  <c r="AI130" i="23"/>
  <c r="AH130" i="23"/>
  <c r="AK129" i="23"/>
  <c r="AJ129" i="23"/>
  <c r="AI129" i="23"/>
  <c r="AH129" i="23"/>
  <c r="AK120" i="23"/>
  <c r="AJ120" i="23"/>
  <c r="AI120" i="23"/>
  <c r="AH120" i="23"/>
  <c r="AK118" i="23"/>
  <c r="AJ118" i="23"/>
  <c r="AI118" i="23"/>
  <c r="AH118" i="23"/>
  <c r="AK117" i="23"/>
  <c r="AJ117" i="23"/>
  <c r="AI117" i="23"/>
  <c r="AH117" i="23"/>
  <c r="AK116" i="23"/>
  <c r="AJ116" i="23"/>
  <c r="AI116" i="23"/>
  <c r="AH116" i="23"/>
  <c r="AK115" i="23"/>
  <c r="AJ115" i="23"/>
  <c r="AI115" i="23"/>
  <c r="AH115" i="23"/>
  <c r="AK106" i="23"/>
  <c r="AJ106" i="23"/>
  <c r="AI106" i="23"/>
  <c r="AH106" i="23"/>
  <c r="Z131" i="23"/>
  <c r="Z130" i="23"/>
  <c r="Z129" i="23"/>
  <c r="Z128" i="23"/>
  <c r="Z127" i="23"/>
  <c r="Z126" i="23"/>
  <c r="Z125" i="23"/>
  <c r="Z124" i="23"/>
  <c r="Z123" i="23"/>
  <c r="Z122" i="23"/>
  <c r="Z121" i="23"/>
  <c r="Z120" i="23"/>
  <c r="Z119" i="23"/>
  <c r="Z118" i="23"/>
  <c r="Z117" i="23"/>
  <c r="Z116" i="23"/>
  <c r="Z115" i="23"/>
  <c r="Z114" i="23"/>
  <c r="Z113" i="23"/>
  <c r="Z112" i="23"/>
  <c r="Z111" i="23"/>
  <c r="Z110" i="23"/>
  <c r="Z109" i="23"/>
  <c r="Z108" i="23"/>
  <c r="Z107" i="23"/>
  <c r="Z106" i="23"/>
  <c r="Z105" i="23"/>
  <c r="AB103" i="23"/>
  <c r="AC103" i="23"/>
  <c r="AD103" i="23"/>
  <c r="AE103" i="23"/>
  <c r="AF103" i="23"/>
  <c r="AG103" i="23"/>
  <c r="AB106" i="23"/>
  <c r="AC106" i="23"/>
  <c r="AD106" i="23"/>
  <c r="AE106" i="23"/>
  <c r="AF106" i="23"/>
  <c r="AG106" i="23"/>
  <c r="AB115" i="23"/>
  <c r="AC115" i="23"/>
  <c r="AD115" i="23"/>
  <c r="AE115" i="23"/>
  <c r="AF115" i="23"/>
  <c r="AG115" i="23"/>
  <c r="AB116" i="23"/>
  <c r="AC116" i="23"/>
  <c r="AD116" i="23"/>
  <c r="AE116" i="23"/>
  <c r="AF116" i="23"/>
  <c r="AG116" i="23"/>
  <c r="AB117" i="23"/>
  <c r="AC117" i="23"/>
  <c r="AD117" i="23"/>
  <c r="AE117" i="23"/>
  <c r="AF117" i="23"/>
  <c r="AG117" i="23"/>
  <c r="AB118" i="23"/>
  <c r="AC118" i="23"/>
  <c r="AD118" i="23"/>
  <c r="AE118" i="23"/>
  <c r="AF118" i="23"/>
  <c r="AG118" i="23"/>
  <c r="AB120" i="23"/>
  <c r="AC120" i="23"/>
  <c r="AD120" i="23"/>
  <c r="AE120" i="23"/>
  <c r="AF120" i="23"/>
  <c r="AG120" i="23"/>
  <c r="AB129" i="23"/>
  <c r="AC129" i="23"/>
  <c r="AD129" i="23"/>
  <c r="AE129" i="23"/>
  <c r="AF129" i="23"/>
  <c r="AG129" i="23"/>
  <c r="AB130" i="23"/>
  <c r="AC130" i="23"/>
  <c r="AD130" i="23"/>
  <c r="AE130" i="23"/>
  <c r="AF130" i="23"/>
  <c r="AG130" i="23"/>
  <c r="AB131" i="23"/>
  <c r="AC131" i="23"/>
  <c r="AD131" i="23"/>
  <c r="AE131" i="23"/>
  <c r="AF131" i="23"/>
  <c r="AG131" i="23"/>
  <c r="AF132" i="23"/>
  <c r="AG132" i="23"/>
  <c r="AK25" i="23"/>
  <c r="AJ25" i="23"/>
  <c r="AI25" i="23"/>
  <c r="AH25" i="23"/>
  <c r="Z33" i="23"/>
  <c r="Z32" i="23"/>
  <c r="Z31" i="23"/>
  <c r="Z30" i="23"/>
  <c r="Z29" i="23"/>
  <c r="Z28" i="23"/>
  <c r="Z27" i="23"/>
  <c r="Z26" i="23"/>
  <c r="Z25" i="23"/>
  <c r="Z24" i="23"/>
  <c r="Z23" i="23"/>
  <c r="Z22" i="23"/>
  <c r="Z21" i="23"/>
  <c r="Z20" i="23"/>
  <c r="Z19" i="23"/>
  <c r="Z18" i="23"/>
  <c r="Z17" i="23"/>
  <c r="AM118" i="23" l="1"/>
  <c r="AM130" i="23"/>
  <c r="AM117" i="23"/>
  <c r="AM115" i="23"/>
  <c r="DN76" i="14"/>
  <c r="DN88" i="14" s="1"/>
  <c r="DN129" i="14" s="1"/>
  <c r="DN142" i="14" s="1"/>
  <c r="DN155" i="14" s="1"/>
  <c r="DN156" i="14" s="1"/>
  <c r="DN163" i="14" s="1"/>
  <c r="DN354" i="14"/>
  <c r="DW76" i="14"/>
  <c r="DW88" i="14" s="1"/>
  <c r="DW129" i="14" s="1"/>
  <c r="DW142" i="14" s="1"/>
  <c r="DW155" i="14" s="1"/>
  <c r="DW156" i="14" s="1"/>
  <c r="DW163" i="14" s="1"/>
  <c r="DW354" i="14"/>
  <c r="DQ76" i="14"/>
  <c r="DQ88" i="14" s="1"/>
  <c r="DQ354" i="14"/>
  <c r="DT76" i="14"/>
  <c r="DT88" i="14" s="1"/>
  <c r="DT129" i="14" s="1"/>
  <c r="DT142" i="14" s="1"/>
  <c r="DT155" i="14" s="1"/>
  <c r="DT156" i="14" s="1"/>
  <c r="DT163" i="14" s="1"/>
  <c r="DT354" i="14"/>
  <c r="AM131" i="23"/>
  <c r="AM106" i="23"/>
  <c r="AM116" i="23"/>
  <c r="AM120" i="23"/>
  <c r="AM129" i="23"/>
  <c r="AO155" i="14"/>
  <c r="DQ129" i="14"/>
  <c r="DQ142" i="14" s="1"/>
  <c r="DQ155" i="14" s="1"/>
  <c r="DQ156" i="14" s="1"/>
  <c r="DQ163" i="14" s="1"/>
  <c r="AI155" i="14"/>
  <c r="AF155" i="14"/>
  <c r="AL155" i="14"/>
  <c r="AL73" i="14"/>
  <c r="AL76" i="14" s="1"/>
  <c r="BY162" i="14"/>
  <c r="AJ159" i="14"/>
  <c r="AJ162" i="14" s="1"/>
  <c r="CE159" i="14"/>
  <c r="AM159" i="14" s="1"/>
  <c r="AM228" i="14" s="1"/>
  <c r="CH159" i="14"/>
  <c r="CH228" i="14" s="1"/>
  <c r="AR28" i="33" s="1"/>
  <c r="CB162" i="14"/>
  <c r="AO73" i="14"/>
  <c r="AO76" i="14" s="1"/>
  <c r="AI73" i="14"/>
  <c r="AI76" i="14" s="1"/>
  <c r="AF73" i="14"/>
  <c r="AF76" i="14" s="1"/>
  <c r="AG162" i="14"/>
  <c r="CE228" i="14"/>
  <c r="AO28" i="33" s="1"/>
  <c r="CB228" i="14"/>
  <c r="AL28" i="33" s="1"/>
  <c r="BY228" i="14"/>
  <c r="AI28" i="33" s="1"/>
  <c r="CE162" i="14" l="1"/>
  <c r="AJ228" i="14"/>
  <c r="AM162" i="14"/>
  <c r="CH162" i="14"/>
  <c r="AP159" i="14"/>
  <c r="CK148" i="14"/>
  <c r="CK150" i="14"/>
  <c r="AP162" i="14" l="1"/>
  <c r="AP228" i="14"/>
  <c r="C7" i="44" l="1"/>
  <c r="C8" i="44"/>
  <c r="C9" i="44"/>
  <c r="C10" i="44"/>
  <c r="C11" i="44"/>
  <c r="C12" i="44"/>
  <c r="C13" i="44"/>
  <c r="L2" i="21" l="1"/>
  <c r="A2" i="21"/>
  <c r="O10" i="18"/>
  <c r="O9" i="18"/>
  <c r="O7" i="18"/>
  <c r="O6" i="18"/>
  <c r="B11" i="18"/>
  <c r="B10" i="18"/>
  <c r="B9" i="18"/>
  <c r="B7" i="18"/>
  <c r="B6" i="18"/>
  <c r="C4" i="36"/>
  <c r="G7" i="14"/>
  <c r="AY7" i="14" s="1"/>
  <c r="G6" i="14"/>
  <c r="AY6" i="14" s="1"/>
  <c r="G5" i="14"/>
  <c r="AY5" i="14" s="1"/>
  <c r="C4" i="35"/>
  <c r="B7" i="7"/>
  <c r="B6" i="7"/>
  <c r="B5" i="7"/>
  <c r="B4" i="7"/>
  <c r="B1" i="7"/>
  <c r="B3" i="7"/>
  <c r="C7" i="38"/>
  <c r="K6" i="38"/>
  <c r="C6" i="38"/>
  <c r="K5" i="38"/>
  <c r="C5" i="38"/>
  <c r="K4" i="38"/>
  <c r="C4" i="38"/>
  <c r="K3" i="38"/>
  <c r="C3" i="38"/>
  <c r="K6" i="37"/>
  <c r="K5" i="37"/>
  <c r="K4" i="37"/>
  <c r="K3" i="37"/>
  <c r="C7" i="37"/>
  <c r="C6" i="37"/>
  <c r="C5" i="37"/>
  <c r="C4" i="37"/>
  <c r="C3" i="37"/>
  <c r="B2" i="39"/>
  <c r="D1" i="39"/>
  <c r="B1" i="39"/>
  <c r="D1" i="12"/>
  <c r="B1" i="12"/>
  <c r="K9" i="3"/>
  <c r="K8" i="3"/>
  <c r="K6" i="3"/>
  <c r="K5" i="3"/>
  <c r="B11" i="3"/>
  <c r="B10" i="3"/>
  <c r="B9" i="3"/>
  <c r="B8" i="3"/>
  <c r="B6" i="3"/>
  <c r="B5" i="3"/>
  <c r="C11" i="8"/>
  <c r="C10" i="8"/>
  <c r="AS4" i="30" s="1"/>
  <c r="C8" i="8"/>
  <c r="R6" i="8"/>
  <c r="R8" i="8"/>
  <c r="AS2" i="43" s="1" a="1"/>
  <c r="AS2" i="43" s="1"/>
  <c r="C9" i="8"/>
  <c r="G3" i="25" s="1"/>
  <c r="C5" i="8"/>
  <c r="B5" i="33" s="1"/>
  <c r="C6" i="8"/>
  <c r="E2" i="23" s="1"/>
  <c r="B2" i="7"/>
  <c r="R5" i="8"/>
  <c r="AS3" i="29" l="1"/>
  <c r="AN6" i="8"/>
  <c r="G2" i="29"/>
  <c r="AN10" i="8"/>
  <c r="G4" i="30"/>
  <c r="AN5" i="8"/>
  <c r="G3" i="24"/>
  <c r="AN11" i="8"/>
  <c r="J2" i="45"/>
  <c r="G3" i="26"/>
  <c r="J4" i="45"/>
  <c r="B6" i="33"/>
  <c r="G3" i="43"/>
  <c r="E1" i="23"/>
  <c r="G3" i="29"/>
  <c r="G4" i="24"/>
  <c r="G4" i="22"/>
  <c r="G1" i="27"/>
  <c r="G1" i="28"/>
  <c r="AS2" i="28" a="1"/>
  <c r="AS2" i="28" s="1"/>
  <c r="AS4" i="26"/>
  <c r="AS2" i="24" a="1"/>
  <c r="AS2" i="24" s="1"/>
  <c r="E5" i="23"/>
  <c r="AS4" i="29"/>
  <c r="G1" i="30"/>
  <c r="B7" i="33"/>
  <c r="G1" i="22"/>
  <c r="G1" i="24"/>
  <c r="AS2" i="22" a="1"/>
  <c r="AS2" i="22" s="1"/>
  <c r="AS3" i="24"/>
  <c r="AS4" i="25"/>
  <c r="G4" i="25"/>
  <c r="G4" i="26"/>
  <c r="AS2" i="27" a="1"/>
  <c r="AS2" i="27" s="1"/>
  <c r="G2" i="27"/>
  <c r="G2" i="28"/>
  <c r="AS3" i="28"/>
  <c r="AS4" i="43"/>
  <c r="G4" i="43"/>
  <c r="G4" i="29"/>
  <c r="AS2" i="30" a="1"/>
  <c r="AS2" i="30" s="1"/>
  <c r="G2" i="30"/>
  <c r="AS3" i="25"/>
  <c r="AS3" i="43"/>
  <c r="H7" i="33"/>
  <c r="E3" i="23"/>
  <c r="G2" i="22"/>
  <c r="G2" i="24"/>
  <c r="AS3" i="22"/>
  <c r="AS4" i="24"/>
  <c r="G1" i="25"/>
  <c r="G1" i="26"/>
  <c r="AS2" i="26" a="1"/>
  <c r="AS2" i="26" s="1"/>
  <c r="AS3" i="27"/>
  <c r="G3" i="27"/>
  <c r="G3" i="28"/>
  <c r="AS4" i="28"/>
  <c r="G1" i="43"/>
  <c r="G1" i="29"/>
  <c r="AS2" i="29" a="1"/>
  <c r="AS2" i="29" s="1"/>
  <c r="AS3" i="30"/>
  <c r="G3" i="30"/>
  <c r="E7" i="33"/>
  <c r="E4" i="23"/>
  <c r="G3" i="22"/>
  <c r="AS4" i="22"/>
  <c r="AS2" i="25" a="1"/>
  <c r="AS2" i="25" s="1"/>
  <c r="G2" i="25"/>
  <c r="G2" i="26"/>
  <c r="AS3" i="26"/>
  <c r="AS4" i="27"/>
  <c r="G4" i="27"/>
  <c r="G4" i="28"/>
  <c r="G2" i="43"/>
  <c r="J125" i="1"/>
  <c r="J124" i="1"/>
  <c r="J123" i="1"/>
  <c r="J126" i="1"/>
  <c r="J173" i="1"/>
  <c r="J174" i="1"/>
  <c r="E545" i="42" l="1"/>
  <c r="CK146" i="14" l="1"/>
  <c r="C29" i="44"/>
  <c r="C28" i="44"/>
  <c r="C27" i="44"/>
  <c r="C26" i="44"/>
  <c r="C25" i="44"/>
  <c r="C24" i="44"/>
  <c r="C23" i="44"/>
  <c r="C22" i="44"/>
  <c r="C21" i="44"/>
  <c r="C20" i="44"/>
  <c r="C19" i="44"/>
  <c r="C18" i="44"/>
  <c r="C17" i="44"/>
  <c r="C16" i="44"/>
  <c r="C15" i="44"/>
  <c r="C14" i="44"/>
  <c r="C6" i="44"/>
  <c r="CE151" i="14" l="1"/>
  <c r="CE152" i="14" s="1"/>
  <c r="CE154" i="14" s="1"/>
  <c r="CE155" i="14" s="1"/>
  <c r="CE336" i="14"/>
  <c r="AH26" i="2" s="1"/>
  <c r="CB151" i="14"/>
  <c r="CB152" i="14" s="1"/>
  <c r="CB154" i="14" s="1"/>
  <c r="CB155" i="14" s="1"/>
  <c r="BS151" i="14"/>
  <c r="CK144" i="14"/>
  <c r="CK147" i="14" s="1"/>
  <c r="BY151" i="14"/>
  <c r="BY152" i="14" s="1"/>
  <c r="BY154" i="14" s="1"/>
  <c r="BY155" i="14" s="1"/>
  <c r="BJ151" i="14"/>
  <c r="CH151" i="14"/>
  <c r="CH152" i="14" s="1"/>
  <c r="CH154" i="14" s="1"/>
  <c r="CH155" i="14" s="1"/>
  <c r="BP151" i="14"/>
  <c r="BM151" i="14"/>
  <c r="BV151" i="14"/>
  <c r="O75" i="28"/>
  <c r="AF75" i="28" s="1"/>
  <c r="AE75" i="28" s="1"/>
  <c r="O73" i="28"/>
  <c r="AF73" i="28" s="1"/>
  <c r="AE73" i="28" s="1"/>
  <c r="O74" i="28"/>
  <c r="AF74" i="28" s="1"/>
  <c r="AE74" i="28" s="1"/>
  <c r="O72" i="28"/>
  <c r="AF72" i="28" s="1"/>
  <c r="AE72" i="28" s="1"/>
  <c r="O70" i="28"/>
  <c r="AF70" i="28" s="1"/>
  <c r="AE70" i="28" s="1"/>
  <c r="AR51" i="26"/>
  <c r="AP51" i="26"/>
  <c r="AO51" i="26"/>
  <c r="AM51" i="26"/>
  <c r="AN51" i="26" s="1"/>
  <c r="AJ51" i="26"/>
  <c r="AG51" i="26"/>
  <c r="AD51" i="26"/>
  <c r="O51" i="26"/>
  <c r="AF51" i="26" s="1"/>
  <c r="AR52" i="26"/>
  <c r="AP52" i="26"/>
  <c r="AO52" i="26"/>
  <c r="AM52" i="26"/>
  <c r="AJ52" i="26"/>
  <c r="AG52" i="26"/>
  <c r="AD52" i="26"/>
  <c r="O52" i="26"/>
  <c r="AF52" i="26" s="1"/>
  <c r="AR51" i="27"/>
  <c r="AP51" i="27"/>
  <c r="AO51" i="27"/>
  <c r="AN51" i="27" s="1"/>
  <c r="AM51" i="27"/>
  <c r="AJ51" i="27"/>
  <c r="AG51" i="27"/>
  <c r="AD51" i="27"/>
  <c r="O51" i="27"/>
  <c r="AF51" i="27" s="1"/>
  <c r="AE51" i="27" s="1"/>
  <c r="B51" i="27"/>
  <c r="AR50" i="27"/>
  <c r="AQ50" i="27" s="1"/>
  <c r="AP50" i="27"/>
  <c r="AO50" i="27"/>
  <c r="AN50" i="27" s="1"/>
  <c r="AM50" i="27"/>
  <c r="AJ50" i="27"/>
  <c r="AG50" i="27"/>
  <c r="AD50" i="27"/>
  <c r="V50" i="27"/>
  <c r="AL50" i="27" s="1"/>
  <c r="AK50" i="27" s="1"/>
  <c r="O50" i="27"/>
  <c r="AF50" i="27" s="1"/>
  <c r="AE50" i="27" s="1"/>
  <c r="B50" i="27"/>
  <c r="AR53" i="27"/>
  <c r="AP53" i="27"/>
  <c r="AQ53" i="27" s="1"/>
  <c r="AO53" i="27"/>
  <c r="AM53" i="27"/>
  <c r="AN53" i="27" s="1"/>
  <c r="AL53" i="27"/>
  <c r="AK53" i="27" s="1"/>
  <c r="AJ53" i="27"/>
  <c r="AG53" i="27"/>
  <c r="AD53" i="27"/>
  <c r="V53" i="27"/>
  <c r="O53" i="27"/>
  <c r="AF53" i="27" s="1"/>
  <c r="AE53" i="27" s="1"/>
  <c r="B53" i="27"/>
  <c r="AR53" i="26"/>
  <c r="AP53" i="26"/>
  <c r="AO53" i="26"/>
  <c r="AM53" i="26"/>
  <c r="AJ53" i="26"/>
  <c r="AG53" i="26"/>
  <c r="AD53" i="26"/>
  <c r="O53" i="26"/>
  <c r="AF53" i="26" s="1"/>
  <c r="CH336" i="14" l="1"/>
  <c r="AK26" i="2" s="1"/>
  <c r="BY336" i="14"/>
  <c r="AB26" i="2" s="1"/>
  <c r="CB224" i="14"/>
  <c r="AL24" i="33" s="1"/>
  <c r="CE224" i="14"/>
  <c r="AO24" i="33" s="1"/>
  <c r="BY224" i="14"/>
  <c r="AI24" i="33" s="1"/>
  <c r="CH224" i="14"/>
  <c r="AR24" i="33" s="1"/>
  <c r="CB336" i="14"/>
  <c r="AE26" i="2" s="1"/>
  <c r="V75" i="28"/>
  <c r="AL75" i="28" s="1"/>
  <c r="V73" i="28"/>
  <c r="AL73" i="28" s="1"/>
  <c r="V74" i="28"/>
  <c r="AL74" i="28" s="1"/>
  <c r="V72" i="28"/>
  <c r="AL72" i="28" s="1"/>
  <c r="V70" i="28"/>
  <c r="AL70" i="28" s="1"/>
  <c r="AE51" i="26"/>
  <c r="AQ51" i="26"/>
  <c r="V51" i="26"/>
  <c r="AL51" i="26" s="1"/>
  <c r="AK51" i="26" s="1"/>
  <c r="AQ52" i="26"/>
  <c r="AE53" i="26"/>
  <c r="AN53" i="26"/>
  <c r="AN52" i="26"/>
  <c r="AE52" i="26"/>
  <c r="V52" i="26"/>
  <c r="AL52" i="26" s="1"/>
  <c r="AK52" i="26" s="1"/>
  <c r="AQ51" i="27"/>
  <c r="V51" i="27"/>
  <c r="AL51" i="27" s="1"/>
  <c r="AK51" i="27" s="1"/>
  <c r="AQ53" i="26"/>
  <c r="V53" i="26"/>
  <c r="AL53" i="26" s="1"/>
  <c r="AK53" i="26" s="1"/>
  <c r="F47" i="8"/>
  <c r="AK75" i="28" l="1"/>
  <c r="AK70" i="28"/>
  <c r="AS70" i="28"/>
  <c r="AK74" i="28"/>
  <c r="AK72" i="28"/>
  <c r="AK73" i="28"/>
  <c r="Z70" i="28"/>
  <c r="AR248" i="24"/>
  <c r="AP248" i="24"/>
  <c r="AM248" i="24"/>
  <c r="AJ248" i="24"/>
  <c r="AG248" i="24"/>
  <c r="AD248" i="24"/>
  <c r="O248" i="24"/>
  <c r="AF248" i="24" s="1"/>
  <c r="AE248" i="24" l="1"/>
  <c r="AQ248" i="24"/>
  <c r="H80" i="42"/>
  <c r="H79" i="42"/>
  <c r="H72" i="42"/>
  <c r="H71" i="42"/>
  <c r="H64" i="42"/>
  <c r="H63" i="42"/>
  <c r="H56" i="42"/>
  <c r="H55" i="42"/>
  <c r="H48" i="42"/>
  <c r="H47" i="42"/>
  <c r="H40" i="42"/>
  <c r="H39" i="42"/>
  <c r="H32" i="42"/>
  <c r="H31" i="42"/>
  <c r="H24" i="42"/>
  <c r="H23" i="42"/>
  <c r="H16" i="42"/>
  <c r="H15" i="42"/>
  <c r="E551" i="42"/>
  <c r="E550" i="42"/>
  <c r="E549" i="42"/>
  <c r="E548" i="42"/>
  <c r="E547" i="42"/>
  <c r="E546" i="42"/>
  <c r="E544" i="42"/>
  <c r="E543" i="42"/>
  <c r="E542" i="42"/>
  <c r="E541" i="42"/>
  <c r="E540" i="42"/>
  <c r="E539" i="42"/>
  <c r="E538" i="42"/>
  <c r="E537" i="42"/>
  <c r="E536" i="42"/>
  <c r="H38" i="42" l="1"/>
  <c r="T41" i="42" s="1"/>
  <c r="T42" i="42" s="1"/>
  <c r="K59" i="14"/>
  <c r="K60" i="14"/>
  <c r="K61" i="14"/>
  <c r="L59" i="14"/>
  <c r="L60" i="14"/>
  <c r="C23" i="38" l="1"/>
  <c r="C22" i="38"/>
  <c r="C29" i="37"/>
  <c r="C28" i="37"/>
  <c r="AJ17" i="22" l="1"/>
  <c r="AG17" i="22"/>
  <c r="AD17" i="22"/>
  <c r="O17" i="22"/>
  <c r="AF17" i="22" s="1"/>
  <c r="AJ16" i="22"/>
  <c r="AG16" i="22"/>
  <c r="AF16" i="22"/>
  <c r="AD16" i="22"/>
  <c r="AE16" i="22" s="1"/>
  <c r="V16" i="22"/>
  <c r="AL16" i="22" s="1"/>
  <c r="AK16" i="22" s="1"/>
  <c r="O16" i="22"/>
  <c r="O13" i="22"/>
  <c r="O14" i="22"/>
  <c r="O9" i="22"/>
  <c r="V9" i="22"/>
  <c r="AL9" i="22" s="1"/>
  <c r="AD9" i="22"/>
  <c r="AF9" i="22"/>
  <c r="AG9" i="22"/>
  <c r="AJ9" i="22"/>
  <c r="AM9" i="22"/>
  <c r="AO9" i="22"/>
  <c r="AP9" i="22"/>
  <c r="AR9" i="22"/>
  <c r="AE17" i="22" l="1"/>
  <c r="V17" i="22"/>
  <c r="AL17" i="22" s="1"/>
  <c r="AK17" i="22" s="1"/>
  <c r="AK9" i="22"/>
  <c r="AN9" i="22"/>
  <c r="AE9" i="22"/>
  <c r="AQ9" i="22"/>
  <c r="M113" i="24"/>
  <c r="M112" i="24"/>
  <c r="M111" i="24"/>
  <c r="M110" i="24"/>
  <c r="M108" i="24"/>
  <c r="M107" i="24"/>
  <c r="M106" i="24"/>
  <c r="M105" i="24"/>
  <c r="M103" i="24"/>
  <c r="M102" i="24"/>
  <c r="M101" i="24"/>
  <c r="M100" i="24"/>
  <c r="M99" i="24"/>
  <c r="M56" i="24"/>
  <c r="M55" i="24"/>
  <c r="M54" i="24"/>
  <c r="M53" i="24"/>
  <c r="M52" i="24"/>
  <c r="M50" i="24"/>
  <c r="M49" i="24"/>
  <c r="M48" i="24"/>
  <c r="M47" i="24"/>
  <c r="M46" i="24"/>
  <c r="M44" i="24"/>
  <c r="M43" i="24"/>
  <c r="M42" i="24"/>
  <c r="M41" i="24"/>
  <c r="M40" i="24"/>
  <c r="A10" i="49" l="1"/>
  <c r="M20" i="48"/>
  <c r="M18" i="48"/>
  <c r="M17" i="48"/>
  <c r="M14" i="48"/>
  <c r="M13" i="48"/>
  <c r="M12" i="48"/>
  <c r="B3" i="48"/>
  <c r="A3" i="49" s="1"/>
  <c r="B1" i="48"/>
  <c r="A4" i="49" s="1"/>
  <c r="E9" i="49"/>
  <c r="BB4" i="36" l="1"/>
  <c r="G4" i="35"/>
  <c r="G145" i="46" l="1"/>
  <c r="G144" i="46"/>
  <c r="G143" i="46"/>
  <c r="G142" i="46"/>
  <c r="G141" i="46"/>
  <c r="G140" i="46"/>
  <c r="K87" i="46"/>
  <c r="H125" i="24" l="1"/>
  <c r="AM125" i="24" s="1"/>
  <c r="BB127" i="24"/>
  <c r="AP127" i="24"/>
  <c r="AM127" i="24"/>
  <c r="AJ127" i="24"/>
  <c r="AG127" i="24"/>
  <c r="AD127" i="24"/>
  <c r="O127" i="24"/>
  <c r="V127" i="24" s="1"/>
  <c r="AL127" i="24" s="1"/>
  <c r="AO127" i="24"/>
  <c r="BB125" i="24"/>
  <c r="AP125" i="24"/>
  <c r="AJ125" i="24"/>
  <c r="AG125" i="24"/>
  <c r="AD125" i="24"/>
  <c r="O125" i="24"/>
  <c r="V125" i="24" s="1"/>
  <c r="B125" i="24"/>
  <c r="B127" i="24" s="1"/>
  <c r="H36" i="24"/>
  <c r="AO36" i="24" s="1"/>
  <c r="BB36" i="24"/>
  <c r="AP36" i="24"/>
  <c r="AJ36" i="24"/>
  <c r="AG36" i="24"/>
  <c r="AD36" i="24"/>
  <c r="O36" i="24"/>
  <c r="V36" i="24" s="1"/>
  <c r="H77" i="24"/>
  <c r="H61" i="24"/>
  <c r="H84" i="24"/>
  <c r="H107" i="24"/>
  <c r="H89" i="24"/>
  <c r="H55" i="24"/>
  <c r="AR55" i="24" s="1"/>
  <c r="H49" i="24"/>
  <c r="AR49" i="24" s="1"/>
  <c r="AR43" i="24"/>
  <c r="H30" i="24"/>
  <c r="AO24" i="24"/>
  <c r="BB101" i="24"/>
  <c r="AP101" i="24"/>
  <c r="AJ101" i="24"/>
  <c r="AG101" i="24"/>
  <c r="AD101" i="24"/>
  <c r="AO101" i="24"/>
  <c r="O101" i="24"/>
  <c r="V101" i="24" s="1"/>
  <c r="AL101" i="24" s="1"/>
  <c r="AR101" i="24"/>
  <c r="BB83" i="24"/>
  <c r="AP83" i="24"/>
  <c r="AJ83" i="24"/>
  <c r="AG83" i="24"/>
  <c r="AD83" i="24"/>
  <c r="O83" i="24"/>
  <c r="V83" i="24" s="1"/>
  <c r="AL83" i="24" s="1"/>
  <c r="AK83" i="24" s="1"/>
  <c r="AO83" i="24"/>
  <c r="BB55" i="24"/>
  <c r="AP55" i="24"/>
  <c r="AJ55" i="24"/>
  <c r="AG55" i="24"/>
  <c r="AD55" i="24"/>
  <c r="O55" i="24"/>
  <c r="V55" i="24" s="1"/>
  <c r="BB49" i="24"/>
  <c r="AP49" i="24"/>
  <c r="AJ49" i="24"/>
  <c r="AG49" i="24"/>
  <c r="AD49" i="24"/>
  <c r="O49" i="24"/>
  <c r="V49" i="24" s="1"/>
  <c r="BB43" i="24"/>
  <c r="AP43" i="24"/>
  <c r="AJ43" i="24"/>
  <c r="AG43" i="24"/>
  <c r="AD43" i="24"/>
  <c r="O43" i="24"/>
  <c r="V43" i="24" s="1"/>
  <c r="BB30" i="24"/>
  <c r="AP30" i="24"/>
  <c r="AJ30" i="24"/>
  <c r="AG30" i="24"/>
  <c r="AD30" i="24"/>
  <c r="O30" i="24"/>
  <c r="V30" i="24" s="1"/>
  <c r="H124" i="24"/>
  <c r="H122" i="24"/>
  <c r="H121" i="24"/>
  <c r="H119" i="24"/>
  <c r="H118" i="24"/>
  <c r="H113" i="24"/>
  <c r="H112" i="24"/>
  <c r="H110" i="24"/>
  <c r="H103" i="24"/>
  <c r="H102" i="24"/>
  <c r="H95" i="24"/>
  <c r="H94" i="24"/>
  <c r="H92" i="24"/>
  <c r="H85" i="24"/>
  <c r="H70" i="24"/>
  <c r="H68" i="24"/>
  <c r="H63" i="24"/>
  <c r="H56" i="24"/>
  <c r="H50" i="24"/>
  <c r="H44" i="24"/>
  <c r="H37" i="24"/>
  <c r="H31" i="24"/>
  <c r="H25" i="24"/>
  <c r="BB24" i="24"/>
  <c r="AP24" i="24"/>
  <c r="AJ24" i="24"/>
  <c r="AG24" i="24"/>
  <c r="AD24" i="24"/>
  <c r="O24" i="24"/>
  <c r="V24" i="24" s="1"/>
  <c r="H75" i="24"/>
  <c r="O115" i="46"/>
  <c r="H184" i="24" l="1"/>
  <c r="AO30" i="24"/>
  <c r="AK127" i="24"/>
  <c r="AK101" i="24"/>
  <c r="AO125" i="24"/>
  <c r="AN125" i="24" s="1"/>
  <c r="AL125" i="24"/>
  <c r="AK125" i="24" s="1"/>
  <c r="AN127" i="24"/>
  <c r="AF127" i="24"/>
  <c r="AE127" i="24" s="1"/>
  <c r="AR127" i="24"/>
  <c r="AF125" i="24"/>
  <c r="AE125" i="24" s="1"/>
  <c r="AR125" i="24"/>
  <c r="AL36" i="24"/>
  <c r="AK36" i="24" s="1"/>
  <c r="AM36" i="24"/>
  <c r="AN36" i="24" s="1"/>
  <c r="AF36" i="24"/>
  <c r="AE36" i="24" s="1"/>
  <c r="AR36" i="24"/>
  <c r="AL30" i="24"/>
  <c r="AK30" i="24" s="1"/>
  <c r="AL43" i="24"/>
  <c r="AK43" i="24" s="1"/>
  <c r="AL24" i="24"/>
  <c r="AK24" i="24" s="1"/>
  <c r="AO49" i="24"/>
  <c r="AL49" i="24"/>
  <c r="AK49" i="24" s="1"/>
  <c r="AL55" i="24"/>
  <c r="AK55" i="24" s="1"/>
  <c r="AO55" i="24"/>
  <c r="AQ101" i="24"/>
  <c r="AM101" i="24"/>
  <c r="AN101" i="24" s="1"/>
  <c r="AF101" i="24"/>
  <c r="AE101" i="24" s="1"/>
  <c r="AM83" i="24"/>
  <c r="AN83" i="24" s="1"/>
  <c r="AF83" i="24"/>
  <c r="AE83" i="24" s="1"/>
  <c r="AR83" i="24"/>
  <c r="AQ55" i="24"/>
  <c r="AM55" i="24"/>
  <c r="AF55" i="24"/>
  <c r="AE55" i="24" s="1"/>
  <c r="AQ49" i="24"/>
  <c r="AM49" i="24"/>
  <c r="AF49" i="24"/>
  <c r="AE49" i="24" s="1"/>
  <c r="AO43" i="24"/>
  <c r="AQ43" i="24"/>
  <c r="AM43" i="24"/>
  <c r="AF43" i="24"/>
  <c r="AE43" i="24" s="1"/>
  <c r="AM30" i="24"/>
  <c r="AF30" i="24"/>
  <c r="AE30" i="24" s="1"/>
  <c r="AR30" i="24"/>
  <c r="AF24" i="24"/>
  <c r="AE24" i="24" s="1"/>
  <c r="AR24" i="24"/>
  <c r="AM24" i="24"/>
  <c r="AN24" i="24" s="1"/>
  <c r="AI184" i="24" l="1"/>
  <c r="AH184" i="24" s="1"/>
  <c r="AN30" i="24"/>
  <c r="AL184" i="24"/>
  <c r="AK184" i="24" s="1"/>
  <c r="AF184" i="24"/>
  <c r="AE184" i="24" s="1"/>
  <c r="AR184" i="24"/>
  <c r="AQ184" i="24" s="1"/>
  <c r="AO184" i="24"/>
  <c r="AN184" i="24" s="1"/>
  <c r="AR183" i="24"/>
  <c r="AL183" i="24"/>
  <c r="AK183" i="24" s="1"/>
  <c r="AF183" i="24"/>
  <c r="AE183" i="24" s="1"/>
  <c r="AO183" i="24"/>
  <c r="AN183" i="24" s="1"/>
  <c r="AI183" i="24"/>
  <c r="AH183" i="24" s="1"/>
  <c r="AQ127" i="24"/>
  <c r="AQ125" i="24"/>
  <c r="AN49" i="24"/>
  <c r="AQ36" i="24"/>
  <c r="AN55" i="24"/>
  <c r="AN43" i="24"/>
  <c r="AQ83" i="24"/>
  <c r="AQ30" i="24"/>
  <c r="AQ24" i="24"/>
  <c r="S17" i="46"/>
  <c r="AS184" i="24" l="1"/>
  <c r="AQ183" i="24"/>
  <c r="AS183" i="24"/>
  <c r="AO112" i="24"/>
  <c r="AO111" i="24"/>
  <c r="AM110" i="24"/>
  <c r="AO108" i="24"/>
  <c r="AO107" i="24"/>
  <c r="AM105" i="24"/>
  <c r="AO103" i="24"/>
  <c r="AM100" i="24"/>
  <c r="AM99" i="24"/>
  <c r="AM52" i="24"/>
  <c r="AO50" i="24"/>
  <c r="AO46" i="24"/>
  <c r="AO44" i="24"/>
  <c r="AM40" i="24"/>
  <c r="AR129" i="24"/>
  <c r="AP129" i="24"/>
  <c r="AO129" i="24"/>
  <c r="AM129" i="24"/>
  <c r="AJ129" i="24"/>
  <c r="AG129" i="24"/>
  <c r="AD129" i="24"/>
  <c r="O129" i="24"/>
  <c r="AF129" i="24" s="1"/>
  <c r="AR128" i="24"/>
  <c r="AP128" i="24"/>
  <c r="AO128" i="24"/>
  <c r="AM128" i="24"/>
  <c r="AJ128" i="24"/>
  <c r="AG128" i="24"/>
  <c r="AD128" i="24"/>
  <c r="O128" i="24"/>
  <c r="AF128" i="24" s="1"/>
  <c r="AR116" i="24"/>
  <c r="AP116" i="24"/>
  <c r="AO116" i="24"/>
  <c r="AM116" i="24"/>
  <c r="AJ116" i="24"/>
  <c r="AG116" i="24"/>
  <c r="AD116" i="24"/>
  <c r="O116" i="24"/>
  <c r="V116" i="24" s="1"/>
  <c r="AL116" i="24" s="1"/>
  <c r="AR115" i="24"/>
  <c r="AP115" i="24"/>
  <c r="AO115" i="24"/>
  <c r="AM115" i="24"/>
  <c r="AJ115" i="24"/>
  <c r="AG115" i="24"/>
  <c r="AD115" i="24"/>
  <c r="O115" i="24"/>
  <c r="V115" i="24" s="1"/>
  <c r="AL115" i="24" s="1"/>
  <c r="AR57" i="24"/>
  <c r="AP57" i="24"/>
  <c r="AO57" i="24"/>
  <c r="AM57" i="24"/>
  <c r="AJ57" i="24"/>
  <c r="AG57" i="24"/>
  <c r="AD57" i="24"/>
  <c r="O57" i="24"/>
  <c r="AF57" i="24" s="1"/>
  <c r="AR38" i="24"/>
  <c r="AP38" i="24"/>
  <c r="AO38" i="24"/>
  <c r="AM38" i="24"/>
  <c r="AJ38" i="24"/>
  <c r="AG38" i="24"/>
  <c r="AD38" i="24"/>
  <c r="O38" i="24"/>
  <c r="AF38" i="24" s="1"/>
  <c r="AO113" i="24"/>
  <c r="AM112" i="24"/>
  <c r="AO106" i="24"/>
  <c r="AM102" i="24"/>
  <c r="BB113" i="24"/>
  <c r="AR113" i="24"/>
  <c r="AP113" i="24"/>
  <c r="AM113" i="24"/>
  <c r="AJ113" i="24"/>
  <c r="AG113" i="24"/>
  <c r="AD113" i="24"/>
  <c r="O113" i="24"/>
  <c r="AF113" i="24" s="1"/>
  <c r="BB112" i="24"/>
  <c r="AR112" i="24"/>
  <c r="AP112" i="24"/>
  <c r="AJ112" i="24"/>
  <c r="AG112" i="24"/>
  <c r="AD112" i="24"/>
  <c r="O112" i="24"/>
  <c r="AF112" i="24" s="1"/>
  <c r="BB111" i="24"/>
  <c r="AR111" i="24"/>
  <c r="AP111" i="24"/>
  <c r="AJ111" i="24"/>
  <c r="AG111" i="24"/>
  <c r="AD111" i="24"/>
  <c r="O111" i="24"/>
  <c r="AF111" i="24" s="1"/>
  <c r="BB110" i="24"/>
  <c r="AR110" i="24"/>
  <c r="AP110" i="24"/>
  <c r="AJ110" i="24"/>
  <c r="AG110" i="24"/>
  <c r="AD110" i="24"/>
  <c r="O110" i="24"/>
  <c r="AF110" i="24" s="1"/>
  <c r="BB108" i="24"/>
  <c r="AR108" i="24"/>
  <c r="AP108" i="24"/>
  <c r="AJ108" i="24"/>
  <c r="AG108" i="24"/>
  <c r="AD108" i="24"/>
  <c r="O108" i="24"/>
  <c r="AF108" i="24" s="1"/>
  <c r="BB107" i="24"/>
  <c r="AR107" i="24"/>
  <c r="AP107" i="24"/>
  <c r="AM107" i="24"/>
  <c r="AJ107" i="24"/>
  <c r="AG107" i="24"/>
  <c r="AD107" i="24"/>
  <c r="O107" i="24"/>
  <c r="AF107" i="24" s="1"/>
  <c r="BB106" i="24"/>
  <c r="AR106" i="24"/>
  <c r="AP106" i="24"/>
  <c r="AM106" i="24"/>
  <c r="AJ106" i="24"/>
  <c r="AG106" i="24"/>
  <c r="AD106" i="24"/>
  <c r="O106" i="24"/>
  <c r="AF106" i="24" s="1"/>
  <c r="BB105" i="24"/>
  <c r="AR105" i="24"/>
  <c r="AP105" i="24"/>
  <c r="AJ105" i="24"/>
  <c r="AG105" i="24"/>
  <c r="AD105" i="24"/>
  <c r="O105" i="24"/>
  <c r="AF105" i="24" s="1"/>
  <c r="AR104" i="24"/>
  <c r="AP104" i="24"/>
  <c r="AO104" i="24"/>
  <c r="AM104" i="24"/>
  <c r="AJ104" i="24"/>
  <c r="AG104" i="24"/>
  <c r="AD104" i="24"/>
  <c r="O104" i="24"/>
  <c r="V104" i="24" s="1"/>
  <c r="AL104" i="24" s="1"/>
  <c r="BB103" i="24"/>
  <c r="AR103" i="24"/>
  <c r="AP103" i="24"/>
  <c r="AM103" i="24"/>
  <c r="AJ103" i="24"/>
  <c r="AG103" i="24"/>
  <c r="AD103" i="24"/>
  <c r="O103" i="24"/>
  <c r="AF103" i="24" s="1"/>
  <c r="BB102" i="24"/>
  <c r="AR102" i="24"/>
  <c r="AP102" i="24"/>
  <c r="AO102" i="24"/>
  <c r="AJ102" i="24"/>
  <c r="AG102" i="24"/>
  <c r="AD102" i="24"/>
  <c r="O102" i="24"/>
  <c r="V102" i="24" s="1"/>
  <c r="AL102" i="24" s="1"/>
  <c r="BB100" i="24"/>
  <c r="AR100" i="24"/>
  <c r="AP100" i="24"/>
  <c r="AJ100" i="24"/>
  <c r="AG100" i="24"/>
  <c r="AD100" i="24"/>
  <c r="O100" i="24"/>
  <c r="V100" i="24" s="1"/>
  <c r="AL100" i="24" s="1"/>
  <c r="BB99" i="24"/>
  <c r="AR99" i="24"/>
  <c r="AP99" i="24"/>
  <c r="AJ99" i="24"/>
  <c r="AG99" i="24"/>
  <c r="AD99" i="24"/>
  <c r="O99" i="24"/>
  <c r="AF99" i="24" s="1"/>
  <c r="AR97" i="24"/>
  <c r="AP97" i="24"/>
  <c r="AO97" i="24"/>
  <c r="AM97" i="24"/>
  <c r="AJ97" i="24"/>
  <c r="AG97" i="24"/>
  <c r="AD97" i="24"/>
  <c r="O97" i="24"/>
  <c r="AF97" i="24" s="1"/>
  <c r="AO54" i="24"/>
  <c r="AO48" i="24"/>
  <c r="AO47" i="24"/>
  <c r="AO42" i="24"/>
  <c r="BB56" i="24"/>
  <c r="AP56" i="24"/>
  <c r="AJ56" i="24"/>
  <c r="AG56" i="24"/>
  <c r="AD56" i="24"/>
  <c r="O56" i="24"/>
  <c r="V56" i="24" s="1"/>
  <c r="AL56" i="24" s="1"/>
  <c r="BB54" i="24"/>
  <c r="AR54" i="24"/>
  <c r="AP54" i="24"/>
  <c r="AM54" i="24"/>
  <c r="AJ54" i="24"/>
  <c r="AG54" i="24"/>
  <c r="AD54" i="24"/>
  <c r="O54" i="24"/>
  <c r="AF54" i="24" s="1"/>
  <c r="BB53" i="24"/>
  <c r="AP53" i="24"/>
  <c r="AJ53" i="24"/>
  <c r="AG53" i="24"/>
  <c r="AD53" i="24"/>
  <c r="O53" i="24"/>
  <c r="V53" i="24" s="1"/>
  <c r="BB52" i="24"/>
  <c r="AR52" i="24"/>
  <c r="AP52" i="24"/>
  <c r="AJ52" i="24"/>
  <c r="AG52" i="24"/>
  <c r="AD52" i="24"/>
  <c r="O52" i="24"/>
  <c r="AF52" i="24" s="1"/>
  <c r="AR51" i="24"/>
  <c r="AP51" i="24"/>
  <c r="AO51" i="24"/>
  <c r="AM51" i="24"/>
  <c r="AJ51" i="24"/>
  <c r="AG51" i="24"/>
  <c r="AD51" i="24"/>
  <c r="O51" i="24"/>
  <c r="V51" i="24" s="1"/>
  <c r="AL51" i="24" s="1"/>
  <c r="BB50" i="24"/>
  <c r="AR50" i="24"/>
  <c r="AP50" i="24"/>
  <c r="AJ50" i="24"/>
  <c r="AG50" i="24"/>
  <c r="AD50" i="24"/>
  <c r="O50" i="24"/>
  <c r="AF50" i="24" s="1"/>
  <c r="BB48" i="24"/>
  <c r="AR48" i="24"/>
  <c r="AP48" i="24"/>
  <c r="AJ48" i="24"/>
  <c r="AG48" i="24"/>
  <c r="AD48" i="24"/>
  <c r="O48" i="24"/>
  <c r="AF48" i="24" s="1"/>
  <c r="BB47" i="24"/>
  <c r="AR47" i="24"/>
  <c r="AP47" i="24"/>
  <c r="AJ47" i="24"/>
  <c r="AG47" i="24"/>
  <c r="AD47" i="24"/>
  <c r="O47" i="24"/>
  <c r="AF47" i="24" s="1"/>
  <c r="BB46" i="24"/>
  <c r="AR46" i="24"/>
  <c r="AP46" i="24"/>
  <c r="AJ46" i="24"/>
  <c r="AG46" i="24"/>
  <c r="AD46" i="24"/>
  <c r="O46" i="24"/>
  <c r="AF46" i="24" s="1"/>
  <c r="AR45" i="24"/>
  <c r="AP45" i="24"/>
  <c r="AO45" i="24"/>
  <c r="AM45" i="24"/>
  <c r="AJ45" i="24"/>
  <c r="AG45" i="24"/>
  <c r="AD45" i="24"/>
  <c r="O45" i="24"/>
  <c r="AF45" i="24" s="1"/>
  <c r="BB44" i="24"/>
  <c r="AR44" i="24"/>
  <c r="AP44" i="24"/>
  <c r="AJ44" i="24"/>
  <c r="AG44" i="24"/>
  <c r="AD44" i="24"/>
  <c r="O44" i="24"/>
  <c r="AF44" i="24" s="1"/>
  <c r="BB42" i="24"/>
  <c r="AR42" i="24"/>
  <c r="AP42" i="24"/>
  <c r="AM42" i="24"/>
  <c r="AJ42" i="24"/>
  <c r="AG42" i="24"/>
  <c r="AD42" i="24"/>
  <c r="O42" i="24"/>
  <c r="AF42" i="24" s="1"/>
  <c r="BB41" i="24"/>
  <c r="AR41" i="24"/>
  <c r="AP41" i="24"/>
  <c r="AO41" i="24"/>
  <c r="AM41" i="24"/>
  <c r="AJ41" i="24"/>
  <c r="AG41" i="24"/>
  <c r="AD41" i="24"/>
  <c r="O41" i="24"/>
  <c r="AF41" i="24" s="1"/>
  <c r="BB40" i="24"/>
  <c r="AP40" i="24"/>
  <c r="AJ40" i="24"/>
  <c r="AG40" i="24"/>
  <c r="AD40" i="24"/>
  <c r="O40" i="24"/>
  <c r="V40" i="24" s="1"/>
  <c r="B40" i="24"/>
  <c r="B41" i="24" s="1"/>
  <c r="B42" i="24" s="1"/>
  <c r="AR123" i="24"/>
  <c r="AP123" i="24"/>
  <c r="AO123" i="24"/>
  <c r="AM123" i="24"/>
  <c r="AJ123" i="24"/>
  <c r="AG123" i="24"/>
  <c r="AD123" i="24"/>
  <c r="O123" i="24"/>
  <c r="AF123" i="24" s="1"/>
  <c r="AR120" i="24"/>
  <c r="AP120" i="24"/>
  <c r="AO120" i="24"/>
  <c r="AM120" i="24"/>
  <c r="AJ120" i="24"/>
  <c r="AG120" i="24"/>
  <c r="AD120" i="24"/>
  <c r="O120" i="24"/>
  <c r="V120" i="24" s="1"/>
  <c r="AL120" i="24" s="1"/>
  <c r="AR86" i="24"/>
  <c r="AP86" i="24"/>
  <c r="AO86" i="24"/>
  <c r="AM86" i="24"/>
  <c r="AJ86" i="24"/>
  <c r="AG86" i="24"/>
  <c r="AD86" i="24"/>
  <c r="O86" i="24"/>
  <c r="AF86" i="24" s="1"/>
  <c r="AR72" i="24"/>
  <c r="AP72" i="24"/>
  <c r="AO72" i="24"/>
  <c r="AM72" i="24"/>
  <c r="AJ72" i="24"/>
  <c r="AG72" i="24"/>
  <c r="AD72" i="24"/>
  <c r="O72" i="24"/>
  <c r="AF72" i="24" s="1"/>
  <c r="AR65" i="24"/>
  <c r="AP65" i="24"/>
  <c r="AO65" i="24"/>
  <c r="AM65" i="24"/>
  <c r="AJ65" i="24"/>
  <c r="AG65" i="24"/>
  <c r="AD65" i="24"/>
  <c r="O65" i="24"/>
  <c r="AF65" i="24" s="1"/>
  <c r="AR32" i="24"/>
  <c r="AP32" i="24"/>
  <c r="AO32" i="24"/>
  <c r="AM32" i="24"/>
  <c r="AJ32" i="24"/>
  <c r="AG32" i="24"/>
  <c r="AD32" i="24"/>
  <c r="O32" i="24"/>
  <c r="V32" i="24" s="1"/>
  <c r="AL32" i="24" s="1"/>
  <c r="AR26" i="24"/>
  <c r="AP26" i="24"/>
  <c r="AO26" i="24"/>
  <c r="AM26" i="24"/>
  <c r="AJ26" i="24"/>
  <c r="AG26" i="24"/>
  <c r="AD26" i="24"/>
  <c r="O26" i="24"/>
  <c r="AF26" i="24" s="1"/>
  <c r="AR79" i="24"/>
  <c r="AP79" i="24"/>
  <c r="AO79" i="24"/>
  <c r="AM79" i="24"/>
  <c r="AJ79" i="24"/>
  <c r="AG79" i="24"/>
  <c r="AD79" i="24"/>
  <c r="O79" i="24"/>
  <c r="AF79" i="24" s="1"/>
  <c r="AK115" i="24" l="1"/>
  <c r="AN129" i="24"/>
  <c r="AK100" i="24"/>
  <c r="AK120" i="24"/>
  <c r="AK104" i="24"/>
  <c r="AK32" i="24"/>
  <c r="AQ106" i="24"/>
  <c r="AK116" i="24"/>
  <c r="AQ107" i="24"/>
  <c r="AQ97" i="24"/>
  <c r="AN104" i="24"/>
  <c r="AN115" i="24"/>
  <c r="AQ100" i="24"/>
  <c r="AE107" i="24"/>
  <c r="AN116" i="24"/>
  <c r="AE128" i="24"/>
  <c r="AN51" i="24"/>
  <c r="B44" i="24"/>
  <c r="B46" i="24" s="1"/>
  <c r="B47" i="24" s="1"/>
  <c r="B48" i="24" s="1"/>
  <c r="B43" i="24"/>
  <c r="AQ112" i="24"/>
  <c r="AE38" i="24"/>
  <c r="AF51" i="24"/>
  <c r="AE51" i="24" s="1"/>
  <c r="AN57" i="24"/>
  <c r="AE108" i="24"/>
  <c r="AK102" i="24"/>
  <c r="AQ113" i="24"/>
  <c r="AQ110" i="24"/>
  <c r="AQ44" i="24"/>
  <c r="AM46" i="24"/>
  <c r="AN46" i="24" s="1"/>
  <c r="AQ102" i="24"/>
  <c r="AQ104" i="24"/>
  <c r="AO99" i="24"/>
  <c r="AN99" i="24" s="1"/>
  <c r="AO110" i="24"/>
  <c r="AN110" i="24" s="1"/>
  <c r="AN128" i="24"/>
  <c r="AE129" i="24"/>
  <c r="AF115" i="24"/>
  <c r="AE115" i="24" s="1"/>
  <c r="AF116" i="24"/>
  <c r="AE116" i="24" s="1"/>
  <c r="AN97" i="24"/>
  <c r="AQ103" i="24"/>
  <c r="AQ111" i="24"/>
  <c r="V38" i="24"/>
  <c r="AL38" i="24" s="1"/>
  <c r="AK38" i="24" s="1"/>
  <c r="AN123" i="24"/>
  <c r="AQ48" i="24"/>
  <c r="AE97" i="24"/>
  <c r="AF104" i="24"/>
  <c r="AE104" i="24" s="1"/>
  <c r="AO105" i="24"/>
  <c r="AN105" i="24" s="1"/>
  <c r="AE106" i="24"/>
  <c r="AN38" i="24"/>
  <c r="AE57" i="24"/>
  <c r="V129" i="24"/>
  <c r="AL129" i="24" s="1"/>
  <c r="AK129" i="24" s="1"/>
  <c r="AL40" i="24"/>
  <c r="AK40" i="24" s="1"/>
  <c r="AM111" i="24"/>
  <c r="AN111" i="24" s="1"/>
  <c r="AM108" i="24"/>
  <c r="AN108" i="24" s="1"/>
  <c r="AO100" i="24"/>
  <c r="AN100" i="24" s="1"/>
  <c r="AO56" i="24"/>
  <c r="AO52" i="24"/>
  <c r="AN52" i="24" s="1"/>
  <c r="AM50" i="24"/>
  <c r="AN50" i="24" s="1"/>
  <c r="AE111" i="24"/>
  <c r="AE105" i="24"/>
  <c r="AE99" i="24"/>
  <c r="AQ129" i="24"/>
  <c r="AQ128" i="24"/>
  <c r="V128" i="24"/>
  <c r="AL128" i="24" s="1"/>
  <c r="AK128" i="24" s="1"/>
  <c r="AQ116" i="24"/>
  <c r="AQ115" i="24"/>
  <c r="AQ57" i="24"/>
  <c r="V57" i="24"/>
  <c r="AL57" i="24" s="1"/>
  <c r="AK57" i="24" s="1"/>
  <c r="AQ38" i="24"/>
  <c r="AN103" i="24"/>
  <c r="AN102" i="24"/>
  <c r="AE47" i="24"/>
  <c r="AQ51" i="24"/>
  <c r="V97" i="24"/>
  <c r="AL97" i="24" s="1"/>
  <c r="AK97" i="24" s="1"/>
  <c r="AQ105" i="24"/>
  <c r="AQ108" i="24"/>
  <c r="AE86" i="24"/>
  <c r="AE44" i="24"/>
  <c r="AE48" i="24"/>
  <c r="AE52" i="24"/>
  <c r="AN107" i="24"/>
  <c r="AE112" i="24"/>
  <c r="AN113" i="24"/>
  <c r="AQ41" i="24"/>
  <c r="AM44" i="24"/>
  <c r="AN44" i="24" s="1"/>
  <c r="AE45" i="24"/>
  <c r="AQ45" i="24"/>
  <c r="AQ46" i="24"/>
  <c r="AK51" i="24"/>
  <c r="AE54" i="24"/>
  <c r="AQ54" i="24"/>
  <c r="AQ99" i="24"/>
  <c r="AF102" i="24"/>
  <c r="AE102" i="24" s="1"/>
  <c r="AE110" i="24"/>
  <c r="AE113" i="24"/>
  <c r="V108" i="24"/>
  <c r="AL108" i="24" s="1"/>
  <c r="AK108" i="24" s="1"/>
  <c r="V107" i="24"/>
  <c r="AL107" i="24" s="1"/>
  <c r="AK107" i="24" s="1"/>
  <c r="AE103" i="24"/>
  <c r="AF100" i="24"/>
  <c r="AE100" i="24" s="1"/>
  <c r="V113" i="24"/>
  <c r="AL113" i="24" s="1"/>
  <c r="AK113" i="24" s="1"/>
  <c r="V99" i="24"/>
  <c r="AL99" i="24" s="1"/>
  <c r="AK99" i="24" s="1"/>
  <c r="V106" i="24"/>
  <c r="AL106" i="24" s="1"/>
  <c r="AK106" i="24" s="1"/>
  <c r="AN106" i="24"/>
  <c r="V112" i="24"/>
  <c r="AL112" i="24" s="1"/>
  <c r="AK112" i="24" s="1"/>
  <c r="AN112" i="24"/>
  <c r="V103" i="24"/>
  <c r="AL103" i="24" s="1"/>
  <c r="AK103" i="24" s="1"/>
  <c r="V105" i="24"/>
  <c r="AL105" i="24" s="1"/>
  <c r="AK105" i="24" s="1"/>
  <c r="V110" i="24"/>
  <c r="AL110" i="24" s="1"/>
  <c r="AK110" i="24" s="1"/>
  <c r="V111" i="24"/>
  <c r="AL111" i="24" s="1"/>
  <c r="AK111" i="24" s="1"/>
  <c r="AN54" i="24"/>
  <c r="AM48" i="24"/>
  <c r="AN48" i="24" s="1"/>
  <c r="AM47" i="24"/>
  <c r="AN47" i="24" s="1"/>
  <c r="V47" i="24"/>
  <c r="AL47" i="24" s="1"/>
  <c r="AK47" i="24" s="1"/>
  <c r="AE41" i="24"/>
  <c r="AN26" i="24"/>
  <c r="AE46" i="24"/>
  <c r="AQ47" i="24"/>
  <c r="AE50" i="24"/>
  <c r="AQ50" i="24"/>
  <c r="AM56" i="24"/>
  <c r="AN32" i="24"/>
  <c r="AN41" i="24"/>
  <c r="AE42" i="24"/>
  <c r="AQ42" i="24"/>
  <c r="AN45" i="24"/>
  <c r="AQ52" i="24"/>
  <c r="V54" i="24"/>
  <c r="AL54" i="24" s="1"/>
  <c r="AK54" i="24" s="1"/>
  <c r="AK56" i="24"/>
  <c r="AO40" i="24"/>
  <c r="AN40" i="24" s="1"/>
  <c r="V44" i="24"/>
  <c r="AL44" i="24" s="1"/>
  <c r="AK44" i="24" s="1"/>
  <c r="V46" i="24"/>
  <c r="AL46" i="24" s="1"/>
  <c r="AK46" i="24" s="1"/>
  <c r="AF56" i="24"/>
  <c r="AE56" i="24" s="1"/>
  <c r="AR56" i="24"/>
  <c r="AF40" i="24"/>
  <c r="AE40" i="24" s="1"/>
  <c r="V42" i="24"/>
  <c r="AL42" i="24" s="1"/>
  <c r="AK42" i="24" s="1"/>
  <c r="AN42" i="24"/>
  <c r="V50" i="24"/>
  <c r="AL50" i="24" s="1"/>
  <c r="AK50" i="24" s="1"/>
  <c r="V52" i="24"/>
  <c r="AL52" i="24" s="1"/>
  <c r="AK52" i="24" s="1"/>
  <c r="AR40" i="24"/>
  <c r="V41" i="24"/>
  <c r="AL41" i="24" s="1"/>
  <c r="AK41" i="24" s="1"/>
  <c r="V45" i="24"/>
  <c r="AL45" i="24" s="1"/>
  <c r="AK45" i="24" s="1"/>
  <c r="V48" i="24"/>
  <c r="AL48" i="24" s="1"/>
  <c r="AK48" i="24" s="1"/>
  <c r="AF32" i="24"/>
  <c r="AE32" i="24" s="1"/>
  <c r="AQ86" i="24"/>
  <c r="AN79" i="24"/>
  <c r="AE26" i="24"/>
  <c r="V123" i="24"/>
  <c r="AL123" i="24" s="1"/>
  <c r="AK123" i="24" s="1"/>
  <c r="AN72" i="24"/>
  <c r="AF120" i="24"/>
  <c r="AE120" i="24" s="1"/>
  <c r="AN120" i="24"/>
  <c r="AE123" i="24"/>
  <c r="AE65" i="24"/>
  <c r="AE79" i="24"/>
  <c r="AN65" i="24"/>
  <c r="AE72" i="24"/>
  <c r="AQ72" i="24"/>
  <c r="AQ123" i="24"/>
  <c r="AQ120" i="24"/>
  <c r="V86" i="24"/>
  <c r="AL86" i="24" s="1"/>
  <c r="AK86" i="24" s="1"/>
  <c r="AN86" i="24"/>
  <c r="V72" i="24"/>
  <c r="AL72" i="24" s="1"/>
  <c r="AK72" i="24" s="1"/>
  <c r="AQ65" i="24"/>
  <c r="V65" i="24"/>
  <c r="AL65" i="24" s="1"/>
  <c r="AK65" i="24" s="1"/>
  <c r="AQ32" i="24"/>
  <c r="AQ26" i="24"/>
  <c r="V26" i="24"/>
  <c r="AL26" i="24" s="1"/>
  <c r="AK26" i="24" s="1"/>
  <c r="AQ79" i="24"/>
  <c r="V79" i="24"/>
  <c r="AL79" i="24" s="1"/>
  <c r="AK79" i="24" s="1"/>
  <c r="BB126" i="24"/>
  <c r="BB122" i="24"/>
  <c r="BB119" i="24"/>
  <c r="BB124" i="24"/>
  <c r="BB121" i="24"/>
  <c r="BB118" i="24"/>
  <c r="BB95" i="24"/>
  <c r="BB93" i="24"/>
  <c r="BB94" i="24"/>
  <c r="BB92" i="24"/>
  <c r="BB89" i="24"/>
  <c r="BB88" i="24"/>
  <c r="BB90" i="24"/>
  <c r="BB87" i="24"/>
  <c r="BB84" i="24"/>
  <c r="BB82" i="24"/>
  <c r="BB85" i="24"/>
  <c r="BB81" i="24"/>
  <c r="BB78" i="24"/>
  <c r="BB76" i="24"/>
  <c r="BB74" i="24"/>
  <c r="BB77" i="24"/>
  <c r="BB75" i="24"/>
  <c r="BB71" i="24"/>
  <c r="BB69" i="24"/>
  <c r="BB67" i="24"/>
  <c r="BB70" i="24"/>
  <c r="BB68" i="24"/>
  <c r="BB64" i="24"/>
  <c r="BB62" i="24"/>
  <c r="BB60" i="24"/>
  <c r="BB63" i="24"/>
  <c r="BB61" i="24"/>
  <c r="BB73" i="24"/>
  <c r="BB66" i="24"/>
  <c r="BB59" i="24"/>
  <c r="BB37" i="24"/>
  <c r="BB34" i="24"/>
  <c r="BB35" i="24"/>
  <c r="BB33" i="24"/>
  <c r="BB31" i="24"/>
  <c r="BB28" i="24"/>
  <c r="BB29" i="24"/>
  <c r="BB27" i="24"/>
  <c r="BB25" i="24"/>
  <c r="BB22" i="24"/>
  <c r="BB23" i="24"/>
  <c r="BB21" i="24"/>
  <c r="B50" i="24" l="1"/>
  <c r="B52" i="24" s="1"/>
  <c r="B53" i="24" s="1"/>
  <c r="B54" i="24" s="1"/>
  <c r="B49" i="24"/>
  <c r="AN56" i="24"/>
  <c r="AQ40" i="24"/>
  <c r="AQ56" i="24"/>
  <c r="L168" i="46"/>
  <c r="L169" i="46" s="1"/>
  <c r="L170" i="46" s="1"/>
  <c r="L171" i="46" s="1"/>
  <c r="L172" i="46" s="1"/>
  <c r="L173" i="46" s="1"/>
  <c r="L174" i="46" s="1"/>
  <c r="L175" i="46" s="1"/>
  <c r="F145" i="46"/>
  <c r="F144" i="46"/>
  <c r="F143" i="46"/>
  <c r="F142" i="46"/>
  <c r="F141" i="46"/>
  <c r="F140" i="46"/>
  <c r="F139" i="46"/>
  <c r="F138" i="46"/>
  <c r="F137" i="46"/>
  <c r="F136" i="46"/>
  <c r="F135" i="46"/>
  <c r="F134" i="46"/>
  <c r="F133" i="46"/>
  <c r="J115" i="46"/>
  <c r="J114" i="46"/>
  <c r="J113" i="46"/>
  <c r="C52" i="46"/>
  <c r="F182" i="46" s="1"/>
  <c r="G27" i="29" s="1"/>
  <c r="C51" i="46"/>
  <c r="J50" i="46"/>
  <c r="J122" i="46" s="1"/>
  <c r="C50" i="46"/>
  <c r="J47" i="46"/>
  <c r="I47" i="46"/>
  <c r="H47" i="46"/>
  <c r="M45" i="46"/>
  <c r="L45" i="46"/>
  <c r="N45" i="46" s="1"/>
  <c r="K45" i="46"/>
  <c r="C45" i="46"/>
  <c r="B45" i="46"/>
  <c r="M44" i="46"/>
  <c r="L44" i="46"/>
  <c r="N44" i="46" s="1"/>
  <c r="K44" i="46"/>
  <c r="C44" i="46"/>
  <c r="B44" i="46"/>
  <c r="M43" i="46"/>
  <c r="L43" i="46"/>
  <c r="K43" i="46"/>
  <c r="C43" i="46"/>
  <c r="B43" i="46"/>
  <c r="M42" i="46"/>
  <c r="L42" i="46"/>
  <c r="K42" i="46"/>
  <c r="C42" i="46"/>
  <c r="B42" i="46"/>
  <c r="M40" i="46"/>
  <c r="L40" i="46"/>
  <c r="K40" i="46"/>
  <c r="C40" i="46"/>
  <c r="B40" i="46"/>
  <c r="M39" i="46"/>
  <c r="L39" i="46"/>
  <c r="K39" i="46"/>
  <c r="C39" i="46"/>
  <c r="B39" i="46"/>
  <c r="M38" i="46"/>
  <c r="L38" i="46"/>
  <c r="K38" i="46"/>
  <c r="C38" i="46"/>
  <c r="B38" i="46"/>
  <c r="M37" i="46"/>
  <c r="L37" i="46"/>
  <c r="K37" i="46"/>
  <c r="C37" i="46"/>
  <c r="B37" i="46"/>
  <c r="L35" i="46"/>
  <c r="N35" i="46" s="1"/>
  <c r="K35" i="46"/>
  <c r="C35" i="46"/>
  <c r="B35" i="46"/>
  <c r="L34" i="46"/>
  <c r="N34" i="46" s="1"/>
  <c r="K34" i="46"/>
  <c r="C34" i="46"/>
  <c r="C59" i="46" s="1"/>
  <c r="B34" i="46"/>
  <c r="L33" i="46"/>
  <c r="K33" i="46"/>
  <c r="C33" i="46"/>
  <c r="B33" i="46"/>
  <c r="L32" i="46"/>
  <c r="N32" i="46" s="1"/>
  <c r="K32" i="46"/>
  <c r="C32" i="46"/>
  <c r="C58" i="46" s="1"/>
  <c r="B32" i="46"/>
  <c r="N31" i="46"/>
  <c r="C31" i="46"/>
  <c r="M30" i="46"/>
  <c r="L30" i="46"/>
  <c r="K30" i="46"/>
  <c r="C30" i="46"/>
  <c r="B30" i="46"/>
  <c r="M29" i="46"/>
  <c r="L29" i="46"/>
  <c r="K29" i="46"/>
  <c r="C29" i="46"/>
  <c r="B29" i="46"/>
  <c r="M28" i="46"/>
  <c r="L28" i="46"/>
  <c r="K28" i="46"/>
  <c r="C28" i="46"/>
  <c r="B28" i="46"/>
  <c r="M27" i="46"/>
  <c r="L27" i="46"/>
  <c r="K27" i="46"/>
  <c r="C27" i="46"/>
  <c r="B27" i="46"/>
  <c r="M25" i="46"/>
  <c r="L25" i="46"/>
  <c r="N25" i="46" s="1"/>
  <c r="K25" i="46"/>
  <c r="C25" i="46"/>
  <c r="B25" i="46"/>
  <c r="M24" i="46"/>
  <c r="L24" i="46"/>
  <c r="K24" i="46"/>
  <c r="C24" i="46"/>
  <c r="B24" i="46"/>
  <c r="M23" i="46"/>
  <c r="L23" i="46"/>
  <c r="K23" i="46"/>
  <c r="C23" i="46"/>
  <c r="B23" i="46"/>
  <c r="M22" i="46"/>
  <c r="L22" i="46"/>
  <c r="K22" i="46"/>
  <c r="C22" i="46"/>
  <c r="B22" i="46"/>
  <c r="M20" i="46"/>
  <c r="L20" i="46"/>
  <c r="K20" i="46"/>
  <c r="C20" i="46"/>
  <c r="B20" i="46"/>
  <c r="M19" i="46"/>
  <c r="L19" i="46"/>
  <c r="K19" i="46"/>
  <c r="C19" i="46"/>
  <c r="C57" i="46" s="1"/>
  <c r="B19" i="46"/>
  <c r="L18" i="46"/>
  <c r="N18" i="46" s="1"/>
  <c r="K18" i="46"/>
  <c r="C18" i="46"/>
  <c r="B18" i="46"/>
  <c r="L17" i="46"/>
  <c r="K17" i="46"/>
  <c r="C17" i="46"/>
  <c r="C56" i="46" s="1"/>
  <c r="B17" i="46"/>
  <c r="N39" i="46" l="1"/>
  <c r="N28" i="46"/>
  <c r="N40" i="46"/>
  <c r="N19" i="46"/>
  <c r="N24" i="46"/>
  <c r="N29" i="46"/>
  <c r="N42" i="46"/>
  <c r="N23" i="46"/>
  <c r="J153" i="46"/>
  <c r="L153" i="46" s="1"/>
  <c r="B56" i="24"/>
  <c r="B55" i="24"/>
  <c r="N37" i="46"/>
  <c r="AR53" i="24"/>
  <c r="AM53" i="24"/>
  <c r="AF53" i="24"/>
  <c r="AE53" i="24" s="1"/>
  <c r="AL53" i="24"/>
  <c r="AK53" i="24" s="1"/>
  <c r="AO53" i="24"/>
  <c r="N30" i="46"/>
  <c r="K51" i="46"/>
  <c r="J181" i="46" s="1"/>
  <c r="N20" i="46"/>
  <c r="N22" i="46"/>
  <c r="N33" i="46"/>
  <c r="N43" i="46"/>
  <c r="H52" i="46"/>
  <c r="J126" i="46" s="1"/>
  <c r="J173" i="46" s="1"/>
  <c r="N173" i="46" s="1"/>
  <c r="N114" i="46"/>
  <c r="I52" i="46"/>
  <c r="J127" i="46" s="1"/>
  <c r="K127" i="46" s="1"/>
  <c r="N127" i="46" s="1"/>
  <c r="K52" i="46"/>
  <c r="J182" i="46" s="1"/>
  <c r="N27" i="46"/>
  <c r="N38" i="46"/>
  <c r="J52" i="46"/>
  <c r="J128" i="46" s="1"/>
  <c r="J175" i="46" s="1"/>
  <c r="N175" i="46" s="1"/>
  <c r="J76" i="46"/>
  <c r="N113" i="46"/>
  <c r="J56" i="46"/>
  <c r="I56" i="46"/>
  <c r="L56" i="46"/>
  <c r="H56" i="46"/>
  <c r="J102" i="46" s="1"/>
  <c r="K56" i="46"/>
  <c r="L57" i="46"/>
  <c r="H57" i="46"/>
  <c r="J104" i="46" s="1"/>
  <c r="K57" i="46"/>
  <c r="J57" i="46"/>
  <c r="L59" i="46"/>
  <c r="H59" i="46"/>
  <c r="J108" i="46" s="1"/>
  <c r="K59" i="46"/>
  <c r="J59" i="46"/>
  <c r="I59" i="46"/>
  <c r="F181" i="46"/>
  <c r="G26" i="29" s="1"/>
  <c r="J51" i="46"/>
  <c r="J125" i="46" s="1"/>
  <c r="K125" i="46" s="1"/>
  <c r="N125" i="46" s="1"/>
  <c r="I51" i="46"/>
  <c r="J124" i="46" s="1"/>
  <c r="K124" i="46" s="1"/>
  <c r="N124" i="46" s="1"/>
  <c r="L51" i="46"/>
  <c r="H51" i="46"/>
  <c r="J123" i="46" s="1"/>
  <c r="K123" i="46" s="1"/>
  <c r="N123" i="46" s="1"/>
  <c r="J169" i="46"/>
  <c r="N169" i="46" s="1"/>
  <c r="K122" i="46"/>
  <c r="N122" i="46" s="1"/>
  <c r="L47" i="46"/>
  <c r="L154" i="46" s="1"/>
  <c r="J58" i="46"/>
  <c r="I58" i="46"/>
  <c r="K58" i="46"/>
  <c r="L58" i="46"/>
  <c r="H58" i="46"/>
  <c r="J106" i="46" s="1"/>
  <c r="L75" i="46"/>
  <c r="K72" i="46"/>
  <c r="J141" i="46" s="1"/>
  <c r="I70" i="46"/>
  <c r="K64" i="46"/>
  <c r="J133" i="46" s="1"/>
  <c r="H75" i="46"/>
  <c r="I74" i="46"/>
  <c r="L71" i="46"/>
  <c r="K68" i="46"/>
  <c r="J137" i="46" s="1"/>
  <c r="L67" i="46"/>
  <c r="J65" i="46"/>
  <c r="K76" i="46"/>
  <c r="J145" i="46" s="1"/>
  <c r="J73" i="46"/>
  <c r="H71" i="46"/>
  <c r="J69" i="46"/>
  <c r="H67" i="46"/>
  <c r="I66" i="46"/>
  <c r="L52" i="46"/>
  <c r="I57" i="46"/>
  <c r="J105" i="46" s="1"/>
  <c r="K50" i="46"/>
  <c r="H64" i="46"/>
  <c r="L64" i="46"/>
  <c r="K65" i="46"/>
  <c r="J134" i="46" s="1"/>
  <c r="J66" i="46"/>
  <c r="I67" i="46"/>
  <c r="H68" i="46"/>
  <c r="L68" i="46"/>
  <c r="K69" i="46"/>
  <c r="J138" i="46" s="1"/>
  <c r="J70" i="46"/>
  <c r="I71" i="46"/>
  <c r="H72" i="46"/>
  <c r="L72" i="46"/>
  <c r="K73" i="46"/>
  <c r="J142" i="46" s="1"/>
  <c r="J74" i="46"/>
  <c r="I75" i="46"/>
  <c r="H76" i="46"/>
  <c r="L76" i="46"/>
  <c r="F180" i="46"/>
  <c r="G25" i="29" s="1"/>
  <c r="K47" i="46"/>
  <c r="H50" i="46"/>
  <c r="J120" i="46" s="1"/>
  <c r="L50" i="46"/>
  <c r="I64" i="46"/>
  <c r="H65" i="46"/>
  <c r="L65" i="46"/>
  <c r="K66" i="46"/>
  <c r="J135" i="46" s="1"/>
  <c r="J67" i="46"/>
  <c r="I68" i="46"/>
  <c r="H69" i="46"/>
  <c r="L69" i="46"/>
  <c r="K70" i="46"/>
  <c r="J139" i="46" s="1"/>
  <c r="J71" i="46"/>
  <c r="I72" i="46"/>
  <c r="H73" i="46"/>
  <c r="L73" i="46"/>
  <c r="K74" i="46"/>
  <c r="J143" i="46" s="1"/>
  <c r="J75" i="46"/>
  <c r="I76" i="46"/>
  <c r="N17" i="46"/>
  <c r="I50" i="46"/>
  <c r="J64" i="46"/>
  <c r="I65" i="46"/>
  <c r="H66" i="46"/>
  <c r="L66" i="46"/>
  <c r="K67" i="46"/>
  <c r="J136" i="46" s="1"/>
  <c r="J68" i="46"/>
  <c r="I69" i="46"/>
  <c r="H70" i="46"/>
  <c r="L70" i="46"/>
  <c r="K71" i="46"/>
  <c r="J140" i="46" s="1"/>
  <c r="J72" i="46"/>
  <c r="I73" i="46"/>
  <c r="H74" i="46"/>
  <c r="L74" i="46"/>
  <c r="K75" i="46"/>
  <c r="J144" i="46" s="1"/>
  <c r="D25" i="1"/>
  <c r="D331" i="31" s="1"/>
  <c r="E355" i="31" s="1"/>
  <c r="C74" i="45" s="1"/>
  <c r="M187" i="46" l="1"/>
  <c r="L187" i="46" s="1"/>
  <c r="M190" i="46"/>
  <c r="M189" i="46"/>
  <c r="L189" i="46" s="1"/>
  <c r="M188" i="46"/>
  <c r="K93" i="46"/>
  <c r="J93" i="46" s="1"/>
  <c r="K95" i="46"/>
  <c r="J95" i="46" s="1"/>
  <c r="K94" i="46"/>
  <c r="J94" i="46" s="1"/>
  <c r="J152" i="46"/>
  <c r="L152" i="46" s="1"/>
  <c r="H227" i="24"/>
  <c r="L87" i="46"/>
  <c r="L105" i="46"/>
  <c r="L106" i="46"/>
  <c r="L108" i="46"/>
  <c r="L104" i="46"/>
  <c r="J109" i="46"/>
  <c r="J103" i="46"/>
  <c r="J107" i="46"/>
  <c r="K137" i="46"/>
  <c r="K143" i="46"/>
  <c r="K134" i="46"/>
  <c r="K141" i="46"/>
  <c r="K142" i="46"/>
  <c r="K138" i="46"/>
  <c r="K145" i="46"/>
  <c r="K136" i="46"/>
  <c r="K144" i="46"/>
  <c r="K140" i="46"/>
  <c r="K135" i="46"/>
  <c r="N52" i="46"/>
  <c r="J147" i="46"/>
  <c r="K133" i="46"/>
  <c r="O114" i="46"/>
  <c r="N117" i="46"/>
  <c r="O113" i="46"/>
  <c r="N51" i="46"/>
  <c r="AN53" i="24"/>
  <c r="AQ53" i="24"/>
  <c r="K126" i="46"/>
  <c r="N126" i="46" s="1"/>
  <c r="K128" i="46"/>
  <c r="N128" i="46" s="1"/>
  <c r="J174" i="46"/>
  <c r="N174" i="46" s="1"/>
  <c r="N47" i="46"/>
  <c r="L151" i="46" s="1"/>
  <c r="J53" i="46"/>
  <c r="J78" i="46"/>
  <c r="H61" i="46"/>
  <c r="I53" i="46"/>
  <c r="J121" i="46"/>
  <c r="J171" i="46"/>
  <c r="N171" i="46" s="1"/>
  <c r="L61" i="46"/>
  <c r="J90" i="46"/>
  <c r="H187" i="24" s="1"/>
  <c r="L161" i="46"/>
  <c r="H233" i="24" s="1"/>
  <c r="I78" i="46"/>
  <c r="L78" i="46"/>
  <c r="N50" i="46"/>
  <c r="I61" i="46"/>
  <c r="H53" i="46"/>
  <c r="J180" i="46"/>
  <c r="K53" i="46"/>
  <c r="L53" i="46"/>
  <c r="H78" i="46"/>
  <c r="K78" i="46"/>
  <c r="J170" i="46"/>
  <c r="N170" i="46" s="1"/>
  <c r="J172" i="46"/>
  <c r="N172" i="46" s="1"/>
  <c r="K61" i="46"/>
  <c r="J61" i="46"/>
  <c r="E352" i="31"/>
  <c r="C35" i="45" s="1"/>
  <c r="E353" i="31"/>
  <c r="C48" i="45" s="1"/>
  <c r="E354" i="31"/>
  <c r="C61" i="45" s="1"/>
  <c r="E351" i="31"/>
  <c r="C22" i="45" s="1"/>
  <c r="H185" i="24" l="1"/>
  <c r="AO185" i="24" s="1"/>
  <c r="AN185" i="24" s="1"/>
  <c r="L155" i="46"/>
  <c r="L157" i="46" s="1"/>
  <c r="H231" i="24" s="1"/>
  <c r="L107" i="46"/>
  <c r="L103" i="46"/>
  <c r="L109" i="46"/>
  <c r="J110" i="46"/>
  <c r="L145" i="46"/>
  <c r="H208" i="24" s="1"/>
  <c r="L138" i="46"/>
  <c r="H201" i="24" s="1"/>
  <c r="L144" i="46"/>
  <c r="H207" i="24" s="1"/>
  <c r="O117" i="46"/>
  <c r="L137" i="46"/>
  <c r="K147" i="46"/>
  <c r="J184" i="46"/>
  <c r="N53" i="46"/>
  <c r="J86" i="46"/>
  <c r="J168" i="46"/>
  <c r="N168" i="46" s="1"/>
  <c r="K121" i="46"/>
  <c r="N121" i="46" s="1"/>
  <c r="L102" i="46"/>
  <c r="K120" i="46"/>
  <c r="N120" i="46" s="1"/>
  <c r="J130" i="46"/>
  <c r="J167" i="46"/>
  <c r="AI185" i="24" l="1"/>
  <c r="AH185" i="24" s="1"/>
  <c r="AL185" i="24"/>
  <c r="AK185" i="24" s="1"/>
  <c r="AF185" i="24"/>
  <c r="AE185" i="24" s="1"/>
  <c r="AR185" i="24"/>
  <c r="AQ185" i="24" s="1"/>
  <c r="L110" i="46"/>
  <c r="L86" i="46"/>
  <c r="L88" i="46" s="1"/>
  <c r="H200" i="24"/>
  <c r="L147" i="46"/>
  <c r="K130" i="46"/>
  <c r="N130" i="46"/>
  <c r="H189" i="24" s="1"/>
  <c r="J177" i="46"/>
  <c r="N167" i="46"/>
  <c r="N177" i="46" s="1"/>
  <c r="H205" i="24" s="1"/>
  <c r="V13" i="43"/>
  <c r="T13" i="43"/>
  <c r="V12" i="43"/>
  <c r="V11" i="43"/>
  <c r="T11" i="43"/>
  <c r="V10" i="43"/>
  <c r="T10" i="43"/>
  <c r="V9" i="43"/>
  <c r="T9" i="43"/>
  <c r="H180" i="24" l="1"/>
  <c r="AR180" i="24" s="1"/>
  <c r="AF180" i="24"/>
  <c r="AE180" i="24" s="1"/>
  <c r="AI180" i="24"/>
  <c r="AH180" i="24" s="1"/>
  <c r="H177" i="24"/>
  <c r="H173" i="24" s="1"/>
  <c r="H176" i="24"/>
  <c r="H175" i="24"/>
  <c r="H178" i="24"/>
  <c r="H174" i="24" s="1"/>
  <c r="AI174" i="24" s="1"/>
  <c r="AH174" i="24" s="1"/>
  <c r="H179" i="24"/>
  <c r="AS185" i="24"/>
  <c r="AF174" i="24"/>
  <c r="AE174" i="24" s="1"/>
  <c r="AF178" i="24"/>
  <c r="AE178" i="24" s="1"/>
  <c r="Z13" i="43"/>
  <c r="Z10" i="43"/>
  <c r="Z11" i="43"/>
  <c r="F626" i="28"/>
  <c r="G626" i="28"/>
  <c r="I626" i="28"/>
  <c r="F627" i="28"/>
  <c r="G627" i="28"/>
  <c r="I627" i="28"/>
  <c r="F628" i="28"/>
  <c r="G628" i="28"/>
  <c r="I628" i="28"/>
  <c r="F629" i="28"/>
  <c r="G629" i="28"/>
  <c r="I629" i="28"/>
  <c r="F630" i="28"/>
  <c r="G630" i="28"/>
  <c r="I630" i="28"/>
  <c r="F631" i="28"/>
  <c r="G631" i="28"/>
  <c r="I631" i="28"/>
  <c r="F632" i="28"/>
  <c r="G632" i="28"/>
  <c r="I632" i="28"/>
  <c r="F633" i="28"/>
  <c r="G633" i="28"/>
  <c r="I633" i="28"/>
  <c r="F634" i="28"/>
  <c r="G634" i="28"/>
  <c r="I634" i="28"/>
  <c r="F635" i="28"/>
  <c r="C635" i="28" s="1"/>
  <c r="H635" i="28" s="1"/>
  <c r="G635" i="28"/>
  <c r="I635" i="28"/>
  <c r="F636" i="28"/>
  <c r="G636" i="28"/>
  <c r="I636" i="28"/>
  <c r="F637" i="28"/>
  <c r="G637" i="28"/>
  <c r="I637" i="28"/>
  <c r="F638" i="28"/>
  <c r="C638" i="28" s="1"/>
  <c r="H638" i="28" s="1"/>
  <c r="G638" i="28"/>
  <c r="I638" i="28"/>
  <c r="F639" i="28"/>
  <c r="G639" i="28"/>
  <c r="I639" i="28"/>
  <c r="F640" i="28"/>
  <c r="G640" i="28"/>
  <c r="I640" i="28"/>
  <c r="F641" i="28"/>
  <c r="G641" i="28"/>
  <c r="I641" i="28"/>
  <c r="F642" i="28"/>
  <c r="G642" i="28"/>
  <c r="I642" i="28"/>
  <c r="F643" i="28"/>
  <c r="C643" i="28" s="1"/>
  <c r="H643" i="28" s="1"/>
  <c r="G643" i="28"/>
  <c r="I643" i="28"/>
  <c r="F644" i="28"/>
  <c r="G644" i="28"/>
  <c r="I644" i="28"/>
  <c r="F645" i="28"/>
  <c r="G645" i="28"/>
  <c r="I645" i="28"/>
  <c r="F646" i="28"/>
  <c r="C646" i="28" s="1"/>
  <c r="H646" i="28" s="1"/>
  <c r="G646" i="28"/>
  <c r="I646" i="28"/>
  <c r="F647" i="28"/>
  <c r="G647" i="28"/>
  <c r="I647" i="28"/>
  <c r="F648" i="28"/>
  <c r="G648" i="28"/>
  <c r="I648" i="28"/>
  <c r="F649" i="28"/>
  <c r="G649" i="28"/>
  <c r="I649" i="28"/>
  <c r="F650" i="28"/>
  <c r="G650" i="28"/>
  <c r="I650" i="28"/>
  <c r="F651" i="28"/>
  <c r="C651" i="28" s="1"/>
  <c r="H651" i="28" s="1"/>
  <c r="G651" i="28"/>
  <c r="I651" i="28"/>
  <c r="F652" i="28"/>
  <c r="G652" i="28"/>
  <c r="I652" i="28"/>
  <c r="F653" i="28"/>
  <c r="G653" i="28"/>
  <c r="I653" i="28"/>
  <c r="F654" i="28"/>
  <c r="C654" i="28" s="1"/>
  <c r="H654" i="28" s="1"/>
  <c r="G654" i="28"/>
  <c r="I654" i="28"/>
  <c r="F655" i="28"/>
  <c r="G655" i="28"/>
  <c r="I655" i="28"/>
  <c r="F656" i="28"/>
  <c r="G656" i="28"/>
  <c r="I656" i="28"/>
  <c r="F657" i="28"/>
  <c r="G657" i="28"/>
  <c r="I657" i="28"/>
  <c r="F658" i="28"/>
  <c r="G658" i="28"/>
  <c r="I658" i="28"/>
  <c r="F659" i="28"/>
  <c r="G659" i="28"/>
  <c r="I659" i="28"/>
  <c r="F660" i="28"/>
  <c r="G660" i="28"/>
  <c r="I660" i="28"/>
  <c r="F661" i="28"/>
  <c r="G661" i="28"/>
  <c r="I661" i="28"/>
  <c r="F662" i="28"/>
  <c r="C662" i="28" s="1"/>
  <c r="H662" i="28" s="1"/>
  <c r="G662" i="28"/>
  <c r="I662" i="28"/>
  <c r="F663" i="28"/>
  <c r="G663" i="28"/>
  <c r="I663" i="28"/>
  <c r="F664" i="28"/>
  <c r="G664" i="28"/>
  <c r="I664" i="28"/>
  <c r="F665" i="28"/>
  <c r="G665" i="28"/>
  <c r="I665" i="28"/>
  <c r="F666" i="28"/>
  <c r="G666" i="28"/>
  <c r="I666" i="28"/>
  <c r="F667" i="28"/>
  <c r="G667" i="28"/>
  <c r="I667" i="28"/>
  <c r="F668" i="28"/>
  <c r="G668" i="28"/>
  <c r="I668" i="28"/>
  <c r="F669" i="28"/>
  <c r="G669" i="28"/>
  <c r="I669" i="28"/>
  <c r="F670" i="28"/>
  <c r="C670" i="28" s="1"/>
  <c r="H670" i="28" s="1"/>
  <c r="G670" i="28"/>
  <c r="I670" i="28"/>
  <c r="F671" i="28"/>
  <c r="G671" i="28"/>
  <c r="I671" i="28"/>
  <c r="F672" i="28"/>
  <c r="G672" i="28"/>
  <c r="I672" i="28"/>
  <c r="F673" i="28"/>
  <c r="C673" i="28" s="1"/>
  <c r="H673" i="28" s="1"/>
  <c r="G673" i="28"/>
  <c r="I673" i="28"/>
  <c r="F674" i="28"/>
  <c r="G674" i="28"/>
  <c r="I674" i="28"/>
  <c r="F675" i="28"/>
  <c r="G675" i="28"/>
  <c r="I675" i="28"/>
  <c r="F676" i="28"/>
  <c r="G676" i="28"/>
  <c r="I676" i="28"/>
  <c r="F677" i="28"/>
  <c r="G677" i="28"/>
  <c r="I677" i="28"/>
  <c r="F678" i="28"/>
  <c r="C678" i="28" s="1"/>
  <c r="H678" i="28" s="1"/>
  <c r="G678" i="28"/>
  <c r="I678" i="28"/>
  <c r="F679" i="28"/>
  <c r="G679" i="28"/>
  <c r="I679" i="28"/>
  <c r="F680" i="28"/>
  <c r="G680" i="28"/>
  <c r="I680" i="28"/>
  <c r="F681" i="28"/>
  <c r="C681" i="28" s="1"/>
  <c r="H681" i="28" s="1"/>
  <c r="G681" i="28"/>
  <c r="I681" i="28"/>
  <c r="F682" i="28"/>
  <c r="C682" i="28" s="1"/>
  <c r="H682" i="28" s="1"/>
  <c r="G682" i="28"/>
  <c r="I682" i="28"/>
  <c r="F683" i="28"/>
  <c r="G683" i="28"/>
  <c r="I683" i="28"/>
  <c r="F684" i="28"/>
  <c r="G684" i="28"/>
  <c r="I684" i="28"/>
  <c r="F685" i="28"/>
  <c r="G685" i="28"/>
  <c r="I685" i="28"/>
  <c r="F686" i="28"/>
  <c r="C686" i="28" s="1"/>
  <c r="H686" i="28" s="1"/>
  <c r="G686" i="28"/>
  <c r="I686" i="28"/>
  <c r="F687" i="28"/>
  <c r="G687" i="28"/>
  <c r="I687" i="28"/>
  <c r="F688" i="28"/>
  <c r="G688" i="28"/>
  <c r="I688" i="28"/>
  <c r="F689" i="28"/>
  <c r="C689" i="28" s="1"/>
  <c r="H689" i="28" s="1"/>
  <c r="G689" i="28"/>
  <c r="I689" i="28"/>
  <c r="F690" i="28"/>
  <c r="C690" i="28" s="1"/>
  <c r="H690" i="28" s="1"/>
  <c r="G690" i="28"/>
  <c r="I690" i="28"/>
  <c r="F691" i="28"/>
  <c r="G691" i="28"/>
  <c r="I691" i="28"/>
  <c r="F692" i="28"/>
  <c r="G692" i="28"/>
  <c r="I692" i="28"/>
  <c r="F693" i="28"/>
  <c r="G693" i="28"/>
  <c r="I693" i="28"/>
  <c r="F694" i="28"/>
  <c r="C694" i="28" s="1"/>
  <c r="H694" i="28" s="1"/>
  <c r="I694" i="28"/>
  <c r="F695" i="28"/>
  <c r="G695" i="28"/>
  <c r="I695" i="28"/>
  <c r="F696" i="28"/>
  <c r="G696" i="28"/>
  <c r="I696" i="28"/>
  <c r="F697" i="28"/>
  <c r="G697" i="28"/>
  <c r="I697" i="28"/>
  <c r="F698" i="28"/>
  <c r="C698" i="28" s="1"/>
  <c r="H698" i="28" s="1"/>
  <c r="G698" i="28"/>
  <c r="I698" i="28"/>
  <c r="F699" i="28"/>
  <c r="G699" i="28"/>
  <c r="I699" i="28"/>
  <c r="F700" i="28"/>
  <c r="G700" i="28"/>
  <c r="I700" i="28"/>
  <c r="F701" i="28"/>
  <c r="G701" i="28"/>
  <c r="I701" i="28"/>
  <c r="F702" i="28"/>
  <c r="C702" i="28" s="1"/>
  <c r="H702" i="28" s="1"/>
  <c r="G702" i="28"/>
  <c r="I702" i="28"/>
  <c r="F703" i="28"/>
  <c r="G703" i="28"/>
  <c r="I703" i="28"/>
  <c r="F704" i="28"/>
  <c r="G704" i="28"/>
  <c r="I704" i="28"/>
  <c r="F705" i="28"/>
  <c r="G705" i="28"/>
  <c r="I705" i="28"/>
  <c r="F706" i="28"/>
  <c r="C706" i="28" s="1"/>
  <c r="H706" i="28" s="1"/>
  <c r="G706" i="28"/>
  <c r="I706" i="28"/>
  <c r="F707" i="28"/>
  <c r="G707" i="28"/>
  <c r="I707" i="28"/>
  <c r="F708" i="28"/>
  <c r="G708" i="28"/>
  <c r="I708" i="28"/>
  <c r="F709" i="28"/>
  <c r="G709" i="28"/>
  <c r="I709" i="28"/>
  <c r="F710" i="28"/>
  <c r="C710" i="28" s="1"/>
  <c r="H710" i="28" s="1"/>
  <c r="G710" i="28"/>
  <c r="I710" i="28"/>
  <c r="F711" i="28"/>
  <c r="G711" i="28"/>
  <c r="I711" i="28"/>
  <c r="F712" i="28"/>
  <c r="G712" i="28"/>
  <c r="I712" i="28"/>
  <c r="F713" i="28"/>
  <c r="G713" i="28"/>
  <c r="I713" i="28"/>
  <c r="F714" i="28"/>
  <c r="C714" i="28" s="1"/>
  <c r="H714" i="28" s="1"/>
  <c r="G714" i="28"/>
  <c r="I714" i="28"/>
  <c r="F715" i="28"/>
  <c r="G715" i="28"/>
  <c r="I715" i="28"/>
  <c r="F716" i="28"/>
  <c r="G716" i="28"/>
  <c r="I716" i="28"/>
  <c r="F717" i="28"/>
  <c r="G717" i="28"/>
  <c r="I717" i="28"/>
  <c r="F718" i="28"/>
  <c r="C718" i="28" s="1"/>
  <c r="H718" i="28" s="1"/>
  <c r="G718" i="28"/>
  <c r="I718" i="28"/>
  <c r="F719" i="28"/>
  <c r="G719" i="28"/>
  <c r="I719" i="28"/>
  <c r="F720" i="28"/>
  <c r="G720" i="28"/>
  <c r="I720" i="28"/>
  <c r="F721" i="28"/>
  <c r="G721" i="28"/>
  <c r="I721" i="28"/>
  <c r="F722" i="28"/>
  <c r="C722" i="28" s="1"/>
  <c r="H722" i="28" s="1"/>
  <c r="G722" i="28"/>
  <c r="I722" i="28"/>
  <c r="F723" i="28"/>
  <c r="G723" i="28"/>
  <c r="I723" i="28"/>
  <c r="I625" i="28"/>
  <c r="G625" i="28"/>
  <c r="F625" i="28"/>
  <c r="C625" i="28" s="1"/>
  <c r="H625" i="28" s="1"/>
  <c r="AL178" i="24" l="1"/>
  <c r="AK178" i="24" s="1"/>
  <c r="AL174" i="24"/>
  <c r="AK174" i="24" s="1"/>
  <c r="AO174" i="24"/>
  <c r="AN174" i="24" s="1"/>
  <c r="AR174" i="24"/>
  <c r="AO180" i="24"/>
  <c r="AN180" i="24" s="1"/>
  <c r="AO178" i="24"/>
  <c r="AN178" i="24" s="1"/>
  <c r="AL180" i="24"/>
  <c r="AK180" i="24" s="1"/>
  <c r="AI178" i="24"/>
  <c r="AH178" i="24" s="1"/>
  <c r="AR178" i="24"/>
  <c r="AO175" i="24"/>
  <c r="AN175" i="24" s="1"/>
  <c r="AF175" i="24"/>
  <c r="AE175" i="24" s="1"/>
  <c r="AL175" i="24"/>
  <c r="AK175" i="24" s="1"/>
  <c r="AR175" i="24"/>
  <c r="AI175" i="24"/>
  <c r="AH175" i="24" s="1"/>
  <c r="AR176" i="24"/>
  <c r="AF176" i="24"/>
  <c r="AE176" i="24" s="1"/>
  <c r="AO176" i="24"/>
  <c r="AN176" i="24" s="1"/>
  <c r="AL176" i="24"/>
  <c r="AK176" i="24" s="1"/>
  <c r="AI176" i="24"/>
  <c r="AH176" i="24" s="1"/>
  <c r="AR179" i="24"/>
  <c r="AO179" i="24"/>
  <c r="AN179" i="24" s="1"/>
  <c r="AL179" i="24"/>
  <c r="AK179" i="24" s="1"/>
  <c r="AF179" i="24"/>
  <c r="AE179" i="24" s="1"/>
  <c r="AI179" i="24"/>
  <c r="AH179" i="24" s="1"/>
  <c r="AQ180" i="24"/>
  <c r="C719" i="28"/>
  <c r="H719" i="28" s="1"/>
  <c r="C711" i="28"/>
  <c r="H711" i="28" s="1"/>
  <c r="C703" i="28"/>
  <c r="H703" i="28" s="1"/>
  <c r="C695" i="28"/>
  <c r="H695" i="28" s="1"/>
  <c r="C687" i="28"/>
  <c r="H687" i="28" s="1"/>
  <c r="C679" i="28"/>
  <c r="H679" i="28" s="1"/>
  <c r="C657" i="28"/>
  <c r="H657" i="28" s="1"/>
  <c r="C630" i="28"/>
  <c r="H630" i="28" s="1"/>
  <c r="C627" i="28"/>
  <c r="H627" i="28" s="1"/>
  <c r="AQ174" i="24"/>
  <c r="AS174" i="24"/>
  <c r="C671" i="28"/>
  <c r="H671" i="28" s="1"/>
  <c r="C674" i="28"/>
  <c r="H674" i="28" s="1"/>
  <c r="C658" i="28"/>
  <c r="H658" i="28" s="1"/>
  <c r="C650" i="28"/>
  <c r="H650" i="28" s="1"/>
  <c r="C713" i="28"/>
  <c r="H713" i="28" s="1"/>
  <c r="C705" i="28"/>
  <c r="H705" i="28" s="1"/>
  <c r="C697" i="28"/>
  <c r="H697" i="28" s="1"/>
  <c r="C659" i="28"/>
  <c r="H659" i="28" s="1"/>
  <c r="C642" i="28"/>
  <c r="H642" i="28" s="1"/>
  <c r="C721" i="28"/>
  <c r="H721" i="28" s="1"/>
  <c r="C723" i="28"/>
  <c r="H723" i="28" s="1"/>
  <c r="C715" i="28"/>
  <c r="H715" i="28" s="1"/>
  <c r="C707" i="28"/>
  <c r="H707" i="28" s="1"/>
  <c r="C699" i="28"/>
  <c r="H699" i="28" s="1"/>
  <c r="C691" i="28"/>
  <c r="H691" i="28" s="1"/>
  <c r="C683" i="28"/>
  <c r="H683" i="28" s="1"/>
  <c r="C675" i="28"/>
  <c r="H675" i="28" s="1"/>
  <c r="C720" i="28"/>
  <c r="H720" i="28" s="1"/>
  <c r="C712" i="28"/>
  <c r="H712" i="28" s="1"/>
  <c r="C704" i="28"/>
  <c r="H704" i="28" s="1"/>
  <c r="C696" i="28"/>
  <c r="H696" i="28" s="1"/>
  <c r="C688" i="28"/>
  <c r="H688" i="28" s="1"/>
  <c r="C680" i="28"/>
  <c r="H680" i="28" s="1"/>
  <c r="C672" i="28"/>
  <c r="H672" i="28" s="1"/>
  <c r="C666" i="28"/>
  <c r="H666" i="28" s="1"/>
  <c r="C664" i="28"/>
  <c r="H664" i="28" s="1"/>
  <c r="C656" i="28"/>
  <c r="H656" i="28" s="1"/>
  <c r="C648" i="28"/>
  <c r="H648" i="28" s="1"/>
  <c r="C640" i="28"/>
  <c r="H640" i="28" s="1"/>
  <c r="C632" i="28"/>
  <c r="H632" i="28" s="1"/>
  <c r="C717" i="28"/>
  <c r="H717" i="28" s="1"/>
  <c r="C709" i="28"/>
  <c r="H709" i="28" s="1"/>
  <c r="C701" i="28"/>
  <c r="H701" i="28" s="1"/>
  <c r="C693" i="28"/>
  <c r="H693" i="28" s="1"/>
  <c r="C685" i="28"/>
  <c r="H685" i="28" s="1"/>
  <c r="C677" i="28"/>
  <c r="H677" i="28" s="1"/>
  <c r="C669" i="28"/>
  <c r="H669" i="28" s="1"/>
  <c r="C661" i="28"/>
  <c r="H661" i="28" s="1"/>
  <c r="C653" i="28"/>
  <c r="H653" i="28" s="1"/>
  <c r="C645" i="28"/>
  <c r="H645" i="28" s="1"/>
  <c r="C637" i="28"/>
  <c r="H637" i="28" s="1"/>
  <c r="C629" i="28"/>
  <c r="H629" i="28" s="1"/>
  <c r="C634" i="28"/>
  <c r="H634" i="28" s="1"/>
  <c r="C626" i="28"/>
  <c r="H626" i="28" s="1"/>
  <c r="C665" i="28"/>
  <c r="H665" i="28" s="1"/>
  <c r="C663" i="28"/>
  <c r="H663" i="28" s="1"/>
  <c r="C655" i="28"/>
  <c r="H655" i="28" s="1"/>
  <c r="C647" i="28"/>
  <c r="H647" i="28" s="1"/>
  <c r="C639" i="28"/>
  <c r="H639" i="28" s="1"/>
  <c r="C631" i="28"/>
  <c r="H631" i="28" s="1"/>
  <c r="C716" i="28"/>
  <c r="H716" i="28" s="1"/>
  <c r="C708" i="28"/>
  <c r="H708" i="28" s="1"/>
  <c r="C700" i="28"/>
  <c r="H700" i="28" s="1"/>
  <c r="C692" i="28"/>
  <c r="H692" i="28" s="1"/>
  <c r="C684" i="28"/>
  <c r="H684" i="28" s="1"/>
  <c r="C676" i="28"/>
  <c r="H676" i="28" s="1"/>
  <c r="C668" i="28"/>
  <c r="H668" i="28" s="1"/>
  <c r="C660" i="28"/>
  <c r="H660" i="28" s="1"/>
  <c r="C652" i="28"/>
  <c r="H652" i="28" s="1"/>
  <c r="C644" i="28"/>
  <c r="H644" i="28" s="1"/>
  <c r="C636" i="28"/>
  <c r="H636" i="28" s="1"/>
  <c r="C628" i="28"/>
  <c r="H628" i="28" s="1"/>
  <c r="C667" i="28"/>
  <c r="H667" i="28" s="1"/>
  <c r="C649" i="28"/>
  <c r="H649" i="28" s="1"/>
  <c r="C641" i="28"/>
  <c r="H641" i="28" s="1"/>
  <c r="C633" i="28"/>
  <c r="H633" i="28" s="1"/>
  <c r="AK723" i="28"/>
  <c r="AS723" i="28"/>
  <c r="AJ723" i="28"/>
  <c r="AR723" i="28"/>
  <c r="AI723" i="28"/>
  <c r="AQ723" i="28"/>
  <c r="AH723" i="28"/>
  <c r="AP723" i="28"/>
  <c r="AG723" i="28"/>
  <c r="AO723" i="28"/>
  <c r="AF723" i="28"/>
  <c r="AN723" i="28"/>
  <c r="AE723" i="28"/>
  <c r="AL723" i="28"/>
  <c r="AD723" i="28"/>
  <c r="AM723" i="28"/>
  <c r="AP719" i="28"/>
  <c r="AG719" i="28"/>
  <c r="AO719" i="28"/>
  <c r="AF719" i="28"/>
  <c r="AN719" i="28"/>
  <c r="AE719" i="28"/>
  <c r="AL719" i="28"/>
  <c r="AD719" i="28"/>
  <c r="AK719" i="28"/>
  <c r="AS719" i="28"/>
  <c r="AJ719" i="28"/>
  <c r="AR719" i="28"/>
  <c r="AI719" i="28"/>
  <c r="AQ719" i="28"/>
  <c r="AH719" i="28"/>
  <c r="AM719" i="28"/>
  <c r="AP711" i="28"/>
  <c r="AG711" i="28"/>
  <c r="AO711" i="28"/>
  <c r="AF711" i="28"/>
  <c r="AN711" i="28"/>
  <c r="AE711" i="28"/>
  <c r="AL711" i="28"/>
  <c r="AD711" i="28"/>
  <c r="AK711" i="28"/>
  <c r="AS711" i="28"/>
  <c r="AJ711" i="28"/>
  <c r="AR711" i="28"/>
  <c r="AI711" i="28"/>
  <c r="AQ711" i="28"/>
  <c r="AH711" i="28"/>
  <c r="AM711" i="28"/>
  <c r="AP703" i="28"/>
  <c r="AG703" i="28"/>
  <c r="AO703" i="28"/>
  <c r="AF703" i="28"/>
  <c r="AN703" i="28"/>
  <c r="AE703" i="28"/>
  <c r="AL703" i="28"/>
  <c r="AD703" i="28"/>
  <c r="AK703" i="28"/>
  <c r="AS703" i="28"/>
  <c r="AJ703" i="28"/>
  <c r="AR703" i="28"/>
  <c r="AI703" i="28"/>
  <c r="AQ703" i="28"/>
  <c r="AH703" i="28"/>
  <c r="AM703" i="28"/>
  <c r="AK671" i="28"/>
  <c r="AS671" i="28"/>
  <c r="AJ671" i="28"/>
  <c r="AR671" i="28"/>
  <c r="AI671" i="28"/>
  <c r="AQ671" i="28"/>
  <c r="AH671" i="28"/>
  <c r="AP671" i="28"/>
  <c r="AG671" i="28"/>
  <c r="AO671" i="28"/>
  <c r="AF671" i="28"/>
  <c r="AN671" i="28"/>
  <c r="AE671" i="28"/>
  <c r="AM671" i="28"/>
  <c r="AD671" i="28"/>
  <c r="AL671" i="28"/>
  <c r="AK663" i="28"/>
  <c r="AS663" i="28"/>
  <c r="AJ663" i="28"/>
  <c r="AR663" i="28"/>
  <c r="AI663" i="28"/>
  <c r="AQ663" i="28"/>
  <c r="AH663" i="28"/>
  <c r="AP663" i="28"/>
  <c r="AG663" i="28"/>
  <c r="AO663" i="28"/>
  <c r="AF663" i="28"/>
  <c r="AN663" i="28"/>
  <c r="AE663" i="28"/>
  <c r="AM663" i="28"/>
  <c r="AL663" i="28"/>
  <c r="AD663" i="28"/>
  <c r="AK655" i="28"/>
  <c r="AS655" i="28"/>
  <c r="AJ655" i="28"/>
  <c r="AR655" i="28"/>
  <c r="AI655" i="28"/>
  <c r="AQ655" i="28"/>
  <c r="AH655" i="28"/>
  <c r="AP655" i="28"/>
  <c r="AG655" i="28"/>
  <c r="AO655" i="28"/>
  <c r="AF655" i="28"/>
  <c r="AN655" i="28"/>
  <c r="AE655" i="28"/>
  <c r="AM655" i="28"/>
  <c r="AL655" i="28"/>
  <c r="AD655" i="28"/>
  <c r="AK647" i="28"/>
  <c r="AS647" i="28"/>
  <c r="AJ647" i="28"/>
  <c r="AR647" i="28"/>
  <c r="AI647" i="28"/>
  <c r="AQ647" i="28"/>
  <c r="AH647" i="28"/>
  <c r="AP647" i="28"/>
  <c r="AG647" i="28"/>
  <c r="AO647" i="28"/>
  <c r="AF647" i="28"/>
  <c r="AN647" i="28"/>
  <c r="AE647" i="28"/>
  <c r="AM647" i="28"/>
  <c r="AL647" i="28"/>
  <c r="AD647" i="28"/>
  <c r="AL700" i="28"/>
  <c r="AD700" i="28"/>
  <c r="AK700" i="28"/>
  <c r="AS700" i="28"/>
  <c r="AJ700" i="28"/>
  <c r="AR700" i="28"/>
  <c r="AI700" i="28"/>
  <c r="AQ700" i="28"/>
  <c r="AH700" i="28"/>
  <c r="AP700" i="28"/>
  <c r="AG700" i="28"/>
  <c r="AO700" i="28"/>
  <c r="AF700" i="28"/>
  <c r="AE700" i="28"/>
  <c r="AM700" i="28"/>
  <c r="AN700" i="28"/>
  <c r="AL692" i="28"/>
  <c r="AD692" i="28"/>
  <c r="AK692" i="28"/>
  <c r="AS692" i="28"/>
  <c r="AJ692" i="28"/>
  <c r="AR692" i="28"/>
  <c r="AI692" i="28"/>
  <c r="AQ692" i="28"/>
  <c r="AH692" i="28"/>
  <c r="AP692" i="28"/>
  <c r="AG692" i="28"/>
  <c r="AO692" i="28"/>
  <c r="AF692" i="28"/>
  <c r="AN692" i="28"/>
  <c r="AM692" i="28"/>
  <c r="AE692" i="28"/>
  <c r="AN684" i="28"/>
  <c r="AE684" i="28"/>
  <c r="AL684" i="28"/>
  <c r="AD684" i="28"/>
  <c r="AK684" i="28"/>
  <c r="AS684" i="28"/>
  <c r="AJ684" i="28"/>
  <c r="AR684" i="28"/>
  <c r="AI684" i="28"/>
  <c r="AQ684" i="28"/>
  <c r="AH684" i="28"/>
  <c r="AP684" i="28"/>
  <c r="AG684" i="28"/>
  <c r="AO684" i="28"/>
  <c r="AF684" i="28"/>
  <c r="AM684" i="28"/>
  <c r="AQ668" i="28"/>
  <c r="AH668" i="28"/>
  <c r="AP668" i="28"/>
  <c r="AG668" i="28"/>
  <c r="AO668" i="28"/>
  <c r="AF668" i="28"/>
  <c r="AN668" i="28"/>
  <c r="AE668" i="28"/>
  <c r="AL668" i="28"/>
  <c r="AD668" i="28"/>
  <c r="AK668" i="28"/>
  <c r="AS668" i="28"/>
  <c r="AJ668" i="28"/>
  <c r="AR668" i="28"/>
  <c r="AI668" i="28"/>
  <c r="AM668" i="28"/>
  <c r="AQ660" i="28"/>
  <c r="AH660" i="28"/>
  <c r="AP660" i="28"/>
  <c r="AG660" i="28"/>
  <c r="AO660" i="28"/>
  <c r="AF660" i="28"/>
  <c r="AN660" i="28"/>
  <c r="AE660" i="28"/>
  <c r="AL660" i="28"/>
  <c r="AD660" i="28"/>
  <c r="AK660" i="28"/>
  <c r="AS660" i="28"/>
  <c r="AJ660" i="28"/>
  <c r="AM660" i="28"/>
  <c r="AR660" i="28"/>
  <c r="AI660" i="28"/>
  <c r="AQ652" i="28"/>
  <c r="AH652" i="28"/>
  <c r="AP652" i="28"/>
  <c r="AG652" i="28"/>
  <c r="AO652" i="28"/>
  <c r="AF652" i="28"/>
  <c r="AN652" i="28"/>
  <c r="AE652" i="28"/>
  <c r="AL652" i="28"/>
  <c r="AD652" i="28"/>
  <c r="AK652" i="28"/>
  <c r="AS652" i="28"/>
  <c r="AJ652" i="28"/>
  <c r="AR652" i="28"/>
  <c r="AI652" i="28"/>
  <c r="AM652" i="28"/>
  <c r="AR628" i="28"/>
  <c r="AI628" i="28"/>
  <c r="AQ628" i="28"/>
  <c r="AH628" i="28"/>
  <c r="AP628" i="28"/>
  <c r="AG628" i="28"/>
  <c r="AO628" i="28"/>
  <c r="AF628" i="28"/>
  <c r="AM628" i="28"/>
  <c r="AS628" i="28"/>
  <c r="AN628" i="28"/>
  <c r="AE628" i="28"/>
  <c r="AJ628" i="28"/>
  <c r="AL628" i="28"/>
  <c r="AD628" i="28"/>
  <c r="AK628" i="28"/>
  <c r="AR721" i="28"/>
  <c r="AI721" i="28"/>
  <c r="AQ721" i="28"/>
  <c r="AH721" i="28"/>
  <c r="AP721" i="28"/>
  <c r="AG721" i="28"/>
  <c r="AO721" i="28"/>
  <c r="AF721" i="28"/>
  <c r="AN721" i="28"/>
  <c r="AE721" i="28"/>
  <c r="AL721" i="28"/>
  <c r="AD721" i="28"/>
  <c r="AK721" i="28"/>
  <c r="AJ721" i="28"/>
  <c r="AS721" i="28"/>
  <c r="AM721" i="28"/>
  <c r="AR697" i="28"/>
  <c r="AI697" i="28"/>
  <c r="AQ697" i="28"/>
  <c r="AH697" i="28"/>
  <c r="AP697" i="28"/>
  <c r="AG697" i="28"/>
  <c r="AO697" i="28"/>
  <c r="AF697" i="28"/>
  <c r="AN697" i="28"/>
  <c r="AE697" i="28"/>
  <c r="AL697" i="28"/>
  <c r="AD697" i="28"/>
  <c r="AK697" i="28"/>
  <c r="AS697" i="28"/>
  <c r="AJ697" i="28"/>
  <c r="AM697" i="28"/>
  <c r="AS689" i="28"/>
  <c r="AJ689" i="28"/>
  <c r="AR689" i="28"/>
  <c r="AI689" i="28"/>
  <c r="AQ689" i="28"/>
  <c r="AH689" i="28"/>
  <c r="AP689" i="28"/>
  <c r="AG689" i="28"/>
  <c r="AO689" i="28"/>
  <c r="AF689" i="28"/>
  <c r="AN689" i="28"/>
  <c r="AE689" i="28"/>
  <c r="AL689" i="28"/>
  <c r="AD689" i="28"/>
  <c r="AK689" i="28"/>
  <c r="AM689" i="28"/>
  <c r="AN673" i="28"/>
  <c r="AE673" i="28"/>
  <c r="AL673" i="28"/>
  <c r="AD673" i="28"/>
  <c r="AK673" i="28"/>
  <c r="AS673" i="28"/>
  <c r="AJ673" i="28"/>
  <c r="AR673" i="28"/>
  <c r="AI673" i="28"/>
  <c r="AQ673" i="28"/>
  <c r="AH673" i="28"/>
  <c r="AP673" i="28"/>
  <c r="AG673" i="28"/>
  <c r="AM673" i="28"/>
  <c r="AO673" i="28"/>
  <c r="AF673" i="28"/>
  <c r="AN665" i="28"/>
  <c r="AE665" i="28"/>
  <c r="AL665" i="28"/>
  <c r="AD665" i="28"/>
  <c r="AK665" i="28"/>
  <c r="AS665" i="28"/>
  <c r="AJ665" i="28"/>
  <c r="AR665" i="28"/>
  <c r="AI665" i="28"/>
  <c r="AQ665" i="28"/>
  <c r="AH665" i="28"/>
  <c r="AP665" i="28"/>
  <c r="AG665" i="28"/>
  <c r="AM665" i="28"/>
  <c r="AO665" i="28"/>
  <c r="AF665" i="28"/>
  <c r="AO641" i="28"/>
  <c r="AF641" i="28"/>
  <c r="AN641" i="28"/>
  <c r="AE641" i="28"/>
  <c r="AL641" i="28"/>
  <c r="AD641" i="28"/>
  <c r="AK641" i="28"/>
  <c r="AS641" i="28"/>
  <c r="AJ641" i="28"/>
  <c r="AR641" i="28"/>
  <c r="AI641" i="28"/>
  <c r="AQ641" i="28"/>
  <c r="AH641" i="28"/>
  <c r="AM641" i="28"/>
  <c r="AP641" i="28"/>
  <c r="AG641" i="28"/>
  <c r="AN633" i="28"/>
  <c r="AE633" i="28"/>
  <c r="AO633" i="28"/>
  <c r="AL633" i="28"/>
  <c r="AD633" i="28"/>
  <c r="AK633" i="28"/>
  <c r="AF633" i="28"/>
  <c r="AS633" i="28"/>
  <c r="AJ633" i="28"/>
  <c r="AR633" i="28"/>
  <c r="AI633" i="28"/>
  <c r="AQ633" i="28"/>
  <c r="AH633" i="28"/>
  <c r="AP633" i="28"/>
  <c r="AG633" i="28"/>
  <c r="AM633" i="28"/>
  <c r="AL716" i="28"/>
  <c r="AD716" i="28"/>
  <c r="AK716" i="28"/>
  <c r="AS716" i="28"/>
  <c r="AJ716" i="28"/>
  <c r="AR716" i="28"/>
  <c r="AI716" i="28"/>
  <c r="AQ716" i="28"/>
  <c r="AH716" i="28"/>
  <c r="AP716" i="28"/>
  <c r="AG716" i="28"/>
  <c r="AO716" i="28"/>
  <c r="AF716" i="28"/>
  <c r="AN716" i="28"/>
  <c r="AE716" i="28"/>
  <c r="AM716" i="28"/>
  <c r="AO718" i="28"/>
  <c r="AF718" i="28"/>
  <c r="AN718" i="28"/>
  <c r="AE718" i="28"/>
  <c r="AL718" i="28"/>
  <c r="AD718" i="28"/>
  <c r="AK718" i="28"/>
  <c r="AS718" i="28"/>
  <c r="AJ718" i="28"/>
  <c r="AR718" i="28"/>
  <c r="AI718" i="28"/>
  <c r="AQ718" i="28"/>
  <c r="AH718" i="28"/>
  <c r="AP718" i="28"/>
  <c r="AG718" i="28"/>
  <c r="AM718" i="28"/>
  <c r="AO710" i="28"/>
  <c r="AF710" i="28"/>
  <c r="AN710" i="28"/>
  <c r="AE710" i="28"/>
  <c r="AL710" i="28"/>
  <c r="AD710" i="28"/>
  <c r="AK710" i="28"/>
  <c r="AS710" i="28"/>
  <c r="AJ710" i="28"/>
  <c r="AR710" i="28"/>
  <c r="AI710" i="28"/>
  <c r="AQ710" i="28"/>
  <c r="AH710" i="28"/>
  <c r="AP710" i="28"/>
  <c r="AG710" i="28"/>
  <c r="AM710" i="28"/>
  <c r="AO702" i="28"/>
  <c r="AF702" i="28"/>
  <c r="AN702" i="28"/>
  <c r="AE702" i="28"/>
  <c r="AL702" i="28"/>
  <c r="AD702" i="28"/>
  <c r="AK702" i="28"/>
  <c r="AS702" i="28"/>
  <c r="AJ702" i="28"/>
  <c r="AR702" i="28"/>
  <c r="AI702" i="28"/>
  <c r="AQ702" i="28"/>
  <c r="AH702" i="28"/>
  <c r="AP702" i="28"/>
  <c r="AG702" i="28"/>
  <c r="AM702" i="28"/>
  <c r="AP686" i="28"/>
  <c r="AG686" i="28"/>
  <c r="AO686" i="28"/>
  <c r="AF686" i="28"/>
  <c r="AN686" i="28"/>
  <c r="AE686" i="28"/>
  <c r="AL686" i="28"/>
  <c r="AD686" i="28"/>
  <c r="AK686" i="28"/>
  <c r="AS686" i="28"/>
  <c r="AJ686" i="28"/>
  <c r="AR686" i="28"/>
  <c r="AI686" i="28"/>
  <c r="AH686" i="28"/>
  <c r="AQ686" i="28"/>
  <c r="AM686" i="28"/>
  <c r="AS670" i="28"/>
  <c r="AJ670" i="28"/>
  <c r="AR670" i="28"/>
  <c r="AI670" i="28"/>
  <c r="AQ670" i="28"/>
  <c r="AH670" i="28"/>
  <c r="AP670" i="28"/>
  <c r="AG670" i="28"/>
  <c r="AO670" i="28"/>
  <c r="AF670" i="28"/>
  <c r="AN670" i="28"/>
  <c r="AE670" i="28"/>
  <c r="AL670" i="28"/>
  <c r="AD670" i="28"/>
  <c r="AK670" i="28"/>
  <c r="AM670" i="28"/>
  <c r="AS654" i="28"/>
  <c r="AJ654" i="28"/>
  <c r="AR654" i="28"/>
  <c r="AI654" i="28"/>
  <c r="AQ654" i="28"/>
  <c r="AH654" i="28"/>
  <c r="AP654" i="28"/>
  <c r="AG654" i="28"/>
  <c r="AO654" i="28"/>
  <c r="AF654" i="28"/>
  <c r="AN654" i="28"/>
  <c r="AE654" i="28"/>
  <c r="AL654" i="28"/>
  <c r="AD654" i="28"/>
  <c r="AM654" i="28"/>
  <c r="AK654" i="28"/>
  <c r="AS646" i="28"/>
  <c r="AJ646" i="28"/>
  <c r="AR646" i="28"/>
  <c r="AI646" i="28"/>
  <c r="AQ646" i="28"/>
  <c r="AH646" i="28"/>
  <c r="AP646" i="28"/>
  <c r="AG646" i="28"/>
  <c r="AO646" i="28"/>
  <c r="AF646" i="28"/>
  <c r="AN646" i="28"/>
  <c r="AE646" i="28"/>
  <c r="AL646" i="28"/>
  <c r="AD646" i="28"/>
  <c r="AM646" i="28"/>
  <c r="AK646" i="28"/>
  <c r="AS630" i="28"/>
  <c r="AJ630" i="28"/>
  <c r="AK630" i="28"/>
  <c r="AR630" i="28"/>
  <c r="AI630" i="28"/>
  <c r="AQ630" i="28"/>
  <c r="AH630" i="28"/>
  <c r="AM630" i="28"/>
  <c r="AP630" i="28"/>
  <c r="AG630" i="28"/>
  <c r="AO630" i="28"/>
  <c r="AF630" i="28"/>
  <c r="AN630" i="28"/>
  <c r="AE630" i="28"/>
  <c r="AL630" i="28"/>
  <c r="AD630" i="28"/>
  <c r="AK715" i="28"/>
  <c r="AS715" i="28"/>
  <c r="AJ715" i="28"/>
  <c r="AR715" i="28"/>
  <c r="AI715" i="28"/>
  <c r="AQ715" i="28"/>
  <c r="AH715" i="28"/>
  <c r="AP715" i="28"/>
  <c r="AG715" i="28"/>
  <c r="AO715" i="28"/>
  <c r="AF715" i="28"/>
  <c r="AN715" i="28"/>
  <c r="AE715" i="28"/>
  <c r="AL715" i="28"/>
  <c r="AD715" i="28"/>
  <c r="AM715" i="28"/>
  <c r="AK699" i="28"/>
  <c r="AS699" i="28"/>
  <c r="AJ699" i="28"/>
  <c r="AR699" i="28"/>
  <c r="AI699" i="28"/>
  <c r="AQ699" i="28"/>
  <c r="AH699" i="28"/>
  <c r="AP699" i="28"/>
  <c r="AG699" i="28"/>
  <c r="AO699" i="28"/>
  <c r="AF699" i="28"/>
  <c r="AN699" i="28"/>
  <c r="AE699" i="28"/>
  <c r="AL699" i="28"/>
  <c r="AD699" i="28"/>
  <c r="AM699" i="28"/>
  <c r="AP659" i="28"/>
  <c r="AG659" i="28"/>
  <c r="AO659" i="28"/>
  <c r="AF659" i="28"/>
  <c r="AN659" i="28"/>
  <c r="AE659" i="28"/>
  <c r="AL659" i="28"/>
  <c r="AD659" i="28"/>
  <c r="AK659" i="28"/>
  <c r="AS659" i="28"/>
  <c r="AJ659" i="28"/>
  <c r="AR659" i="28"/>
  <c r="AI659" i="28"/>
  <c r="AQ659" i="28"/>
  <c r="AH659" i="28"/>
  <c r="AM659" i="28"/>
  <c r="AP651" i="28"/>
  <c r="AG651" i="28"/>
  <c r="AO651" i="28"/>
  <c r="AF651" i="28"/>
  <c r="AN651" i="28"/>
  <c r="AE651" i="28"/>
  <c r="AL651" i="28"/>
  <c r="AD651" i="28"/>
  <c r="AK651" i="28"/>
  <c r="AS651" i="28"/>
  <c r="AJ651" i="28"/>
  <c r="AR651" i="28"/>
  <c r="AI651" i="28"/>
  <c r="AQ651" i="28"/>
  <c r="AH651" i="28"/>
  <c r="AM651" i="28"/>
  <c r="AQ627" i="28"/>
  <c r="AH627" i="28"/>
  <c r="AP627" i="28"/>
  <c r="AG627" i="28"/>
  <c r="AO627" i="28"/>
  <c r="AF627" i="28"/>
  <c r="AM627" i="28"/>
  <c r="AI627" i="28"/>
  <c r="AN627" i="28"/>
  <c r="AE627" i="28"/>
  <c r="AL627" i="28"/>
  <c r="AD627" i="28"/>
  <c r="AK627" i="28"/>
  <c r="AS627" i="28"/>
  <c r="AJ627" i="28"/>
  <c r="AR627" i="28"/>
  <c r="AQ720" i="28"/>
  <c r="AH720" i="28"/>
  <c r="AP720" i="28"/>
  <c r="AG720" i="28"/>
  <c r="AO720" i="28"/>
  <c r="AF720" i="28"/>
  <c r="AN720" i="28"/>
  <c r="AE720" i="28"/>
  <c r="AL720" i="28"/>
  <c r="AD720" i="28"/>
  <c r="AK720" i="28"/>
  <c r="AS720" i="28"/>
  <c r="AJ720" i="28"/>
  <c r="AR720" i="28"/>
  <c r="AI720" i="28"/>
  <c r="AM720" i="28"/>
  <c r="AQ712" i="28"/>
  <c r="AH712" i="28"/>
  <c r="AP712" i="28"/>
  <c r="AG712" i="28"/>
  <c r="AO712" i="28"/>
  <c r="AF712" i="28"/>
  <c r="AN712" i="28"/>
  <c r="AE712" i="28"/>
  <c r="AL712" i="28"/>
  <c r="AD712" i="28"/>
  <c r="AK712" i="28"/>
  <c r="AS712" i="28"/>
  <c r="AJ712" i="28"/>
  <c r="AR712" i="28"/>
  <c r="AI712" i="28"/>
  <c r="AM712" i="28"/>
  <c r="AQ704" i="28"/>
  <c r="AH704" i="28"/>
  <c r="AP704" i="28"/>
  <c r="AG704" i="28"/>
  <c r="AO704" i="28"/>
  <c r="AF704" i="28"/>
  <c r="AN704" i="28"/>
  <c r="AE704" i="28"/>
  <c r="AL704" i="28"/>
  <c r="AD704" i="28"/>
  <c r="AK704" i="28"/>
  <c r="AS704" i="28"/>
  <c r="AJ704" i="28"/>
  <c r="AI704" i="28"/>
  <c r="AM704" i="28"/>
  <c r="AR704" i="28"/>
  <c r="AQ696" i="28"/>
  <c r="AH696" i="28"/>
  <c r="AP696" i="28"/>
  <c r="AG696" i="28"/>
  <c r="AO696" i="28"/>
  <c r="AF696" i="28"/>
  <c r="AN696" i="28"/>
  <c r="AE696" i="28"/>
  <c r="AL696" i="28"/>
  <c r="AD696" i="28"/>
  <c r="AK696" i="28"/>
  <c r="AS696" i="28"/>
  <c r="AJ696" i="28"/>
  <c r="AR696" i="28"/>
  <c r="AI696" i="28"/>
  <c r="AM696" i="28"/>
  <c r="AR688" i="28"/>
  <c r="AI688" i="28"/>
  <c r="AQ688" i="28"/>
  <c r="AH688" i="28"/>
  <c r="AP688" i="28"/>
  <c r="AG688" i="28"/>
  <c r="AO688" i="28"/>
  <c r="AF688" i="28"/>
  <c r="AN688" i="28"/>
  <c r="AE688" i="28"/>
  <c r="AL688" i="28"/>
  <c r="AD688" i="28"/>
  <c r="AK688" i="28"/>
  <c r="AS688" i="28"/>
  <c r="AJ688" i="28"/>
  <c r="AM688" i="28"/>
  <c r="AL672" i="28"/>
  <c r="AD672" i="28"/>
  <c r="AK672" i="28"/>
  <c r="AS672" i="28"/>
  <c r="AJ672" i="28"/>
  <c r="AR672" i="28"/>
  <c r="AI672" i="28"/>
  <c r="AQ672" i="28"/>
  <c r="AH672" i="28"/>
  <c r="AP672" i="28"/>
  <c r="AG672" i="28"/>
  <c r="AO672" i="28"/>
  <c r="AF672" i="28"/>
  <c r="AM672" i="28"/>
  <c r="AN672" i="28"/>
  <c r="AE672" i="28"/>
  <c r="AL664" i="28"/>
  <c r="AD664" i="28"/>
  <c r="AK664" i="28"/>
  <c r="AS664" i="28"/>
  <c r="AJ664" i="28"/>
  <c r="AR664" i="28"/>
  <c r="AI664" i="28"/>
  <c r="AQ664" i="28"/>
  <c r="AH664" i="28"/>
  <c r="AP664" i="28"/>
  <c r="AG664" i="28"/>
  <c r="AO664" i="28"/>
  <c r="AF664" i="28"/>
  <c r="AM664" i="28"/>
  <c r="AN664" i="28"/>
  <c r="AE664" i="28"/>
  <c r="AL656" i="28"/>
  <c r="AD656" i="28"/>
  <c r="AK656" i="28"/>
  <c r="AS656" i="28"/>
  <c r="AJ656" i="28"/>
  <c r="AR656" i="28"/>
  <c r="AI656" i="28"/>
  <c r="AQ656" i="28"/>
  <c r="AH656" i="28"/>
  <c r="AP656" i="28"/>
  <c r="AG656" i="28"/>
  <c r="AO656" i="28"/>
  <c r="AF656" i="28"/>
  <c r="AM656" i="28"/>
  <c r="AN656" i="28"/>
  <c r="AE656" i="28"/>
  <c r="AL648" i="28"/>
  <c r="AD648" i="28"/>
  <c r="AK648" i="28"/>
  <c r="AS648" i="28"/>
  <c r="AJ648" i="28"/>
  <c r="AR648" i="28"/>
  <c r="AI648" i="28"/>
  <c r="AQ648" i="28"/>
  <c r="AH648" i="28"/>
  <c r="AP648" i="28"/>
  <c r="AG648" i="28"/>
  <c r="AO648" i="28"/>
  <c r="AF648" i="28"/>
  <c r="AN648" i="28"/>
  <c r="AM648" i="28"/>
  <c r="AE648" i="28"/>
  <c r="AN701" i="28"/>
  <c r="AE701" i="28"/>
  <c r="AL701" i="28"/>
  <c r="AD701" i="28"/>
  <c r="AK701" i="28"/>
  <c r="AS701" i="28"/>
  <c r="AJ701" i="28"/>
  <c r="AR701" i="28"/>
  <c r="AI701" i="28"/>
  <c r="AQ701" i="28"/>
  <c r="AH701" i="28"/>
  <c r="AP701" i="28"/>
  <c r="AG701" i="28"/>
  <c r="AO701" i="28"/>
  <c r="AF701" i="28"/>
  <c r="AM701" i="28"/>
  <c r="AO685" i="28"/>
  <c r="AF685" i="28"/>
  <c r="AN685" i="28"/>
  <c r="AE685" i="28"/>
  <c r="AL685" i="28"/>
  <c r="AD685" i="28"/>
  <c r="AK685" i="28"/>
  <c r="AS685" i="28"/>
  <c r="AJ685" i="28"/>
  <c r="AR685" i="28"/>
  <c r="AI685" i="28"/>
  <c r="AQ685" i="28"/>
  <c r="AH685" i="28"/>
  <c r="AP685" i="28"/>
  <c r="AG685" i="28"/>
  <c r="AM685" i="28"/>
  <c r="AR661" i="28"/>
  <c r="AI661" i="28"/>
  <c r="AQ661" i="28"/>
  <c r="AH661" i="28"/>
  <c r="AP661" i="28"/>
  <c r="AG661" i="28"/>
  <c r="AO661" i="28"/>
  <c r="AF661" i="28"/>
  <c r="AN661" i="28"/>
  <c r="AE661" i="28"/>
  <c r="AL661" i="28"/>
  <c r="AD661" i="28"/>
  <c r="AK661" i="28"/>
  <c r="AS661" i="28"/>
  <c r="AJ661" i="28"/>
  <c r="AM661" i="28"/>
  <c r="AR653" i="28"/>
  <c r="AI653" i="28"/>
  <c r="AQ653" i="28"/>
  <c r="AH653" i="28"/>
  <c r="AP653" i="28"/>
  <c r="AG653" i="28"/>
  <c r="AO653" i="28"/>
  <c r="AF653" i="28"/>
  <c r="AN653" i="28"/>
  <c r="AE653" i="28"/>
  <c r="AL653" i="28"/>
  <c r="AD653" i="28"/>
  <c r="AK653" i="28"/>
  <c r="AJ653" i="28"/>
  <c r="AM653" i="28"/>
  <c r="AS653" i="28"/>
  <c r="AN717" i="28"/>
  <c r="AE717" i="28"/>
  <c r="AL717" i="28"/>
  <c r="AD717" i="28"/>
  <c r="AK717" i="28"/>
  <c r="AS717" i="28"/>
  <c r="AJ717" i="28"/>
  <c r="AR717" i="28"/>
  <c r="AI717" i="28"/>
  <c r="AQ717" i="28"/>
  <c r="AH717" i="28"/>
  <c r="AP717" i="28"/>
  <c r="AG717" i="28"/>
  <c r="AF717" i="28"/>
  <c r="AM717" i="28"/>
  <c r="AO717" i="28"/>
  <c r="AS722" i="28"/>
  <c r="AJ722" i="28"/>
  <c r="AR722" i="28"/>
  <c r="AI722" i="28"/>
  <c r="AQ722" i="28"/>
  <c r="AH722" i="28"/>
  <c r="AP722" i="28"/>
  <c r="AG722" i="28"/>
  <c r="AO722" i="28"/>
  <c r="AF722" i="28"/>
  <c r="AN722" i="28"/>
  <c r="AE722" i="28"/>
  <c r="AL722" i="28"/>
  <c r="AD722" i="28"/>
  <c r="AK722" i="28"/>
  <c r="AM722" i="28"/>
  <c r="AS714" i="28"/>
  <c r="AJ714" i="28"/>
  <c r="AR714" i="28"/>
  <c r="AI714" i="28"/>
  <c r="AQ714" i="28"/>
  <c r="AH714" i="28"/>
  <c r="AP714" i="28"/>
  <c r="AG714" i="28"/>
  <c r="AO714" i="28"/>
  <c r="AF714" i="28"/>
  <c r="AN714" i="28"/>
  <c r="AE714" i="28"/>
  <c r="AL714" i="28"/>
  <c r="AD714" i="28"/>
  <c r="AK714" i="28"/>
  <c r="AM714" i="28"/>
  <c r="AS706" i="28"/>
  <c r="AJ706" i="28"/>
  <c r="AR706" i="28"/>
  <c r="AI706" i="28"/>
  <c r="AQ706" i="28"/>
  <c r="AH706" i="28"/>
  <c r="AP706" i="28"/>
  <c r="AG706" i="28"/>
  <c r="AO706" i="28"/>
  <c r="AF706" i="28"/>
  <c r="AN706" i="28"/>
  <c r="AE706" i="28"/>
  <c r="AL706" i="28"/>
  <c r="AD706" i="28"/>
  <c r="AK706" i="28"/>
  <c r="AM706" i="28"/>
  <c r="AS698" i="28"/>
  <c r="AJ698" i="28"/>
  <c r="AR698" i="28"/>
  <c r="AI698" i="28"/>
  <c r="AQ698" i="28"/>
  <c r="AH698" i="28"/>
  <c r="AP698" i="28"/>
  <c r="AG698" i="28"/>
  <c r="AO698" i="28"/>
  <c r="AF698" i="28"/>
  <c r="AN698" i="28"/>
  <c r="AE698" i="28"/>
  <c r="AL698" i="28"/>
  <c r="AD698" i="28"/>
  <c r="AK698" i="28"/>
  <c r="AM698" i="28"/>
  <c r="AJ682" i="28"/>
  <c r="AR682" i="28"/>
  <c r="AQ682" i="28"/>
  <c r="AP682" i="28"/>
  <c r="AG682" i="28"/>
  <c r="AO682" i="28"/>
  <c r="AN682" i="28"/>
  <c r="AD682" i="28"/>
  <c r="AM682" i="28"/>
  <c r="AO666" i="28"/>
  <c r="AF666" i="28"/>
  <c r="AN666" i="28"/>
  <c r="AE666" i="28"/>
  <c r="AL666" i="28"/>
  <c r="AD666" i="28"/>
  <c r="AK666" i="28"/>
  <c r="AS666" i="28"/>
  <c r="AJ666" i="28"/>
  <c r="AR666" i="28"/>
  <c r="AI666" i="28"/>
  <c r="AQ666" i="28"/>
  <c r="AH666" i="28"/>
  <c r="AG666" i="28"/>
  <c r="AM666" i="28"/>
  <c r="AP666" i="28"/>
  <c r="AO658" i="28"/>
  <c r="AF658" i="28"/>
  <c r="AN658" i="28"/>
  <c r="AE658" i="28"/>
  <c r="AL658" i="28"/>
  <c r="AD658" i="28"/>
  <c r="AK658" i="28"/>
  <c r="AS658" i="28"/>
  <c r="AJ658" i="28"/>
  <c r="AR658" i="28"/>
  <c r="AI658" i="28"/>
  <c r="AQ658" i="28"/>
  <c r="AH658" i="28"/>
  <c r="AG658" i="28"/>
  <c r="AP658" i="28"/>
  <c r="AM658" i="28"/>
  <c r="AO650" i="28"/>
  <c r="AF650" i="28"/>
  <c r="AN650" i="28"/>
  <c r="AE650" i="28"/>
  <c r="AL650" i="28"/>
  <c r="AD650" i="28"/>
  <c r="AK650" i="28"/>
  <c r="AS650" i="28"/>
  <c r="AJ650" i="28"/>
  <c r="AR650" i="28"/>
  <c r="AI650" i="28"/>
  <c r="AQ650" i="28"/>
  <c r="AH650" i="28"/>
  <c r="AM650" i="28"/>
  <c r="AP650" i="28"/>
  <c r="AG650" i="28"/>
  <c r="AO634" i="28"/>
  <c r="AF634" i="28"/>
  <c r="AN634" i="28"/>
  <c r="AE634" i="28"/>
  <c r="AL634" i="28"/>
  <c r="AD634" i="28"/>
  <c r="AK634" i="28"/>
  <c r="AS634" i="28"/>
  <c r="AJ634" i="28"/>
  <c r="AG634" i="28"/>
  <c r="AR634" i="28"/>
  <c r="AI634" i="28"/>
  <c r="AQ634" i="28"/>
  <c r="AH634" i="28"/>
  <c r="AM634" i="28"/>
  <c r="AP634" i="28"/>
  <c r="R9" i="8"/>
  <c r="AS180" i="24" l="1"/>
  <c r="AS178" i="24"/>
  <c r="AQ178" i="24"/>
  <c r="AQ176" i="24"/>
  <c r="AS176" i="24"/>
  <c r="AQ175" i="24"/>
  <c r="AS175" i="24"/>
  <c r="AQ179" i="24"/>
  <c r="AS179" i="24"/>
  <c r="V93" i="28"/>
  <c r="AL93" i="28" s="1"/>
  <c r="S93" i="28"/>
  <c r="S55" i="28"/>
  <c r="AK93" i="28" l="1"/>
  <c r="AS93" i="28"/>
  <c r="E28" i="44"/>
  <c r="F28" i="44" s="1"/>
  <c r="H28" i="44" s="1"/>
  <c r="S51" i="27" l="1"/>
  <c r="T51" i="27" s="1"/>
  <c r="S51" i="26"/>
  <c r="T51" i="26" s="1"/>
  <c r="S50" i="27"/>
  <c r="T50" i="27" s="1"/>
  <c r="S70" i="28"/>
  <c r="S53" i="26"/>
  <c r="T53" i="26" s="1"/>
  <c r="S52" i="26"/>
  <c r="T52" i="26" s="1"/>
  <c r="S53" i="27"/>
  <c r="T53" i="27" s="1"/>
  <c r="S125" i="24"/>
  <c r="T125" i="24" s="1"/>
  <c r="S55" i="24"/>
  <c r="T55" i="24" s="1"/>
  <c r="S43" i="24"/>
  <c r="T43" i="24" s="1"/>
  <c r="S83" i="24"/>
  <c r="T83" i="24" s="1"/>
  <c r="S36" i="24"/>
  <c r="T36" i="24" s="1"/>
  <c r="S49" i="24"/>
  <c r="T49" i="24" s="1"/>
  <c r="S24" i="24"/>
  <c r="T24" i="24" s="1"/>
  <c r="S30" i="24"/>
  <c r="T30" i="24" s="1"/>
  <c r="S127" i="24"/>
  <c r="T127" i="24" s="1"/>
  <c r="S101" i="24"/>
  <c r="T101" i="24" s="1"/>
  <c r="S116" i="24"/>
  <c r="T116" i="24" s="1"/>
  <c r="S113" i="24"/>
  <c r="T113" i="24" s="1"/>
  <c r="S112" i="24"/>
  <c r="T112" i="24" s="1"/>
  <c r="S111" i="24"/>
  <c r="T111" i="24" s="1"/>
  <c r="S104" i="24"/>
  <c r="T104" i="24" s="1"/>
  <c r="S45" i="24"/>
  <c r="T45" i="24" s="1"/>
  <c r="S44" i="24"/>
  <c r="T44" i="24" s="1"/>
  <c r="S123" i="24"/>
  <c r="T123" i="24" s="1"/>
  <c r="S72" i="24"/>
  <c r="T72" i="24" s="1"/>
  <c r="S79" i="24"/>
  <c r="T79" i="24" s="1"/>
  <c r="S48" i="24"/>
  <c r="T48" i="24" s="1"/>
  <c r="S115" i="24"/>
  <c r="T115" i="24" s="1"/>
  <c r="S110" i="24"/>
  <c r="T110" i="24" s="1"/>
  <c r="S108" i="24"/>
  <c r="T108" i="24" s="1"/>
  <c r="S103" i="24"/>
  <c r="T103" i="24" s="1"/>
  <c r="S42" i="24"/>
  <c r="T42" i="24" s="1"/>
  <c r="S120" i="24"/>
  <c r="T120" i="24" s="1"/>
  <c r="S65" i="24"/>
  <c r="T65" i="24" s="1"/>
  <c r="S38" i="24"/>
  <c r="T38" i="24" s="1"/>
  <c r="S105" i="24"/>
  <c r="T105" i="24" s="1"/>
  <c r="S54" i="24"/>
  <c r="T54" i="24" s="1"/>
  <c r="S51" i="24"/>
  <c r="T51" i="24" s="1"/>
  <c r="S47" i="24"/>
  <c r="T47" i="24" s="1"/>
  <c r="S41" i="24"/>
  <c r="T41" i="24" s="1"/>
  <c r="S26" i="24"/>
  <c r="T26" i="24" s="1"/>
  <c r="S129" i="24"/>
  <c r="T129" i="24" s="1"/>
  <c r="S57" i="24"/>
  <c r="T57" i="24" s="1"/>
  <c r="S107" i="24"/>
  <c r="T107" i="24" s="1"/>
  <c r="S102" i="24"/>
  <c r="T102" i="24" s="1"/>
  <c r="S100" i="24"/>
  <c r="T100" i="24" s="1"/>
  <c r="S99" i="24"/>
  <c r="T99" i="24" s="1"/>
  <c r="S56" i="24"/>
  <c r="T56" i="24" s="1"/>
  <c r="S53" i="24"/>
  <c r="T53" i="24" s="1"/>
  <c r="S52" i="24"/>
  <c r="T52" i="24" s="1"/>
  <c r="S40" i="24"/>
  <c r="T40" i="24" s="1"/>
  <c r="S32" i="24"/>
  <c r="T32" i="24" s="1"/>
  <c r="S128" i="24"/>
  <c r="T128" i="24" s="1"/>
  <c r="S106" i="24"/>
  <c r="T106" i="24" s="1"/>
  <c r="S97" i="24"/>
  <c r="T97" i="24" s="1"/>
  <c r="S50" i="24"/>
  <c r="T50" i="24" s="1"/>
  <c r="S46" i="24"/>
  <c r="T46" i="24" s="1"/>
  <c r="S86" i="24"/>
  <c r="T86" i="24" s="1"/>
  <c r="S78" i="28"/>
  <c r="S77" i="28"/>
  <c r="S40" i="28"/>
  <c r="S37" i="28"/>
  <c r="S39" i="28"/>
  <c r="S36" i="28"/>
  <c r="S32" i="28"/>
  <c r="S38" i="28"/>
  <c r="S31" i="28"/>
  <c r="S18" i="28"/>
  <c r="S17" i="28"/>
  <c r="S13" i="28"/>
  <c r="S10" i="28"/>
  <c r="S193" i="28"/>
  <c r="S79" i="28"/>
  <c r="S29" i="28"/>
  <c r="S30" i="28"/>
  <c r="S16" i="28"/>
  <c r="S12" i="28"/>
  <c r="S9" i="28"/>
  <c r="S34" i="28"/>
  <c r="S14" i="28"/>
  <c r="S35" i="28"/>
  <c r="S15" i="28"/>
  <c r="S11" i="28"/>
  <c r="S75" i="28"/>
  <c r="T75" i="28" s="1"/>
  <c r="AI75" i="28" s="1"/>
  <c r="S74" i="28"/>
  <c r="T74" i="28" s="1"/>
  <c r="AI74" i="28" s="1"/>
  <c r="S73" i="28"/>
  <c r="T73" i="28" s="1"/>
  <c r="AI73" i="28" s="1"/>
  <c r="S72" i="28"/>
  <c r="T72" i="28" s="1"/>
  <c r="AI72" i="28" s="1"/>
  <c r="S248" i="24"/>
  <c r="S13" i="22"/>
  <c r="T13" i="22" s="1"/>
  <c r="S14" i="22"/>
  <c r="T14" i="22" s="1"/>
  <c r="S9" i="22"/>
  <c r="S17" i="22"/>
  <c r="T17" i="22" s="1"/>
  <c r="S16" i="22"/>
  <c r="T16" i="22" s="1"/>
  <c r="S200" i="28"/>
  <c r="S192" i="28"/>
  <c r="S171" i="28"/>
  <c r="S203" i="28"/>
  <c r="S199" i="28"/>
  <c r="S191" i="28"/>
  <c r="S170" i="28"/>
  <c r="S158" i="28"/>
  <c r="S154" i="28"/>
  <c r="S146" i="28"/>
  <c r="S140" i="28"/>
  <c r="S136" i="28"/>
  <c r="S115" i="28"/>
  <c r="S110" i="28"/>
  <c r="S84" i="28"/>
  <c r="S69" i="28"/>
  <c r="S65" i="28"/>
  <c r="S61" i="28"/>
  <c r="S57" i="28"/>
  <c r="S53" i="28"/>
  <c r="S49" i="28"/>
  <c r="S44" i="28"/>
  <c r="S33" i="28"/>
  <c r="S28" i="28"/>
  <c r="S24" i="28"/>
  <c r="S202" i="28"/>
  <c r="S194" i="28"/>
  <c r="S190" i="28"/>
  <c r="S169" i="28"/>
  <c r="S157" i="28"/>
  <c r="S153" i="28"/>
  <c r="S143" i="28"/>
  <c r="S139" i="28"/>
  <c r="S118" i="28"/>
  <c r="S114" i="28"/>
  <c r="S81" i="28"/>
  <c r="S68" i="28"/>
  <c r="S64" i="28"/>
  <c r="S60" i="28"/>
  <c r="S56" i="28"/>
  <c r="S52" i="28"/>
  <c r="S47" i="28"/>
  <c r="S43" i="28"/>
  <c r="S27" i="28"/>
  <c r="S71" i="28"/>
  <c r="S198" i="28"/>
  <c r="S160" i="28"/>
  <c r="S138" i="28"/>
  <c r="S113" i="28"/>
  <c r="S80" i="28"/>
  <c r="S63" i="28"/>
  <c r="S46" i="28"/>
  <c r="S22" i="28"/>
  <c r="S201" i="28"/>
  <c r="S141" i="28"/>
  <c r="S107" i="28"/>
  <c r="S66" i="28"/>
  <c r="S50" i="28"/>
  <c r="S25" i="28"/>
  <c r="S159" i="28"/>
  <c r="S137" i="28"/>
  <c r="S111" i="28"/>
  <c r="S54" i="28"/>
  <c r="S21" i="28"/>
  <c r="S155" i="28"/>
  <c r="S116" i="28"/>
  <c r="S58" i="28"/>
  <c r="S156" i="28"/>
  <c r="S142" i="28"/>
  <c r="S117" i="28"/>
  <c r="S108" i="28"/>
  <c r="S59" i="28"/>
  <c r="S51" i="28"/>
  <c r="S42" i="28"/>
  <c r="S26" i="28"/>
  <c r="S94" i="28"/>
  <c r="S41" i="28"/>
  <c r="K96" i="14"/>
  <c r="L96" i="14"/>
  <c r="N96" i="14"/>
  <c r="Q96" i="14"/>
  <c r="T96" i="14"/>
  <c r="W96" i="14"/>
  <c r="Z96" i="14"/>
  <c r="AC96" i="14"/>
  <c r="K97" i="14"/>
  <c r="L97" i="14"/>
  <c r="N97" i="14"/>
  <c r="Q97" i="14"/>
  <c r="T97" i="14"/>
  <c r="W97" i="14"/>
  <c r="Z97" i="14"/>
  <c r="AC97" i="14"/>
  <c r="K98" i="14"/>
  <c r="L98" i="14"/>
  <c r="N98" i="14"/>
  <c r="Q98" i="14"/>
  <c r="T98" i="14"/>
  <c r="W98" i="14"/>
  <c r="Z98" i="14"/>
  <c r="AC98" i="14"/>
  <c r="K99" i="14"/>
  <c r="L99" i="14"/>
  <c r="N99" i="14"/>
  <c r="Q99" i="14"/>
  <c r="T99" i="14"/>
  <c r="W99" i="14"/>
  <c r="Z99" i="14"/>
  <c r="AC99" i="14"/>
  <c r="K100" i="14"/>
  <c r="L100" i="14"/>
  <c r="N100" i="14"/>
  <c r="Q100" i="14"/>
  <c r="T100" i="14"/>
  <c r="W100" i="14"/>
  <c r="Z100" i="14"/>
  <c r="AC100" i="14"/>
  <c r="K101" i="14"/>
  <c r="L101" i="14"/>
  <c r="N101" i="14"/>
  <c r="Q101" i="14"/>
  <c r="T101" i="14"/>
  <c r="W101" i="14"/>
  <c r="Z101" i="14"/>
  <c r="AC101" i="14"/>
  <c r="K102" i="14"/>
  <c r="L102" i="14"/>
  <c r="N102" i="14"/>
  <c r="Q102" i="14"/>
  <c r="T102" i="14"/>
  <c r="W102" i="14"/>
  <c r="Z102" i="14"/>
  <c r="AC102" i="14"/>
  <c r="T103" i="14"/>
  <c r="AH72" i="28" l="1"/>
  <c r="AS72" i="28"/>
  <c r="AH74" i="28"/>
  <c r="AS74" i="28"/>
  <c r="AH75" i="28"/>
  <c r="AS75" i="28"/>
  <c r="AH73" i="28"/>
  <c r="AS73" i="28"/>
  <c r="AR102" i="14"/>
  <c r="AR101" i="14"/>
  <c r="AR99" i="14"/>
  <c r="AR98" i="14"/>
  <c r="AR97" i="14"/>
  <c r="AR96" i="14"/>
  <c r="AR100" i="14"/>
  <c r="AI128" i="24"/>
  <c r="Z128" i="24"/>
  <c r="Z129" i="24"/>
  <c r="AI129" i="24"/>
  <c r="AI65" i="24"/>
  <c r="Z65" i="24"/>
  <c r="AI48" i="24"/>
  <c r="Z48" i="24"/>
  <c r="AI112" i="24"/>
  <c r="Z112" i="24"/>
  <c r="AI36" i="24"/>
  <c r="Z36" i="24"/>
  <c r="Z73" i="28"/>
  <c r="AI50" i="24"/>
  <c r="Z50" i="24"/>
  <c r="Z32" i="24"/>
  <c r="AI32" i="24"/>
  <c r="Z53" i="24"/>
  <c r="AI53" i="24"/>
  <c r="AI102" i="24"/>
  <c r="Z102" i="24"/>
  <c r="AI26" i="24"/>
  <c r="Z26" i="24"/>
  <c r="Z54" i="24"/>
  <c r="AI54" i="24"/>
  <c r="AI120" i="24"/>
  <c r="Z120" i="24"/>
  <c r="AI110" i="24"/>
  <c r="Z110" i="24"/>
  <c r="AI79" i="24"/>
  <c r="Z79" i="24"/>
  <c r="AI45" i="24"/>
  <c r="Z45" i="24"/>
  <c r="AI113" i="24"/>
  <c r="Z113" i="24"/>
  <c r="Z30" i="24"/>
  <c r="AI30" i="24"/>
  <c r="AI83" i="24"/>
  <c r="Z83" i="24"/>
  <c r="Z53" i="27"/>
  <c r="AI53" i="27"/>
  <c r="Z50" i="27"/>
  <c r="AI50" i="27"/>
  <c r="Z72" i="28"/>
  <c r="AI46" i="24"/>
  <c r="Z46" i="24"/>
  <c r="AI52" i="24"/>
  <c r="Z52" i="24"/>
  <c r="Z100" i="24"/>
  <c r="AI100" i="24"/>
  <c r="AI51" i="24"/>
  <c r="Z51" i="24"/>
  <c r="AI108" i="24"/>
  <c r="Z108" i="24"/>
  <c r="AI44" i="24"/>
  <c r="Z44" i="24"/>
  <c r="Z127" i="24"/>
  <c r="AI127" i="24"/>
  <c r="Z125" i="24"/>
  <c r="AI125" i="24"/>
  <c r="Z16" i="22"/>
  <c r="AI16" i="22"/>
  <c r="AH16" i="22" s="1"/>
  <c r="Z74" i="28"/>
  <c r="AI97" i="24"/>
  <c r="Z97" i="24"/>
  <c r="Z56" i="24"/>
  <c r="AI56" i="24"/>
  <c r="AI107" i="24"/>
  <c r="Z107" i="24"/>
  <c r="AI41" i="24"/>
  <c r="Z41" i="24"/>
  <c r="AI105" i="24"/>
  <c r="Z105" i="24"/>
  <c r="AI42" i="24"/>
  <c r="Z42" i="24"/>
  <c r="AI72" i="24"/>
  <c r="Z72" i="24"/>
  <c r="AI104" i="24"/>
  <c r="Z104" i="24"/>
  <c r="AI116" i="24"/>
  <c r="Z116" i="24"/>
  <c r="Z24" i="24"/>
  <c r="AI24" i="24"/>
  <c r="Z43" i="24"/>
  <c r="AI43" i="24"/>
  <c r="Z52" i="26"/>
  <c r="AI52" i="26"/>
  <c r="AI51" i="26"/>
  <c r="Z51" i="26"/>
  <c r="AI17" i="22"/>
  <c r="AH17" i="22" s="1"/>
  <c r="Z17" i="22"/>
  <c r="Z75" i="28"/>
  <c r="AI86" i="24"/>
  <c r="Z86" i="24"/>
  <c r="AI106" i="24"/>
  <c r="Z106" i="24"/>
  <c r="Z40" i="24"/>
  <c r="AI40" i="24"/>
  <c r="AI99" i="24"/>
  <c r="Z99" i="24"/>
  <c r="AI57" i="24"/>
  <c r="Z57" i="24"/>
  <c r="AI47" i="24"/>
  <c r="Z47" i="24"/>
  <c r="AI38" i="24"/>
  <c r="Z38" i="24"/>
  <c r="AI103" i="24"/>
  <c r="Z103" i="24"/>
  <c r="AI115" i="24"/>
  <c r="Z115" i="24"/>
  <c r="AI123" i="24"/>
  <c r="Z123" i="24"/>
  <c r="AI111" i="24"/>
  <c r="Z111" i="24"/>
  <c r="Z101" i="24"/>
  <c r="AI101" i="24"/>
  <c r="Z49" i="24"/>
  <c r="AI49" i="24"/>
  <c r="Z55" i="24"/>
  <c r="AI55" i="24"/>
  <c r="AI53" i="26"/>
  <c r="Z53" i="26"/>
  <c r="AI51" i="27"/>
  <c r="Z51" i="27"/>
  <c r="AH49" i="24" l="1"/>
  <c r="AS49" i="24"/>
  <c r="AH40" i="24"/>
  <c r="AS40" i="24"/>
  <c r="AH127" i="24"/>
  <c r="AS127" i="24"/>
  <c r="AH100" i="24"/>
  <c r="AS100" i="24"/>
  <c r="AH53" i="27"/>
  <c r="AS53" i="27"/>
  <c r="AH54" i="24"/>
  <c r="AS54" i="24"/>
  <c r="AH32" i="24"/>
  <c r="AS32" i="24"/>
  <c r="AH53" i="26"/>
  <c r="AS53" i="26"/>
  <c r="AH111" i="24"/>
  <c r="AS111" i="24"/>
  <c r="AH115" i="24"/>
  <c r="AS115" i="24"/>
  <c r="AH38" i="24"/>
  <c r="AS38" i="24"/>
  <c r="AH57" i="24"/>
  <c r="AS57" i="24"/>
  <c r="AH86" i="24"/>
  <c r="AS86" i="24"/>
  <c r="AH104" i="24"/>
  <c r="AS104" i="24"/>
  <c r="AH105" i="24"/>
  <c r="AS105" i="24"/>
  <c r="AH107" i="24"/>
  <c r="AS107" i="24"/>
  <c r="AH108" i="24"/>
  <c r="AS108" i="24"/>
  <c r="AH46" i="24"/>
  <c r="AS46" i="24"/>
  <c r="AH45" i="24"/>
  <c r="AS45" i="24"/>
  <c r="AH110" i="24"/>
  <c r="AS110" i="24"/>
  <c r="AH102" i="24"/>
  <c r="AS102" i="24"/>
  <c r="AH112" i="24"/>
  <c r="AS112" i="24"/>
  <c r="AH65" i="24"/>
  <c r="AS65" i="24"/>
  <c r="AH128" i="24"/>
  <c r="AS128" i="24"/>
  <c r="AH52" i="26"/>
  <c r="AS52" i="26"/>
  <c r="AH30" i="24"/>
  <c r="AS30" i="24"/>
  <c r="AH55" i="24"/>
  <c r="AS55" i="24"/>
  <c r="AH101" i="24"/>
  <c r="AS101" i="24"/>
  <c r="AH43" i="24"/>
  <c r="AS43" i="24"/>
  <c r="AH56" i="24"/>
  <c r="AS56" i="24"/>
  <c r="AH125" i="24"/>
  <c r="AS125" i="24"/>
  <c r="AH50" i="27"/>
  <c r="AS50" i="27"/>
  <c r="AH53" i="24"/>
  <c r="AS53" i="24"/>
  <c r="AH129" i="24"/>
  <c r="AS129" i="24"/>
  <c r="AH24" i="24"/>
  <c r="AS24" i="24"/>
  <c r="AH51" i="27"/>
  <c r="AS51" i="27"/>
  <c r="AH123" i="24"/>
  <c r="AS123" i="24"/>
  <c r="AH103" i="24"/>
  <c r="AS103" i="24"/>
  <c r="AH47" i="24"/>
  <c r="AS47" i="24"/>
  <c r="AH99" i="24"/>
  <c r="AS99" i="24"/>
  <c r="AH106" i="24"/>
  <c r="AS106" i="24"/>
  <c r="AH51" i="26"/>
  <c r="AS51" i="26"/>
  <c r="AH116" i="24"/>
  <c r="AS116" i="24"/>
  <c r="AH72" i="24"/>
  <c r="AS72" i="24"/>
  <c r="AH42" i="24"/>
  <c r="AS42" i="24"/>
  <c r="AH41" i="24"/>
  <c r="AS41" i="24"/>
  <c r="AH97" i="24"/>
  <c r="AS97" i="24"/>
  <c r="AH44" i="24"/>
  <c r="AS44" i="24"/>
  <c r="AS51" i="24"/>
  <c r="AH51" i="24"/>
  <c r="AH52" i="24"/>
  <c r="AS52" i="24"/>
  <c r="AH83" i="24"/>
  <c r="AS83" i="24"/>
  <c r="AH113" i="24"/>
  <c r="AS113" i="24"/>
  <c r="AH79" i="24"/>
  <c r="AS79" i="24"/>
  <c r="AS120" i="24"/>
  <c r="AH120" i="24"/>
  <c r="AH26" i="24"/>
  <c r="AS26" i="24"/>
  <c r="AH50" i="24"/>
  <c r="AS50" i="24"/>
  <c r="AH36" i="24"/>
  <c r="AS36" i="24"/>
  <c r="AH48" i="24"/>
  <c r="AS48" i="24"/>
  <c r="O616" i="28"/>
  <c r="O615" i="28"/>
  <c r="AF615" i="28" s="1"/>
  <c r="AE615" i="28" s="1"/>
  <c r="O614" i="28"/>
  <c r="O613" i="28"/>
  <c r="AF613" i="28" s="1"/>
  <c r="AE613" i="28" s="1"/>
  <c r="O612" i="28"/>
  <c r="AF612" i="28" s="1"/>
  <c r="AE612" i="28" s="1"/>
  <c r="O611" i="28"/>
  <c r="O610" i="28"/>
  <c r="O609" i="28"/>
  <c r="AF609" i="28" s="1"/>
  <c r="AE609" i="28" s="1"/>
  <c r="O602" i="28"/>
  <c r="O593" i="28"/>
  <c r="O286" i="28"/>
  <c r="O285" i="28"/>
  <c r="O284" i="28"/>
  <c r="AF284" i="28" s="1"/>
  <c r="AE284" i="28" s="1"/>
  <c r="O586" i="28"/>
  <c r="O78" i="28"/>
  <c r="O77" i="28"/>
  <c r="AF77" i="28" s="1"/>
  <c r="AE77" i="28" s="1"/>
  <c r="O573" i="28"/>
  <c r="AR662" i="28"/>
  <c r="AP662" i="28"/>
  <c r="AO662" i="28"/>
  <c r="AM662" i="28"/>
  <c r="AJ662" i="28"/>
  <c r="AG662" i="28"/>
  <c r="AD662" i="28"/>
  <c r="O569" i="28"/>
  <c r="O568" i="28"/>
  <c r="AF568" i="28" s="1"/>
  <c r="AE568" i="28" s="1"/>
  <c r="O567" i="28"/>
  <c r="AF567" i="28" s="1"/>
  <c r="AE567" i="28" s="1"/>
  <c r="AJ649" i="28"/>
  <c r="AD649" i="28"/>
  <c r="O566" i="28"/>
  <c r="AF566" i="28" s="1"/>
  <c r="AE566" i="28" s="1"/>
  <c r="AR649" i="28"/>
  <c r="AO649" i="28"/>
  <c r="AR713" i="28"/>
  <c r="AP713" i="28"/>
  <c r="AO713" i="28"/>
  <c r="AM713" i="28"/>
  <c r="AJ713" i="28"/>
  <c r="AG713" i="28"/>
  <c r="AD713" i="28"/>
  <c r="AR705" i="28"/>
  <c r="AP705" i="28"/>
  <c r="AO705" i="28"/>
  <c r="AM705" i="28"/>
  <c r="AJ705" i="28"/>
  <c r="AG705" i="28"/>
  <c r="AD705" i="28"/>
  <c r="AR640" i="28"/>
  <c r="AP640" i="28"/>
  <c r="AO640" i="28"/>
  <c r="AM640" i="28"/>
  <c r="AJ640" i="28"/>
  <c r="AG640" i="28"/>
  <c r="AD640" i="28"/>
  <c r="O71" i="28"/>
  <c r="AF71" i="28" s="1"/>
  <c r="AE71" i="28" s="1"/>
  <c r="O533" i="28"/>
  <c r="O576" i="28"/>
  <c r="AF576" i="28" s="1"/>
  <c r="AE576" i="28" s="1"/>
  <c r="O575" i="28"/>
  <c r="AF575" i="28" s="1"/>
  <c r="AE575" i="28" s="1"/>
  <c r="AR708" i="28"/>
  <c r="AP708" i="28"/>
  <c r="AO708" i="28"/>
  <c r="AM708" i="28"/>
  <c r="AJ708" i="28"/>
  <c r="AD708" i="28"/>
  <c r="O574" i="28"/>
  <c r="AF574" i="28" s="1"/>
  <c r="AE574" i="28" s="1"/>
  <c r="AR695" i="28"/>
  <c r="AP695" i="28"/>
  <c r="AO695" i="28"/>
  <c r="AM695" i="28"/>
  <c r="AJ695" i="28"/>
  <c r="AG695" i="28"/>
  <c r="AD695" i="28"/>
  <c r="AR707" i="28"/>
  <c r="AP707" i="28"/>
  <c r="AO707" i="28"/>
  <c r="AM707" i="28"/>
  <c r="AJ707" i="28"/>
  <c r="O608" i="28"/>
  <c r="AR681" i="28"/>
  <c r="AP681" i="28"/>
  <c r="AJ681" i="28"/>
  <c r="AP649" i="28"/>
  <c r="AM649" i="28"/>
  <c r="AR657" i="28"/>
  <c r="AP657" i="28"/>
  <c r="AO657" i="28"/>
  <c r="AM657" i="28"/>
  <c r="AJ657" i="28"/>
  <c r="AG657" i="28"/>
  <c r="AD657" i="28"/>
  <c r="O315" i="28"/>
  <c r="AF315" i="28" s="1"/>
  <c r="AE315" i="28" s="1"/>
  <c r="AM675" i="28"/>
  <c r="AJ675" i="28"/>
  <c r="O360" i="28"/>
  <c r="AF360" i="28" s="1"/>
  <c r="AE360" i="28" s="1"/>
  <c r="AD675" i="28"/>
  <c r="O321" i="28"/>
  <c r="AF321" i="28" s="1"/>
  <c r="O320" i="28"/>
  <c r="AF320" i="28" s="1"/>
  <c r="AE320" i="28" s="1"/>
  <c r="O319" i="28"/>
  <c r="AR690" i="28"/>
  <c r="AP690" i="28"/>
  <c r="AO690" i="28"/>
  <c r="AM690" i="28"/>
  <c r="AJ690" i="28"/>
  <c r="AG690" i="28"/>
  <c r="AD690" i="28"/>
  <c r="O282" i="28"/>
  <c r="AF282" i="28" s="1"/>
  <c r="AE282" i="28" s="1"/>
  <c r="AR678" i="28"/>
  <c r="AP678" i="28"/>
  <c r="AO678" i="28"/>
  <c r="AM678" i="28"/>
  <c r="AG678" i="28"/>
  <c r="AR676" i="28"/>
  <c r="AP676" i="28"/>
  <c r="AO676" i="28"/>
  <c r="AM676" i="28"/>
  <c r="AJ676" i="28"/>
  <c r="AG676" i="28"/>
  <c r="AD676" i="28"/>
  <c r="O322" i="28"/>
  <c r="O214" i="28"/>
  <c r="O213" i="28"/>
  <c r="AF213" i="28" s="1"/>
  <c r="AE213" i="28" s="1"/>
  <c r="O205" i="28"/>
  <c r="O203" i="28"/>
  <c r="AF203" i="28" s="1"/>
  <c r="AE203" i="28" s="1"/>
  <c r="O202" i="28"/>
  <c r="AF202" i="28" s="1"/>
  <c r="AE202" i="28" s="1"/>
  <c r="O201" i="28"/>
  <c r="AF201" i="28" s="1"/>
  <c r="AE201" i="28" s="1"/>
  <c r="O200" i="28"/>
  <c r="AF200" i="28" s="1"/>
  <c r="AE200" i="28" s="1"/>
  <c r="O199" i="28"/>
  <c r="AF199" i="28" s="1"/>
  <c r="AE199" i="28" s="1"/>
  <c r="O198" i="28"/>
  <c r="AF198" i="28" s="1"/>
  <c r="AE198" i="28" s="1"/>
  <c r="O197" i="28"/>
  <c r="O196" i="28"/>
  <c r="AF196" i="28" s="1"/>
  <c r="AE196" i="28" s="1"/>
  <c r="O194" i="28"/>
  <c r="AF194" i="28" s="1"/>
  <c r="AE194" i="28" s="1"/>
  <c r="O193" i="28"/>
  <c r="AF193" i="28" s="1"/>
  <c r="AE193" i="28" s="1"/>
  <c r="O192" i="28"/>
  <c r="O191" i="28"/>
  <c r="AF191" i="28" s="1"/>
  <c r="AE191" i="28" s="1"/>
  <c r="O190" i="28"/>
  <c r="AF190" i="28" s="1"/>
  <c r="AE190" i="28" s="1"/>
  <c r="O187" i="28"/>
  <c r="AF187" i="28" s="1"/>
  <c r="AE187" i="28" s="1"/>
  <c r="O182" i="28"/>
  <c r="AF182" i="28" s="1"/>
  <c r="AE182" i="28" s="1"/>
  <c r="O181" i="28"/>
  <c r="AF181" i="28" s="1"/>
  <c r="AE181" i="28" s="1"/>
  <c r="O180" i="28"/>
  <c r="AF180" i="28" s="1"/>
  <c r="AE180" i="28" s="1"/>
  <c r="O178" i="28"/>
  <c r="O171" i="28"/>
  <c r="AR669" i="28"/>
  <c r="AP669" i="28"/>
  <c r="O170" i="28"/>
  <c r="AF170" i="28" s="1"/>
  <c r="AE170" i="28" s="1"/>
  <c r="O169" i="28"/>
  <c r="O160" i="28"/>
  <c r="O159" i="28"/>
  <c r="O158" i="28"/>
  <c r="O157" i="28"/>
  <c r="AF157" i="28" s="1"/>
  <c r="AE157" i="28" s="1"/>
  <c r="O156" i="28"/>
  <c r="AF156" i="28" s="1"/>
  <c r="AE156" i="28" s="1"/>
  <c r="O155" i="28"/>
  <c r="W154" i="28"/>
  <c r="AO154" i="28" s="1"/>
  <c r="O154" i="28"/>
  <c r="AF154" i="28" s="1"/>
  <c r="AE154" i="28" s="1"/>
  <c r="O153" i="28"/>
  <c r="O146" i="28"/>
  <c r="O143" i="28"/>
  <c r="O142" i="28"/>
  <c r="O141" i="28"/>
  <c r="O140" i="28"/>
  <c r="O139" i="28"/>
  <c r="AF139" i="28" s="1"/>
  <c r="AE139" i="28" s="1"/>
  <c r="O138" i="28"/>
  <c r="O137" i="28"/>
  <c r="O136" i="28"/>
  <c r="O135" i="28"/>
  <c r="AF135" i="28" s="1"/>
  <c r="AE135" i="28" s="1"/>
  <c r="O129" i="28"/>
  <c r="O118" i="28"/>
  <c r="AF118" i="28" s="1"/>
  <c r="AE118" i="28" s="1"/>
  <c r="O117" i="28"/>
  <c r="AF117" i="28" s="1"/>
  <c r="AE117" i="28" s="1"/>
  <c r="O116" i="28"/>
  <c r="AF116" i="28" s="1"/>
  <c r="AE116" i="28" s="1"/>
  <c r="O115" i="28"/>
  <c r="AF115" i="28" s="1"/>
  <c r="AE115" i="28" s="1"/>
  <c r="O114" i="28"/>
  <c r="O113" i="28"/>
  <c r="AF113" i="28" s="1"/>
  <c r="AE113" i="28" s="1"/>
  <c r="O111" i="28"/>
  <c r="AF111" i="28" s="1"/>
  <c r="AE111" i="28" s="1"/>
  <c r="O110" i="28"/>
  <c r="AF110" i="28" s="1"/>
  <c r="AE110" i="28" s="1"/>
  <c r="O108" i="28"/>
  <c r="AF108" i="28" s="1"/>
  <c r="AE108" i="28" s="1"/>
  <c r="O107" i="28"/>
  <c r="O94" i="28"/>
  <c r="AF94" i="28" s="1"/>
  <c r="AE94" i="28" s="1"/>
  <c r="AR639" i="28"/>
  <c r="AP639" i="28"/>
  <c r="AO639" i="28"/>
  <c r="AM639" i="28"/>
  <c r="AJ639" i="28"/>
  <c r="AG639" i="28"/>
  <c r="AD639" i="28"/>
  <c r="O84" i="28"/>
  <c r="AR632" i="28"/>
  <c r="AP632" i="28"/>
  <c r="AO632" i="28"/>
  <c r="AM632" i="28"/>
  <c r="AJ632" i="28"/>
  <c r="AG632" i="28"/>
  <c r="AD632" i="28"/>
  <c r="O81" i="28"/>
  <c r="AF81" i="28" s="1"/>
  <c r="O80" i="28"/>
  <c r="AF80" i="28" s="1"/>
  <c r="AE80" i="28" s="1"/>
  <c r="O79" i="28"/>
  <c r="AF79" i="28" s="1"/>
  <c r="AE79" i="28" s="1"/>
  <c r="AR642" i="28"/>
  <c r="AP642" i="28"/>
  <c r="AO642" i="28"/>
  <c r="AJ642" i="28"/>
  <c r="AD642" i="28"/>
  <c r="O69" i="28"/>
  <c r="AF69" i="28" s="1"/>
  <c r="AE69" i="28" s="1"/>
  <c r="AR667" i="28"/>
  <c r="AP667" i="28"/>
  <c r="AO667" i="28"/>
  <c r="AM667" i="28"/>
  <c r="AJ667" i="28"/>
  <c r="AI667" i="28"/>
  <c r="AG667" i="28"/>
  <c r="AD667" i="28"/>
  <c r="O68" i="28"/>
  <c r="O66" i="28"/>
  <c r="AF66" i="28" s="1"/>
  <c r="AE66" i="28" s="1"/>
  <c r="O65" i="28"/>
  <c r="AF65" i="28" s="1"/>
  <c r="AE65" i="28" s="1"/>
  <c r="O64" i="28"/>
  <c r="AD631" i="28"/>
  <c r="O63" i="28"/>
  <c r="O61" i="28"/>
  <c r="O60" i="28"/>
  <c r="O59" i="28"/>
  <c r="AF59" i="28" s="1"/>
  <c r="AE59" i="28" s="1"/>
  <c r="O58" i="28"/>
  <c r="AF58" i="28" s="1"/>
  <c r="AE58" i="28" s="1"/>
  <c r="O57" i="28"/>
  <c r="AF57" i="28" s="1"/>
  <c r="AE57" i="28" s="1"/>
  <c r="O56" i="28"/>
  <c r="AF56" i="28" s="1"/>
  <c r="AE56" i="28" s="1"/>
  <c r="O55" i="28"/>
  <c r="AF55" i="28" s="1"/>
  <c r="AE55" i="28" s="1"/>
  <c r="O54" i="28"/>
  <c r="AF54" i="28" s="1"/>
  <c r="AE54" i="28" s="1"/>
  <c r="AR638" i="28"/>
  <c r="AP638" i="28"/>
  <c r="AG638" i="28"/>
  <c r="AD638" i="28"/>
  <c r="O53" i="28"/>
  <c r="O52" i="28"/>
  <c r="O51" i="28"/>
  <c r="AF51" i="28" s="1"/>
  <c r="AE51" i="28" s="1"/>
  <c r="O50" i="28"/>
  <c r="AF50" i="28" s="1"/>
  <c r="AE50" i="28" s="1"/>
  <c r="AR637" i="28"/>
  <c r="AP637" i="28"/>
  <c r="AO637" i="28"/>
  <c r="AM637" i="28"/>
  <c r="AG637" i="28"/>
  <c r="AD637" i="28"/>
  <c r="O49" i="28"/>
  <c r="AF49" i="28" s="1"/>
  <c r="AE49" i="28" s="1"/>
  <c r="O47" i="28"/>
  <c r="O46" i="28"/>
  <c r="AF46" i="28" s="1"/>
  <c r="AE46" i="28" s="1"/>
  <c r="O44" i="28"/>
  <c r="O43" i="28"/>
  <c r="AF43" i="28" s="1"/>
  <c r="AE43" i="28" s="1"/>
  <c r="O42" i="28"/>
  <c r="AF42" i="28" s="1"/>
  <c r="AE42" i="28" s="1"/>
  <c r="O41" i="28"/>
  <c r="O40" i="28"/>
  <c r="O39" i="28"/>
  <c r="AF39" i="28" s="1"/>
  <c r="AE39" i="28" s="1"/>
  <c r="O38" i="28"/>
  <c r="AF38" i="28" s="1"/>
  <c r="AE38" i="28" s="1"/>
  <c r="O29" i="28"/>
  <c r="AF29" i="28" s="1"/>
  <c r="AE29" i="28" s="1"/>
  <c r="O37" i="28"/>
  <c r="O36" i="28"/>
  <c r="AF36" i="28" s="1"/>
  <c r="AE36" i="28" s="1"/>
  <c r="AR643" i="28"/>
  <c r="AP643" i="28"/>
  <c r="AO643" i="28"/>
  <c r="AM643" i="28"/>
  <c r="AJ643" i="28"/>
  <c r="AG643" i="28"/>
  <c r="AD643" i="28"/>
  <c r="O35" i="28"/>
  <c r="AF35" i="28" s="1"/>
  <c r="AE35" i="28" s="1"/>
  <c r="AR636" i="28"/>
  <c r="AP636" i="28"/>
  <c r="AO636" i="28"/>
  <c r="AM636" i="28"/>
  <c r="AJ636" i="28"/>
  <c r="AG636" i="28"/>
  <c r="AD636" i="28"/>
  <c r="O34" i="28"/>
  <c r="O33" i="28"/>
  <c r="O32" i="28"/>
  <c r="AF32" i="28" s="1"/>
  <c r="AE32" i="28" s="1"/>
  <c r="O31" i="28"/>
  <c r="AF31" i="28" s="1"/>
  <c r="AE31" i="28" s="1"/>
  <c r="O30" i="28"/>
  <c r="O28" i="28"/>
  <c r="AF28" i="28" s="1"/>
  <c r="AE28" i="28" s="1"/>
  <c r="O27" i="28"/>
  <c r="AF27" i="28" s="1"/>
  <c r="AE27" i="28" s="1"/>
  <c r="O26" i="28"/>
  <c r="AF26" i="28" s="1"/>
  <c r="AE26" i="28" s="1"/>
  <c r="O25" i="28"/>
  <c r="AF25" i="28" s="1"/>
  <c r="AE25" i="28" s="1"/>
  <c r="O24" i="28"/>
  <c r="AF24" i="28" s="1"/>
  <c r="AE24" i="28" s="1"/>
  <c r="O22" i="28"/>
  <c r="AF22" i="28" s="1"/>
  <c r="AE22" i="28" s="1"/>
  <c r="O21" i="28"/>
  <c r="AF21" i="28" s="1"/>
  <c r="AE21" i="28" s="1"/>
  <c r="O18" i="28"/>
  <c r="AF18" i="28" s="1"/>
  <c r="AE18" i="28" s="1"/>
  <c r="AR17" i="28"/>
  <c r="AP17" i="28"/>
  <c r="AO17" i="28"/>
  <c r="AM17" i="28"/>
  <c r="AJ17" i="28"/>
  <c r="AG17" i="28"/>
  <c r="AD17" i="28"/>
  <c r="O17" i="28"/>
  <c r="AF17" i="28" s="1"/>
  <c r="AR16" i="28"/>
  <c r="AP16" i="28"/>
  <c r="AO16" i="28"/>
  <c r="AM16" i="28"/>
  <c r="AJ16" i="28"/>
  <c r="AG16" i="28"/>
  <c r="AD16" i="28"/>
  <c r="O16" i="28"/>
  <c r="AF16" i="28" s="1"/>
  <c r="AR15" i="28"/>
  <c r="AP15" i="28"/>
  <c r="AO15" i="28"/>
  <c r="AM15" i="28"/>
  <c r="AJ15" i="28"/>
  <c r="AG15" i="28"/>
  <c r="AD15" i="28"/>
  <c r="O15" i="28"/>
  <c r="T15" i="28" s="1"/>
  <c r="AI15" i="28" s="1"/>
  <c r="AR14" i="28"/>
  <c r="AP14" i="28"/>
  <c r="AO14" i="28"/>
  <c r="AM14" i="28"/>
  <c r="AJ14" i="28"/>
  <c r="AG14" i="28"/>
  <c r="AD14" i="28"/>
  <c r="O14" i="28"/>
  <c r="AR13" i="28"/>
  <c r="AP13" i="28"/>
  <c r="AO13" i="28"/>
  <c r="AM13" i="28"/>
  <c r="AJ13" i="28"/>
  <c r="AG13" i="28"/>
  <c r="AD13" i="28"/>
  <c r="O13" i="28"/>
  <c r="AF13" i="28" s="1"/>
  <c r="AR12" i="28"/>
  <c r="AR625" i="28" s="1"/>
  <c r="AP12" i="28"/>
  <c r="AP625" i="28" s="1"/>
  <c r="AO12" i="28"/>
  <c r="AO625" i="28" s="1"/>
  <c r="AM12" i="28"/>
  <c r="AM625" i="28" s="1"/>
  <c r="AJ12" i="28"/>
  <c r="AJ625" i="28" s="1"/>
  <c r="AG12" i="28"/>
  <c r="AG625" i="28" s="1"/>
  <c r="AD12" i="28"/>
  <c r="AD625" i="28" s="1"/>
  <c r="AA12" i="28"/>
  <c r="O12" i="28"/>
  <c r="AR11" i="28"/>
  <c r="AP11" i="28"/>
  <c r="AO11" i="28"/>
  <c r="AM11" i="28"/>
  <c r="AJ11" i="28"/>
  <c r="AG11" i="28"/>
  <c r="AD11" i="28"/>
  <c r="O11" i="28"/>
  <c r="AF11" i="28" s="1"/>
  <c r="AR10" i="28"/>
  <c r="AP10" i="28"/>
  <c r="AO10" i="28"/>
  <c r="AM10" i="28"/>
  <c r="AJ10" i="28"/>
  <c r="AG10" i="28"/>
  <c r="AD10" i="28"/>
  <c r="O10" i="28"/>
  <c r="B10" i="28"/>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AR9" i="28"/>
  <c r="AP9" i="28"/>
  <c r="AO9" i="28"/>
  <c r="AM9" i="28"/>
  <c r="AJ9" i="28"/>
  <c r="AG9" i="28"/>
  <c r="AD9" i="28"/>
  <c r="O9" i="28"/>
  <c r="AF9" i="28" s="1"/>
  <c r="AM621" i="28" l="1"/>
  <c r="AE321" i="28"/>
  <c r="AE682" i="28" s="1"/>
  <c r="AF682" i="28"/>
  <c r="V84" i="28"/>
  <c r="T84" i="28"/>
  <c r="B84" i="28"/>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82" i="28"/>
  <c r="B83" i="28" s="1"/>
  <c r="B86" i="28" s="1"/>
  <c r="AR621" i="28"/>
  <c r="AP621" i="28"/>
  <c r="K21" i="23" s="1"/>
  <c r="AE81" i="28"/>
  <c r="AN154" i="28"/>
  <c r="AO621" i="28"/>
  <c r="V214" i="28"/>
  <c r="AL214" i="28" s="1"/>
  <c r="AF214" i="28"/>
  <c r="AE214" i="28" s="1"/>
  <c r="T285" i="28"/>
  <c r="AI285" i="28" s="1"/>
  <c r="AH285" i="28" s="1"/>
  <c r="AF285" i="28"/>
  <c r="AE285" i="28" s="1"/>
  <c r="V322" i="28"/>
  <c r="AL322" i="28" s="1"/>
  <c r="AF322" i="28"/>
  <c r="AE322" i="28" s="1"/>
  <c r="T286" i="28"/>
  <c r="AI286" i="28" s="1"/>
  <c r="AH286" i="28" s="1"/>
  <c r="AF286" i="28"/>
  <c r="AE286" i="28" s="1"/>
  <c r="V614" i="28"/>
  <c r="AL614" i="28" s="1"/>
  <c r="AF614" i="28"/>
  <c r="AE614" i="28" s="1"/>
  <c r="T593" i="28"/>
  <c r="AI593" i="28" s="1"/>
  <c r="AH593" i="28" s="1"/>
  <c r="AF593" i="28"/>
  <c r="AE593" i="28" s="1"/>
  <c r="V569" i="28"/>
  <c r="AL569" i="28" s="1"/>
  <c r="AF569" i="28"/>
  <c r="AE569" i="28" s="1"/>
  <c r="V573" i="28"/>
  <c r="AL573" i="28" s="1"/>
  <c r="AF573" i="28"/>
  <c r="AE573" i="28" s="1"/>
  <c r="V602" i="28"/>
  <c r="AL602" i="28" s="1"/>
  <c r="AF602" i="28"/>
  <c r="AE602" i="28" s="1"/>
  <c r="T616" i="28"/>
  <c r="AI616" i="28" s="1"/>
  <c r="AH616" i="28" s="1"/>
  <c r="AF616" i="28"/>
  <c r="AE616" i="28" s="1"/>
  <c r="V533" i="28"/>
  <c r="AL533" i="28" s="1"/>
  <c r="AF533" i="28"/>
  <c r="AE533" i="28" s="1"/>
  <c r="T610" i="28"/>
  <c r="AI610" i="28" s="1"/>
  <c r="AH610" i="28" s="1"/>
  <c r="AF610" i="28"/>
  <c r="AE610" i="28" s="1"/>
  <c r="T169" i="28"/>
  <c r="AI169" i="28" s="1"/>
  <c r="AH169" i="28" s="1"/>
  <c r="AF169" i="28"/>
  <c r="AE169" i="28" s="1"/>
  <c r="V205" i="28"/>
  <c r="AL205" i="28" s="1"/>
  <c r="AF205" i="28"/>
  <c r="AE205" i="28" s="1"/>
  <c r="V608" i="28"/>
  <c r="AL608" i="28" s="1"/>
  <c r="AF608" i="28"/>
  <c r="AE608" i="28" s="1"/>
  <c r="V586" i="28"/>
  <c r="AL586" i="28" s="1"/>
  <c r="AF586" i="28"/>
  <c r="AE586" i="28" s="1"/>
  <c r="V611" i="28"/>
  <c r="AL611" i="28" s="1"/>
  <c r="AF611" i="28"/>
  <c r="AE611" i="28" s="1"/>
  <c r="T319" i="28"/>
  <c r="AI319" i="28" s="1"/>
  <c r="AH319" i="28" s="1"/>
  <c r="AF319" i="28"/>
  <c r="AE319" i="28" s="1"/>
  <c r="V41" i="28"/>
  <c r="AL41" i="28" s="1"/>
  <c r="AF41" i="28"/>
  <c r="AE41" i="28" s="1"/>
  <c r="V53" i="28"/>
  <c r="AL53" i="28" s="1"/>
  <c r="AF53" i="28"/>
  <c r="AE53" i="28" s="1"/>
  <c r="AF30" i="28"/>
  <c r="AD30" i="28"/>
  <c r="V33" i="28"/>
  <c r="AL33" i="28" s="1"/>
  <c r="AF33" i="28"/>
  <c r="AE33" i="28" s="1"/>
  <c r="V34" i="28"/>
  <c r="AL34" i="28" s="1"/>
  <c r="AF34" i="28"/>
  <c r="AE34" i="28" s="1"/>
  <c r="AF68" i="28"/>
  <c r="AE68" i="28" s="1"/>
  <c r="AE667" i="28" s="1"/>
  <c r="AL84" i="28"/>
  <c r="AF84" i="28"/>
  <c r="AE84" i="28" s="1"/>
  <c r="V37" i="28"/>
  <c r="AL37" i="28" s="1"/>
  <c r="AF37" i="28"/>
  <c r="AE37" i="28" s="1"/>
  <c r="V44" i="28"/>
  <c r="AL44" i="28" s="1"/>
  <c r="AF44" i="28"/>
  <c r="AE44" i="28" s="1"/>
  <c r="V60" i="28"/>
  <c r="AL60" i="28" s="1"/>
  <c r="AF60" i="28"/>
  <c r="AE60" i="28" s="1"/>
  <c r="T61" i="28"/>
  <c r="AI61" i="28" s="1"/>
  <c r="AH61" i="28" s="1"/>
  <c r="AF61" i="28"/>
  <c r="AE61" i="28" s="1"/>
  <c r="T47" i="28"/>
  <c r="AI47" i="28" s="1"/>
  <c r="AH47" i="28" s="1"/>
  <c r="AF47" i="28"/>
  <c r="AE47" i="28" s="1"/>
  <c r="V63" i="28"/>
  <c r="AL63" i="28" s="1"/>
  <c r="AF63" i="28"/>
  <c r="AE63" i="28" s="1"/>
  <c r="T78" i="28"/>
  <c r="AI78" i="28" s="1"/>
  <c r="AH78" i="28" s="1"/>
  <c r="AF78" i="28"/>
  <c r="AE78" i="28" s="1"/>
  <c r="V40" i="28"/>
  <c r="AL40" i="28" s="1"/>
  <c r="AF40" i="28"/>
  <c r="AE40" i="28" s="1"/>
  <c r="V52" i="28"/>
  <c r="AL52" i="28" s="1"/>
  <c r="AF52" i="28"/>
  <c r="AE52" i="28" s="1"/>
  <c r="T64" i="28"/>
  <c r="AI64" i="28" s="1"/>
  <c r="AH64" i="28" s="1"/>
  <c r="AF64" i="28"/>
  <c r="AE64" i="28" s="1"/>
  <c r="V171" i="28"/>
  <c r="AL171" i="28" s="1"/>
  <c r="AK171" i="28" s="1"/>
  <c r="AF171" i="28"/>
  <c r="AE171" i="28" s="1"/>
  <c r="V192" i="28"/>
  <c r="AL192" i="28" s="1"/>
  <c r="AF192" i="28"/>
  <c r="AE192" i="28" s="1"/>
  <c r="V178" i="28"/>
  <c r="AL178" i="28" s="1"/>
  <c r="AK178" i="28" s="1"/>
  <c r="AF178" i="28"/>
  <c r="AE178" i="28" s="1"/>
  <c r="T197" i="28"/>
  <c r="AI197" i="28" s="1"/>
  <c r="AH197" i="28" s="1"/>
  <c r="AF197" i="28"/>
  <c r="AE197" i="28" s="1"/>
  <c r="T143" i="28"/>
  <c r="AI143" i="28" s="1"/>
  <c r="AH143" i="28" s="1"/>
  <c r="AF143" i="28"/>
  <c r="AE143" i="28" s="1"/>
  <c r="V136" i="28"/>
  <c r="AL136" i="28" s="1"/>
  <c r="AF136" i="28"/>
  <c r="AE136" i="28" s="1"/>
  <c r="T146" i="28"/>
  <c r="AI146" i="28" s="1"/>
  <c r="AH146" i="28" s="1"/>
  <c r="AF146" i="28"/>
  <c r="AE146" i="28" s="1"/>
  <c r="V158" i="28"/>
  <c r="AL158" i="28" s="1"/>
  <c r="AF158" i="28"/>
  <c r="AE158" i="28" s="1"/>
  <c r="V114" i="28"/>
  <c r="AL114" i="28" s="1"/>
  <c r="AF114" i="28"/>
  <c r="AE114" i="28" s="1"/>
  <c r="V137" i="28"/>
  <c r="AL137" i="28" s="1"/>
  <c r="AF137" i="28"/>
  <c r="AE137" i="28" s="1"/>
  <c r="T159" i="28"/>
  <c r="AI159" i="28" s="1"/>
  <c r="AH159" i="28" s="1"/>
  <c r="AF159" i="28"/>
  <c r="AE159" i="28" s="1"/>
  <c r="V138" i="28"/>
  <c r="AL138" i="28" s="1"/>
  <c r="AF138" i="28"/>
  <c r="AE138" i="28" s="1"/>
  <c r="T153" i="28"/>
  <c r="AI153" i="28" s="1"/>
  <c r="AH153" i="28" s="1"/>
  <c r="AF153" i="28"/>
  <c r="AE153" i="28" s="1"/>
  <c r="T160" i="28"/>
  <c r="AI160" i="28" s="1"/>
  <c r="AH160" i="28" s="1"/>
  <c r="AF160" i="28"/>
  <c r="AE160" i="28" s="1"/>
  <c r="V107" i="28"/>
  <c r="AL107" i="28" s="1"/>
  <c r="AF107" i="28"/>
  <c r="AE107" i="28" s="1"/>
  <c r="T140" i="28"/>
  <c r="AI140" i="28" s="1"/>
  <c r="AH140" i="28" s="1"/>
  <c r="AF140" i="28"/>
  <c r="AE140" i="28" s="1"/>
  <c r="V141" i="28"/>
  <c r="AL141" i="28" s="1"/>
  <c r="AF141" i="28"/>
  <c r="AE141" i="28" s="1"/>
  <c r="T155" i="28"/>
  <c r="AI155" i="28" s="1"/>
  <c r="AH155" i="28" s="1"/>
  <c r="AF155" i="28"/>
  <c r="AE155" i="28" s="1"/>
  <c r="V129" i="28"/>
  <c r="AL129" i="28" s="1"/>
  <c r="AF129" i="28"/>
  <c r="AE129" i="28" s="1"/>
  <c r="V142" i="28"/>
  <c r="AL142" i="28" s="1"/>
  <c r="AF142" i="28"/>
  <c r="AE142" i="28" s="1"/>
  <c r="AM642" i="28"/>
  <c r="AJ637" i="28"/>
  <c r="AO638" i="28"/>
  <c r="AM638" i="28"/>
  <c r="AO683" i="28"/>
  <c r="AD694" i="28"/>
  <c r="AO679" i="28"/>
  <c r="AD680" i="28"/>
  <c r="AR694" i="28"/>
  <c r="AJ638" i="28"/>
  <c r="AM683" i="28"/>
  <c r="AD707" i="28"/>
  <c r="AG683" i="28"/>
  <c r="AJ680" i="28"/>
  <c r="AP683" i="28"/>
  <c r="AD683" i="28"/>
  <c r="AG681" i="28"/>
  <c r="AM694" i="28"/>
  <c r="AM674" i="28"/>
  <c r="AR691" i="28"/>
  <c r="AJ687" i="28"/>
  <c r="AG691" i="28"/>
  <c r="AM691" i="28"/>
  <c r="AO691" i="28"/>
  <c r="AP691" i="28"/>
  <c r="AG642" i="28"/>
  <c r="AR679" i="28"/>
  <c r="AJ693" i="28"/>
  <c r="AR683" i="28"/>
  <c r="AM681" i="28"/>
  <c r="AO674" i="28"/>
  <c r="AJ683" i="28"/>
  <c r="AO709" i="28"/>
  <c r="AP674" i="28"/>
  <c r="AO681" i="28"/>
  <c r="AD681" i="28"/>
  <c r="AM679" i="28"/>
  <c r="AD693" i="28"/>
  <c r="AD724" i="28"/>
  <c r="AJ709" i="28"/>
  <c r="AM709" i="28"/>
  <c r="AM687" i="28"/>
  <c r="AR674" i="28"/>
  <c r="AM631" i="28"/>
  <c r="AR687" i="28"/>
  <c r="AD626" i="28"/>
  <c r="AJ669" i="28"/>
  <c r="AG674" i="28"/>
  <c r="AM680" i="28"/>
  <c r="AD678" i="28"/>
  <c r="AP675" i="28"/>
  <c r="AM693" i="28"/>
  <c r="AO687" i="28"/>
  <c r="AP709" i="28"/>
  <c r="AD644" i="28"/>
  <c r="AO680" i="28"/>
  <c r="AP677" i="28"/>
  <c r="AR675" i="28"/>
  <c r="AP687" i="28"/>
  <c r="AJ694" i="28"/>
  <c r="AR709" i="28"/>
  <c r="AD679" i="28"/>
  <c r="AD674" i="28"/>
  <c r="AD691" i="28"/>
  <c r="AD687" i="28"/>
  <c r="AO694" i="28"/>
  <c r="AD709" i="28"/>
  <c r="AO626" i="28"/>
  <c r="AR635" i="28"/>
  <c r="AJ631" i="28"/>
  <c r="AJ679" i="28"/>
  <c r="AJ674" i="28"/>
  <c r="AJ691" i="28"/>
  <c r="AJ678" i="28"/>
  <c r="AP693" i="28"/>
  <c r="AP694" i="28"/>
  <c r="AR693" i="28"/>
  <c r="AG707" i="28"/>
  <c r="AG687" i="28"/>
  <c r="AP626" i="28"/>
  <c r="AG669" i="28"/>
  <c r="AP679" i="28"/>
  <c r="AO675" i="28"/>
  <c r="AM724" i="28"/>
  <c r="AR631" i="28"/>
  <c r="AM669" i="28"/>
  <c r="AM626" i="28"/>
  <c r="AJ724" i="28"/>
  <c r="AJ644" i="28"/>
  <c r="AP635" i="28"/>
  <c r="AG679" i="28"/>
  <c r="AR724" i="28"/>
  <c r="AM644" i="28"/>
  <c r="AP631" i="28"/>
  <c r="AJ677" i="28"/>
  <c r="AG724" i="28"/>
  <c r="AG644" i="28"/>
  <c r="AP680" i="28"/>
  <c r="AR677" i="28"/>
  <c r="AR680" i="28"/>
  <c r="AG649" i="28"/>
  <c r="AO669" i="28"/>
  <c r="AD669" i="28"/>
  <c r="AD677" i="28"/>
  <c r="AR644" i="28"/>
  <c r="AG645" i="28"/>
  <c r="AG677" i="28"/>
  <c r="AG675" i="28"/>
  <c r="AG694" i="28"/>
  <c r="AJ645" i="28"/>
  <c r="AP629" i="28"/>
  <c r="AG626" i="28"/>
  <c r="AM635" i="28"/>
  <c r="AM645" i="28"/>
  <c r="AJ626" i="28"/>
  <c r="AO635" i="28"/>
  <c r="AO645" i="28"/>
  <c r="AG708" i="28"/>
  <c r="AP645" i="28"/>
  <c r="AG631" i="28"/>
  <c r="AG709" i="28"/>
  <c r="AR645" i="28"/>
  <c r="AO644" i="28"/>
  <c r="AG693" i="28"/>
  <c r="AO724" i="28"/>
  <c r="AR626" i="28"/>
  <c r="AP724" i="28"/>
  <c r="AP644" i="28"/>
  <c r="AD645" i="28"/>
  <c r="AO631" i="28"/>
  <c r="AG680" i="28"/>
  <c r="AD629" i="28"/>
  <c r="AG629" i="28"/>
  <c r="AJ629" i="28"/>
  <c r="AM629" i="28"/>
  <c r="V213" i="28"/>
  <c r="AL213" i="28" s="1"/>
  <c r="V284" i="28"/>
  <c r="AL284" i="28" s="1"/>
  <c r="T284" i="28"/>
  <c r="AI284" i="28" s="1"/>
  <c r="AH284" i="28" s="1"/>
  <c r="V79" i="28"/>
  <c r="AL79" i="28" s="1"/>
  <c r="V80" i="28"/>
  <c r="AL80" i="28" s="1"/>
  <c r="V81" i="28"/>
  <c r="AL81" i="28" s="1"/>
  <c r="AF639" i="28"/>
  <c r="T602" i="28"/>
  <c r="AN640" i="28"/>
  <c r="T586" i="28"/>
  <c r="AQ640" i="28"/>
  <c r="V78" i="28"/>
  <c r="AL78" i="28" s="1"/>
  <c r="V593" i="28"/>
  <c r="AL593" i="28" s="1"/>
  <c r="T614" i="28"/>
  <c r="AI614" i="28" s="1"/>
  <c r="AH614" i="28" s="1"/>
  <c r="AN667" i="28"/>
  <c r="AQ662" i="28"/>
  <c r="V610" i="28"/>
  <c r="AQ16" i="28"/>
  <c r="AO693" i="28"/>
  <c r="V286" i="28"/>
  <c r="AL286" i="28" s="1"/>
  <c r="V568" i="28"/>
  <c r="AL568" i="28" s="1"/>
  <c r="T569" i="28"/>
  <c r="T568" i="28"/>
  <c r="AI568" i="28" s="1"/>
  <c r="AH568" i="28" s="1"/>
  <c r="V47" i="28"/>
  <c r="AL47" i="28" s="1"/>
  <c r="V9" i="28"/>
  <c r="AL9" i="28" s="1"/>
  <c r="AK9" i="28" s="1"/>
  <c r="V29" i="28"/>
  <c r="AL29" i="28" s="1"/>
  <c r="T136" i="28"/>
  <c r="V140" i="28"/>
  <c r="AL140" i="28" s="1"/>
  <c r="T54" i="28"/>
  <c r="AI54" i="28" s="1"/>
  <c r="AH54" i="28" s="1"/>
  <c r="T360" i="28"/>
  <c r="AI360" i="28" s="1"/>
  <c r="AH360" i="28" s="1"/>
  <c r="AN9" i="28"/>
  <c r="T205" i="28"/>
  <c r="AI205" i="28" s="1"/>
  <c r="AH205" i="28" s="1"/>
  <c r="V319" i="28"/>
  <c r="V360" i="28"/>
  <c r="AL360" i="28" s="1"/>
  <c r="T25" i="28"/>
  <c r="AI25" i="28" s="1"/>
  <c r="AH25" i="28" s="1"/>
  <c r="V193" i="28"/>
  <c r="AL193" i="28" s="1"/>
  <c r="V49" i="28"/>
  <c r="AL49" i="28" s="1"/>
  <c r="T49" i="28"/>
  <c r="AI49" i="28" s="1"/>
  <c r="AH49" i="28" s="1"/>
  <c r="T113" i="28"/>
  <c r="AI113" i="28" s="1"/>
  <c r="AH113" i="28" s="1"/>
  <c r="V113" i="28"/>
  <c r="AL113" i="28" s="1"/>
  <c r="T129" i="28"/>
  <c r="AI129" i="28" s="1"/>
  <c r="AH129" i="28" s="1"/>
  <c r="V116" i="28"/>
  <c r="AL116" i="28" s="1"/>
  <c r="T116" i="28"/>
  <c r="AI116" i="28" s="1"/>
  <c r="AH116" i="28" s="1"/>
  <c r="T154" i="28"/>
  <c r="AI154" i="28" s="1"/>
  <c r="AH154" i="28" s="1"/>
  <c r="V154" i="28"/>
  <c r="AL154" i="28" s="1"/>
  <c r="T193" i="28"/>
  <c r="AI193" i="28" s="1"/>
  <c r="AH193" i="28" s="1"/>
  <c r="V282" i="28"/>
  <c r="AL282" i="28" s="1"/>
  <c r="AF12" i="28"/>
  <c r="AF625" i="28" s="1"/>
  <c r="V12" i="28"/>
  <c r="AL12" i="28" s="1"/>
  <c r="AL625" i="28" s="1"/>
  <c r="AQ13" i="28"/>
  <c r="AQ10" i="28"/>
  <c r="AE13" i="28"/>
  <c r="T29" i="28"/>
  <c r="AI29" i="28" s="1"/>
  <c r="AH29" i="28" s="1"/>
  <c r="T192" i="28"/>
  <c r="AI192" i="28" s="1"/>
  <c r="AH192" i="28" s="1"/>
  <c r="T50" i="28"/>
  <c r="AI50" i="28" s="1"/>
  <c r="AH50" i="28" s="1"/>
  <c r="AF10" i="28"/>
  <c r="AE10" i="28" s="1"/>
  <c r="T10" i="28"/>
  <c r="AI10" i="28" s="1"/>
  <c r="AH10" i="28" s="1"/>
  <c r="T38" i="28"/>
  <c r="AI38" i="28" s="1"/>
  <c r="AH38" i="28" s="1"/>
  <c r="T31" i="28"/>
  <c r="AI31" i="28" s="1"/>
  <c r="AH31" i="28" s="1"/>
  <c r="V115" i="28"/>
  <c r="AL115" i="28" s="1"/>
  <c r="T115" i="28"/>
  <c r="AI115" i="28" s="1"/>
  <c r="AH115" i="28" s="1"/>
  <c r="T37" i="28"/>
  <c r="AI37" i="28" s="1"/>
  <c r="AH37" i="28" s="1"/>
  <c r="T56" i="28"/>
  <c r="AI56" i="28" s="1"/>
  <c r="AH56" i="28" s="1"/>
  <c r="V56" i="28"/>
  <c r="AL56" i="28" s="1"/>
  <c r="V139" i="28"/>
  <c r="AL139" i="28" s="1"/>
  <c r="T139" i="28"/>
  <c r="AI139" i="28" s="1"/>
  <c r="AH139" i="28" s="1"/>
  <c r="T214" i="28"/>
  <c r="T26" i="28"/>
  <c r="AI26" i="28" s="1"/>
  <c r="AH26" i="28" s="1"/>
  <c r="T157" i="28"/>
  <c r="AI157" i="28" s="1"/>
  <c r="AH157" i="28" s="1"/>
  <c r="V157" i="28"/>
  <c r="AL157" i="28" s="1"/>
  <c r="V203" i="28"/>
  <c r="AL203" i="28" s="1"/>
  <c r="T203" i="28"/>
  <c r="AI203" i="28" s="1"/>
  <c r="AH203" i="28" s="1"/>
  <c r="AQ14" i="28"/>
  <c r="V28" i="28"/>
  <c r="AL28" i="28" s="1"/>
  <c r="AF14" i="28"/>
  <c r="V14" i="28"/>
  <c r="AL14" i="28" s="1"/>
  <c r="V24" i="28"/>
  <c r="AL24" i="28" s="1"/>
  <c r="T24" i="28"/>
  <c r="AI24" i="28" s="1"/>
  <c r="AH24" i="28" s="1"/>
  <c r="T194" i="28"/>
  <c r="AI194" i="28" s="1"/>
  <c r="AH194" i="28" s="1"/>
  <c r="V194" i="28"/>
  <c r="AL194" i="28" s="1"/>
  <c r="T108" i="28"/>
  <c r="AI108" i="28" s="1"/>
  <c r="AH108" i="28" s="1"/>
  <c r="V108" i="28"/>
  <c r="AL108" i="28" s="1"/>
  <c r="T181" i="28"/>
  <c r="AI181" i="28" s="1"/>
  <c r="AH181" i="28" s="1"/>
  <c r="AE9" i="28"/>
  <c r="T117" i="28"/>
  <c r="AI117" i="28" s="1"/>
  <c r="AH117" i="28" s="1"/>
  <c r="AH15" i="28"/>
  <c r="AQ15" i="28"/>
  <c r="V111" i="28"/>
  <c r="AL111" i="28" s="1"/>
  <c r="V181" i="28"/>
  <c r="AL181" i="28" s="1"/>
  <c r="T322" i="28"/>
  <c r="T9" i="28"/>
  <c r="AI9" i="28" s="1"/>
  <c r="AH9" i="28" s="1"/>
  <c r="AE11" i="28"/>
  <c r="V15" i="28"/>
  <c r="AL15" i="28" s="1"/>
  <c r="AK15" i="28" s="1"/>
  <c r="AN15" i="28"/>
  <c r="V30" i="28"/>
  <c r="T53" i="28"/>
  <c r="AI53" i="28" s="1"/>
  <c r="AH53" i="28" s="1"/>
  <c r="T80" i="28"/>
  <c r="AI80" i="28" s="1"/>
  <c r="AH80" i="28" s="1"/>
  <c r="T111" i="28"/>
  <c r="AI111" i="28" s="1"/>
  <c r="AH111" i="28" s="1"/>
  <c r="T182" i="28"/>
  <c r="AI182" i="28" s="1"/>
  <c r="AH182" i="28" s="1"/>
  <c r="V182" i="28"/>
  <c r="AL182" i="28" s="1"/>
  <c r="T213" i="28"/>
  <c r="AI213" i="28" s="1"/>
  <c r="AH213" i="28" s="1"/>
  <c r="T282" i="28"/>
  <c r="AI282" i="28" s="1"/>
  <c r="AH282" i="28" s="1"/>
  <c r="T608" i="28"/>
  <c r="AI608" i="28" s="1"/>
  <c r="AH608" i="28" s="1"/>
  <c r="AQ657" i="28"/>
  <c r="AI84" i="28"/>
  <c r="AH84" i="28" s="1"/>
  <c r="T156" i="28"/>
  <c r="AI156" i="28" s="1"/>
  <c r="AH156" i="28" s="1"/>
  <c r="V156" i="28"/>
  <c r="AL156" i="28" s="1"/>
  <c r="T320" i="28"/>
  <c r="AI320" i="28" s="1"/>
  <c r="AH320" i="28" s="1"/>
  <c r="V320" i="28"/>
  <c r="AL320" i="28" s="1"/>
  <c r="AE16" i="28"/>
  <c r="V25" i="28"/>
  <c r="AL25" i="28" s="1"/>
  <c r="T33" i="28"/>
  <c r="AI33" i="28" s="1"/>
  <c r="AH33" i="28" s="1"/>
  <c r="T34" i="28"/>
  <c r="AI34" i="28" s="1"/>
  <c r="AH34" i="28" s="1"/>
  <c r="T35" i="28"/>
  <c r="AI35" i="28" s="1"/>
  <c r="AH35" i="28" s="1"/>
  <c r="AH667" i="28"/>
  <c r="V69" i="28"/>
  <c r="AL69" i="28" s="1"/>
  <c r="T138" i="28"/>
  <c r="AI138" i="28" s="1"/>
  <c r="AH138" i="28" s="1"/>
  <c r="T65" i="28"/>
  <c r="AI65" i="28" s="1"/>
  <c r="AH65" i="28" s="1"/>
  <c r="T107" i="28"/>
  <c r="AI107" i="28" s="1"/>
  <c r="AH107" i="28" s="1"/>
  <c r="AQ9" i="28"/>
  <c r="V11" i="28"/>
  <c r="AL11" i="28" s="1"/>
  <c r="AQ11" i="28"/>
  <c r="AF15" i="28"/>
  <c r="AE15" i="28" s="1"/>
  <c r="T40" i="28"/>
  <c r="AI40" i="28" s="1"/>
  <c r="AH40" i="28" s="1"/>
  <c r="T41" i="28"/>
  <c r="AI41" i="28" s="1"/>
  <c r="AH41" i="28" s="1"/>
  <c r="T42" i="28"/>
  <c r="AI42" i="28" s="1"/>
  <c r="AH42" i="28" s="1"/>
  <c r="T52" i="28"/>
  <c r="AI52" i="28" s="1"/>
  <c r="AH52" i="28" s="1"/>
  <c r="T57" i="28"/>
  <c r="AI57" i="28" s="1"/>
  <c r="AH57" i="28" s="1"/>
  <c r="T58" i="28"/>
  <c r="AI58" i="28" s="1"/>
  <c r="AH58" i="28" s="1"/>
  <c r="V61" i="28"/>
  <c r="AL61" i="28" s="1"/>
  <c r="AN639" i="28"/>
  <c r="T94" i="28"/>
  <c r="AI94" i="28" s="1"/>
  <c r="AH94" i="28" s="1"/>
  <c r="T141" i="28"/>
  <c r="AI141" i="28" s="1"/>
  <c r="AH141" i="28" s="1"/>
  <c r="T142" i="28"/>
  <c r="AI142" i="28" s="1"/>
  <c r="AH142" i="28" s="1"/>
  <c r="T199" i="28"/>
  <c r="AI199" i="28" s="1"/>
  <c r="AH199" i="28" s="1"/>
  <c r="AN10" i="28"/>
  <c r="T14" i="28"/>
  <c r="AN14" i="28"/>
  <c r="T16" i="28"/>
  <c r="AI16" i="28" s="1"/>
  <c r="AH16" i="28" s="1"/>
  <c r="AQ17" i="28"/>
  <c r="T21" i="28"/>
  <c r="AI21" i="28" s="1"/>
  <c r="AH21" i="28" s="1"/>
  <c r="T28" i="28"/>
  <c r="AI28" i="28" s="1"/>
  <c r="AH28" i="28" s="1"/>
  <c r="T30" i="28"/>
  <c r="T44" i="28"/>
  <c r="AI44" i="28" s="1"/>
  <c r="AH44" i="28" s="1"/>
  <c r="V57" i="28"/>
  <c r="AL57" i="28" s="1"/>
  <c r="T60" i="28"/>
  <c r="AI60" i="28" s="1"/>
  <c r="AH60" i="28" s="1"/>
  <c r="V64" i="28"/>
  <c r="AL64" i="28" s="1"/>
  <c r="V68" i="28"/>
  <c r="AL68" i="28" s="1"/>
  <c r="V94" i="28"/>
  <c r="AL94" i="28" s="1"/>
  <c r="T137" i="28"/>
  <c r="AI137" i="28" s="1"/>
  <c r="AH137" i="28" s="1"/>
  <c r="V146" i="28"/>
  <c r="AL146" i="28" s="1"/>
  <c r="T170" i="28"/>
  <c r="AI170" i="28" s="1"/>
  <c r="AH170" i="28" s="1"/>
  <c r="V170" i="28"/>
  <c r="AL170" i="28" s="1"/>
  <c r="T190" i="28"/>
  <c r="AI190" i="28" s="1"/>
  <c r="AH190" i="28" s="1"/>
  <c r="V190" i="28"/>
  <c r="AL190" i="28" s="1"/>
  <c r="V199" i="28"/>
  <c r="AL199" i="28" s="1"/>
  <c r="AQ12" i="28"/>
  <c r="AQ625" i="28" s="1"/>
  <c r="AE17" i="28"/>
  <c r="T63" i="28"/>
  <c r="AI63" i="28" s="1"/>
  <c r="AH63" i="28" s="1"/>
  <c r="T178" i="28"/>
  <c r="AI178" i="28" s="1"/>
  <c r="AH178" i="28" s="1"/>
  <c r="AN657" i="28"/>
  <c r="T202" i="28"/>
  <c r="AI202" i="28" s="1"/>
  <c r="AH202" i="28" s="1"/>
  <c r="V202" i="28"/>
  <c r="AL202" i="28" s="1"/>
  <c r="AE690" i="28"/>
  <c r="AQ676" i="28"/>
  <c r="T533" i="28"/>
  <c r="AI533" i="28" s="1"/>
  <c r="AH533" i="28" s="1"/>
  <c r="V187" i="28"/>
  <c r="AL187" i="28" s="1"/>
  <c r="T187" i="28"/>
  <c r="AI187" i="28" s="1"/>
  <c r="AH187" i="28" s="1"/>
  <c r="V191" i="28"/>
  <c r="AL191" i="28" s="1"/>
  <c r="T191" i="28"/>
  <c r="AI191" i="28" s="1"/>
  <c r="AH191" i="28" s="1"/>
  <c r="V196" i="28"/>
  <c r="AL196" i="28" s="1"/>
  <c r="T196" i="28"/>
  <c r="AI196" i="28" s="1"/>
  <c r="AH196" i="28" s="1"/>
  <c r="V10" i="28"/>
  <c r="AL10" i="28" s="1"/>
  <c r="AN12" i="28"/>
  <c r="AN625" i="28" s="1"/>
  <c r="T13" i="28"/>
  <c r="V16" i="28"/>
  <c r="AL16" i="28" s="1"/>
  <c r="AK16" i="28" s="1"/>
  <c r="AN16" i="28"/>
  <c r="T17" i="28"/>
  <c r="T18" i="28"/>
  <c r="AI18" i="28" s="1"/>
  <c r="AH18" i="28" s="1"/>
  <c r="V21" i="28"/>
  <c r="AL21" i="28" s="1"/>
  <c r="T22" i="28"/>
  <c r="AI22" i="28" s="1"/>
  <c r="AH22" i="28" s="1"/>
  <c r="V26" i="28"/>
  <c r="AL26" i="28" s="1"/>
  <c r="T27" i="28"/>
  <c r="AI27" i="28" s="1"/>
  <c r="AH27" i="28" s="1"/>
  <c r="V31" i="28"/>
  <c r="AL31" i="28" s="1"/>
  <c r="T32" i="28"/>
  <c r="AI32" i="28" s="1"/>
  <c r="AH32" i="28" s="1"/>
  <c r="V35" i="28"/>
  <c r="AL35" i="28" s="1"/>
  <c r="T36" i="28"/>
  <c r="AI36" i="28" s="1"/>
  <c r="AH36" i="28" s="1"/>
  <c r="V38" i="28"/>
  <c r="AL38" i="28" s="1"/>
  <c r="T39" i="28"/>
  <c r="AI39" i="28" s="1"/>
  <c r="AH39" i="28" s="1"/>
  <c r="V42" i="28"/>
  <c r="AL42" i="28" s="1"/>
  <c r="T43" i="28"/>
  <c r="AI43" i="28" s="1"/>
  <c r="AH43" i="28" s="1"/>
  <c r="T46" i="28"/>
  <c r="AI46" i="28" s="1"/>
  <c r="AH46" i="28" s="1"/>
  <c r="V50" i="28"/>
  <c r="AL50" i="28" s="1"/>
  <c r="T51" i="28"/>
  <c r="AI51" i="28" s="1"/>
  <c r="AH51" i="28" s="1"/>
  <c r="V54" i="28"/>
  <c r="AL54" i="28" s="1"/>
  <c r="T55" i="28"/>
  <c r="AI55" i="28" s="1"/>
  <c r="AH55" i="28" s="1"/>
  <c r="V58" i="28"/>
  <c r="AL58" i="28" s="1"/>
  <c r="T59" i="28"/>
  <c r="AI59" i="28" s="1"/>
  <c r="AH59" i="28" s="1"/>
  <c r="V65" i="28"/>
  <c r="AL65" i="28" s="1"/>
  <c r="T66" i="28"/>
  <c r="AI66" i="28" s="1"/>
  <c r="AH66" i="28" s="1"/>
  <c r="T81" i="28"/>
  <c r="AI81" i="28" s="1"/>
  <c r="AH81" i="28" s="1"/>
  <c r="T110" i="28"/>
  <c r="AI110" i="28" s="1"/>
  <c r="AH110" i="28" s="1"/>
  <c r="T114" i="28"/>
  <c r="V117" i="28"/>
  <c r="AL117" i="28" s="1"/>
  <c r="T118" i="28"/>
  <c r="AI118" i="28" s="1"/>
  <c r="AH118" i="28" s="1"/>
  <c r="T135" i="28"/>
  <c r="AI135" i="28" s="1"/>
  <c r="AH135" i="28" s="1"/>
  <c r="T158" i="28"/>
  <c r="AI158" i="28" s="1"/>
  <c r="AH158" i="28" s="1"/>
  <c r="V160" i="28"/>
  <c r="AL160" i="28" s="1"/>
  <c r="T180" i="28"/>
  <c r="AI180" i="28" s="1"/>
  <c r="AH180" i="28" s="1"/>
  <c r="V200" i="28"/>
  <c r="AL200" i="28" s="1"/>
  <c r="V169" i="28"/>
  <c r="AL169" i="28" s="1"/>
  <c r="V201" i="28"/>
  <c r="AL201" i="28" s="1"/>
  <c r="T201" i="28"/>
  <c r="AI201" i="28" s="1"/>
  <c r="AH201" i="28" s="1"/>
  <c r="V13" i="28"/>
  <c r="AL13" i="28" s="1"/>
  <c r="AK13" i="28" s="1"/>
  <c r="AN13" i="28"/>
  <c r="V17" i="28"/>
  <c r="AL17" i="28" s="1"/>
  <c r="AK17" i="28" s="1"/>
  <c r="AN17" i="28"/>
  <c r="V18" i="28"/>
  <c r="AL18" i="28" s="1"/>
  <c r="V22" i="28"/>
  <c r="AL22" i="28" s="1"/>
  <c r="V27" i="28"/>
  <c r="AL27" i="28" s="1"/>
  <c r="V32" i="28"/>
  <c r="AL32" i="28" s="1"/>
  <c r="V36" i="28"/>
  <c r="AL36" i="28" s="1"/>
  <c r="V39" i="28"/>
  <c r="AL39" i="28" s="1"/>
  <c r="V43" i="28"/>
  <c r="AL43" i="28" s="1"/>
  <c r="V46" i="28"/>
  <c r="AL46" i="28" s="1"/>
  <c r="V51" i="28"/>
  <c r="AL51" i="28" s="1"/>
  <c r="V55" i="28"/>
  <c r="AL55" i="28" s="1"/>
  <c r="V59" i="28"/>
  <c r="AL59" i="28" s="1"/>
  <c r="V66" i="28"/>
  <c r="AL66" i="28" s="1"/>
  <c r="V110" i="28"/>
  <c r="AL110" i="28" s="1"/>
  <c r="V118" i="28"/>
  <c r="AL118" i="28" s="1"/>
  <c r="V135" i="28"/>
  <c r="AL135" i="28" s="1"/>
  <c r="V153" i="28"/>
  <c r="AL153" i="28" s="1"/>
  <c r="V159" i="28"/>
  <c r="AL159" i="28" s="1"/>
  <c r="T171" i="28"/>
  <c r="AI171" i="28" s="1"/>
  <c r="AH171" i="28" s="1"/>
  <c r="V180" i="28"/>
  <c r="AL180" i="28" s="1"/>
  <c r="V198" i="28"/>
  <c r="AL198" i="28" s="1"/>
  <c r="T198" i="28"/>
  <c r="AI198" i="28" s="1"/>
  <c r="AH198" i="28" s="1"/>
  <c r="T200" i="28"/>
  <c r="AI200" i="28" s="1"/>
  <c r="AH200" i="28" s="1"/>
  <c r="AN11" i="28"/>
  <c r="AQ667" i="28"/>
  <c r="AQ639" i="28"/>
  <c r="V143" i="28"/>
  <c r="AL143" i="28" s="1"/>
  <c r="V155" i="28"/>
  <c r="AL155" i="28" s="1"/>
  <c r="V197" i="28"/>
  <c r="AL197" i="28" s="1"/>
  <c r="AE678" i="28"/>
  <c r="AQ690" i="28"/>
  <c r="T321" i="28"/>
  <c r="AI321" i="28" s="1"/>
  <c r="V321" i="28"/>
  <c r="AL321" i="28" s="1"/>
  <c r="AL682" i="28" s="1"/>
  <c r="AN676" i="28"/>
  <c r="AQ678" i="28"/>
  <c r="V315" i="28"/>
  <c r="AL315" i="28" s="1"/>
  <c r="T315" i="28"/>
  <c r="AI315" i="28" s="1"/>
  <c r="AH315" i="28" s="1"/>
  <c r="AN707" i="28"/>
  <c r="AQ708" i="28"/>
  <c r="V566" i="28"/>
  <c r="AL566" i="28" s="1"/>
  <c r="AN708" i="28"/>
  <c r="T575" i="28"/>
  <c r="AI575" i="28" s="1"/>
  <c r="AH575" i="28" s="1"/>
  <c r="T71" i="28"/>
  <c r="AI71" i="28" s="1"/>
  <c r="AH71" i="28" s="1"/>
  <c r="V71" i="28"/>
  <c r="AL71" i="28" s="1"/>
  <c r="T566" i="28"/>
  <c r="AI566" i="28" s="1"/>
  <c r="AH566" i="28" s="1"/>
  <c r="V612" i="28"/>
  <c r="AL612" i="28" s="1"/>
  <c r="T612" i="28"/>
  <c r="AI612" i="28" s="1"/>
  <c r="AH612" i="28" s="1"/>
  <c r="V575" i="28"/>
  <c r="AL575" i="28" s="1"/>
  <c r="V576" i="28"/>
  <c r="AL576" i="28" s="1"/>
  <c r="T567" i="28"/>
  <c r="AI567" i="28" s="1"/>
  <c r="AH567" i="28" s="1"/>
  <c r="V567" i="28"/>
  <c r="AL567" i="28" s="1"/>
  <c r="T573" i="28"/>
  <c r="AI573" i="28" s="1"/>
  <c r="AH573" i="28" s="1"/>
  <c r="T77" i="28"/>
  <c r="AI77" i="28" s="1"/>
  <c r="AH77" i="28" s="1"/>
  <c r="V77" i="28"/>
  <c r="AL77" i="28" s="1"/>
  <c r="V285" i="28"/>
  <c r="AL285" i="28" s="1"/>
  <c r="V609" i="28"/>
  <c r="AL609" i="28" s="1"/>
  <c r="T609" i="28"/>
  <c r="AI609" i="28" s="1"/>
  <c r="AH609" i="28" s="1"/>
  <c r="AN662" i="28"/>
  <c r="V615" i="28"/>
  <c r="AL615" i="28" s="1"/>
  <c r="T615" i="28"/>
  <c r="AI615" i="28" s="1"/>
  <c r="AH615" i="28" s="1"/>
  <c r="T611" i="28"/>
  <c r="AI611" i="28" s="1"/>
  <c r="AH611" i="28" s="1"/>
  <c r="T613" i="28"/>
  <c r="AI613" i="28" s="1"/>
  <c r="AH613" i="28" s="1"/>
  <c r="V613" i="28"/>
  <c r="AL613" i="28" s="1"/>
  <c r="V616" i="28"/>
  <c r="AL616" i="28" s="1"/>
  <c r="AH321" i="28" l="1"/>
  <c r="AH682" i="28" s="1"/>
  <c r="AI682" i="28"/>
  <c r="B154" i="28"/>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AQ621" i="28"/>
  <c r="AN621" i="28"/>
  <c r="AD635" i="28"/>
  <c r="AD729" i="28" s="1"/>
  <c r="AD621" i="28"/>
  <c r="F21" i="23" s="1"/>
  <c r="AF621" i="28"/>
  <c r="AF636" i="28"/>
  <c r="AF638" i="28"/>
  <c r="AF667" i="28"/>
  <c r="AL680" i="28"/>
  <c r="AE30" i="28"/>
  <c r="AE635" i="28" s="1"/>
  <c r="Z322" i="28"/>
  <c r="AI322" i="28"/>
  <c r="AH322" i="28" s="1"/>
  <c r="Z214" i="28"/>
  <c r="AI214" i="28"/>
  <c r="AH214" i="28" s="1"/>
  <c r="AK568" i="28"/>
  <c r="AS568" i="28"/>
  <c r="Z610" i="28"/>
  <c r="AL610" i="28"/>
  <c r="AK608" i="28"/>
  <c r="AS608" i="28"/>
  <c r="AK533" i="28"/>
  <c r="AS533" i="28"/>
  <c r="AK573" i="28"/>
  <c r="AS573" i="28"/>
  <c r="AK609" i="28"/>
  <c r="AS609" i="28"/>
  <c r="AK566" i="28"/>
  <c r="AS566" i="28"/>
  <c r="AK321" i="28"/>
  <c r="AK682" i="28" s="1"/>
  <c r="AS321" i="28"/>
  <c r="AS682" i="28" s="1"/>
  <c r="AK593" i="28"/>
  <c r="AS593" i="28"/>
  <c r="AK576" i="28"/>
  <c r="AS576" i="28"/>
  <c r="AK286" i="28"/>
  <c r="AS286" i="28"/>
  <c r="AK616" i="28"/>
  <c r="AS616" i="28"/>
  <c r="AK575" i="28"/>
  <c r="AS575" i="28"/>
  <c r="AK613" i="28"/>
  <c r="AS613" i="28"/>
  <c r="AK285" i="28"/>
  <c r="AS285" i="28"/>
  <c r="AS360" i="28"/>
  <c r="AK360" i="28"/>
  <c r="AK205" i="28"/>
  <c r="AS205" i="28"/>
  <c r="AK569" i="28"/>
  <c r="AK322" i="28"/>
  <c r="Z319" i="28"/>
  <c r="AL319" i="28"/>
  <c r="AK611" i="28"/>
  <c r="AS611" i="28"/>
  <c r="AK282" i="28"/>
  <c r="AS282" i="28"/>
  <c r="Z586" i="28"/>
  <c r="AI586" i="28"/>
  <c r="AH586" i="28" s="1"/>
  <c r="AK612" i="28"/>
  <c r="AS612" i="28"/>
  <c r="AK284" i="28"/>
  <c r="AS284" i="28"/>
  <c r="AK615" i="28"/>
  <c r="AS615" i="28"/>
  <c r="AS567" i="28"/>
  <c r="AK567" i="28"/>
  <c r="AK315" i="28"/>
  <c r="AS315" i="28"/>
  <c r="AK320" i="28"/>
  <c r="AS320" i="28"/>
  <c r="Z569" i="28"/>
  <c r="AI569" i="28"/>
  <c r="AH569" i="28" s="1"/>
  <c r="Z602" i="28"/>
  <c r="AI602" i="28"/>
  <c r="AH602" i="28" s="1"/>
  <c r="AS213" i="28"/>
  <c r="AK213" i="28"/>
  <c r="AK586" i="28"/>
  <c r="AK693" i="28" s="1"/>
  <c r="AK602" i="28"/>
  <c r="AK614" i="28"/>
  <c r="AS614" i="28"/>
  <c r="AK214" i="28"/>
  <c r="AK77" i="28"/>
  <c r="AS77" i="28"/>
  <c r="AS36" i="28"/>
  <c r="AK36" i="28"/>
  <c r="AK54" i="28"/>
  <c r="AS54" i="28"/>
  <c r="AK69" i="28"/>
  <c r="AS69" i="28"/>
  <c r="AL639" i="28"/>
  <c r="AK66" i="28"/>
  <c r="AS66" i="28"/>
  <c r="AS32" i="28"/>
  <c r="AK32" i="28"/>
  <c r="AK35" i="28"/>
  <c r="AS35" i="28"/>
  <c r="AS28" i="28"/>
  <c r="AK28" i="28"/>
  <c r="AK52" i="28"/>
  <c r="AS52" i="28"/>
  <c r="AK37" i="28"/>
  <c r="AS37" i="28"/>
  <c r="AK33" i="28"/>
  <c r="AS33" i="28"/>
  <c r="AK61" i="28"/>
  <c r="AS61" i="28"/>
  <c r="AS59" i="28"/>
  <c r="AK59" i="28"/>
  <c r="AK27" i="28"/>
  <c r="AS27" i="28"/>
  <c r="AK50" i="28"/>
  <c r="AS50" i="28"/>
  <c r="AI30" i="28"/>
  <c r="AG30" i="28"/>
  <c r="AG621" i="28" s="1"/>
  <c r="AK81" i="28"/>
  <c r="AS81" i="28"/>
  <c r="AK29" i="28"/>
  <c r="AS29" i="28"/>
  <c r="AK78" i="28"/>
  <c r="AS78" i="28"/>
  <c r="AK80" i="28"/>
  <c r="AS80" i="28"/>
  <c r="AS40" i="28"/>
  <c r="AK40" i="28"/>
  <c r="AK84" i="28"/>
  <c r="AS84" i="28"/>
  <c r="AK71" i="28"/>
  <c r="AK640" i="28" s="1"/>
  <c r="AS71" i="28"/>
  <c r="AS55" i="28"/>
  <c r="AK55" i="28"/>
  <c r="AS22" i="28"/>
  <c r="AK22" i="28"/>
  <c r="AK31" i="28"/>
  <c r="AS31" i="28"/>
  <c r="AK56" i="28"/>
  <c r="AS56" i="28"/>
  <c r="AS51" i="28"/>
  <c r="AK51" i="28"/>
  <c r="AS18" i="28"/>
  <c r="AK18" i="28"/>
  <c r="AS65" i="28"/>
  <c r="AK65" i="28"/>
  <c r="AK68" i="28"/>
  <c r="AK667" i="28" s="1"/>
  <c r="AS68" i="28"/>
  <c r="AH639" i="28"/>
  <c r="AK79" i="28"/>
  <c r="AS79" i="28"/>
  <c r="AK60" i="28"/>
  <c r="AS60" i="28"/>
  <c r="AS53" i="28"/>
  <c r="AK53" i="28"/>
  <c r="AK58" i="28"/>
  <c r="AS58" i="28"/>
  <c r="AS24" i="28"/>
  <c r="AK24" i="28"/>
  <c r="AS46" i="28"/>
  <c r="AK46" i="28"/>
  <c r="AS42" i="28"/>
  <c r="AK42" i="28"/>
  <c r="AS26" i="28"/>
  <c r="AK26" i="28"/>
  <c r="AK64" i="28"/>
  <c r="AS64" i="28"/>
  <c r="AK25" i="28"/>
  <c r="AS25" i="28"/>
  <c r="AK47" i="28"/>
  <c r="AS47" i="28"/>
  <c r="AK43" i="28"/>
  <c r="AS43" i="28"/>
  <c r="AK39" i="28"/>
  <c r="AS39" i="28"/>
  <c r="AS38" i="28"/>
  <c r="AK38" i="28"/>
  <c r="AK21" i="28"/>
  <c r="AS21" i="28"/>
  <c r="AS57" i="28"/>
  <c r="AK57" i="28"/>
  <c r="AL30" i="28"/>
  <c r="AL635" i="28" s="1"/>
  <c r="AJ30" i="28"/>
  <c r="AS49" i="28"/>
  <c r="AK49" i="28"/>
  <c r="AK63" i="28"/>
  <c r="AS63" i="28"/>
  <c r="AS44" i="28"/>
  <c r="AK44" i="28"/>
  <c r="AS34" i="28"/>
  <c r="AK34" i="28"/>
  <c r="AK41" i="28"/>
  <c r="AS41" i="28"/>
  <c r="AK193" i="28"/>
  <c r="AS193" i="28"/>
  <c r="AK182" i="28"/>
  <c r="AS182" i="28"/>
  <c r="AK181" i="28"/>
  <c r="AS181" i="28"/>
  <c r="AK198" i="28"/>
  <c r="AS198" i="28"/>
  <c r="AK196" i="28"/>
  <c r="AS196" i="28"/>
  <c r="AS202" i="28"/>
  <c r="AK202" i="28"/>
  <c r="AK194" i="28"/>
  <c r="AS194" i="28"/>
  <c r="AK199" i="28"/>
  <c r="AS199" i="28"/>
  <c r="AK203" i="28"/>
  <c r="AS203" i="28"/>
  <c r="AS178" i="28"/>
  <c r="AS171" i="28"/>
  <c r="AS200" i="28"/>
  <c r="AK200" i="28"/>
  <c r="AK190" i="28"/>
  <c r="AS190" i="28"/>
  <c r="AK192" i="28"/>
  <c r="AS192" i="28"/>
  <c r="AK197" i="28"/>
  <c r="AS197" i="28"/>
  <c r="AS201" i="28"/>
  <c r="AK201" i="28"/>
  <c r="AK191" i="28"/>
  <c r="AS191" i="28"/>
  <c r="AK187" i="28"/>
  <c r="AS187" i="28"/>
  <c r="AK156" i="28"/>
  <c r="AS156" i="28"/>
  <c r="AK108" i="28"/>
  <c r="AS108" i="28"/>
  <c r="AK140" i="28"/>
  <c r="AS140" i="28"/>
  <c r="AK141" i="28"/>
  <c r="AS141" i="28"/>
  <c r="AK137" i="28"/>
  <c r="AS137" i="28"/>
  <c r="AK110" i="28"/>
  <c r="AS110" i="28"/>
  <c r="Z114" i="28"/>
  <c r="AI114" i="28"/>
  <c r="AH114" i="28" s="1"/>
  <c r="AK146" i="28"/>
  <c r="AS146" i="28"/>
  <c r="AK180" i="28"/>
  <c r="AS180" i="28"/>
  <c r="AK160" i="28"/>
  <c r="AS160" i="28"/>
  <c r="AK111" i="28"/>
  <c r="AS111" i="28"/>
  <c r="AK139" i="28"/>
  <c r="AS139" i="28"/>
  <c r="AK116" i="28"/>
  <c r="AS116" i="28"/>
  <c r="Z136" i="28"/>
  <c r="AI136" i="28"/>
  <c r="AH136" i="28" s="1"/>
  <c r="AK94" i="28"/>
  <c r="AS94" i="28"/>
  <c r="AK142" i="28"/>
  <c r="AS142" i="28"/>
  <c r="AK138" i="28"/>
  <c r="AS138" i="28"/>
  <c r="AK114" i="28"/>
  <c r="AK136" i="28"/>
  <c r="AK113" i="28"/>
  <c r="AS113" i="28"/>
  <c r="AK115" i="28"/>
  <c r="AS115" i="28"/>
  <c r="AK159" i="28"/>
  <c r="AS159" i="28"/>
  <c r="AK155" i="28"/>
  <c r="AS155" i="28"/>
  <c r="AK153" i="28"/>
  <c r="AS153" i="28"/>
  <c r="AK169" i="28"/>
  <c r="AS169" i="28"/>
  <c r="AK157" i="28"/>
  <c r="AS157" i="28"/>
  <c r="AK129" i="28"/>
  <c r="AS129" i="28"/>
  <c r="AS107" i="28"/>
  <c r="AK107" i="28"/>
  <c r="AK143" i="28"/>
  <c r="AS143" i="28"/>
  <c r="AK135" i="28"/>
  <c r="AS135" i="28"/>
  <c r="AK118" i="28"/>
  <c r="AS118" i="28"/>
  <c r="AK117" i="28"/>
  <c r="AS117" i="28"/>
  <c r="AK170" i="28"/>
  <c r="AS170" i="28"/>
  <c r="AK154" i="28"/>
  <c r="AS154" i="28"/>
  <c r="AK158" i="28"/>
  <c r="AS158" i="28"/>
  <c r="AN649" i="28"/>
  <c r="AQ642" i="28"/>
  <c r="AE642" i="28"/>
  <c r="AN642" i="28"/>
  <c r="AE681" i="28"/>
  <c r="AN679" i="28"/>
  <c r="AQ636" i="28"/>
  <c r="AK681" i="28"/>
  <c r="AN632" i="28"/>
  <c r="AN695" i="28"/>
  <c r="AF694" i="28"/>
  <c r="AL693" i="28"/>
  <c r="AF708" i="28"/>
  <c r="AN644" i="28"/>
  <c r="AE707" i="28"/>
  <c r="AQ695" i="28"/>
  <c r="AE687" i="28"/>
  <c r="AF687" i="28"/>
  <c r="AL708" i="28"/>
  <c r="AE657" i="28"/>
  <c r="AF657" i="28"/>
  <c r="AN709" i="28"/>
  <c r="AQ713" i="28"/>
  <c r="AF707" i="28"/>
  <c r="AK705" i="28"/>
  <c r="AL705" i="28"/>
  <c r="AN675" i="28"/>
  <c r="AF709" i="28"/>
  <c r="AQ705" i="28"/>
  <c r="AF642" i="28"/>
  <c r="AQ709" i="28"/>
  <c r="AE705" i="28"/>
  <c r="AF705" i="28"/>
  <c r="AQ693" i="28"/>
  <c r="AQ707" i="28"/>
  <c r="AE695" i="28"/>
  <c r="AF695" i="28"/>
  <c r="AQ687" i="28"/>
  <c r="AQ675" i="28"/>
  <c r="AQ694" i="28"/>
  <c r="AK713" i="28"/>
  <c r="AN705" i="28"/>
  <c r="AL681" i="28"/>
  <c r="AK657" i="28"/>
  <c r="AL657" i="28"/>
  <c r="AQ681" i="28"/>
  <c r="AF649" i="28"/>
  <c r="AK662" i="28"/>
  <c r="AL662" i="28"/>
  <c r="AN687" i="28"/>
  <c r="AQ680" i="28"/>
  <c r="AQ637" i="28"/>
  <c r="AE643" i="28"/>
  <c r="AE683" i="28"/>
  <c r="AE693" i="28"/>
  <c r="AF693" i="28"/>
  <c r="AL632" i="28"/>
  <c r="AF690" i="28"/>
  <c r="AF678" i="28"/>
  <c r="AN694" i="28"/>
  <c r="AE662" i="28"/>
  <c r="AF662" i="28"/>
  <c r="AL649" i="28"/>
  <c r="AK678" i="28"/>
  <c r="AF675" i="28"/>
  <c r="AN678" i="28"/>
  <c r="AL695" i="28"/>
  <c r="AF683" i="28"/>
  <c r="AN681" i="28"/>
  <c r="AN713" i="28"/>
  <c r="AL677" i="28"/>
  <c r="AF681" i="28"/>
  <c r="AL713" i="28"/>
  <c r="AQ649" i="28"/>
  <c r="AN691" i="28"/>
  <c r="AN690" i="28"/>
  <c r="AE713" i="28"/>
  <c r="AF713" i="28"/>
  <c r="AL643" i="28"/>
  <c r="AK690" i="28"/>
  <c r="AL690" i="28"/>
  <c r="AN626" i="28"/>
  <c r="AE676" i="28"/>
  <c r="AF676" i="28"/>
  <c r="AQ691" i="28"/>
  <c r="AN683" i="28"/>
  <c r="AL678" i="28"/>
  <c r="AQ677" i="28"/>
  <c r="AQ679" i="28"/>
  <c r="AN674" i="28"/>
  <c r="AQ683" i="28"/>
  <c r="AQ669" i="28"/>
  <c r="AF680" i="28"/>
  <c r="AE679" i="28"/>
  <c r="AF679" i="28"/>
  <c r="AL683" i="28"/>
  <c r="AQ635" i="28"/>
  <c r="AQ674" i="28"/>
  <c r="AN680" i="28"/>
  <c r="AK676" i="28"/>
  <c r="AL676" i="28"/>
  <c r="AO677" i="28"/>
  <c r="AE631" i="28"/>
  <c r="AF631" i="28"/>
  <c r="AK14" i="28"/>
  <c r="AQ724" i="28"/>
  <c r="AF635" i="28"/>
  <c r="AF637" i="28"/>
  <c r="AQ643" i="28"/>
  <c r="AE14" i="28"/>
  <c r="AE626" i="28" s="1"/>
  <c r="AF724" i="28"/>
  <c r="AL644" i="28"/>
  <c r="AL631" i="28"/>
  <c r="AH662" i="28"/>
  <c r="AI662" i="28"/>
  <c r="AN645" i="28"/>
  <c r="AN643" i="28"/>
  <c r="AN636" i="28"/>
  <c r="AF644" i="28"/>
  <c r="AL669" i="28"/>
  <c r="AQ645" i="28"/>
  <c r="AH695" i="28"/>
  <c r="AI695" i="28"/>
  <c r="AN637" i="28"/>
  <c r="AN635" i="28"/>
  <c r="AF645" i="28"/>
  <c r="AE669" i="28"/>
  <c r="AF669" i="28"/>
  <c r="AQ631" i="28"/>
  <c r="AE632" i="28"/>
  <c r="AF632" i="28"/>
  <c r="AF643" i="28"/>
  <c r="AL638" i="28"/>
  <c r="AQ644" i="28"/>
  <c r="AQ632" i="28"/>
  <c r="AE645" i="28"/>
  <c r="AN638" i="28"/>
  <c r="AL636" i="28"/>
  <c r="AQ626" i="28"/>
  <c r="AN669" i="28"/>
  <c r="AL640" i="28"/>
  <c r="AN631" i="28"/>
  <c r="AE640" i="28"/>
  <c r="AF640" i="28"/>
  <c r="AQ638" i="28"/>
  <c r="AS667" i="28"/>
  <c r="AL667" i="28"/>
  <c r="AN724" i="28"/>
  <c r="AK11" i="28"/>
  <c r="AL626" i="28"/>
  <c r="AL642" i="28"/>
  <c r="AL637" i="28"/>
  <c r="AF626" i="28"/>
  <c r="AK691" i="28"/>
  <c r="AL691" i="28"/>
  <c r="AE691" i="28"/>
  <c r="AF691" i="28"/>
  <c r="AF677" i="28"/>
  <c r="AM677" i="28"/>
  <c r="AE674" i="28"/>
  <c r="AF674" i="28"/>
  <c r="AL645" i="28"/>
  <c r="Z284" i="28"/>
  <c r="Z568" i="28"/>
  <c r="Z213" i="28"/>
  <c r="AE637" i="28"/>
  <c r="Z608" i="28"/>
  <c r="AE639" i="28"/>
  <c r="AK12" i="28"/>
  <c r="AK625" i="28" s="1"/>
  <c r="Z56" i="28"/>
  <c r="Z78" i="28"/>
  <c r="Z79" i="28"/>
  <c r="Z53" i="28"/>
  <c r="Z593" i="28"/>
  <c r="Z614" i="28"/>
  <c r="Z34" i="28"/>
  <c r="Z178" i="28"/>
  <c r="Z116" i="28"/>
  <c r="Z61" i="28"/>
  <c r="AS15" i="28"/>
  <c r="Z111" i="28"/>
  <c r="AE638" i="28"/>
  <c r="Z15" i="28"/>
  <c r="Z141" i="28"/>
  <c r="AN693" i="28"/>
  <c r="Z47" i="28"/>
  <c r="AL674" i="28"/>
  <c r="Z286" i="28"/>
  <c r="Z193" i="28"/>
  <c r="Z154" i="28"/>
  <c r="Z360" i="28"/>
  <c r="Z192" i="28"/>
  <c r="Z41" i="28"/>
  <c r="AE644" i="28"/>
  <c r="Z137" i="28"/>
  <c r="Z49" i="28"/>
  <c r="Z205" i="28"/>
  <c r="Z142" i="28"/>
  <c r="Z108" i="28"/>
  <c r="Z64" i="28"/>
  <c r="AS10" i="28"/>
  <c r="Z181" i="28"/>
  <c r="Z140" i="28"/>
  <c r="Z139" i="28"/>
  <c r="Z160" i="28"/>
  <c r="Z170" i="28"/>
  <c r="Z29" i="28"/>
  <c r="AE12" i="28"/>
  <c r="AE625" i="28" s="1"/>
  <c r="Z129" i="28"/>
  <c r="Z24" i="28"/>
  <c r="Z182" i="28"/>
  <c r="Z113" i="28"/>
  <c r="Z190" i="28"/>
  <c r="Z30" i="28"/>
  <c r="Z194" i="28"/>
  <c r="Z37" i="28"/>
  <c r="AK695" i="28"/>
  <c r="AE636" i="28"/>
  <c r="Z157" i="28"/>
  <c r="AS9" i="28"/>
  <c r="Z282" i="28"/>
  <c r="Z115" i="28"/>
  <c r="Z138" i="28"/>
  <c r="Z69" i="28"/>
  <c r="Z9" i="28"/>
  <c r="Z203" i="28"/>
  <c r="Z40" i="28"/>
  <c r="Z199" i="28"/>
  <c r="Z25" i="28"/>
  <c r="Z533" i="28"/>
  <c r="AI681" i="28"/>
  <c r="AI14" i="28"/>
  <c r="Z14" i="28"/>
  <c r="Z33" i="28"/>
  <c r="AL707" i="28"/>
  <c r="H109" i="23"/>
  <c r="Z57" i="28"/>
  <c r="Z63" i="28"/>
  <c r="Z94" i="28"/>
  <c r="Z52" i="28"/>
  <c r="Z320" i="28"/>
  <c r="Z156" i="28"/>
  <c r="Z60" i="28"/>
  <c r="Z68" i="28"/>
  <c r="Z202" i="28"/>
  <c r="Z44" i="28"/>
  <c r="Z28" i="28"/>
  <c r="Z146" i="28"/>
  <c r="Z107" i="28"/>
  <c r="Z84" i="28"/>
  <c r="AP729" i="28"/>
  <c r="Z616" i="28"/>
  <c r="Z611" i="28"/>
  <c r="Z615" i="28"/>
  <c r="Z575" i="28"/>
  <c r="AS662" i="28"/>
  <c r="Z77" i="28"/>
  <c r="Z573" i="28"/>
  <c r="Z566" i="28"/>
  <c r="AK708" i="28"/>
  <c r="AK683" i="28"/>
  <c r="Z135" i="28"/>
  <c r="Z81" i="28"/>
  <c r="Z66" i="28"/>
  <c r="Z46" i="28"/>
  <c r="Z27" i="28"/>
  <c r="Z18" i="28"/>
  <c r="Z187" i="28"/>
  <c r="Z10" i="28"/>
  <c r="Z58" i="28"/>
  <c r="Z54" i="28"/>
  <c r="Z169" i="28"/>
  <c r="Z612" i="28"/>
  <c r="AE649" i="28"/>
  <c r="Z613" i="28"/>
  <c r="Z285" i="28"/>
  <c r="Z567" i="28"/>
  <c r="AL694" i="28"/>
  <c r="Z576" i="28"/>
  <c r="Z71" i="28"/>
  <c r="AI640" i="28"/>
  <c r="AE708" i="28"/>
  <c r="AE694" i="28"/>
  <c r="AI657" i="28"/>
  <c r="Z315" i="28"/>
  <c r="Z321" i="28"/>
  <c r="AH675" i="28"/>
  <c r="Z159" i="28"/>
  <c r="Z155" i="28"/>
  <c r="Z59" i="28"/>
  <c r="Z51" i="28"/>
  <c r="Z36" i="28"/>
  <c r="Z32" i="28"/>
  <c r="Z22" i="28"/>
  <c r="Z17" i="28"/>
  <c r="AI17" i="28"/>
  <c r="AH17" i="28" s="1"/>
  <c r="Z197" i="28"/>
  <c r="Z191" i="28"/>
  <c r="Z50" i="28"/>
  <c r="Z26" i="28"/>
  <c r="Z31" i="28"/>
  <c r="Z21" i="28"/>
  <c r="Z609" i="28"/>
  <c r="Z198" i="28"/>
  <c r="Z180" i="28"/>
  <c r="Z158" i="28"/>
  <c r="Z118" i="28"/>
  <c r="Z55" i="28"/>
  <c r="Z43" i="28"/>
  <c r="Z13" i="28"/>
  <c r="AI13" i="28"/>
  <c r="Z196" i="28"/>
  <c r="Z117" i="28"/>
  <c r="Z42" i="28"/>
  <c r="Z80" i="28"/>
  <c r="Z200" i="28"/>
  <c r="Z171" i="28"/>
  <c r="Z153" i="28"/>
  <c r="Z201" i="28"/>
  <c r="Z143" i="28"/>
  <c r="Z110" i="28"/>
  <c r="Z39" i="28"/>
  <c r="AK10" i="28"/>
  <c r="Z65" i="28"/>
  <c r="Z38" i="28"/>
  <c r="AS16" i="28"/>
  <c r="Z16" i="28"/>
  <c r="Z35" i="28"/>
  <c r="AG635" i="28" l="1"/>
  <c r="B271" i="28"/>
  <c r="B272" i="28" s="1"/>
  <c r="B273" i="28" s="1"/>
  <c r="B274" i="28" s="1"/>
  <c r="B275" i="28" s="1"/>
  <c r="B276" i="28" s="1"/>
  <c r="B277" i="28" s="1"/>
  <c r="B278" i="28" s="1"/>
  <c r="B279" i="28" s="1"/>
  <c r="B270" i="28"/>
  <c r="AJ635" i="28"/>
  <c r="AJ729" i="28" s="1"/>
  <c r="AJ621" i="28"/>
  <c r="AE621" i="28"/>
  <c r="AL621" i="28"/>
  <c r="AK632" i="28"/>
  <c r="AK642" i="28"/>
  <c r="AK637" i="28"/>
  <c r="AK644" i="28"/>
  <c r="AK636" i="28"/>
  <c r="AK643" i="28"/>
  <c r="AK631" i="28"/>
  <c r="AK677" i="28"/>
  <c r="AS214" i="28"/>
  <c r="AK680" i="28"/>
  <c r="AI639" i="28"/>
  <c r="AS602" i="28"/>
  <c r="AS322" i="28"/>
  <c r="AS680" i="28" s="1"/>
  <c r="AS136" i="28"/>
  <c r="AK610" i="28"/>
  <c r="AK724" i="28" s="1"/>
  <c r="AS610" i="28"/>
  <c r="AS586" i="28"/>
  <c r="AS114" i="28"/>
  <c r="AS569" i="28"/>
  <c r="AK319" i="28"/>
  <c r="AS319" i="28"/>
  <c r="AS30" i="28"/>
  <c r="AK30" i="28"/>
  <c r="AK635" i="28" s="1"/>
  <c r="AH30" i="28"/>
  <c r="AS639" i="28"/>
  <c r="AK639" i="28"/>
  <c r="AK626" i="28"/>
  <c r="AH707" i="28"/>
  <c r="AI707" i="28"/>
  <c r="AI708" i="28"/>
  <c r="AH693" i="28"/>
  <c r="AE680" i="28"/>
  <c r="AL724" i="28"/>
  <c r="AE675" i="28"/>
  <c r="AK649" i="28"/>
  <c r="AE709" i="28"/>
  <c r="AI705" i="28"/>
  <c r="AI631" i="28"/>
  <c r="AS695" i="28"/>
  <c r="AK687" i="28"/>
  <c r="AL709" i="28"/>
  <c r="AN677" i="28"/>
  <c r="AL675" i="28"/>
  <c r="AL687" i="28"/>
  <c r="AE677" i="28"/>
  <c r="AL679" i="28"/>
  <c r="AI669" i="28"/>
  <c r="AI649" i="28"/>
  <c r="AH678" i="28"/>
  <c r="AI678" i="28"/>
  <c r="AI693" i="28"/>
  <c r="AK669" i="28"/>
  <c r="AH637" i="28"/>
  <c r="AK645" i="28"/>
  <c r="AI680" i="28"/>
  <c r="AI638" i="28"/>
  <c r="AI709" i="28"/>
  <c r="AI636" i="28"/>
  <c r="AI694" i="28"/>
  <c r="AS683" i="28"/>
  <c r="AI683" i="28"/>
  <c r="AH690" i="28"/>
  <c r="AI690" i="28"/>
  <c r="AI644" i="28"/>
  <c r="AI687" i="28"/>
  <c r="AH643" i="28"/>
  <c r="AH676" i="28"/>
  <c r="AI676" i="28"/>
  <c r="AI632" i="28"/>
  <c r="AI679" i="28"/>
  <c r="AI643" i="28"/>
  <c r="AI675" i="28"/>
  <c r="AE724" i="28"/>
  <c r="AI724" i="28"/>
  <c r="AS636" i="28"/>
  <c r="AI637" i="28"/>
  <c r="AH642" i="28"/>
  <c r="AI642" i="28"/>
  <c r="AI635" i="28"/>
  <c r="AI713" i="28"/>
  <c r="AI691" i="28"/>
  <c r="AI677" i="28"/>
  <c r="AI674" i="28"/>
  <c r="AI645" i="28"/>
  <c r="AH13" i="28"/>
  <c r="AM729" i="28"/>
  <c r="AS17" i="28"/>
  <c r="AS637" i="28"/>
  <c r="AH680" i="28"/>
  <c r="AS642" i="28"/>
  <c r="AS678" i="28"/>
  <c r="H21" i="23"/>
  <c r="I21" i="23"/>
  <c r="AS676" i="28"/>
  <c r="AK707" i="28"/>
  <c r="AH681" i="28"/>
  <c r="AS681" i="28"/>
  <c r="AH631" i="28"/>
  <c r="AH679" i="28"/>
  <c r="AH644" i="28"/>
  <c r="AH14" i="28"/>
  <c r="AS14" i="28"/>
  <c r="AS13" i="28"/>
  <c r="AH657" i="28"/>
  <c r="AS657" i="28"/>
  <c r="AH640" i="28"/>
  <c r="AS640" i="28"/>
  <c r="AH694" i="28"/>
  <c r="AH636" i="28"/>
  <c r="AH683" i="28"/>
  <c r="AS694" i="28"/>
  <c r="AK694" i="28"/>
  <c r="AH708" i="28"/>
  <c r="AS643" i="28"/>
  <c r="AH638" i="28"/>
  <c r="AH705" i="28"/>
  <c r="AH632" i="28"/>
  <c r="AK709" i="28"/>
  <c r="AH713" i="28"/>
  <c r="AS638" i="28" l="1"/>
  <c r="B281" i="28"/>
  <c r="B282" i="28" s="1"/>
  <c r="B287" i="28" s="1"/>
  <c r="B288" i="28" s="1"/>
  <c r="B289" i="28" s="1"/>
  <c r="B290" i="28" s="1"/>
  <c r="B291" i="28" s="1"/>
  <c r="B292" i="28" s="1"/>
  <c r="B293" i="28" s="1"/>
  <c r="B294" i="28" s="1"/>
  <c r="B295" i="28" s="1"/>
  <c r="B296" i="28" s="1"/>
  <c r="B297" i="28" s="1"/>
  <c r="B298" i="28" s="1"/>
  <c r="B299" i="28" s="1"/>
  <c r="B300" i="28" s="1"/>
  <c r="B301" i="28" s="1"/>
  <c r="B283" i="28" s="1"/>
  <c r="B284" i="28" s="1"/>
  <c r="B285" i="28" s="1"/>
  <c r="B286"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280" i="28"/>
  <c r="AK638" i="28"/>
  <c r="AK621" i="28"/>
  <c r="AS632" i="28"/>
  <c r="AS707" i="28"/>
  <c r="AS631" i="28"/>
  <c r="AS693" i="28"/>
  <c r="AK674" i="28"/>
  <c r="AK675" i="28"/>
  <c r="AK679" i="28"/>
  <c r="AS705" i="28"/>
  <c r="AS644" i="28"/>
  <c r="AS649" i="28"/>
  <c r="AS708" i="28"/>
  <c r="AH635" i="28"/>
  <c r="AH669" i="28"/>
  <c r="AH724" i="28"/>
  <c r="AS687" i="28"/>
  <c r="AS713" i="28"/>
  <c r="AS669" i="28"/>
  <c r="AS635" i="28"/>
  <c r="AS691" i="28"/>
  <c r="AS679" i="28"/>
  <c r="AH645" i="28"/>
  <c r="AH691" i="28"/>
  <c r="AS675" i="28"/>
  <c r="AS674" i="28"/>
  <c r="AS645" i="28"/>
  <c r="AS724" i="28"/>
  <c r="AS690" i="28"/>
  <c r="AH649" i="28"/>
  <c r="AS677" i="28"/>
  <c r="AS709" i="28"/>
  <c r="AH674" i="28"/>
  <c r="AH677" i="28"/>
  <c r="AH687" i="28"/>
  <c r="AH709" i="28"/>
  <c r="AO629" i="28"/>
  <c r="AL629" i="28"/>
  <c r="AF629" i="28"/>
  <c r="AR629" i="28"/>
  <c r="AI629" i="28"/>
  <c r="AG729" i="28"/>
  <c r="B370" i="28" l="1"/>
  <c r="B371" i="28" s="1"/>
  <c r="AH629" i="28"/>
  <c r="AQ629" i="28"/>
  <c r="AR729" i="28"/>
  <c r="AS629" i="28"/>
  <c r="AE629" i="28"/>
  <c r="AF729" i="28"/>
  <c r="AK629" i="28"/>
  <c r="AL729" i="28"/>
  <c r="AN629" i="28"/>
  <c r="AO729" i="28"/>
  <c r="AE729" i="28" l="1"/>
  <c r="F30" i="23"/>
  <c r="AN729" i="28"/>
  <c r="T11" i="28"/>
  <c r="AQ729" i="28"/>
  <c r="K30" i="23"/>
  <c r="AK729" i="28"/>
  <c r="I30" i="23"/>
  <c r="CO28" i="14"/>
  <c r="AC28" i="14"/>
  <c r="Z28" i="14"/>
  <c r="W28" i="14"/>
  <c r="T28" i="14"/>
  <c r="Q28" i="14"/>
  <c r="N28" i="14"/>
  <c r="L28" i="14"/>
  <c r="CT28" i="14" s="1"/>
  <c r="K28" i="14"/>
  <c r="G28" i="14"/>
  <c r="B28" i="7" s="1"/>
  <c r="H123" i="23" l="1"/>
  <c r="Z11" i="28"/>
  <c r="AI11" i="28"/>
  <c r="CK28" i="14"/>
  <c r="AR28" i="14"/>
  <c r="D28" i="7"/>
  <c r="S28" i="7" s="1"/>
  <c r="C21" i="33"/>
  <c r="C20" i="33"/>
  <c r="C19" i="33"/>
  <c r="C18" i="33"/>
  <c r="H151" i="15"/>
  <c r="G151" i="15"/>
  <c r="H109" i="15"/>
  <c r="AI626" i="28" l="1"/>
  <c r="AS11" i="28"/>
  <c r="T12" i="28" s="1"/>
  <c r="AH11" i="28"/>
  <c r="N146" i="14"/>
  <c r="N147" i="14"/>
  <c r="N148" i="14"/>
  <c r="N150" i="14"/>
  <c r="N151" i="14"/>
  <c r="N152" i="14"/>
  <c r="N153" i="14"/>
  <c r="N154" i="14"/>
  <c r="N144" i="14"/>
  <c r="AH626" i="28" l="1"/>
  <c r="AS626" i="28"/>
  <c r="AR127" i="43"/>
  <c r="AP127" i="43"/>
  <c r="AO127" i="43"/>
  <c r="AM127" i="43"/>
  <c r="AJ127" i="43"/>
  <c r="AI127" i="43"/>
  <c r="AG127" i="43"/>
  <c r="AF127" i="43"/>
  <c r="AD127" i="43"/>
  <c r="AR126" i="43"/>
  <c r="AP126" i="43"/>
  <c r="AO126" i="43"/>
  <c r="AM126" i="43"/>
  <c r="AJ126" i="43"/>
  <c r="AI126" i="43"/>
  <c r="AG126" i="43"/>
  <c r="AF126" i="43"/>
  <c r="AD126" i="43"/>
  <c r="AR125" i="43"/>
  <c r="AP125" i="43"/>
  <c r="AO125" i="43"/>
  <c r="AM125" i="43"/>
  <c r="AJ125" i="43"/>
  <c r="AI125" i="43"/>
  <c r="AG125" i="43"/>
  <c r="AF125" i="43"/>
  <c r="AD125" i="43"/>
  <c r="AR124" i="43"/>
  <c r="AP124" i="43"/>
  <c r="AO124" i="43"/>
  <c r="AM124" i="43"/>
  <c r="AJ124" i="43"/>
  <c r="AI124" i="43"/>
  <c r="AG124" i="43"/>
  <c r="AF124" i="43"/>
  <c r="AD124" i="43"/>
  <c r="AR123" i="43"/>
  <c r="AP123" i="43"/>
  <c r="AO123" i="43"/>
  <c r="AM123" i="43"/>
  <c r="AL123" i="43"/>
  <c r="AJ123" i="43"/>
  <c r="AI123" i="43"/>
  <c r="AG123" i="43"/>
  <c r="AF123" i="43"/>
  <c r="AD123" i="43"/>
  <c r="AR122" i="43"/>
  <c r="AP122" i="43"/>
  <c r="AO122" i="43"/>
  <c r="AM122" i="43"/>
  <c r="AL122" i="43"/>
  <c r="AJ122" i="43"/>
  <c r="AI122" i="43"/>
  <c r="AG122" i="43"/>
  <c r="AF122" i="43"/>
  <c r="AD122" i="43"/>
  <c r="AR121" i="43"/>
  <c r="AP121" i="43"/>
  <c r="AO121" i="43"/>
  <c r="AM121" i="43"/>
  <c r="AL121" i="43"/>
  <c r="AJ121" i="43"/>
  <c r="AI121" i="43"/>
  <c r="AG121" i="43"/>
  <c r="AF121" i="43"/>
  <c r="AD121" i="43"/>
  <c r="AR120" i="43"/>
  <c r="AP120" i="43"/>
  <c r="AO120" i="43"/>
  <c r="AM120" i="43"/>
  <c r="AL120" i="43"/>
  <c r="AJ120" i="43"/>
  <c r="AI120" i="43"/>
  <c r="AG120" i="43"/>
  <c r="AF120" i="43"/>
  <c r="AD120" i="43"/>
  <c r="AR119" i="43"/>
  <c r="AP119" i="43"/>
  <c r="AO119" i="43"/>
  <c r="AM119" i="43"/>
  <c r="AL119" i="43"/>
  <c r="AJ119" i="43"/>
  <c r="AI119" i="43"/>
  <c r="AG119" i="43"/>
  <c r="AF119" i="43"/>
  <c r="AD119" i="43"/>
  <c r="AR118" i="43"/>
  <c r="AP118" i="43"/>
  <c r="AO118" i="43"/>
  <c r="AM118" i="43"/>
  <c r="AL118" i="43"/>
  <c r="AJ118" i="43"/>
  <c r="AI118" i="43"/>
  <c r="AG118" i="43"/>
  <c r="AF118" i="43"/>
  <c r="AD118" i="43"/>
  <c r="AR117" i="43"/>
  <c r="AP117" i="43"/>
  <c r="AO117" i="43"/>
  <c r="AM117" i="43"/>
  <c r="AJ117" i="43"/>
  <c r="AG117" i="43"/>
  <c r="AD117" i="43"/>
  <c r="AR116" i="43"/>
  <c r="AP116" i="43"/>
  <c r="AO116" i="43"/>
  <c r="AM116" i="43"/>
  <c r="AJ116" i="43"/>
  <c r="AG116" i="43"/>
  <c r="AD116" i="43"/>
  <c r="AR115" i="43"/>
  <c r="AP115" i="43"/>
  <c r="AO115" i="43"/>
  <c r="AM115" i="43"/>
  <c r="AJ115" i="43"/>
  <c r="AG115" i="43"/>
  <c r="AD115" i="43"/>
  <c r="AR114" i="43"/>
  <c r="AP114" i="43"/>
  <c r="AO114" i="43"/>
  <c r="AM114" i="43"/>
  <c r="AJ114" i="43"/>
  <c r="AG114" i="43"/>
  <c r="AD114" i="43"/>
  <c r="AR113" i="43"/>
  <c r="AP113" i="43"/>
  <c r="AO113" i="43"/>
  <c r="AM113" i="43"/>
  <c r="AJ113" i="43"/>
  <c r="AG113" i="43"/>
  <c r="AD113" i="43"/>
  <c r="AR112" i="43"/>
  <c r="AP112" i="43"/>
  <c r="AO112" i="43"/>
  <c r="AM112" i="43"/>
  <c r="AJ112" i="43"/>
  <c r="AG112" i="43"/>
  <c r="AD112" i="43"/>
  <c r="AR111" i="43"/>
  <c r="AP111" i="43"/>
  <c r="AO111" i="43"/>
  <c r="AM111" i="43"/>
  <c r="AJ111" i="43"/>
  <c r="AG111" i="43"/>
  <c r="AD111" i="43"/>
  <c r="AR110" i="43"/>
  <c r="AP110" i="43"/>
  <c r="AO110" i="43"/>
  <c r="AM110" i="43"/>
  <c r="AJ110" i="43"/>
  <c r="AG110" i="43"/>
  <c r="AD110" i="43"/>
  <c r="AR109" i="43"/>
  <c r="AP109" i="43"/>
  <c r="AO109" i="43"/>
  <c r="AM109" i="43"/>
  <c r="AJ109" i="43"/>
  <c r="AG109" i="43"/>
  <c r="AD109" i="43"/>
  <c r="AR108" i="43"/>
  <c r="AP108" i="43"/>
  <c r="AO108" i="43"/>
  <c r="AM108" i="43"/>
  <c r="AJ108" i="43"/>
  <c r="AG108" i="43"/>
  <c r="AD108" i="43"/>
  <c r="AR107" i="43"/>
  <c r="AP107" i="43"/>
  <c r="AO107" i="43"/>
  <c r="AM107" i="43"/>
  <c r="AJ107" i="43"/>
  <c r="AG107" i="43"/>
  <c r="AD107" i="43"/>
  <c r="AR106" i="43"/>
  <c r="AP106" i="43"/>
  <c r="AO106" i="43"/>
  <c r="AM106" i="43"/>
  <c r="AJ106" i="43"/>
  <c r="AG106" i="43"/>
  <c r="AD106" i="43"/>
  <c r="AR105" i="43"/>
  <c r="AP105" i="43"/>
  <c r="AO105" i="43"/>
  <c r="AM105" i="43"/>
  <c r="AJ105" i="43"/>
  <c r="AG105" i="43"/>
  <c r="AD105" i="43"/>
  <c r="AR104" i="43"/>
  <c r="AP104" i="43"/>
  <c r="AO104" i="43"/>
  <c r="AM104" i="43"/>
  <c r="AJ104" i="43"/>
  <c r="AG104" i="43"/>
  <c r="AD104" i="43"/>
  <c r="AR103" i="43"/>
  <c r="AP103" i="43"/>
  <c r="AO103" i="43"/>
  <c r="AM103" i="43"/>
  <c r="AJ103" i="43"/>
  <c r="AG103" i="43"/>
  <c r="AD103" i="43"/>
  <c r="AR102" i="43"/>
  <c r="AP102" i="43"/>
  <c r="AO102" i="43"/>
  <c r="AM102" i="43"/>
  <c r="AJ102" i="43"/>
  <c r="AG102" i="43"/>
  <c r="AD102" i="43"/>
  <c r="AR101" i="43"/>
  <c r="AP101" i="43"/>
  <c r="AO101" i="43"/>
  <c r="AM101" i="43"/>
  <c r="AJ101" i="43"/>
  <c r="AG101" i="43"/>
  <c r="AD101" i="43"/>
  <c r="AR100" i="43"/>
  <c r="AP100" i="43"/>
  <c r="AO100" i="43"/>
  <c r="AM100" i="43"/>
  <c r="AJ100" i="43"/>
  <c r="AG100" i="43"/>
  <c r="AD100" i="43"/>
  <c r="AR99" i="43"/>
  <c r="AP99" i="43"/>
  <c r="AO99" i="43"/>
  <c r="AM99" i="43"/>
  <c r="AJ99" i="43"/>
  <c r="AG99" i="43"/>
  <c r="AD99" i="43"/>
  <c r="AR98" i="43"/>
  <c r="AP98" i="43"/>
  <c r="AO98" i="43"/>
  <c r="AM98" i="43"/>
  <c r="AJ98" i="43"/>
  <c r="AI98" i="43"/>
  <c r="AG98" i="43"/>
  <c r="AF98" i="43"/>
  <c r="AD98" i="43"/>
  <c r="AR97" i="43"/>
  <c r="AP97" i="43"/>
  <c r="AO97" i="43"/>
  <c r="AM97" i="43"/>
  <c r="AJ97" i="43"/>
  <c r="AI97" i="43"/>
  <c r="AG97" i="43"/>
  <c r="AF97" i="43"/>
  <c r="AD97" i="43"/>
  <c r="AR96" i="43"/>
  <c r="AP96" i="43"/>
  <c r="AO96" i="43"/>
  <c r="AM96" i="43"/>
  <c r="AJ96" i="43"/>
  <c r="AG96" i="43"/>
  <c r="AD96" i="43"/>
  <c r="AR95" i="43"/>
  <c r="AP95" i="43"/>
  <c r="AO95" i="43"/>
  <c r="AM95" i="43"/>
  <c r="AJ95" i="43"/>
  <c r="AG95" i="43"/>
  <c r="AD95" i="43"/>
  <c r="AR94" i="43"/>
  <c r="AP94" i="43"/>
  <c r="AO94" i="43"/>
  <c r="AM94" i="43"/>
  <c r="AJ94" i="43"/>
  <c r="AG94" i="43"/>
  <c r="AD94" i="43"/>
  <c r="AR92" i="43"/>
  <c r="AP92" i="43"/>
  <c r="AM92" i="43"/>
  <c r="AJ92" i="43"/>
  <c r="AG92" i="43"/>
  <c r="AD92" i="43"/>
  <c r="AR91" i="43"/>
  <c r="AP91" i="43"/>
  <c r="AM91" i="43"/>
  <c r="AJ91" i="43"/>
  <c r="AG91" i="43"/>
  <c r="AD91" i="43"/>
  <c r="AR90" i="43"/>
  <c r="AP90" i="43"/>
  <c r="AM90" i="43"/>
  <c r="AJ90" i="43"/>
  <c r="AG90" i="43"/>
  <c r="AD90" i="43"/>
  <c r="AR89" i="43"/>
  <c r="AP89" i="43"/>
  <c r="AM89" i="43"/>
  <c r="AJ89" i="43"/>
  <c r="AI89" i="43"/>
  <c r="AG89" i="43"/>
  <c r="AF89" i="43"/>
  <c r="AD89" i="43"/>
  <c r="AR88" i="43"/>
  <c r="AP88" i="43"/>
  <c r="AM88" i="43"/>
  <c r="AJ88" i="43"/>
  <c r="AG88" i="43"/>
  <c r="AD88" i="43"/>
  <c r="AR87" i="43"/>
  <c r="AP87" i="43"/>
  <c r="AM87" i="43"/>
  <c r="AJ87" i="43"/>
  <c r="AG87" i="43"/>
  <c r="AD87" i="43"/>
  <c r="AR86" i="43"/>
  <c r="AP86" i="43"/>
  <c r="AM86" i="43"/>
  <c r="AJ86" i="43"/>
  <c r="AG86" i="43"/>
  <c r="AD86" i="43"/>
  <c r="AR85" i="43"/>
  <c r="AP85" i="43"/>
  <c r="AM85" i="43"/>
  <c r="AJ85" i="43"/>
  <c r="AI85" i="43"/>
  <c r="AG85" i="43"/>
  <c r="AF85" i="43"/>
  <c r="AD85" i="43"/>
  <c r="AR84" i="43"/>
  <c r="AP84" i="43"/>
  <c r="AM84" i="43"/>
  <c r="AJ84" i="43"/>
  <c r="AG84" i="43"/>
  <c r="AD84" i="43"/>
  <c r="AE118" i="43" l="1"/>
  <c r="AH126" i="43"/>
  <c r="AN127" i="43"/>
  <c r="AH119" i="43"/>
  <c r="AN116" i="43"/>
  <c r="AE85" i="43"/>
  <c r="AQ87" i="43"/>
  <c r="AE89" i="43"/>
  <c r="AH122" i="43"/>
  <c r="AE98" i="43"/>
  <c r="AH125" i="43"/>
  <c r="AQ95" i="43"/>
  <c r="AQ91" i="43"/>
  <c r="AQ113" i="43"/>
  <c r="AQ100" i="43"/>
  <c r="AQ99" i="43"/>
  <c r="AQ96" i="43"/>
  <c r="AQ117" i="43"/>
  <c r="AH89" i="43"/>
  <c r="AK122" i="43"/>
  <c r="AN126" i="43"/>
  <c r="AH124" i="43"/>
  <c r="AN112" i="43"/>
  <c r="AH121" i="43"/>
  <c r="AE127" i="43"/>
  <c r="AQ84" i="43"/>
  <c r="AH118" i="43"/>
  <c r="AN118" i="43"/>
  <c r="AE119" i="43"/>
  <c r="AH120" i="43"/>
  <c r="AN120" i="43"/>
  <c r="AE121" i="43"/>
  <c r="AK121" i="43"/>
  <c r="AQ94" i="43"/>
  <c r="AN104" i="43"/>
  <c r="AQ109" i="43"/>
  <c r="AH123" i="43"/>
  <c r="AQ105" i="43"/>
  <c r="AN122" i="43"/>
  <c r="AE123" i="43"/>
  <c r="AK123" i="43"/>
  <c r="AN124" i="43"/>
  <c r="AE125" i="43"/>
  <c r="AQ89" i="43"/>
  <c r="AQ90" i="43"/>
  <c r="AQ92" i="43"/>
  <c r="AE97" i="43"/>
  <c r="AN102" i="43"/>
  <c r="AN106" i="43"/>
  <c r="AK118" i="43"/>
  <c r="AN119" i="43"/>
  <c r="AE120" i="43"/>
  <c r="AQ85" i="43"/>
  <c r="AQ86" i="43"/>
  <c r="AQ88" i="43"/>
  <c r="AH97" i="43"/>
  <c r="AN105" i="43"/>
  <c r="AQ112" i="43"/>
  <c r="AN114" i="43"/>
  <c r="AQ115" i="43"/>
  <c r="AN117" i="43"/>
  <c r="AK120" i="43"/>
  <c r="AN121" i="43"/>
  <c r="AE122" i="43"/>
  <c r="AN125" i="43"/>
  <c r="AE126" i="43"/>
  <c r="AH127" i="43"/>
  <c r="AN113" i="43"/>
  <c r="AK119" i="43"/>
  <c r="AN123" i="43"/>
  <c r="AE124" i="43"/>
  <c r="AH85" i="43"/>
  <c r="AQ97" i="43"/>
  <c r="AQ98" i="43"/>
  <c r="AH98" i="43"/>
  <c r="AQ101" i="43"/>
  <c r="AN101" i="43"/>
  <c r="AQ114" i="43"/>
  <c r="AS118" i="43"/>
  <c r="AS120" i="43"/>
  <c r="AS122" i="43"/>
  <c r="AS119" i="43"/>
  <c r="AS121" i="43"/>
  <c r="AS123" i="43"/>
  <c r="AN94" i="43"/>
  <c r="AN95" i="43"/>
  <c r="AN96" i="43"/>
  <c r="AN97" i="43"/>
  <c r="AN98" i="43"/>
  <c r="AN99" i="43"/>
  <c r="AN100" i="43"/>
  <c r="AN103" i="43"/>
  <c r="AN107" i="43"/>
  <c r="AQ102" i="43"/>
  <c r="AQ106" i="43"/>
  <c r="AQ103" i="43"/>
  <c r="AQ107" i="43"/>
  <c r="AQ108" i="43"/>
  <c r="AQ111" i="43"/>
  <c r="AQ104" i="43"/>
  <c r="AQ110" i="43"/>
  <c r="AN108" i="43"/>
  <c r="AN109" i="43"/>
  <c r="AN110" i="43"/>
  <c r="AN111" i="43"/>
  <c r="AQ116" i="43"/>
  <c r="AN115" i="43"/>
  <c r="AQ118" i="43"/>
  <c r="AQ119" i="43"/>
  <c r="AQ120" i="43"/>
  <c r="AQ121" i="43"/>
  <c r="AQ122" i="43"/>
  <c r="AQ123" i="43"/>
  <c r="AQ124" i="43"/>
  <c r="AQ125" i="43"/>
  <c r="AQ126" i="43"/>
  <c r="AQ127" i="43"/>
  <c r="AO554" i="42"/>
  <c r="AL554" i="42"/>
  <c r="AI554" i="42"/>
  <c r="V553" i="42"/>
  <c r="Y553" i="42" s="1"/>
  <c r="V552" i="42"/>
  <c r="U552" i="42"/>
  <c r="C550" i="42"/>
  <c r="AC550" i="42" s="1"/>
  <c r="C548" i="42"/>
  <c r="AC548" i="42" s="1"/>
  <c r="C545" i="42"/>
  <c r="AC545" i="42" s="1"/>
  <c r="C544" i="42"/>
  <c r="AC544" i="42" s="1"/>
  <c r="V543" i="42"/>
  <c r="S543" i="42"/>
  <c r="U543" i="42" s="1"/>
  <c r="V542" i="42"/>
  <c r="S542" i="42"/>
  <c r="U542" i="42" s="1"/>
  <c r="C542" i="42"/>
  <c r="AC542" i="42" s="1"/>
  <c r="V541" i="42"/>
  <c r="S541" i="42"/>
  <c r="V540" i="42"/>
  <c r="S540" i="42"/>
  <c r="U540" i="42" s="1"/>
  <c r="C540" i="42"/>
  <c r="AC540" i="42" s="1"/>
  <c r="V539" i="42"/>
  <c r="V535" i="42" s="1"/>
  <c r="S539" i="42"/>
  <c r="U539" i="42" s="1"/>
  <c r="V538" i="42"/>
  <c r="S538" i="42"/>
  <c r="U538" i="42" s="1"/>
  <c r="V537" i="42"/>
  <c r="S537" i="42"/>
  <c r="V536" i="42"/>
  <c r="S536" i="42"/>
  <c r="C536" i="42"/>
  <c r="AC536" i="42" s="1"/>
  <c r="S535" i="42"/>
  <c r="U535" i="42" s="1"/>
  <c r="U534" i="42"/>
  <c r="Y534" i="42" s="1"/>
  <c r="C534" i="42"/>
  <c r="C533" i="42"/>
  <c r="AL533" i="42" s="1"/>
  <c r="U531" i="42"/>
  <c r="Y531" i="42" s="1"/>
  <c r="U530" i="42"/>
  <c r="U529" i="42"/>
  <c r="Y529" i="42" s="1"/>
  <c r="Y528" i="42"/>
  <c r="U528" i="42"/>
  <c r="J528" i="42"/>
  <c r="V527" i="42"/>
  <c r="S527" i="42"/>
  <c r="U527" i="42" s="1"/>
  <c r="J527" i="42"/>
  <c r="V526" i="42"/>
  <c r="T526" i="42"/>
  <c r="T544" i="42" s="1"/>
  <c r="S526" i="42"/>
  <c r="U525" i="42"/>
  <c r="Y525" i="42" s="1"/>
  <c r="C525" i="42"/>
  <c r="AO525" i="42" s="1"/>
  <c r="U524" i="42"/>
  <c r="Y524" i="42" s="1"/>
  <c r="C524" i="42"/>
  <c r="AO524" i="42" s="1"/>
  <c r="U523" i="42"/>
  <c r="S523" i="42"/>
  <c r="C523" i="42"/>
  <c r="AO523" i="42" s="1"/>
  <c r="S522" i="42"/>
  <c r="U522" i="42" s="1"/>
  <c r="C522" i="42"/>
  <c r="AI522" i="42" s="1"/>
  <c r="H512" i="42"/>
  <c r="H511" i="42"/>
  <c r="H504" i="42"/>
  <c r="H503" i="42"/>
  <c r="H496" i="42"/>
  <c r="H495" i="42"/>
  <c r="H488" i="42"/>
  <c r="H487" i="42"/>
  <c r="H480" i="42"/>
  <c r="H479" i="42"/>
  <c r="H472" i="42"/>
  <c r="H471" i="42"/>
  <c r="H464" i="42"/>
  <c r="H463" i="42"/>
  <c r="H456" i="42"/>
  <c r="H455" i="42"/>
  <c r="R448" i="42"/>
  <c r="H448" i="42"/>
  <c r="H447" i="42"/>
  <c r="H440" i="42"/>
  <c r="H439" i="42"/>
  <c r="H432" i="42"/>
  <c r="H431" i="42"/>
  <c r="H424" i="42"/>
  <c r="H423" i="42"/>
  <c r="H416" i="42"/>
  <c r="H415" i="42"/>
  <c r="H408" i="42"/>
  <c r="H407" i="42"/>
  <c r="H400" i="42"/>
  <c r="H399" i="42"/>
  <c r="H392" i="42"/>
  <c r="H391" i="42"/>
  <c r="H384" i="42"/>
  <c r="H383" i="42"/>
  <c r="H376" i="42"/>
  <c r="H375" i="42"/>
  <c r="H368" i="42"/>
  <c r="H367" i="42"/>
  <c r="H360" i="42"/>
  <c r="H359" i="42"/>
  <c r="H352" i="42"/>
  <c r="H351" i="42"/>
  <c r="H344" i="42"/>
  <c r="H343" i="42"/>
  <c r="H336" i="42"/>
  <c r="H335" i="42"/>
  <c r="H328" i="42"/>
  <c r="H327" i="42"/>
  <c r="H320" i="42"/>
  <c r="H319" i="42"/>
  <c r="H312" i="42"/>
  <c r="H311" i="42"/>
  <c r="H304" i="42"/>
  <c r="H303" i="42"/>
  <c r="H296" i="42"/>
  <c r="H295" i="42"/>
  <c r="H288" i="42"/>
  <c r="H287" i="42"/>
  <c r="H280" i="42"/>
  <c r="H279" i="42"/>
  <c r="R272" i="42"/>
  <c r="H272" i="42"/>
  <c r="H271" i="42"/>
  <c r="H264" i="42"/>
  <c r="H263" i="42"/>
  <c r="R256" i="42"/>
  <c r="H256" i="42"/>
  <c r="H255" i="42"/>
  <c r="H248" i="42"/>
  <c r="H247" i="42"/>
  <c r="R240" i="42"/>
  <c r="H240" i="42"/>
  <c r="H239" i="42"/>
  <c r="H232" i="42"/>
  <c r="H231" i="42"/>
  <c r="R224" i="42"/>
  <c r="H224" i="42"/>
  <c r="H223" i="42"/>
  <c r="H216" i="42"/>
  <c r="H215" i="42"/>
  <c r="R208" i="42"/>
  <c r="H208" i="42"/>
  <c r="H207" i="42"/>
  <c r="H200" i="42"/>
  <c r="H199" i="42"/>
  <c r="R192" i="42"/>
  <c r="H192" i="42"/>
  <c r="H191" i="42"/>
  <c r="H184" i="42"/>
  <c r="H183" i="42"/>
  <c r="H176" i="42"/>
  <c r="H175" i="42"/>
  <c r="H168" i="42"/>
  <c r="H167" i="42"/>
  <c r="H160" i="42"/>
  <c r="H159" i="42"/>
  <c r="H152" i="42"/>
  <c r="H151" i="42"/>
  <c r="H144" i="42"/>
  <c r="H143" i="42"/>
  <c r="H136" i="42"/>
  <c r="H135" i="42"/>
  <c r="H128" i="42"/>
  <c r="H127" i="42"/>
  <c r="H120" i="42"/>
  <c r="H119" i="42"/>
  <c r="H112" i="42"/>
  <c r="H111" i="42"/>
  <c r="H104" i="42"/>
  <c r="H103" i="42"/>
  <c r="H96" i="42"/>
  <c r="H95" i="42"/>
  <c r="H88" i="42"/>
  <c r="H87" i="42"/>
  <c r="A15" i="42"/>
  <c r="A23" i="42" s="1"/>
  <c r="A31" i="42" s="1"/>
  <c r="A39" i="42" s="1"/>
  <c r="A47" i="42" s="1"/>
  <c r="A55" i="42" s="1"/>
  <c r="A63" i="42" s="1"/>
  <c r="A71" i="42" s="1"/>
  <c r="A79" i="42" s="1"/>
  <c r="A87" i="42" s="1"/>
  <c r="A95" i="42" s="1"/>
  <c r="A103" i="42" s="1"/>
  <c r="A111" i="42" s="1"/>
  <c r="A119" i="42" s="1"/>
  <c r="A127" i="42" s="1"/>
  <c r="A135" i="42" s="1"/>
  <c r="A143" i="42" s="1"/>
  <c r="A151" i="42" s="1"/>
  <c r="A159" i="42" s="1"/>
  <c r="A167" i="42" s="1"/>
  <c r="A175" i="42" s="1"/>
  <c r="A183" i="42" s="1"/>
  <c r="A191" i="42" s="1"/>
  <c r="A199" i="42" s="1"/>
  <c r="A207" i="42" s="1"/>
  <c r="A215" i="42" s="1"/>
  <c r="A223" i="42" s="1"/>
  <c r="A231" i="42" s="1"/>
  <c r="A239" i="42" s="1"/>
  <c r="A247" i="42" s="1"/>
  <c r="A255" i="42" s="1"/>
  <c r="A263" i="42" s="1"/>
  <c r="A271" i="42" s="1"/>
  <c r="A279" i="42" s="1"/>
  <c r="A287" i="42" s="1"/>
  <c r="A295" i="42" s="1"/>
  <c r="A303" i="42" s="1"/>
  <c r="A311" i="42" s="1"/>
  <c r="A319" i="42" s="1"/>
  <c r="A327" i="42" s="1"/>
  <c r="A335" i="42" s="1"/>
  <c r="A343" i="42" s="1"/>
  <c r="A351" i="42" s="1"/>
  <c r="A359" i="42" s="1"/>
  <c r="A367" i="42" s="1"/>
  <c r="A375" i="42" s="1"/>
  <c r="A383" i="42" s="1"/>
  <c r="A391" i="42" s="1"/>
  <c r="A399" i="42" s="1"/>
  <c r="A407" i="42" s="1"/>
  <c r="A415" i="42" s="1"/>
  <c r="A423" i="42" s="1"/>
  <c r="A431" i="42" s="1"/>
  <c r="A439" i="42" s="1"/>
  <c r="A447" i="42" s="1"/>
  <c r="A455" i="42" s="1"/>
  <c r="A463" i="42" s="1"/>
  <c r="A471" i="42" s="1"/>
  <c r="A479" i="42" s="1"/>
  <c r="A487" i="42" s="1"/>
  <c r="A495" i="42" s="1"/>
  <c r="A503" i="42" s="1"/>
  <c r="A511" i="42" s="1"/>
  <c r="L11" i="42"/>
  <c r="L10" i="42"/>
  <c r="T8" i="42"/>
  <c r="R8" i="42" s="1"/>
  <c r="H8" i="42"/>
  <c r="H7" i="42"/>
  <c r="H78" i="42" l="1"/>
  <c r="T81" i="42" s="1"/>
  <c r="T82" i="42" s="1"/>
  <c r="H70" i="42"/>
  <c r="T73" i="42" s="1"/>
  <c r="T74" i="42" s="1"/>
  <c r="H62" i="42"/>
  <c r="T65" i="42" s="1"/>
  <c r="T66" i="42" s="1"/>
  <c r="H54" i="42"/>
  <c r="T57" i="42" s="1"/>
  <c r="T58" i="42" s="1"/>
  <c r="H46" i="42"/>
  <c r="T49" i="42" s="1"/>
  <c r="T50" i="42" s="1"/>
  <c r="H30" i="42"/>
  <c r="C543" i="42"/>
  <c r="AC543" i="42" s="1"/>
  <c r="H14" i="42"/>
  <c r="H22" i="42"/>
  <c r="C537" i="42"/>
  <c r="AC537" i="42" s="1"/>
  <c r="R376" i="42"/>
  <c r="AO550" i="42"/>
  <c r="AO544" i="42"/>
  <c r="AO545" i="42"/>
  <c r="AO548" i="42"/>
  <c r="H278" i="42"/>
  <c r="T281" i="42" s="1"/>
  <c r="T282" i="42" s="1"/>
  <c r="R407" i="42"/>
  <c r="Q406" i="42" s="1"/>
  <c r="R199" i="42"/>
  <c r="G202" i="42" s="1"/>
  <c r="H202" i="42" s="1"/>
  <c r="R351" i="42"/>
  <c r="G354" i="42" s="1"/>
  <c r="H354" i="42" s="1"/>
  <c r="H198" i="42"/>
  <c r="T201" i="42" s="1"/>
  <c r="T202" i="42" s="1"/>
  <c r="H230" i="42"/>
  <c r="T233" i="42" s="1"/>
  <c r="T234" i="42" s="1"/>
  <c r="H246" i="42"/>
  <c r="T249" i="42" s="1"/>
  <c r="T250" i="42" s="1"/>
  <c r="H406" i="42"/>
  <c r="T409" i="42" s="1"/>
  <c r="T410" i="42" s="1"/>
  <c r="H342" i="42"/>
  <c r="T345" i="42" s="1"/>
  <c r="T346" i="42" s="1"/>
  <c r="H438" i="42"/>
  <c r="T441" i="42" s="1"/>
  <c r="T442" i="42" s="1"/>
  <c r="H486" i="42"/>
  <c r="T489" i="42" s="1"/>
  <c r="T490" i="42" s="1"/>
  <c r="H214" i="42"/>
  <c r="T217" i="42" s="1"/>
  <c r="T218" i="42" s="1"/>
  <c r="H262" i="42"/>
  <c r="T265" i="42" s="1"/>
  <c r="T266" i="42" s="1"/>
  <c r="R335" i="42"/>
  <c r="Q334" i="42" s="1"/>
  <c r="H374" i="42"/>
  <c r="T377" i="42" s="1"/>
  <c r="T378" i="42" s="1"/>
  <c r="H510" i="42"/>
  <c r="T513" i="42" s="1"/>
  <c r="T514" i="42" s="1"/>
  <c r="R423" i="42"/>
  <c r="Q422" i="42" s="1"/>
  <c r="H422" i="42"/>
  <c r="T425" i="42" s="1"/>
  <c r="T426" i="42" s="1"/>
  <c r="H470" i="42"/>
  <c r="T473" i="42" s="1"/>
  <c r="T474" i="42" s="1"/>
  <c r="R143" i="42"/>
  <c r="Q142" i="42" s="1"/>
  <c r="R383" i="42"/>
  <c r="Q382" i="42" s="1"/>
  <c r="H398" i="42"/>
  <c r="T401" i="42" s="1"/>
  <c r="T402" i="42" s="1"/>
  <c r="H414" i="42"/>
  <c r="T417" i="42" s="1"/>
  <c r="T418" i="42" s="1"/>
  <c r="H494" i="42"/>
  <c r="T497" i="42" s="1"/>
  <c r="T498" i="42" s="1"/>
  <c r="H150" i="42"/>
  <c r="T153" i="42" s="1"/>
  <c r="T154" i="42" s="1"/>
  <c r="H174" i="42"/>
  <c r="T177" i="42" s="1"/>
  <c r="T178" i="42" s="1"/>
  <c r="H310" i="42"/>
  <c r="T313" i="42" s="1"/>
  <c r="T314" i="42" s="1"/>
  <c r="R352" i="42"/>
  <c r="R415" i="42"/>
  <c r="G417" i="42" s="1"/>
  <c r="H417" i="42" s="1"/>
  <c r="R431" i="42"/>
  <c r="G434" i="42" s="1"/>
  <c r="H434" i="42" s="1"/>
  <c r="Y552" i="42"/>
  <c r="R119" i="42"/>
  <c r="G122" i="42" s="1"/>
  <c r="H122" i="42" s="1"/>
  <c r="R151" i="42"/>
  <c r="G154" i="42" s="1"/>
  <c r="H154" i="42" s="1"/>
  <c r="H294" i="42"/>
  <c r="T297" i="42" s="1"/>
  <c r="T298" i="42" s="1"/>
  <c r="R327" i="42"/>
  <c r="Q326" i="42" s="1"/>
  <c r="H462" i="42"/>
  <c r="T465" i="42" s="1"/>
  <c r="T466" i="42" s="1"/>
  <c r="R479" i="42"/>
  <c r="Q478" i="42" s="1"/>
  <c r="Y523" i="42"/>
  <c r="AI536" i="42"/>
  <c r="H110" i="42"/>
  <c r="T113" i="42" s="1"/>
  <c r="T114" i="42" s="1"/>
  <c r="H142" i="42"/>
  <c r="T145" i="42" s="1"/>
  <c r="T146" i="42" s="1"/>
  <c r="R343" i="42"/>
  <c r="Q342" i="42" s="1"/>
  <c r="H366" i="42"/>
  <c r="T369" i="42" s="1"/>
  <c r="T370" i="42" s="1"/>
  <c r="R392" i="42"/>
  <c r="R408" i="42"/>
  <c r="R439" i="42"/>
  <c r="Q438" i="42" s="1"/>
  <c r="H454" i="42"/>
  <c r="T457" i="42" s="1"/>
  <c r="T458" i="42" s="1"/>
  <c r="R135" i="42"/>
  <c r="Q134" i="42" s="1"/>
  <c r="AL542" i="42"/>
  <c r="M12" i="42"/>
  <c r="M6" i="42" s="1"/>
  <c r="H94" i="42"/>
  <c r="T97" i="42" s="1"/>
  <c r="T98" i="42" s="1"/>
  <c r="R175" i="42"/>
  <c r="Q174" i="42" s="1"/>
  <c r="H390" i="42"/>
  <c r="T393" i="42" s="1"/>
  <c r="T394" i="42" s="1"/>
  <c r="H478" i="42"/>
  <c r="T481" i="42" s="1"/>
  <c r="T482" i="42" s="1"/>
  <c r="H502" i="42"/>
  <c r="T505" i="42" s="1"/>
  <c r="T506" i="42" s="1"/>
  <c r="AO533" i="42"/>
  <c r="U536" i="42"/>
  <c r="AO542" i="42"/>
  <c r="R159" i="42"/>
  <c r="Q158" i="42" s="1"/>
  <c r="H166" i="42"/>
  <c r="T169" i="42" s="1"/>
  <c r="T170" i="42" s="1"/>
  <c r="R319" i="42"/>
  <c r="Q318" i="42" s="1"/>
  <c r="R320" i="42"/>
  <c r="R375" i="42"/>
  <c r="Q374" i="42" s="1"/>
  <c r="H118" i="42"/>
  <c r="T121" i="42" s="1"/>
  <c r="T122" i="42" s="1"/>
  <c r="C528" i="42"/>
  <c r="H102" i="42"/>
  <c r="T105" i="42" s="1"/>
  <c r="T106" i="42" s="1"/>
  <c r="H158" i="42"/>
  <c r="T161" i="42" s="1"/>
  <c r="T162" i="42" s="1"/>
  <c r="R215" i="42"/>
  <c r="G218" i="42" s="1"/>
  <c r="H218" i="42" s="1"/>
  <c r="H382" i="42"/>
  <c r="T385" i="42" s="1"/>
  <c r="T386" i="42" s="1"/>
  <c r="T550" i="42"/>
  <c r="R303" i="42"/>
  <c r="Q302" i="42" s="1"/>
  <c r="H430" i="42"/>
  <c r="T433" i="42" s="1"/>
  <c r="T434" i="42" s="1"/>
  <c r="R127" i="42"/>
  <c r="Q126" i="42" s="1"/>
  <c r="H126" i="42"/>
  <c r="T129" i="42" s="1"/>
  <c r="T130" i="42" s="1"/>
  <c r="H326" i="42"/>
  <c r="T329" i="42" s="1"/>
  <c r="T330" i="42" s="1"/>
  <c r="AI533" i="42"/>
  <c r="T547" i="42"/>
  <c r="R111" i="42"/>
  <c r="Q110" i="42" s="1"/>
  <c r="R167" i="42"/>
  <c r="Q166" i="42" s="1"/>
  <c r="R231" i="42"/>
  <c r="G234" i="42" s="1"/>
  <c r="H234" i="42" s="1"/>
  <c r="R336" i="42"/>
  <c r="H358" i="42"/>
  <c r="T361" i="42" s="1"/>
  <c r="T362" i="42" s="1"/>
  <c r="R368" i="42"/>
  <c r="T548" i="42"/>
  <c r="H286" i="42"/>
  <c r="T289" i="42" s="1"/>
  <c r="T290" i="42" s="1"/>
  <c r="T546" i="42"/>
  <c r="T551" i="42"/>
  <c r="H134" i="42"/>
  <c r="T137" i="42" s="1"/>
  <c r="T138" i="42" s="1"/>
  <c r="AL536" i="42"/>
  <c r="AL540" i="42"/>
  <c r="Y542" i="42"/>
  <c r="AO536" i="42"/>
  <c r="AO540" i="42"/>
  <c r="AT554" i="42"/>
  <c r="AI524" i="42"/>
  <c r="AI523" i="42"/>
  <c r="AL523" i="42"/>
  <c r="AL524" i="42"/>
  <c r="AO522" i="42"/>
  <c r="R15" i="42"/>
  <c r="Q14" i="42" s="1"/>
  <c r="R31" i="42"/>
  <c r="Q30" i="42" s="1"/>
  <c r="R47" i="42"/>
  <c r="Q46" i="42" s="1"/>
  <c r="R63" i="42"/>
  <c r="Q62" i="42" s="1"/>
  <c r="R79" i="42"/>
  <c r="Q78" i="42" s="1"/>
  <c r="R95" i="42"/>
  <c r="Q94" i="42" s="1"/>
  <c r="R183" i="42"/>
  <c r="Q182" i="42" s="1"/>
  <c r="R184" i="42"/>
  <c r="H254" i="42"/>
  <c r="T257" i="42" s="1"/>
  <c r="T258" i="42" s="1"/>
  <c r="R271" i="42"/>
  <c r="Q270" i="42" s="1"/>
  <c r="C527" i="42"/>
  <c r="R16" i="42"/>
  <c r="R32" i="42"/>
  <c r="R48" i="42"/>
  <c r="R64" i="42"/>
  <c r="R80" i="42"/>
  <c r="H86" i="42"/>
  <c r="T89" i="42" s="1"/>
  <c r="T90" i="42" s="1"/>
  <c r="R96" i="42"/>
  <c r="R112" i="42"/>
  <c r="R128" i="42"/>
  <c r="R144" i="42"/>
  <c r="R160" i="42"/>
  <c r="R176" i="42"/>
  <c r="H182" i="42"/>
  <c r="T185" i="42" s="1"/>
  <c r="T186" i="42" s="1"/>
  <c r="R200" i="42"/>
  <c r="R216" i="42"/>
  <c r="R232" i="42"/>
  <c r="R248" i="42"/>
  <c r="H270" i="42"/>
  <c r="T273" i="42" s="1"/>
  <c r="T274" i="42" s="1"/>
  <c r="R287" i="42"/>
  <c r="Q286" i="42" s="1"/>
  <c r="H302" i="42"/>
  <c r="T305" i="42" s="1"/>
  <c r="T306" i="42" s="1"/>
  <c r="H350" i="42"/>
  <c r="T353" i="42" s="1"/>
  <c r="T354" i="42" s="1"/>
  <c r="R23" i="42"/>
  <c r="Q22" i="42" s="1"/>
  <c r="R55" i="42"/>
  <c r="Q54" i="42" s="1"/>
  <c r="R87" i="42"/>
  <c r="Q86" i="42" s="1"/>
  <c r="R120" i="42"/>
  <c r="R136" i="42"/>
  <c r="R152" i="42"/>
  <c r="R168" i="42"/>
  <c r="R191" i="42"/>
  <c r="Q190" i="42" s="1"/>
  <c r="R207" i="42"/>
  <c r="Q206" i="42" s="1"/>
  <c r="R223" i="42"/>
  <c r="Q222" i="42" s="1"/>
  <c r="R239" i="42"/>
  <c r="Q238" i="42" s="1"/>
  <c r="R264" i="42"/>
  <c r="H334" i="42"/>
  <c r="T337" i="42" s="1"/>
  <c r="T338" i="42" s="1"/>
  <c r="R39" i="42"/>
  <c r="Q38" i="42" s="1"/>
  <c r="R71" i="42"/>
  <c r="Q70" i="42" s="1"/>
  <c r="R103" i="42"/>
  <c r="Q102" i="42" s="1"/>
  <c r="R24" i="42"/>
  <c r="R40" i="42"/>
  <c r="R56" i="42"/>
  <c r="R72" i="42"/>
  <c r="R88" i="42"/>
  <c r="R104" i="42"/>
  <c r="H190" i="42"/>
  <c r="T193" i="42" s="1"/>
  <c r="T194" i="42" s="1"/>
  <c r="H206" i="42"/>
  <c r="T209" i="42" s="1"/>
  <c r="T210" i="42" s="1"/>
  <c r="H222" i="42"/>
  <c r="T225" i="42" s="1"/>
  <c r="T226" i="42" s="1"/>
  <c r="H238" i="42"/>
  <c r="T241" i="42" s="1"/>
  <c r="T242" i="42" s="1"/>
  <c r="R255" i="42"/>
  <c r="Q254" i="42" s="1"/>
  <c r="R280" i="42"/>
  <c r="H318" i="42"/>
  <c r="T321" i="42" s="1"/>
  <c r="T322" i="42" s="1"/>
  <c r="R367" i="42"/>
  <c r="Q366" i="42" s="1"/>
  <c r="R432" i="42"/>
  <c r="R247" i="42"/>
  <c r="R263" i="42"/>
  <c r="G265" i="42" s="1"/>
  <c r="H265" i="42" s="1"/>
  <c r="R279" i="42"/>
  <c r="G281" i="42" s="1"/>
  <c r="H281" i="42" s="1"/>
  <c r="R288" i="42"/>
  <c r="R295" i="42"/>
  <c r="G297" i="42" s="1"/>
  <c r="H297" i="42" s="1"/>
  <c r="R304" i="42"/>
  <c r="R311" i="42"/>
  <c r="R463" i="42"/>
  <c r="Q462" i="42" s="1"/>
  <c r="R296" i="42"/>
  <c r="R312" i="42"/>
  <c r="R328" i="42"/>
  <c r="R344" i="42"/>
  <c r="R360" i="42"/>
  <c r="R400" i="42"/>
  <c r="R416" i="42"/>
  <c r="R455" i="42"/>
  <c r="Q454" i="42" s="1"/>
  <c r="S550" i="42"/>
  <c r="U550" i="42" s="1"/>
  <c r="AL550" i="42" s="1"/>
  <c r="S547" i="42"/>
  <c r="U547" i="42" s="1"/>
  <c r="U526" i="42"/>
  <c r="S546" i="42"/>
  <c r="S549" i="42"/>
  <c r="S551" i="42"/>
  <c r="Y526" i="42"/>
  <c r="S545" i="42"/>
  <c r="S544" i="42"/>
  <c r="U544" i="42" s="1"/>
  <c r="AL544" i="42" s="1"/>
  <c r="S548" i="42"/>
  <c r="R391" i="42"/>
  <c r="Q390" i="42" s="1"/>
  <c r="R440" i="42"/>
  <c r="H446" i="42"/>
  <c r="T449" i="42" s="1"/>
  <c r="T450" i="42" s="1"/>
  <c r="R424" i="42"/>
  <c r="R464" i="42"/>
  <c r="R480" i="42"/>
  <c r="Y530" i="42"/>
  <c r="R359" i="42"/>
  <c r="G362" i="42" s="1"/>
  <c r="H362" i="42" s="1"/>
  <c r="R384" i="42"/>
  <c r="R471" i="42"/>
  <c r="Q470" i="42" s="1"/>
  <c r="R487" i="42"/>
  <c r="Q486" i="42" s="1"/>
  <c r="U541" i="42"/>
  <c r="R447" i="42"/>
  <c r="Q446" i="42" s="1"/>
  <c r="R456" i="42"/>
  <c r="R503" i="42"/>
  <c r="Q502" i="42" s="1"/>
  <c r="R399" i="42"/>
  <c r="R472" i="42"/>
  <c r="R488" i="42"/>
  <c r="R504" i="42"/>
  <c r="AL522" i="42"/>
  <c r="Y522" i="42"/>
  <c r="U548" i="42"/>
  <c r="AL548" i="42" s="1"/>
  <c r="AI525" i="42"/>
  <c r="U537" i="42"/>
  <c r="Y537" i="42"/>
  <c r="Y538" i="42"/>
  <c r="R495" i="42"/>
  <c r="G498" i="42" s="1"/>
  <c r="H498" i="42" s="1"/>
  <c r="R496" i="42"/>
  <c r="R511" i="42"/>
  <c r="G514" i="42" s="1"/>
  <c r="H514" i="42" s="1"/>
  <c r="R512" i="42"/>
  <c r="AL525" i="42"/>
  <c r="Y540" i="42"/>
  <c r="AI540" i="42"/>
  <c r="Y527" i="42"/>
  <c r="Y536" i="42"/>
  <c r="Y535" i="42"/>
  <c r="Y539" i="42"/>
  <c r="AI542" i="42"/>
  <c r="Y543" i="42"/>
  <c r="T545" i="42"/>
  <c r="T549" i="42"/>
  <c r="T33" i="42" l="1"/>
  <c r="T34" i="42" s="1"/>
  <c r="T25" i="42"/>
  <c r="T26" i="42" s="1"/>
  <c r="T17" i="42"/>
  <c r="T18" i="42" s="1"/>
  <c r="G425" i="42"/>
  <c r="H425" i="42" s="1"/>
  <c r="G409" i="42"/>
  <c r="H409" i="42" s="1"/>
  <c r="G162" i="42"/>
  <c r="H162" i="42" s="1"/>
  <c r="G482" i="42"/>
  <c r="H482" i="42" s="1"/>
  <c r="Q430" i="42"/>
  <c r="G433" i="42"/>
  <c r="H433" i="42" s="1"/>
  <c r="G426" i="42"/>
  <c r="H426" i="42" s="1"/>
  <c r="G418" i="42"/>
  <c r="H418" i="42" s="1"/>
  <c r="G410" i="42"/>
  <c r="H410" i="42" s="1"/>
  <c r="G386" i="42"/>
  <c r="H386" i="42" s="1"/>
  <c r="G377" i="42"/>
  <c r="H377" i="42" s="1"/>
  <c r="G378" i="42"/>
  <c r="H378" i="42" s="1"/>
  <c r="Q350" i="42"/>
  <c r="G353" i="42"/>
  <c r="H353" i="42" s="1"/>
  <c r="G337" i="42"/>
  <c r="H337" i="42" s="1"/>
  <c r="G338" i="42"/>
  <c r="H338" i="42" s="1"/>
  <c r="G330" i="42"/>
  <c r="H330" i="42" s="1"/>
  <c r="Q198" i="42"/>
  <c r="G201" i="42"/>
  <c r="H201" i="42" s="1"/>
  <c r="G177" i="42"/>
  <c r="H177" i="42" s="1"/>
  <c r="G146" i="42"/>
  <c r="H146" i="42" s="1"/>
  <c r="G145" i="42"/>
  <c r="H145" i="42" s="1"/>
  <c r="C541" i="42"/>
  <c r="AC541" i="42" s="1"/>
  <c r="AI528" i="42"/>
  <c r="T248" i="24" s="1"/>
  <c r="AC528" i="42"/>
  <c r="J248" i="24" s="1"/>
  <c r="AI527" i="42"/>
  <c r="T247" i="24" s="1"/>
  <c r="AC527" i="42"/>
  <c r="J247" i="24" s="1"/>
  <c r="M11" i="42"/>
  <c r="M10" i="42" s="1"/>
  <c r="M9" i="42" s="1"/>
  <c r="M8" i="42" s="1"/>
  <c r="AL537" i="42"/>
  <c r="AO537" i="42"/>
  <c r="AI537" i="42"/>
  <c r="AI543" i="42"/>
  <c r="C551" i="42"/>
  <c r="AC551" i="42" s="1"/>
  <c r="AO543" i="42"/>
  <c r="AL543" i="42"/>
  <c r="Q118" i="42"/>
  <c r="G121" i="42"/>
  <c r="H121" i="42" s="1"/>
  <c r="Q414" i="42"/>
  <c r="G329" i="42"/>
  <c r="H329" i="42" s="1"/>
  <c r="AT542" i="42"/>
  <c r="AO527" i="42"/>
  <c r="W247" i="24" s="1"/>
  <c r="AL528" i="42"/>
  <c r="V248" i="24" s="1"/>
  <c r="AL248" i="24" s="1"/>
  <c r="AK248" i="24" s="1"/>
  <c r="G441" i="42"/>
  <c r="H441" i="42" s="1"/>
  <c r="AL527" i="42"/>
  <c r="V247" i="24" s="1"/>
  <c r="G346" i="42"/>
  <c r="H346" i="42" s="1"/>
  <c r="G385" i="42"/>
  <c r="H385" i="42" s="1"/>
  <c r="AO528" i="42"/>
  <c r="W248" i="24" s="1"/>
  <c r="AO248" i="24" s="1"/>
  <c r="G178" i="42"/>
  <c r="H178" i="42" s="1"/>
  <c r="AT533" i="42"/>
  <c r="G233" i="42"/>
  <c r="H233" i="42" s="1"/>
  <c r="G114" i="42"/>
  <c r="H114" i="42" s="1"/>
  <c r="G161" i="42"/>
  <c r="H161" i="42" s="1"/>
  <c r="Q150" i="42"/>
  <c r="G138" i="42"/>
  <c r="H138" i="42" s="1"/>
  <c r="G153" i="42"/>
  <c r="H153" i="42" s="1"/>
  <c r="G442" i="42"/>
  <c r="H442" i="42" s="1"/>
  <c r="G322" i="42"/>
  <c r="H322" i="42" s="1"/>
  <c r="G306" i="42"/>
  <c r="H306" i="42" s="1"/>
  <c r="G137" i="42"/>
  <c r="H137" i="42" s="1"/>
  <c r="G321" i="42"/>
  <c r="H321" i="42" s="1"/>
  <c r="G305" i="42"/>
  <c r="H305" i="42" s="1"/>
  <c r="G481" i="42"/>
  <c r="H481" i="42" s="1"/>
  <c r="G345" i="42"/>
  <c r="H345" i="42" s="1"/>
  <c r="G209" i="42"/>
  <c r="H209" i="42" s="1"/>
  <c r="AT522" i="42"/>
  <c r="AT524" i="42"/>
  <c r="U545" i="42"/>
  <c r="AL545" i="42" s="1"/>
  <c r="G169" i="42"/>
  <c r="H169" i="42" s="1"/>
  <c r="G258" i="42"/>
  <c r="H258" i="42" s="1"/>
  <c r="G394" i="42"/>
  <c r="H394" i="42" s="1"/>
  <c r="G194" i="42"/>
  <c r="H194" i="42" s="1"/>
  <c r="U551" i="42"/>
  <c r="AT536" i="42"/>
  <c r="U549" i="42"/>
  <c r="G450" i="42"/>
  <c r="H450" i="42" s="1"/>
  <c r="G18" i="42"/>
  <c r="H18" i="42" s="1"/>
  <c r="G186" i="42"/>
  <c r="H186" i="42" s="1"/>
  <c r="G290" i="42"/>
  <c r="H290" i="42" s="1"/>
  <c r="G65" i="42"/>
  <c r="H65" i="42" s="1"/>
  <c r="G393" i="42"/>
  <c r="H393" i="42" s="1"/>
  <c r="G465" i="42"/>
  <c r="H465" i="42" s="1"/>
  <c r="G370" i="42"/>
  <c r="H370" i="42" s="1"/>
  <c r="G217" i="42"/>
  <c r="H217" i="42" s="1"/>
  <c r="G242" i="42"/>
  <c r="H242" i="42" s="1"/>
  <c r="Q214" i="42"/>
  <c r="G466" i="42"/>
  <c r="H466" i="42" s="1"/>
  <c r="G369" i="42"/>
  <c r="H369" i="42" s="1"/>
  <c r="AT523" i="42"/>
  <c r="AT540" i="42"/>
  <c r="G474" i="42"/>
  <c r="H474" i="42" s="1"/>
  <c r="Q230" i="42"/>
  <c r="G113" i="42"/>
  <c r="H113" i="42" s="1"/>
  <c r="G210" i="42"/>
  <c r="H210" i="42" s="1"/>
  <c r="G130" i="42"/>
  <c r="H130" i="42" s="1"/>
  <c r="G185" i="42"/>
  <c r="H185" i="42" s="1"/>
  <c r="G170" i="42"/>
  <c r="H170" i="42" s="1"/>
  <c r="G473" i="42"/>
  <c r="H473" i="42" s="1"/>
  <c r="G129" i="42"/>
  <c r="H129" i="42" s="1"/>
  <c r="Q246" i="42"/>
  <c r="G250" i="42"/>
  <c r="H250" i="42" s="1"/>
  <c r="Y548" i="42"/>
  <c r="AI548" i="42"/>
  <c r="AT548" i="42" s="1"/>
  <c r="G457" i="42"/>
  <c r="H457" i="42" s="1"/>
  <c r="Q310" i="42"/>
  <c r="G314" i="42"/>
  <c r="H314" i="42" s="1"/>
  <c r="G313" i="42"/>
  <c r="H313" i="42" s="1"/>
  <c r="G225" i="42"/>
  <c r="H225" i="42" s="1"/>
  <c r="G273" i="42"/>
  <c r="H273" i="42" s="1"/>
  <c r="G98" i="42"/>
  <c r="H98" i="42" s="1"/>
  <c r="G66" i="42"/>
  <c r="H66" i="42" s="1"/>
  <c r="G34" i="42"/>
  <c r="H34" i="42" s="1"/>
  <c r="G58" i="42"/>
  <c r="H58" i="42" s="1"/>
  <c r="G106" i="42"/>
  <c r="H106" i="42" s="1"/>
  <c r="G49" i="42"/>
  <c r="H49" i="42" s="1"/>
  <c r="G401" i="42"/>
  <c r="H401" i="42" s="1"/>
  <c r="Q398" i="42"/>
  <c r="G506" i="42"/>
  <c r="H506" i="42" s="1"/>
  <c r="Y541" i="42"/>
  <c r="G490" i="42"/>
  <c r="H490" i="42" s="1"/>
  <c r="G402" i="42"/>
  <c r="H402" i="42" s="1"/>
  <c r="U546" i="42"/>
  <c r="Y544" i="42"/>
  <c r="AI544" i="42"/>
  <c r="AT544" i="42" s="1"/>
  <c r="Y549" i="42"/>
  <c r="Y547" i="42"/>
  <c r="G458" i="42"/>
  <c r="H458" i="42" s="1"/>
  <c r="Q278" i="42"/>
  <c r="G282" i="42"/>
  <c r="H282" i="42" s="1"/>
  <c r="G257" i="42"/>
  <c r="H257" i="42" s="1"/>
  <c r="G193" i="42"/>
  <c r="H193" i="42" s="1"/>
  <c r="G241" i="42"/>
  <c r="H241" i="42" s="1"/>
  <c r="G26" i="42"/>
  <c r="H26" i="42" s="1"/>
  <c r="G90" i="42"/>
  <c r="H90" i="42" s="1"/>
  <c r="G42" i="42"/>
  <c r="H42" i="42" s="1"/>
  <c r="G97" i="42"/>
  <c r="H97" i="42" s="1"/>
  <c r="G33" i="42"/>
  <c r="H33" i="42" s="1"/>
  <c r="Q510" i="42"/>
  <c r="G513" i="42"/>
  <c r="H513" i="42" s="1"/>
  <c r="Q494" i="42"/>
  <c r="G497" i="42"/>
  <c r="H497" i="42" s="1"/>
  <c r="AT525" i="42"/>
  <c r="G505" i="42"/>
  <c r="H505" i="42" s="1"/>
  <c r="G489" i="42"/>
  <c r="H489" i="42" s="1"/>
  <c r="G361" i="42"/>
  <c r="H361" i="42" s="1"/>
  <c r="Q358" i="42"/>
  <c r="G449" i="42"/>
  <c r="H449" i="42" s="1"/>
  <c r="AI545" i="42"/>
  <c r="AI550" i="42"/>
  <c r="AT550" i="42" s="1"/>
  <c r="Y550" i="42"/>
  <c r="Q294" i="42"/>
  <c r="G298" i="42"/>
  <c r="H298" i="42" s="1"/>
  <c r="Q262" i="42"/>
  <c r="G266" i="42"/>
  <c r="H266" i="42" s="1"/>
  <c r="G249" i="42"/>
  <c r="H249" i="42" s="1"/>
  <c r="G226" i="42"/>
  <c r="H226" i="42" s="1"/>
  <c r="G289" i="42"/>
  <c r="H289" i="42" s="1"/>
  <c r="G105" i="42"/>
  <c r="H105" i="42" s="1"/>
  <c r="G89" i="42"/>
  <c r="H89" i="42" s="1"/>
  <c r="G73" i="42"/>
  <c r="H73" i="42" s="1"/>
  <c r="G57" i="42"/>
  <c r="H57" i="42" s="1"/>
  <c r="G41" i="42"/>
  <c r="H41" i="42" s="1"/>
  <c r="G25" i="42"/>
  <c r="H25" i="42" s="1"/>
  <c r="G274" i="42"/>
  <c r="H274" i="42" s="1"/>
  <c r="G82" i="42"/>
  <c r="H82" i="42" s="1"/>
  <c r="G50" i="42"/>
  <c r="H50" i="42" s="1"/>
  <c r="G74" i="42"/>
  <c r="H74" i="42" s="1"/>
  <c r="G81" i="42"/>
  <c r="H81" i="42" s="1"/>
  <c r="G17" i="42"/>
  <c r="H17" i="42" s="1"/>
  <c r="AO541" i="42" l="1"/>
  <c r="AL541" i="42"/>
  <c r="AI541" i="42"/>
  <c r="Y545" i="42"/>
  <c r="AN248" i="24"/>
  <c r="Z248" i="24"/>
  <c r="AI248" i="24"/>
  <c r="AH248" i="24" s="1"/>
  <c r="AT537" i="42"/>
  <c r="AT543" i="42"/>
  <c r="AL551" i="42"/>
  <c r="AO551" i="42"/>
  <c r="AI551" i="42"/>
  <c r="M7" i="42"/>
  <c r="L6" i="42"/>
  <c r="C546" i="42" s="1"/>
  <c r="AC546" i="42" s="1"/>
  <c r="AT528" i="42"/>
  <c r="AT527" i="42"/>
  <c r="AT545" i="42"/>
  <c r="Y551" i="42"/>
  <c r="Y546" i="42"/>
  <c r="AT541" i="42" l="1"/>
  <c r="AS248" i="24"/>
  <c r="AT551" i="42"/>
  <c r="AL546" i="42"/>
  <c r="C538" i="42"/>
  <c r="AC538" i="42" s="1"/>
  <c r="L7" i="42"/>
  <c r="C539" i="42" s="1"/>
  <c r="AC539" i="42" s="1"/>
  <c r="AO546" i="42"/>
  <c r="AI546" i="42"/>
  <c r="AI538" i="42" l="1"/>
  <c r="J250" i="24"/>
  <c r="AL538" i="42"/>
  <c r="AO538" i="42"/>
  <c r="AO539" i="42"/>
  <c r="AL539" i="42"/>
  <c r="AI539" i="42"/>
  <c r="C535" i="42"/>
  <c r="R7" i="42"/>
  <c r="AT546" i="42"/>
  <c r="AT538" i="42" l="1"/>
  <c r="AT539" i="42"/>
  <c r="G9" i="42"/>
  <c r="H9" i="42" s="1"/>
  <c r="C529" i="42" s="1"/>
  <c r="Q6" i="42"/>
  <c r="C531" i="42" s="1"/>
  <c r="G10" i="42"/>
  <c r="H10" i="42" s="1"/>
  <c r="C530" i="42" s="1"/>
  <c r="C532" i="42"/>
  <c r="AO535" i="42"/>
  <c r="AI535" i="42"/>
  <c r="AL535" i="42"/>
  <c r="G181" i="14"/>
  <c r="K181" i="14"/>
  <c r="L181" i="14"/>
  <c r="CT181" i="14" s="1"/>
  <c r="CO181" i="14"/>
  <c r="D100" i="1"/>
  <c r="D7" i="36" s="1"/>
  <c r="D99" i="1"/>
  <c r="D106" i="1" s="1"/>
  <c r="G98" i="1"/>
  <c r="G99" i="1" s="1"/>
  <c r="G106" i="1" s="1"/>
  <c r="CO183" i="14"/>
  <c r="BF183" i="14"/>
  <c r="N183" i="14" s="1"/>
  <c r="L183" i="14"/>
  <c r="CT183" i="14" s="1"/>
  <c r="K183" i="14"/>
  <c r="G183" i="14"/>
  <c r="G182" i="14"/>
  <c r="G184" i="14"/>
  <c r="K184" i="14"/>
  <c r="L184" i="14"/>
  <c r="CT184" i="14" s="1"/>
  <c r="Q184" i="14"/>
  <c r="T184" i="14"/>
  <c r="W184" i="14"/>
  <c r="Z184" i="14"/>
  <c r="AC184" i="14"/>
  <c r="CO184" i="14"/>
  <c r="AT185" i="14"/>
  <c r="AW185" i="14"/>
  <c r="BD185" i="14"/>
  <c r="CO185" i="14"/>
  <c r="AR184" i="14" l="1"/>
  <c r="AI530" i="42"/>
  <c r="AO530" i="42"/>
  <c r="AL530" i="42"/>
  <c r="AT535" i="42"/>
  <c r="AO531" i="42"/>
  <c r="AI531" i="42"/>
  <c r="AL531" i="42"/>
  <c r="AI529" i="42"/>
  <c r="AO529" i="42"/>
  <c r="AL529" i="42"/>
  <c r="AI532" i="42"/>
  <c r="AO532" i="42"/>
  <c r="AL532" i="42"/>
  <c r="G100" i="1"/>
  <c r="P7" i="36" s="1"/>
  <c r="J98" i="1"/>
  <c r="BI183" i="14"/>
  <c r="Q183" i="14" s="1"/>
  <c r="AT531" i="42" l="1"/>
  <c r="AT530" i="42"/>
  <c r="AT532" i="42"/>
  <c r="AT529" i="42"/>
  <c r="M98" i="1"/>
  <c r="J99" i="1"/>
  <c r="J106" i="1" s="1"/>
  <c r="J100" i="1"/>
  <c r="AB7" i="36" s="1"/>
  <c r="BL183" i="14"/>
  <c r="T183" i="14" s="1"/>
  <c r="M100" i="1" l="1"/>
  <c r="AN7" i="36" s="1"/>
  <c r="M99" i="1"/>
  <c r="M106" i="1" s="1"/>
  <c r="P98" i="1"/>
  <c r="BO183" i="14"/>
  <c r="W183" i="14" s="1"/>
  <c r="S98" i="1" l="1"/>
  <c r="V98" i="1" s="1"/>
  <c r="P100" i="1"/>
  <c r="AZ7" i="36" s="1"/>
  <c r="P99" i="1"/>
  <c r="P106" i="1" s="1"/>
  <c r="BR183" i="14"/>
  <c r="V99" i="1" l="1"/>
  <c r="V106" i="1" s="1"/>
  <c r="Y98" i="1"/>
  <c r="V100" i="1"/>
  <c r="V53" i="1"/>
  <c r="Z183" i="14"/>
  <c r="BU183" i="14"/>
  <c r="BX183" i="14" s="1"/>
  <c r="S99" i="1"/>
  <c r="S106" i="1" s="1"/>
  <c r="S100" i="1"/>
  <c r="BL7" i="36" l="1"/>
  <c r="Z18" i="8"/>
  <c r="AC9" i="14"/>
  <c r="DK9" i="14" s="1"/>
  <c r="BX7" i="36"/>
  <c r="K2" i="11"/>
  <c r="K15" i="11" s="1"/>
  <c r="K23" i="11" s="1"/>
  <c r="AB19" i="2"/>
  <c r="Y5" i="10"/>
  <c r="Y31" i="10" s="1"/>
  <c r="AC18" i="8"/>
  <c r="AF9" i="14"/>
  <c r="L2" i="20"/>
  <c r="V65" i="1"/>
  <c r="V90" i="1"/>
  <c r="Y99" i="1"/>
  <c r="Y106" i="1" s="1"/>
  <c r="AB98" i="1"/>
  <c r="Y100" i="1"/>
  <c r="Y53" i="1"/>
  <c r="CA183" i="14"/>
  <c r="AF183" i="14"/>
  <c r="AC183" i="14"/>
  <c r="Y65" i="1" l="1"/>
  <c r="CJ7" i="36"/>
  <c r="L2" i="11"/>
  <c r="L15" i="11" s="1"/>
  <c r="L23" i="11" s="1"/>
  <c r="AE19" i="2"/>
  <c r="AB5" i="10"/>
  <c r="AB31" i="10" s="1"/>
  <c r="AF18" i="8"/>
  <c r="AI9" i="14"/>
  <c r="M2" i="20"/>
  <c r="Y90" i="1"/>
  <c r="AB99" i="1"/>
  <c r="AB106" i="1" s="1"/>
  <c r="AB100" i="1"/>
  <c r="AE98" i="1"/>
  <c r="AB53" i="1"/>
  <c r="AI7" i="33"/>
  <c r="BS7" i="33" s="1"/>
  <c r="K3" i="50"/>
  <c r="AH7" i="23"/>
  <c r="M3" i="21"/>
  <c r="AF213" i="14"/>
  <c r="DN9" i="14"/>
  <c r="BX9" i="14"/>
  <c r="AF301" i="14"/>
  <c r="AI183" i="14"/>
  <c r="CD183" i="14"/>
  <c r="O117" i="43"/>
  <c r="S117" i="43"/>
  <c r="O116" i="43"/>
  <c r="S116" i="43"/>
  <c r="O115" i="43"/>
  <c r="S115" i="43"/>
  <c r="O114" i="43"/>
  <c r="AF114" i="43" s="1"/>
  <c r="AE114" i="43" s="1"/>
  <c r="S114" i="43"/>
  <c r="O113" i="43"/>
  <c r="S113" i="43"/>
  <c r="O112" i="43"/>
  <c r="S112" i="43"/>
  <c r="G138" i="43"/>
  <c r="G139" i="43"/>
  <c r="G140" i="43"/>
  <c r="G141" i="43"/>
  <c r="BD15" i="14"/>
  <c r="L15" i="14" s="1"/>
  <c r="CT15" i="14" s="1"/>
  <c r="CO15" i="14"/>
  <c r="Z15" i="14"/>
  <c r="W15" i="14"/>
  <c r="T15" i="14"/>
  <c r="Q15" i="14"/>
  <c r="N15" i="14"/>
  <c r="K15" i="14"/>
  <c r="AC15" i="14"/>
  <c r="I15" i="14"/>
  <c r="G15" i="14"/>
  <c r="B15" i="7" s="1"/>
  <c r="AM9" i="43"/>
  <c r="AM10" i="43"/>
  <c r="AM11" i="43"/>
  <c r="AM12" i="43"/>
  <c r="AM13" i="43"/>
  <c r="AM14" i="43"/>
  <c r="AM15" i="43"/>
  <c r="AM16" i="43"/>
  <c r="AM17" i="43"/>
  <c r="AM18" i="43"/>
  <c r="AM19" i="43"/>
  <c r="AM20" i="43"/>
  <c r="AM21" i="43"/>
  <c r="AM22" i="43"/>
  <c r="AM23" i="43"/>
  <c r="AM24" i="43"/>
  <c r="AM25" i="43"/>
  <c r="AM26" i="43"/>
  <c r="AM27" i="43"/>
  <c r="AM28" i="43"/>
  <c r="AM29" i="43"/>
  <c r="AM30" i="43"/>
  <c r="AM31" i="43"/>
  <c r="AM32" i="43"/>
  <c r="AM33" i="43"/>
  <c r="AM34" i="43"/>
  <c r="AM35" i="43"/>
  <c r="AM36" i="43"/>
  <c r="AM37" i="43"/>
  <c r="AM38" i="43"/>
  <c r="AM39" i="43"/>
  <c r="AM40" i="43"/>
  <c r="AM41" i="43"/>
  <c r="AM42" i="43"/>
  <c r="AM43" i="43"/>
  <c r="AM44" i="43"/>
  <c r="AM45" i="43"/>
  <c r="AM46" i="43"/>
  <c r="AM47" i="43"/>
  <c r="AM48" i="43"/>
  <c r="AM49" i="43"/>
  <c r="AM50" i="43"/>
  <c r="AM51" i="43"/>
  <c r="AM52" i="43"/>
  <c r="AM53" i="43"/>
  <c r="AM54" i="43"/>
  <c r="AM55" i="43"/>
  <c r="AM56" i="43"/>
  <c r="AM57" i="43"/>
  <c r="AM58" i="43"/>
  <c r="AM59" i="43"/>
  <c r="AM60" i="43"/>
  <c r="AM61" i="43"/>
  <c r="AM62" i="43"/>
  <c r="AM63" i="43"/>
  <c r="AM64" i="43"/>
  <c r="AM65" i="43"/>
  <c r="AM66" i="43"/>
  <c r="AM67" i="43"/>
  <c r="AM68" i="43"/>
  <c r="AM69" i="43"/>
  <c r="AM70" i="43"/>
  <c r="AM71" i="43"/>
  <c r="AM72" i="43"/>
  <c r="AM73" i="43"/>
  <c r="AM74" i="43"/>
  <c r="AM75" i="43"/>
  <c r="AM76" i="43"/>
  <c r="AM77" i="43"/>
  <c r="AM78" i="43"/>
  <c r="AM79" i="43"/>
  <c r="AM80" i="43"/>
  <c r="AM81" i="43"/>
  <c r="AM82" i="43"/>
  <c r="AM83" i="43"/>
  <c r="AM128" i="43"/>
  <c r="AO9" i="43"/>
  <c r="AO10" i="43"/>
  <c r="AO11" i="43"/>
  <c r="AO12" i="43"/>
  <c r="AO13" i="43"/>
  <c r="AO14" i="43"/>
  <c r="AO15" i="43"/>
  <c r="AO16" i="43"/>
  <c r="AO17" i="43"/>
  <c r="AO18" i="43"/>
  <c r="AO19" i="43"/>
  <c r="AO20" i="43"/>
  <c r="AO21" i="43"/>
  <c r="AO22" i="43"/>
  <c r="AO23" i="43"/>
  <c r="AO24" i="43"/>
  <c r="AO25" i="43"/>
  <c r="AO26" i="43"/>
  <c r="AO27" i="43"/>
  <c r="AO28" i="43"/>
  <c r="AO29" i="43"/>
  <c r="AO30" i="43"/>
  <c r="AO31" i="43"/>
  <c r="AO32" i="43"/>
  <c r="AO33" i="43"/>
  <c r="AO34" i="43"/>
  <c r="AO35" i="43"/>
  <c r="AO36" i="43"/>
  <c r="AO37" i="43"/>
  <c r="AO38" i="43"/>
  <c r="AO39" i="43"/>
  <c r="AO40" i="43"/>
  <c r="AO41" i="43"/>
  <c r="AO42" i="43"/>
  <c r="AO43" i="43"/>
  <c r="AO44" i="43"/>
  <c r="AO45" i="43"/>
  <c r="AO46" i="43"/>
  <c r="AO47" i="43"/>
  <c r="AO48" i="43"/>
  <c r="AO49" i="43"/>
  <c r="AO50" i="43"/>
  <c r="AO51" i="43"/>
  <c r="AO52" i="43"/>
  <c r="AO53" i="43"/>
  <c r="AO54" i="43"/>
  <c r="AO55" i="43"/>
  <c r="AO56" i="43"/>
  <c r="AO57" i="43"/>
  <c r="AO58" i="43"/>
  <c r="AO59" i="43"/>
  <c r="AO60" i="43"/>
  <c r="AO61" i="43"/>
  <c r="AO62" i="43"/>
  <c r="AO63" i="43"/>
  <c r="AO64" i="43"/>
  <c r="AO65" i="43"/>
  <c r="AO66" i="43"/>
  <c r="AO67" i="43"/>
  <c r="AO68" i="43"/>
  <c r="AO69" i="43"/>
  <c r="AO70" i="43"/>
  <c r="AO71" i="43"/>
  <c r="AO72" i="43"/>
  <c r="AO73" i="43"/>
  <c r="AO74" i="43"/>
  <c r="AO75" i="43"/>
  <c r="AO76" i="43"/>
  <c r="AO77" i="43"/>
  <c r="AO78" i="43"/>
  <c r="AO79" i="43"/>
  <c r="AO80" i="43"/>
  <c r="AO81" i="43"/>
  <c r="AO82" i="43"/>
  <c r="AO83" i="43"/>
  <c r="Y3" i="43"/>
  <c r="W89" i="43" s="1"/>
  <c r="AO89" i="43" s="1"/>
  <c r="AO128" i="43"/>
  <c r="AG9" i="43"/>
  <c r="AG10" i="43"/>
  <c r="AF11" i="43"/>
  <c r="AG12" i="43"/>
  <c r="AG13" i="43"/>
  <c r="AG14" i="43"/>
  <c r="AG15" i="43"/>
  <c r="AG16" i="43"/>
  <c r="AG17" i="43"/>
  <c r="AG18" i="43"/>
  <c r="AG19" i="43"/>
  <c r="AG20" i="43"/>
  <c r="AG21" i="43"/>
  <c r="AG22" i="43"/>
  <c r="AG23" i="43"/>
  <c r="AG24" i="43"/>
  <c r="AG25" i="43"/>
  <c r="AG26" i="43"/>
  <c r="AG27" i="43"/>
  <c r="AG28" i="43"/>
  <c r="AG29" i="43"/>
  <c r="AG30" i="43"/>
  <c r="AG31" i="43"/>
  <c r="AG32" i="43"/>
  <c r="AG33" i="43"/>
  <c r="AG34" i="43"/>
  <c r="AG35" i="43"/>
  <c r="AG36" i="43"/>
  <c r="AG37" i="43"/>
  <c r="AG38" i="43"/>
  <c r="AG39" i="43"/>
  <c r="AG40" i="43"/>
  <c r="AG41" i="43"/>
  <c r="AG42" i="43"/>
  <c r="AG43" i="43"/>
  <c r="AG44" i="43"/>
  <c r="AG45" i="43"/>
  <c r="AG46" i="43"/>
  <c r="AG47" i="43"/>
  <c r="AG48" i="43"/>
  <c r="AG49" i="43"/>
  <c r="AG50" i="43"/>
  <c r="AG51" i="43"/>
  <c r="AG52" i="43"/>
  <c r="AG53" i="43"/>
  <c r="AG54" i="43"/>
  <c r="AG55" i="43"/>
  <c r="AG56" i="43"/>
  <c r="AG57" i="43"/>
  <c r="AG58" i="43"/>
  <c r="AG59" i="43"/>
  <c r="AG60" i="43"/>
  <c r="AG61" i="43"/>
  <c r="AG62" i="43"/>
  <c r="AG63" i="43"/>
  <c r="AG64" i="43"/>
  <c r="AG65" i="43"/>
  <c r="AG66" i="43"/>
  <c r="AG67" i="43"/>
  <c r="AG68" i="43"/>
  <c r="AG69" i="43"/>
  <c r="AG70" i="43"/>
  <c r="AG71" i="43"/>
  <c r="AG72" i="43"/>
  <c r="AG73" i="43"/>
  <c r="AG74" i="43"/>
  <c r="AG75" i="43"/>
  <c r="AG76" i="43"/>
  <c r="AG77" i="43"/>
  <c r="AG78" i="43"/>
  <c r="AG79" i="43"/>
  <c r="AG80" i="43"/>
  <c r="AG81" i="43"/>
  <c r="AG82" i="43"/>
  <c r="AG83" i="43"/>
  <c r="AG128" i="43"/>
  <c r="AJ9" i="43"/>
  <c r="AJ10" i="43"/>
  <c r="AJ12" i="43"/>
  <c r="AJ13" i="43"/>
  <c r="AJ14" i="43"/>
  <c r="AJ15" i="43"/>
  <c r="AJ16" i="43"/>
  <c r="AJ17" i="43"/>
  <c r="AJ18" i="43"/>
  <c r="AJ19" i="43"/>
  <c r="AJ20" i="43"/>
  <c r="AJ21" i="43"/>
  <c r="AJ22" i="43"/>
  <c r="AJ23" i="43"/>
  <c r="AJ24" i="43"/>
  <c r="AJ25" i="43"/>
  <c r="AJ26" i="43"/>
  <c r="AJ27" i="43"/>
  <c r="AJ28" i="43"/>
  <c r="AJ29" i="43"/>
  <c r="AJ30" i="43"/>
  <c r="AJ31" i="43"/>
  <c r="AJ32" i="43"/>
  <c r="AJ33" i="43"/>
  <c r="AJ34" i="43"/>
  <c r="AJ35" i="43"/>
  <c r="AJ36" i="43"/>
  <c r="AJ37" i="43"/>
  <c r="AJ38" i="43"/>
  <c r="AJ39" i="43"/>
  <c r="AJ40" i="43"/>
  <c r="AJ41" i="43"/>
  <c r="AJ42" i="43"/>
  <c r="AJ43" i="43"/>
  <c r="AJ44" i="43"/>
  <c r="AJ45" i="43"/>
  <c r="AJ46" i="43"/>
  <c r="AJ47" i="43"/>
  <c r="AJ48" i="43"/>
  <c r="AJ49" i="43"/>
  <c r="AJ50" i="43"/>
  <c r="AJ51" i="43"/>
  <c r="AJ52" i="43"/>
  <c r="AJ53" i="43"/>
  <c r="AJ54" i="43"/>
  <c r="AJ55" i="43"/>
  <c r="AJ56" i="43"/>
  <c r="AJ57" i="43"/>
  <c r="AJ58" i="43"/>
  <c r="AJ59" i="43"/>
  <c r="AJ60" i="43"/>
  <c r="AJ61" i="43"/>
  <c r="AJ62" i="43"/>
  <c r="AJ63" i="43"/>
  <c r="AJ64" i="43"/>
  <c r="AJ65" i="43"/>
  <c r="AJ66" i="43"/>
  <c r="AJ67" i="43"/>
  <c r="AJ68" i="43"/>
  <c r="AJ69" i="43"/>
  <c r="AJ70" i="43"/>
  <c r="AJ71" i="43"/>
  <c r="AJ72" i="43"/>
  <c r="AJ73" i="43"/>
  <c r="AJ74" i="43"/>
  <c r="AJ75" i="43"/>
  <c r="AJ76" i="43"/>
  <c r="AJ77" i="43"/>
  <c r="AJ78" i="43"/>
  <c r="AJ79" i="43"/>
  <c r="AJ80" i="43"/>
  <c r="AJ81" i="43"/>
  <c r="AJ82" i="43"/>
  <c r="AJ83" i="43"/>
  <c r="AJ128" i="43"/>
  <c r="AP9" i="43"/>
  <c r="AP10" i="43"/>
  <c r="AP11" i="43"/>
  <c r="AP12" i="43"/>
  <c r="AP13" i="43"/>
  <c r="AP14" i="43"/>
  <c r="AP15" i="43"/>
  <c r="AP16" i="43"/>
  <c r="AP17" i="43"/>
  <c r="AP18" i="43"/>
  <c r="AP19" i="43"/>
  <c r="AP20" i="43"/>
  <c r="AP21" i="43"/>
  <c r="AP22" i="43"/>
  <c r="AP23" i="43"/>
  <c r="AP24" i="43"/>
  <c r="AP25" i="43"/>
  <c r="AP26" i="43"/>
  <c r="AP27" i="43"/>
  <c r="AP28" i="43"/>
  <c r="AP29" i="43"/>
  <c r="AP30" i="43"/>
  <c r="AP31" i="43"/>
  <c r="AP32" i="43"/>
  <c r="AP33" i="43"/>
  <c r="AP34" i="43"/>
  <c r="AP35" i="43"/>
  <c r="AP36" i="43"/>
  <c r="AP37" i="43"/>
  <c r="AP38" i="43"/>
  <c r="AP39" i="43"/>
  <c r="AP40" i="43"/>
  <c r="AP41" i="43"/>
  <c r="AP42" i="43"/>
  <c r="AP43" i="43"/>
  <c r="AP44" i="43"/>
  <c r="AP45" i="43"/>
  <c r="AP46" i="43"/>
  <c r="AP47" i="43"/>
  <c r="AP48" i="43"/>
  <c r="AP49" i="43"/>
  <c r="AP50" i="43"/>
  <c r="AP51" i="43"/>
  <c r="AP52" i="43"/>
  <c r="AP53" i="43"/>
  <c r="AP54" i="43"/>
  <c r="AP55" i="43"/>
  <c r="AP56" i="43"/>
  <c r="AP57" i="43"/>
  <c r="AP58" i="43"/>
  <c r="AP59" i="43"/>
  <c r="AP60" i="43"/>
  <c r="AP61" i="43"/>
  <c r="AP62" i="43"/>
  <c r="AP63" i="43"/>
  <c r="AP64" i="43"/>
  <c r="AP65" i="43"/>
  <c r="AP66" i="43"/>
  <c r="AP67" i="43"/>
  <c r="AP68" i="43"/>
  <c r="AP69" i="43"/>
  <c r="AP70" i="43"/>
  <c r="AP71" i="43"/>
  <c r="AP72" i="43"/>
  <c r="AP73" i="43"/>
  <c r="AP74" i="43"/>
  <c r="AP75" i="43"/>
  <c r="AP76" i="43"/>
  <c r="AP77" i="43"/>
  <c r="AP78" i="43"/>
  <c r="AP79" i="43"/>
  <c r="AP80" i="43"/>
  <c r="AP81" i="43"/>
  <c r="AP82" i="43"/>
  <c r="AP83" i="43"/>
  <c r="AP128" i="43"/>
  <c r="AL10" i="43"/>
  <c r="O14" i="43"/>
  <c r="V14" i="43" s="1"/>
  <c r="S14" i="43"/>
  <c r="O15" i="43"/>
  <c r="AF15" i="43" s="1"/>
  <c r="S15" i="43"/>
  <c r="O16" i="43"/>
  <c r="V16" i="43" s="1"/>
  <c r="AL16" i="43" s="1"/>
  <c r="S16" i="43"/>
  <c r="O17" i="43"/>
  <c r="V17" i="43" s="1"/>
  <c r="AL17" i="43" s="1"/>
  <c r="S17" i="43"/>
  <c r="O18" i="43"/>
  <c r="AF18" i="43" s="1"/>
  <c r="S18" i="43"/>
  <c r="O19" i="43"/>
  <c r="AF19" i="43" s="1"/>
  <c r="S19" i="43"/>
  <c r="O20" i="43"/>
  <c r="V20" i="43" s="1"/>
  <c r="AL20" i="43" s="1"/>
  <c r="AK20" i="43" s="1"/>
  <c r="S20" i="43"/>
  <c r="O21" i="43"/>
  <c r="AF21" i="43" s="1"/>
  <c r="S21" i="43"/>
  <c r="O22" i="43"/>
  <c r="AF22" i="43" s="1"/>
  <c r="S22" i="43"/>
  <c r="O23" i="43"/>
  <c r="V23" i="43" s="1"/>
  <c r="AL23" i="43" s="1"/>
  <c r="S23" i="43"/>
  <c r="O24" i="43"/>
  <c r="V24" i="43" s="1"/>
  <c r="AL24" i="43" s="1"/>
  <c r="S24" i="43"/>
  <c r="O25" i="43"/>
  <c r="AF25" i="43" s="1"/>
  <c r="S25" i="43"/>
  <c r="O26" i="43"/>
  <c r="V26" i="43" s="1"/>
  <c r="AL26" i="43" s="1"/>
  <c r="S26" i="43"/>
  <c r="O27" i="43"/>
  <c r="V27" i="43" s="1"/>
  <c r="AL27" i="43" s="1"/>
  <c r="S27" i="43"/>
  <c r="O28" i="43"/>
  <c r="V28" i="43" s="1"/>
  <c r="AL28" i="43" s="1"/>
  <c r="S28" i="43"/>
  <c r="O29" i="43"/>
  <c r="V29" i="43" s="1"/>
  <c r="AL29" i="43" s="1"/>
  <c r="S29" i="43"/>
  <c r="O30" i="43"/>
  <c r="V30" i="43" s="1"/>
  <c r="AL30" i="43" s="1"/>
  <c r="S30" i="43"/>
  <c r="O31" i="43"/>
  <c r="AF31" i="43" s="1"/>
  <c r="S31" i="43"/>
  <c r="O32" i="43"/>
  <c r="V32" i="43" s="1"/>
  <c r="AL32" i="43" s="1"/>
  <c r="S32" i="43"/>
  <c r="O33" i="43"/>
  <c r="AF33" i="43" s="1"/>
  <c r="S33" i="43"/>
  <c r="O34" i="43"/>
  <c r="AF34" i="43" s="1"/>
  <c r="S34" i="43"/>
  <c r="O35" i="43"/>
  <c r="S35" i="43"/>
  <c r="O36" i="43"/>
  <c r="V36" i="43" s="1"/>
  <c r="AL36" i="43" s="1"/>
  <c r="AK36" i="43" s="1"/>
  <c r="S36" i="43"/>
  <c r="O37" i="43"/>
  <c r="V37" i="43" s="1"/>
  <c r="AL37" i="43" s="1"/>
  <c r="S37" i="43"/>
  <c r="O38" i="43"/>
  <c r="V38" i="43" s="1"/>
  <c r="AL38" i="43" s="1"/>
  <c r="S38" i="43"/>
  <c r="O39" i="43"/>
  <c r="S39" i="43"/>
  <c r="O40" i="43"/>
  <c r="V40" i="43" s="1"/>
  <c r="AL40" i="43" s="1"/>
  <c r="S40" i="43"/>
  <c r="O41" i="43"/>
  <c r="AF41" i="43" s="1"/>
  <c r="S41" i="43"/>
  <c r="O42" i="43"/>
  <c r="S42" i="43"/>
  <c r="O43" i="43"/>
  <c r="V43" i="43" s="1"/>
  <c r="AL43" i="43" s="1"/>
  <c r="S43" i="43"/>
  <c r="O44" i="43"/>
  <c r="V44" i="43" s="1"/>
  <c r="AL44" i="43" s="1"/>
  <c r="AK44" i="43" s="1"/>
  <c r="S44" i="43"/>
  <c r="O45" i="43"/>
  <c r="V45" i="43" s="1"/>
  <c r="AL45" i="43" s="1"/>
  <c r="S45" i="43"/>
  <c r="O46" i="43"/>
  <c r="S46" i="43"/>
  <c r="O47" i="43"/>
  <c r="AF47" i="43" s="1"/>
  <c r="S47" i="43"/>
  <c r="O48" i="43"/>
  <c r="V48" i="43" s="1"/>
  <c r="AL48" i="43" s="1"/>
  <c r="S48" i="43"/>
  <c r="O49" i="43"/>
  <c r="V49" i="43" s="1"/>
  <c r="AL49" i="43" s="1"/>
  <c r="S49" i="43"/>
  <c r="O50" i="43"/>
  <c r="V50" i="43" s="1"/>
  <c r="AL50" i="43" s="1"/>
  <c r="S50" i="43"/>
  <c r="O51" i="43"/>
  <c r="V51" i="43" s="1"/>
  <c r="AL51" i="43" s="1"/>
  <c r="S51" i="43"/>
  <c r="O52" i="43"/>
  <c r="V52" i="43" s="1"/>
  <c r="AL52" i="43" s="1"/>
  <c r="AK52" i="43" s="1"/>
  <c r="S52" i="43"/>
  <c r="O53" i="43"/>
  <c r="AF53" i="43" s="1"/>
  <c r="S53" i="43"/>
  <c r="O54" i="43"/>
  <c r="V54" i="43" s="1"/>
  <c r="AL54" i="43" s="1"/>
  <c r="S54" i="43"/>
  <c r="O55" i="43"/>
  <c r="AF55" i="43" s="1"/>
  <c r="S55" i="43"/>
  <c r="O56" i="43"/>
  <c r="S56" i="43"/>
  <c r="O57" i="43"/>
  <c r="V57" i="43" s="1"/>
  <c r="AL57" i="43" s="1"/>
  <c r="S57" i="43"/>
  <c r="O58" i="43"/>
  <c r="V58" i="43" s="1"/>
  <c r="AL58" i="43" s="1"/>
  <c r="AK58" i="43" s="1"/>
  <c r="S58" i="43"/>
  <c r="O59" i="43"/>
  <c r="V59" i="43" s="1"/>
  <c r="AL59" i="43" s="1"/>
  <c r="S59" i="43"/>
  <c r="O60" i="43"/>
  <c r="AF60" i="43" s="1"/>
  <c r="S60" i="43"/>
  <c r="O61" i="43"/>
  <c r="V61" i="43" s="1"/>
  <c r="AL61" i="43" s="1"/>
  <c r="S61" i="43"/>
  <c r="O62" i="43"/>
  <c r="V62" i="43" s="1"/>
  <c r="AL62" i="43" s="1"/>
  <c r="S62" i="43"/>
  <c r="O63" i="43"/>
  <c r="S63" i="43"/>
  <c r="O64" i="43"/>
  <c r="V64" i="43" s="1"/>
  <c r="AL64" i="43" s="1"/>
  <c r="S64" i="43"/>
  <c r="O65" i="43"/>
  <c r="AF65" i="43" s="1"/>
  <c r="S65" i="43"/>
  <c r="O66" i="43"/>
  <c r="V66" i="43" s="1"/>
  <c r="AL66" i="43" s="1"/>
  <c r="AK66" i="43" s="1"/>
  <c r="S66" i="43"/>
  <c r="O67" i="43"/>
  <c r="S67" i="43"/>
  <c r="O68" i="43"/>
  <c r="V68" i="43" s="1"/>
  <c r="AL68" i="43" s="1"/>
  <c r="S68" i="43"/>
  <c r="O69" i="43"/>
  <c r="V69" i="43" s="1"/>
  <c r="AL69" i="43" s="1"/>
  <c r="S69" i="43"/>
  <c r="O70" i="43"/>
  <c r="V70" i="43" s="1"/>
  <c r="AL70" i="43" s="1"/>
  <c r="S70" i="43"/>
  <c r="O71" i="43"/>
  <c r="S71" i="43"/>
  <c r="O72" i="43"/>
  <c r="V72" i="43" s="1"/>
  <c r="AL72" i="43" s="1"/>
  <c r="S72" i="43"/>
  <c r="O73" i="43"/>
  <c r="V73" i="43" s="1"/>
  <c r="AL73" i="43" s="1"/>
  <c r="S73" i="43"/>
  <c r="O74" i="43"/>
  <c r="V74" i="43" s="1"/>
  <c r="AL74" i="43" s="1"/>
  <c r="AK74" i="43" s="1"/>
  <c r="S74" i="43"/>
  <c r="O75" i="43"/>
  <c r="V75" i="43" s="1"/>
  <c r="AL75" i="43" s="1"/>
  <c r="S75" i="43"/>
  <c r="O76" i="43"/>
  <c r="V76" i="43" s="1"/>
  <c r="AL76" i="43" s="1"/>
  <c r="S76" i="43"/>
  <c r="O77" i="43"/>
  <c r="AF77" i="43" s="1"/>
  <c r="S77" i="43"/>
  <c r="O78" i="43"/>
  <c r="V78" i="43" s="1"/>
  <c r="AL78" i="43" s="1"/>
  <c r="S78" i="43"/>
  <c r="O79" i="43"/>
  <c r="V79" i="43" s="1"/>
  <c r="AL79" i="43" s="1"/>
  <c r="S79" i="43"/>
  <c r="O80" i="43"/>
  <c r="V80" i="43" s="1"/>
  <c r="AL80" i="43" s="1"/>
  <c r="S80" i="43"/>
  <c r="O81" i="43"/>
  <c r="V81" i="43" s="1"/>
  <c r="AL81" i="43" s="1"/>
  <c r="S81" i="43"/>
  <c r="O82" i="43"/>
  <c r="V82" i="43" s="1"/>
  <c r="AL82" i="43" s="1"/>
  <c r="AK82" i="43" s="1"/>
  <c r="S82" i="43"/>
  <c r="O83" i="43"/>
  <c r="V83" i="43" s="1"/>
  <c r="AL83" i="43" s="1"/>
  <c r="S83" i="43"/>
  <c r="AI128" i="43"/>
  <c r="AL13" i="43"/>
  <c r="V21" i="43"/>
  <c r="AL21" i="43" s="1"/>
  <c r="AL128" i="43"/>
  <c r="AR9" i="43"/>
  <c r="AQ9" i="43" s="1"/>
  <c r="AR10" i="43"/>
  <c r="AR11" i="43"/>
  <c r="AR12" i="43"/>
  <c r="AR13" i="43"/>
  <c r="AR14" i="43"/>
  <c r="AR15" i="43"/>
  <c r="AR16" i="43"/>
  <c r="AR17" i="43"/>
  <c r="AQ17" i="43" s="1"/>
  <c r="AR18" i="43"/>
  <c r="AR19" i="43"/>
  <c r="AQ19" i="43" s="1"/>
  <c r="AR20" i="43"/>
  <c r="AR21" i="43"/>
  <c r="AR22" i="43"/>
  <c r="AR23" i="43"/>
  <c r="AR24" i="43"/>
  <c r="AR25" i="43"/>
  <c r="AQ25" i="43" s="1"/>
  <c r="AR26" i="43"/>
  <c r="AR27" i="43"/>
  <c r="AR28" i="43"/>
  <c r="AR29" i="43"/>
  <c r="AR30" i="43"/>
  <c r="AR31" i="43"/>
  <c r="AR32" i="43"/>
  <c r="AR33" i="43"/>
  <c r="AR34" i="43"/>
  <c r="AR35" i="43"/>
  <c r="AQ35" i="43" s="1"/>
  <c r="AR36" i="43"/>
  <c r="AR37" i="43"/>
  <c r="AR38" i="43"/>
  <c r="AR39" i="43"/>
  <c r="AR40" i="43"/>
  <c r="AR41" i="43"/>
  <c r="AR42" i="43"/>
  <c r="AR43" i="43"/>
  <c r="AQ43" i="43" s="1"/>
  <c r="AR44" i="43"/>
  <c r="AR45" i="43"/>
  <c r="AR46" i="43"/>
  <c r="AR47" i="43"/>
  <c r="AR48" i="43"/>
  <c r="AR49" i="43"/>
  <c r="AR50" i="43"/>
  <c r="AR51" i="43"/>
  <c r="AR52" i="43"/>
  <c r="AR53" i="43"/>
  <c r="AR54" i="43"/>
  <c r="AR55" i="43"/>
  <c r="AR56" i="43"/>
  <c r="AR57" i="43"/>
  <c r="AQ57" i="43" s="1"/>
  <c r="AR58" i="43"/>
  <c r="AR59" i="43"/>
  <c r="AR60" i="43"/>
  <c r="AR61" i="43"/>
  <c r="AR62" i="43"/>
  <c r="AR63" i="43"/>
  <c r="AQ63" i="43" s="1"/>
  <c r="AR64" i="43"/>
  <c r="AR65" i="43"/>
  <c r="AR66" i="43"/>
  <c r="AR67" i="43"/>
  <c r="AR68" i="43"/>
  <c r="AR69" i="43"/>
  <c r="AR70" i="43"/>
  <c r="AR71" i="43"/>
  <c r="AQ71" i="43" s="1"/>
  <c r="AR72" i="43"/>
  <c r="AR73" i="43"/>
  <c r="AQ73" i="43" s="1"/>
  <c r="AR74" i="43"/>
  <c r="AR75" i="43"/>
  <c r="AR76" i="43"/>
  <c r="AR77" i="43"/>
  <c r="AR78" i="43"/>
  <c r="AR79" i="43"/>
  <c r="AQ79" i="43" s="1"/>
  <c r="AR80" i="43"/>
  <c r="AR81" i="43"/>
  <c r="AR82" i="43"/>
  <c r="AR83" i="43"/>
  <c r="AR128" i="43"/>
  <c r="CT60" i="14"/>
  <c r="CO60" i="14"/>
  <c r="Z60" i="14"/>
  <c r="W60" i="14"/>
  <c r="T60" i="14"/>
  <c r="Q60" i="14"/>
  <c r="N60" i="14"/>
  <c r="AC60" i="14"/>
  <c r="I60" i="14"/>
  <c r="G60" i="14"/>
  <c r="B60" i="7" s="1"/>
  <c r="L46" i="14"/>
  <c r="CT46" i="14" s="1"/>
  <c r="CO46" i="14"/>
  <c r="Z46" i="14"/>
  <c r="W46" i="14"/>
  <c r="T46" i="14"/>
  <c r="Q46" i="14"/>
  <c r="N46" i="14"/>
  <c r="K46" i="14"/>
  <c r="AC46" i="14"/>
  <c r="I46" i="14"/>
  <c r="G46" i="14"/>
  <c r="B46" i="7" s="1"/>
  <c r="L45" i="14"/>
  <c r="CT45" i="14" s="1"/>
  <c r="CO45" i="14"/>
  <c r="Z45" i="14"/>
  <c r="W45" i="14"/>
  <c r="T45" i="14"/>
  <c r="Q45" i="14"/>
  <c r="N45" i="14"/>
  <c r="K45" i="14"/>
  <c r="AC45" i="14"/>
  <c r="I45" i="14"/>
  <c r="G45" i="14"/>
  <c r="B45" i="7" s="1"/>
  <c r="L57" i="14"/>
  <c r="CT57" i="14" s="1"/>
  <c r="CO57" i="14"/>
  <c r="Z57" i="14"/>
  <c r="W57" i="14"/>
  <c r="T57" i="14"/>
  <c r="Q57" i="14"/>
  <c r="N57" i="14"/>
  <c r="K57" i="14"/>
  <c r="AC57" i="14"/>
  <c r="I57" i="14"/>
  <c r="G57" i="14"/>
  <c r="B57" i="7" s="1"/>
  <c r="L56" i="14"/>
  <c r="CT56" i="14" s="1"/>
  <c r="CO56" i="14"/>
  <c r="Z56" i="14"/>
  <c r="W56" i="14"/>
  <c r="T56" i="14"/>
  <c r="Q56" i="14"/>
  <c r="N56" i="14"/>
  <c r="K56" i="14"/>
  <c r="AC56" i="14"/>
  <c r="I56" i="14"/>
  <c r="G56" i="14"/>
  <c r="B56" i="7" s="1"/>
  <c r="L44" i="14"/>
  <c r="CT44" i="14" s="1"/>
  <c r="CO44" i="14"/>
  <c r="Z44" i="14"/>
  <c r="W44" i="14"/>
  <c r="T44" i="14"/>
  <c r="Q44" i="14"/>
  <c r="N44" i="14"/>
  <c r="K44" i="14"/>
  <c r="AC44" i="14"/>
  <c r="I44" i="14"/>
  <c r="G44" i="14"/>
  <c r="B44" i="7" s="1"/>
  <c r="L53" i="14"/>
  <c r="CT53" i="14" s="1"/>
  <c r="CO53" i="14"/>
  <c r="Z53" i="14"/>
  <c r="W53" i="14"/>
  <c r="T53" i="14"/>
  <c r="Q53" i="14"/>
  <c r="N53" i="14"/>
  <c r="K53" i="14"/>
  <c r="AC53" i="14"/>
  <c r="I53" i="14"/>
  <c r="G53" i="14"/>
  <c r="B53" i="7" s="1"/>
  <c r="L51" i="14"/>
  <c r="CT51" i="14" s="1"/>
  <c r="CO51" i="14"/>
  <c r="Z51" i="14"/>
  <c r="W51" i="14"/>
  <c r="T51" i="14"/>
  <c r="Q51" i="14"/>
  <c r="N51" i="14"/>
  <c r="K51" i="14"/>
  <c r="AC51" i="14"/>
  <c r="I51" i="14"/>
  <c r="G51" i="14"/>
  <c r="B51" i="7" s="1"/>
  <c r="L38" i="14"/>
  <c r="CT38" i="14" s="1"/>
  <c r="CO38" i="14"/>
  <c r="Z38" i="14"/>
  <c r="W38" i="14"/>
  <c r="T38" i="14"/>
  <c r="Q38" i="14"/>
  <c r="N38" i="14"/>
  <c r="K38" i="14"/>
  <c r="AC38" i="14"/>
  <c r="I38" i="14"/>
  <c r="G38" i="14"/>
  <c r="B38" i="7" s="1"/>
  <c r="S101" i="43"/>
  <c r="O101" i="43"/>
  <c r="O111" i="43"/>
  <c r="S111" i="43"/>
  <c r="S110" i="43"/>
  <c r="O110" i="43"/>
  <c r="V18" i="30"/>
  <c r="V17" i="30"/>
  <c r="V16" i="30"/>
  <c r="V136" i="29"/>
  <c r="V135" i="29"/>
  <c r="AC135" i="29" s="1"/>
  <c r="V134" i="29"/>
  <c r="AC134" i="29" s="1"/>
  <c r="V133" i="29"/>
  <c r="V132" i="29"/>
  <c r="AC132" i="29" s="1"/>
  <c r="V111" i="29"/>
  <c r="V110" i="29"/>
  <c r="AC110" i="29" s="1"/>
  <c r="V109" i="29"/>
  <c r="AC109" i="29" s="1"/>
  <c r="V108" i="29"/>
  <c r="AC108" i="29" s="1"/>
  <c r="V79" i="29"/>
  <c r="AC79" i="29" s="1"/>
  <c r="V78" i="29"/>
  <c r="AC78" i="29" s="1"/>
  <c r="V70" i="29"/>
  <c r="V69" i="29"/>
  <c r="AC69" i="29" s="1"/>
  <c r="V68" i="29"/>
  <c r="V67" i="29"/>
  <c r="AC67" i="29" s="1"/>
  <c r="V44" i="29"/>
  <c r="AC44" i="29" s="1"/>
  <c r="V43" i="29"/>
  <c r="AC43" i="29" s="1"/>
  <c r="V34" i="29"/>
  <c r="AC34" i="29" s="1"/>
  <c r="V33" i="29"/>
  <c r="AC33" i="29" s="1"/>
  <c r="V22" i="29"/>
  <c r="V21" i="29"/>
  <c r="AC21" i="29" s="1"/>
  <c r="V20" i="29"/>
  <c r="V19" i="29"/>
  <c r="AC19" i="29" s="1"/>
  <c r="V18" i="29"/>
  <c r="AC18" i="29" s="1"/>
  <c r="V11" i="29"/>
  <c r="AC11" i="29" s="1"/>
  <c r="V10" i="29"/>
  <c r="AC10" i="29" s="1"/>
  <c r="V127" i="43"/>
  <c r="V126" i="43"/>
  <c r="AL126" i="43" s="1"/>
  <c r="V125" i="43"/>
  <c r="AL125" i="43" s="1"/>
  <c r="V124" i="43"/>
  <c r="AL124" i="43" s="1"/>
  <c r="V98" i="43"/>
  <c r="AL98" i="43" s="1"/>
  <c r="V97" i="43"/>
  <c r="AL97" i="43" s="1"/>
  <c r="V89" i="43"/>
  <c r="AL89" i="43" s="1"/>
  <c r="AK89" i="43" s="1"/>
  <c r="V85" i="43"/>
  <c r="AL85" i="43" s="1"/>
  <c r="AK85" i="43" s="1"/>
  <c r="T43" i="27"/>
  <c r="AI43" i="27" s="1"/>
  <c r="T42" i="27"/>
  <c r="V43" i="27"/>
  <c r="V42" i="27"/>
  <c r="AL42" i="27" s="1"/>
  <c r="AK42" i="27" s="1"/>
  <c r="V43" i="26"/>
  <c r="V42" i="26"/>
  <c r="V43" i="25"/>
  <c r="V42" i="25"/>
  <c r="AC152" i="29"/>
  <c r="AC151" i="29"/>
  <c r="AC150" i="29"/>
  <c r="AC149" i="29"/>
  <c r="AC148" i="29"/>
  <c r="AC147" i="29"/>
  <c r="AC146" i="29"/>
  <c r="AC136" i="29"/>
  <c r="AC133" i="29"/>
  <c r="AC111" i="29"/>
  <c r="AC70" i="29"/>
  <c r="AC68" i="29"/>
  <c r="AC22" i="29"/>
  <c r="AC20" i="29"/>
  <c r="AC133" i="43"/>
  <c r="AC132" i="43"/>
  <c r="AC131" i="43"/>
  <c r="AC130" i="43"/>
  <c r="AC129" i="43"/>
  <c r="AC128" i="43"/>
  <c r="V196" i="24"/>
  <c r="AL196" i="24" s="1"/>
  <c r="V195" i="24"/>
  <c r="AL195" i="24" s="1"/>
  <c r="V194" i="24"/>
  <c r="AL194" i="24" s="1"/>
  <c r="V193" i="24"/>
  <c r="AL193" i="24" s="1"/>
  <c r="V192" i="24"/>
  <c r="AL192" i="24" s="1"/>
  <c r="V177" i="24"/>
  <c r="V171" i="24"/>
  <c r="V170" i="24"/>
  <c r="AL170" i="24" s="1"/>
  <c r="V142" i="24"/>
  <c r="AL142" i="24" s="1"/>
  <c r="V141" i="24"/>
  <c r="AL141" i="24" s="1"/>
  <c r="V133" i="24"/>
  <c r="AL133" i="24" s="1"/>
  <c r="V132" i="24"/>
  <c r="AL132" i="24" s="1"/>
  <c r="V131" i="24"/>
  <c r="V130" i="24"/>
  <c r="AL130" i="24" s="1"/>
  <c r="S109" i="43"/>
  <c r="O109" i="43"/>
  <c r="S108" i="43"/>
  <c r="O108" i="43"/>
  <c r="AF108" i="43" s="1"/>
  <c r="AE108" i="43" s="1"/>
  <c r="S107" i="43"/>
  <c r="O107" i="43"/>
  <c r="S106" i="43"/>
  <c r="O106" i="43"/>
  <c r="S105" i="43"/>
  <c r="O105" i="43"/>
  <c r="S104" i="43"/>
  <c r="O104" i="43"/>
  <c r="S103" i="43"/>
  <c r="O103" i="43"/>
  <c r="AF103" i="43" s="1"/>
  <c r="AE103" i="43" s="1"/>
  <c r="S102" i="43"/>
  <c r="O102" i="43"/>
  <c r="AF102" i="43" s="1"/>
  <c r="AE102" i="43" s="1"/>
  <c r="S100" i="43"/>
  <c r="O100" i="43"/>
  <c r="S99" i="43"/>
  <c r="O99" i="43"/>
  <c r="AF99" i="43" s="1"/>
  <c r="AE99" i="43" s="1"/>
  <c r="S96" i="43"/>
  <c r="O96" i="43"/>
  <c r="S95" i="43"/>
  <c r="O95" i="43"/>
  <c r="S94" i="43"/>
  <c r="O94" i="43"/>
  <c r="S92" i="43"/>
  <c r="O92" i="43"/>
  <c r="AF92" i="43" s="1"/>
  <c r="AE92" i="43" s="1"/>
  <c r="S91" i="43"/>
  <c r="O91" i="43"/>
  <c r="S90" i="43"/>
  <c r="O90" i="43"/>
  <c r="S88" i="43"/>
  <c r="O88" i="43"/>
  <c r="S87" i="43"/>
  <c r="O87" i="43"/>
  <c r="S86" i="43"/>
  <c r="O86" i="43"/>
  <c r="AF86" i="43" s="1"/>
  <c r="AE86" i="43" s="1"/>
  <c r="S84" i="43"/>
  <c r="O84" i="43"/>
  <c r="G142" i="43"/>
  <c r="G143" i="43"/>
  <c r="G144" i="43"/>
  <c r="G145" i="43"/>
  <c r="G146" i="43"/>
  <c r="G147" i="43"/>
  <c r="G148" i="43"/>
  <c r="G149" i="43"/>
  <c r="G150" i="43"/>
  <c r="G151" i="43"/>
  <c r="G152" i="43"/>
  <c r="E124" i="23"/>
  <c r="E110" i="23"/>
  <c r="E83" i="23"/>
  <c r="E74" i="23"/>
  <c r="E58" i="23"/>
  <c r="D58" i="23"/>
  <c r="E49" i="23"/>
  <c r="I238" i="43"/>
  <c r="G238" i="43"/>
  <c r="F238" i="43"/>
  <c r="I237" i="43"/>
  <c r="G237" i="43"/>
  <c r="F237" i="43"/>
  <c r="I236" i="43"/>
  <c r="G236" i="43"/>
  <c r="F236" i="43"/>
  <c r="AP236" i="43" s="1"/>
  <c r="I235" i="43"/>
  <c r="G235" i="43"/>
  <c r="F235" i="43"/>
  <c r="AM235" i="43" s="1"/>
  <c r="I234" i="43"/>
  <c r="G234" i="43"/>
  <c r="F234" i="43"/>
  <c r="AP234" i="43" s="1"/>
  <c r="I233" i="43"/>
  <c r="G233" i="43"/>
  <c r="F233" i="43"/>
  <c r="AQ233" i="43" s="1"/>
  <c r="I232" i="43"/>
  <c r="G232" i="43"/>
  <c r="F232" i="43"/>
  <c r="AR232" i="43" s="1"/>
  <c r="I231" i="43"/>
  <c r="G231" i="43"/>
  <c r="F231" i="43"/>
  <c r="AP231" i="43" s="1"/>
  <c r="I230" i="43"/>
  <c r="G230" i="43"/>
  <c r="F230" i="43"/>
  <c r="AR230" i="43" s="1"/>
  <c r="I229" i="43"/>
  <c r="G229" i="43"/>
  <c r="F229" i="43"/>
  <c r="AP229" i="43" s="1"/>
  <c r="I228" i="43"/>
  <c r="G228" i="43"/>
  <c r="F228" i="43"/>
  <c r="AR228" i="43" s="1"/>
  <c r="I227" i="43"/>
  <c r="G227" i="43"/>
  <c r="F227" i="43"/>
  <c r="AH227" i="43" s="1"/>
  <c r="I226" i="43"/>
  <c r="G226" i="43"/>
  <c r="F226" i="43"/>
  <c r="AO226" i="43" s="1"/>
  <c r="I225" i="43"/>
  <c r="G225" i="43"/>
  <c r="F225" i="43"/>
  <c r="AQ225" i="43" s="1"/>
  <c r="I224" i="43"/>
  <c r="G224" i="43"/>
  <c r="F224" i="43"/>
  <c r="AR224" i="43" s="1"/>
  <c r="I223" i="43"/>
  <c r="G223" i="43"/>
  <c r="F223" i="43"/>
  <c r="AR223" i="43" s="1"/>
  <c r="I222" i="43"/>
  <c r="G222" i="43"/>
  <c r="F222" i="43"/>
  <c r="AQ222" i="43" s="1"/>
  <c r="I221" i="43"/>
  <c r="G221" i="43"/>
  <c r="F221" i="43"/>
  <c r="AQ221" i="43" s="1"/>
  <c r="I220" i="43"/>
  <c r="G220" i="43"/>
  <c r="F220" i="43"/>
  <c r="AQ220" i="43" s="1"/>
  <c r="I219" i="43"/>
  <c r="G219" i="43"/>
  <c r="F219" i="43"/>
  <c r="AQ219" i="43" s="1"/>
  <c r="I218" i="43"/>
  <c r="G218" i="43"/>
  <c r="F218" i="43"/>
  <c r="AD218" i="43" s="1"/>
  <c r="I217" i="43"/>
  <c r="G217" i="43"/>
  <c r="F217" i="43"/>
  <c r="AQ217" i="43" s="1"/>
  <c r="I216" i="43"/>
  <c r="G216" i="43"/>
  <c r="F216" i="43"/>
  <c r="AR216" i="43" s="1"/>
  <c r="I215" i="43"/>
  <c r="G215" i="43"/>
  <c r="F215" i="43"/>
  <c r="I214" i="43"/>
  <c r="G214" i="43"/>
  <c r="F214" i="43"/>
  <c r="AR214" i="43" s="1"/>
  <c r="I213" i="43"/>
  <c r="G213" i="43"/>
  <c r="F213" i="43"/>
  <c r="AL213" i="43" s="1"/>
  <c r="I212" i="43"/>
  <c r="G212" i="43"/>
  <c r="F212" i="43"/>
  <c r="AR212" i="43" s="1"/>
  <c r="I211" i="43"/>
  <c r="G211" i="43"/>
  <c r="F211" i="43"/>
  <c r="AR211" i="43" s="1"/>
  <c r="I210" i="43"/>
  <c r="G210" i="43"/>
  <c r="F210" i="43"/>
  <c r="AK210" i="43" s="1"/>
  <c r="I209" i="43"/>
  <c r="G209" i="43"/>
  <c r="F209" i="43"/>
  <c r="AQ209" i="43" s="1"/>
  <c r="I208" i="43"/>
  <c r="G208" i="43"/>
  <c r="F208" i="43"/>
  <c r="AN208" i="43" s="1"/>
  <c r="I207" i="43"/>
  <c r="G207" i="43"/>
  <c r="F207" i="43"/>
  <c r="I206" i="43"/>
  <c r="G206" i="43"/>
  <c r="F206" i="43"/>
  <c r="AR206" i="43" s="1"/>
  <c r="I205" i="43"/>
  <c r="G205" i="43"/>
  <c r="F205" i="43"/>
  <c r="AQ205" i="43" s="1"/>
  <c r="I204" i="43"/>
  <c r="G204" i="43"/>
  <c r="F204" i="43"/>
  <c r="AM204" i="43" s="1"/>
  <c r="I203" i="43"/>
  <c r="G203" i="43"/>
  <c r="F203" i="43"/>
  <c r="AP203" i="43" s="1"/>
  <c r="I202" i="43"/>
  <c r="G202" i="43"/>
  <c r="F202" i="43"/>
  <c r="AD202" i="43" s="1"/>
  <c r="I201" i="43"/>
  <c r="G201" i="43"/>
  <c r="F201" i="43"/>
  <c r="AQ201" i="43" s="1"/>
  <c r="I200" i="43"/>
  <c r="G200" i="43"/>
  <c r="F200" i="43"/>
  <c r="AN200" i="43" s="1"/>
  <c r="I199" i="43"/>
  <c r="G199" i="43"/>
  <c r="F199" i="43"/>
  <c r="AE199" i="43" s="1"/>
  <c r="I198" i="43"/>
  <c r="G198" i="43"/>
  <c r="F198" i="43"/>
  <c r="AK198" i="43" s="1"/>
  <c r="I197" i="43"/>
  <c r="G197" i="43"/>
  <c r="F197" i="43"/>
  <c r="AQ197" i="43" s="1"/>
  <c r="I196" i="43"/>
  <c r="G196" i="43"/>
  <c r="F196" i="43"/>
  <c r="AO196" i="43" s="1"/>
  <c r="I195" i="43"/>
  <c r="G195" i="43"/>
  <c r="F195" i="43"/>
  <c r="AE195" i="43" s="1"/>
  <c r="I194" i="43"/>
  <c r="G194" i="43"/>
  <c r="F194" i="43"/>
  <c r="AR194" i="43" s="1"/>
  <c r="I193" i="43"/>
  <c r="G193" i="43"/>
  <c r="F193" i="43"/>
  <c r="AQ193" i="43" s="1"/>
  <c r="I192" i="43"/>
  <c r="G192" i="43"/>
  <c r="F192" i="43"/>
  <c r="AO192" i="43" s="1"/>
  <c r="I191" i="43"/>
  <c r="G191" i="43"/>
  <c r="F191" i="43"/>
  <c r="I190" i="43"/>
  <c r="G190" i="43"/>
  <c r="F190" i="43"/>
  <c r="AD190" i="43" s="1"/>
  <c r="I189" i="43"/>
  <c r="G189" i="43"/>
  <c r="F189" i="43"/>
  <c r="AQ189" i="43" s="1"/>
  <c r="I188" i="43"/>
  <c r="G188" i="43"/>
  <c r="F188" i="43"/>
  <c r="AM188" i="43" s="1"/>
  <c r="I187" i="43"/>
  <c r="G187" i="43"/>
  <c r="F187" i="43"/>
  <c r="AG187" i="43" s="1"/>
  <c r="I186" i="43"/>
  <c r="G186" i="43"/>
  <c r="F186" i="43"/>
  <c r="AO186" i="43" s="1"/>
  <c r="I185" i="43"/>
  <c r="G185" i="43"/>
  <c r="F185" i="43"/>
  <c r="AQ185" i="43" s="1"/>
  <c r="I184" i="43"/>
  <c r="G184" i="43"/>
  <c r="F184" i="43"/>
  <c r="AO184" i="43" s="1"/>
  <c r="I183" i="43"/>
  <c r="G183" i="43"/>
  <c r="F183" i="43"/>
  <c r="AP183" i="43" s="1"/>
  <c r="I182" i="43"/>
  <c r="G182" i="43"/>
  <c r="F182" i="43"/>
  <c r="I181" i="43"/>
  <c r="G181" i="43"/>
  <c r="F181" i="43"/>
  <c r="AQ181" i="43" s="1"/>
  <c r="I180" i="43"/>
  <c r="G180" i="43"/>
  <c r="F180" i="43"/>
  <c r="AR180" i="43" s="1"/>
  <c r="I179" i="43"/>
  <c r="G179" i="43"/>
  <c r="F179" i="43"/>
  <c r="AP179" i="43" s="1"/>
  <c r="I178" i="43"/>
  <c r="G178" i="43"/>
  <c r="F178" i="43"/>
  <c r="AO178" i="43" s="1"/>
  <c r="I177" i="43"/>
  <c r="G177" i="43"/>
  <c r="F177" i="43"/>
  <c r="AQ177" i="43" s="1"/>
  <c r="I176" i="43"/>
  <c r="G176" i="43"/>
  <c r="F176" i="43"/>
  <c r="AR176" i="43" s="1"/>
  <c r="I175" i="43"/>
  <c r="G175" i="43"/>
  <c r="F175" i="43"/>
  <c r="AJ175" i="43" s="1"/>
  <c r="I174" i="43"/>
  <c r="G174" i="43"/>
  <c r="F174" i="43"/>
  <c r="AJ174" i="43" s="1"/>
  <c r="I173" i="43"/>
  <c r="G173" i="43"/>
  <c r="F173" i="43"/>
  <c r="I172" i="43"/>
  <c r="G172" i="43"/>
  <c r="F172" i="43"/>
  <c r="AE172" i="43" s="1"/>
  <c r="I171" i="43"/>
  <c r="G171" i="43"/>
  <c r="F171" i="43"/>
  <c r="AP171" i="43" s="1"/>
  <c r="I170" i="43"/>
  <c r="G170" i="43"/>
  <c r="F170" i="43"/>
  <c r="AI170" i="43" s="1"/>
  <c r="I169" i="43"/>
  <c r="G169" i="43"/>
  <c r="F169" i="43"/>
  <c r="AQ169" i="43" s="1"/>
  <c r="I168" i="43"/>
  <c r="G168" i="43"/>
  <c r="F168" i="43"/>
  <c r="AM168" i="43" s="1"/>
  <c r="I167" i="43"/>
  <c r="G167" i="43"/>
  <c r="F167" i="43"/>
  <c r="I166" i="43"/>
  <c r="G166" i="43"/>
  <c r="F166" i="43"/>
  <c r="AI166" i="43" s="1"/>
  <c r="I165" i="43"/>
  <c r="G165" i="43"/>
  <c r="F165" i="43"/>
  <c r="I164" i="43"/>
  <c r="G164" i="43"/>
  <c r="F164" i="43"/>
  <c r="AR164" i="43" s="1"/>
  <c r="I163" i="43"/>
  <c r="G163" i="43"/>
  <c r="F163" i="43"/>
  <c r="I162" i="43"/>
  <c r="G162" i="43"/>
  <c r="F162" i="43"/>
  <c r="AQ162" i="43" s="1"/>
  <c r="I161" i="43"/>
  <c r="G161" i="43"/>
  <c r="F161" i="43"/>
  <c r="AJ161" i="43" s="1"/>
  <c r="I160" i="43"/>
  <c r="G160" i="43"/>
  <c r="F160" i="43"/>
  <c r="I159" i="43"/>
  <c r="G159" i="43"/>
  <c r="F159" i="43"/>
  <c r="AM159" i="43" s="1"/>
  <c r="I158" i="43"/>
  <c r="G158" i="43"/>
  <c r="F158" i="43"/>
  <c r="I157" i="43"/>
  <c r="G157" i="43"/>
  <c r="F157" i="43"/>
  <c r="AS157" i="43" s="1"/>
  <c r="I156" i="43"/>
  <c r="G156" i="43"/>
  <c r="F156" i="43"/>
  <c r="AP156" i="43" s="1"/>
  <c r="I155" i="43"/>
  <c r="G155" i="43"/>
  <c r="F155" i="43"/>
  <c r="AO155" i="43" s="1"/>
  <c r="I154" i="43"/>
  <c r="G154" i="43"/>
  <c r="F154" i="43"/>
  <c r="AQ154" i="43" s="1"/>
  <c r="I153" i="43"/>
  <c r="G153" i="43"/>
  <c r="F153" i="43"/>
  <c r="I152" i="43"/>
  <c r="F152" i="43"/>
  <c r="I151" i="43"/>
  <c r="F151" i="43"/>
  <c r="AR151" i="43" s="1"/>
  <c r="I150" i="43"/>
  <c r="F150" i="43"/>
  <c r="I149" i="43"/>
  <c r="F149" i="43"/>
  <c r="AK149" i="43" s="1"/>
  <c r="I148" i="43"/>
  <c r="F148" i="43"/>
  <c r="I147" i="43"/>
  <c r="F147" i="43"/>
  <c r="AH147" i="43" s="1"/>
  <c r="I146" i="43"/>
  <c r="F146" i="43"/>
  <c r="I145" i="43"/>
  <c r="F145" i="43"/>
  <c r="I144" i="43"/>
  <c r="F144" i="43"/>
  <c r="AG144" i="43" s="1"/>
  <c r="I143" i="43"/>
  <c r="F143" i="43"/>
  <c r="I142" i="43"/>
  <c r="F142" i="43"/>
  <c r="I141" i="43"/>
  <c r="F141" i="43"/>
  <c r="AJ141" i="43" s="1"/>
  <c r="I140" i="43"/>
  <c r="F140" i="43"/>
  <c r="AO140" i="43" s="1"/>
  <c r="I139" i="43"/>
  <c r="F139" i="43"/>
  <c r="I138" i="43"/>
  <c r="F138" i="43"/>
  <c r="AR133" i="43"/>
  <c r="AP133" i="43"/>
  <c r="AO133" i="43"/>
  <c r="AM133" i="43"/>
  <c r="AL133" i="43"/>
  <c r="AJ133" i="43"/>
  <c r="AI133" i="43"/>
  <c r="AG133" i="43"/>
  <c r="AF133" i="43"/>
  <c r="AD133" i="43"/>
  <c r="AR132" i="43"/>
  <c r="AP132" i="43"/>
  <c r="AO132" i="43"/>
  <c r="AM132" i="43"/>
  <c r="AL132" i="43"/>
  <c r="AJ132" i="43"/>
  <c r="AI132" i="43"/>
  <c r="AG132" i="43"/>
  <c r="AF132" i="43"/>
  <c r="AD132" i="43"/>
  <c r="AR131" i="43"/>
  <c r="AP131" i="43"/>
  <c r="AO131" i="43"/>
  <c r="AM131" i="43"/>
  <c r="AL131" i="43"/>
  <c r="AJ131" i="43"/>
  <c r="AI131" i="43"/>
  <c r="AG131" i="43"/>
  <c r="AF131" i="43"/>
  <c r="AD131" i="43"/>
  <c r="AR130" i="43"/>
  <c r="AP130" i="43"/>
  <c r="AO130" i="43"/>
  <c r="AM130" i="43"/>
  <c r="AL130" i="43"/>
  <c r="AJ130" i="43"/>
  <c r="AI130" i="43"/>
  <c r="AG130" i="43"/>
  <c r="AF130" i="43"/>
  <c r="AD130" i="43"/>
  <c r="AR129" i="43"/>
  <c r="AP129" i="43"/>
  <c r="AO129" i="43"/>
  <c r="AM129" i="43"/>
  <c r="AL129" i="43"/>
  <c r="AJ129" i="43"/>
  <c r="AI129" i="43"/>
  <c r="AG129" i="43"/>
  <c r="AF129" i="43"/>
  <c r="AD129" i="43"/>
  <c r="AF128" i="43"/>
  <c r="AD128" i="43"/>
  <c r="AD83" i="43"/>
  <c r="AD82" i="43"/>
  <c r="AD81" i="43"/>
  <c r="AD80" i="43"/>
  <c r="AD79" i="43"/>
  <c r="AD78" i="43"/>
  <c r="AD77" i="43"/>
  <c r="AD76" i="43"/>
  <c r="AD75" i="43"/>
  <c r="AD74" i="43"/>
  <c r="AD73" i="43"/>
  <c r="AD72" i="43"/>
  <c r="AD71" i="43"/>
  <c r="AD70" i="43"/>
  <c r="AD69" i="43"/>
  <c r="AD68" i="43"/>
  <c r="AD67" i="43"/>
  <c r="AD66" i="43"/>
  <c r="AD65" i="43"/>
  <c r="AD64" i="43"/>
  <c r="AD63" i="43"/>
  <c r="AD62" i="43"/>
  <c r="AD61" i="43"/>
  <c r="AD60" i="43"/>
  <c r="AD59" i="43"/>
  <c r="AD58" i="43"/>
  <c r="AD57" i="43"/>
  <c r="AD56" i="43"/>
  <c r="AD55" i="43"/>
  <c r="AD54" i="43"/>
  <c r="AD53" i="43"/>
  <c r="AD52" i="43"/>
  <c r="AD51" i="43"/>
  <c r="AD50" i="43"/>
  <c r="AD49" i="43"/>
  <c r="AD48" i="43"/>
  <c r="AD47" i="43"/>
  <c r="AD46" i="43"/>
  <c r="AD45" i="43"/>
  <c r="AD44" i="43"/>
  <c r="AD43" i="43"/>
  <c r="AD42" i="43"/>
  <c r="AD41" i="43"/>
  <c r="AD40" i="43"/>
  <c r="AD39" i="43"/>
  <c r="AD38" i="43"/>
  <c r="AD37" i="43"/>
  <c r="AD36" i="43"/>
  <c r="AD35" i="43"/>
  <c r="AD34" i="43"/>
  <c r="AD33" i="43"/>
  <c r="AD32" i="43"/>
  <c r="AD31" i="43"/>
  <c r="AD30" i="43"/>
  <c r="AD29" i="43"/>
  <c r="AD28" i="43"/>
  <c r="AD27" i="43"/>
  <c r="AD26" i="43"/>
  <c r="AD25" i="43"/>
  <c r="AD24" i="43"/>
  <c r="AD23" i="43"/>
  <c r="AD22" i="43"/>
  <c r="AD21" i="43"/>
  <c r="AD20" i="43"/>
  <c r="AD19" i="43"/>
  <c r="AD18" i="43"/>
  <c r="AD17" i="43"/>
  <c r="AD16" i="43"/>
  <c r="AD15" i="43"/>
  <c r="AD14" i="43"/>
  <c r="AD13" i="43"/>
  <c r="AD12" i="43"/>
  <c r="AD10" i="43"/>
  <c r="B10" i="43"/>
  <c r="B11" i="43" s="1"/>
  <c r="B12" i="43" s="1"/>
  <c r="B13" i="43" s="1"/>
  <c r="B14" i="43" s="1"/>
  <c r="B15" i="43" s="1"/>
  <c r="B16" i="43" s="1"/>
  <c r="B17" i="43" s="1"/>
  <c r="B18" i="43" s="1"/>
  <c r="B19" i="43" s="1"/>
  <c r="B20" i="43" s="1"/>
  <c r="B21" i="43" s="1"/>
  <c r="B22" i="43" s="1"/>
  <c r="B23" i="43" s="1"/>
  <c r="B24" i="43" s="1"/>
  <c r="B25" i="43" s="1"/>
  <c r="B26" i="43" s="1"/>
  <c r="B27" i="43" s="1"/>
  <c r="B28" i="43" s="1"/>
  <c r="B29" i="43" s="1"/>
  <c r="B30" i="43" s="1"/>
  <c r="B31" i="43" s="1"/>
  <c r="B32" i="43" s="1"/>
  <c r="B33" i="43" s="1"/>
  <c r="B34" i="43" s="1"/>
  <c r="B35" i="43" s="1"/>
  <c r="B36" i="43" s="1"/>
  <c r="B37" i="43" s="1"/>
  <c r="B38" i="43" s="1"/>
  <c r="B39" i="43" s="1"/>
  <c r="B40" i="43" s="1"/>
  <c r="B41" i="43" s="1"/>
  <c r="B42" i="43" s="1"/>
  <c r="B43" i="43" s="1"/>
  <c r="B44" i="43" s="1"/>
  <c r="B45" i="43" s="1"/>
  <c r="B46" i="43" s="1"/>
  <c r="B47" i="43" s="1"/>
  <c r="B48" i="43" s="1"/>
  <c r="B49" i="43" s="1"/>
  <c r="B50" i="43" s="1"/>
  <c r="B51" i="43" s="1"/>
  <c r="B52" i="43" s="1"/>
  <c r="B53" i="43" s="1"/>
  <c r="B54" i="43" s="1"/>
  <c r="B55" i="43" s="1"/>
  <c r="B56" i="43" s="1"/>
  <c r="B57" i="43" s="1"/>
  <c r="AD9" i="43"/>
  <c r="AF54" i="43"/>
  <c r="AF59" i="43"/>
  <c r="AF83" i="43"/>
  <c r="AF16" i="43"/>
  <c r="AF24" i="43"/>
  <c r="AF32" i="43"/>
  <c r="AF40" i="43"/>
  <c r="AF48" i="43"/>
  <c r="AF56" i="43"/>
  <c r="AF62" i="43"/>
  <c r="AF67" i="43"/>
  <c r="AF63" i="43"/>
  <c r="AF71" i="43"/>
  <c r="AF79" i="43"/>
  <c r="AF75" i="43"/>
  <c r="AF9" i="43"/>
  <c r="AF10" i="43"/>
  <c r="AF13" i="43"/>
  <c r="AF20" i="43"/>
  <c r="AF28" i="43"/>
  <c r="AF36" i="43"/>
  <c r="AF44" i="43"/>
  <c r="AF52" i="43"/>
  <c r="AF66" i="43"/>
  <c r="AO84" i="43"/>
  <c r="AG217" i="43"/>
  <c r="AF233" i="43"/>
  <c r="AS205" i="43"/>
  <c r="AE223" i="43"/>
  <c r="AJ223" i="43"/>
  <c r="AG233" i="43"/>
  <c r="AL223" i="43"/>
  <c r="AJ233" i="43"/>
  <c r="AE183" i="43"/>
  <c r="AQ223" i="43"/>
  <c r="AJ183" i="43"/>
  <c r="AJ225" i="43"/>
  <c r="AP189" i="43"/>
  <c r="AM175" i="43"/>
  <c r="AN167" i="43"/>
  <c r="AM167" i="43"/>
  <c r="AN192" i="43"/>
  <c r="AR229" i="43"/>
  <c r="AM196" i="43"/>
  <c r="AR234" i="43"/>
  <c r="AK234" i="43"/>
  <c r="AH234" i="43"/>
  <c r="AG234" i="43"/>
  <c r="AS234" i="43"/>
  <c r="AL234" i="43"/>
  <c r="AQ150" i="43"/>
  <c r="AO204" i="43"/>
  <c r="AH167" i="43"/>
  <c r="AG226" i="43"/>
  <c r="AK157" i="43"/>
  <c r="AI150" i="43"/>
  <c r="AR167" i="43"/>
  <c r="AS213" i="43"/>
  <c r="AN213" i="43"/>
  <c r="AO234" i="43"/>
  <c r="AK205" i="43"/>
  <c r="AK225" i="43"/>
  <c r="AL201" i="43"/>
  <c r="AK209" i="43"/>
  <c r="AP221" i="43"/>
  <c r="AL225" i="43"/>
  <c r="AK193" i="43"/>
  <c r="AL209" i="43"/>
  <c r="AK217" i="43"/>
  <c r="AN225" i="43"/>
  <c r="AN233" i="43"/>
  <c r="AO201" i="43"/>
  <c r="AD210" i="43"/>
  <c r="AD225" i="43"/>
  <c r="AO225" i="43"/>
  <c r="AO233" i="43"/>
  <c r="AK185" i="43"/>
  <c r="AF201" i="43"/>
  <c r="AD209" i="43"/>
  <c r="AO209" i="43"/>
  <c r="AN217" i="43"/>
  <c r="AF225" i="43"/>
  <c r="AP225" i="43"/>
  <c r="AR233" i="43"/>
  <c r="AF57" i="43"/>
  <c r="AF82" i="43"/>
  <c r="AR146" i="43"/>
  <c r="AF146" i="43"/>
  <c r="AS146" i="43"/>
  <c r="AH146" i="43"/>
  <c r="AL146" i="43"/>
  <c r="AO150" i="43"/>
  <c r="AP146" i="43"/>
  <c r="AD150" i="43"/>
  <c r="AS159" i="43"/>
  <c r="AK159" i="43"/>
  <c r="AG159" i="43"/>
  <c r="AQ159" i="43"/>
  <c r="AF159" i="43"/>
  <c r="AI159" i="43"/>
  <c r="AH159" i="43"/>
  <c r="AR159" i="43"/>
  <c r="AR150" i="43"/>
  <c r="AJ150" i="43"/>
  <c r="AM150" i="43"/>
  <c r="AH150" i="43"/>
  <c r="AL150" i="43"/>
  <c r="AM151" i="43"/>
  <c r="AL144" i="43"/>
  <c r="AM162" i="43"/>
  <c r="AD167" i="43"/>
  <c r="AI167" i="43"/>
  <c r="AS183" i="43"/>
  <c r="AO183" i="43"/>
  <c r="AK183" i="43"/>
  <c r="AG183" i="43"/>
  <c r="AN183" i="43"/>
  <c r="AI183" i="43"/>
  <c r="AD183" i="43"/>
  <c r="AQ183" i="43"/>
  <c r="AL183" i="43"/>
  <c r="AF183" i="43"/>
  <c r="AH183" i="43"/>
  <c r="AR183" i="43"/>
  <c r="AP191" i="43"/>
  <c r="AP199" i="43"/>
  <c r="AS167" i="43"/>
  <c r="AO167" i="43"/>
  <c r="AK167" i="43"/>
  <c r="AG167" i="43"/>
  <c r="AE167" i="43"/>
  <c r="AJ167" i="43"/>
  <c r="AP167" i="43"/>
  <c r="AQ187" i="43"/>
  <c r="AD195" i="43"/>
  <c r="AO203" i="43"/>
  <c r="AJ162" i="43"/>
  <c r="AP162" i="43"/>
  <c r="AF167" i="43"/>
  <c r="AL167" i="43"/>
  <c r="AQ167" i="43"/>
  <c r="AR170" i="43"/>
  <c r="AN170" i="43"/>
  <c r="AP170" i="43"/>
  <c r="AL170" i="43"/>
  <c r="AG170" i="43"/>
  <c r="AO170" i="43"/>
  <c r="AO175" i="43"/>
  <c r="AG175" i="43"/>
  <c r="AN175" i="43"/>
  <c r="AD175" i="43"/>
  <c r="AQ175" i="43"/>
  <c r="AR175" i="43"/>
  <c r="AM183" i="43"/>
  <c r="AG179" i="43"/>
  <c r="AR179" i="43"/>
  <c r="AO191" i="43"/>
  <c r="AG191" i="43"/>
  <c r="AN191" i="43"/>
  <c r="AD191" i="43"/>
  <c r="AR191" i="43"/>
  <c r="AM191" i="43"/>
  <c r="AQ191" i="43"/>
  <c r="AJ191" i="43"/>
  <c r="AS199" i="43"/>
  <c r="AO199" i="43"/>
  <c r="AK199" i="43"/>
  <c r="AG199" i="43"/>
  <c r="AN199" i="43"/>
  <c r="AI199" i="43"/>
  <c r="AD199" i="43"/>
  <c r="AR199" i="43"/>
  <c r="AM199" i="43"/>
  <c r="AH199" i="43"/>
  <c r="AQ199" i="43"/>
  <c r="AL199" i="43"/>
  <c r="AF199" i="43"/>
  <c r="AJ199" i="43"/>
  <c r="AO207" i="43"/>
  <c r="AG207" i="43"/>
  <c r="AN207" i="43"/>
  <c r="AD207" i="43"/>
  <c r="AM207" i="43"/>
  <c r="AN211" i="43"/>
  <c r="AE171" i="43"/>
  <c r="AR178" i="43"/>
  <c r="AP178" i="43"/>
  <c r="AJ186" i="43"/>
  <c r="AP186" i="43"/>
  <c r="AP194" i="43"/>
  <c r="AR202" i="43"/>
  <c r="AJ202" i="43"/>
  <c r="AP202" i="43"/>
  <c r="AP207" i="43"/>
  <c r="AS215" i="43"/>
  <c r="AO215" i="43"/>
  <c r="AG215" i="43"/>
  <c r="AI215" i="43"/>
  <c r="AM215" i="43"/>
  <c r="AH215" i="43"/>
  <c r="AQ215" i="43"/>
  <c r="AS235" i="43"/>
  <c r="AJ207" i="43"/>
  <c r="AQ207" i="43"/>
  <c r="AN227" i="43"/>
  <c r="AP227" i="43"/>
  <c r="AE141" i="43"/>
  <c r="AM157" i="43"/>
  <c r="AE161" i="43"/>
  <c r="AI161" i="43"/>
  <c r="AM161" i="43"/>
  <c r="AK171" i="43"/>
  <c r="AM178" i="43"/>
  <c r="AK180" i="43"/>
  <c r="AD184" i="43"/>
  <c r="AM186" i="43"/>
  <c r="AP192" i="43"/>
  <c r="AM194" i="43"/>
  <c r="AD200" i="43"/>
  <c r="AM202" i="43"/>
  <c r="AD204" i="43"/>
  <c r="AR207" i="43"/>
  <c r="AR210" i="43"/>
  <c r="AJ210" i="43"/>
  <c r="AF210" i="43"/>
  <c r="AS210" i="43"/>
  <c r="AH210" i="43"/>
  <c r="AL210" i="43"/>
  <c r="AE210" i="43"/>
  <c r="AP210" i="43"/>
  <c r="AL215" i="43"/>
  <c r="AR218" i="43"/>
  <c r="AN218" i="43"/>
  <c r="AJ218" i="43"/>
  <c r="AP218" i="43"/>
  <c r="AG218" i="43"/>
  <c r="AQ218" i="43"/>
  <c r="AS223" i="43"/>
  <c r="AO223" i="43"/>
  <c r="AK223" i="43"/>
  <c r="AG223" i="43"/>
  <c r="AN223" i="43"/>
  <c r="AI223" i="43"/>
  <c r="AD223" i="43"/>
  <c r="AF223" i="43"/>
  <c r="AM223" i="43"/>
  <c r="AS231" i="43"/>
  <c r="AO231" i="43"/>
  <c r="AK231" i="43"/>
  <c r="AG231" i="43"/>
  <c r="AR231" i="43"/>
  <c r="AN231" i="43"/>
  <c r="AJ231" i="43"/>
  <c r="AF231" i="43"/>
  <c r="AL231" i="43"/>
  <c r="AD231" i="43"/>
  <c r="AQ231" i="43"/>
  <c r="AI231" i="43"/>
  <c r="AH231" i="43"/>
  <c r="AE177" i="43"/>
  <c r="AI177" i="43"/>
  <c r="AM177" i="43"/>
  <c r="AE181" i="43"/>
  <c r="AE185" i="43"/>
  <c r="AI185" i="43"/>
  <c r="AM185" i="43"/>
  <c r="AE193" i="43"/>
  <c r="AI193" i="43"/>
  <c r="AM193" i="43"/>
  <c r="AE201" i="43"/>
  <c r="AI201" i="43"/>
  <c r="AM201" i="43"/>
  <c r="AD208" i="43"/>
  <c r="AL212" i="43"/>
  <c r="AK216" i="43"/>
  <c r="AM218" i="43"/>
  <c r="AH223" i="43"/>
  <c r="AP223" i="43"/>
  <c r="AM231" i="43"/>
  <c r="AM205" i="43"/>
  <c r="AE209" i="43"/>
  <c r="AI209" i="43"/>
  <c r="AM209" i="43"/>
  <c r="AE217" i="43"/>
  <c r="AI217" i="43"/>
  <c r="AM217" i="43"/>
  <c r="AS228" i="43"/>
  <c r="AK232" i="43"/>
  <c r="AM226" i="43"/>
  <c r="AQ226" i="43"/>
  <c r="AL229" i="43"/>
  <c r="AD233" i="43"/>
  <c r="AH233" i="43"/>
  <c r="AL233" i="43"/>
  <c r="AP233" i="43"/>
  <c r="AE234" i="43"/>
  <c r="AI234" i="43"/>
  <c r="AM234" i="43"/>
  <c r="AQ234" i="43"/>
  <c r="AE225" i="43"/>
  <c r="AI225" i="43"/>
  <c r="AM225" i="43"/>
  <c r="AJ226" i="43"/>
  <c r="AN226" i="43"/>
  <c r="AE233" i="43"/>
  <c r="AI233" i="43"/>
  <c r="AM233" i="43"/>
  <c r="AF234" i="43"/>
  <c r="AJ234" i="43"/>
  <c r="AN234" i="43"/>
  <c r="AG12" i="24"/>
  <c r="AG13" i="24"/>
  <c r="AG21" i="24"/>
  <c r="AG23" i="24"/>
  <c r="AG22" i="24"/>
  <c r="AG25" i="24"/>
  <c r="AG27" i="24"/>
  <c r="AG29" i="24"/>
  <c r="AG28" i="24"/>
  <c r="AG31" i="24"/>
  <c r="AG33" i="24"/>
  <c r="AG35" i="24"/>
  <c r="AG34" i="24"/>
  <c r="AG37" i="24"/>
  <c r="AG59" i="24"/>
  <c r="AG66" i="24"/>
  <c r="AG73" i="24"/>
  <c r="AG61" i="24"/>
  <c r="AG63" i="24"/>
  <c r="AG60" i="24"/>
  <c r="AG62" i="24"/>
  <c r="AG64" i="24"/>
  <c r="AG68" i="24"/>
  <c r="AG70" i="24"/>
  <c r="AG67" i="24"/>
  <c r="AG69" i="24"/>
  <c r="AG71" i="24"/>
  <c r="AG75" i="24"/>
  <c r="AG77" i="24"/>
  <c r="AG74" i="24"/>
  <c r="AG76" i="24"/>
  <c r="AG78" i="24"/>
  <c r="AG81" i="24"/>
  <c r="AG85" i="24"/>
  <c r="AG82" i="24"/>
  <c r="AG84" i="24"/>
  <c r="AG87" i="24"/>
  <c r="AG90" i="24"/>
  <c r="AG88" i="24"/>
  <c r="AG89" i="24"/>
  <c r="AG92" i="24"/>
  <c r="AG94" i="24"/>
  <c r="AG93" i="24"/>
  <c r="AG95" i="24"/>
  <c r="AG118" i="24"/>
  <c r="AG121" i="24"/>
  <c r="AG124" i="24"/>
  <c r="AG119" i="24"/>
  <c r="AG122" i="24"/>
  <c r="AG126" i="24"/>
  <c r="AG134" i="24"/>
  <c r="AG135" i="24"/>
  <c r="AG136" i="24"/>
  <c r="AG137" i="24"/>
  <c r="AG138" i="24"/>
  <c r="AG139" i="24"/>
  <c r="AG140" i="24"/>
  <c r="AG143" i="24"/>
  <c r="AG144" i="24"/>
  <c r="AG145" i="24"/>
  <c r="AG146" i="24"/>
  <c r="AG147" i="24"/>
  <c r="AG148" i="24"/>
  <c r="AG149" i="24"/>
  <c r="AG150" i="24"/>
  <c r="AG151" i="24"/>
  <c r="AG152" i="24"/>
  <c r="AG153" i="24"/>
  <c r="AG154" i="24"/>
  <c r="AG155" i="24"/>
  <c r="AG156" i="24"/>
  <c r="AG157" i="24"/>
  <c r="AG158" i="24"/>
  <c r="AG159" i="24"/>
  <c r="AG160" i="24"/>
  <c r="AG161" i="24"/>
  <c r="AG162" i="24"/>
  <c r="AG163" i="24"/>
  <c r="AG164" i="24"/>
  <c r="AG165" i="24"/>
  <c r="AG166" i="24"/>
  <c r="AG167" i="24"/>
  <c r="AG168" i="24"/>
  <c r="AG169" i="24"/>
  <c r="AG172" i="24"/>
  <c r="AG173" i="24"/>
  <c r="AG177" i="24"/>
  <c r="AG182" i="24"/>
  <c r="AG186" i="24"/>
  <c r="AG187" i="24"/>
  <c r="AG188" i="24"/>
  <c r="AG189" i="24"/>
  <c r="AG190" i="24"/>
  <c r="AG191" i="24"/>
  <c r="AG197" i="24"/>
  <c r="AG198" i="24"/>
  <c r="AG199" i="24"/>
  <c r="AG200" i="24"/>
  <c r="AG201" i="24"/>
  <c r="AG204" i="24"/>
  <c r="AG205" i="24"/>
  <c r="AG207" i="24"/>
  <c r="AG208" i="24"/>
  <c r="AG212" i="24"/>
  <c r="AG213" i="24"/>
  <c r="AG214" i="24"/>
  <c r="AG216" i="24"/>
  <c r="AG218" i="24"/>
  <c r="AG219" i="24"/>
  <c r="AG220" i="24"/>
  <c r="AG221" i="24"/>
  <c r="AG222" i="24"/>
  <c r="AG223" i="24"/>
  <c r="AG224" i="24"/>
  <c r="AG225" i="24"/>
  <c r="AG226" i="24"/>
  <c r="AG227" i="24"/>
  <c r="AG228" i="24"/>
  <c r="AG229" i="24"/>
  <c r="AG230" i="24"/>
  <c r="AG231" i="24"/>
  <c r="AG232" i="24"/>
  <c r="AG233" i="24"/>
  <c r="AG234" i="24"/>
  <c r="AG235" i="24"/>
  <c r="AG238" i="24"/>
  <c r="AG245" i="24"/>
  <c r="AG246" i="24"/>
  <c r="AG247" i="24"/>
  <c r="AG249" i="24"/>
  <c r="AG250" i="24"/>
  <c r="AG251" i="24"/>
  <c r="AG252" i="24"/>
  <c r="AG253" i="24"/>
  <c r="AJ13" i="24"/>
  <c r="AJ21" i="24"/>
  <c r="AJ23" i="24"/>
  <c r="AJ22" i="24"/>
  <c r="AJ25" i="24"/>
  <c r="AJ27" i="24"/>
  <c r="AJ29" i="24"/>
  <c r="AJ28" i="24"/>
  <c r="AJ31" i="24"/>
  <c r="AJ33" i="24"/>
  <c r="AJ35" i="24"/>
  <c r="AJ34" i="24"/>
  <c r="AJ37" i="24"/>
  <c r="AJ59" i="24"/>
  <c r="AJ66" i="24"/>
  <c r="AJ73" i="24"/>
  <c r="AJ61" i="24"/>
  <c r="AJ63" i="24"/>
  <c r="AJ60" i="24"/>
  <c r="AJ62" i="24"/>
  <c r="AJ64" i="24"/>
  <c r="AJ68" i="24"/>
  <c r="AJ70" i="24"/>
  <c r="AJ67" i="24"/>
  <c r="AJ69" i="24"/>
  <c r="AJ71" i="24"/>
  <c r="AJ75" i="24"/>
  <c r="AJ77" i="24"/>
  <c r="AJ74" i="24"/>
  <c r="AJ76" i="24"/>
  <c r="AJ78" i="24"/>
  <c r="AJ81" i="24"/>
  <c r="AJ85" i="24"/>
  <c r="AJ82" i="24"/>
  <c r="AJ84" i="24"/>
  <c r="AJ87" i="24"/>
  <c r="AJ90" i="24"/>
  <c r="AJ88" i="24"/>
  <c r="AJ89" i="24"/>
  <c r="AJ92" i="24"/>
  <c r="AJ94" i="24"/>
  <c r="AJ93" i="24"/>
  <c r="AJ95" i="24"/>
  <c r="AJ118" i="24"/>
  <c r="AJ121" i="24"/>
  <c r="AJ124" i="24"/>
  <c r="AJ119" i="24"/>
  <c r="AJ122" i="24"/>
  <c r="AJ126" i="24"/>
  <c r="AJ134" i="24"/>
  <c r="AJ135" i="24"/>
  <c r="AJ136" i="24"/>
  <c r="AJ137" i="24"/>
  <c r="AJ138" i="24"/>
  <c r="AJ139" i="24"/>
  <c r="AJ140" i="24"/>
  <c r="AJ143" i="24"/>
  <c r="AJ144" i="24"/>
  <c r="AJ145" i="24"/>
  <c r="AJ146" i="24"/>
  <c r="AJ147" i="24"/>
  <c r="AJ148" i="24"/>
  <c r="AJ149" i="24"/>
  <c r="AJ150" i="24"/>
  <c r="AJ151" i="24"/>
  <c r="AJ152" i="24"/>
  <c r="AJ153" i="24"/>
  <c r="AJ154" i="24"/>
  <c r="AJ155" i="24"/>
  <c r="AJ156" i="24"/>
  <c r="AJ157" i="24"/>
  <c r="AJ158" i="24"/>
  <c r="AJ159" i="24"/>
  <c r="AJ160" i="24"/>
  <c r="AJ161" i="24"/>
  <c r="AJ162" i="24"/>
  <c r="AJ163" i="24"/>
  <c r="AJ164" i="24"/>
  <c r="AJ165" i="24"/>
  <c r="AJ166" i="24"/>
  <c r="AJ167" i="24"/>
  <c r="AJ168" i="24"/>
  <c r="AJ169" i="24"/>
  <c r="AJ172" i="24"/>
  <c r="AJ173" i="24"/>
  <c r="AJ177" i="24"/>
  <c r="AJ182" i="24"/>
  <c r="AJ186" i="24"/>
  <c r="AJ187" i="24"/>
  <c r="AJ188" i="24"/>
  <c r="AJ189" i="24"/>
  <c r="AJ190" i="24"/>
  <c r="AJ191" i="24"/>
  <c r="AJ197" i="24"/>
  <c r="AJ198" i="24"/>
  <c r="AJ199" i="24"/>
  <c r="AJ200" i="24"/>
  <c r="AJ201" i="24"/>
  <c r="AJ204" i="24"/>
  <c r="AJ205" i="24"/>
  <c r="AJ207" i="24"/>
  <c r="AJ208" i="24"/>
  <c r="AJ212" i="24"/>
  <c r="AJ213" i="24"/>
  <c r="AJ214" i="24"/>
  <c r="AJ216" i="24"/>
  <c r="AJ218" i="24"/>
  <c r="AJ219" i="24"/>
  <c r="AJ220" i="24"/>
  <c r="AJ221" i="24"/>
  <c r="AJ222" i="24"/>
  <c r="AJ223" i="24"/>
  <c r="AJ224" i="24"/>
  <c r="AJ225" i="24"/>
  <c r="AJ226" i="24"/>
  <c r="AJ227" i="24"/>
  <c r="AJ228" i="24"/>
  <c r="AJ229" i="24"/>
  <c r="AJ230" i="24"/>
  <c r="AJ231" i="24"/>
  <c r="AJ232" i="24"/>
  <c r="AJ233" i="24"/>
  <c r="AJ234" i="24"/>
  <c r="AJ235" i="24"/>
  <c r="AJ238" i="24"/>
  <c r="AJ245" i="24"/>
  <c r="AJ246" i="24"/>
  <c r="AJ247" i="24"/>
  <c r="AJ249" i="24"/>
  <c r="AJ250" i="24"/>
  <c r="AJ251" i="24"/>
  <c r="AJ252" i="24"/>
  <c r="AJ253" i="24"/>
  <c r="AG9" i="25"/>
  <c r="AG10" i="25"/>
  <c r="AG11" i="25"/>
  <c r="AG12" i="25"/>
  <c r="AG13" i="25"/>
  <c r="AG14" i="25"/>
  <c r="AG15" i="25"/>
  <c r="AG16" i="25"/>
  <c r="AG17" i="25"/>
  <c r="AG18" i="25"/>
  <c r="AG19" i="25"/>
  <c r="AG20" i="25"/>
  <c r="AG21" i="25"/>
  <c r="AG22" i="25"/>
  <c r="AG23" i="25"/>
  <c r="AG24" i="25"/>
  <c r="AG25" i="25"/>
  <c r="AG26" i="25"/>
  <c r="AG28" i="25"/>
  <c r="AG29" i="25"/>
  <c r="AG30" i="25"/>
  <c r="AG31" i="25"/>
  <c r="AG32" i="25"/>
  <c r="AG33" i="25"/>
  <c r="AG34" i="25"/>
  <c r="AG35" i="25"/>
  <c r="AG36" i="25"/>
  <c r="AG37" i="25"/>
  <c r="AG38" i="25"/>
  <c r="AG39" i="25"/>
  <c r="AG40" i="25"/>
  <c r="AG41" i="25"/>
  <c r="AG44" i="25"/>
  <c r="AG45" i="25"/>
  <c r="AG46" i="25"/>
  <c r="AG47" i="25"/>
  <c r="AG48" i="25"/>
  <c r="AG49" i="25"/>
  <c r="AG50" i="25"/>
  <c r="AG51" i="25"/>
  <c r="AG52" i="25"/>
  <c r="AG53" i="25"/>
  <c r="AG54" i="25"/>
  <c r="AG55" i="25"/>
  <c r="AG56" i="25"/>
  <c r="AG57" i="25"/>
  <c r="AG58" i="25"/>
  <c r="AG59" i="25"/>
  <c r="AG60" i="25"/>
  <c r="AG61" i="25"/>
  <c r="AG62" i="25"/>
  <c r="AG63" i="25"/>
  <c r="AG64" i="25"/>
  <c r="AG65" i="25"/>
  <c r="AG66" i="25"/>
  <c r="AG67" i="25"/>
  <c r="AG68" i="25"/>
  <c r="AG69" i="25"/>
  <c r="AG70" i="25"/>
  <c r="AG71" i="25"/>
  <c r="AJ9" i="25"/>
  <c r="AJ10" i="25"/>
  <c r="AJ11" i="25"/>
  <c r="AJ12" i="25"/>
  <c r="AJ13" i="25"/>
  <c r="AJ14" i="25"/>
  <c r="AJ15" i="25"/>
  <c r="AJ16" i="25"/>
  <c r="AJ17" i="25"/>
  <c r="AJ18" i="25"/>
  <c r="AJ19" i="25"/>
  <c r="AJ20" i="25"/>
  <c r="AJ21" i="25"/>
  <c r="AJ22" i="25"/>
  <c r="AJ23" i="25"/>
  <c r="AJ24" i="25"/>
  <c r="AJ25" i="25"/>
  <c r="AJ26" i="25"/>
  <c r="AJ28" i="25"/>
  <c r="AJ29" i="25"/>
  <c r="AJ30" i="25"/>
  <c r="AJ31" i="25"/>
  <c r="AJ32" i="25"/>
  <c r="AJ33" i="25"/>
  <c r="AJ34" i="25"/>
  <c r="AJ35" i="25"/>
  <c r="AJ36" i="25"/>
  <c r="AJ37" i="25"/>
  <c r="AJ38" i="25"/>
  <c r="AJ39" i="25"/>
  <c r="AJ40" i="25"/>
  <c r="AJ41" i="25"/>
  <c r="AJ44" i="25"/>
  <c r="AJ45" i="25"/>
  <c r="AJ46" i="25"/>
  <c r="AJ47" i="25"/>
  <c r="AJ48" i="25"/>
  <c r="AJ49" i="25"/>
  <c r="AJ50" i="25"/>
  <c r="AJ51" i="25"/>
  <c r="AJ52" i="25"/>
  <c r="AJ53" i="25"/>
  <c r="AJ54" i="25"/>
  <c r="AJ55" i="25"/>
  <c r="AJ56" i="25"/>
  <c r="AJ57" i="25"/>
  <c r="AJ58" i="25"/>
  <c r="AJ59" i="25"/>
  <c r="AJ60" i="25"/>
  <c r="AJ61" i="25"/>
  <c r="AJ62" i="25"/>
  <c r="AJ63" i="25"/>
  <c r="AJ64" i="25"/>
  <c r="AJ65" i="25"/>
  <c r="AJ66" i="25"/>
  <c r="AJ67" i="25"/>
  <c r="AJ68" i="25"/>
  <c r="AJ69" i="25"/>
  <c r="AJ70" i="25"/>
  <c r="AJ71" i="25"/>
  <c r="AG10" i="26"/>
  <c r="AG11" i="26"/>
  <c r="AG12" i="26"/>
  <c r="AG13" i="26"/>
  <c r="AG14" i="26"/>
  <c r="AG15" i="26"/>
  <c r="AG16" i="26"/>
  <c r="AG17" i="26"/>
  <c r="AG18" i="26"/>
  <c r="AG19" i="26"/>
  <c r="AG20" i="26"/>
  <c r="AG21" i="26"/>
  <c r="AG22" i="26"/>
  <c r="AG23" i="26"/>
  <c r="AG24" i="26"/>
  <c r="AG25" i="26"/>
  <c r="AG26" i="26"/>
  <c r="S27" i="26"/>
  <c r="AG28" i="26"/>
  <c r="AG29" i="26"/>
  <c r="AG30" i="26"/>
  <c r="AG31" i="26"/>
  <c r="AG32" i="26"/>
  <c r="AG33" i="26"/>
  <c r="AG34" i="26"/>
  <c r="AG35" i="26"/>
  <c r="AG36" i="26"/>
  <c r="AG37" i="26"/>
  <c r="AG38" i="26"/>
  <c r="AG39" i="26"/>
  <c r="AG40" i="26"/>
  <c r="AG41" i="26"/>
  <c r="AG44" i="26"/>
  <c r="AG45" i="26"/>
  <c r="AG46" i="26"/>
  <c r="AG47" i="26"/>
  <c r="AG48" i="26"/>
  <c r="AG49" i="26"/>
  <c r="AG50" i="26"/>
  <c r="AG54" i="26"/>
  <c r="AG55" i="26"/>
  <c r="AG56" i="26"/>
  <c r="AG57" i="26"/>
  <c r="AG58" i="26"/>
  <c r="AG59" i="26"/>
  <c r="AG60" i="26"/>
  <c r="AG61" i="26"/>
  <c r="AG62" i="26"/>
  <c r="AG63" i="26"/>
  <c r="AG64" i="26"/>
  <c r="AG69" i="26"/>
  <c r="AG70" i="26"/>
  <c r="AG71" i="26"/>
  <c r="AG72" i="26"/>
  <c r="AG73" i="26"/>
  <c r="AG74" i="26"/>
  <c r="AJ10" i="26"/>
  <c r="AJ11" i="26"/>
  <c r="AJ12" i="26"/>
  <c r="AJ13" i="26"/>
  <c r="AJ14" i="26"/>
  <c r="AJ15" i="26"/>
  <c r="AJ16" i="26"/>
  <c r="AJ17" i="26"/>
  <c r="AJ18" i="26"/>
  <c r="AJ19" i="26"/>
  <c r="AJ20" i="26"/>
  <c r="AJ21" i="26"/>
  <c r="AJ22" i="26"/>
  <c r="AJ23" i="26"/>
  <c r="AJ24" i="26"/>
  <c r="AJ25" i="26"/>
  <c r="AJ26" i="26"/>
  <c r="AJ28" i="26"/>
  <c r="AJ29" i="26"/>
  <c r="AJ30" i="26"/>
  <c r="AJ31" i="26"/>
  <c r="AJ32" i="26"/>
  <c r="AJ33" i="26"/>
  <c r="AJ34" i="26"/>
  <c r="AJ35" i="26"/>
  <c r="AJ36" i="26"/>
  <c r="AJ37" i="26"/>
  <c r="AJ38" i="26"/>
  <c r="AJ39" i="26"/>
  <c r="AJ40" i="26"/>
  <c r="AJ41" i="26"/>
  <c r="AJ44" i="26"/>
  <c r="AJ45" i="26"/>
  <c r="AJ46" i="26"/>
  <c r="AJ47" i="26"/>
  <c r="AJ48" i="26"/>
  <c r="AJ49" i="26"/>
  <c r="AJ50" i="26"/>
  <c r="AJ54" i="26"/>
  <c r="AJ55" i="26"/>
  <c r="AJ56" i="26"/>
  <c r="AJ57" i="26"/>
  <c r="AJ58" i="26"/>
  <c r="AJ59" i="26"/>
  <c r="AJ60" i="26"/>
  <c r="AJ61" i="26"/>
  <c r="AJ62" i="26"/>
  <c r="AJ63" i="26"/>
  <c r="AJ64" i="26"/>
  <c r="AJ69" i="26"/>
  <c r="AJ70" i="26"/>
  <c r="AJ71" i="26"/>
  <c r="AJ72" i="26"/>
  <c r="AJ73" i="26"/>
  <c r="AJ74" i="26"/>
  <c r="AG10" i="27"/>
  <c r="AG11" i="27"/>
  <c r="AG12" i="27"/>
  <c r="AG13" i="27"/>
  <c r="AG14" i="27"/>
  <c r="AG15" i="27"/>
  <c r="AG16" i="27"/>
  <c r="AG17" i="27"/>
  <c r="AG18" i="27"/>
  <c r="AG19" i="27"/>
  <c r="AG20" i="27"/>
  <c r="AG21" i="27"/>
  <c r="AG22" i="27"/>
  <c r="AG23" i="27"/>
  <c r="AG24" i="27"/>
  <c r="AG25" i="27"/>
  <c r="AG26" i="27"/>
  <c r="AG27" i="27"/>
  <c r="AG28" i="27"/>
  <c r="AG29" i="27"/>
  <c r="AG30" i="27"/>
  <c r="AG31" i="27"/>
  <c r="AG32" i="27"/>
  <c r="AG33" i="27"/>
  <c r="AG34" i="27"/>
  <c r="AG35" i="27"/>
  <c r="AG36" i="27"/>
  <c r="AG37" i="27"/>
  <c r="AG38" i="27"/>
  <c r="AG39" i="27"/>
  <c r="AG40" i="27"/>
  <c r="AG41" i="27"/>
  <c r="AG44" i="27"/>
  <c r="AG45" i="27"/>
  <c r="AG46" i="27"/>
  <c r="AG47" i="27"/>
  <c r="AG48" i="27"/>
  <c r="AG49" i="27"/>
  <c r="AG52" i="27"/>
  <c r="AG54" i="27"/>
  <c r="AG55" i="27"/>
  <c r="AG56" i="27"/>
  <c r="AG57" i="27"/>
  <c r="AG58" i="27"/>
  <c r="AG59" i="27"/>
  <c r="AG60" i="27"/>
  <c r="AG61" i="27"/>
  <c r="AG62" i="27"/>
  <c r="AG68" i="27"/>
  <c r="AG69" i="27"/>
  <c r="AG70" i="27"/>
  <c r="AG71" i="27"/>
  <c r="AG72" i="27"/>
  <c r="AG73" i="27"/>
  <c r="AG74" i="27"/>
  <c r="AJ10" i="27"/>
  <c r="AJ11" i="27"/>
  <c r="AJ12" i="27"/>
  <c r="AJ13" i="27"/>
  <c r="AJ14" i="27"/>
  <c r="AJ15" i="27"/>
  <c r="AJ16" i="27"/>
  <c r="AJ17" i="27"/>
  <c r="AJ18" i="27"/>
  <c r="AJ19" i="27"/>
  <c r="AJ20" i="27"/>
  <c r="AJ21" i="27"/>
  <c r="AJ22" i="27"/>
  <c r="AJ23" i="27"/>
  <c r="AJ24" i="27"/>
  <c r="AJ25" i="27"/>
  <c r="AJ26" i="27"/>
  <c r="AJ27" i="27"/>
  <c r="AJ28" i="27"/>
  <c r="AJ29" i="27"/>
  <c r="AJ30" i="27"/>
  <c r="AJ31" i="27"/>
  <c r="AJ32" i="27"/>
  <c r="AJ33" i="27"/>
  <c r="AJ34" i="27"/>
  <c r="AJ35" i="27"/>
  <c r="AJ36" i="27"/>
  <c r="AJ37" i="27"/>
  <c r="AJ38" i="27"/>
  <c r="AJ39" i="27"/>
  <c r="AJ40" i="27"/>
  <c r="AJ41" i="27"/>
  <c r="AJ44" i="27"/>
  <c r="AJ45" i="27"/>
  <c r="AJ46" i="27"/>
  <c r="AJ47" i="27"/>
  <c r="AJ48" i="27"/>
  <c r="AJ49" i="27"/>
  <c r="AJ52" i="27"/>
  <c r="AJ54" i="27"/>
  <c r="AJ55" i="27"/>
  <c r="AJ56" i="27"/>
  <c r="AJ57" i="27"/>
  <c r="AJ58" i="27"/>
  <c r="AJ59" i="27"/>
  <c r="AJ60" i="27"/>
  <c r="AJ61" i="27"/>
  <c r="AJ62" i="27"/>
  <c r="AJ68" i="27"/>
  <c r="AJ69" i="27"/>
  <c r="AJ70" i="27"/>
  <c r="AJ71" i="27"/>
  <c r="AJ72" i="27"/>
  <c r="AJ73" i="27"/>
  <c r="AJ74" i="27"/>
  <c r="AG10" i="22"/>
  <c r="AG11" i="22"/>
  <c r="AG12" i="22"/>
  <c r="AG13" i="22"/>
  <c r="AG215" i="22" s="1"/>
  <c r="AG14" i="22"/>
  <c r="AG15" i="22"/>
  <c r="AG18" i="22"/>
  <c r="AG19" i="22"/>
  <c r="AG20" i="22"/>
  <c r="AG21" i="22"/>
  <c r="AG22" i="22"/>
  <c r="AG23" i="22"/>
  <c r="AG24" i="22"/>
  <c r="AG25" i="22"/>
  <c r="AG26" i="22"/>
  <c r="AG27" i="22"/>
  <c r="AG28" i="22"/>
  <c r="AG29" i="22"/>
  <c r="AG30" i="22"/>
  <c r="AG31" i="22"/>
  <c r="AG32" i="22"/>
  <c r="AG33" i="22"/>
  <c r="AG34" i="22"/>
  <c r="AG35" i="22"/>
  <c r="AG36" i="22"/>
  <c r="AG37" i="22"/>
  <c r="AG38" i="22"/>
  <c r="AG39" i="22"/>
  <c r="AG40" i="22"/>
  <c r="AG41" i="22"/>
  <c r="AG42" i="22"/>
  <c r="AG43" i="22"/>
  <c r="AG44" i="22"/>
  <c r="AG45" i="22"/>
  <c r="AG46" i="22"/>
  <c r="AG47" i="22"/>
  <c r="AG48" i="22"/>
  <c r="AG49" i="22"/>
  <c r="AG50" i="22"/>
  <c r="AG51" i="22"/>
  <c r="AG52" i="22"/>
  <c r="AG53" i="22"/>
  <c r="AG54" i="22"/>
  <c r="AG55" i="22"/>
  <c r="AG56" i="22"/>
  <c r="AG57" i="22"/>
  <c r="AG58" i="22"/>
  <c r="AG59" i="22"/>
  <c r="AG60" i="22"/>
  <c r="AG61" i="22"/>
  <c r="AG62" i="22"/>
  <c r="AG63" i="22"/>
  <c r="AG64" i="22"/>
  <c r="AG65" i="22"/>
  <c r="AG66" i="22"/>
  <c r="AG67" i="22"/>
  <c r="AG68" i="22"/>
  <c r="AG69" i="22"/>
  <c r="AG70" i="22"/>
  <c r="AG71" i="22"/>
  <c r="AG72" i="22"/>
  <c r="AG73" i="22"/>
  <c r="AG74" i="22"/>
  <c r="AG75" i="22"/>
  <c r="AG76" i="22"/>
  <c r="AG77" i="22"/>
  <c r="AG78" i="22"/>
  <c r="AG79" i="22"/>
  <c r="AG80" i="22"/>
  <c r="AG81" i="22"/>
  <c r="AG82" i="22"/>
  <c r="AG83" i="22"/>
  <c r="AG84" i="22"/>
  <c r="AG85" i="22"/>
  <c r="AG86" i="22"/>
  <c r="AG87" i="22"/>
  <c r="AG88" i="22"/>
  <c r="AG89" i="22"/>
  <c r="AG90" i="22"/>
  <c r="AG91" i="22"/>
  <c r="AG92" i="22"/>
  <c r="AG93" i="22"/>
  <c r="AG94" i="22"/>
  <c r="AG95" i="22"/>
  <c r="AG96" i="22"/>
  <c r="AG97" i="22"/>
  <c r="AG98" i="22"/>
  <c r="AG99" i="22"/>
  <c r="AG100" i="22"/>
  <c r="AG101" i="22"/>
  <c r="AG102" i="22"/>
  <c r="AG103" i="22"/>
  <c r="AG104" i="22"/>
  <c r="AG105" i="22"/>
  <c r="AG106" i="22"/>
  <c r="AG107" i="22"/>
  <c r="AG108" i="22"/>
  <c r="AG109" i="22"/>
  <c r="AG110" i="22"/>
  <c r="AG111" i="22"/>
  <c r="AG112" i="22"/>
  <c r="AG113" i="22"/>
  <c r="AG114" i="22"/>
  <c r="AG115" i="22"/>
  <c r="AG116" i="22"/>
  <c r="AG117" i="22"/>
  <c r="AG118" i="22"/>
  <c r="AG119" i="22"/>
  <c r="AG120" i="22"/>
  <c r="AG121" i="22"/>
  <c r="AG122" i="22"/>
  <c r="AG123" i="22"/>
  <c r="AG124" i="22"/>
  <c r="AG125" i="22"/>
  <c r="AG126" i="22"/>
  <c r="AG127" i="22"/>
  <c r="AG128" i="22"/>
  <c r="AG129" i="22"/>
  <c r="AG130" i="22"/>
  <c r="AG131" i="22"/>
  <c r="AG132" i="22"/>
  <c r="AG133" i="22"/>
  <c r="AG134" i="22"/>
  <c r="AG135" i="22"/>
  <c r="AG136" i="22"/>
  <c r="AG137" i="22"/>
  <c r="AG138" i="22"/>
  <c r="AG139" i="22"/>
  <c r="AG140" i="22"/>
  <c r="AG141" i="22"/>
  <c r="AG142" i="22"/>
  <c r="AG143" i="22"/>
  <c r="AG144" i="22"/>
  <c r="AG145" i="22"/>
  <c r="AG146" i="22"/>
  <c r="AJ10" i="22"/>
  <c r="AJ11" i="22"/>
  <c r="AJ12" i="22"/>
  <c r="AJ14" i="22"/>
  <c r="AJ15" i="22"/>
  <c r="AJ18" i="22"/>
  <c r="AJ19" i="22"/>
  <c r="AJ20" i="22"/>
  <c r="AJ21" i="22"/>
  <c r="AJ22" i="22"/>
  <c r="AJ23" i="22"/>
  <c r="AJ24" i="22"/>
  <c r="AJ25" i="22"/>
  <c r="AJ26" i="22"/>
  <c r="AJ27" i="22"/>
  <c r="AJ28" i="22"/>
  <c r="AJ29" i="22"/>
  <c r="AJ30" i="22"/>
  <c r="AJ31" i="22"/>
  <c r="AJ32" i="22"/>
  <c r="AJ33" i="22"/>
  <c r="AJ34" i="22"/>
  <c r="AJ35" i="22"/>
  <c r="AJ36" i="22"/>
  <c r="AJ37" i="22"/>
  <c r="AJ38" i="22"/>
  <c r="AJ39" i="22"/>
  <c r="AJ40" i="22"/>
  <c r="AJ41" i="22"/>
  <c r="AJ42" i="22"/>
  <c r="AJ43" i="22"/>
  <c r="AJ44" i="22"/>
  <c r="AJ45" i="22"/>
  <c r="AJ46" i="22"/>
  <c r="AJ47" i="22"/>
  <c r="AJ48" i="22"/>
  <c r="AJ49" i="22"/>
  <c r="AJ50" i="22"/>
  <c r="AJ51" i="22"/>
  <c r="AJ52" i="22"/>
  <c r="AJ53" i="22"/>
  <c r="AJ54" i="22"/>
  <c r="AJ55" i="22"/>
  <c r="AJ56" i="22"/>
  <c r="AJ57" i="22"/>
  <c r="AJ58" i="22"/>
  <c r="AJ59" i="22"/>
  <c r="AJ60" i="22"/>
  <c r="AJ61" i="22"/>
  <c r="AJ62" i="22"/>
  <c r="AJ63" i="22"/>
  <c r="AJ64" i="22"/>
  <c r="AJ65" i="22"/>
  <c r="AJ66" i="22"/>
  <c r="AJ67" i="22"/>
  <c r="AJ68" i="22"/>
  <c r="AJ69" i="22"/>
  <c r="AJ70" i="22"/>
  <c r="AJ71" i="22"/>
  <c r="AJ72" i="22"/>
  <c r="AJ73" i="22"/>
  <c r="AJ74" i="22"/>
  <c r="AJ75" i="22"/>
  <c r="AJ76" i="22"/>
  <c r="AJ77" i="22"/>
  <c r="AJ78" i="22"/>
  <c r="AJ79" i="22"/>
  <c r="AJ80" i="22"/>
  <c r="AJ81" i="22"/>
  <c r="AJ82" i="22"/>
  <c r="AJ83" i="22"/>
  <c r="AJ84" i="22"/>
  <c r="AJ85" i="22"/>
  <c r="AJ86" i="22"/>
  <c r="AJ87" i="22"/>
  <c r="AJ88" i="22"/>
  <c r="AJ89" i="22"/>
  <c r="AJ90" i="22"/>
  <c r="AJ91" i="22"/>
  <c r="AJ92" i="22"/>
  <c r="AJ93" i="22"/>
  <c r="AJ94" i="22"/>
  <c r="AJ95" i="22"/>
  <c r="AJ96" i="22"/>
  <c r="AJ97" i="22"/>
  <c r="AJ98" i="22"/>
  <c r="AJ99" i="22"/>
  <c r="AJ100" i="22"/>
  <c r="AJ101" i="22"/>
  <c r="AJ102" i="22"/>
  <c r="AJ103" i="22"/>
  <c r="AJ104" i="22"/>
  <c r="AJ105" i="22"/>
  <c r="AJ106" i="22"/>
  <c r="AJ107" i="22"/>
  <c r="AJ108" i="22"/>
  <c r="AJ109" i="22"/>
  <c r="AJ110" i="22"/>
  <c r="AJ111" i="22"/>
  <c r="AJ112" i="22"/>
  <c r="AJ113" i="22"/>
  <c r="AJ114" i="22"/>
  <c r="AJ115" i="22"/>
  <c r="AJ116" i="22"/>
  <c r="AJ117" i="22"/>
  <c r="AJ118" i="22"/>
  <c r="AJ119" i="22"/>
  <c r="AJ120" i="22"/>
  <c r="AJ121" i="22"/>
  <c r="AJ122" i="22"/>
  <c r="AJ123" i="22"/>
  <c r="AJ124" i="22"/>
  <c r="AJ125" i="22"/>
  <c r="AJ126" i="22"/>
  <c r="AJ127" i="22"/>
  <c r="AJ128" i="22"/>
  <c r="AJ129" i="22"/>
  <c r="AJ130" i="22"/>
  <c r="AJ131" i="22"/>
  <c r="AJ132" i="22"/>
  <c r="AJ133" i="22"/>
  <c r="AJ134" i="22"/>
  <c r="AJ135" i="22"/>
  <c r="AJ136" i="22"/>
  <c r="AJ137" i="22"/>
  <c r="AJ138" i="22"/>
  <c r="AJ139" i="22"/>
  <c r="AJ140" i="22"/>
  <c r="AJ141" i="22"/>
  <c r="AJ142" i="22"/>
  <c r="AJ143" i="22"/>
  <c r="AJ144" i="22"/>
  <c r="AJ145" i="22"/>
  <c r="AJ146" i="22"/>
  <c r="S13" i="24"/>
  <c r="S21" i="24"/>
  <c r="S23" i="24"/>
  <c r="S22" i="24"/>
  <c r="S25" i="24"/>
  <c r="S27" i="24"/>
  <c r="S29" i="24"/>
  <c r="S28" i="24"/>
  <c r="S31" i="24"/>
  <c r="S33" i="24"/>
  <c r="S35" i="24"/>
  <c r="S34" i="24"/>
  <c r="S37" i="24"/>
  <c r="S59" i="24"/>
  <c r="S66" i="24"/>
  <c r="S73" i="24"/>
  <c r="S61" i="24"/>
  <c r="S63" i="24"/>
  <c r="S60" i="24"/>
  <c r="S62" i="24"/>
  <c r="S64" i="24"/>
  <c r="S68" i="24"/>
  <c r="S70" i="24"/>
  <c r="S67" i="24"/>
  <c r="S69" i="24"/>
  <c r="S71" i="24"/>
  <c r="S75" i="24"/>
  <c r="S77" i="24"/>
  <c r="S74" i="24"/>
  <c r="S76" i="24"/>
  <c r="S78" i="24"/>
  <c r="S81" i="24"/>
  <c r="S85" i="24"/>
  <c r="S82" i="24"/>
  <c r="S84" i="24"/>
  <c r="S87" i="24"/>
  <c r="S90" i="24"/>
  <c r="S88" i="24"/>
  <c r="S89" i="24"/>
  <c r="S92" i="24"/>
  <c r="S94" i="24"/>
  <c r="S93" i="24"/>
  <c r="S95" i="24"/>
  <c r="S118" i="24"/>
  <c r="S121" i="24"/>
  <c r="S124" i="24"/>
  <c r="S119" i="24"/>
  <c r="S122" i="24"/>
  <c r="S126" i="24"/>
  <c r="S134" i="24"/>
  <c r="S135" i="24"/>
  <c r="S136" i="24"/>
  <c r="S137" i="24"/>
  <c r="S138" i="24"/>
  <c r="S139" i="24"/>
  <c r="S140"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2" i="24"/>
  <c r="S173" i="24"/>
  <c r="S177" i="24"/>
  <c r="T177" i="24" s="1"/>
  <c r="S182" i="24"/>
  <c r="S186" i="24"/>
  <c r="S187" i="24"/>
  <c r="S188" i="24"/>
  <c r="S189" i="24"/>
  <c r="S190" i="24"/>
  <c r="S191" i="24"/>
  <c r="S197" i="24"/>
  <c r="S198" i="24"/>
  <c r="S199" i="24"/>
  <c r="S200" i="24"/>
  <c r="S201" i="24"/>
  <c r="S204" i="24"/>
  <c r="S205" i="24"/>
  <c r="S207" i="24"/>
  <c r="S208" i="24"/>
  <c r="S212" i="24"/>
  <c r="S213" i="24"/>
  <c r="S214" i="24"/>
  <c r="S216" i="24"/>
  <c r="S218" i="24"/>
  <c r="S219" i="24"/>
  <c r="S220" i="24"/>
  <c r="S221" i="24"/>
  <c r="S222" i="24"/>
  <c r="S223" i="24"/>
  <c r="S224" i="24"/>
  <c r="S225" i="24"/>
  <c r="S226" i="24"/>
  <c r="S227" i="24"/>
  <c r="S228" i="24"/>
  <c r="S229" i="24"/>
  <c r="S230" i="24"/>
  <c r="S231" i="24"/>
  <c r="S232" i="24"/>
  <c r="S233" i="24"/>
  <c r="S234" i="24"/>
  <c r="S235" i="24"/>
  <c r="S238" i="24"/>
  <c r="S245" i="24"/>
  <c r="S246" i="24"/>
  <c r="S247" i="24"/>
  <c r="S249" i="24"/>
  <c r="S250" i="24"/>
  <c r="S251" i="24"/>
  <c r="S252" i="24"/>
  <c r="S253" i="24"/>
  <c r="S9" i="25"/>
  <c r="S10" i="25"/>
  <c r="S11" i="25"/>
  <c r="S12" i="25"/>
  <c r="S13" i="25"/>
  <c r="S14" i="25"/>
  <c r="S15" i="25"/>
  <c r="S16" i="25"/>
  <c r="S17" i="25"/>
  <c r="S18" i="25"/>
  <c r="S19" i="25"/>
  <c r="S20" i="25"/>
  <c r="S22" i="25"/>
  <c r="S23" i="25"/>
  <c r="S24" i="25"/>
  <c r="S25" i="25"/>
  <c r="S26" i="25"/>
  <c r="S28" i="25"/>
  <c r="S29" i="25"/>
  <c r="S30" i="25"/>
  <c r="S31" i="25"/>
  <c r="S32" i="25"/>
  <c r="S33" i="25"/>
  <c r="S34" i="25"/>
  <c r="S35" i="25"/>
  <c r="S36" i="25"/>
  <c r="S37" i="25"/>
  <c r="S38" i="25"/>
  <c r="S39" i="25"/>
  <c r="S40" i="25"/>
  <c r="S41" i="25"/>
  <c r="S44" i="25"/>
  <c r="S45" i="25"/>
  <c r="S46" i="25"/>
  <c r="S47" i="25"/>
  <c r="S48" i="25"/>
  <c r="S49" i="25"/>
  <c r="S50" i="25"/>
  <c r="S51" i="25"/>
  <c r="S52" i="25"/>
  <c r="S53" i="25"/>
  <c r="S54" i="25"/>
  <c r="S55" i="25"/>
  <c r="S56" i="25"/>
  <c r="S57" i="25"/>
  <c r="S58" i="25"/>
  <c r="S59" i="25"/>
  <c r="S60" i="25"/>
  <c r="S61" i="25"/>
  <c r="S62" i="25"/>
  <c r="S63" i="25"/>
  <c r="S64" i="25"/>
  <c r="S65" i="25"/>
  <c r="S66" i="25"/>
  <c r="S67" i="25"/>
  <c r="S68" i="25"/>
  <c r="S69" i="25"/>
  <c r="S70" i="25"/>
  <c r="S71" i="25"/>
  <c r="S10" i="26"/>
  <c r="S11" i="26"/>
  <c r="S12" i="26"/>
  <c r="S13" i="26"/>
  <c r="S14" i="26"/>
  <c r="S15" i="26"/>
  <c r="S16" i="26"/>
  <c r="S17" i="26"/>
  <c r="S18" i="26"/>
  <c r="S19" i="26"/>
  <c r="S20" i="26"/>
  <c r="S22" i="26"/>
  <c r="S23" i="26"/>
  <c r="S24" i="26"/>
  <c r="S25" i="26"/>
  <c r="S26" i="26"/>
  <c r="S28" i="26"/>
  <c r="S29" i="26"/>
  <c r="S30" i="26"/>
  <c r="S31" i="26"/>
  <c r="S32" i="26"/>
  <c r="S33" i="26"/>
  <c r="S34" i="26"/>
  <c r="S35" i="26"/>
  <c r="S36" i="26"/>
  <c r="S37" i="26"/>
  <c r="S38" i="26"/>
  <c r="S39" i="26"/>
  <c r="S40" i="26"/>
  <c r="S41" i="26"/>
  <c r="S44" i="26"/>
  <c r="S45" i="26"/>
  <c r="S46" i="26"/>
  <c r="S47" i="26"/>
  <c r="S48" i="26"/>
  <c r="S49" i="26"/>
  <c r="S50" i="26"/>
  <c r="S54" i="26"/>
  <c r="S55" i="26"/>
  <c r="S56" i="26"/>
  <c r="S57" i="26"/>
  <c r="S58" i="26"/>
  <c r="S59" i="26"/>
  <c r="S60" i="26"/>
  <c r="S61" i="26"/>
  <c r="S62" i="26"/>
  <c r="S63" i="26"/>
  <c r="S64" i="26"/>
  <c r="S69" i="26"/>
  <c r="S70" i="26"/>
  <c r="S71" i="26"/>
  <c r="S72" i="26"/>
  <c r="S73" i="26"/>
  <c r="S74" i="26"/>
  <c r="S10" i="27"/>
  <c r="S11" i="27"/>
  <c r="S12" i="27"/>
  <c r="S13" i="27"/>
  <c r="S14" i="27"/>
  <c r="S15" i="27"/>
  <c r="S16" i="27"/>
  <c r="S17" i="27"/>
  <c r="S18" i="27"/>
  <c r="S19" i="27"/>
  <c r="S20" i="27"/>
  <c r="S22" i="27"/>
  <c r="S23" i="27"/>
  <c r="S24" i="27"/>
  <c r="S25" i="27"/>
  <c r="S26" i="27"/>
  <c r="S27" i="27"/>
  <c r="S28" i="27"/>
  <c r="S29" i="27"/>
  <c r="S30" i="27"/>
  <c r="S31" i="27"/>
  <c r="S32" i="27"/>
  <c r="S33" i="27"/>
  <c r="S34" i="27"/>
  <c r="S35" i="27"/>
  <c r="S36" i="27"/>
  <c r="S37" i="27"/>
  <c r="S38" i="27"/>
  <c r="S39" i="27"/>
  <c r="S40" i="27"/>
  <c r="S41" i="27"/>
  <c r="S44" i="27"/>
  <c r="S45" i="27"/>
  <c r="S46" i="27"/>
  <c r="S47" i="27"/>
  <c r="S48" i="27"/>
  <c r="S49" i="27"/>
  <c r="S52" i="27"/>
  <c r="S54" i="27"/>
  <c r="S55" i="27"/>
  <c r="S56" i="27"/>
  <c r="S57" i="27"/>
  <c r="S58" i="27"/>
  <c r="S59" i="27"/>
  <c r="S60" i="27"/>
  <c r="S61" i="27"/>
  <c r="S62" i="27"/>
  <c r="S68" i="27"/>
  <c r="S69" i="27"/>
  <c r="S70" i="27"/>
  <c r="S71" i="27"/>
  <c r="S72" i="27"/>
  <c r="S73" i="27"/>
  <c r="S74" i="27"/>
  <c r="S10" i="22"/>
  <c r="S11" i="22"/>
  <c r="S12" i="22"/>
  <c r="S15" i="22"/>
  <c r="S18" i="22"/>
  <c r="S19" i="22"/>
  <c r="S20" i="22"/>
  <c r="S21" i="22"/>
  <c r="S22" i="22"/>
  <c r="S23" i="22"/>
  <c r="S24" i="22"/>
  <c r="S25" i="22"/>
  <c r="S26" i="22"/>
  <c r="S27" i="22"/>
  <c r="S28" i="22"/>
  <c r="S29" i="22"/>
  <c r="S30" i="22"/>
  <c r="S31" i="22"/>
  <c r="S32" i="22"/>
  <c r="S33" i="22"/>
  <c r="S34" i="22"/>
  <c r="S35" i="22"/>
  <c r="S36" i="22"/>
  <c r="S37" i="22"/>
  <c r="S38" i="22"/>
  <c r="S39" i="22"/>
  <c r="S40" i="22"/>
  <c r="S41" i="22"/>
  <c r="S42" i="22"/>
  <c r="S43" i="22"/>
  <c r="S44" i="22"/>
  <c r="S45" i="22"/>
  <c r="S46" i="22"/>
  <c r="S47" i="22"/>
  <c r="S48" i="22"/>
  <c r="S49" i="22"/>
  <c r="S50" i="22"/>
  <c r="S51" i="22"/>
  <c r="S52" i="22"/>
  <c r="S53" i="22"/>
  <c r="S54" i="22"/>
  <c r="S55" i="22"/>
  <c r="S56" i="22"/>
  <c r="S57" i="22"/>
  <c r="S58" i="22"/>
  <c r="S59" i="22"/>
  <c r="S60" i="22"/>
  <c r="S61" i="22"/>
  <c r="S62" i="22"/>
  <c r="S63" i="22"/>
  <c r="S64" i="22"/>
  <c r="S65" i="22"/>
  <c r="S66" i="22"/>
  <c r="S67" i="22"/>
  <c r="S68" i="22"/>
  <c r="S69" i="22"/>
  <c r="S70" i="22"/>
  <c r="S71" i="22"/>
  <c r="S72" i="22"/>
  <c r="S73" i="22"/>
  <c r="S74" i="22"/>
  <c r="S75" i="22"/>
  <c r="S76" i="22"/>
  <c r="S77" i="22"/>
  <c r="S78" i="22"/>
  <c r="S79" i="22"/>
  <c r="S80" i="22"/>
  <c r="S81" i="22"/>
  <c r="S82" i="22"/>
  <c r="S83" i="22"/>
  <c r="S84" i="22"/>
  <c r="S85" i="22"/>
  <c r="S86" i="22"/>
  <c r="S87" i="22"/>
  <c r="S88" i="22"/>
  <c r="S89" i="22"/>
  <c r="S90" i="22"/>
  <c r="S91" i="22"/>
  <c r="S92" i="22"/>
  <c r="S93" i="22"/>
  <c r="S94" i="22"/>
  <c r="S95" i="22"/>
  <c r="S96" i="22"/>
  <c r="S97" i="22"/>
  <c r="S98" i="22"/>
  <c r="S99" i="22"/>
  <c r="S100" i="22"/>
  <c r="S101" i="22"/>
  <c r="S102" i="22"/>
  <c r="S103" i="22"/>
  <c r="S104" i="22"/>
  <c r="S105" i="22"/>
  <c r="S106" i="22"/>
  <c r="S107" i="22"/>
  <c r="S108" i="22"/>
  <c r="S109" i="22"/>
  <c r="S110" i="22"/>
  <c r="S111" i="22"/>
  <c r="S112" i="22"/>
  <c r="S113" i="22"/>
  <c r="S114" i="22"/>
  <c r="S115" i="22"/>
  <c r="S116" i="22"/>
  <c r="S117" i="22"/>
  <c r="S118" i="22"/>
  <c r="S119" i="22"/>
  <c r="S120" i="22"/>
  <c r="S121" i="22"/>
  <c r="S122" i="22"/>
  <c r="S123" i="22"/>
  <c r="S124" i="22"/>
  <c r="S125" i="22"/>
  <c r="S126" i="22"/>
  <c r="S127" i="22"/>
  <c r="S128" i="22"/>
  <c r="S129" i="22"/>
  <c r="S130" i="22"/>
  <c r="S131" i="22"/>
  <c r="S132" i="22"/>
  <c r="S133" i="22"/>
  <c r="S134" i="22"/>
  <c r="S135" i="22"/>
  <c r="S136" i="22"/>
  <c r="S137" i="22"/>
  <c r="S138" i="22"/>
  <c r="S139" i="22"/>
  <c r="S140" i="22"/>
  <c r="S141" i="22"/>
  <c r="S142" i="22"/>
  <c r="S143" i="22"/>
  <c r="S144" i="22"/>
  <c r="S145" i="22"/>
  <c r="S146" i="22"/>
  <c r="AG15" i="30"/>
  <c r="S15" i="30"/>
  <c r="B82" i="1"/>
  <c r="C82" i="1" s="1"/>
  <c r="B79" i="1"/>
  <c r="C79" i="1" s="1"/>
  <c r="S19" i="30"/>
  <c r="S20" i="30"/>
  <c r="S21" i="30"/>
  <c r="S22" i="30"/>
  <c r="S23" i="30"/>
  <c r="S24" i="30"/>
  <c r="S25" i="30"/>
  <c r="S26" i="30"/>
  <c r="S27" i="30"/>
  <c r="S28" i="30"/>
  <c r="S29" i="30"/>
  <c r="S30" i="30"/>
  <c r="S31" i="30"/>
  <c r="S41" i="30"/>
  <c r="S32" i="30"/>
  <c r="S33" i="30"/>
  <c r="S34" i="30"/>
  <c r="S35" i="30"/>
  <c r="S36" i="30"/>
  <c r="S37" i="30"/>
  <c r="S38" i="30"/>
  <c r="S39" i="30"/>
  <c r="S40" i="30"/>
  <c r="S42" i="30"/>
  <c r="S43" i="30"/>
  <c r="S44" i="30"/>
  <c r="S45" i="30"/>
  <c r="S46" i="30"/>
  <c r="S47" i="30"/>
  <c r="S48" i="30"/>
  <c r="S49" i="30"/>
  <c r="S50" i="30"/>
  <c r="S51" i="30"/>
  <c r="S52" i="30"/>
  <c r="S53" i="30"/>
  <c r="S54" i="30"/>
  <c r="S55" i="30"/>
  <c r="S56" i="30"/>
  <c r="S57" i="30"/>
  <c r="S58" i="30"/>
  <c r="S59" i="30"/>
  <c r="S60" i="30"/>
  <c r="S61" i="30"/>
  <c r="S62" i="30"/>
  <c r="S63" i="30"/>
  <c r="B83" i="1"/>
  <c r="C83" i="1" s="1"/>
  <c r="B78" i="1"/>
  <c r="C78" i="1" s="1"/>
  <c r="S42" i="1"/>
  <c r="M44" i="1"/>
  <c r="S44" i="1" s="1"/>
  <c r="M45" i="1"/>
  <c r="S45" i="1" s="1"/>
  <c r="S41" i="1"/>
  <c r="D52" i="1"/>
  <c r="D53" i="1"/>
  <c r="B77" i="1"/>
  <c r="C77" i="1" s="1"/>
  <c r="B81" i="1"/>
  <c r="C81" i="1" s="1"/>
  <c r="B85" i="1"/>
  <c r="C85" i="1" s="1"/>
  <c r="B84" i="1"/>
  <c r="C84" i="1" s="1"/>
  <c r="B80" i="1"/>
  <c r="C80" i="1" s="1"/>
  <c r="C91" i="1"/>
  <c r="G53" i="1"/>
  <c r="CK113" i="14"/>
  <c r="AG42" i="25"/>
  <c r="AG43" i="25"/>
  <c r="T42" i="25"/>
  <c r="AI42" i="25" s="1"/>
  <c r="T43" i="25"/>
  <c r="AI43" i="25" s="1"/>
  <c r="AH43" i="25" s="1"/>
  <c r="AB8" i="23"/>
  <c r="CW4" i="14" s="1"/>
  <c r="AB9" i="23"/>
  <c r="AC9" i="23" s="1"/>
  <c r="AB10" i="23"/>
  <c r="AB261" i="23" s="1"/>
  <c r="B17" i="10"/>
  <c r="B6" i="10"/>
  <c r="B7" i="10"/>
  <c r="B8" i="10"/>
  <c r="B34" i="10" s="1"/>
  <c r="C34" i="10" s="1"/>
  <c r="B9" i="10"/>
  <c r="B35" i="10" s="1"/>
  <c r="C35" i="10" s="1"/>
  <c r="B10" i="10"/>
  <c r="B11" i="10"/>
  <c r="B12" i="10"/>
  <c r="B13" i="10"/>
  <c r="B14" i="10"/>
  <c r="B15" i="10"/>
  <c r="B16" i="10"/>
  <c r="B42" i="10" s="1"/>
  <c r="C42" i="10" s="1"/>
  <c r="B18" i="10"/>
  <c r="B44" i="10" s="1"/>
  <c r="C44" i="10" s="1"/>
  <c r="B19" i="10"/>
  <c r="B20" i="10"/>
  <c r="B21" i="10"/>
  <c r="B22" i="10"/>
  <c r="B23" i="10"/>
  <c r="BD48" i="14"/>
  <c r="BD62" i="14" s="1"/>
  <c r="BD65" i="14" s="1"/>
  <c r="O233" i="14"/>
  <c r="R233" i="14"/>
  <c r="U233" i="14"/>
  <c r="X233" i="14"/>
  <c r="AA233" i="14"/>
  <c r="AD233" i="14"/>
  <c r="AS233" i="14"/>
  <c r="O234" i="14"/>
  <c r="R234" i="14"/>
  <c r="U234" i="14"/>
  <c r="X234" i="14"/>
  <c r="AA234" i="14"/>
  <c r="AD234" i="14"/>
  <c r="AS234" i="14"/>
  <c r="O235" i="14"/>
  <c r="R235" i="14"/>
  <c r="U235" i="14"/>
  <c r="X235" i="14"/>
  <c r="AA235" i="14"/>
  <c r="AD235" i="14"/>
  <c r="AS235" i="14"/>
  <c r="O236" i="14"/>
  <c r="R236" i="14"/>
  <c r="U236" i="14"/>
  <c r="X236" i="14"/>
  <c r="AA236" i="14"/>
  <c r="AD236" i="14"/>
  <c r="AS236" i="14"/>
  <c r="O237" i="14"/>
  <c r="R237" i="14"/>
  <c r="U237" i="14"/>
  <c r="X237" i="14"/>
  <c r="AA237" i="14"/>
  <c r="AD237" i="14"/>
  <c r="AS237" i="14"/>
  <c r="O238" i="14"/>
  <c r="R238" i="14"/>
  <c r="U238" i="14"/>
  <c r="X238" i="14"/>
  <c r="AA238" i="14"/>
  <c r="AD238" i="14"/>
  <c r="AS238" i="14"/>
  <c r="O239" i="14"/>
  <c r="R239" i="14"/>
  <c r="U239" i="14"/>
  <c r="X239" i="14"/>
  <c r="AA239" i="14"/>
  <c r="AD239" i="14"/>
  <c r="AS239" i="14"/>
  <c r="O240" i="14"/>
  <c r="R240" i="14"/>
  <c r="U240" i="14"/>
  <c r="X240" i="14"/>
  <c r="AA240" i="14"/>
  <c r="AD240" i="14"/>
  <c r="AS240" i="14"/>
  <c r="O241" i="14"/>
  <c r="R241" i="14"/>
  <c r="U241" i="14"/>
  <c r="X241" i="14"/>
  <c r="AA241" i="14"/>
  <c r="AD241" i="14"/>
  <c r="AS241" i="14"/>
  <c r="O242" i="14"/>
  <c r="R242" i="14"/>
  <c r="U242" i="14"/>
  <c r="X242" i="14"/>
  <c r="AA242" i="14"/>
  <c r="AD242" i="14"/>
  <c r="AS242" i="14"/>
  <c r="O243" i="14"/>
  <c r="R243" i="14"/>
  <c r="U243" i="14"/>
  <c r="X243" i="14"/>
  <c r="AA243" i="14"/>
  <c r="AD243" i="14"/>
  <c r="AS243" i="14"/>
  <c r="O244" i="14"/>
  <c r="R244" i="14"/>
  <c r="U244" i="14"/>
  <c r="X244" i="14"/>
  <c r="AA244" i="14"/>
  <c r="AD244" i="14"/>
  <c r="AS244" i="14"/>
  <c r="O245" i="14"/>
  <c r="R245" i="14"/>
  <c r="U245" i="14"/>
  <c r="X245" i="14"/>
  <c r="AA245" i="14"/>
  <c r="AD245" i="14"/>
  <c r="AS245" i="14"/>
  <c r="O246" i="14"/>
  <c r="R246" i="14"/>
  <c r="U246" i="14"/>
  <c r="X246" i="14"/>
  <c r="AA246" i="14"/>
  <c r="AD246" i="14"/>
  <c r="AS246" i="14"/>
  <c r="O247" i="14"/>
  <c r="R247" i="14"/>
  <c r="U247" i="14"/>
  <c r="X247" i="14"/>
  <c r="AA247" i="14"/>
  <c r="AD247" i="14"/>
  <c r="AS247" i="14"/>
  <c r="O248" i="14"/>
  <c r="R248" i="14"/>
  <c r="U248" i="14"/>
  <c r="X248" i="14"/>
  <c r="AA248" i="14"/>
  <c r="AD248" i="14"/>
  <c r="AS248" i="14"/>
  <c r="O249" i="14"/>
  <c r="R249" i="14"/>
  <c r="U249" i="14"/>
  <c r="X249" i="14"/>
  <c r="AA249" i="14"/>
  <c r="AD249" i="14"/>
  <c r="AS249" i="14"/>
  <c r="O250" i="14"/>
  <c r="R250" i="14"/>
  <c r="U250" i="14"/>
  <c r="X250" i="14"/>
  <c r="AA250" i="14"/>
  <c r="AD250" i="14"/>
  <c r="AS250" i="14"/>
  <c r="O251" i="14"/>
  <c r="R251" i="14"/>
  <c r="U251" i="14"/>
  <c r="X251" i="14"/>
  <c r="AA251" i="14"/>
  <c r="AD251" i="14"/>
  <c r="AS251" i="14"/>
  <c r="O252" i="14"/>
  <c r="R252" i="14"/>
  <c r="U252" i="14"/>
  <c r="X252" i="14"/>
  <c r="AA252" i="14"/>
  <c r="AD252" i="14"/>
  <c r="AS252" i="14"/>
  <c r="O253" i="14"/>
  <c r="R253" i="14"/>
  <c r="U253" i="14"/>
  <c r="X253" i="14"/>
  <c r="AA253" i="14"/>
  <c r="AD253" i="14"/>
  <c r="AS253" i="14"/>
  <c r="O254" i="14"/>
  <c r="R254" i="14"/>
  <c r="U254" i="14"/>
  <c r="X254" i="14"/>
  <c r="AA254" i="14"/>
  <c r="AD254" i="14"/>
  <c r="AS254" i="14"/>
  <c r="O255" i="14"/>
  <c r="R255" i="14"/>
  <c r="U255" i="14"/>
  <c r="X255" i="14"/>
  <c r="AA255" i="14"/>
  <c r="AD255" i="14"/>
  <c r="AS255" i="14"/>
  <c r="O256" i="14"/>
  <c r="R256" i="14"/>
  <c r="U256" i="14"/>
  <c r="X256" i="14"/>
  <c r="AA256" i="14"/>
  <c r="AD256" i="14"/>
  <c r="AS256" i="14"/>
  <c r="O257" i="14"/>
  <c r="R257" i="14"/>
  <c r="U257" i="14"/>
  <c r="X257" i="14"/>
  <c r="AA257" i="14"/>
  <c r="AD257" i="14"/>
  <c r="AS257" i="14"/>
  <c r="O258" i="14"/>
  <c r="R258" i="14"/>
  <c r="U258" i="14"/>
  <c r="X258" i="14"/>
  <c r="AA258" i="14"/>
  <c r="AD258" i="14"/>
  <c r="AS258" i="14"/>
  <c r="O259" i="14"/>
  <c r="R259" i="14"/>
  <c r="U259" i="14"/>
  <c r="X259" i="14"/>
  <c r="AA259" i="14"/>
  <c r="AD259" i="14"/>
  <c r="AS259" i="14"/>
  <c r="O260" i="14"/>
  <c r="R260" i="14"/>
  <c r="U260" i="14"/>
  <c r="X260" i="14"/>
  <c r="AA260" i="14"/>
  <c r="AD260" i="14"/>
  <c r="AS260" i="14"/>
  <c r="O261" i="14"/>
  <c r="R261" i="14"/>
  <c r="U261" i="14"/>
  <c r="X261" i="14"/>
  <c r="AA261" i="14"/>
  <c r="AD261" i="14"/>
  <c r="AS261" i="14"/>
  <c r="O262" i="14"/>
  <c r="R262" i="14"/>
  <c r="U262" i="14"/>
  <c r="X262" i="14"/>
  <c r="AA262" i="14"/>
  <c r="AD262" i="14"/>
  <c r="AS262" i="14"/>
  <c r="O263" i="14"/>
  <c r="R263" i="14"/>
  <c r="U263" i="14"/>
  <c r="X263" i="14"/>
  <c r="AA263" i="14"/>
  <c r="AD263" i="14"/>
  <c r="AS263" i="14"/>
  <c r="O264" i="14"/>
  <c r="R264" i="14"/>
  <c r="U264" i="14"/>
  <c r="X264" i="14"/>
  <c r="AA264" i="14"/>
  <c r="AD264" i="14"/>
  <c r="AS264" i="14"/>
  <c r="O265" i="14"/>
  <c r="R265" i="14"/>
  <c r="U265" i="14"/>
  <c r="X265" i="14"/>
  <c r="AA265" i="14"/>
  <c r="AD265" i="14"/>
  <c r="AS265" i="14"/>
  <c r="O266" i="14"/>
  <c r="R266" i="14"/>
  <c r="U266" i="14"/>
  <c r="X266" i="14"/>
  <c r="AA266" i="14"/>
  <c r="AD266" i="14"/>
  <c r="AS266" i="14"/>
  <c r="O267" i="14"/>
  <c r="R267" i="14"/>
  <c r="U267" i="14"/>
  <c r="X267" i="14"/>
  <c r="AA267" i="14"/>
  <c r="AD267" i="14"/>
  <c r="AS267" i="14"/>
  <c r="O268" i="14"/>
  <c r="R268" i="14"/>
  <c r="U268" i="14"/>
  <c r="X268" i="14"/>
  <c r="AA268" i="14"/>
  <c r="AD268" i="14"/>
  <c r="AS268" i="14"/>
  <c r="O269" i="14"/>
  <c r="R269" i="14"/>
  <c r="U269" i="14"/>
  <c r="X269" i="14"/>
  <c r="AA269" i="14"/>
  <c r="AD269" i="14"/>
  <c r="AS269" i="14"/>
  <c r="O270" i="14"/>
  <c r="R270" i="14"/>
  <c r="U270" i="14"/>
  <c r="X270" i="14"/>
  <c r="AA270" i="14"/>
  <c r="AD270" i="14"/>
  <c r="AS270" i="14"/>
  <c r="O271" i="14"/>
  <c r="R271" i="14"/>
  <c r="U271" i="14"/>
  <c r="X271" i="14"/>
  <c r="AA271" i="14"/>
  <c r="AD271" i="14"/>
  <c r="AS271" i="14"/>
  <c r="O272" i="14"/>
  <c r="R272" i="14"/>
  <c r="U272" i="14"/>
  <c r="X272" i="14"/>
  <c r="AA272" i="14"/>
  <c r="AD272" i="14"/>
  <c r="AS272" i="14"/>
  <c r="O273" i="14"/>
  <c r="R273" i="14"/>
  <c r="U273" i="14"/>
  <c r="X273" i="14"/>
  <c r="AA273" i="14"/>
  <c r="AD273" i="14"/>
  <c r="AS273" i="14"/>
  <c r="O274" i="14"/>
  <c r="R274" i="14"/>
  <c r="U274" i="14"/>
  <c r="X274" i="14"/>
  <c r="AA274" i="14"/>
  <c r="AD274" i="14"/>
  <c r="AS274" i="14"/>
  <c r="O275" i="14"/>
  <c r="R275" i="14"/>
  <c r="U275" i="14"/>
  <c r="X275" i="14"/>
  <c r="AA275" i="14"/>
  <c r="AD275" i="14"/>
  <c r="AS275" i="14"/>
  <c r="O276" i="14"/>
  <c r="R276" i="14"/>
  <c r="U276" i="14"/>
  <c r="X276" i="14"/>
  <c r="AA276" i="14"/>
  <c r="AD276" i="14"/>
  <c r="AS276" i="14"/>
  <c r="O277" i="14"/>
  <c r="R277" i="14"/>
  <c r="U277" i="14"/>
  <c r="X277" i="14"/>
  <c r="AA277" i="14"/>
  <c r="AD277" i="14"/>
  <c r="AS277" i="14"/>
  <c r="L5" i="38"/>
  <c r="S10" i="2"/>
  <c r="C28" i="8"/>
  <c r="C23" i="8"/>
  <c r="L32" i="18"/>
  <c r="K32" i="18"/>
  <c r="I32" i="18"/>
  <c r="H32" i="18"/>
  <c r="D32" i="18" s="1"/>
  <c r="L31" i="18"/>
  <c r="K31" i="18"/>
  <c r="I31" i="18"/>
  <c r="H31" i="18"/>
  <c r="C43" i="8"/>
  <c r="B33" i="18" s="1"/>
  <c r="B60" i="18" s="1"/>
  <c r="C35" i="8"/>
  <c r="C34" i="8"/>
  <c r="L30" i="18"/>
  <c r="E30" i="18" s="1"/>
  <c r="K30" i="18"/>
  <c r="I30" i="18"/>
  <c r="H30" i="18"/>
  <c r="L29" i="18"/>
  <c r="E29" i="18" s="1"/>
  <c r="K29" i="18"/>
  <c r="I29" i="18"/>
  <c r="H29" i="18"/>
  <c r="C30" i="8"/>
  <c r="C29" i="8"/>
  <c r="C27" i="8"/>
  <c r="C26" i="8"/>
  <c r="C25" i="8"/>
  <c r="C24" i="8"/>
  <c r="C22" i="8"/>
  <c r="C21" i="8"/>
  <c r="C20" i="8"/>
  <c r="C19" i="8"/>
  <c r="I45" i="18"/>
  <c r="H45" i="18"/>
  <c r="F2" i="20"/>
  <c r="CT329" i="14"/>
  <c r="L12" i="14"/>
  <c r="CT12" i="14" s="1"/>
  <c r="L13" i="14"/>
  <c r="CT13" i="14" s="1"/>
  <c r="L16" i="14"/>
  <c r="CT16" i="14" s="1"/>
  <c r="L17" i="14"/>
  <c r="CT17" i="14" s="1"/>
  <c r="L18" i="14"/>
  <c r="CT18" i="14" s="1"/>
  <c r="L19" i="14"/>
  <c r="CT19" i="14" s="1"/>
  <c r="L20" i="14"/>
  <c r="CT20" i="14" s="1"/>
  <c r="L22" i="14"/>
  <c r="CT22" i="14" s="1"/>
  <c r="L23" i="14"/>
  <c r="CT23" i="14" s="1"/>
  <c r="L25" i="14"/>
  <c r="CT25" i="14" s="1"/>
  <c r="L26" i="14"/>
  <c r="CT26" i="14" s="1"/>
  <c r="L27" i="14"/>
  <c r="CT27" i="14" s="1"/>
  <c r="L29" i="14"/>
  <c r="CT29" i="14" s="1"/>
  <c r="L30" i="14"/>
  <c r="CT30" i="14" s="1"/>
  <c r="L36" i="14"/>
  <c r="CT36" i="14" s="1"/>
  <c r="L37" i="14"/>
  <c r="CT37" i="14" s="1"/>
  <c r="L39" i="14"/>
  <c r="CT39" i="14" s="1"/>
  <c r="L40" i="14"/>
  <c r="CT40" i="14" s="1"/>
  <c r="L41" i="14"/>
  <c r="CT41" i="14" s="1"/>
  <c r="L42" i="14"/>
  <c r="CT42" i="14" s="1"/>
  <c r="L43" i="14"/>
  <c r="CT43" i="14" s="1"/>
  <c r="L47" i="14"/>
  <c r="CT47" i="14" s="1"/>
  <c r="L49" i="14"/>
  <c r="CT49" i="14" s="1"/>
  <c r="L50" i="14"/>
  <c r="CT50" i="14" s="1"/>
  <c r="L52" i="14"/>
  <c r="CT52" i="14" s="1"/>
  <c r="L54" i="14"/>
  <c r="CT54" i="14" s="1"/>
  <c r="L55" i="14"/>
  <c r="CT55" i="14" s="1"/>
  <c r="L58" i="14"/>
  <c r="CT58" i="14" s="1"/>
  <c r="CT59" i="14"/>
  <c r="BD340" i="14"/>
  <c r="G30" i="2" s="1"/>
  <c r="BD339" i="14"/>
  <c r="G29" i="2" s="1"/>
  <c r="BD337" i="14"/>
  <c r="G27" i="2" s="1"/>
  <c r="BD336" i="14"/>
  <c r="G26" i="2" s="1"/>
  <c r="BD335" i="14"/>
  <c r="G25" i="2" s="1"/>
  <c r="BD334" i="14"/>
  <c r="G24" i="2" s="1"/>
  <c r="BD333" i="14"/>
  <c r="G23" i="2" s="1"/>
  <c r="BD332" i="14"/>
  <c r="G22" i="2" s="1"/>
  <c r="BD331" i="14"/>
  <c r="G21" i="2" s="1"/>
  <c r="AW32" i="33"/>
  <c r="G98" i="14"/>
  <c r="B98" i="7" s="1"/>
  <c r="G95" i="14"/>
  <c r="B95" i="7" s="1"/>
  <c r="K104" i="7"/>
  <c r="K126" i="7" s="1"/>
  <c r="K129" i="7" s="1"/>
  <c r="J104" i="7"/>
  <c r="H104" i="7"/>
  <c r="H126" i="7" s="1"/>
  <c r="H129" i="7" s="1"/>
  <c r="G104" i="7"/>
  <c r="T193" i="7"/>
  <c r="S193" i="7"/>
  <c r="K193" i="7"/>
  <c r="J193" i="7"/>
  <c r="K192" i="7"/>
  <c r="J192" i="7"/>
  <c r="G193" i="7"/>
  <c r="H192" i="7"/>
  <c r="G192" i="7"/>
  <c r="T185" i="7"/>
  <c r="S185" i="7"/>
  <c r="T184" i="7"/>
  <c r="S184" i="7"/>
  <c r="K185" i="7"/>
  <c r="J185" i="7"/>
  <c r="K184" i="7"/>
  <c r="J184" i="7"/>
  <c r="K183" i="7"/>
  <c r="J183" i="7"/>
  <c r="G185" i="7"/>
  <c r="G184" i="7"/>
  <c r="H183" i="7"/>
  <c r="G183" i="7"/>
  <c r="K176" i="7"/>
  <c r="J176" i="7"/>
  <c r="H176" i="7"/>
  <c r="G176" i="7"/>
  <c r="K162" i="7"/>
  <c r="J162" i="7"/>
  <c r="H162" i="7"/>
  <c r="G162" i="7"/>
  <c r="B199" i="7"/>
  <c r="E193" i="7"/>
  <c r="D193" i="7"/>
  <c r="B186" i="7"/>
  <c r="E185" i="7"/>
  <c r="D185" i="7"/>
  <c r="B185" i="7"/>
  <c r="E184" i="7"/>
  <c r="D184" i="7"/>
  <c r="B184" i="7"/>
  <c r="B183" i="7"/>
  <c r="B176" i="7"/>
  <c r="D168" i="7"/>
  <c r="S168" i="7" s="1"/>
  <c r="B165" i="7"/>
  <c r="E164" i="7"/>
  <c r="T164" i="7" s="1"/>
  <c r="D164" i="7"/>
  <c r="S164" i="7" s="1"/>
  <c r="B164" i="7"/>
  <c r="B163" i="7"/>
  <c r="B161" i="7"/>
  <c r="E158" i="7"/>
  <c r="T158" i="7" s="1"/>
  <c r="D158" i="7"/>
  <c r="S158" i="7" s="1"/>
  <c r="B157" i="7"/>
  <c r="B156" i="7"/>
  <c r="B155" i="7"/>
  <c r="B152" i="7"/>
  <c r="AD293" i="14"/>
  <c r="AA293" i="14"/>
  <c r="X293" i="14"/>
  <c r="U293" i="14"/>
  <c r="R293" i="14"/>
  <c r="O293" i="14"/>
  <c r="L293" i="14"/>
  <c r="AS296" i="14"/>
  <c r="AS295" i="14"/>
  <c r="AD286" i="14"/>
  <c r="AA286" i="14"/>
  <c r="X286" i="14"/>
  <c r="U286" i="14"/>
  <c r="L286" i="14"/>
  <c r="R286" i="14"/>
  <c r="O286" i="14"/>
  <c r="EA297" i="14"/>
  <c r="DL297" i="14"/>
  <c r="DI297" i="14"/>
  <c r="DF297" i="14"/>
  <c r="DC297" i="14"/>
  <c r="CZ297" i="14"/>
  <c r="CW297" i="14"/>
  <c r="CT297" i="14"/>
  <c r="CK297" i="14"/>
  <c r="BV297" i="14"/>
  <c r="BS297" i="14"/>
  <c r="BP297" i="14"/>
  <c r="BM297" i="14"/>
  <c r="BJ297" i="14"/>
  <c r="BG297" i="14"/>
  <c r="BD297" i="14"/>
  <c r="AY297" i="14"/>
  <c r="F18" i="39"/>
  <c r="E18" i="39"/>
  <c r="D18" i="39"/>
  <c r="B17" i="39"/>
  <c r="C17" i="12"/>
  <c r="C20" i="12" s="1"/>
  <c r="B16" i="12"/>
  <c r="AW26" i="33"/>
  <c r="AX26" i="33" s="1"/>
  <c r="B16" i="39"/>
  <c r="B15" i="39"/>
  <c r="B14" i="39"/>
  <c r="C36" i="8"/>
  <c r="B22" i="12"/>
  <c r="B21" i="12"/>
  <c r="C39" i="8"/>
  <c r="AN39" i="8" s="1"/>
  <c r="AV197" i="14"/>
  <c r="AV195" i="14"/>
  <c r="H193" i="7" s="1"/>
  <c r="AV189" i="14"/>
  <c r="AV187" i="14"/>
  <c r="H185" i="7" s="1"/>
  <c r="AV186" i="14"/>
  <c r="H184" i="7" s="1"/>
  <c r="AV165" i="14"/>
  <c r="AV164" i="14"/>
  <c r="AV158" i="14"/>
  <c r="F345" i="14"/>
  <c r="F321" i="14"/>
  <c r="CN345" i="14"/>
  <c r="CN321" i="14"/>
  <c r="CO200" i="14"/>
  <c r="CO199" i="14"/>
  <c r="CO198" i="14"/>
  <c r="CO197" i="14"/>
  <c r="CO196" i="14"/>
  <c r="CO195" i="14"/>
  <c r="CO194" i="14"/>
  <c r="CO193" i="14"/>
  <c r="CO192" i="14"/>
  <c r="CO191" i="14"/>
  <c r="CO190" i="14"/>
  <c r="CO189" i="14"/>
  <c r="CO188" i="14"/>
  <c r="CO187" i="14"/>
  <c r="CO186" i="14"/>
  <c r="CO180" i="14"/>
  <c r="CO179" i="14"/>
  <c r="CO178" i="14"/>
  <c r="CO177" i="14"/>
  <c r="AC200" i="14"/>
  <c r="Z200" i="14"/>
  <c r="W200" i="14"/>
  <c r="T200" i="14"/>
  <c r="Q200" i="14"/>
  <c r="L200" i="14"/>
  <c r="CT200" i="14" s="1"/>
  <c r="K200" i="14"/>
  <c r="AC199" i="14"/>
  <c r="Z199" i="14"/>
  <c r="W199" i="14"/>
  <c r="T199" i="14"/>
  <c r="Q199" i="14"/>
  <c r="K199" i="14"/>
  <c r="AC198" i="14"/>
  <c r="Z198" i="14"/>
  <c r="W198" i="14"/>
  <c r="T198" i="14"/>
  <c r="Q198" i="14"/>
  <c r="L198" i="14"/>
  <c r="CT198" i="14" s="1"/>
  <c r="K198" i="14"/>
  <c r="AD197" i="14"/>
  <c r="AC197" i="14"/>
  <c r="AA197" i="14"/>
  <c r="Z197" i="14"/>
  <c r="X197" i="14"/>
  <c r="W197" i="14"/>
  <c r="U197" i="14"/>
  <c r="T197" i="14"/>
  <c r="R197" i="14"/>
  <c r="Q197" i="14"/>
  <c r="O197" i="14"/>
  <c r="L197" i="14"/>
  <c r="K197" i="14"/>
  <c r="AC196" i="14"/>
  <c r="Z196" i="14"/>
  <c r="W196" i="14"/>
  <c r="T196" i="14"/>
  <c r="Q196" i="14"/>
  <c r="K196" i="14"/>
  <c r="AC193" i="14"/>
  <c r="Z193" i="14"/>
  <c r="W193" i="14"/>
  <c r="T193" i="14"/>
  <c r="Q193" i="14"/>
  <c r="L193" i="14"/>
  <c r="CT193" i="14" s="1"/>
  <c r="K193" i="14"/>
  <c r="AC192" i="14"/>
  <c r="Z192" i="14"/>
  <c r="W192" i="14"/>
  <c r="T192" i="14"/>
  <c r="Q192" i="14"/>
  <c r="L192" i="14"/>
  <c r="CT192" i="14" s="1"/>
  <c r="K192" i="14"/>
  <c r="AC191" i="14"/>
  <c r="Z191" i="14"/>
  <c r="W191" i="14"/>
  <c r="T191" i="14"/>
  <c r="Q191" i="14"/>
  <c r="L191" i="14"/>
  <c r="CT191" i="14" s="1"/>
  <c r="K191" i="14"/>
  <c r="AC190" i="14"/>
  <c r="Z190" i="14"/>
  <c r="W190" i="14"/>
  <c r="T190" i="14"/>
  <c r="Q190" i="14"/>
  <c r="L190" i="14"/>
  <c r="CT190" i="14" s="1"/>
  <c r="K190" i="14"/>
  <c r="AD189" i="14"/>
  <c r="AC189" i="14"/>
  <c r="AA189" i="14"/>
  <c r="Z189" i="14"/>
  <c r="X189" i="14"/>
  <c r="W189" i="14"/>
  <c r="U189" i="14"/>
  <c r="T189" i="14"/>
  <c r="R189" i="14"/>
  <c r="Q189" i="14"/>
  <c r="O189" i="14"/>
  <c r="L189" i="14"/>
  <c r="K189" i="14"/>
  <c r="AC180" i="14"/>
  <c r="Z180" i="14"/>
  <c r="W180" i="14"/>
  <c r="T180" i="14"/>
  <c r="Q180" i="14"/>
  <c r="L180" i="14"/>
  <c r="L230" i="14" s="1"/>
  <c r="K180" i="14"/>
  <c r="AC179" i="14"/>
  <c r="Z179" i="14"/>
  <c r="W179" i="14"/>
  <c r="T179" i="14"/>
  <c r="Q179" i="14"/>
  <c r="L179" i="14"/>
  <c r="CT179" i="14" s="1"/>
  <c r="K179" i="14"/>
  <c r="AC178" i="14"/>
  <c r="Z178" i="14"/>
  <c r="W178" i="14"/>
  <c r="T178" i="14"/>
  <c r="Q178" i="14"/>
  <c r="L178" i="14"/>
  <c r="K178" i="14"/>
  <c r="AT201" i="14"/>
  <c r="AT321" i="14" s="1"/>
  <c r="AW188" i="14"/>
  <c r="AT188" i="14"/>
  <c r="G200" i="14"/>
  <c r="B198" i="7" s="1"/>
  <c r="G199" i="14"/>
  <c r="B197" i="7" s="1"/>
  <c r="G198" i="14"/>
  <c r="B196" i="7" s="1"/>
  <c r="G197" i="14"/>
  <c r="B195" i="7" s="1"/>
  <c r="G196" i="14"/>
  <c r="B194" i="7" s="1"/>
  <c r="G195" i="14"/>
  <c r="B193" i="7" s="1"/>
  <c r="G194" i="14"/>
  <c r="B192" i="7" s="1"/>
  <c r="G193" i="14"/>
  <c r="B191" i="7" s="1"/>
  <c r="G192" i="14"/>
  <c r="B190" i="7" s="1"/>
  <c r="G191" i="14"/>
  <c r="B189" i="7" s="1"/>
  <c r="G190" i="14"/>
  <c r="B188" i="7" s="1"/>
  <c r="G189" i="14"/>
  <c r="B187" i="7" s="1"/>
  <c r="B182" i="7"/>
  <c r="B181" i="7"/>
  <c r="G180" i="14"/>
  <c r="B180" i="7" s="1"/>
  <c r="G179" i="14"/>
  <c r="B179" i="7" s="1"/>
  <c r="G178" i="14"/>
  <c r="B178" i="7" s="1"/>
  <c r="G177" i="14"/>
  <c r="B177" i="7" s="1"/>
  <c r="D182" i="7"/>
  <c r="S182" i="7" s="1"/>
  <c r="U192" i="14"/>
  <c r="R192" i="14"/>
  <c r="AD192" i="14"/>
  <c r="AA192" i="14"/>
  <c r="X192" i="14"/>
  <c r="BA200" i="14"/>
  <c r="I200" i="14" s="1"/>
  <c r="CK200" i="14"/>
  <c r="CK193" i="14"/>
  <c r="CK190" i="14"/>
  <c r="CK180" i="14"/>
  <c r="CK179" i="14"/>
  <c r="BI76" i="14"/>
  <c r="BI89" i="14"/>
  <c r="BI155" i="14"/>
  <c r="BD194" i="14"/>
  <c r="CO122" i="14"/>
  <c r="AC122" i="14"/>
  <c r="Z122" i="14"/>
  <c r="W122" i="14"/>
  <c r="T122" i="14"/>
  <c r="Q122" i="14"/>
  <c r="L122" i="14"/>
  <c r="CT122" i="14" s="1"/>
  <c r="K122" i="14"/>
  <c r="H122" i="14"/>
  <c r="G122" i="14"/>
  <c r="B122" i="7" s="1"/>
  <c r="F29" i="40"/>
  <c r="F28" i="40"/>
  <c r="F27" i="40"/>
  <c r="F26" i="40"/>
  <c r="F25" i="40"/>
  <c r="F24" i="40"/>
  <c r="F23" i="40"/>
  <c r="F22" i="40"/>
  <c r="F21" i="40"/>
  <c r="F20" i="40"/>
  <c r="F19" i="40"/>
  <c r="F11" i="40"/>
  <c r="F10" i="40"/>
  <c r="F9" i="40"/>
  <c r="AY114" i="14"/>
  <c r="CO114" i="14" s="1"/>
  <c r="AY111" i="14"/>
  <c r="G111" i="14" s="1"/>
  <c r="B111" i="7" s="1"/>
  <c r="O63" i="30"/>
  <c r="AD63" i="30" s="1"/>
  <c r="O62" i="30"/>
  <c r="AD62" i="30" s="1"/>
  <c r="O61" i="30"/>
  <c r="AD61" i="30" s="1"/>
  <c r="O60" i="30"/>
  <c r="AF60" i="30" s="1"/>
  <c r="O59" i="30"/>
  <c r="AF59" i="30" s="1"/>
  <c r="O58" i="30"/>
  <c r="AF58" i="30" s="1"/>
  <c r="O57" i="30"/>
  <c r="AF57" i="30" s="1"/>
  <c r="O56" i="30"/>
  <c r="AF56" i="30" s="1"/>
  <c r="O55" i="30"/>
  <c r="AF55" i="30" s="1"/>
  <c r="AR62" i="30"/>
  <c r="AP62" i="30"/>
  <c r="AO62" i="30"/>
  <c r="AM62" i="30"/>
  <c r="AR61" i="30"/>
  <c r="AP61" i="30"/>
  <c r="AO61" i="30"/>
  <c r="AM61" i="30"/>
  <c r="AR60" i="30"/>
  <c r="AP60" i="30"/>
  <c r="AO60" i="30"/>
  <c r="AM60" i="30"/>
  <c r="AR59" i="30"/>
  <c r="AP59" i="30"/>
  <c r="AO59" i="30"/>
  <c r="AM59" i="30"/>
  <c r="AR58" i="30"/>
  <c r="AP58" i="30"/>
  <c r="AO58" i="30"/>
  <c r="AM58" i="30"/>
  <c r="AR57" i="30"/>
  <c r="AP57" i="30"/>
  <c r="AO57" i="30"/>
  <c r="AM57" i="30"/>
  <c r="AD57" i="30"/>
  <c r="AR56" i="30"/>
  <c r="AP56" i="30"/>
  <c r="AO56" i="30"/>
  <c r="AM56" i="30"/>
  <c r="AD56" i="30"/>
  <c r="AR55" i="30"/>
  <c r="AP55" i="30"/>
  <c r="AO55" i="30"/>
  <c r="AM55" i="30"/>
  <c r="C11" i="2"/>
  <c r="AD11" i="24"/>
  <c r="AG11" i="24"/>
  <c r="AJ11" i="24"/>
  <c r="AM11" i="24"/>
  <c r="AO11" i="24"/>
  <c r="AP11" i="24"/>
  <c r="AR11" i="24"/>
  <c r="AD12" i="24"/>
  <c r="AJ12" i="24"/>
  <c r="AL12" i="24"/>
  <c r="AM12" i="24"/>
  <c r="AO12" i="24"/>
  <c r="AP12" i="24"/>
  <c r="AR12" i="24"/>
  <c r="AD13" i="24"/>
  <c r="AM13" i="24"/>
  <c r="AO13" i="24"/>
  <c r="AP13" i="24"/>
  <c r="AR13" i="24"/>
  <c r="AD14" i="24"/>
  <c r="AF14" i="24"/>
  <c r="AG14" i="24"/>
  <c r="AI14" i="24"/>
  <c r="AJ14" i="24"/>
  <c r="AL14" i="24"/>
  <c r="AM14" i="24"/>
  <c r="AO14" i="24"/>
  <c r="AP14" i="24"/>
  <c r="AR14" i="24"/>
  <c r="AD15" i="24"/>
  <c r="AF15" i="24"/>
  <c r="AG15" i="24"/>
  <c r="AI15" i="24"/>
  <c r="AJ15" i="24"/>
  <c r="AL15" i="24"/>
  <c r="AM15" i="24"/>
  <c r="AO15" i="24"/>
  <c r="AP15" i="24"/>
  <c r="AR15" i="24"/>
  <c r="AD16" i="24"/>
  <c r="AF16" i="24"/>
  <c r="AG16" i="24"/>
  <c r="AI16" i="24"/>
  <c r="AJ16" i="24"/>
  <c r="AL16" i="24"/>
  <c r="AM16" i="24"/>
  <c r="AO16" i="24"/>
  <c r="AP16" i="24"/>
  <c r="AR16" i="24"/>
  <c r="AD17" i="24"/>
  <c r="AF17" i="24"/>
  <c r="AG17" i="24"/>
  <c r="AI17" i="24"/>
  <c r="AJ17" i="24"/>
  <c r="AL17" i="24"/>
  <c r="AM17" i="24"/>
  <c r="AO17" i="24"/>
  <c r="AP17" i="24"/>
  <c r="AR17" i="24"/>
  <c r="AD18" i="24"/>
  <c r="AF18" i="24"/>
  <c r="AG18" i="24"/>
  <c r="AI18" i="24"/>
  <c r="AJ18" i="24"/>
  <c r="AL18" i="24"/>
  <c r="AM18" i="24"/>
  <c r="AO18" i="24"/>
  <c r="AP18" i="24"/>
  <c r="AR18" i="24"/>
  <c r="AD19" i="24"/>
  <c r="AF19" i="24"/>
  <c r="AG19" i="24"/>
  <c r="AI19" i="24"/>
  <c r="AJ19" i="24"/>
  <c r="AL19" i="24"/>
  <c r="AM19" i="24"/>
  <c r="AO19" i="24"/>
  <c r="AP19" i="24"/>
  <c r="AR19" i="24"/>
  <c r="AD21" i="24"/>
  <c r="AM21" i="24"/>
  <c r="AO21" i="24"/>
  <c r="AP21" i="24"/>
  <c r="AR21" i="24"/>
  <c r="AD23" i="24"/>
  <c r="AM23" i="24"/>
  <c r="AO23" i="24"/>
  <c r="AP23" i="24"/>
  <c r="AR23" i="24"/>
  <c r="AD22" i="24"/>
  <c r="AM22" i="24"/>
  <c r="AO22" i="24"/>
  <c r="AP22" i="24"/>
  <c r="AR22" i="24"/>
  <c r="AD25" i="24"/>
  <c r="AM25" i="24"/>
  <c r="AO25" i="24"/>
  <c r="AP25" i="24"/>
  <c r="AR25" i="24"/>
  <c r="AD27" i="24"/>
  <c r="AM27" i="24"/>
  <c r="AO27" i="24"/>
  <c r="AP27" i="24"/>
  <c r="AR27" i="24"/>
  <c r="AD29" i="24"/>
  <c r="AM29" i="24"/>
  <c r="AO29" i="24"/>
  <c r="AP29" i="24"/>
  <c r="AR29" i="24"/>
  <c r="AD28" i="24"/>
  <c r="AM28" i="24"/>
  <c r="AO28" i="24"/>
  <c r="AP28" i="24"/>
  <c r="AR28" i="24"/>
  <c r="AD31" i="24"/>
  <c r="AM31" i="24"/>
  <c r="AO31" i="24"/>
  <c r="AP31" i="24"/>
  <c r="AR31" i="24"/>
  <c r="AD33" i="24"/>
  <c r="AM33" i="24"/>
  <c r="AO33" i="24"/>
  <c r="AP33" i="24"/>
  <c r="AR33" i="24"/>
  <c r="AD35" i="24"/>
  <c r="AM35" i="24"/>
  <c r="AO35" i="24"/>
  <c r="AP35" i="24"/>
  <c r="AR35" i="24"/>
  <c r="AD34" i="24"/>
  <c r="AM34" i="24"/>
  <c r="AO34" i="24"/>
  <c r="AP34" i="24"/>
  <c r="AR34" i="24"/>
  <c r="AD37" i="24"/>
  <c r="AM37" i="24"/>
  <c r="AO37" i="24"/>
  <c r="AP37" i="24"/>
  <c r="AR37" i="24"/>
  <c r="AD59" i="24"/>
  <c r="AM59" i="24"/>
  <c r="AO59" i="24"/>
  <c r="AP59" i="24"/>
  <c r="AR59" i="24"/>
  <c r="AD66" i="24"/>
  <c r="AM66" i="24"/>
  <c r="AO66" i="24"/>
  <c r="AP66" i="24"/>
  <c r="AR66" i="24"/>
  <c r="AD73" i="24"/>
  <c r="AM73" i="24"/>
  <c r="AO73" i="24"/>
  <c r="AP73" i="24"/>
  <c r="AR73" i="24"/>
  <c r="AD61" i="24"/>
  <c r="AM61" i="24"/>
  <c r="AO61" i="24"/>
  <c r="AP61" i="24"/>
  <c r="AR61" i="24"/>
  <c r="AD63" i="24"/>
  <c r="AM63" i="24"/>
  <c r="AO63" i="24"/>
  <c r="AP63" i="24"/>
  <c r="AR63" i="24"/>
  <c r="AD60" i="24"/>
  <c r="AM60" i="24"/>
  <c r="AO60" i="24"/>
  <c r="AP60" i="24"/>
  <c r="AR60" i="24"/>
  <c r="AD62" i="24"/>
  <c r="AM62" i="24"/>
  <c r="AO62" i="24"/>
  <c r="AP62" i="24"/>
  <c r="AR62" i="24"/>
  <c r="AD64" i="24"/>
  <c r="AM64" i="24"/>
  <c r="AO64" i="24"/>
  <c r="AP64" i="24"/>
  <c r="AR64" i="24"/>
  <c r="AD68" i="24"/>
  <c r="AM68" i="24"/>
  <c r="AO68" i="24"/>
  <c r="AP68" i="24"/>
  <c r="AR68" i="24"/>
  <c r="AD70" i="24"/>
  <c r="AM70" i="24"/>
  <c r="AO70" i="24"/>
  <c r="AP70" i="24"/>
  <c r="AR70" i="24"/>
  <c r="AD67" i="24"/>
  <c r="AM67" i="24"/>
  <c r="AO67" i="24"/>
  <c r="AP67" i="24"/>
  <c r="AR67" i="24"/>
  <c r="AD69" i="24"/>
  <c r="AM69" i="24"/>
  <c r="AO69" i="24"/>
  <c r="AP69" i="24"/>
  <c r="AR69" i="24"/>
  <c r="AD71" i="24"/>
  <c r="AM71" i="24"/>
  <c r="AO71" i="24"/>
  <c r="AP71" i="24"/>
  <c r="AR71" i="24"/>
  <c r="AD75" i="24"/>
  <c r="AM75" i="24"/>
  <c r="AO75" i="24"/>
  <c r="AP75" i="24"/>
  <c r="AR75" i="24"/>
  <c r="AD77" i="24"/>
  <c r="AM77" i="24"/>
  <c r="AO77" i="24"/>
  <c r="AP77" i="24"/>
  <c r="AR77" i="24"/>
  <c r="AD74" i="24"/>
  <c r="AM74" i="24"/>
  <c r="AO74" i="24"/>
  <c r="AP74" i="24"/>
  <c r="AR74" i="24"/>
  <c r="AD76" i="24"/>
  <c r="AM76" i="24"/>
  <c r="AO76" i="24"/>
  <c r="AP76" i="24"/>
  <c r="AR76" i="24"/>
  <c r="AD78" i="24"/>
  <c r="AM78" i="24"/>
  <c r="AO78" i="24"/>
  <c r="AP78" i="24"/>
  <c r="AR78" i="24"/>
  <c r="AD81" i="24"/>
  <c r="AM81" i="24"/>
  <c r="AO81" i="24"/>
  <c r="AP81" i="24"/>
  <c r="AR81" i="24"/>
  <c r="AD85" i="24"/>
  <c r="AM85" i="24"/>
  <c r="AO85" i="24"/>
  <c r="AP85" i="24"/>
  <c r="AR85" i="24"/>
  <c r="AD82" i="24"/>
  <c r="AM82" i="24"/>
  <c r="AO82" i="24"/>
  <c r="AP82" i="24"/>
  <c r="AR82" i="24"/>
  <c r="AD84" i="24"/>
  <c r="AM84" i="24"/>
  <c r="AO84" i="24"/>
  <c r="AP84" i="24"/>
  <c r="AR84" i="24"/>
  <c r="AD87" i="24"/>
  <c r="AM87" i="24"/>
  <c r="AO87" i="24"/>
  <c r="AP87" i="24"/>
  <c r="AR87" i="24"/>
  <c r="AD90" i="24"/>
  <c r="AM90" i="24"/>
  <c r="AO90" i="24"/>
  <c r="AP90" i="24"/>
  <c r="AR90" i="24"/>
  <c r="AD88" i="24"/>
  <c r="AM88" i="24"/>
  <c r="AO88" i="24"/>
  <c r="AP88" i="24"/>
  <c r="AR88" i="24"/>
  <c r="AD89" i="24"/>
  <c r="AM89" i="24"/>
  <c r="AO89" i="24"/>
  <c r="AP89" i="24"/>
  <c r="AR89" i="24"/>
  <c r="AD92" i="24"/>
  <c r="AM92" i="24"/>
  <c r="AO92" i="24"/>
  <c r="AP92" i="24"/>
  <c r="AR92" i="24"/>
  <c r="AD94" i="24"/>
  <c r="AM94" i="24"/>
  <c r="AO94" i="24"/>
  <c r="AP94" i="24"/>
  <c r="AR94" i="24"/>
  <c r="AD93" i="24"/>
  <c r="AM93" i="24"/>
  <c r="AO93" i="24"/>
  <c r="AP93" i="24"/>
  <c r="AR93" i="24"/>
  <c r="AD95" i="24"/>
  <c r="AM95" i="24"/>
  <c r="AO95" i="24"/>
  <c r="AP95" i="24"/>
  <c r="AR95" i="24"/>
  <c r="AD118" i="24"/>
  <c r="AM118" i="24"/>
  <c r="AO118" i="24"/>
  <c r="AP118" i="24"/>
  <c r="AR118" i="24"/>
  <c r="AD121" i="24"/>
  <c r="AM121" i="24"/>
  <c r="AO121" i="24"/>
  <c r="AP121" i="24"/>
  <c r="AR121" i="24"/>
  <c r="AD124" i="24"/>
  <c r="AM124" i="24"/>
  <c r="AO124" i="24"/>
  <c r="AP124" i="24"/>
  <c r="AR124" i="24"/>
  <c r="AD119" i="24"/>
  <c r="AM119" i="24"/>
  <c r="AO119" i="24"/>
  <c r="AP119" i="24"/>
  <c r="AR119" i="24"/>
  <c r="AD122" i="24"/>
  <c r="AM122" i="24"/>
  <c r="AO122" i="24"/>
  <c r="AP122" i="24"/>
  <c r="AR122" i="24"/>
  <c r="AD126" i="24"/>
  <c r="AM126" i="24"/>
  <c r="AO126" i="24"/>
  <c r="AP126" i="24"/>
  <c r="AR126" i="24"/>
  <c r="AD130" i="24"/>
  <c r="AF130" i="24"/>
  <c r="AG130" i="24"/>
  <c r="AI130" i="24"/>
  <c r="AJ130" i="24"/>
  <c r="AM130" i="24"/>
  <c r="AO130" i="24"/>
  <c r="AP130" i="24"/>
  <c r="AR130" i="24"/>
  <c r="AD132" i="24"/>
  <c r="AF132" i="24"/>
  <c r="AG132" i="24"/>
  <c r="AI132" i="24"/>
  <c r="AJ132" i="24"/>
  <c r="AM132" i="24"/>
  <c r="AO132" i="24"/>
  <c r="AP132" i="24"/>
  <c r="AR132" i="24"/>
  <c r="AD133" i="24"/>
  <c r="AF133" i="24"/>
  <c r="AG133" i="24"/>
  <c r="AI133" i="24"/>
  <c r="AJ133" i="24"/>
  <c r="AM133" i="24"/>
  <c r="AO133" i="24"/>
  <c r="AP133" i="24"/>
  <c r="AR133" i="24"/>
  <c r="AD134" i="24"/>
  <c r="AM134" i="24"/>
  <c r="AO134" i="24"/>
  <c r="AP134" i="24"/>
  <c r="AR134" i="24"/>
  <c r="AD135" i="24"/>
  <c r="AM135" i="24"/>
  <c r="AO135" i="24"/>
  <c r="AP135" i="24"/>
  <c r="AR135" i="24"/>
  <c r="AD136" i="24"/>
  <c r="AM136" i="24"/>
  <c r="AO136" i="24"/>
  <c r="AP136" i="24"/>
  <c r="AR136" i="24"/>
  <c r="AD137" i="24"/>
  <c r="AM137" i="24"/>
  <c r="AO137" i="24"/>
  <c r="AP137" i="24"/>
  <c r="AR137" i="24"/>
  <c r="AD138" i="24"/>
  <c r="AM138" i="24"/>
  <c r="AO138" i="24"/>
  <c r="AP138" i="24"/>
  <c r="AR138" i="24"/>
  <c r="AD139" i="24"/>
  <c r="AM139" i="24"/>
  <c r="AO139" i="24"/>
  <c r="AP139" i="24"/>
  <c r="AR139" i="24"/>
  <c r="AD140" i="24"/>
  <c r="AM140" i="24"/>
  <c r="AO140" i="24"/>
  <c r="AP140" i="24"/>
  <c r="AR140" i="24"/>
  <c r="AD141" i="24"/>
  <c r="AF141" i="24"/>
  <c r="AG141" i="24"/>
  <c r="AI141" i="24"/>
  <c r="AJ141" i="24"/>
  <c r="AM141" i="24"/>
  <c r="AO141" i="24"/>
  <c r="AP141" i="24"/>
  <c r="AR141" i="24"/>
  <c r="AD142" i="24"/>
  <c r="AF142" i="24"/>
  <c r="AG142" i="24"/>
  <c r="AI142" i="24"/>
  <c r="AJ142" i="24"/>
  <c r="AM142" i="24"/>
  <c r="AO142" i="24"/>
  <c r="AP142" i="24"/>
  <c r="AR142" i="24"/>
  <c r="AD143" i="24"/>
  <c r="AM143" i="24"/>
  <c r="AO143" i="24"/>
  <c r="AP143" i="24"/>
  <c r="AR143" i="24"/>
  <c r="AD144" i="24"/>
  <c r="AM144" i="24"/>
  <c r="AO144" i="24"/>
  <c r="AP144" i="24"/>
  <c r="AR144" i="24"/>
  <c r="AD145" i="24"/>
  <c r="AM145" i="24"/>
  <c r="AO145" i="24"/>
  <c r="AP145" i="24"/>
  <c r="AR145" i="24"/>
  <c r="AD146" i="24"/>
  <c r="AM146" i="24"/>
  <c r="AO146" i="24"/>
  <c r="AP146" i="24"/>
  <c r="AR146" i="24"/>
  <c r="AD147" i="24"/>
  <c r="AM147" i="24"/>
  <c r="AO147" i="24"/>
  <c r="AP147" i="24"/>
  <c r="AR147" i="24"/>
  <c r="AD148" i="24"/>
  <c r="AM148" i="24"/>
  <c r="AO148" i="24"/>
  <c r="AP148" i="24"/>
  <c r="AR148" i="24"/>
  <c r="AD149" i="24"/>
  <c r="AM149" i="24"/>
  <c r="AO149" i="24"/>
  <c r="AP149" i="24"/>
  <c r="AR149" i="24"/>
  <c r="AD150" i="24"/>
  <c r="AM150" i="24"/>
  <c r="AO150" i="24"/>
  <c r="AP150" i="24"/>
  <c r="AR150" i="24"/>
  <c r="AD151" i="24"/>
  <c r="AM151" i="24"/>
  <c r="AO151" i="24"/>
  <c r="AP151" i="24"/>
  <c r="AR151" i="24"/>
  <c r="AD152" i="24"/>
  <c r="AM152" i="24"/>
  <c r="AO152" i="24"/>
  <c r="AP152" i="24"/>
  <c r="AR152" i="24"/>
  <c r="AD153" i="24"/>
  <c r="AM153" i="24"/>
  <c r="AO153" i="24"/>
  <c r="AP153" i="24"/>
  <c r="AR153" i="24"/>
  <c r="AD154" i="24"/>
  <c r="AM154" i="24"/>
  <c r="AO154" i="24"/>
  <c r="AP154" i="24"/>
  <c r="AR154" i="24"/>
  <c r="AD155" i="24"/>
  <c r="AM155" i="24"/>
  <c r="AO155" i="24"/>
  <c r="AP155" i="24"/>
  <c r="AR155" i="24"/>
  <c r="AD156" i="24"/>
  <c r="AM156" i="24"/>
  <c r="AO156" i="24"/>
  <c r="AP156" i="24"/>
  <c r="AR156" i="24"/>
  <c r="AD157" i="24"/>
  <c r="AM157" i="24"/>
  <c r="AO157" i="24"/>
  <c r="AP157" i="24"/>
  <c r="AR157" i="24"/>
  <c r="AD158" i="24"/>
  <c r="AM158" i="24"/>
  <c r="AO158" i="24"/>
  <c r="AP158" i="24"/>
  <c r="AR158" i="24"/>
  <c r="AD159" i="24"/>
  <c r="AM159" i="24"/>
  <c r="AO159" i="24"/>
  <c r="AP159" i="24"/>
  <c r="AR159" i="24"/>
  <c r="AD160" i="24"/>
  <c r="AM160" i="24"/>
  <c r="AO160" i="24"/>
  <c r="AP160" i="24"/>
  <c r="AR160" i="24"/>
  <c r="AD161" i="24"/>
  <c r="AM161" i="24"/>
  <c r="AO161" i="24"/>
  <c r="AP161" i="24"/>
  <c r="AR161" i="24"/>
  <c r="AD162" i="24"/>
  <c r="AM162" i="24"/>
  <c r="AO162" i="24"/>
  <c r="AP162" i="24"/>
  <c r="AR162" i="24"/>
  <c r="AD163" i="24"/>
  <c r="AM163" i="24"/>
  <c r="AO163" i="24"/>
  <c r="AP163" i="24"/>
  <c r="AR163" i="24"/>
  <c r="AD164" i="24"/>
  <c r="AM164" i="24"/>
  <c r="AO164" i="24"/>
  <c r="AP164" i="24"/>
  <c r="AR164" i="24"/>
  <c r="AD165" i="24"/>
  <c r="AM165" i="24"/>
  <c r="AO165" i="24"/>
  <c r="AP165" i="24"/>
  <c r="AR165" i="24"/>
  <c r="AD166" i="24"/>
  <c r="AM166" i="24"/>
  <c r="AO166" i="24"/>
  <c r="AP166" i="24"/>
  <c r="AR166" i="24"/>
  <c r="AD167" i="24"/>
  <c r="AM167" i="24"/>
  <c r="AO167" i="24"/>
  <c r="AP167" i="24"/>
  <c r="AR167" i="24"/>
  <c r="AD168" i="24"/>
  <c r="AM168" i="24"/>
  <c r="AO168" i="24"/>
  <c r="AP168" i="24"/>
  <c r="AR168" i="24"/>
  <c r="AD169" i="24"/>
  <c r="AM169" i="24"/>
  <c r="AO169" i="24"/>
  <c r="AP169" i="24"/>
  <c r="AR169" i="24"/>
  <c r="AD170" i="24"/>
  <c r="AF170" i="24"/>
  <c r="AG170" i="24"/>
  <c r="AI170" i="24"/>
  <c r="AJ170" i="24"/>
  <c r="AM170" i="24"/>
  <c r="AO170" i="24"/>
  <c r="AP170" i="24"/>
  <c r="AR170" i="24"/>
  <c r="AD171" i="24"/>
  <c r="AF171" i="24"/>
  <c r="AG171" i="24"/>
  <c r="AI171" i="24"/>
  <c r="AJ171" i="24"/>
  <c r="AL171" i="24"/>
  <c r="AM171" i="24"/>
  <c r="AO171" i="24"/>
  <c r="AP171" i="24"/>
  <c r="AR171" i="24"/>
  <c r="AD172" i="24"/>
  <c r="AM172" i="24"/>
  <c r="AO172" i="24"/>
  <c r="AP172" i="24"/>
  <c r="AR172" i="24"/>
  <c r="AD173" i="24"/>
  <c r="AM173" i="24"/>
  <c r="AO173" i="24"/>
  <c r="AP173" i="24"/>
  <c r="AR173" i="24"/>
  <c r="AD177" i="24"/>
  <c r="AF177" i="24"/>
  <c r="AM177" i="24"/>
  <c r="AO177" i="24"/>
  <c r="AP177" i="24"/>
  <c r="AR177" i="24"/>
  <c r="AD182" i="24"/>
  <c r="AM182" i="24"/>
  <c r="AO182" i="24"/>
  <c r="AP182" i="24"/>
  <c r="AR182" i="24"/>
  <c r="AD186" i="24"/>
  <c r="AM186" i="24"/>
  <c r="AO186" i="24"/>
  <c r="AP186" i="24"/>
  <c r="AR186" i="24"/>
  <c r="AD187" i="24"/>
  <c r="AM187" i="24"/>
  <c r="AO187" i="24"/>
  <c r="AP187" i="24"/>
  <c r="AR187" i="24"/>
  <c r="AD188" i="24"/>
  <c r="AM188" i="24"/>
  <c r="AO188" i="24"/>
  <c r="AP188" i="24"/>
  <c r="AR188" i="24"/>
  <c r="AD189" i="24"/>
  <c r="AM189" i="24"/>
  <c r="AO189" i="24"/>
  <c r="AP189" i="24"/>
  <c r="AR189" i="24"/>
  <c r="AD190" i="24"/>
  <c r="AM190" i="24"/>
  <c r="AO190" i="24"/>
  <c r="AP190" i="24"/>
  <c r="AR190" i="24"/>
  <c r="AD191" i="24"/>
  <c r="AM191" i="24"/>
  <c r="AO191" i="24"/>
  <c r="AP191" i="24"/>
  <c r="AR191" i="24"/>
  <c r="AD192" i="24"/>
  <c r="AF192" i="24"/>
  <c r="AG192" i="24"/>
  <c r="AI192" i="24"/>
  <c r="AJ192" i="24"/>
  <c r="AM192" i="24"/>
  <c r="AO192" i="24"/>
  <c r="AP192" i="24"/>
  <c r="AR192" i="24"/>
  <c r="AD193" i="24"/>
  <c r="AF193" i="24"/>
  <c r="AG193" i="24"/>
  <c r="AI193" i="24"/>
  <c r="AJ193" i="24"/>
  <c r="AM193" i="24"/>
  <c r="AO193" i="24"/>
  <c r="AP193" i="24"/>
  <c r="AR193" i="24"/>
  <c r="AD194" i="24"/>
  <c r="AF194" i="24"/>
  <c r="AG194" i="24"/>
  <c r="AI194" i="24"/>
  <c r="AJ194" i="24"/>
  <c r="AM194" i="24"/>
  <c r="AO194" i="24"/>
  <c r="AP194" i="24"/>
  <c r="AR194" i="24"/>
  <c r="AD195" i="24"/>
  <c r="AF195" i="24"/>
  <c r="AG195" i="24"/>
  <c r="AI195" i="24"/>
  <c r="AJ195" i="24"/>
  <c r="AM195" i="24"/>
  <c r="AO195" i="24"/>
  <c r="AP195" i="24"/>
  <c r="AR195" i="24"/>
  <c r="AD196" i="24"/>
  <c r="AF196" i="24"/>
  <c r="AG196" i="24"/>
  <c r="AI196" i="24"/>
  <c r="AJ196" i="24"/>
  <c r="AM196" i="24"/>
  <c r="AO196" i="24"/>
  <c r="AP196" i="24"/>
  <c r="AR196" i="24"/>
  <c r="AD197" i="24"/>
  <c r="AM197" i="24"/>
  <c r="AO197" i="24"/>
  <c r="AP197" i="24"/>
  <c r="AR197" i="24"/>
  <c r="AD198" i="24"/>
  <c r="AM198" i="24"/>
  <c r="AO198" i="24"/>
  <c r="AP198" i="24"/>
  <c r="AR198" i="24"/>
  <c r="AD199" i="24"/>
  <c r="AM199" i="24"/>
  <c r="AO199" i="24"/>
  <c r="AP199" i="24"/>
  <c r="AR199" i="24"/>
  <c r="AD200" i="24"/>
  <c r="AM200" i="24"/>
  <c r="AO200" i="24"/>
  <c r="AP200" i="24"/>
  <c r="AR200" i="24"/>
  <c r="AD201" i="24"/>
  <c r="AM201" i="24"/>
  <c r="AO201" i="24"/>
  <c r="AP201" i="24"/>
  <c r="AR201" i="24"/>
  <c r="AD204" i="24"/>
  <c r="AM204" i="24"/>
  <c r="AO204" i="24"/>
  <c r="AP204" i="24"/>
  <c r="AR204" i="24"/>
  <c r="AD205" i="24"/>
  <c r="AM205" i="24"/>
  <c r="AO205" i="24"/>
  <c r="AP205" i="24"/>
  <c r="AR205" i="24"/>
  <c r="AD207" i="24"/>
  <c r="AM207" i="24"/>
  <c r="AO207" i="24"/>
  <c r="AP207" i="24"/>
  <c r="AR207" i="24"/>
  <c r="AD208" i="24"/>
  <c r="AM208" i="24"/>
  <c r="AO208" i="24"/>
  <c r="AP208" i="24"/>
  <c r="AR208" i="24"/>
  <c r="AD212" i="24"/>
  <c r="AP212" i="24"/>
  <c r="AR212" i="24"/>
  <c r="AD213" i="24"/>
  <c r="AP213" i="24"/>
  <c r="AR213" i="24"/>
  <c r="AD214" i="24"/>
  <c r="AP214" i="24"/>
  <c r="AR214" i="24"/>
  <c r="AD216" i="24"/>
  <c r="AP216" i="24"/>
  <c r="AR216" i="24"/>
  <c r="AD218" i="24"/>
  <c r="AP218" i="24"/>
  <c r="AR218" i="24"/>
  <c r="AD219" i="24"/>
  <c r="AM219" i="24"/>
  <c r="AO219" i="24"/>
  <c r="AP219" i="24"/>
  <c r="AR219" i="24"/>
  <c r="AD220" i="24"/>
  <c r="AP220" i="24"/>
  <c r="AR220" i="24"/>
  <c r="AD221" i="24"/>
  <c r="AP221" i="24"/>
  <c r="AR221" i="24"/>
  <c r="AD222" i="24"/>
  <c r="AM222" i="24"/>
  <c r="AO222" i="24"/>
  <c r="AP222" i="24"/>
  <c r="AR222" i="24"/>
  <c r="AD223" i="24"/>
  <c r="AM223" i="24"/>
  <c r="AO223" i="24"/>
  <c r="AP223" i="24"/>
  <c r="AR223" i="24"/>
  <c r="AD224" i="24"/>
  <c r="AM224" i="24"/>
  <c r="AO224" i="24"/>
  <c r="AP224" i="24"/>
  <c r="AR224" i="24"/>
  <c r="AD225" i="24"/>
  <c r="AM225" i="24"/>
  <c r="AO225" i="24"/>
  <c r="AP225" i="24"/>
  <c r="AR225" i="24"/>
  <c r="AD226" i="24"/>
  <c r="AM226" i="24"/>
  <c r="AO226" i="24"/>
  <c r="AP226" i="24"/>
  <c r="AR226" i="24"/>
  <c r="AD227" i="24"/>
  <c r="AM227" i="24"/>
  <c r="AO227" i="24"/>
  <c r="AP227" i="24"/>
  <c r="AR227" i="24"/>
  <c r="AD228" i="24"/>
  <c r="AM228" i="24"/>
  <c r="AO228" i="24"/>
  <c r="AP228" i="24"/>
  <c r="AR228" i="24"/>
  <c r="AD229" i="24"/>
  <c r="AM229" i="24"/>
  <c r="AO229" i="24"/>
  <c r="AP229" i="24"/>
  <c r="AR229" i="24"/>
  <c r="AD230" i="24"/>
  <c r="AM230" i="24"/>
  <c r="AO230" i="24"/>
  <c r="AP230" i="24"/>
  <c r="AR230" i="24"/>
  <c r="AD231" i="24"/>
  <c r="AM231" i="24"/>
  <c r="AO231" i="24"/>
  <c r="AP231" i="24"/>
  <c r="AR231" i="24"/>
  <c r="AD232" i="24"/>
  <c r="AM232" i="24"/>
  <c r="AO232" i="24"/>
  <c r="AP232" i="24"/>
  <c r="AR232" i="24"/>
  <c r="AD233" i="24"/>
  <c r="AM233" i="24"/>
  <c r="AO233" i="24"/>
  <c r="AP233" i="24"/>
  <c r="AR233" i="24"/>
  <c r="AD234" i="24"/>
  <c r="AM234" i="24"/>
  <c r="AO234" i="24"/>
  <c r="AP234" i="24"/>
  <c r="AR234" i="24"/>
  <c r="AD235" i="24"/>
  <c r="AM235" i="24"/>
  <c r="AO235" i="24"/>
  <c r="AP235" i="24"/>
  <c r="AR235" i="24"/>
  <c r="O21" i="24"/>
  <c r="V21" i="24" s="1"/>
  <c r="AL21" i="24" s="1"/>
  <c r="O23" i="24"/>
  <c r="V23" i="24" s="1"/>
  <c r="AL23" i="24" s="1"/>
  <c r="O22" i="24"/>
  <c r="V22" i="24" s="1"/>
  <c r="AL22" i="24" s="1"/>
  <c r="O25" i="24"/>
  <c r="V25" i="24" s="1"/>
  <c r="AL25" i="24" s="1"/>
  <c r="O27" i="24"/>
  <c r="V27" i="24" s="1"/>
  <c r="AL27" i="24" s="1"/>
  <c r="AK27" i="24" s="1"/>
  <c r="O29" i="24"/>
  <c r="V29" i="24" s="1"/>
  <c r="AL29" i="24" s="1"/>
  <c r="O28" i="24"/>
  <c r="V28" i="24" s="1"/>
  <c r="AL28" i="24" s="1"/>
  <c r="O31" i="24"/>
  <c r="O33" i="24"/>
  <c r="V33" i="24" s="1"/>
  <c r="O35" i="24"/>
  <c r="V35" i="24" s="1"/>
  <c r="AL35" i="24" s="1"/>
  <c r="O34" i="24"/>
  <c r="V34" i="24" s="1"/>
  <c r="AL34" i="24" s="1"/>
  <c r="O37" i="24"/>
  <c r="V37" i="24" s="1"/>
  <c r="AL37" i="24" s="1"/>
  <c r="O59" i="24"/>
  <c r="V59" i="24" s="1"/>
  <c r="AL59" i="24" s="1"/>
  <c r="AK59" i="24" s="1"/>
  <c r="O66" i="24"/>
  <c r="V66" i="24" s="1"/>
  <c r="AL66" i="24" s="1"/>
  <c r="O73" i="24"/>
  <c r="V73" i="24" s="1"/>
  <c r="AL73" i="24" s="1"/>
  <c r="O61" i="24"/>
  <c r="AF61" i="24" s="1"/>
  <c r="O63" i="24"/>
  <c r="AF63" i="24" s="1"/>
  <c r="O60" i="24"/>
  <c r="O62" i="24"/>
  <c r="V62" i="24" s="1"/>
  <c r="AL62" i="24" s="1"/>
  <c r="O64" i="24"/>
  <c r="AF64" i="24" s="1"/>
  <c r="O68" i="24"/>
  <c r="V68" i="24" s="1"/>
  <c r="AL68" i="24" s="1"/>
  <c r="O70" i="24"/>
  <c r="V70" i="24" s="1"/>
  <c r="AL70" i="24" s="1"/>
  <c r="O67" i="24"/>
  <c r="O69" i="24"/>
  <c r="AF69" i="24" s="1"/>
  <c r="O71" i="24"/>
  <c r="V71" i="24" s="1"/>
  <c r="AL71" i="24" s="1"/>
  <c r="AK71" i="24" s="1"/>
  <c r="O75" i="24"/>
  <c r="O77" i="24"/>
  <c r="O74" i="24"/>
  <c r="AF74" i="24" s="1"/>
  <c r="O76" i="24"/>
  <c r="V76" i="24" s="1"/>
  <c r="AL76" i="24" s="1"/>
  <c r="AK76" i="24" s="1"/>
  <c r="O78" i="24"/>
  <c r="V78" i="24" s="1"/>
  <c r="AL78" i="24" s="1"/>
  <c r="O81" i="24"/>
  <c r="V81" i="24" s="1"/>
  <c r="AL81" i="24" s="1"/>
  <c r="O85" i="24"/>
  <c r="AF85" i="24" s="1"/>
  <c r="O82" i="24"/>
  <c r="AF82" i="24" s="1"/>
  <c r="O84" i="24"/>
  <c r="V84" i="24" s="1"/>
  <c r="AL84" i="24" s="1"/>
  <c r="O87" i="24"/>
  <c r="V87" i="24" s="1"/>
  <c r="AL87" i="24" s="1"/>
  <c r="O90" i="24"/>
  <c r="O88" i="24"/>
  <c r="V88" i="24" s="1"/>
  <c r="AL88" i="24" s="1"/>
  <c r="O89" i="24"/>
  <c r="V89" i="24" s="1"/>
  <c r="AL89" i="24" s="1"/>
  <c r="O92" i="24"/>
  <c r="O94" i="24"/>
  <c r="V94" i="24" s="1"/>
  <c r="AL94" i="24" s="1"/>
  <c r="O93" i="24"/>
  <c r="V93" i="24" s="1"/>
  <c r="AL93" i="24" s="1"/>
  <c r="AK93" i="24" s="1"/>
  <c r="O95" i="24"/>
  <c r="V95" i="24" s="1"/>
  <c r="AL95" i="24" s="1"/>
  <c r="O118" i="24"/>
  <c r="V118" i="24" s="1"/>
  <c r="AL118" i="24" s="1"/>
  <c r="O121" i="24"/>
  <c r="AF121" i="24" s="1"/>
  <c r="O124" i="24"/>
  <c r="AF124" i="24" s="1"/>
  <c r="O119" i="24"/>
  <c r="V119" i="24" s="1"/>
  <c r="AL119" i="24" s="1"/>
  <c r="O122" i="24"/>
  <c r="V122" i="24" s="1"/>
  <c r="O126" i="24"/>
  <c r="AF126" i="24" s="1"/>
  <c r="D91" i="19"/>
  <c r="D79" i="19"/>
  <c r="D67" i="19"/>
  <c r="D55" i="19"/>
  <c r="D39" i="19"/>
  <c r="D28" i="19"/>
  <c r="D17" i="19"/>
  <c r="B22" i="39"/>
  <c r="B24" i="12"/>
  <c r="B25" i="39"/>
  <c r="B25" i="12"/>
  <c r="E35" i="39"/>
  <c r="D35" i="39"/>
  <c r="F35" i="39"/>
  <c r="F37" i="39"/>
  <c r="C36" i="39"/>
  <c r="D36" i="39"/>
  <c r="E36" i="39"/>
  <c r="F36" i="39"/>
  <c r="D37" i="39"/>
  <c r="E37" i="39"/>
  <c r="D39" i="39"/>
  <c r="E39" i="39"/>
  <c r="F39" i="39"/>
  <c r="D40" i="39"/>
  <c r="E40" i="39"/>
  <c r="F40" i="39"/>
  <c r="D41" i="39"/>
  <c r="E41" i="39"/>
  <c r="F41" i="39"/>
  <c r="D42" i="39"/>
  <c r="E42" i="39"/>
  <c r="F42" i="39"/>
  <c r="D43" i="39"/>
  <c r="E43" i="39"/>
  <c r="F43" i="39"/>
  <c r="C3" i="39"/>
  <c r="C35" i="39" s="1"/>
  <c r="B20" i="39"/>
  <c r="B19" i="39"/>
  <c r="B13" i="39"/>
  <c r="B12" i="39"/>
  <c r="B11" i="39"/>
  <c r="B10" i="39"/>
  <c r="B9" i="39"/>
  <c r="B8" i="39"/>
  <c r="B7" i="39"/>
  <c r="B6" i="39"/>
  <c r="O19" i="30"/>
  <c r="AD19" i="30" s="1"/>
  <c r="O20" i="30"/>
  <c r="AD20" i="30" s="1"/>
  <c r="O21" i="30"/>
  <c r="AD21" i="30" s="1"/>
  <c r="O22" i="30"/>
  <c r="AF22" i="30" s="1"/>
  <c r="AX7" i="33"/>
  <c r="AW12" i="33"/>
  <c r="AX12" i="33" s="1"/>
  <c r="AW13" i="33"/>
  <c r="AX13" i="33" s="1"/>
  <c r="AW14" i="33"/>
  <c r="AX14" i="33" s="1"/>
  <c r="AW15" i="33"/>
  <c r="AX15" i="33" s="1"/>
  <c r="AW16" i="33"/>
  <c r="AX16" i="33" s="1"/>
  <c r="AW17" i="33"/>
  <c r="AX17" i="33" s="1"/>
  <c r="AW18" i="33"/>
  <c r="AX18" i="33" s="1"/>
  <c r="AW19" i="33"/>
  <c r="AX19" i="33" s="1"/>
  <c r="AW20" i="33"/>
  <c r="AX20" i="33" s="1"/>
  <c r="AW23" i="33"/>
  <c r="AX23" i="33" s="1"/>
  <c r="AW24" i="33"/>
  <c r="AX24" i="33" s="1"/>
  <c r="AW25" i="33"/>
  <c r="AX25" i="33" s="1"/>
  <c r="AW27" i="33"/>
  <c r="AX27" i="33" s="1"/>
  <c r="AW28" i="33"/>
  <c r="AX28" i="33" s="1"/>
  <c r="AW29" i="33"/>
  <c r="AX29" i="33" s="1"/>
  <c r="AW30" i="33"/>
  <c r="AX30" i="33" s="1"/>
  <c r="AW31" i="33"/>
  <c r="G162" i="30"/>
  <c r="L7" i="38"/>
  <c r="L7" i="37"/>
  <c r="F256" i="22"/>
  <c r="F172" i="30"/>
  <c r="AK172" i="30" s="1"/>
  <c r="G172" i="30"/>
  <c r="I172" i="30"/>
  <c r="F173" i="30"/>
  <c r="G173" i="30"/>
  <c r="I173" i="30"/>
  <c r="C105" i="15"/>
  <c r="B105" i="15"/>
  <c r="C104" i="15"/>
  <c r="B104" i="15"/>
  <c r="I257" i="29"/>
  <c r="G257" i="29"/>
  <c r="F257" i="29"/>
  <c r="AK257" i="29" s="1"/>
  <c r="I256" i="29"/>
  <c r="G256" i="29"/>
  <c r="F256" i="29"/>
  <c r="AM256" i="29" s="1"/>
  <c r="I255" i="29"/>
  <c r="G255" i="29"/>
  <c r="F255" i="29"/>
  <c r="I186" i="27"/>
  <c r="G186" i="27"/>
  <c r="F186" i="27"/>
  <c r="I185" i="27"/>
  <c r="G185" i="27"/>
  <c r="F185" i="27"/>
  <c r="I184" i="27"/>
  <c r="G184" i="27"/>
  <c r="F184" i="27"/>
  <c r="AG184" i="27" s="1"/>
  <c r="I186" i="26"/>
  <c r="G186" i="26"/>
  <c r="F186" i="26"/>
  <c r="AR186" i="26" s="1"/>
  <c r="I185" i="26"/>
  <c r="G185" i="26"/>
  <c r="F185" i="26"/>
  <c r="AJ185" i="26" s="1"/>
  <c r="I184" i="26"/>
  <c r="G184" i="26"/>
  <c r="F184" i="26"/>
  <c r="I183" i="25"/>
  <c r="G183" i="25"/>
  <c r="F183" i="25"/>
  <c r="I182" i="25"/>
  <c r="G182" i="25"/>
  <c r="F182" i="25"/>
  <c r="I181" i="25"/>
  <c r="G181" i="25"/>
  <c r="F181" i="25"/>
  <c r="AP181" i="25" s="1"/>
  <c r="I365" i="24"/>
  <c r="G365" i="24"/>
  <c r="F365" i="24"/>
  <c r="AS365" i="24" s="1"/>
  <c r="I364" i="24"/>
  <c r="G364" i="24"/>
  <c r="F364" i="24"/>
  <c r="AO364" i="24" s="1"/>
  <c r="I363" i="24"/>
  <c r="G363" i="24"/>
  <c r="F363" i="24"/>
  <c r="I257" i="22"/>
  <c r="G257" i="22"/>
  <c r="F257" i="22"/>
  <c r="I256" i="22"/>
  <c r="G256" i="22"/>
  <c r="I255" i="22"/>
  <c r="G255" i="22"/>
  <c r="F255" i="22"/>
  <c r="I254" i="29"/>
  <c r="G254" i="29"/>
  <c r="F254" i="29"/>
  <c r="I253" i="29"/>
  <c r="G253" i="29"/>
  <c r="F253" i="29"/>
  <c r="AE253" i="29" s="1"/>
  <c r="I252" i="29"/>
  <c r="G252" i="29"/>
  <c r="F252" i="29"/>
  <c r="AJ252" i="29" s="1"/>
  <c r="I251" i="29"/>
  <c r="G251" i="29"/>
  <c r="F251" i="29"/>
  <c r="I250" i="29"/>
  <c r="G250" i="29"/>
  <c r="F250" i="29"/>
  <c r="AO250" i="29" s="1"/>
  <c r="I249" i="29"/>
  <c r="G249" i="29"/>
  <c r="F249" i="29"/>
  <c r="I248" i="29"/>
  <c r="G248" i="29"/>
  <c r="F248" i="29"/>
  <c r="AE248" i="29" s="1"/>
  <c r="I247" i="29"/>
  <c r="G247" i="29"/>
  <c r="F247" i="29"/>
  <c r="AI247" i="29" s="1"/>
  <c r="I246" i="29"/>
  <c r="G246" i="29"/>
  <c r="F246" i="29"/>
  <c r="I245" i="29"/>
  <c r="G245" i="29"/>
  <c r="F245" i="29"/>
  <c r="I244" i="29"/>
  <c r="G244" i="29"/>
  <c r="F244" i="29"/>
  <c r="I243" i="29"/>
  <c r="G243" i="29"/>
  <c r="F243" i="29"/>
  <c r="AE243" i="29" s="1"/>
  <c r="I242" i="29"/>
  <c r="G242" i="29"/>
  <c r="F242" i="29"/>
  <c r="AE242" i="29" s="1"/>
  <c r="I241" i="29"/>
  <c r="G241" i="29"/>
  <c r="F241" i="29"/>
  <c r="I240" i="29"/>
  <c r="G240" i="29"/>
  <c r="F240" i="29"/>
  <c r="AP240" i="29" s="1"/>
  <c r="I239" i="29"/>
  <c r="G239" i="29"/>
  <c r="F239" i="29"/>
  <c r="AN239" i="29" s="1"/>
  <c r="I238" i="29"/>
  <c r="G238" i="29"/>
  <c r="F238" i="29"/>
  <c r="AQ238" i="29" s="1"/>
  <c r="I237" i="29"/>
  <c r="G237" i="29"/>
  <c r="F237" i="29"/>
  <c r="AO237" i="29" s="1"/>
  <c r="I236" i="29"/>
  <c r="G236" i="29"/>
  <c r="F236" i="29"/>
  <c r="AM236" i="29" s="1"/>
  <c r="I235" i="29"/>
  <c r="G235" i="29"/>
  <c r="F235" i="29"/>
  <c r="AD235" i="29" s="1"/>
  <c r="I234" i="29"/>
  <c r="G234" i="29"/>
  <c r="F234" i="29"/>
  <c r="I233" i="29"/>
  <c r="G233" i="29"/>
  <c r="F233" i="29"/>
  <c r="I232" i="29"/>
  <c r="G232" i="29"/>
  <c r="F232" i="29"/>
  <c r="I231" i="29"/>
  <c r="G231" i="29"/>
  <c r="F231" i="29"/>
  <c r="AG231" i="29" s="1"/>
  <c r="I230" i="29"/>
  <c r="G230" i="29"/>
  <c r="F230" i="29"/>
  <c r="AQ230" i="29" s="1"/>
  <c r="I229" i="29"/>
  <c r="G229" i="29"/>
  <c r="F229" i="29"/>
  <c r="AK229" i="29" s="1"/>
  <c r="I228" i="29"/>
  <c r="G228" i="29"/>
  <c r="F228" i="29"/>
  <c r="I227" i="29"/>
  <c r="G227" i="29"/>
  <c r="F227" i="29"/>
  <c r="I226" i="29"/>
  <c r="G226" i="29"/>
  <c r="F226" i="29"/>
  <c r="AJ226" i="29" s="1"/>
  <c r="I225" i="29"/>
  <c r="G225" i="29"/>
  <c r="F225" i="29"/>
  <c r="AI225" i="29" s="1"/>
  <c r="I224" i="29"/>
  <c r="G224" i="29"/>
  <c r="F224" i="29"/>
  <c r="AG224" i="29" s="1"/>
  <c r="I223" i="29"/>
  <c r="G223" i="29"/>
  <c r="F223" i="29"/>
  <c r="I222" i="29"/>
  <c r="G222" i="29"/>
  <c r="F222" i="29"/>
  <c r="AD222" i="29" s="1"/>
  <c r="I221" i="29"/>
  <c r="G221" i="29"/>
  <c r="F221" i="29"/>
  <c r="AI221" i="29"/>
  <c r="I220" i="29"/>
  <c r="G220" i="29"/>
  <c r="F220" i="29"/>
  <c r="AS220" i="29"/>
  <c r="I219" i="29"/>
  <c r="G219" i="29"/>
  <c r="F219" i="29"/>
  <c r="I218" i="29"/>
  <c r="G218" i="29"/>
  <c r="F218" i="29"/>
  <c r="AM218" i="29" s="1"/>
  <c r="I217" i="29"/>
  <c r="G217" i="29"/>
  <c r="F217" i="29"/>
  <c r="AD217" i="29" s="1"/>
  <c r="I216" i="29"/>
  <c r="G216" i="29"/>
  <c r="F216" i="29"/>
  <c r="AM216" i="29" s="1"/>
  <c r="I215" i="29"/>
  <c r="G215" i="29"/>
  <c r="F215" i="29"/>
  <c r="I214" i="29"/>
  <c r="G214" i="29"/>
  <c r="F214" i="29"/>
  <c r="I213" i="29"/>
  <c r="G213" i="29"/>
  <c r="F213" i="29"/>
  <c r="AJ213" i="29" s="1"/>
  <c r="I212" i="29"/>
  <c r="G212" i="29"/>
  <c r="F212" i="29"/>
  <c r="AM212" i="29" s="1"/>
  <c r="I211" i="29"/>
  <c r="G211" i="29"/>
  <c r="F211" i="29"/>
  <c r="I210" i="29"/>
  <c r="G210" i="29"/>
  <c r="F210" i="29"/>
  <c r="AG210" i="29" s="1"/>
  <c r="I209" i="29"/>
  <c r="G209" i="29"/>
  <c r="F209" i="29"/>
  <c r="I208" i="29"/>
  <c r="G208" i="29"/>
  <c r="F208" i="29"/>
  <c r="AE208" i="29" s="1"/>
  <c r="I207" i="29"/>
  <c r="G207" i="29"/>
  <c r="F207" i="29"/>
  <c r="I206" i="29"/>
  <c r="G206" i="29"/>
  <c r="F206" i="29"/>
  <c r="I205" i="29"/>
  <c r="G205" i="29"/>
  <c r="F205" i="29"/>
  <c r="I204" i="29"/>
  <c r="G204" i="29"/>
  <c r="F204" i="29"/>
  <c r="AN204" i="29" s="1"/>
  <c r="I203" i="29"/>
  <c r="G203" i="29"/>
  <c r="F203" i="29"/>
  <c r="AN203" i="29" s="1"/>
  <c r="I202" i="29"/>
  <c r="G202" i="29"/>
  <c r="F202" i="29"/>
  <c r="AQ202" i="29" s="1"/>
  <c r="I201" i="29"/>
  <c r="G201" i="29"/>
  <c r="F201" i="29"/>
  <c r="I200" i="29"/>
  <c r="G200" i="29"/>
  <c r="F200" i="29"/>
  <c r="AJ200" i="29" s="1"/>
  <c r="I199" i="29"/>
  <c r="C199" i="29" s="1"/>
  <c r="H199" i="29" s="1"/>
  <c r="G199" i="29"/>
  <c r="F199" i="29"/>
  <c r="AK199" i="29" s="1"/>
  <c r="I198" i="29"/>
  <c r="C198" i="29" s="1"/>
  <c r="H198" i="29" s="1"/>
  <c r="G198" i="29"/>
  <c r="F198" i="29"/>
  <c r="I197" i="29"/>
  <c r="C197" i="29" s="1"/>
  <c r="H197" i="29" s="1"/>
  <c r="G197" i="29"/>
  <c r="F197" i="29"/>
  <c r="AF197" i="29" s="1"/>
  <c r="I196" i="29"/>
  <c r="G196" i="29"/>
  <c r="F196" i="29"/>
  <c r="AE196" i="29" s="1"/>
  <c r="I195" i="29"/>
  <c r="G195" i="29"/>
  <c r="F195" i="29"/>
  <c r="I194" i="29"/>
  <c r="G194" i="29"/>
  <c r="F194" i="29"/>
  <c r="I193" i="29"/>
  <c r="G193" i="29"/>
  <c r="F193" i="29"/>
  <c r="I192" i="29"/>
  <c r="G192" i="29"/>
  <c r="F192" i="29"/>
  <c r="I191" i="29"/>
  <c r="G191" i="29"/>
  <c r="F191" i="29"/>
  <c r="AG191" i="29" s="1"/>
  <c r="I190" i="29"/>
  <c r="G190" i="29"/>
  <c r="F190" i="29"/>
  <c r="AI190" i="29" s="1"/>
  <c r="I189" i="29"/>
  <c r="G189" i="29"/>
  <c r="F189" i="29"/>
  <c r="I188" i="29"/>
  <c r="G188" i="29"/>
  <c r="F188" i="29"/>
  <c r="I187" i="29"/>
  <c r="G187" i="29"/>
  <c r="F187" i="29"/>
  <c r="AH187" i="29" s="1"/>
  <c r="I186" i="29"/>
  <c r="G186" i="29"/>
  <c r="F186" i="29"/>
  <c r="AE186" i="29" s="1"/>
  <c r="I185" i="29"/>
  <c r="G185" i="29"/>
  <c r="F185" i="29"/>
  <c r="I184" i="29"/>
  <c r="G184" i="29"/>
  <c r="F184" i="29"/>
  <c r="I183" i="29"/>
  <c r="G183" i="29"/>
  <c r="F183" i="29"/>
  <c r="I182" i="29"/>
  <c r="G182" i="29"/>
  <c r="F182" i="29"/>
  <c r="I181" i="29"/>
  <c r="G181" i="29"/>
  <c r="F181" i="29"/>
  <c r="I180" i="29"/>
  <c r="G180" i="29"/>
  <c r="F180" i="29"/>
  <c r="AD180" i="29" s="1"/>
  <c r="I179" i="29"/>
  <c r="G179" i="29"/>
  <c r="F179" i="29"/>
  <c r="AJ179" i="29" s="1"/>
  <c r="I178" i="29"/>
  <c r="G178" i="29"/>
  <c r="F178" i="29"/>
  <c r="I177" i="29"/>
  <c r="G177" i="29"/>
  <c r="F177" i="29"/>
  <c r="I176" i="29"/>
  <c r="G176" i="29"/>
  <c r="F176" i="29"/>
  <c r="I175" i="29"/>
  <c r="G175" i="29"/>
  <c r="F175" i="29"/>
  <c r="AP175" i="29" s="1"/>
  <c r="I174" i="29"/>
  <c r="G174" i="29"/>
  <c r="F174" i="29"/>
  <c r="AQ174" i="29" s="1"/>
  <c r="I173" i="29"/>
  <c r="G173" i="29"/>
  <c r="F173" i="29"/>
  <c r="AL173" i="29" s="1"/>
  <c r="I172" i="29"/>
  <c r="G172" i="29"/>
  <c r="F172" i="29"/>
  <c r="AM172" i="29" s="1"/>
  <c r="I171" i="29"/>
  <c r="G171" i="29"/>
  <c r="F171" i="29"/>
  <c r="AO171" i="29" s="1"/>
  <c r="I170" i="29"/>
  <c r="G170" i="29"/>
  <c r="F170" i="29"/>
  <c r="AP170" i="29" s="1"/>
  <c r="I169" i="29"/>
  <c r="G169" i="29"/>
  <c r="F169" i="29"/>
  <c r="AK169" i="29" s="1"/>
  <c r="I168" i="29"/>
  <c r="G168" i="29"/>
  <c r="F168" i="29"/>
  <c r="AI168" i="29" s="1"/>
  <c r="I167" i="29"/>
  <c r="G167" i="29"/>
  <c r="F167" i="29"/>
  <c r="AO167" i="29" s="1"/>
  <c r="I166" i="29"/>
  <c r="G166" i="29"/>
  <c r="F166" i="29"/>
  <c r="I165" i="29"/>
  <c r="G165" i="29"/>
  <c r="F165" i="29"/>
  <c r="I164" i="29"/>
  <c r="G164" i="29"/>
  <c r="F164" i="29"/>
  <c r="I163" i="29"/>
  <c r="G163" i="29"/>
  <c r="F163" i="29"/>
  <c r="AL163" i="29" s="1"/>
  <c r="I162" i="29"/>
  <c r="G162" i="29"/>
  <c r="F162" i="29"/>
  <c r="I161" i="29"/>
  <c r="G161" i="29"/>
  <c r="F161" i="29"/>
  <c r="I160" i="29"/>
  <c r="G160" i="29"/>
  <c r="F160" i="29"/>
  <c r="AH160" i="29" s="1"/>
  <c r="I159" i="29"/>
  <c r="G159" i="29"/>
  <c r="F159" i="29"/>
  <c r="AD159" i="29" s="1"/>
  <c r="I158" i="29"/>
  <c r="G158" i="29"/>
  <c r="F158" i="29"/>
  <c r="I157" i="29"/>
  <c r="G157" i="29"/>
  <c r="F157" i="29"/>
  <c r="I254" i="22"/>
  <c r="G254" i="22"/>
  <c r="F254" i="22"/>
  <c r="AJ254" i="22" s="1"/>
  <c r="I253" i="22"/>
  <c r="G253" i="22"/>
  <c r="F253" i="22"/>
  <c r="I252" i="22"/>
  <c r="G252" i="22"/>
  <c r="F252" i="22"/>
  <c r="I251" i="22"/>
  <c r="G251" i="22"/>
  <c r="F251" i="22"/>
  <c r="AD251" i="22" s="1"/>
  <c r="I250" i="22"/>
  <c r="G250" i="22"/>
  <c r="F250" i="22"/>
  <c r="AN250" i="22" s="1"/>
  <c r="I249" i="22"/>
  <c r="G249" i="22"/>
  <c r="F249" i="22"/>
  <c r="AH249" i="22" s="1"/>
  <c r="I248" i="22"/>
  <c r="G248" i="22"/>
  <c r="F248" i="22"/>
  <c r="I247" i="22"/>
  <c r="G247" i="22"/>
  <c r="F247" i="22"/>
  <c r="AH247" i="22" s="1"/>
  <c r="I246" i="22"/>
  <c r="G246" i="22"/>
  <c r="F246" i="22"/>
  <c r="AF246" i="22" s="1"/>
  <c r="I245" i="22"/>
  <c r="G245" i="22"/>
  <c r="F245" i="22"/>
  <c r="I244" i="22"/>
  <c r="G244" i="22"/>
  <c r="F244" i="22"/>
  <c r="I243" i="22"/>
  <c r="G243" i="22"/>
  <c r="F243" i="22"/>
  <c r="AG243" i="22" s="1"/>
  <c r="I242" i="22"/>
  <c r="G242" i="22"/>
  <c r="F242" i="22"/>
  <c r="AH242" i="22" s="1"/>
  <c r="I241" i="22"/>
  <c r="G241" i="22"/>
  <c r="F241" i="22"/>
  <c r="I240" i="22"/>
  <c r="G240" i="22"/>
  <c r="F240" i="22"/>
  <c r="I239" i="22"/>
  <c r="G239" i="22"/>
  <c r="F239" i="22"/>
  <c r="AP239" i="22" s="1"/>
  <c r="I238" i="22"/>
  <c r="G238" i="22"/>
  <c r="F238" i="22"/>
  <c r="I237" i="22"/>
  <c r="G237" i="22"/>
  <c r="F237" i="22"/>
  <c r="AF237" i="22" s="1"/>
  <c r="I236" i="22"/>
  <c r="G236" i="22"/>
  <c r="F236" i="22"/>
  <c r="AK236" i="22" s="1"/>
  <c r="I235" i="22"/>
  <c r="G235" i="22"/>
  <c r="F235" i="22"/>
  <c r="AK235" i="22" s="1"/>
  <c r="I234" i="22"/>
  <c r="G234" i="22"/>
  <c r="F234" i="22"/>
  <c r="AE234" i="22" s="1"/>
  <c r="I233" i="22"/>
  <c r="G233" i="22"/>
  <c r="F233" i="22"/>
  <c r="I232" i="22"/>
  <c r="G232" i="22"/>
  <c r="F232" i="22"/>
  <c r="I231" i="22"/>
  <c r="G231" i="22"/>
  <c r="F231" i="22"/>
  <c r="AK231" i="22" s="1"/>
  <c r="I230" i="22"/>
  <c r="G230" i="22"/>
  <c r="F230" i="22"/>
  <c r="I229" i="22"/>
  <c r="G229" i="22"/>
  <c r="F229" i="22"/>
  <c r="I228" i="22"/>
  <c r="G228" i="22"/>
  <c r="F228" i="22"/>
  <c r="I227" i="22"/>
  <c r="G227" i="22"/>
  <c r="F227" i="22"/>
  <c r="AH227" i="22" s="1"/>
  <c r="AP227" i="22"/>
  <c r="I226" i="22"/>
  <c r="G226" i="22"/>
  <c r="F226" i="22"/>
  <c r="I225" i="22"/>
  <c r="G225" i="22"/>
  <c r="F225" i="22"/>
  <c r="AF225" i="22" s="1"/>
  <c r="I224" i="22"/>
  <c r="G224" i="22"/>
  <c r="F224" i="22"/>
  <c r="AR224" i="22" s="1"/>
  <c r="I223" i="22"/>
  <c r="G223" i="22"/>
  <c r="F223" i="22"/>
  <c r="I222" i="22"/>
  <c r="G222" i="22"/>
  <c r="F222" i="22"/>
  <c r="AS222" i="22"/>
  <c r="I221" i="22"/>
  <c r="G221" i="22"/>
  <c r="F221" i="22"/>
  <c r="AE221" i="22" s="1"/>
  <c r="I220" i="22"/>
  <c r="G220" i="22"/>
  <c r="F220" i="22"/>
  <c r="I219" i="22"/>
  <c r="G219" i="22"/>
  <c r="F219" i="22"/>
  <c r="AN219" i="22" s="1"/>
  <c r="I218" i="22"/>
  <c r="G218" i="22"/>
  <c r="F218" i="22"/>
  <c r="AP218" i="22" s="1"/>
  <c r="I217" i="22"/>
  <c r="G217" i="22"/>
  <c r="F217" i="22"/>
  <c r="I216" i="22"/>
  <c r="G216" i="22"/>
  <c r="F216" i="22"/>
  <c r="AQ216" i="22" s="1"/>
  <c r="I215" i="22"/>
  <c r="G215" i="22"/>
  <c r="F215" i="22"/>
  <c r="I214" i="22"/>
  <c r="G214" i="22"/>
  <c r="F214" i="22"/>
  <c r="I213" i="22"/>
  <c r="G213" i="22"/>
  <c r="F213" i="22"/>
  <c r="I212" i="22"/>
  <c r="G212" i="22"/>
  <c r="F212" i="22"/>
  <c r="I211" i="22"/>
  <c r="G211" i="22"/>
  <c r="F211" i="22"/>
  <c r="AF211" i="22" s="1"/>
  <c r="I210" i="22"/>
  <c r="G210" i="22"/>
  <c r="F210" i="22"/>
  <c r="I209" i="22"/>
  <c r="G209" i="22"/>
  <c r="F209" i="22"/>
  <c r="AK209" i="22" s="1"/>
  <c r="I208" i="22"/>
  <c r="G208" i="22"/>
  <c r="F208" i="22"/>
  <c r="AS208" i="22" s="1"/>
  <c r="I207" i="22"/>
  <c r="G207" i="22"/>
  <c r="F207" i="22"/>
  <c r="AG207" i="22" s="1"/>
  <c r="I206" i="22"/>
  <c r="G206" i="22"/>
  <c r="F206" i="22"/>
  <c r="I205" i="22"/>
  <c r="G205" i="22"/>
  <c r="F205" i="22"/>
  <c r="AF205" i="22" s="1"/>
  <c r="I204" i="22"/>
  <c r="G204" i="22"/>
  <c r="F204" i="22"/>
  <c r="AR204" i="22" s="1"/>
  <c r="I203" i="22"/>
  <c r="G203" i="22"/>
  <c r="F203" i="22"/>
  <c r="AN203" i="22" s="1"/>
  <c r="I202" i="22"/>
  <c r="G202" i="22"/>
  <c r="F202" i="22"/>
  <c r="I201" i="22"/>
  <c r="G201" i="22"/>
  <c r="F201" i="22"/>
  <c r="I200" i="22"/>
  <c r="G200" i="22"/>
  <c r="F200" i="22"/>
  <c r="AQ200" i="22" s="1"/>
  <c r="I199" i="22"/>
  <c r="C199" i="22" s="1"/>
  <c r="H199" i="22" s="1"/>
  <c r="G199" i="22"/>
  <c r="F199" i="22"/>
  <c r="AG199" i="22" s="1"/>
  <c r="I198" i="22"/>
  <c r="C198" i="22" s="1"/>
  <c r="H198" i="22" s="1"/>
  <c r="G198" i="22"/>
  <c r="F198" i="22"/>
  <c r="AH198" i="22" s="1"/>
  <c r="I197" i="22"/>
  <c r="C197" i="22" s="1"/>
  <c r="H197" i="22" s="1"/>
  <c r="G197" i="22"/>
  <c r="F197" i="22"/>
  <c r="I196" i="22"/>
  <c r="G196" i="22"/>
  <c r="F196" i="22"/>
  <c r="AF196" i="22" s="1"/>
  <c r="I195" i="22"/>
  <c r="G195" i="22"/>
  <c r="F195" i="22"/>
  <c r="AE195" i="22" s="1"/>
  <c r="I194" i="22"/>
  <c r="G194" i="22"/>
  <c r="F194" i="22"/>
  <c r="AN194" i="22" s="1"/>
  <c r="I193" i="22"/>
  <c r="G193" i="22"/>
  <c r="F193" i="22"/>
  <c r="I192" i="22"/>
  <c r="G192" i="22"/>
  <c r="F192" i="22"/>
  <c r="I191" i="22"/>
  <c r="G191" i="22"/>
  <c r="F191" i="22"/>
  <c r="I190" i="22"/>
  <c r="G190" i="22"/>
  <c r="F190" i="22"/>
  <c r="AP190" i="22" s="1"/>
  <c r="I189" i="22"/>
  <c r="G189" i="22"/>
  <c r="F189" i="22"/>
  <c r="AF189" i="22" s="1"/>
  <c r="I188" i="22"/>
  <c r="G188" i="22"/>
  <c r="F188" i="22"/>
  <c r="AG188" i="22" s="1"/>
  <c r="I187" i="22"/>
  <c r="G187" i="22"/>
  <c r="F187" i="22"/>
  <c r="I186" i="22"/>
  <c r="G186" i="22"/>
  <c r="F186" i="22"/>
  <c r="AH186" i="22" s="1"/>
  <c r="I185" i="22"/>
  <c r="G185" i="22"/>
  <c r="F185" i="22"/>
  <c r="AH185" i="22" s="1"/>
  <c r="I184" i="22"/>
  <c r="G184" i="22"/>
  <c r="F184" i="22"/>
  <c r="AN184" i="22" s="1"/>
  <c r="I183" i="22"/>
  <c r="G183" i="22"/>
  <c r="F183" i="22"/>
  <c r="I182" i="22"/>
  <c r="G182" i="22"/>
  <c r="F182" i="22"/>
  <c r="AF182" i="22" s="1"/>
  <c r="I181" i="22"/>
  <c r="G181" i="22"/>
  <c r="F181" i="22"/>
  <c r="AR181" i="22" s="1"/>
  <c r="I180" i="22"/>
  <c r="G180" i="22"/>
  <c r="F180" i="22"/>
  <c r="I179" i="22"/>
  <c r="G179" i="22"/>
  <c r="F179" i="22"/>
  <c r="AE179" i="22" s="1"/>
  <c r="I178" i="22"/>
  <c r="G178" i="22"/>
  <c r="F178" i="22"/>
  <c r="AJ178" i="22" s="1"/>
  <c r="I177" i="22"/>
  <c r="G177" i="22"/>
  <c r="F177" i="22"/>
  <c r="AS177" i="22" s="1"/>
  <c r="I176" i="22"/>
  <c r="G176" i="22"/>
  <c r="F176" i="22"/>
  <c r="I175" i="22"/>
  <c r="G175" i="22"/>
  <c r="F175" i="22"/>
  <c r="AS175" i="22" s="1"/>
  <c r="I174" i="22"/>
  <c r="G174" i="22"/>
  <c r="F174" i="22"/>
  <c r="I173" i="22"/>
  <c r="G173" i="22"/>
  <c r="F173" i="22"/>
  <c r="AS173" i="22"/>
  <c r="I172" i="22"/>
  <c r="G172" i="22"/>
  <c r="F172" i="22"/>
  <c r="AH172" i="22" s="1"/>
  <c r="I171" i="22"/>
  <c r="G171" i="22"/>
  <c r="F171" i="22"/>
  <c r="AN171" i="22" s="1"/>
  <c r="I170" i="22"/>
  <c r="G170" i="22"/>
  <c r="F170" i="22"/>
  <c r="AK170" i="22" s="1"/>
  <c r="I169" i="22"/>
  <c r="G169" i="22"/>
  <c r="F169" i="22"/>
  <c r="I168" i="22"/>
  <c r="G168" i="22"/>
  <c r="F168" i="22"/>
  <c r="I167" i="22"/>
  <c r="G167" i="22"/>
  <c r="F167" i="22"/>
  <c r="I166" i="22"/>
  <c r="G166" i="22"/>
  <c r="F166" i="22"/>
  <c r="AM166" i="22" s="1"/>
  <c r="I165" i="22"/>
  <c r="G165" i="22"/>
  <c r="F165" i="22"/>
  <c r="AE165" i="22" s="1"/>
  <c r="I164" i="22"/>
  <c r="G164" i="22"/>
  <c r="F164" i="22"/>
  <c r="I163" i="22"/>
  <c r="G163" i="22"/>
  <c r="F163" i="22"/>
  <c r="AN163" i="22" s="1"/>
  <c r="I162" i="22"/>
  <c r="G162" i="22"/>
  <c r="F162" i="22"/>
  <c r="AS162" i="22" s="1"/>
  <c r="I161" i="22"/>
  <c r="G161" i="22"/>
  <c r="F161" i="22"/>
  <c r="I160" i="22"/>
  <c r="G160" i="22"/>
  <c r="F160" i="22"/>
  <c r="AS160" i="22" s="1"/>
  <c r="I159" i="22"/>
  <c r="G159" i="22"/>
  <c r="F159" i="22"/>
  <c r="AJ159" i="22" s="1"/>
  <c r="I158" i="22"/>
  <c r="G158" i="22"/>
  <c r="F158" i="22"/>
  <c r="AS158" i="22" s="1"/>
  <c r="I157" i="22"/>
  <c r="G157" i="22"/>
  <c r="F157" i="22"/>
  <c r="AJ157" i="22" s="1"/>
  <c r="I183" i="27"/>
  <c r="G183" i="27"/>
  <c r="F183" i="27"/>
  <c r="I182" i="27"/>
  <c r="G182" i="27"/>
  <c r="F182" i="27"/>
  <c r="I181" i="27"/>
  <c r="G181" i="27"/>
  <c r="F181" i="27"/>
  <c r="AG181" i="27" s="1"/>
  <c r="I180" i="27"/>
  <c r="G180" i="27"/>
  <c r="F180" i="27"/>
  <c r="AR180" i="27" s="1"/>
  <c r="I179" i="27"/>
  <c r="G179" i="27"/>
  <c r="F179" i="27"/>
  <c r="I178" i="27"/>
  <c r="G178" i="27"/>
  <c r="F178" i="27"/>
  <c r="I177" i="27"/>
  <c r="G177" i="27"/>
  <c r="F177" i="27"/>
  <c r="AG177" i="27" s="1"/>
  <c r="I176" i="27"/>
  <c r="G176" i="27"/>
  <c r="F176" i="27"/>
  <c r="AM176" i="27" s="1"/>
  <c r="I175" i="27"/>
  <c r="G175" i="27"/>
  <c r="F175" i="27"/>
  <c r="I174" i="27"/>
  <c r="G174" i="27"/>
  <c r="F174" i="27"/>
  <c r="I173" i="27"/>
  <c r="G173" i="27"/>
  <c r="F173" i="27"/>
  <c r="AH173" i="27" s="1"/>
  <c r="I172" i="27"/>
  <c r="G172" i="27"/>
  <c r="F172" i="27"/>
  <c r="AN172" i="27" s="1"/>
  <c r="I171" i="27"/>
  <c r="G171" i="27"/>
  <c r="F171" i="27"/>
  <c r="I170" i="27"/>
  <c r="G170" i="27"/>
  <c r="F170" i="27"/>
  <c r="I169" i="27"/>
  <c r="G169" i="27"/>
  <c r="F169" i="27"/>
  <c r="AH169" i="27" s="1"/>
  <c r="I168" i="27"/>
  <c r="G168" i="27"/>
  <c r="F168" i="27"/>
  <c r="AM168" i="27" s="1"/>
  <c r="I167" i="27"/>
  <c r="G167" i="27"/>
  <c r="F167" i="27"/>
  <c r="I166" i="27"/>
  <c r="G166" i="27"/>
  <c r="F166" i="27"/>
  <c r="I165" i="27"/>
  <c r="G165" i="27"/>
  <c r="F165" i="27"/>
  <c r="AE165" i="27" s="1"/>
  <c r="I164" i="27"/>
  <c r="G164" i="27"/>
  <c r="F164" i="27"/>
  <c r="AN164" i="27" s="1"/>
  <c r="I163" i="27"/>
  <c r="G163" i="27"/>
  <c r="F163" i="27"/>
  <c r="I162" i="27"/>
  <c r="G162" i="27"/>
  <c r="F162" i="27"/>
  <c r="I161" i="27"/>
  <c r="G161" i="27"/>
  <c r="F161" i="27"/>
  <c r="I160" i="27"/>
  <c r="G160" i="27"/>
  <c r="F160" i="27"/>
  <c r="AM160" i="27" s="1"/>
  <c r="I159" i="27"/>
  <c r="G159" i="27"/>
  <c r="F159" i="27"/>
  <c r="I158" i="27"/>
  <c r="G158" i="27"/>
  <c r="F158" i="27"/>
  <c r="I157" i="27"/>
  <c r="G157" i="27"/>
  <c r="F157" i="27"/>
  <c r="I156" i="27"/>
  <c r="G156" i="27"/>
  <c r="F156" i="27"/>
  <c r="AQ156" i="27" s="1"/>
  <c r="I155" i="27"/>
  <c r="G155" i="27"/>
  <c r="F155" i="27"/>
  <c r="I154" i="27"/>
  <c r="G154" i="27"/>
  <c r="F154" i="27"/>
  <c r="I153" i="27"/>
  <c r="G153" i="27"/>
  <c r="F153" i="27"/>
  <c r="I152" i="27"/>
  <c r="G152" i="27"/>
  <c r="F152" i="27"/>
  <c r="AO152" i="27" s="1"/>
  <c r="I151" i="27"/>
  <c r="G151" i="27"/>
  <c r="F151" i="27"/>
  <c r="AP151" i="27" s="1"/>
  <c r="I150" i="27"/>
  <c r="G150" i="27"/>
  <c r="F150" i="27"/>
  <c r="I149" i="27"/>
  <c r="G149" i="27"/>
  <c r="F149" i="27"/>
  <c r="I148" i="27"/>
  <c r="G148" i="27"/>
  <c r="F148" i="27"/>
  <c r="AJ148" i="27" s="1"/>
  <c r="I147" i="27"/>
  <c r="G147" i="27"/>
  <c r="F147" i="27"/>
  <c r="I146" i="27"/>
  <c r="G146" i="27"/>
  <c r="F146" i="27"/>
  <c r="I145" i="27"/>
  <c r="G145" i="27"/>
  <c r="F145" i="27"/>
  <c r="I144" i="27"/>
  <c r="G144" i="27"/>
  <c r="F144" i="27"/>
  <c r="AG144" i="27" s="1"/>
  <c r="I143" i="27"/>
  <c r="G143" i="27"/>
  <c r="F143" i="27"/>
  <c r="I142" i="27"/>
  <c r="G142" i="27"/>
  <c r="F142" i="27"/>
  <c r="AM142" i="27" s="1"/>
  <c r="I141" i="27"/>
  <c r="G141" i="27"/>
  <c r="F141" i="27"/>
  <c r="AR141" i="27" s="1"/>
  <c r="I140" i="27"/>
  <c r="G140" i="27"/>
  <c r="F140" i="27"/>
  <c r="AS140" i="27" s="1"/>
  <c r="I139" i="27"/>
  <c r="G139" i="27"/>
  <c r="F139" i="27"/>
  <c r="I138" i="27"/>
  <c r="G138" i="27"/>
  <c r="F138" i="27"/>
  <c r="I137" i="27"/>
  <c r="G137" i="27"/>
  <c r="F137" i="27"/>
  <c r="AF137" i="27" s="1"/>
  <c r="I136" i="27"/>
  <c r="G136" i="27"/>
  <c r="F136" i="27"/>
  <c r="AD136" i="27" s="1"/>
  <c r="I135" i="27"/>
  <c r="G135" i="27"/>
  <c r="F135" i="27"/>
  <c r="I134" i="27"/>
  <c r="G134" i="27"/>
  <c r="F134" i="27"/>
  <c r="I133" i="27"/>
  <c r="G133" i="27"/>
  <c r="F133" i="27"/>
  <c r="AD133" i="27" s="1"/>
  <c r="I132" i="27"/>
  <c r="G132" i="27"/>
  <c r="F132" i="27"/>
  <c r="I131" i="27"/>
  <c r="G131" i="27"/>
  <c r="F131" i="27"/>
  <c r="I130" i="27"/>
  <c r="G130" i="27"/>
  <c r="F130" i="27"/>
  <c r="AK130" i="27" s="1"/>
  <c r="I129" i="27"/>
  <c r="G129" i="27"/>
  <c r="F129" i="27"/>
  <c r="AO129" i="27" s="1"/>
  <c r="I128" i="27"/>
  <c r="C128" i="27" s="1"/>
  <c r="H128" i="27" s="1"/>
  <c r="G128" i="27"/>
  <c r="F128" i="27"/>
  <c r="I127" i="27"/>
  <c r="C127" i="27" s="1"/>
  <c r="H127" i="27" s="1"/>
  <c r="G127" i="27"/>
  <c r="F127" i="27"/>
  <c r="AJ127" i="27" s="1"/>
  <c r="I126" i="27"/>
  <c r="C126" i="27" s="1"/>
  <c r="H126" i="27" s="1"/>
  <c r="G126" i="27"/>
  <c r="F126" i="27"/>
  <c r="AH126" i="27" s="1"/>
  <c r="I125" i="27"/>
  <c r="G125" i="27"/>
  <c r="F125" i="27"/>
  <c r="AO125" i="27" s="1"/>
  <c r="I124" i="27"/>
  <c r="G124" i="27"/>
  <c r="F124" i="27"/>
  <c r="I123" i="27"/>
  <c r="G123" i="27"/>
  <c r="F123" i="27"/>
  <c r="I122" i="27"/>
  <c r="G122" i="27"/>
  <c r="F122" i="27"/>
  <c r="I121" i="27"/>
  <c r="G121" i="27"/>
  <c r="F121" i="27"/>
  <c r="AH121" i="27" s="1"/>
  <c r="I120" i="27"/>
  <c r="G120" i="27"/>
  <c r="F120" i="27"/>
  <c r="AG120" i="27" s="1"/>
  <c r="I119" i="27"/>
  <c r="G119" i="27"/>
  <c r="F119" i="27"/>
  <c r="I118" i="27"/>
  <c r="G118" i="27"/>
  <c r="F118" i="27"/>
  <c r="AJ118" i="27" s="1"/>
  <c r="I117" i="27"/>
  <c r="G117" i="27"/>
  <c r="F117" i="27"/>
  <c r="I116" i="27"/>
  <c r="G116" i="27"/>
  <c r="F116" i="27"/>
  <c r="AO116" i="27" s="1"/>
  <c r="I115" i="27"/>
  <c r="G115" i="27"/>
  <c r="F115" i="27"/>
  <c r="AD115" i="27" s="1"/>
  <c r="I114" i="27"/>
  <c r="G114" i="27"/>
  <c r="F114" i="27"/>
  <c r="I113" i="27"/>
  <c r="G113" i="27"/>
  <c r="F113" i="27"/>
  <c r="AR113" i="27" s="1"/>
  <c r="I112" i="27"/>
  <c r="G112" i="27"/>
  <c r="F112" i="27"/>
  <c r="I111" i="27"/>
  <c r="G111" i="27"/>
  <c r="F111" i="27"/>
  <c r="I110" i="27"/>
  <c r="G110" i="27"/>
  <c r="F110" i="27"/>
  <c r="I109" i="27"/>
  <c r="G109" i="27"/>
  <c r="F109" i="27"/>
  <c r="I108" i="27"/>
  <c r="G108" i="27"/>
  <c r="F108" i="27"/>
  <c r="I107" i="27"/>
  <c r="G107" i="27"/>
  <c r="F107" i="27"/>
  <c r="AO107" i="27" s="1"/>
  <c r="I106" i="27"/>
  <c r="G106" i="27"/>
  <c r="F106" i="27"/>
  <c r="I105" i="27"/>
  <c r="G105" i="27"/>
  <c r="F105" i="27"/>
  <c r="AJ105" i="27" s="1"/>
  <c r="I104" i="27"/>
  <c r="G104" i="27"/>
  <c r="F104" i="27"/>
  <c r="AM104" i="27" s="1"/>
  <c r="I103" i="27"/>
  <c r="G103" i="27"/>
  <c r="F103" i="27"/>
  <c r="I102" i="27"/>
  <c r="G102" i="27"/>
  <c r="F102" i="27"/>
  <c r="I101" i="27"/>
  <c r="G101" i="27"/>
  <c r="F101" i="27"/>
  <c r="AG101" i="27" s="1"/>
  <c r="I100" i="27"/>
  <c r="G100" i="27"/>
  <c r="F100" i="27"/>
  <c r="AQ100" i="27" s="1"/>
  <c r="I99" i="27"/>
  <c r="G99" i="27"/>
  <c r="F99" i="27"/>
  <c r="AQ99" i="27" s="1"/>
  <c r="I98" i="27"/>
  <c r="G98" i="27"/>
  <c r="F98" i="27"/>
  <c r="I97" i="27"/>
  <c r="G97" i="27"/>
  <c r="F97" i="27"/>
  <c r="I96" i="27"/>
  <c r="G96" i="27"/>
  <c r="F96" i="27"/>
  <c r="I95" i="27"/>
  <c r="G95" i="27"/>
  <c r="F95" i="27"/>
  <c r="I94" i="27"/>
  <c r="G94" i="27"/>
  <c r="F94" i="27"/>
  <c r="I93" i="27"/>
  <c r="G93" i="27"/>
  <c r="F93" i="27"/>
  <c r="I92" i="27"/>
  <c r="G92" i="27"/>
  <c r="F92" i="27"/>
  <c r="AM92" i="27" s="1"/>
  <c r="I91" i="27"/>
  <c r="G91" i="27"/>
  <c r="F91" i="27"/>
  <c r="I90" i="27"/>
  <c r="G90" i="27"/>
  <c r="F90" i="27"/>
  <c r="AF90" i="27" s="1"/>
  <c r="I89" i="27"/>
  <c r="G89" i="27"/>
  <c r="F89" i="27"/>
  <c r="AF89" i="27" s="1"/>
  <c r="I88" i="27"/>
  <c r="G88" i="27"/>
  <c r="F88" i="27"/>
  <c r="I87" i="27"/>
  <c r="G87" i="27"/>
  <c r="F87" i="27"/>
  <c r="I86" i="27"/>
  <c r="G86" i="27"/>
  <c r="F86" i="27"/>
  <c r="I183" i="26"/>
  <c r="G183" i="26"/>
  <c r="F183" i="26"/>
  <c r="AJ183" i="26" s="1"/>
  <c r="I182" i="26"/>
  <c r="G182" i="26"/>
  <c r="F182" i="26"/>
  <c r="AS182" i="26" s="1"/>
  <c r="I181" i="26"/>
  <c r="G181" i="26"/>
  <c r="F181" i="26"/>
  <c r="AD181" i="26" s="1"/>
  <c r="I180" i="26"/>
  <c r="G180" i="26"/>
  <c r="F180" i="26"/>
  <c r="I179" i="26"/>
  <c r="G179" i="26"/>
  <c r="F179" i="26"/>
  <c r="AP179" i="26" s="1"/>
  <c r="I178" i="26"/>
  <c r="G178" i="26"/>
  <c r="F178" i="26"/>
  <c r="AG178" i="26" s="1"/>
  <c r="I177" i="26"/>
  <c r="G177" i="26"/>
  <c r="F177" i="26"/>
  <c r="AE177" i="26" s="1"/>
  <c r="I176" i="26"/>
  <c r="G176" i="26"/>
  <c r="F176" i="26"/>
  <c r="I175" i="26"/>
  <c r="G175" i="26"/>
  <c r="F175" i="26"/>
  <c r="AR175" i="26" s="1"/>
  <c r="I174" i="26"/>
  <c r="G174" i="26"/>
  <c r="F174" i="26"/>
  <c r="AH174" i="26" s="1"/>
  <c r="I173" i="26"/>
  <c r="G173" i="26"/>
  <c r="F173" i="26"/>
  <c r="AE173" i="26" s="1"/>
  <c r="I172" i="26"/>
  <c r="G172" i="26"/>
  <c r="F172" i="26"/>
  <c r="I171" i="26"/>
  <c r="G171" i="26"/>
  <c r="F171" i="26"/>
  <c r="AK171" i="26" s="1"/>
  <c r="I170" i="26"/>
  <c r="G170" i="26"/>
  <c r="F170" i="26"/>
  <c r="AJ170" i="26" s="1"/>
  <c r="I169" i="26"/>
  <c r="G169" i="26"/>
  <c r="F169" i="26"/>
  <c r="AS169" i="26" s="1"/>
  <c r="I168" i="26"/>
  <c r="G168" i="26"/>
  <c r="F168" i="26"/>
  <c r="I167" i="26"/>
  <c r="G167" i="26"/>
  <c r="F167" i="26"/>
  <c r="AP167" i="26" s="1"/>
  <c r="I166" i="26"/>
  <c r="G166" i="26"/>
  <c r="F166" i="26"/>
  <c r="AP166" i="26" s="1"/>
  <c r="I165" i="26"/>
  <c r="G165" i="26"/>
  <c r="F165" i="26"/>
  <c r="AH165" i="26" s="1"/>
  <c r="I164" i="26"/>
  <c r="G164" i="26"/>
  <c r="F164" i="26"/>
  <c r="AO164" i="26" s="1"/>
  <c r="I163" i="26"/>
  <c r="G163" i="26"/>
  <c r="F163" i="26"/>
  <c r="AD163" i="26" s="1"/>
  <c r="I162" i="26"/>
  <c r="G162" i="26"/>
  <c r="F162" i="26"/>
  <c r="AF162" i="26" s="1"/>
  <c r="I161" i="26"/>
  <c r="G161" i="26"/>
  <c r="F161" i="26"/>
  <c r="AS161" i="26" s="1"/>
  <c r="I160" i="26"/>
  <c r="G160" i="26"/>
  <c r="F160" i="26"/>
  <c r="AD160" i="26" s="1"/>
  <c r="I159" i="26"/>
  <c r="G159" i="26"/>
  <c r="F159" i="26"/>
  <c r="AD159" i="26" s="1"/>
  <c r="I158" i="26"/>
  <c r="G158" i="26"/>
  <c r="F158" i="26"/>
  <c r="AM158" i="26" s="1"/>
  <c r="I157" i="26"/>
  <c r="G157" i="26"/>
  <c r="F157" i="26"/>
  <c r="AO157" i="26" s="1"/>
  <c r="I156" i="26"/>
  <c r="G156" i="26"/>
  <c r="F156" i="26"/>
  <c r="AM156" i="26" s="1"/>
  <c r="I155" i="26"/>
  <c r="G155" i="26"/>
  <c r="F155" i="26"/>
  <c r="AK155" i="26" s="1"/>
  <c r="I154" i="26"/>
  <c r="G154" i="26"/>
  <c r="F154" i="26"/>
  <c r="AM154" i="26" s="1"/>
  <c r="I153" i="26"/>
  <c r="G153" i="26"/>
  <c r="F153" i="26"/>
  <c r="AM153" i="26" s="1"/>
  <c r="I152" i="26"/>
  <c r="G152" i="26"/>
  <c r="F152" i="26"/>
  <c r="AE152" i="26" s="1"/>
  <c r="I151" i="26"/>
  <c r="G151" i="26"/>
  <c r="F151" i="26"/>
  <c r="AE151" i="26" s="1"/>
  <c r="I150" i="26"/>
  <c r="G150" i="26"/>
  <c r="F150" i="26"/>
  <c r="AQ150" i="26" s="1"/>
  <c r="I149" i="26"/>
  <c r="G149" i="26"/>
  <c r="F149" i="26"/>
  <c r="AR149" i="26" s="1"/>
  <c r="I148" i="26"/>
  <c r="G148" i="26"/>
  <c r="F148" i="26"/>
  <c r="AQ148" i="26" s="1"/>
  <c r="I147" i="26"/>
  <c r="G147" i="26"/>
  <c r="F147" i="26"/>
  <c r="AO147" i="26" s="1"/>
  <c r="I146" i="26"/>
  <c r="G146" i="26"/>
  <c r="F146" i="26"/>
  <c r="AP146" i="26" s="1"/>
  <c r="I145" i="26"/>
  <c r="G145" i="26"/>
  <c r="F145" i="26"/>
  <c r="AO145" i="26" s="1"/>
  <c r="I144" i="26"/>
  <c r="G144" i="26"/>
  <c r="F144" i="26"/>
  <c r="AD144" i="26" s="1"/>
  <c r="I143" i="26"/>
  <c r="G143" i="26"/>
  <c r="F143" i="26"/>
  <c r="AG143" i="26" s="1"/>
  <c r="I142" i="26"/>
  <c r="G142" i="26"/>
  <c r="F142" i="26"/>
  <c r="AF142" i="26" s="1"/>
  <c r="I141" i="26"/>
  <c r="G141" i="26"/>
  <c r="F141" i="26"/>
  <c r="AQ141" i="26" s="1"/>
  <c r="I140" i="26"/>
  <c r="G140" i="26"/>
  <c r="F140" i="26"/>
  <c r="I139" i="26"/>
  <c r="G139" i="26"/>
  <c r="F139" i="26"/>
  <c r="AO139" i="26" s="1"/>
  <c r="I138" i="26"/>
  <c r="G138" i="26"/>
  <c r="F138" i="26"/>
  <c r="AF138" i="26" s="1"/>
  <c r="I137" i="26"/>
  <c r="G137" i="26"/>
  <c r="F137" i="26"/>
  <c r="AO137" i="26" s="1"/>
  <c r="I136" i="26"/>
  <c r="G136" i="26"/>
  <c r="F136" i="26"/>
  <c r="AR136" i="26" s="1"/>
  <c r="I135" i="26"/>
  <c r="G135" i="26"/>
  <c r="F135" i="26"/>
  <c r="I134" i="26"/>
  <c r="G134" i="26"/>
  <c r="F134" i="26"/>
  <c r="AO134" i="26" s="1"/>
  <c r="I133" i="26"/>
  <c r="G133" i="26"/>
  <c r="F133" i="26"/>
  <c r="AS133" i="26" s="1"/>
  <c r="I132" i="26"/>
  <c r="G132" i="26"/>
  <c r="F132" i="26"/>
  <c r="I131" i="26"/>
  <c r="G131" i="26"/>
  <c r="F131" i="26"/>
  <c r="AN131" i="26" s="1"/>
  <c r="I130" i="26"/>
  <c r="G130" i="26"/>
  <c r="F130" i="26"/>
  <c r="AD130" i="26" s="1"/>
  <c r="I129" i="26"/>
  <c r="G129" i="26"/>
  <c r="F129" i="26"/>
  <c r="AF129" i="26" s="1"/>
  <c r="I128" i="26"/>
  <c r="C128" i="26" s="1"/>
  <c r="H128" i="26" s="1"/>
  <c r="G128" i="26"/>
  <c r="F128" i="26"/>
  <c r="AE128" i="26" s="1"/>
  <c r="I127" i="26"/>
  <c r="C127" i="26" s="1"/>
  <c r="H127" i="26" s="1"/>
  <c r="G127" i="26"/>
  <c r="F127" i="26"/>
  <c r="AM127" i="26" s="1"/>
  <c r="I126" i="26"/>
  <c r="C126" i="26" s="1"/>
  <c r="H126" i="26" s="1"/>
  <c r="G126" i="26"/>
  <c r="F126" i="26"/>
  <c r="AH126" i="26" s="1"/>
  <c r="I125" i="26"/>
  <c r="G125" i="26"/>
  <c r="F125" i="26"/>
  <c r="AP125" i="26" s="1"/>
  <c r="I124" i="26"/>
  <c r="G124" i="26"/>
  <c r="F124" i="26"/>
  <c r="I123" i="26"/>
  <c r="G123" i="26"/>
  <c r="F123" i="26"/>
  <c r="AS123" i="26" s="1"/>
  <c r="I122" i="26"/>
  <c r="G122" i="26"/>
  <c r="F122" i="26"/>
  <c r="AH122" i="26" s="1"/>
  <c r="I121" i="26"/>
  <c r="G121" i="26"/>
  <c r="F121" i="26"/>
  <c r="AE121" i="26" s="1"/>
  <c r="I120" i="26"/>
  <c r="G120" i="26"/>
  <c r="F120" i="26"/>
  <c r="AR120" i="26" s="1"/>
  <c r="I119" i="26"/>
  <c r="G119" i="26"/>
  <c r="F119" i="26"/>
  <c r="AS119" i="26" s="1"/>
  <c r="I118" i="26"/>
  <c r="G118" i="26"/>
  <c r="F118" i="26"/>
  <c r="AS118" i="26" s="1"/>
  <c r="I117" i="26"/>
  <c r="G117" i="26"/>
  <c r="F117" i="26"/>
  <c r="AP117" i="26" s="1"/>
  <c r="I116" i="26"/>
  <c r="G116" i="26"/>
  <c r="F116" i="26"/>
  <c r="I115" i="26"/>
  <c r="G115" i="26"/>
  <c r="F115" i="26"/>
  <c r="I114" i="26"/>
  <c r="G114" i="26"/>
  <c r="F114" i="26"/>
  <c r="AK114" i="26" s="1"/>
  <c r="I113" i="26"/>
  <c r="G113" i="26"/>
  <c r="F113" i="26"/>
  <c r="AE113" i="26" s="1"/>
  <c r="I112" i="26"/>
  <c r="G112" i="26"/>
  <c r="F112" i="26"/>
  <c r="AE112" i="26" s="1"/>
  <c r="I111" i="26"/>
  <c r="G111" i="26"/>
  <c r="F111" i="26"/>
  <c r="AK111" i="26" s="1"/>
  <c r="I110" i="26"/>
  <c r="G110" i="26"/>
  <c r="F110" i="26"/>
  <c r="AJ110" i="26" s="1"/>
  <c r="I109" i="26"/>
  <c r="G109" i="26"/>
  <c r="F109" i="26"/>
  <c r="AS109" i="26" s="1"/>
  <c r="I108" i="26"/>
  <c r="G108" i="26"/>
  <c r="F108" i="26"/>
  <c r="AJ108" i="26" s="1"/>
  <c r="I107" i="26"/>
  <c r="G107" i="26"/>
  <c r="F107" i="26"/>
  <c r="AM107" i="26" s="1"/>
  <c r="I106" i="26"/>
  <c r="G106" i="26"/>
  <c r="F106" i="26"/>
  <c r="AJ106" i="26" s="1"/>
  <c r="I105" i="26"/>
  <c r="G105" i="26"/>
  <c r="F105" i="26"/>
  <c r="I104" i="26"/>
  <c r="G104" i="26"/>
  <c r="F104" i="26"/>
  <c r="I103" i="26"/>
  <c r="G103" i="26"/>
  <c r="F103" i="26"/>
  <c r="AK103" i="26" s="1"/>
  <c r="I102" i="26"/>
  <c r="G102" i="26"/>
  <c r="F102" i="26"/>
  <c r="AR102" i="26" s="1"/>
  <c r="I101" i="26"/>
  <c r="G101" i="26"/>
  <c r="F101" i="26"/>
  <c r="AR101" i="26" s="1"/>
  <c r="I100" i="26"/>
  <c r="G100" i="26"/>
  <c r="F100" i="26"/>
  <c r="AQ100" i="26" s="1"/>
  <c r="I99" i="26"/>
  <c r="G99" i="26"/>
  <c r="F99" i="26"/>
  <c r="AQ99" i="26" s="1"/>
  <c r="I98" i="26"/>
  <c r="G98" i="26"/>
  <c r="F98" i="26"/>
  <c r="I97" i="26"/>
  <c r="G97" i="26"/>
  <c r="F97" i="26"/>
  <c r="I96" i="26"/>
  <c r="G96" i="26"/>
  <c r="F96" i="26"/>
  <c r="I95" i="26"/>
  <c r="G95" i="26"/>
  <c r="F95" i="26"/>
  <c r="AP95" i="26" s="1"/>
  <c r="I94" i="26"/>
  <c r="G94" i="26"/>
  <c r="F94" i="26"/>
  <c r="AG94" i="26" s="1"/>
  <c r="I93" i="26"/>
  <c r="G93" i="26"/>
  <c r="F93" i="26"/>
  <c r="I92" i="26"/>
  <c r="G92" i="26"/>
  <c r="F92" i="26"/>
  <c r="AD92" i="26" s="1"/>
  <c r="I91" i="26"/>
  <c r="G91" i="26"/>
  <c r="F91" i="26"/>
  <c r="AJ91" i="26" s="1"/>
  <c r="I90" i="26"/>
  <c r="G90" i="26"/>
  <c r="F90" i="26"/>
  <c r="AH90" i="26" s="1"/>
  <c r="I89" i="26"/>
  <c r="G89" i="26"/>
  <c r="F89" i="26"/>
  <c r="AM89" i="26" s="1"/>
  <c r="I88" i="26"/>
  <c r="G88" i="26"/>
  <c r="F88" i="26"/>
  <c r="AD88" i="26" s="1"/>
  <c r="I87" i="26"/>
  <c r="G87" i="26"/>
  <c r="F87" i="26"/>
  <c r="I86" i="26"/>
  <c r="G86" i="26"/>
  <c r="F86" i="26"/>
  <c r="I180" i="25"/>
  <c r="G180" i="25"/>
  <c r="F180" i="25"/>
  <c r="AP180" i="25" s="1"/>
  <c r="I179" i="25"/>
  <c r="G179" i="25"/>
  <c r="F179" i="25"/>
  <c r="AJ179" i="25" s="1"/>
  <c r="I178" i="25"/>
  <c r="G178" i="25"/>
  <c r="F178" i="25"/>
  <c r="AP178" i="25" s="1"/>
  <c r="I177" i="25"/>
  <c r="G177" i="25"/>
  <c r="F177" i="25"/>
  <c r="AP177" i="25" s="1"/>
  <c r="I176" i="25"/>
  <c r="G176" i="25"/>
  <c r="F176" i="25"/>
  <c r="AM176" i="25" s="1"/>
  <c r="I175" i="25"/>
  <c r="G175" i="25"/>
  <c r="F175" i="25"/>
  <c r="I174" i="25"/>
  <c r="G174" i="25"/>
  <c r="F174" i="25"/>
  <c r="I173" i="25"/>
  <c r="G173" i="25"/>
  <c r="F173" i="25"/>
  <c r="AE173" i="25" s="1"/>
  <c r="I172" i="25"/>
  <c r="G172" i="25"/>
  <c r="F172" i="25"/>
  <c r="AN172" i="25" s="1"/>
  <c r="I171" i="25"/>
  <c r="G171" i="25"/>
  <c r="F171" i="25"/>
  <c r="I170" i="25"/>
  <c r="G170" i="25"/>
  <c r="F170" i="25"/>
  <c r="AF170" i="25" s="1"/>
  <c r="I169" i="25"/>
  <c r="G169" i="25"/>
  <c r="F169" i="25"/>
  <c r="I168" i="25"/>
  <c r="G168" i="25"/>
  <c r="F168" i="25"/>
  <c r="I167" i="25"/>
  <c r="G167" i="25"/>
  <c r="F167" i="25"/>
  <c r="I166" i="25"/>
  <c r="G166" i="25"/>
  <c r="F166" i="25"/>
  <c r="I165" i="25"/>
  <c r="G165" i="25"/>
  <c r="F165" i="25"/>
  <c r="AN165" i="25" s="1"/>
  <c r="I164" i="25"/>
  <c r="G164" i="25"/>
  <c r="F164" i="25"/>
  <c r="AP164" i="25" s="1"/>
  <c r="I163" i="25"/>
  <c r="G163" i="25"/>
  <c r="F163" i="25"/>
  <c r="I162" i="25"/>
  <c r="G162" i="25"/>
  <c r="F162" i="25"/>
  <c r="I161" i="25"/>
  <c r="G161" i="25"/>
  <c r="F161" i="25"/>
  <c r="AM161" i="25" s="1"/>
  <c r="I160" i="25"/>
  <c r="G160" i="25"/>
  <c r="F160" i="25"/>
  <c r="AQ160" i="25" s="1"/>
  <c r="I159" i="25"/>
  <c r="G159" i="25"/>
  <c r="F159" i="25"/>
  <c r="AO159" i="25" s="1"/>
  <c r="I158" i="25"/>
  <c r="G158" i="25"/>
  <c r="F158" i="25"/>
  <c r="AE158" i="25" s="1"/>
  <c r="I157" i="25"/>
  <c r="G157" i="25"/>
  <c r="F157" i="25"/>
  <c r="I156" i="25"/>
  <c r="G156" i="25"/>
  <c r="F156" i="25"/>
  <c r="AQ156" i="25" s="1"/>
  <c r="I155" i="25"/>
  <c r="G155" i="25"/>
  <c r="F155" i="25"/>
  <c r="I154" i="25"/>
  <c r="G154" i="25"/>
  <c r="F154" i="25"/>
  <c r="I153" i="25"/>
  <c r="G153" i="25"/>
  <c r="F153" i="25"/>
  <c r="I152" i="25"/>
  <c r="G152" i="25"/>
  <c r="F152" i="25"/>
  <c r="AP152" i="25" s="1"/>
  <c r="I151" i="25"/>
  <c r="G151" i="25"/>
  <c r="F151" i="25"/>
  <c r="AH151" i="25" s="1"/>
  <c r="I150" i="25"/>
  <c r="G150" i="25"/>
  <c r="F150" i="25"/>
  <c r="AH150" i="25" s="1"/>
  <c r="I149" i="25"/>
  <c r="G149" i="25"/>
  <c r="F149" i="25"/>
  <c r="I148" i="25"/>
  <c r="G148" i="25"/>
  <c r="F148" i="25"/>
  <c r="AE148" i="25" s="1"/>
  <c r="I147" i="25"/>
  <c r="G147" i="25"/>
  <c r="F147" i="25"/>
  <c r="AG147" i="25" s="1"/>
  <c r="I146" i="25"/>
  <c r="G146" i="25"/>
  <c r="F146" i="25"/>
  <c r="I145" i="25"/>
  <c r="G145" i="25"/>
  <c r="F145" i="25"/>
  <c r="I144" i="25"/>
  <c r="G144" i="25"/>
  <c r="F144" i="25"/>
  <c r="AJ144" i="25" s="1"/>
  <c r="I143" i="25"/>
  <c r="G143" i="25"/>
  <c r="F143" i="25"/>
  <c r="AP143" i="25" s="1"/>
  <c r="I142" i="25"/>
  <c r="G142" i="25"/>
  <c r="F142" i="25"/>
  <c r="I141" i="25"/>
  <c r="G141" i="25"/>
  <c r="F141" i="25"/>
  <c r="I140" i="25"/>
  <c r="G140" i="25"/>
  <c r="F140" i="25"/>
  <c r="I139" i="25"/>
  <c r="G139" i="25"/>
  <c r="F139" i="25"/>
  <c r="I138" i="25"/>
  <c r="G138" i="25"/>
  <c r="F138" i="25"/>
  <c r="AO138" i="25" s="1"/>
  <c r="I137" i="25"/>
  <c r="G137" i="25"/>
  <c r="F137" i="25"/>
  <c r="I136" i="25"/>
  <c r="G136" i="25"/>
  <c r="F136" i="25"/>
  <c r="AS136" i="25" s="1"/>
  <c r="I135" i="25"/>
  <c r="G135" i="25"/>
  <c r="F135" i="25"/>
  <c r="I134" i="25"/>
  <c r="G134" i="25"/>
  <c r="F134" i="25"/>
  <c r="AF134" i="25" s="1"/>
  <c r="I133" i="25"/>
  <c r="G133" i="25"/>
  <c r="F133" i="25"/>
  <c r="I132" i="25"/>
  <c r="G132" i="25"/>
  <c r="F132" i="25"/>
  <c r="I131" i="25"/>
  <c r="G131" i="25"/>
  <c r="F131" i="25"/>
  <c r="I130" i="25"/>
  <c r="G130" i="25"/>
  <c r="F130" i="25"/>
  <c r="I129" i="25"/>
  <c r="G129" i="25"/>
  <c r="F129" i="25"/>
  <c r="AQ129" i="25" s="1"/>
  <c r="I128" i="25"/>
  <c r="G128" i="25"/>
  <c r="F128" i="25"/>
  <c r="AH128" i="25" s="1"/>
  <c r="I127" i="25"/>
  <c r="G127" i="25"/>
  <c r="F127" i="25"/>
  <c r="I126" i="25"/>
  <c r="G126" i="25"/>
  <c r="F126" i="25"/>
  <c r="AR126" i="25" s="1"/>
  <c r="I125" i="25"/>
  <c r="C125" i="25" s="1"/>
  <c r="H125" i="25" s="1"/>
  <c r="G125" i="25"/>
  <c r="F125" i="25"/>
  <c r="I124" i="25"/>
  <c r="C124" i="25" s="1"/>
  <c r="H124" i="25" s="1"/>
  <c r="G124" i="25"/>
  <c r="F124" i="25"/>
  <c r="AP124" i="25" s="1"/>
  <c r="I123" i="25"/>
  <c r="C123" i="25" s="1"/>
  <c r="H123" i="25" s="1"/>
  <c r="G123" i="25"/>
  <c r="F123" i="25"/>
  <c r="AM123" i="25" s="1"/>
  <c r="I122" i="25"/>
  <c r="G122" i="25"/>
  <c r="F122" i="25"/>
  <c r="AN122" i="25" s="1"/>
  <c r="I121" i="25"/>
  <c r="G121" i="25"/>
  <c r="F121" i="25"/>
  <c r="I120" i="25"/>
  <c r="G120" i="25"/>
  <c r="F120" i="25"/>
  <c r="I119" i="25"/>
  <c r="G119" i="25"/>
  <c r="F119" i="25"/>
  <c r="AF119" i="25" s="1"/>
  <c r="I118" i="25"/>
  <c r="G118" i="25"/>
  <c r="F118" i="25"/>
  <c r="AO118" i="25" s="1"/>
  <c r="I117" i="25"/>
  <c r="G117" i="25"/>
  <c r="F117" i="25"/>
  <c r="I116" i="25"/>
  <c r="G116" i="25"/>
  <c r="F116" i="25"/>
  <c r="AM116" i="25" s="1"/>
  <c r="I115" i="25"/>
  <c r="G115" i="25"/>
  <c r="F115" i="25"/>
  <c r="AQ115" i="25" s="1"/>
  <c r="I114" i="25"/>
  <c r="G114" i="25"/>
  <c r="F114" i="25"/>
  <c r="I113" i="25"/>
  <c r="G113" i="25"/>
  <c r="F113" i="25"/>
  <c r="I112" i="25"/>
  <c r="G112" i="25"/>
  <c r="F112" i="25"/>
  <c r="I111" i="25"/>
  <c r="G111" i="25"/>
  <c r="F111" i="25"/>
  <c r="AD111" i="25" s="1"/>
  <c r="I110" i="25"/>
  <c r="G110" i="25"/>
  <c r="F110" i="25"/>
  <c r="I109" i="25"/>
  <c r="G109" i="25"/>
  <c r="F109" i="25"/>
  <c r="I108" i="25"/>
  <c r="G108" i="25"/>
  <c r="F108" i="25"/>
  <c r="I107" i="25"/>
  <c r="G107" i="25"/>
  <c r="F107" i="25"/>
  <c r="AO107" i="25" s="1"/>
  <c r="I106" i="25"/>
  <c r="G106" i="25"/>
  <c r="F106" i="25"/>
  <c r="I105" i="25"/>
  <c r="G105" i="25"/>
  <c r="F105" i="25"/>
  <c r="I104" i="25"/>
  <c r="G104" i="25"/>
  <c r="F104" i="25"/>
  <c r="AM104" i="25" s="1"/>
  <c r="I103" i="25"/>
  <c r="G103" i="25"/>
  <c r="F103" i="25"/>
  <c r="I102" i="25"/>
  <c r="G102" i="25"/>
  <c r="F102" i="25"/>
  <c r="AJ102" i="25" s="1"/>
  <c r="I101" i="25"/>
  <c r="G101" i="25"/>
  <c r="F101" i="25"/>
  <c r="I100" i="25"/>
  <c r="G100" i="25"/>
  <c r="F100" i="25"/>
  <c r="AS100" i="25" s="1"/>
  <c r="I99" i="25"/>
  <c r="G99" i="25"/>
  <c r="F99" i="25"/>
  <c r="AQ99" i="25" s="1"/>
  <c r="I98" i="25"/>
  <c r="G98" i="25"/>
  <c r="F98" i="25"/>
  <c r="AE98" i="25" s="1"/>
  <c r="I97" i="25"/>
  <c r="G97" i="25"/>
  <c r="F97" i="25"/>
  <c r="AR97" i="25" s="1"/>
  <c r="I96" i="25"/>
  <c r="G96" i="25"/>
  <c r="F96" i="25"/>
  <c r="AS96" i="25" s="1"/>
  <c r="I95" i="25"/>
  <c r="G95" i="25"/>
  <c r="F95" i="25"/>
  <c r="I94" i="25"/>
  <c r="G94" i="25"/>
  <c r="F94" i="25"/>
  <c r="I93" i="25"/>
  <c r="G93" i="25"/>
  <c r="F93" i="25"/>
  <c r="I92" i="25"/>
  <c r="G92" i="25"/>
  <c r="F92" i="25"/>
  <c r="I91" i="25"/>
  <c r="G91" i="25"/>
  <c r="F91" i="25"/>
  <c r="I90" i="25"/>
  <c r="G90" i="25"/>
  <c r="F90" i="25"/>
  <c r="AS90" i="25" s="1"/>
  <c r="I89" i="25"/>
  <c r="G89" i="25"/>
  <c r="F89" i="25"/>
  <c r="AR89" i="25" s="1"/>
  <c r="I88" i="25"/>
  <c r="G88" i="25"/>
  <c r="F88" i="25"/>
  <c r="I87" i="25"/>
  <c r="G87" i="25"/>
  <c r="F87" i="25"/>
  <c r="AD87" i="25" s="1"/>
  <c r="I86" i="25"/>
  <c r="G86" i="25"/>
  <c r="F86" i="25"/>
  <c r="AJ86" i="25" s="1"/>
  <c r="I85" i="25"/>
  <c r="G85" i="25"/>
  <c r="F85" i="25"/>
  <c r="I84" i="25"/>
  <c r="G84" i="25"/>
  <c r="F84" i="25"/>
  <c r="I83" i="25"/>
  <c r="G83" i="25"/>
  <c r="F83" i="2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AE252" i="29"/>
  <c r="AG222" i="22"/>
  <c r="AG207" i="29"/>
  <c r="AO233" i="29"/>
  <c r="AP108" i="26"/>
  <c r="AQ112" i="26"/>
  <c r="AS127" i="25"/>
  <c r="AP110" i="25"/>
  <c r="AP131" i="27"/>
  <c r="AH251" i="22"/>
  <c r="AQ222" i="22"/>
  <c r="AH222" i="22"/>
  <c r="AN222" i="22"/>
  <c r="AD222" i="22"/>
  <c r="AD227" i="22"/>
  <c r="AS243" i="22"/>
  <c r="AR233" i="29"/>
  <c r="AF186" i="29"/>
  <c r="AM213" i="22"/>
  <c r="AQ193" i="22"/>
  <c r="AH181" i="22"/>
  <c r="AF222" i="22"/>
  <c r="AM227" i="22"/>
  <c r="AQ132" i="25"/>
  <c r="AF114" i="25"/>
  <c r="AP122" i="25"/>
  <c r="AG156" i="25"/>
  <c r="AO110" i="25"/>
  <c r="AM147" i="25"/>
  <c r="AK110" i="25"/>
  <c r="AP145" i="27"/>
  <c r="AD108" i="26"/>
  <c r="AK112" i="26"/>
  <c r="AH108" i="26"/>
  <c r="AG145" i="27"/>
  <c r="AQ201" i="22"/>
  <c r="AJ210" i="22"/>
  <c r="AK225" i="29"/>
  <c r="AO95" i="27"/>
  <c r="AQ163" i="22"/>
  <c r="AH189" i="22"/>
  <c r="AN157" i="22"/>
  <c r="AD226" i="22"/>
  <c r="AS247" i="22"/>
  <c r="AG217" i="22"/>
  <c r="AD243" i="22"/>
  <c r="AM177" i="29"/>
  <c r="AS178" i="29"/>
  <c r="AK222" i="22"/>
  <c r="AP251" i="22"/>
  <c r="AJ186" i="29"/>
  <c r="AG195" i="29"/>
  <c r="AD212" i="29"/>
  <c r="AO249" i="29"/>
  <c r="AI195" i="29"/>
  <c r="AI233" i="29"/>
  <c r="AP248" i="29"/>
  <c r="AM233" i="29"/>
  <c r="AG163" i="29"/>
  <c r="AE169" i="29"/>
  <c r="AM159" i="29"/>
  <c r="AK166" i="29"/>
  <c r="AI170" i="29"/>
  <c r="AF191" i="29"/>
  <c r="AH191" i="29"/>
  <c r="AJ181" i="29"/>
  <c r="AR202" i="29"/>
  <c r="AR218" i="29"/>
  <c r="AJ221" i="29"/>
  <c r="AH221" i="29"/>
  <c r="AK232" i="29"/>
  <c r="AD177" i="29"/>
  <c r="AE213" i="29"/>
  <c r="AG222" i="29"/>
  <c r="AM222" i="29"/>
  <c r="AR225" i="29"/>
  <c r="AS225" i="29"/>
  <c r="AL225" i="29"/>
  <c r="AS198" i="29"/>
  <c r="AH198" i="29"/>
  <c r="AD214" i="29"/>
  <c r="AL226" i="29"/>
  <c r="AF226" i="29"/>
  <c r="AQ247" i="29"/>
  <c r="AE174" i="29"/>
  <c r="AI182" i="29"/>
  <c r="AE190" i="29"/>
  <c r="AJ203" i="29"/>
  <c r="AN235" i="29"/>
  <c r="AF195" i="29"/>
  <c r="AL199" i="29"/>
  <c r="AH203" i="29"/>
  <c r="AQ203" i="29"/>
  <c r="AD207" i="29"/>
  <c r="AH211" i="29"/>
  <c r="AK219" i="29"/>
  <c r="AO244" i="29"/>
  <c r="AN244" i="29"/>
  <c r="AI244" i="29"/>
  <c r="AO248" i="29"/>
  <c r="AG248" i="29"/>
  <c r="AI248" i="29"/>
  <c r="AR248" i="29"/>
  <c r="AH248" i="29"/>
  <c r="AQ248" i="29"/>
  <c r="AI200" i="29"/>
  <c r="AI212" i="29"/>
  <c r="AI220" i="29"/>
  <c r="AP229" i="29"/>
  <c r="AP233" i="29"/>
  <c r="AL233" i="29"/>
  <c r="AH233" i="29"/>
  <c r="AD233" i="29"/>
  <c r="AF233" i="29"/>
  <c r="AK233" i="29"/>
  <c r="AQ233" i="29"/>
  <c r="AM239" i="29"/>
  <c r="AD240" i="29"/>
  <c r="AP244" i="29"/>
  <c r="AJ248" i="29"/>
  <c r="AO252" i="29"/>
  <c r="AG252" i="29"/>
  <c r="AI252" i="29"/>
  <c r="AR252" i="29"/>
  <c r="AH252" i="29"/>
  <c r="AQ252" i="29"/>
  <c r="AM234" i="29"/>
  <c r="AD237" i="29"/>
  <c r="AP249" i="29"/>
  <c r="AH249" i="29"/>
  <c r="AD249" i="29"/>
  <c r="AQ249" i="29"/>
  <c r="AP253" i="29"/>
  <c r="AL253" i="29"/>
  <c r="AH253" i="29"/>
  <c r="AD253" i="29"/>
  <c r="AF253" i="29"/>
  <c r="AK253" i="29"/>
  <c r="AQ253" i="29"/>
  <c r="AM165" i="22"/>
  <c r="AE173" i="22"/>
  <c r="AM173" i="22"/>
  <c r="AQ173" i="22"/>
  <c r="AE177" i="22"/>
  <c r="AM177" i="22"/>
  <c r="AQ177" i="22"/>
  <c r="AM158" i="22"/>
  <c r="AO164" i="22"/>
  <c r="AG168" i="22"/>
  <c r="AS172" i="22"/>
  <c r="AD173" i="22"/>
  <c r="AH173" i="22"/>
  <c r="AP173" i="22"/>
  <c r="AD177" i="22"/>
  <c r="AH177" i="22"/>
  <c r="AP177" i="22"/>
  <c r="AS181" i="22"/>
  <c r="AO181" i="22"/>
  <c r="AK181" i="22"/>
  <c r="AG181" i="22"/>
  <c r="AE181" i="22"/>
  <c r="AJ181" i="22"/>
  <c r="AP181" i="22"/>
  <c r="AS185" i="22"/>
  <c r="AO185" i="22"/>
  <c r="AK185" i="22"/>
  <c r="AG185" i="22"/>
  <c r="AE185" i="22"/>
  <c r="AJ185" i="22"/>
  <c r="AP185" i="22"/>
  <c r="AS189" i="22"/>
  <c r="AO189" i="22"/>
  <c r="AK189" i="22"/>
  <c r="AG189" i="22"/>
  <c r="AE189" i="22"/>
  <c r="AJ189" i="22"/>
  <c r="AP189" i="22"/>
  <c r="AS193" i="22"/>
  <c r="AO193" i="22"/>
  <c r="AK193" i="22"/>
  <c r="AG193" i="22"/>
  <c r="AE193" i="22"/>
  <c r="AJ193" i="22"/>
  <c r="AP193" i="22"/>
  <c r="AQ168" i="22"/>
  <c r="AF169" i="22"/>
  <c r="AQ172" i="22"/>
  <c r="AF177" i="22"/>
  <c r="AJ177" i="22"/>
  <c r="AN177" i="22"/>
  <c r="AR177" i="22"/>
  <c r="AH193" i="22"/>
  <c r="AM193" i="22"/>
  <c r="AR193" i="22"/>
  <c r="AN197" i="22"/>
  <c r="AM197" i="22"/>
  <c r="AE197" i="22"/>
  <c r="AF165" i="22"/>
  <c r="AE172" i="22"/>
  <c r="AF173" i="22"/>
  <c r="AJ173" i="22"/>
  <c r="AN173" i="22"/>
  <c r="AR173" i="22"/>
  <c r="AE159" i="22"/>
  <c r="AN168" i="22"/>
  <c r="AO169" i="22"/>
  <c r="AG173" i="22"/>
  <c r="AK173" i="22"/>
  <c r="AO173" i="22"/>
  <c r="AD174" i="22"/>
  <c r="AG177" i="22"/>
  <c r="AK177" i="22"/>
  <c r="AO177" i="22"/>
  <c r="AD181" i="22"/>
  <c r="AN181" i="22"/>
  <c r="AD185" i="22"/>
  <c r="AN185" i="22"/>
  <c r="AD189" i="22"/>
  <c r="AN189" i="22"/>
  <c r="AD193" i="22"/>
  <c r="AN193" i="22"/>
  <c r="AD205" i="22"/>
  <c r="AO205" i="22"/>
  <c r="AR205" i="22"/>
  <c r="AP201" i="22"/>
  <c r="AD201" i="22"/>
  <c r="AS201" i="22"/>
  <c r="AO201" i="22"/>
  <c r="AJ201" i="22"/>
  <c r="AR201" i="22"/>
  <c r="AM205" i="22"/>
  <c r="AH209" i="22"/>
  <c r="AN209" i="22"/>
  <c r="AE209" i="22"/>
  <c r="AG209" i="22"/>
  <c r="AJ213" i="22"/>
  <c r="AG227" i="22"/>
  <c r="AG228" i="22"/>
  <c r="AD231" i="22"/>
  <c r="AR235" i="22"/>
  <c r="AN235" i="22"/>
  <c r="AJ235" i="22"/>
  <c r="AF235" i="22"/>
  <c r="AO235" i="22"/>
  <c r="AD235" i="22"/>
  <c r="AS235" i="22"/>
  <c r="AM235" i="22"/>
  <c r="AH235" i="22"/>
  <c r="AG235" i="22"/>
  <c r="AQ235" i="22"/>
  <c r="AH213" i="22"/>
  <c r="AK213" i="22"/>
  <c r="AQ213" i="22"/>
  <c r="AP221" i="22"/>
  <c r="AS231" i="22"/>
  <c r="AO231" i="22"/>
  <c r="AG231" i="22"/>
  <c r="AR231" i="22"/>
  <c r="AJ231" i="22"/>
  <c r="AF231" i="22"/>
  <c r="AE231" i="22"/>
  <c r="AM231" i="22"/>
  <c r="AR239" i="22"/>
  <c r="AN239" i="22"/>
  <c r="AJ239" i="22"/>
  <c r="AF239" i="22"/>
  <c r="AO239" i="22"/>
  <c r="AD239" i="22"/>
  <c r="AS239" i="22"/>
  <c r="AM239" i="22"/>
  <c r="AH239" i="22"/>
  <c r="AQ239" i="22"/>
  <c r="AG239" i="22"/>
  <c r="AK239" i="22"/>
  <c r="AP231" i="22"/>
  <c r="AN213" i="22"/>
  <c r="AS213" i="22"/>
  <c r="AR223" i="22"/>
  <c r="AS227" i="22"/>
  <c r="AO227" i="22"/>
  <c r="AR227" i="22"/>
  <c r="AN227" i="22"/>
  <c r="AJ227" i="22"/>
  <c r="AF227" i="22"/>
  <c r="AE227" i="22"/>
  <c r="AK227" i="22"/>
  <c r="AQ227" i="22"/>
  <c r="AQ231" i="22"/>
  <c r="AE235" i="22"/>
  <c r="AP235" i="22"/>
  <c r="AO244" i="22"/>
  <c r="AJ244" i="22"/>
  <c r="AM244" i="22"/>
  <c r="AK248" i="22"/>
  <c r="AF248" i="22"/>
  <c r="AS252" i="22"/>
  <c r="AN252" i="22"/>
  <c r="AM198" i="22"/>
  <c r="AE218" i="22"/>
  <c r="AE222" i="22"/>
  <c r="AM222" i="22"/>
  <c r="AQ252" i="22"/>
  <c r="AE243" i="22"/>
  <c r="AM243" i="22"/>
  <c r="AQ243" i="22"/>
  <c r="AE247" i="22"/>
  <c r="AM247" i="22"/>
  <c r="AQ247" i="22"/>
  <c r="AE251" i="22"/>
  <c r="AM251" i="22"/>
  <c r="AQ251" i="22"/>
  <c r="AF243" i="22"/>
  <c r="AJ243" i="22"/>
  <c r="AN243" i="22"/>
  <c r="AF247" i="22"/>
  <c r="AJ247" i="22"/>
  <c r="AN247" i="22"/>
  <c r="AR247" i="22"/>
  <c r="AE250" i="22"/>
  <c r="AF251" i="22"/>
  <c r="AJ251" i="22"/>
  <c r="AN251" i="22"/>
  <c r="AR251" i="22"/>
  <c r="AG247" i="22"/>
  <c r="AK247" i="22"/>
  <c r="AO247" i="22"/>
  <c r="AG251" i="22"/>
  <c r="AK251" i="22"/>
  <c r="AO251" i="22"/>
  <c r="AO119" i="27"/>
  <c r="AK119" i="27"/>
  <c r="AD119" i="27"/>
  <c r="AR119" i="27"/>
  <c r="AM119" i="27"/>
  <c r="AQ119" i="27"/>
  <c r="AS135" i="27"/>
  <c r="AK135" i="27"/>
  <c r="AN135" i="27"/>
  <c r="AR135" i="27"/>
  <c r="AM135" i="27"/>
  <c r="AQ135" i="27"/>
  <c r="AS157" i="27"/>
  <c r="AG157" i="27"/>
  <c r="AF157" i="27"/>
  <c r="AP157" i="27"/>
  <c r="AJ157" i="27"/>
  <c r="AJ135" i="27"/>
  <c r="AR150" i="27"/>
  <c r="AR157" i="27"/>
  <c r="AQ91" i="27"/>
  <c r="AG93" i="27"/>
  <c r="AE95" i="27"/>
  <c r="AE99" i="27"/>
  <c r="AM99" i="27"/>
  <c r="AM103" i="27"/>
  <c r="AE107" i="27"/>
  <c r="AQ107" i="27"/>
  <c r="AE111" i="27"/>
  <c r="AS123" i="27"/>
  <c r="AO123" i="27"/>
  <c r="AK123" i="27"/>
  <c r="AD123" i="27"/>
  <c r="AR123" i="27"/>
  <c r="AH123" i="27"/>
  <c r="AQ123" i="27"/>
  <c r="AO131" i="27"/>
  <c r="AK131" i="27"/>
  <c r="AD131" i="27"/>
  <c r="AR131" i="27"/>
  <c r="AM131" i="27"/>
  <c r="AQ131" i="27"/>
  <c r="AS139" i="27"/>
  <c r="AK139" i="27"/>
  <c r="AN139" i="27"/>
  <c r="AR139" i="27"/>
  <c r="AM139" i="27"/>
  <c r="AQ139" i="27"/>
  <c r="AS161" i="27"/>
  <c r="AO161" i="27"/>
  <c r="AD161" i="27"/>
  <c r="AH161" i="27"/>
  <c r="AQ161" i="27"/>
  <c r="AS127" i="27"/>
  <c r="AK127" i="27"/>
  <c r="AG127" i="27"/>
  <c r="AN127" i="27"/>
  <c r="AR127" i="27"/>
  <c r="AM127" i="27"/>
  <c r="AH127" i="27"/>
  <c r="AQ127" i="27"/>
  <c r="AO143" i="27"/>
  <c r="AF91" i="27"/>
  <c r="AJ91" i="27"/>
  <c r="AK92" i="27"/>
  <c r="AJ95" i="27"/>
  <c r="AN95" i="27"/>
  <c r="AF99" i="27"/>
  <c r="AN99" i="27"/>
  <c r="AF103" i="27"/>
  <c r="AJ103" i="27"/>
  <c r="AN103" i="27"/>
  <c r="AJ107" i="27"/>
  <c r="AN107" i="27"/>
  <c r="AF111" i="27"/>
  <c r="AJ111" i="27"/>
  <c r="AP119" i="27"/>
  <c r="AJ123" i="27"/>
  <c r="AE127" i="27"/>
  <c r="AJ131" i="27"/>
  <c r="AE135" i="27"/>
  <c r="AP135" i="27"/>
  <c r="AP143" i="27"/>
  <c r="AE115" i="27"/>
  <c r="AQ115" i="27"/>
  <c r="AK124" i="27"/>
  <c r="AQ144" i="27"/>
  <c r="AS153" i="27"/>
  <c r="AG153" i="27"/>
  <c r="AN153" i="27"/>
  <c r="AF153" i="27"/>
  <c r="AH153" i="27"/>
  <c r="AJ169" i="27"/>
  <c r="AD169" i="27"/>
  <c r="AE169" i="27"/>
  <c r="AP169" i="27"/>
  <c r="AK177" i="27"/>
  <c r="AM151" i="27"/>
  <c r="AK152" i="27"/>
  <c r="AK160" i="27"/>
  <c r="AP181" i="27"/>
  <c r="AH181" i="27"/>
  <c r="AR181" i="27"/>
  <c r="AN181" i="27"/>
  <c r="AJ181" i="27"/>
  <c r="AM181" i="27"/>
  <c r="AE181" i="27"/>
  <c r="AS181" i="27"/>
  <c r="AK181" i="27"/>
  <c r="AQ181" i="27"/>
  <c r="AO181" i="27"/>
  <c r="AJ173" i="27"/>
  <c r="AF173" i="27"/>
  <c r="AO173" i="27"/>
  <c r="AE125" i="27"/>
  <c r="AE145" i="27"/>
  <c r="AM145" i="27"/>
  <c r="AF158" i="27"/>
  <c r="AQ162" i="27"/>
  <c r="AN165" i="27"/>
  <c r="AJ165" i="27"/>
  <c r="AD165" i="27"/>
  <c r="AS165" i="27"/>
  <c r="AG165" i="27"/>
  <c r="AQ165" i="27"/>
  <c r="AG170" i="27"/>
  <c r="AE176" i="27"/>
  <c r="AQ183" i="27"/>
  <c r="AK176" i="27"/>
  <c r="AM182" i="27"/>
  <c r="AN88" i="26"/>
  <c r="AJ88" i="26"/>
  <c r="AK88" i="26"/>
  <c r="AP88" i="26"/>
  <c r="AJ92" i="26"/>
  <c r="AF92" i="26"/>
  <c r="AP100" i="26"/>
  <c r="AG88" i="26"/>
  <c r="AG100" i="26"/>
  <c r="AE92" i="26"/>
  <c r="AN100" i="26"/>
  <c r="AJ100" i="26"/>
  <c r="AM88" i="26"/>
  <c r="AS88" i="26"/>
  <c r="AS92" i="26"/>
  <c r="AH100" i="26"/>
  <c r="AS151" i="26"/>
  <c r="AQ177" i="26"/>
  <c r="AE108" i="26"/>
  <c r="AM108" i="26"/>
  <c r="AE124" i="26"/>
  <c r="AM124" i="26"/>
  <c r="AE132" i="26"/>
  <c r="AP140" i="26"/>
  <c r="AF144" i="26"/>
  <c r="AK144" i="26"/>
  <c r="AD148" i="26"/>
  <c r="AF148" i="26"/>
  <c r="AQ163" i="26"/>
  <c r="AF181" i="26"/>
  <c r="AJ165" i="26"/>
  <c r="AN173" i="26"/>
  <c r="AM152" i="26"/>
  <c r="AE156" i="26"/>
  <c r="AK167" i="26"/>
  <c r="AE172" i="26"/>
  <c r="AM180" i="25"/>
  <c r="AE178" i="25"/>
  <c r="AM178" i="25"/>
  <c r="AQ178" i="25"/>
  <c r="AF178" i="25"/>
  <c r="AJ178" i="25"/>
  <c r="AN178" i="25"/>
  <c r="AR178" i="25"/>
  <c r="AG178" i="25"/>
  <c r="AK178" i="25"/>
  <c r="AO178" i="25"/>
  <c r="AS178" i="25"/>
  <c r="AD178" i="25"/>
  <c r="AH178" i="25"/>
  <c r="AN86" i="25"/>
  <c r="AK86" i="25"/>
  <c r="AH117" i="25"/>
  <c r="AD117" i="25"/>
  <c r="AO117" i="25"/>
  <c r="AE117" i="25"/>
  <c r="AS117" i="25"/>
  <c r="AN117" i="25"/>
  <c r="AM117" i="25"/>
  <c r="AG117" i="25"/>
  <c r="AK117" i="25"/>
  <c r="AQ86" i="25"/>
  <c r="AP113" i="25"/>
  <c r="AH113" i="25"/>
  <c r="AD113" i="25"/>
  <c r="AJ113" i="25"/>
  <c r="AE113" i="25"/>
  <c r="AS113" i="25"/>
  <c r="AR113" i="25"/>
  <c r="AM113" i="25"/>
  <c r="AG113" i="25"/>
  <c r="AQ117" i="25"/>
  <c r="AS86" i="25"/>
  <c r="AP109" i="25"/>
  <c r="AD109" i="25"/>
  <c r="AO109" i="25"/>
  <c r="AJ109" i="25"/>
  <c r="AS109" i="25"/>
  <c r="AN109" i="25"/>
  <c r="AR109" i="25"/>
  <c r="AG109" i="25"/>
  <c r="AK109" i="25"/>
  <c r="AN90" i="25"/>
  <c r="AO86" i="25"/>
  <c r="AP91" i="25"/>
  <c r="AO98" i="25"/>
  <c r="AN98" i="25"/>
  <c r="AH105" i="25"/>
  <c r="AD105" i="25"/>
  <c r="AO105" i="25"/>
  <c r="AE105" i="25"/>
  <c r="AS105" i="25"/>
  <c r="AN105" i="25"/>
  <c r="AM105" i="25"/>
  <c r="AG105" i="25"/>
  <c r="AK105" i="25"/>
  <c r="AM85" i="25"/>
  <c r="AO99" i="25"/>
  <c r="AD127" i="25"/>
  <c r="AS128" i="25"/>
  <c r="AD131" i="25"/>
  <c r="AG132" i="25"/>
  <c r="AE136" i="25"/>
  <c r="AE140" i="25"/>
  <c r="AJ119" i="25"/>
  <c r="AP119" i="25"/>
  <c r="AF123" i="25"/>
  <c r="AR127" i="25"/>
  <c r="AN127" i="25"/>
  <c r="AJ127" i="25"/>
  <c r="AE127" i="25"/>
  <c r="AK127" i="25"/>
  <c r="AP127" i="25"/>
  <c r="AN131" i="25"/>
  <c r="AJ131" i="25"/>
  <c r="AF131" i="25"/>
  <c r="AK131" i="25"/>
  <c r="AP131" i="25"/>
  <c r="AR142" i="25"/>
  <c r="AO142" i="25"/>
  <c r="AM142" i="25"/>
  <c r="AQ107" i="25"/>
  <c r="AQ119" i="25"/>
  <c r="AG127" i="25"/>
  <c r="AG131" i="25"/>
  <c r="AQ131" i="25"/>
  <c r="AM135" i="25"/>
  <c r="AM139" i="25"/>
  <c r="AH146" i="25"/>
  <c r="AH148" i="25"/>
  <c r="AK148" i="25"/>
  <c r="AQ148" i="25"/>
  <c r="AH152" i="25"/>
  <c r="AD152" i="25"/>
  <c r="AK152" i="25"/>
  <c r="AG152" i="25"/>
  <c r="AO158" i="25"/>
  <c r="AG158" i="25"/>
  <c r="AD158" i="25"/>
  <c r="AR158" i="25"/>
  <c r="AQ158" i="25"/>
  <c r="AJ158" i="25"/>
  <c r="AE110" i="25"/>
  <c r="AM110" i="25"/>
  <c r="AE114" i="25"/>
  <c r="AM114" i="25"/>
  <c r="AE118" i="25"/>
  <c r="AM118" i="25"/>
  <c r="AE122" i="25"/>
  <c r="AM122" i="25"/>
  <c r="AE126" i="25"/>
  <c r="AM126" i="25"/>
  <c r="AE134" i="25"/>
  <c r="AN135" i="25"/>
  <c r="AS143" i="25"/>
  <c r="AK143" i="25"/>
  <c r="AG143" i="25"/>
  <c r="AS147" i="25"/>
  <c r="AO147" i="25"/>
  <c r="AK147" i="25"/>
  <c r="AE147" i="25"/>
  <c r="AJ147" i="25"/>
  <c r="AP147" i="25"/>
  <c r="AR148" i="25"/>
  <c r="AN151" i="25"/>
  <c r="AQ152" i="25"/>
  <c r="AO155" i="25"/>
  <c r="AM155" i="25"/>
  <c r="AP158" i="25"/>
  <c r="AJ146" i="25"/>
  <c r="AP146" i="25"/>
  <c r="AE150" i="25"/>
  <c r="AM150" i="25"/>
  <c r="AQ150" i="25"/>
  <c r="AE154" i="25"/>
  <c r="AS159" i="25"/>
  <c r="AK163" i="25"/>
  <c r="AK167" i="25"/>
  <c r="AF150" i="25"/>
  <c r="AJ150" i="25"/>
  <c r="AN150" i="25"/>
  <c r="AF154" i="25"/>
  <c r="AN154" i="25"/>
  <c r="AE163" i="25"/>
  <c r="AK159" i="25"/>
  <c r="AR163" i="25"/>
  <c r="AF163" i="25"/>
  <c r="AD163" i="25"/>
  <c r="AO163" i="25"/>
  <c r="AP167" i="25"/>
  <c r="AH167" i="25"/>
  <c r="AD167" i="25"/>
  <c r="AO171" i="25"/>
  <c r="AE156" i="25"/>
  <c r="AM160" i="25"/>
  <c r="AG162" i="25"/>
  <c r="AG170" i="25"/>
  <c r="AK170" i="25"/>
  <c r="AG174" i="25"/>
  <c r="AK174" i="25"/>
  <c r="AO174" i="25"/>
  <c r="AS174" i="25"/>
  <c r="AF176" i="25"/>
  <c r="AM162" i="25"/>
  <c r="AK164" i="25"/>
  <c r="AE166" i="25"/>
  <c r="AM170" i="25"/>
  <c r="AE174" i="25"/>
  <c r="AM174" i="25"/>
  <c r="C38" i="12"/>
  <c r="C37" i="12"/>
  <c r="C36" i="12"/>
  <c r="C34" i="12"/>
  <c r="C33" i="12"/>
  <c r="C32" i="12"/>
  <c r="C31" i="12"/>
  <c r="AV161" i="14"/>
  <c r="AD161" i="14"/>
  <c r="AC161" i="14"/>
  <c r="AA161" i="14"/>
  <c r="Z161" i="14"/>
  <c r="X161" i="14"/>
  <c r="W161" i="14"/>
  <c r="U161" i="14"/>
  <c r="T161" i="14"/>
  <c r="R161" i="14"/>
  <c r="Q161" i="14"/>
  <c r="O161" i="14"/>
  <c r="L161" i="14"/>
  <c r="K161" i="14"/>
  <c r="AC160" i="14"/>
  <c r="Z160" i="14"/>
  <c r="W160" i="14"/>
  <c r="T160" i="14"/>
  <c r="Q160" i="14"/>
  <c r="L160" i="14"/>
  <c r="K160" i="14"/>
  <c r="AC159" i="14"/>
  <c r="Z159" i="14"/>
  <c r="W159" i="14"/>
  <c r="T159" i="14"/>
  <c r="Q159" i="14"/>
  <c r="L159" i="14"/>
  <c r="K159" i="14"/>
  <c r="G162" i="14"/>
  <c r="B162" i="7" s="1"/>
  <c r="G160" i="14"/>
  <c r="B160" i="7" s="1"/>
  <c r="G159" i="14"/>
  <c r="B159" i="7" s="1"/>
  <c r="G158" i="14"/>
  <c r="B158" i="7" s="1"/>
  <c r="CQ162" i="14"/>
  <c r="CT162" i="14"/>
  <c r="CW162" i="14"/>
  <c r="CZ162" i="14"/>
  <c r="DC162" i="14"/>
  <c r="DF162" i="14"/>
  <c r="DI162" i="14"/>
  <c r="DL162" i="14"/>
  <c r="CO162" i="14"/>
  <c r="CO160" i="14"/>
  <c r="CO159" i="14"/>
  <c r="CO158" i="14"/>
  <c r="I162" i="14"/>
  <c r="BD162" i="14"/>
  <c r="I163" i="14"/>
  <c r="D20" i="21"/>
  <c r="D19" i="21"/>
  <c r="D13" i="21"/>
  <c r="J179" i="1"/>
  <c r="J178" i="1"/>
  <c r="J177" i="1"/>
  <c r="J176" i="1"/>
  <c r="AJ83" i="25"/>
  <c r="H22" i="21"/>
  <c r="BJ159" i="14" s="1"/>
  <c r="BJ162" i="14" s="1"/>
  <c r="I22" i="21"/>
  <c r="BM159" i="14" s="1"/>
  <c r="J22" i="21"/>
  <c r="BP159" i="14" s="1"/>
  <c r="K22" i="21"/>
  <c r="BS159" i="14" s="1"/>
  <c r="BS228" i="14" s="1"/>
  <c r="AC28" i="33" s="1"/>
  <c r="L22" i="21"/>
  <c r="BV159" i="14" s="1"/>
  <c r="CE7" i="33"/>
  <c r="J22" i="33"/>
  <c r="J21" i="33"/>
  <c r="J20" i="33"/>
  <c r="J19" i="33"/>
  <c r="AA21" i="25"/>
  <c r="AA21" i="26"/>
  <c r="AA21" i="27"/>
  <c r="AA12" i="24"/>
  <c r="D28" i="35"/>
  <c r="CO146" i="14"/>
  <c r="AC146" i="14"/>
  <c r="Z146" i="14"/>
  <c r="W146" i="14"/>
  <c r="T146" i="14"/>
  <c r="Q146" i="14"/>
  <c r="L146" i="14"/>
  <c r="CT146" i="14" s="1"/>
  <c r="K146" i="14"/>
  <c r="I146" i="14"/>
  <c r="G146" i="14"/>
  <c r="B146" i="7" s="1"/>
  <c r="J33" i="33"/>
  <c r="J31" i="33"/>
  <c r="J30" i="33"/>
  <c r="J29" i="33"/>
  <c r="J28" i="33"/>
  <c r="J27" i="33"/>
  <c r="J26" i="33"/>
  <c r="J25" i="33"/>
  <c r="J24" i="33"/>
  <c r="J23" i="33"/>
  <c r="J18" i="33"/>
  <c r="J17" i="33"/>
  <c r="J13" i="33"/>
  <c r="J14" i="33"/>
  <c r="J15" i="33"/>
  <c r="J16" i="33"/>
  <c r="J12" i="33"/>
  <c r="L1" i="33"/>
  <c r="K49" i="33"/>
  <c r="K48" i="33"/>
  <c r="K47" i="33"/>
  <c r="K46" i="33"/>
  <c r="K45" i="33"/>
  <c r="K44" i="33"/>
  <c r="K43" i="33"/>
  <c r="K51" i="33" s="1"/>
  <c r="K42" i="33"/>
  <c r="K40" i="33"/>
  <c r="L51" i="33"/>
  <c r="K50" i="33"/>
  <c r="C142" i="31"/>
  <c r="C135" i="31"/>
  <c r="C128" i="31"/>
  <c r="C121" i="31"/>
  <c r="C114" i="31"/>
  <c r="I171" i="30"/>
  <c r="G171" i="30"/>
  <c r="F171" i="30"/>
  <c r="AH171" i="30" s="1"/>
  <c r="I170" i="30"/>
  <c r="G170" i="30"/>
  <c r="F170" i="30"/>
  <c r="AG170" i="30"/>
  <c r="I169" i="30"/>
  <c r="G169" i="30"/>
  <c r="F169" i="30"/>
  <c r="I168" i="30"/>
  <c r="G168" i="30"/>
  <c r="F168" i="30"/>
  <c r="AG168" i="30" s="1"/>
  <c r="I167" i="30"/>
  <c r="G167" i="30"/>
  <c r="F167" i="30"/>
  <c r="AL167" i="30" s="1"/>
  <c r="I166" i="30"/>
  <c r="G166" i="30"/>
  <c r="F166" i="30"/>
  <c r="AH166" i="30" s="1"/>
  <c r="I165" i="30"/>
  <c r="G165" i="30"/>
  <c r="F165" i="30"/>
  <c r="I164" i="30"/>
  <c r="G164" i="30"/>
  <c r="F164" i="30"/>
  <c r="AP164" i="30" s="1"/>
  <c r="I163" i="30"/>
  <c r="G163" i="30"/>
  <c r="F163" i="30"/>
  <c r="AH163" i="30" s="1"/>
  <c r="I162" i="30"/>
  <c r="F162" i="30"/>
  <c r="I161" i="30"/>
  <c r="G161" i="30"/>
  <c r="F161" i="30"/>
  <c r="AO161" i="30" s="1"/>
  <c r="I160" i="30"/>
  <c r="G160" i="30"/>
  <c r="F160" i="30"/>
  <c r="I159" i="30"/>
  <c r="G159" i="30"/>
  <c r="F159" i="30"/>
  <c r="AL159" i="30" s="1"/>
  <c r="I158" i="30"/>
  <c r="G158" i="30"/>
  <c r="F158" i="30"/>
  <c r="AF158" i="30" s="1"/>
  <c r="I157" i="30"/>
  <c r="G157" i="30"/>
  <c r="F157" i="30"/>
  <c r="AL157" i="30" s="1"/>
  <c r="I156" i="30"/>
  <c r="G156" i="30"/>
  <c r="F156" i="30"/>
  <c r="AK156" i="30" s="1"/>
  <c r="I155" i="30"/>
  <c r="G155" i="30"/>
  <c r="F155" i="30"/>
  <c r="AH155" i="30" s="1"/>
  <c r="I154" i="30"/>
  <c r="G154" i="30"/>
  <c r="F154" i="30"/>
  <c r="I153" i="30"/>
  <c r="G153" i="30"/>
  <c r="F153" i="30"/>
  <c r="AD153" i="30" s="1"/>
  <c r="I152" i="30"/>
  <c r="G152" i="30"/>
  <c r="F152" i="30"/>
  <c r="AP152" i="30" s="1"/>
  <c r="I151" i="30"/>
  <c r="G151" i="30"/>
  <c r="F151" i="30"/>
  <c r="AM151" i="30" s="1"/>
  <c r="I150" i="30"/>
  <c r="G150" i="30"/>
  <c r="F150" i="30"/>
  <c r="AO150" i="30" s="1"/>
  <c r="I149" i="30"/>
  <c r="G149" i="30"/>
  <c r="F149" i="30"/>
  <c r="AO149" i="30" s="1"/>
  <c r="I148" i="30"/>
  <c r="G148" i="30"/>
  <c r="F148" i="30"/>
  <c r="AP148" i="30" s="1"/>
  <c r="I147" i="30"/>
  <c r="G147" i="30"/>
  <c r="F147" i="30"/>
  <c r="AR147" i="30" s="1"/>
  <c r="I146" i="30"/>
  <c r="G146" i="30"/>
  <c r="F146" i="30"/>
  <c r="I145" i="30"/>
  <c r="G145" i="30"/>
  <c r="F145" i="30"/>
  <c r="AL145" i="30" s="1"/>
  <c r="I144" i="30"/>
  <c r="G144" i="30"/>
  <c r="F144" i="30"/>
  <c r="I143" i="30"/>
  <c r="G143" i="30"/>
  <c r="F143" i="30"/>
  <c r="AK143" i="30" s="1"/>
  <c r="I142" i="30"/>
  <c r="G142" i="30"/>
  <c r="F142" i="30"/>
  <c r="I141" i="30"/>
  <c r="G141" i="30"/>
  <c r="F141" i="30"/>
  <c r="AO141" i="30" s="1"/>
  <c r="I140" i="30"/>
  <c r="G140" i="30"/>
  <c r="F140" i="30"/>
  <c r="AK140" i="30" s="1"/>
  <c r="I139" i="30"/>
  <c r="G139" i="30"/>
  <c r="F139" i="30"/>
  <c r="AH139" i="30" s="1"/>
  <c r="I138" i="30"/>
  <c r="G138" i="30"/>
  <c r="F138" i="30"/>
  <c r="AH138" i="30" s="1"/>
  <c r="I137" i="30"/>
  <c r="G137" i="30"/>
  <c r="F137" i="30"/>
  <c r="AQ137" i="30" s="1"/>
  <c r="I136" i="30"/>
  <c r="G136" i="30"/>
  <c r="F136" i="30"/>
  <c r="AI136" i="30" s="1"/>
  <c r="I135" i="30"/>
  <c r="G135" i="30"/>
  <c r="F135" i="30"/>
  <c r="AG135" i="30" s="1"/>
  <c r="I134" i="30"/>
  <c r="G134" i="30"/>
  <c r="F134" i="30"/>
  <c r="I133" i="30"/>
  <c r="G133" i="30"/>
  <c r="F133" i="30"/>
  <c r="AF133" i="30" s="1"/>
  <c r="I132" i="30"/>
  <c r="G132" i="30"/>
  <c r="F132" i="30"/>
  <c r="AJ132" i="30" s="1"/>
  <c r="I131" i="30"/>
  <c r="G131" i="30"/>
  <c r="F131" i="30"/>
  <c r="AS131" i="30" s="1"/>
  <c r="I130" i="30"/>
  <c r="G130" i="30"/>
  <c r="F130" i="30"/>
  <c r="AM130" i="30" s="1"/>
  <c r="I129" i="30"/>
  <c r="G129" i="30"/>
  <c r="F129" i="30"/>
  <c r="AL129" i="30" s="1"/>
  <c r="I128" i="30"/>
  <c r="G128" i="30"/>
  <c r="F128" i="30"/>
  <c r="I127" i="30"/>
  <c r="G127" i="30"/>
  <c r="F127" i="30"/>
  <c r="AS127" i="30" s="1"/>
  <c r="I126" i="30"/>
  <c r="G126" i="30"/>
  <c r="F126" i="30"/>
  <c r="I125" i="30"/>
  <c r="G125" i="30"/>
  <c r="F125" i="30"/>
  <c r="AG125" i="30" s="1"/>
  <c r="I124" i="30"/>
  <c r="G124" i="30"/>
  <c r="F124" i="30"/>
  <c r="AJ124" i="30" s="1"/>
  <c r="I123" i="30"/>
  <c r="G123" i="30"/>
  <c r="F123" i="30"/>
  <c r="I122" i="30"/>
  <c r="G122" i="30"/>
  <c r="F122" i="30"/>
  <c r="AD122" i="30" s="1"/>
  <c r="I121" i="30"/>
  <c r="G121" i="30"/>
  <c r="F121" i="30"/>
  <c r="AQ121" i="30" s="1"/>
  <c r="I120" i="30"/>
  <c r="G120" i="30"/>
  <c r="F120" i="30"/>
  <c r="AG120" i="30" s="1"/>
  <c r="I119" i="30"/>
  <c r="G119" i="30"/>
  <c r="F119" i="30"/>
  <c r="AD119" i="30" s="1"/>
  <c r="I118" i="30"/>
  <c r="G118" i="30"/>
  <c r="F118" i="30"/>
  <c r="AM118" i="30" s="1"/>
  <c r="I117" i="30"/>
  <c r="G117" i="30"/>
  <c r="F117" i="30"/>
  <c r="AM117" i="30" s="1"/>
  <c r="I116" i="30"/>
  <c r="G116" i="30"/>
  <c r="F116" i="30"/>
  <c r="AE116" i="30" s="1"/>
  <c r="I115" i="30"/>
  <c r="G115" i="30"/>
  <c r="F115" i="30"/>
  <c r="I114" i="30"/>
  <c r="G114" i="30"/>
  <c r="F114" i="30"/>
  <c r="AJ114" i="30" s="1"/>
  <c r="I113" i="30"/>
  <c r="G113" i="30"/>
  <c r="F113" i="30"/>
  <c r="AS113" i="30" s="1"/>
  <c r="I112" i="30"/>
  <c r="G112" i="30"/>
  <c r="F112" i="30"/>
  <c r="AI112" i="30" s="1"/>
  <c r="I111" i="30"/>
  <c r="G111" i="30"/>
  <c r="F111" i="30"/>
  <c r="AM111" i="30" s="1"/>
  <c r="I110" i="30"/>
  <c r="G110" i="30"/>
  <c r="F110" i="30"/>
  <c r="AG110" i="30"/>
  <c r="I109" i="30"/>
  <c r="G109" i="30"/>
  <c r="F109" i="30"/>
  <c r="AL109" i="30" s="1"/>
  <c r="I108" i="30"/>
  <c r="G108" i="30"/>
  <c r="F108" i="30"/>
  <c r="I107" i="30"/>
  <c r="G107" i="30"/>
  <c r="F107" i="30"/>
  <c r="AG107" i="30" s="1"/>
  <c r="I106" i="30"/>
  <c r="G106" i="30"/>
  <c r="F106" i="30"/>
  <c r="AN106" i="30" s="1"/>
  <c r="I105" i="30"/>
  <c r="G105" i="30"/>
  <c r="F105" i="30"/>
  <c r="AR105" i="30" s="1"/>
  <c r="I104" i="30"/>
  <c r="G104" i="30"/>
  <c r="F104" i="30"/>
  <c r="I103" i="30"/>
  <c r="G103" i="30"/>
  <c r="F103" i="30"/>
  <c r="AH103" i="30" s="1"/>
  <c r="I102" i="30"/>
  <c r="G102" i="30"/>
  <c r="F102" i="30"/>
  <c r="AS102" i="30" s="1"/>
  <c r="I101" i="30"/>
  <c r="G101" i="30"/>
  <c r="F101" i="30"/>
  <c r="AH101" i="30" s="1"/>
  <c r="I100" i="30"/>
  <c r="G100" i="30"/>
  <c r="F100" i="30"/>
  <c r="AE100" i="30" s="1"/>
  <c r="I99" i="30"/>
  <c r="G99" i="30"/>
  <c r="F99" i="30"/>
  <c r="AF99" i="30" s="1"/>
  <c r="I98" i="30"/>
  <c r="G98" i="30"/>
  <c r="F98" i="30"/>
  <c r="AL98" i="30" s="1"/>
  <c r="I97" i="30"/>
  <c r="G97" i="30"/>
  <c r="F97" i="30"/>
  <c r="AQ97" i="30" s="1"/>
  <c r="I96" i="30"/>
  <c r="G96" i="30"/>
  <c r="F96" i="30"/>
  <c r="I95" i="30"/>
  <c r="G95" i="30"/>
  <c r="F95" i="30"/>
  <c r="AL95" i="30" s="1"/>
  <c r="I94" i="30"/>
  <c r="G94" i="30"/>
  <c r="F94" i="30"/>
  <c r="AH94" i="30" s="1"/>
  <c r="I93" i="30"/>
  <c r="G93" i="30"/>
  <c r="F93" i="30"/>
  <c r="AE93" i="30" s="1"/>
  <c r="I92" i="30"/>
  <c r="G92" i="30"/>
  <c r="F92" i="30"/>
  <c r="AH92" i="30" s="1"/>
  <c r="I91" i="30"/>
  <c r="G91" i="30"/>
  <c r="F91" i="30"/>
  <c r="AG91" i="30" s="1"/>
  <c r="I90" i="30"/>
  <c r="G90" i="30"/>
  <c r="F90" i="30"/>
  <c r="AE90" i="30" s="1"/>
  <c r="I89" i="30"/>
  <c r="G89" i="30"/>
  <c r="F89" i="30"/>
  <c r="AP89" i="30" s="1"/>
  <c r="I88" i="30"/>
  <c r="G88" i="30"/>
  <c r="F88" i="30"/>
  <c r="I87" i="30"/>
  <c r="G87" i="30"/>
  <c r="F87" i="30"/>
  <c r="I86" i="30"/>
  <c r="G86" i="30"/>
  <c r="F86" i="30"/>
  <c r="AM86" i="30" s="1"/>
  <c r="I85" i="30"/>
  <c r="G85" i="30"/>
  <c r="F85" i="30"/>
  <c r="AN85" i="30" s="1"/>
  <c r="I84" i="30"/>
  <c r="G84" i="30"/>
  <c r="F84" i="30"/>
  <c r="I83" i="30"/>
  <c r="G83" i="30"/>
  <c r="F83" i="30"/>
  <c r="AH83" i="30" s="1"/>
  <c r="I82" i="30"/>
  <c r="G82" i="30"/>
  <c r="F82" i="30"/>
  <c r="AO82" i="30" s="1"/>
  <c r="I81" i="30"/>
  <c r="G81" i="30"/>
  <c r="F81" i="30"/>
  <c r="AM81" i="30" s="1"/>
  <c r="I80" i="30"/>
  <c r="G80" i="30"/>
  <c r="F80" i="30"/>
  <c r="I79" i="30"/>
  <c r="G79" i="30"/>
  <c r="F79" i="30"/>
  <c r="AH79" i="30" s="1"/>
  <c r="I78" i="30"/>
  <c r="G78" i="30"/>
  <c r="F78" i="30"/>
  <c r="AI78" i="30" s="1"/>
  <c r="I77" i="30"/>
  <c r="G77" i="30"/>
  <c r="F77" i="30"/>
  <c r="AJ77" i="30" s="1"/>
  <c r="I76" i="30"/>
  <c r="G76" i="30"/>
  <c r="F76" i="30"/>
  <c r="AG76" i="30" s="1"/>
  <c r="I75" i="30"/>
  <c r="G75" i="30"/>
  <c r="F75" i="30"/>
  <c r="AG75" i="30" s="1"/>
  <c r="I74" i="30"/>
  <c r="G74" i="30"/>
  <c r="F74" i="30"/>
  <c r="AP74" i="30" s="1"/>
  <c r="I73" i="30"/>
  <c r="G73" i="30"/>
  <c r="F73" i="30"/>
  <c r="S14" i="30"/>
  <c r="S13" i="30"/>
  <c r="S12" i="30"/>
  <c r="S11" i="30"/>
  <c r="S10" i="30"/>
  <c r="Y3" i="30"/>
  <c r="CO110" i="14"/>
  <c r="L110" i="14"/>
  <c r="CT110" i="14" s="1"/>
  <c r="K110" i="14"/>
  <c r="I110" i="14"/>
  <c r="G110" i="14"/>
  <c r="B110" i="7" s="1"/>
  <c r="CO94" i="14"/>
  <c r="L94" i="14"/>
  <c r="CT94" i="14" s="1"/>
  <c r="K94" i="14"/>
  <c r="I94" i="14"/>
  <c r="G94" i="14"/>
  <c r="B94" i="7" s="1"/>
  <c r="CO55" i="14"/>
  <c r="K55" i="14"/>
  <c r="I55" i="14"/>
  <c r="G55" i="14"/>
  <c r="B55" i="7" s="1"/>
  <c r="CO43" i="14"/>
  <c r="K43" i="14"/>
  <c r="I43" i="14"/>
  <c r="G43" i="14"/>
  <c r="B43" i="7" s="1"/>
  <c r="E377" i="23"/>
  <c r="E376" i="23"/>
  <c r="E375" i="23"/>
  <c r="E374" i="23"/>
  <c r="E373" i="23"/>
  <c r="E372" i="23"/>
  <c r="E371" i="23"/>
  <c r="E370" i="23"/>
  <c r="E369" i="23"/>
  <c r="E368" i="23"/>
  <c r="E367" i="23"/>
  <c r="E366" i="23"/>
  <c r="E365" i="23"/>
  <c r="E364" i="23"/>
  <c r="E363" i="23"/>
  <c r="E362" i="23"/>
  <c r="Z353" i="23"/>
  <c r="Y353" i="23"/>
  <c r="T353" i="23"/>
  <c r="S353" i="23"/>
  <c r="R353" i="23"/>
  <c r="Q353" i="23"/>
  <c r="P353" i="23"/>
  <c r="O353" i="23"/>
  <c r="E353" i="23"/>
  <c r="Z352" i="23"/>
  <c r="Y352" i="23"/>
  <c r="T352" i="23"/>
  <c r="S352" i="23"/>
  <c r="R352" i="23"/>
  <c r="Q352" i="23"/>
  <c r="P352" i="23"/>
  <c r="O352" i="23"/>
  <c r="E352" i="23"/>
  <c r="Z351" i="23"/>
  <c r="Y351" i="23"/>
  <c r="T351" i="23"/>
  <c r="S351" i="23"/>
  <c r="R351" i="23"/>
  <c r="Q351" i="23"/>
  <c r="P351" i="23"/>
  <c r="O351" i="23"/>
  <c r="E351" i="23"/>
  <c r="Z350" i="23"/>
  <c r="Y350" i="23"/>
  <c r="T350" i="23"/>
  <c r="S350" i="23"/>
  <c r="R350" i="23"/>
  <c r="Q350" i="23"/>
  <c r="P350" i="23"/>
  <c r="O350" i="23"/>
  <c r="E350" i="23"/>
  <c r="Z349" i="23"/>
  <c r="Y349" i="23"/>
  <c r="T349" i="23"/>
  <c r="S349" i="23"/>
  <c r="R349" i="23"/>
  <c r="Q349" i="23"/>
  <c r="P349" i="23"/>
  <c r="O349" i="23"/>
  <c r="E349" i="23"/>
  <c r="Z348" i="23"/>
  <c r="Y348" i="23"/>
  <c r="T348" i="23"/>
  <c r="S348" i="23"/>
  <c r="R348" i="23"/>
  <c r="Q348" i="23"/>
  <c r="P348" i="23"/>
  <c r="O348" i="23"/>
  <c r="E348" i="23"/>
  <c r="E347" i="23"/>
  <c r="E346" i="23"/>
  <c r="Z345" i="23"/>
  <c r="Y345" i="23"/>
  <c r="T345" i="23"/>
  <c r="S345" i="23"/>
  <c r="R345" i="23"/>
  <c r="Q345" i="23"/>
  <c r="P345" i="23"/>
  <c r="O345" i="23"/>
  <c r="E345" i="23"/>
  <c r="D345" i="23"/>
  <c r="D369" i="23" s="1"/>
  <c r="Z344" i="23"/>
  <c r="Y344" i="23"/>
  <c r="T344" i="23"/>
  <c r="S344" i="23"/>
  <c r="R344" i="23"/>
  <c r="Q344" i="23"/>
  <c r="P344" i="23"/>
  <c r="O344" i="23"/>
  <c r="E344" i="23"/>
  <c r="D344" i="23"/>
  <c r="D368" i="23" s="1"/>
  <c r="Z343" i="23"/>
  <c r="Y343" i="23"/>
  <c r="T343" i="23"/>
  <c r="S343" i="23"/>
  <c r="R343" i="23"/>
  <c r="Q343" i="23"/>
  <c r="P343" i="23"/>
  <c r="O343" i="23"/>
  <c r="E343" i="23"/>
  <c r="D343" i="23"/>
  <c r="D367" i="23" s="1"/>
  <c r="Z342" i="23"/>
  <c r="Y342" i="23"/>
  <c r="T342" i="23"/>
  <c r="S342" i="23"/>
  <c r="R342" i="23"/>
  <c r="Q342" i="23"/>
  <c r="P342" i="23"/>
  <c r="O342" i="23"/>
  <c r="E342" i="23"/>
  <c r="D342" i="23"/>
  <c r="D366" i="23" s="1"/>
  <c r="Z341" i="23"/>
  <c r="Y341" i="23"/>
  <c r="T341" i="23"/>
  <c r="S341" i="23"/>
  <c r="R341" i="23"/>
  <c r="Q341" i="23"/>
  <c r="P341" i="23"/>
  <c r="O341" i="23"/>
  <c r="E341" i="23"/>
  <c r="D341" i="23"/>
  <c r="D365" i="23" s="1"/>
  <c r="Z340" i="23"/>
  <c r="Y340" i="23"/>
  <c r="T340" i="23"/>
  <c r="S340" i="23"/>
  <c r="R340" i="23"/>
  <c r="Q340" i="23"/>
  <c r="P340" i="23"/>
  <c r="O340" i="23"/>
  <c r="E340" i="23"/>
  <c r="D340" i="23"/>
  <c r="D364" i="23" s="1"/>
  <c r="E339" i="23"/>
  <c r="D339" i="23"/>
  <c r="D363" i="23" s="1"/>
  <c r="E338" i="23"/>
  <c r="D338" i="23"/>
  <c r="D362" i="23" s="1"/>
  <c r="L333" i="23"/>
  <c r="J333" i="23"/>
  <c r="G333" i="23"/>
  <c r="L332" i="23"/>
  <c r="J332" i="23"/>
  <c r="G332" i="23"/>
  <c r="M328" i="23"/>
  <c r="D328" i="23"/>
  <c r="D353" i="23"/>
  <c r="D377" i="23" s="1"/>
  <c r="M327" i="23"/>
  <c r="AE327" i="23" s="1"/>
  <c r="D327" i="23"/>
  <c r="D352" i="23" s="1"/>
  <c r="D376" i="23" s="1"/>
  <c r="M326" i="23"/>
  <c r="AG326" i="23"/>
  <c r="D326" i="23"/>
  <c r="D351" i="23" s="1"/>
  <c r="D375" i="23" s="1"/>
  <c r="M325" i="23"/>
  <c r="AC325" i="23"/>
  <c r="D325" i="23"/>
  <c r="D350" i="23" s="1"/>
  <c r="D374" i="23" s="1"/>
  <c r="M324" i="23"/>
  <c r="AE324" i="23" s="1"/>
  <c r="D324" i="23"/>
  <c r="D349" i="23" s="1"/>
  <c r="D373" i="23" s="1"/>
  <c r="M323" i="23"/>
  <c r="AB323" i="23" s="1"/>
  <c r="D323" i="23"/>
  <c r="D348" i="23" s="1"/>
  <c r="D372" i="23" s="1"/>
  <c r="D322" i="23"/>
  <c r="D347" i="23" s="1"/>
  <c r="D371" i="23" s="1"/>
  <c r="D321" i="23"/>
  <c r="D346" i="23" s="1"/>
  <c r="D370" i="23" s="1"/>
  <c r="AG320" i="23"/>
  <c r="AF320" i="23"/>
  <c r="AE320" i="23"/>
  <c r="AD320" i="23"/>
  <c r="AC320" i="23"/>
  <c r="AB320" i="23"/>
  <c r="M319" i="23"/>
  <c r="AF319" i="23" s="1"/>
  <c r="M318" i="23"/>
  <c r="M317" i="23"/>
  <c r="AD317" i="23" s="1"/>
  <c r="M316" i="23"/>
  <c r="AF316" i="23" s="1"/>
  <c r="M315" i="23"/>
  <c r="AF315" i="23" s="1"/>
  <c r="E291" i="23"/>
  <c r="E290" i="23"/>
  <c r="E289" i="23"/>
  <c r="E288" i="23"/>
  <c r="E287" i="23"/>
  <c r="E286" i="23"/>
  <c r="E285" i="23"/>
  <c r="E284" i="23"/>
  <c r="E283" i="23"/>
  <c r="E282" i="23"/>
  <c r="E281" i="23"/>
  <c r="E280" i="23"/>
  <c r="E279" i="23"/>
  <c r="E278" i="23"/>
  <c r="E277" i="23"/>
  <c r="E268" i="23"/>
  <c r="D268" i="23"/>
  <c r="D291" i="23" s="1"/>
  <c r="E267" i="23"/>
  <c r="D267" i="23"/>
  <c r="D290" i="23" s="1"/>
  <c r="E266" i="23"/>
  <c r="D266" i="23"/>
  <c r="D289" i="23" s="1"/>
  <c r="E265" i="23"/>
  <c r="D265" i="23"/>
  <c r="D288" i="23" s="1"/>
  <c r="E264" i="23"/>
  <c r="D264" i="23"/>
  <c r="D287" i="23" s="1"/>
  <c r="E263" i="23"/>
  <c r="D263" i="23"/>
  <c r="D286" i="23" s="1"/>
  <c r="E262" i="23"/>
  <c r="D262" i="23"/>
  <c r="D285" i="23" s="1"/>
  <c r="E261" i="23"/>
  <c r="D261" i="23"/>
  <c r="D284" i="23" s="1"/>
  <c r="E260" i="23"/>
  <c r="D260" i="23"/>
  <c r="D283" i="23" s="1"/>
  <c r="E259" i="23"/>
  <c r="D259" i="23"/>
  <c r="D282" i="23" s="1"/>
  <c r="E258" i="23"/>
  <c r="D258" i="23"/>
  <c r="D281" i="23" s="1"/>
  <c r="E257" i="23"/>
  <c r="D257" i="23"/>
  <c r="D280" i="23" s="1"/>
  <c r="E256" i="23"/>
  <c r="D256" i="23"/>
  <c r="D279" i="23" s="1"/>
  <c r="E255" i="23"/>
  <c r="D255" i="23"/>
  <c r="D278" i="23" s="1"/>
  <c r="E254" i="23"/>
  <c r="D254" i="23"/>
  <c r="D277" i="23" s="1"/>
  <c r="K249" i="23"/>
  <c r="J249" i="23"/>
  <c r="I249" i="23"/>
  <c r="H249" i="23"/>
  <c r="F249" i="23"/>
  <c r="K248" i="23"/>
  <c r="J248" i="23"/>
  <c r="I248" i="23"/>
  <c r="H248" i="23"/>
  <c r="F248" i="23"/>
  <c r="AG241" i="23"/>
  <c r="AF241" i="23"/>
  <c r="M240" i="23"/>
  <c r="M239" i="23"/>
  <c r="M238" i="23"/>
  <c r="M237" i="23"/>
  <c r="AB237" i="23" s="1"/>
  <c r="M236" i="23"/>
  <c r="M235" i="23"/>
  <c r="AF235" i="23" s="1"/>
  <c r="M234" i="23"/>
  <c r="AF234" i="23" s="1"/>
  <c r="M233" i="23"/>
  <c r="M232" i="23"/>
  <c r="M231" i="23"/>
  <c r="M230" i="23"/>
  <c r="M229" i="23"/>
  <c r="M227" i="23"/>
  <c r="D154" i="23"/>
  <c r="D190" i="23" s="1"/>
  <c r="D153" i="23"/>
  <c r="D189" i="23" s="1"/>
  <c r="D152" i="23"/>
  <c r="D188" i="23" s="1"/>
  <c r="D151" i="23"/>
  <c r="D187" i="23" s="1"/>
  <c r="D150" i="23"/>
  <c r="D186" i="23" s="1"/>
  <c r="M131" i="23"/>
  <c r="D131" i="23"/>
  <c r="D168" i="23" s="1"/>
  <c r="D204" i="23" s="1"/>
  <c r="M130" i="23"/>
  <c r="D130" i="23"/>
  <c r="D167" i="23" s="1"/>
  <c r="D203" i="23" s="1"/>
  <c r="M129" i="23"/>
  <c r="D129" i="23"/>
  <c r="D166" i="23" s="1"/>
  <c r="D202" i="23" s="1"/>
  <c r="D128" i="23"/>
  <c r="D165" i="23" s="1"/>
  <c r="D201" i="23" s="1"/>
  <c r="D127" i="23"/>
  <c r="D164" i="23" s="1"/>
  <c r="D200" i="23" s="1"/>
  <c r="E126" i="23"/>
  <c r="E125" i="23"/>
  <c r="E123" i="23"/>
  <c r="E122" i="23"/>
  <c r="E121" i="23"/>
  <c r="E120" i="23"/>
  <c r="E119" i="23"/>
  <c r="M118" i="23"/>
  <c r="E118" i="23"/>
  <c r="D118" i="23"/>
  <c r="D155" i="23" s="1"/>
  <c r="D191" i="23" s="1"/>
  <c r="M117" i="23"/>
  <c r="M116" i="23"/>
  <c r="M115" i="23"/>
  <c r="E112" i="23"/>
  <c r="D112" i="23"/>
  <c r="D149" i="23" s="1"/>
  <c r="D185" i="23" s="1"/>
  <c r="E111" i="23"/>
  <c r="D111" i="23"/>
  <c r="D148" i="23" s="1"/>
  <c r="D184" i="23" s="1"/>
  <c r="E109" i="23"/>
  <c r="D109" i="23"/>
  <c r="D146" i="23" s="1"/>
  <c r="D182" i="23" s="1"/>
  <c r="E108" i="23"/>
  <c r="D108" i="23"/>
  <c r="D145" i="23" s="1"/>
  <c r="D181" i="23" s="1"/>
  <c r="E107" i="23"/>
  <c r="D107" i="23"/>
  <c r="D144" i="23" s="1"/>
  <c r="D180" i="23" s="1"/>
  <c r="E106" i="23"/>
  <c r="D106" i="23"/>
  <c r="D143" i="23" s="1"/>
  <c r="D179" i="23" s="1"/>
  <c r="E105" i="23"/>
  <c r="D105" i="23"/>
  <c r="D142" i="23" s="1"/>
  <c r="D178" i="23" s="1"/>
  <c r="E85" i="23"/>
  <c r="E84" i="23"/>
  <c r="E82" i="23"/>
  <c r="E81" i="23"/>
  <c r="E80" i="23"/>
  <c r="E79" i="23"/>
  <c r="E78" i="23"/>
  <c r="E77" i="23"/>
  <c r="E76" i="23"/>
  <c r="E75" i="23"/>
  <c r="E73" i="23"/>
  <c r="E72" i="23"/>
  <c r="E71" i="23"/>
  <c r="E70" i="23"/>
  <c r="E69" i="23"/>
  <c r="E60" i="23"/>
  <c r="E59" i="23"/>
  <c r="E57" i="23"/>
  <c r="E56" i="23"/>
  <c r="E55" i="23"/>
  <c r="E54" i="23"/>
  <c r="E53" i="23"/>
  <c r="E52" i="23"/>
  <c r="D52" i="23"/>
  <c r="E51" i="23"/>
  <c r="D51" i="23"/>
  <c r="D76" i="23" s="1"/>
  <c r="E50" i="23"/>
  <c r="D50" i="23"/>
  <c r="D75" i="23" s="1"/>
  <c r="E48" i="23"/>
  <c r="D48" i="23"/>
  <c r="D73" i="23" s="1"/>
  <c r="E47" i="23"/>
  <c r="D47" i="23"/>
  <c r="D72" i="23" s="1"/>
  <c r="E46" i="23"/>
  <c r="D46" i="23"/>
  <c r="D71" i="23"/>
  <c r="E45" i="23"/>
  <c r="D45" i="23"/>
  <c r="D70" i="23" s="1"/>
  <c r="E44" i="23"/>
  <c r="D44" i="23"/>
  <c r="D69" i="23" s="1"/>
  <c r="J39" i="23"/>
  <c r="J38" i="23"/>
  <c r="D33" i="23"/>
  <c r="D126" i="23" s="1"/>
  <c r="D163" i="23" s="1"/>
  <c r="D199" i="23" s="1"/>
  <c r="D32" i="23"/>
  <c r="D59" i="23" s="1"/>
  <c r="D84" i="23" s="1"/>
  <c r="D30" i="23"/>
  <c r="D123" i="23" s="1"/>
  <c r="D160" i="23" s="1"/>
  <c r="D196" i="23" s="1"/>
  <c r="D29" i="23"/>
  <c r="D28" i="23"/>
  <c r="D27" i="23"/>
  <c r="D54" i="23" s="1"/>
  <c r="D79" i="23" s="1"/>
  <c r="D26" i="23"/>
  <c r="M25" i="23"/>
  <c r="AF25" i="23" s="1"/>
  <c r="I154" i="31"/>
  <c r="I153" i="31"/>
  <c r="I152" i="31"/>
  <c r="I151" i="31"/>
  <c r="I150" i="31"/>
  <c r="I147" i="31"/>
  <c r="I146" i="31"/>
  <c r="I145" i="31"/>
  <c r="I144" i="31"/>
  <c r="I143" i="31"/>
  <c r="I140" i="31"/>
  <c r="I139" i="31"/>
  <c r="I138" i="31"/>
  <c r="I137" i="31"/>
  <c r="I136" i="31"/>
  <c r="I133" i="31"/>
  <c r="I132" i="31"/>
  <c r="I131" i="31"/>
  <c r="I130" i="31"/>
  <c r="I129" i="31"/>
  <c r="I126" i="31"/>
  <c r="I125" i="31"/>
  <c r="I124" i="31"/>
  <c r="I123" i="31"/>
  <c r="I122" i="31"/>
  <c r="I119" i="31"/>
  <c r="I118" i="31"/>
  <c r="I117" i="31"/>
  <c r="I116" i="31"/>
  <c r="I115" i="31"/>
  <c r="AQ126" i="30"/>
  <c r="N75" i="30"/>
  <c r="W10" i="30" s="1"/>
  <c r="AO10" i="30" s="1"/>
  <c r="M75" i="30"/>
  <c r="N74" i="30"/>
  <c r="M74" i="30"/>
  <c r="N73" i="30"/>
  <c r="O73" i="30" s="1"/>
  <c r="M73" i="30"/>
  <c r="AR68" i="30"/>
  <c r="AP68" i="30"/>
  <c r="AO68" i="30"/>
  <c r="AN68" i="30" s="1"/>
  <c r="AM68" i="30"/>
  <c r="AL68" i="30"/>
  <c r="AJ68" i="30"/>
  <c r="AI68" i="30"/>
  <c r="AH68" i="30" s="1"/>
  <c r="AG68" i="30"/>
  <c r="AF68" i="30"/>
  <c r="AD68" i="30"/>
  <c r="AR67" i="30"/>
  <c r="AQ67" i="30" s="1"/>
  <c r="AP67" i="30"/>
  <c r="AO67" i="30"/>
  <c r="AM67" i="30"/>
  <c r="AL67" i="30"/>
  <c r="AJ67" i="30"/>
  <c r="AI67" i="30"/>
  <c r="AG67" i="30"/>
  <c r="AF67" i="30"/>
  <c r="AE67" i="30" s="1"/>
  <c r="AD67" i="30"/>
  <c r="AR66" i="30"/>
  <c r="AP66" i="30"/>
  <c r="AO66" i="30"/>
  <c r="AM66" i="30"/>
  <c r="AL66" i="30"/>
  <c r="AJ66" i="30"/>
  <c r="AI66" i="30"/>
  <c r="AG66" i="30"/>
  <c r="AF66" i="30"/>
  <c r="AD66" i="30"/>
  <c r="AR65" i="30"/>
  <c r="AQ65" i="30" s="1"/>
  <c r="AP65" i="30"/>
  <c r="AO65" i="30"/>
  <c r="AM65" i="30"/>
  <c r="AL65" i="30"/>
  <c r="AJ65" i="30"/>
  <c r="AI65" i="30"/>
  <c r="AG65" i="30"/>
  <c r="AF65" i="30"/>
  <c r="AE65" i="30" s="1"/>
  <c r="AD65" i="30"/>
  <c r="AR64" i="30"/>
  <c r="AP64" i="30"/>
  <c r="AO64" i="30"/>
  <c r="AN64" i="30" s="1"/>
  <c r="AM64" i="30"/>
  <c r="AL64" i="30"/>
  <c r="AJ64" i="30"/>
  <c r="AI64" i="30"/>
  <c r="AG64" i="30"/>
  <c r="AF64" i="30"/>
  <c r="AD64" i="30"/>
  <c r="AR63" i="30"/>
  <c r="AP63" i="30"/>
  <c r="AO63" i="30"/>
  <c r="AM63" i="30"/>
  <c r="AR54" i="30"/>
  <c r="AQ54" i="30" s="1"/>
  <c r="AP54" i="30"/>
  <c r="AO54" i="30"/>
  <c r="AM54" i="30"/>
  <c r="O54" i="30"/>
  <c r="AF54" i="30" s="1"/>
  <c r="AR53" i="30"/>
  <c r="AP53" i="30"/>
  <c r="AO53" i="30"/>
  <c r="AM53" i="30"/>
  <c r="AN53" i="30" s="1"/>
  <c r="O53" i="30"/>
  <c r="AD53" i="30" s="1"/>
  <c r="AR52" i="30"/>
  <c r="AP52" i="30"/>
  <c r="AO52" i="30"/>
  <c r="AM52" i="30"/>
  <c r="O52" i="30"/>
  <c r="AD52" i="30" s="1"/>
  <c r="AR51" i="30"/>
  <c r="AP51" i="30"/>
  <c r="AO51" i="30"/>
  <c r="AM51" i="30"/>
  <c r="O51" i="30"/>
  <c r="AD51" i="30" s="1"/>
  <c r="AR50" i="30"/>
  <c r="AP50" i="30"/>
  <c r="AO50" i="30"/>
  <c r="AM50" i="30"/>
  <c r="O50" i="30"/>
  <c r="AF50" i="30" s="1"/>
  <c r="AR49" i="30"/>
  <c r="AP49" i="30"/>
  <c r="AQ49" i="30" s="1"/>
  <c r="AO49" i="30"/>
  <c r="AM49" i="30"/>
  <c r="O49" i="30"/>
  <c r="AD49" i="30" s="1"/>
  <c r="AR48" i="30"/>
  <c r="AP48" i="30"/>
  <c r="AO48" i="30"/>
  <c r="AM48" i="30"/>
  <c r="O48" i="30"/>
  <c r="AF48" i="30" s="1"/>
  <c r="AR47" i="30"/>
  <c r="AP47" i="30"/>
  <c r="AO47" i="30"/>
  <c r="AM47" i="30"/>
  <c r="O47" i="30"/>
  <c r="AF47" i="30" s="1"/>
  <c r="AR46" i="30"/>
  <c r="AQ46" i="30" s="1"/>
  <c r="AP46" i="30"/>
  <c r="AO46" i="30"/>
  <c r="AM46" i="30"/>
  <c r="O46" i="30"/>
  <c r="AD46" i="30" s="1"/>
  <c r="AP45" i="30"/>
  <c r="AO45" i="30"/>
  <c r="AM45" i="30"/>
  <c r="O45" i="30"/>
  <c r="AD45" i="30" s="1"/>
  <c r="AR44" i="30"/>
  <c r="AP44" i="30"/>
  <c r="AO44" i="30"/>
  <c r="AM44" i="30"/>
  <c r="O44" i="30"/>
  <c r="AF44" i="30" s="1"/>
  <c r="AR43" i="30"/>
  <c r="AP43" i="30"/>
  <c r="AO43" i="30"/>
  <c r="AM43" i="30"/>
  <c r="O43" i="30"/>
  <c r="AD43" i="30" s="1"/>
  <c r="AR42" i="30"/>
  <c r="AP42" i="30"/>
  <c r="AO42" i="30"/>
  <c r="AM42" i="30"/>
  <c r="O42" i="30"/>
  <c r="AF42" i="30" s="1"/>
  <c r="AR40" i="30"/>
  <c r="AP40" i="30"/>
  <c r="AO40" i="30"/>
  <c r="AM40" i="30"/>
  <c r="O40" i="30"/>
  <c r="AD40" i="30" s="1"/>
  <c r="AR39" i="30"/>
  <c r="AP39" i="30"/>
  <c r="AO39" i="30"/>
  <c r="AM39" i="30"/>
  <c r="AN39" i="30" s="1"/>
  <c r="O39" i="30"/>
  <c r="AD39" i="30" s="1"/>
  <c r="AR38" i="30"/>
  <c r="AP38" i="30"/>
  <c r="AO38" i="30"/>
  <c r="AM38" i="30"/>
  <c r="O38" i="30"/>
  <c r="AF38" i="30" s="1"/>
  <c r="AR37" i="30"/>
  <c r="AP37" i="30"/>
  <c r="AO37" i="30"/>
  <c r="AM37" i="30"/>
  <c r="O37" i="30"/>
  <c r="AD37" i="30" s="1"/>
  <c r="AR36" i="30"/>
  <c r="AP36" i="30"/>
  <c r="AO36" i="30"/>
  <c r="AM36" i="30"/>
  <c r="O36" i="30"/>
  <c r="AD36" i="30" s="1"/>
  <c r="AR35" i="30"/>
  <c r="AP35" i="30"/>
  <c r="AO35" i="30"/>
  <c r="AM35" i="30"/>
  <c r="O35" i="30"/>
  <c r="AD35" i="30" s="1"/>
  <c r="AR34" i="30"/>
  <c r="AP34" i="30"/>
  <c r="AO34" i="30"/>
  <c r="AN34" i="30" s="1"/>
  <c r="AM34" i="30"/>
  <c r="O34" i="30"/>
  <c r="AD34" i="30" s="1"/>
  <c r="AR33" i="30"/>
  <c r="AP33" i="30"/>
  <c r="AO33" i="30"/>
  <c r="AM33" i="30"/>
  <c r="O33" i="30"/>
  <c r="AF33" i="30" s="1"/>
  <c r="AR32" i="30"/>
  <c r="AP32" i="30"/>
  <c r="AO32" i="30"/>
  <c r="AM32" i="30"/>
  <c r="O32" i="30"/>
  <c r="AD32" i="30" s="1"/>
  <c r="AR41" i="30"/>
  <c r="AP41" i="30"/>
  <c r="AO41" i="30"/>
  <c r="AN41" i="30" s="1"/>
  <c r="AM41" i="30"/>
  <c r="O41" i="30"/>
  <c r="AD41" i="30" s="1"/>
  <c r="AR31" i="30"/>
  <c r="AP31" i="30"/>
  <c r="AO31" i="30"/>
  <c r="AM31" i="30"/>
  <c r="O31" i="30"/>
  <c r="AD31" i="30" s="1"/>
  <c r="AR30" i="30"/>
  <c r="AQ30" i="30" s="1"/>
  <c r="AP30" i="30"/>
  <c r="AO30" i="30"/>
  <c r="AM30" i="30"/>
  <c r="O30" i="30"/>
  <c r="AF30" i="30" s="1"/>
  <c r="AR29" i="30"/>
  <c r="AP29" i="30"/>
  <c r="AO29" i="30"/>
  <c r="AM29" i="30"/>
  <c r="AN29" i="30" s="1"/>
  <c r="O29" i="30"/>
  <c r="AD29" i="30" s="1"/>
  <c r="AR28" i="30"/>
  <c r="AP28" i="30"/>
  <c r="AO28" i="30"/>
  <c r="AM28" i="30"/>
  <c r="O28" i="30"/>
  <c r="AD28" i="30" s="1"/>
  <c r="AR27" i="30"/>
  <c r="AP27" i="30"/>
  <c r="AO27" i="30"/>
  <c r="AM27" i="30"/>
  <c r="O27" i="30"/>
  <c r="AD27" i="30" s="1"/>
  <c r="AR26" i="30"/>
  <c r="AP26" i="30"/>
  <c r="AO26" i="30"/>
  <c r="AM26" i="30"/>
  <c r="O26" i="30"/>
  <c r="AD26" i="30" s="1"/>
  <c r="AR25" i="30"/>
  <c r="AP25" i="30"/>
  <c r="AO25" i="30"/>
  <c r="AM25" i="30"/>
  <c r="O25" i="30"/>
  <c r="AF25" i="30" s="1"/>
  <c r="AR24" i="30"/>
  <c r="AP24" i="30"/>
  <c r="AQ24" i="30" s="1"/>
  <c r="AO24" i="30"/>
  <c r="AM24" i="30"/>
  <c r="O24" i="30"/>
  <c r="AD24" i="30" s="1"/>
  <c r="AR23" i="30"/>
  <c r="AP23" i="30"/>
  <c r="AO23" i="30"/>
  <c r="AM23" i="30"/>
  <c r="O23" i="30"/>
  <c r="AF23" i="30" s="1"/>
  <c r="AR22" i="30"/>
  <c r="AP22" i="30"/>
  <c r="AO22" i="30"/>
  <c r="AM22" i="30"/>
  <c r="AR21" i="30"/>
  <c r="AP21" i="30"/>
  <c r="AO21" i="30"/>
  <c r="AM21" i="30"/>
  <c r="AR20" i="30"/>
  <c r="AP20" i="30"/>
  <c r="AO20" i="30"/>
  <c r="AM20" i="30"/>
  <c r="AR19" i="30"/>
  <c r="AP19" i="30"/>
  <c r="AO19" i="30"/>
  <c r="AM19" i="30"/>
  <c r="AR16" i="30"/>
  <c r="AP16" i="30"/>
  <c r="AO16" i="30"/>
  <c r="AM16" i="30"/>
  <c r="AL16" i="30"/>
  <c r="AJ16" i="30"/>
  <c r="AI16" i="30"/>
  <c r="AG16" i="30"/>
  <c r="AF16" i="30"/>
  <c r="AD16" i="30"/>
  <c r="AR15" i="30"/>
  <c r="AP15" i="30"/>
  <c r="AO15" i="30"/>
  <c r="AM15" i="30"/>
  <c r="AL15" i="30"/>
  <c r="AJ15" i="30"/>
  <c r="AD15" i="30"/>
  <c r="O15" i="30"/>
  <c r="P14" i="30"/>
  <c r="AG14" i="30" s="1"/>
  <c r="O14" i="30"/>
  <c r="V14" i="30" s="1"/>
  <c r="AP13" i="30"/>
  <c r="AM13" i="30"/>
  <c r="O13" i="30"/>
  <c r="V13" i="30" s="1"/>
  <c r="Z13" i="30" s="1"/>
  <c r="AM12" i="30"/>
  <c r="O12" i="30"/>
  <c r="V12" i="30" s="1"/>
  <c r="AP11" i="30"/>
  <c r="AM11" i="30"/>
  <c r="AJ11" i="30"/>
  <c r="AG11" i="30"/>
  <c r="AD11" i="30"/>
  <c r="O11" i="30"/>
  <c r="V11" i="30" s="1"/>
  <c r="Z11" i="30" s="1"/>
  <c r="AP10" i="30"/>
  <c r="AJ10" i="30"/>
  <c r="AG10" i="30"/>
  <c r="AD10" i="30"/>
  <c r="O10" i="30"/>
  <c r="V10" i="30" s="1"/>
  <c r="B10" i="30"/>
  <c r="B11" i="30" s="1"/>
  <c r="B12" i="30" s="1"/>
  <c r="B13" i="30" s="1"/>
  <c r="B14" i="30" s="1"/>
  <c r="B15" i="30" s="1"/>
  <c r="B16" i="30" s="1"/>
  <c r="B17" i="30" s="1"/>
  <c r="B18" i="30" s="1"/>
  <c r="B19" i="30" s="1"/>
  <c r="B20" i="30" s="1"/>
  <c r="B21" i="30" s="1"/>
  <c r="B22" i="30" s="1"/>
  <c r="B23" i="30" s="1"/>
  <c r="B24" i="30" s="1"/>
  <c r="B25" i="30" s="1"/>
  <c r="B26" i="30" s="1"/>
  <c r="B27" i="30" s="1"/>
  <c r="B28" i="30" s="1"/>
  <c r="B29" i="30" s="1"/>
  <c r="B30" i="30" s="1"/>
  <c r="B31" i="30" s="1"/>
  <c r="B41" i="30" s="1"/>
  <c r="B32" i="30" s="1"/>
  <c r="B33" i="30" s="1"/>
  <c r="B34" i="30" s="1"/>
  <c r="B35" i="30" s="1"/>
  <c r="B36" i="30" s="1"/>
  <c r="B37" i="30" s="1"/>
  <c r="B38" i="30" s="1"/>
  <c r="B39" i="30" s="1"/>
  <c r="B40" i="30" s="1"/>
  <c r="B42" i="30" s="1"/>
  <c r="B43" i="30" s="1"/>
  <c r="B44" i="30" s="1"/>
  <c r="B45" i="30" s="1"/>
  <c r="B46" i="30" s="1"/>
  <c r="B47" i="30" s="1"/>
  <c r="B48" i="30" s="1"/>
  <c r="B49" i="30" s="1"/>
  <c r="B50" i="30" s="1"/>
  <c r="B51" i="30" s="1"/>
  <c r="B52" i="30" s="1"/>
  <c r="B53" i="30" s="1"/>
  <c r="B54" i="30" s="1"/>
  <c r="AR9" i="30"/>
  <c r="AP9" i="30"/>
  <c r="AQ9" i="30" s="1"/>
  <c r="AO9" i="30"/>
  <c r="AS9" i="30" s="1"/>
  <c r="AM9" i="30"/>
  <c r="AL9" i="30"/>
  <c r="AJ9" i="30"/>
  <c r="AI9" i="30"/>
  <c r="AG9" i="30"/>
  <c r="AF9" i="30"/>
  <c r="AD9" i="30"/>
  <c r="AE9" i="30" s="1"/>
  <c r="AB327" i="23"/>
  <c r="AD12" i="30"/>
  <c r="AG12" i="30"/>
  <c r="AD13" i="30"/>
  <c r="AP12" i="30"/>
  <c r="AJ12" i="30"/>
  <c r="D57" i="23"/>
  <c r="D82" i="23" s="1"/>
  <c r="D60" i="23"/>
  <c r="D85" i="23" s="1"/>
  <c r="AG240" i="23"/>
  <c r="AD326" i="23"/>
  <c r="AE326" i="23"/>
  <c r="AB326" i="23"/>
  <c r="AF326" i="23"/>
  <c r="AC326" i="23"/>
  <c r="AJ13" i="30"/>
  <c r="AF34" i="30"/>
  <c r="AM10" i="30"/>
  <c r="AM14" i="30"/>
  <c r="AG13" i="30"/>
  <c r="AM97" i="30"/>
  <c r="AF136" i="30"/>
  <c r="AJ126" i="30"/>
  <c r="AE112" i="30"/>
  <c r="AD137" i="30"/>
  <c r="AG169" i="30"/>
  <c r="AQ170" i="30"/>
  <c r="AE169" i="30"/>
  <c r="B206" i="1"/>
  <c r="D101" i="7"/>
  <c r="S101" i="7" s="1"/>
  <c r="G117" i="14"/>
  <c r="B117" i="7" s="1"/>
  <c r="H117" i="14"/>
  <c r="I117" i="14"/>
  <c r="K117" i="14"/>
  <c r="L117" i="14"/>
  <c r="CT117" i="14" s="1"/>
  <c r="N117" i="14"/>
  <c r="Q117" i="14"/>
  <c r="T117" i="14"/>
  <c r="W117" i="14"/>
  <c r="Z117" i="14"/>
  <c r="AC117" i="14"/>
  <c r="CO117" i="14"/>
  <c r="G118" i="14"/>
  <c r="B118" i="7" s="1"/>
  <c r="H118" i="14"/>
  <c r="I118" i="14"/>
  <c r="K118" i="14"/>
  <c r="L118" i="14"/>
  <c r="CT118" i="14" s="1"/>
  <c r="N118" i="14"/>
  <c r="Q118" i="14"/>
  <c r="T118" i="14"/>
  <c r="W118" i="14"/>
  <c r="Z118" i="14"/>
  <c r="AC118" i="14"/>
  <c r="CO118" i="14"/>
  <c r="G119" i="14"/>
  <c r="B119" i="7" s="1"/>
  <c r="H119" i="14"/>
  <c r="I119" i="14"/>
  <c r="K119" i="14"/>
  <c r="L119" i="14"/>
  <c r="CT119" i="14" s="1"/>
  <c r="N119" i="14"/>
  <c r="Q119" i="14"/>
  <c r="T119" i="14"/>
  <c r="W119" i="14"/>
  <c r="Z119" i="14"/>
  <c r="AC119" i="14"/>
  <c r="CO119" i="14"/>
  <c r="G106" i="14"/>
  <c r="B106" i="7" s="1"/>
  <c r="H106" i="14"/>
  <c r="G107" i="14"/>
  <c r="B107" i="7" s="1"/>
  <c r="H107" i="14"/>
  <c r="G108" i="14"/>
  <c r="B108" i="7" s="1"/>
  <c r="H108" i="14"/>
  <c r="G109" i="14"/>
  <c r="B109" i="7" s="1"/>
  <c r="H109" i="14"/>
  <c r="H111" i="14"/>
  <c r="G112" i="14"/>
  <c r="B112" i="7" s="1"/>
  <c r="H112" i="14"/>
  <c r="G113" i="14"/>
  <c r="B113" i="7" s="1"/>
  <c r="H113" i="14"/>
  <c r="G114" i="14"/>
  <c r="B114" i="7" s="1"/>
  <c r="H114" i="14"/>
  <c r="G115" i="14"/>
  <c r="B115" i="7" s="1"/>
  <c r="H115" i="14"/>
  <c r="G116" i="14"/>
  <c r="B116" i="7" s="1"/>
  <c r="H116" i="14"/>
  <c r="G120" i="14"/>
  <c r="B120" i="7" s="1"/>
  <c r="H120" i="14"/>
  <c r="G121" i="14"/>
  <c r="B121" i="7" s="1"/>
  <c r="H121" i="14"/>
  <c r="G123" i="14"/>
  <c r="B123" i="7" s="1"/>
  <c r="H123" i="14"/>
  <c r="G124" i="14"/>
  <c r="B124" i="7" s="1"/>
  <c r="H124" i="14"/>
  <c r="G125" i="14"/>
  <c r="B125" i="7" s="1"/>
  <c r="H125" i="14"/>
  <c r="H105" i="14"/>
  <c r="G91" i="14"/>
  <c r="B91" i="7" s="1"/>
  <c r="H91" i="14"/>
  <c r="G92" i="14"/>
  <c r="B92" i="7" s="1"/>
  <c r="H92" i="14"/>
  <c r="G93" i="14"/>
  <c r="B93" i="7" s="1"/>
  <c r="H93" i="14"/>
  <c r="H95" i="14"/>
  <c r="G96" i="14"/>
  <c r="B96" i="7" s="1"/>
  <c r="H96" i="14"/>
  <c r="G97" i="14"/>
  <c r="B97" i="7" s="1"/>
  <c r="H97" i="14"/>
  <c r="H98" i="14"/>
  <c r="G99" i="14"/>
  <c r="B99" i="7" s="1"/>
  <c r="H99" i="14"/>
  <c r="G100" i="14"/>
  <c r="B100" i="7" s="1"/>
  <c r="H100" i="14"/>
  <c r="G101" i="14"/>
  <c r="B101" i="7" s="1"/>
  <c r="H101" i="14"/>
  <c r="G102" i="14"/>
  <c r="B102" i="7" s="1"/>
  <c r="H102" i="14"/>
  <c r="G103" i="14"/>
  <c r="B103" i="7" s="1"/>
  <c r="H103" i="14"/>
  <c r="H90" i="14"/>
  <c r="I109" i="14"/>
  <c r="K109" i="14"/>
  <c r="L109" i="14"/>
  <c r="CT109" i="14" s="1"/>
  <c r="N109" i="14"/>
  <c r="Q109" i="14"/>
  <c r="T109" i="14"/>
  <c r="W109" i="14"/>
  <c r="Z109" i="14"/>
  <c r="AC109" i="14"/>
  <c r="CO109" i="14"/>
  <c r="CT99" i="14"/>
  <c r="CO99" i="14"/>
  <c r="CT100" i="14"/>
  <c r="CO100" i="14"/>
  <c r="CT102" i="14"/>
  <c r="CO102" i="14"/>
  <c r="I108" i="14"/>
  <c r="K108" i="14"/>
  <c r="L108" i="14"/>
  <c r="CT108" i="14" s="1"/>
  <c r="N108" i="14"/>
  <c r="Q108" i="14"/>
  <c r="T108" i="14"/>
  <c r="W108" i="14"/>
  <c r="Z108" i="14"/>
  <c r="AC108" i="14"/>
  <c r="CO108" i="14"/>
  <c r="O223" i="24"/>
  <c r="V223" i="24" s="1"/>
  <c r="O222" i="24"/>
  <c r="V222" i="24" s="1"/>
  <c r="AL222" i="24" s="1"/>
  <c r="AR152" i="29"/>
  <c r="AP152" i="29"/>
  <c r="AO152" i="29"/>
  <c r="AM152" i="29"/>
  <c r="AL152" i="29"/>
  <c r="AJ152" i="29"/>
  <c r="AI152" i="29"/>
  <c r="AG152" i="29"/>
  <c r="AF152" i="29"/>
  <c r="AD152" i="29"/>
  <c r="AR151" i="29"/>
  <c r="AP151" i="29"/>
  <c r="AO151" i="29"/>
  <c r="AM151" i="29"/>
  <c r="AL151" i="29"/>
  <c r="AJ151" i="29"/>
  <c r="AI151" i="29"/>
  <c r="AG151" i="29"/>
  <c r="AF151" i="29"/>
  <c r="AD151" i="29"/>
  <c r="AR150" i="29"/>
  <c r="AP150" i="29"/>
  <c r="AO150" i="29"/>
  <c r="AM150" i="29"/>
  <c r="AL150" i="29"/>
  <c r="AJ150" i="29"/>
  <c r="AI150" i="29"/>
  <c r="AG150" i="29"/>
  <c r="AF150" i="29"/>
  <c r="AD150" i="29"/>
  <c r="AR149" i="29"/>
  <c r="AP149" i="29"/>
  <c r="AO149" i="29"/>
  <c r="AM149" i="29"/>
  <c r="AL149" i="29"/>
  <c r="AJ149" i="29"/>
  <c r="AI149" i="29"/>
  <c r="AG149" i="29"/>
  <c r="AF149" i="29"/>
  <c r="AD149" i="29"/>
  <c r="AR148" i="29"/>
  <c r="AP148" i="29"/>
  <c r="AO148" i="29"/>
  <c r="AM148" i="29"/>
  <c r="AL148" i="29"/>
  <c r="AJ148" i="29"/>
  <c r="AI148" i="29"/>
  <c r="AG148" i="29"/>
  <c r="AF148" i="29"/>
  <c r="AD148" i="29"/>
  <c r="AR147" i="29"/>
  <c r="AP147" i="29"/>
  <c r="AO147" i="29"/>
  <c r="AM147" i="29"/>
  <c r="AL147" i="29"/>
  <c r="AJ147" i="29"/>
  <c r="AI147" i="29"/>
  <c r="AG147" i="29"/>
  <c r="AF147" i="29"/>
  <c r="AD147" i="29"/>
  <c r="AR146" i="29"/>
  <c r="AP146" i="29"/>
  <c r="AO146" i="29"/>
  <c r="AM146" i="29"/>
  <c r="AL146" i="29"/>
  <c r="AJ146" i="29"/>
  <c r="AI146" i="29"/>
  <c r="AG146" i="29"/>
  <c r="AF146" i="29"/>
  <c r="AD146" i="29"/>
  <c r="AR145" i="29"/>
  <c r="AP145" i="29"/>
  <c r="AO145" i="29"/>
  <c r="AM145" i="29"/>
  <c r="AJ145" i="29"/>
  <c r="AG145" i="29"/>
  <c r="AD145" i="29"/>
  <c r="O145" i="29"/>
  <c r="V145" i="29" s="1"/>
  <c r="AR144" i="29"/>
  <c r="AP144" i="29"/>
  <c r="AO144" i="29"/>
  <c r="AM144" i="29"/>
  <c r="AJ144" i="29"/>
  <c r="AG144" i="29"/>
  <c r="AD144" i="29"/>
  <c r="O144" i="29"/>
  <c r="AR143" i="29"/>
  <c r="AP143" i="29"/>
  <c r="AO143" i="29"/>
  <c r="AM143" i="29"/>
  <c r="AJ143" i="29"/>
  <c r="AG143" i="29"/>
  <c r="AD143" i="29"/>
  <c r="O143" i="29"/>
  <c r="V143" i="29" s="1"/>
  <c r="AR142" i="29"/>
  <c r="AP142" i="29"/>
  <c r="AO142" i="29"/>
  <c r="AM142" i="29"/>
  <c r="AJ142" i="29"/>
  <c r="AG142" i="29"/>
  <c r="AD142" i="29"/>
  <c r="O142" i="29"/>
  <c r="V142" i="29" s="1"/>
  <c r="AR141" i="29"/>
  <c r="AP141" i="29"/>
  <c r="AO141" i="29"/>
  <c r="AM141" i="29"/>
  <c r="AJ141" i="29"/>
  <c r="AG141" i="29"/>
  <c r="AD141" i="29"/>
  <c r="O141" i="29"/>
  <c r="V141" i="29" s="1"/>
  <c r="AR140" i="29"/>
  <c r="AP140" i="29"/>
  <c r="AO140" i="29"/>
  <c r="AM140" i="29"/>
  <c r="AJ140" i="29"/>
  <c r="AG140" i="29"/>
  <c r="AD140" i="29"/>
  <c r="O140" i="29"/>
  <c r="V140" i="29" s="1"/>
  <c r="AR139" i="29"/>
  <c r="AP139" i="29"/>
  <c r="AO139" i="29"/>
  <c r="AM139" i="29"/>
  <c r="AJ139" i="29"/>
  <c r="AG139" i="29"/>
  <c r="AD139" i="29"/>
  <c r="O139" i="29"/>
  <c r="V139" i="29" s="1"/>
  <c r="AR138" i="29"/>
  <c r="AP138" i="29"/>
  <c r="AO138" i="29"/>
  <c r="AM138" i="29"/>
  <c r="AJ138" i="29"/>
  <c r="AG138" i="29"/>
  <c r="AD138" i="29"/>
  <c r="O138" i="29"/>
  <c r="V138" i="29" s="1"/>
  <c r="AR137" i="29"/>
  <c r="AP137" i="29"/>
  <c r="AO137" i="29"/>
  <c r="AM137" i="29"/>
  <c r="AJ137" i="29"/>
  <c r="AG137" i="29"/>
  <c r="AD137" i="29"/>
  <c r="O137" i="29"/>
  <c r="V137" i="29" s="1"/>
  <c r="AR136" i="29"/>
  <c r="AP136" i="29"/>
  <c r="AO136" i="29"/>
  <c r="AM136" i="29"/>
  <c r="AL136" i="29"/>
  <c r="AJ136" i="29"/>
  <c r="AI136" i="29"/>
  <c r="AG136" i="29"/>
  <c r="AF136" i="29"/>
  <c r="AD136" i="29"/>
  <c r="AR135" i="29"/>
  <c r="AP135" i="29"/>
  <c r="AO135" i="29"/>
  <c r="AM135" i="29"/>
  <c r="AL135" i="29"/>
  <c r="AJ135" i="29"/>
  <c r="AI135" i="29"/>
  <c r="AH135" i="29" s="1"/>
  <c r="AG135" i="29"/>
  <c r="AF135" i="29"/>
  <c r="AD135" i="29"/>
  <c r="AR134" i="29"/>
  <c r="AP134" i="29"/>
  <c r="AO134" i="29"/>
  <c r="AM134" i="29"/>
  <c r="AL134" i="29"/>
  <c r="AJ134" i="29"/>
  <c r="AI134" i="29"/>
  <c r="AG134" i="29"/>
  <c r="AF134" i="29"/>
  <c r="AD134" i="29"/>
  <c r="AR133" i="29"/>
  <c r="AP133" i="29"/>
  <c r="AO133" i="29"/>
  <c r="AM133" i="29"/>
  <c r="AL133" i="29"/>
  <c r="AJ133" i="29"/>
  <c r="AI133" i="29"/>
  <c r="AG133" i="29"/>
  <c r="AF133" i="29"/>
  <c r="AD133" i="29"/>
  <c r="AR132" i="29"/>
  <c r="AP132" i="29"/>
  <c r="AO132" i="29"/>
  <c r="AM132" i="29"/>
  <c r="AL132" i="29"/>
  <c r="AJ132" i="29"/>
  <c r="AI132" i="29"/>
  <c r="AG132" i="29"/>
  <c r="AF132" i="29"/>
  <c r="AD132" i="29"/>
  <c r="AR131" i="29"/>
  <c r="AP131" i="29"/>
  <c r="AO131" i="29"/>
  <c r="AM131" i="29"/>
  <c r="AJ131" i="29"/>
  <c r="AG131" i="29"/>
  <c r="AD131" i="29"/>
  <c r="O131" i="29"/>
  <c r="V131" i="29" s="1"/>
  <c r="AR130" i="29"/>
  <c r="AP130" i="29"/>
  <c r="AO130" i="29"/>
  <c r="AM130" i="29"/>
  <c r="AJ130" i="29"/>
  <c r="AG130" i="29"/>
  <c r="AD130" i="29"/>
  <c r="O130" i="29"/>
  <c r="AR129" i="29"/>
  <c r="AP129" i="29"/>
  <c r="AO129" i="29"/>
  <c r="AM129" i="29"/>
  <c r="AJ129" i="29"/>
  <c r="AG129" i="29"/>
  <c r="AD129" i="29"/>
  <c r="O129" i="29"/>
  <c r="V129" i="29" s="1"/>
  <c r="AF129" i="29"/>
  <c r="AR128" i="29"/>
  <c r="AP128" i="29"/>
  <c r="AO128" i="29"/>
  <c r="AM128" i="29"/>
  <c r="AJ128" i="29"/>
  <c r="AG128" i="29"/>
  <c r="AD128" i="29"/>
  <c r="O128" i="29"/>
  <c r="V128" i="29" s="1"/>
  <c r="AR127" i="29"/>
  <c r="AP127" i="29"/>
  <c r="AO127" i="29"/>
  <c r="AM127" i="29"/>
  <c r="AJ127" i="29"/>
  <c r="AG127" i="29"/>
  <c r="AD127" i="29"/>
  <c r="O127" i="29"/>
  <c r="AR126" i="29"/>
  <c r="AP126" i="29"/>
  <c r="AO126" i="29"/>
  <c r="AM126" i="29"/>
  <c r="AN126" i="29" s="1"/>
  <c r="AJ126" i="29"/>
  <c r="AG126" i="29"/>
  <c r="AD126" i="29"/>
  <c r="O126" i="29"/>
  <c r="V126" i="29" s="1"/>
  <c r="AR125" i="29"/>
  <c r="AP125" i="29"/>
  <c r="AO125" i="29"/>
  <c r="AM125" i="29"/>
  <c r="AJ125" i="29"/>
  <c r="AG125" i="29"/>
  <c r="AD125" i="29"/>
  <c r="O125" i="29"/>
  <c r="V125" i="29" s="1"/>
  <c r="AR124" i="29"/>
  <c r="AP124" i="29"/>
  <c r="AO124" i="29"/>
  <c r="AM124" i="29"/>
  <c r="AJ124" i="29"/>
  <c r="AG124" i="29"/>
  <c r="AD124" i="29"/>
  <c r="O124" i="29"/>
  <c r="V124" i="29" s="1"/>
  <c r="AR123" i="29"/>
  <c r="AP123" i="29"/>
  <c r="AO123" i="29"/>
  <c r="AM123" i="29"/>
  <c r="AJ123" i="29"/>
  <c r="AG123" i="29"/>
  <c r="AD123" i="29"/>
  <c r="O123" i="29"/>
  <c r="V123" i="29" s="1"/>
  <c r="AR122" i="29"/>
  <c r="AP122" i="29"/>
  <c r="AO122" i="29"/>
  <c r="AM122" i="29"/>
  <c r="AJ122" i="29"/>
  <c r="AG122" i="29"/>
  <c r="AD122" i="29"/>
  <c r="O122" i="29"/>
  <c r="V122" i="29" s="1"/>
  <c r="AR121" i="29"/>
  <c r="AP121" i="29"/>
  <c r="AO121" i="29"/>
  <c r="AM121" i="29"/>
  <c r="AJ121" i="29"/>
  <c r="AG121" i="29"/>
  <c r="AD121" i="29"/>
  <c r="O121" i="29"/>
  <c r="V121" i="29" s="1"/>
  <c r="AR120" i="29"/>
  <c r="AP120" i="29"/>
  <c r="AO120" i="29"/>
  <c r="AM120" i="29"/>
  <c r="AJ120" i="29"/>
  <c r="AG120" i="29"/>
  <c r="AD120" i="29"/>
  <c r="O120" i="29"/>
  <c r="V120" i="29" s="1"/>
  <c r="AR119" i="29"/>
  <c r="AP119" i="29"/>
  <c r="AO119" i="29"/>
  <c r="AM119" i="29"/>
  <c r="AJ119" i="29"/>
  <c r="AG119" i="29"/>
  <c r="AD119" i="29"/>
  <c r="O119" i="29"/>
  <c r="V119" i="29" s="1"/>
  <c r="AR118" i="29"/>
  <c r="AP118" i="29"/>
  <c r="AO118" i="29"/>
  <c r="AM118" i="29"/>
  <c r="AJ118" i="29"/>
  <c r="AG118" i="29"/>
  <c r="AD118" i="29"/>
  <c r="O118" i="29"/>
  <c r="V118" i="29" s="1"/>
  <c r="AR117" i="29"/>
  <c r="AP117" i="29"/>
  <c r="AO117" i="29"/>
  <c r="AM117" i="29"/>
  <c r="AJ117" i="29"/>
  <c r="AG117" i="29"/>
  <c r="AD117" i="29"/>
  <c r="O117" i="29"/>
  <c r="V117" i="29" s="1"/>
  <c r="AR116" i="29"/>
  <c r="AP116" i="29"/>
  <c r="AO116" i="29"/>
  <c r="AM116" i="29"/>
  <c r="AJ116" i="29"/>
  <c r="AG116" i="29"/>
  <c r="AD116" i="29"/>
  <c r="O116" i="29"/>
  <c r="V116" i="29" s="1"/>
  <c r="AR115" i="29"/>
  <c r="AP115" i="29"/>
  <c r="AO115" i="29"/>
  <c r="AM115" i="29"/>
  <c r="AJ115" i="29"/>
  <c r="AG115" i="29"/>
  <c r="AD115" i="29"/>
  <c r="O115" i="29"/>
  <c r="V115" i="29" s="1"/>
  <c r="AR114" i="29"/>
  <c r="AP114" i="29"/>
  <c r="AO114" i="29"/>
  <c r="AM114" i="29"/>
  <c r="AJ114" i="29"/>
  <c r="AG114" i="29"/>
  <c r="AD114" i="29"/>
  <c r="O114" i="29"/>
  <c r="V114" i="29" s="1"/>
  <c r="AR113" i="29"/>
  <c r="AP113" i="29"/>
  <c r="AO113" i="29"/>
  <c r="AM113" i="29"/>
  <c r="AJ113" i="29"/>
  <c r="AG113" i="29"/>
  <c r="AD113" i="29"/>
  <c r="O113" i="29"/>
  <c r="V113" i="29" s="1"/>
  <c r="AR112" i="29"/>
  <c r="AP112" i="29"/>
  <c r="AO112" i="29"/>
  <c r="AM112" i="29"/>
  <c r="AJ112" i="29"/>
  <c r="AG112" i="29"/>
  <c r="AD112" i="29"/>
  <c r="O112" i="29"/>
  <c r="V112" i="29" s="1"/>
  <c r="AR111" i="29"/>
  <c r="AP111" i="29"/>
  <c r="AO111" i="29"/>
  <c r="AM111" i="29"/>
  <c r="AL111" i="29"/>
  <c r="AJ111" i="29"/>
  <c r="AI111" i="29"/>
  <c r="AG111" i="29"/>
  <c r="AF111" i="29"/>
  <c r="AD111" i="29"/>
  <c r="AR110" i="29"/>
  <c r="AP110" i="29"/>
  <c r="AO110" i="29"/>
  <c r="AM110" i="29"/>
  <c r="AL110" i="29"/>
  <c r="AJ110" i="29"/>
  <c r="AI110" i="29"/>
  <c r="AG110" i="29"/>
  <c r="AF110" i="29"/>
  <c r="AD110" i="29"/>
  <c r="AR109" i="29"/>
  <c r="AP109" i="29"/>
  <c r="AO109" i="29"/>
  <c r="AM109" i="29"/>
  <c r="AL109" i="29"/>
  <c r="AJ109" i="29"/>
  <c r="AI109" i="29"/>
  <c r="AG109" i="29"/>
  <c r="AF109" i="29"/>
  <c r="AD109" i="29"/>
  <c r="AR108" i="29"/>
  <c r="AP108" i="29"/>
  <c r="AO108" i="29"/>
  <c r="AM108" i="29"/>
  <c r="AL108" i="29"/>
  <c r="AJ108" i="29"/>
  <c r="AI108" i="29"/>
  <c r="AG108" i="29"/>
  <c r="AF108" i="29"/>
  <c r="AD108" i="29"/>
  <c r="AR107" i="29"/>
  <c r="AP107" i="29"/>
  <c r="AO107" i="29"/>
  <c r="AM107" i="29"/>
  <c r="AJ107" i="29"/>
  <c r="AG107" i="29"/>
  <c r="AD107" i="29"/>
  <c r="O107" i="29"/>
  <c r="V107" i="29" s="1"/>
  <c r="AR106" i="29"/>
  <c r="AP106" i="29"/>
  <c r="AO106" i="29"/>
  <c r="AM106" i="29"/>
  <c r="AJ106" i="29"/>
  <c r="AG106" i="29"/>
  <c r="AD106" i="29"/>
  <c r="O106" i="29"/>
  <c r="V106" i="29" s="1"/>
  <c r="AR105" i="29"/>
  <c r="AP105" i="29"/>
  <c r="AO105" i="29"/>
  <c r="AM105" i="29"/>
  <c r="AJ105" i="29"/>
  <c r="AG105" i="29"/>
  <c r="AD105" i="29"/>
  <c r="O105" i="29"/>
  <c r="AR104" i="29"/>
  <c r="AP104" i="29"/>
  <c r="AO104" i="29"/>
  <c r="AM104" i="29"/>
  <c r="AJ104" i="29"/>
  <c r="AG104" i="29"/>
  <c r="AD104" i="29"/>
  <c r="O104" i="29"/>
  <c r="V104" i="29" s="1"/>
  <c r="AR103" i="29"/>
  <c r="AP103" i="29"/>
  <c r="AO103" i="29"/>
  <c r="AM103" i="29"/>
  <c r="AJ103" i="29"/>
  <c r="AG103" i="29"/>
  <c r="AD103" i="29"/>
  <c r="O103" i="29"/>
  <c r="V103" i="29" s="1"/>
  <c r="AR102" i="29"/>
  <c r="AP102" i="29"/>
  <c r="AO102" i="29"/>
  <c r="AM102" i="29"/>
  <c r="AJ102" i="29"/>
  <c r="AG102" i="29"/>
  <c r="AD102" i="29"/>
  <c r="O102" i="29"/>
  <c r="AR101" i="29"/>
  <c r="AP101" i="29"/>
  <c r="AO101" i="29"/>
  <c r="AM101" i="29"/>
  <c r="AJ101" i="29"/>
  <c r="AG101" i="29"/>
  <c r="AD101" i="29"/>
  <c r="O101" i="29"/>
  <c r="V101" i="29" s="1"/>
  <c r="AR100" i="29"/>
  <c r="AP100" i="29"/>
  <c r="AO100" i="29"/>
  <c r="AM100" i="29"/>
  <c r="AJ100" i="29"/>
  <c r="AG100" i="29"/>
  <c r="AD100" i="29"/>
  <c r="O100" i="29"/>
  <c r="V100" i="29" s="1"/>
  <c r="AR99" i="29"/>
  <c r="AP99" i="29"/>
  <c r="AO99" i="29"/>
  <c r="AM99" i="29"/>
  <c r="AJ99" i="29"/>
  <c r="AG99" i="29"/>
  <c r="AD99" i="29"/>
  <c r="O99" i="29"/>
  <c r="V99" i="29" s="1"/>
  <c r="AR98" i="29"/>
  <c r="AP98" i="29"/>
  <c r="AO98" i="29"/>
  <c r="AM98" i="29"/>
  <c r="AJ98" i="29"/>
  <c r="AG98" i="29"/>
  <c r="AD98" i="29"/>
  <c r="O98" i="29"/>
  <c r="V98" i="29" s="1"/>
  <c r="AR97" i="29"/>
  <c r="AP97" i="29"/>
  <c r="AO97" i="29"/>
  <c r="AM97" i="29"/>
  <c r="AJ97" i="29"/>
  <c r="AG97" i="29"/>
  <c r="AD97" i="29"/>
  <c r="O97" i="29"/>
  <c r="V97" i="29" s="1"/>
  <c r="AR96" i="29"/>
  <c r="AP96" i="29"/>
  <c r="AO96" i="29"/>
  <c r="AM96" i="29"/>
  <c r="AJ96" i="29"/>
  <c r="AG96" i="29"/>
  <c r="AD96" i="29"/>
  <c r="O96" i="29"/>
  <c r="AR95" i="29"/>
  <c r="AP95" i="29"/>
  <c r="AO95" i="29"/>
  <c r="AM95" i="29"/>
  <c r="AJ95" i="29"/>
  <c r="AG95" i="29"/>
  <c r="AD95" i="29"/>
  <c r="O95" i="29"/>
  <c r="V95" i="29" s="1"/>
  <c r="AR94" i="29"/>
  <c r="AP94" i="29"/>
  <c r="AO94" i="29"/>
  <c r="AM94" i="29"/>
  <c r="AJ94" i="29"/>
  <c r="AG94" i="29"/>
  <c r="AD94" i="29"/>
  <c r="O94" i="29"/>
  <c r="V94" i="29" s="1"/>
  <c r="AR93" i="29"/>
  <c r="AP93" i="29"/>
  <c r="AO93" i="29"/>
  <c r="AM93" i="29"/>
  <c r="AJ93" i="29"/>
  <c r="AG93" i="29"/>
  <c r="AD93" i="29"/>
  <c r="O93" i="29"/>
  <c r="V93" i="29" s="1"/>
  <c r="AR92" i="29"/>
  <c r="AP92" i="29"/>
  <c r="AO92" i="29"/>
  <c r="AM92" i="29"/>
  <c r="AJ92" i="29"/>
  <c r="AG92" i="29"/>
  <c r="AD92" i="29"/>
  <c r="O92" i="29"/>
  <c r="AR91" i="29"/>
  <c r="AP91" i="29"/>
  <c r="AO91" i="29"/>
  <c r="AM91" i="29"/>
  <c r="AJ91" i="29"/>
  <c r="AG91" i="29"/>
  <c r="AD91" i="29"/>
  <c r="O91" i="29"/>
  <c r="V91" i="29" s="1"/>
  <c r="AF91" i="29"/>
  <c r="AR90" i="29"/>
  <c r="AP90" i="29"/>
  <c r="AO90" i="29"/>
  <c r="AM90" i="29"/>
  <c r="AN90" i="29" s="1"/>
  <c r="AJ90" i="29"/>
  <c r="AG90" i="29"/>
  <c r="AD90" i="29"/>
  <c r="O90" i="29"/>
  <c r="V90" i="29" s="1"/>
  <c r="AR89" i="29"/>
  <c r="AP89" i="29"/>
  <c r="AO89" i="29"/>
  <c r="AM89" i="29"/>
  <c r="AJ89" i="29"/>
  <c r="AG89" i="29"/>
  <c r="AD89" i="29"/>
  <c r="O89" i="29"/>
  <c r="V89" i="29" s="1"/>
  <c r="AR88" i="29"/>
  <c r="AP88" i="29"/>
  <c r="AO88" i="29"/>
  <c r="AM88" i="29"/>
  <c r="AJ88" i="29"/>
  <c r="AG88" i="29"/>
  <c r="AD88" i="29"/>
  <c r="O88" i="29"/>
  <c r="V88" i="29" s="1"/>
  <c r="AR87" i="29"/>
  <c r="AP87" i="29"/>
  <c r="AO87" i="29"/>
  <c r="AM87" i="29"/>
  <c r="AJ87" i="29"/>
  <c r="AG87" i="29"/>
  <c r="AD87" i="29"/>
  <c r="O87" i="29"/>
  <c r="V87" i="29" s="1"/>
  <c r="AR86" i="29"/>
  <c r="AP86" i="29"/>
  <c r="AO86" i="29"/>
  <c r="AM86" i="29"/>
  <c r="AJ86" i="29"/>
  <c r="AG86" i="29"/>
  <c r="AD86" i="29"/>
  <c r="O86" i="29"/>
  <c r="V86" i="29" s="1"/>
  <c r="AR85" i="29"/>
  <c r="AP85" i="29"/>
  <c r="AO85" i="29"/>
  <c r="AM85" i="29"/>
  <c r="AJ85" i="29"/>
  <c r="AG85" i="29"/>
  <c r="AD85" i="29"/>
  <c r="O85" i="29"/>
  <c r="AR84" i="29"/>
  <c r="AP84" i="29"/>
  <c r="AO84" i="29"/>
  <c r="AM84" i="29"/>
  <c r="AJ84" i="29"/>
  <c r="AG84" i="29"/>
  <c r="AD84" i="29"/>
  <c r="O84" i="29"/>
  <c r="V84" i="29" s="1"/>
  <c r="AR83" i="29"/>
  <c r="AP83" i="29"/>
  <c r="AO83" i="29"/>
  <c r="AM83" i="29"/>
  <c r="AJ83" i="29"/>
  <c r="AG83" i="29"/>
  <c r="AD83" i="29"/>
  <c r="O83" i="29"/>
  <c r="V83" i="29" s="1"/>
  <c r="AR82" i="29"/>
  <c r="AP82" i="29"/>
  <c r="AO82" i="29"/>
  <c r="AM82" i="29"/>
  <c r="AJ82" i="29"/>
  <c r="AG82" i="29"/>
  <c r="AD82" i="29"/>
  <c r="O82" i="29"/>
  <c r="V82" i="29" s="1"/>
  <c r="AR81" i="29"/>
  <c r="AP81" i="29"/>
  <c r="AO81" i="29"/>
  <c r="AM81" i="29"/>
  <c r="AJ81" i="29"/>
  <c r="AG81" i="29"/>
  <c r="AD81" i="29"/>
  <c r="O81" i="29"/>
  <c r="V81" i="29" s="1"/>
  <c r="AR80" i="29"/>
  <c r="AP80" i="29"/>
  <c r="AO80" i="29"/>
  <c r="AM80" i="29"/>
  <c r="AJ80" i="29"/>
  <c r="AG80" i="29"/>
  <c r="AD80" i="29"/>
  <c r="O80" i="29"/>
  <c r="V80" i="29" s="1"/>
  <c r="AR79" i="29"/>
  <c r="AP79" i="29"/>
  <c r="AO79" i="29"/>
  <c r="AM79" i="29"/>
  <c r="AL79" i="29"/>
  <c r="AJ79" i="29"/>
  <c r="AI79" i="29"/>
  <c r="AG79" i="29"/>
  <c r="AF79" i="29"/>
  <c r="AD79" i="29"/>
  <c r="AR78" i="29"/>
  <c r="AP78" i="29"/>
  <c r="AO78" i="29"/>
  <c r="AM78" i="29"/>
  <c r="AL78" i="29"/>
  <c r="AJ78" i="29"/>
  <c r="AI78" i="29"/>
  <c r="AG78" i="29"/>
  <c r="AF78" i="29"/>
  <c r="AD78" i="29"/>
  <c r="AR77" i="29"/>
  <c r="AP77" i="29"/>
  <c r="AO77" i="29"/>
  <c r="AM77" i="29"/>
  <c r="AJ77" i="29"/>
  <c r="AG77" i="29"/>
  <c r="AD77" i="29"/>
  <c r="O77" i="29"/>
  <c r="V77" i="29" s="1"/>
  <c r="AR76" i="29"/>
  <c r="AP76" i="29"/>
  <c r="AO76" i="29"/>
  <c r="AM76" i="29"/>
  <c r="AJ76" i="29"/>
  <c r="AG76" i="29"/>
  <c r="AD76" i="29"/>
  <c r="O76" i="29"/>
  <c r="V76" i="29" s="1"/>
  <c r="AR75" i="29"/>
  <c r="AP75" i="29"/>
  <c r="AO75" i="29"/>
  <c r="AM75" i="29"/>
  <c r="AJ75" i="29"/>
  <c r="AG75" i="29"/>
  <c r="AD75" i="29"/>
  <c r="O75" i="29"/>
  <c r="V75" i="29" s="1"/>
  <c r="AR74" i="29"/>
  <c r="AP74" i="29"/>
  <c r="AO74" i="29"/>
  <c r="AM74" i="29"/>
  <c r="AJ74" i="29"/>
  <c r="AG74" i="29"/>
  <c r="AD74" i="29"/>
  <c r="O74" i="29"/>
  <c r="V74" i="29" s="1"/>
  <c r="AR73" i="29"/>
  <c r="AP73" i="29"/>
  <c r="AO73" i="29"/>
  <c r="AM73" i="29"/>
  <c r="AJ73" i="29"/>
  <c r="AG73" i="29"/>
  <c r="AD73" i="29"/>
  <c r="O73" i="29"/>
  <c r="AR72" i="29"/>
  <c r="AP72" i="29"/>
  <c r="AO72" i="29"/>
  <c r="AM72" i="29"/>
  <c r="AJ72" i="29"/>
  <c r="AG72" i="29"/>
  <c r="AD72" i="29"/>
  <c r="O72" i="29"/>
  <c r="V72" i="29" s="1"/>
  <c r="AF72" i="29"/>
  <c r="AR71" i="29"/>
  <c r="AP71" i="29"/>
  <c r="AO71" i="29"/>
  <c r="AM71" i="29"/>
  <c r="AJ71" i="29"/>
  <c r="AG71" i="29"/>
  <c r="AD71" i="29"/>
  <c r="O71" i="29"/>
  <c r="V71" i="29" s="1"/>
  <c r="AR70" i="29"/>
  <c r="AP70" i="29"/>
  <c r="AO70" i="29"/>
  <c r="AM70" i="29"/>
  <c r="AL70" i="29"/>
  <c r="AJ70" i="29"/>
  <c r="AI70" i="29"/>
  <c r="AG70" i="29"/>
  <c r="AF70" i="29"/>
  <c r="AD70" i="29"/>
  <c r="AR69" i="29"/>
  <c r="AP69" i="29"/>
  <c r="AO69" i="29"/>
  <c r="AM69" i="29"/>
  <c r="AL69" i="29"/>
  <c r="AJ69" i="29"/>
  <c r="AI69" i="29"/>
  <c r="AG69" i="29"/>
  <c r="AF69" i="29"/>
  <c r="AD69" i="29"/>
  <c r="AR68" i="29"/>
  <c r="AP68" i="29"/>
  <c r="AO68" i="29"/>
  <c r="AM68" i="29"/>
  <c r="AL68" i="29"/>
  <c r="AJ68" i="29"/>
  <c r="AK68" i="29" s="1"/>
  <c r="AI68" i="29"/>
  <c r="AG68" i="29"/>
  <c r="AF68" i="29"/>
  <c r="AD68" i="29"/>
  <c r="AR67" i="29"/>
  <c r="AP67" i="29"/>
  <c r="AO67" i="29"/>
  <c r="AM67" i="29"/>
  <c r="AL67" i="29"/>
  <c r="AJ67" i="29"/>
  <c r="AI67" i="29"/>
  <c r="AG67" i="29"/>
  <c r="AF67" i="29"/>
  <c r="AD67" i="29"/>
  <c r="AR66" i="29"/>
  <c r="AP66" i="29"/>
  <c r="AO66" i="29"/>
  <c r="AM66" i="29"/>
  <c r="AJ66" i="29"/>
  <c r="AG66" i="29"/>
  <c r="AD66" i="29"/>
  <c r="O66" i="29"/>
  <c r="AR65" i="29"/>
  <c r="AP65" i="29"/>
  <c r="AO65" i="29"/>
  <c r="AM65" i="29"/>
  <c r="AJ65" i="29"/>
  <c r="AG65" i="29"/>
  <c r="AD65" i="29"/>
  <c r="O65" i="29"/>
  <c r="V65" i="29" s="1"/>
  <c r="AR64" i="29"/>
  <c r="AP64" i="29"/>
  <c r="AO64" i="29"/>
  <c r="AM64" i="29"/>
  <c r="AJ64" i="29"/>
  <c r="AG64" i="29"/>
  <c r="AD64" i="29"/>
  <c r="O64" i="29"/>
  <c r="V64" i="29" s="1"/>
  <c r="AR63" i="29"/>
  <c r="AP63" i="29"/>
  <c r="AO63" i="29"/>
  <c r="AM63" i="29"/>
  <c r="AJ63" i="29"/>
  <c r="AG63" i="29"/>
  <c r="AD63" i="29"/>
  <c r="O63" i="29"/>
  <c r="V63" i="29" s="1"/>
  <c r="AR62" i="29"/>
  <c r="AP62" i="29"/>
  <c r="AO62" i="29"/>
  <c r="AM62" i="29"/>
  <c r="AJ62" i="29"/>
  <c r="AG62" i="29"/>
  <c r="AD62" i="29"/>
  <c r="O62" i="29"/>
  <c r="AR61" i="29"/>
  <c r="AP61" i="29"/>
  <c r="AO61" i="29"/>
  <c r="AM61" i="29"/>
  <c r="AJ61" i="29"/>
  <c r="AG61" i="29"/>
  <c r="AD61" i="29"/>
  <c r="O61" i="29"/>
  <c r="AR60" i="29"/>
  <c r="AP60" i="29"/>
  <c r="AO60" i="29"/>
  <c r="AM60" i="29"/>
  <c r="AJ60" i="29"/>
  <c r="AG60" i="29"/>
  <c r="AD60" i="29"/>
  <c r="O60" i="29"/>
  <c r="V60" i="29" s="1"/>
  <c r="AR59" i="29"/>
  <c r="AP59" i="29"/>
  <c r="AO59" i="29"/>
  <c r="AM59" i="29"/>
  <c r="AJ59" i="29"/>
  <c r="AG59" i="29"/>
  <c r="AD59" i="29"/>
  <c r="O59" i="29"/>
  <c r="V59" i="29" s="1"/>
  <c r="AR58" i="29"/>
  <c r="AP58" i="29"/>
  <c r="AO58" i="29"/>
  <c r="AM58" i="29"/>
  <c r="AJ58" i="29"/>
  <c r="AG58" i="29"/>
  <c r="AD58" i="29"/>
  <c r="O58" i="29"/>
  <c r="V58" i="29" s="1"/>
  <c r="AR57" i="29"/>
  <c r="AP57" i="29"/>
  <c r="AO57" i="29"/>
  <c r="AM57" i="29"/>
  <c r="AJ57" i="29"/>
  <c r="AG57" i="29"/>
  <c r="AD57" i="29"/>
  <c r="O57" i="29"/>
  <c r="V57" i="29" s="1"/>
  <c r="AR56" i="29"/>
  <c r="AP56" i="29"/>
  <c r="AO56" i="29"/>
  <c r="AM56" i="29"/>
  <c r="AJ56" i="29"/>
  <c r="AG56" i="29"/>
  <c r="AD56" i="29"/>
  <c r="O56" i="29"/>
  <c r="V56" i="29" s="1"/>
  <c r="AR55" i="29"/>
  <c r="AP55" i="29"/>
  <c r="AO55" i="29"/>
  <c r="AM55" i="29"/>
  <c r="AJ55" i="29"/>
  <c r="AG55" i="29"/>
  <c r="AD55" i="29"/>
  <c r="O55" i="29"/>
  <c r="V55" i="29" s="1"/>
  <c r="AR54" i="29"/>
  <c r="AP54" i="29"/>
  <c r="AO54" i="29"/>
  <c r="AM54" i="29"/>
  <c r="AJ54" i="29"/>
  <c r="AG54" i="29"/>
  <c r="AD54" i="29"/>
  <c r="O54" i="29"/>
  <c r="V54" i="29" s="1"/>
  <c r="AF54" i="29"/>
  <c r="AR53" i="29"/>
  <c r="AP53" i="29"/>
  <c r="AO53" i="29"/>
  <c r="AM53" i="29"/>
  <c r="AJ53" i="29"/>
  <c r="AG53" i="29"/>
  <c r="AD53" i="29"/>
  <c r="O53" i="29"/>
  <c r="V53" i="29" s="1"/>
  <c r="AR52" i="29"/>
  <c r="AP52" i="29"/>
  <c r="AO52" i="29"/>
  <c r="AM52" i="29"/>
  <c r="AJ52" i="29"/>
  <c r="AG52" i="29"/>
  <c r="AD52" i="29"/>
  <c r="O52" i="29"/>
  <c r="V52" i="29" s="1"/>
  <c r="AR51" i="29"/>
  <c r="AP51" i="29"/>
  <c r="AO51" i="29"/>
  <c r="AM51" i="29"/>
  <c r="AJ51" i="29"/>
  <c r="AG51" i="29"/>
  <c r="AD51" i="29"/>
  <c r="O51" i="29"/>
  <c r="V51" i="29" s="1"/>
  <c r="AR50" i="29"/>
  <c r="AP50" i="29"/>
  <c r="AO50" i="29"/>
  <c r="AM50" i="29"/>
  <c r="AJ50" i="29"/>
  <c r="AG50" i="29"/>
  <c r="AD50" i="29"/>
  <c r="O50" i="29"/>
  <c r="V50" i="29" s="1"/>
  <c r="AR49" i="29"/>
  <c r="AP49" i="29"/>
  <c r="AO49" i="29"/>
  <c r="AM49" i="29"/>
  <c r="AJ49" i="29"/>
  <c r="AG49" i="29"/>
  <c r="AD49" i="29"/>
  <c r="O49" i="29"/>
  <c r="V49" i="29" s="1"/>
  <c r="AR48" i="29"/>
  <c r="AP48" i="29"/>
  <c r="AO48" i="29"/>
  <c r="AM48" i="29"/>
  <c r="AJ48" i="29"/>
  <c r="AG48" i="29"/>
  <c r="AD48" i="29"/>
  <c r="O48" i="29"/>
  <c r="V48" i="29" s="1"/>
  <c r="AR47" i="29"/>
  <c r="AP47" i="29"/>
  <c r="AO47" i="29"/>
  <c r="AM47" i="29"/>
  <c r="AJ47" i="29"/>
  <c r="AG47" i="29"/>
  <c r="AD47" i="29"/>
  <c r="O47" i="29"/>
  <c r="V47" i="29" s="1"/>
  <c r="AR46" i="29"/>
  <c r="AP46" i="29"/>
  <c r="AO46" i="29"/>
  <c r="AM46" i="29"/>
  <c r="AJ46" i="29"/>
  <c r="AG46" i="29"/>
  <c r="AD46" i="29"/>
  <c r="O46" i="29"/>
  <c r="V46" i="29" s="1"/>
  <c r="AR45" i="29"/>
  <c r="AP45" i="29"/>
  <c r="AO45" i="29"/>
  <c r="AM45" i="29"/>
  <c r="AJ45" i="29"/>
  <c r="AG45" i="29"/>
  <c r="AD45" i="29"/>
  <c r="O45" i="29"/>
  <c r="V45" i="29" s="1"/>
  <c r="AR44" i="29"/>
  <c r="AP44" i="29"/>
  <c r="AO44" i="29"/>
  <c r="AM44" i="29"/>
  <c r="AL44" i="29"/>
  <c r="AJ44" i="29"/>
  <c r="AI44" i="29"/>
  <c r="AG44" i="29"/>
  <c r="AF44" i="29"/>
  <c r="AD44" i="29"/>
  <c r="AR43" i="29"/>
  <c r="AP43" i="29"/>
  <c r="AO43" i="29"/>
  <c r="AM43" i="29"/>
  <c r="AL43" i="29"/>
  <c r="AJ43" i="29"/>
  <c r="AI43" i="29"/>
  <c r="AG43" i="29"/>
  <c r="AF43" i="29"/>
  <c r="AD43" i="29"/>
  <c r="AR42" i="29"/>
  <c r="AP42" i="29"/>
  <c r="AO42" i="29"/>
  <c r="AM42" i="29"/>
  <c r="AJ42" i="29"/>
  <c r="AG42" i="29"/>
  <c r="AD42" i="29"/>
  <c r="O42" i="29"/>
  <c r="V42" i="29" s="1"/>
  <c r="AR41" i="29"/>
  <c r="AP41" i="29"/>
  <c r="AO41" i="29"/>
  <c r="AM41" i="29"/>
  <c r="AJ41" i="29"/>
  <c r="AG41" i="29"/>
  <c r="AD41" i="29"/>
  <c r="O41" i="29"/>
  <c r="V41" i="29" s="1"/>
  <c r="AR40" i="29"/>
  <c r="AP40" i="29"/>
  <c r="AQ40" i="29" s="1"/>
  <c r="AO40" i="29"/>
  <c r="AM40" i="29"/>
  <c r="AJ40" i="29"/>
  <c r="AG40" i="29"/>
  <c r="AD40" i="29"/>
  <c r="O40" i="29"/>
  <c r="V40" i="29" s="1"/>
  <c r="AR39" i="29"/>
  <c r="AP39" i="29"/>
  <c r="AO39" i="29"/>
  <c r="AM39" i="29"/>
  <c r="AJ39" i="29"/>
  <c r="AG39" i="29"/>
  <c r="AD39" i="29"/>
  <c r="O39" i="29"/>
  <c r="V39" i="29" s="1"/>
  <c r="AR38" i="29"/>
  <c r="AP38" i="29"/>
  <c r="AO38" i="29"/>
  <c r="AM38" i="29"/>
  <c r="AJ38" i="29"/>
  <c r="AG38" i="29"/>
  <c r="AD38" i="29"/>
  <c r="O38" i="29"/>
  <c r="V38" i="29" s="1"/>
  <c r="AR37" i="29"/>
  <c r="AP37" i="29"/>
  <c r="AO37" i="29"/>
  <c r="AM37" i="29"/>
  <c r="AJ37" i="29"/>
  <c r="AG37" i="29"/>
  <c r="AD37" i="29"/>
  <c r="O37" i="29"/>
  <c r="V37" i="29" s="1"/>
  <c r="AR36" i="29"/>
  <c r="AP36" i="29"/>
  <c r="AO36" i="29"/>
  <c r="AM36" i="29"/>
  <c r="AJ36" i="29"/>
  <c r="AG36" i="29"/>
  <c r="AD36" i="29"/>
  <c r="O36" i="29"/>
  <c r="V36" i="29" s="1"/>
  <c r="AR35" i="29"/>
  <c r="AP35" i="29"/>
  <c r="AO35" i="29"/>
  <c r="AM35" i="29"/>
  <c r="AJ35" i="29"/>
  <c r="AG35" i="29"/>
  <c r="AD35" i="29"/>
  <c r="O35" i="29"/>
  <c r="V35" i="29" s="1"/>
  <c r="AR34" i="29"/>
  <c r="AP34" i="29"/>
  <c r="AO34" i="29"/>
  <c r="AM34" i="29"/>
  <c r="AL34" i="29"/>
  <c r="AJ34" i="29"/>
  <c r="AI34" i="29"/>
  <c r="AG34" i="29"/>
  <c r="AF34" i="29"/>
  <c r="AD34" i="29"/>
  <c r="AR33" i="29"/>
  <c r="AP33" i="29"/>
  <c r="AO33" i="29"/>
  <c r="AM33" i="29"/>
  <c r="AL33" i="29"/>
  <c r="AK33" i="29" s="1"/>
  <c r="AJ33" i="29"/>
  <c r="AI33" i="29"/>
  <c r="AG33" i="29"/>
  <c r="AF33" i="29"/>
  <c r="AD33" i="29"/>
  <c r="AR32" i="29"/>
  <c r="AP32" i="29"/>
  <c r="AO32" i="29"/>
  <c r="AM32" i="29"/>
  <c r="AJ32" i="29"/>
  <c r="AG32" i="29"/>
  <c r="AD32" i="29"/>
  <c r="O32" i="29"/>
  <c r="V32" i="29" s="1"/>
  <c r="AR31" i="29"/>
  <c r="AP31" i="29"/>
  <c r="AO31" i="29"/>
  <c r="AM31" i="29"/>
  <c r="AJ31" i="29"/>
  <c r="AG31" i="29"/>
  <c r="AD31" i="29"/>
  <c r="O31" i="29"/>
  <c r="V31" i="29" s="1"/>
  <c r="AR30" i="29"/>
  <c r="AP30" i="29"/>
  <c r="AO30" i="29"/>
  <c r="AM30" i="29"/>
  <c r="AJ30" i="29"/>
  <c r="AG30" i="29"/>
  <c r="AD30" i="29"/>
  <c r="O30" i="29"/>
  <c r="V30" i="29" s="1"/>
  <c r="AR29" i="29"/>
  <c r="AP29" i="29"/>
  <c r="AO29" i="29"/>
  <c r="AM29" i="29"/>
  <c r="AJ29" i="29"/>
  <c r="AG29" i="29"/>
  <c r="AD29" i="29"/>
  <c r="O29" i="29"/>
  <c r="V29" i="29" s="1"/>
  <c r="AR28" i="29"/>
  <c r="AP28" i="29"/>
  <c r="AO28" i="29"/>
  <c r="AM28" i="29"/>
  <c r="AJ28" i="29"/>
  <c r="AG28" i="29"/>
  <c r="AD28" i="29"/>
  <c r="O28" i="29"/>
  <c r="AR27" i="29"/>
  <c r="AP27" i="29"/>
  <c r="AO27" i="29"/>
  <c r="AM27" i="29"/>
  <c r="AJ27" i="29"/>
  <c r="AG27" i="29"/>
  <c r="AD27" i="29"/>
  <c r="O27" i="29"/>
  <c r="V27" i="29" s="1"/>
  <c r="AL27" i="29" s="1"/>
  <c r="AR26" i="29"/>
  <c r="AP26" i="29"/>
  <c r="AO26" i="29"/>
  <c r="AM26" i="29"/>
  <c r="AJ26" i="29"/>
  <c r="AD26" i="29"/>
  <c r="O26" i="29"/>
  <c r="V26" i="29" s="1"/>
  <c r="AC26" i="29" s="1"/>
  <c r="AR25" i="29"/>
  <c r="AP25" i="29"/>
  <c r="AO25" i="29"/>
  <c r="AO255" i="29" s="1"/>
  <c r="AM25" i="29"/>
  <c r="AJ25" i="29"/>
  <c r="AD25" i="29"/>
  <c r="O25" i="29"/>
  <c r="V25" i="29" s="1"/>
  <c r="AL25" i="29" s="1"/>
  <c r="AR24" i="29"/>
  <c r="AP24" i="29"/>
  <c r="AO24" i="29"/>
  <c r="AM24" i="29"/>
  <c r="AJ24" i="29"/>
  <c r="AG24" i="29"/>
  <c r="AD24" i="29"/>
  <c r="O24" i="29"/>
  <c r="V24" i="29" s="1"/>
  <c r="AR23" i="29"/>
  <c r="AP23" i="29"/>
  <c r="AO23" i="29"/>
  <c r="AM23" i="29"/>
  <c r="AJ23" i="29"/>
  <c r="AG23" i="29"/>
  <c r="AD23" i="29"/>
  <c r="O23" i="29"/>
  <c r="V23" i="29" s="1"/>
  <c r="AF23" i="29"/>
  <c r="AR22" i="29"/>
  <c r="AP22" i="29"/>
  <c r="AO22" i="29"/>
  <c r="AM22" i="29"/>
  <c r="AL22" i="29"/>
  <c r="AJ22" i="29"/>
  <c r="AI22" i="29"/>
  <c r="AG22" i="29"/>
  <c r="AF22" i="29"/>
  <c r="AD22" i="29"/>
  <c r="AR21" i="29"/>
  <c r="AP21" i="29"/>
  <c r="AO21" i="29"/>
  <c r="AM21" i="29"/>
  <c r="AL21" i="29"/>
  <c r="AJ21" i="29"/>
  <c r="AI21" i="29"/>
  <c r="AG21" i="29"/>
  <c r="AF21" i="29"/>
  <c r="AD21" i="29"/>
  <c r="AR20" i="29"/>
  <c r="AP20" i="29"/>
  <c r="AO20" i="29"/>
  <c r="AM20" i="29"/>
  <c r="AL20" i="29"/>
  <c r="AJ20" i="29"/>
  <c r="AI20" i="29"/>
  <c r="AG20" i="29"/>
  <c r="AF20" i="29"/>
  <c r="AD20" i="29"/>
  <c r="AR19" i="29"/>
  <c r="AP19" i="29"/>
  <c r="AO19" i="29"/>
  <c r="AM19" i="29"/>
  <c r="AL19" i="29"/>
  <c r="AJ19" i="29"/>
  <c r="AI19" i="29"/>
  <c r="AG19" i="29"/>
  <c r="AF19" i="29"/>
  <c r="AD19" i="29"/>
  <c r="AR18" i="29"/>
  <c r="AP18" i="29"/>
  <c r="AO18" i="29"/>
  <c r="AM18" i="29"/>
  <c r="AL18" i="29"/>
  <c r="AJ18" i="29"/>
  <c r="AI18" i="29"/>
  <c r="AG18" i="29"/>
  <c r="AF18" i="29"/>
  <c r="AD18" i="29"/>
  <c r="AR17" i="29"/>
  <c r="AP17" i="29"/>
  <c r="AO17" i="29"/>
  <c r="AM17" i="29"/>
  <c r="AJ17" i="29"/>
  <c r="AG17" i="29"/>
  <c r="AD17" i="29"/>
  <c r="O17" i="29"/>
  <c r="V17" i="29" s="1"/>
  <c r="AR16" i="29"/>
  <c r="AP16" i="29"/>
  <c r="AO16" i="29"/>
  <c r="AM16" i="29"/>
  <c r="O16" i="29"/>
  <c r="V16" i="29" s="1"/>
  <c r="AD16" i="29"/>
  <c r="AR15" i="29"/>
  <c r="AP15" i="29"/>
  <c r="AO15" i="29"/>
  <c r="AM15" i="29"/>
  <c r="O15" i="29"/>
  <c r="V15" i="29" s="1"/>
  <c r="AR14" i="29"/>
  <c r="AP14" i="29"/>
  <c r="AO14" i="29"/>
  <c r="AM14" i="29"/>
  <c r="AJ14" i="29"/>
  <c r="AG14" i="29"/>
  <c r="AD14" i="29"/>
  <c r="O14" i="29"/>
  <c r="V14" i="29" s="1"/>
  <c r="AR13" i="29"/>
  <c r="AP13" i="29"/>
  <c r="AO13" i="29"/>
  <c r="AM13" i="29"/>
  <c r="O13" i="29"/>
  <c r="V13" i="29" s="1"/>
  <c r="AR12" i="29"/>
  <c r="AP12" i="29"/>
  <c r="AO12" i="29"/>
  <c r="AM12" i="29"/>
  <c r="AJ12" i="29"/>
  <c r="AG12" i="29"/>
  <c r="AD12" i="29"/>
  <c r="O12" i="29"/>
  <c r="V12" i="29" s="1"/>
  <c r="AR11" i="29"/>
  <c r="AP11" i="29"/>
  <c r="AO11" i="29"/>
  <c r="AM11" i="29"/>
  <c r="AL11" i="29"/>
  <c r="AJ11" i="29"/>
  <c r="AI11" i="29"/>
  <c r="AG11" i="29"/>
  <c r="AF11" i="29"/>
  <c r="AD11" i="29"/>
  <c r="AR10" i="29"/>
  <c r="AP10" i="29"/>
  <c r="AO10" i="29"/>
  <c r="AM10" i="29"/>
  <c r="AL10" i="29"/>
  <c r="AJ10" i="29"/>
  <c r="AI10" i="29"/>
  <c r="AG10" i="29"/>
  <c r="AF10" i="29"/>
  <c r="AD10" i="29"/>
  <c r="B10" i="29"/>
  <c r="B11" i="29" s="1"/>
  <c r="B12" i="29" s="1"/>
  <c r="B13" i="29" s="1"/>
  <c r="B14" i="29" s="1"/>
  <c r="B15" i="29" s="1"/>
  <c r="B16" i="29" s="1"/>
  <c r="B17" i="29" s="1"/>
  <c r="B18" i="29" s="1"/>
  <c r="B19" i="29" s="1"/>
  <c r="B20" i="29" s="1"/>
  <c r="B21" i="29" s="1"/>
  <c r="B22" i="29" s="1"/>
  <c r="B23" i="29" s="1"/>
  <c r="B24" i="29" s="1"/>
  <c r="B25" i="29" s="1"/>
  <c r="B26" i="29" s="1"/>
  <c r="B27" i="29" s="1"/>
  <c r="B28" i="29" s="1"/>
  <c r="B29" i="29" s="1"/>
  <c r="B30" i="29" s="1"/>
  <c r="B31" i="29" s="1"/>
  <c r="B32" i="29" s="1"/>
  <c r="B33" i="29" s="1"/>
  <c r="B34" i="29" s="1"/>
  <c r="B35" i="29" s="1"/>
  <c r="B36" i="29" s="1"/>
  <c r="B37" i="29" s="1"/>
  <c r="B38" i="29" s="1"/>
  <c r="B39" i="29" s="1"/>
  <c r="B40" i="29" s="1"/>
  <c r="B41" i="29" s="1"/>
  <c r="B42" i="29" s="1"/>
  <c r="B43" i="29" s="1"/>
  <c r="B44" i="29" s="1"/>
  <c r="B45" i="29" s="1"/>
  <c r="B46" i="29" s="1"/>
  <c r="B47" i="29" s="1"/>
  <c r="B48" i="29" s="1"/>
  <c r="B49" i="29" s="1"/>
  <c r="B50" i="29" s="1"/>
  <c r="B51" i="29" s="1"/>
  <c r="B52" i="29" s="1"/>
  <c r="B53" i="29" s="1"/>
  <c r="B54" i="29" s="1"/>
  <c r="B55" i="29" s="1"/>
  <c r="B56" i="29" s="1"/>
  <c r="B57" i="29" s="1"/>
  <c r="B58" i="29" s="1"/>
  <c r="B59" i="29" s="1"/>
  <c r="B60" i="29" s="1"/>
  <c r="B61" i="29" s="1"/>
  <c r="B62" i="29" s="1"/>
  <c r="B63" i="29" s="1"/>
  <c r="B64" i="29" s="1"/>
  <c r="B65" i="29" s="1"/>
  <c r="B66" i="29" s="1"/>
  <c r="B67" i="29" s="1"/>
  <c r="B68" i="29" s="1"/>
  <c r="B69" i="29" s="1"/>
  <c r="B70" i="29" s="1"/>
  <c r="B71" i="29" s="1"/>
  <c r="B72" i="29" s="1"/>
  <c r="B73" i="29" s="1"/>
  <c r="B74" i="29" s="1"/>
  <c r="B75" i="29" s="1"/>
  <c r="B76" i="29" s="1"/>
  <c r="B77" i="29" s="1"/>
  <c r="B78" i="29" s="1"/>
  <c r="B79" i="29" s="1"/>
  <c r="B80" i="29" s="1"/>
  <c r="B81" i="29" s="1"/>
  <c r="B82" i="29" s="1"/>
  <c r="B83" i="29" s="1"/>
  <c r="B84" i="29" s="1"/>
  <c r="B85" i="29" s="1"/>
  <c r="B86" i="29" s="1"/>
  <c r="B87" i="29" s="1"/>
  <c r="B88" i="29" s="1"/>
  <c r="B89" i="29" s="1"/>
  <c r="B90" i="29" s="1"/>
  <c r="B91" i="29" s="1"/>
  <c r="B92" i="29" s="1"/>
  <c r="B93" i="29" s="1"/>
  <c r="B94" i="29" s="1"/>
  <c r="B95" i="29" s="1"/>
  <c r="B96" i="29" s="1"/>
  <c r="B97" i="29" s="1"/>
  <c r="B98" i="29" s="1"/>
  <c r="B99" i="29" s="1"/>
  <c r="B100" i="29" s="1"/>
  <c r="B101" i="29" s="1"/>
  <c r="B102" i="29" s="1"/>
  <c r="B103" i="29" s="1"/>
  <c r="B104" i="29" s="1"/>
  <c r="B105" i="29" s="1"/>
  <c r="B106" i="29" s="1"/>
  <c r="B107" i="29" s="1"/>
  <c r="B108" i="29" s="1"/>
  <c r="B109" i="29" s="1"/>
  <c r="B110" i="29" s="1"/>
  <c r="B111" i="29" s="1"/>
  <c r="B112" i="29" s="1"/>
  <c r="B113" i="29" s="1"/>
  <c r="B114" i="29" s="1"/>
  <c r="B115" i="29" s="1"/>
  <c r="B116" i="29" s="1"/>
  <c r="B117" i="29" s="1"/>
  <c r="B118" i="29" s="1"/>
  <c r="B119" i="29" s="1"/>
  <c r="B120" i="29" s="1"/>
  <c r="B121" i="29" s="1"/>
  <c r="B122" i="29" s="1"/>
  <c r="B123" i="29" s="1"/>
  <c r="B124" i="29" s="1"/>
  <c r="B125" i="29" s="1"/>
  <c r="B126" i="29" s="1"/>
  <c r="B127" i="29" s="1"/>
  <c r="B128" i="29" s="1"/>
  <c r="B129" i="29" s="1"/>
  <c r="B130" i="29" s="1"/>
  <c r="B131" i="29" s="1"/>
  <c r="B132" i="29" s="1"/>
  <c r="B133" i="29" s="1"/>
  <c r="B134" i="29" s="1"/>
  <c r="B135" i="29" s="1"/>
  <c r="B136" i="29" s="1"/>
  <c r="B137" i="29" s="1"/>
  <c r="B138" i="29" s="1"/>
  <c r="B139" i="29" s="1"/>
  <c r="B140" i="29" s="1"/>
  <c r="B141" i="29" s="1"/>
  <c r="B142" i="29" s="1"/>
  <c r="B143" i="29" s="1"/>
  <c r="B144" i="29" s="1"/>
  <c r="B145" i="29" s="1"/>
  <c r="B146" i="29" s="1"/>
  <c r="B147" i="29" s="1"/>
  <c r="B148" i="29" s="1"/>
  <c r="B149" i="29" s="1"/>
  <c r="B150" i="29" s="1"/>
  <c r="B151" i="29" s="1"/>
  <c r="B152" i="29" s="1"/>
  <c r="B153" i="29" s="1"/>
  <c r="B154" i="29" s="1"/>
  <c r="AR9" i="29"/>
  <c r="AP9" i="29"/>
  <c r="AO9" i="29"/>
  <c r="AM9" i="29"/>
  <c r="AJ9" i="29"/>
  <c r="AG9" i="29"/>
  <c r="AD9" i="29"/>
  <c r="S9" i="29"/>
  <c r="O9" i="29"/>
  <c r="V9" i="29" s="1"/>
  <c r="Y3" i="29"/>
  <c r="AR81" i="27"/>
  <c r="AP81" i="27"/>
  <c r="AO81" i="27"/>
  <c r="AM81" i="27"/>
  <c r="AL81" i="27"/>
  <c r="AJ81" i="27"/>
  <c r="AI81" i="27"/>
  <c r="AG81" i="27"/>
  <c r="AF81" i="27"/>
  <c r="AD81" i="27"/>
  <c r="AR80" i="27"/>
  <c r="AP80" i="27"/>
  <c r="AO80" i="27"/>
  <c r="AM80" i="27"/>
  <c r="AL80" i="27"/>
  <c r="AJ80" i="27"/>
  <c r="AI80" i="27"/>
  <c r="AG80" i="27"/>
  <c r="AF80" i="27"/>
  <c r="AD80" i="27"/>
  <c r="AR79" i="27"/>
  <c r="AP79" i="27"/>
  <c r="AO79" i="27"/>
  <c r="AM79" i="27"/>
  <c r="AL79" i="27"/>
  <c r="AJ79" i="27"/>
  <c r="AI79" i="27"/>
  <c r="AG79" i="27"/>
  <c r="AF79" i="27"/>
  <c r="AD79" i="27"/>
  <c r="AR78" i="27"/>
  <c r="AP78" i="27"/>
  <c r="AO78" i="27"/>
  <c r="AM78" i="27"/>
  <c r="AL78" i="27"/>
  <c r="AJ78" i="27"/>
  <c r="AI78" i="27"/>
  <c r="AG78" i="27"/>
  <c r="AF78" i="27"/>
  <c r="AD78" i="27"/>
  <c r="AR77" i="27"/>
  <c r="AP77" i="27"/>
  <c r="AO77" i="27"/>
  <c r="AM77" i="27"/>
  <c r="AN77" i="27" s="1"/>
  <c r="AL77" i="27"/>
  <c r="AJ77" i="27"/>
  <c r="AI77" i="27"/>
  <c r="AG77" i="27"/>
  <c r="AF77" i="27"/>
  <c r="AD77" i="27"/>
  <c r="AR76" i="27"/>
  <c r="AP76" i="27"/>
  <c r="AO76" i="27"/>
  <c r="AM76" i="27"/>
  <c r="AL76" i="27"/>
  <c r="AJ76" i="27"/>
  <c r="AI76" i="27"/>
  <c r="AG76" i="27"/>
  <c r="AF76" i="27"/>
  <c r="AD76" i="27"/>
  <c r="AR75" i="27"/>
  <c r="AP75" i="27"/>
  <c r="AO75" i="27"/>
  <c r="AM75" i="27"/>
  <c r="AL75" i="27"/>
  <c r="AJ75" i="27"/>
  <c r="AI75" i="27"/>
  <c r="AG75" i="27"/>
  <c r="AF75" i="27"/>
  <c r="AD75" i="27"/>
  <c r="AR74" i="27"/>
  <c r="AP74" i="27"/>
  <c r="AO74" i="27"/>
  <c r="AM74" i="27"/>
  <c r="AD74" i="27"/>
  <c r="O74" i="27"/>
  <c r="AR73" i="27"/>
  <c r="AP73" i="27"/>
  <c r="AO73" i="27"/>
  <c r="AM73" i="27"/>
  <c r="AD73" i="27"/>
  <c r="O73" i="27"/>
  <c r="AF73" i="27" s="1"/>
  <c r="AE73" i="27" s="1"/>
  <c r="AR72" i="27"/>
  <c r="AP72" i="27"/>
  <c r="AO72" i="27"/>
  <c r="AM72" i="27"/>
  <c r="AN72" i="27" s="1"/>
  <c r="AD72" i="27"/>
  <c r="O72" i="27"/>
  <c r="V72" i="27" s="1"/>
  <c r="AL72" i="27" s="1"/>
  <c r="AK72" i="27" s="1"/>
  <c r="AR71" i="27"/>
  <c r="AP71" i="27"/>
  <c r="AO71" i="27"/>
  <c r="AM71" i="27"/>
  <c r="AD71" i="27"/>
  <c r="O71" i="27"/>
  <c r="AR70" i="27"/>
  <c r="AP70" i="27"/>
  <c r="AO70" i="27"/>
  <c r="AM70" i="27"/>
  <c r="AN70" i="27" s="1"/>
  <c r="AD70" i="27"/>
  <c r="O70" i="27"/>
  <c r="AR69" i="27"/>
  <c r="AP69" i="27"/>
  <c r="AO69" i="27"/>
  <c r="AM69" i="27"/>
  <c r="AD69" i="27"/>
  <c r="O69" i="27"/>
  <c r="AR68" i="27"/>
  <c r="AP68" i="27"/>
  <c r="AO68" i="27"/>
  <c r="AM68" i="27"/>
  <c r="AN68" i="27" s="1"/>
  <c r="AD68" i="27"/>
  <c r="O68" i="27"/>
  <c r="AR62" i="27"/>
  <c r="AP62" i="27"/>
  <c r="AO62" i="27"/>
  <c r="AM62" i="27"/>
  <c r="AN62" i="27" s="1"/>
  <c r="AD62" i="27"/>
  <c r="O62" i="27"/>
  <c r="AR61" i="27"/>
  <c r="AP61" i="27"/>
  <c r="AO61" i="27"/>
  <c r="AM61" i="27"/>
  <c r="AD61" i="27"/>
  <c r="O61" i="27"/>
  <c r="AR60" i="27"/>
  <c r="AP60" i="27"/>
  <c r="AO60" i="27"/>
  <c r="AM60" i="27"/>
  <c r="AN60" i="27" s="1"/>
  <c r="AD60" i="27"/>
  <c r="O60" i="27"/>
  <c r="V60" i="27" s="1"/>
  <c r="AL60" i="27" s="1"/>
  <c r="AR59" i="27"/>
  <c r="AP59" i="27"/>
  <c r="AO59" i="27"/>
  <c r="AM59" i="27"/>
  <c r="AD59" i="27"/>
  <c r="O59" i="27"/>
  <c r="V59" i="27" s="1"/>
  <c r="AR58" i="27"/>
  <c r="AP58" i="27"/>
  <c r="AO58" i="27"/>
  <c r="AM58" i="27"/>
  <c r="AD58" i="27"/>
  <c r="O58" i="27"/>
  <c r="AR57" i="27"/>
  <c r="AP57" i="27"/>
  <c r="AO57" i="27"/>
  <c r="AM57" i="27"/>
  <c r="AD57" i="27"/>
  <c r="O57" i="27"/>
  <c r="AF57" i="27" s="1"/>
  <c r="AE57" i="27" s="1"/>
  <c r="AR56" i="27"/>
  <c r="AP56" i="27"/>
  <c r="AO56" i="27"/>
  <c r="AM56" i="27"/>
  <c r="AD56" i="27"/>
  <c r="O56" i="27"/>
  <c r="V56" i="27" s="1"/>
  <c r="AL56" i="27" s="1"/>
  <c r="AR55" i="27"/>
  <c r="AP55" i="27"/>
  <c r="AO55" i="27"/>
  <c r="AM55" i="27"/>
  <c r="AD55" i="27"/>
  <c r="O55" i="27"/>
  <c r="V55" i="27" s="1"/>
  <c r="AR54" i="27"/>
  <c r="AP54" i="27"/>
  <c r="AO54" i="27"/>
  <c r="AM54" i="27"/>
  <c r="AD54" i="27"/>
  <c r="O54" i="27"/>
  <c r="V54" i="27" s="1"/>
  <c r="AL54" i="27" s="1"/>
  <c r="AK54" i="27" s="1"/>
  <c r="AR52" i="27"/>
  <c r="AP52" i="27"/>
  <c r="AO52" i="27"/>
  <c r="AM52" i="27"/>
  <c r="AD52" i="27"/>
  <c r="O52" i="27"/>
  <c r="AR49" i="27"/>
  <c r="AP49" i="27"/>
  <c r="AO49" i="27"/>
  <c r="AM49" i="27"/>
  <c r="AD49" i="27"/>
  <c r="O49" i="27"/>
  <c r="AR48" i="27"/>
  <c r="AP48" i="27"/>
  <c r="AO48" i="27"/>
  <c r="AM48" i="27"/>
  <c r="AD48" i="27"/>
  <c r="O48" i="27"/>
  <c r="V48" i="27" s="1"/>
  <c r="AR47" i="27"/>
  <c r="AP47" i="27"/>
  <c r="AO47" i="27"/>
  <c r="AM47" i="27"/>
  <c r="AN47" i="27" s="1"/>
  <c r="AD47" i="27"/>
  <c r="O47" i="27"/>
  <c r="AR46" i="27"/>
  <c r="AP46" i="27"/>
  <c r="AO46" i="27"/>
  <c r="AM46" i="27"/>
  <c r="AD46" i="27"/>
  <c r="O46" i="27"/>
  <c r="V46" i="27" s="1"/>
  <c r="AL46" i="27" s="1"/>
  <c r="AK46" i="27" s="1"/>
  <c r="AR45" i="27"/>
  <c r="AP45" i="27"/>
  <c r="AO45" i="27"/>
  <c r="AM45" i="27"/>
  <c r="AD45" i="27"/>
  <c r="O45" i="27"/>
  <c r="AR44" i="27"/>
  <c r="AP44" i="27"/>
  <c r="AQ44" i="27" s="1"/>
  <c r="AO44" i="27"/>
  <c r="AM44" i="27"/>
  <c r="AD44" i="27"/>
  <c r="O44" i="27"/>
  <c r="AR43" i="27"/>
  <c r="AP43" i="27"/>
  <c r="AO43" i="27"/>
  <c r="AM43" i="27"/>
  <c r="AN43" i="27" s="1"/>
  <c r="AL43" i="27"/>
  <c r="AJ43" i="27"/>
  <c r="AG43" i="27"/>
  <c r="AF43" i="27"/>
  <c r="AD43" i="27"/>
  <c r="AR42" i="27"/>
  <c r="AP42" i="27"/>
  <c r="AQ42" i="27" s="1"/>
  <c r="AO42" i="27"/>
  <c r="AM42" i="27"/>
  <c r="AJ42" i="27"/>
  <c r="AI42" i="27"/>
  <c r="AG42" i="27"/>
  <c r="AF42" i="27"/>
  <c r="AD42" i="27"/>
  <c r="AR41" i="27"/>
  <c r="AQ41" i="27" s="1"/>
  <c r="AP41" i="27"/>
  <c r="AO41" i="27"/>
  <c r="AM41" i="27"/>
  <c r="AD41" i="27"/>
  <c r="O41" i="27"/>
  <c r="V41" i="27" s="1"/>
  <c r="AL41" i="27" s="1"/>
  <c r="AR40" i="27"/>
  <c r="AP40" i="27"/>
  <c r="AO40" i="27"/>
  <c r="AN40" i="27" s="1"/>
  <c r="AM40" i="27"/>
  <c r="AD40" i="27"/>
  <c r="O40" i="27"/>
  <c r="AR39" i="27"/>
  <c r="AQ39" i="27" s="1"/>
  <c r="AP39" i="27"/>
  <c r="AO39" i="27"/>
  <c r="AM39" i="27"/>
  <c r="AD39" i="27"/>
  <c r="O39" i="27"/>
  <c r="AR38" i="27"/>
  <c r="AP38" i="27"/>
  <c r="AO38" i="27"/>
  <c r="AM38" i="27"/>
  <c r="AD38" i="27"/>
  <c r="O38" i="27"/>
  <c r="AR37" i="27"/>
  <c r="AP37" i="27"/>
  <c r="AO37" i="27"/>
  <c r="AM37" i="27"/>
  <c r="AD37" i="27"/>
  <c r="O37" i="27"/>
  <c r="V37" i="27" s="1"/>
  <c r="AL37" i="27" s="1"/>
  <c r="AK37" i="27" s="1"/>
  <c r="AR36" i="27"/>
  <c r="AP36" i="27"/>
  <c r="AO36" i="27"/>
  <c r="AM36" i="27"/>
  <c r="AD36" i="27"/>
  <c r="O36" i="27"/>
  <c r="V36" i="27" s="1"/>
  <c r="AR35" i="27"/>
  <c r="AR106" i="27" s="1"/>
  <c r="AP35" i="27"/>
  <c r="AO35" i="27"/>
  <c r="AM35" i="27"/>
  <c r="AD35" i="27"/>
  <c r="O35" i="27"/>
  <c r="AR34" i="27"/>
  <c r="AP34" i="27"/>
  <c r="AO34" i="27"/>
  <c r="AM34" i="27"/>
  <c r="AD34" i="27"/>
  <c r="O34" i="27"/>
  <c r="AR33" i="27"/>
  <c r="AP33" i="27"/>
  <c r="AO33" i="27"/>
  <c r="AM33" i="27"/>
  <c r="AD33" i="27"/>
  <c r="O33" i="27"/>
  <c r="V33" i="27" s="1"/>
  <c r="AL33" i="27" s="1"/>
  <c r="AK33" i="27" s="1"/>
  <c r="AR32" i="27"/>
  <c r="AP32" i="27"/>
  <c r="AO32" i="27"/>
  <c r="AM32" i="27"/>
  <c r="AD32" i="27"/>
  <c r="O32" i="27"/>
  <c r="V32" i="27" s="1"/>
  <c r="AR31" i="27"/>
  <c r="AP31" i="27"/>
  <c r="AO31" i="27"/>
  <c r="AM31" i="27"/>
  <c r="AD31" i="27"/>
  <c r="O31" i="27"/>
  <c r="V31" i="27" s="1"/>
  <c r="AR30" i="27"/>
  <c r="AP30" i="27"/>
  <c r="AO30" i="27"/>
  <c r="AM30" i="27"/>
  <c r="AD30" i="27"/>
  <c r="O30" i="27"/>
  <c r="AR29" i="27"/>
  <c r="AP29" i="27"/>
  <c r="AO29" i="27"/>
  <c r="AM29" i="27"/>
  <c r="AD29" i="27"/>
  <c r="AD105" i="27" s="1"/>
  <c r="O29" i="27"/>
  <c r="AR28" i="27"/>
  <c r="AP28" i="27"/>
  <c r="AO28" i="27"/>
  <c r="AN28" i="27" s="1"/>
  <c r="AM28" i="27"/>
  <c r="AD28" i="27"/>
  <c r="O28" i="27"/>
  <c r="V28" i="27" s="1"/>
  <c r="AR27" i="27"/>
  <c r="AP27" i="27"/>
  <c r="AO27" i="27"/>
  <c r="AM27" i="27"/>
  <c r="AD27" i="27"/>
  <c r="O27" i="27"/>
  <c r="AR26" i="27"/>
  <c r="AP26" i="27"/>
  <c r="AO26" i="27"/>
  <c r="AN26" i="27" s="1"/>
  <c r="AM26" i="27"/>
  <c r="AD26" i="27"/>
  <c r="O26" i="27"/>
  <c r="AR25" i="27"/>
  <c r="AP25" i="27"/>
  <c r="AO25" i="27"/>
  <c r="AM25" i="27"/>
  <c r="AD25" i="27"/>
  <c r="O25" i="27"/>
  <c r="V25" i="27" s="1"/>
  <c r="AL25" i="27" s="1"/>
  <c r="AR24" i="27"/>
  <c r="AP24" i="27"/>
  <c r="AO24" i="27"/>
  <c r="AM24" i="27"/>
  <c r="AD24" i="27"/>
  <c r="O24" i="27"/>
  <c r="AR23" i="27"/>
  <c r="AQ23" i="27" s="1"/>
  <c r="AP23" i="27"/>
  <c r="AO23" i="27"/>
  <c r="AM23" i="27"/>
  <c r="AD23" i="27"/>
  <c r="O23" i="27"/>
  <c r="AR22" i="27"/>
  <c r="AP22" i="27"/>
  <c r="AO22" i="27"/>
  <c r="AN22" i="27" s="1"/>
  <c r="AM22" i="27"/>
  <c r="AD22" i="27"/>
  <c r="O22" i="27"/>
  <c r="AR21" i="27"/>
  <c r="AQ21" i="27" s="1"/>
  <c r="AQ86" i="27" s="1"/>
  <c r="AP21" i="27"/>
  <c r="AO21" i="27"/>
  <c r="AM21" i="27"/>
  <c r="AD21" i="27"/>
  <c r="S21" i="27"/>
  <c r="O21" i="27"/>
  <c r="AR20" i="27"/>
  <c r="AP20" i="27"/>
  <c r="AQ20" i="27" s="1"/>
  <c r="AO20" i="27"/>
  <c r="AM20" i="27"/>
  <c r="AD20" i="27"/>
  <c r="O20" i="27"/>
  <c r="V20" i="27" s="1"/>
  <c r="AL20" i="27" s="1"/>
  <c r="AR19" i="27"/>
  <c r="AP19" i="27"/>
  <c r="AO19" i="27"/>
  <c r="AM19" i="27"/>
  <c r="AD19" i="27"/>
  <c r="O19" i="27"/>
  <c r="V19" i="27" s="1"/>
  <c r="AR18" i="27"/>
  <c r="AP18" i="27"/>
  <c r="AO18" i="27"/>
  <c r="AM18" i="27"/>
  <c r="AD18" i="27"/>
  <c r="O18" i="27"/>
  <c r="AF18" i="27" s="1"/>
  <c r="AR17" i="27"/>
  <c r="AP17" i="27"/>
  <c r="AO17" i="27"/>
  <c r="AM17" i="27"/>
  <c r="AD17" i="27"/>
  <c r="O17" i="27"/>
  <c r="V17" i="27" s="1"/>
  <c r="AR16" i="27"/>
  <c r="AP16" i="27"/>
  <c r="AQ16" i="27" s="1"/>
  <c r="AO16" i="27"/>
  <c r="AM16" i="27"/>
  <c r="AD16" i="27"/>
  <c r="O16" i="27"/>
  <c r="AR15" i="27"/>
  <c r="AP15" i="27"/>
  <c r="AO15" i="27"/>
  <c r="AM15" i="27"/>
  <c r="AN15" i="27" s="1"/>
  <c r="AD15" i="27"/>
  <c r="O15" i="27"/>
  <c r="V15" i="27" s="1"/>
  <c r="AR14" i="27"/>
  <c r="AP14" i="27"/>
  <c r="AQ14" i="27" s="1"/>
  <c r="AO14" i="27"/>
  <c r="AM14" i="27"/>
  <c r="AD14" i="27"/>
  <c r="O14" i="27"/>
  <c r="AR13" i="27"/>
  <c r="AP13" i="27"/>
  <c r="AO13" i="27"/>
  <c r="AM13" i="27"/>
  <c r="AN13" i="27" s="1"/>
  <c r="AD13" i="27"/>
  <c r="O13" i="27"/>
  <c r="V13" i="27" s="1"/>
  <c r="AR12" i="27"/>
  <c r="AP12" i="27"/>
  <c r="AP87" i="27" s="1"/>
  <c r="AO12" i="27"/>
  <c r="AM12" i="27"/>
  <c r="AD12" i="27"/>
  <c r="O12" i="27"/>
  <c r="V12" i="27" s="1"/>
  <c r="AL12" i="27" s="1"/>
  <c r="AR11" i="27"/>
  <c r="AP11" i="27"/>
  <c r="AO11" i="27"/>
  <c r="AM11" i="27"/>
  <c r="AD11" i="27"/>
  <c r="O11" i="27"/>
  <c r="AR10" i="27"/>
  <c r="AP10" i="27"/>
  <c r="AO10" i="27"/>
  <c r="AM10" i="27"/>
  <c r="AD10" i="27"/>
  <c r="O10" i="27"/>
  <c r="AF10" i="27" s="1"/>
  <c r="AE10" i="27" s="1"/>
  <c r="B10" i="27"/>
  <c r="B11" i="27" s="1"/>
  <c r="B12" i="27" s="1"/>
  <c r="B13" i="27" s="1"/>
  <c r="B14" i="27" s="1"/>
  <c r="B15" i="27" s="1"/>
  <c r="B16" i="27" s="1"/>
  <c r="B17" i="27" s="1"/>
  <c r="B18" i="27" s="1"/>
  <c r="B19" i="27" s="1"/>
  <c r="AR9" i="27"/>
  <c r="AP9" i="27"/>
  <c r="AO9" i="27"/>
  <c r="AN9" i="27" s="1"/>
  <c r="AM9" i="27"/>
  <c r="AJ9" i="27"/>
  <c r="AG9" i="27"/>
  <c r="AD9" i="27"/>
  <c r="S9" i="27"/>
  <c r="O9" i="27"/>
  <c r="V9" i="27" s="1"/>
  <c r="Y3" i="27"/>
  <c r="AR81" i="26"/>
  <c r="AP81" i="26"/>
  <c r="AO81" i="26"/>
  <c r="AM81" i="26"/>
  <c r="AL81" i="26"/>
  <c r="AJ81" i="26"/>
  <c r="AI81" i="26"/>
  <c r="AG81" i="26"/>
  <c r="AF81" i="26"/>
  <c r="AD81" i="26"/>
  <c r="AR80" i="26"/>
  <c r="AP80" i="26"/>
  <c r="AO80" i="26"/>
  <c r="AM80" i="26"/>
  <c r="AL80" i="26"/>
  <c r="AJ80" i="26"/>
  <c r="AI80" i="26"/>
  <c r="AG80" i="26"/>
  <c r="AF80" i="26"/>
  <c r="AD80" i="26"/>
  <c r="AR79" i="26"/>
  <c r="AP79" i="26"/>
  <c r="AO79" i="26"/>
  <c r="AM79" i="26"/>
  <c r="AL79" i="26"/>
  <c r="AJ79" i="26"/>
  <c r="AI79" i="26"/>
  <c r="AG79" i="26"/>
  <c r="AF79" i="26"/>
  <c r="AD79" i="26"/>
  <c r="AR78" i="26"/>
  <c r="AP78" i="26"/>
  <c r="AO78" i="26"/>
  <c r="AM78" i="26"/>
  <c r="AL78" i="26"/>
  <c r="AJ78" i="26"/>
  <c r="AI78" i="26"/>
  <c r="AG78" i="26"/>
  <c r="AF78" i="26"/>
  <c r="AD78" i="26"/>
  <c r="AR77" i="26"/>
  <c r="AP77" i="26"/>
  <c r="AO77" i="26"/>
  <c r="AM77" i="26"/>
  <c r="AL77" i="26"/>
  <c r="AJ77" i="26"/>
  <c r="AI77" i="26"/>
  <c r="AG77" i="26"/>
  <c r="AF77" i="26"/>
  <c r="AD77" i="26"/>
  <c r="AR76" i="26"/>
  <c r="AP76" i="26"/>
  <c r="AO76" i="26"/>
  <c r="AM76" i="26"/>
  <c r="AL76" i="26"/>
  <c r="AJ76" i="26"/>
  <c r="AI76" i="26"/>
  <c r="AG76" i="26"/>
  <c r="AF76" i="26"/>
  <c r="AD76" i="26"/>
  <c r="AR75" i="26"/>
  <c r="AP75" i="26"/>
  <c r="AO75" i="26"/>
  <c r="AM75" i="26"/>
  <c r="AL75" i="26"/>
  <c r="AJ75" i="26"/>
  <c r="AI75" i="26"/>
  <c r="AG75" i="26"/>
  <c r="AF75" i="26"/>
  <c r="AD75" i="26"/>
  <c r="AR74" i="26"/>
  <c r="AP74" i="26"/>
  <c r="AO74" i="26"/>
  <c r="AM74" i="26"/>
  <c r="AD74" i="26"/>
  <c r="O74" i="26"/>
  <c r="AF74" i="26" s="1"/>
  <c r="AR73" i="26"/>
  <c r="AP73" i="26"/>
  <c r="AO73" i="26"/>
  <c r="AM73" i="26"/>
  <c r="AD73" i="26"/>
  <c r="O73" i="26"/>
  <c r="AR72" i="26"/>
  <c r="AP72" i="26"/>
  <c r="AO72" i="26"/>
  <c r="AM72" i="26"/>
  <c r="AD72" i="26"/>
  <c r="O72" i="26"/>
  <c r="AF72" i="26" s="1"/>
  <c r="AR71" i="26"/>
  <c r="AP71" i="26"/>
  <c r="AO71" i="26"/>
  <c r="AM71" i="26"/>
  <c r="AD71" i="26"/>
  <c r="O71" i="26"/>
  <c r="V71" i="26" s="1"/>
  <c r="AR70" i="26"/>
  <c r="AP70" i="26"/>
  <c r="AO70" i="26"/>
  <c r="AM70" i="26"/>
  <c r="AD70" i="26"/>
  <c r="O70" i="26"/>
  <c r="AF70" i="26" s="1"/>
  <c r="AR69" i="26"/>
  <c r="AP69" i="26"/>
  <c r="AO69" i="26"/>
  <c r="AM69" i="26"/>
  <c r="AD69" i="26"/>
  <c r="O69" i="26"/>
  <c r="AR64" i="26"/>
  <c r="AP64" i="26"/>
  <c r="AO64" i="26"/>
  <c r="AM64" i="26"/>
  <c r="AD64" i="26"/>
  <c r="O64" i="26"/>
  <c r="AR63" i="26"/>
  <c r="AP63" i="26"/>
  <c r="AO63" i="26"/>
  <c r="AM63" i="26"/>
  <c r="AD63" i="26"/>
  <c r="O63" i="26"/>
  <c r="AF63" i="26" s="1"/>
  <c r="AR62" i="26"/>
  <c r="AP62" i="26"/>
  <c r="AO62" i="26"/>
  <c r="AM62" i="26"/>
  <c r="AD62" i="26"/>
  <c r="O62" i="26"/>
  <c r="AR61" i="26"/>
  <c r="AP61" i="26"/>
  <c r="AO61" i="26"/>
  <c r="AM61" i="26"/>
  <c r="AD61" i="26"/>
  <c r="O61" i="26"/>
  <c r="AR60" i="26"/>
  <c r="AP60" i="26"/>
  <c r="AO60" i="26"/>
  <c r="AM60" i="26"/>
  <c r="AD60" i="26"/>
  <c r="O60" i="26"/>
  <c r="AF60" i="26" s="1"/>
  <c r="AR59" i="26"/>
  <c r="AP59" i="26"/>
  <c r="AO59" i="26"/>
  <c r="AM59" i="26"/>
  <c r="AD59" i="26"/>
  <c r="O59" i="26"/>
  <c r="V59" i="26" s="1"/>
  <c r="AR58" i="26"/>
  <c r="AP58" i="26"/>
  <c r="AO58" i="26"/>
  <c r="AM58" i="26"/>
  <c r="AD58" i="26"/>
  <c r="O58" i="26"/>
  <c r="V58" i="26" s="1"/>
  <c r="AR57" i="26"/>
  <c r="AP57" i="26"/>
  <c r="AO57" i="26"/>
  <c r="AM57" i="26"/>
  <c r="AD57" i="26"/>
  <c r="O57" i="26"/>
  <c r="AR56" i="26"/>
  <c r="AP56" i="26"/>
  <c r="AO56" i="26"/>
  <c r="AM56" i="26"/>
  <c r="AD56" i="26"/>
  <c r="O56" i="26"/>
  <c r="AF56" i="26" s="1"/>
  <c r="AR55" i="26"/>
  <c r="AP55" i="26"/>
  <c r="AO55" i="26"/>
  <c r="AM55" i="26"/>
  <c r="AD55" i="26"/>
  <c r="O55" i="26"/>
  <c r="AR54" i="26"/>
  <c r="AP54" i="26"/>
  <c r="AO54" i="26"/>
  <c r="AM54" i="26"/>
  <c r="AD54" i="26"/>
  <c r="O54" i="26"/>
  <c r="AF54" i="26" s="1"/>
  <c r="AR50" i="26"/>
  <c r="AP50" i="26"/>
  <c r="AO50" i="26"/>
  <c r="AM50" i="26"/>
  <c r="AD50" i="26"/>
  <c r="O50" i="26"/>
  <c r="V50" i="26" s="1"/>
  <c r="AR49" i="26"/>
  <c r="AP49" i="26"/>
  <c r="AO49" i="26"/>
  <c r="AM49" i="26"/>
  <c r="AD49" i="26"/>
  <c r="O49" i="26"/>
  <c r="AF49" i="26" s="1"/>
  <c r="AR48" i="26"/>
  <c r="AP48" i="26"/>
  <c r="AO48" i="26"/>
  <c r="AM48" i="26"/>
  <c r="AD48" i="26"/>
  <c r="O48" i="26"/>
  <c r="V48" i="26" s="1"/>
  <c r="AR47" i="26"/>
  <c r="AP47" i="26"/>
  <c r="AO47" i="26"/>
  <c r="AM47" i="26"/>
  <c r="AD47" i="26"/>
  <c r="O47" i="26"/>
  <c r="AF47" i="26" s="1"/>
  <c r="AR46" i="26"/>
  <c r="AP46" i="26"/>
  <c r="AO46" i="26"/>
  <c r="AM46" i="26"/>
  <c r="AD46" i="26"/>
  <c r="O46" i="26"/>
  <c r="V46" i="26" s="1"/>
  <c r="AR45" i="26"/>
  <c r="AP45" i="26"/>
  <c r="AO45" i="26"/>
  <c r="AM45" i="26"/>
  <c r="AD45" i="26"/>
  <c r="O45" i="26"/>
  <c r="AF45" i="26" s="1"/>
  <c r="AR44" i="26"/>
  <c r="AP44" i="26"/>
  <c r="AO44" i="26"/>
  <c r="AM44" i="26"/>
  <c r="AD44" i="26"/>
  <c r="O44" i="26"/>
  <c r="V44" i="26" s="1"/>
  <c r="AR43" i="26"/>
  <c r="AP43" i="26"/>
  <c r="AO43" i="26"/>
  <c r="AM43" i="26"/>
  <c r="AL43" i="26"/>
  <c r="AJ43" i="26"/>
  <c r="AI43" i="26"/>
  <c r="AG43" i="26"/>
  <c r="AF43" i="26"/>
  <c r="AD43" i="26"/>
  <c r="AR42" i="26"/>
  <c r="AP42" i="26"/>
  <c r="AO42" i="26"/>
  <c r="AM42" i="26"/>
  <c r="AL42" i="26"/>
  <c r="AJ42" i="26"/>
  <c r="AI42" i="26"/>
  <c r="AG42" i="26"/>
  <c r="AF42" i="26"/>
  <c r="AD42" i="26"/>
  <c r="AR41" i="26"/>
  <c r="AP41" i="26"/>
  <c r="AO41" i="26"/>
  <c r="AM41" i="26"/>
  <c r="AD41" i="26"/>
  <c r="O41" i="26"/>
  <c r="AR40" i="26"/>
  <c r="AP40" i="26"/>
  <c r="AO40" i="26"/>
  <c r="AM40" i="26"/>
  <c r="AD40" i="26"/>
  <c r="O40" i="26"/>
  <c r="V40" i="26" s="1"/>
  <c r="AL40" i="26" s="1"/>
  <c r="AR39" i="26"/>
  <c r="AP39" i="26"/>
  <c r="AO39" i="26"/>
  <c r="AM39" i="26"/>
  <c r="AD39" i="26"/>
  <c r="O39" i="26"/>
  <c r="AR38" i="26"/>
  <c r="AP38" i="26"/>
  <c r="AO38" i="26"/>
  <c r="AM38" i="26"/>
  <c r="AD38" i="26"/>
  <c r="O38" i="26"/>
  <c r="V38" i="26" s="1"/>
  <c r="AR37" i="26"/>
  <c r="AP37" i="26"/>
  <c r="AO37" i="26"/>
  <c r="AM37" i="26"/>
  <c r="AD37" i="26"/>
  <c r="O37" i="26"/>
  <c r="AR36" i="26"/>
  <c r="AP36" i="26"/>
  <c r="AO36" i="26"/>
  <c r="AM36" i="26"/>
  <c r="AD36" i="26"/>
  <c r="O36" i="26"/>
  <c r="V36" i="26" s="1"/>
  <c r="AL36" i="26" s="1"/>
  <c r="AR35" i="26"/>
  <c r="AP35" i="26"/>
  <c r="AO35" i="26"/>
  <c r="AM35" i="26"/>
  <c r="AD35" i="26"/>
  <c r="O35" i="26"/>
  <c r="V35" i="26" s="1"/>
  <c r="AL35" i="26" s="1"/>
  <c r="AK35" i="26" s="1"/>
  <c r="AR34" i="26"/>
  <c r="AP34" i="26"/>
  <c r="AO34" i="26"/>
  <c r="AM34" i="26"/>
  <c r="AD34" i="26"/>
  <c r="O34" i="26"/>
  <c r="AR33" i="26"/>
  <c r="AP33" i="26"/>
  <c r="AO33" i="26"/>
  <c r="AM33" i="26"/>
  <c r="AD33" i="26"/>
  <c r="O33" i="26"/>
  <c r="AF33" i="26" s="1"/>
  <c r="AR32" i="26"/>
  <c r="AP32" i="26"/>
  <c r="AO32" i="26"/>
  <c r="AM32" i="26"/>
  <c r="AD32" i="26"/>
  <c r="O32" i="26"/>
  <c r="V32" i="26" s="1"/>
  <c r="AL32" i="26" s="1"/>
  <c r="AR31" i="26"/>
  <c r="AP31" i="26"/>
  <c r="AO31" i="26"/>
  <c r="AM31" i="26"/>
  <c r="AD31" i="26"/>
  <c r="O31" i="26"/>
  <c r="AF31" i="26" s="1"/>
  <c r="AR30" i="26"/>
  <c r="AP30" i="26"/>
  <c r="AO30" i="26"/>
  <c r="AM30" i="26"/>
  <c r="AM97" i="26" s="1"/>
  <c r="AD30" i="26"/>
  <c r="O30" i="26"/>
  <c r="AR29" i="26"/>
  <c r="AP29" i="26"/>
  <c r="AO29" i="26"/>
  <c r="AM29" i="26"/>
  <c r="AD29" i="26"/>
  <c r="O29" i="26"/>
  <c r="AR28" i="26"/>
  <c r="AP28" i="26"/>
  <c r="AO28" i="26"/>
  <c r="AM28" i="26"/>
  <c r="AD28" i="26"/>
  <c r="O28" i="26"/>
  <c r="V28" i="26" s="1"/>
  <c r="AR27" i="26"/>
  <c r="AP27" i="26"/>
  <c r="AO27" i="26"/>
  <c r="AM27" i="26"/>
  <c r="O27" i="26"/>
  <c r="AR26" i="26"/>
  <c r="AQ26" i="26" s="1"/>
  <c r="AP26" i="26"/>
  <c r="AO26" i="26"/>
  <c r="AM26" i="26"/>
  <c r="AD26" i="26"/>
  <c r="O26" i="26"/>
  <c r="V26" i="26" s="1"/>
  <c r="AL26" i="26" s="1"/>
  <c r="AR25" i="26"/>
  <c r="AP25" i="26"/>
  <c r="AO25" i="26"/>
  <c r="AN25" i="26" s="1"/>
  <c r="AM25" i="26"/>
  <c r="AD25" i="26"/>
  <c r="O25" i="26"/>
  <c r="AR24" i="26"/>
  <c r="AQ24" i="26" s="1"/>
  <c r="AP24" i="26"/>
  <c r="AO24" i="26"/>
  <c r="AM24" i="26"/>
  <c r="AD24" i="26"/>
  <c r="O24" i="26"/>
  <c r="AR23" i="26"/>
  <c r="AP23" i="26"/>
  <c r="AO23" i="26"/>
  <c r="AN23" i="26" s="1"/>
  <c r="AM23" i="26"/>
  <c r="AD23" i="26"/>
  <c r="O23" i="26"/>
  <c r="V23" i="26" s="1"/>
  <c r="AR22" i="26"/>
  <c r="AQ22" i="26" s="1"/>
  <c r="AP22" i="26"/>
  <c r="AO22" i="26"/>
  <c r="AM22" i="26"/>
  <c r="AD22" i="26"/>
  <c r="O22" i="26"/>
  <c r="AR21" i="26"/>
  <c r="AP21" i="26"/>
  <c r="AO21" i="26"/>
  <c r="AN21" i="26" s="1"/>
  <c r="AM21" i="26"/>
  <c r="AD21" i="26"/>
  <c r="S21" i="26"/>
  <c r="O21" i="26"/>
  <c r="V21" i="26" s="1"/>
  <c r="AL21" i="26" s="1"/>
  <c r="AR20" i="26"/>
  <c r="AP20" i="26"/>
  <c r="AO20" i="26"/>
  <c r="AM20" i="26"/>
  <c r="AD20" i="26"/>
  <c r="O20" i="26"/>
  <c r="AR19" i="26"/>
  <c r="AP19" i="26"/>
  <c r="AO19" i="26"/>
  <c r="AM19" i="26"/>
  <c r="AD19" i="26"/>
  <c r="O19" i="26"/>
  <c r="V19" i="26" s="1"/>
  <c r="AR18" i="26"/>
  <c r="AP18" i="26"/>
  <c r="AO18" i="26"/>
  <c r="AM18" i="26"/>
  <c r="AD18" i="26"/>
  <c r="O18" i="26"/>
  <c r="AR17" i="26"/>
  <c r="AP17" i="26"/>
  <c r="AO17" i="26"/>
  <c r="AM17" i="26"/>
  <c r="AD17" i="26"/>
  <c r="O17" i="26"/>
  <c r="AR16" i="26"/>
  <c r="AP16" i="26"/>
  <c r="AO16" i="26"/>
  <c r="AM16" i="26"/>
  <c r="AD16" i="26"/>
  <c r="O16" i="26"/>
  <c r="V16" i="26" s="1"/>
  <c r="AL16" i="26" s="1"/>
  <c r="AR15" i="26"/>
  <c r="AP15" i="26"/>
  <c r="AO15" i="26"/>
  <c r="AM15" i="26"/>
  <c r="AD15" i="26"/>
  <c r="O15" i="26"/>
  <c r="AR14" i="26"/>
  <c r="AP14" i="26"/>
  <c r="AO14" i="26"/>
  <c r="AM14" i="26"/>
  <c r="AD14" i="26"/>
  <c r="O14" i="26"/>
  <c r="AR13" i="26"/>
  <c r="AP13" i="26"/>
  <c r="AO13" i="26"/>
  <c r="AM13" i="26"/>
  <c r="AD13" i="26"/>
  <c r="O13" i="26"/>
  <c r="AF13" i="26" s="1"/>
  <c r="AR12" i="26"/>
  <c r="AP12" i="26"/>
  <c r="AO12" i="26"/>
  <c r="AM12" i="26"/>
  <c r="AD12" i="26"/>
  <c r="O12" i="26"/>
  <c r="V12" i="26" s="1"/>
  <c r="AR11" i="26"/>
  <c r="AP11" i="26"/>
  <c r="AO11" i="26"/>
  <c r="AM11" i="26"/>
  <c r="AD11" i="26"/>
  <c r="O11" i="26"/>
  <c r="AF11" i="26" s="1"/>
  <c r="AR10" i="26"/>
  <c r="AP10" i="26"/>
  <c r="AO10" i="26"/>
  <c r="AM10" i="26"/>
  <c r="AD10" i="26"/>
  <c r="O10" i="26"/>
  <c r="B10" i="26"/>
  <c r="B11" i="26" s="1"/>
  <c r="B12" i="26" s="1"/>
  <c r="B13" i="26" s="1"/>
  <c r="B14" i="26" s="1"/>
  <c r="B15" i="26" s="1"/>
  <c r="B16" i="26" s="1"/>
  <c r="B17" i="26" s="1"/>
  <c r="B18" i="26" s="1"/>
  <c r="B19" i="26" s="1"/>
  <c r="AR9" i="26"/>
  <c r="AQ9" i="26" s="1"/>
  <c r="AP9" i="26"/>
  <c r="AO9" i="26"/>
  <c r="AM9" i="26"/>
  <c r="AJ9" i="26"/>
  <c r="AG9" i="26"/>
  <c r="AD9" i="26"/>
  <c r="S9" i="26"/>
  <c r="O9" i="26"/>
  <c r="Y3" i="26"/>
  <c r="AR78" i="25"/>
  <c r="AP78" i="25"/>
  <c r="AO78" i="25"/>
  <c r="AM78" i="25"/>
  <c r="AL78" i="25"/>
  <c r="AJ78" i="25"/>
  <c r="AI78" i="25"/>
  <c r="AG78" i="25"/>
  <c r="AF78" i="25"/>
  <c r="AD78" i="25"/>
  <c r="AR77" i="25"/>
  <c r="AP77" i="25"/>
  <c r="AO77" i="25"/>
  <c r="AM77" i="25"/>
  <c r="AL77" i="25"/>
  <c r="AJ77" i="25"/>
  <c r="AI77" i="25"/>
  <c r="AG77" i="25"/>
  <c r="AF77" i="25"/>
  <c r="AD77" i="25"/>
  <c r="AR76" i="25"/>
  <c r="AP76" i="25"/>
  <c r="AO76" i="25"/>
  <c r="AM76" i="25"/>
  <c r="AL76" i="25"/>
  <c r="AJ76" i="25"/>
  <c r="AI76" i="25"/>
  <c r="AG76" i="25"/>
  <c r="AF76" i="25"/>
  <c r="AD76" i="25"/>
  <c r="AR75" i="25"/>
  <c r="AP75" i="25"/>
  <c r="AO75" i="25"/>
  <c r="AM75" i="25"/>
  <c r="AL75" i="25"/>
  <c r="AJ75" i="25"/>
  <c r="AI75" i="25"/>
  <c r="AG75" i="25"/>
  <c r="AF75" i="25"/>
  <c r="AD75" i="25"/>
  <c r="AR74" i="25"/>
  <c r="AP74" i="25"/>
  <c r="AO74" i="25"/>
  <c r="AM74" i="25"/>
  <c r="AL74" i="25"/>
  <c r="AJ74" i="25"/>
  <c r="AI74" i="25"/>
  <c r="AG74" i="25"/>
  <c r="AF74" i="25"/>
  <c r="AD74" i="25"/>
  <c r="AR73" i="25"/>
  <c r="AP73" i="25"/>
  <c r="AO73" i="25"/>
  <c r="AM73" i="25"/>
  <c r="AL73" i="25"/>
  <c r="AJ73" i="25"/>
  <c r="AI73" i="25"/>
  <c r="AG73" i="25"/>
  <c r="AF73" i="25"/>
  <c r="AD73" i="25"/>
  <c r="AR72" i="25"/>
  <c r="AP72" i="25"/>
  <c r="AO72" i="25"/>
  <c r="AM72" i="25"/>
  <c r="AL72" i="25"/>
  <c r="AJ72" i="25"/>
  <c r="AI72" i="25"/>
  <c r="AG72" i="25"/>
  <c r="AF72" i="25"/>
  <c r="AD72" i="25"/>
  <c r="AR71" i="25"/>
  <c r="AP71" i="25"/>
  <c r="AO71" i="25"/>
  <c r="AM71" i="25"/>
  <c r="AD71" i="25"/>
  <c r="O71" i="25"/>
  <c r="AR70" i="25"/>
  <c r="AP70" i="25"/>
  <c r="AO70" i="25"/>
  <c r="AM70" i="25"/>
  <c r="AD70" i="25"/>
  <c r="O70" i="25"/>
  <c r="AF70" i="25" s="1"/>
  <c r="AR69" i="25"/>
  <c r="AP69" i="25"/>
  <c r="AO69" i="25"/>
  <c r="AM69" i="25"/>
  <c r="AD69" i="25"/>
  <c r="O69" i="25"/>
  <c r="AR68" i="25"/>
  <c r="AQ68" i="25" s="1"/>
  <c r="AP68" i="25"/>
  <c r="AO68" i="25"/>
  <c r="AM68" i="25"/>
  <c r="AD68" i="25"/>
  <c r="O68" i="25"/>
  <c r="AR67" i="25"/>
  <c r="AP67" i="25"/>
  <c r="AO67" i="25"/>
  <c r="AM67" i="25"/>
  <c r="AD67" i="25"/>
  <c r="O67" i="25"/>
  <c r="AR66" i="25"/>
  <c r="AP66" i="25"/>
  <c r="AO66" i="25"/>
  <c r="AM66" i="25"/>
  <c r="AD66" i="25"/>
  <c r="O66" i="25"/>
  <c r="V66" i="25" s="1"/>
  <c r="AR65" i="25"/>
  <c r="AP65" i="25"/>
  <c r="AO65" i="25"/>
  <c r="AM65" i="25"/>
  <c r="AD65" i="25"/>
  <c r="O65" i="25"/>
  <c r="AF65" i="25" s="1"/>
  <c r="AR64" i="25"/>
  <c r="AP64" i="25"/>
  <c r="AO64" i="25"/>
  <c r="AM64" i="25"/>
  <c r="AD64" i="25"/>
  <c r="O64" i="25"/>
  <c r="AF64" i="25" s="1"/>
  <c r="AR63" i="25"/>
  <c r="AP63" i="25"/>
  <c r="AO63" i="25"/>
  <c r="AM63" i="25"/>
  <c r="AD63" i="25"/>
  <c r="O63" i="25"/>
  <c r="V63" i="25" s="1"/>
  <c r="AR62" i="25"/>
  <c r="AP62" i="25"/>
  <c r="AO62" i="25"/>
  <c r="AM62" i="25"/>
  <c r="AD62" i="25"/>
  <c r="O62" i="25"/>
  <c r="AR61" i="25"/>
  <c r="AP61" i="25"/>
  <c r="AO61" i="25"/>
  <c r="AM61" i="25"/>
  <c r="AD61" i="25"/>
  <c r="O61" i="25"/>
  <c r="AR60" i="25"/>
  <c r="AP60" i="25"/>
  <c r="AO60" i="25"/>
  <c r="AM60" i="25"/>
  <c r="AD60" i="25"/>
  <c r="O60" i="25"/>
  <c r="AR59" i="25"/>
  <c r="AP59" i="25"/>
  <c r="AO59" i="25"/>
  <c r="AM59" i="25"/>
  <c r="AD59" i="25"/>
  <c r="O59" i="25"/>
  <c r="V59" i="25" s="1"/>
  <c r="AR58" i="25"/>
  <c r="AP58" i="25"/>
  <c r="AO58" i="25"/>
  <c r="AM58" i="25"/>
  <c r="AD58" i="25"/>
  <c r="O58" i="25"/>
  <c r="AR57" i="25"/>
  <c r="AP57" i="25"/>
  <c r="AO57" i="25"/>
  <c r="AM57" i="25"/>
  <c r="AD57" i="25"/>
  <c r="O57" i="25"/>
  <c r="V57" i="25" s="1"/>
  <c r="AR56" i="25"/>
  <c r="AP56" i="25"/>
  <c r="AO56" i="25"/>
  <c r="AM56" i="25"/>
  <c r="AD56" i="25"/>
  <c r="O56" i="25"/>
  <c r="AR55" i="25"/>
  <c r="AP55" i="25"/>
  <c r="AO55" i="25"/>
  <c r="AM55" i="25"/>
  <c r="AD55" i="25"/>
  <c r="O55" i="25"/>
  <c r="AR54" i="25"/>
  <c r="AP54" i="25"/>
  <c r="AO54" i="25"/>
  <c r="AM54" i="25"/>
  <c r="AD54" i="25"/>
  <c r="O54" i="25"/>
  <c r="AR53" i="25"/>
  <c r="AP53" i="25"/>
  <c r="AO53" i="25"/>
  <c r="AM53" i="25"/>
  <c r="AD53" i="25"/>
  <c r="O53" i="25"/>
  <c r="AR52" i="25"/>
  <c r="AP52" i="25"/>
  <c r="AO52" i="25"/>
  <c r="AM52" i="25"/>
  <c r="AD52" i="25"/>
  <c r="O52" i="25"/>
  <c r="AR51" i="25"/>
  <c r="AP51" i="25"/>
  <c r="AO51" i="25"/>
  <c r="AM51" i="25"/>
  <c r="AD51" i="25"/>
  <c r="O51" i="25"/>
  <c r="AR50" i="25"/>
  <c r="AP50" i="25"/>
  <c r="AO50" i="25"/>
  <c r="AM50" i="25"/>
  <c r="AD50" i="25"/>
  <c r="O50" i="25"/>
  <c r="AR49" i="25"/>
  <c r="AP49" i="25"/>
  <c r="AO49" i="25"/>
  <c r="AM49" i="25"/>
  <c r="AD49" i="25"/>
  <c r="O49" i="25"/>
  <c r="AR48" i="25"/>
  <c r="AP48" i="25"/>
  <c r="AO48" i="25"/>
  <c r="AM48" i="25"/>
  <c r="AD48" i="25"/>
  <c r="O48" i="25"/>
  <c r="AR47" i="25"/>
  <c r="AP47" i="25"/>
  <c r="AO47" i="25"/>
  <c r="AM47" i="25"/>
  <c r="AD47" i="25"/>
  <c r="O47" i="25"/>
  <c r="AF47" i="25" s="1"/>
  <c r="AR46" i="25"/>
  <c r="AP46" i="25"/>
  <c r="AO46" i="25"/>
  <c r="AM46" i="25"/>
  <c r="AD46" i="25"/>
  <c r="O46" i="25"/>
  <c r="AR45" i="25"/>
  <c r="AP45" i="25"/>
  <c r="AO45" i="25"/>
  <c r="AM45" i="25"/>
  <c r="AD45" i="25"/>
  <c r="O45" i="25"/>
  <c r="AR44" i="25"/>
  <c r="AP44" i="25"/>
  <c r="AO44" i="25"/>
  <c r="AM44" i="25"/>
  <c r="AD44" i="25"/>
  <c r="O44" i="25"/>
  <c r="AR43" i="25"/>
  <c r="AP43" i="25"/>
  <c r="AO43" i="25"/>
  <c r="AM43" i="25"/>
  <c r="AL43" i="25"/>
  <c r="AJ43" i="25"/>
  <c r="AF43" i="25"/>
  <c r="AD43" i="25"/>
  <c r="AR42" i="25"/>
  <c r="AP42" i="25"/>
  <c r="AO42" i="25"/>
  <c r="AM42" i="25"/>
  <c r="AL42" i="25"/>
  <c r="AJ42" i="25"/>
  <c r="AF42" i="25"/>
  <c r="AD42" i="25"/>
  <c r="AR41" i="25"/>
  <c r="AP41" i="25"/>
  <c r="AO41" i="25"/>
  <c r="AM41" i="25"/>
  <c r="AD41" i="25"/>
  <c r="O41" i="25"/>
  <c r="AR40" i="25"/>
  <c r="AP40" i="25"/>
  <c r="AO40" i="25"/>
  <c r="AM40" i="25"/>
  <c r="AD40" i="25"/>
  <c r="O40" i="25"/>
  <c r="AF40" i="25" s="1"/>
  <c r="AR39" i="25"/>
  <c r="AP39" i="25"/>
  <c r="AO39" i="25"/>
  <c r="AM39" i="25"/>
  <c r="AD39" i="25"/>
  <c r="O39" i="25"/>
  <c r="AR38" i="25"/>
  <c r="AP38" i="25"/>
  <c r="AO38" i="25"/>
  <c r="AM38" i="25"/>
  <c r="AD38" i="25"/>
  <c r="O38" i="25"/>
  <c r="AR37" i="25"/>
  <c r="AP37" i="25"/>
  <c r="AO37" i="25"/>
  <c r="AM37" i="25"/>
  <c r="AD37" i="25"/>
  <c r="O37" i="25"/>
  <c r="V37" i="25" s="1"/>
  <c r="AR36" i="25"/>
  <c r="AP36" i="25"/>
  <c r="AO36" i="25"/>
  <c r="AM36" i="25"/>
  <c r="AD36" i="25"/>
  <c r="O36" i="25"/>
  <c r="AF36" i="25" s="1"/>
  <c r="AE36" i="25" s="1"/>
  <c r="AR35" i="25"/>
  <c r="AP35" i="25"/>
  <c r="AO35" i="25"/>
  <c r="AM35" i="25"/>
  <c r="AD35" i="25"/>
  <c r="O35" i="25"/>
  <c r="AR34" i="25"/>
  <c r="AP34" i="25"/>
  <c r="AO34" i="25"/>
  <c r="AM34" i="25"/>
  <c r="AD34" i="25"/>
  <c r="O34" i="25"/>
  <c r="AR33" i="25"/>
  <c r="AP33" i="25"/>
  <c r="AO33" i="25"/>
  <c r="AM33" i="25"/>
  <c r="AD33" i="25"/>
  <c r="O33" i="25"/>
  <c r="AR32" i="25"/>
  <c r="AP32" i="25"/>
  <c r="AO32" i="25"/>
  <c r="AM32" i="25"/>
  <c r="AD32" i="25"/>
  <c r="O32" i="25"/>
  <c r="AF32" i="25" s="1"/>
  <c r="AR31" i="25"/>
  <c r="AP31" i="25"/>
  <c r="AO31" i="25"/>
  <c r="AM31" i="25"/>
  <c r="AD31" i="25"/>
  <c r="O31" i="25"/>
  <c r="V31" i="25" s="1"/>
  <c r="AR30" i="25"/>
  <c r="AP30" i="25"/>
  <c r="AP94" i="25" s="1"/>
  <c r="AO30" i="25"/>
  <c r="AO94" i="25" s="1"/>
  <c r="AM30" i="25"/>
  <c r="AD30" i="25"/>
  <c r="O30" i="25"/>
  <c r="AR29" i="25"/>
  <c r="AR102" i="25" s="1"/>
  <c r="AP29" i="25"/>
  <c r="AP102" i="25" s="1"/>
  <c r="AO29" i="25"/>
  <c r="AM29" i="25"/>
  <c r="AD29" i="25"/>
  <c r="AD102" i="25" s="1"/>
  <c r="O29" i="25"/>
  <c r="V29" i="25" s="1"/>
  <c r="AR28" i="25"/>
  <c r="AP28" i="25"/>
  <c r="AO28" i="25"/>
  <c r="AM28" i="25"/>
  <c r="AD28" i="25"/>
  <c r="O28" i="25"/>
  <c r="AR27" i="25"/>
  <c r="AR93" i="25" s="1"/>
  <c r="AP27" i="25"/>
  <c r="AO27" i="25"/>
  <c r="AM27" i="25"/>
  <c r="O27" i="25"/>
  <c r="AR26" i="25"/>
  <c r="AP26" i="25"/>
  <c r="AO26" i="25"/>
  <c r="AM26" i="25"/>
  <c r="AD26" i="25"/>
  <c r="O26" i="25"/>
  <c r="AR25" i="25"/>
  <c r="AP25" i="25"/>
  <c r="AO25" i="25"/>
  <c r="AM25" i="25"/>
  <c r="AD25" i="25"/>
  <c r="O25" i="25"/>
  <c r="AR24" i="25"/>
  <c r="AP24" i="25"/>
  <c r="AO24" i="25"/>
  <c r="AN24" i="25" s="1"/>
  <c r="AM24" i="25"/>
  <c r="AD24" i="25"/>
  <c r="O24" i="25"/>
  <c r="AF24" i="25" s="1"/>
  <c r="AR23" i="25"/>
  <c r="AP23" i="25"/>
  <c r="AO23" i="25"/>
  <c r="AM23" i="25"/>
  <c r="AD23" i="25"/>
  <c r="O23" i="25"/>
  <c r="AR22" i="25"/>
  <c r="AP22" i="25"/>
  <c r="AO22" i="25"/>
  <c r="AM22" i="25"/>
  <c r="AD22" i="25"/>
  <c r="O22" i="25"/>
  <c r="V22" i="25" s="1"/>
  <c r="AR21" i="25"/>
  <c r="AP21" i="25"/>
  <c r="AP83" i="25" s="1"/>
  <c r="AO21" i="25"/>
  <c r="AO83" i="25" s="1"/>
  <c r="AM21" i="25"/>
  <c r="AD21" i="25"/>
  <c r="AD83" i="25" s="1"/>
  <c r="S21" i="25"/>
  <c r="O21" i="25"/>
  <c r="V21" i="25" s="1"/>
  <c r="AR20" i="25"/>
  <c r="AP20" i="25"/>
  <c r="AO20" i="25"/>
  <c r="AM20" i="25"/>
  <c r="AD20" i="25"/>
  <c r="O20" i="25"/>
  <c r="AF20" i="25" s="1"/>
  <c r="AR19" i="25"/>
  <c r="AP19" i="25"/>
  <c r="AO19" i="25"/>
  <c r="AN19" i="25" s="1"/>
  <c r="AM19" i="25"/>
  <c r="AD19" i="25"/>
  <c r="O19" i="25"/>
  <c r="V19" i="25" s="1"/>
  <c r="AR18" i="25"/>
  <c r="AP18" i="25"/>
  <c r="AO18" i="25"/>
  <c r="AM18" i="25"/>
  <c r="AD18" i="25"/>
  <c r="O18" i="25"/>
  <c r="AF18" i="25" s="1"/>
  <c r="AR17" i="25"/>
  <c r="AP17" i="25"/>
  <c r="AO17" i="25"/>
  <c r="AM17" i="25"/>
  <c r="AD17" i="25"/>
  <c r="O17" i="25"/>
  <c r="AR16" i="25"/>
  <c r="AP16" i="25"/>
  <c r="AO16" i="25"/>
  <c r="AM16" i="25"/>
  <c r="AD16" i="25"/>
  <c r="O16" i="25"/>
  <c r="AR15" i="25"/>
  <c r="AP15" i="25"/>
  <c r="AO15" i="25"/>
  <c r="AM15" i="25"/>
  <c r="AD15" i="25"/>
  <c r="O15" i="25"/>
  <c r="V15" i="25" s="1"/>
  <c r="AR14" i="25"/>
  <c r="AP14" i="25"/>
  <c r="AO14" i="25"/>
  <c r="AM14" i="25"/>
  <c r="AD14" i="25"/>
  <c r="O14" i="25"/>
  <c r="AF14" i="25" s="1"/>
  <c r="AR13" i="25"/>
  <c r="AP13" i="25"/>
  <c r="AO13" i="25"/>
  <c r="AM13" i="25"/>
  <c r="AD13" i="25"/>
  <c r="O13" i="25"/>
  <c r="AR12" i="25"/>
  <c r="AP12" i="25"/>
  <c r="AO12" i="25"/>
  <c r="AM12" i="25"/>
  <c r="AD12" i="25"/>
  <c r="O12" i="25"/>
  <c r="AR11" i="25"/>
  <c r="AP11" i="25"/>
  <c r="AO11" i="25"/>
  <c r="AM11" i="25"/>
  <c r="AD11" i="25"/>
  <c r="O11" i="25"/>
  <c r="V11" i="25" s="1"/>
  <c r="AR10" i="25"/>
  <c r="AP10" i="25"/>
  <c r="AO10" i="25"/>
  <c r="AM10" i="25"/>
  <c r="AD10" i="25"/>
  <c r="O10" i="25"/>
  <c r="B10" i="25"/>
  <c r="B11" i="25" s="1"/>
  <c r="B12" i="25" s="1"/>
  <c r="B13" i="25" s="1"/>
  <c r="B14" i="25" s="1"/>
  <c r="B15" i="25" s="1"/>
  <c r="B16" i="25" s="1"/>
  <c r="B17" i="25" s="1"/>
  <c r="B18" i="25" s="1"/>
  <c r="B19" i="25" s="1"/>
  <c r="AR9" i="25"/>
  <c r="AP9" i="25"/>
  <c r="AO9" i="25"/>
  <c r="AM9" i="25"/>
  <c r="AD9" i="25"/>
  <c r="O9" i="25"/>
  <c r="V9" i="25" s="1"/>
  <c r="AL9" i="25" s="1"/>
  <c r="Y3" i="25"/>
  <c r="I362" i="24"/>
  <c r="G362" i="24"/>
  <c r="F362" i="24"/>
  <c r="I361" i="24"/>
  <c r="G361" i="24"/>
  <c r="F361" i="24"/>
  <c r="I360" i="24"/>
  <c r="G360" i="24"/>
  <c r="F360" i="24"/>
  <c r="I359" i="24"/>
  <c r="G359" i="24"/>
  <c r="F359" i="24"/>
  <c r="I358" i="24"/>
  <c r="G358" i="24"/>
  <c r="F358" i="24"/>
  <c r="I357" i="24"/>
  <c r="G357" i="24"/>
  <c r="F357" i="24"/>
  <c r="I356" i="24"/>
  <c r="G356" i="24"/>
  <c r="F356" i="24"/>
  <c r="I355" i="24"/>
  <c r="G355" i="24"/>
  <c r="F355" i="24"/>
  <c r="I354" i="24"/>
  <c r="G354" i="24"/>
  <c r="F354" i="24"/>
  <c r="I353" i="24"/>
  <c r="G353" i="24"/>
  <c r="F353" i="24"/>
  <c r="I352" i="24"/>
  <c r="G352" i="24"/>
  <c r="F352" i="24"/>
  <c r="I351" i="24"/>
  <c r="G351" i="24"/>
  <c r="F351" i="24"/>
  <c r="I350" i="24"/>
  <c r="G350" i="24"/>
  <c r="F350" i="24"/>
  <c r="I349" i="24"/>
  <c r="G349" i="24"/>
  <c r="F349" i="24"/>
  <c r="I348" i="24"/>
  <c r="G348" i="24"/>
  <c r="F348" i="24"/>
  <c r="I347" i="24"/>
  <c r="G347" i="24"/>
  <c r="F347" i="24"/>
  <c r="I346" i="24"/>
  <c r="G346" i="24"/>
  <c r="F346" i="24"/>
  <c r="I345" i="24"/>
  <c r="G345" i="24"/>
  <c r="F345" i="24"/>
  <c r="I344" i="24"/>
  <c r="G344" i="24"/>
  <c r="F344" i="24"/>
  <c r="I343" i="24"/>
  <c r="G343" i="24"/>
  <c r="F343" i="24"/>
  <c r="I342" i="24"/>
  <c r="G342" i="24"/>
  <c r="F342" i="24"/>
  <c r="I341" i="24"/>
  <c r="G341" i="24"/>
  <c r="F341" i="24"/>
  <c r="I340" i="24"/>
  <c r="G340" i="24"/>
  <c r="F340" i="24"/>
  <c r="I339" i="24"/>
  <c r="G339" i="24"/>
  <c r="F339" i="24"/>
  <c r="I338" i="24"/>
  <c r="G338" i="24"/>
  <c r="F338" i="24"/>
  <c r="I337" i="24"/>
  <c r="G337" i="24"/>
  <c r="F337" i="24"/>
  <c r="I336" i="24"/>
  <c r="G336" i="24"/>
  <c r="F336" i="24"/>
  <c r="I335" i="24"/>
  <c r="G335" i="24"/>
  <c r="F335" i="24"/>
  <c r="I334" i="24"/>
  <c r="G334" i="24"/>
  <c r="F334" i="24"/>
  <c r="I333" i="24"/>
  <c r="G333" i="24"/>
  <c r="F333" i="24"/>
  <c r="I332" i="24"/>
  <c r="G332" i="24"/>
  <c r="F332" i="24"/>
  <c r="I331" i="24"/>
  <c r="G331" i="24"/>
  <c r="F331" i="24"/>
  <c r="I330" i="24"/>
  <c r="G330" i="24"/>
  <c r="F330" i="24"/>
  <c r="I329" i="24"/>
  <c r="G329" i="24"/>
  <c r="F329" i="24"/>
  <c r="I328" i="24"/>
  <c r="G328" i="24"/>
  <c r="F328" i="24"/>
  <c r="I327" i="24"/>
  <c r="G327" i="24"/>
  <c r="F327" i="24"/>
  <c r="I326" i="24"/>
  <c r="G326" i="24"/>
  <c r="F326" i="24"/>
  <c r="I325" i="24"/>
  <c r="G325" i="24"/>
  <c r="F325" i="24"/>
  <c r="I324" i="24"/>
  <c r="G324" i="24"/>
  <c r="F324" i="24"/>
  <c r="I323" i="24"/>
  <c r="G323" i="24"/>
  <c r="F323" i="24"/>
  <c r="I322" i="24"/>
  <c r="G322" i="24"/>
  <c r="F322" i="24"/>
  <c r="I321" i="24"/>
  <c r="G321" i="24"/>
  <c r="F321" i="24"/>
  <c r="I320" i="24"/>
  <c r="G320" i="24"/>
  <c r="F320" i="24"/>
  <c r="I319" i="24"/>
  <c r="G319" i="24"/>
  <c r="F319" i="24"/>
  <c r="I318" i="24"/>
  <c r="G318" i="24"/>
  <c r="F318" i="24"/>
  <c r="I317" i="24"/>
  <c r="G317" i="24"/>
  <c r="F317" i="24"/>
  <c r="I316" i="24"/>
  <c r="G316" i="24"/>
  <c r="F316" i="24"/>
  <c r="I315" i="24"/>
  <c r="G315" i="24"/>
  <c r="F315" i="24"/>
  <c r="I314" i="24"/>
  <c r="G314" i="24"/>
  <c r="F314" i="24"/>
  <c r="I313" i="24"/>
  <c r="G313" i="24"/>
  <c r="F313" i="24"/>
  <c r="C313" i="24" s="1"/>
  <c r="H313" i="24" s="1"/>
  <c r="E54" i="15" s="1"/>
  <c r="M54" i="15" s="1"/>
  <c r="I312" i="24"/>
  <c r="G312" i="24"/>
  <c r="F312" i="24"/>
  <c r="I311" i="24"/>
  <c r="G311" i="24"/>
  <c r="F311" i="24"/>
  <c r="I310" i="24"/>
  <c r="G310" i="24"/>
  <c r="F310" i="24"/>
  <c r="I309" i="24"/>
  <c r="G309" i="24"/>
  <c r="F309" i="24"/>
  <c r="I308" i="24"/>
  <c r="G308" i="24"/>
  <c r="F308" i="24"/>
  <c r="I307" i="24"/>
  <c r="G307" i="24"/>
  <c r="F307" i="24"/>
  <c r="I306" i="24"/>
  <c r="G306" i="24"/>
  <c r="F306" i="24"/>
  <c r="AP306" i="24" s="1"/>
  <c r="I305" i="24"/>
  <c r="G305" i="24"/>
  <c r="F305" i="24"/>
  <c r="I304" i="24"/>
  <c r="G304" i="24"/>
  <c r="F304" i="24"/>
  <c r="I303" i="24"/>
  <c r="G303" i="24"/>
  <c r="F303" i="24"/>
  <c r="I302" i="24"/>
  <c r="G302" i="24"/>
  <c r="F302" i="24"/>
  <c r="I301" i="24"/>
  <c r="G301" i="24"/>
  <c r="F301" i="24"/>
  <c r="I300" i="24"/>
  <c r="G300" i="24"/>
  <c r="F300" i="24"/>
  <c r="I299" i="24"/>
  <c r="G299" i="24"/>
  <c r="F299" i="24"/>
  <c r="I298" i="24"/>
  <c r="G298" i="24"/>
  <c r="F298" i="24"/>
  <c r="I297" i="24"/>
  <c r="G297" i="24"/>
  <c r="F297" i="24"/>
  <c r="C297" i="24" s="1"/>
  <c r="H297" i="24" s="1"/>
  <c r="E38" i="15" s="1"/>
  <c r="M38" i="15" s="1"/>
  <c r="I296" i="24"/>
  <c r="G296" i="24"/>
  <c r="F296" i="24"/>
  <c r="I295" i="24"/>
  <c r="G295" i="24"/>
  <c r="F295" i="24"/>
  <c r="I294" i="24"/>
  <c r="G294" i="24"/>
  <c r="F294" i="24"/>
  <c r="C294" i="24" s="1"/>
  <c r="H294" i="24" s="1"/>
  <c r="E35" i="15" s="1"/>
  <c r="M35" i="15" s="1"/>
  <c r="I293" i="24"/>
  <c r="G293" i="24"/>
  <c r="F293" i="24"/>
  <c r="I292" i="24"/>
  <c r="G292" i="24"/>
  <c r="F292" i="24"/>
  <c r="I291" i="24"/>
  <c r="G291" i="24"/>
  <c r="F291" i="24"/>
  <c r="I290" i="24"/>
  <c r="G290" i="24"/>
  <c r="F290" i="24"/>
  <c r="I289" i="24"/>
  <c r="G289" i="24"/>
  <c r="F289" i="24"/>
  <c r="C289" i="24" s="1"/>
  <c r="H289" i="24" s="1"/>
  <c r="E30" i="15" s="1"/>
  <c r="M30" i="15" s="1"/>
  <c r="I288" i="24"/>
  <c r="G288" i="24"/>
  <c r="F288" i="24"/>
  <c r="I287" i="24"/>
  <c r="G287" i="24"/>
  <c r="F287" i="24"/>
  <c r="I286" i="24"/>
  <c r="G286" i="24"/>
  <c r="F286" i="24"/>
  <c r="I285" i="24"/>
  <c r="G285" i="24"/>
  <c r="F285" i="24"/>
  <c r="I284" i="24"/>
  <c r="G284" i="24"/>
  <c r="F284" i="24"/>
  <c r="I283" i="24"/>
  <c r="G283" i="24"/>
  <c r="F283" i="24"/>
  <c r="I282" i="24"/>
  <c r="G282" i="24"/>
  <c r="F282" i="24"/>
  <c r="I281" i="24"/>
  <c r="G281" i="24"/>
  <c r="F281" i="24"/>
  <c r="I280" i="24"/>
  <c r="G280" i="24"/>
  <c r="F280" i="24"/>
  <c r="I279" i="24"/>
  <c r="G279" i="24"/>
  <c r="F279" i="24"/>
  <c r="I278" i="24"/>
  <c r="G278" i="24"/>
  <c r="F278" i="24"/>
  <c r="I277" i="24"/>
  <c r="G277" i="24"/>
  <c r="F277" i="24"/>
  <c r="I276" i="24"/>
  <c r="G276" i="24"/>
  <c r="F276" i="24"/>
  <c r="I275" i="24"/>
  <c r="G275" i="24"/>
  <c r="F275" i="24"/>
  <c r="I274" i="24"/>
  <c r="G274" i="24"/>
  <c r="F274" i="24"/>
  <c r="I273" i="24"/>
  <c r="G273" i="24"/>
  <c r="F273" i="24"/>
  <c r="I272" i="24"/>
  <c r="G272" i="24"/>
  <c r="F272" i="24"/>
  <c r="I271" i="24"/>
  <c r="G271" i="24"/>
  <c r="F271" i="24"/>
  <c r="I270" i="24"/>
  <c r="G270" i="24"/>
  <c r="F270" i="24"/>
  <c r="C270" i="24" s="1"/>
  <c r="H270" i="24" s="1"/>
  <c r="E11" i="15" s="1"/>
  <c r="M11" i="15" s="1"/>
  <c r="I269" i="24"/>
  <c r="G269" i="24"/>
  <c r="F269" i="24"/>
  <c r="I268" i="24"/>
  <c r="G268" i="24"/>
  <c r="F268" i="24"/>
  <c r="I267" i="24"/>
  <c r="G267" i="24"/>
  <c r="F267" i="24"/>
  <c r="I266" i="24"/>
  <c r="G266" i="24"/>
  <c r="F266" i="24"/>
  <c r="I265" i="24"/>
  <c r="G265" i="24"/>
  <c r="F265" i="24"/>
  <c r="AR260" i="24"/>
  <c r="AQ260" i="24" s="1"/>
  <c r="AP260" i="24"/>
  <c r="AO260" i="24"/>
  <c r="AM260" i="24"/>
  <c r="AL260" i="24"/>
  <c r="AJ260" i="24"/>
  <c r="AI260" i="24"/>
  <c r="AG260" i="24"/>
  <c r="AH260" i="24" s="1"/>
  <c r="AF260" i="24"/>
  <c r="AD260" i="24"/>
  <c r="AR259" i="24"/>
  <c r="AP259" i="24"/>
  <c r="AO259" i="24"/>
  <c r="AM259" i="24"/>
  <c r="AL259" i="24"/>
  <c r="AJ259" i="24"/>
  <c r="AK259" i="24" s="1"/>
  <c r="AI259" i="24"/>
  <c r="AG259" i="24"/>
  <c r="AF259" i="24"/>
  <c r="AD259" i="24"/>
  <c r="AR258" i="24"/>
  <c r="AP258" i="24"/>
  <c r="AO258" i="24"/>
  <c r="AM258" i="24"/>
  <c r="AN258" i="24" s="1"/>
  <c r="AL258" i="24"/>
  <c r="AJ258" i="24"/>
  <c r="AI258" i="24"/>
  <c r="AG258" i="24"/>
  <c r="AF258" i="24"/>
  <c r="AD258" i="24"/>
  <c r="AR257" i="24"/>
  <c r="AP257" i="24"/>
  <c r="AQ257" i="24" s="1"/>
  <c r="AO257" i="24"/>
  <c r="AM257" i="24"/>
  <c r="AL257" i="24"/>
  <c r="AJ257" i="24"/>
  <c r="AI257" i="24"/>
  <c r="AG257" i="24"/>
  <c r="AF257" i="24"/>
  <c r="AD257" i="24"/>
  <c r="AE257" i="24" s="1"/>
  <c r="AR256" i="24"/>
  <c r="AP256" i="24"/>
  <c r="AO256" i="24"/>
  <c r="AM256" i="24"/>
  <c r="AL256" i="24"/>
  <c r="AJ256" i="24"/>
  <c r="AI256" i="24"/>
  <c r="AG256" i="24"/>
  <c r="AH256" i="24" s="1"/>
  <c r="AF256" i="24"/>
  <c r="AD256" i="24"/>
  <c r="AR255" i="24"/>
  <c r="AP255" i="24"/>
  <c r="AO255" i="24"/>
  <c r="AM255" i="24"/>
  <c r="AL255" i="24"/>
  <c r="AJ255" i="24"/>
  <c r="AI255" i="24"/>
  <c r="AG255" i="24"/>
  <c r="AF255" i="24"/>
  <c r="AD255" i="24"/>
  <c r="AR254" i="24"/>
  <c r="AP254" i="24"/>
  <c r="AO254" i="24"/>
  <c r="AM254" i="24"/>
  <c r="AN254" i="24" s="1"/>
  <c r="AL254" i="24"/>
  <c r="AJ254" i="24"/>
  <c r="AI254" i="24"/>
  <c r="AG254" i="24"/>
  <c r="AF254" i="24"/>
  <c r="AD254" i="24"/>
  <c r="AR253" i="24"/>
  <c r="AP253" i="24"/>
  <c r="AQ253" i="24" s="1"/>
  <c r="AM253" i="24"/>
  <c r="AD253" i="24"/>
  <c r="O253" i="24"/>
  <c r="AF253" i="24" s="1"/>
  <c r="AR252" i="24"/>
  <c r="AQ252" i="24" s="1"/>
  <c r="AP252" i="24"/>
  <c r="AM252" i="24"/>
  <c r="AD252" i="24"/>
  <c r="O252" i="24"/>
  <c r="AF252" i="24" s="1"/>
  <c r="AR251" i="24"/>
  <c r="AP251" i="24"/>
  <c r="AM251" i="24"/>
  <c r="AD251" i="24"/>
  <c r="O251" i="24"/>
  <c r="AR250" i="24"/>
  <c r="AP250" i="24"/>
  <c r="AM250" i="24"/>
  <c r="AD250" i="24"/>
  <c r="O250" i="24"/>
  <c r="AF250" i="24" s="1"/>
  <c r="AR249" i="24"/>
  <c r="AP249" i="24"/>
  <c r="AM249" i="24"/>
  <c r="AD249" i="24"/>
  <c r="O249" i="24"/>
  <c r="AR247" i="24"/>
  <c r="AP247" i="24"/>
  <c r="AM247" i="24"/>
  <c r="AD247" i="24"/>
  <c r="O247" i="24"/>
  <c r="AF247" i="24" s="1"/>
  <c r="AR246" i="24"/>
  <c r="AP246" i="24"/>
  <c r="AM246" i="24"/>
  <c r="AD246" i="24"/>
  <c r="O246" i="24"/>
  <c r="AF246" i="24" s="1"/>
  <c r="AR245" i="24"/>
  <c r="AP245" i="24"/>
  <c r="AM245" i="24"/>
  <c r="AD245" i="24"/>
  <c r="O245" i="24"/>
  <c r="AR244" i="24"/>
  <c r="AP244" i="24"/>
  <c r="AO244" i="24"/>
  <c r="AM244" i="24"/>
  <c r="AL244" i="24"/>
  <c r="AJ244" i="24"/>
  <c r="AI244" i="24"/>
  <c r="AG244" i="24"/>
  <c r="AF244" i="24"/>
  <c r="AD244" i="24"/>
  <c r="AR243" i="24"/>
  <c r="AP243" i="24"/>
  <c r="AO243" i="24"/>
  <c r="AM243" i="24"/>
  <c r="AL243" i="24"/>
  <c r="AJ243" i="24"/>
  <c r="AI243" i="24"/>
  <c r="AG243" i="24"/>
  <c r="AF243" i="24"/>
  <c r="AD243" i="24"/>
  <c r="AR242" i="24"/>
  <c r="AP242" i="24"/>
  <c r="AO242" i="24"/>
  <c r="AM242" i="24"/>
  <c r="AL242" i="24"/>
  <c r="AJ242" i="24"/>
  <c r="AI242" i="24"/>
  <c r="AG242" i="24"/>
  <c r="AF242" i="24"/>
  <c r="AD242" i="24"/>
  <c r="AR240" i="24"/>
  <c r="AP240" i="24"/>
  <c r="AO240" i="24"/>
  <c r="AM240" i="24"/>
  <c r="AL240" i="24"/>
  <c r="AJ240" i="24"/>
  <c r="AI240" i="24"/>
  <c r="AG240" i="24"/>
  <c r="AF240" i="24"/>
  <c r="AD240" i="24"/>
  <c r="AR239" i="24"/>
  <c r="AP239" i="24"/>
  <c r="AO239" i="24"/>
  <c r="AM239" i="24"/>
  <c r="AL239" i="24"/>
  <c r="AJ239" i="24"/>
  <c r="AI239" i="24"/>
  <c r="AG239" i="24"/>
  <c r="AF239" i="24"/>
  <c r="AD239" i="24"/>
  <c r="AR238" i="24"/>
  <c r="AP238" i="24"/>
  <c r="AO238" i="24"/>
  <c r="AM238" i="24"/>
  <c r="AD238" i="24"/>
  <c r="O238" i="24"/>
  <c r="V238" i="24" s="1"/>
  <c r="AL238" i="24" s="1"/>
  <c r="AK238" i="24" s="1"/>
  <c r="O235" i="24"/>
  <c r="V235" i="24" s="1"/>
  <c r="AL235" i="24" s="1"/>
  <c r="O234" i="24"/>
  <c r="V234" i="24" s="1"/>
  <c r="AL234" i="24" s="1"/>
  <c r="O233" i="24"/>
  <c r="V233" i="24" s="1"/>
  <c r="AL233" i="24" s="1"/>
  <c r="O232" i="24"/>
  <c r="AF232" i="24" s="1"/>
  <c r="O231" i="24"/>
  <c r="V231" i="24" s="1"/>
  <c r="AL231" i="24" s="1"/>
  <c r="O230" i="24"/>
  <c r="V230" i="24" s="1"/>
  <c r="AL230" i="24" s="1"/>
  <c r="O229" i="24"/>
  <c r="V229" i="24" s="1"/>
  <c r="AL229" i="24" s="1"/>
  <c r="O228" i="24"/>
  <c r="V228" i="24" s="1"/>
  <c r="AL228" i="24" s="1"/>
  <c r="O227" i="24"/>
  <c r="V227" i="24" s="1"/>
  <c r="AL227" i="24" s="1"/>
  <c r="O226" i="24"/>
  <c r="O225" i="24"/>
  <c r="V225" i="24" s="1"/>
  <c r="AL225" i="24" s="1"/>
  <c r="AK225" i="24" s="1"/>
  <c r="O224" i="24"/>
  <c r="V224" i="24" s="1"/>
  <c r="AL224" i="24" s="1"/>
  <c r="W221" i="24"/>
  <c r="AM221" i="24" s="1"/>
  <c r="O221" i="24"/>
  <c r="V221" i="24" s="1"/>
  <c r="AL221" i="24" s="1"/>
  <c r="W220" i="24"/>
  <c r="O220" i="24"/>
  <c r="V220" i="24" s="1"/>
  <c r="AL220" i="24" s="1"/>
  <c r="AK220" i="24" s="1"/>
  <c r="O219" i="24"/>
  <c r="V219" i="24" s="1"/>
  <c r="AL219" i="24" s="1"/>
  <c r="O218" i="24"/>
  <c r="V218" i="24" s="1"/>
  <c r="AL218" i="24" s="1"/>
  <c r="O216" i="24"/>
  <c r="V216" i="24" s="1"/>
  <c r="AL216" i="24" s="1"/>
  <c r="AK216" i="24" s="1"/>
  <c r="O214" i="24"/>
  <c r="V214" i="24" s="1"/>
  <c r="AL214" i="24" s="1"/>
  <c r="O213" i="24"/>
  <c r="V213" i="24" s="1"/>
  <c r="AL213" i="24" s="1"/>
  <c r="O212" i="24"/>
  <c r="V212" i="24" s="1"/>
  <c r="AL212" i="24" s="1"/>
  <c r="O208" i="24"/>
  <c r="V208" i="24" s="1"/>
  <c r="AL208" i="24" s="1"/>
  <c r="O207" i="24"/>
  <c r="V207" i="24" s="1"/>
  <c r="AL207" i="24" s="1"/>
  <c r="O205" i="24"/>
  <c r="V205" i="24" s="1"/>
  <c r="AL205" i="24" s="1"/>
  <c r="O204" i="24"/>
  <c r="AF204" i="24" s="1"/>
  <c r="O201" i="24"/>
  <c r="AF201" i="24" s="1"/>
  <c r="O200" i="24"/>
  <c r="AF200" i="24" s="1"/>
  <c r="O199" i="24"/>
  <c r="V199" i="24" s="1"/>
  <c r="AL199" i="24" s="1"/>
  <c r="O198" i="24"/>
  <c r="V198" i="24" s="1"/>
  <c r="O197" i="24"/>
  <c r="V197" i="24" s="1"/>
  <c r="AL197" i="24" s="1"/>
  <c r="O191" i="24"/>
  <c r="V191" i="24" s="1"/>
  <c r="O190" i="24"/>
  <c r="AF190" i="24" s="1"/>
  <c r="O189" i="24"/>
  <c r="V189" i="24" s="1"/>
  <c r="O188" i="24"/>
  <c r="AF188" i="24" s="1"/>
  <c r="O187" i="24"/>
  <c r="V187" i="24" s="1"/>
  <c r="AL187" i="24" s="1"/>
  <c r="O186" i="24"/>
  <c r="V186" i="24" s="1"/>
  <c r="O182" i="24"/>
  <c r="V182" i="24" s="1"/>
  <c r="O173" i="24"/>
  <c r="V173" i="24" s="1"/>
  <c r="AL173" i="24" s="1"/>
  <c r="O172" i="24"/>
  <c r="O169" i="24"/>
  <c r="V169" i="24" s="1"/>
  <c r="AL169" i="24" s="1"/>
  <c r="O168" i="24"/>
  <c r="V168" i="24" s="1"/>
  <c r="O167" i="24"/>
  <c r="O166" i="24"/>
  <c r="AF166" i="24" s="1"/>
  <c r="O165" i="24"/>
  <c r="V165" i="24" s="1"/>
  <c r="O164" i="24"/>
  <c r="V164" i="24" s="1"/>
  <c r="AL164" i="24" s="1"/>
  <c r="O163" i="24"/>
  <c r="O162" i="24"/>
  <c r="V162" i="24" s="1"/>
  <c r="AL162" i="24" s="1"/>
  <c r="AK162" i="24" s="1"/>
  <c r="O161" i="24"/>
  <c r="V161" i="24" s="1"/>
  <c r="AL161" i="24" s="1"/>
  <c r="O160" i="24"/>
  <c r="V160" i="24" s="1"/>
  <c r="O159" i="24"/>
  <c r="V159" i="24" s="1"/>
  <c r="O158" i="24"/>
  <c r="V158" i="24" s="1"/>
  <c r="AL158" i="24" s="1"/>
  <c r="O157" i="24"/>
  <c r="V157" i="24" s="1"/>
  <c r="O156" i="24"/>
  <c r="V156" i="24" s="1"/>
  <c r="AL156" i="24" s="1"/>
  <c r="O155" i="24"/>
  <c r="AF155" i="24" s="1"/>
  <c r="O154" i="24"/>
  <c r="V154" i="24" s="1"/>
  <c r="AL154" i="24" s="1"/>
  <c r="O153" i="24"/>
  <c r="V153" i="24" s="1"/>
  <c r="O152" i="24"/>
  <c r="V152" i="24" s="1"/>
  <c r="O151" i="24"/>
  <c r="AF151" i="24" s="1"/>
  <c r="O150" i="24"/>
  <c r="V150" i="24" s="1"/>
  <c r="AL150" i="24" s="1"/>
  <c r="O149" i="24"/>
  <c r="V149" i="24" s="1"/>
  <c r="O148" i="24"/>
  <c r="V148" i="24" s="1"/>
  <c r="O147" i="24"/>
  <c r="AF147" i="24" s="1"/>
  <c r="O146" i="24"/>
  <c r="V146" i="24" s="1"/>
  <c r="AL146" i="24" s="1"/>
  <c r="O145" i="24"/>
  <c r="V145" i="24" s="1"/>
  <c r="AL145" i="24" s="1"/>
  <c r="O144" i="24"/>
  <c r="V144" i="24" s="1"/>
  <c r="O143" i="24"/>
  <c r="V143" i="24" s="1"/>
  <c r="O140" i="24"/>
  <c r="V140" i="24" s="1"/>
  <c r="J140" i="24"/>
  <c r="O139" i="24"/>
  <c r="V139" i="24" s="1"/>
  <c r="AL139" i="24" s="1"/>
  <c r="J139" i="24"/>
  <c r="O138" i="24"/>
  <c r="V138" i="24" s="1"/>
  <c r="AL138" i="24" s="1"/>
  <c r="J138" i="24"/>
  <c r="O137" i="24"/>
  <c r="V137" i="24" s="1"/>
  <c r="J137" i="24"/>
  <c r="O136" i="24"/>
  <c r="V136" i="24" s="1"/>
  <c r="AL136" i="24" s="1"/>
  <c r="J136" i="24"/>
  <c r="O135" i="24"/>
  <c r="V135" i="24" s="1"/>
  <c r="J135" i="24"/>
  <c r="O134" i="24"/>
  <c r="V134" i="24" s="1"/>
  <c r="AL134" i="24" s="1"/>
  <c r="AK134" i="24" s="1"/>
  <c r="J134" i="24"/>
  <c r="O13" i="24"/>
  <c r="S12" i="24"/>
  <c r="O12" i="24"/>
  <c r="AF12" i="24" s="1"/>
  <c r="S11" i="24"/>
  <c r="O11" i="24"/>
  <c r="AR10" i="24"/>
  <c r="AP10" i="24"/>
  <c r="AO10" i="24"/>
  <c r="AM10" i="24"/>
  <c r="AL10" i="24"/>
  <c r="AJ10" i="24"/>
  <c r="AI10" i="24"/>
  <c r="AG10" i="24"/>
  <c r="AF10" i="24"/>
  <c r="AD10" i="24"/>
  <c r="B10" i="24"/>
  <c r="AR9" i="24"/>
  <c r="AP9" i="24"/>
  <c r="AO9" i="24"/>
  <c r="AM9" i="24"/>
  <c r="AJ9" i="24"/>
  <c r="AG9" i="24"/>
  <c r="AD9" i="24"/>
  <c r="S9" i="24"/>
  <c r="O9" i="24"/>
  <c r="AF9" i="24" s="1"/>
  <c r="Y3" i="24"/>
  <c r="AR152" i="22"/>
  <c r="AP152" i="22"/>
  <c r="AO152" i="22"/>
  <c r="AM152" i="22"/>
  <c r="AL152" i="22"/>
  <c r="AJ152" i="22"/>
  <c r="AI152" i="22"/>
  <c r="AG152" i="22"/>
  <c r="AF152" i="22"/>
  <c r="AD152" i="22"/>
  <c r="AR151" i="22"/>
  <c r="AQ151" i="22"/>
  <c r="AP151" i="22"/>
  <c r="AO151" i="22"/>
  <c r="AM151" i="22"/>
  <c r="AL151" i="22"/>
  <c r="AJ151" i="22"/>
  <c r="AI151" i="22"/>
  <c r="AG151" i="22"/>
  <c r="AF151" i="22"/>
  <c r="AD151" i="22"/>
  <c r="AR150" i="22"/>
  <c r="AP150" i="22"/>
  <c r="AO150" i="22"/>
  <c r="AM150" i="22"/>
  <c r="AL150" i="22"/>
  <c r="AJ150" i="22"/>
  <c r="AI150" i="22"/>
  <c r="AG150" i="22"/>
  <c r="AF150" i="22"/>
  <c r="AD150" i="22"/>
  <c r="AR149" i="22"/>
  <c r="AP149" i="22"/>
  <c r="AO149" i="22"/>
  <c r="AM149" i="22"/>
  <c r="AL149" i="22"/>
  <c r="AJ149" i="22"/>
  <c r="AI149" i="22"/>
  <c r="AG149" i="22"/>
  <c r="AF149" i="22"/>
  <c r="AD149" i="22"/>
  <c r="AR148" i="22"/>
  <c r="AP148" i="22"/>
  <c r="AO148" i="22"/>
  <c r="AM148" i="22"/>
  <c r="AL148" i="22"/>
  <c r="AJ148" i="22"/>
  <c r="AI148" i="22"/>
  <c r="AG148" i="22"/>
  <c r="AF148" i="22"/>
  <c r="AD148" i="22"/>
  <c r="AR147" i="22"/>
  <c r="AP147" i="22"/>
  <c r="AO147" i="22"/>
  <c r="AM147" i="22"/>
  <c r="AL147" i="22"/>
  <c r="AJ147" i="22"/>
  <c r="AI147" i="22"/>
  <c r="AG147" i="22"/>
  <c r="AF147" i="22"/>
  <c r="AD147" i="22"/>
  <c r="AR146" i="22"/>
  <c r="AP146" i="22"/>
  <c r="AO146" i="22"/>
  <c r="AM146" i="22"/>
  <c r="AD146" i="22"/>
  <c r="O146" i="22"/>
  <c r="AF146" i="22"/>
  <c r="AR145" i="22"/>
  <c r="AP145" i="22"/>
  <c r="AO145" i="22"/>
  <c r="AM145" i="22"/>
  <c r="AD145" i="22"/>
  <c r="O145" i="22"/>
  <c r="AR144" i="22"/>
  <c r="AP144" i="22"/>
  <c r="AO144" i="22"/>
  <c r="AM144" i="22"/>
  <c r="AD144" i="22"/>
  <c r="O144" i="22"/>
  <c r="AR143" i="22"/>
  <c r="AP143" i="22"/>
  <c r="AO143" i="22"/>
  <c r="AM143" i="22"/>
  <c r="AD143" i="22"/>
  <c r="O143" i="22"/>
  <c r="AR142" i="22"/>
  <c r="AP142" i="22"/>
  <c r="AO142" i="22"/>
  <c r="AM142" i="22"/>
  <c r="AD142" i="22"/>
  <c r="O142" i="22"/>
  <c r="AR141" i="22"/>
  <c r="AP141" i="22"/>
  <c r="AO141" i="22"/>
  <c r="AM141" i="22"/>
  <c r="AD141" i="22"/>
  <c r="O141" i="22"/>
  <c r="AR140" i="22"/>
  <c r="AP140" i="22"/>
  <c r="AO140" i="22"/>
  <c r="AM140" i="22"/>
  <c r="AD140" i="22"/>
  <c r="O140" i="22"/>
  <c r="AR139" i="22"/>
  <c r="AP139" i="22"/>
  <c r="AO139" i="22"/>
  <c r="AM139" i="22"/>
  <c r="AD139" i="22"/>
  <c r="O139" i="22"/>
  <c r="AR138" i="22"/>
  <c r="AP138" i="22"/>
  <c r="AO138" i="22"/>
  <c r="AM138" i="22"/>
  <c r="AD138" i="22"/>
  <c r="O138" i="22"/>
  <c r="AR137" i="22"/>
  <c r="AP137" i="22"/>
  <c r="AO137" i="22"/>
  <c r="AM137" i="22"/>
  <c r="AD137" i="22"/>
  <c r="O137" i="22"/>
  <c r="AF137" i="22" s="1"/>
  <c r="AR136" i="22"/>
  <c r="AP136" i="22"/>
  <c r="AO136" i="22"/>
  <c r="AM136" i="22"/>
  <c r="AD136" i="22"/>
  <c r="O136" i="22"/>
  <c r="AR135" i="22"/>
  <c r="AP135" i="22"/>
  <c r="AO135" i="22"/>
  <c r="AM135" i="22"/>
  <c r="AD135" i="22"/>
  <c r="O135" i="22"/>
  <c r="AR134" i="22"/>
  <c r="AP134" i="22"/>
  <c r="AO134" i="22"/>
  <c r="AM134" i="22"/>
  <c r="AD134" i="22"/>
  <c r="O134" i="22"/>
  <c r="AR133" i="22"/>
  <c r="AP133" i="22"/>
  <c r="AO133" i="22"/>
  <c r="AM133" i="22"/>
  <c r="AD133" i="22"/>
  <c r="AE133" i="22" s="1"/>
  <c r="O133" i="22"/>
  <c r="AF133" i="22" s="1"/>
  <c r="AR132" i="22"/>
  <c r="AP132" i="22"/>
  <c r="AO132" i="22"/>
  <c r="AM132" i="22"/>
  <c r="AD132" i="22"/>
  <c r="O132" i="22"/>
  <c r="AR131" i="22"/>
  <c r="AP131" i="22"/>
  <c r="AO131" i="22"/>
  <c r="AM131" i="22"/>
  <c r="AD131" i="22"/>
  <c r="O131" i="22"/>
  <c r="AR130" i="22"/>
  <c r="AP130" i="22"/>
  <c r="AO130" i="22"/>
  <c r="AM130" i="22"/>
  <c r="AD130" i="22"/>
  <c r="O130" i="22"/>
  <c r="AR129" i="22"/>
  <c r="AP129" i="22"/>
  <c r="AO129" i="22"/>
  <c r="AM129" i="22"/>
  <c r="AD129" i="22"/>
  <c r="O129" i="22"/>
  <c r="AR128" i="22"/>
  <c r="AP128" i="22"/>
  <c r="AO128" i="22"/>
  <c r="AM128" i="22"/>
  <c r="AD128" i="22"/>
  <c r="O128" i="22"/>
  <c r="AR127" i="22"/>
  <c r="AP127" i="22"/>
  <c r="AO127" i="22"/>
  <c r="AM127" i="22"/>
  <c r="AD127" i="22"/>
  <c r="O127" i="22"/>
  <c r="AR126" i="22"/>
  <c r="AP126" i="22"/>
  <c r="AO126" i="22"/>
  <c r="AM126" i="22"/>
  <c r="AD126" i="22"/>
  <c r="O126" i="22"/>
  <c r="AR125" i="22"/>
  <c r="AP125" i="22"/>
  <c r="AO125" i="22"/>
  <c r="AM125" i="22"/>
  <c r="AD125" i="22"/>
  <c r="O125" i="22"/>
  <c r="AR124" i="22"/>
  <c r="AP124" i="22"/>
  <c r="AO124" i="22"/>
  <c r="AM124" i="22"/>
  <c r="AD124" i="22"/>
  <c r="O124" i="22"/>
  <c r="AR123" i="22"/>
  <c r="AP123" i="22"/>
  <c r="AO123" i="22"/>
  <c r="AM123" i="22"/>
  <c r="AD123" i="22"/>
  <c r="O123" i="22"/>
  <c r="AR122" i="22"/>
  <c r="AP122" i="22"/>
  <c r="AO122" i="22"/>
  <c r="AM122" i="22"/>
  <c r="AD122" i="22"/>
  <c r="O122" i="22"/>
  <c r="AR121" i="22"/>
  <c r="AP121" i="22"/>
  <c r="AO121" i="22"/>
  <c r="AM121" i="22"/>
  <c r="AD121" i="22"/>
  <c r="AE121" i="22" s="1"/>
  <c r="O121" i="22"/>
  <c r="AR120" i="22"/>
  <c r="AP120" i="22"/>
  <c r="AO120" i="22"/>
  <c r="AM120" i="22"/>
  <c r="AN120" i="22" s="1"/>
  <c r="AD120" i="22"/>
  <c r="O120" i="22"/>
  <c r="AR119" i="22"/>
  <c r="AP119" i="22"/>
  <c r="AO119" i="22"/>
  <c r="AM119" i="22"/>
  <c r="AD119" i="22"/>
  <c r="O119" i="22"/>
  <c r="AR118" i="22"/>
  <c r="AP118" i="22"/>
  <c r="AO118" i="22"/>
  <c r="AM118" i="22"/>
  <c r="AD118" i="22"/>
  <c r="O118" i="22"/>
  <c r="AR117" i="22"/>
  <c r="AP117" i="22"/>
  <c r="AQ117" i="22" s="1"/>
  <c r="AO117" i="22"/>
  <c r="AM117" i="22"/>
  <c r="AD117" i="22"/>
  <c r="O117" i="22"/>
  <c r="AR116" i="22"/>
  <c r="AP116" i="22"/>
  <c r="AO116" i="22"/>
  <c r="AM116" i="22"/>
  <c r="AD116" i="22"/>
  <c r="O116" i="22"/>
  <c r="AR115" i="22"/>
  <c r="AP115" i="22"/>
  <c r="AO115" i="22"/>
  <c r="AM115" i="22"/>
  <c r="AD115" i="22"/>
  <c r="O115" i="22"/>
  <c r="AR114" i="22"/>
  <c r="AP114" i="22"/>
  <c r="AO114" i="22"/>
  <c r="AM114" i="22"/>
  <c r="AD114" i="22"/>
  <c r="O114" i="22"/>
  <c r="AR113" i="22"/>
  <c r="AP113" i="22"/>
  <c r="AO113" i="22"/>
  <c r="AM113" i="22"/>
  <c r="AD113" i="22"/>
  <c r="O113" i="22"/>
  <c r="AR112" i="22"/>
  <c r="AP112" i="22"/>
  <c r="AO112" i="22"/>
  <c r="AM112" i="22"/>
  <c r="AD112" i="22"/>
  <c r="O112" i="22"/>
  <c r="AR111" i="22"/>
  <c r="AP111" i="22"/>
  <c r="AO111" i="22"/>
  <c r="AM111" i="22"/>
  <c r="AD111" i="22"/>
  <c r="O111" i="22"/>
  <c r="AR110" i="22"/>
  <c r="AP110" i="22"/>
  <c r="AO110" i="22"/>
  <c r="AM110" i="22"/>
  <c r="AD110" i="22"/>
  <c r="O110" i="22"/>
  <c r="AF110" i="22" s="1"/>
  <c r="AR109" i="22"/>
  <c r="AP109" i="22"/>
  <c r="AO109" i="22"/>
  <c r="AM109" i="22"/>
  <c r="AD109" i="22"/>
  <c r="O109" i="22"/>
  <c r="AR108" i="22"/>
  <c r="AP108" i="22"/>
  <c r="AO108" i="22"/>
  <c r="AM108" i="22"/>
  <c r="AD108" i="22"/>
  <c r="O108" i="22"/>
  <c r="AR107" i="22"/>
  <c r="AP107" i="22"/>
  <c r="AO107" i="22"/>
  <c r="AM107" i="22"/>
  <c r="AD107" i="22"/>
  <c r="O107" i="22"/>
  <c r="AR106" i="22"/>
  <c r="AP106" i="22"/>
  <c r="AO106" i="22"/>
  <c r="AM106" i="22"/>
  <c r="AD106" i="22"/>
  <c r="O106" i="22"/>
  <c r="AR105" i="22"/>
  <c r="AP105" i="22"/>
  <c r="AO105" i="22"/>
  <c r="AM105" i="22"/>
  <c r="AD105" i="22"/>
  <c r="AE105" i="22" s="1"/>
  <c r="O105" i="22"/>
  <c r="AR104" i="22"/>
  <c r="AP104" i="22"/>
  <c r="AO104" i="22"/>
  <c r="AM104" i="22"/>
  <c r="AD104" i="22"/>
  <c r="O104" i="22"/>
  <c r="AF104" i="22" s="1"/>
  <c r="AR103" i="22"/>
  <c r="AP103" i="22"/>
  <c r="AO103" i="22"/>
  <c r="AM103" i="22"/>
  <c r="AD103" i="22"/>
  <c r="O103" i="22"/>
  <c r="AR102" i="22"/>
  <c r="AP102" i="22"/>
  <c r="AO102" i="22"/>
  <c r="AM102" i="22"/>
  <c r="AD102" i="22"/>
  <c r="O102" i="22"/>
  <c r="AR101" i="22"/>
  <c r="AP101" i="22"/>
  <c r="AO101" i="22"/>
  <c r="AM101" i="22"/>
  <c r="AD101" i="22"/>
  <c r="O101" i="22"/>
  <c r="AR100" i="22"/>
  <c r="AP100" i="22"/>
  <c r="AO100" i="22"/>
  <c r="AM100" i="22"/>
  <c r="AD100" i="22"/>
  <c r="O100" i="22"/>
  <c r="AR99" i="22"/>
  <c r="AP99" i="22"/>
  <c r="AO99" i="22"/>
  <c r="AM99" i="22"/>
  <c r="AD99" i="22"/>
  <c r="O99" i="22"/>
  <c r="AR98" i="22"/>
  <c r="AP98" i="22"/>
  <c r="AO98" i="22"/>
  <c r="AM98" i="22"/>
  <c r="AD98" i="22"/>
  <c r="O98" i="22"/>
  <c r="AR97" i="22"/>
  <c r="AP97" i="22"/>
  <c r="AO97" i="22"/>
  <c r="AM97" i="22"/>
  <c r="AD97" i="22"/>
  <c r="AE97" i="22" s="1"/>
  <c r="O97" i="22"/>
  <c r="AR96" i="22"/>
  <c r="AP96" i="22"/>
  <c r="AO96" i="22"/>
  <c r="AM96" i="22"/>
  <c r="AD96" i="22"/>
  <c r="O96" i="22"/>
  <c r="AR95" i="22"/>
  <c r="AP95" i="22"/>
  <c r="AO95" i="22"/>
  <c r="AM95" i="22"/>
  <c r="AD95" i="22"/>
  <c r="O95" i="22"/>
  <c r="AR94" i="22"/>
  <c r="AP94" i="22"/>
  <c r="AO94" i="22"/>
  <c r="AM94" i="22"/>
  <c r="AD94" i="22"/>
  <c r="O94" i="22"/>
  <c r="AR93" i="22"/>
  <c r="AP93" i="22"/>
  <c r="AO93" i="22"/>
  <c r="AM93" i="22"/>
  <c r="AD93" i="22"/>
  <c r="O93" i="22"/>
  <c r="AR92" i="22"/>
  <c r="AP92" i="22"/>
  <c r="AO92" i="22"/>
  <c r="AM92" i="22"/>
  <c r="AD92" i="22"/>
  <c r="O92" i="22"/>
  <c r="AR91" i="22"/>
  <c r="AP91" i="22"/>
  <c r="AO91" i="22"/>
  <c r="AM91" i="22"/>
  <c r="AD91" i="22"/>
  <c r="O91" i="22"/>
  <c r="AR90" i="22"/>
  <c r="AP90" i="22"/>
  <c r="AO90" i="22"/>
  <c r="AM90" i="22"/>
  <c r="AD90" i="22"/>
  <c r="O90" i="22"/>
  <c r="AR89" i="22"/>
  <c r="AP89" i="22"/>
  <c r="AO89" i="22"/>
  <c r="AM89" i="22"/>
  <c r="AD89" i="22"/>
  <c r="O89" i="22"/>
  <c r="AR88" i="22"/>
  <c r="AP88" i="22"/>
  <c r="AO88" i="22"/>
  <c r="AM88" i="22"/>
  <c r="AD88" i="22"/>
  <c r="O88" i="22"/>
  <c r="AR87" i="22"/>
  <c r="AP87" i="22"/>
  <c r="AO87" i="22"/>
  <c r="AM87" i="22"/>
  <c r="AD87" i="22"/>
  <c r="O87" i="22"/>
  <c r="AR86" i="22"/>
  <c r="AP86" i="22"/>
  <c r="AO86" i="22"/>
  <c r="AM86" i="22"/>
  <c r="AD86" i="22"/>
  <c r="O86" i="22"/>
  <c r="AF86" i="22" s="1"/>
  <c r="AR85" i="22"/>
  <c r="AP85" i="22"/>
  <c r="AO85" i="22"/>
  <c r="AM85" i="22"/>
  <c r="AD85" i="22"/>
  <c r="O85" i="22"/>
  <c r="AF85" i="22" s="1"/>
  <c r="AR84" i="22"/>
  <c r="AP84" i="22"/>
  <c r="AO84" i="22"/>
  <c r="AM84" i="22"/>
  <c r="AD84" i="22"/>
  <c r="O84" i="22"/>
  <c r="AF84" i="22" s="1"/>
  <c r="AR83" i="22"/>
  <c r="AP83" i="22"/>
  <c r="AO83" i="22"/>
  <c r="AM83" i="22"/>
  <c r="AD83" i="22"/>
  <c r="O83" i="22"/>
  <c r="AR82" i="22"/>
  <c r="AP82" i="22"/>
  <c r="AO82" i="22"/>
  <c r="AM82" i="22"/>
  <c r="AD82" i="22"/>
  <c r="O82" i="22"/>
  <c r="AR81" i="22"/>
  <c r="AP81" i="22"/>
  <c r="AO81" i="22"/>
  <c r="AM81" i="22"/>
  <c r="AD81" i="22"/>
  <c r="O81" i="22"/>
  <c r="AR80" i="22"/>
  <c r="AP80" i="22"/>
  <c r="AO80" i="22"/>
  <c r="AM80" i="22"/>
  <c r="AD80" i="22"/>
  <c r="O80" i="22"/>
  <c r="AF80" i="22" s="1"/>
  <c r="AR79" i="22"/>
  <c r="AP79" i="22"/>
  <c r="AO79" i="22"/>
  <c r="AM79" i="22"/>
  <c r="AD79" i="22"/>
  <c r="O79" i="22"/>
  <c r="AR78" i="22"/>
  <c r="AP78" i="22"/>
  <c r="AO78" i="22"/>
  <c r="AM78" i="22"/>
  <c r="AD78" i="22"/>
  <c r="O78" i="22"/>
  <c r="AR77" i="22"/>
  <c r="AP77" i="22"/>
  <c r="AO77" i="22"/>
  <c r="AM77" i="22"/>
  <c r="AD77" i="22"/>
  <c r="AE77" i="22" s="1"/>
  <c r="O77" i="22"/>
  <c r="AR76" i="22"/>
  <c r="AP76" i="22"/>
  <c r="AO76" i="22"/>
  <c r="AM76" i="22"/>
  <c r="AD76" i="22"/>
  <c r="O76" i="22"/>
  <c r="AR75" i="22"/>
  <c r="AP75" i="22"/>
  <c r="AO75" i="22"/>
  <c r="AM75" i="22"/>
  <c r="AD75" i="22"/>
  <c r="O75" i="22"/>
  <c r="AR74" i="22"/>
  <c r="AP74" i="22"/>
  <c r="AO74" i="22"/>
  <c r="AM74" i="22"/>
  <c r="AD74" i="22"/>
  <c r="O74" i="22"/>
  <c r="AF74" i="22" s="1"/>
  <c r="AR73" i="22"/>
  <c r="AP73" i="22"/>
  <c r="AO73" i="22"/>
  <c r="AM73" i="22"/>
  <c r="AD73" i="22"/>
  <c r="O73" i="22"/>
  <c r="AR72" i="22"/>
  <c r="AP72" i="22"/>
  <c r="AO72" i="22"/>
  <c r="AM72" i="22"/>
  <c r="AD72" i="22"/>
  <c r="O72" i="22"/>
  <c r="AR71" i="22"/>
  <c r="AP71" i="22"/>
  <c r="AO71" i="22"/>
  <c r="AM71" i="22"/>
  <c r="AD71" i="22"/>
  <c r="O71" i="22"/>
  <c r="AR70" i="22"/>
  <c r="AP70" i="22"/>
  <c r="AO70" i="22"/>
  <c r="AM70" i="22"/>
  <c r="AD70" i="22"/>
  <c r="O70" i="22"/>
  <c r="AR69" i="22"/>
  <c r="AP69" i="22"/>
  <c r="AO69" i="22"/>
  <c r="AM69" i="22"/>
  <c r="AD69" i="22"/>
  <c r="O69" i="22"/>
  <c r="AR68" i="22"/>
  <c r="AP68" i="22"/>
  <c r="AO68" i="22"/>
  <c r="AM68" i="22"/>
  <c r="AD68" i="22"/>
  <c r="O68" i="22"/>
  <c r="AR67" i="22"/>
  <c r="AP67" i="22"/>
  <c r="AO67" i="22"/>
  <c r="AM67" i="22"/>
  <c r="AD67" i="22"/>
  <c r="O67" i="22"/>
  <c r="AR66" i="22"/>
  <c r="AP66" i="22"/>
  <c r="AO66" i="22"/>
  <c r="AM66" i="22"/>
  <c r="AD66" i="22"/>
  <c r="O66" i="22"/>
  <c r="AR65" i="22"/>
  <c r="AP65" i="22"/>
  <c r="AO65" i="22"/>
  <c r="AM65" i="22"/>
  <c r="AD65" i="22"/>
  <c r="O65" i="22"/>
  <c r="AR64" i="22"/>
  <c r="AP64" i="22"/>
  <c r="AO64" i="22"/>
  <c r="AM64" i="22"/>
  <c r="AD64" i="22"/>
  <c r="O64" i="22"/>
  <c r="AR63" i="22"/>
  <c r="AP63" i="22"/>
  <c r="AO63" i="22"/>
  <c r="AM63" i="22"/>
  <c r="AD63" i="22"/>
  <c r="O63" i="22"/>
  <c r="AR62" i="22"/>
  <c r="AP62" i="22"/>
  <c r="AO62" i="22"/>
  <c r="AM62" i="22"/>
  <c r="AD62" i="22"/>
  <c r="O62" i="22"/>
  <c r="AR61" i="22"/>
  <c r="AP61" i="22"/>
  <c r="AO61" i="22"/>
  <c r="AM61" i="22"/>
  <c r="AD61" i="22"/>
  <c r="O61" i="22"/>
  <c r="AR60" i="22"/>
  <c r="AP60" i="22"/>
  <c r="AO60" i="22"/>
  <c r="AM60" i="22"/>
  <c r="AD60" i="22"/>
  <c r="O60" i="22"/>
  <c r="AR59" i="22"/>
  <c r="AP59" i="22"/>
  <c r="AO59" i="22"/>
  <c r="AM59" i="22"/>
  <c r="AD59" i="22"/>
  <c r="O59" i="22"/>
  <c r="AR58" i="22"/>
  <c r="AP58" i="22"/>
  <c r="AO58" i="22"/>
  <c r="AM58" i="22"/>
  <c r="AD58" i="22"/>
  <c r="O58" i="22"/>
  <c r="AR57" i="22"/>
  <c r="AP57" i="22"/>
  <c r="AO57" i="22"/>
  <c r="AM57" i="22"/>
  <c r="AD57" i="22"/>
  <c r="O57" i="22"/>
  <c r="AR56" i="22"/>
  <c r="AP56" i="22"/>
  <c r="AO56" i="22"/>
  <c r="AM56" i="22"/>
  <c r="AD56" i="22"/>
  <c r="O56" i="22"/>
  <c r="AR55" i="22"/>
  <c r="AP55" i="22"/>
  <c r="AO55" i="22"/>
  <c r="AM55" i="22"/>
  <c r="AD55" i="22"/>
  <c r="O55" i="22"/>
  <c r="AR54" i="22"/>
  <c r="AP54" i="22"/>
  <c r="AO54" i="22"/>
  <c r="AM54" i="22"/>
  <c r="AD54" i="22"/>
  <c r="O54" i="22"/>
  <c r="AF54" i="22" s="1"/>
  <c r="AR53" i="22"/>
  <c r="AP53" i="22"/>
  <c r="AO53" i="22"/>
  <c r="AM53" i="22"/>
  <c r="AD53" i="22"/>
  <c r="AE53" i="22" s="1"/>
  <c r="O53" i="22"/>
  <c r="AR52" i="22"/>
  <c r="AP52" i="22"/>
  <c r="AO52" i="22"/>
  <c r="AM52" i="22"/>
  <c r="AD52" i="22"/>
  <c r="O52" i="22"/>
  <c r="AR51" i="22"/>
  <c r="AP51" i="22"/>
  <c r="AO51" i="22"/>
  <c r="AM51" i="22"/>
  <c r="AD51" i="22"/>
  <c r="O51" i="22"/>
  <c r="AR50" i="22"/>
  <c r="AP50" i="22"/>
  <c r="AO50" i="22"/>
  <c r="AM50" i="22"/>
  <c r="AD50" i="22"/>
  <c r="O50" i="22"/>
  <c r="AR49" i="22"/>
  <c r="AP49" i="22"/>
  <c r="AO49" i="22"/>
  <c r="AM49" i="22"/>
  <c r="AD49" i="22"/>
  <c r="O49" i="22"/>
  <c r="AR48" i="22"/>
  <c r="AP48" i="22"/>
  <c r="AO48" i="22"/>
  <c r="AM48" i="22"/>
  <c r="AD48" i="22"/>
  <c r="O48" i="22"/>
  <c r="AR47" i="22"/>
  <c r="AP47" i="22"/>
  <c r="AO47" i="22"/>
  <c r="AM47" i="22"/>
  <c r="AD47" i="22"/>
  <c r="O47" i="22"/>
  <c r="AR46" i="22"/>
  <c r="AP46" i="22"/>
  <c r="AO46" i="22"/>
  <c r="AM46" i="22"/>
  <c r="AD46" i="22"/>
  <c r="O46" i="22"/>
  <c r="AR45" i="22"/>
  <c r="AP45" i="22"/>
  <c r="AQ45" i="22" s="1"/>
  <c r="AO45" i="22"/>
  <c r="AM45" i="22"/>
  <c r="AD45" i="22"/>
  <c r="O45" i="22"/>
  <c r="AR44" i="22"/>
  <c r="AP44" i="22"/>
  <c r="AO44" i="22"/>
  <c r="AM44" i="22"/>
  <c r="AD44" i="22"/>
  <c r="O44" i="22"/>
  <c r="AR43" i="22"/>
  <c r="AP43" i="22"/>
  <c r="AO43" i="22"/>
  <c r="AM43" i="22"/>
  <c r="AD43" i="22"/>
  <c r="O43" i="22"/>
  <c r="AR42" i="22"/>
  <c r="AP42" i="22"/>
  <c r="AO42" i="22"/>
  <c r="AM42" i="22"/>
  <c r="AD42" i="22"/>
  <c r="O42" i="22"/>
  <c r="AF42" i="22" s="1"/>
  <c r="AE42" i="22" s="1"/>
  <c r="AR41" i="22"/>
  <c r="AP41" i="22"/>
  <c r="AO41" i="22"/>
  <c r="AM41" i="22"/>
  <c r="AD41" i="22"/>
  <c r="O41" i="22"/>
  <c r="AR40" i="22"/>
  <c r="AP40" i="22"/>
  <c r="AO40" i="22"/>
  <c r="AM40" i="22"/>
  <c r="AD40" i="22"/>
  <c r="O40" i="22"/>
  <c r="AR39" i="22"/>
  <c r="AP39" i="22"/>
  <c r="AO39" i="22"/>
  <c r="AM39" i="22"/>
  <c r="AD39" i="22"/>
  <c r="O39" i="22"/>
  <c r="AR38" i="22"/>
  <c r="AP38" i="22"/>
  <c r="AO38" i="22"/>
  <c r="AM38" i="22"/>
  <c r="AD38" i="22"/>
  <c r="O38" i="22"/>
  <c r="AF38" i="22" s="1"/>
  <c r="AR37" i="22"/>
  <c r="AP37" i="22"/>
  <c r="AO37" i="22"/>
  <c r="AM37" i="22"/>
  <c r="AD37" i="22"/>
  <c r="AE37" i="22" s="1"/>
  <c r="O37" i="22"/>
  <c r="AR36" i="22"/>
  <c r="AP36" i="22"/>
  <c r="AO36" i="22"/>
  <c r="AM36" i="22"/>
  <c r="AD36" i="22"/>
  <c r="O36" i="22"/>
  <c r="AR35" i="22"/>
  <c r="AP35" i="22"/>
  <c r="AO35" i="22"/>
  <c r="AM35" i="22"/>
  <c r="AD35" i="22"/>
  <c r="O35" i="22"/>
  <c r="AR34" i="22"/>
  <c r="AP34" i="22"/>
  <c r="AO34" i="22"/>
  <c r="AM34" i="22"/>
  <c r="AD34" i="22"/>
  <c r="O34" i="22"/>
  <c r="AR33" i="22"/>
  <c r="AP33" i="22"/>
  <c r="AO33" i="22"/>
  <c r="AM33" i="22"/>
  <c r="AD33" i="22"/>
  <c r="AE33" i="22" s="1"/>
  <c r="O33" i="22"/>
  <c r="AR32" i="22"/>
  <c r="AP32" i="22"/>
  <c r="AO32" i="22"/>
  <c r="AM32" i="22"/>
  <c r="AD32" i="22"/>
  <c r="O32" i="22"/>
  <c r="AR31" i="22"/>
  <c r="AQ31" i="22" s="1"/>
  <c r="AP31" i="22"/>
  <c r="AO31" i="22"/>
  <c r="AM31" i="22"/>
  <c r="AD31" i="22"/>
  <c r="O31" i="22"/>
  <c r="AR30" i="22"/>
  <c r="AP30" i="22"/>
  <c r="AO30" i="22"/>
  <c r="AM30" i="22"/>
  <c r="AD30" i="22"/>
  <c r="O30" i="22"/>
  <c r="AR29" i="22"/>
  <c r="AP29" i="22"/>
  <c r="AO29" i="22"/>
  <c r="AM29" i="22"/>
  <c r="AD29" i="22"/>
  <c r="O29" i="22"/>
  <c r="AR28" i="22"/>
  <c r="AP28" i="22"/>
  <c r="AO28" i="22"/>
  <c r="AM28" i="22"/>
  <c r="AD28" i="22"/>
  <c r="O28" i="22"/>
  <c r="AR27" i="22"/>
  <c r="AP27" i="22"/>
  <c r="AO27" i="22"/>
  <c r="AM27" i="22"/>
  <c r="AD27" i="22"/>
  <c r="O27" i="22"/>
  <c r="AR26" i="22"/>
  <c r="AP26" i="22"/>
  <c r="AO26" i="22"/>
  <c r="AM26" i="22"/>
  <c r="AD26" i="22"/>
  <c r="O26" i="22"/>
  <c r="AR25" i="22"/>
  <c r="AP25" i="22"/>
  <c r="AO25" i="22"/>
  <c r="AM25" i="22"/>
  <c r="AD25" i="22"/>
  <c r="O25" i="22"/>
  <c r="AR24" i="22"/>
  <c r="AP24" i="22"/>
  <c r="AO24" i="22"/>
  <c r="AM24" i="22"/>
  <c r="AD24" i="22"/>
  <c r="O24" i="22"/>
  <c r="AR23" i="22"/>
  <c r="AP23" i="22"/>
  <c r="AO23" i="22"/>
  <c r="AM23" i="22"/>
  <c r="AD23" i="22"/>
  <c r="O23" i="22"/>
  <c r="AR22" i="22"/>
  <c r="AP22" i="22"/>
  <c r="AQ22" i="22" s="1"/>
  <c r="AO22" i="22"/>
  <c r="AM22" i="22"/>
  <c r="AN22" i="22" s="1"/>
  <c r="AD22" i="22"/>
  <c r="O22" i="22"/>
  <c r="AF22" i="22" s="1"/>
  <c r="AR21" i="22"/>
  <c r="AP21" i="22"/>
  <c r="AO21" i="22"/>
  <c r="AM21" i="22"/>
  <c r="AD21" i="22"/>
  <c r="O21" i="22"/>
  <c r="AF21" i="22" s="1"/>
  <c r="AR20" i="22"/>
  <c r="AP20" i="22"/>
  <c r="AO20" i="22"/>
  <c r="AM20" i="22"/>
  <c r="AD20" i="22"/>
  <c r="O20" i="22"/>
  <c r="AR19" i="22"/>
  <c r="AQ19" i="22" s="1"/>
  <c r="AP19" i="22"/>
  <c r="AO19" i="22"/>
  <c r="AM19" i="22"/>
  <c r="AD19" i="22"/>
  <c r="O19" i="22"/>
  <c r="AF19" i="22" s="1"/>
  <c r="AE19" i="22" s="1"/>
  <c r="AR18" i="22"/>
  <c r="AP18" i="22"/>
  <c r="AO18" i="22"/>
  <c r="AM18" i="22"/>
  <c r="AD18" i="22"/>
  <c r="O18" i="22"/>
  <c r="AR17" i="22"/>
  <c r="AP17" i="22"/>
  <c r="AO17" i="22"/>
  <c r="AM17" i="22"/>
  <c r="AR16" i="22"/>
  <c r="AP16" i="22"/>
  <c r="AO16" i="22"/>
  <c r="AM16" i="22"/>
  <c r="AR15" i="22"/>
  <c r="AQ15" i="22" s="1"/>
  <c r="AP15" i="22"/>
  <c r="AO15" i="22"/>
  <c r="AM15" i="22"/>
  <c r="AD15" i="22"/>
  <c r="O15" i="22"/>
  <c r="AR14" i="22"/>
  <c r="AP14" i="22"/>
  <c r="AO14" i="22"/>
  <c r="AM14" i="22"/>
  <c r="AD14" i="22"/>
  <c r="AR13" i="22"/>
  <c r="AP13" i="22"/>
  <c r="AO13" i="22"/>
  <c r="AM13" i="22"/>
  <c r="AN13" i="22" s="1"/>
  <c r="AD13" i="22"/>
  <c r="AD215" i="22" s="1"/>
  <c r="AR12" i="22"/>
  <c r="AP12" i="22"/>
  <c r="AO12" i="22"/>
  <c r="AM12" i="22"/>
  <c r="AD12" i="22"/>
  <c r="AE12" i="22" s="1"/>
  <c r="O12" i="22"/>
  <c r="AR11" i="22"/>
  <c r="AP11" i="22"/>
  <c r="AO11" i="22"/>
  <c r="AM11" i="22"/>
  <c r="AD11" i="22"/>
  <c r="O11" i="22"/>
  <c r="AR10" i="22"/>
  <c r="AQ10" i="22" s="1"/>
  <c r="AQ254" i="22" s="1"/>
  <c r="AP10" i="22"/>
  <c r="AP254" i="22" s="1"/>
  <c r="AO10" i="22"/>
  <c r="AM10" i="22"/>
  <c r="AD10" i="22"/>
  <c r="O10" i="22"/>
  <c r="AF10" i="22" s="1"/>
  <c r="B10" i="22"/>
  <c r="B11" i="22" s="1"/>
  <c r="B12" i="22" s="1"/>
  <c r="B13" i="22" s="1"/>
  <c r="B14" i="22" s="1"/>
  <c r="B15" i="22" s="1"/>
  <c r="B16" i="22" s="1"/>
  <c r="B17" i="22" s="1"/>
  <c r="B18" i="22" s="1"/>
  <c r="B19" i="22" s="1"/>
  <c r="B20" i="22" s="1"/>
  <c r="B21" i="22" s="1"/>
  <c r="B22" i="22" s="1"/>
  <c r="B23" i="22" s="1"/>
  <c r="B24" i="22" s="1"/>
  <c r="B25" i="22" s="1"/>
  <c r="B26" i="22" s="1"/>
  <c r="B27" i="22" s="1"/>
  <c r="B28" i="22" s="1"/>
  <c r="B29" i="22" s="1"/>
  <c r="B30" i="22" s="1"/>
  <c r="B31" i="22" s="1"/>
  <c r="B32" i="22" s="1"/>
  <c r="B33" i="22" s="1"/>
  <c r="B34" i="22" s="1"/>
  <c r="B35" i="22" s="1"/>
  <c r="B36" i="22" s="1"/>
  <c r="B37" i="22" s="1"/>
  <c r="B38" i="22" s="1"/>
  <c r="B39" i="22" s="1"/>
  <c r="B40" i="22" s="1"/>
  <c r="B41" i="22" s="1"/>
  <c r="B42" i="22" s="1"/>
  <c r="B43" i="22" s="1"/>
  <c r="B44" i="22" s="1"/>
  <c r="B45" i="22" s="1"/>
  <c r="B46" i="22" s="1"/>
  <c r="B47" i="22" s="1"/>
  <c r="B48" i="22" s="1"/>
  <c r="B49" i="22" s="1"/>
  <c r="B50" i="22" s="1"/>
  <c r="B51" i="22" s="1"/>
  <c r="B52" i="22" s="1"/>
  <c r="B53" i="22" s="1"/>
  <c r="B54" i="22" s="1"/>
  <c r="B55" i="22" s="1"/>
  <c r="B56" i="22" s="1"/>
  <c r="B57" i="22" s="1"/>
  <c r="B58" i="22" s="1"/>
  <c r="B59" i="22" s="1"/>
  <c r="B60" i="22" s="1"/>
  <c r="B61" i="22" s="1"/>
  <c r="B62" i="22" s="1"/>
  <c r="B63" i="22" s="1"/>
  <c r="B64" i="22" s="1"/>
  <c r="B65" i="22" s="1"/>
  <c r="B66" i="22" s="1"/>
  <c r="B67" i="22" s="1"/>
  <c r="B68" i="22" s="1"/>
  <c r="B69" i="22" s="1"/>
  <c r="B70" i="22" s="1"/>
  <c r="B71" i="22" s="1"/>
  <c r="B72" i="22" s="1"/>
  <c r="B73" i="22" s="1"/>
  <c r="B74" i="22" s="1"/>
  <c r="B75" i="22" s="1"/>
  <c r="B76" i="22" s="1"/>
  <c r="B77" i="22" s="1"/>
  <c r="B78" i="22" s="1"/>
  <c r="B79" i="22" s="1"/>
  <c r="B80" i="22" s="1"/>
  <c r="B81" i="22" s="1"/>
  <c r="B82" i="22" s="1"/>
  <c r="B83" i="22" s="1"/>
  <c r="B84" i="22" s="1"/>
  <c r="B85" i="22" s="1"/>
  <c r="B86" i="22" s="1"/>
  <c r="B87" i="22" s="1"/>
  <c r="B88" i="22" s="1"/>
  <c r="B89" i="22" s="1"/>
  <c r="B90" i="22" s="1"/>
  <c r="B91" i="22" s="1"/>
  <c r="B92" i="22" s="1"/>
  <c r="B93" i="22" s="1"/>
  <c r="B94" i="22" s="1"/>
  <c r="B95" i="22" s="1"/>
  <c r="B96" i="22" s="1"/>
  <c r="B97" i="22" s="1"/>
  <c r="B98" i="22" s="1"/>
  <c r="B99" i="22" s="1"/>
  <c r="B100" i="22" s="1"/>
  <c r="B101" i="22" s="1"/>
  <c r="B102" i="22" s="1"/>
  <c r="B103" i="22" s="1"/>
  <c r="B104" i="22" s="1"/>
  <c r="B105" i="22" s="1"/>
  <c r="B106" i="22" s="1"/>
  <c r="B107" i="22" s="1"/>
  <c r="B108" i="22" s="1"/>
  <c r="B109" i="22" s="1"/>
  <c r="B110" i="22" s="1"/>
  <c r="B111" i="22" s="1"/>
  <c r="B112" i="22" s="1"/>
  <c r="B113" i="22" s="1"/>
  <c r="B114" i="22" s="1"/>
  <c r="B115" i="22" s="1"/>
  <c r="B116" i="22" s="1"/>
  <c r="B117" i="22" s="1"/>
  <c r="B118" i="22" s="1"/>
  <c r="B119" i="22" s="1"/>
  <c r="B120" i="22" s="1"/>
  <c r="B121" i="22" s="1"/>
  <c r="B122" i="22" s="1"/>
  <c r="B123" i="22" s="1"/>
  <c r="B124" i="22" s="1"/>
  <c r="B125" i="22" s="1"/>
  <c r="B126" i="22" s="1"/>
  <c r="B127" i="22" s="1"/>
  <c r="B128" i="22" s="1"/>
  <c r="B129" i="22" s="1"/>
  <c r="B130" i="22" s="1"/>
  <c r="B131" i="22" s="1"/>
  <c r="B132" i="22" s="1"/>
  <c r="B133" i="22" s="1"/>
  <c r="B134" i="22" s="1"/>
  <c r="B135" i="22" s="1"/>
  <c r="B136" i="22" s="1"/>
  <c r="B137" i="22" s="1"/>
  <c r="B138" i="22" s="1"/>
  <c r="B139" i="22" s="1"/>
  <c r="B140" i="22" s="1"/>
  <c r="B141" i="22" s="1"/>
  <c r="B142" i="22" s="1"/>
  <c r="B143" i="22" s="1"/>
  <c r="B144" i="22" s="1"/>
  <c r="B145" i="22" s="1"/>
  <c r="B146" i="22" s="1"/>
  <c r="B147" i="22" s="1"/>
  <c r="B148" i="22" s="1"/>
  <c r="B149" i="22" s="1"/>
  <c r="B150" i="22" s="1"/>
  <c r="B151" i="22" s="1"/>
  <c r="B152" i="22" s="1"/>
  <c r="B153" i="22" s="1"/>
  <c r="B154" i="22" s="1"/>
  <c r="Y3" i="22"/>
  <c r="A21" i="20"/>
  <c r="A11" i="20"/>
  <c r="B9" i="20"/>
  <c r="B10" i="20" s="1"/>
  <c r="A10" i="20" s="1"/>
  <c r="B7" i="20"/>
  <c r="A7" i="20" s="1"/>
  <c r="B5" i="20"/>
  <c r="B6" i="20" s="1"/>
  <c r="A6" i="20" s="1"/>
  <c r="B3" i="20"/>
  <c r="B4" i="20" s="1"/>
  <c r="A4" i="20" s="1"/>
  <c r="B88" i="19"/>
  <c r="A97" i="19" s="1"/>
  <c r="B76" i="19"/>
  <c r="B64" i="19"/>
  <c r="B52" i="19"/>
  <c r="A60" i="19" s="1"/>
  <c r="B36" i="19"/>
  <c r="B25" i="19"/>
  <c r="A32" i="19" s="1"/>
  <c r="B14" i="19"/>
  <c r="A18" i="19" s="1"/>
  <c r="B3" i="19"/>
  <c r="B167" i="18"/>
  <c r="E164" i="18"/>
  <c r="E163" i="18"/>
  <c r="D163" i="18"/>
  <c r="L161" i="18"/>
  <c r="L28" i="18" s="1"/>
  <c r="K161" i="18"/>
  <c r="K28" i="18" s="1"/>
  <c r="I161" i="18"/>
  <c r="I28" i="18" s="1"/>
  <c r="H161" i="18"/>
  <c r="H28" i="18" s="1"/>
  <c r="E159" i="18"/>
  <c r="D159" i="18"/>
  <c r="E158" i="18"/>
  <c r="D158" i="18"/>
  <c r="E157" i="18"/>
  <c r="D157" i="18"/>
  <c r="E156" i="18"/>
  <c r="D156" i="18"/>
  <c r="E155" i="18"/>
  <c r="D155" i="18"/>
  <c r="E154" i="18"/>
  <c r="D154" i="18"/>
  <c r="E153" i="18"/>
  <c r="E161" i="18" s="1"/>
  <c r="D153" i="18"/>
  <c r="E152" i="18"/>
  <c r="L150" i="18"/>
  <c r="L27" i="18" s="1"/>
  <c r="K150" i="18"/>
  <c r="K27" i="18" s="1"/>
  <c r="D27" i="18" s="1"/>
  <c r="I150" i="18"/>
  <c r="I27" i="18" s="1"/>
  <c r="H150" i="18"/>
  <c r="H27" i="18"/>
  <c r="E148" i="18"/>
  <c r="D148" i="18"/>
  <c r="E147" i="18"/>
  <c r="D147" i="18"/>
  <c r="E146" i="18"/>
  <c r="D146" i="18"/>
  <c r="E145" i="18"/>
  <c r="D145" i="18"/>
  <c r="E144" i="18"/>
  <c r="D144" i="18"/>
  <c r="E143" i="18"/>
  <c r="D143" i="18"/>
  <c r="L140" i="18"/>
  <c r="L26" i="18" s="1"/>
  <c r="K140" i="18"/>
  <c r="K26" i="18" s="1"/>
  <c r="I140" i="18"/>
  <c r="I26" i="18" s="1"/>
  <c r="H140" i="18"/>
  <c r="H26" i="18" s="1"/>
  <c r="E138" i="18"/>
  <c r="D138" i="18"/>
  <c r="E137" i="18"/>
  <c r="D137" i="18"/>
  <c r="D136" i="18"/>
  <c r="E133" i="18"/>
  <c r="D133" i="18"/>
  <c r="L131" i="18"/>
  <c r="L25" i="18" s="1"/>
  <c r="K131" i="18"/>
  <c r="K25" i="18" s="1"/>
  <c r="I131" i="18"/>
  <c r="I25" i="18" s="1"/>
  <c r="H131" i="18"/>
  <c r="H25" i="18" s="1"/>
  <c r="E129" i="18"/>
  <c r="D129" i="18"/>
  <c r="E128" i="18"/>
  <c r="D128" i="18"/>
  <c r="E127" i="18"/>
  <c r="D127" i="18"/>
  <c r="E126" i="18"/>
  <c r="D126" i="18"/>
  <c r="L124" i="18"/>
  <c r="L21" i="18" s="1"/>
  <c r="K124" i="18"/>
  <c r="K21" i="18" s="1"/>
  <c r="I124" i="18"/>
  <c r="I21" i="18" s="1"/>
  <c r="H124" i="18"/>
  <c r="H21" i="18" s="1"/>
  <c r="D122" i="18"/>
  <c r="E121" i="18"/>
  <c r="D121" i="18"/>
  <c r="E120" i="18"/>
  <c r="D120" i="18"/>
  <c r="L117" i="18"/>
  <c r="L22" i="18" s="1"/>
  <c r="K117" i="18"/>
  <c r="K22" i="18" s="1"/>
  <c r="I117" i="18"/>
  <c r="I22" i="18" s="1"/>
  <c r="H117" i="18"/>
  <c r="H22" i="18" s="1"/>
  <c r="E115" i="18"/>
  <c r="D115" i="18"/>
  <c r="E114" i="18"/>
  <c r="D114" i="18"/>
  <c r="E113" i="18"/>
  <c r="D113" i="18"/>
  <c r="E112" i="18"/>
  <c r="D112" i="18"/>
  <c r="E111" i="18"/>
  <c r="D111" i="18"/>
  <c r="E110" i="18"/>
  <c r="D110" i="18"/>
  <c r="E109" i="18"/>
  <c r="D109" i="18"/>
  <c r="L106" i="18"/>
  <c r="L20" i="18" s="1"/>
  <c r="K106" i="18"/>
  <c r="K20" i="18" s="1"/>
  <c r="I106" i="18"/>
  <c r="I20" i="18" s="1"/>
  <c r="H106" i="18"/>
  <c r="H20" i="18" s="1"/>
  <c r="E104" i="18"/>
  <c r="D104" i="18"/>
  <c r="E103" i="18"/>
  <c r="D103" i="18"/>
  <c r="E102" i="18"/>
  <c r="D102" i="18"/>
  <c r="E101" i="18"/>
  <c r="D101" i="18"/>
  <c r="E100" i="18"/>
  <c r="D100" i="18"/>
  <c r="E99" i="18"/>
  <c r="D99" i="18"/>
  <c r="L96" i="18"/>
  <c r="L23" i="18" s="1"/>
  <c r="K96" i="18"/>
  <c r="K23" i="18"/>
  <c r="I96" i="18"/>
  <c r="I23" i="18" s="1"/>
  <c r="H96" i="18"/>
  <c r="H23" i="18" s="1"/>
  <c r="E94" i="18"/>
  <c r="D94" i="18"/>
  <c r="E93" i="18"/>
  <c r="D93" i="18"/>
  <c r="E92" i="18"/>
  <c r="D92" i="18"/>
  <c r="L89" i="18"/>
  <c r="L19" i="18" s="1"/>
  <c r="K89" i="18"/>
  <c r="K19" i="18" s="1"/>
  <c r="I89" i="18"/>
  <c r="I19" i="18" s="1"/>
  <c r="H89" i="18"/>
  <c r="H19" i="18" s="1"/>
  <c r="E87" i="18"/>
  <c r="D87" i="18"/>
  <c r="E86" i="18"/>
  <c r="D86" i="18"/>
  <c r="E85" i="18"/>
  <c r="D85" i="18"/>
  <c r="E84" i="18"/>
  <c r="D84" i="18"/>
  <c r="E83" i="18"/>
  <c r="D83" i="18"/>
  <c r="L63" i="18"/>
  <c r="K63" i="18"/>
  <c r="H63" i="18"/>
  <c r="R55" i="18"/>
  <c r="P55" i="18"/>
  <c r="N55" i="18"/>
  <c r="I55" i="18"/>
  <c r="R54" i="18"/>
  <c r="P54" i="18"/>
  <c r="N54" i="18"/>
  <c r="I54" i="18"/>
  <c r="R53" i="18"/>
  <c r="P53" i="18"/>
  <c r="N53" i="18"/>
  <c r="I53" i="18"/>
  <c r="R52" i="18"/>
  <c r="P52" i="18"/>
  <c r="N52" i="18"/>
  <c r="I52" i="18"/>
  <c r="R51" i="18"/>
  <c r="P51" i="18"/>
  <c r="N51" i="18"/>
  <c r="I51" i="18"/>
  <c r="R50" i="18"/>
  <c r="P50" i="18"/>
  <c r="N50" i="18"/>
  <c r="I50" i="18"/>
  <c r="R49" i="18"/>
  <c r="P49" i="18"/>
  <c r="N49" i="18"/>
  <c r="I49" i="18"/>
  <c r="R48" i="18"/>
  <c r="P48" i="18"/>
  <c r="N48" i="18"/>
  <c r="I48" i="18"/>
  <c r="R47" i="18"/>
  <c r="P47" i="18"/>
  <c r="N47" i="18"/>
  <c r="I47" i="18"/>
  <c r="R46" i="18"/>
  <c r="P46" i="18"/>
  <c r="N46" i="18"/>
  <c r="I46" i="18"/>
  <c r="L34" i="18"/>
  <c r="K34" i="18"/>
  <c r="I34" i="18"/>
  <c r="H34" i="18"/>
  <c r="L24" i="18"/>
  <c r="K24" i="18"/>
  <c r="I24" i="18"/>
  <c r="H24" i="18"/>
  <c r="B5" i="18"/>
  <c r="B4" i="17"/>
  <c r="B3" i="17"/>
  <c r="B2" i="17"/>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DZ345" i="14"/>
  <c r="DY345" i="14"/>
  <c r="DK345" i="14"/>
  <c r="DJ345" i="14"/>
  <c r="DH345" i="14"/>
  <c r="DG345" i="14"/>
  <c r="DE345" i="14"/>
  <c r="DD345" i="14"/>
  <c r="DB345" i="14"/>
  <c r="DA345" i="14"/>
  <c r="CY345" i="14"/>
  <c r="CX345" i="14"/>
  <c r="CV345" i="14"/>
  <c r="CU345" i="14"/>
  <c r="CS345" i="14"/>
  <c r="CR345" i="14"/>
  <c r="CQ345" i="14"/>
  <c r="CP345" i="14"/>
  <c r="CO345" i="14"/>
  <c r="CJ345" i="14"/>
  <c r="CI345" i="14"/>
  <c r="BU345" i="14"/>
  <c r="BT345" i="14"/>
  <c r="BR345" i="14"/>
  <c r="BQ345" i="14"/>
  <c r="BO345" i="14"/>
  <c r="BN345" i="14"/>
  <c r="BL345" i="14"/>
  <c r="BK345" i="14"/>
  <c r="BI345" i="14"/>
  <c r="BH345" i="14"/>
  <c r="BF345" i="14"/>
  <c r="BE345" i="14"/>
  <c r="BC345" i="14"/>
  <c r="BB345" i="14"/>
  <c r="BA345" i="14"/>
  <c r="AZ345" i="14"/>
  <c r="AY345" i="14"/>
  <c r="AX345" i="14"/>
  <c r="AW345" i="14"/>
  <c r="AT345" i="14"/>
  <c r="AR345" i="14"/>
  <c r="AQ345" i="14"/>
  <c r="AC345" i="14"/>
  <c r="AB345" i="14"/>
  <c r="Z345" i="14"/>
  <c r="Y345" i="14"/>
  <c r="W345" i="14"/>
  <c r="V345" i="14"/>
  <c r="T345" i="14"/>
  <c r="S345" i="14"/>
  <c r="Q345" i="14"/>
  <c r="P345" i="14"/>
  <c r="N345" i="14"/>
  <c r="M345" i="14"/>
  <c r="K345" i="14"/>
  <c r="AY343" i="14"/>
  <c r="CO341" i="14"/>
  <c r="AY341" i="14"/>
  <c r="CO340" i="14"/>
  <c r="AY340" i="14"/>
  <c r="CO339" i="14"/>
  <c r="AY339" i="14"/>
  <c r="CO338" i="14"/>
  <c r="BV338" i="14"/>
  <c r="BS338" i="14"/>
  <c r="BP338" i="14"/>
  <c r="BM338" i="14"/>
  <c r="BJ338" i="14"/>
  <c r="BG338" i="14"/>
  <c r="BD338" i="14"/>
  <c r="AY338" i="14"/>
  <c r="CO337" i="14"/>
  <c r="AY337" i="14"/>
  <c r="CO336" i="14"/>
  <c r="AY336" i="14"/>
  <c r="CO335" i="14"/>
  <c r="AY335" i="14"/>
  <c r="CO334" i="14"/>
  <c r="AY334" i="14"/>
  <c r="CO333" i="14"/>
  <c r="AY333" i="14"/>
  <c r="CO332" i="14"/>
  <c r="AY332" i="14"/>
  <c r="CO331" i="14"/>
  <c r="AY331" i="14"/>
  <c r="CO330" i="14"/>
  <c r="AY330" i="14"/>
  <c r="EA329" i="14"/>
  <c r="DL329" i="14"/>
  <c r="DI329" i="14"/>
  <c r="DF329" i="14"/>
  <c r="DC329" i="14"/>
  <c r="CZ329" i="14"/>
  <c r="CW329" i="14"/>
  <c r="CK329" i="14"/>
  <c r="BV329" i="14"/>
  <c r="BS329" i="14"/>
  <c r="BP329" i="14"/>
  <c r="BM329" i="14"/>
  <c r="BJ329" i="14"/>
  <c r="BG329" i="14"/>
  <c r="BD329" i="14"/>
  <c r="AS329" i="14"/>
  <c r="AD329" i="14"/>
  <c r="AA329" i="14"/>
  <c r="X329" i="14"/>
  <c r="U329" i="14"/>
  <c r="R329" i="14"/>
  <c r="O329" i="14"/>
  <c r="L329" i="14"/>
  <c r="DK325" i="14"/>
  <c r="DH325" i="14"/>
  <c r="DE325" i="14"/>
  <c r="DB325" i="14"/>
  <c r="CY325" i="14"/>
  <c r="CV325" i="14"/>
  <c r="CS325" i="14"/>
  <c r="BU325" i="14"/>
  <c r="BR325" i="14"/>
  <c r="BO325" i="14"/>
  <c r="BL325" i="14"/>
  <c r="BI325" i="14"/>
  <c r="BF325" i="14"/>
  <c r="BC325" i="14"/>
  <c r="EK321" i="14"/>
  <c r="EJ321" i="14"/>
  <c r="EI321" i="14"/>
  <c r="EH321" i="14"/>
  <c r="EG321" i="14"/>
  <c r="EF321" i="14"/>
  <c r="EE321" i="14"/>
  <c r="ED321" i="14"/>
  <c r="EC321" i="14"/>
  <c r="DY321" i="14"/>
  <c r="DK321" i="14"/>
  <c r="DJ321" i="14"/>
  <c r="DH321" i="14"/>
  <c r="DG321" i="14"/>
  <c r="DE321" i="14"/>
  <c r="DD321" i="14"/>
  <c r="DB321" i="14"/>
  <c r="DA321" i="14"/>
  <c r="CY321" i="14"/>
  <c r="CX321" i="14"/>
  <c r="CV321" i="14"/>
  <c r="CU321" i="14"/>
  <c r="CS321" i="14"/>
  <c r="CR321" i="14"/>
  <c r="CQ321" i="14"/>
  <c r="CP321" i="14"/>
  <c r="CO321" i="14"/>
  <c r="CI321" i="14"/>
  <c r="BU321" i="14"/>
  <c r="BT321" i="14"/>
  <c r="BR321" i="14"/>
  <c r="BQ321" i="14"/>
  <c r="BO321" i="14"/>
  <c r="BN321" i="14"/>
  <c r="BL321" i="14"/>
  <c r="BK321" i="14"/>
  <c r="BI321" i="14"/>
  <c r="BH321" i="14"/>
  <c r="BF321" i="14"/>
  <c r="BE321" i="14"/>
  <c r="BC321" i="14"/>
  <c r="BB321" i="14"/>
  <c r="BA321" i="14"/>
  <c r="AZ321" i="14"/>
  <c r="AY321" i="14"/>
  <c r="AX321" i="14"/>
  <c r="AW321" i="14"/>
  <c r="AQ321" i="14"/>
  <c r="AB321" i="14"/>
  <c r="Y321" i="14"/>
  <c r="V321" i="14"/>
  <c r="S321" i="14"/>
  <c r="P321" i="14"/>
  <c r="M321" i="14"/>
  <c r="AY319" i="14"/>
  <c r="EA317" i="14"/>
  <c r="DL317" i="14"/>
  <c r="DI317" i="14"/>
  <c r="DF317" i="14"/>
  <c r="DC317" i="14"/>
  <c r="CZ317" i="14"/>
  <c r="CW317" i="14"/>
  <c r="CT317" i="14"/>
  <c r="CO317" i="14"/>
  <c r="BG317" i="14"/>
  <c r="AY317" i="14"/>
  <c r="AS317" i="14"/>
  <c r="AD317" i="14"/>
  <c r="AA317" i="14"/>
  <c r="X317" i="14"/>
  <c r="U317" i="14"/>
  <c r="R317" i="14"/>
  <c r="O317" i="14"/>
  <c r="L317" i="14"/>
  <c r="EA316" i="14"/>
  <c r="DL316" i="14"/>
  <c r="DI316" i="14"/>
  <c r="DF316" i="14"/>
  <c r="DC316" i="14"/>
  <c r="CZ316" i="14"/>
  <c r="CW316" i="14"/>
  <c r="CT316" i="14"/>
  <c r="CO316" i="14"/>
  <c r="BG316" i="14"/>
  <c r="AY316" i="14"/>
  <c r="AS316" i="14"/>
  <c r="AD316" i="14"/>
  <c r="AA316" i="14"/>
  <c r="X316" i="14"/>
  <c r="U316" i="14"/>
  <c r="R316" i="14"/>
  <c r="O316" i="14"/>
  <c r="L316" i="14"/>
  <c r="EA315" i="14"/>
  <c r="DL315" i="14"/>
  <c r="DI315" i="14"/>
  <c r="DF315" i="14"/>
  <c r="DC315" i="14"/>
  <c r="CZ315" i="14"/>
  <c r="CW315" i="14"/>
  <c r="CT315" i="14"/>
  <c r="CO315" i="14"/>
  <c r="BG315" i="14"/>
  <c r="AY315" i="14"/>
  <c r="AS315" i="14"/>
  <c r="AD315" i="14"/>
  <c r="AA315" i="14"/>
  <c r="X315" i="14"/>
  <c r="U315" i="14"/>
  <c r="R315" i="14"/>
  <c r="O315" i="14"/>
  <c r="L315" i="14"/>
  <c r="EA314" i="14"/>
  <c r="DL314" i="14"/>
  <c r="DI314" i="14"/>
  <c r="DF314" i="14"/>
  <c r="DC314" i="14"/>
  <c r="CZ314" i="14"/>
  <c r="CW314" i="14"/>
  <c r="CT314" i="14"/>
  <c r="CO314" i="14"/>
  <c r="BG314" i="14"/>
  <c r="AY314" i="14"/>
  <c r="AS314" i="14"/>
  <c r="AD314" i="14"/>
  <c r="AA314" i="14"/>
  <c r="X314" i="14"/>
  <c r="U314" i="14"/>
  <c r="R314" i="14"/>
  <c r="O314" i="14"/>
  <c r="L314" i="14"/>
  <c r="CO313" i="14"/>
  <c r="AY313" i="14"/>
  <c r="CO312" i="14"/>
  <c r="AY312" i="14"/>
  <c r="CO311" i="14"/>
  <c r="AY311" i="14"/>
  <c r="CO310" i="14"/>
  <c r="AY310" i="14"/>
  <c r="CO309" i="14"/>
  <c r="AY309" i="14"/>
  <c r="CO308" i="14"/>
  <c r="AY308" i="14"/>
  <c r="EA307" i="14"/>
  <c r="DL307" i="14"/>
  <c r="DI307" i="14"/>
  <c r="DF307" i="14"/>
  <c r="DC307" i="14"/>
  <c r="CZ307" i="14"/>
  <c r="CW307" i="14"/>
  <c r="CT307" i="14"/>
  <c r="CO307" i="14"/>
  <c r="BG307" i="14"/>
  <c r="AY307" i="14"/>
  <c r="AS307" i="14"/>
  <c r="AD307" i="14"/>
  <c r="J17" i="11" s="1"/>
  <c r="AA307" i="14"/>
  <c r="I17" i="11" s="1"/>
  <c r="X307" i="14"/>
  <c r="H17" i="11" s="1"/>
  <c r="U307" i="14"/>
  <c r="G17" i="11" s="1"/>
  <c r="R307" i="14"/>
  <c r="F17" i="11" s="1"/>
  <c r="O307" i="14"/>
  <c r="E17" i="11" s="1"/>
  <c r="L307" i="14"/>
  <c r="D17" i="11" s="1"/>
  <c r="CO306" i="14"/>
  <c r="AY306" i="14"/>
  <c r="EA305" i="14"/>
  <c r="DL305" i="14"/>
  <c r="DI305" i="14"/>
  <c r="DF305" i="14"/>
  <c r="DC305" i="14"/>
  <c r="CZ305" i="14"/>
  <c r="CW305" i="14"/>
  <c r="CT305" i="14"/>
  <c r="BG305" i="14"/>
  <c r="AS305" i="14"/>
  <c r="AD305" i="14"/>
  <c r="AA305" i="14"/>
  <c r="X305" i="14"/>
  <c r="U305" i="14"/>
  <c r="R305" i="14"/>
  <c r="O305" i="14"/>
  <c r="L305" i="14"/>
  <c r="DZ301" i="14"/>
  <c r="CS301" i="14"/>
  <c r="CJ301" i="14"/>
  <c r="BC301" i="14"/>
  <c r="AR301" i="14"/>
  <c r="K301" i="14"/>
  <c r="DY281" i="14"/>
  <c r="DK281" i="14"/>
  <c r="DJ281" i="14"/>
  <c r="DH281" i="14"/>
  <c r="DG281" i="14"/>
  <c r="DE281" i="14"/>
  <c r="DD281" i="14"/>
  <c r="DB281" i="14"/>
  <c r="DA281" i="14"/>
  <c r="CY281" i="14"/>
  <c r="CX281" i="14"/>
  <c r="CV281" i="14"/>
  <c r="CU281" i="14"/>
  <c r="CS281" i="14"/>
  <c r="CR281" i="14"/>
  <c r="CQ281" i="14"/>
  <c r="CP281" i="14"/>
  <c r="CI281" i="14"/>
  <c r="BU281" i="14"/>
  <c r="BT281" i="14"/>
  <c r="BR281" i="14"/>
  <c r="BQ281" i="14"/>
  <c r="BO281" i="14"/>
  <c r="BN281" i="14"/>
  <c r="BL281" i="14"/>
  <c r="BK281" i="14"/>
  <c r="BI281" i="14"/>
  <c r="BH281" i="14"/>
  <c r="BF281" i="14"/>
  <c r="BE281" i="14"/>
  <c r="BC281" i="14"/>
  <c r="AY279" i="14"/>
  <c r="EA277" i="14"/>
  <c r="DL277" i="14"/>
  <c r="DI277" i="14"/>
  <c r="DF277" i="14"/>
  <c r="DC277" i="14"/>
  <c r="CZ277" i="14"/>
  <c r="CW277" i="14"/>
  <c r="CT277" i="14"/>
  <c r="CK277" i="14"/>
  <c r="BV277" i="14"/>
  <c r="BS277" i="14"/>
  <c r="BP277" i="14"/>
  <c r="BM277" i="14"/>
  <c r="BJ277" i="14"/>
  <c r="BG277" i="14"/>
  <c r="BD277" i="14"/>
  <c r="L277" i="14"/>
  <c r="G277" i="14"/>
  <c r="AY277" i="14" s="1"/>
  <c r="EA276" i="14"/>
  <c r="DL276" i="14"/>
  <c r="DI276" i="14"/>
  <c r="DF276" i="14"/>
  <c r="DC276" i="14"/>
  <c r="CZ276" i="14"/>
  <c r="CW276" i="14"/>
  <c r="CT276" i="14"/>
  <c r="CK276" i="14"/>
  <c r="BV276" i="14"/>
  <c r="BS276" i="14"/>
  <c r="BP276" i="14"/>
  <c r="BM276" i="14"/>
  <c r="BJ276" i="14"/>
  <c r="BG276" i="14"/>
  <c r="BD276" i="14"/>
  <c r="L276" i="14"/>
  <c r="G276" i="14"/>
  <c r="CO276" i="14" s="1"/>
  <c r="EA275" i="14"/>
  <c r="DL275" i="14"/>
  <c r="DI275" i="14"/>
  <c r="DF275" i="14"/>
  <c r="DC275" i="14"/>
  <c r="CZ275" i="14"/>
  <c r="CW275" i="14"/>
  <c r="CT275" i="14"/>
  <c r="CK275" i="14"/>
  <c r="BV275" i="14"/>
  <c r="BS275" i="14"/>
  <c r="BP275" i="14"/>
  <c r="BM275" i="14"/>
  <c r="BJ275" i="14"/>
  <c r="BG275" i="14"/>
  <c r="BD275" i="14"/>
  <c r="L275" i="14"/>
  <c r="G275" i="14"/>
  <c r="CO275" i="14" s="1"/>
  <c r="EA274" i="14"/>
  <c r="DL274" i="14"/>
  <c r="DI274" i="14"/>
  <c r="DF274" i="14"/>
  <c r="DC274" i="14"/>
  <c r="CZ274" i="14"/>
  <c r="CW274" i="14"/>
  <c r="CT274" i="14"/>
  <c r="CK274" i="14"/>
  <c r="BV274" i="14"/>
  <c r="BS274" i="14"/>
  <c r="BP274" i="14"/>
  <c r="BM274" i="14"/>
  <c r="BJ274" i="14"/>
  <c r="BG274" i="14"/>
  <c r="BD274" i="14"/>
  <c r="L274" i="14"/>
  <c r="G274" i="14"/>
  <c r="AY274" i="14" s="1"/>
  <c r="EA273" i="14"/>
  <c r="DL273" i="14"/>
  <c r="DI273" i="14"/>
  <c r="DF273" i="14"/>
  <c r="DC273" i="14"/>
  <c r="CZ273" i="14"/>
  <c r="CW273" i="14"/>
  <c r="CT273" i="14"/>
  <c r="CK273" i="14"/>
  <c r="BV273" i="14"/>
  <c r="BS273" i="14"/>
  <c r="BP273" i="14"/>
  <c r="BM273" i="14"/>
  <c r="BJ273" i="14"/>
  <c r="BG273" i="14"/>
  <c r="BD273" i="14"/>
  <c r="L273" i="14"/>
  <c r="G273" i="14"/>
  <c r="CO273" i="14" s="1"/>
  <c r="EA272" i="14"/>
  <c r="DL272" i="14"/>
  <c r="DI272" i="14"/>
  <c r="DF272" i="14"/>
  <c r="DC272" i="14"/>
  <c r="CZ272" i="14"/>
  <c r="CW272" i="14"/>
  <c r="CT272" i="14"/>
  <c r="CK272" i="14"/>
  <c r="BV272" i="14"/>
  <c r="BS272" i="14"/>
  <c r="BP272" i="14"/>
  <c r="BM272" i="14"/>
  <c r="BJ272" i="14"/>
  <c r="BG272" i="14"/>
  <c r="BD272" i="14"/>
  <c r="L272" i="14"/>
  <c r="G272" i="14"/>
  <c r="AY272" i="14" s="1"/>
  <c r="EA271" i="14"/>
  <c r="DL271" i="14"/>
  <c r="DI271" i="14"/>
  <c r="DF271" i="14"/>
  <c r="DC271" i="14"/>
  <c r="CZ271" i="14"/>
  <c r="CW271" i="14"/>
  <c r="CT271" i="14"/>
  <c r="CK271" i="14"/>
  <c r="BV271" i="14"/>
  <c r="BS271" i="14"/>
  <c r="BP271" i="14"/>
  <c r="BM271" i="14"/>
  <c r="BJ271" i="14"/>
  <c r="BG271" i="14"/>
  <c r="BD271" i="14"/>
  <c r="L271" i="14"/>
  <c r="G271" i="14"/>
  <c r="CO271" i="14" s="1"/>
  <c r="EA270" i="14"/>
  <c r="DL270" i="14"/>
  <c r="DI270" i="14"/>
  <c r="DF270" i="14"/>
  <c r="DC270" i="14"/>
  <c r="CZ270" i="14"/>
  <c r="CW270" i="14"/>
  <c r="CT270" i="14"/>
  <c r="CK270" i="14"/>
  <c r="BV270" i="14"/>
  <c r="BS270" i="14"/>
  <c r="BP270" i="14"/>
  <c r="BM270" i="14"/>
  <c r="BJ270" i="14"/>
  <c r="BG270" i="14"/>
  <c r="BD270" i="14"/>
  <c r="L270" i="14"/>
  <c r="G270" i="14"/>
  <c r="CO270" i="14" s="1"/>
  <c r="EA269" i="14"/>
  <c r="DL269" i="14"/>
  <c r="DI269" i="14"/>
  <c r="DF269" i="14"/>
  <c r="DC269" i="14"/>
  <c r="CZ269" i="14"/>
  <c r="CW269" i="14"/>
  <c r="CT269" i="14"/>
  <c r="CK269" i="14"/>
  <c r="BV269" i="14"/>
  <c r="BS269" i="14"/>
  <c r="BP269" i="14"/>
  <c r="BM269" i="14"/>
  <c r="BJ269" i="14"/>
  <c r="BG269" i="14"/>
  <c r="BD269" i="14"/>
  <c r="L269" i="14"/>
  <c r="G269" i="14"/>
  <c r="CO269" i="14" s="1"/>
  <c r="EA268" i="14"/>
  <c r="DL268" i="14"/>
  <c r="DI268" i="14"/>
  <c r="DF268" i="14"/>
  <c r="DC268" i="14"/>
  <c r="CZ268" i="14"/>
  <c r="CW268" i="14"/>
  <c r="CT268" i="14"/>
  <c r="CK268" i="14"/>
  <c r="BV268" i="14"/>
  <c r="BS268" i="14"/>
  <c r="BP268" i="14"/>
  <c r="BM268" i="14"/>
  <c r="BJ268" i="14"/>
  <c r="BG268" i="14"/>
  <c r="BD268" i="14"/>
  <c r="L268" i="14"/>
  <c r="G268" i="14"/>
  <c r="CO268" i="14" s="1"/>
  <c r="EA267" i="14"/>
  <c r="DL267" i="14"/>
  <c r="DI267" i="14"/>
  <c r="DF267" i="14"/>
  <c r="DC267" i="14"/>
  <c r="CZ267" i="14"/>
  <c r="CW267" i="14"/>
  <c r="CT267" i="14"/>
  <c r="CK267" i="14"/>
  <c r="BV267" i="14"/>
  <c r="BS267" i="14"/>
  <c r="BP267" i="14"/>
  <c r="BM267" i="14"/>
  <c r="BJ267" i="14"/>
  <c r="BG267" i="14"/>
  <c r="BD267" i="14"/>
  <c r="L267" i="14"/>
  <c r="G267" i="14"/>
  <c r="CO267" i="14" s="1"/>
  <c r="EA266" i="14"/>
  <c r="DL266" i="14"/>
  <c r="DI266" i="14"/>
  <c r="DF266" i="14"/>
  <c r="DC266" i="14"/>
  <c r="CZ266" i="14"/>
  <c r="CW266" i="14"/>
  <c r="CT266" i="14"/>
  <c r="CK266" i="14"/>
  <c r="BV266" i="14"/>
  <c r="BS266" i="14"/>
  <c r="BP266" i="14"/>
  <c r="BM266" i="14"/>
  <c r="BJ266" i="14"/>
  <c r="BG266" i="14"/>
  <c r="BD266" i="14"/>
  <c r="L266" i="14"/>
  <c r="G266" i="14"/>
  <c r="CO266" i="14" s="1"/>
  <c r="EA265" i="14"/>
  <c r="DL265" i="14"/>
  <c r="DI265" i="14"/>
  <c r="DF265" i="14"/>
  <c r="DC265" i="14"/>
  <c r="CZ265" i="14"/>
  <c r="CW265" i="14"/>
  <c r="CT265" i="14"/>
  <c r="CK265" i="14"/>
  <c r="BV265" i="14"/>
  <c r="BS265" i="14"/>
  <c r="BP265" i="14"/>
  <c r="BM265" i="14"/>
  <c r="BJ265" i="14"/>
  <c r="BG265" i="14"/>
  <c r="BD265" i="14"/>
  <c r="L265" i="14"/>
  <c r="G265" i="14"/>
  <c r="CO265" i="14" s="1"/>
  <c r="EA264" i="14"/>
  <c r="DL264" i="14"/>
  <c r="DI264" i="14"/>
  <c r="DF264" i="14"/>
  <c r="DC264" i="14"/>
  <c r="CZ264" i="14"/>
  <c r="CW264" i="14"/>
  <c r="CT264" i="14"/>
  <c r="CK264" i="14"/>
  <c r="BV264" i="14"/>
  <c r="BS264" i="14"/>
  <c r="BP264" i="14"/>
  <c r="BM264" i="14"/>
  <c r="BJ264" i="14"/>
  <c r="BG264" i="14"/>
  <c r="BD264" i="14"/>
  <c r="L264" i="14"/>
  <c r="G264" i="14"/>
  <c r="CO264" i="14" s="1"/>
  <c r="EA263" i="14"/>
  <c r="DL263" i="14"/>
  <c r="DI263" i="14"/>
  <c r="DF263" i="14"/>
  <c r="DC263" i="14"/>
  <c r="CZ263" i="14"/>
  <c r="CW263" i="14"/>
  <c r="CT263" i="14"/>
  <c r="CK263" i="14"/>
  <c r="BV263" i="14"/>
  <c r="BS263" i="14"/>
  <c r="BP263" i="14"/>
  <c r="BM263" i="14"/>
  <c r="BJ263" i="14"/>
  <c r="BG263" i="14"/>
  <c r="BD263" i="14"/>
  <c r="L263" i="14"/>
  <c r="G263" i="14"/>
  <c r="CO263" i="14" s="1"/>
  <c r="EA262" i="14"/>
  <c r="DL262" i="14"/>
  <c r="DI262" i="14"/>
  <c r="DF262" i="14"/>
  <c r="DC262" i="14"/>
  <c r="CZ262" i="14"/>
  <c r="CW262" i="14"/>
  <c r="CT262" i="14"/>
  <c r="CK262" i="14"/>
  <c r="BV262" i="14"/>
  <c r="BS262" i="14"/>
  <c r="BP262" i="14"/>
  <c r="BM262" i="14"/>
  <c r="BJ262" i="14"/>
  <c r="BG262" i="14"/>
  <c r="BD262" i="14"/>
  <c r="L262" i="14"/>
  <c r="G262" i="14"/>
  <c r="CO262" i="14" s="1"/>
  <c r="EA261" i="14"/>
  <c r="DL261" i="14"/>
  <c r="DI261" i="14"/>
  <c r="DF261" i="14"/>
  <c r="DC261" i="14"/>
  <c r="CZ261" i="14"/>
  <c r="CW261" i="14"/>
  <c r="CT261" i="14"/>
  <c r="CK261" i="14"/>
  <c r="BV261" i="14"/>
  <c r="BS261" i="14"/>
  <c r="BP261" i="14"/>
  <c r="BM261" i="14"/>
  <c r="BJ261" i="14"/>
  <c r="BG261" i="14"/>
  <c r="BD261" i="14"/>
  <c r="L261" i="14"/>
  <c r="G261" i="14"/>
  <c r="CO261" i="14" s="1"/>
  <c r="EA260" i="14"/>
  <c r="DL260" i="14"/>
  <c r="DI260" i="14"/>
  <c r="DF260" i="14"/>
  <c r="DC260" i="14"/>
  <c r="CZ260" i="14"/>
  <c r="CW260" i="14"/>
  <c r="CT260" i="14"/>
  <c r="CK260" i="14"/>
  <c r="BV260" i="14"/>
  <c r="BS260" i="14"/>
  <c r="BP260" i="14"/>
  <c r="BM260" i="14"/>
  <c r="BJ260" i="14"/>
  <c r="BG260" i="14"/>
  <c r="BD260" i="14"/>
  <c r="L260" i="14"/>
  <c r="G260" i="14"/>
  <c r="CO260" i="14" s="1"/>
  <c r="EA259" i="14"/>
  <c r="DL259" i="14"/>
  <c r="DI259" i="14"/>
  <c r="DF259" i="14"/>
  <c r="DC259" i="14"/>
  <c r="CZ259" i="14"/>
  <c r="CW259" i="14"/>
  <c r="CT259" i="14"/>
  <c r="CK259" i="14"/>
  <c r="BV259" i="14"/>
  <c r="BS259" i="14"/>
  <c r="BP259" i="14"/>
  <c r="BM259" i="14"/>
  <c r="BJ259" i="14"/>
  <c r="BG259" i="14"/>
  <c r="BD259" i="14"/>
  <c r="L259" i="14"/>
  <c r="G259" i="14"/>
  <c r="CO259" i="14" s="1"/>
  <c r="EA258" i="14"/>
  <c r="DL258" i="14"/>
  <c r="DI258" i="14"/>
  <c r="DF258" i="14"/>
  <c r="DC258" i="14"/>
  <c r="CZ258" i="14"/>
  <c r="CW258" i="14"/>
  <c r="CT258" i="14"/>
  <c r="CK258" i="14"/>
  <c r="BV258" i="14"/>
  <c r="BS258" i="14"/>
  <c r="BP258" i="14"/>
  <c r="BM258" i="14"/>
  <c r="BJ258" i="14"/>
  <c r="BG258" i="14"/>
  <c r="BD258" i="14"/>
  <c r="L258" i="14"/>
  <c r="G258" i="14"/>
  <c r="CO258" i="14" s="1"/>
  <c r="EA257" i="14"/>
  <c r="DL257" i="14"/>
  <c r="DI257" i="14"/>
  <c r="DF257" i="14"/>
  <c r="DC257" i="14"/>
  <c r="CZ257" i="14"/>
  <c r="CW257" i="14"/>
  <c r="CT257" i="14"/>
  <c r="CK257" i="14"/>
  <c r="BV257" i="14"/>
  <c r="BS257" i="14"/>
  <c r="BP257" i="14"/>
  <c r="BM257" i="14"/>
  <c r="BJ257" i="14"/>
  <c r="BG257" i="14"/>
  <c r="BD257" i="14"/>
  <c r="L257" i="14"/>
  <c r="G257" i="14"/>
  <c r="CO257" i="14" s="1"/>
  <c r="EA256" i="14"/>
  <c r="DL256" i="14"/>
  <c r="DI256" i="14"/>
  <c r="DF256" i="14"/>
  <c r="DC256" i="14"/>
  <c r="CZ256" i="14"/>
  <c r="CW256" i="14"/>
  <c r="CT256" i="14"/>
  <c r="CK256" i="14"/>
  <c r="BV256" i="14"/>
  <c r="BS256" i="14"/>
  <c r="BP256" i="14"/>
  <c r="BM256" i="14"/>
  <c r="BJ256" i="14"/>
  <c r="BG256" i="14"/>
  <c r="BD256" i="14"/>
  <c r="L256" i="14"/>
  <c r="G256" i="14"/>
  <c r="CO256" i="14" s="1"/>
  <c r="EA255" i="14"/>
  <c r="DL255" i="14"/>
  <c r="DI255" i="14"/>
  <c r="DF255" i="14"/>
  <c r="DC255" i="14"/>
  <c r="CZ255" i="14"/>
  <c r="CW255" i="14"/>
  <c r="CT255" i="14"/>
  <c r="CK255" i="14"/>
  <c r="BV255" i="14"/>
  <c r="BS255" i="14"/>
  <c r="BP255" i="14"/>
  <c r="BM255" i="14"/>
  <c r="BJ255" i="14"/>
  <c r="BG255" i="14"/>
  <c r="BD255" i="14"/>
  <c r="L255" i="14"/>
  <c r="G255" i="14"/>
  <c r="CO255" i="14" s="1"/>
  <c r="EA254" i="14"/>
  <c r="DL254" i="14"/>
  <c r="DI254" i="14"/>
  <c r="DF254" i="14"/>
  <c r="DC254" i="14"/>
  <c r="CZ254" i="14"/>
  <c r="CW254" i="14"/>
  <c r="CT254" i="14"/>
  <c r="CT374" i="14" s="1"/>
  <c r="CK254" i="14"/>
  <c r="BV254" i="14"/>
  <c r="BS254" i="14"/>
  <c r="BP254" i="14"/>
  <c r="BM254" i="14"/>
  <c r="BJ254" i="14"/>
  <c r="BG254" i="14"/>
  <c r="BD254" i="14"/>
  <c r="BD374" i="14" s="1"/>
  <c r="L254" i="14"/>
  <c r="L374" i="14" s="1"/>
  <c r="G254" i="14"/>
  <c r="CO254" i="14" s="1"/>
  <c r="EA253" i="14"/>
  <c r="DL253" i="14"/>
  <c r="DI253" i="14"/>
  <c r="DF253" i="14"/>
  <c r="DC253" i="14"/>
  <c r="CZ253" i="14"/>
  <c r="CW253" i="14"/>
  <c r="CT253" i="14"/>
  <c r="CK253" i="14"/>
  <c r="BV253" i="14"/>
  <c r="BS253" i="14"/>
  <c r="BP253" i="14"/>
  <c r="BM253" i="14"/>
  <c r="BJ253" i="14"/>
  <c r="BG253" i="14"/>
  <c r="BD253" i="14"/>
  <c r="L253" i="14"/>
  <c r="G253" i="14"/>
  <c r="AY253" i="14" s="1"/>
  <c r="EA252" i="14"/>
  <c r="DL252" i="14"/>
  <c r="DI252" i="14"/>
  <c r="DF252" i="14"/>
  <c r="DC252" i="14"/>
  <c r="CZ252" i="14"/>
  <c r="CW252" i="14"/>
  <c r="CT252" i="14"/>
  <c r="CK252" i="14"/>
  <c r="BV252" i="14"/>
  <c r="BS252" i="14"/>
  <c r="BP252" i="14"/>
  <c r="BM252" i="14"/>
  <c r="BJ252" i="14"/>
  <c r="BG252" i="14"/>
  <c r="BD252" i="14"/>
  <c r="L252" i="14"/>
  <c r="G252" i="14"/>
  <c r="CO252" i="14" s="1"/>
  <c r="EA251" i="14"/>
  <c r="DL251" i="14"/>
  <c r="DI251" i="14"/>
  <c r="DF251" i="14"/>
  <c r="DC251" i="14"/>
  <c r="CZ251" i="14"/>
  <c r="CW251" i="14"/>
  <c r="CT251" i="14"/>
  <c r="CK251" i="14"/>
  <c r="BV251" i="14"/>
  <c r="BS251" i="14"/>
  <c r="BP251" i="14"/>
  <c r="BM251" i="14"/>
  <c r="BJ251" i="14"/>
  <c r="BG251" i="14"/>
  <c r="BD251" i="14"/>
  <c r="L251" i="14"/>
  <c r="G251" i="14"/>
  <c r="AY251" i="14" s="1"/>
  <c r="EA250" i="14"/>
  <c r="DL250" i="14"/>
  <c r="DI250" i="14"/>
  <c r="DF250" i="14"/>
  <c r="DC250" i="14"/>
  <c r="CZ250" i="14"/>
  <c r="CW250" i="14"/>
  <c r="CT250" i="14"/>
  <c r="CK250" i="14"/>
  <c r="BV250" i="14"/>
  <c r="BS250" i="14"/>
  <c r="BP250" i="14"/>
  <c r="BM250" i="14"/>
  <c r="BJ250" i="14"/>
  <c r="BG250" i="14"/>
  <c r="BD250" i="14"/>
  <c r="L250" i="14"/>
  <c r="G250" i="14"/>
  <c r="CO250" i="14" s="1"/>
  <c r="EA249" i="14"/>
  <c r="DL249" i="14"/>
  <c r="DI249" i="14"/>
  <c r="DF249" i="14"/>
  <c r="DC249" i="14"/>
  <c r="CZ249" i="14"/>
  <c r="CW249" i="14"/>
  <c r="CT249" i="14"/>
  <c r="CK249" i="14"/>
  <c r="BV249" i="14"/>
  <c r="BS249" i="14"/>
  <c r="BP249" i="14"/>
  <c r="BM249" i="14"/>
  <c r="BJ249" i="14"/>
  <c r="BG249" i="14"/>
  <c r="BD249" i="14"/>
  <c r="L249" i="14"/>
  <c r="G249" i="14"/>
  <c r="CO249" i="14" s="1"/>
  <c r="EA248" i="14"/>
  <c r="DL248" i="14"/>
  <c r="DI248" i="14"/>
  <c r="DF248" i="14"/>
  <c r="DC248" i="14"/>
  <c r="CZ248" i="14"/>
  <c r="CW248" i="14"/>
  <c r="CT248" i="14"/>
  <c r="CK248" i="14"/>
  <c r="BV248" i="14"/>
  <c r="BS248" i="14"/>
  <c r="BP248" i="14"/>
  <c r="BM248" i="14"/>
  <c r="BJ248" i="14"/>
  <c r="BG248" i="14"/>
  <c r="BD248" i="14"/>
  <c r="L248" i="14"/>
  <c r="G248" i="14"/>
  <c r="CO248" i="14" s="1"/>
  <c r="EA247" i="14"/>
  <c r="DL247" i="14"/>
  <c r="DI247" i="14"/>
  <c r="DF247" i="14"/>
  <c r="DC247" i="14"/>
  <c r="CZ247" i="14"/>
  <c r="CW247" i="14"/>
  <c r="CT247" i="14"/>
  <c r="CK247" i="14"/>
  <c r="BV247" i="14"/>
  <c r="BS247" i="14"/>
  <c r="BP247" i="14"/>
  <c r="BM247" i="14"/>
  <c r="BJ247" i="14"/>
  <c r="BG247" i="14"/>
  <c r="BD247" i="14"/>
  <c r="L247" i="14"/>
  <c r="G247" i="14"/>
  <c r="CO247" i="14" s="1"/>
  <c r="EA246" i="14"/>
  <c r="DL246" i="14"/>
  <c r="DI246" i="14"/>
  <c r="DF246" i="14"/>
  <c r="DC246" i="14"/>
  <c r="CZ246" i="14"/>
  <c r="CW246" i="14"/>
  <c r="CT246" i="14"/>
  <c r="CK246" i="14"/>
  <c r="BV246" i="14"/>
  <c r="BS246" i="14"/>
  <c r="BP246" i="14"/>
  <c r="BM246" i="14"/>
  <c r="BJ246" i="14"/>
  <c r="BG246" i="14"/>
  <c r="BD246" i="14"/>
  <c r="L246" i="14"/>
  <c r="G246" i="14"/>
  <c r="CO246" i="14" s="1"/>
  <c r="EA245" i="14"/>
  <c r="DL245" i="14"/>
  <c r="DI245" i="14"/>
  <c r="DF245" i="14"/>
  <c r="DC245" i="14"/>
  <c r="CZ245" i="14"/>
  <c r="CW245" i="14"/>
  <c r="CT245" i="14"/>
  <c r="CK245" i="14"/>
  <c r="BV245" i="14"/>
  <c r="BS245" i="14"/>
  <c r="BP245" i="14"/>
  <c r="BM245" i="14"/>
  <c r="BJ245" i="14"/>
  <c r="BG245" i="14"/>
  <c r="BD245" i="14"/>
  <c r="L245" i="14"/>
  <c r="G245" i="14"/>
  <c r="AY245" i="14" s="1"/>
  <c r="EA244" i="14"/>
  <c r="DL244" i="14"/>
  <c r="DI244" i="14"/>
  <c r="DF244" i="14"/>
  <c r="DC244" i="14"/>
  <c r="CZ244" i="14"/>
  <c r="CW244" i="14"/>
  <c r="CT244" i="14"/>
  <c r="CK244" i="14"/>
  <c r="BV244" i="14"/>
  <c r="BS244" i="14"/>
  <c r="BP244" i="14"/>
  <c r="BM244" i="14"/>
  <c r="BJ244" i="14"/>
  <c r="BG244" i="14"/>
  <c r="BD244" i="14"/>
  <c r="L244" i="14"/>
  <c r="G244" i="14"/>
  <c r="CO244" i="14" s="1"/>
  <c r="EA243" i="14"/>
  <c r="DL243" i="14"/>
  <c r="DI243" i="14"/>
  <c r="DF243" i="14"/>
  <c r="DC243" i="14"/>
  <c r="CZ243" i="14"/>
  <c r="CW243" i="14"/>
  <c r="CT243" i="14"/>
  <c r="CK243" i="14"/>
  <c r="BV243" i="14"/>
  <c r="BS243" i="14"/>
  <c r="BP243" i="14"/>
  <c r="BM243" i="14"/>
  <c r="BJ243" i="14"/>
  <c r="BG243" i="14"/>
  <c r="BD243" i="14"/>
  <c r="L243" i="14"/>
  <c r="G243" i="14"/>
  <c r="AY243" i="14" s="1"/>
  <c r="EA242" i="14"/>
  <c r="DL242" i="14"/>
  <c r="DI242" i="14"/>
  <c r="DF242" i="14"/>
  <c r="DC242" i="14"/>
  <c r="CZ242" i="14"/>
  <c r="CW242" i="14"/>
  <c r="CT242" i="14"/>
  <c r="CK242" i="14"/>
  <c r="BV242" i="14"/>
  <c r="BS242" i="14"/>
  <c r="BP242" i="14"/>
  <c r="BM242" i="14"/>
  <c r="BJ242" i="14"/>
  <c r="BG242" i="14"/>
  <c r="BD242" i="14"/>
  <c r="L242" i="14"/>
  <c r="G242" i="14"/>
  <c r="AY242" i="14" s="1"/>
  <c r="EA241" i="14"/>
  <c r="DL241" i="14"/>
  <c r="DI241" i="14"/>
  <c r="DF241" i="14"/>
  <c r="DC241" i="14"/>
  <c r="CZ241" i="14"/>
  <c r="CW241" i="14"/>
  <c r="CT241" i="14"/>
  <c r="CK241" i="14"/>
  <c r="BV241" i="14"/>
  <c r="BS241" i="14"/>
  <c r="BP241" i="14"/>
  <c r="BM241" i="14"/>
  <c r="BJ241" i="14"/>
  <c r="BG241" i="14"/>
  <c r="BD241" i="14"/>
  <c r="L241" i="14"/>
  <c r="G241" i="14"/>
  <c r="CO241" i="14" s="1"/>
  <c r="EA240" i="14"/>
  <c r="DL240" i="14"/>
  <c r="DI240" i="14"/>
  <c r="DF240" i="14"/>
  <c r="DC240" i="14"/>
  <c r="CZ240" i="14"/>
  <c r="CW240" i="14"/>
  <c r="CT240" i="14"/>
  <c r="CK240" i="14"/>
  <c r="BV240" i="14"/>
  <c r="BS240" i="14"/>
  <c r="BP240" i="14"/>
  <c r="BM240" i="14"/>
  <c r="BJ240" i="14"/>
  <c r="BG240" i="14"/>
  <c r="BD240" i="14"/>
  <c r="L240" i="14"/>
  <c r="G240" i="14"/>
  <c r="CO240" i="14" s="1"/>
  <c r="EA239" i="14"/>
  <c r="DL239" i="14"/>
  <c r="DI239" i="14"/>
  <c r="DF239" i="14"/>
  <c r="DC239" i="14"/>
  <c r="CZ239" i="14"/>
  <c r="CW239" i="14"/>
  <c r="CT239" i="14"/>
  <c r="CK239" i="14"/>
  <c r="BV239" i="14"/>
  <c r="BS239" i="14"/>
  <c r="BP239" i="14"/>
  <c r="BM239" i="14"/>
  <c r="BJ239" i="14"/>
  <c r="BG239" i="14"/>
  <c r="BD239" i="14"/>
  <c r="L239" i="14"/>
  <c r="G239" i="14"/>
  <c r="AY239" i="14" s="1"/>
  <c r="EA238" i="14"/>
  <c r="DL238" i="14"/>
  <c r="DI238" i="14"/>
  <c r="DF238" i="14"/>
  <c r="DC238" i="14"/>
  <c r="CZ238" i="14"/>
  <c r="CW238" i="14"/>
  <c r="CT238" i="14"/>
  <c r="CK238" i="14"/>
  <c r="BV238" i="14"/>
  <c r="BS238" i="14"/>
  <c r="BP238" i="14"/>
  <c r="BM238" i="14"/>
  <c r="BJ238" i="14"/>
  <c r="BG238" i="14"/>
  <c r="BD238" i="14"/>
  <c r="L238" i="14"/>
  <c r="G238" i="14"/>
  <c r="CO238" i="14" s="1"/>
  <c r="EA237" i="14"/>
  <c r="DL237" i="14"/>
  <c r="DI237" i="14"/>
  <c r="DF237" i="14"/>
  <c r="DC237" i="14"/>
  <c r="CZ237" i="14"/>
  <c r="CW237" i="14"/>
  <c r="CT237" i="14"/>
  <c r="CK237" i="14"/>
  <c r="BV237" i="14"/>
  <c r="BS237" i="14"/>
  <c r="BP237" i="14"/>
  <c r="BM237" i="14"/>
  <c r="BJ237" i="14"/>
  <c r="BG237" i="14"/>
  <c r="BD237" i="14"/>
  <c r="L237" i="14"/>
  <c r="G237" i="14"/>
  <c r="CO237" i="14" s="1"/>
  <c r="EA236" i="14"/>
  <c r="DL236" i="14"/>
  <c r="DI236" i="14"/>
  <c r="DF236" i="14"/>
  <c r="DC236" i="14"/>
  <c r="CZ236" i="14"/>
  <c r="CW236" i="14"/>
  <c r="CT236" i="14"/>
  <c r="CK236" i="14"/>
  <c r="BV236" i="14"/>
  <c r="BS236" i="14"/>
  <c r="BP236" i="14"/>
  <c r="BM236" i="14"/>
  <c r="BJ236" i="14"/>
  <c r="BG236" i="14"/>
  <c r="BD236" i="14"/>
  <c r="L236" i="14"/>
  <c r="G236" i="14"/>
  <c r="CO236" i="14" s="1"/>
  <c r="EA235" i="14"/>
  <c r="DL235" i="14"/>
  <c r="DI235" i="14"/>
  <c r="DF235" i="14"/>
  <c r="DC235" i="14"/>
  <c r="CZ235" i="14"/>
  <c r="CW235" i="14"/>
  <c r="CT235" i="14"/>
  <c r="CK235" i="14"/>
  <c r="BV235" i="14"/>
  <c r="BS235" i="14"/>
  <c r="BP235" i="14"/>
  <c r="BM235" i="14"/>
  <c r="BJ235" i="14"/>
  <c r="BG235" i="14"/>
  <c r="BD235" i="14"/>
  <c r="L235" i="14"/>
  <c r="G235" i="14"/>
  <c r="EA234" i="14"/>
  <c r="DL234" i="14"/>
  <c r="DI234" i="14"/>
  <c r="DF234" i="14"/>
  <c r="DC234" i="14"/>
  <c r="CZ234" i="14"/>
  <c r="CW234" i="14"/>
  <c r="CT234" i="14"/>
  <c r="CK234" i="14"/>
  <c r="BV234" i="14"/>
  <c r="BS234" i="14"/>
  <c r="BP234" i="14"/>
  <c r="BM234" i="14"/>
  <c r="BJ234" i="14"/>
  <c r="BG234" i="14"/>
  <c r="BD234" i="14"/>
  <c r="L234" i="14"/>
  <c r="G234" i="14"/>
  <c r="C23" i="10" s="1"/>
  <c r="EA233" i="14"/>
  <c r="DL233" i="14"/>
  <c r="DI233" i="14"/>
  <c r="DF233" i="14"/>
  <c r="DC233" i="14"/>
  <c r="CZ233" i="14"/>
  <c r="CW233" i="14"/>
  <c r="CT233" i="14"/>
  <c r="CK233" i="14"/>
  <c r="BV233" i="14"/>
  <c r="BS233" i="14"/>
  <c r="BP233" i="14"/>
  <c r="BM233" i="14"/>
  <c r="BJ233" i="14"/>
  <c r="BG233" i="14"/>
  <c r="BD233" i="14"/>
  <c r="L233" i="14"/>
  <c r="G233" i="14"/>
  <c r="CO233" i="14" s="1"/>
  <c r="G232" i="14"/>
  <c r="CO232" i="14" s="1"/>
  <c r="BD231" i="14"/>
  <c r="G231" i="14"/>
  <c r="B31" i="33" s="1"/>
  <c r="BD230" i="14"/>
  <c r="N30" i="33" s="1"/>
  <c r="G230" i="14"/>
  <c r="CO230" i="14" s="1"/>
  <c r="BD229" i="14"/>
  <c r="G229" i="14"/>
  <c r="CO229" i="14" s="1"/>
  <c r="BD228" i="14"/>
  <c r="N28" i="33" s="1"/>
  <c r="G228" i="14"/>
  <c r="CO228" i="14" s="1"/>
  <c r="BD227" i="14"/>
  <c r="G227" i="14"/>
  <c r="B27" i="33" s="1"/>
  <c r="BD226" i="14"/>
  <c r="N26" i="33" s="1"/>
  <c r="G226" i="14"/>
  <c r="B26" i="33" s="1"/>
  <c r="BD225" i="14"/>
  <c r="G225" i="14"/>
  <c r="AY225" i="14" s="1"/>
  <c r="BD224" i="14"/>
  <c r="N24" i="33" s="1"/>
  <c r="G224" i="14"/>
  <c r="B24" i="33" s="1"/>
  <c r="G223" i="14"/>
  <c r="G222" i="14"/>
  <c r="AY222" i="14" s="1"/>
  <c r="BD221" i="14"/>
  <c r="G221" i="14"/>
  <c r="CO221" i="14" s="1"/>
  <c r="BD220" i="14"/>
  <c r="N15" i="33" s="1"/>
  <c r="G220" i="14"/>
  <c r="B15" i="33" s="1"/>
  <c r="BD219" i="14"/>
  <c r="N14" i="33" s="1"/>
  <c r="G219" i="14"/>
  <c r="CO219" i="14" s="1"/>
  <c r="BD218" i="14"/>
  <c r="G218" i="14"/>
  <c r="B13" i="33" s="1"/>
  <c r="BD217" i="14"/>
  <c r="N12" i="33" s="1"/>
  <c r="G217" i="14"/>
  <c r="B12" i="33" s="1"/>
  <c r="DZ213" i="14"/>
  <c r="CS213" i="14"/>
  <c r="CJ213" i="14"/>
  <c r="BC213" i="14"/>
  <c r="AR213" i="14"/>
  <c r="K213" i="14"/>
  <c r="DZ321" i="14"/>
  <c r="CJ201" i="14"/>
  <c r="CJ281" i="14" s="1"/>
  <c r="CP200" i="14"/>
  <c r="CJ200" i="14"/>
  <c r="CJ176" i="14"/>
  <c r="BD176" i="14"/>
  <c r="I176" i="14"/>
  <c r="CP175" i="14"/>
  <c r="CO175" i="14"/>
  <c r="L175" i="14"/>
  <c r="K175" i="14"/>
  <c r="G175" i="14"/>
  <c r="B175" i="7" s="1"/>
  <c r="CP174" i="14"/>
  <c r="CO174" i="14"/>
  <c r="AC174" i="14"/>
  <c r="Z174" i="14"/>
  <c r="W174" i="14"/>
  <c r="T174" i="14"/>
  <c r="Q174" i="14"/>
  <c r="L174" i="14"/>
  <c r="CT174" i="14" s="1"/>
  <c r="K174" i="14"/>
  <c r="G174" i="14"/>
  <c r="B174" i="7" s="1"/>
  <c r="CP173" i="14"/>
  <c r="CO173" i="14"/>
  <c r="AC173" i="14"/>
  <c r="Z173" i="14"/>
  <c r="D173" i="7" s="1"/>
  <c r="S173" i="7" s="1"/>
  <c r="W173" i="14"/>
  <c r="T173" i="14"/>
  <c r="Q173" i="14"/>
  <c r="L173" i="14"/>
  <c r="K173" i="14"/>
  <c r="G173" i="14"/>
  <c r="B173" i="7" s="1"/>
  <c r="CP172" i="14"/>
  <c r="CO172" i="14"/>
  <c r="AC172" i="14"/>
  <c r="Z172" i="14"/>
  <c r="W172" i="14"/>
  <c r="T172" i="14"/>
  <c r="Q172" i="14"/>
  <c r="L172" i="14"/>
  <c r="CT172" i="14" s="1"/>
  <c r="K172" i="14"/>
  <c r="G172" i="14"/>
  <c r="B172" i="7" s="1"/>
  <c r="CP171" i="14"/>
  <c r="CO171" i="14"/>
  <c r="AC171" i="14"/>
  <c r="Z171" i="14"/>
  <c r="W171" i="14"/>
  <c r="T171" i="14"/>
  <c r="Q171" i="14"/>
  <c r="L171" i="14"/>
  <c r="CT171" i="14" s="1"/>
  <c r="K171" i="14"/>
  <c r="G171" i="14"/>
  <c r="B171" i="7" s="1"/>
  <c r="CP170" i="14"/>
  <c r="CO170" i="14"/>
  <c r="AC170" i="14"/>
  <c r="Z170" i="14"/>
  <c r="W170" i="14"/>
  <c r="T170" i="14"/>
  <c r="Q170" i="14"/>
  <c r="L170" i="14"/>
  <c r="CT170" i="14" s="1"/>
  <c r="K170" i="14"/>
  <c r="G170" i="14"/>
  <c r="B170" i="7" s="1"/>
  <c r="CP169" i="14"/>
  <c r="CO169" i="14"/>
  <c r="AC169" i="14"/>
  <c r="Z169" i="14"/>
  <c r="D169" i="7" s="1"/>
  <c r="S169" i="7" s="1"/>
  <c r="W169" i="14"/>
  <c r="T169" i="14"/>
  <c r="Q169" i="14"/>
  <c r="L169" i="14"/>
  <c r="CT169" i="14" s="1"/>
  <c r="K169" i="14"/>
  <c r="G169" i="14"/>
  <c r="B169" i="7" s="1"/>
  <c r="CP168" i="14"/>
  <c r="CO168" i="14"/>
  <c r="AC168" i="14"/>
  <c r="Z168" i="14"/>
  <c r="W168" i="14"/>
  <c r="T168" i="14"/>
  <c r="Q168" i="14"/>
  <c r="L168" i="14"/>
  <c r="CT168" i="14" s="1"/>
  <c r="K168" i="14"/>
  <c r="G168" i="14"/>
  <c r="B168" i="7" s="1"/>
  <c r="CP167" i="14"/>
  <c r="CO167" i="14"/>
  <c r="AC167" i="14"/>
  <c r="Z167" i="14"/>
  <c r="W167" i="14"/>
  <c r="T167" i="14"/>
  <c r="Q167" i="14"/>
  <c r="L167" i="14"/>
  <c r="CT167" i="14" s="1"/>
  <c r="K167" i="14"/>
  <c r="G167" i="14"/>
  <c r="B167" i="7" s="1"/>
  <c r="CO166" i="14"/>
  <c r="AC166" i="14"/>
  <c r="Z166" i="14"/>
  <c r="W166" i="14"/>
  <c r="T166" i="14"/>
  <c r="Q166" i="14"/>
  <c r="L166" i="14"/>
  <c r="CT166" i="14" s="1"/>
  <c r="K166" i="14"/>
  <c r="G166" i="14"/>
  <c r="B166" i="7" s="1"/>
  <c r="E165" i="7"/>
  <c r="T165" i="7" s="1"/>
  <c r="D165" i="7"/>
  <c r="S165" i="7" s="1"/>
  <c r="I165" i="14"/>
  <c r="CK157" i="14"/>
  <c r="AV157" i="14" s="1"/>
  <c r="CJ157" i="14"/>
  <c r="E157" i="7"/>
  <c r="T157" i="7" s="1"/>
  <c r="D157" i="7"/>
  <c r="S157" i="7" s="1"/>
  <c r="I157" i="14"/>
  <c r="I156" i="14"/>
  <c r="BU155" i="14"/>
  <c r="BR155" i="14"/>
  <c r="BO155" i="14"/>
  <c r="BL155" i="14"/>
  <c r="BF155" i="14"/>
  <c r="N155" i="14"/>
  <c r="I155" i="14"/>
  <c r="CO154" i="14"/>
  <c r="AC154" i="14"/>
  <c r="Z154" i="14"/>
  <c r="W154" i="14"/>
  <c r="T154" i="14"/>
  <c r="Q154" i="14"/>
  <c r="L154" i="14"/>
  <c r="CT154" i="14" s="1"/>
  <c r="K154" i="14"/>
  <c r="I154" i="14"/>
  <c r="G154" i="14"/>
  <c r="B154" i="7" s="1"/>
  <c r="CO153" i="14"/>
  <c r="AC153" i="14"/>
  <c r="Z153" i="14"/>
  <c r="W153" i="14"/>
  <c r="T153" i="14"/>
  <c r="Q153" i="14"/>
  <c r="L153" i="14"/>
  <c r="CT153" i="14" s="1"/>
  <c r="K153" i="14"/>
  <c r="I153" i="14"/>
  <c r="G153" i="14"/>
  <c r="B153" i="7" s="1"/>
  <c r="BD152" i="14"/>
  <c r="BD155" i="14" s="1"/>
  <c r="D152" i="7"/>
  <c r="S152" i="7" s="1"/>
  <c r="I152" i="14"/>
  <c r="CO151" i="14"/>
  <c r="AC151" i="14"/>
  <c r="Z151" i="14"/>
  <c r="W151" i="14"/>
  <c r="T151" i="14"/>
  <c r="Q151" i="14"/>
  <c r="L151" i="14"/>
  <c r="CT151" i="14" s="1"/>
  <c r="K151" i="14"/>
  <c r="I151" i="14"/>
  <c r="G151" i="14"/>
  <c r="B151" i="7" s="1"/>
  <c r="CO150" i="14"/>
  <c r="AC150" i="14"/>
  <c r="Z150" i="14"/>
  <c r="W150" i="14"/>
  <c r="T150" i="14"/>
  <c r="Q150" i="14"/>
  <c r="L150" i="14"/>
  <c r="CT150" i="14" s="1"/>
  <c r="K150" i="14"/>
  <c r="I150" i="14"/>
  <c r="G150" i="14"/>
  <c r="B150" i="7" s="1"/>
  <c r="CO148" i="14"/>
  <c r="AC148" i="14"/>
  <c r="Z148" i="14"/>
  <c r="W148" i="14"/>
  <c r="T148" i="14"/>
  <c r="Q148" i="14"/>
  <c r="L148" i="14"/>
  <c r="CT148" i="14" s="1"/>
  <c r="K148" i="14"/>
  <c r="I148" i="14"/>
  <c r="G148" i="14"/>
  <c r="B148" i="7" s="1"/>
  <c r="CO147" i="14"/>
  <c r="AC147" i="14"/>
  <c r="Z147" i="14"/>
  <c r="W147" i="14"/>
  <c r="T147" i="14"/>
  <c r="Q147" i="14"/>
  <c r="L147" i="14"/>
  <c r="CT147" i="14" s="1"/>
  <c r="K147" i="14"/>
  <c r="I147" i="14"/>
  <c r="G147" i="14"/>
  <c r="B147" i="7" s="1"/>
  <c r="CO144" i="14"/>
  <c r="AC144" i="14"/>
  <c r="Z144" i="14"/>
  <c r="W144" i="14"/>
  <c r="T144" i="14"/>
  <c r="Q144" i="14"/>
  <c r="L144" i="14"/>
  <c r="CT144" i="14" s="1"/>
  <c r="K144" i="14"/>
  <c r="I144" i="14"/>
  <c r="G144" i="14"/>
  <c r="B144" i="7" s="1"/>
  <c r="CK143" i="14"/>
  <c r="AV143" i="14" s="1"/>
  <c r="CJ143" i="14"/>
  <c r="E143" i="7"/>
  <c r="T143" i="7" s="1"/>
  <c r="D143" i="7"/>
  <c r="S143" i="7" s="1"/>
  <c r="I143" i="14"/>
  <c r="I142" i="14"/>
  <c r="CO141" i="14"/>
  <c r="CJ141" i="14"/>
  <c r="AC141" i="14"/>
  <c r="Z141" i="14"/>
  <c r="W141" i="14"/>
  <c r="T141" i="14"/>
  <c r="Q141" i="14"/>
  <c r="L141" i="14"/>
  <c r="CT141" i="14" s="1"/>
  <c r="K141" i="14"/>
  <c r="I141" i="14"/>
  <c r="G141" i="14"/>
  <c r="B141" i="7" s="1"/>
  <c r="CO140" i="14"/>
  <c r="CK140" i="14"/>
  <c r="CJ140" i="14"/>
  <c r="AC140" i="14"/>
  <c r="Z140" i="14"/>
  <c r="W140" i="14"/>
  <c r="T140" i="14"/>
  <c r="Q140" i="14"/>
  <c r="L140" i="14"/>
  <c r="CT140" i="14" s="1"/>
  <c r="K140" i="14"/>
  <c r="I140" i="14"/>
  <c r="G140" i="14"/>
  <c r="B140" i="7" s="1"/>
  <c r="I139" i="14"/>
  <c r="CO138" i="14"/>
  <c r="AC138" i="14"/>
  <c r="Z138" i="14"/>
  <c r="W138" i="14"/>
  <c r="T138" i="14"/>
  <c r="Q138" i="14"/>
  <c r="L138" i="14"/>
  <c r="CT138" i="14" s="1"/>
  <c r="K138" i="14"/>
  <c r="I138" i="14"/>
  <c r="G138" i="14"/>
  <c r="B138" i="7" s="1"/>
  <c r="CO137" i="14"/>
  <c r="AC137" i="14"/>
  <c r="Z137" i="14"/>
  <c r="W137" i="14"/>
  <c r="T137" i="14"/>
  <c r="Q137" i="14"/>
  <c r="L137" i="14"/>
  <c r="CT137" i="14" s="1"/>
  <c r="K137" i="14"/>
  <c r="I137" i="14"/>
  <c r="G137" i="14"/>
  <c r="B137" i="7" s="1"/>
  <c r="CO136" i="14"/>
  <c r="L136" i="14"/>
  <c r="CT136" i="14" s="1"/>
  <c r="K136" i="14"/>
  <c r="I136" i="14"/>
  <c r="G136" i="14"/>
  <c r="B136" i="7" s="1"/>
  <c r="CO135" i="14"/>
  <c r="AC135" i="14"/>
  <c r="Z135" i="14"/>
  <c r="W135" i="14"/>
  <c r="T135" i="14"/>
  <c r="Q135" i="14"/>
  <c r="L135" i="14"/>
  <c r="CT135" i="14" s="1"/>
  <c r="K135" i="14"/>
  <c r="I135" i="14"/>
  <c r="G135" i="14"/>
  <c r="B135" i="7" s="1"/>
  <c r="CO134" i="14"/>
  <c r="L134" i="14"/>
  <c r="CT134" i="14" s="1"/>
  <c r="K134" i="14"/>
  <c r="I134" i="14"/>
  <c r="G134" i="14"/>
  <c r="B134" i="7" s="1"/>
  <c r="DK133" i="14"/>
  <c r="DH133" i="14"/>
  <c r="DE133" i="14"/>
  <c r="DB133" i="14"/>
  <c r="CY133" i="14"/>
  <c r="CV133" i="14"/>
  <c r="CS133" i="14"/>
  <c r="BD133" i="14"/>
  <c r="BD139" i="14" s="1"/>
  <c r="BD142" i="14" s="1"/>
  <c r="BC133" i="14"/>
  <c r="I133" i="14"/>
  <c r="CO132" i="14"/>
  <c r="L132" i="14"/>
  <c r="CT132" i="14" s="1"/>
  <c r="K132" i="14"/>
  <c r="I132" i="14"/>
  <c r="G132" i="14"/>
  <c r="B132" i="7" s="1"/>
  <c r="CO131" i="14"/>
  <c r="AC131" i="14"/>
  <c r="Z131" i="14"/>
  <c r="W131" i="14"/>
  <c r="T131" i="14"/>
  <c r="Q131" i="14"/>
  <c r="N131" i="14"/>
  <c r="L131" i="14"/>
  <c r="CT131" i="14" s="1"/>
  <c r="K131" i="14"/>
  <c r="I131" i="14"/>
  <c r="G131" i="14"/>
  <c r="B131" i="7" s="1"/>
  <c r="CK130" i="14"/>
  <c r="CJ130" i="14"/>
  <c r="E130" i="7"/>
  <c r="T130" i="7" s="1"/>
  <c r="D130" i="7"/>
  <c r="S130" i="7" s="1"/>
  <c r="I130" i="14"/>
  <c r="I129" i="14"/>
  <c r="CO128" i="14"/>
  <c r="AC128" i="14"/>
  <c r="Z128" i="14"/>
  <c r="W128" i="14"/>
  <c r="T128" i="14"/>
  <c r="Q128" i="14"/>
  <c r="L128" i="14"/>
  <c r="CT128" i="14" s="1"/>
  <c r="K128" i="14"/>
  <c r="I128" i="14"/>
  <c r="G128" i="14"/>
  <c r="B128" i="7" s="1"/>
  <c r="CO127" i="14"/>
  <c r="AC127" i="14"/>
  <c r="Z127" i="14"/>
  <c r="W127" i="14"/>
  <c r="T127" i="14"/>
  <c r="Q127" i="14"/>
  <c r="L127" i="14"/>
  <c r="CT127" i="14" s="1"/>
  <c r="K127" i="14"/>
  <c r="I127" i="14"/>
  <c r="G127" i="14"/>
  <c r="B127" i="7" s="1"/>
  <c r="I126" i="14"/>
  <c r="CO125" i="14"/>
  <c r="AC125" i="14"/>
  <c r="Z125" i="14"/>
  <c r="W125" i="14"/>
  <c r="T125" i="14"/>
  <c r="Q125" i="14"/>
  <c r="L125" i="14"/>
  <c r="CT125" i="14" s="1"/>
  <c r="K125" i="14"/>
  <c r="I125" i="14"/>
  <c r="CO124" i="14"/>
  <c r="AC124" i="14"/>
  <c r="Z124" i="14"/>
  <c r="W124" i="14"/>
  <c r="T124" i="14"/>
  <c r="Q124" i="14"/>
  <c r="L124" i="14"/>
  <c r="CT124" i="14" s="1"/>
  <c r="K124" i="14"/>
  <c r="I124" i="14"/>
  <c r="CO123" i="14"/>
  <c r="AC123" i="14"/>
  <c r="Z123" i="14"/>
  <c r="W123" i="14"/>
  <c r="T123" i="14"/>
  <c r="Q123" i="14"/>
  <c r="L123" i="14"/>
  <c r="CT123" i="14" s="1"/>
  <c r="K123" i="14"/>
  <c r="I123" i="14"/>
  <c r="CO121" i="14"/>
  <c r="AC121" i="14"/>
  <c r="Z121" i="14"/>
  <c r="W121" i="14"/>
  <c r="T121" i="14"/>
  <c r="Q121" i="14"/>
  <c r="L121" i="14"/>
  <c r="K121" i="14"/>
  <c r="I121" i="14"/>
  <c r="CO120" i="14"/>
  <c r="AC120" i="14"/>
  <c r="Z120" i="14"/>
  <c r="W120" i="14"/>
  <c r="T120" i="14"/>
  <c r="Q120" i="14"/>
  <c r="L120" i="14"/>
  <c r="CT120" i="14" s="1"/>
  <c r="K120" i="14"/>
  <c r="I120" i="14"/>
  <c r="CO116" i="14"/>
  <c r="AC116" i="14"/>
  <c r="Z116" i="14"/>
  <c r="W116" i="14"/>
  <c r="T116" i="14"/>
  <c r="Q116" i="14"/>
  <c r="N116" i="14"/>
  <c r="L116" i="14"/>
  <c r="CT116" i="14" s="1"/>
  <c r="K116" i="14"/>
  <c r="I116" i="14"/>
  <c r="CO115" i="14"/>
  <c r="AC115" i="14"/>
  <c r="Z115" i="14"/>
  <c r="W115" i="14"/>
  <c r="T115" i="14"/>
  <c r="Q115" i="14"/>
  <c r="N115" i="14"/>
  <c r="L115" i="14"/>
  <c r="K115" i="14"/>
  <c r="I115" i="14"/>
  <c r="AC114" i="14"/>
  <c r="Z114" i="14"/>
  <c r="W114" i="14"/>
  <c r="T114" i="14"/>
  <c r="Q114" i="14"/>
  <c r="N114" i="14"/>
  <c r="L114" i="14"/>
  <c r="CT114" i="14" s="1"/>
  <c r="K114" i="14"/>
  <c r="I114" i="14"/>
  <c r="CO113" i="14"/>
  <c r="AC113" i="14"/>
  <c r="Z113" i="14"/>
  <c r="W113" i="14"/>
  <c r="T113" i="14"/>
  <c r="Q113" i="14"/>
  <c r="N113" i="14"/>
  <c r="L113" i="14"/>
  <c r="CT113" i="14" s="1"/>
  <c r="K113" i="14"/>
  <c r="I113" i="14"/>
  <c r="CO112" i="14"/>
  <c r="AC112" i="14"/>
  <c r="Z112" i="14"/>
  <c r="W112" i="14"/>
  <c r="T112" i="14"/>
  <c r="Q112" i="14"/>
  <c r="N112" i="14"/>
  <c r="L112" i="14"/>
  <c r="CT112" i="14" s="1"/>
  <c r="K112" i="14"/>
  <c r="I112" i="14"/>
  <c r="AC111" i="14"/>
  <c r="Z111" i="14"/>
  <c r="W111" i="14"/>
  <c r="T111" i="14"/>
  <c r="Q111" i="14"/>
  <c r="N111" i="14"/>
  <c r="L111" i="14"/>
  <c r="CT111" i="14" s="1"/>
  <c r="K111" i="14"/>
  <c r="I111" i="14"/>
  <c r="CO107" i="14"/>
  <c r="AC107" i="14"/>
  <c r="Z107" i="14"/>
  <c r="W107" i="14"/>
  <c r="T107" i="14"/>
  <c r="Q107" i="14"/>
  <c r="N107" i="14"/>
  <c r="L107" i="14"/>
  <c r="CT107" i="14" s="1"/>
  <c r="K107" i="14"/>
  <c r="I107" i="14"/>
  <c r="CO106" i="14"/>
  <c r="AC106" i="14"/>
  <c r="Z106" i="14"/>
  <c r="W106" i="14"/>
  <c r="T106" i="14"/>
  <c r="Q106" i="14"/>
  <c r="L106" i="14"/>
  <c r="CT106" i="14" s="1"/>
  <c r="K106" i="14"/>
  <c r="I106" i="14"/>
  <c r="CO105" i="14"/>
  <c r="AC105" i="14"/>
  <c r="Z105" i="14"/>
  <c r="W105" i="14"/>
  <c r="T105" i="14"/>
  <c r="Q105" i="14"/>
  <c r="L105" i="14"/>
  <c r="CT105" i="14" s="1"/>
  <c r="K105" i="14"/>
  <c r="I105" i="14"/>
  <c r="G105" i="14"/>
  <c r="B105" i="7" s="1"/>
  <c r="DK104" i="14"/>
  <c r="DH104" i="14"/>
  <c r="DE104" i="14"/>
  <c r="DB104" i="14"/>
  <c r="CY104" i="14"/>
  <c r="CV104" i="14"/>
  <c r="BD104" i="14"/>
  <c r="BD126" i="14" s="1"/>
  <c r="BD129" i="14" s="1"/>
  <c r="I104" i="14"/>
  <c r="CO103" i="14"/>
  <c r="AC103" i="14"/>
  <c r="Z103" i="14"/>
  <c r="W103" i="14"/>
  <c r="Q103" i="14"/>
  <c r="N103" i="14"/>
  <c r="L103" i="14"/>
  <c r="CT103" i="14" s="1"/>
  <c r="K103" i="14"/>
  <c r="I103" i="14"/>
  <c r="CO98" i="14"/>
  <c r="CT98" i="14"/>
  <c r="I98" i="14"/>
  <c r="CO97" i="14"/>
  <c r="I97" i="14"/>
  <c r="CO96" i="14"/>
  <c r="CT96" i="14"/>
  <c r="I96" i="14"/>
  <c r="CO95" i="14"/>
  <c r="AC95" i="14"/>
  <c r="Z95" i="14"/>
  <c r="W95" i="14"/>
  <c r="T95" i="14"/>
  <c r="Q95" i="14"/>
  <c r="N95" i="14"/>
  <c r="L95" i="14"/>
  <c r="CT95" i="14" s="1"/>
  <c r="K95" i="14"/>
  <c r="I95" i="14"/>
  <c r="CO93" i="14"/>
  <c r="AC93" i="14"/>
  <c r="Z93" i="14"/>
  <c r="W93" i="14"/>
  <c r="T93" i="14"/>
  <c r="Q93" i="14"/>
  <c r="N93" i="14"/>
  <c r="L93" i="14"/>
  <c r="CT93" i="14" s="1"/>
  <c r="K93" i="14"/>
  <c r="I93" i="14"/>
  <c r="CO92" i="14"/>
  <c r="AC92" i="14"/>
  <c r="Z92" i="14"/>
  <c r="W92" i="14"/>
  <c r="T92" i="14"/>
  <c r="Q92" i="14"/>
  <c r="N92" i="14"/>
  <c r="L92" i="14"/>
  <c r="CT92" i="14" s="1"/>
  <c r="K92" i="14"/>
  <c r="I92" i="14"/>
  <c r="CO91" i="14"/>
  <c r="AC91" i="14"/>
  <c r="Z91" i="14"/>
  <c r="W91" i="14"/>
  <c r="T91" i="14"/>
  <c r="Q91" i="14"/>
  <c r="N91" i="14"/>
  <c r="L91" i="14"/>
  <c r="CT91" i="14" s="1"/>
  <c r="K91" i="14"/>
  <c r="I91" i="14"/>
  <c r="CO90" i="14"/>
  <c r="AC90" i="14"/>
  <c r="Z90" i="14"/>
  <c r="W90" i="14"/>
  <c r="T90" i="14"/>
  <c r="Q90" i="14"/>
  <c r="N90" i="14"/>
  <c r="L90" i="14"/>
  <c r="CT90" i="14" s="1"/>
  <c r="K90" i="14"/>
  <c r="I90" i="14"/>
  <c r="G90" i="14"/>
  <c r="B90" i="7" s="1"/>
  <c r="CK89" i="14"/>
  <c r="BU89" i="14"/>
  <c r="BR89" i="14"/>
  <c r="BO89" i="14"/>
  <c r="BL89" i="14"/>
  <c r="BF89" i="14"/>
  <c r="I89" i="14"/>
  <c r="CJ88" i="14"/>
  <c r="I88" i="14"/>
  <c r="CO87" i="14"/>
  <c r="AC87" i="14"/>
  <c r="Z87" i="14"/>
  <c r="W87" i="14"/>
  <c r="T87" i="14"/>
  <c r="Q87" i="14"/>
  <c r="L87" i="14"/>
  <c r="CT87" i="14" s="1"/>
  <c r="K87" i="14"/>
  <c r="I87" i="14"/>
  <c r="G87" i="14"/>
  <c r="B87" i="7" s="1"/>
  <c r="AD86" i="14"/>
  <c r="AC86" i="14"/>
  <c r="AA86" i="14"/>
  <c r="Z86" i="14"/>
  <c r="X86" i="14"/>
  <c r="W86" i="14"/>
  <c r="U86" i="14"/>
  <c r="T86" i="14"/>
  <c r="R86" i="14"/>
  <c r="Q86" i="14"/>
  <c r="O86" i="14"/>
  <c r="L86" i="14"/>
  <c r="CT86" i="14" s="1"/>
  <c r="EA86" i="14" s="1"/>
  <c r="K86" i="14"/>
  <c r="I86" i="14"/>
  <c r="G86" i="14"/>
  <c r="B86" i="7" s="1"/>
  <c r="BD85" i="14"/>
  <c r="BD88" i="14" s="1"/>
  <c r="I85" i="14"/>
  <c r="CO84" i="14"/>
  <c r="AC84" i="14"/>
  <c r="Z84" i="14"/>
  <c r="W84" i="14"/>
  <c r="T84" i="14"/>
  <c r="Q84" i="14"/>
  <c r="N84" i="14"/>
  <c r="L84" i="14"/>
  <c r="CT84" i="14" s="1"/>
  <c r="K84" i="14"/>
  <c r="I84" i="14"/>
  <c r="G84" i="14"/>
  <c r="B84" i="7" s="1"/>
  <c r="CO82" i="14"/>
  <c r="AC82" i="14"/>
  <c r="Z82" i="14"/>
  <c r="W82" i="14"/>
  <c r="T82" i="14"/>
  <c r="Q82" i="14"/>
  <c r="N82" i="14"/>
  <c r="L82" i="14"/>
  <c r="CT82" i="14" s="1"/>
  <c r="K82" i="14"/>
  <c r="G82" i="14"/>
  <c r="B82" i="7" s="1"/>
  <c r="CO81" i="14"/>
  <c r="AC81" i="14"/>
  <c r="Z81" i="14"/>
  <c r="W81" i="14"/>
  <c r="T81" i="14"/>
  <c r="Q81" i="14"/>
  <c r="N81" i="14"/>
  <c r="L81" i="14"/>
  <c r="CT81" i="14" s="1"/>
  <c r="K81" i="14"/>
  <c r="I81" i="14"/>
  <c r="G81" i="14"/>
  <c r="B81" i="7" s="1"/>
  <c r="CO80" i="14"/>
  <c r="AC80" i="14"/>
  <c r="Z80" i="14"/>
  <c r="W80" i="14"/>
  <c r="T80" i="14"/>
  <c r="Q80" i="14"/>
  <c r="N80" i="14"/>
  <c r="L80" i="14"/>
  <c r="K80" i="14"/>
  <c r="I80" i="14"/>
  <c r="G80" i="14"/>
  <c r="B80" i="7" s="1"/>
  <c r="CO79" i="14"/>
  <c r="AC79" i="14"/>
  <c r="Z79" i="14"/>
  <c r="W79" i="14"/>
  <c r="T79" i="14"/>
  <c r="Q79" i="14"/>
  <c r="N79" i="14"/>
  <c r="L79" i="14"/>
  <c r="CT79" i="14" s="1"/>
  <c r="K79" i="14"/>
  <c r="I79" i="14"/>
  <c r="G79" i="14"/>
  <c r="B79" i="7" s="1"/>
  <c r="CO78" i="14"/>
  <c r="AC78" i="14"/>
  <c r="Z78" i="14"/>
  <c r="W78" i="14"/>
  <c r="T78" i="14"/>
  <c r="Q78" i="14"/>
  <c r="N78" i="14"/>
  <c r="L78" i="14"/>
  <c r="CT78" i="14" s="1"/>
  <c r="K78" i="14"/>
  <c r="I78" i="14"/>
  <c r="G78" i="14"/>
  <c r="B78" i="7" s="1"/>
  <c r="CK77" i="14"/>
  <c r="CJ77" i="14"/>
  <c r="E77" i="7"/>
  <c r="T77" i="7" s="1"/>
  <c r="D77" i="7"/>
  <c r="S77" i="7" s="1"/>
  <c r="I77" i="14"/>
  <c r="BU76" i="14"/>
  <c r="BR76" i="14"/>
  <c r="BO76" i="14"/>
  <c r="BL76" i="14"/>
  <c r="BF76" i="14"/>
  <c r="BC76" i="14"/>
  <c r="I76" i="14"/>
  <c r="CO75" i="14"/>
  <c r="AC75" i="14"/>
  <c r="Z75" i="14"/>
  <c r="W75" i="14"/>
  <c r="T75" i="14"/>
  <c r="Q75" i="14"/>
  <c r="L75" i="14"/>
  <c r="CT75" i="14" s="1"/>
  <c r="K75" i="14"/>
  <c r="I75" i="14"/>
  <c r="G75" i="14"/>
  <c r="B75" i="7" s="1"/>
  <c r="CO74" i="14"/>
  <c r="AD74" i="14"/>
  <c r="AC74" i="14"/>
  <c r="AA74" i="14"/>
  <c r="Z74" i="14"/>
  <c r="X74" i="14"/>
  <c r="W74" i="14"/>
  <c r="U74" i="14"/>
  <c r="T74" i="14"/>
  <c r="R74" i="14"/>
  <c r="Q74" i="14"/>
  <c r="O74" i="14"/>
  <c r="L74" i="14"/>
  <c r="CT74" i="14" s="1"/>
  <c r="EA74" i="14" s="1"/>
  <c r="K74" i="14"/>
  <c r="I74" i="14"/>
  <c r="G74" i="14"/>
  <c r="B74" i="7" s="1"/>
  <c r="BD73" i="14"/>
  <c r="BD76" i="14" s="1"/>
  <c r="I73" i="14"/>
  <c r="CO72" i="14"/>
  <c r="AC72" i="14"/>
  <c r="Z72" i="14"/>
  <c r="W72" i="14"/>
  <c r="T72" i="14"/>
  <c r="Q72" i="14"/>
  <c r="L72" i="14"/>
  <c r="CT72" i="14" s="1"/>
  <c r="K72" i="14"/>
  <c r="I72" i="14"/>
  <c r="G72" i="14"/>
  <c r="B72" i="7" s="1"/>
  <c r="CO71" i="14"/>
  <c r="AC71" i="14"/>
  <c r="Z71" i="14"/>
  <c r="W71" i="14"/>
  <c r="T71" i="14"/>
  <c r="Q71" i="14"/>
  <c r="L71" i="14"/>
  <c r="CT71" i="14" s="1"/>
  <c r="K71" i="14"/>
  <c r="I71" i="14"/>
  <c r="G71" i="14"/>
  <c r="B71" i="7" s="1"/>
  <c r="CO69" i="14"/>
  <c r="AC69" i="14"/>
  <c r="Z69" i="14"/>
  <c r="W69" i="14"/>
  <c r="T69" i="14"/>
  <c r="Q69" i="14"/>
  <c r="N69" i="14"/>
  <c r="L69" i="14"/>
  <c r="CT69" i="14" s="1"/>
  <c r="K69" i="14"/>
  <c r="I69" i="14"/>
  <c r="G69" i="14"/>
  <c r="B69" i="7" s="1"/>
  <c r="CO68" i="14"/>
  <c r="AC68" i="14"/>
  <c r="Z68" i="14"/>
  <c r="W68" i="14"/>
  <c r="T68" i="14"/>
  <c r="Q68" i="14"/>
  <c r="N68" i="14"/>
  <c r="L68" i="14"/>
  <c r="CT68" i="14" s="1"/>
  <c r="K68" i="14"/>
  <c r="I68" i="14"/>
  <c r="G68" i="14"/>
  <c r="B68" i="7" s="1"/>
  <c r="CO67" i="14"/>
  <c r="AC67" i="14"/>
  <c r="Z67" i="14"/>
  <c r="W67" i="14"/>
  <c r="T67" i="14"/>
  <c r="Q67" i="14"/>
  <c r="N67" i="14"/>
  <c r="L67" i="14"/>
  <c r="CT67" i="14" s="1"/>
  <c r="K67" i="14"/>
  <c r="I67" i="14"/>
  <c r="G67" i="14"/>
  <c r="B67" i="7" s="1"/>
  <c r="CK66" i="14"/>
  <c r="CJ66" i="14"/>
  <c r="E66" i="7"/>
  <c r="T66" i="7" s="1"/>
  <c r="D66" i="7"/>
  <c r="S66" i="7" s="1"/>
  <c r="I66" i="14"/>
  <c r="I65" i="14"/>
  <c r="CO64" i="14"/>
  <c r="AC64" i="14"/>
  <c r="Z64" i="14"/>
  <c r="W64" i="14"/>
  <c r="T64" i="14"/>
  <c r="Q64" i="14"/>
  <c r="N64" i="14"/>
  <c r="L64" i="14"/>
  <c r="CT64" i="14" s="1"/>
  <c r="K64" i="14"/>
  <c r="I64" i="14"/>
  <c r="G64" i="14"/>
  <c r="B64" i="7" s="1"/>
  <c r="CO63" i="14"/>
  <c r="AC63" i="14"/>
  <c r="Z63" i="14"/>
  <c r="W63" i="14"/>
  <c r="T63" i="14"/>
  <c r="Q63" i="14"/>
  <c r="N63" i="14"/>
  <c r="L63" i="14"/>
  <c r="CT63" i="14" s="1"/>
  <c r="K63" i="14"/>
  <c r="I63" i="14"/>
  <c r="G63" i="14"/>
  <c r="B63" i="7" s="1"/>
  <c r="I62" i="14"/>
  <c r="CO61" i="14"/>
  <c r="AC61" i="14"/>
  <c r="Z61" i="14"/>
  <c r="W61" i="14"/>
  <c r="T61" i="14"/>
  <c r="Q61" i="14"/>
  <c r="N61" i="14"/>
  <c r="L61" i="14"/>
  <c r="CT61" i="14" s="1"/>
  <c r="I61" i="14"/>
  <c r="G61" i="14"/>
  <c r="B61" i="7" s="1"/>
  <c r="CO59" i="14"/>
  <c r="AC59" i="14"/>
  <c r="Z59" i="14"/>
  <c r="W59" i="14"/>
  <c r="T59" i="14"/>
  <c r="Q59" i="14"/>
  <c r="N59" i="14"/>
  <c r="I59" i="14"/>
  <c r="G59" i="14"/>
  <c r="B59" i="7" s="1"/>
  <c r="CO58" i="14"/>
  <c r="AC58" i="14"/>
  <c r="Z58" i="14"/>
  <c r="W58" i="14"/>
  <c r="T58" i="14"/>
  <c r="Q58" i="14"/>
  <c r="N58" i="14"/>
  <c r="K58" i="14"/>
  <c r="I58" i="14"/>
  <c r="G58" i="14"/>
  <c r="B58" i="7" s="1"/>
  <c r="CO54" i="14"/>
  <c r="AC54" i="14"/>
  <c r="Z54" i="14"/>
  <c r="W54" i="14"/>
  <c r="T54" i="14"/>
  <c r="Q54" i="14"/>
  <c r="N54" i="14"/>
  <c r="K54" i="14"/>
  <c r="I54" i="14"/>
  <c r="G54" i="14"/>
  <c r="B54" i="7" s="1"/>
  <c r="CO52" i="14"/>
  <c r="AC52" i="14"/>
  <c r="Z52" i="14"/>
  <c r="W52" i="14"/>
  <c r="T52" i="14"/>
  <c r="Q52" i="14"/>
  <c r="N52" i="14"/>
  <c r="K52" i="14"/>
  <c r="I52" i="14"/>
  <c r="G52" i="14"/>
  <c r="B52" i="7" s="1"/>
  <c r="CO50" i="14"/>
  <c r="AC50" i="14"/>
  <c r="Z50" i="14"/>
  <c r="W50" i="14"/>
  <c r="T50" i="14"/>
  <c r="Q50" i="14"/>
  <c r="K50" i="14"/>
  <c r="I50" i="14"/>
  <c r="G50" i="14"/>
  <c r="B50" i="7" s="1"/>
  <c r="CO49" i="14"/>
  <c r="AC49" i="14"/>
  <c r="Z49" i="14"/>
  <c r="W49" i="14"/>
  <c r="T49" i="14"/>
  <c r="Q49" i="14"/>
  <c r="N49" i="14"/>
  <c r="K49" i="14"/>
  <c r="I49" i="14"/>
  <c r="G49" i="14"/>
  <c r="B49" i="7" s="1"/>
  <c r="DK48" i="14"/>
  <c r="DK65" i="14" s="1"/>
  <c r="DH48" i="14"/>
  <c r="DH65" i="14" s="1"/>
  <c r="DE48" i="14"/>
  <c r="DE65" i="14" s="1"/>
  <c r="DE354" i="14" s="1"/>
  <c r="DB48" i="14"/>
  <c r="DB65" i="14" s="1"/>
  <c r="CY48" i="14"/>
  <c r="CY65" i="14" s="1"/>
  <c r="CV48" i="14"/>
  <c r="CV65" i="14" s="1"/>
  <c r="CS48" i="14"/>
  <c r="CS65" i="14" s="1"/>
  <c r="BC48" i="14"/>
  <c r="BC65" i="14" s="1"/>
  <c r="BC354" i="14" s="1"/>
  <c r="I48" i="14"/>
  <c r="CO47" i="14"/>
  <c r="AC47" i="14"/>
  <c r="Z47" i="14"/>
  <c r="W47" i="14"/>
  <c r="T47" i="14"/>
  <c r="Q47" i="14"/>
  <c r="N47" i="14"/>
  <c r="K47" i="14"/>
  <c r="I47" i="14"/>
  <c r="G47" i="14"/>
  <c r="B47" i="7" s="1"/>
  <c r="CO42" i="14"/>
  <c r="AC42" i="14"/>
  <c r="Z42" i="14"/>
  <c r="W42" i="14"/>
  <c r="T42" i="14"/>
  <c r="Q42" i="14"/>
  <c r="N42" i="14"/>
  <c r="K42" i="14"/>
  <c r="I42" i="14"/>
  <c r="G42" i="14"/>
  <c r="B42" i="7" s="1"/>
  <c r="CO41" i="14"/>
  <c r="AC41" i="14"/>
  <c r="Z41" i="14"/>
  <c r="W41" i="14"/>
  <c r="T41" i="14"/>
  <c r="Q41" i="14"/>
  <c r="N41" i="14"/>
  <c r="K41" i="14"/>
  <c r="I41" i="14"/>
  <c r="G41" i="14"/>
  <c r="B41" i="7" s="1"/>
  <c r="CO40" i="14"/>
  <c r="AC40" i="14"/>
  <c r="Z40" i="14"/>
  <c r="W40" i="14"/>
  <c r="T40" i="14"/>
  <c r="Q40" i="14"/>
  <c r="N40" i="14"/>
  <c r="K40" i="14"/>
  <c r="I40" i="14"/>
  <c r="G40" i="14"/>
  <c r="B40" i="7" s="1"/>
  <c r="CO39" i="14"/>
  <c r="AC39" i="14"/>
  <c r="Z39" i="14"/>
  <c r="W39" i="14"/>
  <c r="T39" i="14"/>
  <c r="Q39" i="14"/>
  <c r="N39" i="14"/>
  <c r="K39" i="14"/>
  <c r="I39" i="14"/>
  <c r="G39" i="14"/>
  <c r="B39" i="7" s="1"/>
  <c r="CO37" i="14"/>
  <c r="AC37" i="14"/>
  <c r="Z37" i="14"/>
  <c r="W37" i="14"/>
  <c r="T37" i="14"/>
  <c r="Q37" i="14"/>
  <c r="N37" i="14"/>
  <c r="K37" i="14"/>
  <c r="I37" i="14"/>
  <c r="G37" i="14"/>
  <c r="B37" i="7" s="1"/>
  <c r="DZ325" i="14"/>
  <c r="CO36" i="14"/>
  <c r="CJ325" i="14"/>
  <c r="AC36" i="14"/>
  <c r="AC325" i="14" s="1"/>
  <c r="Z36" i="14"/>
  <c r="W36" i="14"/>
  <c r="T36" i="14"/>
  <c r="T325" i="14" s="1"/>
  <c r="Q36" i="14"/>
  <c r="Q325" i="14" s="1"/>
  <c r="N36" i="14"/>
  <c r="N325" i="14" s="1"/>
  <c r="K36" i="14"/>
  <c r="I36" i="14"/>
  <c r="G36" i="14"/>
  <c r="B36" i="7" s="1"/>
  <c r="CK35" i="14"/>
  <c r="AV35" i="14" s="1"/>
  <c r="CJ35" i="14"/>
  <c r="E35" i="7"/>
  <c r="T35" i="7" s="1"/>
  <c r="D35" i="7"/>
  <c r="S35" i="7" s="1"/>
  <c r="CO33" i="14"/>
  <c r="AC33" i="14"/>
  <c r="Z33" i="14"/>
  <c r="W33" i="14"/>
  <c r="T33" i="14"/>
  <c r="Q33" i="14"/>
  <c r="L33" i="14"/>
  <c r="CT33" i="14" s="1"/>
  <c r="K33" i="14"/>
  <c r="I33" i="14"/>
  <c r="G33" i="14"/>
  <c r="B33" i="7" s="1"/>
  <c r="CO32" i="14"/>
  <c r="L32" i="14"/>
  <c r="CT32" i="14" s="1"/>
  <c r="EA32" i="14" s="1"/>
  <c r="AV32" i="14" s="1"/>
  <c r="K32" i="14"/>
  <c r="G32" i="14"/>
  <c r="B32" i="7" s="1"/>
  <c r="CO30" i="14"/>
  <c r="K30" i="14"/>
  <c r="G30" i="14"/>
  <c r="B30" i="7" s="1"/>
  <c r="CO29" i="14"/>
  <c r="AC29" i="14"/>
  <c r="Z29" i="14"/>
  <c r="W29" i="14"/>
  <c r="T29" i="14"/>
  <c r="Q29" i="14"/>
  <c r="N29" i="14"/>
  <c r="K29" i="14"/>
  <c r="G29" i="14"/>
  <c r="B29" i="7" s="1"/>
  <c r="CO27" i="14"/>
  <c r="K27" i="14"/>
  <c r="I27" i="14"/>
  <c r="G27" i="14"/>
  <c r="B27" i="7" s="1"/>
  <c r="CO26" i="14"/>
  <c r="K26" i="14"/>
  <c r="G26" i="14"/>
  <c r="B26" i="7" s="1"/>
  <c r="CO25" i="14"/>
  <c r="K25" i="14"/>
  <c r="G25" i="14"/>
  <c r="B25" i="7" s="1"/>
  <c r="CO23" i="14"/>
  <c r="K23" i="14"/>
  <c r="J23" i="14"/>
  <c r="I23" i="14"/>
  <c r="G23" i="14"/>
  <c r="B23" i="7" s="1"/>
  <c r="CO22" i="14"/>
  <c r="K22" i="14"/>
  <c r="I22" i="14"/>
  <c r="G22" i="14"/>
  <c r="B22" i="7" s="1"/>
  <c r="DK21" i="14"/>
  <c r="DK34" i="14" s="1"/>
  <c r="DH21" i="14"/>
  <c r="DH34" i="14" s="1"/>
  <c r="DE21" i="14"/>
  <c r="DE34" i="14" s="1"/>
  <c r="DB21" i="14"/>
  <c r="DB34" i="14" s="1"/>
  <c r="CY21" i="14"/>
  <c r="CY34" i="14" s="1"/>
  <c r="CV21" i="14"/>
  <c r="CV34" i="14" s="1"/>
  <c r="CS21" i="14"/>
  <c r="CS34" i="14" s="1"/>
  <c r="BC21" i="14"/>
  <c r="BC34" i="14" s="1"/>
  <c r="I21" i="14"/>
  <c r="CO20" i="14"/>
  <c r="AC20" i="14"/>
  <c r="Z20" i="14"/>
  <c r="W20" i="14"/>
  <c r="T20" i="14"/>
  <c r="Q20" i="14"/>
  <c r="N20" i="14"/>
  <c r="K20" i="14"/>
  <c r="I20" i="14"/>
  <c r="G20" i="14"/>
  <c r="B20" i="7" s="1"/>
  <c r="CO19" i="14"/>
  <c r="AC19" i="14"/>
  <c r="Z19" i="14"/>
  <c r="W19" i="14"/>
  <c r="T19" i="14"/>
  <c r="Q19" i="14"/>
  <c r="N19" i="14"/>
  <c r="K19" i="14"/>
  <c r="I19" i="14"/>
  <c r="G19" i="14"/>
  <c r="B19" i="7" s="1"/>
  <c r="CO18" i="14"/>
  <c r="AC18" i="14"/>
  <c r="Z18" i="14"/>
  <c r="W18" i="14"/>
  <c r="T18" i="14"/>
  <c r="Q18" i="14"/>
  <c r="N18" i="14"/>
  <c r="K18" i="14"/>
  <c r="I18" i="14"/>
  <c r="G18" i="14"/>
  <c r="B18" i="7" s="1"/>
  <c r="CO17" i="14"/>
  <c r="AC17" i="14"/>
  <c r="Z17" i="14"/>
  <c r="W17" i="14"/>
  <c r="T17" i="14"/>
  <c r="Q17" i="14"/>
  <c r="N17" i="14"/>
  <c r="K17" i="14"/>
  <c r="I17" i="14"/>
  <c r="G17" i="14"/>
  <c r="B17" i="7" s="1"/>
  <c r="CO16" i="14"/>
  <c r="AC16" i="14"/>
  <c r="Z16" i="14"/>
  <c r="W16" i="14"/>
  <c r="T16" i="14"/>
  <c r="Q16" i="14"/>
  <c r="K16" i="14"/>
  <c r="I16" i="14"/>
  <c r="G16" i="14"/>
  <c r="B16" i="7" s="1"/>
  <c r="CO14" i="14"/>
  <c r="BD14" i="14"/>
  <c r="AC14" i="14"/>
  <c r="Z14" i="14"/>
  <c r="W14" i="14"/>
  <c r="T14" i="14"/>
  <c r="Q14" i="14"/>
  <c r="N14" i="14"/>
  <c r="K14" i="14"/>
  <c r="I14" i="14"/>
  <c r="G14" i="14"/>
  <c r="B14" i="7" s="1"/>
  <c r="CO13" i="14"/>
  <c r="AC13" i="14"/>
  <c r="Z13" i="14"/>
  <c r="W13" i="14"/>
  <c r="T13" i="14"/>
  <c r="Q13" i="14"/>
  <c r="N13" i="14"/>
  <c r="K13" i="14"/>
  <c r="I13" i="14"/>
  <c r="G13" i="14"/>
  <c r="B13" i="7" s="1"/>
  <c r="CO12" i="14"/>
  <c r="K12" i="14"/>
  <c r="I12" i="14"/>
  <c r="G12" i="14"/>
  <c r="B12" i="7" s="1"/>
  <c r="N9" i="14"/>
  <c r="BF9" i="14" s="1"/>
  <c r="H8" i="14"/>
  <c r="G8" i="14"/>
  <c r="DL6" i="14"/>
  <c r="DI6" i="14"/>
  <c r="DF6" i="14"/>
  <c r="DC6" i="14"/>
  <c r="CZ6" i="14"/>
  <c r="CW6" i="14"/>
  <c r="B19" i="12"/>
  <c r="B18" i="12"/>
  <c r="B15" i="12"/>
  <c r="B14" i="12"/>
  <c r="B13" i="12"/>
  <c r="B12" i="12"/>
  <c r="B11" i="12"/>
  <c r="B10" i="12"/>
  <c r="B9" i="12"/>
  <c r="B8" i="12"/>
  <c r="B7" i="12"/>
  <c r="B6" i="12"/>
  <c r="B5" i="12"/>
  <c r="C26" i="11"/>
  <c r="C21" i="11"/>
  <c r="J11" i="11"/>
  <c r="I11" i="11"/>
  <c r="H11" i="11"/>
  <c r="G11" i="11"/>
  <c r="F11" i="11"/>
  <c r="E11" i="11"/>
  <c r="D11" i="11"/>
  <c r="C11" i="11"/>
  <c r="C9" i="11"/>
  <c r="C7" i="11"/>
  <c r="C4" i="11"/>
  <c r="E2" i="11"/>
  <c r="E15" i="11" s="1"/>
  <c r="E23" i="11" s="1"/>
  <c r="L31" i="10"/>
  <c r="B46" i="10"/>
  <c r="C46" i="10" s="1"/>
  <c r="B45" i="10"/>
  <c r="C45" i="10" s="1"/>
  <c r="B41" i="10"/>
  <c r="C41" i="10" s="1"/>
  <c r="B40" i="10"/>
  <c r="C40" i="10" s="1"/>
  <c r="B36" i="10"/>
  <c r="C36" i="10" s="1"/>
  <c r="G5" i="10"/>
  <c r="G31" i="10" s="1"/>
  <c r="S4" i="10"/>
  <c r="S30" i="10" s="1"/>
  <c r="D4" i="10"/>
  <c r="D30" i="10" s="1"/>
  <c r="E77" i="8"/>
  <c r="C45" i="8"/>
  <c r="C44" i="8"/>
  <c r="C40" i="8"/>
  <c r="AN40" i="8" s="1"/>
  <c r="C31" i="8"/>
  <c r="K18" i="8"/>
  <c r="AL12" i="8"/>
  <c r="B143" i="7"/>
  <c r="B142" i="7"/>
  <c r="H139" i="7"/>
  <c r="H142" i="7" s="1"/>
  <c r="G139" i="7"/>
  <c r="G142" i="7" s="1"/>
  <c r="B139" i="7"/>
  <c r="K133" i="7"/>
  <c r="K139" i="7" s="1"/>
  <c r="K142" i="7" s="1"/>
  <c r="J133" i="7"/>
  <c r="J139" i="7" s="1"/>
  <c r="J142" i="7" s="1"/>
  <c r="B133" i="7"/>
  <c r="B130" i="7"/>
  <c r="J129" i="7"/>
  <c r="G129" i="7"/>
  <c r="B129" i="7"/>
  <c r="B126" i="7"/>
  <c r="B104" i="7"/>
  <c r="B89" i="7"/>
  <c r="B88" i="7"/>
  <c r="K85" i="7"/>
  <c r="K88" i="7" s="1"/>
  <c r="J85" i="7"/>
  <c r="J88" i="7" s="1"/>
  <c r="H85" i="7"/>
  <c r="H88" i="7" s="1"/>
  <c r="G85" i="7"/>
  <c r="G88" i="7" s="1"/>
  <c r="B85" i="7"/>
  <c r="B77" i="7"/>
  <c r="H76" i="7"/>
  <c r="G76" i="7"/>
  <c r="B76" i="7"/>
  <c r="K73" i="7"/>
  <c r="K76" i="7" s="1"/>
  <c r="J73" i="7"/>
  <c r="J76" i="7" s="1"/>
  <c r="B73" i="7"/>
  <c r="B66" i="7"/>
  <c r="H65" i="7"/>
  <c r="G65" i="7"/>
  <c r="B65" i="7"/>
  <c r="B62" i="7"/>
  <c r="K48" i="7"/>
  <c r="K62" i="7" s="1"/>
  <c r="K65" i="7" s="1"/>
  <c r="J48" i="7"/>
  <c r="J62" i="7" s="1"/>
  <c r="J65" i="7" s="1"/>
  <c r="H48" i="7"/>
  <c r="G48" i="7"/>
  <c r="B48" i="7"/>
  <c r="B35" i="7"/>
  <c r="B34" i="7"/>
  <c r="B31" i="7"/>
  <c r="K21" i="7"/>
  <c r="K31" i="7" s="1"/>
  <c r="K34" i="7" s="1"/>
  <c r="J21" i="7"/>
  <c r="J31" i="7" s="1"/>
  <c r="J34" i="7" s="1"/>
  <c r="H21" i="7"/>
  <c r="H31" i="7" s="1"/>
  <c r="H34" i="7" s="1"/>
  <c r="G21" i="7"/>
  <c r="G31" i="7" s="1"/>
  <c r="G34" i="7" s="1"/>
  <c r="B21" i="7"/>
  <c r="D8" i="7"/>
  <c r="B8" i="7"/>
  <c r="N12" i="3"/>
  <c r="C89" i="2"/>
  <c r="G89" i="2" s="1"/>
  <c r="C88" i="2"/>
  <c r="G88" i="2" s="1"/>
  <c r="C87" i="2"/>
  <c r="G87" i="2" s="1"/>
  <c r="C86" i="2"/>
  <c r="G86" i="2" s="1"/>
  <c r="C85" i="2"/>
  <c r="G85" i="2" s="1"/>
  <c r="C84" i="2"/>
  <c r="G84" i="2" s="1"/>
  <c r="C83" i="2"/>
  <c r="G83" i="2" s="1"/>
  <c r="C82" i="2"/>
  <c r="G82" i="2" s="1"/>
  <c r="C81" i="2"/>
  <c r="G81" i="2"/>
  <c r="C80" i="2"/>
  <c r="E66" i="2"/>
  <c r="J19" i="2"/>
  <c r="Y13" i="2"/>
  <c r="Q12" i="2"/>
  <c r="C12" i="2"/>
  <c r="Q10" i="2"/>
  <c r="C10" i="2"/>
  <c r="Q8" i="2"/>
  <c r="C8" i="2"/>
  <c r="Q6" i="2"/>
  <c r="C6" i="2"/>
  <c r="G3" i="14" s="1"/>
  <c r="AY3" i="14" s="1"/>
  <c r="C5" i="2"/>
  <c r="J175" i="1"/>
  <c r="J122" i="1"/>
  <c r="J121" i="1"/>
  <c r="J120" i="1"/>
  <c r="J119" i="1"/>
  <c r="J118" i="1"/>
  <c r="D65" i="1"/>
  <c r="J35" i="1"/>
  <c r="G35" i="1"/>
  <c r="D35" i="1"/>
  <c r="J34" i="1"/>
  <c r="G34" i="1"/>
  <c r="D34" i="1"/>
  <c r="J33" i="1"/>
  <c r="G33" i="1"/>
  <c r="D33" i="1"/>
  <c r="J32" i="1"/>
  <c r="J36" i="1" s="1"/>
  <c r="BA83" i="14" s="1"/>
  <c r="I82" i="14" s="1"/>
  <c r="G32" i="1"/>
  <c r="G36" i="1" s="1"/>
  <c r="BA82" i="14" s="1"/>
  <c r="D32" i="1"/>
  <c r="D36" i="1" s="1"/>
  <c r="BA26" i="14" s="1"/>
  <c r="G35" i="2"/>
  <c r="B15" i="1"/>
  <c r="C16" i="8" s="1"/>
  <c r="AQ67" i="29"/>
  <c r="AN19" i="22"/>
  <c r="AN67" i="25"/>
  <c r="AN29" i="26"/>
  <c r="AN137" i="22"/>
  <c r="AN139" i="22"/>
  <c r="AF15" i="26"/>
  <c r="AE15" i="26" s="1"/>
  <c r="AN49" i="26"/>
  <c r="AN64" i="26"/>
  <c r="A30" i="19"/>
  <c r="A57" i="19"/>
  <c r="AQ54" i="22"/>
  <c r="AQ84" i="22"/>
  <c r="AN61" i="29"/>
  <c r="AN110" i="29"/>
  <c r="AE129" i="29"/>
  <c r="AH44" i="29"/>
  <c r="AN67" i="29"/>
  <c r="AN56" i="29"/>
  <c r="AQ69" i="29"/>
  <c r="AE132" i="29"/>
  <c r="AN29" i="29"/>
  <c r="AQ52" i="29"/>
  <c r="AQ100" i="29"/>
  <c r="AH110" i="29"/>
  <c r="AE148" i="29"/>
  <c r="AQ152" i="29"/>
  <c r="AE80" i="27"/>
  <c r="AN80" i="29"/>
  <c r="AN106" i="29"/>
  <c r="AN151" i="29"/>
  <c r="AD13" i="29"/>
  <c r="AK260" i="24"/>
  <c r="AF32" i="22"/>
  <c r="AF105" i="22"/>
  <c r="AF33" i="22"/>
  <c r="AF48" i="22"/>
  <c r="AE48" i="22" s="1"/>
  <c r="AF64" i="22"/>
  <c r="AF112" i="22"/>
  <c r="A79" i="19"/>
  <c r="AQ34" i="22"/>
  <c r="AQ66" i="22"/>
  <c r="AN104" i="22"/>
  <c r="A27" i="19"/>
  <c r="A29" i="19"/>
  <c r="A31" i="19"/>
  <c r="A33" i="19"/>
  <c r="B13" i="20"/>
  <c r="A13" i="20" s="1"/>
  <c r="A74" i="19"/>
  <c r="A72" i="19"/>
  <c r="A70" i="19"/>
  <c r="A64" i="19"/>
  <c r="A66" i="19"/>
  <c r="A68" i="19"/>
  <c r="A71" i="19"/>
  <c r="A89" i="19"/>
  <c r="A91" i="19"/>
  <c r="A93" i="19"/>
  <c r="AF44" i="22"/>
  <c r="AE44" i="22" s="1"/>
  <c r="AF76" i="22"/>
  <c r="AE76" i="22" s="1"/>
  <c r="AF108" i="22"/>
  <c r="AF124" i="22"/>
  <c r="AF140" i="22"/>
  <c r="E24" i="18"/>
  <c r="A45" i="19"/>
  <c r="A43" i="19"/>
  <c r="A41" i="19"/>
  <c r="A39" i="19"/>
  <c r="A37" i="19"/>
  <c r="A44" i="19"/>
  <c r="A61" i="19"/>
  <c r="A59" i="19"/>
  <c r="A54" i="19"/>
  <c r="A56" i="19"/>
  <c r="AF37" i="22"/>
  <c r="AF40" i="22"/>
  <c r="AF56" i="22"/>
  <c r="AE56" i="22" s="1"/>
  <c r="AF72" i="22"/>
  <c r="AE72" i="22" s="1"/>
  <c r="AF117" i="22"/>
  <c r="AF120" i="22"/>
  <c r="AE120" i="22" s="1"/>
  <c r="AF136" i="22"/>
  <c r="AQ10" i="26"/>
  <c r="A98" i="19"/>
  <c r="A96" i="19"/>
  <c r="A94" i="19"/>
  <c r="A88" i="19"/>
  <c r="A90" i="19"/>
  <c r="A92" i="19"/>
  <c r="A95" i="19"/>
  <c r="B19" i="20"/>
  <c r="AF52" i="22"/>
  <c r="AE52" i="22" s="1"/>
  <c r="AF68" i="22"/>
  <c r="AE68" i="22" s="1"/>
  <c r="AQ113" i="22"/>
  <c r="A5" i="19"/>
  <c r="A9" i="19"/>
  <c r="A16" i="19"/>
  <c r="A20" i="19"/>
  <c r="AQ19" i="26"/>
  <c r="AF38" i="26"/>
  <c r="AE38" i="26" s="1"/>
  <c r="AQ11" i="27"/>
  <c r="AN73" i="27"/>
  <c r="AF57" i="25"/>
  <c r="AQ35" i="27"/>
  <c r="AQ19" i="27"/>
  <c r="AQ47" i="27"/>
  <c r="AQ76" i="26"/>
  <c r="AQ79" i="26"/>
  <c r="AE81" i="26"/>
  <c r="AS80" i="27"/>
  <c r="AN52" i="27"/>
  <c r="AN43" i="29"/>
  <c r="AQ38" i="29"/>
  <c r="AQ54" i="29"/>
  <c r="AF57" i="29"/>
  <c r="AE57" i="29" s="1"/>
  <c r="AF31" i="29"/>
  <c r="AE31" i="29" s="1"/>
  <c r="AN19" i="29"/>
  <c r="AN57" i="29"/>
  <c r="AG16" i="29"/>
  <c r="AQ21" i="29"/>
  <c r="AQ42" i="29"/>
  <c r="AF104" i="29"/>
  <c r="AS18" i="29"/>
  <c r="AQ46" i="29"/>
  <c r="AQ62" i="29"/>
  <c r="AS111" i="29"/>
  <c r="AQ10" i="29"/>
  <c r="AG13" i="29"/>
  <c r="AQ15" i="29"/>
  <c r="AQ24" i="29"/>
  <c r="AF37" i="29"/>
  <c r="AN84" i="29"/>
  <c r="AF88" i="29"/>
  <c r="AE88" i="29" s="1"/>
  <c r="AN101" i="29"/>
  <c r="AN118" i="29"/>
  <c r="AF120" i="29"/>
  <c r="AD15" i="29"/>
  <c r="AN22" i="29"/>
  <c r="AN48" i="29"/>
  <c r="AF77" i="29"/>
  <c r="AH79" i="29"/>
  <c r="AQ114" i="29"/>
  <c r="AS10" i="29"/>
  <c r="AS68" i="29"/>
  <c r="AS70" i="29"/>
  <c r="AQ72" i="29"/>
  <c r="AQ89" i="29"/>
  <c r="AN100" i="29"/>
  <c r="AF112" i="29"/>
  <c r="AN120" i="29"/>
  <c r="AN71" i="29"/>
  <c r="AN93" i="29"/>
  <c r="AQ97" i="29"/>
  <c r="AN103" i="29"/>
  <c r="AF76" i="29"/>
  <c r="AN78" i="29"/>
  <c r="AN81" i="29"/>
  <c r="AN97" i="29"/>
  <c r="AQ101" i="29"/>
  <c r="AK111" i="29"/>
  <c r="AF126" i="29"/>
  <c r="AE126" i="29" s="1"/>
  <c r="AS149" i="29"/>
  <c r="AN124" i="29"/>
  <c r="AF125" i="29"/>
  <c r="AE125" i="29" s="1"/>
  <c r="AN128" i="29"/>
  <c r="AQ122" i="29"/>
  <c r="AQ137" i="29"/>
  <c r="AF142" i="29"/>
  <c r="AS148" i="29"/>
  <c r="AN148" i="29"/>
  <c r="AH151" i="29"/>
  <c r="AQ140" i="29"/>
  <c r="AF143" i="29"/>
  <c r="AS147" i="29"/>
  <c r="AK132" i="29"/>
  <c r="AN134" i="29"/>
  <c r="AN142" i="29"/>
  <c r="AQ148" i="29"/>
  <c r="AQ150" i="29"/>
  <c r="AS152" i="29"/>
  <c r="AK152" i="29"/>
  <c r="AG15" i="29"/>
  <c r="AJ15" i="29"/>
  <c r="AJ16" i="29"/>
  <c r="AJ13" i="29"/>
  <c r="A55" i="19"/>
  <c r="AQ42" i="22"/>
  <c r="AN25" i="30"/>
  <c r="P63" i="18"/>
  <c r="AN152" i="22"/>
  <c r="AK64" i="30"/>
  <c r="AE146" i="22"/>
  <c r="A84" i="19"/>
  <c r="AQ45" i="29"/>
  <c r="AQ145" i="29"/>
  <c r="AD157" i="30"/>
  <c r="A76" i="19"/>
  <c r="AK168" i="30"/>
  <c r="AH109" i="30"/>
  <c r="AD93" i="30"/>
  <c r="AQ15" i="30"/>
  <c r="A82" i="19"/>
  <c r="AI101" i="30"/>
  <c r="A86" i="19"/>
  <c r="AL85" i="30"/>
  <c r="A77" i="19"/>
  <c r="A85" i="19"/>
  <c r="AQ48" i="27"/>
  <c r="AJ157" i="30"/>
  <c r="AP101" i="30"/>
  <c r="AI157" i="30"/>
  <c r="AI109" i="30"/>
  <c r="AG101" i="30"/>
  <c r="AQ128" i="22"/>
  <c r="AK70" i="29"/>
  <c r="AQ73" i="29"/>
  <c r="AK66" i="30"/>
  <c r="AH67" i="30"/>
  <c r="AQ68" i="30"/>
  <c r="A53" i="19"/>
  <c r="AN92" i="29"/>
  <c r="AN102" i="29"/>
  <c r="AH111" i="29"/>
  <c r="AN112" i="29"/>
  <c r="AN121" i="22"/>
  <c r="AQ79" i="27"/>
  <c r="AK81" i="27"/>
  <c r="AH18" i="29"/>
  <c r="AQ55" i="29"/>
  <c r="AF236" i="23"/>
  <c r="AC236" i="23"/>
  <c r="AG238" i="23"/>
  <c r="AF238" i="23"/>
  <c r="AC238" i="23"/>
  <c r="AB240" i="23"/>
  <c r="AF240" i="23"/>
  <c r="AC240" i="23"/>
  <c r="AD240" i="23"/>
  <c r="AG324" i="23"/>
  <c r="AB324" i="23"/>
  <c r="AF324" i="23"/>
  <c r="AJ78" i="30"/>
  <c r="AH78" i="30"/>
  <c r="AI86" i="30"/>
  <c r="AD94" i="30"/>
  <c r="AM102" i="30"/>
  <c r="AJ118" i="30"/>
  <c r="AD118" i="30"/>
  <c r="AQ118" i="30"/>
  <c r="AF118" i="30"/>
  <c r="AS118" i="30"/>
  <c r="AL118" i="30"/>
  <c r="AK126" i="30"/>
  <c r="AF126" i="30"/>
  <c r="AP126" i="30"/>
  <c r="AR126" i="30"/>
  <c r="AN126" i="30"/>
  <c r="AP150" i="30"/>
  <c r="AI158" i="30"/>
  <c r="AN60" i="22"/>
  <c r="AN42" i="29"/>
  <c r="AH43" i="29"/>
  <c r="AN44" i="29"/>
  <c r="AS126" i="30"/>
  <c r="AO126" i="30"/>
  <c r="AH126" i="30"/>
  <c r="AM110" i="30"/>
  <c r="AK118" i="30"/>
  <c r="AD238" i="23"/>
  <c r="AI126" i="30"/>
  <c r="AG126" i="30"/>
  <c r="AL126" i="30"/>
  <c r="AO102" i="30"/>
  <c r="AM78" i="30"/>
  <c r="AG118" i="30"/>
  <c r="AC324" i="23"/>
  <c r="AD324" i="23"/>
  <c r="AE240" i="23"/>
  <c r="AN22" i="30"/>
  <c r="AH65" i="30"/>
  <c r="AR137" i="30"/>
  <c r="AS69" i="29"/>
  <c r="AF24" i="30"/>
  <c r="AF28" i="30"/>
  <c r="AE28" i="30" s="1"/>
  <c r="AN25" i="22"/>
  <c r="AQ32" i="22"/>
  <c r="AN80" i="26"/>
  <c r="AH150" i="22"/>
  <c r="AQ38" i="26"/>
  <c r="AH75" i="27"/>
  <c r="AE76" i="27"/>
  <c r="AQ76" i="27"/>
  <c r="AN16" i="29"/>
  <c r="AE20" i="29"/>
  <c r="AK20" i="29"/>
  <c r="AN24" i="29"/>
  <c r="AE78" i="29"/>
  <c r="AQ116" i="29"/>
  <c r="AH133" i="29"/>
  <c r="AE146" i="29"/>
  <c r="AQ146" i="29"/>
  <c r="AH147" i="29"/>
  <c r="AN147" i="29"/>
  <c r="AH149" i="29"/>
  <c r="AG319" i="23"/>
  <c r="AC319" i="23"/>
  <c r="AF325" i="23"/>
  <c r="AB325" i="23"/>
  <c r="AO170" i="30"/>
  <c r="AE81" i="30"/>
  <c r="AO85" i="30"/>
  <c r="AF153" i="30"/>
  <c r="AF78" i="30"/>
  <c r="AK78" i="30"/>
  <c r="AD161" i="30"/>
  <c r="AN36" i="29"/>
  <c r="AM90" i="30"/>
  <c r="AG98" i="30"/>
  <c r="AR114" i="30"/>
  <c r="AH114" i="30"/>
  <c r="AO114" i="30"/>
  <c r="AM138" i="30"/>
  <c r="AD138" i="30"/>
  <c r="AD146" i="30"/>
  <c r="AM146" i="30"/>
  <c r="D120" i="23"/>
  <c r="D157" i="23" s="1"/>
  <c r="D193" i="23" s="1"/>
  <c r="D125" i="23"/>
  <c r="D162" i="23" s="1"/>
  <c r="D198" i="23" s="1"/>
  <c r="AC323" i="23"/>
  <c r="AG323" i="23"/>
  <c r="AD323" i="23"/>
  <c r="AG82" i="30"/>
  <c r="AK106" i="30"/>
  <c r="AJ122" i="30"/>
  <c r="AL122" i="30"/>
  <c r="AK122" i="30"/>
  <c r="AR130" i="30"/>
  <c r="AD130" i="30"/>
  <c r="AK130" i="30"/>
  <c r="AF165" i="30"/>
  <c r="AN165" i="30"/>
  <c r="AF53" i="22"/>
  <c r="AF128" i="22"/>
  <c r="AE128" i="22" s="1"/>
  <c r="AF89" i="22"/>
  <c r="A21" i="19"/>
  <c r="A19" i="19"/>
  <c r="AN40" i="29"/>
  <c r="AF57" i="22"/>
  <c r="AF73" i="22"/>
  <c r="AQ84" i="29"/>
  <c r="AQ98" i="29"/>
  <c r="AN33" i="22"/>
  <c r="AQ36" i="22"/>
  <c r="AQ143" i="29"/>
  <c r="AQ33" i="22"/>
  <c r="AQ41" i="22"/>
  <c r="AQ23" i="29"/>
  <c r="AN37" i="29"/>
  <c r="AE149" i="29"/>
  <c r="AS151" i="29"/>
  <c r="AN37" i="26"/>
  <c r="AH81" i="26"/>
  <c r="AE110" i="29"/>
  <c r="AQ115" i="29"/>
  <c r="AH132" i="29"/>
  <c r="AN133" i="29"/>
  <c r="AH136" i="29"/>
  <c r="AN139" i="29"/>
  <c r="AQ74" i="22"/>
  <c r="AK150" i="22"/>
  <c r="AH19" i="29"/>
  <c r="AN142" i="22"/>
  <c r="AN144" i="22"/>
  <c r="AQ82" i="29"/>
  <c r="AQ108" i="29"/>
  <c r="AE66" i="30"/>
  <c r="AK68" i="30"/>
  <c r="O74" i="30"/>
  <c r="AQ20" i="26"/>
  <c r="D24" i="18"/>
  <c r="A3" i="19"/>
  <c r="AN47" i="22"/>
  <c r="AN143" i="22"/>
  <c r="AQ14" i="29"/>
  <c r="AQ43" i="29"/>
  <c r="AQ71" i="29"/>
  <c r="AQ118" i="29"/>
  <c r="AN20" i="30"/>
  <c r="E96" i="18"/>
  <c r="AS108" i="29"/>
  <c r="AS110" i="29"/>
  <c r="AS135" i="29"/>
  <c r="A17" i="19"/>
  <c r="AQ27" i="22"/>
  <c r="AQ81" i="22"/>
  <c r="AQ18" i="26"/>
  <c r="AN17" i="25"/>
  <c r="AN95" i="25" s="1"/>
  <c r="AQ12" i="29"/>
  <c r="AN12" i="29"/>
  <c r="A38" i="19"/>
  <c r="A42" i="19"/>
  <c r="A36" i="19"/>
  <c r="A65" i="19"/>
  <c r="A69" i="19"/>
  <c r="A67" i="19"/>
  <c r="AF56" i="25"/>
  <c r="AE56" i="25" s="1"/>
  <c r="AQ127" i="29"/>
  <c r="AQ123" i="29"/>
  <c r="AQ121" i="29"/>
  <c r="AQ119" i="29"/>
  <c r="AN84" i="22"/>
  <c r="AD318" i="23"/>
  <c r="AG318" i="23"/>
  <c r="AB318" i="23"/>
  <c r="AF318" i="23"/>
  <c r="AE318" i="23"/>
  <c r="AC318" i="23"/>
  <c r="AG328" i="23"/>
  <c r="AE328" i="23"/>
  <c r="AC328" i="23"/>
  <c r="AB328" i="23"/>
  <c r="AD328" i="23"/>
  <c r="AQ117" i="29"/>
  <c r="AN144" i="29"/>
  <c r="AQ64" i="22"/>
  <c r="A73" i="19"/>
  <c r="AH34" i="29"/>
  <c r="AQ48" i="29"/>
  <c r="AQ120" i="22"/>
  <c r="AQ129" i="29"/>
  <c r="A40" i="19"/>
  <c r="AF328" i="23"/>
  <c r="A6" i="19"/>
  <c r="A28" i="19"/>
  <c r="AN148" i="22"/>
  <c r="AQ50" i="25"/>
  <c r="AN33" i="26"/>
  <c r="AF39" i="30"/>
  <c r="AP100" i="30"/>
  <c r="AM100" i="30"/>
  <c r="AD108" i="30"/>
  <c r="AI108" i="30"/>
  <c r="AS116" i="30"/>
  <c r="AJ116" i="30"/>
  <c r="AF116" i="30"/>
  <c r="AK116" i="30"/>
  <c r="AP116" i="30"/>
  <c r="AR116" i="30"/>
  <c r="AD124" i="30"/>
  <c r="AQ124" i="30"/>
  <c r="AN124" i="30"/>
  <c r="AG124" i="30"/>
  <c r="AO124" i="30"/>
  <c r="AP132" i="30"/>
  <c r="AR132" i="30"/>
  <c r="AM132" i="30"/>
  <c r="AF132" i="30"/>
  <c r="AL132" i="30"/>
  <c r="AP140" i="30"/>
  <c r="AR140" i="30"/>
  <c r="AJ140" i="30"/>
  <c r="AQ140" i="30"/>
  <c r="AS140" i="30"/>
  <c r="AM140" i="30"/>
  <c r="AE148" i="30"/>
  <c r="AK148" i="30"/>
  <c r="AN156" i="30"/>
  <c r="AD156" i="30"/>
  <c r="AG164" i="30"/>
  <c r="AN164" i="30"/>
  <c r="AI164" i="30"/>
  <c r="AJ164" i="30"/>
  <c r="AO164" i="30"/>
  <c r="AH164" i="30"/>
  <c r="AS164" i="30"/>
  <c r="AD164" i="30"/>
  <c r="AK164" i="30"/>
  <c r="A23" i="19"/>
  <c r="AN81" i="22"/>
  <c r="AN133" i="22"/>
  <c r="AQ136" i="22"/>
  <c r="AD94" i="25"/>
  <c r="AH81" i="27"/>
  <c r="AN77" i="29"/>
  <c r="AN88" i="29"/>
  <c r="AN130" i="29"/>
  <c r="AN14" i="22"/>
  <c r="AN44" i="22"/>
  <c r="AN66" i="22"/>
  <c r="AQ69" i="22"/>
  <c r="AQ111" i="22"/>
  <c r="AF113" i="22"/>
  <c r="AE76" i="26"/>
  <c r="AK78" i="26"/>
  <c r="AF34" i="27"/>
  <c r="AE34" i="27" s="1"/>
  <c r="AQ102" i="29"/>
  <c r="AQ147" i="29"/>
  <c r="AF27" i="30"/>
  <c r="AE234" i="23"/>
  <c r="AG234" i="23"/>
  <c r="AC234" i="23"/>
  <c r="AB234" i="23"/>
  <c r="AD234" i="23"/>
  <c r="AQ40" i="22"/>
  <c r="AN94" i="22"/>
  <c r="AN105" i="22"/>
  <c r="AE78" i="25"/>
  <c r="AQ77" i="26"/>
  <c r="AN78" i="26"/>
  <c r="AN45" i="27"/>
  <c r="AE67" i="29"/>
  <c r="AH69" i="29"/>
  <c r="AN99" i="29"/>
  <c r="AH150" i="29"/>
  <c r="AE151" i="29"/>
  <c r="AN16" i="30"/>
  <c r="AN23" i="30"/>
  <c r="AQ63" i="30"/>
  <c r="AQ66" i="30"/>
  <c r="AN67" i="30"/>
  <c r="A34" i="19"/>
  <c r="AN23" i="22"/>
  <c r="AQ90" i="22"/>
  <c r="AN98" i="22"/>
  <c r="AQ116" i="22"/>
  <c r="AN117" i="22"/>
  <c r="AN22" i="26"/>
  <c r="AN38" i="27"/>
  <c r="AQ74" i="27"/>
  <c r="AQ48" i="30"/>
  <c r="AN38" i="30"/>
  <c r="AR85" i="30"/>
  <c r="AN33" i="30"/>
  <c r="AE68" i="30"/>
  <c r="AM109" i="30"/>
  <c r="AB317" i="23"/>
  <c r="AE74" i="22"/>
  <c r="AE86" i="22"/>
  <c r="A14" i="19"/>
  <c r="AQ57" i="22"/>
  <c r="AQ101" i="22"/>
  <c r="AE150" i="22"/>
  <c r="AK152" i="22"/>
  <c r="AN30" i="29"/>
  <c r="AQ37" i="29"/>
  <c r="AQ83" i="29"/>
  <c r="AN109" i="29"/>
  <c r="AK151" i="29"/>
  <c r="AH152" i="29"/>
  <c r="A22" i="19"/>
  <c r="A25" i="19"/>
  <c r="AQ24" i="22"/>
  <c r="AN55" i="22"/>
  <c r="AN61" i="22"/>
  <c r="AQ63" i="22"/>
  <c r="AQ77" i="22"/>
  <c r="AN85" i="22"/>
  <c r="AQ98" i="22"/>
  <c r="AN141" i="22"/>
  <c r="AQ144" i="22"/>
  <c r="AM105" i="26"/>
  <c r="AK80" i="26"/>
  <c r="AR87" i="27"/>
  <c r="AK19" i="29"/>
  <c r="AQ20" i="29"/>
  <c r="AH22" i="29"/>
  <c r="AN95" i="29"/>
  <c r="AH108" i="29"/>
  <c r="AQ133" i="29"/>
  <c r="AQ30" i="26"/>
  <c r="AQ75" i="26"/>
  <c r="AN76" i="26"/>
  <c r="AQ24" i="27"/>
  <c r="AF31" i="27"/>
  <c r="AQ60" i="27"/>
  <c r="AK75" i="27"/>
  <c r="AQ30" i="29"/>
  <c r="AN49" i="29"/>
  <c r="AQ109" i="29"/>
  <c r="AQ128" i="29"/>
  <c r="B8" i="20"/>
  <c r="A8" i="20" s="1"/>
  <c r="AQ55" i="22"/>
  <c r="AQ61" i="22"/>
  <c r="AQ123" i="22"/>
  <c r="AF60" i="25"/>
  <c r="AN21" i="27"/>
  <c r="AN86" i="27" s="1"/>
  <c r="AQ78" i="27"/>
  <c r="AE10" i="29"/>
  <c r="AQ49" i="29"/>
  <c r="AN58" i="29"/>
  <c r="AN60" i="29"/>
  <c r="AK67" i="29"/>
  <c r="AN69" i="29"/>
  <c r="AE111" i="29"/>
  <c r="AQ111" i="29"/>
  <c r="A15" i="19"/>
  <c r="A26" i="19"/>
  <c r="AN15" i="22"/>
  <c r="AN26" i="22"/>
  <c r="AQ28" i="22"/>
  <c r="AQ49" i="22"/>
  <c r="AN73" i="22"/>
  <c r="AF59" i="26"/>
  <c r="AE59" i="26" s="1"/>
  <c r="AQ28" i="27"/>
  <c r="AN41" i="27"/>
  <c r="AS21" i="29"/>
  <c r="AQ78" i="29"/>
  <c r="AP257" i="22"/>
  <c r="AP256" i="22"/>
  <c r="AN76" i="22"/>
  <c r="AQ138" i="22"/>
  <c r="AD87" i="27"/>
  <c r="AN39" i="29"/>
  <c r="A5" i="20"/>
  <c r="AQ26" i="22"/>
  <c r="AN43" i="22"/>
  <c r="AN91" i="22"/>
  <c r="AQ131" i="22"/>
  <c r="AR101" i="25"/>
  <c r="AQ32" i="26"/>
  <c r="AE42" i="26"/>
  <c r="AQ55" i="26"/>
  <c r="AQ15" i="27"/>
  <c r="AQ34" i="27"/>
  <c r="AF54" i="27"/>
  <c r="AE54" i="27" s="1"/>
  <c r="AK77" i="27"/>
  <c r="AN80" i="27"/>
  <c r="AE135" i="29"/>
  <c r="AI153" i="30"/>
  <c r="AF161" i="30"/>
  <c r="AC317" i="23"/>
  <c r="AN116" i="29"/>
  <c r="AQ136" i="29"/>
  <c r="AG108" i="30"/>
  <c r="AL153" i="30"/>
  <c r="AH161" i="30"/>
  <c r="AF317" i="23"/>
  <c r="AL100" i="30"/>
  <c r="AN153" i="30"/>
  <c r="AJ161" i="30"/>
  <c r="AG317" i="23"/>
  <c r="AQ100" i="30"/>
  <c r="AE124" i="30"/>
  <c r="AE132" i="30"/>
  <c r="AG145" i="30"/>
  <c r="AQ153" i="30"/>
  <c r="AL161" i="30"/>
  <c r="AE325" i="23"/>
  <c r="AD100" i="30"/>
  <c r="AN161" i="30"/>
  <c r="AM124" i="30"/>
  <c r="AR153" i="30"/>
  <c r="AP161" i="30"/>
  <c r="AQ161" i="30"/>
  <c r="AQ79" i="29"/>
  <c r="AQ81" i="29"/>
  <c r="AN87" i="29"/>
  <c r="AK10" i="29"/>
  <c r="AQ11" i="29"/>
  <c r="AN15" i="29"/>
  <c r="AN21" i="29"/>
  <c r="AQ41" i="29"/>
  <c r="AQ75" i="29"/>
  <c r="AQ76" i="29"/>
  <c r="AN137" i="29"/>
  <c r="AS150" i="29"/>
  <c r="AN150" i="29"/>
  <c r="AN72" i="29"/>
  <c r="AN83" i="29"/>
  <c r="AQ125" i="29"/>
  <c r="AE33" i="29"/>
  <c r="AQ33" i="29"/>
  <c r="AS33" i="29"/>
  <c r="AK34" i="29"/>
  <c r="AQ34" i="29"/>
  <c r="AQ95" i="29"/>
  <c r="AN146" i="29"/>
  <c r="AS146" i="29"/>
  <c r="AH148" i="29"/>
  <c r="AN17" i="29"/>
  <c r="AQ53" i="29"/>
  <c r="AK79" i="29"/>
  <c r="AQ94" i="29"/>
  <c r="AN104" i="29"/>
  <c r="AE136" i="29"/>
  <c r="AE18" i="29"/>
  <c r="AQ18" i="29"/>
  <c r="AH21" i="29"/>
  <c r="AN73" i="29"/>
  <c r="AQ93" i="29"/>
  <c r="AQ112" i="29"/>
  <c r="AQ113" i="29"/>
  <c r="AQ135" i="29"/>
  <c r="AQ144" i="29"/>
  <c r="AE147" i="29"/>
  <c r="AK147" i="29"/>
  <c r="AH10" i="29"/>
  <c r="AE21" i="29"/>
  <c r="AN51" i="29"/>
  <c r="AQ63" i="29"/>
  <c r="AN111" i="29"/>
  <c r="AN10" i="27"/>
  <c r="AO105" i="27"/>
  <c r="AD97" i="27"/>
  <c r="AN20" i="27"/>
  <c r="AN78" i="27"/>
  <c r="AS76" i="27"/>
  <c r="AF38" i="27"/>
  <c r="AE38" i="27" s="1"/>
  <c r="AF25" i="27"/>
  <c r="AF26" i="27"/>
  <c r="AE26" i="27" s="1"/>
  <c r="AQ32" i="27"/>
  <c r="AK76" i="27"/>
  <c r="AH77" i="27"/>
  <c r="AF13" i="27"/>
  <c r="AE13" i="27" s="1"/>
  <c r="AF19" i="27"/>
  <c r="AE19" i="27" s="1"/>
  <c r="AQ26" i="27"/>
  <c r="AF27" i="27"/>
  <c r="AF30" i="27"/>
  <c r="AQ36" i="27"/>
  <c r="AH78" i="27"/>
  <c r="AN81" i="27"/>
  <c r="AE77" i="26"/>
  <c r="AS80" i="26"/>
  <c r="AQ28" i="26"/>
  <c r="AS76" i="26"/>
  <c r="AH80" i="26"/>
  <c r="AN27" i="26"/>
  <c r="AF73" i="26"/>
  <c r="AE73" i="26" s="1"/>
  <c r="AQ25" i="26"/>
  <c r="AN26" i="26"/>
  <c r="AQ36" i="26"/>
  <c r="AN45" i="26"/>
  <c r="AN60" i="26"/>
  <c r="AH77" i="26"/>
  <c r="AE78" i="26"/>
  <c r="AQ9" i="25"/>
  <c r="AF38" i="25"/>
  <c r="AE38" i="25" s="1"/>
  <c r="AK42" i="25"/>
  <c r="AQ55" i="25"/>
  <c r="AE258" i="24"/>
  <c r="AE38" i="22"/>
  <c r="AF15" i="22"/>
  <c r="AN100" i="22"/>
  <c r="AF111" i="22"/>
  <c r="AE111" i="22" s="1"/>
  <c r="AQ114" i="22"/>
  <c r="AF132" i="22"/>
  <c r="AS150" i="22"/>
  <c r="AQ150" i="22"/>
  <c r="AN151" i="22"/>
  <c r="AS151" i="22"/>
  <c r="AS152" i="22"/>
  <c r="AF116" i="22"/>
  <c r="AE116" i="22" s="1"/>
  <c r="AN40" i="22"/>
  <c r="AF96" i="22"/>
  <c r="AE96" i="22" s="1"/>
  <c r="AN131" i="22"/>
  <c r="AN30" i="22"/>
  <c r="AN32" i="22"/>
  <c r="AN64" i="22"/>
  <c r="AF69" i="22"/>
  <c r="AE69" i="22" s="1"/>
  <c r="AQ93" i="22"/>
  <c r="AN97" i="22"/>
  <c r="AQ103" i="22"/>
  <c r="AE110" i="22"/>
  <c r="AN110" i="22"/>
  <c r="AQ140" i="22"/>
  <c r="AF144" i="22"/>
  <c r="AN12" i="22"/>
  <c r="AF45" i="22"/>
  <c r="AQ51" i="22"/>
  <c r="AN52" i="22"/>
  <c r="AF60" i="22"/>
  <c r="AE60" i="22" s="1"/>
  <c r="AN70" i="22"/>
  <c r="AQ79" i="22"/>
  <c r="AN80" i="22"/>
  <c r="AF92" i="22"/>
  <c r="AE92" i="22" s="1"/>
  <c r="AF97" i="22"/>
  <c r="AN108" i="22"/>
  <c r="AQ20" i="22"/>
  <c r="AF41" i="22"/>
  <c r="AF49" i="22"/>
  <c r="AQ76" i="22"/>
  <c r="AN77" i="22"/>
  <c r="AN96" i="22"/>
  <c r="AF121" i="22"/>
  <c r="AQ30" i="22"/>
  <c r="AQ46" i="22"/>
  <c r="AN53" i="22"/>
  <c r="AF59" i="22"/>
  <c r="AE59" i="22" s="1"/>
  <c r="AN63" i="22"/>
  <c r="AQ78" i="22"/>
  <c r="AN86" i="22"/>
  <c r="AF91" i="22"/>
  <c r="AE91" i="22" s="1"/>
  <c r="AN93" i="22"/>
  <c r="AQ118" i="22"/>
  <c r="AN119" i="22"/>
  <c r="AQ121" i="22"/>
  <c r="AN124" i="22"/>
  <c r="AQ132" i="22"/>
  <c r="AQ149" i="22"/>
  <c r="AH152" i="22"/>
  <c r="AQ14" i="22"/>
  <c r="AQ18" i="22"/>
  <c r="AN24" i="22"/>
  <c r="AF55" i="22"/>
  <c r="AQ58" i="22"/>
  <c r="AQ59" i="22"/>
  <c r="AQ62" i="22"/>
  <c r="AN67" i="22"/>
  <c r="AQ94" i="22"/>
  <c r="AQ99" i="22"/>
  <c r="AN111" i="22"/>
  <c r="AN147" i="22"/>
  <c r="AK148" i="22"/>
  <c r="AH149" i="22"/>
  <c r="A9" i="20"/>
  <c r="AF13" i="22"/>
  <c r="AQ35" i="22"/>
  <c r="AQ38" i="22"/>
  <c r="AQ60" i="22"/>
  <c r="AF61" i="22"/>
  <c r="AQ92" i="22"/>
  <c r="AQ102" i="22"/>
  <c r="AF126" i="22"/>
  <c r="AE126" i="22" s="1"/>
  <c r="AN145" i="22"/>
  <c r="AN150" i="22"/>
  <c r="AK151" i="22"/>
  <c r="A11" i="19"/>
  <c r="A62" i="19"/>
  <c r="AR206" i="22"/>
  <c r="AF24" i="22"/>
  <c r="AE24" i="22" s="1"/>
  <c r="AF27" i="22"/>
  <c r="AE27" i="22" s="1"/>
  <c r="AF29" i="22"/>
  <c r="AN45" i="22"/>
  <c r="AQ47" i="22"/>
  <c r="AN48" i="22"/>
  <c r="AF66" i="22"/>
  <c r="AE66" i="22" s="1"/>
  <c r="AQ70" i="22"/>
  <c r="AN74" i="22"/>
  <c r="AF77" i="22"/>
  <c r="AF94" i="22"/>
  <c r="AE94" i="22" s="1"/>
  <c r="AF98" i="22"/>
  <c r="AE98" i="22" s="1"/>
  <c r="AQ122" i="22"/>
  <c r="AN123" i="22"/>
  <c r="AN125" i="22"/>
  <c r="AF134" i="22"/>
  <c r="AE134" i="22" s="1"/>
  <c r="AQ146" i="22"/>
  <c r="AF18" i="22"/>
  <c r="AE18" i="22" s="1"/>
  <c r="AN21" i="22"/>
  <c r="AF26" i="22"/>
  <c r="AF107" i="22"/>
  <c r="AE107" i="22" s="1"/>
  <c r="AQ119" i="22"/>
  <c r="AN126" i="22"/>
  <c r="AQ80" i="22"/>
  <c r="AN87" i="22"/>
  <c r="AF130" i="22"/>
  <c r="AE130" i="22" s="1"/>
  <c r="A4" i="19"/>
  <c r="A10" i="19"/>
  <c r="A52" i="19"/>
  <c r="A3" i="20"/>
  <c r="AD206" i="22"/>
  <c r="AF20" i="22"/>
  <c r="AE20" i="22" s="1"/>
  <c r="AQ39" i="22"/>
  <c r="AN49" i="22"/>
  <c r="AN59" i="22"/>
  <c r="AF62" i="22"/>
  <c r="AE62" i="22" s="1"/>
  <c r="AF78" i="22"/>
  <c r="AN83" i="22"/>
  <c r="AN115" i="22"/>
  <c r="AF100" i="22"/>
  <c r="AE100" i="22" s="1"/>
  <c r="AQ104" i="22"/>
  <c r="AQ11" i="22"/>
  <c r="AM206" i="22"/>
  <c r="AF31" i="22"/>
  <c r="AE31" i="22" s="1"/>
  <c r="AF65" i="22"/>
  <c r="AN118" i="22"/>
  <c r="AF119" i="22"/>
  <c r="AE119" i="22" s="1"/>
  <c r="AN134" i="22"/>
  <c r="AS147" i="22"/>
  <c r="AN59" i="25"/>
  <c r="AO206" i="22"/>
  <c r="AF34" i="22"/>
  <c r="AE34" i="22" s="1"/>
  <c r="AQ44" i="22"/>
  <c r="AF90" i="22"/>
  <c r="AE90" i="22" s="1"/>
  <c r="AF103" i="22"/>
  <c r="AQ83" i="22"/>
  <c r="AN92" i="22"/>
  <c r="AQ124" i="22"/>
  <c r="AQ126" i="22"/>
  <c r="AE147" i="22"/>
  <c r="AE74" i="25"/>
  <c r="AN11" i="26"/>
  <c r="AF12" i="26"/>
  <c r="AE12" i="26" s="1"/>
  <c r="AF24" i="26"/>
  <c r="AF30" i="26"/>
  <c r="AE30" i="26" s="1"/>
  <c r="AO104" i="26"/>
  <c r="AQ46" i="26"/>
  <c r="AE80" i="26"/>
  <c r="AK81" i="26"/>
  <c r="AM86" i="27"/>
  <c r="AQ30" i="27"/>
  <c r="AF40" i="27"/>
  <c r="AE40" i="27" s="1"/>
  <c r="AN79" i="27"/>
  <c r="AQ81" i="27"/>
  <c r="AN28" i="29"/>
  <c r="AQ39" i="29"/>
  <c r="AQ91" i="29"/>
  <c r="AQ151" i="29"/>
  <c r="AN152" i="29"/>
  <c r="AN19" i="26"/>
  <c r="AH11" i="29"/>
  <c r="AQ120" i="29"/>
  <c r="AQ56" i="22"/>
  <c r="AN57" i="22"/>
  <c r="AQ108" i="22"/>
  <c r="AN113" i="22"/>
  <c r="AQ115" i="22"/>
  <c r="AN127" i="22"/>
  <c r="AQ142" i="22"/>
  <c r="AS148" i="22"/>
  <c r="AE151" i="22"/>
  <c r="AO102" i="25"/>
  <c r="AF16" i="26"/>
  <c r="AE16" i="26" s="1"/>
  <c r="AQ34" i="26"/>
  <c r="AQ78" i="26"/>
  <c r="AF11" i="27"/>
  <c r="AE11" i="27" s="1"/>
  <c r="AF22" i="27"/>
  <c r="AF23" i="27"/>
  <c r="AM105" i="27"/>
  <c r="AN29" i="27"/>
  <c r="AN105" i="27" s="1"/>
  <c r="AR97" i="27"/>
  <c r="AN33" i="27"/>
  <c r="AM106" i="27"/>
  <c r="AN37" i="27"/>
  <c r="AQ70" i="27"/>
  <c r="AK78" i="27"/>
  <c r="AE79" i="27"/>
  <c r="AN35" i="29"/>
  <c r="AK44" i="29"/>
  <c r="AN55" i="29"/>
  <c r="AQ68" i="29"/>
  <c r="AQ70" i="29"/>
  <c r="AN108" i="29"/>
  <c r="AE133" i="29"/>
  <c r="AN149" i="29"/>
  <c r="AM83" i="25"/>
  <c r="AN79" i="26"/>
  <c r="AP86" i="27"/>
  <c r="AQ17" i="29"/>
  <c r="AQ142" i="29"/>
  <c r="AN65" i="22"/>
  <c r="AQ72" i="22"/>
  <c r="AQ75" i="22"/>
  <c r="AQ106" i="22"/>
  <c r="AQ110" i="22"/>
  <c r="AN130" i="22"/>
  <c r="AN132" i="22"/>
  <c r="AQ134" i="22"/>
  <c r="AQ143" i="22"/>
  <c r="AE149" i="22"/>
  <c r="AE77" i="25"/>
  <c r="AQ42" i="26"/>
  <c r="AF14" i="27"/>
  <c r="AE14" i="27" s="1"/>
  <c r="AP105" i="27"/>
  <c r="AP106" i="27"/>
  <c r="AF68" i="27"/>
  <c r="AE68" i="27" s="1"/>
  <c r="AE78" i="27"/>
  <c r="AH79" i="27"/>
  <c r="AH20" i="29"/>
  <c r="AQ22" i="29"/>
  <c r="AQ64" i="29"/>
  <c r="AH70" i="29"/>
  <c r="AQ87" i="29"/>
  <c r="AN89" i="29"/>
  <c r="AQ106" i="29"/>
  <c r="AK109" i="29"/>
  <c r="AQ110" i="29"/>
  <c r="AQ126" i="29"/>
  <c r="AN132" i="29"/>
  <c r="AK134" i="29"/>
  <c r="AN141" i="29"/>
  <c r="AN35" i="26"/>
  <c r="AR94" i="25"/>
  <c r="AO103" i="25"/>
  <c r="AK76" i="25"/>
  <c r="AN9" i="26"/>
  <c r="AR97" i="26"/>
  <c r="AN31" i="26"/>
  <c r="AH76" i="26"/>
  <c r="AE79" i="26"/>
  <c r="AM97" i="27"/>
  <c r="AQ40" i="27"/>
  <c r="AH80" i="27"/>
  <c r="AN11" i="29"/>
  <c r="AE19" i="29"/>
  <c r="AH33" i="29"/>
  <c r="AQ57" i="29"/>
  <c r="AN125" i="29"/>
  <c r="AP103" i="25"/>
  <c r="AF28" i="26"/>
  <c r="AE28" i="26" s="1"/>
  <c r="AN41" i="26"/>
  <c r="AN77" i="26"/>
  <c r="AD86" i="27"/>
  <c r="AF29" i="27"/>
  <c r="AF33" i="27"/>
  <c r="AQ38" i="27"/>
  <c r="AN49" i="27"/>
  <c r="AN18" i="29"/>
  <c r="AN70" i="29"/>
  <c r="AN105" i="29"/>
  <c r="AN114" i="29"/>
  <c r="AN143" i="29"/>
  <c r="AF32" i="30"/>
  <c r="AL125" i="30"/>
  <c r="AR146" i="30"/>
  <c r="AL146" i="30"/>
  <c r="AJ104" i="30"/>
  <c r="AJ112" i="30"/>
  <c r="AS112" i="30"/>
  <c r="AG112" i="30"/>
  <c r="AP112" i="30"/>
  <c r="AD112" i="30"/>
  <c r="AL112" i="30"/>
  <c r="AH9" i="30"/>
  <c r="AH86" i="30"/>
  <c r="AR86" i="30"/>
  <c r="AF86" i="30"/>
  <c r="AO86" i="30"/>
  <c r="AQ86" i="30"/>
  <c r="AK86" i="30"/>
  <c r="AM94" i="30"/>
  <c r="AL94" i="30"/>
  <c r="AF53" i="30"/>
  <c r="AC239" i="23"/>
  <c r="AD239" i="23"/>
  <c r="AH102" i="30"/>
  <c r="AL144" i="30"/>
  <c r="AS148" i="30"/>
  <c r="AJ206" i="22"/>
  <c r="AH66" i="30"/>
  <c r="AL102" i="30"/>
  <c r="AP144" i="30"/>
  <c r="AF148" i="30"/>
  <c r="AD235" i="23"/>
  <c r="AF327" i="23"/>
  <c r="AI140" i="30"/>
  <c r="AH148" i="30"/>
  <c r="AG206" i="22"/>
  <c r="AL75" i="30"/>
  <c r="AN102" i="30"/>
  <c r="AJ148" i="30"/>
  <c r="AQ75" i="30"/>
  <c r="AL92" i="30"/>
  <c r="AQ102" i="30"/>
  <c r="AL131" i="30"/>
  <c r="AF144" i="30"/>
  <c r="AL148" i="30"/>
  <c r="AB235" i="23"/>
  <c r="AE16" i="30"/>
  <c r="AD102" i="30"/>
  <c r="AG235" i="23"/>
  <c r="AF12" i="22"/>
  <c r="AQ12" i="22"/>
  <c r="AP206" i="22"/>
  <c r="AN62" i="22"/>
  <c r="I63" i="18"/>
  <c r="AN14" i="29"/>
  <c r="AF24" i="29"/>
  <c r="AE24" i="29" s="1"/>
  <c r="AF29" i="29"/>
  <c r="AE29" i="29" s="1"/>
  <c r="AQ31" i="29"/>
  <c r="AN81" i="26"/>
  <c r="AS81" i="26"/>
  <c r="AQ125" i="22"/>
  <c r="AN128" i="22"/>
  <c r="AQ137" i="22"/>
  <c r="AF56" i="27"/>
  <c r="AE56" i="27" s="1"/>
  <c r="AQ63" i="26"/>
  <c r="AN54" i="22"/>
  <c r="AF101" i="22"/>
  <c r="AQ88" i="22"/>
  <c r="AN89" i="22"/>
  <c r="AN41" i="22"/>
  <c r="AF87" i="22"/>
  <c r="AE87" i="22" s="1"/>
  <c r="AF14" i="26"/>
  <c r="AF28" i="22"/>
  <c r="AE28" i="22" s="1"/>
  <c r="AF35" i="22"/>
  <c r="AQ46" i="25"/>
  <c r="AF63" i="22"/>
  <c r="AE63" i="22" s="1"/>
  <c r="AN82" i="22"/>
  <c r="AF83" i="22"/>
  <c r="AE83" i="22" s="1"/>
  <c r="AF93" i="22"/>
  <c r="AN103" i="22"/>
  <c r="AN112" i="22"/>
  <c r="AN135" i="22"/>
  <c r="AF142" i="22"/>
  <c r="AE142" i="22"/>
  <c r="AF145" i="22"/>
  <c r="AK147" i="22"/>
  <c r="AF17" i="25"/>
  <c r="AE17" i="25" s="1"/>
  <c r="AE95" i="25" s="1"/>
  <c r="AF15" i="27"/>
  <c r="AE15" i="27" s="1"/>
  <c r="AF47" i="27"/>
  <c r="AE47" i="27" s="1"/>
  <c r="AF26" i="29"/>
  <c r="AF39" i="29"/>
  <c r="AF89" i="29"/>
  <c r="AE89" i="29" s="1"/>
  <c r="AN37" i="22"/>
  <c r="AN39" i="22"/>
  <c r="AF58" i="22"/>
  <c r="AE58" i="22" s="1"/>
  <c r="AF70" i="22"/>
  <c r="AE70" i="22" s="1"/>
  <c r="AQ86" i="22"/>
  <c r="AF95" i="22"/>
  <c r="AE95" i="22" s="1"/>
  <c r="AF102" i="22"/>
  <c r="AN106" i="22"/>
  <c r="AF123" i="22"/>
  <c r="AE123" i="22" s="1"/>
  <c r="AF127" i="22"/>
  <c r="AE127" i="22" s="1"/>
  <c r="AQ152" i="22"/>
  <c r="AN27" i="27"/>
  <c r="AN31" i="27"/>
  <c r="AN35" i="27"/>
  <c r="AF13" i="29"/>
  <c r="AF80" i="29"/>
  <c r="AN35" i="22"/>
  <c r="AN42" i="22"/>
  <c r="AF47" i="22"/>
  <c r="AQ52" i="22"/>
  <c r="AF67" i="22"/>
  <c r="AE67" i="22" s="1"/>
  <c r="AN71" i="22"/>
  <c r="AN90" i="22"/>
  <c r="AQ96" i="22"/>
  <c r="AQ112" i="22"/>
  <c r="AQ135" i="22"/>
  <c r="AQ57" i="26"/>
  <c r="AF39" i="27"/>
  <c r="AE39" i="27" s="1"/>
  <c r="AF59" i="27"/>
  <c r="A78" i="19"/>
  <c r="A80" i="19"/>
  <c r="AF14" i="22"/>
  <c r="AE14" i="22" s="1"/>
  <c r="AF43" i="22"/>
  <c r="AE43" i="22" s="1"/>
  <c r="AF75" i="22"/>
  <c r="AE75" i="22" s="1"/>
  <c r="AF79" i="22"/>
  <c r="AF143" i="22"/>
  <c r="AF61" i="26"/>
  <c r="AE61" i="26" s="1"/>
  <c r="AF72" i="27"/>
  <c r="AE72" i="27" s="1"/>
  <c r="AN96" i="29"/>
  <c r="AQ71" i="22"/>
  <c r="AN95" i="22"/>
  <c r="AN99" i="22"/>
  <c r="AN102" i="22"/>
  <c r="AN107" i="22"/>
  <c r="AH79" i="26"/>
  <c r="AF12" i="29"/>
  <c r="AE12" i="29" s="1"/>
  <c r="AF11" i="22"/>
  <c r="AE11" i="22" s="1"/>
  <c r="AN31" i="22"/>
  <c r="AF50" i="22"/>
  <c r="AE50" i="22"/>
  <c r="AN51" i="22"/>
  <c r="AQ87" i="22"/>
  <c r="AF135" i="22"/>
  <c r="AE135" i="22"/>
  <c r="AQ139" i="22"/>
  <c r="AF141" i="22"/>
  <c r="AF32" i="29"/>
  <c r="AE32" i="29"/>
  <c r="AF40" i="29"/>
  <c r="AE40" i="29" s="1"/>
  <c r="AN18" i="22"/>
  <c r="AN34" i="22"/>
  <c r="AF46" i="22"/>
  <c r="AE46" i="22" s="1"/>
  <c r="AQ67" i="22"/>
  <c r="AN75" i="22"/>
  <c r="AN79" i="22"/>
  <c r="AF106" i="22"/>
  <c r="AE106" i="22" s="1"/>
  <c r="AN114" i="22"/>
  <c r="AF115" i="22"/>
  <c r="AE115" i="22" s="1"/>
  <c r="AF129" i="22"/>
  <c r="AQ21" i="26"/>
  <c r="AK80" i="27"/>
  <c r="AF15" i="29"/>
  <c r="A58" i="19"/>
  <c r="B15" i="20"/>
  <c r="AN122" i="22"/>
  <c r="AF10" i="26"/>
  <c r="AF22" i="26"/>
  <c r="AE22" i="26" s="1"/>
  <c r="AF26" i="26"/>
  <c r="AF97" i="29"/>
  <c r="AE97" i="29"/>
  <c r="AF114" i="29"/>
  <c r="AE114" i="29" s="1"/>
  <c r="AF18" i="26"/>
  <c r="AE18" i="26" s="1"/>
  <c r="AF36" i="26"/>
  <c r="AE36" i="26" s="1"/>
  <c r="AF69" i="26"/>
  <c r="AE69" i="26" s="1"/>
  <c r="AN70" i="26"/>
  <c r="AQ29" i="29"/>
  <c r="AN34" i="29"/>
  <c r="AF36" i="29"/>
  <c r="AE36" i="29"/>
  <c r="AF38" i="29"/>
  <c r="AE38" i="29" s="1"/>
  <c r="AE44" i="29"/>
  <c r="AN46" i="29"/>
  <c r="AF50" i="29"/>
  <c r="AE50" i="29" s="1"/>
  <c r="AH67" i="29"/>
  <c r="AF106" i="29"/>
  <c r="AF117" i="29"/>
  <c r="AE117" i="29"/>
  <c r="AN123" i="29"/>
  <c r="AK136" i="29"/>
  <c r="AF23" i="22"/>
  <c r="AF118" i="22"/>
  <c r="AE118" i="22" s="1"/>
  <c r="AF245" i="24"/>
  <c r="AE245" i="24" s="1"/>
  <c r="AF9" i="25"/>
  <c r="AE9" i="25" s="1"/>
  <c r="AF50" i="25"/>
  <c r="AE50" i="25" s="1"/>
  <c r="AF25" i="26"/>
  <c r="AE25" i="26" s="1"/>
  <c r="AF34" i="26"/>
  <c r="AE34" i="26" s="1"/>
  <c r="AF44" i="26"/>
  <c r="AE44" i="26" s="1"/>
  <c r="AF17" i="27"/>
  <c r="AF28" i="27"/>
  <c r="AE28" i="27" s="1"/>
  <c r="AF32" i="27"/>
  <c r="AE32" i="27" s="1"/>
  <c r="AF36" i="27"/>
  <c r="AF58" i="27"/>
  <c r="AE58" i="27" s="1"/>
  <c r="AE34" i="29"/>
  <c r="AF35" i="29"/>
  <c r="AN47" i="29"/>
  <c r="AF55" i="29"/>
  <c r="AF56" i="29"/>
  <c r="AF60" i="29"/>
  <c r="AE60" i="29" s="1"/>
  <c r="AQ60" i="29"/>
  <c r="AN62" i="29"/>
  <c r="AF63" i="29"/>
  <c r="AE63" i="29" s="1"/>
  <c r="AN98" i="29"/>
  <c r="AN122" i="29"/>
  <c r="AQ59" i="29"/>
  <c r="AF84" i="29"/>
  <c r="AN119" i="29"/>
  <c r="AQ124" i="29"/>
  <c r="AK146" i="29"/>
  <c r="AF82" i="22"/>
  <c r="AE82" i="22" s="1"/>
  <c r="AN109" i="22"/>
  <c r="AF114" i="22"/>
  <c r="AF122" i="22"/>
  <c r="AE122" i="22" s="1"/>
  <c r="AF125" i="22"/>
  <c r="AN129" i="22"/>
  <c r="AF139" i="22"/>
  <c r="AE139" i="22" s="1"/>
  <c r="AF46" i="29"/>
  <c r="AE46" i="29"/>
  <c r="AQ66" i="29"/>
  <c r="AQ74" i="29"/>
  <c r="AN86" i="29"/>
  <c r="AQ99" i="29"/>
  <c r="AF137" i="29"/>
  <c r="AE137" i="29" s="1"/>
  <c r="AF27" i="25"/>
  <c r="AF58" i="25"/>
  <c r="AE58" i="25" s="1"/>
  <c r="AF40" i="26"/>
  <c r="AE40" i="26" s="1"/>
  <c r="AF71" i="26"/>
  <c r="AE71" i="26" s="1"/>
  <c r="AF16" i="29"/>
  <c r="AE16" i="29" s="1"/>
  <c r="AN38" i="29"/>
  <c r="AE43" i="29"/>
  <c r="AN50" i="29"/>
  <c r="AF51" i="29"/>
  <c r="AE51" i="29" s="1"/>
  <c r="AF58" i="29"/>
  <c r="AE58" i="29" s="1"/>
  <c r="AF74" i="29"/>
  <c r="AE74" i="29" s="1"/>
  <c r="AF90" i="29"/>
  <c r="AE90" i="29" s="1"/>
  <c r="AE91" i="29"/>
  <c r="AF98" i="29"/>
  <c r="AE98" i="29" s="1"/>
  <c r="AF116" i="29"/>
  <c r="AF122" i="29"/>
  <c r="AE122" i="29" s="1"/>
  <c r="AF131" i="29"/>
  <c r="AF25" i="22"/>
  <c r="AF30" i="22"/>
  <c r="AE30" i="22" s="1"/>
  <c r="AF36" i="22"/>
  <c r="AE36" i="22" s="1"/>
  <c r="AF39" i="22"/>
  <c r="AE39" i="22" s="1"/>
  <c r="AF51" i="22"/>
  <c r="AE51" i="22" s="1"/>
  <c r="AF71" i="22"/>
  <c r="AE71" i="22" s="1"/>
  <c r="AF81" i="22"/>
  <c r="AF99" i="22"/>
  <c r="AE99" i="22" s="1"/>
  <c r="AF131" i="22"/>
  <c r="AF138" i="22"/>
  <c r="AE138" i="22" s="1"/>
  <c r="AF249" i="24"/>
  <c r="AF41" i="25"/>
  <c r="AE41" i="25" s="1"/>
  <c r="AF32" i="26"/>
  <c r="AE32" i="26" s="1"/>
  <c r="AF46" i="26"/>
  <c r="AF55" i="26"/>
  <c r="AE55" i="26" s="1"/>
  <c r="AF25" i="29"/>
  <c r="AF101" i="29"/>
  <c r="AE101" i="29" s="1"/>
  <c r="AF119" i="29"/>
  <c r="AE119" i="29" s="1"/>
  <c r="AF139" i="29"/>
  <c r="AE139" i="29" s="1"/>
  <c r="AF83" i="29"/>
  <c r="AE83" i="29" s="1"/>
  <c r="AF81" i="29"/>
  <c r="AE81" i="29" s="1"/>
  <c r="AF100" i="29"/>
  <c r="AE100" i="29" s="1"/>
  <c r="AF115" i="29"/>
  <c r="AE115" i="29" s="1"/>
  <c r="T10" i="30"/>
  <c r="Z14" i="30"/>
  <c r="AQ51" i="30"/>
  <c r="AF19" i="30"/>
  <c r="AP169" i="30"/>
  <c r="AE236" i="23"/>
  <c r="AD236" i="23"/>
  <c r="AF15" i="30"/>
  <c r="AE15" i="30" s="1"/>
  <c r="AQ36" i="30"/>
  <c r="AF323" i="23"/>
  <c r="AE323" i="23"/>
  <c r="AF29" i="30"/>
  <c r="AE238" i="23"/>
  <c r="AB316" i="23"/>
  <c r="AB238" i="23"/>
  <c r="AM238" i="23" s="1"/>
  <c r="AN206" i="22"/>
  <c r="AQ206" i="22"/>
  <c r="AF206" i="22"/>
  <c r="AE131" i="22"/>
  <c r="AE114" i="22"/>
  <c r="AE102" i="22"/>
  <c r="AE206" i="22"/>
  <c r="AH206" i="22"/>
  <c r="AK206" i="22"/>
  <c r="AS206" i="22"/>
  <c r="W110" i="14"/>
  <c r="E21" i="39"/>
  <c r="E24" i="39"/>
  <c r="E26" i="39" s="1"/>
  <c r="D21" i="39"/>
  <c r="D24" i="39" s="1"/>
  <c r="D26" i="39" s="1"/>
  <c r="F21" i="39"/>
  <c r="F24" i="39" s="1"/>
  <c r="F26" i="39" s="1"/>
  <c r="D124" i="18"/>
  <c r="E131" i="18"/>
  <c r="D34" i="18"/>
  <c r="E89" i="18"/>
  <c r="E166" i="18" s="1"/>
  <c r="E23" i="18"/>
  <c r="E117" i="18"/>
  <c r="E124" i="18"/>
  <c r="D21" i="18"/>
  <c r="D131" i="18"/>
  <c r="E140" i="18"/>
  <c r="E150" i="18"/>
  <c r="D161" i="18"/>
  <c r="N63" i="18"/>
  <c r="K166" i="18"/>
  <c r="K33" i="18" s="1"/>
  <c r="E46" i="18"/>
  <c r="E48" i="18"/>
  <c r="E50" i="18"/>
  <c r="E52" i="18"/>
  <c r="I166" i="18"/>
  <c r="I33" i="18"/>
  <c r="L166" i="18"/>
  <c r="L33" i="18" s="1"/>
  <c r="E22" i="18"/>
  <c r="H166" i="18"/>
  <c r="H33" i="18" s="1"/>
  <c r="D19" i="18"/>
  <c r="E34" i="18"/>
  <c r="R63" i="18"/>
  <c r="E49" i="18"/>
  <c r="E51" i="18"/>
  <c r="E53" i="18"/>
  <c r="E55" i="18"/>
  <c r="D89" i="18"/>
  <c r="D96" i="18"/>
  <c r="E106" i="18"/>
  <c r="AH78" i="29"/>
  <c r="AQ85" i="29"/>
  <c r="AQ86" i="29"/>
  <c r="AM161" i="30"/>
  <c r="AK161" i="30"/>
  <c r="AJ153" i="30"/>
  <c r="AO153" i="30"/>
  <c r="AQ164" i="30"/>
  <c r="AR164" i="30"/>
  <c r="AI137" i="30"/>
  <c r="AH137" i="30"/>
  <c r="AI145" i="30"/>
  <c r="AM145" i="30"/>
  <c r="AR145" i="30"/>
  <c r="AP145" i="30"/>
  <c r="AE137" i="30"/>
  <c r="AS89" i="30"/>
  <c r="AD325" i="23"/>
  <c r="AC235" i="23"/>
  <c r="AQ50" i="30"/>
  <c r="B14" i="20"/>
  <c r="A14" i="20"/>
  <c r="AI161" i="30"/>
  <c r="AG161" i="30"/>
  <c r="AE153" i="30"/>
  <c r="AS153" i="30"/>
  <c r="AE164" i="30"/>
  <c r="AL164" i="30"/>
  <c r="AO145" i="30"/>
  <c r="AN137" i="30"/>
  <c r="AL137" i="30"/>
  <c r="AK145" i="30"/>
  <c r="AF145" i="30"/>
  <c r="AD145" i="30"/>
  <c r="AS109" i="30"/>
  <c r="AH81" i="30"/>
  <c r="AQ101" i="30"/>
  <c r="AG325" i="23"/>
  <c r="AE161" i="30"/>
  <c r="AS161" i="30"/>
  <c r="AG153" i="30"/>
  <c r="AM153" i="30"/>
  <c r="AQ168" i="30"/>
  <c r="AM164" i="30"/>
  <c r="AM137" i="30"/>
  <c r="AS137" i="30"/>
  <c r="AP137" i="30"/>
  <c r="AS145" i="30"/>
  <c r="AJ145" i="30"/>
  <c r="AH145" i="30"/>
  <c r="AI97" i="30"/>
  <c r="AM103" i="25"/>
  <c r="AQ37" i="25"/>
  <c r="AN54" i="25"/>
  <c r="AN56" i="25"/>
  <c r="AN60" i="25"/>
  <c r="AQ61" i="25"/>
  <c r="AE65" i="25"/>
  <c r="AQ71" i="25"/>
  <c r="AN72" i="25"/>
  <c r="AH74" i="25"/>
  <c r="AQ77" i="25"/>
  <c r="AM102" i="25"/>
  <c r="AN18" i="25"/>
  <c r="AN20" i="25"/>
  <c r="AQ27" i="25"/>
  <c r="AM93" i="25"/>
  <c r="AP101" i="25"/>
  <c r="AM101" i="25"/>
  <c r="AN9" i="25"/>
  <c r="AQ25" i="25"/>
  <c r="AE43" i="25"/>
  <c r="AK76" i="26"/>
  <c r="AO105" i="26"/>
  <c r="AK109" i="26"/>
  <c r="AJ101" i="26"/>
  <c r="AG89" i="26"/>
  <c r="AH93" i="26"/>
  <c r="AQ101" i="26"/>
  <c r="AP122" i="26"/>
  <c r="AE109" i="26"/>
  <c r="AD89" i="26"/>
  <c r="AE101" i="26"/>
  <c r="AK89" i="26"/>
  <c r="AJ105" i="26"/>
  <c r="AN161" i="26"/>
  <c r="AM149" i="26"/>
  <c r="AK173" i="26"/>
  <c r="AF173" i="26"/>
  <c r="AD173" i="26"/>
  <c r="AO181" i="26"/>
  <c r="AS181" i="26"/>
  <c r="AJ181" i="26"/>
  <c r="AH181" i="26"/>
  <c r="AJ121" i="26"/>
  <c r="AK117" i="26"/>
  <c r="AN117" i="26"/>
  <c r="AR113" i="26"/>
  <c r="AF109" i="26"/>
  <c r="AK177" i="26"/>
  <c r="AF177" i="26"/>
  <c r="AD177" i="26"/>
  <c r="AN101" i="26"/>
  <c r="AN89" i="26"/>
  <c r="AK169" i="26"/>
  <c r="AG101" i="26"/>
  <c r="AP89" i="26"/>
  <c r="AF101" i="26"/>
  <c r="AO141" i="26"/>
  <c r="AM113" i="26"/>
  <c r="AS145" i="26"/>
  <c r="AO117" i="26"/>
  <c r="AF141" i="26"/>
  <c r="AE157" i="26"/>
  <c r="AS173" i="26"/>
  <c r="AJ173" i="26"/>
  <c r="AQ181" i="26"/>
  <c r="AE181" i="26"/>
  <c r="AN181" i="26"/>
  <c r="AQ158" i="26"/>
  <c r="AF137" i="26"/>
  <c r="AE117" i="26"/>
  <c r="AR117" i="26"/>
  <c r="AF113" i="26"/>
  <c r="AJ109" i="26"/>
  <c r="AS177" i="26"/>
  <c r="AJ177" i="26"/>
  <c r="AH177" i="26"/>
  <c r="AH89" i="26"/>
  <c r="AP101" i="26"/>
  <c r="AK101" i="26"/>
  <c r="AS89" i="26"/>
  <c r="AF89" i="26"/>
  <c r="AD149" i="26"/>
  <c r="AD109" i="26"/>
  <c r="AF145" i="26"/>
  <c r="AF149" i="26"/>
  <c r="AO88" i="26"/>
  <c r="AQ11" i="25"/>
  <c r="AN12" i="25"/>
  <c r="AR84" i="25"/>
  <c r="AQ15" i="25"/>
  <c r="AN16" i="25"/>
  <c r="AQ17" i="25"/>
  <c r="AQ95" i="25" s="1"/>
  <c r="AQ31" i="25"/>
  <c r="AQ33" i="25"/>
  <c r="AN34" i="25"/>
  <c r="AN38" i="25"/>
  <c r="AQ41" i="25"/>
  <c r="AK43" i="25"/>
  <c r="AQ45" i="25"/>
  <c r="AN46" i="25"/>
  <c r="AQ47" i="25"/>
  <c r="AQ49" i="25"/>
  <c r="AN50" i="25"/>
  <c r="AQ51" i="25"/>
  <c r="AN52" i="25"/>
  <c r="AQ53" i="25"/>
  <c r="AN58" i="25"/>
  <c r="AQ59" i="25"/>
  <c r="AQ63" i="25"/>
  <c r="AQ65" i="25"/>
  <c r="AN68" i="25"/>
  <c r="AQ69" i="25"/>
  <c r="AK73" i="25"/>
  <c r="AQ73" i="25"/>
  <c r="AE75" i="25"/>
  <c r="AK75" i="25"/>
  <c r="AQ75" i="25"/>
  <c r="AN76" i="25"/>
  <c r="AK77" i="25"/>
  <c r="AH78" i="25"/>
  <c r="AS78" i="25"/>
  <c r="AD84" i="25"/>
  <c r="AQ29" i="25"/>
  <c r="AQ102" i="25" s="1"/>
  <c r="AE57" i="25"/>
  <c r="AR112" i="25"/>
  <c r="AN78" i="25"/>
  <c r="AD112" i="25"/>
  <c r="AN10" i="25"/>
  <c r="AN28" i="25"/>
  <c r="AN30" i="25"/>
  <c r="AO133" i="25"/>
  <c r="AF96" i="25"/>
  <c r="AO84" i="25"/>
  <c r="AG172" i="25"/>
  <c r="AK168" i="25"/>
  <c r="AR176" i="25"/>
  <c r="AQ176" i="25"/>
  <c r="AQ172" i="25"/>
  <c r="AM168" i="25"/>
  <c r="AM156" i="25"/>
  <c r="AM148" i="25"/>
  <c r="AN152" i="25"/>
  <c r="AO152" i="25"/>
  <c r="AF148" i="25"/>
  <c r="AP148" i="25"/>
  <c r="AM99" i="25"/>
  <c r="AK107" i="25"/>
  <c r="AR136" i="25"/>
  <c r="AK91" i="25"/>
  <c r="AR91" i="25"/>
  <c r="AJ180" i="25"/>
  <c r="AE180" i="25"/>
  <c r="AD168" i="25"/>
  <c r="AH180" i="25"/>
  <c r="AM152" i="25"/>
  <c r="AS148" i="25"/>
  <c r="AF156" i="25"/>
  <c r="AK176" i="25"/>
  <c r="AN176" i="25"/>
  <c r="AM172" i="25"/>
  <c r="AM164" i="25"/>
  <c r="AG148" i="25"/>
  <c r="AF152" i="25"/>
  <c r="AS152" i="25"/>
  <c r="AD148" i="25"/>
  <c r="AE128" i="25"/>
  <c r="AJ124" i="25"/>
  <c r="AJ87" i="25"/>
  <c r="AF180" i="25"/>
  <c r="AQ180" i="25"/>
  <c r="AK180" i="25"/>
  <c r="AS156" i="25"/>
  <c r="AQ246" i="24"/>
  <c r="AK255" i="24"/>
  <c r="AN49" i="25"/>
  <c r="AH73" i="25"/>
  <c r="AN73" i="25"/>
  <c r="AN14" i="27"/>
  <c r="AQ17" i="27"/>
  <c r="AQ98" i="27" s="1"/>
  <c r="AQ28" i="29"/>
  <c r="AN33" i="29"/>
  <c r="AQ36" i="29"/>
  <c r="AQ61" i="29"/>
  <c r="AE68" i="29"/>
  <c r="AQ103" i="29"/>
  <c r="AQ105" i="29"/>
  <c r="AQ107" i="29"/>
  <c r="AH134" i="29"/>
  <c r="AN140" i="29"/>
  <c r="AE150" i="29"/>
  <c r="AE185" i="26"/>
  <c r="AN32" i="25"/>
  <c r="AQ35" i="25"/>
  <c r="AQ103" i="25" s="1"/>
  <c r="AQ39" i="25"/>
  <c r="AQ43" i="25"/>
  <c r="AN44" i="25"/>
  <c r="AN64" i="25"/>
  <c r="AN70" i="25"/>
  <c r="AH76" i="25"/>
  <c r="AQ18" i="27"/>
  <c r="AE11" i="29"/>
  <c r="AQ16" i="29"/>
  <c r="AN20" i="29"/>
  <c r="AK21" i="29"/>
  <c r="AE23" i="29"/>
  <c r="AN23" i="29"/>
  <c r="AN32" i="29"/>
  <c r="AN41" i="29"/>
  <c r="AN45" i="29"/>
  <c r="AN52" i="29"/>
  <c r="AN53" i="29"/>
  <c r="AE54" i="29"/>
  <c r="AN54" i="29"/>
  <c r="AN63" i="29"/>
  <c r="AN64" i="29"/>
  <c r="AN66" i="29"/>
  <c r="AE69" i="29"/>
  <c r="AK69" i="29"/>
  <c r="AN74" i="29"/>
  <c r="AJ126" i="26"/>
  <c r="AQ88" i="27"/>
  <c r="AR128" i="27"/>
  <c r="AR132" i="27"/>
  <c r="AR172" i="27"/>
  <c r="AQ172" i="27"/>
  <c r="AD172" i="27"/>
  <c r="AJ176" i="27"/>
  <c r="AD176" i="27"/>
  <c r="AP159" i="29"/>
  <c r="AO159" i="29"/>
  <c r="AQ159" i="29"/>
  <c r="AJ159" i="29"/>
  <c r="AH159" i="29"/>
  <c r="AS159" i="29"/>
  <c r="AE159" i="29"/>
  <c r="AN159" i="29"/>
  <c r="AL159" i="29"/>
  <c r="AG159" i="29"/>
  <c r="AI159" i="29"/>
  <c r="AR159" i="29"/>
  <c r="AP163" i="29"/>
  <c r="AR163" i="29"/>
  <c r="AI163" i="29"/>
  <c r="AK163" i="29"/>
  <c r="AF163" i="29"/>
  <c r="AM163" i="29"/>
  <c r="AO163" i="29"/>
  <c r="AD163" i="29"/>
  <c r="AJ163" i="29"/>
  <c r="AQ163" i="29"/>
  <c r="AS163" i="29"/>
  <c r="AH163" i="29"/>
  <c r="AD175" i="29"/>
  <c r="AF175" i="29"/>
  <c r="AQ175" i="29"/>
  <c r="AH179" i="29"/>
  <c r="AE179" i="29"/>
  <c r="AI183" i="29"/>
  <c r="AJ183" i="29"/>
  <c r="AH183" i="29"/>
  <c r="AE183" i="29"/>
  <c r="AM191" i="29"/>
  <c r="AS191" i="29"/>
  <c r="AR191" i="29"/>
  <c r="AQ191" i="29"/>
  <c r="AE191" i="29"/>
  <c r="AL191" i="29"/>
  <c r="AO191" i="29"/>
  <c r="AN191" i="29"/>
  <c r="AI191" i="29"/>
  <c r="AD191" i="29"/>
  <c r="AK191" i="29"/>
  <c r="AJ191" i="29"/>
  <c r="AP191" i="29"/>
  <c r="AL195" i="29"/>
  <c r="AK195" i="29"/>
  <c r="AS195" i="29"/>
  <c r="AH195" i="29"/>
  <c r="AQ195" i="29"/>
  <c r="AE195" i="29"/>
  <c r="AD195" i="29"/>
  <c r="AG199" i="29"/>
  <c r="AI199" i="29"/>
  <c r="AE199" i="29"/>
  <c r="AH199" i="29"/>
  <c r="AQ199" i="29"/>
  <c r="AJ199" i="29"/>
  <c r="AD199" i="29"/>
  <c r="AS199" i="29"/>
  <c r="AP199" i="29"/>
  <c r="AF199" i="29"/>
  <c r="AD203" i="29"/>
  <c r="AP203" i="29"/>
  <c r="AF203" i="29"/>
  <c r="AR203" i="29"/>
  <c r="AO203" i="29"/>
  <c r="AE203" i="29"/>
  <c r="AL203" i="29"/>
  <c r="AK203" i="29"/>
  <c r="AO207" i="29"/>
  <c r="AE207" i="29"/>
  <c r="AP207" i="29"/>
  <c r="AF207" i="29"/>
  <c r="AS207" i="29"/>
  <c r="AM207" i="29"/>
  <c r="AI207" i="29"/>
  <c r="AJ207" i="29"/>
  <c r="AL207" i="29"/>
  <c r="AK207" i="29"/>
  <c r="AH207" i="29"/>
  <c r="AQ207" i="29"/>
  <c r="AO215" i="29"/>
  <c r="AP215" i="29"/>
  <c r="AF215" i="29"/>
  <c r="AN219" i="29"/>
  <c r="AL219" i="29"/>
  <c r="AH223" i="29"/>
  <c r="AQ223" i="29"/>
  <c r="AK227" i="29"/>
  <c r="AJ227" i="29"/>
  <c r="AH227" i="29"/>
  <c r="AQ227" i="29"/>
  <c r="AG227" i="29"/>
  <c r="AL231" i="29"/>
  <c r="AR231" i="29"/>
  <c r="AS231" i="29"/>
  <c r="AK231" i="29"/>
  <c r="AL235" i="29"/>
  <c r="AJ235" i="29"/>
  <c r="AH235" i="29"/>
  <c r="AG235" i="29"/>
  <c r="AO235" i="29"/>
  <c r="AF235" i="29"/>
  <c r="AQ235" i="29"/>
  <c r="AP235" i="29"/>
  <c r="AE235" i="29"/>
  <c r="AR235" i="29"/>
  <c r="AS235" i="29"/>
  <c r="AK235" i="29"/>
  <c r="AI235" i="29"/>
  <c r="AJ239" i="29"/>
  <c r="AH239" i="29"/>
  <c r="AO239" i="29"/>
  <c r="AF239" i="29"/>
  <c r="AE239" i="29"/>
  <c r="AR239" i="29"/>
  <c r="AS239" i="29"/>
  <c r="AL239" i="29"/>
  <c r="AD247" i="29"/>
  <c r="AR247" i="29"/>
  <c r="AS247" i="29"/>
  <c r="AL247" i="29"/>
  <c r="AE247" i="29"/>
  <c r="AN247" i="29"/>
  <c r="AM247" i="29"/>
  <c r="AG247" i="29"/>
  <c r="AJ247" i="29"/>
  <c r="AH247" i="29"/>
  <c r="AK247" i="29"/>
  <c r="AO247" i="29"/>
  <c r="AP247" i="29"/>
  <c r="AK251" i="29"/>
  <c r="AN251" i="29"/>
  <c r="AM251" i="29"/>
  <c r="AG251" i="29"/>
  <c r="AJ251" i="29"/>
  <c r="AH251" i="29"/>
  <c r="AE251" i="29"/>
  <c r="AF251" i="29"/>
  <c r="AQ251" i="29"/>
  <c r="AP251" i="29"/>
  <c r="AF49" i="25"/>
  <c r="AF53" i="25"/>
  <c r="AE53" i="25" s="1"/>
  <c r="AF61" i="25"/>
  <c r="AE61" i="25" s="1"/>
  <c r="AS78" i="26"/>
  <c r="AS79" i="26"/>
  <c r="AS78" i="27"/>
  <c r="AS79" i="27"/>
  <c r="AS81" i="27"/>
  <c r="AN10" i="29"/>
  <c r="AF45" i="25"/>
  <c r="AE45" i="25" s="1"/>
  <c r="AS109" i="29"/>
  <c r="AS72" i="25"/>
  <c r="AN77" i="25"/>
  <c r="AS77" i="25"/>
  <c r="AS19" i="29"/>
  <c r="AS34" i="29"/>
  <c r="AD124" i="26"/>
  <c r="AF124" i="26"/>
  <c r="AP124" i="26"/>
  <c r="AQ128" i="26"/>
  <c r="AP128" i="26"/>
  <c r="AG128" i="26"/>
  <c r="AH128" i="26"/>
  <c r="AR128" i="26"/>
  <c r="AJ128" i="26"/>
  <c r="AK128" i="26"/>
  <c r="AO144" i="26"/>
  <c r="AG144" i="26"/>
  <c r="AE144" i="26"/>
  <c r="AJ144" i="26"/>
  <c r="AS144" i="26"/>
  <c r="AN148" i="26"/>
  <c r="AJ148" i="26"/>
  <c r="AR148" i="26"/>
  <c r="AG148" i="26"/>
  <c r="AO148" i="26"/>
  <c r="AS148" i="26"/>
  <c r="AQ152" i="26"/>
  <c r="AK152" i="26"/>
  <c r="AD152" i="26"/>
  <c r="AH156" i="26"/>
  <c r="AO156" i="26"/>
  <c r="AP156" i="26"/>
  <c r="AF128" i="26"/>
  <c r="AM148" i="26"/>
  <c r="AG85" i="25"/>
  <c r="AD85" i="25"/>
  <c r="AJ85" i="25"/>
  <c r="AF109" i="25"/>
  <c r="AQ109" i="25"/>
  <c r="AF113" i="25"/>
  <c r="AQ113" i="25"/>
  <c r="AS122" i="25"/>
  <c r="AJ122" i="25"/>
  <c r="AK122" i="25"/>
  <c r="AF122" i="25"/>
  <c r="AR122" i="25"/>
  <c r="AO122" i="25"/>
  <c r="AG122" i="25"/>
  <c r="AH122" i="25"/>
  <c r="AQ122" i="25"/>
  <c r="AD122" i="25"/>
  <c r="AK126" i="25"/>
  <c r="AH126" i="25"/>
  <c r="AJ126" i="25"/>
  <c r="AQ126" i="25"/>
  <c r="AD126" i="25"/>
  <c r="AG126" i="25"/>
  <c r="AS126" i="25"/>
  <c r="AR130" i="25"/>
  <c r="AS130" i="25"/>
  <c r="AF130" i="25"/>
  <c r="AS134" i="25"/>
  <c r="AJ134" i="25"/>
  <c r="AQ134" i="25"/>
  <c r="AN142" i="25"/>
  <c r="AG146" i="25"/>
  <c r="AR150" i="25"/>
  <c r="AG150" i="25"/>
  <c r="AK150" i="25"/>
  <c r="AP150" i="25"/>
  <c r="AS150" i="25"/>
  <c r="AQ170" i="25"/>
  <c r="AR170" i="25"/>
  <c r="AP170" i="25"/>
  <c r="AJ170" i="25"/>
  <c r="AH174" i="25"/>
  <c r="AQ174" i="25"/>
  <c r="AJ174" i="25"/>
  <c r="AN174" i="25"/>
  <c r="AF174" i="25"/>
  <c r="AF184" i="26"/>
  <c r="AN184" i="26"/>
  <c r="AJ184" i="26"/>
  <c r="AQ258" i="24"/>
  <c r="AN259" i="24"/>
  <c r="AQ10" i="27"/>
  <c r="AN25" i="27"/>
  <c r="AD156" i="26"/>
  <c r="AN128" i="26"/>
  <c r="AH154" i="25"/>
  <c r="AK185" i="27"/>
  <c r="AO128" i="26"/>
  <c r="AD128" i="26"/>
  <c r="AG173" i="26"/>
  <c r="AQ173" i="26"/>
  <c r="AO91" i="27"/>
  <c r="AK91" i="27"/>
  <c r="AS91" i="27"/>
  <c r="AP91" i="27"/>
  <c r="AO99" i="27"/>
  <c r="AG103" i="27"/>
  <c r="AP103" i="27"/>
  <c r="AG111" i="27"/>
  <c r="AD111" i="27"/>
  <c r="AP111" i="27"/>
  <c r="AH111" i="27"/>
  <c r="AP115" i="27"/>
  <c r="AK115" i="27"/>
  <c r="AP123" i="27"/>
  <c r="AE131" i="27"/>
  <c r="AI158" i="29"/>
  <c r="AD158" i="29"/>
  <c r="AH166" i="29"/>
  <c r="AI166" i="29"/>
  <c r="AF166" i="29"/>
  <c r="AO166" i="29"/>
  <c r="AD166" i="29"/>
  <c r="AQ170" i="29"/>
  <c r="AL170" i="29"/>
  <c r="AO170" i="29"/>
  <c r="AJ170" i="29"/>
  <c r="AD170" i="29"/>
  <c r="AD174" i="29"/>
  <c r="AL174" i="29"/>
  <c r="AJ174" i="29"/>
  <c r="AK174" i="29"/>
  <c r="AP174" i="29"/>
  <c r="AS174" i="29"/>
  <c r="AJ178" i="29"/>
  <c r="AP178" i="29"/>
  <c r="AO178" i="29"/>
  <c r="AH178" i="29"/>
  <c r="AL178" i="29"/>
  <c r="AN178" i="29"/>
  <c r="AR178" i="29"/>
  <c r="AD178" i="29"/>
  <c r="AD182" i="29"/>
  <c r="AO182" i="29"/>
  <c r="AJ182" i="29"/>
  <c r="AP182" i="29"/>
  <c r="AG182" i="29"/>
  <c r="AN182" i="29"/>
  <c r="AL182" i="29"/>
  <c r="AQ186" i="29"/>
  <c r="AD186" i="29"/>
  <c r="AK186" i="29"/>
  <c r="AG186" i="29"/>
  <c r="AL186" i="29"/>
  <c r="AH190" i="29"/>
  <c r="AN190" i="29"/>
  <c r="AG190" i="29"/>
  <c r="AP190" i="29"/>
  <c r="AO190" i="29"/>
  <c r="AS190" i="29"/>
  <c r="AL190" i="29"/>
  <c r="AP198" i="29"/>
  <c r="AJ198" i="29"/>
  <c r="AL202" i="29"/>
  <c r="AP202" i="29"/>
  <c r="AL218" i="29"/>
  <c r="AE218" i="29"/>
  <c r="AP218" i="29"/>
  <c r="AJ222" i="29"/>
  <c r="AL222" i="29"/>
  <c r="AS226" i="29"/>
  <c r="AK226" i="29"/>
  <c r="AH230" i="29"/>
  <c r="AG230" i="29"/>
  <c r="AJ230" i="29"/>
  <c r="AP230" i="29"/>
  <c r="AD230" i="29"/>
  <c r="AP242" i="29"/>
  <c r="AJ242" i="29"/>
  <c r="AQ250" i="29"/>
  <c r="AP250" i="29"/>
  <c r="AN185" i="27"/>
  <c r="AJ163" i="26"/>
  <c r="AS88" i="25"/>
  <c r="AE88" i="25"/>
  <c r="AS92" i="25"/>
  <c r="AO92" i="25"/>
  <c r="AD96" i="25"/>
  <c r="AK96" i="25"/>
  <c r="AO100" i="25"/>
  <c r="AP100" i="25"/>
  <c r="AM100" i="25"/>
  <c r="AG104" i="25"/>
  <c r="AN104" i="25"/>
  <c r="AQ108" i="25"/>
  <c r="AH108" i="25"/>
  <c r="AS125" i="25"/>
  <c r="AD125" i="25"/>
  <c r="AF137" i="25"/>
  <c r="AG137" i="25"/>
  <c r="AS141" i="25"/>
  <c r="AH141" i="25"/>
  <c r="AP145" i="25"/>
  <c r="AH145" i="25"/>
  <c r="AJ118" i="26"/>
  <c r="AR127" i="26"/>
  <c r="AK127" i="26"/>
  <c r="AJ127" i="26"/>
  <c r="AN127" i="26"/>
  <c r="AG127" i="26"/>
  <c r="AP131" i="26"/>
  <c r="AS131" i="26"/>
  <c r="AM131" i="26"/>
  <c r="AP135" i="26"/>
  <c r="AN135" i="26"/>
  <c r="AF135" i="26"/>
  <c r="AS139" i="26"/>
  <c r="AN139" i="26"/>
  <c r="AJ139" i="26"/>
  <c r="AS143" i="26"/>
  <c r="AN143" i="26"/>
  <c r="AH143" i="26"/>
  <c r="AP143" i="26"/>
  <c r="AQ147" i="26"/>
  <c r="AK147" i="26"/>
  <c r="AD147" i="26"/>
  <c r="AR147" i="26"/>
  <c r="AF151" i="26"/>
  <c r="AD151" i="26"/>
  <c r="AR151" i="26"/>
  <c r="AJ151" i="26"/>
  <c r="AQ155" i="26"/>
  <c r="AE159" i="26"/>
  <c r="AN159" i="26"/>
  <c r="AK159" i="26"/>
  <c r="AG164" i="26"/>
  <c r="AR164" i="26"/>
  <c r="AK164" i="26"/>
  <c r="AE164" i="26"/>
  <c r="AQ164" i="26"/>
  <c r="AD164" i="26"/>
  <c r="AJ168" i="26"/>
  <c r="AK168" i="26"/>
  <c r="AG172" i="26"/>
  <c r="AJ172" i="26"/>
  <c r="AK172" i="26"/>
  <c r="AM172" i="26"/>
  <c r="AM176" i="26"/>
  <c r="AO176" i="26"/>
  <c r="AK180" i="26"/>
  <c r="AN180" i="26"/>
  <c r="AD142" i="27"/>
  <c r="AH142" i="27"/>
  <c r="AN142" i="27"/>
  <c r="AG142" i="27"/>
  <c r="AO142" i="27"/>
  <c r="AJ142" i="27"/>
  <c r="AE142" i="27"/>
  <c r="AE146" i="27"/>
  <c r="AN146" i="27"/>
  <c r="AO146" i="27"/>
  <c r="AK146" i="27"/>
  <c r="AE150" i="27"/>
  <c r="AP150" i="27"/>
  <c r="AS150" i="27"/>
  <c r="AG150" i="27"/>
  <c r="AO154" i="27"/>
  <c r="AH154" i="27"/>
  <c r="AJ158" i="27"/>
  <c r="AN158" i="27"/>
  <c r="AS158" i="27"/>
  <c r="AP158" i="27"/>
  <c r="AD158" i="27"/>
  <c r="AN162" i="27"/>
  <c r="AH162" i="27"/>
  <c r="AR162" i="27"/>
  <c r="AQ166" i="27"/>
  <c r="AN166" i="27"/>
  <c r="AS166" i="27"/>
  <c r="AO166" i="27"/>
  <c r="AM170" i="27"/>
  <c r="AK170" i="27"/>
  <c r="AP174" i="27"/>
  <c r="AS174" i="27"/>
  <c r="AM174" i="27"/>
  <c r="AR178" i="27"/>
  <c r="AO178" i="27"/>
  <c r="AH182" i="27"/>
  <c r="AO182" i="27"/>
  <c r="AS182" i="27"/>
  <c r="AN182" i="27"/>
  <c r="AS157" i="29"/>
  <c r="AN157" i="29"/>
  <c r="AE157" i="29"/>
  <c r="AO157" i="29"/>
  <c r="AL157" i="29"/>
  <c r="AG157" i="29"/>
  <c r="AK157" i="29"/>
  <c r="AJ157" i="29"/>
  <c r="AF157" i="29"/>
  <c r="AR157" i="29"/>
  <c r="AP157" i="29"/>
  <c r="AM157" i="29"/>
  <c r="AL161" i="29"/>
  <c r="AH161" i="29"/>
  <c r="AG161" i="29"/>
  <c r="AM161" i="29"/>
  <c r="AF161" i="29"/>
  <c r="AR161" i="29"/>
  <c r="AQ161" i="29"/>
  <c r="AJ161" i="29"/>
  <c r="AO161" i="29"/>
  <c r="AD161" i="29"/>
  <c r="AE161" i="29"/>
  <c r="AN161" i="29"/>
  <c r="AS165" i="29"/>
  <c r="AK165" i="29"/>
  <c r="AI165" i="29"/>
  <c r="AO165" i="29"/>
  <c r="AR165" i="29"/>
  <c r="AH165" i="29"/>
  <c r="AM165" i="29"/>
  <c r="AF165" i="29"/>
  <c r="AL165" i="29"/>
  <c r="AD165" i="29"/>
  <c r="AQ165" i="29"/>
  <c r="AJ165" i="29"/>
  <c r="AP169" i="29"/>
  <c r="AH169" i="29"/>
  <c r="AI169" i="29"/>
  <c r="AN169" i="29"/>
  <c r="AR169" i="29"/>
  <c r="AO169" i="29"/>
  <c r="AM169" i="29"/>
  <c r="AS169" i="29"/>
  <c r="AD169" i="29"/>
  <c r="AL169" i="29"/>
  <c r="AQ169" i="29"/>
  <c r="AF169" i="29"/>
  <c r="AR177" i="29"/>
  <c r="AN177" i="29"/>
  <c r="AS177" i="29"/>
  <c r="AE177" i="29"/>
  <c r="AP177" i="29"/>
  <c r="AF177" i="29"/>
  <c r="AG177" i="29"/>
  <c r="AJ177" i="29"/>
  <c r="AL177" i="29"/>
  <c r="AK177" i="29"/>
  <c r="AI177" i="29"/>
  <c r="AO177" i="29"/>
  <c r="AH177" i="29"/>
  <c r="AQ177" i="29"/>
  <c r="AN181" i="29"/>
  <c r="AL181" i="29"/>
  <c r="AK181" i="29"/>
  <c r="AO181" i="29"/>
  <c r="AM181" i="29"/>
  <c r="AH181" i="29"/>
  <c r="AQ181" i="29"/>
  <c r="AR181" i="29"/>
  <c r="AI181" i="29"/>
  <c r="AE181" i="29"/>
  <c r="AD181" i="29"/>
  <c r="AL185" i="29"/>
  <c r="AI185" i="29"/>
  <c r="AR189" i="29"/>
  <c r="AQ189" i="29"/>
  <c r="AR193" i="29"/>
  <c r="AN193" i="29"/>
  <c r="AJ201" i="29"/>
  <c r="AP201" i="29"/>
  <c r="AO205" i="29"/>
  <c r="AD205" i="29"/>
  <c r="AS116" i="25"/>
  <c r="AK92" i="25"/>
  <c r="AJ92" i="25"/>
  <c r="AK176" i="26"/>
  <c r="AE176" i="26"/>
  <c r="AM168" i="26"/>
  <c r="AF159" i="26"/>
  <c r="AH159" i="26"/>
  <c r="AS147" i="26"/>
  <c r="AM151" i="26"/>
  <c r="AK151" i="26"/>
  <c r="AH151" i="26"/>
  <c r="AH139" i="26"/>
  <c r="AJ135" i="26"/>
  <c r="AR118" i="26"/>
  <c r="AR143" i="26"/>
  <c r="AK143" i="26"/>
  <c r="AG131" i="26"/>
  <c r="AD131" i="26"/>
  <c r="AS135" i="26"/>
  <c r="AF127" i="26"/>
  <c r="AH127" i="26"/>
  <c r="AG182" i="27"/>
  <c r="AD162" i="27"/>
  <c r="AQ154" i="27"/>
  <c r="AE165" i="29"/>
  <c r="AK161" i="29"/>
  <c r="AG169" i="29"/>
  <c r="AP165" i="29"/>
  <c r="AG154" i="27"/>
  <c r="AJ100" i="25"/>
  <c r="AG108" i="25"/>
  <c r="AK88" i="25"/>
  <c r="AG176" i="26"/>
  <c r="AM180" i="26"/>
  <c r="AE168" i="26"/>
  <c r="AP159" i="26"/>
  <c r="AN147" i="26"/>
  <c r="AO151" i="26"/>
  <c r="AP139" i="26"/>
  <c r="AG139" i="26"/>
  <c r="AK131" i="26"/>
  <c r="AM123" i="26"/>
  <c r="AJ143" i="26"/>
  <c r="AD143" i="26"/>
  <c r="AO143" i="26"/>
  <c r="AR131" i="26"/>
  <c r="AH131" i="26"/>
  <c r="AO118" i="26"/>
  <c r="AG135" i="26"/>
  <c r="AH135" i="26"/>
  <c r="AP127" i="26"/>
  <c r="AF110" i="26"/>
  <c r="AE182" i="27"/>
  <c r="AM178" i="27"/>
  <c r="AS178" i="27"/>
  <c r="AJ166" i="27"/>
  <c r="AD154" i="27"/>
  <c r="AF181" i="29"/>
  <c r="AN165" i="29"/>
  <c r="AD157" i="29"/>
  <c r="AG181" i="29"/>
  <c r="AG165" i="29"/>
  <c r="AE154" i="27"/>
  <c r="AP164" i="26"/>
  <c r="AG169" i="25"/>
  <c r="AP104" i="25"/>
  <c r="AM177" i="25"/>
  <c r="AQ176" i="26"/>
  <c r="AM164" i="26"/>
  <c r="AS159" i="26"/>
  <c r="AM147" i="26"/>
  <c r="AG147" i="26"/>
  <c r="AQ151" i="26"/>
  <c r="AN151" i="26"/>
  <c r="AP151" i="26"/>
  <c r="AQ139" i="26"/>
  <c r="AK139" i="26"/>
  <c r="AO127" i="26"/>
  <c r="AD123" i="26"/>
  <c r="AK102" i="26"/>
  <c r="AQ143" i="26"/>
  <c r="AQ131" i="26"/>
  <c r="AH118" i="26"/>
  <c r="AM135" i="26"/>
  <c r="AS127" i="26"/>
  <c r="AE178" i="27"/>
  <c r="AE174" i="27"/>
  <c r="AO174" i="27"/>
  <c r="AP170" i="27"/>
  <c r="AE166" i="27"/>
  <c r="AP181" i="29"/>
  <c r="AJ169" i="29"/>
  <c r="AI161" i="29"/>
  <c r="AH157" i="29"/>
  <c r="AS181" i="29"/>
  <c r="AN172" i="26"/>
  <c r="AI157" i="29"/>
  <c r="AJ182" i="27"/>
  <c r="AM121" i="26"/>
  <c r="AH121" i="26"/>
  <c r="AS121" i="26"/>
  <c r="AJ94" i="25"/>
  <c r="AK163" i="26"/>
  <c r="AO163" i="26"/>
  <c r="AD121" i="26"/>
  <c r="AR158" i="26"/>
  <c r="AN207" i="29"/>
  <c r="AR207" i="29"/>
  <c r="AL211" i="29"/>
  <c r="AN211" i="29"/>
  <c r="AG219" i="29"/>
  <c r="AJ219" i="29"/>
  <c r="AG223" i="29"/>
  <c r="AE223" i="29"/>
  <c r="AQ121" i="26"/>
  <c r="AO121" i="26"/>
  <c r="AL166" i="29"/>
  <c r="AP166" i="29"/>
  <c r="AF174" i="29"/>
  <c r="AN174" i="29"/>
  <c r="AH182" i="29"/>
  <c r="AR182" i="29"/>
  <c r="AS182" i="29"/>
  <c r="AH186" i="29"/>
  <c r="AO186" i="29"/>
  <c r="AJ190" i="29"/>
  <c r="AK190" i="29"/>
  <c r="AK230" i="29"/>
  <c r="AR230" i="29"/>
  <c r="AQ246" i="29"/>
  <c r="AR246" i="29"/>
  <c r="AO126" i="25"/>
  <c r="AF126" i="25"/>
  <c r="AH170" i="25"/>
  <c r="AD170" i="25"/>
  <c r="AR174" i="25"/>
  <c r="AE185" i="27"/>
  <c r="AI83" i="30"/>
  <c r="AE117" i="22"/>
  <c r="AF95" i="30"/>
  <c r="AK131" i="30"/>
  <c r="AQ83" i="30"/>
  <c r="AF22" i="25"/>
  <c r="AE22" i="25" s="1"/>
  <c r="AS76" i="25"/>
  <c r="AO75" i="30"/>
  <c r="AN75" i="30"/>
  <c r="AE75" i="30"/>
  <c r="AJ79" i="30"/>
  <c r="AQ79" i="30"/>
  <c r="AP79" i="30"/>
  <c r="AN79" i="30"/>
  <c r="AS83" i="30"/>
  <c r="AR83" i="30"/>
  <c r="AL83" i="30"/>
  <c r="AK83" i="30"/>
  <c r="AM83" i="30"/>
  <c r="AN83" i="30"/>
  <c r="AE83" i="30"/>
  <c r="AM87" i="30"/>
  <c r="AP87" i="30"/>
  <c r="AN91" i="30"/>
  <c r="AQ91" i="30"/>
  <c r="AP91" i="30"/>
  <c r="AR91" i="30"/>
  <c r="AJ91" i="30"/>
  <c r="AF91" i="30"/>
  <c r="AK91" i="30"/>
  <c r="AD91" i="30"/>
  <c r="AO91" i="30"/>
  <c r="AS91" i="30"/>
  <c r="AL91" i="30"/>
  <c r="AE91" i="30"/>
  <c r="AH91" i="30"/>
  <c r="AI91" i="30"/>
  <c r="AM91" i="30"/>
  <c r="AK95" i="30"/>
  <c r="AE95" i="30"/>
  <c r="AR95" i="30"/>
  <c r="AI99" i="30"/>
  <c r="AL99" i="30"/>
  <c r="AM99" i="30"/>
  <c r="AE99" i="30"/>
  <c r="AK99" i="30"/>
  <c r="AP99" i="30"/>
  <c r="AR99" i="30"/>
  <c r="AJ99" i="30"/>
  <c r="AN99" i="30"/>
  <c r="AG99" i="30"/>
  <c r="AS99" i="30"/>
  <c r="AO99" i="30"/>
  <c r="AH99" i="30"/>
  <c r="AQ99" i="30"/>
  <c r="AF103" i="30"/>
  <c r="AI103" i="30"/>
  <c r="AM103" i="30"/>
  <c r="AQ107" i="30"/>
  <c r="AK107" i="30"/>
  <c r="AN107" i="30"/>
  <c r="AF107" i="30"/>
  <c r="AL107" i="30"/>
  <c r="AM107" i="30"/>
  <c r="AE107" i="30"/>
  <c r="AP107" i="30"/>
  <c r="AR107" i="30"/>
  <c r="AJ107" i="30"/>
  <c r="AO107" i="30"/>
  <c r="AH107" i="30"/>
  <c r="AI107" i="30"/>
  <c r="AD107" i="30"/>
  <c r="AS107" i="30"/>
  <c r="AL111" i="30"/>
  <c r="AK111" i="30"/>
  <c r="AG111" i="30"/>
  <c r="AD115" i="30"/>
  <c r="AN115" i="30"/>
  <c r="AJ119" i="30"/>
  <c r="AG119" i="30"/>
  <c r="AQ123" i="30"/>
  <c r="AS123" i="30"/>
  <c r="AJ127" i="30"/>
  <c r="AM127" i="30"/>
  <c r="AI127" i="30"/>
  <c r="AE127" i="30"/>
  <c r="AR131" i="30"/>
  <c r="AG131" i="30"/>
  <c r="AO131" i="30"/>
  <c r="AN131" i="30"/>
  <c r="AF131" i="30"/>
  <c r="AM131" i="30"/>
  <c r="AJ131" i="30"/>
  <c r="AQ131" i="30"/>
  <c r="AD131" i="30"/>
  <c r="AE131" i="30"/>
  <c r="AP131" i="30"/>
  <c r="AH131" i="30"/>
  <c r="AI131" i="30"/>
  <c r="AR139" i="30"/>
  <c r="AD139" i="30"/>
  <c r="AE143" i="30"/>
  <c r="AM143" i="30"/>
  <c r="AI147" i="30"/>
  <c r="AO147" i="30"/>
  <c r="AS151" i="30"/>
  <c r="AG159" i="30"/>
  <c r="AN166" i="30"/>
  <c r="AK170" i="30"/>
  <c r="AL170" i="30"/>
  <c r="AM170" i="30"/>
  <c r="AN170" i="30"/>
  <c r="AH170" i="30"/>
  <c r="AI170" i="30"/>
  <c r="AJ170" i="30"/>
  <c r="AD170" i="30"/>
  <c r="AF170" i="30"/>
  <c r="AP170" i="30"/>
  <c r="AE170" i="30"/>
  <c r="AO94" i="30"/>
  <c r="AS94" i="30"/>
  <c r="AJ102" i="30"/>
  <c r="AG102" i="30"/>
  <c r="AR118" i="30"/>
  <c r="AH118" i="30"/>
  <c r="AM126" i="30"/>
  <c r="AD126" i="30"/>
  <c r="AN88" i="22"/>
  <c r="AQ97" i="22"/>
  <c r="AQ105" i="22"/>
  <c r="AN116" i="22"/>
  <c r="AQ133" i="22"/>
  <c r="AN138" i="22"/>
  <c r="AQ147" i="22"/>
  <c r="AH148" i="22"/>
  <c r="AN11" i="27"/>
  <c r="AN19" i="27"/>
  <c r="AE126" i="30"/>
  <c r="AP94" i="30"/>
  <c r="AN118" i="30"/>
  <c r="AN71" i="25"/>
  <c r="AQ37" i="27"/>
  <c r="AN44" i="27"/>
  <c r="AN46" i="27"/>
  <c r="AN48" i="27"/>
  <c r="AQ49" i="27"/>
  <c r="AQ54" i="27"/>
  <c r="AN55" i="27"/>
  <c r="AQ56" i="27"/>
  <c r="AN57" i="27"/>
  <c r="AQ58" i="27"/>
  <c r="AN59" i="27"/>
  <c r="AN61" i="27"/>
  <c r="AK16" i="30"/>
  <c r="AE135" i="26"/>
  <c r="AK135" i="26"/>
  <c r="AG159" i="26"/>
  <c r="AQ159" i="26"/>
  <c r="AR159" i="26"/>
  <c r="AJ159" i="26"/>
  <c r="AH164" i="26"/>
  <c r="AN164" i="26"/>
  <c r="AJ164" i="26"/>
  <c r="AR168" i="26"/>
  <c r="AO168" i="26"/>
  <c r="AS168" i="26"/>
  <c r="AP168" i="26"/>
  <c r="AP176" i="26"/>
  <c r="AR176" i="26"/>
  <c r="AS95" i="27"/>
  <c r="AP95" i="27"/>
  <c r="AH99" i="27"/>
  <c r="AG99" i="27"/>
  <c r="AR99" i="27"/>
  <c r="AO103" i="27"/>
  <c r="AS103" i="27"/>
  <c r="AH103" i="27"/>
  <c r="AR107" i="27"/>
  <c r="AS107" i="27"/>
  <c r="AS111" i="27"/>
  <c r="AO111" i="27"/>
  <c r="AF115" i="27"/>
  <c r="AS115" i="27"/>
  <c r="AR115" i="27"/>
  <c r="AE139" i="27"/>
  <c r="AQ168" i="26"/>
  <c r="AO159" i="26"/>
  <c r="AK99" i="27"/>
  <c r="AH99" i="25"/>
  <c r="AP99" i="25"/>
  <c r="AF99" i="25"/>
  <c r="AF132" i="25"/>
  <c r="AD136" i="25"/>
  <c r="AN148" i="25"/>
  <c r="AJ148" i="25"/>
  <c r="AO148" i="25"/>
  <c r="AJ152" i="25"/>
  <c r="AE152" i="25"/>
  <c r="AK156" i="25"/>
  <c r="AR156" i="25"/>
  <c r="AO156" i="25"/>
  <c r="AH156" i="25"/>
  <c r="AJ156" i="25"/>
  <c r="AD164" i="25"/>
  <c r="AF164" i="25"/>
  <c r="AR172" i="25"/>
  <c r="AD172" i="25"/>
  <c r="AM109" i="26"/>
  <c r="AH109" i="26"/>
  <c r="AQ109" i="26"/>
  <c r="AG113" i="26"/>
  <c r="AH113" i="26"/>
  <c r="AS117" i="26"/>
  <c r="AK182" i="25"/>
  <c r="AD182" i="25"/>
  <c r="AM182" i="25"/>
  <c r="AS182" i="25"/>
  <c r="AF182" i="25"/>
  <c r="AH91" i="27"/>
  <c r="AG115" i="27"/>
  <c r="AN233" i="29"/>
  <c r="AG233" i="29"/>
  <c r="AS233" i="29"/>
  <c r="AE233" i="29"/>
  <c r="AJ233" i="29"/>
  <c r="AN237" i="29"/>
  <c r="AS237" i="29"/>
  <c r="AR245" i="29"/>
  <c r="AE245" i="29"/>
  <c r="AI245" i="29"/>
  <c r="AH151" i="22"/>
  <c r="AK256" i="24"/>
  <c r="AN14" i="25"/>
  <c r="AE73" i="25"/>
  <c r="AK150" i="29"/>
  <c r="AS176" i="26"/>
  <c r="AR95" i="27"/>
  <c r="AR144" i="27"/>
  <c r="AK172" i="27"/>
  <c r="AJ172" i="27"/>
  <c r="AG172" i="27"/>
  <c r="AF176" i="27"/>
  <c r="AP176" i="27"/>
  <c r="AM181" i="22"/>
  <c r="AF181" i="22"/>
  <c r="AQ181" i="22"/>
  <c r="AQ185" i="22"/>
  <c r="AR185" i="22"/>
  <c r="AF185" i="22"/>
  <c r="AM185" i="22"/>
  <c r="AQ189" i="22"/>
  <c r="AR189" i="22"/>
  <c r="AM189" i="22"/>
  <c r="AF193" i="22"/>
  <c r="AF179" i="29"/>
  <c r="AD179" i="29"/>
  <c r="AM195" i="29"/>
  <c r="AO195" i="29"/>
  <c r="AN195" i="29"/>
  <c r="AN199" i="29"/>
  <c r="AO199" i="29"/>
  <c r="AR199" i="29"/>
  <c r="AM199" i="29"/>
  <c r="AM203" i="29"/>
  <c r="AS203" i="29"/>
  <c r="AI203" i="29"/>
  <c r="AG203" i="29"/>
  <c r="AJ208" i="29"/>
  <c r="AH208" i="29"/>
  <c r="AK208" i="29"/>
  <c r="AD208" i="29"/>
  <c r="AR208" i="29"/>
  <c r="AN208" i="29"/>
  <c r="AJ212" i="29"/>
  <c r="AH212" i="29"/>
  <c r="AE184" i="26"/>
  <c r="AO184" i="26"/>
  <c r="AR184" i="26"/>
  <c r="AP184" i="26"/>
  <c r="AN15" i="30"/>
  <c r="AM120" i="30"/>
  <c r="AP128" i="30"/>
  <c r="AN27" i="30"/>
  <c r="AN37" i="30"/>
  <c r="AN42" i="30"/>
  <c r="AN50" i="30"/>
  <c r="AN63" i="30"/>
  <c r="AQ21" i="30"/>
  <c r="AQ22" i="30"/>
  <c r="AN144" i="30"/>
  <c r="AN32" i="30"/>
  <c r="AE64" i="30"/>
  <c r="AQ64" i="30"/>
  <c r="AN65" i="30"/>
  <c r="AQ117" i="30"/>
  <c r="AP121" i="30"/>
  <c r="AI125" i="30"/>
  <c r="AH125" i="30"/>
  <c r="AJ130" i="30"/>
  <c r="AS130" i="30"/>
  <c r="AI130" i="30"/>
  <c r="AO130" i="30"/>
  <c r="AE130" i="30"/>
  <c r="AL130" i="30"/>
  <c r="AF130" i="30"/>
  <c r="AQ130" i="30"/>
  <c r="AP130" i="30"/>
  <c r="AH130" i="30"/>
  <c r="AN130" i="30"/>
  <c r="AG130" i="30"/>
  <c r="AR134" i="30"/>
  <c r="AM134" i="30"/>
  <c r="AL134" i="30"/>
  <c r="AH134" i="30"/>
  <c r="AK138" i="30"/>
  <c r="AJ138" i="30"/>
  <c r="AI138" i="30"/>
  <c r="AP138" i="30"/>
  <c r="AN138" i="30"/>
  <c r="AE138" i="30"/>
  <c r="AR138" i="30"/>
  <c r="AF138" i="30"/>
  <c r="AQ138" i="30"/>
  <c r="AS138" i="30"/>
  <c r="AG138" i="30"/>
  <c r="AO138" i="30"/>
  <c r="AL138" i="30"/>
  <c r="AE142" i="30"/>
  <c r="AS142" i="30"/>
  <c r="AR142" i="30"/>
  <c r="AP142" i="30"/>
  <c r="AF142" i="30"/>
  <c r="AJ142" i="30"/>
  <c r="AH142" i="30"/>
  <c r="AS146" i="30"/>
  <c r="AG146" i="30"/>
  <c r="AQ146" i="30"/>
  <c r="AJ146" i="30"/>
  <c r="AE146" i="30"/>
  <c r="AK146" i="30"/>
  <c r="AH146" i="30"/>
  <c r="AP146" i="30"/>
  <c r="AF146" i="30"/>
  <c r="AI146" i="30"/>
  <c r="AO146" i="30"/>
  <c r="AN146" i="30"/>
  <c r="AH154" i="30"/>
  <c r="AL154" i="30"/>
  <c r="AL158" i="30"/>
  <c r="AK158" i="30"/>
  <c r="AR158" i="30"/>
  <c r="AO158" i="30"/>
  <c r="AJ158" i="30"/>
  <c r="AG158" i="30"/>
  <c r="AN158" i="30"/>
  <c r="AH158" i="30"/>
  <c r="AQ158" i="30"/>
  <c r="AM158" i="30"/>
  <c r="AD158" i="30"/>
  <c r="AS158" i="30"/>
  <c r="AE158" i="30"/>
  <c r="AS165" i="30"/>
  <c r="AH165" i="30"/>
  <c r="AJ165" i="30"/>
  <c r="AQ165" i="30"/>
  <c r="AD165" i="30"/>
  <c r="AL165" i="30"/>
  <c r="AP165" i="30"/>
  <c r="AR165" i="30"/>
  <c r="AE165" i="30"/>
  <c r="AI165" i="30"/>
  <c r="AG165" i="30"/>
  <c r="AO165" i="30"/>
  <c r="AM165" i="30"/>
  <c r="AK165" i="30"/>
  <c r="AR169" i="30"/>
  <c r="AK169" i="30"/>
  <c r="AI169" i="30"/>
  <c r="AJ169" i="30"/>
  <c r="AF169" i="30"/>
  <c r="AO169" i="30"/>
  <c r="AM169" i="30"/>
  <c r="AN169" i="30"/>
  <c r="AS169" i="30"/>
  <c r="AH169" i="30"/>
  <c r="AL169" i="30"/>
  <c r="AD169" i="30"/>
  <c r="AQ169" i="30"/>
  <c r="AI76" i="30"/>
  <c r="AS76" i="30"/>
  <c r="AE76" i="30"/>
  <c r="AF76" i="30"/>
  <c r="AO76" i="30"/>
  <c r="AJ76" i="30"/>
  <c r="AL76" i="30"/>
  <c r="AK76" i="30"/>
  <c r="AP76" i="30"/>
  <c r="AQ76" i="30"/>
  <c r="AR80" i="30"/>
  <c r="AJ80" i="30"/>
  <c r="AQ80" i="30"/>
  <c r="AI80" i="30"/>
  <c r="AH84" i="30"/>
  <c r="AD84" i="30"/>
  <c r="AO84" i="30"/>
  <c r="AL84" i="30"/>
  <c r="AK84" i="30"/>
  <c r="AS88" i="30"/>
  <c r="AO88" i="30"/>
  <c r="AL88" i="30"/>
  <c r="AN88" i="30"/>
  <c r="AF96" i="30"/>
  <c r="AE96" i="30"/>
  <c r="AS100" i="30"/>
  <c r="AH100" i="30"/>
  <c r="AJ100" i="30"/>
  <c r="AN100" i="30"/>
  <c r="AO100" i="30"/>
  <c r="AI100" i="30"/>
  <c r="AF100" i="30"/>
  <c r="AG100" i="30"/>
  <c r="AR100" i="30"/>
  <c r="AK100" i="30"/>
  <c r="AE104" i="30"/>
  <c r="AR104" i="30"/>
  <c r="AD104" i="30"/>
  <c r="AQ104" i="30"/>
  <c r="AN108" i="30"/>
  <c r="AM108" i="30"/>
  <c r="AQ108" i="30"/>
  <c r="AR108" i="30"/>
  <c r="AH108" i="30"/>
  <c r="AE108" i="30"/>
  <c r="AF108" i="30"/>
  <c r="AK108" i="30"/>
  <c r="AS108" i="30"/>
  <c r="AJ108" i="30"/>
  <c r="AL108" i="30"/>
  <c r="AO108" i="30"/>
  <c r="AP108" i="30"/>
  <c r="AJ172" i="30"/>
  <c r="AS79" i="29"/>
  <c r="AQ80" i="29"/>
  <c r="AQ88" i="29"/>
  <c r="AQ90" i="29"/>
  <c r="AQ92" i="29"/>
  <c r="AQ96" i="29"/>
  <c r="AN113" i="29"/>
  <c r="AN115" i="29"/>
  <c r="AQ138" i="29"/>
  <c r="AN9" i="29"/>
  <c r="AN13" i="29"/>
  <c r="AE22" i="29"/>
  <c r="AQ32" i="29"/>
  <c r="AQ35" i="29"/>
  <c r="AQ44" i="29"/>
  <c r="AD164" i="29"/>
  <c r="AE112" i="29"/>
  <c r="AR168" i="29"/>
  <c r="AG168" i="29"/>
  <c r="AP164" i="29"/>
  <c r="AD168" i="29"/>
  <c r="AE35" i="29"/>
  <c r="AE143" i="29"/>
  <c r="AS22" i="29"/>
  <c r="AN31" i="29"/>
  <c r="AK78" i="29"/>
  <c r="AE106" i="29"/>
  <c r="AE84" i="29"/>
  <c r="AE80" i="29"/>
  <c r="AQ139" i="29"/>
  <c r="AM238" i="29"/>
  <c r="AI234" i="29"/>
  <c r="AF229" i="29"/>
  <c r="AI204" i="29"/>
  <c r="AE200" i="29"/>
  <c r="AP225" i="29"/>
  <c r="AQ225" i="29"/>
  <c r="AF225" i="29"/>
  <c r="AG213" i="29"/>
  <c r="AM213" i="29"/>
  <c r="AN213" i="29"/>
  <c r="AD225" i="29"/>
  <c r="AG221" i="29"/>
  <c r="AM221" i="29"/>
  <c r="AN221" i="29"/>
  <c r="AK209" i="29"/>
  <c r="AL209" i="29"/>
  <c r="AS209" i="29"/>
  <c r="AR209" i="29"/>
  <c r="AP184" i="29"/>
  <c r="AG183" i="29"/>
  <c r="AM183" i="29"/>
  <c r="AN183" i="29"/>
  <c r="AE175" i="29"/>
  <c r="AH175" i="29"/>
  <c r="AJ175" i="29"/>
  <c r="AF184" i="29"/>
  <c r="AD184" i="29"/>
  <c r="AK184" i="29"/>
  <c r="AE192" i="29"/>
  <c r="AO192" i="29"/>
  <c r="AL192" i="29"/>
  <c r="AH188" i="29"/>
  <c r="AI188" i="29"/>
  <c r="AO188" i="29"/>
  <c r="AP217" i="29"/>
  <c r="AO217" i="29"/>
  <c r="AH217" i="29"/>
  <c r="AJ217" i="29"/>
  <c r="AG179" i="29"/>
  <c r="AM179" i="29"/>
  <c r="AN179" i="29"/>
  <c r="AK238" i="29"/>
  <c r="AN246" i="29"/>
  <c r="AR242" i="29"/>
  <c r="AL242" i="29"/>
  <c r="AR204" i="29"/>
  <c r="AK196" i="29"/>
  <c r="AF192" i="29"/>
  <c r="AO225" i="29"/>
  <c r="AN242" i="29"/>
  <c r="AS238" i="29"/>
  <c r="AO238" i="29"/>
  <c r="AN200" i="29"/>
  <c r="AP200" i="29"/>
  <c r="AO179" i="29"/>
  <c r="AP196" i="29"/>
  <c r="AJ196" i="29"/>
  <c r="AO200" i="29"/>
  <c r="AQ51" i="29"/>
  <c r="AE254" i="29"/>
  <c r="AM242" i="29"/>
  <c r="AI238" i="29"/>
  <c r="AE234" i="29"/>
  <c r="AD229" i="29"/>
  <c r="AE204" i="29"/>
  <c r="AM196" i="29"/>
  <c r="AE225" i="29"/>
  <c r="AH225" i="29"/>
  <c r="AJ225" i="29"/>
  <c r="AL213" i="29"/>
  <c r="AS213" i="29"/>
  <c r="AR213" i="29"/>
  <c r="AL221" i="29"/>
  <c r="AS221" i="29"/>
  <c r="AR221" i="29"/>
  <c r="AE217" i="29"/>
  <c r="AD209" i="29"/>
  <c r="AQ209" i="29"/>
  <c r="AF209" i="29"/>
  <c r="AN192" i="29"/>
  <c r="AE184" i="29"/>
  <c r="AL183" i="29"/>
  <c r="AS183" i="29"/>
  <c r="AR183" i="29"/>
  <c r="AG175" i="29"/>
  <c r="AM175" i="29"/>
  <c r="AN175" i="29"/>
  <c r="AO162" i="29"/>
  <c r="AH184" i="29"/>
  <c r="AI184" i="29"/>
  <c r="AO184" i="29"/>
  <c r="AI192" i="29"/>
  <c r="AM192" i="29"/>
  <c r="AS192" i="29"/>
  <c r="AP192" i="29"/>
  <c r="AM188" i="29"/>
  <c r="AN188" i="29"/>
  <c r="AS188" i="29"/>
  <c r="AI217" i="29"/>
  <c r="AG217" i="29"/>
  <c r="AM217" i="29"/>
  <c r="AN217" i="29"/>
  <c r="AJ184" i="29"/>
  <c r="AL179" i="29"/>
  <c r="AS179" i="29"/>
  <c r="AR179" i="29"/>
  <c r="AJ254" i="29"/>
  <c r="AR238" i="29"/>
  <c r="AK200" i="29"/>
  <c r="AK246" i="29"/>
  <c r="AF242" i="29"/>
  <c r="AD221" i="29"/>
  <c r="AD242" i="29"/>
  <c r="AH242" i="29"/>
  <c r="AQ242" i="29"/>
  <c r="AQ204" i="29"/>
  <c r="AL196" i="29"/>
  <c r="AK175" i="29"/>
  <c r="AI175" i="29"/>
  <c r="AQ192" i="29"/>
  <c r="AJ238" i="29"/>
  <c r="AH238" i="29"/>
  <c r="AD238" i="29"/>
  <c r="AS200" i="29"/>
  <c r="AQ200" i="29"/>
  <c r="AD204" i="29"/>
  <c r="AF196" i="29"/>
  <c r="AR196" i="29"/>
  <c r="AQ19" i="29"/>
  <c r="AH68" i="29"/>
  <c r="AN68" i="29"/>
  <c r="AE70" i="29"/>
  <c r="AN75" i="29"/>
  <c r="AE77" i="29"/>
  <c r="AM246" i="29"/>
  <c r="AI242" i="29"/>
  <c r="AE238" i="29"/>
  <c r="AR234" i="29"/>
  <c r="AQ229" i="29"/>
  <c r="AL229" i="29"/>
  <c r="AM200" i="29"/>
  <c r="AI196" i="29"/>
  <c r="AG225" i="29"/>
  <c r="AM225" i="29"/>
  <c r="AN225" i="29"/>
  <c r="AP213" i="29"/>
  <c r="AQ213" i="29"/>
  <c r="AF213" i="29"/>
  <c r="AP221" i="29"/>
  <c r="AQ221" i="29"/>
  <c r="AF221" i="29"/>
  <c r="AD213" i="29"/>
  <c r="AP209" i="29"/>
  <c r="AO209" i="29"/>
  <c r="AH209" i="29"/>
  <c r="AJ209" i="29"/>
  <c r="AP183" i="29"/>
  <c r="AQ183" i="29"/>
  <c r="AF183" i="29"/>
  <c r="AK179" i="29"/>
  <c r="AL175" i="29"/>
  <c r="AS175" i="29"/>
  <c r="AR175" i="29"/>
  <c r="AF171" i="29"/>
  <c r="AM184" i="29"/>
  <c r="AN184" i="29"/>
  <c r="AS184" i="29"/>
  <c r="AJ192" i="29"/>
  <c r="AG192" i="29"/>
  <c r="AQ188" i="29"/>
  <c r="AR188" i="29"/>
  <c r="AG188" i="29"/>
  <c r="AI179" i="29"/>
  <c r="AK217" i="29"/>
  <c r="AL217" i="29"/>
  <c r="AS217" i="29"/>
  <c r="AP179" i="29"/>
  <c r="AQ179" i="29"/>
  <c r="AJ167" i="29"/>
  <c r="AH254" i="29"/>
  <c r="AG238" i="29"/>
  <c r="AP238" i="29"/>
  <c r="AK221" i="29"/>
  <c r="AO242" i="29"/>
  <c r="AS242" i="29"/>
  <c r="AL204" i="29"/>
  <c r="AQ196" i="29"/>
  <c r="AL188" i="29"/>
  <c r="AL246" i="29"/>
  <c r="AH200" i="29"/>
  <c r="AD200" i="29"/>
  <c r="AS196" i="29"/>
  <c r="AG196" i="29"/>
  <c r="AK183" i="29"/>
  <c r="AL200" i="29"/>
  <c r="AD183" i="29"/>
  <c r="AE131" i="29"/>
  <c r="AE56" i="29"/>
  <c r="AE120" i="29"/>
  <c r="AQ58" i="29"/>
  <c r="AQ56" i="29"/>
  <c r="AQ65" i="29"/>
  <c r="AE76" i="29"/>
  <c r="AE104" i="29"/>
  <c r="AN76" i="29"/>
  <c r="AQ47" i="29"/>
  <c r="AN65" i="29"/>
  <c r="AE79" i="29"/>
  <c r="AN91" i="29"/>
  <c r="AE134" i="29"/>
  <c r="AN135" i="29"/>
  <c r="AN138" i="29"/>
  <c r="AQ141" i="29"/>
  <c r="AE142" i="29"/>
  <c r="AM250" i="29"/>
  <c r="AF245" i="29"/>
  <c r="AP245" i="29"/>
  <c r="AD241" i="29"/>
  <c r="AQ237" i="29"/>
  <c r="AH237" i="29"/>
  <c r="AE236" i="29"/>
  <c r="AI236" i="29"/>
  <c r="AO236" i="29"/>
  <c r="AK223" i="29"/>
  <c r="AL223" i="29"/>
  <c r="AF219" i="29"/>
  <c r="AP219" i="29"/>
  <c r="AD215" i="29"/>
  <c r="AJ215" i="29"/>
  <c r="AP193" i="29"/>
  <c r="AO227" i="29"/>
  <c r="AM227" i="29"/>
  <c r="AN227" i="29"/>
  <c r="AH214" i="29"/>
  <c r="AI214" i="29"/>
  <c r="AO214" i="29"/>
  <c r="AI231" i="29"/>
  <c r="AQ231" i="29"/>
  <c r="AF231" i="29"/>
  <c r="AD227" i="29"/>
  <c r="AE205" i="29"/>
  <c r="AP197" i="29"/>
  <c r="AH189" i="29"/>
  <c r="AQ210" i="29"/>
  <c r="AQ171" i="29"/>
  <c r="AO201" i="29"/>
  <c r="AN158" i="29"/>
  <c r="AQ167" i="29"/>
  <c r="AJ250" i="29"/>
  <c r="AS250" i="29"/>
  <c r="AR250" i="29"/>
  <c r="AO254" i="29"/>
  <c r="AD250" i="29"/>
  <c r="AM241" i="29"/>
  <c r="AS241" i="29"/>
  <c r="AO223" i="29"/>
  <c r="AO193" i="29"/>
  <c r="AK197" i="29"/>
  <c r="AS158" i="29"/>
  <c r="AO245" i="29"/>
  <c r="AG237" i="29"/>
  <c r="AM215" i="29"/>
  <c r="AG241" i="29"/>
  <c r="AR215" i="29"/>
  <c r="AO219" i="29"/>
  <c r="AS219" i="29"/>
  <c r="AJ237" i="29"/>
  <c r="AI237" i="29"/>
  <c r="AS245" i="29"/>
  <c r="AO174" i="29"/>
  <c r="AM254" i="29"/>
  <c r="AI250" i="29"/>
  <c r="AD245" i="29"/>
  <c r="AQ241" i="29"/>
  <c r="AH241" i="29"/>
  <c r="AK237" i="29"/>
  <c r="AL237" i="29"/>
  <c r="AL236" i="29"/>
  <c r="AN236" i="29"/>
  <c r="AS236" i="29"/>
  <c r="AF223" i="29"/>
  <c r="AP223" i="29"/>
  <c r="AD219" i="29"/>
  <c r="AQ215" i="29"/>
  <c r="AH215" i="29"/>
  <c r="AI193" i="29"/>
  <c r="AE215" i="29"/>
  <c r="AI227" i="29"/>
  <c r="AS227" i="29"/>
  <c r="AR227" i="29"/>
  <c r="AM214" i="29"/>
  <c r="AN214" i="29"/>
  <c r="AS214" i="29"/>
  <c r="AP231" i="29"/>
  <c r="AH231" i="29"/>
  <c r="AJ231" i="29"/>
  <c r="AH205" i="29"/>
  <c r="AQ197" i="29"/>
  <c r="AK185" i="29"/>
  <c r="AR210" i="29"/>
  <c r="AE189" i="29"/>
  <c r="AO158" i="29"/>
  <c r="AH201" i="29"/>
  <c r="AQ176" i="29"/>
  <c r="AL254" i="29"/>
  <c r="AK254" i="29"/>
  <c r="AN245" i="29"/>
  <c r="AH250" i="29"/>
  <c r="AG250" i="29"/>
  <c r="AD254" i="29"/>
  <c r="AO241" i="29"/>
  <c r="AI241" i="29"/>
  <c r="AR223" i="29"/>
  <c r="AI215" i="29"/>
  <c r="AP254" i="29"/>
  <c r="AN254" i="29"/>
  <c r="AI219" i="29"/>
  <c r="AE219" i="29"/>
  <c r="AI223" i="29"/>
  <c r="AM237" i="29"/>
  <c r="AN215" i="29"/>
  <c r="AG215" i="29"/>
  <c r="AF250" i="29"/>
  <c r="AI254" i="29"/>
  <c r="AE250" i="29"/>
  <c r="AQ245" i="29"/>
  <c r="AH245" i="29"/>
  <c r="AK241" i="29"/>
  <c r="AL241" i="29"/>
  <c r="AF237" i="29"/>
  <c r="AP237" i="29"/>
  <c r="AQ236" i="29"/>
  <c r="AR236" i="29"/>
  <c r="AG236" i="29"/>
  <c r="AD223" i="29"/>
  <c r="AQ219" i="29"/>
  <c r="AH219" i="29"/>
  <c r="AK215" i="29"/>
  <c r="AL215" i="29"/>
  <c r="AE193" i="29"/>
  <c r="AE227" i="29"/>
  <c r="AP227" i="29"/>
  <c r="AF227" i="29"/>
  <c r="AQ214" i="29"/>
  <c r="AR214" i="29"/>
  <c r="AG214" i="29"/>
  <c r="AD231" i="29"/>
  <c r="AM231" i="29"/>
  <c r="AN231" i="29"/>
  <c r="AJ205" i="29"/>
  <c r="AL227" i="29"/>
  <c r="AL214" i="29"/>
  <c r="AL250" i="29"/>
  <c r="AK250" i="29"/>
  <c r="AS254" i="29"/>
  <c r="AR254" i="29"/>
  <c r="AR241" i="29"/>
  <c r="AS223" i="29"/>
  <c r="AS215" i="29"/>
  <c r="AN250" i="29"/>
  <c r="AR219" i="29"/>
  <c r="AM219" i="29"/>
  <c r="AR237" i="29"/>
  <c r="AN223" i="29"/>
  <c r="AF254" i="29"/>
  <c r="AM224" i="29"/>
  <c r="AH158" i="29"/>
  <c r="AE158" i="29"/>
  <c r="AQ158" i="29"/>
  <c r="AR158" i="29"/>
  <c r="AL158" i="29"/>
  <c r="AM158" i="29"/>
  <c r="AF158" i="29"/>
  <c r="AG158" i="29"/>
  <c r="AP158" i="29"/>
  <c r="AJ158" i="29"/>
  <c r="AK158" i="29"/>
  <c r="AS162" i="29"/>
  <c r="AD162" i="29"/>
  <c r="AH162" i="29"/>
  <c r="AM162" i="29"/>
  <c r="AR162" i="29"/>
  <c r="AP162" i="29"/>
  <c r="AQ162" i="29"/>
  <c r="AF162" i="29"/>
  <c r="AG162" i="29"/>
  <c r="AL162" i="29"/>
  <c r="AE162" i="29"/>
  <c r="AJ162" i="29"/>
  <c r="AK162" i="29"/>
  <c r="AP167" i="29"/>
  <c r="AN167" i="29"/>
  <c r="AE167" i="29"/>
  <c r="AS167" i="29"/>
  <c r="AD167" i="29"/>
  <c r="AR167" i="29"/>
  <c r="AI167" i="29"/>
  <c r="AG167" i="29"/>
  <c r="AH167" i="29"/>
  <c r="AF167" i="29"/>
  <c r="AM167" i="29"/>
  <c r="AK167" i="29"/>
  <c r="AL167" i="29"/>
  <c r="AP171" i="29"/>
  <c r="AI171" i="29"/>
  <c r="AE171" i="29"/>
  <c r="AL171" i="29"/>
  <c r="AK171" i="29"/>
  <c r="AG171" i="29"/>
  <c r="AR171" i="29"/>
  <c r="AH171" i="29"/>
  <c r="AS171" i="29"/>
  <c r="AJ171" i="29"/>
  <c r="AN171" i="29"/>
  <c r="AD171" i="29"/>
  <c r="AJ176" i="29"/>
  <c r="AS176" i="29"/>
  <c r="AN176" i="29"/>
  <c r="AM176" i="29"/>
  <c r="AO176" i="29"/>
  <c r="AI176" i="29"/>
  <c r="AH176" i="29"/>
  <c r="AL176" i="29"/>
  <c r="AE176" i="29"/>
  <c r="AK176" i="29"/>
  <c r="AD176" i="29"/>
  <c r="AF176" i="29"/>
  <c r="AP176" i="29"/>
  <c r="AO185" i="29"/>
  <c r="AR185" i="29"/>
  <c r="AH185" i="29"/>
  <c r="AQ185" i="29"/>
  <c r="AG185" i="29"/>
  <c r="AN185" i="29"/>
  <c r="AE185" i="29"/>
  <c r="AD185" i="29"/>
  <c r="AM185" i="29"/>
  <c r="AS185" i="29"/>
  <c r="AJ185" i="29"/>
  <c r="AP185" i="29"/>
  <c r="AF185" i="29"/>
  <c r="AI189" i="29"/>
  <c r="AG189" i="29"/>
  <c r="AJ189" i="29"/>
  <c r="AD189" i="29"/>
  <c r="AN189" i="29"/>
  <c r="AO189" i="29"/>
  <c r="AP189" i="29"/>
  <c r="AF189" i="29"/>
  <c r="AS189" i="29"/>
  <c r="AM189" i="29"/>
  <c r="AL189" i="29"/>
  <c r="AK189" i="29"/>
  <c r="AG193" i="29"/>
  <c r="AF193" i="29"/>
  <c r="AD193" i="29"/>
  <c r="AJ193" i="29"/>
  <c r="AQ193" i="29"/>
  <c r="AH193" i="29"/>
  <c r="AM193" i="29"/>
  <c r="AK193" i="29"/>
  <c r="AS193" i="29"/>
  <c r="AL193" i="29"/>
  <c r="AI197" i="29"/>
  <c r="AR197" i="29"/>
  <c r="AS197" i="29"/>
  <c r="AL197" i="29"/>
  <c r="AD197" i="29"/>
  <c r="AN197" i="29"/>
  <c r="AM197" i="29"/>
  <c r="AG197" i="29"/>
  <c r="AO197" i="29"/>
  <c r="AJ197" i="29"/>
  <c r="AH197" i="29"/>
  <c r="AE197" i="29"/>
  <c r="AE201" i="29"/>
  <c r="AF201" i="29"/>
  <c r="AQ201" i="29"/>
  <c r="AD201" i="29"/>
  <c r="AR201" i="29"/>
  <c r="AS201" i="29"/>
  <c r="AL201" i="29"/>
  <c r="AK201" i="29"/>
  <c r="AN201" i="29"/>
  <c r="AM201" i="29"/>
  <c r="AG201" i="29"/>
  <c r="AI201" i="29"/>
  <c r="AK205" i="29"/>
  <c r="AF205" i="29"/>
  <c r="AQ205" i="29"/>
  <c r="AP205" i="29"/>
  <c r="AI205" i="29"/>
  <c r="AR205" i="29"/>
  <c r="AS205" i="29"/>
  <c r="AL205" i="29"/>
  <c r="AN205" i="29"/>
  <c r="AM205" i="29"/>
  <c r="AG205" i="29"/>
  <c r="AJ210" i="29"/>
  <c r="AS210" i="29"/>
  <c r="AN210" i="29"/>
  <c r="AM210" i="29"/>
  <c r="AL210" i="29"/>
  <c r="AP210" i="29"/>
  <c r="AO210" i="29"/>
  <c r="AI210" i="29"/>
  <c r="AH210" i="29"/>
  <c r="AE210" i="29"/>
  <c r="AK210" i="29"/>
  <c r="AD210" i="29"/>
  <c r="AF210" i="29"/>
  <c r="AO211" i="29"/>
  <c r="AM211" i="29"/>
  <c r="AD211" i="29"/>
  <c r="AR211" i="29"/>
  <c r="AS211" i="29"/>
  <c r="AE211" i="29"/>
  <c r="AP211" i="29"/>
  <c r="AF211" i="29"/>
  <c r="AQ216" i="29"/>
  <c r="AL216" i="29"/>
  <c r="AG216" i="29"/>
  <c r="AK216" i="29"/>
  <c r="AD216" i="29"/>
  <c r="AR216" i="29"/>
  <c r="AN216" i="29"/>
  <c r="AO216" i="29"/>
  <c r="AJ216" i="29"/>
  <c r="AS216" i="29"/>
  <c r="AK220" i="29"/>
  <c r="AD220" i="29"/>
  <c r="AJ220" i="29"/>
  <c r="AL220" i="29"/>
  <c r="AH220" i="29"/>
  <c r="AR220" i="29"/>
  <c r="AN220" i="29"/>
  <c r="AG220" i="29"/>
  <c r="AO220" i="29"/>
  <c r="AE220" i="29"/>
  <c r="AP220" i="29"/>
  <c r="AN224" i="29"/>
  <c r="AS224" i="29"/>
  <c r="AO224" i="29"/>
  <c r="AL224" i="29"/>
  <c r="AH224" i="29"/>
  <c r="AD224" i="29"/>
  <c r="AI224" i="29"/>
  <c r="AF224" i="29"/>
  <c r="AK224" i="29"/>
  <c r="AR224" i="29"/>
  <c r="AP224" i="29"/>
  <c r="AR228" i="29"/>
  <c r="AS228" i="29"/>
  <c r="AN228" i="29"/>
  <c r="AJ228" i="29"/>
  <c r="AE228" i="29"/>
  <c r="AO228" i="29"/>
  <c r="AI228" i="29"/>
  <c r="AP228" i="29"/>
  <c r="AL228" i="29"/>
  <c r="AM228" i="29"/>
  <c r="AK228" i="29"/>
  <c r="AD228" i="29"/>
  <c r="AH228" i="29"/>
  <c r="AP257" i="29"/>
  <c r="AD257" i="29"/>
  <c r="AM257" i="29"/>
  <c r="AN257" i="29"/>
  <c r="AO257" i="29"/>
  <c r="AH257" i="29"/>
  <c r="AQ257" i="29"/>
  <c r="AR257" i="29"/>
  <c r="AE257" i="29"/>
  <c r="AF257" i="29"/>
  <c r="AG257" i="29"/>
  <c r="AE224" i="29"/>
  <c r="AI216" i="29"/>
  <c r="AQ211" i="29"/>
  <c r="AQ224" i="29"/>
  <c r="AI211" i="29"/>
  <c r="AF220" i="29"/>
  <c r="AF216" i="29"/>
  <c r="AP216" i="29"/>
  <c r="AJ224" i="29"/>
  <c r="AR244" i="29"/>
  <c r="AQ244" i="29"/>
  <c r="AJ244" i="29"/>
  <c r="AG244" i="29"/>
  <c r="AF244" i="29"/>
  <c r="AE244" i="29"/>
  <c r="AL244" i="29"/>
  <c r="AN249" i="29"/>
  <c r="AS249" i="29"/>
  <c r="AM249" i="29"/>
  <c r="AJ249" i="29"/>
  <c r="AE249" i="29"/>
  <c r="AI249" i="29"/>
  <c r="AR249" i="29"/>
  <c r="AI253" i="29"/>
  <c r="AR253" i="29"/>
  <c r="AG253" i="29"/>
  <c r="AO253" i="29"/>
  <c r="AJ253" i="29"/>
  <c r="AS253" i="29"/>
  <c r="AM253" i="29"/>
  <c r="AN253" i="29"/>
  <c r="AJ257" i="29"/>
  <c r="AM220" i="29"/>
  <c r="AE216" i="29"/>
  <c r="AK211" i="29"/>
  <c r="AJ211" i="29"/>
  <c r="AF228" i="29"/>
  <c r="AQ220" i="29"/>
  <c r="AG211" i="29"/>
  <c r="AR229" i="29"/>
  <c r="AM229" i="29"/>
  <c r="AI229" i="29"/>
  <c r="AS229" i="29"/>
  <c r="AH229" i="29"/>
  <c r="AO229" i="29"/>
  <c r="AE229" i="29"/>
  <c r="AN234" i="29"/>
  <c r="AS234" i="29"/>
  <c r="AK234" i="29"/>
  <c r="AJ234" i="29"/>
  <c r="AD234" i="29"/>
  <c r="AG234" i="29"/>
  <c r="AP234" i="29"/>
  <c r="AL234" i="29"/>
  <c r="AH234" i="29"/>
  <c r="AF234" i="29"/>
  <c r="AP239" i="29"/>
  <c r="AK239" i="29"/>
  <c r="AG239" i="29"/>
  <c r="AI239" i="29"/>
  <c r="AQ239" i="29"/>
  <c r="AD239" i="29"/>
  <c r="AI257" i="29"/>
  <c r="AO183" i="29"/>
  <c r="AQ157" i="29"/>
  <c r="AO175" i="29"/>
  <c r="AR90" i="27"/>
  <c r="AG90" i="27"/>
  <c r="AS90" i="27"/>
  <c r="AN90" i="27"/>
  <c r="AJ90" i="27"/>
  <c r="AE90" i="27"/>
  <c r="AQ90" i="27"/>
  <c r="AD90" i="27"/>
  <c r="AP90" i="27"/>
  <c r="AK90" i="27"/>
  <c r="AS94" i="27"/>
  <c r="AP94" i="27"/>
  <c r="AK94" i="27"/>
  <c r="AM94" i="27"/>
  <c r="AQ94" i="27"/>
  <c r="AF94" i="27"/>
  <c r="AH94" i="27"/>
  <c r="AD94" i="27"/>
  <c r="AR94" i="27"/>
  <c r="AN94" i="27"/>
  <c r="AO94" i="27"/>
  <c r="AE94" i="27"/>
  <c r="AQ110" i="27"/>
  <c r="AG110" i="27"/>
  <c r="AD110" i="27"/>
  <c r="AE110" i="27"/>
  <c r="AH110" i="27"/>
  <c r="AR110" i="27"/>
  <c r="AO110" i="27"/>
  <c r="AP110" i="27"/>
  <c r="AS110" i="27"/>
  <c r="AK110" i="27"/>
  <c r="AN110" i="27"/>
  <c r="AM110" i="27"/>
  <c r="AO114" i="27"/>
  <c r="AH114" i="27"/>
  <c r="AS114" i="27"/>
  <c r="AD114" i="27"/>
  <c r="AR114" i="27"/>
  <c r="AG114" i="27"/>
  <c r="AN114" i="27"/>
  <c r="AQ114" i="27"/>
  <c r="AE114" i="27"/>
  <c r="AP114" i="27"/>
  <c r="AF114" i="27"/>
  <c r="AK118" i="27"/>
  <c r="AF118" i="27"/>
  <c r="AQ118" i="27"/>
  <c r="AP118" i="27"/>
  <c r="AD118" i="27"/>
  <c r="AR118" i="27"/>
  <c r="AS118" i="27"/>
  <c r="AO118" i="27"/>
  <c r="AN118" i="27"/>
  <c r="AM118" i="27"/>
  <c r="AG118" i="27"/>
  <c r="AR122" i="27"/>
  <c r="AS122" i="27"/>
  <c r="AN122" i="27"/>
  <c r="AM122" i="27"/>
  <c r="AG122" i="27"/>
  <c r="AO122" i="27"/>
  <c r="AJ122" i="27"/>
  <c r="AH122" i="27"/>
  <c r="AE122" i="27"/>
  <c r="AK126" i="27"/>
  <c r="AF126" i="27"/>
  <c r="AQ126" i="27"/>
  <c r="AP126" i="27"/>
  <c r="AR126" i="27"/>
  <c r="AS126" i="27"/>
  <c r="AD126" i="27"/>
  <c r="AO126" i="27"/>
  <c r="AN126" i="27"/>
  <c r="AM126" i="27"/>
  <c r="AG126" i="27"/>
  <c r="AF130" i="27"/>
  <c r="AQ130" i="27"/>
  <c r="AP130" i="27"/>
  <c r="AR130" i="27"/>
  <c r="AS130" i="27"/>
  <c r="AO130" i="27"/>
  <c r="AN130" i="27"/>
  <c r="AM130" i="27"/>
  <c r="AG130" i="27"/>
  <c r="AJ134" i="27"/>
  <c r="AH134" i="27"/>
  <c r="AG138" i="27"/>
  <c r="AN138" i="27"/>
  <c r="AK138" i="27"/>
  <c r="AK143" i="27"/>
  <c r="AD143" i="27"/>
  <c r="AF143" i="27"/>
  <c r="AJ143" i="27"/>
  <c r="AG143" i="27"/>
  <c r="AR143" i="27"/>
  <c r="AQ143" i="27"/>
  <c r="AS143" i="27"/>
  <c r="AN143" i="27"/>
  <c r="AM143" i="27"/>
  <c r="AE143" i="27"/>
  <c r="AP147" i="27"/>
  <c r="AM147" i="27"/>
  <c r="AG147" i="27"/>
  <c r="AJ147" i="27"/>
  <c r="AK147" i="27"/>
  <c r="AS151" i="27"/>
  <c r="AN151" i="27"/>
  <c r="AD151" i="27"/>
  <c r="AK151" i="27"/>
  <c r="AE151" i="27"/>
  <c r="AR151" i="27"/>
  <c r="AF151" i="27"/>
  <c r="AH151" i="27"/>
  <c r="AQ151" i="27"/>
  <c r="AJ151" i="27"/>
  <c r="AS155" i="27"/>
  <c r="AK155" i="27"/>
  <c r="AQ155" i="27"/>
  <c r="AN155" i="27"/>
  <c r="AM159" i="27"/>
  <c r="AD159" i="27"/>
  <c r="AF159" i="27"/>
  <c r="AJ159" i="27"/>
  <c r="AO159" i="27"/>
  <c r="AE159" i="27"/>
  <c r="AJ163" i="27"/>
  <c r="AJ167" i="27"/>
  <c r="AR167" i="27"/>
  <c r="AN167" i="27"/>
  <c r="AE167" i="27"/>
  <c r="AK167" i="27"/>
  <c r="AO171" i="27"/>
  <c r="AE171" i="27"/>
  <c r="AG171" i="27"/>
  <c r="AK171" i="27"/>
  <c r="AH171" i="27"/>
  <c r="AQ171" i="27"/>
  <c r="AN175" i="27"/>
  <c r="AO175" i="27"/>
  <c r="AJ175" i="27"/>
  <c r="AH175" i="27"/>
  <c r="AD175" i="27"/>
  <c r="AE179" i="27"/>
  <c r="AD179" i="27"/>
  <c r="AR179" i="27"/>
  <c r="AM179" i="27"/>
  <c r="AN179" i="27"/>
  <c r="AR183" i="27"/>
  <c r="AD183" i="27"/>
  <c r="AM183" i="27"/>
  <c r="AF183" i="27"/>
  <c r="AO183" i="27"/>
  <c r="AP183" i="27"/>
  <c r="AO98" i="27"/>
  <c r="AJ86" i="27"/>
  <c r="AJ183" i="27"/>
  <c r="AE183" i="27"/>
  <c r="AE155" i="27"/>
  <c r="AP175" i="27"/>
  <c r="AG151" i="27"/>
  <c r="AO147" i="27"/>
  <c r="AJ126" i="27"/>
  <c r="AM114" i="27"/>
  <c r="AE130" i="27"/>
  <c r="AP122" i="27"/>
  <c r="AS179" i="27"/>
  <c r="AO134" i="27"/>
  <c r="AD147" i="27"/>
  <c r="AH90" i="27"/>
  <c r="AP98" i="27"/>
  <c r="AH179" i="27"/>
  <c r="AR175" i="27"/>
  <c r="AE134" i="27"/>
  <c r="AE118" i="27"/>
  <c r="AM90" i="27"/>
  <c r="AH143" i="27"/>
  <c r="AH130" i="27"/>
  <c r="AQ122" i="27"/>
  <c r="AJ114" i="27"/>
  <c r="AJ94" i="27"/>
  <c r="AD122" i="27"/>
  <c r="AP159" i="27"/>
  <c r="AS167" i="27"/>
  <c r="AO90" i="27"/>
  <c r="AO87" i="27"/>
  <c r="AD98" i="27"/>
  <c r="AR98" i="27"/>
  <c r="AD171" i="27"/>
  <c r="AO151" i="27"/>
  <c r="AE126" i="27"/>
  <c r="AK122" i="27"/>
  <c r="AH118" i="27"/>
  <c r="AM138" i="27"/>
  <c r="AJ130" i="27"/>
  <c r="AF122" i="27"/>
  <c r="AG94" i="27"/>
  <c r="AD130" i="27"/>
  <c r="AK114" i="27"/>
  <c r="AQ62" i="27"/>
  <c r="AQ68" i="27"/>
  <c r="AN69" i="27"/>
  <c r="AN71" i="27"/>
  <c r="AQ72" i="27"/>
  <c r="AK79" i="27"/>
  <c r="AE81" i="27"/>
  <c r="AN106" i="27"/>
  <c r="AH89" i="27"/>
  <c r="AF93" i="27"/>
  <c r="AG113" i="27"/>
  <c r="AG89" i="27"/>
  <c r="AD150" i="27"/>
  <c r="AF150" i="27"/>
  <c r="AG146" i="27"/>
  <c r="AS146" i="27"/>
  <c r="AP146" i="27"/>
  <c r="AR146" i="27"/>
  <c r="AK117" i="27"/>
  <c r="AR101" i="27"/>
  <c r="AM113" i="27"/>
  <c r="AN178" i="27"/>
  <c r="AN174" i="27"/>
  <c r="AG158" i="27"/>
  <c r="AE162" i="27"/>
  <c r="AM154" i="27"/>
  <c r="AS154" i="27"/>
  <c r="AG137" i="27"/>
  <c r="AP137" i="27"/>
  <c r="AQ137" i="27"/>
  <c r="AH129" i="27"/>
  <c r="AF170" i="27"/>
  <c r="AM166" i="27"/>
  <c r="AD137" i="27"/>
  <c r="AP125" i="27"/>
  <c r="AQ9" i="27"/>
  <c r="AE42" i="27"/>
  <c r="AH76" i="27"/>
  <c r="AN76" i="27"/>
  <c r="AE77" i="27"/>
  <c r="AK178" i="27"/>
  <c r="AK174" i="27"/>
  <c r="AJ170" i="27"/>
  <c r="AO170" i="27"/>
  <c r="AG166" i="27"/>
  <c r="AK162" i="27"/>
  <c r="AQ158" i="27"/>
  <c r="AH158" i="27"/>
  <c r="AK154" i="27"/>
  <c r="AS142" i="27"/>
  <c r="AR142" i="27"/>
  <c r="AM150" i="27"/>
  <c r="AG109" i="27"/>
  <c r="AQ150" i="27"/>
  <c r="AH150" i="27"/>
  <c r="AJ150" i="27"/>
  <c r="AD146" i="27"/>
  <c r="AF146" i="27"/>
  <c r="AR158" i="27"/>
  <c r="AK133" i="27"/>
  <c r="AJ162" i="27"/>
  <c r="AS162" i="27"/>
  <c r="AN154" i="27"/>
  <c r="AK142" i="27"/>
  <c r="AK137" i="27"/>
  <c r="AH137" i="27"/>
  <c r="AS183" i="27"/>
  <c r="AJ174" i="27"/>
  <c r="AJ154" i="27"/>
  <c r="AN183" i="27"/>
  <c r="AH183" i="27"/>
  <c r="AG178" i="27"/>
  <c r="AG174" i="27"/>
  <c r="AE170" i="27"/>
  <c r="AS170" i="27"/>
  <c r="AP166" i="27"/>
  <c r="AK166" i="27"/>
  <c r="AF162" i="27"/>
  <c r="AP162" i="27"/>
  <c r="AK158" i="27"/>
  <c r="AF154" i="27"/>
  <c r="AP154" i="27"/>
  <c r="AE137" i="27"/>
  <c r="AO150" i="27"/>
  <c r="AP142" i="27"/>
  <c r="AQ142" i="27"/>
  <c r="AF142" i="27"/>
  <c r="AH93" i="27"/>
  <c r="AM146" i="27"/>
  <c r="AK150" i="27"/>
  <c r="AN150" i="27"/>
  <c r="AQ146" i="27"/>
  <c r="AH146" i="27"/>
  <c r="AJ146" i="27"/>
  <c r="AE158" i="27"/>
  <c r="AG162" i="27"/>
  <c r="AR154" i="27"/>
  <c r="AN137" i="27"/>
  <c r="AK183" i="27"/>
  <c r="AM162" i="27"/>
  <c r="AH174" i="27"/>
  <c r="AE36" i="27"/>
  <c r="AM98" i="27"/>
  <c r="AN17" i="27"/>
  <c r="AN98" i="27" s="1"/>
  <c r="AF37" i="27"/>
  <c r="AE37" i="27" s="1"/>
  <c r="AF41" i="27"/>
  <c r="AE41" i="27" s="1"/>
  <c r="AF70" i="27"/>
  <c r="AS75" i="27"/>
  <c r="AQ75" i="27"/>
  <c r="AQ77" i="27"/>
  <c r="AS77" i="27"/>
  <c r="AN136" i="27"/>
  <c r="AR174" i="27"/>
  <c r="AG141" i="27"/>
  <c r="AK141" i="27"/>
  <c r="AD141" i="27"/>
  <c r="AQ141" i="27"/>
  <c r="AJ178" i="27"/>
  <c r="AH166" i="27"/>
  <c r="AM158" i="27"/>
  <c r="AD99" i="27"/>
  <c r="AD174" i="27"/>
  <c r="AQ174" i="27"/>
  <c r="AG95" i="27"/>
  <c r="AH115" i="27"/>
  <c r="AN170" i="27"/>
  <c r="AH170" i="27"/>
  <c r="AF166" i="27"/>
  <c r="AD91" i="27"/>
  <c r="AP92" i="27"/>
  <c r="AN141" i="27"/>
  <c r="AH141" i="27"/>
  <c r="AG183" i="27"/>
  <c r="AJ115" i="27"/>
  <c r="AD166" i="27"/>
  <c r="AO162" i="27"/>
  <c r="AO158" i="27"/>
  <c r="AS99" i="27"/>
  <c r="AP99" i="27"/>
  <c r="AF174" i="27"/>
  <c r="AD95" i="27"/>
  <c r="AO115" i="27"/>
  <c r="AR166" i="27"/>
  <c r="AJ98" i="27"/>
  <c r="AL186" i="27"/>
  <c r="AS186" i="27"/>
  <c r="AO186" i="27"/>
  <c r="AE186" i="27"/>
  <c r="AI186" i="27"/>
  <c r="AK169" i="27"/>
  <c r="AF169" i="27"/>
  <c r="AS169" i="27"/>
  <c r="AR169" i="27"/>
  <c r="AO169" i="27"/>
  <c r="AM169" i="27"/>
  <c r="AG169" i="27"/>
  <c r="AG173" i="27"/>
  <c r="AP173" i="27"/>
  <c r="AR173" i="27"/>
  <c r="AM173" i="27"/>
  <c r="AQ173" i="27"/>
  <c r="AN173" i="27"/>
  <c r="AE173" i="27"/>
  <c r="AO177" i="27"/>
  <c r="AP177" i="27"/>
  <c r="AR177" i="27"/>
  <c r="AM177" i="27"/>
  <c r="AQ177" i="27"/>
  <c r="AN177" i="27"/>
  <c r="AE177" i="27"/>
  <c r="AP182" i="27"/>
  <c r="AD182" i="27"/>
  <c r="AR182" i="27"/>
  <c r="AF182" i="27"/>
  <c r="AQ182" i="27"/>
  <c r="AK182" i="27"/>
  <c r="AR185" i="27"/>
  <c r="AS185" i="27"/>
  <c r="AP185" i="27"/>
  <c r="AD185" i="27"/>
  <c r="AM185" i="27"/>
  <c r="AF185" i="27"/>
  <c r="AO185" i="27"/>
  <c r="AG185" i="27"/>
  <c r="AH185" i="27"/>
  <c r="AQ185" i="27"/>
  <c r="AJ185" i="27"/>
  <c r="AD134" i="27"/>
  <c r="AK134" i="27"/>
  <c r="AF134" i="27"/>
  <c r="AQ134" i="27"/>
  <c r="AP134" i="27"/>
  <c r="AR134" i="27"/>
  <c r="AS134" i="27"/>
  <c r="AN134" i="27"/>
  <c r="AM134" i="27"/>
  <c r="AG134" i="27"/>
  <c r="AD138" i="27"/>
  <c r="AJ138" i="27"/>
  <c r="AH138" i="27"/>
  <c r="AE138" i="27"/>
  <c r="AF138" i="27"/>
  <c r="AQ138" i="27"/>
  <c r="AP138" i="27"/>
  <c r="AR138" i="27"/>
  <c r="AS138" i="27"/>
  <c r="AO144" i="27"/>
  <c r="AP144" i="27"/>
  <c r="AF144" i="27"/>
  <c r="AK144" i="27"/>
  <c r="AN148" i="27"/>
  <c r="AD152" i="27"/>
  <c r="AF152" i="27"/>
  <c r="AE152" i="27"/>
  <c r="AH152" i="27"/>
  <c r="AN156" i="27"/>
  <c r="AO160" i="27"/>
  <c r="AP160" i="27"/>
  <c r="AS160" i="27"/>
  <c r="AF160" i="27"/>
  <c r="AG164" i="27"/>
  <c r="AE164" i="27"/>
  <c r="AQ164" i="27"/>
  <c r="AH168" i="27"/>
  <c r="AF168" i="27"/>
  <c r="AQ168" i="27"/>
  <c r="AO168" i="27"/>
  <c r="AP89" i="27"/>
  <c r="AK89" i="27"/>
  <c r="AJ89" i="27"/>
  <c r="AM89" i="27"/>
  <c r="AO89" i="27"/>
  <c r="AN89" i="27"/>
  <c r="AQ89" i="27"/>
  <c r="AS89" i="27"/>
  <c r="AR89" i="27"/>
  <c r="AD89" i="27"/>
  <c r="AP93" i="27"/>
  <c r="AM93" i="27"/>
  <c r="AK93" i="27"/>
  <c r="AJ93" i="27"/>
  <c r="AQ93" i="27"/>
  <c r="AO93" i="27"/>
  <c r="AN93" i="27"/>
  <c r="AE93" i="27"/>
  <c r="AS93" i="27"/>
  <c r="AR93" i="27"/>
  <c r="AD93" i="27"/>
  <c r="AP101" i="27"/>
  <c r="AM101" i="27"/>
  <c r="AF101" i="27"/>
  <c r="AK101" i="27"/>
  <c r="AQ101" i="27"/>
  <c r="AJ101" i="27"/>
  <c r="AO101" i="27"/>
  <c r="AD101" i="27"/>
  <c r="AE101" i="27"/>
  <c r="AN101" i="27"/>
  <c r="AS101" i="27"/>
  <c r="AH101" i="27"/>
  <c r="AP109" i="27"/>
  <c r="AF109" i="27"/>
  <c r="AK109" i="27"/>
  <c r="AJ109" i="27"/>
  <c r="AM109" i="27"/>
  <c r="AO109" i="27"/>
  <c r="AD109" i="27"/>
  <c r="AN109" i="27"/>
  <c r="AQ109" i="27"/>
  <c r="AS109" i="27"/>
  <c r="AH109" i="27"/>
  <c r="AP113" i="27"/>
  <c r="AQ113" i="27"/>
  <c r="AF113" i="27"/>
  <c r="AK113" i="27"/>
  <c r="AJ113" i="27"/>
  <c r="AO113" i="27"/>
  <c r="AD113" i="27"/>
  <c r="AE113" i="27"/>
  <c r="AN113" i="27"/>
  <c r="AS113" i="27"/>
  <c r="AH113" i="27"/>
  <c r="AE117" i="27"/>
  <c r="AQ117" i="27"/>
  <c r="AH117" i="27"/>
  <c r="AG117" i="27"/>
  <c r="AS117" i="27"/>
  <c r="AJ117" i="27"/>
  <c r="AM117" i="27"/>
  <c r="AD117" i="27"/>
  <c r="AF117" i="27"/>
  <c r="AR117" i="27"/>
  <c r="AP117" i="27"/>
  <c r="AO117" i="27"/>
  <c r="AP121" i="27"/>
  <c r="AG121" i="27"/>
  <c r="AD121" i="27"/>
  <c r="AK121" i="27"/>
  <c r="AQ121" i="27"/>
  <c r="AO121" i="27"/>
  <c r="AF121" i="27"/>
  <c r="AR121" i="27"/>
  <c r="AM121" i="27"/>
  <c r="AQ125" i="27"/>
  <c r="AF125" i="27"/>
  <c r="AS125" i="27"/>
  <c r="AN125" i="27"/>
  <c r="AG125" i="27"/>
  <c r="AM125" i="27"/>
  <c r="AJ125" i="27"/>
  <c r="AD125" i="27"/>
  <c r="AH125" i="27"/>
  <c r="AK125" i="27"/>
  <c r="AR125" i="27"/>
  <c r="AQ129" i="27"/>
  <c r="AD129" i="27"/>
  <c r="AR129" i="27"/>
  <c r="AK129" i="27"/>
  <c r="AP129" i="27"/>
  <c r="AN129" i="27"/>
  <c r="AF129" i="27"/>
  <c r="AS129" i="27"/>
  <c r="AJ129" i="27"/>
  <c r="AE129" i="27"/>
  <c r="AQ133" i="27"/>
  <c r="AO133" i="27"/>
  <c r="AE133" i="27"/>
  <c r="AN133" i="27"/>
  <c r="AF183" i="26"/>
  <c r="AQ183" i="26"/>
  <c r="AP183" i="26"/>
  <c r="AD179" i="26"/>
  <c r="AF179" i="26"/>
  <c r="AE161" i="26"/>
  <c r="AR161" i="26"/>
  <c r="AF157" i="26"/>
  <c r="AP153" i="26"/>
  <c r="AJ153" i="26"/>
  <c r="AE145" i="26"/>
  <c r="AP137" i="26"/>
  <c r="AJ137" i="26"/>
  <c r="AK133" i="26"/>
  <c r="AN133" i="26"/>
  <c r="AO183" i="26"/>
  <c r="AG153" i="26"/>
  <c r="AQ161" i="26"/>
  <c r="AD141" i="26"/>
  <c r="AO153" i="26"/>
  <c r="AN141" i="26"/>
  <c r="AJ145" i="26"/>
  <c r="AP145" i="26"/>
  <c r="AR141" i="26"/>
  <c r="AS153" i="26"/>
  <c r="AN149" i="26"/>
  <c r="AO133" i="26"/>
  <c r="AJ141" i="26"/>
  <c r="AM183" i="26"/>
  <c r="AH179" i="26"/>
  <c r="AJ179" i="26"/>
  <c r="AF161" i="26"/>
  <c r="AP157" i="26"/>
  <c r="AJ157" i="26"/>
  <c r="AK153" i="26"/>
  <c r="AN153" i="26"/>
  <c r="AE149" i="26"/>
  <c r="AM141" i="26"/>
  <c r="AK137" i="26"/>
  <c r="AN137" i="26"/>
  <c r="AE133" i="26"/>
  <c r="AR133" i="26"/>
  <c r="AS111" i="26"/>
  <c r="AR183" i="26"/>
  <c r="AK141" i="26"/>
  <c r="AH153" i="26"/>
  <c r="AS137" i="26"/>
  <c r="AQ137" i="26"/>
  <c r="AG145" i="26"/>
  <c r="AS95" i="26"/>
  <c r="AG141" i="26"/>
  <c r="AS149" i="26"/>
  <c r="AQ149" i="26"/>
  <c r="AP149" i="26"/>
  <c r="AG149" i="26"/>
  <c r="AQ133" i="26"/>
  <c r="AN183" i="26"/>
  <c r="AH183" i="26"/>
  <c r="AQ179" i="26"/>
  <c r="AO179" i="26"/>
  <c r="AN179" i="26"/>
  <c r="AP161" i="26"/>
  <c r="AJ161" i="26"/>
  <c r="AK157" i="26"/>
  <c r="AN157" i="26"/>
  <c r="AE153" i="26"/>
  <c r="AR153" i="26"/>
  <c r="AM145" i="26"/>
  <c r="AE137" i="26"/>
  <c r="AR137" i="26"/>
  <c r="AF133" i="26"/>
  <c r="AN107" i="26"/>
  <c r="AM179" i="26"/>
  <c r="AO149" i="26"/>
  <c r="AS141" i="26"/>
  <c r="AQ153" i="26"/>
  <c r="AD137" i="26"/>
  <c r="AJ149" i="26"/>
  <c r="AG133" i="26"/>
  <c r="AH145" i="26"/>
  <c r="AN145" i="26"/>
  <c r="AR145" i="26"/>
  <c r="AH149" i="26"/>
  <c r="AG157" i="26"/>
  <c r="AH133" i="26"/>
  <c r="AM133" i="26"/>
  <c r="AD145" i="26"/>
  <c r="AP141" i="26"/>
  <c r="AD133" i="26"/>
  <c r="AK184" i="26"/>
  <c r="AD184" i="26"/>
  <c r="AH124" i="26"/>
  <c r="AN124" i="26"/>
  <c r="AM144" i="26"/>
  <c r="AF156" i="26"/>
  <c r="AN144" i="26"/>
  <c r="AS128" i="26"/>
  <c r="AE120" i="26"/>
  <c r="AP107" i="26"/>
  <c r="AO125" i="26"/>
  <c r="AS99" i="26"/>
  <c r="AN99" i="26"/>
  <c r="AQ170" i="26"/>
  <c r="AM175" i="26"/>
  <c r="AE175" i="26"/>
  <c r="AK175" i="26"/>
  <c r="AS175" i="26"/>
  <c r="AN175" i="26"/>
  <c r="AO175" i="26"/>
  <c r="AQ175" i="26"/>
  <c r="AJ175" i="26"/>
  <c r="AH175" i="26"/>
  <c r="AF175" i="26"/>
  <c r="AD175" i="26"/>
  <c r="AJ180" i="26"/>
  <c r="AF180" i="26"/>
  <c r="AD180" i="26"/>
  <c r="AS180" i="26"/>
  <c r="AQ180" i="26"/>
  <c r="AO180" i="26"/>
  <c r="AR180" i="26"/>
  <c r="AE180" i="26"/>
  <c r="AH180" i="26"/>
  <c r="AP180" i="26"/>
  <c r="AG180" i="26"/>
  <c r="AO186" i="26"/>
  <c r="AF186" i="26"/>
  <c r="AQ95" i="26"/>
  <c r="AF95" i="26"/>
  <c r="AH95" i="26"/>
  <c r="AR95" i="26"/>
  <c r="AO95" i="26"/>
  <c r="AG95" i="26"/>
  <c r="AD95" i="26"/>
  <c r="AM95" i="26"/>
  <c r="AK95" i="26"/>
  <c r="AJ95" i="26"/>
  <c r="AN95" i="26"/>
  <c r="AE95" i="26"/>
  <c r="AR103" i="26"/>
  <c r="AG103" i="26"/>
  <c r="AJ103" i="26"/>
  <c r="AD103" i="26"/>
  <c r="AN103" i="26"/>
  <c r="AP103" i="26"/>
  <c r="AS103" i="26"/>
  <c r="AH103" i="26"/>
  <c r="AO103" i="26"/>
  <c r="AE103" i="26"/>
  <c r="AQ103" i="26"/>
  <c r="AM103" i="26"/>
  <c r="AQ107" i="26"/>
  <c r="AR107" i="26"/>
  <c r="AO107" i="26"/>
  <c r="AJ107" i="26"/>
  <c r="AK107" i="26"/>
  <c r="AS107" i="26"/>
  <c r="AH107" i="26"/>
  <c r="AD107" i="26"/>
  <c r="AE107" i="26"/>
  <c r="AF107" i="26"/>
  <c r="AG107" i="26"/>
  <c r="AR115" i="26"/>
  <c r="AK115" i="26"/>
  <c r="AG115" i="26"/>
  <c r="AO115" i="26"/>
  <c r="AH115" i="26"/>
  <c r="AJ115" i="26"/>
  <c r="AD115" i="26"/>
  <c r="AF115" i="26"/>
  <c r="AQ115" i="26"/>
  <c r="AP115" i="26"/>
  <c r="AS115" i="26"/>
  <c r="AM115" i="26"/>
  <c r="AS186" i="26"/>
  <c r="AJ186" i="26"/>
  <c r="AH186" i="26"/>
  <c r="AM186" i="26"/>
  <c r="AG186" i="26"/>
  <c r="AN186" i="26"/>
  <c r="AL186" i="26"/>
  <c r="AQ186" i="26"/>
  <c r="AK186" i="26"/>
  <c r="AE186" i="26"/>
  <c r="AP186" i="26"/>
  <c r="AD186" i="26"/>
  <c r="AI186" i="26"/>
  <c r="AM99" i="26"/>
  <c r="AN115" i="26"/>
  <c r="AR155" i="26"/>
  <c r="AO155" i="26"/>
  <c r="AG155" i="26"/>
  <c r="AD155" i="26"/>
  <c r="AF155" i="26"/>
  <c r="AP155" i="26"/>
  <c r="AS155" i="26"/>
  <c r="AM155" i="26"/>
  <c r="AJ155" i="26"/>
  <c r="AE155" i="26"/>
  <c r="AN155" i="26"/>
  <c r="AN160" i="26"/>
  <c r="AR160" i="26"/>
  <c r="AS160" i="26"/>
  <c r="AQ160" i="26"/>
  <c r="AG160" i="26"/>
  <c r="AP160" i="26"/>
  <c r="AO160" i="26"/>
  <c r="AF160" i="26"/>
  <c r="AE160" i="26"/>
  <c r="AH160" i="26"/>
  <c r="AJ160" i="26"/>
  <c r="AK160" i="26"/>
  <c r="AM160" i="26"/>
  <c r="AQ165" i="26"/>
  <c r="AD165" i="26"/>
  <c r="AK165" i="26"/>
  <c r="AP165" i="26"/>
  <c r="AF165" i="26"/>
  <c r="AE165" i="26"/>
  <c r="AR165" i="26"/>
  <c r="AS165" i="26"/>
  <c r="AG165" i="26"/>
  <c r="AN165" i="26"/>
  <c r="AM165" i="26"/>
  <c r="AO165" i="26"/>
  <c r="AE169" i="26"/>
  <c r="AR169" i="26"/>
  <c r="AO169" i="26"/>
  <c r="AM169" i="26"/>
  <c r="AQ169" i="26"/>
  <c r="AN169" i="26"/>
  <c r="AH169" i="26"/>
  <c r="AP169" i="26"/>
  <c r="AJ169" i="26"/>
  <c r="AD169" i="26"/>
  <c r="AG169" i="26"/>
  <c r="AH91" i="26"/>
  <c r="AD91" i="26"/>
  <c r="AM91" i="26"/>
  <c r="AR99" i="26"/>
  <c r="AG99" i="26"/>
  <c r="AK99" i="26"/>
  <c r="AJ99" i="26"/>
  <c r="AF99" i="26"/>
  <c r="AP99" i="26"/>
  <c r="AH99" i="26"/>
  <c r="AE99" i="26"/>
  <c r="AD99" i="26"/>
  <c r="AQ111" i="26"/>
  <c r="AJ111" i="26"/>
  <c r="AH111" i="26"/>
  <c r="AR111" i="26"/>
  <c r="AD111" i="26"/>
  <c r="AF111" i="26"/>
  <c r="AE111" i="26"/>
  <c r="AN111" i="26"/>
  <c r="AG111" i="26"/>
  <c r="AP111" i="26"/>
  <c r="AM111" i="26"/>
  <c r="AO111" i="26"/>
  <c r="AK120" i="26"/>
  <c r="AJ120" i="26"/>
  <c r="AF120" i="26"/>
  <c r="AS120" i="26"/>
  <c r="AO120" i="26"/>
  <c r="AH120" i="26"/>
  <c r="AP120" i="26"/>
  <c r="AG120" i="26"/>
  <c r="AM120" i="26"/>
  <c r="AQ120" i="26"/>
  <c r="AD120" i="26"/>
  <c r="AS125" i="26"/>
  <c r="AH125" i="26"/>
  <c r="AM125" i="26"/>
  <c r="AD125" i="26"/>
  <c r="AF125" i="26"/>
  <c r="AR125" i="26"/>
  <c r="AE125" i="26"/>
  <c r="AN125" i="26"/>
  <c r="AK125" i="26"/>
  <c r="AG129" i="26"/>
  <c r="AM129" i="26"/>
  <c r="AD129" i="26"/>
  <c r="AO129" i="26"/>
  <c r="AS129" i="26"/>
  <c r="AR129" i="26"/>
  <c r="AE129" i="26"/>
  <c r="AQ129" i="26"/>
  <c r="AN129" i="26"/>
  <c r="AK129" i="26"/>
  <c r="AH129" i="26"/>
  <c r="AJ129" i="26"/>
  <c r="AP129" i="26"/>
  <c r="AJ125" i="26"/>
  <c r="AO99" i="26"/>
  <c r="AF103" i="26"/>
  <c r="AG130" i="26"/>
  <c r="AM142" i="26"/>
  <c r="AF146" i="26"/>
  <c r="AE90" i="26"/>
  <c r="AE110" i="26"/>
  <c r="AQ119" i="26"/>
  <c r="AO119" i="26"/>
  <c r="AQ124" i="26"/>
  <c r="AR124" i="26"/>
  <c r="AJ124" i="26"/>
  <c r="AG124" i="26"/>
  <c r="AK124" i="26"/>
  <c r="AK185" i="26"/>
  <c r="AR185" i="26"/>
  <c r="AG185" i="26"/>
  <c r="AD185" i="26"/>
  <c r="AO124" i="26"/>
  <c r="AF185" i="26"/>
  <c r="AQ184" i="26"/>
  <c r="AH184" i="26"/>
  <c r="AS184" i="26"/>
  <c r="AG184" i="26"/>
  <c r="AM184" i="26"/>
  <c r="AS124" i="26"/>
  <c r="AJ131" i="26"/>
  <c r="AO131" i="26"/>
  <c r="AE131" i="26"/>
  <c r="AO135" i="26"/>
  <c r="AD135" i="26"/>
  <c r="AR135" i="26"/>
  <c r="AQ135" i="26"/>
  <c r="AE139" i="26"/>
  <c r="AR139" i="26"/>
  <c r="AM139" i="26"/>
  <c r="AM143" i="26"/>
  <c r="AF143" i="26"/>
  <c r="AE147" i="26"/>
  <c r="AJ147" i="26"/>
  <c r="AQ156" i="26"/>
  <c r="AS156" i="26"/>
  <c r="AN156" i="26"/>
  <c r="AR156" i="26"/>
  <c r="AG156" i="26"/>
  <c r="AJ156" i="26"/>
  <c r="AK156" i="26"/>
  <c r="AD161" i="26"/>
  <c r="AO161" i="26"/>
  <c r="AG161" i="26"/>
  <c r="AM161" i="26"/>
  <c r="AH161" i="26"/>
  <c r="AN171" i="26"/>
  <c r="AO171" i="26"/>
  <c r="AR171" i="26"/>
  <c r="AG171" i="26"/>
  <c r="AJ171" i="26"/>
  <c r="AF176" i="26"/>
  <c r="AD176" i="26"/>
  <c r="AN176" i="26"/>
  <c r="AH176" i="26"/>
  <c r="AJ176" i="26"/>
  <c r="AN21" i="25"/>
  <c r="AN83" i="25" s="1"/>
  <c r="AP169" i="25"/>
  <c r="AJ104" i="25"/>
  <c r="AF100" i="25"/>
  <c r="AP108" i="25"/>
  <c r="AK108" i="25"/>
  <c r="AF92" i="25"/>
  <c r="AP92" i="25"/>
  <c r="AF88" i="25"/>
  <c r="AP88" i="25"/>
  <c r="AD137" i="25"/>
  <c r="AH96" i="25"/>
  <c r="AJ96" i="25"/>
  <c r="AE92" i="25"/>
  <c r="AP133" i="25"/>
  <c r="AR108" i="25"/>
  <c r="AM88" i="25"/>
  <c r="AR141" i="25"/>
  <c r="AM96" i="25"/>
  <c r="AE161" i="25"/>
  <c r="AG100" i="25"/>
  <c r="AR100" i="25"/>
  <c r="AG145" i="25"/>
  <c r="AM92" i="25"/>
  <c r="AK104" i="25"/>
  <c r="AF108" i="25"/>
  <c r="AE47" i="25"/>
  <c r="AQ165" i="25"/>
  <c r="AE145" i="25"/>
  <c r="AO161" i="25"/>
  <c r="AF104" i="25"/>
  <c r="AE104" i="25"/>
  <c r="AE100" i="25"/>
  <c r="AJ108" i="25"/>
  <c r="AO108" i="25"/>
  <c r="AH104" i="25"/>
  <c r="AH100" i="25"/>
  <c r="AD92" i="25"/>
  <c r="AR92" i="25"/>
  <c r="AD88" i="25"/>
  <c r="AS129" i="25"/>
  <c r="AO96" i="25"/>
  <c r="AN96" i="25"/>
  <c r="AG133" i="25"/>
  <c r="AM108" i="25"/>
  <c r="AD108" i="25"/>
  <c r="AN88" i="25"/>
  <c r="AO88" i="25"/>
  <c r="AO141" i="25"/>
  <c r="AE96" i="25"/>
  <c r="AK100" i="25"/>
  <c r="AD145" i="25"/>
  <c r="AG92" i="25"/>
  <c r="AO104" i="25"/>
  <c r="AE64" i="25"/>
  <c r="AQ12" i="25"/>
  <c r="AF173" i="25"/>
  <c r="AR165" i="25"/>
  <c r="AN161" i="25"/>
  <c r="AR104" i="25"/>
  <c r="AN100" i="25"/>
  <c r="AQ104" i="25"/>
  <c r="AQ100" i="25"/>
  <c r="AE116" i="25"/>
  <c r="AE108" i="25"/>
  <c r="AS108" i="25"/>
  <c r="AD104" i="25"/>
  <c r="AD100" i="25"/>
  <c r="AJ121" i="25"/>
  <c r="AQ92" i="25"/>
  <c r="AH92" i="25"/>
  <c r="AQ88" i="25"/>
  <c r="AH88" i="25"/>
  <c r="AJ137" i="25"/>
  <c r="AG96" i="25"/>
  <c r="AP96" i="25"/>
  <c r="AR96" i="25"/>
  <c r="AJ88" i="25"/>
  <c r="AN133" i="25"/>
  <c r="AN108" i="25"/>
  <c r="AG88" i="25"/>
  <c r="AQ96" i="25"/>
  <c r="AQ145" i="25"/>
  <c r="AN92" i="25"/>
  <c r="AS104" i="25"/>
  <c r="AP95" i="25"/>
  <c r="AN26" i="25"/>
  <c r="AQ28" i="25"/>
  <c r="AQ30" i="25"/>
  <c r="AJ95" i="25"/>
  <c r="AM141" i="25"/>
  <c r="AS173" i="25"/>
  <c r="AJ169" i="25"/>
  <c r="AH165" i="25"/>
  <c r="AG161" i="25"/>
  <c r="AR161" i="25"/>
  <c r="AP161" i="25"/>
  <c r="AN107" i="25"/>
  <c r="AF136" i="25"/>
  <c r="AG136" i="25"/>
  <c r="AP132" i="25"/>
  <c r="AK132" i="25"/>
  <c r="AG128" i="25"/>
  <c r="AE124" i="25"/>
  <c r="AE120" i="25"/>
  <c r="AK99" i="25"/>
  <c r="AJ91" i="25"/>
  <c r="AO91" i="25"/>
  <c r="AE87" i="25"/>
  <c r="AN137" i="25"/>
  <c r="AR137" i="25"/>
  <c r="AK137" i="25"/>
  <c r="AH137" i="25"/>
  <c r="AM91" i="25"/>
  <c r="AM87" i="25"/>
  <c r="AN99" i="25"/>
  <c r="AM128" i="25"/>
  <c r="AH136" i="25"/>
  <c r="AO115" i="25"/>
  <c r="AJ141" i="25"/>
  <c r="AF141" i="25"/>
  <c r="AK161" i="25"/>
  <c r="AJ145" i="25"/>
  <c r="AR145" i="25"/>
  <c r="AO145" i="25"/>
  <c r="AM132" i="25"/>
  <c r="AD132" i="25"/>
  <c r="AK165" i="25"/>
  <c r="AR99" i="25"/>
  <c r="AP136" i="25"/>
  <c r="AD95" i="25"/>
  <c r="AR95" i="25"/>
  <c r="AM145" i="25"/>
  <c r="AP173" i="25"/>
  <c r="AH169" i="25"/>
  <c r="AJ165" i="25"/>
  <c r="AF161" i="25"/>
  <c r="AD161" i="25"/>
  <c r="AE99" i="25"/>
  <c r="AF115" i="25"/>
  <c r="AJ136" i="25"/>
  <c r="AK136" i="25"/>
  <c r="AJ132" i="25"/>
  <c r="AO132" i="25"/>
  <c r="AP128" i="25"/>
  <c r="AK128" i="25"/>
  <c r="AK124" i="25"/>
  <c r="AS120" i="25"/>
  <c r="AG99" i="25"/>
  <c r="AE91" i="25"/>
  <c r="AS91" i="25"/>
  <c r="AK87" i="25"/>
  <c r="AD91" i="25"/>
  <c r="AE137" i="25"/>
  <c r="AO137" i="25"/>
  <c r="AH91" i="25"/>
  <c r="AH87" i="25"/>
  <c r="AO177" i="25"/>
  <c r="AN128" i="25"/>
  <c r="AR128" i="25"/>
  <c r="AK141" i="25"/>
  <c r="AN141" i="25"/>
  <c r="AP141" i="25"/>
  <c r="AS161" i="25"/>
  <c r="AK145" i="25"/>
  <c r="AF145" i="25"/>
  <c r="AH132" i="25"/>
  <c r="AR132" i="25"/>
  <c r="AQ87" i="25"/>
  <c r="AD99" i="25"/>
  <c r="AJ99" i="25"/>
  <c r="AN91" i="25"/>
  <c r="AM165" i="25"/>
  <c r="AM95" i="25"/>
  <c r="AQ161" i="25"/>
  <c r="AE141" i="25"/>
  <c r="AO169" i="25"/>
  <c r="AJ161" i="25"/>
  <c r="AH161" i="25"/>
  <c r="AP111" i="25"/>
  <c r="AM136" i="25"/>
  <c r="AN136" i="25"/>
  <c r="AO136" i="25"/>
  <c r="AE132" i="25"/>
  <c r="AS132" i="25"/>
  <c r="AJ128" i="25"/>
  <c r="AO128" i="25"/>
  <c r="AS99" i="25"/>
  <c r="AG91" i="25"/>
  <c r="AP87" i="25"/>
  <c r="AQ137" i="25"/>
  <c r="AM137" i="25"/>
  <c r="AS137" i="25"/>
  <c r="AP137" i="25"/>
  <c r="AN177" i="25"/>
  <c r="AQ136" i="25"/>
  <c r="AD128" i="25"/>
  <c r="AD120" i="25"/>
  <c r="AM173" i="25"/>
  <c r="AG141" i="25"/>
  <c r="AD141" i="25"/>
  <c r="AQ141" i="25"/>
  <c r="AS145" i="25"/>
  <c r="AN145" i="25"/>
  <c r="AN132" i="25"/>
  <c r="AS177" i="25"/>
  <c r="AQ66" i="25"/>
  <c r="AH72" i="25"/>
  <c r="AE60" i="25"/>
  <c r="AF23" i="25"/>
  <c r="AE23" i="25" s="1"/>
  <c r="AN48" i="25"/>
  <c r="AG168" i="25"/>
  <c r="AG164" i="25"/>
  <c r="AF159" i="25"/>
  <c r="AP159" i="25"/>
  <c r="AJ159" i="25"/>
  <c r="AJ173" i="25"/>
  <c r="AD173" i="25"/>
  <c r="AN159" i="25"/>
  <c r="AK146" i="25"/>
  <c r="AN146" i="25"/>
  <c r="AE155" i="25"/>
  <c r="AS155" i="25"/>
  <c r="AP155" i="25"/>
  <c r="AE151" i="25"/>
  <c r="AR151" i="25"/>
  <c r="AS151" i="25"/>
  <c r="AD146" i="25"/>
  <c r="AQ142" i="25"/>
  <c r="AS142" i="25"/>
  <c r="AF142" i="25"/>
  <c r="AE107" i="25"/>
  <c r="AR107" i="25"/>
  <c r="AG116" i="25"/>
  <c r="AF133" i="25"/>
  <c r="AR98" i="25"/>
  <c r="AS98" i="25"/>
  <c r="AP98" i="25"/>
  <c r="AO90" i="25"/>
  <c r="AE90" i="25"/>
  <c r="AR90" i="25"/>
  <c r="AM90" i="25"/>
  <c r="AM86" i="25"/>
  <c r="AD129" i="25"/>
  <c r="AQ98" i="25"/>
  <c r="AQ90" i="25"/>
  <c r="AM133" i="25"/>
  <c r="AS133" i="25"/>
  <c r="AD133" i="25"/>
  <c r="AE86" i="25"/>
  <c r="AR86" i="25"/>
  <c r="AK177" i="25"/>
  <c r="AJ177" i="25"/>
  <c r="AO160" i="25"/>
  <c r="AK160" i="25"/>
  <c r="AF168" i="25"/>
  <c r="AQ146" i="25"/>
  <c r="AJ164" i="25"/>
  <c r="AH164" i="25"/>
  <c r="AP142" i="25"/>
  <c r="AP151" i="25"/>
  <c r="AH160" i="25"/>
  <c r="AR159" i="25"/>
  <c r="AE168" i="25"/>
  <c r="AE164" i="25"/>
  <c r="AE160" i="25"/>
  <c r="AK173" i="25"/>
  <c r="AD159" i="25"/>
  <c r="AQ173" i="25"/>
  <c r="AE159" i="25"/>
  <c r="AO173" i="25"/>
  <c r="AN173" i="25"/>
  <c r="AH173" i="25"/>
  <c r="AE146" i="25"/>
  <c r="AR146" i="25"/>
  <c r="AF155" i="25"/>
  <c r="AG155" i="25"/>
  <c r="AF151" i="25"/>
  <c r="AG151" i="25"/>
  <c r="AM138" i="25"/>
  <c r="AS146" i="25"/>
  <c r="AK142" i="25"/>
  <c r="AG107" i="25"/>
  <c r="AG142" i="25"/>
  <c r="AD142" i="25"/>
  <c r="AJ142" i="25"/>
  <c r="AF107" i="25"/>
  <c r="AE142" i="25"/>
  <c r="AP116" i="25"/>
  <c r="AK116" i="25"/>
  <c r="AD107" i="25"/>
  <c r="AK121" i="25"/>
  <c r="AF98" i="25"/>
  <c r="AG98" i="25"/>
  <c r="AD98" i="25"/>
  <c r="AD86" i="25"/>
  <c r="AF90" i="25"/>
  <c r="AM125" i="25"/>
  <c r="AH90" i="25"/>
  <c r="AH86" i="25"/>
  <c r="AQ133" i="25"/>
  <c r="AG86" i="25"/>
  <c r="AR133" i="25"/>
  <c r="AE133" i="25"/>
  <c r="AH133" i="25"/>
  <c r="AF86" i="25"/>
  <c r="AG177" i="25"/>
  <c r="AF177" i="25"/>
  <c r="AE177" i="25"/>
  <c r="AD160" i="25"/>
  <c r="AR168" i="25"/>
  <c r="AP160" i="25"/>
  <c r="AM98" i="25"/>
  <c r="AQ155" i="25"/>
  <c r="AO146" i="25"/>
  <c r="AR164" i="25"/>
  <c r="AS164" i="25"/>
  <c r="AQ151" i="25"/>
  <c r="AR160" i="25"/>
  <c r="AH177" i="25"/>
  <c r="AD151" i="25"/>
  <c r="AE24" i="25"/>
  <c r="AO168" i="25"/>
  <c r="AO164" i="25"/>
  <c r="AQ168" i="25"/>
  <c r="AQ164" i="25"/>
  <c r="AQ159" i="25"/>
  <c r="AH159" i="25"/>
  <c r="AG173" i="25"/>
  <c r="AR173" i="25"/>
  <c r="AF146" i="25"/>
  <c r="AJ155" i="25"/>
  <c r="AK155" i="25"/>
  <c r="AJ151" i="25"/>
  <c r="AK151" i="25"/>
  <c r="AM146" i="25"/>
  <c r="AH142" i="25"/>
  <c r="AP107" i="25"/>
  <c r="AJ107" i="25"/>
  <c r="AJ116" i="25"/>
  <c r="AO116" i="25"/>
  <c r="AJ98" i="25"/>
  <c r="AK98" i="25"/>
  <c r="AH98" i="25"/>
  <c r="AD90" i="25"/>
  <c r="AP90" i="25"/>
  <c r="AJ90" i="25"/>
  <c r="AM129" i="25"/>
  <c r="AG90" i="25"/>
  <c r="AK133" i="25"/>
  <c r="AJ133" i="25"/>
  <c r="AP86" i="25"/>
  <c r="AR177" i="25"/>
  <c r="AQ177" i="25"/>
  <c r="AN160" i="25"/>
  <c r="AF160" i="25"/>
  <c r="AN116" i="25"/>
  <c r="AD155" i="25"/>
  <c r="AN164" i="25"/>
  <c r="AM159" i="25"/>
  <c r="AF116" i="25"/>
  <c r="AD177" i="25"/>
  <c r="AS160" i="25"/>
  <c r="AJ160" i="25"/>
  <c r="AG160" i="25"/>
  <c r="AO183" i="25"/>
  <c r="AS183" i="25"/>
  <c r="AP183" i="25"/>
  <c r="AQ183" i="25"/>
  <c r="AN183" i="25"/>
  <c r="AR183" i="25"/>
  <c r="AG183" i="25"/>
  <c r="AM183" i="25"/>
  <c r="AO144" i="25"/>
  <c r="AD144" i="25"/>
  <c r="AG144" i="25"/>
  <c r="AS144" i="25"/>
  <c r="AE144" i="25"/>
  <c r="AP144" i="25"/>
  <c r="AF144" i="25"/>
  <c r="AM144" i="25"/>
  <c r="AN144" i="25"/>
  <c r="AK144" i="25"/>
  <c r="AR144" i="25"/>
  <c r="AH144" i="25"/>
  <c r="AQ144" i="25"/>
  <c r="AR149" i="25"/>
  <c r="AQ149" i="25"/>
  <c r="AJ153" i="25"/>
  <c r="AF153" i="25"/>
  <c r="AN153" i="25"/>
  <c r="AM153" i="25"/>
  <c r="AO153" i="25"/>
  <c r="AG153" i="25"/>
  <c r="AQ153" i="25"/>
  <c r="AR153" i="25"/>
  <c r="AH153" i="25"/>
  <c r="AK153" i="25"/>
  <c r="AE153" i="25"/>
  <c r="AD153" i="25"/>
  <c r="AS153" i="25"/>
  <c r="AP153" i="25"/>
  <c r="AS157" i="25"/>
  <c r="AH157" i="25"/>
  <c r="AJ157" i="25"/>
  <c r="AP157" i="25"/>
  <c r="AD157" i="25"/>
  <c r="AF157" i="25"/>
  <c r="AQ157" i="25"/>
  <c r="AM157" i="25"/>
  <c r="AO157" i="25"/>
  <c r="AR157" i="25"/>
  <c r="AE157" i="25"/>
  <c r="AN157" i="25"/>
  <c r="AG157" i="25"/>
  <c r="AK157" i="25"/>
  <c r="AN162" i="25"/>
  <c r="AP162" i="25"/>
  <c r="AD162" i="25"/>
  <c r="AQ162" i="25"/>
  <c r="AR162" i="25"/>
  <c r="AO162" i="25"/>
  <c r="AH162" i="25"/>
  <c r="AJ162" i="25"/>
  <c r="AS162" i="25"/>
  <c r="AE162" i="25"/>
  <c r="AK162" i="25"/>
  <c r="AF162" i="25"/>
  <c r="AJ166" i="25"/>
  <c r="AN166" i="25"/>
  <c r="AR166" i="25"/>
  <c r="AQ166" i="25"/>
  <c r="AD166" i="25"/>
  <c r="AO166" i="25"/>
  <c r="AH166" i="25"/>
  <c r="AF166" i="25"/>
  <c r="AP166" i="25"/>
  <c r="AS166" i="25"/>
  <c r="AM166" i="25"/>
  <c r="AG166" i="25"/>
  <c r="AK166" i="25"/>
  <c r="AQ171" i="25"/>
  <c r="AS171" i="25"/>
  <c r="AJ171" i="25"/>
  <c r="AH171" i="25"/>
  <c r="AE171" i="25"/>
  <c r="AF171" i="25"/>
  <c r="AD171" i="25"/>
  <c r="AR171" i="25"/>
  <c r="AP171" i="25"/>
  <c r="AG171" i="25"/>
  <c r="AM171" i="25"/>
  <c r="AK171" i="25"/>
  <c r="AN171" i="25"/>
  <c r="AS175" i="25"/>
  <c r="AO175" i="25"/>
  <c r="AQ175" i="25"/>
  <c r="AN175" i="25"/>
  <c r="AK175" i="25"/>
  <c r="AP175" i="25"/>
  <c r="AE175" i="25"/>
  <c r="AH175" i="25"/>
  <c r="AF175" i="25"/>
  <c r="AM175" i="25"/>
  <c r="AJ175" i="25"/>
  <c r="AR175" i="25"/>
  <c r="AK179" i="25"/>
  <c r="AH179" i="25"/>
  <c r="AF179" i="25"/>
  <c r="AM179" i="25"/>
  <c r="AR179" i="25"/>
  <c r="AO179" i="25"/>
  <c r="AQ179" i="25"/>
  <c r="AG179" i="25"/>
  <c r="AD179" i="25"/>
  <c r="AE179" i="25"/>
  <c r="AS179" i="25"/>
  <c r="AN179" i="25"/>
  <c r="AP179" i="25"/>
  <c r="AK183" i="25"/>
  <c r="AN130" i="25"/>
  <c r="AQ130" i="25"/>
  <c r="AP130" i="25"/>
  <c r="AE130" i="25"/>
  <c r="AO130" i="25"/>
  <c r="AD130" i="25"/>
  <c r="AH130" i="25"/>
  <c r="AJ130" i="25"/>
  <c r="AG130" i="25"/>
  <c r="AK130" i="25"/>
  <c r="AM130" i="25"/>
  <c r="AR134" i="25"/>
  <c r="AO134" i="25"/>
  <c r="AH134" i="25"/>
  <c r="AG134" i="25"/>
  <c r="AD134" i="25"/>
  <c r="AM134" i="25"/>
  <c r="AP134" i="25"/>
  <c r="AN134" i="25"/>
  <c r="AK134" i="25"/>
  <c r="AD139" i="25"/>
  <c r="AS139" i="25"/>
  <c r="AP139" i="25"/>
  <c r="AH139" i="25"/>
  <c r="AQ139" i="25"/>
  <c r="AN139" i="25"/>
  <c r="AG139" i="25"/>
  <c r="AE139" i="25"/>
  <c r="AF139" i="25"/>
  <c r="AR182" i="25"/>
  <c r="AH182" i="25"/>
  <c r="AQ182" i="25"/>
  <c r="AJ182" i="25"/>
  <c r="AE182" i="25"/>
  <c r="AN182" i="25"/>
  <c r="AG182" i="25"/>
  <c r="AO182" i="25"/>
  <c r="AP182" i="25"/>
  <c r="AF121" i="25"/>
  <c r="AQ121" i="25"/>
  <c r="AH121" i="25"/>
  <c r="AE121" i="25"/>
  <c r="AR121" i="25"/>
  <c r="AD121" i="25"/>
  <c r="AS121" i="25"/>
  <c r="AM121" i="25"/>
  <c r="AP121" i="25"/>
  <c r="AO121" i="25"/>
  <c r="AN121" i="25"/>
  <c r="AG121" i="25"/>
  <c r="AF125" i="25"/>
  <c r="AP125" i="25"/>
  <c r="AO125" i="25"/>
  <c r="AN125" i="25"/>
  <c r="AG125" i="25"/>
  <c r="AQ125" i="25"/>
  <c r="AJ125" i="25"/>
  <c r="AK125" i="25"/>
  <c r="AH125" i="25"/>
  <c r="AE125" i="25"/>
  <c r="AR125" i="25"/>
  <c r="AF129" i="25"/>
  <c r="AP129" i="25"/>
  <c r="AO129" i="25"/>
  <c r="AN129" i="25"/>
  <c r="AG129" i="25"/>
  <c r="AJ129" i="25"/>
  <c r="AK129" i="25"/>
  <c r="AH129" i="25"/>
  <c r="AE129" i="25"/>
  <c r="AR129" i="25"/>
  <c r="AE181" i="25"/>
  <c r="AQ181" i="25"/>
  <c r="AO181" i="25"/>
  <c r="AS181" i="25"/>
  <c r="AP85" i="25"/>
  <c r="AS85" i="25"/>
  <c r="AK85" i="25"/>
  <c r="AQ85" i="25"/>
  <c r="AF85" i="25"/>
  <c r="AH85" i="25"/>
  <c r="AE85" i="25"/>
  <c r="AR85" i="25"/>
  <c r="AO85" i="25"/>
  <c r="AN85" i="25"/>
  <c r="AO89" i="25"/>
  <c r="AG89" i="25"/>
  <c r="AK89" i="25"/>
  <c r="AE89" i="25"/>
  <c r="AQ89" i="25"/>
  <c r="AD89" i="25"/>
  <c r="AJ89" i="25"/>
  <c r="AS89" i="25"/>
  <c r="AP89" i="25"/>
  <c r="AN89" i="25"/>
  <c r="AH89" i="25"/>
  <c r="AM89" i="25"/>
  <c r="AJ97" i="25"/>
  <c r="AS97" i="25"/>
  <c r="AO97" i="25"/>
  <c r="AG97" i="25"/>
  <c r="AH97" i="25"/>
  <c r="AQ97" i="25"/>
  <c r="AD97" i="25"/>
  <c r="AM97" i="25"/>
  <c r="AK97" i="25"/>
  <c r="AP97" i="25"/>
  <c r="AN97" i="25"/>
  <c r="AQ106" i="25"/>
  <c r="AG106" i="25"/>
  <c r="AM106" i="25"/>
  <c r="AR106" i="25"/>
  <c r="AH106" i="25"/>
  <c r="AS106" i="25"/>
  <c r="AE106" i="25"/>
  <c r="AR111" i="25"/>
  <c r="AO111" i="25"/>
  <c r="AE111" i="25"/>
  <c r="AS115" i="25"/>
  <c r="AH115" i="25"/>
  <c r="AD115" i="25"/>
  <c r="AR115" i="25"/>
  <c r="AE115" i="25"/>
  <c r="AM115" i="25"/>
  <c r="AN115" i="25"/>
  <c r="AK115" i="25"/>
  <c r="AG115" i="25"/>
  <c r="AJ115" i="25"/>
  <c r="AP115" i="25"/>
  <c r="AQ120" i="25"/>
  <c r="AO120" i="25"/>
  <c r="AJ120" i="25"/>
  <c r="AN120" i="25"/>
  <c r="AF120" i="25"/>
  <c r="AH120" i="25"/>
  <c r="AK120" i="25"/>
  <c r="AP120" i="25"/>
  <c r="AM120" i="25"/>
  <c r="AR120" i="25"/>
  <c r="AG120" i="25"/>
  <c r="AR118" i="25"/>
  <c r="AD118" i="25"/>
  <c r="AN255" i="24"/>
  <c r="AE240" i="24"/>
  <c r="AE254" i="24"/>
  <c r="AQ254" i="24"/>
  <c r="AH257" i="24"/>
  <c r="AO217" i="22"/>
  <c r="AP217" i="22"/>
  <c r="AF217" i="22"/>
  <c r="AN217" i="22"/>
  <c r="AE217" i="22"/>
  <c r="AK217" i="22"/>
  <c r="AS217" i="22"/>
  <c r="AJ217" i="22"/>
  <c r="AH217" i="22"/>
  <c r="AQ217" i="22"/>
  <c r="AO221" i="22"/>
  <c r="AJ221" i="22"/>
  <c r="AK221" i="22"/>
  <c r="AN221" i="22"/>
  <c r="AM221" i="22"/>
  <c r="AR221" i="22"/>
  <c r="AH221" i="22"/>
  <c r="AQ221" i="22"/>
  <c r="AS221" i="22"/>
  <c r="AD221" i="22"/>
  <c r="AM225" i="22"/>
  <c r="AO225" i="22"/>
  <c r="AK225" i="22"/>
  <c r="AR225" i="22"/>
  <c r="AH225" i="22"/>
  <c r="AE225" i="22"/>
  <c r="AD225" i="22"/>
  <c r="AJ229" i="22"/>
  <c r="AS229" i="22"/>
  <c r="AQ233" i="22"/>
  <c r="AK233" i="22"/>
  <c r="AM233" i="22"/>
  <c r="AM241" i="22"/>
  <c r="AK241" i="22"/>
  <c r="AE78" i="22"/>
  <c r="AE26" i="22"/>
  <c r="AE103" i="22"/>
  <c r="AE32" i="22"/>
  <c r="AP233" i="22"/>
  <c r="AP225" i="22"/>
  <c r="AD217" i="22"/>
  <c r="AM217" i="22"/>
  <c r="AR160" i="22"/>
  <c r="AD160" i="22"/>
  <c r="AG160" i="22"/>
  <c r="AE160" i="22"/>
  <c r="AF160" i="22"/>
  <c r="AH160" i="22"/>
  <c r="AK160" i="22"/>
  <c r="AJ160" i="22"/>
  <c r="AO160" i="22"/>
  <c r="AQ160" i="22"/>
  <c r="AN160" i="22"/>
  <c r="AS164" i="22"/>
  <c r="AE164" i="22"/>
  <c r="AJ164" i="22"/>
  <c r="AR164" i="22"/>
  <c r="AG164" i="22"/>
  <c r="AN164" i="22"/>
  <c r="AH164" i="22"/>
  <c r="AP164" i="22"/>
  <c r="AK164" i="22"/>
  <c r="AM164" i="22"/>
  <c r="AR168" i="22"/>
  <c r="AD168" i="22"/>
  <c r="AK168" i="22"/>
  <c r="AE168" i="22"/>
  <c r="AH168" i="22"/>
  <c r="AO168" i="22"/>
  <c r="AF168" i="22"/>
  <c r="AP168" i="22"/>
  <c r="AS168" i="22"/>
  <c r="AM168" i="22"/>
  <c r="AJ168" i="22"/>
  <c r="AD172" i="22"/>
  <c r="AR172" i="22"/>
  <c r="AG172" i="22"/>
  <c r="AM172" i="22"/>
  <c r="AF172" i="22"/>
  <c r="AP172" i="22"/>
  <c r="AK172" i="22"/>
  <c r="AJ172" i="22"/>
  <c r="AO172" i="22"/>
  <c r="AN172" i="22"/>
  <c r="AS196" i="22"/>
  <c r="AR196" i="22"/>
  <c r="AQ196" i="22"/>
  <c r="AM196" i="22"/>
  <c r="AO196" i="22"/>
  <c r="AP196" i="22"/>
  <c r="AN196" i="22"/>
  <c r="AJ196" i="22"/>
  <c r="AG196" i="22"/>
  <c r="AN200" i="22"/>
  <c r="AO200" i="22"/>
  <c r="AH200" i="22"/>
  <c r="AJ200" i="22"/>
  <c r="AK200" i="22"/>
  <c r="AF200" i="22"/>
  <c r="AE200" i="22"/>
  <c r="AD200" i="22"/>
  <c r="AG200" i="22"/>
  <c r="AR200" i="22"/>
  <c r="AP200" i="22"/>
  <c r="AE204" i="22"/>
  <c r="AS204" i="22"/>
  <c r="AQ204" i="22"/>
  <c r="AM204" i="22"/>
  <c r="AJ204" i="22"/>
  <c r="AO204" i="22"/>
  <c r="AH204" i="22"/>
  <c r="AK204" i="22"/>
  <c r="AF204" i="22"/>
  <c r="AN204" i="22"/>
  <c r="AP204" i="22"/>
  <c r="AO208" i="22"/>
  <c r="AH208" i="22"/>
  <c r="AN208" i="22"/>
  <c r="AK208" i="22"/>
  <c r="AF208" i="22"/>
  <c r="AE208" i="22"/>
  <c r="AJ208" i="22"/>
  <c r="AD208" i="22"/>
  <c r="AG208" i="22"/>
  <c r="AR208" i="22"/>
  <c r="AP208" i="22"/>
  <c r="AK212" i="22"/>
  <c r="AF212" i="22"/>
  <c r="AR212" i="22"/>
  <c r="AP212" i="22"/>
  <c r="AG212" i="22"/>
  <c r="AN212" i="22"/>
  <c r="AM212" i="22"/>
  <c r="AJ212" i="22"/>
  <c r="AS212" i="22"/>
  <c r="AQ212" i="22"/>
  <c r="AH212" i="22"/>
  <c r="AJ216" i="22"/>
  <c r="AO216" i="22"/>
  <c r="AD216" i="22"/>
  <c r="AE216" i="22"/>
  <c r="AK216" i="22"/>
  <c r="AF216" i="22"/>
  <c r="AR216" i="22"/>
  <c r="AP216" i="22"/>
  <c r="AG216" i="22"/>
  <c r="AN216" i="22"/>
  <c r="AM216" i="22"/>
  <c r="AE47" i="22"/>
  <c r="AE23" i="22"/>
  <c r="AE144" i="22"/>
  <c r="AE64" i="22"/>
  <c r="AQ43" i="22"/>
  <c r="AJ225" i="22"/>
  <c r="AG221" i="22"/>
  <c r="AF221" i="22"/>
  <c r="AR217" i="22"/>
  <c r="AQ129" i="22"/>
  <c r="AQ141" i="22"/>
  <c r="AS149" i="22"/>
  <c r="AQ82" i="22"/>
  <c r="AQ23" i="22"/>
  <c r="AQ25" i="22"/>
  <c r="AE79" i="22"/>
  <c r="AE61" i="22"/>
  <c r="AO229" i="22"/>
  <c r="AG229" i="22"/>
  <c r="AK229" i="22"/>
  <c r="AQ229" i="22"/>
  <c r="AP229" i="22"/>
  <c r="AM229" i="22"/>
  <c r="AR229" i="22"/>
  <c r="AD229" i="22"/>
  <c r="AN229" i="22"/>
  <c r="AH229" i="22"/>
  <c r="AE229" i="22"/>
  <c r="AO233" i="22"/>
  <c r="AG233" i="22"/>
  <c r="AF233" i="22"/>
  <c r="AD233" i="22"/>
  <c r="AN233" i="22"/>
  <c r="AR233" i="22"/>
  <c r="AH233" i="22"/>
  <c r="AE233" i="22"/>
  <c r="AJ233" i="22"/>
  <c r="AS233" i="22"/>
  <c r="AG237" i="22"/>
  <c r="AP237" i="22"/>
  <c r="AK237" i="22"/>
  <c r="AQ237" i="22"/>
  <c r="AS237" i="22"/>
  <c r="AE237" i="22"/>
  <c r="AH237" i="22"/>
  <c r="AG245" i="22"/>
  <c r="AQ245" i="22"/>
  <c r="AF245" i="22"/>
  <c r="AH245" i="22"/>
  <c r="AK249" i="22"/>
  <c r="AE249" i="22"/>
  <c r="AF249" i="22"/>
  <c r="AO253" i="22"/>
  <c r="AH253" i="22"/>
  <c r="AQ253" i="22"/>
  <c r="AQ145" i="22"/>
  <c r="AM171" i="22"/>
  <c r="AS171" i="22"/>
  <c r="AD175" i="22"/>
  <c r="AQ175" i="22"/>
  <c r="AE175" i="22"/>
  <c r="AK175" i="22"/>
  <c r="AG175" i="22"/>
  <c r="AH175" i="22"/>
  <c r="AJ175" i="22"/>
  <c r="AP175" i="22"/>
  <c r="AO175" i="22"/>
  <c r="AR175" i="22"/>
  <c r="AF175" i="22"/>
  <c r="AN175" i="22"/>
  <c r="AM175" i="22"/>
  <c r="AS179" i="22"/>
  <c r="AD179" i="22"/>
  <c r="AQ179" i="22"/>
  <c r="AO179" i="22"/>
  <c r="AM179" i="22"/>
  <c r="AN179" i="22"/>
  <c r="AH179" i="22"/>
  <c r="AR183" i="22"/>
  <c r="AO183" i="22"/>
  <c r="AG183" i="22"/>
  <c r="AM183" i="22"/>
  <c r="AJ183" i="22"/>
  <c r="AS183" i="22"/>
  <c r="AQ183" i="22"/>
  <c r="AD183" i="22"/>
  <c r="AN183" i="22"/>
  <c r="AE183" i="22"/>
  <c r="AS187" i="22"/>
  <c r="AP187" i="22"/>
  <c r="AQ187" i="22"/>
  <c r="AG187" i="22"/>
  <c r="AN187" i="22"/>
  <c r="AK187" i="22"/>
  <c r="AE187" i="22"/>
  <c r="AO187" i="22"/>
  <c r="AR187" i="22"/>
  <c r="AJ187" i="22"/>
  <c r="AK191" i="22"/>
  <c r="AQ191" i="22"/>
  <c r="AF191" i="22"/>
  <c r="AE191" i="22"/>
  <c r="AO191" i="22"/>
  <c r="AS191" i="22"/>
  <c r="AN191" i="22"/>
  <c r="AG191" i="22"/>
  <c r="AJ191" i="22"/>
  <c r="AH191" i="22"/>
  <c r="AM191" i="22"/>
  <c r="AS199" i="22"/>
  <c r="AD199" i="22"/>
  <c r="AN199" i="22"/>
  <c r="AK199" i="22"/>
  <c r="AJ199" i="22"/>
  <c r="AP199" i="22"/>
  <c r="AQ199" i="22"/>
  <c r="AF199" i="22"/>
  <c r="AQ203" i="22"/>
  <c r="AD203" i="22"/>
  <c r="AJ203" i="22"/>
  <c r="AP203" i="22"/>
  <c r="AM203" i="22"/>
  <c r="AS203" i="22"/>
  <c r="AG203" i="22"/>
  <c r="AF203" i="22"/>
  <c r="AH203" i="22"/>
  <c r="AO203" i="22"/>
  <c r="AR203" i="22"/>
  <c r="AE203" i="22"/>
  <c r="AM207" i="22"/>
  <c r="AQ207" i="22"/>
  <c r="AF207" i="22"/>
  <c r="AO207" i="22"/>
  <c r="AR207" i="22"/>
  <c r="AE207" i="22"/>
  <c r="AD207" i="22"/>
  <c r="AN207" i="22"/>
  <c r="AK207" i="22"/>
  <c r="AS211" i="22"/>
  <c r="AQ211" i="22"/>
  <c r="AD211" i="22"/>
  <c r="AR211" i="22"/>
  <c r="AE211" i="22"/>
  <c r="AO211" i="22"/>
  <c r="AM211" i="22"/>
  <c r="AG211" i="22"/>
  <c r="AN211" i="22"/>
  <c r="AK211" i="22"/>
  <c r="AH211" i="22"/>
  <c r="AJ211" i="22"/>
  <c r="AP211" i="22"/>
  <c r="AQ215" i="22"/>
  <c r="AO215" i="22"/>
  <c r="AR215" i="22"/>
  <c r="AN220" i="22"/>
  <c r="AH220" i="22"/>
  <c r="AO220" i="22"/>
  <c r="AJ220" i="22"/>
  <c r="AF220" i="22"/>
  <c r="AM220" i="22"/>
  <c r="AD220" i="22"/>
  <c r="AK220" i="22"/>
  <c r="AP220" i="22"/>
  <c r="AR220" i="22"/>
  <c r="AG220" i="22"/>
  <c r="AQ220" i="22"/>
  <c r="AN224" i="22"/>
  <c r="AK224" i="22"/>
  <c r="AP224" i="22"/>
  <c r="AH224" i="22"/>
  <c r="AG224" i="22"/>
  <c r="AQ224" i="22"/>
  <c r="AM224" i="22"/>
  <c r="AD224" i="22"/>
  <c r="AS224" i="22"/>
  <c r="AE224" i="22"/>
  <c r="AF88" i="22"/>
  <c r="AK158" i="22"/>
  <c r="AH158" i="22"/>
  <c r="AK162" i="22"/>
  <c r="AM162" i="22"/>
  <c r="AJ162" i="22"/>
  <c r="AH162" i="22"/>
  <c r="AH166" i="22"/>
  <c r="AP166" i="22"/>
  <c r="AE40" i="22"/>
  <c r="AE137" i="22"/>
  <c r="AN69" i="22"/>
  <c r="AO241" i="22"/>
  <c r="AR241" i="22"/>
  <c r="AH241" i="22"/>
  <c r="AQ241" i="22"/>
  <c r="AS241" i="22"/>
  <c r="AG241" i="22"/>
  <c r="AN241" i="22"/>
  <c r="AD241" i="22"/>
  <c r="AE241" i="22"/>
  <c r="AJ241" i="22"/>
  <c r="AP241" i="22"/>
  <c r="AF241" i="22"/>
  <c r="AJ245" i="22"/>
  <c r="AK245" i="22"/>
  <c r="AM245" i="22"/>
  <c r="AR245" i="22"/>
  <c r="AO245" i="22"/>
  <c r="AP245" i="22"/>
  <c r="AN245" i="22"/>
  <c r="AS245" i="22"/>
  <c r="AD245" i="22"/>
  <c r="AE245" i="22"/>
  <c r="AJ249" i="22"/>
  <c r="AO249" i="22"/>
  <c r="AN249" i="22"/>
  <c r="AS249" i="22"/>
  <c r="AP249" i="22"/>
  <c r="AM249" i="22"/>
  <c r="AR249" i="22"/>
  <c r="AG249" i="22"/>
  <c r="AD249" i="22"/>
  <c r="AF253" i="22"/>
  <c r="AJ253" i="22"/>
  <c r="AS253" i="22"/>
  <c r="AE253" i="22"/>
  <c r="AN253" i="22"/>
  <c r="AR253" i="22"/>
  <c r="AG253" i="22"/>
  <c r="AP253" i="22"/>
  <c r="AK253" i="22"/>
  <c r="AD253" i="22"/>
  <c r="AM253" i="22"/>
  <c r="AQ127" i="22"/>
  <c r="AN149" i="22"/>
  <c r="AR157" i="22"/>
  <c r="AF157" i="22"/>
  <c r="AG157" i="22"/>
  <c r="AM157" i="22"/>
  <c r="AQ157" i="22"/>
  <c r="AP157" i="22"/>
  <c r="AK157" i="22"/>
  <c r="AE157" i="22"/>
  <c r="AD157" i="22"/>
  <c r="AS161" i="22"/>
  <c r="AD161" i="22"/>
  <c r="AQ161" i="22"/>
  <c r="AR161" i="22"/>
  <c r="AO161" i="22"/>
  <c r="AH161" i="22"/>
  <c r="AE161" i="22"/>
  <c r="AF161" i="22"/>
  <c r="AJ161" i="22"/>
  <c r="AG161" i="22"/>
  <c r="AS165" i="22"/>
  <c r="AP165" i="22"/>
  <c r="AJ165" i="22"/>
  <c r="AG165" i="22"/>
  <c r="AD165" i="22"/>
  <c r="AQ165" i="22"/>
  <c r="AN165" i="22"/>
  <c r="AK165" i="22"/>
  <c r="AH165" i="22"/>
  <c r="AR165" i="22"/>
  <c r="AO165" i="22"/>
  <c r="AP170" i="22"/>
  <c r="AF170" i="22"/>
  <c r="AS170" i="22"/>
  <c r="AM170" i="22"/>
  <c r="AR170" i="22"/>
  <c r="AN170" i="22"/>
  <c r="AQ170" i="22"/>
  <c r="AD170" i="22"/>
  <c r="AO170" i="22"/>
  <c r="AE170" i="22"/>
  <c r="AH170" i="22"/>
  <c r="AS174" i="22"/>
  <c r="AO174" i="22"/>
  <c r="AP174" i="22"/>
  <c r="AM174" i="22"/>
  <c r="AH174" i="22"/>
  <c r="AK174" i="22"/>
  <c r="AJ174" i="22"/>
  <c r="AQ174" i="22"/>
  <c r="AG174" i="22"/>
  <c r="AN174" i="22"/>
  <c r="AE174" i="22"/>
  <c r="AG178" i="22"/>
  <c r="AS178" i="22"/>
  <c r="AM178" i="22"/>
  <c r="AD178" i="22"/>
  <c r="AP178" i="22"/>
  <c r="AO178" i="22"/>
  <c r="AR178" i="22"/>
  <c r="AH178" i="22"/>
  <c r="AF178" i="22"/>
  <c r="AN178" i="22"/>
  <c r="AE178" i="22"/>
  <c r="AN182" i="22"/>
  <c r="AK182" i="22"/>
  <c r="AJ182" i="22"/>
  <c r="AM182" i="22"/>
  <c r="AH182" i="22"/>
  <c r="AQ182" i="22"/>
  <c r="AS182" i="22"/>
  <c r="AG182" i="22"/>
  <c r="AO182" i="22"/>
  <c r="AD182" i="22"/>
  <c r="AS186" i="22"/>
  <c r="AM186" i="22"/>
  <c r="AG186" i="22"/>
  <c r="AD186" i="22"/>
  <c r="AN186" i="22"/>
  <c r="AP186" i="22"/>
  <c r="AF186" i="22"/>
  <c r="AO186" i="22"/>
  <c r="AR186" i="22"/>
  <c r="AJ186" i="22"/>
  <c r="AK186" i="22"/>
  <c r="AO190" i="22"/>
  <c r="AK190" i="22"/>
  <c r="AN190" i="22"/>
  <c r="AR190" i="22"/>
  <c r="AH190" i="22"/>
  <c r="AQ190" i="22"/>
  <c r="AE190" i="22"/>
  <c r="AJ190" i="22"/>
  <c r="AD190" i="22"/>
  <c r="AS194" i="22"/>
  <c r="AG194" i="22"/>
  <c r="AD194" i="22"/>
  <c r="AO194" i="22"/>
  <c r="AR194" i="22"/>
  <c r="AM194" i="22"/>
  <c r="AP194" i="22"/>
  <c r="AF194" i="22"/>
  <c r="AK194" i="22"/>
  <c r="AQ198" i="22"/>
  <c r="AD198" i="22"/>
  <c r="AG198" i="22"/>
  <c r="AP198" i="22"/>
  <c r="AS198" i="22"/>
  <c r="AK198" i="22"/>
  <c r="AO198" i="22"/>
  <c r="AE198" i="22"/>
  <c r="AF198" i="22"/>
  <c r="AR202" i="22"/>
  <c r="AN202" i="22"/>
  <c r="AE202" i="22"/>
  <c r="AG202" i="22"/>
  <c r="AK202" i="22"/>
  <c r="AF202" i="22"/>
  <c r="AO202" i="22"/>
  <c r="AJ202" i="22"/>
  <c r="AS202" i="22"/>
  <c r="AM202" i="22"/>
  <c r="AF210" i="22"/>
  <c r="AQ210" i="22"/>
  <c r="AD210" i="22"/>
  <c r="AH210" i="22"/>
  <c r="AS210" i="22"/>
  <c r="AR210" i="22"/>
  <c r="AN210" i="22"/>
  <c r="AM210" i="22"/>
  <c r="AG210" i="22"/>
  <c r="AK210" i="22"/>
  <c r="AK214" i="22"/>
  <c r="AQ214" i="22"/>
  <c r="AG214" i="22"/>
  <c r="AO214" i="22"/>
  <c r="AM214" i="22"/>
  <c r="AH214" i="22"/>
  <c r="AP214" i="22"/>
  <c r="AS214" i="22"/>
  <c r="AF214" i="22"/>
  <c r="AD214" i="22"/>
  <c r="AE214" i="22"/>
  <c r="AD223" i="22"/>
  <c r="AN223" i="22"/>
  <c r="AS223" i="22"/>
  <c r="AE223" i="22"/>
  <c r="AK223" i="22"/>
  <c r="AH228" i="22"/>
  <c r="AD228" i="22"/>
  <c r="AK228" i="22"/>
  <c r="AG232" i="22"/>
  <c r="AP232" i="22"/>
  <c r="AF232" i="22"/>
  <c r="AE232" i="22"/>
  <c r="AD232" i="22"/>
  <c r="AE236" i="22"/>
  <c r="AN236" i="22"/>
  <c r="AD236" i="22"/>
  <c r="AS236" i="22"/>
  <c r="AJ236" i="22"/>
  <c r="AQ236" i="22"/>
  <c r="AO236" i="22"/>
  <c r="AP236" i="22"/>
  <c r="AR240" i="22"/>
  <c r="AQ240" i="22"/>
  <c r="AD240" i="22"/>
  <c r="AO240" i="22"/>
  <c r="AJ240" i="22"/>
  <c r="AN240" i="22"/>
  <c r="AM240" i="22"/>
  <c r="AK240" i="22"/>
  <c r="AP240" i="22"/>
  <c r="AH240" i="22"/>
  <c r="AF240" i="22"/>
  <c r="AG240" i="22"/>
  <c r="AQ249" i="22"/>
  <c r="AP255" i="22"/>
  <c r="AO255" i="22"/>
  <c r="AM255" i="22"/>
  <c r="AS255" i="22"/>
  <c r="AG255" i="22"/>
  <c r="AE255" i="22"/>
  <c r="AK255" i="22"/>
  <c r="AG176" i="22"/>
  <c r="AK176" i="22"/>
  <c r="AO180" i="22"/>
  <c r="AJ180" i="22"/>
  <c r="AP180" i="22"/>
  <c r="AM180" i="22"/>
  <c r="AF180" i="22"/>
  <c r="AG180" i="22"/>
  <c r="AS180" i="22"/>
  <c r="AD180" i="22"/>
  <c r="AR180" i="22"/>
  <c r="AE180" i="22"/>
  <c r="AH180" i="22"/>
  <c r="AK180" i="22"/>
  <c r="AN180" i="22"/>
  <c r="AQ180" i="22"/>
  <c r="AO184" i="22"/>
  <c r="AJ184" i="22"/>
  <c r="AP184" i="22"/>
  <c r="AG184" i="22"/>
  <c r="AH184" i="22"/>
  <c r="AF184" i="22"/>
  <c r="AM184" i="22"/>
  <c r="AR184" i="22"/>
  <c r="AE184" i="22"/>
  <c r="AQ184" i="22"/>
  <c r="AS184" i="22"/>
  <c r="AD184" i="22"/>
  <c r="AK184" i="22"/>
  <c r="AO188" i="22"/>
  <c r="AD188" i="22"/>
  <c r="AF188" i="22"/>
  <c r="AR188" i="22"/>
  <c r="AE188" i="22"/>
  <c r="AQ188" i="22"/>
  <c r="AH188" i="22"/>
  <c r="AN188" i="22"/>
  <c r="AK188" i="22"/>
  <c r="AM188" i="22"/>
  <c r="AJ188" i="22"/>
  <c r="AS188" i="22"/>
  <c r="AP188" i="22"/>
  <c r="AO192" i="22"/>
  <c r="AR192" i="22"/>
  <c r="AE192" i="22"/>
  <c r="AQ192" i="22"/>
  <c r="AS192" i="22"/>
  <c r="AD192" i="22"/>
  <c r="AN192" i="22"/>
  <c r="AK192" i="22"/>
  <c r="AJ192" i="22"/>
  <c r="AP192" i="22"/>
  <c r="AG192" i="22"/>
  <c r="AH192" i="22"/>
  <c r="AM192" i="22"/>
  <c r="AF192" i="22"/>
  <c r="AP158" i="22"/>
  <c r="AJ158" i="22"/>
  <c r="AR158" i="22"/>
  <c r="AQ158" i="22"/>
  <c r="AG158" i="22"/>
  <c r="AO158" i="22"/>
  <c r="AE158" i="22"/>
  <c r="AF158" i="22"/>
  <c r="AN158" i="22"/>
  <c r="AD158" i="22"/>
  <c r="AP162" i="22"/>
  <c r="AQ162" i="22"/>
  <c r="AF162" i="22"/>
  <c r="AE162" i="22"/>
  <c r="AR162" i="22"/>
  <c r="AG162" i="22"/>
  <c r="AN162" i="22"/>
  <c r="AO162" i="22"/>
  <c r="AD162" i="22"/>
  <c r="AR166" i="22"/>
  <c r="AN166" i="22"/>
  <c r="AO166" i="22"/>
  <c r="AG166" i="22"/>
  <c r="AQ166" i="22"/>
  <c r="AF166" i="22"/>
  <c r="AE166" i="22"/>
  <c r="AS166" i="22"/>
  <c r="AD166" i="22"/>
  <c r="AD171" i="22"/>
  <c r="AH171" i="22"/>
  <c r="AF171" i="22"/>
  <c r="AR171" i="22"/>
  <c r="AO171" i="22"/>
  <c r="AK171" i="22"/>
  <c r="AE171" i="22"/>
  <c r="AQ171" i="22"/>
  <c r="AG171" i="22"/>
  <c r="AJ171" i="22"/>
  <c r="AN237" i="22"/>
  <c r="AR237" i="22"/>
  <c r="AJ237" i="22"/>
  <c r="AO237" i="22"/>
  <c r="AD237" i="22"/>
  <c r="AM237" i="22"/>
  <c r="AR242" i="22"/>
  <c r="AN242" i="22"/>
  <c r="AQ242" i="22"/>
  <c r="AK242" i="22"/>
  <c r="AS242" i="22"/>
  <c r="AF242" i="22"/>
  <c r="AO242" i="22"/>
  <c r="AK246" i="22"/>
  <c r="AS246" i="22"/>
  <c r="AR246" i="22"/>
  <c r="AD246" i="22"/>
  <c r="AO246" i="22"/>
  <c r="AS250" i="22"/>
  <c r="AO250" i="22"/>
  <c r="AG250" i="22"/>
  <c r="AK250" i="22"/>
  <c r="AD250" i="22"/>
  <c r="AR254" i="22"/>
  <c r="AG254" i="22"/>
  <c r="AO254" i="22"/>
  <c r="AM223" i="22"/>
  <c r="AG223" i="22"/>
  <c r="AJ223" i="22"/>
  <c r="AP223" i="22"/>
  <c r="AF223" i="22"/>
  <c r="AQ223" i="22"/>
  <c r="AH223" i="22"/>
  <c r="AO223" i="22"/>
  <c r="AR228" i="22"/>
  <c r="AE228" i="22"/>
  <c r="AP228" i="22"/>
  <c r="AS228" i="22"/>
  <c r="AF228" i="22"/>
  <c r="AO228" i="22"/>
  <c r="AN228" i="22"/>
  <c r="AQ228" i="22"/>
  <c r="AJ228" i="22"/>
  <c r="AM228" i="22"/>
  <c r="AO232" i="22"/>
  <c r="AN232" i="22"/>
  <c r="AM232" i="22"/>
  <c r="AR232" i="22"/>
  <c r="AH232" i="22"/>
  <c r="AK232" i="22"/>
  <c r="AM236" i="22"/>
  <c r="AF236" i="22"/>
  <c r="AH236" i="22"/>
  <c r="AG236" i="22"/>
  <c r="AR236" i="22"/>
  <c r="AJ197" i="22"/>
  <c r="AO197" i="22"/>
  <c r="AH197" i="22"/>
  <c r="AR197" i="22"/>
  <c r="AQ197" i="22"/>
  <c r="AD197" i="22"/>
  <c r="AP197" i="22"/>
  <c r="AK197" i="22"/>
  <c r="AS197" i="22"/>
  <c r="AG197" i="22"/>
  <c r="AF197" i="22"/>
  <c r="AM201" i="22"/>
  <c r="AN201" i="22"/>
  <c r="AE201" i="22"/>
  <c r="AF201" i="22"/>
  <c r="AH201" i="22"/>
  <c r="AG201" i="22"/>
  <c r="AK201" i="22"/>
  <c r="AK205" i="22"/>
  <c r="AQ205" i="22"/>
  <c r="AP205" i="22"/>
  <c r="AS205" i="22"/>
  <c r="AJ205" i="22"/>
  <c r="AN205" i="22"/>
  <c r="AE205" i="22"/>
  <c r="AH205" i="22"/>
  <c r="AG205" i="22"/>
  <c r="AQ209" i="22"/>
  <c r="AD209" i="22"/>
  <c r="AO209" i="22"/>
  <c r="AR209" i="22"/>
  <c r="AM209" i="22"/>
  <c r="AP209" i="22"/>
  <c r="AS209" i="22"/>
  <c r="AJ209" i="22"/>
  <c r="AF209" i="22"/>
  <c r="AD213" i="22"/>
  <c r="AO213" i="22"/>
  <c r="AR213" i="22"/>
  <c r="AE213" i="22"/>
  <c r="AP213" i="22"/>
  <c r="AF213" i="22"/>
  <c r="AG213" i="22"/>
  <c r="AK218" i="22"/>
  <c r="AG218" i="22"/>
  <c r="AD218" i="22"/>
  <c r="AF218" i="22"/>
  <c r="AR218" i="22"/>
  <c r="AH218" i="22"/>
  <c r="AJ218" i="22"/>
  <c r="AM218" i="22"/>
  <c r="AS218" i="22"/>
  <c r="AQ218" i="22"/>
  <c r="AN218" i="22"/>
  <c r="D100" i="7"/>
  <c r="S100" i="7" s="1"/>
  <c r="C6" i="10"/>
  <c r="AQ13" i="29"/>
  <c r="CO245" i="14"/>
  <c r="D102" i="7"/>
  <c r="S102" i="7" s="1"/>
  <c r="D99" i="7"/>
  <c r="S99" i="7" s="1"/>
  <c r="BD222" i="14"/>
  <c r="N17" i="33" s="1"/>
  <c r="B33" i="10"/>
  <c r="C33" i="10" s="1"/>
  <c r="B37" i="10"/>
  <c r="C37" i="10" s="1"/>
  <c r="D96" i="7"/>
  <c r="S96" i="7" s="1"/>
  <c r="B32" i="10"/>
  <c r="C32" i="10" s="1"/>
  <c r="AQ26" i="30"/>
  <c r="AR172" i="30"/>
  <c r="AH88" i="30"/>
  <c r="AH104" i="30"/>
  <c r="AN30" i="30"/>
  <c r="AP156" i="30"/>
  <c r="AF37" i="30"/>
  <c r="AS122" i="30"/>
  <c r="AF122" i="30"/>
  <c r="AN114" i="30"/>
  <c r="AJ150" i="30"/>
  <c r="AF121" i="30"/>
  <c r="AO134" i="30"/>
  <c r="AQ134" i="30"/>
  <c r="AG134" i="30"/>
  <c r="AH150" i="30"/>
  <c r="AI134" i="30"/>
  <c r="AQ109" i="30"/>
  <c r="AQ167" i="30"/>
  <c r="AL156" i="30"/>
  <c r="AQ151" i="30"/>
  <c r="AK134" i="30"/>
  <c r="AM96" i="30"/>
  <c r="AS95" i="30"/>
  <c r="AD95" i="30"/>
  <c r="AN87" i="30"/>
  <c r="AL80" i="30"/>
  <c r="AR79" i="30"/>
  <c r="AK103" i="30"/>
  <c r="AR103" i="30"/>
  <c r="AD80" i="30"/>
  <c r="AN167" i="30"/>
  <c r="AI87" i="30"/>
  <c r="AL104" i="30"/>
  <c r="AQ16" i="30"/>
  <c r="AN80" i="30"/>
  <c r="AS104" i="30"/>
  <c r="AE109" i="30"/>
  <c r="AS156" i="30"/>
  <c r="AH122" i="30"/>
  <c r="AP122" i="30"/>
  <c r="AG114" i="30"/>
  <c r="AM114" i="30"/>
  <c r="AQ150" i="30"/>
  <c r="AK109" i="30"/>
  <c r="AL150" i="30"/>
  <c r="AD134" i="30"/>
  <c r="AR150" i="30"/>
  <c r="AS134" i="30"/>
  <c r="AJ109" i="30"/>
  <c r="AO109" i="30"/>
  <c r="AM167" i="30"/>
  <c r="AM156" i="30"/>
  <c r="AF143" i="30"/>
  <c r="AF134" i="30"/>
  <c r="AI96" i="30"/>
  <c r="AI95" i="30"/>
  <c r="AH95" i="30"/>
  <c r="AR87" i="30"/>
  <c r="AF80" i="30"/>
  <c r="AP80" i="30"/>
  <c r="AS103" i="30"/>
  <c r="AD103" i="30"/>
  <c r="AM79" i="30"/>
  <c r="AL155" i="30"/>
  <c r="AS79" i="30"/>
  <c r="AO104" i="30"/>
  <c r="AP109" i="30"/>
  <c r="AQ87" i="30"/>
  <c r="AM80" i="30"/>
  <c r="AD88" i="30"/>
  <c r="AF46" i="30"/>
  <c r="AN104" i="30"/>
  <c r="AK104" i="30"/>
  <c r="AE156" i="30"/>
  <c r="AI114" i="30"/>
  <c r="AM122" i="30"/>
  <c r="AQ122" i="30"/>
  <c r="AL114" i="30"/>
  <c r="AS114" i="30"/>
  <c r="AJ134" i="30"/>
  <c r="AQ142" i="30"/>
  <c r="AE134" i="30"/>
  <c r="AK167" i="30"/>
  <c r="AE167" i="30"/>
  <c r="AO142" i="30"/>
  <c r="AO156" i="30"/>
  <c r="AP134" i="30"/>
  <c r="AK88" i="30"/>
  <c r="AQ88" i="30"/>
  <c r="AJ95" i="30"/>
  <c r="AP95" i="30"/>
  <c r="AK79" i="30"/>
  <c r="AF109" i="30"/>
  <c r="AE80" i="30"/>
  <c r="AE103" i="30"/>
  <c r="AL103" i="30"/>
  <c r="AK87" i="30"/>
  <c r="AJ167" i="30"/>
  <c r="AN155" i="30"/>
  <c r="AG79" i="30"/>
  <c r="AO79" i="30"/>
  <c r="AS87" i="30"/>
  <c r="AF104" i="30"/>
  <c r="AP167" i="30"/>
  <c r="AQ156" i="30"/>
  <c r="AK114" i="30"/>
  <c r="AE114" i="30"/>
  <c r="AE122" i="30"/>
  <c r="AO122" i="30"/>
  <c r="AF114" i="30"/>
  <c r="AD114" i="30"/>
  <c r="AD150" i="30"/>
  <c r="AL142" i="30"/>
  <c r="AN134" i="30"/>
  <c r="AN109" i="30"/>
  <c r="AG167" i="30"/>
  <c r="AM142" i="30"/>
  <c r="AK142" i="30"/>
  <c r="AF156" i="30"/>
  <c r="AF151" i="30"/>
  <c r="AM104" i="30"/>
  <c r="AG88" i="30"/>
  <c r="AM88" i="30"/>
  <c r="AO95" i="30"/>
  <c r="AO87" i="30"/>
  <c r="AE79" i="30"/>
  <c r="AG80" i="30"/>
  <c r="AJ103" i="30"/>
  <c r="AP103" i="30"/>
  <c r="AN135" i="30"/>
  <c r="AR167" i="30"/>
  <c r="AS135" i="30"/>
  <c r="AD79" i="30"/>
  <c r="AN51" i="30"/>
  <c r="AF88" i="30"/>
  <c r="AQ45" i="30"/>
  <c r="AP104" i="30"/>
  <c r="AH167" i="30"/>
  <c r="AJ156" i="30"/>
  <c r="AR122" i="30"/>
  <c r="AG122" i="30"/>
  <c r="AQ114" i="30"/>
  <c r="AP114" i="30"/>
  <c r="AN26" i="30"/>
  <c r="AN150" i="30"/>
  <c r="AD142" i="30"/>
  <c r="AR109" i="30"/>
  <c r="AG109" i="30"/>
  <c r="AI142" i="30"/>
  <c r="AG142" i="30"/>
  <c r="AR156" i="30"/>
  <c r="AJ151" i="30"/>
  <c r="AI104" i="30"/>
  <c r="AI88" i="30"/>
  <c r="AG95" i="30"/>
  <c r="AG87" i="30"/>
  <c r="AF79" i="30"/>
  <c r="AK80" i="30"/>
  <c r="AO103" i="30"/>
  <c r="AN103" i="30"/>
  <c r="AD167" i="30"/>
  <c r="AJ96" i="30"/>
  <c r="AG104" i="30"/>
  <c r="AH156" i="30"/>
  <c r="AI122" i="30"/>
  <c r="AN122" i="30"/>
  <c r="AL79" i="30"/>
  <c r="AF150" i="30"/>
  <c r="AN142" i="30"/>
  <c r="AD109" i="30"/>
  <c r="AH143" i="30"/>
  <c r="AE88" i="30"/>
  <c r="AM95" i="30"/>
  <c r="AL87" i="30"/>
  <c r="AO80" i="30"/>
  <c r="AG103" i="30"/>
  <c r="AN95" i="30"/>
  <c r="AQ95" i="30"/>
  <c r="AJ155" i="30"/>
  <c r="AQ34" i="30"/>
  <c r="AQ43" i="30"/>
  <c r="AP96" i="30"/>
  <c r="AP97" i="30"/>
  <c r="AF110" i="30"/>
  <c r="AQ110" i="30"/>
  <c r="AR92" i="30"/>
  <c r="AQ84" i="30"/>
  <c r="AE154" i="30"/>
  <c r="AH149" i="30"/>
  <c r="AE84" i="30"/>
  <c r="AJ123" i="30"/>
  <c r="AF123" i="30"/>
  <c r="AH123" i="30"/>
  <c r="AI84" i="30"/>
  <c r="AG154" i="30"/>
  <c r="AM154" i="30"/>
  <c r="AQ154" i="30"/>
  <c r="AE110" i="30"/>
  <c r="AQ31" i="30"/>
  <c r="AM123" i="30"/>
  <c r="AS105" i="30"/>
  <c r="AO123" i="30"/>
  <c r="AQ92" i="30"/>
  <c r="AK92" i="30"/>
  <c r="AR110" i="30"/>
  <c r="AM92" i="30"/>
  <c r="AF84" i="30"/>
  <c r="AQ20" i="30"/>
  <c r="AR154" i="30"/>
  <c r="AJ154" i="30"/>
  <c r="AD110" i="30"/>
  <c r="AI123" i="30"/>
  <c r="AD123" i="30"/>
  <c r="AQ39" i="30"/>
  <c r="AN45" i="30"/>
  <c r="AP92" i="30"/>
  <c r="AG92" i="30"/>
  <c r="AI92" i="30"/>
  <c r="AS84" i="30"/>
  <c r="AS154" i="30"/>
  <c r="AP154" i="30"/>
  <c r="AJ110" i="30"/>
  <c r="AK141" i="30"/>
  <c r="AE123" i="30"/>
  <c r="AP115" i="30"/>
  <c r="AI110" i="30"/>
  <c r="AF92" i="30"/>
  <c r="AF154" i="30"/>
  <c r="AO92" i="30"/>
  <c r="AN84" i="30"/>
  <c r="AD92" i="30"/>
  <c r="AE92" i="30"/>
  <c r="AP84" i="30"/>
  <c r="AI77" i="30"/>
  <c r="AD154" i="30"/>
  <c r="AO154" i="30"/>
  <c r="AH110" i="30"/>
  <c r="AS110" i="30"/>
  <c r="AO110" i="30"/>
  <c r="AO115" i="30"/>
  <c r="AG123" i="30"/>
  <c r="AS92" i="30"/>
  <c r="AK154" i="30"/>
  <c r="AJ92" i="30"/>
  <c r="AN92" i="30"/>
  <c r="AJ84" i="30"/>
  <c r="AI154" i="30"/>
  <c r="AP110" i="30"/>
  <c r="AN110" i="30"/>
  <c r="AK110" i="30"/>
  <c r="AL97" i="30"/>
  <c r="AR123" i="30"/>
  <c r="AR84" i="30"/>
  <c r="AN154" i="30"/>
  <c r="AM84" i="30"/>
  <c r="AG84" i="30"/>
  <c r="AQ19" i="30"/>
  <c r="AL110" i="30"/>
  <c r="AP123" i="30"/>
  <c r="AQ42" i="30"/>
  <c r="AR257" i="22"/>
  <c r="AR256" i="22"/>
  <c r="AD257" i="22"/>
  <c r="AD256" i="22"/>
  <c r="AM257" i="22"/>
  <c r="AM256" i="22"/>
  <c r="AN27" i="22"/>
  <c r="AF109" i="22"/>
  <c r="AP112" i="25"/>
  <c r="AQ60" i="25"/>
  <c r="AM79" i="25"/>
  <c r="H106" i="23" s="1"/>
  <c r="M106" i="23" s="1"/>
  <c r="AN61" i="25"/>
  <c r="AM112" i="25"/>
  <c r="AQ50" i="29"/>
  <c r="AN94" i="29"/>
  <c r="AN129" i="29"/>
  <c r="AS132" i="29"/>
  <c r="AS134" i="29"/>
  <c r="AQ134" i="29"/>
  <c r="AN136" i="29"/>
  <c r="AN145" i="29"/>
  <c r="AE32" i="25"/>
  <c r="AE136" i="22"/>
  <c r="AE37" i="29"/>
  <c r="AE72" i="29"/>
  <c r="A19" i="20"/>
  <c r="B20" i="20"/>
  <c r="A20" i="20" s="1"/>
  <c r="AQ19" i="25"/>
  <c r="AN72" i="26"/>
  <c r="AE124" i="22"/>
  <c r="AI150" i="30"/>
  <c r="AK150" i="30"/>
  <c r="AO160" i="30"/>
  <c r="AJ160" i="30"/>
  <c r="AK115" i="30"/>
  <c r="AH115" i="30"/>
  <c r="AF115" i="30"/>
  <c r="AJ159" i="30"/>
  <c r="AE150" i="30"/>
  <c r="AG150" i="30"/>
  <c r="AI160" i="30"/>
  <c r="AN160" i="30"/>
  <c r="AQ80" i="26"/>
  <c r="AQ104" i="29"/>
  <c r="AQ160" i="30"/>
  <c r="AR160" i="30"/>
  <c r="AS115" i="30"/>
  <c r="AH116" i="30"/>
  <c r="AQ100" i="22"/>
  <c r="AH147" i="22"/>
  <c r="AN127" i="29"/>
  <c r="AE159" i="30"/>
  <c r="AK160" i="30"/>
  <c r="AD160" i="30"/>
  <c r="AM116" i="30"/>
  <c r="AQ48" i="22"/>
  <c r="AN107" i="29"/>
  <c r="AE160" i="30"/>
  <c r="AL160" i="30"/>
  <c r="AJ115" i="30"/>
  <c r="AJ105" i="30"/>
  <c r="AC316" i="23"/>
  <c r="AQ115" i="30"/>
  <c r="AI115" i="30"/>
  <c r="AM76" i="30"/>
  <c r="AR76" i="30"/>
  <c r="AN76" i="30"/>
  <c r="AS150" i="30"/>
  <c r="AM160" i="30"/>
  <c r="AP160" i="30"/>
  <c r="AE115" i="30"/>
  <c r="AG316" i="23"/>
  <c r="AS159" i="30"/>
  <c r="AR115" i="30"/>
  <c r="AN140" i="22"/>
  <c r="AM150" i="30"/>
  <c r="AF160" i="30"/>
  <c r="AG115" i="30"/>
  <c r="AM115" i="30"/>
  <c r="AE316" i="23"/>
  <c r="AD159" i="30"/>
  <c r="AL115" i="30"/>
  <c r="AG133" i="27"/>
  <c r="AK204" i="29"/>
  <c r="AP178" i="27"/>
  <c r="AR155" i="27"/>
  <c r="AP172" i="26"/>
  <c r="AF106" i="25"/>
  <c r="AH157" i="26"/>
  <c r="AR152" i="25"/>
  <c r="AO152" i="26"/>
  <c r="AO155" i="27"/>
  <c r="AS133" i="27"/>
  <c r="AO231" i="29"/>
  <c r="AG137" i="26"/>
  <c r="AJ246" i="29"/>
  <c r="AP246" i="29"/>
  <c r="AK9" i="30"/>
  <c r="AN36" i="30"/>
  <c r="AN47" i="30"/>
  <c r="AQ103" i="30"/>
  <c r="AD234" i="22"/>
  <c r="AQ194" i="29"/>
  <c r="AN241" i="29"/>
  <c r="AF246" i="29"/>
  <c r="AN194" i="29"/>
  <c r="AJ214" i="22"/>
  <c r="AS204" i="29"/>
  <c r="AF172" i="26"/>
  <c r="AH137" i="26"/>
  <c r="AQ157" i="26"/>
  <c r="AN120" i="26"/>
  <c r="AN106" i="25"/>
  <c r="AG152" i="26"/>
  <c r="AO138" i="27"/>
  <c r="AJ133" i="27"/>
  <c r="AH194" i="29"/>
  <c r="AR88" i="25"/>
  <c r="AD251" i="29"/>
  <c r="AE239" i="22"/>
  <c r="AJ183" i="25"/>
  <c r="AI183" i="25"/>
  <c r="AK181" i="25"/>
  <c r="AK186" i="27"/>
  <c r="AR186" i="27"/>
  <c r="AN256" i="29"/>
  <c r="AD181" i="25"/>
  <c r="AN234" i="22"/>
  <c r="AF234" i="22"/>
  <c r="AF194" i="29"/>
  <c r="AF204" i="29"/>
  <c r="AH172" i="26"/>
  <c r="AM157" i="26"/>
  <c r="AN147" i="25"/>
  <c r="AO100" i="26"/>
  <c r="AE115" i="26"/>
  <c r="AP133" i="27"/>
  <c r="AD178" i="27"/>
  <c r="AE186" i="22"/>
  <c r="AJ214" i="29"/>
  <c r="AS172" i="26"/>
  <c r="AF183" i="25"/>
  <c r="AE183" i="25"/>
  <c r="AG181" i="25"/>
  <c r="AG186" i="27"/>
  <c r="AN186" i="27"/>
  <c r="AF181" i="25"/>
  <c r="AP234" i="22"/>
  <c r="AH204" i="29"/>
  <c r="AR172" i="26"/>
  <c r="AM137" i="26"/>
  <c r="AD147" i="25"/>
  <c r="AG180" i="25"/>
  <c r="AJ106" i="25"/>
  <c r="AD157" i="26"/>
  <c r="AO113" i="26"/>
  <c r="AF133" i="27"/>
  <c r="AG246" i="29"/>
  <c r="AJ152" i="26"/>
  <c r="AF179" i="22"/>
  <c r="AF236" i="29"/>
  <c r="AJ166" i="22"/>
  <c r="AR174" i="29"/>
  <c r="AD246" i="29"/>
  <c r="AJ186" i="27"/>
  <c r="AH184" i="27"/>
  <c r="AL256" i="29"/>
  <c r="AR181" i="25"/>
  <c r="AN181" i="25"/>
  <c r="AH183" i="25"/>
  <c r="AD183" i="25"/>
  <c r="AO204" i="29"/>
  <c r="AK168" i="27"/>
  <c r="AR152" i="26"/>
  <c r="AF178" i="27"/>
  <c r="AQ172" i="26"/>
  <c r="AR147" i="25"/>
  <c r="AS180" i="25"/>
  <c r="AG155" i="27"/>
  <c r="AP194" i="29"/>
  <c r="AD180" i="25"/>
  <c r="AM181" i="25"/>
  <c r="AQ185" i="26"/>
  <c r="AP185" i="26"/>
  <c r="AS185" i="26"/>
  <c r="AF186" i="27"/>
  <c r="AJ181" i="25"/>
  <c r="AH181" i="25"/>
  <c r="AN184" i="27"/>
  <c r="AG234" i="22"/>
  <c r="AF229" i="22"/>
  <c r="AJ204" i="29"/>
  <c r="AP155" i="27"/>
  <c r="AH178" i="27"/>
  <c r="AQ125" i="26"/>
  <c r="AP147" i="26"/>
  <c r="AF172" i="25"/>
  <c r="AR180" i="25"/>
  <c r="AJ172" i="25"/>
  <c r="AF128" i="25"/>
  <c r="AR133" i="27"/>
  <c r="AP152" i="26"/>
  <c r="AH152" i="26"/>
  <c r="AE231" i="29"/>
  <c r="AQ147" i="25"/>
  <c r="AM185" i="26"/>
  <c r="AO185" i="26"/>
  <c r="AQ186" i="27"/>
  <c r="AS184" i="27"/>
  <c r="AL183" i="25"/>
  <c r="AK166" i="22"/>
  <c r="AH246" i="29"/>
  <c r="AP204" i="29"/>
  <c r="AF155" i="27"/>
  <c r="AF152" i="26"/>
  <c r="AQ178" i="27"/>
  <c r="AS157" i="26"/>
  <c r="AH172" i="25"/>
  <c r="AQ128" i="25"/>
  <c r="AN152" i="26"/>
  <c r="AG125" i="26"/>
  <c r="AP168" i="27"/>
  <c r="AJ110" i="27"/>
  <c r="AH133" i="27"/>
  <c r="AP236" i="29"/>
  <c r="AS152" i="26"/>
  <c r="AH147" i="26"/>
  <c r="AD194" i="29"/>
  <c r="AF110" i="27"/>
  <c r="AN185" i="26"/>
  <c r="AH185" i="26"/>
  <c r="AM186" i="27"/>
  <c r="AH186" i="27"/>
  <c r="AD186" i="27"/>
  <c r="AP186" i="27"/>
  <c r="AE55" i="29"/>
  <c r="AE116" i="29"/>
  <c r="AE15" i="29"/>
  <c r="AE143" i="22"/>
  <c r="AE18" i="27"/>
  <c r="AE132" i="22"/>
  <c r="AE20" i="25"/>
  <c r="AE55" i="22"/>
  <c r="AE148" i="22"/>
  <c r="AQ148" i="22"/>
  <c r="AG237" i="23"/>
  <c r="AD237" i="23"/>
  <c r="AE237" i="23"/>
  <c r="AF237" i="23"/>
  <c r="AC237" i="23"/>
  <c r="AF239" i="23"/>
  <c r="AB239" i="23"/>
  <c r="AE239" i="23"/>
  <c r="AG239" i="23"/>
  <c r="AN22" i="25"/>
  <c r="AE152" i="29"/>
  <c r="Z12" i="30"/>
  <c r="AE18" i="25"/>
  <c r="CT228" i="14"/>
  <c r="AH78" i="26"/>
  <c r="AE109" i="29"/>
  <c r="AN117" i="29"/>
  <c r="AK77" i="26"/>
  <c r="AN75" i="27"/>
  <c r="AF75" i="30"/>
  <c r="AH87" i="30"/>
  <c r="AJ87" i="30"/>
  <c r="AP83" i="30"/>
  <c r="AJ83" i="30"/>
  <c r="AP14" i="30"/>
  <c r="AD315" i="23"/>
  <c r="AG83" i="30"/>
  <c r="AD83" i="30"/>
  <c r="AD75" i="30"/>
  <c r="AH75" i="30"/>
  <c r="AP88" i="30"/>
  <c r="AJ88" i="30"/>
  <c r="AR88" i="30"/>
  <c r="AR170" i="30"/>
  <c r="AS170" i="30"/>
  <c r="AN101" i="22"/>
  <c r="B11" i="24"/>
  <c r="B12" i="24" s="1"/>
  <c r="B13" i="24" s="1"/>
  <c r="B14" i="24" s="1"/>
  <c r="B15" i="24" s="1"/>
  <c r="B16" i="24" s="1"/>
  <c r="B17" i="24" s="1"/>
  <c r="B18" i="24" s="1"/>
  <c r="B19" i="24" s="1"/>
  <c r="B21" i="24" s="1"/>
  <c r="B22" i="24" s="1"/>
  <c r="B23" i="24" s="1"/>
  <c r="AN131" i="29"/>
  <c r="AJ75" i="30"/>
  <c r="AD87" i="30"/>
  <c r="AF87" i="30"/>
  <c r="AF83" i="30"/>
  <c r="AD14" i="30"/>
  <c r="AG315" i="23"/>
  <c r="AE87" i="30"/>
  <c r="AR75" i="30"/>
  <c r="AO83" i="30"/>
  <c r="AI75" i="30"/>
  <c r="AM75" i="30"/>
  <c r="AE317" i="23"/>
  <c r="AK123" i="30"/>
  <c r="AN123" i="30"/>
  <c r="AL123" i="30"/>
  <c r="AG137" i="30"/>
  <c r="AO137" i="30"/>
  <c r="AR116" i="25"/>
  <c r="AQ116" i="25"/>
  <c r="AE127" i="26"/>
  <c r="AH168" i="26"/>
  <c r="AP107" i="27"/>
  <c r="AO145" i="27"/>
  <c r="AK107" i="27"/>
  <c r="AN186" i="29"/>
  <c r="AD167" i="22"/>
  <c r="AS91" i="26"/>
  <c r="AR167" i="22"/>
  <c r="AD153" i="26"/>
  <c r="AH168" i="25"/>
  <c r="AD116" i="25"/>
  <c r="AO167" i="22"/>
  <c r="AJ167" i="22"/>
  <c r="AS164" i="26"/>
  <c r="AN117" i="27"/>
  <c r="AG225" i="22"/>
  <c r="AS161" i="29"/>
  <c r="AP167" i="22"/>
  <c r="AG107" i="27"/>
  <c r="AM171" i="29"/>
  <c r="AR195" i="29"/>
  <c r="AP165" i="27"/>
  <c r="AS121" i="27"/>
  <c r="AF168" i="26"/>
  <c r="AS183" i="26"/>
  <c r="AP91" i="26"/>
  <c r="AR91" i="26"/>
  <c r="AQ127" i="26"/>
  <c r="AN168" i="26"/>
  <c r="AR170" i="27"/>
  <c r="AN121" i="27"/>
  <c r="AH107" i="27"/>
  <c r="AD145" i="27"/>
  <c r="AD100" i="26"/>
  <c r="AF91" i="26"/>
  <c r="AD106" i="25"/>
  <c r="AH167" i="22"/>
  <c r="AE179" i="26"/>
  <c r="AL238" i="29"/>
  <c r="AD107" i="27"/>
  <c r="AH107" i="25"/>
  <c r="AO172" i="26"/>
  <c r="AK242" i="29"/>
  <c r="AN91" i="26"/>
  <c r="AR186" i="29"/>
  <c r="AP161" i="29"/>
  <c r="AG167" i="22"/>
  <c r="AQ170" i="27"/>
  <c r="AK179" i="26"/>
  <c r="AJ121" i="27"/>
  <c r="AG168" i="26"/>
  <c r="AJ168" i="25"/>
  <c r="AG91" i="26"/>
  <c r="AQ91" i="26"/>
  <c r="AS107" i="25"/>
  <c r="AM107" i="25"/>
  <c r="AH116" i="25"/>
  <c r="AD168" i="26"/>
  <c r="AF164" i="26"/>
  <c r="AD170" i="27"/>
  <c r="AS145" i="27"/>
  <c r="AK145" i="27"/>
  <c r="AD196" i="22"/>
  <c r="AS186" i="29"/>
  <c r="AO91" i="26"/>
  <c r="AH216" i="29"/>
  <c r="AD172" i="26"/>
  <c r="AP106" i="25"/>
  <c r="L152" i="15" a="1"/>
  <c r="L152" i="15" s="1"/>
  <c r="AL257" i="29"/>
  <c r="AS257" i="29"/>
  <c r="AE172" i="30"/>
  <c r="AQ172" i="30"/>
  <c r="AH172" i="30"/>
  <c r="AP172" i="30"/>
  <c r="AM172" i="30"/>
  <c r="AG172" i="30"/>
  <c r="AO172" i="30"/>
  <c r="AD172" i="30"/>
  <c r="AF172" i="30"/>
  <c r="AN172" i="30"/>
  <c r="AS172" i="30"/>
  <c r="D22" i="18"/>
  <c r="E21" i="18"/>
  <c r="AE39" i="29"/>
  <c r="AE35" i="22"/>
  <c r="AJ141" i="30"/>
  <c r="AK149" i="22"/>
  <c r="AF137" i="24"/>
  <c r="AM218" i="24"/>
  <c r="AO218" i="24"/>
  <c r="AN59" i="29"/>
  <c r="AE108" i="22"/>
  <c r="AO213" i="24"/>
  <c r="AM213" i="24"/>
  <c r="AM220" i="24"/>
  <c r="AO220" i="24"/>
  <c r="AN79" i="29"/>
  <c r="AM212" i="24"/>
  <c r="AO212" i="24"/>
  <c r="D121" i="23"/>
  <c r="D158" i="23" s="1"/>
  <c r="D194" i="23" s="1"/>
  <c r="D55" i="23"/>
  <c r="D80" i="23" s="1"/>
  <c r="AO216" i="24"/>
  <c r="AM216" i="24"/>
  <c r="AQ77" i="29"/>
  <c r="AM214" i="24"/>
  <c r="AO214" i="24"/>
  <c r="AO121" i="30"/>
  <c r="AS140" i="25"/>
  <c r="AM140" i="25"/>
  <c r="AG140" i="25"/>
  <c r="AQ140" i="25"/>
  <c r="AN140" i="25"/>
  <c r="AD140" i="25"/>
  <c r="AP140" i="25"/>
  <c r="AF140" i="25"/>
  <c r="AJ140" i="25"/>
  <c r="AO140" i="25"/>
  <c r="AH140" i="25"/>
  <c r="AR140" i="25"/>
  <c r="AK140" i="25"/>
  <c r="AR93" i="26"/>
  <c r="AE93" i="26"/>
  <c r="AJ93" i="26"/>
  <c r="AF93" i="26"/>
  <c r="AP93" i="26"/>
  <c r="AQ93" i="26"/>
  <c r="AS93" i="26"/>
  <c r="AM93" i="26"/>
  <c r="AO93" i="26"/>
  <c r="AD93" i="26"/>
  <c r="AN93" i="26"/>
  <c r="AK93" i="26"/>
  <c r="AG93" i="26"/>
  <c r="AN140" i="26"/>
  <c r="AE140" i="26"/>
  <c r="AG140" i="26"/>
  <c r="AR140" i="26"/>
  <c r="AK140" i="26"/>
  <c r="AO140" i="26"/>
  <c r="AQ140" i="26"/>
  <c r="AM140" i="26"/>
  <c r="AS140" i="26"/>
  <c r="AJ140" i="26"/>
  <c r="AH140" i="26"/>
  <c r="AD140" i="26"/>
  <c r="AF140" i="26"/>
  <c r="AJ154" i="26"/>
  <c r="AJ182" i="26"/>
  <c r="AK182" i="26"/>
  <c r="AJ102" i="27"/>
  <c r="AF102" i="27"/>
  <c r="AN102" i="27"/>
  <c r="AH102" i="27"/>
  <c r="AD102" i="27"/>
  <c r="AO102" i="27"/>
  <c r="AG102" i="27"/>
  <c r="AE102" i="27"/>
  <c r="AR102" i="27"/>
  <c r="AK102" i="27"/>
  <c r="AM102" i="27"/>
  <c r="AQ102" i="27"/>
  <c r="AS102" i="27"/>
  <c r="AP102" i="27"/>
  <c r="AK112" i="30"/>
  <c r="AQ112" i="30"/>
  <c r="AP105" i="30"/>
  <c r="AO96" i="30"/>
  <c r="AD96" i="30"/>
  <c r="AN96" i="30"/>
  <c r="AQ96" i="30"/>
  <c r="AL96" i="30"/>
  <c r="AK96" i="30"/>
  <c r="AS96" i="30"/>
  <c r="AH96" i="30"/>
  <c r="AR96" i="30"/>
  <c r="AG96" i="30"/>
  <c r="AH76" i="30"/>
  <c r="AS144" i="30"/>
  <c r="AQ138" i="25"/>
  <c r="AD138" i="25"/>
  <c r="AS138" i="25"/>
  <c r="AJ138" i="25"/>
  <c r="AH138" i="25"/>
  <c r="AN138" i="25"/>
  <c r="AE138" i="25"/>
  <c r="AR138" i="25"/>
  <c r="AG138" i="25"/>
  <c r="AK138" i="25"/>
  <c r="AP138" i="25"/>
  <c r="AF138" i="25"/>
  <c r="AO176" i="25"/>
  <c r="AH176" i="25"/>
  <c r="AE176" i="25"/>
  <c r="AS176" i="25"/>
  <c r="AD176" i="25"/>
  <c r="AP176" i="25"/>
  <c r="AE138" i="26"/>
  <c r="AJ144" i="30"/>
  <c r="AH144" i="30"/>
  <c r="AQ124" i="25"/>
  <c r="AD124" i="25"/>
  <c r="AH124" i="25"/>
  <c r="AS124" i="25"/>
  <c r="AO124" i="25"/>
  <c r="AN124" i="25"/>
  <c r="AM124" i="25"/>
  <c r="AF124" i="25"/>
  <c r="AG124" i="25"/>
  <c r="AR124" i="25"/>
  <c r="AS169" i="25"/>
  <c r="AE169" i="25"/>
  <c r="AD169" i="25"/>
  <c r="AR169" i="25"/>
  <c r="AN169" i="25"/>
  <c r="AQ169" i="25"/>
  <c r="AM169" i="25"/>
  <c r="AF169" i="25"/>
  <c r="AK169" i="25"/>
  <c r="AQ136" i="26"/>
  <c r="AF136" i="26"/>
  <c r="AE136" i="26"/>
  <c r="AS136" i="26"/>
  <c r="AH136" i="26"/>
  <c r="AN136" i="26"/>
  <c r="AP136" i="26"/>
  <c r="AD136" i="26"/>
  <c r="AK136" i="26"/>
  <c r="AM136" i="26"/>
  <c r="AO136" i="26"/>
  <c r="AJ136" i="26"/>
  <c r="AG136" i="26"/>
  <c r="AS219" i="22"/>
  <c r="AM219" i="22"/>
  <c r="AF219" i="22"/>
  <c r="AE219" i="22"/>
  <c r="AQ219" i="22"/>
  <c r="AK219" i="22"/>
  <c r="AH219" i="22"/>
  <c r="AP219" i="22"/>
  <c r="AG219" i="22"/>
  <c r="AD219" i="22"/>
  <c r="AR219" i="22"/>
  <c r="AH226" i="22"/>
  <c r="AQ226" i="22"/>
  <c r="AP226" i="22"/>
  <c r="AN226" i="22"/>
  <c r="AO226" i="22"/>
  <c r="AJ226" i="22"/>
  <c r="AK226" i="22"/>
  <c r="AE226" i="22"/>
  <c r="AG226" i="22"/>
  <c r="AS226" i="22"/>
  <c r="AM226" i="22"/>
  <c r="AF226" i="22"/>
  <c r="AR226" i="22"/>
  <c r="AR173" i="29"/>
  <c r="AH173" i="29"/>
  <c r="H32" i="23" s="1"/>
  <c r="AD173" i="29"/>
  <c r="F23" i="23" s="1"/>
  <c r="AI173" i="29"/>
  <c r="AO173" i="29"/>
  <c r="AQ173" i="29"/>
  <c r="K32" i="23" s="1"/>
  <c r="AJ173" i="29"/>
  <c r="I23" i="23" s="1"/>
  <c r="AF173" i="29"/>
  <c r="AE173" i="29"/>
  <c r="F32" i="23" s="1"/>
  <c r="AM173" i="29"/>
  <c r="H111" i="23" s="1"/>
  <c r="M111" i="23" s="1"/>
  <c r="AG173" i="29"/>
  <c r="H23" i="23" s="1"/>
  <c r="AS173" i="29"/>
  <c r="AK173" i="29"/>
  <c r="I32" i="23" s="1"/>
  <c r="AP173" i="29"/>
  <c r="K23" i="23" s="1"/>
  <c r="AN173" i="29"/>
  <c r="H125" i="23" s="1"/>
  <c r="M125" i="23" s="1"/>
  <c r="AR180" i="29"/>
  <c r="AS180" i="29"/>
  <c r="AM180" i="29"/>
  <c r="AE180" i="29"/>
  <c r="AO180" i="29"/>
  <c r="AH180" i="29"/>
  <c r="AP180" i="29"/>
  <c r="AK180" i="29"/>
  <c r="AF180" i="29"/>
  <c r="AL180" i="29"/>
  <c r="AG180" i="29"/>
  <c r="AQ180" i="29"/>
  <c r="AN180" i="29"/>
  <c r="AJ180" i="29"/>
  <c r="AI180" i="29"/>
  <c r="AO187" i="29"/>
  <c r="AQ187" i="29"/>
  <c r="AR187" i="29"/>
  <c r="AL187" i="29"/>
  <c r="AN187" i="29"/>
  <c r="AG187" i="29"/>
  <c r="AJ187" i="29"/>
  <c r="AE187" i="29"/>
  <c r="AF187" i="29"/>
  <c r="AP187" i="29"/>
  <c r="AK187" i="29"/>
  <c r="AS187" i="29"/>
  <c r="AI187" i="29"/>
  <c r="AD187" i="29"/>
  <c r="AM187" i="29"/>
  <c r="AP206" i="29"/>
  <c r="AE206" i="29"/>
  <c r="AN206" i="29"/>
  <c r="AI206" i="29"/>
  <c r="AL206" i="29"/>
  <c r="AD206" i="29"/>
  <c r="AR206" i="29"/>
  <c r="AS206" i="29"/>
  <c r="AM206" i="29"/>
  <c r="AJ206" i="29"/>
  <c r="AO206" i="29"/>
  <c r="AH206" i="29"/>
  <c r="AK243" i="29"/>
  <c r="AQ243" i="29"/>
  <c r="AR243" i="29"/>
  <c r="AL243" i="29"/>
  <c r="AD243" i="29"/>
  <c r="AN243" i="29"/>
  <c r="AI243" i="29"/>
  <c r="AP243" i="29"/>
  <c r="AJ243" i="29"/>
  <c r="AG243" i="29"/>
  <c r="AF243" i="29"/>
  <c r="AO243" i="29"/>
  <c r="AS243" i="29"/>
  <c r="AM243" i="29"/>
  <c r="AM167" i="25"/>
  <c r="AE167" i="25"/>
  <c r="AN167" i="25"/>
  <c r="AO167" i="25"/>
  <c r="AJ167" i="25"/>
  <c r="AF167" i="25"/>
  <c r="AS167" i="25"/>
  <c r="AQ167" i="25"/>
  <c r="AR134" i="26"/>
  <c r="AP176" i="22"/>
  <c r="AO176" i="22"/>
  <c r="AF176" i="22"/>
  <c r="AH176" i="22"/>
  <c r="AS176" i="22"/>
  <c r="AE176" i="22"/>
  <c r="AJ176" i="22"/>
  <c r="AD176" i="22"/>
  <c r="AN176" i="22"/>
  <c r="AM176" i="22"/>
  <c r="AQ176" i="22"/>
  <c r="AN195" i="22"/>
  <c r="AS195" i="22"/>
  <c r="AH195" i="22"/>
  <c r="AD195" i="22"/>
  <c r="AF195" i="22"/>
  <c r="AR195" i="22"/>
  <c r="AK195" i="22"/>
  <c r="AP195" i="22"/>
  <c r="AQ195" i="22"/>
  <c r="AG195" i="22"/>
  <c r="AM195" i="22"/>
  <c r="AH111" i="25"/>
  <c r="AM111" i="25"/>
  <c r="AN111" i="25"/>
  <c r="AS111" i="25"/>
  <c r="AJ111" i="25"/>
  <c r="AF111" i="25"/>
  <c r="AG111" i="25"/>
  <c r="AK111" i="25"/>
  <c r="AQ111" i="25"/>
  <c r="AS165" i="25"/>
  <c r="AF165" i="25"/>
  <c r="AP165" i="25"/>
  <c r="AG165" i="25"/>
  <c r="AO165" i="25"/>
  <c r="AE165" i="25"/>
  <c r="AD165" i="25"/>
  <c r="AR132" i="26"/>
  <c r="AF132" i="26"/>
  <c r="AQ132" i="26"/>
  <c r="AO132" i="26"/>
  <c r="AN132" i="26"/>
  <c r="AD132" i="26"/>
  <c r="AK132" i="26"/>
  <c r="AG132" i="26"/>
  <c r="AJ132" i="26"/>
  <c r="AS132" i="26"/>
  <c r="AH132" i="26"/>
  <c r="AR176" i="22"/>
  <c r="AE123" i="26"/>
  <c r="AQ123" i="26"/>
  <c r="AN123" i="26"/>
  <c r="AG123" i="26"/>
  <c r="AR123" i="26"/>
  <c r="AF123" i="26"/>
  <c r="AO123" i="26"/>
  <c r="AK123" i="26"/>
  <c r="AJ123" i="26"/>
  <c r="AH123" i="26"/>
  <c r="AR163" i="27"/>
  <c r="AQ163" i="27"/>
  <c r="AM163" i="27"/>
  <c r="AG163" i="27"/>
  <c r="AP163" i="27"/>
  <c r="AS163" i="27"/>
  <c r="AH163" i="27"/>
  <c r="AK163" i="27"/>
  <c r="AF163" i="27"/>
  <c r="AO163" i="27"/>
  <c r="AD163" i="27"/>
  <c r="L156" i="15" a="1"/>
  <c r="L156" i="15" s="1"/>
  <c r="AR87" i="25"/>
  <c r="AS87" i="25"/>
  <c r="AO87" i="25"/>
  <c r="AN87" i="25"/>
  <c r="AF87" i="25"/>
  <c r="AG87" i="25"/>
  <c r="AS149" i="25"/>
  <c r="AD149" i="25"/>
  <c r="AO149" i="25"/>
  <c r="AJ149" i="25"/>
  <c r="AG149" i="25"/>
  <c r="AK149" i="25"/>
  <c r="AF149" i="25"/>
  <c r="AN149" i="25"/>
  <c r="AP149" i="25"/>
  <c r="AE149" i="25"/>
  <c r="AH149" i="25"/>
  <c r="AM149" i="25"/>
  <c r="AD154" i="25"/>
  <c r="AR154" i="25"/>
  <c r="AK154" i="25"/>
  <c r="AG154" i="25"/>
  <c r="AM154" i="25"/>
  <c r="AQ154" i="25"/>
  <c r="AP154" i="25"/>
  <c r="AJ154" i="25"/>
  <c r="AS154" i="25"/>
  <c r="AO154" i="25"/>
  <c r="AD156" i="27"/>
  <c r="AF156" i="27"/>
  <c r="AE156" i="27"/>
  <c r="AM156" i="27"/>
  <c r="AO156" i="27"/>
  <c r="AG117" i="26"/>
  <c r="J153" i="15" a="1"/>
  <c r="J153" i="15" s="1"/>
  <c r="AR256" i="29"/>
  <c r="AG256" i="29"/>
  <c r="AK256" i="29"/>
  <c r="AO256" i="29"/>
  <c r="AD256" i="29"/>
  <c r="AE256" i="29"/>
  <c r="AF256" i="29"/>
  <c r="AH256" i="29"/>
  <c r="AI256" i="29"/>
  <c r="AJ256" i="29"/>
  <c r="AS256" i="29"/>
  <c r="AP256" i="29"/>
  <c r="AQ256" i="29"/>
  <c r="J152" i="15" a="1"/>
  <c r="J152" i="15" s="1"/>
  <c r="J159" i="15" a="1"/>
  <c r="J159" i="15" s="1"/>
  <c r="AJ255" i="22"/>
  <c r="AQ255" i="22"/>
  <c r="AH255" i="22"/>
  <c r="AD255" i="22"/>
  <c r="AN255" i="22"/>
  <c r="AR255" i="22"/>
  <c r="AF255" i="22"/>
  <c r="AQ250" i="24"/>
  <c r="AQ244" i="24"/>
  <c r="AF251" i="24"/>
  <c r="AO365" i="24"/>
  <c r="AK365" i="24"/>
  <c r="AG365" i="24"/>
  <c r="AH365" i="24"/>
  <c r="AE49" i="25"/>
  <c r="AE70" i="27"/>
  <c r="AE88" i="22"/>
  <c r="Z175" i="14"/>
  <c r="Q175" i="14"/>
  <c r="AC175" i="14"/>
  <c r="W175" i="14"/>
  <c r="T175" i="14"/>
  <c r="K321" i="14"/>
  <c r="AR321" i="14"/>
  <c r="CW228" i="14"/>
  <c r="O160" i="14"/>
  <c r="CZ228" i="14"/>
  <c r="R160" i="14"/>
  <c r="DC228" i="14"/>
  <c r="U160" i="14"/>
  <c r="DF228" i="14"/>
  <c r="X160" i="14"/>
  <c r="DI228" i="14"/>
  <c r="AA160" i="14"/>
  <c r="DL228" i="14"/>
  <c r="EA228" i="14"/>
  <c r="AV160" i="14"/>
  <c r="AD160" i="14"/>
  <c r="K31" i="33"/>
  <c r="K33" i="33"/>
  <c r="N321" i="14"/>
  <c r="Q321" i="14"/>
  <c r="W321" i="14"/>
  <c r="T321" i="14"/>
  <c r="Z321" i="14"/>
  <c r="AC321" i="14"/>
  <c r="AL10" i="30"/>
  <c r="H14" i="30"/>
  <c r="AR10" i="30"/>
  <c r="H11" i="30"/>
  <c r="AO11" i="30" s="1"/>
  <c r="H13" i="30"/>
  <c r="AR13" i="30" s="1"/>
  <c r="AQ13" i="30" s="1"/>
  <c r="H12" i="30"/>
  <c r="AI12" i="30" s="1"/>
  <c r="AI10" i="30"/>
  <c r="AH10" i="30" s="1"/>
  <c r="AF10" i="30"/>
  <c r="K32" i="33"/>
  <c r="AK43" i="29"/>
  <c r="AS11" i="29"/>
  <c r="AS133" i="29"/>
  <c r="AJ97" i="27"/>
  <c r="AN10" i="22"/>
  <c r="AN254" i="22" s="1"/>
  <c r="AO256" i="22"/>
  <c r="AL117" i="29"/>
  <c r="AK117" i="29" s="1"/>
  <c r="AC117" i="29"/>
  <c r="AJ256" i="22"/>
  <c r="AG256" i="22"/>
  <c r="AL50" i="26"/>
  <c r="AL46" i="26"/>
  <c r="AK46" i="26" s="1"/>
  <c r="AJ103" i="25"/>
  <c r="AJ101" i="25"/>
  <c r="AS42" i="25"/>
  <c r="AH42" i="25"/>
  <c r="J53" i="1"/>
  <c r="K45" i="18"/>
  <c r="D90" i="1"/>
  <c r="AC14" i="29"/>
  <c r="AJ104" i="26"/>
  <c r="AJ84" i="25"/>
  <c r="AJ257" i="22"/>
  <c r="AG257" i="22"/>
  <c r="AJ87" i="27"/>
  <c r="AJ112" i="25"/>
  <c r="AK60" i="27"/>
  <c r="E38" i="18"/>
  <c r="E35" i="2"/>
  <c r="AK56" i="27"/>
  <c r="AK26" i="26"/>
  <c r="AL28" i="26"/>
  <c r="AK28" i="26" s="1"/>
  <c r="AK41" i="27"/>
  <c r="AK25" i="27"/>
  <c r="AL9" i="27"/>
  <c r="AK9" i="27" s="1"/>
  <c r="AJ82" i="27"/>
  <c r="I20" i="23" s="1"/>
  <c r="AG25" i="23"/>
  <c r="AE25" i="23"/>
  <c r="AC25" i="23"/>
  <c r="AB25" i="23"/>
  <c r="AD25" i="23"/>
  <c r="K137" i="23"/>
  <c r="I137" i="23"/>
  <c r="J137" i="23"/>
  <c r="K136" i="23"/>
  <c r="J136" i="23"/>
  <c r="L137" i="23"/>
  <c r="L136" i="23"/>
  <c r="I136" i="23"/>
  <c r="AF152" i="24"/>
  <c r="AN138" i="24"/>
  <c r="AC84" i="29"/>
  <c r="AC58" i="29"/>
  <c r="AC137" i="29"/>
  <c r="AC100" i="29"/>
  <c r="AC63" i="29"/>
  <c r="AC112" i="29"/>
  <c r="AC59" i="29"/>
  <c r="AC142" i="29"/>
  <c r="AC124" i="29"/>
  <c r="AC139" i="29"/>
  <c r="AC118" i="29"/>
  <c r="AC115" i="29"/>
  <c r="AC143" i="29"/>
  <c r="AC122" i="29"/>
  <c r="AC91" i="29"/>
  <c r="AC87" i="29"/>
  <c r="AC64" i="29"/>
  <c r="AC126" i="29"/>
  <c r="AC94" i="29"/>
  <c r="AC113" i="29"/>
  <c r="AC107" i="29"/>
  <c r="AC72" i="29"/>
  <c r="AC101" i="29"/>
  <c r="AC90" i="29"/>
  <c r="AC60" i="29"/>
  <c r="AC51" i="29"/>
  <c r="AC103" i="29"/>
  <c r="AC77" i="29"/>
  <c r="AC114" i="29"/>
  <c r="AC106" i="29"/>
  <c r="AC86" i="29"/>
  <c r="AC82" i="29"/>
  <c r="AC71" i="29"/>
  <c r="AC56" i="29"/>
  <c r="AC95" i="29"/>
  <c r="AC65" i="29"/>
  <c r="AC98" i="29"/>
  <c r="AC76" i="29"/>
  <c r="AC52" i="29"/>
  <c r="AC48" i="29"/>
  <c r="AL120" i="29"/>
  <c r="AK120" i="29" s="1"/>
  <c r="AC120" i="29"/>
  <c r="AL128" i="29"/>
  <c r="AK128" i="29" s="1"/>
  <c r="AC128" i="29"/>
  <c r="AL81" i="29"/>
  <c r="AK81" i="29" s="1"/>
  <c r="AC81" i="29"/>
  <c r="AL140" i="29"/>
  <c r="AK140" i="29" s="1"/>
  <c r="AC140" i="29"/>
  <c r="AL88" i="29"/>
  <c r="AK88" i="29" s="1"/>
  <c r="AC88" i="29"/>
  <c r="AL47" i="29"/>
  <c r="AK47" i="29" s="1"/>
  <c r="AC47" i="29"/>
  <c r="AL104" i="29"/>
  <c r="AK104" i="29" s="1"/>
  <c r="AC104" i="29"/>
  <c r="AL41" i="29"/>
  <c r="AK41" i="29" s="1"/>
  <c r="AC41" i="29"/>
  <c r="AL97" i="29"/>
  <c r="AK97" i="29" s="1"/>
  <c r="AC97" i="29"/>
  <c r="AL131" i="29"/>
  <c r="AK131" i="29" s="1"/>
  <c r="AC131" i="29"/>
  <c r="AL123" i="29"/>
  <c r="AK123" i="29" s="1"/>
  <c r="AC123" i="29"/>
  <c r="AL121" i="29"/>
  <c r="AK121" i="29" s="1"/>
  <c r="AC121" i="29"/>
  <c r="AL57" i="29"/>
  <c r="AK57" i="29" s="1"/>
  <c r="AC57" i="29"/>
  <c r="AL83" i="29"/>
  <c r="AK83" i="29" s="1"/>
  <c r="AC83" i="29"/>
  <c r="AL99" i="29"/>
  <c r="AK99" i="29" s="1"/>
  <c r="AC99" i="29"/>
  <c r="AL119" i="29"/>
  <c r="AK119" i="29" s="1"/>
  <c r="AC119" i="29"/>
  <c r="AL129" i="29"/>
  <c r="AK129" i="29" s="1"/>
  <c r="AC129" i="29"/>
  <c r="AL116" i="29"/>
  <c r="AK116" i="29" s="1"/>
  <c r="AC116" i="29"/>
  <c r="AL125" i="29"/>
  <c r="AK125" i="29" s="1"/>
  <c r="AC125" i="29"/>
  <c r="AL93" i="29"/>
  <c r="AK93" i="29"/>
  <c r="AC93" i="29"/>
  <c r="AL55" i="29"/>
  <c r="AK55" i="29" s="1"/>
  <c r="AC55" i="29"/>
  <c r="AL37" i="29"/>
  <c r="AK37" i="29" s="1"/>
  <c r="AC37" i="29"/>
  <c r="AL89" i="29"/>
  <c r="AK89" i="29" s="1"/>
  <c r="AC89" i="29"/>
  <c r="AL54" i="29"/>
  <c r="AK54" i="29" s="1"/>
  <c r="AC54" i="29"/>
  <c r="AL141" i="29"/>
  <c r="AK141" i="29" s="1"/>
  <c r="AC141" i="29"/>
  <c r="AL80" i="29"/>
  <c r="AK80" i="29" s="1"/>
  <c r="AC80" i="29"/>
  <c r="AL74" i="29"/>
  <c r="AK74" i="29" s="1"/>
  <c r="AC74" i="29"/>
  <c r="AL75" i="29"/>
  <c r="AK75" i="29" s="1"/>
  <c r="AC75" i="29"/>
  <c r="AL138" i="29"/>
  <c r="AK138" i="29"/>
  <c r="AC138" i="29"/>
  <c r="AL12" i="29"/>
  <c r="AK12" i="29" s="1"/>
  <c r="AC12" i="29"/>
  <c r="AL145" i="29"/>
  <c r="AK145" i="29"/>
  <c r="AC145" i="29"/>
  <c r="AC9" i="29"/>
  <c r="M53" i="1"/>
  <c r="L45" i="18"/>
  <c r="G90" i="1"/>
  <c r="M19" i="2"/>
  <c r="Q9" i="14"/>
  <c r="F2" i="11"/>
  <c r="F15" i="11" s="1"/>
  <c r="F23" i="11" s="1"/>
  <c r="G2" i="20"/>
  <c r="G65" i="1"/>
  <c r="N18" i="8"/>
  <c r="J5" i="10"/>
  <c r="J31" i="10" s="1"/>
  <c r="P19" i="2"/>
  <c r="M5" i="10"/>
  <c r="M31" i="10" s="1"/>
  <c r="G2" i="11"/>
  <c r="G15" i="11" s="1"/>
  <c r="G23" i="11" s="1"/>
  <c r="T9" i="14"/>
  <c r="T213" i="14" s="1"/>
  <c r="J65" i="1"/>
  <c r="H2" i="20"/>
  <c r="J90" i="1"/>
  <c r="Q18" i="8"/>
  <c r="AL12" i="26"/>
  <c r="AK12" i="26" s="1"/>
  <c r="AL59" i="25"/>
  <c r="AK59" i="25" s="1"/>
  <c r="AL22" i="25"/>
  <c r="AL32" i="27"/>
  <c r="AK32" i="27" s="1"/>
  <c r="AL63" i="25"/>
  <c r="AK63" i="25" s="1"/>
  <c r="AL15" i="27"/>
  <c r="AK15" i="27" s="1"/>
  <c r="AL58" i="26"/>
  <c r="AK58" i="26" s="1"/>
  <c r="AL59" i="27"/>
  <c r="AK59" i="27" s="1"/>
  <c r="AL19" i="27"/>
  <c r="AK19" i="27" s="1"/>
  <c r="AL48" i="27"/>
  <c r="AK48" i="27" s="1"/>
  <c r="AL37" i="25"/>
  <c r="AK37" i="25" s="1"/>
  <c r="AL31" i="27"/>
  <c r="AL13" i="27"/>
  <c r="AK13" i="27" s="1"/>
  <c r="AL17" i="27"/>
  <c r="AK17" i="27" s="1"/>
  <c r="AK98" i="27" s="1"/>
  <c r="AL55" i="27"/>
  <c r="AK55" i="27" s="1"/>
  <c r="AL33" i="24"/>
  <c r="AL177" i="24"/>
  <c r="AL29" i="25"/>
  <c r="AL102" i="25" s="1"/>
  <c r="AL9" i="29"/>
  <c r="AL122" i="24"/>
  <c r="AL223" i="24"/>
  <c r="AL198" i="24"/>
  <c r="AL84" i="29"/>
  <c r="AK84" i="29" s="1"/>
  <c r="AL15" i="25"/>
  <c r="AK15" i="25" s="1"/>
  <c r="AL31" i="25"/>
  <c r="AK31" i="25" s="1"/>
  <c r="AL19" i="25"/>
  <c r="AK19" i="25" s="1"/>
  <c r="AL57" i="25"/>
  <c r="AK57" i="25" s="1"/>
  <c r="AL28" i="27"/>
  <c r="AK28" i="27" s="1"/>
  <c r="AL44" i="26"/>
  <c r="AK44" i="26" s="1"/>
  <c r="AL38" i="26"/>
  <c r="AK38" i="26" s="1"/>
  <c r="AL36" i="27"/>
  <c r="AK36" i="27" s="1"/>
  <c r="AL11" i="25"/>
  <c r="AK11" i="25" s="1"/>
  <c r="AL19" i="26"/>
  <c r="AK19" i="26" s="1"/>
  <c r="AL71" i="26"/>
  <c r="AL23" i="26"/>
  <c r="AL48" i="26"/>
  <c r="AK48" i="26" s="1"/>
  <c r="AL66" i="25"/>
  <c r="AK66" i="25" s="1"/>
  <c r="AL59" i="26"/>
  <c r="AK59" i="26" s="1"/>
  <c r="AL100" i="29"/>
  <c r="AL59" i="29"/>
  <c r="AK59" i="29" s="1"/>
  <c r="AL14" i="29"/>
  <c r="AL142" i="29"/>
  <c r="AL112" i="29"/>
  <c r="AK112" i="29" s="1"/>
  <c r="AL124" i="29"/>
  <c r="AK124" i="29" s="1"/>
  <c r="AL63" i="29"/>
  <c r="AK63" i="29" s="1"/>
  <c r="AL137" i="29"/>
  <c r="AK137" i="29" s="1"/>
  <c r="AL58" i="29"/>
  <c r="AK58" i="29" s="1"/>
  <c r="AL139" i="29"/>
  <c r="AK139" i="29" s="1"/>
  <c r="AL52" i="29"/>
  <c r="AK52" i="29" s="1"/>
  <c r="AL98" i="29"/>
  <c r="AK98" i="29" s="1"/>
  <c r="AL71" i="29"/>
  <c r="AK71" i="29" s="1"/>
  <c r="AL86" i="29"/>
  <c r="AK86" i="29" s="1"/>
  <c r="AL114" i="29"/>
  <c r="AK114" i="29" s="1"/>
  <c r="AL77" i="29"/>
  <c r="AL60" i="29"/>
  <c r="AK60" i="29" s="1"/>
  <c r="AL101" i="29"/>
  <c r="AL72" i="29"/>
  <c r="AK72" i="29" s="1"/>
  <c r="AL113" i="29"/>
  <c r="AK113" i="29" s="1"/>
  <c r="AL91" i="29"/>
  <c r="AK91" i="29" s="1"/>
  <c r="AL95" i="29"/>
  <c r="AK95" i="29" s="1"/>
  <c r="AL122" i="29"/>
  <c r="AK122" i="29" s="1"/>
  <c r="AL103" i="29"/>
  <c r="AK103" i="29" s="1"/>
  <c r="AL143" i="29"/>
  <c r="AK143" i="29" s="1"/>
  <c r="AL118" i="29"/>
  <c r="AK118" i="29" s="1"/>
  <c r="AL126" i="29"/>
  <c r="AK126" i="29" s="1"/>
  <c r="AL48" i="29"/>
  <c r="AL76" i="29"/>
  <c r="AK76" i="29" s="1"/>
  <c r="AL65" i="29"/>
  <c r="AK65" i="29" s="1"/>
  <c r="AL56" i="29"/>
  <c r="AK56" i="29" s="1"/>
  <c r="AL82" i="29"/>
  <c r="AK82" i="29" s="1"/>
  <c r="AL106" i="29"/>
  <c r="AL51" i="29"/>
  <c r="AK51" i="29" s="1"/>
  <c r="AL90" i="29"/>
  <c r="AK90" i="29" s="1"/>
  <c r="AL107" i="29"/>
  <c r="AK107" i="29" s="1"/>
  <c r="AL94" i="29"/>
  <c r="AK94" i="29" s="1"/>
  <c r="AL64" i="29"/>
  <c r="AK64" i="29" s="1"/>
  <c r="AL87" i="29"/>
  <c r="AK87" i="29" s="1"/>
  <c r="AL115" i="29"/>
  <c r="AK115" i="29" s="1"/>
  <c r="AL39" i="29"/>
  <c r="AK39" i="29" s="1"/>
  <c r="AC39" i="29"/>
  <c r="AL23" i="29"/>
  <c r="AK23" i="29" s="1"/>
  <c r="AC23" i="29"/>
  <c r="AC53" i="29"/>
  <c r="AL36" i="29"/>
  <c r="AK36" i="29" s="1"/>
  <c r="AC36" i="29"/>
  <c r="AL38" i="29"/>
  <c r="AK38" i="29" s="1"/>
  <c r="AC38" i="29"/>
  <c r="AL40" i="29"/>
  <c r="AK40" i="29" s="1"/>
  <c r="AC40" i="29"/>
  <c r="AL45" i="29"/>
  <c r="AK45" i="29" s="1"/>
  <c r="AC45" i="29"/>
  <c r="AC50" i="29"/>
  <c r="AL35" i="29"/>
  <c r="AK35" i="29" s="1"/>
  <c r="AC35" i="29"/>
  <c r="AL49" i="29"/>
  <c r="AK49" i="29" s="1"/>
  <c r="AC49" i="29"/>
  <c r="AL32" i="29"/>
  <c r="AK32" i="29" s="1"/>
  <c r="AC32" i="29"/>
  <c r="AL30" i="29"/>
  <c r="AK30" i="29" s="1"/>
  <c r="AC30" i="29"/>
  <c r="AL42" i="29"/>
  <c r="AK42" i="29" s="1"/>
  <c r="AC42" i="29"/>
  <c r="AC17" i="29"/>
  <c r="AL15" i="29"/>
  <c r="AC15" i="29"/>
  <c r="AC24" i="29"/>
  <c r="AL29" i="29"/>
  <c r="AK29" i="29" s="1"/>
  <c r="AC29" i="29"/>
  <c r="AL16" i="29"/>
  <c r="AK16" i="29" s="1"/>
  <c r="AC16" i="29"/>
  <c r="AL46" i="29"/>
  <c r="AK46" i="29" s="1"/>
  <c r="AC46" i="29"/>
  <c r="AL31" i="29"/>
  <c r="AK31" i="29" s="1"/>
  <c r="AC31" i="29"/>
  <c r="AL50" i="29"/>
  <c r="AL53" i="29"/>
  <c r="AL24" i="29"/>
  <c r="AK24" i="29" s="1"/>
  <c r="AL17" i="29"/>
  <c r="AK17" i="29" s="1"/>
  <c r="M65" i="1"/>
  <c r="I2" i="20"/>
  <c r="S19" i="2"/>
  <c r="M90" i="1"/>
  <c r="P5" i="10"/>
  <c r="P31" i="10" s="1"/>
  <c r="T18" i="8"/>
  <c r="H2" i="11"/>
  <c r="H15" i="11" s="1"/>
  <c r="H23" i="11" s="1"/>
  <c r="W9" i="14"/>
  <c r="P45" i="18"/>
  <c r="P53" i="1"/>
  <c r="AK22" i="25"/>
  <c r="AK9" i="29"/>
  <c r="AK16" i="26"/>
  <c r="AK14" i="29"/>
  <c r="AK142" i="29"/>
  <c r="AK100" i="29"/>
  <c r="AK101" i="29"/>
  <c r="AK15" i="29"/>
  <c r="AK106" i="29"/>
  <c r="AK48" i="29"/>
  <c r="AK77" i="29"/>
  <c r="AK53" i="29"/>
  <c r="AK50" i="29"/>
  <c r="P65" i="1"/>
  <c r="I3" i="50" s="1"/>
  <c r="P90" i="1"/>
  <c r="V19" i="2"/>
  <c r="Z9" i="14"/>
  <c r="DH9" i="14" s="1"/>
  <c r="W18" i="8"/>
  <c r="I2" i="11"/>
  <c r="I15" i="11" s="1"/>
  <c r="I23" i="11" s="1"/>
  <c r="S5" i="10"/>
  <c r="S31" i="10" s="1"/>
  <c r="J2" i="20"/>
  <c r="R45" i="18"/>
  <c r="S53" i="1"/>
  <c r="AL21" i="25"/>
  <c r="AL83" i="25" s="1"/>
  <c r="AC213" i="14"/>
  <c r="Y19" i="2"/>
  <c r="K2" i="20"/>
  <c r="S65" i="1"/>
  <c r="S90" i="1"/>
  <c r="J2" i="11"/>
  <c r="J15" i="11" s="1"/>
  <c r="J23" i="11" s="1"/>
  <c r="V5" i="10"/>
  <c r="V31" i="10" s="1"/>
  <c r="AF215" i="22" l="1"/>
  <c r="AM215" i="22"/>
  <c r="AN11" i="22"/>
  <c r="AN215" i="22" s="1"/>
  <c r="AQ17" i="22"/>
  <c r="AQ225" i="22" s="1"/>
  <c r="AI159" i="30"/>
  <c r="AO135" i="30"/>
  <c r="AH151" i="30"/>
  <c r="AL151" i="30"/>
  <c r="AI106" i="30"/>
  <c r="AF98" i="30"/>
  <c r="AN90" i="30"/>
  <c r="AH74" i="30"/>
  <c r="AS16" i="30"/>
  <c r="AQ27" i="30"/>
  <c r="AD33" i="30"/>
  <c r="AD135" i="30"/>
  <c r="AF127" i="30"/>
  <c r="AQ119" i="30"/>
  <c r="AP119" i="30"/>
  <c r="AN111" i="30"/>
  <c r="AI111" i="30"/>
  <c r="AN159" i="30"/>
  <c r="AF135" i="30"/>
  <c r="AI151" i="30"/>
  <c r="AM135" i="30"/>
  <c r="AN143" i="30"/>
  <c r="AE151" i="30"/>
  <c r="AL127" i="30"/>
  <c r="AO127" i="30"/>
  <c r="AN119" i="30"/>
  <c r="AJ111" i="30"/>
  <c r="AL106" i="30"/>
  <c r="AO74" i="30"/>
  <c r="AH82" i="30"/>
  <c r="AS106" i="30"/>
  <c r="AO98" i="30"/>
  <c r="AJ90" i="30"/>
  <c r="AL74" i="30"/>
  <c r="AF20" i="30"/>
  <c r="AN31" i="30"/>
  <c r="AQ41" i="30"/>
  <c r="AQ53" i="30"/>
  <c r="AK159" i="30"/>
  <c r="AK151" i="30"/>
  <c r="AJ135" i="30"/>
  <c r="AR143" i="30"/>
  <c r="AO143" i="30"/>
  <c r="AR159" i="30"/>
  <c r="AK135" i="30"/>
  <c r="AD127" i="30"/>
  <c r="AG127" i="30"/>
  <c r="AM119" i="30"/>
  <c r="AK119" i="30"/>
  <c r="AR111" i="30"/>
  <c r="AH90" i="30"/>
  <c r="AJ82" i="30"/>
  <c r="AI98" i="30"/>
  <c r="AD90" i="30"/>
  <c r="AE32" i="30"/>
  <c r="AN52" i="30"/>
  <c r="AD59" i="30"/>
  <c r="AO159" i="30"/>
  <c r="AH135" i="30"/>
  <c r="AS143" i="30"/>
  <c r="AQ159" i="30"/>
  <c r="AF159" i="30"/>
  <c r="AE135" i="30"/>
  <c r="AG143" i="30"/>
  <c r="AQ143" i="30"/>
  <c r="AP151" i="30"/>
  <c r="AR151" i="30"/>
  <c r="AP143" i="30"/>
  <c r="AP159" i="30"/>
  <c r="AR135" i="30"/>
  <c r="AR127" i="30"/>
  <c r="AH127" i="30"/>
  <c r="AS119" i="30"/>
  <c r="AL119" i="30"/>
  <c r="AQ111" i="30"/>
  <c r="AP111" i="30"/>
  <c r="AF45" i="30"/>
  <c r="AH119" i="30"/>
  <c r="AM82" i="30"/>
  <c r="AM98" i="30"/>
  <c r="AF90" i="30"/>
  <c r="AS65" i="30"/>
  <c r="AF61" i="30"/>
  <c r="AQ28" i="30"/>
  <c r="AN46" i="30"/>
  <c r="AQ47" i="30"/>
  <c r="AN49" i="30"/>
  <c r="AQ52" i="30"/>
  <c r="AN54" i="30"/>
  <c r="AR119" i="30"/>
  <c r="AE119" i="30"/>
  <c r="AH111" i="30"/>
  <c r="AF36" i="30"/>
  <c r="AM106" i="30"/>
  <c r="AE82" i="30"/>
  <c r="AP98" i="30"/>
  <c r="AN151" i="30"/>
  <c r="AQ135" i="30"/>
  <c r="AI135" i="30"/>
  <c r="AL135" i="30"/>
  <c r="AP135" i="30"/>
  <c r="AD151" i="30"/>
  <c r="AG151" i="30"/>
  <c r="AJ143" i="30"/>
  <c r="AK127" i="30"/>
  <c r="AP127" i="30"/>
  <c r="AF119" i="30"/>
  <c r="AO119" i="30"/>
  <c r="AO111" i="30"/>
  <c r="AE111" i="30"/>
  <c r="AP106" i="30"/>
  <c r="AQ82" i="30"/>
  <c r="AG90" i="30"/>
  <c r="AI90" i="30"/>
  <c r="AD74" i="30"/>
  <c r="AE34" i="30"/>
  <c r="AD58" i="30"/>
  <c r="AH159" i="30"/>
  <c r="AM159" i="30"/>
  <c r="AO151" i="30"/>
  <c r="AD143" i="30"/>
  <c r="AI143" i="30"/>
  <c r="AL143" i="30"/>
  <c r="AN127" i="30"/>
  <c r="AQ127" i="30"/>
  <c r="AI119" i="30"/>
  <c r="AS111" i="30"/>
  <c r="AG106" i="30"/>
  <c r="AF82" i="30"/>
  <c r="AJ98" i="30"/>
  <c r="AE98" i="30"/>
  <c r="AO90" i="30"/>
  <c r="AE29" i="30"/>
  <c r="AQ32" i="30"/>
  <c r="AQ35" i="30"/>
  <c r="AQ40" i="30"/>
  <c r="AN43" i="30"/>
  <c r="AN48" i="30"/>
  <c r="AQ37" i="30"/>
  <c r="AF31" i="30"/>
  <c r="AE31" i="30" s="1"/>
  <c r="AD25" i="30"/>
  <c r="AE25" i="30" s="1"/>
  <c r="AQ25" i="30"/>
  <c r="AN40" i="30"/>
  <c r="AQ38" i="30"/>
  <c r="AM326" i="23"/>
  <c r="AM325" i="23"/>
  <c r="AM317" i="23"/>
  <c r="AM328" i="23"/>
  <c r="AM318" i="23"/>
  <c r="AM324" i="23"/>
  <c r="AM320" i="23"/>
  <c r="AM323" i="23"/>
  <c r="AQ242" i="24"/>
  <c r="AN256" i="24"/>
  <c r="AE255" i="24"/>
  <c r="AN260" i="24"/>
  <c r="AK257" i="24"/>
  <c r="AF182" i="24"/>
  <c r="AQ255" i="24"/>
  <c r="AQ259" i="24"/>
  <c r="AF164" i="24"/>
  <c r="C271" i="24"/>
  <c r="H271" i="24" s="1"/>
  <c r="E12" i="15" s="1"/>
  <c r="M12" i="15" s="1"/>
  <c r="AH254" i="24"/>
  <c r="AE259" i="24"/>
  <c r="AF160" i="24"/>
  <c r="AF189" i="24"/>
  <c r="AK177" i="24"/>
  <c r="AF168" i="24"/>
  <c r="AE168" i="24" s="1"/>
  <c r="AQ251" i="24"/>
  <c r="AK254" i="24"/>
  <c r="AH255" i="24"/>
  <c r="AE256" i="24"/>
  <c r="AQ256" i="24"/>
  <c r="AN257" i="24"/>
  <c r="AK258" i="24"/>
  <c r="AH259" i="24"/>
  <c r="AE260" i="24"/>
  <c r="C267" i="24"/>
  <c r="H267" i="24" s="1"/>
  <c r="E8" i="15" s="1"/>
  <c r="C299" i="24"/>
  <c r="H299" i="24" s="1"/>
  <c r="E40" i="15" s="1"/>
  <c r="M40" i="15" s="1"/>
  <c r="C339" i="24"/>
  <c r="H339" i="24" s="1"/>
  <c r="E80" i="15" s="1"/>
  <c r="M80" i="15" s="1"/>
  <c r="AK138" i="24"/>
  <c r="AF159" i="24"/>
  <c r="AE159" i="24" s="1"/>
  <c r="AK197" i="24"/>
  <c r="AK229" i="24"/>
  <c r="AK221" i="24"/>
  <c r="AO221" i="24"/>
  <c r="C266" i="24"/>
  <c r="H266" i="24" s="1"/>
  <c r="E7" i="15" s="1"/>
  <c r="M7" i="15" s="1"/>
  <c r="C274" i="24"/>
  <c r="H274" i="24" s="1"/>
  <c r="E15" i="15" s="1"/>
  <c r="M15" i="15" s="1"/>
  <c r="C290" i="24"/>
  <c r="H290" i="24" s="1"/>
  <c r="E31" i="15" s="1"/>
  <c r="M31" i="15" s="1"/>
  <c r="C298" i="24"/>
  <c r="H298" i="24" s="1"/>
  <c r="E39" i="15" s="1"/>
  <c r="M39" i="15" s="1"/>
  <c r="C362" i="24"/>
  <c r="H362" i="24" s="1"/>
  <c r="E103" i="15" s="1"/>
  <c r="M103" i="15" s="1"/>
  <c r="AS258" i="24"/>
  <c r="C272" i="24"/>
  <c r="H272" i="24" s="1"/>
  <c r="E13" i="15" s="1"/>
  <c r="M13" i="15" s="1"/>
  <c r="AF280" i="24"/>
  <c r="C280" i="24"/>
  <c r="H280" i="24" s="1"/>
  <c r="E21" i="15" s="1"/>
  <c r="M21" i="15" s="1"/>
  <c r="AP288" i="24"/>
  <c r="C288" i="24"/>
  <c r="H288" i="24" s="1"/>
  <c r="E29" i="15" s="1"/>
  <c r="M29" i="15" s="1"/>
  <c r="AS296" i="24"/>
  <c r="C296" i="24"/>
  <c r="H296" i="24" s="1"/>
  <c r="E37" i="15" s="1"/>
  <c r="M37" i="15" s="1"/>
  <c r="AQ304" i="24"/>
  <c r="C304" i="24"/>
  <c r="H304" i="24" s="1"/>
  <c r="E45" i="15" s="1"/>
  <c r="M45" i="15" s="1"/>
  <c r="C306" i="24"/>
  <c r="H306" i="24" s="1"/>
  <c r="AP312" i="24"/>
  <c r="C312" i="24"/>
  <c r="H312" i="24" s="1"/>
  <c r="E53" i="15" s="1"/>
  <c r="M53" i="15" s="1"/>
  <c r="AI320" i="24"/>
  <c r="C320" i="24"/>
  <c r="H320" i="24" s="1"/>
  <c r="E61" i="15" s="1"/>
  <c r="M61" i="15" s="1"/>
  <c r="AH328" i="24"/>
  <c r="C328" i="24"/>
  <c r="H328" i="24" s="1"/>
  <c r="E69" i="15" s="1"/>
  <c r="M69" i="15" s="1"/>
  <c r="AN336" i="24"/>
  <c r="C336" i="24"/>
  <c r="H336" i="24" s="1"/>
  <c r="E77" i="15" s="1"/>
  <c r="M77" i="15" s="1"/>
  <c r="AN344" i="24"/>
  <c r="C344" i="24"/>
  <c r="H344" i="24" s="1"/>
  <c r="E85" i="15" s="1"/>
  <c r="M85" i="15" s="1"/>
  <c r="AG352" i="24"/>
  <c r="C352" i="24"/>
  <c r="H352" i="24" s="1"/>
  <c r="E93" i="15" s="1"/>
  <c r="M93" i="15" s="1"/>
  <c r="AJ360" i="24"/>
  <c r="C360" i="24"/>
  <c r="H360" i="24" s="1"/>
  <c r="E101" i="15" s="1"/>
  <c r="M101" i="15" s="1"/>
  <c r="C363" i="24"/>
  <c r="H363" i="24" s="1"/>
  <c r="E104" i="15" s="1"/>
  <c r="M104" i="15" s="1"/>
  <c r="AQ142" i="24"/>
  <c r="AJ275" i="24"/>
  <c r="C275" i="24"/>
  <c r="H275" i="24" s="1"/>
  <c r="E16" i="15" s="1"/>
  <c r="AP283" i="24"/>
  <c r="C283" i="24"/>
  <c r="H283" i="24" s="1"/>
  <c r="E24" i="15" s="1"/>
  <c r="M24" i="15" s="1"/>
  <c r="AE291" i="24"/>
  <c r="C291" i="24"/>
  <c r="H291" i="24" s="1"/>
  <c r="E32" i="15" s="1"/>
  <c r="M32" i="15" s="1"/>
  <c r="AD315" i="24"/>
  <c r="C315" i="24"/>
  <c r="H315" i="24" s="1"/>
  <c r="E56" i="15" s="1"/>
  <c r="AF323" i="24"/>
  <c r="C323" i="24"/>
  <c r="H323" i="24" s="1"/>
  <c r="E64" i="15" s="1"/>
  <c r="AK331" i="24"/>
  <c r="C331" i="24"/>
  <c r="H331" i="24" s="1"/>
  <c r="E72" i="15" s="1"/>
  <c r="M72" i="15" s="1"/>
  <c r="AS347" i="24"/>
  <c r="C347" i="24"/>
  <c r="H347" i="24" s="1"/>
  <c r="E88" i="15" s="1"/>
  <c r="M88" i="15" s="1"/>
  <c r="AL355" i="24"/>
  <c r="C355" i="24"/>
  <c r="H355" i="24" s="1"/>
  <c r="E96" i="15" s="1"/>
  <c r="M96" i="15" s="1"/>
  <c r="AD278" i="24"/>
  <c r="C278" i="24"/>
  <c r="H278" i="24" s="1"/>
  <c r="E19" i="15" s="1"/>
  <c r="AI286" i="24"/>
  <c r="C286" i="24"/>
  <c r="H286" i="24" s="1"/>
  <c r="E27" i="15" s="1"/>
  <c r="M27" i="15" s="1"/>
  <c r="AN302" i="24"/>
  <c r="H43" i="15" s="1"/>
  <c r="C302" i="24"/>
  <c r="H302" i="24" s="1"/>
  <c r="E43" i="15" s="1"/>
  <c r="M43" i="15" s="1"/>
  <c r="AQ310" i="24"/>
  <c r="C310" i="24"/>
  <c r="H310" i="24" s="1"/>
  <c r="E51" i="15" s="1"/>
  <c r="M51" i="15" s="1"/>
  <c r="AG318" i="24"/>
  <c r="C318" i="24"/>
  <c r="H318" i="24" s="1"/>
  <c r="E59" i="15" s="1"/>
  <c r="M59" i="15" s="1"/>
  <c r="AO326" i="24"/>
  <c r="C326" i="24"/>
  <c r="H326" i="24" s="1"/>
  <c r="E67" i="15" s="1"/>
  <c r="M67" i="15" s="1"/>
  <c r="AS334" i="24"/>
  <c r="C334" i="24"/>
  <c r="H334" i="24" s="1"/>
  <c r="E75" i="15" s="1"/>
  <c r="M75" i="15" s="1"/>
  <c r="AR342" i="24"/>
  <c r="C342" i="24"/>
  <c r="H342" i="24" s="1"/>
  <c r="E83" i="15" s="1"/>
  <c r="M83" i="15" s="1"/>
  <c r="C350" i="24"/>
  <c r="H350" i="24" s="1"/>
  <c r="E91" i="15" s="1"/>
  <c r="M91" i="15" s="1"/>
  <c r="AJ358" i="24"/>
  <c r="C358" i="24"/>
  <c r="H358" i="24" s="1"/>
  <c r="E99" i="15" s="1"/>
  <c r="M99" i="15" s="1"/>
  <c r="C265" i="24"/>
  <c r="H265" i="24" s="1"/>
  <c r="E6" i="15" s="1"/>
  <c r="AK273" i="24"/>
  <c r="C273" i="24"/>
  <c r="H273" i="24" s="1"/>
  <c r="E14" i="15" s="1"/>
  <c r="M14" i="15" s="1"/>
  <c r="AE281" i="24"/>
  <c r="C281" i="24"/>
  <c r="H281" i="24" s="1"/>
  <c r="E22" i="15" s="1"/>
  <c r="M22" i="15" s="1"/>
  <c r="C307" i="24"/>
  <c r="H307" i="24" s="1"/>
  <c r="AS321" i="24"/>
  <c r="C321" i="24"/>
  <c r="H321" i="24" s="1"/>
  <c r="E62" i="15" s="1"/>
  <c r="M62" i="15" s="1"/>
  <c r="AK329" i="24"/>
  <c r="C329" i="24"/>
  <c r="H329" i="24" s="1"/>
  <c r="E70" i="15" s="1"/>
  <c r="M70" i="15" s="1"/>
  <c r="AN337" i="24"/>
  <c r="C337" i="24"/>
  <c r="H337" i="24" s="1"/>
  <c r="E78" i="15" s="1"/>
  <c r="M78" i="15" s="1"/>
  <c r="AD345" i="24"/>
  <c r="C345" i="24"/>
  <c r="H345" i="24" s="1"/>
  <c r="E86" i="15" s="1"/>
  <c r="M86" i="15" s="1"/>
  <c r="AI353" i="24"/>
  <c r="C353" i="24"/>
  <c r="H353" i="24" s="1"/>
  <c r="E94" i="15" s="1"/>
  <c r="M94" i="15" s="1"/>
  <c r="AM361" i="24"/>
  <c r="G102" i="15" s="1"/>
  <c r="C361" i="24"/>
  <c r="H361" i="24" s="1"/>
  <c r="E102" i="15" s="1"/>
  <c r="M102" i="15" s="1"/>
  <c r="AD268" i="24"/>
  <c r="C268" i="24"/>
  <c r="H268" i="24" s="1"/>
  <c r="E9" i="15" s="1"/>
  <c r="M9" i="15" s="1"/>
  <c r="C276" i="24"/>
  <c r="H276" i="24" s="1"/>
  <c r="E17" i="15" s="1"/>
  <c r="M17" i="15" s="1"/>
  <c r="AI284" i="24"/>
  <c r="C284" i="24"/>
  <c r="H284" i="24" s="1"/>
  <c r="E25" i="15" s="1"/>
  <c r="M25" i="15" s="1"/>
  <c r="AL292" i="24"/>
  <c r="C292" i="24"/>
  <c r="H292" i="24" s="1"/>
  <c r="E33" i="15" s="1"/>
  <c r="M33" i="15" s="1"/>
  <c r="AK300" i="24"/>
  <c r="C300" i="24"/>
  <c r="H300" i="24" s="1"/>
  <c r="E41" i="15" s="1"/>
  <c r="M41" i="15" s="1"/>
  <c r="AN308" i="24"/>
  <c r="C308" i="24"/>
  <c r="H308" i="24" s="1"/>
  <c r="E49" i="15" s="1"/>
  <c r="M49" i="15" s="1"/>
  <c r="AS316" i="24"/>
  <c r="C316" i="24"/>
  <c r="H316" i="24" s="1"/>
  <c r="E57" i="15" s="1"/>
  <c r="M57" i="15" s="1"/>
  <c r="AI324" i="24"/>
  <c r="C324" i="24"/>
  <c r="H324" i="24" s="1"/>
  <c r="E65" i="15" s="1"/>
  <c r="M65" i="15" s="1"/>
  <c r="AR332" i="24"/>
  <c r="C332" i="24"/>
  <c r="H332" i="24" s="1"/>
  <c r="E73" i="15" s="1"/>
  <c r="M73" i="15" s="1"/>
  <c r="AS340" i="24"/>
  <c r="C340" i="24"/>
  <c r="H340" i="24" s="1"/>
  <c r="E81" i="15" s="1"/>
  <c r="M81" i="15" s="1"/>
  <c r="C348" i="24"/>
  <c r="H348" i="24" s="1"/>
  <c r="E89" i="15" s="1"/>
  <c r="M89" i="15" s="1"/>
  <c r="AN356" i="24"/>
  <c r="C356" i="24"/>
  <c r="H356" i="24" s="1"/>
  <c r="E97" i="15" s="1"/>
  <c r="M97" i="15" s="1"/>
  <c r="AH239" i="24"/>
  <c r="AQ240" i="24"/>
  <c r="AN242" i="24"/>
  <c r="AJ279" i="24"/>
  <c r="C279" i="24"/>
  <c r="H279" i="24" s="1"/>
  <c r="E20" i="15" s="1"/>
  <c r="AQ287" i="24"/>
  <c r="C287" i="24"/>
  <c r="H287" i="24" s="1"/>
  <c r="E28" i="15" s="1"/>
  <c r="M28" i="15" s="1"/>
  <c r="AP295" i="24"/>
  <c r="C295" i="24"/>
  <c r="H295" i="24" s="1"/>
  <c r="E36" i="15" s="1"/>
  <c r="M36" i="15" s="1"/>
  <c r="AK303" i="24"/>
  <c r="C303" i="24"/>
  <c r="H303" i="24" s="1"/>
  <c r="E44" i="15" s="1"/>
  <c r="M44" i="15" s="1"/>
  <c r="C305" i="24"/>
  <c r="H305" i="24" s="1"/>
  <c r="E46" i="15" s="1"/>
  <c r="AM311" i="24"/>
  <c r="C311" i="24"/>
  <c r="H311" i="24" s="1"/>
  <c r="E52" i="15" s="1"/>
  <c r="M52" i="15" s="1"/>
  <c r="AM319" i="24"/>
  <c r="C319" i="24"/>
  <c r="H319" i="24" s="1"/>
  <c r="E60" i="15" s="1"/>
  <c r="M60" i="15" s="1"/>
  <c r="AR327" i="24"/>
  <c r="I68" i="15" s="1"/>
  <c r="C327" i="24"/>
  <c r="H327" i="24" s="1"/>
  <c r="E68" i="15" s="1"/>
  <c r="M68" i="15" s="1"/>
  <c r="AM335" i="24"/>
  <c r="C335" i="24"/>
  <c r="H335" i="24" s="1"/>
  <c r="E76" i="15" s="1"/>
  <c r="M76" i="15" s="1"/>
  <c r="AQ343" i="24"/>
  <c r="C343" i="24"/>
  <c r="H343" i="24" s="1"/>
  <c r="E84" i="15" s="1"/>
  <c r="M84" i="15" s="1"/>
  <c r="AI351" i="24"/>
  <c r="C351" i="24"/>
  <c r="H351" i="24" s="1"/>
  <c r="E92" i="15" s="1"/>
  <c r="M92" i="15" s="1"/>
  <c r="AM359" i="24"/>
  <c r="C359" i="24"/>
  <c r="H359" i="24" s="1"/>
  <c r="E100" i="15" s="1"/>
  <c r="M100" i="15" s="1"/>
  <c r="AQ282" i="24"/>
  <c r="C282" i="24"/>
  <c r="H282" i="24" s="1"/>
  <c r="E23" i="15" s="1"/>
  <c r="M23" i="15" s="1"/>
  <c r="AJ314" i="24"/>
  <c r="C314" i="24"/>
  <c r="H314" i="24" s="1"/>
  <c r="E55" i="15" s="1"/>
  <c r="M55" i="15" s="1"/>
  <c r="AP322" i="24"/>
  <c r="C322" i="24"/>
  <c r="H322" i="24" s="1"/>
  <c r="E63" i="15" s="1"/>
  <c r="M63" i="15" s="1"/>
  <c r="AO330" i="24"/>
  <c r="C330" i="24"/>
  <c r="H330" i="24" s="1"/>
  <c r="E71" i="15" s="1"/>
  <c r="M71" i="15" s="1"/>
  <c r="AQ338" i="24"/>
  <c r="C338" i="24"/>
  <c r="H338" i="24" s="1"/>
  <c r="E79" i="15" s="1"/>
  <c r="M79" i="15" s="1"/>
  <c r="AP346" i="24"/>
  <c r="C346" i="24"/>
  <c r="H346" i="24" s="1"/>
  <c r="E87" i="15" s="1"/>
  <c r="M87" i="15" s="1"/>
  <c r="AD354" i="24"/>
  <c r="C354" i="24"/>
  <c r="H354" i="24" s="1"/>
  <c r="E95" i="15" s="1"/>
  <c r="M95" i="15" s="1"/>
  <c r="AJ269" i="24"/>
  <c r="C269" i="24"/>
  <c r="H269" i="24" s="1"/>
  <c r="E10" i="15" s="1"/>
  <c r="AK277" i="24"/>
  <c r="C277" i="24"/>
  <c r="H277" i="24" s="1"/>
  <c r="E18" i="15" s="1"/>
  <c r="M18" i="15" s="1"/>
  <c r="AS285" i="24"/>
  <c r="C285" i="24"/>
  <c r="H285" i="24" s="1"/>
  <c r="E26" i="15" s="1"/>
  <c r="M26" i="15" s="1"/>
  <c r="AG293" i="24"/>
  <c r="C293" i="24"/>
  <c r="H293" i="24" s="1"/>
  <c r="E34" i="15" s="1"/>
  <c r="M34" i="15" s="1"/>
  <c r="AS301" i="24"/>
  <c r="C301" i="24"/>
  <c r="H301" i="24" s="1"/>
  <c r="E42" i="15" s="1"/>
  <c r="M42" i="15" s="1"/>
  <c r="AM309" i="24"/>
  <c r="C309" i="24"/>
  <c r="H309" i="24" s="1"/>
  <c r="E50" i="15" s="1"/>
  <c r="M50" i="15" s="1"/>
  <c r="AN317" i="24"/>
  <c r="C317" i="24"/>
  <c r="H317" i="24" s="1"/>
  <c r="E58" i="15" s="1"/>
  <c r="M58" i="15" s="1"/>
  <c r="AR325" i="24"/>
  <c r="C325" i="24"/>
  <c r="H325" i="24" s="1"/>
  <c r="E66" i="15" s="1"/>
  <c r="M66" i="15" s="1"/>
  <c r="AO333" i="24"/>
  <c r="C333" i="24"/>
  <c r="H333" i="24" s="1"/>
  <c r="E74" i="15" s="1"/>
  <c r="M74" i="15" s="1"/>
  <c r="AO341" i="24"/>
  <c r="C341" i="24"/>
  <c r="H341" i="24" s="1"/>
  <c r="E82" i="15" s="1"/>
  <c r="M82" i="15" s="1"/>
  <c r="AQ349" i="24"/>
  <c r="C349" i="24"/>
  <c r="H349" i="24" s="1"/>
  <c r="E90" i="15" s="1"/>
  <c r="M90" i="15" s="1"/>
  <c r="AO357" i="24"/>
  <c r="C357" i="24"/>
  <c r="H357" i="24" s="1"/>
  <c r="E98" i="15" s="1"/>
  <c r="M98" i="15" s="1"/>
  <c r="AY249" i="14"/>
  <c r="AY265" i="14"/>
  <c r="CW145" i="14"/>
  <c r="O145" i="14" s="1"/>
  <c r="CW149" i="14"/>
  <c r="O149" i="14" s="1"/>
  <c r="E47" i="15"/>
  <c r="M47" i="15" s="1"/>
  <c r="E48" i="15"/>
  <c r="M48" i="15" s="1"/>
  <c r="BD306" i="14"/>
  <c r="CV76" i="14"/>
  <c r="CV88" i="14" s="1"/>
  <c r="CV354" i="14"/>
  <c r="DH76" i="14"/>
  <c r="DH88" i="14" s="1"/>
  <c r="DH354" i="14"/>
  <c r="DK76" i="14"/>
  <c r="DK88" i="14" s="1"/>
  <c r="DK354" i="14"/>
  <c r="CS76" i="14"/>
  <c r="CS88" i="14" s="1"/>
  <c r="CS129" i="14" s="1"/>
  <c r="CS354" i="14"/>
  <c r="CY76" i="14"/>
  <c r="CY88" i="14" s="1"/>
  <c r="CY354" i="14"/>
  <c r="DB76" i="14"/>
  <c r="DB88" i="14" s="1"/>
  <c r="DB354" i="14"/>
  <c r="AY233" i="14"/>
  <c r="C8" i="10"/>
  <c r="AY219" i="14"/>
  <c r="CO217" i="14"/>
  <c r="CO226" i="14"/>
  <c r="AY262" i="14"/>
  <c r="B30" i="33"/>
  <c r="CJ321" i="14"/>
  <c r="AY226" i="14"/>
  <c r="AM153" i="29"/>
  <c r="J226" i="23" s="1"/>
  <c r="AK10" i="30"/>
  <c r="AY240" i="14"/>
  <c r="B14" i="33"/>
  <c r="AQ136" i="24"/>
  <c r="AF207" i="24"/>
  <c r="AF219" i="24"/>
  <c r="AE219" i="24" s="1"/>
  <c r="AE193" i="24"/>
  <c r="AR268" i="24"/>
  <c r="AN144" i="24"/>
  <c r="AR316" i="24"/>
  <c r="AM324" i="24"/>
  <c r="AQ155" i="24"/>
  <c r="AS193" i="24"/>
  <c r="AN166" i="24"/>
  <c r="AQ164" i="24"/>
  <c r="AN158" i="24"/>
  <c r="AQ156" i="24"/>
  <c r="AN150" i="24"/>
  <c r="AQ148" i="24"/>
  <c r="AN142" i="24"/>
  <c r="AF208" i="24"/>
  <c r="AE208" i="24" s="1"/>
  <c r="AK214" i="24"/>
  <c r="AK224" i="24"/>
  <c r="AF229" i="24"/>
  <c r="AE229" i="24" s="1"/>
  <c r="AK228" i="43"/>
  <c r="AD220" i="43"/>
  <c r="AD212" i="43"/>
  <c r="AR204" i="43"/>
  <c r="AD196" i="43"/>
  <c r="AD172" i="43"/>
  <c r="AM228" i="43"/>
  <c r="AF29" i="43"/>
  <c r="AF155" i="43" s="1"/>
  <c r="AF45" i="43"/>
  <c r="AO228" i="43"/>
  <c r="AH212" i="43"/>
  <c r="AF204" i="43"/>
  <c r="AP196" i="43"/>
  <c r="AQ180" i="43"/>
  <c r="AL172" i="43"/>
  <c r="AF78" i="43"/>
  <c r="AE78" i="43" s="1"/>
  <c r="AF58" i="43"/>
  <c r="V53" i="43"/>
  <c r="AL53" i="43" s="1"/>
  <c r="AD228" i="43"/>
  <c r="AP212" i="43"/>
  <c r="AQ204" i="43"/>
  <c r="AF180" i="43"/>
  <c r="AR236" i="43"/>
  <c r="AE180" i="43"/>
  <c r="AM236" i="43"/>
  <c r="AH228" i="43"/>
  <c r="AP204" i="43"/>
  <c r="AQ188" i="43"/>
  <c r="AD180" i="43"/>
  <c r="AD164" i="43"/>
  <c r="AN212" i="43"/>
  <c r="AF49" i="43"/>
  <c r="AQ128" i="43"/>
  <c r="AN228" i="43"/>
  <c r="AL228" i="43"/>
  <c r="AQ212" i="43"/>
  <c r="AD188" i="43"/>
  <c r="AH180" i="43"/>
  <c r="AO172" i="43"/>
  <c r="AL164" i="43"/>
  <c r="AF17" i="43"/>
  <c r="B58" i="43"/>
  <c r="B59" i="43" s="1"/>
  <c r="B60" i="43" s="1"/>
  <c r="B61" i="43" s="1"/>
  <c r="B62" i="43" s="1"/>
  <c r="B63" i="43" s="1"/>
  <c r="B64" i="43" s="1"/>
  <c r="B65" i="43" s="1"/>
  <c r="B66" i="43" s="1"/>
  <c r="B67" i="43" s="1"/>
  <c r="B68" i="43" s="1"/>
  <c r="B69" i="43" s="1"/>
  <c r="B70" i="43" s="1"/>
  <c r="B71" i="43" s="1"/>
  <c r="B72" i="43" s="1"/>
  <c r="B73" i="43" s="1"/>
  <c r="B74" i="43" s="1"/>
  <c r="B75" i="43" s="1"/>
  <c r="B76" i="43" s="1"/>
  <c r="B77" i="43" s="1"/>
  <c r="B78" i="43" s="1"/>
  <c r="B79" i="43" s="1"/>
  <c r="B80" i="43" s="1"/>
  <c r="B81" i="43" s="1"/>
  <c r="B82" i="43" s="1"/>
  <c r="B83" i="43" s="1"/>
  <c r="B85" i="43" s="1"/>
  <c r="AD236" i="43"/>
  <c r="AF228" i="43"/>
  <c r="AP228" i="43"/>
  <c r="AK212" i="43"/>
  <c r="AP188" i="43"/>
  <c r="AL180" i="43"/>
  <c r="AJ172" i="43"/>
  <c r="AP164" i="43"/>
  <c r="AQ228" i="43"/>
  <c r="AG204" i="43"/>
  <c r="AG228" i="43"/>
  <c r="AF212" i="43"/>
  <c r="AQ196" i="43"/>
  <c r="AP180" i="43"/>
  <c r="AS172" i="43"/>
  <c r="AJ228" i="43"/>
  <c r="AG188" i="43"/>
  <c r="AF74" i="43"/>
  <c r="AF70" i="43"/>
  <c r="AF37" i="43"/>
  <c r="AR163" i="43"/>
  <c r="AD169" i="43"/>
  <c r="AF157" i="43"/>
  <c r="AJ159" i="43"/>
  <c r="AD171" i="43"/>
  <c r="AL168" i="43"/>
  <c r="AE60" i="43"/>
  <c r="AE22" i="43"/>
  <c r="AK129" i="43"/>
  <c r="AO219" i="43"/>
  <c r="AF227" i="43"/>
  <c r="AL211" i="43"/>
  <c r="AG235" i="43"/>
  <c r="AM171" i="43"/>
  <c r="AD211" i="43"/>
  <c r="AI179" i="43"/>
  <c r="AN203" i="43"/>
  <c r="AM195" i="43"/>
  <c r="AS195" i="43"/>
  <c r="AO187" i="43"/>
  <c r="AD144" i="43"/>
  <c r="AJ192" i="43"/>
  <c r="AF80" i="43"/>
  <c r="AF26" i="43"/>
  <c r="AS128" i="43"/>
  <c r="AE77" i="43"/>
  <c r="AE65" i="43"/>
  <c r="AJ236" i="43"/>
  <c r="AO171" i="43"/>
  <c r="AM227" i="43"/>
  <c r="AJ227" i="43"/>
  <c r="AK235" i="43"/>
  <c r="AI171" i="43"/>
  <c r="AI211" i="43"/>
  <c r="AN179" i="43"/>
  <c r="AE179" i="43"/>
  <c r="AG203" i="43"/>
  <c r="AR195" i="43"/>
  <c r="AJ187" i="43"/>
  <c r="AM179" i="43"/>
  <c r="AH144" i="43"/>
  <c r="AM163" i="43"/>
  <c r="AG171" i="43"/>
  <c r="AE227" i="43"/>
  <c r="AR227" i="43"/>
  <c r="AI235" i="43"/>
  <c r="AD235" i="43"/>
  <c r="AQ211" i="43"/>
  <c r="AG211" i="43"/>
  <c r="AH179" i="43"/>
  <c r="AK179" i="43"/>
  <c r="AJ203" i="43"/>
  <c r="AJ195" i="43"/>
  <c r="AI195" i="43"/>
  <c r="AM187" i="43"/>
  <c r="AP144" i="43"/>
  <c r="AF38" i="43"/>
  <c r="AF152" i="43" s="1"/>
  <c r="AM219" i="43"/>
  <c r="AI227" i="43"/>
  <c r="AG227" i="43"/>
  <c r="AE235" i="43"/>
  <c r="AH235" i="43"/>
  <c r="AF211" i="43"/>
  <c r="AK211" i="43"/>
  <c r="AF179" i="43"/>
  <c r="AO179" i="43"/>
  <c r="AQ203" i="43"/>
  <c r="AF195" i="43"/>
  <c r="AN195" i="43"/>
  <c r="AR187" i="43"/>
  <c r="AK140" i="43"/>
  <c r="AF30" i="43"/>
  <c r="AD219" i="43"/>
  <c r="AP211" i="43"/>
  <c r="AQ227" i="43"/>
  <c r="AK227" i="43"/>
  <c r="AF235" i="43"/>
  <c r="AP235" i="43"/>
  <c r="AJ211" i="43"/>
  <c r="AH211" i="43"/>
  <c r="AO211" i="43"/>
  <c r="AL179" i="43"/>
  <c r="AS179" i="43"/>
  <c r="AM203" i="43"/>
  <c r="AL195" i="43"/>
  <c r="AG195" i="43"/>
  <c r="AD187" i="43"/>
  <c r="AQ144" i="43"/>
  <c r="AD140" i="43"/>
  <c r="AJ144" i="43"/>
  <c r="AI144" i="43"/>
  <c r="AJ156" i="43"/>
  <c r="V34" i="43"/>
  <c r="AL34" i="43" s="1"/>
  <c r="AN219" i="43"/>
  <c r="AE211" i="43"/>
  <c r="AD227" i="43"/>
  <c r="AO227" i="43"/>
  <c r="AJ235" i="43"/>
  <c r="AM211" i="43"/>
  <c r="AS211" i="43"/>
  <c r="AQ179" i="43"/>
  <c r="AP195" i="43"/>
  <c r="AR203" i="43"/>
  <c r="AQ195" i="43"/>
  <c r="AK195" i="43"/>
  <c r="AN187" i="43"/>
  <c r="AK144" i="43"/>
  <c r="AJ154" i="43"/>
  <c r="AR219" i="43"/>
  <c r="AP219" i="43"/>
  <c r="AI212" i="43"/>
  <c r="AF50" i="43"/>
  <c r="AK40" i="43"/>
  <c r="AK24" i="43"/>
  <c r="AK16" i="43"/>
  <c r="AG219" i="43"/>
  <c r="AL227" i="43"/>
  <c r="AS227" i="43"/>
  <c r="AR235" i="43"/>
  <c r="AQ171" i="43"/>
  <c r="AD179" i="43"/>
  <c r="AP187" i="43"/>
  <c r="AD203" i="43"/>
  <c r="AH195" i="43"/>
  <c r="AO195" i="43"/>
  <c r="AJ179" i="43"/>
  <c r="AF144" i="43"/>
  <c r="AJ219" i="43"/>
  <c r="AM144" i="43"/>
  <c r="AO232" i="43"/>
  <c r="AQ224" i="43"/>
  <c r="AF216" i="43"/>
  <c r="AH208" i="43"/>
  <c r="AP200" i="43"/>
  <c r="AH184" i="43"/>
  <c r="AP168" i="43"/>
  <c r="AE208" i="43"/>
  <c r="AO176" i="43"/>
  <c r="AS232" i="43"/>
  <c r="AF224" i="43"/>
  <c r="AD216" i="43"/>
  <c r="AL208" i="43"/>
  <c r="AL184" i="43"/>
  <c r="AH154" i="43"/>
  <c r="AS208" i="43"/>
  <c r="AM216" i="43"/>
  <c r="AO208" i="43"/>
  <c r="AD232" i="43"/>
  <c r="AH224" i="43"/>
  <c r="AH216" i="43"/>
  <c r="AP208" i="43"/>
  <c r="AP184" i="43"/>
  <c r="AQ168" i="43"/>
  <c r="AS170" i="43"/>
  <c r="AG208" i="43"/>
  <c r="AE216" i="43"/>
  <c r="AH232" i="43"/>
  <c r="AP224" i="43"/>
  <c r="AL216" i="43"/>
  <c r="AQ176" i="43"/>
  <c r="AK168" i="43"/>
  <c r="AO216" i="43"/>
  <c r="AN216" i="43"/>
  <c r="AI208" i="43"/>
  <c r="AS216" i="43"/>
  <c r="AR208" i="43"/>
  <c r="AN232" i="43"/>
  <c r="AL232" i="43"/>
  <c r="AP216" i="43"/>
  <c r="AQ208" i="43"/>
  <c r="AQ184" i="43"/>
  <c r="AD176" i="43"/>
  <c r="AF168" i="43"/>
  <c r="AM208" i="43"/>
  <c r="AG216" i="43"/>
  <c r="AR184" i="43"/>
  <c r="AF232" i="43"/>
  <c r="AP232" i="43"/>
  <c r="AK208" i="43"/>
  <c r="AQ192" i="43"/>
  <c r="AK184" i="43"/>
  <c r="AP176" i="43"/>
  <c r="AD168" i="43"/>
  <c r="AI216" i="43"/>
  <c r="AE184" i="43"/>
  <c r="AI232" i="43"/>
  <c r="AG232" i="43"/>
  <c r="AQ216" i="43"/>
  <c r="AF208" i="43"/>
  <c r="AQ200" i="43"/>
  <c r="AD192" i="43"/>
  <c r="AF184" i="43"/>
  <c r="AH168" i="43"/>
  <c r="AG192" i="43"/>
  <c r="AG176" i="43"/>
  <c r="AJ216" i="43"/>
  <c r="AG184" i="43"/>
  <c r="AQ232" i="43"/>
  <c r="AE198" i="43"/>
  <c r="AF73" i="43"/>
  <c r="AE73" i="43" s="1"/>
  <c r="AH214" i="43"/>
  <c r="AF69" i="43"/>
  <c r="AE69" i="43" s="1"/>
  <c r="AF81" i="43"/>
  <c r="AE81" i="43" s="1"/>
  <c r="AF61" i="43"/>
  <c r="AE61" i="43" s="1"/>
  <c r="AQ161" i="43"/>
  <c r="AO177" i="43"/>
  <c r="AN161" i="43"/>
  <c r="AR217" i="43"/>
  <c r="AP177" i="43"/>
  <c r="AJ208" i="43"/>
  <c r="AD234" i="43"/>
  <c r="AS184" i="43"/>
  <c r="AO200" i="43"/>
  <c r="AM232" i="43"/>
  <c r="AJ176" i="43"/>
  <c r="AI172" i="43"/>
  <c r="AN132" i="43"/>
  <c r="AD155" i="43"/>
  <c r="AN130" i="43"/>
  <c r="AE16" i="43"/>
  <c r="AP161" i="43"/>
  <c r="AN185" i="43"/>
  <c r="AK161" i="43"/>
  <c r="AP209" i="43"/>
  <c r="AQ77" i="43"/>
  <c r="AQ23" i="43"/>
  <c r="AQ15" i="43"/>
  <c r="AN201" i="43"/>
  <c r="AG161" i="43"/>
  <c r="AD161" i="43"/>
  <c r="AS225" i="43"/>
  <c r="AR225" i="43"/>
  <c r="AS233" i="43"/>
  <c r="AK233" i="43"/>
  <c r="AJ193" i="43"/>
  <c r="AF217" i="43"/>
  <c r="AF43" i="43"/>
  <c r="AK80" i="43"/>
  <c r="AK64" i="43"/>
  <c r="AN193" i="43"/>
  <c r="AD201" i="43"/>
  <c r="AJ177" i="43"/>
  <c r="AK201" i="43"/>
  <c r="AQ141" i="43"/>
  <c r="AD217" i="43"/>
  <c r="AP217" i="43"/>
  <c r="AH225" i="43"/>
  <c r="AG225" i="43"/>
  <c r="AR201" i="43"/>
  <c r="AE79" i="43"/>
  <c r="AM143" i="43"/>
  <c r="AK34" i="43"/>
  <c r="AK236" i="43" s="1"/>
  <c r="AR161" i="43"/>
  <c r="AO161" i="43"/>
  <c r="AL161" i="43"/>
  <c r="AJ209" i="43"/>
  <c r="AH209" i="43"/>
  <c r="AL217" i="43"/>
  <c r="AS217" i="43"/>
  <c r="AF161" i="43"/>
  <c r="AH161" i="43"/>
  <c r="AF193" i="43"/>
  <c r="AF209" i="43"/>
  <c r="AJ217" i="43"/>
  <c r="AH193" i="43"/>
  <c r="AF23" i="43"/>
  <c r="V19" i="43"/>
  <c r="AL19" i="43" s="1"/>
  <c r="AK19" i="43" s="1"/>
  <c r="AS161" i="43"/>
  <c r="AS177" i="43"/>
  <c r="AH217" i="43"/>
  <c r="AO217" i="43"/>
  <c r="AL158" i="43"/>
  <c r="AM141" i="43"/>
  <c r="AI141" i="43"/>
  <c r="AJ171" i="43"/>
  <c r="AR144" i="43"/>
  <c r="AE144" i="43"/>
  <c r="AM140" i="43"/>
  <c r="AR141" i="43"/>
  <c r="AE54" i="43"/>
  <c r="AS144" i="43"/>
  <c r="AM149" i="43"/>
  <c r="AI149" i="43"/>
  <c r="AE17" i="43"/>
  <c r="AD163" i="43"/>
  <c r="AR155" i="43"/>
  <c r="AE149" i="43"/>
  <c r="AG141" i="43"/>
  <c r="AN149" i="43"/>
  <c r="AH229" i="43"/>
  <c r="AI205" i="43"/>
  <c r="AI157" i="43"/>
  <c r="AN151" i="43"/>
  <c r="AO197" i="43"/>
  <c r="AL197" i="43"/>
  <c r="AD213" i="43"/>
  <c r="AQ213" i="43"/>
  <c r="AH157" i="43"/>
  <c r="AL157" i="43"/>
  <c r="AG157" i="43"/>
  <c r="AJ229" i="43"/>
  <c r="AO189" i="43"/>
  <c r="AN221" i="43"/>
  <c r="AE67" i="43"/>
  <c r="AE131" i="43"/>
  <c r="AD229" i="43"/>
  <c r="AM213" i="43"/>
  <c r="AE205" i="43"/>
  <c r="AM189" i="43"/>
  <c r="AE157" i="43"/>
  <c r="AS151" i="43"/>
  <c r="AJ221" i="43"/>
  <c r="AD197" i="43"/>
  <c r="AR221" i="43"/>
  <c r="AL205" i="43"/>
  <c r="AO213" i="43"/>
  <c r="AQ157" i="43"/>
  <c r="AL181" i="43"/>
  <c r="AR205" i="43"/>
  <c r="AI213" i="43"/>
  <c r="AI147" i="43"/>
  <c r="AO205" i="43"/>
  <c r="AG221" i="43"/>
  <c r="AJ189" i="43"/>
  <c r="AF213" i="43"/>
  <c r="AN157" i="43"/>
  <c r="AE213" i="43"/>
  <c r="AM197" i="43"/>
  <c r="AE151" i="43"/>
  <c r="AO147" i="43"/>
  <c r="AE57" i="43"/>
  <c r="AD205" i="43"/>
  <c r="AK181" i="43"/>
  <c r="AK197" i="43"/>
  <c r="AP213" i="43"/>
  <c r="AR197" i="43"/>
  <c r="AG205" i="43"/>
  <c r="AO153" i="43"/>
  <c r="AM229" i="43"/>
  <c r="AM221" i="43"/>
  <c r="AI197" i="43"/>
  <c r="AN181" i="43"/>
  <c r="AG213" i="43"/>
  <c r="AJ205" i="43"/>
  <c r="AK131" i="43"/>
  <c r="AQ133" i="43"/>
  <c r="AI229" i="43"/>
  <c r="AE197" i="43"/>
  <c r="AM181" i="43"/>
  <c r="AP205" i="43"/>
  <c r="AO221" i="43"/>
  <c r="AR213" i="43"/>
  <c r="AP157" i="43"/>
  <c r="AJ157" i="43"/>
  <c r="AE229" i="43"/>
  <c r="AI181" i="43"/>
  <c r="AF205" i="43"/>
  <c r="AN197" i="43"/>
  <c r="AN205" i="43"/>
  <c r="AD221" i="43"/>
  <c r="AJ213" i="43"/>
  <c r="AH213" i="43"/>
  <c r="AR157" i="43"/>
  <c r="AD157" i="43"/>
  <c r="AO157" i="43"/>
  <c r="AF197" i="43"/>
  <c r="AK213" i="43"/>
  <c r="AH205" i="43"/>
  <c r="AJ232" i="43"/>
  <c r="AI168" i="43"/>
  <c r="AJ184" i="43"/>
  <c r="AG230" i="43"/>
  <c r="AQ80" i="43"/>
  <c r="AQ72" i="43"/>
  <c r="AQ64" i="43"/>
  <c r="AQ50" i="43"/>
  <c r="AQ42" i="43"/>
  <c r="AQ34" i="43"/>
  <c r="AQ236" i="43" s="1"/>
  <c r="AQ26" i="43"/>
  <c r="AQ18" i="43"/>
  <c r="AQ10" i="43"/>
  <c r="AK154" i="43"/>
  <c r="AE53" i="43"/>
  <c r="AJ200" i="43"/>
  <c r="AK76" i="43"/>
  <c r="AK68" i="43"/>
  <c r="AK30" i="43"/>
  <c r="AQ82" i="43"/>
  <c r="AQ74" i="43"/>
  <c r="AQ66" i="43"/>
  <c r="AQ58" i="43"/>
  <c r="AQ52" i="43"/>
  <c r="AQ44" i="43"/>
  <c r="AQ36" i="43"/>
  <c r="AQ28" i="43"/>
  <c r="AQ20" i="43"/>
  <c r="AQ12" i="43"/>
  <c r="AJ155" i="43"/>
  <c r="AR196" i="43"/>
  <c r="AQ78" i="43"/>
  <c r="AQ70" i="43"/>
  <c r="AQ62" i="43"/>
  <c r="AQ56" i="43"/>
  <c r="AQ156" i="43" s="1"/>
  <c r="AQ48" i="43"/>
  <c r="AQ40" i="43"/>
  <c r="AQ32" i="43"/>
  <c r="AQ24" i="43"/>
  <c r="AQ145" i="43" s="1"/>
  <c r="AQ16" i="43"/>
  <c r="AK128" i="43"/>
  <c r="AR200" i="43"/>
  <c r="AG200" i="43"/>
  <c r="AK73" i="43"/>
  <c r="AP172" i="43"/>
  <c r="AS180" i="43"/>
  <c r="W85" i="43"/>
  <c r="AO85" i="43" s="1"/>
  <c r="AS85" i="43" s="1"/>
  <c r="AO156" i="43"/>
  <c r="AG180" i="43"/>
  <c r="AO164" i="43"/>
  <c r="AO180" i="43"/>
  <c r="AF172" i="43"/>
  <c r="AK164" i="43"/>
  <c r="AE204" i="43"/>
  <c r="AI180" i="43"/>
  <c r="AM212" i="43"/>
  <c r="AO139" i="43"/>
  <c r="AJ180" i="43"/>
  <c r="AN172" i="43"/>
  <c r="AH164" i="43"/>
  <c r="AE228" i="43"/>
  <c r="AN196" i="43"/>
  <c r="AJ204" i="43"/>
  <c r="AN204" i="43"/>
  <c r="AM180" i="43"/>
  <c r="AJ212" i="43"/>
  <c r="AD178" i="43"/>
  <c r="AP163" i="43"/>
  <c r="AI228" i="43"/>
  <c r="AE164" i="43"/>
  <c r="AG196" i="43"/>
  <c r="AE212" i="43"/>
  <c r="AS212" i="43"/>
  <c r="AJ238" i="43"/>
  <c r="AJ196" i="43"/>
  <c r="AG212" i="43"/>
  <c r="AO212" i="43"/>
  <c r="AF236" i="43"/>
  <c r="V108" i="43"/>
  <c r="AL108" i="43" s="1"/>
  <c r="AK108" i="43" s="1"/>
  <c r="AR237" i="43"/>
  <c r="AP142" i="43"/>
  <c r="AJ237" i="43"/>
  <c r="AJ163" i="43"/>
  <c r="AO163" i="43"/>
  <c r="AO236" i="43"/>
  <c r="AO237" i="43"/>
  <c r="AM142" i="43"/>
  <c r="AM237" i="43"/>
  <c r="AM155" i="43"/>
  <c r="T107" i="43"/>
  <c r="AI107" i="43" s="1"/>
  <c r="AH107" i="43" s="1"/>
  <c r="AD237" i="43"/>
  <c r="AD143" i="43"/>
  <c r="AS130" i="43"/>
  <c r="AS131" i="43"/>
  <c r="AS132" i="43"/>
  <c r="T104" i="43"/>
  <c r="AI104" i="43" s="1"/>
  <c r="AH104" i="43" s="1"/>
  <c r="AH132" i="43"/>
  <c r="V102" i="43"/>
  <c r="AL102" i="43" s="1"/>
  <c r="AK102" i="43" s="1"/>
  <c r="T105" i="43"/>
  <c r="AI105" i="43" s="1"/>
  <c r="AH105" i="43" s="1"/>
  <c r="T106" i="43"/>
  <c r="AI106" i="43" s="1"/>
  <c r="AH106" i="43" s="1"/>
  <c r="AL236" i="43"/>
  <c r="AN230" i="43"/>
  <c r="AQ230" i="43"/>
  <c r="AN198" i="43"/>
  <c r="AM214" i="43"/>
  <c r="AS230" i="43"/>
  <c r="AH230" i="43"/>
  <c r="AP222" i="43"/>
  <c r="AP230" i="43"/>
  <c r="AM184" i="43"/>
  <c r="AK29" i="43"/>
  <c r="AO238" i="43"/>
  <c r="AJ230" i="43"/>
  <c r="AM230" i="43"/>
  <c r="AI214" i="43"/>
  <c r="AF214" i="43"/>
  <c r="AP158" i="43"/>
  <c r="AM192" i="43"/>
  <c r="AF230" i="43"/>
  <c r="AI230" i="43"/>
  <c r="AM222" i="43"/>
  <c r="AQ206" i="43"/>
  <c r="AJ190" i="43"/>
  <c r="AJ214" i="43"/>
  <c r="AJ158" i="43"/>
  <c r="AO230" i="43"/>
  <c r="AO158" i="43"/>
  <c r="AO174" i="43"/>
  <c r="AG168" i="43"/>
  <c r="AD230" i="43"/>
  <c r="AS168" i="43"/>
  <c r="AR192" i="43"/>
  <c r="AR188" i="43"/>
  <c r="AM200" i="43"/>
  <c r="AK21" i="43"/>
  <c r="AK83" i="43"/>
  <c r="AK75" i="43"/>
  <c r="AK59" i="43"/>
  <c r="AK45" i="43"/>
  <c r="AK37" i="43"/>
  <c r="AE230" i="43"/>
  <c r="AJ222" i="43"/>
  <c r="AD206" i="43"/>
  <c r="AK214" i="43"/>
  <c r="AP214" i="43"/>
  <c r="AN214" i="43"/>
  <c r="AP238" i="43"/>
  <c r="AO168" i="43"/>
  <c r="AL230" i="43"/>
  <c r="AR238" i="43"/>
  <c r="AM238" i="43"/>
  <c r="AO222" i="43"/>
  <c r="AN222" i="43"/>
  <c r="AM174" i="43"/>
  <c r="AE214" i="43"/>
  <c r="AP166" i="43"/>
  <c r="AN176" i="43"/>
  <c r="AN184" i="43"/>
  <c r="AP237" i="43"/>
  <c r="AK53" i="43"/>
  <c r="AG222" i="43"/>
  <c r="AR222" i="43"/>
  <c r="AO214" i="43"/>
  <c r="AM198" i="43"/>
  <c r="AM190" i="43"/>
  <c r="AG214" i="43"/>
  <c r="AM206" i="43"/>
  <c r="AF166" i="43"/>
  <c r="AD222" i="43"/>
  <c r="AD214" i="43"/>
  <c r="AQ214" i="43"/>
  <c r="AN206" i="43"/>
  <c r="AJ166" i="43"/>
  <c r="AK230" i="43"/>
  <c r="AR168" i="43"/>
  <c r="AM176" i="43"/>
  <c r="T14" i="43"/>
  <c r="AI14" i="43" s="1"/>
  <c r="AH14" i="43" s="1"/>
  <c r="AE21" i="43"/>
  <c r="T95" i="43"/>
  <c r="AI95" i="43" s="1"/>
  <c r="AH95" i="43" s="1"/>
  <c r="AE43" i="43"/>
  <c r="AC124" i="43"/>
  <c r="AC126" i="43"/>
  <c r="AG236" i="43"/>
  <c r="AN49" i="43"/>
  <c r="AN41" i="43"/>
  <c r="AN33" i="43"/>
  <c r="AN25" i="43"/>
  <c r="AN17" i="43"/>
  <c r="AN61" i="43"/>
  <c r="AN67" i="43"/>
  <c r="AN53" i="43"/>
  <c r="AN29" i="43"/>
  <c r="AN21" i="43"/>
  <c r="AN13" i="43"/>
  <c r="S50" i="1"/>
  <c r="AM240" i="23"/>
  <c r="CO251" i="14"/>
  <c r="AY259" i="14"/>
  <c r="AY247" i="14"/>
  <c r="AM239" i="23"/>
  <c r="AM237" i="23"/>
  <c r="AM234" i="23"/>
  <c r="AH22" i="10"/>
  <c r="W91" i="43"/>
  <c r="AO91" i="43" s="1"/>
  <c r="AN91" i="43" s="1"/>
  <c r="W90" i="43"/>
  <c r="AO90" i="43" s="1"/>
  <c r="AN90" i="43" s="1"/>
  <c r="W88" i="43"/>
  <c r="AO88" i="43" s="1"/>
  <c r="AN88" i="43" s="1"/>
  <c r="W87" i="43"/>
  <c r="AO87" i="43" s="1"/>
  <c r="AN87" i="43" s="1"/>
  <c r="W92" i="43"/>
  <c r="AO92" i="43" s="1"/>
  <c r="AN92" i="43" s="1"/>
  <c r="W86" i="43"/>
  <c r="AO86" i="43" s="1"/>
  <c r="AN86" i="43" s="1"/>
  <c r="H85" i="15"/>
  <c r="AE249" i="24"/>
  <c r="AE151" i="24"/>
  <c r="AK234" i="24"/>
  <c r="AJ265" i="24"/>
  <c r="AK84" i="24"/>
  <c r="AK35" i="24"/>
  <c r="AK23" i="24"/>
  <c r="AF146" i="24"/>
  <c r="AE146" i="24" s="1"/>
  <c r="AF238" i="24"/>
  <c r="AE238" i="24" s="1"/>
  <c r="AK169" i="24"/>
  <c r="AS259" i="24"/>
  <c r="AS260" i="24"/>
  <c r="AS257" i="24"/>
  <c r="AH258" i="24"/>
  <c r="AS254" i="24"/>
  <c r="AS256" i="24"/>
  <c r="AS255" i="24"/>
  <c r="AE147" i="24"/>
  <c r="AE155" i="24"/>
  <c r="AK230" i="24"/>
  <c r="AK119" i="24"/>
  <c r="AK70" i="24"/>
  <c r="AK66" i="24"/>
  <c r="AK29" i="24"/>
  <c r="AK158" i="24"/>
  <c r="AE232" i="24"/>
  <c r="AQ245" i="24"/>
  <c r="AF150" i="24"/>
  <c r="AE150" i="24" s="1"/>
  <c r="AQ238" i="24"/>
  <c r="AN239" i="24"/>
  <c r="AK240" i="24"/>
  <c r="AS242" i="24"/>
  <c r="AE243" i="24"/>
  <c r="AN244" i="24"/>
  <c r="AQ159" i="24"/>
  <c r="AF158" i="24"/>
  <c r="AE158" i="24" s="1"/>
  <c r="AK122" i="24"/>
  <c r="AF140" i="24"/>
  <c r="AE140" i="24" s="1"/>
  <c r="AK28" i="24"/>
  <c r="AQ160" i="24"/>
  <c r="AN154" i="24"/>
  <c r="AQ152" i="24"/>
  <c r="AN146" i="24"/>
  <c r="AQ144" i="24"/>
  <c r="AK73" i="24"/>
  <c r="AK213" i="24"/>
  <c r="AK223" i="24"/>
  <c r="AF214" i="24"/>
  <c r="AE214" i="24" s="1"/>
  <c r="AJ182" i="43"/>
  <c r="AE66" i="43"/>
  <c r="AE75" i="43"/>
  <c r="AD142" i="43"/>
  <c r="V60" i="43"/>
  <c r="AL60" i="43" s="1"/>
  <c r="AK60" i="43" s="1"/>
  <c r="AK70" i="43"/>
  <c r="AO142" i="43"/>
  <c r="AS171" i="24"/>
  <c r="AS194" i="24"/>
  <c r="AF76" i="24"/>
  <c r="AE76" i="24" s="1"/>
  <c r="AQ153" i="24"/>
  <c r="AF27" i="24"/>
  <c r="AE27" i="24" s="1"/>
  <c r="AK87" i="24"/>
  <c r="AK62" i="24"/>
  <c r="AK34" i="24"/>
  <c r="AK22" i="24"/>
  <c r="AS196" i="24"/>
  <c r="AH195" i="24"/>
  <c r="AF336" i="24"/>
  <c r="AE166" i="24"/>
  <c r="AF154" i="24"/>
  <c r="AE154" i="24" s="1"/>
  <c r="AF138" i="24"/>
  <c r="AE138" i="24" s="1"/>
  <c r="AS240" i="24"/>
  <c r="AJ289" i="24"/>
  <c r="AF225" i="24"/>
  <c r="AE225" i="24" s="1"/>
  <c r="AH242" i="24"/>
  <c r="AK227" i="24"/>
  <c r="AF198" i="24"/>
  <c r="AE198" i="24" s="1"/>
  <c r="AK146" i="24"/>
  <c r="AF212" i="24"/>
  <c r="AE212" i="24" s="1"/>
  <c r="AN214" i="24"/>
  <c r="AK235" i="24"/>
  <c r="AB262" i="23"/>
  <c r="AB285" i="23" s="1"/>
  <c r="AS43" i="25"/>
  <c r="AC8" i="23"/>
  <c r="CZ4" i="14" s="1"/>
  <c r="CK112" i="14"/>
  <c r="AI213" i="14"/>
  <c r="AI301" i="14"/>
  <c r="CA9" i="14"/>
  <c r="DQ9" i="14"/>
  <c r="U15" i="23"/>
  <c r="AH252" i="23"/>
  <c r="AH224" i="23"/>
  <c r="U311" i="23"/>
  <c r="AH311" i="23" s="1"/>
  <c r="U103" i="23"/>
  <c r="U224" i="23"/>
  <c r="AH15" i="23"/>
  <c r="BX213" i="14"/>
  <c r="BX301" i="14"/>
  <c r="AE99" i="1"/>
  <c r="AE106" i="1" s="1"/>
  <c r="AE100" i="1"/>
  <c r="AE53" i="1"/>
  <c r="AE54" i="1" s="1"/>
  <c r="W213" i="14"/>
  <c r="DE9" i="14"/>
  <c r="Q7" i="33"/>
  <c r="BA7" i="33" s="1"/>
  <c r="E3" i="50"/>
  <c r="W7" i="33"/>
  <c r="BG7" i="33" s="1"/>
  <c r="G3" i="50"/>
  <c r="CW5" i="14"/>
  <c r="AB153" i="23"/>
  <c r="AB189" i="23" s="1"/>
  <c r="AB152" i="23"/>
  <c r="AB188" i="23" s="1"/>
  <c r="AB166" i="23"/>
  <c r="AB202" i="23" s="1"/>
  <c r="AB167" i="23"/>
  <c r="AB203" i="23" s="1"/>
  <c r="AB154" i="23"/>
  <c r="AB190" i="23" s="1"/>
  <c r="AB168" i="23"/>
  <c r="AB155" i="23"/>
  <c r="AB191" i="23" s="1"/>
  <c r="AB143" i="23"/>
  <c r="AB157" i="23"/>
  <c r="DN213" i="14"/>
  <c r="DN301" i="14"/>
  <c r="AB65" i="1"/>
  <c r="CV7" i="36"/>
  <c r="M2" i="11"/>
  <c r="M15" i="11" s="1"/>
  <c r="M23" i="11" s="1"/>
  <c r="AH19" i="2"/>
  <c r="AE5" i="10"/>
  <c r="AE31" i="10" s="1"/>
  <c r="AI18" i="8"/>
  <c r="N2" i="20"/>
  <c r="AL9" i="14"/>
  <c r="AB90" i="1"/>
  <c r="L3" i="21"/>
  <c r="J3" i="12"/>
  <c r="J3" i="50"/>
  <c r="AC7" i="23"/>
  <c r="AC15" i="23" s="1"/>
  <c r="F3" i="50"/>
  <c r="J3" i="21"/>
  <c r="H3" i="50"/>
  <c r="CK115" i="14"/>
  <c r="CK58" i="14"/>
  <c r="AL7" i="33"/>
  <c r="BV7" i="33" s="1"/>
  <c r="L3" i="50"/>
  <c r="N3" i="21"/>
  <c r="AI7" i="23"/>
  <c r="AE10" i="30"/>
  <c r="AH12" i="30"/>
  <c r="AN10" i="30"/>
  <c r="AN11" i="30"/>
  <c r="AB52" i="23"/>
  <c r="AB77" i="23" s="1"/>
  <c r="AM25" i="23"/>
  <c r="AM73" i="30"/>
  <c r="H113" i="23" s="1"/>
  <c r="M113" i="23" s="1"/>
  <c r="AN235" i="24"/>
  <c r="AQ229" i="24"/>
  <c r="AQ225" i="24"/>
  <c r="AQ213" i="24"/>
  <c r="AQ81" i="24"/>
  <c r="AN27" i="24"/>
  <c r="AN139" i="24"/>
  <c r="AQ137" i="24"/>
  <c r="AQ133" i="24"/>
  <c r="AK133" i="24"/>
  <c r="AN132" i="24"/>
  <c r="AP365" i="24"/>
  <c r="AD365" i="24"/>
  <c r="AM365" i="24"/>
  <c r="AP285" i="24"/>
  <c r="AL365" i="24"/>
  <c r="AQ365" i="24"/>
  <c r="AE365" i="24"/>
  <c r="AI365" i="24"/>
  <c r="AN365" i="24"/>
  <c r="AR365" i="24"/>
  <c r="AF365" i="24"/>
  <c r="AJ365" i="24"/>
  <c r="AF223" i="24"/>
  <c r="AE223" i="24" s="1"/>
  <c r="T13" i="24"/>
  <c r="T235" i="24"/>
  <c r="AI235" i="24" s="1"/>
  <c r="AS235" i="24" s="1"/>
  <c r="T231" i="24"/>
  <c r="AI231" i="24" s="1"/>
  <c r="AH231" i="24" s="1"/>
  <c r="T227" i="24"/>
  <c r="AI227" i="24" s="1"/>
  <c r="AH227" i="24" s="1"/>
  <c r="T219" i="24"/>
  <c r="AI219" i="24" s="1"/>
  <c r="AH219" i="24" s="1"/>
  <c r="T213" i="24"/>
  <c r="AI213" i="24" s="1"/>
  <c r="AH213" i="24" s="1"/>
  <c r="T166" i="24"/>
  <c r="AI166" i="24" s="1"/>
  <c r="AH166" i="24" s="1"/>
  <c r="T162" i="24"/>
  <c r="AI162" i="24" s="1"/>
  <c r="AS162" i="24" s="1"/>
  <c r="T158" i="24"/>
  <c r="AI158" i="24" s="1"/>
  <c r="AH158" i="24" s="1"/>
  <c r="T150" i="24"/>
  <c r="AI150" i="24" s="1"/>
  <c r="AH150" i="24" s="1"/>
  <c r="T146" i="24"/>
  <c r="AI146" i="24" s="1"/>
  <c r="AS146" i="24" s="1"/>
  <c r="T122" i="24"/>
  <c r="AI122" i="24" s="1"/>
  <c r="AS122" i="24" s="1"/>
  <c r="T118" i="24"/>
  <c r="AI118" i="24" s="1"/>
  <c r="AH118" i="24" s="1"/>
  <c r="T11" i="24"/>
  <c r="AN238" i="24"/>
  <c r="AE239" i="24"/>
  <c r="AK239" i="24"/>
  <c r="AQ239" i="24"/>
  <c r="AN243" i="24"/>
  <c r="AK244" i="24"/>
  <c r="AE247" i="24"/>
  <c r="AQ247" i="24"/>
  <c r="AQ249" i="24"/>
  <c r="AE252" i="24"/>
  <c r="AQ194" i="24"/>
  <c r="AN193" i="24"/>
  <c r="AQ169" i="24"/>
  <c r="AN151" i="24"/>
  <c r="T233" i="24"/>
  <c r="AI233" i="24" s="1"/>
  <c r="AS233" i="24" s="1"/>
  <c r="T229" i="24"/>
  <c r="AI229" i="24" s="1"/>
  <c r="AH229" i="24" s="1"/>
  <c r="T225" i="24"/>
  <c r="AI225" i="24" s="1"/>
  <c r="AS225" i="24" s="1"/>
  <c r="T216" i="24"/>
  <c r="AI216" i="24" s="1"/>
  <c r="AH216" i="24" s="1"/>
  <c r="T208" i="24"/>
  <c r="AI208" i="24" s="1"/>
  <c r="AH208" i="24" s="1"/>
  <c r="T201" i="24"/>
  <c r="AI201" i="24" s="1"/>
  <c r="AH201" i="24" s="1"/>
  <c r="T197" i="24"/>
  <c r="AI197" i="24" s="1"/>
  <c r="AH197" i="24" s="1"/>
  <c r="T188" i="24"/>
  <c r="AI188" i="24" s="1"/>
  <c r="AH188" i="24" s="1"/>
  <c r="T168" i="24"/>
  <c r="AI168" i="24" s="1"/>
  <c r="AH168" i="24" s="1"/>
  <c r="T164" i="24"/>
  <c r="AI164" i="24" s="1"/>
  <c r="AH164" i="24" s="1"/>
  <c r="T160" i="24"/>
  <c r="AI160" i="24" s="1"/>
  <c r="AH160" i="24" s="1"/>
  <c r="T156" i="24"/>
  <c r="AI156" i="24" s="1"/>
  <c r="AS156" i="24" s="1"/>
  <c r="T152" i="24"/>
  <c r="AI152" i="24" s="1"/>
  <c r="AH152" i="24" s="1"/>
  <c r="T148" i="24"/>
  <c r="AI148" i="24" s="1"/>
  <c r="AH148" i="24" s="1"/>
  <c r="T144" i="24"/>
  <c r="AI144" i="24" s="1"/>
  <c r="AH144" i="24" s="1"/>
  <c r="T138" i="24"/>
  <c r="AI138" i="24" s="1"/>
  <c r="AS138" i="24" s="1"/>
  <c r="T134" i="24"/>
  <c r="Z134" i="24" s="1"/>
  <c r="AS195" i="24"/>
  <c r="T67" i="24"/>
  <c r="AI67" i="24" s="1"/>
  <c r="AH67" i="24" s="1"/>
  <c r="T93" i="24"/>
  <c r="Z93" i="24" s="1"/>
  <c r="T71" i="24"/>
  <c r="AI71" i="24" s="1"/>
  <c r="AH71" i="24" s="1"/>
  <c r="T68" i="24"/>
  <c r="AI68" i="24" s="1"/>
  <c r="AS68" i="24" s="1"/>
  <c r="T59" i="24"/>
  <c r="Z59" i="24" s="1"/>
  <c r="T21" i="24"/>
  <c r="AI21" i="24" s="1"/>
  <c r="AH21" i="24" s="1"/>
  <c r="AK125" i="23"/>
  <c r="AE125" i="23"/>
  <c r="AH125" i="23"/>
  <c r="AJ125" i="23"/>
  <c r="AB125" i="23"/>
  <c r="AF125" i="23"/>
  <c r="AI125" i="23"/>
  <c r="AC125" i="23"/>
  <c r="AC162" i="23" s="1"/>
  <c r="AG125" i="23"/>
  <c r="AD125" i="23"/>
  <c r="AK111" i="23"/>
  <c r="AC111" i="23"/>
  <c r="AC148" i="23" s="1"/>
  <c r="AG111" i="23"/>
  <c r="AH111" i="23"/>
  <c r="AB111" i="23"/>
  <c r="AF111" i="23"/>
  <c r="AJ111" i="23"/>
  <c r="AD111" i="23"/>
  <c r="AI111" i="23"/>
  <c r="AE111" i="23"/>
  <c r="AM153" i="22"/>
  <c r="H112" i="23" s="1"/>
  <c r="M112" i="23" s="1"/>
  <c r="AH112" i="23" s="1"/>
  <c r="AE81" i="22"/>
  <c r="AE93" i="22"/>
  <c r="AE15" i="22"/>
  <c r="AE89" i="22"/>
  <c r="AE141" i="22"/>
  <c r="AE65" i="22"/>
  <c r="AN17" i="22"/>
  <c r="AN225" i="22" s="1"/>
  <c r="AE145" i="22"/>
  <c r="AN146" i="22"/>
  <c r="AE49" i="22"/>
  <c r="AE125" i="22"/>
  <c r="AE41" i="22"/>
  <c r="AE73" i="22"/>
  <c r="AE21" i="22"/>
  <c r="AE109" i="22"/>
  <c r="AE129" i="22"/>
  <c r="AE101" i="22"/>
  <c r="AE113" i="22"/>
  <c r="AE57" i="22"/>
  <c r="AE29" i="22"/>
  <c r="AE25" i="22"/>
  <c r="AE45" i="22"/>
  <c r="AP153" i="22"/>
  <c r="K24" i="23" s="1"/>
  <c r="CT194" i="14"/>
  <c r="K133" i="14"/>
  <c r="K139" i="14" s="1"/>
  <c r="K142" i="14" s="1"/>
  <c r="AR56" i="14"/>
  <c r="D56" i="7" s="1"/>
  <c r="S56" i="7" s="1"/>
  <c r="BD223" i="14"/>
  <c r="N23" i="33" s="1"/>
  <c r="L338" i="14"/>
  <c r="AR160" i="14"/>
  <c r="D160" i="7" s="1"/>
  <c r="S160" i="7" s="1"/>
  <c r="CT231" i="14"/>
  <c r="CK52" i="14"/>
  <c r="CT133" i="14"/>
  <c r="CT139" i="14" s="1"/>
  <c r="CT142" i="14" s="1"/>
  <c r="CK109" i="14"/>
  <c r="AR72" i="14"/>
  <c r="D72" i="7" s="1"/>
  <c r="S72" i="7" s="1"/>
  <c r="AR74" i="14"/>
  <c r="D74" i="7" s="1"/>
  <c r="S74" i="7" s="1"/>
  <c r="AR95" i="14"/>
  <c r="D95" i="7" s="1"/>
  <c r="S95" i="7" s="1"/>
  <c r="AR111" i="14"/>
  <c r="AR153" i="14"/>
  <c r="D153" i="7" s="1"/>
  <c r="S153" i="7" s="1"/>
  <c r="L312" i="14"/>
  <c r="D25" i="11" s="1"/>
  <c r="D9" i="11" s="1"/>
  <c r="L162" i="14"/>
  <c r="AR161" i="14"/>
  <c r="D161" i="7" s="1"/>
  <c r="S161" i="7" s="1"/>
  <c r="CK119" i="14"/>
  <c r="CK108" i="14"/>
  <c r="CK29" i="14"/>
  <c r="L133" i="14"/>
  <c r="L139" i="14" s="1"/>
  <c r="L142" i="14" s="1"/>
  <c r="D5" i="11" s="1"/>
  <c r="AR118" i="14"/>
  <c r="AR13" i="14"/>
  <c r="D13" i="7" s="1"/>
  <c r="S13" i="7" s="1"/>
  <c r="AR18" i="14"/>
  <c r="D18" i="7" s="1"/>
  <c r="S18" i="7" s="1"/>
  <c r="AR32" i="14"/>
  <c r="D32" i="7" s="1"/>
  <c r="S32" i="7" s="1"/>
  <c r="AR39" i="14"/>
  <c r="D39" i="7" s="1"/>
  <c r="S39" i="7" s="1"/>
  <c r="AR47" i="14"/>
  <c r="D47" i="7" s="1"/>
  <c r="S47" i="7" s="1"/>
  <c r="AR54" i="14"/>
  <c r="D54" i="7" s="1"/>
  <c r="S54" i="7" s="1"/>
  <c r="AR68" i="14"/>
  <c r="D68" i="7" s="1"/>
  <c r="S68" i="7" s="1"/>
  <c r="AS74" i="14"/>
  <c r="E74" i="7" s="1"/>
  <c r="T74" i="7" s="1"/>
  <c r="AR80" i="14"/>
  <c r="D80" i="7" s="1"/>
  <c r="S80" i="7" s="1"/>
  <c r="AR84" i="14"/>
  <c r="D84" i="7" s="1"/>
  <c r="S84" i="7" s="1"/>
  <c r="AR86" i="14"/>
  <c r="D86" i="7" s="1"/>
  <c r="S86" i="7" s="1"/>
  <c r="AR103" i="14"/>
  <c r="D103" i="7" s="1"/>
  <c r="S103" i="7" s="1"/>
  <c r="AR112" i="14"/>
  <c r="D112" i="7" s="1"/>
  <c r="S112" i="7" s="1"/>
  <c r="AR116" i="14"/>
  <c r="AR127" i="14"/>
  <c r="D127" i="7" s="1"/>
  <c r="S127" i="7" s="1"/>
  <c r="AR137" i="14"/>
  <c r="D137" i="7" s="1"/>
  <c r="S137" i="7" s="1"/>
  <c r="AR159" i="14"/>
  <c r="D159" i="7" s="1"/>
  <c r="S159" i="7" s="1"/>
  <c r="AR38" i="14"/>
  <c r="D38" i="7" s="1"/>
  <c r="S38" i="7" s="1"/>
  <c r="AR15" i="14"/>
  <c r="D15" i="7" s="1"/>
  <c r="S15" i="7" s="1"/>
  <c r="AR27" i="14"/>
  <c r="D27" i="7" s="1"/>
  <c r="S27" i="7" s="1"/>
  <c r="AR29" i="14"/>
  <c r="D29" i="7" s="1"/>
  <c r="S29" i="7" s="1"/>
  <c r="AS32" i="14"/>
  <c r="E32" i="7" s="1"/>
  <c r="T32" i="7" s="1"/>
  <c r="AR63" i="14"/>
  <c r="D63" i="7" s="1"/>
  <c r="S63" i="7" s="1"/>
  <c r="AR67" i="14"/>
  <c r="AC73" i="14"/>
  <c r="AC76" i="14" s="1"/>
  <c r="AS86" i="14"/>
  <c r="E86" i="7" s="1"/>
  <c r="T86" i="7" s="1"/>
  <c r="AR91" i="14"/>
  <c r="D91" i="7" s="1"/>
  <c r="S91" i="7" s="1"/>
  <c r="AR120" i="14"/>
  <c r="D120" i="7" s="1"/>
  <c r="S120" i="7" s="1"/>
  <c r="AR135" i="14"/>
  <c r="D135" i="7" s="1"/>
  <c r="S135" i="7" s="1"/>
  <c r="AR141" i="14"/>
  <c r="D141" i="7" s="1"/>
  <c r="S141" i="7" s="1"/>
  <c r="AR154" i="14"/>
  <c r="D154" i="7" s="1"/>
  <c r="S154" i="7" s="1"/>
  <c r="O17" i="11"/>
  <c r="AR122" i="14"/>
  <c r="D122" i="7" s="1"/>
  <c r="AR46" i="14"/>
  <c r="AR23" i="14"/>
  <c r="D23" i="7" s="1"/>
  <c r="S23" i="7" s="1"/>
  <c r="AR113" i="14"/>
  <c r="D113" i="7" s="1"/>
  <c r="S113" i="7" s="1"/>
  <c r="AR200" i="14"/>
  <c r="D198" i="7" s="1"/>
  <c r="S198" i="7" s="1"/>
  <c r="CK51" i="14"/>
  <c r="CK60" i="14"/>
  <c r="L218" i="14"/>
  <c r="D33" i="10" s="1"/>
  <c r="AR33" i="14"/>
  <c r="D33" i="7" s="1"/>
  <c r="S33" i="7" s="1"/>
  <c r="AR49" i="14"/>
  <c r="D49" i="7" s="1"/>
  <c r="S49" i="7" s="1"/>
  <c r="AR59" i="14"/>
  <c r="D59" i="7" s="1"/>
  <c r="S59" i="7" s="1"/>
  <c r="T73" i="14"/>
  <c r="T76" i="14" s="1"/>
  <c r="AR69" i="14"/>
  <c r="AR75" i="14"/>
  <c r="D75" i="7" s="1"/>
  <c r="S75" i="7" s="1"/>
  <c r="AR81" i="14"/>
  <c r="AR87" i="14"/>
  <c r="D87" i="7" s="1"/>
  <c r="S87" i="7" s="1"/>
  <c r="AR92" i="14"/>
  <c r="D92" i="7" s="1"/>
  <c r="S92" i="7" s="1"/>
  <c r="AR123" i="14"/>
  <c r="AR131" i="14"/>
  <c r="D131" i="7" s="1"/>
  <c r="S131" i="7" s="1"/>
  <c r="AS161" i="14"/>
  <c r="E161" i="7" s="1"/>
  <c r="T161" i="7" s="1"/>
  <c r="AR51" i="14"/>
  <c r="D51" i="7" s="1"/>
  <c r="S51" i="7" s="1"/>
  <c r="AR53" i="14"/>
  <c r="D53" i="7" s="1"/>
  <c r="S53" i="7" s="1"/>
  <c r="AR44" i="14"/>
  <c r="AR60" i="14"/>
  <c r="D60" i="7" s="1"/>
  <c r="S60" i="7" s="1"/>
  <c r="AR134" i="14"/>
  <c r="D134" i="7" s="1"/>
  <c r="S134" i="7" s="1"/>
  <c r="W155" i="14"/>
  <c r="AR14" i="14"/>
  <c r="AR19" i="14"/>
  <c r="D19" i="7" s="1"/>
  <c r="S19" i="7" s="1"/>
  <c r="AR22" i="14"/>
  <c r="D22" i="7" s="1"/>
  <c r="S22" i="7" s="1"/>
  <c r="Z325" i="14"/>
  <c r="AR36" i="14"/>
  <c r="AR40" i="14"/>
  <c r="D40" i="7" s="1"/>
  <c r="S40" i="7" s="1"/>
  <c r="AR78" i="14"/>
  <c r="D78" i="7" s="1"/>
  <c r="S78" i="7" s="1"/>
  <c r="AR105" i="14"/>
  <c r="AR121" i="14"/>
  <c r="AR128" i="14"/>
  <c r="D128" i="7" s="1"/>
  <c r="S128" i="7" s="1"/>
  <c r="AR138" i="14"/>
  <c r="D138" i="7" s="1"/>
  <c r="S138" i="7" s="1"/>
  <c r="AR151" i="14"/>
  <c r="AR20" i="14"/>
  <c r="D20" i="7" s="1"/>
  <c r="S20" i="7" s="1"/>
  <c r="AR41" i="14"/>
  <c r="D41" i="7" s="1"/>
  <c r="S41" i="7" s="1"/>
  <c r="AR64" i="14"/>
  <c r="D64" i="7" s="1"/>
  <c r="S64" i="7" s="1"/>
  <c r="W73" i="14"/>
  <c r="W76" i="14" s="1"/>
  <c r="AR114" i="14"/>
  <c r="AR124" i="14"/>
  <c r="CK118" i="14"/>
  <c r="CK107" i="14"/>
  <c r="AL183" i="14"/>
  <c r="CG183" i="14"/>
  <c r="AR58" i="14"/>
  <c r="D58" i="7" s="1"/>
  <c r="S58" i="7" s="1"/>
  <c r="AS160" i="14"/>
  <c r="E160" i="7" s="1"/>
  <c r="T160" i="7" s="1"/>
  <c r="AR26" i="14"/>
  <c r="D26" i="7" s="1"/>
  <c r="S26" i="7" s="1"/>
  <c r="AR30" i="14"/>
  <c r="D30" i="7" s="1"/>
  <c r="S30" i="7" s="1"/>
  <c r="AR61" i="14"/>
  <c r="AR71" i="14"/>
  <c r="AR79" i="14"/>
  <c r="AR82" i="14"/>
  <c r="D82" i="7" s="1"/>
  <c r="S82" i="7" s="1"/>
  <c r="AR93" i="14"/>
  <c r="D93" i="7" s="1"/>
  <c r="AR107" i="14"/>
  <c r="AR125" i="14"/>
  <c r="D125" i="7" s="1"/>
  <c r="S125" i="7" s="1"/>
  <c r="AR140" i="14"/>
  <c r="D140" i="7" s="1"/>
  <c r="S140" i="7" s="1"/>
  <c r="CK117" i="14"/>
  <c r="CK56" i="14"/>
  <c r="CK57" i="14"/>
  <c r="L231" i="14"/>
  <c r="D46" i="10" s="1"/>
  <c r="CT219" i="14"/>
  <c r="AR17" i="14"/>
  <c r="D17" i="7" s="1"/>
  <c r="S17" i="7" s="1"/>
  <c r="DZ34" i="14"/>
  <c r="AR42" i="14"/>
  <c r="D42" i="7" s="1"/>
  <c r="S42" i="7" s="1"/>
  <c r="AR52" i="14"/>
  <c r="D52" i="7" s="1"/>
  <c r="S52" i="7" s="1"/>
  <c r="CY129" i="14"/>
  <c r="CY142" i="14" s="1"/>
  <c r="CY155" i="14" s="1"/>
  <c r="CY156" i="14" s="1"/>
  <c r="CY163" i="14" s="1"/>
  <c r="AR115" i="14"/>
  <c r="D115" i="7" s="1"/>
  <c r="S115" i="7" s="1"/>
  <c r="AR108" i="14"/>
  <c r="AR109" i="14"/>
  <c r="AR119" i="14"/>
  <c r="AR117" i="14"/>
  <c r="CK116" i="14"/>
  <c r="CK59" i="14"/>
  <c r="AR57" i="14"/>
  <c r="D57" i="7" s="1"/>
  <c r="S57" i="7" s="1"/>
  <c r="AR45" i="14"/>
  <c r="D45" i="7" s="1"/>
  <c r="S45" i="7" s="1"/>
  <c r="BS24" i="33"/>
  <c r="CB24" i="33"/>
  <c r="BY24" i="33"/>
  <c r="BV24" i="33"/>
  <c r="CB28" i="33"/>
  <c r="BY28" i="33"/>
  <c r="BV28" i="33"/>
  <c r="BS28" i="33"/>
  <c r="AC143" i="23"/>
  <c r="AC153" i="23"/>
  <c r="AC189" i="23" s="1"/>
  <c r="AC157" i="23"/>
  <c r="AC166" i="23"/>
  <c r="AC202" i="23" s="1"/>
  <c r="AC167" i="23"/>
  <c r="AC155" i="23"/>
  <c r="AC191" i="23" s="1"/>
  <c r="AC154" i="23"/>
  <c r="AC168" i="23"/>
  <c r="AC204" i="23" s="1"/>
  <c r="AC152" i="23"/>
  <c r="AC188" i="23" s="1"/>
  <c r="AR144" i="14"/>
  <c r="D144" i="7" s="1"/>
  <c r="S144" i="7" s="1"/>
  <c r="AR148" i="14"/>
  <c r="D148" i="7" s="1"/>
  <c r="S148" i="7" s="1"/>
  <c r="AC155" i="14"/>
  <c r="Z155" i="14"/>
  <c r="AR150" i="14"/>
  <c r="D150" i="7" s="1"/>
  <c r="S150" i="7" s="1"/>
  <c r="AR146" i="14"/>
  <c r="D146" i="7" s="1"/>
  <c r="S146" i="7" s="1"/>
  <c r="AR90" i="14"/>
  <c r="Z73" i="14"/>
  <c r="Z76" i="14" s="1"/>
  <c r="AR37" i="14"/>
  <c r="AH17" i="10"/>
  <c r="AH13" i="10"/>
  <c r="AH23" i="10"/>
  <c r="B48" i="10"/>
  <c r="M48" i="10" s="1"/>
  <c r="Y22" i="10"/>
  <c r="AE22" i="10"/>
  <c r="AB22" i="10"/>
  <c r="B39" i="10"/>
  <c r="C39" i="10" s="1"/>
  <c r="AE13" i="10"/>
  <c r="AB13" i="10"/>
  <c r="Y13" i="10"/>
  <c r="B43" i="10"/>
  <c r="AE17" i="10"/>
  <c r="AB17" i="10"/>
  <c r="Y17" i="10"/>
  <c r="B47" i="10"/>
  <c r="B38" i="10"/>
  <c r="C38" i="10" s="1"/>
  <c r="B49" i="10"/>
  <c r="P49" i="10" s="1"/>
  <c r="AE23" i="10"/>
  <c r="AB23" i="10"/>
  <c r="Y23" i="10"/>
  <c r="L152" i="14"/>
  <c r="L155" i="14" s="1"/>
  <c r="L288" i="14"/>
  <c r="H52" i="8" s="1"/>
  <c r="AY218" i="14"/>
  <c r="CT175" i="14"/>
  <c r="DB129" i="14"/>
  <c r="DZ281" i="14"/>
  <c r="L227" i="14"/>
  <c r="D42" i="10" s="1"/>
  <c r="DH129" i="14"/>
  <c r="AV77" i="14"/>
  <c r="C21" i="10"/>
  <c r="CO234" i="14"/>
  <c r="AY236" i="14"/>
  <c r="CK338" i="14"/>
  <c r="AV130" i="14"/>
  <c r="D147" i="7"/>
  <c r="S147" i="7" s="1"/>
  <c r="D151" i="7"/>
  <c r="S151" i="7" s="1"/>
  <c r="AV66" i="14"/>
  <c r="Q73" i="14"/>
  <c r="Q76" i="14" s="1"/>
  <c r="L220" i="14"/>
  <c r="D35" i="10" s="1"/>
  <c r="D166" i="7"/>
  <c r="S166" i="7" s="1"/>
  <c r="CS142" i="14"/>
  <c r="CS155" i="14" s="1"/>
  <c r="CS156" i="14" s="1"/>
  <c r="CS163" i="14" s="1"/>
  <c r="N73" i="14"/>
  <c r="N76" i="14" s="1"/>
  <c r="Q155" i="14"/>
  <c r="D170" i="7"/>
  <c r="S170" i="7" s="1"/>
  <c r="D172" i="7"/>
  <c r="S172" i="7" s="1"/>
  <c r="AY252" i="14"/>
  <c r="CO274" i="14"/>
  <c r="AY270" i="14"/>
  <c r="AY256" i="14"/>
  <c r="CO242" i="14"/>
  <c r="I26" i="14"/>
  <c r="B17" i="33"/>
  <c r="L335" i="14"/>
  <c r="AY227" i="14"/>
  <c r="AY276" i="14"/>
  <c r="CO227" i="14"/>
  <c r="CO218" i="14"/>
  <c r="AY260" i="14"/>
  <c r="AY258" i="14"/>
  <c r="AY254" i="14"/>
  <c r="AY268" i="14"/>
  <c r="B16" i="33"/>
  <c r="CT73" i="14"/>
  <c r="CT76" i="14" s="1"/>
  <c r="K73" i="14"/>
  <c r="K76" i="14" s="1"/>
  <c r="D10" i="10"/>
  <c r="G23" i="10"/>
  <c r="S23" i="10"/>
  <c r="L337" i="14"/>
  <c r="AY266" i="14"/>
  <c r="CO272" i="14"/>
  <c r="K21" i="14"/>
  <c r="K34" i="14" s="1"/>
  <c r="CT217" i="14"/>
  <c r="L289" i="14"/>
  <c r="AY255" i="14"/>
  <c r="L340" i="14"/>
  <c r="L73" i="14"/>
  <c r="L76" i="14" s="1"/>
  <c r="AY229" i="14"/>
  <c r="L217" i="14"/>
  <c r="D32" i="10" s="1"/>
  <c r="C11" i="10"/>
  <c r="CO224" i="14"/>
  <c r="AY217" i="14"/>
  <c r="AY228" i="14"/>
  <c r="C10" i="10"/>
  <c r="AY263" i="14"/>
  <c r="L226" i="14"/>
  <c r="D41" i="10" s="1"/>
  <c r="AY224" i="14"/>
  <c r="AY271" i="14"/>
  <c r="AY248" i="14"/>
  <c r="CO225" i="14"/>
  <c r="AY238" i="14"/>
  <c r="L222" i="14"/>
  <c r="D37" i="10" s="1"/>
  <c r="CO231" i="14"/>
  <c r="L48" i="14"/>
  <c r="L62" i="14" s="1"/>
  <c r="L65" i="14" s="1"/>
  <c r="L219" i="14"/>
  <c r="D34" i="10" s="1"/>
  <c r="L332" i="14"/>
  <c r="C9" i="10"/>
  <c r="B29" i="33"/>
  <c r="D45" i="10"/>
  <c r="AY244" i="14"/>
  <c r="AY261" i="14"/>
  <c r="AB352" i="23"/>
  <c r="AB376" i="23" s="1"/>
  <c r="T155" i="14"/>
  <c r="C5" i="36"/>
  <c r="AB257" i="23"/>
  <c r="AB280" i="23" s="1"/>
  <c r="AB258" i="23"/>
  <c r="AB281" i="23" s="1"/>
  <c r="AB267" i="23"/>
  <c r="AB290" i="23" s="1"/>
  <c r="AB348" i="23"/>
  <c r="AB372" i="23" s="1"/>
  <c r="G3" i="21"/>
  <c r="D359" i="31"/>
  <c r="AO95" i="25"/>
  <c r="AE140" i="30"/>
  <c r="AH136" i="30"/>
  <c r="AG123" i="25"/>
  <c r="AE123" i="25"/>
  <c r="AR123" i="25"/>
  <c r="AE163" i="22"/>
  <c r="AQ208" i="29"/>
  <c r="AR91" i="27"/>
  <c r="AM91" i="27"/>
  <c r="AH95" i="27"/>
  <c r="AQ95" i="27"/>
  <c r="AK103" i="27"/>
  <c r="AQ103" i="27"/>
  <c r="AK111" i="27"/>
  <c r="AR111" i="27"/>
  <c r="AM111" i="27"/>
  <c r="AS119" i="27"/>
  <c r="AG119" i="27"/>
  <c r="AF119" i="27"/>
  <c r="AJ119" i="27"/>
  <c r="AG123" i="27"/>
  <c r="AN123" i="27"/>
  <c r="AF123" i="27"/>
  <c r="AE123" i="27"/>
  <c r="AS131" i="27"/>
  <c r="AG131" i="27"/>
  <c r="AF131" i="27"/>
  <c r="AO135" i="27"/>
  <c r="AG135" i="27"/>
  <c r="AH135" i="27"/>
  <c r="AO139" i="27"/>
  <c r="AG139" i="27"/>
  <c r="AH139" i="27"/>
  <c r="AP139" i="27"/>
  <c r="AF91" i="25"/>
  <c r="AQ91" i="25"/>
  <c r="AS119" i="25"/>
  <c r="AO119" i="25"/>
  <c r="AN159" i="22"/>
  <c r="AF159" i="22"/>
  <c r="AQ159" i="22"/>
  <c r="AG159" i="22"/>
  <c r="AH159" i="22"/>
  <c r="AR159" i="22"/>
  <c r="AM159" i="22"/>
  <c r="AR163" i="22"/>
  <c r="AO163" i="22"/>
  <c r="AM163" i="22"/>
  <c r="AF163" i="22"/>
  <c r="AS167" i="22"/>
  <c r="AK167" i="22"/>
  <c r="AM167" i="22"/>
  <c r="AO212" i="22"/>
  <c r="AD212" i="22"/>
  <c r="AO230" i="22"/>
  <c r="AE230" i="22"/>
  <c r="AN238" i="22"/>
  <c r="AE238" i="22"/>
  <c r="AQ246" i="22"/>
  <c r="AJ246" i="22"/>
  <c r="AJ250" i="22"/>
  <c r="AP250" i="22"/>
  <c r="AQ250" i="22"/>
  <c r="AP188" i="29"/>
  <c r="AE188" i="29"/>
  <c r="AH192" i="29"/>
  <c r="AK192" i="29"/>
  <c r="B20" i="18"/>
  <c r="B47" i="18" s="1"/>
  <c r="AN20" i="8"/>
  <c r="B25" i="18"/>
  <c r="B52" i="18" s="1"/>
  <c r="AN25" i="8"/>
  <c r="B30" i="18"/>
  <c r="B57" i="18" s="1"/>
  <c r="AN30" i="8"/>
  <c r="B23" i="18"/>
  <c r="B50" i="18" s="1"/>
  <c r="AN23" i="8"/>
  <c r="AD254" i="22"/>
  <c r="AI156" i="30"/>
  <c r="AH120" i="30"/>
  <c r="AG119" i="25"/>
  <c r="AP123" i="25"/>
  <c r="AJ123" i="25"/>
  <c r="AK119" i="25"/>
  <c r="AN119" i="25"/>
  <c r="AD123" i="25"/>
  <c r="AM246" i="22"/>
  <c r="AM238" i="22"/>
  <c r="AH250" i="22"/>
  <c r="AP246" i="22"/>
  <c r="AE212" i="22"/>
  <c r="AK159" i="22"/>
  <c r="AS163" i="22"/>
  <c r="AL160" i="29"/>
  <c r="AS159" i="22"/>
  <c r="AQ110" i="25"/>
  <c r="AH110" i="25"/>
  <c r="AR110" i="25"/>
  <c r="AD110" i="25"/>
  <c r="AG114" i="25"/>
  <c r="AD114" i="25"/>
  <c r="AQ114" i="25"/>
  <c r="AP174" i="25"/>
  <c r="AD174" i="25"/>
  <c r="AH145" i="27"/>
  <c r="AJ145" i="27"/>
  <c r="AM153" i="27"/>
  <c r="AJ153" i="27"/>
  <c r="AO157" i="27"/>
  <c r="AN157" i="27"/>
  <c r="AE161" i="27"/>
  <c r="AN161" i="27"/>
  <c r="AJ161" i="27"/>
  <c r="AI79" i="30"/>
  <c r="AM254" i="22"/>
  <c r="AQ120" i="30"/>
  <c r="AD152" i="30"/>
  <c r="AQ123" i="25"/>
  <c r="AK123" i="25"/>
  <c r="AN123" i="25"/>
  <c r="AE119" i="25"/>
  <c r="AR119" i="25"/>
  <c r="AD119" i="25"/>
  <c r="AE167" i="22"/>
  <c r="AF188" i="29"/>
  <c r="AL168" i="29"/>
  <c r="AP171" i="22"/>
  <c r="AN167" i="22"/>
  <c r="AJ238" i="22"/>
  <c r="AD169" i="22"/>
  <c r="AK169" i="22"/>
  <c r="AM169" i="22"/>
  <c r="AO210" i="22"/>
  <c r="AE210" i="22"/>
  <c r="AN214" i="22"/>
  <c r="AR214" i="22"/>
  <c r="AS244" i="22"/>
  <c r="AQ244" i="22"/>
  <c r="AR244" i="22"/>
  <c r="AG248" i="22"/>
  <c r="AE248" i="22"/>
  <c r="AS248" i="22"/>
  <c r="AQ248" i="22"/>
  <c r="AG252" i="22"/>
  <c r="AP252" i="22"/>
  <c r="AF252" i="22"/>
  <c r="AF178" i="29"/>
  <c r="AM178" i="29"/>
  <c r="AQ198" i="29"/>
  <c r="AG198" i="29"/>
  <c r="AP214" i="29"/>
  <c r="AE214" i="29"/>
  <c r="AF214" i="29"/>
  <c r="AE230" i="29"/>
  <c r="AM252" i="29"/>
  <c r="AN252" i="29"/>
  <c r="AS252" i="29"/>
  <c r="AF248" i="29"/>
  <c r="AD248" i="29"/>
  <c r="AK248" i="29"/>
  <c r="AF247" i="29"/>
  <c r="AP252" i="29"/>
  <c r="AG242" i="29"/>
  <c r="AL248" i="29"/>
  <c r="B19" i="18"/>
  <c r="B46" i="18" s="1"/>
  <c r="AN19" i="8"/>
  <c r="B24" i="18"/>
  <c r="B51" i="18" s="1"/>
  <c r="AN24" i="8"/>
  <c r="B29" i="18"/>
  <c r="B56" i="18" s="1"/>
  <c r="AN29" i="8"/>
  <c r="AO138" i="43"/>
  <c r="AF252" i="29"/>
  <c r="AD252" i="29"/>
  <c r="AK252" i="29"/>
  <c r="AM248" i="29"/>
  <c r="AN248" i="29"/>
  <c r="AS248" i="29"/>
  <c r="AH243" i="29"/>
  <c r="AF238" i="29"/>
  <c r="AN238" i="29"/>
  <c r="AL252" i="29"/>
  <c r="B21" i="18"/>
  <c r="B48" i="18" s="1"/>
  <c r="AN21" i="8"/>
  <c r="B26" i="18"/>
  <c r="B53" i="18" s="1"/>
  <c r="AN26" i="8"/>
  <c r="B31" i="18"/>
  <c r="B58" i="18" s="1"/>
  <c r="AN34" i="8"/>
  <c r="B28" i="18"/>
  <c r="B55" i="18" s="1"/>
  <c r="AN28" i="8"/>
  <c r="AR145" i="43"/>
  <c r="AE147" i="43"/>
  <c r="AF149" i="43"/>
  <c r="B22" i="18"/>
  <c r="B49" i="18" s="1"/>
  <c r="AN22" i="8"/>
  <c r="B27" i="18"/>
  <c r="B54" i="18" s="1"/>
  <c r="AN27" i="8"/>
  <c r="B32" i="18"/>
  <c r="B59" i="18" s="1"/>
  <c r="AN35" i="8"/>
  <c r="AG86" i="27"/>
  <c r="AG98" i="27"/>
  <c r="N301" i="14"/>
  <c r="CV9" i="14"/>
  <c r="CV301" i="14" s="1"/>
  <c r="T77" i="24"/>
  <c r="AI77" i="24" s="1"/>
  <c r="AH77" i="24" s="1"/>
  <c r="AB265" i="23"/>
  <c r="AB288" i="23" s="1"/>
  <c r="AB342" i="23"/>
  <c r="AB366" i="23" s="1"/>
  <c r="AB259" i="23"/>
  <c r="AB282" i="23" s="1"/>
  <c r="AB351" i="23"/>
  <c r="AB375" i="23" s="1"/>
  <c r="AB345" i="23"/>
  <c r="AB369" i="23" s="1"/>
  <c r="AB268" i="23"/>
  <c r="AB291" i="23" s="1"/>
  <c r="AC10" i="23"/>
  <c r="AC260" i="23" s="1"/>
  <c r="AC283" i="23" s="1"/>
  <c r="AB350" i="23"/>
  <c r="AB374" i="23" s="1"/>
  <c r="AB266" i="23"/>
  <c r="AB289" i="23" s="1"/>
  <c r="AB341" i="23"/>
  <c r="AB365" i="23" s="1"/>
  <c r="AB260" i="23"/>
  <c r="AB283" i="23" s="1"/>
  <c r="AB255" i="23"/>
  <c r="AB278" i="23" s="1"/>
  <c r="AB353" i="23"/>
  <c r="AB377" i="23" s="1"/>
  <c r="AB343" i="23"/>
  <c r="AB263" i="23"/>
  <c r="AB286" i="23" s="1"/>
  <c r="C17" i="2"/>
  <c r="AD9" i="23"/>
  <c r="DC5" i="14" s="1"/>
  <c r="G1" i="14"/>
  <c r="CO1" i="14" s="1"/>
  <c r="AG86" i="26"/>
  <c r="T58" i="25"/>
  <c r="AI58" i="25" s="1"/>
  <c r="AH58" i="25" s="1"/>
  <c r="T62" i="25"/>
  <c r="AI62" i="25" s="1"/>
  <c r="AH62" i="25" s="1"/>
  <c r="Z213" i="14"/>
  <c r="AG94" i="25"/>
  <c r="AG119" i="26"/>
  <c r="AM119" i="26"/>
  <c r="AH155" i="26"/>
  <c r="AD119" i="26"/>
  <c r="AE183" i="26"/>
  <c r="AJ97" i="26"/>
  <c r="AF97" i="26"/>
  <c r="AM82" i="26"/>
  <c r="H107" i="23" s="1"/>
  <c r="M107" i="23" s="1"/>
  <c r="AN12" i="26"/>
  <c r="AN16" i="26"/>
  <c r="AQ27" i="26"/>
  <c r="AM96" i="26"/>
  <c r="AE31" i="26"/>
  <c r="AE33" i="26"/>
  <c r="AQ37" i="26"/>
  <c r="AN40" i="26"/>
  <c r="AN42" i="26"/>
  <c r="AE43" i="26"/>
  <c r="AQ43" i="26"/>
  <c r="AE45" i="26"/>
  <c r="AQ45" i="26"/>
  <c r="AN46" i="26"/>
  <c r="AE47" i="26"/>
  <c r="AQ47" i="26"/>
  <c r="AE49" i="26"/>
  <c r="AQ49" i="26"/>
  <c r="AE54" i="26"/>
  <c r="AE56" i="26"/>
  <c r="AQ56" i="26"/>
  <c r="AN57" i="26"/>
  <c r="AE60" i="26"/>
  <c r="AQ60" i="26"/>
  <c r="AN63" i="26"/>
  <c r="AQ64" i="26"/>
  <c r="AE70" i="26"/>
  <c r="AQ70" i="26"/>
  <c r="AE72" i="26"/>
  <c r="AN73" i="26"/>
  <c r="AE74" i="26"/>
  <c r="AQ74" i="26"/>
  <c r="AN75" i="26"/>
  <c r="AG134" i="26"/>
  <c r="AO138" i="26"/>
  <c r="AD182" i="26"/>
  <c r="AK154" i="26"/>
  <c r="AR154" i="26"/>
  <c r="AR126" i="26"/>
  <c r="AN114" i="26"/>
  <c r="AS102" i="26"/>
  <c r="AK150" i="26"/>
  <c r="AG146" i="26"/>
  <c r="AF134" i="26"/>
  <c r="AQ174" i="26"/>
  <c r="AP158" i="26"/>
  <c r="AE114" i="26"/>
  <c r="AF102" i="26"/>
  <c r="AN178" i="26"/>
  <c r="AE97" i="26"/>
  <c r="AF19" i="26"/>
  <c r="AE19" i="26" s="1"/>
  <c r="AQ23" i="26"/>
  <c r="AO96" i="26"/>
  <c r="AG175" i="26"/>
  <c r="AP123" i="26"/>
  <c r="AD127" i="26"/>
  <c r="AQ166" i="26"/>
  <c r="AM150" i="26"/>
  <c r="AD146" i="26"/>
  <c r="AK134" i="26"/>
  <c r="AE170" i="26"/>
  <c r="AQ90" i="26"/>
  <c r="AH114" i="26"/>
  <c r="AK118" i="26"/>
  <c r="AO90" i="26"/>
  <c r="AM122" i="26"/>
  <c r="AF171" i="26"/>
  <c r="AG163" i="26"/>
  <c r="AE91" i="26"/>
  <c r="AE143" i="26"/>
  <c r="AD134" i="26"/>
  <c r="AN138" i="26"/>
  <c r="AH182" i="26"/>
  <c r="AP154" i="26"/>
  <c r="AO94" i="26"/>
  <c r="AG170" i="26"/>
  <c r="AS174" i="26"/>
  <c r="AQ134" i="26"/>
  <c r="AJ138" i="26"/>
  <c r="AR138" i="26"/>
  <c r="AE182" i="26"/>
  <c r="AP182" i="26"/>
  <c r="AP110" i="26"/>
  <c r="AJ90" i="26"/>
  <c r="AE146" i="26"/>
  <c r="AP142" i="26"/>
  <c r="AE130" i="26"/>
  <c r="AJ166" i="26"/>
  <c r="AM166" i="26"/>
  <c r="AD94" i="26"/>
  <c r="AF94" i="26"/>
  <c r="AH110" i="26"/>
  <c r="AS122" i="26"/>
  <c r="AE11" i="26"/>
  <c r="AE13" i="26"/>
  <c r="AN20" i="26"/>
  <c r="AN55" i="26"/>
  <c r="AN59" i="26"/>
  <c r="AH75" i="26"/>
  <c r="AO87" i="26"/>
  <c r="AP175" i="26"/>
  <c r="AD171" i="26"/>
  <c r="AD167" i="26"/>
  <c r="AS163" i="26"/>
  <c r="AP163" i="26"/>
  <c r="AF139" i="26"/>
  <c r="AR119" i="26"/>
  <c r="AF119" i="26"/>
  <c r="AH119" i="26"/>
  <c r="AJ119" i="26"/>
  <c r="AO167" i="26"/>
  <c r="AR106" i="26"/>
  <c r="AJ116" i="26"/>
  <c r="AK40" i="26"/>
  <c r="AK36" i="26"/>
  <c r="AJ87" i="26"/>
  <c r="AK79" i="26"/>
  <c r="AG179" i="26"/>
  <c r="AP171" i="26"/>
  <c r="AH167" i="26"/>
  <c r="AR163" i="26"/>
  <c r="AN163" i="26"/>
  <c r="AM159" i="26"/>
  <c r="AF147" i="26"/>
  <c r="AG151" i="26"/>
  <c r="AD139" i="26"/>
  <c r="AK119" i="26"/>
  <c r="AF131" i="26"/>
  <c r="AN119" i="26"/>
  <c r="AP119" i="26"/>
  <c r="AD97" i="26"/>
  <c r="AQ167" i="26"/>
  <c r="AF163" i="26"/>
  <c r="AE119" i="26"/>
  <c r="AH154" i="26"/>
  <c r="AS154" i="26"/>
  <c r="AG154" i="26"/>
  <c r="AF154" i="26"/>
  <c r="AS170" i="26"/>
  <c r="AM170" i="26"/>
  <c r="AR170" i="26"/>
  <c r="AP170" i="26"/>
  <c r="AH170" i="26"/>
  <c r="AO170" i="26"/>
  <c r="AN170" i="26"/>
  <c r="AK174" i="26"/>
  <c r="AR174" i="26"/>
  <c r="AJ174" i="26"/>
  <c r="AM174" i="26"/>
  <c r="AO174" i="26"/>
  <c r="AQ178" i="26"/>
  <c r="AR178" i="26"/>
  <c r="AK178" i="26"/>
  <c r="AE178" i="26"/>
  <c r="AJ178" i="26"/>
  <c r="AK23" i="26"/>
  <c r="AR182" i="26"/>
  <c r="AN154" i="26"/>
  <c r="AE154" i="26"/>
  <c r="AM110" i="26"/>
  <c r="AS94" i="26"/>
  <c r="AR150" i="26"/>
  <c r="AE150" i="26"/>
  <c r="AO142" i="26"/>
  <c r="AM130" i="26"/>
  <c r="AD170" i="26"/>
  <c r="AF170" i="26"/>
  <c r="AD174" i="26"/>
  <c r="AG174" i="26"/>
  <c r="AF118" i="26"/>
  <c r="AP178" i="26"/>
  <c r="AR162" i="26"/>
  <c r="AJ162" i="26"/>
  <c r="AE174" i="26"/>
  <c r="AH150" i="26"/>
  <c r="AQ162" i="26"/>
  <c r="AM106" i="26"/>
  <c r="AJ86" i="26"/>
  <c r="AR86" i="26"/>
  <c r="AP86" i="26"/>
  <c r="AD86" i="26"/>
  <c r="AM86" i="26"/>
  <c r="AD90" i="26"/>
  <c r="AF90" i="26"/>
  <c r="AK90" i="26"/>
  <c r="AR90" i="26"/>
  <c r="AM90" i="26"/>
  <c r="AS90" i="26"/>
  <c r="AN90" i="26"/>
  <c r="AG90" i="26"/>
  <c r="AR94" i="26"/>
  <c r="AM94" i="26"/>
  <c r="AN94" i="26"/>
  <c r="AH94" i="26"/>
  <c r="AJ94" i="26"/>
  <c r="AQ94" i="26"/>
  <c r="AD98" i="26"/>
  <c r="AM98" i="26"/>
  <c r="AD102" i="26"/>
  <c r="AO102" i="26"/>
  <c r="AH102" i="26"/>
  <c r="AM102" i="26"/>
  <c r="AP102" i="26"/>
  <c r="AQ102" i="26"/>
  <c r="AG102" i="26"/>
  <c r="AN102" i="26"/>
  <c r="AO110" i="26"/>
  <c r="AN110" i="26"/>
  <c r="AR110" i="26"/>
  <c r="AD110" i="26"/>
  <c r="AG110" i="26"/>
  <c r="AS110" i="26"/>
  <c r="AD114" i="26"/>
  <c r="AM114" i="26"/>
  <c r="AF114" i="26"/>
  <c r="AG114" i="26"/>
  <c r="AJ114" i="26"/>
  <c r="AO114" i="26"/>
  <c r="AS114" i="26"/>
  <c r="AQ114" i="26"/>
  <c r="AP114" i="26"/>
  <c r="AR114" i="26"/>
  <c r="AG118" i="26"/>
  <c r="AQ118" i="26"/>
  <c r="AM118" i="26"/>
  <c r="AD118" i="26"/>
  <c r="AE118" i="26"/>
  <c r="AN118" i="26"/>
  <c r="AO122" i="26"/>
  <c r="AQ122" i="26"/>
  <c r="AE122" i="26"/>
  <c r="AF122" i="26"/>
  <c r="AD122" i="26"/>
  <c r="AJ122" i="26"/>
  <c r="AG122" i="26"/>
  <c r="AK122" i="26"/>
  <c r="AR122" i="26"/>
  <c r="AN122" i="26"/>
  <c r="AD126" i="26"/>
  <c r="AM126" i="26"/>
  <c r="AQ126" i="26"/>
  <c r="AP126" i="26"/>
  <c r="AF126" i="26"/>
  <c r="AG126" i="26"/>
  <c r="AS126" i="26"/>
  <c r="AO126" i="26"/>
  <c r="AO130" i="26"/>
  <c r="AR130" i="26"/>
  <c r="AK130" i="26"/>
  <c r="AN130" i="26"/>
  <c r="AP130" i="26"/>
  <c r="AJ130" i="26"/>
  <c r="AF130" i="26"/>
  <c r="AS130" i="26"/>
  <c r="AJ134" i="26"/>
  <c r="AP134" i="26"/>
  <c r="AH134" i="26"/>
  <c r="AS134" i="26"/>
  <c r="AG138" i="26"/>
  <c r="AP138" i="26"/>
  <c r="AS138" i="26"/>
  <c r="AM138" i="26"/>
  <c r="AD138" i="26"/>
  <c r="AQ142" i="26"/>
  <c r="AN142" i="26"/>
  <c r="AJ142" i="26"/>
  <c r="AR142" i="26"/>
  <c r="AH142" i="26"/>
  <c r="AK142" i="26"/>
  <c r="AM146" i="26"/>
  <c r="AK146" i="26"/>
  <c r="AJ146" i="26"/>
  <c r="AR146" i="26"/>
  <c r="AN146" i="26"/>
  <c r="AO146" i="26"/>
  <c r="AH146" i="26"/>
  <c r="AS146" i="26"/>
  <c r="AJ150" i="26"/>
  <c r="AO150" i="26"/>
  <c r="AF150" i="26"/>
  <c r="AD150" i="26"/>
  <c r="AP150" i="26"/>
  <c r="AS158" i="26"/>
  <c r="AE158" i="26"/>
  <c r="AO158" i="26"/>
  <c r="AJ158" i="26"/>
  <c r="AN158" i="26"/>
  <c r="AF158" i="26"/>
  <c r="AD158" i="26"/>
  <c r="AO162" i="26"/>
  <c r="AG162" i="26"/>
  <c r="AN162" i="26"/>
  <c r="AK166" i="26"/>
  <c r="AG166" i="26"/>
  <c r="AO166" i="26"/>
  <c r="AN166" i="26"/>
  <c r="AD166" i="26"/>
  <c r="AS166" i="26"/>
  <c r="AH166" i="26"/>
  <c r="AF166" i="26"/>
  <c r="AO182" i="26"/>
  <c r="AN182" i="26"/>
  <c r="AG182" i="26"/>
  <c r="AE134" i="26"/>
  <c r="AQ138" i="26"/>
  <c r="AQ182" i="26"/>
  <c r="AN134" i="26"/>
  <c r="AM134" i="26"/>
  <c r="AK138" i="26"/>
  <c r="AH138" i="26"/>
  <c r="AF182" i="26"/>
  <c r="AM182" i="26"/>
  <c r="AQ154" i="26"/>
  <c r="AO154" i="26"/>
  <c r="AD154" i="26"/>
  <c r="AD162" i="26"/>
  <c r="AH162" i="26"/>
  <c r="AR166" i="26"/>
  <c r="AK126" i="26"/>
  <c r="AQ110" i="26"/>
  <c r="AE102" i="26"/>
  <c r="AE94" i="26"/>
  <c r="AG150" i="26"/>
  <c r="AN150" i="26"/>
  <c r="AQ146" i="26"/>
  <c r="AG142" i="26"/>
  <c r="AE142" i="26"/>
  <c r="AQ130" i="26"/>
  <c r="AH130" i="26"/>
  <c r="AK170" i="26"/>
  <c r="AJ102" i="26"/>
  <c r="AN174" i="26"/>
  <c r="AP174" i="26"/>
  <c r="AE166" i="26"/>
  <c r="AR98" i="26"/>
  <c r="AP94" i="26"/>
  <c r="AP118" i="26"/>
  <c r="AK94" i="26"/>
  <c r="AH178" i="26"/>
  <c r="AM162" i="26"/>
  <c r="AS150" i="26"/>
  <c r="AE126" i="26"/>
  <c r="AK162" i="26"/>
  <c r="AS178" i="26"/>
  <c r="AN126" i="26"/>
  <c r="AM178" i="26"/>
  <c r="AO106" i="26"/>
  <c r="AK110" i="26"/>
  <c r="AP90" i="26"/>
  <c r="AF178" i="26"/>
  <c r="AH158" i="26"/>
  <c r="AF174" i="26"/>
  <c r="AP162" i="26"/>
  <c r="AK158" i="26"/>
  <c r="AE162" i="26"/>
  <c r="AP106" i="26"/>
  <c r="AP98" i="26"/>
  <c r="AN86" i="26"/>
  <c r="AO82" i="26"/>
  <c r="AQ11" i="26"/>
  <c r="AQ17" i="26"/>
  <c r="AQ98" i="26" s="1"/>
  <c r="AN18" i="26"/>
  <c r="AN32" i="26"/>
  <c r="AN104" i="26" s="1"/>
  <c r="AD106" i="26"/>
  <c r="AS42" i="26"/>
  <c r="AK43" i="26"/>
  <c r="AN44" i="26"/>
  <c r="AN48" i="26"/>
  <c r="AN50" i="26"/>
  <c r="AQ54" i="26"/>
  <c r="AQ58" i="26"/>
  <c r="AQ62" i="26"/>
  <c r="AP105" i="26"/>
  <c r="AK32" i="26"/>
  <c r="AE63" i="26"/>
  <c r="AR157" i="26"/>
  <c r="AN177" i="26"/>
  <c r="AK145" i="26"/>
  <c r="AQ86" i="26"/>
  <c r="AM173" i="26"/>
  <c r="AK181" i="26"/>
  <c r="AP133" i="26"/>
  <c r="AR177" i="26"/>
  <c r="AF169" i="26"/>
  <c r="AO101" i="26"/>
  <c r="AN180" i="27"/>
  <c r="AM180" i="27"/>
  <c r="AR96" i="27"/>
  <c r="AK12" i="27"/>
  <c r="AS156" i="27"/>
  <c r="AK156" i="27"/>
  <c r="AJ156" i="27"/>
  <c r="AR168" i="27"/>
  <c r="AG168" i="27"/>
  <c r="AO96" i="27"/>
  <c r="AF184" i="27"/>
  <c r="AS168" i="27"/>
  <c r="AS164" i="27"/>
  <c r="AP164" i="27"/>
  <c r="AQ160" i="27"/>
  <c r="AJ160" i="27"/>
  <c r="AR156" i="27"/>
  <c r="AR152" i="27"/>
  <c r="AG152" i="27"/>
  <c r="AE144" i="27"/>
  <c r="AS144" i="27"/>
  <c r="AP100" i="27"/>
  <c r="AQ12" i="27"/>
  <c r="AP180" i="27"/>
  <c r="AH176" i="27"/>
  <c r="AH172" i="27"/>
  <c r="AE184" i="27"/>
  <c r="AJ180" i="27"/>
  <c r="AS176" i="27"/>
  <c r="AF172" i="27"/>
  <c r="AH164" i="27"/>
  <c r="AF55" i="27"/>
  <c r="AE55" i="27" s="1"/>
  <c r="AR86" i="27"/>
  <c r="AK180" i="27"/>
  <c r="AG176" i="27"/>
  <c r="AE180" i="27"/>
  <c r="AM172" i="27"/>
  <c r="AJ164" i="27"/>
  <c r="AH165" i="27"/>
  <c r="AO165" i="27"/>
  <c r="AR165" i="27"/>
  <c r="AS152" i="27"/>
  <c r="AE141" i="27"/>
  <c r="AK173" i="27"/>
  <c r="AD173" i="27"/>
  <c r="AF181" i="27"/>
  <c r="AD181" i="27"/>
  <c r="AN160" i="27"/>
  <c r="AJ152" i="27"/>
  <c r="AJ177" i="27"/>
  <c r="AQ169" i="27"/>
  <c r="AN169" i="27"/>
  <c r="AQ153" i="27"/>
  <c r="AK153" i="27"/>
  <c r="AD144" i="27"/>
  <c r="AE153" i="27"/>
  <c r="AH157" i="27"/>
  <c r="AP161" i="27"/>
  <c r="AM161" i="27"/>
  <c r="AG161" i="27"/>
  <c r="AM157" i="27"/>
  <c r="AQ157" i="27"/>
  <c r="AK157" i="27"/>
  <c r="AN145" i="27"/>
  <c r="AP153" i="27"/>
  <c r="AE27" i="27"/>
  <c r="AO180" i="27"/>
  <c r="AK20" i="27"/>
  <c r="AL98" i="27"/>
  <c r="AJ104" i="27"/>
  <c r="AP156" i="27"/>
  <c r="AH156" i="27"/>
  <c r="AG156" i="27"/>
  <c r="AJ168" i="27"/>
  <c r="AO184" i="27"/>
  <c r="AN168" i="27"/>
  <c r="AO164" i="27"/>
  <c r="AK164" i="27"/>
  <c r="AD160" i="27"/>
  <c r="AG160" i="27"/>
  <c r="AQ152" i="27"/>
  <c r="AM144" i="27"/>
  <c r="AN144" i="27"/>
  <c r="AH92" i="27"/>
  <c r="AS42" i="27"/>
  <c r="AF20" i="27"/>
  <c r="AF180" i="27"/>
  <c r="AN176" i="27"/>
  <c r="AP172" i="27"/>
  <c r="AS180" i="27"/>
  <c r="AR176" i="27"/>
  <c r="AO172" i="27"/>
  <c r="AD164" i="27"/>
  <c r="AG180" i="27"/>
  <c r="AQ176" i="27"/>
  <c r="AE172" i="27"/>
  <c r="AR164" i="27"/>
  <c r="AM165" i="27"/>
  <c r="AF165" i="27"/>
  <c r="AM152" i="27"/>
  <c r="AM133" i="27"/>
  <c r="AS173" i="27"/>
  <c r="AR160" i="27"/>
  <c r="AN152" i="27"/>
  <c r="AD177" i="27"/>
  <c r="AR153" i="27"/>
  <c r="AD153" i="27"/>
  <c r="AO153" i="27"/>
  <c r="AH144" i="27"/>
  <c r="AJ144" i="27"/>
  <c r="AF161" i="27"/>
  <c r="AR161" i="27"/>
  <c r="AK161" i="27"/>
  <c r="AE157" i="27"/>
  <c r="AD157" i="27"/>
  <c r="AG91" i="27"/>
  <c r="AR145" i="27"/>
  <c r="AH180" i="27"/>
  <c r="AQ106" i="27"/>
  <c r="AD180" i="27"/>
  <c r="AO176" i="27"/>
  <c r="AQ180" i="27"/>
  <c r="AP152" i="27"/>
  <c r="AS172" i="27"/>
  <c r="AE30" i="27"/>
  <c r="AF97" i="27"/>
  <c r="AF88" i="27"/>
  <c r="AJ88" i="27"/>
  <c r="AG88" i="27"/>
  <c r="AH88" i="27"/>
  <c r="AN88" i="27"/>
  <c r="AR88" i="27"/>
  <c r="AK88" i="27"/>
  <c r="AD88" i="27"/>
  <c r="AE92" i="27"/>
  <c r="AO92" i="27"/>
  <c r="AF92" i="27"/>
  <c r="AN92" i="27"/>
  <c r="AJ92" i="27"/>
  <c r="AG92" i="27"/>
  <c r="AD92" i="27"/>
  <c r="AE100" i="27"/>
  <c r="AF100" i="27"/>
  <c r="AG100" i="27"/>
  <c r="AJ100" i="27"/>
  <c r="AM100" i="27"/>
  <c r="AN100" i="27"/>
  <c r="AK100" i="27"/>
  <c r="AD100" i="27"/>
  <c r="AM120" i="27"/>
  <c r="AJ120" i="27"/>
  <c r="AF120" i="27"/>
  <c r="AP120" i="27"/>
  <c r="AK120" i="27"/>
  <c r="AS120" i="27"/>
  <c r="AH120" i="27"/>
  <c r="AQ120" i="27"/>
  <c r="AO120" i="27"/>
  <c r="AK148" i="27"/>
  <c r="AP148" i="27"/>
  <c r="AG148" i="27"/>
  <c r="AD148" i="27"/>
  <c r="AR148" i="27"/>
  <c r="AM108" i="27"/>
  <c r="AF108" i="27"/>
  <c r="AJ108" i="27"/>
  <c r="AG108" i="27"/>
  <c r="AQ108" i="27"/>
  <c r="AN108" i="27"/>
  <c r="AK108" i="27"/>
  <c r="AD108" i="27"/>
  <c r="AD112" i="27"/>
  <c r="AN112" i="27"/>
  <c r="AO112" i="27"/>
  <c r="AE112" i="27"/>
  <c r="AR112" i="27"/>
  <c r="AQ112" i="27"/>
  <c r="AF112" i="27"/>
  <c r="AG112" i="27"/>
  <c r="AH112" i="27"/>
  <c r="AN124" i="27"/>
  <c r="AH124" i="27"/>
  <c r="AQ124" i="27"/>
  <c r="AE124" i="27"/>
  <c r="AD124" i="27"/>
  <c r="AG124" i="27"/>
  <c r="AJ124" i="27"/>
  <c r="AF124" i="27"/>
  <c r="AR124" i="27"/>
  <c r="AJ128" i="27"/>
  <c r="AF128" i="27"/>
  <c r="AP128" i="27"/>
  <c r="AK128" i="27"/>
  <c r="AO128" i="27"/>
  <c r="AH128" i="27"/>
  <c r="AQ128" i="27"/>
  <c r="AN128" i="27"/>
  <c r="AH132" i="27"/>
  <c r="AQ132" i="27"/>
  <c r="AE132" i="27"/>
  <c r="AD132" i="27"/>
  <c r="AS132" i="27"/>
  <c r="AJ132" i="27"/>
  <c r="AF132" i="27"/>
  <c r="AG132" i="27"/>
  <c r="AO136" i="27"/>
  <c r="AJ136" i="27"/>
  <c r="AF136" i="27"/>
  <c r="AP136" i="27"/>
  <c r="AK136" i="27"/>
  <c r="AS136" i="27"/>
  <c r="AH136" i="27"/>
  <c r="AQ136" i="27"/>
  <c r="AR136" i="27"/>
  <c r="AH140" i="27"/>
  <c r="AQ140" i="27"/>
  <c r="AE140" i="27"/>
  <c r="AD140" i="27"/>
  <c r="AM140" i="27"/>
  <c r="AN140" i="27"/>
  <c r="AJ140" i="27"/>
  <c r="AF140" i="27"/>
  <c r="AJ116" i="27"/>
  <c r="AJ96" i="27"/>
  <c r="AM184" i="27"/>
  <c r="AJ184" i="27"/>
  <c r="AH148" i="27"/>
  <c r="AS148" i="27"/>
  <c r="AS112" i="27"/>
  <c r="AM132" i="27"/>
  <c r="AG128" i="27"/>
  <c r="AO132" i="27"/>
  <c r="AS128" i="27"/>
  <c r="AM112" i="27"/>
  <c r="AS100" i="27"/>
  <c r="AE88" i="27"/>
  <c r="AP96" i="27"/>
  <c r="AK132" i="27"/>
  <c r="AP124" i="27"/>
  <c r="AE136" i="27"/>
  <c r="AO108" i="27"/>
  <c r="AR92" i="27"/>
  <c r="AE108" i="27"/>
  <c r="AN147" i="27"/>
  <c r="AR147" i="27"/>
  <c r="AH147" i="27"/>
  <c r="AF147" i="27"/>
  <c r="AS147" i="27"/>
  <c r="AQ147" i="27"/>
  <c r="AE147" i="27"/>
  <c r="AH155" i="27"/>
  <c r="AJ155" i="27"/>
  <c r="AD155" i="27"/>
  <c r="AM155" i="27"/>
  <c r="AR159" i="27"/>
  <c r="AS159" i="27"/>
  <c r="AN159" i="27"/>
  <c r="AK159" i="27"/>
  <c r="AH159" i="27"/>
  <c r="AG159" i="27"/>
  <c r="AQ159" i="27"/>
  <c r="AE163" i="27"/>
  <c r="AN163" i="27"/>
  <c r="AQ167" i="27"/>
  <c r="AO167" i="27"/>
  <c r="AP167" i="27"/>
  <c r="AG167" i="27"/>
  <c r="AH167" i="27"/>
  <c r="AM167" i="27"/>
  <c r="AD167" i="27"/>
  <c r="AF167" i="27"/>
  <c r="AJ171" i="27"/>
  <c r="AP171" i="27"/>
  <c r="AM171" i="27"/>
  <c r="AR171" i="27"/>
  <c r="AN171" i="27"/>
  <c r="AF171" i="27"/>
  <c r="AS171" i="27"/>
  <c r="AQ175" i="27"/>
  <c r="AM175" i="27"/>
  <c r="AK175" i="27"/>
  <c r="AS175" i="27"/>
  <c r="AF175" i="27"/>
  <c r="AK179" i="27"/>
  <c r="AP179" i="27"/>
  <c r="AO179" i="27"/>
  <c r="AF179" i="27"/>
  <c r="AG179" i="27"/>
  <c r="AQ179" i="27"/>
  <c r="AJ179" i="27"/>
  <c r="AN132" i="27"/>
  <c r="AH108" i="27"/>
  <c r="AP88" i="27"/>
  <c r="AD96" i="27"/>
  <c r="V16" i="27"/>
  <c r="AL16" i="27" s="1"/>
  <c r="AK16" i="27" s="1"/>
  <c r="AF16" i="27"/>
  <c r="AE16" i="27" s="1"/>
  <c r="V44" i="27"/>
  <c r="AL44" i="27" s="1"/>
  <c r="AK44" i="27" s="1"/>
  <c r="AF44" i="27"/>
  <c r="AE44" i="27" s="1"/>
  <c r="V71" i="27"/>
  <c r="AL71" i="27" s="1"/>
  <c r="AK71" i="27" s="1"/>
  <c r="AF71" i="27"/>
  <c r="AE71" i="27" s="1"/>
  <c r="AF148" i="27"/>
  <c r="AK140" i="27"/>
  <c r="AP132" i="27"/>
  <c r="AD120" i="27"/>
  <c r="AE128" i="27"/>
  <c r="AK112" i="27"/>
  <c r="AR108" i="27"/>
  <c r="AM88" i="27"/>
  <c r="AP184" i="27"/>
  <c r="AK184" i="27"/>
  <c r="AM148" i="27"/>
  <c r="AE148" i="27"/>
  <c r="AM136" i="27"/>
  <c r="AO124" i="27"/>
  <c r="AP108" i="27"/>
  <c r="AP112" i="27"/>
  <c r="AO140" i="27"/>
  <c r="AS124" i="27"/>
  <c r="AQ92" i="27"/>
  <c r="AD184" i="27"/>
  <c r="AR184" i="27"/>
  <c r="AQ184" i="27"/>
  <c r="AO148" i="27"/>
  <c r="AQ148" i="27"/>
  <c r="AM124" i="27"/>
  <c r="AH100" i="27"/>
  <c r="AG136" i="27"/>
  <c r="AN120" i="27"/>
  <c r="AS88" i="27"/>
  <c r="AG140" i="27"/>
  <c r="AR140" i="27"/>
  <c r="AM128" i="27"/>
  <c r="AR120" i="27"/>
  <c r="AS108" i="27"/>
  <c r="AS92" i="27"/>
  <c r="AP104" i="27"/>
  <c r="AP140" i="27"/>
  <c r="AD128" i="27"/>
  <c r="AE120" i="27"/>
  <c r="AO100" i="27"/>
  <c r="AO88" i="27"/>
  <c r="AJ112" i="27"/>
  <c r="AR100" i="27"/>
  <c r="AS141" i="27"/>
  <c r="AO141" i="27"/>
  <c r="AM141" i="27"/>
  <c r="AP141" i="27"/>
  <c r="AE33" i="27"/>
  <c r="AE31" i="27"/>
  <c r="AE29" i="27"/>
  <c r="AE105" i="27" s="1"/>
  <c r="AE23" i="27"/>
  <c r="AE25" i="27"/>
  <c r="AF104" i="26"/>
  <c r="AO86" i="26"/>
  <c r="AF153" i="26"/>
  <c r="AS162" i="26"/>
  <c r="AG158" i="26"/>
  <c r="AJ133" i="26"/>
  <c r="AQ145" i="26"/>
  <c r="AE89" i="26"/>
  <c r="AJ89" i="26"/>
  <c r="AP109" i="26"/>
  <c r="AK121" i="26"/>
  <c r="AQ113" i="26"/>
  <c r="AO89" i="26"/>
  <c r="AP121" i="26"/>
  <c r="AH101" i="26"/>
  <c r="AM101" i="26"/>
  <c r="AD101" i="26"/>
  <c r="AP97" i="26"/>
  <c r="AE26" i="26"/>
  <c r="AE24" i="26"/>
  <c r="AF58" i="26"/>
  <c r="AE58" i="26" s="1"/>
  <c r="AN105" i="26"/>
  <c r="AE141" i="26"/>
  <c r="AP173" i="26"/>
  <c r="AR181" i="26"/>
  <c r="AH148" i="26"/>
  <c r="AH144" i="26"/>
  <c r="AM128" i="26"/>
  <c r="AM112" i="26"/>
  <c r="AG177" i="26"/>
  <c r="AP177" i="26"/>
  <c r="AS100" i="26"/>
  <c r="AM92" i="26"/>
  <c r="AH88" i="26"/>
  <c r="AK100" i="26"/>
  <c r="AR100" i="26"/>
  <c r="AQ92" i="26"/>
  <c r="AE100" i="26"/>
  <c r="AN92" i="26"/>
  <c r="AE88" i="26"/>
  <c r="AR88" i="26"/>
  <c r="AH141" i="26"/>
  <c r="AR144" i="26"/>
  <c r="AK161" i="26"/>
  <c r="AG181" i="26"/>
  <c r="AQ144" i="26"/>
  <c r="AP144" i="26"/>
  <c r="AJ117" i="26"/>
  <c r="AM100" i="26"/>
  <c r="AH92" i="26"/>
  <c r="AQ88" i="26"/>
  <c r="AF100" i="26"/>
  <c r="AP92" i="26"/>
  <c r="AG92" i="26"/>
  <c r="AK92" i="26"/>
  <c r="AR92" i="26"/>
  <c r="AF88" i="26"/>
  <c r="AS108" i="26"/>
  <c r="AK149" i="26"/>
  <c r="AR108" i="26"/>
  <c r="AK218" i="24"/>
  <c r="AE164" i="24"/>
  <c r="AK198" i="24"/>
  <c r="AE160" i="24"/>
  <c r="T190" i="24"/>
  <c r="AI190" i="24" s="1"/>
  <c r="AH190" i="24" s="1"/>
  <c r="AE251" i="24"/>
  <c r="AN212" i="24"/>
  <c r="AN218" i="24"/>
  <c r="AS281" i="24"/>
  <c r="AN134" i="24"/>
  <c r="T221" i="24"/>
  <c r="Z221" i="24" s="1"/>
  <c r="AI345" i="24"/>
  <c r="AE152" i="24"/>
  <c r="AP345" i="24"/>
  <c r="AE137" i="24"/>
  <c r="AE204" i="24"/>
  <c r="AO298" i="24"/>
  <c r="AI102" i="30"/>
  <c r="AR102" i="30"/>
  <c r="AJ86" i="30"/>
  <c r="AN78" i="30"/>
  <c r="AQ78" i="30"/>
  <c r="AR74" i="30"/>
  <c r="AM74" i="30"/>
  <c r="AE74" i="30"/>
  <c r="AO163" i="30"/>
  <c r="AG156" i="30"/>
  <c r="AM112" i="30"/>
  <c r="AQ136" i="30"/>
  <c r="AN112" i="30"/>
  <c r="AG176" i="25"/>
  <c r="AJ176" i="25"/>
  <c r="AF117" i="26"/>
  <c r="AR109" i="26"/>
  <c r="AK203" i="22"/>
  <c r="AF240" i="29"/>
  <c r="AS240" i="29"/>
  <c r="AK236" i="29"/>
  <c r="AM235" i="29"/>
  <c r="AL240" i="29"/>
  <c r="AS142" i="26"/>
  <c r="AD142" i="26"/>
  <c r="AE163" i="26"/>
  <c r="AH163" i="26"/>
  <c r="AM163" i="26"/>
  <c r="AJ167" i="26"/>
  <c r="AN167" i="26"/>
  <c r="AG167" i="26"/>
  <c r="AF167" i="26"/>
  <c r="AH171" i="26"/>
  <c r="AQ171" i="26"/>
  <c r="AS179" i="26"/>
  <c r="AR179" i="26"/>
  <c r="AG183" i="26"/>
  <c r="AK183" i="26"/>
  <c r="AD183" i="26"/>
  <c r="AE109" i="27"/>
  <c r="AR109" i="27"/>
  <c r="AK149" i="27"/>
  <c r="AN149" i="27"/>
  <c r="AE149" i="27"/>
  <c r="AE160" i="27"/>
  <c r="AH160" i="27"/>
  <c r="AD168" i="27"/>
  <c r="AE168" i="27"/>
  <c r="AQ167" i="22"/>
  <c r="AF167" i="22"/>
  <c r="AK196" i="22"/>
  <c r="AE196" i="22"/>
  <c r="AH196" i="22"/>
  <c r="AM200" i="22"/>
  <c r="AS200" i="22"/>
  <c r="AG204" i="22"/>
  <c r="AD204" i="22"/>
  <c r="AM208" i="22"/>
  <c r="AQ208" i="22"/>
  <c r="AS216" i="22"/>
  <c r="AH216" i="22"/>
  <c r="AM234" i="22"/>
  <c r="AR234" i="22"/>
  <c r="AF238" i="22"/>
  <c r="AG238" i="22"/>
  <c r="AS238" i="22"/>
  <c r="AD242" i="22"/>
  <c r="AJ242" i="22"/>
  <c r="AP242" i="22"/>
  <c r="AE242" i="22"/>
  <c r="AG242" i="22"/>
  <c r="AM242" i="22"/>
  <c r="AH246" i="22"/>
  <c r="AE246" i="22"/>
  <c r="AN246" i="22"/>
  <c r="AR250" i="22"/>
  <c r="AM250" i="22"/>
  <c r="AF250" i="22"/>
  <c r="AD160" i="29"/>
  <c r="AS160" i="29"/>
  <c r="AQ160" i="29"/>
  <c r="AF160" i="29"/>
  <c r="AE160" i="29"/>
  <c r="AR160" i="29"/>
  <c r="AM160" i="29"/>
  <c r="AL164" i="29"/>
  <c r="AI164" i="29"/>
  <c r="AH164" i="29"/>
  <c r="AN168" i="29"/>
  <c r="AM168" i="29"/>
  <c r="AE168" i="29"/>
  <c r="AK168" i="29"/>
  <c r="AH168" i="29"/>
  <c r="AF168" i="29"/>
  <c r="AO168" i="29"/>
  <c r="AI172" i="29"/>
  <c r="AS172" i="29"/>
  <c r="AG172" i="29"/>
  <c r="AQ172" i="29"/>
  <c r="AG184" i="29"/>
  <c r="AR184" i="29"/>
  <c r="AM190" i="29"/>
  <c r="AF190" i="29"/>
  <c r="AJ194" i="29"/>
  <c r="AI194" i="29"/>
  <c r="AR198" i="29"/>
  <c r="AL198" i="29"/>
  <c r="AE198" i="29"/>
  <c r="AO198" i="29"/>
  <c r="AI198" i="29"/>
  <c r="AF198" i="29"/>
  <c r="AK198" i="29"/>
  <c r="AM198" i="29"/>
  <c r="AE202" i="29"/>
  <c r="AS202" i="29"/>
  <c r="AI202" i="29"/>
  <c r="AH202" i="29"/>
  <c r="AD202" i="29"/>
  <c r="AO202" i="29"/>
  <c r="AM202" i="29"/>
  <c r="AQ206" i="29"/>
  <c r="AF206" i="29"/>
  <c r="AG206" i="29"/>
  <c r="AK218" i="29"/>
  <c r="AD218" i="29"/>
  <c r="AF218" i="29"/>
  <c r="AS218" i="29"/>
  <c r="AI218" i="29"/>
  <c r="AQ218" i="29"/>
  <c r="AN218" i="29"/>
  <c r="AJ218" i="29"/>
  <c r="AS232" i="29"/>
  <c r="AR232" i="29"/>
  <c r="AH232" i="29"/>
  <c r="AJ241" i="29"/>
  <c r="AF241" i="29"/>
  <c r="AS246" i="29"/>
  <c r="AO246" i="29"/>
  <c r="AD111" i="30"/>
  <c r="AF111" i="30"/>
  <c r="AE120" i="30"/>
  <c r="AR120" i="30"/>
  <c r="AE128" i="30"/>
  <c r="AO128" i="30"/>
  <c r="AE136" i="30"/>
  <c r="AR136" i="30"/>
  <c r="AO136" i="30"/>
  <c r="AM136" i="30"/>
  <c r="AG136" i="30"/>
  <c r="AI144" i="30"/>
  <c r="AG144" i="30"/>
  <c r="AS152" i="30"/>
  <c r="AJ152" i="30"/>
  <c r="AH160" i="30"/>
  <c r="AS160" i="30"/>
  <c r="AN163" i="30"/>
  <c r="AF163" i="30"/>
  <c r="AK163" i="30"/>
  <c r="AS168" i="25"/>
  <c r="AN168" i="25"/>
  <c r="AP172" i="25"/>
  <c r="AO172" i="25"/>
  <c r="AQ89" i="26"/>
  <c r="AR89" i="26"/>
  <c r="AD113" i="26"/>
  <c r="AK113" i="26"/>
  <c r="AN121" i="26"/>
  <c r="AR121" i="26"/>
  <c r="AE175" i="27"/>
  <c r="AG175" i="27"/>
  <c r="AK179" i="22"/>
  <c r="AR179" i="22"/>
  <c r="AH183" i="22"/>
  <c r="AK183" i="22"/>
  <c r="AF187" i="22"/>
  <c r="AH187" i="22"/>
  <c r="AD187" i="22"/>
  <c r="AD191" i="22"/>
  <c r="AP191" i="22"/>
  <c r="AR191" i="22"/>
  <c r="AJ236" i="29"/>
  <c r="AD236" i="29"/>
  <c r="AE240" i="29"/>
  <c r="AR240" i="29"/>
  <c r="AO240" i="29"/>
  <c r="AI240" i="29"/>
  <c r="AG240" i="29"/>
  <c r="AM240" i="29"/>
  <c r="AJ245" i="29"/>
  <c r="AG245" i="29"/>
  <c r="AK245" i="29"/>
  <c r="AD144" i="30"/>
  <c r="AH140" i="30"/>
  <c r="AR106" i="30"/>
  <c r="AF94" i="30"/>
  <c r="AN94" i="30"/>
  <c r="AN86" i="30"/>
  <c r="AP86" i="30"/>
  <c r="AS86" i="30"/>
  <c r="AO112" i="30"/>
  <c r="AR112" i="30"/>
  <c r="AK124" i="30"/>
  <c r="AI116" i="30"/>
  <c r="AD148" i="30"/>
  <c r="AN148" i="30"/>
  <c r="AF140" i="30"/>
  <c r="AG140" i="30"/>
  <c r="AG132" i="30"/>
  <c r="AH132" i="30"/>
  <c r="AS132" i="30"/>
  <c r="AS124" i="30"/>
  <c r="AL124" i="30"/>
  <c r="AP124" i="30"/>
  <c r="AG116" i="30"/>
  <c r="AO116" i="30"/>
  <c r="AJ106" i="30"/>
  <c r="AF106" i="30"/>
  <c r="AQ106" i="30"/>
  <c r="AK82" i="30"/>
  <c r="AD82" i="30"/>
  <c r="AR82" i="30"/>
  <c r="AD98" i="30"/>
  <c r="AK98" i="30"/>
  <c r="AS98" i="30"/>
  <c r="AN98" i="30"/>
  <c r="AL90" i="30"/>
  <c r="AP90" i="30"/>
  <c r="AR90" i="30"/>
  <c r="AD78" i="30"/>
  <c r="AP102" i="30"/>
  <c r="AS78" i="30"/>
  <c r="AE86" i="30"/>
  <c r="AE102" i="30"/>
  <c r="AR94" i="30"/>
  <c r="AL86" i="30"/>
  <c r="AO78" i="30"/>
  <c r="AR78" i="30"/>
  <c r="AK74" i="30"/>
  <c r="AF74" i="30"/>
  <c r="AF164" i="30"/>
  <c r="AK137" i="30"/>
  <c r="AP136" i="30"/>
  <c r="AK136" i="30"/>
  <c r="AS136" i="30"/>
  <c r="AJ136" i="30"/>
  <c r="AJ120" i="30"/>
  <c r="AI74" i="30"/>
  <c r="AR163" i="30"/>
  <c r="AE172" i="25"/>
  <c r="AF121" i="26"/>
  <c r="AJ113" i="26"/>
  <c r="AS101" i="26"/>
  <c r="AF224" i="22"/>
  <c r="AJ224" i="22"/>
  <c r="AL245" i="29"/>
  <c r="AN240" i="29"/>
  <c r="AK214" i="29"/>
  <c r="AD198" i="29"/>
  <c r="AG218" i="29"/>
  <c r="AN202" i="29"/>
  <c r="AI160" i="29"/>
  <c r="AF172" i="29"/>
  <c r="AQ240" i="29"/>
  <c r="AG246" i="22"/>
  <c r="AQ168" i="29"/>
  <c r="AN160" i="29"/>
  <c r="AS171" i="26"/>
  <c r="AM167" i="26"/>
  <c r="AP168" i="25"/>
  <c r="AJ202" i="29"/>
  <c r="AS172" i="25"/>
  <c r="AP238" i="22"/>
  <c r="AQ105" i="25"/>
  <c r="AP105" i="25"/>
  <c r="AJ105" i="25"/>
  <c r="AR105" i="25"/>
  <c r="AH109" i="25"/>
  <c r="AE109" i="25"/>
  <c r="AM109" i="25"/>
  <c r="AO113" i="25"/>
  <c r="AN113" i="25"/>
  <c r="AK113" i="25"/>
  <c r="AP117" i="25"/>
  <c r="AJ117" i="25"/>
  <c r="AR117" i="25"/>
  <c r="AF117" i="25"/>
  <c r="AM127" i="25"/>
  <c r="AF127" i="25"/>
  <c r="AQ127" i="25"/>
  <c r="AR131" i="25"/>
  <c r="AE131" i="25"/>
  <c r="AP135" i="25"/>
  <c r="AQ135" i="25"/>
  <c r="AK139" i="25"/>
  <c r="AJ139" i="25"/>
  <c r="AR155" i="25"/>
  <c r="AN155" i="25"/>
  <c r="AM163" i="25"/>
  <c r="AJ163" i="25"/>
  <c r="AR167" i="25"/>
  <c r="AG167" i="25"/>
  <c r="AG175" i="25"/>
  <c r="AD175" i="25"/>
  <c r="AP132" i="26"/>
  <c r="AM132" i="26"/>
  <c r="AP148" i="26"/>
  <c r="AK148" i="26"/>
  <c r="AH173" i="26"/>
  <c r="AR173" i="26"/>
  <c r="AO173" i="26"/>
  <c r="AO177" i="26"/>
  <c r="AM177" i="26"/>
  <c r="AP181" i="26"/>
  <c r="AM181" i="26"/>
  <c r="AN140" i="30"/>
  <c r="AH106" i="30"/>
  <c r="AR148" i="30"/>
  <c r="AD106" i="30"/>
  <c r="AI94" i="30"/>
  <c r="AQ94" i="30"/>
  <c r="AD86" i="30"/>
  <c r="AG86" i="30"/>
  <c r="AF112" i="30"/>
  <c r="AH112" i="30"/>
  <c r="AN116" i="30"/>
  <c r="AO140" i="30"/>
  <c r="AL140" i="30"/>
  <c r="AD140" i="30"/>
  <c r="AO132" i="30"/>
  <c r="AN132" i="30"/>
  <c r="AD132" i="30"/>
  <c r="AF124" i="30"/>
  <c r="AR124" i="30"/>
  <c r="AL116" i="30"/>
  <c r="AQ116" i="30"/>
  <c r="AD116" i="30"/>
  <c r="AE106" i="30"/>
  <c r="AO106" i="30"/>
  <c r="AL82" i="30"/>
  <c r="AQ98" i="30"/>
  <c r="AR98" i="30"/>
  <c r="AH98" i="30"/>
  <c r="AK90" i="30"/>
  <c r="AS90" i="30"/>
  <c r="AQ90" i="30"/>
  <c r="AF102" i="30"/>
  <c r="AQ74" i="30"/>
  <c r="AN74" i="30"/>
  <c r="AG74" i="30"/>
  <c r="AK102" i="30"/>
  <c r="AG78" i="30"/>
  <c r="AE78" i="30"/>
  <c r="AP78" i="30"/>
  <c r="AS74" i="30"/>
  <c r="AJ74" i="30"/>
  <c r="AM163" i="30"/>
  <c r="AF137" i="30"/>
  <c r="AJ137" i="30"/>
  <c r="AQ128" i="30"/>
  <c r="AL136" i="30"/>
  <c r="AD136" i="30"/>
  <c r="AN136" i="30"/>
  <c r="AH152" i="30"/>
  <c r="AD163" i="30"/>
  <c r="AK172" i="25"/>
  <c r="AN180" i="25"/>
  <c r="AN109" i="26"/>
  <c r="AE89" i="27"/>
  <c r="AP207" i="22"/>
  <c r="AO224" i="22"/>
  <c r="AK240" i="29"/>
  <c r="AE194" i="29"/>
  <c r="AK206" i="29"/>
  <c r="AN198" i="29"/>
  <c r="AL232" i="29"/>
  <c r="AH218" i="29"/>
  <c r="AO218" i="29"/>
  <c r="AG202" i="29"/>
  <c r="AL172" i="29"/>
  <c r="AM245" i="29"/>
  <c r="AO160" i="29"/>
  <c r="AJ160" i="29"/>
  <c r="AO157" i="22"/>
  <c r="AE148" i="26"/>
  <c r="AS167" i="26"/>
  <c r="AR103" i="27"/>
  <c r="AD103" i="27"/>
  <c r="AP161" i="22"/>
  <c r="AN161" i="22"/>
  <c r="AQ169" i="22"/>
  <c r="AH169" i="22"/>
  <c r="AR169" i="22"/>
  <c r="AR198" i="22"/>
  <c r="AN198" i="22"/>
  <c r="AJ198" i="22"/>
  <c r="AQ202" i="22"/>
  <c r="AH202" i="22"/>
  <c r="AJ232" i="22"/>
  <c r="AS232" i="22"/>
  <c r="AP244" i="22"/>
  <c r="AK244" i="22"/>
  <c r="AE244" i="22"/>
  <c r="AD248" i="22"/>
  <c r="AR248" i="22"/>
  <c r="AD252" i="22"/>
  <c r="AR252" i="22"/>
  <c r="AM252" i="22"/>
  <c r="AI162" i="29"/>
  <c r="AN162" i="29"/>
  <c r="AH174" i="29"/>
  <c r="AG174" i="29"/>
  <c r="AM182" i="29"/>
  <c r="AE182" i="29"/>
  <c r="AP186" i="29"/>
  <c r="AM186" i="29"/>
  <c r="AD188" i="29"/>
  <c r="AJ188" i="29"/>
  <c r="AP208" i="29"/>
  <c r="AL208" i="29"/>
  <c r="AI208" i="29"/>
  <c r="AQ212" i="29"/>
  <c r="AS212" i="29"/>
  <c r="AK212" i="29"/>
  <c r="AN212" i="29"/>
  <c r="AK222" i="29"/>
  <c r="AS222" i="29"/>
  <c r="AE226" i="29"/>
  <c r="AQ226" i="29"/>
  <c r="AD226" i="29"/>
  <c r="AL230" i="29"/>
  <c r="AF230" i="29"/>
  <c r="AI230" i="29"/>
  <c r="AO234" i="29"/>
  <c r="AQ234" i="29"/>
  <c r="AK244" i="29"/>
  <c r="AM244" i="29"/>
  <c r="AH244" i="29"/>
  <c r="AG249" i="29"/>
  <c r="AL249" i="29"/>
  <c r="AK249" i="29"/>
  <c r="AN115" i="27"/>
  <c r="AM115" i="27"/>
  <c r="AJ139" i="27"/>
  <c r="AP127" i="27"/>
  <c r="AE119" i="27"/>
  <c r="AN111" i="27"/>
  <c r="AF107" i="27"/>
  <c r="AJ99" i="27"/>
  <c r="AF95" i="27"/>
  <c r="AN91" i="27"/>
  <c r="AF127" i="27"/>
  <c r="AD127" i="27"/>
  <c r="AO127" i="27"/>
  <c r="AF139" i="27"/>
  <c r="AD139" i="27"/>
  <c r="AH131" i="27"/>
  <c r="AN131" i="27"/>
  <c r="AM123" i="27"/>
  <c r="AQ111" i="27"/>
  <c r="AM107" i="27"/>
  <c r="AE103" i="27"/>
  <c r="AM95" i="27"/>
  <c r="AE91" i="27"/>
  <c r="AF135" i="27"/>
  <c r="AD135" i="27"/>
  <c r="AH119" i="27"/>
  <c r="AN119" i="27"/>
  <c r="AE252" i="22"/>
  <c r="AM248" i="22"/>
  <c r="AO252" i="22"/>
  <c r="AJ248" i="22"/>
  <c r="AH248" i="22"/>
  <c r="AN244" i="22"/>
  <c r="AH244" i="22"/>
  <c r="AJ169" i="22"/>
  <c r="AM161" i="22"/>
  <c r="AF249" i="29"/>
  <c r="AM230" i="29"/>
  <c r="AM208" i="29"/>
  <c r="AD244" i="29"/>
  <c r="AS244" i="29"/>
  <c r="AI186" i="29"/>
  <c r="AI174" i="29"/>
  <c r="AR226" i="29"/>
  <c r="AK188" i="29"/>
  <c r="AO230" i="29"/>
  <c r="AP212" i="29"/>
  <c r="AQ182" i="29"/>
  <c r="AP222" i="29"/>
  <c r="AQ232" i="22"/>
  <c r="AK95" i="27"/>
  <c r="AP202" i="22"/>
  <c r="AQ145" i="27"/>
  <c r="AF145" i="27"/>
  <c r="AM166" i="43"/>
  <c r="AM158" i="43"/>
  <c r="AF151" i="43"/>
  <c r="AG151" i="43"/>
  <c r="AM154" i="43"/>
  <c r="AN154" i="43"/>
  <c r="AM147" i="43"/>
  <c r="AN147" i="43"/>
  <c r="AS147" i="43"/>
  <c r="AE231" i="43"/>
  <c r="AD154" i="43"/>
  <c r="AR226" i="43"/>
  <c r="AF141" i="43"/>
  <c r="AN141" i="43"/>
  <c r="AQ149" i="43"/>
  <c r="AD186" i="43"/>
  <c r="AO141" i="43"/>
  <c r="AF145" i="43"/>
  <c r="AD141" i="43"/>
  <c r="AP149" i="43"/>
  <c r="AQ151" i="43"/>
  <c r="AR153" i="43"/>
  <c r="AG143" i="43"/>
  <c r="AG163" i="43"/>
  <c r="AG153" i="43"/>
  <c r="AG155" i="43"/>
  <c r="AG145" i="43"/>
  <c r="AG105" i="27"/>
  <c r="AD170" i="43"/>
  <c r="AF170" i="43"/>
  <c r="AK166" i="43"/>
  <c r="AN166" i="43"/>
  <c r="AN162" i="43"/>
  <c r="AH166" i="43"/>
  <c r="AD151" i="43"/>
  <c r="AK151" i="43"/>
  <c r="AL154" i="43"/>
  <c r="AS154" i="43"/>
  <c r="AR154" i="43"/>
  <c r="AQ147" i="43"/>
  <c r="AM139" i="43"/>
  <c r="AP151" i="43"/>
  <c r="AF147" i="43"/>
  <c r="AG147" i="43"/>
  <c r="AE170" i="43"/>
  <c r="AO162" i="43"/>
  <c r="AP226" i="43"/>
  <c r="AP154" i="43"/>
  <c r="AH141" i="43"/>
  <c r="AG154" i="43"/>
  <c r="AJ149" i="43"/>
  <c r="AL141" i="43"/>
  <c r="AH149" i="43"/>
  <c r="AJ139" i="43"/>
  <c r="AR149" i="43"/>
  <c r="AK141" i="43"/>
  <c r="AJ151" i="43"/>
  <c r="AP153" i="43"/>
  <c r="AG186" i="43"/>
  <c r="AI154" i="43"/>
  <c r="AI198" i="43"/>
  <c r="AM153" i="43"/>
  <c r="AM145" i="43"/>
  <c r="AQ235" i="43"/>
  <c r="AN235" i="43"/>
  <c r="AO235" i="43"/>
  <c r="AL235" i="43"/>
  <c r="AO206" i="43"/>
  <c r="AN186" i="43"/>
  <c r="AL214" i="43"/>
  <c r="AS214" i="43"/>
  <c r="AH170" i="43"/>
  <c r="AJ170" i="43"/>
  <c r="AE166" i="43"/>
  <c r="AR166" i="43"/>
  <c r="AR162" i="43"/>
  <c r="AK170" i="43"/>
  <c r="AI151" i="43"/>
  <c r="AO151" i="43"/>
  <c r="AE154" i="43"/>
  <c r="AF154" i="43"/>
  <c r="AL151" i="43"/>
  <c r="AJ147" i="43"/>
  <c r="AH151" i="43"/>
  <c r="AD147" i="43"/>
  <c r="AK147" i="43"/>
  <c r="AM170" i="43"/>
  <c r="AD226" i="43"/>
  <c r="AO154" i="43"/>
  <c r="AS141" i="43"/>
  <c r="AL149" i="43"/>
  <c r="AR147" i="43"/>
  <c r="AP147" i="43"/>
  <c r="AG149" i="43"/>
  <c r="AO149" i="43"/>
  <c r="AS149" i="43"/>
  <c r="AD149" i="43"/>
  <c r="AG162" i="43"/>
  <c r="AL147" i="43"/>
  <c r="AD162" i="43"/>
  <c r="AO218" i="43"/>
  <c r="L331" i="14"/>
  <c r="L221" i="14"/>
  <c r="D36" i="10" s="1"/>
  <c r="V13" i="24"/>
  <c r="AF11" i="24"/>
  <c r="AE11" i="24" s="1"/>
  <c r="V11" i="24"/>
  <c r="AL11" i="24" s="1"/>
  <c r="AK11" i="24" s="1"/>
  <c r="AO266" i="24"/>
  <c r="AE188" i="24"/>
  <c r="T186" i="24"/>
  <c r="AI186" i="24" s="1"/>
  <c r="AH186" i="24" s="1"/>
  <c r="AQ16" i="22"/>
  <c r="AN16" i="22"/>
  <c r="AO153" i="22"/>
  <c r="AR153" i="22"/>
  <c r="AE13" i="22"/>
  <c r="AQ13" i="22"/>
  <c r="AK233" i="24"/>
  <c r="AK208" i="24"/>
  <c r="AN227" i="24"/>
  <c r="AJ153" i="29"/>
  <c r="I226" i="23" s="1"/>
  <c r="AE26" i="29"/>
  <c r="AE25" i="29"/>
  <c r="AR255" i="29"/>
  <c r="AN63" i="24"/>
  <c r="AE177" i="24"/>
  <c r="AI277" i="24"/>
  <c r="AL333" i="24"/>
  <c r="T87" i="24"/>
  <c r="AI87" i="24" s="1"/>
  <c r="AH87" i="24" s="1"/>
  <c r="T62" i="24"/>
  <c r="Z62" i="24" s="1"/>
  <c r="AJ281" i="24"/>
  <c r="AQ93" i="24"/>
  <c r="AI281" i="24"/>
  <c r="AF22" i="24"/>
  <c r="AE22" i="24" s="1"/>
  <c r="T34" i="24"/>
  <c r="AI34" i="24" s="1"/>
  <c r="AH34" i="24" s="1"/>
  <c r="AD349" i="24"/>
  <c r="AM357" i="24"/>
  <c r="AD274" i="24"/>
  <c r="AH133" i="24"/>
  <c r="T136" i="24"/>
  <c r="AI136" i="24" s="1"/>
  <c r="AH136" i="24" s="1"/>
  <c r="AR272" i="24"/>
  <c r="AQ82" i="24"/>
  <c r="AE250" i="24"/>
  <c r="T92" i="24"/>
  <c r="AI92" i="24" s="1"/>
  <c r="AH92" i="24" s="1"/>
  <c r="T28" i="24"/>
  <c r="AI28" i="24" s="1"/>
  <c r="AH28" i="24" s="1"/>
  <c r="AP269" i="24"/>
  <c r="T73" i="24"/>
  <c r="AI73" i="24" s="1"/>
  <c r="AS73" i="24" s="1"/>
  <c r="AF28" i="24"/>
  <c r="AE28" i="24" s="1"/>
  <c r="AG353" i="24"/>
  <c r="AI325" i="24"/>
  <c r="T22" i="24"/>
  <c r="AI22" i="24" s="1"/>
  <c r="AH22" i="24" s="1"/>
  <c r="AF87" i="24"/>
  <c r="AE87" i="24" s="1"/>
  <c r="AM301" i="24"/>
  <c r="AE361" i="24"/>
  <c r="AO285" i="24"/>
  <c r="AE200" i="24"/>
  <c r="AS314" i="24"/>
  <c r="AK334" i="24"/>
  <c r="AK322" i="24"/>
  <c r="AJ302" i="24"/>
  <c r="AE310" i="24"/>
  <c r="AN22" i="24"/>
  <c r="AI310" i="24"/>
  <c r="AK330" i="24"/>
  <c r="AF302" i="24"/>
  <c r="AE326" i="24"/>
  <c r="AL354" i="24"/>
  <c r="AP274" i="24"/>
  <c r="AG342" i="24"/>
  <c r="AE322" i="24"/>
  <c r="AM278" i="24"/>
  <c r="AL342" i="24"/>
  <c r="AI334" i="24"/>
  <c r="AN306" i="24"/>
  <c r="AJ338" i="24"/>
  <c r="AF314" i="24"/>
  <c r="AN314" i="24"/>
  <c r="AM270" i="24"/>
  <c r="AG270" i="24"/>
  <c r="AO270" i="24"/>
  <c r="AL270" i="24"/>
  <c r="AK270" i="24"/>
  <c r="AH270" i="24"/>
  <c r="AF270" i="24"/>
  <c r="AR270" i="24"/>
  <c r="AS270" i="24"/>
  <c r="AQ270" i="24"/>
  <c r="AN270" i="24"/>
  <c r="AE270" i="24"/>
  <c r="AS294" i="24"/>
  <c r="AQ294" i="24"/>
  <c r="AH294" i="24"/>
  <c r="AI294" i="24"/>
  <c r="AF294" i="24"/>
  <c r="AE294" i="24"/>
  <c r="AD294" i="24"/>
  <c r="AN294" i="24"/>
  <c r="H35" i="15" s="1"/>
  <c r="AM294" i="24"/>
  <c r="G35" i="15" s="1"/>
  <c r="AK294" i="24"/>
  <c r="AL326" i="24"/>
  <c r="AI270" i="24"/>
  <c r="AS306" i="24"/>
  <c r="AK306" i="24"/>
  <c r="AQ306" i="24"/>
  <c r="AP354" i="24"/>
  <c r="AM342" i="24"/>
  <c r="AK342" i="24"/>
  <c r="AK338" i="24"/>
  <c r="AP334" i="24"/>
  <c r="AG326" i="24"/>
  <c r="AD322" i="24"/>
  <c r="AE314" i="24"/>
  <c r="AH310" i="24"/>
  <c r="AD270" i="24"/>
  <c r="AD334" i="24"/>
  <c r="AD318" i="24"/>
  <c r="AJ270" i="24"/>
  <c r="AR274" i="24"/>
  <c r="AL330" i="24"/>
  <c r="AP294" i="24"/>
  <c r="AJ294" i="24"/>
  <c r="AI314" i="24"/>
  <c r="AR294" i="24"/>
  <c r="I35" i="15" s="1"/>
  <c r="AE342" i="24"/>
  <c r="AR338" i="24"/>
  <c r="AG330" i="24"/>
  <c r="AR310" i="24"/>
  <c r="I51" i="15" s="1"/>
  <c r="AG294" i="24"/>
  <c r="AP270" i="24"/>
  <c r="AH278" i="24"/>
  <c r="AG278" i="24"/>
  <c r="AK278" i="24"/>
  <c r="AO278" i="24"/>
  <c r="AQ278" i="24"/>
  <c r="AF278" i="24"/>
  <c r="AS278" i="24"/>
  <c r="AE278" i="24"/>
  <c r="AP278" i="24"/>
  <c r="AN278" i="24"/>
  <c r="AR278" i="24"/>
  <c r="I19" i="15" s="1"/>
  <c r="AL278" i="24"/>
  <c r="AK290" i="24"/>
  <c r="AI290" i="24"/>
  <c r="AR298" i="24"/>
  <c r="AP298" i="24"/>
  <c r="AM298" i="24"/>
  <c r="AG302" i="24"/>
  <c r="AO302" i="24"/>
  <c r="AS302" i="24"/>
  <c r="AI302" i="24"/>
  <c r="AH302" i="24"/>
  <c r="AK302" i="24"/>
  <c r="AM302" i="24"/>
  <c r="AP302" i="24"/>
  <c r="AD302" i="24"/>
  <c r="AE302" i="24"/>
  <c r="AF306" i="24"/>
  <c r="AD306" i="24"/>
  <c r="AM306" i="24"/>
  <c r="AO306" i="24"/>
  <c r="AR306" i="24"/>
  <c r="AG306" i="24"/>
  <c r="AJ306" i="24"/>
  <c r="AH306" i="24"/>
  <c r="AE306" i="24"/>
  <c r="AI306" i="24"/>
  <c r="AN310" i="24"/>
  <c r="AS310" i="24"/>
  <c r="AF310" i="24"/>
  <c r="AP310" i="24"/>
  <c r="AL310" i="24"/>
  <c r="AD310" i="24"/>
  <c r="AO310" i="24"/>
  <c r="AJ310" i="24"/>
  <c r="AG310" i="24"/>
  <c r="AK310" i="24"/>
  <c r="AR314" i="24"/>
  <c r="I55" i="15" s="1"/>
  <c r="AD314" i="24"/>
  <c r="AP314" i="24"/>
  <c r="AK314" i="24"/>
  <c r="AQ314" i="24"/>
  <c r="AH314" i="24"/>
  <c r="AG314" i="24"/>
  <c r="AO314" i="24"/>
  <c r="AM314" i="24"/>
  <c r="AL314" i="24"/>
  <c r="AR318" i="24"/>
  <c r="I59" i="15" s="1"/>
  <c r="AQ318" i="24"/>
  <c r="AF318" i="24"/>
  <c r="AH318" i="24"/>
  <c r="AP318" i="24"/>
  <c r="AN318" i="24"/>
  <c r="H59" i="15" s="1"/>
  <c r="AS318" i="24"/>
  <c r="AE318" i="24"/>
  <c r="AK318" i="24"/>
  <c r="AO318" i="24"/>
  <c r="AM318" i="24"/>
  <c r="G59" i="15" s="1"/>
  <c r="AI318" i="24"/>
  <c r="AI322" i="24"/>
  <c r="AO322" i="24"/>
  <c r="AS322" i="24"/>
  <c r="AF322" i="24"/>
  <c r="AH322" i="24"/>
  <c r="AG322" i="24"/>
  <c r="AN322" i="24"/>
  <c r="AJ322" i="24"/>
  <c r="AM326" i="24"/>
  <c r="G67" i="15" s="1"/>
  <c r="AS326" i="24"/>
  <c r="AP326" i="24"/>
  <c r="AH326" i="24"/>
  <c r="AQ326" i="24"/>
  <c r="AN326" i="24"/>
  <c r="H67" i="15" s="1"/>
  <c r="AI326" i="24"/>
  <c r="AJ326" i="24"/>
  <c r="AD326" i="24"/>
  <c r="AK326" i="24"/>
  <c r="AF326" i="24"/>
  <c r="AI330" i="24"/>
  <c r="AF330" i="24"/>
  <c r="AH330" i="24"/>
  <c r="AM330" i="24"/>
  <c r="AE330" i="24"/>
  <c r="AR330" i="24"/>
  <c r="AD330" i="24"/>
  <c r="AJ330" i="24"/>
  <c r="AQ330" i="24"/>
  <c r="AN334" i="24"/>
  <c r="AR334" i="24"/>
  <c r="I75" i="15" s="1"/>
  <c r="AG334" i="24"/>
  <c r="AH334" i="24"/>
  <c r="AQ334" i="24"/>
  <c r="AF334" i="24"/>
  <c r="AO334" i="24"/>
  <c r="AJ334" i="24"/>
  <c r="AE334" i="24"/>
  <c r="AL334" i="24"/>
  <c r="AL338" i="24"/>
  <c r="AD338" i="24"/>
  <c r="AS338" i="24"/>
  <c r="AO338" i="24"/>
  <c r="AG338" i="24"/>
  <c r="AF338" i="24"/>
  <c r="AE338" i="24"/>
  <c r="AN338" i="24"/>
  <c r="AP338" i="24"/>
  <c r="AM338" i="24"/>
  <c r="AI342" i="24"/>
  <c r="AN342" i="24"/>
  <c r="AJ342" i="24"/>
  <c r="AS342" i="24"/>
  <c r="AP342" i="24"/>
  <c r="AH342" i="24"/>
  <c r="AF342" i="24"/>
  <c r="AO342" i="24"/>
  <c r="AH346" i="24"/>
  <c r="AL346" i="24"/>
  <c r="AK346" i="24"/>
  <c r="AD346" i="24"/>
  <c r="AR350" i="24"/>
  <c r="I91" i="15" s="1"/>
  <c r="AH350" i="24"/>
  <c r="AL350" i="24"/>
  <c r="AI354" i="24"/>
  <c r="AG354" i="24"/>
  <c r="AP358" i="24"/>
  <c r="AS358" i="24"/>
  <c r="AG362" i="24"/>
  <c r="AH362" i="24"/>
  <c r="AL362" i="24"/>
  <c r="AL294" i="24"/>
  <c r="AL302" i="24"/>
  <c r="AL318" i="24"/>
  <c r="AI346" i="24"/>
  <c r="AI278" i="24"/>
  <c r="AO294" i="24"/>
  <c r="AL306" i="24"/>
  <c r="AJ298" i="24"/>
  <c r="AM362" i="24"/>
  <c r="AJ350" i="24"/>
  <c r="AQ342" i="24"/>
  <c r="AH338" i="24"/>
  <c r="AM334" i="24"/>
  <c r="AS330" i="24"/>
  <c r="AM322" i="24"/>
  <c r="G63" i="15" s="1"/>
  <c r="AJ318" i="24"/>
  <c r="AM310" i="24"/>
  <c r="G51" i="15" s="1"/>
  <c r="AR302" i="24"/>
  <c r="I43" i="15" s="1"/>
  <c r="AJ278" i="24"/>
  <c r="AD266" i="24"/>
  <c r="AR326" i="24"/>
  <c r="I67" i="15" s="1"/>
  <c r="AD298" i="24"/>
  <c r="AR322" i="24"/>
  <c r="AN330" i="24"/>
  <c r="AQ302" i="24"/>
  <c r="AR297" i="24"/>
  <c r="I38" i="15" s="1"/>
  <c r="B25" i="24"/>
  <c r="B27" i="24" s="1"/>
  <c r="B28" i="24" s="1"/>
  <c r="B29" i="24" s="1"/>
  <c r="B24" i="24"/>
  <c r="AL341" i="24"/>
  <c r="AL325" i="24"/>
  <c r="AI321" i="24"/>
  <c r="AJ357" i="24"/>
  <c r="AN285" i="24"/>
  <c r="AJ349" i="24"/>
  <c r="AL285" i="24"/>
  <c r="AG361" i="24"/>
  <c r="AP353" i="24"/>
  <c r="AF325" i="24"/>
  <c r="AN353" i="24"/>
  <c r="H94" i="15" s="1"/>
  <c r="AR333" i="24"/>
  <c r="I74" i="15" s="1"/>
  <c r="AF277" i="24"/>
  <c r="AG281" i="24"/>
  <c r="AI337" i="24"/>
  <c r="AN357" i="24"/>
  <c r="AE357" i="24"/>
  <c r="AN345" i="24"/>
  <c r="H86" i="15" s="1"/>
  <c r="AH345" i="24"/>
  <c r="AJ333" i="24"/>
  <c r="AM293" i="24"/>
  <c r="AI361" i="24"/>
  <c r="AL321" i="24"/>
  <c r="AI301" i="24"/>
  <c r="AF25" i="24"/>
  <c r="AE25" i="24" s="1"/>
  <c r="AI269" i="24"/>
  <c r="AL349" i="24"/>
  <c r="AI333" i="24"/>
  <c r="AL281" i="24"/>
  <c r="AQ281" i="24"/>
  <c r="AO269" i="24"/>
  <c r="AM349" i="24"/>
  <c r="G90" i="15" s="1"/>
  <c r="AJ317" i="24"/>
  <c r="AO361" i="24"/>
  <c r="AF349" i="24"/>
  <c r="AK321" i="24"/>
  <c r="AE293" i="24"/>
  <c r="AG349" i="24"/>
  <c r="AN27" i="29"/>
  <c r="AC27" i="29"/>
  <c r="AH273" i="24"/>
  <c r="AL357" i="24"/>
  <c r="AI285" i="24"/>
  <c r="AI309" i="24"/>
  <c r="AO265" i="24"/>
  <c r="AP273" i="24"/>
  <c r="AH361" i="24"/>
  <c r="AP357" i="24"/>
  <c r="AD353" i="24"/>
  <c r="AJ353" i="24"/>
  <c r="AR349" i="24"/>
  <c r="AS345" i="24"/>
  <c r="AM341" i="24"/>
  <c r="AR329" i="24"/>
  <c r="I70" i="15" s="1"/>
  <c r="AE317" i="24"/>
  <c r="AN293" i="24"/>
  <c r="AK285" i="24"/>
  <c r="AM269" i="24"/>
  <c r="AQ273" i="24"/>
  <c r="AR281" i="24"/>
  <c r="AD281" i="24"/>
  <c r="AO345" i="24"/>
  <c r="AE321" i="24"/>
  <c r="AP281" i="24"/>
  <c r="AQ293" i="24"/>
  <c r="AS349" i="24"/>
  <c r="AF293" i="24"/>
  <c r="AJ277" i="24"/>
  <c r="AR361" i="24"/>
  <c r="I102" i="15" s="1"/>
  <c r="AI349" i="24"/>
  <c r="AI329" i="24"/>
  <c r="AL293" i="24"/>
  <c r="AM273" i="24"/>
  <c r="AM289" i="24"/>
  <c r="G30" i="15" s="1"/>
  <c r="AK357" i="24"/>
  <c r="AR345" i="24"/>
  <c r="I86" i="15" s="1"/>
  <c r="AR285" i="24"/>
  <c r="AJ361" i="24"/>
  <c r="AR357" i="24"/>
  <c r="I98" i="15" s="1"/>
  <c r="AO353" i="24"/>
  <c r="AK349" i="24"/>
  <c r="AG345" i="24"/>
  <c r="AH337" i="24"/>
  <c r="AP321" i="24"/>
  <c r="AJ301" i="24"/>
  <c r="AQ285" i="24"/>
  <c r="AS273" i="24"/>
  <c r="AL273" i="24"/>
  <c r="AI273" i="24"/>
  <c r="AI317" i="24"/>
  <c r="AI357" i="24"/>
  <c r="AL269" i="24"/>
  <c r="AL361" i="24"/>
  <c r="AL345" i="24"/>
  <c r="AL329" i="24"/>
  <c r="AI293" i="24"/>
  <c r="AR353" i="24"/>
  <c r="AN329" i="24"/>
  <c r="AG337" i="24"/>
  <c r="AK353" i="24"/>
  <c r="AM285" i="24"/>
  <c r="AD361" i="24"/>
  <c r="AD357" i="24"/>
  <c r="AS353" i="24"/>
  <c r="AN349" i="24"/>
  <c r="AF345" i="24"/>
  <c r="AM333" i="24"/>
  <c r="AH285" i="24"/>
  <c r="AG285" i="24"/>
  <c r="AS361" i="24"/>
  <c r="AP361" i="24"/>
  <c r="AS357" i="24"/>
  <c r="AE353" i="24"/>
  <c r="AP349" i="24"/>
  <c r="AQ345" i="24"/>
  <c r="AE345" i="24"/>
  <c r="AR337" i="24"/>
  <c r="I78" i="15" s="1"/>
  <c r="AJ329" i="24"/>
  <c r="AK309" i="24"/>
  <c r="AJ293" i="24"/>
  <c r="AE285" i="24"/>
  <c r="AD293" i="24"/>
  <c r="AO281" i="24"/>
  <c r="AS293" i="24"/>
  <c r="AE349" i="24"/>
  <c r="AM281" i="24"/>
  <c r="AP293" i="24"/>
  <c r="AP309" i="24"/>
  <c r="AM353" i="24"/>
  <c r="AN281" i="24"/>
  <c r="AR289" i="24"/>
  <c r="AD289" i="24"/>
  <c r="AN301" i="24"/>
  <c r="AF281" i="24"/>
  <c r="AQ357" i="24"/>
  <c r="AK361" i="24"/>
  <c r="AH293" i="24"/>
  <c r="AQ361" i="24"/>
  <c r="AF357" i="24"/>
  <c r="AQ353" i="24"/>
  <c r="AH349" i="24"/>
  <c r="AJ345" i="24"/>
  <c r="AJ285" i="24"/>
  <c r="AN361" i="24"/>
  <c r="H102" i="15" s="1"/>
  <c r="AH357" i="24"/>
  <c r="AG357" i="24"/>
  <c r="AH353" i="24"/>
  <c r="AO349" i="24"/>
  <c r="AM345" i="24"/>
  <c r="G86" i="15" s="1"/>
  <c r="AK345" i="24"/>
  <c r="AF285" i="24"/>
  <c r="AD285" i="24"/>
  <c r="AF361" i="24"/>
  <c r="AR293" i="24"/>
  <c r="AO293" i="24"/>
  <c r="AK281" i="24"/>
  <c r="AK293" i="24"/>
  <c r="AH281" i="24"/>
  <c r="AP289" i="24"/>
  <c r="AE61" i="24"/>
  <c r="AR153" i="29"/>
  <c r="AE189" i="24"/>
  <c r="AQ76" i="24"/>
  <c r="AN26" i="29"/>
  <c r="AP276" i="24"/>
  <c r="AE201" i="24"/>
  <c r="AQ25" i="29"/>
  <c r="AQ27" i="29"/>
  <c r="AO153" i="29"/>
  <c r="AM271" i="24"/>
  <c r="AE126" i="24"/>
  <c r="AQ233" i="24"/>
  <c r="AN231" i="24"/>
  <c r="AN173" i="24"/>
  <c r="AK205" i="24"/>
  <c r="AK27" i="29"/>
  <c r="AP255" i="29"/>
  <c r="AK25" i="29"/>
  <c r="AL26" i="29"/>
  <c r="AK26" i="29" s="1"/>
  <c r="AC25" i="29"/>
  <c r="AQ26" i="29"/>
  <c r="AN25" i="29"/>
  <c r="AM255" i="29"/>
  <c r="AO313" i="24"/>
  <c r="AE121" i="24"/>
  <c r="AK94" i="24"/>
  <c r="AK25" i="24"/>
  <c r="AN198" i="24"/>
  <c r="AE194" i="24"/>
  <c r="AK171" i="24"/>
  <c r="AH170" i="24"/>
  <c r="AQ161" i="24"/>
  <c r="AQ157" i="24"/>
  <c r="AQ138" i="24"/>
  <c r="AE130" i="24"/>
  <c r="AE12" i="24"/>
  <c r="AE265" i="24" s="1"/>
  <c r="AM266" i="24"/>
  <c r="AG266" i="24"/>
  <c r="AR267" i="24"/>
  <c r="AF234" i="24"/>
  <c r="AE234" i="24" s="1"/>
  <c r="AQ197" i="24"/>
  <c r="AE192" i="24"/>
  <c r="AN191" i="24"/>
  <c r="AQ189" i="24"/>
  <c r="AQ166" i="24"/>
  <c r="AN160" i="24"/>
  <c r="AQ158" i="24"/>
  <c r="AQ132" i="24"/>
  <c r="AE132" i="24"/>
  <c r="AN93" i="24"/>
  <c r="AO284" i="24"/>
  <c r="AJ280" i="24"/>
  <c r="AM340" i="24"/>
  <c r="AP324" i="24"/>
  <c r="AI328" i="24"/>
  <c r="AG324" i="24"/>
  <c r="AK340" i="24"/>
  <c r="AP320" i="24"/>
  <c r="AJ296" i="24"/>
  <c r="AI300" i="24"/>
  <c r="AP272" i="24"/>
  <c r="AJ300" i="24"/>
  <c r="AJ340" i="24"/>
  <c r="AH340" i="24"/>
  <c r="AK37" i="24"/>
  <c r="AN216" i="24"/>
  <c r="AN9" i="24"/>
  <c r="AF139" i="24"/>
  <c r="AE139" i="24" s="1"/>
  <c r="AE253" i="24"/>
  <c r="AF71" i="24"/>
  <c r="AE71" i="24" s="1"/>
  <c r="AQ87" i="24"/>
  <c r="AN82" i="24"/>
  <c r="AN71" i="24"/>
  <c r="AN70" i="24"/>
  <c r="AQ64" i="24"/>
  <c r="AQ62" i="24"/>
  <c r="AN66" i="24"/>
  <c r="AN59" i="24"/>
  <c r="AK17" i="24"/>
  <c r="AE17" i="24"/>
  <c r="AN16" i="24"/>
  <c r="AE15" i="24"/>
  <c r="AN14" i="24"/>
  <c r="AH14" i="24"/>
  <c r="AQ13" i="24"/>
  <c r="AM297" i="24"/>
  <c r="AQ243" i="24"/>
  <c r="AN77" i="24"/>
  <c r="AN62" i="24"/>
  <c r="AQ63" i="24"/>
  <c r="AN73" i="24"/>
  <c r="AQ33" i="24"/>
  <c r="AN28" i="24"/>
  <c r="AQ27" i="24"/>
  <c r="AD328" i="24"/>
  <c r="AE340" i="24"/>
  <c r="AE316" i="24"/>
  <c r="AD324" i="24"/>
  <c r="AG308" i="24"/>
  <c r="AG332" i="24"/>
  <c r="AH304" i="24"/>
  <c r="AM280" i="24"/>
  <c r="AP328" i="24"/>
  <c r="AJ312" i="24"/>
  <c r="AQ296" i="24"/>
  <c r="AL316" i="24"/>
  <c r="AP356" i="24"/>
  <c r="AQ300" i="24"/>
  <c r="AD316" i="24"/>
  <c r="AN328" i="24"/>
  <c r="AF324" i="24"/>
  <c r="AO332" i="24"/>
  <c r="AR300" i="24"/>
  <c r="AG336" i="24"/>
  <c r="AO328" i="24"/>
  <c r="AS312" i="24"/>
  <c r="AO296" i="24"/>
  <c r="AS328" i="24"/>
  <c r="AL332" i="24"/>
  <c r="AP268" i="24"/>
  <c r="AL324" i="24"/>
  <c r="AL364" i="24"/>
  <c r="AL308" i="24"/>
  <c r="AI312" i="24"/>
  <c r="AR304" i="24"/>
  <c r="AS280" i="24"/>
  <c r="AK280" i="24"/>
  <c r="AQ340" i="24"/>
  <c r="AP292" i="24"/>
  <c r="AD304" i="24"/>
  <c r="AK296" i="24"/>
  <c r="AD320" i="24"/>
  <c r="AO300" i="24"/>
  <c r="AJ336" i="24"/>
  <c r="AE328" i="24"/>
  <c r="AH308" i="24"/>
  <c r="AJ316" i="24"/>
  <c r="AH10" i="24"/>
  <c r="AQ272" i="24"/>
  <c r="T234" i="24"/>
  <c r="AI234" i="24" s="1"/>
  <c r="AS234" i="24" s="1"/>
  <c r="T230" i="24"/>
  <c r="Z230" i="24" s="1"/>
  <c r="T218" i="24"/>
  <c r="AI218" i="24" s="1"/>
  <c r="AH218" i="24" s="1"/>
  <c r="T212" i="24"/>
  <c r="AI212" i="24" s="1"/>
  <c r="AH212" i="24" s="1"/>
  <c r="T198" i="24"/>
  <c r="AI198" i="24" s="1"/>
  <c r="AH198" i="24" s="1"/>
  <c r="T189" i="24"/>
  <c r="AI189" i="24" s="1"/>
  <c r="AH189" i="24" s="1"/>
  <c r="T182" i="24"/>
  <c r="AI182" i="24" s="1"/>
  <c r="AH182" i="24" s="1"/>
  <c r="AH271" i="24" s="1"/>
  <c r="T169" i="24"/>
  <c r="Z169" i="24" s="1"/>
  <c r="T157" i="24"/>
  <c r="AI157" i="24" s="1"/>
  <c r="AH157" i="24" s="1"/>
  <c r="T153" i="24"/>
  <c r="AI153" i="24" s="1"/>
  <c r="AH153" i="24" s="1"/>
  <c r="T149" i="24"/>
  <c r="AI149" i="24" s="1"/>
  <c r="AH149" i="24" s="1"/>
  <c r="T145" i="24"/>
  <c r="Z145" i="24" s="1"/>
  <c r="T139" i="24"/>
  <c r="AI139" i="24" s="1"/>
  <c r="AH139" i="24" s="1"/>
  <c r="T135" i="24"/>
  <c r="AI135" i="24" s="1"/>
  <c r="AH135" i="24" s="1"/>
  <c r="T25" i="24"/>
  <c r="AI25" i="24" s="1"/>
  <c r="AH25" i="24" s="1"/>
  <c r="AO299" i="24"/>
  <c r="AL363" i="24"/>
  <c r="T238" i="24"/>
  <c r="Z238" i="24" s="1"/>
  <c r="T232" i="24"/>
  <c r="AI232" i="24" s="1"/>
  <c r="AH232" i="24" s="1"/>
  <c r="T228" i="24"/>
  <c r="AI228" i="24" s="1"/>
  <c r="AS228" i="24" s="1"/>
  <c r="T224" i="24"/>
  <c r="AI224" i="24" s="1"/>
  <c r="AH224" i="24" s="1"/>
  <c r="T220" i="24"/>
  <c r="AI220" i="24" s="1"/>
  <c r="AS220" i="24" s="1"/>
  <c r="T214" i="24"/>
  <c r="Z214" i="24" s="1"/>
  <c r="T207" i="24"/>
  <c r="AI207" i="24" s="1"/>
  <c r="AS207" i="24" s="1"/>
  <c r="T200" i="24"/>
  <c r="AI200" i="24" s="1"/>
  <c r="AH200" i="24" s="1"/>
  <c r="T191" i="24"/>
  <c r="AI191" i="24" s="1"/>
  <c r="AH191" i="24" s="1"/>
  <c r="T187" i="24"/>
  <c r="Z187" i="24" s="1"/>
  <c r="T155" i="24"/>
  <c r="AI155" i="24" s="1"/>
  <c r="AH155" i="24" s="1"/>
  <c r="T151" i="24"/>
  <c r="AI151" i="24" s="1"/>
  <c r="AH151" i="24" s="1"/>
  <c r="T147" i="24"/>
  <c r="AI147" i="24" s="1"/>
  <c r="AH147" i="24" s="1"/>
  <c r="T143" i="24"/>
  <c r="AI143" i="24" s="1"/>
  <c r="AH143" i="24" s="1"/>
  <c r="T137" i="24"/>
  <c r="AI137" i="24" s="1"/>
  <c r="AH137" i="24" s="1"/>
  <c r="T223" i="24"/>
  <c r="Z223" i="24" s="1"/>
  <c r="T154" i="24"/>
  <c r="Z154" i="24" s="1"/>
  <c r="T140" i="24"/>
  <c r="AI140" i="24" s="1"/>
  <c r="AH140" i="24" s="1"/>
  <c r="AL336" i="24"/>
  <c r="AI288" i="24"/>
  <c r="AI340" i="24"/>
  <c r="AI316" i="24"/>
  <c r="AI304" i="24"/>
  <c r="AP284" i="24"/>
  <c r="AK284" i="24"/>
  <c r="AL284" i="24"/>
  <c r="AJ276" i="24"/>
  <c r="AR340" i="24"/>
  <c r="AF268" i="24"/>
  <c r="AS324" i="24"/>
  <c r="AE364" i="24"/>
  <c r="AQ308" i="24"/>
  <c r="AQ332" i="24"/>
  <c r="AG312" i="24"/>
  <c r="AS304" i="24"/>
  <c r="AR280" i="24"/>
  <c r="AE324" i="24"/>
  <c r="AK304" i="24"/>
  <c r="AP340" i="24"/>
  <c r="AN340" i="24"/>
  <c r="AF316" i="24"/>
  <c r="AM316" i="24"/>
  <c r="AO288" i="24"/>
  <c r="AN312" i="24"/>
  <c r="AP332" i="24"/>
  <c r="AR312" i="24"/>
  <c r="AJ308" i="24"/>
  <c r="AO280" i="24"/>
  <c r="AJ328" i="24"/>
  <c r="AK336" i="24"/>
  <c r="AM312" i="24"/>
  <c r="AR360" i="24"/>
  <c r="AH332" i="24"/>
  <c r="AM332" i="24"/>
  <c r="G73" i="15" s="1"/>
  <c r="AH320" i="24"/>
  <c r="AS320" i="24"/>
  <c r="AM304" i="24"/>
  <c r="G45" i="15" s="1"/>
  <c r="AP300" i="24"/>
  <c r="AE300" i="24"/>
  <c r="AS300" i="24"/>
  <c r="AP280" i="24"/>
  <c r="AM336" i="24"/>
  <c r="G77" i="15" s="1"/>
  <c r="AQ336" i="24"/>
  <c r="AP336" i="24"/>
  <c r="AR328" i="24"/>
  <c r="I69" i="15" s="1"/>
  <c r="AM328" i="24"/>
  <c r="G69" i="15" s="1"/>
  <c r="AH324" i="24"/>
  <c r="AK324" i="24"/>
  <c r="AO312" i="24"/>
  <c r="AQ312" i="24"/>
  <c r="AS308" i="24"/>
  <c r="AN296" i="24"/>
  <c r="AP296" i="24"/>
  <c r="AG268" i="24"/>
  <c r="AM308" i="24"/>
  <c r="AM288" i="24"/>
  <c r="G29" i="15" s="1"/>
  <c r="AQ280" i="24"/>
  <c r="AQ9" i="24"/>
  <c r="AL340" i="24"/>
  <c r="AL280" i="24"/>
  <c r="AL304" i="24"/>
  <c r="AE304" i="24"/>
  <c r="AH300" i="24"/>
  <c r="AR284" i="24"/>
  <c r="I25" i="15" s="1"/>
  <c r="AJ284" i="24"/>
  <c r="AM268" i="24"/>
  <c r="AJ324" i="24"/>
  <c r="AJ268" i="24"/>
  <c r="AG340" i="24"/>
  <c r="AM364" i="24"/>
  <c r="AH292" i="24"/>
  <c r="AR364" i="24"/>
  <c r="I105" i="15" s="1"/>
  <c r="AH316" i="24"/>
  <c r="AD340" i="24"/>
  <c r="AS336" i="24"/>
  <c r="AO320" i="24"/>
  <c r="AN300" i="24"/>
  <c r="AN320" i="24"/>
  <c r="AR308" i="24"/>
  <c r="AF340" i="24"/>
  <c r="AK316" i="24"/>
  <c r="AN316" i="24"/>
  <c r="AO316" i="24"/>
  <c r="AJ288" i="24"/>
  <c r="AO324" i="24"/>
  <c r="AD336" i="24"/>
  <c r="AH280" i="24"/>
  <c r="AK360" i="24"/>
  <c r="AO304" i="24"/>
  <c r="AP308" i="24"/>
  <c r="AE288" i="24"/>
  <c r="AF296" i="24"/>
  <c r="AS360" i="24"/>
  <c r="AS332" i="24"/>
  <c r="AJ332" i="24"/>
  <c r="AG320" i="24"/>
  <c r="AN304" i="24"/>
  <c r="AF304" i="24"/>
  <c r="AF300" i="24"/>
  <c r="AG300" i="24"/>
  <c r="AG280" i="24"/>
  <c r="AG356" i="24"/>
  <c r="AH336" i="24"/>
  <c r="AO336" i="24"/>
  <c r="AE336" i="24"/>
  <c r="AG328" i="24"/>
  <c r="AQ328" i="24"/>
  <c r="AN324" i="24"/>
  <c r="AR324" i="24"/>
  <c r="I65" i="15" s="1"/>
  <c r="AK312" i="24"/>
  <c r="AH312" i="24"/>
  <c r="AK308" i="24"/>
  <c r="AH296" i="24"/>
  <c r="AR296" i="24"/>
  <c r="AR276" i="24"/>
  <c r="AF308" i="24"/>
  <c r="AJ304" i="24"/>
  <c r="AJ320" i="24"/>
  <c r="AK320" i="24"/>
  <c r="AL296" i="24"/>
  <c r="AI336" i="24"/>
  <c r="AL320" i="24"/>
  <c r="AI356" i="24"/>
  <c r="AI308" i="24"/>
  <c r="AI332" i="24"/>
  <c r="AL328" i="24"/>
  <c r="AL312" i="24"/>
  <c r="AI280" i="24"/>
  <c r="AQ316" i="24"/>
  <c r="AP304" i="24"/>
  <c r="AL300" i="24"/>
  <c r="AO276" i="24"/>
  <c r="AO268" i="24"/>
  <c r="AQ320" i="24"/>
  <c r="AE296" i="24"/>
  <c r="AD296" i="24"/>
  <c r="AE360" i="24"/>
  <c r="AO308" i="24"/>
  <c r="AD360" i="24"/>
  <c r="AO340" i="24"/>
  <c r="AP316" i="24"/>
  <c r="AG316" i="24"/>
  <c r="AD312" i="24"/>
  <c r="AE280" i="24"/>
  <c r="AD280" i="24"/>
  <c r="AN332" i="24"/>
  <c r="AE332" i="24"/>
  <c r="AF312" i="24"/>
  <c r="AM300" i="24"/>
  <c r="AE320" i="24"/>
  <c r="AF332" i="24"/>
  <c r="AD332" i="24"/>
  <c r="AR320" i="24"/>
  <c r="AF320" i="24"/>
  <c r="AG304" i="24"/>
  <c r="AD300" i="24"/>
  <c r="AN280" i="24"/>
  <c r="AD356" i="24"/>
  <c r="AR336" i="24"/>
  <c r="AK328" i="24"/>
  <c r="AF328" i="24"/>
  <c r="AQ324" i="24"/>
  <c r="AE312" i="24"/>
  <c r="AD308" i="24"/>
  <c r="AE308" i="24"/>
  <c r="AM296" i="24"/>
  <c r="AG296" i="24"/>
  <c r="AK332" i="24"/>
  <c r="AM320" i="24"/>
  <c r="G61" i="15" s="1"/>
  <c r="AS10" i="24"/>
  <c r="AN10" i="24"/>
  <c r="AN118" i="24"/>
  <c r="AK89" i="24"/>
  <c r="AJ305" i="24"/>
  <c r="AN126" i="24"/>
  <c r="AK95" i="24"/>
  <c r="T82" i="24"/>
  <c r="AI82" i="24" s="1"/>
  <c r="AH82" i="24" s="1"/>
  <c r="AF35" i="24"/>
  <c r="AE35" i="24" s="1"/>
  <c r="AO347" i="24"/>
  <c r="AP291" i="24"/>
  <c r="AK279" i="24"/>
  <c r="AS14" i="24"/>
  <c r="AL291" i="24"/>
  <c r="AS355" i="24"/>
  <c r="AK10" i="24"/>
  <c r="AQ10" i="24"/>
  <c r="AD351" i="24"/>
  <c r="AF283" i="24"/>
  <c r="AI279" i="24"/>
  <c r="AI347" i="24"/>
  <c r="AJ363" i="24"/>
  <c r="AE355" i="24"/>
  <c r="AP351" i="24"/>
  <c r="AP343" i="24"/>
  <c r="AS291" i="24"/>
  <c r="AN279" i="24"/>
  <c r="AQ291" i="24"/>
  <c r="AE283" i="24"/>
  <c r="AF355" i="24"/>
  <c r="AG283" i="24"/>
  <c r="AI343" i="24"/>
  <c r="AK355" i="24"/>
  <c r="AD347" i="24"/>
  <c r="AM343" i="24"/>
  <c r="AH287" i="24"/>
  <c r="AR347" i="24"/>
  <c r="AF287" i="24"/>
  <c r="AL295" i="24"/>
  <c r="AM283" i="24"/>
  <c r="AR351" i="24"/>
  <c r="AJ347" i="24"/>
  <c r="AD343" i="24"/>
  <c r="AG351" i="24"/>
  <c r="AH283" i="24"/>
  <c r="AM287" i="24"/>
  <c r="AD279" i="24"/>
  <c r="AI291" i="24"/>
  <c r="AL351" i="24"/>
  <c r="AL347" i="24"/>
  <c r="AQ355" i="24"/>
  <c r="AG355" i="24"/>
  <c r="AH355" i="24"/>
  <c r="AO351" i="24"/>
  <c r="AQ351" i="24"/>
  <c r="AF351" i="24"/>
  <c r="AQ347" i="24"/>
  <c r="AK347" i="24"/>
  <c r="AF347" i="24"/>
  <c r="AN343" i="24"/>
  <c r="AH343" i="24"/>
  <c r="AF343" i="24"/>
  <c r="AK343" i="24"/>
  <c r="AN291" i="24"/>
  <c r="AO355" i="24"/>
  <c r="AG335" i="24"/>
  <c r="AK287" i="24"/>
  <c r="AR283" i="24"/>
  <c r="AH279" i="24"/>
  <c r="AO291" i="24"/>
  <c r="AK291" i="24"/>
  <c r="AO363" i="24"/>
  <c r="AP266" i="24"/>
  <c r="AI355" i="24"/>
  <c r="AG359" i="24"/>
  <c r="AR359" i="24"/>
  <c r="I100" i="15" s="1"/>
  <c r="AD287" i="24"/>
  <c r="AL287" i="24"/>
  <c r="AI283" i="24"/>
  <c r="AO359" i="24"/>
  <c r="AE359" i="24"/>
  <c r="AR355" i="24"/>
  <c r="I96" i="15" s="1"/>
  <c r="AM355" i="24"/>
  <c r="G96" i="15" s="1"/>
  <c r="AJ351" i="24"/>
  <c r="AN351" i="24"/>
  <c r="AM351" i="24"/>
  <c r="AN347" i="24"/>
  <c r="AG347" i="24"/>
  <c r="AP347" i="24"/>
  <c r="AR343" i="24"/>
  <c r="I84" i="15" s="1"/>
  <c r="AE343" i="24"/>
  <c r="AJ343" i="24"/>
  <c r="AJ331" i="24"/>
  <c r="AD291" i="24"/>
  <c r="AR287" i="24"/>
  <c r="AO287" i="24"/>
  <c r="AK283" i="24"/>
  <c r="AF279" i="24"/>
  <c r="AG279" i="24"/>
  <c r="AP287" i="24"/>
  <c r="AP355" i="24"/>
  <c r="AR291" i="24"/>
  <c r="I32" i="15" s="1"/>
  <c r="AS287" i="24"/>
  <c r="AD283" i="24"/>
  <c r="AE279" i="24"/>
  <c r="AG287" i="24"/>
  <c r="AL283" i="24"/>
  <c r="AM291" i="24"/>
  <c r="AE287" i="24"/>
  <c r="AO283" i="24"/>
  <c r="AM279" i="24"/>
  <c r="AO279" i="24"/>
  <c r="AI287" i="24"/>
  <c r="AL279" i="24"/>
  <c r="AN283" i="24"/>
  <c r="AN355" i="24"/>
  <c r="H96" i="15" s="1"/>
  <c r="AD355" i="24"/>
  <c r="AJ355" i="24"/>
  <c r="AK351" i="24"/>
  <c r="AE351" i="24"/>
  <c r="AS351" i="24"/>
  <c r="AM347" i="24"/>
  <c r="AH347" i="24"/>
  <c r="AE347" i="24"/>
  <c r="AO343" i="24"/>
  <c r="AS343" i="24"/>
  <c r="AG343" i="24"/>
  <c r="AQ319" i="24"/>
  <c r="AF291" i="24"/>
  <c r="AJ291" i="24"/>
  <c r="AQ283" i="24"/>
  <c r="AJ283" i="24"/>
  <c r="AP279" i="24"/>
  <c r="AQ279" i="24"/>
  <c r="AR279" i="24"/>
  <c r="AG291" i="24"/>
  <c r="AH291" i="24"/>
  <c r="AS283" i="24"/>
  <c r="AS279" i="24"/>
  <c r="AG346" i="24"/>
  <c r="AS346" i="24"/>
  <c r="AO346" i="24"/>
  <c r="AJ346" i="24"/>
  <c r="AR346" i="24"/>
  <c r="AN346" i="24"/>
  <c r="AF346" i="24"/>
  <c r="AQ346" i="24"/>
  <c r="AE346" i="24"/>
  <c r="AM346" i="24"/>
  <c r="AM350" i="24"/>
  <c r="AG350" i="24"/>
  <c r="AD350" i="24"/>
  <c r="AI350" i="24"/>
  <c r="AS350" i="24"/>
  <c r="AO350" i="24"/>
  <c r="AF350" i="24"/>
  <c r="AN350" i="24"/>
  <c r="H91" i="15" s="1"/>
  <c r="AE350" i="24"/>
  <c r="AK350" i="24"/>
  <c r="AQ350" i="24"/>
  <c r="AP350" i="24"/>
  <c r="AR354" i="24"/>
  <c r="I95" i="15" s="1"/>
  <c r="AH354" i="24"/>
  <c r="AQ354" i="24"/>
  <c r="AO354" i="24"/>
  <c r="AM354" i="24"/>
  <c r="AE354" i="24"/>
  <c r="AN354" i="24"/>
  <c r="AK354" i="24"/>
  <c r="AF354" i="24"/>
  <c r="AJ354" i="24"/>
  <c r="AS354" i="24"/>
  <c r="AL358" i="24"/>
  <c r="AR358" i="24"/>
  <c r="AF358" i="24"/>
  <c r="AO358" i="24"/>
  <c r="AE358" i="24"/>
  <c r="AK358" i="24"/>
  <c r="AN358" i="24"/>
  <c r="H99" i="15" s="1"/>
  <c r="AQ358" i="24"/>
  <c r="AH358" i="24"/>
  <c r="AM358" i="24"/>
  <c r="AD358" i="24"/>
  <c r="AI362" i="24"/>
  <c r="AS362" i="24"/>
  <c r="AP362" i="24"/>
  <c r="AJ362" i="24"/>
  <c r="AQ362" i="24"/>
  <c r="AD362" i="24"/>
  <c r="AF362" i="24"/>
  <c r="AE362" i="24"/>
  <c r="AK362" i="24"/>
  <c r="AN362" i="24"/>
  <c r="AO362" i="24"/>
  <c r="AR362" i="24"/>
  <c r="I103" i="15" s="1"/>
  <c r="AL265" i="24"/>
  <c r="AD265" i="24"/>
  <c r="AM265" i="24"/>
  <c r="AP265" i="24"/>
  <c r="AR265" i="24"/>
  <c r="AF265" i="24"/>
  <c r="AR269" i="24"/>
  <c r="AN269" i="24"/>
  <c r="AD269" i="24"/>
  <c r="AH269" i="24"/>
  <c r="AS269" i="24"/>
  <c r="AF269" i="24"/>
  <c r="AG269" i="24"/>
  <c r="AQ269" i="24"/>
  <c r="AE269" i="24"/>
  <c r="AK269" i="24"/>
  <c r="AG273" i="24"/>
  <c r="AF273" i="24"/>
  <c r="AR273" i="24"/>
  <c r="I14" i="15" s="1"/>
  <c r="AN273" i="24"/>
  <c r="AO273" i="24"/>
  <c r="AJ273" i="24"/>
  <c r="AD273" i="24"/>
  <c r="AL277" i="24"/>
  <c r="AS277" i="24"/>
  <c r="AN277" i="24"/>
  <c r="AH277" i="24"/>
  <c r="AQ277" i="24"/>
  <c r="AM277" i="24"/>
  <c r="AE277" i="24"/>
  <c r="AD277" i="24"/>
  <c r="AG277" i="24"/>
  <c r="AP277" i="24"/>
  <c r="AO277" i="24"/>
  <c r="AD297" i="24"/>
  <c r="AJ297" i="24"/>
  <c r="AP297" i="24"/>
  <c r="AR301" i="24"/>
  <c r="AG301" i="24"/>
  <c r="AH301" i="24"/>
  <c r="AP301" i="24"/>
  <c r="AK301" i="24"/>
  <c r="AF301" i="24"/>
  <c r="AE301" i="24"/>
  <c r="AQ301" i="24"/>
  <c r="AD301" i="24"/>
  <c r="AO301" i="24"/>
  <c r="AL301" i="24"/>
  <c r="AE309" i="24"/>
  <c r="AS309" i="24"/>
  <c r="AN309" i="24"/>
  <c r="AG309" i="24"/>
  <c r="AR309" i="24"/>
  <c r="AL309" i="24"/>
  <c r="AO309" i="24"/>
  <c r="AQ309" i="24"/>
  <c r="AH309" i="24"/>
  <c r="AD309" i="24"/>
  <c r="AJ309" i="24"/>
  <c r="AF309" i="24"/>
  <c r="AR313" i="24"/>
  <c r="AM313" i="24"/>
  <c r="G54" i="15" s="1"/>
  <c r="AP313" i="24"/>
  <c r="AD313" i="24"/>
  <c r="AJ313" i="24"/>
  <c r="AL317" i="24"/>
  <c r="AS317" i="24"/>
  <c r="AP317" i="24"/>
  <c r="AH317" i="24"/>
  <c r="AQ317" i="24"/>
  <c r="AD317" i="24"/>
  <c r="AO317" i="24"/>
  <c r="AF317" i="24"/>
  <c r="AK317" i="24"/>
  <c r="AM317" i="24"/>
  <c r="AG317" i="24"/>
  <c r="AR317" i="24"/>
  <c r="AN321" i="24"/>
  <c r="AM321" i="24"/>
  <c r="G62" i="15" s="1"/>
  <c r="AD321" i="24"/>
  <c r="AJ321" i="24"/>
  <c r="AO321" i="24"/>
  <c r="AH321" i="24"/>
  <c r="AG321" i="24"/>
  <c r="AF321" i="24"/>
  <c r="AQ321" i="24"/>
  <c r="AR321" i="24"/>
  <c r="I62" i="15" s="1"/>
  <c r="AN325" i="24"/>
  <c r="AP325" i="24"/>
  <c r="AQ325" i="24"/>
  <c r="AE325" i="24"/>
  <c r="AM325" i="24"/>
  <c r="AK325" i="24"/>
  <c r="AH325" i="24"/>
  <c r="AS325" i="24"/>
  <c r="AO325" i="24"/>
  <c r="AD325" i="24"/>
  <c r="AJ325" i="24"/>
  <c r="AG325" i="24"/>
  <c r="AD329" i="24"/>
  <c r="AE329" i="24"/>
  <c r="AG329" i="24"/>
  <c r="AO329" i="24"/>
  <c r="AH329" i="24"/>
  <c r="AF329" i="24"/>
  <c r="AQ329" i="24"/>
  <c r="AM329" i="24"/>
  <c r="G70" i="15" s="1"/>
  <c r="AS329" i="24"/>
  <c r="AP329" i="24"/>
  <c r="AP333" i="24"/>
  <c r="AQ333" i="24"/>
  <c r="AK333" i="24"/>
  <c r="AF333" i="24"/>
  <c r="AG333" i="24"/>
  <c r="AE333" i="24"/>
  <c r="AS333" i="24"/>
  <c r="AH333" i="24"/>
  <c r="AN333" i="24"/>
  <c r="AD333" i="24"/>
  <c r="AE337" i="24"/>
  <c r="AM337" i="24"/>
  <c r="AP337" i="24"/>
  <c r="AL337" i="24"/>
  <c r="AO337" i="24"/>
  <c r="AS337" i="24"/>
  <c r="AD337" i="24"/>
  <c r="AQ337" i="24"/>
  <c r="AJ337" i="24"/>
  <c r="AP341" i="24"/>
  <c r="AQ341" i="24"/>
  <c r="AN341" i="24"/>
  <c r="AH341" i="24"/>
  <c r="AE341" i="24"/>
  <c r="AI341" i="24"/>
  <c r="AJ341" i="24"/>
  <c r="AK341" i="24"/>
  <c r="AG341" i="24"/>
  <c r="AS341" i="24"/>
  <c r="AR341" i="24"/>
  <c r="I82" i="15" s="1"/>
  <c r="AD341" i="24"/>
  <c r="AF341" i="24"/>
  <c r="AD284" i="24"/>
  <c r="AE284" i="24"/>
  <c r="AQ284" i="24"/>
  <c r="AM284" i="24"/>
  <c r="G25" i="15" s="1"/>
  <c r="AN284" i="24"/>
  <c r="AH284" i="24"/>
  <c r="AF284" i="24"/>
  <c r="AS284" i="24"/>
  <c r="AG284" i="24"/>
  <c r="AS288" i="24"/>
  <c r="AQ288" i="24"/>
  <c r="AR288" i="24"/>
  <c r="AK288" i="24"/>
  <c r="AH288" i="24"/>
  <c r="AD288" i="24"/>
  <c r="AL288" i="24"/>
  <c r="AG288" i="24"/>
  <c r="AF288" i="24"/>
  <c r="AN288" i="24"/>
  <c r="AQ292" i="24"/>
  <c r="AN292" i="24"/>
  <c r="AO292" i="24"/>
  <c r="AK292" i="24"/>
  <c r="AI292" i="24"/>
  <c r="AS292" i="24"/>
  <c r="AE292" i="24"/>
  <c r="AF292" i="24"/>
  <c r="AD292" i="24"/>
  <c r="AM292" i="24"/>
  <c r="AR292" i="24"/>
  <c r="AJ292" i="24"/>
  <c r="AG292" i="24"/>
  <c r="AE9" i="24"/>
  <c r="AL343" i="24"/>
  <c r="AN130" i="24"/>
  <c r="AP305" i="24"/>
  <c r="AR261" i="24"/>
  <c r="AD305" i="24"/>
  <c r="T126" i="24"/>
  <c r="AI126" i="24" s="1"/>
  <c r="AH126" i="24" s="1"/>
  <c r="T121" i="24"/>
  <c r="AI121" i="24" s="1"/>
  <c r="AH121" i="24" s="1"/>
  <c r="T94" i="24"/>
  <c r="AI94" i="24" s="1"/>
  <c r="AH94" i="24" s="1"/>
  <c r="T90" i="24"/>
  <c r="AI90" i="24" s="1"/>
  <c r="AH90" i="24" s="1"/>
  <c r="T85" i="24"/>
  <c r="AI85" i="24" s="1"/>
  <c r="AH85" i="24" s="1"/>
  <c r="T69" i="24"/>
  <c r="AI69" i="24" s="1"/>
  <c r="AH69" i="24" s="1"/>
  <c r="T64" i="24"/>
  <c r="AI64" i="24" s="1"/>
  <c r="AH64" i="24" s="1"/>
  <c r="T61" i="24"/>
  <c r="AI61" i="24" s="1"/>
  <c r="AH61" i="24" s="1"/>
  <c r="T37" i="24"/>
  <c r="AI37" i="24" s="1"/>
  <c r="AS37" i="24" s="1"/>
  <c r="AF94" i="24"/>
  <c r="AE94" i="24" s="1"/>
  <c r="AF88" i="24"/>
  <c r="AE88" i="24" s="1"/>
  <c r="AF62" i="24"/>
  <c r="AE62" i="24" s="1"/>
  <c r="AF37" i="24"/>
  <c r="AE37" i="24" s="1"/>
  <c r="T119" i="24"/>
  <c r="AI119" i="24" s="1"/>
  <c r="AH119" i="24" s="1"/>
  <c r="T95" i="24"/>
  <c r="AI95" i="24" s="1"/>
  <c r="AH95" i="24" s="1"/>
  <c r="T89" i="24"/>
  <c r="Z89" i="24" s="1"/>
  <c r="T84" i="24"/>
  <c r="AI84" i="24" s="1"/>
  <c r="AH84" i="24" s="1"/>
  <c r="T78" i="24"/>
  <c r="AI78" i="24" s="1"/>
  <c r="AH78" i="24" s="1"/>
  <c r="T75" i="24"/>
  <c r="AI75" i="24" s="1"/>
  <c r="AH75" i="24" s="1"/>
  <c r="T70" i="24"/>
  <c r="AI70" i="24" s="1"/>
  <c r="AS70" i="24" s="1"/>
  <c r="T60" i="24"/>
  <c r="AI60" i="24" s="1"/>
  <c r="T66" i="24"/>
  <c r="AI66" i="24" s="1"/>
  <c r="AH66" i="24" s="1"/>
  <c r="T35" i="24"/>
  <c r="AI35" i="24" s="1"/>
  <c r="AS35" i="24" s="1"/>
  <c r="T29" i="24"/>
  <c r="Z29" i="24" s="1"/>
  <c r="T88" i="24"/>
  <c r="AI88" i="24" s="1"/>
  <c r="AH88" i="24" s="1"/>
  <c r="T76" i="24"/>
  <c r="AI76" i="24" s="1"/>
  <c r="T63" i="24"/>
  <c r="AI63" i="24" s="1"/>
  <c r="AH63" i="24" s="1"/>
  <c r="T33" i="24"/>
  <c r="AI33" i="24" s="1"/>
  <c r="AS33" i="24" s="1"/>
  <c r="T27" i="24"/>
  <c r="AI27" i="24" s="1"/>
  <c r="AH27" i="24" s="1"/>
  <c r="AG289" i="24"/>
  <c r="AL327" i="24"/>
  <c r="AI364" i="24"/>
  <c r="AL356" i="24"/>
  <c r="AJ364" i="24"/>
  <c r="AQ364" i="24"/>
  <c r="AG327" i="24"/>
  <c r="AH315" i="24"/>
  <c r="AP261" i="24"/>
  <c r="K17" i="23" s="1"/>
  <c r="AR290" i="24"/>
  <c r="AF360" i="24"/>
  <c r="AN360" i="24"/>
  <c r="H101" i="15" s="1"/>
  <c r="AP360" i="24"/>
  <c r="AH356" i="24"/>
  <c r="AK356" i="24"/>
  <c r="AS364" i="24"/>
  <c r="AO356" i="24"/>
  <c r="AO305" i="24"/>
  <c r="AM305" i="24"/>
  <c r="G46" i="15" s="1"/>
  <c r="AI360" i="24"/>
  <c r="AO271" i="24"/>
  <c r="AN303" i="24"/>
  <c r="AQ315" i="24"/>
  <c r="AK364" i="24"/>
  <c r="AN364" i="24"/>
  <c r="AQ335" i="24"/>
  <c r="AN311" i="24"/>
  <c r="AF364" i="24"/>
  <c r="AQ323" i="24"/>
  <c r="AS356" i="24"/>
  <c r="AR356" i="24"/>
  <c r="I97" i="15" s="1"/>
  <c r="AO360" i="24"/>
  <c r="AG360" i="24"/>
  <c r="AM356" i="24"/>
  <c r="AF356" i="24"/>
  <c r="AQ356" i="24"/>
  <c r="AG364" i="24"/>
  <c r="AQ34" i="24"/>
  <c r="AI275" i="24"/>
  <c r="AL360" i="24"/>
  <c r="AJ267" i="24"/>
  <c r="AP364" i="24"/>
  <c r="AD364" i="24"/>
  <c r="AO303" i="24"/>
  <c r="AH364" i="24"/>
  <c r="AH344" i="24"/>
  <c r="AM360" i="24"/>
  <c r="AQ360" i="24"/>
  <c r="AH360" i="24"/>
  <c r="AJ356" i="24"/>
  <c r="AE356" i="24"/>
  <c r="AG271" i="24"/>
  <c r="AD271" i="24"/>
  <c r="AP271" i="24"/>
  <c r="AR271" i="24"/>
  <c r="AH295" i="24"/>
  <c r="AE295" i="24"/>
  <c r="AF295" i="24"/>
  <c r="AI295" i="24"/>
  <c r="AJ295" i="24"/>
  <c r="AD295" i="24"/>
  <c r="AR295" i="24"/>
  <c r="AN295" i="24"/>
  <c r="AQ295" i="24"/>
  <c r="AM295" i="24"/>
  <c r="AG295" i="24"/>
  <c r="AP299" i="24"/>
  <c r="AD299" i="24"/>
  <c r="AO307" i="24"/>
  <c r="AD307" i="24"/>
  <c r="AR307" i="24"/>
  <c r="AI348" i="24"/>
  <c r="AR348" i="24"/>
  <c r="I89" i="15" s="1"/>
  <c r="AO348" i="24"/>
  <c r="AP348" i="24"/>
  <c r="AH348" i="24"/>
  <c r="AK348" i="24"/>
  <c r="AE348" i="24"/>
  <c r="AJ348" i="24"/>
  <c r="AM348" i="24"/>
  <c r="G89" i="15" s="1"/>
  <c r="AS348" i="24"/>
  <c r="AG348" i="24"/>
  <c r="AD348" i="24"/>
  <c r="AL352" i="24"/>
  <c r="AJ352" i="24"/>
  <c r="AD352" i="24"/>
  <c r="AM352" i="24"/>
  <c r="AP352" i="24"/>
  <c r="AN352" i="24"/>
  <c r="AS352" i="24"/>
  <c r="AK352" i="24"/>
  <c r="AQ352" i="24"/>
  <c r="AE352" i="24"/>
  <c r="AI344" i="24"/>
  <c r="AL311" i="24"/>
  <c r="AD267" i="24"/>
  <c r="AE315" i="24"/>
  <c r="AI359" i="24"/>
  <c r="AH359" i="24"/>
  <c r="AS359" i="24"/>
  <c r="AP359" i="24"/>
  <c r="AD359" i="24"/>
  <c r="AN359" i="24"/>
  <c r="AK359" i="24"/>
  <c r="AF359" i="24"/>
  <c r="AP363" i="24"/>
  <c r="AD363" i="24"/>
  <c r="AR363" i="24"/>
  <c r="I104" i="15" s="1"/>
  <c r="AM363" i="24"/>
  <c r="G104" i="15" s="1"/>
  <c r="AR282" i="24"/>
  <c r="AM282" i="24"/>
  <c r="AS282" i="24"/>
  <c r="AE282" i="24"/>
  <c r="AG282" i="24"/>
  <c r="AL282" i="24"/>
  <c r="AD282" i="24"/>
  <c r="AN282" i="24"/>
  <c r="AP282" i="24"/>
  <c r="AJ282" i="24"/>
  <c r="AF282" i="24"/>
  <c r="AK282" i="24"/>
  <c r="AS286" i="24"/>
  <c r="AM286" i="24"/>
  <c r="G27" i="15" s="1"/>
  <c r="AD286" i="24"/>
  <c r="AN286" i="24"/>
  <c r="AP286" i="24"/>
  <c r="AG286" i="24"/>
  <c r="AE286" i="24"/>
  <c r="AF286" i="24"/>
  <c r="AO286" i="24"/>
  <c r="AR286" i="24"/>
  <c r="I27" i="15" s="1"/>
  <c r="AJ286" i="24"/>
  <c r="AL286" i="24"/>
  <c r="AG290" i="24"/>
  <c r="AS290" i="24"/>
  <c r="AD290" i="24"/>
  <c r="AF290" i="24"/>
  <c r="AN290" i="24"/>
  <c r="AE290" i="24"/>
  <c r="AQ290" i="24"/>
  <c r="AH290" i="24"/>
  <c r="AM290" i="24"/>
  <c r="AO290" i="24"/>
  <c r="AL290" i="24"/>
  <c r="AG323" i="24"/>
  <c r="AK323" i="24"/>
  <c r="AN323" i="24"/>
  <c r="AS323" i="24"/>
  <c r="AE323" i="24"/>
  <c r="AR323" i="24"/>
  <c r="AO323" i="24"/>
  <c r="AH323" i="24"/>
  <c r="AL323" i="24"/>
  <c r="AI327" i="24"/>
  <c r="AP327" i="24"/>
  <c r="AF327" i="24"/>
  <c r="AQ327" i="24"/>
  <c r="AE327" i="24"/>
  <c r="AN327" i="24"/>
  <c r="H68" i="15" s="1"/>
  <c r="AK327" i="24"/>
  <c r="AJ327" i="24"/>
  <c r="AM327" i="24"/>
  <c r="AM331" i="24"/>
  <c r="AS331" i="24"/>
  <c r="AP331" i="24"/>
  <c r="AQ331" i="24"/>
  <c r="AH331" i="24"/>
  <c r="AR331" i="24"/>
  <c r="I72" i="15" s="1"/>
  <c r="AF331" i="24"/>
  <c r="AG331" i="24"/>
  <c r="AI335" i="24"/>
  <c r="AH335" i="24"/>
  <c r="AN335" i="24"/>
  <c r="H76" i="15" s="1"/>
  <c r="AO335" i="24"/>
  <c r="AK335" i="24"/>
  <c r="AP335" i="24"/>
  <c r="AS335" i="24"/>
  <c r="AI339" i="24"/>
  <c r="AS339" i="24"/>
  <c r="AP339" i="24"/>
  <c r="AJ339" i="24"/>
  <c r="AE339" i="24"/>
  <c r="AD339" i="24"/>
  <c r="AQ339" i="24"/>
  <c r="AH339" i="24"/>
  <c r="AF339" i="24"/>
  <c r="AO339" i="24"/>
  <c r="AP344" i="24"/>
  <c r="AQ344" i="24"/>
  <c r="AG344" i="24"/>
  <c r="AR344" i="24"/>
  <c r="AL344" i="24"/>
  <c r="AD344" i="24"/>
  <c r="AK344" i="24"/>
  <c r="AF344" i="24"/>
  <c r="AE344" i="24"/>
  <c r="AO344" i="24"/>
  <c r="AM339" i="24"/>
  <c r="AR335" i="24"/>
  <c r="I76" i="15" s="1"/>
  <c r="AD335" i="24"/>
  <c r="AO327" i="24"/>
  <c r="AP323" i="24"/>
  <c r="AJ323" i="24"/>
  <c r="AK315" i="24"/>
  <c r="AP311" i="24"/>
  <c r="AD331" i="24"/>
  <c r="AF275" i="24"/>
  <c r="AJ290" i="24"/>
  <c r="AO282" i="24"/>
  <c r="AQ348" i="24"/>
  <c r="AJ344" i="24"/>
  <c r="AR339" i="24"/>
  <c r="I80" i="15" s="1"/>
  <c r="AQ286" i="24"/>
  <c r="AH282" i="24"/>
  <c r="AR352" i="24"/>
  <c r="AH352" i="24"/>
  <c r="AS344" i="24"/>
  <c r="AS295" i="24"/>
  <c r="AF348" i="24"/>
  <c r="AH286" i="24"/>
  <c r="AH275" i="24"/>
  <c r="AO275" i="24"/>
  <c r="AS275" i="24"/>
  <c r="AE275" i="24"/>
  <c r="AM275" i="24"/>
  <c r="AN275" i="24"/>
  <c r="AD275" i="24"/>
  <c r="AQ275" i="24"/>
  <c r="AR275" i="24"/>
  <c r="AG275" i="24"/>
  <c r="AK275" i="24"/>
  <c r="AP275" i="24"/>
  <c r="AL275" i="24"/>
  <c r="AG303" i="24"/>
  <c r="AL303" i="24"/>
  <c r="AR303" i="24"/>
  <c r="I44" i="15" s="1"/>
  <c r="AM303" i="24"/>
  <c r="AQ303" i="24"/>
  <c r="AD303" i="24"/>
  <c r="AH303" i="24"/>
  <c r="AE303" i="24"/>
  <c r="AJ303" i="24"/>
  <c r="AQ311" i="24"/>
  <c r="AK311" i="24"/>
  <c r="AE311" i="24"/>
  <c r="AJ311" i="24"/>
  <c r="AO311" i="24"/>
  <c r="AF311" i="24"/>
  <c r="AS311" i="24"/>
  <c r="AH311" i="24"/>
  <c r="AI311" i="24"/>
  <c r="AJ315" i="24"/>
  <c r="AO315" i="24"/>
  <c r="AM315" i="24"/>
  <c r="G56" i="15" s="1"/>
  <c r="AS315" i="24"/>
  <c r="AG315" i="24"/>
  <c r="AP315" i="24"/>
  <c r="AR315" i="24"/>
  <c r="AG319" i="24"/>
  <c r="AP319" i="24"/>
  <c r="AJ319" i="24"/>
  <c r="AK319" i="24"/>
  <c r="AE319" i="24"/>
  <c r="AR319" i="24"/>
  <c r="AN319" i="24"/>
  <c r="H60" i="15" s="1"/>
  <c r="AO319" i="24"/>
  <c r="AL319" i="24"/>
  <c r="AL315" i="24"/>
  <c r="AF303" i="24"/>
  <c r="AN348" i="24"/>
  <c r="AM344" i="24"/>
  <c r="G85" i="15" s="1"/>
  <c r="AI331" i="24"/>
  <c r="AI319" i="24"/>
  <c r="AI282" i="24"/>
  <c r="AI315" i="24"/>
  <c r="AJ299" i="24"/>
  <c r="AM307" i="24"/>
  <c r="AS303" i="24"/>
  <c r="AG307" i="24"/>
  <c r="AK339" i="24"/>
  <c r="AF335" i="24"/>
  <c r="AJ335" i="24"/>
  <c r="AO331" i="24"/>
  <c r="AS327" i="24"/>
  <c r="AM323" i="24"/>
  <c r="G64" i="15" s="1"/>
  <c r="AF319" i="24"/>
  <c r="AS319" i="24"/>
  <c r="AD311" i="24"/>
  <c r="AG311" i="24"/>
  <c r="AK295" i="24"/>
  <c r="AI323" i="24"/>
  <c r="AN315" i="24"/>
  <c r="AO267" i="24"/>
  <c r="AP303" i="24"/>
  <c r="AF315" i="24"/>
  <c r="AI303" i="24"/>
  <c r="AQ359" i="24"/>
  <c r="AJ359" i="24"/>
  <c r="AN339" i="24"/>
  <c r="AE335" i="24"/>
  <c r="AN331" i="24"/>
  <c r="AE331" i="24"/>
  <c r="AD327" i="24"/>
  <c r="AD323" i="24"/>
  <c r="AD319" i="24"/>
  <c r="AH319" i="24"/>
  <c r="AR311" i="24"/>
  <c r="AP307" i="24"/>
  <c r="AO295" i="24"/>
  <c r="AP290" i="24"/>
  <c r="AK286" i="24"/>
  <c r="AO352" i="24"/>
  <c r="AR299" i="24"/>
  <c r="AN34" i="24"/>
  <c r="AQ21" i="24"/>
  <c r="AJ266" i="24"/>
  <c r="AN21" i="24"/>
  <c r="AQ44" i="30"/>
  <c r="AN44" i="30"/>
  <c r="AM162" i="30"/>
  <c r="H114" i="23" s="1"/>
  <c r="M114" i="23" s="1"/>
  <c r="AM105" i="30"/>
  <c r="AM141" i="30"/>
  <c r="AH105" i="30"/>
  <c r="AF141" i="30"/>
  <c r="AS141" i="30"/>
  <c r="AM149" i="30"/>
  <c r="AO97" i="30"/>
  <c r="AL149" i="30"/>
  <c r="AR125" i="30"/>
  <c r="AH117" i="30"/>
  <c r="AQ81" i="30"/>
  <c r="AK65" i="30"/>
  <c r="AF125" i="30"/>
  <c r="AM89" i="30"/>
  <c r="AE157" i="30"/>
  <c r="AN149" i="30"/>
  <c r="AM157" i="30"/>
  <c r="AG157" i="30"/>
  <c r="AR89" i="30"/>
  <c r="AE20" i="30"/>
  <c r="AK15" i="30"/>
  <c r="AN19" i="30"/>
  <c r="AN21" i="30"/>
  <c r="AD23" i="30"/>
  <c r="AD30" i="30"/>
  <c r="AE30" i="30" s="1"/>
  <c r="AD55" i="30"/>
  <c r="AN105" i="30"/>
  <c r="AO105" i="30"/>
  <c r="AR149" i="30"/>
  <c r="AR141" i="30"/>
  <c r="AF105" i="30"/>
  <c r="AE141" i="30"/>
  <c r="AJ125" i="30"/>
  <c r="AL117" i="30"/>
  <c r="AJ117" i="30"/>
  <c r="AL81" i="30"/>
  <c r="AJ89" i="30"/>
  <c r="AG117" i="30"/>
  <c r="AG81" i="30"/>
  <c r="AE149" i="30"/>
  <c r="AR133" i="30"/>
  <c r="AD141" i="30"/>
  <c r="AO133" i="30"/>
  <c r="AO157" i="30"/>
  <c r="AG133" i="30"/>
  <c r="AF81" i="30"/>
  <c r="AE45" i="30"/>
  <c r="AK149" i="30"/>
  <c r="AD149" i="30"/>
  <c r="AJ97" i="30"/>
  <c r="AL141" i="30"/>
  <c r="AP149" i="30"/>
  <c r="AP125" i="30"/>
  <c r="AK117" i="30"/>
  <c r="AR117" i="30"/>
  <c r="Z10" i="30"/>
  <c r="AK81" i="30"/>
  <c r="AK157" i="30"/>
  <c r="AD89" i="30"/>
  <c r="AF63" i="30"/>
  <c r="AP117" i="30"/>
  <c r="AS117" i="30"/>
  <c r="AH133" i="30"/>
  <c r="AH141" i="30"/>
  <c r="AS133" i="30"/>
  <c r="AH168" i="30"/>
  <c r="AK125" i="30"/>
  <c r="AQ33" i="30"/>
  <c r="AF35" i="30"/>
  <c r="AE35" i="30" s="1"/>
  <c r="AE19" i="30"/>
  <c r="AP73" i="30"/>
  <c r="K313" i="23" s="1"/>
  <c r="AG105" i="30"/>
  <c r="AQ105" i="30"/>
  <c r="AH97" i="30"/>
  <c r="AD105" i="30"/>
  <c r="AP141" i="30"/>
  <c r="AI149" i="30"/>
  <c r="AP162" i="30"/>
  <c r="K314" i="23" s="1"/>
  <c r="AD125" i="30"/>
  <c r="AF117" i="30"/>
  <c r="AO117" i="30"/>
  <c r="AJ81" i="30"/>
  <c r="AN89" i="30"/>
  <c r="AH89" i="30"/>
  <c r="AQ157" i="30"/>
  <c r="AK89" i="30"/>
  <c r="AN9" i="30"/>
  <c r="AN125" i="30"/>
  <c r="AE125" i="30"/>
  <c r="AS149" i="30"/>
  <c r="AP168" i="30"/>
  <c r="AL168" i="30"/>
  <c r="AS168" i="30"/>
  <c r="AG149" i="30"/>
  <c r="AI133" i="30"/>
  <c r="AS64" i="30"/>
  <c r="AS66" i="30"/>
  <c r="AS67" i="30"/>
  <c r="AI105" i="30"/>
  <c r="AK105" i="30"/>
  <c r="AO81" i="30"/>
  <c r="AF97" i="30"/>
  <c r="AE105" i="30"/>
  <c r="AI141" i="30"/>
  <c r="AD97" i="30"/>
  <c r="O75" i="30"/>
  <c r="AS125" i="30"/>
  <c r="AD117" i="30"/>
  <c r="AE117" i="30"/>
  <c r="AI89" i="30"/>
  <c r="AD81" i="30"/>
  <c r="AE36" i="30"/>
  <c r="AN133" i="30"/>
  <c r="AF157" i="30"/>
  <c r="AE89" i="30"/>
  <c r="AJ133" i="30"/>
  <c r="AM133" i="30"/>
  <c r="AM168" i="30"/>
  <c r="AE168" i="30"/>
  <c r="AH157" i="30"/>
  <c r="AO125" i="30"/>
  <c r="AE133" i="30"/>
  <c r="AN35" i="30"/>
  <c r="AG73" i="30"/>
  <c r="H313" i="23" s="1"/>
  <c r="AQ149" i="30"/>
  <c r="AN97" i="30"/>
  <c r="AS97" i="30"/>
  <c r="AQ141" i="30"/>
  <c r="AM125" i="30"/>
  <c r="AI117" i="30"/>
  <c r="AN117" i="30"/>
  <c r="AG89" i="30"/>
  <c r="AD133" i="30"/>
  <c r="AF89" i="30"/>
  <c r="AL133" i="30"/>
  <c r="AN157" i="30"/>
  <c r="AI81" i="30"/>
  <c r="AS81" i="30"/>
  <c r="AR81" i="30"/>
  <c r="AJ168" i="30"/>
  <c r="AP133" i="30"/>
  <c r="AP157" i="30"/>
  <c r="AS157" i="30"/>
  <c r="AK133" i="30"/>
  <c r="AN168" i="30"/>
  <c r="AE24" i="30"/>
  <c r="AL105" i="30"/>
  <c r="AR97" i="30"/>
  <c r="AG97" i="30"/>
  <c r="AN141" i="30"/>
  <c r="AF149" i="30"/>
  <c r="AG141" i="30"/>
  <c r="AK97" i="30"/>
  <c r="AJ149" i="30"/>
  <c r="AQ125" i="30"/>
  <c r="AE97" i="30"/>
  <c r="AR157" i="30"/>
  <c r="AQ89" i="30"/>
  <c r="AF21" i="30"/>
  <c r="AE21" i="30" s="1"/>
  <c r="AQ133" i="30"/>
  <c r="AO168" i="30"/>
  <c r="AF168" i="30"/>
  <c r="AD168" i="30"/>
  <c r="AI168" i="30"/>
  <c r="AN28" i="30"/>
  <c r="AQ29" i="30"/>
  <c r="AF77" i="30"/>
  <c r="AR162" i="30"/>
  <c r="AH113" i="30"/>
  <c r="AI155" i="30"/>
  <c r="AI113" i="30"/>
  <c r="AD166" i="30"/>
  <c r="AG121" i="30"/>
  <c r="AL121" i="30"/>
  <c r="AM113" i="30"/>
  <c r="AH16" i="30"/>
  <c r="AJ166" i="30"/>
  <c r="AN147" i="30"/>
  <c r="AQ147" i="30"/>
  <c r="AK139" i="30"/>
  <c r="AL139" i="30"/>
  <c r="AG147" i="30"/>
  <c r="AM85" i="30"/>
  <c r="AE39" i="30"/>
  <c r="AQ85" i="30"/>
  <c r="AJ93" i="30"/>
  <c r="AF101" i="30"/>
  <c r="AO93" i="30"/>
  <c r="AK101" i="30"/>
  <c r="AG171" i="30"/>
  <c r="AD38" i="30"/>
  <c r="AE38" i="30" s="1"/>
  <c r="AD47" i="30"/>
  <c r="AQ59" i="30"/>
  <c r="AQ62" i="30"/>
  <c r="AK121" i="30"/>
  <c r="AN113" i="30"/>
  <c r="AD113" i="30"/>
  <c r="H113" i="30"/>
  <c r="AQ113" i="30"/>
  <c r="AM166" i="30"/>
  <c r="AG113" i="30"/>
  <c r="AR155" i="30"/>
  <c r="AE166" i="30"/>
  <c r="AI121" i="30"/>
  <c r="AK113" i="30"/>
  <c r="AS68" i="30"/>
  <c r="AE147" i="30"/>
  <c r="AS147" i="30"/>
  <c r="AJ139" i="30"/>
  <c r="AM139" i="30"/>
  <c r="AF85" i="30"/>
  <c r="AN66" i="30"/>
  <c r="AS77" i="30"/>
  <c r="AQ129" i="30"/>
  <c r="AN93" i="30"/>
  <c r="AH93" i="30"/>
  <c r="AE101" i="30"/>
  <c r="AH85" i="30"/>
  <c r="AR101" i="30"/>
  <c r="AD60" i="30"/>
  <c r="AF129" i="30"/>
  <c r="AD77" i="30"/>
  <c r="AG77" i="30"/>
  <c r="AM77" i="30"/>
  <c r="AF113" i="30"/>
  <c r="AO113" i="30"/>
  <c r="AP166" i="30"/>
  <c r="AR113" i="30"/>
  <c r="AK67" i="30"/>
  <c r="AR121" i="30"/>
  <c r="AL113" i="30"/>
  <c r="AH147" i="30"/>
  <c r="AF139" i="30"/>
  <c r="AO139" i="30"/>
  <c r="AS129" i="30"/>
  <c r="AE63" i="30"/>
  <c r="AP93" i="30"/>
  <c r="AQ77" i="30"/>
  <c r="AN129" i="30"/>
  <c r="AN121" i="30"/>
  <c r="AG93" i="30"/>
  <c r="AP85" i="30"/>
  <c r="AI93" i="30"/>
  <c r="AL101" i="30"/>
  <c r="AD42" i="30"/>
  <c r="AE42" i="30" s="1"/>
  <c r="AD50" i="30"/>
  <c r="AE50" i="30" s="1"/>
  <c r="AD54" i="30"/>
  <c r="AP171" i="30"/>
  <c r="AP77" i="30"/>
  <c r="AE77" i="30"/>
  <c r="AJ121" i="30"/>
  <c r="AK166" i="30"/>
  <c r="AE46" i="30"/>
  <c r="AM121" i="30"/>
  <c r="AF155" i="30"/>
  <c r="AJ113" i="30"/>
  <c r="AH64" i="30"/>
  <c r="AJ147" i="30"/>
  <c r="AG139" i="30"/>
  <c r="AE129" i="30"/>
  <c r="AO129" i="30"/>
  <c r="AK129" i="30"/>
  <c r="AS85" i="30"/>
  <c r="AD129" i="30"/>
  <c r="AF93" i="30"/>
  <c r="AK85" i="30"/>
  <c r="AD22" i="30"/>
  <c r="AE22" i="30" s="1"/>
  <c r="AL171" i="30"/>
  <c r="AR77" i="30"/>
  <c r="AL77" i="30"/>
  <c r="AO162" i="30"/>
  <c r="AD155" i="30"/>
  <c r="AM155" i="30"/>
  <c r="AL166" i="30"/>
  <c r="AO155" i="30"/>
  <c r="AL147" i="30"/>
  <c r="AK147" i="30"/>
  <c r="AI139" i="30"/>
  <c r="AJ129" i="30"/>
  <c r="AP129" i="30"/>
  <c r="AJ85" i="30"/>
  <c r="AE85" i="30"/>
  <c r="AS166" i="30"/>
  <c r="AR129" i="30"/>
  <c r="AS93" i="30"/>
  <c r="AO101" i="30"/>
  <c r="AD101" i="30"/>
  <c r="AR93" i="30"/>
  <c r="AJ171" i="30"/>
  <c r="AQ93" i="30"/>
  <c r="AE58" i="30"/>
  <c r="AS121" i="30"/>
  <c r="AN77" i="30"/>
  <c r="AO77" i="30"/>
  <c r="AM69" i="30"/>
  <c r="AE155" i="30"/>
  <c r="AE121" i="30"/>
  <c r="AK155" i="30"/>
  <c r="AE113" i="30"/>
  <c r="AR166" i="30"/>
  <c r="AE37" i="30"/>
  <c r="AP155" i="30"/>
  <c r="AP147" i="30"/>
  <c r="AD147" i="30"/>
  <c r="AS139" i="30"/>
  <c r="AM129" i="30"/>
  <c r="AE53" i="30"/>
  <c r="AK93" i="30"/>
  <c r="AG85" i="30"/>
  <c r="AM101" i="30"/>
  <c r="AS101" i="30"/>
  <c r="AL93" i="30"/>
  <c r="AH121" i="30"/>
  <c r="AH77" i="30"/>
  <c r="AQ166" i="30"/>
  <c r="AF166" i="30"/>
  <c r="AD121" i="30"/>
  <c r="AS155" i="30"/>
  <c r="AQ155" i="30"/>
  <c r="AP113" i="30"/>
  <c r="AG166" i="30"/>
  <c r="AI129" i="30"/>
  <c r="AO166" i="30"/>
  <c r="AG155" i="30"/>
  <c r="AM147" i="30"/>
  <c r="AF147" i="30"/>
  <c r="AP139" i="30"/>
  <c r="AE139" i="30"/>
  <c r="AH129" i="30"/>
  <c r="AI85" i="30"/>
  <c r="AM93" i="30"/>
  <c r="AE27" i="30"/>
  <c r="AN101" i="30"/>
  <c r="AJ101" i="30"/>
  <c r="AK77" i="30"/>
  <c r="AD85" i="30"/>
  <c r="AD44" i="30"/>
  <c r="AE44" i="30" s="1"/>
  <c r="AD48" i="30"/>
  <c r="AE48" i="30" s="1"/>
  <c r="AN56" i="30"/>
  <c r="AE33" i="30"/>
  <c r="AE54" i="30"/>
  <c r="AR138" i="43"/>
  <c r="G38" i="18"/>
  <c r="D69" i="7"/>
  <c r="S69" i="7" s="1"/>
  <c r="CO111" i="14"/>
  <c r="T72" i="26"/>
  <c r="AI72" i="26" s="1"/>
  <c r="AH72" i="26" s="1"/>
  <c r="T167" i="24"/>
  <c r="AI167" i="24" s="1"/>
  <c r="AH167" i="24" s="1"/>
  <c r="AG104" i="27"/>
  <c r="AG237" i="43"/>
  <c r="T38" i="25"/>
  <c r="AI38" i="25" s="1"/>
  <c r="AH38" i="25" s="1"/>
  <c r="T10" i="26"/>
  <c r="AI10" i="26" s="1"/>
  <c r="AH10" i="26" s="1"/>
  <c r="T14" i="26"/>
  <c r="AI14" i="26" s="1"/>
  <c r="AH14" i="26" s="1"/>
  <c r="T57" i="26"/>
  <c r="AI57" i="26" s="1"/>
  <c r="AH57" i="26" s="1"/>
  <c r="T69" i="26"/>
  <c r="AI69" i="26" s="1"/>
  <c r="AH69" i="26" s="1"/>
  <c r="AG305" i="24"/>
  <c r="AG87" i="26"/>
  <c r="AG153" i="22"/>
  <c r="H24" i="23" s="1"/>
  <c r="AG97" i="27"/>
  <c r="AG82" i="27"/>
  <c r="H20" i="23" s="1"/>
  <c r="AG116" i="26"/>
  <c r="AG104" i="26"/>
  <c r="AG112" i="25"/>
  <c r="AG103" i="25"/>
  <c r="AG101" i="25"/>
  <c r="AG299" i="24"/>
  <c r="AG298" i="24"/>
  <c r="AG87" i="27"/>
  <c r="AS118" i="24"/>
  <c r="T226" i="24"/>
  <c r="AI226" i="24" s="1"/>
  <c r="AH226" i="24" s="1"/>
  <c r="T13" i="25"/>
  <c r="AI13" i="25" s="1"/>
  <c r="AH13" i="25" s="1"/>
  <c r="T17" i="25"/>
  <c r="AI17" i="25" s="1"/>
  <c r="AI95" i="25" s="1"/>
  <c r="T39" i="25"/>
  <c r="AI39" i="25" s="1"/>
  <c r="AH39" i="25" s="1"/>
  <c r="T49" i="25"/>
  <c r="AI49" i="25" s="1"/>
  <c r="AH49" i="25" s="1"/>
  <c r="T53" i="25"/>
  <c r="AI53" i="25" s="1"/>
  <c r="AH53" i="25" s="1"/>
  <c r="T61" i="25"/>
  <c r="AI61" i="25" s="1"/>
  <c r="AH61" i="25" s="1"/>
  <c r="AG105" i="26"/>
  <c r="AL13" i="24"/>
  <c r="T47" i="26"/>
  <c r="AI47" i="26" s="1"/>
  <c r="AH47" i="26" s="1"/>
  <c r="T54" i="26"/>
  <c r="AI54" i="26" s="1"/>
  <c r="AH54" i="26" s="1"/>
  <c r="T38" i="27"/>
  <c r="AI38" i="27" s="1"/>
  <c r="AH38" i="27" s="1"/>
  <c r="AG116" i="27"/>
  <c r="AG106" i="27"/>
  <c r="AG96" i="27"/>
  <c r="AG97" i="26"/>
  <c r="AG297" i="24"/>
  <c r="AG267" i="24"/>
  <c r="AG139" i="43"/>
  <c r="T10" i="22"/>
  <c r="AI10" i="22" s="1"/>
  <c r="T30" i="26"/>
  <c r="AI30" i="26" s="1"/>
  <c r="AH30" i="26" s="1"/>
  <c r="T34" i="26"/>
  <c r="AI34" i="26" s="1"/>
  <c r="AH34" i="26" s="1"/>
  <c r="T116" i="43"/>
  <c r="AI116" i="43" s="1"/>
  <c r="AH116" i="43" s="1"/>
  <c r="T10" i="27"/>
  <c r="AI10" i="27" s="1"/>
  <c r="AH10" i="27" s="1"/>
  <c r="AG238" i="43"/>
  <c r="T172" i="24"/>
  <c r="AI172" i="24" s="1"/>
  <c r="AG276" i="24"/>
  <c r="AB7" i="23"/>
  <c r="T301" i="14"/>
  <c r="E3" i="12"/>
  <c r="AE45" i="43"/>
  <c r="AE32" i="43"/>
  <c r="AE10" i="22"/>
  <c r="AD153" i="22"/>
  <c r="F24" i="23" s="1"/>
  <c r="AQ13" i="25"/>
  <c r="AP79" i="25"/>
  <c r="K18" i="23" s="1"/>
  <c r="AP84" i="25"/>
  <c r="D23" i="18"/>
  <c r="H35" i="18"/>
  <c r="F138" i="18"/>
  <c r="F157" i="18"/>
  <c r="F103" i="18"/>
  <c r="F163" i="18"/>
  <c r="F128" i="18"/>
  <c r="F126" i="18"/>
  <c r="F112" i="18"/>
  <c r="F154" i="18"/>
  <c r="F94" i="18"/>
  <c r="F158" i="18"/>
  <c r="F121" i="18"/>
  <c r="F144" i="18"/>
  <c r="F156" i="18"/>
  <c r="F110" i="18"/>
  <c r="F148" i="18"/>
  <c r="F159" i="18"/>
  <c r="F85" i="18"/>
  <c r="F152" i="18"/>
  <c r="F104" i="18"/>
  <c r="F115" i="18"/>
  <c r="F120" i="18"/>
  <c r="F137" i="18"/>
  <c r="F127" i="18"/>
  <c r="F113" i="18"/>
  <c r="F109" i="18"/>
  <c r="F100" i="18"/>
  <c r="F86" i="18"/>
  <c r="F102" i="18"/>
  <c r="F99" i="18"/>
  <c r="F143" i="18"/>
  <c r="F92" i="18"/>
  <c r="F153" i="18"/>
  <c r="F87" i="18"/>
  <c r="F93" i="18"/>
  <c r="F83" i="18"/>
  <c r="F146" i="18"/>
  <c r="F111" i="18"/>
  <c r="F164" i="18"/>
  <c r="F84" i="18"/>
  <c r="F129" i="18"/>
  <c r="F155" i="18"/>
  <c r="F114" i="18"/>
  <c r="F147" i="18"/>
  <c r="F101" i="18"/>
  <c r="F133" i="18"/>
  <c r="F145" i="18"/>
  <c r="BR9" i="14"/>
  <c r="AO219" i="22"/>
  <c r="AJ219" i="22"/>
  <c r="AG254" i="29"/>
  <c r="AQ254" i="29"/>
  <c r="AK38" i="43"/>
  <c r="AK29" i="25"/>
  <c r="AK102" i="25" s="1"/>
  <c r="AC351" i="23"/>
  <c r="CZ5" i="14"/>
  <c r="AF11" i="30"/>
  <c r="C28" i="11"/>
  <c r="C32" i="11" s="1"/>
  <c r="E19" i="18"/>
  <c r="AF136" i="24"/>
  <c r="AE136" i="24" s="1"/>
  <c r="AF21" i="25"/>
  <c r="AD101" i="25"/>
  <c r="AN39" i="26"/>
  <c r="AQ40" i="26"/>
  <c r="AK42" i="26"/>
  <c r="AH43" i="26"/>
  <c r="AQ44" i="26"/>
  <c r="AN47" i="26"/>
  <c r="AQ48" i="26"/>
  <c r="AQ50" i="26"/>
  <c r="AN54" i="26"/>
  <c r="AN56" i="26"/>
  <c r="AN58" i="26"/>
  <c r="AQ59" i="26"/>
  <c r="AS77" i="26"/>
  <c r="AF9" i="29"/>
  <c r="AE9" i="29" s="1"/>
  <c r="AK22" i="29"/>
  <c r="AF65" i="29"/>
  <c r="AE65" i="29" s="1"/>
  <c r="AF107" i="29"/>
  <c r="AE107" i="29" s="1"/>
  <c r="AK133" i="29"/>
  <c r="AF140" i="29"/>
  <c r="AE140" i="29" s="1"/>
  <c r="AH153" i="30"/>
  <c r="AH128" i="30"/>
  <c r="AJ128" i="30"/>
  <c r="AK152" i="30"/>
  <c r="AG152" i="30"/>
  <c r="AI152" i="30"/>
  <c r="AN152" i="30"/>
  <c r="AB319" i="23"/>
  <c r="AE171" i="26"/>
  <c r="AM171" i="26"/>
  <c r="AG200" i="29"/>
  <c r="AF200" i="29"/>
  <c r="AQ97" i="27"/>
  <c r="AP153" i="30"/>
  <c r="AK128" i="30"/>
  <c r="AM128" i="30"/>
  <c r="AN128" i="30"/>
  <c r="AM152" i="30"/>
  <c r="AL152" i="30"/>
  <c r="AO152" i="30"/>
  <c r="AR152" i="30"/>
  <c r="AD99" i="30"/>
  <c r="AD327" i="23"/>
  <c r="AG327" i="23"/>
  <c r="AD319" i="23"/>
  <c r="AE319" i="23"/>
  <c r="AQ172" i="24"/>
  <c r="AN106" i="26"/>
  <c r="E6" i="33"/>
  <c r="DB142" i="14"/>
  <c r="DB155" i="14" s="1"/>
  <c r="DB156" i="14" s="1"/>
  <c r="DB163" i="14" s="1"/>
  <c r="DK129" i="14"/>
  <c r="DK142" i="14" s="1"/>
  <c r="DK155" i="14" s="1"/>
  <c r="DK156" i="14" s="1"/>
  <c r="DK163" i="14" s="1"/>
  <c r="AN56" i="22"/>
  <c r="AN68" i="22"/>
  <c r="AN72" i="22"/>
  <c r="AQ73" i="22"/>
  <c r="AN78" i="22"/>
  <c r="AQ85" i="22"/>
  <c r="AQ89" i="22"/>
  <c r="AQ95" i="22"/>
  <c r="AQ107" i="22"/>
  <c r="AF186" i="24"/>
  <c r="AE186" i="24" s="1"/>
  <c r="AE273" i="24"/>
  <c r="AJ271" i="24"/>
  <c r="AI296" i="24"/>
  <c r="AQ10" i="25"/>
  <c r="AN31" i="25"/>
  <c r="AQ34" i="25"/>
  <c r="AQ36" i="25"/>
  <c r="AQ94" i="25" s="1"/>
  <c r="AN37" i="25"/>
  <c r="AQ38" i="25"/>
  <c r="AE42" i="25"/>
  <c r="AN53" i="25"/>
  <c r="AK78" i="25"/>
  <c r="T9" i="29"/>
  <c r="AI9" i="29" s="1"/>
  <c r="AK11" i="29"/>
  <c r="AF87" i="29"/>
  <c r="AE87" i="29" s="1"/>
  <c r="AE108" i="29"/>
  <c r="AH109" i="29"/>
  <c r="AK153" i="30"/>
  <c r="AG128" i="30"/>
  <c r="AI128" i="30"/>
  <c r="AR128" i="30"/>
  <c r="AE152" i="30"/>
  <c r="AQ152" i="30"/>
  <c r="AF152" i="30"/>
  <c r="AC327" i="23"/>
  <c r="AB315" i="23"/>
  <c r="AN24" i="30"/>
  <c r="AN162" i="30" s="1"/>
  <c r="H128" i="23" s="1"/>
  <c r="M128" i="23" s="1"/>
  <c r="AE47" i="30"/>
  <c r="AH155" i="25"/>
  <c r="AF89" i="25"/>
  <c r="AO234" i="22"/>
  <c r="AQ234" i="22"/>
  <c r="AN204" i="24"/>
  <c r="AN195" i="24"/>
  <c r="AE85" i="24"/>
  <c r="AE74" i="24"/>
  <c r="AQ231" i="24"/>
  <c r="AN229" i="24"/>
  <c r="AQ226" i="24"/>
  <c r="AN224" i="24"/>
  <c r="AQ222" i="24"/>
  <c r="AQ220" i="24"/>
  <c r="AQ207" i="24"/>
  <c r="AQ201" i="24"/>
  <c r="AN199" i="24"/>
  <c r="AQ195" i="24"/>
  <c r="AE195" i="24"/>
  <c r="AH194" i="24"/>
  <c r="AK193" i="24"/>
  <c r="AN188" i="24"/>
  <c r="AQ186" i="24"/>
  <c r="AH171" i="24"/>
  <c r="AS170" i="24"/>
  <c r="AK170" i="24"/>
  <c r="AE170" i="24"/>
  <c r="AN169" i="24"/>
  <c r="AQ167" i="24"/>
  <c r="AN74" i="24"/>
  <c r="AQ23" i="24"/>
  <c r="AS18" i="24"/>
  <c r="AS17" i="24"/>
  <c r="AQ16" i="24"/>
  <c r="AE16" i="24"/>
  <c r="AQ14" i="24"/>
  <c r="AK14" i="24"/>
  <c r="AN55" i="30"/>
  <c r="AQ56" i="30"/>
  <c r="AE62" i="43"/>
  <c r="AK69" i="43"/>
  <c r="AK81" i="43"/>
  <c r="T77" i="43"/>
  <c r="AI77" i="43" s="1"/>
  <c r="AH77" i="43" s="1"/>
  <c r="T73" i="43"/>
  <c r="T71" i="43"/>
  <c r="AI71" i="43" s="1"/>
  <c r="AH71" i="43" s="1"/>
  <c r="T65" i="43"/>
  <c r="AI65" i="43" s="1"/>
  <c r="AH65" i="43" s="1"/>
  <c r="AK61" i="43"/>
  <c r="AK51" i="43"/>
  <c r="AK43" i="43"/>
  <c r="AK27" i="43"/>
  <c r="AK23" i="43"/>
  <c r="AK10" i="43"/>
  <c r="AE58" i="43"/>
  <c r="AE25" i="43"/>
  <c r="AH130" i="43"/>
  <c r="AQ131" i="43"/>
  <c r="T54" i="43"/>
  <c r="T38" i="43"/>
  <c r="AN66" i="43"/>
  <c r="AN62" i="43"/>
  <c r="Q213" i="14"/>
  <c r="CY9" i="14"/>
  <c r="CY213" i="14" s="1"/>
  <c r="Q301" i="14"/>
  <c r="F166" i="18"/>
  <c r="AK68" i="24"/>
  <c r="AE54" i="22"/>
  <c r="AF153" i="22"/>
  <c r="AF257" i="22"/>
  <c r="AF256" i="22"/>
  <c r="AC301" i="14"/>
  <c r="BU9" i="14"/>
  <c r="BU213" i="14" s="1"/>
  <c r="AD117" i="26"/>
  <c r="AQ117" i="26"/>
  <c r="AJ195" i="22"/>
  <c r="AO195" i="22"/>
  <c r="AO199" i="22"/>
  <c r="AR199" i="22"/>
  <c r="AS220" i="22"/>
  <c r="AE220" i="22"/>
  <c r="AE240" i="22"/>
  <c r="AS240" i="22"/>
  <c r="AD244" i="22"/>
  <c r="AG244" i="22"/>
  <c r="AF244" i="22"/>
  <c r="AP248" i="22"/>
  <c r="AO248" i="22"/>
  <c r="AN248" i="22"/>
  <c r="AH252" i="22"/>
  <c r="AK252" i="22"/>
  <c r="AJ252" i="22"/>
  <c r="AN166" i="29"/>
  <c r="AE166" i="29"/>
  <c r="AM166" i="29"/>
  <c r="AJ166" i="29"/>
  <c r="AG170" i="29"/>
  <c r="AH170" i="29"/>
  <c r="AN170" i="29"/>
  <c r="AR170" i="29"/>
  <c r="AE170" i="29"/>
  <c r="AH196" i="29"/>
  <c r="AO196" i="29"/>
  <c r="AG209" i="29"/>
  <c r="AI209" i="29"/>
  <c r="AR217" i="29"/>
  <c r="AF217" i="29"/>
  <c r="AJ223" i="29"/>
  <c r="AM223" i="29"/>
  <c r="V60" i="24"/>
  <c r="AL60" i="24" s="1"/>
  <c r="AK60" i="24" s="1"/>
  <c r="AF60" i="24"/>
  <c r="AE60" i="24" s="1"/>
  <c r="E26" i="18"/>
  <c r="D150" i="18"/>
  <c r="AE112" i="22"/>
  <c r="AQ130" i="22"/>
  <c r="AQ54" i="25"/>
  <c r="AN57" i="25"/>
  <c r="AQ69" i="26"/>
  <c r="AQ73" i="26"/>
  <c r="AE75" i="26"/>
  <c r="AQ27" i="27"/>
  <c r="AQ96" i="27" s="1"/>
  <c r="AN42" i="27"/>
  <c r="AK43" i="27"/>
  <c r="AS78" i="29"/>
  <c r="AN82" i="29"/>
  <c r="AN85" i="29"/>
  <c r="AQ130" i="29"/>
  <c r="AQ131" i="29"/>
  <c r="AD76" i="30"/>
  <c r="AS171" i="30"/>
  <c r="AN112" i="26"/>
  <c r="AS112" i="26"/>
  <c r="AJ112" i="26"/>
  <c r="AO112" i="26"/>
  <c r="AG112" i="26"/>
  <c r="AH112" i="26"/>
  <c r="AP112" i="26"/>
  <c r="AR112" i="26"/>
  <c r="AD164" i="22"/>
  <c r="AQ164" i="22"/>
  <c r="AF164" i="22"/>
  <c r="AS169" i="22"/>
  <c r="AP169" i="22"/>
  <c r="AE169" i="22"/>
  <c r="AN169" i="22"/>
  <c r="AG169" i="22"/>
  <c r="AF174" i="22"/>
  <c r="AR174" i="22"/>
  <c r="AE182" i="22"/>
  <c r="AP182" i="22"/>
  <c r="AG190" i="22"/>
  <c r="AS190" i="22"/>
  <c r="AF190" i="22"/>
  <c r="AJ195" i="29"/>
  <c r="AP195" i="29"/>
  <c r="AE59" i="30"/>
  <c r="AM299" i="24"/>
  <c r="AC266" i="23"/>
  <c r="AC259" i="23"/>
  <c r="AQ274" i="24"/>
  <c r="D175" i="7"/>
  <c r="S175" i="7" s="1"/>
  <c r="J156" i="7"/>
  <c r="J163" i="7" s="1"/>
  <c r="J177" i="7" s="1"/>
  <c r="J186" i="7" s="1"/>
  <c r="J194" i="7" s="1"/>
  <c r="J199" i="7" s="1"/>
  <c r="CV129" i="14"/>
  <c r="CV142" i="14" s="1"/>
  <c r="CV155" i="14" s="1"/>
  <c r="CV156" i="14" s="1"/>
  <c r="CV163" i="14" s="1"/>
  <c r="E47" i="18"/>
  <c r="D140" i="18"/>
  <c r="AN29" i="22"/>
  <c r="AN50" i="22"/>
  <c r="AN58" i="22"/>
  <c r="AE152" i="22"/>
  <c r="AF157" i="24"/>
  <c r="AE157" i="24" s="1"/>
  <c r="AF218" i="24"/>
  <c r="AE218" i="24" s="1"/>
  <c r="AF228" i="24"/>
  <c r="AE228" i="24" s="1"/>
  <c r="AL348" i="24"/>
  <c r="AF13" i="25"/>
  <c r="AE13" i="25" s="1"/>
  <c r="AN13" i="25"/>
  <c r="AQ14" i="25"/>
  <c r="AQ16" i="25"/>
  <c r="AN40" i="25"/>
  <c r="AQ42" i="25"/>
  <c r="AF59" i="25"/>
  <c r="AE59" i="25" s="1"/>
  <c r="AQ62" i="25"/>
  <c r="AQ64" i="25"/>
  <c r="AQ15" i="26"/>
  <c r="AQ33" i="26"/>
  <c r="AN36" i="26"/>
  <c r="AD104" i="27"/>
  <c r="AO104" i="27"/>
  <c r="AQ33" i="27"/>
  <c r="AN36" i="27"/>
  <c r="AK18" i="29"/>
  <c r="AS20" i="29"/>
  <c r="AF45" i="29"/>
  <c r="AE45" i="29" s="1"/>
  <c r="AF95" i="29"/>
  <c r="AE95" i="29" s="1"/>
  <c r="AF118" i="29"/>
  <c r="AE118" i="29" s="1"/>
  <c r="AQ132" i="29"/>
  <c r="AF145" i="29"/>
  <c r="AE145" i="29" s="1"/>
  <c r="AH146" i="29"/>
  <c r="AK149" i="29"/>
  <c r="AQ149" i="29"/>
  <c r="T222" i="24"/>
  <c r="AI222" i="24" s="1"/>
  <c r="AH222" i="24" s="1"/>
  <c r="AQ23" i="30"/>
  <c r="AQ162" i="30" s="1"/>
  <c r="K322" i="23" s="1"/>
  <c r="AH213" i="29"/>
  <c r="AG166" i="29"/>
  <c r="AR166" i="29"/>
  <c r="AK170" i="29"/>
  <c r="AQ166" i="29"/>
  <c r="AH117" i="26"/>
  <c r="AN196" i="29"/>
  <c r="AP156" i="25"/>
  <c r="AD156" i="25"/>
  <c r="AN156" i="25"/>
  <c r="AO178" i="26"/>
  <c r="AD178" i="26"/>
  <c r="AP172" i="29"/>
  <c r="AN172" i="29"/>
  <c r="AO172" i="29"/>
  <c r="AH172" i="29"/>
  <c r="AK172" i="29"/>
  <c r="AE172" i="29"/>
  <c r="AJ172" i="29"/>
  <c r="AC262" i="23"/>
  <c r="AC349" i="23"/>
  <c r="AN221" i="24"/>
  <c r="D117" i="18"/>
  <c r="AN20" i="22"/>
  <c r="AQ21" i="22"/>
  <c r="AN28" i="22"/>
  <c r="AN36" i="22"/>
  <c r="AQ37" i="22"/>
  <c r="AQ50" i="22"/>
  <c r="AF161" i="24"/>
  <c r="AE161" i="24" s="1"/>
  <c r="AF187" i="24"/>
  <c r="AE187" i="24" s="1"/>
  <c r="AL339" i="24"/>
  <c r="AI352" i="24"/>
  <c r="AF29" i="25"/>
  <c r="AF31" i="25"/>
  <c r="AE31" i="25" s="1"/>
  <c r="AQ52" i="25"/>
  <c r="AN69" i="25"/>
  <c r="AQ70" i="25"/>
  <c r="AE72" i="25"/>
  <c r="AK74" i="25"/>
  <c r="AQ74" i="25"/>
  <c r="AN75" i="25"/>
  <c r="AH77" i="25"/>
  <c r="AQ78" i="25"/>
  <c r="AQ61" i="26"/>
  <c r="AQ13" i="27"/>
  <c r="AQ87" i="27" s="1"/>
  <c r="AH43" i="27"/>
  <c r="AS43" i="29"/>
  <c r="AS44" i="29"/>
  <c r="AF48" i="29"/>
  <c r="AE48" i="29" s="1"/>
  <c r="AS67" i="29"/>
  <c r="AF75" i="29"/>
  <c r="AE75" i="29" s="1"/>
  <c r="AF103" i="29"/>
  <c r="AE103" i="29" s="1"/>
  <c r="AF121" i="29"/>
  <c r="AE121" i="29" s="1"/>
  <c r="AK148" i="29"/>
  <c r="AS170" i="29"/>
  <c r="AK213" i="29"/>
  <c r="AS166" i="29"/>
  <c r="AM117" i="26"/>
  <c r="AD196" i="29"/>
  <c r="AQ228" i="29"/>
  <c r="AG228" i="29"/>
  <c r="AN232" i="29"/>
  <c r="AG232" i="29"/>
  <c r="AE232" i="29"/>
  <c r="AD232" i="29"/>
  <c r="AJ232" i="29"/>
  <c r="AO251" i="29"/>
  <c r="AR251" i="29"/>
  <c r="V22" i="10"/>
  <c r="S22" i="10"/>
  <c r="P22" i="10"/>
  <c r="D22" i="10"/>
  <c r="M22" i="10"/>
  <c r="J22" i="10"/>
  <c r="G22" i="10"/>
  <c r="AP145" i="43"/>
  <c r="AE63" i="43"/>
  <c r="V65" i="43"/>
  <c r="AN82" i="43"/>
  <c r="AN74" i="43"/>
  <c r="AQ230" i="24"/>
  <c r="AK195" i="24"/>
  <c r="AN172" i="24"/>
  <c r="AS19" i="24"/>
  <c r="AS16" i="24"/>
  <c r="AQ57" i="30"/>
  <c r="AQ60" i="30"/>
  <c r="AN61" i="30"/>
  <c r="D197" i="7"/>
  <c r="S197" i="7" s="1"/>
  <c r="AR158" i="43"/>
  <c r="AS194" i="29"/>
  <c r="AH226" i="29"/>
  <c r="AP226" i="29"/>
  <c r="AI226" i="29"/>
  <c r="AI222" i="29"/>
  <c r="AN226" i="29"/>
  <c r="AR212" i="29"/>
  <c r="AS208" i="29"/>
  <c r="AS251" i="22"/>
  <c r="AO212" i="29"/>
  <c r="AO208" i="29"/>
  <c r="AH234" i="22"/>
  <c r="AL212" i="29"/>
  <c r="AF208" i="29"/>
  <c r="AH240" i="29"/>
  <c r="AK243" i="22"/>
  <c r="AD247" i="22"/>
  <c r="AP210" i="22"/>
  <c r="AP163" i="22"/>
  <c r="AD202" i="22"/>
  <c r="AG121" i="26"/>
  <c r="AO180" i="25"/>
  <c r="AS123" i="25"/>
  <c r="AJ141" i="27"/>
  <c r="AH114" i="25"/>
  <c r="AP114" i="25"/>
  <c r="AS234" i="22"/>
  <c r="AD159" i="22"/>
  <c r="AJ234" i="22"/>
  <c r="AH243" i="22"/>
  <c r="AG212" i="29"/>
  <c r="AJ110" i="25"/>
  <c r="AR200" i="29"/>
  <c r="AQ221" i="24"/>
  <c r="AQ193" i="24"/>
  <c r="AN171" i="24"/>
  <c r="AN165" i="24"/>
  <c r="AN157" i="24"/>
  <c r="AQ151" i="24"/>
  <c r="AN149" i="24"/>
  <c r="AQ147" i="24"/>
  <c r="AN145" i="24"/>
  <c r="AQ143" i="24"/>
  <c r="AE142" i="24"/>
  <c r="AN141" i="24"/>
  <c r="AH141" i="24"/>
  <c r="AN121" i="24"/>
  <c r="AQ95" i="24"/>
  <c r="AQ89" i="24"/>
  <c r="AN90" i="24"/>
  <c r="AQ84" i="24"/>
  <c r="AN85" i="24"/>
  <c r="AQ78" i="24"/>
  <c r="AQ75" i="24"/>
  <c r="AN69" i="24"/>
  <c r="AN37" i="24"/>
  <c r="AQ35" i="24"/>
  <c r="AN31" i="24"/>
  <c r="AQ29" i="24"/>
  <c r="AN25" i="24"/>
  <c r="AN19" i="24"/>
  <c r="AN59" i="30"/>
  <c r="AE60" i="30"/>
  <c r="E187" i="7"/>
  <c r="T187" i="7" s="1"/>
  <c r="E31" i="18"/>
  <c r="E32" i="18"/>
  <c r="AE55" i="43"/>
  <c r="AE56" i="43"/>
  <c r="AE156" i="43" s="1"/>
  <c r="AE70" i="43"/>
  <c r="AH129" i="43"/>
  <c r="AE130" i="43"/>
  <c r="AQ130" i="43"/>
  <c r="AN131" i="43"/>
  <c r="AQ132" i="43"/>
  <c r="AH133" i="43"/>
  <c r="T60" i="43"/>
  <c r="T55" i="43"/>
  <c r="AI55" i="43" s="1"/>
  <c r="AH55" i="43" s="1"/>
  <c r="AE47" i="43"/>
  <c r="T39" i="43"/>
  <c r="AI39" i="43" s="1"/>
  <c r="AH39" i="43" s="1"/>
  <c r="AE31" i="43"/>
  <c r="AE19" i="43"/>
  <c r="AE15" i="43"/>
  <c r="AP138" i="43"/>
  <c r="AJ142" i="43"/>
  <c r="AG142" i="43"/>
  <c r="AG158" i="43"/>
  <c r="AO145" i="43"/>
  <c r="AE212" i="29"/>
  <c r="AM204" i="29"/>
  <c r="AH236" i="29"/>
  <c r="AO226" i="29"/>
  <c r="AG226" i="29"/>
  <c r="AM226" i="29"/>
  <c r="AF222" i="29"/>
  <c r="AN222" i="29"/>
  <c r="AE222" i="29"/>
  <c r="AQ184" i="29"/>
  <c r="AF212" i="29"/>
  <c r="AG208" i="29"/>
  <c r="AK234" i="22"/>
  <c r="AG204" i="29"/>
  <c r="AJ240" i="29"/>
  <c r="AO218" i="22"/>
  <c r="AO243" i="22"/>
  <c r="AP247" i="22"/>
  <c r="AN110" i="25"/>
  <c r="AF141" i="27"/>
  <c r="AS114" i="25"/>
  <c r="AP159" i="22"/>
  <c r="AO159" i="22"/>
  <c r="AF118" i="25"/>
  <c r="AN230" i="24"/>
  <c r="AN226" i="24"/>
  <c r="AQ224" i="24"/>
  <c r="AQ223" i="24"/>
  <c r="AQ219" i="24"/>
  <c r="AQ216" i="24"/>
  <c r="AQ214" i="24"/>
  <c r="AQ196" i="24"/>
  <c r="AE196" i="24"/>
  <c r="AK194" i="24"/>
  <c r="AH193" i="24"/>
  <c r="AQ192" i="24"/>
  <c r="AN168" i="24"/>
  <c r="AN156" i="24"/>
  <c r="AN133" i="24"/>
  <c r="AN119" i="24"/>
  <c r="AQ121" i="24"/>
  <c r="AQ85" i="24"/>
  <c r="AN81" i="24"/>
  <c r="AQ74" i="24"/>
  <c r="AN35" i="24"/>
  <c r="AK19" i="24"/>
  <c r="AN57" i="30"/>
  <c r="AN58" i="30"/>
  <c r="AN60" i="30"/>
  <c r="AE61" i="30"/>
  <c r="AQ61" i="30"/>
  <c r="D30" i="18"/>
  <c r="AE36" i="43"/>
  <c r="AE23" i="43"/>
  <c r="AE9" i="43"/>
  <c r="AE71" i="43"/>
  <c r="T87" i="43"/>
  <c r="AI87" i="43" s="1"/>
  <c r="AH87" i="43" s="1"/>
  <c r="AK143" i="43"/>
  <c r="AJ153" i="43"/>
  <c r="AJ145" i="43"/>
  <c r="AN80" i="43"/>
  <c r="T112" i="43"/>
  <c r="AI112" i="43" s="1"/>
  <c r="AH112" i="43" s="1"/>
  <c r="Z7" i="33"/>
  <c r="BJ7" i="33" s="1"/>
  <c r="BL9" i="14"/>
  <c r="BL213" i="14" s="1"/>
  <c r="AS82" i="30"/>
  <c r="AP82" i="30"/>
  <c r="AI82" i="30"/>
  <c r="AN82" i="30"/>
  <c r="AJ94" i="30"/>
  <c r="AG94" i="30"/>
  <c r="AE94" i="30"/>
  <c r="AK94" i="30"/>
  <c r="AE118" i="30"/>
  <c r="AI118" i="30"/>
  <c r="AO118" i="30"/>
  <c r="AP118" i="30"/>
  <c r="AM148" i="30"/>
  <c r="AO148" i="30"/>
  <c r="AI148" i="30"/>
  <c r="AQ148" i="30"/>
  <c r="H3" i="12"/>
  <c r="D33" i="18"/>
  <c r="AF337" i="24"/>
  <c r="AK337" i="24"/>
  <c r="AD103" i="25"/>
  <c r="V62" i="29"/>
  <c r="AF62" i="29"/>
  <c r="AE62" i="29" s="1"/>
  <c r="V127" i="29"/>
  <c r="AF127" i="29"/>
  <c r="AE127" i="29" s="1"/>
  <c r="AP75" i="30"/>
  <c r="AK75" i="30"/>
  <c r="AS75" i="30"/>
  <c r="G3" i="12"/>
  <c r="DB9" i="14"/>
  <c r="DB213" i="14" s="1"/>
  <c r="AK21" i="25"/>
  <c r="AK83" i="25" s="1"/>
  <c r="AK207" i="24"/>
  <c r="AR11" i="30"/>
  <c r="AQ11" i="30" s="1"/>
  <c r="AN213" i="24"/>
  <c r="AF105" i="27"/>
  <c r="A81" i="19"/>
  <c r="B17" i="20"/>
  <c r="A83" i="19"/>
  <c r="AF163" i="24"/>
  <c r="AE163" i="24" s="1"/>
  <c r="T163" i="24"/>
  <c r="AI163" i="24" s="1"/>
  <c r="AH163" i="24" s="1"/>
  <c r="D122" i="23"/>
  <c r="D159" i="23" s="1"/>
  <c r="D195" i="23" s="1"/>
  <c r="D56" i="23"/>
  <c r="D81" i="23" s="1"/>
  <c r="AB236" i="23"/>
  <c r="AG236" i="23"/>
  <c r="AN96" i="27"/>
  <c r="AV74" i="14"/>
  <c r="D26" i="18"/>
  <c r="A12" i="19"/>
  <c r="A8" i="19"/>
  <c r="A7" i="19"/>
  <c r="V102" i="29"/>
  <c r="AF102" i="29"/>
  <c r="AE102" i="29" s="1"/>
  <c r="E28" i="18"/>
  <c r="D119" i="23"/>
  <c r="D156" i="23" s="1"/>
  <c r="D192" i="23" s="1"/>
  <c r="D53" i="23"/>
  <c r="D78" i="23" s="1"/>
  <c r="AF7" i="33"/>
  <c r="BP7" i="33" s="1"/>
  <c r="E33" i="18"/>
  <c r="AN287" i="24"/>
  <c r="AJ287" i="24"/>
  <c r="V62" i="26"/>
  <c r="AL62" i="26" s="1"/>
  <c r="AK62" i="26" s="1"/>
  <c r="AF62" i="26"/>
  <c r="AE62" i="26" s="1"/>
  <c r="V28" i="29"/>
  <c r="AF28" i="29"/>
  <c r="AE28" i="29" s="1"/>
  <c r="AK78" i="24"/>
  <c r="AK118" i="24"/>
  <c r="T7" i="33"/>
  <c r="BD7" i="33" s="1"/>
  <c r="AE96" i="27"/>
  <c r="CJ155" i="14"/>
  <c r="I3" i="21"/>
  <c r="AD255" i="29"/>
  <c r="AO257" i="22"/>
  <c r="AH240" i="24"/>
  <c r="AS135" i="25"/>
  <c r="AK135" i="25"/>
  <c r="AD143" i="25"/>
  <c r="AF143" i="25"/>
  <c r="AS137" i="27"/>
  <c r="AJ137" i="27"/>
  <c r="AP149" i="27"/>
  <c r="AR149" i="27"/>
  <c r="AO149" i="27"/>
  <c r="AQ230" i="22"/>
  <c r="AD230" i="22"/>
  <c r="AR230" i="22"/>
  <c r="AF230" i="22"/>
  <c r="AN230" i="22"/>
  <c r="AI178" i="29"/>
  <c r="AQ178" i="29"/>
  <c r="V75" i="24"/>
  <c r="AL75" i="24" s="1"/>
  <c r="AK75" i="24" s="1"/>
  <c r="AF75" i="24"/>
  <c r="AE75" i="24" s="1"/>
  <c r="CW28" i="14"/>
  <c r="O28" i="14" s="1"/>
  <c r="D167" i="7"/>
  <c r="S167" i="7" s="1"/>
  <c r="D174" i="7"/>
  <c r="S174" i="7" s="1"/>
  <c r="D106" i="18"/>
  <c r="D166" i="18" s="1"/>
  <c r="AN38" i="22"/>
  <c r="AQ68" i="22"/>
  <c r="AE104" i="22"/>
  <c r="AF135" i="24"/>
  <c r="AE135" i="24" s="1"/>
  <c r="AF173" i="24"/>
  <c r="AE173" i="24" s="1"/>
  <c r="T204" i="24"/>
  <c r="AI204" i="24" s="1"/>
  <c r="AH204" i="24" s="1"/>
  <c r="AF227" i="24"/>
  <c r="AE227" i="24" s="1"/>
  <c r="AF233" i="24"/>
  <c r="AE233" i="24" s="1"/>
  <c r="AL322" i="24"/>
  <c r="AL331" i="24"/>
  <c r="AL335" i="24"/>
  <c r="AN25" i="25"/>
  <c r="AQ58" i="25"/>
  <c r="AE70" i="25"/>
  <c r="AN12" i="27"/>
  <c r="AN16" i="27"/>
  <c r="AQ69" i="27"/>
  <c r="AQ73" i="27"/>
  <c r="AQ9" i="29"/>
  <c r="AF17" i="29"/>
  <c r="AE17" i="29" s="1"/>
  <c r="AS136" i="29"/>
  <c r="AI163" i="30"/>
  <c r="AP158" i="30"/>
  <c r="AE145" i="30"/>
  <c r="AP120" i="30"/>
  <c r="AD171" i="30"/>
  <c r="AP163" i="30"/>
  <c r="AS170" i="25"/>
  <c r="AH163" i="25"/>
  <c r="AJ143" i="25"/>
  <c r="AJ135" i="25"/>
  <c r="AH158" i="25"/>
  <c r="AS158" i="25"/>
  <c r="AF164" i="27"/>
  <c r="AE121" i="27"/>
  <c r="AS177" i="27"/>
  <c r="AP215" i="22"/>
  <c r="AQ194" i="22"/>
  <c r="AQ186" i="22"/>
  <c r="AQ178" i="22"/>
  <c r="AI246" i="29"/>
  <c r="AL251" i="29"/>
  <c r="AR194" i="29"/>
  <c r="AE178" i="29"/>
  <c r="AJ229" i="29"/>
  <c r="AG194" i="29"/>
  <c r="AS164" i="29"/>
  <c r="AG230" i="22"/>
  <c r="AP179" i="22"/>
  <c r="AF149" i="27"/>
  <c r="AO123" i="25"/>
  <c r="AD135" i="25"/>
  <c r="AD149" i="27"/>
  <c r="AJ118" i="25"/>
  <c r="AQ108" i="26"/>
  <c r="AF108" i="26"/>
  <c r="AO108" i="26"/>
  <c r="AK108" i="26"/>
  <c r="AG108" i="26"/>
  <c r="AN108" i="26"/>
  <c r="AJ163" i="22"/>
  <c r="AK163" i="22"/>
  <c r="AG163" i="22"/>
  <c r="AD163" i="22"/>
  <c r="AP243" i="22"/>
  <c r="AR243" i="22"/>
  <c r="AE221" i="29"/>
  <c r="AO221" i="29"/>
  <c r="AH19" i="24"/>
  <c r="CW116" i="14"/>
  <c r="O116" i="14" s="1"/>
  <c r="E54" i="18"/>
  <c r="AN46" i="22"/>
  <c r="AS244" i="24"/>
  <c r="AH327" i="24"/>
  <c r="AH351" i="24"/>
  <c r="AN29" i="25"/>
  <c r="AN102" i="25" s="1"/>
  <c r="AQ32" i="25"/>
  <c r="AQ67" i="25"/>
  <c r="AN14" i="26"/>
  <c r="AF21" i="26"/>
  <c r="AF86" i="26" s="1"/>
  <c r="AD116" i="26"/>
  <c r="AN62" i="26"/>
  <c r="AF71" i="29"/>
  <c r="AE71" i="29" s="1"/>
  <c r="AF82" i="29"/>
  <c r="AE82" i="29" s="1"/>
  <c r="AN121" i="29"/>
  <c r="AO167" i="30"/>
  <c r="AQ171" i="30"/>
  <c r="AE163" i="30"/>
  <c r="AR168" i="30"/>
  <c r="AN145" i="30"/>
  <c r="AF120" i="30"/>
  <c r="AJ14" i="30"/>
  <c r="AJ73" i="30" s="1"/>
  <c r="I313" i="23" s="1"/>
  <c r="AS163" i="30"/>
  <c r="AE235" i="23"/>
  <c r="AM235" i="23" s="1"/>
  <c r="AL78" i="30"/>
  <c r="AO170" i="25"/>
  <c r="AP163" i="25"/>
  <c r="AE143" i="25"/>
  <c r="AF135" i="25"/>
  <c r="AM158" i="25"/>
  <c r="AK90" i="25"/>
  <c r="AP113" i="26"/>
  <c r="AF177" i="27"/>
  <c r="AE199" i="22"/>
  <c r="AN231" i="22"/>
  <c r="AH194" i="22"/>
  <c r="AK161" i="22"/>
  <c r="AE246" i="29"/>
  <c r="AS251" i="29"/>
  <c r="AM194" i="29"/>
  <c r="AM174" i="29"/>
  <c r="AQ222" i="29"/>
  <c r="AK182" i="29"/>
  <c r="AG229" i="29"/>
  <c r="AQ164" i="29"/>
  <c r="AJ230" i="22"/>
  <c r="AK178" i="22"/>
  <c r="AH149" i="27"/>
  <c r="AG129" i="27"/>
  <c r="AG135" i="25"/>
  <c r="AH199" i="22"/>
  <c r="AF182" i="29"/>
  <c r="AM190" i="22"/>
  <c r="AR137" i="27"/>
  <c r="AP118" i="25"/>
  <c r="AE237" i="29"/>
  <c r="AS118" i="25"/>
  <c r="AE167" i="26"/>
  <c r="AR167" i="26"/>
  <c r="AQ238" i="22"/>
  <c r="AO238" i="22"/>
  <c r="AH238" i="22"/>
  <c r="AK238" i="22"/>
  <c r="AR176" i="29"/>
  <c r="AG176" i="29"/>
  <c r="AL184" i="29"/>
  <c r="AN229" i="29"/>
  <c r="AK16" i="24"/>
  <c r="V92" i="24"/>
  <c r="AL92" i="24" s="1"/>
  <c r="AF92" i="24"/>
  <c r="AE92" i="24" s="1"/>
  <c r="AN233" i="24"/>
  <c r="AN182" i="24"/>
  <c r="AN271" i="24" s="1"/>
  <c r="AN170" i="24"/>
  <c r="AQ141" i="24"/>
  <c r="AE141" i="24"/>
  <c r="AE56" i="30"/>
  <c r="D180" i="7"/>
  <c r="S180" i="7" s="1"/>
  <c r="AF109" i="43"/>
  <c r="AE109" i="43" s="1"/>
  <c r="T109" i="43"/>
  <c r="AI109" i="43" s="1"/>
  <c r="AH109" i="43" s="1"/>
  <c r="V109" i="43"/>
  <c r="AR142" i="43"/>
  <c r="AM171" i="30"/>
  <c r="AE194" i="22"/>
  <c r="AK230" i="22"/>
  <c r="AG149" i="27"/>
  <c r="AH135" i="25"/>
  <c r="AS113" i="26"/>
  <c r="AK159" i="29"/>
  <c r="AF159" i="29"/>
  <c r="AF164" i="29"/>
  <c r="AR164" i="29"/>
  <c r="AG164" i="29"/>
  <c r="AJ164" i="29"/>
  <c r="AM164" i="29"/>
  <c r="AN164" i="29"/>
  <c r="AE209" i="29"/>
  <c r="AN209" i="29"/>
  <c r="E25" i="18"/>
  <c r="D28" i="18"/>
  <c r="AQ29" i="22"/>
  <c r="AQ109" i="22"/>
  <c r="AN27" i="25"/>
  <c r="AN93" i="25" s="1"/>
  <c r="AN43" i="25"/>
  <c r="AQ44" i="25"/>
  <c r="AQ57" i="25"/>
  <c r="AN34" i="26"/>
  <c r="AQ35" i="26"/>
  <c r="AQ106" i="26" s="1"/>
  <c r="AN38" i="26"/>
  <c r="AQ71" i="26"/>
  <c r="AN74" i="26"/>
  <c r="AQ80" i="27"/>
  <c r="AK110" i="29"/>
  <c r="AE171" i="30"/>
  <c r="AK132" i="30"/>
  <c r="AH124" i="30"/>
  <c r="AM199" i="22"/>
  <c r="AJ194" i="22"/>
  <c r="AP230" i="22"/>
  <c r="AJ149" i="27"/>
  <c r="AS149" i="27"/>
  <c r="AN170" i="25"/>
  <c r="AQ143" i="25"/>
  <c r="AF97" i="25"/>
  <c r="AR135" i="25"/>
  <c r="AG118" i="25"/>
  <c r="AO131" i="25"/>
  <c r="AH131" i="25"/>
  <c r="AF147" i="25"/>
  <c r="AH147" i="25"/>
  <c r="AO109" i="26"/>
  <c r="AG109" i="26"/>
  <c r="AO222" i="29"/>
  <c r="AH222" i="29"/>
  <c r="AP232" i="29"/>
  <c r="AI232" i="29"/>
  <c r="AM232" i="29"/>
  <c r="AQ234" i="24"/>
  <c r="AN200" i="24"/>
  <c r="AQ198" i="24"/>
  <c r="AN197" i="24"/>
  <c r="L194" i="14"/>
  <c r="E195" i="7"/>
  <c r="T195" i="7" s="1"/>
  <c r="D195" i="7"/>
  <c r="S195" i="7" s="1"/>
  <c r="D196" i="7"/>
  <c r="S196" i="7" s="1"/>
  <c r="AL148" i="43"/>
  <c r="AJ148" i="43"/>
  <c r="AF148" i="43"/>
  <c r="AG148" i="43"/>
  <c r="AP148" i="43"/>
  <c r="AO148" i="43"/>
  <c r="AD148" i="43"/>
  <c r="AM148" i="43"/>
  <c r="AG152" i="43"/>
  <c r="AD152" i="43"/>
  <c r="AM152" i="43"/>
  <c r="AR152" i="43"/>
  <c r="AP152" i="43"/>
  <c r="AJ152" i="43"/>
  <c r="AL152" i="43"/>
  <c r="AO152" i="43"/>
  <c r="AR160" i="43"/>
  <c r="AP160" i="43"/>
  <c r="AG160" i="43"/>
  <c r="AO160" i="43"/>
  <c r="AD160" i="43"/>
  <c r="AJ160" i="43"/>
  <c r="AM160" i="43"/>
  <c r="AF160" i="43"/>
  <c r="AO165" i="43"/>
  <c r="AJ165" i="43"/>
  <c r="AN165" i="43"/>
  <c r="AG165" i="43"/>
  <c r="AQ165" i="43"/>
  <c r="AH165" i="43"/>
  <c r="AK165" i="43"/>
  <c r="AF165" i="43"/>
  <c r="AL165" i="43"/>
  <c r="AR165" i="43"/>
  <c r="AS165" i="43"/>
  <c r="AE165" i="43"/>
  <c r="AI165" i="43"/>
  <c r="AD165" i="43"/>
  <c r="AM165" i="43"/>
  <c r="AP165" i="43"/>
  <c r="AM173" i="43"/>
  <c r="AQ173" i="43"/>
  <c r="AR173" i="43"/>
  <c r="AJ173" i="43"/>
  <c r="AO173" i="43"/>
  <c r="AP173" i="43"/>
  <c r="AG173" i="43"/>
  <c r="AN173" i="43"/>
  <c r="AD173" i="43"/>
  <c r="V84" i="43"/>
  <c r="AL84" i="43" s="1"/>
  <c r="AK84" i="43" s="1"/>
  <c r="AF84" i="43"/>
  <c r="AE84" i="43" s="1"/>
  <c r="V88" i="43"/>
  <c r="AL88" i="43" s="1"/>
  <c r="AK88" i="43" s="1"/>
  <c r="AF88" i="43"/>
  <c r="AE88" i="43" s="1"/>
  <c r="AN32" i="27"/>
  <c r="AN104" i="27" s="1"/>
  <c r="AE140" i="22"/>
  <c r="D81" i="7"/>
  <c r="S81" i="7" s="1"/>
  <c r="CT220" i="14"/>
  <c r="AE22" i="22"/>
  <c r="AE85" i="22"/>
  <c r="AN136" i="22"/>
  <c r="T9" i="24"/>
  <c r="AF149" i="24"/>
  <c r="AE149" i="24" s="1"/>
  <c r="AF162" i="24"/>
  <c r="AE162" i="24" s="1"/>
  <c r="AK242" i="24"/>
  <c r="AH243" i="24"/>
  <c r="AP330" i="24"/>
  <c r="AE14" i="25"/>
  <c r="AQ23" i="25"/>
  <c r="AN47" i="25"/>
  <c r="AQ48" i="25"/>
  <c r="AN51" i="25"/>
  <c r="AN65" i="25"/>
  <c r="AQ72" i="25"/>
  <c r="AQ81" i="26"/>
  <c r="AF12" i="27"/>
  <c r="AE12" i="27" s="1"/>
  <c r="AN18" i="27"/>
  <c r="AO106" i="27"/>
  <c r="AF60" i="27"/>
  <c r="AE60" i="27" s="1"/>
  <c r="AQ71" i="27"/>
  <c r="AF14" i="29"/>
  <c r="AE14" i="29" s="1"/>
  <c r="AF42" i="29"/>
  <c r="AE42" i="29" s="1"/>
  <c r="AF52" i="29"/>
  <c r="AE52" i="29" s="1"/>
  <c r="AF93" i="29"/>
  <c r="AE93" i="29" s="1"/>
  <c r="AF124" i="29"/>
  <c r="AK135" i="29"/>
  <c r="AF141" i="29"/>
  <c r="AE141" i="29" s="1"/>
  <c r="AG163" i="30"/>
  <c r="AQ144" i="30"/>
  <c r="AQ132" i="30"/>
  <c r="AD128" i="30"/>
  <c r="AI120" i="30"/>
  <c r="AI124" i="30"/>
  <c r="AO89" i="30"/>
  <c r="AS167" i="30"/>
  <c r="AL163" i="30"/>
  <c r="AS120" i="30"/>
  <c r="AD316" i="23"/>
  <c r="AM316" i="23" s="1"/>
  <c r="L228" i="14"/>
  <c r="AE170" i="25"/>
  <c r="AN163" i="25"/>
  <c r="AM151" i="25"/>
  <c r="AO143" i="25"/>
  <c r="AN158" i="25"/>
  <c r="AE135" i="25"/>
  <c r="AN113" i="26"/>
  <c r="AM164" i="27"/>
  <c r="AM137" i="27"/>
  <c r="AH177" i="27"/>
  <c r="AM230" i="22"/>
  <c r="AH231" i="22"/>
  <c r="AM187" i="22"/>
  <c r="AP241" i="29"/>
  <c r="AO194" i="29"/>
  <c r="AR222" i="29"/>
  <c r="AQ232" i="29"/>
  <c r="AO232" i="29"/>
  <c r="AM209" i="29"/>
  <c r="AE164" i="29"/>
  <c r="AL194" i="29"/>
  <c r="AF232" i="29"/>
  <c r="AG178" i="29"/>
  <c r="AH230" i="22"/>
  <c r="AQ149" i="27"/>
  <c r="AM143" i="25"/>
  <c r="AO139" i="25"/>
  <c r="AR182" i="22"/>
  <c r="AP160" i="22"/>
  <c r="AQ163" i="25"/>
  <c r="AQ118" i="25"/>
  <c r="AP126" i="25"/>
  <c r="AN126" i="25"/>
  <c r="AD150" i="25"/>
  <c r="AO150" i="25"/>
  <c r="AF112" i="26"/>
  <c r="AD112" i="26"/>
  <c r="AM170" i="29"/>
  <c r="AF170" i="29"/>
  <c r="AR172" i="29"/>
  <c r="AD172" i="29"/>
  <c r="AR192" i="29"/>
  <c r="AD192" i="29"/>
  <c r="AN194" i="24"/>
  <c r="AS132" i="24"/>
  <c r="AN122" i="24"/>
  <c r="AQ124" i="24"/>
  <c r="AN92" i="24"/>
  <c r="AN67" i="24"/>
  <c r="AQ68" i="24"/>
  <c r="AQ59" i="24"/>
  <c r="D187" i="7"/>
  <c r="S187" i="7" s="1"/>
  <c r="CT222" i="14"/>
  <c r="AM87" i="26"/>
  <c r="AO116" i="26"/>
  <c r="AR116" i="26"/>
  <c r="AM116" i="26"/>
  <c r="AO171" i="30"/>
  <c r="AR171" i="30"/>
  <c r="AI167" i="30"/>
  <c r="AO144" i="30"/>
  <c r="AM144" i="30"/>
  <c r="AI132" i="30"/>
  <c r="AF167" i="30"/>
  <c r="AM160" i="22"/>
  <c r="AO164" i="29"/>
  <c r="AG179" i="22"/>
  <c r="AS230" i="22"/>
  <c r="AK118" i="25"/>
  <c r="AN118" i="25"/>
  <c r="AJ179" i="22"/>
  <c r="AM131" i="25"/>
  <c r="AR139" i="25"/>
  <c r="AH118" i="25"/>
  <c r="AO106" i="25"/>
  <c r="AK106" i="25"/>
  <c r="AN114" i="25"/>
  <c r="AO114" i="25"/>
  <c r="AR114" i="25"/>
  <c r="AG160" i="29"/>
  <c r="AP160" i="29"/>
  <c r="AK160" i="29"/>
  <c r="AK202" i="29"/>
  <c r="AF202" i="29"/>
  <c r="AN230" i="29"/>
  <c r="AS230" i="29"/>
  <c r="V90" i="24"/>
  <c r="AF90" i="24"/>
  <c r="AE90" i="24" s="1"/>
  <c r="V31" i="24"/>
  <c r="AL31" i="24" s="1"/>
  <c r="AK31" i="24" s="1"/>
  <c r="T31" i="24"/>
  <c r="AQ235" i="24"/>
  <c r="AN207" i="24"/>
  <c r="AN201" i="24"/>
  <c r="AQ199" i="24"/>
  <c r="AN189" i="24"/>
  <c r="AN167" i="24"/>
  <c r="AN140" i="24"/>
  <c r="L185" i="14"/>
  <c r="CT180" i="14"/>
  <c r="D188" i="7"/>
  <c r="S188" i="7" s="1"/>
  <c r="D171" i="7"/>
  <c r="S171" i="7" s="1"/>
  <c r="L35" i="18"/>
  <c r="AQ53" i="22"/>
  <c r="AQ65" i="22"/>
  <c r="AE80" i="22"/>
  <c r="AE84" i="22"/>
  <c r="AQ91" i="22"/>
  <c r="AH244" i="24"/>
  <c r="AQ22" i="25"/>
  <c r="AQ40" i="25"/>
  <c r="AN45" i="25"/>
  <c r="AH42" i="27"/>
  <c r="AK171" i="30"/>
  <c r="AN171" i="30"/>
  <c r="AQ163" i="30"/>
  <c r="AK144" i="30"/>
  <c r="AE144" i="30"/>
  <c r="AD120" i="30"/>
  <c r="AJ163" i="30"/>
  <c r="AG163" i="25"/>
  <c r="AS163" i="25"/>
  <c r="AO151" i="25"/>
  <c r="AF158" i="25"/>
  <c r="AK158" i="25"/>
  <c r="AE97" i="25"/>
  <c r="AM149" i="27"/>
  <c r="AM129" i="27"/>
  <c r="AJ207" i="22"/>
  <c r="AI251" i="29"/>
  <c r="AQ217" i="29"/>
  <c r="AE241" i="29"/>
  <c r="AK194" i="29"/>
  <c r="AK164" i="29"/>
  <c r="AK178" i="29"/>
  <c r="AK91" i="26"/>
  <c r="AO137" i="27"/>
  <c r="AH123" i="25"/>
  <c r="AO135" i="25"/>
  <c r="AS131" i="25"/>
  <c r="AM119" i="25"/>
  <c r="AH119" i="25"/>
  <c r="AG170" i="22"/>
  <c r="AJ170" i="22"/>
  <c r="AP183" i="22"/>
  <c r="AF183" i="22"/>
  <c r="AP222" i="22"/>
  <c r="AO222" i="22"/>
  <c r="AJ222" i="22"/>
  <c r="AR222" i="22"/>
  <c r="AN163" i="29"/>
  <c r="AE163" i="29"/>
  <c r="AP168" i="29"/>
  <c r="AS168" i="29"/>
  <c r="AJ168" i="29"/>
  <c r="AD190" i="29"/>
  <c r="AR190" i="29"/>
  <c r="AQ190" i="29"/>
  <c r="AO213" i="29"/>
  <c r="AI213" i="29"/>
  <c r="AN232" i="24"/>
  <c r="AQ208" i="24"/>
  <c r="L158" i="15" a="1"/>
  <c r="L158" i="15" s="1"/>
  <c r="AG83" i="25"/>
  <c r="AE64" i="24"/>
  <c r="AN219" i="24"/>
  <c r="AQ212" i="24"/>
  <c r="AH196" i="24"/>
  <c r="AQ191" i="24"/>
  <c r="AQ188" i="24"/>
  <c r="AN187" i="24"/>
  <c r="AQ182" i="24"/>
  <c r="AQ271" i="24" s="1"/>
  <c r="AN162" i="24"/>
  <c r="AQ126" i="24"/>
  <c r="AN124" i="24"/>
  <c r="AQ118" i="24"/>
  <c r="AN95" i="24"/>
  <c r="AQ94" i="24"/>
  <c r="AN88" i="24"/>
  <c r="AN84" i="24"/>
  <c r="AN76" i="24"/>
  <c r="AQ77" i="24"/>
  <c r="AN75" i="24"/>
  <c r="AN60" i="24"/>
  <c r="AQ61" i="24"/>
  <c r="AQ31" i="24"/>
  <c r="AQ22" i="24"/>
  <c r="AN23" i="24"/>
  <c r="AQ19" i="24"/>
  <c r="AE19" i="24"/>
  <c r="AH15" i="24"/>
  <c r="AN13" i="24"/>
  <c r="D179" i="7"/>
  <c r="S179" i="7" s="1"/>
  <c r="AF139" i="43"/>
  <c r="AJ215" i="43"/>
  <c r="AK215" i="43"/>
  <c r="AF215" i="43"/>
  <c r="AN215" i="43"/>
  <c r="AP215" i="43"/>
  <c r="AE215" i="43"/>
  <c r="AD215" i="43"/>
  <c r="AR215" i="43"/>
  <c r="AN152" i="24"/>
  <c r="AQ150" i="24"/>
  <c r="AQ139" i="24"/>
  <c r="AQ119" i="24"/>
  <c r="AQ15" i="24"/>
  <c r="AQ55" i="30"/>
  <c r="AE57" i="30"/>
  <c r="AQ58" i="30"/>
  <c r="AE55" i="30"/>
  <c r="D189" i="7"/>
  <c r="S189" i="7" s="1"/>
  <c r="D191" i="7"/>
  <c r="S191" i="7" s="1"/>
  <c r="D31" i="18"/>
  <c r="CW107" i="14"/>
  <c r="O107" i="14" s="1"/>
  <c r="CW150" i="14"/>
  <c r="O150" i="14" s="1"/>
  <c r="AG156" i="43"/>
  <c r="AQ178" i="43"/>
  <c r="AN178" i="43"/>
  <c r="AJ178" i="43"/>
  <c r="AG178" i="43"/>
  <c r="AQ186" i="43"/>
  <c r="AR186" i="43"/>
  <c r="AD194" i="43"/>
  <c r="AG194" i="43"/>
  <c r="AO194" i="43"/>
  <c r="AN194" i="43"/>
  <c r="AQ194" i="43"/>
  <c r="AJ194" i="43"/>
  <c r="AQ202" i="43"/>
  <c r="AG202" i="43"/>
  <c r="AN202" i="43"/>
  <c r="AO202" i="43"/>
  <c r="AI210" i="43"/>
  <c r="AO210" i="43"/>
  <c r="AM210" i="43"/>
  <c r="AQ210" i="43"/>
  <c r="AN210" i="43"/>
  <c r="AG210" i="43"/>
  <c r="AF100" i="43"/>
  <c r="AE100" i="43" s="1"/>
  <c r="V100" i="43"/>
  <c r="AL100" i="43" s="1"/>
  <c r="T100" i="43"/>
  <c r="AE44" i="43"/>
  <c r="AE52" i="43"/>
  <c r="AD158" i="43"/>
  <c r="AS129" i="43"/>
  <c r="AS133" i="43"/>
  <c r="AN224" i="43"/>
  <c r="AM224" i="43"/>
  <c r="AL224" i="43"/>
  <c r="AE224" i="43"/>
  <c r="AD224" i="43"/>
  <c r="AG224" i="43"/>
  <c r="AJ224" i="43"/>
  <c r="AK224" i="43"/>
  <c r="AI224" i="43"/>
  <c r="AS224" i="43"/>
  <c r="AO224" i="43"/>
  <c r="AO229" i="43"/>
  <c r="AK229" i="43"/>
  <c r="AQ229" i="43"/>
  <c r="AN229" i="43"/>
  <c r="AG229" i="43"/>
  <c r="AF229" i="43"/>
  <c r="AS229" i="43"/>
  <c r="AE69" i="24"/>
  <c r="AF34" i="24"/>
  <c r="AE34" i="24" s="1"/>
  <c r="AQ228" i="24"/>
  <c r="AQ218" i="24"/>
  <c r="AN208" i="24"/>
  <c r="AN196" i="24"/>
  <c r="AQ171" i="24"/>
  <c r="AQ130" i="24"/>
  <c r="AN89" i="24"/>
  <c r="AN78" i="24"/>
  <c r="AQ67" i="24"/>
  <c r="AN33" i="24"/>
  <c r="AQ28" i="24"/>
  <c r="AN29" i="24"/>
  <c r="AQ25" i="24"/>
  <c r="AN18" i="24"/>
  <c r="AQ17" i="24"/>
  <c r="AN15" i="24"/>
  <c r="AE14" i="24"/>
  <c r="AN12" i="24"/>
  <c r="AN265" i="24" s="1"/>
  <c r="AN11" i="24"/>
  <c r="D29" i="18"/>
  <c r="AK28" i="43"/>
  <c r="AL155" i="43"/>
  <c r="AE63" i="24"/>
  <c r="AN225" i="24"/>
  <c r="AK196" i="24"/>
  <c r="AE171" i="24"/>
  <c r="AN164" i="24"/>
  <c r="AN148" i="24"/>
  <c r="AQ146" i="24"/>
  <c r="AN137" i="24"/>
  <c r="AQ135" i="24"/>
  <c r="AN62" i="30"/>
  <c r="AG174" i="43"/>
  <c r="AP174" i="43"/>
  <c r="AR174" i="43"/>
  <c r="AQ174" i="43"/>
  <c r="AN174" i="43"/>
  <c r="AD174" i="43"/>
  <c r="AR182" i="43"/>
  <c r="AM182" i="43"/>
  <c r="AP182" i="43"/>
  <c r="AG182" i="43"/>
  <c r="AQ190" i="43"/>
  <c r="AG190" i="43"/>
  <c r="AP190" i="43"/>
  <c r="AR190" i="43"/>
  <c r="AN190" i="43"/>
  <c r="AO190" i="43"/>
  <c r="AG198" i="43"/>
  <c r="AP198" i="43"/>
  <c r="AH198" i="43"/>
  <c r="AO198" i="43"/>
  <c r="AR198" i="43"/>
  <c r="AS198" i="43"/>
  <c r="AD198" i="43"/>
  <c r="AJ198" i="43"/>
  <c r="AQ198" i="43"/>
  <c r="AF198" i="43"/>
  <c r="AL198" i="43"/>
  <c r="AJ206" i="43"/>
  <c r="AG206" i="43"/>
  <c r="AP206" i="43"/>
  <c r="V105" i="43"/>
  <c r="AL105" i="43" s="1"/>
  <c r="AF105" i="43"/>
  <c r="AE105" i="43" s="1"/>
  <c r="AD146" i="43"/>
  <c r="AM146" i="43"/>
  <c r="AG146" i="43"/>
  <c r="AK146" i="43"/>
  <c r="AO146" i="43"/>
  <c r="AQ146" i="43"/>
  <c r="AE146" i="43"/>
  <c r="AN146" i="43"/>
  <c r="AJ146" i="43"/>
  <c r="AI146" i="43"/>
  <c r="AE150" i="43"/>
  <c r="AK150" i="43"/>
  <c r="AN150" i="43"/>
  <c r="AP150" i="43"/>
  <c r="AF150" i="43"/>
  <c r="AG150" i="43"/>
  <c r="AS150" i="43"/>
  <c r="AM156" i="43"/>
  <c r="AR156" i="43"/>
  <c r="AD156" i="43"/>
  <c r="AF156" i="43"/>
  <c r="AO169" i="43"/>
  <c r="AJ169" i="43"/>
  <c r="AR169" i="43"/>
  <c r="AM169" i="43"/>
  <c r="AP169" i="43"/>
  <c r="AG169" i="43"/>
  <c r="AN169" i="43"/>
  <c r="V96" i="43"/>
  <c r="AL96" i="43" s="1"/>
  <c r="AF96" i="43"/>
  <c r="AE96" i="43" s="1"/>
  <c r="T96" i="43"/>
  <c r="AI96" i="43" s="1"/>
  <c r="AH96" i="43" s="1"/>
  <c r="AS89" i="43"/>
  <c r="AN89" i="43"/>
  <c r="AD145" i="43"/>
  <c r="AE24" i="43"/>
  <c r="AP220" i="43"/>
  <c r="AJ220" i="43"/>
  <c r="AN220" i="43"/>
  <c r="AO220" i="43"/>
  <c r="AM220" i="43"/>
  <c r="AR220" i="43"/>
  <c r="AG220" i="43"/>
  <c r="AF27" i="43"/>
  <c r="AE27" i="43" s="1"/>
  <c r="T84" i="43"/>
  <c r="AI84" i="43" s="1"/>
  <c r="AH84" i="43" s="1"/>
  <c r="T88" i="43"/>
  <c r="AI88" i="43" s="1"/>
  <c r="AH88" i="43" s="1"/>
  <c r="AK57" i="43"/>
  <c r="AK17" i="43"/>
  <c r="AJ201" i="43"/>
  <c r="AD177" i="43"/>
  <c r="AP139" i="43"/>
  <c r="AP193" i="43"/>
  <c r="AP185" i="43"/>
  <c r="AP159" i="43"/>
  <c r="AE28" i="43"/>
  <c r="AF72" i="43"/>
  <c r="AE72" i="43" s="1"/>
  <c r="AF39" i="43"/>
  <c r="AE39" i="43" s="1"/>
  <c r="AF76" i="43"/>
  <c r="AE76" i="43" s="1"/>
  <c r="V94" i="43"/>
  <c r="AL94" i="43" s="1"/>
  <c r="AF94" i="43"/>
  <c r="AE94" i="43" s="1"/>
  <c r="V106" i="43"/>
  <c r="AL106" i="43" s="1"/>
  <c r="AF106" i="43"/>
  <c r="AE106" i="43" s="1"/>
  <c r="AC125" i="43"/>
  <c r="AK124" i="43"/>
  <c r="AS124" i="43"/>
  <c r="T111" i="43"/>
  <c r="AI111" i="43" s="1"/>
  <c r="AH111" i="43" s="1"/>
  <c r="AF111" i="43"/>
  <c r="AE111" i="43" s="1"/>
  <c r="AQ76" i="43"/>
  <c r="AQ143" i="43" s="1"/>
  <c r="AQ68" i="43"/>
  <c r="AQ61" i="43"/>
  <c r="AQ49" i="43"/>
  <c r="AQ41" i="43"/>
  <c r="AQ33" i="43"/>
  <c r="V55" i="43"/>
  <c r="T30" i="43"/>
  <c r="T26" i="43"/>
  <c r="AN81" i="43"/>
  <c r="AN73" i="43"/>
  <c r="AN58" i="43"/>
  <c r="V115" i="43"/>
  <c r="AL115" i="43" s="1"/>
  <c r="AF115" i="43"/>
  <c r="AE115" i="43" s="1"/>
  <c r="AH172" i="43"/>
  <c r="AQ164" i="43"/>
  <c r="AD159" i="43"/>
  <c r="AO159" i="43"/>
  <c r="AP143" i="43"/>
  <c r="AO143" i="43"/>
  <c r="AP201" i="43"/>
  <c r="AL177" i="43"/>
  <c r="AF177" i="43"/>
  <c r="AH201" i="43"/>
  <c r="AM164" i="43"/>
  <c r="AO185" i="43"/>
  <c r="AF185" i="43"/>
  <c r="AG209" i="43"/>
  <c r="AF64" i="43"/>
  <c r="AE64" i="43" s="1"/>
  <c r="AE50" i="43"/>
  <c r="AF68" i="43"/>
  <c r="AE68" i="43" s="1"/>
  <c r="AK97" i="43"/>
  <c r="AS97" i="43"/>
  <c r="AK125" i="43"/>
  <c r="AS125" i="43"/>
  <c r="V101" i="43"/>
  <c r="AL101" i="43" s="1"/>
  <c r="AF101" i="43"/>
  <c r="AE101" i="43" s="1"/>
  <c r="AQ83" i="43"/>
  <c r="AQ75" i="43"/>
  <c r="AQ67" i="43"/>
  <c r="AQ60" i="43"/>
  <c r="AK78" i="43"/>
  <c r="V39" i="43"/>
  <c r="V15" i="43"/>
  <c r="AL15" i="43" s="1"/>
  <c r="AK15" i="43" s="1"/>
  <c r="AK79" i="43"/>
  <c r="AN65" i="43"/>
  <c r="V90" i="43"/>
  <c r="AL90" i="43" s="1"/>
  <c r="AK90" i="43" s="1"/>
  <c r="AF90" i="43"/>
  <c r="AE90" i="43" s="1"/>
  <c r="V95" i="43"/>
  <c r="AL95" i="43" s="1"/>
  <c r="AF95" i="43"/>
  <c r="AE95" i="43" s="1"/>
  <c r="V107" i="43"/>
  <c r="AL107" i="43" s="1"/>
  <c r="AF107" i="43"/>
  <c r="AE107" i="43" s="1"/>
  <c r="AK126" i="43"/>
  <c r="AS126" i="43"/>
  <c r="T101" i="43"/>
  <c r="AI101" i="43" s="1"/>
  <c r="AH101" i="43" s="1"/>
  <c r="D46" i="7"/>
  <c r="S46" i="7" s="1"/>
  <c r="AQ59" i="43"/>
  <c r="AQ54" i="43"/>
  <c r="AQ39" i="43"/>
  <c r="T57" i="43"/>
  <c r="T53" i="43"/>
  <c r="T49" i="43"/>
  <c r="AN128" i="43"/>
  <c r="AN52" i="43"/>
  <c r="AN44" i="43"/>
  <c r="AN36" i="43"/>
  <c r="AN28" i="43"/>
  <c r="AN20" i="43"/>
  <c r="AN12" i="43"/>
  <c r="V112" i="43"/>
  <c r="AL112" i="43" s="1"/>
  <c r="AF112" i="43"/>
  <c r="AE112" i="43" s="1"/>
  <c r="AG172" i="43"/>
  <c r="AQ172" i="43"/>
  <c r="AF164" i="43"/>
  <c r="AN159" i="43"/>
  <c r="AL143" i="43"/>
  <c r="AE82" i="43"/>
  <c r="AN209" i="43"/>
  <c r="H77" i="15" s="1"/>
  <c r="AL193" i="43"/>
  <c r="AG164" i="43"/>
  <c r="AI164" i="43"/>
  <c r="AG193" i="43"/>
  <c r="AS209" i="43"/>
  <c r="AD153" i="43"/>
  <c r="AI184" i="43"/>
  <c r="AE30" i="43"/>
  <c r="AE129" i="43"/>
  <c r="AE133" i="43"/>
  <c r="AP155" i="43"/>
  <c r="AC127" i="43"/>
  <c r="AL127" i="43"/>
  <c r="AQ53" i="43"/>
  <c r="AQ46" i="43"/>
  <c r="AQ38" i="43"/>
  <c r="AQ152" i="43" s="1"/>
  <c r="AQ30" i="43"/>
  <c r="AN51" i="43"/>
  <c r="AN43" i="43"/>
  <c r="AN35" i="43"/>
  <c r="AN27" i="43"/>
  <c r="AN19" i="43"/>
  <c r="AN11" i="43"/>
  <c r="AN68" i="43"/>
  <c r="AN60" i="43"/>
  <c r="V116" i="43"/>
  <c r="AL116" i="43" s="1"/>
  <c r="AF116" i="43"/>
  <c r="AE116" i="43" s="1"/>
  <c r="AS164" i="43"/>
  <c r="AR193" i="43"/>
  <c r="AO193" i="43"/>
  <c r="AR209" i="43"/>
  <c r="AH177" i="43"/>
  <c r="AE232" i="43"/>
  <c r="AF153" i="43"/>
  <c r="V87" i="43"/>
  <c r="AL87" i="43" s="1"/>
  <c r="AK87" i="43" s="1"/>
  <c r="AF87" i="43"/>
  <c r="AE87" i="43" s="1"/>
  <c r="V91" i="43"/>
  <c r="AL91" i="43" s="1"/>
  <c r="AK91" i="43" s="1"/>
  <c r="AF91" i="43"/>
  <c r="AE91" i="43" s="1"/>
  <c r="V104" i="43"/>
  <c r="AL104" i="43" s="1"/>
  <c r="AF104" i="43"/>
  <c r="D44" i="7"/>
  <c r="S44" i="7" s="1"/>
  <c r="AQ45" i="43"/>
  <c r="AQ37" i="43"/>
  <c r="AQ29" i="43"/>
  <c r="AQ22" i="43"/>
  <c r="AQ14" i="43"/>
  <c r="AK49" i="43"/>
  <c r="T32" i="43"/>
  <c r="T20" i="43"/>
  <c r="V113" i="43"/>
  <c r="AL113" i="43" s="1"/>
  <c r="AF113" i="43"/>
  <c r="AE113" i="43" s="1"/>
  <c r="AJ143" i="43"/>
  <c r="AL159" i="43"/>
  <c r="AK177" i="43"/>
  <c r="AR172" i="43"/>
  <c r="AN164" i="43"/>
  <c r="AD11" i="43"/>
  <c r="AD138" i="43" s="1"/>
  <c r="AL185" i="43"/>
  <c r="AJ164" i="43"/>
  <c r="AG201" i="43"/>
  <c r="AE159" i="43"/>
  <c r="AN84" i="43"/>
  <c r="AE74" i="43"/>
  <c r="AF51" i="43"/>
  <c r="AF158" i="43" s="1"/>
  <c r="AK98" i="43"/>
  <c r="AS98" i="43"/>
  <c r="V110" i="43"/>
  <c r="AL110" i="43" s="1"/>
  <c r="AF110" i="43"/>
  <c r="AE110" i="43" s="1"/>
  <c r="AQ21" i="43"/>
  <c r="AQ13" i="43"/>
  <c r="AK62" i="43"/>
  <c r="AK48" i="43"/>
  <c r="AK32" i="43"/>
  <c r="AH128" i="43"/>
  <c r="V117" i="43"/>
  <c r="AL117" i="43" s="1"/>
  <c r="AF117" i="43"/>
  <c r="AE117" i="43" s="1"/>
  <c r="J23" i="10"/>
  <c r="V23" i="10"/>
  <c r="N213" i="14"/>
  <c r="C7" i="10"/>
  <c r="C18" i="10"/>
  <c r="CO222" i="14"/>
  <c r="CO220" i="14"/>
  <c r="C13" i="10"/>
  <c r="C16" i="10"/>
  <c r="C22" i="10"/>
  <c r="B28" i="33"/>
  <c r="C17" i="10"/>
  <c r="C15" i="10"/>
  <c r="C19" i="10"/>
  <c r="AY230" i="14"/>
  <c r="AY267" i="14"/>
  <c r="B25" i="33"/>
  <c r="AY241" i="14"/>
  <c r="CO253" i="14"/>
  <c r="AY221" i="14"/>
  <c r="AY269" i="14"/>
  <c r="AY273" i="14"/>
  <c r="AY275" i="14"/>
  <c r="AY250" i="14"/>
  <c r="CO277" i="14"/>
  <c r="AY246" i="14"/>
  <c r="M23" i="10"/>
  <c r="CW112" i="14"/>
  <c r="O112" i="14" s="1"/>
  <c r="CO243" i="14"/>
  <c r="CO239" i="14"/>
  <c r="AY237" i="14"/>
  <c r="AY231" i="14"/>
  <c r="C20" i="10"/>
  <c r="AY234" i="14"/>
  <c r="AY220" i="14"/>
  <c r="AY232" i="14"/>
  <c r="C14" i="10"/>
  <c r="AY257" i="14"/>
  <c r="AY264" i="14"/>
  <c r="G156" i="7"/>
  <c r="G163" i="7" s="1"/>
  <c r="G177" i="7" s="1"/>
  <c r="G186" i="7" s="1"/>
  <c r="G194" i="7" s="1"/>
  <c r="G199" i="7" s="1"/>
  <c r="D20" i="10"/>
  <c r="D23" i="10"/>
  <c r="P23" i="10"/>
  <c r="CW54" i="14"/>
  <c r="O54" i="14" s="1"/>
  <c r="L159" i="15" a="1"/>
  <c r="L159" i="15" s="1"/>
  <c r="J160" i="15" a="1"/>
  <c r="J160" i="15" s="1"/>
  <c r="J161" i="15" a="1"/>
  <c r="J161" i="15" s="1"/>
  <c r="L154" i="15" a="1"/>
  <c r="L154" i="15" s="1"/>
  <c r="J156" i="15" a="1"/>
  <c r="J156" i="15" s="1"/>
  <c r="J155" i="15" a="1"/>
  <c r="J155" i="15" s="1"/>
  <c r="J154" i="15" a="1"/>
  <c r="J154" i="15" s="1"/>
  <c r="J157" i="15" a="1"/>
  <c r="J157" i="15" s="1"/>
  <c r="L153" i="15" a="1"/>
  <c r="L153" i="15" s="1"/>
  <c r="L160" i="15" a="1"/>
  <c r="L160" i="15" s="1"/>
  <c r="L155" i="15" a="1"/>
  <c r="L155" i="15" s="1"/>
  <c r="L161" i="15" a="1"/>
  <c r="L161" i="15" s="1"/>
  <c r="L157" i="15" a="1"/>
  <c r="L157" i="15" s="1"/>
  <c r="J158" i="15" a="1"/>
  <c r="J158" i="15" s="1"/>
  <c r="M109" i="23"/>
  <c r="AK31" i="27"/>
  <c r="AK104" i="27" s="1"/>
  <c r="AL104" i="27"/>
  <c r="AK150" i="24"/>
  <c r="AK81" i="24"/>
  <c r="AB204" i="23"/>
  <c r="AK21" i="26"/>
  <c r="AK86" i="26" s="1"/>
  <c r="AL86" i="26"/>
  <c r="K3" i="21"/>
  <c r="AF7" i="23"/>
  <c r="AC7" i="33"/>
  <c r="BM7" i="33" s="1"/>
  <c r="AL298" i="24"/>
  <c r="AK154" i="24"/>
  <c r="AK88" i="24"/>
  <c r="AB367" i="23"/>
  <c r="AK33" i="24"/>
  <c r="AI134" i="24"/>
  <c r="AH134" i="24" s="1"/>
  <c r="AE182" i="24"/>
  <c r="AE271" i="24" s="1"/>
  <c r="AF271" i="24"/>
  <c r="AK231" i="24"/>
  <c r="AB284" i="23"/>
  <c r="AF12" i="30"/>
  <c r="AE12" i="30" s="1"/>
  <c r="AO12" i="30"/>
  <c r="AN12" i="30" s="1"/>
  <c r="AR12" i="30"/>
  <c r="AQ12" i="30" s="1"/>
  <c r="AL12" i="30"/>
  <c r="AK12" i="30" s="1"/>
  <c r="AK212" i="24"/>
  <c r="AE256" i="22"/>
  <c r="AE257" i="22"/>
  <c r="M23" i="23"/>
  <c r="AL13" i="30"/>
  <c r="AK13" i="30" s="1"/>
  <c r="AI13" i="30"/>
  <c r="AH13" i="30" s="1"/>
  <c r="AF13" i="30"/>
  <c r="AE13" i="30" s="1"/>
  <c r="AO13" i="30"/>
  <c r="AN13" i="30" s="1"/>
  <c r="AL14" i="30"/>
  <c r="AF14" i="30"/>
  <c r="AE14" i="30" s="1"/>
  <c r="AI14" i="30"/>
  <c r="AH14" i="30" s="1"/>
  <c r="AC341" i="23"/>
  <c r="AC268" i="23"/>
  <c r="A15" i="20"/>
  <c r="B16" i="20"/>
  <c r="A16" i="20" s="1"/>
  <c r="D20" i="18"/>
  <c r="E27" i="18"/>
  <c r="DE76" i="14"/>
  <c r="BC156" i="14"/>
  <c r="BC163" i="14" s="1"/>
  <c r="K35" i="18"/>
  <c r="AQ101" i="25"/>
  <c r="AQ256" i="22"/>
  <c r="AQ257" i="22"/>
  <c r="AE23" i="30"/>
  <c r="AV86" i="14"/>
  <c r="E20" i="18"/>
  <c r="I35" i="18"/>
  <c r="D25" i="18"/>
  <c r="B63" i="30"/>
  <c r="B64" i="30" s="1"/>
  <c r="B65" i="30" s="1"/>
  <c r="B66" i="30" s="1"/>
  <c r="B67" i="30" s="1"/>
  <c r="B68" i="30" s="1"/>
  <c r="B69" i="30" s="1"/>
  <c r="B70" i="30" s="1"/>
  <c r="B55" i="30"/>
  <c r="B56" i="30" s="1"/>
  <c r="B57" i="30" s="1"/>
  <c r="B58" i="30" s="1"/>
  <c r="B59" i="30" s="1"/>
  <c r="B60" i="30" s="1"/>
  <c r="B61" i="30" s="1"/>
  <c r="B62" i="30" s="1"/>
  <c r="M32" i="23"/>
  <c r="AF96" i="27"/>
  <c r="AB349" i="23"/>
  <c r="AB373" i="23" s="1"/>
  <c r="C5" i="35"/>
  <c r="D98" i="7"/>
  <c r="S98" i="7" s="1"/>
  <c r="V12" i="22"/>
  <c r="AL12" i="22" s="1"/>
  <c r="T12" i="22"/>
  <c r="V14" i="22"/>
  <c r="AL14" i="22" s="1"/>
  <c r="V23" i="22"/>
  <c r="AL23" i="22" s="1"/>
  <c r="T23" i="22"/>
  <c r="V25" i="22"/>
  <c r="AL25" i="22" s="1"/>
  <c r="T25" i="22"/>
  <c r="V27" i="22"/>
  <c r="AL27" i="22" s="1"/>
  <c r="T27" i="22"/>
  <c r="V29" i="22"/>
  <c r="AL29" i="22" s="1"/>
  <c r="T29" i="22"/>
  <c r="V32" i="22"/>
  <c r="AL32" i="22" s="1"/>
  <c r="T32" i="22"/>
  <c r="V34" i="22"/>
  <c r="AL34" i="22" s="1"/>
  <c r="T34" i="22"/>
  <c r="V36" i="22"/>
  <c r="AL36" i="22" s="1"/>
  <c r="T36" i="22"/>
  <c r="V42" i="22"/>
  <c r="AL42" i="22" s="1"/>
  <c r="T42" i="22"/>
  <c r="V44" i="22"/>
  <c r="AL44" i="22" s="1"/>
  <c r="T44" i="22"/>
  <c r="V47" i="22"/>
  <c r="AL47" i="22" s="1"/>
  <c r="T47" i="22"/>
  <c r="V49" i="22"/>
  <c r="AL49" i="22" s="1"/>
  <c r="T49" i="22"/>
  <c r="V67" i="22"/>
  <c r="AL67" i="22" s="1"/>
  <c r="T67" i="22"/>
  <c r="V74" i="22"/>
  <c r="AL74" i="22" s="1"/>
  <c r="T74" i="22"/>
  <c r="V76" i="22"/>
  <c r="AL76" i="22" s="1"/>
  <c r="T76" i="22"/>
  <c r="V78" i="22"/>
  <c r="AL78" i="22" s="1"/>
  <c r="T78" i="22"/>
  <c r="V81" i="22"/>
  <c r="AL81" i="22" s="1"/>
  <c r="T81" i="22"/>
  <c r="V83" i="22"/>
  <c r="AL83" i="22" s="1"/>
  <c r="T83" i="22"/>
  <c r="V87" i="22"/>
  <c r="AL87" i="22" s="1"/>
  <c r="T87" i="22"/>
  <c r="V89" i="22"/>
  <c r="AL89" i="22" s="1"/>
  <c r="T89" i="22"/>
  <c r="V92" i="22"/>
  <c r="AL92" i="22" s="1"/>
  <c r="T92" i="22"/>
  <c r="V94" i="22"/>
  <c r="AL94" i="22" s="1"/>
  <c r="T94" i="22"/>
  <c r="V105" i="22"/>
  <c r="AL105" i="22" s="1"/>
  <c r="T105" i="22"/>
  <c r="V107" i="22"/>
  <c r="AL107" i="22" s="1"/>
  <c r="T107" i="22"/>
  <c r="V121" i="22"/>
  <c r="AL121" i="22" s="1"/>
  <c r="T121" i="22"/>
  <c r="V123" i="22"/>
  <c r="AL123" i="22" s="1"/>
  <c r="T123" i="22"/>
  <c r="V125" i="22"/>
  <c r="AL125" i="22" s="1"/>
  <c r="T125" i="22"/>
  <c r="V127" i="22"/>
  <c r="AL127" i="22" s="1"/>
  <c r="T127" i="22"/>
  <c r="V129" i="22"/>
  <c r="AL129" i="22" s="1"/>
  <c r="T129" i="22"/>
  <c r="V131" i="22"/>
  <c r="AL131" i="22" s="1"/>
  <c r="T131" i="22"/>
  <c r="V133" i="22"/>
  <c r="AL133" i="22" s="1"/>
  <c r="T133" i="22"/>
  <c r="V135" i="22"/>
  <c r="AL135" i="22" s="1"/>
  <c r="T135" i="22"/>
  <c r="V146" i="22"/>
  <c r="AL146" i="22" s="1"/>
  <c r="T146" i="22"/>
  <c r="V10" i="25"/>
  <c r="AL10" i="25" s="1"/>
  <c r="AK10" i="25" s="1"/>
  <c r="T10" i="25"/>
  <c r="V12" i="25"/>
  <c r="AL12" i="25" s="1"/>
  <c r="AK12" i="25" s="1"/>
  <c r="T12" i="25"/>
  <c r="AF16" i="25"/>
  <c r="AE16" i="25" s="1"/>
  <c r="V16" i="25"/>
  <c r="AL16" i="25" s="1"/>
  <c r="T16" i="25"/>
  <c r="AF68" i="25"/>
  <c r="AE68" i="25" s="1"/>
  <c r="T68" i="25"/>
  <c r="AI68" i="25" s="1"/>
  <c r="AH68" i="25" s="1"/>
  <c r="T9" i="26"/>
  <c r="AI9" i="26" s="1"/>
  <c r="AH9" i="26" s="1"/>
  <c r="V9" i="26"/>
  <c r="AL9" i="26" s="1"/>
  <c r="AK9" i="26" s="1"/>
  <c r="V11" i="26"/>
  <c r="AL11" i="26" s="1"/>
  <c r="AK11" i="26" s="1"/>
  <c r="T11" i="26"/>
  <c r="V22" i="26"/>
  <c r="AL22" i="26" s="1"/>
  <c r="T22" i="26"/>
  <c r="V24" i="26"/>
  <c r="AL24" i="26" s="1"/>
  <c r="T24" i="26"/>
  <c r="V23" i="27"/>
  <c r="AL23" i="27" s="1"/>
  <c r="AK23" i="27" s="1"/>
  <c r="T23" i="27"/>
  <c r="V27" i="27"/>
  <c r="AL27" i="27" s="1"/>
  <c r="AL96" i="27" s="1"/>
  <c r="T27" i="27"/>
  <c r="T30" i="27"/>
  <c r="V30" i="27"/>
  <c r="AL30" i="27" s="1"/>
  <c r="AL97" i="27" s="1"/>
  <c r="AD106" i="27"/>
  <c r="V58" i="27"/>
  <c r="AL58" i="27" s="1"/>
  <c r="AK58" i="27" s="1"/>
  <c r="T58" i="27"/>
  <c r="AP153" i="29"/>
  <c r="K226" i="23" s="1"/>
  <c r="V61" i="29"/>
  <c r="AF61" i="29"/>
  <c r="AE61" i="29" s="1"/>
  <c r="V92" i="29"/>
  <c r="AF92" i="29"/>
  <c r="AE92" i="29" s="1"/>
  <c r="V27" i="30"/>
  <c r="T27" i="30"/>
  <c r="AG27" i="30" s="1"/>
  <c r="V29" i="30"/>
  <c r="T29" i="30"/>
  <c r="AG29" i="30" s="1"/>
  <c r="V43" i="30"/>
  <c r="T43" i="30"/>
  <c r="AG43" i="30" s="1"/>
  <c r="AF43" i="30"/>
  <c r="AE43" i="30" s="1"/>
  <c r="V53" i="30"/>
  <c r="T53" i="30"/>
  <c r="AG53" i="30" s="1"/>
  <c r="CT338" i="14"/>
  <c r="CT226" i="14"/>
  <c r="AE104" i="27"/>
  <c r="D79" i="1"/>
  <c r="D81" i="1"/>
  <c r="BA173" i="14" s="1"/>
  <c r="I173" i="14" s="1"/>
  <c r="BD21" i="14"/>
  <c r="BD31" i="14" s="1"/>
  <c r="BD34" i="14" s="1"/>
  <c r="K111" i="15" s="1"/>
  <c r="BD330" i="14"/>
  <c r="G20" i="2" s="1"/>
  <c r="L14" i="14"/>
  <c r="L285" i="14" s="1"/>
  <c r="D61" i="7"/>
  <c r="S61" i="7" s="1"/>
  <c r="V18" i="22"/>
  <c r="AL18" i="22" s="1"/>
  <c r="T18" i="22"/>
  <c r="V20" i="22"/>
  <c r="AL20" i="22" s="1"/>
  <c r="T20" i="22"/>
  <c r="V31" i="22"/>
  <c r="AL31" i="22" s="1"/>
  <c r="T31" i="22"/>
  <c r="V39" i="22"/>
  <c r="AL39" i="22" s="1"/>
  <c r="T39" i="22"/>
  <c r="V41" i="22"/>
  <c r="AL41" i="22" s="1"/>
  <c r="T41" i="22"/>
  <c r="V46" i="22"/>
  <c r="AL46" i="22" s="1"/>
  <c r="T46" i="22"/>
  <c r="V51" i="22"/>
  <c r="AL51" i="22" s="1"/>
  <c r="T51" i="22"/>
  <c r="V53" i="22"/>
  <c r="AL53" i="22" s="1"/>
  <c r="T53" i="22"/>
  <c r="V54" i="22"/>
  <c r="AL54" i="22" s="1"/>
  <c r="T54" i="22"/>
  <c r="V56" i="22"/>
  <c r="AL56" i="22" s="1"/>
  <c r="T56" i="22"/>
  <c r="V58" i="22"/>
  <c r="AL58" i="22" s="1"/>
  <c r="T58" i="22"/>
  <c r="V60" i="22"/>
  <c r="AL60" i="22" s="1"/>
  <c r="T60" i="22"/>
  <c r="V62" i="22"/>
  <c r="AL62" i="22" s="1"/>
  <c r="T62" i="22"/>
  <c r="V64" i="22"/>
  <c r="AL64" i="22" s="1"/>
  <c r="T64" i="22"/>
  <c r="V69" i="22"/>
  <c r="AL69" i="22" s="1"/>
  <c r="T69" i="22"/>
  <c r="V71" i="22"/>
  <c r="AL71" i="22" s="1"/>
  <c r="T71" i="22"/>
  <c r="V73" i="22"/>
  <c r="AL73" i="22" s="1"/>
  <c r="T73" i="22"/>
  <c r="V91" i="22"/>
  <c r="AL91" i="22" s="1"/>
  <c r="T91" i="22"/>
  <c r="V96" i="22"/>
  <c r="AL96" i="22" s="1"/>
  <c r="T96" i="22"/>
  <c r="V98" i="22"/>
  <c r="AL98" i="22" s="1"/>
  <c r="T98" i="22"/>
  <c r="V100" i="22"/>
  <c r="AL100" i="22" s="1"/>
  <c r="T100" i="22"/>
  <c r="V102" i="22"/>
  <c r="AL102" i="22" s="1"/>
  <c r="T102" i="22"/>
  <c r="V109" i="22"/>
  <c r="AL109" i="22" s="1"/>
  <c r="T109" i="22"/>
  <c r="V110" i="22"/>
  <c r="AL110" i="22" s="1"/>
  <c r="T110" i="22"/>
  <c r="V112" i="22"/>
  <c r="AL112" i="22" s="1"/>
  <c r="T112" i="22"/>
  <c r="V114" i="22"/>
  <c r="AL114" i="22" s="1"/>
  <c r="T114" i="22"/>
  <c r="V116" i="22"/>
  <c r="AL116" i="22" s="1"/>
  <c r="T116" i="22"/>
  <c r="V118" i="22"/>
  <c r="AL118" i="22" s="1"/>
  <c r="T118" i="22"/>
  <c r="V120" i="22"/>
  <c r="AL120" i="22" s="1"/>
  <c r="T120" i="22"/>
  <c r="V137" i="22"/>
  <c r="AL137" i="22" s="1"/>
  <c r="T137" i="22"/>
  <c r="V139" i="22"/>
  <c r="AL139" i="22" s="1"/>
  <c r="T139" i="22"/>
  <c r="V141" i="22"/>
  <c r="AL141" i="22" s="1"/>
  <c r="T141" i="22"/>
  <c r="V143" i="22"/>
  <c r="AL143" i="22" s="1"/>
  <c r="T143" i="22"/>
  <c r="V145" i="22"/>
  <c r="AL145" i="22" s="1"/>
  <c r="T145" i="22"/>
  <c r="AE10" i="24"/>
  <c r="AF134" i="24"/>
  <c r="AE134" i="24" s="1"/>
  <c r="AF144" i="24"/>
  <c r="AE144" i="24" s="1"/>
  <c r="T159" i="24"/>
  <c r="AI159" i="24" s="1"/>
  <c r="AH159" i="24" s="1"/>
  <c r="AF169" i="24"/>
  <c r="AE169" i="24" s="1"/>
  <c r="AF191" i="24"/>
  <c r="AE191" i="24" s="1"/>
  <c r="AF230" i="24"/>
  <c r="AE230" i="24" s="1"/>
  <c r="AS243" i="24"/>
  <c r="AF272" i="24"/>
  <c r="AQ322" i="24"/>
  <c r="AI338" i="24"/>
  <c r="AG339" i="24"/>
  <c r="AF352" i="24"/>
  <c r="AF15" i="25"/>
  <c r="AE15" i="25" s="1"/>
  <c r="AN15" i="25"/>
  <c r="AN84" i="25" s="1"/>
  <c r="AF19" i="25"/>
  <c r="AE19" i="25" s="1"/>
  <c r="AP93" i="25"/>
  <c r="AR103" i="25"/>
  <c r="AM94" i="25"/>
  <c r="AF37" i="25"/>
  <c r="AE37" i="25" s="1"/>
  <c r="AN41" i="25"/>
  <c r="AN42" i="25"/>
  <c r="V45" i="25"/>
  <c r="AL45" i="25" s="1"/>
  <c r="T45" i="25"/>
  <c r="T60" i="25"/>
  <c r="V60" i="25"/>
  <c r="AL60" i="25" s="1"/>
  <c r="AF62" i="25"/>
  <c r="AE62" i="25" s="1"/>
  <c r="AN62" i="25"/>
  <c r="AF63" i="25"/>
  <c r="AE63" i="25" s="1"/>
  <c r="AN63" i="25"/>
  <c r="T64" i="25"/>
  <c r="V64" i="25"/>
  <c r="AL64" i="25" s="1"/>
  <c r="V65" i="25"/>
  <c r="AL65" i="25" s="1"/>
  <c r="AK65" i="25" s="1"/>
  <c r="T65" i="25"/>
  <c r="AS75" i="25"/>
  <c r="AN10" i="26"/>
  <c r="AP96" i="26"/>
  <c r="AF29" i="26"/>
  <c r="AF105" i="26" s="1"/>
  <c r="V29" i="26"/>
  <c r="AL29" i="26" s="1"/>
  <c r="T29" i="26"/>
  <c r="V31" i="26"/>
  <c r="AL31" i="26" s="1"/>
  <c r="T31" i="26"/>
  <c r="AP104" i="26"/>
  <c r="AM104" i="26"/>
  <c r="T33" i="26"/>
  <c r="V33" i="26"/>
  <c r="AL33" i="26" s="1"/>
  <c r="AF37" i="26"/>
  <c r="AE37" i="26" s="1"/>
  <c r="V37" i="26"/>
  <c r="AL37" i="26" s="1"/>
  <c r="T37" i="26"/>
  <c r="AQ39" i="26"/>
  <c r="AQ41" i="26"/>
  <c r="AH42" i="26"/>
  <c r="V45" i="26"/>
  <c r="AL45" i="26" s="1"/>
  <c r="AK45" i="26" s="1"/>
  <c r="T45" i="26"/>
  <c r="T49" i="26"/>
  <c r="V49" i="26"/>
  <c r="AL49" i="26" s="1"/>
  <c r="T56" i="26"/>
  <c r="V56" i="26"/>
  <c r="AL56" i="26" s="1"/>
  <c r="V63" i="26"/>
  <c r="AL63" i="26" s="1"/>
  <c r="T63" i="26"/>
  <c r="V73" i="26"/>
  <c r="AL73" i="26" s="1"/>
  <c r="AK73" i="26" s="1"/>
  <c r="T73" i="26"/>
  <c r="T14" i="27"/>
  <c r="V14" i="27"/>
  <c r="AL14" i="27" s="1"/>
  <c r="T18" i="27"/>
  <c r="V18" i="27"/>
  <c r="AL18" i="27" s="1"/>
  <c r="AK18" i="27" s="1"/>
  <c r="AN24" i="27"/>
  <c r="AQ25" i="27"/>
  <c r="AM96" i="27"/>
  <c r="T34" i="27"/>
  <c r="V34" i="27"/>
  <c r="AL34" i="27" s="1"/>
  <c r="AP97" i="27"/>
  <c r="AN39" i="27"/>
  <c r="AQ46" i="27"/>
  <c r="AF48" i="27"/>
  <c r="AE48" i="27" s="1"/>
  <c r="AF62" i="27"/>
  <c r="AE62" i="27" s="1"/>
  <c r="T62" i="27"/>
  <c r="AI62" i="27" s="1"/>
  <c r="AH62" i="27" s="1"/>
  <c r="V70" i="27"/>
  <c r="AL70" i="27" s="1"/>
  <c r="T70" i="27"/>
  <c r="V74" i="27"/>
  <c r="AL74" i="27" s="1"/>
  <c r="T74" i="27"/>
  <c r="AF27" i="29"/>
  <c r="AF41" i="29"/>
  <c r="AE41" i="29" s="1"/>
  <c r="AF47" i="29"/>
  <c r="AE47" i="29" s="1"/>
  <c r="AF53" i="29"/>
  <c r="AE53" i="29" s="1"/>
  <c r="AF64" i="29"/>
  <c r="AE64" i="29" s="1"/>
  <c r="V85" i="29"/>
  <c r="AF85" i="29"/>
  <c r="AE85" i="29" s="1"/>
  <c r="AF86" i="29"/>
  <c r="AE86" i="29" s="1"/>
  <c r="AF94" i="29"/>
  <c r="AE94" i="29" s="1"/>
  <c r="AK108" i="29"/>
  <c r="AF113" i="29"/>
  <c r="AE113" i="29" s="1"/>
  <c r="AF123" i="29"/>
  <c r="AE123" i="29" s="1"/>
  <c r="AF128" i="29"/>
  <c r="AE128" i="29" s="1"/>
  <c r="AF222" i="24"/>
  <c r="AE222" i="24" s="1"/>
  <c r="V24" i="30"/>
  <c r="T24" i="30"/>
  <c r="AG24" i="30" s="1"/>
  <c r="V32" i="30"/>
  <c r="T32" i="30"/>
  <c r="AG32" i="30" s="1"/>
  <c r="AE315" i="23"/>
  <c r="AC315" i="23"/>
  <c r="AN81" i="30"/>
  <c r="AP81" i="30"/>
  <c r="C28" i="12"/>
  <c r="V10" i="22"/>
  <c r="V11" i="22"/>
  <c r="AL11" i="22" s="1"/>
  <c r="T11" i="22"/>
  <c r="V13" i="22"/>
  <c r="V15" i="22"/>
  <c r="AL15" i="22" s="1"/>
  <c r="T15" i="22"/>
  <c r="V22" i="22"/>
  <c r="AL22" i="22" s="1"/>
  <c r="T22" i="22"/>
  <c r="V24" i="22"/>
  <c r="AL24" i="22" s="1"/>
  <c r="T24" i="22"/>
  <c r="V26" i="22"/>
  <c r="AL26" i="22" s="1"/>
  <c r="T26" i="22"/>
  <c r="V28" i="22"/>
  <c r="AL28" i="22" s="1"/>
  <c r="T28" i="22"/>
  <c r="V33" i="22"/>
  <c r="AL33" i="22" s="1"/>
  <c r="T33" i="22"/>
  <c r="V35" i="22"/>
  <c r="AL35" i="22" s="1"/>
  <c r="T35" i="22"/>
  <c r="V37" i="22"/>
  <c r="AL37" i="22" s="1"/>
  <c r="T37" i="22"/>
  <c r="V38" i="22"/>
  <c r="AL38" i="22" s="1"/>
  <c r="T38" i="22"/>
  <c r="V43" i="22"/>
  <c r="AL43" i="22" s="1"/>
  <c r="T43" i="22"/>
  <c r="V45" i="22"/>
  <c r="AL45" i="22" s="1"/>
  <c r="T45" i="22"/>
  <c r="V48" i="22"/>
  <c r="AL48" i="22" s="1"/>
  <c r="T48" i="22"/>
  <c r="V50" i="22"/>
  <c r="AL50" i="22" s="1"/>
  <c r="T50" i="22"/>
  <c r="V66" i="22"/>
  <c r="AL66" i="22" s="1"/>
  <c r="T66" i="22"/>
  <c r="V68" i="22"/>
  <c r="AL68" i="22" s="1"/>
  <c r="T68" i="22"/>
  <c r="V75" i="22"/>
  <c r="AL75" i="22" s="1"/>
  <c r="T75" i="22"/>
  <c r="V77" i="22"/>
  <c r="AL77" i="22" s="1"/>
  <c r="T77" i="22"/>
  <c r="V80" i="22"/>
  <c r="AL80" i="22" s="1"/>
  <c r="T80" i="22"/>
  <c r="V82" i="22"/>
  <c r="AL82" i="22" s="1"/>
  <c r="T82" i="22"/>
  <c r="V85" i="22"/>
  <c r="AL85" i="22" s="1"/>
  <c r="T85" i="22"/>
  <c r="V86" i="22"/>
  <c r="AL86" i="22" s="1"/>
  <c r="T86" i="22"/>
  <c r="V88" i="22"/>
  <c r="AL88" i="22" s="1"/>
  <c r="T88" i="22"/>
  <c r="V93" i="22"/>
  <c r="AL93" i="22" s="1"/>
  <c r="T93" i="22"/>
  <c r="V95" i="22"/>
  <c r="AL95" i="22" s="1"/>
  <c r="T95" i="22"/>
  <c r="V104" i="22"/>
  <c r="AL104" i="22" s="1"/>
  <c r="T104" i="22"/>
  <c r="V106" i="22"/>
  <c r="AL106" i="22" s="1"/>
  <c r="T106" i="22"/>
  <c r="V122" i="22"/>
  <c r="AL122" i="22" s="1"/>
  <c r="T122" i="22"/>
  <c r="V124" i="22"/>
  <c r="AL124" i="22" s="1"/>
  <c r="T124" i="22"/>
  <c r="V126" i="22"/>
  <c r="AL126" i="22" s="1"/>
  <c r="T126" i="22"/>
  <c r="V128" i="22"/>
  <c r="AL128" i="22" s="1"/>
  <c r="T128" i="22"/>
  <c r="V130" i="22"/>
  <c r="AL130" i="22" s="1"/>
  <c r="T130" i="22"/>
  <c r="V132" i="22"/>
  <c r="AL132" i="22" s="1"/>
  <c r="T132" i="22"/>
  <c r="V134" i="22"/>
  <c r="AL134" i="22" s="1"/>
  <c r="T134" i="22"/>
  <c r="V136" i="22"/>
  <c r="AL136" i="22" s="1"/>
  <c r="T136" i="22"/>
  <c r="AS239" i="24"/>
  <c r="AR277" i="24"/>
  <c r="AD342" i="24"/>
  <c r="AF353" i="24"/>
  <c r="AG358" i="24"/>
  <c r="AM84" i="25"/>
  <c r="V14" i="25"/>
  <c r="AL14" i="25" s="1"/>
  <c r="T14" i="25"/>
  <c r="V20" i="25"/>
  <c r="AL20" i="25" s="1"/>
  <c r="T20" i="25"/>
  <c r="AE40" i="25"/>
  <c r="AO112" i="25"/>
  <c r="V56" i="25"/>
  <c r="AL56" i="25" s="1"/>
  <c r="T56" i="25"/>
  <c r="V70" i="25"/>
  <c r="AL70" i="25" s="1"/>
  <c r="T70" i="25"/>
  <c r="V18" i="26"/>
  <c r="AL18" i="26" s="1"/>
  <c r="T18" i="26"/>
  <c r="V20" i="26"/>
  <c r="AL20" i="26" s="1"/>
  <c r="T20" i="26"/>
  <c r="AI20" i="26" s="1"/>
  <c r="AH20" i="26" s="1"/>
  <c r="V25" i="26"/>
  <c r="AL25" i="26" s="1"/>
  <c r="T25" i="26"/>
  <c r="AR96" i="26"/>
  <c r="AD104" i="26"/>
  <c r="AR104" i="26"/>
  <c r="V60" i="26"/>
  <c r="AL60" i="26" s="1"/>
  <c r="T60" i="26"/>
  <c r="V11" i="27"/>
  <c r="AL11" i="27" s="1"/>
  <c r="T11" i="27"/>
  <c r="T22" i="27"/>
  <c r="V22" i="27"/>
  <c r="AL22" i="27" s="1"/>
  <c r="T26" i="27"/>
  <c r="V26" i="27"/>
  <c r="AL26" i="27" s="1"/>
  <c r="T52" i="27"/>
  <c r="V52" i="27"/>
  <c r="AL52" i="27" s="1"/>
  <c r="T57" i="27"/>
  <c r="V57" i="27"/>
  <c r="AL57" i="27" s="1"/>
  <c r="V73" i="29"/>
  <c r="AF73" i="29"/>
  <c r="AE73" i="29" s="1"/>
  <c r="V105" i="29"/>
  <c r="AF105" i="29"/>
  <c r="AE105" i="29" s="1"/>
  <c r="AE124" i="29"/>
  <c r="V144" i="29"/>
  <c r="AF144" i="29"/>
  <c r="AE144" i="29" s="1"/>
  <c r="V26" i="30"/>
  <c r="T26" i="30"/>
  <c r="AG26" i="30" s="1"/>
  <c r="AF26" i="30"/>
  <c r="AE26" i="30" s="1"/>
  <c r="V28" i="30"/>
  <c r="T28" i="30"/>
  <c r="AG28" i="30" s="1"/>
  <c r="V49" i="30"/>
  <c r="T49" i="30"/>
  <c r="AG49" i="30" s="1"/>
  <c r="AF49" i="30"/>
  <c r="AE49" i="30" s="1"/>
  <c r="V52" i="30"/>
  <c r="T52" i="30"/>
  <c r="AG52" i="30" s="1"/>
  <c r="AF52" i="30"/>
  <c r="AE52" i="30" s="1"/>
  <c r="AH80" i="30"/>
  <c r="AS80" i="30"/>
  <c r="E63" i="18"/>
  <c r="AQ97" i="26"/>
  <c r="AJ255" i="29"/>
  <c r="V19" i="22"/>
  <c r="AL19" i="22" s="1"/>
  <c r="T19" i="22"/>
  <c r="V21" i="22"/>
  <c r="AL21" i="22" s="1"/>
  <c r="T21" i="22"/>
  <c r="V30" i="22"/>
  <c r="AL30" i="22" s="1"/>
  <c r="T30" i="22"/>
  <c r="V40" i="22"/>
  <c r="AL40" i="22" s="1"/>
  <c r="T40" i="22"/>
  <c r="V52" i="22"/>
  <c r="AL52" i="22" s="1"/>
  <c r="T52" i="22"/>
  <c r="V55" i="22"/>
  <c r="AL55" i="22" s="1"/>
  <c r="T55" i="22"/>
  <c r="V57" i="22"/>
  <c r="AL57" i="22" s="1"/>
  <c r="T57" i="22"/>
  <c r="V59" i="22"/>
  <c r="AL59" i="22" s="1"/>
  <c r="T59" i="22"/>
  <c r="V61" i="22"/>
  <c r="AL61" i="22" s="1"/>
  <c r="T61" i="22"/>
  <c r="V63" i="22"/>
  <c r="AL63" i="22" s="1"/>
  <c r="T63" i="22"/>
  <c r="V65" i="22"/>
  <c r="AL65" i="22" s="1"/>
  <c r="T65" i="22"/>
  <c r="V70" i="22"/>
  <c r="AL70" i="22" s="1"/>
  <c r="T70" i="22"/>
  <c r="V72" i="22"/>
  <c r="AL72" i="22" s="1"/>
  <c r="T72" i="22"/>
  <c r="V79" i="22"/>
  <c r="AL79" i="22" s="1"/>
  <c r="T79" i="22"/>
  <c r="V84" i="22"/>
  <c r="AL84" i="22" s="1"/>
  <c r="T84" i="22"/>
  <c r="V90" i="22"/>
  <c r="AL90" i="22" s="1"/>
  <c r="T90" i="22"/>
  <c r="V97" i="22"/>
  <c r="AL97" i="22" s="1"/>
  <c r="T97" i="22"/>
  <c r="V99" i="22"/>
  <c r="AL99" i="22" s="1"/>
  <c r="T99" i="22"/>
  <c r="V101" i="22"/>
  <c r="AL101" i="22" s="1"/>
  <c r="T101" i="22"/>
  <c r="V103" i="22"/>
  <c r="AL103" i="22" s="1"/>
  <c r="T103" i="22"/>
  <c r="V108" i="22"/>
  <c r="AL108" i="22" s="1"/>
  <c r="T108" i="22"/>
  <c r="V111" i="22"/>
  <c r="AL111" i="22" s="1"/>
  <c r="T111" i="22"/>
  <c r="V113" i="22"/>
  <c r="AL113" i="22" s="1"/>
  <c r="T113" i="22"/>
  <c r="V115" i="22"/>
  <c r="AL115" i="22" s="1"/>
  <c r="T115" i="22"/>
  <c r="V117" i="22"/>
  <c r="AL117" i="22" s="1"/>
  <c r="T117" i="22"/>
  <c r="V119" i="22"/>
  <c r="AL119" i="22" s="1"/>
  <c r="T119" i="22"/>
  <c r="V138" i="22"/>
  <c r="AL138" i="22" s="1"/>
  <c r="T138" i="22"/>
  <c r="V140" i="22"/>
  <c r="AL140" i="22" s="1"/>
  <c r="T140" i="22"/>
  <c r="V142" i="22"/>
  <c r="AL142" i="22" s="1"/>
  <c r="T142" i="22"/>
  <c r="V144" i="22"/>
  <c r="AL144" i="22" s="1"/>
  <c r="T144" i="22"/>
  <c r="AF143" i="24"/>
  <c r="AE143" i="24" s="1"/>
  <c r="AF148" i="24"/>
  <c r="AE148" i="24" s="1"/>
  <c r="AF156" i="24"/>
  <c r="AE156" i="24" s="1"/>
  <c r="T165" i="24"/>
  <c r="AI165" i="24" s="1"/>
  <c r="AH165" i="24" s="1"/>
  <c r="AF216" i="24"/>
  <c r="AE216" i="24" s="1"/>
  <c r="AF220" i="24"/>
  <c r="AE220" i="24" s="1"/>
  <c r="AF221" i="24"/>
  <c r="AE221" i="24" s="1"/>
  <c r="AF224" i="24"/>
  <c r="AE224" i="24" s="1"/>
  <c r="AE244" i="24"/>
  <c r="AM272" i="24"/>
  <c r="AL353" i="24"/>
  <c r="AI358" i="24"/>
  <c r="AL359" i="24"/>
  <c r="AF10" i="25"/>
  <c r="AE10" i="25" s="1"/>
  <c r="AF11" i="25"/>
  <c r="AE11" i="25" s="1"/>
  <c r="AF12" i="25"/>
  <c r="AE12" i="25" s="1"/>
  <c r="V18" i="25"/>
  <c r="AL18" i="25" s="1"/>
  <c r="T18" i="25"/>
  <c r="AN23" i="25"/>
  <c r="T24" i="25"/>
  <c r="V24" i="25"/>
  <c r="AL24" i="25" s="1"/>
  <c r="AK24" i="25" s="1"/>
  <c r="AQ24" i="25"/>
  <c r="AQ26" i="25"/>
  <c r="T32" i="25"/>
  <c r="V32" i="25"/>
  <c r="AL32" i="25" s="1"/>
  <c r="T36" i="25"/>
  <c r="V36" i="25"/>
  <c r="AL36" i="25" s="1"/>
  <c r="AN39" i="25"/>
  <c r="T40" i="25"/>
  <c r="V40" i="25"/>
  <c r="AL40" i="25" s="1"/>
  <c r="V47" i="25"/>
  <c r="AL47" i="25" s="1"/>
  <c r="T47" i="25"/>
  <c r="V50" i="25"/>
  <c r="AL50" i="25" s="1"/>
  <c r="T50" i="25"/>
  <c r="AN55" i="25"/>
  <c r="AF66" i="25"/>
  <c r="AE66" i="25" s="1"/>
  <c r="AN66" i="25"/>
  <c r="AN74" i="25"/>
  <c r="AE76" i="25"/>
  <c r="AQ76" i="25"/>
  <c r="AQ12" i="26"/>
  <c r="AN13" i="26"/>
  <c r="AD87" i="26"/>
  <c r="AQ14" i="26"/>
  <c r="AN15" i="26"/>
  <c r="AQ16" i="26"/>
  <c r="AE21" i="26"/>
  <c r="AE86" i="26" s="1"/>
  <c r="AN24" i="26"/>
  <c r="V55" i="26"/>
  <c r="AL55" i="26" s="1"/>
  <c r="T55" i="26"/>
  <c r="AN61" i="26"/>
  <c r="T64" i="26"/>
  <c r="V64" i="26"/>
  <c r="AL64" i="26" s="1"/>
  <c r="AN69" i="26"/>
  <c r="AN71" i="26"/>
  <c r="AQ72" i="26"/>
  <c r="AO82" i="27"/>
  <c r="AD82" i="27"/>
  <c r="F20" i="23" s="1"/>
  <c r="AR82" i="27"/>
  <c r="AO97" i="27"/>
  <c r="AQ31" i="27"/>
  <c r="AQ104" i="27" s="1"/>
  <c r="AM87" i="27"/>
  <c r="V39" i="27"/>
  <c r="AL39" i="27" s="1"/>
  <c r="T39" i="27"/>
  <c r="AE43" i="27"/>
  <c r="AP82" i="27"/>
  <c r="K20" i="23" s="1"/>
  <c r="V47" i="27"/>
  <c r="AL47" i="27" s="1"/>
  <c r="T47" i="27"/>
  <c r="AD116" i="27"/>
  <c r="AN54" i="27"/>
  <c r="AQ55" i="27"/>
  <c r="AN56" i="27"/>
  <c r="AQ57" i="27"/>
  <c r="AN58" i="27"/>
  <c r="AQ59" i="27"/>
  <c r="AM116" i="27"/>
  <c r="AQ61" i="27"/>
  <c r="T69" i="27"/>
  <c r="V69" i="27"/>
  <c r="AL69" i="27" s="1"/>
  <c r="T73" i="27"/>
  <c r="V73" i="27"/>
  <c r="AL73" i="27" s="1"/>
  <c r="AN74" i="27"/>
  <c r="AE75" i="27"/>
  <c r="AF30" i="29"/>
  <c r="AE30" i="29" s="1"/>
  <c r="AF49" i="29"/>
  <c r="AE49" i="29" s="1"/>
  <c r="AF59" i="29"/>
  <c r="AE59" i="29" s="1"/>
  <c r="V66" i="29"/>
  <c r="AF66" i="29"/>
  <c r="AE66" i="29" s="1"/>
  <c r="V96" i="29"/>
  <c r="AF96" i="29"/>
  <c r="AE96" i="29" s="1"/>
  <c r="AF99" i="29"/>
  <c r="AE99" i="29" s="1"/>
  <c r="V130" i="29"/>
  <c r="AF130" i="29"/>
  <c r="AE130" i="29" s="1"/>
  <c r="AF138" i="29"/>
  <c r="AE138" i="29" s="1"/>
  <c r="V41" i="30"/>
  <c r="T41" i="30"/>
  <c r="AG41" i="30" s="1"/>
  <c r="AF41" i="30"/>
  <c r="AE41" i="30" s="1"/>
  <c r="V33" i="30"/>
  <c r="T33" i="30"/>
  <c r="AG33" i="30" s="1"/>
  <c r="V40" i="30"/>
  <c r="T40" i="30"/>
  <c r="AG40" i="30" s="1"/>
  <c r="AF40" i="30"/>
  <c r="AE40" i="30" s="1"/>
  <c r="V51" i="30"/>
  <c r="T51" i="30"/>
  <c r="AG51" i="30" s="1"/>
  <c r="AF51" i="30"/>
  <c r="AE51" i="30" s="1"/>
  <c r="AP69" i="30"/>
  <c r="H110" i="15" s="1"/>
  <c r="V23" i="30"/>
  <c r="T23" i="30"/>
  <c r="AG23" i="30" s="1"/>
  <c r="V31" i="30"/>
  <c r="T31" i="30"/>
  <c r="AG31" i="30" s="1"/>
  <c r="V36" i="30"/>
  <c r="T36" i="30"/>
  <c r="AG36" i="30" s="1"/>
  <c r="V38" i="30"/>
  <c r="T38" i="30"/>
  <c r="AG38" i="30" s="1"/>
  <c r="V42" i="30"/>
  <c r="T42" i="30"/>
  <c r="AG42" i="30" s="1"/>
  <c r="V45" i="30"/>
  <c r="T45" i="30"/>
  <c r="AG45" i="30" s="1"/>
  <c r="V47" i="30"/>
  <c r="T47" i="30"/>
  <c r="AG47" i="30" s="1"/>
  <c r="V48" i="30"/>
  <c r="T48" i="30"/>
  <c r="AG48" i="30" s="1"/>
  <c r="AK120" i="30"/>
  <c r="AR144" i="30"/>
  <c r="AQ145" i="30"/>
  <c r="AG160" i="30"/>
  <c r="AR161" i="30"/>
  <c r="AI166" i="30"/>
  <c r="AF105" i="25"/>
  <c r="AK165" i="27"/>
  <c r="AH127" i="25"/>
  <c r="AF110" i="25"/>
  <c r="AH143" i="25"/>
  <c r="AG110" i="25"/>
  <c r="AO92" i="26"/>
  <c r="AS110" i="25"/>
  <c r="AR238" i="22"/>
  <c r="AL109" i="25"/>
  <c r="AI109" i="25"/>
  <c r="AI117" i="25"/>
  <c r="AL117" i="25"/>
  <c r="AI118" i="25"/>
  <c r="AL118" i="25"/>
  <c r="AI119" i="25"/>
  <c r="AL119" i="25"/>
  <c r="AI123" i="25"/>
  <c r="AL123" i="25"/>
  <c r="AI124" i="25"/>
  <c r="AL124" i="25"/>
  <c r="AI130" i="25"/>
  <c r="AL130" i="25"/>
  <c r="AI131" i="25"/>
  <c r="AL131" i="25"/>
  <c r="AI135" i="25"/>
  <c r="AL135" i="25"/>
  <c r="AI136" i="25"/>
  <c r="AL136" i="25"/>
  <c r="AI141" i="25"/>
  <c r="AL141" i="25"/>
  <c r="AI149" i="25"/>
  <c r="AL149" i="25"/>
  <c r="AI154" i="25"/>
  <c r="AL154" i="25"/>
  <c r="AL155" i="25"/>
  <c r="AI155" i="25"/>
  <c r="AL156" i="25"/>
  <c r="AI156" i="25"/>
  <c r="AI167" i="25"/>
  <c r="AL167" i="25"/>
  <c r="AL168" i="25"/>
  <c r="AI168" i="25"/>
  <c r="AL172" i="25"/>
  <c r="AI172" i="25"/>
  <c r="AL173" i="25"/>
  <c r="AI173" i="25"/>
  <c r="AI107" i="26"/>
  <c r="AL107" i="26"/>
  <c r="AI108" i="26"/>
  <c r="AL108" i="26"/>
  <c r="AI109" i="26"/>
  <c r="AL109" i="26"/>
  <c r="AI110" i="26"/>
  <c r="AL110" i="26"/>
  <c r="AI111" i="26"/>
  <c r="AL111" i="26"/>
  <c r="AI112" i="26"/>
  <c r="AL112" i="26"/>
  <c r="AI113" i="26"/>
  <c r="AL113" i="26"/>
  <c r="AI114" i="26"/>
  <c r="AL114" i="26"/>
  <c r="AL124" i="26"/>
  <c r="AI124" i="26"/>
  <c r="AI125" i="26"/>
  <c r="AL125" i="26"/>
  <c r="AL126" i="26"/>
  <c r="AI126" i="26"/>
  <c r="AI135" i="26"/>
  <c r="AL135" i="26"/>
  <c r="AL136" i="26"/>
  <c r="AI136" i="26"/>
  <c r="AI137" i="26"/>
  <c r="AL137" i="26"/>
  <c r="AL143" i="26"/>
  <c r="AI143" i="26"/>
  <c r="AL151" i="26"/>
  <c r="AI151" i="26"/>
  <c r="AI156" i="26"/>
  <c r="AL156" i="26"/>
  <c r="AI157" i="26"/>
  <c r="AL157" i="26"/>
  <c r="AI158" i="26"/>
  <c r="AL158" i="26"/>
  <c r="AI167" i="26"/>
  <c r="AL167" i="26"/>
  <c r="AI175" i="26"/>
  <c r="AL175" i="26"/>
  <c r="AL182" i="26"/>
  <c r="AI182" i="26"/>
  <c r="AI183" i="26"/>
  <c r="AL183" i="26"/>
  <c r="AL91" i="27"/>
  <c r="AI91" i="27"/>
  <c r="AI95" i="27"/>
  <c r="AL95" i="27"/>
  <c r="AL99" i="27"/>
  <c r="AI99" i="27"/>
  <c r="AL108" i="27"/>
  <c r="AI108" i="27"/>
  <c r="AL109" i="27"/>
  <c r="AI109" i="27"/>
  <c r="AL114" i="27"/>
  <c r="AI114" i="27"/>
  <c r="AI119" i="27"/>
  <c r="AL119" i="27"/>
  <c r="AI124" i="27"/>
  <c r="AL124" i="27"/>
  <c r="AI131" i="27"/>
  <c r="AL131" i="27"/>
  <c r="AI138" i="27"/>
  <c r="AL138" i="27"/>
  <c r="AL143" i="27"/>
  <c r="AI143" i="27"/>
  <c r="AI144" i="27"/>
  <c r="AL144" i="27"/>
  <c r="AL145" i="27"/>
  <c r="AI145" i="27"/>
  <c r="AI150" i="27"/>
  <c r="AL150" i="27"/>
  <c r="AL151" i="27"/>
  <c r="AI151" i="27"/>
  <c r="AI152" i="27"/>
  <c r="AL152" i="27"/>
  <c r="AL153" i="27"/>
  <c r="AI153" i="27"/>
  <c r="AI157" i="27"/>
  <c r="AL157" i="27"/>
  <c r="AI163" i="27"/>
  <c r="AL163" i="27"/>
  <c r="AI168" i="27"/>
  <c r="AL168" i="27"/>
  <c r="AL173" i="27"/>
  <c r="AI173" i="27"/>
  <c r="AL178" i="27"/>
  <c r="AI178" i="27"/>
  <c r="AL183" i="27"/>
  <c r="AI183" i="27"/>
  <c r="AL161" i="22"/>
  <c r="AI161" i="22"/>
  <c r="AL166" i="22"/>
  <c r="AI166" i="22"/>
  <c r="AL167" i="22"/>
  <c r="AI167" i="22"/>
  <c r="AL172" i="22"/>
  <c r="AI172" i="22"/>
  <c r="AI173" i="22"/>
  <c r="AL173" i="22"/>
  <c r="AL178" i="22"/>
  <c r="AI178" i="22"/>
  <c r="AI182" i="22"/>
  <c r="AL182" i="22"/>
  <c r="AL187" i="22"/>
  <c r="AI187" i="22"/>
  <c r="AI188" i="22"/>
  <c r="AL188" i="22"/>
  <c r="AI192" i="22"/>
  <c r="AL192" i="22"/>
  <c r="AI197" i="22"/>
  <c r="AL197" i="22"/>
  <c r="AI201" i="22"/>
  <c r="AL201" i="22"/>
  <c r="AI206" i="22"/>
  <c r="AL206" i="22"/>
  <c r="AI210" i="22"/>
  <c r="AL210" i="22"/>
  <c r="AI214" i="22"/>
  <c r="AL214" i="22"/>
  <c r="AL218" i="22"/>
  <c r="AI218" i="22"/>
  <c r="AL219" i="22"/>
  <c r="AI219" i="22"/>
  <c r="AL224" i="22"/>
  <c r="AI224" i="22"/>
  <c r="AI229" i="22"/>
  <c r="AL229" i="22"/>
  <c r="AL233" i="22"/>
  <c r="AI233" i="22"/>
  <c r="AI234" i="22"/>
  <c r="AL234" i="22"/>
  <c r="AL235" i="22"/>
  <c r="AI235" i="22"/>
  <c r="AL242" i="22"/>
  <c r="AI242" i="22"/>
  <c r="AL243" i="22"/>
  <c r="AI243" i="22"/>
  <c r="AI247" i="22"/>
  <c r="AL247" i="22"/>
  <c r="AL252" i="22"/>
  <c r="AI252" i="22"/>
  <c r="V22" i="30"/>
  <c r="T22" i="30"/>
  <c r="AG22" i="30" s="1"/>
  <c r="V20" i="30"/>
  <c r="T20" i="30"/>
  <c r="AG20" i="30" s="1"/>
  <c r="AF119" i="24"/>
  <c r="AE119" i="24" s="1"/>
  <c r="AF118" i="24"/>
  <c r="AE118" i="24" s="1"/>
  <c r="AF84" i="24"/>
  <c r="AE84" i="24" s="1"/>
  <c r="AF81" i="24"/>
  <c r="AE81" i="24" s="1"/>
  <c r="AF67" i="24"/>
  <c r="AE67" i="24" s="1"/>
  <c r="V67" i="24"/>
  <c r="AL67" i="24" s="1"/>
  <c r="AF68" i="24"/>
  <c r="AE68" i="24" s="1"/>
  <c r="AF33" i="24"/>
  <c r="AE33" i="24" s="1"/>
  <c r="AF21" i="24"/>
  <c r="AE21" i="24" s="1"/>
  <c r="AO289" i="24"/>
  <c r="AN228" i="24"/>
  <c r="AN222" i="24"/>
  <c r="AQ205" i="24"/>
  <c r="AQ200" i="24"/>
  <c r="AN192" i="24"/>
  <c r="AQ190" i="24"/>
  <c r="AQ187" i="24"/>
  <c r="AN186" i="24"/>
  <c r="AQ177" i="24"/>
  <c r="AQ168" i="24"/>
  <c r="AQ165" i="24"/>
  <c r="AN163" i="24"/>
  <c r="AQ162" i="24"/>
  <c r="AN161" i="24"/>
  <c r="AN155" i="24"/>
  <c r="AQ149" i="24"/>
  <c r="AN147" i="24"/>
  <c r="AQ145" i="24"/>
  <c r="AN143" i="24"/>
  <c r="AH142" i="24"/>
  <c r="AK141" i="24"/>
  <c r="AQ140" i="24"/>
  <c r="AN135" i="24"/>
  <c r="AS133" i="24"/>
  <c r="AE133" i="24"/>
  <c r="AN94" i="24"/>
  <c r="AQ92" i="24"/>
  <c r="AQ71" i="24"/>
  <c r="AQ69" i="24"/>
  <c r="AQ37" i="24"/>
  <c r="AK18" i="24"/>
  <c r="AE18" i="24"/>
  <c r="AN17" i="24"/>
  <c r="AH17" i="24"/>
  <c r="AH16" i="24"/>
  <c r="AS15" i="24"/>
  <c r="AQ11" i="24"/>
  <c r="V58" i="30"/>
  <c r="T58" i="30"/>
  <c r="AG58" i="30" s="1"/>
  <c r="V61" i="30"/>
  <c r="T61" i="30"/>
  <c r="AG61" i="30" s="1"/>
  <c r="D85" i="1"/>
  <c r="BA174" i="14" s="1"/>
  <c r="I174" i="14" s="1"/>
  <c r="D77" i="1"/>
  <c r="G27" i="17" s="1"/>
  <c r="BJ228" i="14"/>
  <c r="T28" i="33" s="1"/>
  <c r="BD28" i="33" s="1"/>
  <c r="R159" i="14"/>
  <c r="R228" i="14" s="1"/>
  <c r="AL92" i="25"/>
  <c r="AI92" i="25"/>
  <c r="AL108" i="25"/>
  <c r="AI108" i="25"/>
  <c r="AI113" i="25"/>
  <c r="AL113" i="25"/>
  <c r="AI114" i="25"/>
  <c r="AL114" i="25"/>
  <c r="AI115" i="25"/>
  <c r="AL115" i="25"/>
  <c r="AI116" i="25"/>
  <c r="AL116" i="25"/>
  <c r="AI122" i="25"/>
  <c r="AL122" i="25"/>
  <c r="AI127" i="25"/>
  <c r="AL127" i="25"/>
  <c r="AI128" i="25"/>
  <c r="AL128" i="25"/>
  <c r="AI129" i="25"/>
  <c r="AL129" i="25"/>
  <c r="AI134" i="25"/>
  <c r="AL134" i="25"/>
  <c r="AI140" i="25"/>
  <c r="AL140" i="25"/>
  <c r="AI146" i="25"/>
  <c r="AL146" i="25"/>
  <c r="AI147" i="25"/>
  <c r="AL147" i="25"/>
  <c r="AI148" i="25"/>
  <c r="AL148" i="25"/>
  <c r="AL153" i="25"/>
  <c r="AI153" i="25"/>
  <c r="AL166" i="25"/>
  <c r="AI166" i="25"/>
  <c r="AL171" i="25"/>
  <c r="AI171" i="25"/>
  <c r="AI179" i="25"/>
  <c r="AL179" i="25"/>
  <c r="AL180" i="25"/>
  <c r="AI180" i="25"/>
  <c r="AI119" i="26"/>
  <c r="AL119" i="26"/>
  <c r="AL120" i="26"/>
  <c r="AI120" i="26"/>
  <c r="AI121" i="26"/>
  <c r="AL121" i="26"/>
  <c r="AL122" i="26"/>
  <c r="AI122" i="26"/>
  <c r="AI123" i="26"/>
  <c r="AL123" i="26"/>
  <c r="AI131" i="26"/>
  <c r="AL131" i="26"/>
  <c r="AL132" i="26"/>
  <c r="AI132" i="26"/>
  <c r="AI133" i="26"/>
  <c r="AL133" i="26"/>
  <c r="AL134" i="26"/>
  <c r="AI134" i="26"/>
  <c r="AL140" i="26"/>
  <c r="AI140" i="26"/>
  <c r="AI141" i="26"/>
  <c r="AL141" i="26"/>
  <c r="AL142" i="26"/>
  <c r="AI142" i="26"/>
  <c r="AL148" i="26"/>
  <c r="AI148" i="26"/>
  <c r="AL149" i="26"/>
  <c r="AI149" i="26"/>
  <c r="AL150" i="26"/>
  <c r="AI150" i="26"/>
  <c r="AL155" i="26"/>
  <c r="AI155" i="26"/>
  <c r="AI165" i="26"/>
  <c r="AL165" i="26"/>
  <c r="AI166" i="26"/>
  <c r="AL166" i="26"/>
  <c r="AL172" i="26"/>
  <c r="AI172" i="26"/>
  <c r="AI173" i="26"/>
  <c r="AL173" i="26"/>
  <c r="AI174" i="26"/>
  <c r="AL174" i="26"/>
  <c r="AL181" i="26"/>
  <c r="AI181" i="26"/>
  <c r="AI88" i="27"/>
  <c r="AL88" i="27"/>
  <c r="AL89" i="27"/>
  <c r="AI89" i="27"/>
  <c r="AI90" i="27"/>
  <c r="AL90" i="27"/>
  <c r="AL94" i="27"/>
  <c r="AI94" i="27"/>
  <c r="AL103" i="27"/>
  <c r="AI103" i="27"/>
  <c r="AL107" i="27"/>
  <c r="AI107" i="27"/>
  <c r="AL112" i="27"/>
  <c r="AI112" i="27"/>
  <c r="AL113" i="27"/>
  <c r="AI113" i="27"/>
  <c r="AI117" i="27"/>
  <c r="AL117" i="27"/>
  <c r="AI118" i="27"/>
  <c r="AL118" i="27"/>
  <c r="AI123" i="27"/>
  <c r="AL123" i="27"/>
  <c r="AI128" i="27"/>
  <c r="AL128" i="27"/>
  <c r="AI129" i="27"/>
  <c r="AL129" i="27"/>
  <c r="AI130" i="27"/>
  <c r="AL130" i="27"/>
  <c r="AI135" i="27"/>
  <c r="AL135" i="27"/>
  <c r="AI136" i="27"/>
  <c r="AL136" i="27"/>
  <c r="AI137" i="27"/>
  <c r="AL137" i="27"/>
  <c r="AI142" i="27"/>
  <c r="AL142" i="27"/>
  <c r="AL149" i="27"/>
  <c r="AI149" i="27"/>
  <c r="AI156" i="27"/>
  <c r="AL156" i="27"/>
  <c r="AI162" i="27"/>
  <c r="AL162" i="27"/>
  <c r="AI167" i="27"/>
  <c r="AL167" i="27"/>
  <c r="AI172" i="27"/>
  <c r="AL172" i="27"/>
  <c r="AL177" i="27"/>
  <c r="AI177" i="27"/>
  <c r="AL182" i="27"/>
  <c r="AI182" i="27"/>
  <c r="AL160" i="22"/>
  <c r="AI160" i="22"/>
  <c r="AL165" i="22"/>
  <c r="AI165" i="22"/>
  <c r="AI171" i="22"/>
  <c r="AL171" i="22"/>
  <c r="AL176" i="22"/>
  <c r="AI176" i="22"/>
  <c r="AL177" i="22"/>
  <c r="AI177" i="22"/>
  <c r="AI181" i="22"/>
  <c r="AL181" i="22"/>
  <c r="AI186" i="22"/>
  <c r="AL186" i="22"/>
  <c r="AI191" i="22"/>
  <c r="AL191" i="22"/>
  <c r="AI196" i="22"/>
  <c r="AL196" i="22"/>
  <c r="AI200" i="22"/>
  <c r="AL200" i="22"/>
  <c r="AI204" i="22"/>
  <c r="AL204" i="22"/>
  <c r="AI205" i="22"/>
  <c r="AL205" i="22"/>
  <c r="AI209" i="22"/>
  <c r="AL209" i="22"/>
  <c r="AI213" i="22"/>
  <c r="AL213" i="22"/>
  <c r="AL217" i="22"/>
  <c r="AI217" i="22"/>
  <c r="AL223" i="22"/>
  <c r="AI223" i="22"/>
  <c r="AI228" i="22"/>
  <c r="AL228" i="22"/>
  <c r="AI232" i="22"/>
  <c r="AL232" i="22"/>
  <c r="AL241" i="22"/>
  <c r="AI241" i="22"/>
  <c r="AL246" i="22"/>
  <c r="AI246" i="22"/>
  <c r="AI251" i="22"/>
  <c r="AL251" i="22"/>
  <c r="AL182" i="25"/>
  <c r="AI182" i="25"/>
  <c r="AL185" i="27"/>
  <c r="AI185" i="27"/>
  <c r="AQ170" i="24"/>
  <c r="AF77" i="24"/>
  <c r="AE77" i="24" s="1"/>
  <c r="V77" i="24"/>
  <c r="AM276" i="24"/>
  <c r="G17" i="15" s="1"/>
  <c r="V56" i="30"/>
  <c r="T56" i="30"/>
  <c r="AG56" i="30" s="1"/>
  <c r="V59" i="30"/>
  <c r="T59" i="30"/>
  <c r="AG59" i="30" s="1"/>
  <c r="V62" i="30"/>
  <c r="T62" i="30"/>
  <c r="AG62" i="30" s="1"/>
  <c r="CT337" i="14"/>
  <c r="D190" i="7"/>
  <c r="S190" i="7" s="1"/>
  <c r="D82" i="1"/>
  <c r="AF171" i="30"/>
  <c r="AI171" i="30"/>
  <c r="AG148" i="30"/>
  <c r="AN139" i="30"/>
  <c r="AG129" i="30"/>
  <c r="AL128" i="30"/>
  <c r="AS128" i="30"/>
  <c r="AF128" i="30"/>
  <c r="AO120" i="30"/>
  <c r="AL120" i="30"/>
  <c r="AN120" i="30"/>
  <c r="AL89" i="30"/>
  <c r="AQ139" i="30"/>
  <c r="AD73" i="30"/>
  <c r="V15" i="30"/>
  <c r="T15" i="30"/>
  <c r="V25" i="30"/>
  <c r="T25" i="30"/>
  <c r="AG25" i="30" s="1"/>
  <c r="V30" i="30"/>
  <c r="T30" i="30"/>
  <c r="AG30" i="30" s="1"/>
  <c r="V34" i="30"/>
  <c r="T34" i="30"/>
  <c r="AG34" i="30" s="1"/>
  <c r="V35" i="30"/>
  <c r="T35" i="30"/>
  <c r="AG35" i="30" s="1"/>
  <c r="V37" i="30"/>
  <c r="T37" i="30"/>
  <c r="AG37" i="30" s="1"/>
  <c r="V39" i="30"/>
  <c r="T39" i="30"/>
  <c r="AG39" i="30" s="1"/>
  <c r="V44" i="30"/>
  <c r="T44" i="30"/>
  <c r="AG44" i="30" s="1"/>
  <c r="V46" i="30"/>
  <c r="T46" i="30"/>
  <c r="AG46" i="30" s="1"/>
  <c r="V50" i="30"/>
  <c r="T50" i="30"/>
  <c r="AG50" i="30" s="1"/>
  <c r="V54" i="30"/>
  <c r="T54" i="30"/>
  <c r="AG54" i="30" s="1"/>
  <c r="CT218" i="14"/>
  <c r="AR143" i="25"/>
  <c r="AK114" i="25"/>
  <c r="AJ114" i="25"/>
  <c r="AO127" i="25"/>
  <c r="AN143" i="25"/>
  <c r="AG159" i="25"/>
  <c r="AD238" i="22"/>
  <c r="AH163" i="22"/>
  <c r="AL88" i="25"/>
  <c r="AI88" i="25"/>
  <c r="AL89" i="25"/>
  <c r="AI89" i="25"/>
  <c r="AI90" i="25"/>
  <c r="AL90" i="25"/>
  <c r="AL91" i="25"/>
  <c r="AI91" i="25"/>
  <c r="AL96" i="25"/>
  <c r="AI96" i="25"/>
  <c r="AL97" i="25"/>
  <c r="AI97" i="25"/>
  <c r="AL98" i="25"/>
  <c r="AI98" i="25"/>
  <c r="AL99" i="25"/>
  <c r="AI99" i="25"/>
  <c r="AL100" i="25"/>
  <c r="AI100" i="25"/>
  <c r="AL106" i="25"/>
  <c r="AI106" i="25"/>
  <c r="AL107" i="25"/>
  <c r="AI107" i="25"/>
  <c r="AI121" i="25"/>
  <c r="AL121" i="25"/>
  <c r="AI126" i="25"/>
  <c r="AL126" i="25"/>
  <c r="AI133" i="25"/>
  <c r="AL133" i="25"/>
  <c r="AI139" i="25"/>
  <c r="AL139" i="25"/>
  <c r="AI145" i="25"/>
  <c r="AL145" i="25"/>
  <c r="AI151" i="25"/>
  <c r="AL151" i="25"/>
  <c r="AI152" i="25"/>
  <c r="AL152" i="25"/>
  <c r="AI162" i="25"/>
  <c r="AL162" i="25"/>
  <c r="AI163" i="25"/>
  <c r="AL163" i="25"/>
  <c r="AI164" i="25"/>
  <c r="AL164" i="25"/>
  <c r="AI165" i="25"/>
  <c r="AL165" i="25"/>
  <c r="AI170" i="25"/>
  <c r="AL170" i="25"/>
  <c r="AL175" i="25"/>
  <c r="AI175" i="25"/>
  <c r="AI176" i="25"/>
  <c r="AL176" i="25"/>
  <c r="AI177" i="25"/>
  <c r="AL177" i="25"/>
  <c r="AI178" i="25"/>
  <c r="AL178" i="25"/>
  <c r="AL93" i="26"/>
  <c r="AI93" i="26"/>
  <c r="AL94" i="26"/>
  <c r="AI94" i="26"/>
  <c r="AL95" i="26"/>
  <c r="AI95" i="26"/>
  <c r="AI117" i="26"/>
  <c r="AL117" i="26"/>
  <c r="AL118" i="26"/>
  <c r="AI118" i="26"/>
  <c r="AL128" i="26"/>
  <c r="AI128" i="26"/>
  <c r="AI129" i="26"/>
  <c r="AL129" i="26"/>
  <c r="AL130" i="26"/>
  <c r="AI130" i="26"/>
  <c r="AI139" i="26"/>
  <c r="AL139" i="26"/>
  <c r="AL147" i="26"/>
  <c r="AI147" i="26"/>
  <c r="AL154" i="26"/>
  <c r="AI154" i="26"/>
  <c r="AI164" i="26"/>
  <c r="AL164" i="26"/>
  <c r="AL170" i="26"/>
  <c r="AI170" i="26"/>
  <c r="AL171" i="26"/>
  <c r="AI171" i="26"/>
  <c r="AL180" i="26"/>
  <c r="AI180" i="26"/>
  <c r="AI93" i="27"/>
  <c r="AL93" i="27"/>
  <c r="AL102" i="27"/>
  <c r="AI102" i="27"/>
  <c r="AL111" i="27"/>
  <c r="AI111" i="27"/>
  <c r="AI122" i="27"/>
  <c r="AL122" i="27"/>
  <c r="AI127" i="27"/>
  <c r="AL127" i="27"/>
  <c r="AI134" i="27"/>
  <c r="AL134" i="27"/>
  <c r="AI140" i="27"/>
  <c r="AL140" i="27"/>
  <c r="AI141" i="27"/>
  <c r="AL141" i="27"/>
  <c r="AL147" i="27"/>
  <c r="AI147" i="27"/>
  <c r="AI148" i="27"/>
  <c r="AL148" i="27"/>
  <c r="AL155" i="27"/>
  <c r="AI155" i="27"/>
  <c r="AI160" i="27"/>
  <c r="AL160" i="27"/>
  <c r="AI161" i="27"/>
  <c r="AL161" i="27"/>
  <c r="AI166" i="27"/>
  <c r="AL166" i="27"/>
  <c r="AI170" i="27"/>
  <c r="AL170" i="27"/>
  <c r="AI171" i="27"/>
  <c r="AL171" i="27"/>
  <c r="AL176" i="27"/>
  <c r="AI176" i="27"/>
  <c r="AL180" i="27"/>
  <c r="AI180" i="27"/>
  <c r="AI181" i="27"/>
  <c r="AL181" i="27"/>
  <c r="AL158" i="22"/>
  <c r="AI158" i="22"/>
  <c r="AL159" i="22"/>
  <c r="AI159" i="22"/>
  <c r="AL164" i="22"/>
  <c r="AI164" i="22"/>
  <c r="AL170" i="22"/>
  <c r="AI170" i="22"/>
  <c r="AI175" i="22"/>
  <c r="AL175" i="22"/>
  <c r="AI180" i="22"/>
  <c r="AL180" i="22"/>
  <c r="AI185" i="22"/>
  <c r="AL185" i="22"/>
  <c r="AI190" i="22"/>
  <c r="AL190" i="22"/>
  <c r="AI194" i="22"/>
  <c r="AL194" i="22"/>
  <c r="AI195" i="22"/>
  <c r="AL195" i="22"/>
  <c r="AI199" i="22"/>
  <c r="AL199" i="22"/>
  <c r="AI203" i="22"/>
  <c r="AL203" i="22"/>
  <c r="AI208" i="22"/>
  <c r="AL208" i="22"/>
  <c r="AI212" i="22"/>
  <c r="AL212" i="22"/>
  <c r="AL216" i="22"/>
  <c r="AI216" i="22"/>
  <c r="AL221" i="22"/>
  <c r="AI221" i="22"/>
  <c r="AL222" i="22"/>
  <c r="AI222" i="22"/>
  <c r="AL226" i="22"/>
  <c r="AI226" i="22"/>
  <c r="AL227" i="22"/>
  <c r="AI227" i="22"/>
  <c r="AI231" i="22"/>
  <c r="AL231" i="22"/>
  <c r="AI240" i="22"/>
  <c r="AL240" i="22"/>
  <c r="AI245" i="22"/>
  <c r="AL245" i="22"/>
  <c r="AL250" i="22"/>
  <c r="AI250" i="22"/>
  <c r="AI255" i="22"/>
  <c r="AL255" i="22"/>
  <c r="AL181" i="25"/>
  <c r="AI181" i="25"/>
  <c r="AL184" i="27"/>
  <c r="AI184" i="27"/>
  <c r="V21" i="30"/>
  <c r="T21" i="30"/>
  <c r="AG21" i="30" s="1"/>
  <c r="V19" i="30"/>
  <c r="T19" i="30"/>
  <c r="AG19" i="30" s="1"/>
  <c r="AQ18" i="24"/>
  <c r="AF122" i="24"/>
  <c r="AE122" i="24" s="1"/>
  <c r="AE124" i="24"/>
  <c r="AE82" i="24"/>
  <c r="AF70" i="24"/>
  <c r="AE70" i="24" s="1"/>
  <c r="AF73" i="24"/>
  <c r="AE73" i="24" s="1"/>
  <c r="AF31" i="24"/>
  <c r="AE31" i="24" s="1"/>
  <c r="AF29" i="24"/>
  <c r="AE29" i="24" s="1"/>
  <c r="AN234" i="24"/>
  <c r="AQ232" i="24"/>
  <c r="AQ227" i="24"/>
  <c r="AN223" i="24"/>
  <c r="AN205" i="24"/>
  <c r="AQ204" i="24"/>
  <c r="AH192" i="24"/>
  <c r="AN190" i="24"/>
  <c r="AN177" i="24"/>
  <c r="AQ173" i="24"/>
  <c r="AD276" i="24"/>
  <c r="AQ163" i="24"/>
  <c r="AN159" i="24"/>
  <c r="AQ154" i="24"/>
  <c r="AN153" i="24"/>
  <c r="AN136" i="24"/>
  <c r="AQ134" i="24"/>
  <c r="AH132" i="24"/>
  <c r="AH130" i="24"/>
  <c r="AQ122" i="24"/>
  <c r="AQ88" i="24"/>
  <c r="AQ90" i="24"/>
  <c r="AN87" i="24"/>
  <c r="AQ70" i="24"/>
  <c r="AN68" i="24"/>
  <c r="AN64" i="24"/>
  <c r="AQ60" i="24"/>
  <c r="AN61" i="24"/>
  <c r="AQ73" i="24"/>
  <c r="AQ66" i="24"/>
  <c r="AH18" i="24"/>
  <c r="AQ12" i="24"/>
  <c r="AQ265" i="24" s="1"/>
  <c r="AF62" i="30"/>
  <c r="AE62" i="30" s="1"/>
  <c r="V57" i="30"/>
  <c r="T57" i="30"/>
  <c r="AG57" i="30" s="1"/>
  <c r="V63" i="30"/>
  <c r="T63" i="30"/>
  <c r="AG63" i="30" s="1"/>
  <c r="D178" i="7"/>
  <c r="S178" i="7" s="1"/>
  <c r="AI85" i="25"/>
  <c r="AL85" i="25"/>
  <c r="AL86" i="25"/>
  <c r="AI86" i="25"/>
  <c r="AL87" i="25"/>
  <c r="AI87" i="25"/>
  <c r="AL104" i="25"/>
  <c r="AI104" i="25"/>
  <c r="AL105" i="25"/>
  <c r="AI105" i="25"/>
  <c r="AL110" i="25"/>
  <c r="AI110" i="25"/>
  <c r="AL111" i="25"/>
  <c r="AI111" i="25"/>
  <c r="AI120" i="25"/>
  <c r="AL120" i="25"/>
  <c r="AI125" i="25"/>
  <c r="AL125" i="25"/>
  <c r="AI132" i="25"/>
  <c r="AL132" i="25"/>
  <c r="AI137" i="25"/>
  <c r="AL137" i="25"/>
  <c r="AI138" i="25"/>
  <c r="AL138" i="25"/>
  <c r="AI142" i="25"/>
  <c r="AL142" i="25"/>
  <c r="AI143" i="25"/>
  <c r="AL143" i="25"/>
  <c r="AI144" i="25"/>
  <c r="AL144" i="25"/>
  <c r="AI150" i="25"/>
  <c r="AL150" i="25"/>
  <c r="AI157" i="25"/>
  <c r="AL157" i="25"/>
  <c r="AI158" i="25"/>
  <c r="AL158" i="25"/>
  <c r="AI159" i="25"/>
  <c r="AL159" i="25"/>
  <c r="AI160" i="25"/>
  <c r="AL160" i="25"/>
  <c r="AI161" i="25"/>
  <c r="AL161" i="25"/>
  <c r="AI169" i="25"/>
  <c r="AL169" i="25"/>
  <c r="AL174" i="25"/>
  <c r="AI174" i="25"/>
  <c r="AL88" i="26"/>
  <c r="AI88" i="26"/>
  <c r="AL89" i="26"/>
  <c r="AI89" i="26"/>
  <c r="AL90" i="26"/>
  <c r="AI90" i="26"/>
  <c r="AL91" i="26"/>
  <c r="AI91" i="26"/>
  <c r="AL92" i="26"/>
  <c r="AI92" i="26"/>
  <c r="AI99" i="26"/>
  <c r="AL99" i="26"/>
  <c r="AL100" i="26"/>
  <c r="AI100" i="26"/>
  <c r="AL101" i="26"/>
  <c r="AI101" i="26"/>
  <c r="AL102" i="26"/>
  <c r="AI102" i="26"/>
  <c r="AI103" i="26"/>
  <c r="AL103" i="26"/>
  <c r="AL115" i="26"/>
  <c r="AI115" i="26"/>
  <c r="AI127" i="26"/>
  <c r="AL127" i="26"/>
  <c r="AL138" i="26"/>
  <c r="AI138" i="26"/>
  <c r="AL144" i="26"/>
  <c r="AI144" i="26"/>
  <c r="AL145" i="26"/>
  <c r="AI145" i="26"/>
  <c r="AL146" i="26"/>
  <c r="AI146" i="26"/>
  <c r="AL152" i="26"/>
  <c r="AI152" i="26"/>
  <c r="AL153" i="26"/>
  <c r="AI153" i="26"/>
  <c r="AL159" i="26"/>
  <c r="AI159" i="26"/>
  <c r="AI160" i="26"/>
  <c r="AL160" i="26"/>
  <c r="AI161" i="26"/>
  <c r="AL161" i="26"/>
  <c r="AI162" i="26"/>
  <c r="AL162" i="26"/>
  <c r="AI163" i="26"/>
  <c r="AL163" i="26"/>
  <c r="AI168" i="26"/>
  <c r="AL168" i="26"/>
  <c r="AL169" i="26"/>
  <c r="AI169" i="26"/>
  <c r="AI176" i="26"/>
  <c r="AL176" i="26"/>
  <c r="AI177" i="26"/>
  <c r="AL177" i="26"/>
  <c r="AI178" i="26"/>
  <c r="AL178" i="26"/>
  <c r="AL179" i="26"/>
  <c r="AI179" i="26"/>
  <c r="AL92" i="27"/>
  <c r="AI92" i="27"/>
  <c r="AL100" i="27"/>
  <c r="AI100" i="27"/>
  <c r="AL101" i="27"/>
  <c r="AI101" i="27"/>
  <c r="AL110" i="27"/>
  <c r="AI110" i="27"/>
  <c r="AI115" i="27"/>
  <c r="AL115" i="27"/>
  <c r="AI120" i="27"/>
  <c r="AL120" i="27"/>
  <c r="AI121" i="27"/>
  <c r="AL121" i="27"/>
  <c r="AI125" i="27"/>
  <c r="AL125" i="27"/>
  <c r="AI126" i="27"/>
  <c r="AL126" i="27"/>
  <c r="AI132" i="27"/>
  <c r="AL132" i="27"/>
  <c r="AI133" i="27"/>
  <c r="AL133" i="27"/>
  <c r="AI139" i="27"/>
  <c r="AL139" i="27"/>
  <c r="AI146" i="27"/>
  <c r="AL146" i="27"/>
  <c r="AI154" i="27"/>
  <c r="AL154" i="27"/>
  <c r="AI158" i="27"/>
  <c r="AL158" i="27"/>
  <c r="AL159" i="27"/>
  <c r="AI159" i="27"/>
  <c r="AI164" i="27"/>
  <c r="AL164" i="27"/>
  <c r="AI165" i="27"/>
  <c r="AL165" i="27"/>
  <c r="AI169" i="27"/>
  <c r="AL169" i="27"/>
  <c r="AL174" i="27"/>
  <c r="AI174" i="27"/>
  <c r="AL175" i="27"/>
  <c r="AI175" i="27"/>
  <c r="AI179" i="27"/>
  <c r="AL179" i="27"/>
  <c r="AL157" i="22"/>
  <c r="AL162" i="22"/>
  <c r="AI162" i="22"/>
  <c r="AI163" i="22"/>
  <c r="AL163" i="22"/>
  <c r="AL168" i="22"/>
  <c r="AI168" i="22"/>
  <c r="AL169" i="22"/>
  <c r="AI169" i="22"/>
  <c r="AL174" i="22"/>
  <c r="AI174" i="22"/>
  <c r="AI179" i="22"/>
  <c r="AL179" i="22"/>
  <c r="AI183" i="22"/>
  <c r="AL183" i="22"/>
  <c r="AI184" i="22"/>
  <c r="AL184" i="22"/>
  <c r="AI189" i="22"/>
  <c r="AL189" i="22"/>
  <c r="AI193" i="22"/>
  <c r="AL193" i="22"/>
  <c r="AI198" i="22"/>
  <c r="AL198" i="22"/>
  <c r="AI202" i="22"/>
  <c r="AL202" i="22"/>
  <c r="AL207" i="22"/>
  <c r="AI211" i="22"/>
  <c r="AL211" i="22"/>
  <c r="AL220" i="22"/>
  <c r="AI220" i="22"/>
  <c r="AL225" i="22"/>
  <c r="AI225" i="22"/>
  <c r="AI230" i="22"/>
  <c r="AL230" i="22"/>
  <c r="AI236" i="22"/>
  <c r="AL236" i="22"/>
  <c r="AL237" i="22"/>
  <c r="AI237" i="22"/>
  <c r="AI238" i="22"/>
  <c r="AL238" i="22"/>
  <c r="AL239" i="22"/>
  <c r="AI239" i="22"/>
  <c r="AL244" i="22"/>
  <c r="AI244" i="22"/>
  <c r="AL248" i="22"/>
  <c r="AI248" i="22"/>
  <c r="AI249" i="22"/>
  <c r="AL249" i="22"/>
  <c r="AL253" i="22"/>
  <c r="AI253" i="22"/>
  <c r="AI184" i="26"/>
  <c r="AL184" i="26"/>
  <c r="AI185" i="26"/>
  <c r="AL185" i="26"/>
  <c r="AI172" i="30"/>
  <c r="AL172" i="30"/>
  <c r="V55" i="30"/>
  <c r="T55" i="30"/>
  <c r="AG55" i="30" s="1"/>
  <c r="V60" i="30"/>
  <c r="T60" i="30"/>
  <c r="AG60" i="30" s="1"/>
  <c r="CT48" i="14"/>
  <c r="CT62" i="14" s="1"/>
  <c r="CT65" i="14" s="1"/>
  <c r="D84" i="1"/>
  <c r="BA171" i="14" s="1"/>
  <c r="J48" i="10"/>
  <c r="CW200" i="14"/>
  <c r="O200" i="14" s="1"/>
  <c r="CW192" i="14"/>
  <c r="CW179" i="14"/>
  <c r="O179" i="14" s="1"/>
  <c r="CW153" i="14"/>
  <c r="O153" i="14" s="1"/>
  <c r="CW146" i="14"/>
  <c r="O146" i="14" s="1"/>
  <c r="CW135" i="14"/>
  <c r="O135" i="14" s="1"/>
  <c r="CW123" i="14"/>
  <c r="O123" i="14" s="1"/>
  <c r="CW58" i="14"/>
  <c r="O58" i="14" s="1"/>
  <c r="D78" i="1"/>
  <c r="T124" i="24"/>
  <c r="AI124" i="24" s="1"/>
  <c r="AH124" i="24" s="1"/>
  <c r="CW57" i="14"/>
  <c r="O57" i="14" s="1"/>
  <c r="CW60" i="14"/>
  <c r="O60" i="14" s="1"/>
  <c r="CW52" i="14"/>
  <c r="O52" i="14" s="1"/>
  <c r="CW113" i="14"/>
  <c r="O113" i="14" s="1"/>
  <c r="CW127" i="14"/>
  <c r="O127" i="14" s="1"/>
  <c r="CW148" i="14"/>
  <c r="O148" i="14" s="1"/>
  <c r="CW178" i="14"/>
  <c r="O178" i="14" s="1"/>
  <c r="CW190" i="14"/>
  <c r="O190" i="14" s="1"/>
  <c r="CW198" i="14"/>
  <c r="D80" i="1"/>
  <c r="BA172" i="14" s="1"/>
  <c r="D83" i="1"/>
  <c r="CW117" i="14"/>
  <c r="O117" i="14" s="1"/>
  <c r="CW175" i="14"/>
  <c r="O175" i="14" s="1"/>
  <c r="CW140" i="14"/>
  <c r="O140" i="14" s="1"/>
  <c r="CW125" i="14"/>
  <c r="O125" i="14" s="1"/>
  <c r="CW119" i="14"/>
  <c r="O119" i="14" s="1"/>
  <c r="CW63" i="14"/>
  <c r="CW30" i="14"/>
  <c r="O30" i="14" s="1"/>
  <c r="CW193" i="14"/>
  <c r="O193" i="14" s="1"/>
  <c r="CW180" i="14"/>
  <c r="O180" i="14" s="1"/>
  <c r="CW138" i="14"/>
  <c r="O138" i="14" s="1"/>
  <c r="CW124" i="14"/>
  <c r="O124" i="14" s="1"/>
  <c r="CW118" i="14"/>
  <c r="O118" i="14" s="1"/>
  <c r="CW115" i="14"/>
  <c r="O115" i="14" s="1"/>
  <c r="CW108" i="14"/>
  <c r="O108" i="14" s="1"/>
  <c r="CW59" i="14"/>
  <c r="O59" i="14" s="1"/>
  <c r="CW29" i="14"/>
  <c r="O29" i="14" s="1"/>
  <c r="CW109" i="14"/>
  <c r="O109" i="14" s="1"/>
  <c r="T23" i="24"/>
  <c r="AG363" i="24"/>
  <c r="AB54" i="1"/>
  <c r="S12" i="29"/>
  <c r="T12" i="29" s="1"/>
  <c r="AI12" i="29" s="1"/>
  <c r="AH12" i="29" s="1"/>
  <c r="S16" i="29"/>
  <c r="T16" i="29" s="1"/>
  <c r="AI16" i="29" s="1"/>
  <c r="AH16" i="29" s="1"/>
  <c r="S25" i="29"/>
  <c r="T25" i="29" s="1"/>
  <c r="S29" i="29"/>
  <c r="T29" i="29" s="1"/>
  <c r="AI29" i="29" s="1"/>
  <c r="AH29" i="29" s="1"/>
  <c r="S35" i="29"/>
  <c r="T35" i="29" s="1"/>
  <c r="AI35" i="29" s="1"/>
  <c r="AH35" i="29" s="1"/>
  <c r="S39" i="29"/>
  <c r="T39" i="29" s="1"/>
  <c r="AI39" i="29" s="1"/>
  <c r="AH39" i="29" s="1"/>
  <c r="S45" i="29"/>
  <c r="T45" i="29" s="1"/>
  <c r="AI45" i="29" s="1"/>
  <c r="AH45" i="29" s="1"/>
  <c r="S49" i="29"/>
  <c r="T49" i="29" s="1"/>
  <c r="AI49" i="29" s="1"/>
  <c r="AH49" i="29" s="1"/>
  <c r="S53" i="29"/>
  <c r="T53" i="29" s="1"/>
  <c r="AI53" i="29" s="1"/>
  <c r="AH53" i="29" s="1"/>
  <c r="S57" i="29"/>
  <c r="T57" i="29" s="1"/>
  <c r="AI57" i="29" s="1"/>
  <c r="AH57" i="29" s="1"/>
  <c r="S61" i="29"/>
  <c r="T61" i="29" s="1"/>
  <c r="AI61" i="29" s="1"/>
  <c r="AH61" i="29" s="1"/>
  <c r="S65" i="29"/>
  <c r="T65" i="29" s="1"/>
  <c r="AI65" i="29" s="1"/>
  <c r="AH65" i="29" s="1"/>
  <c r="S73" i="29"/>
  <c r="T73" i="29" s="1"/>
  <c r="AI73" i="29" s="1"/>
  <c r="AH73" i="29" s="1"/>
  <c r="S77" i="29"/>
  <c r="T77" i="29" s="1"/>
  <c r="AI77" i="29" s="1"/>
  <c r="AH77" i="29" s="1"/>
  <c r="S83" i="29"/>
  <c r="T83" i="29" s="1"/>
  <c r="AI83" i="29" s="1"/>
  <c r="AH83" i="29" s="1"/>
  <c r="S87" i="29"/>
  <c r="T87" i="29" s="1"/>
  <c r="AI87" i="29" s="1"/>
  <c r="AH87" i="29" s="1"/>
  <c r="S91" i="29"/>
  <c r="T91" i="29" s="1"/>
  <c r="AI91" i="29" s="1"/>
  <c r="AH91" i="29" s="1"/>
  <c r="S95" i="29"/>
  <c r="T95" i="29" s="1"/>
  <c r="AI95" i="29" s="1"/>
  <c r="AH95" i="29" s="1"/>
  <c r="S99" i="29"/>
  <c r="T99" i="29" s="1"/>
  <c r="AI99" i="29" s="1"/>
  <c r="AH99" i="29" s="1"/>
  <c r="S103" i="29"/>
  <c r="T103" i="29" s="1"/>
  <c r="AI103" i="29" s="1"/>
  <c r="AH103" i="29" s="1"/>
  <c r="S107" i="29"/>
  <c r="T107" i="29" s="1"/>
  <c r="AI107" i="29" s="1"/>
  <c r="AH107" i="29" s="1"/>
  <c r="S115" i="29"/>
  <c r="T115" i="29" s="1"/>
  <c r="AI115" i="29" s="1"/>
  <c r="AH115" i="29" s="1"/>
  <c r="S119" i="29"/>
  <c r="T119" i="29" s="1"/>
  <c r="AI119" i="29" s="1"/>
  <c r="AH119" i="29" s="1"/>
  <c r="S123" i="29"/>
  <c r="T123" i="29" s="1"/>
  <c r="AI123" i="29" s="1"/>
  <c r="AH123" i="29" s="1"/>
  <c r="S127" i="29"/>
  <c r="T127" i="29" s="1"/>
  <c r="AI127" i="29" s="1"/>
  <c r="AH127" i="29" s="1"/>
  <c r="S131" i="29"/>
  <c r="T131" i="29" s="1"/>
  <c r="AI131" i="29" s="1"/>
  <c r="AH131" i="29" s="1"/>
  <c r="S140" i="29"/>
  <c r="T140" i="29" s="1"/>
  <c r="AI140" i="29" s="1"/>
  <c r="AH140" i="29" s="1"/>
  <c r="S144" i="29"/>
  <c r="T144" i="29" s="1"/>
  <c r="AI144" i="29" s="1"/>
  <c r="AH144" i="29" s="1"/>
  <c r="S13" i="29"/>
  <c r="T13" i="29" s="1"/>
  <c r="AI13" i="29" s="1"/>
  <c r="AH13" i="29" s="1"/>
  <c r="S17" i="29"/>
  <c r="T17" i="29" s="1"/>
  <c r="AI17" i="29" s="1"/>
  <c r="AH17" i="29" s="1"/>
  <c r="S26" i="29"/>
  <c r="T26" i="29" s="1"/>
  <c r="S30" i="29"/>
  <c r="T30" i="29" s="1"/>
  <c r="AI30" i="29" s="1"/>
  <c r="AH30" i="29" s="1"/>
  <c r="S36" i="29"/>
  <c r="T36" i="29" s="1"/>
  <c r="AI36" i="29" s="1"/>
  <c r="AH36" i="29" s="1"/>
  <c r="S40" i="29"/>
  <c r="T40" i="29" s="1"/>
  <c r="AI40" i="29" s="1"/>
  <c r="AH40" i="29" s="1"/>
  <c r="S46" i="29"/>
  <c r="T46" i="29" s="1"/>
  <c r="AI46" i="29" s="1"/>
  <c r="AH46" i="29" s="1"/>
  <c r="S50" i="29"/>
  <c r="T50" i="29" s="1"/>
  <c r="AI50" i="29" s="1"/>
  <c r="AH50" i="29" s="1"/>
  <c r="S54" i="29"/>
  <c r="T54" i="29" s="1"/>
  <c r="AI54" i="29" s="1"/>
  <c r="AH54" i="29" s="1"/>
  <c r="S58" i="29"/>
  <c r="T58" i="29" s="1"/>
  <c r="AI58" i="29" s="1"/>
  <c r="AH58" i="29" s="1"/>
  <c r="S62" i="29"/>
  <c r="T62" i="29" s="1"/>
  <c r="AI62" i="29" s="1"/>
  <c r="AH62" i="29" s="1"/>
  <c r="S66" i="29"/>
  <c r="T66" i="29" s="1"/>
  <c r="AI66" i="29" s="1"/>
  <c r="AH66" i="29" s="1"/>
  <c r="S74" i="29"/>
  <c r="T74" i="29" s="1"/>
  <c r="AI74" i="29" s="1"/>
  <c r="AH74" i="29" s="1"/>
  <c r="S80" i="29"/>
  <c r="T80" i="29" s="1"/>
  <c r="AI80" i="29" s="1"/>
  <c r="AH80" i="29" s="1"/>
  <c r="S84" i="29"/>
  <c r="T84" i="29" s="1"/>
  <c r="AI84" i="29" s="1"/>
  <c r="AH84" i="29" s="1"/>
  <c r="S88" i="29"/>
  <c r="T88" i="29" s="1"/>
  <c r="AI88" i="29" s="1"/>
  <c r="AH88" i="29" s="1"/>
  <c r="S92" i="29"/>
  <c r="T92" i="29" s="1"/>
  <c r="AI92" i="29" s="1"/>
  <c r="AH92" i="29" s="1"/>
  <c r="S96" i="29"/>
  <c r="T96" i="29" s="1"/>
  <c r="AI96" i="29" s="1"/>
  <c r="AH96" i="29" s="1"/>
  <c r="S100" i="29"/>
  <c r="T100" i="29" s="1"/>
  <c r="AI100" i="29" s="1"/>
  <c r="AH100" i="29" s="1"/>
  <c r="S104" i="29"/>
  <c r="T104" i="29" s="1"/>
  <c r="AI104" i="29" s="1"/>
  <c r="AH104" i="29" s="1"/>
  <c r="S112" i="29"/>
  <c r="T112" i="29" s="1"/>
  <c r="AI112" i="29" s="1"/>
  <c r="AH112" i="29" s="1"/>
  <c r="S116" i="29"/>
  <c r="T116" i="29" s="1"/>
  <c r="AI116" i="29" s="1"/>
  <c r="AH116" i="29" s="1"/>
  <c r="S120" i="29"/>
  <c r="T120" i="29" s="1"/>
  <c r="AI120" i="29" s="1"/>
  <c r="AH120" i="29" s="1"/>
  <c r="S124" i="29"/>
  <c r="T124" i="29" s="1"/>
  <c r="AI124" i="29" s="1"/>
  <c r="AH124" i="29" s="1"/>
  <c r="S128" i="29"/>
  <c r="T128" i="29" s="1"/>
  <c r="AI128" i="29" s="1"/>
  <c r="AH128" i="29" s="1"/>
  <c r="S137" i="29"/>
  <c r="T137" i="29" s="1"/>
  <c r="AI137" i="29" s="1"/>
  <c r="AH137" i="29" s="1"/>
  <c r="S141" i="29"/>
  <c r="T141" i="29" s="1"/>
  <c r="AI141" i="29" s="1"/>
  <c r="AH141" i="29" s="1"/>
  <c r="S145" i="29"/>
  <c r="T145" i="29" s="1"/>
  <c r="AI145" i="29" s="1"/>
  <c r="AH145" i="29" s="1"/>
  <c r="S14" i="29"/>
  <c r="T14" i="29" s="1"/>
  <c r="AI14" i="29" s="1"/>
  <c r="AH14" i="29" s="1"/>
  <c r="S23" i="29"/>
  <c r="T23" i="29" s="1"/>
  <c r="AI23" i="29" s="1"/>
  <c r="AH23" i="29" s="1"/>
  <c r="S27" i="29"/>
  <c r="T27" i="29" s="1"/>
  <c r="AI27" i="29" s="1"/>
  <c r="AH27" i="29" s="1"/>
  <c r="S31" i="29"/>
  <c r="T31" i="29" s="1"/>
  <c r="AI31" i="29" s="1"/>
  <c r="AH31" i="29" s="1"/>
  <c r="S37" i="29"/>
  <c r="T37" i="29" s="1"/>
  <c r="AI37" i="29" s="1"/>
  <c r="AH37" i="29" s="1"/>
  <c r="S41" i="29"/>
  <c r="T41" i="29" s="1"/>
  <c r="AI41" i="29" s="1"/>
  <c r="AH41" i="29" s="1"/>
  <c r="S47" i="29"/>
  <c r="T47" i="29" s="1"/>
  <c r="AI47" i="29" s="1"/>
  <c r="AH47" i="29" s="1"/>
  <c r="S51" i="29"/>
  <c r="T51" i="29" s="1"/>
  <c r="AI51" i="29" s="1"/>
  <c r="AH51" i="29" s="1"/>
  <c r="S55" i="29"/>
  <c r="T55" i="29" s="1"/>
  <c r="AI55" i="29" s="1"/>
  <c r="AH55" i="29" s="1"/>
  <c r="S59" i="29"/>
  <c r="T59" i="29" s="1"/>
  <c r="AI59" i="29" s="1"/>
  <c r="AH59" i="29" s="1"/>
  <c r="S63" i="29"/>
  <c r="T63" i="29" s="1"/>
  <c r="AI63" i="29" s="1"/>
  <c r="AH63" i="29" s="1"/>
  <c r="S71" i="29"/>
  <c r="T71" i="29" s="1"/>
  <c r="AI71" i="29" s="1"/>
  <c r="AH71" i="29" s="1"/>
  <c r="S75" i="29"/>
  <c r="T75" i="29" s="1"/>
  <c r="AI75" i="29" s="1"/>
  <c r="AH75" i="29" s="1"/>
  <c r="S81" i="29"/>
  <c r="T81" i="29" s="1"/>
  <c r="AI81" i="29" s="1"/>
  <c r="AH81" i="29" s="1"/>
  <c r="S85" i="29"/>
  <c r="T85" i="29" s="1"/>
  <c r="AI85" i="29" s="1"/>
  <c r="AH85" i="29" s="1"/>
  <c r="S89" i="29"/>
  <c r="T89" i="29" s="1"/>
  <c r="AI89" i="29" s="1"/>
  <c r="AH89" i="29" s="1"/>
  <c r="S93" i="29"/>
  <c r="T93" i="29" s="1"/>
  <c r="AI93" i="29" s="1"/>
  <c r="AH93" i="29" s="1"/>
  <c r="S97" i="29"/>
  <c r="T97" i="29" s="1"/>
  <c r="AI97" i="29" s="1"/>
  <c r="AH97" i="29" s="1"/>
  <c r="S101" i="29"/>
  <c r="T101" i="29" s="1"/>
  <c r="AI101" i="29" s="1"/>
  <c r="AH101" i="29" s="1"/>
  <c r="S105" i="29"/>
  <c r="T105" i="29" s="1"/>
  <c r="AI105" i="29" s="1"/>
  <c r="AH105" i="29" s="1"/>
  <c r="S113" i="29"/>
  <c r="T113" i="29" s="1"/>
  <c r="AI113" i="29" s="1"/>
  <c r="AH113" i="29" s="1"/>
  <c r="S117" i="29"/>
  <c r="T117" i="29" s="1"/>
  <c r="AI117" i="29" s="1"/>
  <c r="AS117" i="29" s="1"/>
  <c r="S121" i="29"/>
  <c r="T121" i="29" s="1"/>
  <c r="AI121" i="29" s="1"/>
  <c r="AH121" i="29" s="1"/>
  <c r="S125" i="29"/>
  <c r="T125" i="29" s="1"/>
  <c r="AI125" i="29" s="1"/>
  <c r="AH125" i="29" s="1"/>
  <c r="S129" i="29"/>
  <c r="T129" i="29" s="1"/>
  <c r="AI129" i="29" s="1"/>
  <c r="AH129" i="29" s="1"/>
  <c r="S138" i="29"/>
  <c r="T138" i="29" s="1"/>
  <c r="AI138" i="29" s="1"/>
  <c r="AH138" i="29" s="1"/>
  <c r="S142" i="29"/>
  <c r="T142" i="29" s="1"/>
  <c r="AI142" i="29" s="1"/>
  <c r="AH142" i="29" s="1"/>
  <c r="S28" i="29"/>
  <c r="T28" i="29" s="1"/>
  <c r="AI28" i="29" s="1"/>
  <c r="AH28" i="29" s="1"/>
  <c r="S48" i="29"/>
  <c r="T48" i="29" s="1"/>
  <c r="AI48" i="29" s="1"/>
  <c r="AH48" i="29" s="1"/>
  <c r="S64" i="29"/>
  <c r="T64" i="29" s="1"/>
  <c r="AI64" i="29" s="1"/>
  <c r="AH64" i="29" s="1"/>
  <c r="S86" i="29"/>
  <c r="T86" i="29" s="1"/>
  <c r="AI86" i="29" s="1"/>
  <c r="AH86" i="29" s="1"/>
  <c r="S102" i="29"/>
  <c r="T102" i="29" s="1"/>
  <c r="AI102" i="29" s="1"/>
  <c r="AH102" i="29" s="1"/>
  <c r="S122" i="29"/>
  <c r="T122" i="29" s="1"/>
  <c r="AI122" i="29" s="1"/>
  <c r="AH122" i="29" s="1"/>
  <c r="S143" i="29"/>
  <c r="T143" i="29" s="1"/>
  <c r="AI143" i="29" s="1"/>
  <c r="AH143" i="29" s="1"/>
  <c r="S32" i="29"/>
  <c r="T32" i="29" s="1"/>
  <c r="AI32" i="29" s="1"/>
  <c r="AH32" i="29" s="1"/>
  <c r="S52" i="29"/>
  <c r="T52" i="29" s="1"/>
  <c r="AI52" i="29" s="1"/>
  <c r="AH52" i="29" s="1"/>
  <c r="S72" i="29"/>
  <c r="T72" i="29" s="1"/>
  <c r="AI72" i="29" s="1"/>
  <c r="AH72" i="29" s="1"/>
  <c r="S90" i="29"/>
  <c r="T90" i="29" s="1"/>
  <c r="AI90" i="29" s="1"/>
  <c r="AH90" i="29" s="1"/>
  <c r="S106" i="29"/>
  <c r="T106" i="29" s="1"/>
  <c r="AI106" i="29" s="1"/>
  <c r="AH106" i="29" s="1"/>
  <c r="S126" i="29"/>
  <c r="T126" i="29" s="1"/>
  <c r="AI126" i="29" s="1"/>
  <c r="AH126" i="29" s="1"/>
  <c r="S15" i="29"/>
  <c r="T15" i="29" s="1"/>
  <c r="AI15" i="29" s="1"/>
  <c r="AH15" i="29" s="1"/>
  <c r="S38" i="29"/>
  <c r="T38" i="29" s="1"/>
  <c r="AI38" i="29" s="1"/>
  <c r="AH38" i="29" s="1"/>
  <c r="S56" i="29"/>
  <c r="T56" i="29" s="1"/>
  <c r="AI56" i="29" s="1"/>
  <c r="AH56" i="29" s="1"/>
  <c r="S76" i="29"/>
  <c r="T76" i="29" s="1"/>
  <c r="AI76" i="29" s="1"/>
  <c r="AH76" i="29" s="1"/>
  <c r="S94" i="29"/>
  <c r="T94" i="29" s="1"/>
  <c r="AI94" i="29" s="1"/>
  <c r="AH94" i="29" s="1"/>
  <c r="S114" i="29"/>
  <c r="T114" i="29" s="1"/>
  <c r="AI114" i="29" s="1"/>
  <c r="AH114" i="29" s="1"/>
  <c r="S130" i="29"/>
  <c r="T130" i="29" s="1"/>
  <c r="AI130" i="29" s="1"/>
  <c r="AH130" i="29" s="1"/>
  <c r="S24" i="29"/>
  <c r="T24" i="29" s="1"/>
  <c r="AI24" i="29" s="1"/>
  <c r="AH24" i="29" s="1"/>
  <c r="S42" i="29"/>
  <c r="T42" i="29" s="1"/>
  <c r="AI42" i="29" s="1"/>
  <c r="AH42" i="29" s="1"/>
  <c r="S60" i="29"/>
  <c r="T60" i="29" s="1"/>
  <c r="AI60" i="29" s="1"/>
  <c r="AH60" i="29" s="1"/>
  <c r="S82" i="29"/>
  <c r="T82" i="29" s="1"/>
  <c r="AI82" i="29" s="1"/>
  <c r="AH82" i="29" s="1"/>
  <c r="S98" i="29"/>
  <c r="T98" i="29" s="1"/>
  <c r="AI98" i="29" s="1"/>
  <c r="AH98" i="29" s="1"/>
  <c r="S118" i="29"/>
  <c r="T118" i="29" s="1"/>
  <c r="AI118" i="29" s="1"/>
  <c r="AH118" i="29" s="1"/>
  <c r="S139" i="29"/>
  <c r="T139" i="29" s="1"/>
  <c r="AI139" i="29" s="1"/>
  <c r="AH139" i="29" s="1"/>
  <c r="S27" i="25"/>
  <c r="T27" i="25" s="1"/>
  <c r="AG102" i="25"/>
  <c r="AG95" i="25"/>
  <c r="AG84" i="25"/>
  <c r="T31" i="27"/>
  <c r="T19" i="27"/>
  <c r="AI19" i="27" s="1"/>
  <c r="T15" i="27"/>
  <c r="T54" i="27"/>
  <c r="T161" i="24"/>
  <c r="Z161" i="24" s="1"/>
  <c r="T74" i="24"/>
  <c r="AI74" i="24" s="1"/>
  <c r="AH74" i="24" s="1"/>
  <c r="AJ106" i="27"/>
  <c r="AJ98" i="26"/>
  <c r="AG106" i="26"/>
  <c r="AJ307" i="24"/>
  <c r="AG272" i="24"/>
  <c r="T81" i="24"/>
  <c r="AG98" i="26"/>
  <c r="AG313" i="24"/>
  <c r="AG265" i="24"/>
  <c r="AF181" i="43"/>
  <c r="AD181" i="43"/>
  <c r="AS201" i="43"/>
  <c r="AN144" i="43"/>
  <c r="AJ185" i="43"/>
  <c r="AR189" i="43"/>
  <c r="AN189" i="43"/>
  <c r="AH181" i="43"/>
  <c r="AO181" i="43"/>
  <c r="AS193" i="43"/>
  <c r="AS185" i="43"/>
  <c r="AD189" i="43"/>
  <c r="AR177" i="43"/>
  <c r="AP197" i="43"/>
  <c r="AE48" i="43"/>
  <c r="AE34" i="43"/>
  <c r="AE236" i="43" s="1"/>
  <c r="AK133" i="43"/>
  <c r="AO144" i="43"/>
  <c r="AS197" i="43"/>
  <c r="AP181" i="43"/>
  <c r="AG185" i="43"/>
  <c r="AN177" i="43"/>
  <c r="AG197" i="43"/>
  <c r="AR185" i="43"/>
  <c r="AJ168" i="43"/>
  <c r="AM172" i="43"/>
  <c r="AE168" i="43"/>
  <c r="AE49" i="43"/>
  <c r="AE80" i="43"/>
  <c r="AE26" i="43"/>
  <c r="AE33" i="43"/>
  <c r="AE40" i="43"/>
  <c r="AD238" i="43"/>
  <c r="AD139" i="43"/>
  <c r="AE128" i="43"/>
  <c r="AN129" i="43"/>
  <c r="AK130" i="43"/>
  <c r="AH131" i="43"/>
  <c r="AE132" i="43"/>
  <c r="AK132" i="43"/>
  <c r="AN133" i="43"/>
  <c r="AN168" i="43"/>
  <c r="T91" i="43"/>
  <c r="AI91" i="43" s="1"/>
  <c r="AH91" i="43" s="1"/>
  <c r="AS181" i="43"/>
  <c r="AR181" i="43"/>
  <c r="AD193" i="43"/>
  <c r="AJ197" i="43"/>
  <c r="AJ181" i="43"/>
  <c r="AH197" i="43"/>
  <c r="AH185" i="43"/>
  <c r="AG177" i="43"/>
  <c r="AK172" i="43"/>
  <c r="AG189" i="43"/>
  <c r="AD185" i="43"/>
  <c r="AG181" i="43"/>
  <c r="AE20" i="43"/>
  <c r="AE83" i="43"/>
  <c r="T110" i="43"/>
  <c r="AI110" i="43" s="1"/>
  <c r="AH110" i="43" s="1"/>
  <c r="AK192" i="24"/>
  <c r="T102" i="43"/>
  <c r="AI102" i="43" s="1"/>
  <c r="AH102" i="43" s="1"/>
  <c r="T108" i="43"/>
  <c r="CW51" i="14"/>
  <c r="O51" i="14" s="1"/>
  <c r="CW53" i="14"/>
  <c r="O53" i="14" s="1"/>
  <c r="CW56" i="14"/>
  <c r="O56" i="14" s="1"/>
  <c r="AQ148" i="43"/>
  <c r="T63" i="43"/>
  <c r="V63" i="43"/>
  <c r="AL63" i="43" s="1"/>
  <c r="V22" i="43"/>
  <c r="AL22" i="43" s="1"/>
  <c r="T22" i="43"/>
  <c r="T18" i="43"/>
  <c r="V18" i="43"/>
  <c r="AL18" i="43" s="1"/>
  <c r="CT221" i="14"/>
  <c r="T47" i="43"/>
  <c r="V47" i="43"/>
  <c r="AL47" i="43" s="1"/>
  <c r="T41" i="43"/>
  <c r="V41" i="43"/>
  <c r="AL41" i="43" s="1"/>
  <c r="V77" i="43"/>
  <c r="AK54" i="43"/>
  <c r="T56" i="43"/>
  <c r="T33" i="43"/>
  <c r="AN64" i="43"/>
  <c r="AN54" i="43"/>
  <c r="AN50" i="43"/>
  <c r="AN46" i="43"/>
  <c r="AN42" i="43"/>
  <c r="AN38" i="43"/>
  <c r="AN30" i="43"/>
  <c r="AN22" i="43"/>
  <c r="AN14" i="43"/>
  <c r="AQ81" i="43"/>
  <c r="AQ69" i="43"/>
  <c r="AQ55" i="43"/>
  <c r="AQ31" i="43"/>
  <c r="AQ11" i="43"/>
  <c r="AK72" i="43"/>
  <c r="V33" i="43"/>
  <c r="AL33" i="43" s="1"/>
  <c r="T82" i="43"/>
  <c r="T70" i="43"/>
  <c r="T66" i="43"/>
  <c r="T64" i="43"/>
  <c r="T62" i="43"/>
  <c r="T52" i="43"/>
  <c r="T50" i="43"/>
  <c r="T48" i="43"/>
  <c r="T44" i="43"/>
  <c r="T40" i="43"/>
  <c r="AI11" i="43"/>
  <c r="AQ65" i="43"/>
  <c r="AQ51" i="43"/>
  <c r="AQ47" i="43"/>
  <c r="AQ27" i="43"/>
  <c r="V56" i="43"/>
  <c r="AL56" i="43" s="1"/>
  <c r="AK50" i="43"/>
  <c r="AK148" i="43" s="1"/>
  <c r="AK26" i="43"/>
  <c r="T83" i="43"/>
  <c r="T36" i="43"/>
  <c r="T34" i="43"/>
  <c r="AN83" i="43"/>
  <c r="AN76" i="43"/>
  <c r="AN143" i="43" s="1"/>
  <c r="AN72" i="43"/>
  <c r="AN78" i="43"/>
  <c r="AN70" i="43"/>
  <c r="AN56" i="43"/>
  <c r="AN156" i="43" s="1"/>
  <c r="T115" i="43"/>
  <c r="AI115" i="43" s="1"/>
  <c r="AH115" i="43" s="1"/>
  <c r="AN75" i="43"/>
  <c r="AN71" i="43"/>
  <c r="AN59" i="43"/>
  <c r="AN77" i="43"/>
  <c r="AN69" i="43"/>
  <c r="AN55" i="43"/>
  <c r="AM138" i="43"/>
  <c r="T114" i="43"/>
  <c r="AI114" i="43" s="1"/>
  <c r="AH114" i="43" s="1"/>
  <c r="AJ274" i="24"/>
  <c r="AJ261" i="24"/>
  <c r="I17" i="23" s="1"/>
  <c r="AJ272" i="24"/>
  <c r="F313" i="23"/>
  <c r="AE11" i="30"/>
  <c r="AI11" i="30"/>
  <c r="AL11" i="30"/>
  <c r="AQ10" i="30"/>
  <c r="AS10" i="30"/>
  <c r="AO14" i="30"/>
  <c r="AN14" i="30" s="1"/>
  <c r="AR14" i="30"/>
  <c r="N16" i="33"/>
  <c r="CT152" i="14"/>
  <c r="CT155" i="14" s="1"/>
  <c r="CT224" i="14"/>
  <c r="CT336" i="14"/>
  <c r="L308" i="14"/>
  <c r="D18" i="11" s="1"/>
  <c r="L224" i="14"/>
  <c r="D39" i="10" s="1"/>
  <c r="L336" i="14"/>
  <c r="L334" i="14"/>
  <c r="D97" i="7"/>
  <c r="S97" i="7" s="1"/>
  <c r="D17" i="10"/>
  <c r="D11" i="10"/>
  <c r="D19" i="10"/>
  <c r="D13" i="10"/>
  <c r="D8" i="10"/>
  <c r="D15" i="10"/>
  <c r="D6" i="10"/>
  <c r="AX34" i="33"/>
  <c r="BM228" i="14"/>
  <c r="W28" i="33" s="1"/>
  <c r="BG28" i="33" s="1"/>
  <c r="BM162" i="14"/>
  <c r="U159" i="14"/>
  <c r="BP228" i="14"/>
  <c r="Z28" i="33" s="1"/>
  <c r="BJ28" i="33" s="1"/>
  <c r="BP162" i="14"/>
  <c r="X159" i="14"/>
  <c r="AA159" i="14"/>
  <c r="BS162" i="14"/>
  <c r="BV162" i="14"/>
  <c r="AD159" i="14"/>
  <c r="BV228" i="14"/>
  <c r="AF28" i="33" s="1"/>
  <c r="BP28" i="33" s="1"/>
  <c r="BM28" i="33"/>
  <c r="AE254" i="22"/>
  <c r="AF254" i="22"/>
  <c r="AO247" i="24"/>
  <c r="AN247" i="24" s="1"/>
  <c r="AM274" i="24"/>
  <c r="AG261" i="24"/>
  <c r="H17" i="23" s="1"/>
  <c r="W245" i="24"/>
  <c r="AO245" i="24" s="1"/>
  <c r="AG274" i="24"/>
  <c r="AR305" i="24"/>
  <c r="I46" i="15" s="1"/>
  <c r="AC13" i="29"/>
  <c r="AL13" i="29"/>
  <c r="AE13" i="29"/>
  <c r="AD153" i="29"/>
  <c r="F226" i="23" s="1"/>
  <c r="CO3" i="14"/>
  <c r="AF14" i="43"/>
  <c r="AE14" i="43" s="1"/>
  <c r="AK13" i="43"/>
  <c r="AF12" i="43"/>
  <c r="AE12" i="43" s="1"/>
  <c r="S17" i="10"/>
  <c r="AO86" i="27"/>
  <c r="AQ22" i="27"/>
  <c r="AE97" i="27"/>
  <c r="AN34" i="27"/>
  <c r="AN87" i="27" s="1"/>
  <c r="AR104" i="27"/>
  <c r="AF98" i="27"/>
  <c r="AE17" i="27"/>
  <c r="AE98" i="27" s="1"/>
  <c r="B20" i="27"/>
  <c r="B21" i="27"/>
  <c r="B22" i="27" s="1"/>
  <c r="B23" i="27" s="1"/>
  <c r="B24" i="27" s="1"/>
  <c r="B25" i="27" s="1"/>
  <c r="B26" i="27" s="1"/>
  <c r="B27" i="27" s="1"/>
  <c r="B28" i="27" s="1"/>
  <c r="B29" i="27" s="1"/>
  <c r="B30" i="27" s="1"/>
  <c r="B31" i="27" s="1"/>
  <c r="B32" i="27" s="1"/>
  <c r="B33" i="27" s="1"/>
  <c r="B34" i="27" s="1"/>
  <c r="B35" i="27" s="1"/>
  <c r="B36" i="27" s="1"/>
  <c r="B37" i="27" s="1"/>
  <c r="B38" i="27" s="1"/>
  <c r="B39" i="27" s="1"/>
  <c r="B40" i="27" s="1"/>
  <c r="B41" i="27" s="1"/>
  <c r="B42" i="27" s="1"/>
  <c r="B43" i="27" s="1"/>
  <c r="B44" i="27" s="1"/>
  <c r="B45" i="27" s="1"/>
  <c r="B46" i="27" s="1"/>
  <c r="B47" i="27" s="1"/>
  <c r="B48" i="27" s="1"/>
  <c r="B49" i="27" s="1"/>
  <c r="B52" i="27" s="1"/>
  <c r="B54" i="27" s="1"/>
  <c r="B55" i="27" s="1"/>
  <c r="B56" i="27" s="1"/>
  <c r="B57" i="27" s="1"/>
  <c r="B58" i="27" s="1"/>
  <c r="B59" i="27" s="1"/>
  <c r="B60" i="27" s="1"/>
  <c r="B61" i="27" s="1"/>
  <c r="B62" i="27" s="1"/>
  <c r="B63" i="27" s="1"/>
  <c r="B64" i="27" s="1"/>
  <c r="B65" i="27" s="1"/>
  <c r="B66" i="27" s="1"/>
  <c r="B67" i="27" s="1"/>
  <c r="B68" i="27" s="1"/>
  <c r="B69" i="27" s="1"/>
  <c r="B70" i="27" s="1"/>
  <c r="B71" i="27" s="1"/>
  <c r="B72" i="27" s="1"/>
  <c r="B73" i="27" s="1"/>
  <c r="B74" i="27" s="1"/>
  <c r="B75" i="27" s="1"/>
  <c r="B76" i="27" s="1"/>
  <c r="B77" i="27" s="1"/>
  <c r="B78" i="27" s="1"/>
  <c r="B79" i="27" s="1"/>
  <c r="B80" i="27" s="1"/>
  <c r="B81" i="27" s="1"/>
  <c r="B82" i="27" s="1"/>
  <c r="B83" i="27" s="1"/>
  <c r="V21" i="27"/>
  <c r="AL21" i="27" s="1"/>
  <c r="AF21" i="27"/>
  <c r="T21" i="27"/>
  <c r="AN23" i="27"/>
  <c r="AQ29" i="27"/>
  <c r="AQ105" i="27" s="1"/>
  <c r="AR105" i="27"/>
  <c r="V35" i="27"/>
  <c r="AL35" i="27" s="1"/>
  <c r="T35" i="27"/>
  <c r="V45" i="27"/>
  <c r="AL45" i="27" s="1"/>
  <c r="AF45" i="27"/>
  <c r="T45" i="27"/>
  <c r="AQ45" i="27"/>
  <c r="AP116" i="27"/>
  <c r="AQ52" i="27"/>
  <c r="AR116" i="27"/>
  <c r="T61" i="27"/>
  <c r="AF61" i="27"/>
  <c r="AE61" i="27" s="1"/>
  <c r="V61" i="27"/>
  <c r="AL61" i="27" s="1"/>
  <c r="AE20" i="27"/>
  <c r="AF104" i="27"/>
  <c r="AN30" i="27"/>
  <c r="AN97" i="27" s="1"/>
  <c r="AM82" i="27"/>
  <c r="H108" i="23" s="1"/>
  <c r="M108" i="23" s="1"/>
  <c r="AE59" i="27"/>
  <c r="AE22" i="27"/>
  <c r="AF35" i="27"/>
  <c r="AQ43" i="27"/>
  <c r="AS43" i="27"/>
  <c r="V49" i="27"/>
  <c r="AL49" i="27" s="1"/>
  <c r="AF49" i="27"/>
  <c r="AE49" i="27" s="1"/>
  <c r="T49" i="27"/>
  <c r="V29" i="27"/>
  <c r="AL29" i="27" s="1"/>
  <c r="T29" i="27"/>
  <c r="V40" i="27"/>
  <c r="AL40" i="27" s="1"/>
  <c r="T40" i="27"/>
  <c r="T46" i="27"/>
  <c r="AF46" i="27"/>
  <c r="AE46" i="27" s="1"/>
  <c r="V68" i="27"/>
  <c r="AL68" i="27" s="1"/>
  <c r="T68" i="27"/>
  <c r="V38" i="27"/>
  <c r="AF24" i="27"/>
  <c r="AE24" i="27" s="1"/>
  <c r="V24" i="27"/>
  <c r="AL24" i="27" s="1"/>
  <c r="T24" i="27"/>
  <c r="V10" i="27"/>
  <c r="AF74" i="27"/>
  <c r="AE74" i="27" s="1"/>
  <c r="V62" i="27"/>
  <c r="T12" i="27"/>
  <c r="T16" i="27"/>
  <c r="T20" i="27"/>
  <c r="T28" i="27"/>
  <c r="T32" i="27"/>
  <c r="T36" i="27"/>
  <c r="T44" i="27"/>
  <c r="T48" i="27"/>
  <c r="T55" i="27"/>
  <c r="T59" i="27"/>
  <c r="T71" i="27"/>
  <c r="AF9" i="27"/>
  <c r="AE9" i="27" s="1"/>
  <c r="AF52" i="27"/>
  <c r="AE52" i="27" s="1"/>
  <c r="AF69" i="27"/>
  <c r="AE69" i="27" s="1"/>
  <c r="T9" i="27"/>
  <c r="T13" i="27"/>
  <c r="T17" i="27"/>
  <c r="T25" i="27"/>
  <c r="T33" i="27"/>
  <c r="T37" i="27"/>
  <c r="T41" i="27"/>
  <c r="T56" i="27"/>
  <c r="T60" i="27"/>
  <c r="T72" i="27"/>
  <c r="AK71" i="26"/>
  <c r="AK50" i="26"/>
  <c r="AE46" i="26"/>
  <c r="AE10" i="26"/>
  <c r="AE104" i="26"/>
  <c r="AE14" i="26"/>
  <c r="AF27" i="26"/>
  <c r="V27" i="26"/>
  <c r="AD27" i="26"/>
  <c r="T27" i="26"/>
  <c r="AN28" i="26"/>
  <c r="AN96" i="26" s="1"/>
  <c r="AD105" i="26"/>
  <c r="AR105" i="26"/>
  <c r="AQ29" i="26"/>
  <c r="AQ105" i="26" s="1"/>
  <c r="AN30" i="26"/>
  <c r="AN97" i="26" s="1"/>
  <c r="AO97" i="26"/>
  <c r="AQ96" i="26"/>
  <c r="AP82" i="26"/>
  <c r="K19" i="23" s="1"/>
  <c r="AQ13" i="26"/>
  <c r="AP87" i="26"/>
  <c r="T15" i="26"/>
  <c r="V15" i="26"/>
  <c r="AL15" i="26" s="1"/>
  <c r="T17" i="26"/>
  <c r="AF17" i="26"/>
  <c r="AS43" i="26"/>
  <c r="AN43" i="26"/>
  <c r="V61" i="26"/>
  <c r="AL61" i="26" s="1"/>
  <c r="T61" i="26"/>
  <c r="T13" i="26"/>
  <c r="AQ31" i="26"/>
  <c r="AQ104" i="26" s="1"/>
  <c r="AR82" i="26"/>
  <c r="T39" i="26"/>
  <c r="AF39" i="26"/>
  <c r="AE39" i="26" s="1"/>
  <c r="V39" i="26"/>
  <c r="AL39" i="26" s="1"/>
  <c r="T41" i="26"/>
  <c r="AF41" i="26"/>
  <c r="AE41" i="26" s="1"/>
  <c r="V41" i="26"/>
  <c r="AL41" i="26" s="1"/>
  <c r="AK75" i="26"/>
  <c r="AS75" i="26"/>
  <c r="V13" i="26"/>
  <c r="AL13" i="26" s="1"/>
  <c r="V72" i="26"/>
  <c r="AP116" i="26"/>
  <c r="AO98" i="26"/>
  <c r="AN17" i="26"/>
  <c r="T70" i="26"/>
  <c r="V70" i="26"/>
  <c r="AL70" i="26" s="1"/>
  <c r="V74" i="26"/>
  <c r="AL74" i="26" s="1"/>
  <c r="T74" i="26"/>
  <c r="V17" i="26"/>
  <c r="AL17" i="26" s="1"/>
  <c r="AF64" i="26"/>
  <c r="AE64" i="26" s="1"/>
  <c r="AF50" i="26"/>
  <c r="AE50" i="26" s="1"/>
  <c r="AF20" i="26"/>
  <c r="AE20" i="26" s="1"/>
  <c r="AF48" i="26"/>
  <c r="AE48" i="26" s="1"/>
  <c r="AR87" i="26"/>
  <c r="T71" i="26"/>
  <c r="T58" i="26"/>
  <c r="T50" i="26"/>
  <c r="T48" i="26"/>
  <c r="T46" i="26"/>
  <c r="T40" i="26"/>
  <c r="T38" i="26"/>
  <c r="T35" i="26"/>
  <c r="T32" i="26"/>
  <c r="T26" i="26"/>
  <c r="T16" i="26"/>
  <c r="V10" i="26"/>
  <c r="V14" i="26"/>
  <c r="V30" i="26"/>
  <c r="V34" i="26"/>
  <c r="V57" i="26"/>
  <c r="V69" i="26"/>
  <c r="AF35" i="26"/>
  <c r="AF23" i="26"/>
  <c r="AE23" i="26" s="1"/>
  <c r="AF57" i="26"/>
  <c r="AE57" i="26" s="1"/>
  <c r="T62" i="26"/>
  <c r="T59" i="26"/>
  <c r="T44" i="26"/>
  <c r="T28" i="26"/>
  <c r="T23" i="26"/>
  <c r="T19" i="26"/>
  <c r="T12" i="26"/>
  <c r="V47" i="26"/>
  <c r="V54" i="26"/>
  <c r="T36" i="26"/>
  <c r="B20" i="26"/>
  <c r="B21" i="26"/>
  <c r="B22" i="26" s="1"/>
  <c r="B23" i="26" s="1"/>
  <c r="B24" i="26" s="1"/>
  <c r="B25" i="26" s="1"/>
  <c r="B26" i="26" s="1"/>
  <c r="B27" i="26" s="1"/>
  <c r="B28" i="26" s="1"/>
  <c r="B29" i="26" s="1"/>
  <c r="B30" i="26" s="1"/>
  <c r="B31" i="26" s="1"/>
  <c r="B32" i="26" s="1"/>
  <c r="B33" i="26" s="1"/>
  <c r="B34" i="26" s="1"/>
  <c r="B35" i="26" s="1"/>
  <c r="B36" i="26" s="1"/>
  <c r="B37" i="26" s="1"/>
  <c r="B38" i="26" s="1"/>
  <c r="B39" i="26" s="1"/>
  <c r="B40" i="26" s="1"/>
  <c r="B41" i="26" s="1"/>
  <c r="B42" i="26" s="1"/>
  <c r="B43" i="26" s="1"/>
  <c r="B44" i="26" s="1"/>
  <c r="B45" i="26" s="1"/>
  <c r="B46" i="26" s="1"/>
  <c r="B47" i="26" s="1"/>
  <c r="B48" i="26" s="1"/>
  <c r="AF9" i="26"/>
  <c r="AE9" i="26" s="1"/>
  <c r="AQ93" i="25"/>
  <c r="AF95" i="25"/>
  <c r="AR83" i="25"/>
  <c r="AQ21" i="25"/>
  <c r="AQ83" i="25" s="1"/>
  <c r="T25" i="25"/>
  <c r="AF25" i="25"/>
  <c r="AE25" i="25" s="1"/>
  <c r="V25" i="25"/>
  <c r="AL25" i="25" s="1"/>
  <c r="V27" i="25"/>
  <c r="AD27" i="25"/>
  <c r="AN33" i="25"/>
  <c r="AN101" i="25" s="1"/>
  <c r="AO101" i="25"/>
  <c r="V51" i="25"/>
  <c r="AL51" i="25" s="1"/>
  <c r="AF51" i="25"/>
  <c r="AE51" i="25" s="1"/>
  <c r="AF54" i="25"/>
  <c r="AE54" i="25" s="1"/>
  <c r="V54" i="25"/>
  <c r="AL54" i="25" s="1"/>
  <c r="V71" i="25"/>
  <c r="AL71" i="25" s="1"/>
  <c r="AF71" i="25"/>
  <c r="AE71" i="25" s="1"/>
  <c r="T71" i="25"/>
  <c r="T54" i="25"/>
  <c r="V30" i="25"/>
  <c r="AL30" i="25" s="1"/>
  <c r="T30" i="25"/>
  <c r="AF30" i="25"/>
  <c r="AF33" i="25"/>
  <c r="V33" i="25"/>
  <c r="AL33" i="25" s="1"/>
  <c r="T33" i="25"/>
  <c r="T41" i="25"/>
  <c r="V41" i="25"/>
  <c r="AL41" i="25" s="1"/>
  <c r="T44" i="25"/>
  <c r="AF44" i="25"/>
  <c r="AE44" i="25" s="1"/>
  <c r="AF48" i="25"/>
  <c r="AE48" i="25" s="1"/>
  <c r="T48" i="25"/>
  <c r="V67" i="25"/>
  <c r="AL67" i="25" s="1"/>
  <c r="AF67" i="25"/>
  <c r="AE67" i="25" s="1"/>
  <c r="T67" i="25"/>
  <c r="AH75" i="25"/>
  <c r="T51" i="25"/>
  <c r="V44" i="25"/>
  <c r="AL44" i="25" s="1"/>
  <c r="AR79" i="25"/>
  <c r="AS74" i="25"/>
  <c r="AO79" i="25"/>
  <c r="AN36" i="25"/>
  <c r="AN94" i="25" s="1"/>
  <c r="AN11" i="25"/>
  <c r="AQ20" i="25"/>
  <c r="AF26" i="25"/>
  <c r="AE26" i="25" s="1"/>
  <c r="V26" i="25"/>
  <c r="AL26" i="25" s="1"/>
  <c r="T26" i="25"/>
  <c r="V35" i="25"/>
  <c r="AL35" i="25" s="1"/>
  <c r="T35" i="25"/>
  <c r="AF35" i="25"/>
  <c r="AN35" i="25"/>
  <c r="AN103" i="25" s="1"/>
  <c r="AF52" i="25"/>
  <c r="AE52" i="25" s="1"/>
  <c r="T52" i="25"/>
  <c r="AQ56" i="25"/>
  <c r="AQ112" i="25" s="1"/>
  <c r="AF69" i="25"/>
  <c r="AE69" i="25" s="1"/>
  <c r="T69" i="25"/>
  <c r="V69" i="25"/>
  <c r="AL69" i="25" s="1"/>
  <c r="AS73" i="25"/>
  <c r="V48" i="25"/>
  <c r="AL48" i="25" s="1"/>
  <c r="AQ18" i="25"/>
  <c r="V23" i="25"/>
  <c r="AL23" i="25" s="1"/>
  <c r="T23" i="25"/>
  <c r="AO93" i="25"/>
  <c r="T28" i="25"/>
  <c r="AF28" i="25"/>
  <c r="AF34" i="25"/>
  <c r="V34" i="25"/>
  <c r="AL34" i="25" s="1"/>
  <c r="AK34" i="25" s="1"/>
  <c r="T34" i="25"/>
  <c r="V39" i="25"/>
  <c r="AF39" i="25"/>
  <c r="AE39" i="25" s="1"/>
  <c r="AF46" i="25"/>
  <c r="V46" i="25"/>
  <c r="AL46" i="25" s="1"/>
  <c r="T46" i="25"/>
  <c r="V55" i="25"/>
  <c r="AL55" i="25" s="1"/>
  <c r="AF55" i="25"/>
  <c r="AE55" i="25" s="1"/>
  <c r="T55" i="25"/>
  <c r="AK72" i="25"/>
  <c r="V28" i="25"/>
  <c r="AL28" i="25" s="1"/>
  <c r="V52" i="25"/>
  <c r="AL52" i="25" s="1"/>
  <c r="V68" i="25"/>
  <c r="T63" i="25"/>
  <c r="T57" i="25"/>
  <c r="T37" i="25"/>
  <c r="T29" i="25"/>
  <c r="V13" i="25"/>
  <c r="V17" i="25"/>
  <c r="V49" i="25"/>
  <c r="V53" i="25"/>
  <c r="V61" i="25"/>
  <c r="T66" i="25"/>
  <c r="T22" i="25"/>
  <c r="T19" i="25"/>
  <c r="T15" i="25"/>
  <c r="T11" i="25"/>
  <c r="V38" i="25"/>
  <c r="V58" i="25"/>
  <c r="V62" i="25"/>
  <c r="T59" i="25"/>
  <c r="T31" i="25"/>
  <c r="AK9" i="25"/>
  <c r="B21" i="25"/>
  <c r="B22" i="25" s="1"/>
  <c r="B23" i="25" s="1"/>
  <c r="B24" i="25" s="1"/>
  <c r="B25" i="25" s="1"/>
  <c r="B26" i="25" s="1"/>
  <c r="B27" i="25" s="1"/>
  <c r="B28" i="25" s="1"/>
  <c r="B29" i="25" s="1"/>
  <c r="B30" i="25" s="1"/>
  <c r="B31" i="25" s="1"/>
  <c r="B32" i="25" s="1"/>
  <c r="B33" i="25" s="1"/>
  <c r="B34" i="25" s="1"/>
  <c r="B35" i="25" s="1"/>
  <c r="B36" i="25" s="1"/>
  <c r="B37" i="25" s="1"/>
  <c r="B38" i="25" s="1"/>
  <c r="B39" i="25" s="1"/>
  <c r="B40" i="25" s="1"/>
  <c r="B41" i="25" s="1"/>
  <c r="B42" i="25" s="1"/>
  <c r="B43" i="25" s="1"/>
  <c r="B44" i="25" s="1"/>
  <c r="B45" i="25" s="1"/>
  <c r="B46" i="25" s="1"/>
  <c r="B47" i="25" s="1"/>
  <c r="B48" i="25" s="1"/>
  <c r="B49" i="25" s="1"/>
  <c r="B50" i="25" s="1"/>
  <c r="B51" i="25" s="1"/>
  <c r="B52" i="25" s="1"/>
  <c r="B53" i="25" s="1"/>
  <c r="B54" i="25" s="1"/>
  <c r="B55" i="25" s="1"/>
  <c r="B56" i="25" s="1"/>
  <c r="B57" i="25" s="1"/>
  <c r="B58" i="25" s="1"/>
  <c r="B59" i="25" s="1"/>
  <c r="B60" i="25" s="1"/>
  <c r="B61" i="25" s="1"/>
  <c r="B62" i="25" s="1"/>
  <c r="B63" i="25" s="1"/>
  <c r="B64" i="25" s="1"/>
  <c r="B65" i="25" s="1"/>
  <c r="B66" i="25" s="1"/>
  <c r="B67" i="25" s="1"/>
  <c r="B68" i="25" s="1"/>
  <c r="B69" i="25" s="1"/>
  <c r="B70" i="25" s="1"/>
  <c r="B71" i="25" s="1"/>
  <c r="B72" i="25" s="1"/>
  <c r="B73" i="25" s="1"/>
  <c r="B74" i="25" s="1"/>
  <c r="B75" i="25" s="1"/>
  <c r="B76" i="25" s="1"/>
  <c r="B77" i="25" s="1"/>
  <c r="B78" i="25" s="1"/>
  <c r="B79" i="25" s="1"/>
  <c r="B80" i="25" s="1"/>
  <c r="B20" i="25"/>
  <c r="T9" i="25"/>
  <c r="AM261" i="24"/>
  <c r="H105" i="23" s="1"/>
  <c r="M105" i="23" s="1"/>
  <c r="AD261" i="24"/>
  <c r="F17" i="23" s="1"/>
  <c r="AE246" i="24"/>
  <c r="AE272" i="24" s="1"/>
  <c r="AF274" i="24"/>
  <c r="AK222" i="24"/>
  <c r="AK199" i="24"/>
  <c r="AK219" i="24"/>
  <c r="AO297" i="24"/>
  <c r="AN220" i="24"/>
  <c r="AK228" i="24"/>
  <c r="AL299" i="24"/>
  <c r="AN240" i="24"/>
  <c r="AE242" i="24"/>
  <c r="AF197" i="24"/>
  <c r="AF199" i="24"/>
  <c r="AF205" i="24"/>
  <c r="AF231" i="24"/>
  <c r="AF235" i="24"/>
  <c r="V200" i="24"/>
  <c r="V232" i="24"/>
  <c r="V201" i="24"/>
  <c r="AL201" i="24" s="1"/>
  <c r="AE207" i="24"/>
  <c r="AD272" i="24"/>
  <c r="AK243" i="24"/>
  <c r="AF226" i="24"/>
  <c r="AE226" i="24" s="1"/>
  <c r="V204" i="24"/>
  <c r="V226" i="24"/>
  <c r="T205" i="24"/>
  <c r="T199" i="24"/>
  <c r="AF213" i="24"/>
  <c r="AE213" i="24" s="1"/>
  <c r="AL182" i="24"/>
  <c r="AL268" i="24" s="1"/>
  <c r="AE190" i="24"/>
  <c r="Z177" i="24"/>
  <c r="AI177" i="24"/>
  <c r="AK187" i="24"/>
  <c r="AL191" i="24"/>
  <c r="AK173" i="24"/>
  <c r="AL186" i="24"/>
  <c r="AL189" i="24"/>
  <c r="V188" i="24"/>
  <c r="AP267" i="24"/>
  <c r="T173" i="24"/>
  <c r="AS192" i="24"/>
  <c r="V172" i="24"/>
  <c r="AL172" i="24" s="1"/>
  <c r="V190" i="24"/>
  <c r="AF172" i="24"/>
  <c r="AL144" i="24"/>
  <c r="AL152" i="24"/>
  <c r="AL159" i="24"/>
  <c r="AK164" i="24"/>
  <c r="AK145" i="24"/>
  <c r="AL149" i="24"/>
  <c r="AL153" i="24"/>
  <c r="AL157" i="24"/>
  <c r="AL160" i="24"/>
  <c r="AL168" i="24"/>
  <c r="AL143" i="24"/>
  <c r="AL148" i="24"/>
  <c r="AK156" i="24"/>
  <c r="AL165" i="24"/>
  <c r="AK161" i="24"/>
  <c r="V166" i="24"/>
  <c r="AS141" i="24"/>
  <c r="V147" i="24"/>
  <c r="V151" i="24"/>
  <c r="AL151" i="24" s="1"/>
  <c r="V155" i="24"/>
  <c r="V163" i="24"/>
  <c r="V167" i="24"/>
  <c r="AL167" i="24" s="1"/>
  <c r="AF167" i="24"/>
  <c r="AE167" i="24" s="1"/>
  <c r="AF145" i="24"/>
  <c r="AE145" i="24" s="1"/>
  <c r="AF153" i="24"/>
  <c r="AE153" i="24" s="1"/>
  <c r="AF165" i="24"/>
  <c r="AE165" i="24" s="1"/>
  <c r="AL137" i="24"/>
  <c r="AK139" i="24"/>
  <c r="AK136" i="24"/>
  <c r="AL135" i="24"/>
  <c r="AL140" i="24"/>
  <c r="AM267" i="24"/>
  <c r="AK130" i="24"/>
  <c r="AS130" i="24"/>
  <c r="AK142" i="24"/>
  <c r="AS142" i="24"/>
  <c r="AK21" i="24"/>
  <c r="AK132" i="24"/>
  <c r="AK15" i="24"/>
  <c r="V61" i="24"/>
  <c r="AL61" i="24" s="1"/>
  <c r="V64" i="24"/>
  <c r="V69" i="24"/>
  <c r="AL69" i="24" s="1"/>
  <c r="V74" i="24"/>
  <c r="V85" i="24"/>
  <c r="AL85" i="24" s="1"/>
  <c r="V121" i="24"/>
  <c r="AL121" i="24" s="1"/>
  <c r="V126" i="24"/>
  <c r="AF93" i="24"/>
  <c r="AE93" i="24" s="1"/>
  <c r="AF89" i="24"/>
  <c r="AE89" i="24" s="1"/>
  <c r="AF59" i="24"/>
  <c r="AE59" i="24" s="1"/>
  <c r="AF23" i="24"/>
  <c r="V63" i="24"/>
  <c r="V82" i="24"/>
  <c r="V124" i="24"/>
  <c r="AF95" i="24"/>
  <c r="AE95" i="24" s="1"/>
  <c r="AF78" i="24"/>
  <c r="AE78" i="24" s="1"/>
  <c r="AF66" i="24"/>
  <c r="AE66" i="24" s="1"/>
  <c r="AK12" i="24"/>
  <c r="AK265" i="24" s="1"/>
  <c r="AF13" i="24"/>
  <c r="AR266" i="24"/>
  <c r="AH140" i="43"/>
  <c r="AS171" i="43"/>
  <c r="AO166" i="43"/>
  <c r="AN140" i="43"/>
  <c r="AR140" i="43"/>
  <c r="AL171" i="43"/>
  <c r="AF35" i="43"/>
  <c r="V35" i="43"/>
  <c r="AL35" i="43" s="1"/>
  <c r="T31" i="43"/>
  <c r="V31" i="43"/>
  <c r="AL31" i="43" s="1"/>
  <c r="AL140" i="43"/>
  <c r="AS166" i="43"/>
  <c r="AH171" i="43"/>
  <c r="AE13" i="43"/>
  <c r="AE59" i="43"/>
  <c r="T46" i="43"/>
  <c r="V46" i="43"/>
  <c r="AL46" i="43" s="1"/>
  <c r="AF46" i="43"/>
  <c r="AE46" i="43" s="1"/>
  <c r="T42" i="43"/>
  <c r="AF42" i="43"/>
  <c r="V42" i="43"/>
  <c r="AL42" i="43" s="1"/>
  <c r="AP140" i="43"/>
  <c r="AR148" i="43"/>
  <c r="AJ140" i="43"/>
  <c r="AE10" i="43"/>
  <c r="AQ166" i="43"/>
  <c r="AI140" i="43"/>
  <c r="AQ140" i="43"/>
  <c r="AR134" i="43"/>
  <c r="AE140" i="43"/>
  <c r="AS140" i="43"/>
  <c r="AG166" i="43"/>
  <c r="AD166" i="43"/>
  <c r="AR171" i="43"/>
  <c r="AR143" i="43"/>
  <c r="AF140" i="43"/>
  <c r="AF171" i="43"/>
  <c r="AG140" i="43"/>
  <c r="AL166" i="43"/>
  <c r="AN171" i="43"/>
  <c r="AP175" i="43"/>
  <c r="AE18" i="43"/>
  <c r="T92" i="43"/>
  <c r="AI92" i="43" s="1"/>
  <c r="AH92" i="43" s="1"/>
  <c r="T94" i="43"/>
  <c r="V71" i="43"/>
  <c r="T68" i="43"/>
  <c r="AE37" i="43"/>
  <c r="AQ129" i="43"/>
  <c r="T90" i="43"/>
  <c r="AN40" i="43"/>
  <c r="T25" i="43"/>
  <c r="V25" i="43"/>
  <c r="AL25" i="43" s="1"/>
  <c r="AE41" i="43"/>
  <c r="T78" i="43"/>
  <c r="T21" i="43"/>
  <c r="AR139" i="43"/>
  <c r="T28" i="43"/>
  <c r="T35" i="43"/>
  <c r="AN48" i="43"/>
  <c r="T81" i="43"/>
  <c r="T74" i="43"/>
  <c r="T58" i="43"/>
  <c r="T45" i="43"/>
  <c r="T27" i="43"/>
  <c r="T24" i="43"/>
  <c r="T17" i="43"/>
  <c r="AN79" i="43"/>
  <c r="AN57" i="43"/>
  <c r="AN47" i="43"/>
  <c r="AP134" i="43"/>
  <c r="K22" i="23" s="1"/>
  <c r="T80" i="43"/>
  <c r="T51" i="43"/>
  <c r="T37" i="43"/>
  <c r="T23" i="43"/>
  <c r="T19" i="43"/>
  <c r="T16" i="43"/>
  <c r="AN45" i="43"/>
  <c r="AN39" i="43"/>
  <c r="AN32" i="43"/>
  <c r="AN24" i="43"/>
  <c r="AN145" i="43" s="1"/>
  <c r="AN16" i="43"/>
  <c r="AN9" i="43"/>
  <c r="AN31" i="43"/>
  <c r="AN23" i="43"/>
  <c r="AN15" i="43"/>
  <c r="T79" i="43"/>
  <c r="T76" i="43"/>
  <c r="T72" i="43"/>
  <c r="T43" i="43"/>
  <c r="T29" i="43"/>
  <c r="T15" i="43"/>
  <c r="AN63" i="43"/>
  <c r="AN37" i="43"/>
  <c r="T75" i="43"/>
  <c r="AN180" i="43"/>
  <c r="AO188" i="43"/>
  <c r="AN188" i="43"/>
  <c r="V99" i="43"/>
  <c r="AL99" i="43" s="1"/>
  <c r="T99" i="43"/>
  <c r="AI99" i="43" s="1"/>
  <c r="AH99" i="43" s="1"/>
  <c r="V86" i="43"/>
  <c r="AL86" i="43" s="1"/>
  <c r="AK86" i="43" s="1"/>
  <c r="T86" i="43"/>
  <c r="AI86" i="43" s="1"/>
  <c r="AH86" i="43" s="1"/>
  <c r="AP141" i="43"/>
  <c r="AQ170" i="43"/>
  <c r="AD182" i="43"/>
  <c r="AJ188" i="43"/>
  <c r="V92" i="43"/>
  <c r="V103" i="43"/>
  <c r="AL103" i="43" s="1"/>
  <c r="T103" i="43"/>
  <c r="AI103" i="43" s="1"/>
  <c r="V111" i="43"/>
  <c r="T67" i="43"/>
  <c r="V67" i="43"/>
  <c r="AL67" i="43" s="1"/>
  <c r="T59" i="43"/>
  <c r="T61" i="43"/>
  <c r="T69" i="43"/>
  <c r="AN34" i="43"/>
  <c r="AN236" i="43" s="1"/>
  <c r="AN26" i="43"/>
  <c r="AN18" i="43"/>
  <c r="AN10" i="43"/>
  <c r="T113" i="43"/>
  <c r="AM134" i="43"/>
  <c r="H110" i="23" s="1"/>
  <c r="T117" i="43"/>
  <c r="V114" i="43"/>
  <c r="AS286" i="14"/>
  <c r="AS293" i="14"/>
  <c r="DH301" i="14"/>
  <c r="DH213" i="14"/>
  <c r="P15" i="23"/>
  <c r="AG7" i="23"/>
  <c r="I3" i="12"/>
  <c r="Z301" i="14"/>
  <c r="AE7" i="23"/>
  <c r="BI9" i="14"/>
  <c r="F3" i="12"/>
  <c r="H3" i="21"/>
  <c r="AD7" i="23"/>
  <c r="BO9" i="14"/>
  <c r="W301" i="14"/>
  <c r="BF301" i="14"/>
  <c r="BF213" i="14"/>
  <c r="CT173" i="14"/>
  <c r="CT339" i="14" s="1"/>
  <c r="L291" i="14"/>
  <c r="L311" i="14"/>
  <c r="D24" i="11" s="1"/>
  <c r="L339" i="14"/>
  <c r="N13" i="33"/>
  <c r="B23" i="33"/>
  <c r="AY223" i="14"/>
  <c r="C12" i="10"/>
  <c r="N25" i="33"/>
  <c r="D14" i="10"/>
  <c r="N27" i="33"/>
  <c r="D16" i="10"/>
  <c r="N29" i="33"/>
  <c r="D18" i="10"/>
  <c r="CO235" i="14"/>
  <c r="AY235" i="14"/>
  <c r="CO223" i="14"/>
  <c r="L176" i="14"/>
  <c r="D71" i="7"/>
  <c r="S71" i="7" s="1"/>
  <c r="K325" i="14"/>
  <c r="K48" i="14"/>
  <c r="K62" i="14" s="1"/>
  <c r="K65" i="14" s="1"/>
  <c r="K354" i="14" s="1"/>
  <c r="W325" i="14"/>
  <c r="D79" i="7"/>
  <c r="CT80" i="14"/>
  <c r="CT309" i="14" s="1"/>
  <c r="L309" i="14"/>
  <c r="D19" i="11" s="1"/>
  <c r="L333" i="14"/>
  <c r="L85" i="14"/>
  <c r="L88" i="14" s="1"/>
  <c r="CT97" i="14"/>
  <c r="L225" i="14"/>
  <c r="L104" i="14"/>
  <c r="L126" i="14" s="1"/>
  <c r="L129" i="14" s="1"/>
  <c r="K126" i="14"/>
  <c r="K129" i="14" s="1"/>
  <c r="CT115" i="14"/>
  <c r="L287" i="14"/>
  <c r="CT121" i="14"/>
  <c r="CT310" i="14" s="1"/>
  <c r="L290" i="14"/>
  <c r="L310" i="14"/>
  <c r="D20" i="11" s="1"/>
  <c r="D9" i="10"/>
  <c r="D7" i="10"/>
  <c r="L229" i="14"/>
  <c r="D44" i="10" s="1"/>
  <c r="K156" i="7"/>
  <c r="K163" i="7" s="1"/>
  <c r="K177" i="7" s="1"/>
  <c r="K186" i="7" s="1"/>
  <c r="K194" i="7" s="1"/>
  <c r="K199" i="7" s="1"/>
  <c r="H156" i="7"/>
  <c r="H163" i="7" s="1"/>
  <c r="H177" i="7" s="1"/>
  <c r="H186" i="7" s="1"/>
  <c r="H194" i="7" s="1"/>
  <c r="H199" i="7" s="1"/>
  <c r="C47" i="10"/>
  <c r="CT335" i="14"/>
  <c r="CT332" i="14"/>
  <c r="L292" i="14"/>
  <c r="CT331" i="14"/>
  <c r="S49" i="10"/>
  <c r="CW183" i="14"/>
  <c r="O183" i="14" s="1"/>
  <c r="CW184" i="14"/>
  <c r="O184" i="14" s="1"/>
  <c r="AE215" i="22" l="1"/>
  <c r="AQ153" i="22"/>
  <c r="K33" i="23" s="1"/>
  <c r="I99" i="15"/>
  <c r="AM327" i="23"/>
  <c r="P311" i="23"/>
  <c r="AC311" i="23" s="1"/>
  <c r="CV213" i="14"/>
  <c r="H95" i="15"/>
  <c r="G18" i="15"/>
  <c r="K332" i="23"/>
  <c r="I47" i="15"/>
  <c r="G87" i="15"/>
  <c r="H63" i="15"/>
  <c r="G101" i="15"/>
  <c r="AB344" i="23"/>
  <c r="AB368" i="23" s="1"/>
  <c r="AM319" i="23"/>
  <c r="AB340" i="23"/>
  <c r="AB364" i="23" s="1"/>
  <c r="AM315" i="23"/>
  <c r="G105" i="15"/>
  <c r="H69" i="15"/>
  <c r="G71" i="15"/>
  <c r="H29" i="15"/>
  <c r="H72" i="15"/>
  <c r="G55" i="15"/>
  <c r="AC52" i="23"/>
  <c r="AC77" i="23" s="1"/>
  <c r="G95" i="15"/>
  <c r="G76" i="15"/>
  <c r="H78" i="15"/>
  <c r="G50" i="15"/>
  <c r="I66" i="15"/>
  <c r="AE274" i="24"/>
  <c r="G60" i="15"/>
  <c r="H49" i="15"/>
  <c r="AK298" i="24"/>
  <c r="I73" i="15"/>
  <c r="G52" i="15"/>
  <c r="AK363" i="24"/>
  <c r="G100" i="15"/>
  <c r="V49" i="10"/>
  <c r="G49" i="10"/>
  <c r="M49" i="10"/>
  <c r="J49" i="10"/>
  <c r="CZ28" i="14"/>
  <c r="R28" i="14" s="1"/>
  <c r="CZ145" i="14"/>
  <c r="R145" i="14" s="1"/>
  <c r="CZ149" i="14"/>
  <c r="R149" i="14" s="1"/>
  <c r="CT227" i="14"/>
  <c r="Z233" i="24"/>
  <c r="Z219" i="24"/>
  <c r="Z168" i="24"/>
  <c r="Z118" i="24"/>
  <c r="C35" i="50"/>
  <c r="C39" i="50" s="1"/>
  <c r="C35" i="12"/>
  <c r="C39" i="12" s="1"/>
  <c r="C5" i="11"/>
  <c r="C3" i="11" s="1"/>
  <c r="C6" i="11" s="1"/>
  <c r="C8" i="11" s="1"/>
  <c r="C10" i="11" s="1"/>
  <c r="C12" i="11" s="1"/>
  <c r="S48" i="10"/>
  <c r="D108" i="7"/>
  <c r="S108" i="7" s="1"/>
  <c r="D105" i="7"/>
  <c r="S105" i="7" s="1"/>
  <c r="S122" i="7"/>
  <c r="D123" i="7"/>
  <c r="S123" i="7" s="1"/>
  <c r="G48" i="10"/>
  <c r="D118" i="7"/>
  <c r="S118" i="7" s="1"/>
  <c r="V48" i="10"/>
  <c r="BD156" i="14"/>
  <c r="BD163" i="14" s="1"/>
  <c r="BD177" i="14" s="1"/>
  <c r="BD188" i="14" s="1"/>
  <c r="BD196" i="14" s="1"/>
  <c r="D111" i="7"/>
  <c r="S111" i="7" s="1"/>
  <c r="D48" i="10"/>
  <c r="D117" i="7"/>
  <c r="S117" i="7" s="1"/>
  <c r="D124" i="7"/>
  <c r="S124" i="7" s="1"/>
  <c r="D116" i="7"/>
  <c r="S116" i="7" s="1"/>
  <c r="D119" i="7"/>
  <c r="S119" i="7" s="1"/>
  <c r="D114" i="7"/>
  <c r="S114" i="7" s="1"/>
  <c r="P48" i="10"/>
  <c r="J43" i="10"/>
  <c r="D43" i="10"/>
  <c r="D109" i="7"/>
  <c r="S109" i="7" s="1"/>
  <c r="D107" i="7"/>
  <c r="S107" i="7" s="1"/>
  <c r="D121" i="7"/>
  <c r="S121" i="7" s="1"/>
  <c r="G93" i="15"/>
  <c r="H75" i="15"/>
  <c r="H19" i="15"/>
  <c r="G84" i="15"/>
  <c r="H47" i="15"/>
  <c r="H58" i="15"/>
  <c r="G94" i="15"/>
  <c r="G75" i="15"/>
  <c r="G43" i="15"/>
  <c r="G72" i="15"/>
  <c r="G53" i="15"/>
  <c r="H51" i="15"/>
  <c r="G47" i="15"/>
  <c r="G19" i="15"/>
  <c r="H81" i="15"/>
  <c r="AI254" i="22"/>
  <c r="I57" i="15"/>
  <c r="AH122" i="24"/>
  <c r="I9" i="15"/>
  <c r="G65" i="15"/>
  <c r="AH233" i="24"/>
  <c r="AH313" i="24" s="1"/>
  <c r="G11" i="15"/>
  <c r="AN85" i="43"/>
  <c r="AE38" i="43"/>
  <c r="I85" i="15"/>
  <c r="H71" i="15"/>
  <c r="AE29" i="43"/>
  <c r="H73" i="15"/>
  <c r="G12" i="15"/>
  <c r="I52" i="15"/>
  <c r="G49" i="15"/>
  <c r="H93" i="15"/>
  <c r="H25" i="15"/>
  <c r="H84" i="15"/>
  <c r="G31" i="15"/>
  <c r="H53" i="15"/>
  <c r="H82" i="15"/>
  <c r="H98" i="15"/>
  <c r="Z95" i="43"/>
  <c r="I56" i="15"/>
  <c r="G80" i="15"/>
  <c r="AN152" i="43"/>
  <c r="I60" i="15"/>
  <c r="I64" i="15"/>
  <c r="I36" i="15"/>
  <c r="G74" i="15"/>
  <c r="H55" i="15"/>
  <c r="I81" i="15"/>
  <c r="I29" i="15"/>
  <c r="H100" i="15"/>
  <c r="I12" i="15"/>
  <c r="AE152" i="43"/>
  <c r="AQ158" i="43"/>
  <c r="I13" i="15"/>
  <c r="G97" i="15"/>
  <c r="H61" i="15"/>
  <c r="AK152" i="43"/>
  <c r="G81" i="15"/>
  <c r="G8" i="15"/>
  <c r="AE153" i="43"/>
  <c r="AE160" i="43"/>
  <c r="H89" i="15"/>
  <c r="I90" i="15"/>
  <c r="I21" i="15"/>
  <c r="AE139" i="43"/>
  <c r="G82" i="15"/>
  <c r="AN158" i="43"/>
  <c r="H26" i="15" s="1"/>
  <c r="H44" i="15"/>
  <c r="H74" i="15"/>
  <c r="AQ160" i="43"/>
  <c r="G66" i="15"/>
  <c r="H34" i="15"/>
  <c r="G98" i="15"/>
  <c r="I17" i="15"/>
  <c r="I22" i="15"/>
  <c r="AE145" i="43"/>
  <c r="H64" i="15"/>
  <c r="H52" i="15"/>
  <c r="G58" i="15"/>
  <c r="G68" i="15"/>
  <c r="H66" i="15"/>
  <c r="H65" i="15"/>
  <c r="G42" i="15"/>
  <c r="AE148" i="43"/>
  <c r="AQ163" i="43"/>
  <c r="G23" i="15"/>
  <c r="AK158" i="43"/>
  <c r="H90" i="15"/>
  <c r="I94" i="15"/>
  <c r="I30" i="15"/>
  <c r="I34" i="15"/>
  <c r="AN148" i="43"/>
  <c r="H16" i="15" s="1"/>
  <c r="I15" i="15"/>
  <c r="Z107" i="43"/>
  <c r="AK155" i="43"/>
  <c r="AE155" i="43"/>
  <c r="G10" i="15"/>
  <c r="G26" i="15"/>
  <c r="AN155" i="43"/>
  <c r="H23" i="15" s="1"/>
  <c r="G44" i="15"/>
  <c r="AE51" i="43"/>
  <c r="AE158" i="43" s="1"/>
  <c r="AN163" i="43"/>
  <c r="H31" i="15" s="1"/>
  <c r="I16" i="15"/>
  <c r="I58" i="15"/>
  <c r="I54" i="15"/>
  <c r="I50" i="15"/>
  <c r="I6" i="15"/>
  <c r="I61" i="15"/>
  <c r="I41" i="15"/>
  <c r="AN153" i="43"/>
  <c r="H21" i="15" s="1"/>
  <c r="I7" i="15"/>
  <c r="I20" i="15"/>
  <c r="I28" i="15"/>
  <c r="I33" i="15"/>
  <c r="I77" i="15"/>
  <c r="I49" i="15"/>
  <c r="I8" i="15"/>
  <c r="I39" i="15"/>
  <c r="I88" i="15"/>
  <c r="I83" i="15"/>
  <c r="I40" i="15"/>
  <c r="I24" i="15"/>
  <c r="I45" i="15"/>
  <c r="I26" i="15"/>
  <c r="I11" i="15"/>
  <c r="AF138" i="43"/>
  <c r="AF189" i="43"/>
  <c r="I10" i="15"/>
  <c r="AQ153" i="43"/>
  <c r="I42" i="15"/>
  <c r="I37" i="15"/>
  <c r="I53" i="15"/>
  <c r="G15" i="15"/>
  <c r="G13" i="15"/>
  <c r="G38" i="15"/>
  <c r="AB264" i="23"/>
  <c r="AB287" i="23" s="1"/>
  <c r="AM236" i="23"/>
  <c r="CW81" i="14"/>
  <c r="O81" i="14" s="1"/>
  <c r="CW70" i="14"/>
  <c r="O70" i="14" s="1"/>
  <c r="CZ69" i="14"/>
  <c r="R69" i="14" s="1"/>
  <c r="CZ70" i="14"/>
  <c r="R70" i="14" s="1"/>
  <c r="DC80" i="14"/>
  <c r="U80" i="14" s="1"/>
  <c r="DC70" i="14"/>
  <c r="U70" i="14" s="1"/>
  <c r="C49" i="10"/>
  <c r="Y49" i="10"/>
  <c r="AB49" i="10"/>
  <c r="AE49" i="10"/>
  <c r="AH49" i="10"/>
  <c r="C43" i="10"/>
  <c r="Y43" i="10"/>
  <c r="AE43" i="10"/>
  <c r="AB43" i="10"/>
  <c r="AH43" i="10"/>
  <c r="C48" i="10"/>
  <c r="Y48" i="10"/>
  <c r="AB48" i="10"/>
  <c r="AE48" i="10"/>
  <c r="AH48" i="10"/>
  <c r="P224" i="23"/>
  <c r="AC258" i="23"/>
  <c r="AC343" i="23"/>
  <c r="H22" i="15"/>
  <c r="AC345" i="23"/>
  <c r="AC369" i="23" s="1"/>
  <c r="CW69" i="14"/>
  <c r="O69" i="14" s="1"/>
  <c r="G21" i="15"/>
  <c r="AD8" i="23"/>
  <c r="AE8" i="23" s="1"/>
  <c r="G16" i="15"/>
  <c r="AC265" i="23"/>
  <c r="H70" i="15"/>
  <c r="CY301" i="14"/>
  <c r="G40" i="15"/>
  <c r="G32" i="15"/>
  <c r="G22" i="15"/>
  <c r="AI268" i="24"/>
  <c r="F9" i="15" s="1"/>
  <c r="G41" i="15"/>
  <c r="H12" i="15"/>
  <c r="H24" i="15"/>
  <c r="H20" i="15"/>
  <c r="H41" i="15"/>
  <c r="G7" i="15"/>
  <c r="H42" i="15"/>
  <c r="H36" i="15"/>
  <c r="G88" i="15"/>
  <c r="H37" i="15"/>
  <c r="G34" i="15"/>
  <c r="G78" i="15"/>
  <c r="H97" i="15"/>
  <c r="H62" i="15"/>
  <c r="H103" i="15"/>
  <c r="H27" i="15"/>
  <c r="H32" i="15"/>
  <c r="G24" i="15"/>
  <c r="H57" i="15"/>
  <c r="H56" i="15"/>
  <c r="H14" i="15"/>
  <c r="G20" i="15"/>
  <c r="H88" i="15"/>
  <c r="H45" i="15"/>
  <c r="G6" i="15"/>
  <c r="G92" i="15"/>
  <c r="G28" i="15"/>
  <c r="G14" i="15"/>
  <c r="G33" i="15"/>
  <c r="H33" i="15"/>
  <c r="H92" i="15"/>
  <c r="G37" i="15"/>
  <c r="H83" i="15"/>
  <c r="H11" i="15"/>
  <c r="G99" i="15"/>
  <c r="I63" i="15"/>
  <c r="F77" i="15"/>
  <c r="F65" i="15"/>
  <c r="G39" i="15"/>
  <c r="G83" i="15"/>
  <c r="G91" i="15"/>
  <c r="I101" i="15"/>
  <c r="I18" i="15"/>
  <c r="F99" i="15"/>
  <c r="H80" i="15"/>
  <c r="I31" i="15"/>
  <c r="H18" i="15"/>
  <c r="F34" i="15"/>
  <c r="G36" i="15"/>
  <c r="G57" i="15"/>
  <c r="I71" i="15"/>
  <c r="F95" i="15"/>
  <c r="G79" i="15"/>
  <c r="I93" i="15"/>
  <c r="I48" i="15"/>
  <c r="F96" i="15"/>
  <c r="G103" i="15"/>
  <c r="I79" i="15"/>
  <c r="I23" i="15"/>
  <c r="F82" i="15"/>
  <c r="H87" i="15"/>
  <c r="F92" i="15"/>
  <c r="I92" i="15"/>
  <c r="H79" i="15"/>
  <c r="G48" i="15"/>
  <c r="F27" i="15"/>
  <c r="F33" i="15"/>
  <c r="I87" i="15"/>
  <c r="F61" i="15"/>
  <c r="G9" i="15"/>
  <c r="F93" i="15"/>
  <c r="F79" i="15"/>
  <c r="AQ268" i="24"/>
  <c r="AN268" i="24"/>
  <c r="H9" i="15" s="1"/>
  <c r="AH268" i="24"/>
  <c r="AE268" i="24"/>
  <c r="F91" i="15"/>
  <c r="F19" i="15"/>
  <c r="F67" i="15"/>
  <c r="F49" i="15"/>
  <c r="F98" i="15"/>
  <c r="F52" i="15"/>
  <c r="F76" i="15"/>
  <c r="F69" i="15"/>
  <c r="F80" i="15"/>
  <c r="F100" i="15"/>
  <c r="F78" i="15"/>
  <c r="F83" i="15"/>
  <c r="F63" i="15"/>
  <c r="F51" i="15"/>
  <c r="F102" i="15"/>
  <c r="F47" i="15"/>
  <c r="F73" i="15"/>
  <c r="F45" i="15"/>
  <c r="F53" i="15"/>
  <c r="F85" i="15"/>
  <c r="F81" i="15"/>
  <c r="F32" i="15"/>
  <c r="F84" i="15"/>
  <c r="F97" i="15"/>
  <c r="F29" i="15"/>
  <c r="F66" i="15"/>
  <c r="F101" i="15"/>
  <c r="F14" i="15"/>
  <c r="F22" i="15"/>
  <c r="AN363" i="24"/>
  <c r="AI59" i="24"/>
  <c r="AH59" i="24" s="1"/>
  <c r="AS231" i="24"/>
  <c r="AH138" i="24"/>
  <c r="Z227" i="24"/>
  <c r="Z138" i="24"/>
  <c r="AS21" i="24"/>
  <c r="AS227" i="24"/>
  <c r="Z122" i="24"/>
  <c r="Z21" i="24"/>
  <c r="AQ182" i="43"/>
  <c r="AE143" i="43"/>
  <c r="AI26" i="29"/>
  <c r="AS26" i="29" s="1"/>
  <c r="AG26" i="29"/>
  <c r="AI25" i="29"/>
  <c r="AG25" i="29"/>
  <c r="AI108" i="23"/>
  <c r="AE108" i="23"/>
  <c r="AH108" i="23"/>
  <c r="AF108" i="23"/>
  <c r="AG108" i="23"/>
  <c r="AB108" i="23"/>
  <c r="AJ108" i="23"/>
  <c r="AD108" i="23"/>
  <c r="AK108" i="23"/>
  <c r="AC108" i="23"/>
  <c r="AC145" i="23" s="1"/>
  <c r="AP190" i="27"/>
  <c r="AK107" i="23"/>
  <c r="AJ107" i="23"/>
  <c r="AD107" i="23"/>
  <c r="AD144" i="23" s="1"/>
  <c r="AD180" i="23" s="1"/>
  <c r="AI107" i="23"/>
  <c r="AE107" i="23"/>
  <c r="AF107" i="23"/>
  <c r="AG107" i="23"/>
  <c r="AC107" i="23"/>
  <c r="AC144" i="23" s="1"/>
  <c r="AH107" i="23"/>
  <c r="AB107" i="23"/>
  <c r="AS164" i="24"/>
  <c r="AQ298" i="24"/>
  <c r="Z164" i="24"/>
  <c r="AS213" i="24"/>
  <c r="Z146" i="24"/>
  <c r="Z144" i="24"/>
  <c r="Z231" i="24"/>
  <c r="AS34" i="24"/>
  <c r="Z186" i="24"/>
  <c r="AS197" i="24"/>
  <c r="AH146" i="24"/>
  <c r="Z197" i="24"/>
  <c r="Z71" i="24"/>
  <c r="Z152" i="24"/>
  <c r="Z208" i="24"/>
  <c r="Z160" i="24"/>
  <c r="AH225" i="24"/>
  <c r="AS28" i="24"/>
  <c r="AH156" i="24"/>
  <c r="AS216" i="24"/>
  <c r="Z156" i="24"/>
  <c r="AH162" i="24"/>
  <c r="Z216" i="24"/>
  <c r="Z162" i="24"/>
  <c r="Z136" i="24"/>
  <c r="AS136" i="24"/>
  <c r="AH235" i="24"/>
  <c r="M54" i="1"/>
  <c r="J54" i="1"/>
  <c r="D54" i="1"/>
  <c r="Z213" i="24"/>
  <c r="AS229" i="24"/>
  <c r="AS22" i="24"/>
  <c r="Z229" i="24"/>
  <c r="AS158" i="24"/>
  <c r="Z158" i="24"/>
  <c r="Z150" i="24"/>
  <c r="AH68" i="24"/>
  <c r="DH7" i="36"/>
  <c r="N2" i="11"/>
  <c r="N15" i="11" s="1"/>
  <c r="N23" i="11" s="1"/>
  <c r="AK19" i="2"/>
  <c r="AH5" i="10"/>
  <c r="AH31" i="10" s="1"/>
  <c r="AL18" i="8"/>
  <c r="AO9" i="14"/>
  <c r="O2" i="20"/>
  <c r="AE65" i="1"/>
  <c r="AE90" i="1"/>
  <c r="P54" i="1"/>
  <c r="Y54" i="1"/>
  <c r="AL213" i="14"/>
  <c r="DT9" i="14"/>
  <c r="CD9" i="14"/>
  <c r="AL301" i="14"/>
  <c r="AO7" i="33"/>
  <c r="BY7" i="33" s="1"/>
  <c r="M3" i="50"/>
  <c r="AJ7" i="23"/>
  <c r="O3" i="21"/>
  <c r="AG101" i="14"/>
  <c r="AJ101" i="14"/>
  <c r="AP101" i="14"/>
  <c r="AM101" i="14"/>
  <c r="Z225" i="24"/>
  <c r="AE252" i="23"/>
  <c r="AE224" i="23"/>
  <c r="R103" i="23"/>
  <c r="V15" i="23"/>
  <c r="AI224" i="23"/>
  <c r="AI252" i="23"/>
  <c r="V311" i="23"/>
  <c r="AI311" i="23" s="1"/>
  <c r="V103" i="23"/>
  <c r="AI15" i="23"/>
  <c r="V224" i="23"/>
  <c r="DQ213" i="14"/>
  <c r="DQ301" i="14"/>
  <c r="CW72" i="14"/>
  <c r="O72" i="14" s="1"/>
  <c r="G54" i="1"/>
  <c r="AF15" i="23"/>
  <c r="AF252" i="23"/>
  <c r="AF224" i="23"/>
  <c r="S103" i="23"/>
  <c r="AC252" i="23"/>
  <c r="AC224" i="23"/>
  <c r="P103" i="23"/>
  <c r="CA301" i="14"/>
  <c r="CA213" i="14"/>
  <c r="Z68" i="24"/>
  <c r="S54" i="1"/>
  <c r="AG224" i="23"/>
  <c r="AG252" i="23"/>
  <c r="T103" i="23"/>
  <c r="Z235" i="24"/>
  <c r="O15" i="23"/>
  <c r="AB224" i="23"/>
  <c r="AB252" i="23"/>
  <c r="O103" i="23"/>
  <c r="V54" i="1"/>
  <c r="AD252" i="23"/>
  <c r="AD224" i="23"/>
  <c r="Q103" i="23"/>
  <c r="Z148" i="24"/>
  <c r="CW80" i="14"/>
  <c r="O80" i="14" s="1"/>
  <c r="AC267" i="23"/>
  <c r="AC290" i="23" s="1"/>
  <c r="AK14" i="30"/>
  <c r="X338" i="23"/>
  <c r="CG43" i="14" s="1"/>
  <c r="W338" i="23"/>
  <c r="CD43" i="14" s="1"/>
  <c r="U338" i="23"/>
  <c r="BX43" i="14" s="1"/>
  <c r="V338" i="23"/>
  <c r="CA43" i="14" s="1"/>
  <c r="AK114" i="23"/>
  <c r="AJ114" i="23"/>
  <c r="AB114" i="23"/>
  <c r="AG114" i="23"/>
  <c r="AI114" i="23"/>
  <c r="AC114" i="23"/>
  <c r="AC151" i="23" s="1"/>
  <c r="AF114" i="23"/>
  <c r="AH114" i="23"/>
  <c r="AD114" i="23"/>
  <c r="AD151" i="23" s="1"/>
  <c r="AD187" i="23" s="1"/>
  <c r="AE114" i="23"/>
  <c r="AD128" i="23"/>
  <c r="AD165" i="23" s="1"/>
  <c r="AK128" i="23"/>
  <c r="AE128" i="23"/>
  <c r="AJ128" i="23"/>
  <c r="AF128" i="23"/>
  <c r="AI128" i="23"/>
  <c r="AG128" i="23"/>
  <c r="AH128" i="23"/>
  <c r="AB128" i="23"/>
  <c r="AC128" i="23"/>
  <c r="AC165" i="23" s="1"/>
  <c r="AH113" i="23"/>
  <c r="AF113" i="23"/>
  <c r="AG113" i="23"/>
  <c r="AJ113" i="23"/>
  <c r="AB113" i="23"/>
  <c r="AI113" i="23"/>
  <c r="AE113" i="23"/>
  <c r="AK113" i="23"/>
  <c r="AC113" i="23"/>
  <c r="AC150" i="23" s="1"/>
  <c r="AC186" i="23" s="1"/>
  <c r="AD113" i="23"/>
  <c r="AD150" i="23" s="1"/>
  <c r="AD186" i="23" s="1"/>
  <c r="D12" i="10"/>
  <c r="AK112" i="23"/>
  <c r="AE153" i="22"/>
  <c r="F33" i="23" s="1"/>
  <c r="AL13" i="22"/>
  <c r="AJ13" i="22"/>
  <c r="AJ215" i="22" s="1"/>
  <c r="AI93" i="24"/>
  <c r="AH93" i="24" s="1"/>
  <c r="AH234" i="24"/>
  <c r="Z198" i="24"/>
  <c r="AC350" i="23"/>
  <c r="AC374" i="23" s="1"/>
  <c r="AM111" i="23"/>
  <c r="AB148" i="23"/>
  <c r="AB184" i="23" s="1"/>
  <c r="AC32" i="23"/>
  <c r="AK32" i="23"/>
  <c r="AJ32" i="23"/>
  <c r="AH32" i="23"/>
  <c r="AI32" i="23"/>
  <c r="AE23" i="23"/>
  <c r="AK23" i="23"/>
  <c r="AJ23" i="23"/>
  <c r="AI23" i="23"/>
  <c r="AH23" i="23"/>
  <c r="AM125" i="23"/>
  <c r="AB162" i="23"/>
  <c r="AB198" i="23" s="1"/>
  <c r="AB112" i="23"/>
  <c r="AB149" i="23" s="1"/>
  <c r="AG112" i="23"/>
  <c r="AJ112" i="23"/>
  <c r="AF112" i="23"/>
  <c r="AE112" i="23"/>
  <c r="AC112" i="23"/>
  <c r="AC149" i="23" s="1"/>
  <c r="AI112" i="23"/>
  <c r="AD112" i="23"/>
  <c r="AD149" i="23" s="1"/>
  <c r="AD185" i="23" s="1"/>
  <c r="AR76" i="14"/>
  <c r="AR155" i="14"/>
  <c r="D155" i="7" s="1"/>
  <c r="S155" i="7" s="1"/>
  <c r="S129" i="7"/>
  <c r="O192" i="14"/>
  <c r="EA192" i="14"/>
  <c r="AV192" i="14" s="1"/>
  <c r="D162" i="7"/>
  <c r="DH142" i="14"/>
  <c r="AO183" i="14"/>
  <c r="AR183" i="14" s="1"/>
  <c r="CJ183" i="14"/>
  <c r="CT333" i="14"/>
  <c r="S162" i="7"/>
  <c r="D67" i="7"/>
  <c r="S67" i="7" s="1"/>
  <c r="S73" i="7" s="1"/>
  <c r="S76" i="7" s="1"/>
  <c r="AK109" i="23"/>
  <c r="AE109" i="23"/>
  <c r="AH109" i="23"/>
  <c r="AJ109" i="23"/>
  <c r="AB109" i="23"/>
  <c r="AF109" i="23"/>
  <c r="AD109" i="23"/>
  <c r="AD146" i="23" s="1"/>
  <c r="AD182" i="23" s="1"/>
  <c r="AI109" i="23"/>
  <c r="AC109" i="23"/>
  <c r="AC146" i="23" s="1"/>
  <c r="AG109" i="23"/>
  <c r="AC367" i="23"/>
  <c r="AC289" i="23"/>
  <c r="AD145" i="23"/>
  <c r="AD153" i="23"/>
  <c r="AD189" i="23" s="1"/>
  <c r="AD157" i="23"/>
  <c r="AD154" i="23"/>
  <c r="AD190" i="23" s="1"/>
  <c r="AD162" i="23"/>
  <c r="AD198" i="23" s="1"/>
  <c r="AD143" i="23"/>
  <c r="AD179" i="23" s="1"/>
  <c r="AD167" i="23"/>
  <c r="AD203" i="23" s="1"/>
  <c r="AD168" i="23"/>
  <c r="AD204" i="23" s="1"/>
  <c r="AD155" i="23"/>
  <c r="AD191" i="23" s="1"/>
  <c r="AD166" i="23"/>
  <c r="AD202" i="23" s="1"/>
  <c r="AD148" i="23"/>
  <c r="AD184" i="23" s="1"/>
  <c r="AD152" i="23"/>
  <c r="AD188" i="23" s="1"/>
  <c r="AC285" i="23"/>
  <c r="AC342" i="23"/>
  <c r="AC373" i="23"/>
  <c r="AC282" i="23"/>
  <c r="AC375" i="23"/>
  <c r="AC190" i="23"/>
  <c r="D90" i="7"/>
  <c r="S90" i="7" s="1"/>
  <c r="D37" i="7"/>
  <c r="S37" i="7" s="1"/>
  <c r="AI23" i="10"/>
  <c r="AI22" i="10"/>
  <c r="D49" i="10"/>
  <c r="AJ105" i="23"/>
  <c r="AD105" i="23"/>
  <c r="AG105" i="23"/>
  <c r="AI105" i="23"/>
  <c r="AE105" i="23"/>
  <c r="AK105" i="23"/>
  <c r="AC105" i="23"/>
  <c r="AH105" i="23"/>
  <c r="AB105" i="23"/>
  <c r="AF105" i="23"/>
  <c r="BL301" i="14"/>
  <c r="D176" i="7"/>
  <c r="CZ72" i="14"/>
  <c r="R72" i="14" s="1"/>
  <c r="D192" i="7"/>
  <c r="S192" i="7"/>
  <c r="CZ81" i="14"/>
  <c r="R81" i="14" s="1"/>
  <c r="S176" i="7"/>
  <c r="I172" i="14"/>
  <c r="I171" i="14"/>
  <c r="CT176" i="14"/>
  <c r="L306" i="14"/>
  <c r="D16" i="11" s="1"/>
  <c r="D21" i="11" s="1"/>
  <c r="AC348" i="23"/>
  <c r="AC372" i="23" s="1"/>
  <c r="AC353" i="23"/>
  <c r="AC261" i="23"/>
  <c r="AC255" i="23"/>
  <c r="AC257" i="23"/>
  <c r="AC352" i="23"/>
  <c r="AE9" i="23"/>
  <c r="AF9" i="23" s="1"/>
  <c r="AC344" i="23"/>
  <c r="AD10" i="23"/>
  <c r="AC264" i="23"/>
  <c r="AC263" i="23"/>
  <c r="AS87" i="24"/>
  <c r="AI221" i="24"/>
  <c r="AH221" i="24" s="1"/>
  <c r="Z28" i="24"/>
  <c r="Z87" i="24"/>
  <c r="AY1" i="14"/>
  <c r="CZ15" i="14"/>
  <c r="R15" i="14" s="1"/>
  <c r="CW15" i="14"/>
  <c r="O15" i="14" s="1"/>
  <c r="DC81" i="14"/>
  <c r="U81" i="14" s="1"/>
  <c r="DB301" i="14"/>
  <c r="R162" i="14"/>
  <c r="DC69" i="14"/>
  <c r="U69" i="14" s="1"/>
  <c r="DC72" i="14"/>
  <c r="U72" i="14" s="1"/>
  <c r="CZ80" i="14"/>
  <c r="R80" i="14" s="1"/>
  <c r="BU301" i="14"/>
  <c r="Z112" i="43"/>
  <c r="AI62" i="24"/>
  <c r="AH62" i="24" s="1"/>
  <c r="Z96" i="43"/>
  <c r="Z88" i="43"/>
  <c r="AH17" i="25"/>
  <c r="AH95" i="25" s="1"/>
  <c r="Z20" i="26"/>
  <c r="B49" i="26"/>
  <c r="B50" i="26" s="1"/>
  <c r="B52" i="26" s="1"/>
  <c r="B51" i="26"/>
  <c r="AQ116" i="26"/>
  <c r="Z9" i="26"/>
  <c r="AL87" i="27"/>
  <c r="M20" i="23"/>
  <c r="AJ190" i="27"/>
  <c r="AE87" i="27"/>
  <c r="AO190" i="27"/>
  <c r="AM190" i="26"/>
  <c r="AN116" i="26"/>
  <c r="AQ87" i="26"/>
  <c r="AE29" i="26"/>
  <c r="AE105" i="26" s="1"/>
  <c r="AM187" i="25"/>
  <c r="AI11" i="24"/>
  <c r="Z11" i="24"/>
  <c r="AN307" i="24"/>
  <c r="H48" i="15" s="1"/>
  <c r="AM261" i="22"/>
  <c r="AP261" i="22"/>
  <c r="AR261" i="22"/>
  <c r="Z34" i="24"/>
  <c r="AQ255" i="29"/>
  <c r="AQ261" i="29" s="1"/>
  <c r="AN153" i="29"/>
  <c r="J228" i="23" s="1"/>
  <c r="Z149" i="24"/>
  <c r="AF307" i="24"/>
  <c r="AH73" i="24"/>
  <c r="Z22" i="24"/>
  <c r="Z73" i="24"/>
  <c r="Z143" i="24"/>
  <c r="Z37" i="24"/>
  <c r="Z137" i="24"/>
  <c r="Z157" i="24"/>
  <c r="AH207" i="24"/>
  <c r="Z139" i="24"/>
  <c r="AI230" i="24"/>
  <c r="AH230" i="24" s="1"/>
  <c r="Z135" i="24"/>
  <c r="Z224" i="24"/>
  <c r="AI223" i="24"/>
  <c r="AS223" i="24" s="1"/>
  <c r="AS224" i="24"/>
  <c r="AI238" i="24"/>
  <c r="AS238" i="24" s="1"/>
  <c r="AS363" i="24" s="1"/>
  <c r="AI154" i="24"/>
  <c r="AH154" i="24" s="1"/>
  <c r="Z27" i="24"/>
  <c r="AI214" i="24"/>
  <c r="AH214" i="24" s="1"/>
  <c r="B31" i="24"/>
  <c r="B33" i="24" s="1"/>
  <c r="B34" i="24" s="1"/>
  <c r="B35" i="24" s="1"/>
  <c r="B30" i="24"/>
  <c r="Z95" i="24"/>
  <c r="Z234" i="24"/>
  <c r="Z228" i="24"/>
  <c r="AS139" i="24"/>
  <c r="AH228" i="24"/>
  <c r="Z207" i="24"/>
  <c r="AI313" i="24"/>
  <c r="AI187" i="24"/>
  <c r="AH187" i="24" s="1"/>
  <c r="Z212" i="24"/>
  <c r="AI169" i="24"/>
  <c r="AH169" i="24" s="1"/>
  <c r="AE307" i="24"/>
  <c r="AS212" i="24"/>
  <c r="AI145" i="24"/>
  <c r="AH145" i="24" s="1"/>
  <c r="Z140" i="24"/>
  <c r="AQ266" i="24"/>
  <c r="AN255" i="29"/>
  <c r="AN261" i="29" s="1"/>
  <c r="AN276" i="24"/>
  <c r="H17" i="15" s="1"/>
  <c r="AK299" i="24"/>
  <c r="AO261" i="29"/>
  <c r="AE32" i="23"/>
  <c r="AG32" i="23"/>
  <c r="AD32" i="23"/>
  <c r="AF32" i="23"/>
  <c r="AB32" i="23"/>
  <c r="AJ261" i="29"/>
  <c r="AB23" i="23"/>
  <c r="AD23" i="23"/>
  <c r="AD261" i="29"/>
  <c r="AR261" i="29"/>
  <c r="AP261" i="29"/>
  <c r="AG23" i="23"/>
  <c r="AF23" i="23"/>
  <c r="AC23" i="23"/>
  <c r="AC50" i="23" s="1"/>
  <c r="AQ313" i="24"/>
  <c r="AQ363" i="24"/>
  <c r="AS84" i="24"/>
  <c r="AN289" i="24"/>
  <c r="H30" i="15" s="1"/>
  <c r="AQ299" i="24"/>
  <c r="AQ297" i="24"/>
  <c r="AQ276" i="24"/>
  <c r="AH35" i="24"/>
  <c r="AS94" i="24"/>
  <c r="AS95" i="24"/>
  <c r="Z153" i="24"/>
  <c r="Z189" i="24"/>
  <c r="AI307" i="24"/>
  <c r="Z94" i="24"/>
  <c r="AI271" i="24"/>
  <c r="Z218" i="24"/>
  <c r="AH220" i="24"/>
  <c r="Z191" i="24"/>
  <c r="Z182" i="24"/>
  <c r="AE299" i="24"/>
  <c r="AQ307" i="24"/>
  <c r="AS25" i="24"/>
  <c r="AN298" i="24"/>
  <c r="H39" i="15" s="1"/>
  <c r="Z220" i="24"/>
  <c r="AN297" i="24"/>
  <c r="H38" i="15" s="1"/>
  <c r="Z25" i="24"/>
  <c r="Z60" i="24"/>
  <c r="AS75" i="24"/>
  <c r="AS60" i="24"/>
  <c r="Z75" i="24"/>
  <c r="Z35" i="24"/>
  <c r="AS218" i="24"/>
  <c r="Z76" i="24"/>
  <c r="AS78" i="24"/>
  <c r="AS76" i="24"/>
  <c r="AH76" i="24"/>
  <c r="AS119" i="24"/>
  <c r="Z119" i="24"/>
  <c r="Z78" i="24"/>
  <c r="AS66" i="24"/>
  <c r="Z66" i="24"/>
  <c r="Z70" i="24"/>
  <c r="Z159" i="24"/>
  <c r="AI29" i="24"/>
  <c r="AH29" i="24" s="1"/>
  <c r="AH70" i="24"/>
  <c r="AI89" i="24"/>
  <c r="AH89" i="24" s="1"/>
  <c r="Z33" i="24"/>
  <c r="AH33" i="24"/>
  <c r="AH307" i="24"/>
  <c r="Z84" i="24"/>
  <c r="Z88" i="24"/>
  <c r="AH60" i="24"/>
  <c r="AS27" i="24"/>
  <c r="AI161" i="24"/>
  <c r="AH161" i="24" s="1"/>
  <c r="AD369" i="24"/>
  <c r="AP369" i="24"/>
  <c r="AS88" i="24"/>
  <c r="AN266" i="24"/>
  <c r="AS222" i="24"/>
  <c r="AR369" i="24"/>
  <c r="M313" i="23"/>
  <c r="AP175" i="30"/>
  <c r="AF73" i="30"/>
  <c r="AM175" i="30"/>
  <c r="AS13" i="30"/>
  <c r="AL19" i="30"/>
  <c r="AJ19" i="30"/>
  <c r="AL54" i="30"/>
  <c r="AJ54" i="30"/>
  <c r="AL39" i="30"/>
  <c r="AJ39" i="30"/>
  <c r="AL30" i="30"/>
  <c r="AJ30" i="30"/>
  <c r="AL47" i="30"/>
  <c r="AJ47" i="30"/>
  <c r="AL36" i="30"/>
  <c r="AJ36" i="30"/>
  <c r="AL41" i="30"/>
  <c r="AJ41" i="30"/>
  <c r="AL59" i="30"/>
  <c r="AJ59" i="30"/>
  <c r="AL61" i="30"/>
  <c r="AJ61" i="30"/>
  <c r="AL28" i="30"/>
  <c r="AJ28" i="30"/>
  <c r="AL24" i="30"/>
  <c r="AK24" i="30" s="1"/>
  <c r="AJ24" i="30"/>
  <c r="AL29" i="30"/>
  <c r="AJ29" i="30"/>
  <c r="AD162" i="30"/>
  <c r="F314" i="23" s="1"/>
  <c r="AL60" i="30"/>
  <c r="AJ60" i="30"/>
  <c r="AK60" i="30" s="1"/>
  <c r="AL63" i="30"/>
  <c r="AJ63" i="30"/>
  <c r="AL56" i="30"/>
  <c r="AJ56" i="30"/>
  <c r="AL58" i="30"/>
  <c r="AJ58" i="30"/>
  <c r="AG162" i="30"/>
  <c r="H314" i="23" s="1"/>
  <c r="H332" i="23" s="1"/>
  <c r="AL53" i="30"/>
  <c r="AK53" i="30" s="1"/>
  <c r="AJ53" i="30"/>
  <c r="AL27" i="30"/>
  <c r="AJ27" i="30"/>
  <c r="AD69" i="30"/>
  <c r="AL31" i="30"/>
  <c r="AJ31" i="30"/>
  <c r="AL55" i="30"/>
  <c r="AJ55" i="30"/>
  <c r="AL57" i="30"/>
  <c r="AJ57" i="30"/>
  <c r="AL46" i="30"/>
  <c r="AJ46" i="30"/>
  <c r="AL35" i="30"/>
  <c r="AJ35" i="30"/>
  <c r="AL42" i="30"/>
  <c r="AJ42" i="30"/>
  <c r="AL23" i="30"/>
  <c r="AJ23" i="30"/>
  <c r="AL52" i="30"/>
  <c r="AJ52" i="30"/>
  <c r="AL26" i="30"/>
  <c r="AJ26" i="30"/>
  <c r="AL50" i="30"/>
  <c r="AJ50" i="30"/>
  <c r="AL45" i="30"/>
  <c r="AJ45" i="30"/>
  <c r="AK45" i="30" s="1"/>
  <c r="AF69" i="30"/>
  <c r="AL40" i="30"/>
  <c r="AJ40" i="30"/>
  <c r="AL37" i="30"/>
  <c r="AJ37" i="30"/>
  <c r="AL44" i="30"/>
  <c r="AJ44" i="30"/>
  <c r="AL34" i="30"/>
  <c r="AJ34" i="30"/>
  <c r="AL22" i="30"/>
  <c r="AJ22" i="30"/>
  <c r="AL48" i="30"/>
  <c r="AJ48" i="30"/>
  <c r="AK48" i="30" s="1"/>
  <c r="AL38" i="30"/>
  <c r="AJ38" i="30"/>
  <c r="AL43" i="30"/>
  <c r="AJ43" i="30"/>
  <c r="AL21" i="30"/>
  <c r="AJ21" i="30"/>
  <c r="AL25" i="30"/>
  <c r="AJ25" i="30"/>
  <c r="AK25" i="30" s="1"/>
  <c r="AL51" i="30"/>
  <c r="AJ51" i="30"/>
  <c r="AL62" i="30"/>
  <c r="AJ62" i="30"/>
  <c r="AL49" i="30"/>
  <c r="AJ49" i="30"/>
  <c r="AL32" i="30"/>
  <c r="AJ32" i="30"/>
  <c r="AK32" i="30" s="1"/>
  <c r="AL33" i="30"/>
  <c r="AJ33" i="30"/>
  <c r="AL20" i="30"/>
  <c r="AJ20" i="30"/>
  <c r="AG69" i="30"/>
  <c r="AQ139" i="43"/>
  <c r="AL9" i="43"/>
  <c r="Z9" i="43"/>
  <c r="AD134" i="43"/>
  <c r="F22" i="23" s="1"/>
  <c r="AQ138" i="43"/>
  <c r="AI13" i="24"/>
  <c r="AH13" i="24" s="1"/>
  <c r="AG261" i="22"/>
  <c r="AG190" i="27"/>
  <c r="AH10" i="22"/>
  <c r="AH254" i="22" s="1"/>
  <c r="AG11" i="43"/>
  <c r="AG134" i="43" s="1"/>
  <c r="H22" i="23" s="1"/>
  <c r="Z109" i="43"/>
  <c r="Z101" i="43"/>
  <c r="Z84" i="43"/>
  <c r="Z222" i="24"/>
  <c r="Z91" i="43"/>
  <c r="AS208" i="24"/>
  <c r="Z115" i="43"/>
  <c r="Z110" i="43"/>
  <c r="Z102" i="43"/>
  <c r="AS88" i="43"/>
  <c r="U101" i="14"/>
  <c r="R101" i="14"/>
  <c r="X101" i="14"/>
  <c r="AD101" i="14"/>
  <c r="O224" i="23"/>
  <c r="AB15" i="23"/>
  <c r="O311" i="23"/>
  <c r="AB311" i="23" s="1"/>
  <c r="AO261" i="22"/>
  <c r="AJ261" i="22"/>
  <c r="AF261" i="22"/>
  <c r="AE261" i="22"/>
  <c r="AD261" i="22"/>
  <c r="AQ261" i="22"/>
  <c r="AP187" i="25"/>
  <c r="AS71" i="24"/>
  <c r="AM242" i="43"/>
  <c r="Z9" i="29"/>
  <c r="AQ305" i="24"/>
  <c r="AN267" i="24"/>
  <c r="H8" i="15" s="1"/>
  <c r="AN112" i="25"/>
  <c r="AN187" i="25" s="1"/>
  <c r="AQ155" i="43"/>
  <c r="AI73" i="43"/>
  <c r="Z73" i="43"/>
  <c r="AF83" i="25"/>
  <c r="AE21" i="25"/>
  <c r="AE83" i="25" s="1"/>
  <c r="BR301" i="14"/>
  <c r="BR213" i="14"/>
  <c r="AE182" i="43"/>
  <c r="AI38" i="43"/>
  <c r="Z38" i="43"/>
  <c r="CT229" i="14"/>
  <c r="K156" i="14"/>
  <c r="K163" i="14" s="1"/>
  <c r="AI54" i="43"/>
  <c r="Z54" i="43"/>
  <c r="J17" i="10"/>
  <c r="AE169" i="43"/>
  <c r="AS87" i="43"/>
  <c r="AE189" i="43"/>
  <c r="AQ267" i="24"/>
  <c r="AQ142" i="43"/>
  <c r="AI60" i="43"/>
  <c r="Z60" i="43"/>
  <c r="AL65" i="43"/>
  <c r="Z65" i="43"/>
  <c r="AE202" i="43"/>
  <c r="AE220" i="43"/>
  <c r="AE29" i="25"/>
  <c r="AE102" i="25" s="1"/>
  <c r="AF102" i="25"/>
  <c r="AQ153" i="29"/>
  <c r="K228" i="23" s="1"/>
  <c r="DK301" i="14"/>
  <c r="DK213" i="14"/>
  <c r="AE11" i="43"/>
  <c r="AE138" i="43" s="1"/>
  <c r="AS12" i="30"/>
  <c r="CZ53" i="14"/>
  <c r="R53" i="14" s="1"/>
  <c r="AF153" i="29"/>
  <c r="AE222" i="43"/>
  <c r="AF222" i="43"/>
  <c r="AI20" i="43"/>
  <c r="Z20" i="43"/>
  <c r="AE203" i="43"/>
  <c r="AF203" i="43"/>
  <c r="AI57" i="43"/>
  <c r="Z57" i="43"/>
  <c r="AH176" i="43"/>
  <c r="AI176" i="43"/>
  <c r="AL55" i="43"/>
  <c r="Z55" i="43"/>
  <c r="AL176" i="43"/>
  <c r="AE178" i="43"/>
  <c r="AF178" i="43"/>
  <c r="AF220" i="43"/>
  <c r="AK105" i="43"/>
  <c r="AS105" i="43"/>
  <c r="Z105" i="43"/>
  <c r="AF186" i="43"/>
  <c r="V9" i="24"/>
  <c r="AL9" i="24" s="1"/>
  <c r="AI9" i="24"/>
  <c r="AH9" i="24" s="1"/>
  <c r="AK113" i="43"/>
  <c r="AI32" i="43"/>
  <c r="Z32" i="43"/>
  <c r="AK116" i="43"/>
  <c r="AS116" i="43"/>
  <c r="AL39" i="43"/>
  <c r="AL237" i="43" s="1"/>
  <c r="Z39" i="43"/>
  <c r="AK115" i="43"/>
  <c r="AS115" i="43"/>
  <c r="AS102" i="43"/>
  <c r="AF202" i="43"/>
  <c r="AN257" i="22"/>
  <c r="AN256" i="22"/>
  <c r="AN153" i="22"/>
  <c r="H126" i="23" s="1"/>
  <c r="M126" i="23" s="1"/>
  <c r="AL28" i="29"/>
  <c r="AK28" i="29" s="1"/>
  <c r="AC28" i="29"/>
  <c r="AL127" i="29"/>
  <c r="AK127" i="29" s="1"/>
  <c r="AC127" i="29"/>
  <c r="CT311" i="14"/>
  <c r="CT334" i="14"/>
  <c r="AL207" i="43"/>
  <c r="Z90" i="43"/>
  <c r="AI90" i="43"/>
  <c r="AH90" i="43" s="1"/>
  <c r="AL173" i="43"/>
  <c r="AH37" i="24"/>
  <c r="AO190" i="26"/>
  <c r="AN138" i="43"/>
  <c r="H6" i="15" s="1"/>
  <c r="AK117" i="43"/>
  <c r="AS84" i="43"/>
  <c r="AE226" i="43"/>
  <c r="AF226" i="43"/>
  <c r="AE104" i="43"/>
  <c r="AE196" i="43" s="1"/>
  <c r="AF196" i="43"/>
  <c r="AK107" i="43"/>
  <c r="AS107" i="43"/>
  <c r="AE207" i="43"/>
  <c r="AF207" i="43"/>
  <c r="AS106" i="43"/>
  <c r="AK106" i="43"/>
  <c r="AL169" i="43"/>
  <c r="AL186" i="43"/>
  <c r="CT185" i="14"/>
  <c r="CT312" i="14"/>
  <c r="CT230" i="14"/>
  <c r="AM261" i="29"/>
  <c r="AK92" i="24"/>
  <c r="AS92" i="24"/>
  <c r="A17" i="20"/>
  <c r="Y91" i="1" s="1"/>
  <c r="CA181" i="14" s="1"/>
  <c r="AI181" i="14" s="1"/>
  <c r="B18" i="20"/>
  <c r="A18" i="20" s="1"/>
  <c r="AN305" i="24"/>
  <c r="H46" i="15" s="1"/>
  <c r="AE188" i="43"/>
  <c r="AF188" i="43"/>
  <c r="AK104" i="43"/>
  <c r="AS104" i="43"/>
  <c r="AS86" i="43"/>
  <c r="AE174" i="43"/>
  <c r="AF174" i="43"/>
  <c r="AE219" i="43"/>
  <c r="AF219" i="43"/>
  <c r="AC102" i="29"/>
  <c r="AL102" i="29"/>
  <c r="AK102" i="29" s="1"/>
  <c r="AC62" i="29"/>
  <c r="AL62" i="29"/>
  <c r="AK62" i="29" s="1"/>
  <c r="AF87" i="27"/>
  <c r="Z92" i="24"/>
  <c r="AH204" i="43"/>
  <c r="AI204" i="43"/>
  <c r="Z165" i="24"/>
  <c r="Z116" i="43"/>
  <c r="AN139" i="43"/>
  <c r="Z94" i="43"/>
  <c r="AI94" i="43"/>
  <c r="AH94" i="43" s="1"/>
  <c r="AQ261" i="24"/>
  <c r="K26" i="23" s="1"/>
  <c r="AN299" i="24"/>
  <c r="H40" i="15" s="1"/>
  <c r="AR187" i="25"/>
  <c r="P91" i="1"/>
  <c r="BR181" i="14" s="1"/>
  <c r="Z181" i="14" s="1"/>
  <c r="AE206" i="43"/>
  <c r="AF206" i="43"/>
  <c r="AS91" i="43"/>
  <c r="AE194" i="43"/>
  <c r="AF194" i="43"/>
  <c r="AE175" i="43"/>
  <c r="AF175" i="43"/>
  <c r="AK95" i="43"/>
  <c r="AS95" i="43"/>
  <c r="Z100" i="43"/>
  <c r="AI100" i="43"/>
  <c r="AH100" i="43" s="1"/>
  <c r="AI31" i="24"/>
  <c r="Z31" i="24"/>
  <c r="CT340" i="14"/>
  <c r="AF134" i="43"/>
  <c r="AL204" i="43"/>
  <c r="AE69" i="30"/>
  <c r="AL220" i="43"/>
  <c r="AK110" i="43"/>
  <c r="AS110" i="43"/>
  <c r="AE162" i="43"/>
  <c r="AF162" i="43"/>
  <c r="Z104" i="43"/>
  <c r="AE176" i="43"/>
  <c r="AF176" i="43"/>
  <c r="AE192" i="43"/>
  <c r="AF192" i="43"/>
  <c r="AE190" i="43"/>
  <c r="AF190" i="43"/>
  <c r="AS101" i="43"/>
  <c r="AK101" i="43"/>
  <c r="AK96" i="43"/>
  <c r="AS96" i="43"/>
  <c r="AF169" i="43"/>
  <c r="AK100" i="43"/>
  <c r="Z106" i="43"/>
  <c r="Z87" i="43"/>
  <c r="AL200" i="43"/>
  <c r="CZ183" i="14"/>
  <c r="R183" i="14" s="1"/>
  <c r="AK99" i="43"/>
  <c r="AS99" i="43"/>
  <c r="CZ184" i="14"/>
  <c r="R184" i="14" s="1"/>
  <c r="AL188" i="43"/>
  <c r="Z113" i="43"/>
  <c r="AI113" i="43"/>
  <c r="AH113" i="43" s="1"/>
  <c r="AH103" i="43"/>
  <c r="AF182" i="43"/>
  <c r="AL203" i="43"/>
  <c r="AO187" i="25"/>
  <c r="AR69" i="30"/>
  <c r="AN160" i="43"/>
  <c r="H28" i="15" s="1"/>
  <c r="CZ57" i="14"/>
  <c r="R57" i="14" s="1"/>
  <c r="AH178" i="43"/>
  <c r="E35" i="18"/>
  <c r="AS219" i="24"/>
  <c r="AK127" i="43"/>
  <c r="AS127" i="43"/>
  <c r="AK112" i="43"/>
  <c r="AS112" i="43"/>
  <c r="AI49" i="43"/>
  <c r="Z49" i="43"/>
  <c r="AE187" i="43"/>
  <c r="AF187" i="43"/>
  <c r="AI26" i="43"/>
  <c r="Z26" i="43"/>
  <c r="AK94" i="43"/>
  <c r="AE173" i="43"/>
  <c r="AL202" i="43"/>
  <c r="AL109" i="43"/>
  <c r="AC109" i="43"/>
  <c r="Z92" i="43"/>
  <c r="AL92" i="43"/>
  <c r="Z114" i="43"/>
  <c r="AL114" i="43"/>
  <c r="Z111" i="43"/>
  <c r="AL111" i="43"/>
  <c r="Z117" i="43"/>
  <c r="AI117" i="43"/>
  <c r="AH117" i="43" s="1"/>
  <c r="AQ134" i="43"/>
  <c r="K31" i="23" s="1"/>
  <c r="AS134" i="24"/>
  <c r="AK103" i="43"/>
  <c r="AS103" i="43"/>
  <c r="AL196" i="43"/>
  <c r="Z19" i="27"/>
  <c r="AN73" i="30"/>
  <c r="H127" i="23" s="1"/>
  <c r="M127" i="23" s="1"/>
  <c r="AE73" i="30"/>
  <c r="CZ29" i="14"/>
  <c r="R29" i="14" s="1"/>
  <c r="Z108" i="43"/>
  <c r="AI108" i="43"/>
  <c r="AD190" i="27"/>
  <c r="AE221" i="43"/>
  <c r="AF221" i="43"/>
  <c r="AE191" i="43"/>
  <c r="AF191" i="43"/>
  <c r="AE218" i="43"/>
  <c r="AF218" i="43"/>
  <c r="AI53" i="43"/>
  <c r="Z53" i="43"/>
  <c r="AE186" i="43"/>
  <c r="AK204" i="43"/>
  <c r="AI30" i="43"/>
  <c r="Z30" i="43"/>
  <c r="AE200" i="43"/>
  <c r="AF200" i="43"/>
  <c r="AF143" i="43"/>
  <c r="AN313" i="24"/>
  <c r="H54" i="15" s="1"/>
  <c r="AL90" i="24"/>
  <c r="Z90" i="24"/>
  <c r="AF173" i="43"/>
  <c r="Z45" i="29"/>
  <c r="AS64" i="29"/>
  <c r="AS42" i="29"/>
  <c r="Z58" i="29"/>
  <c r="AS119" i="29"/>
  <c r="Z143" i="29"/>
  <c r="AS99" i="29"/>
  <c r="AS59" i="29"/>
  <c r="Z60" i="29"/>
  <c r="M17" i="23"/>
  <c r="AG369" i="24"/>
  <c r="Z97" i="29"/>
  <c r="Z77" i="29"/>
  <c r="Z15" i="29"/>
  <c r="AS36" i="29"/>
  <c r="AS75" i="29"/>
  <c r="Z129" i="29"/>
  <c r="AS74" i="29"/>
  <c r="Z92" i="29"/>
  <c r="AS54" i="29"/>
  <c r="Z94" i="29"/>
  <c r="AS113" i="29"/>
  <c r="Z39" i="29"/>
  <c r="Z112" i="29"/>
  <c r="AS112" i="29"/>
  <c r="Z128" i="29"/>
  <c r="Z122" i="29"/>
  <c r="AS122" i="29"/>
  <c r="Z113" i="29"/>
  <c r="AS55" i="29"/>
  <c r="AS16" i="29"/>
  <c r="Z16" i="29"/>
  <c r="AS115" i="29"/>
  <c r="Z93" i="29"/>
  <c r="AS128" i="29"/>
  <c r="Z54" i="29"/>
  <c r="Z48" i="29"/>
  <c r="AS15" i="29"/>
  <c r="Z131" i="29"/>
  <c r="Z37" i="29"/>
  <c r="AS93" i="29"/>
  <c r="Z115" i="29"/>
  <c r="AS77" i="29"/>
  <c r="AS57" i="29"/>
  <c r="AS118" i="29"/>
  <c r="Z74" i="29"/>
  <c r="Z36" i="29"/>
  <c r="AS94" i="29"/>
  <c r="AS48" i="29"/>
  <c r="AS131" i="29"/>
  <c r="AS37" i="29"/>
  <c r="Z14" i="29"/>
  <c r="Z95" i="29"/>
  <c r="Z57" i="29"/>
  <c r="AS95" i="29"/>
  <c r="AS39" i="29"/>
  <c r="Z125" i="29"/>
  <c r="AS53" i="29"/>
  <c r="Z73" i="29"/>
  <c r="Z50" i="29"/>
  <c r="Z35" i="29"/>
  <c r="AS71" i="29"/>
  <c r="AS126" i="29"/>
  <c r="AS88" i="29"/>
  <c r="Z30" i="29"/>
  <c r="Z88" i="29"/>
  <c r="Z51" i="29"/>
  <c r="Z98" i="29"/>
  <c r="AS127" i="29"/>
  <c r="Z71" i="29"/>
  <c r="Z52" i="29"/>
  <c r="AS80" i="29"/>
  <c r="AS45" i="29"/>
  <c r="Z81" i="29"/>
  <c r="Z83" i="29"/>
  <c r="Z116" i="29"/>
  <c r="Z40" i="29"/>
  <c r="Z25" i="29"/>
  <c r="AS83" i="29"/>
  <c r="Z140" i="29"/>
  <c r="AS23" i="29"/>
  <c r="Z90" i="29"/>
  <c r="Z118" i="29"/>
  <c r="Z75" i="29"/>
  <c r="Z55" i="29"/>
  <c r="AS14" i="29"/>
  <c r="AS129" i="29"/>
  <c r="Z42" i="29"/>
  <c r="Z104" i="29"/>
  <c r="AS124" i="29"/>
  <c r="Z124" i="29"/>
  <c r="Z66" i="29"/>
  <c r="Z76" i="29"/>
  <c r="Z107" i="29"/>
  <c r="AS12" i="29"/>
  <c r="AS35" i="29"/>
  <c r="Z31" i="29"/>
  <c r="Z105" i="29"/>
  <c r="Z89" i="29"/>
  <c r="AS24" i="29"/>
  <c r="AS104" i="29"/>
  <c r="AS30" i="29"/>
  <c r="AS50" i="29"/>
  <c r="Z28" i="29"/>
  <c r="Z102" i="29"/>
  <c r="Z127" i="29"/>
  <c r="Z91" i="29"/>
  <c r="AS107" i="29"/>
  <c r="Z53" i="29"/>
  <c r="AS89" i="29"/>
  <c r="AS31" i="29"/>
  <c r="Z12" i="29"/>
  <c r="Z24" i="29"/>
  <c r="AS52" i="29"/>
  <c r="Z145" i="29"/>
  <c r="AS145" i="29"/>
  <c r="AS28" i="29"/>
  <c r="AS102" i="29"/>
  <c r="AS76" i="29"/>
  <c r="AS91" i="29"/>
  <c r="AS51" i="29"/>
  <c r="AS125" i="29"/>
  <c r="AS98" i="29"/>
  <c r="Z126" i="29"/>
  <c r="AS116" i="29"/>
  <c r="Z137" i="29"/>
  <c r="Z141" i="29"/>
  <c r="AS58" i="29"/>
  <c r="AS62" i="29"/>
  <c r="Z17" i="29"/>
  <c r="Z80" i="29"/>
  <c r="Z56" i="29"/>
  <c r="AS56" i="29"/>
  <c r="Z38" i="29"/>
  <c r="AS38" i="29"/>
  <c r="Z99" i="29"/>
  <c r="Z61" i="29"/>
  <c r="AS41" i="29"/>
  <c r="AS60" i="29"/>
  <c r="AH117" i="29"/>
  <c r="AS137" i="29"/>
  <c r="Z96" i="29"/>
  <c r="AS40" i="29"/>
  <c r="AS17" i="29"/>
  <c r="Z64" i="29"/>
  <c r="Z114" i="29"/>
  <c r="AS143" i="29"/>
  <c r="AS114" i="29"/>
  <c r="AS140" i="29"/>
  <c r="Z119" i="29"/>
  <c r="AS97" i="29"/>
  <c r="Z72" i="29"/>
  <c r="AS72" i="29"/>
  <c r="AS65" i="29"/>
  <c r="Z142" i="29"/>
  <c r="AS106" i="29"/>
  <c r="Z139" i="29"/>
  <c r="Z101" i="29"/>
  <c r="Z117" i="29"/>
  <c r="AS138" i="29"/>
  <c r="AS27" i="29"/>
  <c r="Z23" i="29"/>
  <c r="Z138" i="29"/>
  <c r="AS90" i="29"/>
  <c r="Z82" i="29"/>
  <c r="AS142" i="29"/>
  <c r="AS139" i="29"/>
  <c r="Z59" i="29"/>
  <c r="Z41" i="29"/>
  <c r="AS81" i="29"/>
  <c r="Z84" i="29"/>
  <c r="Z100" i="29"/>
  <c r="Z62" i="29"/>
  <c r="AS84" i="29"/>
  <c r="AS46" i="29"/>
  <c r="Z26" i="29"/>
  <c r="AS86" i="29"/>
  <c r="Z47" i="29"/>
  <c r="Z29" i="29"/>
  <c r="AS29" i="29"/>
  <c r="Z87" i="29"/>
  <c r="AS123" i="29"/>
  <c r="Z27" i="29"/>
  <c r="Z32" i="29"/>
  <c r="Z106" i="29"/>
  <c r="Z120" i="29"/>
  <c r="AS100" i="29"/>
  <c r="Z86" i="29"/>
  <c r="Z123" i="29"/>
  <c r="AS101" i="29"/>
  <c r="Z63" i="29"/>
  <c r="Z65" i="29"/>
  <c r="Z49" i="29"/>
  <c r="AS103" i="29"/>
  <c r="AS141" i="29"/>
  <c r="Z46" i="29"/>
  <c r="AS120" i="29"/>
  <c r="Z130" i="29"/>
  <c r="Z144" i="29"/>
  <c r="AS121" i="29"/>
  <c r="AS63" i="29"/>
  <c r="Z85" i="29"/>
  <c r="AS49" i="29"/>
  <c r="AS87" i="29"/>
  <c r="Z103" i="29"/>
  <c r="Z121" i="29"/>
  <c r="AS47" i="29"/>
  <c r="AS32" i="29"/>
  <c r="AS82" i="29"/>
  <c r="Z121" i="24"/>
  <c r="AE267" i="24"/>
  <c r="AS198" i="24"/>
  <c r="AI36" i="43"/>
  <c r="Z36" i="43"/>
  <c r="AI83" i="43"/>
  <c r="Z83" i="43"/>
  <c r="AK56" i="43"/>
  <c r="AK156" i="43" s="1"/>
  <c r="AL156" i="43"/>
  <c r="AI10" i="43"/>
  <c r="AI48" i="43"/>
  <c r="Z48" i="43"/>
  <c r="AI62" i="43"/>
  <c r="Z62" i="43"/>
  <c r="AI82" i="43"/>
  <c r="Z82" i="43"/>
  <c r="AI47" i="43"/>
  <c r="AH47" i="43" s="1"/>
  <c r="Z47" i="43"/>
  <c r="AK9" i="43"/>
  <c r="AI22" i="43"/>
  <c r="Z22" i="43"/>
  <c r="AH19" i="27"/>
  <c r="AS19" i="27"/>
  <c r="AI23" i="24"/>
  <c r="Z23" i="24"/>
  <c r="O198" i="14"/>
  <c r="BA169" i="14"/>
  <c r="I169" i="14" s="1"/>
  <c r="G26" i="17"/>
  <c r="AI60" i="30"/>
  <c r="AH60" i="30" s="1"/>
  <c r="Z60" i="30"/>
  <c r="AI63" i="30"/>
  <c r="AH63" i="30" s="1"/>
  <c r="Z63" i="30"/>
  <c r="AI21" i="30"/>
  <c r="AH21" i="30" s="1"/>
  <c r="Z21" i="30"/>
  <c r="AI50" i="30"/>
  <c r="AH50" i="30" s="1"/>
  <c r="Z50" i="30"/>
  <c r="Z44" i="30"/>
  <c r="AI44" i="30"/>
  <c r="AH44" i="30" s="1"/>
  <c r="Z37" i="30"/>
  <c r="AI37" i="30"/>
  <c r="AH37" i="30" s="1"/>
  <c r="AI34" i="30"/>
  <c r="AH34" i="30" s="1"/>
  <c r="Z34" i="30"/>
  <c r="AI25" i="30"/>
  <c r="AH25" i="30" s="1"/>
  <c r="Z25" i="30"/>
  <c r="Z62" i="30"/>
  <c r="AI62" i="30"/>
  <c r="AH62" i="30" s="1"/>
  <c r="AI56" i="30"/>
  <c r="AH56" i="30" s="1"/>
  <c r="Z56" i="30"/>
  <c r="AL77" i="24"/>
  <c r="Z77" i="24"/>
  <c r="AK61" i="30"/>
  <c r="AS67" i="24"/>
  <c r="AK67" i="24"/>
  <c r="AI22" i="30"/>
  <c r="AH22" i="30" s="1"/>
  <c r="Z22" i="30"/>
  <c r="AK47" i="30"/>
  <c r="AK33" i="30"/>
  <c r="AC130" i="29"/>
  <c r="AL130" i="29"/>
  <c r="AI73" i="27"/>
  <c r="AH73" i="27" s="1"/>
  <c r="Z73" i="27"/>
  <c r="AN116" i="27"/>
  <c r="AN190" i="27" s="1"/>
  <c r="AM190" i="27"/>
  <c r="AI55" i="26"/>
  <c r="AH55" i="26" s="1"/>
  <c r="Z55" i="26"/>
  <c r="AN87" i="26"/>
  <c r="AI50" i="25"/>
  <c r="AH50" i="25" s="1"/>
  <c r="Z50" i="25"/>
  <c r="AK40" i="25"/>
  <c r="AI36" i="25"/>
  <c r="AH36" i="25" s="1"/>
  <c r="Z36" i="25"/>
  <c r="Z18" i="25"/>
  <c r="AI18" i="25"/>
  <c r="AH18" i="25" s="1"/>
  <c r="AK144" i="22"/>
  <c r="AK140" i="22"/>
  <c r="AK119" i="22"/>
  <c r="AK115" i="22"/>
  <c r="AK111" i="22"/>
  <c r="AK103" i="22"/>
  <c r="AK99" i="22"/>
  <c r="AK90" i="22"/>
  <c r="AK79" i="22"/>
  <c r="AK70" i="22"/>
  <c r="AK63" i="22"/>
  <c r="AK59" i="22"/>
  <c r="AK55" i="22"/>
  <c r="AK40" i="22"/>
  <c r="AK21" i="22"/>
  <c r="Z52" i="30"/>
  <c r="AI52" i="30"/>
  <c r="AH52" i="30" s="1"/>
  <c r="AK49" i="30"/>
  <c r="AI26" i="30"/>
  <c r="AH26" i="30" s="1"/>
  <c r="Z26" i="30"/>
  <c r="AL73" i="29"/>
  <c r="AC73" i="29"/>
  <c r="AI52" i="27"/>
  <c r="AH52" i="27" s="1"/>
  <c r="Z52" i="27"/>
  <c r="AI22" i="27"/>
  <c r="AH22" i="27" s="1"/>
  <c r="Z22" i="27"/>
  <c r="AK60" i="26"/>
  <c r="AI25" i="26"/>
  <c r="AH25" i="26" s="1"/>
  <c r="Z25" i="26"/>
  <c r="Z18" i="26"/>
  <c r="AI18" i="26"/>
  <c r="AH18" i="26" s="1"/>
  <c r="AI56" i="25"/>
  <c r="AH56" i="25" s="1"/>
  <c r="Z56" i="25"/>
  <c r="AI20" i="25"/>
  <c r="AH20" i="25" s="1"/>
  <c r="Z20" i="25"/>
  <c r="Z134" i="22"/>
  <c r="AI134" i="22"/>
  <c r="AH134" i="22" s="1"/>
  <c r="Z130" i="22"/>
  <c r="AI130" i="22"/>
  <c r="AH130" i="22" s="1"/>
  <c r="AI126" i="22"/>
  <c r="AH126" i="22" s="1"/>
  <c r="Z126" i="22"/>
  <c r="Z122" i="22"/>
  <c r="AI122" i="22"/>
  <c r="AH122" i="22" s="1"/>
  <c r="AI104" i="22"/>
  <c r="AH104" i="22" s="1"/>
  <c r="Z104" i="22"/>
  <c r="AI93" i="22"/>
  <c r="AH93" i="22" s="1"/>
  <c r="Z93" i="22"/>
  <c r="Z86" i="22"/>
  <c r="AI86" i="22"/>
  <c r="AH86" i="22" s="1"/>
  <c r="AI82" i="22"/>
  <c r="AH82" i="22" s="1"/>
  <c r="Z82" i="22"/>
  <c r="AI77" i="22"/>
  <c r="AH77" i="22" s="1"/>
  <c r="Z77" i="22"/>
  <c r="AI68" i="22"/>
  <c r="AH68" i="22" s="1"/>
  <c r="Z68" i="22"/>
  <c r="AI50" i="22"/>
  <c r="AH50" i="22" s="1"/>
  <c r="Z50" i="22"/>
  <c r="AI45" i="22"/>
  <c r="AH45" i="22" s="1"/>
  <c r="Z45" i="22"/>
  <c r="AI38" i="22"/>
  <c r="AH38" i="22" s="1"/>
  <c r="Z38" i="22"/>
  <c r="AI35" i="22"/>
  <c r="AH35" i="22" s="1"/>
  <c r="Z35" i="22"/>
  <c r="AI28" i="22"/>
  <c r="AH28" i="22" s="1"/>
  <c r="Z28" i="22"/>
  <c r="AI24" i="22"/>
  <c r="AH24" i="22" s="1"/>
  <c r="Z24" i="22"/>
  <c r="AI15" i="22"/>
  <c r="Z15" i="22"/>
  <c r="AI11" i="22"/>
  <c r="AS11" i="22" s="1"/>
  <c r="Z11" i="22"/>
  <c r="AI32" i="30"/>
  <c r="AH32" i="30" s="1"/>
  <c r="Z32" i="30"/>
  <c r="AL85" i="29"/>
  <c r="AC85" i="29"/>
  <c r="AI70" i="27"/>
  <c r="AH70" i="27" s="1"/>
  <c r="Z70" i="27"/>
  <c r="AK34" i="27"/>
  <c r="AI14" i="27"/>
  <c r="AH14" i="27" s="1"/>
  <c r="Z14" i="27"/>
  <c r="AK63" i="26"/>
  <c r="AI49" i="26"/>
  <c r="AH49" i="26" s="1"/>
  <c r="Z49" i="26"/>
  <c r="AL105" i="26"/>
  <c r="AK29" i="26"/>
  <c r="AK105" i="26" s="1"/>
  <c r="AI64" i="25"/>
  <c r="AH64" i="25" s="1"/>
  <c r="Z64" i="25"/>
  <c r="AK45" i="25"/>
  <c r="AI145" i="22"/>
  <c r="AH145" i="22" s="1"/>
  <c r="Z145" i="22"/>
  <c r="AI141" i="22"/>
  <c r="AH141" i="22" s="1"/>
  <c r="Z141" i="22"/>
  <c r="Z137" i="22"/>
  <c r="AI137" i="22"/>
  <c r="AH137" i="22" s="1"/>
  <c r="Z118" i="22"/>
  <c r="AI118" i="22"/>
  <c r="AH118" i="22" s="1"/>
  <c r="AI114" i="22"/>
  <c r="AH114" i="22" s="1"/>
  <c r="Z114" i="22"/>
  <c r="Z110" i="22"/>
  <c r="AI110" i="22"/>
  <c r="AH110" i="22" s="1"/>
  <c r="AI102" i="22"/>
  <c r="AH102" i="22" s="1"/>
  <c r="Z102" i="22"/>
  <c r="AI98" i="22"/>
  <c r="AH98" i="22" s="1"/>
  <c r="Z98" i="22"/>
  <c r="AI91" i="22"/>
  <c r="AH91" i="22" s="1"/>
  <c r="Z91" i="22"/>
  <c r="AI71" i="22"/>
  <c r="AH71" i="22" s="1"/>
  <c r="Z71" i="22"/>
  <c r="AI64" i="22"/>
  <c r="AH64" i="22" s="1"/>
  <c r="Z64" i="22"/>
  <c r="Z60" i="22"/>
  <c r="AI60" i="22"/>
  <c r="AH60" i="22" s="1"/>
  <c r="AI56" i="22"/>
  <c r="AH56" i="22" s="1"/>
  <c r="Z56" i="22"/>
  <c r="AI53" i="22"/>
  <c r="AH53" i="22" s="1"/>
  <c r="Z53" i="22"/>
  <c r="Z46" i="22"/>
  <c r="AI46" i="22"/>
  <c r="AH46" i="22" s="1"/>
  <c r="Z39" i="22"/>
  <c r="AI39" i="22"/>
  <c r="AH39" i="22" s="1"/>
  <c r="AI20" i="22"/>
  <c r="AH20" i="22" s="1"/>
  <c r="Z20" i="22"/>
  <c r="AI29" i="30"/>
  <c r="AH29" i="30" s="1"/>
  <c r="Z29" i="30"/>
  <c r="AK30" i="27"/>
  <c r="AK97" i="27" s="1"/>
  <c r="Z23" i="27"/>
  <c r="AI23" i="27"/>
  <c r="AI22" i="26"/>
  <c r="AH22" i="26" s="1"/>
  <c r="Z22" i="26"/>
  <c r="Z16" i="25"/>
  <c r="AI16" i="25"/>
  <c r="AH16" i="25" s="1"/>
  <c r="Z146" i="22"/>
  <c r="AI146" i="22"/>
  <c r="AH146" i="22" s="1"/>
  <c r="Z133" i="22"/>
  <c r="AI133" i="22"/>
  <c r="AH133" i="22" s="1"/>
  <c r="AI129" i="22"/>
  <c r="AH129" i="22" s="1"/>
  <c r="Z129" i="22"/>
  <c r="AI125" i="22"/>
  <c r="AH125" i="22" s="1"/>
  <c r="Z125" i="22"/>
  <c r="AI121" i="22"/>
  <c r="AH121" i="22" s="1"/>
  <c r="Z121" i="22"/>
  <c r="AI105" i="22"/>
  <c r="AH105" i="22" s="1"/>
  <c r="Z105" i="22"/>
  <c r="Z92" i="22"/>
  <c r="AI92" i="22"/>
  <c r="AH92" i="22" s="1"/>
  <c r="AI87" i="22"/>
  <c r="AH87" i="22" s="1"/>
  <c r="Z87" i="22"/>
  <c r="AI81" i="22"/>
  <c r="AH81" i="22" s="1"/>
  <c r="Z81" i="22"/>
  <c r="Z76" i="22"/>
  <c r="AI76" i="22"/>
  <c r="AH76" i="22" s="1"/>
  <c r="AI67" i="22"/>
  <c r="AH67" i="22" s="1"/>
  <c r="Z67" i="22"/>
  <c r="AI47" i="22"/>
  <c r="AH47" i="22" s="1"/>
  <c r="Z47" i="22"/>
  <c r="AI42" i="22"/>
  <c r="AH42" i="22" s="1"/>
  <c r="Z42" i="22"/>
  <c r="AI34" i="22"/>
  <c r="AH34" i="22" s="1"/>
  <c r="Z34" i="22"/>
  <c r="AI29" i="22"/>
  <c r="AH29" i="22" s="1"/>
  <c r="Z29" i="22"/>
  <c r="AI25" i="22"/>
  <c r="AH25" i="22" s="1"/>
  <c r="Z25" i="22"/>
  <c r="Z12" i="22"/>
  <c r="AI12" i="22"/>
  <c r="AH12" i="22" s="1"/>
  <c r="AE162" i="30"/>
  <c r="F322" i="23" s="1"/>
  <c r="AO73" i="30"/>
  <c r="AO175" i="30" s="1"/>
  <c r="AI13" i="43"/>
  <c r="AI50" i="43"/>
  <c r="Z50" i="43"/>
  <c r="AI64" i="43"/>
  <c r="Z64" i="43"/>
  <c r="AK33" i="43"/>
  <c r="AI33" i="43"/>
  <c r="AH33" i="43" s="1"/>
  <c r="Z33" i="43"/>
  <c r="AL77" i="43"/>
  <c r="Z77" i="43"/>
  <c r="AK41" i="43"/>
  <c r="AI9" i="43"/>
  <c r="AH9" i="43" s="1"/>
  <c r="AK22" i="43"/>
  <c r="AL139" i="43"/>
  <c r="AI31" i="27"/>
  <c r="Z31" i="27"/>
  <c r="AK21" i="30"/>
  <c r="AK37" i="30"/>
  <c r="AK34" i="30"/>
  <c r="AK62" i="30"/>
  <c r="AK56" i="30"/>
  <c r="BA170" i="14"/>
  <c r="I170" i="14" s="1"/>
  <c r="Z58" i="30"/>
  <c r="AI58" i="30"/>
  <c r="AH58" i="30" s="1"/>
  <c r="AQ289" i="24"/>
  <c r="AK22" i="30"/>
  <c r="Z48" i="30"/>
  <c r="AI48" i="30"/>
  <c r="AH48" i="30" s="1"/>
  <c r="Z45" i="30"/>
  <c r="AI45" i="30"/>
  <c r="AH45" i="30" s="1"/>
  <c r="AI38" i="30"/>
  <c r="AH38" i="30" s="1"/>
  <c r="Z38" i="30"/>
  <c r="AI31" i="30"/>
  <c r="AH31" i="30" s="1"/>
  <c r="Z31" i="30"/>
  <c r="Z40" i="30"/>
  <c r="AI40" i="30"/>
  <c r="AH40" i="30" s="1"/>
  <c r="AC66" i="29"/>
  <c r="AL66" i="29"/>
  <c r="AK69" i="27"/>
  <c r="AK64" i="26"/>
  <c r="AK55" i="26"/>
  <c r="AK50" i="25"/>
  <c r="AI40" i="25"/>
  <c r="AH40" i="25" s="1"/>
  <c r="Z40" i="25"/>
  <c r="AK32" i="25"/>
  <c r="AK18" i="25"/>
  <c r="AI142" i="22"/>
  <c r="AH142" i="22" s="1"/>
  <c r="Z142" i="22"/>
  <c r="Z138" i="22"/>
  <c r="AI138" i="22"/>
  <c r="AH138" i="22" s="1"/>
  <c r="Z117" i="22"/>
  <c r="AI117" i="22"/>
  <c r="AH117" i="22" s="1"/>
  <c r="AI113" i="22"/>
  <c r="AH113" i="22" s="1"/>
  <c r="Z113" i="22"/>
  <c r="AI108" i="22"/>
  <c r="AH108" i="22" s="1"/>
  <c r="Z108" i="22"/>
  <c r="AI101" i="22"/>
  <c r="AH101" i="22" s="1"/>
  <c r="Z101" i="22"/>
  <c r="AI97" i="22"/>
  <c r="AH97" i="22" s="1"/>
  <c r="Z97" i="22"/>
  <c r="Z84" i="22"/>
  <c r="AI84" i="22"/>
  <c r="AH84" i="22" s="1"/>
  <c r="AI72" i="22"/>
  <c r="AH72" i="22" s="1"/>
  <c r="Z72" i="22"/>
  <c r="AI65" i="22"/>
  <c r="AH65" i="22" s="1"/>
  <c r="Z65" i="22"/>
  <c r="AI61" i="22"/>
  <c r="AH61" i="22" s="1"/>
  <c r="Z61" i="22"/>
  <c r="AI57" i="22"/>
  <c r="AH57" i="22" s="1"/>
  <c r="Z57" i="22"/>
  <c r="AI52" i="22"/>
  <c r="AH52" i="22" s="1"/>
  <c r="Z52" i="22"/>
  <c r="AI30" i="22"/>
  <c r="AH30" i="22" s="1"/>
  <c r="Z30" i="22"/>
  <c r="AI19" i="22"/>
  <c r="AH19" i="22" s="1"/>
  <c r="Z19" i="22"/>
  <c r="AK52" i="30"/>
  <c r="AI28" i="30"/>
  <c r="AH28" i="30" s="1"/>
  <c r="Z28" i="30"/>
  <c r="AK26" i="30"/>
  <c r="AK57" i="27"/>
  <c r="AK26" i="27"/>
  <c r="Z11" i="27"/>
  <c r="AI11" i="27"/>
  <c r="AH11" i="27" s="1"/>
  <c r="AK25" i="26"/>
  <c r="AK18" i="26"/>
  <c r="AK56" i="25"/>
  <c r="AK20" i="25"/>
  <c r="AK134" i="22"/>
  <c r="AK130" i="22"/>
  <c r="AK126" i="22"/>
  <c r="AK122" i="22"/>
  <c r="AK104" i="22"/>
  <c r="AK93" i="22"/>
  <c r="AK86" i="22"/>
  <c r="AK82" i="22"/>
  <c r="AK77" i="22"/>
  <c r="AK68" i="22"/>
  <c r="AK50" i="22"/>
  <c r="AK45" i="22"/>
  <c r="AK38" i="22"/>
  <c r="AK35" i="22"/>
  <c r="AK28" i="22"/>
  <c r="AK24" i="22"/>
  <c r="AK15" i="22"/>
  <c r="AK11" i="22"/>
  <c r="AL256" i="22"/>
  <c r="AL257" i="22"/>
  <c r="AE27" i="29"/>
  <c r="AE153" i="29" s="1"/>
  <c r="F228" i="23" s="1"/>
  <c r="AF255" i="29"/>
  <c r="AF261" i="29" s="1"/>
  <c r="AK70" i="27"/>
  <c r="AI34" i="27"/>
  <c r="AH34" i="27" s="1"/>
  <c r="Z34" i="27"/>
  <c r="Z73" i="26"/>
  <c r="AI73" i="26"/>
  <c r="AK56" i="26"/>
  <c r="AI45" i="26"/>
  <c r="Z45" i="26"/>
  <c r="AK33" i="26"/>
  <c r="AI31" i="26"/>
  <c r="AH31" i="26" s="1"/>
  <c r="Z31" i="26"/>
  <c r="AI65" i="25"/>
  <c r="Z65" i="25"/>
  <c r="AK60" i="25"/>
  <c r="AK145" i="22"/>
  <c r="AK141" i="22"/>
  <c r="AK137" i="22"/>
  <c r="AK118" i="22"/>
  <c r="AK114" i="22"/>
  <c r="AK110" i="22"/>
  <c r="AK102" i="22"/>
  <c r="AK98" i="22"/>
  <c r="AK91" i="22"/>
  <c r="AK71" i="22"/>
  <c r="AK64" i="22"/>
  <c r="AK60" i="22"/>
  <c r="AK56" i="22"/>
  <c r="AK53" i="22"/>
  <c r="AK46" i="22"/>
  <c r="AK39" i="22"/>
  <c r="AK20" i="22"/>
  <c r="CT14" i="14"/>
  <c r="CT306" i="14" s="1"/>
  <c r="L21" i="14"/>
  <c r="L31" i="14" s="1"/>
  <c r="L34" i="14" s="1"/>
  <c r="L156" i="14" s="1"/>
  <c r="L163" i="14" s="1"/>
  <c r="L177" i="14" s="1"/>
  <c r="L188" i="14" s="1"/>
  <c r="L223" i="14"/>
  <c r="D38" i="10" s="1"/>
  <c r="L330" i="14"/>
  <c r="BA168" i="14"/>
  <c r="I168" i="14" s="1"/>
  <c r="G25" i="17"/>
  <c r="AI43" i="30"/>
  <c r="AH43" i="30" s="1"/>
  <c r="Z43" i="30"/>
  <c r="AK29" i="30"/>
  <c r="AC92" i="29"/>
  <c r="AL92" i="29"/>
  <c r="AI58" i="27"/>
  <c r="Z58" i="27"/>
  <c r="Z30" i="27"/>
  <c r="AI30" i="27"/>
  <c r="AH30" i="27" s="1"/>
  <c r="AK22" i="26"/>
  <c r="AK16" i="25"/>
  <c r="AI10" i="25"/>
  <c r="Z10" i="25"/>
  <c r="AK146" i="22"/>
  <c r="AK133" i="22"/>
  <c r="AK129" i="22"/>
  <c r="AK125" i="22"/>
  <c r="AK121" i="22"/>
  <c r="AK105" i="22"/>
  <c r="AK92" i="22"/>
  <c r="AK87" i="22"/>
  <c r="AK81" i="22"/>
  <c r="AK76" i="22"/>
  <c r="AK67" i="22"/>
  <c r="AK47" i="22"/>
  <c r="AK42" i="22"/>
  <c r="AK34" i="22"/>
  <c r="AK29" i="22"/>
  <c r="AK25" i="22"/>
  <c r="AK12" i="22"/>
  <c r="F48" i="18"/>
  <c r="F46" i="18"/>
  <c r="F51" i="18"/>
  <c r="F23" i="18"/>
  <c r="F52" i="18"/>
  <c r="F54" i="18"/>
  <c r="E39" i="18"/>
  <c r="F19" i="18"/>
  <c r="F24" i="18"/>
  <c r="F34" i="18"/>
  <c r="F20" i="18"/>
  <c r="F22" i="18"/>
  <c r="F25" i="18"/>
  <c r="F29" i="18"/>
  <c r="F21" i="18"/>
  <c r="F27" i="18"/>
  <c r="F50" i="18"/>
  <c r="F33" i="18"/>
  <c r="F47" i="18"/>
  <c r="F26" i="18"/>
  <c r="F31" i="18"/>
  <c r="F53" i="18"/>
  <c r="F30" i="18"/>
  <c r="F28" i="18"/>
  <c r="F55" i="18"/>
  <c r="F32" i="18"/>
  <c r="F49" i="18"/>
  <c r="G39" i="18"/>
  <c r="AF299" i="24"/>
  <c r="AC281" i="23"/>
  <c r="AS150" i="24"/>
  <c r="AN142" i="43"/>
  <c r="H10" i="15" s="1"/>
  <c r="AI40" i="43"/>
  <c r="Z40" i="43"/>
  <c r="AI52" i="43"/>
  <c r="Z52" i="43"/>
  <c r="AI66" i="43"/>
  <c r="Z66" i="43"/>
  <c r="AI56" i="43"/>
  <c r="Z56" i="43"/>
  <c r="AI41" i="43"/>
  <c r="AH41" i="43" s="1"/>
  <c r="Z41" i="43"/>
  <c r="AK18" i="43"/>
  <c r="AK63" i="43"/>
  <c r="BA167" i="14"/>
  <c r="I167" i="14" s="1"/>
  <c r="G24" i="17"/>
  <c r="AI55" i="30"/>
  <c r="AH55" i="30" s="1"/>
  <c r="Z55" i="30"/>
  <c r="Z57" i="30"/>
  <c r="AI57" i="30"/>
  <c r="AH57" i="30" s="1"/>
  <c r="Z19" i="30"/>
  <c r="AI19" i="30"/>
  <c r="AS19" i="30" s="1"/>
  <c r="AI54" i="30"/>
  <c r="AH54" i="30" s="1"/>
  <c r="Z54" i="30"/>
  <c r="Z46" i="30"/>
  <c r="AI46" i="30"/>
  <c r="AH46" i="30" s="1"/>
  <c r="AI39" i="30"/>
  <c r="AH39" i="30" s="1"/>
  <c r="Z39" i="30"/>
  <c r="AI35" i="30"/>
  <c r="AH35" i="30" s="1"/>
  <c r="Z35" i="30"/>
  <c r="AI30" i="30"/>
  <c r="AH30" i="30" s="1"/>
  <c r="Z30" i="30"/>
  <c r="AI15" i="30"/>
  <c r="AI73" i="30" s="1"/>
  <c r="Z15" i="30"/>
  <c r="Z59" i="30"/>
  <c r="AI59" i="30"/>
  <c r="AH59" i="30" s="1"/>
  <c r="AK58" i="30"/>
  <c r="AI20" i="30"/>
  <c r="AH20" i="30" s="1"/>
  <c r="Z20" i="30"/>
  <c r="Z51" i="30"/>
  <c r="AI51" i="30"/>
  <c r="AH51" i="30" s="1"/>
  <c r="Z41" i="30"/>
  <c r="AI41" i="30"/>
  <c r="AH41" i="30" s="1"/>
  <c r="AI69" i="27"/>
  <c r="AH69" i="27" s="1"/>
  <c r="Z69" i="27"/>
  <c r="Z47" i="27"/>
  <c r="AI47" i="27"/>
  <c r="AH47" i="27" s="1"/>
  <c r="Z39" i="27"/>
  <c r="AI39" i="27"/>
  <c r="AH39" i="27" s="1"/>
  <c r="AI64" i="26"/>
  <c r="AH64" i="26" s="1"/>
  <c r="Z64" i="26"/>
  <c r="AI47" i="25"/>
  <c r="AH47" i="25" s="1"/>
  <c r="Z47" i="25"/>
  <c r="AI32" i="25"/>
  <c r="AH32" i="25" s="1"/>
  <c r="Z32" i="25"/>
  <c r="Z24" i="25"/>
  <c r="AI24" i="25"/>
  <c r="AK142" i="22"/>
  <c r="AK138" i="22"/>
  <c r="AK117" i="22"/>
  <c r="AK113" i="22"/>
  <c r="AK108" i="22"/>
  <c r="AK101" i="22"/>
  <c r="AK97" i="22"/>
  <c r="AK84" i="22"/>
  <c r="AK72" i="22"/>
  <c r="AK65" i="22"/>
  <c r="AK61" i="22"/>
  <c r="AK57" i="22"/>
  <c r="AK52" i="22"/>
  <c r="AK30" i="22"/>
  <c r="AK19" i="22"/>
  <c r="AC105" i="29"/>
  <c r="AL105" i="29"/>
  <c r="AI57" i="27"/>
  <c r="AH57" i="27" s="1"/>
  <c r="Z57" i="27"/>
  <c r="AI26" i="27"/>
  <c r="AH26" i="27" s="1"/>
  <c r="Z26" i="27"/>
  <c r="AK11" i="27"/>
  <c r="AI70" i="25"/>
  <c r="AH70" i="25" s="1"/>
  <c r="Z70" i="25"/>
  <c r="AI14" i="25"/>
  <c r="AH14" i="25" s="1"/>
  <c r="Z14" i="25"/>
  <c r="AI136" i="22"/>
  <c r="AH136" i="22" s="1"/>
  <c r="Z136" i="22"/>
  <c r="Z132" i="22"/>
  <c r="AI132" i="22"/>
  <c r="AH132" i="22" s="1"/>
  <c r="Z128" i="22"/>
  <c r="AI128" i="22"/>
  <c r="AH128" i="22" s="1"/>
  <c r="Z124" i="22"/>
  <c r="AI124" i="22"/>
  <c r="AH124" i="22" s="1"/>
  <c r="AI106" i="22"/>
  <c r="AH106" i="22" s="1"/>
  <c r="Z106" i="22"/>
  <c r="AI95" i="22"/>
  <c r="AH95" i="22" s="1"/>
  <c r="Z95" i="22"/>
  <c r="AI88" i="22"/>
  <c r="AH88" i="22" s="1"/>
  <c r="Z88" i="22"/>
  <c r="AI85" i="22"/>
  <c r="AH85" i="22" s="1"/>
  <c r="Z85" i="22"/>
  <c r="AI80" i="22"/>
  <c r="AH80" i="22" s="1"/>
  <c r="Z80" i="22"/>
  <c r="AI75" i="22"/>
  <c r="AH75" i="22" s="1"/>
  <c r="Z75" i="22"/>
  <c r="AI66" i="22"/>
  <c r="AH66" i="22" s="1"/>
  <c r="Z66" i="22"/>
  <c r="AI48" i="22"/>
  <c r="AH48" i="22" s="1"/>
  <c r="Z48" i="22"/>
  <c r="AI43" i="22"/>
  <c r="AH43" i="22" s="1"/>
  <c r="Z43" i="22"/>
  <c r="AI37" i="22"/>
  <c r="AH37" i="22" s="1"/>
  <c r="Z37" i="22"/>
  <c r="AI33" i="22"/>
  <c r="AH33" i="22" s="1"/>
  <c r="Z33" i="22"/>
  <c r="AI26" i="22"/>
  <c r="AH26" i="22" s="1"/>
  <c r="Z26" i="22"/>
  <c r="Z22" i="22"/>
  <c r="AI22" i="22"/>
  <c r="AH22" i="22" s="1"/>
  <c r="AI13" i="22"/>
  <c r="AH13" i="22" s="1"/>
  <c r="Z13" i="22"/>
  <c r="AL10" i="22"/>
  <c r="AL215" i="22" s="1"/>
  <c r="Z10" i="22"/>
  <c r="AC340" i="23"/>
  <c r="Z24" i="30"/>
  <c r="AI24" i="30"/>
  <c r="AH24" i="30" s="1"/>
  <c r="Z74" i="27"/>
  <c r="AI74" i="27"/>
  <c r="AH74" i="27" s="1"/>
  <c r="Z18" i="27"/>
  <c r="AI18" i="27"/>
  <c r="AI56" i="26"/>
  <c r="AH56" i="26" s="1"/>
  <c r="Z56" i="26"/>
  <c r="AI37" i="26"/>
  <c r="AH37" i="26" s="1"/>
  <c r="Z37" i="26"/>
  <c r="AI33" i="26"/>
  <c r="AH33" i="26" s="1"/>
  <c r="Z33" i="26"/>
  <c r="AL104" i="26"/>
  <c r="AK31" i="26"/>
  <c r="AI60" i="25"/>
  <c r="AH60" i="25" s="1"/>
  <c r="Z60" i="25"/>
  <c r="AI143" i="22"/>
  <c r="AH143" i="22" s="1"/>
  <c r="Z143" i="22"/>
  <c r="AI139" i="22"/>
  <c r="AH139" i="22" s="1"/>
  <c r="Z139" i="22"/>
  <c r="AI120" i="22"/>
  <c r="AH120" i="22" s="1"/>
  <c r="Z120" i="22"/>
  <c r="Z116" i="22"/>
  <c r="AI116" i="22"/>
  <c r="AH116" i="22" s="1"/>
  <c r="AI112" i="22"/>
  <c r="AH112" i="22" s="1"/>
  <c r="Z112" i="22"/>
  <c r="AI109" i="22"/>
  <c r="AH109" i="22" s="1"/>
  <c r="Z109" i="22"/>
  <c r="Z100" i="22"/>
  <c r="AI100" i="22"/>
  <c r="AH100" i="22" s="1"/>
  <c r="AI96" i="22"/>
  <c r="AH96" i="22" s="1"/>
  <c r="Z96" i="22"/>
  <c r="AI73" i="22"/>
  <c r="AH73" i="22" s="1"/>
  <c r="Z73" i="22"/>
  <c r="AI69" i="22"/>
  <c r="AH69" i="22" s="1"/>
  <c r="Z69" i="22"/>
  <c r="AI62" i="22"/>
  <c r="AH62" i="22" s="1"/>
  <c r="Z62" i="22"/>
  <c r="AI58" i="22"/>
  <c r="AH58" i="22" s="1"/>
  <c r="Z58" i="22"/>
  <c r="Z54" i="22"/>
  <c r="AI54" i="22"/>
  <c r="AH54" i="22" s="1"/>
  <c r="AI51" i="22"/>
  <c r="AH51" i="22" s="1"/>
  <c r="Z51" i="22"/>
  <c r="AI41" i="22"/>
  <c r="AH41" i="22" s="1"/>
  <c r="Z41" i="22"/>
  <c r="AI31" i="22"/>
  <c r="AH31" i="22" s="1"/>
  <c r="Z31" i="22"/>
  <c r="AI18" i="22"/>
  <c r="AH18" i="22" s="1"/>
  <c r="Z18" i="22"/>
  <c r="AI53" i="30"/>
  <c r="AH53" i="30" s="1"/>
  <c r="Z53" i="30"/>
  <c r="AK43" i="30"/>
  <c r="Z27" i="30"/>
  <c r="AI27" i="30"/>
  <c r="AH27" i="30" s="1"/>
  <c r="Z27" i="27"/>
  <c r="AI27" i="27"/>
  <c r="AH27" i="27" s="1"/>
  <c r="AI24" i="26"/>
  <c r="AH24" i="26" s="1"/>
  <c r="Z24" i="26"/>
  <c r="Z11" i="26"/>
  <c r="AI11" i="26"/>
  <c r="AI135" i="22"/>
  <c r="AH135" i="22" s="1"/>
  <c r="Z135" i="22"/>
  <c r="Z131" i="22"/>
  <c r="AI131" i="22"/>
  <c r="AH131" i="22" s="1"/>
  <c r="AI127" i="22"/>
  <c r="AH127" i="22" s="1"/>
  <c r="Z127" i="22"/>
  <c r="AI123" i="22"/>
  <c r="AH123" i="22" s="1"/>
  <c r="Z123" i="22"/>
  <c r="AI107" i="22"/>
  <c r="AH107" i="22" s="1"/>
  <c r="Z107" i="22"/>
  <c r="AI94" i="22"/>
  <c r="AH94" i="22" s="1"/>
  <c r="Z94" i="22"/>
  <c r="AI89" i="22"/>
  <c r="AH89" i="22" s="1"/>
  <c r="Z89" i="22"/>
  <c r="AI83" i="22"/>
  <c r="AH83" i="22" s="1"/>
  <c r="Z83" i="22"/>
  <c r="AI78" i="22"/>
  <c r="AH78" i="22" s="1"/>
  <c r="Z78" i="22"/>
  <c r="AI74" i="22"/>
  <c r="AH74" i="22" s="1"/>
  <c r="Z74" i="22"/>
  <c r="AI49" i="22"/>
  <c r="AH49" i="22" s="1"/>
  <c r="Z49" i="22"/>
  <c r="Z44" i="22"/>
  <c r="AI44" i="22"/>
  <c r="AH44" i="22" s="1"/>
  <c r="Z36" i="22"/>
  <c r="AI36" i="22"/>
  <c r="AH36" i="22" s="1"/>
  <c r="Z32" i="22"/>
  <c r="AI32" i="22"/>
  <c r="AH32" i="22" s="1"/>
  <c r="AI27" i="22"/>
  <c r="AH27" i="22" s="1"/>
  <c r="Z27" i="22"/>
  <c r="AI23" i="22"/>
  <c r="AH23" i="22" s="1"/>
  <c r="Z23" i="22"/>
  <c r="AI14" i="22"/>
  <c r="Z14" i="22"/>
  <c r="D35" i="18"/>
  <c r="AC291" i="23"/>
  <c r="AC288" i="23"/>
  <c r="Z67" i="24"/>
  <c r="CT85" i="14"/>
  <c r="CT88" i="14" s="1"/>
  <c r="AE142" i="43"/>
  <c r="AH298" i="24"/>
  <c r="AR190" i="26"/>
  <c r="AF82" i="26"/>
  <c r="AI34" i="43"/>
  <c r="Z34" i="43"/>
  <c r="AQ238" i="43"/>
  <c r="AQ237" i="43"/>
  <c r="AI44" i="43"/>
  <c r="Z44" i="43"/>
  <c r="AI70" i="43"/>
  <c r="Z70" i="43"/>
  <c r="AK47" i="43"/>
  <c r="AI18" i="43"/>
  <c r="AH18" i="43" s="1"/>
  <c r="Z18" i="43"/>
  <c r="AI63" i="43"/>
  <c r="AH63" i="43" s="1"/>
  <c r="Z63" i="43"/>
  <c r="AI81" i="24"/>
  <c r="Z81" i="24"/>
  <c r="Z54" i="27"/>
  <c r="AI54" i="27"/>
  <c r="AI15" i="27"/>
  <c r="Z15" i="27"/>
  <c r="CZ14" i="14"/>
  <c r="R14" i="14" s="1"/>
  <c r="CZ19" i="14"/>
  <c r="R19" i="14" s="1"/>
  <c r="CZ92" i="14"/>
  <c r="R92" i="14" s="1"/>
  <c r="CZ20" i="14"/>
  <c r="R20" i="14" s="1"/>
  <c r="CZ42" i="14"/>
  <c r="R42" i="14" s="1"/>
  <c r="CZ17" i="14"/>
  <c r="R17" i="14" s="1"/>
  <c r="CZ37" i="14"/>
  <c r="R37" i="14" s="1"/>
  <c r="CZ47" i="14"/>
  <c r="R47" i="14" s="1"/>
  <c r="CZ90" i="14"/>
  <c r="CW17" i="14"/>
  <c r="O17" i="14" s="1"/>
  <c r="CW92" i="14"/>
  <c r="O92" i="14" s="1"/>
  <c r="CW18" i="14"/>
  <c r="O18" i="14" s="1"/>
  <c r="CW39" i="14"/>
  <c r="O39" i="14" s="1"/>
  <c r="CW19" i="14"/>
  <c r="CW47" i="14"/>
  <c r="O47" i="14" s="1"/>
  <c r="CW131" i="14"/>
  <c r="CW91" i="14"/>
  <c r="O91" i="14" s="1"/>
  <c r="CW13" i="14"/>
  <c r="CW103" i="14"/>
  <c r="CW93" i="14"/>
  <c r="O93" i="14" s="1"/>
  <c r="CW36" i="14"/>
  <c r="CW20" i="14"/>
  <c r="O20" i="14" s="1"/>
  <c r="O63" i="14"/>
  <c r="O338" i="14" s="1"/>
  <c r="CW338" i="14"/>
  <c r="AK19" i="30"/>
  <c r="AK46" i="30"/>
  <c r="AK39" i="30"/>
  <c r="AK35" i="30"/>
  <c r="AK30" i="30"/>
  <c r="BA166" i="14"/>
  <c r="I166" i="14" s="1"/>
  <c r="G23" i="17"/>
  <c r="AK59" i="30"/>
  <c r="AI61" i="30"/>
  <c r="AH61" i="30" s="1"/>
  <c r="Z61" i="30"/>
  <c r="AK20" i="30"/>
  <c r="Z47" i="30"/>
  <c r="AI47" i="30"/>
  <c r="AH47" i="30" s="1"/>
  <c r="AI42" i="30"/>
  <c r="AH42" i="30" s="1"/>
  <c r="Z42" i="30"/>
  <c r="AI36" i="30"/>
  <c r="AH36" i="30" s="1"/>
  <c r="Z36" i="30"/>
  <c r="Z23" i="30"/>
  <c r="AI23" i="30"/>
  <c r="AH23" i="30" s="1"/>
  <c r="AI33" i="30"/>
  <c r="AH33" i="30" s="1"/>
  <c r="Z33" i="30"/>
  <c r="AC96" i="29"/>
  <c r="AL96" i="29"/>
  <c r="AK73" i="27"/>
  <c r="AK47" i="27"/>
  <c r="AK39" i="27"/>
  <c r="AK47" i="25"/>
  <c r="AK36" i="25"/>
  <c r="AI144" i="22"/>
  <c r="AH144" i="22" s="1"/>
  <c r="Z144" i="22"/>
  <c r="AI140" i="22"/>
  <c r="AH140" i="22" s="1"/>
  <c r="Z140" i="22"/>
  <c r="AI119" i="22"/>
  <c r="AH119" i="22" s="1"/>
  <c r="Z119" i="22"/>
  <c r="AI115" i="22"/>
  <c r="AH115" i="22" s="1"/>
  <c r="Z115" i="22"/>
  <c r="AI111" i="22"/>
  <c r="AH111" i="22" s="1"/>
  <c r="Z111" i="22"/>
  <c r="AI103" i="22"/>
  <c r="AH103" i="22" s="1"/>
  <c r="Z103" i="22"/>
  <c r="AI99" i="22"/>
  <c r="AH99" i="22" s="1"/>
  <c r="Z99" i="22"/>
  <c r="AI90" i="22"/>
  <c r="AH90" i="22" s="1"/>
  <c r="Z90" i="22"/>
  <c r="AI79" i="22"/>
  <c r="AH79" i="22" s="1"/>
  <c r="Z79" i="22"/>
  <c r="Z70" i="22"/>
  <c r="AI70" i="22"/>
  <c r="AH70" i="22" s="1"/>
  <c r="Z63" i="22"/>
  <c r="AI63" i="22"/>
  <c r="AH63" i="22" s="1"/>
  <c r="AI59" i="22"/>
  <c r="AH59" i="22" s="1"/>
  <c r="Z59" i="22"/>
  <c r="AI55" i="22"/>
  <c r="AH55" i="22" s="1"/>
  <c r="Z55" i="22"/>
  <c r="AI40" i="22"/>
  <c r="AH40" i="22" s="1"/>
  <c r="Z40" i="22"/>
  <c r="AI21" i="22"/>
  <c r="AH21" i="22" s="1"/>
  <c r="Z21" i="22"/>
  <c r="Z49" i="30"/>
  <c r="AI49" i="30"/>
  <c r="AH49" i="30" s="1"/>
  <c r="AL144" i="29"/>
  <c r="AC144" i="29"/>
  <c r="AK52" i="27"/>
  <c r="AK22" i="27"/>
  <c r="AI60" i="26"/>
  <c r="AH60" i="26" s="1"/>
  <c r="Z60" i="26"/>
  <c r="AK70" i="25"/>
  <c r="AK14" i="25"/>
  <c r="AK136" i="22"/>
  <c r="AK132" i="22"/>
  <c r="AK128" i="22"/>
  <c r="AK124" i="22"/>
  <c r="AK106" i="22"/>
  <c r="AK95" i="22"/>
  <c r="AK88" i="22"/>
  <c r="AK85" i="22"/>
  <c r="AK80" i="22"/>
  <c r="AK75" i="22"/>
  <c r="AK66" i="22"/>
  <c r="AK48" i="22"/>
  <c r="AK43" i="22"/>
  <c r="AK37" i="22"/>
  <c r="AK33" i="22"/>
  <c r="AK26" i="22"/>
  <c r="AK22" i="22"/>
  <c r="AK74" i="27"/>
  <c r="AK14" i="27"/>
  <c r="AI63" i="26"/>
  <c r="AH63" i="26" s="1"/>
  <c r="Z63" i="26"/>
  <c r="AK49" i="26"/>
  <c r="AK37" i="26"/>
  <c r="AK106" i="26" s="1"/>
  <c r="AI29" i="26"/>
  <c r="AS29" i="26" s="1"/>
  <c r="AS105" i="26" s="1"/>
  <c r="Z29" i="26"/>
  <c r="AK64" i="25"/>
  <c r="AI45" i="25"/>
  <c r="AH45" i="25" s="1"/>
  <c r="Z45" i="25"/>
  <c r="AK143" i="22"/>
  <c r="AK139" i="22"/>
  <c r="AK120" i="22"/>
  <c r="AK116" i="22"/>
  <c r="AK112" i="22"/>
  <c r="AK109" i="22"/>
  <c r="AK100" i="22"/>
  <c r="AK96" i="22"/>
  <c r="AK73" i="22"/>
  <c r="AK69" i="22"/>
  <c r="AK62" i="22"/>
  <c r="AK58" i="22"/>
  <c r="AK54" i="22"/>
  <c r="AK51" i="22"/>
  <c r="AK41" i="22"/>
  <c r="AK31" i="22"/>
  <c r="AK18" i="22"/>
  <c r="AC61" i="29"/>
  <c r="AL61" i="29"/>
  <c r="AK27" i="27"/>
  <c r="AK96" i="27" s="1"/>
  <c r="AK24" i="26"/>
  <c r="Z12" i="25"/>
  <c r="AI12" i="25"/>
  <c r="AK135" i="22"/>
  <c r="AK131" i="22"/>
  <c r="AK127" i="22"/>
  <c r="AK123" i="22"/>
  <c r="AK107" i="22"/>
  <c r="AK94" i="22"/>
  <c r="AK89" i="22"/>
  <c r="AK83" i="22"/>
  <c r="AK78" i="22"/>
  <c r="AK74" i="22"/>
  <c r="AK49" i="22"/>
  <c r="AK44" i="22"/>
  <c r="AK36" i="22"/>
  <c r="AK32" i="22"/>
  <c r="AK27" i="22"/>
  <c r="AK23" i="22"/>
  <c r="AK14" i="22"/>
  <c r="AF162" i="30"/>
  <c r="DE88" i="14"/>
  <c r="DZ88" i="14" s="1"/>
  <c r="AC365" i="23"/>
  <c r="AC203" i="23"/>
  <c r="CZ60" i="14"/>
  <c r="R60" i="14" s="1"/>
  <c r="CZ56" i="14"/>
  <c r="R56" i="14" s="1"/>
  <c r="CZ51" i="14"/>
  <c r="R51" i="14" s="1"/>
  <c r="CZ30" i="14"/>
  <c r="R30" i="14" s="1"/>
  <c r="CZ190" i="14"/>
  <c r="R190" i="14" s="1"/>
  <c r="CZ138" i="14"/>
  <c r="R138" i="14" s="1"/>
  <c r="CZ123" i="14"/>
  <c r="R123" i="14" s="1"/>
  <c r="CZ112" i="14"/>
  <c r="R112" i="14" s="1"/>
  <c r="CZ106" i="14"/>
  <c r="R106" i="14" s="1"/>
  <c r="CZ116" i="14"/>
  <c r="R116" i="14" s="1"/>
  <c r="CZ63" i="14"/>
  <c r="CZ109" i="14"/>
  <c r="R109" i="14" s="1"/>
  <c r="CZ175" i="14"/>
  <c r="R175" i="14" s="1"/>
  <c r="CZ50" i="14"/>
  <c r="R50" i="14" s="1"/>
  <c r="CZ119" i="14"/>
  <c r="R119" i="14" s="1"/>
  <c r="CZ198" i="14"/>
  <c r="CZ180" i="14"/>
  <c r="R180" i="14" s="1"/>
  <c r="CZ59" i="14"/>
  <c r="R59" i="14" s="1"/>
  <c r="CZ54" i="14"/>
  <c r="R54" i="14" s="1"/>
  <c r="CZ140" i="14"/>
  <c r="R140" i="14" s="1"/>
  <c r="CZ146" i="14"/>
  <c r="R146" i="14" s="1"/>
  <c r="CZ193" i="14"/>
  <c r="CZ135" i="14"/>
  <c r="R135" i="14" s="1"/>
  <c r="CZ200" i="14"/>
  <c r="R200" i="14" s="1"/>
  <c r="CZ153" i="14"/>
  <c r="R153" i="14" s="1"/>
  <c r="CZ107" i="14"/>
  <c r="R107" i="14" s="1"/>
  <c r="CZ179" i="14"/>
  <c r="R179" i="14" s="1"/>
  <c r="CZ118" i="14"/>
  <c r="R118" i="14" s="1"/>
  <c r="CZ125" i="14"/>
  <c r="R125" i="14" s="1"/>
  <c r="CZ115" i="14"/>
  <c r="R115" i="14" s="1"/>
  <c r="CZ52" i="14"/>
  <c r="R52" i="14" s="1"/>
  <c r="CZ58" i="14"/>
  <c r="R58" i="14" s="1"/>
  <c r="CZ113" i="14"/>
  <c r="R113" i="14" s="1"/>
  <c r="CZ108" i="14"/>
  <c r="R108" i="14" s="1"/>
  <c r="CZ124" i="14"/>
  <c r="R124" i="14" s="1"/>
  <c r="CZ178" i="14"/>
  <c r="R178" i="14" s="1"/>
  <c r="CZ117" i="14"/>
  <c r="R117" i="14" s="1"/>
  <c r="CZ127" i="14"/>
  <c r="R127" i="14" s="1"/>
  <c r="CZ148" i="14"/>
  <c r="R148" i="14" s="1"/>
  <c r="CZ150" i="14"/>
  <c r="R150" i="14" s="1"/>
  <c r="S311" i="23"/>
  <c r="AF311" i="23" s="1"/>
  <c r="S15" i="23"/>
  <c r="S224" i="23"/>
  <c r="AL106" i="26"/>
  <c r="T250" i="24"/>
  <c r="AI250" i="24" s="1"/>
  <c r="AJ369" i="24"/>
  <c r="V250" i="24"/>
  <c r="AL250" i="24" s="1"/>
  <c r="AK250" i="24" s="1"/>
  <c r="W250" i="24"/>
  <c r="AO250" i="24" s="1"/>
  <c r="AN250" i="24" s="1"/>
  <c r="AM369" i="24"/>
  <c r="AL247" i="24"/>
  <c r="AK247" i="24" s="1"/>
  <c r="AH11" i="30"/>
  <c r="AS14" i="30"/>
  <c r="AQ14" i="30"/>
  <c r="AQ73" i="30" s="1"/>
  <c r="AR73" i="30"/>
  <c r="AR175" i="30" s="1"/>
  <c r="Q338" i="23"/>
  <c r="BL43" i="14" s="1"/>
  <c r="P338" i="23"/>
  <c r="BI43" i="14" s="1"/>
  <c r="T338" i="23"/>
  <c r="BU43" i="14" s="1"/>
  <c r="Y338" i="23"/>
  <c r="S338" i="23"/>
  <c r="BR43" i="14" s="1"/>
  <c r="R338" i="23"/>
  <c r="BO43" i="14" s="1"/>
  <c r="Z338" i="23"/>
  <c r="O338" i="23"/>
  <c r="BF43" i="14" s="1"/>
  <c r="AO69" i="30"/>
  <c r="AL73" i="30"/>
  <c r="AS11" i="30"/>
  <c r="AK11" i="30"/>
  <c r="AN69" i="30"/>
  <c r="P17" i="10"/>
  <c r="M17" i="10"/>
  <c r="U228" i="14"/>
  <c r="M43" i="10" s="1"/>
  <c r="U162" i="14"/>
  <c r="X162" i="14"/>
  <c r="X228" i="14"/>
  <c r="P43" i="10" s="1"/>
  <c r="AA228" i="14"/>
  <c r="S43" i="10" s="1"/>
  <c r="AA162" i="14"/>
  <c r="V17" i="10"/>
  <c r="AD162" i="14"/>
  <c r="AD228" i="14"/>
  <c r="V43" i="10" s="1"/>
  <c r="V245" i="24"/>
  <c r="AL245" i="24" s="1"/>
  <c r="AK245" i="24" s="1"/>
  <c r="T245" i="24"/>
  <c r="AN245" i="24"/>
  <c r="AF267" i="24"/>
  <c r="AS13" i="29"/>
  <c r="Z13" i="29"/>
  <c r="AK13" i="29"/>
  <c r="AC198" i="23"/>
  <c r="AC184" i="23"/>
  <c r="AC59" i="23"/>
  <c r="AL14" i="43"/>
  <c r="Z14" i="43"/>
  <c r="AL12" i="43"/>
  <c r="K38" i="23"/>
  <c r="M123" i="23"/>
  <c r="Z60" i="27"/>
  <c r="AI60" i="27"/>
  <c r="Z33" i="27"/>
  <c r="AI33" i="27"/>
  <c r="AI9" i="27"/>
  <c r="Z9" i="27"/>
  <c r="AI71" i="27"/>
  <c r="Z71" i="27"/>
  <c r="AI55" i="27"/>
  <c r="Z55" i="27"/>
  <c r="AI32" i="27"/>
  <c r="Z32" i="27"/>
  <c r="Z12" i="27"/>
  <c r="AI12" i="27"/>
  <c r="Z24" i="27"/>
  <c r="AI24" i="27"/>
  <c r="AH24" i="27" s="1"/>
  <c r="Z40" i="27"/>
  <c r="AI40" i="27"/>
  <c r="AH40" i="27" s="1"/>
  <c r="AI49" i="27"/>
  <c r="AH49" i="27" s="1"/>
  <c r="Z49" i="27"/>
  <c r="AK45" i="27"/>
  <c r="AF86" i="27"/>
  <c r="AE21" i="27"/>
  <c r="AE86" i="27" s="1"/>
  <c r="AF82" i="27"/>
  <c r="AQ82" i="27"/>
  <c r="K29" i="23" s="1"/>
  <c r="AI56" i="27"/>
  <c r="Z56" i="27"/>
  <c r="Z25" i="27"/>
  <c r="AI25" i="27"/>
  <c r="AI48" i="27"/>
  <c r="Z48" i="27"/>
  <c r="AI28" i="27"/>
  <c r="Z28" i="27"/>
  <c r="AL62" i="27"/>
  <c r="Z62" i="27"/>
  <c r="AK24" i="27"/>
  <c r="AL38" i="27"/>
  <c r="Z38" i="27"/>
  <c r="AK40" i="27"/>
  <c r="AE35" i="27"/>
  <c r="AE106" i="27" s="1"/>
  <c r="AF106" i="27"/>
  <c r="AI61" i="27"/>
  <c r="AH61" i="27" s="1"/>
  <c r="Z61" i="27"/>
  <c r="AQ116" i="27"/>
  <c r="AQ190" i="27" s="1"/>
  <c r="Z35" i="27"/>
  <c r="AI35" i="27"/>
  <c r="AK21" i="27"/>
  <c r="AK86" i="27" s="1"/>
  <c r="AL86" i="27"/>
  <c r="AR190" i="27"/>
  <c r="Z72" i="27"/>
  <c r="AI72" i="27"/>
  <c r="AI41" i="27"/>
  <c r="Z41" i="27"/>
  <c r="AI17" i="27"/>
  <c r="Z17" i="27"/>
  <c r="AI44" i="27"/>
  <c r="Z44" i="27"/>
  <c r="Z20" i="27"/>
  <c r="AI20" i="27"/>
  <c r="Z68" i="27"/>
  <c r="AI68" i="27"/>
  <c r="AH68" i="27" s="1"/>
  <c r="AI29" i="27"/>
  <c r="AS29" i="27" s="1"/>
  <c r="AS105" i="27" s="1"/>
  <c r="Z29" i="27"/>
  <c r="AK49" i="27"/>
  <c r="Z45" i="27"/>
  <c r="AI45" i="27"/>
  <c r="AK35" i="27"/>
  <c r="AK106" i="27" s="1"/>
  <c r="AL106" i="27"/>
  <c r="AN82" i="27"/>
  <c r="H122" i="23" s="1"/>
  <c r="M122" i="23" s="1"/>
  <c r="Z37" i="27"/>
  <c r="AI37" i="27"/>
  <c r="AI13" i="27"/>
  <c r="Z13" i="27"/>
  <c r="AI59" i="27"/>
  <c r="Z59" i="27"/>
  <c r="AI36" i="27"/>
  <c r="Z36" i="27"/>
  <c r="AI16" i="27"/>
  <c r="Z16" i="27"/>
  <c r="AL10" i="27"/>
  <c r="Z10" i="27"/>
  <c r="AK68" i="27"/>
  <c r="AI46" i="27"/>
  <c r="Z46" i="27"/>
  <c r="AL105" i="27"/>
  <c r="AK29" i="27"/>
  <c r="AK105" i="27" s="1"/>
  <c r="AK61" i="27"/>
  <c r="AE45" i="27"/>
  <c r="AE116" i="27" s="1"/>
  <c r="AF116" i="27"/>
  <c r="Z21" i="27"/>
  <c r="AI21" i="27"/>
  <c r="AS21" i="27" s="1"/>
  <c r="AS86" i="27" s="1"/>
  <c r="Z54" i="26"/>
  <c r="AL54" i="26"/>
  <c r="AI23" i="26"/>
  <c r="Z23" i="26"/>
  <c r="AI62" i="26"/>
  <c r="Z62" i="26"/>
  <c r="AL34" i="26"/>
  <c r="Z34" i="26"/>
  <c r="AI16" i="26"/>
  <c r="Z16" i="26"/>
  <c r="Z38" i="26"/>
  <c r="AI38" i="26"/>
  <c r="AI50" i="26"/>
  <c r="Z50" i="26"/>
  <c r="AK70" i="26"/>
  <c r="AI39" i="26"/>
  <c r="AH39" i="26" s="1"/>
  <c r="Z39" i="26"/>
  <c r="AK15" i="26"/>
  <c r="AJ27" i="26"/>
  <c r="AL27" i="26"/>
  <c r="AF87" i="26"/>
  <c r="AL47" i="26"/>
  <c r="Z47" i="26"/>
  <c r="Z28" i="26"/>
  <c r="AI28" i="26"/>
  <c r="AL69" i="26"/>
  <c r="Z69" i="26"/>
  <c r="AL30" i="26"/>
  <c r="Z30" i="26"/>
  <c r="AI26" i="26"/>
  <c r="Z26" i="26"/>
  <c r="Z40" i="26"/>
  <c r="AI40" i="26"/>
  <c r="AI58" i="26"/>
  <c r="Z58" i="26"/>
  <c r="AL98" i="26"/>
  <c r="AK17" i="26"/>
  <c r="AK98" i="26" s="1"/>
  <c r="AI70" i="26"/>
  <c r="AH70" i="26" s="1"/>
  <c r="Z70" i="26"/>
  <c r="Z41" i="26"/>
  <c r="AI41" i="26"/>
  <c r="AH41" i="26" s="1"/>
  <c r="Z13" i="26"/>
  <c r="AI13" i="26"/>
  <c r="AH13" i="26" s="1"/>
  <c r="AI15" i="26"/>
  <c r="AH15" i="26" s="1"/>
  <c r="Z15" i="26"/>
  <c r="AF96" i="26"/>
  <c r="AE27" i="26"/>
  <c r="AE96" i="26" s="1"/>
  <c r="AE87" i="26"/>
  <c r="AI36" i="26"/>
  <c r="Z36" i="26"/>
  <c r="AI12" i="26"/>
  <c r="Z12" i="26"/>
  <c r="Z44" i="26"/>
  <c r="AI44" i="26"/>
  <c r="AL14" i="26"/>
  <c r="Z14" i="26"/>
  <c r="AI32" i="26"/>
  <c r="Z32" i="26"/>
  <c r="Z46" i="26"/>
  <c r="AI46" i="26"/>
  <c r="AI74" i="26"/>
  <c r="AH74" i="26" s="1"/>
  <c r="Z74" i="26"/>
  <c r="AN98" i="26"/>
  <c r="AN82" i="26"/>
  <c r="H121" i="23" s="1"/>
  <c r="M121" i="23" s="1"/>
  <c r="AL72" i="26"/>
  <c r="Z72" i="26"/>
  <c r="AK39" i="26"/>
  <c r="AI61" i="26"/>
  <c r="AH61" i="26" s="1"/>
  <c r="Z61" i="26"/>
  <c r="AE17" i="26"/>
  <c r="AE98" i="26" s="1"/>
  <c r="AF98" i="26"/>
  <c r="AP190" i="26"/>
  <c r="AI27" i="26"/>
  <c r="AG27" i="26"/>
  <c r="Z27" i="26"/>
  <c r="AF116" i="26"/>
  <c r="AI19" i="26"/>
  <c r="Z19" i="26"/>
  <c r="AI59" i="26"/>
  <c r="Z59" i="26"/>
  <c r="AE35" i="26"/>
  <c r="AE106" i="26" s="1"/>
  <c r="AF106" i="26"/>
  <c r="Z57" i="26"/>
  <c r="AL57" i="26"/>
  <c r="AL10" i="26"/>
  <c r="Z10" i="26"/>
  <c r="AI35" i="26"/>
  <c r="Z35" i="26"/>
  <c r="AI48" i="26"/>
  <c r="Z48" i="26"/>
  <c r="AI71" i="26"/>
  <c r="Z71" i="26"/>
  <c r="AK74" i="26"/>
  <c r="AK13" i="26"/>
  <c r="AK41" i="26"/>
  <c r="AK61" i="26"/>
  <c r="AI17" i="26"/>
  <c r="AS17" i="26" s="1"/>
  <c r="AS98" i="26" s="1"/>
  <c r="Z17" i="26"/>
  <c r="AD96" i="26"/>
  <c r="AD190" i="26" s="1"/>
  <c r="AD82" i="26"/>
  <c r="F19" i="23" s="1"/>
  <c r="AK20" i="26"/>
  <c r="AS20" i="26"/>
  <c r="AQ82" i="26"/>
  <c r="K28" i="23" s="1"/>
  <c r="AE116" i="26"/>
  <c r="AS9" i="26"/>
  <c r="Z26" i="25"/>
  <c r="AI26" i="25"/>
  <c r="AH26" i="25" s="1"/>
  <c r="AN79" i="25"/>
  <c r="H120" i="23" s="1"/>
  <c r="M120" i="23" s="1"/>
  <c r="AI67" i="25"/>
  <c r="AH67" i="25" s="1"/>
  <c r="Z67" i="25"/>
  <c r="AI41" i="25"/>
  <c r="AH41" i="25" s="1"/>
  <c r="Z41" i="25"/>
  <c r="AF101" i="25"/>
  <c r="AE33" i="25"/>
  <c r="AE101" i="25" s="1"/>
  <c r="AJ27" i="25"/>
  <c r="AL27" i="25"/>
  <c r="AI22" i="25"/>
  <c r="Z22" i="25"/>
  <c r="AI37" i="25"/>
  <c r="Z37" i="25"/>
  <c r="AK48" i="25"/>
  <c r="AI59" i="25"/>
  <c r="Z59" i="25"/>
  <c r="Z11" i="25"/>
  <c r="AI11" i="25"/>
  <c r="AI66" i="25"/>
  <c r="Z66" i="25"/>
  <c r="Z17" i="25"/>
  <c r="AL17" i="25"/>
  <c r="Z57" i="25"/>
  <c r="AI57" i="25"/>
  <c r="AK28" i="25"/>
  <c r="AK55" i="25"/>
  <c r="AE34" i="25"/>
  <c r="AE84" i="25" s="1"/>
  <c r="AF84" i="25"/>
  <c r="AI23" i="25"/>
  <c r="AH23" i="25" s="1"/>
  <c r="Z23" i="25"/>
  <c r="AE35" i="25"/>
  <c r="AE103" i="25" s="1"/>
  <c r="AF103" i="25"/>
  <c r="AK26" i="25"/>
  <c r="AK44" i="25"/>
  <c r="AF94" i="25"/>
  <c r="AE30" i="25"/>
  <c r="AE94" i="25" s="1"/>
  <c r="AI71" i="25"/>
  <c r="AH71" i="25" s="1"/>
  <c r="Z71" i="25"/>
  <c r="AK25" i="25"/>
  <c r="AL38" i="25"/>
  <c r="Z38" i="25"/>
  <c r="AK52" i="25"/>
  <c r="AE46" i="25"/>
  <c r="AE112" i="25" s="1"/>
  <c r="AF112" i="25"/>
  <c r="AK54" i="25"/>
  <c r="AL62" i="25"/>
  <c r="Z62" i="25"/>
  <c r="AI15" i="25"/>
  <c r="Z15" i="25"/>
  <c r="AL61" i="25"/>
  <c r="Z61" i="25"/>
  <c r="AL13" i="25"/>
  <c r="Z13" i="25"/>
  <c r="AI63" i="25"/>
  <c r="Z63" i="25"/>
  <c r="AI46" i="25"/>
  <c r="AS46" i="25" s="1"/>
  <c r="Z46" i="25"/>
  <c r="AL39" i="25"/>
  <c r="Z39" i="25"/>
  <c r="AE28" i="25"/>
  <c r="AF93" i="25"/>
  <c r="AK23" i="25"/>
  <c r="AK69" i="25"/>
  <c r="AI52" i="25"/>
  <c r="AH52" i="25" s="1"/>
  <c r="Z52" i="25"/>
  <c r="AI35" i="25"/>
  <c r="Z35" i="25"/>
  <c r="AI51" i="25"/>
  <c r="AH51" i="25" s="1"/>
  <c r="Z51" i="25"/>
  <c r="AK67" i="25"/>
  <c r="AI44" i="25"/>
  <c r="AH44" i="25" s="1"/>
  <c r="Z44" i="25"/>
  <c r="AI33" i="25"/>
  <c r="AH33" i="25" s="1"/>
  <c r="Z33" i="25"/>
  <c r="AI30" i="25"/>
  <c r="AS30" i="25" s="1"/>
  <c r="Z30" i="25"/>
  <c r="AI27" i="25"/>
  <c r="Z27" i="25"/>
  <c r="AG27" i="25"/>
  <c r="AI31" i="25"/>
  <c r="Z31" i="25"/>
  <c r="Z49" i="25"/>
  <c r="AL49" i="25"/>
  <c r="Z54" i="25"/>
  <c r="AI54" i="25"/>
  <c r="AH54" i="25" s="1"/>
  <c r="Z58" i="25"/>
  <c r="AL58" i="25"/>
  <c r="Z19" i="25"/>
  <c r="AI19" i="25"/>
  <c r="AL53" i="25"/>
  <c r="Z53" i="25"/>
  <c r="AI29" i="25"/>
  <c r="Z29" i="25"/>
  <c r="AL68" i="25"/>
  <c r="Z68" i="25"/>
  <c r="Z55" i="25"/>
  <c r="AI55" i="25"/>
  <c r="AH55" i="25" s="1"/>
  <c r="AK46" i="25"/>
  <c r="AI34" i="25"/>
  <c r="AH34" i="25" s="1"/>
  <c r="Z34" i="25"/>
  <c r="AI28" i="25"/>
  <c r="AH28" i="25" s="1"/>
  <c r="Z28" i="25"/>
  <c r="AQ84" i="25"/>
  <c r="AQ187" i="25" s="1"/>
  <c r="AQ79" i="25"/>
  <c r="K27" i="23" s="1"/>
  <c r="Z69" i="25"/>
  <c r="AI69" i="25"/>
  <c r="AH69" i="25" s="1"/>
  <c r="AL103" i="25"/>
  <c r="AK35" i="25"/>
  <c r="AK103" i="25" s="1"/>
  <c r="AF79" i="25"/>
  <c r="AI48" i="25"/>
  <c r="AH48" i="25" s="1"/>
  <c r="Z48" i="25"/>
  <c r="AK41" i="25"/>
  <c r="AK33" i="25"/>
  <c r="AK101" i="25" s="1"/>
  <c r="AL101" i="25"/>
  <c r="AK30" i="25"/>
  <c r="AK94" i="25" s="1"/>
  <c r="AL94" i="25"/>
  <c r="AK71" i="25"/>
  <c r="AK51" i="25"/>
  <c r="AD93" i="25"/>
  <c r="AD187" i="25" s="1"/>
  <c r="AD79" i="25"/>
  <c r="F18" i="23" s="1"/>
  <c r="AE27" i="25"/>
  <c r="AI25" i="25"/>
  <c r="AH25" i="25" s="1"/>
  <c r="Z25" i="25"/>
  <c r="AI9" i="25"/>
  <c r="Z9" i="25"/>
  <c r="AB179" i="23"/>
  <c r="AC179" i="23"/>
  <c r="AL204" i="24"/>
  <c r="Z204" i="24"/>
  <c r="AE235" i="24"/>
  <c r="AE363" i="24" s="1"/>
  <c r="AF363" i="24"/>
  <c r="AE197" i="24"/>
  <c r="AE298" i="24" s="1"/>
  <c r="AF298" i="24"/>
  <c r="Z201" i="24"/>
  <c r="AI199" i="24"/>
  <c r="Z199" i="24"/>
  <c r="AE231" i="24"/>
  <c r="AE313" i="24" s="1"/>
  <c r="AF313" i="24"/>
  <c r="AI205" i="24"/>
  <c r="Z205" i="24"/>
  <c r="Z232" i="24"/>
  <c r="AL232" i="24"/>
  <c r="AE205" i="24"/>
  <c r="AE289" i="24" s="1"/>
  <c r="AF289" i="24"/>
  <c r="AS201" i="24"/>
  <c r="AK201" i="24"/>
  <c r="AL226" i="24"/>
  <c r="Z226" i="24"/>
  <c r="Z200" i="24"/>
  <c r="AL200" i="24"/>
  <c r="AE199" i="24"/>
  <c r="AE297" i="24" s="1"/>
  <c r="AF297" i="24"/>
  <c r="AI298" i="24"/>
  <c r="F39" i="15" s="1"/>
  <c r="AK172" i="24"/>
  <c r="AK276" i="24" s="1"/>
  <c r="AS172" i="24"/>
  <c r="AL276" i="24"/>
  <c r="Z188" i="24"/>
  <c r="AL188" i="24"/>
  <c r="AK186" i="24"/>
  <c r="AS186" i="24"/>
  <c r="AK191" i="24"/>
  <c r="AS191" i="24"/>
  <c r="AS177" i="24"/>
  <c r="AH177" i="24"/>
  <c r="Z172" i="24"/>
  <c r="AK189" i="24"/>
  <c r="AS189" i="24"/>
  <c r="AE172" i="24"/>
  <c r="AE276" i="24" s="1"/>
  <c r="AF276" i="24"/>
  <c r="Z173" i="24"/>
  <c r="AI173" i="24"/>
  <c r="AI276" i="24" s="1"/>
  <c r="AK182" i="24"/>
  <c r="AL271" i="24"/>
  <c r="AS182" i="24"/>
  <c r="AL190" i="24"/>
  <c r="AL307" i="24" s="1"/>
  <c r="Z190" i="24"/>
  <c r="AH172" i="24"/>
  <c r="AK151" i="24"/>
  <c r="AS151" i="24"/>
  <c r="AK165" i="24"/>
  <c r="AS165" i="24"/>
  <c r="AK148" i="24"/>
  <c r="AS148" i="24"/>
  <c r="AK167" i="24"/>
  <c r="AS167" i="24"/>
  <c r="AL147" i="24"/>
  <c r="Z147" i="24"/>
  <c r="Z166" i="24"/>
  <c r="AL166" i="24"/>
  <c r="AS160" i="24"/>
  <c r="AK160" i="24"/>
  <c r="AK153" i="24"/>
  <c r="AS153" i="24"/>
  <c r="AK152" i="24"/>
  <c r="AS152" i="24"/>
  <c r="Z151" i="24"/>
  <c r="Z163" i="24"/>
  <c r="AL163" i="24"/>
  <c r="AK143" i="24"/>
  <c r="AS143" i="24"/>
  <c r="AK168" i="24"/>
  <c r="AS168" i="24"/>
  <c r="Z167" i="24"/>
  <c r="AL155" i="24"/>
  <c r="Z155" i="24"/>
  <c r="AK157" i="24"/>
  <c r="AS157" i="24"/>
  <c r="AK149" i="24"/>
  <c r="AS149" i="24"/>
  <c r="AK159" i="24"/>
  <c r="AS159" i="24"/>
  <c r="AK144" i="24"/>
  <c r="AS144" i="24"/>
  <c r="AK140" i="24"/>
  <c r="AS140" i="24"/>
  <c r="AS135" i="24"/>
  <c r="AK135" i="24"/>
  <c r="AS137" i="24"/>
  <c r="AK137" i="24"/>
  <c r="AL124" i="24"/>
  <c r="Z124" i="24"/>
  <c r="AS121" i="24"/>
  <c r="AK121" i="24"/>
  <c r="AL64" i="24"/>
  <c r="Z64" i="24"/>
  <c r="Z82" i="24"/>
  <c r="AL82" i="24"/>
  <c r="AK85" i="24"/>
  <c r="AS85" i="24"/>
  <c r="AK61" i="24"/>
  <c r="AS61" i="24"/>
  <c r="Z63" i="24"/>
  <c r="AL63" i="24"/>
  <c r="Z74" i="24"/>
  <c r="AL74" i="24"/>
  <c r="Z61" i="24"/>
  <c r="Z85" i="24"/>
  <c r="AE23" i="24"/>
  <c r="AE305" i="24" s="1"/>
  <c r="AF305" i="24"/>
  <c r="AL126" i="24"/>
  <c r="Z126" i="24"/>
  <c r="AK69" i="24"/>
  <c r="AS69" i="24"/>
  <c r="Z69" i="24"/>
  <c r="Z13" i="24"/>
  <c r="AF266" i="24"/>
  <c r="AF261" i="24"/>
  <c r="AE13" i="24"/>
  <c r="AK13" i="24"/>
  <c r="AL266" i="24"/>
  <c r="AD242" i="43"/>
  <c r="AR242" i="43"/>
  <c r="AP242" i="43"/>
  <c r="AI79" i="43"/>
  <c r="Z79" i="43"/>
  <c r="AI25" i="43"/>
  <c r="AH25" i="43" s="1"/>
  <c r="Z25" i="43"/>
  <c r="AK46" i="43"/>
  <c r="AK31" i="43"/>
  <c r="AL153" i="43"/>
  <c r="AI16" i="43"/>
  <c r="Z16" i="43"/>
  <c r="AI80" i="43"/>
  <c r="Z80" i="43"/>
  <c r="AI46" i="43"/>
  <c r="AH46" i="43" s="1"/>
  <c r="Z46" i="43"/>
  <c r="AI31" i="43"/>
  <c r="AS31" i="43" s="1"/>
  <c r="Z31" i="43"/>
  <c r="Z99" i="43"/>
  <c r="AI19" i="43"/>
  <c r="Z19" i="43"/>
  <c r="AI68" i="43"/>
  <c r="Z68" i="43"/>
  <c r="AF142" i="43"/>
  <c r="AK35" i="43"/>
  <c r="AI23" i="43"/>
  <c r="Z23" i="43"/>
  <c r="AI17" i="43"/>
  <c r="Z17" i="43"/>
  <c r="AI58" i="43"/>
  <c r="Z58" i="43"/>
  <c r="AL71" i="43"/>
  <c r="Z71" i="43"/>
  <c r="AE35" i="43"/>
  <c r="AF238" i="43"/>
  <c r="AF237" i="43"/>
  <c r="AI75" i="43"/>
  <c r="Z75" i="43"/>
  <c r="AI37" i="43"/>
  <c r="Z37" i="43"/>
  <c r="AI24" i="43"/>
  <c r="Z24" i="43"/>
  <c r="AI74" i="43"/>
  <c r="Z74" i="43"/>
  <c r="AK42" i="43"/>
  <c r="AL163" i="43"/>
  <c r="AI15" i="43"/>
  <c r="Z15" i="43"/>
  <c r="AI51" i="43"/>
  <c r="Z51" i="43"/>
  <c r="AI27" i="43"/>
  <c r="Z27" i="43"/>
  <c r="AI81" i="43"/>
  <c r="Z81" i="43"/>
  <c r="AF163" i="43"/>
  <c r="AE42" i="43"/>
  <c r="AE163" i="43" s="1"/>
  <c r="AI29" i="43"/>
  <c r="Z29" i="43"/>
  <c r="AI72" i="43"/>
  <c r="Z72" i="43"/>
  <c r="AI45" i="43"/>
  <c r="Z45" i="43"/>
  <c r="AI28" i="43"/>
  <c r="Z28" i="43"/>
  <c r="AI21" i="43"/>
  <c r="Z21" i="43"/>
  <c r="AI42" i="43"/>
  <c r="Z42" i="43"/>
  <c r="AI43" i="43"/>
  <c r="Z43" i="43"/>
  <c r="AI76" i="43"/>
  <c r="Z76" i="43"/>
  <c r="AI35" i="43"/>
  <c r="AH35" i="43" s="1"/>
  <c r="Z35" i="43"/>
  <c r="AI78" i="43"/>
  <c r="Z78" i="43"/>
  <c r="AK25" i="43"/>
  <c r="AK145" i="43" s="1"/>
  <c r="AL145" i="43"/>
  <c r="AJ11" i="43"/>
  <c r="AL11" i="43"/>
  <c r="AK67" i="43"/>
  <c r="Z86" i="43"/>
  <c r="AI67" i="43"/>
  <c r="AH67" i="43" s="1"/>
  <c r="Z67" i="43"/>
  <c r="M110" i="23"/>
  <c r="H136" i="23"/>
  <c r="Z103" i="43"/>
  <c r="AN237" i="43"/>
  <c r="AN238" i="43"/>
  <c r="AI61" i="43"/>
  <c r="Z61" i="43"/>
  <c r="AI69" i="43"/>
  <c r="Z69" i="43"/>
  <c r="AI59" i="43"/>
  <c r="Z59" i="43"/>
  <c r="BI301" i="14"/>
  <c r="BI213" i="14"/>
  <c r="T15" i="23"/>
  <c r="T224" i="23"/>
  <c r="AG15" i="23"/>
  <c r="T311" i="23"/>
  <c r="AG311" i="23" s="1"/>
  <c r="AD15" i="23"/>
  <c r="Q311" i="23"/>
  <c r="AD311" i="23" s="1"/>
  <c r="Q15" i="23"/>
  <c r="Q224" i="23"/>
  <c r="R15" i="23"/>
  <c r="AE15" i="23"/>
  <c r="R311" i="23"/>
  <c r="AE311" i="23" s="1"/>
  <c r="R224" i="23"/>
  <c r="CT104" i="14"/>
  <c r="CT126" i="14" s="1"/>
  <c r="CT129" i="14" s="1"/>
  <c r="CT225" i="14"/>
  <c r="AR325" i="14"/>
  <c r="D36" i="7"/>
  <c r="D26" i="11"/>
  <c r="D7" i="11"/>
  <c r="CT308" i="14"/>
  <c r="S93" i="7"/>
  <c r="DE213" i="14"/>
  <c r="DE301" i="14"/>
  <c r="S79" i="7"/>
  <c r="S85" i="7" s="1"/>
  <c r="S88" i="7" s="1"/>
  <c r="D85" i="7"/>
  <c r="D88" i="7" s="1"/>
  <c r="BO301" i="14"/>
  <c r="BO213" i="14"/>
  <c r="D14" i="7"/>
  <c r="D40" i="10"/>
  <c r="D39" i="11"/>
  <c r="D38" i="11" s="1"/>
  <c r="AS9" i="29"/>
  <c r="AH9" i="29"/>
  <c r="AH14" i="22" l="1"/>
  <c r="AH207" i="22" s="1"/>
  <c r="AI207" i="22"/>
  <c r="AH15" i="22"/>
  <c r="AI215" i="22"/>
  <c r="AK31" i="30"/>
  <c r="AK51" i="30"/>
  <c r="AK50" i="30"/>
  <c r="AK55" i="30"/>
  <c r="AK28" i="30"/>
  <c r="AK54" i="30"/>
  <c r="AK38" i="30"/>
  <c r="AK40" i="30"/>
  <c r="AK36" i="30"/>
  <c r="BD199" i="14"/>
  <c r="AK13" i="22"/>
  <c r="L196" i="14"/>
  <c r="H104" i="15"/>
  <c r="K85" i="15"/>
  <c r="K73" i="15"/>
  <c r="K82" i="15"/>
  <c r="AL238" i="43"/>
  <c r="AK163" i="43"/>
  <c r="AL218" i="43"/>
  <c r="AL189" i="43"/>
  <c r="AL142" i="43"/>
  <c r="F44" i="15"/>
  <c r="K44" i="15" s="1"/>
  <c r="AH11" i="43"/>
  <c r="AG138" i="43"/>
  <c r="AG242" i="43" s="1"/>
  <c r="AK153" i="43"/>
  <c r="F72" i="15"/>
  <c r="K72" i="15" s="1"/>
  <c r="AL192" i="43"/>
  <c r="AK196" i="43"/>
  <c r="O13" i="14"/>
  <c r="R90" i="14"/>
  <c r="DC4" i="14"/>
  <c r="DC190" i="14" s="1"/>
  <c r="U190" i="14" s="1"/>
  <c r="AI49" i="10"/>
  <c r="AI48" i="10"/>
  <c r="AS59" i="24"/>
  <c r="AD52" i="23"/>
  <c r="AD77" i="23" s="1"/>
  <c r="AD59" i="23"/>
  <c r="AD84" i="23" s="1"/>
  <c r="AD50" i="23"/>
  <c r="AD75" i="23" s="1"/>
  <c r="H105" i="15"/>
  <c r="H7" i="15"/>
  <c r="AS271" i="24"/>
  <c r="AS268" i="24"/>
  <c r="AK271" i="24"/>
  <c r="AK268" i="24"/>
  <c r="F12" i="15"/>
  <c r="F48" i="15"/>
  <c r="AI255" i="29"/>
  <c r="AI153" i="29"/>
  <c r="AS25" i="29"/>
  <c r="AH26" i="29"/>
  <c r="AG153" i="29"/>
  <c r="H226" i="23" s="1"/>
  <c r="M226" i="23" s="1"/>
  <c r="AG226" i="23" s="1"/>
  <c r="AG248" i="23" s="1"/>
  <c r="AG255" i="29"/>
  <c r="AG261" i="29" s="1"/>
  <c r="AH25" i="29"/>
  <c r="AI122" i="23"/>
  <c r="AH122" i="23"/>
  <c r="AB122" i="23"/>
  <c r="AC122" i="23"/>
  <c r="AC159" i="23" s="1"/>
  <c r="AD122" i="23"/>
  <c r="AD159" i="23" s="1"/>
  <c r="AF122" i="23"/>
  <c r="AF159" i="23" s="1"/>
  <c r="AE122" i="23"/>
  <c r="AE159" i="23" s="1"/>
  <c r="AK122" i="23"/>
  <c r="AG122" i="23"/>
  <c r="AJ122" i="23"/>
  <c r="AM108" i="23"/>
  <c r="AB145" i="23"/>
  <c r="AM107" i="23"/>
  <c r="AB144" i="23"/>
  <c r="AB180" i="23" s="1"/>
  <c r="AB121" i="23"/>
  <c r="AC121" i="23"/>
  <c r="AC158" i="23" s="1"/>
  <c r="AD121" i="23"/>
  <c r="AD158" i="23" s="1"/>
  <c r="AK121" i="23"/>
  <c r="AE121" i="23"/>
  <c r="AJ121" i="23"/>
  <c r="AF121" i="23"/>
  <c r="AF158" i="23" s="1"/>
  <c r="AH121" i="23"/>
  <c r="AI121" i="23"/>
  <c r="AG121" i="23"/>
  <c r="K22" i="15"/>
  <c r="AS298" i="24"/>
  <c r="AS221" i="24"/>
  <c r="AS299" i="24" s="1"/>
  <c r="CE71" i="14"/>
  <c r="CE68" i="14"/>
  <c r="AR7" i="33"/>
  <c r="CB7" i="33" s="1"/>
  <c r="N3" i="50"/>
  <c r="P3" i="21"/>
  <c r="AK7" i="23"/>
  <c r="CH71" i="14"/>
  <c r="CH68" i="14"/>
  <c r="AS93" i="24"/>
  <c r="CB68" i="14"/>
  <c r="CB71" i="14"/>
  <c r="CD213" i="14"/>
  <c r="CD301" i="14"/>
  <c r="DW9" i="14"/>
  <c r="CG9" i="14"/>
  <c r="AO301" i="14"/>
  <c r="AO213" i="14"/>
  <c r="BY68" i="14"/>
  <c r="BY71" i="14"/>
  <c r="DT213" i="14"/>
  <c r="DT301" i="14"/>
  <c r="CK100" i="14"/>
  <c r="CK39" i="14"/>
  <c r="AE20" i="23"/>
  <c r="AE47" i="23" s="1"/>
  <c r="AE72" i="23" s="1"/>
  <c r="AI20" i="23"/>
  <c r="AH20" i="23"/>
  <c r="AK20" i="23"/>
  <c r="AJ20" i="23"/>
  <c r="W15" i="23"/>
  <c r="AJ224" i="23"/>
  <c r="AJ252" i="23"/>
  <c r="W103" i="23"/>
  <c r="AJ15" i="23"/>
  <c r="W224" i="23"/>
  <c r="W311" i="23"/>
  <c r="AJ311" i="23" s="1"/>
  <c r="AI110" i="23"/>
  <c r="AI136" i="23" s="1"/>
  <c r="CB78" i="14" s="1"/>
  <c r="CB82" i="14" s="1"/>
  <c r="AG110" i="23"/>
  <c r="AG136" i="23" s="1"/>
  <c r="AH110" i="23"/>
  <c r="AH136" i="23" s="1"/>
  <c r="BY78" i="14" s="1"/>
  <c r="BY82" i="14" s="1"/>
  <c r="AB110" i="23"/>
  <c r="AB136" i="23" s="1"/>
  <c r="AF110" i="23"/>
  <c r="AF147" i="23" s="1"/>
  <c r="AC110" i="23"/>
  <c r="AC147" i="23" s="1"/>
  <c r="AD110" i="23"/>
  <c r="AD147" i="23" s="1"/>
  <c r="AK110" i="23"/>
  <c r="AK136" i="23" s="1"/>
  <c r="CH78" i="14" s="1"/>
  <c r="CH82" i="14" s="1"/>
  <c r="AE110" i="23"/>
  <c r="AE147" i="23" s="1"/>
  <c r="AJ110" i="23"/>
  <c r="AJ136" i="23" s="1"/>
  <c r="CE78" i="14" s="1"/>
  <c r="CE82" i="14" s="1"/>
  <c r="AE91" i="1"/>
  <c r="CG181" i="14" s="1"/>
  <c r="AO181" i="14" s="1"/>
  <c r="AB91" i="1"/>
  <c r="CD181" i="14" s="1"/>
  <c r="AL181" i="14" s="1"/>
  <c r="V91" i="1"/>
  <c r="BX181" i="14" s="1"/>
  <c r="AF181" i="14" s="1"/>
  <c r="AM114" i="23"/>
  <c r="AB151" i="23"/>
  <c r="AB187" i="23" s="1"/>
  <c r="AC201" i="23"/>
  <c r="AM113" i="23"/>
  <c r="AB150" i="23"/>
  <c r="AB186" i="23" s="1"/>
  <c r="X347" i="23"/>
  <c r="CG110" i="14" s="1"/>
  <c r="AO110" i="14" s="1"/>
  <c r="W347" i="23"/>
  <c r="CD110" i="14" s="1"/>
  <c r="AL110" i="14" s="1"/>
  <c r="V347" i="23"/>
  <c r="CA110" i="14" s="1"/>
  <c r="AI110" i="14" s="1"/>
  <c r="U347" i="23"/>
  <c r="BX110" i="14" s="1"/>
  <c r="AD201" i="23"/>
  <c r="AM128" i="23"/>
  <c r="AB165" i="23"/>
  <c r="AB201" i="23" s="1"/>
  <c r="AC187" i="23"/>
  <c r="AD313" i="23"/>
  <c r="BM43" i="14" s="1"/>
  <c r="BM48" i="14" s="1"/>
  <c r="AH313" i="23"/>
  <c r="BY43" i="14" s="1"/>
  <c r="AK313" i="23"/>
  <c r="AJ313" i="23"/>
  <c r="AI313" i="23"/>
  <c r="AI43" i="14"/>
  <c r="AI48" i="14" s="1"/>
  <c r="CA48" i="14"/>
  <c r="CJ43" i="14"/>
  <c r="CJ48" i="14" s="1"/>
  <c r="BX48" i="14"/>
  <c r="AF43" i="14"/>
  <c r="AF48" i="14" s="1"/>
  <c r="F332" i="23"/>
  <c r="X339" i="23"/>
  <c r="CG94" i="14" s="1"/>
  <c r="W339" i="23"/>
  <c r="CD94" i="14" s="1"/>
  <c r="V339" i="23"/>
  <c r="CA94" i="14" s="1"/>
  <c r="U339" i="23"/>
  <c r="BX94" i="14" s="1"/>
  <c r="CD48" i="14"/>
  <c r="AL43" i="14"/>
  <c r="AL48" i="14" s="1"/>
  <c r="AH127" i="23"/>
  <c r="AB127" i="23"/>
  <c r="AC127" i="23"/>
  <c r="AC164" i="23" s="1"/>
  <c r="AD127" i="23"/>
  <c r="AD164" i="23" s="1"/>
  <c r="AE127" i="23"/>
  <c r="AE164" i="23" s="1"/>
  <c r="AF127" i="23"/>
  <c r="AF164" i="23" s="1"/>
  <c r="AK127" i="23"/>
  <c r="AG127" i="23"/>
  <c r="AJ127" i="23"/>
  <c r="AI127" i="23"/>
  <c r="CG48" i="14"/>
  <c r="AO43" i="14"/>
  <c r="AO48" i="14" s="1"/>
  <c r="K95" i="15"/>
  <c r="AB50" i="23"/>
  <c r="AB75" i="23" s="1"/>
  <c r="AM23" i="23"/>
  <c r="AB59" i="23"/>
  <c r="AB84" i="23" s="1"/>
  <c r="AM32" i="23"/>
  <c r="AB185" i="23"/>
  <c r="AM112" i="23"/>
  <c r="K63" i="15"/>
  <c r="K34" i="15"/>
  <c r="K47" i="15"/>
  <c r="AJ126" i="23"/>
  <c r="AB126" i="23"/>
  <c r="AH126" i="23"/>
  <c r="AD126" i="23"/>
  <c r="AD163" i="23" s="1"/>
  <c r="AK126" i="23"/>
  <c r="AI126" i="23"/>
  <c r="AC126" i="23"/>
  <c r="AC163" i="23" s="1"/>
  <c r="AC199" i="23" s="1"/>
  <c r="AE126" i="23"/>
  <c r="AE163" i="23" s="1"/>
  <c r="AF126" i="23"/>
  <c r="AF163" i="23" s="1"/>
  <c r="AF199" i="23" s="1"/>
  <c r="AG126" i="23"/>
  <c r="CK97" i="14"/>
  <c r="CK15" i="14"/>
  <c r="CK102" i="14"/>
  <c r="CK99" i="14"/>
  <c r="CK92" i="14"/>
  <c r="CK96" i="14"/>
  <c r="CK20" i="14"/>
  <c r="CK45" i="14"/>
  <c r="CK42" i="14"/>
  <c r="CK46" i="14"/>
  <c r="AA101" i="14"/>
  <c r="CK101" i="14"/>
  <c r="CK93" i="14"/>
  <c r="CK36" i="14"/>
  <c r="CK13" i="14"/>
  <c r="CK19" i="14"/>
  <c r="CK131" i="14"/>
  <c r="CK44" i="14"/>
  <c r="CK17" i="14"/>
  <c r="CK41" i="14"/>
  <c r="CK103" i="14"/>
  <c r="DH155" i="14"/>
  <c r="CK18" i="14"/>
  <c r="CK14" i="14"/>
  <c r="D73" i="7"/>
  <c r="D76" i="7" s="1"/>
  <c r="CK91" i="14"/>
  <c r="CK47" i="14"/>
  <c r="AS192" i="14"/>
  <c r="E190" i="7" s="1"/>
  <c r="T190" i="7" s="1"/>
  <c r="AK123" i="23"/>
  <c r="AC123" i="23"/>
  <c r="AC160" i="23" s="1"/>
  <c r="AG123" i="23"/>
  <c r="AH123" i="23"/>
  <c r="AB123" i="23"/>
  <c r="AJ123" i="23"/>
  <c r="AD123" i="23"/>
  <c r="AD160" i="23" s="1"/>
  <c r="AF123" i="23"/>
  <c r="AF160" i="23" s="1"/>
  <c r="AI123" i="23"/>
  <c r="AE123" i="23"/>
  <c r="AE160" i="23" s="1"/>
  <c r="AM109" i="23"/>
  <c r="AB146" i="23"/>
  <c r="AB182" i="23" s="1"/>
  <c r="AC364" i="23"/>
  <c r="AF153" i="23"/>
  <c r="AF189" i="23" s="1"/>
  <c r="AF157" i="23"/>
  <c r="AF148" i="23"/>
  <c r="AF184" i="23" s="1"/>
  <c r="AF151" i="23"/>
  <c r="AF187" i="23" s="1"/>
  <c r="AF154" i="23"/>
  <c r="AF190" i="23" s="1"/>
  <c r="AF143" i="23"/>
  <c r="AF179" i="23" s="1"/>
  <c r="AF152" i="23"/>
  <c r="AF188" i="23" s="1"/>
  <c r="AF155" i="23"/>
  <c r="AF191" i="23" s="1"/>
  <c r="AF162" i="23"/>
  <c r="AF198" i="23" s="1"/>
  <c r="AF165" i="23"/>
  <c r="AF201" i="23" s="1"/>
  <c r="AF150" i="23"/>
  <c r="AF186" i="23" s="1"/>
  <c r="AF167" i="23"/>
  <c r="AF203" i="23" s="1"/>
  <c r="AF168" i="23"/>
  <c r="AF204" i="23" s="1"/>
  <c r="AF144" i="23"/>
  <c r="AF180" i="23" s="1"/>
  <c r="AF145" i="23"/>
  <c r="AF181" i="23" s="1"/>
  <c r="AF146" i="23"/>
  <c r="AF182" i="23" s="1"/>
  <c r="AF149" i="23"/>
  <c r="AF185" i="23" s="1"/>
  <c r="AF166" i="23"/>
  <c r="AF202" i="23" s="1"/>
  <c r="AE145" i="23"/>
  <c r="AE181" i="23" s="1"/>
  <c r="AE151" i="23"/>
  <c r="AE168" i="23"/>
  <c r="AE204" i="23" s="1"/>
  <c r="AE143" i="23"/>
  <c r="AE152" i="23"/>
  <c r="AE155" i="23"/>
  <c r="AE165" i="23"/>
  <c r="AE144" i="23"/>
  <c r="AE180" i="23" s="1"/>
  <c r="AE146" i="23"/>
  <c r="AE149" i="23"/>
  <c r="AE185" i="23" s="1"/>
  <c r="AE166" i="23"/>
  <c r="AE148" i="23"/>
  <c r="AE162" i="23"/>
  <c r="AE150" i="23"/>
  <c r="AE186" i="23" s="1"/>
  <c r="AE153" i="23"/>
  <c r="AE157" i="23"/>
  <c r="AE193" i="23" s="1"/>
  <c r="AE167" i="23"/>
  <c r="AE154" i="23"/>
  <c r="AE158" i="23"/>
  <c r="AC284" i="23"/>
  <c r="AC376" i="23"/>
  <c r="AC377" i="23"/>
  <c r="AC84" i="23"/>
  <c r="AC75" i="23"/>
  <c r="AC286" i="23"/>
  <c r="AC280" i="23"/>
  <c r="AC287" i="23"/>
  <c r="AC368" i="23"/>
  <c r="AC278" i="23"/>
  <c r="AC366" i="23"/>
  <c r="CW90" i="14"/>
  <c r="CK67" i="14"/>
  <c r="CW37" i="14"/>
  <c r="CK37" i="14"/>
  <c r="CZ16" i="14"/>
  <c r="CK16" i="14"/>
  <c r="AD17" i="23"/>
  <c r="AD44" i="23" s="1"/>
  <c r="AD69" i="23" s="1"/>
  <c r="AJ17" i="23"/>
  <c r="AH17" i="23"/>
  <c r="AK17" i="23"/>
  <c r="AI17" i="23"/>
  <c r="AC142" i="23"/>
  <c r="AC178" i="23" s="1"/>
  <c r="AF142" i="23"/>
  <c r="AF178" i="23" s="1"/>
  <c r="AD142" i="23"/>
  <c r="AD178" i="23" s="1"/>
  <c r="AM105" i="23"/>
  <c r="AB142" i="23"/>
  <c r="AB178" i="23" s="1"/>
  <c r="AE142" i="23"/>
  <c r="AE178" i="23" s="1"/>
  <c r="O103" i="14"/>
  <c r="AD266" i="23"/>
  <c r="AD340" i="23"/>
  <c r="AD364" i="23" s="1"/>
  <c r="AD257" i="23"/>
  <c r="AD280" i="23" s="1"/>
  <c r="AD267" i="23"/>
  <c r="AD262" i="23"/>
  <c r="AD259" i="23"/>
  <c r="AD268" i="23"/>
  <c r="AD349" i="23"/>
  <c r="AD261" i="23"/>
  <c r="AD284" i="23" s="1"/>
  <c r="AD260" i="23"/>
  <c r="AD353" i="23"/>
  <c r="AD377" i="23" s="1"/>
  <c r="AD255" i="23"/>
  <c r="AD278" i="23" s="1"/>
  <c r="AD344" i="23"/>
  <c r="AD368" i="23" s="1"/>
  <c r="AD352" i="23"/>
  <c r="AD376" i="23" s="1"/>
  <c r="AD351" i="23"/>
  <c r="AD343" i="23"/>
  <c r="AD341" i="23"/>
  <c r="AD265" i="23"/>
  <c r="AD350" i="23"/>
  <c r="AD342" i="23"/>
  <c r="AD366" i="23" s="1"/>
  <c r="AD263" i="23"/>
  <c r="AD286" i="23" s="1"/>
  <c r="AD258" i="23"/>
  <c r="AD345" i="23"/>
  <c r="AD348" i="23"/>
  <c r="AD372" i="23" s="1"/>
  <c r="AD264" i="23"/>
  <c r="AD287" i="23" s="1"/>
  <c r="AE10" i="23"/>
  <c r="AE340" i="23" s="1"/>
  <c r="AE364" i="23" s="1"/>
  <c r="DF5" i="14"/>
  <c r="O19" i="14"/>
  <c r="AH238" i="24"/>
  <c r="AH363" i="24" s="1"/>
  <c r="AS62" i="24"/>
  <c r="CZ312" i="14"/>
  <c r="AQ190" i="26"/>
  <c r="CZ185" i="14"/>
  <c r="K51" i="15"/>
  <c r="AC313" i="23"/>
  <c r="AC338" i="23" s="1"/>
  <c r="AI203" i="43"/>
  <c r="CZ340" i="14"/>
  <c r="CZ230" i="14"/>
  <c r="AG313" i="23"/>
  <c r="BV43" i="14" s="1"/>
  <c r="AB313" i="23"/>
  <c r="DI5" i="14"/>
  <c r="AS230" i="24"/>
  <c r="AE313" i="23"/>
  <c r="O36" i="14"/>
  <c r="AF313" i="23"/>
  <c r="BS43" i="14" s="1"/>
  <c r="AH174" i="43"/>
  <c r="AG9" i="23"/>
  <c r="AG142" i="23" s="1"/>
  <c r="AG178" i="23" s="1"/>
  <c r="AS90" i="43"/>
  <c r="K29" i="15"/>
  <c r="K99" i="15"/>
  <c r="K98" i="15"/>
  <c r="K102" i="15"/>
  <c r="K52" i="15"/>
  <c r="B54" i="26"/>
  <c r="B55" i="26" s="1"/>
  <c r="B56" i="26" s="1"/>
  <c r="B57" i="26" s="1"/>
  <c r="B58" i="26" s="1"/>
  <c r="B59" i="26" s="1"/>
  <c r="B60" i="26" s="1"/>
  <c r="B61" i="26" s="1"/>
  <c r="B62" i="26" s="1"/>
  <c r="B63" i="26" s="1"/>
  <c r="B64" i="26" s="1"/>
  <c r="B65" i="26" s="1"/>
  <c r="B66" i="26" s="1"/>
  <c r="B67" i="26" s="1"/>
  <c r="B68" i="26" s="1"/>
  <c r="B69" i="26" s="1"/>
  <c r="B70" i="26" s="1"/>
  <c r="B71" i="26" s="1"/>
  <c r="B72" i="26" s="1"/>
  <c r="B73" i="26" s="1"/>
  <c r="B74" i="26" s="1"/>
  <c r="B75" i="26" s="1"/>
  <c r="B76" i="26" s="1"/>
  <c r="B77" i="26" s="1"/>
  <c r="B78" i="26" s="1"/>
  <c r="B79" i="26" s="1"/>
  <c r="B80" i="26" s="1"/>
  <c r="B81" i="26" s="1"/>
  <c r="B82" i="26" s="1"/>
  <c r="B83" i="26" s="1"/>
  <c r="B53" i="26"/>
  <c r="K96" i="15"/>
  <c r="AG20" i="23"/>
  <c r="AD20" i="23"/>
  <c r="AD47" i="23" s="1"/>
  <c r="AD72" i="23" s="1"/>
  <c r="AB20" i="23"/>
  <c r="AC20" i="23"/>
  <c r="AC47" i="23" s="1"/>
  <c r="AF20" i="23"/>
  <c r="K101" i="15"/>
  <c r="AK87" i="27"/>
  <c r="K67" i="15"/>
  <c r="AL87" i="26"/>
  <c r="AN190" i="26"/>
  <c r="K27" i="15"/>
  <c r="K91" i="15"/>
  <c r="K32" i="15"/>
  <c r="K93" i="15"/>
  <c r="AH11" i="24"/>
  <c r="AH266" i="24" s="1"/>
  <c r="AS11" i="24"/>
  <c r="K9" i="15"/>
  <c r="B37" i="24"/>
  <c r="B59" i="24" s="1"/>
  <c r="B60" i="24" s="1"/>
  <c r="B61" i="24" s="1"/>
  <c r="B62" i="24" s="1"/>
  <c r="B63" i="24" s="1"/>
  <c r="B64" i="24" s="1"/>
  <c r="B66" i="24" s="1"/>
  <c r="B67" i="24" s="1"/>
  <c r="B68" i="24" s="1"/>
  <c r="B69" i="24" s="1"/>
  <c r="B70" i="24" s="1"/>
  <c r="B71" i="24" s="1"/>
  <c r="B73" i="24" s="1"/>
  <c r="B74" i="24" s="1"/>
  <c r="B75" i="24" s="1"/>
  <c r="B76" i="24" s="1"/>
  <c r="B77" i="24" s="1"/>
  <c r="B78" i="24" s="1"/>
  <c r="B81" i="24" s="1"/>
  <c r="B83" i="24" s="1"/>
  <c r="B36" i="24"/>
  <c r="AS187" i="24"/>
  <c r="AH223" i="24"/>
  <c r="AH299" i="24" s="1"/>
  <c r="AS154" i="24"/>
  <c r="AS214" i="24"/>
  <c r="AI363" i="24"/>
  <c r="AI299" i="24"/>
  <c r="AS145" i="24"/>
  <c r="AS13" i="24"/>
  <c r="AI266" i="24"/>
  <c r="K100" i="15"/>
  <c r="AS169" i="24"/>
  <c r="AH267" i="24"/>
  <c r="N16" i="14"/>
  <c r="AE255" i="29"/>
  <c r="AE261" i="29" s="1"/>
  <c r="K81" i="15"/>
  <c r="K53" i="15"/>
  <c r="K69" i="15"/>
  <c r="K49" i="15"/>
  <c r="K77" i="15"/>
  <c r="K84" i="15"/>
  <c r="K92" i="15"/>
  <c r="AS29" i="24"/>
  <c r="K78" i="15"/>
  <c r="AS161" i="24"/>
  <c r="K33" i="15"/>
  <c r="AS89" i="24"/>
  <c r="AI267" i="24"/>
  <c r="AQ369" i="24"/>
  <c r="AF175" i="30"/>
  <c r="AK44" i="30"/>
  <c r="AD175" i="30"/>
  <c r="AK42" i="30"/>
  <c r="AG175" i="30"/>
  <c r="AN175" i="30"/>
  <c r="AK23" i="30"/>
  <c r="AK57" i="30"/>
  <c r="AS27" i="30"/>
  <c r="AK63" i="30"/>
  <c r="AK41" i="30"/>
  <c r="AK27" i="30"/>
  <c r="AL69" i="30"/>
  <c r="AL162" i="30"/>
  <c r="AL175" i="30" s="1"/>
  <c r="AJ162" i="30"/>
  <c r="T339" i="23"/>
  <c r="BU94" i="14" s="1"/>
  <c r="P339" i="23"/>
  <c r="BI94" i="14" s="1"/>
  <c r="S339" i="23"/>
  <c r="BR94" i="14" s="1"/>
  <c r="O339" i="23"/>
  <c r="BF94" i="14" s="1"/>
  <c r="R339" i="23"/>
  <c r="BO94" i="14" s="1"/>
  <c r="Z339" i="23"/>
  <c r="Y339" i="23"/>
  <c r="Q339" i="23"/>
  <c r="BL94" i="14" s="1"/>
  <c r="AB17" i="23"/>
  <c r="AE175" i="30"/>
  <c r="F321" i="23"/>
  <c r="AJ69" i="30"/>
  <c r="AH22" i="43"/>
  <c r="T12" i="43"/>
  <c r="AQ242" i="43"/>
  <c r="AS80" i="22"/>
  <c r="AS117" i="22"/>
  <c r="AS53" i="22"/>
  <c r="AS49" i="22"/>
  <c r="AS100" i="22"/>
  <c r="AS54" i="22"/>
  <c r="AS36" i="25"/>
  <c r="AS94" i="25" s="1"/>
  <c r="AS71" i="22"/>
  <c r="AS98" i="22"/>
  <c r="AI191" i="43"/>
  <c r="AS27" i="22"/>
  <c r="AS107" i="22"/>
  <c r="AG17" i="23"/>
  <c r="AE17" i="23"/>
  <c r="AE44" i="23" s="1"/>
  <c r="AE69" i="23" s="1"/>
  <c r="AH192" i="43"/>
  <c r="AC17" i="23"/>
  <c r="AC44" i="23" s="1"/>
  <c r="AC69" i="23" s="1"/>
  <c r="AS14" i="27"/>
  <c r="AS34" i="22"/>
  <c r="AI196" i="43"/>
  <c r="AF17" i="23"/>
  <c r="AS37" i="26"/>
  <c r="AS101" i="22"/>
  <c r="AH218" i="43"/>
  <c r="AS31" i="22"/>
  <c r="AS120" i="22"/>
  <c r="AS46" i="22"/>
  <c r="AS137" i="22"/>
  <c r="AS104" i="22"/>
  <c r="AS22" i="30"/>
  <c r="AS62" i="30"/>
  <c r="AS94" i="43"/>
  <c r="AS204" i="43"/>
  <c r="AS26" i="25"/>
  <c r="AS64" i="25"/>
  <c r="AS33" i="22"/>
  <c r="AS66" i="22"/>
  <c r="AS47" i="22"/>
  <c r="AS92" i="22"/>
  <c r="AS127" i="22"/>
  <c r="AS13" i="22"/>
  <c r="AS35" i="30"/>
  <c r="AS57" i="30"/>
  <c r="AH191" i="43"/>
  <c r="AS46" i="30"/>
  <c r="AS32" i="22"/>
  <c r="AS78" i="22"/>
  <c r="AS135" i="22"/>
  <c r="AS24" i="26"/>
  <c r="AS62" i="22"/>
  <c r="AS88" i="22"/>
  <c r="AS70" i="25"/>
  <c r="AS59" i="30"/>
  <c r="AS58" i="30"/>
  <c r="AS81" i="22"/>
  <c r="AS15" i="22"/>
  <c r="AS56" i="25"/>
  <c r="AS25" i="30"/>
  <c r="AS38" i="30"/>
  <c r="AI178" i="43"/>
  <c r="AS39" i="26"/>
  <c r="AS61" i="27"/>
  <c r="AS14" i="22"/>
  <c r="AS207" i="22" s="1"/>
  <c r="AS44" i="22"/>
  <c r="AS89" i="22"/>
  <c r="AS43" i="22"/>
  <c r="AS106" i="22"/>
  <c r="AS128" i="22"/>
  <c r="AS19" i="22"/>
  <c r="AS52" i="22"/>
  <c r="AS22" i="43"/>
  <c r="AS100" i="43"/>
  <c r="K83" i="15"/>
  <c r="K45" i="15"/>
  <c r="K97" i="15"/>
  <c r="CW101" i="14"/>
  <c r="CW96" i="14"/>
  <c r="O96" i="14" s="1"/>
  <c r="CZ99" i="14"/>
  <c r="R99" i="14" s="1"/>
  <c r="CZ97" i="14"/>
  <c r="R97" i="14" s="1"/>
  <c r="CZ96" i="14"/>
  <c r="R96" i="14" s="1"/>
  <c r="K79" i="15"/>
  <c r="F38" i="23"/>
  <c r="AS28" i="30"/>
  <c r="AS23" i="22"/>
  <c r="AS70" i="27"/>
  <c r="O131" i="14"/>
  <c r="AS71" i="25"/>
  <c r="AS94" i="22"/>
  <c r="AS39" i="27"/>
  <c r="AS42" i="22"/>
  <c r="AS121" i="22"/>
  <c r="AS33" i="43"/>
  <c r="AI218" i="43"/>
  <c r="F86" i="15" s="1"/>
  <c r="K80" i="15"/>
  <c r="K14" i="15"/>
  <c r="AH54" i="43"/>
  <c r="AH160" i="43" s="1"/>
  <c r="AS54" i="43"/>
  <c r="AI160" i="43"/>
  <c r="AS33" i="25"/>
  <c r="AS45" i="30"/>
  <c r="AS35" i="22"/>
  <c r="AS82" i="22"/>
  <c r="AS44" i="30"/>
  <c r="AS67" i="25"/>
  <c r="AS74" i="22"/>
  <c r="AS83" i="22"/>
  <c r="AS123" i="22"/>
  <c r="AS37" i="22"/>
  <c r="AS97" i="22"/>
  <c r="AS105" i="22"/>
  <c r="AS125" i="22"/>
  <c r="AS20" i="25"/>
  <c r="AS18" i="25"/>
  <c r="AS60" i="30"/>
  <c r="AH38" i="43"/>
  <c r="AS38" i="43"/>
  <c r="AS73" i="43"/>
  <c r="AH73" i="43"/>
  <c r="K39" i="15"/>
  <c r="K66" i="15"/>
  <c r="AS14" i="25"/>
  <c r="AL255" i="29"/>
  <c r="AL261" i="29" s="1"/>
  <c r="AS61" i="22"/>
  <c r="AS146" i="22"/>
  <c r="AS64" i="22"/>
  <c r="AS102" i="22"/>
  <c r="AS93" i="22"/>
  <c r="AL206" i="43"/>
  <c r="AE93" i="25"/>
  <c r="AS36" i="22"/>
  <c r="AS51" i="22"/>
  <c r="AS58" i="22"/>
  <c r="AS69" i="22"/>
  <c r="AS139" i="22"/>
  <c r="AS26" i="22"/>
  <c r="AS48" i="22"/>
  <c r="AS75" i="22"/>
  <c r="AS85" i="22"/>
  <c r="AS95" i="22"/>
  <c r="AS136" i="22"/>
  <c r="AS20" i="30"/>
  <c r="AS48" i="30"/>
  <c r="AS16" i="25"/>
  <c r="AS29" i="30"/>
  <c r="AS28" i="22"/>
  <c r="AS38" i="22"/>
  <c r="AS50" i="22"/>
  <c r="AS126" i="22"/>
  <c r="AS134" i="22"/>
  <c r="AS55" i="26"/>
  <c r="AS56" i="30"/>
  <c r="AL226" i="43"/>
  <c r="AK65" i="43"/>
  <c r="AS65" i="43"/>
  <c r="AS56" i="26"/>
  <c r="AH194" i="43"/>
  <c r="AH190" i="43"/>
  <c r="AS53" i="30"/>
  <c r="AS109" i="22"/>
  <c r="AS65" i="22"/>
  <c r="AS142" i="22"/>
  <c r="AS31" i="30"/>
  <c r="AS16" i="22"/>
  <c r="AS20" i="22"/>
  <c r="AS141" i="22"/>
  <c r="AS24" i="22"/>
  <c r="AS45" i="22"/>
  <c r="AS77" i="22"/>
  <c r="AS25" i="26"/>
  <c r="AS50" i="30"/>
  <c r="AL187" i="43"/>
  <c r="AS186" i="43"/>
  <c r="AH60" i="43"/>
  <c r="AS60" i="43"/>
  <c r="AL153" i="29"/>
  <c r="AS41" i="22"/>
  <c r="AS41" i="30"/>
  <c r="AS31" i="26"/>
  <c r="AS32" i="30"/>
  <c r="AS122" i="22"/>
  <c r="AS52" i="30"/>
  <c r="AK111" i="43"/>
  <c r="AS111" i="43"/>
  <c r="AK92" i="43"/>
  <c r="AS92" i="43"/>
  <c r="AH49" i="43"/>
  <c r="AS49" i="43"/>
  <c r="AI173" i="43"/>
  <c r="AH188" i="43"/>
  <c r="AS32" i="43"/>
  <c r="AH32" i="43"/>
  <c r="AK176" i="43"/>
  <c r="AH30" i="43"/>
  <c r="AS30" i="43"/>
  <c r="AI194" i="43"/>
  <c r="AH189" i="43"/>
  <c r="M91" i="1"/>
  <c r="BO181" i="14" s="1"/>
  <c r="W181" i="14" s="1"/>
  <c r="S91" i="1"/>
  <c r="BU181" i="14" s="1"/>
  <c r="AC181" i="14" s="1"/>
  <c r="J91" i="1"/>
  <c r="BL181" i="14" s="1"/>
  <c r="T181" i="14" s="1"/>
  <c r="AS39" i="43"/>
  <c r="AK39" i="43"/>
  <c r="AK237" i="43" s="1"/>
  <c r="AI175" i="43"/>
  <c r="AK9" i="24"/>
  <c r="AS9" i="24"/>
  <c r="AI169" i="43"/>
  <c r="F37" i="15" s="1"/>
  <c r="AS24" i="27"/>
  <c r="AE59" i="23"/>
  <c r="AE84" i="23" s="1"/>
  <c r="AS132" i="22"/>
  <c r="AS47" i="27"/>
  <c r="AS39" i="30"/>
  <c r="AS11" i="27"/>
  <c r="AS87" i="22"/>
  <c r="AS33" i="26"/>
  <c r="AS86" i="22"/>
  <c r="AK203" i="43"/>
  <c r="AK178" i="43"/>
  <c r="AL178" i="43"/>
  <c r="AI190" i="43"/>
  <c r="AS117" i="43"/>
  <c r="AH175" i="43"/>
  <c r="AK55" i="43"/>
  <c r="AK160" i="43" s="1"/>
  <c r="AS55" i="43"/>
  <c r="AL160" i="43"/>
  <c r="AH169" i="43"/>
  <c r="AH20" i="43"/>
  <c r="AS20" i="43"/>
  <c r="AS74" i="27"/>
  <c r="AL162" i="43"/>
  <c r="AI222" i="43"/>
  <c r="AK220" i="43"/>
  <c r="AI189" i="43"/>
  <c r="AI221" i="43"/>
  <c r="AS113" i="43"/>
  <c r="AS49" i="27"/>
  <c r="AE50" i="23"/>
  <c r="AE75" i="23" s="1"/>
  <c r="AI69" i="30"/>
  <c r="AS131" i="22"/>
  <c r="AS27" i="27"/>
  <c r="AS18" i="22"/>
  <c r="AS73" i="22"/>
  <c r="AS112" i="22"/>
  <c r="AS143" i="22"/>
  <c r="AS22" i="22"/>
  <c r="AS22" i="27"/>
  <c r="AS51" i="30"/>
  <c r="AS108" i="22"/>
  <c r="AS25" i="22"/>
  <c r="AS129" i="22"/>
  <c r="AS145" i="22"/>
  <c r="AS26" i="30"/>
  <c r="AS34" i="30"/>
  <c r="AS21" i="30"/>
  <c r="AH207" i="43"/>
  <c r="AI207" i="43"/>
  <c r="AK222" i="43"/>
  <c r="AH222" i="43"/>
  <c r="AI202" i="43"/>
  <c r="AI187" i="43"/>
  <c r="AI206" i="43"/>
  <c r="AH221" i="43"/>
  <c r="G91" i="1"/>
  <c r="BI181" i="14" s="1"/>
  <c r="Q181" i="14" s="1"/>
  <c r="AK186" i="43"/>
  <c r="AS116" i="22"/>
  <c r="AS24" i="30"/>
  <c r="AS73" i="27"/>
  <c r="AS55" i="30"/>
  <c r="AS72" i="22"/>
  <c r="AS29" i="22"/>
  <c r="AS67" i="22"/>
  <c r="AS22" i="26"/>
  <c r="AS91" i="22"/>
  <c r="AS114" i="22"/>
  <c r="AS68" i="22"/>
  <c r="AS130" i="22"/>
  <c r="AS18" i="26"/>
  <c r="AS50" i="25"/>
  <c r="AS90" i="24"/>
  <c r="AK90" i="24"/>
  <c r="AI174" i="43"/>
  <c r="AK162" i="43"/>
  <c r="AH226" i="43"/>
  <c r="AI200" i="43"/>
  <c r="F68" i="15" s="1"/>
  <c r="AH186" i="43"/>
  <c r="AI186" i="43"/>
  <c r="AK202" i="43"/>
  <c r="AK169" i="43"/>
  <c r="AI219" i="43"/>
  <c r="AH206" i="43"/>
  <c r="AK207" i="43"/>
  <c r="D91" i="1"/>
  <c r="AL305" i="24"/>
  <c r="AS68" i="27"/>
  <c r="AS96" i="22"/>
  <c r="AS49" i="26"/>
  <c r="AS124" i="22"/>
  <c r="AS52" i="27"/>
  <c r="AS47" i="25"/>
  <c r="AS30" i="30"/>
  <c r="AS54" i="30"/>
  <c r="AS113" i="22"/>
  <c r="AS40" i="30"/>
  <c r="AS56" i="22"/>
  <c r="AS37" i="30"/>
  <c r="AS63" i="30"/>
  <c r="AH108" i="43"/>
  <c r="AH196" i="43" s="1"/>
  <c r="AS108" i="43"/>
  <c r="AK175" i="43"/>
  <c r="AK114" i="43"/>
  <c r="AS114" i="43"/>
  <c r="AH162" i="43"/>
  <c r="AI162" i="43"/>
  <c r="AK109" i="43"/>
  <c r="AS109" i="43"/>
  <c r="AH187" i="43"/>
  <c r="AI192" i="43"/>
  <c r="F60" i="15" s="1"/>
  <c r="AL175" i="43"/>
  <c r="AL219" i="43"/>
  <c r="AI226" i="43"/>
  <c r="AS57" i="43"/>
  <c r="AH57" i="43"/>
  <c r="AL194" i="43"/>
  <c r="AS47" i="43"/>
  <c r="AL190" i="43"/>
  <c r="AH203" i="43"/>
  <c r="AH53" i="43"/>
  <c r="AS53" i="43"/>
  <c r="AH220" i="43"/>
  <c r="AI220" i="43"/>
  <c r="AH26" i="43"/>
  <c r="AS26" i="43"/>
  <c r="AI152" i="43"/>
  <c r="AK174" i="43"/>
  <c r="AI188" i="43"/>
  <c r="AH31" i="24"/>
  <c r="AS31" i="24"/>
  <c r="AK191" i="43"/>
  <c r="AL191" i="43"/>
  <c r="AL222" i="43"/>
  <c r="AK173" i="43"/>
  <c r="Z9" i="24"/>
  <c r="AS176" i="43"/>
  <c r="AL221" i="43"/>
  <c r="AL174" i="43"/>
  <c r="AN261" i="22"/>
  <c r="AS41" i="25"/>
  <c r="AS61" i="26"/>
  <c r="AS13" i="26"/>
  <c r="AE190" i="27"/>
  <c r="R198" i="14"/>
  <c r="AK61" i="29"/>
  <c r="AS61" i="29"/>
  <c r="BP71" i="14"/>
  <c r="BP68" i="14"/>
  <c r="CW99" i="14"/>
  <c r="O99" i="14" s="1"/>
  <c r="BG147" i="14"/>
  <c r="BG151" i="14"/>
  <c r="CW144" i="14"/>
  <c r="CW14" i="14"/>
  <c r="O14" i="14" s="1"/>
  <c r="CZ102" i="14"/>
  <c r="R102" i="14" s="1"/>
  <c r="CZ36" i="14"/>
  <c r="CZ44" i="14"/>
  <c r="R44" i="14" s="1"/>
  <c r="CZ131" i="14"/>
  <c r="AH54" i="27"/>
  <c r="AS54" i="27"/>
  <c r="AH11" i="26"/>
  <c r="AS11" i="26"/>
  <c r="AK104" i="26"/>
  <c r="AS30" i="22"/>
  <c r="AS57" i="22"/>
  <c r="AS84" i="22"/>
  <c r="AS138" i="22"/>
  <c r="AH24" i="25"/>
  <c r="AS24" i="25"/>
  <c r="AH56" i="43"/>
  <c r="AH156" i="43" s="1"/>
  <c r="AI156" i="43"/>
  <c r="AH40" i="43"/>
  <c r="AS40" i="43"/>
  <c r="AS76" i="22"/>
  <c r="AS133" i="22"/>
  <c r="AS39" i="22"/>
  <c r="AS60" i="22"/>
  <c r="AS110" i="22"/>
  <c r="AH73" i="26"/>
  <c r="AS73" i="26"/>
  <c r="AS64" i="26"/>
  <c r="AK66" i="29"/>
  <c r="AS66" i="29"/>
  <c r="AH31" i="27"/>
  <c r="AS31" i="27"/>
  <c r="AH64" i="43"/>
  <c r="AS64" i="43"/>
  <c r="AH50" i="43"/>
  <c r="AS50" i="43"/>
  <c r="AS34" i="27"/>
  <c r="AS49" i="30"/>
  <c r="AS40" i="22"/>
  <c r="AS59" i="22"/>
  <c r="AS90" i="22"/>
  <c r="AS103" i="22"/>
  <c r="AS140" i="22"/>
  <c r="AS33" i="30"/>
  <c r="AS36" i="30"/>
  <c r="AS47" i="30"/>
  <c r="AS77" i="24"/>
  <c r="AK77" i="24"/>
  <c r="AH82" i="43"/>
  <c r="AS82" i="43"/>
  <c r="AS10" i="43"/>
  <c r="AH10" i="43"/>
  <c r="R63" i="14"/>
  <c r="R338" i="14" s="1"/>
  <c r="CZ338" i="14"/>
  <c r="AH29" i="26"/>
  <c r="AH105" i="26" s="1"/>
  <c r="AI105" i="26"/>
  <c r="AK144" i="29"/>
  <c r="AS144" i="29"/>
  <c r="CW16" i="14"/>
  <c r="O16" i="14" s="1"/>
  <c r="CW40" i="14"/>
  <c r="O40" i="14" s="1"/>
  <c r="BG68" i="14"/>
  <c r="BG71" i="14"/>
  <c r="CW67" i="14"/>
  <c r="CW45" i="14"/>
  <c r="O45" i="14" s="1"/>
  <c r="CZ100" i="14"/>
  <c r="R100" i="14" s="1"/>
  <c r="CZ93" i="14"/>
  <c r="R93" i="14" s="1"/>
  <c r="BJ68" i="14"/>
  <c r="CZ67" i="14"/>
  <c r="BJ71" i="14"/>
  <c r="CZ103" i="14"/>
  <c r="R103" i="14" s="1"/>
  <c r="CZ39" i="14"/>
  <c r="R39" i="14" s="1"/>
  <c r="AH44" i="43"/>
  <c r="AS44" i="43"/>
  <c r="AS43" i="30"/>
  <c r="AS18" i="27"/>
  <c r="AH18" i="27"/>
  <c r="AI162" i="30"/>
  <c r="AI175" i="30" s="1"/>
  <c r="AH19" i="30"/>
  <c r="AH162" i="30" s="1"/>
  <c r="H322" i="23" s="1"/>
  <c r="AS63" i="43"/>
  <c r="F63" i="18"/>
  <c r="AS12" i="22"/>
  <c r="AH10" i="25"/>
  <c r="AS10" i="25"/>
  <c r="AS58" i="27"/>
  <c r="AH58" i="27"/>
  <c r="CT223" i="14"/>
  <c r="CT330" i="14"/>
  <c r="CT21" i="14"/>
  <c r="CT31" i="14" s="1"/>
  <c r="CT34" i="14" s="1"/>
  <c r="CT156" i="14" s="1"/>
  <c r="CT163" i="14" s="1"/>
  <c r="AS118" i="22"/>
  <c r="AS60" i="25"/>
  <c r="AH45" i="26"/>
  <c r="AS45" i="26"/>
  <c r="AK257" i="22"/>
  <c r="AK256" i="22"/>
  <c r="AS57" i="27"/>
  <c r="AS32" i="25"/>
  <c r="AK77" i="43"/>
  <c r="AS77" i="43"/>
  <c r="Q347" i="23"/>
  <c r="BL110" i="14" s="1"/>
  <c r="R347" i="23"/>
  <c r="Y347" i="23"/>
  <c r="O347" i="23"/>
  <c r="BF110" i="14" s="1"/>
  <c r="T347" i="23"/>
  <c r="BU110" i="14" s="1"/>
  <c r="AC110" i="14" s="1"/>
  <c r="P347" i="23"/>
  <c r="BI110" i="14" s="1"/>
  <c r="S347" i="23"/>
  <c r="BR110" i="14" s="1"/>
  <c r="Z347" i="23"/>
  <c r="AS63" i="26"/>
  <c r="AK85" i="29"/>
  <c r="AS85" i="29"/>
  <c r="AK73" i="29"/>
  <c r="AS73" i="29"/>
  <c r="AS17" i="22"/>
  <c r="AS70" i="22"/>
  <c r="AS115" i="22"/>
  <c r="AS40" i="25"/>
  <c r="AK130" i="29"/>
  <c r="AS130" i="29"/>
  <c r="AS23" i="30"/>
  <c r="AS42" i="30"/>
  <c r="AS61" i="30"/>
  <c r="AS56" i="43"/>
  <c r="AS156" i="43" s="1"/>
  <c r="AH83" i="43"/>
  <c r="AS83" i="43"/>
  <c r="AS25" i="43"/>
  <c r="AS51" i="25"/>
  <c r="AS23" i="25"/>
  <c r="AS41" i="26"/>
  <c r="AS74" i="26"/>
  <c r="AS40" i="27"/>
  <c r="CZ194" i="14"/>
  <c r="R193" i="14"/>
  <c r="CZ231" i="14"/>
  <c r="DE129" i="14"/>
  <c r="DZ129" i="14" s="1"/>
  <c r="AH12" i="25"/>
  <c r="AS12" i="25"/>
  <c r="AK96" i="29"/>
  <c r="AS96" i="29"/>
  <c r="BS68" i="14"/>
  <c r="BS71" i="14"/>
  <c r="BM71" i="14"/>
  <c r="DC71" i="14" s="1"/>
  <c r="U71" i="14" s="1"/>
  <c r="BM68" i="14"/>
  <c r="DC67" i="14"/>
  <c r="CW97" i="14"/>
  <c r="O97" i="14" s="1"/>
  <c r="CW42" i="14"/>
  <c r="O42" i="14" s="1"/>
  <c r="BV71" i="14"/>
  <c r="BV68" i="14"/>
  <c r="CW102" i="14"/>
  <c r="O102" i="14" s="1"/>
  <c r="CZ147" i="14"/>
  <c r="R147" i="14" s="1"/>
  <c r="CZ151" i="14"/>
  <c r="R151" i="14" s="1"/>
  <c r="CZ144" i="14"/>
  <c r="R144" i="14" s="1"/>
  <c r="CW38" i="14"/>
  <c r="O38" i="14" s="1"/>
  <c r="CW44" i="14"/>
  <c r="O44" i="14" s="1"/>
  <c r="CZ41" i="14"/>
  <c r="R41" i="14" s="1"/>
  <c r="CZ45" i="14"/>
  <c r="R45" i="14" s="1"/>
  <c r="CZ18" i="14"/>
  <c r="R18" i="14" s="1"/>
  <c r="AK105" i="29"/>
  <c r="AS105" i="29"/>
  <c r="AS15" i="30"/>
  <c r="AS73" i="30" s="1"/>
  <c r="AH15" i="30"/>
  <c r="AH73" i="30" s="1"/>
  <c r="AH66" i="43"/>
  <c r="AS66" i="43"/>
  <c r="AH52" i="43"/>
  <c r="AS52" i="43"/>
  <c r="AK92" i="29"/>
  <c r="AS92" i="29"/>
  <c r="AS69" i="27"/>
  <c r="AS41" i="43"/>
  <c r="AH13" i="43"/>
  <c r="AS13" i="43"/>
  <c r="AS30" i="27"/>
  <c r="AS55" i="22"/>
  <c r="AS63" i="22"/>
  <c r="AH23" i="24"/>
  <c r="AS23" i="24"/>
  <c r="AI305" i="24"/>
  <c r="AH62" i="43"/>
  <c r="AS62" i="43"/>
  <c r="AS48" i="43"/>
  <c r="AH48" i="43"/>
  <c r="AS54" i="25"/>
  <c r="AS52" i="25"/>
  <c r="AK162" i="30"/>
  <c r="I322" i="23" s="1"/>
  <c r="CW41" i="14"/>
  <c r="O41" i="14" s="1"/>
  <c r="CW100" i="14"/>
  <c r="O100" i="14" s="1"/>
  <c r="CW46" i="14"/>
  <c r="O46" i="14" s="1"/>
  <c r="CZ38" i="14"/>
  <c r="R38" i="14" s="1"/>
  <c r="CZ46" i="14"/>
  <c r="R46" i="14" s="1"/>
  <c r="CZ40" i="14"/>
  <c r="R40" i="14" s="1"/>
  <c r="CZ91" i="14"/>
  <c r="R91" i="14" s="1"/>
  <c r="CZ13" i="14"/>
  <c r="AH15" i="27"/>
  <c r="AS15" i="27"/>
  <c r="AH81" i="24"/>
  <c r="AS81" i="24"/>
  <c r="AS70" i="43"/>
  <c r="AH70" i="43"/>
  <c r="AH34" i="43"/>
  <c r="AH236" i="43" s="1"/>
  <c r="AI236" i="43"/>
  <c r="AS34" i="43"/>
  <c r="AS236" i="43" s="1"/>
  <c r="DF4" i="14"/>
  <c r="AF8" i="23"/>
  <c r="AE52" i="23"/>
  <c r="AE77" i="23" s="1"/>
  <c r="AS10" i="22"/>
  <c r="AK10" i="22"/>
  <c r="AK215" i="22" s="1"/>
  <c r="AL254" i="22"/>
  <c r="F103" i="15" s="1"/>
  <c r="AL153" i="22"/>
  <c r="AS18" i="43"/>
  <c r="F35" i="18"/>
  <c r="AH65" i="25"/>
  <c r="AS65" i="25"/>
  <c r="AS26" i="27"/>
  <c r="AK139" i="43"/>
  <c r="AH23" i="27"/>
  <c r="AS23" i="27"/>
  <c r="AS45" i="25"/>
  <c r="AH11" i="22"/>
  <c r="AI256" i="22"/>
  <c r="AI257" i="22"/>
  <c r="AS60" i="26"/>
  <c r="AS21" i="22"/>
  <c r="AS79" i="22"/>
  <c r="AS99" i="22"/>
  <c r="AS111" i="22"/>
  <c r="AS119" i="22"/>
  <c r="AS144" i="22"/>
  <c r="AS9" i="43"/>
  <c r="AH36" i="43"/>
  <c r="AS36" i="43"/>
  <c r="AI148" i="43"/>
  <c r="Z250" i="24"/>
  <c r="T253" i="24"/>
  <c r="W253" i="24"/>
  <c r="AO253" i="24" s="1"/>
  <c r="AN253" i="24" s="1"/>
  <c r="V253" i="24"/>
  <c r="AL253" i="24" s="1"/>
  <c r="AH250" i="24"/>
  <c r="AS250" i="24"/>
  <c r="AQ175" i="30"/>
  <c r="K321" i="23"/>
  <c r="K333" i="23" s="1"/>
  <c r="Z43" i="14"/>
  <c r="BR48" i="14"/>
  <c r="AK69" i="30"/>
  <c r="AK73" i="30"/>
  <c r="N43" i="14"/>
  <c r="N48" i="14" s="1"/>
  <c r="BF48" i="14"/>
  <c r="BL48" i="14"/>
  <c r="T43" i="14"/>
  <c r="BU48" i="14"/>
  <c r="AC43" i="14"/>
  <c r="AC48" i="14" s="1"/>
  <c r="AQ69" i="30"/>
  <c r="W43" i="14"/>
  <c r="BO48" i="14"/>
  <c r="Q43" i="14"/>
  <c r="BI48" i="14"/>
  <c r="AC185" i="23"/>
  <c r="W249" i="24"/>
  <c r="AO249" i="24" s="1"/>
  <c r="Z247" i="24"/>
  <c r="AI247" i="24"/>
  <c r="Z245" i="24"/>
  <c r="AI245" i="24"/>
  <c r="AK14" i="43"/>
  <c r="AS14" i="43"/>
  <c r="AK12" i="43"/>
  <c r="I158" i="15" a="1"/>
  <c r="I158" i="15" s="1"/>
  <c r="K39" i="23"/>
  <c r="K76" i="15"/>
  <c r="AC182" i="23"/>
  <c r="M21" i="23"/>
  <c r="I156" i="15" a="1"/>
  <c r="I156" i="15" s="1"/>
  <c r="I159" i="15" a="1"/>
  <c r="I159" i="15" s="1"/>
  <c r="I153" i="15" a="1"/>
  <c r="I153" i="15" s="1"/>
  <c r="AH45" i="27"/>
  <c r="AI116" i="27"/>
  <c r="AH20" i="27"/>
  <c r="AS20" i="27"/>
  <c r="AC181" i="23"/>
  <c r="AH25" i="27"/>
  <c r="AS25" i="27"/>
  <c r="AE82" i="27"/>
  <c r="F29" i="23" s="1"/>
  <c r="AF190" i="27"/>
  <c r="AS33" i="27"/>
  <c r="AH33" i="27"/>
  <c r="AH46" i="27"/>
  <c r="AS46" i="27"/>
  <c r="AK10" i="27"/>
  <c r="AS10" i="27"/>
  <c r="AL82" i="27"/>
  <c r="AH36" i="27"/>
  <c r="AH97" i="27" s="1"/>
  <c r="AS36" i="27"/>
  <c r="AI97" i="27"/>
  <c r="AS13" i="27"/>
  <c r="AH13" i="27"/>
  <c r="AH29" i="27"/>
  <c r="AH105" i="27" s="1"/>
  <c r="AI105" i="27"/>
  <c r="AS41" i="27"/>
  <c r="AH41" i="27"/>
  <c r="AH35" i="27"/>
  <c r="AI106" i="27"/>
  <c r="AK38" i="27"/>
  <c r="AS38" i="27"/>
  <c r="AS62" i="27"/>
  <c r="AK62" i="27"/>
  <c r="AK116" i="27" s="1"/>
  <c r="AK190" i="27" s="1"/>
  <c r="AH48" i="27"/>
  <c r="AS48" i="27"/>
  <c r="AL116" i="27"/>
  <c r="AL190" i="27" s="1"/>
  <c r="AH32" i="27"/>
  <c r="AS32" i="27"/>
  <c r="AI104" i="27"/>
  <c r="AH71" i="27"/>
  <c r="AS71" i="27"/>
  <c r="AH37" i="27"/>
  <c r="AS37" i="27"/>
  <c r="AS35" i="27"/>
  <c r="AH72" i="27"/>
  <c r="AS72" i="27"/>
  <c r="AS45" i="27"/>
  <c r="AI87" i="27"/>
  <c r="AS12" i="27"/>
  <c r="AI82" i="27"/>
  <c r="AH12" i="27"/>
  <c r="AH60" i="27"/>
  <c r="AS60" i="27"/>
  <c r="AH21" i="27"/>
  <c r="AH86" i="27" s="1"/>
  <c r="AI86" i="27"/>
  <c r="AH16" i="27"/>
  <c r="AS16" i="27"/>
  <c r="AH59" i="27"/>
  <c r="AS59" i="27"/>
  <c r="AH44" i="27"/>
  <c r="AS44" i="27"/>
  <c r="AH17" i="27"/>
  <c r="AH98" i="27" s="1"/>
  <c r="AS17" i="27"/>
  <c r="AS98" i="27" s="1"/>
  <c r="AI98" i="27"/>
  <c r="AD181" i="23"/>
  <c r="AS28" i="27"/>
  <c r="AH28" i="27"/>
  <c r="AH96" i="27" s="1"/>
  <c r="AI96" i="27"/>
  <c r="AH56" i="27"/>
  <c r="AS56" i="27"/>
  <c r="AS55" i="27"/>
  <c r="AH55" i="27"/>
  <c r="AH9" i="27"/>
  <c r="AS9" i="27"/>
  <c r="AH48" i="26"/>
  <c r="AS48" i="26"/>
  <c r="AS10" i="26"/>
  <c r="AK10" i="26"/>
  <c r="AL82" i="26"/>
  <c r="AH19" i="26"/>
  <c r="AS19" i="26"/>
  <c r="AS58" i="26"/>
  <c r="AH58" i="26"/>
  <c r="AH26" i="26"/>
  <c r="AS26" i="26"/>
  <c r="AS69" i="26"/>
  <c r="AK69" i="26"/>
  <c r="AS47" i="26"/>
  <c r="AK47" i="26"/>
  <c r="AL116" i="26"/>
  <c r="AS27" i="26"/>
  <c r="AK27" i="26"/>
  <c r="AK96" i="26" s="1"/>
  <c r="AL96" i="26"/>
  <c r="AS70" i="26"/>
  <c r="AH38" i="26"/>
  <c r="AS38" i="26"/>
  <c r="AK57" i="26"/>
  <c r="AS57" i="26"/>
  <c r="AH32" i="26"/>
  <c r="AH104" i="26" s="1"/>
  <c r="AI104" i="26"/>
  <c r="AS32" i="26"/>
  <c r="AI87" i="26"/>
  <c r="AH12" i="26"/>
  <c r="AS12" i="26"/>
  <c r="AE190" i="26"/>
  <c r="AS40" i="26"/>
  <c r="AH40" i="26"/>
  <c r="AH28" i="26"/>
  <c r="AS28" i="26"/>
  <c r="AJ96" i="26"/>
  <c r="AJ190" i="26" s="1"/>
  <c r="AJ82" i="26"/>
  <c r="I19" i="23" s="1"/>
  <c r="AS15" i="26"/>
  <c r="AK34" i="26"/>
  <c r="AS34" i="26"/>
  <c r="AH23" i="26"/>
  <c r="AS23" i="26"/>
  <c r="AH71" i="26"/>
  <c r="AS71" i="26"/>
  <c r="AH35" i="26"/>
  <c r="AH106" i="26" s="1"/>
  <c r="AI106" i="26"/>
  <c r="AS35" i="26"/>
  <c r="AH59" i="26"/>
  <c r="AS59" i="26"/>
  <c r="AG96" i="26"/>
  <c r="AG190" i="26" s="1"/>
  <c r="AG82" i="26"/>
  <c r="H19" i="23" s="1"/>
  <c r="AS46" i="26"/>
  <c r="AI116" i="26"/>
  <c r="AH46" i="26"/>
  <c r="AH44" i="26"/>
  <c r="AS44" i="26"/>
  <c r="AK30" i="26"/>
  <c r="AK97" i="26" s="1"/>
  <c r="AS30" i="26"/>
  <c r="AL97" i="26"/>
  <c r="AE82" i="26"/>
  <c r="F28" i="23" s="1"/>
  <c r="AK54" i="26"/>
  <c r="AS54" i="26"/>
  <c r="AC180" i="23"/>
  <c r="AI98" i="26"/>
  <c r="AH17" i="26"/>
  <c r="AH98" i="26" s="1"/>
  <c r="AI96" i="26"/>
  <c r="AH27" i="26"/>
  <c r="AK72" i="26"/>
  <c r="AS72" i="26"/>
  <c r="AK14" i="26"/>
  <c r="AS14" i="26"/>
  <c r="AH36" i="26"/>
  <c r="AH97" i="26" s="1"/>
  <c r="AS36" i="26"/>
  <c r="AI97" i="26"/>
  <c r="AF190" i="26"/>
  <c r="AH50" i="26"/>
  <c r="AS50" i="26"/>
  <c r="AS16" i="26"/>
  <c r="AH16" i="26"/>
  <c r="AH62" i="26"/>
  <c r="AS62" i="26"/>
  <c r="AK68" i="25"/>
  <c r="AS68" i="25"/>
  <c r="AK53" i="25"/>
  <c r="AS53" i="25"/>
  <c r="AS31" i="25"/>
  <c r="AH31" i="25"/>
  <c r="AH101" i="25" s="1"/>
  <c r="AI101" i="25"/>
  <c r="AS44" i="25"/>
  <c r="AF187" i="25"/>
  <c r="AS17" i="25"/>
  <c r="AS95" i="25" s="1"/>
  <c r="AL95" i="25"/>
  <c r="AK17" i="25"/>
  <c r="AK95" i="25" s="1"/>
  <c r="AH11" i="25"/>
  <c r="AS11" i="25"/>
  <c r="AH37" i="25"/>
  <c r="AS37" i="25"/>
  <c r="AJ93" i="25"/>
  <c r="AJ187" i="25" s="1"/>
  <c r="AJ79" i="25"/>
  <c r="I18" i="23" s="1"/>
  <c r="AH19" i="25"/>
  <c r="AS19" i="25"/>
  <c r="AS49" i="25"/>
  <c r="AK49" i="25"/>
  <c r="AI93" i="25"/>
  <c r="AH27" i="25"/>
  <c r="AH93" i="25" s="1"/>
  <c r="AH35" i="25"/>
  <c r="AI103" i="25"/>
  <c r="AS69" i="25"/>
  <c r="AH46" i="25"/>
  <c r="AI112" i="25"/>
  <c r="F35" i="15" s="1"/>
  <c r="AL84" i="25"/>
  <c r="AK13" i="25"/>
  <c r="AS13" i="25"/>
  <c r="AL79" i="25"/>
  <c r="AI84" i="25"/>
  <c r="AS15" i="25"/>
  <c r="AH15" i="25"/>
  <c r="AS25" i="25"/>
  <c r="AE187" i="25"/>
  <c r="AS28" i="25"/>
  <c r="AS48" i="25"/>
  <c r="AI102" i="25"/>
  <c r="AH29" i="25"/>
  <c r="AH102" i="25" s="1"/>
  <c r="AS29" i="25"/>
  <c r="AS102" i="25" s="1"/>
  <c r="AE79" i="25"/>
  <c r="F27" i="23" s="1"/>
  <c r="AH57" i="25"/>
  <c r="AS57" i="25"/>
  <c r="AH22" i="25"/>
  <c r="AS22" i="25"/>
  <c r="AS35" i="25"/>
  <c r="AL112" i="25"/>
  <c r="AK58" i="25"/>
  <c r="AS58" i="25"/>
  <c r="AG93" i="25"/>
  <c r="AG187" i="25" s="1"/>
  <c r="AG79" i="25"/>
  <c r="H18" i="23" s="1"/>
  <c r="M18" i="23" s="1"/>
  <c r="AI94" i="25"/>
  <c r="AH30" i="25"/>
  <c r="AH94" i="25" s="1"/>
  <c r="AS39" i="25"/>
  <c r="AK39" i="25"/>
  <c r="AH63" i="25"/>
  <c r="AS63" i="25"/>
  <c r="AS61" i="25"/>
  <c r="AK61" i="25"/>
  <c r="AK62" i="25"/>
  <c r="AS62" i="25"/>
  <c r="AK38" i="25"/>
  <c r="AS38" i="25"/>
  <c r="AS34" i="25"/>
  <c r="AS55" i="25"/>
  <c r="AH66" i="25"/>
  <c r="AS66" i="25"/>
  <c r="AH59" i="25"/>
  <c r="AS59" i="25"/>
  <c r="AS27" i="25"/>
  <c r="AK27" i="25"/>
  <c r="AK93" i="25" s="1"/>
  <c r="AL93" i="25"/>
  <c r="AD193" i="23"/>
  <c r="AC193" i="23"/>
  <c r="AH9" i="25"/>
  <c r="AS9" i="25"/>
  <c r="I112" i="15"/>
  <c r="I152" i="15" a="1"/>
  <c r="I152" i="15" s="1"/>
  <c r="I154" i="15" a="1"/>
  <c r="I154" i="15" s="1"/>
  <c r="AF369" i="24"/>
  <c r="AH205" i="24"/>
  <c r="AH289" i="24" s="1"/>
  <c r="AI289" i="24"/>
  <c r="AS205" i="24"/>
  <c r="I161" i="15" a="1"/>
  <c r="I161" i="15" s="1"/>
  <c r="I160" i="15" a="1"/>
  <c r="I160" i="15" s="1"/>
  <c r="AK232" i="24"/>
  <c r="AK313" i="24" s="1"/>
  <c r="AS232" i="24"/>
  <c r="AS313" i="24" s="1"/>
  <c r="AL313" i="24"/>
  <c r="AH199" i="24"/>
  <c r="AH297" i="24" s="1"/>
  <c r="AI297" i="24"/>
  <c r="AS199" i="24"/>
  <c r="AK200" i="24"/>
  <c r="AS200" i="24"/>
  <c r="AL297" i="24"/>
  <c r="I155" i="15" a="1"/>
  <c r="I155" i="15" s="1"/>
  <c r="I157" i="15" a="1"/>
  <c r="I157" i="15" s="1"/>
  <c r="AS226" i="24"/>
  <c r="AK226" i="24"/>
  <c r="AK289" i="24" s="1"/>
  <c r="AL289" i="24"/>
  <c r="AK204" i="24"/>
  <c r="AS204" i="24"/>
  <c r="AS190" i="24"/>
  <c r="AS307" i="24" s="1"/>
  <c r="AK190" i="24"/>
  <c r="AK307" i="24" s="1"/>
  <c r="AH173" i="24"/>
  <c r="AH276" i="24" s="1"/>
  <c r="AS173" i="24"/>
  <c r="AS276" i="24" s="1"/>
  <c r="AK188" i="24"/>
  <c r="AS188" i="24"/>
  <c r="AK155" i="24"/>
  <c r="AS155" i="24"/>
  <c r="AK166" i="24"/>
  <c r="AS166" i="24"/>
  <c r="AK163" i="24"/>
  <c r="AS163" i="24"/>
  <c r="AS147" i="24"/>
  <c r="AK147" i="24"/>
  <c r="AL267" i="24"/>
  <c r="AS74" i="24"/>
  <c r="AK74" i="24"/>
  <c r="AK63" i="24"/>
  <c r="AS63" i="24"/>
  <c r="AK82" i="24"/>
  <c r="AS82" i="24"/>
  <c r="AK64" i="24"/>
  <c r="AS64" i="24"/>
  <c r="AS124" i="24"/>
  <c r="AK124" i="24"/>
  <c r="AK126" i="24"/>
  <c r="AS126" i="24"/>
  <c r="AK266" i="24"/>
  <c r="AE266" i="24"/>
  <c r="AE369" i="24" s="1"/>
  <c r="AE261" i="24"/>
  <c r="F26" i="23" s="1"/>
  <c r="AH43" i="43"/>
  <c r="AS43" i="43"/>
  <c r="AH81" i="43"/>
  <c r="AS81" i="43"/>
  <c r="AH15" i="43"/>
  <c r="AS15" i="43"/>
  <c r="AI238" i="43"/>
  <c r="AI237" i="43"/>
  <c r="AH45" i="43"/>
  <c r="AS45" i="43"/>
  <c r="AH74" i="43"/>
  <c r="AI143" i="43"/>
  <c r="AS74" i="43"/>
  <c r="AH75" i="43"/>
  <c r="AS75" i="43"/>
  <c r="AH23" i="43"/>
  <c r="AS23" i="43"/>
  <c r="AH78" i="43"/>
  <c r="AS78" i="43"/>
  <c r="AH27" i="43"/>
  <c r="AS27" i="43"/>
  <c r="AK71" i="43"/>
  <c r="AS71" i="43"/>
  <c r="AF242" i="43"/>
  <c r="AH21" i="43"/>
  <c r="AS21" i="43"/>
  <c r="AH24" i="43"/>
  <c r="AH145" i="43" s="1"/>
  <c r="AI145" i="43"/>
  <c r="AS24" i="43"/>
  <c r="AE134" i="43"/>
  <c r="F31" i="23" s="1"/>
  <c r="AE237" i="43"/>
  <c r="AE238" i="43"/>
  <c r="AH19" i="43"/>
  <c r="AS19" i="43"/>
  <c r="AH51" i="43"/>
  <c r="AI158" i="43"/>
  <c r="AS51" i="43"/>
  <c r="AH58" i="43"/>
  <c r="AS58" i="43"/>
  <c r="AH68" i="43"/>
  <c r="AS68" i="43"/>
  <c r="AH80" i="43"/>
  <c r="AS80" i="43"/>
  <c r="AH42" i="43"/>
  <c r="AI163" i="43"/>
  <c r="AH28" i="43"/>
  <c r="AS28" i="43"/>
  <c r="AI155" i="43"/>
  <c r="F23" i="15" s="1"/>
  <c r="AH72" i="43"/>
  <c r="AS72" i="43"/>
  <c r="AH37" i="43"/>
  <c r="AS37" i="43"/>
  <c r="AH31" i="43"/>
  <c r="AI153" i="43"/>
  <c r="F21" i="15" s="1"/>
  <c r="AH79" i="43"/>
  <c r="AS79" i="43"/>
  <c r="AH76" i="43"/>
  <c r="AS76" i="43"/>
  <c r="AS42" i="43"/>
  <c r="AH17" i="43"/>
  <c r="AS17" i="43"/>
  <c r="AH16" i="43"/>
  <c r="AS16" i="43"/>
  <c r="AI139" i="43"/>
  <c r="AS46" i="43"/>
  <c r="AH29" i="43"/>
  <c r="AS29" i="43"/>
  <c r="AS35" i="43"/>
  <c r="AI142" i="43"/>
  <c r="AS67" i="43"/>
  <c r="AH69" i="43"/>
  <c r="AS69" i="43"/>
  <c r="AI182" i="43"/>
  <c r="AO134" i="43"/>
  <c r="AO182" i="43"/>
  <c r="AK11" i="43"/>
  <c r="AL138" i="43"/>
  <c r="AS11" i="43"/>
  <c r="AL134" i="43"/>
  <c r="M136" i="23"/>
  <c r="AJ134" i="43"/>
  <c r="I22" i="23" s="1"/>
  <c r="AJ138" i="43"/>
  <c r="AJ242" i="43" s="1"/>
  <c r="AH59" i="43"/>
  <c r="AS59" i="43"/>
  <c r="AH61" i="43"/>
  <c r="AS61" i="43"/>
  <c r="AL182" i="43"/>
  <c r="S14" i="7"/>
  <c r="D3" i="11"/>
  <c r="D28" i="11"/>
  <c r="S36" i="7"/>
  <c r="F56" i="15" l="1"/>
  <c r="DC125" i="14"/>
  <c r="U125" i="14" s="1"/>
  <c r="DC178" i="14"/>
  <c r="U178" i="14" s="1"/>
  <c r="DC16" i="14"/>
  <c r="U16" i="14" s="1"/>
  <c r="AS215" i="22"/>
  <c r="T9" i="22"/>
  <c r="AH215" i="22"/>
  <c r="AS225" i="22"/>
  <c r="BD313" i="14"/>
  <c r="BD319" i="14" s="1"/>
  <c r="BD341" i="14"/>
  <c r="L199" i="14"/>
  <c r="BD232" i="14"/>
  <c r="BD201" i="14"/>
  <c r="AS254" i="22"/>
  <c r="DC92" i="14"/>
  <c r="U92" i="14" s="1"/>
  <c r="DC59" i="14"/>
  <c r="U59" i="14" s="1"/>
  <c r="DC36" i="14"/>
  <c r="U36" i="14" s="1"/>
  <c r="DC56" i="14"/>
  <c r="U56" i="14" s="1"/>
  <c r="DC15" i="14"/>
  <c r="U15" i="14" s="1"/>
  <c r="DC131" i="14"/>
  <c r="U131" i="14" s="1"/>
  <c r="DC93" i="14"/>
  <c r="U93" i="14" s="1"/>
  <c r="DC17" i="14"/>
  <c r="U17" i="14" s="1"/>
  <c r="DC57" i="14"/>
  <c r="U57" i="14" s="1"/>
  <c r="DC45" i="14"/>
  <c r="U45" i="14" s="1"/>
  <c r="DC28" i="14"/>
  <c r="U28" i="14" s="1"/>
  <c r="DC145" i="14"/>
  <c r="U145" i="14" s="1"/>
  <c r="DC149" i="14"/>
  <c r="U149" i="14" s="1"/>
  <c r="DF145" i="14"/>
  <c r="X145" i="14" s="1"/>
  <c r="DF149" i="14"/>
  <c r="X149" i="14" s="1"/>
  <c r="B82" i="24"/>
  <c r="B84" i="24" s="1"/>
  <c r="B85" i="24" s="1"/>
  <c r="B87" i="24" s="1"/>
  <c r="B88" i="24" s="1"/>
  <c r="B89" i="24" s="1"/>
  <c r="B90" i="24" s="1"/>
  <c r="B92" i="24" s="1"/>
  <c r="B93" i="24" s="1"/>
  <c r="B94" i="24" s="1"/>
  <c r="B95" i="24" s="1"/>
  <c r="DC109" i="14"/>
  <c r="U109" i="14" s="1"/>
  <c r="DC19" i="14"/>
  <c r="U19" i="14" s="1"/>
  <c r="DC40" i="14"/>
  <c r="U40" i="14" s="1"/>
  <c r="DC18" i="14"/>
  <c r="U18" i="14" s="1"/>
  <c r="DC127" i="14"/>
  <c r="U127" i="14" s="1"/>
  <c r="DC193" i="14"/>
  <c r="DC231" i="14" s="1"/>
  <c r="DC30" i="14"/>
  <c r="U30" i="14" s="1"/>
  <c r="DC107" i="14"/>
  <c r="U107" i="14" s="1"/>
  <c r="DC119" i="14"/>
  <c r="U119" i="14" s="1"/>
  <c r="DC100" i="14"/>
  <c r="U100" i="14" s="1"/>
  <c r="DC38" i="14"/>
  <c r="U38" i="14" s="1"/>
  <c r="DC99" i="14"/>
  <c r="U99" i="14" s="1"/>
  <c r="DC183" i="14"/>
  <c r="DC106" i="14"/>
  <c r="U106" i="14" s="1"/>
  <c r="DC112" i="14"/>
  <c r="U112" i="14" s="1"/>
  <c r="DC116" i="14"/>
  <c r="U116" i="14" s="1"/>
  <c r="DC124" i="14"/>
  <c r="U124" i="14" s="1"/>
  <c r="DC63" i="14"/>
  <c r="U63" i="14" s="1"/>
  <c r="U338" i="14" s="1"/>
  <c r="DC144" i="14"/>
  <c r="U144" i="14" s="1"/>
  <c r="DC91" i="14"/>
  <c r="U91" i="14" s="1"/>
  <c r="DC118" i="14"/>
  <c r="U118" i="14" s="1"/>
  <c r="DC39" i="14"/>
  <c r="U39" i="14" s="1"/>
  <c r="DC102" i="14"/>
  <c r="U102" i="14" s="1"/>
  <c r="DC50" i="14"/>
  <c r="U50" i="14" s="1"/>
  <c r="DC58" i="14"/>
  <c r="U58" i="14" s="1"/>
  <c r="DC135" i="14"/>
  <c r="U135" i="14" s="1"/>
  <c r="DC198" i="14"/>
  <c r="U198" i="14" s="1"/>
  <c r="DC200" i="14"/>
  <c r="U200" i="14" s="1"/>
  <c r="DC46" i="14"/>
  <c r="U46" i="14" s="1"/>
  <c r="DC103" i="14"/>
  <c r="U103" i="14" s="1"/>
  <c r="DC53" i="14"/>
  <c r="U53" i="14" s="1"/>
  <c r="DC148" i="14"/>
  <c r="U148" i="14" s="1"/>
  <c r="DC138" i="14"/>
  <c r="U138" i="14" s="1"/>
  <c r="DC153" i="14"/>
  <c r="U153" i="14" s="1"/>
  <c r="DC117" i="14"/>
  <c r="U117" i="14" s="1"/>
  <c r="DC52" i="14"/>
  <c r="U52" i="14" s="1"/>
  <c r="DC14" i="14"/>
  <c r="U14" i="14" s="1"/>
  <c r="DC20" i="14"/>
  <c r="U20" i="14" s="1"/>
  <c r="DC96" i="14"/>
  <c r="U96" i="14" s="1"/>
  <c r="DC108" i="14"/>
  <c r="U108" i="14" s="1"/>
  <c r="DC150" i="14"/>
  <c r="DC140" i="14"/>
  <c r="U140" i="14" s="1"/>
  <c r="DC37" i="14"/>
  <c r="U37" i="14" s="1"/>
  <c r="DC41" i="14"/>
  <c r="U41" i="14" s="1"/>
  <c r="DC29" i="14"/>
  <c r="U29" i="14" s="1"/>
  <c r="DC115" i="14"/>
  <c r="U115" i="14" s="1"/>
  <c r="DC175" i="14"/>
  <c r="U175" i="14" s="1"/>
  <c r="DC180" i="14"/>
  <c r="DC146" i="14"/>
  <c r="DC60" i="14"/>
  <c r="U60" i="14" s="1"/>
  <c r="DC97" i="14"/>
  <c r="U97" i="14" s="1"/>
  <c r="DC42" i="14"/>
  <c r="U42" i="14" s="1"/>
  <c r="DC47" i="14"/>
  <c r="U47" i="14" s="1"/>
  <c r="DC44" i="14"/>
  <c r="U44" i="14" s="1"/>
  <c r="DC90" i="14"/>
  <c r="U90" i="14" s="1"/>
  <c r="DC184" i="14"/>
  <c r="U184" i="14" s="1"/>
  <c r="DC179" i="14"/>
  <c r="U179" i="14" s="1"/>
  <c r="DC123" i="14"/>
  <c r="U123" i="14" s="1"/>
  <c r="DC113" i="14"/>
  <c r="U113" i="14" s="1"/>
  <c r="DC54" i="14"/>
  <c r="U54" i="14" s="1"/>
  <c r="DC51" i="14"/>
  <c r="U51" i="14" s="1"/>
  <c r="DC13" i="14"/>
  <c r="U13" i="14" s="1"/>
  <c r="F57" i="15"/>
  <c r="K57" i="15" s="1"/>
  <c r="F10" i="15"/>
  <c r="K10" i="15" s="1"/>
  <c r="M10" i="15" s="1"/>
  <c r="AK238" i="43"/>
  <c r="F74" i="15"/>
  <c r="K74" i="15" s="1"/>
  <c r="AK187" i="43"/>
  <c r="F55" i="15"/>
  <c r="K55" i="15" s="1"/>
  <c r="AK194" i="43"/>
  <c r="AK226" i="43"/>
  <c r="AK190" i="43"/>
  <c r="F59" i="15"/>
  <c r="K59" i="15" s="1"/>
  <c r="AK218" i="43"/>
  <c r="F87" i="15"/>
  <c r="K87" i="15" s="1"/>
  <c r="F54" i="15"/>
  <c r="K54" i="15" s="1"/>
  <c r="F58" i="15"/>
  <c r="K58" i="15" s="1"/>
  <c r="F62" i="15"/>
  <c r="K62" i="15" s="1"/>
  <c r="F42" i="15"/>
  <c r="K42" i="15" s="1"/>
  <c r="F89" i="15"/>
  <c r="K89" i="15" s="1"/>
  <c r="F28" i="15"/>
  <c r="K28" i="15" s="1"/>
  <c r="F90" i="15"/>
  <c r="K90" i="15" s="1"/>
  <c r="F43" i="15"/>
  <c r="K43" i="15" s="1"/>
  <c r="F50" i="15"/>
  <c r="BY172" i="14"/>
  <c r="BY171" i="14"/>
  <c r="CE172" i="14"/>
  <c r="CE171" i="14"/>
  <c r="CH172" i="14"/>
  <c r="CH171" i="14"/>
  <c r="CB172" i="14"/>
  <c r="CB171" i="14"/>
  <c r="U67" i="14"/>
  <c r="R67" i="14"/>
  <c r="R36" i="14"/>
  <c r="O90" i="14"/>
  <c r="R13" i="14"/>
  <c r="DF67" i="14"/>
  <c r="DF70" i="14"/>
  <c r="X70" i="14" s="1"/>
  <c r="DI69" i="14"/>
  <c r="AA69" i="14" s="1"/>
  <c r="DI70" i="14"/>
  <c r="F18" i="15"/>
  <c r="K18" i="15" s="1"/>
  <c r="F36" i="15"/>
  <c r="K36" i="15" s="1"/>
  <c r="AS160" i="43"/>
  <c r="F17" i="15"/>
  <c r="K17" i="15" s="1"/>
  <c r="F88" i="15"/>
  <c r="K88" i="15" s="1"/>
  <c r="F64" i="15"/>
  <c r="K64" i="15" s="1"/>
  <c r="M64" i="15" s="1"/>
  <c r="F71" i="15"/>
  <c r="K71" i="15" s="1"/>
  <c r="F7" i="15"/>
  <c r="K7" i="15" s="1"/>
  <c r="F31" i="15"/>
  <c r="K31" i="15" s="1"/>
  <c r="F20" i="15"/>
  <c r="K20" i="15" s="1"/>
  <c r="M20" i="15" s="1"/>
  <c r="F26" i="15"/>
  <c r="K26" i="15" s="1"/>
  <c r="F25" i="15"/>
  <c r="K25" i="15" s="1"/>
  <c r="F41" i="15"/>
  <c r="K41" i="15" s="1"/>
  <c r="F94" i="15"/>
  <c r="K94" i="15" s="1"/>
  <c r="F16" i="15"/>
  <c r="K16" i="15" s="1"/>
  <c r="M16" i="15" s="1"/>
  <c r="F24" i="15"/>
  <c r="K24" i="15" s="1"/>
  <c r="F105" i="15"/>
  <c r="K105" i="15" s="1"/>
  <c r="F70" i="15"/>
  <c r="K70" i="15" s="1"/>
  <c r="F75" i="15"/>
  <c r="K75" i="15" s="1"/>
  <c r="F11" i="15"/>
  <c r="K11" i="15" s="1"/>
  <c r="B118" i="24"/>
  <c r="B119" i="24" s="1"/>
  <c r="B121" i="24" s="1"/>
  <c r="B122" i="24" s="1"/>
  <c r="B124" i="24" s="1"/>
  <c r="B126"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96" i="24"/>
  <c r="F38" i="15"/>
  <c r="K38" i="15" s="1"/>
  <c r="I163" i="15"/>
  <c r="F108" i="15"/>
  <c r="K108" i="15" s="1"/>
  <c r="F46" i="15"/>
  <c r="K46" i="15" s="1"/>
  <c r="M46" i="15" s="1"/>
  <c r="F40" i="15"/>
  <c r="K40" i="15" s="1"/>
  <c r="F104" i="15"/>
  <c r="K104" i="15" s="1"/>
  <c r="F30" i="15"/>
  <c r="K30" i="15" s="1"/>
  <c r="F8" i="15"/>
  <c r="K8" i="15" s="1"/>
  <c r="M8" i="15" s="1"/>
  <c r="AI261" i="29"/>
  <c r="AS153" i="29"/>
  <c r="G28" i="13" s="1"/>
  <c r="AK226" i="23"/>
  <c r="AK248" i="23" s="1"/>
  <c r="AD136" i="23"/>
  <c r="BM78" i="14" s="1"/>
  <c r="BM82" i="14" s="1"/>
  <c r="AH255" i="29"/>
  <c r="AH261" i="29" s="1"/>
  <c r="AH153" i="29"/>
  <c r="H228" i="23" s="1"/>
  <c r="AH226" i="23"/>
  <c r="BY132" i="14" s="1"/>
  <c r="AJ226" i="23"/>
  <c r="CE132" i="14" s="1"/>
  <c r="AF226" i="23"/>
  <c r="AF248" i="23" s="1"/>
  <c r="M248" i="23"/>
  <c r="AB226" i="23"/>
  <c r="AB254" i="23" s="1"/>
  <c r="AB277" i="23" s="1"/>
  <c r="AB297" i="23" s="1"/>
  <c r="AI226" i="23"/>
  <c r="CB132" i="14" s="1"/>
  <c r="AE226" i="23"/>
  <c r="AE254" i="23" s="1"/>
  <c r="AE272" i="23" s="1"/>
  <c r="DF132" i="14" s="1"/>
  <c r="AC226" i="23"/>
  <c r="AC248" i="23" s="1"/>
  <c r="AD226" i="23"/>
  <c r="BM132" i="14" s="1"/>
  <c r="AD196" i="23"/>
  <c r="AF136" i="23"/>
  <c r="BS78" i="14" s="1"/>
  <c r="BS82" i="14" s="1"/>
  <c r="AM122" i="23"/>
  <c r="AB159" i="23"/>
  <c r="AM121" i="23"/>
  <c r="AB158" i="23"/>
  <c r="BY332" i="14"/>
  <c r="AB22" i="2" s="1"/>
  <c r="AE136" i="23"/>
  <c r="BP78" i="14" s="1"/>
  <c r="BP82" i="14" s="1"/>
  <c r="CE332" i="14"/>
  <c r="AH22" i="2" s="1"/>
  <c r="CH73" i="14"/>
  <c r="CH75" i="14" s="1"/>
  <c r="CH76" i="14" s="1"/>
  <c r="AS104" i="26"/>
  <c r="AC136" i="23"/>
  <c r="CH332" i="14"/>
  <c r="AK22" i="2" s="1"/>
  <c r="CH217" i="14"/>
  <c r="AR12" i="33" s="1"/>
  <c r="CB12" i="33" s="1"/>
  <c r="BY73" i="14"/>
  <c r="BY75" i="14" s="1"/>
  <c r="BY76" i="14" s="1"/>
  <c r="CE217" i="14"/>
  <c r="AE6" i="10" s="1"/>
  <c r="CE73" i="14"/>
  <c r="CE75" i="14" s="1"/>
  <c r="CE76" i="14" s="1"/>
  <c r="AS96" i="27"/>
  <c r="AS220" i="43"/>
  <c r="AS203" i="43"/>
  <c r="AH153" i="43"/>
  <c r="AS106" i="26"/>
  <c r="CB332" i="14"/>
  <c r="AE22" i="2" s="1"/>
  <c r="BY217" i="14"/>
  <c r="AI12" i="33" s="1"/>
  <c r="BS12" i="33" s="1"/>
  <c r="AH152" i="43"/>
  <c r="BJ43" i="14"/>
  <c r="BJ48" i="14" s="1"/>
  <c r="BJ49" i="14" s="1"/>
  <c r="AH200" i="43"/>
  <c r="CG301" i="14"/>
  <c r="CG213" i="14"/>
  <c r="AH219" i="43"/>
  <c r="AS178" i="43"/>
  <c r="DW301" i="14"/>
  <c r="DW213" i="14"/>
  <c r="CB217" i="14"/>
  <c r="AJ18" i="23"/>
  <c r="AI18" i="23"/>
  <c r="AH18" i="23"/>
  <c r="AK18" i="23"/>
  <c r="AS153" i="43"/>
  <c r="AS152" i="43"/>
  <c r="AB147" i="23"/>
  <c r="AB172" i="23" s="1"/>
  <c r="AM110" i="23"/>
  <c r="AM136" i="23" s="1"/>
  <c r="CB73" i="14"/>
  <c r="CB75" i="14" s="1"/>
  <c r="CB76" i="14" s="1"/>
  <c r="X15" i="23"/>
  <c r="AK252" i="23"/>
  <c r="AK224" i="23"/>
  <c r="X103" i="23"/>
  <c r="X224" i="23"/>
  <c r="AK15" i="23"/>
  <c r="X311" i="23"/>
  <c r="AK311" i="23" s="1"/>
  <c r="AB47" i="23"/>
  <c r="AB72" i="23" s="1"/>
  <c r="AM20" i="23"/>
  <c r="CJ94" i="14"/>
  <c r="CJ104" i="14" s="1"/>
  <c r="AF94" i="14"/>
  <c r="AF104" i="14" s="1"/>
  <c r="BX104" i="14"/>
  <c r="BX129" i="14" s="1"/>
  <c r="AM313" i="23"/>
  <c r="CA104" i="14"/>
  <c r="CA129" i="14" s="1"/>
  <c r="AI94" i="14"/>
  <c r="AI104" i="14" s="1"/>
  <c r="AI126" i="14" s="1"/>
  <c r="AI129" i="14" s="1"/>
  <c r="AD338" i="23"/>
  <c r="AD362" i="23" s="1"/>
  <c r="AL94" i="14"/>
  <c r="AL104" i="14" s="1"/>
  <c r="AL126" i="14" s="1"/>
  <c r="AL129" i="14" s="1"/>
  <c r="CD104" i="14"/>
  <c r="CD129" i="14" s="1"/>
  <c r="R346" i="23"/>
  <c r="BO55" i="14" s="1"/>
  <c r="W55" i="14" s="1"/>
  <c r="X346" i="23"/>
  <c r="CG55" i="14" s="1"/>
  <c r="AO55" i="14" s="1"/>
  <c r="AO62" i="14" s="1"/>
  <c r="AO65" i="14" s="1"/>
  <c r="AO354" i="14" s="1"/>
  <c r="W346" i="23"/>
  <c r="CD55" i="14" s="1"/>
  <c r="AL55" i="14" s="1"/>
  <c r="AL62" i="14" s="1"/>
  <c r="AL65" i="14" s="1"/>
  <c r="AL354" i="14" s="1"/>
  <c r="V346" i="23"/>
  <c r="CA55" i="14" s="1"/>
  <c r="AI55" i="14" s="1"/>
  <c r="AI62" i="14" s="1"/>
  <c r="AI65" i="14" s="1"/>
  <c r="AI354" i="14" s="1"/>
  <c r="U346" i="23"/>
  <c r="BX55" i="14" s="1"/>
  <c r="BX65" i="14" s="1"/>
  <c r="BX354" i="14" s="1"/>
  <c r="AO94" i="14"/>
  <c r="AO104" i="14" s="1"/>
  <c r="AO126" i="14" s="1"/>
  <c r="AO129" i="14" s="1"/>
  <c r="CG104" i="14"/>
  <c r="CG129" i="14" s="1"/>
  <c r="CB43" i="14"/>
  <c r="AM127" i="23"/>
  <c r="AB164" i="23"/>
  <c r="AB200" i="23" s="1"/>
  <c r="CE43" i="14"/>
  <c r="CH43" i="14"/>
  <c r="CJ110" i="14"/>
  <c r="AF110" i="14"/>
  <c r="AE260" i="23"/>
  <c r="AE283" i="23" s="1"/>
  <c r="AE342" i="23"/>
  <c r="AE366" i="23" s="1"/>
  <c r="AE199" i="23"/>
  <c r="AB163" i="23"/>
  <c r="AM126" i="23"/>
  <c r="O101" i="14"/>
  <c r="AS101" i="14" s="1"/>
  <c r="EA101" i="14"/>
  <c r="AV101" i="14" s="1"/>
  <c r="AR43" i="14"/>
  <c r="AR48" i="14" s="1"/>
  <c r="DH156" i="14"/>
  <c r="DH163" i="14" s="1"/>
  <c r="AK21" i="23"/>
  <c r="AJ21" i="23"/>
  <c r="AI21" i="23"/>
  <c r="AH21" i="23"/>
  <c r="AB160" i="23"/>
  <c r="AB196" i="23" s="1"/>
  <c r="AM123" i="23"/>
  <c r="AE257" i="23"/>
  <c r="AE280" i="23" s="1"/>
  <c r="CW151" i="14"/>
  <c r="O151" i="14" s="1"/>
  <c r="CK151" i="14"/>
  <c r="CK152" i="14" s="1"/>
  <c r="AF10" i="23"/>
  <c r="AF338" i="23" s="1"/>
  <c r="AF362" i="23" s="1"/>
  <c r="AE255" i="23"/>
  <c r="AE278" i="23" s="1"/>
  <c r="AD369" i="23"/>
  <c r="AD374" i="23"/>
  <c r="AD375" i="23"/>
  <c r="AD291" i="23"/>
  <c r="AE202" i="23"/>
  <c r="AE182" i="23"/>
  <c r="AE191" i="23"/>
  <c r="AE187" i="23"/>
  <c r="AE262" i="23"/>
  <c r="AE285" i="23" s="1"/>
  <c r="AH9" i="23"/>
  <c r="DO5" i="14" s="1"/>
  <c r="DO70" i="14" s="1"/>
  <c r="AG70" i="14" s="1"/>
  <c r="AG144" i="23"/>
  <c r="AG167" i="23"/>
  <c r="AG203" i="23" s="1"/>
  <c r="AG147" i="23"/>
  <c r="AG183" i="23" s="1"/>
  <c r="AG150" i="23"/>
  <c r="AG186" i="23" s="1"/>
  <c r="AG153" i="23"/>
  <c r="AG189" i="23" s="1"/>
  <c r="AG157" i="23"/>
  <c r="AG193" i="23" s="1"/>
  <c r="AG164" i="23"/>
  <c r="AG200" i="23" s="1"/>
  <c r="AG148" i="23"/>
  <c r="AG151" i="23"/>
  <c r="AG187" i="23" s="1"/>
  <c r="AG154" i="23"/>
  <c r="AG190" i="23" s="1"/>
  <c r="AG158" i="23"/>
  <c r="AG194" i="23" s="1"/>
  <c r="AG168" i="23"/>
  <c r="AG204" i="23" s="1"/>
  <c r="AG146" i="23"/>
  <c r="AG182" i="23" s="1"/>
  <c r="AG143" i="23"/>
  <c r="AG152" i="23"/>
  <c r="AG188" i="23" s="1"/>
  <c r="AG155" i="23"/>
  <c r="AG191" i="23" s="1"/>
  <c r="AG159" i="23"/>
  <c r="AG195" i="23" s="1"/>
  <c r="AG162" i="23"/>
  <c r="AG165" i="23"/>
  <c r="AG201" i="23" s="1"/>
  <c r="AG145" i="23"/>
  <c r="AG181" i="23" s="1"/>
  <c r="AG149" i="23"/>
  <c r="AG185" i="23" s="1"/>
  <c r="AG160" i="23"/>
  <c r="AG196" i="23" s="1"/>
  <c r="AG163" i="23"/>
  <c r="AG199" i="23" s="1"/>
  <c r="AG166" i="23"/>
  <c r="AG202" i="23" s="1"/>
  <c r="AD281" i="23"/>
  <c r="AD288" i="23"/>
  <c r="AD283" i="23"/>
  <c r="AD282" i="23"/>
  <c r="AE198" i="23"/>
  <c r="AE188" i="23"/>
  <c r="AC72" i="23"/>
  <c r="AD365" i="23"/>
  <c r="AD285" i="23"/>
  <c r="AD289" i="23"/>
  <c r="AE190" i="23"/>
  <c r="AE189" i="23"/>
  <c r="AE201" i="23"/>
  <c r="AE179" i="23"/>
  <c r="AC362" i="23"/>
  <c r="AD367" i="23"/>
  <c r="AD373" i="23"/>
  <c r="AD290" i="23"/>
  <c r="AE203" i="23"/>
  <c r="AE184" i="23"/>
  <c r="U150" i="14"/>
  <c r="U146" i="14"/>
  <c r="O67" i="14"/>
  <c r="CW71" i="14"/>
  <c r="CK71" i="14"/>
  <c r="CW68" i="14"/>
  <c r="CK68" i="14"/>
  <c r="O37" i="14"/>
  <c r="AR16" i="14"/>
  <c r="R16" i="14"/>
  <c r="AE172" i="23"/>
  <c r="AF172" i="23"/>
  <c r="AC172" i="23"/>
  <c r="AB44" i="23"/>
  <c r="AM17" i="23"/>
  <c r="AD172" i="23"/>
  <c r="DC43" i="14"/>
  <c r="U43" i="14" s="1"/>
  <c r="DF68" i="14"/>
  <c r="X68" i="14" s="1"/>
  <c r="DI67" i="14"/>
  <c r="CT177" i="14"/>
  <c r="CT188" i="14" s="1"/>
  <c r="CT196" i="14" s="1"/>
  <c r="DL5" i="14"/>
  <c r="AE348" i="23"/>
  <c r="AE372" i="23" s="1"/>
  <c r="AE352" i="23"/>
  <c r="AE350" i="23"/>
  <c r="AE374" i="23" s="1"/>
  <c r="AE266" i="23"/>
  <c r="AE289" i="23" s="1"/>
  <c r="AE265" i="23"/>
  <c r="AE288" i="23" s="1"/>
  <c r="AE259" i="23"/>
  <c r="AE282" i="23" s="1"/>
  <c r="AE264" i="23"/>
  <c r="AE268" i="23"/>
  <c r="AE291" i="23" s="1"/>
  <c r="AE351" i="23"/>
  <c r="AE375" i="23" s="1"/>
  <c r="AE344" i="23"/>
  <c r="AE368" i="23" s="1"/>
  <c r="AE349" i="23"/>
  <c r="AE373" i="23" s="1"/>
  <c r="AE263" i="23"/>
  <c r="AE286" i="23" s="1"/>
  <c r="AE345" i="23"/>
  <c r="AE369" i="23" s="1"/>
  <c r="AE341" i="23"/>
  <c r="AE365" i="23" s="1"/>
  <c r="AE267" i="23"/>
  <c r="AE290" i="23" s="1"/>
  <c r="AE353" i="23"/>
  <c r="AE377" i="23" s="1"/>
  <c r="AE261" i="23"/>
  <c r="AE284" i="23" s="1"/>
  <c r="AE343" i="23"/>
  <c r="AE367" i="23" s="1"/>
  <c r="AE258" i="23"/>
  <c r="AE281" i="23" s="1"/>
  <c r="DF80" i="14"/>
  <c r="X80" i="14" s="1"/>
  <c r="DF72" i="14"/>
  <c r="X72" i="14" s="1"/>
  <c r="DF81" i="14"/>
  <c r="X81" i="14" s="1"/>
  <c r="DF69" i="14"/>
  <c r="AS187" i="43"/>
  <c r="DI72" i="14"/>
  <c r="AS202" i="43"/>
  <c r="DI80" i="14"/>
  <c r="DI81" i="14"/>
  <c r="AB338" i="23"/>
  <c r="AB362" i="23" s="1"/>
  <c r="BG43" i="14"/>
  <c r="BP43" i="14"/>
  <c r="BP48" i="14" s="1"/>
  <c r="BP61" i="14" s="1"/>
  <c r="AE338" i="23"/>
  <c r="AE362" i="23" s="1"/>
  <c r="AS163" i="43"/>
  <c r="AS158" i="43"/>
  <c r="AS266" i="24"/>
  <c r="AS104" i="27"/>
  <c r="B99" i="24"/>
  <c r="B100" i="24" s="1"/>
  <c r="B102" i="24" s="1"/>
  <c r="B103" i="24" s="1"/>
  <c r="B105" i="24" s="1"/>
  <c r="B106" i="24" s="1"/>
  <c r="B107" i="24" s="1"/>
  <c r="B108" i="24" s="1"/>
  <c r="B110" i="24" s="1"/>
  <c r="B111" i="24" s="1"/>
  <c r="B112" i="24" s="1"/>
  <c r="B113" i="24" s="1"/>
  <c r="B114" i="24" s="1"/>
  <c r="BV132" i="14"/>
  <c r="AF44" i="23"/>
  <c r="AF69" i="23" s="1"/>
  <c r="O346" i="23"/>
  <c r="BF55" i="14" s="1"/>
  <c r="N55" i="14" s="1"/>
  <c r="Z94" i="14"/>
  <c r="BR104" i="14"/>
  <c r="BR129" i="14" s="1"/>
  <c r="F333" i="23"/>
  <c r="BI104" i="14"/>
  <c r="BI129" i="14" s="1"/>
  <c r="Q94" i="14"/>
  <c r="Q104" i="14" s="1"/>
  <c r="Y346" i="23"/>
  <c r="Q346" i="23"/>
  <c r="BL55" i="14" s="1"/>
  <c r="T55" i="14" s="1"/>
  <c r="BU104" i="14"/>
  <c r="BU129" i="14" s="1"/>
  <c r="AC94" i="14"/>
  <c r="AC104" i="14" s="1"/>
  <c r="AC126" i="14" s="1"/>
  <c r="AC129" i="14" s="1"/>
  <c r="P346" i="23"/>
  <c r="BI55" i="14" s="1"/>
  <c r="Q55" i="14" s="1"/>
  <c r="T94" i="14"/>
  <c r="T104" i="14" s="1"/>
  <c r="BL104" i="14"/>
  <c r="BL129" i="14" s="1"/>
  <c r="I314" i="23"/>
  <c r="AJ175" i="30"/>
  <c r="S346" i="23"/>
  <c r="BR55" i="14" s="1"/>
  <c r="BR65" i="14" s="1"/>
  <c r="BR354" i="14" s="1"/>
  <c r="Z346" i="23"/>
  <c r="T346" i="23"/>
  <c r="BU55" i="14" s="1"/>
  <c r="AC55" i="14" s="1"/>
  <c r="AC62" i="14" s="1"/>
  <c r="AC65" i="14" s="1"/>
  <c r="AC354" i="14" s="1"/>
  <c r="BO104" i="14"/>
  <c r="BO129" i="14" s="1"/>
  <c r="W94" i="14"/>
  <c r="W104" i="14" s="1"/>
  <c r="W126" i="14" s="1"/>
  <c r="W129" i="14" s="1"/>
  <c r="BF104" i="14"/>
  <c r="N94" i="14"/>
  <c r="N104" i="14" s="1"/>
  <c r="Z12" i="43"/>
  <c r="AI12" i="43"/>
  <c r="AS97" i="27"/>
  <c r="BS48" i="14"/>
  <c r="BS49" i="14" s="1"/>
  <c r="AS101" i="25"/>
  <c r="AS145" i="43"/>
  <c r="AS169" i="43"/>
  <c r="AS175" i="43"/>
  <c r="AH163" i="43"/>
  <c r="AK142" i="43"/>
  <c r="BV224" i="14"/>
  <c r="V13" i="10" s="1"/>
  <c r="AS191" i="43"/>
  <c r="BJ224" i="14"/>
  <c r="T24" i="33" s="1"/>
  <c r="BD24" i="33" s="1"/>
  <c r="AS69" i="30"/>
  <c r="BV336" i="14"/>
  <c r="Y26" i="2" s="1"/>
  <c r="AS174" i="43"/>
  <c r="AS162" i="43"/>
  <c r="AH104" i="27"/>
  <c r="BV217" i="14"/>
  <c r="AF12" i="33" s="1"/>
  <c r="BP12" i="33" s="1"/>
  <c r="BM217" i="14"/>
  <c r="W12" i="33" s="1"/>
  <c r="BG12" i="33" s="1"/>
  <c r="BM336" i="14"/>
  <c r="P26" i="2" s="1"/>
  <c r="AS226" i="43"/>
  <c r="AS93" i="25"/>
  <c r="AH148" i="43"/>
  <c r="AK255" i="29"/>
  <c r="AK261" i="29" s="1"/>
  <c r="AS190" i="43"/>
  <c r="AK192" i="43"/>
  <c r="AS194" i="43"/>
  <c r="AS189" i="43"/>
  <c r="AH84" i="25"/>
  <c r="AH69" i="30"/>
  <c r="BJ73" i="14"/>
  <c r="BJ75" i="14" s="1"/>
  <c r="BJ76" i="14" s="1"/>
  <c r="BG152" i="14"/>
  <c r="BG154" i="14" s="1"/>
  <c r="CW154" i="14" s="1"/>
  <c r="O154" i="14" s="1"/>
  <c r="AS221" i="43"/>
  <c r="AK206" i="43"/>
  <c r="AS218" i="43"/>
  <c r="AS196" i="43"/>
  <c r="AK189" i="43"/>
  <c r="AS188" i="43"/>
  <c r="BV73" i="14"/>
  <c r="BV75" i="14" s="1"/>
  <c r="BV76" i="14" s="1"/>
  <c r="AS173" i="43"/>
  <c r="AS206" i="43"/>
  <c r="AS222" i="43"/>
  <c r="AS200" i="43"/>
  <c r="AK153" i="29"/>
  <c r="I228" i="23" s="1"/>
  <c r="AS192" i="43"/>
  <c r="AK221" i="43"/>
  <c r="AK188" i="43"/>
  <c r="AK200" i="43"/>
  <c r="AH158" i="43"/>
  <c r="M19" i="23"/>
  <c r="AS106" i="27"/>
  <c r="BS152" i="14"/>
  <c r="BS154" i="14" s="1"/>
  <c r="BS155" i="14" s="1"/>
  <c r="BF181" i="14"/>
  <c r="BA175" i="14"/>
  <c r="I175" i="14" s="1"/>
  <c r="G28" i="17"/>
  <c r="AS97" i="26"/>
  <c r="BG217" i="14"/>
  <c r="Q12" i="33" s="1"/>
  <c r="BA12" i="33" s="1"/>
  <c r="AS84" i="25"/>
  <c r="AK182" i="43"/>
  <c r="DF99" i="14"/>
  <c r="X99" i="14" s="1"/>
  <c r="DF28" i="14"/>
  <c r="X28" i="14" s="1"/>
  <c r="AS257" i="22"/>
  <c r="BV152" i="14"/>
  <c r="BV154" i="14" s="1"/>
  <c r="BV155" i="14" s="1"/>
  <c r="AH305" i="24"/>
  <c r="AD199" i="23"/>
  <c r="AS207" i="43"/>
  <c r="AK87" i="26"/>
  <c r="AH116" i="26"/>
  <c r="BM332" i="14"/>
  <c r="P22" i="2" s="1"/>
  <c r="BS73" i="14"/>
  <c r="BS75" i="14" s="1"/>
  <c r="BS76" i="14" s="1"/>
  <c r="AS162" i="30"/>
  <c r="AS175" i="30" s="1"/>
  <c r="BP224" i="14"/>
  <c r="P13" i="10" s="1"/>
  <c r="AS148" i="43"/>
  <c r="AS219" i="43"/>
  <c r="AK219" i="43"/>
  <c r="BS217" i="14"/>
  <c r="AC12" i="33" s="1"/>
  <c r="BM12" i="33" s="1"/>
  <c r="BP152" i="14"/>
  <c r="BP154" i="14" s="1"/>
  <c r="DF154" i="14" s="1"/>
  <c r="X154" i="14" s="1"/>
  <c r="BG73" i="14"/>
  <c r="BG75" i="14" s="1"/>
  <c r="BG224" i="14"/>
  <c r="G13" i="10" s="1"/>
  <c r="BM152" i="14"/>
  <c r="BM154" i="14" s="1"/>
  <c r="DF42" i="14"/>
  <c r="X42" i="14" s="1"/>
  <c r="BM73" i="14"/>
  <c r="BM75" i="14" s="1"/>
  <c r="BM76" i="14" s="1"/>
  <c r="BG336" i="14"/>
  <c r="J26" i="2" s="1"/>
  <c r="BS336" i="14"/>
  <c r="V26" i="2" s="1"/>
  <c r="BP73" i="14"/>
  <c r="BP75" i="14" s="1"/>
  <c r="DF75" i="14" s="1"/>
  <c r="X75" i="14" s="1"/>
  <c r="DF44" i="14"/>
  <c r="X44" i="14" s="1"/>
  <c r="DF96" i="14"/>
  <c r="X96" i="14" s="1"/>
  <c r="BS332" i="14"/>
  <c r="V22" i="2" s="1"/>
  <c r="BP336" i="14"/>
  <c r="S26" i="2" s="1"/>
  <c r="BS224" i="14"/>
  <c r="S13" i="10" s="1"/>
  <c r="K23" i="15"/>
  <c r="AS255" i="29"/>
  <c r="AS261" i="29" s="1"/>
  <c r="AK305" i="24"/>
  <c r="AS297" i="24"/>
  <c r="AS289" i="24"/>
  <c r="AS112" i="25"/>
  <c r="AH112" i="25"/>
  <c r="AL190" i="26"/>
  <c r="AI190" i="27"/>
  <c r="DF57" i="14"/>
  <c r="X57" i="14" s="1"/>
  <c r="DF53" i="14"/>
  <c r="X53" i="14" s="1"/>
  <c r="DF29" i="14"/>
  <c r="X29" i="14" s="1"/>
  <c r="DF63" i="14"/>
  <c r="DF59" i="14"/>
  <c r="X59" i="14" s="1"/>
  <c r="DF127" i="14"/>
  <c r="X127" i="14" s="1"/>
  <c r="DF123" i="14"/>
  <c r="X123" i="14" s="1"/>
  <c r="DF135" i="14"/>
  <c r="X135" i="14" s="1"/>
  <c r="DF200" i="14"/>
  <c r="X200" i="14" s="1"/>
  <c r="DF50" i="14"/>
  <c r="X50" i="14" s="1"/>
  <c r="DF58" i="14"/>
  <c r="X58" i="14" s="1"/>
  <c r="DF193" i="14"/>
  <c r="DF125" i="14"/>
  <c r="X125" i="14" s="1"/>
  <c r="DF115" i="14"/>
  <c r="X115" i="14" s="1"/>
  <c r="DF153" i="14"/>
  <c r="X153" i="14" s="1"/>
  <c r="DF52" i="14"/>
  <c r="X52" i="14" s="1"/>
  <c r="DF107" i="14"/>
  <c r="X107" i="14" s="1"/>
  <c r="DF179" i="14"/>
  <c r="X179" i="14" s="1"/>
  <c r="DF119" i="14"/>
  <c r="X119" i="14" s="1"/>
  <c r="DF150" i="14"/>
  <c r="X150" i="14" s="1"/>
  <c r="DF106" i="14"/>
  <c r="X106" i="14" s="1"/>
  <c r="DF108" i="14"/>
  <c r="X108" i="14" s="1"/>
  <c r="DF116" i="14"/>
  <c r="X116" i="14" s="1"/>
  <c r="DF178" i="14"/>
  <c r="X178" i="14" s="1"/>
  <c r="DF112" i="14"/>
  <c r="X112" i="14" s="1"/>
  <c r="DF190" i="14"/>
  <c r="X190" i="14" s="1"/>
  <c r="DF30" i="14"/>
  <c r="X30" i="14" s="1"/>
  <c r="DF146" i="14"/>
  <c r="X146" i="14" s="1"/>
  <c r="DF54" i="14"/>
  <c r="X54" i="14" s="1"/>
  <c r="DF113" i="14"/>
  <c r="X113" i="14" s="1"/>
  <c r="DF109" i="14"/>
  <c r="X109" i="14" s="1"/>
  <c r="DF140" i="14"/>
  <c r="X140" i="14" s="1"/>
  <c r="DF175" i="14"/>
  <c r="DF118" i="14"/>
  <c r="X118" i="14" s="1"/>
  <c r="DF138" i="14"/>
  <c r="X138" i="14" s="1"/>
  <c r="DF124" i="14"/>
  <c r="X124" i="14" s="1"/>
  <c r="DF198" i="14"/>
  <c r="DF148" i="14"/>
  <c r="X148" i="14" s="1"/>
  <c r="DF180" i="14"/>
  <c r="DF117" i="14"/>
  <c r="X117" i="14" s="1"/>
  <c r="DF56" i="14"/>
  <c r="X56" i="14" s="1"/>
  <c r="DF60" i="14"/>
  <c r="X60" i="14" s="1"/>
  <c r="DF183" i="14"/>
  <c r="DF184" i="14"/>
  <c r="X184" i="14" s="1"/>
  <c r="DF51" i="14"/>
  <c r="X51" i="14" s="1"/>
  <c r="DF15" i="14"/>
  <c r="X15" i="14" s="1"/>
  <c r="DF41" i="14"/>
  <c r="X41" i="14" s="1"/>
  <c r="BJ152" i="14"/>
  <c r="BJ154" i="14" s="1"/>
  <c r="BJ336" i="14"/>
  <c r="M26" i="2" s="1"/>
  <c r="DF91" i="14"/>
  <c r="X91" i="14" s="1"/>
  <c r="BV332" i="14"/>
  <c r="Y22" i="2" s="1"/>
  <c r="Q110" i="14"/>
  <c r="BV48" i="14"/>
  <c r="CZ71" i="14"/>
  <c r="R71" i="14" s="1"/>
  <c r="CZ68" i="14"/>
  <c r="BJ217" i="14"/>
  <c r="BJ332" i="14"/>
  <c r="M22" i="2" s="1"/>
  <c r="DF38" i="14"/>
  <c r="X38" i="14" s="1"/>
  <c r="BG332" i="14"/>
  <c r="J22" i="2" s="1"/>
  <c r="AS256" i="22"/>
  <c r="DF37" i="14"/>
  <c r="X37" i="14" s="1"/>
  <c r="BM224" i="14"/>
  <c r="DC151" i="14"/>
  <c r="DF90" i="14"/>
  <c r="DF36" i="14"/>
  <c r="AS139" i="43"/>
  <c r="AH139" i="43"/>
  <c r="AK112" i="25"/>
  <c r="DF20" i="14"/>
  <c r="X20" i="14" s="1"/>
  <c r="DF47" i="14"/>
  <c r="X47" i="14" s="1"/>
  <c r="CZ152" i="14"/>
  <c r="CZ224" i="14"/>
  <c r="CZ336" i="14"/>
  <c r="DF92" i="14"/>
  <c r="X92" i="14" s="1"/>
  <c r="DI71" i="14"/>
  <c r="DI68" i="14"/>
  <c r="AA68" i="14" s="1"/>
  <c r="T110" i="14"/>
  <c r="DF147" i="14"/>
  <c r="X147" i="14" s="1"/>
  <c r="DF100" i="14"/>
  <c r="X100" i="14" s="1"/>
  <c r="DF17" i="14"/>
  <c r="X17" i="14" s="1"/>
  <c r="R131" i="14"/>
  <c r="DF103" i="14"/>
  <c r="X103" i="14" s="1"/>
  <c r="CW147" i="14"/>
  <c r="O147" i="14" s="1"/>
  <c r="BP217" i="14"/>
  <c r="DF16" i="14"/>
  <c r="X16" i="14" s="1"/>
  <c r="AS267" i="24"/>
  <c r="AH96" i="26"/>
  <c r="AL261" i="22"/>
  <c r="K103" i="15"/>
  <c r="DF131" i="14"/>
  <c r="DF40" i="14"/>
  <c r="X40" i="14" s="1"/>
  <c r="DF13" i="14"/>
  <c r="N110" i="14"/>
  <c r="M322" i="23"/>
  <c r="DF19" i="14"/>
  <c r="X19" i="14" s="1"/>
  <c r="DF18" i="14"/>
  <c r="X18" i="14" s="1"/>
  <c r="DF151" i="14"/>
  <c r="X151" i="14" s="1"/>
  <c r="DF102" i="14"/>
  <c r="X102" i="14" s="1"/>
  <c r="DC340" i="14"/>
  <c r="DF39" i="14"/>
  <c r="X39" i="14" s="1"/>
  <c r="BP332" i="14"/>
  <c r="S22" i="2" s="1"/>
  <c r="AH257" i="22"/>
  <c r="AH256" i="22"/>
  <c r="AK254" i="22"/>
  <c r="AK261" i="22" s="1"/>
  <c r="AK153" i="22"/>
  <c r="I33" i="23" s="1"/>
  <c r="DI4" i="14"/>
  <c r="AG8" i="23"/>
  <c r="AH8" i="23" s="1"/>
  <c r="DO4" i="14" s="1"/>
  <c r="AF52" i="23"/>
  <c r="AF77" i="23" s="1"/>
  <c r="AF59" i="23"/>
  <c r="AF50" i="23"/>
  <c r="AF47" i="23"/>
  <c r="R224" i="14"/>
  <c r="J39" i="10" s="1"/>
  <c r="R336" i="14"/>
  <c r="R152" i="14"/>
  <c r="DF45" i="14"/>
  <c r="X45" i="14" s="1"/>
  <c r="DF14" i="14"/>
  <c r="X14" i="14" s="1"/>
  <c r="F109" i="15"/>
  <c r="DC68" i="14"/>
  <c r="DC361" i="14" s="1"/>
  <c r="DF93" i="14"/>
  <c r="X93" i="14" s="1"/>
  <c r="DE142" i="14"/>
  <c r="DZ142" i="14" s="1"/>
  <c r="Z110" i="14"/>
  <c r="DF97" i="14"/>
  <c r="X97" i="14" s="1"/>
  <c r="DF144" i="14"/>
  <c r="DF46" i="14"/>
  <c r="X46" i="14" s="1"/>
  <c r="O144" i="14"/>
  <c r="DC147" i="14"/>
  <c r="DF71" i="14"/>
  <c r="V249" i="24"/>
  <c r="AL249" i="24" s="1"/>
  <c r="AK249" i="24" s="1"/>
  <c r="AK253" i="24"/>
  <c r="AE200" i="23"/>
  <c r="AK175" i="30"/>
  <c r="I321" i="23"/>
  <c r="I333" i="23" s="1"/>
  <c r="AC200" i="23"/>
  <c r="AF200" i="23"/>
  <c r="Q48" i="14"/>
  <c r="T48" i="14"/>
  <c r="Z48" i="14"/>
  <c r="BM61" i="14"/>
  <c r="DC61" i="14" s="1"/>
  <c r="U61" i="14" s="1"/>
  <c r="BM49" i="14"/>
  <c r="AD200" i="23"/>
  <c r="H321" i="23"/>
  <c r="AH175" i="30"/>
  <c r="W48" i="14"/>
  <c r="W62" i="14" s="1"/>
  <c r="W65" i="14" s="1"/>
  <c r="W354" i="14" s="1"/>
  <c r="AI253" i="24"/>
  <c r="Z253" i="24"/>
  <c r="T249" i="24"/>
  <c r="AH247" i="24"/>
  <c r="AS247" i="24"/>
  <c r="AN249" i="24"/>
  <c r="AH245" i="24"/>
  <c r="AS245" i="24"/>
  <c r="K21" i="15"/>
  <c r="K48" i="15"/>
  <c r="K65" i="15"/>
  <c r="K37" i="15"/>
  <c r="K86" i="15"/>
  <c r="K56" i="15"/>
  <c r="M56" i="15" s="1"/>
  <c r="K68" i="15"/>
  <c r="K61" i="15"/>
  <c r="K60" i="15"/>
  <c r="K12" i="15"/>
  <c r="K19" i="15"/>
  <c r="M19" i="15" s="1"/>
  <c r="AB21" i="23"/>
  <c r="AD21" i="23"/>
  <c r="AD48" i="23" s="1"/>
  <c r="AD73" i="23" s="1"/>
  <c r="AC21" i="23"/>
  <c r="AC48" i="23" s="1"/>
  <c r="AF21" i="23"/>
  <c r="AF48" i="23" s="1"/>
  <c r="AF73" i="23" s="1"/>
  <c r="AE21" i="23"/>
  <c r="AG21" i="23"/>
  <c r="AC196" i="23"/>
  <c r="AE196" i="23"/>
  <c r="AF196" i="23"/>
  <c r="AH106" i="27"/>
  <c r="AK82" i="27"/>
  <c r="I29" i="23" s="1"/>
  <c r="AH116" i="27"/>
  <c r="AC195" i="23"/>
  <c r="AH87" i="27"/>
  <c r="AH82" i="27"/>
  <c r="H29" i="23" s="1"/>
  <c r="M29" i="23" s="1"/>
  <c r="AS116" i="27"/>
  <c r="AD195" i="23"/>
  <c r="AE195" i="23"/>
  <c r="AB181" i="23"/>
  <c r="AS82" i="27"/>
  <c r="G26" i="13" s="1"/>
  <c r="AS87" i="27"/>
  <c r="AF195" i="23"/>
  <c r="AH87" i="26"/>
  <c r="AK116" i="26"/>
  <c r="AC194" i="23"/>
  <c r="AE194" i="23"/>
  <c r="AS87" i="26"/>
  <c r="AS96" i="26"/>
  <c r="AD194" i="23"/>
  <c r="AS116" i="26"/>
  <c r="T21" i="26"/>
  <c r="AF194" i="23"/>
  <c r="AK82" i="26"/>
  <c r="I28" i="23" s="1"/>
  <c r="AS103" i="25"/>
  <c r="AK84" i="25"/>
  <c r="AK79" i="25"/>
  <c r="I27" i="23" s="1"/>
  <c r="AL187" i="25"/>
  <c r="H38" i="23"/>
  <c r="AF193" i="23"/>
  <c r="T21" i="25"/>
  <c r="K35" i="15"/>
  <c r="AH103" i="25"/>
  <c r="AD18" i="23"/>
  <c r="AE18" i="23"/>
  <c r="AC18" i="23"/>
  <c r="AC45" i="23" s="1"/>
  <c r="AG18" i="23"/>
  <c r="AF18" i="23"/>
  <c r="AF45" i="23" s="1"/>
  <c r="AF70" i="23" s="1"/>
  <c r="AB18" i="23"/>
  <c r="AK297" i="24"/>
  <c r="AK267" i="24"/>
  <c r="AS305" i="24"/>
  <c r="F39" i="23"/>
  <c r="AE242" i="43"/>
  <c r="AH182" i="43"/>
  <c r="AS182" i="43"/>
  <c r="AH155" i="43"/>
  <c r="AH143" i="43"/>
  <c r="AH237" i="43"/>
  <c r="AH238" i="43"/>
  <c r="AS143" i="43"/>
  <c r="AS155" i="43"/>
  <c r="AS237" i="43"/>
  <c r="AS238" i="43"/>
  <c r="AD183" i="23"/>
  <c r="AL242" i="43"/>
  <c r="AF183" i="23"/>
  <c r="AK134" i="43"/>
  <c r="I31" i="23" s="1"/>
  <c r="AK138" i="43"/>
  <c r="BG78" i="14"/>
  <c r="AO242" i="43"/>
  <c r="BV78" i="14"/>
  <c r="BV82" i="14" s="1"/>
  <c r="AS142" i="43"/>
  <c r="AN182" i="43"/>
  <c r="H50" i="15" s="1"/>
  <c r="AN134" i="43"/>
  <c r="H124" i="23" s="1"/>
  <c r="M22" i="23"/>
  <c r="AH142" i="43"/>
  <c r="BJ82" i="14" l="1"/>
  <c r="BD321" i="14"/>
  <c r="BO65" i="14"/>
  <c r="BO354" i="14" s="1"/>
  <c r="D21" i="10"/>
  <c r="D24" i="10" s="1"/>
  <c r="BD279" i="14"/>
  <c r="BD281" i="14" s="1"/>
  <c r="CT199" i="14"/>
  <c r="CT201" i="14" s="1"/>
  <c r="N32" i="33" s="1"/>
  <c r="N34" i="33" s="1"/>
  <c r="L232" i="14"/>
  <c r="L294" i="14"/>
  <c r="L297" i="14" s="1"/>
  <c r="L313" i="14"/>
  <c r="L341" i="14"/>
  <c r="L343" i="14" s="1"/>
  <c r="L345" i="14" s="1"/>
  <c r="G31" i="2"/>
  <c r="BD343" i="14"/>
  <c r="BD345" i="14" s="1"/>
  <c r="L201" i="14"/>
  <c r="DC194" i="14"/>
  <c r="U193" i="14"/>
  <c r="B177" i="24"/>
  <c r="B174" i="24"/>
  <c r="B175" i="24" s="1"/>
  <c r="B176" i="24" s="1"/>
  <c r="B182" i="24"/>
  <c r="B178" i="24"/>
  <c r="DC338" i="14"/>
  <c r="BG171" i="14"/>
  <c r="BG82" i="14"/>
  <c r="DC185" i="14"/>
  <c r="U180" i="14"/>
  <c r="DO145" i="14"/>
  <c r="AG145" i="14" s="1"/>
  <c r="DO149" i="14"/>
  <c r="AG149" i="14" s="1"/>
  <c r="DI149" i="14"/>
  <c r="DI145" i="14"/>
  <c r="DC312" i="14"/>
  <c r="DC230" i="14"/>
  <c r="U183" i="14"/>
  <c r="AB183" i="23"/>
  <c r="BM172" i="14"/>
  <c r="DC172" i="14" s="1"/>
  <c r="U172" i="14" s="1"/>
  <c r="BM171" i="14"/>
  <c r="DC171" i="14" s="1"/>
  <c r="U171" i="14" s="1"/>
  <c r="BV172" i="14"/>
  <c r="BV171" i="14"/>
  <c r="BP172" i="14"/>
  <c r="DF172" i="14" s="1"/>
  <c r="X172" i="14" s="1"/>
  <c r="BP171" i="14"/>
  <c r="DF171" i="14" s="1"/>
  <c r="X171" i="14" s="1"/>
  <c r="BS172" i="14"/>
  <c r="BS171" i="14"/>
  <c r="BJ172" i="14"/>
  <c r="BJ171" i="14"/>
  <c r="CZ171" i="14" s="1"/>
  <c r="R171" i="14" s="1"/>
  <c r="CW361" i="14"/>
  <c r="CZ361" i="14"/>
  <c r="X36" i="14"/>
  <c r="BV133" i="14"/>
  <c r="BV137" i="14" s="1"/>
  <c r="X90" i="14"/>
  <c r="CE133" i="14"/>
  <c r="CE137" i="14" s="1"/>
  <c r="BM133" i="14"/>
  <c r="BM137" i="14" s="1"/>
  <c r="DC137" i="14" s="1"/>
  <c r="U137" i="14" s="1"/>
  <c r="BY133" i="14"/>
  <c r="BY137" i="14" s="1"/>
  <c r="X67" i="14"/>
  <c r="DF361" i="14"/>
  <c r="X13" i="14"/>
  <c r="AA67" i="14"/>
  <c r="DI361" i="14"/>
  <c r="CZ49" i="14"/>
  <c r="CB133" i="14"/>
  <c r="CB134" i="14" s="1"/>
  <c r="AA70" i="14"/>
  <c r="DL67" i="14"/>
  <c r="DL70" i="14"/>
  <c r="AD70" i="14" s="1"/>
  <c r="CG65" i="14"/>
  <c r="CG354" i="14" s="1"/>
  <c r="CJ181" i="14"/>
  <c r="N181" i="14"/>
  <c r="AR181" i="14" s="1"/>
  <c r="D181" i="7" s="1"/>
  <c r="D183" i="7" s="1"/>
  <c r="B186" i="24"/>
  <c r="B187" i="24" s="1"/>
  <c r="B188" i="24" s="1"/>
  <c r="B189" i="24" s="1"/>
  <c r="B190" i="24" s="1"/>
  <c r="B191" i="24" s="1"/>
  <c r="B192" i="24" s="1"/>
  <c r="B193" i="24" s="1"/>
  <c r="B194" i="24" s="1"/>
  <c r="B195" i="24" s="1"/>
  <c r="B196" i="24" s="1"/>
  <c r="B197" i="24" s="1"/>
  <c r="B198" i="24" s="1"/>
  <c r="B199" i="24" s="1"/>
  <c r="B200" i="24" s="1"/>
  <c r="B201" i="24" s="1"/>
  <c r="B204" i="24" s="1"/>
  <c r="B205" i="24" s="1"/>
  <c r="B207" i="24" s="1"/>
  <c r="B208" i="24" s="1"/>
  <c r="B212" i="24" s="1"/>
  <c r="B213" i="24" s="1"/>
  <c r="B214" i="24" s="1"/>
  <c r="B216" i="24" s="1"/>
  <c r="B218" i="24" s="1"/>
  <c r="B219" i="24" s="1"/>
  <c r="B220" i="24" s="1"/>
  <c r="B221" i="24" s="1"/>
  <c r="B222" i="24" s="1"/>
  <c r="B223" i="24" s="1"/>
  <c r="B224" i="24" s="1"/>
  <c r="B225" i="24" s="1"/>
  <c r="B226" i="24" s="1"/>
  <c r="B227" i="24" s="1"/>
  <c r="B228" i="24" s="1"/>
  <c r="B229" i="24" s="1"/>
  <c r="B230" i="24" s="1"/>
  <c r="B231" i="24" s="1"/>
  <c r="B232" i="24" s="1"/>
  <c r="B233" i="24" s="1"/>
  <c r="B234" i="24" s="1"/>
  <c r="B235" i="24" s="1"/>
  <c r="B183" i="24"/>
  <c r="B184" i="24" s="1"/>
  <c r="B185" i="24"/>
  <c r="AD248" i="23"/>
  <c r="M228" i="23"/>
  <c r="AD228" i="23" s="1"/>
  <c r="AD254" i="23"/>
  <c r="AD272" i="23" s="1"/>
  <c r="DC132" i="14" s="1"/>
  <c r="AH248" i="23"/>
  <c r="CH132" i="14"/>
  <c r="AJ248" i="23"/>
  <c r="BG132" i="14"/>
  <c r="AB248" i="23"/>
  <c r="BS132" i="14"/>
  <c r="AI248" i="23"/>
  <c r="BJ132" i="14"/>
  <c r="AE248" i="23"/>
  <c r="AC254" i="23"/>
  <c r="AC272" i="23" s="1"/>
  <c r="CZ132" i="14" s="1"/>
  <c r="AM226" i="23"/>
  <c r="AM248" i="23" s="1"/>
  <c r="R248" i="23" s="1"/>
  <c r="BO132" i="14" s="1"/>
  <c r="W132" i="14" s="1"/>
  <c r="W133" i="14" s="1"/>
  <c r="BP132" i="14"/>
  <c r="AK190" i="26"/>
  <c r="B101" i="24"/>
  <c r="CW332" i="14"/>
  <c r="CW217" i="14"/>
  <c r="BJ61" i="14"/>
  <c r="CZ61" i="14" s="1"/>
  <c r="R61" i="14" s="1"/>
  <c r="CW73" i="14"/>
  <c r="AF261" i="23"/>
  <c r="AF284" i="23" s="1"/>
  <c r="AF351" i="23"/>
  <c r="AF375" i="23" s="1"/>
  <c r="AF268" i="23"/>
  <c r="AF291" i="23" s="1"/>
  <c r="AF259" i="23"/>
  <c r="AF282" i="23" s="1"/>
  <c r="AF343" i="23"/>
  <c r="AF367" i="23" s="1"/>
  <c r="AH6" i="10"/>
  <c r="AO12" i="33"/>
  <c r="BY12" i="33" s="1"/>
  <c r="CZ43" i="14"/>
  <c r="CZ48" i="14" s="1"/>
  <c r="Y6" i="10"/>
  <c r="DC48" i="14"/>
  <c r="AF262" i="23"/>
  <c r="AF285" i="23" s="1"/>
  <c r="AL12" i="33"/>
  <c r="BV12" i="33" s="1"/>
  <c r="AB6" i="10"/>
  <c r="AJ29" i="23"/>
  <c r="AI29" i="23"/>
  <c r="AH29" i="23"/>
  <c r="AH56" i="23" s="1"/>
  <c r="AH81" i="23" s="1"/>
  <c r="AK29" i="23"/>
  <c r="AF257" i="23"/>
  <c r="AF280" i="23" s="1"/>
  <c r="AF352" i="23"/>
  <c r="AF376" i="23" s="1"/>
  <c r="AB19" i="23"/>
  <c r="AB46" i="23" s="1"/>
  <c r="AI19" i="23"/>
  <c r="AH19" i="23"/>
  <c r="AH46" i="23" s="1"/>
  <c r="AH71" i="23" s="1"/>
  <c r="AJ19" i="23"/>
  <c r="AK19" i="23"/>
  <c r="AH22" i="23"/>
  <c r="AH49" i="23" s="1"/>
  <c r="AH74" i="23" s="1"/>
  <c r="AK22" i="23"/>
  <c r="AJ22" i="23"/>
  <c r="AI22" i="23"/>
  <c r="AF254" i="23"/>
  <c r="AF277" i="23" s="1"/>
  <c r="AF297" i="23" s="1"/>
  <c r="AF266" i="23"/>
  <c r="AF289" i="23" s="1"/>
  <c r="AF260" i="23"/>
  <c r="AF283" i="23" s="1"/>
  <c r="AF344" i="23"/>
  <c r="AF368" i="23" s="1"/>
  <c r="AF263" i="23"/>
  <c r="AF286" i="23" s="1"/>
  <c r="AM18" i="23"/>
  <c r="AB272" i="23"/>
  <c r="CW132" i="14" s="1"/>
  <c r="AF258" i="23"/>
  <c r="AF281" i="23" s="1"/>
  <c r="CA65" i="14"/>
  <c r="CA354" i="14" s="1"/>
  <c r="CB48" i="14"/>
  <c r="CD65" i="14"/>
  <c r="CD354" i="14" s="1"/>
  <c r="CE48" i="14"/>
  <c r="AF126" i="14"/>
  <c r="AF129" i="14" s="1"/>
  <c r="CJ55" i="14"/>
  <c r="AF55" i="14"/>
  <c r="AF62" i="14" s="1"/>
  <c r="AF65" i="14" s="1"/>
  <c r="AF354" i="14" s="1"/>
  <c r="AK322" i="23"/>
  <c r="CH110" i="14" s="1"/>
  <c r="AJ322" i="23"/>
  <c r="CE110" i="14" s="1"/>
  <c r="AI322" i="23"/>
  <c r="CB110" i="14" s="1"/>
  <c r="AH322" i="23"/>
  <c r="BY110" i="14" s="1"/>
  <c r="DO110" i="14" s="1"/>
  <c r="AG110" i="14" s="1"/>
  <c r="CH48" i="14"/>
  <c r="DO190" i="14"/>
  <c r="AG190" i="14" s="1"/>
  <c r="DO179" i="14"/>
  <c r="AG179" i="14" s="1"/>
  <c r="DO153" i="14"/>
  <c r="AG153" i="14" s="1"/>
  <c r="DO123" i="14"/>
  <c r="AG123" i="14" s="1"/>
  <c r="DO198" i="14"/>
  <c r="DO183" i="14"/>
  <c r="AG183" i="14" s="1"/>
  <c r="DO175" i="14"/>
  <c r="DO138" i="14"/>
  <c r="AG138" i="14" s="1"/>
  <c r="DO125" i="14"/>
  <c r="AG125" i="14" s="1"/>
  <c r="DO184" i="14"/>
  <c r="AG184" i="14" s="1"/>
  <c r="DO140" i="14"/>
  <c r="AG140" i="14" s="1"/>
  <c r="DO124" i="14"/>
  <c r="AG124" i="14" s="1"/>
  <c r="DO200" i="14"/>
  <c r="AG200" i="14" s="1"/>
  <c r="DO178" i="14"/>
  <c r="AG178" i="14" s="1"/>
  <c r="DO193" i="14"/>
  <c r="DO30" i="14"/>
  <c r="AG30" i="14" s="1"/>
  <c r="DO180" i="14"/>
  <c r="DO135" i="14"/>
  <c r="AG135" i="14" s="1"/>
  <c r="DO63" i="14"/>
  <c r="DO127" i="14"/>
  <c r="AG127" i="14" s="1"/>
  <c r="DO14" i="14"/>
  <c r="AG14" i="14" s="1"/>
  <c r="DO44" i="14"/>
  <c r="AG44" i="14" s="1"/>
  <c r="DO91" i="14"/>
  <c r="AG91" i="14" s="1"/>
  <c r="DO117" i="14"/>
  <c r="AG117" i="14" s="1"/>
  <c r="DO46" i="14"/>
  <c r="AG46" i="14" s="1"/>
  <c r="DO97" i="14"/>
  <c r="AG97" i="14" s="1"/>
  <c r="DO119" i="14"/>
  <c r="AG119" i="14" s="1"/>
  <c r="DO13" i="14"/>
  <c r="DO47" i="14"/>
  <c r="AG47" i="14" s="1"/>
  <c r="DO90" i="14"/>
  <c r="DO116" i="14"/>
  <c r="AG116" i="14" s="1"/>
  <c r="DO15" i="14"/>
  <c r="AG15" i="14" s="1"/>
  <c r="DO45" i="14"/>
  <c r="AG45" i="14" s="1"/>
  <c r="DO92" i="14"/>
  <c r="AG92" i="14" s="1"/>
  <c r="DO118" i="14"/>
  <c r="AG118" i="14" s="1"/>
  <c r="DO18" i="14"/>
  <c r="AG18" i="14" s="1"/>
  <c r="DO53" i="14"/>
  <c r="AG53" i="14" s="1"/>
  <c r="DO100" i="14"/>
  <c r="AG100" i="14" s="1"/>
  <c r="DO20" i="14"/>
  <c r="AG20" i="14" s="1"/>
  <c r="DO51" i="14"/>
  <c r="AG51" i="14" s="1"/>
  <c r="DO102" i="14"/>
  <c r="AG102" i="14" s="1"/>
  <c r="DO17" i="14"/>
  <c r="AG17" i="14" s="1"/>
  <c r="DO52" i="14"/>
  <c r="AG52" i="14" s="1"/>
  <c r="DO99" i="14"/>
  <c r="AG99" i="14" s="1"/>
  <c r="DO131" i="14"/>
  <c r="DO19" i="14"/>
  <c r="AG19" i="14" s="1"/>
  <c r="DO50" i="14"/>
  <c r="AG50" i="14" s="1"/>
  <c r="DO96" i="14"/>
  <c r="AG96" i="14" s="1"/>
  <c r="DO38" i="14"/>
  <c r="AG38" i="14" s="1"/>
  <c r="DO144" i="14"/>
  <c r="DO16" i="14"/>
  <c r="AG16" i="14" s="1"/>
  <c r="DO29" i="14"/>
  <c r="AG29" i="14" s="1"/>
  <c r="DO57" i="14"/>
  <c r="AG57" i="14" s="1"/>
  <c r="DO106" i="14"/>
  <c r="AG106" i="14" s="1"/>
  <c r="DO37" i="14"/>
  <c r="AG37" i="14" s="1"/>
  <c r="DO59" i="14"/>
  <c r="AG59" i="14" s="1"/>
  <c r="DO108" i="14"/>
  <c r="AG108" i="14" s="1"/>
  <c r="DO28" i="14"/>
  <c r="AG28" i="14" s="1"/>
  <c r="DO56" i="14"/>
  <c r="AG56" i="14" s="1"/>
  <c r="DO103" i="14"/>
  <c r="AG103" i="14" s="1"/>
  <c r="DO150" i="14"/>
  <c r="AG150" i="14" s="1"/>
  <c r="DO36" i="14"/>
  <c r="DO54" i="14"/>
  <c r="AG54" i="14" s="1"/>
  <c r="DO107" i="14"/>
  <c r="AG107" i="14" s="1"/>
  <c r="DO147" i="14"/>
  <c r="AG147" i="14" s="1"/>
  <c r="DO146" i="14"/>
  <c r="AG146" i="14" s="1"/>
  <c r="DO39" i="14"/>
  <c r="AG39" i="14" s="1"/>
  <c r="DO112" i="14"/>
  <c r="AG112" i="14" s="1"/>
  <c r="DO42" i="14"/>
  <c r="AG42" i="14" s="1"/>
  <c r="DO115" i="14"/>
  <c r="AG115" i="14" s="1"/>
  <c r="DO113" i="14"/>
  <c r="AG113" i="14" s="1"/>
  <c r="DO41" i="14"/>
  <c r="AG41" i="14" s="1"/>
  <c r="DO60" i="14"/>
  <c r="AG60" i="14" s="1"/>
  <c r="DO40" i="14"/>
  <c r="AG40" i="14" s="1"/>
  <c r="DO93" i="14"/>
  <c r="AG93" i="14" s="1"/>
  <c r="DO109" i="14"/>
  <c r="AG109" i="14" s="1"/>
  <c r="DO58" i="14"/>
  <c r="AG58" i="14" s="1"/>
  <c r="DO148" i="14"/>
  <c r="AG148" i="14" s="1"/>
  <c r="DO75" i="14"/>
  <c r="AG75" i="14" s="1"/>
  <c r="DO151" i="14"/>
  <c r="DO154" i="14"/>
  <c r="DO171" i="14"/>
  <c r="AG171" i="14" s="1"/>
  <c r="DO69" i="14"/>
  <c r="AG69" i="14" s="1"/>
  <c r="DO80" i="14"/>
  <c r="AG80" i="14" s="1"/>
  <c r="DO72" i="14"/>
  <c r="AG72" i="14" s="1"/>
  <c r="DO81" i="14"/>
  <c r="AG81" i="14" s="1"/>
  <c r="DO67" i="14"/>
  <c r="DO68" i="14"/>
  <c r="AG68" i="14" s="1"/>
  <c r="DO71" i="14"/>
  <c r="AG71" i="14" s="1"/>
  <c r="AE277" i="23"/>
  <c r="AE297" i="23" s="1"/>
  <c r="D43" i="7"/>
  <c r="S43" i="7" s="1"/>
  <c r="S48" i="7" s="1"/>
  <c r="AR110" i="14"/>
  <c r="D110" i="7" s="1"/>
  <c r="AR94" i="14"/>
  <c r="AR104" i="14" s="1"/>
  <c r="E101" i="7"/>
  <c r="T101" i="7" s="1"/>
  <c r="AM21" i="23"/>
  <c r="CK78" i="14"/>
  <c r="AG172" i="23"/>
  <c r="DL78" i="14" s="1"/>
  <c r="AF340" i="23"/>
  <c r="AF364" i="23" s="1"/>
  <c r="AF353" i="23"/>
  <c r="AF377" i="23" s="1"/>
  <c r="AF345" i="23"/>
  <c r="AF369" i="23" s="1"/>
  <c r="AF348" i="23"/>
  <c r="AF372" i="23" s="1"/>
  <c r="AF350" i="23"/>
  <c r="AF374" i="23" s="1"/>
  <c r="AF267" i="23"/>
  <c r="AF290" i="23" s="1"/>
  <c r="AF265" i="23"/>
  <c r="AF288" i="23" s="1"/>
  <c r="AG10" i="23"/>
  <c r="AH10" i="23" s="1"/>
  <c r="AH353" i="23" s="1"/>
  <c r="AH377" i="23" s="1"/>
  <c r="AF255" i="23"/>
  <c r="AF278" i="23" s="1"/>
  <c r="AF341" i="23"/>
  <c r="AF365" i="23" s="1"/>
  <c r="AF349" i="23"/>
  <c r="AF373" i="23" s="1"/>
  <c r="AF264" i="23"/>
  <c r="AF287" i="23" s="1"/>
  <c r="AF342" i="23"/>
  <c r="AF366" i="23" s="1"/>
  <c r="AI8" i="23"/>
  <c r="DR4" i="14" s="1"/>
  <c r="AH47" i="23"/>
  <c r="AH72" i="23" s="1"/>
  <c r="AH59" i="23"/>
  <c r="AH84" i="23" s="1"/>
  <c r="AH50" i="23"/>
  <c r="AH75" i="23" s="1"/>
  <c r="AH48" i="23"/>
  <c r="AH73" i="23" s="1"/>
  <c r="AH45" i="23"/>
  <c r="AH70" i="23" s="1"/>
  <c r="AH52" i="23"/>
  <c r="AH77" i="23" s="1"/>
  <c r="AA81" i="14"/>
  <c r="AA72" i="14"/>
  <c r="AE376" i="23"/>
  <c r="AI9" i="23"/>
  <c r="DR5" i="14" s="1"/>
  <c r="DR70" i="14" s="1"/>
  <c r="AJ70" i="14" s="1"/>
  <c r="AH167" i="23"/>
  <c r="AH203" i="23" s="1"/>
  <c r="AH165" i="23"/>
  <c r="AH163" i="23"/>
  <c r="AH159" i="23"/>
  <c r="AH195" i="23" s="1"/>
  <c r="AH157" i="23"/>
  <c r="AH154" i="23"/>
  <c r="AH152" i="23"/>
  <c r="AH150" i="23"/>
  <c r="AH148" i="23"/>
  <c r="AH146" i="23"/>
  <c r="AH182" i="23" s="1"/>
  <c r="AH144" i="23"/>
  <c r="AH168" i="23"/>
  <c r="AH166" i="23"/>
  <c r="AH202" i="23" s="1"/>
  <c r="AH164" i="23"/>
  <c r="AH200" i="23" s="1"/>
  <c r="AH162" i="23"/>
  <c r="AH160" i="23"/>
  <c r="AH158" i="23"/>
  <c r="AH155" i="23"/>
  <c r="AH191" i="23" s="1"/>
  <c r="AH153" i="23"/>
  <c r="AH151" i="23"/>
  <c r="AH187" i="23" s="1"/>
  <c r="AH149" i="23"/>
  <c r="AH185" i="23" s="1"/>
  <c r="AH147" i="23"/>
  <c r="AH145" i="23"/>
  <c r="AH143" i="23"/>
  <c r="AH142" i="23"/>
  <c r="AC70" i="23"/>
  <c r="AC73" i="23"/>
  <c r="AA80" i="14"/>
  <c r="AH44" i="23"/>
  <c r="AH69" i="23" s="1"/>
  <c r="AE287" i="23"/>
  <c r="U151" i="14"/>
  <c r="DC154" i="14"/>
  <c r="CK154" i="14"/>
  <c r="X69" i="14"/>
  <c r="CW75" i="14"/>
  <c r="CK75" i="14"/>
  <c r="O71" i="14"/>
  <c r="CK73" i="14"/>
  <c r="O68" i="14"/>
  <c r="D16" i="7"/>
  <c r="S16" i="7" s="1"/>
  <c r="E22" i="2"/>
  <c r="E26" i="2"/>
  <c r="AB69" i="23"/>
  <c r="DO172" i="14"/>
  <c r="AG172" i="14" s="1"/>
  <c r="BP76" i="14"/>
  <c r="DL81" i="14"/>
  <c r="AD81" i="14" s="1"/>
  <c r="DL71" i="14"/>
  <c r="AD71" i="14" s="1"/>
  <c r="DL68" i="14"/>
  <c r="AD68" i="14" s="1"/>
  <c r="DL72" i="14"/>
  <c r="AD72" i="14" s="1"/>
  <c r="DL80" i="14"/>
  <c r="AD80" i="14" s="1"/>
  <c r="BP49" i="14"/>
  <c r="DL69" i="14"/>
  <c r="AD69" i="14" s="1"/>
  <c r="AD19" i="23"/>
  <c r="DF332" i="14"/>
  <c r="T126" i="14"/>
  <c r="T129" i="14" s="1"/>
  <c r="AC19" i="23"/>
  <c r="AC46" i="23" s="1"/>
  <c r="BU65" i="14"/>
  <c r="BU354" i="14" s="1"/>
  <c r="Q62" i="14"/>
  <c r="Q65" i="14" s="1"/>
  <c r="Q354" i="14" s="1"/>
  <c r="BI65" i="14"/>
  <c r="BI354" i="14" s="1"/>
  <c r="DF43" i="14"/>
  <c r="X43" i="14" s="1"/>
  <c r="BG155" i="14"/>
  <c r="AG180" i="23"/>
  <c r="BG48" i="14"/>
  <c r="CW43" i="14"/>
  <c r="AG179" i="23"/>
  <c r="AG184" i="23"/>
  <c r="AG198" i="23"/>
  <c r="AG45" i="23"/>
  <c r="AG70" i="23" s="1"/>
  <c r="AG48" i="23"/>
  <c r="AG73" i="23" s="1"/>
  <c r="BG76" i="14"/>
  <c r="CW224" i="14"/>
  <c r="CW152" i="14"/>
  <c r="CW155" i="14" s="1"/>
  <c r="AE19" i="23"/>
  <c r="AE46" i="23" s="1"/>
  <c r="AE71" i="23" s="1"/>
  <c r="AG19" i="23"/>
  <c r="AF19" i="23"/>
  <c r="AF46" i="23" s="1"/>
  <c r="AF71" i="23" s="1"/>
  <c r="BP155" i="14"/>
  <c r="BM155" i="14"/>
  <c r="BS61" i="14"/>
  <c r="DI61" i="14" s="1"/>
  <c r="AA61" i="14" s="1"/>
  <c r="BL65" i="14"/>
  <c r="BL354" i="14" s="1"/>
  <c r="T62" i="14"/>
  <c r="T65" i="14" s="1"/>
  <c r="T354" i="14" s="1"/>
  <c r="Z55" i="14"/>
  <c r="Q126" i="14"/>
  <c r="Q129" i="14" s="1"/>
  <c r="M314" i="23"/>
  <c r="I332" i="23"/>
  <c r="Z104" i="14"/>
  <c r="AH12" i="43"/>
  <c r="AI138" i="43"/>
  <c r="AI242" i="43" s="1"/>
  <c r="AS12" i="43"/>
  <c r="AS138" i="43" s="1"/>
  <c r="AS242" i="43" s="1"/>
  <c r="AI134" i="43"/>
  <c r="AS134" i="43" s="1"/>
  <c r="AK242" i="43"/>
  <c r="CK224" i="14"/>
  <c r="E24" i="33" s="1"/>
  <c r="J13" i="10"/>
  <c r="M6" i="10"/>
  <c r="AF24" i="33"/>
  <c r="BP24" i="33" s="1"/>
  <c r="V6" i="10"/>
  <c r="Z24" i="33"/>
  <c r="BJ24" i="33" s="1"/>
  <c r="S6" i="10"/>
  <c r="CZ75" i="14"/>
  <c r="R75" i="14" s="1"/>
  <c r="G6" i="10"/>
  <c r="AN242" i="43"/>
  <c r="K50" i="15"/>
  <c r="AK187" i="25"/>
  <c r="CW336" i="14"/>
  <c r="AH202" i="43"/>
  <c r="AH173" i="43"/>
  <c r="CK336" i="14"/>
  <c r="C44" i="39" s="1"/>
  <c r="AB199" i="23"/>
  <c r="DI75" i="14"/>
  <c r="AA75" i="14" s="1"/>
  <c r="DI28" i="14"/>
  <c r="DC224" i="14"/>
  <c r="DC75" i="14"/>
  <c r="U75" i="14" s="1"/>
  <c r="DC73" i="14"/>
  <c r="AC24" i="33"/>
  <c r="BM24" i="33" s="1"/>
  <c r="Q24" i="33"/>
  <c r="BA24" i="33" s="1"/>
  <c r="DI73" i="14"/>
  <c r="X71" i="14"/>
  <c r="AH190" i="27"/>
  <c r="U68" i="14"/>
  <c r="U361" i="14" s="1"/>
  <c r="DC332" i="14"/>
  <c r="AF84" i="23"/>
  <c r="DI56" i="14"/>
  <c r="DI51" i="14"/>
  <c r="DI124" i="14"/>
  <c r="DI54" i="14"/>
  <c r="DI127" i="14"/>
  <c r="DI138" i="14"/>
  <c r="DI179" i="14"/>
  <c r="DI119" i="14"/>
  <c r="DI180" i="14"/>
  <c r="DI178" i="14"/>
  <c r="DI125" i="14"/>
  <c r="DI190" i="14"/>
  <c r="DI59" i="14"/>
  <c r="DI112" i="14"/>
  <c r="DI193" i="14"/>
  <c r="DI140" i="14"/>
  <c r="DI198" i="14"/>
  <c r="DI150" i="14"/>
  <c r="DI135" i="14"/>
  <c r="DI107" i="14"/>
  <c r="DI146" i="14"/>
  <c r="DI52" i="14"/>
  <c r="DI106" i="14"/>
  <c r="DI117" i="14"/>
  <c r="DI115" i="14"/>
  <c r="DI63" i="14"/>
  <c r="DI58" i="14"/>
  <c r="DI148" i="14"/>
  <c r="DI116" i="14"/>
  <c r="DI200" i="14"/>
  <c r="DI123" i="14"/>
  <c r="DI30" i="14"/>
  <c r="DI109" i="14"/>
  <c r="DI108" i="14"/>
  <c r="DI50" i="14"/>
  <c r="DI118" i="14"/>
  <c r="DI175" i="14"/>
  <c r="DI113" i="14"/>
  <c r="DI153" i="14"/>
  <c r="DI60" i="14"/>
  <c r="DI183" i="14"/>
  <c r="DI53" i="14"/>
  <c r="DI29" i="14"/>
  <c r="DI57" i="14"/>
  <c r="DI184" i="14"/>
  <c r="DI17" i="14"/>
  <c r="DI144" i="14"/>
  <c r="DI46" i="14"/>
  <c r="DI103" i="14"/>
  <c r="DI39" i="14"/>
  <c r="DI19" i="14"/>
  <c r="DI90" i="14"/>
  <c r="DI91" i="14"/>
  <c r="DI16" i="14"/>
  <c r="DI45" i="14"/>
  <c r="DI37" i="14"/>
  <c r="DI100" i="14"/>
  <c r="DI15" i="14"/>
  <c r="DI99" i="14"/>
  <c r="DI38" i="14"/>
  <c r="DI41" i="14"/>
  <c r="DI47" i="14"/>
  <c r="DI131" i="14"/>
  <c r="DI44" i="14"/>
  <c r="DI18" i="14"/>
  <c r="DI14" i="14"/>
  <c r="DI20" i="14"/>
  <c r="DI93" i="14"/>
  <c r="DI36" i="14"/>
  <c r="DI96" i="14"/>
  <c r="DI92" i="14"/>
  <c r="DI13" i="14"/>
  <c r="DI40" i="14"/>
  <c r="DI102" i="14"/>
  <c r="DI42" i="14"/>
  <c r="DI97" i="14"/>
  <c r="AF322" i="23"/>
  <c r="AC322" i="23"/>
  <c r="AB322" i="23"/>
  <c r="AG322" i="23"/>
  <c r="AD322" i="23"/>
  <c r="AE322" i="23"/>
  <c r="DF133" i="14"/>
  <c r="X131" i="14"/>
  <c r="DF73" i="14"/>
  <c r="DF76" i="14" s="1"/>
  <c r="DI147" i="14"/>
  <c r="DC336" i="14"/>
  <c r="DI151" i="14"/>
  <c r="R68" i="14"/>
  <c r="R361" i="14" s="1"/>
  <c r="CZ332" i="14"/>
  <c r="CZ217" i="14"/>
  <c r="CZ73" i="14"/>
  <c r="BV49" i="14"/>
  <c r="BV61" i="14"/>
  <c r="DI217" i="14"/>
  <c r="DI154" i="14"/>
  <c r="DF152" i="14"/>
  <c r="DF155" i="14" s="1"/>
  <c r="DF336" i="14"/>
  <c r="DF224" i="14"/>
  <c r="X144" i="14"/>
  <c r="DI49" i="14"/>
  <c r="AA49" i="14" s="1"/>
  <c r="DF217" i="14"/>
  <c r="DI332" i="14"/>
  <c r="DF185" i="14"/>
  <c r="X183" i="14"/>
  <c r="X180" i="14"/>
  <c r="DF230" i="14"/>
  <c r="X193" i="14"/>
  <c r="DF231" i="14"/>
  <c r="DF194" i="14"/>
  <c r="X63" i="14"/>
  <c r="X338" i="14" s="1"/>
  <c r="DF338" i="14"/>
  <c r="U147" i="14"/>
  <c r="DE155" i="14"/>
  <c r="DZ155" i="14" s="1"/>
  <c r="DZ156" i="14" s="1"/>
  <c r="DZ163" i="14" s="1"/>
  <c r="DC217" i="14"/>
  <c r="AF72" i="23"/>
  <c r="Z12" i="33"/>
  <c r="BJ12" i="33" s="1"/>
  <c r="P6" i="10"/>
  <c r="DC152" i="14"/>
  <c r="AA71" i="14"/>
  <c r="DI43" i="14"/>
  <c r="BJ155" i="14"/>
  <c r="CZ154" i="14"/>
  <c r="R154" i="14" s="1"/>
  <c r="R155" i="14" s="1"/>
  <c r="AS190" i="27"/>
  <c r="O224" i="14"/>
  <c r="G39" i="10" s="1"/>
  <c r="O152" i="14"/>
  <c r="O155" i="14" s="1"/>
  <c r="O336" i="14"/>
  <c r="AF75" i="23"/>
  <c r="DL4" i="14"/>
  <c r="AG52" i="23"/>
  <c r="AG77" i="23" s="1"/>
  <c r="AG59" i="23"/>
  <c r="AG84" i="23" s="1"/>
  <c r="AG50" i="23"/>
  <c r="AG75" i="23" s="1"/>
  <c r="AG47" i="23"/>
  <c r="AG72" i="23" s="1"/>
  <c r="AG44" i="23"/>
  <c r="K122" i="15"/>
  <c r="CK217" i="14"/>
  <c r="CK332" i="14"/>
  <c r="W24" i="33"/>
  <c r="BG24" i="33" s="1"/>
  <c r="M13" i="10"/>
  <c r="T12" i="33"/>
  <c r="BD12" i="33" s="1"/>
  <c r="J6" i="10"/>
  <c r="X198" i="14"/>
  <c r="X175" i="14"/>
  <c r="DF340" i="14"/>
  <c r="DF312" i="14"/>
  <c r="U48" i="14"/>
  <c r="M321" i="23"/>
  <c r="H333" i="23"/>
  <c r="DF61" i="14"/>
  <c r="DC49" i="14"/>
  <c r="DC360" i="14" s="1"/>
  <c r="G156" i="15" a="1"/>
  <c r="G156" i="15" s="1"/>
  <c r="Z249" i="24"/>
  <c r="AI249" i="24"/>
  <c r="AH253" i="24"/>
  <c r="AS253" i="24"/>
  <c r="AE48" i="23"/>
  <c r="AE73" i="23" s="1"/>
  <c r="AB48" i="23"/>
  <c r="AB73" i="23" s="1"/>
  <c r="AB29" i="23"/>
  <c r="AG29" i="23"/>
  <c r="AF29" i="23"/>
  <c r="AD29" i="23"/>
  <c r="AC29" i="23"/>
  <c r="AE29" i="23"/>
  <c r="AB195" i="23"/>
  <c r="AI21" i="26"/>
  <c r="Z21" i="26"/>
  <c r="AB194" i="23"/>
  <c r="AD46" i="23"/>
  <c r="AD71" i="23" s="1"/>
  <c r="AD45" i="23"/>
  <c r="AD70" i="23" s="1"/>
  <c r="AB193" i="23"/>
  <c r="AB45" i="23"/>
  <c r="AE45" i="23"/>
  <c r="AE70" i="23" s="1"/>
  <c r="AI21" i="25"/>
  <c r="Z21" i="25"/>
  <c r="BG172" i="14"/>
  <c r="CW172" i="14" s="1"/>
  <c r="O172" i="14" s="1"/>
  <c r="AG22" i="23"/>
  <c r="AD22" i="23"/>
  <c r="AB22" i="23"/>
  <c r="AE22" i="23"/>
  <c r="AC22" i="23"/>
  <c r="AF22" i="23"/>
  <c r="AE183" i="23"/>
  <c r="DF78" i="14"/>
  <c r="X78" i="14" s="1"/>
  <c r="M124" i="23"/>
  <c r="AB208" i="23"/>
  <c r="AF208" i="23"/>
  <c r="AD208" i="23"/>
  <c r="CZ78" i="14"/>
  <c r="DC78" i="14"/>
  <c r="AC183" i="23"/>
  <c r="CW78" i="14"/>
  <c r="O78" i="14" s="1"/>
  <c r="DI78" i="14"/>
  <c r="C40" i="39" l="1"/>
  <c r="D30" i="11"/>
  <c r="L319" i="14"/>
  <c r="L321" i="14" s="1"/>
  <c r="D38" i="39" s="1"/>
  <c r="D49" i="39" s="1"/>
  <c r="D50" i="39" s="1"/>
  <c r="D47" i="10"/>
  <c r="D50" i="10" s="1"/>
  <c r="L279" i="14"/>
  <c r="L281" i="14" s="1"/>
  <c r="CT232" i="14"/>
  <c r="CT279" i="14" s="1"/>
  <c r="H49" i="8" s="1"/>
  <c r="CT313" i="14"/>
  <c r="CT319" i="14" s="1"/>
  <c r="CT321" i="14" s="1"/>
  <c r="CT341" i="14"/>
  <c r="CT343" i="14" s="1"/>
  <c r="DL28" i="14"/>
  <c r="AD28" i="14" s="1"/>
  <c r="DL145" i="14"/>
  <c r="AD145" i="14" s="1"/>
  <c r="DL149" i="14"/>
  <c r="AD149" i="14" s="1"/>
  <c r="AA145" i="14"/>
  <c r="AA149" i="14"/>
  <c r="DR172" i="14"/>
  <c r="AJ172" i="14" s="1"/>
  <c r="DR145" i="14"/>
  <c r="AJ145" i="14" s="1"/>
  <c r="DR149" i="14"/>
  <c r="AJ149" i="14" s="1"/>
  <c r="B215" i="24"/>
  <c r="B217" i="24"/>
  <c r="S181" i="7"/>
  <c r="S183" i="7" s="1"/>
  <c r="BM134" i="14"/>
  <c r="DC134" i="14" s="1"/>
  <c r="CB137" i="14"/>
  <c r="DR137" i="14" s="1"/>
  <c r="AJ137" i="14" s="1"/>
  <c r="BV134" i="14"/>
  <c r="DL134" i="14" s="1"/>
  <c r="X48" i="14"/>
  <c r="CE134" i="14"/>
  <c r="DO361" i="14"/>
  <c r="O361" i="14"/>
  <c r="BY134" i="14"/>
  <c r="DO134" i="14" s="1"/>
  <c r="CW133" i="14"/>
  <c r="AA361" i="14"/>
  <c r="BP133" i="14"/>
  <c r="BP134" i="14" s="1"/>
  <c r="DF134" i="14" s="1"/>
  <c r="BG133" i="14"/>
  <c r="BG134" i="14" s="1"/>
  <c r="CW134" i="14" s="1"/>
  <c r="AD67" i="14"/>
  <c r="AD361" i="14" s="1"/>
  <c r="DL361" i="14"/>
  <c r="CH133" i="14"/>
  <c r="CH134" i="14" s="1"/>
  <c r="R49" i="14"/>
  <c r="R360" i="14" s="1"/>
  <c r="CZ360" i="14"/>
  <c r="AG90" i="14"/>
  <c r="AG131" i="14"/>
  <c r="BJ133" i="14"/>
  <c r="BJ137" i="14" s="1"/>
  <c r="DC133" i="14"/>
  <c r="DF49" i="14"/>
  <c r="DF360" i="14" s="1"/>
  <c r="AG13" i="14"/>
  <c r="X361" i="14"/>
  <c r="DI360" i="14"/>
  <c r="BS133" i="14"/>
  <c r="BS137" i="14" s="1"/>
  <c r="D48" i="7"/>
  <c r="B238" i="24"/>
  <c r="B239" i="24" s="1"/>
  <c r="B240" i="24" s="1"/>
  <c r="B242" i="24" s="1"/>
  <c r="B243" i="24" s="1"/>
  <c r="B244" i="24" s="1"/>
  <c r="B245" i="24" s="1"/>
  <c r="B246" i="24" s="1"/>
  <c r="B247" i="24" s="1"/>
  <c r="B248" i="24" s="1"/>
  <c r="B236" i="24"/>
  <c r="B237" i="24" s="1"/>
  <c r="AE228" i="23"/>
  <c r="AC228" i="23"/>
  <c r="M249" i="23"/>
  <c r="AI228" i="23"/>
  <c r="AB228" i="23"/>
  <c r="AK228" i="23"/>
  <c r="M243" i="23"/>
  <c r="M246" i="23" s="1"/>
  <c r="U132" i="14"/>
  <c r="AG228" i="23"/>
  <c r="AJ228" i="23"/>
  <c r="AD277" i="23"/>
  <c r="AD297" i="23" s="1"/>
  <c r="AF228" i="23"/>
  <c r="AH228" i="23"/>
  <c r="AC277" i="23"/>
  <c r="AC297" i="23" s="1"/>
  <c r="S248" i="23"/>
  <c r="BR132" i="14" s="1"/>
  <c r="Z132" i="14" s="1"/>
  <c r="X248" i="23"/>
  <c r="CG132" i="14" s="1"/>
  <c r="AO132" i="14" s="1"/>
  <c r="AO133" i="14" s="1"/>
  <c r="U248" i="23"/>
  <c r="BX132" i="14" s="1"/>
  <c r="AF132" i="14" s="1"/>
  <c r="AF133" i="14" s="1"/>
  <c r="P248" i="23"/>
  <c r="BI132" i="14" s="1"/>
  <c r="Q132" i="14" s="1"/>
  <c r="Q133" i="14" s="1"/>
  <c r="V248" i="23"/>
  <c r="CA132" i="14" s="1"/>
  <c r="AI132" i="14" s="1"/>
  <c r="AI133" i="14" s="1"/>
  <c r="Q248" i="23"/>
  <c r="BL132" i="14" s="1"/>
  <c r="T132" i="14" s="1"/>
  <c r="T133" i="14" s="1"/>
  <c r="W248" i="23"/>
  <c r="CD132" i="14" s="1"/>
  <c r="AL132" i="14" s="1"/>
  <c r="AL133" i="14" s="1"/>
  <c r="T248" i="23"/>
  <c r="BU132" i="14" s="1"/>
  <c r="AC132" i="14" s="1"/>
  <c r="AC133" i="14" s="1"/>
  <c r="O248" i="23"/>
  <c r="BF132" i="14" s="1"/>
  <c r="N132" i="14" s="1"/>
  <c r="N133" i="14" s="1"/>
  <c r="N139" i="14" s="1"/>
  <c r="N142" i="14" s="1"/>
  <c r="CK132" i="14"/>
  <c r="X132" i="14"/>
  <c r="X133" i="14" s="1"/>
  <c r="X134" i="14" s="1"/>
  <c r="AF272" i="23"/>
  <c r="DI132" i="14" s="1"/>
  <c r="AA132" i="14" s="1"/>
  <c r="CW76" i="14"/>
  <c r="O132" i="14"/>
  <c r="DC155" i="14"/>
  <c r="CE12" i="33"/>
  <c r="K12" i="33" s="1"/>
  <c r="R43" i="14"/>
  <c r="R48" i="14" s="1"/>
  <c r="AH268" i="23"/>
  <c r="AH291" i="23" s="1"/>
  <c r="AM19" i="23"/>
  <c r="AI124" i="23"/>
  <c r="AI161" i="23" s="1"/>
  <c r="AI197" i="23" s="1"/>
  <c r="AG124" i="23"/>
  <c r="AG161" i="23" s="1"/>
  <c r="AH124" i="23"/>
  <c r="AH161" i="23" s="1"/>
  <c r="AJ124" i="23"/>
  <c r="AB124" i="23"/>
  <c r="AD124" i="23"/>
  <c r="AD161" i="23" s="1"/>
  <c r="AF124" i="23"/>
  <c r="AF161" i="23" s="1"/>
  <c r="AC124" i="23"/>
  <c r="AC161" i="23" s="1"/>
  <c r="AK124" i="23"/>
  <c r="AE124" i="23"/>
  <c r="AE161" i="23" s="1"/>
  <c r="AG267" i="23"/>
  <c r="D94" i="7"/>
  <c r="AM29" i="23"/>
  <c r="AM22" i="23"/>
  <c r="CH49" i="14"/>
  <c r="CH61" i="14"/>
  <c r="AK314" i="23"/>
  <c r="AJ314" i="23"/>
  <c r="AI314" i="23"/>
  <c r="AH314" i="23"/>
  <c r="AH339" i="23" s="1"/>
  <c r="AH363" i="23" s="1"/>
  <c r="AM322" i="23"/>
  <c r="CE49" i="14"/>
  <c r="CE61" i="14"/>
  <c r="AH321" i="23"/>
  <c r="BY55" i="14" s="1"/>
  <c r="AI321" i="23"/>
  <c r="AK321" i="23"/>
  <c r="AJ321" i="23"/>
  <c r="CE55" i="14" s="1"/>
  <c r="CB61" i="14"/>
  <c r="DR61" i="14" s="1"/>
  <c r="AJ61" i="14" s="1"/>
  <c r="CB49" i="14"/>
  <c r="AG341" i="23"/>
  <c r="AG365" i="23" s="1"/>
  <c r="AG67" i="14"/>
  <c r="AG361" i="14" s="1"/>
  <c r="DO332" i="14"/>
  <c r="DO217" i="14"/>
  <c r="DO73" i="14"/>
  <c r="DO76" i="14" s="1"/>
  <c r="DO152" i="14"/>
  <c r="DO155" i="14" s="1"/>
  <c r="AG151" i="14"/>
  <c r="DR81" i="14"/>
  <c r="AJ81" i="14" s="1"/>
  <c r="DR72" i="14"/>
  <c r="AJ72" i="14" s="1"/>
  <c r="DR80" i="14"/>
  <c r="AJ80" i="14" s="1"/>
  <c r="DR69" i="14"/>
  <c r="AJ69" i="14" s="1"/>
  <c r="DR68" i="14"/>
  <c r="AJ68" i="14" s="1"/>
  <c r="DR67" i="14"/>
  <c r="DR71" i="14"/>
  <c r="DR200" i="14"/>
  <c r="AJ200" i="14" s="1"/>
  <c r="DR184" i="14"/>
  <c r="AJ184" i="14" s="1"/>
  <c r="DR178" i="14"/>
  <c r="AJ178" i="14" s="1"/>
  <c r="DR140" i="14"/>
  <c r="AJ140" i="14" s="1"/>
  <c r="DR127" i="14"/>
  <c r="AJ127" i="14" s="1"/>
  <c r="DR63" i="14"/>
  <c r="DR30" i="14"/>
  <c r="AJ30" i="14" s="1"/>
  <c r="DR193" i="14"/>
  <c r="DR180" i="14"/>
  <c r="DR135" i="14"/>
  <c r="AJ135" i="14" s="1"/>
  <c r="DR124" i="14"/>
  <c r="AJ124" i="14" s="1"/>
  <c r="DR190" i="14"/>
  <c r="AJ190" i="14" s="1"/>
  <c r="DR125" i="14"/>
  <c r="AJ125" i="14" s="1"/>
  <c r="DR183" i="14"/>
  <c r="AJ183" i="14" s="1"/>
  <c r="DR153" i="14"/>
  <c r="AJ153" i="14" s="1"/>
  <c r="DR123" i="14"/>
  <c r="AJ123" i="14" s="1"/>
  <c r="DR43" i="14"/>
  <c r="AJ43" i="14" s="1"/>
  <c r="DR179" i="14"/>
  <c r="AJ179" i="14" s="1"/>
  <c r="DR138" i="14"/>
  <c r="AJ138" i="14" s="1"/>
  <c r="DR110" i="14"/>
  <c r="AJ110" i="14" s="1"/>
  <c r="DR198" i="14"/>
  <c r="DR175" i="14"/>
  <c r="DR40" i="14"/>
  <c r="AJ40" i="14" s="1"/>
  <c r="DR58" i="14"/>
  <c r="AJ58" i="14" s="1"/>
  <c r="DR42" i="14"/>
  <c r="AJ42" i="14" s="1"/>
  <c r="DR60" i="14"/>
  <c r="AJ60" i="14" s="1"/>
  <c r="DR116" i="14"/>
  <c r="AJ116" i="14" s="1"/>
  <c r="DR18" i="14"/>
  <c r="AJ18" i="14" s="1"/>
  <c r="DR53" i="14"/>
  <c r="AJ53" i="14" s="1"/>
  <c r="DR106" i="14"/>
  <c r="AJ106" i="14" s="1"/>
  <c r="DR51" i="14"/>
  <c r="AJ51" i="14" s="1"/>
  <c r="DR103" i="14"/>
  <c r="AJ103" i="14" s="1"/>
  <c r="DR37" i="14"/>
  <c r="AJ37" i="14" s="1"/>
  <c r="DR16" i="14"/>
  <c r="AJ16" i="14" s="1"/>
  <c r="DR15" i="14"/>
  <c r="AJ15" i="14" s="1"/>
  <c r="DR45" i="14"/>
  <c r="AJ45" i="14" s="1"/>
  <c r="DR92" i="14"/>
  <c r="AJ92" i="14" s="1"/>
  <c r="DR13" i="14"/>
  <c r="DR47" i="14"/>
  <c r="AJ47" i="14" s="1"/>
  <c r="DR90" i="14"/>
  <c r="DR131" i="14"/>
  <c r="DR29" i="14"/>
  <c r="AJ29" i="14" s="1"/>
  <c r="DR57" i="14"/>
  <c r="AJ57" i="14" s="1"/>
  <c r="DR112" i="14"/>
  <c r="AJ112" i="14" s="1"/>
  <c r="DR20" i="14"/>
  <c r="AJ20" i="14" s="1"/>
  <c r="DR59" i="14"/>
  <c r="AJ59" i="14" s="1"/>
  <c r="DR108" i="14"/>
  <c r="AJ108" i="14" s="1"/>
  <c r="DR38" i="14"/>
  <c r="AJ38" i="14" s="1"/>
  <c r="DR148" i="14"/>
  <c r="AJ148" i="14" s="1"/>
  <c r="DR146" i="14"/>
  <c r="AJ146" i="14" s="1"/>
  <c r="DR113" i="14"/>
  <c r="AJ113" i="14" s="1"/>
  <c r="DR19" i="14"/>
  <c r="AJ19" i="14" s="1"/>
  <c r="DR50" i="14"/>
  <c r="AJ50" i="14" s="1"/>
  <c r="DR102" i="14"/>
  <c r="AJ102" i="14" s="1"/>
  <c r="DR97" i="14"/>
  <c r="AJ97" i="14" s="1"/>
  <c r="DR17" i="14"/>
  <c r="AJ17" i="14" s="1"/>
  <c r="DR52" i="14"/>
  <c r="AJ52" i="14" s="1"/>
  <c r="DR100" i="14"/>
  <c r="AJ100" i="14" s="1"/>
  <c r="DR118" i="14"/>
  <c r="AJ118" i="14" s="1"/>
  <c r="DR39" i="14"/>
  <c r="AJ39" i="14" s="1"/>
  <c r="DR91" i="14"/>
  <c r="AJ91" i="14" s="1"/>
  <c r="DR117" i="14"/>
  <c r="AJ117" i="14" s="1"/>
  <c r="DR41" i="14"/>
  <c r="AJ41" i="14" s="1"/>
  <c r="DR93" i="14"/>
  <c r="AJ93" i="14" s="1"/>
  <c r="DR115" i="14"/>
  <c r="AJ115" i="14" s="1"/>
  <c r="DR144" i="14"/>
  <c r="DR36" i="14"/>
  <c r="DR54" i="14"/>
  <c r="AJ54" i="14" s="1"/>
  <c r="DR28" i="14"/>
  <c r="AJ28" i="14" s="1"/>
  <c r="DR44" i="14"/>
  <c r="AJ44" i="14" s="1"/>
  <c r="DR46" i="14"/>
  <c r="AJ46" i="14" s="1"/>
  <c r="DR150" i="14"/>
  <c r="AJ150" i="14" s="1"/>
  <c r="DR14" i="14"/>
  <c r="AJ14" i="14" s="1"/>
  <c r="DR56" i="14"/>
  <c r="AJ56" i="14" s="1"/>
  <c r="DR96" i="14"/>
  <c r="AJ96" i="14" s="1"/>
  <c r="DR99" i="14"/>
  <c r="AJ99" i="14" s="1"/>
  <c r="DR107" i="14"/>
  <c r="AJ107" i="14" s="1"/>
  <c r="DR109" i="14"/>
  <c r="AJ109" i="14" s="1"/>
  <c r="DR119" i="14"/>
  <c r="AJ119" i="14" s="1"/>
  <c r="DR151" i="14"/>
  <c r="AJ151" i="14" s="1"/>
  <c r="DR147" i="14"/>
  <c r="AJ147" i="14" s="1"/>
  <c r="DR75" i="14"/>
  <c r="AJ75" i="14" s="1"/>
  <c r="DR154" i="14"/>
  <c r="AJ154" i="14" s="1"/>
  <c r="AG154" i="14"/>
  <c r="DO230" i="14"/>
  <c r="AG180" i="14"/>
  <c r="DO185" i="14"/>
  <c r="AG175" i="14"/>
  <c r="DO312" i="14"/>
  <c r="DO340" i="14"/>
  <c r="DR134" i="14"/>
  <c r="DO338" i="14"/>
  <c r="AG63" i="14"/>
  <c r="AG338" i="14" s="1"/>
  <c r="AG36" i="14"/>
  <c r="AG144" i="14"/>
  <c r="DO336" i="14"/>
  <c r="DO224" i="14"/>
  <c r="AG193" i="14"/>
  <c r="DO194" i="14"/>
  <c r="DO231" i="14"/>
  <c r="AG198" i="14"/>
  <c r="DR171" i="14"/>
  <c r="AJ171" i="14" s="1"/>
  <c r="DO137" i="14"/>
  <c r="AG137" i="14" s="1"/>
  <c r="CK171" i="14"/>
  <c r="CK172" i="14"/>
  <c r="AR55" i="14"/>
  <c r="D55" i="7" s="1"/>
  <c r="S55" i="7" s="1"/>
  <c r="CE24" i="33"/>
  <c r="K24" i="33" s="1"/>
  <c r="AH350" i="23"/>
  <c r="AH374" i="23" s="1"/>
  <c r="AG264" i="23"/>
  <c r="AG287" i="23" s="1"/>
  <c r="AG348" i="23"/>
  <c r="AG372" i="23" s="1"/>
  <c r="AH338" i="23"/>
  <c r="AH362" i="23" s="1"/>
  <c r="AI10" i="23"/>
  <c r="AI351" i="23" s="1"/>
  <c r="AI375" i="23" s="1"/>
  <c r="AH262" i="23"/>
  <c r="AH285" i="23" s="1"/>
  <c r="AH342" i="23"/>
  <c r="AH366" i="23" s="1"/>
  <c r="AG262" i="23"/>
  <c r="AG285" i="23" s="1"/>
  <c r="AG343" i="23"/>
  <c r="AG367" i="23" s="1"/>
  <c r="AH266" i="23"/>
  <c r="AH289" i="23" s="1"/>
  <c r="AG344" i="23"/>
  <c r="AG368" i="23" s="1"/>
  <c r="AG257" i="23"/>
  <c r="AG280" i="23" s="1"/>
  <c r="AG345" i="23"/>
  <c r="AG369" i="23" s="1"/>
  <c r="AG255" i="23"/>
  <c r="AG278" i="23" s="1"/>
  <c r="AG351" i="23"/>
  <c r="AG375" i="23" s="1"/>
  <c r="AG259" i="23"/>
  <c r="AG282" i="23" s="1"/>
  <c r="AH254" i="23"/>
  <c r="AH272" i="23" s="1"/>
  <c r="DO132" i="14" s="1"/>
  <c r="AH255" i="23"/>
  <c r="AH278" i="23" s="1"/>
  <c r="AH257" i="23"/>
  <c r="AH280" i="23" s="1"/>
  <c r="AH343" i="23"/>
  <c r="AH367" i="23" s="1"/>
  <c r="AH347" i="23"/>
  <c r="AH371" i="23" s="1"/>
  <c r="AH351" i="23"/>
  <c r="AH375" i="23" s="1"/>
  <c r="AG338" i="23"/>
  <c r="AG362" i="23" s="1"/>
  <c r="AG261" i="23"/>
  <c r="AG284" i="23" s="1"/>
  <c r="AG265" i="23"/>
  <c r="AG288" i="23" s="1"/>
  <c r="AG350" i="23"/>
  <c r="AG374" i="23" s="1"/>
  <c r="AG340" i="23"/>
  <c r="AG364" i="23" s="1"/>
  <c r="AG260" i="23"/>
  <c r="AG283" i="23" s="1"/>
  <c r="AG258" i="23"/>
  <c r="AG281" i="23" s="1"/>
  <c r="AH259" i="23"/>
  <c r="AH282" i="23" s="1"/>
  <c r="AH263" i="23"/>
  <c r="AH286" i="23" s="1"/>
  <c r="AH260" i="23"/>
  <c r="AH283" i="23" s="1"/>
  <c r="AH261" i="23"/>
  <c r="AH284" i="23" s="1"/>
  <c r="AH340" i="23"/>
  <c r="AH364" i="23" s="1"/>
  <c r="AH344" i="23"/>
  <c r="AH368" i="23" s="1"/>
  <c r="AH348" i="23"/>
  <c r="AH372" i="23" s="1"/>
  <c r="AH352" i="23"/>
  <c r="AH376" i="23" s="1"/>
  <c r="AG254" i="23"/>
  <c r="X217" i="14"/>
  <c r="AG263" i="23"/>
  <c r="AG286" i="23" s="1"/>
  <c r="AG353" i="23"/>
  <c r="AG377" i="23" s="1"/>
  <c r="AG268" i="23"/>
  <c r="AG291" i="23" s="1"/>
  <c r="AG352" i="23"/>
  <c r="AG376" i="23" s="1"/>
  <c r="AG342" i="23"/>
  <c r="AG366" i="23" s="1"/>
  <c r="AG349" i="23"/>
  <c r="AG373" i="23" s="1"/>
  <c r="AG266" i="23"/>
  <c r="AG289" i="23" s="1"/>
  <c r="AH267" i="23"/>
  <c r="AH290" i="23" s="1"/>
  <c r="AH258" i="23"/>
  <c r="AH281" i="23" s="1"/>
  <c r="AH264" i="23"/>
  <c r="AH287" i="23" s="1"/>
  <c r="AH265" i="23"/>
  <c r="AH288" i="23" s="1"/>
  <c r="AH341" i="23"/>
  <c r="AH365" i="23" s="1"/>
  <c r="AH345" i="23"/>
  <c r="AH369" i="23" s="1"/>
  <c r="AH349" i="23"/>
  <c r="AH373" i="23" s="1"/>
  <c r="AA102" i="14"/>
  <c r="AA96" i="14"/>
  <c r="AA200" i="14"/>
  <c r="AH179" i="23"/>
  <c r="AH196" i="23"/>
  <c r="AH204" i="23"/>
  <c r="AH186" i="23"/>
  <c r="AA100" i="14"/>
  <c r="AH181" i="23"/>
  <c r="AH189" i="23"/>
  <c r="AH198" i="23"/>
  <c r="AH180" i="23"/>
  <c r="AH188" i="23"/>
  <c r="AJ9" i="23"/>
  <c r="DU5" i="14" s="1"/>
  <c r="DU70" i="14" s="1"/>
  <c r="AM70" i="14" s="1"/>
  <c r="AI168" i="23"/>
  <c r="AI204" i="23" s="1"/>
  <c r="AI167" i="23"/>
  <c r="AI203" i="23" s="1"/>
  <c r="AI166" i="23"/>
  <c r="AI202" i="23" s="1"/>
  <c r="AI165" i="23"/>
  <c r="AI201" i="23" s="1"/>
  <c r="AI164" i="23"/>
  <c r="AI200" i="23" s="1"/>
  <c r="AI163" i="23"/>
  <c r="AI199" i="23" s="1"/>
  <c r="AI162" i="23"/>
  <c r="AI198" i="23" s="1"/>
  <c r="AI160" i="23"/>
  <c r="AI196" i="23" s="1"/>
  <c r="AI159" i="23"/>
  <c r="AI195" i="23" s="1"/>
  <c r="AI158" i="23"/>
  <c r="AI194" i="23" s="1"/>
  <c r="AI157" i="23"/>
  <c r="AI193" i="23" s="1"/>
  <c r="AI155" i="23"/>
  <c r="AI191" i="23" s="1"/>
  <c r="AI154" i="23"/>
  <c r="AI190" i="23" s="1"/>
  <c r="AI153" i="23"/>
  <c r="AI189" i="23" s="1"/>
  <c r="AI152" i="23"/>
  <c r="AI188" i="23" s="1"/>
  <c r="AI151" i="23"/>
  <c r="AI187" i="23" s="1"/>
  <c r="AI150" i="23"/>
  <c r="AI186" i="23" s="1"/>
  <c r="AI149" i="23"/>
  <c r="AI185" i="23" s="1"/>
  <c r="AI148" i="23"/>
  <c r="AI184" i="23" s="1"/>
  <c r="AI147" i="23"/>
  <c r="AI183" i="23" s="1"/>
  <c r="AI146" i="23"/>
  <c r="AI182" i="23" s="1"/>
  <c r="AI145" i="23"/>
  <c r="AI181" i="23" s="1"/>
  <c r="AI144" i="23"/>
  <c r="AI180" i="23" s="1"/>
  <c r="AI143" i="23"/>
  <c r="AI179" i="23" s="1"/>
  <c r="AI142" i="23"/>
  <c r="AA97" i="14"/>
  <c r="AH183" i="23"/>
  <c r="AH190" i="23"/>
  <c r="AH199" i="23"/>
  <c r="AC71" i="23"/>
  <c r="AA99" i="14"/>
  <c r="AH172" i="23"/>
  <c r="DO78" i="14" s="1"/>
  <c r="AG78" i="14" s="1"/>
  <c r="AH178" i="23"/>
  <c r="AH194" i="23"/>
  <c r="AH184" i="23"/>
  <c r="AH193" i="23"/>
  <c r="AH201" i="23"/>
  <c r="AJ8" i="23"/>
  <c r="DU4" i="14" s="1"/>
  <c r="AI59" i="23"/>
  <c r="AI84" i="23" s="1"/>
  <c r="AI56" i="23"/>
  <c r="AI81" i="23" s="1"/>
  <c r="AI52" i="23"/>
  <c r="AI77" i="23" s="1"/>
  <c r="AI50" i="23"/>
  <c r="AI75" i="23" s="1"/>
  <c r="AI49" i="23"/>
  <c r="AI74" i="23" s="1"/>
  <c r="AI48" i="23"/>
  <c r="AI73" i="23" s="1"/>
  <c r="AI47" i="23"/>
  <c r="AI72" i="23" s="1"/>
  <c r="AI46" i="23"/>
  <c r="AI71" i="23" s="1"/>
  <c r="AI45" i="23"/>
  <c r="AI70" i="23" s="1"/>
  <c r="AI44" i="23"/>
  <c r="U154" i="14"/>
  <c r="O332" i="14"/>
  <c r="O217" i="14"/>
  <c r="O73" i="14"/>
  <c r="CK76" i="14"/>
  <c r="O75" i="14"/>
  <c r="AI13" i="10"/>
  <c r="AI6" i="10"/>
  <c r="DL332" i="14"/>
  <c r="DL217" i="14"/>
  <c r="DL73" i="14"/>
  <c r="Z126" i="14"/>
  <c r="Z129" i="14" s="1"/>
  <c r="DF48" i="14"/>
  <c r="AG208" i="23"/>
  <c r="AG46" i="23"/>
  <c r="AG71" i="23" s="1"/>
  <c r="O43" i="14"/>
  <c r="O48" i="14" s="1"/>
  <c r="CW48" i="14"/>
  <c r="BG49" i="14"/>
  <c r="BG61" i="14"/>
  <c r="Z62" i="14"/>
  <c r="Z65" i="14" s="1"/>
  <c r="Z354" i="14" s="1"/>
  <c r="AG290" i="23"/>
  <c r="CZ133" i="14"/>
  <c r="R132" i="14"/>
  <c r="AB314" i="23"/>
  <c r="AE314" i="23"/>
  <c r="AG314" i="23"/>
  <c r="AF314" i="23"/>
  <c r="M332" i="23"/>
  <c r="AC314" i="23"/>
  <c r="AD314" i="23"/>
  <c r="S94" i="7"/>
  <c r="S104" i="7" s="1"/>
  <c r="D104" i="7"/>
  <c r="AH138" i="43"/>
  <c r="AH242" i="43" s="1"/>
  <c r="AH134" i="43"/>
  <c r="H31" i="23" s="1"/>
  <c r="M31" i="23" s="1"/>
  <c r="AU24" i="33"/>
  <c r="CZ76" i="14"/>
  <c r="X332" i="14"/>
  <c r="DI76" i="14"/>
  <c r="X73" i="14"/>
  <c r="X76" i="14" s="1"/>
  <c r="AA28" i="14"/>
  <c r="CZ155" i="14"/>
  <c r="DC76" i="14"/>
  <c r="G159" i="15" a="1"/>
  <c r="G159" i="15" s="1"/>
  <c r="E20" i="33" s="1"/>
  <c r="AD249" i="23"/>
  <c r="G161" i="15" a="1"/>
  <c r="G161" i="15" s="1"/>
  <c r="AD256" i="23"/>
  <c r="AD279" i="23" s="1"/>
  <c r="G153" i="15" a="1"/>
  <c r="G153" i="15" s="1"/>
  <c r="G157" i="15" a="1"/>
  <c r="G157" i="15" s="1"/>
  <c r="E18" i="33" s="1"/>
  <c r="BM136" i="14"/>
  <c r="G160" i="15" a="1"/>
  <c r="G160" i="15" s="1"/>
  <c r="E21" i="33" s="1"/>
  <c r="G154" i="15" a="1"/>
  <c r="G154" i="15" s="1"/>
  <c r="AD243" i="23"/>
  <c r="AD246" i="23" s="1"/>
  <c r="G152" i="15" a="1"/>
  <c r="G152" i="15" s="1"/>
  <c r="G158" i="15" a="1"/>
  <c r="G158" i="15" s="1"/>
  <c r="E19" i="33" s="1"/>
  <c r="G155" i="15" a="1"/>
  <c r="G155" i="15" s="1"/>
  <c r="E12" i="33"/>
  <c r="AU12" i="33"/>
  <c r="AA154" i="14"/>
  <c r="BM110" i="14"/>
  <c r="AD347" i="23"/>
  <c r="AD371" i="23" s="1"/>
  <c r="AA40" i="14"/>
  <c r="AA18" i="14"/>
  <c r="AA103" i="14"/>
  <c r="AA183" i="14"/>
  <c r="AA109" i="14"/>
  <c r="AA116" i="14"/>
  <c r="AA52" i="14"/>
  <c r="AA150" i="14"/>
  <c r="AA178" i="14"/>
  <c r="AA138" i="14"/>
  <c r="AA51" i="14"/>
  <c r="CK155" i="14"/>
  <c r="AA43" i="14"/>
  <c r="DE156" i="14"/>
  <c r="DE163" i="14" s="1"/>
  <c r="DL49" i="14"/>
  <c r="AD49" i="14" s="1"/>
  <c r="R217" i="14"/>
  <c r="R332" i="14"/>
  <c r="AA73" i="14"/>
  <c r="AA76" i="14" s="1"/>
  <c r="BV110" i="14"/>
  <c r="AG347" i="23"/>
  <c r="AG371" i="23" s="1"/>
  <c r="AA13" i="14"/>
  <c r="AA93" i="14"/>
  <c r="AA44" i="14"/>
  <c r="AA38" i="14"/>
  <c r="AA37" i="14"/>
  <c r="AA90" i="14"/>
  <c r="AA46" i="14"/>
  <c r="AA57" i="14"/>
  <c r="AA60" i="14"/>
  <c r="AA118" i="14"/>
  <c r="AA30" i="14"/>
  <c r="AA148" i="14"/>
  <c r="AA115" i="14"/>
  <c r="AA146" i="14"/>
  <c r="AA198" i="14"/>
  <c r="AA59" i="14"/>
  <c r="AA180" i="14"/>
  <c r="DI185" i="14"/>
  <c r="DI230" i="14"/>
  <c r="AA127" i="14"/>
  <c r="AA56" i="14"/>
  <c r="AF347" i="23"/>
  <c r="AF371" i="23" s="1"/>
  <c r="BS110" i="14"/>
  <c r="DI48" i="14"/>
  <c r="AA36" i="14"/>
  <c r="AA41" i="14"/>
  <c r="AA91" i="14"/>
  <c r="AA184" i="14"/>
  <c r="AA175" i="14"/>
  <c r="DI312" i="14"/>
  <c r="DI340" i="14"/>
  <c r="AA63" i="14"/>
  <c r="DI338" i="14"/>
  <c r="AA112" i="14"/>
  <c r="AG69" i="23"/>
  <c r="U224" i="14"/>
  <c r="M39" i="10" s="1"/>
  <c r="U336" i="14"/>
  <c r="U152" i="14"/>
  <c r="DI336" i="14"/>
  <c r="AA151" i="14"/>
  <c r="AA332" i="14"/>
  <c r="BG110" i="14"/>
  <c r="AB347" i="23"/>
  <c r="AB371" i="23" s="1"/>
  <c r="AA42" i="14"/>
  <c r="AA92" i="14"/>
  <c r="AA20" i="14"/>
  <c r="AA131" i="14"/>
  <c r="AA45" i="14"/>
  <c r="AA19" i="14"/>
  <c r="DI224" i="14"/>
  <c r="DI152" i="14"/>
  <c r="DI155" i="14" s="1"/>
  <c r="AA144" i="14"/>
  <c r="AA29" i="14"/>
  <c r="AA153" i="14"/>
  <c r="AA50" i="14"/>
  <c r="AA123" i="14"/>
  <c r="AA58" i="14"/>
  <c r="AA117" i="14"/>
  <c r="AA107" i="14"/>
  <c r="AA140" i="14"/>
  <c r="AA190" i="14"/>
  <c r="AA119" i="14"/>
  <c r="AA54" i="14"/>
  <c r="U73" i="14"/>
  <c r="U76" i="14" s="1"/>
  <c r="U217" i="14"/>
  <c r="U332" i="14"/>
  <c r="DL60" i="14"/>
  <c r="AD60" i="14" s="1"/>
  <c r="DL56" i="14"/>
  <c r="AD56" i="14" s="1"/>
  <c r="DL109" i="14"/>
  <c r="AD109" i="14" s="1"/>
  <c r="DL153" i="14"/>
  <c r="AD153" i="14" s="1"/>
  <c r="DL135" i="14"/>
  <c r="AD135" i="14" s="1"/>
  <c r="DL123" i="14"/>
  <c r="AD123" i="14" s="1"/>
  <c r="DL198" i="14"/>
  <c r="EA198" i="14" s="1"/>
  <c r="DL108" i="14"/>
  <c r="AD108" i="14" s="1"/>
  <c r="DL107" i="14"/>
  <c r="AD107" i="14" s="1"/>
  <c r="DL119" i="14"/>
  <c r="AD119" i="14" s="1"/>
  <c r="DL127" i="14"/>
  <c r="AD127" i="14" s="1"/>
  <c r="DL112" i="14"/>
  <c r="AD112" i="14" s="1"/>
  <c r="DL30" i="14"/>
  <c r="AD30" i="14" s="1"/>
  <c r="DL50" i="14"/>
  <c r="AD50" i="14" s="1"/>
  <c r="DL117" i="14"/>
  <c r="AD117" i="14" s="1"/>
  <c r="DL178" i="14"/>
  <c r="AD178" i="14" s="1"/>
  <c r="DL193" i="14"/>
  <c r="DL29" i="14"/>
  <c r="AD29" i="14" s="1"/>
  <c r="DL140" i="14"/>
  <c r="AD140" i="14" s="1"/>
  <c r="DL115" i="14"/>
  <c r="AD115" i="14" s="1"/>
  <c r="DL150" i="14"/>
  <c r="AD150" i="14" s="1"/>
  <c r="DL59" i="14"/>
  <c r="AD59" i="14" s="1"/>
  <c r="DL200" i="14"/>
  <c r="EA200" i="14" s="1"/>
  <c r="DL118" i="14"/>
  <c r="AD118" i="14" s="1"/>
  <c r="DL179" i="14"/>
  <c r="AD179" i="14" s="1"/>
  <c r="DL54" i="14"/>
  <c r="AD54" i="14" s="1"/>
  <c r="DL113" i="14"/>
  <c r="AD113" i="14" s="1"/>
  <c r="DL125" i="14"/>
  <c r="AD125" i="14" s="1"/>
  <c r="DL138" i="14"/>
  <c r="AD138" i="14" s="1"/>
  <c r="DL146" i="14"/>
  <c r="AD146" i="14" s="1"/>
  <c r="DL116" i="14"/>
  <c r="AD116" i="14" s="1"/>
  <c r="DL180" i="14"/>
  <c r="EA180" i="14" s="1"/>
  <c r="DL148" i="14"/>
  <c r="AD148" i="14" s="1"/>
  <c r="DL63" i="14"/>
  <c r="DL58" i="14"/>
  <c r="AD58" i="14" s="1"/>
  <c r="DL124" i="14"/>
  <c r="AD124" i="14" s="1"/>
  <c r="DL106" i="14"/>
  <c r="AD106" i="14" s="1"/>
  <c r="DL190" i="14"/>
  <c r="AD190" i="14" s="1"/>
  <c r="DL175" i="14"/>
  <c r="DL52" i="14"/>
  <c r="AD52" i="14" s="1"/>
  <c r="DL184" i="14"/>
  <c r="AD184" i="14" s="1"/>
  <c r="DL183" i="14"/>
  <c r="AD183" i="14" s="1"/>
  <c r="DL57" i="14"/>
  <c r="AD57" i="14" s="1"/>
  <c r="DL53" i="14"/>
  <c r="AD53" i="14" s="1"/>
  <c r="DL51" i="14"/>
  <c r="AD51" i="14" s="1"/>
  <c r="DL15" i="14"/>
  <c r="AD15" i="14" s="1"/>
  <c r="DL42" i="14"/>
  <c r="AD42" i="14" s="1"/>
  <c r="DL47" i="14"/>
  <c r="AD47" i="14" s="1"/>
  <c r="DL100" i="14"/>
  <c r="AD100" i="14" s="1"/>
  <c r="DL40" i="14"/>
  <c r="AD40" i="14" s="1"/>
  <c r="DL18" i="14"/>
  <c r="AD18" i="14" s="1"/>
  <c r="DL20" i="14"/>
  <c r="AD20" i="14" s="1"/>
  <c r="DL17" i="14"/>
  <c r="AD17" i="14" s="1"/>
  <c r="DL96" i="14"/>
  <c r="AD96" i="14" s="1"/>
  <c r="DL131" i="14"/>
  <c r="DL16" i="14"/>
  <c r="AD16" i="14" s="1"/>
  <c r="DL44" i="14"/>
  <c r="AD44" i="14" s="1"/>
  <c r="DL45" i="14"/>
  <c r="AD45" i="14" s="1"/>
  <c r="DL92" i="14"/>
  <c r="AD92" i="14" s="1"/>
  <c r="DL19" i="14"/>
  <c r="AD19" i="14" s="1"/>
  <c r="DL41" i="14"/>
  <c r="AD41" i="14" s="1"/>
  <c r="DL144" i="14"/>
  <c r="DL38" i="14"/>
  <c r="AD38" i="14" s="1"/>
  <c r="DL103" i="14"/>
  <c r="AD103" i="14" s="1"/>
  <c r="DL46" i="14"/>
  <c r="AD46" i="14" s="1"/>
  <c r="DL36" i="14"/>
  <c r="DL99" i="14"/>
  <c r="AD99" i="14" s="1"/>
  <c r="DL90" i="14"/>
  <c r="DL91" i="14"/>
  <c r="AD91" i="14" s="1"/>
  <c r="DL13" i="14"/>
  <c r="DL93" i="14"/>
  <c r="AD93" i="14" s="1"/>
  <c r="DL39" i="14"/>
  <c r="AD39" i="14" s="1"/>
  <c r="DL37" i="14"/>
  <c r="AD37" i="14" s="1"/>
  <c r="DL97" i="14"/>
  <c r="AD97" i="14" s="1"/>
  <c r="DL102" i="14"/>
  <c r="AD102" i="14" s="1"/>
  <c r="DL14" i="14"/>
  <c r="AD14" i="14" s="1"/>
  <c r="DL43" i="14"/>
  <c r="AD43" i="14" s="1"/>
  <c r="DL75" i="14"/>
  <c r="DL154" i="14"/>
  <c r="AD154" i="14" s="1"/>
  <c r="DL147" i="14"/>
  <c r="AD147" i="14" s="1"/>
  <c r="DL137" i="14"/>
  <c r="AD137" i="14" s="1"/>
  <c r="DL151" i="14"/>
  <c r="AD151" i="14" s="1"/>
  <c r="DL61" i="14"/>
  <c r="AD61" i="14" s="1"/>
  <c r="DL171" i="14"/>
  <c r="AD171" i="14" s="1"/>
  <c r="X336" i="14"/>
  <c r="X224" i="14"/>
  <c r="P39" i="10" s="1"/>
  <c r="X152" i="14"/>
  <c r="X155" i="14" s="1"/>
  <c r="AA217" i="14"/>
  <c r="AA147" i="14"/>
  <c r="BP110" i="14"/>
  <c r="AE347" i="23"/>
  <c r="AE371" i="23" s="1"/>
  <c r="BJ110" i="14"/>
  <c r="AC347" i="23"/>
  <c r="AA14" i="14"/>
  <c r="AA47" i="14"/>
  <c r="AA15" i="14"/>
  <c r="AA16" i="14"/>
  <c r="AA39" i="14"/>
  <c r="AA17" i="14"/>
  <c r="AA53" i="14"/>
  <c r="AA113" i="14"/>
  <c r="AA108" i="14"/>
  <c r="AA106" i="14"/>
  <c r="AA135" i="14"/>
  <c r="DI194" i="14"/>
  <c r="DI231" i="14"/>
  <c r="AA193" i="14"/>
  <c r="AA125" i="14"/>
  <c r="AA179" i="14"/>
  <c r="AA124" i="14"/>
  <c r="R73" i="14"/>
  <c r="R76" i="14" s="1"/>
  <c r="U49" i="14"/>
  <c r="U360" i="14" s="1"/>
  <c r="X61" i="14"/>
  <c r="AD321" i="23"/>
  <c r="AB321" i="23"/>
  <c r="AG321" i="23"/>
  <c r="AF321" i="23"/>
  <c r="M333" i="23"/>
  <c r="AC321" i="23"/>
  <c r="AE321" i="23"/>
  <c r="M330" i="23"/>
  <c r="AH249" i="24"/>
  <c r="AS249" i="24"/>
  <c r="AF56" i="23"/>
  <c r="AF81" i="23" s="1"/>
  <c r="AE56" i="23"/>
  <c r="AE81" i="23" s="1"/>
  <c r="AG56" i="23"/>
  <c r="AG81" i="23" s="1"/>
  <c r="AC56" i="23"/>
  <c r="AB56" i="23"/>
  <c r="AD56" i="23"/>
  <c r="AD81" i="23" s="1"/>
  <c r="AB71" i="23"/>
  <c r="AH21" i="26"/>
  <c r="AS21" i="26"/>
  <c r="AI86" i="26"/>
  <c r="AI190" i="26" s="1"/>
  <c r="AI82" i="26"/>
  <c r="AI83" i="25"/>
  <c r="AI187" i="25" s="1"/>
  <c r="AH21" i="25"/>
  <c r="AS21" i="25"/>
  <c r="AI79" i="25"/>
  <c r="AB70" i="23"/>
  <c r="AE49" i="23"/>
  <c r="AE74" i="23" s="1"/>
  <c r="AB49" i="23"/>
  <c r="DL172" i="14"/>
  <c r="AD172" i="14" s="1"/>
  <c r="AD49" i="23"/>
  <c r="AA78" i="14"/>
  <c r="DI171" i="14"/>
  <c r="AE208" i="23"/>
  <c r="AG49" i="23"/>
  <c r="CW171" i="14"/>
  <c r="O171" i="14" s="1"/>
  <c r="CZ172" i="14"/>
  <c r="R172" i="14" s="1"/>
  <c r="AD78" i="14"/>
  <c r="DI172" i="14"/>
  <c r="AF49" i="23"/>
  <c r="AF74" i="23" s="1"/>
  <c r="R78" i="14"/>
  <c r="AC208" i="23"/>
  <c r="U78" i="14"/>
  <c r="AC49" i="23"/>
  <c r="BS136" i="14" l="1"/>
  <c r="CB136" i="14"/>
  <c r="CB139" i="14" s="1"/>
  <c r="CB141" i="14" s="1"/>
  <c r="CE136" i="14"/>
  <c r="CE226" i="14" s="1"/>
  <c r="AC256" i="23"/>
  <c r="AC279" i="23" s="1"/>
  <c r="AC298" i="23" s="1"/>
  <c r="BV136" i="14"/>
  <c r="BV139" i="14" s="1"/>
  <c r="BV141" i="14" s="1"/>
  <c r="BV142" i="14" s="1"/>
  <c r="AE249" i="23"/>
  <c r="CH136" i="14"/>
  <c r="BY136" i="14"/>
  <c r="BY139" i="14" s="1"/>
  <c r="BY141" i="14" s="1"/>
  <c r="BY142" i="14" s="1"/>
  <c r="BG136" i="14"/>
  <c r="J32" i="10"/>
  <c r="P32" i="10"/>
  <c r="AO26" i="8"/>
  <c r="K28" i="17" s="1"/>
  <c r="G32" i="10"/>
  <c r="S32" i="10"/>
  <c r="M32" i="10"/>
  <c r="AO19" i="8"/>
  <c r="CT281" i="14"/>
  <c r="G28" i="2"/>
  <c r="G32" i="2" s="1"/>
  <c r="CT345" i="14"/>
  <c r="D4" i="11"/>
  <c r="D6" i="11" s="1"/>
  <c r="D8" i="11" s="1"/>
  <c r="D10" i="11" s="1"/>
  <c r="D12" i="11" s="1"/>
  <c r="D32" i="11"/>
  <c r="DU149" i="14"/>
  <c r="DU145" i="14"/>
  <c r="BG137" i="14"/>
  <c r="CW137" i="14" s="1"/>
  <c r="O137" i="14" s="1"/>
  <c r="BP137" i="14"/>
  <c r="DF137" i="14" s="1"/>
  <c r="X137" i="14" s="1"/>
  <c r="BS134" i="14"/>
  <c r="DI134" i="14" s="1"/>
  <c r="BM335" i="14"/>
  <c r="P25" i="2" s="1"/>
  <c r="AD73" i="14"/>
  <c r="AD332" i="14"/>
  <c r="AD217" i="14"/>
  <c r="BP136" i="14"/>
  <c r="BJ134" i="14"/>
  <c r="CZ134" i="14" s="1"/>
  <c r="X49" i="14"/>
  <c r="X360" i="14" s="1"/>
  <c r="CH137" i="14"/>
  <c r="AD13" i="14"/>
  <c r="AA360" i="14"/>
  <c r="CK133" i="14"/>
  <c r="AJ131" i="14"/>
  <c r="DR49" i="14"/>
  <c r="AJ49" i="14" s="1"/>
  <c r="AD90" i="14"/>
  <c r="AJ90" i="14"/>
  <c r="U133" i="14"/>
  <c r="U134" i="14" s="1"/>
  <c r="O133" i="14"/>
  <c r="O134" i="14" s="1"/>
  <c r="DL360" i="14"/>
  <c r="AJ13" i="14"/>
  <c r="DR361" i="14"/>
  <c r="B249" i="24"/>
  <c r="B250" i="24" s="1"/>
  <c r="B251" i="24" s="1"/>
  <c r="B252" i="24" s="1"/>
  <c r="B253" i="24" s="1"/>
  <c r="B254" i="24" s="1"/>
  <c r="B255" i="24" s="1"/>
  <c r="B256" i="24" s="1"/>
  <c r="B257" i="24" s="1"/>
  <c r="B258" i="24" s="1"/>
  <c r="B259" i="24" s="1"/>
  <c r="B260" i="24" s="1"/>
  <c r="B261" i="24" s="1"/>
  <c r="B262" i="24" s="1"/>
  <c r="BJ136" i="14"/>
  <c r="G163" i="15"/>
  <c r="K24" i="17"/>
  <c r="AC249" i="23"/>
  <c r="AC243" i="23"/>
  <c r="AC246" i="23" s="1"/>
  <c r="AD293" i="23"/>
  <c r="AD295" i="23" s="1"/>
  <c r="AF256" i="23"/>
  <c r="AF270" i="23" s="1"/>
  <c r="AF243" i="23"/>
  <c r="AF246" i="23" s="1"/>
  <c r="AE256" i="23"/>
  <c r="AE273" i="23" s="1"/>
  <c r="AI243" i="23"/>
  <c r="AI246" i="23" s="1"/>
  <c r="AF249" i="23"/>
  <c r="AI249" i="23"/>
  <c r="AB243" i="23"/>
  <c r="AB246" i="23" s="1"/>
  <c r="AH256" i="23"/>
  <c r="AH279" i="23" s="1"/>
  <c r="AH298" i="23" s="1"/>
  <c r="AK249" i="23"/>
  <c r="AB249" i="23"/>
  <c r="AB256" i="23"/>
  <c r="AB273" i="23" s="1"/>
  <c r="AG256" i="23"/>
  <c r="AG279" i="23" s="1"/>
  <c r="AG298" i="23" s="1"/>
  <c r="AK243" i="23"/>
  <c r="AK246" i="23" s="1"/>
  <c r="AE243" i="23"/>
  <c r="AE246" i="23" s="1"/>
  <c r="AG249" i="23"/>
  <c r="AG243" i="23"/>
  <c r="AG246" i="23" s="1"/>
  <c r="AH243" i="23"/>
  <c r="AH246" i="23" s="1"/>
  <c r="AH249" i="23"/>
  <c r="AM228" i="23"/>
  <c r="AM249" i="23" s="1"/>
  <c r="AJ243" i="23"/>
  <c r="AJ246" i="23" s="1"/>
  <c r="AJ249" i="23"/>
  <c r="DI133" i="14"/>
  <c r="Z248" i="23"/>
  <c r="AR132" i="14"/>
  <c r="D132" i="7" s="1"/>
  <c r="S132" i="7" s="1"/>
  <c r="S133" i="7" s="1"/>
  <c r="AH197" i="23"/>
  <c r="U155" i="14"/>
  <c r="AI352" i="23"/>
  <c r="AI376" i="23" s="1"/>
  <c r="AH346" i="23"/>
  <c r="AH370" i="23" s="1"/>
  <c r="AH384" i="23" s="1"/>
  <c r="AB161" i="23"/>
  <c r="AM124" i="23"/>
  <c r="AB31" i="23"/>
  <c r="AB58" i="23" s="1"/>
  <c r="AB83" i="23" s="1"/>
  <c r="AJ31" i="23"/>
  <c r="AJ58" i="23" s="1"/>
  <c r="AJ83" i="23" s="1"/>
  <c r="AI31" i="23"/>
  <c r="AI58" i="23" s="1"/>
  <c r="AI83" i="23" s="1"/>
  <c r="AH31" i="23"/>
  <c r="AH58" i="23" s="1"/>
  <c r="AH83" i="23" s="1"/>
  <c r="AK31" i="23"/>
  <c r="CK110" i="14"/>
  <c r="Z133" i="14"/>
  <c r="AI254" i="23"/>
  <c r="AI272" i="23" s="1"/>
  <c r="DR132" i="14" s="1"/>
  <c r="AI267" i="23"/>
  <c r="AI290" i="23" s="1"/>
  <c r="AI255" i="23"/>
  <c r="AI278" i="23" s="1"/>
  <c r="AI341" i="23"/>
  <c r="AI365" i="23" s="1"/>
  <c r="CE62" i="14"/>
  <c r="CE64" i="14" s="1"/>
  <c r="CE65" i="14" s="1"/>
  <c r="AK333" i="23"/>
  <c r="CH55" i="14"/>
  <c r="CH62" i="14" s="1"/>
  <c r="CH64" i="14" s="1"/>
  <c r="CH65" i="14" s="1"/>
  <c r="AI333" i="23"/>
  <c r="CB55" i="14"/>
  <c r="CB221" i="14" s="1"/>
  <c r="AM321" i="23"/>
  <c r="AJ333" i="23"/>
  <c r="DO55" i="14"/>
  <c r="AG55" i="14" s="1"/>
  <c r="BY94" i="14"/>
  <c r="AH332" i="23"/>
  <c r="AH330" i="23"/>
  <c r="AM314" i="23"/>
  <c r="AM332" i="23" s="1"/>
  <c r="CB94" i="14"/>
  <c r="AI332" i="23"/>
  <c r="AI330" i="23"/>
  <c r="CE94" i="14"/>
  <c r="CE218" i="14" s="1"/>
  <c r="AJ332" i="23"/>
  <c r="AJ330" i="23"/>
  <c r="AH333" i="23"/>
  <c r="CH94" i="14"/>
  <c r="CH218" i="14" s="1"/>
  <c r="AK330" i="23"/>
  <c r="AK332" i="23"/>
  <c r="CE331" i="14"/>
  <c r="AH21" i="2" s="1"/>
  <c r="CE221" i="14"/>
  <c r="CJ132" i="14"/>
  <c r="AI263" i="23"/>
  <c r="AI286" i="23" s="1"/>
  <c r="AI344" i="23"/>
  <c r="AI368" i="23" s="1"/>
  <c r="AI264" i="23"/>
  <c r="AI287" i="23" s="1"/>
  <c r="AI348" i="23"/>
  <c r="AI372" i="23" s="1"/>
  <c r="AI259" i="23"/>
  <c r="AI282" i="23" s="1"/>
  <c r="AI340" i="23"/>
  <c r="AI364" i="23" s="1"/>
  <c r="AI349" i="23"/>
  <c r="AI373" i="23" s="1"/>
  <c r="AH277" i="23"/>
  <c r="AH297" i="23" s="1"/>
  <c r="DU190" i="14"/>
  <c r="AM190" i="14" s="1"/>
  <c r="DU179" i="14"/>
  <c r="AM179" i="14" s="1"/>
  <c r="DU153" i="14"/>
  <c r="AM153" i="14" s="1"/>
  <c r="DU135" i="14"/>
  <c r="AM135" i="14" s="1"/>
  <c r="DU124" i="14"/>
  <c r="AM124" i="14" s="1"/>
  <c r="DU198" i="14"/>
  <c r="DU183" i="14"/>
  <c r="AM183" i="14" s="1"/>
  <c r="DU175" i="14"/>
  <c r="DU138" i="14"/>
  <c r="AM138" i="14" s="1"/>
  <c r="DU127" i="14"/>
  <c r="AM127" i="14" s="1"/>
  <c r="DU63" i="14"/>
  <c r="DU30" i="14"/>
  <c r="AM30" i="14" s="1"/>
  <c r="DU193" i="14"/>
  <c r="DU125" i="14"/>
  <c r="AM125" i="14" s="1"/>
  <c r="DU184" i="14"/>
  <c r="AM184" i="14" s="1"/>
  <c r="DU140" i="14"/>
  <c r="AM140" i="14" s="1"/>
  <c r="DU123" i="14"/>
  <c r="AM123" i="14" s="1"/>
  <c r="DU43" i="14"/>
  <c r="AM43" i="14" s="1"/>
  <c r="DU200" i="14"/>
  <c r="AM200" i="14" s="1"/>
  <c r="DU55" i="14"/>
  <c r="AM55" i="14" s="1"/>
  <c r="DU180" i="14"/>
  <c r="DU110" i="14"/>
  <c r="AM110" i="14" s="1"/>
  <c r="DU178" i="14"/>
  <c r="AM178" i="14" s="1"/>
  <c r="DU19" i="14"/>
  <c r="AM19" i="14" s="1"/>
  <c r="DU118" i="14"/>
  <c r="AM118" i="14" s="1"/>
  <c r="DU15" i="14"/>
  <c r="AM15" i="14" s="1"/>
  <c r="DU107" i="14"/>
  <c r="AM107" i="14" s="1"/>
  <c r="DU28" i="14"/>
  <c r="DU56" i="14"/>
  <c r="AM56" i="14" s="1"/>
  <c r="DU109" i="14"/>
  <c r="AM109" i="14" s="1"/>
  <c r="DU58" i="14"/>
  <c r="AM58" i="14" s="1"/>
  <c r="DU18" i="14"/>
  <c r="AM18" i="14" s="1"/>
  <c r="DU53" i="14"/>
  <c r="AM53" i="14" s="1"/>
  <c r="DU106" i="14"/>
  <c r="AM106" i="14" s="1"/>
  <c r="DU16" i="14"/>
  <c r="AM16" i="14" s="1"/>
  <c r="DU45" i="14"/>
  <c r="AM45" i="14" s="1"/>
  <c r="DU99" i="14"/>
  <c r="AM99" i="14" s="1"/>
  <c r="DU119" i="14"/>
  <c r="AM119" i="14" s="1"/>
  <c r="DU36" i="14"/>
  <c r="DU44" i="14"/>
  <c r="AM44" i="14" s="1"/>
  <c r="DU42" i="14"/>
  <c r="AM42" i="14" s="1"/>
  <c r="DU60" i="14"/>
  <c r="AM60" i="14" s="1"/>
  <c r="DU116" i="14"/>
  <c r="AM116" i="14" s="1"/>
  <c r="DU92" i="14"/>
  <c r="AM92" i="14" s="1"/>
  <c r="DU29" i="14"/>
  <c r="AM29" i="14" s="1"/>
  <c r="DU57" i="14"/>
  <c r="AM57" i="14" s="1"/>
  <c r="DU112" i="14"/>
  <c r="AM112" i="14" s="1"/>
  <c r="DU20" i="14"/>
  <c r="AM20" i="14" s="1"/>
  <c r="DU51" i="14"/>
  <c r="AM51" i="14" s="1"/>
  <c r="DU103" i="14"/>
  <c r="AM103" i="14" s="1"/>
  <c r="DU148" i="14"/>
  <c r="AM148" i="14" s="1"/>
  <c r="DU131" i="14"/>
  <c r="DU38" i="14"/>
  <c r="AM38" i="14" s="1"/>
  <c r="DU144" i="14"/>
  <c r="DU97" i="14"/>
  <c r="AM97" i="14" s="1"/>
  <c r="DU50" i="14"/>
  <c r="AM50" i="14" s="1"/>
  <c r="DU54" i="14"/>
  <c r="AM54" i="14" s="1"/>
  <c r="DU13" i="14"/>
  <c r="DU46" i="14"/>
  <c r="AM46" i="14" s="1"/>
  <c r="DU90" i="14"/>
  <c r="DU113" i="14"/>
  <c r="AM113" i="14" s="1"/>
  <c r="DU39" i="14"/>
  <c r="AM39" i="14" s="1"/>
  <c r="DU91" i="14"/>
  <c r="AM91" i="14" s="1"/>
  <c r="DU117" i="14"/>
  <c r="AM117" i="14" s="1"/>
  <c r="DU37" i="14"/>
  <c r="AM37" i="14" s="1"/>
  <c r="DU59" i="14"/>
  <c r="AM59" i="14" s="1"/>
  <c r="DU108" i="14"/>
  <c r="AM108" i="14" s="1"/>
  <c r="DU150" i="14"/>
  <c r="AM150" i="14" s="1"/>
  <c r="DU52" i="14"/>
  <c r="AM52" i="14" s="1"/>
  <c r="DU96" i="14"/>
  <c r="AM96" i="14" s="1"/>
  <c r="DU93" i="14"/>
  <c r="AM93" i="14" s="1"/>
  <c r="DU146" i="14"/>
  <c r="AM146" i="14" s="1"/>
  <c r="DU41" i="14"/>
  <c r="AM41" i="14" s="1"/>
  <c r="DU100" i="14"/>
  <c r="AM100" i="14" s="1"/>
  <c r="DU40" i="14"/>
  <c r="AM40" i="14" s="1"/>
  <c r="DU115" i="14"/>
  <c r="AM115" i="14" s="1"/>
  <c r="DU102" i="14"/>
  <c r="AM102" i="14" s="1"/>
  <c r="DU17" i="14"/>
  <c r="AM17" i="14" s="1"/>
  <c r="DU47" i="14"/>
  <c r="AM47" i="14" s="1"/>
  <c r="DU14" i="14"/>
  <c r="AM14" i="14" s="1"/>
  <c r="DU75" i="14"/>
  <c r="AM75" i="14" s="1"/>
  <c r="DU61" i="14"/>
  <c r="AM61" i="14" s="1"/>
  <c r="DU151" i="14"/>
  <c r="AM151" i="14" s="1"/>
  <c r="DU147" i="14"/>
  <c r="AM147" i="14" s="1"/>
  <c r="DU49" i="14"/>
  <c r="AM49" i="14" s="1"/>
  <c r="DU154" i="14"/>
  <c r="AM154" i="14" s="1"/>
  <c r="DU172" i="14"/>
  <c r="AM172" i="14" s="1"/>
  <c r="DU171" i="14"/>
  <c r="AM171" i="14" s="1"/>
  <c r="AJ175" i="14"/>
  <c r="DR340" i="14"/>
  <c r="DR312" i="14"/>
  <c r="DR332" i="14"/>
  <c r="AJ71" i="14"/>
  <c r="AG217" i="14"/>
  <c r="AG332" i="14"/>
  <c r="AG73" i="14"/>
  <c r="AG76" i="14" s="1"/>
  <c r="DU72" i="14"/>
  <c r="DU81" i="14"/>
  <c r="DU80" i="14"/>
  <c r="DU69" i="14"/>
  <c r="DU67" i="14"/>
  <c r="DU68" i="14"/>
  <c r="DU71" i="14"/>
  <c r="AG336" i="14"/>
  <c r="AG152" i="14"/>
  <c r="AG155" i="14" s="1"/>
  <c r="AG224" i="14"/>
  <c r="Y39" i="10" s="1"/>
  <c r="DU137" i="14"/>
  <c r="AM137" i="14" s="1"/>
  <c r="AJ198" i="14"/>
  <c r="AJ63" i="14"/>
  <c r="AJ338" i="14" s="1"/>
  <c r="DR338" i="14"/>
  <c r="AJ67" i="14"/>
  <c r="DR217" i="14"/>
  <c r="DR73" i="14"/>
  <c r="DR76" i="14" s="1"/>
  <c r="AI256" i="23"/>
  <c r="AI279" i="23" s="1"/>
  <c r="AI298" i="23" s="1"/>
  <c r="AI260" i="23"/>
  <c r="AI283" i="23" s="1"/>
  <c r="AI268" i="23"/>
  <c r="AI291" i="23" s="1"/>
  <c r="AI345" i="23"/>
  <c r="AI369" i="23" s="1"/>
  <c r="AI353" i="23"/>
  <c r="AI377" i="23" s="1"/>
  <c r="DU134" i="14"/>
  <c r="AJ36" i="14"/>
  <c r="DR48" i="14"/>
  <c r="DR230" i="14"/>
  <c r="AJ180" i="14"/>
  <c r="DR185" i="14"/>
  <c r="AJ144" i="14"/>
  <c r="DR336" i="14"/>
  <c r="DR152" i="14"/>
  <c r="DR155" i="14" s="1"/>
  <c r="DR224" i="14"/>
  <c r="DR231" i="14"/>
  <c r="AJ193" i="14"/>
  <c r="DR194" i="14"/>
  <c r="DI137" i="14"/>
  <c r="AA137" i="14" s="1"/>
  <c r="AI257" i="23"/>
  <c r="AI280" i="23" s="1"/>
  <c r="AI261" i="23"/>
  <c r="AI284" i="23" s="1"/>
  <c r="AI265" i="23"/>
  <c r="AI288" i="23" s="1"/>
  <c r="AI338" i="23"/>
  <c r="AI362" i="23" s="1"/>
  <c r="AI342" i="23"/>
  <c r="AI366" i="23" s="1"/>
  <c r="AI346" i="23"/>
  <c r="AI370" i="23" s="1"/>
  <c r="AI350" i="23"/>
  <c r="AI374" i="23" s="1"/>
  <c r="AJ10" i="23"/>
  <c r="AJ256" i="23" s="1"/>
  <c r="AJ279" i="23" s="1"/>
  <c r="AJ298" i="23" s="1"/>
  <c r="AI258" i="23"/>
  <c r="AI281" i="23" s="1"/>
  <c r="AI262" i="23"/>
  <c r="AI285" i="23" s="1"/>
  <c r="AI266" i="23"/>
  <c r="AI289" i="23" s="1"/>
  <c r="AI339" i="23"/>
  <c r="AI363" i="23" s="1"/>
  <c r="AI343" i="23"/>
  <c r="AI367" i="23" s="1"/>
  <c r="AI347" i="23"/>
  <c r="AI371" i="23" s="1"/>
  <c r="AH357" i="23"/>
  <c r="AG272" i="23"/>
  <c r="DL132" i="14" s="1"/>
  <c r="AD132" i="14" s="1"/>
  <c r="AG277" i="23"/>
  <c r="AG297" i="23" s="1"/>
  <c r="AS140" i="14"/>
  <c r="E140" i="7" s="1"/>
  <c r="T140" i="7" s="1"/>
  <c r="AS179" i="14"/>
  <c r="E179" i="7" s="1"/>
  <c r="T179" i="7" s="1"/>
  <c r="EA190" i="14"/>
  <c r="AV190" i="14" s="1"/>
  <c r="AG132" i="14"/>
  <c r="AG133" i="14" s="1"/>
  <c r="AG134" i="14" s="1"/>
  <c r="DO133" i="14"/>
  <c r="AH208" i="23"/>
  <c r="AH383" i="23"/>
  <c r="EA140" i="14"/>
  <c r="AV140" i="14" s="1"/>
  <c r="AK9" i="23"/>
  <c r="DX5" i="14" s="1"/>
  <c r="DX70" i="14" s="1"/>
  <c r="AP70" i="14" s="1"/>
  <c r="AS70" i="14" s="1"/>
  <c r="E70" i="7" s="1"/>
  <c r="T70" i="7" s="1"/>
  <c r="AJ168" i="23"/>
  <c r="AJ204" i="23" s="1"/>
  <c r="AJ167" i="23"/>
  <c r="AJ203" i="23" s="1"/>
  <c r="AJ166" i="23"/>
  <c r="AJ202" i="23" s="1"/>
  <c r="AJ165" i="23"/>
  <c r="AJ201" i="23" s="1"/>
  <c r="AJ164" i="23"/>
  <c r="AJ200" i="23" s="1"/>
  <c r="AJ163" i="23"/>
  <c r="AJ199" i="23" s="1"/>
  <c r="AJ162" i="23"/>
  <c r="AJ161" i="23"/>
  <c r="AJ197" i="23" s="1"/>
  <c r="AJ160" i="23"/>
  <c r="AJ196" i="23" s="1"/>
  <c r="AJ159" i="23"/>
  <c r="AJ195" i="23" s="1"/>
  <c r="AJ158" i="23"/>
  <c r="AJ194" i="23" s="1"/>
  <c r="AJ157" i="23"/>
  <c r="AJ193" i="23" s="1"/>
  <c r="AJ155" i="23"/>
  <c r="AJ191" i="23" s="1"/>
  <c r="AJ154" i="23"/>
  <c r="AJ153" i="23"/>
  <c r="AJ189" i="23" s="1"/>
  <c r="AJ152" i="23"/>
  <c r="AJ188" i="23" s="1"/>
  <c r="AJ151" i="23"/>
  <c r="AJ187" i="23" s="1"/>
  <c r="AJ150" i="23"/>
  <c r="AJ186" i="23" s="1"/>
  <c r="AJ149" i="23"/>
  <c r="AJ185" i="23" s="1"/>
  <c r="AJ148" i="23"/>
  <c r="AJ184" i="23" s="1"/>
  <c r="AJ147" i="23"/>
  <c r="AJ183" i="23" s="1"/>
  <c r="AJ146" i="23"/>
  <c r="AJ182" i="23" s="1"/>
  <c r="AJ145" i="23"/>
  <c r="AJ181" i="23" s="1"/>
  <c r="AJ144" i="23"/>
  <c r="AJ180" i="23" s="1"/>
  <c r="AJ143" i="23"/>
  <c r="AJ179" i="23" s="1"/>
  <c r="AJ142" i="23"/>
  <c r="EA179" i="14"/>
  <c r="AV179" i="14" s="1"/>
  <c r="AC81" i="23"/>
  <c r="AC371" i="23"/>
  <c r="AS190" i="14"/>
  <c r="E188" i="7" s="1"/>
  <c r="T188" i="7" s="1"/>
  <c r="AI69" i="23"/>
  <c r="AK8" i="23"/>
  <c r="DX4" i="14" s="1"/>
  <c r="AJ59" i="23"/>
  <c r="AJ84" i="23" s="1"/>
  <c r="AJ56" i="23"/>
  <c r="AJ81" i="23" s="1"/>
  <c r="AJ52" i="23"/>
  <c r="AJ77" i="23" s="1"/>
  <c r="AJ50" i="23"/>
  <c r="AJ75" i="23" s="1"/>
  <c r="AJ49" i="23"/>
  <c r="AJ74" i="23" s="1"/>
  <c r="AJ48" i="23"/>
  <c r="AJ73" i="23" s="1"/>
  <c r="AJ47" i="23"/>
  <c r="AJ72" i="23" s="1"/>
  <c r="AJ46" i="23"/>
  <c r="AJ71" i="23" s="1"/>
  <c r="AJ45" i="23"/>
  <c r="AJ44" i="23"/>
  <c r="AI172" i="23"/>
  <c r="DR78" i="14" s="1"/>
  <c r="AI178" i="23"/>
  <c r="AI208" i="23" s="1"/>
  <c r="EA193" i="14"/>
  <c r="AV193" i="14" s="1"/>
  <c r="O76" i="14"/>
  <c r="CW49" i="14"/>
  <c r="CW61" i="14"/>
  <c r="AD31" i="23"/>
  <c r="AD58" i="23" s="1"/>
  <c r="AC31" i="23"/>
  <c r="AC58" i="23" s="1"/>
  <c r="AG31" i="23"/>
  <c r="AG58" i="23" s="1"/>
  <c r="AG83" i="23" s="1"/>
  <c r="AE31" i="23"/>
  <c r="AE58" i="23" s="1"/>
  <c r="AE83" i="23" s="1"/>
  <c r="AF31" i="23"/>
  <c r="AF58" i="23" s="1"/>
  <c r="CZ137" i="14"/>
  <c r="R137" i="14" s="1"/>
  <c r="R133" i="14"/>
  <c r="R134" i="14" s="1"/>
  <c r="AD332" i="23"/>
  <c r="AD339" i="23"/>
  <c r="AD357" i="23" s="1"/>
  <c r="BM94" i="14"/>
  <c r="DC94" i="14" s="1"/>
  <c r="U94" i="14" s="1"/>
  <c r="BJ94" i="14"/>
  <c r="BJ218" i="14" s="1"/>
  <c r="AC332" i="23"/>
  <c r="AC339" i="23"/>
  <c r="AF339" i="23"/>
  <c r="BS94" i="14"/>
  <c r="CK94" i="14" s="1"/>
  <c r="AF332" i="23"/>
  <c r="AG332" i="23"/>
  <c r="AG339" i="23"/>
  <c r="BV94" i="14"/>
  <c r="DL94" i="14" s="1"/>
  <c r="AE339" i="23"/>
  <c r="BP94" i="14"/>
  <c r="DF94" i="14" s="1"/>
  <c r="X94" i="14" s="1"/>
  <c r="AE332" i="23"/>
  <c r="AB332" i="23"/>
  <c r="BG218" i="14"/>
  <c r="AB339" i="23"/>
  <c r="E178" i="7"/>
  <c r="T178" i="7" s="1"/>
  <c r="AD273" i="23"/>
  <c r="AD298" i="23"/>
  <c r="AD270" i="23"/>
  <c r="BM226" i="14"/>
  <c r="M15" i="10" s="1"/>
  <c r="BM139" i="14"/>
  <c r="BM141" i="14" s="1"/>
  <c r="BM142" i="14" s="1"/>
  <c r="DL110" i="14"/>
  <c r="AD110" i="14" s="1"/>
  <c r="DC110" i="14"/>
  <c r="CZ110" i="14"/>
  <c r="AD75" i="14"/>
  <c r="DL76" i="14"/>
  <c r="AD131" i="14"/>
  <c r="AD175" i="14"/>
  <c r="DL312" i="14"/>
  <c r="DL340" i="14"/>
  <c r="AA133" i="14"/>
  <c r="AA134" i="14" s="1"/>
  <c r="AA48" i="14"/>
  <c r="AV180" i="14"/>
  <c r="AD180" i="14"/>
  <c r="AS180" i="14" s="1"/>
  <c r="DL230" i="14"/>
  <c r="DL185" i="14"/>
  <c r="AD193" i="14"/>
  <c r="AS193" i="14" s="1"/>
  <c r="DL194" i="14"/>
  <c r="DL231" i="14"/>
  <c r="DL48" i="14"/>
  <c r="AD36" i="14"/>
  <c r="DL336" i="14"/>
  <c r="DL152" i="14"/>
  <c r="DL155" i="14" s="1"/>
  <c r="DL224" i="14"/>
  <c r="AD144" i="14"/>
  <c r="DL338" i="14"/>
  <c r="AD63" i="14"/>
  <c r="AD338" i="14" s="1"/>
  <c r="AV200" i="14"/>
  <c r="AD200" i="14"/>
  <c r="AD198" i="14"/>
  <c r="AS198" i="14" s="1"/>
  <c r="AA338" i="14"/>
  <c r="DF110" i="14"/>
  <c r="S110" i="7"/>
  <c r="AA224" i="14"/>
  <c r="S39" i="10" s="1"/>
  <c r="AA152" i="14"/>
  <c r="AA155" i="14" s="1"/>
  <c r="AA336" i="14"/>
  <c r="CW110" i="14"/>
  <c r="K116" i="15"/>
  <c r="DI110" i="14"/>
  <c r="AV178" i="14"/>
  <c r="AF346" i="23"/>
  <c r="AF370" i="23" s="1"/>
  <c r="AF333" i="23"/>
  <c r="BS55" i="14"/>
  <c r="AF330" i="23"/>
  <c r="AE346" i="23"/>
  <c r="AE370" i="23" s="1"/>
  <c r="BP55" i="14"/>
  <c r="AE333" i="23"/>
  <c r="AE330" i="23"/>
  <c r="BV55" i="14"/>
  <c r="AG346" i="23"/>
  <c r="AG370" i="23" s="1"/>
  <c r="AG333" i="23"/>
  <c r="AG330" i="23"/>
  <c r="BJ55" i="14"/>
  <c r="AC333" i="23"/>
  <c r="AC346" i="23"/>
  <c r="AC330" i="23"/>
  <c r="BG55" i="14"/>
  <c r="AB346" i="23"/>
  <c r="AB333" i="23"/>
  <c r="AB330" i="23"/>
  <c r="AD346" i="23"/>
  <c r="AD370" i="23" s="1"/>
  <c r="AD333" i="23"/>
  <c r="BM55" i="14"/>
  <c r="AD330" i="23"/>
  <c r="AB81" i="23"/>
  <c r="AH86" i="26"/>
  <c r="AH190" i="26" s="1"/>
  <c r="AH82" i="26"/>
  <c r="H28" i="23" s="1"/>
  <c r="M28" i="23" s="1"/>
  <c r="AS86" i="26"/>
  <c r="AS190" i="26" s="1"/>
  <c r="AS82" i="26"/>
  <c r="G25" i="13" s="1"/>
  <c r="AS83" i="25"/>
  <c r="AS187" i="25" s="1"/>
  <c r="AS79" i="25"/>
  <c r="G24" i="13" s="1"/>
  <c r="AH83" i="25"/>
  <c r="AH187" i="25" s="1"/>
  <c r="AH79" i="25"/>
  <c r="H27" i="23" s="1"/>
  <c r="M27" i="23" s="1"/>
  <c r="AA172" i="14"/>
  <c r="AC74" i="23"/>
  <c r="AD197" i="23"/>
  <c r="AG74" i="23"/>
  <c r="AC197" i="23"/>
  <c r="AD74" i="23"/>
  <c r="AB74" i="23"/>
  <c r="AA171" i="14"/>
  <c r="CE335" i="14" l="1"/>
  <c r="AH25" i="2" s="1"/>
  <c r="CB226" i="14"/>
  <c r="AL26" i="33" s="1"/>
  <c r="BV26" i="33" s="1"/>
  <c r="AC293" i="23"/>
  <c r="AC295" i="23" s="1"/>
  <c r="CE139" i="14"/>
  <c r="CE141" i="14" s="1"/>
  <c r="DU141" i="14" s="1"/>
  <c r="CB335" i="14"/>
  <c r="AE25" i="2" s="1"/>
  <c r="BV335" i="14"/>
  <c r="Y25" i="2" s="1"/>
  <c r="BV226" i="14"/>
  <c r="AF26" i="33" s="1"/>
  <c r="BP26" i="33" s="1"/>
  <c r="AC273" i="23"/>
  <c r="AC270" i="23"/>
  <c r="BY226" i="14"/>
  <c r="AI26" i="33" s="1"/>
  <c r="BS26" i="33" s="1"/>
  <c r="BY335" i="14"/>
  <c r="AB25" i="2" s="1"/>
  <c r="DF136" i="14"/>
  <c r="DF226" i="14" s="1"/>
  <c r="V32" i="10"/>
  <c r="Y32" i="10"/>
  <c r="DX145" i="14"/>
  <c r="AP145" i="14" s="1"/>
  <c r="DX149" i="14"/>
  <c r="AP149" i="14" s="1"/>
  <c r="AM145" i="14"/>
  <c r="AM149" i="14"/>
  <c r="BS226" i="14"/>
  <c r="S15" i="10" s="1"/>
  <c r="BG139" i="14"/>
  <c r="BG141" i="14" s="1"/>
  <c r="BG142" i="14" s="1"/>
  <c r="BS335" i="14"/>
  <c r="V25" i="2" s="1"/>
  <c r="BG226" i="14"/>
  <c r="Q26" i="33" s="1"/>
  <c r="BA26" i="33" s="1"/>
  <c r="BS139" i="14"/>
  <c r="BS141" i="14" s="1"/>
  <c r="BS142" i="14" s="1"/>
  <c r="BG335" i="14"/>
  <c r="J25" i="2" s="1"/>
  <c r="DL141" i="14"/>
  <c r="AD141" i="14" s="1"/>
  <c r="BP335" i="14"/>
  <c r="S25" i="2" s="1"/>
  <c r="CK136" i="14"/>
  <c r="BP226" i="14"/>
  <c r="Z26" i="33" s="1"/>
  <c r="BJ26" i="33" s="1"/>
  <c r="BP139" i="14"/>
  <c r="BP141" i="14" s="1"/>
  <c r="DF141" i="14" s="1"/>
  <c r="CK134" i="14"/>
  <c r="DO141" i="14"/>
  <c r="AG141" i="14" s="1"/>
  <c r="AJ360" i="14"/>
  <c r="CH335" i="14"/>
  <c r="AK25" i="2" s="1"/>
  <c r="CH226" i="14"/>
  <c r="AH15" i="10" s="1"/>
  <c r="CH139" i="14"/>
  <c r="CH141" i="14" s="1"/>
  <c r="CH142" i="14" s="1"/>
  <c r="DR360" i="14"/>
  <c r="CK137" i="14"/>
  <c r="AJ361" i="14"/>
  <c r="DU361" i="14"/>
  <c r="CW360" i="14"/>
  <c r="DU360" i="14"/>
  <c r="DF364" i="14"/>
  <c r="AM90" i="14"/>
  <c r="AM131" i="14"/>
  <c r="AM13" i="14"/>
  <c r="AD48" i="14"/>
  <c r="AD360" i="14"/>
  <c r="EA70" i="14"/>
  <c r="AV70" i="14" s="1"/>
  <c r="BJ335" i="14"/>
  <c r="M25" i="2" s="1"/>
  <c r="BJ226" i="14"/>
  <c r="J15" i="10" s="1"/>
  <c r="BJ139" i="14"/>
  <c r="BJ141" i="14" s="1"/>
  <c r="BJ142" i="14" s="1"/>
  <c r="AE279" i="23"/>
  <c r="AE298" i="23" s="1"/>
  <c r="AF279" i="23"/>
  <c r="AF298" i="23" s="1"/>
  <c r="AF273" i="23"/>
  <c r="AE270" i="23"/>
  <c r="AH270" i="23"/>
  <c r="AH273" i="23"/>
  <c r="AB279" i="23"/>
  <c r="AB298" i="23" s="1"/>
  <c r="AB270" i="23"/>
  <c r="AG273" i="23"/>
  <c r="AG270" i="23"/>
  <c r="AM243" i="23"/>
  <c r="AM246" i="23"/>
  <c r="D133" i="7"/>
  <c r="AI277" i="23"/>
  <c r="AI293" i="23" s="1"/>
  <c r="AI295" i="23" s="1"/>
  <c r="DU64" i="14"/>
  <c r="AM64" i="14" s="1"/>
  <c r="DL133" i="14"/>
  <c r="AD133" i="14"/>
  <c r="AD134" i="14" s="1"/>
  <c r="AH293" i="23"/>
  <c r="AH295" i="23" s="1"/>
  <c r="AH379" i="23"/>
  <c r="AH381" i="23" s="1"/>
  <c r="AH355" i="23"/>
  <c r="AH358" i="23"/>
  <c r="DR55" i="14"/>
  <c r="AJ55" i="14" s="1"/>
  <c r="AJ221" i="14" s="1"/>
  <c r="AB36" i="10" s="1"/>
  <c r="AM31" i="23"/>
  <c r="AK27" i="23"/>
  <c r="AK54" i="23" s="1"/>
  <c r="AK79" i="23" s="1"/>
  <c r="AH27" i="23"/>
  <c r="AH54" i="23" s="1"/>
  <c r="AH79" i="23" s="1"/>
  <c r="AJ27" i="23"/>
  <c r="AJ54" i="23" s="1"/>
  <c r="AJ79" i="23" s="1"/>
  <c r="AI27" i="23"/>
  <c r="AI54" i="23" s="1"/>
  <c r="AI79" i="23" s="1"/>
  <c r="CH331" i="14"/>
  <c r="AK21" i="2" s="1"/>
  <c r="CH221" i="14"/>
  <c r="AR16" i="33" s="1"/>
  <c r="CB16" i="33" s="1"/>
  <c r="AK28" i="23"/>
  <c r="AK55" i="23" s="1"/>
  <c r="AK80" i="23" s="1"/>
  <c r="AJ28" i="23"/>
  <c r="AJ55" i="23" s="1"/>
  <c r="AJ80" i="23" s="1"/>
  <c r="AI28" i="23"/>
  <c r="AI55" i="23" s="1"/>
  <c r="AI80" i="23" s="1"/>
  <c r="AH28" i="23"/>
  <c r="AH55" i="23" s="1"/>
  <c r="AH80" i="23" s="1"/>
  <c r="AJ353" i="23"/>
  <c r="AJ377" i="23" s="1"/>
  <c r="AM333" i="23"/>
  <c r="AN333" i="23" s="1"/>
  <c r="DU94" i="14"/>
  <c r="DU218" i="14" s="1"/>
  <c r="CB331" i="14"/>
  <c r="AE21" i="2" s="1"/>
  <c r="CB62" i="14"/>
  <c r="CB64" i="14" s="1"/>
  <c r="CB65" i="14" s="1"/>
  <c r="X332" i="23"/>
  <c r="U332" i="23"/>
  <c r="W332" i="23"/>
  <c r="V332" i="23"/>
  <c r="AL16" i="33"/>
  <c r="BV16" i="33" s="1"/>
  <c r="AB10" i="10"/>
  <c r="AM330" i="23"/>
  <c r="BY218" i="14"/>
  <c r="DO94" i="14"/>
  <c r="DO218" i="14" s="1"/>
  <c r="AO13" i="33"/>
  <c r="BY13" i="33" s="1"/>
  <c r="AE7" i="10"/>
  <c r="BY48" i="14"/>
  <c r="CK43" i="14"/>
  <c r="CK48" i="14" s="1"/>
  <c r="DO43" i="14"/>
  <c r="BS218" i="14"/>
  <c r="S7" i="10" s="1"/>
  <c r="CK218" i="14"/>
  <c r="CK55" i="14"/>
  <c r="AO16" i="33"/>
  <c r="BY16" i="33" s="1"/>
  <c r="AE10" i="10"/>
  <c r="AR13" i="33"/>
  <c r="CB13" i="33" s="1"/>
  <c r="AH7" i="10"/>
  <c r="CB218" i="14"/>
  <c r="DR94" i="14"/>
  <c r="AI273" i="23"/>
  <c r="AJ255" i="23"/>
  <c r="AJ278" i="23" s="1"/>
  <c r="AJ345" i="23"/>
  <c r="AJ369" i="23" s="1"/>
  <c r="AJ260" i="23"/>
  <c r="AJ283" i="23" s="1"/>
  <c r="AJ268" i="23"/>
  <c r="AJ291" i="23" s="1"/>
  <c r="AI270" i="23"/>
  <c r="AJ341" i="23"/>
  <c r="AJ365" i="23" s="1"/>
  <c r="AI357" i="23"/>
  <c r="AJ264" i="23"/>
  <c r="AJ287" i="23" s="1"/>
  <c r="AJ349" i="23"/>
  <c r="AJ373" i="23" s="1"/>
  <c r="AJ257" i="23"/>
  <c r="AJ280" i="23" s="1"/>
  <c r="AJ261" i="23"/>
  <c r="AJ284" i="23" s="1"/>
  <c r="AJ265" i="23"/>
  <c r="AJ288" i="23" s="1"/>
  <c r="AJ338" i="23"/>
  <c r="AJ362" i="23" s="1"/>
  <c r="AJ342" i="23"/>
  <c r="AJ366" i="23" s="1"/>
  <c r="AJ346" i="23"/>
  <c r="AJ370" i="23" s="1"/>
  <c r="AJ350" i="23"/>
  <c r="AJ374" i="23" s="1"/>
  <c r="AK10" i="23"/>
  <c r="AK267" i="23" s="1"/>
  <c r="AJ258" i="23"/>
  <c r="AJ281" i="23" s="1"/>
  <c r="AJ262" i="23"/>
  <c r="AJ285" i="23" s="1"/>
  <c r="AJ266" i="23"/>
  <c r="AJ289" i="23" s="1"/>
  <c r="AJ339" i="23"/>
  <c r="AJ363" i="23" s="1"/>
  <c r="AJ343" i="23"/>
  <c r="AJ367" i="23" s="1"/>
  <c r="AJ347" i="23"/>
  <c r="AJ371" i="23" s="1"/>
  <c r="AJ351" i="23"/>
  <c r="AJ375" i="23" s="1"/>
  <c r="AI355" i="23"/>
  <c r="AI384" i="23"/>
  <c r="AG293" i="23"/>
  <c r="AG295" i="23" s="1"/>
  <c r="AJ254" i="23"/>
  <c r="AJ272" i="23" s="1"/>
  <c r="DU132" i="14" s="1"/>
  <c r="AJ259" i="23"/>
  <c r="AJ282" i="23" s="1"/>
  <c r="AJ263" i="23"/>
  <c r="AJ286" i="23" s="1"/>
  <c r="AJ267" i="23"/>
  <c r="AJ290" i="23" s="1"/>
  <c r="AJ340" i="23"/>
  <c r="AJ364" i="23" s="1"/>
  <c r="AJ344" i="23"/>
  <c r="AJ368" i="23" s="1"/>
  <c r="AJ348" i="23"/>
  <c r="AJ372" i="23" s="1"/>
  <c r="AJ352" i="23"/>
  <c r="AJ376" i="23" s="1"/>
  <c r="DX198" i="14"/>
  <c r="DX183" i="14"/>
  <c r="DX175" i="14"/>
  <c r="DX138" i="14"/>
  <c r="DX127" i="14"/>
  <c r="DX63" i="14"/>
  <c r="DX43" i="14"/>
  <c r="DX193" i="14"/>
  <c r="DX180" i="14"/>
  <c r="DX125" i="14"/>
  <c r="DX110" i="14"/>
  <c r="AP110" i="14" s="1"/>
  <c r="DX56" i="14"/>
  <c r="DX190" i="14"/>
  <c r="AP190" i="14" s="1"/>
  <c r="DX179" i="14"/>
  <c r="AP179" i="14" s="1"/>
  <c r="DX153" i="14"/>
  <c r="DX135" i="14"/>
  <c r="DX124" i="14"/>
  <c r="DX55" i="14"/>
  <c r="AP55" i="14" s="1"/>
  <c r="DX184" i="14"/>
  <c r="DX94" i="14"/>
  <c r="DX140" i="14"/>
  <c r="AP140" i="14" s="1"/>
  <c r="DX178" i="14"/>
  <c r="AP178" i="14" s="1"/>
  <c r="DX30" i="14"/>
  <c r="DX123" i="14"/>
  <c r="DX200" i="14"/>
  <c r="AP200" i="14" s="1"/>
  <c r="DX102" i="14"/>
  <c r="DX107" i="14"/>
  <c r="DX28" i="14"/>
  <c r="AP28" i="14" s="1"/>
  <c r="DX52" i="14"/>
  <c r="DX116" i="14"/>
  <c r="DX40" i="14"/>
  <c r="DX18" i="14"/>
  <c r="DX53" i="14"/>
  <c r="DX106" i="14"/>
  <c r="AP106" i="14" s="1"/>
  <c r="DX41" i="14"/>
  <c r="DX103" i="14"/>
  <c r="DX131" i="14"/>
  <c r="DX93" i="14"/>
  <c r="DX146" i="14"/>
  <c r="DX148" i="14"/>
  <c r="DX19" i="14"/>
  <c r="DX118" i="14"/>
  <c r="DX36" i="14"/>
  <c r="DX38" i="14"/>
  <c r="DX60" i="14"/>
  <c r="DX150" i="14"/>
  <c r="DX54" i="14"/>
  <c r="DX29" i="14"/>
  <c r="DX57" i="14"/>
  <c r="DX112" i="14"/>
  <c r="DX51" i="14"/>
  <c r="DX108" i="14"/>
  <c r="DX46" i="14"/>
  <c r="DX45" i="14"/>
  <c r="DX50" i="14"/>
  <c r="AP50" i="14" s="1"/>
  <c r="DX13" i="14"/>
  <c r="DX42" i="14"/>
  <c r="DX100" i="14"/>
  <c r="DX97" i="14"/>
  <c r="DX39" i="14"/>
  <c r="DX91" i="14"/>
  <c r="DX117" i="14"/>
  <c r="DX20" i="14"/>
  <c r="DX59" i="14"/>
  <c r="DX115" i="14"/>
  <c r="DX16" i="14"/>
  <c r="DX92" i="14"/>
  <c r="DX109" i="14"/>
  <c r="DX144" i="14"/>
  <c r="EA144" i="14" s="1"/>
  <c r="AV144" i="14" s="1"/>
  <c r="DX119" i="14"/>
  <c r="DX90" i="14"/>
  <c r="DX47" i="14"/>
  <c r="DX58" i="14"/>
  <c r="DX14" i="14"/>
  <c r="DX113" i="14"/>
  <c r="DX96" i="14"/>
  <c r="DX99" i="14"/>
  <c r="DX17" i="14"/>
  <c r="DX15" i="14"/>
  <c r="DX44" i="14"/>
  <c r="DX37" i="14"/>
  <c r="DX147" i="14"/>
  <c r="AP147" i="14" s="1"/>
  <c r="DX61" i="14"/>
  <c r="AP61" i="14" s="1"/>
  <c r="DX49" i="14"/>
  <c r="AP49" i="14" s="1"/>
  <c r="DX151" i="14"/>
  <c r="DX64" i="14"/>
  <c r="AP64" i="14" s="1"/>
  <c r="DX75" i="14"/>
  <c r="DX154" i="14"/>
  <c r="DX172" i="14"/>
  <c r="DX171" i="14"/>
  <c r="DX137" i="14"/>
  <c r="AP137" i="14" s="1"/>
  <c r="AS137" i="14" s="1"/>
  <c r="DX134" i="14"/>
  <c r="EA134" i="14" s="1"/>
  <c r="AM71" i="14"/>
  <c r="AM80" i="14"/>
  <c r="AM180" i="14"/>
  <c r="DU230" i="14"/>
  <c r="DU185" i="14"/>
  <c r="AJ332" i="14"/>
  <c r="AJ73" i="14"/>
  <c r="AJ76" i="14" s="1"/>
  <c r="AM68" i="14"/>
  <c r="AM81" i="14"/>
  <c r="AM28" i="14"/>
  <c r="DU231" i="14"/>
  <c r="DU194" i="14"/>
  <c r="AM193" i="14"/>
  <c r="AM198" i="14"/>
  <c r="AJ224" i="14"/>
  <c r="AB39" i="10" s="1"/>
  <c r="AJ152" i="14"/>
  <c r="AJ155" i="14" s="1"/>
  <c r="AJ336" i="14"/>
  <c r="AJ48" i="14"/>
  <c r="AM67" i="14"/>
  <c r="DU217" i="14"/>
  <c r="DU332" i="14"/>
  <c r="DU73" i="14"/>
  <c r="DU76" i="14" s="1"/>
  <c r="AM72" i="14"/>
  <c r="AM36" i="14"/>
  <c r="AM360" i="14" s="1"/>
  <c r="DU48" i="14"/>
  <c r="DU62" i="14" s="1"/>
  <c r="DU331" i="14"/>
  <c r="DU221" i="14"/>
  <c r="DX81" i="14"/>
  <c r="AP81" i="14" s="1"/>
  <c r="DX80" i="14"/>
  <c r="AP80" i="14" s="1"/>
  <c r="DX72" i="14"/>
  <c r="AP72" i="14" s="1"/>
  <c r="DX69" i="14"/>
  <c r="AP69" i="14" s="1"/>
  <c r="DX67" i="14"/>
  <c r="DX71" i="14"/>
  <c r="AP71" i="14" s="1"/>
  <c r="DX68" i="14"/>
  <c r="AP68" i="14" s="1"/>
  <c r="AM69" i="14"/>
  <c r="AJ217" i="14"/>
  <c r="AM144" i="14"/>
  <c r="DU336" i="14"/>
  <c r="DU152" i="14"/>
  <c r="DU155" i="14" s="1"/>
  <c r="DU224" i="14"/>
  <c r="AM63" i="14"/>
  <c r="AM338" i="14" s="1"/>
  <c r="DU338" i="14"/>
  <c r="DU312" i="14"/>
  <c r="DU340" i="14"/>
  <c r="AM175" i="14"/>
  <c r="O249" i="23"/>
  <c r="V249" i="23"/>
  <c r="U249" i="23"/>
  <c r="X249" i="23"/>
  <c r="W249" i="23"/>
  <c r="AE15" i="10"/>
  <c r="AO26" i="33"/>
  <c r="BY26" i="33" s="1"/>
  <c r="AJ273" i="23"/>
  <c r="AI358" i="23"/>
  <c r="AJ78" i="14"/>
  <c r="AJ178" i="23"/>
  <c r="AJ172" i="23"/>
  <c r="DU78" i="14" s="1"/>
  <c r="AM78" i="14" s="1"/>
  <c r="AJ190" i="23"/>
  <c r="AJ69" i="23"/>
  <c r="AK50" i="23"/>
  <c r="AK46" i="23"/>
  <c r="AK71" i="23" s="1"/>
  <c r="AM71" i="23" s="1"/>
  <c r="AK59" i="23"/>
  <c r="AK52" i="23"/>
  <c r="AK47" i="23"/>
  <c r="AK56" i="23"/>
  <c r="AK81" i="23" s="1"/>
  <c r="AM81" i="23" s="1"/>
  <c r="AK49" i="23"/>
  <c r="AK74" i="23" s="1"/>
  <c r="AM74" i="23" s="1"/>
  <c r="AK45" i="23"/>
  <c r="AK70" i="23" s="1"/>
  <c r="AK58" i="23"/>
  <c r="AK83" i="23" s="1"/>
  <c r="AK48" i="23"/>
  <c r="AK44" i="23"/>
  <c r="E191" i="7"/>
  <c r="T191" i="7" s="1"/>
  <c r="AJ132" i="14"/>
  <c r="AJ133" i="14" s="1"/>
  <c r="AJ134" i="14" s="1"/>
  <c r="DR133" i="14"/>
  <c r="AJ70" i="23"/>
  <c r="AK167" i="23"/>
  <c r="AK161" i="23"/>
  <c r="AK157" i="23"/>
  <c r="AK152" i="23"/>
  <c r="AK148" i="23"/>
  <c r="AK168" i="23"/>
  <c r="AK166" i="23"/>
  <c r="AK164" i="23"/>
  <c r="AK162" i="23"/>
  <c r="AK198" i="23" s="1"/>
  <c r="AK160" i="23"/>
  <c r="AK158" i="23"/>
  <c r="AK155" i="23"/>
  <c r="AK153" i="23"/>
  <c r="AK151" i="23"/>
  <c r="AK149" i="23"/>
  <c r="AK147" i="23"/>
  <c r="AK145" i="23"/>
  <c r="AK143" i="23"/>
  <c r="AK165" i="23"/>
  <c r="AK163" i="23"/>
  <c r="AK159" i="23"/>
  <c r="AK154" i="23"/>
  <c r="AK190" i="23" s="1"/>
  <c r="AK150" i="23"/>
  <c r="AK146" i="23"/>
  <c r="AK144" i="23"/>
  <c r="AK142" i="23"/>
  <c r="AK344" i="23"/>
  <c r="AI383" i="23"/>
  <c r="AI379" i="23"/>
  <c r="AI381" i="23" s="1"/>
  <c r="AC370" i="23"/>
  <c r="AC384" i="23" s="1"/>
  <c r="AA110" i="14"/>
  <c r="E180" i="7"/>
  <c r="T180" i="7" s="1"/>
  <c r="AJ198" i="23"/>
  <c r="AS200" i="14"/>
  <c r="E198" i="7" s="1"/>
  <c r="T198" i="7" s="1"/>
  <c r="O61" i="14"/>
  <c r="O49" i="14"/>
  <c r="CB142" i="14"/>
  <c r="DR141" i="14"/>
  <c r="AJ141" i="14" s="1"/>
  <c r="R249" i="23"/>
  <c r="S249" i="23"/>
  <c r="Q249" i="23"/>
  <c r="AN249" i="23"/>
  <c r="P249" i="23"/>
  <c r="T249" i="23"/>
  <c r="BP218" i="14"/>
  <c r="Z13" i="33" s="1"/>
  <c r="BJ13" i="33" s="1"/>
  <c r="BV218" i="14"/>
  <c r="V7" i="10" s="1"/>
  <c r="AD94" i="14"/>
  <c r="AD218" i="14" s="1"/>
  <c r="V33" i="10" s="1"/>
  <c r="BM218" i="14"/>
  <c r="M7" i="10" s="1"/>
  <c r="AD363" i="23"/>
  <c r="AD383" i="23" s="1"/>
  <c r="AF363" i="23"/>
  <c r="AF383" i="23" s="1"/>
  <c r="AF357" i="23"/>
  <c r="AC363" i="23"/>
  <c r="AC357" i="23"/>
  <c r="CZ94" i="14"/>
  <c r="R94" i="14" s="1"/>
  <c r="Q332" i="23"/>
  <c r="O332" i="23"/>
  <c r="T332" i="23"/>
  <c r="S332" i="23"/>
  <c r="P332" i="23"/>
  <c r="R332" i="23"/>
  <c r="AG363" i="23"/>
  <c r="AG383" i="23" s="1"/>
  <c r="AG357" i="23"/>
  <c r="AB363" i="23"/>
  <c r="AB357" i="23"/>
  <c r="CW94" i="14"/>
  <c r="O94" i="14" s="1"/>
  <c r="AE363" i="23"/>
  <c r="AE383" i="23" s="1"/>
  <c r="AE357" i="23"/>
  <c r="DI94" i="14"/>
  <c r="DL218" i="14"/>
  <c r="DC141" i="14"/>
  <c r="U141" i="14" s="1"/>
  <c r="CW136" i="14"/>
  <c r="DC136" i="14"/>
  <c r="DC364" i="14" s="1"/>
  <c r="W26" i="33"/>
  <c r="BG26" i="33" s="1"/>
  <c r="AD224" i="14"/>
  <c r="V39" i="10" s="1"/>
  <c r="AD336" i="14"/>
  <c r="AD152" i="14"/>
  <c r="AD155" i="14" s="1"/>
  <c r="J7" i="10"/>
  <c r="T13" i="33"/>
  <c r="BD13" i="33" s="1"/>
  <c r="AO322" i="23"/>
  <c r="Q13" i="33"/>
  <c r="BA13" i="33" s="1"/>
  <c r="G7" i="10"/>
  <c r="X110" i="14"/>
  <c r="X218" i="14" s="1"/>
  <c r="P33" i="10" s="1"/>
  <c r="DF218" i="14"/>
  <c r="R110" i="14"/>
  <c r="O110" i="14"/>
  <c r="AV198" i="14"/>
  <c r="AD76" i="14"/>
  <c r="U110" i="14"/>
  <c r="U218" i="14" s="1"/>
  <c r="M33" i="10" s="1"/>
  <c r="DC218" i="14"/>
  <c r="AD384" i="23"/>
  <c r="CW55" i="14"/>
  <c r="O55" i="14" s="1"/>
  <c r="AE358" i="23"/>
  <c r="AE355" i="23"/>
  <c r="AF384" i="23"/>
  <c r="AD358" i="23"/>
  <c r="AD355" i="23"/>
  <c r="AB358" i="23"/>
  <c r="AB355" i="23"/>
  <c r="CZ55" i="14"/>
  <c r="BJ221" i="14"/>
  <c r="BJ62" i="14"/>
  <c r="BJ331" i="14"/>
  <c r="M21" i="2" s="1"/>
  <c r="AG384" i="23"/>
  <c r="AE384" i="23"/>
  <c r="DC55" i="14"/>
  <c r="U55" i="14" s="1"/>
  <c r="BM62" i="14"/>
  <c r="BM64" i="14" s="1"/>
  <c r="BM331" i="14"/>
  <c r="P21" i="2" s="1"/>
  <c r="BM221" i="14"/>
  <c r="AB370" i="23"/>
  <c r="AC358" i="23"/>
  <c r="AC355" i="23"/>
  <c r="AG358" i="23"/>
  <c r="AG355" i="23"/>
  <c r="AF358" i="23"/>
  <c r="AF355" i="23"/>
  <c r="DL55" i="14"/>
  <c r="AD55" i="14" s="1"/>
  <c r="BV62" i="14"/>
  <c r="BV64" i="14" s="1"/>
  <c r="BV221" i="14"/>
  <c r="BV331" i="14"/>
  <c r="Y21" i="2" s="1"/>
  <c r="DF55" i="14"/>
  <c r="BP62" i="14"/>
  <c r="BP64" i="14" s="1"/>
  <c r="BP221" i="14"/>
  <c r="BP331" i="14"/>
  <c r="S21" i="2" s="1"/>
  <c r="DI55" i="14"/>
  <c r="BS62" i="14"/>
  <c r="BS64" i="14" s="1"/>
  <c r="BS331" i="14"/>
  <c r="V21" i="2" s="1"/>
  <c r="BS221" i="14"/>
  <c r="AG28" i="23"/>
  <c r="AE28" i="23"/>
  <c r="AB28" i="23"/>
  <c r="AF28" i="23"/>
  <c r="AC28" i="23"/>
  <c r="AD28" i="23"/>
  <c r="AD27" i="23"/>
  <c r="AG27" i="23"/>
  <c r="AG54" i="23" s="1"/>
  <c r="AG79" i="23" s="1"/>
  <c r="AE27" i="23"/>
  <c r="AC27" i="23"/>
  <c r="AC54" i="23" s="1"/>
  <c r="AB27" i="23"/>
  <c r="AF27" i="23"/>
  <c r="AF54" i="23" s="1"/>
  <c r="AF79" i="23" s="1"/>
  <c r="AD83" i="23"/>
  <c r="AB197" i="23"/>
  <c r="AC83" i="23"/>
  <c r="AE197" i="23"/>
  <c r="AF197" i="23"/>
  <c r="AG197" i="23"/>
  <c r="AF83" i="23"/>
  <c r="AM224" i="14" l="1"/>
  <c r="AE39" i="10" s="1"/>
  <c r="CE142" i="14"/>
  <c r="AB15" i="10"/>
  <c r="CZ136" i="14"/>
  <c r="CZ335" i="14" s="1"/>
  <c r="E137" i="7"/>
  <c r="T137" i="7" s="1"/>
  <c r="V15" i="10"/>
  <c r="Y15" i="10"/>
  <c r="DF335" i="14"/>
  <c r="DF139" i="14"/>
  <c r="DF142" i="14" s="1"/>
  <c r="X136" i="14"/>
  <c r="X335" i="14" s="1"/>
  <c r="O333" i="23"/>
  <c r="Q333" i="23"/>
  <c r="S333" i="23"/>
  <c r="T333" i="23"/>
  <c r="P333" i="23"/>
  <c r="R333" i="23"/>
  <c r="W333" i="23"/>
  <c r="U333" i="23"/>
  <c r="V333" i="23"/>
  <c r="X333" i="23"/>
  <c r="BR136" i="14"/>
  <c r="Z136" i="14" s="1"/>
  <c r="BO136" i="14"/>
  <c r="W136" i="14" s="1"/>
  <c r="W139" i="14" s="1"/>
  <c r="W142" i="14" s="1"/>
  <c r="DO136" i="14"/>
  <c r="DO364" i="14" s="1"/>
  <c r="CD136" i="14"/>
  <c r="CD142" i="14" s="1"/>
  <c r="DI136" i="14"/>
  <c r="AA136" i="14" s="1"/>
  <c r="BI136" i="14"/>
  <c r="Q136" i="14" s="1"/>
  <c r="Q139" i="14" s="1"/>
  <c r="Q142" i="14" s="1"/>
  <c r="CG136" i="14"/>
  <c r="AO136" i="14" s="1"/>
  <c r="AO139" i="14" s="1"/>
  <c r="AO142" i="14" s="1"/>
  <c r="DR136" i="14"/>
  <c r="DR364" i="14" s="1"/>
  <c r="BX136" i="14"/>
  <c r="AF136" i="14" s="1"/>
  <c r="AF139" i="14" s="1"/>
  <c r="AF142" i="14" s="1"/>
  <c r="L5" i="11" s="1"/>
  <c r="DL136" i="14"/>
  <c r="AD136" i="14" s="1"/>
  <c r="AD289" i="14" s="1"/>
  <c r="BL136" i="14"/>
  <c r="T136" i="14" s="1"/>
  <c r="T139" i="14" s="1"/>
  <c r="T142" i="14" s="1"/>
  <c r="CA136" i="14"/>
  <c r="AB32" i="10"/>
  <c r="EA145" i="14"/>
  <c r="AV145" i="14" s="1"/>
  <c r="AS145" i="14"/>
  <c r="E145" i="7" s="1"/>
  <c r="T145" i="7" s="1"/>
  <c r="EA149" i="14"/>
  <c r="AV149" i="14" s="1"/>
  <c r="AS149" i="14"/>
  <c r="E149" i="7" s="1"/>
  <c r="T149" i="7" s="1"/>
  <c r="AC26" i="33"/>
  <c r="BM26" i="33" s="1"/>
  <c r="CW141" i="14"/>
  <c r="O141" i="14" s="1"/>
  <c r="G15" i="10"/>
  <c r="AK348" i="23"/>
  <c r="AK372" i="23" s="1"/>
  <c r="AM372" i="23" s="1"/>
  <c r="AK257" i="23"/>
  <c r="DX141" i="14"/>
  <c r="AP141" i="14" s="1"/>
  <c r="E25" i="2"/>
  <c r="X141" i="14"/>
  <c r="BP142" i="14"/>
  <c r="P15" i="10"/>
  <c r="AV134" i="14"/>
  <c r="CK139" i="14"/>
  <c r="K120" i="15"/>
  <c r="CK226" i="14"/>
  <c r="E26" i="33" s="1"/>
  <c r="CK335" i="14"/>
  <c r="AD364" i="14"/>
  <c r="AR26" i="33"/>
  <c r="CB26" i="33" s="1"/>
  <c r="AM361" i="14"/>
  <c r="O360" i="14"/>
  <c r="DX361" i="14"/>
  <c r="DX360" i="14"/>
  <c r="O136" i="14"/>
  <c r="O226" i="14" s="1"/>
  <c r="CW364" i="14"/>
  <c r="DL364" i="14"/>
  <c r="X364" i="14"/>
  <c r="AK341" i="23"/>
  <c r="AM341" i="23" s="1"/>
  <c r="T26" i="33"/>
  <c r="BD26" i="33" s="1"/>
  <c r="CZ141" i="14"/>
  <c r="R141" i="14" s="1"/>
  <c r="AE293" i="23"/>
  <c r="AE295" i="23" s="1"/>
  <c r="AF293" i="23"/>
  <c r="AF295" i="23" s="1"/>
  <c r="AB293" i="23"/>
  <c r="AB295" i="23" s="1"/>
  <c r="AI297" i="23"/>
  <c r="AK255" i="23"/>
  <c r="AK278" i="23" s="1"/>
  <c r="AM278" i="23" s="1"/>
  <c r="AK260" i="23"/>
  <c r="AM260" i="23" s="1"/>
  <c r="AK345" i="23"/>
  <c r="AK264" i="23"/>
  <c r="AK349" i="23"/>
  <c r="AK373" i="23" s="1"/>
  <c r="AM373" i="23" s="1"/>
  <c r="AK353" i="23"/>
  <c r="AK377" i="23" s="1"/>
  <c r="AM377" i="23" s="1"/>
  <c r="AK265" i="23"/>
  <c r="AK288" i="23" s="1"/>
  <c r="AM288" i="23" s="1"/>
  <c r="AK343" i="23"/>
  <c r="AM343" i="23" s="1"/>
  <c r="AK347" i="23"/>
  <c r="AK371" i="23" s="1"/>
  <c r="AM371" i="23" s="1"/>
  <c r="AK268" i="23"/>
  <c r="AK291" i="23" s="1"/>
  <c r="AM291" i="23" s="1"/>
  <c r="DU65" i="14"/>
  <c r="AJ331" i="14"/>
  <c r="DR331" i="14"/>
  <c r="AK261" i="23"/>
  <c r="AM261" i="23" s="1"/>
  <c r="AJ62" i="14"/>
  <c r="DR62" i="14"/>
  <c r="DR221" i="14"/>
  <c r="AS69" i="14"/>
  <c r="E69" i="7" s="1"/>
  <c r="T69" i="7" s="1"/>
  <c r="AC13" i="33"/>
  <c r="BM13" i="33" s="1"/>
  <c r="AM94" i="14"/>
  <c r="AM218" i="14" s="1"/>
  <c r="AE33" i="10" s="1"/>
  <c r="AH10" i="10"/>
  <c r="DU136" i="14"/>
  <c r="AM136" i="14" s="1"/>
  <c r="AK256" i="23"/>
  <c r="AM256" i="23" s="1"/>
  <c r="AM273" i="23" s="1"/>
  <c r="AK342" i="23"/>
  <c r="AK366" i="23" s="1"/>
  <c r="AM366" i="23" s="1"/>
  <c r="AK338" i="23"/>
  <c r="AK362" i="23" s="1"/>
  <c r="AK351" i="23"/>
  <c r="AK352" i="23"/>
  <c r="AK376" i="23" s="1"/>
  <c r="AM376" i="23" s="1"/>
  <c r="AK258" i="23"/>
  <c r="AK281" i="23" s="1"/>
  <c r="AM281" i="23" s="1"/>
  <c r="AK262" i="23"/>
  <c r="AK285" i="23" s="1"/>
  <c r="AM285" i="23" s="1"/>
  <c r="AK266" i="23"/>
  <c r="AK289" i="23" s="1"/>
  <c r="AM289" i="23" s="1"/>
  <c r="AK346" i="23"/>
  <c r="AK370" i="23" s="1"/>
  <c r="AM370" i="23" s="1"/>
  <c r="AK350" i="23"/>
  <c r="AK374" i="23" s="1"/>
  <c r="AM374" i="23" s="1"/>
  <c r="AK339" i="23"/>
  <c r="AK363" i="23" s="1"/>
  <c r="AM363" i="23" s="1"/>
  <c r="AK340" i="23"/>
  <c r="AK364" i="23" s="1"/>
  <c r="AM364" i="23" s="1"/>
  <c r="AK254" i="23"/>
  <c r="AK272" i="23" s="1"/>
  <c r="DX132" i="14" s="1"/>
  <c r="AK259" i="23"/>
  <c r="AK282" i="23" s="1"/>
  <c r="AM282" i="23" s="1"/>
  <c r="AK263" i="23"/>
  <c r="AM263" i="23" s="1"/>
  <c r="DR64" i="14"/>
  <c r="AJ64" i="14" s="1"/>
  <c r="AM27" i="23"/>
  <c r="AM28" i="23"/>
  <c r="AG94" i="14"/>
  <c r="AG218" i="14" s="1"/>
  <c r="Y33" i="10" s="1"/>
  <c r="AJ94" i="14"/>
  <c r="AJ218" i="14" s="1"/>
  <c r="AB33" i="10" s="1"/>
  <c r="DR218" i="14"/>
  <c r="Z332" i="23"/>
  <c r="AL13" i="33"/>
  <c r="BV13" i="33" s="1"/>
  <c r="AB7" i="10"/>
  <c r="AG43" i="14"/>
  <c r="DO48" i="14"/>
  <c r="AI13" i="33"/>
  <c r="BS13" i="33" s="1"/>
  <c r="Y7" i="10"/>
  <c r="BY61" i="14"/>
  <c r="BY49" i="14"/>
  <c r="EA110" i="14"/>
  <c r="AO347" i="23" s="1"/>
  <c r="EA28" i="14"/>
  <c r="AV28" i="14" s="1"/>
  <c r="AS71" i="14"/>
  <c r="AJ277" i="23"/>
  <c r="AJ297" i="23" s="1"/>
  <c r="AS28" i="14"/>
  <c r="E28" i="7" s="1"/>
  <c r="T28" i="7" s="1"/>
  <c r="AJ358" i="23"/>
  <c r="AJ355" i="23"/>
  <c r="AJ270" i="23"/>
  <c r="AJ384" i="23"/>
  <c r="AJ357" i="23"/>
  <c r="EA137" i="14"/>
  <c r="AV137" i="14" s="1"/>
  <c r="EA69" i="14"/>
  <c r="AV69" i="14" s="1"/>
  <c r="AS68" i="14"/>
  <c r="EA80" i="14"/>
  <c r="AV80" i="14" s="1"/>
  <c r="AP172" i="14"/>
  <c r="AS172" i="14" s="1"/>
  <c r="EA172" i="14"/>
  <c r="AV172" i="14" s="1"/>
  <c r="AP15" i="14"/>
  <c r="AS15" i="14" s="1"/>
  <c r="EA15" i="14"/>
  <c r="AP113" i="14"/>
  <c r="AS113" i="14" s="1"/>
  <c r="EA113" i="14"/>
  <c r="AV113" i="14" s="1"/>
  <c r="AP90" i="14"/>
  <c r="AS90" i="14" s="1"/>
  <c r="EA90" i="14"/>
  <c r="AP92" i="14"/>
  <c r="AS92" i="14" s="1"/>
  <c r="EA92" i="14"/>
  <c r="AV92" i="14" s="1"/>
  <c r="AP20" i="14"/>
  <c r="AS20" i="14" s="1"/>
  <c r="EA20" i="14"/>
  <c r="AV20" i="14" s="1"/>
  <c r="AP97" i="14"/>
  <c r="AS97" i="14" s="1"/>
  <c r="E97" i="7" s="1"/>
  <c r="T97" i="7" s="1"/>
  <c r="EA97" i="14"/>
  <c r="AV97" i="14" s="1"/>
  <c r="AP51" i="14"/>
  <c r="AS51" i="14" s="1"/>
  <c r="E51" i="7" s="1"/>
  <c r="T51" i="7" s="1"/>
  <c r="EA51" i="14"/>
  <c r="AV51" i="14" s="1"/>
  <c r="AP54" i="14"/>
  <c r="AS54" i="14" s="1"/>
  <c r="E54" i="7" s="1"/>
  <c r="T54" i="7" s="1"/>
  <c r="EA54" i="14"/>
  <c r="AV54" i="14" s="1"/>
  <c r="AP36" i="14"/>
  <c r="DX48" i="14"/>
  <c r="DX62" i="14" s="1"/>
  <c r="DX65" i="14" s="1"/>
  <c r="DX331" i="14"/>
  <c r="DX221" i="14"/>
  <c r="EA36" i="14"/>
  <c r="AP146" i="14"/>
  <c r="AS146" i="14" s="1"/>
  <c r="E146" i="7" s="1"/>
  <c r="T146" i="7" s="1"/>
  <c r="EA146" i="14"/>
  <c r="AP41" i="14"/>
  <c r="AS41" i="14" s="1"/>
  <c r="EA41" i="14"/>
  <c r="AV41" i="14" s="1"/>
  <c r="AP40" i="14"/>
  <c r="AS40" i="14" s="1"/>
  <c r="EA40" i="14"/>
  <c r="AV40" i="14" s="1"/>
  <c r="AP107" i="14"/>
  <c r="AS107" i="14" s="1"/>
  <c r="EA107" i="14"/>
  <c r="AV107" i="14" s="1"/>
  <c r="AP30" i="14"/>
  <c r="AS30" i="14" s="1"/>
  <c r="E30" i="7" s="1"/>
  <c r="T30" i="7" s="1"/>
  <c r="EA30" i="14"/>
  <c r="AV30" i="14" s="1"/>
  <c r="AP184" i="14"/>
  <c r="AS184" i="14" s="1"/>
  <c r="E182" i="7" s="1"/>
  <c r="T182" i="7" s="1"/>
  <c r="EA184" i="14"/>
  <c r="AV184" i="14" s="1"/>
  <c r="AP153" i="14"/>
  <c r="AS153" i="14" s="1"/>
  <c r="E153" i="7" s="1"/>
  <c r="T153" i="7" s="1"/>
  <c r="EA153" i="14"/>
  <c r="AV153" i="14" s="1"/>
  <c r="AP43" i="14"/>
  <c r="EA43" i="14"/>
  <c r="AV43" i="14" s="1"/>
  <c r="AP138" i="14"/>
  <c r="AS138" i="14" s="1"/>
  <c r="E138" i="7" s="1"/>
  <c r="T138" i="7" s="1"/>
  <c r="EA138" i="14"/>
  <c r="AV138" i="14" s="1"/>
  <c r="EA72" i="14"/>
  <c r="AV72" i="14" s="1"/>
  <c r="EA81" i="14"/>
  <c r="AV81" i="14" s="1"/>
  <c r="AS80" i="14"/>
  <c r="E80" i="7" s="1"/>
  <c r="T80" i="7" s="1"/>
  <c r="AP151" i="14"/>
  <c r="AS151" i="14" s="1"/>
  <c r="E151" i="7" s="1"/>
  <c r="T151" i="7" s="1"/>
  <c r="EA151" i="14"/>
  <c r="AV151" i="14" s="1"/>
  <c r="AP17" i="14"/>
  <c r="AS17" i="14" s="1"/>
  <c r="EA17" i="14"/>
  <c r="AV17" i="14" s="1"/>
  <c r="AP14" i="14"/>
  <c r="AS14" i="14" s="1"/>
  <c r="EA14" i="14"/>
  <c r="AP119" i="14"/>
  <c r="AS119" i="14" s="1"/>
  <c r="EA119" i="14"/>
  <c r="AV119" i="14" s="1"/>
  <c r="AP16" i="14"/>
  <c r="AS16" i="14" s="1"/>
  <c r="EA16" i="14"/>
  <c r="AV16" i="14" s="1"/>
  <c r="AP117" i="14"/>
  <c r="AS117" i="14" s="1"/>
  <c r="EA117" i="14"/>
  <c r="AV117" i="14" s="1"/>
  <c r="AP100" i="14"/>
  <c r="AS100" i="14" s="1"/>
  <c r="EA100" i="14"/>
  <c r="AV100" i="14" s="1"/>
  <c r="AP45" i="14"/>
  <c r="AS45" i="14" s="1"/>
  <c r="EA45" i="14"/>
  <c r="AV45" i="14" s="1"/>
  <c r="AP112" i="14"/>
  <c r="AS112" i="14" s="1"/>
  <c r="EA112" i="14"/>
  <c r="AV112" i="14" s="1"/>
  <c r="AP150" i="14"/>
  <c r="AS150" i="14" s="1"/>
  <c r="E150" i="7" s="1"/>
  <c r="T150" i="7" s="1"/>
  <c r="EA150" i="14"/>
  <c r="AV150" i="14" s="1"/>
  <c r="AP118" i="14"/>
  <c r="AS118" i="14" s="1"/>
  <c r="EA118" i="14"/>
  <c r="AV118" i="14" s="1"/>
  <c r="AP93" i="14"/>
  <c r="AS93" i="14" s="1"/>
  <c r="EA93" i="14"/>
  <c r="AV93" i="14" s="1"/>
  <c r="AP116" i="14"/>
  <c r="AS116" i="14" s="1"/>
  <c r="EA116" i="14"/>
  <c r="AV116" i="14" s="1"/>
  <c r="AP102" i="14"/>
  <c r="AS102" i="14" s="1"/>
  <c r="E102" i="7" s="1"/>
  <c r="T102" i="7" s="1"/>
  <c r="EA102" i="14"/>
  <c r="AV102" i="14" s="1"/>
  <c r="AP125" i="14"/>
  <c r="AS125" i="14" s="1"/>
  <c r="E125" i="7" s="1"/>
  <c r="T125" i="7" s="1"/>
  <c r="EA125" i="14"/>
  <c r="AV125" i="14" s="1"/>
  <c r="AP63" i="14"/>
  <c r="AS63" i="14" s="1"/>
  <c r="E63" i="7" s="1"/>
  <c r="T63" i="7" s="1"/>
  <c r="DX338" i="14"/>
  <c r="EA63" i="14"/>
  <c r="DX340" i="14"/>
  <c r="DX312" i="14"/>
  <c r="AP175" i="14"/>
  <c r="AS175" i="14" s="1"/>
  <c r="E175" i="7" s="1"/>
  <c r="T175" i="7" s="1"/>
  <c r="EA175" i="14"/>
  <c r="AV175" i="14" s="1"/>
  <c r="AM336" i="14"/>
  <c r="AM152" i="14"/>
  <c r="AM155" i="14" s="1"/>
  <c r="AP67" i="14"/>
  <c r="AP361" i="14" s="1"/>
  <c r="DX332" i="14"/>
  <c r="DX73" i="14"/>
  <c r="DX76" i="14" s="1"/>
  <c r="DX217" i="14"/>
  <c r="EA67" i="14"/>
  <c r="AS72" i="14"/>
  <c r="E72" i="7" s="1"/>
  <c r="T72" i="7" s="1"/>
  <c r="AM332" i="14"/>
  <c r="AM73" i="14"/>
  <c r="AM76" i="14" s="1"/>
  <c r="AM217" i="14"/>
  <c r="AS81" i="14"/>
  <c r="E81" i="7" s="1"/>
  <c r="T81" i="7" s="1"/>
  <c r="EA71" i="14"/>
  <c r="AV71" i="14" s="1"/>
  <c r="AP154" i="14"/>
  <c r="EA154" i="14"/>
  <c r="AV154" i="14" s="1"/>
  <c r="AP37" i="14"/>
  <c r="AS37" i="14" s="1"/>
  <c r="EA37" i="14"/>
  <c r="AV37" i="14" s="1"/>
  <c r="AP99" i="14"/>
  <c r="AS99" i="14" s="1"/>
  <c r="EA99" i="14"/>
  <c r="AV99" i="14" s="1"/>
  <c r="AP58" i="14"/>
  <c r="AS58" i="14" s="1"/>
  <c r="E58" i="7" s="1"/>
  <c r="T58" i="7" s="1"/>
  <c r="EA58" i="14"/>
  <c r="AV58" i="14" s="1"/>
  <c r="AP144" i="14"/>
  <c r="DX224" i="14"/>
  <c r="DX336" i="14"/>
  <c r="DX152" i="14"/>
  <c r="DX155" i="14" s="1"/>
  <c r="AP115" i="14"/>
  <c r="AS115" i="14" s="1"/>
  <c r="EA115" i="14"/>
  <c r="AV115" i="14" s="1"/>
  <c r="AP91" i="14"/>
  <c r="AS91" i="14" s="1"/>
  <c r="EA91" i="14"/>
  <c r="AV91" i="14" s="1"/>
  <c r="AP42" i="14"/>
  <c r="AS42" i="14" s="1"/>
  <c r="EA42" i="14"/>
  <c r="AV42" i="14" s="1"/>
  <c r="AP46" i="14"/>
  <c r="AS46" i="14" s="1"/>
  <c r="EA46" i="14"/>
  <c r="AV46" i="14" s="1"/>
  <c r="AP57" i="14"/>
  <c r="AS57" i="14" s="1"/>
  <c r="E57" i="7" s="1"/>
  <c r="T57" i="7" s="1"/>
  <c r="EA57" i="14"/>
  <c r="AV57" i="14" s="1"/>
  <c r="AP60" i="14"/>
  <c r="AS60" i="14" s="1"/>
  <c r="E60" i="7" s="1"/>
  <c r="T60" i="7" s="1"/>
  <c r="EA60" i="14"/>
  <c r="AV60" i="14" s="1"/>
  <c r="AP19" i="14"/>
  <c r="AS19" i="14" s="1"/>
  <c r="EA19" i="14"/>
  <c r="AV19" i="14" s="1"/>
  <c r="AP131" i="14"/>
  <c r="EA131" i="14"/>
  <c r="AP53" i="14"/>
  <c r="AS53" i="14" s="1"/>
  <c r="E53" i="7" s="1"/>
  <c r="T53" i="7" s="1"/>
  <c r="EA53" i="14"/>
  <c r="AV53" i="14" s="1"/>
  <c r="AP52" i="14"/>
  <c r="AS52" i="14" s="1"/>
  <c r="E52" i="7" s="1"/>
  <c r="T52" i="7" s="1"/>
  <c r="EA52" i="14"/>
  <c r="AV52" i="14" s="1"/>
  <c r="AP124" i="14"/>
  <c r="AS124" i="14" s="1"/>
  <c r="E124" i="7" s="1"/>
  <c r="T124" i="7" s="1"/>
  <c r="EA124" i="14"/>
  <c r="AV124" i="14" s="1"/>
  <c r="AP180" i="14"/>
  <c r="DX185" i="14"/>
  <c r="DX230" i="14"/>
  <c r="AP183" i="14"/>
  <c r="AS183" i="14" s="1"/>
  <c r="EA183" i="14"/>
  <c r="AM48" i="14"/>
  <c r="AM62" i="14" s="1"/>
  <c r="AM65" i="14" s="1"/>
  <c r="AM221" i="14"/>
  <c r="AE36" i="10" s="1"/>
  <c r="AM331" i="14"/>
  <c r="EA68" i="14"/>
  <c r="AV68" i="14" s="1"/>
  <c r="AP171" i="14"/>
  <c r="AS171" i="14" s="1"/>
  <c r="EA171" i="14"/>
  <c r="AV171" i="14" s="1"/>
  <c r="AP75" i="14"/>
  <c r="EA75" i="14"/>
  <c r="AP44" i="14"/>
  <c r="AS44" i="14" s="1"/>
  <c r="EA44" i="14"/>
  <c r="AV44" i="14" s="1"/>
  <c r="AP96" i="14"/>
  <c r="AS96" i="14" s="1"/>
  <c r="E96" i="7" s="1"/>
  <c r="T96" i="7" s="1"/>
  <c r="EA96" i="14"/>
  <c r="AV96" i="14" s="1"/>
  <c r="AP47" i="14"/>
  <c r="AS47" i="14" s="1"/>
  <c r="EA47" i="14"/>
  <c r="AV47" i="14" s="1"/>
  <c r="AP109" i="14"/>
  <c r="AS109" i="14" s="1"/>
  <c r="EA109" i="14"/>
  <c r="AV109" i="14" s="1"/>
  <c r="AP59" i="14"/>
  <c r="AS59" i="14" s="1"/>
  <c r="E59" i="7" s="1"/>
  <c r="T59" i="7" s="1"/>
  <c r="EA59" i="14"/>
  <c r="AV59" i="14" s="1"/>
  <c r="AP39" i="14"/>
  <c r="AS39" i="14" s="1"/>
  <c r="EA39" i="14"/>
  <c r="AV39" i="14" s="1"/>
  <c r="AP13" i="14"/>
  <c r="EA13" i="14"/>
  <c r="AP108" i="14"/>
  <c r="AS108" i="14" s="1"/>
  <c r="EA108" i="14"/>
  <c r="AV108" i="14" s="1"/>
  <c r="AP29" i="14"/>
  <c r="AS29" i="14" s="1"/>
  <c r="E29" i="7" s="1"/>
  <c r="T29" i="7" s="1"/>
  <c r="EA29" i="14"/>
  <c r="AV29" i="14" s="1"/>
  <c r="AP38" i="14"/>
  <c r="AS38" i="14" s="1"/>
  <c r="EA38" i="14"/>
  <c r="AV38" i="14" s="1"/>
  <c r="AP148" i="14"/>
  <c r="AS148" i="14" s="1"/>
  <c r="E148" i="7" s="1"/>
  <c r="T148" i="7" s="1"/>
  <c r="EA148" i="14"/>
  <c r="AV148" i="14" s="1"/>
  <c r="AP103" i="14"/>
  <c r="AS103" i="14" s="1"/>
  <c r="E103" i="7" s="1"/>
  <c r="T103" i="7" s="1"/>
  <c r="EA103" i="14"/>
  <c r="AV103" i="14" s="1"/>
  <c r="AP18" i="14"/>
  <c r="AS18" i="14" s="1"/>
  <c r="EA18" i="14"/>
  <c r="AV18" i="14" s="1"/>
  <c r="AP123" i="14"/>
  <c r="AS123" i="14" s="1"/>
  <c r="EA123" i="14"/>
  <c r="AV123" i="14" s="1"/>
  <c r="AP94" i="14"/>
  <c r="DX218" i="14"/>
  <c r="AP135" i="14"/>
  <c r="AS135" i="14" s="1"/>
  <c r="E135" i="7" s="1"/>
  <c r="T135" i="7" s="1"/>
  <c r="EA135" i="14"/>
  <c r="AV135" i="14" s="1"/>
  <c r="AP56" i="14"/>
  <c r="AS56" i="14" s="1"/>
  <c r="E56" i="7" s="1"/>
  <c r="T56" i="7" s="1"/>
  <c r="EA56" i="14"/>
  <c r="AV56" i="14" s="1"/>
  <c r="AP193" i="14"/>
  <c r="DX194" i="14"/>
  <c r="DX231" i="14"/>
  <c r="AP127" i="14"/>
  <c r="AS127" i="14" s="1"/>
  <c r="E127" i="7" s="1"/>
  <c r="T127" i="7" s="1"/>
  <c r="EA127" i="14"/>
  <c r="AV127" i="14" s="1"/>
  <c r="AP198" i="14"/>
  <c r="BF136" i="14"/>
  <c r="BF142" i="14" s="1"/>
  <c r="Z249" i="23"/>
  <c r="CK141" i="14"/>
  <c r="AM70" i="23"/>
  <c r="AM56" i="23"/>
  <c r="AM58" i="23"/>
  <c r="AM162" i="23"/>
  <c r="AM190" i="23"/>
  <c r="AM49" i="23"/>
  <c r="AM45" i="23"/>
  <c r="AS110" i="14"/>
  <c r="AM352" i="23"/>
  <c r="AK178" i="23"/>
  <c r="AK172" i="23"/>
  <c r="DX78" i="14" s="1"/>
  <c r="AP78" i="14" s="1"/>
  <c r="AS78" i="14" s="1"/>
  <c r="AK179" i="23"/>
  <c r="AM179" i="23" s="1"/>
  <c r="AM143" i="23"/>
  <c r="AK187" i="23"/>
  <c r="AM187" i="23" s="1"/>
  <c r="AM151" i="23"/>
  <c r="AK196" i="23"/>
  <c r="AM196" i="23" s="1"/>
  <c r="AM160" i="23"/>
  <c r="AK204" i="23"/>
  <c r="AM204" i="23" s="1"/>
  <c r="AM168" i="23"/>
  <c r="AK197" i="23"/>
  <c r="AM197" i="23" s="1"/>
  <c r="AM161" i="23"/>
  <c r="AK73" i="23"/>
  <c r="AM73" i="23" s="1"/>
  <c r="AM48" i="23"/>
  <c r="AK72" i="23"/>
  <c r="AM72" i="23" s="1"/>
  <c r="AM47" i="23"/>
  <c r="AM142" i="23"/>
  <c r="AA94" i="14"/>
  <c r="EA94" i="14"/>
  <c r="AC383" i="23"/>
  <c r="AK290" i="23"/>
  <c r="AM290" i="23" s="1"/>
  <c r="AM267" i="23"/>
  <c r="AK180" i="23"/>
  <c r="AM180" i="23" s="1"/>
  <c r="AM144" i="23"/>
  <c r="AK195" i="23"/>
  <c r="AM195" i="23" s="1"/>
  <c r="AM159" i="23"/>
  <c r="AK181" i="23"/>
  <c r="AM181" i="23" s="1"/>
  <c r="AM145" i="23"/>
  <c r="AK189" i="23"/>
  <c r="AM189" i="23" s="1"/>
  <c r="AM153" i="23"/>
  <c r="AM198" i="23"/>
  <c r="AK184" i="23"/>
  <c r="AM184" i="23" s="1"/>
  <c r="AM148" i="23"/>
  <c r="AK203" i="23"/>
  <c r="AM203" i="23" s="1"/>
  <c r="AM167" i="23"/>
  <c r="AK77" i="23"/>
  <c r="AM77" i="23" s="1"/>
  <c r="AM52" i="23"/>
  <c r="AK75" i="23"/>
  <c r="AM75" i="23" s="1"/>
  <c r="AM50" i="23"/>
  <c r="AC79" i="23"/>
  <c r="AK365" i="23"/>
  <c r="AM365" i="23" s="1"/>
  <c r="AK369" i="23"/>
  <c r="AM369" i="23" s="1"/>
  <c r="AM345" i="23"/>
  <c r="AK368" i="23"/>
  <c r="AM368" i="23" s="1"/>
  <c r="AM344" i="23"/>
  <c r="AK283" i="23"/>
  <c r="AM283" i="23" s="1"/>
  <c r="AK287" i="23"/>
  <c r="AM287" i="23" s="1"/>
  <c r="AM264" i="23"/>
  <c r="AM268" i="23"/>
  <c r="AJ383" i="23"/>
  <c r="AJ379" i="23"/>
  <c r="AJ381" i="23" s="1"/>
  <c r="AK182" i="23"/>
  <c r="AM182" i="23" s="1"/>
  <c r="AM146" i="23"/>
  <c r="AK199" i="23"/>
  <c r="AM199" i="23" s="1"/>
  <c r="AM163" i="23"/>
  <c r="AK183" i="23"/>
  <c r="AM183" i="23" s="1"/>
  <c r="AM147" i="23"/>
  <c r="AK191" i="23"/>
  <c r="AM191" i="23" s="1"/>
  <c r="AM155" i="23"/>
  <c r="AK200" i="23"/>
  <c r="AM200" i="23" s="1"/>
  <c r="AM164" i="23"/>
  <c r="AK188" i="23"/>
  <c r="AM188" i="23" s="1"/>
  <c r="AM152" i="23"/>
  <c r="AM46" i="23"/>
  <c r="DU133" i="14"/>
  <c r="AM132" i="14"/>
  <c r="AJ208" i="23"/>
  <c r="AM83" i="23"/>
  <c r="AA55" i="14"/>
  <c r="AA331" i="14" s="1"/>
  <c r="EA55" i="14"/>
  <c r="AE379" i="23"/>
  <c r="AE381" i="23" s="1"/>
  <c r="AM349" i="23"/>
  <c r="AK280" i="23"/>
  <c r="AM280" i="23" s="1"/>
  <c r="AM257" i="23"/>
  <c r="AK186" i="23"/>
  <c r="AM186" i="23" s="1"/>
  <c r="AM150" i="23"/>
  <c r="AK201" i="23"/>
  <c r="AM201" i="23" s="1"/>
  <c r="AM165" i="23"/>
  <c r="AK185" i="23"/>
  <c r="AM185" i="23" s="1"/>
  <c r="AM149" i="23"/>
  <c r="AK194" i="23"/>
  <c r="AM194" i="23" s="1"/>
  <c r="AM158" i="23"/>
  <c r="AK202" i="23"/>
  <c r="AM202" i="23" s="1"/>
  <c r="AM166" i="23"/>
  <c r="AK193" i="23"/>
  <c r="AM193" i="23" s="1"/>
  <c r="AM157" i="23"/>
  <c r="AK69" i="23"/>
  <c r="AM44" i="23"/>
  <c r="AK84" i="23"/>
  <c r="AM84" i="23" s="1"/>
  <c r="AM59" i="23"/>
  <c r="AM154" i="23"/>
  <c r="DI141" i="14"/>
  <c r="AM141" i="14"/>
  <c r="BU136" i="14"/>
  <c r="BU142" i="14" s="1"/>
  <c r="P7" i="10"/>
  <c r="AF13" i="33"/>
  <c r="BP13" i="33" s="1"/>
  <c r="AG379" i="23"/>
  <c r="AG381" i="23" s="1"/>
  <c r="AC379" i="23"/>
  <c r="W13" i="33"/>
  <c r="BG13" i="33" s="1"/>
  <c r="DI218" i="14"/>
  <c r="CZ218" i="14"/>
  <c r="AF379" i="23"/>
  <c r="AF381" i="23" s="1"/>
  <c r="AD379" i="23"/>
  <c r="AD381" i="23" s="1"/>
  <c r="CW218" i="14"/>
  <c r="R218" i="14"/>
  <c r="J33" i="10" s="1"/>
  <c r="AB383" i="23"/>
  <c r="O218" i="14"/>
  <c r="G33" i="10" s="1"/>
  <c r="CW335" i="14"/>
  <c r="CW139" i="14"/>
  <c r="CW226" i="14"/>
  <c r="DC335" i="14"/>
  <c r="U136" i="14"/>
  <c r="U364" i="14" s="1"/>
  <c r="DC139" i="14"/>
  <c r="DC142" i="14" s="1"/>
  <c r="DC226" i="14"/>
  <c r="E196" i="7"/>
  <c r="T196" i="7" s="1"/>
  <c r="AU13" i="33"/>
  <c r="E13" i="33"/>
  <c r="AD62" i="14"/>
  <c r="AD221" i="14"/>
  <c r="V36" i="10" s="1"/>
  <c r="AD331" i="14"/>
  <c r="U62" i="14"/>
  <c r="U331" i="14"/>
  <c r="U221" i="14"/>
  <c r="M36" i="10" s="1"/>
  <c r="P10" i="10"/>
  <c r="Z16" i="33"/>
  <c r="BJ16" i="33" s="1"/>
  <c r="V10" i="10"/>
  <c r="AF16" i="33"/>
  <c r="BP16" i="33" s="1"/>
  <c r="R55" i="14"/>
  <c r="CZ221" i="14"/>
  <c r="CZ331" i="14"/>
  <c r="CZ62" i="14"/>
  <c r="AC16" i="33"/>
  <c r="BM16" i="33" s="1"/>
  <c r="S10" i="10"/>
  <c r="DI62" i="14"/>
  <c r="DI221" i="14"/>
  <c r="DI331" i="14"/>
  <c r="DF64" i="14"/>
  <c r="X64" i="14" s="1"/>
  <c r="BP65" i="14"/>
  <c r="DL64" i="14"/>
  <c r="AD64" i="14" s="1"/>
  <c r="BV65" i="14"/>
  <c r="BM65" i="14"/>
  <c r="DC64" i="14"/>
  <c r="U64" i="14" s="1"/>
  <c r="X55" i="14"/>
  <c r="DF62" i="14"/>
  <c r="DF221" i="14"/>
  <c r="DF331" i="14"/>
  <c r="AB384" i="23"/>
  <c r="AB379" i="23"/>
  <c r="CZ64" i="14"/>
  <c r="R64" i="14" s="1"/>
  <c r="BJ65" i="14"/>
  <c r="BS65" i="14"/>
  <c r="DI64" i="14"/>
  <c r="AA64" i="14" s="1"/>
  <c r="DL331" i="14"/>
  <c r="DL62" i="14"/>
  <c r="DL221" i="14"/>
  <c r="M10" i="10"/>
  <c r="W16" i="33"/>
  <c r="BG16" i="33" s="1"/>
  <c r="DC221" i="14"/>
  <c r="DC331" i="14"/>
  <c r="DC62" i="14"/>
  <c r="J10" i="10"/>
  <c r="T16" i="33"/>
  <c r="BD16" i="33" s="1"/>
  <c r="AD55" i="23"/>
  <c r="AD80" i="23" s="1"/>
  <c r="AE55" i="23"/>
  <c r="AE80" i="23" s="1"/>
  <c r="AC55" i="23"/>
  <c r="AG55" i="23"/>
  <c r="AG80" i="23" s="1"/>
  <c r="AB55" i="23"/>
  <c r="AF55" i="23"/>
  <c r="AF80" i="23" s="1"/>
  <c r="AE54" i="23"/>
  <c r="AE79" i="23" s="1"/>
  <c r="AB54" i="23"/>
  <c r="AB79" i="23" s="1"/>
  <c r="AD54" i="23"/>
  <c r="AD79" i="23" s="1"/>
  <c r="CZ226" i="14" l="1"/>
  <c r="R136" i="14"/>
  <c r="R335" i="14" s="1"/>
  <c r="CZ139" i="14"/>
  <c r="CZ142" i="14" s="1"/>
  <c r="E40" i="7"/>
  <c r="T40" i="7" s="1"/>
  <c r="E99" i="7"/>
  <c r="T99" i="7" s="1"/>
  <c r="E93" i="7"/>
  <c r="T93" i="7" s="1"/>
  <c r="E45" i="7"/>
  <c r="T45" i="7" s="1"/>
  <c r="E20" i="7"/>
  <c r="T20" i="7" s="1"/>
  <c r="E15" i="7"/>
  <c r="T15" i="7" s="1"/>
  <c r="E41" i="7"/>
  <c r="T41" i="7" s="1"/>
  <c r="E47" i="7"/>
  <c r="T47" i="7" s="1"/>
  <c r="E46" i="7"/>
  <c r="T46" i="7" s="1"/>
  <c r="E37" i="7"/>
  <c r="T37" i="7" s="1"/>
  <c r="E100" i="7"/>
  <c r="T100" i="7" s="1"/>
  <c r="E14" i="7"/>
  <c r="T14" i="7" s="1"/>
  <c r="E92" i="7"/>
  <c r="T92" i="7" s="1"/>
  <c r="E38" i="7"/>
  <c r="T38" i="7" s="1"/>
  <c r="E39" i="7"/>
  <c r="T39" i="7" s="1"/>
  <c r="E19" i="7"/>
  <c r="T19" i="7" s="1"/>
  <c r="E42" i="7"/>
  <c r="T42" i="7" s="1"/>
  <c r="E17" i="7"/>
  <c r="T17" i="7" s="1"/>
  <c r="E18" i="7"/>
  <c r="T18" i="7" s="1"/>
  <c r="E44" i="7"/>
  <c r="T44" i="7" s="1"/>
  <c r="E91" i="7"/>
  <c r="T91" i="7" s="1"/>
  <c r="E16" i="7"/>
  <c r="T16" i="7" s="1"/>
  <c r="E71" i="7"/>
  <c r="T71" i="7" s="1"/>
  <c r="X289" i="14"/>
  <c r="X139" i="14"/>
  <c r="X142" i="14" s="1"/>
  <c r="H5" i="11" s="1"/>
  <c r="X226" i="14"/>
  <c r="P41" i="10" s="1"/>
  <c r="DI335" i="14"/>
  <c r="Z333" i="23"/>
  <c r="BL142" i="14"/>
  <c r="DL226" i="14"/>
  <c r="BR142" i="14"/>
  <c r="BX142" i="14"/>
  <c r="DL139" i="14"/>
  <c r="DL142" i="14" s="1"/>
  <c r="AD226" i="14"/>
  <c r="V41" i="10" s="1"/>
  <c r="BO142" i="14"/>
  <c r="DL335" i="14"/>
  <c r="AD139" i="14"/>
  <c r="AD142" i="14" s="1"/>
  <c r="J5" i="11" s="1"/>
  <c r="DO335" i="14"/>
  <c r="AG136" i="14"/>
  <c r="AG335" i="14" s="1"/>
  <c r="AL136" i="14"/>
  <c r="AL139" i="14" s="1"/>
  <c r="AL142" i="14" s="1"/>
  <c r="DI139" i="14"/>
  <c r="DI142" i="14" s="1"/>
  <c r="DI226" i="14"/>
  <c r="AD335" i="14"/>
  <c r="DO139" i="14"/>
  <c r="DO142" i="14" s="1"/>
  <c r="DO226" i="14"/>
  <c r="BI142" i="14"/>
  <c r="CG142" i="14"/>
  <c r="C43" i="39"/>
  <c r="AE32" i="10"/>
  <c r="AM255" i="23"/>
  <c r="AM348" i="23"/>
  <c r="CW142" i="14"/>
  <c r="AI15" i="10"/>
  <c r="AM259" i="23"/>
  <c r="AM258" i="23"/>
  <c r="CK142" i="14"/>
  <c r="AU26" i="33"/>
  <c r="AM347" i="23"/>
  <c r="CE26" i="33"/>
  <c r="K26" i="33" s="1"/>
  <c r="O335" i="14"/>
  <c r="O139" i="14"/>
  <c r="O142" i="14" s="1"/>
  <c r="E5" i="11" s="1"/>
  <c r="EA361" i="14"/>
  <c r="AP360" i="14"/>
  <c r="O289" i="14"/>
  <c r="O364" i="14"/>
  <c r="AV131" i="14"/>
  <c r="AG364" i="14"/>
  <c r="AS131" i="14"/>
  <c r="AS13" i="14"/>
  <c r="AV90" i="14"/>
  <c r="AA226" i="14"/>
  <c r="S41" i="10" s="1"/>
  <c r="AA364" i="14"/>
  <c r="E90" i="7"/>
  <c r="T90" i="7" s="1"/>
  <c r="DU364" i="14"/>
  <c r="AM262" i="23"/>
  <c r="AK286" i="23"/>
  <c r="AM286" i="23" s="1"/>
  <c r="E115" i="7"/>
  <c r="T115" i="7" s="1"/>
  <c r="E108" i="7"/>
  <c r="T108" i="7" s="1"/>
  <c r="E109" i="7"/>
  <c r="T109" i="7" s="1"/>
  <c r="E119" i="7"/>
  <c r="T119" i="7" s="1"/>
  <c r="E118" i="7"/>
  <c r="T118" i="7" s="1"/>
  <c r="E110" i="7"/>
  <c r="T110" i="7" s="1"/>
  <c r="AK367" i="23"/>
  <c r="AM367" i="23" s="1"/>
  <c r="E117" i="7"/>
  <c r="T117" i="7" s="1"/>
  <c r="E123" i="7"/>
  <c r="T123" i="7" s="1"/>
  <c r="E107" i="7"/>
  <c r="T107" i="7" s="1"/>
  <c r="E116" i="7"/>
  <c r="T116" i="7" s="1"/>
  <c r="E112" i="7"/>
  <c r="T112" i="7" s="1"/>
  <c r="E113" i="7"/>
  <c r="T113" i="7" s="1"/>
  <c r="EA141" i="14"/>
  <c r="AV141" i="14" s="1"/>
  <c r="AK277" i="23"/>
  <c r="AK297" i="23" s="1"/>
  <c r="AJ65" i="14"/>
  <c r="AK284" i="23"/>
  <c r="AM284" i="23" s="1"/>
  <c r="AM353" i="23"/>
  <c r="AM265" i="23"/>
  <c r="AM346" i="23"/>
  <c r="AJ293" i="23"/>
  <c r="AJ295" i="23" s="1"/>
  <c r="AM254" i="23"/>
  <c r="AM272" i="23" s="1"/>
  <c r="AN273" i="23" s="1"/>
  <c r="DR65" i="14"/>
  <c r="AM350" i="23"/>
  <c r="AV110" i="14"/>
  <c r="AM342" i="23"/>
  <c r="AK355" i="23"/>
  <c r="AM355" i="23" s="1"/>
  <c r="AN379" i="23" s="1"/>
  <c r="AM338" i="23"/>
  <c r="AM339" i="23"/>
  <c r="AK358" i="23"/>
  <c r="DU139" i="14"/>
  <c r="DU142" i="14" s="1"/>
  <c r="AK279" i="23"/>
  <c r="AK273" i="23"/>
  <c r="DU335" i="14"/>
  <c r="DU226" i="14"/>
  <c r="AJ136" i="14"/>
  <c r="DR226" i="14"/>
  <c r="AM266" i="23"/>
  <c r="AM351" i="23"/>
  <c r="AK270" i="23"/>
  <c r="AM270" i="23" s="1"/>
  <c r="AN293" i="23" s="1"/>
  <c r="AM340" i="23"/>
  <c r="AK375" i="23"/>
  <c r="AM375" i="23" s="1"/>
  <c r="AM384" i="23" s="1"/>
  <c r="AK357" i="23"/>
  <c r="BY62" i="14"/>
  <c r="BY64" i="14" s="1"/>
  <c r="BY65" i="14" s="1"/>
  <c r="AI7" i="10"/>
  <c r="AG48" i="14"/>
  <c r="DO61" i="14"/>
  <c r="CK61" i="14"/>
  <c r="AS43" i="14"/>
  <c r="E43" i="7" s="1"/>
  <c r="T43" i="7" s="1"/>
  <c r="BY221" i="14"/>
  <c r="DO49" i="14"/>
  <c r="CK49" i="14"/>
  <c r="BY331" i="14"/>
  <c r="AB21" i="2" s="1"/>
  <c r="AS94" i="14"/>
  <c r="E94" i="7" s="1"/>
  <c r="T94" i="7" s="1"/>
  <c r="AS338" i="14"/>
  <c r="AV13" i="14"/>
  <c r="AP224" i="14"/>
  <c r="AH39" i="10" s="1"/>
  <c r="AI39" i="10" s="1"/>
  <c r="AP336" i="14"/>
  <c r="AP152" i="14"/>
  <c r="AP155" i="14" s="1"/>
  <c r="AS154" i="14"/>
  <c r="E154" i="7" s="1"/>
  <c r="T154" i="7" s="1"/>
  <c r="AS144" i="14"/>
  <c r="AP338" i="14"/>
  <c r="AV36" i="14"/>
  <c r="EA48" i="14"/>
  <c r="AV48" i="14" s="1"/>
  <c r="AP48" i="14"/>
  <c r="AP62" i="14" s="1"/>
  <c r="AP65" i="14" s="1"/>
  <c r="AP331" i="14"/>
  <c r="AP221" i="14"/>
  <c r="AH36" i="10" s="1"/>
  <c r="AS36" i="14"/>
  <c r="G67" i="17"/>
  <c r="E68" i="7"/>
  <c r="T68" i="7" s="1"/>
  <c r="AA218" i="14"/>
  <c r="S33" i="10" s="1"/>
  <c r="AP218" i="14"/>
  <c r="AH33" i="10" s="1"/>
  <c r="E171" i="7"/>
  <c r="T171" i="7" s="1"/>
  <c r="B17" i="48"/>
  <c r="AV67" i="14"/>
  <c r="EA332" i="14"/>
  <c r="EA217" i="14"/>
  <c r="EA73" i="14"/>
  <c r="AV73" i="14" s="1"/>
  <c r="AP217" i="14"/>
  <c r="AP332" i="14"/>
  <c r="AS67" i="14"/>
  <c r="EB14" i="14"/>
  <c r="AV14" i="14"/>
  <c r="AP73" i="14"/>
  <c r="AP76" i="14" s="1"/>
  <c r="AV75" i="14"/>
  <c r="AV63" i="14"/>
  <c r="EA338" i="14"/>
  <c r="EA147" i="14"/>
  <c r="AV147" i="14" s="1"/>
  <c r="AV146" i="14"/>
  <c r="E172" i="7"/>
  <c r="T172" i="7" s="1"/>
  <c r="B18" i="48"/>
  <c r="AS75" i="14"/>
  <c r="EB15" i="14"/>
  <c r="AV15" i="14"/>
  <c r="AA62" i="14"/>
  <c r="AA65" i="14" s="1"/>
  <c r="AA221" i="14"/>
  <c r="S36" i="10" s="1"/>
  <c r="CE13" i="33"/>
  <c r="K13" i="33" s="1"/>
  <c r="DR139" i="14"/>
  <c r="DR142" i="14" s="1"/>
  <c r="DR335" i="14"/>
  <c r="E78" i="7"/>
  <c r="T78" i="7" s="1"/>
  <c r="AM54" i="23"/>
  <c r="AC381" i="23"/>
  <c r="AS55" i="14"/>
  <c r="AM79" i="23"/>
  <c r="AK208" i="23"/>
  <c r="AM178" i="23"/>
  <c r="AM208" i="23" s="1"/>
  <c r="AC80" i="23"/>
  <c r="AM55" i="23"/>
  <c r="AM69" i="23"/>
  <c r="AP132" i="14"/>
  <c r="DX133" i="14"/>
  <c r="EA132" i="14"/>
  <c r="AM362" i="23"/>
  <c r="EA78" i="14"/>
  <c r="AM133" i="14"/>
  <c r="AM172" i="23"/>
  <c r="AA141" i="14"/>
  <c r="AS141" i="14" s="1"/>
  <c r="AA289" i="14"/>
  <c r="AA335" i="14"/>
  <c r="AA139" i="14"/>
  <c r="Z139" i="14"/>
  <c r="Z142" i="14" s="1"/>
  <c r="CJ136" i="14"/>
  <c r="CJ139" i="14" s="1"/>
  <c r="CA142" i="14"/>
  <c r="AI136" i="14"/>
  <c r="AI139" i="14" s="1"/>
  <c r="AI142" i="14" s="1"/>
  <c r="AC136" i="14"/>
  <c r="AC139" i="14" s="1"/>
  <c r="AC142" i="14" s="1"/>
  <c r="G41" i="10"/>
  <c r="EA218" i="14"/>
  <c r="AV94" i="14"/>
  <c r="U65" i="14"/>
  <c r="DC65" i="14"/>
  <c r="U226" i="14"/>
  <c r="U289" i="14"/>
  <c r="U139" i="14"/>
  <c r="U142" i="14" s="1"/>
  <c r="U335" i="14"/>
  <c r="DF65" i="14"/>
  <c r="DL65" i="14"/>
  <c r="CZ65" i="14"/>
  <c r="X62" i="14"/>
  <c r="X65" i="14" s="1"/>
  <c r="X221" i="14"/>
  <c r="P36" i="10" s="1"/>
  <c r="X331" i="14"/>
  <c r="DI65" i="14"/>
  <c r="AB381" i="23"/>
  <c r="AV55" i="14"/>
  <c r="R331" i="14"/>
  <c r="R62" i="14"/>
  <c r="R65" i="14" s="1"/>
  <c r="R221" i="14"/>
  <c r="J36" i="10" s="1"/>
  <c r="AD65" i="14"/>
  <c r="AB80" i="23"/>
  <c r="R139" i="14" l="1"/>
  <c r="R142" i="14" s="1"/>
  <c r="F5" i="11" s="1"/>
  <c r="R226" i="14"/>
  <c r="J41" i="10" s="1"/>
  <c r="R289" i="14"/>
  <c r="AS289" i="14" s="1"/>
  <c r="AS361" i="14"/>
  <c r="EB13" i="14"/>
  <c r="E141" i="7"/>
  <c r="T141" i="7" s="1"/>
  <c r="CJ142" i="14"/>
  <c r="AG226" i="14"/>
  <c r="Y41" i="10" s="1"/>
  <c r="AG139" i="14"/>
  <c r="AG142" i="14" s="1"/>
  <c r="M5" i="11" s="1"/>
  <c r="AG289" i="14"/>
  <c r="DX136" i="14"/>
  <c r="AP136" i="14" s="1"/>
  <c r="AS136" i="14" s="1"/>
  <c r="AH32" i="10"/>
  <c r="AI32" i="10" s="1"/>
  <c r="AO20" i="8"/>
  <c r="AO28" i="8"/>
  <c r="K27" i="17" s="1"/>
  <c r="AM383" i="23"/>
  <c r="AN384" i="23" s="1"/>
  <c r="AK383" i="23"/>
  <c r="AK379" i="23"/>
  <c r="AK381" i="23" s="1"/>
  <c r="AM381" i="23" s="1"/>
  <c r="AM358" i="23"/>
  <c r="DO360" i="14"/>
  <c r="E13" i="7"/>
  <c r="T13" i="7" s="1"/>
  <c r="E131" i="7"/>
  <c r="T131" i="7" s="1"/>
  <c r="AJ289" i="14"/>
  <c r="AJ364" i="14"/>
  <c r="DX364" i="14"/>
  <c r="AM277" i="23"/>
  <c r="AM297" i="23" s="1"/>
  <c r="AK293" i="23"/>
  <c r="AK295" i="23" s="1"/>
  <c r="AM295" i="23" s="1"/>
  <c r="AN295" i="23"/>
  <c r="AM357" i="23"/>
  <c r="EA76" i="14"/>
  <c r="AV76" i="14" s="1"/>
  <c r="AK384" i="23"/>
  <c r="AM279" i="23"/>
  <c r="AM298" i="23" s="1"/>
  <c r="AK298" i="23"/>
  <c r="AJ335" i="14"/>
  <c r="AJ226" i="14"/>
  <c r="AB41" i="10" s="1"/>
  <c r="AJ139" i="14"/>
  <c r="AJ142" i="14" s="1"/>
  <c r="AS218" i="14"/>
  <c r="DO64" i="14"/>
  <c r="AG64" i="14" s="1"/>
  <c r="AM80" i="23"/>
  <c r="DO62" i="14"/>
  <c r="AG61" i="14"/>
  <c r="AS61" i="14" s="1"/>
  <c r="EA61" i="14"/>
  <c r="AV61" i="14" s="1"/>
  <c r="AG49" i="14"/>
  <c r="AG360" i="14" s="1"/>
  <c r="EA49" i="14"/>
  <c r="DO221" i="14"/>
  <c r="DO331" i="14"/>
  <c r="AI16" i="33"/>
  <c r="BS16" i="33" s="1"/>
  <c r="Y10" i="10"/>
  <c r="AI33" i="10"/>
  <c r="EA152" i="14"/>
  <c r="AV152" i="14" s="1"/>
  <c r="EA336" i="14"/>
  <c r="EA224" i="14"/>
  <c r="AS48" i="14"/>
  <c r="E36" i="7"/>
  <c r="E75" i="7"/>
  <c r="F17" i="48"/>
  <c r="C17" i="48"/>
  <c r="D17" i="48"/>
  <c r="E17" i="48"/>
  <c r="E67" i="7"/>
  <c r="G43" i="17"/>
  <c r="G49" i="17" s="1"/>
  <c r="AS332" i="14"/>
  <c r="AS73" i="14"/>
  <c r="AS76" i="14" s="1"/>
  <c r="AS217" i="14"/>
  <c r="F18" i="48"/>
  <c r="D18" i="48"/>
  <c r="C18" i="48"/>
  <c r="E18" i="48"/>
  <c r="AS147" i="14"/>
  <c r="E147" i="7" s="1"/>
  <c r="T147" i="7" s="1"/>
  <c r="E144" i="7"/>
  <c r="T144" i="7" s="1"/>
  <c r="AV132" i="14"/>
  <c r="EA133" i="14"/>
  <c r="AP133" i="14"/>
  <c r="AM134" i="14"/>
  <c r="AM364" i="14" s="1"/>
  <c r="AO172" i="23"/>
  <c r="AV78" i="14"/>
  <c r="AS132" i="14"/>
  <c r="AA142" i="14"/>
  <c r="I5" i="11" s="1"/>
  <c r="AR142" i="14"/>
  <c r="AR136" i="14"/>
  <c r="G5" i="11"/>
  <c r="M41" i="10"/>
  <c r="E55" i="7"/>
  <c r="E61" i="7" l="1"/>
  <c r="T61" i="7" s="1"/>
  <c r="AR139" i="14"/>
  <c r="E136" i="7"/>
  <c r="T136" i="7" s="1"/>
  <c r="DX335" i="14"/>
  <c r="DX226" i="14"/>
  <c r="EA136" i="14"/>
  <c r="AV136" i="14" s="1"/>
  <c r="DX139" i="14"/>
  <c r="DX142" i="14" s="1"/>
  <c r="AM379" i="23"/>
  <c r="AN381" i="23"/>
  <c r="AV49" i="14"/>
  <c r="EA360" i="14"/>
  <c r="EA364" i="14"/>
  <c r="AM293" i="23"/>
  <c r="AN298" i="23"/>
  <c r="AN358" i="23"/>
  <c r="DO65" i="14"/>
  <c r="AS49" i="14"/>
  <c r="AG221" i="14"/>
  <c r="Y36" i="10" s="1"/>
  <c r="AG331" i="14"/>
  <c r="AG62" i="14"/>
  <c r="AG65" i="14" s="1"/>
  <c r="EA155" i="14"/>
  <c r="AV155" i="14" s="1"/>
  <c r="AS224" i="14"/>
  <c r="AS336" i="14"/>
  <c r="G18" i="48"/>
  <c r="T67" i="7"/>
  <c r="T73" i="7" s="1"/>
  <c r="E73" i="7"/>
  <c r="E76" i="7" s="1"/>
  <c r="T75" i="7"/>
  <c r="AS152" i="14"/>
  <c r="T36" i="7"/>
  <c r="T48" i="7" s="1"/>
  <c r="E48" i="7"/>
  <c r="G17" i="48"/>
  <c r="O5" i="11"/>
  <c r="AM335" i="14"/>
  <c r="AM289" i="14"/>
  <c r="AM226" i="14"/>
  <c r="AE41" i="10" s="1"/>
  <c r="AV133" i="14"/>
  <c r="E132" i="7"/>
  <c r="AS133" i="14"/>
  <c r="AM139" i="14"/>
  <c r="AM142" i="14" s="1"/>
  <c r="AP134" i="14"/>
  <c r="D136" i="7"/>
  <c r="S136" i="7" s="1"/>
  <c r="S139" i="7" s="1"/>
  <c r="S142" i="7" s="1"/>
  <c r="T55" i="7"/>
  <c r="EA335" i="14" l="1"/>
  <c r="EA226" i="14"/>
  <c r="EA139" i="14"/>
  <c r="EA142" i="14" s="1"/>
  <c r="AV142" i="14" s="1"/>
  <c r="AS134" i="14"/>
  <c r="AP364" i="14"/>
  <c r="E49" i="7"/>
  <c r="T49" i="7" s="1"/>
  <c r="AS360" i="14"/>
  <c r="AS155" i="14"/>
  <c r="E155" i="7" s="1"/>
  <c r="T155" i="7" s="1"/>
  <c r="E152" i="7"/>
  <c r="T152" i="7" s="1"/>
  <c r="T76" i="7"/>
  <c r="AP335" i="14"/>
  <c r="AP289" i="14"/>
  <c r="AP226" i="14"/>
  <c r="AH41" i="10" s="1"/>
  <c r="AI41" i="10" s="1"/>
  <c r="T132" i="7"/>
  <c r="T133" i="7" s="1"/>
  <c r="E133" i="7"/>
  <c r="AP139" i="14"/>
  <c r="AP142" i="14" s="1"/>
  <c r="D139" i="7"/>
  <c r="D142" i="7" s="1"/>
  <c r="AJ153" i="22"/>
  <c r="I24" i="23" s="1"/>
  <c r="AS364" i="14" l="1"/>
  <c r="AV139" i="14"/>
  <c r="AS226" i="14"/>
  <c r="AS335" i="14"/>
  <c r="AS139" i="14"/>
  <c r="AS142" i="14" s="1"/>
  <c r="E134" i="7"/>
  <c r="T134" i="7" s="1"/>
  <c r="T139" i="7" s="1"/>
  <c r="T142" i="7" s="1"/>
  <c r="I38" i="23"/>
  <c r="M24" i="23"/>
  <c r="E139" i="7" l="1"/>
  <c r="E142" i="7" s="1"/>
  <c r="AK24" i="23"/>
  <c r="AJ24" i="23"/>
  <c r="AH24" i="23"/>
  <c r="AI24" i="23"/>
  <c r="AC24" i="23"/>
  <c r="AF24" i="23"/>
  <c r="M38" i="23"/>
  <c r="AB24" i="23"/>
  <c r="AD24" i="23"/>
  <c r="AG24" i="23"/>
  <c r="AE24" i="23"/>
  <c r="AJ38" i="23" l="1"/>
  <c r="CE12" i="14" s="1"/>
  <c r="AJ51" i="23"/>
  <c r="AK38" i="23"/>
  <c r="CH12" i="14" s="1"/>
  <c r="AK51" i="23"/>
  <c r="AI38" i="23"/>
  <c r="CB12" i="14" s="1"/>
  <c r="AI51" i="23"/>
  <c r="AM24" i="23"/>
  <c r="AM38" i="23" s="1"/>
  <c r="AH38" i="23"/>
  <c r="BY12" i="14" s="1"/>
  <c r="AH51" i="23"/>
  <c r="AE38" i="23"/>
  <c r="BP12" i="14" s="1"/>
  <c r="AE51" i="23"/>
  <c r="AG38" i="23"/>
  <c r="BV12" i="14" s="1"/>
  <c r="AG51" i="23"/>
  <c r="AF51" i="23"/>
  <c r="AF76" i="23" s="1"/>
  <c r="AF38" i="23"/>
  <c r="AD51" i="23"/>
  <c r="AD76" i="23" s="1"/>
  <c r="AD38" i="23"/>
  <c r="BM12" i="14" s="1"/>
  <c r="AB38" i="23"/>
  <c r="BG12" i="14" s="1"/>
  <c r="AB51" i="23"/>
  <c r="AB76" i="23" s="1"/>
  <c r="AC51" i="23"/>
  <c r="AC38" i="23"/>
  <c r="CB360" i="14" l="1"/>
  <c r="CB167" i="14" s="1"/>
  <c r="CB23" i="14"/>
  <c r="BY360" i="14"/>
  <c r="BY167" i="14" s="1"/>
  <c r="BY23" i="14"/>
  <c r="BV360" i="14"/>
  <c r="BV23" i="14"/>
  <c r="CH360" i="14"/>
  <c r="CH167" i="14" s="1"/>
  <c r="CH23" i="14"/>
  <c r="BP360" i="14"/>
  <c r="BP167" i="14" s="1"/>
  <c r="BP23" i="14"/>
  <c r="BM360" i="14"/>
  <c r="BM167" i="14" s="1"/>
  <c r="BM23" i="14"/>
  <c r="CE360" i="14"/>
  <c r="CE167" i="14" s="1"/>
  <c r="CE23" i="14"/>
  <c r="BG360" i="14"/>
  <c r="BG167" i="14" s="1"/>
  <c r="BG23" i="14"/>
  <c r="CH27" i="14"/>
  <c r="DX27" i="14" s="1"/>
  <c r="CH21" i="14"/>
  <c r="CE21" i="14"/>
  <c r="CE27" i="14"/>
  <c r="DU27" i="14" s="1"/>
  <c r="CB27" i="14"/>
  <c r="DR27" i="14" s="1"/>
  <c r="U38" i="23"/>
  <c r="BX12" i="14" s="1"/>
  <c r="X38" i="23"/>
  <c r="CG12" i="14" s="1"/>
  <c r="W38" i="23"/>
  <c r="CD12" i="14" s="1"/>
  <c r="V38" i="23"/>
  <c r="CA12" i="14" s="1"/>
  <c r="AJ76" i="23"/>
  <c r="AJ89" i="23" s="1"/>
  <c r="AJ64" i="23"/>
  <c r="DU12" i="14" s="1"/>
  <c r="AH76" i="23"/>
  <c r="AH89" i="23" s="1"/>
  <c r="AH64" i="23"/>
  <c r="DO12" i="14" s="1"/>
  <c r="BY27" i="14"/>
  <c r="DO27" i="14" s="1"/>
  <c r="BY21" i="14"/>
  <c r="AI76" i="23"/>
  <c r="AI89" i="23" s="1"/>
  <c r="AI64" i="23"/>
  <c r="DR12" i="14" s="1"/>
  <c r="DR21" i="14" s="1"/>
  <c r="AK76" i="23"/>
  <c r="AK89" i="23" s="1"/>
  <c r="AK64" i="23"/>
  <c r="DX12" i="14" s="1"/>
  <c r="AC76" i="23"/>
  <c r="AC89" i="23" s="1"/>
  <c r="AM51" i="23"/>
  <c r="AM64" i="23" s="1"/>
  <c r="BJ12" i="14"/>
  <c r="BJ23" i="14" s="1"/>
  <c r="BS12" i="14"/>
  <c r="CB21" i="14"/>
  <c r="AF89" i="23"/>
  <c r="AB89" i="23"/>
  <c r="AC64" i="23"/>
  <c r="CZ12" i="14" s="1"/>
  <c r="AD89" i="23"/>
  <c r="AB64" i="23"/>
  <c r="CW12" i="14" s="1"/>
  <c r="O12" i="14" s="1"/>
  <c r="AG64" i="23"/>
  <c r="DL12" i="14" s="1"/>
  <c r="AD12" i="14" s="1"/>
  <c r="AE64" i="23"/>
  <c r="DF12" i="14" s="1"/>
  <c r="X12" i="14" s="1"/>
  <c r="BG21" i="14"/>
  <c r="BG27" i="14"/>
  <c r="CW27" i="14" s="1"/>
  <c r="BV27" i="14"/>
  <c r="DL27" i="14" s="1"/>
  <c r="BV21" i="14"/>
  <c r="BP21" i="14"/>
  <c r="BP27" i="14"/>
  <c r="DF27" i="14" s="1"/>
  <c r="BM21" i="14"/>
  <c r="BM27" i="14"/>
  <c r="DC27" i="14" s="1"/>
  <c r="AF64" i="23"/>
  <c r="DI12" i="14" s="1"/>
  <c r="S38" i="23"/>
  <c r="BR12" i="14" s="1"/>
  <c r="R38" i="23"/>
  <c r="BO12" i="14" s="1"/>
  <c r="O38" i="23"/>
  <c r="Q38" i="23"/>
  <c r="BL12" i="14" s="1"/>
  <c r="T38" i="23"/>
  <c r="BU12" i="14" s="1"/>
  <c r="P38" i="23"/>
  <c r="BI12" i="14" s="1"/>
  <c r="AD64" i="23"/>
  <c r="DC12" i="14" s="1"/>
  <c r="U12" i="14" s="1"/>
  <c r="AG76" i="23"/>
  <c r="AE76" i="23"/>
  <c r="BS360" i="14" l="1"/>
  <c r="BS23" i="14"/>
  <c r="BJ27" i="14"/>
  <c r="CZ27" i="14" s="1"/>
  <c r="BJ360" i="14"/>
  <c r="BJ167" i="14" s="1"/>
  <c r="CE22" i="14"/>
  <c r="DU167" i="14"/>
  <c r="AM167" i="14" s="1"/>
  <c r="CH22" i="14"/>
  <c r="DX167" i="14"/>
  <c r="AP167" i="14" s="1"/>
  <c r="Z38" i="23"/>
  <c r="AF12" i="14"/>
  <c r="AF21" i="14" s="1"/>
  <c r="BX21" i="14"/>
  <c r="AJ12" i="14"/>
  <c r="AJ27" i="14" s="1"/>
  <c r="DX21" i="14"/>
  <c r="AP12" i="14"/>
  <c r="AG12" i="14"/>
  <c r="DO21" i="14"/>
  <c r="DO167" i="14"/>
  <c r="AG167" i="14" s="1"/>
  <c r="BY22" i="14"/>
  <c r="AM12" i="14"/>
  <c r="DU21" i="14"/>
  <c r="BS27" i="14"/>
  <c r="CK12" i="14"/>
  <c r="BS21" i="14"/>
  <c r="EA12" i="14"/>
  <c r="EA21" i="14" s="1"/>
  <c r="AM76" i="23"/>
  <c r="AM89" i="23" s="1"/>
  <c r="R12" i="14"/>
  <c r="R21" i="14" s="1"/>
  <c r="DR167" i="14"/>
  <c r="AJ167" i="14" s="1"/>
  <c r="CB22" i="14"/>
  <c r="AO12" i="14"/>
  <c r="CG21" i="14"/>
  <c r="BJ21" i="14"/>
  <c r="AL12" i="14"/>
  <c r="CD21" i="14"/>
  <c r="AD27" i="14"/>
  <c r="AD21" i="14"/>
  <c r="U21" i="14"/>
  <c r="U27" i="14"/>
  <c r="AC12" i="14"/>
  <c r="BU21" i="14"/>
  <c r="AE89" i="23"/>
  <c r="Q12" i="14"/>
  <c r="BI21" i="14"/>
  <c r="BF12" i="14"/>
  <c r="DI21" i="14"/>
  <c r="BM22" i="14"/>
  <c r="BP22" i="14"/>
  <c r="O21" i="14"/>
  <c r="O27" i="14"/>
  <c r="DF21" i="14"/>
  <c r="W12" i="14"/>
  <c r="BO21" i="14"/>
  <c r="CW21" i="14"/>
  <c r="CZ21" i="14"/>
  <c r="AG89" i="23"/>
  <c r="Z12" i="14"/>
  <c r="BR21" i="14"/>
  <c r="DL21" i="14"/>
  <c r="AA12" i="14"/>
  <c r="DC21" i="14"/>
  <c r="T12" i="14"/>
  <c r="BL21" i="14"/>
  <c r="X21" i="14"/>
  <c r="X27" i="14"/>
  <c r="BV22" i="14"/>
  <c r="BG396" i="14"/>
  <c r="BG22" i="14"/>
  <c r="CK27" i="14" l="1"/>
  <c r="CK21" i="14"/>
  <c r="AV21" i="14" s="1"/>
  <c r="CK360" i="14"/>
  <c r="DO22" i="14"/>
  <c r="DX22" i="14"/>
  <c r="DU22" i="14"/>
  <c r="BJ22" i="14"/>
  <c r="BS22" i="14"/>
  <c r="AJ21" i="14"/>
  <c r="AM27" i="14"/>
  <c r="AM21" i="14"/>
  <c r="AG27" i="14"/>
  <c r="AG21" i="14"/>
  <c r="AP21" i="14"/>
  <c r="AP27" i="14"/>
  <c r="DI27" i="14"/>
  <c r="EA27" i="14" s="1"/>
  <c r="AS12" i="14"/>
  <c r="AS21" i="14" s="1"/>
  <c r="CJ12" i="14"/>
  <c r="CJ21" i="14" s="1"/>
  <c r="AV12" i="14"/>
  <c r="R27" i="14"/>
  <c r="AL21" i="14"/>
  <c r="DR22" i="14"/>
  <c r="DR359" i="14" s="1"/>
  <c r="AO21" i="14"/>
  <c r="CA21" i="14"/>
  <c r="AI12" i="14"/>
  <c r="AI21" i="14" s="1"/>
  <c r="AA27" i="14"/>
  <c r="AA21" i="14"/>
  <c r="DL22" i="14"/>
  <c r="DF22" i="14"/>
  <c r="DC22" i="14"/>
  <c r="Q21" i="14"/>
  <c r="N12" i="14"/>
  <c r="BF21" i="14"/>
  <c r="AC21" i="14"/>
  <c r="CW22" i="14"/>
  <c r="CW359" i="14" s="1"/>
  <c r="T21" i="14"/>
  <c r="W21" i="14"/>
  <c r="DF167" i="14"/>
  <c r="X167" i="14" s="1"/>
  <c r="CW167" i="14"/>
  <c r="O167" i="14" s="1"/>
  <c r="Z21" i="14"/>
  <c r="DC167" i="14"/>
  <c r="U167" i="14" s="1"/>
  <c r="AV27" i="14" l="1"/>
  <c r="CZ22" i="14"/>
  <c r="CZ359" i="14" s="1"/>
  <c r="AP22" i="14"/>
  <c r="AP359" i="14" s="1"/>
  <c r="DX359" i="14"/>
  <c r="U22" i="14"/>
  <c r="U359" i="14" s="1"/>
  <c r="DC359" i="14"/>
  <c r="AG22" i="14"/>
  <c r="AG359" i="14" s="1"/>
  <c r="DO359" i="14"/>
  <c r="X22" i="14"/>
  <c r="X359" i="14" s="1"/>
  <c r="DF359" i="14"/>
  <c r="AD22" i="14"/>
  <c r="AD359" i="14" s="1"/>
  <c r="DL359" i="14"/>
  <c r="AM22" i="14"/>
  <c r="AM359" i="14" s="1"/>
  <c r="DU359" i="14"/>
  <c r="CK22" i="14"/>
  <c r="DI22" i="14"/>
  <c r="AR12" i="14"/>
  <c r="AR21" i="14" s="1"/>
  <c r="EB12" i="14"/>
  <c r="AS27" i="14"/>
  <c r="AJ22" i="14"/>
  <c r="AJ359" i="14" s="1"/>
  <c r="E12" i="7"/>
  <c r="G65" i="17"/>
  <c r="O22" i="14"/>
  <c r="O359" i="14" s="1"/>
  <c r="N21" i="14"/>
  <c r="E27" i="7" l="1"/>
  <c r="T27" i="7" s="1"/>
  <c r="EA22" i="14"/>
  <c r="EA359" i="14" s="1"/>
  <c r="DI359" i="14"/>
  <c r="R22" i="14"/>
  <c r="R359" i="14" s="1"/>
  <c r="AA22" i="14"/>
  <c r="D12" i="7"/>
  <c r="D21" i="7" s="1"/>
  <c r="G41" i="17"/>
  <c r="G47" i="17" s="1"/>
  <c r="E21" i="7"/>
  <c r="T12" i="7"/>
  <c r="AV22" i="14" l="1"/>
  <c r="AS22" i="14"/>
  <c r="AA359" i="14"/>
  <c r="S12" i="7"/>
  <c r="S21" i="7" s="1"/>
  <c r="T21" i="7"/>
  <c r="AS359" i="14" l="1"/>
  <c r="E22" i="7"/>
  <c r="T22" i="7" s="1"/>
  <c r="L9" i="42" l="1"/>
  <c r="C549" i="42" s="1"/>
  <c r="AC549" i="42" s="1"/>
  <c r="L12" i="42"/>
  <c r="C552" i="42" s="1"/>
  <c r="AO552" i="42" s="1"/>
  <c r="L8" i="42"/>
  <c r="C547" i="42" s="1"/>
  <c r="H6" i="42"/>
  <c r="C526" i="42" l="1"/>
  <c r="AC526" i="42" s="1"/>
  <c r="J246" i="24" s="1"/>
  <c r="T9" i="42"/>
  <c r="T10" i="42" s="1"/>
  <c r="C553" i="42" s="1"/>
  <c r="AL552" i="42"/>
  <c r="AC547" i="42"/>
  <c r="J251" i="24" s="1"/>
  <c r="AI547" i="42"/>
  <c r="AO547" i="42"/>
  <c r="AL547" i="42"/>
  <c r="AI549" i="42"/>
  <c r="AL549" i="42"/>
  <c r="AO549" i="42"/>
  <c r="AI552" i="42"/>
  <c r="AO553" i="42" l="1"/>
  <c r="W252" i="24" s="1"/>
  <c r="AO252" i="24" s="1"/>
  <c r="AI553" i="42"/>
  <c r="AL553" i="42"/>
  <c r="V252" i="24" s="1"/>
  <c r="AL252" i="24" s="1"/>
  <c r="AK252" i="24" s="1"/>
  <c r="AI526" i="42"/>
  <c r="T246" i="24" s="1"/>
  <c r="AI246" i="24" s="1"/>
  <c r="AH246" i="24" s="1"/>
  <c r="AL526" i="42"/>
  <c r="V246" i="24" s="1"/>
  <c r="AL246" i="24" s="1"/>
  <c r="AK246" i="24" s="1"/>
  <c r="AO526" i="42"/>
  <c r="W246" i="24" s="1"/>
  <c r="AO246" i="24" s="1"/>
  <c r="AT552" i="42"/>
  <c r="V251" i="24"/>
  <c r="AL251" i="24" s="1"/>
  <c r="AK251" i="24" s="1"/>
  <c r="AK274" i="24" s="1"/>
  <c r="W251" i="24"/>
  <c r="AO251" i="24" s="1"/>
  <c r="AT547" i="42"/>
  <c r="T251" i="24"/>
  <c r="AT549" i="42"/>
  <c r="AT553" i="42" l="1"/>
  <c r="T252" i="24"/>
  <c r="AN252" i="24"/>
  <c r="AL272" i="24"/>
  <c r="AS246" i="24"/>
  <c r="AO272" i="24"/>
  <c r="AO261" i="24"/>
  <c r="AT526" i="42"/>
  <c r="AT560" i="42" s="1"/>
  <c r="Z246" i="24"/>
  <c r="AN246" i="24"/>
  <c r="AL274" i="24"/>
  <c r="AL261" i="24"/>
  <c r="AN251" i="24"/>
  <c r="AN274" i="24" s="1"/>
  <c r="H15" i="15" s="1"/>
  <c r="AO274" i="24"/>
  <c r="AN272" i="24"/>
  <c r="H13" i="15" s="1"/>
  <c r="Z251" i="24"/>
  <c r="AI251" i="24"/>
  <c r="AK272" i="24"/>
  <c r="AK369" i="24" s="1"/>
  <c r="AK261" i="24"/>
  <c r="I26" i="23" s="1"/>
  <c r="I39" i="23" s="1"/>
  <c r="Z252" i="24" l="1"/>
  <c r="AI252" i="24"/>
  <c r="AL369" i="24"/>
  <c r="AO369" i="24"/>
  <c r="AN261" i="24"/>
  <c r="H119" i="23" s="1"/>
  <c r="M119" i="23" s="1"/>
  <c r="AN369" i="24"/>
  <c r="AI274" i="24"/>
  <c r="AH251" i="24"/>
  <c r="AS251" i="24"/>
  <c r="AS274" i="24" s="1"/>
  <c r="AH252" i="24" l="1"/>
  <c r="AH272" i="24" s="1"/>
  <c r="AI272" i="24"/>
  <c r="F13" i="15" s="1"/>
  <c r="K13" i="15" s="1"/>
  <c r="AS252" i="24"/>
  <c r="T12" i="24" s="1"/>
  <c r="F15" i="15"/>
  <c r="K15" i="15" s="1"/>
  <c r="AJ119" i="23"/>
  <c r="AD119" i="23"/>
  <c r="AG119" i="23"/>
  <c r="AI119" i="23"/>
  <c r="AE119" i="23"/>
  <c r="AK119" i="23"/>
  <c r="AH119" i="23"/>
  <c r="AB119" i="23"/>
  <c r="AF119" i="23"/>
  <c r="AC119" i="23"/>
  <c r="H137" i="23"/>
  <c r="AH274" i="24"/>
  <c r="M134" i="23"/>
  <c r="M137" i="23"/>
  <c r="H158" i="15" a="1"/>
  <c r="H158" i="15" s="1"/>
  <c r="H161" i="15" a="1"/>
  <c r="H161" i="15" s="1"/>
  <c r="H156" i="15" a="1"/>
  <c r="H156" i="15" s="1"/>
  <c r="H153" i="15" a="1"/>
  <c r="H153" i="15" s="1"/>
  <c r="H159" i="15" a="1"/>
  <c r="H159" i="15" s="1"/>
  <c r="H157" i="15" a="1"/>
  <c r="H157" i="15" s="1"/>
  <c r="H154" i="15" a="1"/>
  <c r="H154" i="15" s="1"/>
  <c r="H152" i="15" a="1"/>
  <c r="H152" i="15" s="1"/>
  <c r="H112" i="15"/>
  <c r="H155" i="15" a="1"/>
  <c r="H155" i="15" s="1"/>
  <c r="H160" i="15" a="1"/>
  <c r="H160" i="15" s="1"/>
  <c r="AS272" i="24" l="1"/>
  <c r="H163" i="15"/>
  <c r="AM119" i="23"/>
  <c r="AM137" i="23" s="1"/>
  <c r="AN137" i="23" s="1"/>
  <c r="AB137" i="23"/>
  <c r="BG79" i="14" s="1"/>
  <c r="BG83" i="14" s="1"/>
  <c r="CW83" i="14" s="1"/>
  <c r="O83" i="14" s="1"/>
  <c r="AB156" i="23"/>
  <c r="AB192" i="23" s="1"/>
  <c r="AB134" i="23"/>
  <c r="AI137" i="23"/>
  <c r="CB79" i="14" s="1"/>
  <c r="CB83" i="14" s="1"/>
  <c r="DR83" i="14" s="1"/>
  <c r="AJ83" i="14" s="1"/>
  <c r="AI156" i="23"/>
  <c r="AI192" i="23" s="1"/>
  <c r="AI134" i="23"/>
  <c r="AH137" i="23"/>
  <c r="BY79" i="14" s="1"/>
  <c r="BY83" i="14" s="1"/>
  <c r="DO83" i="14" s="1"/>
  <c r="AG83" i="14" s="1"/>
  <c r="AH156" i="23"/>
  <c r="AH192" i="23" s="1"/>
  <c r="AH134" i="23"/>
  <c r="AG156" i="23"/>
  <c r="AG137" i="23"/>
  <c r="BV79" i="14" s="1"/>
  <c r="BV83" i="14" s="1"/>
  <c r="AG134" i="23"/>
  <c r="AC156" i="23"/>
  <c r="AC192" i="23" s="1"/>
  <c r="AC137" i="23"/>
  <c r="AC134" i="23"/>
  <c r="AK137" i="23"/>
  <c r="CH79" i="14" s="1"/>
  <c r="CH83" i="14" s="1"/>
  <c r="DX83" i="14" s="1"/>
  <c r="AP83" i="14" s="1"/>
  <c r="AK156" i="23"/>
  <c r="AK192" i="23" s="1"/>
  <c r="AK134" i="23"/>
  <c r="AD156" i="23"/>
  <c r="AD192" i="23" s="1"/>
  <c r="AD137" i="23"/>
  <c r="BM79" i="14" s="1"/>
  <c r="BM83" i="14" s="1"/>
  <c r="AD134" i="23"/>
  <c r="AF137" i="23"/>
  <c r="BS79" i="14" s="1"/>
  <c r="BS83" i="14" s="1"/>
  <c r="AF156" i="23"/>
  <c r="AF192" i="23" s="1"/>
  <c r="AF134" i="23"/>
  <c r="AE156" i="23"/>
  <c r="AE137" i="23"/>
  <c r="BP79" i="14" s="1"/>
  <c r="BP83" i="14" s="1"/>
  <c r="AE134" i="23"/>
  <c r="AJ137" i="23"/>
  <c r="CE79" i="14" s="1"/>
  <c r="CE83" i="14" s="1"/>
  <c r="DU83" i="14" s="1"/>
  <c r="AM83" i="14" s="1"/>
  <c r="AJ156" i="23"/>
  <c r="AJ134" i="23"/>
  <c r="BJ79" i="14" l="1"/>
  <c r="CK79" i="14" s="1"/>
  <c r="AP25" i="8" s="1"/>
  <c r="DL83" i="14"/>
  <c r="AD83" i="14" s="1"/>
  <c r="DF83" i="14"/>
  <c r="X83" i="14" s="1"/>
  <c r="DI83" i="14"/>
  <c r="AA83" i="14" s="1"/>
  <c r="DC83" i="14"/>
  <c r="U83" i="14" s="1"/>
  <c r="AK209" i="23"/>
  <c r="AK206" i="23"/>
  <c r="AG173" i="23"/>
  <c r="DL79" i="14" s="1"/>
  <c r="AD79" i="14" s="1"/>
  <c r="AG170" i="23"/>
  <c r="CE84" i="14"/>
  <c r="DU84" i="14" s="1"/>
  <c r="AM84" i="14" s="1"/>
  <c r="AC173" i="23"/>
  <c r="CZ79" i="14" s="1"/>
  <c r="AC170" i="23"/>
  <c r="AM134" i="23"/>
  <c r="BY84" i="14"/>
  <c r="AF173" i="23"/>
  <c r="DI79" i="14" s="1"/>
  <c r="AF170" i="23"/>
  <c r="AD173" i="23"/>
  <c r="DC79" i="14" s="1"/>
  <c r="AD170" i="23"/>
  <c r="CH84" i="14"/>
  <c r="AH173" i="23"/>
  <c r="DO79" i="14" s="1"/>
  <c r="AH170" i="23"/>
  <c r="AI173" i="23"/>
  <c r="DR79" i="14" s="1"/>
  <c r="AJ79" i="14" s="1"/>
  <c r="AI170" i="23"/>
  <c r="AM156" i="23"/>
  <c r="AM173" i="23" s="1"/>
  <c r="AN174" i="23" s="1"/>
  <c r="AB173" i="23"/>
  <c r="CW79" i="14" s="1"/>
  <c r="O79" i="14" s="1"/>
  <c r="AB170" i="23"/>
  <c r="AH209" i="23"/>
  <c r="AH206" i="23"/>
  <c r="AI209" i="23"/>
  <c r="AI206" i="23"/>
  <c r="AJ173" i="23"/>
  <c r="DU79" i="14" s="1"/>
  <c r="AJ170" i="23"/>
  <c r="AJ192" i="23"/>
  <c r="AE173" i="23"/>
  <c r="DF79" i="14" s="1"/>
  <c r="X79" i="14" s="1"/>
  <c r="AE170" i="23"/>
  <c r="AK173" i="23"/>
  <c r="DX79" i="14" s="1"/>
  <c r="AP79" i="14" s="1"/>
  <c r="AK170" i="23"/>
  <c r="CB84" i="14"/>
  <c r="DR84" i="14" s="1"/>
  <c r="AJ84" i="14" s="1"/>
  <c r="DR82" i="14"/>
  <c r="AJ82" i="14" s="1"/>
  <c r="AC209" i="23"/>
  <c r="AC206" i="23"/>
  <c r="AD206" i="23"/>
  <c r="AD209" i="23"/>
  <c r="BG84" i="14"/>
  <c r="AF206" i="23"/>
  <c r="AF209" i="23"/>
  <c r="BP84" i="14"/>
  <c r="AG192" i="23"/>
  <c r="AE192" i="23"/>
  <c r="BS84" i="14"/>
  <c r="BV84" i="14"/>
  <c r="BM84" i="14"/>
  <c r="AB206" i="23"/>
  <c r="AB209" i="23"/>
  <c r="BJ84" i="14" l="1"/>
  <c r="CK84" i="14" s="1"/>
  <c r="BJ83" i="14"/>
  <c r="CE85" i="14"/>
  <c r="CE87" i="14" s="1"/>
  <c r="DU87" i="14" s="1"/>
  <c r="AM87" i="14" s="1"/>
  <c r="CK82" i="14"/>
  <c r="AM192" i="23"/>
  <c r="AM209" i="23" s="1"/>
  <c r="AN209" i="23" s="1"/>
  <c r="AA79" i="14"/>
  <c r="EA79" i="14"/>
  <c r="AV79" i="14" s="1"/>
  <c r="CH85" i="14"/>
  <c r="CH87" i="14" s="1"/>
  <c r="CH88" i="14" s="1"/>
  <c r="BY85" i="14"/>
  <c r="BY87" i="14" s="1"/>
  <c r="DO87" i="14" s="1"/>
  <c r="AG79" i="14"/>
  <c r="AJ85" i="14"/>
  <c r="DX82" i="14"/>
  <c r="AP82" i="14" s="1"/>
  <c r="DO84" i="14"/>
  <c r="AG84" i="14" s="1"/>
  <c r="CB85" i="14"/>
  <c r="CB87" i="14" s="1"/>
  <c r="AJ209" i="23"/>
  <c r="AJ206" i="23"/>
  <c r="AM170" i="23"/>
  <c r="AN206" i="23" s="1"/>
  <c r="DR85" i="14"/>
  <c r="DU82" i="14"/>
  <c r="DU85" i="14" s="1"/>
  <c r="DX84" i="14"/>
  <c r="DO82" i="14"/>
  <c r="AM79" i="14"/>
  <c r="BV85" i="14"/>
  <c r="BV87" i="14" s="1"/>
  <c r="BV88" i="14" s="1"/>
  <c r="BG85" i="14"/>
  <c r="BG87" i="14" s="1"/>
  <c r="BG88" i="14" s="1"/>
  <c r="BM85" i="14"/>
  <c r="BM87" i="14" s="1"/>
  <c r="BM88" i="14" s="1"/>
  <c r="R79" i="14"/>
  <c r="DI84" i="14"/>
  <c r="DF82" i="14"/>
  <c r="X82" i="14" s="1"/>
  <c r="DL82" i="14"/>
  <c r="AD82" i="14" s="1"/>
  <c r="DF84" i="14"/>
  <c r="X84" i="14" s="1"/>
  <c r="CW82" i="14"/>
  <c r="CZ82" i="14"/>
  <c r="U79" i="14"/>
  <c r="AG206" i="23"/>
  <c r="AG209" i="23"/>
  <c r="DC84" i="14"/>
  <c r="U84" i="14" s="1"/>
  <c r="DI82" i="14"/>
  <c r="DC82" i="14"/>
  <c r="DL84" i="14"/>
  <c r="AD84" i="14" s="1"/>
  <c r="BS85" i="14"/>
  <c r="BS87" i="14" s="1"/>
  <c r="AE209" i="23"/>
  <c r="AE206" i="23"/>
  <c r="BP85" i="14"/>
  <c r="BP87" i="14" s="1"/>
  <c r="CW84" i="14"/>
  <c r="O84" i="14" s="1"/>
  <c r="CZ84" i="14" l="1"/>
  <c r="R84" i="14" s="1"/>
  <c r="CZ83" i="14"/>
  <c r="CK83" i="14"/>
  <c r="CK85" i="14" s="1"/>
  <c r="BJ85" i="14"/>
  <c r="BJ87" i="14" s="1"/>
  <c r="CZ87" i="14" s="1"/>
  <c r="R87" i="14" s="1"/>
  <c r="DO85" i="14"/>
  <c r="DO88" i="14" s="1"/>
  <c r="CE88" i="14"/>
  <c r="DX85" i="14"/>
  <c r="DU88" i="14"/>
  <c r="AP84" i="14"/>
  <c r="AP85" i="14" s="1"/>
  <c r="BY88" i="14"/>
  <c r="AM206" i="23"/>
  <c r="AA82" i="14"/>
  <c r="EA82" i="14"/>
  <c r="AV82" i="14" s="1"/>
  <c r="AS79" i="14"/>
  <c r="E79" i="7" s="1"/>
  <c r="DX87" i="14"/>
  <c r="AP87" i="14" s="1"/>
  <c r="AG82" i="14"/>
  <c r="AG85" i="14" s="1"/>
  <c r="AM82" i="14"/>
  <c r="AM85" i="14" s="1"/>
  <c r="AM88" i="14" s="1"/>
  <c r="CB88" i="14"/>
  <c r="DR87" i="14"/>
  <c r="AJ87" i="14" s="1"/>
  <c r="AJ88" i="14" s="1"/>
  <c r="AG87" i="14"/>
  <c r="DL87" i="14"/>
  <c r="AD87" i="14" s="1"/>
  <c r="DI85" i="14"/>
  <c r="DC87" i="14"/>
  <c r="U87" i="14" s="1"/>
  <c r="CW87" i="14"/>
  <c r="O87" i="14" s="1"/>
  <c r="DC85" i="14"/>
  <c r="X85" i="14"/>
  <c r="CW85" i="14"/>
  <c r="AD85" i="14"/>
  <c r="DF85" i="14"/>
  <c r="DL85" i="14"/>
  <c r="AO173" i="23"/>
  <c r="AO174" i="23" s="1"/>
  <c r="BS88" i="14"/>
  <c r="DI87" i="14"/>
  <c r="U82" i="14"/>
  <c r="O82" i="14"/>
  <c r="O85" i="14" s="1"/>
  <c r="AA84" i="14"/>
  <c r="BP88" i="14"/>
  <c r="DF87" i="14"/>
  <c r="X87" i="14" s="1"/>
  <c r="G110" i="15"/>
  <c r="K110" i="15" s="1"/>
  <c r="R82" i="14"/>
  <c r="CZ85" i="14" l="1"/>
  <c r="CZ88" i="14" s="1"/>
  <c r="EA84" i="14"/>
  <c r="AV84" i="14" s="1"/>
  <c r="CK87" i="14"/>
  <c r="CK88" i="14" s="1"/>
  <c r="BJ88" i="14"/>
  <c r="R83" i="14"/>
  <c r="AS83" i="14" s="1"/>
  <c r="E83" i="7" s="1"/>
  <c r="T83" i="7" s="1"/>
  <c r="EA83" i="14"/>
  <c r="AV83" i="14" s="1"/>
  <c r="CJ106" i="14"/>
  <c r="BG106" i="14"/>
  <c r="O88" i="14"/>
  <c r="AP88" i="14"/>
  <c r="AG88" i="14"/>
  <c r="AS82" i="14"/>
  <c r="E82" i="7" s="1"/>
  <c r="AS84" i="14"/>
  <c r="EA87" i="14"/>
  <c r="DX88" i="14"/>
  <c r="DR88" i="14"/>
  <c r="DC88" i="14"/>
  <c r="DI88" i="14"/>
  <c r="AD88" i="14"/>
  <c r="DL88" i="14"/>
  <c r="X88" i="14"/>
  <c r="CW88" i="14"/>
  <c r="AA87" i="14"/>
  <c r="AS87" i="14" s="1"/>
  <c r="N106" i="14"/>
  <c r="AR106" i="14" s="1"/>
  <c r="D106" i="7" s="1"/>
  <c r="BF129" i="14"/>
  <c r="AA85" i="14"/>
  <c r="U85" i="14"/>
  <c r="U88" i="14" s="1"/>
  <c r="DF88" i="14"/>
  <c r="G22" i="21"/>
  <c r="BG159" i="14" s="1"/>
  <c r="CK159" i="14" s="1"/>
  <c r="T79" i="7"/>
  <c r="EA85" i="14" l="1"/>
  <c r="AV85" i="14" s="1"/>
  <c r="R85" i="14"/>
  <c r="R88" i="14" s="1"/>
  <c r="AS85" i="14"/>
  <c r="AS88" i="14" s="1"/>
  <c r="E84" i="7"/>
  <c r="T84" i="7" s="1"/>
  <c r="AA88" i="14"/>
  <c r="T82" i="7"/>
  <c r="E87" i="7"/>
  <c r="N126" i="14"/>
  <c r="N129" i="14" s="1"/>
  <c r="AR129" i="14" s="1"/>
  <c r="D22" i="21"/>
  <c r="E22" i="21"/>
  <c r="G80" i="2"/>
  <c r="CJ129" i="14"/>
  <c r="BG162" i="14"/>
  <c r="O159" i="14"/>
  <c r="AS159" i="14" s="1"/>
  <c r="AS162" i="14" s="1"/>
  <c r="BG228" i="14"/>
  <c r="AV87" i="14"/>
  <c r="CW106" i="14"/>
  <c r="EA106" i="14" s="1"/>
  <c r="EA88" i="14" l="1"/>
  <c r="AV88" i="14" s="1"/>
  <c r="E85" i="7"/>
  <c r="E88" i="7" s="1"/>
  <c r="T85" i="7"/>
  <c r="AV106" i="14"/>
  <c r="O228" i="14"/>
  <c r="G43" i="10" s="1"/>
  <c r="AI43" i="10" s="1"/>
  <c r="O162" i="14"/>
  <c r="O106" i="14"/>
  <c r="AS106" i="14" s="1"/>
  <c r="E106" i="7" s="1"/>
  <c r="CK228" i="14"/>
  <c r="CK162" i="14"/>
  <c r="AV159" i="14"/>
  <c r="T87" i="7"/>
  <c r="Q28" i="33"/>
  <c r="BA28" i="33" s="1"/>
  <c r="G17" i="10"/>
  <c r="AI17" i="10" s="1"/>
  <c r="T88" i="7" l="1"/>
  <c r="CE28" i="33"/>
  <c r="K28" i="33" s="1"/>
  <c r="AO30" i="8"/>
  <c r="K129" i="15"/>
  <c r="AV162" i="14"/>
  <c r="AU28" i="33"/>
  <c r="E28" i="33"/>
  <c r="D126" i="7"/>
  <c r="D129" i="7" s="1"/>
  <c r="S106" i="7"/>
  <c r="T106" i="7"/>
  <c r="E159" i="7"/>
  <c r="AS228" i="14"/>
  <c r="DL362" i="14" l="1"/>
  <c r="DF362" i="14"/>
  <c r="DR362" i="14"/>
  <c r="DX362" i="14"/>
  <c r="DC362" i="14"/>
  <c r="E162" i="7"/>
  <c r="T159" i="7"/>
  <c r="T162" i="7" s="1"/>
  <c r="AA362" i="14" l="1"/>
  <c r="AS362" i="14" l="1"/>
  <c r="CW363" i="14" l="1"/>
  <c r="O363" i="14" l="1"/>
  <c r="R364" i="14" l="1"/>
  <c r="CZ167" i="14" l="1"/>
  <c r="DI364" i="14"/>
  <c r="R167" i="14" l="1"/>
  <c r="BS167" i="14" l="1"/>
  <c r="BV167" i="14" l="1"/>
  <c r="CK167" i="14" s="1"/>
  <c r="DI167" i="14"/>
  <c r="DL167" i="14" l="1"/>
  <c r="AD167" i="14" s="1"/>
  <c r="F46" i="17"/>
  <c r="AA167" i="14"/>
  <c r="EA167" i="14" l="1"/>
  <c r="AV167" i="14" s="1"/>
  <c r="AS167" i="14"/>
  <c r="CZ364" i="14"/>
  <c r="B13" i="48" l="1"/>
  <c r="D13" i="48" s="1"/>
  <c r="E167" i="7"/>
  <c r="T167" i="7" s="1"/>
  <c r="F13" i="48" l="1"/>
  <c r="C13" i="48"/>
  <c r="E13" i="48"/>
  <c r="CW369" i="14"/>
  <c r="EA369" i="14"/>
  <c r="G13" i="48" l="1"/>
  <c r="O369" i="14"/>
  <c r="CW368" i="14" l="1"/>
  <c r="O368" i="14"/>
  <c r="O366" i="14" l="1"/>
  <c r="CW366" i="14"/>
  <c r="CZ363" i="14" l="1"/>
  <c r="R363" i="14" l="1"/>
  <c r="CZ366" i="14" l="1"/>
  <c r="R368" i="14" l="1"/>
  <c r="R369" i="14"/>
  <c r="CZ368" i="14"/>
  <c r="R366" i="14" l="1"/>
  <c r="U363" i="14" l="1"/>
  <c r="DC363" i="14"/>
  <c r="DC366" i="14" l="1"/>
  <c r="U369" i="14" l="1"/>
  <c r="U368" i="14"/>
  <c r="DC368" i="14"/>
  <c r="DC372" i="14" s="1"/>
  <c r="DC374" i="14" s="1"/>
  <c r="U366" i="14" l="1"/>
  <c r="X363" i="14" l="1"/>
  <c r="DF363" i="14"/>
  <c r="DF366" i="14" l="1"/>
  <c r="X369" i="14" l="1"/>
  <c r="X368" i="14"/>
  <c r="DF368" i="14"/>
  <c r="DF372" i="14" s="1"/>
  <c r="DF374" i="14" s="1"/>
  <c r="X366" i="14" l="1"/>
  <c r="AA363" i="14" l="1"/>
  <c r="DI363" i="14"/>
  <c r="DI366" i="14" l="1"/>
  <c r="AA368" i="14" l="1"/>
  <c r="DI368" i="14"/>
  <c r="AA369" i="14"/>
  <c r="AA366" i="14" l="1"/>
  <c r="AA372" i="14" s="1"/>
  <c r="AA374" i="14" s="1"/>
  <c r="DL363" i="14" l="1"/>
  <c r="AD363" i="14" l="1"/>
  <c r="DL366" i="14" l="1"/>
  <c r="AD369" i="14" l="1"/>
  <c r="AD368" i="14"/>
  <c r="DL368" i="14"/>
  <c r="DL372" i="14" s="1"/>
  <c r="DL374" i="14" s="1"/>
  <c r="AD366" i="14" l="1"/>
  <c r="AG363" i="14" l="1"/>
  <c r="DO363" i="14"/>
  <c r="DO366" i="14" l="1"/>
  <c r="AG368" i="14" l="1"/>
  <c r="AG369" i="14"/>
  <c r="DO368" i="14"/>
  <c r="AG366" i="14" l="1"/>
  <c r="AJ363" i="14" l="1"/>
  <c r="DR363" i="14"/>
  <c r="DR366" i="14" l="1"/>
  <c r="AJ368" i="14" l="1"/>
  <c r="DR368" i="14"/>
  <c r="DR372" i="14" s="1"/>
  <c r="DR374" i="14" s="1"/>
  <c r="AJ369" i="14"/>
  <c r="AJ366" i="14" l="1"/>
  <c r="AM363" i="14" l="1"/>
  <c r="DU363" i="14"/>
  <c r="DU366" i="14" l="1"/>
  <c r="AM368" i="14" l="1"/>
  <c r="AM369" i="14"/>
  <c r="DU368" i="14"/>
  <c r="AM366" i="14" l="1"/>
  <c r="DX363" i="14" l="1"/>
  <c r="AP363" i="14" l="1"/>
  <c r="EA363" i="14"/>
  <c r="DX366" i="14" l="1"/>
  <c r="AS363" i="14"/>
  <c r="EA366" i="14" l="1"/>
  <c r="AP369" i="14" l="1"/>
  <c r="AP368" i="14"/>
  <c r="DX368" i="14"/>
  <c r="DX372" i="14" s="1"/>
  <c r="DX374" i="14" s="1"/>
  <c r="EA368" i="14" l="1"/>
  <c r="AS368" i="14"/>
  <c r="AS369" i="14"/>
  <c r="AP366" i="14" l="1"/>
  <c r="AS366" i="14" l="1"/>
  <c r="AS372" i="14" s="1"/>
  <c r="AS374" i="14" s="1"/>
  <c r="Z12" i="28" l="1"/>
  <c r="AI12" i="28"/>
  <c r="AH12" i="28" l="1"/>
  <c r="AI621" i="28"/>
  <c r="AI625" i="28"/>
  <c r="AI729" i="28" s="1"/>
  <c r="AS12" i="28"/>
  <c r="AS625" i="28" l="1"/>
  <c r="AS729" i="28" s="1"/>
  <c r="AS621" i="28"/>
  <c r="G27" i="13" s="1"/>
  <c r="AH625" i="28"/>
  <c r="AH729" i="28" s="1"/>
  <c r="AH621" i="28"/>
  <c r="H30" i="23" s="1"/>
  <c r="M30" i="23" l="1"/>
  <c r="AF30" i="23" l="1"/>
  <c r="AD30" i="23"/>
  <c r="AK30" i="23"/>
  <c r="AC30" i="23"/>
  <c r="AJ30" i="23"/>
  <c r="AG30" i="23"/>
  <c r="AB30" i="23"/>
  <c r="AE30" i="23"/>
  <c r="AI30" i="23"/>
  <c r="AH30" i="23"/>
  <c r="AE57" i="23" l="1"/>
  <c r="AB57" i="23"/>
  <c r="AM30" i="23"/>
  <c r="AG57" i="23"/>
  <c r="AJ57" i="23"/>
  <c r="AC57" i="23"/>
  <c r="AC82" i="23" s="1"/>
  <c r="AK57" i="23"/>
  <c r="AH57" i="23"/>
  <c r="AD57" i="23"/>
  <c r="AI57" i="23"/>
  <c r="AF57" i="23"/>
  <c r="B372" i="28"/>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l="1"/>
  <c r="B410" i="28" s="1"/>
  <c r="B411" i="28" s="1"/>
  <c r="B412" i="28" s="1"/>
  <c r="B413" i="28" s="1"/>
  <c r="B414" i="28" s="1"/>
  <c r="AD82" i="23"/>
  <c r="AG82" i="23"/>
  <c r="AH82" i="23"/>
  <c r="AB82" i="23"/>
  <c r="AM57" i="23"/>
  <c r="AI82" i="23"/>
  <c r="AJ82" i="23"/>
  <c r="AF82" i="23"/>
  <c r="AK82" i="23"/>
  <c r="AE82" i="23"/>
  <c r="B415" i="28" l="1"/>
  <c r="B416" i="28" s="1"/>
  <c r="BJ222" i="14"/>
  <c r="CZ23" i="14"/>
  <c r="R23" i="14" s="1"/>
  <c r="BV222" i="14"/>
  <c r="DL23" i="14"/>
  <c r="AD23" i="14" s="1"/>
  <c r="DX23" i="14"/>
  <c r="AP23" i="14" s="1"/>
  <c r="CH222" i="14"/>
  <c r="CB222" i="14"/>
  <c r="DR23" i="14"/>
  <c r="AJ23" i="14" s="1"/>
  <c r="CK23" i="14"/>
  <c r="BS222" i="14"/>
  <c r="DI23" i="14"/>
  <c r="AA23" i="14" s="1"/>
  <c r="DF23" i="14"/>
  <c r="X23" i="14" s="1"/>
  <c r="BP222" i="14"/>
  <c r="BM222" i="14"/>
  <c r="DC23" i="14"/>
  <c r="U23" i="14" s="1"/>
  <c r="BG222" i="14"/>
  <c r="CW23" i="14"/>
  <c r="O23" i="14" s="1"/>
  <c r="DU23" i="14"/>
  <c r="AM23" i="14" s="1"/>
  <c r="DO23" i="14"/>
  <c r="AG23" i="14" s="1"/>
  <c r="BY222" i="14"/>
  <c r="AM82" i="23"/>
  <c r="B417" i="28" l="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CE222" i="14"/>
  <c r="AE11" i="10" s="1"/>
  <c r="AP362" i="14"/>
  <c r="AP372" i="14" s="1"/>
  <c r="AP374" i="14" s="1"/>
  <c r="AP222" i="14"/>
  <c r="AH37" i="10" s="1"/>
  <c r="AD362" i="14"/>
  <c r="AD372" i="14" s="1"/>
  <c r="AD374" i="14" s="1"/>
  <c r="AD222" i="14"/>
  <c r="V37" i="10" s="1"/>
  <c r="O362" i="14"/>
  <c r="O372" i="14" s="1"/>
  <c r="O374" i="14" s="1"/>
  <c r="O222" i="14"/>
  <c r="G37" i="10" s="1"/>
  <c r="AJ362" i="14"/>
  <c r="AJ372" i="14" s="1"/>
  <c r="AJ374" i="14" s="1"/>
  <c r="AJ222" i="14"/>
  <c r="AB37" i="10" s="1"/>
  <c r="R362" i="14"/>
  <c r="R372" i="14" s="1"/>
  <c r="R374" i="14" s="1"/>
  <c r="R222" i="14"/>
  <c r="J37" i="10" s="1"/>
  <c r="DC222" i="14"/>
  <c r="DF222" i="14"/>
  <c r="DI362" i="14"/>
  <c r="DI372" i="14" s="1"/>
  <c r="DI374" i="14" s="1"/>
  <c r="EA23" i="14"/>
  <c r="AV23" i="14" s="1"/>
  <c r="DI222" i="14"/>
  <c r="DO362" i="14"/>
  <c r="DO372" i="14" s="1"/>
  <c r="DO374" i="14" s="1"/>
  <c r="DO222" i="14"/>
  <c r="S11" i="10"/>
  <c r="Y11" i="10"/>
  <c r="AM362" i="14"/>
  <c r="AM372" i="14" s="1"/>
  <c r="AM374" i="14" s="1"/>
  <c r="AM222" i="14"/>
  <c r="AE37" i="10" s="1"/>
  <c r="M11" i="10"/>
  <c r="CK222" i="14"/>
  <c r="AC18" i="33" s="1"/>
  <c r="DL222" i="14"/>
  <c r="DR222" i="14"/>
  <c r="AH11" i="10"/>
  <c r="V11" i="10"/>
  <c r="CW362" i="14"/>
  <c r="CW372" i="14" s="1"/>
  <c r="CW374" i="14" s="1"/>
  <c r="CW222" i="14"/>
  <c r="AB11" i="10"/>
  <c r="CZ362" i="14"/>
  <c r="CZ372" i="14" s="1"/>
  <c r="CZ374" i="14" s="1"/>
  <c r="CZ222" i="14"/>
  <c r="AG362" i="14"/>
  <c r="AG372" i="14" s="1"/>
  <c r="AG374" i="14" s="1"/>
  <c r="AG222" i="14"/>
  <c r="Y37" i="10" s="1"/>
  <c r="AS23" i="14"/>
  <c r="G11" i="10"/>
  <c r="X362" i="14"/>
  <c r="X372" i="14" s="1"/>
  <c r="X374" i="14" s="1"/>
  <c r="X222" i="14"/>
  <c r="P37" i="10" s="1"/>
  <c r="DU362" i="14"/>
  <c r="DU372" i="14" s="1"/>
  <c r="DU374" i="14" s="1"/>
  <c r="DU222" i="14"/>
  <c r="U362" i="14"/>
  <c r="U372" i="14" s="1"/>
  <c r="U374" i="14" s="1"/>
  <c r="U222" i="14"/>
  <c r="M37" i="10" s="1"/>
  <c r="P11" i="10"/>
  <c r="DX222" i="14"/>
  <c r="J11" i="10"/>
  <c r="T22" i="33" l="1"/>
  <c r="BD22" i="33" s="1"/>
  <c r="AO18" i="33"/>
  <c r="BY18" i="33" s="1"/>
  <c r="T19" i="33"/>
  <c r="BD19" i="33" s="1"/>
  <c r="AO19" i="33"/>
  <c r="BY19" i="33" s="1"/>
  <c r="T18" i="33"/>
  <c r="BD18" i="33" s="1"/>
  <c r="Z20" i="33"/>
  <c r="BJ20" i="33" s="1"/>
  <c r="T21" i="33"/>
  <c r="BD21" i="33" s="1"/>
  <c r="T20" i="33"/>
  <c r="BD20" i="33" s="1"/>
  <c r="Z21" i="33"/>
  <c r="BJ21" i="33" s="1"/>
  <c r="Q18" i="33"/>
  <c r="BA18" i="33" s="1"/>
  <c r="AO22" i="33"/>
  <c r="BY22" i="33" s="1"/>
  <c r="AL18" i="33"/>
  <c r="BV18" i="33" s="1"/>
  <c r="AF19" i="33"/>
  <c r="BP19" i="33" s="1"/>
  <c r="AO21" i="33"/>
  <c r="BY21" i="33" s="1"/>
  <c r="Z19" i="33"/>
  <c r="BJ19" i="33" s="1"/>
  <c r="Q22" i="33"/>
  <c r="AL21" i="33"/>
  <c r="BV21" i="33" s="1"/>
  <c r="AF20" i="33"/>
  <c r="BP20" i="33" s="1"/>
  <c r="Z22" i="33"/>
  <c r="BJ22" i="33" s="1"/>
  <c r="Q19" i="33"/>
  <c r="BA19" i="33" s="1"/>
  <c r="AF18" i="33"/>
  <c r="BP18" i="33" s="1"/>
  <c r="Q21" i="33"/>
  <c r="BA21" i="33" s="1"/>
  <c r="AR21" i="33"/>
  <c r="CB21" i="33" s="1"/>
  <c r="AR18" i="33"/>
  <c r="CB18" i="33" s="1"/>
  <c r="AL19" i="33"/>
  <c r="BV19" i="33" s="1"/>
  <c r="AR20" i="33"/>
  <c r="CB20" i="33" s="1"/>
  <c r="AL22" i="33"/>
  <c r="BV22" i="33" s="1"/>
  <c r="AF21" i="33"/>
  <c r="BP21" i="33" s="1"/>
  <c r="AR22" i="33"/>
  <c r="CB22" i="33" s="1"/>
  <c r="W18" i="33"/>
  <c r="BG18" i="33" s="1"/>
  <c r="W22" i="33"/>
  <c r="BG22" i="33" s="1"/>
  <c r="AL20" i="33"/>
  <c r="BV20" i="33" s="1"/>
  <c r="AC22" i="33"/>
  <c r="BM22" i="33" s="1"/>
  <c r="Q20" i="33"/>
  <c r="AO20" i="33"/>
  <c r="AF22" i="33"/>
  <c r="BP22" i="33" s="1"/>
  <c r="AR19" i="33"/>
  <c r="CB19" i="33" s="1"/>
  <c r="AI18" i="33"/>
  <c r="BS18" i="33" s="1"/>
  <c r="BM18" i="33"/>
  <c r="E23" i="7"/>
  <c r="AI21" i="33"/>
  <c r="BS21" i="33" s="1"/>
  <c r="EA362" i="14"/>
  <c r="EA372" i="14" s="1"/>
  <c r="EA374" i="14" s="1"/>
  <c r="EA222" i="14"/>
  <c r="Z18" i="33"/>
  <c r="E17" i="33"/>
  <c r="AU17" i="33"/>
  <c r="W21" i="33"/>
  <c r="BG21" i="33" s="1"/>
  <c r="AI19" i="33"/>
  <c r="AC20" i="33"/>
  <c r="BM20" i="33" s="1"/>
  <c r="W20" i="33"/>
  <c r="BG20" i="33" s="1"/>
  <c r="AI22" i="33"/>
  <c r="BS22" i="33" s="1"/>
  <c r="AC19" i="33"/>
  <c r="BM19" i="33" s="1"/>
  <c r="AI11" i="10"/>
  <c r="W19" i="33"/>
  <c r="BG19" i="33" s="1"/>
  <c r="AI20" i="33"/>
  <c r="BS20" i="33" s="1"/>
  <c r="AC21" i="33"/>
  <c r="BM21" i="33" s="1"/>
  <c r="AO24" i="8" l="1"/>
  <c r="AA222" i="14"/>
  <c r="S37" i="10" s="1"/>
  <c r="AI37" i="10" s="1"/>
  <c r="T17" i="33"/>
  <c r="BD17" i="33" s="1"/>
  <c r="AU22" i="33"/>
  <c r="Q17" i="33"/>
  <c r="BA17" i="33" s="1"/>
  <c r="BA22" i="33"/>
  <c r="CE22" i="33" s="1"/>
  <c r="K22" i="33" s="1"/>
  <c r="AF17" i="33"/>
  <c r="BP17" i="33" s="1"/>
  <c r="AL17" i="33"/>
  <c r="BV17" i="33" s="1"/>
  <c r="BA20" i="33"/>
  <c r="AR17" i="33"/>
  <c r="CB17" i="33" s="1"/>
  <c r="BY20" i="33"/>
  <c r="AO17" i="33"/>
  <c r="BY17" i="33" s="1"/>
  <c r="AU20" i="33"/>
  <c r="AU21" i="33"/>
  <c r="AC17" i="33"/>
  <c r="BM17" i="33" s="1"/>
  <c r="CE21" i="33"/>
  <c r="K21" i="33" s="1"/>
  <c r="BJ18" i="33"/>
  <c r="CE18" i="33" s="1"/>
  <c r="K18" i="33" s="1"/>
  <c r="Z17" i="33"/>
  <c r="BJ17" i="33" s="1"/>
  <c r="AU18" i="33"/>
  <c r="AU19" i="33"/>
  <c r="W17" i="33"/>
  <c r="BG17" i="33" s="1"/>
  <c r="T23" i="7"/>
  <c r="BS19" i="33"/>
  <c r="CE19" i="33" s="1"/>
  <c r="K19" i="33" s="1"/>
  <c r="AI17" i="33"/>
  <c r="BS17" i="33" s="1"/>
  <c r="AS222" i="14" l="1"/>
  <c r="CE20" i="33"/>
  <c r="K20" i="33" s="1"/>
  <c r="CE17" i="33"/>
  <c r="K17" i="33" s="1"/>
  <c r="BI163" i="14"/>
  <c r="AI12" i="24"/>
  <c r="AI261" i="24" s="1"/>
  <c r="Z12" i="24"/>
  <c r="AS12" i="24" l="1"/>
  <c r="AH12" i="24"/>
  <c r="AI265" i="24"/>
  <c r="AS265" i="24" l="1"/>
  <c r="AS369" i="24" s="1"/>
  <c r="AS261" i="24"/>
  <c r="AI369" i="24"/>
  <c r="AH261" i="24"/>
  <c r="H26" i="23" s="1"/>
  <c r="AH265" i="24"/>
  <c r="AH369" i="24" s="1"/>
  <c r="G23" i="13" l="1"/>
  <c r="BF50" i="14"/>
  <c r="M26" i="23"/>
  <c r="N50" i="14" l="1"/>
  <c r="BF65" i="14"/>
  <c r="BF354" i="14" s="1"/>
  <c r="BG50" i="14"/>
  <c r="CJ50" i="14"/>
  <c r="CJ65" i="14" s="1"/>
  <c r="CJ354" i="14" s="1"/>
  <c r="AK26" i="23"/>
  <c r="AI26" i="23"/>
  <c r="AF26" i="23"/>
  <c r="AE26" i="23"/>
  <c r="AB26" i="23"/>
  <c r="AD26" i="23"/>
  <c r="AH26" i="23"/>
  <c r="AG26" i="23"/>
  <c r="AJ26" i="23"/>
  <c r="AC26" i="23"/>
  <c r="BG221" i="14" l="1"/>
  <c r="CW50" i="14"/>
  <c r="CK50" i="14"/>
  <c r="BG62" i="14"/>
  <c r="BG64" i="14" s="1"/>
  <c r="BG331" i="14"/>
  <c r="J21" i="2" s="1"/>
  <c r="E21" i="2" s="1"/>
  <c r="AR50" i="14"/>
  <c r="N62" i="14"/>
  <c r="N65" i="14" s="1"/>
  <c r="N354" i="14" s="1"/>
  <c r="AI53" i="23"/>
  <c r="AG53" i="23"/>
  <c r="AG78" i="23" s="1"/>
  <c r="AK53" i="23"/>
  <c r="AH53" i="23"/>
  <c r="AH78" i="23" s="1"/>
  <c r="AD53" i="23"/>
  <c r="AD78" i="23" s="1"/>
  <c r="AB53" i="23"/>
  <c r="AM26" i="23"/>
  <c r="AC53" i="23"/>
  <c r="AC78" i="23" s="1"/>
  <c r="AE53" i="23"/>
  <c r="AE78" i="23" s="1"/>
  <c r="AJ53" i="23"/>
  <c r="AJ78" i="23" s="1"/>
  <c r="AF53" i="23"/>
  <c r="AF78" i="23" s="1"/>
  <c r="CW64" i="14" l="1"/>
  <c r="CK64" i="14"/>
  <c r="BG65" i="14"/>
  <c r="CK221" i="14"/>
  <c r="CK331" i="14"/>
  <c r="CK62" i="14"/>
  <c r="O50" i="14"/>
  <c r="CW62" i="14"/>
  <c r="CW221" i="14"/>
  <c r="EA50" i="14"/>
  <c r="AV50" i="14" s="1"/>
  <c r="CW331" i="14"/>
  <c r="D50" i="7"/>
  <c r="AR65" i="14"/>
  <c r="AR354" i="14" s="1"/>
  <c r="G10" i="10"/>
  <c r="AI10" i="10" s="1"/>
  <c r="Q16" i="33"/>
  <c r="BA16" i="33" s="1"/>
  <c r="CE16" i="33" s="1"/>
  <c r="K16" i="33" s="1"/>
  <c r="AK78" i="23"/>
  <c r="AM53" i="23"/>
  <c r="AB78" i="23"/>
  <c r="AI78" i="23"/>
  <c r="C39" i="39" l="1"/>
  <c r="AO23" i="8"/>
  <c r="K23" i="17" s="1"/>
  <c r="CW65" i="14"/>
  <c r="O62" i="14"/>
  <c r="O331" i="14"/>
  <c r="O221" i="14"/>
  <c r="G36" i="10" s="1"/>
  <c r="AI36" i="10" s="1"/>
  <c r="AS50" i="14"/>
  <c r="S50" i="7"/>
  <c r="S62" i="7" s="1"/>
  <c r="S65" i="7" s="1"/>
  <c r="D62" i="7"/>
  <c r="D65" i="7" s="1"/>
  <c r="E16" i="33"/>
  <c r="AU16" i="33"/>
  <c r="EA62" i="14"/>
  <c r="EA331" i="14"/>
  <c r="EA221" i="14"/>
  <c r="CK65" i="14"/>
  <c r="EA64" i="14"/>
  <c r="AV64" i="14" s="1"/>
  <c r="O64" i="14"/>
  <c r="AM78" i="23"/>
  <c r="AS64" i="14" l="1"/>
  <c r="O65" i="14"/>
  <c r="K114" i="15"/>
  <c r="AS221" i="14"/>
  <c r="AS331" i="14"/>
  <c r="E50" i="7"/>
  <c r="AS62" i="14"/>
  <c r="EA65" i="14"/>
  <c r="AV65" i="14" s="1"/>
  <c r="AV62" i="14"/>
  <c r="T50" i="7" l="1"/>
  <c r="T62" i="7" s="1"/>
  <c r="E62" i="7"/>
  <c r="AS65" i="14"/>
  <c r="E64" i="7"/>
  <c r="E65" i="7" l="1"/>
  <c r="T64" i="7"/>
  <c r="T65" i="7" s="1"/>
  <c r="BA122" i="14" l="1"/>
  <c r="I122" i="14" s="1"/>
  <c r="Z9" i="22" l="1"/>
  <c r="AI9" i="22"/>
  <c r="AS9" i="22" s="1"/>
  <c r="AS157" i="22" s="1"/>
  <c r="AS261" i="22" s="1"/>
  <c r="AI157" i="22" l="1"/>
  <c r="F6" i="15" s="1"/>
  <c r="K6" i="15" s="1"/>
  <c r="AH9" i="22"/>
  <c r="AH153" i="22" s="1"/>
  <c r="H33" i="23" s="1"/>
  <c r="M33" i="23" s="1"/>
  <c r="F155" i="15" a="1"/>
  <c r="F155" i="15" s="1"/>
  <c r="F157" i="15" a="1"/>
  <c r="F157" i="15" s="1"/>
  <c r="F158" i="15" a="1"/>
  <c r="F158" i="15" s="1"/>
  <c r="F159" i="15" a="1"/>
  <c r="F159" i="15" s="1"/>
  <c r="F160" i="15" a="1"/>
  <c r="F160" i="15" s="1"/>
  <c r="F154" i="15" a="1"/>
  <c r="F154" i="15" s="1"/>
  <c r="F156" i="15" a="1"/>
  <c r="F156" i="15" s="1"/>
  <c r="F161" i="15" a="1"/>
  <c r="F161" i="15" s="1"/>
  <c r="AI153" i="22"/>
  <c r="AS153" i="22" s="1"/>
  <c r="G29" i="13" s="1"/>
  <c r="G40" i="13" s="1"/>
  <c r="F152" i="15" l="1" a="1"/>
  <c r="F152" i="15" s="1"/>
  <c r="F153" i="15" a="1"/>
  <c r="F153" i="15" s="1"/>
  <c r="AH157" i="22"/>
  <c r="AH261" i="22" s="1"/>
  <c r="F112" i="15"/>
  <c r="H39" i="23"/>
  <c r="AI261" i="22"/>
  <c r="K157" i="15" a="1"/>
  <c r="K157" i="15" s="1"/>
  <c r="K160" i="15" a="1"/>
  <c r="K160" i="15" s="1"/>
  <c r="K152" i="15" a="1"/>
  <c r="K152" i="15" s="1"/>
  <c r="M6" i="15"/>
  <c r="K158" i="15" a="1"/>
  <c r="K158" i="15" s="1"/>
  <c r="K161" i="15" a="1"/>
  <c r="K161" i="15" s="1"/>
  <c r="K156" i="15" a="1"/>
  <c r="K156" i="15" s="1"/>
  <c r="K155" i="15" a="1"/>
  <c r="K155" i="15" s="1"/>
  <c r="K159" i="15" a="1"/>
  <c r="K159" i="15" s="1"/>
  <c r="K154" i="15" a="1"/>
  <c r="K154" i="15" s="1"/>
  <c r="K153" i="15" a="1"/>
  <c r="K153" i="15" s="1"/>
  <c r="AB33" i="23"/>
  <c r="AF33" i="23"/>
  <c r="AJ33" i="23"/>
  <c r="AC33" i="23"/>
  <c r="AD33" i="23"/>
  <c r="AI33" i="23"/>
  <c r="AE33" i="23"/>
  <c r="AH33" i="23"/>
  <c r="M39" i="23"/>
  <c r="M36" i="23"/>
  <c r="G42" i="13" s="1"/>
  <c r="G43" i="13" s="1"/>
  <c r="AG33" i="23"/>
  <c r="AK33" i="23"/>
  <c r="F163" i="15" l="1"/>
  <c r="AD39" i="23"/>
  <c r="BM25" i="14" s="1"/>
  <c r="AD36" i="23"/>
  <c r="AD60" i="23"/>
  <c r="AK36" i="23"/>
  <c r="AK39" i="23"/>
  <c r="CH25" i="14" s="1"/>
  <c r="AK60" i="23"/>
  <c r="AK85" i="23" s="1"/>
  <c r="AC39" i="23"/>
  <c r="BJ25" i="14" s="1"/>
  <c r="AC60" i="23"/>
  <c r="AC85" i="23" s="1"/>
  <c r="AC36" i="23"/>
  <c r="AG36" i="23"/>
  <c r="AG60" i="23"/>
  <c r="AG85" i="23" s="1"/>
  <c r="AG39" i="23"/>
  <c r="BV25" i="14" s="1"/>
  <c r="AJ60" i="23"/>
  <c r="AJ39" i="23"/>
  <c r="CE25" i="14" s="1"/>
  <c r="AJ36" i="23"/>
  <c r="AF39" i="23"/>
  <c r="BS25" i="14" s="1"/>
  <c r="AF60" i="23"/>
  <c r="AF36" i="23"/>
  <c r="AM33" i="23"/>
  <c r="AM39" i="23" s="1"/>
  <c r="AB60" i="23"/>
  <c r="AB36" i="23"/>
  <c r="AB39" i="23"/>
  <c r="BG25" i="14" s="1"/>
  <c r="M160" i="15" a="1"/>
  <c r="M160" i="15" s="1"/>
  <c r="M159" i="15" a="1"/>
  <c r="M159" i="15" s="1"/>
  <c r="M153" i="15" a="1"/>
  <c r="M153" i="15" s="1"/>
  <c r="M158" i="15" a="1"/>
  <c r="M158" i="15" s="1"/>
  <c r="M156" i="15" a="1"/>
  <c r="M156" i="15" s="1"/>
  <c r="M161" i="15" a="1"/>
  <c r="M161" i="15" s="1"/>
  <c r="M157" i="15" a="1"/>
  <c r="M157" i="15" s="1"/>
  <c r="M154" i="15" a="1"/>
  <c r="M154" i="15" s="1"/>
  <c r="M152" i="15" a="1"/>
  <c r="M152" i="15" s="1"/>
  <c r="M155" i="15" a="1"/>
  <c r="M155" i="15" s="1"/>
  <c r="AH60" i="23"/>
  <c r="AH39" i="23"/>
  <c r="BY25" i="14" s="1"/>
  <c r="AH36" i="23"/>
  <c r="K163" i="15"/>
  <c r="AE39" i="23"/>
  <c r="BP25" i="14" s="1"/>
  <c r="AE60" i="23"/>
  <c r="AE85" i="23" s="1"/>
  <c r="AE36" i="23"/>
  <c r="AI60" i="23"/>
  <c r="AI85" i="23" s="1"/>
  <c r="AI36" i="23"/>
  <c r="AI39" i="23"/>
  <c r="CB25" i="14" s="1"/>
  <c r="AK90" i="23" l="1"/>
  <c r="AK87" i="23"/>
  <c r="AC90" i="23"/>
  <c r="AC87" i="23"/>
  <c r="AI87" i="23"/>
  <c r="AI90" i="23"/>
  <c r="AF65" i="23"/>
  <c r="DI25" i="14" s="1"/>
  <c r="AF62" i="23"/>
  <c r="AG65" i="23"/>
  <c r="DL25" i="14" s="1"/>
  <c r="AD25" i="14" s="1"/>
  <c r="AG62" i="23"/>
  <c r="BS26" i="14"/>
  <c r="BS330" i="14" s="1"/>
  <c r="CK25" i="14"/>
  <c r="BS24" i="14"/>
  <c r="AG90" i="23"/>
  <c r="AG87" i="23"/>
  <c r="CH26" i="14"/>
  <c r="CH24" i="14"/>
  <c r="AE90" i="23"/>
  <c r="AE87" i="23"/>
  <c r="BP24" i="14"/>
  <c r="BP26" i="14"/>
  <c r="BP330" i="14" s="1"/>
  <c r="BG24" i="14"/>
  <c r="BG26" i="14"/>
  <c r="BG330" i="14" s="1"/>
  <c r="AF85" i="23"/>
  <c r="AH65" i="23"/>
  <c r="DO25" i="14" s="1"/>
  <c r="AG25" i="14" s="1"/>
  <c r="AH62" i="23"/>
  <c r="AK65" i="23"/>
  <c r="DX25" i="14" s="1"/>
  <c r="AK62" i="23"/>
  <c r="CB26" i="14"/>
  <c r="CB24" i="14"/>
  <c r="AM36" i="23"/>
  <c r="AD65" i="23"/>
  <c r="DC25" i="14" s="1"/>
  <c r="U25" i="14" s="1"/>
  <c r="AD62" i="23"/>
  <c r="AB65" i="23"/>
  <c r="CW25" i="14" s="1"/>
  <c r="AB62" i="23"/>
  <c r="AM60" i="23"/>
  <c r="AM65" i="23" s="1"/>
  <c r="AN65" i="23" s="1"/>
  <c r="CE24" i="14"/>
  <c r="CE26" i="14"/>
  <c r="CE330" i="14" s="1"/>
  <c r="BV26" i="14"/>
  <c r="BV330" i="14" s="1"/>
  <c r="BV24" i="14"/>
  <c r="AE65" i="23"/>
  <c r="DF25" i="14" s="1"/>
  <c r="AE62" i="23"/>
  <c r="AH85" i="23"/>
  <c r="O39" i="23"/>
  <c r="X39" i="23"/>
  <c r="CG25" i="14" s="1"/>
  <c r="Q39" i="23"/>
  <c r="BL25" i="14" s="1"/>
  <c r="W39" i="23"/>
  <c r="CD25" i="14" s="1"/>
  <c r="V39" i="23"/>
  <c r="CA25" i="14" s="1"/>
  <c r="R39" i="23"/>
  <c r="BO25" i="14" s="1"/>
  <c r="S39" i="23"/>
  <c r="BR25" i="14" s="1"/>
  <c r="T39" i="23"/>
  <c r="BU25" i="14" s="1"/>
  <c r="P39" i="23"/>
  <c r="BI25" i="14" s="1"/>
  <c r="AN39" i="23"/>
  <c r="U39" i="23" s="1"/>
  <c r="BX25" i="14" s="1"/>
  <c r="AJ65" i="23"/>
  <c r="DU25" i="14" s="1"/>
  <c r="AM25" i="14" s="1"/>
  <c r="AJ62" i="23"/>
  <c r="AC65" i="23"/>
  <c r="CZ25" i="14" s="1"/>
  <c r="R25" i="14" s="1"/>
  <c r="AC62" i="23"/>
  <c r="BM24" i="14"/>
  <c r="BM26" i="14"/>
  <c r="BM330" i="14" s="1"/>
  <c r="AI65" i="23"/>
  <c r="DR25" i="14" s="1"/>
  <c r="AJ25" i="14" s="1"/>
  <c r="AI62" i="23"/>
  <c r="BY26" i="14"/>
  <c r="BY330" i="14" s="1"/>
  <c r="BY24" i="14"/>
  <c r="AB85" i="23"/>
  <c r="AJ85" i="23"/>
  <c r="BJ24" i="14"/>
  <c r="BJ26" i="14"/>
  <c r="BJ330" i="14" s="1"/>
  <c r="AD85" i="23"/>
  <c r="S20" i="2" l="1"/>
  <c r="AB20" i="2"/>
  <c r="P20" i="2"/>
  <c r="J20" i="2"/>
  <c r="BP223" i="14"/>
  <c r="BP333" i="14"/>
  <c r="S23" i="2" s="1"/>
  <c r="BP309" i="14"/>
  <c r="BP31" i="14"/>
  <c r="BP33" i="14" s="1"/>
  <c r="DF24" i="14"/>
  <c r="X24" i="14" s="1"/>
  <c r="EA25" i="14"/>
  <c r="AV25" i="14" s="1"/>
  <c r="M20" i="2"/>
  <c r="Y20" i="2"/>
  <c r="AM62" i="23"/>
  <c r="AN87" i="23" s="1"/>
  <c r="DR26" i="14"/>
  <c r="DR330" i="14" s="1"/>
  <c r="BR34" i="14"/>
  <c r="Z25" i="14"/>
  <c r="CH31" i="14"/>
  <c r="CH33" i="14" s="1"/>
  <c r="DX24" i="14"/>
  <c r="AP24" i="14" s="1"/>
  <c r="CH333" i="14"/>
  <c r="AK23" i="2" s="1"/>
  <c r="CH223" i="14"/>
  <c r="CH309" i="14"/>
  <c r="AJ87" i="23"/>
  <c r="AJ90" i="23"/>
  <c r="BO34" i="14"/>
  <c r="BO156" i="14" s="1"/>
  <c r="BO163" i="14" s="1"/>
  <c r="W25" i="14"/>
  <c r="W34" i="14" s="1"/>
  <c r="W156" i="14" s="1"/>
  <c r="W163" i="14" s="1"/>
  <c r="DU26" i="14"/>
  <c r="AM26" i="14" s="1"/>
  <c r="CB330" i="14"/>
  <c r="CW26" i="14"/>
  <c r="CW330" i="14" s="1"/>
  <c r="X25" i="14"/>
  <c r="DX26" i="14"/>
  <c r="DX330" i="14" s="1"/>
  <c r="CK26" i="14"/>
  <c r="CK330" i="14" s="1"/>
  <c r="DI26" i="14"/>
  <c r="DI330" i="14" s="1"/>
  <c r="Q25" i="14"/>
  <c r="Q34" i="14" s="1"/>
  <c r="Q156" i="14" s="1"/>
  <c r="Q163" i="14" s="1"/>
  <c r="BI34" i="14"/>
  <c r="G44" i="13"/>
  <c r="G45" i="13" s="1"/>
  <c r="BU34" i="14"/>
  <c r="BU156" i="14" s="1"/>
  <c r="BU163" i="14" s="1"/>
  <c r="AC25" i="14"/>
  <c r="AC34" i="14" s="1"/>
  <c r="AC156" i="14" s="1"/>
  <c r="AC163" i="14" s="1"/>
  <c r="CH330" i="14"/>
  <c r="AA25" i="14"/>
  <c r="Z39" i="23"/>
  <c r="BF25" i="14"/>
  <c r="CJ25" i="14" s="1"/>
  <c r="AH90" i="23"/>
  <c r="AH87" i="23"/>
  <c r="AD90" i="23"/>
  <c r="AD87" i="23"/>
  <c r="AM85" i="23"/>
  <c r="AM90" i="23" s="1"/>
  <c r="AN90" i="23" s="1"/>
  <c r="AB90" i="23"/>
  <c r="AB87" i="23"/>
  <c r="AI25" i="14"/>
  <c r="AI34" i="14" s="1"/>
  <c r="AI156" i="14" s="1"/>
  <c r="AI163" i="14" s="1"/>
  <c r="CA34" i="14"/>
  <c r="CA156" i="14" s="1"/>
  <c r="CA163" i="14" s="1"/>
  <c r="CZ26" i="14"/>
  <c r="R26" i="14" s="1"/>
  <c r="R330" i="14" s="1"/>
  <c r="DO24" i="14"/>
  <c r="AG24" i="14" s="1"/>
  <c r="BY223" i="14"/>
  <c r="BY31" i="14"/>
  <c r="BY33" i="14" s="1"/>
  <c r="BY309" i="14"/>
  <c r="BY333" i="14"/>
  <c r="AB23" i="2" s="1"/>
  <c r="DC26" i="14"/>
  <c r="DC330" i="14" s="1"/>
  <c r="AL25" i="14"/>
  <c r="AL34" i="14" s="1"/>
  <c r="AL156" i="14" s="1"/>
  <c r="AL163" i="14" s="1"/>
  <c r="CD34" i="14"/>
  <c r="CD156" i="14" s="1"/>
  <c r="CD163" i="14" s="1"/>
  <c r="BV223" i="14"/>
  <c r="DL24" i="14"/>
  <c r="AD24" i="14" s="1"/>
  <c r="BV333" i="14"/>
  <c r="Y23" i="2" s="1"/>
  <c r="BV309" i="14"/>
  <c r="BV31" i="14"/>
  <c r="BV33" i="14" s="1"/>
  <c r="BG333" i="14"/>
  <c r="J23" i="2" s="1"/>
  <c r="BG309" i="14"/>
  <c r="BG223" i="14"/>
  <c r="CW24" i="14"/>
  <c r="O24" i="14" s="1"/>
  <c r="BG31" i="14"/>
  <c r="BG33" i="14" s="1"/>
  <c r="V20" i="2"/>
  <c r="T25" i="14"/>
  <c r="T34" i="14" s="1"/>
  <c r="T156" i="14" s="1"/>
  <c r="T163" i="14" s="1"/>
  <c r="BL34" i="14"/>
  <c r="BL156" i="14" s="1"/>
  <c r="BL163" i="14" s="1"/>
  <c r="CE223" i="14"/>
  <c r="DU24" i="14"/>
  <c r="CE333" i="14"/>
  <c r="AH23" i="2" s="1"/>
  <c r="CE31" i="14"/>
  <c r="CE33" i="14" s="1"/>
  <c r="CE309" i="14"/>
  <c r="O25" i="14"/>
  <c r="AF87" i="23"/>
  <c r="AF90" i="23"/>
  <c r="BJ333" i="14"/>
  <c r="M23" i="2" s="1"/>
  <c r="CZ24" i="14"/>
  <c r="R24" i="14" s="1"/>
  <c r="BJ223" i="14"/>
  <c r="BJ31" i="14"/>
  <c r="BJ33" i="14" s="1"/>
  <c r="BJ309" i="14"/>
  <c r="DO26" i="14"/>
  <c r="AG26" i="14" s="1"/>
  <c r="AG330" i="14" s="1"/>
  <c r="BM309" i="14"/>
  <c r="BM31" i="14"/>
  <c r="BM33" i="14" s="1"/>
  <c r="BM333" i="14"/>
  <c r="P23" i="2" s="1"/>
  <c r="BM223" i="14"/>
  <c r="DC24" i="14"/>
  <c r="U24" i="14" s="1"/>
  <c r="AF25" i="14"/>
  <c r="AF34" i="14" s="1"/>
  <c r="AF156" i="14" s="1"/>
  <c r="AF163" i="14" s="1"/>
  <c r="BX34" i="14"/>
  <c r="BX156" i="14" s="1"/>
  <c r="BX163" i="14" s="1"/>
  <c r="AO25" i="14"/>
  <c r="AO34" i="14" s="1"/>
  <c r="AO156" i="14" s="1"/>
  <c r="AO163" i="14" s="1"/>
  <c r="CG34" i="14"/>
  <c r="CG156" i="14" s="1"/>
  <c r="CG163" i="14" s="1"/>
  <c r="DL26" i="14"/>
  <c r="AH20" i="2"/>
  <c r="CB31" i="14"/>
  <c r="CB33" i="14" s="1"/>
  <c r="CB309" i="14"/>
  <c r="DR24" i="14"/>
  <c r="CB223" i="14"/>
  <c r="CB333" i="14"/>
  <c r="AE23" i="2" s="1"/>
  <c r="DF26" i="14"/>
  <c r="X26" i="14" s="1"/>
  <c r="AP25" i="14"/>
  <c r="BS333" i="14"/>
  <c r="V23" i="2" s="1"/>
  <c r="CK24" i="14"/>
  <c r="BS31" i="14"/>
  <c r="BS33" i="14" s="1"/>
  <c r="BS223" i="14"/>
  <c r="DI24" i="14"/>
  <c r="AA24" i="14" s="1"/>
  <c r="BS309" i="14"/>
  <c r="DU330" i="14" l="1"/>
  <c r="DO330" i="14"/>
  <c r="AJ26" i="14"/>
  <c r="AJ330" i="14" s="1"/>
  <c r="AM87" i="23"/>
  <c r="U288" i="14"/>
  <c r="U309" i="14"/>
  <c r="G19" i="11" s="1"/>
  <c r="U333" i="14"/>
  <c r="AP288" i="14"/>
  <c r="AP333" i="14"/>
  <c r="AP309" i="14"/>
  <c r="N19" i="11" s="1"/>
  <c r="O309" i="14"/>
  <c r="E19" i="11" s="1"/>
  <c r="O288" i="14"/>
  <c r="O333" i="14"/>
  <c r="C38" i="39"/>
  <c r="AG288" i="14"/>
  <c r="AG31" i="14"/>
  <c r="AG223" i="14"/>
  <c r="Y38" i="10" s="1"/>
  <c r="AG333" i="14"/>
  <c r="AG309" i="14"/>
  <c r="K19" i="11" s="1"/>
  <c r="E23" i="2"/>
  <c r="AA26" i="14"/>
  <c r="AA31" i="14" s="1"/>
  <c r="AE20" i="2"/>
  <c r="Z23" i="33"/>
  <c r="BJ23" i="33" s="1"/>
  <c r="P12" i="10"/>
  <c r="W23" i="33"/>
  <c r="BG23" i="33" s="1"/>
  <c r="M12" i="10"/>
  <c r="CZ33" i="14"/>
  <c r="R33" i="14" s="1"/>
  <c r="BJ34" i="14"/>
  <c r="R288" i="14"/>
  <c r="R309" i="14"/>
  <c r="F19" i="11" s="1"/>
  <c r="R31" i="14"/>
  <c r="R223" i="14"/>
  <c r="J38" i="10" s="1"/>
  <c r="R333" i="14"/>
  <c r="AF23" i="33"/>
  <c r="BP23" i="33" s="1"/>
  <c r="V12" i="10"/>
  <c r="DO33" i="14"/>
  <c r="AG33" i="14" s="1"/>
  <c r="BY34" i="14"/>
  <c r="AA333" i="14"/>
  <c r="AA288" i="14"/>
  <c r="AA309" i="14"/>
  <c r="I19" i="11" s="1"/>
  <c r="DL330" i="14"/>
  <c r="DR309" i="14"/>
  <c r="DR333" i="14"/>
  <c r="DR223" i="14"/>
  <c r="DR31" i="14"/>
  <c r="AD26" i="14"/>
  <c r="AD31" i="14" s="1"/>
  <c r="DU33" i="14"/>
  <c r="CE34" i="14"/>
  <c r="DC33" i="14"/>
  <c r="U33" i="14" s="1"/>
  <c r="BM34" i="14"/>
  <c r="CZ31" i="14"/>
  <c r="CZ333" i="14"/>
  <c r="CZ223" i="14"/>
  <c r="CZ309" i="14"/>
  <c r="DU333" i="14"/>
  <c r="DU31" i="14"/>
  <c r="DU223" i="14"/>
  <c r="DU309" i="14"/>
  <c r="AI23" i="33"/>
  <c r="BS23" i="33" s="1"/>
  <c r="Y12" i="10"/>
  <c r="Z34" i="14"/>
  <c r="AM330" i="14"/>
  <c r="AB12" i="10"/>
  <c r="AL23" i="33"/>
  <c r="BV23" i="33" s="1"/>
  <c r="AD288" i="14"/>
  <c r="AD309" i="14"/>
  <c r="J19" i="11" s="1"/>
  <c r="AD333" i="14"/>
  <c r="DX33" i="14"/>
  <c r="AP33" i="14" s="1"/>
  <c r="CH34" i="14"/>
  <c r="DL309" i="14"/>
  <c r="DL223" i="14"/>
  <c r="DL333" i="14"/>
  <c r="DL31" i="14"/>
  <c r="J12" i="10"/>
  <c r="T23" i="33"/>
  <c r="BD23" i="33" s="1"/>
  <c r="DI309" i="14"/>
  <c r="EA24" i="14"/>
  <c r="AV24" i="14" s="1"/>
  <c r="DI31" i="14"/>
  <c r="DI223" i="14"/>
  <c r="DI333" i="14"/>
  <c r="AC23" i="33"/>
  <c r="BM23" i="33" s="1"/>
  <c r="S12" i="10"/>
  <c r="AJ24" i="14"/>
  <c r="AE12" i="10"/>
  <c r="AO23" i="33"/>
  <c r="BY23" i="33" s="1"/>
  <c r="AP26" i="14"/>
  <c r="AP330" i="14" s="1"/>
  <c r="X288" i="14"/>
  <c r="X309" i="14"/>
  <c r="H19" i="11" s="1"/>
  <c r="X333" i="14"/>
  <c r="X223" i="14"/>
  <c r="P38" i="10" s="1"/>
  <c r="X31" i="14"/>
  <c r="AK20" i="2"/>
  <c r="DR33" i="14"/>
  <c r="CB34" i="14"/>
  <c r="CK33" i="14"/>
  <c r="DI33" i="14"/>
  <c r="AA33" i="14" s="1"/>
  <c r="BS34" i="14"/>
  <c r="AM24" i="14"/>
  <c r="CW33" i="14"/>
  <c r="O33" i="14" s="1"/>
  <c r="BG34" i="14"/>
  <c r="DL33" i="14"/>
  <c r="AD33" i="14" s="1"/>
  <c r="BV34" i="14"/>
  <c r="DO223" i="14"/>
  <c r="DO333" i="14"/>
  <c r="DO309" i="14"/>
  <c r="DO31" i="14"/>
  <c r="N25" i="14"/>
  <c r="N34" i="14" s="1"/>
  <c r="N156" i="14" s="1"/>
  <c r="N163" i="14" s="1"/>
  <c r="BF34" i="14"/>
  <c r="BF156" i="14" s="1"/>
  <c r="BF163" i="14" s="1"/>
  <c r="X330" i="14"/>
  <c r="AR23" i="33"/>
  <c r="CB23" i="33" s="1"/>
  <c r="AH12" i="10"/>
  <c r="BR156" i="14"/>
  <c r="BR163" i="14" s="1"/>
  <c r="DF31" i="14"/>
  <c r="DF223" i="14"/>
  <c r="DF333" i="14"/>
  <c r="DF309" i="14"/>
  <c r="CK309" i="14"/>
  <c r="CK333" i="14"/>
  <c r="CK31" i="14"/>
  <c r="CK223" i="14"/>
  <c r="CW223" i="14"/>
  <c r="CW31" i="14"/>
  <c r="CW309" i="14"/>
  <c r="CW333" i="14"/>
  <c r="EA26" i="14"/>
  <c r="EA330" i="14" s="1"/>
  <c r="DF330" i="14"/>
  <c r="DF33" i="14"/>
  <c r="BP34" i="14"/>
  <c r="DC223" i="14"/>
  <c r="DC31" i="14"/>
  <c r="DC309" i="14"/>
  <c r="DC333" i="14"/>
  <c r="G12" i="10"/>
  <c r="Q23" i="33"/>
  <c r="BA23" i="33" s="1"/>
  <c r="U26" i="14"/>
  <c r="U31" i="14" s="1"/>
  <c r="CZ330" i="14"/>
  <c r="AS25" i="14"/>
  <c r="G109" i="15"/>
  <c r="O26" i="14"/>
  <c r="DX309" i="14"/>
  <c r="DX333" i="14"/>
  <c r="DX223" i="14"/>
  <c r="DX31" i="14"/>
  <c r="AA330" i="14" l="1"/>
  <c r="BG98" i="14"/>
  <c r="AA223" i="14"/>
  <c r="S38" i="10" s="1"/>
  <c r="C41" i="39"/>
  <c r="T52" i="8"/>
  <c r="AL52" i="8"/>
  <c r="AC52" i="8"/>
  <c r="Q52" i="8"/>
  <c r="K52" i="8"/>
  <c r="Z52" i="8"/>
  <c r="DC34" i="14"/>
  <c r="AD223" i="14"/>
  <c r="V38" i="10" s="1"/>
  <c r="DO34" i="14"/>
  <c r="CZ34" i="14"/>
  <c r="DX34" i="14"/>
  <c r="CW34" i="14"/>
  <c r="CE23" i="33"/>
  <c r="K23" i="33" s="1"/>
  <c r="AS24" i="14"/>
  <c r="E24" i="7" s="1"/>
  <c r="AD34" i="14"/>
  <c r="AA34" i="14"/>
  <c r="AR25" i="14"/>
  <c r="D25" i="7" s="1"/>
  <c r="BM111" i="14"/>
  <c r="BM98" i="14"/>
  <c r="BM114" i="14"/>
  <c r="BM95" i="14"/>
  <c r="BM122" i="14"/>
  <c r="BY122" i="14"/>
  <c r="BY95" i="14"/>
  <c r="BY111" i="14"/>
  <c r="BY98" i="14"/>
  <c r="BY114" i="14"/>
  <c r="BG114" i="14"/>
  <c r="BG111" i="14"/>
  <c r="BG95" i="14"/>
  <c r="BG122" i="14"/>
  <c r="BS114" i="14"/>
  <c r="BS98" i="14"/>
  <c r="BS111" i="14"/>
  <c r="BS95" i="14"/>
  <c r="CH98" i="14"/>
  <c r="CH122" i="14"/>
  <c r="CH114" i="14"/>
  <c r="CH111" i="14"/>
  <c r="CH95" i="14"/>
  <c r="AR34" i="14"/>
  <c r="AR156" i="14" s="1"/>
  <c r="AR163" i="14" s="1"/>
  <c r="Z156" i="14"/>
  <c r="Z163" i="14" s="1"/>
  <c r="DU34" i="14"/>
  <c r="AD330" i="14"/>
  <c r="AV26" i="14"/>
  <c r="U330" i="14"/>
  <c r="EA33" i="14"/>
  <c r="DR34" i="14"/>
  <c r="E20" i="2"/>
  <c r="N52" i="8"/>
  <c r="AP31" i="14"/>
  <c r="AP34" i="14" s="1"/>
  <c r="U223" i="14"/>
  <c r="M38" i="10" s="1"/>
  <c r="U34" i="14"/>
  <c r="AG34" i="14"/>
  <c r="G112" i="15"/>
  <c r="K109" i="15"/>
  <c r="K112" i="15" s="1"/>
  <c r="DF34" i="14"/>
  <c r="CK34" i="14"/>
  <c r="AJ33" i="14"/>
  <c r="R34" i="14"/>
  <c r="O31" i="14"/>
  <c r="O34" i="14" s="1"/>
  <c r="AP223" i="14"/>
  <c r="AH38" i="10" s="1"/>
  <c r="CB114" i="14"/>
  <c r="CB98" i="14"/>
  <c r="CB111" i="14"/>
  <c r="CB95" i="14"/>
  <c r="CB122" i="14"/>
  <c r="EA223" i="14"/>
  <c r="EA309" i="14"/>
  <c r="EA31" i="14"/>
  <c r="AV31" i="14" s="1"/>
  <c r="EA333" i="14"/>
  <c r="BV95" i="14"/>
  <c r="BV98" i="14"/>
  <c r="BV111" i="14"/>
  <c r="BV114" i="14"/>
  <c r="BV122" i="14"/>
  <c r="DL34" i="14"/>
  <c r="AM33" i="14"/>
  <c r="BJ122" i="14"/>
  <c r="BJ98" i="14"/>
  <c r="AI12" i="10"/>
  <c r="BP95" i="14"/>
  <c r="BP114" i="14"/>
  <c r="BP111" i="14"/>
  <c r="BP98" i="14"/>
  <c r="AM288" i="14"/>
  <c r="AM309" i="14"/>
  <c r="M19" i="11" s="1"/>
  <c r="AM31" i="14"/>
  <c r="AM223" i="14"/>
  <c r="AE38" i="10" s="1"/>
  <c r="AM333" i="14"/>
  <c r="CE98" i="14"/>
  <c r="CE122" i="14"/>
  <c r="CE95" i="14"/>
  <c r="CE114" i="14"/>
  <c r="CE111" i="14"/>
  <c r="AU23" i="33"/>
  <c r="E23" i="33"/>
  <c r="E25" i="7"/>
  <c r="T25" i="7" s="1"/>
  <c r="O330" i="14"/>
  <c r="X33" i="14"/>
  <c r="CJ34" i="14"/>
  <c r="CJ156" i="14" s="1"/>
  <c r="CJ163" i="14" s="1"/>
  <c r="AJ288" i="14"/>
  <c r="AJ223" i="14"/>
  <c r="AB38" i="10" s="1"/>
  <c r="AJ31" i="14"/>
  <c r="AJ309" i="14"/>
  <c r="L19" i="11" s="1"/>
  <c r="AJ333" i="14"/>
  <c r="DI34" i="14"/>
  <c r="W52" i="8"/>
  <c r="AS288" i="14"/>
  <c r="AS26" i="14"/>
  <c r="AS31" i="14" s="1"/>
  <c r="O223" i="14"/>
  <c r="G38" i="10" s="1"/>
  <c r="AS309" i="14" l="1"/>
  <c r="CK111" i="14"/>
  <c r="CK98" i="14"/>
  <c r="CK95" i="14"/>
  <c r="AO25" i="8"/>
  <c r="K22" i="17" s="1"/>
  <c r="AI52" i="8"/>
  <c r="AF52" i="8"/>
  <c r="AS333" i="14"/>
  <c r="O19" i="11"/>
  <c r="AI38" i="10"/>
  <c r="DU122" i="14"/>
  <c r="AM122" i="14" s="1"/>
  <c r="CZ114" i="14"/>
  <c r="R114" i="14" s="1"/>
  <c r="DL122" i="14"/>
  <c r="AD122" i="14" s="1"/>
  <c r="DR111" i="14"/>
  <c r="CB361" i="14"/>
  <c r="CB308" i="14"/>
  <c r="EA34" i="14"/>
  <c r="AV34" i="14" s="1"/>
  <c r="DX114" i="14"/>
  <c r="AP114" i="14" s="1"/>
  <c r="CW122" i="14"/>
  <c r="O122" i="14" s="1"/>
  <c r="DC114" i="14"/>
  <c r="U114" i="14" s="1"/>
  <c r="DX111" i="14"/>
  <c r="AP111" i="14" s="1"/>
  <c r="CH361" i="14"/>
  <c r="CH308" i="14"/>
  <c r="CE220" i="14"/>
  <c r="DU98" i="14"/>
  <c r="CZ95" i="14"/>
  <c r="BJ219" i="14"/>
  <c r="BJ359" i="14"/>
  <c r="BJ104" i="14"/>
  <c r="BJ306" i="14"/>
  <c r="BJ120" i="14"/>
  <c r="DL114" i="14"/>
  <c r="AD114" i="14" s="1"/>
  <c r="CB220" i="14"/>
  <c r="DR98" i="14"/>
  <c r="AJ98" i="14" s="1"/>
  <c r="DX122" i="14"/>
  <c r="AP122" i="14" s="1"/>
  <c r="CW98" i="14"/>
  <c r="BG220" i="14"/>
  <c r="DO114" i="14"/>
  <c r="AG114" i="14" s="1"/>
  <c r="DC98" i="14"/>
  <c r="BM220" i="14"/>
  <c r="CZ98" i="14"/>
  <c r="BJ220" i="14"/>
  <c r="E26" i="7"/>
  <c r="T26" i="7" s="1"/>
  <c r="BP220" i="14"/>
  <c r="DF98" i="14"/>
  <c r="X98" i="14" s="1"/>
  <c r="CZ122" i="14"/>
  <c r="R122" i="14" s="1"/>
  <c r="DL111" i="14"/>
  <c r="BV308" i="14"/>
  <c r="BV361" i="14"/>
  <c r="DR114" i="14"/>
  <c r="AJ114" i="14" s="1"/>
  <c r="CH220" i="14"/>
  <c r="DX98" i="14"/>
  <c r="BY220" i="14"/>
  <c r="DO98" i="14"/>
  <c r="DC111" i="14"/>
  <c r="BM308" i="14"/>
  <c r="BM361" i="14"/>
  <c r="T24" i="7"/>
  <c r="CB104" i="14"/>
  <c r="DR95" i="14"/>
  <c r="AJ95" i="14" s="1"/>
  <c r="CB359" i="14"/>
  <c r="CB219" i="14"/>
  <c r="CB306" i="14"/>
  <c r="CB120" i="14"/>
  <c r="X34" i="14"/>
  <c r="DF111" i="14"/>
  <c r="X111" i="14" s="1"/>
  <c r="BP308" i="14"/>
  <c r="BP361" i="14"/>
  <c r="AM34" i="14"/>
  <c r="DL98" i="14"/>
  <c r="BV220" i="14"/>
  <c r="AJ34" i="14"/>
  <c r="BS120" i="14"/>
  <c r="DI95" i="14"/>
  <c r="AA95" i="14" s="1"/>
  <c r="BS104" i="14"/>
  <c r="BS359" i="14"/>
  <c r="BS219" i="14"/>
  <c r="BS306" i="14"/>
  <c r="BG219" i="14"/>
  <c r="BG104" i="14"/>
  <c r="BG359" i="14"/>
  <c r="BG174" i="14" s="1"/>
  <c r="CW95" i="14"/>
  <c r="BG120" i="14"/>
  <c r="BG306" i="14"/>
  <c r="DO111" i="14"/>
  <c r="BY308" i="14"/>
  <c r="BY361" i="14"/>
  <c r="S25" i="7"/>
  <c r="S31" i="7" s="1"/>
  <c r="S34" i="7" s="1"/>
  <c r="S156" i="7" s="1"/>
  <c r="S163" i="7" s="1"/>
  <c r="S177" i="7" s="1"/>
  <c r="S186" i="7" s="1"/>
  <c r="S194" i="7" s="1"/>
  <c r="S199" i="7" s="1"/>
  <c r="D31" i="7"/>
  <c r="D34" i="7" s="1"/>
  <c r="D156" i="7" s="1"/>
  <c r="D163" i="7" s="1"/>
  <c r="D177" i="7" s="1"/>
  <c r="D186" i="7" s="1"/>
  <c r="D194" i="7" s="1"/>
  <c r="D199" i="7" s="1"/>
  <c r="BM306" i="14"/>
  <c r="BM219" i="14"/>
  <c r="BM359" i="14"/>
  <c r="BM120" i="14"/>
  <c r="DC95" i="14"/>
  <c r="U95" i="14" s="1"/>
  <c r="BM104" i="14"/>
  <c r="DF114" i="14"/>
  <c r="X114" i="14" s="1"/>
  <c r="BV306" i="14"/>
  <c r="BV104" i="14"/>
  <c r="DL95" i="14"/>
  <c r="AD95" i="14" s="1"/>
  <c r="BV359" i="14"/>
  <c r="BV120" i="14"/>
  <c r="BV219" i="14"/>
  <c r="AV33" i="14"/>
  <c r="DI111" i="14"/>
  <c r="AA111" i="14" s="1"/>
  <c r="BS361" i="14"/>
  <c r="BS308" i="14"/>
  <c r="CW111" i="14"/>
  <c r="O111" i="14" s="1"/>
  <c r="BG361" i="14"/>
  <c r="BG308" i="14"/>
  <c r="BY306" i="14"/>
  <c r="BY104" i="14"/>
  <c r="BY219" i="14"/>
  <c r="BY120" i="14"/>
  <c r="DO95" i="14"/>
  <c r="BY359" i="14"/>
  <c r="AS330" i="14"/>
  <c r="DU111" i="14"/>
  <c r="AM111" i="14" s="1"/>
  <c r="CE361" i="14"/>
  <c r="CE308" i="14"/>
  <c r="BP306" i="14"/>
  <c r="DF95" i="14"/>
  <c r="X95" i="14" s="1"/>
  <c r="BP359" i="14"/>
  <c r="BP120" i="14"/>
  <c r="BP219" i="14"/>
  <c r="BP104" i="14"/>
  <c r="BS220" i="14"/>
  <c r="DI98" i="14"/>
  <c r="CW114" i="14"/>
  <c r="O114" i="14" s="1"/>
  <c r="DO122" i="14"/>
  <c r="AG122" i="14" s="1"/>
  <c r="CE306" i="14"/>
  <c r="CE104" i="14"/>
  <c r="CE219" i="14"/>
  <c r="CE120" i="14"/>
  <c r="CE359" i="14"/>
  <c r="DU95" i="14"/>
  <c r="DU114" i="14"/>
  <c r="AM114" i="14" s="1"/>
  <c r="CZ111" i="14"/>
  <c r="BJ308" i="14"/>
  <c r="BJ361" i="14"/>
  <c r="DR122" i="14"/>
  <c r="AJ122" i="14" s="1"/>
  <c r="CH306" i="14"/>
  <c r="CH104" i="14"/>
  <c r="CH219" i="14"/>
  <c r="DX95" i="14"/>
  <c r="AP95" i="14" s="1"/>
  <c r="CH359" i="14"/>
  <c r="CH120" i="14"/>
  <c r="DI114" i="14"/>
  <c r="AA114" i="14" s="1"/>
  <c r="CK114" i="14"/>
  <c r="DC122" i="14"/>
  <c r="U122" i="14" s="1"/>
  <c r="AS33" i="14"/>
  <c r="AS223" i="14"/>
  <c r="T31" i="7" l="1"/>
  <c r="E31" i="7"/>
  <c r="DO220" i="14"/>
  <c r="BM166" i="14"/>
  <c r="BM168" i="14"/>
  <c r="E52" i="8"/>
  <c r="DC308" i="14"/>
  <c r="DC220" i="14"/>
  <c r="DX220" i="14"/>
  <c r="CZ308" i="14"/>
  <c r="CZ220" i="14"/>
  <c r="DO308" i="14"/>
  <c r="U111" i="14"/>
  <c r="U287" i="14" s="1"/>
  <c r="DL308" i="14"/>
  <c r="DL220" i="14"/>
  <c r="AP98" i="14"/>
  <c r="AP306" i="14" s="1"/>
  <c r="R98" i="14"/>
  <c r="R220" i="14" s="1"/>
  <c r="J35" i="10" s="1"/>
  <c r="R111" i="14"/>
  <c r="R287" i="14" s="1"/>
  <c r="U98" i="14"/>
  <c r="U220" i="14" s="1"/>
  <c r="M35" i="10" s="1"/>
  <c r="AS114" i="14"/>
  <c r="AJ220" i="14"/>
  <c r="AB35" i="10" s="1"/>
  <c r="CW220" i="14"/>
  <c r="X308" i="14"/>
  <c r="H18" i="11" s="1"/>
  <c r="X287" i="14"/>
  <c r="CZ306" i="14"/>
  <c r="CZ104" i="14"/>
  <c r="CZ219" i="14"/>
  <c r="AP308" i="14"/>
  <c r="N18" i="11" s="1"/>
  <c r="AP287" i="14"/>
  <c r="AP219" i="14"/>
  <c r="AO14" i="33"/>
  <c r="AE8" i="10"/>
  <c r="EA98" i="14"/>
  <c r="AV98" i="14" s="1"/>
  <c r="DI220" i="14"/>
  <c r="DF120" i="14"/>
  <c r="X120" i="14" s="1"/>
  <c r="DL120" i="14"/>
  <c r="AD120" i="14" s="1"/>
  <c r="V9" i="10"/>
  <c r="AF15" i="33"/>
  <c r="BP15" i="33" s="1"/>
  <c r="CB105" i="14"/>
  <c r="DF220" i="14"/>
  <c r="O98" i="14"/>
  <c r="O220" i="14" s="1"/>
  <c r="G35" i="10" s="1"/>
  <c r="CZ120" i="14"/>
  <c r="R120" i="14" s="1"/>
  <c r="DU220" i="14"/>
  <c r="Y8" i="10"/>
  <c r="AI14" i="33"/>
  <c r="J9" i="10"/>
  <c r="T15" i="33"/>
  <c r="BD15" i="33" s="1"/>
  <c r="DU308" i="14"/>
  <c r="BY105" i="14"/>
  <c r="CE105" i="14"/>
  <c r="AA98" i="14"/>
  <c r="AA306" i="14" s="1"/>
  <c r="BP372" i="14"/>
  <c r="BP374" i="14" s="1"/>
  <c r="BP168" i="14"/>
  <c r="BP166" i="14"/>
  <c r="BP174" i="14"/>
  <c r="EA111" i="14"/>
  <c r="AV111" i="14" s="1"/>
  <c r="DI308" i="14"/>
  <c r="BV372" i="14"/>
  <c r="BV374" i="14" s="1"/>
  <c r="BV166" i="14"/>
  <c r="BV174" i="14"/>
  <c r="BV168" i="14"/>
  <c r="CW120" i="14"/>
  <c r="O120" i="14" s="1"/>
  <c r="AC14" i="33"/>
  <c r="S8" i="10"/>
  <c r="AD98" i="14"/>
  <c r="AD220" i="14" s="1"/>
  <c r="V35" i="10" s="1"/>
  <c r="X220" i="14"/>
  <c r="P35" i="10" s="1"/>
  <c r="AM98" i="14"/>
  <c r="AM220" i="14" s="1"/>
  <c r="AE35" i="10" s="1"/>
  <c r="X285" i="14"/>
  <c r="X104" i="14"/>
  <c r="X219" i="14"/>
  <c r="X306" i="14"/>
  <c r="AR15" i="33"/>
  <c r="CB15" i="33" s="1"/>
  <c r="AH9" i="10"/>
  <c r="S9" i="10"/>
  <c r="AC15" i="33"/>
  <c r="BM15" i="33" s="1"/>
  <c r="DF104" i="14"/>
  <c r="DF219" i="14"/>
  <c r="DF306" i="14"/>
  <c r="CK361" i="14"/>
  <c r="CK308" i="14"/>
  <c r="CW306" i="14"/>
  <c r="CW219" i="14"/>
  <c r="CW104" i="14"/>
  <c r="BS166" i="14"/>
  <c r="BS174" i="14"/>
  <c r="BS168" i="14"/>
  <c r="BS372" i="14"/>
  <c r="BS374" i="14" s="1"/>
  <c r="DR120" i="14"/>
  <c r="AJ120" i="14" s="1"/>
  <c r="AG98" i="14"/>
  <c r="AG220" i="14" s="1"/>
  <c r="Y35" i="10" s="1"/>
  <c r="P9" i="10"/>
  <c r="Z15" i="33"/>
  <c r="BJ15" i="33" s="1"/>
  <c r="W15" i="33"/>
  <c r="BG15" i="33" s="1"/>
  <c r="M9" i="10"/>
  <c r="BJ105" i="14"/>
  <c r="AO15" i="33"/>
  <c r="BY15" i="33" s="1"/>
  <c r="AE9" i="10"/>
  <c r="V8" i="10"/>
  <c r="AF14" i="33"/>
  <c r="DI120" i="14"/>
  <c r="AA120" i="14" s="1"/>
  <c r="CK120" i="14"/>
  <c r="DX120" i="14"/>
  <c r="AP120" i="14" s="1"/>
  <c r="BY372" i="14"/>
  <c r="BY374" i="14" s="1"/>
  <c r="BY166" i="14"/>
  <c r="BY168" i="14"/>
  <c r="BY174" i="14"/>
  <c r="AA287" i="14"/>
  <c r="AA308" i="14"/>
  <c r="I18" i="11" s="1"/>
  <c r="DL219" i="14"/>
  <c r="DL104" i="14"/>
  <c r="DL306" i="14"/>
  <c r="BM105" i="14"/>
  <c r="O95" i="14"/>
  <c r="CK219" i="14"/>
  <c r="CK306" i="14"/>
  <c r="CK359" i="14"/>
  <c r="CK104" i="14"/>
  <c r="M8" i="10"/>
  <c r="W14" i="33"/>
  <c r="AJ285" i="14"/>
  <c r="AJ306" i="14"/>
  <c r="AJ104" i="14"/>
  <c r="EA114" i="14"/>
  <c r="AV114" i="14" s="1"/>
  <c r="CK220" i="14"/>
  <c r="CH166" i="14"/>
  <c r="CH372" i="14"/>
  <c r="CH374" i="14" s="1"/>
  <c r="CH174" i="14"/>
  <c r="CH168" i="14"/>
  <c r="DU306" i="14"/>
  <c r="DU219" i="14"/>
  <c r="DU104" i="14"/>
  <c r="BV105" i="14"/>
  <c r="DC219" i="14"/>
  <c r="DC104" i="14"/>
  <c r="DC306" i="14"/>
  <c r="BG168" i="14"/>
  <c r="BG166" i="14"/>
  <c r="BG173" i="14" s="1"/>
  <c r="BG372" i="14"/>
  <c r="BG374" i="14" s="1"/>
  <c r="BS105" i="14"/>
  <c r="DF308" i="14"/>
  <c r="AB8" i="10"/>
  <c r="AL14" i="33"/>
  <c r="Y9" i="10"/>
  <c r="AI15" i="33"/>
  <c r="BS15" i="33" s="1"/>
  <c r="DR220" i="14"/>
  <c r="BJ166" i="14"/>
  <c r="BJ173" i="14" s="1"/>
  <c r="BJ168" i="14"/>
  <c r="BJ174" i="14"/>
  <c r="BJ372" i="14"/>
  <c r="BJ374" i="14" s="1"/>
  <c r="CH105" i="14"/>
  <c r="DU120" i="14"/>
  <c r="AM120" i="14" s="1"/>
  <c r="AM308" i="14"/>
  <c r="M18" i="11" s="1"/>
  <c r="AM287" i="14"/>
  <c r="DO219" i="14"/>
  <c r="DO104" i="14"/>
  <c r="DO306" i="14"/>
  <c r="E33" i="7"/>
  <c r="AS34" i="14"/>
  <c r="DX306" i="14"/>
  <c r="DX104" i="14"/>
  <c r="DX219" i="14"/>
  <c r="CE174" i="14"/>
  <c r="CE168" i="14"/>
  <c r="CE166" i="14"/>
  <c r="CE173" i="14" s="1"/>
  <c r="CE372" i="14"/>
  <c r="CE374" i="14" s="1"/>
  <c r="BP105" i="14"/>
  <c r="DO120" i="14"/>
  <c r="AG120" i="14" s="1"/>
  <c r="CW308" i="14"/>
  <c r="DC120" i="14"/>
  <c r="U120" i="14" s="1"/>
  <c r="BG105" i="14"/>
  <c r="BG121" i="14" s="1"/>
  <c r="DI306" i="14"/>
  <c r="DI104" i="14"/>
  <c r="DI219" i="14"/>
  <c r="EA95" i="14"/>
  <c r="CB174" i="14"/>
  <c r="CB166" i="14"/>
  <c r="CB372" i="14"/>
  <c r="CB374" i="14" s="1"/>
  <c r="CB168" i="14"/>
  <c r="AD111" i="14"/>
  <c r="AD219" i="14" s="1"/>
  <c r="AB9" i="10"/>
  <c r="AL15" i="33"/>
  <c r="BV15" i="33" s="1"/>
  <c r="R95" i="14"/>
  <c r="DR308" i="14"/>
  <c r="AH8" i="10"/>
  <c r="AR14" i="33"/>
  <c r="AM95" i="14"/>
  <c r="P8" i="10"/>
  <c r="Z14" i="33"/>
  <c r="AG95" i="14"/>
  <c r="O308" i="14"/>
  <c r="E18" i="11" s="1"/>
  <c r="O287" i="14"/>
  <c r="BM174" i="14"/>
  <c r="BM173" i="14"/>
  <c r="BM372" i="14"/>
  <c r="BM374" i="14" s="1"/>
  <c r="AG111" i="14"/>
  <c r="Q14" i="33"/>
  <c r="G8" i="10"/>
  <c r="AA219" i="14"/>
  <c r="DR219" i="14"/>
  <c r="DR104" i="14"/>
  <c r="DR306" i="14"/>
  <c r="G9" i="10"/>
  <c r="Q15" i="33"/>
  <c r="BA15" i="33" s="1"/>
  <c r="J8" i="10"/>
  <c r="T14" i="33"/>
  <c r="DX308" i="14"/>
  <c r="AJ111" i="14"/>
  <c r="AJ219" i="14" s="1"/>
  <c r="BJ169" i="14" l="1"/>
  <c r="CZ169" i="14" s="1"/>
  <c r="R169" i="14" s="1"/>
  <c r="CK174" i="14"/>
  <c r="CK166" i="14"/>
  <c r="BS173" i="14"/>
  <c r="DI173" i="14" s="1"/>
  <c r="AA173" i="14" s="1"/>
  <c r="E114" i="7"/>
  <c r="T114" i="7" s="1"/>
  <c r="AP220" i="14"/>
  <c r="AH35" i="10" s="1"/>
  <c r="AP104" i="14"/>
  <c r="AP285" i="14"/>
  <c r="U219" i="14"/>
  <c r="M34" i="10" s="1"/>
  <c r="U308" i="14"/>
  <c r="G18" i="11" s="1"/>
  <c r="U104" i="14"/>
  <c r="AD285" i="14"/>
  <c r="U306" i="14"/>
  <c r="G16" i="11" s="1"/>
  <c r="R308" i="14"/>
  <c r="F18" i="11" s="1"/>
  <c r="U285" i="14"/>
  <c r="AA285" i="14"/>
  <c r="AA104" i="14"/>
  <c r="CB169" i="14"/>
  <c r="DR169" i="14" s="1"/>
  <c r="AJ169" i="14" s="1"/>
  <c r="AD306" i="14"/>
  <c r="J16" i="11" s="1"/>
  <c r="CE169" i="14"/>
  <c r="DU169" i="14" s="1"/>
  <c r="AM169" i="14" s="1"/>
  <c r="AD104" i="14"/>
  <c r="BP169" i="14"/>
  <c r="DF169" i="14" s="1"/>
  <c r="X169" i="14" s="1"/>
  <c r="BV169" i="14"/>
  <c r="DL169" i="14" s="1"/>
  <c r="AD169" i="14" s="1"/>
  <c r="CK372" i="14"/>
  <c r="CK374" i="14" s="1"/>
  <c r="BG169" i="14"/>
  <c r="CW169" i="14" s="1"/>
  <c r="O169" i="14" s="1"/>
  <c r="BM169" i="14"/>
  <c r="DC169" i="14" s="1"/>
  <c r="U169" i="14" s="1"/>
  <c r="AS95" i="14"/>
  <c r="CH169" i="14"/>
  <c r="DX169" i="14" s="1"/>
  <c r="AP169" i="14" s="1"/>
  <c r="BS169" i="14"/>
  <c r="AB34" i="10"/>
  <c r="CZ173" i="14"/>
  <c r="R173" i="14" s="1"/>
  <c r="V34" i="10"/>
  <c r="AH34" i="10"/>
  <c r="DU166" i="14"/>
  <c r="AM166" i="14" s="1"/>
  <c r="CH173" i="14"/>
  <c r="AU14" i="33"/>
  <c r="E14" i="33"/>
  <c r="BP14" i="33"/>
  <c r="DI166" i="14"/>
  <c r="DF166" i="14"/>
  <c r="EA220" i="14"/>
  <c r="N16" i="11"/>
  <c r="AM285" i="14"/>
  <c r="AM219" i="14"/>
  <c r="AM104" i="14"/>
  <c r="AM306" i="14"/>
  <c r="AD287" i="14"/>
  <c r="AS287" i="14" s="1"/>
  <c r="AD308" i="14"/>
  <c r="J18" i="11" s="1"/>
  <c r="EA219" i="14"/>
  <c r="EA306" i="14"/>
  <c r="EA104" i="14"/>
  <c r="AV104" i="14" s="1"/>
  <c r="BG14" i="33"/>
  <c r="DO166" i="14"/>
  <c r="AG166" i="14" s="1"/>
  <c r="BA14" i="33"/>
  <c r="DR168" i="14"/>
  <c r="AJ168" i="14" s="1"/>
  <c r="CE15" i="33"/>
  <c r="K15" i="33" s="1"/>
  <c r="AG308" i="14"/>
  <c r="K18" i="11" s="1"/>
  <c r="AG287" i="14"/>
  <c r="CB14" i="33"/>
  <c r="DU168" i="14"/>
  <c r="AM168" i="14" s="1"/>
  <c r="CZ174" i="14"/>
  <c r="R174" i="14" s="1"/>
  <c r="CW173" i="14"/>
  <c r="O173" i="14" s="1"/>
  <c r="DX168" i="14"/>
  <c r="AP168" i="14" s="1"/>
  <c r="O285" i="14"/>
  <c r="O306" i="14"/>
  <c r="O219" i="14"/>
  <c r="O104" i="14"/>
  <c r="H16" i="11"/>
  <c r="BM14" i="33"/>
  <c r="BV173" i="14"/>
  <c r="DF168" i="14"/>
  <c r="X168" i="14" s="1"/>
  <c r="DI174" i="14"/>
  <c r="AA174" i="14" s="1"/>
  <c r="BV14" i="33"/>
  <c r="BV225" i="14"/>
  <c r="DL105" i="14"/>
  <c r="AD105" i="14" s="1"/>
  <c r="DX174" i="14"/>
  <c r="AP174" i="14" s="1"/>
  <c r="DC105" i="14"/>
  <c r="BM225" i="14"/>
  <c r="AS111" i="14"/>
  <c r="DC173" i="14"/>
  <c r="U173" i="14" s="1"/>
  <c r="DU173" i="14"/>
  <c r="AM173" i="14" s="1"/>
  <c r="AG285" i="14"/>
  <c r="AG306" i="14"/>
  <c r="AG219" i="14"/>
  <c r="AG104" i="14"/>
  <c r="DR166" i="14"/>
  <c r="AJ166" i="14" s="1"/>
  <c r="CW121" i="14"/>
  <c r="O121" i="14" s="1"/>
  <c r="DU174" i="14"/>
  <c r="AM174" i="14" s="1"/>
  <c r="CW174" i="14"/>
  <c r="O174" i="14" s="1"/>
  <c r="BY173" i="14"/>
  <c r="P34" i="10"/>
  <c r="EA308" i="14"/>
  <c r="AS98" i="14"/>
  <c r="AA220" i="14"/>
  <c r="S35" i="10" s="1"/>
  <c r="BY14" i="33"/>
  <c r="DO105" i="14"/>
  <c r="AG105" i="14" s="1"/>
  <c r="BY225" i="14"/>
  <c r="AI9" i="10"/>
  <c r="AJ308" i="14"/>
  <c r="L18" i="11" s="1"/>
  <c r="AJ287" i="14"/>
  <c r="S34" i="10"/>
  <c r="DC168" i="14"/>
  <c r="U168" i="14" s="1"/>
  <c r="R306" i="14"/>
  <c r="R104" i="14"/>
  <c r="R219" i="14"/>
  <c r="R285" i="14"/>
  <c r="CB173" i="14"/>
  <c r="CW105" i="14"/>
  <c r="O105" i="14" s="1"/>
  <c r="BG225" i="14"/>
  <c r="BG334" i="14"/>
  <c r="DF105" i="14"/>
  <c r="X105" i="14" s="1"/>
  <c r="BP225" i="14"/>
  <c r="T33" i="7"/>
  <c r="T34" i="7" s="1"/>
  <c r="E34" i="7"/>
  <c r="CZ168" i="14"/>
  <c r="R168" i="14" s="1"/>
  <c r="CW166" i="14"/>
  <c r="O166" i="14" s="1"/>
  <c r="L16" i="11"/>
  <c r="AV95" i="14"/>
  <c r="DO174" i="14"/>
  <c r="AG174" i="14" s="1"/>
  <c r="CE225" i="14"/>
  <c r="DU105" i="14"/>
  <c r="DR105" i="14"/>
  <c r="AJ105" i="14" s="1"/>
  <c r="CB225" i="14"/>
  <c r="DL166" i="14"/>
  <c r="I16" i="11"/>
  <c r="DC166" i="14"/>
  <c r="U166" i="14" s="1"/>
  <c r="BJ14" i="33"/>
  <c r="DR174" i="14"/>
  <c r="AJ174" i="14" s="1"/>
  <c r="BG126" i="14"/>
  <c r="BG128" i="14" s="1"/>
  <c r="CZ166" i="14"/>
  <c r="R166" i="14" s="1"/>
  <c r="CW168" i="14"/>
  <c r="O168" i="14" s="1"/>
  <c r="DX166" i="14"/>
  <c r="AP166" i="14" s="1"/>
  <c r="BY169" i="14"/>
  <c r="EA120" i="14"/>
  <c r="AV120" i="14" s="1"/>
  <c r="BJ225" i="14"/>
  <c r="CZ105" i="14"/>
  <c r="R105" i="14" s="1"/>
  <c r="DL168" i="14"/>
  <c r="AD168" i="14" s="1"/>
  <c r="BP173" i="14"/>
  <c r="BS14" i="33"/>
  <c r="BD14" i="33"/>
  <c r="AI8" i="10"/>
  <c r="DC174" i="14"/>
  <c r="U174" i="14" s="1"/>
  <c r="CH225" i="14"/>
  <c r="DX105" i="14"/>
  <c r="DI105" i="14"/>
  <c r="AA105" i="14" s="1"/>
  <c r="BS225" i="14"/>
  <c r="CK105" i="14"/>
  <c r="E15" i="33"/>
  <c r="AU15" i="33"/>
  <c r="DO168" i="14"/>
  <c r="AG168" i="14" s="1"/>
  <c r="AS120" i="14"/>
  <c r="CK168" i="14"/>
  <c r="DI168" i="14"/>
  <c r="AA168" i="14" s="1"/>
  <c r="DL174" i="14"/>
  <c r="AD174" i="14" s="1"/>
  <c r="DF174" i="14"/>
  <c r="X174" i="14" s="1"/>
  <c r="CK173" i="14" l="1"/>
  <c r="F64" i="17" s="1"/>
  <c r="CK169" i="14"/>
  <c r="DI169" i="14"/>
  <c r="AA169" i="14" s="1"/>
  <c r="AI35" i="10"/>
  <c r="E120" i="7"/>
  <c r="T120" i="7" s="1"/>
  <c r="AO22" i="8"/>
  <c r="AS285" i="14"/>
  <c r="AS104" i="14"/>
  <c r="G42" i="17" s="1"/>
  <c r="AS306" i="14"/>
  <c r="E95" i="7"/>
  <c r="T95" i="7" s="1"/>
  <c r="O18" i="11"/>
  <c r="AS174" i="14"/>
  <c r="AD225" i="14"/>
  <c r="R225" i="14"/>
  <c r="AG225" i="14"/>
  <c r="AJ225" i="14"/>
  <c r="G34" i="10"/>
  <c r="DU225" i="14"/>
  <c r="X225" i="14"/>
  <c r="F52" i="17"/>
  <c r="J14" i="10"/>
  <c r="T25" i="33"/>
  <c r="AD166" i="14"/>
  <c r="AM105" i="14"/>
  <c r="J24" i="2"/>
  <c r="J34" i="10"/>
  <c r="BG227" i="14"/>
  <c r="E111" i="7"/>
  <c r="T111" i="7" s="1"/>
  <c r="AS308" i="14"/>
  <c r="F40" i="17"/>
  <c r="AS219" i="14"/>
  <c r="AA225" i="14"/>
  <c r="DC225" i="14"/>
  <c r="M16" i="11"/>
  <c r="DX225" i="14"/>
  <c r="AO25" i="33"/>
  <c r="AE14" i="10"/>
  <c r="DO225" i="14"/>
  <c r="DL173" i="14"/>
  <c r="AD173" i="14" s="1"/>
  <c r="CE14" i="33"/>
  <c r="AE34" i="10"/>
  <c r="P14" i="10"/>
  <c r="Z25" i="33"/>
  <c r="DR173" i="14"/>
  <c r="AJ173" i="14" s="1"/>
  <c r="AS168" i="14"/>
  <c r="CZ225" i="14"/>
  <c r="BG129" i="14"/>
  <c r="BG156" i="14" s="1"/>
  <c r="CW128" i="14"/>
  <c r="AR25" i="33"/>
  <c r="AH14" i="10"/>
  <c r="AO21" i="8"/>
  <c r="AL25" i="33"/>
  <c r="AB14" i="10"/>
  <c r="O225" i="14"/>
  <c r="F16" i="11"/>
  <c r="X166" i="14"/>
  <c r="DX173" i="14"/>
  <c r="AP173" i="14" s="1"/>
  <c r="AF25" i="33"/>
  <c r="V14" i="10"/>
  <c r="Y14" i="10"/>
  <c r="AI25" i="33"/>
  <c r="CK225" i="14"/>
  <c r="AP105" i="14"/>
  <c r="DO169" i="14"/>
  <c r="AG169" i="14" s="1"/>
  <c r="G14" i="10"/>
  <c r="Q25" i="33"/>
  <c r="E98" i="7"/>
  <c r="T98" i="7" s="1"/>
  <c r="AS220" i="14"/>
  <c r="Y34" i="10"/>
  <c r="W25" i="33"/>
  <c r="M14" i="10"/>
  <c r="O334" i="14"/>
  <c r="DO173" i="14"/>
  <c r="AG173" i="14" s="1"/>
  <c r="EA174" i="14"/>
  <c r="AV174" i="14" s="1"/>
  <c r="S14" i="10"/>
  <c r="AC25" i="33"/>
  <c r="DR225" i="14"/>
  <c r="CW225" i="14"/>
  <c r="CW334" i="14"/>
  <c r="K16" i="11"/>
  <c r="U105" i="14"/>
  <c r="DL225" i="14"/>
  <c r="O126" i="14"/>
  <c r="EA166" i="14"/>
  <c r="EA168" i="14"/>
  <c r="AV168" i="14" s="1"/>
  <c r="DI225" i="14"/>
  <c r="EA105" i="14"/>
  <c r="AV105" i="14" s="1"/>
  <c r="DF173" i="14"/>
  <c r="X173" i="14" s="1"/>
  <c r="DF225" i="14"/>
  <c r="CW126" i="14"/>
  <c r="E16" i="11"/>
  <c r="AA166" i="14"/>
  <c r="AS169" i="14" l="1"/>
  <c r="AS173" i="14"/>
  <c r="U225" i="14"/>
  <c r="BG25" i="33"/>
  <c r="BS25" i="33"/>
  <c r="BY25" i="33"/>
  <c r="AM225" i="14"/>
  <c r="AI34" i="10"/>
  <c r="CB25" i="33"/>
  <c r="P40" i="10"/>
  <c r="H39" i="11"/>
  <c r="S40" i="10"/>
  <c r="I39" i="11"/>
  <c r="V40" i="10"/>
  <c r="J39" i="11"/>
  <c r="AP225" i="14"/>
  <c r="G48" i="17"/>
  <c r="G50" i="17" s="1"/>
  <c r="G44" i="17"/>
  <c r="BA25" i="33"/>
  <c r="EA173" i="14"/>
  <c r="AV173" i="14" s="1"/>
  <c r="AI14" i="10"/>
  <c r="G40" i="10"/>
  <c r="E39" i="11"/>
  <c r="BV25" i="33"/>
  <c r="AV166" i="14"/>
  <c r="AB40" i="10"/>
  <c r="BG170" i="14"/>
  <c r="BG163" i="14"/>
  <c r="D103" i="1" s="1"/>
  <c r="D105" i="1" s="1"/>
  <c r="BJ25" i="33"/>
  <c r="AS105" i="14"/>
  <c r="BD25" i="33"/>
  <c r="EA169" i="14"/>
  <c r="AV169" i="14" s="1"/>
  <c r="E25" i="33"/>
  <c r="AU25" i="33"/>
  <c r="B14" i="48"/>
  <c r="E168" i="7"/>
  <c r="T168" i="7" s="1"/>
  <c r="M39" i="11"/>
  <c r="Y40" i="10"/>
  <c r="O16" i="11"/>
  <c r="AS166" i="14"/>
  <c r="T104" i="7"/>
  <c r="F58" i="17"/>
  <c r="K14" i="33"/>
  <c r="J40" i="10"/>
  <c r="F39" i="11"/>
  <c r="B20" i="48"/>
  <c r="E174" i="7"/>
  <c r="T174" i="7" s="1"/>
  <c r="CW129" i="14"/>
  <c r="CW156" i="14" s="1"/>
  <c r="CW163" i="14" s="1"/>
  <c r="EA225" i="14"/>
  <c r="E104" i="7"/>
  <c r="BM25" i="33"/>
  <c r="BP25" i="33"/>
  <c r="CW227" i="14"/>
  <c r="O128" i="14"/>
  <c r="Q27" i="33"/>
  <c r="BA27" i="33" s="1"/>
  <c r="G16" i="10"/>
  <c r="H48" i="17" l="1"/>
  <c r="J48" i="17" s="1"/>
  <c r="H47" i="17"/>
  <c r="H49" i="17"/>
  <c r="K49" i="17" s="1"/>
  <c r="CW170" i="14"/>
  <c r="O170" i="14" s="1"/>
  <c r="BG339" i="14"/>
  <c r="J29" i="2" s="1"/>
  <c r="BG311" i="14"/>
  <c r="BG176" i="14"/>
  <c r="BG177" i="14" s="1"/>
  <c r="BG181" i="14" s="1"/>
  <c r="BG229" i="14"/>
  <c r="AO27" i="8"/>
  <c r="AH40" i="10"/>
  <c r="B15" i="48"/>
  <c r="E169" i="7"/>
  <c r="T169" i="7" s="1"/>
  <c r="E20" i="48"/>
  <c r="D20" i="48"/>
  <c r="F20" i="48"/>
  <c r="C20" i="48"/>
  <c r="B19" i="48"/>
  <c r="E173" i="7"/>
  <c r="T173" i="7" s="1"/>
  <c r="D14" i="48"/>
  <c r="E14" i="48"/>
  <c r="F14" i="48"/>
  <c r="C14" i="48"/>
  <c r="CE25" i="33"/>
  <c r="O129" i="14"/>
  <c r="O156" i="14" s="1"/>
  <c r="O163" i="14" s="1"/>
  <c r="O227" i="14"/>
  <c r="E105" i="7"/>
  <c r="T105" i="7" s="1"/>
  <c r="AS225" i="14"/>
  <c r="M40" i="10"/>
  <c r="G39" i="11"/>
  <c r="O39" i="11" s="1"/>
  <c r="B12" i="48"/>
  <c r="E166" i="7"/>
  <c r="H42" i="17"/>
  <c r="J42" i="17" s="1"/>
  <c r="H41" i="17"/>
  <c r="H43" i="17"/>
  <c r="K43" i="17" s="1"/>
  <c r="AE40" i="10"/>
  <c r="AI40" i="10" l="1"/>
  <c r="D15" i="48"/>
  <c r="F15" i="48"/>
  <c r="CW176" i="14"/>
  <c r="CW177" i="14" s="1"/>
  <c r="CW311" i="14"/>
  <c r="CW339" i="14"/>
  <c r="CW229" i="14"/>
  <c r="K25" i="33"/>
  <c r="BG340" i="14"/>
  <c r="J30" i="2" s="1"/>
  <c r="BG230" i="14"/>
  <c r="BG312" i="14"/>
  <c r="CW181" i="14"/>
  <c r="O181" i="14" s="1"/>
  <c r="BG185" i="14"/>
  <c r="BG188" i="14" s="1"/>
  <c r="O339" i="14"/>
  <c r="O176" i="14"/>
  <c r="O177" i="14" s="1"/>
  <c r="O311" i="14"/>
  <c r="E24" i="11" s="1"/>
  <c r="O229" i="14"/>
  <c r="G44" i="10" s="1"/>
  <c r="O291" i="14"/>
  <c r="G42" i="10"/>
  <c r="G60" i="17"/>
  <c r="F12" i="48"/>
  <c r="E12" i="48"/>
  <c r="C12" i="48"/>
  <c r="D12" i="48"/>
  <c r="G55" i="17"/>
  <c r="G61" i="17"/>
  <c r="T166" i="7"/>
  <c r="H44" i="17"/>
  <c r="I41" i="17"/>
  <c r="G20" i="48"/>
  <c r="K26" i="17"/>
  <c r="I47" i="17"/>
  <c r="M47" i="17" s="1"/>
  <c r="H50" i="17"/>
  <c r="Q29" i="33"/>
  <c r="G18" i="10"/>
  <c r="G14" i="48"/>
  <c r="G19" i="10" l="1"/>
  <c r="Q30" i="33"/>
  <c r="BA30" i="33" s="1"/>
  <c r="BA29" i="33"/>
  <c r="E7" i="11"/>
  <c r="EA181" i="14"/>
  <c r="CW340" i="14"/>
  <c r="CW230" i="14"/>
  <c r="CW185" i="14"/>
  <c r="CW188" i="14" s="1"/>
  <c r="CW312" i="14"/>
  <c r="M41" i="17"/>
  <c r="G59" i="17"/>
  <c r="G62" i="17" s="1"/>
  <c r="G54" i="17"/>
  <c r="G56" i="17" s="1"/>
  <c r="G12" i="48"/>
  <c r="O230" i="14"/>
  <c r="O340" i="14"/>
  <c r="O185" i="14"/>
  <c r="O188" i="14" s="1"/>
  <c r="O292" i="14"/>
  <c r="O312" i="14"/>
  <c r="E25" i="11" s="1"/>
  <c r="H54" i="17" l="1"/>
  <c r="J54" i="17" s="1"/>
  <c r="H55" i="17"/>
  <c r="K55" i="17" s="1"/>
  <c r="H53" i="17"/>
  <c r="G45" i="10"/>
  <c r="EA185" i="14"/>
  <c r="EA340" i="14"/>
  <c r="EA230" i="14"/>
  <c r="EA312" i="14"/>
  <c r="BA34" i="33"/>
  <c r="H61" i="17"/>
  <c r="K61" i="17" s="1"/>
  <c r="H59" i="17"/>
  <c r="H60" i="17"/>
  <c r="J60" i="17" s="1"/>
  <c r="E9" i="11"/>
  <c r="E26" i="11"/>
  <c r="H56" i="17" l="1"/>
  <c r="I53" i="17"/>
  <c r="G74" i="17"/>
  <c r="BG191" i="14"/>
  <c r="H62" i="17"/>
  <c r="I59" i="17"/>
  <c r="M58" i="17" s="1"/>
  <c r="BG231" i="14" l="1"/>
  <c r="G20" i="10" s="1"/>
  <c r="CW191" i="14"/>
  <c r="O191" i="14" s="1"/>
  <c r="BG194" i="14"/>
  <c r="BG196" i="14" s="1"/>
  <c r="BG337" i="14"/>
  <c r="BG310" i="14"/>
  <c r="M52" i="17"/>
  <c r="G72" i="17"/>
  <c r="O231" i="14" l="1"/>
  <c r="G46" i="10" s="1"/>
  <c r="O194" i="14"/>
  <c r="O196" i="14" s="1"/>
  <c r="O337" i="14"/>
  <c r="O290" i="14"/>
  <c r="O310" i="14"/>
  <c r="BG199" i="14"/>
  <c r="BG201" i="14" s="1"/>
  <c r="J27" i="2"/>
  <c r="CW194" i="14"/>
  <c r="CW196" i="14" s="1"/>
  <c r="CW231" i="14"/>
  <c r="EA191" i="14"/>
  <c r="CW337" i="14"/>
  <c r="BJ121" i="14" l="1"/>
  <c r="BG341" i="14"/>
  <c r="BG232" i="14"/>
  <c r="BG313" i="14"/>
  <c r="BG319" i="14" s="1"/>
  <c r="BG321" i="14" s="1"/>
  <c r="EA194" i="14"/>
  <c r="EA231" i="14"/>
  <c r="E20" i="11"/>
  <c r="CW199" i="14"/>
  <c r="CW201" i="14" s="1"/>
  <c r="Q32" i="33" l="1"/>
  <c r="Q34" i="33" s="1"/>
  <c r="CW310" i="14"/>
  <c r="E38" i="11"/>
  <c r="E21" i="11"/>
  <c r="CZ121" i="14"/>
  <c r="BJ334" i="14"/>
  <c r="BJ126" i="14"/>
  <c r="BJ128" i="14" s="1"/>
  <c r="BJ227" i="14" s="1"/>
  <c r="CW313" i="14"/>
  <c r="CW232" i="14"/>
  <c r="CW279" i="14" s="1"/>
  <c r="CW341" i="14"/>
  <c r="CW343" i="14" s="1"/>
  <c r="O199" i="14"/>
  <c r="G21" i="10"/>
  <c r="BG279" i="14"/>
  <c r="BG281" i="14" s="1"/>
  <c r="J31" i="2"/>
  <c r="BG343" i="14"/>
  <c r="BG345" i="14" s="1"/>
  <c r="M24" i="2" l="1"/>
  <c r="G24" i="10"/>
  <c r="CZ126" i="14"/>
  <c r="CZ334" i="14"/>
  <c r="J28" i="2"/>
  <c r="CW345" i="14"/>
  <c r="R121" i="14"/>
  <c r="K49" i="8"/>
  <c r="CW281" i="14"/>
  <c r="E3" i="11"/>
  <c r="E28" i="11"/>
  <c r="T27" i="33"/>
  <c r="J16" i="10"/>
  <c r="O232" i="14"/>
  <c r="O294" i="14"/>
  <c r="O297" i="14" s="1"/>
  <c r="O313" i="14"/>
  <c r="O341" i="14"/>
  <c r="O343" i="14" s="1"/>
  <c r="O345" i="14" s="1"/>
  <c r="O201" i="14"/>
  <c r="BJ129" i="14"/>
  <c r="BJ156" i="14" s="1"/>
  <c r="BJ170" i="14" s="1"/>
  <c r="CZ128" i="14"/>
  <c r="CZ337" i="14" s="1"/>
  <c r="CW319" i="14"/>
  <c r="CW321" i="14" s="1"/>
  <c r="CZ310" i="14" l="1"/>
  <c r="CZ227" i="14"/>
  <c r="R128" i="14"/>
  <c r="R227" i="14" s="1"/>
  <c r="CZ129" i="14"/>
  <c r="CZ156" i="14" s="1"/>
  <c r="CZ163" i="14" s="1"/>
  <c r="E30" i="11"/>
  <c r="O319" i="14"/>
  <c r="O321" i="14" s="1"/>
  <c r="BD27" i="33"/>
  <c r="G47" i="10"/>
  <c r="O279" i="14"/>
  <c r="O281" i="14" s="1"/>
  <c r="R126" i="14"/>
  <c r="R334" i="14"/>
  <c r="BJ163" i="14"/>
  <c r="G103" i="1" s="1"/>
  <c r="G105" i="1" s="1"/>
  <c r="J32" i="2"/>
  <c r="R129" i="14" l="1"/>
  <c r="R156" i="14" s="1"/>
  <c r="R163" i="14" s="1"/>
  <c r="E38" i="39"/>
  <c r="E49" i="39" s="1"/>
  <c r="E50" i="39" s="1"/>
  <c r="E4" i="11"/>
  <c r="CZ170" i="14"/>
  <c r="R170" i="14" s="1"/>
  <c r="BJ176" i="14"/>
  <c r="BJ177" i="14" s="1"/>
  <c r="BJ181" i="14" s="1"/>
  <c r="BJ229" i="14"/>
  <c r="BJ311" i="14"/>
  <c r="BJ339" i="14"/>
  <c r="M29" i="2" s="1"/>
  <c r="J42" i="10"/>
  <c r="G50" i="10"/>
  <c r="E32" i="11"/>
  <c r="R311" i="14" l="1"/>
  <c r="F24" i="11" s="1"/>
  <c r="R339" i="14"/>
  <c r="R229" i="14"/>
  <c r="R176" i="14"/>
  <c r="R177" i="14" s="1"/>
  <c r="R291" i="14"/>
  <c r="CZ339" i="14"/>
  <c r="CZ229" i="14"/>
  <c r="CZ176" i="14"/>
  <c r="CZ177" i="14" s="1"/>
  <c r="CZ188" i="14" s="1"/>
  <c r="CZ196" i="14" s="1"/>
  <c r="CZ311" i="14"/>
  <c r="BJ340" i="14"/>
  <c r="M30" i="2" s="1"/>
  <c r="BJ312" i="14"/>
  <c r="R181" i="14"/>
  <c r="BJ185" i="14"/>
  <c r="BJ188" i="14" s="1"/>
  <c r="BJ230" i="14"/>
  <c r="E6" i="11"/>
  <c r="J18" i="10"/>
  <c r="T29" i="33"/>
  <c r="BD29" i="33" l="1"/>
  <c r="E8" i="11"/>
  <c r="R230" i="14"/>
  <c r="J45" i="10" s="1"/>
  <c r="R340" i="14"/>
  <c r="R312" i="14"/>
  <c r="F25" i="11" s="1"/>
  <c r="F26" i="11" s="1"/>
  <c r="R292" i="14"/>
  <c r="R185" i="14"/>
  <c r="R188" i="14" s="1"/>
  <c r="J44" i="10"/>
  <c r="J19" i="10"/>
  <c r="T30" i="33"/>
  <c r="BD30" i="33" s="1"/>
  <c r="CZ199" i="14"/>
  <c r="F7" i="11"/>
  <c r="F9" i="11" l="1"/>
  <c r="E10" i="11"/>
  <c r="CZ341" i="14"/>
  <c r="CZ343" i="14" s="1"/>
  <c r="CZ313" i="14"/>
  <c r="CZ319" i="14" s="1"/>
  <c r="CZ232" i="14"/>
  <c r="CZ279" i="14" s="1"/>
  <c r="CZ201" i="14"/>
  <c r="T32" i="33" s="1"/>
  <c r="T34" i="33" s="1"/>
  <c r="BD34" i="33"/>
  <c r="CZ321" i="14" l="1"/>
  <c r="N49" i="8"/>
  <c r="CZ281" i="14"/>
  <c r="E12" i="11"/>
  <c r="CZ345" i="14"/>
  <c r="M28" i="2"/>
  <c r="BJ191" i="14"/>
  <c r="BJ231" i="14" l="1"/>
  <c r="J20" i="10" s="1"/>
  <c r="R191" i="14"/>
  <c r="BJ194" i="14"/>
  <c r="BJ196" i="14" s="1"/>
  <c r="BJ310" i="14"/>
  <c r="BJ337" i="14"/>
  <c r="M27" i="2" l="1"/>
  <c r="BJ199" i="14"/>
  <c r="R194" i="14"/>
  <c r="R196" i="14" s="1"/>
  <c r="R231" i="14"/>
  <c r="R290" i="14"/>
  <c r="R337" i="14"/>
  <c r="R310" i="14"/>
  <c r="J46" i="10" l="1"/>
  <c r="BJ232" i="14"/>
  <c r="BJ313" i="14"/>
  <c r="BJ319" i="14" s="1"/>
  <c r="BJ341" i="14"/>
  <c r="R199" i="14"/>
  <c r="R201" i="14" s="1"/>
  <c r="BJ201" i="14"/>
  <c r="F20" i="11"/>
  <c r="BJ321" i="14" l="1"/>
  <c r="F38" i="11"/>
  <c r="F21" i="11"/>
  <c r="BM121" i="14"/>
  <c r="R232" i="14"/>
  <c r="R341" i="14"/>
  <c r="R343" i="14" s="1"/>
  <c r="R345" i="14" s="1"/>
  <c r="R294" i="14"/>
  <c r="R313" i="14"/>
  <c r="M31" i="2"/>
  <c r="BJ343" i="14"/>
  <c r="BJ345" i="14" s="1"/>
  <c r="J21" i="10"/>
  <c r="BJ279" i="14"/>
  <c r="BJ281" i="14" s="1"/>
  <c r="M32" i="2" l="1"/>
  <c r="R297" i="14"/>
  <c r="Q297" i="14"/>
  <c r="J47" i="10"/>
  <c r="R279" i="14"/>
  <c r="R281" i="14" s="1"/>
  <c r="F30" i="11"/>
  <c r="R319" i="14"/>
  <c r="R321" i="14" s="1"/>
  <c r="DC121" i="14"/>
  <c r="U121" i="14" s="1"/>
  <c r="BM334" i="14"/>
  <c r="BM126" i="14"/>
  <c r="BM128" i="14" s="1"/>
  <c r="BM227" i="14" s="1"/>
  <c r="J24" i="10"/>
  <c r="F3" i="11"/>
  <c r="F28" i="11"/>
  <c r="F38" i="39" l="1"/>
  <c r="F49" i="39" s="1"/>
  <c r="F4" i="11"/>
  <c r="F6" i="11" s="1"/>
  <c r="BM129" i="14"/>
  <c r="BM156" i="14" s="1"/>
  <c r="DC128" i="14"/>
  <c r="DC337" i="14" s="1"/>
  <c r="P24" i="2"/>
  <c r="M16" i="10"/>
  <c r="W27" i="33"/>
  <c r="F32" i="11"/>
  <c r="U334" i="14"/>
  <c r="U126" i="14"/>
  <c r="J50" i="10"/>
  <c r="DC334" i="14"/>
  <c r="DC126" i="14"/>
  <c r="DC227" i="14" l="1"/>
  <c r="DC310" i="14"/>
  <c r="DC129" i="14"/>
  <c r="DC156" i="14" s="1"/>
  <c r="DC163" i="14" s="1"/>
  <c r="F8" i="11"/>
  <c r="U128" i="14"/>
  <c r="BM170" i="14"/>
  <c r="BM163" i="14"/>
  <c r="J103" i="1" s="1"/>
  <c r="J105" i="1" s="1"/>
  <c r="BG27" i="33"/>
  <c r="F10" i="11" l="1"/>
  <c r="U129" i="14"/>
  <c r="U156" i="14" s="1"/>
  <c r="U163" i="14" s="1"/>
  <c r="U227" i="14"/>
  <c r="DC170" i="14"/>
  <c r="BM339" i="14"/>
  <c r="P29" i="2" s="1"/>
  <c r="BM311" i="14"/>
  <c r="BM176" i="14"/>
  <c r="BM177" i="14" s="1"/>
  <c r="BM229" i="14"/>
  <c r="M42" i="10" l="1"/>
  <c r="W29" i="33"/>
  <c r="M18" i="10"/>
  <c r="BM181" i="14"/>
  <c r="DC339" i="14"/>
  <c r="DC311" i="14"/>
  <c r="DC176" i="14"/>
  <c r="DC177" i="14" s="1"/>
  <c r="DC188" i="14" s="1"/>
  <c r="DC196" i="14" s="1"/>
  <c r="DC229" i="14"/>
  <c r="U170" i="14"/>
  <c r="F12" i="11"/>
  <c r="U339" i="14" l="1"/>
  <c r="U229" i="14"/>
  <c r="U176" i="14"/>
  <c r="U177" i="14" s="1"/>
  <c r="U311" i="14"/>
  <c r="G24" i="11" s="1"/>
  <c r="U291" i="14"/>
  <c r="BG29" i="33"/>
  <c r="DC199" i="14"/>
  <c r="DC201" i="14" s="1"/>
  <c r="W32" i="33" s="1"/>
  <c r="BM312" i="14"/>
  <c r="U181" i="14"/>
  <c r="BM230" i="14"/>
  <c r="BM340" i="14"/>
  <c r="P30" i="2" s="1"/>
  <c r="BM185" i="14"/>
  <c r="BM188" i="14" s="1"/>
  <c r="U312" i="14" l="1"/>
  <c r="G25" i="11" s="1"/>
  <c r="G26" i="11" s="1"/>
  <c r="U292" i="14"/>
  <c r="U230" i="14"/>
  <c r="M45" i="10" s="1"/>
  <c r="U185" i="14"/>
  <c r="U188" i="14" s="1"/>
  <c r="U340" i="14"/>
  <c r="DC313" i="14"/>
  <c r="DC319" i="14" s="1"/>
  <c r="DC321" i="14" s="1"/>
  <c r="DC341" i="14"/>
  <c r="DC343" i="14" s="1"/>
  <c r="DC232" i="14"/>
  <c r="DC279" i="14" s="1"/>
  <c r="W30" i="33"/>
  <c r="M19" i="10"/>
  <c r="G7" i="11"/>
  <c r="M44" i="10"/>
  <c r="Q49" i="8" l="1"/>
  <c r="DC281" i="14"/>
  <c r="DC345" i="14"/>
  <c r="P28" i="2"/>
  <c r="BG30" i="33"/>
  <c r="W34" i="33"/>
  <c r="G9" i="11"/>
  <c r="BG34" i="33" l="1"/>
  <c r="BM191" i="14" l="1"/>
  <c r="BM194" i="14" l="1"/>
  <c r="BM196" i="14" s="1"/>
  <c r="U191" i="14"/>
  <c r="BM231" i="14"/>
  <c r="M20" i="10" s="1"/>
  <c r="BM310" i="14"/>
  <c r="BM337" i="14"/>
  <c r="P27" i="2" l="1"/>
  <c r="U194" i="14"/>
  <c r="U196" i="14" s="1"/>
  <c r="U231" i="14"/>
  <c r="M46" i="10" s="1"/>
  <c r="U310" i="14"/>
  <c r="U290" i="14"/>
  <c r="U337" i="14"/>
  <c r="BM199" i="14"/>
  <c r="G20" i="11" l="1"/>
  <c r="BM232" i="14"/>
  <c r="BM341" i="14"/>
  <c r="BM313" i="14"/>
  <c r="BM319" i="14" s="1"/>
  <c r="U199" i="14"/>
  <c r="BM201" i="14"/>
  <c r="BM321" i="14" l="1"/>
  <c r="U313" i="14"/>
  <c r="U341" i="14"/>
  <c r="U343" i="14" s="1"/>
  <c r="U345" i="14" s="1"/>
  <c r="U232" i="14"/>
  <c r="U294" i="14"/>
  <c r="U297" i="14" s="1"/>
  <c r="G38" i="11"/>
  <c r="G21" i="11"/>
  <c r="P31" i="2"/>
  <c r="BM343" i="14"/>
  <c r="BM345" i="14" s="1"/>
  <c r="M21" i="10"/>
  <c r="BM279" i="14"/>
  <c r="BM281" i="14" s="1"/>
  <c r="U201" i="14"/>
  <c r="G28" i="11" l="1"/>
  <c r="G3" i="11"/>
  <c r="M24" i="10"/>
  <c r="DF121" i="14"/>
  <c r="X121" i="14" s="1"/>
  <c r="BP122" i="14"/>
  <c r="BP334" i="14" s="1"/>
  <c r="P32" i="2"/>
  <c r="M47" i="10"/>
  <c r="U279" i="14"/>
  <c r="U281" i="14" s="1"/>
  <c r="G30" i="11"/>
  <c r="U319" i="14"/>
  <c r="U321" i="14" s="1"/>
  <c r="M50" i="10" l="1"/>
  <c r="S24" i="2"/>
  <c r="DF122" i="14"/>
  <c r="X122" i="14" s="1"/>
  <c r="G4" i="11"/>
  <c r="G6" i="11" s="1"/>
  <c r="BP126" i="14"/>
  <c r="BP128" i="14" s="1"/>
  <c r="G32" i="11"/>
  <c r="DF334" i="14" l="1"/>
  <c r="DF126" i="14"/>
  <c r="X126" i="14"/>
  <c r="X334" i="14"/>
  <c r="BP129" i="14"/>
  <c r="BP156" i="14" s="1"/>
  <c r="DF128" i="14"/>
  <c r="BP227" i="14"/>
  <c r="G8" i="11"/>
  <c r="DF337" i="14" l="1"/>
  <c r="DF227" i="14"/>
  <c r="X128" i="14"/>
  <c r="BP170" i="14"/>
  <c r="BP163" i="14"/>
  <c r="M103" i="1" s="1"/>
  <c r="M105" i="1" s="1"/>
  <c r="G10" i="11"/>
  <c r="P16" i="10"/>
  <c r="Z27" i="33"/>
  <c r="DF129" i="14"/>
  <c r="DF156" i="14" s="1"/>
  <c r="DF163" i="14" s="1"/>
  <c r="BJ27" i="33" l="1"/>
  <c r="G12" i="11"/>
  <c r="DF170" i="14"/>
  <c r="X170" i="14" s="1"/>
  <c r="BP339" i="14"/>
  <c r="S29" i="2" s="1"/>
  <c r="BP176" i="14"/>
  <c r="BP177" i="14" s="1"/>
  <c r="BP229" i="14"/>
  <c r="BP311" i="14"/>
  <c r="X129" i="14"/>
  <c r="X156" i="14" s="1"/>
  <c r="X163" i="14" s="1"/>
  <c r="X227" i="14"/>
  <c r="X339" i="14" l="1"/>
  <c r="X311" i="14"/>
  <c r="H24" i="11" s="1"/>
  <c r="X176" i="14"/>
  <c r="X177" i="14" s="1"/>
  <c r="X229" i="14"/>
  <c r="P44" i="10" s="1"/>
  <c r="X291" i="14"/>
  <c r="P42" i="10"/>
  <c r="DF176" i="14"/>
  <c r="DF177" i="14" s="1"/>
  <c r="DF188" i="14" s="1"/>
  <c r="DF196" i="14" s="1"/>
  <c r="DF339" i="14"/>
  <c r="DF229" i="14"/>
  <c r="DF311" i="14"/>
  <c r="BP312" i="14"/>
  <c r="BP340" i="14"/>
  <c r="S30" i="2" s="1"/>
  <c r="BP230" i="14"/>
  <c r="BP185" i="14"/>
  <c r="BP188" i="14" s="1"/>
  <c r="X181" i="14"/>
  <c r="Z29" i="33"/>
  <c r="P18" i="10"/>
  <c r="BJ29" i="33" l="1"/>
  <c r="X312" i="14"/>
  <c r="H25" i="11" s="1"/>
  <c r="X230" i="14"/>
  <c r="P45" i="10" s="1"/>
  <c r="X185" i="14"/>
  <c r="X188" i="14" s="1"/>
  <c r="X292" i="14"/>
  <c r="X340" i="14"/>
  <c r="DF199" i="14"/>
  <c r="DF201" i="14" s="1"/>
  <c r="Z30" i="33"/>
  <c r="BJ30" i="33" s="1"/>
  <c r="P19" i="10"/>
  <c r="H7" i="11"/>
  <c r="H9" i="11" l="1"/>
  <c r="BJ34" i="33"/>
  <c r="H26" i="11"/>
  <c r="Z32" i="33"/>
  <c r="Z34" i="33" s="1"/>
  <c r="DF310" i="14"/>
  <c r="DF341" i="14"/>
  <c r="DF343" i="14" s="1"/>
  <c r="DF313" i="14"/>
  <c r="DF232" i="14"/>
  <c r="DF279" i="14" s="1"/>
  <c r="BP191" i="14" l="1"/>
  <c r="S28" i="2"/>
  <c r="DF345" i="14"/>
  <c r="DF281" i="14"/>
  <c r="T49" i="8"/>
  <c r="DF319" i="14"/>
  <c r="DF321" i="14" s="1"/>
  <c r="BP231" i="14" l="1"/>
  <c r="P20" i="10" s="1"/>
  <c r="BP194" i="14"/>
  <c r="BP196" i="14" s="1"/>
  <c r="X191" i="14"/>
  <c r="BP337" i="14"/>
  <c r="BP310" i="14"/>
  <c r="X231" i="14" l="1"/>
  <c r="P46" i="10" s="1"/>
  <c r="X194" i="14"/>
  <c r="X196" i="14" s="1"/>
  <c r="X337" i="14"/>
  <c r="S27" i="2"/>
  <c r="BP199" i="14"/>
  <c r="BP341" i="14" l="1"/>
  <c r="BP232" i="14"/>
  <c r="BP313" i="14"/>
  <c r="BP319" i="14" s="1"/>
  <c r="X199" i="14"/>
  <c r="X201" i="14" s="1"/>
  <c r="BP201" i="14"/>
  <c r="BP321" i="14" l="1"/>
  <c r="X310" i="14"/>
  <c r="X290" i="14"/>
  <c r="BS121" i="14"/>
  <c r="X341" i="14"/>
  <c r="X343" i="14" s="1"/>
  <c r="X345" i="14" s="1"/>
  <c r="X232" i="14"/>
  <c r="X313" i="14"/>
  <c r="H30" i="11" s="1"/>
  <c r="X294" i="14"/>
  <c r="P21" i="10"/>
  <c r="BP279" i="14"/>
  <c r="BP281" i="14" s="1"/>
  <c r="S31" i="2"/>
  <c r="BP343" i="14"/>
  <c r="BP345" i="14" s="1"/>
  <c r="S32" i="2" l="1"/>
  <c r="DI121" i="14"/>
  <c r="BS122" i="14"/>
  <c r="BS126" i="14" s="1"/>
  <c r="BS128" i="14" s="1"/>
  <c r="BS227" i="14" s="1"/>
  <c r="P47" i="10"/>
  <c r="X279" i="14"/>
  <c r="X281" i="14" s="1"/>
  <c r="P24" i="10"/>
  <c r="H4" i="11"/>
  <c r="X297" i="14"/>
  <c r="H20" i="11"/>
  <c r="X319" i="14"/>
  <c r="X321" i="14" s="1"/>
  <c r="BS334" i="14" l="1"/>
  <c r="V24" i="2" s="1"/>
  <c r="DI128" i="14"/>
  <c r="AA128" i="14" s="1"/>
  <c r="BS129" i="14"/>
  <c r="BS156" i="14" s="1"/>
  <c r="S16" i="10"/>
  <c r="AC27" i="33"/>
  <c r="P50" i="10"/>
  <c r="AA121" i="14"/>
  <c r="H38" i="11"/>
  <c r="H21" i="11"/>
  <c r="CK122" i="14"/>
  <c r="DI122" i="14"/>
  <c r="EA122" i="14" s="1"/>
  <c r="DI334" i="14" l="1"/>
  <c r="DI310" i="14"/>
  <c r="DI227" i="14"/>
  <c r="AV122" i="14"/>
  <c r="AA122" i="14"/>
  <c r="AS122" i="14" s="1"/>
  <c r="BM27" i="33"/>
  <c r="BS170" i="14"/>
  <c r="BS163" i="14"/>
  <c r="P103" i="1" s="1"/>
  <c r="P105" i="1" s="1"/>
  <c r="DI337" i="14"/>
  <c r="DI126" i="14"/>
  <c r="DI129" i="14" s="1"/>
  <c r="DI156" i="14" s="1"/>
  <c r="DI163" i="14" s="1"/>
  <c r="H3" i="11"/>
  <c r="H28" i="11"/>
  <c r="H32" i="11" s="1"/>
  <c r="AA334" i="14" l="1"/>
  <c r="AA227" i="14"/>
  <c r="S42" i="10" s="1"/>
  <c r="E122" i="7"/>
  <c r="T122" i="7" s="1"/>
  <c r="AA126" i="14"/>
  <c r="AA129" i="14" s="1"/>
  <c r="AA156" i="14" s="1"/>
  <c r="AA163" i="14" s="1"/>
  <c r="H6" i="11"/>
  <c r="DI170" i="14"/>
  <c r="BS176" i="14"/>
  <c r="BS177" i="14" s="1"/>
  <c r="BS311" i="14"/>
  <c r="BS229" i="14"/>
  <c r="BS339" i="14"/>
  <c r="V29" i="2" s="1"/>
  <c r="AC29" i="33" l="1"/>
  <c r="S18" i="10"/>
  <c r="DI176" i="14"/>
  <c r="DI177" i="14" s="1"/>
  <c r="DI188" i="14" s="1"/>
  <c r="DI196" i="14" s="1"/>
  <c r="DI229" i="14"/>
  <c r="DI311" i="14"/>
  <c r="DI339" i="14"/>
  <c r="AA170" i="14"/>
  <c r="H8" i="11"/>
  <c r="DI199" i="14" l="1"/>
  <c r="BS230" i="14"/>
  <c r="BS185" i="14"/>
  <c r="BS188" i="14" s="1"/>
  <c r="AA181" i="14"/>
  <c r="BS312" i="14"/>
  <c r="BS340" i="14"/>
  <c r="V30" i="2" s="1"/>
  <c r="H10" i="11"/>
  <c r="AA291" i="14"/>
  <c r="AA229" i="14"/>
  <c r="AA311" i="14"/>
  <c r="I24" i="11" s="1"/>
  <c r="AA176" i="14"/>
  <c r="AA177" i="14" s="1"/>
  <c r="AA339" i="14"/>
  <c r="BM29" i="33"/>
  <c r="AA185" i="14" l="1"/>
  <c r="AA188" i="14" s="1"/>
  <c r="AA340" i="14"/>
  <c r="AA230" i="14"/>
  <c r="S45" i="10" s="1"/>
  <c r="AA292" i="14"/>
  <c r="AA312" i="14"/>
  <c r="I25" i="11" s="1"/>
  <c r="S19" i="10"/>
  <c r="AC30" i="33"/>
  <c r="S44" i="10"/>
  <c r="DI313" i="14"/>
  <c r="DI319" i="14" s="1"/>
  <c r="DI341" i="14"/>
  <c r="DI343" i="14" s="1"/>
  <c r="DI232" i="14"/>
  <c r="DI279" i="14" s="1"/>
  <c r="I7" i="11"/>
  <c r="H12" i="11"/>
  <c r="DI201" i="14"/>
  <c r="AC32" i="33" s="1"/>
  <c r="DI321" i="14" l="1"/>
  <c r="DI345" i="14"/>
  <c r="V28" i="2"/>
  <c r="I9" i="11"/>
  <c r="I26" i="11"/>
  <c r="DI281" i="14"/>
  <c r="W49" i="8"/>
  <c r="BM30" i="33"/>
  <c r="BM34" i="33" s="1"/>
  <c r="AC34" i="33"/>
  <c r="BS191" i="14" l="1"/>
  <c r="AA191" i="14" l="1"/>
  <c r="BS194" i="14"/>
  <c r="BS196" i="14" s="1"/>
  <c r="BS231" i="14"/>
  <c r="S20" i="10" s="1"/>
  <c r="BS310" i="14"/>
  <c r="BS337" i="14"/>
  <c r="AA231" i="14" l="1"/>
  <c r="S46" i="10" s="1"/>
  <c r="AA194" i="14"/>
  <c r="AA196" i="14" s="1"/>
  <c r="AA290" i="14"/>
  <c r="AA310" i="14"/>
  <c r="AA337" i="14"/>
  <c r="V27" i="2"/>
  <c r="BS199" i="14"/>
  <c r="I20" i="11" l="1"/>
  <c r="BS341" i="14"/>
  <c r="BS313" i="14"/>
  <c r="BS319" i="14" s="1"/>
  <c r="BS232" i="14"/>
  <c r="AA199" i="14"/>
  <c r="AA201" i="14" s="1"/>
  <c r="BS201" i="14"/>
  <c r="BS321" i="14" l="1"/>
  <c r="V31" i="2"/>
  <c r="V32" i="2" s="1"/>
  <c r="BS343" i="14"/>
  <c r="BS345" i="14" s="1"/>
  <c r="BV121" i="14"/>
  <c r="AA232" i="14"/>
  <c r="AA341" i="14"/>
  <c r="AA343" i="14" s="1"/>
  <c r="AA345" i="14" s="1"/>
  <c r="AA313" i="14"/>
  <c r="AA294" i="14"/>
  <c r="I38" i="11"/>
  <c r="I21" i="11"/>
  <c r="S21" i="10"/>
  <c r="BS279" i="14"/>
  <c r="BS281" i="14" s="1"/>
  <c r="S24" i="10" l="1"/>
  <c r="DL121" i="14"/>
  <c r="BV126" i="14"/>
  <c r="BV128" i="14" s="1"/>
  <c r="BV227" i="14" s="1"/>
  <c r="BV334" i="14"/>
  <c r="I28" i="11"/>
  <c r="I3" i="11"/>
  <c r="AA297" i="14"/>
  <c r="I30" i="11"/>
  <c r="AA319" i="14"/>
  <c r="AA321" i="14" s="1"/>
  <c r="S47" i="10"/>
  <c r="AA279" i="14"/>
  <c r="AA281" i="14" s="1"/>
  <c r="Y24" i="2" l="1"/>
  <c r="S50" i="10"/>
  <c r="I4" i="11"/>
  <c r="I6" i="11" s="1"/>
  <c r="DL126" i="14"/>
  <c r="DL334" i="14"/>
  <c r="AD121" i="14"/>
  <c r="V16" i="10"/>
  <c r="AF27" i="33"/>
  <c r="I32" i="11"/>
  <c r="DL128" i="14"/>
  <c r="DL227" i="14" s="1"/>
  <c r="BV129" i="14"/>
  <c r="BV156" i="14" s="1"/>
  <c r="DL310" i="14" l="1"/>
  <c r="DL129" i="14"/>
  <c r="DL156" i="14" s="1"/>
  <c r="DL163" i="14" s="1"/>
  <c r="I8" i="11"/>
  <c r="BP27" i="33"/>
  <c r="AD334" i="14"/>
  <c r="AD126" i="14"/>
  <c r="DL337" i="14"/>
  <c r="BV163" i="14"/>
  <c r="S103" i="1" s="1"/>
  <c r="S105" i="1" s="1"/>
  <c r="BV170" i="14"/>
  <c r="AD128" i="14"/>
  <c r="AD227" i="14" s="1"/>
  <c r="BV181" i="14" l="1"/>
  <c r="V42" i="10"/>
  <c r="DL170" i="14"/>
  <c r="AD170" i="14" s="1"/>
  <c r="BV339" i="14"/>
  <c r="Y29" i="2" s="1"/>
  <c r="BV311" i="14"/>
  <c r="BV229" i="14"/>
  <c r="BV176" i="14"/>
  <c r="BV177" i="14" s="1"/>
  <c r="AD129" i="14"/>
  <c r="AD156" i="14" s="1"/>
  <c r="AD163" i="14" s="1"/>
  <c r="BV230" i="14"/>
  <c r="I10" i="11"/>
  <c r="AD181" i="14" l="1"/>
  <c r="AD185" i="14" s="1"/>
  <c r="BV340" i="14"/>
  <c r="Y30" i="2" s="1"/>
  <c r="BV312" i="14"/>
  <c r="BV185" i="14"/>
  <c r="BV188" i="14" s="1"/>
  <c r="AF29" i="33"/>
  <c r="V18" i="10"/>
  <c r="I12" i="11"/>
  <c r="DL229" i="14"/>
  <c r="DL176" i="14"/>
  <c r="DL177" i="14" s="1"/>
  <c r="DL188" i="14" s="1"/>
  <c r="DL196" i="14" s="1"/>
  <c r="DL311" i="14"/>
  <c r="DL339" i="14"/>
  <c r="V19" i="10"/>
  <c r="AF30" i="33"/>
  <c r="BP30" i="33" s="1"/>
  <c r="AD291" i="14"/>
  <c r="AS291" i="14" s="1"/>
  <c r="AD311" i="14"/>
  <c r="J24" i="11" s="1"/>
  <c r="AD229" i="14"/>
  <c r="AD176" i="14"/>
  <c r="AD177" i="14" s="1"/>
  <c r="AD339" i="14"/>
  <c r="AD312" i="14" l="1"/>
  <c r="J25" i="11" s="1"/>
  <c r="J9" i="11" s="1"/>
  <c r="AD340" i="14"/>
  <c r="AD230" i="14"/>
  <c r="V45" i="10" s="1"/>
  <c r="AD292" i="14"/>
  <c r="AS292" i="14" s="1"/>
  <c r="AD188" i="14"/>
  <c r="BP29" i="33"/>
  <c r="BP34" i="33" s="1"/>
  <c r="V44" i="10"/>
  <c r="DL199" i="14"/>
  <c r="DL201" i="14" s="1"/>
  <c r="AF32" i="33" s="1"/>
  <c r="AF34" i="33" s="1"/>
  <c r="J7" i="11"/>
  <c r="J26" i="11" l="1"/>
  <c r="BV191" i="14"/>
  <c r="AD191" i="14" s="1"/>
  <c r="DL341" i="14"/>
  <c r="DL343" i="14" s="1"/>
  <c r="DL313" i="14"/>
  <c r="DL319" i="14" s="1"/>
  <c r="DL321" i="14" s="1"/>
  <c r="DL232" i="14"/>
  <c r="DL279" i="14" s="1"/>
  <c r="BV337" i="14" l="1"/>
  <c r="Y27" i="2" s="1"/>
  <c r="BV231" i="14"/>
  <c r="V20" i="10" s="1"/>
  <c r="BV310" i="14"/>
  <c r="BV194" i="14"/>
  <c r="BV196" i="14" s="1"/>
  <c r="BV199" i="14" s="1"/>
  <c r="BV201" i="14" s="1"/>
  <c r="AD194" i="14"/>
  <c r="AD196" i="14" s="1"/>
  <c r="AD231" i="14"/>
  <c r="AD310" i="14"/>
  <c r="AD290" i="14"/>
  <c r="AD337" i="14"/>
  <c r="DL281" i="14"/>
  <c r="Z49" i="8"/>
  <c r="Y28" i="2"/>
  <c r="DL345" i="14"/>
  <c r="BY121" i="14" l="1"/>
  <c r="AS290" i="14"/>
  <c r="J20" i="11"/>
  <c r="AD199" i="14"/>
  <c r="AD201" i="14" s="1"/>
  <c r="BV341" i="14"/>
  <c r="BV232" i="14"/>
  <c r="BV313" i="14"/>
  <c r="BV319" i="14" s="1"/>
  <c r="BV321" i="14" s="1"/>
  <c r="CK199" i="14"/>
  <c r="V46" i="10"/>
  <c r="V21" i="10" l="1"/>
  <c r="V24" i="10" s="1"/>
  <c r="BV279" i="14"/>
  <c r="BV281" i="14" s="1"/>
  <c r="DO121" i="14"/>
  <c r="BY126" i="14"/>
  <c r="BY128" i="14" s="1"/>
  <c r="BY227" i="14" s="1"/>
  <c r="BY334" i="14"/>
  <c r="AD232" i="14"/>
  <c r="AD294" i="14"/>
  <c r="AS294" i="14" s="1"/>
  <c r="AD341" i="14"/>
  <c r="AD343" i="14" s="1"/>
  <c r="AD345" i="14" s="1"/>
  <c r="AD313" i="14"/>
  <c r="AS199" i="14"/>
  <c r="Y31" i="2"/>
  <c r="Y32" i="2" s="1"/>
  <c r="BV343" i="14"/>
  <c r="BV345" i="14" s="1"/>
  <c r="CK341" i="14"/>
  <c r="CK313" i="14"/>
  <c r="K135" i="15"/>
  <c r="CK232" i="14"/>
  <c r="J38" i="11"/>
  <c r="O38" i="11" s="1"/>
  <c r="J21" i="11"/>
  <c r="J30" i="11" l="1"/>
  <c r="J4" i="11" s="1"/>
  <c r="AD319" i="14"/>
  <c r="AD321" i="14" s="1"/>
  <c r="J28" i="11"/>
  <c r="J3" i="11"/>
  <c r="E197" i="7"/>
  <c r="T197" i="7" s="1"/>
  <c r="AS341" i="14"/>
  <c r="AS232" i="14"/>
  <c r="AS313" i="14"/>
  <c r="DO128" i="14"/>
  <c r="AG128" i="14" s="1"/>
  <c r="BY129" i="14"/>
  <c r="BY156" i="14" s="1"/>
  <c r="Y16" i="10"/>
  <c r="AI27" i="33"/>
  <c r="DO126" i="14"/>
  <c r="DO334" i="14"/>
  <c r="E33" i="33"/>
  <c r="AG121" i="14"/>
  <c r="V47" i="10"/>
  <c r="V50" i="10" s="1"/>
  <c r="AD279" i="14"/>
  <c r="AD281" i="14" s="1"/>
  <c r="AS297" i="14"/>
  <c r="AB24" i="2"/>
  <c r="DO227" i="14" l="1"/>
  <c r="DO310" i="14"/>
  <c r="DO129" i="14"/>
  <c r="DO156" i="14" s="1"/>
  <c r="DO163" i="14" s="1"/>
  <c r="J6" i="11"/>
  <c r="J8" i="11" s="1"/>
  <c r="J10" i="11" s="1"/>
  <c r="J12" i="11" s="1"/>
  <c r="J32" i="11"/>
  <c r="BS27" i="33"/>
  <c r="AG227" i="14"/>
  <c r="AG126" i="14"/>
  <c r="AG129" i="14" s="1"/>
  <c r="AG156" i="14" s="1"/>
  <c r="AG163" i="14" s="1"/>
  <c r="AG334" i="14"/>
  <c r="BY163" i="14"/>
  <c r="V103" i="1" s="1"/>
  <c r="V105" i="1" s="1"/>
  <c r="BY170" i="14"/>
  <c r="DO337" i="14"/>
  <c r="BY181" i="14" l="1"/>
  <c r="DO170" i="14"/>
  <c r="AG170" i="14" s="1"/>
  <c r="BY339" i="14"/>
  <c r="AB29" i="2" s="1"/>
  <c r="BY311" i="14"/>
  <c r="BY229" i="14"/>
  <c r="BY176" i="14"/>
  <c r="BY177" i="14" s="1"/>
  <c r="Y42" i="10"/>
  <c r="BY340" i="14" l="1"/>
  <c r="AB30" i="2" s="1"/>
  <c r="BY230" i="14"/>
  <c r="Y19" i="10" s="1"/>
  <c r="BY185" i="14"/>
  <c r="BY188" i="14" s="1"/>
  <c r="BY312" i="14"/>
  <c r="AG181" i="14"/>
  <c r="AG340" i="14" s="1"/>
  <c r="AI29" i="33"/>
  <c r="Y18" i="10"/>
  <c r="DO229" i="14"/>
  <c r="DO176" i="14"/>
  <c r="DO177" i="14" s="1"/>
  <c r="DO188" i="14" s="1"/>
  <c r="DO196" i="14" s="1"/>
  <c r="DO339" i="14"/>
  <c r="DO311" i="14"/>
  <c r="AG176" i="14"/>
  <c r="AG177" i="14" s="1"/>
  <c r="AG311" i="14"/>
  <c r="K24" i="11" s="1"/>
  <c r="AG291" i="14"/>
  <c r="AG229" i="14"/>
  <c r="AG339" i="14"/>
  <c r="AG312" i="14"/>
  <c r="K25" i="11" s="1"/>
  <c r="K9" i="11" s="1"/>
  <c r="AG230" i="14" l="1"/>
  <c r="Y45" i="10" s="1"/>
  <c r="AG292" i="14"/>
  <c r="AG185" i="14"/>
  <c r="AG188" i="14" s="1"/>
  <c r="AI30" i="33"/>
  <c r="BS30" i="33" s="1"/>
  <c r="DO199" i="14"/>
  <c r="DO201" i="14" s="1"/>
  <c r="AI32" i="33" s="1"/>
  <c r="K26" i="11"/>
  <c r="K7" i="11"/>
  <c r="Y44" i="10"/>
  <c r="BS29" i="33"/>
  <c r="BS34" i="33" l="1"/>
  <c r="AI34" i="33"/>
  <c r="DO232" i="14"/>
  <c r="DO279" i="14" s="1"/>
  <c r="DO313" i="14"/>
  <c r="DO319" i="14" s="1"/>
  <c r="DO321" i="14" s="1"/>
  <c r="DO341" i="14"/>
  <c r="DO343" i="14" s="1"/>
  <c r="BY191" i="14" l="1"/>
  <c r="AG191" i="14" s="1"/>
  <c r="AG194" i="14" s="1"/>
  <c r="AG196" i="14" s="1"/>
  <c r="DO281" i="14"/>
  <c r="AC49" i="8"/>
  <c r="DO345" i="14"/>
  <c r="AB28" i="2"/>
  <c r="AG310" i="14"/>
  <c r="BY231" i="14" l="1"/>
  <c r="Y20" i="10" s="1"/>
  <c r="BY310" i="14"/>
  <c r="BY337" i="14"/>
  <c r="AB27" i="2" s="1"/>
  <c r="AG337" i="14"/>
  <c r="AG290" i="14"/>
  <c r="AG231" i="14"/>
  <c r="Y46" i="10" s="1"/>
  <c r="BY194" i="14"/>
  <c r="BY196" i="14" s="1"/>
  <c r="BY199" i="14" s="1"/>
  <c r="BY201" i="14" s="1"/>
  <c r="CB121" i="14" s="1"/>
  <c r="K20" i="11"/>
  <c r="BY232" i="14" l="1"/>
  <c r="BY279" i="14" s="1"/>
  <c r="BY281" i="14" s="1"/>
  <c r="BY341" i="14"/>
  <c r="AB31" i="2" s="1"/>
  <c r="AB32" i="2" s="1"/>
  <c r="BY313" i="14"/>
  <c r="BY319" i="14" s="1"/>
  <c r="BY321" i="14" s="1"/>
  <c r="AG199" i="14"/>
  <c r="AG201" i="14" s="1"/>
  <c r="K38" i="11"/>
  <c r="K21" i="11"/>
  <c r="DR121" i="14"/>
  <c r="CB126" i="14"/>
  <c r="CB128" i="14" s="1"/>
  <c r="CB227" i="14" s="1"/>
  <c r="CB334" i="14"/>
  <c r="Y21" i="10" l="1"/>
  <c r="Y24" i="10" s="1"/>
  <c r="BY343" i="14"/>
  <c r="BY345" i="14" s="1"/>
  <c r="AG294" i="14"/>
  <c r="AG232" i="14"/>
  <c r="Y47" i="10" s="1"/>
  <c r="Y50" i="10" s="1"/>
  <c r="AG341" i="14"/>
  <c r="AG343" i="14" s="1"/>
  <c r="AG345" i="14" s="1"/>
  <c r="AG313" i="14"/>
  <c r="K30" i="11" s="1"/>
  <c r="K4" i="11" s="1"/>
  <c r="CB129" i="14"/>
  <c r="CB156" i="14" s="1"/>
  <c r="DR128" i="14"/>
  <c r="DR310" i="14" s="1"/>
  <c r="AB16" i="10"/>
  <c r="AL27" i="33"/>
  <c r="DR126" i="14"/>
  <c r="DR334" i="14"/>
  <c r="K3" i="11"/>
  <c r="K28" i="11"/>
  <c r="AE24" i="2"/>
  <c r="AJ121" i="14"/>
  <c r="AG279" i="14" l="1"/>
  <c r="AG281" i="14" s="1"/>
  <c r="AG319" i="14"/>
  <c r="AG321" i="14" s="1"/>
  <c r="DR227" i="14"/>
  <c r="K32" i="11"/>
  <c r="K6" i="11"/>
  <c r="K8" i="11" s="1"/>
  <c r="K10" i="11" s="1"/>
  <c r="K12" i="11" s="1"/>
  <c r="DR337" i="14"/>
  <c r="AJ334" i="14"/>
  <c r="AJ126" i="14"/>
  <c r="DR129" i="14"/>
  <c r="DR156" i="14" s="1"/>
  <c r="DR163" i="14" s="1"/>
  <c r="AJ128" i="14"/>
  <c r="AJ227" i="14" s="1"/>
  <c r="CB170" i="14"/>
  <c r="CB163" i="14"/>
  <c r="Y103" i="1" s="1"/>
  <c r="Y105" i="1" s="1"/>
  <c r="BV27" i="33"/>
  <c r="CB181" i="14" l="1"/>
  <c r="CB312" i="14" s="1"/>
  <c r="DR170" i="14"/>
  <c r="CB176" i="14"/>
  <c r="CB177" i="14" s="1"/>
  <c r="CB229" i="14"/>
  <c r="CB311" i="14"/>
  <c r="CB339" i="14"/>
  <c r="AE29" i="2" s="1"/>
  <c r="AB42" i="10"/>
  <c r="AJ129" i="14"/>
  <c r="AJ156" i="14" s="1"/>
  <c r="AJ163" i="14" s="1"/>
  <c r="CB230" i="14" l="1"/>
  <c r="AL30" i="33" s="1"/>
  <c r="BV30" i="33" s="1"/>
  <c r="CB340" i="14"/>
  <c r="AE30" i="2" s="1"/>
  <c r="CB185" i="14"/>
  <c r="CB188" i="14" s="1"/>
  <c r="AJ181" i="14"/>
  <c r="AJ185" i="14" s="1"/>
  <c r="AB18" i="10"/>
  <c r="AL29" i="33"/>
  <c r="DR176" i="14"/>
  <c r="DR177" i="14" s="1"/>
  <c r="DR188" i="14" s="1"/>
  <c r="DR196" i="14" s="1"/>
  <c r="DR229" i="14"/>
  <c r="DR339" i="14"/>
  <c r="DR311" i="14"/>
  <c r="AJ170" i="14"/>
  <c r="AB19" i="10" l="1"/>
  <c r="AJ230" i="14"/>
  <c r="AB45" i="10" s="1"/>
  <c r="AJ292" i="14"/>
  <c r="AJ340" i="14"/>
  <c r="AJ312" i="14"/>
  <c r="L25" i="11" s="1"/>
  <c r="L9" i="11" s="1"/>
  <c r="AJ176" i="14"/>
  <c r="AJ177" i="14" s="1"/>
  <c r="AJ188" i="14" s="1"/>
  <c r="AJ229" i="14"/>
  <c r="AJ291" i="14"/>
  <c r="AJ311" i="14"/>
  <c r="L24" i="11" s="1"/>
  <c r="AJ339" i="14"/>
  <c r="DR199" i="14"/>
  <c r="DR201" i="14" s="1"/>
  <c r="AL32" i="33" s="1"/>
  <c r="AL34" i="33" s="1"/>
  <c r="BV29" i="33"/>
  <c r="BV34" i="33" s="1"/>
  <c r="CB191" i="14" l="1"/>
  <c r="AJ191" i="14" s="1"/>
  <c r="L7" i="11"/>
  <c r="L26" i="11"/>
  <c r="AB44" i="10"/>
  <c r="DR232" i="14"/>
  <c r="DR279" i="14" s="1"/>
  <c r="DR313" i="14"/>
  <c r="DR319" i="14" s="1"/>
  <c r="DR321" i="14" s="1"/>
  <c r="DR341" i="14"/>
  <c r="DR343" i="14" s="1"/>
  <c r="CB310" i="14" l="1"/>
  <c r="CB337" i="14"/>
  <c r="AE27" i="2" s="1"/>
  <c r="CB231" i="14"/>
  <c r="AB20" i="10" s="1"/>
  <c r="CB194" i="14"/>
  <c r="CB196" i="14" s="1"/>
  <c r="CB199" i="14" s="1"/>
  <c r="CB201" i="14" s="1"/>
  <c r="AF49" i="8"/>
  <c r="DR281" i="14"/>
  <c r="AJ231" i="14"/>
  <c r="AJ194" i="14"/>
  <c r="AJ196" i="14" s="1"/>
  <c r="AJ310" i="14"/>
  <c r="AJ290" i="14"/>
  <c r="AJ337" i="14"/>
  <c r="AE28" i="2"/>
  <c r="DR345" i="14"/>
  <c r="CE121" i="14" l="1"/>
  <c r="AJ199" i="14"/>
  <c r="AJ201" i="14" s="1"/>
  <c r="CB313" i="14"/>
  <c r="CB319" i="14" s="1"/>
  <c r="CB321" i="14" s="1"/>
  <c r="CB341" i="14"/>
  <c r="CB232" i="14"/>
  <c r="AB46" i="10"/>
  <c r="L20" i="11"/>
  <c r="AB21" i="10" l="1"/>
  <c r="AB24" i="10" s="1"/>
  <c r="CB279" i="14"/>
  <c r="CB281" i="14" s="1"/>
  <c r="AE31" i="2"/>
  <c r="AE32" i="2" s="1"/>
  <c r="CB343" i="14"/>
  <c r="CB345" i="14" s="1"/>
  <c r="AJ313" i="14"/>
  <c r="AJ341" i="14"/>
  <c r="AJ343" i="14" s="1"/>
  <c r="AJ345" i="14" s="1"/>
  <c r="AJ232" i="14"/>
  <c r="AJ294" i="14"/>
  <c r="DU121" i="14"/>
  <c r="CE334" i="14"/>
  <c r="CE126" i="14"/>
  <c r="CE128" i="14" s="1"/>
  <c r="CE227" i="14" s="1"/>
  <c r="L38" i="11"/>
  <c r="L21" i="11"/>
  <c r="AB47" i="10" l="1"/>
  <c r="AB50" i="10" s="1"/>
  <c r="AJ279" i="14"/>
  <c r="AJ281" i="14" s="1"/>
  <c r="CE129" i="14"/>
  <c r="CE156" i="14" s="1"/>
  <c r="DU128" i="14"/>
  <c r="DU227" i="14" s="1"/>
  <c r="L30" i="11"/>
  <c r="L4" i="11" s="1"/>
  <c r="AJ319" i="14"/>
  <c r="AJ321" i="14" s="1"/>
  <c r="AH24" i="2"/>
  <c r="DU126" i="14"/>
  <c r="DU334" i="14"/>
  <c r="AO27" i="33"/>
  <c r="AE16" i="10"/>
  <c r="L3" i="11"/>
  <c r="L28" i="11"/>
  <c r="AM121" i="14"/>
  <c r="DU129" i="14" l="1"/>
  <c r="DU156" i="14" s="1"/>
  <c r="DU163" i="14" s="1"/>
  <c r="DU337" i="14"/>
  <c r="AM126" i="14"/>
  <c r="AM334" i="14"/>
  <c r="L32" i="11"/>
  <c r="CE163" i="14"/>
  <c r="AB103" i="1" s="1"/>
  <c r="AB105" i="1" s="1"/>
  <c r="CE170" i="14"/>
  <c r="L6" i="11"/>
  <c r="L8" i="11" s="1"/>
  <c r="L10" i="11" s="1"/>
  <c r="L12" i="11" s="1"/>
  <c r="AM128" i="14"/>
  <c r="AM227" i="14" s="1"/>
  <c r="BY27" i="33"/>
  <c r="CE181" i="14" l="1"/>
  <c r="AE42" i="10"/>
  <c r="AM129" i="14"/>
  <c r="AM156" i="14" s="1"/>
  <c r="AM163" i="14" s="1"/>
  <c r="DU170" i="14"/>
  <c r="CE339" i="14"/>
  <c r="AH29" i="2" s="1"/>
  <c r="CE311" i="14"/>
  <c r="CE229" i="14"/>
  <c r="CE176" i="14"/>
  <c r="CE177" i="14" s="1"/>
  <c r="CE340" i="14" l="1"/>
  <c r="AH30" i="2" s="1"/>
  <c r="CE185" i="14"/>
  <c r="CE188" i="14" s="1"/>
  <c r="CE312" i="14"/>
  <c r="CE230" i="14"/>
  <c r="AE19" i="10" s="1"/>
  <c r="AM181" i="14"/>
  <c r="AM230" i="14" s="1"/>
  <c r="AE45" i="10" s="1"/>
  <c r="DU311" i="14"/>
  <c r="DU229" i="14"/>
  <c r="DU339" i="14"/>
  <c r="DU176" i="14"/>
  <c r="DU177" i="14" s="1"/>
  <c r="DU188" i="14" s="1"/>
  <c r="DU196" i="14" s="1"/>
  <c r="AM170" i="14"/>
  <c r="AE18" i="10"/>
  <c r="AO29" i="33"/>
  <c r="AM340" i="14" l="1"/>
  <c r="AM312" i="14"/>
  <c r="M25" i="11" s="1"/>
  <c r="M9" i="11" s="1"/>
  <c r="AM292" i="14"/>
  <c r="AM185" i="14"/>
  <c r="AO30" i="33"/>
  <c r="BY30" i="33" s="1"/>
  <c r="BY29" i="33"/>
  <c r="AM229" i="14"/>
  <c r="AM339" i="14"/>
  <c r="AM176" i="14"/>
  <c r="AM177" i="14" s="1"/>
  <c r="AM311" i="14"/>
  <c r="M24" i="11" s="1"/>
  <c r="AM291" i="14"/>
  <c r="DU199" i="14"/>
  <c r="AM188" i="14" l="1"/>
  <c r="BY34" i="33"/>
  <c r="AE44" i="10"/>
  <c r="M7" i="11"/>
  <c r="M26" i="11"/>
  <c r="DU232" i="14"/>
  <c r="DU279" i="14" s="1"/>
  <c r="DU313" i="14"/>
  <c r="DU341" i="14"/>
  <c r="DU343" i="14" s="1"/>
  <c r="DU201" i="14"/>
  <c r="CE191" i="14" l="1"/>
  <c r="AM191" i="14" s="1"/>
  <c r="AO32" i="33"/>
  <c r="AO34" i="33" s="1"/>
  <c r="DU310" i="14"/>
  <c r="DU319" i="14" s="1"/>
  <c r="DU321" i="14" s="1"/>
  <c r="AI49" i="8"/>
  <c r="DU281" i="14"/>
  <c r="DU345" i="14"/>
  <c r="AH28" i="2"/>
  <c r="CE337" i="14" l="1"/>
  <c r="AH27" i="2" s="1"/>
  <c r="CE231" i="14"/>
  <c r="AE20" i="10" s="1"/>
  <c r="CE194" i="14"/>
  <c r="CE196" i="14" s="1"/>
  <c r="CE199" i="14" s="1"/>
  <c r="CE201" i="14" s="1"/>
  <c r="CH121" i="14" s="1"/>
  <c r="CK121" i="14" s="1"/>
  <c r="CK126" i="14" s="1"/>
  <c r="AM194" i="14"/>
  <c r="AM196" i="14" s="1"/>
  <c r="AM290" i="14"/>
  <c r="AM231" i="14"/>
  <c r="AE46" i="10" s="1"/>
  <c r="AM310" i="14"/>
  <c r="M20" i="11" s="1"/>
  <c r="AM337" i="14"/>
  <c r="CE310" i="14"/>
  <c r="CE313" i="14"/>
  <c r="CE341" i="14"/>
  <c r="CE232" i="14"/>
  <c r="AM199" i="14" l="1"/>
  <c r="AM201" i="14" s="1"/>
  <c r="CE319" i="14"/>
  <c r="CE321" i="14" s="1"/>
  <c r="DX121" i="14"/>
  <c r="CH126" i="14"/>
  <c r="CH128" i="14" s="1"/>
  <c r="CH227" i="14" s="1"/>
  <c r="CH334" i="14"/>
  <c r="AE21" i="10"/>
  <c r="AE24" i="10" s="1"/>
  <c r="CE279" i="14"/>
  <c r="CE281" i="14" s="1"/>
  <c r="AH31" i="2"/>
  <c r="AH32" i="2" s="1"/>
  <c r="CE343" i="14"/>
  <c r="CE345" i="14" s="1"/>
  <c r="M38" i="11"/>
  <c r="M21" i="11"/>
  <c r="AM232" i="14" l="1"/>
  <c r="AE47" i="10" s="1"/>
  <c r="AE50" i="10" s="1"/>
  <c r="AM341" i="14"/>
  <c r="AM343" i="14" s="1"/>
  <c r="AM345" i="14" s="1"/>
  <c r="AM313" i="14"/>
  <c r="M30" i="11" s="1"/>
  <c r="M4" i="11" s="1"/>
  <c r="AM294" i="14"/>
  <c r="CK334" i="14"/>
  <c r="AK24" i="2"/>
  <c r="CH129" i="14"/>
  <c r="CH156" i="14" s="1"/>
  <c r="DX128" i="14"/>
  <c r="AP128" i="14" s="1"/>
  <c r="CK128" i="14"/>
  <c r="AH16" i="10"/>
  <c r="AR27" i="33"/>
  <c r="DX126" i="14"/>
  <c r="DX334" i="14"/>
  <c r="EA121" i="14"/>
  <c r="M28" i="11"/>
  <c r="M3" i="11"/>
  <c r="AP121" i="14"/>
  <c r="AM279" i="14" l="1"/>
  <c r="AM281" i="14" s="1"/>
  <c r="AM319" i="14"/>
  <c r="AM321" i="14" s="1"/>
  <c r="DX310" i="14"/>
  <c r="DX227" i="14"/>
  <c r="DX129" i="14"/>
  <c r="DX156" i="14" s="1"/>
  <c r="DX163" i="14" s="1"/>
  <c r="M6" i="11"/>
  <c r="M8" i="11" s="1"/>
  <c r="M10" i="11" s="1"/>
  <c r="M12" i="11" s="1"/>
  <c r="M32" i="11"/>
  <c r="K118" i="15"/>
  <c r="C42" i="39"/>
  <c r="E24" i="2"/>
  <c r="EA126" i="14"/>
  <c r="AV126" i="14" s="1"/>
  <c r="EA334" i="14"/>
  <c r="CK129" i="14"/>
  <c r="CK227" i="14"/>
  <c r="AS128" i="14"/>
  <c r="DX337" i="14"/>
  <c r="EA128" i="14"/>
  <c r="AV128" i="14" s="1"/>
  <c r="CH163" i="14"/>
  <c r="AE103" i="1" s="1"/>
  <c r="AE105" i="1" s="1"/>
  <c r="CH170" i="14"/>
  <c r="CK170" i="14" s="1"/>
  <c r="AP227" i="14"/>
  <c r="AP334" i="14"/>
  <c r="AP126" i="14"/>
  <c r="AP129" i="14" s="1"/>
  <c r="AP156" i="14" s="1"/>
  <c r="AP163" i="14" s="1"/>
  <c r="AS121" i="14"/>
  <c r="AV121" i="14"/>
  <c r="CB27" i="33"/>
  <c r="AI16" i="10"/>
  <c r="CH181" i="14" l="1"/>
  <c r="CK181" i="14" s="1"/>
  <c r="EA310" i="14"/>
  <c r="EA227" i="14"/>
  <c r="CE27" i="33"/>
  <c r="E27" i="33"/>
  <c r="AU27" i="33"/>
  <c r="AH42" i="10"/>
  <c r="DX170" i="14"/>
  <c r="AP170" i="14" s="1"/>
  <c r="CH229" i="14"/>
  <c r="CH311" i="14"/>
  <c r="CH176" i="14"/>
  <c r="CH177" i="14" s="1"/>
  <c r="CH339" i="14"/>
  <c r="AK29" i="2" s="1"/>
  <c r="E29" i="2" s="1"/>
  <c r="G75" i="17"/>
  <c r="E121" i="7"/>
  <c r="G68" i="17"/>
  <c r="AS227" i="14"/>
  <c r="AS334" i="14"/>
  <c r="AS126" i="14"/>
  <c r="AS129" i="14" s="1"/>
  <c r="AS156" i="14" s="1"/>
  <c r="AS163" i="14" s="1"/>
  <c r="EA129" i="14"/>
  <c r="EA156" i="14" s="1"/>
  <c r="EA163" i="14" s="1"/>
  <c r="EA337" i="14"/>
  <c r="CK156" i="14"/>
  <c r="E128" i="7"/>
  <c r="G66" i="17"/>
  <c r="G73" i="17"/>
  <c r="AO29" i="8"/>
  <c r="AO32" i="8" s="1"/>
  <c r="CH340" i="14" l="1"/>
  <c r="AK30" i="2" s="1"/>
  <c r="E30" i="2" s="1"/>
  <c r="CK185" i="14"/>
  <c r="CH312" i="14"/>
  <c r="AP181" i="14"/>
  <c r="AS181" i="14" s="1"/>
  <c r="CH230" i="14"/>
  <c r="AR30" i="33" s="1"/>
  <c r="CB30" i="33" s="1"/>
  <c r="CH185" i="14"/>
  <c r="CH188" i="14" s="1"/>
  <c r="G76" i="17"/>
  <c r="H72" i="17" s="1"/>
  <c r="AV129" i="14"/>
  <c r="AI42" i="10"/>
  <c r="T121" i="7"/>
  <c r="T126" i="7" s="1"/>
  <c r="E126" i="7"/>
  <c r="E129" i="7" s="1"/>
  <c r="E156" i="7" s="1"/>
  <c r="E163" i="7" s="1"/>
  <c r="F71" i="17"/>
  <c r="CK311" i="14"/>
  <c r="CK176" i="14"/>
  <c r="CK339" i="14"/>
  <c r="CK229" i="14"/>
  <c r="CK163" i="14"/>
  <c r="AV163" i="14" s="1"/>
  <c r="AV156" i="14"/>
  <c r="G69" i="17"/>
  <c r="T128" i="7"/>
  <c r="AH18" i="10"/>
  <c r="AI18" i="10" s="1"/>
  <c r="AR29" i="33"/>
  <c r="DX176" i="14"/>
  <c r="DX177" i="14" s="1"/>
  <c r="DX188" i="14" s="1"/>
  <c r="DX196" i="14" s="1"/>
  <c r="DX339" i="14"/>
  <c r="DX311" i="14"/>
  <c r="DX229" i="14"/>
  <c r="EA170" i="14"/>
  <c r="AV170" i="14" s="1"/>
  <c r="AP339" i="14"/>
  <c r="AP176" i="14"/>
  <c r="AP177" i="14" s="1"/>
  <c r="AP311" i="14"/>
  <c r="N24" i="11" s="1"/>
  <c r="AP291" i="14"/>
  <c r="AP229" i="14"/>
  <c r="AS170" i="14"/>
  <c r="K27" i="33"/>
  <c r="AP340" i="14" l="1"/>
  <c r="CK340" i="14"/>
  <c r="AV181" i="14"/>
  <c r="CK230" i="14"/>
  <c r="AU30" i="33" s="1"/>
  <c r="CK312" i="14"/>
  <c r="AP292" i="14"/>
  <c r="AP312" i="14"/>
  <c r="N25" i="11" s="1"/>
  <c r="N9" i="11" s="1"/>
  <c r="O9" i="11" s="1"/>
  <c r="AP230" i="14"/>
  <c r="AH45" i="10" s="1"/>
  <c r="AI45" i="10" s="1"/>
  <c r="AP185" i="14"/>
  <c r="AP188" i="14" s="1"/>
  <c r="AH19" i="10"/>
  <c r="AI19" i="10" s="1"/>
  <c r="C47" i="39"/>
  <c r="T129" i="7"/>
  <c r="T156" i="7" s="1"/>
  <c r="T163" i="7" s="1"/>
  <c r="H74" i="17"/>
  <c r="K74" i="17" s="1"/>
  <c r="H75" i="17"/>
  <c r="L75" i="17" s="1"/>
  <c r="H73" i="17"/>
  <c r="J73" i="17" s="1"/>
  <c r="CB29" i="33"/>
  <c r="CE29" i="33" s="1"/>
  <c r="N7" i="11"/>
  <c r="O7" i="11" s="1"/>
  <c r="O24" i="11"/>
  <c r="EA339" i="14"/>
  <c r="EA229" i="14"/>
  <c r="EA176" i="14"/>
  <c r="EA177" i="14" s="1"/>
  <c r="EA188" i="14" s="1"/>
  <c r="EA196" i="14" s="1"/>
  <c r="EA311" i="14"/>
  <c r="AO34" i="8"/>
  <c r="B16" i="48"/>
  <c r="E170" i="7"/>
  <c r="AS339" i="14"/>
  <c r="AS176" i="14"/>
  <c r="AS229" i="14"/>
  <c r="AS311" i="14"/>
  <c r="E29" i="33"/>
  <c r="AU29" i="33"/>
  <c r="I72" i="17"/>
  <c r="F79" i="17"/>
  <c r="CE30" i="33"/>
  <c r="K30" i="33" s="1"/>
  <c r="AH44" i="10"/>
  <c r="AI44" i="10" s="1"/>
  <c r="DX199" i="14"/>
  <c r="AS185" i="14"/>
  <c r="B21" i="48" s="1"/>
  <c r="AS340" i="14"/>
  <c r="AS230" i="14"/>
  <c r="AS312" i="14"/>
  <c r="E181" i="7"/>
  <c r="K126" i="15"/>
  <c r="AV185" i="14"/>
  <c r="K124" i="15"/>
  <c r="CK177" i="14"/>
  <c r="H66" i="17"/>
  <c r="J66" i="17" s="1"/>
  <c r="H68" i="17"/>
  <c r="L68" i="17" s="1"/>
  <c r="H67" i="17"/>
  <c r="K67" i="17" s="1"/>
  <c r="H65" i="17"/>
  <c r="C48" i="39" l="1"/>
  <c r="E30" i="33"/>
  <c r="AO35" i="8"/>
  <c r="K32" i="17" s="1"/>
  <c r="G10" i="17" s="1"/>
  <c r="N26" i="11"/>
  <c r="O25" i="11"/>
  <c r="O26" i="11" s="1"/>
  <c r="J79" i="17"/>
  <c r="E10" i="17" s="1"/>
  <c r="AV176" i="14"/>
  <c r="H76" i="17"/>
  <c r="L79" i="17"/>
  <c r="CB34" i="33"/>
  <c r="K79" i="17"/>
  <c r="D10" i="17" s="1"/>
  <c r="T170" i="7"/>
  <c r="T176" i="7" s="1"/>
  <c r="T177" i="7" s="1"/>
  <c r="E176" i="7"/>
  <c r="E177" i="7" s="1"/>
  <c r="DX232" i="14"/>
  <c r="DX279" i="14" s="1"/>
  <c r="DX313" i="14"/>
  <c r="DX319" i="14" s="1"/>
  <c r="DX341" i="14"/>
  <c r="DX343" i="14" s="1"/>
  <c r="EA199" i="14"/>
  <c r="EA201" i="14" s="1"/>
  <c r="DX201" i="14"/>
  <c r="AR32" i="33" s="1"/>
  <c r="AR34" i="33" s="1"/>
  <c r="AR35" i="33" s="1"/>
  <c r="H69" i="17"/>
  <c r="I65" i="17"/>
  <c r="T181" i="7"/>
  <c r="T183" i="7" s="1"/>
  <c r="E183" i="7"/>
  <c r="K31" i="17"/>
  <c r="M71" i="17"/>
  <c r="AS177" i="14"/>
  <c r="AS188" i="14" s="1"/>
  <c r="K29" i="33"/>
  <c r="K34" i="33" s="1"/>
  <c r="K53" i="33" s="1"/>
  <c r="CE34" i="33"/>
  <c r="CK188" i="14"/>
  <c r="AV177" i="14"/>
  <c r="AO37" i="8" l="1"/>
  <c r="H36" i="35"/>
  <c r="H45" i="35" s="1"/>
  <c r="C26" i="35" s="1"/>
  <c r="E26" i="35" s="1"/>
  <c r="CH191" i="14"/>
  <c r="CH194" i="14" s="1"/>
  <c r="CH196" i="14" s="1"/>
  <c r="F36" i="35"/>
  <c r="F45" i="35" s="1"/>
  <c r="C24" i="35" s="1"/>
  <c r="E24" i="35" s="1"/>
  <c r="E36" i="35"/>
  <c r="E45" i="35" s="1"/>
  <c r="C23" i="35" s="1"/>
  <c r="E23" i="35" s="1"/>
  <c r="DX321" i="14"/>
  <c r="CB35" i="33"/>
  <c r="M64" i="17"/>
  <c r="I79" i="17"/>
  <c r="C46" i="39"/>
  <c r="AU32" i="33"/>
  <c r="AU34" i="33" s="1"/>
  <c r="AU35" i="33" s="1"/>
  <c r="G50" i="13"/>
  <c r="E32" i="33"/>
  <c r="E186" i="7"/>
  <c r="AV188" i="14"/>
  <c r="T186" i="7"/>
  <c r="EA341" i="14"/>
  <c r="EA343" i="14" s="1"/>
  <c r="EA345" i="14" s="1"/>
  <c r="EA232" i="14"/>
  <c r="EA279" i="14" s="1"/>
  <c r="EA281" i="14" s="1"/>
  <c r="EA313" i="14"/>
  <c r="EA319" i="14" s="1"/>
  <c r="EA321" i="14" s="1"/>
  <c r="AV199" i="14"/>
  <c r="AK28" i="2"/>
  <c r="E28" i="2" s="1"/>
  <c r="DX345" i="14"/>
  <c r="AL49" i="8"/>
  <c r="E49" i="8" s="1"/>
  <c r="AO49" i="8" s="1"/>
  <c r="K30" i="17" s="1"/>
  <c r="F10" i="17" s="1"/>
  <c r="DX281" i="14"/>
  <c r="CH337" i="14" l="1"/>
  <c r="AK27" i="2" s="1"/>
  <c r="CK191" i="14"/>
  <c r="AV191" i="14" s="1"/>
  <c r="CH231" i="14"/>
  <c r="AH20" i="10" s="1"/>
  <c r="AI20" i="10" s="1"/>
  <c r="AP191" i="14"/>
  <c r="AP194" i="14" s="1"/>
  <c r="AP196" i="14" s="1"/>
  <c r="G36" i="35"/>
  <c r="G45" i="35" s="1"/>
  <c r="C25" i="35" s="1"/>
  <c r="E25" i="35" s="1"/>
  <c r="M79" i="17"/>
  <c r="M80" i="17" s="1"/>
  <c r="C10" i="17"/>
  <c r="K128" i="15"/>
  <c r="CH199" i="14"/>
  <c r="AP231" i="14" l="1"/>
  <c r="AH46" i="10" s="1"/>
  <c r="AI46" i="10" s="1"/>
  <c r="CK194" i="14"/>
  <c r="AV194" i="14" s="1"/>
  <c r="CK231" i="14"/>
  <c r="E31" i="33" s="1"/>
  <c r="E34" i="33" s="1"/>
  <c r="AP310" i="14"/>
  <c r="N20" i="11" s="1"/>
  <c r="AP290" i="14"/>
  <c r="AP337" i="14"/>
  <c r="CK337" i="14"/>
  <c r="AS191" i="14"/>
  <c r="D36" i="35"/>
  <c r="D45" i="35" s="1"/>
  <c r="C22" i="35" s="1"/>
  <c r="E22" i="35" s="1"/>
  <c r="CH232" i="14"/>
  <c r="CH313" i="14"/>
  <c r="AP199" i="14"/>
  <c r="AP201" i="14" s="1"/>
  <c r="CH341" i="14"/>
  <c r="CH201" i="14"/>
  <c r="CH310" i="14" s="1"/>
  <c r="E27" i="2"/>
  <c r="CK279" i="14" l="1"/>
  <c r="CK196" i="14"/>
  <c r="AV196" i="14" s="1"/>
  <c r="K130" i="15"/>
  <c r="K133" i="15" s="1"/>
  <c r="K137" i="15" s="1"/>
  <c r="G15" i="13" s="1"/>
  <c r="AS231" i="14"/>
  <c r="AS279" i="14" s="1"/>
  <c r="AS337" i="14"/>
  <c r="AS343" i="14" s="1"/>
  <c r="AS345" i="14" s="1"/>
  <c r="C45" i="39"/>
  <c r="C49" i="39" s="1"/>
  <c r="E189" i="7"/>
  <c r="T189" i="7" s="1"/>
  <c r="T192" i="7" s="1"/>
  <c r="T194" i="7" s="1"/>
  <c r="T199" i="7" s="1"/>
  <c r="AS194" i="14"/>
  <c r="AS204" i="14" s="1"/>
  <c r="CK343" i="14"/>
  <c r="CK345" i="14" s="1"/>
  <c r="CH319" i="14"/>
  <c r="CH321" i="14" s="1"/>
  <c r="AH21" i="10"/>
  <c r="CH279" i="14"/>
  <c r="CH281" i="14" s="1"/>
  <c r="N38" i="11"/>
  <c r="N21" i="11"/>
  <c r="O20" i="11"/>
  <c r="O21" i="11" s="1"/>
  <c r="O28" i="11" s="1"/>
  <c r="AK31" i="2"/>
  <c r="CH343" i="14"/>
  <c r="CH345" i="14" s="1"/>
  <c r="AP294" i="14"/>
  <c r="AP232" i="14"/>
  <c r="AP341" i="14"/>
  <c r="AP343" i="14" s="1"/>
  <c r="AP345" i="14" s="1"/>
  <c r="AP313" i="14"/>
  <c r="E53" i="33"/>
  <c r="L53" i="33" s="1"/>
  <c r="L34" i="33"/>
  <c r="E192" i="7" l="1"/>
  <c r="E194" i="7" s="1"/>
  <c r="E199" i="7" s="1"/>
  <c r="CK201" i="14"/>
  <c r="CK281" i="14" s="1"/>
  <c r="AS196" i="14"/>
  <c r="AS201" i="14" s="1"/>
  <c r="AO39" i="8"/>
  <c r="K29" i="17" s="1"/>
  <c r="H10" i="17" s="1"/>
  <c r="N3" i="11"/>
  <c r="N28" i="11"/>
  <c r="N30" i="11"/>
  <c r="AP319" i="14"/>
  <c r="AP321" i="14" s="1"/>
  <c r="AH47" i="10"/>
  <c r="K15" i="50"/>
  <c r="Z29" i="8"/>
  <c r="J15" i="12"/>
  <c r="AC29" i="8"/>
  <c r="AF29" i="8"/>
  <c r="L15" i="50"/>
  <c r="L7" i="50"/>
  <c r="N12" i="50"/>
  <c r="H9" i="50"/>
  <c r="I18" i="12"/>
  <c r="F16" i="50"/>
  <c r="AI45" i="8"/>
  <c r="H28" i="8"/>
  <c r="AL19" i="8"/>
  <c r="I24" i="50"/>
  <c r="L21" i="50"/>
  <c r="F19" i="12"/>
  <c r="N6" i="50"/>
  <c r="K12" i="50"/>
  <c r="G16" i="12"/>
  <c r="K11" i="50"/>
  <c r="W34" i="8"/>
  <c r="J7" i="50"/>
  <c r="W44" i="8"/>
  <c r="Q43" i="8"/>
  <c r="K19" i="8"/>
  <c r="T21" i="8"/>
  <c r="D16" i="50"/>
  <c r="I9" i="12"/>
  <c r="D19" i="50"/>
  <c r="H5" i="50"/>
  <c r="D14" i="50"/>
  <c r="M21" i="50"/>
  <c r="G16" i="50"/>
  <c r="M10" i="50"/>
  <c r="I15" i="12"/>
  <c r="K14" i="50"/>
  <c r="G8" i="50"/>
  <c r="Q50" i="8"/>
  <c r="Q51" i="8" s="1"/>
  <c r="N21" i="50"/>
  <c r="AL31" i="8"/>
  <c r="AI23" i="8"/>
  <c r="K21" i="8"/>
  <c r="J12" i="12"/>
  <c r="Q20" i="8"/>
  <c r="H25" i="50"/>
  <c r="AF20" i="8"/>
  <c r="E16" i="50"/>
  <c r="G18" i="50"/>
  <c r="I13" i="50"/>
  <c r="Z30" i="8"/>
  <c r="AL21" i="8"/>
  <c r="L9" i="50"/>
  <c r="N7" i="50"/>
  <c r="AF21" i="8"/>
  <c r="D10" i="12"/>
  <c r="C11" i="39"/>
  <c r="AI19" i="8"/>
  <c r="Z31" i="8"/>
  <c r="I19" i="12"/>
  <c r="H15" i="12"/>
  <c r="K8" i="50"/>
  <c r="E7" i="12"/>
  <c r="Q40" i="8"/>
  <c r="F5" i="50"/>
  <c r="I21" i="50"/>
  <c r="N30" i="8"/>
  <c r="H22" i="8"/>
  <c r="M7" i="50"/>
  <c r="I7" i="12"/>
  <c r="H10" i="12"/>
  <c r="K29" i="8"/>
  <c r="I25" i="12"/>
  <c r="AC31" i="8"/>
  <c r="K30" i="8"/>
  <c r="H6" i="50"/>
  <c r="F22" i="50"/>
  <c r="G22" i="50"/>
  <c r="C9" i="39"/>
  <c r="I12" i="12"/>
  <c r="H7" i="50"/>
  <c r="AI36" i="8"/>
  <c r="D9" i="12"/>
  <c r="C19" i="39"/>
  <c r="M24" i="50"/>
  <c r="N20" i="8"/>
  <c r="K39" i="8"/>
  <c r="H9" i="12"/>
  <c r="AF22" i="8"/>
  <c r="D5" i="12"/>
  <c r="AC20" i="8"/>
  <c r="H45" i="8"/>
  <c r="H26" i="8"/>
  <c r="W50" i="8"/>
  <c r="W51" i="8" s="1"/>
  <c r="D24" i="50"/>
  <c r="M22" i="50"/>
  <c r="E14" i="12"/>
  <c r="AI24" i="8"/>
  <c r="Q44" i="8"/>
  <c r="M12" i="50"/>
  <c r="F7" i="12"/>
  <c r="E21" i="50"/>
  <c r="L5" i="50"/>
  <c r="F6" i="12"/>
  <c r="E19" i="50"/>
  <c r="Z40" i="8"/>
  <c r="W45" i="8"/>
  <c r="J18" i="50"/>
  <c r="W23" i="8"/>
  <c r="H19" i="12"/>
  <c r="AL30" i="8"/>
  <c r="AC30" i="8"/>
  <c r="E24" i="12"/>
  <c r="K27" i="8"/>
  <c r="Z39" i="8"/>
  <c r="L24" i="50"/>
  <c r="AF19" i="8"/>
  <c r="AF26" i="8"/>
  <c r="D7" i="12"/>
  <c r="D24" i="12"/>
  <c r="L8" i="50"/>
  <c r="F13" i="12"/>
  <c r="M14" i="50"/>
  <c r="C17" i="39"/>
  <c r="AF43" i="8"/>
  <c r="Z43" i="8"/>
  <c r="H21" i="12"/>
  <c r="N25" i="8"/>
  <c r="I22" i="50"/>
  <c r="J16" i="12"/>
  <c r="J7" i="12"/>
  <c r="E5" i="12"/>
  <c r="H29" i="8"/>
  <c r="AC45" i="8"/>
  <c r="F16" i="12"/>
  <c r="H13" i="50"/>
  <c r="T24" i="8"/>
  <c r="W43" i="8"/>
  <c r="N28" i="8"/>
  <c r="T25" i="8"/>
  <c r="J18" i="12"/>
  <c r="AF50" i="8"/>
  <c r="AF51" i="8" s="1"/>
  <c r="F10" i="12"/>
  <c r="J24" i="50"/>
  <c r="F14" i="50"/>
  <c r="M18" i="50"/>
  <c r="M25" i="50"/>
  <c r="AI50" i="8"/>
  <c r="AI51" i="8" s="1"/>
  <c r="G10" i="12"/>
  <c r="AC26" i="8"/>
  <c r="C15" i="39"/>
  <c r="G24" i="12"/>
  <c r="W24" i="8"/>
  <c r="G25" i="50"/>
  <c r="N35" i="8"/>
  <c r="F24" i="12"/>
  <c r="Q19" i="8"/>
  <c r="AC50" i="8"/>
  <c r="AC51" i="8" s="1"/>
  <c r="W36" i="8"/>
  <c r="E7" i="50"/>
  <c r="W35" i="8"/>
  <c r="AI26" i="8"/>
  <c r="G14" i="12"/>
  <c r="AL22" i="8"/>
  <c r="I11" i="50"/>
  <c r="Z21" i="8"/>
  <c r="Z45" i="8"/>
  <c r="E24" i="50"/>
  <c r="M13" i="50"/>
  <c r="I18" i="50"/>
  <c r="N8" i="50"/>
  <c r="K25" i="50"/>
  <c r="J14" i="50"/>
  <c r="D13" i="12"/>
  <c r="H31" i="8"/>
  <c r="J25" i="50"/>
  <c r="F12" i="12"/>
  <c r="T40" i="8"/>
  <c r="J22" i="50"/>
  <c r="E13" i="50"/>
  <c r="N43" i="8"/>
  <c r="AI39" i="8"/>
  <c r="AC28" i="8"/>
  <c r="G12" i="12"/>
  <c r="N45" i="8"/>
  <c r="H22" i="50"/>
  <c r="AL39" i="8"/>
  <c r="K22" i="50"/>
  <c r="G24" i="50"/>
  <c r="K21" i="50"/>
  <c r="T36" i="8"/>
  <c r="Q26" i="8"/>
  <c r="L6" i="50"/>
  <c r="AI21" i="8"/>
  <c r="N25" i="50"/>
  <c r="I19" i="50"/>
  <c r="Q36" i="8"/>
  <c r="AI20" i="8"/>
  <c r="T26" i="8"/>
  <c r="J14" i="12"/>
  <c r="AC40" i="8"/>
  <c r="W22" i="8"/>
  <c r="I9" i="50"/>
  <c r="H18" i="12"/>
  <c r="D15" i="12"/>
  <c r="N22" i="50"/>
  <c r="AF34" i="8"/>
  <c r="J5" i="12"/>
  <c r="T50" i="8"/>
  <c r="T51" i="8" s="1"/>
  <c r="J25" i="12"/>
  <c r="K24" i="8"/>
  <c r="N21" i="8"/>
  <c r="N18" i="50"/>
  <c r="Q31" i="8"/>
  <c r="G7" i="50"/>
  <c r="AF25" i="8"/>
  <c r="AL36" i="8"/>
  <c r="K19" i="50"/>
  <c r="H13" i="12"/>
  <c r="G10" i="50"/>
  <c r="D8" i="12"/>
  <c r="E9" i="50"/>
  <c r="W21" i="8"/>
  <c r="K34" i="8"/>
  <c r="I8" i="50"/>
  <c r="AI22" i="8"/>
  <c r="I6" i="12"/>
  <c r="Z24" i="8"/>
  <c r="N11" i="50"/>
  <c r="I16" i="12"/>
  <c r="K43" i="8"/>
  <c r="H12" i="50"/>
  <c r="I14" i="50"/>
  <c r="Q29" i="8"/>
  <c r="J9" i="50"/>
  <c r="N24" i="50"/>
  <c r="C25" i="39"/>
  <c r="AF39" i="8"/>
  <c r="G6" i="12"/>
  <c r="T43" i="8"/>
  <c r="AC44" i="8"/>
  <c r="N36" i="8"/>
  <c r="AF30" i="8"/>
  <c r="N22" i="8"/>
  <c r="H27" i="8"/>
  <c r="F22" i="12"/>
  <c r="J12" i="50"/>
  <c r="W26" i="8"/>
  <c r="E6" i="50"/>
  <c r="H24" i="8"/>
  <c r="J6" i="50"/>
  <c r="L10" i="50"/>
  <c r="L25" i="50"/>
  <c r="M9" i="50"/>
  <c r="W39" i="8"/>
  <c r="E12" i="50"/>
  <c r="T34" i="8"/>
  <c r="F5" i="12"/>
  <c r="D19" i="12"/>
  <c r="K22" i="8"/>
  <c r="L12" i="50"/>
  <c r="H14" i="50"/>
  <c r="H8" i="50"/>
  <c r="AC43" i="8"/>
  <c r="H30" i="8"/>
  <c r="D18" i="50"/>
  <c r="I7" i="50"/>
  <c r="E22" i="50"/>
  <c r="G11" i="50"/>
  <c r="E12" i="12"/>
  <c r="N5" i="50"/>
  <c r="J16" i="50"/>
  <c r="F9" i="50"/>
  <c r="G25" i="12"/>
  <c r="C6" i="39"/>
  <c r="D15" i="50"/>
  <c r="T45" i="8"/>
  <c r="J10" i="12"/>
  <c r="AF27" i="8"/>
  <c r="D14" i="12"/>
  <c r="AF35" i="8"/>
  <c r="AL34" i="8"/>
  <c r="Q30" i="8"/>
  <c r="G5" i="50"/>
  <c r="Z34" i="8"/>
  <c r="J6" i="12"/>
  <c r="N9" i="50"/>
  <c r="K20" i="8"/>
  <c r="J21" i="50"/>
  <c r="F25" i="12"/>
  <c r="J13" i="50"/>
  <c r="AC36" i="8"/>
  <c r="H24" i="12"/>
  <c r="H21" i="8"/>
  <c r="E11" i="12"/>
  <c r="AL44" i="8"/>
  <c r="E8" i="12"/>
  <c r="W31" i="8"/>
  <c r="F24" i="50"/>
  <c r="F18" i="12"/>
  <c r="H6" i="12"/>
  <c r="G7" i="12"/>
  <c r="F25" i="50"/>
  <c r="H24" i="50"/>
  <c r="Q24" i="8"/>
  <c r="G19" i="50"/>
  <c r="K9" i="50"/>
  <c r="D11" i="12"/>
  <c r="M5" i="50"/>
  <c r="T31" i="8"/>
  <c r="F13" i="50"/>
  <c r="I14" i="12"/>
  <c r="Z26" i="8"/>
  <c r="K25" i="8"/>
  <c r="Q35" i="8"/>
  <c r="T27" i="8"/>
  <c r="D8" i="50"/>
  <c r="G9" i="12"/>
  <c r="E6" i="12"/>
  <c r="AI34" i="8"/>
  <c r="W30" i="8"/>
  <c r="T35" i="8"/>
  <c r="C20" i="39"/>
  <c r="T19" i="8"/>
  <c r="H11" i="50"/>
  <c r="N19" i="50"/>
  <c r="J19" i="12"/>
  <c r="I16" i="50"/>
  <c r="E10" i="50"/>
  <c r="AL35" i="8"/>
  <c r="W20" i="8"/>
  <c r="AI30" i="8"/>
  <c r="J22" i="12"/>
  <c r="K18" i="50"/>
  <c r="E5" i="50"/>
  <c r="AC39" i="8"/>
  <c r="J9" i="12"/>
  <c r="I24" i="12"/>
  <c r="K26" i="8"/>
  <c r="Z23" i="8"/>
  <c r="K36" i="8"/>
  <c r="H20" i="8"/>
  <c r="AC35" i="8"/>
  <c r="E10" i="12"/>
  <c r="K44" i="8"/>
  <c r="K5" i="50"/>
  <c r="H16" i="12"/>
  <c r="Q25" i="8"/>
  <c r="F7" i="50"/>
  <c r="AL20" i="8"/>
  <c r="I15" i="50"/>
  <c r="G12" i="50"/>
  <c r="J8" i="50"/>
  <c r="D6" i="50"/>
  <c r="K40" i="8"/>
  <c r="G11" i="12"/>
  <c r="H7" i="12"/>
  <c r="E19" i="12"/>
  <c r="E18" i="12"/>
  <c r="AC23" i="8"/>
  <c r="G9" i="50"/>
  <c r="L19" i="50"/>
  <c r="D13" i="50"/>
  <c r="K28" i="8"/>
  <c r="T22" i="8"/>
  <c r="I10" i="12"/>
  <c r="G21" i="12"/>
  <c r="AL25" i="8"/>
  <c r="K31" i="8"/>
  <c r="AI35" i="8"/>
  <c r="K16" i="50"/>
  <c r="K7" i="50"/>
  <c r="D7" i="50"/>
  <c r="Q21" i="8"/>
  <c r="D22" i="12"/>
  <c r="J11" i="12"/>
  <c r="C7" i="39"/>
  <c r="E22" i="12"/>
  <c r="E9" i="12"/>
  <c r="T39" i="8"/>
  <c r="M15" i="50"/>
  <c r="J21" i="12"/>
  <c r="G14" i="50"/>
  <c r="AC24" i="8"/>
  <c r="D21" i="12"/>
  <c r="T30" i="8"/>
  <c r="K23" i="8"/>
  <c r="C8" i="39"/>
  <c r="C14" i="39"/>
  <c r="AL23" i="8"/>
  <c r="H36" i="8"/>
  <c r="E15" i="12"/>
  <c r="I25" i="50"/>
  <c r="Z27" i="8"/>
  <c r="D12" i="50"/>
  <c r="N16" i="50"/>
  <c r="AF36" i="8"/>
  <c r="AI43" i="8"/>
  <c r="AL26" i="8"/>
  <c r="Q28" i="8"/>
  <c r="E15" i="50"/>
  <c r="H10" i="50"/>
  <c r="J10" i="50"/>
  <c r="D25" i="50"/>
  <c r="L16" i="50"/>
  <c r="C13" i="39"/>
  <c r="AI44" i="8"/>
  <c r="AI28" i="8"/>
  <c r="F15" i="12"/>
  <c r="AL50" i="8"/>
  <c r="AL51" i="8" s="1"/>
  <c r="L18" i="50"/>
  <c r="Q27" i="8"/>
  <c r="AF44" i="8"/>
  <c r="AF23" i="8"/>
  <c r="T28" i="8"/>
  <c r="AF40" i="8"/>
  <c r="N24" i="8"/>
  <c r="Q34" i="8"/>
  <c r="T23" i="8"/>
  <c r="N29" i="8"/>
  <c r="H39" i="8"/>
  <c r="N50" i="8"/>
  <c r="N51" i="8" s="1"/>
  <c r="AL40" i="8"/>
  <c r="N10" i="50"/>
  <c r="L11" i="50"/>
  <c r="Q45" i="8"/>
  <c r="AC19" i="8"/>
  <c r="AI40" i="8"/>
  <c r="H19" i="50"/>
  <c r="H25" i="12"/>
  <c r="I12" i="50"/>
  <c r="G22" i="12"/>
  <c r="AC21" i="8"/>
  <c r="K35" i="8"/>
  <c r="D16" i="12"/>
  <c r="F14" i="12"/>
  <c r="M11" i="50"/>
  <c r="Z36" i="8"/>
  <c r="G13" i="12"/>
  <c r="J8" i="12"/>
  <c r="N26" i="8"/>
  <c r="AF45" i="8"/>
  <c r="E18" i="50"/>
  <c r="G18" i="12"/>
  <c r="E16" i="12"/>
  <c r="C12" i="39"/>
  <c r="H40" i="8"/>
  <c r="F21" i="50"/>
  <c r="AI27" i="8"/>
  <c r="Z19" i="8"/>
  <c r="I10" i="50"/>
  <c r="K45" i="8"/>
  <c r="J13" i="12"/>
  <c r="D6" i="12"/>
  <c r="Q22" i="8"/>
  <c r="AC34" i="8"/>
  <c r="E25" i="50"/>
  <c r="Z44" i="8"/>
  <c r="F15" i="50"/>
  <c r="AI29" i="8"/>
  <c r="H22" i="12"/>
  <c r="G8" i="12"/>
  <c r="N19" i="8"/>
  <c r="H15" i="50"/>
  <c r="H12" i="12"/>
  <c r="AF24" i="8"/>
  <c r="C10" i="39"/>
  <c r="W28" i="8"/>
  <c r="K6" i="50"/>
  <c r="D25" i="12"/>
  <c r="Z50" i="8"/>
  <c r="Z51" i="8" s="1"/>
  <c r="H16" i="50"/>
  <c r="AF28" i="8"/>
  <c r="E13" i="12"/>
  <c r="E8" i="50"/>
  <c r="Z28" i="8"/>
  <c r="M8" i="50"/>
  <c r="AL24" i="8"/>
  <c r="AC22" i="8"/>
  <c r="K10" i="50"/>
  <c r="H44" i="8"/>
  <c r="K50" i="8"/>
  <c r="K51" i="8" s="1"/>
  <c r="C22" i="39"/>
  <c r="I5" i="50"/>
  <c r="AI31" i="8"/>
  <c r="T44" i="8"/>
  <c r="H25" i="8"/>
  <c r="N44" i="8"/>
  <c r="J24" i="12"/>
  <c r="I21" i="12"/>
  <c r="AF31" i="8"/>
  <c r="F11" i="50"/>
  <c r="D12" i="12"/>
  <c r="L14" i="50"/>
  <c r="D11" i="50"/>
  <c r="AL45" i="8"/>
  <c r="J19" i="50"/>
  <c r="H34" i="8"/>
  <c r="I6" i="50"/>
  <c r="Z22" i="8"/>
  <c r="F8" i="12"/>
  <c r="D18" i="12"/>
  <c r="G19" i="12"/>
  <c r="I8" i="12"/>
  <c r="G13" i="50"/>
  <c r="N27" i="8"/>
  <c r="N31" i="8"/>
  <c r="I11" i="12"/>
  <c r="T20" i="8"/>
  <c r="AL29" i="8"/>
  <c r="Z35" i="8"/>
  <c r="W29" i="8"/>
  <c r="E11" i="50"/>
  <c r="H14" i="12"/>
  <c r="N40" i="8"/>
  <c r="D21" i="50"/>
  <c r="I13" i="12"/>
  <c r="F6" i="50"/>
  <c r="AI25" i="8"/>
  <c r="H5" i="12"/>
  <c r="F12" i="50"/>
  <c r="AC25" i="8"/>
  <c r="F8" i="50"/>
  <c r="N23" i="8"/>
  <c r="D5" i="50"/>
  <c r="AC27" i="8"/>
  <c r="T29" i="8"/>
  <c r="M16" i="50"/>
  <c r="G21" i="50"/>
  <c r="F19" i="50"/>
  <c r="I5" i="12"/>
  <c r="N34" i="8"/>
  <c r="Q23" i="8"/>
  <c r="H19" i="8"/>
  <c r="M19" i="50"/>
  <c r="N15" i="50"/>
  <c r="M6" i="50"/>
  <c r="Z25" i="8"/>
  <c r="H11" i="12"/>
  <c r="AL28" i="8"/>
  <c r="F11" i="12"/>
  <c r="N39" i="8"/>
  <c r="H18" i="50"/>
  <c r="W25" i="8"/>
  <c r="F18" i="50"/>
  <c r="D10" i="50"/>
  <c r="G15" i="50"/>
  <c r="L13" i="50"/>
  <c r="H35" i="8"/>
  <c r="W19" i="8"/>
  <c r="G5" i="12"/>
  <c r="I22" i="12"/>
  <c r="E25" i="12"/>
  <c r="F10" i="50"/>
  <c r="Z20" i="8"/>
  <c r="N13" i="50"/>
  <c r="J15" i="50"/>
  <c r="AL43" i="8"/>
  <c r="G15" i="12"/>
  <c r="G6" i="50"/>
  <c r="W27" i="8"/>
  <c r="F9" i="12"/>
  <c r="H50" i="8"/>
  <c r="H51" i="8" s="1"/>
  <c r="J11" i="50"/>
  <c r="J5" i="50"/>
  <c r="AL27" i="8"/>
  <c r="E21" i="12"/>
  <c r="K24" i="50"/>
  <c r="H23" i="8"/>
  <c r="D9" i="50"/>
  <c r="F21" i="12"/>
  <c r="H8" i="12"/>
  <c r="N14" i="50"/>
  <c r="D22" i="50"/>
  <c r="K13" i="50"/>
  <c r="H43" i="8"/>
  <c r="H21" i="50"/>
  <c r="L22" i="50"/>
  <c r="E14" i="50"/>
  <c r="Q39" i="8"/>
  <c r="W40" i="8"/>
  <c r="C16" i="39"/>
  <c r="AP279" i="14"/>
  <c r="AP281" i="14" s="1"/>
  <c r="AI21" i="10"/>
  <c r="AI24" i="10" s="1"/>
  <c r="G13" i="13" s="1"/>
  <c r="AH24" i="10"/>
  <c r="G49" i="13"/>
  <c r="G51" i="13" s="1"/>
  <c r="AV201" i="14"/>
  <c r="CK310" i="14"/>
  <c r="CK319" i="14" s="1"/>
  <c r="CK321" i="14" s="1"/>
  <c r="EB201" i="14"/>
  <c r="H36" i="50"/>
  <c r="H36" i="12"/>
  <c r="I36" i="50"/>
  <c r="AD297" i="14"/>
  <c r="I36" i="12"/>
  <c r="J36" i="50"/>
  <c r="J36" i="12"/>
  <c r="N36" i="50"/>
  <c r="H37" i="50"/>
  <c r="E36" i="50"/>
  <c r="J32" i="12"/>
  <c r="D38" i="50"/>
  <c r="L34" i="50"/>
  <c r="I38" i="12"/>
  <c r="K35" i="50"/>
  <c r="E32" i="50"/>
  <c r="J38" i="12"/>
  <c r="H31" i="12"/>
  <c r="L33" i="50"/>
  <c r="H32" i="50"/>
  <c r="I34" i="12"/>
  <c r="L31" i="50"/>
  <c r="J35" i="50"/>
  <c r="G32" i="12"/>
  <c r="D36" i="50"/>
  <c r="AP297" i="14"/>
  <c r="N31" i="50"/>
  <c r="F33" i="12"/>
  <c r="F37" i="12"/>
  <c r="N37" i="50"/>
  <c r="N34" i="50"/>
  <c r="E38" i="50"/>
  <c r="L35" i="50"/>
  <c r="H34" i="12"/>
  <c r="J32" i="50"/>
  <c r="D33" i="12"/>
  <c r="I32" i="12"/>
  <c r="F33" i="50"/>
  <c r="K36" i="50"/>
  <c r="H34" i="50"/>
  <c r="D32" i="50"/>
  <c r="F31" i="50"/>
  <c r="E35" i="50"/>
  <c r="M36" i="50"/>
  <c r="I31" i="50"/>
  <c r="I31" i="12"/>
  <c r="D33" i="50"/>
  <c r="G38" i="12"/>
  <c r="N32" i="50"/>
  <c r="J35" i="12"/>
  <c r="G34" i="12"/>
  <c r="E31" i="50"/>
  <c r="H35" i="12"/>
  <c r="N35" i="50"/>
  <c r="F37" i="50"/>
  <c r="D31" i="12"/>
  <c r="F32" i="50"/>
  <c r="F35" i="12"/>
  <c r="L37" i="50"/>
  <c r="E37" i="12"/>
  <c r="D34" i="12"/>
  <c r="I33" i="12"/>
  <c r="M35" i="50"/>
  <c r="I32" i="50"/>
  <c r="H31" i="50"/>
  <c r="F34" i="50"/>
  <c r="K34" i="50"/>
  <c r="I33" i="50"/>
  <c r="E38" i="12"/>
  <c r="M31" i="50"/>
  <c r="AJ297" i="14"/>
  <c r="G33" i="50"/>
  <c r="G31" i="50"/>
  <c r="J33" i="50"/>
  <c r="I37" i="12"/>
  <c r="H35" i="50"/>
  <c r="E33" i="12"/>
  <c r="I38" i="50"/>
  <c r="M38" i="50"/>
  <c r="G38" i="50"/>
  <c r="K32" i="50"/>
  <c r="K37" i="50"/>
  <c r="G36" i="12"/>
  <c r="G36" i="50"/>
  <c r="E33" i="50"/>
  <c r="J31" i="12"/>
  <c r="D37" i="50"/>
  <c r="J31" i="50"/>
  <c r="J37" i="12"/>
  <c r="I37" i="50"/>
  <c r="H38" i="12"/>
  <c r="G33" i="12"/>
  <c r="F32" i="12"/>
  <c r="D31" i="50"/>
  <c r="M32" i="50"/>
  <c r="H37" i="12"/>
  <c r="G31" i="12"/>
  <c r="I35" i="12"/>
  <c r="N33" i="50"/>
  <c r="AM297" i="14"/>
  <c r="K31" i="50"/>
  <c r="D32" i="12"/>
  <c r="E34" i="50"/>
  <c r="D38" i="12"/>
  <c r="D35" i="12"/>
  <c r="AG297" i="14"/>
  <c r="H32" i="12"/>
  <c r="M37" i="50"/>
  <c r="D37" i="12"/>
  <c r="E31" i="12"/>
  <c r="M33" i="50"/>
  <c r="G37" i="12"/>
  <c r="G35" i="50"/>
  <c r="F38" i="12"/>
  <c r="G34" i="50"/>
  <c r="L38" i="50"/>
  <c r="J34" i="50"/>
  <c r="I35" i="50"/>
  <c r="M34" i="50"/>
  <c r="I34" i="50"/>
  <c r="F38" i="50"/>
  <c r="G32" i="50"/>
  <c r="E37" i="50"/>
  <c r="K33" i="50"/>
  <c r="H38" i="50"/>
  <c r="F34" i="12"/>
  <c r="G35" i="12"/>
  <c r="F36" i="50"/>
  <c r="N38" i="50"/>
  <c r="H33" i="50"/>
  <c r="J38" i="50"/>
  <c r="D34" i="50"/>
  <c r="J34" i="12"/>
  <c r="D36" i="12"/>
  <c r="H33" i="12"/>
  <c r="F31" i="12"/>
  <c r="G37" i="50"/>
  <c r="J37" i="50"/>
  <c r="K38" i="50"/>
  <c r="E35" i="12"/>
  <c r="F35" i="50"/>
  <c r="L36" i="50"/>
  <c r="F36" i="12"/>
  <c r="E32" i="12"/>
  <c r="J33" i="12"/>
  <c r="D35" i="50"/>
  <c r="E34" i="12"/>
  <c r="L32" i="50"/>
  <c r="E36" i="12"/>
  <c r="E31" i="2"/>
  <c r="AK32" i="2"/>
  <c r="G8" i="13"/>
  <c r="K18" i="13"/>
  <c r="G18" i="13" s="1"/>
  <c r="G11" i="13"/>
  <c r="G53" i="13"/>
  <c r="E201" i="7"/>
  <c r="E202" i="7" s="1"/>
  <c r="AS310" i="14"/>
  <c r="AS319" i="14" s="1"/>
  <c r="AS321" i="14" s="1"/>
  <c r="AS281" i="14"/>
  <c r="I36" i="35" l="1"/>
  <c r="I45" i="35" s="1"/>
  <c r="C27" i="35" s="1"/>
  <c r="E27" i="35" s="1"/>
  <c r="AO41" i="8"/>
  <c r="AO46" i="8" s="1"/>
  <c r="AO51" i="8" s="1"/>
  <c r="K18" i="12"/>
  <c r="K6" i="12"/>
  <c r="G54" i="13"/>
  <c r="E43" i="8"/>
  <c r="J17" i="50"/>
  <c r="J20" i="50" s="1"/>
  <c r="J23" i="50" s="1"/>
  <c r="J26" i="50" s="1"/>
  <c r="J28" i="50" s="1"/>
  <c r="E35" i="8"/>
  <c r="O7" i="50"/>
  <c r="O9" i="50"/>
  <c r="G39" i="12"/>
  <c r="I8" i="13"/>
  <c r="K12" i="12"/>
  <c r="E23" i="8"/>
  <c r="K37" i="12"/>
  <c r="K39" i="50"/>
  <c r="I39" i="50"/>
  <c r="E34" i="8"/>
  <c r="O10" i="50"/>
  <c r="I11" i="13"/>
  <c r="I15" i="13"/>
  <c r="O34" i="50"/>
  <c r="E39" i="50"/>
  <c r="K33" i="12"/>
  <c r="O38" i="50"/>
  <c r="E44" i="8"/>
  <c r="K21" i="12"/>
  <c r="E30" i="8"/>
  <c r="F17" i="50"/>
  <c r="F20" i="50" s="1"/>
  <c r="F23" i="50" s="1"/>
  <c r="F26" i="50" s="1"/>
  <c r="F28" i="50" s="1"/>
  <c r="K34" i="12"/>
  <c r="N39" i="50"/>
  <c r="H17" i="12"/>
  <c r="H20" i="12" s="1"/>
  <c r="H23" i="12" s="1"/>
  <c r="H26" i="12" s="1"/>
  <c r="H28" i="12" s="1"/>
  <c r="K14" i="12"/>
  <c r="J17" i="12"/>
  <c r="J20" i="12" s="1"/>
  <c r="J23" i="12" s="1"/>
  <c r="J26" i="12" s="1"/>
  <c r="J28" i="12" s="1"/>
  <c r="K24" i="12"/>
  <c r="K10" i="12"/>
  <c r="O14" i="50"/>
  <c r="AI47" i="10"/>
  <c r="AI50" i="10" s="1"/>
  <c r="G14" i="13" s="1"/>
  <c r="I14" i="13" s="1"/>
  <c r="AH50" i="10"/>
  <c r="I13" i="13"/>
  <c r="I18" i="13"/>
  <c r="O35" i="50"/>
  <c r="F39" i="50"/>
  <c r="H39" i="12"/>
  <c r="G17" i="12"/>
  <c r="G20" i="12" s="1"/>
  <c r="G23" i="12" s="1"/>
  <c r="G26" i="12" s="1"/>
  <c r="G28" i="12" s="1"/>
  <c r="O11" i="50"/>
  <c r="E25" i="8"/>
  <c r="N32" i="8"/>
  <c r="N37" i="8" s="1"/>
  <c r="N41" i="8" s="1"/>
  <c r="N46" i="8" s="1"/>
  <c r="E40" i="8"/>
  <c r="E36" i="8"/>
  <c r="K22" i="12"/>
  <c r="E17" i="50"/>
  <c r="E20" i="50" s="1"/>
  <c r="E23" i="50" s="1"/>
  <c r="E26" i="50" s="1"/>
  <c r="E28" i="50" s="1"/>
  <c r="N17" i="50"/>
  <c r="N20" i="50" s="1"/>
  <c r="N23" i="50" s="1"/>
  <c r="N26" i="50" s="1"/>
  <c r="N28" i="50" s="1"/>
  <c r="E31" i="8"/>
  <c r="K7" i="12"/>
  <c r="L17" i="50"/>
  <c r="L20" i="50" s="1"/>
  <c r="L23" i="50" s="1"/>
  <c r="L26" i="50" s="1"/>
  <c r="L28" i="50" s="1"/>
  <c r="O24" i="50"/>
  <c r="H17" i="50"/>
  <c r="H20" i="50" s="1"/>
  <c r="H23" i="50" s="1"/>
  <c r="H26" i="50" s="1"/>
  <c r="H28" i="50" s="1"/>
  <c r="O32" i="50"/>
  <c r="O36" i="50"/>
  <c r="O22" i="50"/>
  <c r="W32" i="8"/>
  <c r="W37" i="8" s="1"/>
  <c r="W41" i="8" s="1"/>
  <c r="W46" i="8" s="1"/>
  <c r="E19" i="8"/>
  <c r="H32" i="8"/>
  <c r="H37" i="8" s="1"/>
  <c r="H41" i="8" s="1"/>
  <c r="H46" i="8" s="1"/>
  <c r="D26" i="10" s="1"/>
  <c r="K25" i="12"/>
  <c r="E20" i="8"/>
  <c r="E21" i="8"/>
  <c r="K13" i="12"/>
  <c r="O19" i="50"/>
  <c r="AL32" i="8"/>
  <c r="AL37" i="8" s="1"/>
  <c r="AL41" i="8" s="1"/>
  <c r="AL46" i="8" s="1"/>
  <c r="K35" i="12"/>
  <c r="G39" i="50"/>
  <c r="K31" i="12"/>
  <c r="D39" i="12"/>
  <c r="O5" i="50"/>
  <c r="D17" i="50"/>
  <c r="D20" i="50" s="1"/>
  <c r="D23" i="50" s="1"/>
  <c r="D26" i="50" s="1"/>
  <c r="D28" i="50" s="1"/>
  <c r="E39" i="8"/>
  <c r="O8" i="50"/>
  <c r="M17" i="50"/>
  <c r="M20" i="50" s="1"/>
  <c r="M23" i="50" s="1"/>
  <c r="M26" i="50" s="1"/>
  <c r="M28" i="50" s="1"/>
  <c r="E27" i="8"/>
  <c r="K8" i="12"/>
  <c r="K15" i="12"/>
  <c r="Q32" i="8"/>
  <c r="Q37" i="8" s="1"/>
  <c r="Q41" i="8" s="1"/>
  <c r="Q46" i="8" s="1"/>
  <c r="E29" i="8"/>
  <c r="K25" i="17" s="1"/>
  <c r="AF32" i="8"/>
  <c r="AF37" i="8" s="1"/>
  <c r="AF41" i="8" s="1"/>
  <c r="AF46" i="8" s="1"/>
  <c r="E26" i="8"/>
  <c r="E28" i="8"/>
  <c r="H39" i="50"/>
  <c r="F39" i="12"/>
  <c r="K38" i="12"/>
  <c r="J39" i="50"/>
  <c r="O37" i="50"/>
  <c r="O33" i="50"/>
  <c r="O21" i="50"/>
  <c r="I17" i="50"/>
  <c r="I20" i="50" s="1"/>
  <c r="I23" i="50" s="1"/>
  <c r="I26" i="50" s="1"/>
  <c r="I28" i="50" s="1"/>
  <c r="O25" i="50"/>
  <c r="T32" i="8"/>
  <c r="T37" i="8" s="1"/>
  <c r="T41" i="8" s="1"/>
  <c r="T46" i="8" s="1"/>
  <c r="K11" i="12"/>
  <c r="G17" i="50"/>
  <c r="G20" i="50" s="1"/>
  <c r="G23" i="50" s="1"/>
  <c r="G26" i="50" s="1"/>
  <c r="G28" i="50" s="1"/>
  <c r="O15" i="50"/>
  <c r="E17" i="12"/>
  <c r="E20" i="12" s="1"/>
  <c r="E23" i="12" s="1"/>
  <c r="E26" i="12" s="1"/>
  <c r="E28" i="12" s="1"/>
  <c r="E45" i="8"/>
  <c r="E22" i="8"/>
  <c r="O16" i="50"/>
  <c r="N4" i="11"/>
  <c r="O4" i="11" s="1"/>
  <c r="O30" i="11"/>
  <c r="O32" i="11" s="1"/>
  <c r="E32" i="2"/>
  <c r="F31" i="2" s="1"/>
  <c r="K36" i="12"/>
  <c r="E39" i="12"/>
  <c r="K32" i="12"/>
  <c r="D39" i="50"/>
  <c r="O31" i="50"/>
  <c r="J39" i="12"/>
  <c r="M39" i="50"/>
  <c r="I39" i="12"/>
  <c r="L39" i="50"/>
  <c r="E50" i="8"/>
  <c r="E51" i="8"/>
  <c r="I17" i="12"/>
  <c r="I20" i="12" s="1"/>
  <c r="I23" i="12" s="1"/>
  <c r="I26" i="12" s="1"/>
  <c r="I28" i="12" s="1"/>
  <c r="K16" i="12"/>
  <c r="AC32" i="8"/>
  <c r="AC37" i="8" s="1"/>
  <c r="AC41" i="8" s="1"/>
  <c r="AC46" i="8" s="1"/>
  <c r="O12" i="50"/>
  <c r="O13" i="50"/>
  <c r="C18" i="39"/>
  <c r="C21" i="39" s="1"/>
  <c r="C24" i="39" s="1"/>
  <c r="C26" i="39" s="1"/>
  <c r="K19" i="12"/>
  <c r="K9" i="12"/>
  <c r="N32" i="11"/>
  <c r="Z32" i="8"/>
  <c r="Z37" i="8" s="1"/>
  <c r="Z41" i="8" s="1"/>
  <c r="Z46" i="8" s="1"/>
  <c r="O6" i="50"/>
  <c r="K17" i="50"/>
  <c r="K20" i="50" s="1"/>
  <c r="K23" i="50" s="1"/>
  <c r="K26" i="50" s="1"/>
  <c r="K28" i="50" s="1"/>
  <c r="O18" i="50"/>
  <c r="F17" i="12"/>
  <c r="F20" i="12" s="1"/>
  <c r="F23" i="12" s="1"/>
  <c r="F26" i="12" s="1"/>
  <c r="F28" i="12" s="1"/>
  <c r="E24" i="8"/>
  <c r="K5" i="12"/>
  <c r="D17" i="12"/>
  <c r="D20" i="12" s="1"/>
  <c r="D23" i="12" s="1"/>
  <c r="D26" i="12" s="1"/>
  <c r="D28" i="12" s="1"/>
  <c r="AI32" i="8"/>
  <c r="AI37" i="8" s="1"/>
  <c r="AI41" i="8" s="1"/>
  <c r="AI46" i="8" s="1"/>
  <c r="K32" i="8"/>
  <c r="K37" i="8" s="1"/>
  <c r="K41" i="8" s="1"/>
  <c r="K46" i="8" s="1"/>
  <c r="O3" i="11"/>
  <c r="E9" i="44" l="1"/>
  <c r="F9" i="44" s="1"/>
  <c r="H9" i="44" s="1"/>
  <c r="E13" i="44"/>
  <c r="F13" i="44" s="1"/>
  <c r="H13" i="44" s="1"/>
  <c r="E11" i="44"/>
  <c r="F11" i="44" s="1"/>
  <c r="H11" i="44" s="1"/>
  <c r="E7" i="44"/>
  <c r="F7" i="44" s="1"/>
  <c r="H7" i="44" s="1"/>
  <c r="E26" i="44"/>
  <c r="F26" i="44" s="1"/>
  <c r="H26" i="44" s="1"/>
  <c r="E17" i="44"/>
  <c r="F17" i="44" s="1"/>
  <c r="H17" i="44" s="1"/>
  <c r="E10" i="44"/>
  <c r="F10" i="44" s="1"/>
  <c r="H10" i="44" s="1"/>
  <c r="E33" i="44"/>
  <c r="F33" i="44" s="1"/>
  <c r="H33" i="44" s="1"/>
  <c r="E14" i="44"/>
  <c r="F14" i="44" s="1"/>
  <c r="H14" i="44" s="1"/>
  <c r="E23" i="44"/>
  <c r="F23" i="44" s="1"/>
  <c r="H23" i="44" s="1"/>
  <c r="E25" i="44"/>
  <c r="F25" i="44" s="1"/>
  <c r="H25" i="44" s="1"/>
  <c r="E22" i="44"/>
  <c r="F22" i="44" s="1"/>
  <c r="H22" i="44" s="1"/>
  <c r="E19" i="44"/>
  <c r="F19" i="44" s="1"/>
  <c r="H19" i="44" s="1"/>
  <c r="E15" i="44"/>
  <c r="F15" i="44" s="1"/>
  <c r="H15" i="44" s="1"/>
  <c r="E36" i="44"/>
  <c r="F36" i="44" s="1"/>
  <c r="H36" i="44" s="1"/>
  <c r="E8" i="44"/>
  <c r="F8" i="44" s="1"/>
  <c r="H8" i="44" s="1"/>
  <c r="E38" i="44"/>
  <c r="F38" i="44" s="1"/>
  <c r="H38" i="44" s="1"/>
  <c r="E20" i="44"/>
  <c r="F20" i="44" s="1"/>
  <c r="H20" i="44" s="1"/>
  <c r="E12" i="44"/>
  <c r="F12" i="44" s="1"/>
  <c r="H12" i="44" s="1"/>
  <c r="E39" i="44"/>
  <c r="F39" i="44" s="1"/>
  <c r="H39" i="44" s="1"/>
  <c r="E16" i="44"/>
  <c r="F16" i="44" s="1"/>
  <c r="H16" i="44" s="1"/>
  <c r="D41" i="50"/>
  <c r="N6" i="11"/>
  <c r="O6" i="11" s="1"/>
  <c r="O39" i="50"/>
  <c r="D52" i="10"/>
  <c r="E6" i="44"/>
  <c r="F6" i="44" s="1"/>
  <c r="H6" i="44" s="1"/>
  <c r="K17" i="12"/>
  <c r="E32" i="8"/>
  <c r="J26" i="10"/>
  <c r="R203" i="14"/>
  <c r="R204" i="14" s="1"/>
  <c r="AH26" i="10"/>
  <c r="AP203" i="14"/>
  <c r="AP204" i="14" s="1"/>
  <c r="S26" i="10"/>
  <c r="AA203" i="14"/>
  <c r="AA204" i="14" s="1"/>
  <c r="E34" i="44"/>
  <c r="F34" i="44" s="1"/>
  <c r="H34" i="44" s="1"/>
  <c r="E10" i="48"/>
  <c r="E37" i="44"/>
  <c r="F37" i="44" s="1"/>
  <c r="H37" i="44" s="1"/>
  <c r="F10" i="48"/>
  <c r="AB26" i="10"/>
  <c r="AJ203" i="14"/>
  <c r="AJ204" i="14" s="1"/>
  <c r="E36" i="2"/>
  <c r="F22" i="2"/>
  <c r="F25" i="2"/>
  <c r="G36" i="2"/>
  <c r="F26" i="2"/>
  <c r="G16" i="13"/>
  <c r="I16" i="13" s="1"/>
  <c r="F21" i="2"/>
  <c r="F23" i="2"/>
  <c r="F20" i="2"/>
  <c r="F24" i="2"/>
  <c r="F29" i="2"/>
  <c r="F30" i="2"/>
  <c r="F28" i="2"/>
  <c r="F27" i="2"/>
  <c r="C38" i="2"/>
  <c r="B10" i="17"/>
  <c r="K34" i="17"/>
  <c r="J11" i="17" s="1"/>
  <c r="D10" i="48"/>
  <c r="E35" i="44"/>
  <c r="F35" i="44" s="1"/>
  <c r="H35" i="44" s="1"/>
  <c r="U203" i="14"/>
  <c r="U204" i="14" s="1"/>
  <c r="M26" i="10"/>
  <c r="O17" i="50"/>
  <c r="O20" i="50" s="1"/>
  <c r="O23" i="50" s="1"/>
  <c r="O26" i="50" s="1"/>
  <c r="O28" i="50" s="1"/>
  <c r="G10" i="13" s="1"/>
  <c r="I10" i="13" s="1"/>
  <c r="O203" i="14"/>
  <c r="G26" i="10"/>
  <c r="Y26" i="10"/>
  <c r="AG203" i="14"/>
  <c r="AG204" i="14" s="1"/>
  <c r="D41" i="12"/>
  <c r="K39" i="12"/>
  <c r="AM203" i="14"/>
  <c r="AM204" i="14" s="1"/>
  <c r="AE26" i="10"/>
  <c r="AD203" i="14"/>
  <c r="AD204" i="14" s="1"/>
  <c r="V26" i="10"/>
  <c r="P26" i="10"/>
  <c r="X203" i="14"/>
  <c r="X204" i="14" s="1"/>
  <c r="C10" i="48"/>
  <c r="E32" i="44"/>
  <c r="F32" i="44" s="1"/>
  <c r="H32" i="44" s="1"/>
  <c r="E40" i="44" l="1"/>
  <c r="F40" i="44" s="1"/>
  <c r="H40" i="44" s="1"/>
  <c r="N8" i="11"/>
  <c r="N10" i="11" s="1"/>
  <c r="M52" i="10"/>
  <c r="M53" i="10" s="1"/>
  <c r="M27" i="10"/>
  <c r="J27" i="10"/>
  <c r="J52" i="10"/>
  <c r="J53" i="10" s="1"/>
  <c r="AH27" i="10"/>
  <c r="AH52" i="10"/>
  <c r="AH53" i="10" s="1"/>
  <c r="K63" i="8"/>
  <c r="F27" i="8"/>
  <c r="F28" i="8"/>
  <c r="F19" i="8"/>
  <c r="F22" i="8"/>
  <c r="E37" i="8"/>
  <c r="E41" i="8" s="1"/>
  <c r="F20" i="8"/>
  <c r="F26" i="8"/>
  <c r="F21" i="8"/>
  <c r="F25" i="8"/>
  <c r="F23" i="8"/>
  <c r="F24" i="8"/>
  <c r="F30" i="8"/>
  <c r="F29" i="8"/>
  <c r="P52" i="10"/>
  <c r="P53" i="10" s="1"/>
  <c r="P27" i="10"/>
  <c r="V27" i="10"/>
  <c r="V52" i="10"/>
  <c r="V53" i="10" s="1"/>
  <c r="Y27" i="10"/>
  <c r="Y52" i="10"/>
  <c r="Y53" i="10" s="1"/>
  <c r="K20" i="12"/>
  <c r="E18" i="44"/>
  <c r="F18" i="44" s="1"/>
  <c r="H18" i="44" s="1"/>
  <c r="AB52" i="10"/>
  <c r="AB53" i="10" s="1"/>
  <c r="AB27" i="10"/>
  <c r="G27" i="10"/>
  <c r="G52" i="10"/>
  <c r="G53" i="10" s="1"/>
  <c r="AE27" i="10"/>
  <c r="AE52" i="10"/>
  <c r="AE53" i="10" s="1"/>
  <c r="AR203" i="14"/>
  <c r="AR206" i="14" s="1"/>
  <c r="O204" i="14"/>
  <c r="F32" i="2"/>
  <c r="S52" i="10"/>
  <c r="S53" i="10" s="1"/>
  <c r="S27" i="10"/>
  <c r="AI26" i="10"/>
  <c r="AI27" i="10" s="1"/>
  <c r="G10" i="48"/>
  <c r="I16" i="48" s="1"/>
  <c r="I15" i="48"/>
  <c r="C36" i="35"/>
  <c r="J10" i="17"/>
  <c r="J12" i="17" s="1"/>
  <c r="O8" i="11" l="1"/>
  <c r="I19" i="48"/>
  <c r="C16" i="48"/>
  <c r="K16" i="48"/>
  <c r="J16" i="48"/>
  <c r="F32" i="8"/>
  <c r="G22" i="8"/>
  <c r="E47" i="8"/>
  <c r="F89" i="45" s="1"/>
  <c r="G39" i="8"/>
  <c r="G31" i="8"/>
  <c r="G27" i="8"/>
  <c r="G20" i="8"/>
  <c r="E46" i="8"/>
  <c r="G28" i="8"/>
  <c r="G30" i="8"/>
  <c r="G23" i="8"/>
  <c r="E56" i="8"/>
  <c r="G25" i="8"/>
  <c r="G36" i="8"/>
  <c r="G35" i="8"/>
  <c r="G19" i="8"/>
  <c r="G21" i="8"/>
  <c r="H56" i="8"/>
  <c r="G24" i="8"/>
  <c r="G26" i="8"/>
  <c r="G29" i="8"/>
  <c r="G34" i="8"/>
  <c r="G43" i="8"/>
  <c r="C53" i="8"/>
  <c r="AI52" i="10"/>
  <c r="AI53" i="10" s="1"/>
  <c r="L16" i="48"/>
  <c r="K23" i="12"/>
  <c r="E21" i="44"/>
  <c r="F21" i="44" s="1"/>
  <c r="H21" i="44" s="1"/>
  <c r="J36" i="35"/>
  <c r="J45" i="35" s="1"/>
  <c r="C45" i="35"/>
  <c r="C21" i="35" s="1"/>
  <c r="K15" i="48"/>
  <c r="E15" i="48" s="1"/>
  <c r="C15" i="48"/>
  <c r="N12" i="11"/>
  <c r="O10" i="11"/>
  <c r="O12" i="11" s="1"/>
  <c r="K17" i="13" s="1"/>
  <c r="G17" i="13" s="1"/>
  <c r="I17" i="13" s="1"/>
  <c r="G15" i="48" l="1"/>
  <c r="E24" i="44"/>
  <c r="F24" i="44" s="1"/>
  <c r="H24" i="44" s="1"/>
  <c r="K26" i="12"/>
  <c r="L19" i="48"/>
  <c r="F16" i="48"/>
  <c r="G32" i="8"/>
  <c r="G37" i="8" s="1"/>
  <c r="J19" i="48"/>
  <c r="D16" i="48"/>
  <c r="M15" i="48"/>
  <c r="K19" i="48"/>
  <c r="E16" i="48"/>
  <c r="C28" i="35"/>
  <c r="E21" i="35"/>
  <c r="E28" i="35" s="1"/>
  <c r="K12" i="13" s="1"/>
  <c r="G12" i="13" s="1"/>
  <c r="I12" i="13" s="1"/>
  <c r="G7" i="13"/>
  <c r="G40" i="8"/>
  <c r="G44" i="8"/>
  <c r="K62" i="8"/>
  <c r="K139" i="15"/>
  <c r="K140" i="15" s="1"/>
  <c r="G45" i="8"/>
  <c r="AO52" i="8"/>
  <c r="I21" i="48"/>
  <c r="C19" i="48"/>
  <c r="M16" i="48"/>
  <c r="G16" i="48" l="1"/>
  <c r="G41" i="8"/>
  <c r="J21" i="48"/>
  <c r="D21" i="48" s="1"/>
  <c r="D19" i="48"/>
  <c r="L21" i="48"/>
  <c r="F21" i="48" s="1"/>
  <c r="F19" i="48"/>
  <c r="G9" i="13"/>
  <c r="I9" i="13" s="1"/>
  <c r="E27" i="44"/>
  <c r="F27" i="44" s="1"/>
  <c r="H27" i="44" s="1"/>
  <c r="K28" i="12"/>
  <c r="K21" i="48"/>
  <c r="E21" i="48" s="1"/>
  <c r="E19" i="48"/>
  <c r="M19" i="48"/>
  <c r="C21" i="48"/>
  <c r="N7" i="13"/>
  <c r="I7" i="13"/>
  <c r="E29" i="44" l="1"/>
  <c r="F29" i="44" s="1"/>
  <c r="H29" i="44" s="1"/>
  <c r="D22" i="48"/>
  <c r="D23" i="48" s="1"/>
  <c r="G19" i="48"/>
  <c r="E22" i="48"/>
  <c r="E23" i="48" s="1"/>
  <c r="G21" i="48"/>
  <c r="M21" i="48"/>
  <c r="F22" i="48"/>
  <c r="F23" i="48" s="1"/>
  <c r="C22" i="48"/>
  <c r="C23" i="48" s="1"/>
  <c r="G22" i="48" l="1"/>
  <c r="G23" i="48" s="1"/>
  <c r="G25" i="48" s="1"/>
  <c r="B28" i="48"/>
  <c r="C28" i="48" s="1"/>
  <c r="B29" i="48"/>
  <c r="C29" i="48" s="1"/>
  <c r="B8" i="49" s="1"/>
  <c r="B10" i="49" s="1"/>
  <c r="B12" i="49" s="1"/>
  <c r="B30" i="48"/>
  <c r="C30" i="48" s="1"/>
  <c r="D8" i="49" s="1"/>
  <c r="D10" i="49" s="1"/>
  <c r="D12" i="49" s="1"/>
  <c r="B31" i="48" l="1"/>
  <c r="C31" i="48"/>
  <c r="C8" i="49"/>
  <c r="C10" i="49" l="1"/>
  <c r="E10" i="49" s="1"/>
  <c r="E8" i="49"/>
  <c r="E12" i="49" l="1"/>
  <c r="C12"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Thibodeau, John E</author>
  </authors>
  <commentList>
    <comment ref="B116" authorId="0" shapeId="0" xr:uid="{32DBCFCB-0406-4ECA-A51A-5E2DE88BAE1C}">
      <text>
        <r>
          <rPr>
            <sz val="9"/>
            <color indexed="81"/>
            <rFont val="Tahoma"/>
            <family val="2"/>
          </rPr>
          <t xml:space="preserve">Must be in alphabetical order to work correctly
</t>
        </r>
      </text>
    </comment>
    <comment ref="B117" authorId="0" shapeId="0" xr:uid="{DD50AA62-28DE-48F6-AE6A-93E95E6D559F}">
      <text>
        <r>
          <rPr>
            <sz val="9"/>
            <color indexed="81"/>
            <rFont val="Tahoma"/>
            <family val="2"/>
          </rPr>
          <t xml:space="preserve">Must be in alphabetical order to work correctly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Thibodeau, John E</author>
  </authors>
  <commentList>
    <comment ref="H18" authorId="0" shapeId="0" xr:uid="{23C25281-F402-442D-9D3F-4CF52EF3B4E2}">
      <text>
        <r>
          <rPr>
            <b/>
            <sz val="9"/>
            <color indexed="81"/>
            <rFont val="Tahoma"/>
            <family val="2"/>
          </rPr>
          <t>Priors include all costs to date prior to estimate date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Thibodeau, John E</author>
  </authors>
  <commentList>
    <comment ref="J250" authorId="0" shapeId="0" xr:uid="{92FDE799-F3A6-4445-9C5F-8730EDDDE358}">
      <text>
        <r>
          <rPr>
            <b/>
            <sz val="9"/>
            <color indexed="81"/>
            <rFont val="Tahoma"/>
            <family val="2"/>
          </rPr>
          <t>Equiv SF including factor for layers and shuffling</t>
        </r>
        <r>
          <rPr>
            <sz val="9"/>
            <color indexed="81"/>
            <rFont val="Tahoma"/>
            <family val="2"/>
          </rPr>
          <t xml:space="preserve">
</t>
        </r>
      </text>
    </comment>
    <comment ref="J251" authorId="0" shapeId="0" xr:uid="{7852C0EC-2D81-403E-81D3-129536B873F4}">
      <text>
        <r>
          <rPr>
            <b/>
            <sz val="9"/>
            <color indexed="81"/>
            <rFont val="Tahoma"/>
            <family val="2"/>
          </rPr>
          <t>Equiv SF including factor for layers and shuffling</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Thibodeau, John E</author>
  </authors>
  <commentList>
    <comment ref="C526" authorId="0" shapeId="0" xr:uid="{0A7D857B-677B-405B-9827-D5E9A649ECD1}">
      <text>
        <r>
          <rPr>
            <b/>
            <sz val="9"/>
            <color indexed="81"/>
            <rFont val="Tahoma"/>
            <family val="2"/>
          </rPr>
          <t xml:space="preserve">Eqv. Qty incl the shuffling and layers factors
</t>
        </r>
      </text>
    </comment>
    <comment ref="E527" authorId="0" shapeId="0" xr:uid="{B2410BC2-B83B-4126-8FF7-C4B298A89DBD}">
      <text>
        <r>
          <rPr>
            <b/>
            <sz val="9"/>
            <color indexed="81"/>
            <rFont val="Tahoma"/>
            <family val="2"/>
          </rPr>
          <t>base width of road, can be adjusted here if needed</t>
        </r>
        <r>
          <rPr>
            <sz val="9"/>
            <color indexed="81"/>
            <rFont val="Tahoma"/>
            <family val="2"/>
          </rPr>
          <t xml:space="preserve">
</t>
        </r>
      </text>
    </comment>
    <comment ref="C544" authorId="0" shapeId="0" xr:uid="{BCC5311A-3346-42E6-BD56-D8F5A98EFCA5}">
      <text>
        <r>
          <rPr>
            <sz val="9"/>
            <color indexed="81"/>
            <rFont val="Tahoma"/>
            <family val="2"/>
          </rPr>
          <t xml:space="preserve">Qty includes factor for the shuffling and layers
</t>
        </r>
      </text>
    </comment>
    <comment ref="E544" authorId="0" shapeId="0" xr:uid="{03866E4E-A705-41D2-8331-DBA374BD687B}">
      <text>
        <r>
          <rPr>
            <b/>
            <sz val="9"/>
            <color indexed="81"/>
            <rFont val="Tahoma"/>
            <family val="2"/>
          </rPr>
          <t xml:space="preserve">includes the reduction of area of structure itself ( donut hole concept)
</t>
        </r>
        <r>
          <rPr>
            <sz val="9"/>
            <color indexed="81"/>
            <rFont val="Tahoma"/>
            <family val="2"/>
          </rPr>
          <t xml:space="preserve">
</t>
        </r>
      </text>
    </comment>
    <comment ref="C545" authorId="0" shapeId="0" xr:uid="{9522E480-DFDF-4E7D-AC82-2FCB3CF41A25}">
      <text>
        <r>
          <rPr>
            <b/>
            <sz val="9"/>
            <color indexed="81"/>
            <rFont val="Tahoma"/>
            <family val="2"/>
          </rPr>
          <t xml:space="preserve">Qty includes factor for the shuffling and layers
</t>
        </r>
        <r>
          <rPr>
            <sz val="9"/>
            <color indexed="81"/>
            <rFont val="Tahoma"/>
            <family val="2"/>
          </rPr>
          <t xml:space="preserve">
</t>
        </r>
      </text>
    </comment>
    <comment ref="E545" authorId="0" shapeId="0" xr:uid="{215E255E-38D9-4687-BCC5-5237C2442604}">
      <text>
        <r>
          <rPr>
            <b/>
            <sz val="9"/>
            <color indexed="81"/>
            <rFont val="Tahoma"/>
            <family val="2"/>
          </rPr>
          <t>Pull Pad, no need to account for donut hole</t>
        </r>
        <r>
          <rPr>
            <sz val="9"/>
            <color indexed="81"/>
            <rFont val="Tahoma"/>
            <family val="2"/>
          </rPr>
          <t xml:space="preserve">
</t>
        </r>
      </text>
    </comment>
    <comment ref="C546" authorId="0" shapeId="0" xr:uid="{DF055057-60A7-47A6-A8F9-74A6381BD42C}">
      <text>
        <r>
          <rPr>
            <b/>
            <sz val="9"/>
            <color indexed="81"/>
            <rFont val="Tahoma"/>
            <family val="2"/>
          </rPr>
          <t xml:space="preserve">Qty includes factor for the shuffling and layers
</t>
        </r>
        <r>
          <rPr>
            <sz val="9"/>
            <color indexed="81"/>
            <rFont val="Tahoma"/>
            <family val="2"/>
          </rPr>
          <t xml:space="preserve">
</t>
        </r>
      </text>
    </comment>
    <comment ref="E546" authorId="0" shapeId="0" xr:uid="{B686F923-601A-4965-A033-C1DEEB7D9B14}">
      <text>
        <r>
          <rPr>
            <b/>
            <sz val="9"/>
            <color indexed="81"/>
            <rFont val="Tahoma"/>
            <family val="2"/>
          </rPr>
          <t>includes the reduction of area of structure itself</t>
        </r>
        <r>
          <rPr>
            <sz val="9"/>
            <color indexed="81"/>
            <rFont val="Tahoma"/>
            <family val="2"/>
          </rPr>
          <t xml:space="preserve">
</t>
        </r>
      </text>
    </comment>
    <comment ref="C547" authorId="0" shapeId="0" xr:uid="{F010EE2C-F4AB-486D-8EEA-458475ABC96A}">
      <text>
        <r>
          <rPr>
            <b/>
            <sz val="9"/>
            <color indexed="81"/>
            <rFont val="Tahoma"/>
            <family val="2"/>
          </rPr>
          <t>Qty includes factor for the shuffling and layers</t>
        </r>
        <r>
          <rPr>
            <sz val="9"/>
            <color indexed="81"/>
            <rFont val="Tahoma"/>
            <family val="2"/>
          </rPr>
          <t xml:space="preserve">
</t>
        </r>
      </text>
    </comment>
    <comment ref="E547" authorId="0" shapeId="0" xr:uid="{1CA3AFA7-4EDA-403E-B653-BF34A5A6AF47}">
      <text>
        <r>
          <rPr>
            <b/>
            <sz val="9"/>
            <color indexed="81"/>
            <rFont val="Tahoma"/>
            <family val="2"/>
          </rPr>
          <t>includes the reduction of area of structure itself</t>
        </r>
        <r>
          <rPr>
            <sz val="9"/>
            <color indexed="81"/>
            <rFont val="Tahoma"/>
            <family val="2"/>
          </rPr>
          <t xml:space="preserve">
</t>
        </r>
      </text>
    </comment>
    <comment ref="C548" authorId="0" shapeId="0" xr:uid="{08EF4654-418B-457D-B520-863E7A6D74AB}">
      <text>
        <r>
          <rPr>
            <b/>
            <sz val="9"/>
            <color indexed="81"/>
            <rFont val="Tahoma"/>
            <family val="2"/>
          </rPr>
          <t>Qty includes factor for the shuffling and layers</t>
        </r>
        <r>
          <rPr>
            <sz val="9"/>
            <color indexed="81"/>
            <rFont val="Tahoma"/>
            <family val="2"/>
          </rPr>
          <t xml:space="preserve">
</t>
        </r>
      </text>
    </comment>
    <comment ref="E548" authorId="0" shapeId="0" xr:uid="{8A1D5775-B3E4-4D0A-B74F-17F336B6AFE4}">
      <text>
        <r>
          <rPr>
            <b/>
            <sz val="9"/>
            <color indexed="81"/>
            <rFont val="Tahoma"/>
            <family val="2"/>
          </rPr>
          <t>Pull Pad - No need to account for donut hole</t>
        </r>
      </text>
    </comment>
    <comment ref="C549" authorId="0" shapeId="0" xr:uid="{49079FCE-3F3A-408A-A996-8CCA6663AE32}">
      <text>
        <r>
          <rPr>
            <b/>
            <sz val="9"/>
            <color indexed="81"/>
            <rFont val="Tahoma"/>
            <family val="2"/>
          </rPr>
          <t>Qty includes factor for the shuffling and layers</t>
        </r>
        <r>
          <rPr>
            <sz val="9"/>
            <color indexed="81"/>
            <rFont val="Tahoma"/>
            <family val="2"/>
          </rPr>
          <t xml:space="preserve">
</t>
        </r>
      </text>
    </comment>
    <comment ref="E549" authorId="0" shapeId="0" xr:uid="{EC84B07C-AF2D-40AF-B182-5B9228A72965}">
      <text>
        <r>
          <rPr>
            <b/>
            <sz val="9"/>
            <color indexed="81"/>
            <rFont val="Tahoma"/>
            <family val="2"/>
          </rPr>
          <t>includes the reduction of area of structure itself</t>
        </r>
        <r>
          <rPr>
            <sz val="9"/>
            <color indexed="81"/>
            <rFont val="Tahoma"/>
            <family val="2"/>
          </rPr>
          <t xml:space="preserve">
</t>
        </r>
      </text>
    </comment>
    <comment ref="C550" authorId="0" shapeId="0" xr:uid="{063DF0D5-2E9A-4AF2-B26F-24A56CEAC875}">
      <text>
        <r>
          <rPr>
            <b/>
            <sz val="9"/>
            <color indexed="81"/>
            <rFont val="Tahoma"/>
            <family val="2"/>
          </rPr>
          <t>Qty includes factor for the shuffling and layers</t>
        </r>
        <r>
          <rPr>
            <sz val="9"/>
            <color indexed="81"/>
            <rFont val="Tahoma"/>
            <family val="2"/>
          </rPr>
          <t xml:space="preserve">
</t>
        </r>
      </text>
    </comment>
    <comment ref="E550" authorId="0" shapeId="0" xr:uid="{9B757AC3-6855-4B7C-B580-8E577447812E}">
      <text>
        <r>
          <rPr>
            <b/>
            <sz val="9"/>
            <color indexed="81"/>
            <rFont val="Tahoma"/>
            <family val="2"/>
          </rPr>
          <t>includes the reduction of area of structure itself</t>
        </r>
        <r>
          <rPr>
            <sz val="9"/>
            <color indexed="81"/>
            <rFont val="Tahoma"/>
            <family val="2"/>
          </rPr>
          <t xml:space="preserve">
</t>
        </r>
      </text>
    </comment>
    <comment ref="C551" authorId="0" shapeId="0" xr:uid="{511D5819-AA7D-4BB2-9069-C2B82C51622B}">
      <text>
        <r>
          <rPr>
            <b/>
            <sz val="9"/>
            <color indexed="81"/>
            <rFont val="Tahoma"/>
            <family val="2"/>
          </rPr>
          <t>Qty includes factor for the shuffling and layers</t>
        </r>
        <r>
          <rPr>
            <sz val="9"/>
            <color indexed="81"/>
            <rFont val="Tahoma"/>
            <family val="2"/>
          </rPr>
          <t xml:space="preserve">
</t>
        </r>
      </text>
    </comment>
    <comment ref="E551" authorId="0" shapeId="0" xr:uid="{B3CA94BA-2703-404F-BE05-21C51ED5FE71}">
      <text>
        <r>
          <rPr>
            <b/>
            <sz val="9"/>
            <color indexed="81"/>
            <rFont val="Tahoma"/>
            <family val="2"/>
          </rPr>
          <t>includes the reduction of area of structure itself</t>
        </r>
        <r>
          <rPr>
            <sz val="9"/>
            <color indexed="81"/>
            <rFont val="Tahoma"/>
            <family val="2"/>
          </rPr>
          <t xml:space="preserve">
</t>
        </r>
      </text>
    </comment>
    <comment ref="C553" authorId="0" shapeId="0" xr:uid="{97DE1F03-9BC2-4434-921C-43FF0C7A27FD}">
      <text>
        <r>
          <rPr>
            <b/>
            <sz val="9"/>
            <color indexed="81"/>
            <rFont val="Tahoma"/>
            <family val="2"/>
          </rPr>
          <t>Thibodeau, John E:</t>
        </r>
        <r>
          <rPr>
            <sz val="9"/>
            <color indexed="81"/>
            <rFont val="Tahoma"/>
            <family val="2"/>
          </rPr>
          <t xml:space="preserve">
Qty is SF x days total. Note if shuffling, the SF is less but the days are more so the total is the same.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tc={5F385A7E-2C26-416B-8506-BC6C317E6017}</author>
    <author>tc={4AB2832C-A4D0-4D32-86F9-A9E9D929D15C}</author>
  </authors>
  <commentList>
    <comment ref="W364" authorId="0" shapeId="0" xr:uid="{5F385A7E-2C26-416B-8506-BC6C317E6017}">
      <text>
        <t>[Threaded comment]
Your version of Excel allows you to read this threaded comment; however, any edits to it will get removed if the file is opened in a newer version of Excel. Learn more: https://go.microsoft.com/fwlink/?linkid=870924
Comment:
    See notes for pricing range</t>
      </text>
    </comment>
    <comment ref="W365" authorId="1" shapeId="0" xr:uid="{4AB2832C-A4D0-4D32-86F9-A9E9D929D15C}">
      <text>
        <t>[Threaded comment]
Your version of Excel allows you to read this threaded comment; however, any edits to it will get removed if the file is opened in a newer version of Excel. Learn more: https://go.microsoft.com/fwlink/?linkid=870924
Comment:
    See notes for pricing range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Caryn L Murray</author>
  </authors>
  <commentList>
    <comment ref="E56" authorId="0" shapeId="0" xr:uid="{F85BDA16-65FF-4732-A697-78360F499BC5}">
      <text>
        <r>
          <rPr>
            <b/>
            <sz val="9"/>
            <color indexed="81"/>
            <rFont val="Tahoma"/>
            <family val="2"/>
          </rPr>
          <t>Caryn L Murray:</t>
        </r>
        <r>
          <rPr>
            <sz val="9"/>
            <color indexed="81"/>
            <rFont val="Tahoma"/>
            <family val="2"/>
          </rPr>
          <t xml:space="preserve">
factor of 0 - Per Acct - for more info see Revison History Tab</t>
        </r>
      </text>
    </comment>
    <comment ref="E68" authorId="0" shapeId="0" xr:uid="{F20E6F91-E205-48BE-AA21-A6CE0D22AE9E}">
      <text>
        <r>
          <rPr>
            <b/>
            <sz val="9"/>
            <color indexed="81"/>
            <rFont val="Tahoma"/>
            <family val="2"/>
          </rPr>
          <t>Caryn L Murray:</t>
        </r>
        <r>
          <rPr>
            <sz val="9"/>
            <color indexed="81"/>
            <rFont val="Tahoma"/>
            <family val="2"/>
          </rPr>
          <t xml:space="preserve">
factor of 0 - Per Acct - for more info see Revison History Tab</t>
        </r>
      </text>
    </comment>
    <comment ref="E80" authorId="0" shapeId="0" xr:uid="{1A280F65-B52B-41F2-A3E8-E18D91DAAB85}">
      <text>
        <r>
          <rPr>
            <b/>
            <sz val="9"/>
            <color indexed="81"/>
            <rFont val="Tahoma"/>
            <family val="2"/>
          </rPr>
          <t>Caryn L Murray:</t>
        </r>
        <r>
          <rPr>
            <sz val="9"/>
            <color indexed="81"/>
            <rFont val="Tahoma"/>
            <family val="2"/>
          </rPr>
          <t xml:space="preserve">
factor of 0 - Per Acct - for more info see Revison History Tab</t>
        </r>
      </text>
    </comment>
    <comment ref="E92" authorId="0" shapeId="0" xr:uid="{A6FD3CFF-DD64-4724-B730-B0B08996C370}">
      <text>
        <r>
          <rPr>
            <b/>
            <sz val="9"/>
            <color indexed="81"/>
            <rFont val="Tahoma"/>
            <family val="2"/>
          </rPr>
          <t>Caryn L Murray:</t>
        </r>
        <r>
          <rPr>
            <sz val="9"/>
            <color indexed="81"/>
            <rFont val="Tahoma"/>
            <family val="2"/>
          </rPr>
          <t xml:space="preserve">
factor of 0 - Per Acct - for more info see Revison History Tab</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<sst xmlns="http://schemas.openxmlformats.org/spreadsheetml/2006/main" count="16187" uniqueCount="3787">
  <si>
    <t>Data Input Sheet</t>
  </si>
  <si>
    <t>Notes</t>
  </si>
  <si>
    <t>NO merged cells in spreadsheets</t>
  </si>
  <si>
    <t>Green cells are unprotected input cells</t>
  </si>
  <si>
    <t>if change is made in spreadsheet by user, highlight it in yellow</t>
  </si>
  <si>
    <t>Password for changes is zxc</t>
  </si>
  <si>
    <t>Minus %</t>
  </si>
  <si>
    <t>Plus %</t>
  </si>
  <si>
    <t>Enter from pull down list ==&gt;</t>
  </si>
  <si>
    <t>Planning</t>
  </si>
  <si>
    <t>Range</t>
  </si>
  <si>
    <t>Rounding</t>
  </si>
  <si>
    <t>Cover sheet detail</t>
  </si>
  <si>
    <t>set to 0 for full number on cover sheet, other to round like -1, set to level's appropriate for type / accuracy of estimate</t>
  </si>
  <si>
    <t>Cover sheet range of estimate</t>
  </si>
  <si>
    <t>Enter Company</t>
  </si>
  <si>
    <t>1T - CT</t>
  </si>
  <si>
    <t>Enter Transmission or Station work</t>
  </si>
  <si>
    <t>Lines work</t>
  </si>
  <si>
    <t>Sales / Use Tax input</t>
  </si>
  <si>
    <t>State / Local Tax Rate</t>
  </si>
  <si>
    <t>Lab</t>
  </si>
  <si>
    <t>Eversourc -Mat</t>
  </si>
  <si>
    <t>Contractor -Mat</t>
  </si>
  <si>
    <t>Note if you have a renovation job, you need to add the tax rate to the labor side also.</t>
  </si>
  <si>
    <t>21 - EMA</t>
  </si>
  <si>
    <t>Tax exemption avail for EMA electrified scope if purchased by Eversource</t>
  </si>
  <si>
    <t>4T - WMA</t>
  </si>
  <si>
    <t>6T - NH</t>
  </si>
  <si>
    <t>No sales tax in NH</t>
  </si>
  <si>
    <t>11 - CT</t>
  </si>
  <si>
    <t>21D - EMA</t>
  </si>
  <si>
    <t>41 - WMA</t>
  </si>
  <si>
    <t>6D - NH</t>
  </si>
  <si>
    <t>Use</t>
  </si>
  <si>
    <t>Escalation Rate</t>
  </si>
  <si>
    <t>Labor</t>
  </si>
  <si>
    <t>% per year</t>
  </si>
  <si>
    <t>Material</t>
  </si>
  <si>
    <t>Other</t>
  </si>
  <si>
    <t>Calculate escalation on contingency</t>
  </si>
  <si>
    <t>Enter 0 if no, 1 if yes =====&gt;</t>
  </si>
  <si>
    <t>INDIRECTS</t>
  </si>
  <si>
    <t>% used</t>
  </si>
  <si>
    <t>Distribution jobs only</t>
  </si>
  <si>
    <t>AFUDC</t>
  </si>
  <si>
    <t>A</t>
  </si>
  <si>
    <t>Non Pooled Facility</t>
  </si>
  <si>
    <t>Pooled Facility (Not listed in Regional System Plan</t>
  </si>
  <si>
    <t>C</t>
  </si>
  <si>
    <t>Pooled Facility (Listed in Regional System Plan</t>
  </si>
  <si>
    <t>N/A</t>
  </si>
  <si>
    <t>Zero AFUDC</t>
  </si>
  <si>
    <t>Ø</t>
  </si>
  <si>
    <t>Prior</t>
  </si>
  <si>
    <t>Y</t>
  </si>
  <si>
    <t xml:space="preserve">List for AFUDC </t>
  </si>
  <si>
    <t>N</t>
  </si>
  <si>
    <t>Tab Color</t>
  </si>
  <si>
    <t>Black</t>
  </si>
  <si>
    <t>Normally hidden - spreadsheet development tools</t>
  </si>
  <si>
    <t>Orange</t>
  </si>
  <si>
    <t>Working tabs</t>
  </si>
  <si>
    <t>Blue</t>
  </si>
  <si>
    <t>Summary Tabs</t>
  </si>
  <si>
    <t>Red</t>
  </si>
  <si>
    <t>Risk / Contingency</t>
  </si>
  <si>
    <t>Peach</t>
  </si>
  <si>
    <t>Database info</t>
  </si>
  <si>
    <t>Labor Rates</t>
  </si>
  <si>
    <t>$ / Hour</t>
  </si>
  <si>
    <t>Hrs/Day</t>
  </si>
  <si>
    <t>$ / Day</t>
  </si>
  <si>
    <t>CS</t>
  </si>
  <si>
    <t>EC</t>
  </si>
  <si>
    <t>BHI</t>
  </si>
  <si>
    <t>Construction Rep</t>
  </si>
  <si>
    <t>NU</t>
  </si>
  <si>
    <t>OS-S</t>
  </si>
  <si>
    <t>LCE</t>
  </si>
  <si>
    <t>LCE rate ( outside sevices)</t>
  </si>
  <si>
    <t>Test</t>
  </si>
  <si>
    <t>Craft labor for test ( outside services)</t>
  </si>
  <si>
    <t>Contractor Safety Incentive</t>
  </si>
  <si>
    <t>Contractor Mobilization &amp; DeMob</t>
  </si>
  <si>
    <t>Steel cost Per Lb</t>
  </si>
  <si>
    <t>Deduct 5% if Painted vs. Galvanized</t>
  </si>
  <si>
    <t>Deduct 15% if weathered</t>
  </si>
  <si>
    <t xml:space="preserve">E S T I M A T E    S U M M A R Y   </t>
  </si>
  <si>
    <t>ESTIMATE SUMMARY</t>
  </si>
  <si>
    <t>WBS</t>
  </si>
  <si>
    <t>TOTAL</t>
  </si>
  <si>
    <t>% of Total</t>
  </si>
  <si>
    <t>Construction</t>
  </si>
  <si>
    <t>Engineering / Design</t>
  </si>
  <si>
    <t>Land</t>
  </si>
  <si>
    <t xml:space="preserve"> </t>
  </si>
  <si>
    <t>Project Mgmt. &amp; Sppt.</t>
  </si>
  <si>
    <t>Removal</t>
  </si>
  <si>
    <t>Escalation</t>
  </si>
  <si>
    <t>Indirects</t>
  </si>
  <si>
    <t xml:space="preserve"> Total Cost</t>
  </si>
  <si>
    <t>Estimate Range</t>
  </si>
  <si>
    <t>-</t>
  </si>
  <si>
    <t>COMMENTS:</t>
  </si>
  <si>
    <t>Project Scope:</t>
  </si>
  <si>
    <t>Indirect rates based on:</t>
  </si>
  <si>
    <t>Risks</t>
  </si>
  <si>
    <t>Project Scope Continued:</t>
  </si>
  <si>
    <t>Item</t>
  </si>
  <si>
    <t>By SME</t>
  </si>
  <si>
    <t>By Estimator</t>
  </si>
  <si>
    <t>Project Schedule (including construction)</t>
  </si>
  <si>
    <t xml:space="preserve">Environmental </t>
  </si>
  <si>
    <t>Permit Mapping</t>
  </si>
  <si>
    <t>Wetlands</t>
  </si>
  <si>
    <t>Endangered Species</t>
  </si>
  <si>
    <t>Sensitive Areas</t>
  </si>
  <si>
    <t>Matting Requirements</t>
  </si>
  <si>
    <t xml:space="preserve">Access Identified </t>
  </si>
  <si>
    <t>Clearing Requirements</t>
  </si>
  <si>
    <t>Permits</t>
  </si>
  <si>
    <t>Survey and Real Estate</t>
  </si>
  <si>
    <t>MLOL Requirements</t>
  </si>
  <si>
    <t>Easements, Rights Cost Impact</t>
  </si>
  <si>
    <t>Real Estate Purchases</t>
  </si>
  <si>
    <t>Siting and Outreach</t>
  </si>
  <si>
    <t>Work Methods</t>
  </si>
  <si>
    <t>Live-Line or Out of Service</t>
  </si>
  <si>
    <t>SCLL, Reliability Considerations</t>
  </si>
  <si>
    <t>Constructability Review Completed with Ops</t>
  </si>
  <si>
    <t>Engineering Information</t>
  </si>
  <si>
    <t>Structure Types and Quantities</t>
  </si>
  <si>
    <t>Foundation Types and Sizes</t>
  </si>
  <si>
    <t>Conductor / OPGW Length, Size</t>
  </si>
  <si>
    <t>Pad Types, Locations and Sizes</t>
  </si>
  <si>
    <t>Guying</t>
  </si>
  <si>
    <t>Fall Protection</t>
  </si>
  <si>
    <t>Counterpoise Requirements</t>
  </si>
  <si>
    <t>Insulator / LA assumptions</t>
  </si>
  <si>
    <t>Rock Assumptions</t>
  </si>
  <si>
    <t>Resources</t>
  </si>
  <si>
    <t>GIS Mapping / KMZ Files</t>
  </si>
  <si>
    <t>Cross-Sections</t>
  </si>
  <si>
    <t>Patrol Maps / Mile Sheets</t>
  </si>
  <si>
    <t>LIDAR</t>
  </si>
  <si>
    <t>Labor Assumptions (Internal / External)</t>
  </si>
  <si>
    <t xml:space="preserve">Engineering </t>
  </si>
  <si>
    <t>Pricing</t>
  </si>
  <si>
    <t>T&amp;M, Competitive Bid or Unit Pricing</t>
  </si>
  <si>
    <t>Vendor Bids or Quotations</t>
  </si>
  <si>
    <t>Wetlands, Endangered Species, Sensitive Areas</t>
  </si>
  <si>
    <t>Contaminated Soils, Equipment</t>
  </si>
  <si>
    <t>Bill of Major Materials - Qty, Size</t>
  </si>
  <si>
    <t>Bill of Ancillary Materials - Qty, Size, Dim, Lgth</t>
  </si>
  <si>
    <t>Foundations &amp; Supporting Steel, Towers</t>
  </si>
  <si>
    <t>Trenwa, Ductbank, Cond, Cable - Type, Qty, Lgth</t>
  </si>
  <si>
    <t>Security Requirements</t>
  </si>
  <si>
    <t xml:space="preserve">BPS Separation Applicability </t>
  </si>
  <si>
    <t>Site Excavation, Expansion - Dimensions, CY</t>
  </si>
  <si>
    <t>Battery, Sta Service Impact</t>
  </si>
  <si>
    <t>Lighting, Grounding</t>
  </si>
  <si>
    <t>Protection and Controls</t>
  </si>
  <si>
    <t>Control Enclosure Impact</t>
  </si>
  <si>
    <t>Relays, Cabinets - Type, Quantity</t>
  </si>
  <si>
    <t>Settings Changes</t>
  </si>
  <si>
    <t>Remote Station Impact</t>
  </si>
  <si>
    <t>61850 Applicability</t>
  </si>
  <si>
    <t>SCADA, Telecom Scope</t>
  </si>
  <si>
    <t>Nomenclature Diagrams</t>
  </si>
  <si>
    <t>Physical Yard Layout</t>
  </si>
  <si>
    <t>Panel Layout</t>
  </si>
  <si>
    <t>One-Line &amp; Three-Lines</t>
  </si>
  <si>
    <t>Written Scope Document</t>
  </si>
  <si>
    <t>Other Upgrades to Bring  Eqt up to ES Standard</t>
  </si>
  <si>
    <t>Estimate Closeout Checklist (complete before submission of estimate to requester)</t>
  </si>
  <si>
    <t>Complete</t>
  </si>
  <si>
    <t>Project Information Obtained</t>
  </si>
  <si>
    <t>Prior Costs Captured and Considered</t>
  </si>
  <si>
    <t>Project #</t>
  </si>
  <si>
    <t>Work Order #</t>
  </si>
  <si>
    <t>Time Charged to WO</t>
  </si>
  <si>
    <t>PAF Document or Written Scope</t>
  </si>
  <si>
    <t xml:space="preserve">Archive </t>
  </si>
  <si>
    <t>Estimate Request</t>
  </si>
  <si>
    <t>Scope Basis Information</t>
  </si>
  <si>
    <t>General Email Correspondence</t>
  </si>
  <si>
    <t>Latest Revision in Current Folder, others Archived</t>
  </si>
  <si>
    <t>Pertinent Information Uploaded to Database</t>
  </si>
  <si>
    <t>Estimate Log Updated</t>
  </si>
  <si>
    <t>Date Scoping Received Filled Out</t>
  </si>
  <si>
    <t>Self-Check Completed</t>
  </si>
  <si>
    <t>Basis Checklist Completed</t>
  </si>
  <si>
    <t xml:space="preserve">Summary and Assumptions Documented </t>
  </si>
  <si>
    <t>Cover, PAF and Detail Sum Totals Match</t>
  </si>
  <si>
    <t>Costs in-line with Benchmark? If not address on cover.</t>
  </si>
  <si>
    <t>Extract (EXT) File Created</t>
  </si>
  <si>
    <t>Review Completed</t>
  </si>
  <si>
    <t>Current Estimate</t>
  </si>
  <si>
    <t>Delta, Current - Previous Estimate</t>
  </si>
  <si>
    <t>MHRS</t>
  </si>
  <si>
    <t>DOLLARS</t>
  </si>
  <si>
    <t>CSTXX-CONSTRUCTION</t>
  </si>
  <si>
    <t>Check calc</t>
  </si>
  <si>
    <t>Total Escalation</t>
  </si>
  <si>
    <t>Total Contingency</t>
  </si>
  <si>
    <t>Description</t>
  </si>
  <si>
    <t>Amount of Escalation included above</t>
  </si>
  <si>
    <t>Assumptions/Clarifications;</t>
  </si>
  <si>
    <t>Indirect rates based on;</t>
  </si>
  <si>
    <t>RISKS</t>
  </si>
  <si>
    <t>Summaries by WBS by year - both with esclation shown and with escalation spread</t>
  </si>
  <si>
    <t>#1</t>
  </si>
  <si>
    <t>Escalation separated out</t>
  </si>
  <si>
    <t>Roll Up Activity</t>
  </si>
  <si>
    <t>Actuals to Date</t>
  </si>
  <si>
    <t>Total</t>
  </si>
  <si>
    <t xml:space="preserve">   Delta</t>
  </si>
  <si>
    <t>#2</t>
  </si>
  <si>
    <t>escalation spread</t>
  </si>
  <si>
    <t>PAF (dollars in thousands)</t>
  </si>
  <si>
    <t>Prior Authorized</t>
  </si>
  <si>
    <t>Prior Actuals - to date</t>
  </si>
  <si>
    <t>Totals</t>
  </si>
  <si>
    <t>Capital Additions - Direct</t>
  </si>
  <si>
    <t>Less Customer Contribution</t>
  </si>
  <si>
    <t>Removals net of Salvage ____%</t>
  </si>
  <si>
    <t>Total - Direct Spending</t>
  </si>
  <si>
    <t>Capital Additions - Indirect</t>
  </si>
  <si>
    <t>Subtotal Request</t>
  </si>
  <si>
    <t xml:space="preserve">AFUDC </t>
  </si>
  <si>
    <t>Total Capital Request</t>
  </si>
  <si>
    <t>O&amp;M</t>
  </si>
  <si>
    <t>Total Request</t>
  </si>
  <si>
    <t xml:space="preserve">Prior </t>
  </si>
  <si>
    <t>PAF #</t>
  </si>
  <si>
    <t>Direct Capital Costs</t>
  </si>
  <si>
    <t>Authorized</t>
  </si>
  <si>
    <t>Actuals</t>
  </si>
  <si>
    <t xml:space="preserve">Total </t>
  </si>
  <si>
    <t xml:space="preserve">Straight Time Labor </t>
  </si>
  <si>
    <t>Overtime Labor</t>
  </si>
  <si>
    <t>Outside Services</t>
  </si>
  <si>
    <t>Materials</t>
  </si>
  <si>
    <t>Other – Vehicles, expenses, Contingency</t>
  </si>
  <si>
    <t xml:space="preserve">                   Total</t>
  </si>
  <si>
    <t>Indirect Capital Costs</t>
  </si>
  <si>
    <t>Indirects/Overheads (including benefits)</t>
  </si>
  <si>
    <t>Capitalized interest or AFUDC, if any</t>
  </si>
  <si>
    <t>Total Capital Costs</t>
  </si>
  <si>
    <t>Less Total Customer Contribution</t>
  </si>
  <si>
    <t>Total Capital Project Costs</t>
  </si>
  <si>
    <t>Total O&amp;M Project Costs</t>
  </si>
  <si>
    <t>Note - split of other costs</t>
  </si>
  <si>
    <t>Vehicles / Expenses ( incl escalation)</t>
  </si>
  <si>
    <t>Line item Category</t>
  </si>
  <si>
    <t>to Go</t>
  </si>
  <si>
    <t>Checks and Balances</t>
  </si>
  <si>
    <t>1) Totals from the various summaries ( should all be the same)</t>
  </si>
  <si>
    <t>number in 000's</t>
  </si>
  <si>
    <t>Delta</t>
  </si>
  <si>
    <t>PAF WBS</t>
  </si>
  <si>
    <t>PAF Summary Box 1</t>
  </si>
  <si>
    <t>PAF Summary Box 2</t>
  </si>
  <si>
    <t>2) Check of detailed tabs to the un-escalated MIBB sheet and the numbers on the escalation sheet</t>
  </si>
  <si>
    <t>Total of tabs</t>
  </si>
  <si>
    <t>Check calcs</t>
  </si>
  <si>
    <t>OH work</t>
  </si>
  <si>
    <t>115kv UG HPFF</t>
  </si>
  <si>
    <t>115kv UG XLPE</t>
  </si>
  <si>
    <t>345 UG XLPE</t>
  </si>
  <si>
    <t>Substation new constr.</t>
  </si>
  <si>
    <t>Removals(see separate tab)</t>
  </si>
  <si>
    <t>summary of above</t>
  </si>
  <si>
    <t>$ from esclation sheet check</t>
  </si>
  <si>
    <t>$  form MIB sheet ( unescal)</t>
  </si>
  <si>
    <t>3) check of MIB cost plus escalation vs. total escalated MIB</t>
  </si>
  <si>
    <t>Cost from MIB</t>
  </si>
  <si>
    <t>Escalation from MIB</t>
  </si>
  <si>
    <t>Total MIB</t>
  </si>
  <si>
    <t>Escalated Line Item Dollars</t>
  </si>
  <si>
    <t>compounded lab escal</t>
  </si>
  <si>
    <t>Escalation $'s</t>
  </si>
  <si>
    <t>compounded mat'l escal</t>
  </si>
  <si>
    <t>per annun</t>
  </si>
  <si>
    <t>Check Calc</t>
  </si>
  <si>
    <t>E Rate</t>
  </si>
  <si>
    <t>Prior actuals to date</t>
  </si>
  <si>
    <t/>
  </si>
  <si>
    <t>Mhrs</t>
  </si>
  <si>
    <t>R</t>
  </si>
  <si>
    <t>LT</t>
  </si>
  <si>
    <t xml:space="preserve">Electrical Construction </t>
  </si>
  <si>
    <t xml:space="preserve">General Construction </t>
  </si>
  <si>
    <t>Construction Reps ( internal)</t>
  </si>
  <si>
    <t>Support Switch/Tag</t>
  </si>
  <si>
    <t>Other ( specify)</t>
  </si>
  <si>
    <t>LT Total</t>
  </si>
  <si>
    <t>AE</t>
  </si>
  <si>
    <t xml:space="preserve">Employee Expenses </t>
  </si>
  <si>
    <t>AM</t>
  </si>
  <si>
    <t>AQ</t>
  </si>
  <si>
    <t>Outside Construction Vendor</t>
  </si>
  <si>
    <t>Sales tax on Constr. Vendor</t>
  </si>
  <si>
    <t>AV</t>
  </si>
  <si>
    <t>Vehicles ( now in indirects section)</t>
  </si>
  <si>
    <t>BR</t>
  </si>
  <si>
    <t>Rents and Leases</t>
  </si>
  <si>
    <t>CSTXX Subtotal</t>
  </si>
  <si>
    <t>P1</t>
  </si>
  <si>
    <t>Contingency</t>
  </si>
  <si>
    <t>CSTXX Total</t>
  </si>
  <si>
    <t>ENRXX-TG ENGINEERING/DESIGN</t>
  </si>
  <si>
    <t>Project Services/Drafting</t>
  </si>
  <si>
    <t xml:space="preserve">Civil Engineering/Design </t>
  </si>
  <si>
    <t xml:space="preserve">Protection &amp; Controls Engineering </t>
  </si>
  <si>
    <t>Survey Engineering</t>
  </si>
  <si>
    <t>Telecom Engineering</t>
  </si>
  <si>
    <t>Contractor Engineering  - T-Lines</t>
  </si>
  <si>
    <t>Contractor Engineering  - T -Station</t>
  </si>
  <si>
    <t>Contractor Engineering  - P&amp;C</t>
  </si>
  <si>
    <t>Contractor Engineering  - Survey</t>
  </si>
  <si>
    <t>Contractor Engineering  - Specify</t>
  </si>
  <si>
    <t>ENRXX Subtotal</t>
  </si>
  <si>
    <t>ENRXX Total</t>
  </si>
  <si>
    <t>LNDXX-TG LAND</t>
  </si>
  <si>
    <t>Real Estate</t>
  </si>
  <si>
    <t>Purchase Land</t>
  </si>
  <si>
    <t>BF</t>
  </si>
  <si>
    <t>Fees and Payments</t>
  </si>
  <si>
    <t>LNDXX Subtotal</t>
  </si>
  <si>
    <t>LNDXX Total</t>
  </si>
  <si>
    <t>MATXX-TG MATERIAL</t>
  </si>
  <si>
    <t>Eversource</t>
  </si>
  <si>
    <t>Freight</t>
  </si>
  <si>
    <t>MATXX Subtotal</t>
  </si>
  <si>
    <t>MATXX Total</t>
  </si>
  <si>
    <t>PSMXX-PROJECT MANAGER &amp; SUPPORT</t>
  </si>
  <si>
    <t>Project Management (PM)</t>
  </si>
  <si>
    <t>Project Planning/Cost (IP)</t>
  </si>
  <si>
    <t>Contracts/Purchasing (C/P)</t>
  </si>
  <si>
    <t>System Planning</t>
  </si>
  <si>
    <t>Environmental</t>
  </si>
  <si>
    <t>Legal</t>
  </si>
  <si>
    <t>Estimating</t>
  </si>
  <si>
    <t xml:space="preserve">Other - </t>
  </si>
  <si>
    <t>Project Support Vendor - PM</t>
  </si>
  <si>
    <t>Project Support Vendor - IP</t>
  </si>
  <si>
    <t>Project Support Vendor - Enviromental</t>
  </si>
  <si>
    <t>Project Support Vendor - Legal</t>
  </si>
  <si>
    <t>Project Support Vendor - Estimating</t>
  </si>
  <si>
    <t>Project Support Vendor - Other</t>
  </si>
  <si>
    <t>Fees and Payments - Enviromental</t>
  </si>
  <si>
    <t>Fees and Payments - Siting</t>
  </si>
  <si>
    <t>Fees and Payments - Other</t>
  </si>
  <si>
    <t>PSMXX Subtotal</t>
  </si>
  <si>
    <t>PSMXX Total</t>
  </si>
  <si>
    <t>REMXX-TG REMOVAL</t>
  </si>
  <si>
    <t>Engineering/Design</t>
  </si>
  <si>
    <t xml:space="preserve">Internal Construction </t>
  </si>
  <si>
    <t>AO</t>
  </si>
  <si>
    <t>Contractor Labor</t>
  </si>
  <si>
    <t>REMXX Subtotal</t>
  </si>
  <si>
    <t>REMXX Total</t>
  </si>
  <si>
    <t>TSTXX-TG TEST</t>
  </si>
  <si>
    <t xml:space="preserve">Employee Expense </t>
  </si>
  <si>
    <t>TSTXX Subtotal</t>
  </si>
  <si>
    <t>TSTXX Total</t>
  </si>
  <si>
    <t>TOTAL PROJECT DIRECT COST</t>
  </si>
  <si>
    <t>Non-Productive Time Allocation (ZB)</t>
  </si>
  <si>
    <t>Payroll Benefits Allocation (ZE)</t>
  </si>
  <si>
    <t>AS&amp;E Allocations (ZJ)</t>
  </si>
  <si>
    <t xml:space="preserve">AFUDC (ZK) </t>
  </si>
  <si>
    <t>Indirects Subtotal</t>
  </si>
  <si>
    <t>Reimbursables</t>
  </si>
  <si>
    <t>TOTAL PROJECT COST</t>
  </si>
  <si>
    <t>Summary by WBS</t>
  </si>
  <si>
    <t>`</t>
  </si>
  <si>
    <t>Total costs by WBS</t>
  </si>
  <si>
    <t>Total costs</t>
  </si>
  <si>
    <t>Check pricing</t>
  </si>
  <si>
    <t>Proj. mgmt. and supt</t>
  </si>
  <si>
    <t>removal</t>
  </si>
  <si>
    <t>test</t>
  </si>
  <si>
    <t>Risk  /  contingency</t>
  </si>
  <si>
    <t>escalation</t>
  </si>
  <si>
    <t>indirects</t>
  </si>
  <si>
    <t>Construction &amp; Material</t>
  </si>
  <si>
    <t>qty</t>
  </si>
  <si>
    <t>total</t>
  </si>
  <si>
    <t>$ / unit</t>
  </si>
  <si>
    <t>Engineering</t>
  </si>
  <si>
    <t>PM services</t>
  </si>
  <si>
    <t>Removals</t>
  </si>
  <si>
    <t xml:space="preserve">Escalation </t>
  </si>
  <si>
    <t>check total</t>
  </si>
  <si>
    <t>PROJECT COST ESTIMATE &amp; SCHEDULE SHEET</t>
  </si>
  <si>
    <t>Transmission Owner:</t>
  </si>
  <si>
    <t>Project Name:</t>
  </si>
  <si>
    <t>Estimate Grade:</t>
  </si>
  <si>
    <t>1. Project Scope Summary</t>
  </si>
  <si>
    <t>2. Project Cost Summary</t>
  </si>
  <si>
    <t>Prior Estimated Cost:</t>
  </si>
  <si>
    <t>2.1. Project Cost Summary</t>
  </si>
  <si>
    <t>PTF</t>
  </si>
  <si>
    <t>Non-PTF</t>
  </si>
  <si>
    <t>Labor &amp; Equipment</t>
  </si>
  <si>
    <t>Right of Way</t>
  </si>
  <si>
    <t>Engineering/Permitting
/Indirects</t>
  </si>
  <si>
    <t>Total Project Cost</t>
  </si>
  <si>
    <t>2.2 Detailed Cost Summary By Project Element</t>
  </si>
  <si>
    <t>Labor &amp; Equip.</t>
  </si>
  <si>
    <t>Engineering/ Permitting/ Indirects</t>
  </si>
  <si>
    <r>
      <rPr>
        <b/>
        <u/>
        <sz val="12"/>
        <color indexed="8"/>
        <rFont val="Arial"/>
        <family val="2"/>
      </rPr>
      <t>Note</t>
    </r>
    <r>
      <rPr>
        <sz val="12"/>
        <color indexed="8"/>
        <rFont val="Arial"/>
        <family val="2"/>
      </rPr>
      <t>: Values expressed in $1k</t>
    </r>
  </si>
  <si>
    <t>3. Project Milestone Schedule</t>
  </si>
  <si>
    <t>VELCO TIE IN SHEET</t>
  </si>
  <si>
    <t>Dollar amounts to be placed into Velco Format</t>
  </si>
  <si>
    <t>These Number Should Match</t>
  </si>
  <si>
    <t xml:space="preserve">Difference </t>
  </si>
  <si>
    <t>*Note</t>
  </si>
  <si>
    <t>In $1,000k</t>
  </si>
  <si>
    <t>Due to rounding, you may have to change the indirects slightly to match total dollars.</t>
  </si>
  <si>
    <t>Data Entry Sheet</t>
  </si>
  <si>
    <t>Cover Sheet</t>
  </si>
  <si>
    <t>Rates</t>
  </si>
  <si>
    <t>CONSTRUCTION</t>
  </si>
  <si>
    <t>ENGINEERING/DESIGN</t>
  </si>
  <si>
    <t>LAND</t>
  </si>
  <si>
    <t>Gen SVC CO OVRHD ALLOC (ZF)</t>
  </si>
  <si>
    <t>MATERIAL</t>
  </si>
  <si>
    <t xml:space="preserve">E&amp;S Allocations (ZI) </t>
  </si>
  <si>
    <t>PROJECT MGR &amp; SUPPORT</t>
  </si>
  <si>
    <t>REMOVAL</t>
  </si>
  <si>
    <t>TEST</t>
  </si>
  <si>
    <t>CONTINGENCY</t>
  </si>
  <si>
    <t>ESCALATION</t>
  </si>
  <si>
    <t>LOADERS</t>
  </si>
  <si>
    <t>%</t>
  </si>
  <si>
    <t>Construction Labor Loaders</t>
  </si>
  <si>
    <t>Indirect Loaders</t>
  </si>
  <si>
    <t>Construction (Labor) LT</t>
  </si>
  <si>
    <t>Support (Indirects) LT</t>
  </si>
  <si>
    <t>Land LT</t>
  </si>
  <si>
    <t>Support (Indirects) LT - Should always be $0.00</t>
  </si>
  <si>
    <t>Land LT - Should always be $0.00</t>
  </si>
  <si>
    <t>Construction (Labor) LT -Should always be $0.00</t>
  </si>
  <si>
    <t>Support (Indirects) LT , ZB, ZE</t>
  </si>
  <si>
    <t>Land LT &amp; ZB</t>
  </si>
  <si>
    <t>Construction (LT &amp; AQ Labor) &amp; ZB &amp; ZE</t>
  </si>
  <si>
    <t>Support (LT &amp; AQ Indirects) &amp; ZB</t>
  </si>
  <si>
    <t>Total Construction (LT &amp; AQ Labor) &amp; ZB &amp; ZE &amp; ZI</t>
  </si>
  <si>
    <t>Total Support (LT &amp; AQ Indirects) &amp; ZB &amp; ZF &amp; ZI</t>
  </si>
  <si>
    <t>Total Land &amp; ZB &amp; ZF &amp; ZI</t>
  </si>
  <si>
    <t>Total Material</t>
  </si>
  <si>
    <t>Total Indirects</t>
  </si>
  <si>
    <t>Total Indirects Construction vs. Support</t>
  </si>
  <si>
    <t>check</t>
  </si>
  <si>
    <t>calc</t>
  </si>
  <si>
    <t>Contracted</t>
  </si>
  <si>
    <t>Level I Summary</t>
  </si>
  <si>
    <t>Hours</t>
  </si>
  <si>
    <t>$'s</t>
  </si>
  <si>
    <t>Overheads / Indirect Loaders</t>
  </si>
  <si>
    <t>Year</t>
  </si>
  <si>
    <t>Level I Summary ( by year)</t>
  </si>
  <si>
    <t>Level II summary</t>
  </si>
  <si>
    <t xml:space="preserve">   Civil Construction</t>
  </si>
  <si>
    <t xml:space="preserve">   Matting/Access</t>
  </si>
  <si>
    <t xml:space="preserve">   Electrical Construction</t>
  </si>
  <si>
    <t xml:space="preserve">   Constr. Representative/Mgr.</t>
  </si>
  <si>
    <t xml:space="preserve">   Constr. Indirect incl constr. eqt.</t>
  </si>
  <si>
    <t>Subtotal</t>
  </si>
  <si>
    <t xml:space="preserve">   Project Mgrmt</t>
  </si>
  <si>
    <t xml:space="preserve">   Project Services</t>
  </si>
  <si>
    <t xml:space="preserve">   Proj. Mgmt.. Expenses</t>
  </si>
  <si>
    <t>Engineering &amp; Design</t>
  </si>
  <si>
    <t xml:space="preserve">   Civil Engr. &amp; Design</t>
  </si>
  <si>
    <t xml:space="preserve">   T-Line Engr. and Design</t>
  </si>
  <si>
    <t xml:space="preserve">   Substation Engr. &amp; Design</t>
  </si>
  <si>
    <t xml:space="preserve">   Protection &amp; control Engr. and Design.</t>
  </si>
  <si>
    <t xml:space="preserve">   Telcom Engr. &amp; Design</t>
  </si>
  <si>
    <t xml:space="preserve">   Engr. Expenses</t>
  </si>
  <si>
    <t xml:space="preserve">   Electrical Eqt. - Major</t>
  </si>
  <si>
    <t xml:space="preserve">   Electrical Eqt. - Other</t>
  </si>
  <si>
    <t xml:space="preserve">   Bulk Materials - Civil/Structural</t>
  </si>
  <si>
    <t xml:space="preserve">   Bulk Materials - Poles</t>
  </si>
  <si>
    <t xml:space="preserve">   Bulk Materials - Electrical</t>
  </si>
  <si>
    <t xml:space="preserve">   Bulk Materials - Others</t>
  </si>
  <si>
    <t xml:space="preserve">   Buildings</t>
  </si>
  <si>
    <t xml:space="preserve">  Purchase of land or ROW</t>
  </si>
  <si>
    <t xml:space="preserve">  Easements</t>
  </si>
  <si>
    <t xml:space="preserve">   Commissioning &amp; Testing Labor</t>
  </si>
  <si>
    <t xml:space="preserve">   Commissioning &amp; Testing Mat'l and Eqt.</t>
  </si>
  <si>
    <t xml:space="preserve">   Lead Commissioning Engr. (LCE)</t>
  </si>
  <si>
    <t xml:space="preserve">   SCLL -Single line Contingency costs</t>
  </si>
  <si>
    <t xml:space="preserve">   Escalation - Constr.</t>
  </si>
  <si>
    <t xml:space="preserve">   Escalation - PM &amp; Engr.</t>
  </si>
  <si>
    <t xml:space="preserve">   Escalation - Materials &amp; Eqt.</t>
  </si>
  <si>
    <t xml:space="preserve">   Escalataion - Test</t>
  </si>
  <si>
    <t xml:space="preserve">   Escalataion - Other</t>
  </si>
  <si>
    <t xml:space="preserve">   Indirects - specify</t>
  </si>
  <si>
    <t>Transmission Over Head Rates</t>
  </si>
  <si>
    <t>Lookup</t>
  </si>
  <si>
    <t>Entity</t>
  </si>
  <si>
    <t>Rate Type</t>
  </si>
  <si>
    <t>Rate</t>
  </si>
  <si>
    <t>Factor</t>
  </si>
  <si>
    <t>Company List for pull down menu on input sheet</t>
  </si>
  <si>
    <t>AS &amp; E Basis</t>
  </si>
  <si>
    <t>E&amp;S Lines Work</t>
  </si>
  <si>
    <t>E&amp;S Station Basis</t>
  </si>
  <si>
    <t>Gen Svc Co OH Basis</t>
  </si>
  <si>
    <t>NA</t>
  </si>
  <si>
    <t>Lobby Stock Basis</t>
  </si>
  <si>
    <t>MDEC Basis</t>
  </si>
  <si>
    <t>Non-Productive Basis</t>
  </si>
  <si>
    <t>Payroll Benefit Basis</t>
  </si>
  <si>
    <t>Stores Expense Basis</t>
  </si>
  <si>
    <t>Vehicles OH Basis</t>
  </si>
  <si>
    <t>WorkdList for pull down menu on input sheet</t>
  </si>
  <si>
    <t>Station work</t>
  </si>
  <si>
    <t>Type of Estimate</t>
  </si>
  <si>
    <t>Range (-)</t>
  </si>
  <si>
    <t>Range (+)</t>
  </si>
  <si>
    <t>Conceptual</t>
  </si>
  <si>
    <t>Order of Magnitude</t>
  </si>
  <si>
    <t>Distribution  Over Head Rates</t>
  </si>
  <si>
    <t>Lobby Stock Transmission Basis</t>
  </si>
  <si>
    <t>Lobby Stock Station Basis</t>
  </si>
  <si>
    <t>Transmission AFUDC Rates</t>
  </si>
  <si>
    <t>AFUDC Rate Code</t>
  </si>
  <si>
    <t>NSTAR Elect Trans A AFUDC Rate</t>
  </si>
  <si>
    <t>NSTAR Elect Trans C AFUDC Rate</t>
  </si>
  <si>
    <t>CLP Trans - C - AFUDC Rate Code</t>
  </si>
  <si>
    <t>CLP Trans - A - AFUDC Rate Code</t>
  </si>
  <si>
    <t>WMECO Trans - C - AFUDC Rate Code</t>
  </si>
  <si>
    <t>WMECO Trans - A - AFUDC Rate Code</t>
  </si>
  <si>
    <t>PSNH Trans - C - AFUDC Rate Code</t>
  </si>
  <si>
    <t>PSNH Trans - A - AFUDC Rate Code</t>
  </si>
  <si>
    <t>Distribution AFUDC Rates</t>
  </si>
  <si>
    <t xml:space="preserve"> AFUDC Rate Code - C</t>
  </si>
  <si>
    <t xml:space="preserve"> AFUDC Rate Code - A</t>
  </si>
  <si>
    <t>Estimated Risks</t>
  </si>
  <si>
    <t>Estimated Risks Description</t>
  </si>
  <si>
    <t>Total Risk amount</t>
  </si>
  <si>
    <t>Funded Risk amount</t>
  </si>
  <si>
    <t>Mitigation</t>
  </si>
  <si>
    <t>Risks Items</t>
  </si>
  <si>
    <t>Potential UG Obstructions</t>
  </si>
  <si>
    <t>Severe Weather, Delays, OT</t>
  </si>
  <si>
    <t>Design development</t>
  </si>
  <si>
    <t>Total Risk</t>
  </si>
  <si>
    <t>Cost per LB for Steel</t>
  </si>
  <si>
    <t>Working Pricing Area</t>
  </si>
  <si>
    <t>Scope</t>
  </si>
  <si>
    <t>Extended Costs</t>
  </si>
  <si>
    <t>UOM</t>
  </si>
  <si>
    <t>QTY</t>
  </si>
  <si>
    <t>Total hours</t>
  </si>
  <si>
    <t>UOM (2)</t>
  </si>
  <si>
    <t>Qty (2)</t>
  </si>
  <si>
    <t>%'s input</t>
  </si>
  <si>
    <t>Unit Mhr w/o PF</t>
  </si>
  <si>
    <t>MHR PF factor</t>
  </si>
  <si>
    <t>Unit Mhr w/ PF</t>
  </si>
  <si>
    <t>Install By</t>
  </si>
  <si>
    <t>Supply By</t>
  </si>
  <si>
    <t>Labor code</t>
  </si>
  <si>
    <t>Labor $/HR</t>
  </si>
  <si>
    <t>Labor $ / UOM</t>
  </si>
  <si>
    <t>Constr. Equipment  Percent</t>
  </si>
  <si>
    <t>Constr. Eqt. / UOM</t>
  </si>
  <si>
    <t>Material $ / UOM</t>
  </si>
  <si>
    <t>steel wt #</t>
  </si>
  <si>
    <t>Other $ / UOM</t>
  </si>
  <si>
    <t>Total $ / UOM</t>
  </si>
  <si>
    <t>Notes - Pricing</t>
  </si>
  <si>
    <t>Total Labor hours Eversource</t>
  </si>
  <si>
    <t>Total Labor hours Contractor</t>
  </si>
  <si>
    <t>Total Labor $ Eversource</t>
  </si>
  <si>
    <t>Total Labor $ Contractor</t>
  </si>
  <si>
    <t>Total Labor $</t>
  </si>
  <si>
    <t>Total Eversource Constr. Eqt. $</t>
  </si>
  <si>
    <t>Total Contractor Constr. Eqt. $</t>
  </si>
  <si>
    <t>Total Constr. Eqt. $</t>
  </si>
  <si>
    <t>Total Mat $ Eversource</t>
  </si>
  <si>
    <t>Total Mat $ Contractor</t>
  </si>
  <si>
    <t>Total Mat $</t>
  </si>
  <si>
    <t>Total Eversource other $</t>
  </si>
  <si>
    <t>Total Contractor other $</t>
  </si>
  <si>
    <t>Total other $</t>
  </si>
  <si>
    <t>TOTAL ( unescalated)</t>
  </si>
  <si>
    <t>TOTAL ESTIMATED  COST</t>
  </si>
  <si>
    <t>Escalation Calculation</t>
  </si>
  <si>
    <t>Compounded rate per year</t>
  </si>
  <si>
    <t>* Base yearly rates from input data sheet</t>
  </si>
  <si>
    <t>======&gt;</t>
  </si>
  <si>
    <t>LABOR</t>
  </si>
  <si>
    <t>Spread - Labor</t>
  </si>
  <si>
    <t>Labor $'s</t>
  </si>
  <si>
    <t>Constr. Eqt. $'s</t>
  </si>
  <si>
    <t>Other $'s</t>
  </si>
  <si>
    <t>Total Costs</t>
  </si>
  <si>
    <t>Tab Name</t>
  </si>
  <si>
    <t>E</t>
  </si>
  <si>
    <t>OS</t>
  </si>
  <si>
    <t>Total Labor costs and hours</t>
  </si>
  <si>
    <t>Hours spread</t>
  </si>
  <si>
    <t>Subtotal labor costs</t>
  </si>
  <si>
    <t>Total Labor escalation costs</t>
  </si>
  <si>
    <t>Total escalated costs</t>
  </si>
  <si>
    <t>Total Labor escalated costs</t>
  </si>
  <si>
    <t>&lt;= check calc</t>
  </si>
  <si>
    <t>Spread - Material</t>
  </si>
  <si>
    <t>Material $'s</t>
  </si>
  <si>
    <t>Total Material costs</t>
  </si>
  <si>
    <t>Subtotal mat'l costs</t>
  </si>
  <si>
    <t>Total Material escalation costs</t>
  </si>
  <si>
    <t>Total Material escalated costs</t>
  </si>
  <si>
    <t>Spread - Removals</t>
  </si>
  <si>
    <t>Mat'l $'s</t>
  </si>
  <si>
    <t>Removals tab</t>
  </si>
  <si>
    <t>Total Removals costs</t>
  </si>
  <si>
    <t>Total Removals escalation costs</t>
  </si>
  <si>
    <t>Total Removals escalated costs</t>
  </si>
  <si>
    <t>Spread - Engineering</t>
  </si>
  <si>
    <t>Total Engineering escalation costs</t>
  </si>
  <si>
    <t>Total Engineering escalated costs</t>
  </si>
  <si>
    <t>Database area</t>
  </si>
  <si>
    <t>OVERHEAD CONSTRUCTION</t>
  </si>
  <si>
    <t>WBS code 1</t>
  </si>
  <si>
    <t>WBS code 2</t>
  </si>
  <si>
    <t>sum code 1</t>
  </si>
  <si>
    <t>Notes - Pricing (project specific)</t>
  </si>
  <si>
    <t>Item #</t>
  </si>
  <si>
    <t>Notes - Pricing standard database backup (not to be changed for each estimate - any pricing updates should be noted in the "Notes - Pricing (project Specific)" column</t>
  </si>
  <si>
    <t>INCIDENTAL CONSTRUCTION</t>
  </si>
  <si>
    <t>Construction Material Testing</t>
  </si>
  <si>
    <t>Maintenance &amp; Protection of Traffic</t>
  </si>
  <si>
    <t>Day</t>
  </si>
  <si>
    <t>LS</t>
  </si>
  <si>
    <t>Unused at this time</t>
  </si>
  <si>
    <t>STRUCTURES</t>
  </si>
  <si>
    <t xml:space="preserve">Type DA 3-70 pole Dead End </t>
  </si>
  <si>
    <t xml:space="preserve">Type WA-1-90 monopole </t>
  </si>
  <si>
    <t xml:space="preserve">Type WA-2-90 monopole </t>
  </si>
  <si>
    <t xml:space="preserve">Type WA-3-90 monopole </t>
  </si>
  <si>
    <t>Type RAX-90 H-frame tangent only</t>
  </si>
  <si>
    <t xml:space="preserve">Type WT-1-90-H4 monopole Tangent </t>
  </si>
  <si>
    <t>Type RC-1-70 3-pole Running angle</t>
  </si>
  <si>
    <t>Type RC-2-70 3-pole Running angle</t>
  </si>
  <si>
    <t>Type RC-3-70 3-pole Running angle</t>
  </si>
  <si>
    <t xml:space="preserve">80' Single Ckt Tangent </t>
  </si>
  <si>
    <t>80' Double Ckt Tangent</t>
  </si>
  <si>
    <t>80' Double Ckt Angle &gt; 10 Deg.</t>
  </si>
  <si>
    <t>80' Single Ckt Dead End &gt; 40 Deg.</t>
  </si>
  <si>
    <t xml:space="preserve">85' Single Ckt Tangent </t>
  </si>
  <si>
    <t>85' Single Ckt Angle &gt; 10 Deg.</t>
  </si>
  <si>
    <t>85' Single Ckt Dead End &gt; 40 Deg.</t>
  </si>
  <si>
    <t xml:space="preserve">85' Single Ckt 3 Pole Dead End </t>
  </si>
  <si>
    <t xml:space="preserve">105' Double Ckt Tangent </t>
  </si>
  <si>
    <t>1@ 345, 1@ 115</t>
  </si>
  <si>
    <t>105' Double Ckt Angle &gt; 10 Deg.</t>
  </si>
  <si>
    <t>105' Single Ckt Dead End&gt; 40 Deg</t>
  </si>
  <si>
    <t>345 kV</t>
  </si>
  <si>
    <t xml:space="preserve">130' Single Ckt Tangent </t>
  </si>
  <si>
    <t>130' Single Ckt Angle &gt; 10 Deg.</t>
  </si>
  <si>
    <t>130' Single Ckt Dead End</t>
  </si>
  <si>
    <t>150' H-Frame Single Ckt</t>
  </si>
  <si>
    <t>FOUNDATIONS</t>
  </si>
  <si>
    <t>115 kV Anchor Base</t>
  </si>
  <si>
    <t>CY</t>
  </si>
  <si>
    <t>7x17 fdn. For ST-1 Tangent Steel Monopole</t>
  </si>
  <si>
    <t>"other" is borings cost</t>
  </si>
  <si>
    <t>80' Single Ckt Angle 1-20 Deg.</t>
  </si>
  <si>
    <t xml:space="preserve">8x25 fdn. For SA-1 Angle Steel Monopole  </t>
  </si>
  <si>
    <t>10% additional cost</t>
  </si>
  <si>
    <t>80' Single Ckt Angle 20-60 Deg.</t>
  </si>
  <si>
    <t xml:space="preserve">8x27 fdn. For SA-2 Angle Steel Monopole </t>
  </si>
  <si>
    <t>20 % additional cost</t>
  </si>
  <si>
    <t>80' Single Ckt Deadend &gt; 60 Deg.</t>
  </si>
  <si>
    <t xml:space="preserve">9x25 fdn. For SDE-1 Deadend Steel Monopole </t>
  </si>
  <si>
    <t>7x25 fdn. For DC-ST-1 Tangent Steel Monopole</t>
  </si>
  <si>
    <t>8x27 fdn. For DC-SA-1 Angle Steel Monopole</t>
  </si>
  <si>
    <t>9x30 fdn. For DC-SDE-1 Deadend Steel Monopole</t>
  </si>
  <si>
    <t>345 kV Anchor Base</t>
  </si>
  <si>
    <t xml:space="preserve">105' Splt Phase Tangent </t>
  </si>
  <si>
    <t>105' Splt Phase Angle &gt; 10 Deg.</t>
  </si>
  <si>
    <t xml:space="preserve">105' Splt Phase Dead End &gt;40 Deg </t>
  </si>
  <si>
    <t>115 kV</t>
  </si>
  <si>
    <t xml:space="preserve">130' Double Ckt  &amp; Split Ph Tangnt </t>
  </si>
  <si>
    <t>130' Dbl Ckt &amp; Split Ph  &gt;10 Deg.</t>
  </si>
  <si>
    <t>130' Sngl Ckt &amp; Split Ph Dead End</t>
  </si>
  <si>
    <t xml:space="preserve">140' Splt Phase Tangent </t>
  </si>
  <si>
    <t>140' Splt Phase Angle &gt; 10 Deg.</t>
  </si>
  <si>
    <t>140' Splt Phase Dead End</t>
  </si>
  <si>
    <t xml:space="preserve">155' Double Ckt Tangent </t>
  </si>
  <si>
    <t>155' Double Ckt Angle &gt; 10 Deg.</t>
  </si>
  <si>
    <t>155' Single Ckt Dead End</t>
  </si>
  <si>
    <t>General Foundation work</t>
  </si>
  <si>
    <t xml:space="preserve">Rock Excavation </t>
  </si>
  <si>
    <t>Pricing based on 2019 quote from PAR for Drilling WO TMC90501</t>
  </si>
  <si>
    <t>Depth =10% pole height +2ft. Includes CMP &amp; CMP backfill</t>
  </si>
  <si>
    <t>Guy - wire to helix anchor</t>
  </si>
  <si>
    <t>Pricing from 2018 PAR unit rate structure plus material allowance</t>
  </si>
  <si>
    <t>Guy - wire to concrete anchor</t>
  </si>
  <si>
    <t>Guy - wire to rock anchor</t>
  </si>
  <si>
    <t>Above Grade cost only</t>
  </si>
  <si>
    <t>If GITL is in Trench use this plus above cost</t>
  </si>
  <si>
    <t>Glenbrook Pricing</t>
  </si>
  <si>
    <t>Ea is one individual insulator, not a 3 phase set , note angles and deadends have more then one ea per conductor, material pricing based on 2019 Maximo pricing for a typical assembly., Labor pricing based on contractor unit pricing</t>
  </si>
  <si>
    <t>Assumed (3) Arresters on 25% of structures</t>
  </si>
  <si>
    <t>Ckt. Mi.</t>
  </si>
  <si>
    <t>Add 5 % to total L.F. for sagging</t>
  </si>
  <si>
    <t>database pricing is for 3 phase circuit length, but only 1 conductor per phase. Multiply by numbers of conductor per phase.
Material pricing based on 2019 Maximo, labor per contractor unit pricing incl allowances for OT, travel time, etc of aprox. 15%</t>
  </si>
  <si>
    <t>Fiber Optic OPGW- Install by climbing</t>
  </si>
  <si>
    <t>48 Single Mode Fiber, includes splice can allow.</t>
  </si>
  <si>
    <t>Material pricing based on current maximo pricing plus allowance for a splce can every mile, labor based on contractor unit pricing</t>
  </si>
  <si>
    <t>Fiber Optic OPGW- Aerial device or Helicopter</t>
  </si>
  <si>
    <t>19 #10 Alumoweld bare cable</t>
  </si>
  <si>
    <t>Counterpoise</t>
  </si>
  <si>
    <t xml:space="preserve">3 # 8 Wires 18" Below Grade </t>
  </si>
  <si>
    <t>Grounding for Wood/Steel Structures</t>
  </si>
  <si>
    <t>Gdg. Per Dwg.s TRM 20.101/201/301</t>
  </si>
  <si>
    <t>115kV Convert Suspension to Strain</t>
  </si>
  <si>
    <t>For existing Structures, excludes site access $$</t>
  </si>
  <si>
    <t>345kV Convert Suspension to Strain</t>
  </si>
  <si>
    <t>Zinc Ribbon - EMI Mitigation</t>
  </si>
  <si>
    <t>LF</t>
  </si>
  <si>
    <t>Inc. install of test stations, DC decouplers, HDD Bores, Gradient Constrol Mats &amp; 6mo. Test monitoring</t>
  </si>
  <si>
    <t>At 10ft - 1/ft minus 10+25 for line &amp; dble side</t>
  </si>
  <si>
    <t>Fall Protection system - Rapid Rail type - cable and clips, excludes the fall device</t>
  </si>
  <si>
    <t>EA</t>
  </si>
  <si>
    <t>excludes the Sflow fall device which would be brought to the site by the lineman, not left on the pole, assumes field install of brackets and cable</t>
  </si>
  <si>
    <t>Removal of Existing 115kV  - see removals</t>
  </si>
  <si>
    <t>Removal of Existing 345kV - see removals</t>
  </si>
  <si>
    <t>Misc. line items - corona rings, line spacers, visual balls, special brackets, etx.</t>
  </si>
  <si>
    <t>R.O.W. CONSTRUCTION</t>
  </si>
  <si>
    <t>Acre</t>
  </si>
  <si>
    <t>SY</t>
  </si>
  <si>
    <t>SF</t>
  </si>
  <si>
    <t>Pricing based on current 2018 levels for a one level mat, not shuffled.</t>
  </si>
  <si>
    <t>Scope Summaries</t>
  </si>
  <si>
    <t>Construction Staking /  Survey</t>
  </si>
  <si>
    <t>Locate Existing Utilities</t>
  </si>
  <si>
    <t>Relocate Existing Utilities</t>
  </si>
  <si>
    <t>Budget #</t>
  </si>
  <si>
    <t>Sedimentation Control</t>
  </si>
  <si>
    <t>DOT # 0219001 Filter Fabric</t>
  </si>
  <si>
    <t>Contaminated Soil Testing &amp; Disp</t>
  </si>
  <si>
    <t>Est. 25% of excavated material as spoils</t>
  </si>
  <si>
    <t>Traffic Loop Detector Repair</t>
  </si>
  <si>
    <t xml:space="preserve"> estimate of 400 lf per intersection</t>
  </si>
  <si>
    <t xml:space="preserve">Trenching - Earth 6' Dp * 4' W </t>
  </si>
  <si>
    <t>Assumes 1/2 exc. Mat'l used as backfill</t>
  </si>
  <si>
    <t>1.68 for trench box</t>
  </si>
  <si>
    <t xml:space="preserve">Trenching - Bituminous 6' Dp * 4' W </t>
  </si>
  <si>
    <t>1.25 steel plating, 1.68 trench box</t>
  </si>
  <si>
    <t xml:space="preserve">Trenching - Concrete 6' Dp * 4' W </t>
  </si>
  <si>
    <t>Rock in Trench Excavation</t>
  </si>
  <si>
    <t>Est. 25% of trench to encounter rock</t>
  </si>
  <si>
    <t>Horizontal Drilling</t>
  </si>
  <si>
    <t>Jacking Conduits</t>
  </si>
  <si>
    <t>Fluidized Thermal Backfill</t>
  </si>
  <si>
    <t>4' W * 3' deep</t>
  </si>
  <si>
    <t>Pavement Restoration</t>
  </si>
  <si>
    <t>Est. pavement restoration @ 6' Wide * 2"</t>
  </si>
  <si>
    <t>Splice Vault Excavation</t>
  </si>
  <si>
    <t>Vault size = 7'* 7'*22L Incl 1000. for plating</t>
  </si>
  <si>
    <t xml:space="preserve">steel plating </t>
  </si>
  <si>
    <t>Rock Excavation (Vault)</t>
  </si>
  <si>
    <t>25% of vault exc. to encounter rock</t>
  </si>
  <si>
    <t>Communication Handhole</t>
  </si>
  <si>
    <t xml:space="preserve"> (2) 8" Pipe for HPFF</t>
  </si>
  <si>
    <t>Use for 115 kV or 345 kV</t>
  </si>
  <si>
    <t>Riser Pipe Stainless Steel 5"</t>
  </si>
  <si>
    <t>HPFF Cable Oil Press. Station</t>
  </si>
  <si>
    <t>Leak Detection System</t>
  </si>
  <si>
    <t>HPFF Dielectric Fluid</t>
  </si>
  <si>
    <t>Gal</t>
  </si>
  <si>
    <t>Splicing Vault</t>
  </si>
  <si>
    <t>(3) 115 kV HPFF 2500 kcmil Cables</t>
  </si>
  <si>
    <t>add 5% to total conduit footage</t>
  </si>
  <si>
    <t>(3) 345 kV HPFF 2500 kcmil Cables</t>
  </si>
  <si>
    <t>Fiber Optic Cables - Relaying F &amp; I</t>
  </si>
  <si>
    <t>add 2% to total conduit footage</t>
  </si>
  <si>
    <t>Lightning Arresters</t>
  </si>
  <si>
    <t>Figure (3) at each cable end</t>
  </si>
  <si>
    <t>Temperature Sensing Fibers F &amp; I</t>
  </si>
  <si>
    <t>(3) Splices 115kV, HPFF</t>
  </si>
  <si>
    <t>(3) Terminations 115kV HPFF</t>
  </si>
  <si>
    <t>(3) Trifurcating Splices 115 kV HPFF</t>
  </si>
  <si>
    <t xml:space="preserve">Use when branching HPFF cable  </t>
  </si>
  <si>
    <t>(3) Splices 345kV, HPFF</t>
  </si>
  <si>
    <t>(3) Terminations 345kV HPFF</t>
  </si>
  <si>
    <t>(3) Trifurcating Splices 345 kV HPFF</t>
  </si>
  <si>
    <t>Cathodic Protection</t>
  </si>
  <si>
    <t>Thermal Couple</t>
  </si>
  <si>
    <t>Avg. (4) per ckt mile</t>
  </si>
  <si>
    <t>Steel Termination Structure</t>
  </si>
  <si>
    <t>Structure Foundation</t>
  </si>
  <si>
    <t>25% of exc. to encounter rock (.7cy)</t>
  </si>
  <si>
    <t>Damaged Cable Analysis</t>
  </si>
  <si>
    <t>Horizontal Drilling (River Crossings)</t>
  </si>
  <si>
    <t>Vault size = 7'* 7'*22L Incl $1000. for steel plating</t>
  </si>
  <si>
    <t>25% of vault exc. to encounter rock (33cy)</t>
  </si>
  <si>
    <t xml:space="preserve"> (9) 8", (2) 2" PVC Conc. Enc</t>
  </si>
  <si>
    <t>(1) 8" PVC Conduit Conc. Enc.</t>
  </si>
  <si>
    <t>(1) 6" PVC Conduit Conc. Enc.</t>
  </si>
  <si>
    <t>(1) 4" PVC Conduit Conc. Enc.</t>
  </si>
  <si>
    <t>(1) 2" PVC Conduit Conc. Enc.</t>
  </si>
  <si>
    <t>add 3% to total conduit footage</t>
  </si>
  <si>
    <t>(3) 115 kV 1500 kcmil XLPE F &amp; I</t>
  </si>
  <si>
    <t>(2) Grounding Conductors F &amp; I</t>
  </si>
  <si>
    <t>add 4% to total conduit footage</t>
  </si>
  <si>
    <t>Sheath Grounds</t>
  </si>
  <si>
    <t>SVL &amp; Solid Grnd Link Box</t>
  </si>
  <si>
    <t>Avg. 100 LF/Day ((1) 3 Man Crew 10 Hrs)</t>
  </si>
  <si>
    <t>4' W * 4' Deep</t>
  </si>
  <si>
    <t>Vault size = 8'* 8'*30L Incl 1000. for plating</t>
  </si>
  <si>
    <t>25% of vault exc. to encounter rock (50.5cy)</t>
  </si>
  <si>
    <t>(6) 8", (2) 4", (2) 2" PVC Conc. Enc</t>
  </si>
  <si>
    <t>(1) 6" PVC Conduit Conc Enc.</t>
  </si>
  <si>
    <t>(1) 4" PVC Conduit Conc. Enc</t>
  </si>
  <si>
    <t>(1) 2" PVC Conduit Conc. Enc</t>
  </si>
  <si>
    <t>(3) 345kV 3000 kcmil XLPE  F &amp; I</t>
  </si>
  <si>
    <t>.25% of Construction Cost</t>
  </si>
  <si>
    <t>Ductbank 2x1 Duct - w/excav &amp; backfill, w/o cable</t>
  </si>
  <si>
    <t>Ductbank 3x2 Duct - w/excav &amp; backfill, w/o cable</t>
  </si>
  <si>
    <t>Ductbank 4x3 Duct - w/excav &amp; backfill, w/o cable</t>
  </si>
  <si>
    <t>Soil Disposal - Reusable</t>
  </si>
  <si>
    <t>Soil Disposal - Lined Landfill</t>
  </si>
  <si>
    <t>Soil Disposal - Hazardous Waste</t>
  </si>
  <si>
    <t>Trenwa H20 Trench 24"w x16"d</t>
  </si>
  <si>
    <t>Trenwa H20 Trench 30"w x16"d</t>
  </si>
  <si>
    <t>Trenwa H20 Trench 40"w x16"d</t>
  </si>
  <si>
    <t>STEEL STRUCTURES</t>
  </si>
  <si>
    <t>345 kV Cap Bank Breaker w/o Synchronous</t>
  </si>
  <si>
    <t>345 kV Cap Bank Breaker w/ Synchronous</t>
  </si>
  <si>
    <t>115 kV Ser.Current Lmtng React 1 Ph. (5%)</t>
  </si>
  <si>
    <t>61850 I/O Box adder - 345 or 115kV</t>
  </si>
  <si>
    <t>Bill Perez $</t>
  </si>
  <si>
    <t>Emerg Station Generator 200 kW</t>
  </si>
  <si>
    <t>MISC. EQT &amp; CONSTRUCTION</t>
  </si>
  <si>
    <t>GIS Building</t>
  </si>
  <si>
    <t>Control Enclosure - Modular</t>
  </si>
  <si>
    <t>Battery Enclosure - Modular</t>
  </si>
  <si>
    <t>Set</t>
  </si>
  <si>
    <t>Line Tuner</t>
  </si>
  <si>
    <t>345 kV 2000 Amp Line Trap</t>
  </si>
  <si>
    <t>115 kV 2000 Amp Line Trap</t>
  </si>
  <si>
    <t>115 kV 3000 Amp Line Trap</t>
  </si>
  <si>
    <t>DC Panelboards(2),(1) Main Sw. Fused</t>
  </si>
  <si>
    <t>SCADA System</t>
  </si>
  <si>
    <t>Digital Fault Recorder</t>
  </si>
  <si>
    <t>Grounding</t>
  </si>
  <si>
    <t>Autotransformer Fire Wall</t>
  </si>
  <si>
    <t>Sound Wall</t>
  </si>
  <si>
    <t>Standby Generator Rental for SCLL Concerns</t>
  </si>
  <si>
    <t>Week</t>
  </si>
  <si>
    <t>Removals Structures</t>
  </si>
  <si>
    <t>Wood Poles</t>
  </si>
  <si>
    <t>115 kV Anchor Base Steel</t>
  </si>
  <si>
    <t>Removal Foundations</t>
  </si>
  <si>
    <t>SURVEY</t>
  </si>
  <si>
    <t>Full MLOL</t>
  </si>
  <si>
    <t xml:space="preserve"> -MLOL per mile costs are for full rebuild.  For sporadic replacement of structures assume 1/2 mile per structure.  
 -Level of MLOL needs to be determined by Survey Eng
 - EMA currently not performing MLOL for structure replacements (TBD when this will change)</t>
  </si>
  <si>
    <t>July 2019 pricing from Eversource Survey Engineering - Currently 80/20 Split Labor:Materials.  Awaiting Updated #s from ESE</t>
  </si>
  <si>
    <t>Construction Support (CONST)</t>
  </si>
  <si>
    <t>$12,000 per mile for full rebuild.  For sporadic replacement of structures use $700 per structure</t>
  </si>
  <si>
    <t>July 2019 pricing from Eversource Survey Engineering</t>
  </si>
  <si>
    <t>Rights Review</t>
  </si>
  <si>
    <t xml:space="preserve"> -per mile cost is for full rebuild.  For sporadic replacement of structures assume 1/2 mile (1/4 mile in either direction) per structure.  
 - EMA currently not performing MLOL for structure replacements (TBD when this will change)</t>
  </si>
  <si>
    <t>Abutters List</t>
  </si>
  <si>
    <t xml:space="preserve"> -per mile cost is for full rebuild.  For sporadic replacement of structures assume 1/2 mile  (1/4 mile in either direction) per structure.  
 - EMA currently not performing for structure replacements (TBD when this will change)</t>
  </si>
  <si>
    <t>As-Builts</t>
  </si>
  <si>
    <t>Lists</t>
  </si>
  <si>
    <t>Costs Labor</t>
  </si>
  <si>
    <t>Costs Mat</t>
  </si>
  <si>
    <t>Total Cost</t>
  </si>
  <si>
    <t>MLOL - Post Inventory Only</t>
  </si>
  <si>
    <t>MLOL - Pre &amp; Post Inventory</t>
  </si>
  <si>
    <t>foundations - Poles - direct embed</t>
  </si>
  <si>
    <t>foundations - Poles - formed conc.</t>
  </si>
  <si>
    <t>foundations - station</t>
  </si>
  <si>
    <t>foundations - buildings</t>
  </si>
  <si>
    <t>Mats</t>
  </si>
  <si>
    <t>Rock Excavation</t>
  </si>
  <si>
    <t>Soil disposal</t>
  </si>
  <si>
    <t>Backfill - earth</t>
  </si>
  <si>
    <t>Ductbank ( incl conduit)</t>
  </si>
  <si>
    <t>Conduit - AG</t>
  </si>
  <si>
    <t>Conduit - UG ( excl ductbank)</t>
  </si>
  <si>
    <t>Cable tray</t>
  </si>
  <si>
    <t>Structures - buildings</t>
  </si>
  <si>
    <t>Structures - Poles - monopoles</t>
  </si>
  <si>
    <t>Structures - Poles - frame</t>
  </si>
  <si>
    <t>Structures - S.S.</t>
  </si>
  <si>
    <t>Pre-Eng Building</t>
  </si>
  <si>
    <t>Round</t>
  </si>
  <si>
    <t>Examples</t>
  </si>
  <si>
    <t>Estimate Value</t>
  </si>
  <si>
    <t>ROW / Easements / Land purchases</t>
  </si>
  <si>
    <t>Environmental Approvals / Permits</t>
  </si>
  <si>
    <t>Siting Approvals / Permits</t>
  </si>
  <si>
    <t xml:space="preserve">Construction </t>
  </si>
  <si>
    <t>Testing / Commissioning</t>
  </si>
  <si>
    <t>Project Mgmt. Team (PMT)</t>
  </si>
  <si>
    <t>New</t>
  </si>
  <si>
    <t>Revision Date</t>
  </si>
  <si>
    <t>Revision #</t>
  </si>
  <si>
    <t>Revision</t>
  </si>
  <si>
    <t>Tabs affected</t>
  </si>
  <si>
    <t>Change done by</t>
  </si>
  <si>
    <t>Basis for Change</t>
  </si>
  <si>
    <t>345 kV Breaker 50 KAIC</t>
  </si>
  <si>
    <t>Current Equipment Costs per Jason Thomas - Transmission Substation Engineer</t>
  </si>
  <si>
    <t>345 kV Breaker 63 KAIC 2000/3000Amp</t>
  </si>
  <si>
    <t>345 kV Breaker 63 KAIC 4000Amp</t>
  </si>
  <si>
    <t xml:space="preserve">115 kV Breaker 40 KAIC </t>
  </si>
  <si>
    <t>115 kV Breaker 63 KAIC 2000/3000Amp</t>
  </si>
  <si>
    <t>115 kV Breaker 63 KAIC 4000Amp</t>
  </si>
  <si>
    <t>115 kV Cap Bank Breaker w/o Synchronous</t>
  </si>
  <si>
    <t>115 kV Cap Bank Breaker w/ Synchronous</t>
  </si>
  <si>
    <t>Current price update per research of Rich Coppa</t>
  </si>
  <si>
    <t>61850 Breaker adder</t>
  </si>
  <si>
    <t>New price for template per research of Rich Coppa</t>
  </si>
  <si>
    <t>Rungs</t>
  </si>
  <si>
    <t>Updated price per Rich Coppa also added Labor unit rate</t>
  </si>
  <si>
    <t>115kV Steel H-Frame 80'-120' -Live Const.</t>
  </si>
  <si>
    <t>New prices for template per research of Jon Hall</t>
  </si>
  <si>
    <t>115kV Steel H-Frame 80'-120' -Dead Const.</t>
  </si>
  <si>
    <t>345kV Steel H-Frame 80'-120' -Live Const.</t>
  </si>
  <si>
    <t>345kV Steel H-Frame 80'-120' -Dead Const.</t>
  </si>
  <si>
    <t>345kV 85' 3 Pole Dead End Structure</t>
  </si>
  <si>
    <t>New prices for template. Structure weight provided by Michael Carlson, Transmission Civil Engineer &amp; Man days/Foundations based off current data base factors by Craig Scrivano &amp; Adam Diorio.</t>
  </si>
  <si>
    <t>345kV 150' H-Frame Structure</t>
  </si>
  <si>
    <t>345kV 85' 3 Pole Dead End Foundation</t>
  </si>
  <si>
    <t>345kV 150' H-Frame Foundation</t>
  </si>
  <si>
    <t>Incorporated Estimate Schedule into Master Estimate Sheet. New Tabs are "Worksheet" &amp; " Cost &amp; Sched Overview" to be used for CPA.</t>
  </si>
  <si>
    <t>Bi-Annual Review of Material &amp; Loaders - Adjusted accordingly</t>
  </si>
  <si>
    <t>115kV 14.4 MVAR Cap Bank</t>
  </si>
  <si>
    <t>New Price per Project #T1217A - Oak Hill Cap Bank Addition</t>
  </si>
  <si>
    <t>115kV 1PH Reactor</t>
  </si>
  <si>
    <t>Bi-Annual Review of Material &amp; Loaders - Incorporated Estimate Ranges on Cover Sheet</t>
  </si>
  <si>
    <t>Primary &amp; Backup Relays - SS Misc. Eqt.</t>
  </si>
  <si>
    <t>Material Price adjusted per Jon Hall Study of past relay projects</t>
  </si>
  <si>
    <t>345kV 50-100MVAR 3P Shunt Reactor</t>
  </si>
  <si>
    <t>Updated Mat'l &amp; Labor price per Rich Coppa's study</t>
  </si>
  <si>
    <t>345kV 75-150MVAR 3P Shunt Reactor</t>
  </si>
  <si>
    <t>Added new Unit price per Rich Coppa's study</t>
  </si>
  <si>
    <t>New prices for template per research of Rich Coppa - See below for details (#1)</t>
  </si>
  <si>
    <t>New prices for template per research of Rich Coppa - See below for details (#2)</t>
  </si>
  <si>
    <t>Contaminated Soils - Unsuitable/Lightly</t>
  </si>
  <si>
    <t>New prices for template per research of Rich Coppa</t>
  </si>
  <si>
    <t>Contaminated Soils - Heavily Contaminated</t>
  </si>
  <si>
    <t>Contaminated Soils - Asbestos</t>
  </si>
  <si>
    <t>Battery &amp; Spill Containment</t>
  </si>
  <si>
    <t>Battery Material &amp; Spill Containment Costs verified per Fantasia Associates (Quote 5/18/12) - Per Jon Hall Study</t>
  </si>
  <si>
    <t>115kV/13.8kV 50 MVA 3 Phase Trans</t>
  </si>
  <si>
    <t>New Unit Price Item - Per R.Coppa Research</t>
  </si>
  <si>
    <t>Added New "Estimated Risks" Tab to File</t>
  </si>
  <si>
    <t>To establish a sheet for shown Estimated Risk Costs - To be used in CPA package - Per Adam Diorio</t>
  </si>
  <si>
    <t>Revised "Velco" sheet per ISO standards</t>
  </si>
  <si>
    <t>Per Jackie Gardell</t>
  </si>
  <si>
    <t>Updated &amp; Added Wood Structures:</t>
  </si>
  <si>
    <t>Per Mike Downey's research - Updated Structure costs per LWS corp. &amp; added new items for use.</t>
  </si>
  <si>
    <t>Adjusted loaders &amp; current AFUDC rates</t>
  </si>
  <si>
    <t>Substation Foundation Unit Prices</t>
  </si>
  <si>
    <t>Complete update based on standard Drawings for Concrete/Rebar/Anchor Bolt &amp; backfill material, labor hours adjusted accordingly - Provided by Mike Downey's research.</t>
  </si>
  <si>
    <t>Convert Existing 115kV Structure from Suspension to Strain Construction</t>
  </si>
  <si>
    <t>New Unit Price Item - Per R.Coppa Research via NERC Alert Projects</t>
  </si>
  <si>
    <t>Convert Existing 345kV Structure from Suspension to Strain Construction</t>
  </si>
  <si>
    <t>Incorporated New VELCO Cover Sheet Tab</t>
  </si>
  <si>
    <t>Per P. Neidhardt request</t>
  </si>
  <si>
    <t>115/69kV Auto Transformer 72 MVA, 3 Phase</t>
  </si>
  <si>
    <t>New Unit Price Item in Substation New Construction Tab - Per R.Coppa Research</t>
  </si>
  <si>
    <t>Update Unit Price Item - Per R.Coppa Research</t>
  </si>
  <si>
    <t>EMI Mitigation Cost</t>
  </si>
  <si>
    <t>New Unit Price Item in OH Line Construction Tab - Per R.Coppa Research</t>
  </si>
  <si>
    <t>Update Unit Price Items - Per Mike Downey Research</t>
  </si>
  <si>
    <t>Caisson Installation 15'</t>
  </si>
  <si>
    <t>Caisson Installation 18'</t>
  </si>
  <si>
    <t>New Unit Price Item in Substation New Construction Tab - Per Jon Hall Research</t>
  </si>
  <si>
    <t>Updated Mat'l costs via Pete Tirinzoni's email 10/31/13 via Rich Coppa for 115kV &amp; adjusted for 345kV</t>
  </si>
  <si>
    <t>(3) 115kV 3000 kcmil XLPE  F &amp; I</t>
  </si>
  <si>
    <t>Updated Mat'l costs via Pete Tirinzoni's email 10/31/13 via Rich Coppa 1/23/14</t>
  </si>
  <si>
    <t>Non Contaminated Soils - Spoil Removal</t>
  </si>
  <si>
    <t>Rungs/Galv. Bail Step</t>
  </si>
  <si>
    <t>Updated Material Cost - Per John Case Email (9/10/14) via Sasha Rask - Supply Chain</t>
  </si>
  <si>
    <t>Rungs/Galv. Bail Step w/ Platform</t>
  </si>
  <si>
    <t xml:space="preserve">New Unit Price Item in OH Line Tab - Per John Case Email (9/10/14) Research via Sasha Rask - Supply Chain </t>
  </si>
  <si>
    <t>115kV GIS Series Breaker (back to back)</t>
  </si>
  <si>
    <t>New Unit Price Item in Substation New Construction Tab - Per R.Coppa Research (9/5/14 email)</t>
  </si>
  <si>
    <t>GITL Concrete Trench Adder</t>
  </si>
  <si>
    <t>New Unit Price Item in OH Construction Tab - Per R.Coppa Research (8/28/14 email)</t>
  </si>
  <si>
    <t>New Unit Price Item in HPFF Tab - Per R.Coppa Research (5/27/14 email)</t>
  </si>
  <si>
    <t>2-Grounding Conductors - 115kV XLPE</t>
  </si>
  <si>
    <t>Updated per Rich Coppa Research (Email 4/3/14)</t>
  </si>
  <si>
    <t>2-Grounding Conductors - 345kV XLPE</t>
  </si>
  <si>
    <t>Escalation Rate Changed on Material &amp; Labor</t>
  </si>
  <si>
    <t>From 4% down to 3% per John Case's email 3/12/15</t>
  </si>
  <si>
    <t>Added unit prices for Crane Pad live line, de-energized and leveling only. Adjusted man days and material for 115kv and 345kV suspension to strain.</t>
  </si>
  <si>
    <t>115kV to 5 mandays and $7k for material…345kV 10 man days and $7k for material. Changes developed during 03/21/2016 peer review meeting</t>
  </si>
  <si>
    <t>Revised indirects for NH Copied missing formulas into OH Const LME worksheet on Columns Z, AA, AB, AC, AD Revised Stores loaders to 14% for Eversource purchased material</t>
  </si>
  <si>
    <t>Corrected Indirects from actuals being received in uploads.</t>
  </si>
  <si>
    <t>Updated indirects/AFUDC for CL&amp;P, WMECO &amp; PSNH based on recent rate info. Corrected material cost for station batteries and chargers based on a recent PO.</t>
  </si>
  <si>
    <t>Added Capacitor cans to the substation sheet. Increase between 13/7 and 25.2 is 20%</t>
  </si>
  <si>
    <t>Updated 3 single phase autos per Northfield Mountain PO (Caryn Murry)</t>
  </si>
  <si>
    <t>Created Rev23 - Updated date to 2017 &amp; updated indirects</t>
  </si>
  <si>
    <t>Created Rev26 - Updated date to 2018 &amp; updated indirects and AFDUC rates</t>
  </si>
  <si>
    <t>Rev 0</t>
  </si>
  <si>
    <t>Major Overhaul to spreadsheet</t>
  </si>
  <si>
    <t>Most tabs affected, data input, all estimate sheets, major change to esclation process, MIB input sheet, Sheet 1, etc.</t>
  </si>
  <si>
    <t>Update template for new estimating group</t>
  </si>
  <si>
    <t xml:space="preserve">Changed
'Est detail sheet' - made extended costs summations include top line
'escalation' - removed contents, box F64 
'escalation' - copied year headings down to line 92 for material </t>
  </si>
  <si>
    <t>Refine template for new estimating group</t>
  </si>
  <si>
    <t>Added BHI Construction Rep and formula to calc correct $  and $150/hr billing rate. Adjusted resource to AQ and modified the E&amp;S formula to include the BHI line item. Zeroed out contingency for each activity. Created a formula under TST00 contractor to calc a Test Crew manhours and billing rate and LCE manhours and billing rate.</t>
  </si>
  <si>
    <t>Detail MIB Entry</t>
  </si>
  <si>
    <t>Project management assisted in the manhour and billing rates for BHI, Test and LCE. Based on new process, contingency is no longer applied at a percentage rate but is developed through a risk assesment.</t>
  </si>
  <si>
    <t>Rev 0b</t>
  </si>
  <si>
    <t>change to update the previous costs into the PAF and MIB sheets, add distribution calcs to the MIB, changed escalation sheet to take out removals from labor and material sections.</t>
  </si>
  <si>
    <t>Detail MIB Entry, escalation</t>
  </si>
  <si>
    <t>Rev 0c</t>
  </si>
  <si>
    <t xml:space="preserve">updated BHI Construction Rep 'Detailed-MIB' escalated dollars section calculations </t>
  </si>
  <si>
    <t>BHI escalated dollars were not calculating properly, impacting PAF and other total dollar calcs</t>
  </si>
  <si>
    <t>Rev 0d</t>
  </si>
  <si>
    <t>updated PAF totals calculations to include all project years and priors</t>
  </si>
  <si>
    <t>PAF Summary</t>
  </si>
  <si>
    <t>existing summary calculation only included years 2018-2020</t>
  </si>
  <si>
    <t>Rev 0e</t>
  </si>
  <si>
    <t>removals costs not coming forward to the MIB summary</t>
  </si>
  <si>
    <t>MIB summary</t>
  </si>
  <si>
    <t>fixed links</t>
  </si>
  <si>
    <t>Rev 0f</t>
  </si>
  <si>
    <t>revise the PAF summary sheet to show BHI construction reps as outside services, not other costs</t>
  </si>
  <si>
    <t>PAF summary tab &amp; VELCO numbers sheet</t>
  </si>
  <si>
    <t>JET</t>
  </si>
  <si>
    <t>Rev 0g</t>
  </si>
  <si>
    <t>Fix the PAF summary sheet for matching to the MIB sheet columns, it had got of of sequence
Also OH rates changed as of 8/1/2018</t>
  </si>
  <si>
    <t>PAF summary sheet</t>
  </si>
  <si>
    <t>Rev 0h</t>
  </si>
  <si>
    <t>Added ability to show the split of eversource construction labor vs. outside service labor on the MIB sheet</t>
  </si>
  <si>
    <t>MIB summary, Escalation tab</t>
  </si>
  <si>
    <t>JET/MD</t>
  </si>
  <si>
    <t>needed ability to show this split as before</t>
  </si>
  <si>
    <t>Rev 0i</t>
  </si>
  <si>
    <t xml:space="preserve">Escalation tab had a mistake in the split of Internal Electric work vs. outside services - fixed ranges </t>
  </si>
  <si>
    <t>Escalation tab</t>
  </si>
  <si>
    <t>1) MIB sheet indirects summation in the orange cells down below the table didn't include the full range of cells with indirects
2) removed the text box from the cover sheet and the generic words that has been on a lot of the sheets lately.</t>
  </si>
  <si>
    <t>MIB sheet / Cover sheet</t>
  </si>
  <si>
    <t>Rev 0j</t>
  </si>
  <si>
    <t>Indirect update from IP</t>
  </si>
  <si>
    <t>Data input tab and Indirects tab, added a new plull down menu for T-Lines work vs. Station work.</t>
  </si>
  <si>
    <t>Rev 0k</t>
  </si>
  <si>
    <t>Updated the input sheet for the category of estimate feeding the cover sheet ranges</t>
  </si>
  <si>
    <t>Input sheet and cover sheet</t>
  </si>
  <si>
    <t>Rev 0k1</t>
  </si>
  <si>
    <t>updated the NPT rates for all regions</t>
  </si>
  <si>
    <t>Rev 0l</t>
  </si>
  <si>
    <r>
      <t xml:space="preserve">Changes c/o;
1) Split up material between internal and external on the detailed input sheets and flowed that thru to the escalation sheet so stores only applies to internal materials. This also now flows to the MIB sheet as separate rows.
2) Move stores calc to indirects section- no longer in directs
3) Other costs and constr. eqt shows as internal all the time even if it isn't coded that way, fix made so that the constr. eqt and other costs follow the way the labor is coded
4) Modify the MIB sheet to separate out the LCE and Test into two rows to make the input easier and more tracable - also added labor $/hr input to labor table on input sheet
5) Changed the vehicle number to 10% for internal construction labor (was 20%)
6) Added delta tab
7) Incorporated Risk tab input into MIB sheet so risks can be identified and costed on risk sheet and that amount flows to MIB and other sheets now.
</t>
    </r>
    <r>
      <rPr>
        <b/>
        <sz val="10"/>
        <rFont val="Arial"/>
        <family val="2"/>
      </rPr>
      <t>8) Changed the MIB input from mandays to manhours for all cases.
9) Detailed input sheets converted to only mhrs input, added the flow thru of those hours by Eversource / Vendor thru the escalataion and MIB tabs
10) fix the indirects on the input page, some of the D rates weren't coming thru correctly.
11) added checks and balance tab to provide overall check calces
12) adjusted the AFUDC switch on the input sheet so both the intent has to be Y and there must be dollars in each year or the AFUDC automatically shuts off</t>
    </r>
  </si>
  <si>
    <t>0l</t>
  </si>
  <si>
    <t>Fix lobby stock calc so it only applies to eversource eqt./mat'l</t>
  </si>
  <si>
    <t>MIB</t>
  </si>
  <si>
    <t>0m</t>
  </si>
  <si>
    <t>Updated E&amp;S rates for 1T, 4T, and 41
Also minor fix to the MDEC calc to make sure the right items are being included in the calc.
revised Eversource services rate to $50/hr
Revised manhour summary calc on escalation tab to remove the err result when zero</t>
  </si>
  <si>
    <t>indrect rates, esclation, and MIB sheet</t>
  </si>
  <si>
    <t>0n</t>
  </si>
  <si>
    <t>revised the AFUDC calc on the MIB sheet as well as the update AFUDC rates from the TM1 study</t>
  </si>
  <si>
    <t>indrect rates,  and MIB sheet</t>
  </si>
  <si>
    <t>Brought in the vendor summary page for subcontracted estimates</t>
  </si>
  <si>
    <t>Vendor Summary</t>
  </si>
  <si>
    <t>Fixed lookup on the OH Constr. sheet for some of the labor categories</t>
  </si>
  <si>
    <t>OH Constr.</t>
  </si>
  <si>
    <t>Added pricing for H20 Trenwa Trench</t>
  </si>
  <si>
    <t>Substation New Const</t>
  </si>
  <si>
    <t>CPM</t>
  </si>
  <si>
    <t xml:space="preserve">Corrected formula MIB sheet - Rents and Leases line; Added soil disposal cost </t>
  </si>
  <si>
    <t>MIB Sheet; Substation New Const</t>
  </si>
  <si>
    <t>0o</t>
  </si>
  <si>
    <t>Overhead changes</t>
  </si>
  <si>
    <t>0p</t>
  </si>
  <si>
    <t>change dates on the input sheet so that 2019 is the first date to coinside with the new year
Added a new special summary to enable comparison at a scope level - added summary codes to OH line tab and totals below the existing totals on that tab.</t>
  </si>
  <si>
    <t>add the parameters sheet and move the input for the scope summary to it, also expand sales tax section</t>
  </si>
  <si>
    <t>adjust the AFUDC calc on the MIB sheet to include the D indirects</t>
  </si>
  <si>
    <t>updated the BHI, LCE, and Test labor rates</t>
  </si>
  <si>
    <t>input sheet</t>
  </si>
  <si>
    <t>0q</t>
  </si>
  <si>
    <t>revised the indirects calc on the MIB sheet to use the subtotal of LT vs each line item so rows could be added in the categories, added rows to LT PM box and outside vendor PM box.</t>
  </si>
  <si>
    <t xml:space="preserve">MIB , Delta </t>
  </si>
  <si>
    <t>1) On the Substation new const. tab, added ductbank line items by qty, modified the trench numbers, changed excavation to CY from LS
2) Changed ES to EC on the labor table as well as all the estimate sheets</t>
  </si>
  <si>
    <t>Substation New Const. Input</t>
  </si>
  <si>
    <t>E&amp;S rates updated per IP email dated 2/21/19</t>
  </si>
  <si>
    <t>Input Sheet</t>
  </si>
  <si>
    <t>CLM</t>
  </si>
  <si>
    <t>Adjusted the calculation on sales tax- added a eversource vs. a contractor calc to account for the tax excemption in MA.</t>
  </si>
  <si>
    <t>Input / MIB</t>
  </si>
  <si>
    <t>Payroll Overheads,Vehicles Overheads &amp; AFUDC revised per IP email dated 3/19/19</t>
  </si>
  <si>
    <t>0r</t>
  </si>
  <si>
    <t>added new wbs codes to cover sheet, made changes to how RISK sheet works, fixed PAF summary table to included all new outside services lines
Also revised MIB summary to include columns for WBS and PAF codes. Then added summary areas below the MIB section for a wbs and a paf summary table. These tables then feed the rest of the summaries.
Revised escalation tabl to split up removal labor between internal and external labor, required adjustment to MIB summary also.
added cover sheet rounding input on the input tab</t>
  </si>
  <si>
    <t>0r1</t>
  </si>
  <si>
    <t>mib line 82 change PP to IP
mib line 84 change sitting to siting
mib - add notes column
removals  - fixed labor code pull down
removed contingency %'s in the mib sheet, default should be zero</t>
  </si>
  <si>
    <t>0r2</t>
  </si>
  <si>
    <t>fix missing formulas on the removals tab for material and other split of Eversource vs. other</t>
  </si>
  <si>
    <t>0r3</t>
  </si>
  <si>
    <t>revised pricing for insulators and OH conductors
added on the OH tab the database notes area off to the right of the spreadsheet
added notes to the bottom of the PAF to show contingency vs. other expense breakout
made the input on the mib for the contingency on removals a area that can't be entered into.</t>
  </si>
  <si>
    <t>0r4</t>
  </si>
  <si>
    <t>add in the ability for the spreadsheet to apply lobby stock on distribution jobs properly.</t>
  </si>
  <si>
    <t>0s</t>
  </si>
  <si>
    <t>added the new cover &amp; WBS tab which will be the new estimate summary once accounting approves that format for the PAF, additionally the new PAF tab was added.</t>
  </si>
  <si>
    <t>revised the sheet to fully handle customer contribution</t>
  </si>
  <si>
    <t>fixed prior total cost formula on the cover sheet</t>
  </si>
  <si>
    <t>0s1</t>
  </si>
  <si>
    <t>*Revise E&amp;S rates per IP email 6/18/19. Also Revise Stores &amp; Vehicle Loaders
*updated the indirects to incorporate the % factor on stores indirect - changed from full rate to 50% based on analysis
*added vehicles to the indirects tab so they calculate in indirects portion of the MIB and not all the individual MIB areas anymore ( those have been protected so you can't input there)
*fix to the PP4 sheet calc
*added new shunt reactor fnd line (345kv - 160mvar) in new format with CY as primary qty, that is generated by the ea input in the 2nd qty input area and is based of composite makeup</t>
  </si>
  <si>
    <t>CM / JET</t>
  </si>
  <si>
    <t>Revised formula on Cover (old) for Risk and indirects to Round values and on several Priors fprmulas</t>
  </si>
  <si>
    <t>MPD</t>
  </si>
  <si>
    <t>0s2</t>
  </si>
  <si>
    <t>Added the "Old PAF" sheet summary at the bottom of the MIB to help in the rounding issues as well as the material match. Also fixed an error in the E&amp;S calc on the Outside services engr.</t>
  </si>
  <si>
    <t>0s3</t>
  </si>
  <si>
    <r>
      <t xml:space="preserve">`Fix Labor Code Drop down in OH Constr tab
`Added Direct Embedd data for 10', 12', and 14' depths
`Updated Rock Coring pricing for 48"and added 84"
`Added 'Survey Engineering Tab
    -Updated Escalation Sheet -Added Engineering Section
    -Updated Detail Summary Sheet with internal &amp; External Survey engineering
`Fixed Labor Rate not calculating for Contr Eng on MIB sheet
` Cleaned Up Formatting on Cover Sheet </t>
    </r>
    <r>
      <rPr>
        <strike/>
        <sz val="10"/>
        <rFont val="Arial"/>
        <family val="2"/>
      </rPr>
      <t>(OLD)</t>
    </r>
    <r>
      <rPr>
        <sz val="10"/>
        <rFont val="Arial"/>
        <family val="2"/>
      </rPr>
      <t xml:space="preserve">
'Fixed Detail Summary Sheet Removals Costs were roling up to Project Management
'Hid New Cover and PAF Summary sheets until transition to WBS occurs
'on8/13/19 Fixed OH Const not rolling up to cover/escalation correctly. </t>
    </r>
  </si>
  <si>
    <t>GB</t>
  </si>
  <si>
    <t>0s4</t>
  </si>
  <si>
    <t>Notes:</t>
  </si>
  <si>
    <t>Nu labor prices vs. AQ labor could change unit price, yet material costs and man-day's will be consistent.</t>
  </si>
  <si>
    <t>Current Unit prices based on Outside Construction &amp; CL&amp;P Operating Rates</t>
  </si>
  <si>
    <r>
      <t>Enabled Macros
'Added Estimate Basis tabs for SS and OH</t>
    </r>
    <r>
      <rPr>
        <strike/>
        <sz val="10"/>
        <rFont val="Arial"/>
        <family val="2"/>
      </rPr>
      <t>, visible based on estimate type</t>
    </r>
    <r>
      <rPr>
        <sz val="10"/>
        <rFont val="Arial"/>
        <family val="2"/>
      </rPr>
      <t xml:space="preserve">
'Added Estimate Closeout Sheet
'Revised Escalation Tab - Outside Services was not being added correctly.</t>
    </r>
  </si>
  <si>
    <t>Fiber Optic OPGW Splice Can</t>
  </si>
  <si>
    <t>MH and UOM from Est E-19-132</t>
  </si>
  <si>
    <t>Fiber Optic OPGW Splicing at Splice Can</t>
  </si>
  <si>
    <t>Est based on 10K in Labor/Splice</t>
  </si>
  <si>
    <t xml:space="preserve">Added OPGW Splice Cans and Splicing into OH Construction tab </t>
  </si>
  <si>
    <t>Asset Management</t>
  </si>
  <si>
    <t>Project Support Vendor - Asset Management</t>
  </si>
  <si>
    <t>Project Support Vendor - C/P</t>
  </si>
  <si>
    <t>Project Support Vendor - System Planning</t>
  </si>
  <si>
    <t>'Updated Pricing for OPGW Splicing Labor
'Added/updated PM Rows in Detail Summary Tab
'Fixed split of other costs not resolving to correct values on PAF Summary</t>
  </si>
  <si>
    <t>OH Constr., Detail Summary, PAF Summary</t>
  </si>
  <si>
    <t>0s4.2</t>
  </si>
  <si>
    <t>0s4.1</t>
  </si>
  <si>
    <t>0s4.3</t>
  </si>
  <si>
    <t>GB/JET</t>
  </si>
  <si>
    <t>'Added Contingency Note as % of Pre-Contingency Project Cost
'Fixed calculations on Delta Tab for PM support</t>
  </si>
  <si>
    <t>Cover, WBS, Delta</t>
  </si>
  <si>
    <t>TOTAL (unescalated)</t>
  </si>
  <si>
    <t>Additional Costs -- Working in Winter Operating Conditions</t>
  </si>
  <si>
    <t>CIVIL CONSTRUCTION</t>
  </si>
  <si>
    <t>Manholes</t>
  </si>
  <si>
    <t>Handholes</t>
  </si>
  <si>
    <t>Prelim Pile Excavation</t>
  </si>
  <si>
    <t>Drainage (Dewatering)</t>
  </si>
  <si>
    <t>Support Structures</t>
  </si>
  <si>
    <t>isolation Barrier wall</t>
  </si>
  <si>
    <t>115kV Ser.Current Lmtng React 1 Ph.</t>
  </si>
  <si>
    <t>115kV Ser.Current Lmtng React 1 Ph. (2%)</t>
  </si>
  <si>
    <t>115kV Ser.Current Lmtng React 1 Ph. (5%)</t>
  </si>
  <si>
    <t>Transformers (62.5MVA)</t>
  </si>
  <si>
    <t>Rentals -- Construction crane -- Transformer installation</t>
  </si>
  <si>
    <t>Gas Insulated Switchgear</t>
  </si>
  <si>
    <t>Rebuild/ Modify the existing switchgear</t>
  </si>
  <si>
    <t>Grounding System (Cable and Mesh)</t>
  </si>
  <si>
    <t>Control House</t>
  </si>
  <si>
    <t>Lighting</t>
  </si>
  <si>
    <t>Switches</t>
  </si>
  <si>
    <t>345kV 2000 Amp Line Trap</t>
  </si>
  <si>
    <t>115kV 2000 Amp Line Trap</t>
  </si>
  <si>
    <t>115kV 3000 Amp Line Trap</t>
  </si>
  <si>
    <t>345kV Jumper</t>
  </si>
  <si>
    <t>345kV Post Insulator</t>
  </si>
  <si>
    <t>115kV Post Insulator</t>
  </si>
  <si>
    <t>Groundwater Protection</t>
  </si>
  <si>
    <t>Dewatering / NPDES</t>
  </si>
  <si>
    <t>DEP Const/Demo Permit</t>
  </si>
  <si>
    <t>DEP Listed Site</t>
  </si>
  <si>
    <t>Soil Sampling/Disposal</t>
  </si>
  <si>
    <t>Asbestos Inspection/Sampling</t>
  </si>
  <si>
    <t>PCB Sampling/Disposal</t>
  </si>
  <si>
    <t>Oil Transfer / Storage</t>
  </si>
  <si>
    <t>Other (CCC, CZM, DPU, etc)</t>
  </si>
  <si>
    <t>Environmental Testing/Site Research</t>
  </si>
  <si>
    <t>Geotechnical Surveys, including soil borings</t>
  </si>
  <si>
    <t>City/Municipal Permits (Zoning, Building, etc.)</t>
  </si>
  <si>
    <t>Environmental Permitting</t>
  </si>
  <si>
    <t>Engineering &amp; Project Support</t>
  </si>
  <si>
    <t>0s5.0</t>
  </si>
  <si>
    <t>Parameters, Survey Eng (Eng &amp; Proj Supp), Escalation, Detail Summary</t>
  </si>
  <si>
    <t>&lt;--Check Calc from Detail Summary</t>
  </si>
  <si>
    <t>&lt;-- check Calc from detail summary</t>
  </si>
  <si>
    <t>&lt;-- check calc against detail summary</t>
  </si>
  <si>
    <t>Substation New Const:
 - Changed Name to Substation Const
 - Added EMA SS template info
Parameters Tab: 
 - Assigned 90 to Environmental Permitting
Survey Eng Tab: 
 - Renamed to Eng &amp; Project Support
 - Added Environmental Permits List
Escalation tab: 
 - Add Environmental to Engineering &amp; Material Section
 - Corrected EST detail for OS material not captured
Detail Summary tab:
 - Updated broken references
 - Fixed some categories not escalating correctly 
 - Added "IsNumber" to some if statements to avoid errors
 - Updated Environmental to pull from escalation tab. 
 - Updated naming convention to include EMA titles</t>
  </si>
  <si>
    <t>$ in Estimate</t>
  </si>
  <si>
    <t>Price</t>
  </si>
  <si>
    <t>Other Project Costs</t>
  </si>
  <si>
    <t>Total Estimated Cost</t>
  </si>
  <si>
    <t>Costs</t>
  </si>
  <si>
    <t>Cost Items ( from Detailed summary tab)</t>
  </si>
  <si>
    <t>Total %</t>
  </si>
  <si>
    <t>Cont. $</t>
  </si>
  <si>
    <t>Calculation area, do not delete</t>
  </si>
  <si>
    <t>Piling - Auger Cast</t>
  </si>
  <si>
    <t>Cable Tray - specify size and type</t>
  </si>
  <si>
    <t>Piling - Mini Piles</t>
  </si>
  <si>
    <t>Test / Field Engr. Labor (In House)</t>
  </si>
  <si>
    <t>Test / Field Engr. Labor (contractor)</t>
  </si>
  <si>
    <t>Lead Commissioning Engr. (LCE) ( internal)</t>
  </si>
  <si>
    <t>Lead Commissioning Engr. (LCE) (contactor)</t>
  </si>
  <si>
    <t>PROJECT COST ESTIMATE &amp; SCHEDULE SHEET (Cont.)</t>
  </si>
  <si>
    <t>Siting &amp; Permitting</t>
  </si>
  <si>
    <t>Approval and Permits</t>
  </si>
  <si>
    <t>Engineering and Design</t>
  </si>
  <si>
    <t>Eversource Energy</t>
  </si>
  <si>
    <t>Switch</t>
  </si>
  <si>
    <t>from input sheet</t>
  </si>
  <si>
    <t>OS-SE</t>
  </si>
  <si>
    <t>OS-LE</t>
  </si>
  <si>
    <t>OS-PC</t>
  </si>
  <si>
    <t>Outside services (station engr.)</t>
  </si>
  <si>
    <t>Outside services (line engr)</t>
  </si>
  <si>
    <t>Outside services (P&amp;C engr.)</t>
  </si>
  <si>
    <t>Outside services (general engr. &amp; PM rate)</t>
  </si>
  <si>
    <t>PAF (old)</t>
  </si>
  <si>
    <t>Cover (old)</t>
  </si>
  <si>
    <t>Cover</t>
  </si>
  <si>
    <t>Breakout costs incl above</t>
  </si>
  <si>
    <t>ST Labor</t>
  </si>
  <si>
    <t>OT Labor</t>
  </si>
  <si>
    <t>Outside services - Labor</t>
  </si>
  <si>
    <t>Total costs by PAF code</t>
  </si>
  <si>
    <t>Summary by OLD Cover sheet code</t>
  </si>
  <si>
    <t>Total costs by Old Cover Sheet code</t>
  </si>
  <si>
    <t>Summary by old PAF code</t>
  </si>
  <si>
    <t>Indirects/Overhead</t>
  </si>
  <si>
    <t>Other ( incl Risk)</t>
  </si>
  <si>
    <t>Risk</t>
  </si>
  <si>
    <t>SUBTOTAL PROJECT DIRECT COST</t>
  </si>
  <si>
    <t>no escalation added</t>
  </si>
  <si>
    <t xml:space="preserve">UNESCALATED LINE ITEM DOLLARS </t>
  </si>
  <si>
    <t xml:space="preserve">Check </t>
  </si>
  <si>
    <t>Eversource Estimate Template</t>
  </si>
  <si>
    <t>Major Eqt - Transformers</t>
  </si>
  <si>
    <t>Major Eqt - Circuit Breakers</t>
  </si>
  <si>
    <t>Major Eqt - Circuit Switchers</t>
  </si>
  <si>
    <t>Major Eqt - Cap Banks</t>
  </si>
  <si>
    <t>Major Eqt - Reactors</t>
  </si>
  <si>
    <t>Major Eqt - Disconect Switches</t>
  </si>
  <si>
    <t>Misc. Eqt - Bus</t>
  </si>
  <si>
    <t>Misc. Eqt - Conduit / Tray</t>
  </si>
  <si>
    <t>Relays</t>
  </si>
  <si>
    <t>Scope summary code</t>
  </si>
  <si>
    <t>Scope summary description</t>
  </si>
  <si>
    <t>check delta</t>
  </si>
  <si>
    <t>actuals to date ( not included in detail sheets)</t>
  </si>
  <si>
    <t>01</t>
  </si>
  <si>
    <t>Labor   / Const. Eqt.</t>
  </si>
  <si>
    <t>Total Estimate by Scope summary</t>
  </si>
  <si>
    <t>Uncoded amounts ( fix the coding before continuing)</t>
  </si>
  <si>
    <t>REMOVALS</t>
  </si>
  <si>
    <t>Misc. Eqt - Insulators</t>
  </si>
  <si>
    <t>Misc. Eqt - LA's</t>
  </si>
  <si>
    <t>Major Eqt - GIS</t>
  </si>
  <si>
    <t>Piling / Caissons</t>
  </si>
  <si>
    <t>SCADA</t>
  </si>
  <si>
    <t>Batteries</t>
  </si>
  <si>
    <t>Comm. Eqt</t>
  </si>
  <si>
    <t>Misc. Eqt - CCVT</t>
  </si>
  <si>
    <t>Misc. Eqt - Other</t>
  </si>
  <si>
    <t>Major Eqt - Other</t>
  </si>
  <si>
    <t>Structures - Platforms</t>
  </si>
  <si>
    <t>Structures - Poles - Guys</t>
  </si>
  <si>
    <t>General mob / demob</t>
  </si>
  <si>
    <t>Major Eqt - Switchgear</t>
  </si>
  <si>
    <t>Cabinets</t>
  </si>
  <si>
    <t>Misc. Protection and controls Eqt.</t>
  </si>
  <si>
    <t>Structures - Others</t>
  </si>
  <si>
    <t>Cable - Other</t>
  </si>
  <si>
    <t>Fence / Gates</t>
  </si>
  <si>
    <t>Sound walls/ retaining walls</t>
  </si>
  <si>
    <t>General site work - general inc roads/paving</t>
  </si>
  <si>
    <t>ROW work ( clearing/ Grubbing/ access roads)</t>
  </si>
  <si>
    <t>Crane pads</t>
  </si>
  <si>
    <t>Backfill- stone ( incl trap rock and surfacing)</t>
  </si>
  <si>
    <t>CIP Fence, Gates, Balistic protection</t>
  </si>
  <si>
    <t>Excavation ( incl machine / hand / trench)</t>
  </si>
  <si>
    <t>Trench (Trenwa type)</t>
  </si>
  <si>
    <t>Cable - UG - HPFF ( incl terms)</t>
  </si>
  <si>
    <t>Cable - UG - XLPE ( incl terms)</t>
  </si>
  <si>
    <t>Cable - AG under 115kv ( incl terms)</t>
  </si>
  <si>
    <t>Cable - AG 115 kv ( incl terms)</t>
  </si>
  <si>
    <t>Cable - AG 345 kv ( incl terms)</t>
  </si>
  <si>
    <t>Cable - OPGW / Shield ( incl terms)</t>
  </si>
  <si>
    <t>Cable - Control ( incl terms)</t>
  </si>
  <si>
    <t>Cable - Communication / Oher ( incl terms)</t>
  </si>
  <si>
    <t>Cable - Power ( incl terms)</t>
  </si>
  <si>
    <t>Summary Scope</t>
  </si>
  <si>
    <t>Electrical Constr.</t>
  </si>
  <si>
    <t>Materials ( All materials incl. outside service purchased which is shown in constr. above)</t>
  </si>
  <si>
    <t>Materials ( Eversource purchased)</t>
  </si>
  <si>
    <t>P&amp;C</t>
  </si>
  <si>
    <t>Civil Constr.</t>
  </si>
  <si>
    <t>Field Engineering (Test)</t>
  </si>
  <si>
    <t>Constr. Rep</t>
  </si>
  <si>
    <t>ESTIMATE BASIS - LINES</t>
  </si>
  <si>
    <t>ESTIMATE BASIS - SUBSTATION</t>
  </si>
  <si>
    <t>T-Lines - Civil</t>
  </si>
  <si>
    <t>T-Lines - Overhead</t>
  </si>
  <si>
    <t>T-Lines - Underground</t>
  </si>
  <si>
    <t>SS Engineering - Civil</t>
  </si>
  <si>
    <t>SS Engineering</t>
  </si>
  <si>
    <t>Clarifications:</t>
  </si>
  <si>
    <r>
      <rPr>
        <b/>
        <sz val="10"/>
        <rFont val="Arial"/>
        <family val="2"/>
      </rPr>
      <t>NOTE:</t>
    </r>
    <r>
      <rPr>
        <sz val="10"/>
        <rFont val="Arial"/>
        <family val="2"/>
      </rPr>
      <t xml:space="preserve"> for assumptions see Estimate Basis</t>
    </r>
  </si>
  <si>
    <t>PM Support</t>
  </si>
  <si>
    <t>Cost Analyst</t>
  </si>
  <si>
    <t>Survey</t>
  </si>
  <si>
    <t>Substation Const</t>
  </si>
  <si>
    <t>Total From Detail Summary</t>
  </si>
  <si>
    <t>Restored Milestone sheet from 0s3
Contingency sheet added, detailed summary modified to receive data from risk and contingency sheets directly, individual contingency line items in detailed summary removed 
Added separate hourly rate rows on input sheet for types of outside services - engr. &amp; PM which are now linked to detailed summary tab
Added scope summary tables to bottom of each estimate tab and consoladated them all in the existing special summary tab
Indirects Rates( E&amp;S,AS&amp;E &amp; MDEC) updated per IP email 9/18/19 &amp; removed Lobby Stock on Dist per email Kevin Leonard(Acct) 4/26/19</t>
  </si>
  <si>
    <t>Scope Summary by Category</t>
  </si>
  <si>
    <t>1-9</t>
  </si>
  <si>
    <t>10-19</t>
  </si>
  <si>
    <t>20-29</t>
  </si>
  <si>
    <t>30-39</t>
  </si>
  <si>
    <t>90-99</t>
  </si>
  <si>
    <t>Scope summary Group</t>
  </si>
  <si>
    <t>TN</t>
  </si>
  <si>
    <t>Backfill - Fluidized Thermal</t>
  </si>
  <si>
    <t>Excavation - Rock (Vault)</t>
  </si>
  <si>
    <t>Excavation - Rock in Trench</t>
  </si>
  <si>
    <t>Excavation - Site work machine</t>
  </si>
  <si>
    <t>Excavation - Site work hand</t>
  </si>
  <si>
    <t>Mile</t>
  </si>
  <si>
    <t>Ckt. Mi</t>
  </si>
  <si>
    <t>Ckt. Ft</t>
  </si>
  <si>
    <t>AC</t>
  </si>
  <si>
    <t>Square Yard</t>
  </si>
  <si>
    <t>Lump Sum</t>
  </si>
  <si>
    <t>Each</t>
  </si>
  <si>
    <t>Linear Foot</t>
  </si>
  <si>
    <t>Cubic Yard</t>
  </si>
  <si>
    <t>Square Foot</t>
  </si>
  <si>
    <t>Circuit Foot</t>
  </si>
  <si>
    <t>Circuit Mile</t>
  </si>
  <si>
    <t>Gallon</t>
  </si>
  <si>
    <t>EA Loc</t>
  </si>
  <si>
    <t>Each Location</t>
  </si>
  <si>
    <t>Tons (US)</t>
  </si>
  <si>
    <t>01.1</t>
  </si>
  <si>
    <t>Total Estimate</t>
  </si>
  <si>
    <t>PAC (+50/-25%)</t>
  </si>
  <si>
    <t>TCA (+10/-10%)</t>
  </si>
  <si>
    <t>(dollars in thousands)</t>
  </si>
  <si>
    <t>$x 1000</t>
  </si>
  <si>
    <t>Scope (qty)</t>
  </si>
  <si>
    <t>Engineering/PM/Siting</t>
  </si>
  <si>
    <t>Grand Total</t>
  </si>
  <si>
    <t>Old ISO / TCA Comparison Table</t>
  </si>
  <si>
    <t>Material ( all materials)</t>
  </si>
  <si>
    <t>Difference Percentage</t>
  </si>
  <si>
    <t>Date</t>
  </si>
  <si>
    <t>ISO / TCA Comparision Table</t>
  </si>
  <si>
    <t>Scope ( Qty)</t>
  </si>
  <si>
    <t>Contingency &amp; Risk ( incl escalation)</t>
  </si>
  <si>
    <t>01a</t>
  </si>
  <si>
    <t>Updated PAF table : contingency split includes risk
fixed Detail Summary: MHrs formatted as $s</t>
  </si>
  <si>
    <t>revise indirects to now calculate General services OH on company 61 people while removing those same people from the benefits calc
reset intial date to 2020 for first year
Indirects Rates (E&amp;S,AS&amp;E &amp; MDEC) updated per IP email dated 12/18/19
AFUDC Rates updated per TM1; 1-14-20</t>
  </si>
  <si>
    <t>Reimbursables/Customer Contribution</t>
  </si>
  <si>
    <t>Additional  Est Input</t>
  </si>
  <si>
    <t>01.2</t>
  </si>
  <si>
    <t>Dates in Template</t>
  </si>
  <si>
    <t>Note: Labor/equipment costs derived from Michels and PAR Fixed Unit Prices "Transmission OH Live Line Construction and Maintenance Data" 2017/2018. Typical unless otherwise noted.</t>
  </si>
  <si>
    <t>Note: Labor and equipment prices are for single circuit structures. For double circuit  increase tangent structures by 11%, for running angle and dead end structures increase by 44%.</t>
  </si>
  <si>
    <t>115kV Horizontal 80-99ft Tangent Pole w/Direct Embed Foundation - Deenergized New Construction</t>
  </si>
  <si>
    <t>115kV Horizontal 80-99ft Tangent Pole w/Direct Embed Foundation - Live Line Replacement</t>
  </si>
  <si>
    <t>115kV Vertical  60-119ft Dead End Pole w/Direct Embed Foundation - Deenergized Replacement</t>
  </si>
  <si>
    <t>115kV Vertical  60-119ft Dead End Pole w/Direct Embed Foundation - Live Line Replacement</t>
  </si>
  <si>
    <t>115kV Vertical  120-139ft Dead End Pole w/Concrete Caisson Foundation - Deenergized New Construction</t>
  </si>
  <si>
    <t>115kV Vertical  120-139ft Running Angle Pole w/Concrete Caisson Foundation - Deenergized New Construction</t>
  </si>
  <si>
    <t>115kV Vertical  120-139ft Tangent Pole w/Concrete Caisson Foundation - Deenergized New Construction</t>
  </si>
  <si>
    <t>115kV Vertical  60-119ft Dead End Pole w/Concrete Caisson Foundation - Deenergized Replacement</t>
  </si>
  <si>
    <t>115kV Vertical  60-119ft Dead End Pole w/Concrete Caisson Foundation - Live Line Replacement</t>
  </si>
  <si>
    <t>115kV Vertical  60-119ft Dead End Pole w/Direct Embed Foundation - Deenergized New Construction</t>
  </si>
  <si>
    <t>345kV Horizontal 80-99ft Dead End Pole w/Concrete Caisson Foundation - Live Line Replacement</t>
  </si>
  <si>
    <t>345kV Horizontal 80-99ft Dead End Pole w/Direct Embed Foundation - Deenergized New Construction</t>
  </si>
  <si>
    <t>345kV Horizontal 80-99ft Dead End Pole w/Direct Embed Foundation - Deenergized Replacement</t>
  </si>
  <si>
    <t>345kV Horizontal 80-99ft Running Angle Pole w/Concrete Caisson Foundation - Deenergized New Construction</t>
  </si>
  <si>
    <t>345kV Horizontal 80-99ft Running Angle Pole w/Concrete Caisson Foundation - Live Line Replacement</t>
  </si>
  <si>
    <t>115kV Vertical  60-119ft Running Angle Pole w/Concrete Caisson Foundation - Deenergized Replacement</t>
  </si>
  <si>
    <t>115kV Vertical  60-119ft Running Angle Pole w/Concrete Caisson Foundation - Live Line Replacement</t>
  </si>
  <si>
    <t>115kV Vertical  60-119ft Running Angle Pole w/Direct Embed Foundation - Deenergized New Construction</t>
  </si>
  <si>
    <t>115kV Vertical  60-119ft Running Angle Pole w/Direct Embed Foundation - Deenergized Replacement</t>
  </si>
  <si>
    <t>115kV Vertical  60-119ft Running Angle Pole w/Direct Embed Foundation - Live Line Replacement</t>
  </si>
  <si>
    <t>115kV Vertical  60-119ft Tangent Pole w/Concrete Caisson Foundation - Deenergized Replacement</t>
  </si>
  <si>
    <t>115kV Vertical  60-119ft Tangent Pole w/Concrete Caisson Foundation - Live Line Replacement</t>
  </si>
  <si>
    <t>115kV Vertical  60-119ft Tangent Pole w/Direct Embed Foundation - Deenergized New Construction</t>
  </si>
  <si>
    <t>115kV Vertical  60-119ft Tangent Pole w/Direct Embed Foundation - Deenergized Replacement</t>
  </si>
  <si>
    <t>115kV Vertical  60-119ft Tangent Pole w/Direct Embed Foundation - Live Line Replacement</t>
  </si>
  <si>
    <t>345kV Horizontal 80-99ft Dead End Pole w/Concrete Caisson Foundation - Deenergized New Construction</t>
  </si>
  <si>
    <t>345kV Vertical  140+ft Tangent Pole w/Concrete Caisson Foundation - Deenergized Replacement</t>
  </si>
  <si>
    <t>345kV Horizontal 80-99ft Running Angle Pole w/Direct Embed Foundation - Deenergized New Construction</t>
  </si>
  <si>
    <t>345kV Horizontal 80-99ft Running Angle Pole w/Direct Embed Foundation - Deenergized Replacement</t>
  </si>
  <si>
    <t>345kV Horizontal 80-99ft Tangent Pole w/Concrete Caisson Foundation - Deenergized New Construction</t>
  </si>
  <si>
    <t>345kV Horizontal 80-99ft Tangent Pole w/Concrete Caisson Foundation - Live Line Replacement</t>
  </si>
  <si>
    <t>345kV Horizontal 80-99ft Tangent Pole w/Direct Embed Foundation - Deenergized New Construction</t>
  </si>
  <si>
    <t>345kV Vertical  120-139ft Dead End Pole w/Concrete Caisson Foundation - Deenergized Replacement</t>
  </si>
  <si>
    <t>345kV Vertical  120-139ft Running Angle Pole w/Concrete Caisson Foundation - Deenergized Replacement</t>
  </si>
  <si>
    <t>345kV Vertical  120-139ft Tangent Pole w/Concrete Caisson Foundation - Deenergized Replacement</t>
  </si>
  <si>
    <t>345kV Vertical  140+ft Dead End Pole w/Concrete Caisson Foundation - Deenergized Replacement</t>
  </si>
  <si>
    <t>345kV Vertical  140+ft Running Angle Pole w/Concrete Caisson Foundation - Deenergized Replacement</t>
  </si>
  <si>
    <t>115kV Horizontal 80-99ft Dead End Pole w/Concrete Caisson Foundation - Deenergized New Construction</t>
  </si>
  <si>
    <t>115kV Horizontal 80-99ft Dead End Pole w/Direct Embed Foundation - Deenergized New Construction</t>
  </si>
  <si>
    <t>115kV Horizontal 80-99ft Dead End Pole w/Direct Embed Foundation - Live Line Replacement</t>
  </si>
  <si>
    <t>115kV Horizontal 80-99ft Running Angle Pole w/Concrete Caisson Foundation - Deenergized New Construction</t>
  </si>
  <si>
    <t>115kV Horizontal 80-99ft Running Angle Pole w/Concrete Caisson Foundation - Deenergized Replacement</t>
  </si>
  <si>
    <t>115kV Horizontal 80-99ft Running Angle Pole w/Direct Embed Foundation - Deenergized New Construction</t>
  </si>
  <si>
    <t>115kV Horizontal 80-99ft Running Angle Pole w/Direct Embed Foundation - Live Line Replacement</t>
  </si>
  <si>
    <t>115kV Horizontal 80-99ft Tangent Pole w/Concrete Caisson Foundation - Deenergized New Construction</t>
  </si>
  <si>
    <t>115kV Horizontal 80-99ft Tangent Pole w/Concrete Caisson Foundation - Deenergized Replacement</t>
  </si>
  <si>
    <t>Ea</t>
  </si>
  <si>
    <t>345kV Horizontal 80-99ft Tangent Pole w/Direct Embed Foundation - Live Line Replacement</t>
  </si>
  <si>
    <t>Siting - None</t>
  </si>
  <si>
    <t>SCS - None</t>
  </si>
  <si>
    <t>SCS - Campaign</t>
  </si>
  <si>
    <t>False)</t>
  </si>
  <si>
    <t>SCS - Traditional</t>
  </si>
  <si>
    <t>SCS - Notification</t>
  </si>
  <si>
    <t>Siting - Application</t>
  </si>
  <si>
    <t>Siting - Sub Petition</t>
  </si>
  <si>
    <t>Siting - Exempt Modification</t>
  </si>
  <si>
    <t>SCS(Outreach) &amp; Siting Estimated Costs -  % of Direct Cost Worksheet</t>
  </si>
  <si>
    <t xml:space="preserve">       SCS (Outreach) Costs</t>
  </si>
  <si>
    <t>Labor Split %</t>
  </si>
  <si>
    <t>Level of Effort</t>
  </si>
  <si>
    <t xml:space="preserve">Average % of Total Direct Costs </t>
  </si>
  <si>
    <t xml:space="preserve">Internal </t>
  </si>
  <si>
    <t xml:space="preserve">External </t>
  </si>
  <si>
    <t>Siting Costs</t>
  </si>
  <si>
    <t xml:space="preserve">Average % of Total Direct Cost </t>
  </si>
  <si>
    <t>Siting - Petition</t>
  </si>
  <si>
    <t>Siting - Section 69J</t>
  </si>
  <si>
    <t>Siting - Section 72</t>
  </si>
  <si>
    <t>Siting - Chapter 40A</t>
  </si>
  <si>
    <t>Siting - Section 72 Derterminations</t>
  </si>
  <si>
    <t>Siting - Project Change Notification</t>
  </si>
  <si>
    <t>Siting - Local Zoning</t>
  </si>
  <si>
    <t>Siting - Certificate of Site &amp; Faciltiy</t>
  </si>
  <si>
    <t>01.3</t>
  </si>
  <si>
    <t>GB/CM</t>
  </si>
  <si>
    <t xml:space="preserve">  AFUDC (ZK) </t>
  </si>
  <si>
    <t>AFUDC Subtotal</t>
  </si>
  <si>
    <t>Property / CWIP tax</t>
  </si>
  <si>
    <t>TOTAL PROJECT DIRECT COST (w risk)</t>
  </si>
  <si>
    <t>TOTAL PROJECT COST -    Direct &amp; Indirect ( excl AFUDC )</t>
  </si>
  <si>
    <t>TOTAL PROJECT COST -  Baseline Budget</t>
  </si>
  <si>
    <t>Contingecy</t>
  </si>
  <si>
    <t xml:space="preserve">   Contingency</t>
  </si>
  <si>
    <t xml:space="preserve">   Other</t>
  </si>
  <si>
    <t>Contingency SubTotal</t>
  </si>
  <si>
    <t>TOTAL PROJECT COST -  Approved Funding</t>
  </si>
  <si>
    <t xml:space="preserve">   Reimbursables / Customer Contribution</t>
  </si>
  <si>
    <t xml:space="preserve">   Reimbursables / Customer Contribution ( enter as negative)</t>
  </si>
  <si>
    <t>Risk  Total</t>
  </si>
  <si>
    <t xml:space="preserve">   Risk</t>
  </si>
  <si>
    <t xml:space="preserve">   Lobby Stock</t>
  </si>
  <si>
    <t>Previous numbering</t>
  </si>
  <si>
    <t>Current WBS</t>
  </si>
  <si>
    <t>Outreach</t>
  </si>
  <si>
    <t>PMT Project Mgmt Team</t>
  </si>
  <si>
    <t>Rate of total costs</t>
  </si>
  <si>
    <t>Property or CWIP tax large proj. allowance</t>
  </si>
  <si>
    <t>01.4</t>
  </si>
  <si>
    <t>Actual rate in estimate</t>
  </si>
  <si>
    <t>Allowance</t>
  </si>
  <si>
    <t>Summary by PAF code, breakout area</t>
  </si>
  <si>
    <t>TOTAL CAPITAL REQUEST  - with out Reimbursables</t>
  </si>
  <si>
    <t>Check total ( to detail summary tab)</t>
  </si>
  <si>
    <t>Old sht</t>
  </si>
  <si>
    <t>PAF (breakout tbl)</t>
  </si>
  <si>
    <t>Total costs by PAF breakout code</t>
  </si>
  <si>
    <t>Total materials - Eversource</t>
  </si>
  <si>
    <t>Total materials - Contractor</t>
  </si>
  <si>
    <t xml:space="preserve">Total materials </t>
  </si>
  <si>
    <t>Priors</t>
  </si>
  <si>
    <t xml:space="preserve">Added SCS &amp; Siting information to detail summary and backup datatab 
'Indirect Rates (E&amp;S,AS&amp;E &amp; MDEC) updated per IP email dated 2/25/20
</t>
  </si>
  <si>
    <t xml:space="preserve">Indirects Rates (E&amp;S,AS&amp;E &amp; MDEC) updated per IP email dated 1/23/19.  Non-Prod ,Payroll Benefit &amp; Gen Svc Indirect Rates updated per Dept&amp;Capital Budgeting&amp;Projections email  dated 2/4/20
Corrected Payroll OH &amp; Gen Svc OH Calc to use correct  Non-Prod OH (not total)
Adusted AFUDC input tab to show rates by year, brought those thru to the input sheet and then the detail summary tab and calc.
Revised Mat'l escalation rate
Updated OH Tab with New Cost data
</t>
  </si>
  <si>
    <t>Sub Total</t>
  </si>
  <si>
    <t>Constr. reps</t>
  </si>
  <si>
    <t>other (Detail Summary labor section)</t>
  </si>
  <si>
    <t>other (Detail Summary material section)</t>
  </si>
  <si>
    <t>Detail Summary sheet</t>
  </si>
  <si>
    <t>O&amp;M / Expense</t>
  </si>
  <si>
    <t>TOTAL REQUEST</t>
  </si>
  <si>
    <t>Current Est Year Date:</t>
  </si>
  <si>
    <t>Rate / year for tax calc</t>
  </si>
  <si>
    <t>Convert ISD from above to just a year format</t>
  </si>
  <si>
    <t>Rate to apply in Est. per region setting</t>
  </si>
  <si>
    <t>Factor is to make calc net the 1% of total desired</t>
  </si>
  <si>
    <t>Project Total - Baseline Budget</t>
  </si>
  <si>
    <t>Project Directs Total w/Risks</t>
  </si>
  <si>
    <t>Project Total - Funding Approval Level</t>
  </si>
  <si>
    <t>Total O&amp;M</t>
  </si>
  <si>
    <t>Project Total (less reimbursables)</t>
  </si>
  <si>
    <t>Project start date:</t>
  </si>
  <si>
    <t>NH property tax seen assigned to jobs</t>
  </si>
  <si>
    <t>Note - tax not applied in last year of project</t>
  </si>
  <si>
    <t>Number of months of project in each year - this will effect the AFUDC by the ration of the months vs. the full 12 months</t>
  </si>
  <si>
    <t xml:space="preserve">Clearing - Total </t>
  </si>
  <si>
    <t>see 'OH Civil WS' tab for details</t>
  </si>
  <si>
    <t xml:space="preserve">Timber Access Matting - Installation and Removal
</t>
  </si>
  <si>
    <t>Environmental Access - Runoff and Erosion Controls - Total</t>
  </si>
  <si>
    <t>see 'OH Civil WS' tab for details
Silt Fence w/ Straw Barrier, Geotextile Fabric Underlayment Total</t>
  </si>
  <si>
    <t>Gravel Work Pads - Total</t>
  </si>
  <si>
    <t>Timber Work Pads  - Total</t>
  </si>
  <si>
    <t xml:space="preserve">Timber Rental Cost - Total
</t>
  </si>
  <si>
    <t>Restoration</t>
  </si>
  <si>
    <t>Location</t>
  </si>
  <si>
    <t>Clearing</t>
  </si>
  <si>
    <t>Access</t>
  </si>
  <si>
    <t>Work Pads</t>
  </si>
  <si>
    <t>Matting</t>
  </si>
  <si>
    <t>Unit</t>
  </si>
  <si>
    <t>Shf YN</t>
  </si>
  <si>
    <t>Lyrs</t>
  </si>
  <si>
    <t>Restoration Calc</t>
  </si>
  <si>
    <t>Days</t>
  </si>
  <si>
    <t>Clearing - no stump grubbing or tree removals</t>
  </si>
  <si>
    <t>Timber Matting Access - Install  &amp; Rem. Single Layer</t>
  </si>
  <si>
    <t>Calendar Days - Mat Rental</t>
  </si>
  <si>
    <t>List Assumptions, Show Calculations</t>
  </si>
  <si>
    <t>Clearing - including stump grubbing and tree removals</t>
  </si>
  <si>
    <t>Road Construction (New Road, Existing ROW)</t>
  </si>
  <si>
    <t>Layers of Mats</t>
  </si>
  <si>
    <t>Enter Specific Description of Area, Structures covered in this location</t>
  </si>
  <si>
    <t>Snow Plowing</t>
  </si>
  <si>
    <t>Road Construction (Improve Road, Existing ROW)</t>
  </si>
  <si>
    <t>Total Matting Location SF</t>
  </si>
  <si>
    <t>Side Trimming - ROW</t>
  </si>
  <si>
    <t>Silt Fence with Straw Barrier</t>
  </si>
  <si>
    <t>Geotextile Fabric Underlayment</t>
  </si>
  <si>
    <t>Total Matting SF*D</t>
  </si>
  <si>
    <t>Timber WP USER CALCULATED</t>
  </si>
  <si>
    <t>Mats Shuffled / Leap-Frogged from Previous Location?</t>
  </si>
  <si>
    <t>NO</t>
  </si>
  <si>
    <t>No Env remediation, cut trees and chips left in place, no stump grinding. Machines have access.</t>
  </si>
  <si>
    <t>No Env rem. Stumps removed. Trees, stumps, chips hauled out. Machines have access.</t>
  </si>
  <si>
    <t>Avg per Structure, including its access</t>
  </si>
  <si>
    <t>Limb Removal, Tree Trimming</t>
  </si>
  <si>
    <t>Matting Install &amp; Rmvl (single layer)
64 sq ft per 4'x16'x8" mat</t>
  </si>
  <si>
    <t>FT</t>
  </si>
  <si>
    <t>Includes clearing, labor and material.  Adjust Road Width as Needed</t>
  </si>
  <si>
    <t>Includes clearing, labor and material</t>
  </si>
  <si>
    <t>Silt Fence = $3.98 / lf, Straw Waddle  = $5.65 / lf.  Generally used in pitched gravel constr or near env resources</t>
  </si>
  <si>
    <t xml:space="preserve">Geotextile Fabric Underlayment </t>
  </si>
  <si>
    <t>For protection against soil &amp; drilling runoff or road stabilization.  Generally seen in most env sensitive areas.</t>
  </si>
  <si>
    <t>Regrading, reseeding, straw, fertilizer with hydroseeding eqt.
Typically needed with construction of gravel roads and gravel pads</t>
  </si>
  <si>
    <t>Restoration - GRAVEL</t>
  </si>
  <si>
    <t>PER</t>
  </si>
  <si>
    <t>PU Cost to reflect average historical avg relative to sq ft of gravel laid (pads only)</t>
  </si>
  <si>
    <t>Restoration - Timber</t>
  </si>
  <si>
    <t>Lower PU Cost with Timber Matting. Percent of Total Restoration (all pads)</t>
  </si>
  <si>
    <t xml:space="preserve">Gravel Work  - UNIT RATE - per SQ FT cost </t>
  </si>
  <si>
    <t>used for Gravel pad and road calc.  Assumes 1 ft depth.</t>
  </si>
  <si>
    <t>Gravel Work Pads - Level &amp; Regrade Existing Gravel Pad Site</t>
  </si>
  <si>
    <t>Avg over all Pad Sizes. Use only when there is an existing gravel pad site. Otherwise carry a full pad cost.</t>
  </si>
  <si>
    <t>Gravel Work Pads - 50' x 50'</t>
  </si>
  <si>
    <t>OPGW - Single or Double Wire Replacement</t>
  </si>
  <si>
    <t>Gravel Work Pads - 75' x 75'</t>
  </si>
  <si>
    <t xml:space="preserve">Pull Pad - OPGW
</t>
  </si>
  <si>
    <t>Gravel Work Pads - 80' x 100'</t>
  </si>
  <si>
    <t xml:space="preserve">115kV Tangent - Deenergized replacement
</t>
  </si>
  <si>
    <t>Gravel Work Pads - 100' x 100'</t>
  </si>
  <si>
    <t>115kV Tangent - Energized replacement
345kV Tangent - Deenergized replacement
115kV 3 Pole Dead-End Deenergized replacement
345kV 3 Pole Dead-End Deenergized replacement</t>
  </si>
  <si>
    <t>Gravel Work Pads - 75' x 150'</t>
  </si>
  <si>
    <t>Pull Pad - Conductor</t>
  </si>
  <si>
    <t>Gravel Work Pads - 100' x 120'</t>
  </si>
  <si>
    <t>345kV Tangent - Energized replacement
Double Circuit - Deenergized replacement
15kV 3 Pole Dead-End Energized replacement</t>
  </si>
  <si>
    <t>Gravel Work Pads - 100' x 150'</t>
  </si>
  <si>
    <t>Double Circuit - Energized replacement</t>
  </si>
  <si>
    <t>Gravel Work Pads - 150' x 150'</t>
  </si>
  <si>
    <t>345kV 3 Pole Dead-End Energized replacement</t>
  </si>
  <si>
    <t>Timber Work Pads  - 50' x 50'</t>
  </si>
  <si>
    <t>Timber Work Pads  - 75' x 75'</t>
  </si>
  <si>
    <t>Timber Work Pads  - 80' x 100'</t>
  </si>
  <si>
    <t>Timber Work Pads  - 100' x 100'</t>
  </si>
  <si>
    <t>Timber Work Pads  - 75' x 150'</t>
  </si>
  <si>
    <t>Timber Work Pads  - 100' x 120'</t>
  </si>
  <si>
    <t>Timber Work Pads  - 100' x 150'</t>
  </si>
  <si>
    <t>Timber Work Pads  - 150' x 150'</t>
  </si>
  <si>
    <t>Timber Work Pads USER CALCULATED - UNIT RATE</t>
  </si>
  <si>
    <t>Custom Entry by Estimator on OH Civil WS
64 sq ft per 4'x16'x8" mat</t>
  </si>
  <si>
    <t xml:space="preserve">Timber Rental Cost - Total - UNIT RATE
</t>
  </si>
  <si>
    <t>Shuffling / Leap-Frog Factor</t>
  </si>
  <si>
    <t xml:space="preserve">Percentage of full rate mat install and removal cost </t>
  </si>
  <si>
    <t>Silt Fence - Gravel</t>
  </si>
  <si>
    <t>Silt fence as a percentage of gravel work (pads and roads)</t>
  </si>
  <si>
    <t>Silt Fence - Timber</t>
  </si>
  <si>
    <t>Silt fence as a percentage of timber work (pads and roads, assumes 1.5 layers)</t>
  </si>
  <si>
    <t>Geotextile - Gravel</t>
  </si>
  <si>
    <t>Geotextile fabric as a percentage of gravel work (pads and roads)</t>
  </si>
  <si>
    <t>Geotextile - Timber</t>
  </si>
  <si>
    <t>Geotextile fabric as a percentage of timber work (pads and roads, assumes 1.5 layers)</t>
  </si>
  <si>
    <t>Drop Down List - PADS</t>
  </si>
  <si>
    <t>Shuffled Drop Down</t>
  </si>
  <si>
    <t xml:space="preserve">Gravel WP - Level and Regrade Existing Soils </t>
  </si>
  <si>
    <t>YES</t>
  </si>
  <si>
    <t>Gravel WP - OPGW - Single or Double Wire Replacement - 50' x 50'</t>
  </si>
  <si>
    <t>Gravel WP - Pull Pad - OPGW - 75' x 75'</t>
  </si>
  <si>
    <t>Gravel WP - Pull Pad - Conductor - 75' x 150'</t>
  </si>
  <si>
    <t>Gravel WP - 115kV Tangent - Deenergized replacement - 80' x 100'</t>
  </si>
  <si>
    <t>Gravel WP - 115kV Tangent - Energized replacement - 100' x 100'</t>
  </si>
  <si>
    <t>Gravel WP - 115kV 3 Pole Dead-End - Deenergized Replacement - 100' x 100'</t>
  </si>
  <si>
    <t>Gravel WP - 115kV 3 Pole Dead-End - Energized Replacement - 100' x 120'</t>
  </si>
  <si>
    <t>Gravel WP - 345kV Tangent - Deenergized replacement - 100' x 100'</t>
  </si>
  <si>
    <t>Gravel WP - 345kV Tangent - Energized replacement - 100' x 120'</t>
  </si>
  <si>
    <t>Gravel WP - 345kV 3 Pole Dead-End - Deenergized Replacement - 100' x 100'</t>
  </si>
  <si>
    <t>Gravel WP - 345kV 3 Pole Dead-End - Energized Replacement - 150' x 150'</t>
  </si>
  <si>
    <t>Gravel WP - Double Circuit - Deenergized replacement - 100' x 120'</t>
  </si>
  <si>
    <t>Gravel WP - Double Circuit - Energized replacement - 100' x 150'</t>
  </si>
  <si>
    <t>Gravel WP - OPGW - Single or Double Wire replacement - 50' x 50'</t>
  </si>
  <si>
    <t>Timber WP - Pull Pad - OPGW - 75' x 75'</t>
  </si>
  <si>
    <t>Timber WP - Pull Pad - Conductor - 75' x 150'</t>
  </si>
  <si>
    <t>Timber WP - 115kV Tangent - Deenergized replacement - 80' x 100'</t>
  </si>
  <si>
    <t>Timber WP - 115kV Tangent - Energized replacement - 100' x 100'</t>
  </si>
  <si>
    <t>Timber WP - 115kV 3 Pole Dead-End - Deenergized Replacement - 100' x 100'</t>
  </si>
  <si>
    <t>Timber WP - 115kV 3 Pole Dead-End - Energized Replacement - 100' x 120'</t>
  </si>
  <si>
    <t>Timber WP - 345kV Tangent - Deenergized replacement - 100' x 100'</t>
  </si>
  <si>
    <t>Timber WP - 345kV Tangent - Energized replacement - 100' x 120'</t>
  </si>
  <si>
    <t>Timber WP - 345kV 3 Pole Dead-End - Deenergized Replacement - 100' x 100'</t>
  </si>
  <si>
    <t>Timber WP - 345kV 3 Pole Dead-End - Energized Replacement - 150' x 150'</t>
  </si>
  <si>
    <t>Timber WP - Double Circuit - Deenergized replacement - 100' x 120'</t>
  </si>
  <si>
    <t>Timber WP - Double Circuit - Energized replacement - 100' x 150'</t>
  </si>
  <si>
    <t>Timber WP - OPGW - Single or Double Wire replacement - 50' x 50'</t>
  </si>
  <si>
    <t>Substation_D</t>
  </si>
  <si>
    <t>Retaining Wall</t>
  </si>
  <si>
    <t>Precast walls - 10' tall</t>
  </si>
  <si>
    <t>Formed and poured walls - 10' Tall</t>
  </si>
  <si>
    <t>Fence</t>
  </si>
  <si>
    <t>New Fence</t>
  </si>
  <si>
    <t>Corner Post</t>
  </si>
  <si>
    <t>Gates</t>
  </si>
  <si>
    <t>Fence Removal</t>
  </si>
  <si>
    <t>Drainage System</t>
  </si>
  <si>
    <t>Curtain Drains using 9" perforated pipe and gravel back fill</t>
  </si>
  <si>
    <t>Crushed Stone Surfacing</t>
  </si>
  <si>
    <t>Trap Rock 3/4" - Spread to a depth of 6 Inches</t>
  </si>
  <si>
    <t>Switchyard Lighting (Freestanding ole Mnt)</t>
  </si>
  <si>
    <t>40 Ft Class 6 wood pole includes setting (Assumes no foundation)</t>
  </si>
  <si>
    <t>Area Light 100 HPS Yard Luminare Complete DTR21.361.0A</t>
  </si>
  <si>
    <t>Elect Hook Up - Assume 100 ft direct bury XLP Cable between lights and back to CB Panel</t>
  </si>
  <si>
    <t>Septic System</t>
  </si>
  <si>
    <t>Storage Tank</t>
  </si>
  <si>
    <t>Leach Field</t>
  </si>
  <si>
    <t>Well System</t>
  </si>
  <si>
    <t>Water Pump &amp; Storage</t>
  </si>
  <si>
    <t xml:space="preserve">Well Drilling </t>
  </si>
  <si>
    <t>Site Work and Raceway Excavation</t>
  </si>
  <si>
    <t>Control Conduit &amp; Manhole System</t>
  </si>
  <si>
    <t>4 Duct Bank, 3" PVC Concrete Encased</t>
  </si>
  <si>
    <t>8 Duct Bank, 3" PVC Concrete Encased</t>
  </si>
  <si>
    <t>12 Duct Bank, 3" PVC Concrete Encased</t>
  </si>
  <si>
    <t>Conduit Riser 3" PVC</t>
  </si>
  <si>
    <t>Conduit Riser 3" Steel (for PT &amp; CCVT)</t>
  </si>
  <si>
    <t>Manhole 5' x 10' with frame cover</t>
  </si>
  <si>
    <t>Construction Prep</t>
  </si>
  <si>
    <t>Site Survey</t>
  </si>
  <si>
    <t>Construction Staking</t>
  </si>
  <si>
    <t>Access Roadway</t>
  </si>
  <si>
    <t>Prepare Roadbed - 40ft. Wide with culverts</t>
  </si>
  <si>
    <t>Paving</t>
  </si>
  <si>
    <t>Gravel Driveway - 30 ft. wide</t>
  </si>
  <si>
    <t>Asphalt Driveway - 30 ft. wide</t>
  </si>
  <si>
    <t>Grading</t>
  </si>
  <si>
    <t>Property has trees - Scrape down 6" inches and stockpile soil on site</t>
  </si>
  <si>
    <t>Property has grass field - Scrape down 6" inches and stockpile soil on site</t>
  </si>
  <si>
    <t>Add 6 inches of clean fill and compact</t>
  </si>
  <si>
    <t>Foundations</t>
  </si>
  <si>
    <t>Year end date</t>
  </si>
  <si>
    <t>AFUDC to be applied (Y or N) Manual switch</t>
  </si>
  <si>
    <t>Do dollars exist in this year in the estimate</t>
  </si>
  <si>
    <t>All conditions for AFUDC to calc ( transfer to detail est tab)</t>
  </si>
  <si>
    <t>Wood Poles - 40ft</t>
  </si>
  <si>
    <t>Structural Steel</t>
  </si>
  <si>
    <t>LB</t>
  </si>
  <si>
    <t>Coaxial &amp; Instrumentation Cable</t>
  </si>
  <si>
    <t>RG-8A/U, 52 Ohms</t>
  </si>
  <si>
    <t>RG-213/U, 50 Ohms</t>
  </si>
  <si>
    <t>3 pair - Shielded Cable</t>
  </si>
  <si>
    <t>12 pair - Shielded Cable</t>
  </si>
  <si>
    <t>4 pair, 22 AWG RS-485  - Used for PML Metering</t>
  </si>
  <si>
    <t>Fiber Optic Materials</t>
  </si>
  <si>
    <t>Fiber</t>
  </si>
  <si>
    <t>Fiber Patch Panel, 24 input</t>
  </si>
  <si>
    <t>Fiber Patch Panel, 48 input</t>
  </si>
  <si>
    <t>SEL-2829 fiber optic transceiver/modem</t>
  </si>
  <si>
    <t>SEL-2830 Fiber optic transceiver/modem</t>
  </si>
  <si>
    <t>Ethernet to Fiber Converter</t>
  </si>
  <si>
    <t>SC Terminations</t>
  </si>
  <si>
    <t>ST Terminations</t>
  </si>
  <si>
    <t>Need Pricing</t>
  </si>
  <si>
    <t>Current Est Year Date Input</t>
  </si>
  <si>
    <t>23kV Disconnect Switches</t>
  </si>
  <si>
    <t>14.4kV Disconnect Switches</t>
  </si>
  <si>
    <t>Fuse and Fuse Holders</t>
  </si>
  <si>
    <t>115 KV, 250 Amp, 1 Phase</t>
  </si>
  <si>
    <t xml:space="preserve">115 KV, 250 Amp, 1 Phase </t>
  </si>
  <si>
    <t>Safety Switches</t>
  </si>
  <si>
    <t>240V1, 600A  heavy duty, 3- pole</t>
  </si>
  <si>
    <t>240V1, 400A  heavy duty, 3- pole</t>
  </si>
  <si>
    <t>240V1, 100A  heavy duty, 3- pole</t>
  </si>
  <si>
    <t>Automatic Throwover Switch, 800 amps, 3 Phase</t>
  </si>
  <si>
    <t>Automatic Transfer  Switch, 1000A, 120/208V, 3 Phase</t>
  </si>
  <si>
    <t>Automatic Throwover Switch, 400 amps, 3 Phase</t>
  </si>
  <si>
    <t>Automatic Throwover Switch, 225 amps, 3 Phase</t>
  </si>
  <si>
    <t>Automatic Transfer Switch, 120/240V, 225A, 2 Poles</t>
  </si>
  <si>
    <t>2"</t>
  </si>
  <si>
    <t>Copper Bus (Schedule 40)</t>
  </si>
  <si>
    <t xml:space="preserve">3/4" </t>
  </si>
  <si>
    <t>1"</t>
  </si>
  <si>
    <t>1 1/4"</t>
  </si>
  <si>
    <t>1-1/2"</t>
  </si>
  <si>
    <t>15 KV, Standard Strength, TR205</t>
  </si>
  <si>
    <t>23 KV, Standard Strength, TR208</t>
  </si>
  <si>
    <t>34.5 KV, Standard Strength, TR210</t>
  </si>
  <si>
    <t>115 KV, Standard Strength, TR210</t>
  </si>
  <si>
    <t>345 KV, Standard Strength</t>
  </si>
  <si>
    <t>Bus Clamp</t>
  </si>
  <si>
    <t>3/4, 1-1/4, &amp;1-1/2" CU Bus</t>
  </si>
  <si>
    <t>2" Aluminum</t>
  </si>
  <si>
    <t>3" Aluminum</t>
  </si>
  <si>
    <t>4" Aluminum</t>
  </si>
  <si>
    <t>5" Aluminum</t>
  </si>
  <si>
    <t>4/0 Aluminum, 7 Str Oxlip</t>
  </si>
  <si>
    <t>336 mcm ACSR, (26/7) Pelican</t>
  </si>
  <si>
    <t>556 mcm ACSR, (26/7) Dove</t>
  </si>
  <si>
    <t>795 mcm ACSR, (45/7) Tern</t>
  </si>
  <si>
    <t>954 mcm ACSR,(45/7) Rail</t>
  </si>
  <si>
    <t>1272 mcm ACSR, (45/7) Bittern</t>
  </si>
  <si>
    <t>3-1/2 " Run, 30 degree, Double -A-Frame</t>
  </si>
  <si>
    <t>4" Run, 30 degree, Double -A-Frame</t>
  </si>
  <si>
    <t>4 " Bus, Splice</t>
  </si>
  <si>
    <t>4" Bus, Splice Tee</t>
  </si>
  <si>
    <t>4" Main Bus, Angle Tee</t>
  </si>
  <si>
    <t>Constr. Equipment  $/hr</t>
  </si>
  <si>
    <t>Outdoor Equipment</t>
  </si>
  <si>
    <t>1200 Amps</t>
  </si>
  <si>
    <t>1600 Amps</t>
  </si>
  <si>
    <t>2000 Amps</t>
  </si>
  <si>
    <t>3000 Amps</t>
  </si>
  <si>
    <t>Line Tuners (two frequency)</t>
  </si>
  <si>
    <t>Phase to Ground Coupling w/o Drain Coil</t>
  </si>
  <si>
    <t>Surge Arrestors (Station Class)</t>
  </si>
  <si>
    <t>6 kV ( 5.1kV  Y)</t>
  </si>
  <si>
    <t>10 kV ( 13.2 or 13.8kV  Y)</t>
  </si>
  <si>
    <t>12 kV (10.2 kV Y)</t>
  </si>
  <si>
    <t>18 kV (23 kV Y)</t>
  </si>
  <si>
    <t>21 kV (27.6 kV Y)</t>
  </si>
  <si>
    <t>30KV (23 kv Delta)</t>
  </si>
  <si>
    <t>90 kV (115 kV Y)</t>
  </si>
  <si>
    <t>258 kV (345 kV)</t>
  </si>
  <si>
    <t>Outdoor Cabinets</t>
  </si>
  <si>
    <t>Aluminum Cabinet,NEMA 4  36x30x12 w/ panel</t>
  </si>
  <si>
    <t>Aluminum Cabinet,NEMA 4  36x30x20 w/ panel</t>
  </si>
  <si>
    <t>Aluminum Cabinet,NEMA 4  24x24x20 w/ panel</t>
  </si>
  <si>
    <t>Aluminum Cabinet,NEMA 4  48x36x16 w/ panel</t>
  </si>
  <si>
    <t>Transfer Switches (Outdoor Mounted)</t>
  </si>
  <si>
    <t>Visible Break for CCVT &amp; PT's included Box, Fuse Switches &amp; Outdoor Box</t>
  </si>
  <si>
    <t>500 gallon Propane Tank, w/o fuel</t>
  </si>
  <si>
    <t>Animal Treatment Protection</t>
  </si>
  <si>
    <t>Fire Protection</t>
  </si>
  <si>
    <t>150 # Wheel Extinguisher with Cover</t>
  </si>
  <si>
    <t>20# Dry Chemical with Cover</t>
  </si>
  <si>
    <t>Aluminum Cabinet,NEMA 4  36x24x24 duel doors (for mounting DSCADA equip)</t>
  </si>
  <si>
    <t>T- Line Engineering/Design</t>
  </si>
  <si>
    <t>D- Street Engineering/Design</t>
  </si>
  <si>
    <t xml:space="preserve">Substation (T) Engineering/Design </t>
  </si>
  <si>
    <t>Substation (D) Engineering/Design</t>
  </si>
  <si>
    <t>Contractor Engineering  - D-Street</t>
  </si>
  <si>
    <t>Contractor Engineering  - D-Station</t>
  </si>
  <si>
    <t>SCADA / Automation Engineering</t>
  </si>
  <si>
    <t>Contractor Engineering  - SCADA / Automation</t>
  </si>
  <si>
    <t>Contractor Engineering  - Telecom</t>
  </si>
  <si>
    <t>Other - specify</t>
  </si>
  <si>
    <t>Construction Rep (Outside vendor)</t>
  </si>
  <si>
    <t>SCADA / Automation</t>
  </si>
  <si>
    <t>13.8 kV, 5400 KVAR, Open Rack</t>
  </si>
  <si>
    <t>23 kV, 5400 KVAR, Open Rack</t>
  </si>
  <si>
    <t>23 kV, 9600 KVAR, Open Rack</t>
  </si>
  <si>
    <t>27.6kV, 3600 KVAR, Metal Enclosed.</t>
  </si>
  <si>
    <t>27.6kV, 4800 KVAR, Metal Enclosed.</t>
  </si>
  <si>
    <t>Current Limiting Reactors</t>
  </si>
  <si>
    <t>115 kV, 37,800 KVAR, Open Rack (add 75% to open rack for Metal Enclosed Capacitor Banks)</t>
  </si>
  <si>
    <t>AC Distribution Panels</t>
  </si>
  <si>
    <t>120/240, 1 Phase, 225 amp Main, w/ 8 CBs &amp; Outdoor Cabinet</t>
  </si>
  <si>
    <t>120/208, 1 Phase, 225 amp Main, w/ 42 CBs</t>
  </si>
  <si>
    <t>120/208, 1 Phase, 225 amp Main, w/ 8 CBs &amp; Outdoor Cabinet</t>
  </si>
  <si>
    <t>DC Distribution Panels</t>
  </si>
  <si>
    <t>125 V, 175 Amp Main, 42 Positions with 29 CBs and 14 w/shunt trip</t>
  </si>
  <si>
    <t>AAB FT-1 Test Device</t>
  </si>
  <si>
    <t>AAB FT-1 4 Test Device</t>
  </si>
  <si>
    <t>AAB FT-1 9R Test Device</t>
  </si>
  <si>
    <t>GE HGA Auxiliary Relay</t>
  </si>
  <si>
    <t>GE HFA Auxilairy Relay</t>
  </si>
  <si>
    <t>GE HEA Lockout Relay</t>
  </si>
  <si>
    <t>Miscellaneous Cabinet/ Devices</t>
  </si>
  <si>
    <t>SCADA RTU</t>
  </si>
  <si>
    <t>Digital Fault Recorder (32 Pt.)</t>
  </si>
  <si>
    <t>Digital Fault Recorder (64 Pt.)</t>
  </si>
  <si>
    <t>Synchronizing ( Wall Mounted)</t>
  </si>
  <si>
    <t>Capacitor Control (Indoor)</t>
  </si>
  <si>
    <t>Swing - Rack Cabinet</t>
  </si>
  <si>
    <t>Fixed - Rack Cabinet</t>
  </si>
  <si>
    <t>Regional Alarm</t>
  </si>
  <si>
    <t>DSCADA CAB</t>
  </si>
  <si>
    <t>Panel Plate Repacments</t>
  </si>
  <si>
    <t>Satellite Clock- 1093B Arbiter- FO Ouput</t>
  </si>
  <si>
    <t>EPAQ 9100 RTU</t>
  </si>
  <si>
    <t>DC Alarm Cabinet</t>
  </si>
  <si>
    <t>ION 7600</t>
  </si>
  <si>
    <t>Sub Meter</t>
  </si>
  <si>
    <t>Main Meter</t>
  </si>
  <si>
    <t>MTWIN3B Transducer SCADA</t>
  </si>
  <si>
    <t>SEL2407 Satellite Clock</t>
  </si>
  <si>
    <t>Insulators - Station Post</t>
  </si>
  <si>
    <t>RTU CABINET: Budgetary Pricing per NSTAR STD (ACS)</t>
  </si>
  <si>
    <t>DFR CABINET: Budgetary Pricing per NSTAR STD (Metatech)</t>
  </si>
  <si>
    <t>COM CABINET: Budgetary Pricing per NSTAR STD (GE)</t>
  </si>
  <si>
    <t>28/37/47 MVA 110 kV - 14.4 kV  or 110kV-23kV , Delta-Wye</t>
  </si>
  <si>
    <t>28/37/47 MVA 110 kV - 14.4 kV Wye-Wye w/ Delta tertiary</t>
  </si>
  <si>
    <t>36/48/60 MVA 110kV-14.4kV or 110kV-23kV Delta-Wye</t>
  </si>
  <si>
    <t>48/64/80 MVA 110 kV - 23 kV Wye-Wye w/ Delta tertiary</t>
  </si>
  <si>
    <t>Oil for Transformer (typical 8,000 gal @ $5.30/gal)</t>
  </si>
  <si>
    <t>12.5/16.7/20.8 MVA Autotransformer</t>
  </si>
  <si>
    <t>Transport within system</t>
  </si>
  <si>
    <t>Rigging  On/Off Rail car</t>
  </si>
  <si>
    <t>Regulators</t>
  </si>
  <si>
    <t>750 KVA, 13.8 or 13.2</t>
  </si>
  <si>
    <t>VR-32, 416.3/437.5KVA-1 Phase-60 HZ, 55/65 ºC RISE, 833/875 AMPS, ONAN, 5000/86660Y, Regulation ±10% in 32-5/8% steps</t>
  </si>
  <si>
    <t xml:space="preserve">Siemens type SFR, 800 kVA-3 Phase, Rated 800 kVA, 4800 volts, 960 amperes, 55ºC, 60 Hz, 60 kV BIL, ANSI type “A”, class “OA”.  Regulation +/- 10% in 32- 5/8% steps </t>
  </si>
  <si>
    <t>Station Service Transformers</t>
  </si>
  <si>
    <t>13.8KV- 120/240 V, 75KVA</t>
  </si>
  <si>
    <t>External Bushing CT's MR, C400, w/ mounting  hardware and ground shield</t>
  </si>
  <si>
    <t>External Bushing CT's MR, C800, w/ mounting  hardware and ground shield</t>
  </si>
  <si>
    <t>Potential Transformers</t>
  </si>
  <si>
    <t>Power Transformer (Shipping included)</t>
  </si>
  <si>
    <t>1,490 kVA ONAF, 748 A ONAF, 19,820/34,500 V GRD Wye, Regulation +/- 10% in 32 5/8% steps, 9,800#, Control: CL-6, 4-Hole NEMA pad,  120.81"  height</t>
  </si>
  <si>
    <t>13.8 or 14.4 or 23 kV - 120/240, 25 KVA, single phase</t>
  </si>
  <si>
    <t>13.8 or 14.4 or 23 kV - 120/240, 50 KVA, single phase</t>
  </si>
  <si>
    <t>Automatic Transfer Switch, 100A, 120/240V, 1 Phase, waterproof enclosure</t>
  </si>
  <si>
    <t>External CT's (Set of 3)</t>
  </si>
  <si>
    <t>14.4 kv , 70:1, two bushing (SC# 80642), set of 3</t>
  </si>
  <si>
    <t>34.5kv , 140:1,  Two  Bushing, Epoxy PT (SC# 87185), set of 3</t>
  </si>
  <si>
    <t>25 kv , 120:1, two bushing (SC# 439336), set of 2</t>
  </si>
  <si>
    <t>38kV Circuit Breakers</t>
  </si>
  <si>
    <t>SIEMENS SDV6-38-25-2000</t>
  </si>
  <si>
    <t>SIEMENS SDV6-38-25-1200</t>
  </si>
  <si>
    <t>MV Recloser</t>
  </si>
  <si>
    <t>27kV 800 amp, 12.5 kA (includes Control, cables &amp; stand)</t>
  </si>
  <si>
    <t xml:space="preserve">38KV, 630amp, 12.5KA (includes Control, cables &amp; stand) </t>
  </si>
  <si>
    <t xml:space="preserve">Form 6 Recloser Control  </t>
  </si>
  <si>
    <t>345kV Circuit Switchers</t>
  </si>
  <si>
    <t>1,600 amp, 40kA</t>
  </si>
  <si>
    <t>2000 amp, 40kA</t>
  </si>
  <si>
    <t>115kV Circuit Switchers</t>
  </si>
  <si>
    <t xml:space="preserve">3000Amp, 40KA, 58KV BIL, vertical </t>
  </si>
  <si>
    <t>2000Amp, type CPV2-121-40-2000, 40KA, 58KV BIL</t>
  </si>
  <si>
    <t>1200 amp, 40 kA Candlestick</t>
  </si>
  <si>
    <t>1200 amp, 25 kA Candlestick w/ pedestal, wo Blades</t>
  </si>
  <si>
    <t>1200 - 2000 amp, 40 kA Candlestick w/ pedestal, wo Blades</t>
  </si>
  <si>
    <t>1200 amp, 8 kA - Capacitor Switching w/ Blades &amp; Pedestal</t>
  </si>
  <si>
    <t>1200, 25 kA with Blades, includes pedestal</t>
  </si>
  <si>
    <t>MV Circuit Switchers</t>
  </si>
  <si>
    <t>34.5 kV, Mark V, 1200A, 8 kA with Blades, includes insulators&amp; operator</t>
  </si>
  <si>
    <t>- revised all relevent tabs for updated WBS format ( cover, PAF, delta, and so on) WBS version dated 3/24/2020
- added property tax for NH and CWIP tax for EMA, requires action on the input sheet for EMA / Boston jobs
 - Switched the column position of QTY and UOM on the estimate tabs
 - Deleted the "unit rate" portion of the detail estimate tabs
 - Added the column grouping on each detail estimate sheet for printing format
 - Added in basic functioning Contingency sheet
 - Changed date fields from text to dates thruout the spreadsheet
 - added rounding to scs and siting calcs on the detail summary tab
 - Added OH civil tab and the links to the OH constr. tab
 - Added new tab for the D-Station specific input
 - Revised all tabs to have constr. eqt. calculate on hours, not labor dollars as those change from internal to exteranl labor
- AFUDC auto calculated based on project start and ISD</t>
  </si>
  <si>
    <t>Line Traps (for 30-90 KHZ Range - add $300.00)</t>
  </si>
  <si>
    <t>Relay, Generic Protection, 1 Primary &amp; 1 Backup Set</t>
  </si>
  <si>
    <t xml:space="preserve">Cabinet, Communications </t>
  </si>
  <si>
    <t>Communications, JMUX unit</t>
  </si>
  <si>
    <t>Project Number:</t>
  </si>
  <si>
    <t>WO &amp; Task #:</t>
  </si>
  <si>
    <t>Project Title:</t>
  </si>
  <si>
    <t>Project Mgr/Lead:</t>
  </si>
  <si>
    <t>Date of Estimate:</t>
  </si>
  <si>
    <t xml:space="preserve"> Current Rate </t>
  </si>
  <si>
    <t xml:space="preserve"> Applied Factor </t>
  </si>
  <si>
    <t xml:space="preserve"> Rates for Use </t>
  </si>
  <si>
    <t>Fix to carry extension formulas down on the D Station sheet</t>
  </si>
  <si>
    <t xml:space="preserve">Typical 20 - 40% of Str. exc. to encounter rock. This unit price includes the cost for rock excavation associated with structures requiring rectangular or square spread footings. </t>
  </si>
  <si>
    <t>Material ( eversource)</t>
  </si>
  <si>
    <t>Material ( other)</t>
  </si>
  <si>
    <t>Misc Eqt.</t>
  </si>
  <si>
    <t>Buildings</t>
  </si>
  <si>
    <t>P&amp;C eqt.</t>
  </si>
  <si>
    <t>Major Eqt.</t>
  </si>
  <si>
    <t>revised contingency calc ( and underlying scope summary page)</t>
  </si>
  <si>
    <t>Inspection services ( Outside Vendor)</t>
  </si>
  <si>
    <t>Added row for constr. inspection services on the detail summary sheet, row 27</t>
  </si>
  <si>
    <t>Revise E&amp;S and AS&amp;E rates &amp; AFUDC based on 6/19/20 analysis</t>
  </si>
  <si>
    <t>115kV String Insulator Assembly</t>
  </si>
  <si>
    <t>115kV Strain Clamp</t>
  </si>
  <si>
    <t>01.41</t>
  </si>
  <si>
    <t>Updated SS disconnect labor hours - basis is research completed for Waltham Brown Glass estimate 
Also slight fix to contingency sheet</t>
  </si>
  <si>
    <t>01.42</t>
  </si>
  <si>
    <t>Revise NH E&amp;S Station rate for 70% to 95% based on 10/3/20 rate tracking analysis</t>
  </si>
  <si>
    <t>Pricing based on Maximo 11/2020 plus allowance for arrestor,etc.</t>
  </si>
  <si>
    <t>revised station lighnting mast pricing 11/2020</t>
  </si>
  <si>
    <t>If selecting a D Company, be sure to select A for the AFUDC choice below in cell D76, unless speical case liike a interconnection est.</t>
  </si>
  <si>
    <t>added notes to AFUDC on Input tab</t>
  </si>
  <si>
    <t>01.43</t>
  </si>
  <si>
    <t>Revise Indirect Rates based on 11/30/20 rate tracking analysis</t>
  </si>
  <si>
    <t>Per procurement 05/06/2020</t>
  </si>
  <si>
    <t>Additional steel 50' or higher</t>
  </si>
  <si>
    <t>Outrigger - Hinge end</t>
  </si>
  <si>
    <t>Outrigger - Jaw end</t>
  </si>
  <si>
    <t>Battery Chargers</t>
  </si>
  <si>
    <t>FOUNDATIONS (Expandable)</t>
  </si>
  <si>
    <t>01.44</t>
  </si>
  <si>
    <t>- Fixed (removed) links to external sheets. 
'- Enabled AutoFiltering on est input tabs</t>
  </si>
  <si>
    <t>SS Const &amp; OH Const</t>
  </si>
  <si>
    <t>Input tab &amp; AFUDC tabs</t>
  </si>
  <si>
    <t>updated dates to 2021 and update basic rate tables rates to 2021 rates
shifted the AFUDC rates so that 2021 had the correct rates</t>
  </si>
  <si>
    <t>Normalized Program Cost</t>
  </si>
  <si>
    <t>Location / project number</t>
  </si>
  <si>
    <t>Units</t>
  </si>
  <si>
    <t>1. ROW / Easements / Land purchases</t>
  </si>
  <si>
    <t>2. Environmental Approvals / Permits</t>
  </si>
  <si>
    <t>3. Outreach</t>
  </si>
  <si>
    <t>4. Siting Approvals / Permits</t>
  </si>
  <si>
    <t>5. Engineering / Design</t>
  </si>
  <si>
    <t>6. Materials ( Eversource purchased)</t>
  </si>
  <si>
    <t>7. Construction  ( incl matl's by contractors)</t>
  </si>
  <si>
    <t>8. Testing / Commissioning</t>
  </si>
  <si>
    <t>9. PMT Project Mgmt Team</t>
  </si>
  <si>
    <t>10. Removals</t>
  </si>
  <si>
    <t>11. Other</t>
  </si>
  <si>
    <t>12. Risks</t>
  </si>
  <si>
    <t>13. Indirects/Overhead</t>
  </si>
  <si>
    <t>14. AFUDC</t>
  </si>
  <si>
    <t>15. Contingency</t>
  </si>
  <si>
    <t>16. Reimbursables/Customer Contribution</t>
  </si>
  <si>
    <t xml:space="preserve">Estimate Unit Cost </t>
  </si>
  <si>
    <t>Program Unit Cost</t>
  </si>
  <si>
    <t>Partial Funding</t>
  </si>
  <si>
    <t>Estimate Total Cost</t>
  </si>
  <si>
    <t>% of Directs</t>
  </si>
  <si>
    <t>added % of directs column on cover sheet</t>
  </si>
  <si>
    <t>When work takes place within a wetland resource area, or within 100 feet of a wetland (and sometimes within 200 feet, depending on the type of wetlands, such as a River), a wetlands approval must be obtained from the local Conservation Commission</t>
  </si>
  <si>
    <t>Wetland (Con Com) Conservation Commission</t>
  </si>
  <si>
    <t>Projects have an impact to over 25 acres of land, impact protected open space (such as state land), or involve construction of new transmission lines over a mile in length, we must submit an Environmental Notification Form (ENF) to the MEPA Office</t>
  </si>
  <si>
    <t>(NHESP)Natural Heritage &amp; Endangered Species Act</t>
  </si>
  <si>
    <t>Chapter 91 (Waterways License)</t>
  </si>
  <si>
    <t>When performing work in tidal and navigational waterways, filled tidelands, or great ponds a license must be obtained from MassDEP</t>
  </si>
  <si>
    <t>DEP 401 WQC(Water Quality Certification)</t>
  </si>
  <si>
    <t>Impact to more than 5,000 square feet of wetlands, if an Order of Conditions is not obtained, a Water Quality Certification from MassDEP is required before work can commence</t>
  </si>
  <si>
    <t>MA Historic Commission (MHC)</t>
  </si>
  <si>
    <t>Applies for any state or federal permit/approval we must hire a qualified cultural resource specialist to complete due diligence to assess whether the proposed work will have an adverse impact on historic and archaeological resources, or tribal lands.</t>
  </si>
  <si>
    <t>Army Corps (10 / 404) Clean water Act</t>
  </si>
  <si>
    <t>Authorization from the USACE is required for impacts to wetlands and work within navigable waters.</t>
  </si>
  <si>
    <t>MEPA (ENF / EIR) MA Environmental Protection Act</t>
  </si>
  <si>
    <t>Projects that have an impact to over 25 acres of land, impact protected open space (such as state land), or involve construction of new transmission lines over a mile in length, we must submit an Environmental Notification Form (ENF) to the MEPA Office</t>
  </si>
  <si>
    <t>Storm Water Pollution Prevention Plan (SWPPP)</t>
  </si>
  <si>
    <t>A plan developed and followed to ensure measures are taken to prevent water runoff from the construction site.  Qualified inspectors (e.g. consultants) must perform weekly inspections</t>
  </si>
  <si>
    <t>Any time a quantity of oil is added or removed, the SPCC plan needs to changed or updated by the enviornmental group.</t>
  </si>
  <si>
    <t>(SPCC) Spill Prevention Control and Countermeasures Plan</t>
  </si>
  <si>
    <t>Eng &amp; Proj Scope and OH Civil</t>
  </si>
  <si>
    <t>JRN</t>
  </si>
  <si>
    <t>added descriptions / removed italics</t>
  </si>
  <si>
    <t>updated to better describe acronyms</t>
  </si>
  <si>
    <t>Circuit Breaker, 115kV-123kV, 3000a, 40 kA, 3ph (SF6)</t>
  </si>
  <si>
    <t>Circuit Breaker, 115kV-123kV, 3000a, 63 kA, 3ph (SF6)</t>
  </si>
  <si>
    <t>Circuit Breaker, 115kV-123kV, 4000a, 63 kA, 3ph (SF6)</t>
  </si>
  <si>
    <t>Circuit Breaker, 115kV-123kV, 3000a, 40 kA, 3ph, Cap Bank, w/o Synchronous</t>
  </si>
  <si>
    <t>Circuit Breaker, 115kV-123kV, 3000a, 40 kA, 3ph, Cap Bank, w/ Synchronous</t>
  </si>
  <si>
    <t xml:space="preserve">Circuit Breaker, 115kV-123kV, 3000a, 40 kA, 3ph, Double Breaker </t>
  </si>
  <si>
    <t>Circuit Breaker, 115kV, GIS Series Breaker, 3 ph</t>
  </si>
  <si>
    <t>Circuit Switcher, 115kV</t>
  </si>
  <si>
    <t>Switch, Manual Disconnect 115kV, 2,000A</t>
  </si>
  <si>
    <t>Switch, Motor Operated (MOD) 115kV, 2,000A</t>
  </si>
  <si>
    <t>Switch, Motor Operated (MOD) 115kV, 3,000A</t>
  </si>
  <si>
    <t>Switch, Manual Disconnect 115lkV, 3,000A</t>
  </si>
  <si>
    <t>Circuit Breaker, 115kV-123kV, 3000a, 40 kA, 3ph (Vacuum)</t>
  </si>
  <si>
    <t>Circuit Breaker, 115kV-123kV, 3000a, 63 kA, 3ph (Vacuum)</t>
  </si>
  <si>
    <t>Circuit Breaker, 115kV-123kV, 4000a, 63 kA, 3ph (Vacuum)</t>
  </si>
  <si>
    <t>Switch, Ground 115kV</t>
  </si>
  <si>
    <t>Switch, Worm Gear 115lV</t>
  </si>
  <si>
    <t>Switch, Motor operation/ assembly, 115kV</t>
  </si>
  <si>
    <t>GIS 345kV</t>
  </si>
  <si>
    <t>Circuit Breaker, 345kV, 4000a, 50 kA, 3ph (SF6)</t>
  </si>
  <si>
    <t>Circuit Breaker, 345kV Cap Bank w/o Synchronous</t>
  </si>
  <si>
    <t>Circuit Breaker, 345kV Cap Bank w/ Synchronous</t>
  </si>
  <si>
    <t>Circuit Switcher, 345kV</t>
  </si>
  <si>
    <t>CCVT, 345kV (1 Phase)</t>
  </si>
  <si>
    <t>PT, 345kV (1 Phase)</t>
  </si>
  <si>
    <t>Switch, Manual Disconnect, 345kV, 2,000A</t>
  </si>
  <si>
    <t>Switch, Manual Disconnect, 345kV, 3,000A</t>
  </si>
  <si>
    <t>Switch, Manual Disconnect, 345kV, 4,000A</t>
  </si>
  <si>
    <t>Switch, Motor Operated (MOD), 345kV, 2,000A</t>
  </si>
  <si>
    <t>Switch, Motor Operated (MOD), 345kV, 3,000A</t>
  </si>
  <si>
    <t>Switch, Motor Operated (MOD), 345kV, 4,000A</t>
  </si>
  <si>
    <t>Ground switch, 345kV</t>
  </si>
  <si>
    <t>Worm Gear, 345kV</t>
  </si>
  <si>
    <t>Motor operation/ assembly, 345kV</t>
  </si>
  <si>
    <t>Switch, Manual Disconnect, 69kV, 2,000A</t>
  </si>
  <si>
    <t>Switch, Manual Disconnect, 69kV, 3,000A</t>
  </si>
  <si>
    <t>Switch, Manual Disconnect, 69kV, 4,000A</t>
  </si>
  <si>
    <t>Worm Gear, 69kV</t>
  </si>
  <si>
    <t>Motor operation/ assembly, 69kV</t>
  </si>
  <si>
    <t>Transformer, 25 MVA 115/13.2kV</t>
  </si>
  <si>
    <t>Transformer, Station Service</t>
  </si>
  <si>
    <t>CCVT, 115kV (1 Phase)</t>
  </si>
  <si>
    <t>Potential Device, 115kV</t>
  </si>
  <si>
    <t>Transformer, Autotransformer, 200 MVA 345/115kV</t>
  </si>
  <si>
    <t>Transformer, Autotransformer, 450 MVA 345/115kV</t>
  </si>
  <si>
    <t>Surge Arrester, 1 Phase, 115kV</t>
  </si>
  <si>
    <t>Cap Bank, 115kV 14.4 MVAR, Cap Bank &amp; Strct</t>
  </si>
  <si>
    <t>Cap Bank Cans, 115kV 14.4 MVAR Cap Bank Cans</t>
  </si>
  <si>
    <t>Reactor, Series, 115kV Series Reactor (AIR CORE REACTORS)</t>
  </si>
  <si>
    <t>Reactor, Shunt, 115kV Shunt Reactor (OIL FILLED REACTORS)</t>
  </si>
  <si>
    <t>Reactor, Shunt, 345kV Shunt Reactor (OIL FILLED REACTORS)</t>
  </si>
  <si>
    <t>Reactor, Shunt, 345kV 50-100 MVAR 3P Shnt Rct</t>
  </si>
  <si>
    <t>Reactor, Shunt, 345kV 75-150 MVAR 3P Shnt Rct</t>
  </si>
  <si>
    <t>Switch, Motor Operated (MID),345kV Motor Operated Disc. Sw.</t>
  </si>
  <si>
    <t>Surge Arrester, 345kV 1 Phase</t>
  </si>
  <si>
    <t>Changed description on SS eqt. to database model</t>
  </si>
  <si>
    <t>Substation Const.</t>
  </si>
  <si>
    <t>added "1's" to total row qty so when filtering off blanks, the totals stay visible</t>
  </si>
  <si>
    <t>all detail estimate sheets</t>
  </si>
  <si>
    <t>Steel wt # updated based on quote for Branford 11J 10/15/2020</t>
  </si>
  <si>
    <t>Construction Tab</t>
  </si>
  <si>
    <t>changes to steel weight based on Branford quote 10/15/2020</t>
  </si>
  <si>
    <t>updated steel weight on some structures</t>
  </si>
  <si>
    <t>Indirect Rates &amp; AFUDC</t>
  </si>
  <si>
    <t>updated rate tracking with current rates</t>
  </si>
  <si>
    <t>updated rates based on rate tracking</t>
  </si>
  <si>
    <t>Asbestos Project monitor</t>
  </si>
  <si>
    <t>Labor base on 1 person/ $900 per day per email from environmental 02/19/21</t>
  </si>
  <si>
    <t>Asbestos Abatement labor and Air Monitoring</t>
  </si>
  <si>
    <t>Asbestos disposal</t>
  </si>
  <si>
    <t>Labor base on 5 man crew/10hr days/ $300 per hr.  Other UOM is air sampling $13per smaple/ 1 sample every hour of work per email from environmental 02/19/21</t>
  </si>
  <si>
    <t>Disposal consisists of $27 per bag per email from environmental 02/19/21</t>
  </si>
  <si>
    <t>updated asbestos information and rates</t>
  </si>
  <si>
    <t>Eng &amp; Proj Scope</t>
  </si>
  <si>
    <t>Added asbestos info and labor based on enviromental email 2/19/21</t>
  </si>
  <si>
    <t>Estimate Review Comments Tracking</t>
  </si>
  <si>
    <t>Peer Review</t>
  </si>
  <si>
    <t>Review Req'd By</t>
  </si>
  <si>
    <t>Item /Tab</t>
  </si>
  <si>
    <t>Review Comments</t>
  </si>
  <si>
    <t>Estimator reply</t>
  </si>
  <si>
    <t>Other Notes</t>
  </si>
  <si>
    <t>Joseph</t>
  </si>
  <si>
    <t>Mgmt. Review</t>
  </si>
  <si>
    <t>_</t>
  </si>
  <si>
    <t>MgmtReviews</t>
  </si>
  <si>
    <t>&lt;== input from input sheet</t>
  </si>
  <si>
    <t>Lines Work</t>
  </si>
  <si>
    <t>Bassaragh</t>
  </si>
  <si>
    <t>Mancini</t>
  </si>
  <si>
    <t>Thibodeau</t>
  </si>
  <si>
    <t>Niderno</t>
  </si>
  <si>
    <t>Henry</t>
  </si>
  <si>
    <t>Use for table</t>
  </si>
  <si>
    <t>Reviewers</t>
  </si>
  <si>
    <t>group for reviews</t>
  </si>
  <si>
    <t>This tab is to develop small standard structure replacement estmates when time or resources don't permit a more indepth effort.</t>
  </si>
  <si>
    <t>Then input into the green areas below for structure counts.</t>
  </si>
  <si>
    <t>The estimate will be based on contractor construction execution.</t>
  </si>
  <si>
    <t>Then review the defaults in the other sections. For instance if the constr. or engr. states a higher rock excavation, overide that percentage.</t>
  </si>
  <si>
    <t>Number of structures by type / voltage / size and outage or live line</t>
  </si>
  <si>
    <t>Summary codes</t>
  </si>
  <si>
    <t>Voltage</t>
  </si>
  <si>
    <t>Type of structure</t>
  </si>
  <si>
    <t>Type of work</t>
  </si>
  <si>
    <t>Aprox. Heights</t>
  </si>
  <si>
    <t>Tangent</t>
  </si>
  <si>
    <t>Running Angles</t>
  </si>
  <si>
    <t>Dead ends</t>
  </si>
  <si>
    <t>Total Structures</t>
  </si>
  <si>
    <t>Total Poles</t>
  </si>
  <si>
    <t>assumed length/ each</t>
  </si>
  <si>
    <t>Total LF</t>
  </si>
  <si>
    <t>115kV</t>
  </si>
  <si>
    <t xml:space="preserve">monopole </t>
  </si>
  <si>
    <t>De-Energized</t>
  </si>
  <si>
    <t>&lt;100'</t>
  </si>
  <si>
    <t>101'+</t>
  </si>
  <si>
    <t>Live line/DNO</t>
  </si>
  <si>
    <t>H frame</t>
  </si>
  <si>
    <t>Horz - 3 pole</t>
  </si>
  <si>
    <t>345kV</t>
  </si>
  <si>
    <t>Total structures</t>
  </si>
  <si>
    <t>Total by type of structure</t>
  </si>
  <si>
    <t>Totally by type of pad</t>
  </si>
  <si>
    <t>Totally by type of insulator</t>
  </si>
  <si>
    <t>115kV monopole  De-Energized</t>
  </si>
  <si>
    <t>115kV monopole  Live line/DNO</t>
  </si>
  <si>
    <t>115kV H frame De-Energized</t>
  </si>
  <si>
    <t>115kV H frame Live line/DNO</t>
  </si>
  <si>
    <t>115kV Horz - 3 pole De-Energized</t>
  </si>
  <si>
    <t>115kV Horz - 3 pole Live line/DNO</t>
  </si>
  <si>
    <t>345kV monopole  De-Energized</t>
  </si>
  <si>
    <t>345kV monopole  Live line/DNO</t>
  </si>
  <si>
    <t>345kV H frame De-Energized</t>
  </si>
  <si>
    <t>345kV H frame Live line/DNO</t>
  </si>
  <si>
    <t>345kV Horz - 3 pole De-Energized</t>
  </si>
  <si>
    <t>345kV Horz - 3 pole Live line/DNO</t>
  </si>
  <si>
    <t>Defaults ( change if scope requires a change)</t>
  </si>
  <si>
    <t>Rock excavation</t>
  </si>
  <si>
    <t>Amount of depth assumed to be rock out of total depth</t>
  </si>
  <si>
    <t xml:space="preserve">calculation is based on </t>
  </si>
  <si>
    <t>of sttucture heights for foundation depth</t>
  </si>
  <si>
    <t>lf</t>
  </si>
  <si>
    <t>plus 2 ft each pole</t>
  </si>
  <si>
    <t>total lf of rock coriing</t>
  </si>
  <si>
    <t>Engr.</t>
  </si>
  <si>
    <t>CR</t>
  </si>
  <si>
    <t>Of total constr. hours</t>
  </si>
  <si>
    <t>Default is all in one year, if multiple years, escalation tab needs adjusting as well as the detail summary tab</t>
  </si>
  <si>
    <t>Work pads</t>
  </si>
  <si>
    <t>Total count</t>
  </si>
  <si>
    <t>length/ea</t>
  </si>
  <si>
    <t># structures</t>
  </si>
  <si>
    <t>sf/ea struct.</t>
  </si>
  <si>
    <t>other - knonw ROW issue</t>
  </si>
  <si>
    <t>Total sf matting</t>
  </si>
  <si>
    <t># guys</t>
  </si>
  <si>
    <t>Total Number</t>
  </si>
  <si>
    <t>Guys allowance</t>
  </si>
  <si>
    <t>monopoles</t>
  </si>
  <si>
    <t>per structure ( tangent)</t>
  </si>
  <si>
    <t>per structure ( angles)</t>
  </si>
  <si>
    <t>per structure (dead ends)</t>
  </si>
  <si>
    <t>H frames</t>
  </si>
  <si>
    <t>3 pole structures</t>
  </si>
  <si>
    <t>Total Guys</t>
  </si>
  <si>
    <t># insulators/structure</t>
  </si>
  <si>
    <t>#  Insulators</t>
  </si>
  <si>
    <t>totals</t>
  </si>
  <si>
    <t>per structure</t>
  </si>
  <si>
    <t>De-Engr.</t>
  </si>
  <si>
    <t>Live</t>
  </si>
  <si>
    <t>total inslulatiors</t>
  </si>
  <si>
    <t>Climbing rungs</t>
  </si>
  <si>
    <t>calc based on total height of all poles - minus first 10 feet of each pole</t>
  </si>
  <si>
    <t>total climbing rungs</t>
  </si>
  <si>
    <t>Fall protection</t>
  </si>
  <si>
    <t>percentage requried</t>
  </si>
  <si>
    <t>total fall protection count</t>
  </si>
  <si>
    <t>Lighting Arrestors (LA's)</t>
  </si>
  <si>
    <t># LA's/ struct.</t>
  </si>
  <si>
    <t>assumes Delta configurateion, if all one side then 1 per structure</t>
  </si>
  <si>
    <t>assumes on on each conductor phase</t>
  </si>
  <si>
    <t>assumes on on each pole</t>
  </si>
  <si>
    <t>total LA's</t>
  </si>
  <si>
    <t>115kV Horizontal 80-99ft Dead End Pole w/Concrete Caisson Foundation - Live Line Replacement</t>
  </si>
  <si>
    <t>Old desctiption</t>
  </si>
  <si>
    <t>New Decription</t>
  </si>
  <si>
    <t>120-139ft</t>
  </si>
  <si>
    <t>60-119ft</t>
  </si>
  <si>
    <t>Running angle</t>
  </si>
  <si>
    <t>Deenergized</t>
  </si>
  <si>
    <t>Concrete Caisson Fnd</t>
  </si>
  <si>
    <t>Dead End</t>
  </si>
  <si>
    <t>Running Angle</t>
  </si>
  <si>
    <t>80-99ft</t>
  </si>
  <si>
    <t>Live line</t>
  </si>
  <si>
    <t>Direct Embedment Fnd</t>
  </si>
  <si>
    <t>Structure</t>
  </si>
  <si>
    <t>Repl.</t>
  </si>
  <si>
    <t>Structure, 115kV, H frame, Dead End, 80-99ft, New, Deenergized, Concrete Caisson Fnd</t>
  </si>
  <si>
    <t>Structure, 115kV, H frame, Dead End, 80-99ft, Repl., Deenergized, Concrete Caisson Fnd</t>
  </si>
  <si>
    <t>Structure, 115kV, H frame, Dead End, 80-99ft, New, Deenergized, Direct Embedment Fnd</t>
  </si>
  <si>
    <t>Structure, 115kV, H frame, Dead End, 80-99ft, Repl., Live line, Direct Embedment Fnd</t>
  </si>
  <si>
    <t>Structure, 115kV, H frame, Running Angle, 80-99ft, New, Deenergized, Concrete Caisson Fnd</t>
  </si>
  <si>
    <t>Structure, 115kV, H frame, Running Angle, 80-99ft, Repl., Deenergized, Concrete Caisson Fnd</t>
  </si>
  <si>
    <t>Structure, 115kV, H frame, Running Angle, 80-99ft, New, Deenergized, Direct Embedment Fnd</t>
  </si>
  <si>
    <t>Structure, 115kV, H frame, Tangent, 80-99ft, New, Deenergized, Concrete Caisson Fnd</t>
  </si>
  <si>
    <t>Structure, 115kV, H frame, Tangent, 80-99ft, Repl., Deenergized, Concrete Caisson Fnd</t>
  </si>
  <si>
    <t>Structure, 115kV, H frame, Tangent, 80-99ft, New, Deenergized, Direct Embedment Fnd</t>
  </si>
  <si>
    <t>Structure, 115kV, H frame, Tangent, 80-99ft, Repl., Live line, Direct Embedment Fnd</t>
  </si>
  <si>
    <t>Structure, 345kV, H frame, Dead End, 80-99ft, Repl., Live line, Concrete Caisson Fnd</t>
  </si>
  <si>
    <t>Structure, 345kV, H frame, Dead End, 80-99ft, New, Deenergized, Direct Embedment Fnd</t>
  </si>
  <si>
    <t>Structure, 345kV, H frame, Dead End, 80-99ft, Repl., Deenergized, Direct Embedment Fnd</t>
  </si>
  <si>
    <t>Structure, 345kV, H frame, Running Angle, 80-99ft, New, Deenergized, Concrete Caisson Fnd</t>
  </si>
  <si>
    <t>Structure, 345kV, H frame, Running Angle, 80-99ft, Repl., Live line, Concrete Caisson Fnd</t>
  </si>
  <si>
    <t>Structure, 345kV, H frame, Running Angle, 80-99ft, New, Deenergized, Direct Embedment Fnd</t>
  </si>
  <si>
    <t>Structure, 345kV, H frame, Running Angle, 80-99ft, Repl., Deenergized, Direct Embedment Fnd</t>
  </si>
  <si>
    <t>Structure, 345kV, H frame, Tangent, 80-99ft, New, Deenergized, Concrete Caisson Fnd</t>
  </si>
  <si>
    <t>Structure, 345kV, H frame, Tangent, 80-99ft, Repl., Live line, Concrete Caisson Fnd</t>
  </si>
  <si>
    <t>Structure, 345kV, H frame, Tangent, 80-99ft, New, Deenergized, Direct Embedment Fnd</t>
  </si>
  <si>
    <t>Structure, 345kV, H frame, Tangent, 80-99ft, Repl., Live line, Direct Embedment Fnd</t>
  </si>
  <si>
    <t>Structure, 115kV, H frame, Running Angle, 80-99ft, Repl., Live line, Direct Embedment Fnd</t>
  </si>
  <si>
    <t>Structure, 345kV, H frame, Dead End, 80-99ft, New, Deenergized, Concrete Caisson Fnd</t>
  </si>
  <si>
    <t>Structure, 345kV, Monopole, Tangent, 120-139ft, Repl., Deenergized, Concrete Caisson Fnd</t>
  </si>
  <si>
    <t>Structure, 115kV, Monopole, Dead End, 120-139ft, New, Deenergized, Concrete Caisson Fnd</t>
  </si>
  <si>
    <t>Structure, 115kV, Monopole, Dead End, 60-119ft, New, Deenergized, Direct Embedment Fnd</t>
  </si>
  <si>
    <t>Structure, 115kV, Monopole, Dead End, 60-119ft, Repl., Deenergized, Concrete Caisson Fnd</t>
  </si>
  <si>
    <t>Structure, 115kV, Monopole, Dead End, 60-119ft, Repl., Deenergized, Direct Embedment Fnd</t>
  </si>
  <si>
    <t>Structure, 115kV, Monopole, Dead End, 60-119ft, Repl., Live line, Concrete Caisson Fnd</t>
  </si>
  <si>
    <t>Structure, 115kV, Monopole, Dead End, 60-119ft, Repl., Live line, Direct Embedment Fnd</t>
  </si>
  <si>
    <t>Structure, 115kV, Monopole, Running angle, 120-139ft, New, Deenergized, Concrete Caisson Fnd</t>
  </si>
  <si>
    <t>Structure, 115kV, Monopole, Running Angle, 60-119ft, New, Deenergized, Direct Embedment Fnd</t>
  </si>
  <si>
    <t>Structure, 115kV, Monopole, Running Angle, 60-119ft, Repl., Deenergized, Concrete Caisson Fnd</t>
  </si>
  <si>
    <t>Structure, 115kV, Monopole, Running Angle, 60-119ft, Repl., Deenergized, Direct Embedment Fnd</t>
  </si>
  <si>
    <t>Structure, 115kV, Monopole, Running Angle, 60-119ft, Repl., Live line, Concrete Caisson Fnd</t>
  </si>
  <si>
    <t>Structure, 115kV, Monopole, Running Angle, 60-119ft, Repl., Live line, Direct Embedment Fnd</t>
  </si>
  <si>
    <t>Structure, 115kV, Monopole, Tangent, 120-139ft, New, Deenergized, Concrete Caisson Fnd</t>
  </si>
  <si>
    <t>Structure, 115kV, Monopole, Tangent, 60-119ft, New, Deenergized, Direct Embedment Fnd</t>
  </si>
  <si>
    <t>Structure, 115kV, Monopole, Tangent, 60-119ft, Repl., Deenergized, Concrete Caisson Fnd</t>
  </si>
  <si>
    <t>Structure, 115kV, Monopole, Tangent, 60-119ft, Repl., Deenergized, Direct Embedment Fnd</t>
  </si>
  <si>
    <t>Structure, 115kV, Monopole, Tangent, 60-119ft, Repl., Live line, Concrete Caisson Fnd</t>
  </si>
  <si>
    <t>Structure, 115kV, Monopole, Tangent, 60-119ft, Repl., Live line, Direct Embedment Fnd</t>
  </si>
  <si>
    <t>Structure, 345kV, Monopole, Dead End, 120-139ft, Repl., Deenergized, Concrete Caisson Fnd</t>
  </si>
  <si>
    <t>Structure, 345kV, Monopole, Running Angle, 120-139ft, Repl., Deenergized, Concrete Caisson Fnd</t>
  </si>
  <si>
    <t>Monopole</t>
  </si>
  <si>
    <t>Foundation Installation -Concrete Caisson 6' Dia x 20'</t>
  </si>
  <si>
    <t>Foundation Installation - Direct Embedd - 48" Dia x 10'</t>
  </si>
  <si>
    <t>Foundation Installation - Direct Embedd - 48" Dia x 12'</t>
  </si>
  <si>
    <t>Foundation Installation - Direct Embedd - 48" Dia x 14'</t>
  </si>
  <si>
    <t>Conductor, 345 kV GITL Trench Adder</t>
  </si>
  <si>
    <t>Conductor,, 345 kV GITL</t>
  </si>
  <si>
    <t>Conductor, 115 kV GITL</t>
  </si>
  <si>
    <t>Surge Arrester, 114iV,  1 Phase</t>
  </si>
  <si>
    <t>Shield Wire, Overhead (OHSW)</t>
  </si>
  <si>
    <t>Step Rungs, Galv. Bail</t>
  </si>
  <si>
    <t xml:space="preserve">Step Rungs, with Platform, Galv. Bail </t>
  </si>
  <si>
    <t>Structure, 115kV, H 3 Pole, Dead End, 80-99ft, New, Deenergized, Concrete Caisson Fnd</t>
  </si>
  <si>
    <t>Structure, 115kV, H 3 Pole, Dead End, 80-99ft, New, Deenergized, Direct Embedment Fnd</t>
  </si>
  <si>
    <t>Structure, 115kV, H 3 Pole, Dead End, 80-99ft, Repl., Deenergized, Concrete Caisson Fnd</t>
  </si>
  <si>
    <t>Structure, 115kV, H 3 Pole, Dead End, 80-99ft, Repl., Live line, Direct Embedment Fnd</t>
  </si>
  <si>
    <t>Structure, 115kV, H 3 Pole, Running Angle, 80-99ft, New, Deenergized, Concrete Caisson Fnd</t>
  </si>
  <si>
    <t>Structure, 115kV, H 3 Pole, Running Angle, 80-99ft, New, Deenergized, Direct Embedment Fnd</t>
  </si>
  <si>
    <t>Structure, 115kV, H 3 Pole, Running Angle, 80-99ft, Repl., Deenergized, Concrete Caisson Fnd</t>
  </si>
  <si>
    <t>Structure, 115kV, H 3 Pole, Running Angle, 80-99ft, Repl., Live line, Direct Embedment Fnd</t>
  </si>
  <si>
    <t>Structure, 115kV, H 3 Pole, Tangent, 80-99ft, New, Deenergized, Concrete Caisson Fnd</t>
  </si>
  <si>
    <t>Structure, 115kV, H 3 Pole, Tangent, 80-99ft, New, Deenergized, Direct Embedment Fnd</t>
  </si>
  <si>
    <t>Structure, 115kV, H 3 Pole, Tangent, 80-99ft, Repl., Deenergized, Concrete Caisson Fnd</t>
  </si>
  <si>
    <t>Structure, 115kV, H 3 Pole, Tangent, 80-99ft, Repl., Live line, Direct Embedment Fnd</t>
  </si>
  <si>
    <t>Structure, 345kV, H 3 Pole, Dead End, 80-99ft, New, Deenergized, Concrete Caisson Fnd</t>
  </si>
  <si>
    <t>Structure, 345kV, H 3 Pole, Dead End, 80-99ft, New, Deenergized, Direct Embedment Fnd</t>
  </si>
  <si>
    <t>Structure, 345kV, H 3 Pole, Dead End, 80-99ft, Repl., Deenergized, Direct Embedment Fnd</t>
  </si>
  <si>
    <t>Structure, 345kV, H 3 Pole, Dead End, 80-99ft, Repl., Live line, Concrete Caisson Fnd</t>
  </si>
  <si>
    <t>Structure, 345kV, H 3 Pole, Running Angle, 80-99ft, New, Deenergized, Concrete Caisson Fnd</t>
  </si>
  <si>
    <t>Structure, 345kV, H 3 Pole, Running Angle, 80-99ft, New, Deenergized, Direct Embedment Fnd</t>
  </si>
  <si>
    <t>Structure, 345kV, H 3 Pole, Running Angle, 80-99ft, Repl., Deenergized, Direct Embedment Fnd</t>
  </si>
  <si>
    <t>Structure, 345kV, H 3 Pole, Running Angle, 80-99ft, Repl., Live line, Concrete Caisson Fnd</t>
  </si>
  <si>
    <t>Structure, 345kV, H 3 Pole, Tangent, 80-99ft, New, Deenergized, Concrete Caisson Fnd</t>
  </si>
  <si>
    <t>Structure, 345kV, H 3 Pole, Tangent, 80-99ft, New, Deenergized, Direct Embedment Fnd</t>
  </si>
  <si>
    <t>Structure, 345kV, H 3 Pole, Tangent, 80-99ft, Repl., Live line, Concrete Caisson Fnd</t>
  </si>
  <si>
    <t>Structure, 345kV, H 3 Pole, Tangent, 80-99ft, Repl., Live line, Direct Embedment Fnd</t>
  </si>
  <si>
    <t>Structure, 115kV, Monopole</t>
  </si>
  <si>
    <t>Structure, 115kV, H frame</t>
  </si>
  <si>
    <t>Structure, 115kV, H 3 pole</t>
  </si>
  <si>
    <t>Structure, 345kV, H 3 Pole</t>
  </si>
  <si>
    <t>Structure, 345kV, H Frame</t>
  </si>
  <si>
    <t>Dead end</t>
  </si>
  <si>
    <t>Deeneergized</t>
  </si>
  <si>
    <t>Sample</t>
  </si>
  <si>
    <t>PMT</t>
  </si>
  <si>
    <t>\</t>
  </si>
  <si>
    <t>LF of matting</t>
  </si>
  <si>
    <t>Structure, 115kV, H frame, Dead End, 80-99ft, Repl., Deenergized, Direct Embedment Fnd</t>
  </si>
  <si>
    <t>Total  EA</t>
  </si>
  <si>
    <t>Total Ea</t>
  </si>
  <si>
    <t>Structure, 115kV, H frame, Running Angle, 80-99ft, Repl., Deenergized, Direct Embedment Fnd</t>
  </si>
  <si>
    <t>Structure, 115kV, H frame, Tangent, 80-99ft, Repl., Deenergized, Direct Embedment Fnd</t>
  </si>
  <si>
    <t>Running angles</t>
  </si>
  <si>
    <t>Tangents</t>
  </si>
  <si>
    <t>Dead Ends</t>
  </si>
  <si>
    <t>Structure, 345kV, H frame, Dead End, 80-99ft, Repl., Deenergized, Concrete Caisson Fnd</t>
  </si>
  <si>
    <t>Foundation assumptions</t>
  </si>
  <si>
    <t>RA</t>
  </si>
  <si>
    <t>DE</t>
  </si>
  <si>
    <t>CC</t>
  </si>
  <si>
    <t>Structure, 345kV, Monopole</t>
  </si>
  <si>
    <t>140+</t>
  </si>
  <si>
    <t>Structure, 345kV, Monopole, Tangent, 140+, Repl., Deenergized, Concrete Caisson Fnd</t>
  </si>
  <si>
    <t>Live linie</t>
  </si>
  <si>
    <t>Structure, 345kV, Monopole, Tangent, 120-139ft, Repl., Live linie, Concrete Caisson Fnd</t>
  </si>
  <si>
    <t>Structure, 345kV, Monopole, Tangent, 140+, Repl., Live linie, Concrete Caisson Fnd</t>
  </si>
  <si>
    <t>&lt;140'</t>
  </si>
  <si>
    <t>141'+</t>
  </si>
  <si>
    <t>115kV - Denergized - Tangent</t>
  </si>
  <si>
    <t>115kV - Denergized - Other</t>
  </si>
  <si>
    <t>115kV - Energized - Tangent</t>
  </si>
  <si>
    <t>115kV - Energized - Other</t>
  </si>
  <si>
    <t>345kV - Denergized - Tangent</t>
  </si>
  <si>
    <t>345kV - Denergized - Other</t>
  </si>
  <si>
    <t>345kV - Energized - Tangent</t>
  </si>
  <si>
    <t>345kV - Energized - other</t>
  </si>
  <si>
    <t>Assumed Timber pads , if gravel has to be  changed in backup on the OH Civil WS tab</t>
  </si>
  <si>
    <t>First enter the info on the Data input sheet, especially the company and type of work pull downs , Also make sure the start date and ISD are input there.</t>
  </si>
  <si>
    <t>Also make sure the scope is standard, not unsusal scope impacts like long matting runs, new roads, high siting or outreach, unusual conditions.</t>
  </si>
  <si>
    <t>Total Struct</t>
  </si>
  <si>
    <t>Insulators</t>
  </si>
  <si>
    <t>If additional LA's requested than just on the replaced structures,manual adjustments need to be made on the OH constr. tab plus work pads / access area on the OH Civil WS</t>
  </si>
  <si>
    <t>allowance for each on removals tab</t>
  </si>
  <si>
    <t>input of normal rate</t>
  </si>
  <si>
    <t>Foundation per default shown above.</t>
  </si>
  <si>
    <t>bassed on DE</t>
  </si>
  <si>
    <t>based on tangent</t>
  </si>
  <si>
    <t>bassed on DE/angle</t>
  </si>
  <si>
    <t>added for 25' of rungs on back</t>
  </si>
  <si>
    <t>poles</t>
  </si>
  <si>
    <t>Total LF of rungs</t>
  </si>
  <si>
    <t>spacing in feet</t>
  </si>
  <si>
    <t>Total length of poles from above</t>
  </si>
  <si>
    <t>deduct embbed length for DE foundation poles, assume 10'</t>
  </si>
  <si>
    <t>added mgmt review comments tab</t>
  </si>
  <si>
    <t>Added "simple" structure replacement tab and logic</t>
  </si>
  <si>
    <t>New tab &amp; OH constr. and OH civil tabs. Also affect direct summary, reisk, contingency</t>
  </si>
  <si>
    <t>Added ability to do simple structure replacements for standard projects, not ones with high access/matting costs.</t>
  </si>
  <si>
    <t>% required</t>
  </si>
  <si>
    <r>
      <t>Calculations speadsheet</t>
    </r>
    <r>
      <rPr>
        <sz val="12"/>
        <rFont val="Arial"/>
        <family val="2"/>
      </rPr>
      <t xml:space="preserve"> (free form space for making and documenting calculations supporting the estimate)</t>
    </r>
  </si>
  <si>
    <t>added free form calculation sheet</t>
  </si>
  <si>
    <t>Added and updated "Add-ins" Extract functions</t>
  </si>
  <si>
    <t>Fixed VBA integration</t>
  </si>
  <si>
    <t>Fixed Protect function to allow editing of Cover Scope and Assumptions text boxes</t>
  </si>
  <si>
    <t>All - VBA functions</t>
  </si>
  <si>
    <t>Cover &amp; Milestone</t>
  </si>
  <si>
    <t>Update all Dates to be in the dd/mm/yyyy format</t>
  </si>
  <si>
    <t>Cover, PP4</t>
  </si>
  <si>
    <t>Removed Links to external documents</t>
  </si>
  <si>
    <t>OH Civil,Parameters</t>
  </si>
  <si>
    <t>Added module w/ "Find External Links" code</t>
  </si>
  <si>
    <t>input</t>
  </si>
  <si>
    <t>factor</t>
  </si>
  <si>
    <t>Customer Name</t>
  </si>
  <si>
    <t>Project Address</t>
  </si>
  <si>
    <t xml:space="preserve">Instructions: </t>
  </si>
  <si>
    <t>Customer WO#</t>
  </si>
  <si>
    <t>Substation</t>
  </si>
  <si>
    <t>Direct costs</t>
  </si>
  <si>
    <t>Indirect Costs</t>
  </si>
  <si>
    <t>Payroll Benefits Allocation (ZE) incl NPT</t>
  </si>
  <si>
    <t>Gen SVC CO Overhead (ZF) incl NPT</t>
  </si>
  <si>
    <t>E&amp;S Allocations (ZI)</t>
  </si>
  <si>
    <t xml:space="preserve">Stores Expense Allocation (ZC) </t>
  </si>
  <si>
    <t>Lobby Stock</t>
  </si>
  <si>
    <t>MDEC</t>
  </si>
  <si>
    <t>Vehicles</t>
  </si>
  <si>
    <t>Total Indirect</t>
  </si>
  <si>
    <t>Total category</t>
  </si>
  <si>
    <t>Outside services</t>
  </si>
  <si>
    <t>Estimate - Summary</t>
  </si>
  <si>
    <t xml:space="preserve">COST ESTIMATE </t>
  </si>
  <si>
    <t xml:space="preserve">Material </t>
  </si>
  <si>
    <t>Check calc==&gt;</t>
  </si>
  <si>
    <t>Spreads</t>
  </si>
  <si>
    <t>Finals for DER customer summary tab</t>
  </si>
  <si>
    <t>Verify tax percent from Distribution engineering file and fill in cell B33 on output sheet</t>
  </si>
  <si>
    <t>Station work - description</t>
  </si>
  <si>
    <t>Line work - description</t>
  </si>
  <si>
    <t>Rounded numbers to use</t>
  </si>
  <si>
    <t>Tax Rate for DER estimates - Stations</t>
  </si>
  <si>
    <t>&lt;=== Rounding for the tax calc on the client form</t>
  </si>
  <si>
    <t>&lt;=== rounding for this table</t>
  </si>
  <si>
    <t>add in DER summary tabs</t>
  </si>
  <si>
    <t>new tabs</t>
  </si>
  <si>
    <t>Fill in substation scope on DER customer summary tab (Cell A8)</t>
  </si>
  <si>
    <t>Copy distribution engineering (Lines) input into cells A9 - D9 on DER customer summary tab</t>
  </si>
  <si>
    <t>Remaining numbers should automatically populate  - check the spreads calculation</t>
  </si>
  <si>
    <t>Internal Labor ( from PAF table)</t>
  </si>
  <si>
    <t>Contractor Labor ( from PAF table)</t>
  </si>
  <si>
    <t>Material ( from PAF table)</t>
  </si>
  <si>
    <t>Cont/Risk (from other category on PAF table)</t>
  </si>
  <si>
    <t>Revised the test calculation to use the correct test labor rate</t>
  </si>
  <si>
    <t>JN</t>
  </si>
  <si>
    <t>added potential for mob costs on the additional input sheet</t>
  </si>
  <si>
    <t>Qty should be each Insulator string, not sets of insulators per structure</t>
  </si>
  <si>
    <t>change HO rock and foundation to civil labor code from electrical code - adjusted the mhr unit rate to compensate so total is the same since the total unit price came from the contractors bids.</t>
  </si>
  <si>
    <t>OH tab</t>
  </si>
  <si>
    <t>removed additonal yellow hightlights on structure material pricing which was left over from a previous revision.</t>
  </si>
  <si>
    <t>If vendor pricing bid is used that includes mob/demob, remember to remove from here</t>
  </si>
  <si>
    <t>remove default mob/demob qty so it has to be turned on when needed</t>
  </si>
  <si>
    <t>additional input tab</t>
  </si>
  <si>
    <t>Indirect Rates</t>
  </si>
  <si>
    <t>Based on tracking analysis completed on 5/7/21</t>
  </si>
  <si>
    <t xml:space="preserve">Update some E&amp;S rates </t>
  </si>
  <si>
    <t xml:space="preserve">Revise Indirect Rate descriptions </t>
  </si>
  <si>
    <t>Revise to closely resemble Actual Template descriptions</t>
  </si>
  <si>
    <t>Detail Summary</t>
  </si>
  <si>
    <r>
      <t xml:space="preserve">   Non-Productive Time Allocation (</t>
    </r>
    <r>
      <rPr>
        <b/>
        <sz val="10"/>
        <rFont val="Arial"/>
        <family val="2"/>
      </rPr>
      <t>ZNP</t>
    </r>
    <r>
      <rPr>
        <sz val="10"/>
        <rFont val="Arial"/>
        <family val="2"/>
      </rPr>
      <t>)</t>
    </r>
  </si>
  <si>
    <r>
      <t xml:space="preserve">   Payroll Benefits Allocation (</t>
    </r>
    <r>
      <rPr>
        <b/>
        <sz val="10"/>
        <rFont val="Arial"/>
        <family val="2"/>
      </rPr>
      <t>ZPB</t>
    </r>
    <r>
      <rPr>
        <sz val="10"/>
        <rFont val="Arial"/>
        <family val="2"/>
      </rPr>
      <t>) incl NPT</t>
    </r>
  </si>
  <si>
    <r>
      <t xml:space="preserve">   E&amp;S Allocations (</t>
    </r>
    <r>
      <rPr>
        <b/>
        <sz val="10"/>
        <rFont val="Arial"/>
        <family val="2"/>
      </rPr>
      <t>ZEB,ZEL,ZES</t>
    </r>
    <r>
      <rPr>
        <sz val="10"/>
        <rFont val="Arial"/>
        <family val="2"/>
      </rPr>
      <t>)</t>
    </r>
  </si>
  <si>
    <r>
      <t xml:space="preserve">   AS&amp;E Allocations (</t>
    </r>
    <r>
      <rPr>
        <b/>
        <sz val="10"/>
        <rFont val="Arial"/>
        <family val="2"/>
      </rPr>
      <t>ZAS)</t>
    </r>
  </si>
  <si>
    <r>
      <t xml:space="preserve">   Stores Expense Allocation (</t>
    </r>
    <r>
      <rPr>
        <b/>
        <sz val="10"/>
        <rFont val="Arial"/>
        <family val="2"/>
      </rPr>
      <t>ZST</t>
    </r>
    <r>
      <rPr>
        <sz val="10"/>
        <rFont val="Arial"/>
        <family val="2"/>
      </rPr>
      <t xml:space="preserve">) </t>
    </r>
  </si>
  <si>
    <r>
      <t xml:space="preserve">   Gen SVC CO Overhead (</t>
    </r>
    <r>
      <rPr>
        <b/>
        <sz val="10"/>
        <rFont val="Arial"/>
        <family val="2"/>
      </rPr>
      <t>ZGS)</t>
    </r>
    <r>
      <rPr>
        <sz val="10"/>
        <rFont val="Arial"/>
        <family val="2"/>
      </rPr>
      <t xml:space="preserve"> incl NPT</t>
    </r>
  </si>
  <si>
    <t>Revise checklist to show siting and outreach choices from detail summary sheet</t>
  </si>
  <si>
    <t>checklists</t>
  </si>
  <si>
    <t>Revised NH property calc to divide by .5 instead of multiply by .5</t>
  </si>
  <si>
    <t>Input sheet</t>
  </si>
  <si>
    <r>
      <t xml:space="preserve">   MDEC (</t>
    </r>
    <r>
      <rPr>
        <b/>
        <sz val="10"/>
        <rFont val="Arial"/>
        <family val="2"/>
      </rPr>
      <t>ZMI</t>
    </r>
    <r>
      <rPr>
        <sz val="10"/>
        <rFont val="Arial"/>
        <family val="2"/>
      </rPr>
      <t>)</t>
    </r>
  </si>
  <si>
    <r>
      <t xml:space="preserve">   Vehicles (</t>
    </r>
    <r>
      <rPr>
        <b/>
        <sz val="10"/>
        <rFont val="Arial"/>
        <family val="2"/>
      </rPr>
      <t>ZVE</t>
    </r>
    <r>
      <rPr>
        <sz val="10"/>
        <rFont val="Arial"/>
        <family val="2"/>
      </rPr>
      <t>)</t>
    </r>
  </si>
  <si>
    <t>Fixed formulas in L11 and L13</t>
  </si>
  <si>
    <t>Adjust EMA E&amp;S rates</t>
  </si>
  <si>
    <t>1.65c</t>
  </si>
  <si>
    <t>1.65b</t>
  </si>
  <si>
    <t>skipped this letter version</t>
  </si>
  <si>
    <t>Total Qty</t>
  </si>
  <si>
    <t>Qty (UOM)</t>
  </si>
  <si>
    <t>1.65d</t>
  </si>
  <si>
    <t>OH Civil WS &amp; OH Constr.</t>
  </si>
  <si>
    <t>Work Pad Pricing Does NOT include Access Road adjacent to Work Pad, Must be priced separately.  Timber Work Pad calcs exclude</t>
  </si>
  <si>
    <t xml:space="preserve"> sq ft for structure area. </t>
  </si>
  <si>
    <t>Base Quantity</t>
  </si>
  <si>
    <t>Calculation area below - do not change</t>
  </si>
  <si>
    <t>30 day default mat rental.  1.5 matting layers default.  Default restoration, silt fence and geotextile costs included.  MODIFY ACCORDINGLY in each area input</t>
  </si>
  <si>
    <t>Eqv. Qty w/ layers&amp;shuffle factors</t>
  </si>
  <si>
    <t>Eqiv. SF</t>
  </si>
  <si>
    <t>Equivilent SF</t>
  </si>
  <si>
    <t>Road Construction - Improve - in existing ROW</t>
  </si>
  <si>
    <t>Road Construction - New - in existing ROW</t>
  </si>
  <si>
    <t>Cost per key qty (if appl)</t>
  </si>
  <si>
    <t>Timber WP USER CALCULATED - ( be careful if area SF or SF incl layers)</t>
  </si>
  <si>
    <t>Key qty's and UOM ( tie to inputs on est sheets)</t>
  </si>
  <si>
    <t>Added a key qty input on the cover sheet and incorporated that into a benchmark $/ key qty calc.</t>
  </si>
  <si>
    <t>cover sheet</t>
  </si>
  <si>
    <t>Add qty calcs for matting so it can be shown on OH tab - also added notes on the OH Civil WS to explain the calcs and basis better.</t>
  </si>
  <si>
    <t>Cable, UG  (3) 115kV 5000 kcmil XLPE Alum</t>
  </si>
  <si>
    <t>Cable, UG  (3) 115kV 5000 kcmil XLPE CU</t>
  </si>
  <si>
    <t>Cable, UG  (3) 115kV 3500 kcmil XLPE Alum</t>
  </si>
  <si>
    <t>Cable, UG  (3) 115kV 3500 kcmil XLPE CU</t>
  </si>
  <si>
    <t>Cable, UG, (3) 115 kV 1500 kcmil XLPE</t>
  </si>
  <si>
    <t>Cable, UG, (3) 345kV 3000 kcmil XLPE CU</t>
  </si>
  <si>
    <t>Cable, UG, (3) 345kV 3000 kcmil XLPE Alum</t>
  </si>
  <si>
    <t>Cable, UG, (3) 345kV 5000 kcmil XLPE CU</t>
  </si>
  <si>
    <t>Cable, UG, Splices 345kV</t>
  </si>
  <si>
    <t>Cable, UG, Terminations 345kV</t>
  </si>
  <si>
    <t>Cable, UG, Splices 115kV</t>
  </si>
  <si>
    <t>Cable, UG, Terminations 115kV</t>
  </si>
  <si>
    <t>Cable, UG, (3) 345kV 5000 kcmil XLPE Alum.</t>
  </si>
  <si>
    <t>Paving - Gravel Driveway - 30 ft. wide</t>
  </si>
  <si>
    <t>Paving - Asphalt Driveway - 30 ft. wide</t>
  </si>
  <si>
    <t>HDD - Horizontal Drilling (River Crossings)</t>
  </si>
  <si>
    <t>Paving - Pavement Restoration</t>
  </si>
  <si>
    <t>Foundation - 345kV Terminal Structure</t>
  </si>
  <si>
    <t>Foundation - 345kV Wavetrap</t>
  </si>
  <si>
    <t xml:space="preserve">Foundation - 345kV Series Reactor 3 Phase </t>
  </si>
  <si>
    <t xml:space="preserve">Foundation - 345kV Breaker </t>
  </si>
  <si>
    <t>Foundation - 345kV 3 Ph. Circuit Switcher</t>
  </si>
  <si>
    <t>Foundation - 345kV 50-100 MVAR Shunt React</t>
  </si>
  <si>
    <t>Foundation - 345kV 160 MVAR Shunt React (incl containment)</t>
  </si>
  <si>
    <t>Foundation - 345kV 1Ph. Cable Riser Stand</t>
  </si>
  <si>
    <t>Foundation - 345kV Surge Arrester Stand</t>
  </si>
  <si>
    <t>Foundation - 345kV Reactor Foundation</t>
  </si>
  <si>
    <t>Foundation - 115kV Terminal Structure</t>
  </si>
  <si>
    <t>Foundation - 115kV 3 Ph. Surge Arrestor Stand</t>
  </si>
  <si>
    <t>Foundation - 115kV 3 Ph. Cable Riser Stand</t>
  </si>
  <si>
    <t>Foundation - 115kV 3 Ph. Circuit Switcher</t>
  </si>
  <si>
    <t>Foundation - 115kV Series Reactor Single Phase</t>
  </si>
  <si>
    <t>Foundation - 115kV Series Reactor Three Phase</t>
  </si>
  <si>
    <t>Foundation - 115kV 80 MVAR Shunt React (incl containment)</t>
  </si>
  <si>
    <t>Foundation - 115kV 12.4 MVAR Cap Bank</t>
  </si>
  <si>
    <t>Foundation - 115kV 1200 A Wavetrap</t>
  </si>
  <si>
    <t>Foundation - 115kV 3 Phase CCVT Stand</t>
  </si>
  <si>
    <t>Foundation - 115kV 3 Phase LA &amp; CCVT Stand</t>
  </si>
  <si>
    <t>Foundation - 115kV Power PT Stand</t>
  </si>
  <si>
    <t>Foundation - 115kV/13.8kV 50 MVA 3 Phase Trans</t>
  </si>
  <si>
    <t>Foundation - 200 MVA Autotransformer (Single Phase)</t>
  </si>
  <si>
    <t>Foundation - 345kV - 450 MVA Autotransformer (Three Phase) Incl Containment</t>
  </si>
  <si>
    <t>Foundation - 25 MVA 3 Phase Transformer</t>
  </si>
  <si>
    <t xml:space="preserve">Foundation - Lightning Mast </t>
  </si>
  <si>
    <t>Foundation - Firewall / Sound Barrier</t>
  </si>
  <si>
    <t>Foundation - Oil Containment (600 MVA)</t>
  </si>
  <si>
    <t>Foundation - Oil Containment (450 MVA)</t>
  </si>
  <si>
    <t>Foundation - GIS Building Basement &amp; Found.</t>
  </si>
  <si>
    <t>Struct. Steel - 345kV Terminal Structure</t>
  </si>
  <si>
    <t>Struct. Steel -345kV GIS Bus Support</t>
  </si>
  <si>
    <t>Struct. Steel -345kV Wavetrap</t>
  </si>
  <si>
    <t>Struct. Steel -345kV 1Ph. Cable Riser Stand</t>
  </si>
  <si>
    <t>Struct. Steel -345kV 1 Ph. Surge Arrester Stand</t>
  </si>
  <si>
    <t>Struct. Steel -115kV Terminal Structure</t>
  </si>
  <si>
    <t>Struct. Steel -115kV 3 Ph. Surge Arrestor Stand</t>
  </si>
  <si>
    <t>Struct. Steel -115kV 1200 Amp Line  Trap</t>
  </si>
  <si>
    <t>Struct. Steel -115kV Series Reactor Single Phase</t>
  </si>
  <si>
    <t>Struct. Steel -115kV CCVT Stand (3 Phase)</t>
  </si>
  <si>
    <t>Struct. Steel -115kV 3 Phase LA &amp; CCVT Stand</t>
  </si>
  <si>
    <t>Struct. Steel -115kV 3 Ph. Cable Riser Stand</t>
  </si>
  <si>
    <t>Struct. Steel -115kV Power PT Stand</t>
  </si>
  <si>
    <t>Struct. Steel -Lightning Mast (55')</t>
  </si>
  <si>
    <t>Struct. Steel -Lightning Mast (100')</t>
  </si>
  <si>
    <t>Struct. Steel -23kV Terminal Structure</t>
  </si>
  <si>
    <t xml:space="preserve">Battery Charger - Hindle 25amp </t>
  </si>
  <si>
    <t xml:space="preserve">Battery Charger - Hindle 50amp </t>
  </si>
  <si>
    <t>Battery Charger - Hindle 75amp</t>
  </si>
  <si>
    <t xml:space="preserve">Battery Charger - Hindle 100amp </t>
  </si>
  <si>
    <t>Cable, UG, 4/0 copper, bare</t>
  </si>
  <si>
    <t>Grounding, Connector, Compression, Ground, L-Tap. 4/0 cable to 5/8" Rod</t>
  </si>
  <si>
    <t>Grounding, Ground Rods "5/8 X 8 FT</t>
  </si>
  <si>
    <t xml:space="preserve">Grounding, Connector, Compression, Ground, C-Tap. </t>
  </si>
  <si>
    <t>Grounding, 4/0-2 Hole Pads, compression</t>
  </si>
  <si>
    <t>Wiring, Yard</t>
  </si>
  <si>
    <t>Cable. Termination, 345kV Single Cable Termination</t>
  </si>
  <si>
    <t>Fencing,  Chain Link Fencing</t>
  </si>
  <si>
    <t>Fencing,  CIP fencing</t>
  </si>
  <si>
    <t>Fencing,  Gate, manual</t>
  </si>
  <si>
    <t>Fencing,  Gate, mtr operated</t>
  </si>
  <si>
    <t xml:space="preserve">Fencing,  Gate, intrusion </t>
  </si>
  <si>
    <t>Civil contractor</t>
  </si>
  <si>
    <t>Electrical contractor</t>
  </si>
  <si>
    <t>ES-CT</t>
  </si>
  <si>
    <t>ES- EMA</t>
  </si>
  <si>
    <t>ES-WMA</t>
  </si>
  <si>
    <t>ES-NH</t>
  </si>
  <si>
    <t>Eversource craft internal rate - CT</t>
  </si>
  <si>
    <t>Eversource craft internal rate - EMA</t>
  </si>
  <si>
    <t>Eversource craft internal rate - WMA</t>
  </si>
  <si>
    <t>Eversource craft internal rate - NH</t>
  </si>
  <si>
    <t>Revised input sheet wage rates from NU to ES-CT, ES-EMA,ES-WMA, and ES-NH to represent Eversource internal electrical crews by region.</t>
  </si>
  <si>
    <t>Update name to current Eversource (ES) terminology</t>
  </si>
  <si>
    <t xml:space="preserve">Enable easier benchmarking </t>
  </si>
  <si>
    <t>Easier checking of inputs / outputs of access/matting data</t>
  </si>
  <si>
    <t>Review comments</t>
  </si>
  <si>
    <t>To allow for delegation of review for things like vendor estimates assigned to a specific estimator to review in place of the the lead/mgr. review.</t>
  </si>
  <si>
    <t>Added delgation option to review comments of mgr's/ added a input box to the right for delegate to who</t>
  </si>
  <si>
    <t>updated all estimate detail tabs freeze areas</t>
  </si>
  <si>
    <t>See estimate review comments tab</t>
  </si>
  <si>
    <t>removed estimate approvals from closeout tab, this is now on the the review comments tab</t>
  </si>
  <si>
    <t>Estimate closeout / Review comments</t>
  </si>
  <si>
    <t>Input sheet and mulitiple sheets where that data flows.</t>
  </si>
  <si>
    <t>Project Number: T12345</t>
  </si>
  <si>
    <t>TOTAL w/ escal broken out</t>
  </si>
  <si>
    <t>Escal total</t>
  </si>
  <si>
    <t>Detail Summary Entry</t>
  </si>
  <si>
    <t>Check total</t>
  </si>
  <si>
    <t>Stores Allocation &amp; Lobby Stock</t>
  </si>
  <si>
    <t>added to stores calc below</t>
  </si>
  <si>
    <t>Alt Estimate Summary for PP4 Calc ( escalation separate)</t>
  </si>
  <si>
    <t>Addittion  Est Input Sheet</t>
  </si>
  <si>
    <t>adjust the input sheet to separate the estimate input from the same cell, basically split C6 into C6 for the title and D6 for the data</t>
  </si>
  <si>
    <t>Revised the PP4 Backup sheet to use data from the new WBS totals vs. the older Cover sheet (old) sheet</t>
  </si>
  <si>
    <t>Add in the MDEC and Lobby stock indirect dollars to the stores calc on the PP4 backup sheet</t>
  </si>
  <si>
    <t>PP4 est backup</t>
  </si>
  <si>
    <t>to make the latest combine estimate tool work better with the individual estimates</t>
  </si>
  <si>
    <t>Revise calculation to make the PP4 estimate totals correct even for D jobs.</t>
  </si>
  <si>
    <t>Remove link to an old summary so spreadsheet is more up to date.</t>
  </si>
  <si>
    <t>CM</t>
  </si>
  <si>
    <t>Indirect Rate</t>
  </si>
  <si>
    <t>Revised some Indirect Rates</t>
  </si>
  <si>
    <t>Based on Indirect Rate Tracking Analysis Review-9/8/21</t>
  </si>
  <si>
    <t>Apply contingency %'s to actuals (Y/N)</t>
  </si>
  <si>
    <t>Spreadsheet Notes</t>
  </si>
  <si>
    <t xml:space="preserve"> use mm/dd/yyyy format</t>
  </si>
  <si>
    <t>Dollars in Thousands</t>
  </si>
  <si>
    <t>Estimate revision #:</t>
  </si>
  <si>
    <t>Estimate done by:</t>
  </si>
  <si>
    <t>Estimate #:</t>
  </si>
  <si>
    <t>Start</t>
  </si>
  <si>
    <t>End</t>
  </si>
  <si>
    <t>Task Name</t>
  </si>
  <si>
    <t>Start Date</t>
  </si>
  <si>
    <t>End Date</t>
  </si>
  <si>
    <t>Approvals and Permits</t>
  </si>
  <si>
    <t>PP4 Estimate and Schedule</t>
  </si>
  <si>
    <t>added some range names to input items on the input tab to make the summary estimate tool work better</t>
  </si>
  <si>
    <t>Input tab</t>
  </si>
  <si>
    <t>Contains company proprietary and confidential information</t>
  </si>
  <si>
    <t>00</t>
  </si>
  <si>
    <t>x</t>
  </si>
  <si>
    <t>PAF WBS (Full)</t>
  </si>
  <si>
    <t>And on years</t>
  </si>
  <si>
    <t>note delta should be the escalation value</t>
  </si>
  <si>
    <t>Deltas to detail summary</t>
  </si>
  <si>
    <t>PP4 ( excludes reimbursables)</t>
  </si>
  <si>
    <t>WBS by year rollup #1 (w/o Escal)</t>
  </si>
  <si>
    <t>WBS by year  rollup #2</t>
  </si>
  <si>
    <t>revised full template to to to 2030 instead of 2026. This affect many of the tabs</t>
  </si>
  <si>
    <t>Input, escalation, indirects,afudc, detailed summary, PP4 summary, PAF tabels, etc.</t>
  </si>
  <si>
    <t>note a additional PAF table was added to show the full dietal but the org PAF table was modified to show all the years 2026 and out in that one column as this table is fixed in the actual PAF table from project solutions.</t>
  </si>
  <si>
    <t>revise the input for the PP4 schedule to be on the input sheet and the bars automatically update</t>
  </si>
  <si>
    <t>CH</t>
  </si>
  <si>
    <t>Input, PP4 schedule, PP4 tab</t>
  </si>
  <si>
    <t>Q1</t>
  </si>
  <si>
    <t>Q2</t>
  </si>
  <si>
    <t>Q3</t>
  </si>
  <si>
    <t>Q4</t>
  </si>
  <si>
    <t>In Service date (ISD):</t>
  </si>
  <si>
    <t>1.66b</t>
  </si>
  <si>
    <t>Based on Indirect Rate Tracking Update 9/21/21</t>
  </si>
  <si>
    <t>Revision for updates to Indirect Rates</t>
  </si>
  <si>
    <t>1.66a</t>
  </si>
  <si>
    <t>Fix formulas for survey engineering</t>
  </si>
  <si>
    <t>detail summary</t>
  </si>
  <si>
    <t>1.66c</t>
  </si>
  <si>
    <t>Add back in the escalation rates on the input sheet</t>
  </si>
  <si>
    <t>1.66e</t>
  </si>
  <si>
    <t>fix some isolated formulas on the T station tab</t>
  </si>
  <si>
    <t>Notes / Comments</t>
  </si>
  <si>
    <t>add notes filed to Contingency tab</t>
  </si>
  <si>
    <t>Substation Const tab</t>
  </si>
  <si>
    <t>Contingency tab</t>
  </si>
  <si>
    <t>recently added switch line items didn't have the constr. eqt calc correct</t>
  </si>
  <si>
    <t>Used existing column L and formatted it for comments</t>
  </si>
  <si>
    <t>Estimate Master Template Revision History</t>
  </si>
  <si>
    <t>SF6 345kV breaker evacuation and disposal.</t>
  </si>
  <si>
    <t>SF6 115kV breaker evacuation and disposal.</t>
  </si>
  <si>
    <t xml:space="preserve">Shipping and handling of SF6 equipment </t>
  </si>
  <si>
    <t>Per Dilo quote 3/12/2021 mob/de-mob included.</t>
  </si>
  <si>
    <t>Lines 394-396</t>
  </si>
  <si>
    <t>revised CT stores calc so it now applies per accounting change</t>
  </si>
  <si>
    <t>Builder All risk insurance excluding deductables( if project is over $50m)</t>
  </si>
  <si>
    <t>updated Indirect &amp; AFUDC rates based on Rev17 tracking</t>
  </si>
  <si>
    <t>Indirect Rate/AFUDC</t>
  </si>
  <si>
    <t>Indirect Rate Tracking - Rev17</t>
  </si>
  <si>
    <t>added a row for BAR in the detail summary tab</t>
  </si>
  <si>
    <t>Detail summary</t>
  </si>
  <si>
    <t>Consistant spot for including BAR costs when needed.</t>
  </si>
  <si>
    <t>added SF6 recovery info row to estimate detail</t>
  </si>
  <si>
    <t>EstimateID</t>
  </si>
  <si>
    <t>EstimateFileNumber</t>
  </si>
  <si>
    <t>txtProjectNumber</t>
  </si>
  <si>
    <t>txtWorkOrder</t>
  </si>
  <si>
    <t>txtTaskCode</t>
  </si>
  <si>
    <t>txtQPNumber</t>
  </si>
  <si>
    <t>txtProjectTitle</t>
  </si>
  <si>
    <t>cboEstimatingAction</t>
  </si>
  <si>
    <t>cboEstimatePurpose</t>
  </si>
  <si>
    <t>cboEstimateGrade</t>
  </si>
  <si>
    <t>EstimatePriority</t>
  </si>
  <si>
    <t>cboEstimateStatus</t>
  </si>
  <si>
    <t>txtStatusNotes</t>
  </si>
  <si>
    <t>DirectorsActionItemList</t>
  </si>
  <si>
    <t>dtRequestDate</t>
  </si>
  <si>
    <t>dtISD</t>
  </si>
  <si>
    <t>dtP6ISD</t>
  </si>
  <si>
    <t>dtPPISD</t>
  </si>
  <si>
    <t>dtRequestedCompletion</t>
  </si>
  <si>
    <t>dtScopingReceived</t>
  </si>
  <si>
    <t>dtEstimatedCompletion</t>
  </si>
  <si>
    <t>dtActualCompletion</t>
  </si>
  <si>
    <t>dtRenegotiatedCompletion</t>
  </si>
  <si>
    <t>dtTargetRev</t>
  </si>
  <si>
    <t>RequestByPerson</t>
  </si>
  <si>
    <t>cboRequestByPerson</t>
  </si>
  <si>
    <t>cboRequestByOrganization</t>
  </si>
  <si>
    <t>txtReqOrg</t>
  </si>
  <si>
    <t>cboProjectDesignPhase</t>
  </si>
  <si>
    <t>cboRegion</t>
  </si>
  <si>
    <t>cboBusinessUnit</t>
  </si>
  <si>
    <t>cboVoltageClass</t>
  </si>
  <si>
    <t>cboWorkType</t>
  </si>
  <si>
    <t>txtSLOther</t>
  </si>
  <si>
    <t>cboScopeCategory</t>
  </si>
  <si>
    <t>txtScopeDescription</t>
  </si>
  <si>
    <t>cboLeadEstimator</t>
  </si>
  <si>
    <t>cboSupportingEstimator</t>
  </si>
  <si>
    <t>txtPreviousEstimate</t>
  </si>
  <si>
    <t>txtNotes</t>
  </si>
  <si>
    <t>txtProjectDeliverablesFolder</t>
  </si>
  <si>
    <t>IsProgram</t>
  </si>
  <si>
    <t>IsRelease</t>
  </si>
  <si>
    <t>txtProgramEstimate</t>
  </si>
  <si>
    <t>cboElectConst</t>
  </si>
  <si>
    <t>cboCivilConst</t>
  </si>
  <si>
    <t>txtExecutePlnNotes</t>
  </si>
  <si>
    <t>cboSiting</t>
  </si>
  <si>
    <t>IsSiting</t>
  </si>
  <si>
    <t>txtSiting</t>
  </si>
  <si>
    <t>IsSCS</t>
  </si>
  <si>
    <t>cboSCS</t>
  </si>
  <si>
    <t>txtSCS</t>
  </si>
  <si>
    <t>InternalID</t>
  </si>
  <si>
    <t>cboEstimateFileType</t>
  </si>
  <si>
    <t>bDeleted</t>
  </si>
  <si>
    <t>bNeedReview</t>
  </si>
  <si>
    <t>bNeed2bProcessed</t>
  </si>
  <si>
    <t>bFinancialConstraints</t>
  </si>
  <si>
    <t>txtFinancialConstraint</t>
  </si>
  <si>
    <t>bConstructabilityReview</t>
  </si>
  <si>
    <t>bExternalCustomer</t>
  </si>
  <si>
    <t>txtExternalCustomer</t>
  </si>
  <si>
    <t>bProjectDeliverables</t>
  </si>
  <si>
    <t>txtCCEMails</t>
  </si>
  <si>
    <t>bMultipleEstimates</t>
  </si>
  <si>
    <t>MRequestID</t>
  </si>
  <si>
    <t>bEnvironmentalReceived</t>
  </si>
  <si>
    <t>EstimateFileLocation</t>
  </si>
  <si>
    <t>EstimateFolderLocation</t>
  </si>
  <si>
    <t>IntYear</t>
  </si>
  <si>
    <t>SequenceNum</t>
  </si>
  <si>
    <t>OptionNumber</t>
  </si>
  <si>
    <t>EstimateTotal</t>
  </si>
  <si>
    <t>Attachments</t>
  </si>
  <si>
    <t>bPriors</t>
  </si>
  <si>
    <t>PriorsWBS1</t>
  </si>
  <si>
    <t>PriorsWBS2</t>
  </si>
  <si>
    <t>PriorsWBS3</t>
  </si>
  <si>
    <t>PriorsWBS4</t>
  </si>
  <si>
    <t>PriorsWBS5</t>
  </si>
  <si>
    <t>PriorsWBS6</t>
  </si>
  <si>
    <t>PriorsWBS7</t>
  </si>
  <si>
    <t>PriorsWBS8</t>
  </si>
  <si>
    <t>PriorsWBS9</t>
  </si>
  <si>
    <t>PriorsWBS10</t>
  </si>
  <si>
    <t>PriorsWBS11</t>
  </si>
  <si>
    <t>PriorsWBS12</t>
  </si>
  <si>
    <t>PriorsWBS13</t>
  </si>
  <si>
    <t>PriorsWBS14</t>
  </si>
  <si>
    <t>PriorsWBS15</t>
  </si>
  <si>
    <t>PriorsWBS16</t>
  </si>
  <si>
    <t>WBS1</t>
  </si>
  <si>
    <t>WBS2</t>
  </si>
  <si>
    <t>WBS3</t>
  </si>
  <si>
    <t>WBS4</t>
  </si>
  <si>
    <t>WBS5</t>
  </si>
  <si>
    <t>WBS6</t>
  </si>
  <si>
    <t>WBS7</t>
  </si>
  <si>
    <t>WBS8</t>
  </si>
  <si>
    <t>WBS9</t>
  </si>
  <si>
    <t>WBS10</t>
  </si>
  <si>
    <t>WBS11</t>
  </si>
  <si>
    <t>WBS12</t>
  </si>
  <si>
    <t>WBS13</t>
  </si>
  <si>
    <t>WBS14</t>
  </si>
  <si>
    <t>WBS15</t>
  </si>
  <si>
    <t>WBS16</t>
  </si>
  <si>
    <t>ActualsTotal</t>
  </si>
  <si>
    <t>ActualsWBS1</t>
  </si>
  <si>
    <t>ActualsWBS2</t>
  </si>
  <si>
    <t>ActualsWBS3</t>
  </si>
  <si>
    <t>ActualsWBS4</t>
  </si>
  <si>
    <t>ActualsWBS5</t>
  </si>
  <si>
    <t>ActualsWBS6</t>
  </si>
  <si>
    <t>ActualsWBS7</t>
  </si>
  <si>
    <t>ActualsWBS8</t>
  </si>
  <si>
    <t>ActualsWBS9</t>
  </si>
  <si>
    <t>ActualsWBS10</t>
  </si>
  <si>
    <t>ActualsWBS11</t>
  </si>
  <si>
    <t>ActualsWBS12</t>
  </si>
  <si>
    <t>ActualsWBS13</t>
  </si>
  <si>
    <t>ActualsWBS14</t>
  </si>
  <si>
    <t>ActualsWBS15</t>
  </si>
  <si>
    <t>ActualsWBS16</t>
  </si>
  <si>
    <t>RRequestorID</t>
  </si>
  <si>
    <t>RSMTPAddress</t>
  </si>
  <si>
    <t>Estimate to be Imported:</t>
  </si>
  <si>
    <t xml:space="preserve">Estimator can input data from new request database </t>
  </si>
  <si>
    <t>Added RequestDetails sheet - added Update button to data input sheet</t>
  </si>
  <si>
    <t>txtP6Status</t>
  </si>
  <si>
    <t>Make template for 2022 
   Adjust labor rates on input sheet
   Adust time scale on input sheet
   Adjust time on PP4 input sheet
   Adjust steel, copper, and alum material pricing on detail sheets.</t>
  </si>
  <si>
    <t>Input sheet / detail sheets</t>
  </si>
  <si>
    <t>revise detail summary to directly get the individual rates from the input sheet for all items not coming from the detail sheets or siting/outreach/enviromental sheets</t>
  </si>
  <si>
    <t>CT</t>
  </si>
  <si>
    <t xml:space="preserve">NH </t>
  </si>
  <si>
    <t>EMA</t>
  </si>
  <si>
    <t>Avg Rate</t>
  </si>
  <si>
    <t>Electrical</t>
  </si>
  <si>
    <t>General</t>
  </si>
  <si>
    <t>SCADA/Automation</t>
  </si>
  <si>
    <t>Telecom</t>
  </si>
  <si>
    <t>Constr Reps</t>
  </si>
  <si>
    <t>Support Switching&amp;Tagging</t>
  </si>
  <si>
    <t xml:space="preserve">Substation Engineering/Design </t>
  </si>
  <si>
    <t>Project Management(PM)</t>
  </si>
  <si>
    <t>Project Planning/Cost(IP)</t>
  </si>
  <si>
    <t>SCS</t>
  </si>
  <si>
    <t>Siting</t>
  </si>
  <si>
    <t>Asset Mangement</t>
  </si>
  <si>
    <t>Other - Community Relations/Govermental + Legislative Affairs</t>
  </si>
  <si>
    <t xml:space="preserve">Test / Field Engr. </t>
  </si>
  <si>
    <t xml:space="preserve">Lead Commissioning Engr. (LCE) </t>
  </si>
  <si>
    <t>Eversource CSTXX-CONSTRUCTION</t>
  </si>
  <si>
    <t>Eversource ENRXX-TG ENGINEERING/DESIGN</t>
  </si>
  <si>
    <t>Eversource LNDXX-TG LAND</t>
  </si>
  <si>
    <t>Eversource PSMXX-PROJECT MANAGER &amp; SUPPORT</t>
  </si>
  <si>
    <t>EversourceTSTXX-TG TEST</t>
  </si>
  <si>
    <t>use average rate</t>
  </si>
  <si>
    <t>Use input rate</t>
  </si>
  <si>
    <t>WMA</t>
  </si>
  <si>
    <t>use electrical rate + 10%</t>
  </si>
  <si>
    <t>USE based on region (uses ave if region rate is 0)</t>
  </si>
  <si>
    <t>rate to escalate rates</t>
  </si>
  <si>
    <t>Filter</t>
  </si>
  <si>
    <t>Estimate to be used externally?</t>
  </si>
  <si>
    <t xml:space="preserve">If used externally select External Range ==&gt; </t>
  </si>
  <si>
    <t>2021 template price</t>
  </si>
  <si>
    <t>2021 template pricing</t>
  </si>
  <si>
    <t>adjusted the structure pricing up by 25%, some other steel related items on the OH sheet also</t>
  </si>
  <si>
    <t>Internal estimate type - Enter from pull down list ==&gt;</t>
  </si>
  <si>
    <t>1.07a</t>
  </si>
  <si>
    <t>added the extermal estimate category to the input sheet and the cover sheet.</t>
  </si>
  <si>
    <t>Visual line balls</t>
  </si>
  <si>
    <t>FAA lighting</t>
  </si>
  <si>
    <t>each ball installation</t>
  </si>
  <si>
    <t>each structure being lit</t>
  </si>
  <si>
    <t>Includes rebar cage</t>
  </si>
  <si>
    <t>Foundation Installation -Concrete Caisson 8' Dia x 20'</t>
  </si>
  <si>
    <t>Foundation Installation -Concrete Caisson 8' Dia x 30'</t>
  </si>
  <si>
    <t>1.70b</t>
  </si>
  <si>
    <t>adjust unit rates for OH structure foundations</t>
  </si>
  <si>
    <t>add line for FAA lighting and visual balls</t>
  </si>
  <si>
    <t>added soil boriings to OH and Station tabs</t>
  </si>
  <si>
    <t>Soil Borings</t>
  </si>
  <si>
    <t>Cost of aprox. ^6.5k/ plus 10k mob spread</t>
  </si>
  <si>
    <t>Rental Fees = Sq Ft x Days x Rate.  Based on a $1.20 per day per 1 layer of 4' x 16' mat rental rate</t>
  </si>
  <si>
    <t>SF x Depth x days</t>
  </si>
  <si>
    <t>revised Indirect rates for IP predicited rates</t>
  </si>
  <si>
    <t>Cable testing - field by vendor</t>
  </si>
  <si>
    <t>Cable installation vendor mob/demob</t>
  </si>
  <si>
    <t>Riser cable clamps</t>
  </si>
  <si>
    <t>Misc hardware required( bonding, racking/arrester/etc)</t>
  </si>
  <si>
    <t>Riser/Termination  Structure - steel Station</t>
  </si>
  <si>
    <t>Riser/Termination  Structure - UG to OH transition</t>
  </si>
  <si>
    <t>Switch, Motor Operated (MOD), 69kV, 2,000A</t>
  </si>
  <si>
    <t>Switch, Motor Operated (MOD), 69kV, 3,000A</t>
  </si>
  <si>
    <t>Switch, Motor Operated (MOD), 69kV, 4,000A</t>
  </si>
  <si>
    <t>Switch, Ground, 69kV</t>
  </si>
  <si>
    <t>Foundation, 23 KV Bus Support</t>
  </si>
  <si>
    <t>Foundation, 23 KV Open Bus Structure-20 ft Bay</t>
  </si>
  <si>
    <t xml:space="preserve">Foundation, 23 KV Outdoor C.B. </t>
  </si>
  <si>
    <t>Foundation, 23 KV Reactor Stand</t>
  </si>
  <si>
    <t>Foundation, 15 KV Bus Support</t>
  </si>
  <si>
    <t>Foundation, 15 KV Open Bus Structure - 20 ft Bay</t>
  </si>
  <si>
    <t xml:space="preserve">Foundation,15 KV Outdoor C.B. </t>
  </si>
  <si>
    <t>Foundation,15 KV Reactor Stand</t>
  </si>
  <si>
    <t>Foundation,15 KV Switchgear PCE</t>
  </si>
  <si>
    <t>Foundation, 450 MVA Autotransformer (Three Phase)</t>
  </si>
  <si>
    <t>Foundation, 200 MVA Autotransformer (Single Phase/auto)</t>
  </si>
  <si>
    <t>Foundation, 35 KV Switchgear PCE</t>
  </si>
  <si>
    <t>Foundation, 62.5 MVA Transformer Foundation</t>
  </si>
  <si>
    <t>Foundation, 25 MVA 3 Phase Transformer</t>
  </si>
  <si>
    <t>Foundation, 12 MVA Transformer</t>
  </si>
  <si>
    <t>Foundation, 5 MVA Transformer</t>
  </si>
  <si>
    <t>Foundation, Control Building (2,000 SF)</t>
  </si>
  <si>
    <t>Foundation, Firewall / Sound Barrier</t>
  </si>
  <si>
    <t>Foundation, GIS Building Basement &amp; Found.</t>
  </si>
  <si>
    <t xml:space="preserve">Foundation, Lightning Mast </t>
  </si>
  <si>
    <t>Foundation Transformer, Oil Containment (450 MVA)</t>
  </si>
  <si>
    <t>Foundaton, Transfomer, Oil Containment (600 MVA)</t>
  </si>
  <si>
    <t>Foundation, Relay &amp; Control Foundation 24' x 120'</t>
  </si>
  <si>
    <t>Foundation, Relay &amp; Control Foundation 24' x 80'</t>
  </si>
  <si>
    <t>Foundation, Xfmr Sump (Liner, Imbiber bead sys, concrt chamber)</t>
  </si>
  <si>
    <t>S.S., Lightning Mast (55')</t>
  </si>
  <si>
    <t>S.S., 23 KV Open Bus Structure-20 ft Bay</t>
  </si>
  <si>
    <t>S.S., 23 KV Bus Support</t>
  </si>
  <si>
    <t>S.S., 23 KV Reactor Stand</t>
  </si>
  <si>
    <t xml:space="preserve">S.S., 23 KV Outdoor C.B. </t>
  </si>
  <si>
    <t>S.S., 15 KV Open Bus Structure - 20 ft Bay</t>
  </si>
  <si>
    <t>S.S., 15 KV Bus Support</t>
  </si>
  <si>
    <t>S.S., 15 KV Reactor Stand</t>
  </si>
  <si>
    <t xml:space="preserve">S.S., 15 KV Outdoor C.B. </t>
  </si>
  <si>
    <t>Cable, 115KV EPR Cable</t>
  </si>
  <si>
    <t>Cable, 115kV EPR Cable Termination</t>
  </si>
  <si>
    <t>Cable, 345kV XLPE Cable</t>
  </si>
  <si>
    <t>Cable, 345kV XLPE Cable Termination</t>
  </si>
  <si>
    <t>Cable, Control, 7/c #12</t>
  </si>
  <si>
    <t>Cable, Control, 12/c #12</t>
  </si>
  <si>
    <t>Cable, Control, 3/c #8</t>
  </si>
  <si>
    <t>Switch, Disconnect, 34.5kV, 2,000 amp (includes Insulators and Manual Operating Mechanism)</t>
  </si>
  <si>
    <t>Switch, Disconnect, 34.5kV, 1600 amp, 70KA (includes Insulators and Manual Operating Mechanism)</t>
  </si>
  <si>
    <t>Switch, Disconnect, 34.5kV, 1200 amp (includes Insulators and Manual Operating Mechanism)</t>
  </si>
  <si>
    <t>Switch, Disconnect, 34.5kV, 600 amp (includes Insulators and Manual Operating Mechanism)</t>
  </si>
  <si>
    <t>Switch, Disconnect, 34.5kV, 600 amp, ALDUTI-RUPTER; 200 KV BIL</t>
  </si>
  <si>
    <t>Switch, Disconnect, 23kV, 3 pole/single throw, 2,000 amp (includes Insulators and Manual Operating Mechanism)</t>
  </si>
  <si>
    <t>Switch, Disconnect, 23kV, 3 pole/single throw, 1200 amp (includes Insulators and Manual Operating Mechanism)</t>
  </si>
  <si>
    <t>Switch, Disconnect, 23kV, 3 pole/single throw, 600 amp (includes Insulators and Manual Operating Mechanism)</t>
  </si>
  <si>
    <t>Switch, Disconnect, 14.4kV, 3 pole/single throw, 2,000 amp (includes Insulators and Manual Operating Mechanism)</t>
  </si>
  <si>
    <t>Switch, Disconnect, 14.4kV, 3 pole/single throw, 1200 amp (includes Insulators and Manual Operating Mechanism)</t>
  </si>
  <si>
    <t>Switch, Disconnect, 14.4kV, 3 pole/single throw, 600 amp (includes Insulators and Manual Operating Mechanism)</t>
  </si>
  <si>
    <t>Includes bolts, etc.</t>
  </si>
  <si>
    <t>includes concrete, rebar, formwork, anchor bolts, etc.</t>
  </si>
  <si>
    <t>Based on 2020 RSMeans price of aprox. $2,900/tn escalated per Eversource indices</t>
  </si>
  <si>
    <t>Medium weight steel</t>
  </si>
  <si>
    <t>Input qty below</t>
  </si>
  <si>
    <t>Updated automated sheet protection to allow filtering and Grouping/Ungrouping</t>
  </si>
  <si>
    <t>All</t>
  </si>
  <si>
    <t>Estimator was locked out from filtering or grouping cells when sheets were protected</t>
  </si>
  <si>
    <t>Remove By</t>
  </si>
  <si>
    <t>changed SS Constr. and SS_D tabs concrete and SS to qty based estimating</t>
  </si>
  <si>
    <t>adjusted 2_2022 for updated pricing levels</t>
  </si>
  <si>
    <t>Not used for estimates</t>
  </si>
  <si>
    <t>updated OH cable pricing for latest bid costs, also counterpoise</t>
  </si>
  <si>
    <t>move contractor mat'l to mat'l</t>
  </si>
  <si>
    <t>revise pp4 sheet so show contractor material in the ISO material category</t>
  </si>
  <si>
    <t>Cover / PP4 sheet</t>
  </si>
  <si>
    <t>added two new sets of columns on the delta sheet</t>
  </si>
  <si>
    <t>EPAC notes</t>
  </si>
  <si>
    <t>Project unit costs</t>
  </si>
  <si>
    <t>Cost drivers</t>
  </si>
  <si>
    <t>add EPAC notes section to the review comments tab</t>
  </si>
  <si>
    <t>review comments</t>
  </si>
  <si>
    <t>1.70c</t>
  </si>
  <si>
    <t>???</t>
  </si>
  <si>
    <t>Paving input</t>
  </si>
  <si>
    <t>PG</t>
  </si>
  <si>
    <t>Substation and D Station updates</t>
  </si>
  <si>
    <t>BR#2 &amp;</t>
  </si>
  <si>
    <t>JET / GB</t>
  </si>
  <si>
    <t xml:space="preserve">mat'l based on 3_20202 pricing, others scaled up </t>
  </si>
  <si>
    <t>adjusted 3_2022 for updated pricing levels</t>
  </si>
  <si>
    <t>AG conductor pricing increase and adding dbl circuit option.</t>
  </si>
  <si>
    <t>Conductor - ACSS 1590 kcml ( sng. Conductor per phase) (Falcon)</t>
  </si>
  <si>
    <t>Conductor - ACSS 1590 kcml ( dbl. Conductor per phase) (Falcon)</t>
  </si>
  <si>
    <t>Conductor - ACSS 795 kcml ( sng. Conductor per phase)</t>
  </si>
  <si>
    <t>Conductor - ACSS 954 kcml ( sng. Conductor per phase)</t>
  </si>
  <si>
    <t>Conductor - ASCS 1272 kcml ( sng. Conductor per phase)</t>
  </si>
  <si>
    <t>Conductor - ACSS 2156 kcml ( sng. Conductor per phase)</t>
  </si>
  <si>
    <t>Conductor - ASCS 1272 kcml ( dbl. Conductor per phase)</t>
  </si>
  <si>
    <t>mat'l based on 3_20202 pricing, others scaled up ($6.99/lf p, plus 5% for loss, 3% for spaces = $7.55/lf)</t>
  </si>
  <si>
    <t>Change AFUDC Switches to locked and White Background</t>
  </si>
  <si>
    <t>Data Input Tab</t>
  </si>
  <si>
    <t>Note only risks 1 thru 7 appear on the cover sheet, if you have more risk items you have to expand the cover sheet.</t>
  </si>
  <si>
    <t>Sample risk items below:</t>
  </si>
  <si>
    <t>Design development to IFC</t>
  </si>
  <si>
    <t>Asbestos Relay Panel and or Existing Control Room Removal</t>
  </si>
  <si>
    <t>Contaminated Soils from Existing Equipment</t>
  </si>
  <si>
    <t>Contaminated Foundations from Existing Equipment</t>
  </si>
  <si>
    <t>Outage Constraints which cause project delays</t>
  </si>
  <si>
    <t>Over Time due to Project Acceleration</t>
  </si>
  <si>
    <t>Overtime due to Outage Durations</t>
  </si>
  <si>
    <t>Contractor being able to provide a local work force/ project may require Per Diems</t>
  </si>
  <si>
    <t>Unsuitable Soil Conditions</t>
  </si>
  <si>
    <t>High Table which would require additional Pumping/Storage measures</t>
  </si>
  <si>
    <t>Sub-Contractor resources unavailable/not up to required qualifications</t>
  </si>
  <si>
    <t>Outage issues generated by the Contractor</t>
  </si>
  <si>
    <t>Outage issues generated by Owner pulling an approved outage</t>
  </si>
  <si>
    <t>Unforeseen permits are required</t>
  </si>
  <si>
    <t>Article VII Permitting - development</t>
  </si>
  <si>
    <t>Article VII Permitting - Filing and Approval from PSC</t>
  </si>
  <si>
    <t>Article VII Permitting - construction</t>
  </si>
  <si>
    <t>Article VII permit conditions</t>
  </si>
  <si>
    <t>All required permits besides Art. VII and occupancy</t>
  </si>
  <si>
    <t>Occupancy permits</t>
  </si>
  <si>
    <t>Delay in material delivery</t>
  </si>
  <si>
    <t>Theft/vandalism (security)</t>
  </si>
  <si>
    <t>If additional forestry work is required after EDC</t>
  </si>
  <si>
    <t>If new scope is added (by NG/municipality/other stakeholders)</t>
  </si>
  <si>
    <t>Contamination discovery/identification</t>
  </si>
  <si>
    <t>Contamination handling/disposal</t>
  </si>
  <si>
    <t>Archaeologically sensitive items uncovered discovery/identification</t>
  </si>
  <si>
    <t>Archaeologically sensitive items uncovered handling</t>
  </si>
  <si>
    <t>Ability to get access, temporary or permanent</t>
  </si>
  <si>
    <t>Damage done to land owner's property, fences, crops, livestock, roads, etc.</t>
  </si>
  <si>
    <t>Material commodity escalation</t>
  </si>
  <si>
    <t>Unknown UG utilities/conflicts</t>
  </si>
  <si>
    <t>Identifying in a timely manner distribution conflicts when rebuilding a Transmission-Line</t>
  </si>
  <si>
    <t>Resolving distribution conflicts Identified by contractor</t>
  </si>
  <si>
    <t>Rock Removal</t>
  </si>
  <si>
    <t>Matting - Access Issues or additional is Required</t>
  </si>
  <si>
    <t>Outage coordination issues with other projects (Coordination) generated by the Contractor</t>
  </si>
  <si>
    <t>Unknown ongoing designs that is not part of what was provided to the Contractor in the RFP</t>
  </si>
  <si>
    <t>Labor resourcing</t>
  </si>
  <si>
    <t>Expanded risk rows on cover sheet to 7ea, rows in risk table to 15 each, also added sample risk items below the table.</t>
  </si>
  <si>
    <t>Cover / Risk sheet</t>
  </si>
  <si>
    <t>input from contractor</t>
  </si>
  <si>
    <t>Updated the scope codes on T-station sheet, fixed formulas for sum code on that sheet and the sum code tab</t>
  </si>
  <si>
    <t>Summary Scope / Substation constr.</t>
  </si>
  <si>
    <t>Revised the cover sheet accuracy range to reflect the external catergory of estimate, not the range based on the internal category of estimate</t>
  </si>
  <si>
    <t>JET/CH</t>
  </si>
  <si>
    <t>Cover Sheet / Input sheet</t>
  </si>
  <si>
    <t>40-49</t>
  </si>
  <si>
    <t>50-59</t>
  </si>
  <si>
    <t>60-69</t>
  </si>
  <si>
    <t>70-79</t>
  </si>
  <si>
    <t>80-89</t>
  </si>
  <si>
    <t>Review comments tab</t>
  </si>
  <si>
    <t>updated the cell protection for the EPAC input area of the review comments tab to allow input</t>
  </si>
  <si>
    <t>Structure, 345kV, H 3 Pole, Tangent, 80-99ft, Repl., Deenergized, Direct Embedment Fnd</t>
  </si>
  <si>
    <t>345kV Horizontal 80-99ft Tangent Pole w/Direct Embed Foundation - Deenergized Replacement</t>
  </si>
  <si>
    <t>Structure, 345kV, H frame, Tangent, 80-99ft, Repl., Deenergized, Direct Embedment Fnd</t>
  </si>
  <si>
    <t>5 man crew, 5.5 days, 10 hour days.  Equipment includes crane, manlifts and misc. vehicles.
Per procurement 04/13/2022</t>
  </si>
  <si>
    <t>5 man crew, 7 days, 10 hour days.   Test  hours (carry in Detail Summary) 2 man crew should be same crew days as construction to defeat existing protection, isolate motor operator and wire check and test new motor operator.  Equipment includes crane, manlifts and misc. vehicles.
Per procurement 04/13/2022</t>
  </si>
  <si>
    <t>5 man crew, 7 days, 10 hour days.   Test  hours (carry in Detail Summary) 2 man crew should be same crew days as construction to  defeat existing protection, isolate motor operator and wire check and test new motor operator.  Equipment includes crane, manlifts and misc. vehicles.
Per procurement 04/13/2022</t>
  </si>
  <si>
    <t>5 man crew, 2.5 days, 10 hour days.  Equipment includes crane, manlifts and misc. vehicles.
Per procurement 05/06/2020</t>
  </si>
  <si>
    <t>Between $4.0-4.2M Per procurement 04/13/2022</t>
  </si>
  <si>
    <t>Circuit Breaker, 345kV, 4000a, 63 kA, 3ph (SF6)</t>
  </si>
  <si>
    <t>5 man crew, 7 - 10 hour days.   Test  hours (carry in Detail Summary) 2 man crew should be same crew days as construction to defeat existing protection, isolate motor operator and wire check and test new motor operator.  Equipment includes crane, manlifts and misc. vehicles.
Pricing from procurement 6/29/2019 study for eqt. standardization</t>
  </si>
  <si>
    <t>5 man crew, 10 days, 10 hour days.  Figure (3) conduits per breaker (2000 or 3000amp).  Test  hours (Detail Summary) 2 man crew should be same crew days as construction to defeat existing protection and isolate and /or wire check and test new circuit breaker.  Equipment includes crane, manlifts and misc. vehicles.
Material- Per procurement 4/13/2022</t>
  </si>
  <si>
    <t>5 man crew, 2 days,10 hour days. Test hours (detail summary) 2 man crew should be 80% of construction hrs. (wire check and high-pot/Doble).</t>
  </si>
  <si>
    <t>5 man crew, 4 days, 10 hour days.  Equipment includes crane, manlifts and misc. vehicles.
Per procurement 04/13/2022</t>
  </si>
  <si>
    <t>Switch, Manual Disconnect 115kV, 4,000A</t>
  </si>
  <si>
    <t>5-man crew, 6 days, 10 hour days.  Test hours (Detail Summary) 2 man crew should be same crew days as construction to defeat existing protection and isolate and /or wire check and test new circuit breaker.  Equipment includes crane, manlifts and misc. vehicles.
Per procurement 04/13/2022</t>
  </si>
  <si>
    <t>5 man crew, 6 days, 10 hour days.  Test  hours (Detail Summary) 2 man crew should be same crew days as construction to defeat existing protection and isolate and /or  wire check and test new circuit breaker.  Equipment includes crane, manlifts and misc. vehicles.
Per procurement 04/13/2022</t>
  </si>
  <si>
    <t>Switch, Motor Operated (MOD) 115kV, 4,000A</t>
  </si>
  <si>
    <t>Based on 4 man crew.  Equipment includes crane, manlifts and misc. vehicles.
Per procurement 04/13/2022</t>
  </si>
  <si>
    <t>4 man crew 10 hour days. Test hours (Detail Summary) 2 man crew should be same crew days as construction to defeat existing protection and isolate and /or wire check and test new circuit breaker.  
Per procurement 04/13/2022</t>
  </si>
  <si>
    <t>4 man crew 10 hour days. Test hours (Detail Summary) 2 man crew should be same crew days as construction to defeat existing protection and isolate and /or wire check and test new circuit breaker.   
Per procurement 04/13/2022</t>
  </si>
  <si>
    <t>4 man crew 10 hour days. Test hours (Detail Summary) 2 man crew should be same crew days as construction to defeat existing protection and isolate and /or wire check and test new circuit breaker.  
Need material pricing input</t>
  </si>
  <si>
    <t>4 man crew 10 hour days. Test hours (Detail Summary) 2 man crew should be same crew days as construction to defeat existing protection and isolate and /or wire check and test new circuit breaker.  
See database details</t>
  </si>
  <si>
    <t>5-man crew, 11 days, 10-hour days. Test hours (Detail Summary) 2 man crew should be same crew days as construction to defeat existing protection and isolate and /or wire check and test new circuit breaker.  Equipment includes crane, manlifts and misc. vehicles.
See database details</t>
  </si>
  <si>
    <t>Figure (3) conduits per switcher.  5-man crew, 6 crew days, 10-hour days. Test hours (Detail Summary) 2 man crew should be same crew days as construction to defeat existing protection and isolate and /or wire check and test new circuit breaker.  Equipment includes crane, manlifts and misc. vehicles.
Material-Per procurement 4/13/2022</t>
  </si>
  <si>
    <t>3 man crew, 1 day, 10 hour days
Statcom cost was 1372 for 15kV</t>
  </si>
  <si>
    <t>3  reactors mtd to 1 structure &amp; found (Cap Banks)
Statcom 18k for 1200A Norwalk 40k for 1000A</t>
  </si>
  <si>
    <t>Figure 1 conduit per cap bank for pot xfmr.  4-man crew, 5 days 10 hour days. Equipment includes crane, manlifts and misc. vehicles.</t>
  </si>
  <si>
    <t>Figure (3) conduits per switcher.  5-man crew, 6 crew days, 10-hour days. Test hours (Detail Summary) 2 man crew should be same crew days as construction to defeat existing protection and isolate and /or wire check and test new circuit breaker.  Equipment includes crane, manlifts and misc. vehicles.</t>
  </si>
  <si>
    <t>5-man crew, 10-hour days.   Includes kirk interlock assembly.  Increase construction equipment costs for boom truck/crane or vender and man lift as needed.  Test hours should be same as construction time to defeat existing protection and isolate motor operator and wire check and test new motor operator.
Per procurement 04/13/2022</t>
  </si>
  <si>
    <t>Increase construction equipment costs for manlift rental.
Per procurement 04/13/2022</t>
  </si>
  <si>
    <t>Includes kirk key adapter. 4 man crew 10 hour days.  Const. equipment increased for crane and lift rentals.
Per procurement 04/13/2022</t>
  </si>
  <si>
    <t>4 man crew 10 hour days.  Const. equipment increased for crane and lift rentals.
Per procurement 04/13/2022</t>
  </si>
  <si>
    <t>Equipment cost for manlift rental.
Per procurement 04/13/2022</t>
  </si>
  <si>
    <t>Equipment cost for manlift rental.
Per procurement 05/06/2020</t>
  </si>
  <si>
    <t>115kV vacuum interrupter</t>
  </si>
  <si>
    <t>Per phase.   Increase construction equipment costs for manlift
Per procurement 04/13/2022</t>
  </si>
  <si>
    <t>Transformer, 72 MVA 115/69kV</t>
  </si>
  <si>
    <t>three phase autotransformer 
Bill Perez $</t>
  </si>
  <si>
    <t>Equipment cost for manlift, all terrain fork truck, and boom truck rental.</t>
  </si>
  <si>
    <t>Draw Lead Single Bushing 115kV</t>
  </si>
  <si>
    <t>4 man crew
Material price is for a crane rental.</t>
  </si>
  <si>
    <t>NECA 2020: 24" wide, 6" deep, 6" rung spacing includes labor for mounting tray. 2 man crew.  Power factor reduced for gained efficiencies.</t>
  </si>
  <si>
    <t>SEL-411 Line Package</t>
  </si>
  <si>
    <t>Hours include removals will need to back out the removal hours. Typically (2) relays required, primary and backup per line package. Test hours per single relay 400 to be reflected on Detail Summary tab.  If multiple relays required for project reduce hours due to efficacies gained through repetition and pre wiring.</t>
  </si>
  <si>
    <t>SEL-421 Line Package</t>
  </si>
  <si>
    <t>SEL-311 Line Package</t>
  </si>
  <si>
    <t>Hours include removals will need to back out the removal hours. Typically (2) relays required, primary and backup per line package. Test hours per single relay 400 to be reflected on Detail Summary tab.  If multiple relays required for project reduce hours due to efficacies gained through repetition and pre wiring..</t>
  </si>
  <si>
    <t>Pulsar Communication Relay</t>
  </si>
  <si>
    <t>Hours include removals will need to back out the removal hours. Test hours per single relay 230 to be reflected on Detail Summary tab.</t>
  </si>
  <si>
    <t>RFL Communication Relay</t>
  </si>
  <si>
    <t>UPLC-II Communication Relay</t>
  </si>
  <si>
    <t>SEL-587Z Bus Protection Hi-z</t>
  </si>
  <si>
    <t>Hours include removals will need to back out the removal hours. Test hours per single relay 260 to be reflected on Detail Summary tab.  If multiple relays required for project reduce hours due to efficiency gained through repetition and pre-wiring.</t>
  </si>
  <si>
    <t>SEL-387 Bus Protection Lo-z</t>
  </si>
  <si>
    <t>SEL-487 Bus Protection Lo-z</t>
  </si>
  <si>
    <t>Hours include removals will need to back out the removal hours. Test hours per single relay 300 to be reflected on Detail Summary tab.  If multiple relays required for project reduce hours due to efficiencies gained through repetition</t>
  </si>
  <si>
    <t>Hours include removals will need to back out the removal hours. Test hours per single relay 380 to be reflected on Detail Summary tab.  If multiple relays required for project reduce hours due to efficiencies gained through repetition and pre wiring.</t>
  </si>
  <si>
    <t>Hours include removals will need to back out the removal hours. Test hours per single relay 500 to be reflected on Detail Summary tab.  If multiple relays required for project reduce hours due to efficiencies gained through repetition and pre wiring.</t>
  </si>
  <si>
    <t>SEL-387E Transformer (Transmission)</t>
  </si>
  <si>
    <t>Hours include removals will need to back out the removal hours. Test hours per single relay 460 to be reflected on Detail Summary tab.  If multiple relays required for project reduce hours due to efficiencies gained through repetition and pre wiring.</t>
  </si>
  <si>
    <t>SEL-387E Transformer (Distribution)</t>
  </si>
  <si>
    <t>Hours include removals will need to back out the removal hours. Test hours per single relay 420 to be reflected on Detail Summary tab.  If multiple relays required for project reduce hours due to efficiencies gained through repetition and pre wiring.</t>
  </si>
  <si>
    <t>SEL-751 (Feeder Protection)</t>
  </si>
  <si>
    <t>Hours include removals will need to back out the removal hours. Test hours per single relay 300 to be reflected on Detail Summary tab.  If multiple relays required for project reduce hours due to efficiencies gained through repetition and pre wiring.</t>
  </si>
  <si>
    <t>SEL-351 (Feeder Protection)</t>
  </si>
  <si>
    <t>SEL-451 (Feeder Protection)</t>
  </si>
  <si>
    <t>SEL-551 (Feeder Protection)</t>
  </si>
  <si>
    <t>2 man crew, 10 hour days</t>
  </si>
  <si>
    <t>3 man crew, 10 hour days</t>
  </si>
  <si>
    <t>A3130100F208MXHXAXLXXXENE.  2 man crew 10 hour days.</t>
  </si>
  <si>
    <t>Battery Cart Install Adder</t>
  </si>
  <si>
    <t>3-man crew 2 days. Travel time and Test hours are included for station alarm connections. 2nd day needed for removals with same crew. 
Man hours from CMS field supervisor 1/3/2022.</t>
  </si>
  <si>
    <t>Per Line Terminal.  2 Man crew 10 hour days.  Schweitzer web site lists cost of relay.</t>
  </si>
  <si>
    <t xml:space="preserve">.25% of Construction Cost 
</t>
  </si>
  <si>
    <t xml:space="preserve">Ave 5% of total contractor cost 
</t>
  </si>
  <si>
    <t xml:space="preserve"> 
</t>
  </si>
  <si>
    <t xml:space="preserve">cost of boring and mob spread over the each costs 
</t>
  </si>
  <si>
    <t xml:space="preserve">Est. pavement restoration @ 6' Wide * 2" 
</t>
  </si>
  <si>
    <t>Assumes 1/2 exc. Mat'l used as backfill 
1.68 for trench box</t>
  </si>
  <si>
    <t>Assumes 1/2 exc. Mat'l used as backfill 
1.25 steel plating, 1.68 trench box</t>
  </si>
  <si>
    <t>Avg. 100 LF/Day ((1) 3 Man Crew 10 Hrs) 
Est. 25% of trench to encounter rock</t>
  </si>
  <si>
    <t xml:space="preserve">Avg. unit price based on 300 LF 
</t>
  </si>
  <si>
    <t xml:space="preserve">Avg. unit price based on 10" dia 
</t>
  </si>
  <si>
    <t xml:space="preserve">4' W * 4' Deep 
</t>
  </si>
  <si>
    <t xml:space="preserve">Vault size = 8'* 8'*30L Incl 1000. for plating 
steel plating </t>
  </si>
  <si>
    <t xml:space="preserve">25% of vault exc. to encounter rock (50.5cy) 
</t>
  </si>
  <si>
    <t xml:space="preserve">Pricing per assembly file in database 
</t>
  </si>
  <si>
    <t xml:space="preserve">Disposal &amp; Hauling 
</t>
  </si>
  <si>
    <t xml:space="preserve">Note - CY purchased should include the compaction allowance included in the qty. 
</t>
  </si>
  <si>
    <t>Excludes excavation and backfill 
12/06/2018 Pricing</t>
  </si>
  <si>
    <t xml:space="preserve">Excludes excavation and backfill 
</t>
  </si>
  <si>
    <t xml:space="preserve">Need size @ Singer Sub to get actual $ 
</t>
  </si>
  <si>
    <t xml:space="preserve">Per Wall Per Phase 
</t>
  </si>
  <si>
    <t xml:space="preserve">includes concrete, rebar, formwork, anchor bolts, etc. 
</t>
  </si>
  <si>
    <t xml:space="preserve">  
</t>
  </si>
  <si>
    <t xml:space="preserve">Back to Back Breakers when 2 wont fit 
</t>
  </si>
  <si>
    <t xml:space="preserve"> Series Line Reactor Single Phase - no steel  
Statcom 18k for 1200A Norwalk 40k for 1000A</t>
  </si>
  <si>
    <t>Includes cleaning internal tanks of each breaker pole.  Per Dilo quote 3/12/2021 mob/de-mob included. 
Pricing was for 115kV breaker scaled up for 345kV (3x).</t>
  </si>
  <si>
    <t xml:space="preserve">Pricing from procurement 6/29/2019 study for eqt. Standardization
(6) Breaker GIS </t>
  </si>
  <si>
    <t>Used with Circuit Switchers on each bank
Material- Per procurement 4/13/2022</t>
  </si>
  <si>
    <t>Used for single cap bank no circuit switches
Material- Per procurement 4/13/2022</t>
  </si>
  <si>
    <t>Figure (3) conduits per switcher
Norwalk SS cost was 70155</t>
  </si>
  <si>
    <t xml:space="preserve">assoc w/ cap bank see note above </t>
  </si>
  <si>
    <t xml:space="preserve">Additional foundation &amp; panel to convert wiring  </t>
  </si>
  <si>
    <t xml:space="preserve">single phase autotransformer (incl. comm &amp; test) </t>
  </si>
  <si>
    <t xml:space="preserve">three phase autotransformer (incl. comm &amp; test) </t>
  </si>
  <si>
    <t xml:space="preserve">(3) 1 Ph. Transformers &amp; Connections </t>
  </si>
  <si>
    <t xml:space="preserve">Based on approx 21300 s.f. </t>
  </si>
  <si>
    <t xml:space="preserve">Database 11/29/2019 quoted price $404.08/sf </t>
  </si>
  <si>
    <t xml:space="preserve">Based on 340sf (See Rev. Hist. tab for mat'l details) </t>
  </si>
  <si>
    <t xml:space="preserve">AT130025F240SAUXXLXXXXENE </t>
  </si>
  <si>
    <t xml:space="preserve">AT130050F208MXMXAXLXXXENE </t>
  </si>
  <si>
    <t xml:space="preserve">AT130075F208MXMXAXLXXXENE </t>
  </si>
  <si>
    <t xml:space="preserve">(2) Panelboards &amp; (1) Fused Sw. &amp; Feeds   </t>
  </si>
  <si>
    <t xml:space="preserve">Free Standing Cabinet &amp; Scada System  </t>
  </si>
  <si>
    <t>Includes cleaning internal tanks of each breaker pole.  Per Dilo quote 3/12/2021 mob/de-mob included</t>
  </si>
  <si>
    <t>Excavation -  Splice Vault</t>
  </si>
  <si>
    <t xml:space="preserve">subcontractor labor, eqt, &amp; material 
</t>
  </si>
  <si>
    <t>Cable, Termination, 115kV pipe type cable termination</t>
  </si>
  <si>
    <t>SEL-451 Breaker Failure (Breaker and Half)</t>
  </si>
  <si>
    <t>SEL-351 Breaker Failure (Tie Breaker Config.)</t>
  </si>
  <si>
    <t>Inc. 6-2500KVA Transformers, 6-2MW Generators &amp; Cables, incl. labor hook up, mob &amp; demob. 
Provided by Eleccomm Power Services for WMECO project at Amherst &amp; Podick S/S</t>
  </si>
  <si>
    <t>based on $/lb. of 2.5375</t>
  </si>
  <si>
    <t>added sample risk under risk tab area</t>
  </si>
  <si>
    <t>Risk tab</t>
  </si>
  <si>
    <t>Fix contingency sheet per Andy's email ( req'd fix of summary codes on various sheets)</t>
  </si>
  <si>
    <t>Substation Const &amp; Substation_D</t>
  </si>
  <si>
    <t xml:space="preserve">Excluded Ductbank excavation which is with ductbank 
</t>
  </si>
  <si>
    <t>BD</t>
  </si>
  <si>
    <t>Procurement Updates</t>
  </si>
  <si>
    <t>Maximo # 580853</t>
  </si>
  <si>
    <t>Maximo # 527707</t>
  </si>
  <si>
    <t>Hours include removals will need to back out the removal hours.Test hours per single relay 300 to be reflected on Detail Summary tab.  If multiple relays required for project reduce hours due to efficiencies gained through repetition and pre wiring.</t>
  </si>
  <si>
    <t>Pricing from the relay replacement assumptions document</t>
  </si>
  <si>
    <t>1.70c1</t>
  </si>
  <si>
    <t>Clean up a few items;
make all the escalation tab show 100% in the first year, some test data was left in
fix the AFUDC calc on the Detail Summary so not to add in the ISD $'s in the first year
Modify the protection on the Detail summary tab to included the ability to use the groups without unprotecting</t>
  </si>
  <si>
    <t>Escalation, Detail summary</t>
  </si>
  <si>
    <t>EMA property tax seen assigned to jobs</t>
  </si>
  <si>
    <t>WMA property tax seen assigned to jobs</t>
  </si>
  <si>
    <t>Added CWIP to EMA and WMA projects</t>
  </si>
  <si>
    <t>Input and Detailed summary</t>
  </si>
  <si>
    <t>Easements</t>
  </si>
  <si>
    <t>added a separate row for Easements  in the Land input area</t>
  </si>
  <si>
    <t>Detailed summary</t>
  </si>
  <si>
    <t>Select No to manually turn off CWIP tax ==&gt;</t>
  </si>
  <si>
    <t>Added material amounts</t>
  </si>
  <si>
    <t>Matting Default</t>
  </si>
  <si>
    <t>Layers based on Region</t>
  </si>
  <si>
    <t>Added to the cover sheet a default mat thickness, CT set to 2.0 while others are 1.5 layers</t>
  </si>
  <si>
    <t>Input and OH Civil WS sheet</t>
  </si>
  <si>
    <t>Revised Escalation rate on mat'l for 2023 per Eversource internal guidance</t>
  </si>
  <si>
    <t>Factor ( total $/Eversource Mat'l $'s)</t>
  </si>
  <si>
    <t>Factor ( Total directs $/Total Eversource mat'l $'s)</t>
  </si>
  <si>
    <t>Added factor calc's to the cover sheet</t>
  </si>
  <si>
    <t>Cover sheet</t>
  </si>
  <si>
    <t>4 man crew, 5 crew days.</t>
  </si>
  <si>
    <t>4 man crew, 4 crew days.</t>
  </si>
  <si>
    <t xml:space="preserve">15Kv Breaker Vacuum </t>
  </si>
  <si>
    <t>Roll In Place 15kV Vacuum 2000 A, 3 PH  (Switch Gear Type)</t>
  </si>
  <si>
    <t>Maximo # 581757</t>
  </si>
  <si>
    <t xml:space="preserve"> 5 man crew, 10 crew days
</t>
  </si>
  <si>
    <t>Outdoor 14 KV, Vacuum, 48 VDC CONTROL, 1200 A</t>
  </si>
  <si>
    <t>Maximo # 582877</t>
  </si>
  <si>
    <t xml:space="preserve">23Kv Breaker Vacuum </t>
  </si>
  <si>
    <t xml:space="preserve">Outdoor Vacuum Circuit Breaker, Type SDV6 2000 Amp </t>
  </si>
  <si>
    <t>Maximo # 593297</t>
  </si>
  <si>
    <t>5 man crew, 10 crew days.  Includes W/ SEL 351, SEL 551, EL FUTURA METER</t>
  </si>
  <si>
    <t xml:space="preserve">27.6Kv Breaker Vacuum </t>
  </si>
  <si>
    <t>Outdoor Vacuum Circuit Breaker, 27.6kV, 3 POLE, 120 VAC, 2000A CONTINUOUS</t>
  </si>
  <si>
    <t>Maximo # 583163</t>
  </si>
  <si>
    <t>Maximo # 581068 2/28/2019</t>
  </si>
  <si>
    <t>34.5 KV, Pin Cap TR10</t>
  </si>
  <si>
    <t>6" Aluminum</t>
  </si>
  <si>
    <t>4 " BUS</t>
  </si>
  <si>
    <t>4 " BUS, ground Stud</t>
  </si>
  <si>
    <t>4 " 4-hole pad 4 Bus-PAD LOC CTR, Terminal</t>
  </si>
  <si>
    <t>Automatic Transfer Switches</t>
  </si>
  <si>
    <t>Automatic Transfer Switch, 800 amps, 3 Phase</t>
  </si>
  <si>
    <t>Labor hours from 2020 NECA Labor Units.</t>
  </si>
  <si>
    <t>Automatic Transfer Switch, 400 amps, 3 Phase</t>
  </si>
  <si>
    <t>Automatic Transfer Switch, 225 amps, 3 Phase</t>
  </si>
  <si>
    <t>Automatic Transfer Switch, 100 amps, 3 Phase</t>
  </si>
  <si>
    <t>Cable Single Phase/Bare Cable</t>
  </si>
  <si>
    <t>Power Cable 3 Phase</t>
  </si>
  <si>
    <t>Cable, Control, 4/c #12</t>
  </si>
  <si>
    <t>Price from Maximo Item # 584792, 10/21/2021</t>
  </si>
  <si>
    <t>Price from Maximo Item # 584806, 3/28/2022</t>
  </si>
  <si>
    <t>Price from Maximo Item # 513904, 2/24/2020</t>
  </si>
  <si>
    <t xml:space="preserve">Cable, Control, 19/c #12 </t>
  </si>
  <si>
    <t>Price from Maximo Item # 513707, 8/13/2006</t>
  </si>
  <si>
    <t xml:space="preserve">Cable, Control, 3/c #10 </t>
  </si>
  <si>
    <t>Price from Maximo Item # 513956, 3/28/2022</t>
  </si>
  <si>
    <t xml:space="preserve">Cable, Control, 4/c #10 </t>
  </si>
  <si>
    <t>Price from Maximo Item # 575968, 4/26/2022</t>
  </si>
  <si>
    <t>Price from Maximo Item # 513958, 12/31/2019</t>
  </si>
  <si>
    <t>Cable, Control, Lug, Termination #18-14 AWG</t>
  </si>
  <si>
    <t>Price from Maximo Item # 523814, 2/28/2019</t>
  </si>
  <si>
    <t xml:space="preserve">Cable, Control, Lug, Termination #12-10 AWG </t>
  </si>
  <si>
    <t>Price from Maximo Item # 501561, 9/6/2018</t>
  </si>
  <si>
    <t>Price from Maximo Item # 513969, 1/28/2022</t>
  </si>
  <si>
    <t>Price from Maximo  Item # 533943, 1/14/2022</t>
  </si>
  <si>
    <t>Price from Maximo  Item # 593508, 4/28/2022</t>
  </si>
  <si>
    <t xml:space="preserve">Wood Poles Distribution </t>
  </si>
  <si>
    <t>Wood Poles - 20ft</t>
  </si>
  <si>
    <t>Northland Wood web pricing 5/9/2022</t>
  </si>
  <si>
    <t>2 man crew. Easy digging w/ auger.  Labor from 2020 NECA LABOR UNITS.</t>
  </si>
  <si>
    <t>Wood Poles - 25ft</t>
  </si>
  <si>
    <t>2 man crew. Easy digging w/ auger. Labor from 2020 NECA LABOR UNITS.</t>
  </si>
  <si>
    <t>Wood Poles - 30ft</t>
  </si>
  <si>
    <t>Wood Poles - 35ft</t>
  </si>
  <si>
    <t>Wood Poles - 45ft</t>
  </si>
  <si>
    <t>Wood Poles - 50ft</t>
  </si>
  <si>
    <t xml:space="preserve">Batteries </t>
  </si>
  <si>
    <t xml:space="preserve">Labor from NECA Labor Units 2019-2020.  Figure 20' * 20' O.C.  </t>
  </si>
  <si>
    <t>Cable, UG, 4/0 copper, Bare, Burried</t>
  </si>
  <si>
    <t>Labor from NECA Labor Units 2019-2020.</t>
  </si>
  <si>
    <t>SF6 Disposal</t>
  </si>
  <si>
    <t>Quick Break Whips (69 &amp;115kV only)</t>
  </si>
  <si>
    <t>Bus, Connector, Compression Aluminum</t>
  </si>
  <si>
    <t>Emerg Station Generator</t>
  </si>
  <si>
    <t>Eaton Cooper Nova with Form 6 control</t>
  </si>
  <si>
    <t>34.5kV Disconnect Switches,    Three Pole, Single Throw, group Operated</t>
  </si>
  <si>
    <t>Open Bus Structure - 20 ft Bay</t>
  </si>
  <si>
    <t>33 Port SEL-3530 RTAC</t>
  </si>
  <si>
    <t>Various Eversource indirects are applied in the following manner;</t>
  </si>
  <si>
    <t>NPT (Non productive time)</t>
  </si>
  <si>
    <t>PBT ( Payroll benefits)</t>
  </si>
  <si>
    <t>GSO</t>
  </si>
  <si>
    <t xml:space="preserve">E&amp;S </t>
  </si>
  <si>
    <t>AS&amp;E</t>
  </si>
  <si>
    <t>Stores expense</t>
  </si>
  <si>
    <t>D only indirect - applies to all Eversource materials for D projects</t>
  </si>
  <si>
    <t>applies to all Eversource labor costs</t>
  </si>
  <si>
    <t>E&amp;S</t>
  </si>
  <si>
    <t>Summary by Indirect application</t>
  </si>
  <si>
    <t>Eversource GSO related</t>
  </si>
  <si>
    <t>Eversource E&amp;S related</t>
  </si>
  <si>
    <t>NPT % applies to all Eversource internal labor</t>
  </si>
  <si>
    <t>3) Outside labore / Contractor labor</t>
  </si>
  <si>
    <t>The split of Eversource company 61 vs. others is more subjective and is done by labor line item in this template.</t>
  </si>
  <si>
    <t>NOTE- this may need to use some of the WBS fields dedicated to Indirects to be able to sort these in the estimate file to feed the ESF</t>
  </si>
  <si>
    <t>applies to all costs plus indirects above</t>
  </si>
  <si>
    <t>applies to all Eversource materials, doesn't apply to contractor materials</t>
  </si>
  <si>
    <t xml:space="preserve">D only indirect - applies to Eversource labor and outside labor, compounded with NPT and PBT </t>
  </si>
  <si>
    <t>2) Eversource - Non- GSO labor - Other company employees including our own construction forces.</t>
  </si>
  <si>
    <t>1) Eversource - GSO Labor - Company 61 employees (general services company), typically PMT types.</t>
  </si>
  <si>
    <t>The split of contractor labor vs. Eversource is simple using the install by code in the estimates.</t>
  </si>
  <si>
    <t>First it must be noted that there are various categories of labor used in the estimates ( see detail summary sheet for calculations)</t>
  </si>
  <si>
    <t>These breakout costs are shown starting on row 350 of the detail summary. This uses a code in column F of that tab to identify the type of labor.</t>
  </si>
  <si>
    <t>Foundation - 345 kV 3/0 High Bus Support (moderate &amp; high loading)  - Spread Footing</t>
  </si>
  <si>
    <t>Foundation - 345 kV 3/0 High Bus Support (moderate &amp; high loading) - Drilled Pier</t>
  </si>
  <si>
    <t>Foundation - 345 kV 1/0 High Bus Support (moderate &amp; high loading) - Spread Footing</t>
  </si>
  <si>
    <t>Foundation - 345 kV 1/0 High Bus Support (moderate &amp; high loading) - Drilled Pier</t>
  </si>
  <si>
    <t>Foundation - 345 kV 3/0 Low Bus Support (moderate &amp; high loading)  - Spread Footing</t>
  </si>
  <si>
    <t>Foundation - 345 kV 3/0 Low Bus Support (moderate &amp; high loading) - Drilled Pier</t>
  </si>
  <si>
    <t>Foundation - 345 kV 1/0 Low Bus Support (moderate &amp; high loading)  - Spread Footing</t>
  </si>
  <si>
    <t>Foundation - 345 kV 1/0 Low Bus Support (moderate &amp; high loading) - Drilled Pier</t>
  </si>
  <si>
    <t>Foundation - 345 kV 3/0 High Disconnect Switch (high loading)  - Spread Footing</t>
  </si>
  <si>
    <t>Foundation - 345 kV 3/0 High Disconnect Switch (high loading) - Drilled Pier</t>
  </si>
  <si>
    <t>Foundation - 345 kV 3/0 Low Disconnect Switch (high loading)  - Spread Footing</t>
  </si>
  <si>
    <t>Foundation - 345 kV 3/0 Low  Disconnect Switch (high loading) - Drilled Pier</t>
  </si>
  <si>
    <t>Foundation - 345 kV 1/0 CCVT Support (high loading) - Drilled Pier</t>
  </si>
  <si>
    <t>Foundation - 345 kV Transformer (high &amp; mod loading) - Slab (2.5' thick) - no containment</t>
  </si>
  <si>
    <t>Foundation - 115 kV 3/0 High Bus Support (moderate &amp; high loading) - Spread Footing</t>
  </si>
  <si>
    <t>Foundation - 115 kV 3/0 High Bus Support (moderate &amp; high loading) - Drilled Pier</t>
  </si>
  <si>
    <t>Foundation - 115 kV 1/0 High Bus Support (moderate &amp; high loading) - Spread Footing</t>
  </si>
  <si>
    <t>Foundation - 115 kV 1/0 High Bus Support (moderate &amp; high loading) - Drilled Pier</t>
  </si>
  <si>
    <t>Foundation - 115 kV 3/0 Low Bus Support (moderate &amp; high loading) - Spread Footing</t>
  </si>
  <si>
    <t>Foundation - 115 kV 3/0 Low Bus Support (moderate &amp; high loading) - Drilled Pier</t>
  </si>
  <si>
    <t>Foundation - 115 kV 3/0 Low Bus Diagonal Support (high loading) - Spread Footing</t>
  </si>
  <si>
    <t>Foundation - 115 kV 3/0 Low Bus Diagonal Support (high loading) - Drilled Pier</t>
  </si>
  <si>
    <t>Foundation - 115 kV 1/0 Low Bus Support (moderate &amp; high loading)  - Spread Footing</t>
  </si>
  <si>
    <t>Foundation - 115 kV 1/0 Low Bus Support (moderate &amp; high loading) - Drilled Pier</t>
  </si>
  <si>
    <t>Foundation - 115 kV 3/0 High Disconnect Switch (high loading) - Spread Footing</t>
  </si>
  <si>
    <t>Foundation - 115 kV 3/0 High Disconnect Switch (high loading) - Drilled Pier</t>
  </si>
  <si>
    <t>Foundation - 115 kV 3/0 High Disconnect Switch (mod loading) - Drilled Pier</t>
  </si>
  <si>
    <t>Foundation - 115 kV 3/0 Low  Disconnect Switch (high loading) - Spread Footing</t>
  </si>
  <si>
    <t>Foundation - 115 kV 3/0 Low  Disconnect Switch (high loading) - Drilled Pier</t>
  </si>
  <si>
    <t>Foundation - 115 kV 1/0 CCVT Support (high loading) - Spread Footing</t>
  </si>
  <si>
    <t>Foundation - 115 kV 1/0 CCVT Support (high loading) - Drilled Pier</t>
  </si>
  <si>
    <t>Foundation - 115 kV Circuit Breaker (high loading) - Spread Footing</t>
  </si>
  <si>
    <t xml:space="preserve">Foundation - 115 kV Circuit Breaker (high loading) - Spread Footing, w/Maintenance Slab </t>
  </si>
  <si>
    <t>Foundation -  115 kV Circuit Breaker Foundation (high loading) - Slab (3' thick)</t>
  </si>
  <si>
    <r>
      <t xml:space="preserve">Foundation - 115 kV Circuit Breaker </t>
    </r>
    <r>
      <rPr>
        <u/>
        <sz val="10"/>
        <rFont val="Arial"/>
        <family val="2"/>
      </rPr>
      <t>Maintenance Slab Only</t>
    </r>
    <r>
      <rPr>
        <sz val="10"/>
        <rFont val="Arial"/>
        <family val="2"/>
      </rPr>
      <t xml:space="preserve"> (1'3" thick)</t>
    </r>
  </si>
  <si>
    <t>Foundation - Control House 115/345 kV (150' X 32' - high &amp; mod loading) - Slab (includes drill in &amp; epoxy anchors)</t>
  </si>
  <si>
    <t>Foundation - Control House 115/345 kV (150' X 32') - Drilled Pier (includes drill in &amp; epoxy anchors)</t>
  </si>
  <si>
    <t>Foundation - Switch Gear 115 kV (39.5' X 20' - high/mod loading) - Spread Footing (includes drill in &amp; epoxy anchors)</t>
  </si>
  <si>
    <t>Foundation - Switch Gear (39.5' X 24') - Drilled Pier (includes drill in &amp; epoxy anchors)</t>
  </si>
  <si>
    <t>Foundation - Switch Gear (39.5' X 20') (high &amp; mod loading) - Slab (includes drill in epoxy anchors)</t>
  </si>
  <si>
    <t>Struct. Steel - 345 kV 3/0 High Bus Support</t>
  </si>
  <si>
    <t>Struct. Steel - 345 kV 1/0 High Bus Support</t>
  </si>
  <si>
    <t>Struct. Steel - 345 kV 3/0 Low Bus Support</t>
  </si>
  <si>
    <t>Struct. Steel - 345 kV 1/0 Low Bus Support</t>
  </si>
  <si>
    <t>Struct. Steel - 345 kV 3/0 High Disconnect Switch</t>
  </si>
  <si>
    <t>Struct. Steel - 345 kV 3/0 Low  Disconnect Switch</t>
  </si>
  <si>
    <t>Struct. Steel - 345 kV 1/0 CCVT Support</t>
  </si>
  <si>
    <t>Struct. Steel - 115 kV 3/0 High Bus Support</t>
  </si>
  <si>
    <t>Struct. Steel - 115 kV 1/0 High Bus Support</t>
  </si>
  <si>
    <t>Struct. Steel - 115 kV 3/0 Low Bus Support</t>
  </si>
  <si>
    <t>Struct. Steel - 115 kV 1/0 Low Bus Support</t>
  </si>
  <si>
    <t>Struct. Steel - 115 kV 3/0 High Disconnect Switch</t>
  </si>
  <si>
    <t>Struct. Steel - 115 kV 3/0 Low Disconnect Switch</t>
  </si>
  <si>
    <t>Struct. Steel - 115 kV 1/0 CCVT Support</t>
  </si>
  <si>
    <t>0.28 Tons; Eversource Drawings: 115-CCVT-L1-FE-01, 115-CCVT-L1-FE-02, 115-CCVT-L1-HL-01</t>
  </si>
  <si>
    <t>Used as a visible break between high side of transformer and bus work.</t>
  </si>
  <si>
    <t>13.8 KV, 1 Phase</t>
  </si>
  <si>
    <t>23 KV, 1 Phase</t>
  </si>
  <si>
    <t>Used for PT's, and breaker juntion box with panel</t>
  </si>
  <si>
    <t>ION 6200 Meter</t>
  </si>
  <si>
    <t xml:space="preserve">200Ah 3CA-09M-S </t>
  </si>
  <si>
    <r>
      <t>2260Ah</t>
    </r>
    <r>
      <rPr>
        <b/>
        <sz val="10"/>
        <rFont val="Arial"/>
        <family val="2"/>
      </rPr>
      <t xml:space="preserve"> </t>
    </r>
    <r>
      <rPr>
        <sz val="10"/>
        <rFont val="Arial"/>
        <family val="2"/>
      </rPr>
      <t>GC-25M-S</t>
    </r>
  </si>
  <si>
    <t>Increase in construction equipment for a crane and crimp head.</t>
  </si>
  <si>
    <t xml:space="preserve">3/4" to 1-1/4" Coupling </t>
  </si>
  <si>
    <t xml:space="preserve">3/4" to 1-1/4" NEMA 4 Hole </t>
  </si>
  <si>
    <t>MAJOR EQUIPMENT SUBSTATION</t>
  </si>
  <si>
    <t>revised indirect calculations so that they have subtotals at the bottom instead of individual formulas</t>
  </si>
  <si>
    <t>Updated Indirect rates based on Tracking Analysis (Rev24)</t>
  </si>
  <si>
    <t>500 KCMIL, CU</t>
  </si>
  <si>
    <t xml:space="preserve">Traffic Control </t>
  </si>
  <si>
    <t>PBT % applies to all NON- GSO Eversource labor and compounded on NPT dollars above</t>
  </si>
  <si>
    <t>GSO % applies to all GSO Eversource labor ( in division 1,2,3,4, and 9) and compounded on NPT dollars above</t>
  </si>
  <si>
    <t>E&amp;S applies to all Eversource labor ( incl GSO), outside services labor, NPT,PBT and GSO loaders</t>
  </si>
  <si>
    <t>Prior Authorized (for PAF - $s in thousands)</t>
  </si>
  <si>
    <t>Added Prior Authorized to Data Input Tab, Removed Links</t>
  </si>
  <si>
    <t>Data Input, and Others</t>
  </si>
  <si>
    <t>BUS WORK, INSULATORS, AND POWER CABLING</t>
  </si>
  <si>
    <t>CONTROL WIRING</t>
  </si>
  <si>
    <t>RELAYS</t>
  </si>
  <si>
    <t>COMMUNICATION EQUIPMENT</t>
  </si>
  <si>
    <t>BATTERY SYSTEM</t>
  </si>
  <si>
    <t>GROUNDING SYSTEM</t>
  </si>
  <si>
    <t>CONTROL PANELS, SAFETY SWITCHES, &amp; JUNCTION BOXES</t>
  </si>
  <si>
    <t>Disconnect switches</t>
  </si>
  <si>
    <t>345kV Circuit Breakers</t>
  </si>
  <si>
    <t>115kV Circuit Breakers</t>
  </si>
  <si>
    <t>Capicator Banks</t>
  </si>
  <si>
    <t>Circuit Breakers</t>
  </si>
  <si>
    <t>Circuit Switchers</t>
  </si>
  <si>
    <t>Based on ES insulator pricing update 2022 per structure material costs</t>
  </si>
  <si>
    <t>3 man crew</t>
  </si>
  <si>
    <t>2 man crew</t>
  </si>
  <si>
    <t>400AH Battery</t>
  </si>
  <si>
    <t>Aluminum Cabinet,NEMA 4  16x16x8 w/ panel</t>
  </si>
  <si>
    <t>Used for PT's, and breaker juntion box with panel.  Labor hours from NECA Labor Units 2020.  Page 197.</t>
  </si>
  <si>
    <t>Labor hours from NECA Labor Units 2020. Page 313.</t>
  </si>
  <si>
    <t>240V1, 225A  heavy duty, 3- pole</t>
  </si>
  <si>
    <t>Typically need vendor quote per project, followed by supervisor crew input.</t>
  </si>
  <si>
    <t>See Notes</t>
  </si>
  <si>
    <t>50 kw, 120/208, 3 phase, Install</t>
  </si>
  <si>
    <t>30 kw, 120/208, Install</t>
  </si>
  <si>
    <t>Metal-clad switchgear line-up, consisting of twenty-five (25) vertical sections, as follows:</t>
  </si>
  <si>
    <t>Switchgear (25 Sections, Cubicles/sections)</t>
  </si>
  <si>
    <t xml:space="preserve">Estimated 10 man crew 40 hours a week, 8 weeks.   Indoor, 15kV, 95kV BIL, 63kA, 3000A Lexan-insulated silver-plated copper main bus.     Quote located in \\nu.com\data\SharedData\Estimating-R\5) Database\06.02 Matl - Station\Switchgear </t>
  </si>
  <si>
    <t>WMS will provide relay, control, communication, security, annunciator, DFR and RTU cabinets in a fully
integrated 15'W x 70'L x 11'H (exterior) enclosure per RFP documents.  Quote located in   \\nu.com\data\SharedData\Estimating-R\5) Database\06.02 Matl - Station\Control Houses   Page 68.  Delivered the completed MICE to the project site, rigged to customer foundation, and fully re-assembled for final project turnover.</t>
  </si>
  <si>
    <t>Control Enclosure - Wunderlich Malec ServicesModular  (15' x 70')  Complete turm key from vendor</t>
  </si>
  <si>
    <t>Maximo # 574262</t>
  </si>
  <si>
    <t xml:space="preserve">Grounding </t>
  </si>
  <si>
    <t>Maximo # 500458</t>
  </si>
  <si>
    <t>Maximo # 505179 (6/24/2022)</t>
  </si>
  <si>
    <t>Maximo # 590209 (7/28/2016)</t>
  </si>
  <si>
    <t>120/240, 1 Phase, 225 amp Main, w/ 32 CBs &amp; Outdoor Cabinet</t>
  </si>
  <si>
    <t>Labor hours from NECA Labor Units 2020.</t>
  </si>
  <si>
    <t>Low side disconnect for station service.  Labor hours from NECA Labor Units 2020. Page 289.</t>
  </si>
  <si>
    <t>Low side disconnect for station service. Labor hours from NECA Labor Units 2020. Page 289.</t>
  </si>
  <si>
    <t>Web pricing from Grainger 10/5/2022</t>
  </si>
  <si>
    <t>120/240, 1 Phase, 225 amp Main, w/ 24 CBs &amp; Outdoor Cabinet</t>
  </si>
  <si>
    <t>120/208, 3 Phase, 600 amp Main, w/ 42 CBs</t>
  </si>
  <si>
    <t>10 hour days, 1 man - 1 week of prep, 2 men 1 week for install.</t>
  </si>
  <si>
    <t xml:space="preserve">10 hour days, 2 man crew </t>
  </si>
  <si>
    <t>Touchscreen Annunciator System</t>
  </si>
  <si>
    <t>Distributed I/O Module 130VDC DNP, &amp; MODBUS IRFO Ouput (DIO-9100)</t>
  </si>
  <si>
    <t>Maximo #604592 price updated 10/4/2022.</t>
  </si>
  <si>
    <t>Circuit Breaker, Pass-MO</t>
  </si>
  <si>
    <t xml:space="preserve">4 man crews. Test hours (Detail Summary) 2 man crew should be same crew days as construction to defeat existing protection and isolate and /or wire check and test new circuit breaker.  Price from Hitachi quote 6/27/2022 for UCONN project located in data base.
</t>
  </si>
  <si>
    <t>Insulators &amp; Hardware, 345kV, Strain, de-energized</t>
  </si>
  <si>
    <t>Insulators &amp; Hardware, 345kV, Suspension, de-energized</t>
  </si>
  <si>
    <t>Insulators &amp; Hardware, 345kV, Suspension, Energized</t>
  </si>
  <si>
    <t>Insulators &amp; Hardware, 345kV, Strain, Energized</t>
  </si>
  <si>
    <t>Insulators &amp; Hardware, 115kV, Suspension, de-energized</t>
  </si>
  <si>
    <t>Insulators &amp; Hardware, 115kV, Strain, de-energized</t>
  </si>
  <si>
    <t>Insulators &amp; Hardware, 115kV, Suspension, energized</t>
  </si>
  <si>
    <t>Insulators &amp; Hardware, 115kV, Strain, energized</t>
  </si>
  <si>
    <t>9.44 C.Y.; 1/structure; includes excavation &amp; backfill. MHs are for new construction; apply a 7.5% factor to labor (column N) and equipment (column V) for work in an energized S/S. Eversource Drawings: 345-BF-SF-01, 345-BF-SF-02, 345-BF-SF-03, 345-BS-H3-ML, 345-BS-H3-HL.</t>
  </si>
  <si>
    <t xml:space="preserve">7.84 C.Y.; 1/structure; includes excavation &amp; backfill. MHs are for new construction; apply a 7.5% factor to labor (column N) and equipment (column V) for work in an energized S/S. Eversource Drawings: 345-BF-DP-01, 345-BF-DP-02, 345-BS-H3-ML, 345-BS-H3-HL. </t>
  </si>
  <si>
    <t xml:space="preserve">6.72 C.Y.; 1/structure; includes excavation &amp; backfill. MHs are for new construction; apply a 7.5% factor to labor (column N) and equipment (column V) for work in an energized S/S. Eversource Drawings: 345-BF-SF-01, 345-BF-SF-02, 345-BF-SF-03, 345-BS-H1-ML, 345-BS-H1-HL. </t>
  </si>
  <si>
    <t xml:space="preserve">4.28 C.Y.; 1/structure; includes excavation &amp; backfill. MHs are for new construction; apply a 7.5% factor to labor (column N) and equipment (column V) for work in an energized S/S. Eversource Drawings: 345-BF-DP-01, 345-BF-DP-02, 345-BS-H1-ML, 345-BS-H1-HL. </t>
  </si>
  <si>
    <t xml:space="preserve">5.70 C.Y.; 1/structure; includes excavation &amp; backfill. MHs are for new construction; apply a 7.5% factor to labor (column N) and equipment (column V) for work in an energized S/S. Eversource Drawings: 345-BF-DP-01, 345-BF-DP-0, 345-BS-LS-ML, 345-BS-LS-HL. </t>
  </si>
  <si>
    <t xml:space="preserve">4.72 C.Y.; 1/structure; includes excavation &amp; backfill. MHs are for new construction; apply a 7.5% factor to labor (column N) and equipment (column V) for work in an energized S/S. Eversource Drawings: 345-BF-SF-01, 345-BF-SF-02, 345-BF-SF-03, 345-BS-L1-ML, 345-BS-L1-HL. </t>
  </si>
  <si>
    <t xml:space="preserve">3.56 C.Y.; 1/structure; includes excavation &amp; backfill. MHs are for new construction; apply a 7.5% factor to labor (column N) and equipment (column V) for work in an energized S/S. Eversource Drawings: 345-BF-DP-01, 345-BF-DP-02, 345-BS-L1-ML, 345-BS-L1-HL. </t>
  </si>
  <si>
    <t xml:space="preserve">7.78 C.Y.; 1/structure; includes excavation &amp; backfill. MHs are for new construction; apply a 7.5% factor to labor (column N) and equipment (column V) for work in an energized S/S. Eversource Drawings: 345-BF-SF-01, 345-BF-SF-02, 345-BF-SF-03, 345-DWST-H3-HL. </t>
  </si>
  <si>
    <t>7.84 C.Y.; 1/structure; includes excavation &amp; backfill. MHs are for new construction; apply a 7.5% factor to labor (column N) and equipment (column V) for work in an energized S/S. Eversource Drawings: 345-BF-DP-01, 345-BF-DP-02, 345-DWST-H3-HL.</t>
  </si>
  <si>
    <t xml:space="preserve">7.13 C.Y.; 1/structure; includes excavation &amp; backfill. MHs are for new construction; apply a 7.5% factor to labor (column N) and equipment (column V) for work in an energized S/S. Eversource Drawings: 345-BF-DP-01, 345-BF-DP-02, 345-DWST-LS-HL. </t>
  </si>
  <si>
    <t>2.85 C.Y.; 1/single phase CCVT structure; includes excavation &amp; backfill. MHs are for new construction; apply a 7.5% factor to labor (column N) and equipment (column V) for work in an energized S/S. Eversource Drawings: 345-BF-DP-01, 345-BF-DP-02, 345-CCVT-L1-HL.</t>
  </si>
  <si>
    <t xml:space="preserve">72.00 C.Y.; 1/transformer slab; includes excavation &amp; backfill. MHs are for new construction; apply a 7.5% factor to labor (column N) and equipment (column V) for work in an energized S/S. Eversource Drawing: 345-XFMRF-SL. </t>
  </si>
  <si>
    <t xml:space="preserve">5.62 C.Y.; 1/structure; includes excavation &amp; backfill. MHs are for new construction; apply a 7.5% factor to labor (column N) and equipment (column V) for work in an energized S/S. Eversource Drawings: 115-BF-SF-01, 115-BF-SF-02, 115-BF-SF-03, 115-BS-H3-ML, 115-BS-H3-HL. </t>
  </si>
  <si>
    <t xml:space="preserve">4.19 C.Y.; 1/structure; includes excavation &amp; backfill. MHs are for new construction; apply a 7.5% factor to labor (column N) and equipment (column V) for work in an energized S/S. Eversource Drawings: 115-BF-DP-01, 115-BF-DP-02, 115-BS-H3-ML, 115-BS-H3-HL. </t>
  </si>
  <si>
    <t xml:space="preserve">5.31 C.Y.; 1/structure; includes excavation &amp; backfill. MHs are for new construction; apply a 7.5% factor to labor (column N) and equipment (column V) for work in an energized S/S. Eversource Drawings: 115-BF-SF-01, 115-BF-SF-02, 115-BF-SF-03,115-BS-H1-ML, 115-BS-H1-HL. </t>
  </si>
  <si>
    <t xml:space="preserve">3.14 C.Y.; 1/structure; includes excavation &amp; backfill. MHs are for new construction; apply a 7.5% factor to labor (column N) and equipment (column V) for work in an energized S/S. Eversource Drawings: 115-BF-DP-01, 115-BF-DP-02, 115-BS-H1-ML, 115-BS-H1-HL. </t>
  </si>
  <si>
    <t xml:space="preserve">4.44 C.Y.; 1/structure; includes excavation &amp; backfill. MHs are for new construction; apply a 7.5% factor to labor (column N) and equipment (column V) for work in an energized S/S. Eversource Drawings: 115-BF-SF-01, 115-BF-SF-02, 115-BF-SF-03, 115-BS-L3-ML, 115-B3-L3-HL. </t>
  </si>
  <si>
    <t xml:space="preserve">3.67 C.Y.; 1/structure; includes excavation &amp; backfill. MHs are for new construction; apply a 7.5% factor to labor (column N) and equipment (column V) for work in an energized S/S. Eversource Drawings: 115-BF-DP-01, 115-BF-DP-02, 115-BS-L3-ML, 115-BS-L3-HL. </t>
  </si>
  <si>
    <t xml:space="preserve">7.06 C.Y.; 1/structure; includes excavation &amp; backfill. MHs are for new construction; apply a 7.5% factor to labor (column N) and equipment (column V) for work in an energized S/S. Eversource Drawings: 115-BF-SF-01, 115-BF-SF-02, 115-BF-SF-03. </t>
  </si>
  <si>
    <t xml:space="preserve">5.24 C.Y.; 1/structure; includes excavation &amp; backfill. MHs are for new construction; apply a 7.5% factor to labor (column N) and equipment (column V) for work in an energized S/S. Eversource Drawings: 115-BF-DP-01, 115-BF-DP-02. </t>
  </si>
  <si>
    <t xml:space="preserve">4.37 C.Y.; 1/structure; includes excavation &amp; backfill. MHs are for new construction; apply a 7.5% factor to labor (column N) and equipment (column V) for work in an energized S/S. Eversource Drawings: 115-BF-SF-01, 115-BF-SF-02, 115-BF-SF-03, 115-BS-L1-ML, 115-BS-L1-HL. </t>
  </si>
  <si>
    <t xml:space="preserve">2.88 C.Y.; 1/structure; includes excavation &amp; backfill. MHs are for new construction; apply a 7.5% factor to labor (column N) and equipment (column V) for work in an energized S/S. Eversource Drawings: 115-BF-DP-01, 115-BF-DP-02, 115-BS-L1-ML, 115-BS-L1-HL. </t>
  </si>
  <si>
    <t xml:space="preserve">7.06 C.Y.; 1/structure; includes excavation &amp; backfill. MHs are for new construction; apply a 7.5% factor to labor (column N) and equipment (column V) for work in an energized S/S. Eversource Drawings: 115-BF-SF-01, 115-BF-SF-02, 115-BF-SF-03,115-DSWT-H3-HL. </t>
  </si>
  <si>
    <t xml:space="preserve">5.76 C.Y.; 1/structure; includes excavation &amp; backfill. MHs are for new construction; apply a 7.5% factor to labor (column N) and equipment (column V) for work in an energized S/S. Eversource Drawings: 115-BF-DP-01, 115-BF-DP-02; 115-DSWT-H3-HL. </t>
  </si>
  <si>
    <t>4.19 C.Y.; 1/structure; includes excavation &amp; backfill. MHs are for new construction; apply a 7.5% factor to labor (column N) and equipment (column V) for work in an energized S/S. Eversource Drawings: 115-BF-DP-01, 115-BF-DP-02; 115-DSWT-H3-ML.</t>
  </si>
  <si>
    <t xml:space="preserve">5.62 C.Y.; 1/structure; includes excavation &amp; backfill. MHs are for new construction; apply a 7.5% factor to labor (column N) and equipment (column V) for work in an energized S/S. Eversource Drawings: 115-BF-SF-01, 115-BF-SF-02, 115-BF-SF-03, 115-DSWT-L3-HL. </t>
  </si>
  <si>
    <t xml:space="preserve">5.24 C.Y.; 1/structure; includes excavation &amp; backfill. MHs are for new construction; apply a 7.5% factor to labor (column N) and equipment (column V) for work in an energized S/S. Eversource Drawings: 115-BF-DP-01, 115-BF-DP-02, 115-DSWT-L3-HL. </t>
  </si>
  <si>
    <t xml:space="preserve">3.53 C.Y.; 1/single phase CCVT structure; includes excavation &amp; backfill. MHs are for new construction; apply a 7.5% factor to labor (column N) and equipment (column V) for work in an energized S/S. Eversource Drawings: 115-BF-SF-01, 115-BF-SF-02, 115-BF-SF-03, 115-CCVT-L1-HL. </t>
  </si>
  <si>
    <t xml:space="preserve">2.36 C.Y.; 1/single phase CCVT structure; includes excavation &amp; backfill. MHs are for new construction; apply a 7.5% factor to labor (column N) and equipment (column V) for work in an energized S/S. Eversource Drawings: 115-BF-DP-01, 115-BF-DP-02, 115-CCVT-L1-HL. </t>
  </si>
  <si>
    <t xml:space="preserve">14.44 C.Y.; 1/breaker; includes excavation &amp; backfill. MHs are for new construction; apply a 7.5% factor to labor (column N) and equipment (column V) for work in an energized S/S. Eversource Drawings: 115-BRKR-MSF-HL01,115-BRKR-MSF-HL02, 115-BRKF-MSL-HL. </t>
  </si>
  <si>
    <t xml:space="preserve">1.47 C.Y.; 1/slab; includes excavation &amp; backfill. MHs are for new construction; apply a 7.5% factor to labor (column N) and equipment (column V) for work in an energized S/S. Eversource Drawings: 115-BRKR-MSF-HL01, 115-BRKR-MSF-HL02, 115-BRKF-MSF-HL (maintenance slab only). </t>
  </si>
  <si>
    <t xml:space="preserve">177.78 C.Y.; 1/control house; includes excavation &amp; backfill. MHs are for new construction; apply a 7.5% factor to labor (column N) and equipment (column V) for work in an energized S/S. Eversource Drawing: 115-CONTF-SL. </t>
  </si>
  <si>
    <t xml:space="preserve">354.00 C.Y.; 1/control house; includes excavation &amp; backfill. MHs are for new construction; apply a 7.5% factor to labor (column N) and equipment (column V) for work in an energized S/S. Eversource Drawings: 115-CONTF-DP-01, 115-CONTF-DP-02. </t>
  </si>
  <si>
    <t xml:space="preserve">37.56 C.Y.; 1/switch gear building; includes excavation &amp; backfill. MHs are for new construction; apply a 7.5% factor to labor (column N) and equipment (column V) for work in an energized S/S. Eversource Drawings: 115-SWTG-SF-01, 115-SWTG-SF-02. </t>
  </si>
  <si>
    <t>67.00 C.Y.; 1/switch gear building; includes excavation &amp; backfill. MHs are for new construction; apply a 7.5% factor to labor (column N) and equipment (column V) for work in an energized S/S. Eversource Drawings: 115-SWTG-DP-01, 115-SWTG-DP-02.</t>
  </si>
  <si>
    <t xml:space="preserve">3.23 Tons; MHs are for new construction; apply a 7.5% factor to labor (column N) and equipment (column V) for work in an energized S/S. Eversource Drawings: 345-BS-H3-FE-01,  345-BS-H3-FE-02,  345-BS-H3-FE-03, 345-BS-H3-FE-04, 345-BS-H3-HL-01, 345-BS-H3-ML-01. </t>
  </si>
  <si>
    <t xml:space="preserve">1.55 Tons; MHs are for new construction; apply a 7.5% factor to labor (column N) and equipment (column V) for work in an energized S/S. Eversource Drawings: 345-BS-H1-FE-01, 345-BS-H1-FE-02, 345-BS-H1-FE-03, 345-BS-H1-HL-01, 345-BS-ML-01. </t>
  </si>
  <si>
    <t xml:space="preserve">0.60 Tons; MHs are for new construction; apply a 7.5% factor to labor (column N) and equipment (column V) for work in an energized S/S. Eversource Drawings: 345-BS-L1-FE-01, 345-BS-L1-FE-02, 345-BS-L1-FE-03, 345-BS-L1-HL-01, 345-BS-L1-ML-01. </t>
  </si>
  <si>
    <t>1.59 Tons: MHs are for new construction; apply a 7.5% factor to labor (column N) and equipment (column V) for work in an energized S/S. Eversource Drawings: 345-BS-L3-FE-01, 345-BS-L3-FE-02, 345-BS-L3-FE-03, 345-BS-L3-FE-04, 345-BS-L3-HL-01, 345-BS-L3-ML-01.</t>
  </si>
  <si>
    <t xml:space="preserve">6.10 Tons; MHs are for new construction; apply a 7.5% factor to labor (column N) and equipment (column V) for work in an energized S/S. Eversource Drawings: 345-DSWT-H3-FE-01, 345-DSWT-H3-FE-02, 345-DSWT-H3-FE-03, 345-DSWT-H3-FE-04, 345-DSWT-H3-FE-05, 345-DSWT-H3-HL-01, 345-DSWT-H3-HL-02. </t>
  </si>
  <si>
    <t xml:space="preserve">4.40 Tons; MHs are for new construction; apply a 7.5% factor to labor (column N) and equipment (column V) for work in an energized S/S. Eversource Drawings: 345-DSWT-L3-FE-01, 345-DSWT-L3-FE-02, 345-DSWT-L3-FE-03, 345-DSWT-L3-FE-04, 345-DSWT-L3-FE-05, 345-DSWT-L3-HL-01, 345-DSWT-L3-HL-02. </t>
  </si>
  <si>
    <t xml:space="preserve">0.30 Tons; MHs are for new construction; apply a 7.5% factor to labor (column N) and equipment (column V) for work in an energized S/S. Eversource Drawings: 345-CCVT-L1-FE-01, 345-CCVT-L1-FE-02, 345-CCVT-L1-HL-01. </t>
  </si>
  <si>
    <t>1.27 Tons; MHs are for new construction; apply a 7.5% factor to labor (column N) and equipment (column V) for work in an energized S/S. Eversource Drawings: 115-BS-H3-FE-01,  115-BS-H3-FE-02,  115-BS-H3-FE-03, 115-BS-H3-FE-04, 115-BS-H3-HL-01, 115-BS-H3-ML-01.</t>
  </si>
  <si>
    <t xml:space="preserve">0.66 Tons: MHs are for new construction; apply a 7.5% factor to labor (column N) and equipment (column V) for work in an energized S/S. Eversource Drawings: 115-BS-H1-FE-01, 115-BS-H1-FE-02, 115-BS-H1-FE-03, 115-BS-H1-HL-01, 115-BS-ML-01. </t>
  </si>
  <si>
    <t xml:space="preserve">0.99 Tons; MHs are for new construction; apply a 7.5% factor to labor (column N) and equipment (column V) for work in an energized S/S. Eversource Drawings: 115-BS-L3-FE-01, 115-BS-L3-FE-02, 115-BS-L3-FE-03, 115-BS-L3-FE-04, 115-BS-L3-HL-01, 115-BS-L3-ML-01. </t>
  </si>
  <si>
    <t xml:space="preserve">0.34 Tons; MHs are for new construction; apply a 7.5% factor to labor (column N) and equipment (column V) for work in an energized S/S. Eversource Drawings: 115-BS-L1-FE-01, 115-BS-L1-FE-02, 115-BS-L1-FE-03, 115-BS-L1-HL-01, 115-BS-L1-ML-01. </t>
  </si>
  <si>
    <t xml:space="preserve">2.19 Tons; MHs are for new construction; apply a 7.5% factor to labor (column N) and equipment (column V) for work in an energized S/S. Eversource Drawings: 115-DSWT-H3-FE-01, 115-DSWT-H3-FE-02, 115-DSWT-H3-FE-03, 115-DSWT-H3-FE-04, 115-DSWT-H3-FE-05, 115-DSWT-H3-HL-01. </t>
  </si>
  <si>
    <t xml:space="preserve">1.79 Tons; MHs are for new construction; apply a 7.5% factor to labor (column N) and equipment (column V) for work in an energized S/S. Eversource Drawings: 115-DSWT-L3-FE-01, 115-DSWT-L3-FE-02, 115-DSWT-L3-FE-03, 115-DSWT-L3-FE-04, 115-DSWT-L3-FE-05,115-DSWT-L3-HL. </t>
  </si>
  <si>
    <t>Construction  ( incl materials by contractors)</t>
  </si>
  <si>
    <t>PAF</t>
  </si>
  <si>
    <t>Change file to 2023 start date</t>
  </si>
  <si>
    <t>varoius off input sheet tab</t>
  </si>
  <si>
    <t>01/01/2022 rate</t>
  </si>
  <si>
    <t>labor rate table and input data tab</t>
  </si>
  <si>
    <t>input data tab</t>
  </si>
  <si>
    <t>2023 update</t>
  </si>
  <si>
    <t xml:space="preserve">Use for Pass-MO breaker.  12.96 C.Y.; 1/slab; includes excavation &amp; backfill. MHs are for new construction; apply a 7.5% factor to labor (column N) and equipment (column V) for work in an energized S/S. Eversource Drawing: 115-BRKR-SL-HL, 1/structure. </t>
  </si>
  <si>
    <t>Escalate wage rates in backup tables</t>
  </si>
  <si>
    <t>adjusted future escalation rates on input sheet based on Eversource commodity report and union agreements</t>
  </si>
  <si>
    <t>Shiel</t>
  </si>
  <si>
    <t>Bassaragh (opt)</t>
  </si>
  <si>
    <t>Thibodeau (opt)</t>
  </si>
  <si>
    <t>Caryn</t>
  </si>
  <si>
    <t>TBD</t>
  </si>
  <si>
    <t>NEED to adjust indirect rates when the new predicted rates from IP are available.</t>
  </si>
  <si>
    <t>AFUDC rates reviewed and no need for update</t>
  </si>
  <si>
    <t>change WBS code description from mat'ls to materials for sub board request</t>
  </si>
  <si>
    <t>Revise PP4 dates to 2023 dates</t>
  </si>
  <si>
    <t>1.90a</t>
  </si>
  <si>
    <t>OH Civil WS</t>
  </si>
  <si>
    <t>MS</t>
  </si>
  <si>
    <t>Total Matting SF</t>
  </si>
  <si>
    <t>Corrected following formulas: Layers cell, Layers Checking, Shuffle Y/N Check
Added Total SF Matting calc cell
Changed matting * duration to work off of new total sf cell
Various formatting fixes</t>
  </si>
  <si>
    <t>If selecting a D Company, be sure to select A for the AFUDC, unless speical case like a interconnection est.</t>
  </si>
  <si>
    <t xml:space="preserve">6.33 C.Y.; 1/structure; includes excavation &amp; backfill. MHs are for new construction; apply a 7.5% factor to labor (column N) and equipment (column V) for work in an energized S/S. Eversource Drawings: 345-BF-SF-01, 345-BF-SF-02, 345-BF-SF-03, 345-BS-L3-ML, 345-BS-L3-HL. </t>
  </si>
  <si>
    <t xml:space="preserve">6.33 C.Y.; 1/structure; includes excavation &amp; backfill. MHs are for new construction; apply a 7.5% factor to labor (column N) and equipment (column V) for work in an energized S/S. Eversource Drawings: 345-BF-SF-01, 345-BF-SF-02, 345-BF-SF-03, 345-DWST-L3-HL. </t>
  </si>
  <si>
    <t xml:space="preserve">7.22 C.Y.; 1/breaker; includes excavation &amp; backfill. MHs are for new construction; apply a 7.5% factor to labor (column N) and equipment (column V) for work in an energized S/S. Eversource Drawing: 115-BRKR-SF-HL. </t>
  </si>
  <si>
    <t xml:space="preserve">29.26 C.Y.; 1/switch gear building; includes excavation &amp; backfill. MHs are for new construction; apply a 7.5% factor to labor (column N) and equipment (column V) for work in an energized S/S. Eversource Drawing: 115-SWTG-SL. </t>
  </si>
  <si>
    <t>Changed foundation quantities so simplify how many are needed when multiple foundations are needed.</t>
  </si>
  <si>
    <t>Some line items needed multiple quantities for a single item.  Cloumn X was updated to make the selection easier.  For example, a 345kv line terminal structure needs four foundations and needed to select a quantity of 4 for one.  Column X has been updated so now one line terminal structer only needs a quantity of one to fulfill the needs.</t>
  </si>
  <si>
    <t>DSM</t>
  </si>
  <si>
    <t>Revised Equipment MHs (now based on MHs not CYs) for new foundation assemblies for high and low bus, CCVT,  switches, circuit breakers, transformers &amp; switchgear and control enclosure buildings</t>
  </si>
  <si>
    <t>Equipment man-hours now are calculated based on manhours and not cubic yards of concrete</t>
  </si>
  <si>
    <t>Equipment man-hours now are calculated based on manhours and not tons of steel</t>
  </si>
  <si>
    <t>Corrected typos in assembly notes to correctly reflect cubic yards of concrete / tons of steel</t>
  </si>
  <si>
    <t>Typos in notes section</t>
  </si>
  <si>
    <t>Revised Equipment MHs (now based on MHs not tons for new steel / structure assemblies for high and low bus, CCVT &amp; switches</t>
  </si>
  <si>
    <t>Correct AFUDC Calulations on detailed summary tab</t>
  </si>
  <si>
    <t>Detailed Summary</t>
  </si>
  <si>
    <t>LND</t>
  </si>
  <si>
    <t>Land &amp; Easements</t>
  </si>
  <si>
    <t>In Service Dollars / Land costs</t>
  </si>
  <si>
    <t>Cumulative IS$ &amp; Land Costs</t>
  </si>
  <si>
    <t>Test / Comm. Engr. Labor (In House)</t>
  </si>
  <si>
    <t>Test / Comm. Engr. Labor (contractor)</t>
  </si>
  <si>
    <t>added field comm ( internal and external labor) to test area</t>
  </si>
  <si>
    <t>removed field comm from constr. area</t>
  </si>
  <si>
    <t>Trap Rock 3/4" Spread 6" Deep</t>
  </si>
  <si>
    <t>Added Trap Rock to Line 83 of the Substation tab</t>
  </si>
  <si>
    <t>Added yard lighting under Misc. Eqt.</t>
  </si>
  <si>
    <t xml:space="preserve">Updated PP4 links/ other </t>
  </si>
  <si>
    <t>CCH</t>
  </si>
  <si>
    <t>ls</t>
  </si>
  <si>
    <t>ea</t>
  </si>
  <si>
    <t>cy</t>
  </si>
  <si>
    <t>tn</t>
  </si>
  <si>
    <t>Add quantity summaries to the scope summary sheet, only qty with the right UOM get added in</t>
  </si>
  <si>
    <t>All detal takeoff sheets</t>
  </si>
  <si>
    <r>
      <t xml:space="preserve">30 C.Y. (4) per structure </t>
    </r>
    <r>
      <rPr>
        <b/>
        <sz val="10"/>
        <color rgb="FFFF0000"/>
        <rFont val="Arial"/>
        <family val="2"/>
      </rPr>
      <t xml:space="preserve">are included in a quantity of 1. </t>
    </r>
    <r>
      <rPr>
        <sz val="10"/>
        <rFont val="Arial"/>
        <family val="2"/>
      </rPr>
      <t>MHs revised to aligned with BMcD assemblies (4/3/23)</t>
    </r>
  </si>
  <si>
    <t xml:space="preserve">2.07 C.Y. (1) per structure.  MHs revised to aligned with BMcD assemblies (4/3/23)
</t>
  </si>
  <si>
    <t xml:space="preserve">20 C.Y. (1) per reactor.  MHs revised to aligned with BMcD assemblies (4/3/23) 
</t>
  </si>
  <si>
    <t xml:space="preserve">33.15 C.Y. (1) per breaker.  MHs revised to aligned with BMcD assemblies (4/3/23) 
</t>
  </si>
  <si>
    <r>
      <t xml:space="preserve">2.94 C.Y. (2) per 3 phase ckt switcher </t>
    </r>
    <r>
      <rPr>
        <b/>
        <sz val="10"/>
        <color rgb="FFFF0000"/>
        <rFont val="Arial"/>
        <family val="2"/>
      </rPr>
      <t xml:space="preserve">are included in a quantity of 1.  </t>
    </r>
    <r>
      <rPr>
        <sz val="10"/>
        <rFont val="Arial"/>
        <family val="2"/>
      </rPr>
      <t xml:space="preserve">MHs revised to aligned with BMcD assemblies (4/3/23)
</t>
    </r>
  </si>
  <si>
    <t xml:space="preserve">70 C.Y. (1) per reactor. MHs revised to aligned with BMcD assemblies (4/3/23) 
</t>
  </si>
  <si>
    <t xml:space="preserve">20 C.Y. (1) per reactor. MHs revised to aligned with BMcD assemblies (4/3/23) 
</t>
  </si>
  <si>
    <t xml:space="preserve">2.07 C.Y. (1) for 1 phase. MHs revised to aligned with BMcD assemblies (4/3/23)  
</t>
  </si>
  <si>
    <t xml:space="preserve">2.9 C.Y. (1) per cable riser 1 phase. MHs revised to aligned with BMcD assemblies (4/3/23) 
</t>
  </si>
  <si>
    <t xml:space="preserve">60 C.Y. (1) per auto-xformer.  MHs revised to aligned with BMcD assemblies (4/3/23) </t>
  </si>
  <si>
    <t>Qty incl containment, sumps, steel and rock over sumps. Incl excav and backfill, excl piles and firewall 
see database notes.  MHs revised to aligned with BMcD assemblies (4/3/23)</t>
  </si>
  <si>
    <t xml:space="preserve">Includes containment.  MHs revised to aligned with BMcD assemblies (4/3/23) 
</t>
  </si>
  <si>
    <t xml:space="preserve">800  C.Y.. MHs revised to aligned with BMcD assemblies (4/3/23) </t>
  </si>
  <si>
    <t xml:space="preserve">Qty incl containment, sumps, steel and rock over sumps. Incl excav and backfill, excl piles 
see database notes. MHs revised to aligned with BMcD assemblies (4/3/23) </t>
  </si>
  <si>
    <r>
      <t xml:space="preserve">39.4 C.Y. (2) per structure </t>
    </r>
    <r>
      <rPr>
        <b/>
        <sz val="10"/>
        <color rgb="FFFF0000"/>
        <rFont val="Arial"/>
        <family val="2"/>
      </rPr>
      <t xml:space="preserve">are included in a quantity of 1. </t>
    </r>
    <r>
      <rPr>
        <sz val="10"/>
        <rFont val="Arial"/>
        <family val="2"/>
      </rPr>
      <t xml:space="preserve">MHs revised to aligned with BMcD assemblies (4/3/23) 
</t>
    </r>
  </si>
  <si>
    <r>
      <t xml:space="preserve">4.3 C.Y. (2) for (1) 3 phase setup </t>
    </r>
    <r>
      <rPr>
        <b/>
        <sz val="10"/>
        <color rgb="FFFF0000"/>
        <rFont val="Arial"/>
        <family val="2"/>
      </rPr>
      <t>are included in a quantity of 1</t>
    </r>
    <r>
      <rPr>
        <sz val="10"/>
        <rFont val="Arial"/>
        <family val="2"/>
      </rPr>
      <t xml:space="preserve">. MHs revised to aligned with BMcD assemblies (4/3/23) </t>
    </r>
  </si>
  <si>
    <r>
      <t xml:space="preserve">3.46 C.Y. (2) per 3 phase cable riser </t>
    </r>
    <r>
      <rPr>
        <b/>
        <sz val="10"/>
        <color rgb="FFFF0000"/>
        <rFont val="Arial"/>
        <family val="2"/>
      </rPr>
      <t>are included in a quantity of 1</t>
    </r>
    <r>
      <rPr>
        <sz val="10"/>
        <rFont val="Arial"/>
        <family val="2"/>
      </rPr>
      <t xml:space="preserve">. MHs revised to aligned with BMcD assemblies (4/3/23) </t>
    </r>
  </si>
  <si>
    <t xml:space="preserve">10.49 C.Y. (1) per 3 phase ckt switcher. MHs revised to aligned with BMcD assemblies (4/3/23) </t>
  </si>
  <si>
    <t xml:space="preserve">1.86 C. Y. (1) per reactor / per phase (Cap Bank). MHs revised to aligned with BMcD assemblies (4/3/23) </t>
  </si>
  <si>
    <r>
      <t xml:space="preserve">1.86 C. Y. (3) per 3 phase Reactor </t>
    </r>
    <r>
      <rPr>
        <b/>
        <sz val="10"/>
        <color rgb="FFFF0000"/>
        <rFont val="Arial"/>
        <family val="2"/>
      </rPr>
      <t>are included in a quantity of 1</t>
    </r>
    <r>
      <rPr>
        <sz val="10"/>
        <rFont val="Arial"/>
        <family val="2"/>
      </rPr>
      <t xml:space="preserve">. MHs revised to aligned with BMcD assemblies (4/3/23) </t>
    </r>
  </si>
  <si>
    <r>
      <t xml:space="preserve">9.98 C.Y. (3) per cap bank </t>
    </r>
    <r>
      <rPr>
        <b/>
        <sz val="10"/>
        <color rgb="FFFF0000"/>
        <rFont val="Arial"/>
        <family val="2"/>
      </rPr>
      <t>are included in a quantity of 1</t>
    </r>
    <r>
      <rPr>
        <sz val="10"/>
        <rFont val="Arial"/>
        <family val="2"/>
      </rPr>
      <t xml:space="preserve">. MHs revised to aligned with BMcD assemblies (4/3/23) </t>
    </r>
  </si>
  <si>
    <t xml:space="preserve">2.97 C.Y. (1) per wavetrap. MHs revised to aligned with BMcD assemblies (4/3/23)  </t>
  </si>
  <si>
    <r>
      <t xml:space="preserve">1.49 C. Y. (2) for (1) 3 phase setup </t>
    </r>
    <r>
      <rPr>
        <b/>
        <sz val="10"/>
        <color rgb="FFFF0000"/>
        <rFont val="Arial"/>
        <family val="2"/>
      </rPr>
      <t>are included in a quantity of 1</t>
    </r>
    <r>
      <rPr>
        <sz val="10"/>
        <rFont val="Arial"/>
        <family val="2"/>
      </rPr>
      <t xml:space="preserve">. MHs revised to aligned with BMcD assemblies (4/3/23) </t>
    </r>
  </si>
  <si>
    <r>
      <t xml:space="preserve">1.49 C. Y. (6) for (1) 3 phase setup </t>
    </r>
    <r>
      <rPr>
        <b/>
        <sz val="10"/>
        <color rgb="FFFF0000"/>
        <rFont val="Arial"/>
        <family val="2"/>
      </rPr>
      <t>are included in a quantity of 1</t>
    </r>
    <r>
      <rPr>
        <sz val="10"/>
        <rFont val="Arial"/>
        <family val="2"/>
      </rPr>
      <t xml:space="preserve">. MHs revised to aligned with BMcD assemblies (4/3/23) </t>
    </r>
  </si>
  <si>
    <t xml:space="preserve">1.67 C.Y. (1) per structure. MHs revised to aligned with BMcD assemblies (4/3/23)  </t>
  </si>
  <si>
    <t xml:space="preserve">44 C.Y plus oil containment. MHs revised to aligned with BMcD assemblies (4/3/23)  </t>
  </si>
  <si>
    <t xml:space="preserve">Need info on pad size in order to est $. MHs revised to aligned with BMcD assemblies (4/3/23)  </t>
  </si>
  <si>
    <t xml:space="preserve">10 C.Y. (1) per mast. MHs revised to aligned with BMcD assemblies (4/3/23)  </t>
  </si>
  <si>
    <t xml:space="preserve">85 C.Y. total for (2) walls. MHs revised to aligned with BMcD assemblies (4/3/23)   </t>
  </si>
  <si>
    <t xml:space="preserve">Foundation MHs revised to aligned with BMcD assemblies: 345kV Terminal Structure, 345kV Wavetrap, 345kV Series Reactor 3 Phase, 345kV Breaker, 345kV 3 Ph. Circuit Switcher, 345kV 50-100 MVAR Shunt React, 345kV 160 MVAR Shunt React, 345kV 1Ph. Cable Riser Stand, 345kV Surge Arrester Stand,  345kV Reactor, 200 MVA Autotransformer (Single Phase), 345kV - 450 MVA Autotransformer (three phase) incl containment, 345-kV 600 MVA autotransformer incl containment, 345-kV 450 MVA Autotransformer incl containment, GIS Building Basement &amp; Found., 115kV Terminal Structure, 115kV 3 Ph. Surge Arrestor Stand, 115kV 3 Ph. Cable Riser Stand, 115kV 3 Ph. Circuit Switcher,  115kV Series Reactor Single Phase, 115kV Series Reactor Three Phase, 115kV 80 MVAR Shunt React (incl containment), 115kV 12.4 MVAR Cap Bank, 115kV 1200 A Wavetrap, 115kV 3 Phase CCVT Stand, 115kV 3 Phase LA &amp; CCVT Stand, 115kV Power PT Stand, 115kV/13.8kV 50 MVA 3 Phase Trans, 25 MVA 3 Phase Transformer, Lightning Mast &amp; Firewall / Sound Barrier
</t>
  </si>
  <si>
    <t>BMcd foundation take-offs</t>
  </si>
  <si>
    <t xml:space="preserve">Revised SS tab terminations to UOM of EA, previously shown as LF
</t>
  </si>
  <si>
    <t xml:space="preserve">Cable, Control, #12 SIS Switchboard cable </t>
  </si>
  <si>
    <t xml:space="preserve">Cable, Control, #14 SIS Switchboard cable </t>
  </si>
  <si>
    <t xml:space="preserve">Cable, Control, #10 SIS Switchboard cable  </t>
  </si>
  <si>
    <t>Delta sheet</t>
  </si>
  <si>
    <t>Detailed Summary / PP4 backup sheet</t>
  </si>
  <si>
    <t>Other ( property taxes and BAR)</t>
  </si>
  <si>
    <t>Sales Tax (Eversouce)</t>
  </si>
  <si>
    <t>Sales Tax (outside services)</t>
  </si>
  <si>
    <t>Split the sales tax row on material to be separate for eversource vs. outside services</t>
  </si>
  <si>
    <t>Constr. Purchased Mat'l (Eversource)</t>
  </si>
  <si>
    <t>Constr. Purchased Mat'l (contracted)</t>
  </si>
  <si>
    <t>Detailed Summary &amp; Delta sheet</t>
  </si>
  <si>
    <r>
      <t xml:space="preserve">Split the constr. purchased row on material to be separate for eversource vs. outside services </t>
    </r>
    <r>
      <rPr>
        <b/>
        <sz val="11"/>
        <color rgb="FFFF0000"/>
        <rFont val="Calibri"/>
        <family val="2"/>
        <scheme val="minor"/>
      </rPr>
      <t>( note estimators should evaluate this costs on large projects)</t>
    </r>
  </si>
  <si>
    <t>Removed merged cells on Delta sheet
 and replaced them with center across selection / wrap format</t>
  </si>
  <si>
    <t>Transformer Foundation Without Containment 18' 6" x  9' x 4' 6" Deep  - Eversource Standard Foundation Drawing # 16002 -11003 PG1</t>
  </si>
  <si>
    <t>Transformer Foundation Without Containment 18' 6" x  9' x 4' 6" Deep</t>
  </si>
  <si>
    <t>Added Veg mgmt. to pmt groups</t>
  </si>
  <si>
    <t>Veg. Mgmt</t>
  </si>
  <si>
    <t>Project Support Vendor - Veg. Mgmt.</t>
  </si>
  <si>
    <t>Changed WBS on all tax and CWIP to show in Other category, this also needed to be added to the input to the PP4 backup sheet to pick it up.</t>
  </si>
  <si>
    <t>Commodity prices are volatile</t>
  </si>
  <si>
    <t>Logistics/Shipping difficulties have been encountered by other projects</t>
  </si>
  <si>
    <t>Added Risk items to expand the list visible to colum N for items and W for pricing</t>
  </si>
  <si>
    <t xml:space="preserve">If Risk items were added beyond the first seven, they were not visible on the cover sheet.  </t>
  </si>
  <si>
    <t>Clear &amp; Grub site ( small trees)</t>
  </si>
  <si>
    <t xml:space="preserve">Soil Striping - Scrape down 6" inches and stockpile </t>
  </si>
  <si>
    <t>Clear &amp; Grub site ( Large trees)</t>
  </si>
  <si>
    <t>Tree Removal (Cutting) - Dense</t>
  </si>
  <si>
    <t>Backfill (Foundations) - from site spoils</t>
  </si>
  <si>
    <t>Site Fill - Supply, Spread, and Compact - 6" inches deep</t>
  </si>
  <si>
    <t>Site Development</t>
  </si>
  <si>
    <t>Backfill (Foundations) - Imported fill</t>
  </si>
  <si>
    <t>1.92a</t>
  </si>
  <si>
    <t>Removed +BJ109+BJ125 from Line 178 column BJ</t>
  </si>
  <si>
    <t>Found an incorrect formula adding extra $$ to the ADFUC calc.</t>
  </si>
  <si>
    <t>Adjusted from E46 to E41 for change in showing reimbursables</t>
  </si>
  <si>
    <t>Adjusted estimate range in line 56 to reference Project funding instead of Project total</t>
  </si>
  <si>
    <t>Adjusted key quantity in line 47 to reference Project funding instead of Project total</t>
  </si>
  <si>
    <t>Simplified mob/demob formula on SS, Add Est, and OH const tabs</t>
  </si>
  <si>
    <t>Substation Construction / Add Est Input / OH Construction</t>
  </si>
  <si>
    <t>Simplified mob/demob formula to be the total minus the Eversource material</t>
  </si>
  <si>
    <t>Material costs based on quote from Trench for DER's dated 4/14/23 Quote# 22311716</t>
  </si>
  <si>
    <t>13.8 KV, (3)-1 Phase 3,000 amp/0.5 ohm/stacked design reactors</t>
  </si>
  <si>
    <t>Material pricing from Maximo # 513727</t>
  </si>
  <si>
    <t>Cable, 15kV, EPR, UG, 3/C, 350 kcmil</t>
  </si>
  <si>
    <t>Material pricing from Maximo # 514058</t>
  </si>
  <si>
    <t>Material pricing from Maximo # 514048</t>
  </si>
  <si>
    <t>Cable, 35kV, EPR, UG, 1/C, 4/0 AWG Al</t>
  </si>
  <si>
    <t>Cable, 25kV, EPR, UG, 3/C, 1000 kcmil Cu</t>
  </si>
  <si>
    <t>Splice, 25kV, Transitional, 750-1000 kcmil</t>
  </si>
  <si>
    <t>Material pricing from Maximo # 590821</t>
  </si>
  <si>
    <t>Kit, Heat Shrink, 25 KV, 750-1000, 3-1/C EPR TO 3/C PILC</t>
  </si>
  <si>
    <t>Material pricing from Maximo # 579933</t>
  </si>
  <si>
    <t>updates on 6/22/2023</t>
  </si>
  <si>
    <t>adjusted the CT E&amp;S rates</t>
  </si>
  <si>
    <t>Indirect rates</t>
  </si>
  <si>
    <t>Input the latest rock coring and excavation numbers</t>
  </si>
  <si>
    <t>OH constr.</t>
  </si>
  <si>
    <t>Rock Coring - 8' dia (96")</t>
  </si>
  <si>
    <t>Rock Coring - 9' dia (108")</t>
  </si>
  <si>
    <t>Rock Coring - 4' dia (48")</t>
  </si>
  <si>
    <t>Rock Coring - 5' dia (60")</t>
  </si>
  <si>
    <t>Rock Coring - 6' dia (72")</t>
  </si>
  <si>
    <t>Rock Coring - 7' dia (84")</t>
  </si>
  <si>
    <t>Rock Coring - 10' dia (120")</t>
  </si>
  <si>
    <t>Rock Coring - 11' dia (132")</t>
  </si>
  <si>
    <t>Rock Coring - 12' dia (144")</t>
  </si>
  <si>
    <t>Pricing based on 2023 quote</t>
  </si>
  <si>
    <t>Excavation - Site, Rock - Ripable</t>
  </si>
  <si>
    <t>Excavation - Site, Rock - Blasting</t>
  </si>
  <si>
    <t>Excavation, Topsoil Scrape down 6" inches and stockpile,  (Install)</t>
  </si>
  <si>
    <t>Reimbursable</t>
  </si>
  <si>
    <t>Enter Reimbursable Percentage</t>
  </si>
  <si>
    <t>Added Reimbursable section to Data Input Tab, Updated Calcs to reference % on Detail summary, added Escalation to detail summary for reimbursable lines to account for % across time</t>
  </si>
  <si>
    <t>Data Input, Detail Summary</t>
  </si>
  <si>
    <t>GAB</t>
  </si>
  <si>
    <t>BAR Insurance</t>
  </si>
  <si>
    <t>Station</t>
  </si>
  <si>
    <t>Lines</t>
  </si>
  <si>
    <t>BAR Use Rate</t>
  </si>
  <si>
    <t>Estimate Over 50M?</t>
  </si>
  <si>
    <t>Added BAR Calc to detail summary and input section</t>
  </si>
  <si>
    <t>Recommended Rates</t>
  </si>
  <si>
    <t>Rate Override</t>
  </si>
  <si>
    <t>Use Rates</t>
  </si>
  <si>
    <t>Required</t>
  </si>
  <si>
    <t>Identify Potential</t>
  </si>
  <si>
    <t xml:space="preserve">   ERM impacts         ( if applicable)</t>
  </si>
  <si>
    <t>Single Contingency Line Loss</t>
  </si>
  <si>
    <t>Risks Identification</t>
  </si>
  <si>
    <t>Actuals to date (Formatted by E-Builder WBS codes)</t>
  </si>
  <si>
    <t>Any Available</t>
  </si>
  <si>
    <t>Vendor or Const. bids</t>
  </si>
  <si>
    <t>Scope &amp; Cost</t>
  </si>
  <si>
    <t xml:space="preserve">   Land</t>
  </si>
  <si>
    <t xml:space="preserve">   Legal</t>
  </si>
  <si>
    <t>Any major costs anticipated such as a large remediation effort</t>
  </si>
  <si>
    <t xml:space="preserve">   Enviromental</t>
  </si>
  <si>
    <t xml:space="preserve">Scope &amp; Cost </t>
  </si>
  <si>
    <t>Type of Outreach Req'd</t>
  </si>
  <si>
    <t xml:space="preserve">   Project services</t>
  </si>
  <si>
    <t>Type of Siting Req'd</t>
  </si>
  <si>
    <t xml:space="preserve">   Siting</t>
  </si>
  <si>
    <t>Input (scope &amp; cost) from supporting groups</t>
  </si>
  <si>
    <t>Detailed</t>
  </si>
  <si>
    <t>Overview - constr. execution</t>
  </si>
  <si>
    <t>Construciblilty review (Form)</t>
  </si>
  <si>
    <t>Milestone dates</t>
  </si>
  <si>
    <t>P6 Schedule</t>
  </si>
  <si>
    <t>IFC</t>
  </si>
  <si>
    <t>Preliminary</t>
  </si>
  <si>
    <t>OOM</t>
  </si>
  <si>
    <t>Engr. Deliverables Checklist by each disipline with project scope</t>
  </si>
  <si>
    <t>Engr. Deliverables by discipline with project scope</t>
  </si>
  <si>
    <t>-10% / 10%</t>
  </si>
  <si>
    <t>-25% / 25%</t>
  </si>
  <si>
    <t>-25% / 50%</t>
  </si>
  <si>
    <t>-50% / 200%</t>
  </si>
  <si>
    <t>Not Distinct Est. Category</t>
  </si>
  <si>
    <t>Full Funding</t>
  </si>
  <si>
    <t>SDC (preferred alt)</t>
  </si>
  <si>
    <t>SDC ( alternates)</t>
  </si>
  <si>
    <t>Order of Magnitude (OOM)</t>
  </si>
  <si>
    <t>Level of estimate</t>
  </si>
  <si>
    <t>Rev 01</t>
  </si>
  <si>
    <t>Table of Deliverables for Estimates by Estimate Grade</t>
  </si>
  <si>
    <t>* Reference deliverables required for each level of estimate grade</t>
  </si>
  <si>
    <t>Recommendations</t>
  </si>
  <si>
    <t>Date of Review</t>
  </si>
  <si>
    <t>Peer 1</t>
  </si>
  <si>
    <t>Reviewer</t>
  </si>
  <si>
    <t>If No, explain:</t>
  </si>
  <si>
    <t>Prior or Related Estimate(s) in Delta Sheet?</t>
  </si>
  <si>
    <t>Is estimate over $50M? (If so is BAR Included?)</t>
  </si>
  <si>
    <t>SCS &amp; Siting appropriate for type of work?</t>
  </si>
  <si>
    <t>Environmental permitting &amp; Construction support accounted for?</t>
  </si>
  <si>
    <t>Construction Rep and LCE sufficient for project?</t>
  </si>
  <si>
    <t>Contingency and Risk in line with est. type?</t>
  </si>
  <si>
    <t>Escalation allocated correctly across project time frame?</t>
  </si>
  <si>
    <t>Prior spending accounted for?</t>
  </si>
  <si>
    <t>Milestones / schedule reasonable to execute scope?</t>
  </si>
  <si>
    <t>PM Support sufficient for proj?</t>
  </si>
  <si>
    <t>Scope deliverables match expectations for estimate class?</t>
  </si>
  <si>
    <t>Indirect/AFUDC rates are current and correctly applied?</t>
  </si>
  <si>
    <t>Manpower/Mandays sufficient for project?</t>
  </si>
  <si>
    <t>Estimate within bounds of Benchmarks?</t>
  </si>
  <si>
    <t>Items Checked</t>
  </si>
  <si>
    <t>Purpose of Estimate</t>
  </si>
  <si>
    <t>Project Region:</t>
  </si>
  <si>
    <t>Recommended Risk</t>
  </si>
  <si>
    <t>Level of Estimate:</t>
  </si>
  <si>
    <t>Job Description:</t>
  </si>
  <si>
    <t xml:space="preserve">Revsion of Est: </t>
  </si>
  <si>
    <t>Est#:</t>
  </si>
  <si>
    <t>Date of Est:</t>
  </si>
  <si>
    <t>Work Order:</t>
  </si>
  <si>
    <t>Requestor:</t>
  </si>
  <si>
    <t>Project Work Type:</t>
  </si>
  <si>
    <t>Added conditional formatting formula to data input so if invalid date is entered for ISD or start date, cell highlights red</t>
  </si>
  <si>
    <t xml:space="preserve">Data Input </t>
  </si>
  <si>
    <t>Invalid dates in ISD breaks afudc calc</t>
  </si>
  <si>
    <t>Updated AFUDC rates</t>
  </si>
  <si>
    <t>AFUDC rates</t>
  </si>
  <si>
    <t>Template Revision # 01.92a</t>
  </si>
  <si>
    <t xml:space="preserve">                                                                                             </t>
  </si>
  <si>
    <t>Control house Buidling</t>
  </si>
  <si>
    <t>E-23-373</t>
  </si>
  <si>
    <t>Battery Storage - Hyde Park</t>
  </si>
  <si>
    <t>Michael Rosenburg</t>
  </si>
  <si>
    <t>PAG</t>
  </si>
  <si>
    <t>BESS</t>
  </si>
  <si>
    <t>Project Scope: Battery Energy Storage System</t>
  </si>
  <si>
    <t>Co 1</t>
  </si>
  <si>
    <t>Co 2</t>
  </si>
  <si>
    <t>Co 3</t>
  </si>
  <si>
    <t>Co 4</t>
  </si>
  <si>
    <t>Co 5</t>
  </si>
  <si>
    <t>2a</t>
  </si>
  <si>
    <t>2b</t>
  </si>
  <si>
    <t xml:space="preserve"> $                       -  </t>
  </si>
  <si>
    <t>cost</t>
  </si>
  <si>
    <t>2c</t>
  </si>
  <si>
    <t>hours</t>
  </si>
  <si>
    <t xml:space="preserve">Labor </t>
  </si>
  <si>
    <t>2d</t>
  </si>
  <si>
    <t xml:space="preserve">Equipment </t>
  </si>
  <si>
    <t>2e</t>
  </si>
  <si>
    <t>2f</t>
  </si>
  <si>
    <t>2g</t>
  </si>
  <si>
    <t>work days based on schedule</t>
  </si>
  <si>
    <t>2h</t>
  </si>
  <si>
    <t>2i</t>
  </si>
  <si>
    <t>avg hr/day</t>
  </si>
  <si>
    <t>2j</t>
  </si>
  <si>
    <t>PM</t>
  </si>
  <si>
    <t>2k</t>
  </si>
  <si>
    <t>weeks</t>
  </si>
  <si>
    <t>2l</t>
  </si>
  <si>
    <t>2m</t>
  </si>
  <si>
    <t xml:space="preserve">Eliminated company 2 and 4 , average of remaining </t>
  </si>
  <si>
    <t>Hyde Park SS</t>
  </si>
  <si>
    <t>Indicative pricing for Hyde Park SS</t>
  </si>
  <si>
    <t>Transportation and Spare Parts</t>
  </si>
  <si>
    <t>Battery system and all subcomponents</t>
  </si>
  <si>
    <t>PCS Units</t>
  </si>
  <si>
    <t>Step up Transformers</t>
  </si>
  <si>
    <t>based on pricing provided for BESS indicative pricing dated 7/28/23</t>
  </si>
  <si>
    <t>based on pricing provided for BESS indicative pricing dated 7/28/24</t>
  </si>
  <si>
    <t>based on pricing provided for BESS indicative pricing dated 7/28/25</t>
  </si>
  <si>
    <t>based on pricing provided for BESS indicative pricing dated 7/28/26</t>
  </si>
  <si>
    <t>based on pricing provided for BESS indicative pricing dated 7/28/27</t>
  </si>
  <si>
    <t>based on pricing provided for BESS indicative pricing dated 7/28/28</t>
  </si>
  <si>
    <t>10 man crew</t>
  </si>
  <si>
    <t xml:space="preserve">6 man crew </t>
  </si>
  <si>
    <t>10 hr day</t>
  </si>
  <si>
    <t>Crew days based on hours</t>
  </si>
  <si>
    <t>interconnection to grid switch time</t>
  </si>
  <si>
    <t>275 crew days based on 10 man crew 10 hr days</t>
  </si>
  <si>
    <t>asst pm and external suppport</t>
  </si>
  <si>
    <t>as per Estimate request 7/28/23</t>
  </si>
  <si>
    <t xml:space="preserve">Eversource testing and commisioning of system </t>
  </si>
  <si>
    <t>Additional outreach</t>
  </si>
  <si>
    <t>Additional Siting costs</t>
  </si>
  <si>
    <t>Additional Environmental costs</t>
  </si>
  <si>
    <t>D Piccorelli</t>
  </si>
  <si>
    <t xml:space="preserve">Est Basis  Doc </t>
  </si>
  <si>
    <t>To be filled out</t>
  </si>
  <si>
    <t xml:space="preserve">Cover </t>
  </si>
  <si>
    <t>Confirm risk % within benchmark limits</t>
  </si>
  <si>
    <t>]</t>
  </si>
  <si>
    <t>Cover/ Scope</t>
  </si>
  <si>
    <t>Line 70 correct "suppresion" to "suppression"</t>
  </si>
  <si>
    <t xml:space="preserve">Cover/Assumption </t>
  </si>
  <si>
    <t>Line 82 correct "evrsource to "Eversource"</t>
  </si>
  <si>
    <t>Line 64 -correct "Stoage" to "storage"</t>
  </si>
  <si>
    <t>Additional Est Input</t>
  </si>
  <si>
    <t>WBS Codes are missing</t>
  </si>
  <si>
    <t>Internal CR oversight for external resources.  ER says external labor contracted.  If you decide to change the 8hr day will increase to 10hr days</t>
  </si>
  <si>
    <t>Peer 2- CFJ</t>
  </si>
  <si>
    <t>corrected</t>
  </si>
  <si>
    <t>added</t>
  </si>
  <si>
    <t>changed</t>
  </si>
  <si>
    <t>based on crew days and an 10 hour day</t>
  </si>
  <si>
    <t>yes</t>
  </si>
  <si>
    <t>estimate request</t>
  </si>
  <si>
    <t>in folder</t>
  </si>
  <si>
    <t>indicative pricing sheet</t>
  </si>
  <si>
    <t>completed</t>
  </si>
  <si>
    <t>adjusted</t>
  </si>
  <si>
    <t>Contaminated soil removal</t>
  </si>
  <si>
    <t>Addtl Est Input</t>
  </si>
  <si>
    <t>Notes - lines 10-15 - is referenced doc housed in estimate file? Turnkey scope..ref on Cover tab?</t>
  </si>
  <si>
    <t>Line 81 - expand on generic proposal ref</t>
  </si>
  <si>
    <t>Littlefield</t>
  </si>
  <si>
    <t>Capitalize Line 65</t>
  </si>
  <si>
    <t>Cover Scope</t>
  </si>
  <si>
    <t>Add Line 14 Hours</t>
  </si>
  <si>
    <r>
      <t xml:space="preserve">After  changes adjust to </t>
    </r>
    <r>
      <rPr>
        <sz val="11"/>
        <color theme="1"/>
        <rFont val="Calibri"/>
        <family val="2"/>
      </rPr>
      <t>±12-15% with a 70/30 ratio</t>
    </r>
  </si>
  <si>
    <t>Remove quoted labor and equipment from mob/demob - Change the formula in cell 9T - Color 9T yellow - Add a note in 9AB</t>
  </si>
  <si>
    <t>Additional Estimate Input</t>
  </si>
  <si>
    <t>Evaluation and review of P&amp;C provided by PMT</t>
  </si>
  <si>
    <t>teelcom review hours</t>
  </si>
  <si>
    <t>Environmental, review and permitting</t>
  </si>
  <si>
    <t>DEP Waste Management Post Closure Permit</t>
  </si>
  <si>
    <t>Information received from Environmental Project Review Sheet dated 2/14/2023</t>
  </si>
  <si>
    <t>Permit required, information received from Environmental Project Review Sheet dated 2/14/2023</t>
  </si>
  <si>
    <t>Possible if Mass DPU is needed. Information from Environmental Project Review document dated 2/14/2023</t>
  </si>
  <si>
    <t>Possible if if design exceeds 25MW for Transmission. Information from Environmental Project Review document dated 2/14/2022</t>
  </si>
  <si>
    <t>Possible if if design disturbs 1 acre or more of land. Inspections for the duration of project(14 mos/8hr per mo)  Information from Environmental Project Review document dated 2/14/2022</t>
  </si>
  <si>
    <t>Soil Disposal Plan</t>
  </si>
  <si>
    <t>Time allowance for Plan development, by estimator</t>
  </si>
  <si>
    <t>Start date should be the date of the first prior</t>
  </si>
  <si>
    <t>Acknowledge response in column H</t>
  </si>
  <si>
    <t>Corrected</t>
  </si>
  <si>
    <t>Acknowledged</t>
  </si>
  <si>
    <t>Commisioning Support</t>
  </si>
  <si>
    <t>hours added</t>
  </si>
  <si>
    <t>isnt included, added note.</t>
  </si>
  <si>
    <t xml:space="preserve">Does not include MOB/DEMOB for Contractor labor and equipment. </t>
  </si>
  <si>
    <t>will adjust</t>
  </si>
  <si>
    <t>Changed to 12/1/2022</t>
  </si>
  <si>
    <t>added more to note on cover.</t>
  </si>
  <si>
    <t>mobilization is included and subtracted from MOB DEMOB Above.</t>
  </si>
  <si>
    <t>2-2MW Generator locations at 33.6K ea/3 mo. Placed into other for Rental costs. Total rental costs split between labor and equipment 45/55%</t>
  </si>
  <si>
    <t>As per P&amp;C and PMT</t>
  </si>
  <si>
    <t>3 days per construction week and 8+ hours per week for lead up year +40 for close out</t>
  </si>
  <si>
    <t>Review hours</t>
  </si>
  <si>
    <t>8 weeks for scada settings and layout</t>
  </si>
  <si>
    <t>6 weeks for telecom, walk down layout and support</t>
  </si>
  <si>
    <t>30 weeks for external vendor P&amp;C planning and layout and relay settings;</t>
  </si>
  <si>
    <t>external vendor station design, system integration and layout, 42 weeks</t>
  </si>
  <si>
    <t>3 weeks for review</t>
  </si>
  <si>
    <t>Peer 3 - BLR</t>
  </si>
  <si>
    <t>Should there be prior charges included in estimate?</t>
  </si>
  <si>
    <t>Indirects tab</t>
  </si>
  <si>
    <t>Update the indirects to template 1.93</t>
  </si>
  <si>
    <t>Priors are included. Added note to cover.</t>
  </si>
  <si>
    <t>updated.</t>
  </si>
  <si>
    <t>2027 Rental - Spot Generation</t>
  </si>
  <si>
    <t>BESS contract for Hyde Park PV site labor and equipment</t>
  </si>
  <si>
    <t>Labor and material was taken from company #3 of 5 on the indicative pricing sheet, dated 7/28/2023</t>
  </si>
  <si>
    <t>Labor and material was taken from company #3 of 5 on the indicative pricing sheet, dated 7/28/2024</t>
  </si>
  <si>
    <t>Labor and material was taken from company #3 of 5  on the indicative pricing sheet, dated 7/28/2025</t>
  </si>
  <si>
    <t>Labor and material was taken from company #3 of 5  on the indicative pricing sheet, dated 7/28/2023</t>
  </si>
  <si>
    <t>Labor and material was taken from company #3 of 5on the indicative pricing sheet, dated 7/28/2023</t>
  </si>
  <si>
    <t>journal entry adj</t>
  </si>
  <si>
    <t>other</t>
  </si>
  <si>
    <t>Site Sound Mitigation</t>
  </si>
  <si>
    <t>SSVT's</t>
  </si>
  <si>
    <t>switchgear 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</si>
</sst>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_(* #,##0_);_(* \(#,##0\);_(* &quot;-&quot;??_);_(@_)"/>
    <numFmt numFmtId="167" formatCode="_(&quot;$&quot;* #,##0.000_);_(&quot;$&quot;* \(#,##0.000\);_(&quot;$&quot;* &quot;-&quot;??_);_(@_)"/>
    <numFmt numFmtId="168" formatCode="&quot;$&quot;#,##0"/>
    <numFmt numFmtId="169" formatCode="&quot;$&quot;#,##0.00"/>
    <numFmt numFmtId="170" formatCode="_(&quot;$&quot;* #,##0_);_(&quot;$&quot;* \(#,##0\);_(&quot;$&quot;* &quot;-&quot;??_);_(@_)"/>
    <numFmt numFmtId="171" formatCode="mm/dd/yy"/>
    <numFmt numFmtId="172" formatCode="_(* #,##0.0_);_(* \(#,##0.0\);_(* &quot;-&quot;??_);_(@_)"/>
    <numFmt numFmtId="173" formatCode="_(* #,##0.0000_);_(* \(#,##0.0000\);_(* &quot;-&quot;????_);_(@_)"/>
    <numFmt numFmtId="174" formatCode="0.0000"/>
    <numFmt numFmtId="175" formatCode="0.0"/>
    <numFmt numFmtId="176" formatCode="&quot;$&quot;#,##0.0"/>
    <numFmt numFmtId="177" formatCode="yyyy\-mm\-dd;@"/>
    <numFmt numFmtId="178" formatCode="yyyy"/>
    <numFmt numFmtId="179" formatCode="m/d/yyyy;@"/>
    <numFmt numFmtId="180" formatCode="m/d/yy;@"/>
    <numFmt numFmtId="181" formatCode="[$-409]dd\-mmm\-yy;@"/>
    <numFmt numFmtId="182" formatCode="_(* #,##0.0000_);_(* \(#,##0.0000\);_(* &quot;-&quot;??_);_(@_)"/>
    <numFmt numFmtId="183" formatCode="0.000"/>
    <numFmt numFmtId="184" formatCode="#,##0.0"/>
    <numFmt numFmtId="185" formatCode="_(* #,##0.0_);_(* \(#,##0.0\);_(* &quot;-&quot;?_);_(@_)"/>
    <numFmt numFmtId="186" formatCode="0.00000"/>
  </numFmts>
  <fonts count="142" x14ac:knownFonts="1">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4"/>
      <name val="Arial"/>
      <family val="2"/>
    </font>
    <font>
      <sz val="8"/>
      <name val="Helv"/>
    </font>
    <font>
      <b/>
      <sz val="12"/>
      <name val="Arial"/>
      <family val="2"/>
    </font>
    <font>
      <sz val="10"/>
      <name val="Arial"/>
      <family val="2"/>
    </font>
    <font>
      <b/>
      <sz val="10"/>
      <name val="Arial"/>
      <family val="2"/>
    </font>
    <font>
      <sz val="11"/>
      <name val="Century Schoolbook"/>
      <family val="1"/>
    </font>
    <font>
      <sz val="10"/>
      <color theme="0"/>
      <name val="Arial"/>
      <family val="2"/>
    </font>
    <font>
      <sz val="9"/>
      <color indexed="81"/>
      <name val="Tahoma"/>
      <family val="2"/>
    </font>
    <font>
      <sz val="8"/>
      <name val="Arial"/>
      <family val="2"/>
    </font>
    <font>
      <b/>
      <u/>
      <sz val="12"/>
      <name val="Arial"/>
      <family val="2"/>
    </font>
    <font>
      <sz val="12"/>
      <name val="Arial"/>
      <family val="2"/>
    </font>
    <font>
      <sz val="9"/>
      <name val="Arial"/>
      <family val="2"/>
    </font>
    <font>
      <b/>
      <sz val="8"/>
      <name val="Arial"/>
      <family val="2"/>
    </font>
    <font>
      <sz val="16"/>
      <name val="Times New Roman"/>
      <family val="1"/>
    </font>
    <font>
      <sz val="14"/>
      <name val="Times New Roman"/>
      <family val="1"/>
    </font>
    <font>
      <b/>
      <sz val="16"/>
      <name val="Arial"/>
      <family val="2"/>
    </font>
    <font>
      <sz val="16"/>
      <name val="Arial"/>
      <family val="2"/>
    </font>
    <font>
      <sz val="10"/>
      <name val="MS Sans Serif"/>
      <family val="2"/>
    </font>
    <font>
      <sz val="14"/>
      <name val="Arial"/>
      <family val="2"/>
    </font>
    <font>
      <sz val="8"/>
      <name val="Times New Roman"/>
      <family val="1"/>
    </font>
    <font>
      <sz val="14"/>
      <name val="Helv"/>
    </font>
    <font>
      <b/>
      <sz val="14"/>
      <name val="Helv"/>
    </font>
    <font>
      <b/>
      <sz val="8"/>
      <name val="Times New Roman"/>
      <family val="1"/>
    </font>
    <font>
      <b/>
      <sz val="14"/>
      <color indexed="10"/>
      <name val="Arial"/>
      <family val="2"/>
    </font>
    <font>
      <sz val="11"/>
      <color theme="1"/>
      <name val="Calibri"/>
      <family val="2"/>
    </font>
    <font>
      <b/>
      <u/>
      <sz val="11"/>
      <color theme="1"/>
      <name val="Calibri"/>
      <family val="2"/>
    </font>
    <font>
      <b/>
      <sz val="11"/>
      <color theme="1"/>
      <name val="Calibri"/>
      <family val="2"/>
    </font>
    <font>
      <sz val="10"/>
      <color theme="1"/>
      <name val="Calibri"/>
      <family val="2"/>
    </font>
    <font>
      <sz val="9"/>
      <color theme="1"/>
      <name val="Calibri"/>
      <family val="2"/>
    </font>
    <font>
      <b/>
      <sz val="10"/>
      <color rgb="FF000000"/>
      <name val="Arial"/>
      <family val="2"/>
    </font>
    <font>
      <sz val="10"/>
      <color rgb="FF000000"/>
      <name val="Arial"/>
      <family val="2"/>
    </font>
    <font>
      <sz val="10"/>
      <name val="Cambria"/>
      <family val="1"/>
    </font>
    <font>
      <b/>
      <sz val="11"/>
      <color rgb="FF008080"/>
      <name val="Cambria"/>
      <family val="1"/>
    </font>
    <font>
      <sz val="11"/>
      <color rgb="FF000000"/>
      <name val="Cambria"/>
      <family val="1"/>
    </font>
    <font>
      <sz val="11"/>
      <color rgb="FF008080"/>
      <name val="Cambria"/>
      <family val="1"/>
    </font>
    <font>
      <b/>
      <sz val="10"/>
      <color indexed="12"/>
      <name val="Arial"/>
      <family val="2"/>
    </font>
    <font>
      <b/>
      <sz val="20"/>
      <name val="Arial"/>
      <family val="2"/>
    </font>
    <font>
      <b/>
      <sz val="22"/>
      <name val="Arial"/>
      <family val="2"/>
    </font>
    <font>
      <sz val="11"/>
      <color indexed="8"/>
      <name val="Arial"/>
      <family val="2"/>
    </font>
    <font>
      <b/>
      <sz val="14"/>
      <color indexed="8"/>
      <name val="Arial"/>
      <family val="2"/>
    </font>
    <font>
      <sz val="12"/>
      <color indexed="8"/>
      <name val="Arial"/>
      <family val="2"/>
    </font>
    <font>
      <b/>
      <u/>
      <sz val="16"/>
      <color indexed="8"/>
      <name val="Arial"/>
      <family val="2"/>
    </font>
    <font>
      <b/>
      <u/>
      <sz val="14"/>
      <color indexed="8"/>
      <name val="Arial"/>
      <family val="2"/>
    </font>
    <font>
      <sz val="14"/>
      <color indexed="8"/>
      <name val="Arial"/>
      <family val="2"/>
    </font>
    <font>
      <sz val="16"/>
      <color indexed="8"/>
      <name val="Arial"/>
      <family val="2"/>
    </font>
    <font>
      <b/>
      <sz val="16"/>
      <color indexed="9"/>
      <name val="Arial"/>
      <family val="2"/>
    </font>
    <font>
      <sz val="11"/>
      <color indexed="8"/>
      <name val="Calibri"/>
      <family val="2"/>
    </font>
    <font>
      <b/>
      <sz val="11"/>
      <color indexed="8"/>
      <name val="Arial"/>
      <family val="2"/>
    </font>
    <font>
      <b/>
      <sz val="12"/>
      <color indexed="8"/>
      <name val="Arial"/>
      <family val="2"/>
    </font>
    <font>
      <b/>
      <u/>
      <sz val="12"/>
      <color indexed="8"/>
      <name val="Arial"/>
      <family val="2"/>
    </font>
    <font>
      <b/>
      <sz val="12"/>
      <color indexed="16"/>
      <name val="Arial"/>
      <family val="2"/>
    </font>
    <font>
      <b/>
      <sz val="10"/>
      <color indexed="16"/>
      <name val="Arial"/>
      <family val="2"/>
    </font>
    <font>
      <b/>
      <sz val="20"/>
      <name val="Times New Roman"/>
      <family val="1"/>
    </font>
    <font>
      <sz val="11"/>
      <color theme="7" tint="0.39997558519241921"/>
      <name val="Calibri"/>
      <family val="2"/>
      <scheme val="minor"/>
    </font>
    <font>
      <b/>
      <sz val="9"/>
      <color indexed="81"/>
      <name val="Tahoma"/>
      <family val="2"/>
    </font>
    <font>
      <b/>
      <sz val="11"/>
      <name val="Arial"/>
      <family val="2"/>
    </font>
    <font>
      <b/>
      <u/>
      <sz val="10"/>
      <name val="Arial"/>
      <family val="2"/>
    </font>
    <font>
      <strike/>
      <sz val="10"/>
      <name val="Arial"/>
      <family val="2"/>
    </font>
    <font>
      <sz val="8"/>
      <name val="Verdana"/>
      <family val="2"/>
    </font>
    <font>
      <sz val="8"/>
      <color indexed="12"/>
      <name val="Arial"/>
      <family val="2"/>
    </font>
    <font>
      <b/>
      <sz val="12"/>
      <color indexed="12"/>
      <name val="Arial"/>
      <family val="2"/>
    </font>
    <font>
      <b/>
      <sz val="8"/>
      <color indexed="12"/>
      <name val="Arial"/>
      <family val="2"/>
    </font>
    <font>
      <b/>
      <sz val="8"/>
      <color indexed="10"/>
      <name val="Arial"/>
      <family val="2"/>
    </font>
    <font>
      <b/>
      <sz val="10"/>
      <name val="Verdana"/>
      <family val="2"/>
    </font>
    <font>
      <sz val="20"/>
      <name val="Arial"/>
      <family val="2"/>
    </font>
    <font>
      <sz val="20"/>
      <color indexed="8"/>
      <name val="Arial"/>
      <family val="2"/>
    </font>
    <font>
      <b/>
      <sz val="16"/>
      <color indexed="8"/>
      <name val="Arial"/>
      <family val="2"/>
    </font>
    <font>
      <b/>
      <sz val="9"/>
      <name val="Arial"/>
      <family val="2"/>
    </font>
    <font>
      <b/>
      <u/>
      <sz val="20"/>
      <name val="Arial"/>
      <family val="2"/>
    </font>
    <font>
      <sz val="10"/>
      <color theme="1"/>
      <name val="Calibri"/>
      <family val="2"/>
      <scheme val="minor"/>
    </font>
    <font>
      <b/>
      <sz val="10.5"/>
      <color theme="1" tint="0.24994659260841701"/>
      <name val="Calibri"/>
      <family val="2"/>
    </font>
    <font>
      <b/>
      <sz val="16"/>
      <color theme="1"/>
      <name val="Calibri"/>
      <family val="2"/>
      <scheme val="minor"/>
    </font>
    <font>
      <sz val="16"/>
      <color theme="1"/>
      <name val="Calibri"/>
      <family val="2"/>
      <scheme val="minor"/>
    </font>
    <font>
      <b/>
      <sz val="11"/>
      <name val="Calibri"/>
      <family val="2"/>
      <scheme val="minor"/>
    </font>
    <font>
      <sz val="11"/>
      <name val="Calibri"/>
      <family val="2"/>
      <scheme val="minor"/>
    </font>
    <font>
      <sz val="12"/>
      <name val="Times New Roman"/>
      <family val="1"/>
    </font>
    <font>
      <u/>
      <sz val="12"/>
      <name val="Arial"/>
      <family val="2"/>
    </font>
    <font>
      <i/>
      <sz val="10"/>
      <name val="Arial"/>
      <family val="2"/>
    </font>
    <font>
      <b/>
      <sz val="10"/>
      <color rgb="FFFF0000"/>
      <name val="Arial"/>
      <family val="2"/>
    </font>
    <font>
      <u/>
      <sz val="16"/>
      <name val="Arial"/>
      <family val="2"/>
    </font>
    <font>
      <sz val="10"/>
      <color rgb="FFFF0000"/>
      <name val="Arial"/>
      <family val="2"/>
    </font>
    <font>
      <sz val="10"/>
      <color theme="8" tint="0.79998168889431442"/>
      <name val="Arial"/>
      <family val="2"/>
    </font>
    <font>
      <b/>
      <i/>
      <sz val="10"/>
      <color rgb="FFFF0000"/>
      <name val="Arial"/>
      <family val="2"/>
    </font>
    <font>
      <b/>
      <u val="singleAccounting"/>
      <sz val="10"/>
      <name val="Arial"/>
      <family val="2"/>
    </font>
    <font>
      <sz val="11"/>
      <name val="Calibri"/>
      <family val="2"/>
    </font>
    <font>
      <sz val="10"/>
      <color theme="1"/>
      <name val="Arial"/>
      <family val="2"/>
    </font>
    <font>
      <b/>
      <sz val="10"/>
      <color theme="1"/>
      <name val="Arial"/>
      <family val="2"/>
    </font>
    <font>
      <sz val="10"/>
      <color theme="7" tint="-0.249977111117893"/>
      <name val="Arial"/>
      <family val="2"/>
    </font>
    <font>
      <sz val="8"/>
      <name val="Arial"/>
      <family val="2"/>
    </font>
    <font>
      <b/>
      <sz val="11"/>
      <color rgb="FF008080"/>
      <name val="Arial"/>
      <family val="2"/>
    </font>
    <font>
      <b/>
      <u/>
      <sz val="11"/>
      <color rgb="FF008080"/>
      <name val="Arial"/>
      <family val="2"/>
    </font>
    <font>
      <sz val="11"/>
      <color theme="1"/>
      <name val="Arial"/>
      <family val="2"/>
    </font>
    <font>
      <sz val="11"/>
      <color rgb="FF000000"/>
      <name val="Arial"/>
      <family val="2"/>
    </font>
    <font>
      <sz val="11"/>
      <color rgb="FF008080"/>
      <name val="Arial"/>
      <family val="2"/>
    </font>
    <font>
      <b/>
      <u val="singleAccounting"/>
      <sz val="10"/>
      <color theme="1"/>
      <name val="Arial"/>
      <family val="2"/>
    </font>
    <font>
      <sz val="11"/>
      <color rgb="FF000000"/>
      <name val="Calibri"/>
      <family val="2"/>
    </font>
    <font>
      <sz val="10"/>
      <name val="Times New Roman"/>
      <family val="1"/>
    </font>
    <font>
      <b/>
      <sz val="12"/>
      <name val="Helv"/>
    </font>
    <font>
      <sz val="12"/>
      <name val="Helv"/>
    </font>
    <font>
      <sz val="12"/>
      <name val="Calibri"/>
      <family val="2"/>
      <scheme val="minor"/>
    </font>
    <font>
      <b/>
      <u/>
      <sz val="9"/>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sz val="11"/>
      <color rgb="FF000000"/>
      <name val="Calibri"/>
      <family val="2"/>
      <scheme val="minor"/>
    </font>
    <font>
      <sz val="11"/>
      <color indexed="8"/>
      <name val="Calibri"/>
      <family val="2"/>
    </font>
    <font>
      <sz val="10"/>
      <color indexed="8"/>
      <name val="Arial"/>
      <family val="2"/>
    </font>
    <font>
      <sz val="12"/>
      <color theme="1"/>
      <name val="Calibri"/>
      <family val="2"/>
      <scheme val="minor"/>
    </font>
    <font>
      <sz val="11"/>
      <color rgb="FFFF0000"/>
      <name val="Calibri"/>
      <family val="2"/>
      <scheme val="minor"/>
    </font>
    <font>
      <b/>
      <sz val="14"/>
      <color theme="1"/>
      <name val="Calibri"/>
      <family val="2"/>
      <scheme val="minor"/>
    </font>
    <font>
      <b/>
      <sz val="14"/>
      <color rgb="FFFF0000"/>
      <name val="Calibri"/>
      <family val="2"/>
      <scheme val="minor"/>
    </font>
    <font>
      <b/>
      <sz val="11"/>
      <color rgb="FFFF0000"/>
      <name val="Calibri"/>
      <family val="2"/>
      <scheme val="minor"/>
    </font>
    <font>
      <u/>
      <sz val="10"/>
      <name val="Arial"/>
      <family val="2"/>
    </font>
    <font>
      <sz val="11"/>
      <color theme="0"/>
      <name val="Calibri"/>
      <family val="2"/>
      <scheme val="minor"/>
    </font>
    <font>
      <sz val="8"/>
      <name val="Calibri"/>
      <family val="2"/>
      <scheme val="minor"/>
    </font>
    <font>
      <sz val="8"/>
      <color rgb="FF000000"/>
      <name val="Calibri"/>
      <family val="2"/>
      <scheme val="minor"/>
    </font>
    <font>
      <sz val="9"/>
      <color theme="1"/>
      <name val="Calibri"/>
      <family val="2"/>
      <scheme val="minor"/>
    </font>
    <font>
      <b/>
      <sz val="9"/>
      <color theme="1"/>
      <name val="Calibri"/>
      <family val="2"/>
      <scheme val="minor"/>
    </font>
    <font>
      <sz val="9"/>
      <color rgb="FF000000"/>
      <name val="Segoe UI"/>
      <family val="2"/>
    </font>
    <font>
      <b/>
      <u/>
      <sz val="9"/>
      <color theme="1"/>
      <name val="Calibri"/>
      <family val="2"/>
      <scheme val="minor"/>
    </font>
    <font>
      <sz val="8"/>
      <color rgb="FF000000"/>
      <name val="Segoe UI"/>
      <family val="2"/>
    </font>
  </fonts>
  <fills count="48">
    <fill>
      <patternFill patternType="none"/>
    </fill>
    <fill>
      <patternFill patternType="gray125"/>
    </fill>
    <fill>
      <patternFill patternType="solid">
        <fgColor theme="6" tint="0.79998168889431442"/>
        <bgColor indexed="64"/>
      </patternFill>
    </fill>
    <fill>
      <patternFill patternType="solid">
        <fgColor rgb="FFFFC000"/>
        <bgColor indexed="64"/>
      </patternFill>
    </fill>
    <fill>
      <patternFill patternType="solid">
        <fgColor theme="1" tint="4.9989318521683403E-2"/>
        <bgColor indexed="64"/>
      </patternFill>
    </fill>
    <fill>
      <patternFill patternType="solid">
        <fgColor rgb="FF0070C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bgColor indexed="64"/>
      </patternFill>
    </fill>
    <fill>
      <patternFill patternType="solid">
        <fgColor indexed="5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DAEEF3"/>
        <bgColor indexed="64"/>
      </patternFill>
    </fill>
    <fill>
      <patternFill patternType="solid">
        <fgColor rgb="FFF2F2F2"/>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indexed="8"/>
        <bgColor indexed="64"/>
      </patternFill>
    </fill>
    <fill>
      <patternFill patternType="solid">
        <fgColor rgb="FFFFFF00"/>
        <bgColor indexed="64"/>
      </patternFill>
    </fill>
    <fill>
      <patternFill patternType="solid">
        <fgColor indexed="22"/>
        <bgColor indexed="64"/>
      </patternFill>
    </fill>
    <fill>
      <patternFill patternType="solid">
        <fgColor rgb="FFFF7C80"/>
        <bgColor indexed="64"/>
      </patternFill>
    </fill>
    <fill>
      <patternFill patternType="solid">
        <fgColor rgb="FFEAF193"/>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indexed="55"/>
        <bgColor indexed="64"/>
      </patternFill>
    </fill>
    <fill>
      <patternFill patternType="solid">
        <fgColor rgb="FF00B050"/>
        <bgColor indexed="64"/>
      </patternFill>
    </fill>
    <fill>
      <patternFill patternType="solid">
        <fgColor indexed="9"/>
        <bgColor indexed="64"/>
      </patternFill>
    </fill>
    <fill>
      <patternFill patternType="solid">
        <fgColor indexed="23"/>
        <bgColor indexed="64"/>
      </patternFill>
    </fill>
    <fill>
      <patternFill patternType="solid">
        <fgColor theme="5" tint="0.79998168889431442"/>
        <bgColor indexed="64"/>
      </patternFill>
    </fill>
    <fill>
      <patternFill patternType="solid">
        <fgColor rgb="FFBED7A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00B0F0"/>
        <bgColor indexed="64"/>
      </patternFill>
    </fill>
    <fill>
      <patternFill patternType="solid">
        <fgColor rgb="FF92D050"/>
        <bgColor indexed="64"/>
      </patternFill>
    </fill>
    <fill>
      <patternFill patternType="solid">
        <fgColor rgb="FFFFF2CC"/>
        <bgColor indexed="64"/>
      </patternFill>
    </fill>
    <fill>
      <patternFill patternType="solid">
        <fgColor indexed="22"/>
        <bgColor indexed="0"/>
      </patternFill>
    </fill>
    <fill>
      <patternFill patternType="solid">
        <fgColor theme="9"/>
        <bgColor indexed="64"/>
      </patternFill>
    </fill>
    <fill>
      <patternFill patternType="solid">
        <fgColor theme="8" tint="0.39997558519241921"/>
        <bgColor indexed="64"/>
      </patternFill>
    </fill>
    <fill>
      <patternFill patternType="solid">
        <fgColor theme="4" tint="-0.249977111117893"/>
        <bgColor indexed="64"/>
      </patternFill>
    </fill>
    <fill>
      <patternFill patternType="solid">
        <fgColor theme="2" tint="-0.499984740745262"/>
        <bgColor indexed="64"/>
      </patternFill>
    </fill>
    <fill>
      <patternFill patternType="solid">
        <fgColor rgb="FFF3F9FA"/>
        <bgColor indexed="64"/>
      </patternFill>
    </fill>
  </fills>
  <borders count="193">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diagonal/>
    </border>
    <border>
      <left/>
      <right/>
      <top style="thin">
        <color indexed="64"/>
      </top>
      <bottom/>
      <diagonal/>
    </border>
    <border>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top/>
      <bottom style="thin">
        <color indexed="64"/>
      </bottom>
      <diagonal/>
    </border>
    <border>
      <left/>
      <right/>
      <top/>
      <bottom style="thin">
        <color auto="1"/>
      </bottom>
      <diagonal/>
    </border>
    <border>
      <left/>
      <right style="thin">
        <color indexed="64"/>
      </right>
      <top/>
      <bottom style="thin">
        <color indexed="64"/>
      </bottom>
      <diagonal/>
    </border>
    <border>
      <left/>
      <right/>
      <top style="medium">
        <color indexed="64"/>
      </top>
      <bottom/>
      <diagonal/>
    </border>
    <border>
      <left/>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medium">
        <color indexed="64"/>
      </bottom>
      <diagonal/>
    </border>
    <border>
      <left/>
      <right/>
      <top/>
      <bottom style="hair">
        <color indexed="64"/>
      </bottom>
      <diagonal/>
    </border>
    <border>
      <left style="medium">
        <color indexed="64"/>
      </left>
      <right style="medium">
        <color indexed="64"/>
      </right>
      <top/>
      <bottom style="hair">
        <color indexed="64"/>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bottom style="hair">
        <color indexed="64"/>
      </bottom>
      <diagonal/>
    </border>
    <border>
      <left/>
      <right style="medium">
        <color indexed="64"/>
      </right>
      <top/>
      <bottom style="hair">
        <color indexed="64"/>
      </bottom>
      <diagonal/>
    </border>
    <border>
      <left style="medium">
        <color indexed="64"/>
      </left>
      <right/>
      <top/>
      <bottom style="thin">
        <color indexed="64"/>
      </bottom>
      <diagonal/>
    </border>
    <border>
      <left/>
      <right/>
      <top style="thin">
        <color indexed="64"/>
      </top>
      <bottom style="medium">
        <color indexed="64"/>
      </bottom>
      <diagonal/>
    </border>
    <border>
      <left/>
      <right/>
      <top style="hair">
        <color indexed="64"/>
      </top>
      <bottom style="hair">
        <color indexed="64"/>
      </bottom>
      <diagonal/>
    </border>
    <border>
      <left style="medium">
        <color indexed="64"/>
      </left>
      <right style="medium">
        <color indexed="64"/>
      </right>
      <top style="thin">
        <color indexed="64"/>
      </top>
      <bottom style="medium">
        <color indexed="64"/>
      </bottom>
      <diagonal/>
    </border>
    <border>
      <left/>
      <right/>
      <top style="hair">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auto="1"/>
      </right>
      <top/>
      <bottom style="medium">
        <color auto="1"/>
      </bottom>
      <diagonal/>
    </border>
    <border>
      <left style="thick">
        <color indexed="64"/>
      </left>
      <right style="medium">
        <color indexed="64"/>
      </right>
      <top style="thick">
        <color indexed="64"/>
      </top>
      <bottom/>
      <diagonal/>
    </border>
    <border>
      <left style="medium">
        <color indexed="64"/>
      </left>
      <right style="medium">
        <color indexed="64"/>
      </right>
      <top style="thick">
        <color auto="1"/>
      </top>
      <bottom/>
      <diagonal/>
    </border>
    <border>
      <left/>
      <right style="medium">
        <color indexed="64"/>
      </right>
      <top style="thick">
        <color auto="1"/>
      </top>
      <bottom/>
      <diagonal/>
    </border>
    <border>
      <left style="medium">
        <color indexed="64"/>
      </left>
      <right style="thick">
        <color indexed="64"/>
      </right>
      <top style="thick">
        <color auto="1"/>
      </top>
      <bottom/>
      <diagonal/>
    </border>
    <border>
      <left style="thick">
        <color indexed="64"/>
      </left>
      <right style="medium">
        <color indexed="64"/>
      </right>
      <top/>
      <bottom style="thick">
        <color indexed="64"/>
      </bottom>
      <diagonal/>
    </border>
    <border>
      <left style="medium">
        <color indexed="64"/>
      </left>
      <right style="medium">
        <color indexed="64"/>
      </right>
      <top/>
      <bottom style="thick">
        <color indexed="64"/>
      </bottom>
      <diagonal/>
    </border>
    <border>
      <left/>
      <right style="medium">
        <color indexed="64"/>
      </right>
      <top/>
      <bottom style="thick">
        <color indexed="64"/>
      </bottom>
      <diagonal/>
    </border>
    <border>
      <left style="medium">
        <color indexed="64"/>
      </left>
      <right style="thick">
        <color indexed="64"/>
      </right>
      <top/>
      <bottom style="thick">
        <color indexed="64"/>
      </bottom>
      <diagonal/>
    </border>
    <border>
      <left style="thick">
        <color indexed="64"/>
      </left>
      <right style="medium">
        <color indexed="64"/>
      </right>
      <top/>
      <bottom style="medium">
        <color indexed="64"/>
      </bottom>
      <diagonal/>
    </border>
    <border>
      <left/>
      <right style="double">
        <color indexed="64"/>
      </right>
      <top/>
      <bottom/>
      <diagonal/>
    </border>
    <border>
      <left/>
      <right style="double">
        <color indexed="64"/>
      </right>
      <top/>
      <bottom style="thin">
        <color indexed="64"/>
      </bottom>
      <diagonal/>
    </border>
    <border>
      <left/>
      <right style="double">
        <color indexed="64"/>
      </right>
      <top/>
      <bottom style="hair">
        <color indexed="64"/>
      </bottom>
      <diagonal/>
    </border>
    <border>
      <left/>
      <right style="double">
        <color indexed="64"/>
      </right>
      <top style="medium">
        <color indexed="64"/>
      </top>
      <bottom style="hair">
        <color indexed="64"/>
      </bottom>
      <diagonal/>
    </border>
    <border>
      <left/>
      <right style="medium">
        <color indexed="64"/>
      </right>
      <top style="hair">
        <color indexed="64"/>
      </top>
      <bottom style="medium">
        <color indexed="64"/>
      </bottom>
      <diagonal/>
    </border>
    <border>
      <left/>
      <right/>
      <top style="hair">
        <color indexed="64"/>
      </top>
      <bottom style="medium">
        <color indexed="64"/>
      </bottom>
      <diagonal/>
    </border>
    <border>
      <left/>
      <right style="double">
        <color indexed="64"/>
      </right>
      <top style="hair">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hair">
        <color indexed="64"/>
      </top>
      <bottom style="hair">
        <color indexed="64"/>
      </bottom>
      <diagonal/>
    </border>
    <border>
      <left style="medium">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hair">
        <color indexed="64"/>
      </top>
      <bottom style="hair">
        <color indexed="64"/>
      </bottom>
      <diagonal/>
    </border>
    <border>
      <left style="thick">
        <color auto="1"/>
      </left>
      <right/>
      <top style="thick">
        <color auto="1"/>
      </top>
      <bottom/>
      <diagonal/>
    </border>
    <border>
      <left/>
      <right/>
      <top style="thick">
        <color auto="1"/>
      </top>
      <bottom/>
      <diagonal/>
    </border>
    <border>
      <left style="medium">
        <color indexed="64"/>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right style="thick">
        <color auto="1"/>
      </right>
      <top/>
      <bottom style="thin">
        <color indexed="64"/>
      </bottom>
      <diagonal/>
    </border>
    <border>
      <left/>
      <right style="thick">
        <color auto="1"/>
      </right>
      <top style="thin">
        <color indexed="64"/>
      </top>
      <bottom style="double">
        <color indexed="64"/>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right/>
      <top style="thin">
        <color theme="1"/>
      </top>
      <bottom/>
      <diagonal/>
    </border>
    <border>
      <left style="thin">
        <color indexed="64"/>
      </left>
      <right style="thin">
        <color indexed="64"/>
      </right>
      <top style="thin">
        <color indexed="64"/>
      </top>
      <bottom style="thick">
        <color auto="1"/>
      </bottom>
      <diagonal/>
    </border>
    <border>
      <left/>
      <right style="double">
        <color indexed="64"/>
      </right>
      <top/>
      <bottom style="thick">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medium">
        <color indexed="64"/>
      </top>
      <bottom style="hair">
        <color indexed="64"/>
      </bottom>
      <diagonal/>
    </border>
    <border>
      <left style="thin">
        <color indexed="64"/>
      </left>
      <right style="thin">
        <color indexed="64"/>
      </right>
      <top style="hair">
        <color indexed="64"/>
      </top>
      <bottom style="medium">
        <color indexed="64"/>
      </bottom>
      <diagonal/>
    </border>
    <border>
      <left style="medium">
        <color indexed="64"/>
      </left>
      <right/>
      <top style="hair">
        <color indexed="64"/>
      </top>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indexed="64"/>
      </top>
      <bottom style="hair">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right/>
      <top/>
      <bottom style="medium">
        <color rgb="FFFF0000"/>
      </bottom>
      <diagonal/>
    </border>
    <border>
      <left/>
      <right/>
      <top style="thin">
        <color rgb="FFFF0000"/>
      </top>
      <bottom style="medium">
        <color rgb="FFFF0000"/>
      </bottom>
      <diagonal/>
    </border>
    <border>
      <left style="thin">
        <color rgb="FFFF0000"/>
      </left>
      <right/>
      <top/>
      <bottom style="medium">
        <color rgb="FFFF0000"/>
      </bottom>
      <diagonal/>
    </border>
    <border>
      <left/>
      <right/>
      <top style="thin">
        <color rgb="FFFF0000"/>
      </top>
      <bottom style="thin">
        <color rgb="FFFF0000"/>
      </bottom>
      <diagonal/>
    </border>
    <border>
      <left/>
      <right/>
      <top style="thick">
        <color auto="1"/>
      </top>
      <bottom style="hair">
        <color indexed="64"/>
      </bottom>
      <diagonal/>
    </border>
    <border>
      <left style="thin">
        <color auto="1"/>
      </left>
      <right style="thin">
        <color auto="1"/>
      </right>
      <top style="thin">
        <color rgb="FFFF0000"/>
      </top>
      <bottom style="thin">
        <color auto="1"/>
      </bottom>
      <diagonal/>
    </border>
    <border>
      <left style="thin">
        <color auto="1"/>
      </left>
      <right/>
      <top style="thin">
        <color rgb="FFFF0000"/>
      </top>
      <bottom style="thin">
        <color auto="1"/>
      </bottom>
      <diagonal/>
    </border>
    <border>
      <left/>
      <right/>
      <top style="thin">
        <color rgb="FFFF0000"/>
      </top>
      <bottom style="thin">
        <color auto="1"/>
      </bottom>
      <diagonal/>
    </border>
    <border>
      <left/>
      <right style="thin">
        <color rgb="FFFF0000"/>
      </right>
      <top style="thin">
        <color rgb="FFFF0000"/>
      </top>
      <bottom style="thin">
        <color auto="1"/>
      </bottom>
      <diagonal/>
    </border>
    <border>
      <left style="thin">
        <color rgb="FFFF0000"/>
      </left>
      <right/>
      <top style="thin">
        <color auto="1"/>
      </top>
      <bottom style="thin">
        <color auto="1"/>
      </bottom>
      <diagonal/>
    </border>
    <border>
      <left/>
      <right style="thin">
        <color rgb="FFFF0000"/>
      </right>
      <top style="thin">
        <color auto="1"/>
      </top>
      <bottom style="thin">
        <color auto="1"/>
      </bottom>
      <diagonal/>
    </border>
    <border>
      <left style="thin">
        <color rgb="FFFF0000"/>
      </left>
      <right/>
      <top style="thin">
        <color indexed="64"/>
      </top>
      <bottom style="thin">
        <color rgb="FFFF0000"/>
      </bottom>
      <diagonal/>
    </border>
    <border>
      <left/>
      <right/>
      <top style="thin">
        <color indexed="64"/>
      </top>
      <bottom style="thin">
        <color rgb="FFFF0000"/>
      </bottom>
      <diagonal/>
    </border>
    <border>
      <left style="thin">
        <color indexed="64"/>
      </left>
      <right style="thin">
        <color indexed="64"/>
      </right>
      <top style="thin">
        <color indexed="64"/>
      </top>
      <bottom style="thin">
        <color rgb="FFFF0000"/>
      </bottom>
      <diagonal/>
    </border>
    <border>
      <left style="thin">
        <color indexed="64"/>
      </left>
      <right/>
      <top style="thin">
        <color indexed="64"/>
      </top>
      <bottom style="thin">
        <color rgb="FFFF0000"/>
      </bottom>
      <diagonal/>
    </border>
    <border>
      <left/>
      <right style="thin">
        <color rgb="FFFF0000"/>
      </right>
      <top style="thin">
        <color auto="1"/>
      </top>
      <bottom style="thin">
        <color rgb="FFFF0000"/>
      </bottom>
      <diagonal/>
    </border>
    <border>
      <left style="thin">
        <color theme="0"/>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top style="thin">
        <color indexed="64"/>
      </top>
      <bottom style="double">
        <color indexed="64"/>
      </bottom>
      <diagonal/>
    </border>
    <border>
      <left style="medium">
        <color indexed="64"/>
      </left>
      <right/>
      <top style="hair">
        <color indexed="64"/>
      </top>
      <bottom style="medium">
        <color indexed="64"/>
      </bottom>
      <diagonal/>
    </border>
    <border>
      <left/>
      <right style="thin">
        <color rgb="FFFF0000"/>
      </right>
      <top style="thin">
        <color auto="1"/>
      </top>
      <bottom/>
      <diagonal/>
    </border>
    <border>
      <left style="thin">
        <color rgb="FFFF0000"/>
      </left>
      <right/>
      <top style="medium">
        <color auto="1"/>
      </top>
      <bottom/>
      <diagonal/>
    </border>
    <border>
      <left/>
      <right style="thin">
        <color rgb="FFFF0000"/>
      </right>
      <top style="medium">
        <color auto="1"/>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ck">
        <color indexed="64"/>
      </left>
      <right style="medium">
        <color indexed="64"/>
      </right>
      <top style="medium">
        <color indexed="64"/>
      </top>
      <bottom style="medium">
        <color indexed="64"/>
      </bottom>
      <diagonal/>
    </border>
    <border>
      <left style="dotted">
        <color auto="1"/>
      </left>
      <right style="dotted">
        <color auto="1"/>
      </right>
      <top style="dotted">
        <color auto="1"/>
      </top>
      <bottom style="dotted">
        <color auto="1"/>
      </bottom>
      <diagonal/>
    </border>
    <border>
      <left/>
      <right style="thin">
        <color rgb="FFFF0000"/>
      </right>
      <top/>
      <bottom style="medium">
        <color auto="1"/>
      </bottom>
      <diagonal/>
    </border>
    <border>
      <left/>
      <right/>
      <top/>
      <bottom style="dashed">
        <color indexed="64"/>
      </bottom>
      <diagonal/>
    </border>
    <border>
      <left/>
      <right/>
      <top style="dashed">
        <color indexed="64"/>
      </top>
      <bottom style="dashed">
        <color indexed="64"/>
      </bottom>
      <diagonal/>
    </border>
    <border>
      <left/>
      <right/>
      <top style="dashed">
        <color indexed="64"/>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style="thin">
        <color theme="0" tint="-0.24994659260841701"/>
      </left>
      <right style="thin">
        <color theme="0" tint="-0.24994659260841701"/>
      </right>
      <top style="thin">
        <color theme="0" tint="-0.24994659260841701"/>
      </top>
      <bottom/>
      <diagonal/>
    </border>
    <border>
      <left style="thin">
        <color auto="1"/>
      </left>
      <right/>
      <top style="thin">
        <color theme="5"/>
      </top>
      <bottom/>
      <diagonal/>
    </border>
    <border>
      <left/>
      <right style="thin">
        <color theme="5"/>
      </right>
      <top/>
      <bottom/>
      <diagonal/>
    </border>
    <border>
      <left/>
      <right/>
      <top/>
      <bottom style="thin">
        <color theme="5"/>
      </bottom>
      <diagonal/>
    </border>
    <border>
      <left/>
      <right style="thin">
        <color theme="5"/>
      </right>
      <top/>
      <bottom style="thin">
        <color theme="5"/>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rgb="FFFF0000"/>
      </right>
      <top/>
      <bottom style="medium">
        <color rgb="FFFF0000"/>
      </bottom>
      <diagonal/>
    </border>
    <border>
      <left style="thin">
        <color indexed="64"/>
      </left>
      <right/>
      <top style="medium">
        <color indexed="64"/>
      </top>
      <bottom style="thin">
        <color indexed="64"/>
      </bottom>
      <diagonal/>
    </border>
    <border>
      <left/>
      <right/>
      <top style="thin">
        <color indexed="64"/>
      </top>
      <bottom style="hair">
        <color indexed="64"/>
      </bottom>
      <diagonal/>
    </border>
    <border>
      <left style="thin">
        <color indexed="8"/>
      </left>
      <right style="thin">
        <color indexed="8"/>
      </right>
      <top style="thin">
        <color indexed="8"/>
      </top>
      <bottom style="thin">
        <color indexed="8"/>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dotted">
        <color auto="1"/>
      </right>
      <top style="dotted">
        <color auto="1"/>
      </top>
      <bottom style="dotted">
        <color auto="1"/>
      </bottom>
      <diagonal/>
    </border>
    <border>
      <left/>
      <right/>
      <top style="dotted">
        <color auto="1"/>
      </top>
      <bottom style="dotted">
        <color auto="1"/>
      </bottom>
      <diagonal/>
    </border>
    <border>
      <left style="dotted">
        <color auto="1"/>
      </left>
      <right/>
      <top style="dotted">
        <color auto="1"/>
      </top>
      <bottom style="dotted">
        <color auto="1"/>
      </bottom>
      <diagonal/>
    </border>
    <border>
      <left/>
      <right style="dotted">
        <color auto="1"/>
      </right>
      <top/>
      <bottom style="dotted">
        <color auto="1"/>
      </bottom>
      <diagonal/>
    </border>
    <border>
      <left/>
      <right/>
      <top style="thin">
        <color indexed="64"/>
      </top>
      <bottom/>
      <diagonal/>
    </border>
    <border>
      <left/>
      <right style="medium">
        <color indexed="64"/>
      </right>
      <top style="thin">
        <color indexed="64"/>
      </top>
      <bottom style="thin">
        <color indexed="64"/>
      </bottom>
      <diagonal/>
    </border>
  </borders>
  <cellStyleXfs count="110">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17" fillId="0" borderId="0"/>
    <xf numFmtId="0" fontId="19" fillId="0" borderId="0"/>
    <xf numFmtId="0" fontId="17" fillId="0" borderId="0"/>
    <xf numFmtId="8" fontId="33" fillId="0" borderId="0" applyFont="0" applyFill="0" applyBorder="0" applyAlignment="0" applyProtection="0"/>
    <xf numFmtId="0" fontId="40" fillId="0" borderId="0"/>
    <xf numFmtId="0" fontId="14" fillId="0" borderId="0"/>
    <xf numFmtId="0" fontId="19" fillId="0" borderId="0"/>
    <xf numFmtId="0" fontId="14" fillId="0" borderId="0"/>
    <xf numFmtId="44" fontId="62" fillId="0" borderId="0" applyFont="0" applyFill="0" applyBorder="0" applyAlignment="0" applyProtection="0"/>
    <xf numFmtId="0" fontId="14" fillId="0" borderId="0"/>
    <xf numFmtId="44" fontId="19" fillId="0" borderId="0" applyFont="0" applyFill="0" applyBorder="0" applyAlignment="0" applyProtection="0"/>
    <xf numFmtId="43" fontId="19" fillId="0" borderId="0" applyFont="0" applyFill="0" applyBorder="0" applyAlignment="0" applyProtection="0"/>
    <xf numFmtId="9" fontId="19" fillId="0" borderId="0" applyFont="0" applyFill="0" applyBorder="0" applyAlignment="0" applyProtection="0"/>
    <xf numFmtId="0" fontId="26" fillId="0" borderId="0"/>
    <xf numFmtId="43" fontId="74" fillId="0" borderId="0" applyFont="0" applyFill="0" applyBorder="0" applyAlignment="0" applyProtection="0"/>
    <xf numFmtId="9" fontId="74" fillId="0" borderId="0" applyFont="0" applyFill="0" applyBorder="0" applyAlignment="0" applyProtection="0"/>
    <xf numFmtId="0" fontId="74" fillId="0" borderId="0"/>
    <xf numFmtId="0" fontId="19" fillId="0" borderId="0"/>
    <xf numFmtId="44" fontId="74" fillId="0" borderId="0" applyFont="0" applyFill="0" applyBorder="0" applyAlignment="0" applyProtection="0"/>
    <xf numFmtId="0" fontId="62" fillId="0" borderId="0"/>
    <xf numFmtId="0" fontId="13" fillId="0" borderId="0"/>
    <xf numFmtId="0" fontId="12" fillId="0" borderId="0"/>
    <xf numFmtId="0" fontId="86" fillId="34" borderId="140"/>
    <xf numFmtId="0" fontId="8" fillId="0" borderId="0"/>
    <xf numFmtId="44" fontId="8" fillId="0" borderId="0" applyFont="0" applyFill="0" applyBorder="0" applyAlignment="0" applyProtection="0"/>
    <xf numFmtId="43" fontId="8" fillId="0" borderId="0" applyFont="0" applyFill="0" applyBorder="0" applyAlignment="0" applyProtection="0"/>
    <xf numFmtId="0" fontId="5" fillId="0" borderId="0"/>
    <xf numFmtId="0" fontId="4" fillId="0" borderId="0"/>
    <xf numFmtId="44" fontId="4" fillId="0" borderId="0" applyFont="0" applyFill="0" applyBorder="0" applyAlignment="0" applyProtection="0"/>
    <xf numFmtId="43" fontId="4" fillId="0" borderId="0" applyFont="0" applyFill="0" applyBorder="0" applyAlignment="0" applyProtection="0"/>
    <xf numFmtId="0" fontId="2" fillId="0" borderId="0"/>
    <xf numFmtId="0" fontId="101" fillId="0" borderId="0"/>
    <xf numFmtId="44" fontId="2" fillId="0" borderId="0" applyFont="0" applyFill="0" applyBorder="0" applyAlignment="0" applyProtection="0"/>
    <xf numFmtId="44" fontId="19" fillId="0" borderId="0" applyFont="0" applyFill="0" applyBorder="0" applyAlignment="0" applyProtection="0"/>
    <xf numFmtId="0" fontId="19" fillId="0" borderId="0"/>
    <xf numFmtId="0" fontId="1" fillId="0" borderId="0"/>
    <xf numFmtId="0" fontId="117" fillId="0" borderId="175" applyNumberFormat="0" applyFill="0" applyProtection="0">
      <alignment horizontal="center" vertical="center"/>
    </xf>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117" fillId="0" borderId="175" applyNumberFormat="0" applyFill="0" applyAlignment="0" applyProtection="0"/>
    <xf numFmtId="0" fontId="117" fillId="0" borderId="175" applyNumberFormat="0" applyFill="0" applyAlignment="0" applyProtection="0"/>
    <xf numFmtId="3" fontId="117" fillId="0" borderId="175" applyNumberFormat="0" applyFill="0" applyAlignment="0" applyProtection="0"/>
    <xf numFmtId="0" fontId="117" fillId="0" borderId="175" applyNumberFormat="0" applyFill="0" applyAlignment="0" applyProtection="0"/>
    <xf numFmtId="0" fontId="117" fillId="0" borderId="175" applyNumberFormat="0" applyFill="0" applyAlignment="0" applyProtection="0"/>
    <xf numFmtId="0" fontId="117" fillId="0" borderId="175" applyNumberFormat="0" applyFill="0" applyAlignment="0" applyProtection="0"/>
    <xf numFmtId="0" fontId="117" fillId="0" borderId="175" applyNumberFormat="0" applyFill="0" applyAlignment="0" applyProtection="0"/>
    <xf numFmtId="0" fontId="117" fillId="0" borderId="175" applyNumberFormat="0" applyFill="0" applyAlignment="0" applyProtection="0"/>
    <xf numFmtId="3" fontId="86" fillId="0" borderId="0" applyNumberFormat="0" applyBorder="0" applyAlignment="0" applyProtection="0"/>
    <xf numFmtId="3" fontId="86" fillId="0" borderId="0" applyNumberFormat="0" applyBorder="0" applyAlignment="0" applyProtection="0"/>
    <xf numFmtId="3" fontId="86" fillId="0" borderId="0" applyNumberFormat="0" applyBorder="0" applyAlignment="0" applyProtection="0"/>
    <xf numFmtId="3" fontId="86" fillId="0" borderId="0" applyNumberFormat="0" applyBorder="0" applyAlignment="0" applyProtection="0"/>
    <xf numFmtId="3" fontId="86" fillId="0" borderId="0" applyNumberFormat="0" applyBorder="0" applyAlignment="0" applyProtection="0"/>
    <xf numFmtId="3" fontId="86" fillId="0" borderId="176" applyNumberFormat="0" applyBorder="0" applyAlignment="0" applyProtection="0"/>
    <xf numFmtId="3" fontId="86" fillId="0" borderId="176" applyNumberFormat="0" applyBorder="0" applyAlignment="0" applyProtection="0"/>
    <xf numFmtId="3" fontId="86" fillId="0" borderId="176" applyNumberFormat="0" applyBorder="0" applyAlignment="0" applyProtection="0"/>
    <xf numFmtId="0" fontId="86" fillId="0" borderId="176" applyNumberFormat="0" applyFill="0" applyAlignment="0" applyProtection="0"/>
    <xf numFmtId="0" fontId="86" fillId="0" borderId="176" applyNumberFormat="0" applyFill="0" applyAlignment="0" applyProtection="0"/>
    <xf numFmtId="0" fontId="86" fillId="0" borderId="176">
      <alignment horizontal="right" vertical="center"/>
    </xf>
    <xf numFmtId="3" fontId="86" fillId="34" borderId="176">
      <alignment horizontal="center" vertical="center"/>
    </xf>
    <xf numFmtId="0" fontId="86" fillId="34" borderId="176">
      <alignment horizontal="right" vertical="center"/>
    </xf>
    <xf numFmtId="0" fontId="117" fillId="0" borderId="177">
      <alignment horizontal="left" vertical="center"/>
    </xf>
    <xf numFmtId="0" fontId="117" fillId="0" borderId="178">
      <alignment horizontal="center" vertical="center"/>
    </xf>
    <xf numFmtId="0" fontId="118" fillId="0" borderId="179">
      <alignment horizontal="center" vertical="center"/>
    </xf>
    <xf numFmtId="0" fontId="86" fillId="10" borderId="176"/>
    <xf numFmtId="3" fontId="119" fillId="0" borderId="176"/>
    <xf numFmtId="3" fontId="120" fillId="0" borderId="176"/>
    <xf numFmtId="0" fontId="117" fillId="0" borderId="178">
      <alignment horizontal="left" vertical="top"/>
    </xf>
    <xf numFmtId="0" fontId="121" fillId="0" borderId="176"/>
    <xf numFmtId="0" fontId="117" fillId="0" borderId="178">
      <alignment horizontal="left" vertical="center"/>
    </xf>
    <xf numFmtId="3" fontId="86" fillId="0" borderId="176">
      <alignment horizontal="right" vertical="center"/>
    </xf>
    <xf numFmtId="0" fontId="117" fillId="0" borderId="178">
      <alignment horizontal="right" vertical="center"/>
    </xf>
    <xf numFmtId="0" fontId="86" fillId="0" borderId="179">
      <alignment horizontal="center" vertical="center"/>
    </xf>
    <xf numFmtId="3" fontId="86" fillId="0" borderId="176"/>
    <xf numFmtId="3" fontId="86" fillId="0" borderId="176"/>
    <xf numFmtId="0" fontId="86" fillId="0" borderId="179">
      <alignment horizontal="center" vertical="center" wrapText="1"/>
    </xf>
    <xf numFmtId="0" fontId="122" fillId="0" borderId="179">
      <alignment horizontal="left" vertical="center" indent="1"/>
    </xf>
    <xf numFmtId="0" fontId="123" fillId="0" borderId="176"/>
    <xf numFmtId="0" fontId="117" fillId="0" borderId="177">
      <alignment horizontal="left" vertical="center"/>
    </xf>
    <xf numFmtId="3" fontId="86" fillId="0" borderId="176">
      <alignment horizontal="center" vertical="center"/>
    </xf>
    <xf numFmtId="0" fontId="117" fillId="0" borderId="178">
      <alignment horizontal="center" vertical="center"/>
    </xf>
    <xf numFmtId="0" fontId="117" fillId="0" borderId="178">
      <alignment horizontal="center" vertical="center"/>
    </xf>
    <xf numFmtId="0" fontId="117" fillId="0" borderId="177">
      <alignment horizontal="left" vertical="center"/>
    </xf>
    <xf numFmtId="0" fontId="117" fillId="0" borderId="177">
      <alignment horizontal="left" vertical="center"/>
    </xf>
    <xf numFmtId="0" fontId="124" fillId="0" borderId="176"/>
    <xf numFmtId="0" fontId="127"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cellStyleXfs>
  <cellXfs count="2946">
    <xf numFmtId="0" fontId="0" fillId="0" borderId="0" xfId="0"/>
    <xf numFmtId="0" fontId="16" fillId="0" borderId="0" xfId="0" applyFont="1"/>
    <xf numFmtId="0" fontId="0" fillId="0" borderId="0" xfId="0" applyAlignment="1">
      <alignment horizontal="center"/>
    </xf>
    <xf numFmtId="0" fontId="19" fillId="2" borderId="0" xfId="0" applyFont="1" applyFill="1" applyProtection="1">
      <protection locked="0"/>
    </xf>
    <xf numFmtId="0" fontId="19" fillId="3" borderId="0" xfId="0" applyFont="1" applyFill="1"/>
    <xf numFmtId="0" fontId="19" fillId="0" borderId="0" xfId="0" applyFont="1" applyAlignment="1">
      <alignment horizontal="right"/>
    </xf>
    <xf numFmtId="5" fontId="18" fillId="0" borderId="0" xfId="4" applyNumberFormat="1" applyFont="1" applyProtection="1">
      <protection locked="0"/>
    </xf>
    <xf numFmtId="9" fontId="0" fillId="0" borderId="0" xfId="3" applyFont="1"/>
    <xf numFmtId="9" fontId="0" fillId="0" borderId="0" xfId="3" applyFont="1" applyAlignment="1">
      <alignment horizontal="right"/>
    </xf>
    <xf numFmtId="0" fontId="19" fillId="0" borderId="0" xfId="0" applyFont="1"/>
    <xf numFmtId="0" fontId="0" fillId="2" borderId="0" xfId="0" applyFill="1" applyProtection="1">
      <protection locked="0"/>
    </xf>
    <xf numFmtId="0" fontId="20" fillId="0" borderId="0" xfId="0" applyFont="1"/>
    <xf numFmtId="0" fontId="19" fillId="0" borderId="0" xfId="0" applyFont="1" applyAlignment="1">
      <alignment horizontal="center"/>
    </xf>
    <xf numFmtId="0" fontId="20" fillId="0" borderId="0" xfId="0" applyFont="1" applyAlignment="1">
      <alignment horizontal="center"/>
    </xf>
    <xf numFmtId="0" fontId="20" fillId="0" borderId="0" xfId="0" applyFont="1" applyAlignment="1">
      <alignment horizontal="left"/>
    </xf>
    <xf numFmtId="0" fontId="0" fillId="0" borderId="0" xfId="0" applyAlignment="1">
      <alignment horizontal="centerContinuous"/>
    </xf>
    <xf numFmtId="0" fontId="0" fillId="0" borderId="0" xfId="0" applyAlignment="1">
      <alignment horizontal="right"/>
    </xf>
    <xf numFmtId="10" fontId="20" fillId="0" borderId="0" xfId="3" applyNumberFormat="1" applyFont="1" applyAlignment="1">
      <alignment horizontal="center"/>
    </xf>
    <xf numFmtId="10" fontId="0" fillId="0" borderId="0" xfId="3" applyNumberFormat="1" applyFont="1" applyAlignment="1">
      <alignment horizontal="center"/>
    </xf>
    <xf numFmtId="0" fontId="19" fillId="0" borderId="0" xfId="0" applyFont="1" applyAlignment="1">
      <alignment horizontal="left"/>
    </xf>
    <xf numFmtId="165" fontId="0" fillId="0" borderId="0" xfId="3" applyNumberFormat="1" applyFont="1" applyAlignment="1">
      <alignment horizontal="center"/>
    </xf>
    <xf numFmtId="0" fontId="21" fillId="0" borderId="0" xfId="0" applyFont="1" applyAlignment="1">
      <alignment horizontal="center"/>
    </xf>
    <xf numFmtId="0" fontId="0" fillId="0" borderId="0" xfId="0" applyAlignment="1" applyProtection="1">
      <alignment horizontal="center"/>
      <protection locked="0"/>
    </xf>
    <xf numFmtId="166" fontId="0" fillId="0" borderId="0" xfId="1" applyNumberFormat="1" applyFont="1"/>
    <xf numFmtId="0" fontId="19" fillId="0" borderId="0" xfId="0" applyFont="1" applyAlignment="1">
      <alignment wrapText="1"/>
    </xf>
    <xf numFmtId="0" fontId="22" fillId="4" borderId="0" xfId="0" applyFont="1" applyFill="1" applyAlignment="1">
      <alignment horizontal="center"/>
    </xf>
    <xf numFmtId="0" fontId="22" fillId="3" borderId="0" xfId="0" applyFont="1" applyFill="1" applyAlignment="1">
      <alignment horizontal="center"/>
    </xf>
    <xf numFmtId="0" fontId="22" fillId="5" borderId="0" xfId="0" applyFont="1" applyFill="1" applyAlignment="1">
      <alignment horizontal="center"/>
    </xf>
    <xf numFmtId="0" fontId="22" fillId="6" borderId="0" xfId="0" applyFont="1" applyFill="1" applyAlignment="1">
      <alignment horizontal="center"/>
    </xf>
    <xf numFmtId="0" fontId="0" fillId="0" borderId="5" xfId="0" applyBorder="1"/>
    <xf numFmtId="0" fontId="0" fillId="0" borderId="6" xfId="0" applyBorder="1"/>
    <xf numFmtId="0" fontId="20" fillId="0" borderId="6" xfId="0" applyFont="1" applyBorder="1"/>
    <xf numFmtId="0" fontId="20" fillId="0" borderId="8" xfId="0" applyFont="1" applyBorder="1" applyAlignment="1">
      <alignment horizontal="center"/>
    </xf>
    <xf numFmtId="0" fontId="20" fillId="0" borderId="0" xfId="0" applyFont="1" applyAlignment="1">
      <alignment horizontal="right"/>
    </xf>
    <xf numFmtId="0" fontId="19" fillId="0" borderId="8" xfId="0" applyFont="1" applyBorder="1" applyAlignment="1">
      <alignment horizontal="right"/>
    </xf>
    <xf numFmtId="43" fontId="19" fillId="0" borderId="0" xfId="1" applyFont="1" applyBorder="1"/>
    <xf numFmtId="0" fontId="0" fillId="0" borderId="10" xfId="0" applyBorder="1"/>
    <xf numFmtId="0" fontId="0" fillId="0" borderId="11" xfId="0" applyBorder="1"/>
    <xf numFmtId="0" fontId="0" fillId="0" borderId="8" xfId="0" applyBorder="1"/>
    <xf numFmtId="5" fontId="24" fillId="0" borderId="5" xfId="4" applyNumberFormat="1" applyFont="1" applyBorder="1"/>
    <xf numFmtId="5" fontId="24" fillId="0" borderId="6" xfId="4" applyNumberFormat="1" applyFont="1" applyBorder="1"/>
    <xf numFmtId="5" fontId="24" fillId="0" borderId="6" xfId="4" applyNumberFormat="1" applyFont="1" applyBorder="1" applyAlignment="1">
      <alignment horizontal="center"/>
    </xf>
    <xf numFmtId="5" fontId="24" fillId="0" borderId="0" xfId="4" applyNumberFormat="1" applyFont="1"/>
    <xf numFmtId="5" fontId="24" fillId="0" borderId="8" xfId="4" applyNumberFormat="1" applyFont="1" applyBorder="1"/>
    <xf numFmtId="5" fontId="24" fillId="0" borderId="6" xfId="4" applyNumberFormat="1" applyFont="1" applyBorder="1" applyAlignment="1">
      <alignment horizontal="left"/>
    </xf>
    <xf numFmtId="5" fontId="24" fillId="0" borderId="7" xfId="4" applyNumberFormat="1" applyFont="1" applyBorder="1" applyAlignment="1">
      <alignment horizontal="center"/>
    </xf>
    <xf numFmtId="0" fontId="24" fillId="0" borderId="8" xfId="4" applyFont="1" applyBorder="1"/>
    <xf numFmtId="5" fontId="20" fillId="0" borderId="8" xfId="4" applyNumberFormat="1" applyFont="1" applyBorder="1" applyAlignment="1">
      <alignment horizontal="left"/>
    </xf>
    <xf numFmtId="1" fontId="18" fillId="0" borderId="0" xfId="4" applyNumberFormat="1" applyFont="1" applyAlignment="1">
      <alignment horizontal="left"/>
    </xf>
    <xf numFmtId="5" fontId="18" fillId="0" borderId="0" xfId="4" applyNumberFormat="1" applyFont="1" applyAlignment="1">
      <alignment horizontal="left"/>
    </xf>
    <xf numFmtId="5" fontId="25" fillId="0" borderId="0" xfId="4" applyNumberFormat="1" applyFont="1"/>
    <xf numFmtId="0" fontId="24" fillId="0" borderId="0" xfId="4" applyFont="1"/>
    <xf numFmtId="5" fontId="20" fillId="0" borderId="9" xfId="4" applyNumberFormat="1" applyFont="1" applyBorder="1" applyAlignment="1">
      <alignment horizontal="left"/>
    </xf>
    <xf numFmtId="0" fontId="26" fillId="0" borderId="0" xfId="4" applyFont="1"/>
    <xf numFmtId="1" fontId="27" fillId="0" borderId="0" xfId="4" applyNumberFormat="1" applyFont="1" applyAlignment="1">
      <alignment horizontal="left"/>
    </xf>
    <xf numFmtId="5" fontId="20" fillId="0" borderId="0" xfId="4" applyNumberFormat="1" applyFont="1" applyAlignment="1">
      <alignment horizontal="left"/>
    </xf>
    <xf numFmtId="1" fontId="27" fillId="0" borderId="9" xfId="4" applyNumberFormat="1" applyFont="1" applyBorder="1" applyAlignment="1">
      <alignment horizontal="left"/>
    </xf>
    <xf numFmtId="38" fontId="18" fillId="0" borderId="0" xfId="4" quotePrefix="1" applyNumberFormat="1" applyFont="1" applyAlignment="1">
      <alignment horizontal="left"/>
    </xf>
    <xf numFmtId="38" fontId="20" fillId="0" borderId="0" xfId="4" quotePrefix="1" applyNumberFormat="1" applyFont="1" applyAlignment="1">
      <alignment horizontal="left"/>
    </xf>
    <xf numFmtId="0" fontId="24" fillId="0" borderId="9" xfId="4" applyFont="1" applyBorder="1" applyAlignment="1">
      <alignment horizontal="left"/>
    </xf>
    <xf numFmtId="0" fontId="24" fillId="0" borderId="9" xfId="4" applyFont="1" applyBorder="1"/>
    <xf numFmtId="5" fontId="28" fillId="0" borderId="0" xfId="4" applyNumberFormat="1" applyFont="1" applyAlignment="1">
      <alignment horizontal="left"/>
    </xf>
    <xf numFmtId="5" fontId="24" fillId="0" borderId="9" xfId="4" applyNumberFormat="1" applyFont="1" applyBorder="1" applyAlignment="1">
      <alignment horizontal="center"/>
    </xf>
    <xf numFmtId="1" fontId="26" fillId="0" borderId="0" xfId="4" applyNumberFormat="1" applyFont="1" applyAlignment="1">
      <alignment horizontal="left"/>
    </xf>
    <xf numFmtId="14" fontId="24" fillId="0" borderId="0" xfId="4" applyNumberFormat="1" applyFont="1" applyAlignment="1">
      <alignment horizontal="left"/>
    </xf>
    <xf numFmtId="5" fontId="20" fillId="0" borderId="8" xfId="4" applyNumberFormat="1" applyFont="1" applyBorder="1"/>
    <xf numFmtId="5" fontId="24" fillId="0" borderId="11" xfId="4" applyNumberFormat="1" applyFont="1" applyBorder="1" applyAlignment="1">
      <alignment horizontal="left"/>
    </xf>
    <xf numFmtId="5" fontId="24" fillId="0" borderId="11" xfId="4" applyNumberFormat="1" applyFont="1" applyBorder="1"/>
    <xf numFmtId="5" fontId="20" fillId="0" borderId="11" xfId="4" applyNumberFormat="1" applyFont="1" applyBorder="1" applyAlignment="1">
      <alignment horizontal="left"/>
    </xf>
    <xf numFmtId="5" fontId="24" fillId="0" borderId="14" xfId="4" applyNumberFormat="1" applyFont="1" applyBorder="1"/>
    <xf numFmtId="0" fontId="24" fillId="0" borderId="14" xfId="4" applyFont="1" applyBorder="1"/>
    <xf numFmtId="0" fontId="24" fillId="0" borderId="2" xfId="4" applyFont="1" applyBorder="1"/>
    <xf numFmtId="0" fontId="24" fillId="0" borderId="6" xfId="4" applyFont="1" applyBorder="1"/>
    <xf numFmtId="5" fontId="20" fillId="0" borderId="0" xfId="4" applyNumberFormat="1" applyFont="1" applyProtection="1">
      <protection locked="0"/>
    </xf>
    <xf numFmtId="5" fontId="20" fillId="0" borderId="0" xfId="4" quotePrefix="1" applyNumberFormat="1" applyFont="1" applyAlignment="1">
      <alignment horizontal="left"/>
    </xf>
    <xf numFmtId="0" fontId="24" fillId="0" borderId="2" xfId="4" applyFont="1" applyBorder="1" applyProtection="1">
      <protection locked="0"/>
    </xf>
    <xf numFmtId="0" fontId="29" fillId="0" borderId="0" xfId="5" applyFont="1"/>
    <xf numFmtId="0" fontId="17" fillId="0" borderId="0" xfId="6"/>
    <xf numFmtId="0" fontId="30" fillId="0" borderId="0" xfId="5" applyFont="1"/>
    <xf numFmtId="0" fontId="16" fillId="0" borderId="15" xfId="5" applyFont="1" applyBorder="1" applyAlignment="1">
      <alignment horizontal="center"/>
    </xf>
    <xf numFmtId="5" fontId="26" fillId="0" borderId="15" xfId="4" applyNumberFormat="1" applyFont="1" applyBorder="1" applyAlignment="1">
      <alignment horizontal="center" wrapText="1"/>
    </xf>
    <xf numFmtId="0" fontId="16" fillId="0" borderId="0" xfId="5" applyFont="1" applyAlignment="1">
      <alignment horizontal="center"/>
    </xf>
    <xf numFmtId="0" fontId="31" fillId="0" borderId="0" xfId="5" applyFont="1"/>
    <xf numFmtId="0" fontId="28" fillId="0" borderId="0" xfId="6" applyFont="1"/>
    <xf numFmtId="5" fontId="24" fillId="0" borderId="2" xfId="4" applyNumberFormat="1" applyFont="1" applyBorder="1" applyProtection="1">
      <protection locked="0"/>
    </xf>
    <xf numFmtId="0" fontId="32" fillId="0" borderId="0" xfId="5" applyFont="1"/>
    <xf numFmtId="168" fontId="34" fillId="0" borderId="0" xfId="7" applyNumberFormat="1" applyFont="1" applyBorder="1" applyAlignment="1">
      <alignment horizontal="right"/>
    </xf>
    <xf numFmtId="164" fontId="26" fillId="0" borderId="0" xfId="3" applyNumberFormat="1" applyFont="1"/>
    <xf numFmtId="168" fontId="34" fillId="0" borderId="0" xfId="7" applyNumberFormat="1" applyFont="1" applyFill="1" applyBorder="1" applyAlignment="1">
      <alignment horizontal="right"/>
    </xf>
    <xf numFmtId="168" fontId="32" fillId="0" borderId="0" xfId="5" applyNumberFormat="1" applyFont="1" applyAlignment="1">
      <alignment horizontal="right"/>
    </xf>
    <xf numFmtId="5" fontId="24" fillId="0" borderId="0" xfId="4" applyNumberFormat="1" applyFont="1" applyAlignment="1">
      <alignment horizontal="right"/>
    </xf>
    <xf numFmtId="168" fontId="34" fillId="0" borderId="0" xfId="5" applyNumberFormat="1" applyFont="1" applyAlignment="1">
      <alignment horizontal="right"/>
    </xf>
    <xf numFmtId="168" fontId="24" fillId="0" borderId="0" xfId="6" applyNumberFormat="1" applyFont="1" applyAlignment="1">
      <alignment horizontal="right"/>
    </xf>
    <xf numFmtId="5" fontId="24" fillId="0" borderId="2" xfId="4" applyNumberFormat="1" applyFont="1" applyBorder="1" applyAlignment="1" applyProtection="1">
      <alignment horizontal="left"/>
      <protection locked="0"/>
    </xf>
    <xf numFmtId="0" fontId="36" fillId="0" borderId="0" xfId="0" applyFont="1"/>
    <xf numFmtId="168" fontId="35" fillId="0" borderId="0" xfId="6" applyNumberFormat="1" applyFont="1" applyAlignment="1">
      <alignment horizontal="right"/>
    </xf>
    <xf numFmtId="168" fontId="34" fillId="0" borderId="0" xfId="6" applyNumberFormat="1" applyFont="1" applyAlignment="1">
      <alignment horizontal="right"/>
    </xf>
    <xf numFmtId="5" fontId="24" fillId="0" borderId="8" xfId="4" applyNumberFormat="1" applyFont="1" applyBorder="1" applyAlignment="1" applyProtection="1">
      <alignment horizontal="left"/>
      <protection locked="0"/>
    </xf>
    <xf numFmtId="0" fontId="37" fillId="0" borderId="0" xfId="0" applyFont="1" applyAlignment="1">
      <alignment horizontal="center"/>
    </xf>
    <xf numFmtId="168" fontId="16" fillId="0" borderId="13" xfId="7" applyNumberFormat="1" applyFont="1" applyBorder="1" applyAlignment="1">
      <alignment horizontal="right"/>
    </xf>
    <xf numFmtId="164" fontId="26" fillId="0" borderId="13" xfId="3" applyNumberFormat="1" applyFont="1" applyBorder="1"/>
    <xf numFmtId="168" fontId="16" fillId="0" borderId="0" xfId="7" applyNumberFormat="1" applyFont="1" applyBorder="1" applyAlignment="1">
      <alignment horizontal="right"/>
    </xf>
    <xf numFmtId="168" fontId="38" fillId="0" borderId="0" xfId="6" applyNumberFormat="1" applyFont="1" applyAlignment="1">
      <alignment horizontal="right"/>
    </xf>
    <xf numFmtId="168" fontId="16" fillId="0" borderId="0" xfId="6" applyNumberFormat="1" applyFont="1" applyAlignment="1">
      <alignment horizontal="right"/>
    </xf>
    <xf numFmtId="168" fontId="16" fillId="0" borderId="0" xfId="7" applyNumberFormat="1" applyFont="1" applyBorder="1" applyAlignment="1">
      <alignment horizontal="center"/>
    </xf>
    <xf numFmtId="168" fontId="38" fillId="0" borderId="0" xfId="6" applyNumberFormat="1" applyFont="1"/>
    <xf numFmtId="168" fontId="16" fillId="0" borderId="0" xfId="6" applyNumberFormat="1" applyFont="1" applyAlignment="1">
      <alignment horizontal="center"/>
    </xf>
    <xf numFmtId="168" fontId="16" fillId="0" borderId="0" xfId="2" applyNumberFormat="1" applyFont="1" applyBorder="1" applyAlignment="1">
      <alignment horizontal="center"/>
    </xf>
    <xf numFmtId="0" fontId="28" fillId="0" borderId="0" xfId="6" applyFont="1" applyAlignment="1">
      <alignment horizontal="left"/>
    </xf>
    <xf numFmtId="168" fontId="35" fillId="0" borderId="0" xfId="6" applyNumberFormat="1" applyFont="1"/>
    <xf numFmtId="0" fontId="16" fillId="0" borderId="0" xfId="6" applyFont="1" applyAlignment="1">
      <alignment wrapText="1"/>
    </xf>
    <xf numFmtId="9" fontId="39" fillId="0" borderId="0" xfId="3" applyFont="1" applyBorder="1" applyAlignment="1">
      <alignment horizontal="center"/>
    </xf>
    <xf numFmtId="5" fontId="28" fillId="0" borderId="0" xfId="4" applyNumberFormat="1" applyFont="1"/>
    <xf numFmtId="9" fontId="16" fillId="0" borderId="0" xfId="3" applyFont="1" applyBorder="1" applyAlignment="1">
      <alignment horizontal="center"/>
    </xf>
    <xf numFmtId="0" fontId="35" fillId="0" borderId="0" xfId="6" applyFont="1"/>
    <xf numFmtId="0" fontId="16" fillId="0" borderId="0" xfId="4" applyFont="1" applyAlignment="1">
      <alignment horizontal="left"/>
    </xf>
    <xf numFmtId="0" fontId="36" fillId="0" borderId="0" xfId="6" applyFont="1" applyAlignment="1">
      <alignment horizontal="center"/>
    </xf>
    <xf numFmtId="0" fontId="16" fillId="0" borderId="0" xfId="4" applyFont="1"/>
    <xf numFmtId="6" fontId="34" fillId="0" borderId="0" xfId="6" applyNumberFormat="1" applyFont="1" applyAlignment="1">
      <alignment horizontal="center"/>
    </xf>
    <xf numFmtId="5" fontId="24" fillId="0" borderId="2" xfId="4" applyNumberFormat="1" applyFont="1" applyBorder="1" applyAlignment="1">
      <alignment horizontal="left"/>
    </xf>
    <xf numFmtId="0" fontId="24" fillId="0" borderId="11" xfId="4" applyFont="1" applyBorder="1"/>
    <xf numFmtId="5" fontId="24" fillId="0" borderId="11" xfId="4" applyNumberFormat="1" applyFont="1" applyBorder="1" applyAlignment="1">
      <alignment horizontal="right"/>
    </xf>
    <xf numFmtId="5" fontId="24" fillId="0" borderId="0" xfId="4" applyNumberFormat="1" applyFont="1" applyAlignment="1" applyProtection="1">
      <alignment horizontal="left"/>
      <protection locked="0"/>
    </xf>
    <xf numFmtId="5" fontId="26" fillId="0" borderId="2" xfId="4" applyNumberFormat="1" applyFont="1" applyBorder="1" applyAlignment="1" applyProtection="1">
      <alignment horizontal="left"/>
      <protection locked="0"/>
    </xf>
    <xf numFmtId="5" fontId="26" fillId="0" borderId="8" xfId="4" applyNumberFormat="1" applyFont="1" applyBorder="1" applyAlignment="1" applyProtection="1">
      <alignment horizontal="left"/>
      <protection locked="0"/>
    </xf>
    <xf numFmtId="0" fontId="34" fillId="0" borderId="0" xfId="4" quotePrefix="1" applyFont="1" applyAlignment="1">
      <alignment horizontal="left"/>
    </xf>
    <xf numFmtId="0" fontId="34" fillId="0" borderId="0" xfId="4" applyFont="1"/>
    <xf numFmtId="0" fontId="34" fillId="0" borderId="9" xfId="4" applyFont="1" applyBorder="1"/>
    <xf numFmtId="0" fontId="26" fillId="0" borderId="8" xfId="4" applyFont="1" applyBorder="1"/>
    <xf numFmtId="168" fontId="34" fillId="0" borderId="0" xfId="4" applyNumberFormat="1" applyFont="1"/>
    <xf numFmtId="0" fontId="34" fillId="0" borderId="0" xfId="6" applyFont="1"/>
    <xf numFmtId="0" fontId="36" fillId="0" borderId="0" xfId="6" applyFont="1"/>
    <xf numFmtId="1" fontId="26" fillId="0" borderId="8" xfId="4" applyNumberFormat="1" applyFont="1" applyBorder="1" applyAlignment="1" applyProtection="1">
      <alignment horizontal="left"/>
      <protection locked="0"/>
    </xf>
    <xf numFmtId="15" fontId="34" fillId="0" borderId="0" xfId="4" applyNumberFormat="1" applyFont="1"/>
    <xf numFmtId="5" fontId="18" fillId="0" borderId="8" xfId="4" applyNumberFormat="1" applyFont="1" applyBorder="1" applyAlignment="1">
      <alignment horizontal="center"/>
    </xf>
    <xf numFmtId="5" fontId="18" fillId="0" borderId="8" xfId="4" applyNumberFormat="1" applyFont="1" applyBorder="1" applyAlignment="1">
      <alignment horizontal="left"/>
    </xf>
    <xf numFmtId="5" fontId="18" fillId="0" borderId="8" xfId="4" applyNumberFormat="1" applyFont="1" applyBorder="1"/>
    <xf numFmtId="5" fontId="34" fillId="0" borderId="0" xfId="4" applyNumberFormat="1" applyFont="1"/>
    <xf numFmtId="0" fontId="34" fillId="0" borderId="0" xfId="4" applyFont="1" applyProtection="1">
      <protection locked="0"/>
    </xf>
    <xf numFmtId="5" fontId="34" fillId="0" borderId="0" xfId="4" applyNumberFormat="1" applyFont="1" applyAlignment="1">
      <alignment horizontal="left"/>
    </xf>
    <xf numFmtId="0" fontId="34" fillId="0" borderId="0" xfId="4" applyFont="1" applyAlignment="1" applyProtection="1">
      <alignment horizontal="left"/>
      <protection locked="0"/>
    </xf>
    <xf numFmtId="5" fontId="19" fillId="0" borderId="0" xfId="4" applyNumberFormat="1" applyFont="1"/>
    <xf numFmtId="0" fontId="19" fillId="0" borderId="0" xfId="4" applyFont="1"/>
    <xf numFmtId="0" fontId="19" fillId="0" borderId="0" xfId="4" applyFont="1" applyAlignment="1">
      <alignment horizontal="center"/>
    </xf>
    <xf numFmtId="5" fontId="16" fillId="0" borderId="8" xfId="4" applyNumberFormat="1" applyFont="1" applyBorder="1" applyAlignment="1">
      <alignment horizontal="left"/>
    </xf>
    <xf numFmtId="0" fontId="19" fillId="0" borderId="0" xfId="4" applyFont="1" applyAlignment="1">
      <alignment horizontal="left"/>
    </xf>
    <xf numFmtId="5" fontId="20" fillId="0" borderId="0" xfId="4" applyNumberFormat="1" applyFont="1" applyAlignment="1">
      <alignment horizontal="centerContinuous"/>
    </xf>
    <xf numFmtId="5" fontId="24" fillId="0" borderId="0" xfId="4" applyNumberFormat="1" applyFont="1" applyAlignment="1">
      <alignment horizontal="centerContinuous"/>
    </xf>
    <xf numFmtId="0" fontId="24" fillId="0" borderId="0" xfId="4" applyFont="1" applyAlignment="1">
      <alignment horizontal="centerContinuous"/>
    </xf>
    <xf numFmtId="5" fontId="24" fillId="0" borderId="10" xfId="4" applyNumberFormat="1" applyFont="1" applyBorder="1" applyAlignment="1">
      <alignment horizontal="left"/>
    </xf>
    <xf numFmtId="5" fontId="20" fillId="0" borderId="5" xfId="4" applyNumberFormat="1" applyFont="1" applyBorder="1" applyAlignment="1">
      <alignment horizontal="left"/>
    </xf>
    <xf numFmtId="0" fontId="34" fillId="0" borderId="8" xfId="4" applyFont="1" applyBorder="1"/>
    <xf numFmtId="0" fontId="31" fillId="0" borderId="0" xfId="4" applyFont="1" applyAlignment="1">
      <alignment horizontal="left"/>
    </xf>
    <xf numFmtId="5" fontId="32" fillId="0" borderId="0" xfId="4" applyNumberFormat="1" applyFont="1"/>
    <xf numFmtId="0" fontId="16" fillId="0" borderId="0" xfId="4" applyFont="1" applyAlignment="1">
      <alignment horizontal="center" vertical="center"/>
    </xf>
    <xf numFmtId="0" fontId="40" fillId="0" borderId="0" xfId="8"/>
    <xf numFmtId="0" fontId="43" fillId="7" borderId="4" xfId="8" applyFont="1" applyFill="1" applyBorder="1"/>
    <xf numFmtId="0" fontId="43" fillId="0" borderId="4" xfId="8" applyFont="1" applyBorder="1"/>
    <xf numFmtId="5" fontId="18" fillId="0" borderId="0" xfId="0" applyNumberFormat="1" applyFont="1"/>
    <xf numFmtId="171" fontId="20" fillId="0" borderId="0" xfId="0" applyNumberFormat="1" applyFont="1" applyAlignment="1">
      <alignment horizontal="center"/>
    </xf>
    <xf numFmtId="0" fontId="0" fillId="0" borderId="0" xfId="0" applyAlignment="1">
      <alignment wrapText="1"/>
    </xf>
    <xf numFmtId="14" fontId="0" fillId="0" borderId="0" xfId="0" applyNumberFormat="1"/>
    <xf numFmtId="0" fontId="20" fillId="0" borderId="0" xfId="0" applyFont="1" applyAlignment="1">
      <alignment wrapText="1"/>
    </xf>
    <xf numFmtId="5" fontId="24" fillId="0" borderId="15" xfId="0" applyNumberFormat="1" applyFont="1" applyBorder="1" applyAlignment="1">
      <alignment horizontal="left"/>
    </xf>
    <xf numFmtId="0" fontId="0" fillId="0" borderId="15" xfId="0" applyBorder="1"/>
    <xf numFmtId="5" fontId="0" fillId="0" borderId="15" xfId="0" applyNumberFormat="1" applyBorder="1"/>
    <xf numFmtId="0" fontId="0" fillId="0" borderId="15" xfId="0" applyBorder="1" applyAlignment="1">
      <alignment horizontal="center"/>
    </xf>
    <xf numFmtId="0" fontId="0" fillId="0" borderId="15" xfId="0" applyBorder="1" applyAlignment="1">
      <alignment wrapText="1"/>
    </xf>
    <xf numFmtId="0" fontId="20" fillId="0" borderId="0" xfId="0" applyFont="1" applyAlignment="1">
      <alignment vertical="top"/>
    </xf>
    <xf numFmtId="0" fontId="20" fillId="0" borderId="16" xfId="0" applyFont="1" applyBorder="1" applyAlignment="1">
      <alignment vertical="top"/>
    </xf>
    <xf numFmtId="0" fontId="0" fillId="0" borderId="0" xfId="0" applyAlignment="1">
      <alignment vertical="top"/>
    </xf>
    <xf numFmtId="0" fontId="0" fillId="0" borderId="19" xfId="0" applyBorder="1"/>
    <xf numFmtId="0" fontId="20" fillId="0" borderId="0" xfId="0" applyFont="1" applyAlignment="1" applyProtection="1">
      <alignment horizontal="center"/>
      <protection locked="0"/>
    </xf>
    <xf numFmtId="0" fontId="0" fillId="0" borderId="19" xfId="0" applyBorder="1" applyAlignment="1">
      <alignment wrapText="1"/>
    </xf>
    <xf numFmtId="0" fontId="20" fillId="0" borderId="11" xfId="0" applyFont="1" applyBorder="1"/>
    <xf numFmtId="170" fontId="19" fillId="0" borderId="20" xfId="2" applyNumberFormat="1" applyBorder="1"/>
    <xf numFmtId="3" fontId="19" fillId="0" borderId="11" xfId="2" applyNumberFormat="1" applyBorder="1" applyAlignment="1">
      <alignment horizontal="center"/>
    </xf>
    <xf numFmtId="168" fontId="19" fillId="0" borderId="21" xfId="2" applyNumberFormat="1" applyBorder="1"/>
    <xf numFmtId="170" fontId="19" fillId="0" borderId="19" xfId="2" applyNumberFormat="1" applyBorder="1"/>
    <xf numFmtId="3" fontId="19" fillId="0" borderId="11" xfId="2" applyNumberFormat="1" applyBorder="1" applyAlignment="1" applyProtection="1">
      <alignment horizontal="center"/>
      <protection locked="0"/>
    </xf>
    <xf numFmtId="168" fontId="19" fillId="0" borderId="21" xfId="2" applyNumberFormat="1" applyBorder="1" applyProtection="1">
      <protection locked="0"/>
    </xf>
    <xf numFmtId="170" fontId="19" fillId="0" borderId="22" xfId="2" applyNumberFormat="1" applyBorder="1" applyAlignment="1">
      <alignment wrapText="1"/>
    </xf>
    <xf numFmtId="0" fontId="0" fillId="0" borderId="23" xfId="0" applyBorder="1"/>
    <xf numFmtId="170" fontId="19" fillId="0" borderId="24" xfId="2" applyNumberFormat="1" applyBorder="1"/>
    <xf numFmtId="3" fontId="19" fillId="0" borderId="23" xfId="2" applyNumberFormat="1" applyFill="1" applyBorder="1" applyAlignment="1" applyProtection="1">
      <alignment horizontal="center"/>
      <protection locked="0"/>
    </xf>
    <xf numFmtId="168" fontId="19" fillId="0" borderId="23" xfId="2" applyNumberFormat="1" applyBorder="1" applyAlignment="1">
      <alignment horizontal="center"/>
    </xf>
    <xf numFmtId="168" fontId="19" fillId="0" borderId="23" xfId="2" applyNumberFormat="1" applyBorder="1" applyAlignment="1" applyProtection="1">
      <alignment horizontal="center"/>
      <protection locked="0"/>
    </xf>
    <xf numFmtId="0" fontId="20" fillId="0" borderId="23" xfId="0" applyFont="1" applyBorder="1" applyAlignment="1">
      <alignment horizontal="right"/>
    </xf>
    <xf numFmtId="3" fontId="19" fillId="0" borderId="25" xfId="2" applyNumberFormat="1" applyBorder="1" applyAlignment="1">
      <alignment horizontal="center"/>
    </xf>
    <xf numFmtId="168" fontId="19" fillId="0" borderId="26" xfId="2" applyNumberFormat="1" applyBorder="1" applyAlignment="1">
      <alignment horizontal="center"/>
    </xf>
    <xf numFmtId="3" fontId="19" fillId="0" borderId="25" xfId="2" applyNumberFormat="1" applyBorder="1" applyAlignment="1" applyProtection="1">
      <alignment horizontal="center"/>
      <protection locked="0"/>
    </xf>
    <xf numFmtId="168" fontId="19" fillId="0" borderId="26" xfId="2" applyNumberFormat="1" applyBorder="1" applyAlignment="1" applyProtection="1">
      <alignment horizontal="center"/>
      <protection locked="0"/>
    </xf>
    <xf numFmtId="3" fontId="19" fillId="0" borderId="23" xfId="2" applyNumberFormat="1" applyFill="1" applyBorder="1" applyAlignment="1">
      <alignment horizontal="center"/>
    </xf>
    <xf numFmtId="0" fontId="19" fillId="0" borderId="23" xfId="0" applyFont="1" applyBorder="1"/>
    <xf numFmtId="3" fontId="19" fillId="0" borderId="27" xfId="2" applyNumberFormat="1" applyFill="1" applyBorder="1" applyAlignment="1">
      <alignment horizontal="center"/>
    </xf>
    <xf numFmtId="168" fontId="19" fillId="0" borderId="28" xfId="2" applyNumberFormat="1" applyBorder="1" applyAlignment="1">
      <alignment horizontal="center"/>
    </xf>
    <xf numFmtId="3" fontId="19" fillId="0" borderId="27" xfId="2" applyNumberFormat="1" applyFill="1" applyBorder="1" applyAlignment="1" applyProtection="1">
      <alignment horizontal="center"/>
      <protection locked="0"/>
    </xf>
    <xf numFmtId="168" fontId="19" fillId="0" borderId="28" xfId="2" applyNumberFormat="1" applyBorder="1" applyAlignment="1" applyProtection="1">
      <alignment horizontal="center"/>
      <protection locked="0"/>
    </xf>
    <xf numFmtId="0" fontId="0" fillId="8" borderId="23" xfId="0" applyFill="1" applyBorder="1"/>
    <xf numFmtId="3" fontId="19" fillId="0" borderId="29" xfId="2" applyNumberFormat="1" applyFill="1" applyBorder="1" applyAlignment="1">
      <alignment horizontal="center"/>
    </xf>
    <xf numFmtId="168" fontId="19" fillId="0" borderId="21" xfId="2" applyNumberFormat="1" applyBorder="1" applyAlignment="1">
      <alignment horizontal="center"/>
    </xf>
    <xf numFmtId="3" fontId="19" fillId="0" borderId="29" xfId="2" applyNumberFormat="1" applyFill="1" applyBorder="1" applyAlignment="1" applyProtection="1">
      <alignment horizontal="center"/>
      <protection locked="0"/>
    </xf>
    <xf numFmtId="168" fontId="19" fillId="0" borderId="21" xfId="2" applyNumberFormat="1" applyBorder="1" applyAlignment="1" applyProtection="1">
      <alignment horizontal="center"/>
      <protection locked="0"/>
    </xf>
    <xf numFmtId="0" fontId="20" fillId="0" borderId="23" xfId="0" applyFont="1" applyBorder="1" applyAlignment="1">
      <alignment horizontal="center"/>
    </xf>
    <xf numFmtId="3" fontId="19" fillId="0" borderId="0" xfId="2" applyNumberFormat="1" applyFill="1" applyBorder="1" applyAlignment="1">
      <alignment horizontal="center"/>
    </xf>
    <xf numFmtId="44" fontId="19" fillId="0" borderId="0" xfId="2" applyBorder="1" applyAlignment="1">
      <alignment horizontal="center"/>
    </xf>
    <xf numFmtId="3" fontId="19" fillId="0" borderId="0" xfId="2" applyNumberFormat="1" applyFill="1" applyBorder="1" applyAlignment="1" applyProtection="1">
      <alignment horizontal="center"/>
      <protection locked="0"/>
    </xf>
    <xf numFmtId="44" fontId="19" fillId="0" borderId="0" xfId="2" applyBorder="1" applyAlignment="1" applyProtection="1">
      <alignment horizontal="center"/>
      <protection locked="0"/>
    </xf>
    <xf numFmtId="3" fontId="19" fillId="0" borderId="0" xfId="2" applyNumberFormat="1" applyFill="1" applyAlignment="1">
      <alignment horizontal="center"/>
    </xf>
    <xf numFmtId="168" fontId="19" fillId="0" borderId="0" xfId="2" applyNumberFormat="1" applyAlignment="1">
      <alignment horizontal="center"/>
    </xf>
    <xf numFmtId="3" fontId="19" fillId="0" borderId="0" xfId="2" applyNumberFormat="1" applyFill="1" applyAlignment="1" applyProtection="1">
      <alignment horizontal="center"/>
      <protection locked="0"/>
    </xf>
    <xf numFmtId="168" fontId="19" fillId="0" borderId="0" xfId="2" applyNumberFormat="1" applyAlignment="1" applyProtection="1">
      <alignment horizontal="center"/>
      <protection locked="0"/>
    </xf>
    <xf numFmtId="0" fontId="20" fillId="0" borderId="30" xfId="0" applyFont="1" applyBorder="1" applyAlignment="1">
      <alignment horizontal="right"/>
    </xf>
    <xf numFmtId="3" fontId="19" fillId="0" borderId="30" xfId="2" applyNumberFormat="1" applyFill="1" applyBorder="1" applyAlignment="1">
      <alignment horizontal="center"/>
    </xf>
    <xf numFmtId="168" fontId="19" fillId="0" borderId="30" xfId="2" applyNumberFormat="1" applyBorder="1" applyAlignment="1">
      <alignment horizontal="center"/>
    </xf>
    <xf numFmtId="3" fontId="19" fillId="0" borderId="30" xfId="2" applyNumberFormat="1" applyFill="1" applyBorder="1" applyAlignment="1" applyProtection="1">
      <alignment horizontal="center"/>
      <protection locked="0"/>
    </xf>
    <xf numFmtId="168" fontId="19" fillId="0" borderId="30" xfId="2" applyNumberFormat="1" applyBorder="1" applyAlignment="1" applyProtection="1">
      <alignment horizontal="center"/>
      <protection locked="0"/>
    </xf>
    <xf numFmtId="168" fontId="19" fillId="0" borderId="0" xfId="2" applyNumberFormat="1"/>
    <xf numFmtId="168" fontId="19" fillId="0" borderId="0" xfId="2" applyNumberFormat="1" applyProtection="1">
      <protection locked="0"/>
    </xf>
    <xf numFmtId="3" fontId="19" fillId="0" borderId="25" xfId="2" applyNumberFormat="1" applyFont="1" applyFill="1" applyBorder="1" applyAlignment="1">
      <alignment horizontal="center"/>
    </xf>
    <xf numFmtId="3" fontId="19" fillId="0" borderId="25" xfId="2" applyNumberFormat="1" applyFont="1" applyFill="1" applyBorder="1" applyAlignment="1" applyProtection="1">
      <alignment horizontal="center"/>
      <protection locked="0"/>
    </xf>
    <xf numFmtId="0" fontId="0" fillId="0" borderId="0" xfId="0" applyProtection="1">
      <protection locked="0"/>
    </xf>
    <xf numFmtId="168" fontId="0" fillId="0" borderId="0" xfId="0" applyNumberFormat="1"/>
    <xf numFmtId="0" fontId="19" fillId="0" borderId="11" xfId="0" applyFont="1" applyBorder="1"/>
    <xf numFmtId="170" fontId="19" fillId="0" borderId="32" xfId="2" applyNumberFormat="1" applyBorder="1"/>
    <xf numFmtId="3" fontId="19" fillId="0" borderId="30" xfId="2" applyNumberFormat="1" applyFont="1" applyFill="1" applyBorder="1" applyAlignment="1">
      <alignment horizontal="center"/>
    </xf>
    <xf numFmtId="3" fontId="19" fillId="0" borderId="30" xfId="2" applyNumberFormat="1" applyFont="1" applyFill="1" applyBorder="1" applyAlignment="1" applyProtection="1">
      <alignment horizontal="center"/>
      <protection locked="0"/>
    </xf>
    <xf numFmtId="170" fontId="19" fillId="0" borderId="19" xfId="2" applyNumberFormat="1" applyFont="1" applyBorder="1"/>
    <xf numFmtId="3" fontId="19" fillId="0" borderId="0" xfId="2" applyNumberFormat="1" applyFont="1" applyFill="1" applyBorder="1" applyAlignment="1">
      <alignment horizontal="center"/>
    </xf>
    <xf numFmtId="168" fontId="19" fillId="0" borderId="0" xfId="2" applyNumberFormat="1" applyFont="1" applyBorder="1"/>
    <xf numFmtId="3" fontId="19" fillId="0" borderId="0" xfId="2" applyNumberFormat="1" applyFont="1" applyFill="1" applyBorder="1" applyAlignment="1" applyProtection="1">
      <alignment horizontal="center"/>
      <protection locked="0"/>
    </xf>
    <xf numFmtId="168" fontId="19" fillId="0" borderId="0" xfId="2" applyNumberFormat="1" applyFont="1" applyBorder="1" applyProtection="1">
      <protection locked="0"/>
    </xf>
    <xf numFmtId="0" fontId="19" fillId="0" borderId="31" xfId="0" applyFont="1" applyBorder="1"/>
    <xf numFmtId="3" fontId="19" fillId="0" borderId="0" xfId="2" applyNumberFormat="1" applyFont="1" applyFill="1" applyAlignment="1">
      <alignment horizontal="center"/>
    </xf>
    <xf numFmtId="168" fontId="19" fillId="0" borderId="0" xfId="2" applyNumberFormat="1" applyFont="1"/>
    <xf numFmtId="3" fontId="19" fillId="0" borderId="0" xfId="2" applyNumberFormat="1" applyFont="1" applyFill="1" applyAlignment="1" applyProtection="1">
      <alignment horizontal="center"/>
      <protection locked="0"/>
    </xf>
    <xf numFmtId="168" fontId="19" fillId="0" borderId="0" xfId="2" applyNumberFormat="1" applyFont="1" applyProtection="1">
      <protection locked="0"/>
    </xf>
    <xf numFmtId="3" fontId="19" fillId="0" borderId="25" xfId="2" applyNumberFormat="1" applyFill="1" applyBorder="1" applyAlignment="1">
      <alignment horizontal="center"/>
    </xf>
    <xf numFmtId="3" fontId="19" fillId="0" borderId="25" xfId="2" applyNumberFormat="1" applyFill="1" applyBorder="1" applyAlignment="1" applyProtection="1">
      <alignment horizontal="center"/>
      <protection locked="0"/>
    </xf>
    <xf numFmtId="3" fontId="19" fillId="0" borderId="23" xfId="2" applyNumberFormat="1" applyFont="1" applyFill="1" applyBorder="1" applyAlignment="1">
      <alignment horizontal="center"/>
    </xf>
    <xf numFmtId="3" fontId="19" fillId="0" borderId="23" xfId="2" applyNumberFormat="1" applyFont="1" applyFill="1" applyBorder="1" applyAlignment="1" applyProtection="1">
      <alignment horizontal="center"/>
      <protection locked="0"/>
    </xf>
    <xf numFmtId="168" fontId="19" fillId="0" borderId="0" xfId="2" applyNumberFormat="1" applyBorder="1"/>
    <xf numFmtId="168" fontId="19" fillId="0" borderId="0" xfId="2" applyNumberFormat="1" applyBorder="1" applyProtection="1">
      <protection locked="0"/>
    </xf>
    <xf numFmtId="0" fontId="19" fillId="0" borderId="23" xfId="0" applyFont="1" applyBorder="1" applyAlignment="1">
      <alignment horizontal="left"/>
    </xf>
    <xf numFmtId="170" fontId="20" fillId="0" borderId="19" xfId="2" applyNumberFormat="1" applyFont="1" applyBorder="1"/>
    <xf numFmtId="3" fontId="19" fillId="0" borderId="0" xfId="2" applyNumberFormat="1" applyAlignment="1">
      <alignment horizontal="center"/>
    </xf>
    <xf numFmtId="170" fontId="19" fillId="0" borderId="22" xfId="2" applyNumberFormat="1" applyBorder="1"/>
    <xf numFmtId="3" fontId="19" fillId="0" borderId="0" xfId="2" applyNumberFormat="1"/>
    <xf numFmtId="0" fontId="0" fillId="0" borderId="0" xfId="0" applyAlignment="1">
      <alignment horizontal="centerContinuous" wrapText="1"/>
    </xf>
    <xf numFmtId="0" fontId="0" fillId="0" borderId="0" xfId="0" applyAlignment="1">
      <alignment horizontal="center" wrapText="1"/>
    </xf>
    <xf numFmtId="5" fontId="24" fillId="0" borderId="5" xfId="4" applyNumberFormat="1" applyFont="1" applyBorder="1" applyAlignment="1">
      <alignment vertical="top"/>
    </xf>
    <xf numFmtId="5" fontId="24" fillId="0" borderId="6" xfId="4" applyNumberFormat="1" applyFont="1" applyBorder="1" applyAlignment="1">
      <alignment vertical="top"/>
    </xf>
    <xf numFmtId="5" fontId="24" fillId="0" borderId="8" xfId="4" applyNumberFormat="1" applyFont="1" applyBorder="1" applyAlignment="1">
      <alignment vertical="top"/>
    </xf>
    <xf numFmtId="0" fontId="24" fillId="0" borderId="8" xfId="4" applyFont="1" applyBorder="1" applyAlignment="1">
      <alignment vertical="top"/>
    </xf>
    <xf numFmtId="5" fontId="20" fillId="0" borderId="8" xfId="4" applyNumberFormat="1" applyFont="1" applyBorder="1" applyAlignment="1">
      <alignment horizontal="left" vertical="top"/>
    </xf>
    <xf numFmtId="1" fontId="18" fillId="0" borderId="0" xfId="4" applyNumberFormat="1" applyFont="1" applyAlignment="1">
      <alignment horizontal="left" vertical="top"/>
    </xf>
    <xf numFmtId="5" fontId="18" fillId="0" borderId="0" xfId="4" applyNumberFormat="1" applyFont="1" applyAlignment="1">
      <alignment horizontal="left" vertical="top"/>
    </xf>
    <xf numFmtId="5" fontId="24" fillId="0" borderId="0" xfId="4" applyNumberFormat="1" applyFont="1" applyAlignment="1">
      <alignment vertical="top"/>
    </xf>
    <xf numFmtId="5" fontId="25" fillId="0" borderId="0" xfId="4" applyNumberFormat="1" applyFont="1" applyAlignment="1">
      <alignment vertical="top"/>
    </xf>
    <xf numFmtId="0" fontId="24" fillId="0" borderId="0" xfId="4" applyFont="1" applyAlignment="1">
      <alignment vertical="top"/>
    </xf>
    <xf numFmtId="0" fontId="26" fillId="0" borderId="0" xfId="4" applyFont="1" applyAlignment="1">
      <alignment vertical="top"/>
    </xf>
    <xf numFmtId="1" fontId="27" fillId="0" borderId="0" xfId="4" applyNumberFormat="1" applyFont="1" applyAlignment="1">
      <alignment horizontal="left" vertical="top"/>
    </xf>
    <xf numFmtId="5" fontId="20" fillId="0" borderId="0" xfId="4" applyNumberFormat="1" applyFont="1" applyAlignment="1">
      <alignment horizontal="left" vertical="top"/>
    </xf>
    <xf numFmtId="38" fontId="18" fillId="0" borderId="0" xfId="4" quotePrefix="1" applyNumberFormat="1" applyFont="1" applyAlignment="1">
      <alignment horizontal="left" vertical="top"/>
    </xf>
    <xf numFmtId="38" fontId="20" fillId="0" borderId="0" xfId="4" quotePrefix="1" applyNumberFormat="1" applyFont="1" applyAlignment="1">
      <alignment horizontal="left" vertical="top"/>
    </xf>
    <xf numFmtId="5" fontId="28" fillId="0" borderId="0" xfId="4" applyNumberFormat="1" applyFont="1" applyAlignment="1">
      <alignment horizontal="left" vertical="top"/>
    </xf>
    <xf numFmtId="1" fontId="26" fillId="0" borderId="0" xfId="4" applyNumberFormat="1" applyFont="1" applyAlignment="1">
      <alignment horizontal="left" vertical="top"/>
    </xf>
    <xf numFmtId="14" fontId="24" fillId="0" borderId="0" xfId="4" applyNumberFormat="1" applyFont="1" applyAlignment="1">
      <alignment horizontal="left" vertical="top"/>
    </xf>
    <xf numFmtId="5" fontId="20" fillId="0" borderId="8" xfId="4" applyNumberFormat="1" applyFont="1" applyBorder="1" applyAlignment="1">
      <alignment vertical="top"/>
    </xf>
    <xf numFmtId="5" fontId="20" fillId="0" borderId="0" xfId="4" applyNumberFormat="1" applyFont="1" applyAlignment="1" applyProtection="1">
      <alignment vertical="top"/>
      <protection locked="0"/>
    </xf>
    <xf numFmtId="5" fontId="20" fillId="0" borderId="0" xfId="4" quotePrefix="1" applyNumberFormat="1" applyFont="1" applyAlignment="1">
      <alignment horizontal="left" vertical="top"/>
    </xf>
    <xf numFmtId="0" fontId="29" fillId="0" borderId="0" xfId="5" applyFont="1" applyAlignment="1">
      <alignment vertical="top"/>
    </xf>
    <xf numFmtId="0" fontId="16" fillId="0" borderId="0" xfId="5" applyFont="1" applyAlignment="1">
      <alignment horizontal="center" vertical="top"/>
    </xf>
    <xf numFmtId="0" fontId="31" fillId="0" borderId="0" xfId="5" applyFont="1" applyAlignment="1">
      <alignment vertical="top"/>
    </xf>
    <xf numFmtId="0" fontId="19" fillId="0" borderId="0" xfId="0" applyFont="1" applyAlignment="1">
      <alignment vertical="top" wrapText="1"/>
    </xf>
    <xf numFmtId="0" fontId="32" fillId="0" borderId="0" xfId="5" applyFont="1" applyAlignment="1">
      <alignment vertical="top"/>
    </xf>
    <xf numFmtId="168" fontId="34" fillId="0" borderId="0" xfId="7" applyNumberFormat="1" applyFont="1" applyBorder="1" applyAlignment="1">
      <alignment horizontal="right" vertical="top"/>
    </xf>
    <xf numFmtId="168" fontId="32" fillId="0" borderId="0" xfId="5" applyNumberFormat="1" applyFont="1" applyAlignment="1">
      <alignment horizontal="right" vertical="top"/>
    </xf>
    <xf numFmtId="0" fontId="36" fillId="0" borderId="0" xfId="0" applyFont="1" applyAlignment="1">
      <alignment vertical="top"/>
    </xf>
    <xf numFmtId="168" fontId="35" fillId="0" borderId="0" xfId="6" applyNumberFormat="1" applyFont="1" applyAlignment="1">
      <alignment horizontal="right" vertical="top"/>
    </xf>
    <xf numFmtId="168" fontId="34" fillId="0" borderId="0" xfId="6" applyNumberFormat="1" applyFont="1" applyAlignment="1">
      <alignment horizontal="right" vertical="top"/>
    </xf>
    <xf numFmtId="168" fontId="16" fillId="0" borderId="0" xfId="7" applyNumberFormat="1" applyFont="1" applyBorder="1" applyAlignment="1">
      <alignment horizontal="right" vertical="top"/>
    </xf>
    <xf numFmtId="168" fontId="38" fillId="0" borderId="0" xfId="6" applyNumberFormat="1" applyFont="1" applyAlignment="1">
      <alignment horizontal="right" vertical="top"/>
    </xf>
    <xf numFmtId="168" fontId="16" fillId="0" borderId="0" xfId="6" applyNumberFormat="1" applyFont="1" applyAlignment="1">
      <alignment horizontal="right" vertical="top"/>
    </xf>
    <xf numFmtId="5" fontId="24" fillId="0" borderId="8" xfId="4" applyNumberFormat="1" applyFont="1" applyBorder="1" applyAlignment="1" applyProtection="1">
      <alignment horizontal="left" vertical="top"/>
      <protection locked="0"/>
    </xf>
    <xf numFmtId="168" fontId="16" fillId="0" borderId="0" xfId="7" applyNumberFormat="1" applyFont="1" applyBorder="1" applyAlignment="1">
      <alignment horizontal="center" vertical="top"/>
    </xf>
    <xf numFmtId="168" fontId="38" fillId="0" borderId="0" xfId="6" applyNumberFormat="1" applyFont="1" applyAlignment="1">
      <alignment vertical="top"/>
    </xf>
    <xf numFmtId="168" fontId="16" fillId="0" borderId="0" xfId="6" applyNumberFormat="1" applyFont="1" applyAlignment="1">
      <alignment horizontal="center" vertical="top"/>
    </xf>
    <xf numFmtId="0" fontId="19" fillId="10" borderId="0" xfId="0" applyFont="1" applyFill="1" applyAlignment="1">
      <alignment vertical="top" wrapText="1"/>
    </xf>
    <xf numFmtId="0" fontId="17" fillId="10" borderId="0" xfId="6" applyFill="1" applyAlignment="1">
      <alignment vertical="top"/>
    </xf>
    <xf numFmtId="168" fontId="34" fillId="10" borderId="0" xfId="7" applyNumberFormat="1" applyFont="1" applyFill="1" applyBorder="1" applyAlignment="1">
      <alignment horizontal="right" vertical="top"/>
    </xf>
    <xf numFmtId="168" fontId="34" fillId="10" borderId="0" xfId="6" applyNumberFormat="1" applyFont="1" applyFill="1" applyAlignment="1">
      <alignment horizontal="right" vertical="top"/>
    </xf>
    <xf numFmtId="168" fontId="35" fillId="10" borderId="0" xfId="6" applyNumberFormat="1" applyFont="1" applyFill="1" applyAlignment="1">
      <alignment horizontal="right" vertical="top"/>
    </xf>
    <xf numFmtId="0" fontId="17" fillId="0" borderId="0" xfId="6" applyAlignment="1">
      <alignment vertical="top"/>
    </xf>
    <xf numFmtId="168" fontId="16" fillId="0" borderId="0" xfId="2" applyNumberFormat="1" applyFont="1" applyBorder="1" applyAlignment="1">
      <alignment horizontal="center" vertical="top"/>
    </xf>
    <xf numFmtId="0" fontId="28" fillId="0" borderId="0" xfId="6" applyFont="1" applyAlignment="1">
      <alignment horizontal="left" vertical="top"/>
    </xf>
    <xf numFmtId="168" fontId="35" fillId="0" borderId="0" xfId="6" applyNumberFormat="1" applyFont="1" applyAlignment="1">
      <alignment vertical="top"/>
    </xf>
    <xf numFmtId="0" fontId="16" fillId="0" borderId="0" xfId="6" applyFont="1" applyAlignment="1">
      <alignment vertical="top" wrapText="1"/>
    </xf>
    <xf numFmtId="9" fontId="39" fillId="0" borderId="0" xfId="3" applyFont="1" applyBorder="1" applyAlignment="1">
      <alignment horizontal="center" vertical="top"/>
    </xf>
    <xf numFmtId="5" fontId="28" fillId="0" borderId="0" xfId="4" applyNumberFormat="1" applyFont="1" applyAlignment="1">
      <alignment vertical="top"/>
    </xf>
    <xf numFmtId="9" fontId="16" fillId="0" borderId="0" xfId="3" applyFont="1" applyBorder="1" applyAlignment="1">
      <alignment horizontal="center" vertical="top"/>
    </xf>
    <xf numFmtId="0" fontId="35" fillId="0" borderId="0" xfId="6" applyFont="1" applyAlignment="1">
      <alignment vertical="top"/>
    </xf>
    <xf numFmtId="0" fontId="16" fillId="0" borderId="0" xfId="4" applyFont="1" applyAlignment="1">
      <alignment horizontal="left" vertical="top"/>
    </xf>
    <xf numFmtId="0" fontId="36" fillId="0" borderId="0" xfId="6" applyFont="1" applyAlignment="1">
      <alignment horizontal="center" vertical="top"/>
    </xf>
    <xf numFmtId="0" fontId="16" fillId="0" borderId="0" xfId="4" applyFont="1" applyAlignment="1">
      <alignment vertical="top"/>
    </xf>
    <xf numFmtId="6" fontId="34" fillId="0" borderId="0" xfId="6" applyNumberFormat="1" applyFont="1" applyAlignment="1">
      <alignment horizontal="center" vertical="top"/>
    </xf>
    <xf numFmtId="5" fontId="24" fillId="0" borderId="0" xfId="4" applyNumberFormat="1" applyFont="1" applyAlignment="1" applyProtection="1">
      <alignment horizontal="left" vertical="top"/>
      <protection locked="0"/>
    </xf>
    <xf numFmtId="0" fontId="34" fillId="0" borderId="0" xfId="4" applyFont="1" applyAlignment="1">
      <alignment vertical="top"/>
    </xf>
    <xf numFmtId="168" fontId="34" fillId="0" borderId="0" xfId="4" applyNumberFormat="1" applyFont="1" applyAlignment="1">
      <alignment vertical="top"/>
    </xf>
    <xf numFmtId="0" fontId="34" fillId="0" borderId="0" xfId="6" applyFont="1" applyAlignment="1">
      <alignment vertical="top"/>
    </xf>
    <xf numFmtId="0" fontId="36" fillId="0" borderId="0" xfId="6" applyFont="1" applyAlignment="1">
      <alignment vertical="top"/>
    </xf>
    <xf numFmtId="15" fontId="34" fillId="0" borderId="0" xfId="4" applyNumberFormat="1" applyFont="1" applyAlignment="1">
      <alignment vertical="top"/>
    </xf>
    <xf numFmtId="5" fontId="34" fillId="0" borderId="0" xfId="4" applyNumberFormat="1" applyFont="1" applyAlignment="1">
      <alignment vertical="top"/>
    </xf>
    <xf numFmtId="0" fontId="34" fillId="0" borderId="0" xfId="4" applyFont="1" applyAlignment="1" applyProtection="1">
      <alignment vertical="top"/>
      <protection locked="0"/>
    </xf>
    <xf numFmtId="5" fontId="34" fillId="0" borderId="0" xfId="4" applyNumberFormat="1" applyFont="1" applyAlignment="1">
      <alignment horizontal="left" vertical="top"/>
    </xf>
    <xf numFmtId="0" fontId="34" fillId="0" borderId="0" xfId="4" applyFont="1" applyAlignment="1" applyProtection="1">
      <alignment horizontal="left" vertical="top"/>
      <protection locked="0"/>
    </xf>
    <xf numFmtId="0" fontId="20" fillId="0" borderId="40" xfId="0" applyFont="1" applyBorder="1" applyAlignment="1">
      <alignment horizontal="left"/>
    </xf>
    <xf numFmtId="0" fontId="20" fillId="0" borderId="41" xfId="0" applyFont="1" applyBorder="1" applyAlignment="1">
      <alignment horizontal="left"/>
    </xf>
    <xf numFmtId="0" fontId="20" fillId="0" borderId="13" xfId="0" applyFont="1" applyBorder="1"/>
    <xf numFmtId="0" fontId="20" fillId="0" borderId="41" xfId="0" applyFont="1" applyBorder="1"/>
    <xf numFmtId="0" fontId="0" fillId="0" borderId="13" xfId="0" applyBorder="1"/>
    <xf numFmtId="0" fontId="18" fillId="0" borderId="13" xfId="0" applyFont="1" applyBorder="1" applyAlignment="1">
      <alignment horizontal="left"/>
    </xf>
    <xf numFmtId="0" fontId="0" fillId="0" borderId="13" xfId="0" applyBorder="1" applyAlignment="1">
      <alignment horizontal="center"/>
    </xf>
    <xf numFmtId="0" fontId="20" fillId="0" borderId="42" xfId="0" applyFont="1" applyBorder="1"/>
    <xf numFmtId="0" fontId="0" fillId="0" borderId="18" xfId="0" applyBorder="1"/>
    <xf numFmtId="0" fontId="19" fillId="0" borderId="43" xfId="0" applyFont="1" applyBorder="1" applyAlignment="1">
      <alignment horizontal="center"/>
    </xf>
    <xf numFmtId="0" fontId="20" fillId="0" borderId="44" xfId="0" applyFont="1" applyBorder="1" applyAlignment="1">
      <alignment horizontal="center"/>
    </xf>
    <xf numFmtId="0" fontId="20" fillId="0" borderId="45" xfId="0" applyFont="1" applyBorder="1" applyAlignment="1">
      <alignment horizontal="center"/>
    </xf>
    <xf numFmtId="0" fontId="0" fillId="0" borderId="46" xfId="0" applyBorder="1"/>
    <xf numFmtId="166" fontId="19" fillId="0" borderId="47" xfId="1" applyNumberFormat="1" applyBorder="1" applyAlignment="1">
      <alignment horizontal="center"/>
    </xf>
    <xf numFmtId="166" fontId="19" fillId="0" borderId="48" xfId="1" applyNumberFormat="1" applyBorder="1" applyAlignment="1">
      <alignment horizontal="center"/>
    </xf>
    <xf numFmtId="0" fontId="20" fillId="0" borderId="40" xfId="0" applyFont="1" applyBorder="1" applyAlignment="1">
      <alignment horizontal="right"/>
    </xf>
    <xf numFmtId="168" fontId="0" fillId="0" borderId="49" xfId="0" applyNumberFormat="1" applyBorder="1"/>
    <xf numFmtId="166" fontId="0" fillId="0" borderId="49" xfId="0" applyNumberFormat="1" applyBorder="1"/>
    <xf numFmtId="166" fontId="0" fillId="0" borderId="50" xfId="0" applyNumberFormat="1" applyBorder="1"/>
    <xf numFmtId="166" fontId="0" fillId="0" borderId="0" xfId="0" applyNumberFormat="1"/>
    <xf numFmtId="166" fontId="19" fillId="0" borderId="0" xfId="2" applyNumberFormat="1"/>
    <xf numFmtId="170" fontId="19" fillId="0" borderId="0" xfId="2" applyNumberFormat="1"/>
    <xf numFmtId="170" fontId="0" fillId="0" borderId="0" xfId="0" applyNumberFormat="1"/>
    <xf numFmtId="0" fontId="19" fillId="0" borderId="17" xfId="10" applyBorder="1"/>
    <xf numFmtId="0" fontId="20" fillId="0" borderId="13" xfId="10" applyFont="1" applyBorder="1" applyAlignment="1">
      <alignment horizontal="center" wrapText="1"/>
    </xf>
    <xf numFmtId="0" fontId="20" fillId="0" borderId="18" xfId="10" applyFont="1" applyBorder="1" applyAlignment="1">
      <alignment horizontal="center"/>
    </xf>
    <xf numFmtId="0" fontId="19" fillId="0" borderId="34" xfId="10" applyBorder="1"/>
    <xf numFmtId="42" fontId="19" fillId="0" borderId="0" xfId="2" applyNumberFormat="1" applyFont="1" applyBorder="1"/>
    <xf numFmtId="42" fontId="19" fillId="0" borderId="35" xfId="2" applyNumberFormat="1" applyFont="1" applyBorder="1"/>
    <xf numFmtId="0" fontId="19" fillId="0" borderId="53" xfId="10" applyBorder="1"/>
    <xf numFmtId="42" fontId="19" fillId="0" borderId="41" xfId="10" applyNumberFormat="1" applyBorder="1"/>
    <xf numFmtId="42" fontId="19" fillId="0" borderId="54" xfId="10" applyNumberFormat="1" applyBorder="1"/>
    <xf numFmtId="0" fontId="19" fillId="0" borderId="0" xfId="10"/>
    <xf numFmtId="0" fontId="19" fillId="0" borderId="0" xfId="10" applyAlignment="1">
      <alignment horizontal="center"/>
    </xf>
    <xf numFmtId="0" fontId="24" fillId="0" borderId="0" xfId="0" applyFont="1"/>
    <xf numFmtId="0" fontId="45" fillId="0" borderId="55" xfId="10" applyFont="1" applyBorder="1" applyAlignment="1">
      <alignment horizontal="center" vertical="center" wrapText="1"/>
    </xf>
    <xf numFmtId="0" fontId="0" fillId="0" borderId="55" xfId="0" applyBorder="1" applyAlignment="1">
      <alignment horizontal="center" vertical="center"/>
    </xf>
    <xf numFmtId="0" fontId="46" fillId="0" borderId="53" xfId="10" applyFont="1" applyBorder="1" applyAlignment="1">
      <alignment vertical="center" wrapText="1"/>
    </xf>
    <xf numFmtId="42" fontId="46" fillId="0" borderId="41" xfId="10" applyNumberFormat="1" applyFont="1" applyBorder="1" applyAlignment="1">
      <alignment horizontal="center" vertical="center" wrapText="1"/>
    </xf>
    <xf numFmtId="42" fontId="46" fillId="0" borderId="56" xfId="10" applyNumberFormat="1" applyFont="1" applyBorder="1" applyAlignment="1">
      <alignment horizontal="center" vertical="center" wrapText="1"/>
    </xf>
    <xf numFmtId="0" fontId="46" fillId="0" borderId="0" xfId="10" applyFont="1" applyAlignment="1">
      <alignment vertical="center"/>
    </xf>
    <xf numFmtId="41" fontId="0" fillId="0" borderId="0" xfId="0" applyNumberFormat="1"/>
    <xf numFmtId="41" fontId="0" fillId="0" borderId="55" xfId="0" applyNumberFormat="1" applyBorder="1"/>
    <xf numFmtId="0" fontId="45" fillId="0" borderId="54" xfId="10" applyFont="1" applyBorder="1" applyAlignment="1">
      <alignment horizontal="center" vertical="center" wrapText="1"/>
    </xf>
    <xf numFmtId="0" fontId="46" fillId="0" borderId="55" xfId="10" applyFont="1" applyBorder="1" applyAlignment="1">
      <alignment vertical="center" wrapText="1"/>
    </xf>
    <xf numFmtId="0" fontId="0" fillId="0" borderId="0" xfId="0" applyAlignment="1">
      <alignment horizontal="center" vertical="center"/>
    </xf>
    <xf numFmtId="0" fontId="45" fillId="0" borderId="55" xfId="10" applyFont="1" applyBorder="1" applyAlignment="1">
      <alignment vertical="center" wrapText="1"/>
    </xf>
    <xf numFmtId="0" fontId="45" fillId="0" borderId="15" xfId="10" applyFont="1" applyBorder="1" applyAlignment="1">
      <alignment vertical="center" wrapText="1"/>
    </xf>
    <xf numFmtId="0" fontId="46" fillId="0" borderId="15" xfId="10" applyFont="1" applyBorder="1" applyAlignment="1">
      <alignment vertical="center" wrapText="1"/>
    </xf>
    <xf numFmtId="0" fontId="45" fillId="0" borderId="22" xfId="10" applyFont="1" applyBorder="1" applyAlignment="1">
      <alignment vertical="center" wrapText="1"/>
    </xf>
    <xf numFmtId="42" fontId="0" fillId="0" borderId="53" xfId="0" applyNumberFormat="1" applyBorder="1"/>
    <xf numFmtId="42" fontId="46" fillId="0" borderId="57" xfId="10" applyNumberFormat="1" applyFont="1" applyBorder="1" applyAlignment="1">
      <alignment horizontal="center" vertical="center" wrapText="1"/>
    </xf>
    <xf numFmtId="0" fontId="20" fillId="0" borderId="0" xfId="0" applyFont="1" applyAlignment="1">
      <alignment horizontal="left" wrapText="1"/>
    </xf>
    <xf numFmtId="0" fontId="0" fillId="0" borderId="0" xfId="0" applyAlignment="1">
      <alignment horizontal="centerContinuous" vertical="center" wrapText="1"/>
    </xf>
    <xf numFmtId="0" fontId="46" fillId="0" borderId="0" xfId="10" applyFont="1" applyAlignment="1">
      <alignment vertical="center" wrapText="1"/>
    </xf>
    <xf numFmtId="42" fontId="0" fillId="0" borderId="0" xfId="0" applyNumberFormat="1"/>
    <xf numFmtId="170" fontId="0" fillId="0" borderId="0" xfId="2" applyNumberFormat="1" applyFont="1"/>
    <xf numFmtId="0" fontId="19" fillId="15" borderId="0" xfId="0" applyFont="1" applyFill="1"/>
    <xf numFmtId="166" fontId="19" fillId="15" borderId="0" xfId="1" quotePrefix="1" applyNumberFormat="1" applyFont="1" applyFill="1"/>
    <xf numFmtId="166" fontId="0" fillId="15" borderId="0" xfId="1" applyNumberFormat="1" applyFont="1" applyFill="1"/>
    <xf numFmtId="0" fontId="0" fillId="0" borderId="0" xfId="0" applyAlignment="1">
      <alignment horizontal="center" vertical="top"/>
    </xf>
    <xf numFmtId="0" fontId="20" fillId="0" borderId="0" xfId="0" applyFont="1" applyAlignment="1">
      <alignment horizontal="center" vertical="top"/>
    </xf>
    <xf numFmtId="0" fontId="0" fillId="16" borderId="0" xfId="0" applyFill="1" applyAlignment="1">
      <alignment vertical="top"/>
    </xf>
    <xf numFmtId="0" fontId="19" fillId="17" borderId="0" xfId="0" applyFont="1" applyFill="1" applyAlignment="1">
      <alignment vertical="top"/>
    </xf>
    <xf numFmtId="0" fontId="20" fillId="17" borderId="0" xfId="0" applyFont="1" applyFill="1" applyAlignment="1">
      <alignment horizontal="center" vertical="top"/>
    </xf>
    <xf numFmtId="0" fontId="19" fillId="17" borderId="0" xfId="0" applyFont="1" applyFill="1" applyAlignment="1">
      <alignment horizontal="center" vertical="top"/>
    </xf>
    <xf numFmtId="0" fontId="0" fillId="18" borderId="0" xfId="0" applyFill="1" applyAlignment="1">
      <alignment vertical="top"/>
    </xf>
    <xf numFmtId="5" fontId="18" fillId="18" borderId="0" xfId="0" applyNumberFormat="1" applyFont="1" applyFill="1" applyAlignment="1">
      <alignment vertical="top"/>
    </xf>
    <xf numFmtId="0" fontId="20" fillId="18" borderId="0" xfId="0" applyFont="1" applyFill="1" applyAlignment="1">
      <alignment horizontal="center" vertical="top"/>
    </xf>
    <xf numFmtId="0" fontId="0" fillId="18" borderId="0" xfId="0" applyFill="1" applyAlignment="1">
      <alignment horizontal="center" vertical="top"/>
    </xf>
    <xf numFmtId="0" fontId="20" fillId="16" borderId="0" xfId="0" applyFont="1" applyFill="1" applyAlignment="1">
      <alignment vertical="top"/>
    </xf>
    <xf numFmtId="0" fontId="20" fillId="17" borderId="0" xfId="0" applyFont="1" applyFill="1" applyAlignment="1">
      <alignment vertical="top"/>
    </xf>
    <xf numFmtId="0" fontId="20" fillId="18" borderId="0" xfId="0" applyFont="1" applyFill="1" applyAlignment="1">
      <alignment vertical="top"/>
    </xf>
    <xf numFmtId="171" fontId="20" fillId="18" borderId="0" xfId="0" applyNumberFormat="1" applyFont="1" applyFill="1" applyAlignment="1">
      <alignment horizontal="center" vertical="top"/>
    </xf>
    <xf numFmtId="14" fontId="0" fillId="18" borderId="0" xfId="0" applyNumberFormat="1" applyFill="1" applyAlignment="1">
      <alignment vertical="top"/>
    </xf>
    <xf numFmtId="14" fontId="0" fillId="18" borderId="0" xfId="0" applyNumberFormat="1" applyFill="1" applyAlignment="1">
      <alignment horizontal="center" vertical="top"/>
    </xf>
    <xf numFmtId="0" fontId="18" fillId="18" borderId="0" xfId="0" applyFont="1" applyFill="1" applyAlignment="1">
      <alignment vertical="top"/>
    </xf>
    <xf numFmtId="164" fontId="0" fillId="18" borderId="0" xfId="3" applyNumberFormat="1" applyFont="1" applyFill="1" applyAlignment="1">
      <alignment horizontal="center" vertical="top"/>
    </xf>
    <xf numFmtId="164" fontId="0" fillId="18" borderId="0" xfId="3" applyNumberFormat="1" applyFont="1" applyFill="1" applyAlignment="1">
      <alignment vertical="top"/>
    </xf>
    <xf numFmtId="0" fontId="20" fillId="18" borderId="0" xfId="0" applyFont="1" applyFill="1" applyAlignment="1">
      <alignment horizontal="left" vertical="top"/>
    </xf>
    <xf numFmtId="0" fontId="18" fillId="18" borderId="0" xfId="0" applyFont="1" applyFill="1" applyAlignment="1">
      <alignment horizontal="left" vertical="top"/>
    </xf>
    <xf numFmtId="164" fontId="20" fillId="18" borderId="0" xfId="3" applyNumberFormat="1" applyFont="1" applyFill="1" applyAlignment="1">
      <alignment horizontal="center" vertical="top"/>
    </xf>
    <xf numFmtId="164" fontId="0" fillId="18" borderId="0" xfId="3" applyNumberFormat="1" applyFont="1" applyFill="1" applyBorder="1" applyAlignment="1">
      <alignment vertical="top"/>
    </xf>
    <xf numFmtId="164" fontId="20" fillId="18" borderId="0" xfId="3" applyNumberFormat="1" applyFont="1" applyFill="1" applyAlignment="1">
      <alignment horizontal="right" vertical="top"/>
    </xf>
    <xf numFmtId="164" fontId="0" fillId="18" borderId="0" xfId="3" applyNumberFormat="1" applyFont="1" applyFill="1" applyBorder="1" applyAlignment="1">
      <alignment horizontal="right" vertical="top"/>
    </xf>
    <xf numFmtId="0" fontId="0" fillId="18" borderId="15" xfId="0" applyFill="1" applyBorder="1" applyAlignment="1">
      <alignment vertical="top"/>
    </xf>
    <xf numFmtId="0" fontId="0" fillId="18" borderId="15" xfId="0" applyFill="1" applyBorder="1" applyAlignment="1">
      <alignment horizontal="right" vertical="top"/>
    </xf>
    <xf numFmtId="9" fontId="20" fillId="18" borderId="15" xfId="0" applyNumberFormat="1" applyFont="1" applyFill="1" applyBorder="1" applyAlignment="1">
      <alignment horizontal="center" vertical="top"/>
    </xf>
    <xf numFmtId="0" fontId="0" fillId="18" borderId="15" xfId="0" applyFill="1" applyBorder="1" applyAlignment="1">
      <alignment horizontal="center" vertical="top"/>
    </xf>
    <xf numFmtId="170" fontId="19" fillId="18" borderId="15" xfId="2" applyNumberFormat="1" applyFill="1" applyBorder="1" applyAlignment="1">
      <alignment horizontal="center" vertical="top"/>
    </xf>
    <xf numFmtId="0" fontId="20" fillId="0" borderId="18" xfId="0" applyFont="1" applyBorder="1" applyAlignment="1">
      <alignment horizontal="centerContinuous" vertical="top"/>
    </xf>
    <xf numFmtId="0" fontId="20" fillId="18" borderId="17" xfId="0" applyFont="1" applyFill="1" applyBorder="1" applyAlignment="1">
      <alignment horizontal="centerContinuous" vertical="top"/>
    </xf>
    <xf numFmtId="0" fontId="20" fillId="18" borderId="18" xfId="0" applyFont="1" applyFill="1" applyBorder="1" applyAlignment="1">
      <alignment horizontal="centerContinuous" vertical="top"/>
    </xf>
    <xf numFmtId="0" fontId="20" fillId="17" borderId="67" xfId="0" applyFont="1" applyFill="1" applyBorder="1" applyAlignment="1">
      <alignment horizontal="center" vertical="top"/>
    </xf>
    <xf numFmtId="0" fontId="20" fillId="0" borderId="0" xfId="0" applyFont="1" applyAlignment="1">
      <alignment horizontal="center" vertical="top" wrapText="1"/>
    </xf>
    <xf numFmtId="170" fontId="19" fillId="0" borderId="0" xfId="2" applyNumberFormat="1" applyBorder="1" applyAlignment="1">
      <alignment vertical="top"/>
    </xf>
    <xf numFmtId="0" fontId="20" fillId="17" borderId="11" xfId="0" applyFont="1" applyFill="1" applyBorder="1" applyAlignment="1">
      <alignment vertical="top"/>
    </xf>
    <xf numFmtId="0" fontId="20" fillId="17" borderId="11" xfId="0" applyFont="1" applyFill="1" applyBorder="1" applyAlignment="1">
      <alignment horizontal="center" vertical="top"/>
    </xf>
    <xf numFmtId="3" fontId="19" fillId="17" borderId="11" xfId="2" applyNumberFormat="1" applyFont="1" applyFill="1" applyBorder="1" applyAlignment="1">
      <alignment horizontal="center" vertical="top"/>
    </xf>
    <xf numFmtId="168" fontId="19" fillId="17" borderId="11" xfId="2" applyNumberFormat="1" applyFont="1" applyFill="1" applyBorder="1" applyAlignment="1">
      <alignment vertical="top"/>
    </xf>
    <xf numFmtId="168" fontId="19" fillId="17" borderId="11" xfId="2" applyNumberFormat="1" applyFont="1" applyFill="1" applyBorder="1" applyAlignment="1">
      <alignment horizontal="center" vertical="top"/>
    </xf>
    <xf numFmtId="168" fontId="19" fillId="17" borderId="68" xfId="2" applyNumberFormat="1" applyFont="1" applyFill="1" applyBorder="1" applyAlignment="1">
      <alignment vertical="top"/>
    </xf>
    <xf numFmtId="168" fontId="19" fillId="17" borderId="0" xfId="2" applyNumberFormat="1" applyFont="1" applyFill="1" applyBorder="1" applyAlignment="1">
      <alignment vertical="top"/>
    </xf>
    <xf numFmtId="0" fontId="20" fillId="18" borderId="11" xfId="0" applyFont="1" applyFill="1" applyBorder="1" applyAlignment="1">
      <alignment vertical="top"/>
    </xf>
    <xf numFmtId="0" fontId="20" fillId="18" borderId="11" xfId="0" applyFont="1" applyFill="1" applyBorder="1" applyAlignment="1">
      <alignment horizontal="center" vertical="top"/>
    </xf>
    <xf numFmtId="3" fontId="19" fillId="18" borderId="11" xfId="2" applyNumberFormat="1" applyFill="1" applyBorder="1" applyAlignment="1">
      <alignment horizontal="center" vertical="top"/>
    </xf>
    <xf numFmtId="168" fontId="19" fillId="18" borderId="11" xfId="2" applyNumberFormat="1" applyFill="1" applyBorder="1" applyAlignment="1">
      <alignment vertical="top"/>
    </xf>
    <xf numFmtId="168" fontId="19" fillId="18" borderId="11" xfId="2" applyNumberFormat="1" applyFill="1" applyBorder="1" applyAlignment="1">
      <alignment horizontal="center" vertical="top"/>
    </xf>
    <xf numFmtId="1" fontId="19" fillId="2" borderId="0" xfId="0" applyNumberFormat="1" applyFont="1" applyFill="1" applyAlignment="1" applyProtection="1">
      <alignment horizontal="center" vertical="top"/>
      <protection locked="0"/>
    </xf>
    <xf numFmtId="2" fontId="19" fillId="2" borderId="0" xfId="0" applyNumberFormat="1" applyFont="1" applyFill="1" applyAlignment="1" applyProtection="1">
      <alignment vertical="top"/>
      <protection locked="0"/>
    </xf>
    <xf numFmtId="168" fontId="19" fillId="0" borderId="23" xfId="2" applyNumberFormat="1" applyBorder="1" applyAlignment="1">
      <alignment horizontal="center" vertical="top"/>
    </xf>
    <xf numFmtId="168" fontId="19" fillId="2" borderId="28" xfId="2" applyNumberFormat="1" applyFont="1" applyFill="1" applyBorder="1" applyAlignment="1" applyProtection="1">
      <alignment horizontal="center" vertical="top" wrapText="1"/>
      <protection locked="0"/>
    </xf>
    <xf numFmtId="0" fontId="0" fillId="18" borderId="23" xfId="0" applyFill="1" applyBorder="1" applyAlignment="1">
      <alignment vertical="top"/>
    </xf>
    <xf numFmtId="0" fontId="19" fillId="18" borderId="23" xfId="0" applyFont="1" applyFill="1" applyBorder="1" applyAlignment="1">
      <alignment horizontal="center" vertical="top"/>
    </xf>
    <xf numFmtId="3" fontId="19" fillId="18" borderId="23" xfId="2" applyNumberFormat="1" applyFont="1" applyFill="1" applyBorder="1" applyAlignment="1">
      <alignment horizontal="center" vertical="top"/>
    </xf>
    <xf numFmtId="168" fontId="19" fillId="18" borderId="23" xfId="2" applyNumberFormat="1" applyFill="1" applyBorder="1" applyAlignment="1">
      <alignment horizontal="center" vertical="top"/>
    </xf>
    <xf numFmtId="3" fontId="19" fillId="18" borderId="23" xfId="2" applyNumberFormat="1" applyFill="1" applyBorder="1" applyAlignment="1">
      <alignment horizontal="center" vertical="top"/>
    </xf>
    <xf numFmtId="168" fontId="0" fillId="0" borderId="0" xfId="0" applyNumberFormat="1" applyAlignment="1">
      <alignment vertical="top"/>
    </xf>
    <xf numFmtId="168" fontId="19" fillId="18" borderId="23" xfId="2" applyNumberFormat="1" applyFont="1" applyFill="1" applyBorder="1" applyAlignment="1">
      <alignment horizontal="center" vertical="top"/>
    </xf>
    <xf numFmtId="3" fontId="19" fillId="18" borderId="0" xfId="2" applyNumberFormat="1" applyFill="1" applyBorder="1" applyAlignment="1">
      <alignment horizontal="center" vertical="top"/>
    </xf>
    <xf numFmtId="1" fontId="20" fillId="0" borderId="0" xfId="0" applyNumberFormat="1" applyFont="1" applyAlignment="1">
      <alignment horizontal="center" vertical="top"/>
    </xf>
    <xf numFmtId="2" fontId="20" fillId="0" borderId="0" xfId="0" applyNumberFormat="1" applyFont="1" applyAlignment="1">
      <alignment vertical="top"/>
    </xf>
    <xf numFmtId="0" fontId="20" fillId="18" borderId="23" xfId="0" applyFont="1" applyFill="1" applyBorder="1" applyAlignment="1">
      <alignment horizontal="right" vertical="top"/>
    </xf>
    <xf numFmtId="168" fontId="19" fillId="18" borderId="26" xfId="2" applyNumberFormat="1" applyFill="1" applyBorder="1" applyAlignment="1">
      <alignment horizontal="center" vertical="top"/>
    </xf>
    <xf numFmtId="9" fontId="20" fillId="2" borderId="23" xfId="0" applyNumberFormat="1" applyFont="1" applyFill="1" applyBorder="1" applyAlignment="1" applyProtection="1">
      <alignment horizontal="center" vertical="top"/>
      <protection locked="0"/>
    </xf>
    <xf numFmtId="9" fontId="20" fillId="18" borderId="23" xfId="0" applyNumberFormat="1" applyFont="1" applyFill="1" applyBorder="1" applyAlignment="1">
      <alignment horizontal="center" vertical="top"/>
    </xf>
    <xf numFmtId="164" fontId="51" fillId="0" borderId="23" xfId="3" quotePrefix="1" applyNumberFormat="1" applyFont="1" applyBorder="1" applyAlignment="1">
      <alignment horizontal="center" vertical="top"/>
    </xf>
    <xf numFmtId="170" fontId="19" fillId="18" borderId="27" xfId="2" applyNumberFormat="1" applyFill="1" applyBorder="1" applyAlignment="1">
      <alignment vertical="top"/>
    </xf>
    <xf numFmtId="168" fontId="19" fillId="18" borderId="28" xfId="2" applyNumberFormat="1" applyFill="1" applyBorder="1" applyAlignment="1">
      <alignment horizontal="center" vertical="top"/>
    </xf>
    <xf numFmtId="168" fontId="19" fillId="0" borderId="28" xfId="2" applyNumberFormat="1" applyBorder="1" applyAlignment="1">
      <alignment horizontal="center" vertical="top"/>
    </xf>
    <xf numFmtId="164" fontId="20" fillId="0" borderId="23" xfId="0" applyNumberFormat="1" applyFont="1" applyBorder="1" applyAlignment="1">
      <alignment horizontal="center" vertical="top"/>
    </xf>
    <xf numFmtId="0" fontId="19" fillId="0" borderId="23" xfId="0" applyFont="1" applyBorder="1" applyAlignment="1">
      <alignment horizontal="center" vertical="top"/>
    </xf>
    <xf numFmtId="168" fontId="19" fillId="0" borderId="21" xfId="2" applyNumberFormat="1" applyBorder="1" applyAlignment="1">
      <alignment horizontal="center" vertical="top"/>
    </xf>
    <xf numFmtId="0" fontId="19" fillId="0" borderId="28" xfId="0" applyFont="1" applyBorder="1" applyAlignment="1">
      <alignment horizontal="center" vertical="top"/>
    </xf>
    <xf numFmtId="168" fontId="19" fillId="2" borderId="21" xfId="2" applyNumberFormat="1" applyFont="1" applyFill="1" applyBorder="1" applyAlignment="1" applyProtection="1">
      <alignment horizontal="center" vertical="top" wrapText="1"/>
      <protection locked="0"/>
    </xf>
    <xf numFmtId="0" fontId="19" fillId="18" borderId="28" xfId="0" applyFont="1" applyFill="1" applyBorder="1" applyAlignment="1">
      <alignment horizontal="center" vertical="top"/>
    </xf>
    <xf numFmtId="168" fontId="19" fillId="18" borderId="21" xfId="2" applyNumberFormat="1" applyFill="1" applyBorder="1" applyAlignment="1">
      <alignment horizontal="center" vertical="top"/>
    </xf>
    <xf numFmtId="168" fontId="19" fillId="18" borderId="71" xfId="2" applyNumberFormat="1" applyFont="1" applyFill="1" applyBorder="1" applyAlignment="1">
      <alignment horizontal="center" vertical="top"/>
    </xf>
    <xf numFmtId="3" fontId="19" fillId="18" borderId="72" xfId="2" applyNumberFormat="1" applyFill="1" applyBorder="1" applyAlignment="1">
      <alignment horizontal="center" vertical="top"/>
    </xf>
    <xf numFmtId="168" fontId="19" fillId="18" borderId="73" xfId="2" applyNumberFormat="1" applyFill="1" applyBorder="1" applyAlignment="1">
      <alignment horizontal="center" vertical="top"/>
    </xf>
    <xf numFmtId="0" fontId="20" fillId="18" borderId="23" xfId="0" applyFont="1" applyFill="1" applyBorder="1" applyAlignment="1">
      <alignment horizontal="center" vertical="top"/>
    </xf>
    <xf numFmtId="0" fontId="19" fillId="0" borderId="0" xfId="0" applyFont="1" applyAlignment="1">
      <alignment horizontal="center" vertical="top"/>
    </xf>
    <xf numFmtId="3" fontId="19" fillId="17" borderId="0" xfId="2" applyNumberFormat="1" applyFont="1" applyFill="1" applyBorder="1" applyAlignment="1">
      <alignment horizontal="center" vertical="top"/>
    </xf>
    <xf numFmtId="0" fontId="19" fillId="18" borderId="0" xfId="0" applyFont="1" applyFill="1" applyAlignment="1">
      <alignment horizontal="center" vertical="top"/>
    </xf>
    <xf numFmtId="9" fontId="20" fillId="2" borderId="0" xfId="3" applyFont="1" applyFill="1" applyAlignment="1" applyProtection="1">
      <alignment horizontal="center" vertical="top"/>
      <protection locked="0"/>
    </xf>
    <xf numFmtId="9" fontId="20" fillId="18" borderId="0" xfId="3" applyFont="1" applyFill="1" applyAlignment="1">
      <alignment horizontal="center" vertical="top"/>
    </xf>
    <xf numFmtId="3" fontId="19" fillId="18" borderId="0" xfId="2" applyNumberFormat="1" applyFill="1" applyAlignment="1">
      <alignment horizontal="center" vertical="top"/>
    </xf>
    <xf numFmtId="168" fontId="19" fillId="18" borderId="0" xfId="2" applyNumberFormat="1" applyFill="1" applyAlignment="1">
      <alignment horizontal="center" vertical="top"/>
    </xf>
    <xf numFmtId="0" fontId="20" fillId="18" borderId="30" xfId="0" applyFont="1" applyFill="1" applyBorder="1" applyAlignment="1">
      <alignment horizontal="right" vertical="top"/>
    </xf>
    <xf numFmtId="0" fontId="19" fillId="18" borderId="30" xfId="0" applyFont="1" applyFill="1" applyBorder="1" applyAlignment="1">
      <alignment vertical="top"/>
    </xf>
    <xf numFmtId="0" fontId="20" fillId="18" borderId="30" xfId="0" applyFont="1" applyFill="1" applyBorder="1" applyAlignment="1">
      <alignment horizontal="center" vertical="top"/>
    </xf>
    <xf numFmtId="3" fontId="19" fillId="18" borderId="30" xfId="2" applyNumberFormat="1" applyFill="1" applyBorder="1" applyAlignment="1">
      <alignment horizontal="center" vertical="top"/>
    </xf>
    <xf numFmtId="168" fontId="19" fillId="18" borderId="30" xfId="2" applyNumberFormat="1" applyFill="1" applyBorder="1" applyAlignment="1">
      <alignment horizontal="center" vertical="top"/>
    </xf>
    <xf numFmtId="0" fontId="19" fillId="18" borderId="31" xfId="0" applyFont="1" applyFill="1" applyBorder="1" applyAlignment="1">
      <alignment horizontal="center" vertical="top"/>
    </xf>
    <xf numFmtId="164" fontId="51" fillId="0" borderId="23" xfId="3" applyNumberFormat="1" applyFont="1" applyBorder="1" applyAlignment="1">
      <alignment horizontal="center" vertical="top"/>
    </xf>
    <xf numFmtId="168" fontId="19" fillId="2" borderId="23" xfId="2" applyNumberFormat="1" applyFill="1" applyBorder="1" applyAlignment="1" applyProtection="1">
      <alignment horizontal="center" vertical="top"/>
      <protection locked="0"/>
    </xf>
    <xf numFmtId="1" fontId="0" fillId="0" borderId="0" xfId="0" applyNumberFormat="1" applyAlignment="1">
      <alignment horizontal="center" vertical="top"/>
    </xf>
    <xf numFmtId="2" fontId="0" fillId="0" borderId="0" xfId="0" applyNumberFormat="1" applyAlignment="1">
      <alignment vertical="top"/>
    </xf>
    <xf numFmtId="0" fontId="0" fillId="0" borderId="23" xfId="0" applyBorder="1" applyAlignment="1">
      <alignment horizontal="center" vertical="top"/>
    </xf>
    <xf numFmtId="0" fontId="0" fillId="18" borderId="23" xfId="0" applyFill="1" applyBorder="1" applyAlignment="1">
      <alignment horizontal="center" vertical="top"/>
    </xf>
    <xf numFmtId="168" fontId="0" fillId="0" borderId="23" xfId="0" applyNumberFormat="1" applyBorder="1" applyAlignment="1">
      <alignment vertical="top"/>
    </xf>
    <xf numFmtId="168" fontId="0" fillId="18" borderId="23" xfId="0" applyNumberFormat="1" applyFill="1" applyBorder="1" applyAlignment="1">
      <alignment vertical="top"/>
    </xf>
    <xf numFmtId="168" fontId="0" fillId="18" borderId="23" xfId="0" applyNumberFormat="1" applyFill="1" applyBorder="1" applyAlignment="1">
      <alignment horizontal="center" vertical="top"/>
    </xf>
    <xf numFmtId="0" fontId="0" fillId="0" borderId="28" xfId="0" applyBorder="1" applyAlignment="1">
      <alignment horizontal="center" vertical="top"/>
    </xf>
    <xf numFmtId="0" fontId="0" fillId="18" borderId="28" xfId="0" applyFill="1" applyBorder="1" applyAlignment="1">
      <alignment horizontal="center" vertical="top"/>
    </xf>
    <xf numFmtId="3" fontId="19" fillId="18" borderId="0" xfId="2" applyNumberFormat="1" applyFont="1" applyFill="1" applyBorder="1" applyAlignment="1">
      <alignment horizontal="center" vertical="top"/>
    </xf>
    <xf numFmtId="9" fontId="20" fillId="2" borderId="11" xfId="3" applyFont="1" applyFill="1" applyBorder="1" applyAlignment="1" applyProtection="1">
      <alignment horizontal="center" vertical="top"/>
      <protection locked="0"/>
    </xf>
    <xf numFmtId="0" fontId="19" fillId="18" borderId="11" xfId="0" applyFont="1" applyFill="1" applyBorder="1" applyAlignment="1">
      <alignment horizontal="center" vertical="top"/>
    </xf>
    <xf numFmtId="9" fontId="20" fillId="18" borderId="11" xfId="3" applyFont="1" applyFill="1" applyBorder="1" applyAlignment="1">
      <alignment horizontal="center" vertical="top"/>
    </xf>
    <xf numFmtId="0" fontId="20" fillId="0" borderId="30" xfId="0" applyFont="1" applyBorder="1" applyAlignment="1">
      <alignment horizontal="right" vertical="top"/>
    </xf>
    <xf numFmtId="0" fontId="0" fillId="18" borderId="30" xfId="0" applyFill="1" applyBorder="1" applyAlignment="1">
      <alignment vertical="top"/>
    </xf>
    <xf numFmtId="0" fontId="0" fillId="18" borderId="30" xfId="0" applyFill="1" applyBorder="1" applyAlignment="1">
      <alignment horizontal="center" vertical="top"/>
    </xf>
    <xf numFmtId="0" fontId="19" fillId="0" borderId="0" xfId="0" applyFont="1" applyAlignment="1">
      <alignment vertical="top"/>
    </xf>
    <xf numFmtId="1" fontId="19" fillId="0" borderId="0" xfId="0" applyNumberFormat="1" applyFont="1" applyAlignment="1">
      <alignment horizontal="center" vertical="top"/>
    </xf>
    <xf numFmtId="2" fontId="19" fillId="0" borderId="0" xfId="0" applyNumberFormat="1" applyFont="1" applyAlignment="1">
      <alignment vertical="top"/>
    </xf>
    <xf numFmtId="3" fontId="19" fillId="0" borderId="0" xfId="2" applyNumberFormat="1" applyFont="1" applyFill="1" applyBorder="1" applyAlignment="1">
      <alignment horizontal="center" vertical="top"/>
    </xf>
    <xf numFmtId="170" fontId="19" fillId="0" borderId="0" xfId="2" applyNumberFormat="1" applyFont="1" applyBorder="1" applyAlignment="1">
      <alignment vertical="top"/>
    </xf>
    <xf numFmtId="170" fontId="19" fillId="0" borderId="19" xfId="2" applyNumberFormat="1" applyFont="1" applyFill="1" applyBorder="1" applyAlignment="1">
      <alignment vertical="top"/>
    </xf>
    <xf numFmtId="0" fontId="19" fillId="18" borderId="0" xfId="0" applyFont="1" applyFill="1" applyAlignment="1">
      <alignment vertical="top"/>
    </xf>
    <xf numFmtId="168" fontId="19" fillId="18" borderId="0" xfId="2" applyNumberFormat="1" applyFont="1" applyFill="1" applyBorder="1" applyAlignment="1">
      <alignment horizontal="center" vertical="top"/>
    </xf>
    <xf numFmtId="0" fontId="19" fillId="18" borderId="23" xfId="0" applyFont="1" applyFill="1" applyBorder="1" applyAlignment="1">
      <alignment vertical="top"/>
    </xf>
    <xf numFmtId="1" fontId="0" fillId="2" borderId="0" xfId="0" applyNumberFormat="1" applyFill="1" applyAlignment="1" applyProtection="1">
      <alignment horizontal="center" vertical="top"/>
      <protection locked="0"/>
    </xf>
    <xf numFmtId="2" fontId="0" fillId="2" borderId="0" xfId="0" applyNumberFormat="1" applyFill="1" applyAlignment="1" applyProtection="1">
      <alignment vertical="top"/>
      <protection locked="0"/>
    </xf>
    <xf numFmtId="9" fontId="20" fillId="2" borderId="23" xfId="3" applyFont="1" applyFill="1" applyBorder="1" applyAlignment="1" applyProtection="1">
      <alignment horizontal="center" vertical="top"/>
      <protection locked="0"/>
    </xf>
    <xf numFmtId="0" fontId="20" fillId="18" borderId="23" xfId="0" applyFont="1" applyFill="1" applyBorder="1" applyAlignment="1">
      <alignment vertical="top"/>
    </xf>
    <xf numFmtId="9" fontId="20" fillId="18" borderId="23" xfId="3" applyFont="1" applyFill="1" applyBorder="1" applyAlignment="1">
      <alignment horizontal="center" vertical="top"/>
    </xf>
    <xf numFmtId="3" fontId="19" fillId="18" borderId="31" xfId="2" applyNumberFormat="1" applyFill="1" applyBorder="1" applyAlignment="1">
      <alignment horizontal="center" vertical="top"/>
    </xf>
    <xf numFmtId="168" fontId="19" fillId="18" borderId="31" xfId="2" applyNumberFormat="1" applyFill="1" applyBorder="1" applyAlignment="1">
      <alignment horizontal="center" vertical="top"/>
    </xf>
    <xf numFmtId="168" fontId="19" fillId="0" borderId="31" xfId="2" applyNumberFormat="1" applyBorder="1" applyAlignment="1">
      <alignment horizontal="center" vertical="top"/>
    </xf>
    <xf numFmtId="9" fontId="20" fillId="18" borderId="28" xfId="3" applyFont="1" applyFill="1" applyBorder="1" applyAlignment="1">
      <alignment horizontal="center" vertical="top"/>
    </xf>
    <xf numFmtId="9" fontId="20" fillId="2" borderId="28" xfId="3" applyFont="1" applyFill="1" applyBorder="1" applyAlignment="1" applyProtection="1">
      <alignment horizontal="center" vertical="top"/>
      <protection locked="0"/>
    </xf>
    <xf numFmtId="168" fontId="19" fillId="0" borderId="77" xfId="2" applyNumberFormat="1" applyBorder="1" applyAlignment="1">
      <alignment horizontal="center" vertical="top"/>
    </xf>
    <xf numFmtId="168" fontId="19" fillId="18" borderId="77" xfId="2" applyNumberFormat="1" applyFill="1" applyBorder="1" applyAlignment="1">
      <alignment horizontal="center" vertical="top"/>
    </xf>
    <xf numFmtId="9" fontId="20" fillId="18" borderId="0" xfId="3" applyFont="1" applyFill="1" applyBorder="1" applyAlignment="1">
      <alignment horizontal="center" vertical="top"/>
    </xf>
    <xf numFmtId="168" fontId="19" fillId="18" borderId="0" xfId="2" applyNumberFormat="1" applyFill="1" applyBorder="1" applyAlignment="1">
      <alignment horizontal="center" vertical="top"/>
    </xf>
    <xf numFmtId="3" fontId="19" fillId="0" borderId="0" xfId="2" applyNumberFormat="1" applyFont="1" applyFill="1" applyAlignment="1">
      <alignment horizontal="center" vertical="top"/>
    </xf>
    <xf numFmtId="3" fontId="19" fillId="18" borderId="0" xfId="2" applyNumberFormat="1" applyFont="1" applyFill="1" applyAlignment="1">
      <alignment horizontal="center" vertical="top"/>
    </xf>
    <xf numFmtId="168" fontId="19" fillId="18" borderId="0" xfId="2" applyNumberFormat="1" applyFont="1" applyFill="1" applyAlignment="1">
      <alignment horizontal="center" vertical="top"/>
    </xf>
    <xf numFmtId="0" fontId="19" fillId="18" borderId="72" xfId="0" applyFont="1" applyFill="1" applyBorder="1" applyAlignment="1">
      <alignment horizontal="center" vertical="top"/>
    </xf>
    <xf numFmtId="168" fontId="19" fillId="0" borderId="78" xfId="2" applyNumberFormat="1" applyBorder="1" applyAlignment="1">
      <alignment horizontal="center" vertical="top"/>
    </xf>
    <xf numFmtId="168" fontId="19" fillId="18" borderId="78" xfId="2" applyNumberFormat="1" applyFill="1" applyBorder="1" applyAlignment="1">
      <alignment horizontal="center" vertical="top"/>
    </xf>
    <xf numFmtId="0" fontId="20" fillId="0" borderId="23" xfId="0" applyFont="1" applyBorder="1" applyAlignment="1">
      <alignment horizontal="center" vertical="top"/>
    </xf>
    <xf numFmtId="9" fontId="20" fillId="2" borderId="11" xfId="3" applyFont="1" applyFill="1" applyBorder="1" applyAlignment="1" applyProtection="1">
      <alignment horizontal="center" vertical="top"/>
    </xf>
    <xf numFmtId="9" fontId="20" fillId="2" borderId="33" xfId="3" applyFont="1" applyFill="1" applyBorder="1" applyAlignment="1" applyProtection="1">
      <alignment horizontal="center" vertical="top"/>
      <protection locked="0"/>
    </xf>
    <xf numFmtId="0" fontId="19" fillId="18" borderId="33" xfId="0" applyFont="1" applyFill="1" applyBorder="1" applyAlignment="1">
      <alignment horizontal="center" vertical="top"/>
    </xf>
    <xf numFmtId="9" fontId="20" fillId="18" borderId="33" xfId="3" applyFont="1" applyFill="1" applyBorder="1" applyAlignment="1">
      <alignment horizontal="center" vertical="top"/>
    </xf>
    <xf numFmtId="3" fontId="19" fillId="18" borderId="33" xfId="2" applyNumberFormat="1" applyFill="1" applyBorder="1" applyAlignment="1">
      <alignment horizontal="center" vertical="top"/>
    </xf>
    <xf numFmtId="170" fontId="20" fillId="0" borderId="0" xfId="2" applyNumberFormat="1" applyFont="1" applyBorder="1" applyAlignment="1">
      <alignment vertical="top"/>
    </xf>
    <xf numFmtId="170" fontId="20" fillId="0" borderId="19" xfId="2" applyNumberFormat="1" applyFont="1" applyFill="1" applyBorder="1" applyAlignment="1">
      <alignment vertical="top"/>
    </xf>
    <xf numFmtId="166" fontId="20" fillId="18" borderId="0" xfId="1" applyNumberFormat="1" applyFont="1" applyFill="1" applyAlignment="1">
      <alignment horizontal="center" vertical="top"/>
    </xf>
    <xf numFmtId="168" fontId="20" fillId="18" borderId="0" xfId="2" applyNumberFormat="1" applyFont="1" applyFill="1" applyAlignment="1">
      <alignment horizontal="center" vertical="top"/>
    </xf>
    <xf numFmtId="164" fontId="0" fillId="0" borderId="0" xfId="3" applyNumberFormat="1" applyFont="1" applyAlignment="1">
      <alignment horizontal="center" vertical="top"/>
    </xf>
    <xf numFmtId="168" fontId="19" fillId="0" borderId="0" xfId="2" quotePrefix="1" applyNumberFormat="1" applyFont="1" applyBorder="1" applyAlignment="1">
      <alignment horizontal="center" vertical="top"/>
    </xf>
    <xf numFmtId="9" fontId="0" fillId="18" borderId="0" xfId="0" applyNumberFormat="1" applyFill="1" applyAlignment="1">
      <alignment horizontal="center" vertical="top"/>
    </xf>
    <xf numFmtId="3" fontId="19" fillId="18" borderId="0" xfId="2" applyNumberFormat="1" applyFont="1" applyFill="1" applyAlignment="1">
      <alignment horizontal="left" vertical="top"/>
    </xf>
    <xf numFmtId="168" fontId="19" fillId="0" borderId="0" xfId="2" applyNumberFormat="1" applyFont="1" applyBorder="1" applyAlignment="1">
      <alignment horizontal="center" vertical="top"/>
    </xf>
    <xf numFmtId="168" fontId="19" fillId="0" borderId="0" xfId="2" applyNumberFormat="1" applyBorder="1" applyAlignment="1">
      <alignment horizontal="center" vertical="top"/>
    </xf>
    <xf numFmtId="9" fontId="19" fillId="18" borderId="0" xfId="0" applyNumberFormat="1" applyFont="1" applyFill="1" applyAlignment="1">
      <alignment horizontal="center" vertical="top"/>
    </xf>
    <xf numFmtId="168" fontId="19" fillId="18" borderId="35" xfId="2" applyNumberFormat="1" applyFont="1" applyFill="1" applyBorder="1" applyAlignment="1">
      <alignment horizontal="center" vertical="top"/>
    </xf>
    <xf numFmtId="0" fontId="20" fillId="17" borderId="15" xfId="0" applyFont="1" applyFill="1" applyBorder="1" applyAlignment="1">
      <alignment vertical="top"/>
    </xf>
    <xf numFmtId="0" fontId="20" fillId="17" borderId="15" xfId="0" applyFont="1" applyFill="1" applyBorder="1" applyAlignment="1">
      <alignment horizontal="center" vertical="top"/>
    </xf>
    <xf numFmtId="168" fontId="20" fillId="17" borderId="37" xfId="2" applyNumberFormat="1" applyFont="1" applyFill="1" applyBorder="1" applyAlignment="1">
      <alignment horizontal="center" vertical="top"/>
    </xf>
    <xf numFmtId="168" fontId="20" fillId="2" borderId="37" xfId="2" applyNumberFormat="1" applyFont="1" applyFill="1" applyBorder="1" applyAlignment="1" applyProtection="1">
      <alignment horizontal="center" vertical="top" wrapText="1"/>
      <protection locked="0"/>
    </xf>
    <xf numFmtId="0" fontId="20" fillId="18" borderId="15" xfId="0" applyFont="1" applyFill="1" applyBorder="1" applyAlignment="1">
      <alignment vertical="top"/>
    </xf>
    <xf numFmtId="0" fontId="20" fillId="18" borderId="15" xfId="0" applyFont="1" applyFill="1" applyBorder="1" applyAlignment="1">
      <alignment horizontal="center" vertical="top"/>
    </xf>
    <xf numFmtId="168" fontId="20" fillId="18" borderId="37" xfId="2" applyNumberFormat="1" applyFont="1" applyFill="1" applyBorder="1" applyAlignment="1">
      <alignment horizontal="center" vertical="top"/>
    </xf>
    <xf numFmtId="3" fontId="19" fillId="2" borderId="0" xfId="2" applyNumberFormat="1" applyFont="1" applyFill="1" applyAlignment="1" applyProtection="1">
      <alignment vertical="top" wrapText="1"/>
      <protection locked="0"/>
    </xf>
    <xf numFmtId="3" fontId="19" fillId="18" borderId="0" xfId="2" applyNumberFormat="1" applyFill="1" applyAlignment="1">
      <alignment vertical="top"/>
    </xf>
    <xf numFmtId="0" fontId="0" fillId="9" borderId="0" xfId="0" applyFill="1" applyAlignment="1">
      <alignment horizontal="center" vertical="top"/>
    </xf>
    <xf numFmtId="0" fontId="0" fillId="0" borderId="79" xfId="0" applyBorder="1" applyAlignment="1">
      <alignment vertical="top"/>
    </xf>
    <xf numFmtId="1" fontId="0" fillId="0" borderId="80" xfId="0" applyNumberFormat="1" applyBorder="1" applyAlignment="1">
      <alignment horizontal="center" vertical="top"/>
    </xf>
    <xf numFmtId="0" fontId="20" fillId="0" borderId="80" xfId="0" applyFont="1" applyBorder="1" applyAlignment="1">
      <alignment vertical="top"/>
    </xf>
    <xf numFmtId="0" fontId="0" fillId="0" borderId="80" xfId="0" applyBorder="1" applyAlignment="1">
      <alignment vertical="top"/>
    </xf>
    <xf numFmtId="0" fontId="20" fillId="17" borderId="80" xfId="0" applyFont="1" applyFill="1" applyBorder="1" applyAlignment="1">
      <alignment vertical="top"/>
    </xf>
    <xf numFmtId="0" fontId="20" fillId="17" borderId="80" xfId="0" applyFont="1" applyFill="1" applyBorder="1" applyAlignment="1">
      <alignment horizontal="center" vertical="top"/>
    </xf>
    <xf numFmtId="0" fontId="20" fillId="17" borderId="60" xfId="0" applyFont="1" applyFill="1" applyBorder="1" applyAlignment="1">
      <alignment horizontal="centerContinuous" vertical="top"/>
    </xf>
    <xf numFmtId="0" fontId="20" fillId="17" borderId="80" xfId="0" applyFont="1" applyFill="1" applyBorder="1" applyAlignment="1">
      <alignment horizontal="centerContinuous" vertical="top"/>
    </xf>
    <xf numFmtId="0" fontId="20" fillId="18" borderId="80" xfId="0" applyFont="1" applyFill="1" applyBorder="1" applyAlignment="1">
      <alignment vertical="top"/>
    </xf>
    <xf numFmtId="0" fontId="20" fillId="18" borderId="80" xfId="0" applyFont="1" applyFill="1" applyBorder="1" applyAlignment="1">
      <alignment horizontal="center" vertical="top"/>
    </xf>
    <xf numFmtId="0" fontId="20" fillId="18" borderId="60" xfId="0" applyFont="1" applyFill="1" applyBorder="1" applyAlignment="1">
      <alignment horizontal="centerContinuous" vertical="top"/>
    </xf>
    <xf numFmtId="0" fontId="20" fillId="18" borderId="82" xfId="0" applyFont="1" applyFill="1" applyBorder="1" applyAlignment="1">
      <alignment horizontal="centerContinuous" vertical="top"/>
    </xf>
    <xf numFmtId="0" fontId="0" fillId="0" borderId="83" xfId="0" applyBorder="1" applyAlignment="1">
      <alignment vertical="top"/>
    </xf>
    <xf numFmtId="0" fontId="52" fillId="0" borderId="0" xfId="0" applyFont="1" applyAlignment="1">
      <alignment vertical="top"/>
    </xf>
    <xf numFmtId="0" fontId="20" fillId="18" borderId="84" xfId="0" applyFont="1" applyFill="1" applyBorder="1" applyAlignment="1">
      <alignment horizontal="center" vertical="top"/>
    </xf>
    <xf numFmtId="168" fontId="19" fillId="18" borderId="85" xfId="2" applyNumberFormat="1" applyFill="1" applyBorder="1" applyAlignment="1">
      <alignment vertical="top"/>
    </xf>
    <xf numFmtId="0" fontId="0" fillId="17" borderId="0" xfId="0" applyFill="1" applyAlignment="1">
      <alignment vertical="top"/>
    </xf>
    <xf numFmtId="0" fontId="0" fillId="17" borderId="0" xfId="0" applyFill="1" applyAlignment="1">
      <alignment horizontal="center" vertical="top"/>
    </xf>
    <xf numFmtId="0" fontId="0" fillId="18" borderId="84" xfId="0" applyFill="1" applyBorder="1" applyAlignment="1">
      <alignment vertical="top"/>
    </xf>
    <xf numFmtId="172" fontId="19" fillId="2" borderId="0" xfId="1" applyNumberFormat="1" applyFont="1" applyFill="1" applyBorder="1" applyAlignment="1" applyProtection="1">
      <alignment vertical="top"/>
      <protection locked="0"/>
    </xf>
    <xf numFmtId="166" fontId="0" fillId="0" borderId="0" xfId="1" applyNumberFormat="1" applyFont="1" applyBorder="1" applyAlignment="1">
      <alignment vertical="top"/>
    </xf>
    <xf numFmtId="166" fontId="0" fillId="17" borderId="0" xfId="1" applyNumberFormat="1" applyFont="1" applyFill="1" applyBorder="1" applyAlignment="1">
      <alignment vertical="top"/>
    </xf>
    <xf numFmtId="166" fontId="0" fillId="18" borderId="0" xfId="1" applyNumberFormat="1" applyFont="1" applyFill="1" applyBorder="1" applyAlignment="1">
      <alignment vertical="top"/>
    </xf>
    <xf numFmtId="166" fontId="0" fillId="18" borderId="84" xfId="1" applyNumberFormat="1" applyFont="1" applyFill="1" applyBorder="1" applyAlignment="1">
      <alignment vertical="top"/>
    </xf>
    <xf numFmtId="168" fontId="20" fillId="17" borderId="35" xfId="2" applyNumberFormat="1" applyFont="1" applyFill="1" applyBorder="1" applyAlignment="1">
      <alignment horizontal="center" vertical="top"/>
    </xf>
    <xf numFmtId="168" fontId="20" fillId="18" borderId="86" xfId="2" applyNumberFormat="1" applyFont="1" applyFill="1" applyBorder="1" applyAlignment="1">
      <alignment horizontal="center" vertical="top"/>
    </xf>
    <xf numFmtId="3" fontId="19" fillId="17" borderId="0" xfId="2" applyNumberFormat="1" applyFont="1" applyFill="1" applyBorder="1" applyAlignment="1">
      <alignment vertical="top"/>
    </xf>
    <xf numFmtId="3" fontId="19" fillId="18" borderId="0" xfId="2" applyNumberFormat="1" applyFill="1" applyBorder="1" applyAlignment="1">
      <alignment vertical="top"/>
    </xf>
    <xf numFmtId="3" fontId="19" fillId="18" borderId="84" xfId="2" applyNumberFormat="1" applyFill="1" applyBorder="1" applyAlignment="1">
      <alignment vertical="top"/>
    </xf>
    <xf numFmtId="0" fontId="0" fillId="0" borderId="87" xfId="0" applyBorder="1" applyAlignment="1">
      <alignment vertical="top"/>
    </xf>
    <xf numFmtId="1" fontId="0" fillId="0" borderId="88" xfId="0" applyNumberFormat="1" applyBorder="1" applyAlignment="1">
      <alignment horizontal="center" vertical="top"/>
    </xf>
    <xf numFmtId="0" fontId="0" fillId="0" borderId="88" xfId="0" applyBorder="1" applyAlignment="1">
      <alignment vertical="top"/>
    </xf>
    <xf numFmtId="0" fontId="0" fillId="0" borderId="88" xfId="0" applyBorder="1" applyAlignment="1">
      <alignment horizontal="center" vertical="top"/>
    </xf>
    <xf numFmtId="0" fontId="0" fillId="17" borderId="88" xfId="0" applyFill="1" applyBorder="1" applyAlignment="1">
      <alignment vertical="top"/>
    </xf>
    <xf numFmtId="0" fontId="0" fillId="17" borderId="88" xfId="0" applyFill="1" applyBorder="1" applyAlignment="1">
      <alignment horizontal="center" vertical="top"/>
    </xf>
    <xf numFmtId="168" fontId="0" fillId="17" borderId="88" xfId="0" applyNumberFormat="1" applyFill="1" applyBorder="1" applyAlignment="1">
      <alignment vertical="top"/>
    </xf>
    <xf numFmtId="168" fontId="0" fillId="18" borderId="88" xfId="0" applyNumberFormat="1" applyFill="1" applyBorder="1" applyAlignment="1">
      <alignment vertical="top"/>
    </xf>
    <xf numFmtId="168" fontId="0" fillId="18" borderId="89" xfId="0" applyNumberFormat="1" applyFill="1" applyBorder="1" applyAlignment="1">
      <alignment vertical="top"/>
    </xf>
    <xf numFmtId="166" fontId="0" fillId="0" borderId="83" xfId="1" applyNumberFormat="1" applyFont="1" applyBorder="1" applyAlignment="1">
      <alignment vertical="top"/>
    </xf>
    <xf numFmtId="166" fontId="0" fillId="0" borderId="0" xfId="1" applyNumberFormat="1" applyFont="1" applyBorder="1" applyAlignment="1">
      <alignment horizontal="center" vertical="top"/>
    </xf>
    <xf numFmtId="166" fontId="0" fillId="19" borderId="0" xfId="1" applyNumberFormat="1" applyFont="1" applyFill="1" applyBorder="1" applyAlignment="1">
      <alignment vertical="top"/>
    </xf>
    <xf numFmtId="166" fontId="0" fillId="0" borderId="0" xfId="1" applyNumberFormat="1" applyFont="1" applyAlignment="1">
      <alignment vertical="top"/>
    </xf>
    <xf numFmtId="0" fontId="0" fillId="0" borderId="89" xfId="0" applyBorder="1" applyAlignment="1">
      <alignment vertical="top"/>
    </xf>
    <xf numFmtId="0" fontId="19" fillId="0" borderId="0" xfId="0" quotePrefix="1" applyFont="1"/>
    <xf numFmtId="42" fontId="59" fillId="0" borderId="12" xfId="12" applyNumberFormat="1" applyFont="1" applyBorder="1" applyAlignment="1">
      <alignment horizontal="center" vertical="center"/>
    </xf>
    <xf numFmtId="42" fontId="59" fillId="0" borderId="10" xfId="12" applyNumberFormat="1" applyFont="1" applyBorder="1" applyAlignment="1">
      <alignment horizontal="center" vertical="center"/>
    </xf>
    <xf numFmtId="42" fontId="59" fillId="0" borderId="20" xfId="12" applyNumberFormat="1" applyFont="1" applyBorder="1" applyAlignment="1">
      <alignment horizontal="center" vertical="center"/>
    </xf>
    <xf numFmtId="42" fontId="59" fillId="0" borderId="39" xfId="12" applyNumberFormat="1" applyFont="1" applyBorder="1" applyAlignment="1">
      <alignment horizontal="center" vertical="center"/>
    </xf>
    <xf numFmtId="42" fontId="59" fillId="0" borderId="38" xfId="12" applyNumberFormat="1" applyFont="1" applyBorder="1" applyAlignment="1">
      <alignment horizontal="center" vertical="center"/>
    </xf>
    <xf numFmtId="42" fontId="59" fillId="0" borderId="7" xfId="12" applyNumberFormat="1" applyFont="1" applyBorder="1" applyAlignment="1">
      <alignment horizontal="center" vertical="center"/>
    </xf>
    <xf numFmtId="42" fontId="59" fillId="0" borderId="5" xfId="12" applyNumberFormat="1" applyFont="1" applyBorder="1" applyAlignment="1">
      <alignment horizontal="center" vertical="center"/>
    </xf>
    <xf numFmtId="42" fontId="59" fillId="0" borderId="56" xfId="12" applyNumberFormat="1" applyFont="1" applyBorder="1" applyAlignment="1">
      <alignment horizontal="center" vertical="center"/>
    </xf>
    <xf numFmtId="42" fontId="59" fillId="0" borderId="42" xfId="12" applyNumberFormat="1" applyFont="1" applyBorder="1" applyAlignment="1">
      <alignment horizontal="center" vertical="center"/>
    </xf>
    <xf numFmtId="42" fontId="55" fillId="0" borderId="55" xfId="12" applyNumberFormat="1" applyFont="1" applyBorder="1" applyAlignment="1">
      <alignment horizontal="center" vertical="center"/>
    </xf>
    <xf numFmtId="170" fontId="54" fillId="0" borderId="43" xfId="12" applyNumberFormat="1" applyFont="1" applyBorder="1" applyAlignment="1">
      <alignment vertical="center"/>
    </xf>
    <xf numFmtId="170" fontId="54" fillId="0" borderId="44" xfId="12" applyNumberFormat="1" applyFont="1" applyBorder="1" applyAlignment="1">
      <alignment vertical="center"/>
    </xf>
    <xf numFmtId="170" fontId="63" fillId="0" borderId="94" xfId="12" applyNumberFormat="1" applyFont="1" applyBorder="1" applyAlignment="1">
      <alignment vertical="center"/>
    </xf>
    <xf numFmtId="170" fontId="54" fillId="0" borderId="95" xfId="12" applyNumberFormat="1" applyFont="1" applyBorder="1" applyAlignment="1">
      <alignment vertical="center"/>
    </xf>
    <xf numFmtId="170" fontId="54" fillId="0" borderId="4" xfId="12" applyNumberFormat="1" applyFont="1" applyBorder="1" applyAlignment="1">
      <alignment vertical="center"/>
    </xf>
    <xf numFmtId="170" fontId="54" fillId="0" borderId="96" xfId="12" applyNumberFormat="1" applyFont="1" applyBorder="1" applyAlignment="1">
      <alignment vertical="center"/>
    </xf>
    <xf numFmtId="170" fontId="63" fillId="0" borderId="90" xfId="12" applyNumberFormat="1" applyFont="1" applyBorder="1" applyAlignment="1">
      <alignment vertical="center"/>
    </xf>
    <xf numFmtId="170" fontId="54" fillId="0" borderId="97" xfId="12" applyNumberFormat="1" applyFont="1" applyBorder="1" applyAlignment="1">
      <alignment vertical="center"/>
    </xf>
    <xf numFmtId="170" fontId="54" fillId="0" borderId="98" xfId="12" applyNumberFormat="1" applyFont="1" applyBorder="1" applyAlignment="1">
      <alignment vertical="center"/>
    </xf>
    <xf numFmtId="170" fontId="54" fillId="0" borderId="99" xfId="12" applyNumberFormat="1" applyFont="1" applyBorder="1" applyAlignment="1">
      <alignment vertical="center"/>
    </xf>
    <xf numFmtId="170" fontId="63" fillId="0" borderId="91" xfId="12" applyNumberFormat="1" applyFont="1" applyBorder="1" applyAlignment="1">
      <alignment vertical="center"/>
    </xf>
    <xf numFmtId="170" fontId="64" fillId="0" borderId="56" xfId="12" applyNumberFormat="1" applyFont="1" applyBorder="1" applyAlignment="1">
      <alignment vertical="center"/>
    </xf>
    <xf numFmtId="170" fontId="64" fillId="0" borderId="93" xfId="12" applyNumberFormat="1" applyFont="1" applyBorder="1" applyAlignment="1">
      <alignment vertical="center"/>
    </xf>
    <xf numFmtId="170" fontId="64" fillId="0" borderId="100" xfId="12" applyNumberFormat="1" applyFont="1" applyBorder="1" applyAlignment="1">
      <alignment vertical="center"/>
    </xf>
    <xf numFmtId="170" fontId="64" fillId="0" borderId="55" xfId="12" applyNumberFormat="1" applyFont="1" applyBorder="1" applyAlignment="1">
      <alignment vertical="center"/>
    </xf>
    <xf numFmtId="170" fontId="64" fillId="0" borderId="0" xfId="12" applyNumberFormat="1" applyFont="1" applyBorder="1"/>
    <xf numFmtId="0" fontId="18" fillId="0" borderId="34" xfId="0" applyFont="1" applyBorder="1" applyAlignment="1">
      <alignment horizontal="center"/>
    </xf>
    <xf numFmtId="0" fontId="0" fillId="0" borderId="35" xfId="0" applyBorder="1" applyAlignment="1">
      <alignment horizontal="center"/>
    </xf>
    <xf numFmtId="0" fontId="0" fillId="0" borderId="34" xfId="0" applyBorder="1"/>
    <xf numFmtId="0" fontId="66" fillId="0" borderId="0" xfId="0" applyFont="1"/>
    <xf numFmtId="0" fontId="0" fillId="0" borderId="35" xfId="0" applyBorder="1"/>
    <xf numFmtId="0" fontId="20" fillId="0" borderId="29" xfId="0" applyFont="1" applyBorder="1" applyAlignment="1">
      <alignment horizontal="center"/>
    </xf>
    <xf numFmtId="42" fontId="20" fillId="0" borderId="11" xfId="0" applyNumberFormat="1" applyFont="1" applyBorder="1" applyAlignment="1">
      <alignment horizontal="center"/>
    </xf>
    <xf numFmtId="0" fontId="20" fillId="0" borderId="11" xfId="0" applyFont="1" applyBorder="1" applyAlignment="1">
      <alignment horizontal="center"/>
    </xf>
    <xf numFmtId="42" fontId="0" fillId="0" borderId="11" xfId="0" applyNumberFormat="1" applyBorder="1"/>
    <xf numFmtId="42" fontId="67" fillId="0" borderId="34" xfId="0" applyNumberFormat="1" applyFont="1" applyBorder="1"/>
    <xf numFmtId="42" fontId="67" fillId="0" borderId="0" xfId="0" applyNumberFormat="1" applyFont="1"/>
    <xf numFmtId="0" fontId="0" fillId="0" borderId="92" xfId="0" applyBorder="1"/>
    <xf numFmtId="0" fontId="0" fillId="0" borderId="57" xfId="0" applyBorder="1"/>
    <xf numFmtId="0" fontId="20" fillId="0" borderId="101" xfId="0" applyFont="1" applyBorder="1"/>
    <xf numFmtId="0" fontId="0" fillId="0" borderId="101" xfId="0" applyBorder="1"/>
    <xf numFmtId="0" fontId="20" fillId="0" borderId="101" xfId="0" applyFont="1" applyBorder="1" applyAlignment="1">
      <alignment horizontal="center"/>
    </xf>
    <xf numFmtId="0" fontId="20" fillId="0" borderId="101" xfId="0" applyFont="1" applyBorder="1" applyAlignment="1">
      <alignment horizontal="center" wrapText="1"/>
    </xf>
    <xf numFmtId="42" fontId="20" fillId="0" borderId="0" xfId="0" applyNumberFormat="1" applyFont="1"/>
    <xf numFmtId="9" fontId="19" fillId="0" borderId="0" xfId="3"/>
    <xf numFmtId="42" fontId="19" fillId="0" borderId="0" xfId="0" applyNumberFormat="1" applyFont="1"/>
    <xf numFmtId="9" fontId="19" fillId="0" borderId="0" xfId="3" applyBorder="1"/>
    <xf numFmtId="9" fontId="19" fillId="0" borderId="11" xfId="3" applyBorder="1"/>
    <xf numFmtId="9" fontId="0" fillId="0" borderId="0" xfId="0" applyNumberFormat="1"/>
    <xf numFmtId="42" fontId="0" fillId="0" borderId="0" xfId="0" quotePrefix="1" applyNumberFormat="1"/>
    <xf numFmtId="42" fontId="0" fillId="0" borderId="11" xfId="0" quotePrefix="1" applyNumberFormat="1" applyBorder="1"/>
    <xf numFmtId="5" fontId="24" fillId="0" borderId="5" xfId="4" applyNumberFormat="1" applyFont="1" applyBorder="1" applyAlignment="1">
      <alignment horizontal="left"/>
    </xf>
    <xf numFmtId="5" fontId="25" fillId="2" borderId="0" xfId="4" applyNumberFormat="1" applyFont="1" applyFill="1" applyProtection="1">
      <protection locked="0"/>
    </xf>
    <xf numFmtId="5" fontId="24" fillId="0" borderId="12" xfId="4" applyNumberFormat="1" applyFont="1" applyBorder="1" applyAlignment="1">
      <alignment horizontal="center"/>
    </xf>
    <xf numFmtId="5" fontId="16" fillId="0" borderId="0" xfId="4" applyNumberFormat="1" applyFont="1" applyAlignment="1">
      <alignment horizontal="left"/>
    </xf>
    <xf numFmtId="0" fontId="16" fillId="0" borderId="0" xfId="5" applyFont="1" applyAlignment="1">
      <alignment horizontal="centerContinuous"/>
    </xf>
    <xf numFmtId="168" fontId="34" fillId="0" borderId="0" xfId="4" applyNumberFormat="1" applyFont="1" applyAlignment="1">
      <alignment horizontal="centerContinuous"/>
    </xf>
    <xf numFmtId="0" fontId="68" fillId="0" borderId="0" xfId="5" applyFont="1"/>
    <xf numFmtId="0" fontId="20" fillId="0" borderId="8" xfId="0" applyFont="1" applyBorder="1"/>
    <xf numFmtId="166" fontId="34" fillId="0" borderId="0" xfId="1" applyNumberFormat="1" applyFont="1" applyBorder="1" applyAlignment="1">
      <alignment horizontal="right"/>
    </xf>
    <xf numFmtId="166" fontId="34" fillId="2" borderId="0" xfId="1" applyNumberFormat="1" applyFont="1" applyFill="1" applyBorder="1" applyAlignment="1">
      <alignment horizontal="right"/>
    </xf>
    <xf numFmtId="0" fontId="37" fillId="0" borderId="8" xfId="0" applyFont="1" applyBorder="1" applyAlignment="1">
      <alignment horizontal="center"/>
    </xf>
    <xf numFmtId="166" fontId="16" fillId="0" borderId="13" xfId="1" applyNumberFormat="1" applyFont="1" applyBorder="1" applyAlignment="1">
      <alignment horizontal="right"/>
    </xf>
    <xf numFmtId="0" fontId="19" fillId="0" borderId="8" xfId="0" applyFont="1" applyBorder="1" applyAlignment="1">
      <alignment wrapText="1"/>
    </xf>
    <xf numFmtId="0" fontId="16" fillId="0" borderId="8" xfId="6" applyFont="1" applyBorder="1" applyAlignment="1">
      <alignment wrapText="1"/>
    </xf>
    <xf numFmtId="5" fontId="20" fillId="0" borderId="10" xfId="4" applyNumberFormat="1" applyFont="1" applyBorder="1" applyAlignment="1">
      <alignment horizontal="left"/>
    </xf>
    <xf numFmtId="5" fontId="24" fillId="0" borderId="0" xfId="4" applyNumberFormat="1" applyFont="1" applyAlignment="1">
      <alignment horizontal="left"/>
    </xf>
    <xf numFmtId="0" fontId="24" fillId="0" borderId="7" xfId="4" applyFont="1" applyBorder="1"/>
    <xf numFmtId="5" fontId="24" fillId="0" borderId="8" xfId="4" applyNumberFormat="1" applyFont="1" applyBorder="1" applyAlignment="1">
      <alignment horizontal="left"/>
    </xf>
    <xf numFmtId="0" fontId="68" fillId="0" borderId="8" xfId="5" applyFont="1" applyBorder="1"/>
    <xf numFmtId="0" fontId="26" fillId="0" borderId="15" xfId="4" applyFont="1" applyBorder="1" applyAlignment="1">
      <alignment horizontal="center" wrapText="1"/>
    </xf>
    <xf numFmtId="164" fontId="26" fillId="0" borderId="0" xfId="3" applyNumberFormat="1" applyFont="1" applyBorder="1"/>
    <xf numFmtId="168" fontId="34" fillId="2" borderId="0" xfId="7" applyNumberFormat="1" applyFont="1" applyFill="1" applyBorder="1" applyAlignment="1" applyProtection="1">
      <alignment horizontal="right"/>
      <protection locked="0"/>
    </xf>
    <xf numFmtId="0" fontId="24" fillId="0" borderId="12" xfId="4" applyFont="1" applyBorder="1"/>
    <xf numFmtId="9" fontId="20" fillId="0" borderId="6" xfId="4" applyNumberFormat="1" applyFont="1" applyBorder="1" applyAlignment="1">
      <alignment horizontal="left"/>
    </xf>
    <xf numFmtId="5" fontId="24" fillId="0" borderId="7" xfId="4" applyNumberFormat="1" applyFont="1" applyBorder="1" applyAlignment="1">
      <alignment horizontal="left"/>
    </xf>
    <xf numFmtId="0" fontId="34" fillId="0" borderId="8" xfId="4" quotePrefix="1" applyFont="1" applyBorder="1" applyAlignment="1">
      <alignment horizontal="left"/>
    </xf>
    <xf numFmtId="0" fontId="16" fillId="0" borderId="8" xfId="0" applyFont="1" applyBorder="1"/>
    <xf numFmtId="168" fontId="34" fillId="2" borderId="0" xfId="7" applyNumberFormat="1" applyFont="1" applyFill="1" applyBorder="1" applyAlignment="1">
      <alignment horizontal="right"/>
    </xf>
    <xf numFmtId="166" fontId="34" fillId="2" borderId="0" xfId="1" applyNumberFormat="1" applyFont="1" applyFill="1" applyBorder="1" applyAlignment="1" applyProtection="1">
      <alignment horizontal="right"/>
      <protection locked="0"/>
    </xf>
    <xf numFmtId="0" fontId="34" fillId="0" borderId="8" xfId="4" applyFont="1" applyBorder="1" applyAlignment="1">
      <alignment horizontal="centerContinuous"/>
    </xf>
    <xf numFmtId="166" fontId="34" fillId="0" borderId="102" xfId="1" applyNumberFormat="1" applyFont="1" applyBorder="1" applyAlignment="1">
      <alignment horizontal="right"/>
    </xf>
    <xf numFmtId="168" fontId="34" fillId="0" borderId="102" xfId="7" applyNumberFormat="1" applyFont="1" applyBorder="1" applyAlignment="1">
      <alignment horizontal="right"/>
    </xf>
    <xf numFmtId="0" fontId="16" fillId="0" borderId="8" xfId="4" applyFont="1" applyBorder="1"/>
    <xf numFmtId="0" fontId="14" fillId="0" borderId="0" xfId="13"/>
    <xf numFmtId="0" fontId="15" fillId="0" borderId="0" xfId="13" applyFont="1" applyAlignment="1">
      <alignment horizontal="centerContinuous"/>
    </xf>
    <xf numFmtId="173" fontId="15" fillId="0" borderId="0" xfId="13" applyNumberFormat="1" applyFont="1" applyAlignment="1">
      <alignment horizontal="centerContinuous"/>
    </xf>
    <xf numFmtId="0" fontId="14" fillId="0" borderId="0" xfId="13" applyAlignment="1">
      <alignment horizontal="center"/>
    </xf>
    <xf numFmtId="0" fontId="14" fillId="0" borderId="1" xfId="13" applyBorder="1"/>
    <xf numFmtId="0" fontId="69" fillId="0" borderId="0" xfId="13" applyFont="1"/>
    <xf numFmtId="0" fontId="14" fillId="0" borderId="5" xfId="13" applyBorder="1"/>
    <xf numFmtId="0" fontId="14" fillId="0" borderId="4" xfId="13" applyBorder="1"/>
    <xf numFmtId="173" fontId="14" fillId="0" borderId="0" xfId="13" applyNumberFormat="1"/>
    <xf numFmtId="0" fontId="14" fillId="0" borderId="8" xfId="13" applyBorder="1"/>
    <xf numFmtId="0" fontId="14" fillId="0" borderId="10" xfId="13" applyBorder="1"/>
    <xf numFmtId="0" fontId="15" fillId="0" borderId="0" xfId="13" applyFont="1"/>
    <xf numFmtId="0" fontId="14" fillId="0" borderId="5" xfId="13" applyBorder="1" applyAlignment="1">
      <alignment horizontal="center"/>
    </xf>
    <xf numFmtId="0" fontId="14" fillId="0" borderId="38" xfId="13" applyBorder="1"/>
    <xf numFmtId="0" fontId="14" fillId="0" borderId="10" xfId="13" applyBorder="1" applyAlignment="1">
      <alignment horizontal="center"/>
    </xf>
    <xf numFmtId="0" fontId="14" fillId="0" borderId="8" xfId="13" applyBorder="1" applyAlignment="1">
      <alignment horizontal="center"/>
    </xf>
    <xf numFmtId="174" fontId="14" fillId="0" borderId="39" xfId="13" applyNumberFormat="1" applyBorder="1" applyProtection="1">
      <protection locked="0"/>
    </xf>
    <xf numFmtId="174" fontId="0" fillId="0" borderId="39" xfId="13" applyNumberFormat="1" applyFont="1" applyBorder="1" applyProtection="1">
      <protection locked="0"/>
    </xf>
    <xf numFmtId="0" fontId="14" fillId="0" borderId="0" xfId="13" applyAlignment="1">
      <alignment horizontal="left"/>
    </xf>
    <xf numFmtId="0" fontId="14" fillId="0" borderId="39" xfId="13" applyBorder="1"/>
    <xf numFmtId="0" fontId="16" fillId="0" borderId="11" xfId="0" applyFont="1" applyBorder="1" applyAlignment="1">
      <alignment horizontal="left" vertical="center"/>
    </xf>
    <xf numFmtId="0" fontId="0" fillId="0" borderId="11" xfId="0" applyBorder="1" applyAlignment="1">
      <alignment horizontal="center" vertical="center" wrapText="1"/>
    </xf>
    <xf numFmtId="44" fontId="0" fillId="0" borderId="11" xfId="14" applyFont="1" applyBorder="1"/>
    <xf numFmtId="0" fontId="0" fillId="0" borderId="14" xfId="0" applyBorder="1" applyAlignment="1">
      <alignment vertical="center" wrapText="1"/>
    </xf>
    <xf numFmtId="44" fontId="0" fillId="0" borderId="0" xfId="14" applyFont="1"/>
    <xf numFmtId="44" fontId="0" fillId="0" borderId="14" xfId="14" applyFont="1" applyBorder="1"/>
    <xf numFmtId="0" fontId="0" fillId="0" borderId="39" xfId="0" applyBorder="1"/>
    <xf numFmtId="0" fontId="20" fillId="0" borderId="38" xfId="0" applyFont="1" applyBorder="1" applyAlignment="1">
      <alignment vertical="center" wrapText="1"/>
    </xf>
    <xf numFmtId="0" fontId="20" fillId="0" borderId="4" xfId="0" applyFont="1" applyBorder="1" applyAlignment="1">
      <alignment horizontal="left" vertical="center" wrapText="1"/>
    </xf>
    <xf numFmtId="44" fontId="20" fillId="0" borderId="4" xfId="14" applyFont="1" applyFill="1" applyBorder="1" applyAlignment="1">
      <alignment horizontal="center" vertical="center" wrapText="1"/>
    </xf>
    <xf numFmtId="44" fontId="20" fillId="0" borderId="4" xfId="14" applyFont="1" applyFill="1" applyBorder="1" applyAlignment="1">
      <alignment horizontal="left" vertical="center"/>
    </xf>
    <xf numFmtId="0" fontId="20" fillId="0" borderId="4" xfId="0" applyFont="1" applyBorder="1" applyAlignment="1">
      <alignment vertical="center" wrapText="1"/>
    </xf>
    <xf numFmtId="0" fontId="0" fillId="0" borderId="38" xfId="0" applyBorder="1"/>
    <xf numFmtId="170" fontId="0" fillId="0" borderId="6" xfId="14" applyNumberFormat="1" applyFont="1" applyBorder="1"/>
    <xf numFmtId="170" fontId="0" fillId="0" borderId="7" xfId="14" applyNumberFormat="1" applyFont="1" applyBorder="1"/>
    <xf numFmtId="0" fontId="20" fillId="10" borderId="38" xfId="0" applyFont="1" applyFill="1" applyBorder="1" applyAlignment="1">
      <alignment vertical="center"/>
    </xf>
    <xf numFmtId="0" fontId="0" fillId="0" borderId="39" xfId="0" applyBorder="1" applyAlignment="1">
      <alignment vertical="center" wrapText="1"/>
    </xf>
    <xf numFmtId="0" fontId="0" fillId="0" borderId="12" xfId="0" applyBorder="1"/>
    <xf numFmtId="0" fontId="0" fillId="0" borderId="2" xfId="0" applyBorder="1"/>
    <xf numFmtId="0" fontId="19" fillId="2" borderId="4" xfId="0" applyFont="1" applyFill="1" applyBorder="1" applyAlignment="1" applyProtection="1">
      <alignment wrapText="1"/>
      <protection locked="0"/>
    </xf>
    <xf numFmtId="168" fontId="0" fillId="0" borderId="4" xfId="0" applyNumberFormat="1" applyBorder="1"/>
    <xf numFmtId="170" fontId="19" fillId="0" borderId="14" xfId="14" applyNumberFormat="1" applyFont="1" applyFill="1" applyBorder="1"/>
    <xf numFmtId="168" fontId="19" fillId="0" borderId="14" xfId="14" applyNumberFormat="1" applyFont="1" applyFill="1" applyBorder="1"/>
    <xf numFmtId="0" fontId="20" fillId="0" borderId="38" xfId="0" applyFont="1" applyBorder="1" applyAlignment="1">
      <alignment vertical="center"/>
    </xf>
    <xf numFmtId="168" fontId="20" fillId="0" borderId="38" xfId="0" applyNumberFormat="1" applyFont="1" applyBorder="1" applyAlignment="1">
      <alignment vertical="center"/>
    </xf>
    <xf numFmtId="170" fontId="20" fillId="0" borderId="38" xfId="0" applyNumberFormat="1" applyFont="1" applyBorder="1" applyAlignment="1">
      <alignment vertical="center"/>
    </xf>
    <xf numFmtId="0" fontId="24" fillId="0" borderId="0" xfId="0" applyFont="1" applyAlignment="1">
      <alignment vertical="top"/>
    </xf>
    <xf numFmtId="42" fontId="0" fillId="0" borderId="0" xfId="0" applyNumberFormat="1" applyAlignment="1">
      <alignment vertical="top"/>
    </xf>
    <xf numFmtId="0" fontId="0" fillId="0" borderId="0" xfId="0" applyAlignment="1">
      <alignment vertical="top" wrapText="1"/>
    </xf>
    <xf numFmtId="42" fontId="0" fillId="0" borderId="0" xfId="0" applyNumberFormat="1" applyAlignment="1">
      <alignment horizontal="center" vertical="top"/>
    </xf>
    <xf numFmtId="43" fontId="0" fillId="0" borderId="0" xfId="0" applyNumberFormat="1" applyAlignment="1">
      <alignment vertical="top"/>
    </xf>
    <xf numFmtId="9" fontId="0" fillId="0" borderId="0" xfId="3" applyFont="1" applyAlignment="1">
      <alignment vertical="top"/>
    </xf>
    <xf numFmtId="43" fontId="0" fillId="0" borderId="0" xfId="1" applyFont="1" applyAlignment="1">
      <alignment vertical="top"/>
    </xf>
    <xf numFmtId="43" fontId="20" fillId="0" borderId="0" xfId="0" applyNumberFormat="1" applyFont="1" applyAlignment="1">
      <alignment vertical="top" wrapText="1"/>
    </xf>
    <xf numFmtId="0" fontId="0" fillId="21" borderId="0" xfId="0" applyFill="1" applyAlignment="1">
      <alignment vertical="top"/>
    </xf>
    <xf numFmtId="42" fontId="20" fillId="0" borderId="0" xfId="0" applyNumberFormat="1" applyFont="1" applyAlignment="1">
      <alignment vertical="top"/>
    </xf>
    <xf numFmtId="43" fontId="20" fillId="0" borderId="0" xfId="0" applyNumberFormat="1" applyFont="1" applyAlignment="1">
      <alignment vertical="top"/>
    </xf>
    <xf numFmtId="175" fontId="0" fillId="0" borderId="0" xfId="0" applyNumberFormat="1" applyAlignment="1">
      <alignment vertical="top"/>
    </xf>
    <xf numFmtId="175" fontId="0" fillId="0" borderId="0" xfId="0" applyNumberFormat="1" applyAlignment="1">
      <alignment horizontal="center" vertical="top"/>
    </xf>
    <xf numFmtId="10" fontId="20" fillId="0" borderId="0" xfId="3" applyNumberFormat="1" applyFont="1" applyBorder="1" applyAlignment="1">
      <alignment vertical="top"/>
    </xf>
    <xf numFmtId="43" fontId="0" fillId="0" borderId="0" xfId="0" applyNumberFormat="1" applyAlignment="1">
      <alignment horizontal="right" vertical="top"/>
    </xf>
    <xf numFmtId="43" fontId="0" fillId="22" borderId="4" xfId="0" applyNumberFormat="1" applyFill="1" applyBorder="1" applyAlignment="1">
      <alignment vertical="top"/>
    </xf>
    <xf numFmtId="5" fontId="0" fillId="0" borderId="0" xfId="0" applyNumberFormat="1" applyAlignment="1">
      <alignment horizontal="right" vertical="top"/>
    </xf>
    <xf numFmtId="0" fontId="19" fillId="0" borderId="79" xfId="0" applyFont="1" applyBorder="1" applyAlignment="1">
      <alignment vertical="top"/>
    </xf>
    <xf numFmtId="0" fontId="0" fillId="0" borderId="80" xfId="0" applyBorder="1" applyAlignment="1">
      <alignment vertical="top" wrapText="1"/>
    </xf>
    <xf numFmtId="175" fontId="0" fillId="0" borderId="80" xfId="0" applyNumberFormat="1" applyBorder="1" applyAlignment="1">
      <alignment vertical="top"/>
    </xf>
    <xf numFmtId="175" fontId="0" fillId="0" borderId="80" xfId="0" applyNumberFormat="1" applyBorder="1" applyAlignment="1">
      <alignment horizontal="center" vertical="top"/>
    </xf>
    <xf numFmtId="42" fontId="0" fillId="0" borderId="80" xfId="0" applyNumberFormat="1" applyBorder="1" applyAlignment="1">
      <alignment vertical="top"/>
    </xf>
    <xf numFmtId="43" fontId="0" fillId="0" borderId="80" xfId="0" applyNumberFormat="1" applyBorder="1" applyAlignment="1">
      <alignment vertical="top"/>
    </xf>
    <xf numFmtId="43" fontId="0" fillId="0" borderId="80" xfId="1" applyFont="1" applyBorder="1" applyAlignment="1">
      <alignment vertical="top"/>
    </xf>
    <xf numFmtId="10" fontId="20" fillId="0" borderId="80" xfId="3" applyNumberFormat="1" applyFont="1" applyBorder="1" applyAlignment="1">
      <alignment vertical="top"/>
    </xf>
    <xf numFmtId="43" fontId="20" fillId="0" borderId="80" xfId="0" applyNumberFormat="1" applyFont="1" applyBorder="1" applyAlignment="1">
      <alignment vertical="top"/>
    </xf>
    <xf numFmtId="43" fontId="20" fillId="0" borderId="80" xfId="0" applyNumberFormat="1" applyFont="1" applyBorder="1" applyAlignment="1">
      <alignment vertical="top" wrapText="1"/>
    </xf>
    <xf numFmtId="166" fontId="0" fillId="0" borderId="80" xfId="1" applyNumberFormat="1" applyFont="1" applyBorder="1" applyAlignment="1">
      <alignment vertical="top"/>
    </xf>
    <xf numFmtId="0" fontId="0" fillId="0" borderId="82" xfId="0" applyBorder="1" applyAlignment="1">
      <alignment vertical="top"/>
    </xf>
    <xf numFmtId="43" fontId="18" fillId="24" borderId="53" xfId="0" applyNumberFormat="1" applyFont="1" applyFill="1" applyBorder="1" applyAlignment="1">
      <alignment horizontal="center" vertical="top" wrapText="1"/>
    </xf>
    <xf numFmtId="43" fontId="0" fillId="24" borderId="41" xfId="0" applyNumberFormat="1" applyFill="1" applyBorder="1" applyAlignment="1">
      <alignment horizontal="centerContinuous" vertical="top"/>
    </xf>
    <xf numFmtId="43" fontId="0" fillId="25" borderId="41" xfId="0" applyNumberFormat="1" applyFill="1" applyBorder="1" applyAlignment="1">
      <alignment horizontal="centerContinuous" vertical="top"/>
    </xf>
    <xf numFmtId="43" fontId="0" fillId="25" borderId="41" xfId="0" applyNumberFormat="1" applyFill="1" applyBorder="1" applyAlignment="1">
      <alignment horizontal="center" vertical="top"/>
    </xf>
    <xf numFmtId="43" fontId="18" fillId="25" borderId="41" xfId="0" applyNumberFormat="1" applyFont="1" applyFill="1" applyBorder="1" applyAlignment="1">
      <alignment horizontal="centerContinuous" vertical="top"/>
    </xf>
    <xf numFmtId="43" fontId="20" fillId="25" borderId="41" xfId="0" applyNumberFormat="1" applyFont="1" applyFill="1" applyBorder="1" applyAlignment="1">
      <alignment horizontal="center" vertical="top" wrapText="1"/>
    </xf>
    <xf numFmtId="43" fontId="20" fillId="25" borderId="54" xfId="0" applyNumberFormat="1" applyFont="1" applyFill="1" applyBorder="1" applyAlignment="1">
      <alignment horizontal="center" vertical="top" wrapText="1"/>
    </xf>
    <xf numFmtId="166" fontId="18" fillId="26" borderId="53" xfId="1" applyNumberFormat="1" applyFont="1" applyFill="1" applyBorder="1" applyAlignment="1">
      <alignment horizontal="centerContinuous" vertical="top"/>
    </xf>
    <xf numFmtId="166" fontId="18" fillId="26" borderId="41" xfId="1" applyNumberFormat="1" applyFont="1" applyFill="1" applyBorder="1" applyAlignment="1">
      <alignment horizontal="centerContinuous" vertical="top"/>
    </xf>
    <xf numFmtId="43" fontId="18" fillId="26" borderId="41" xfId="0" applyNumberFormat="1" applyFont="1" applyFill="1" applyBorder="1" applyAlignment="1">
      <alignment horizontal="centerContinuous" vertical="top"/>
    </xf>
    <xf numFmtId="43" fontId="18" fillId="26" borderId="54" xfId="0" applyNumberFormat="1" applyFont="1" applyFill="1" applyBorder="1" applyAlignment="1">
      <alignment horizontal="centerContinuous" vertical="top"/>
    </xf>
    <xf numFmtId="0" fontId="0" fillId="0" borderId="84" xfId="0" applyBorder="1" applyAlignment="1">
      <alignment vertical="top"/>
    </xf>
    <xf numFmtId="9" fontId="0" fillId="0" borderId="0" xfId="3" applyFont="1" applyBorder="1" applyAlignment="1">
      <alignment vertical="top"/>
    </xf>
    <xf numFmtId="43" fontId="20" fillId="0" borderId="0" xfId="1" applyFont="1" applyBorder="1" applyAlignment="1">
      <alignment horizontal="center" vertical="top"/>
    </xf>
    <xf numFmtId="41" fontId="0" fillId="0" borderId="0" xfId="0" applyNumberFormat="1" applyAlignment="1">
      <alignment horizontal="center" vertical="top"/>
    </xf>
    <xf numFmtId="43" fontId="18" fillId="25" borderId="53" xfId="0" applyNumberFormat="1" applyFont="1" applyFill="1" applyBorder="1" applyAlignment="1">
      <alignment horizontal="left" vertical="top" wrapText="1"/>
    </xf>
    <xf numFmtId="43" fontId="18" fillId="25" borderId="55" xfId="0" applyNumberFormat="1" applyFont="1" applyFill="1" applyBorder="1" applyAlignment="1">
      <alignment horizontal="left" vertical="top" wrapText="1"/>
    </xf>
    <xf numFmtId="0" fontId="0" fillId="0" borderId="67" xfId="0" applyBorder="1" applyAlignment="1">
      <alignment vertical="top"/>
    </xf>
    <xf numFmtId="166" fontId="18" fillId="26" borderId="53" xfId="1" applyNumberFormat="1" applyFont="1" applyFill="1" applyBorder="1" applyAlignment="1">
      <alignment horizontal="centerContinuous" vertical="top" wrapText="1"/>
    </xf>
    <xf numFmtId="166" fontId="18" fillId="26" borderId="55" xfId="1" applyNumberFormat="1" applyFont="1" applyFill="1" applyBorder="1" applyAlignment="1">
      <alignment horizontal="centerContinuous" vertical="top" wrapText="1"/>
    </xf>
    <xf numFmtId="0" fontId="19" fillId="2" borderId="4" xfId="0" applyFont="1" applyFill="1" applyBorder="1" applyAlignment="1" applyProtection="1">
      <alignment horizontal="center" vertical="top"/>
      <protection locked="0"/>
    </xf>
    <xf numFmtId="0" fontId="19" fillId="2" borderId="4" xfId="0" applyFont="1" applyFill="1" applyBorder="1" applyAlignment="1" applyProtection="1">
      <alignment vertical="top" wrapText="1"/>
      <protection locked="0"/>
    </xf>
    <xf numFmtId="0" fontId="0" fillId="2" borderId="4" xfId="0" applyFill="1" applyBorder="1" applyAlignment="1" applyProtection="1">
      <alignment vertical="top"/>
      <protection locked="0"/>
    </xf>
    <xf numFmtId="175" fontId="0" fillId="2" borderId="4" xfId="0" applyNumberFormat="1" applyFill="1" applyBorder="1" applyAlignment="1" applyProtection="1">
      <alignment vertical="top"/>
      <protection locked="0"/>
    </xf>
    <xf numFmtId="43" fontId="0" fillId="2" borderId="4" xfId="1" applyFont="1" applyFill="1" applyBorder="1" applyAlignment="1" applyProtection="1">
      <alignment vertical="top"/>
      <protection locked="0"/>
    </xf>
    <xf numFmtId="175" fontId="0" fillId="0" borderId="4" xfId="0" applyNumberFormat="1" applyBorder="1" applyAlignment="1">
      <alignment vertical="top"/>
    </xf>
    <xf numFmtId="175" fontId="19" fillId="2" borderId="4" xfId="0" applyNumberFormat="1" applyFont="1" applyFill="1" applyBorder="1" applyAlignment="1" applyProtection="1">
      <alignment horizontal="center" vertical="top"/>
      <protection locked="0"/>
    </xf>
    <xf numFmtId="2" fontId="0" fillId="0" borderId="4" xfId="0" applyNumberFormat="1" applyBorder="1" applyAlignment="1">
      <alignment vertical="top"/>
    </xf>
    <xf numFmtId="43" fontId="0" fillId="2" borderId="4" xfId="0" applyNumberFormat="1" applyFill="1" applyBorder="1" applyAlignment="1" applyProtection="1">
      <alignment vertical="top"/>
      <protection locked="0"/>
    </xf>
    <xf numFmtId="9" fontId="0" fillId="2" borderId="4" xfId="3" applyFont="1" applyFill="1" applyBorder="1" applyAlignment="1" applyProtection="1">
      <alignment vertical="top"/>
      <protection locked="0"/>
    </xf>
    <xf numFmtId="43" fontId="0" fillId="0" borderId="4" xfId="1" applyFont="1" applyBorder="1" applyAlignment="1">
      <alignment vertical="top"/>
    </xf>
    <xf numFmtId="43" fontId="0" fillId="0" borderId="4" xfId="0" applyNumberFormat="1" applyBorder="1" applyAlignment="1">
      <alignment vertical="top"/>
    </xf>
    <xf numFmtId="43" fontId="20" fillId="0" borderId="4" xfId="0" applyNumberFormat="1" applyFont="1" applyBorder="1" applyAlignment="1">
      <alignment vertical="top"/>
    </xf>
    <xf numFmtId="166" fontId="0" fillId="0" borderId="4" xfId="1" applyNumberFormat="1" applyFont="1" applyBorder="1" applyAlignment="1">
      <alignment vertical="top"/>
    </xf>
    <xf numFmtId="166" fontId="0" fillId="0" borderId="4" xfId="1" quotePrefix="1" applyNumberFormat="1" applyFont="1" applyBorder="1" applyAlignment="1">
      <alignment vertical="top"/>
    </xf>
    <xf numFmtId="166" fontId="20" fillId="0" borderId="4" xfId="1" applyNumberFormat="1" applyFont="1" applyBorder="1" applyAlignment="1">
      <alignment vertical="top"/>
    </xf>
    <xf numFmtId="0" fontId="0" fillId="0" borderId="4" xfId="0" applyBorder="1" applyAlignment="1">
      <alignment vertical="top"/>
    </xf>
    <xf numFmtId="0" fontId="0" fillId="2" borderId="4" xfId="0" applyFill="1" applyBorder="1" applyAlignment="1" applyProtection="1">
      <alignment vertical="top" wrapText="1"/>
      <protection locked="0"/>
    </xf>
    <xf numFmtId="0" fontId="0" fillId="2" borderId="4" xfId="0" applyFill="1" applyBorder="1" applyAlignment="1" applyProtection="1">
      <alignment horizontal="center" vertical="top"/>
      <protection locked="0"/>
    </xf>
    <xf numFmtId="0" fontId="0" fillId="0" borderId="4" xfId="0" applyBorder="1" applyAlignment="1">
      <alignment vertical="top" wrapText="1"/>
    </xf>
    <xf numFmtId="0" fontId="0" fillId="0" borderId="4" xfId="0" applyBorder="1" applyAlignment="1">
      <alignment horizontal="center" vertical="top"/>
    </xf>
    <xf numFmtId="9" fontId="0" fillId="0" borderId="4" xfId="3" applyFont="1" applyBorder="1" applyAlignment="1">
      <alignment vertical="top"/>
    </xf>
    <xf numFmtId="42" fontId="20" fillId="0" borderId="84" xfId="0" applyNumberFormat="1" applyFont="1" applyBorder="1" applyAlignment="1">
      <alignment horizontal="center" vertical="top"/>
    </xf>
    <xf numFmtId="0" fontId="20" fillId="22" borderId="34" xfId="0" applyFont="1" applyFill="1" applyBorder="1" applyAlignment="1">
      <alignment vertical="top" wrapText="1"/>
    </xf>
    <xf numFmtId="0" fontId="20" fillId="22" borderId="34" xfId="0" applyFont="1" applyFill="1" applyBorder="1" applyAlignment="1">
      <alignment vertical="top"/>
    </xf>
    <xf numFmtId="175" fontId="0" fillId="0" borderId="4" xfId="0" applyNumberFormat="1" applyBorder="1" applyAlignment="1">
      <alignment horizontal="center" vertical="top"/>
    </xf>
    <xf numFmtId="41" fontId="0" fillId="0" borderId="4" xfId="0" applyNumberFormat="1" applyBorder="1" applyAlignment="1">
      <alignment vertical="top"/>
    </xf>
    <xf numFmtId="41" fontId="0" fillId="0" borderId="84" xfId="0" applyNumberFormat="1" applyBorder="1" applyAlignment="1">
      <alignment vertical="top"/>
    </xf>
    <xf numFmtId="0" fontId="0" fillId="0" borderId="103" xfId="0" applyBorder="1" applyAlignment="1">
      <alignment vertical="top" wrapText="1"/>
    </xf>
    <xf numFmtId="0" fontId="0" fillId="0" borderId="103" xfId="0" applyBorder="1" applyAlignment="1">
      <alignment vertical="top"/>
    </xf>
    <xf numFmtId="175" fontId="0" fillId="0" borderId="103" xfId="0" applyNumberFormat="1" applyBorder="1" applyAlignment="1">
      <alignment vertical="top"/>
    </xf>
    <xf numFmtId="175" fontId="0" fillId="0" borderId="103" xfId="0" applyNumberFormat="1" applyBorder="1" applyAlignment="1">
      <alignment horizontal="center" vertical="top"/>
    </xf>
    <xf numFmtId="43" fontId="0" fillId="0" borderId="103" xfId="0" applyNumberFormat="1" applyBorder="1" applyAlignment="1">
      <alignment vertical="top"/>
    </xf>
    <xf numFmtId="9" fontId="0" fillId="0" borderId="103" xfId="3" applyFont="1" applyBorder="1" applyAlignment="1">
      <alignment vertical="top"/>
    </xf>
    <xf numFmtId="43" fontId="0" fillId="0" borderId="103" xfId="1" applyFont="1" applyBorder="1" applyAlignment="1">
      <alignment vertical="top"/>
    </xf>
    <xf numFmtId="43" fontId="20" fillId="0" borderId="103" xfId="0" applyNumberFormat="1" applyFont="1" applyBorder="1" applyAlignment="1">
      <alignment vertical="top"/>
    </xf>
    <xf numFmtId="0" fontId="0" fillId="0" borderId="104" xfId="0" applyBorder="1" applyAlignment="1">
      <alignment vertical="top"/>
    </xf>
    <xf numFmtId="166" fontId="0" fillId="0" borderId="88" xfId="1" applyNumberFormat="1" applyFont="1" applyBorder="1" applyAlignment="1">
      <alignment vertical="top"/>
    </xf>
    <xf numFmtId="41" fontId="0" fillId="0" borderId="88" xfId="0" applyNumberFormat="1" applyBorder="1" applyAlignment="1">
      <alignment vertical="top"/>
    </xf>
    <xf numFmtId="5" fontId="0" fillId="0" borderId="0" xfId="0" applyNumberFormat="1"/>
    <xf numFmtId="0" fontId="0" fillId="0" borderId="17" xfId="0" applyBorder="1"/>
    <xf numFmtId="0" fontId="19" fillId="0" borderId="13" xfId="0" applyFont="1" applyBorder="1"/>
    <xf numFmtId="164" fontId="0" fillId="0" borderId="0" xfId="3" applyNumberFormat="1" applyFont="1" applyBorder="1"/>
    <xf numFmtId="0" fontId="20" fillId="27" borderId="0" xfId="0" applyFont="1" applyFill="1"/>
    <xf numFmtId="0" fontId="19" fillId="27" borderId="0" xfId="0" applyFont="1" applyFill="1"/>
    <xf numFmtId="0" fontId="0" fillId="27" borderId="0" xfId="0" applyFill="1"/>
    <xf numFmtId="41" fontId="19" fillId="0" borderId="0" xfId="0" quotePrefix="1" applyNumberFormat="1" applyFont="1"/>
    <xf numFmtId="37" fontId="19" fillId="0" borderId="0" xfId="0" quotePrefix="1" applyNumberFormat="1" applyFont="1"/>
    <xf numFmtId="37" fontId="19" fillId="0" borderId="0" xfId="0" applyNumberFormat="1" applyFont="1"/>
    <xf numFmtId="9" fontId="0" fillId="2" borderId="0" xfId="3" applyFont="1" applyFill="1" applyProtection="1">
      <protection locked="0"/>
    </xf>
    <xf numFmtId="9" fontId="19" fillId="2" borderId="0" xfId="3" applyFont="1" applyFill="1" applyProtection="1">
      <protection locked="0"/>
    </xf>
    <xf numFmtId="41" fontId="19" fillId="0" borderId="0" xfId="0" applyNumberFormat="1" applyFont="1"/>
    <xf numFmtId="37" fontId="0" fillId="0" borderId="0" xfId="0" applyNumberFormat="1"/>
    <xf numFmtId="0" fontId="19" fillId="2" borderId="0" xfId="0" quotePrefix="1" applyFont="1" applyFill="1" applyProtection="1">
      <protection locked="0"/>
    </xf>
    <xf numFmtId="37" fontId="0" fillId="0" borderId="6" xfId="1" applyNumberFormat="1" applyFont="1" applyBorder="1"/>
    <xf numFmtId="166" fontId="0" fillId="0" borderId="6" xfId="1" applyNumberFormat="1" applyFont="1" applyBorder="1"/>
    <xf numFmtId="37" fontId="0" fillId="0" borderId="0" xfId="1" applyNumberFormat="1" applyFont="1" applyBorder="1"/>
    <xf numFmtId="166" fontId="0" fillId="0" borderId="0" xfId="1" applyNumberFormat="1" applyFont="1" applyBorder="1"/>
    <xf numFmtId="37" fontId="0" fillId="0" borderId="0" xfId="1" applyNumberFormat="1" applyFont="1"/>
    <xf numFmtId="0" fontId="19" fillId="28" borderId="0" xfId="0" applyFont="1" applyFill="1"/>
    <xf numFmtId="43" fontId="20" fillId="0" borderId="0" xfId="0" applyNumberFormat="1" applyFont="1" applyAlignment="1">
      <alignment horizontal="center" vertical="top" wrapText="1"/>
    </xf>
    <xf numFmtId="43" fontId="20" fillId="0" borderId="80" xfId="0" applyNumberFormat="1" applyFont="1" applyBorder="1" applyAlignment="1">
      <alignment horizontal="center" vertical="top" wrapText="1"/>
    </xf>
    <xf numFmtId="43" fontId="19" fillId="24" borderId="53" xfId="0" applyNumberFormat="1" applyFont="1" applyFill="1" applyBorder="1" applyAlignment="1">
      <alignment horizontal="center" vertical="top" textRotation="90" wrapText="1"/>
    </xf>
    <xf numFmtId="43" fontId="18" fillId="25" borderId="55" xfId="0" applyNumberFormat="1" applyFont="1" applyFill="1" applyBorder="1" applyAlignment="1">
      <alignment horizontal="center" vertical="top" wrapText="1"/>
    </xf>
    <xf numFmtId="0" fontId="19" fillId="0" borderId="4" xfId="0" applyFont="1" applyBorder="1" applyAlignment="1" applyProtection="1">
      <alignment horizontal="center" vertical="top" wrapText="1"/>
      <protection locked="0"/>
    </xf>
    <xf numFmtId="0" fontId="19" fillId="0" borderId="4" xfId="0" applyFont="1" applyBorder="1" applyAlignment="1" applyProtection="1">
      <alignment vertical="top" wrapText="1"/>
      <protection locked="0"/>
    </xf>
    <xf numFmtId="0" fontId="20" fillId="29" borderId="22" xfId="0" applyFont="1" applyFill="1" applyBorder="1" applyAlignment="1">
      <alignment vertical="top" wrapText="1"/>
    </xf>
    <xf numFmtId="0" fontId="20" fillId="29" borderId="4" xfId="0" applyFont="1" applyFill="1" applyBorder="1" applyAlignment="1">
      <alignment vertical="top" wrapText="1"/>
    </xf>
    <xf numFmtId="0" fontId="0" fillId="0" borderId="4" xfId="0" applyBorder="1" applyAlignment="1">
      <alignment horizontal="center" vertical="top" wrapText="1"/>
    </xf>
    <xf numFmtId="0" fontId="0" fillId="0" borderId="4" xfId="0" applyBorder="1" applyAlignment="1" applyProtection="1">
      <alignment horizontal="center" vertical="top" wrapText="1"/>
      <protection locked="0"/>
    </xf>
    <xf numFmtId="0" fontId="0" fillId="0" borderId="4" xfId="0" applyBorder="1" applyAlignment="1" applyProtection="1">
      <alignment vertical="top" wrapText="1"/>
      <protection locked="0"/>
    </xf>
    <xf numFmtId="0" fontId="20" fillId="29" borderId="55" xfId="0" applyFont="1" applyFill="1" applyBorder="1" applyAlignment="1">
      <alignment vertical="top"/>
    </xf>
    <xf numFmtId="0" fontId="20" fillId="0" borderId="34" xfId="0" applyFont="1" applyBorder="1" applyAlignment="1">
      <alignment vertical="top"/>
    </xf>
    <xf numFmtId="0" fontId="20" fillId="29" borderId="55" xfId="0" applyFont="1" applyFill="1" applyBorder="1"/>
    <xf numFmtId="0" fontId="19" fillId="2" borderId="4" xfId="0" applyFont="1" applyFill="1" applyBorder="1" applyAlignment="1" applyProtection="1">
      <alignment vertical="top"/>
      <protection locked="0"/>
    </xf>
    <xf numFmtId="0" fontId="0" fillId="0" borderId="103" xfId="0" applyBorder="1" applyAlignment="1">
      <alignment horizontal="center" vertical="top" wrapText="1"/>
    </xf>
    <xf numFmtId="166" fontId="19" fillId="0" borderId="0" xfId="1" quotePrefix="1" applyNumberFormat="1" applyFont="1" applyAlignment="1">
      <alignment vertical="top"/>
    </xf>
    <xf numFmtId="175" fontId="0" fillId="8" borderId="4" xfId="0" applyNumberFormat="1" applyFill="1" applyBorder="1" applyAlignment="1" applyProtection="1">
      <alignment vertical="top"/>
      <protection locked="0"/>
    </xf>
    <xf numFmtId="43" fontId="0" fillId="8" borderId="4" xfId="1" applyFont="1" applyFill="1" applyBorder="1" applyAlignment="1" applyProtection="1">
      <alignment vertical="top"/>
      <protection locked="0"/>
    </xf>
    <xf numFmtId="43" fontId="19" fillId="2" borderId="4" xfId="0" applyNumberFormat="1" applyFont="1" applyFill="1" applyBorder="1" applyAlignment="1" applyProtection="1">
      <alignment horizontal="center" vertical="top"/>
      <protection locked="0"/>
    </xf>
    <xf numFmtId="175" fontId="20" fillId="0" borderId="0" xfId="0" applyNumberFormat="1" applyFont="1" applyAlignment="1">
      <alignment vertical="top"/>
    </xf>
    <xf numFmtId="0" fontId="0" fillId="0" borderId="80" xfId="0" applyBorder="1"/>
    <xf numFmtId="0" fontId="19" fillId="0" borderId="53" xfId="0" applyFont="1" applyBorder="1" applyAlignment="1">
      <alignment horizontal="center"/>
    </xf>
    <xf numFmtId="0" fontId="19" fillId="0" borderId="41" xfId="0" applyFont="1" applyBorder="1" applyAlignment="1">
      <alignment horizontal="center"/>
    </xf>
    <xf numFmtId="0" fontId="19" fillId="0" borderId="54" xfId="0" applyFont="1" applyBorder="1" applyAlignment="1">
      <alignment horizontal="center"/>
    </xf>
    <xf numFmtId="0" fontId="0" fillId="21" borderId="0" xfId="0" applyFill="1"/>
    <xf numFmtId="0" fontId="19" fillId="0" borderId="80" xfId="0" applyFont="1" applyBorder="1"/>
    <xf numFmtId="0" fontId="0" fillId="2" borderId="0" xfId="0" applyFill="1" applyAlignment="1">
      <alignment horizontal="center"/>
    </xf>
    <xf numFmtId="0" fontId="19" fillId="2" borderId="0" xfId="0" applyFont="1" applyFill="1"/>
    <xf numFmtId="0" fontId="0" fillId="2" borderId="0" xfId="0" applyFill="1"/>
    <xf numFmtId="0" fontId="19" fillId="2" borderId="0" xfId="0" quotePrefix="1" applyFont="1" applyFill="1"/>
    <xf numFmtId="0" fontId="20" fillId="0" borderId="0" xfId="0" applyFont="1" applyAlignment="1">
      <alignment horizontal="center" vertical="center"/>
    </xf>
    <xf numFmtId="0" fontId="72" fillId="0" borderId="0" xfId="0" applyFont="1" applyAlignment="1">
      <alignment horizontal="center" vertical="center"/>
    </xf>
    <xf numFmtId="0" fontId="72" fillId="0" borderId="0" xfId="0" applyFont="1" applyAlignment="1">
      <alignment horizontal="center"/>
    </xf>
    <xf numFmtId="0" fontId="72" fillId="0" borderId="0" xfId="0" applyFont="1" applyAlignment="1">
      <alignment horizontal="center" wrapText="1"/>
    </xf>
    <xf numFmtId="0" fontId="72" fillId="0" borderId="0" xfId="0" applyFont="1" applyAlignment="1">
      <alignment horizontal="left"/>
    </xf>
    <xf numFmtId="14" fontId="0" fillId="0" borderId="4" xfId="0" applyNumberFormat="1" applyBorder="1" applyAlignment="1">
      <alignment horizontal="center" vertical="center"/>
    </xf>
    <xf numFmtId="0" fontId="0" fillId="0" borderId="4" xfId="0" applyBorder="1"/>
    <xf numFmtId="0" fontId="0" fillId="0" borderId="4" xfId="0" applyBorder="1" applyAlignment="1">
      <alignment horizontal="center" vertical="center"/>
    </xf>
    <xf numFmtId="0" fontId="0" fillId="0" borderId="4" xfId="0" applyBorder="1" applyAlignment="1">
      <alignment horizontal="left" vertical="center" wrapText="1"/>
    </xf>
    <xf numFmtId="14" fontId="0" fillId="0" borderId="1" xfId="0" applyNumberForma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14" fontId="0" fillId="0" borderId="4" xfId="0" applyNumberFormat="1" applyBorder="1" applyAlignment="1">
      <alignment horizontal="center" vertical="center" wrapText="1"/>
    </xf>
    <xf numFmtId="0" fontId="0" fillId="0" borderId="4" xfId="0" applyBorder="1" applyAlignment="1">
      <alignment horizontal="center" vertical="center" wrapText="1"/>
    </xf>
    <xf numFmtId="14" fontId="0" fillId="0" borderId="1" xfId="0" applyNumberFormat="1"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4" xfId="0" applyBorder="1" applyAlignment="1">
      <alignment horizontal="left"/>
    </xf>
    <xf numFmtId="0" fontId="19" fillId="0" borderId="4" xfId="0" applyFont="1" applyBorder="1"/>
    <xf numFmtId="0" fontId="19" fillId="0" borderId="4" xfId="0" applyFont="1" applyBorder="1" applyAlignment="1">
      <alignment horizontal="left" vertical="center" wrapText="1"/>
    </xf>
    <xf numFmtId="14" fontId="0" fillId="0" borderId="3" xfId="0" applyNumberFormat="1" applyBorder="1" applyAlignment="1">
      <alignment horizontal="center" vertical="center" wrapText="1"/>
    </xf>
    <xf numFmtId="14" fontId="0" fillId="0" borderId="2" xfId="0" applyNumberFormat="1" applyBorder="1" applyAlignment="1">
      <alignment horizontal="center" vertical="center" wrapText="1"/>
    </xf>
    <xf numFmtId="0" fontId="19" fillId="0" borderId="4" xfId="0" applyFont="1" applyBorder="1" applyAlignment="1">
      <alignment vertical="center"/>
    </xf>
    <xf numFmtId="0" fontId="19" fillId="0" borderId="4" xfId="0" applyFont="1" applyBorder="1" applyAlignment="1">
      <alignment vertical="center" wrapText="1"/>
    </xf>
    <xf numFmtId="0" fontId="19" fillId="0" borderId="4" xfId="0" applyFont="1" applyBorder="1" applyAlignment="1">
      <alignment wrapText="1"/>
    </xf>
    <xf numFmtId="0" fontId="0" fillId="0" borderId="4" xfId="0" applyBorder="1" applyAlignment="1">
      <alignment vertical="center"/>
    </xf>
    <xf numFmtId="14" fontId="0" fillId="2" borderId="4" xfId="0" applyNumberFormat="1" applyFill="1" applyBorder="1" applyAlignment="1" applyProtection="1">
      <alignment horizontal="center" vertical="center"/>
      <protection locked="0"/>
    </xf>
    <xf numFmtId="0" fontId="0" fillId="2" borderId="4" xfId="0" applyFill="1" applyBorder="1" applyProtection="1">
      <protection locked="0"/>
    </xf>
    <xf numFmtId="14" fontId="0" fillId="30" borderId="4" xfId="0" applyNumberFormat="1" applyFill="1" applyBorder="1" applyAlignment="1" applyProtection="1">
      <alignment horizontal="center" vertical="center"/>
      <protection locked="0"/>
    </xf>
    <xf numFmtId="0" fontId="19" fillId="30" borderId="4" xfId="0" applyFont="1" applyFill="1" applyBorder="1" applyAlignment="1" applyProtection="1">
      <alignment wrapText="1"/>
      <protection locked="0"/>
    </xf>
    <xf numFmtId="0" fontId="0" fillId="30" borderId="4" xfId="0" applyFill="1" applyBorder="1" applyProtection="1">
      <protection locked="0"/>
    </xf>
    <xf numFmtId="0" fontId="19" fillId="2" borderId="4" xfId="0" applyFont="1" applyFill="1" applyBorder="1" applyProtection="1">
      <protection locked="0"/>
    </xf>
    <xf numFmtId="0" fontId="19" fillId="2" borderId="4" xfId="0" applyFont="1" applyFill="1" applyBorder="1" applyAlignment="1">
      <alignment wrapText="1"/>
    </xf>
    <xf numFmtId="14" fontId="19" fillId="2" borderId="4" xfId="0" applyNumberFormat="1" applyFont="1" applyFill="1" applyBorder="1" applyAlignment="1" applyProtection="1">
      <alignment horizontal="center" vertical="center"/>
      <protection locked="0"/>
    </xf>
    <xf numFmtId="0" fontId="19" fillId="2" borderId="4" xfId="0" quotePrefix="1" applyFont="1" applyFill="1" applyBorder="1" applyAlignment="1" applyProtection="1">
      <alignment wrapText="1"/>
      <protection locked="0"/>
    </xf>
    <xf numFmtId="166" fontId="19" fillId="0" borderId="23" xfId="1" applyNumberFormat="1" applyBorder="1" applyAlignment="1">
      <alignment horizontal="center"/>
    </xf>
    <xf numFmtId="0" fontId="24" fillId="0" borderId="8" xfId="4" applyFont="1" applyBorder="1" applyProtection="1">
      <protection locked="0"/>
    </xf>
    <xf numFmtId="5" fontId="24" fillId="0" borderId="0" xfId="4" applyNumberFormat="1" applyFont="1" applyAlignment="1">
      <alignment horizontal="center"/>
    </xf>
    <xf numFmtId="0" fontId="24" fillId="0" borderId="0" xfId="4" applyFont="1" applyAlignment="1">
      <alignment horizontal="left"/>
    </xf>
    <xf numFmtId="15" fontId="34" fillId="0" borderId="0" xfId="4" applyNumberFormat="1" applyFont="1" applyAlignment="1">
      <alignment horizontal="center"/>
    </xf>
    <xf numFmtId="15" fontId="34" fillId="0" borderId="0" xfId="4" applyNumberFormat="1" applyFont="1" applyAlignment="1">
      <alignment horizontal="left"/>
    </xf>
    <xf numFmtId="170" fontId="36" fillId="0" borderId="0" xfId="2" applyNumberFormat="1" applyFont="1" applyBorder="1"/>
    <xf numFmtId="0" fontId="34" fillId="0" borderId="11" xfId="4" applyFont="1" applyBorder="1"/>
    <xf numFmtId="43" fontId="20" fillId="0" borderId="0" xfId="0" applyNumberFormat="1" applyFont="1" applyAlignment="1">
      <alignment horizontal="center" vertical="top"/>
    </xf>
    <xf numFmtId="43" fontId="20" fillId="0" borderId="80" xfId="0" applyNumberFormat="1" applyFont="1" applyBorder="1" applyAlignment="1">
      <alignment horizontal="center" vertical="top"/>
    </xf>
    <xf numFmtId="0" fontId="24" fillId="0" borderId="0" xfId="0" applyFont="1" applyAlignment="1">
      <alignment vertical="top" wrapText="1"/>
    </xf>
    <xf numFmtId="0" fontId="0" fillId="0" borderId="84" xfId="0" applyBorder="1" applyAlignment="1">
      <alignment vertical="top" wrapText="1"/>
    </xf>
    <xf numFmtId="0" fontId="0" fillId="0" borderId="83" xfId="0" applyBorder="1" applyAlignment="1">
      <alignment vertical="top" wrapText="1"/>
    </xf>
    <xf numFmtId="0" fontId="0" fillId="0" borderId="67" xfId="0" applyBorder="1" applyAlignment="1">
      <alignment vertical="top" wrapText="1"/>
    </xf>
    <xf numFmtId="0" fontId="19" fillId="2" borderId="4" xfId="0" applyFont="1" applyFill="1" applyBorder="1" applyAlignment="1" applyProtection="1">
      <alignment horizontal="center" vertical="top" wrapText="1"/>
      <protection locked="0"/>
    </xf>
    <xf numFmtId="175" fontId="0" fillId="2" borderId="4" xfId="0" applyNumberFormat="1" applyFill="1" applyBorder="1" applyAlignment="1" applyProtection="1">
      <alignment vertical="top" wrapText="1"/>
      <protection locked="0"/>
    </xf>
    <xf numFmtId="43" fontId="0" fillId="2" borderId="4" xfId="1" applyFont="1" applyFill="1" applyBorder="1" applyAlignment="1" applyProtection="1">
      <alignment vertical="top" wrapText="1"/>
      <protection locked="0"/>
    </xf>
    <xf numFmtId="175" fontId="0" fillId="0" borderId="4" xfId="0" applyNumberFormat="1" applyBorder="1" applyAlignment="1">
      <alignment vertical="top" wrapText="1"/>
    </xf>
    <xf numFmtId="2" fontId="0" fillId="0" borderId="4" xfId="0" applyNumberFormat="1" applyBorder="1" applyAlignment="1">
      <alignment vertical="top" wrapText="1"/>
    </xf>
    <xf numFmtId="43" fontId="0" fillId="2" borderId="4" xfId="0" applyNumberFormat="1" applyFill="1" applyBorder="1" applyAlignment="1" applyProtection="1">
      <alignment vertical="top" wrapText="1"/>
      <protection locked="0"/>
    </xf>
    <xf numFmtId="43" fontId="0" fillId="0" borderId="4" xfId="1" applyFont="1" applyBorder="1" applyAlignment="1">
      <alignment vertical="top" wrapText="1"/>
    </xf>
    <xf numFmtId="43" fontId="0" fillId="0" borderId="4" xfId="0" applyNumberFormat="1" applyBorder="1" applyAlignment="1">
      <alignment vertical="top" wrapText="1"/>
    </xf>
    <xf numFmtId="43" fontId="20" fillId="0" borderId="4" xfId="0" applyNumberFormat="1" applyFont="1" applyBorder="1" applyAlignment="1">
      <alignment vertical="top" wrapText="1"/>
    </xf>
    <xf numFmtId="42" fontId="20" fillId="0" borderId="84" xfId="0" applyNumberFormat="1" applyFont="1" applyBorder="1" applyAlignment="1">
      <alignment horizontal="center" vertical="top" wrapText="1"/>
    </xf>
    <xf numFmtId="0" fontId="0" fillId="0" borderId="0" xfId="0" applyAlignment="1">
      <alignment horizontal="center" vertical="top" wrapText="1"/>
    </xf>
    <xf numFmtId="41" fontId="0" fillId="0" borderId="84" xfId="0" applyNumberFormat="1" applyBorder="1" applyAlignment="1">
      <alignment vertical="top" wrapText="1"/>
    </xf>
    <xf numFmtId="0" fontId="0" fillId="0" borderId="87" xfId="0" applyBorder="1" applyAlignment="1">
      <alignment vertical="top" wrapText="1"/>
    </xf>
    <xf numFmtId="0" fontId="0" fillId="0" borderId="88" xfId="0" applyBorder="1" applyAlignment="1">
      <alignment vertical="top" wrapText="1"/>
    </xf>
    <xf numFmtId="175" fontId="0" fillId="0" borderId="103" xfId="0" applyNumberFormat="1" applyBorder="1" applyAlignment="1">
      <alignment vertical="top" wrapText="1"/>
    </xf>
    <xf numFmtId="175" fontId="0" fillId="0" borderId="103" xfId="0" applyNumberFormat="1" applyBorder="1" applyAlignment="1">
      <alignment horizontal="center" vertical="top" wrapText="1"/>
    </xf>
    <xf numFmtId="43" fontId="0" fillId="0" borderId="103" xfId="0" applyNumberFormat="1" applyBorder="1" applyAlignment="1">
      <alignment vertical="top" wrapText="1"/>
    </xf>
    <xf numFmtId="9" fontId="0" fillId="0" borderId="103" xfId="3" applyFont="1" applyBorder="1" applyAlignment="1">
      <alignment vertical="top" wrapText="1"/>
    </xf>
    <xf numFmtId="43" fontId="0" fillId="0" borderId="103" xfId="1" applyFont="1" applyBorder="1" applyAlignment="1">
      <alignment vertical="top" wrapText="1"/>
    </xf>
    <xf numFmtId="43" fontId="20" fillId="0" borderId="103" xfId="0" applyNumberFormat="1" applyFont="1" applyBorder="1" applyAlignment="1">
      <alignment vertical="top" wrapText="1"/>
    </xf>
    <xf numFmtId="0" fontId="0" fillId="0" borderId="104" xfId="0" applyBorder="1" applyAlignment="1">
      <alignment vertical="top" wrapText="1"/>
    </xf>
    <xf numFmtId="0" fontId="0" fillId="0" borderId="89" xfId="0" applyBorder="1" applyAlignment="1">
      <alignment vertical="top" wrapText="1"/>
    </xf>
    <xf numFmtId="175" fontId="0" fillId="0" borderId="0" xfId="0" applyNumberFormat="1" applyAlignment="1">
      <alignment vertical="top" wrapText="1"/>
    </xf>
    <xf numFmtId="175" fontId="0" fillId="0" borderId="0" xfId="0" applyNumberFormat="1" applyAlignment="1">
      <alignment horizontal="center" vertical="top" wrapText="1"/>
    </xf>
    <xf numFmtId="43" fontId="0" fillId="0" borderId="0" xfId="0" applyNumberFormat="1" applyAlignment="1">
      <alignment vertical="top" wrapText="1"/>
    </xf>
    <xf numFmtId="9" fontId="0" fillId="0" borderId="0" xfId="3" applyFont="1" applyAlignment="1">
      <alignment vertical="top" wrapText="1"/>
    </xf>
    <xf numFmtId="43" fontId="0" fillId="0" borderId="0" xfId="1" applyFont="1" applyAlignment="1">
      <alignment vertical="top" wrapText="1"/>
    </xf>
    <xf numFmtId="0" fontId="20" fillId="29" borderId="55" xfId="0" applyFont="1" applyFill="1" applyBorder="1" applyAlignment="1">
      <alignment horizontal="left" vertical="top" wrapText="1"/>
    </xf>
    <xf numFmtId="0" fontId="19" fillId="2" borderId="4" xfId="0" applyFont="1" applyFill="1" applyBorder="1" applyAlignment="1" applyProtection="1">
      <alignment horizontal="left" vertical="top"/>
      <protection locked="0"/>
    </xf>
    <xf numFmtId="0" fontId="0" fillId="0" borderId="4" xfId="0" applyBorder="1" applyAlignment="1">
      <alignment horizontal="left" vertical="top" wrapText="1"/>
    </xf>
    <xf numFmtId="0" fontId="0" fillId="2" borderId="4" xfId="0" applyFill="1" applyBorder="1" applyAlignment="1" applyProtection="1">
      <alignment horizontal="left" vertical="top"/>
      <protection locked="0"/>
    </xf>
    <xf numFmtId="0" fontId="19" fillId="2" borderId="4" xfId="0" applyFont="1" applyFill="1" applyBorder="1" applyAlignment="1" applyProtection="1">
      <alignment horizontal="left" vertical="top" wrapText="1"/>
      <protection locked="0"/>
    </xf>
    <xf numFmtId="0" fontId="42" fillId="0" borderId="14" xfId="8" applyFont="1" applyBorder="1"/>
    <xf numFmtId="0" fontId="43" fillId="7" borderId="14" xfId="8" applyFont="1" applyFill="1" applyBorder="1"/>
    <xf numFmtId="0" fontId="43" fillId="0" borderId="14" xfId="8" applyFont="1" applyBorder="1"/>
    <xf numFmtId="0" fontId="40" fillId="0" borderId="14" xfId="8" applyBorder="1"/>
    <xf numFmtId="0" fontId="40" fillId="0" borderId="38" xfId="8" applyBorder="1"/>
    <xf numFmtId="0" fontId="40" fillId="0" borderId="39" xfId="8" applyBorder="1"/>
    <xf numFmtId="0" fontId="42" fillId="0" borderId="38" xfId="8" applyFont="1" applyBorder="1"/>
    <xf numFmtId="0" fontId="42" fillId="0" borderId="39" xfId="8" applyFont="1" applyBorder="1" applyAlignment="1">
      <alignment horizontal="center"/>
    </xf>
    <xf numFmtId="0" fontId="43" fillId="7" borderId="38" xfId="8" applyFont="1" applyFill="1" applyBorder="1"/>
    <xf numFmtId="0" fontId="43" fillId="0" borderId="38" xfId="8" applyFont="1" applyBorder="1"/>
    <xf numFmtId="0" fontId="41" fillId="0" borderId="38" xfId="8" applyFont="1" applyBorder="1"/>
    <xf numFmtId="0" fontId="43" fillId="7" borderId="39" xfId="8" applyFont="1" applyFill="1" applyBorder="1" applyAlignment="1">
      <alignment wrapText="1"/>
    </xf>
    <xf numFmtId="0" fontId="44" fillId="0" borderId="14" xfId="8" applyFont="1" applyBorder="1"/>
    <xf numFmtId="0" fontId="42" fillId="0" borderId="4" xfId="8" applyFont="1" applyBorder="1" applyAlignment="1">
      <alignment horizontal="left" textRotation="59"/>
    </xf>
    <xf numFmtId="0" fontId="43" fillId="7" borderId="39" xfId="8" applyFont="1" applyFill="1" applyBorder="1" applyAlignment="1" applyProtection="1">
      <alignment wrapText="1"/>
      <protection locked="0"/>
    </xf>
    <xf numFmtId="0" fontId="43" fillId="0" borderId="39" xfId="8" applyFont="1" applyBorder="1" applyAlignment="1" applyProtection="1">
      <alignment wrapText="1"/>
      <protection locked="0"/>
    </xf>
    <xf numFmtId="0" fontId="16" fillId="31" borderId="0" xfId="17" applyFont="1" applyFill="1" applyAlignment="1">
      <alignment horizontal="centerContinuous" vertical="top"/>
    </xf>
    <xf numFmtId="0" fontId="18" fillId="31" borderId="0" xfId="17" applyFont="1" applyFill="1" applyAlignment="1">
      <alignment horizontal="centerContinuous" vertical="top"/>
    </xf>
    <xf numFmtId="0" fontId="18" fillId="31" borderId="0" xfId="17" applyFont="1" applyFill="1" applyAlignment="1">
      <alignment horizontal="left" vertical="top"/>
    </xf>
    <xf numFmtId="49" fontId="28" fillId="31" borderId="0" xfId="18" applyNumberFormat="1" applyFont="1" applyFill="1" applyBorder="1" applyAlignment="1" applyProtection="1">
      <alignment horizontal="right" vertical="top"/>
    </xf>
    <xf numFmtId="0" fontId="26" fillId="0" borderId="0" xfId="20" applyFont="1" applyAlignment="1">
      <alignment vertical="top"/>
    </xf>
    <xf numFmtId="0" fontId="74" fillId="0" borderId="0" xfId="20" applyAlignment="1">
      <alignment vertical="top"/>
    </xf>
    <xf numFmtId="0" fontId="76" fillId="31" borderId="0" xfId="21" applyFont="1" applyFill="1" applyAlignment="1">
      <alignment horizontal="centerContinuous" vertical="top"/>
    </xf>
    <xf numFmtId="0" fontId="77" fillId="31" borderId="0" xfId="21" applyFont="1" applyFill="1" applyAlignment="1">
      <alignment horizontal="centerContinuous" vertical="top"/>
    </xf>
    <xf numFmtId="49" fontId="78" fillId="31" borderId="0" xfId="21" applyNumberFormat="1" applyFont="1" applyFill="1" applyAlignment="1">
      <alignment horizontal="centerContinuous" vertical="top"/>
    </xf>
    <xf numFmtId="15" fontId="75" fillId="31" borderId="0" xfId="17" applyNumberFormat="1" applyFont="1" applyFill="1" applyAlignment="1">
      <alignment horizontal="left" vertical="top"/>
    </xf>
    <xf numFmtId="49" fontId="78" fillId="31" borderId="15" xfId="21" applyNumberFormat="1" applyFont="1" applyFill="1" applyBorder="1" applyAlignment="1">
      <alignment horizontal="centerContinuous" vertical="top"/>
    </xf>
    <xf numFmtId="0" fontId="75" fillId="31" borderId="13" xfId="21" applyFont="1" applyFill="1" applyBorder="1" applyAlignment="1">
      <alignment vertical="top"/>
    </xf>
    <xf numFmtId="0" fontId="74" fillId="0" borderId="13" xfId="20" applyBorder="1" applyAlignment="1">
      <alignment vertical="top"/>
    </xf>
    <xf numFmtId="49" fontId="28" fillId="31" borderId="13" xfId="18" applyNumberFormat="1" applyFont="1" applyFill="1" applyBorder="1" applyAlignment="1" applyProtection="1">
      <alignment horizontal="right" vertical="top"/>
    </xf>
    <xf numFmtId="0" fontId="75" fillId="31" borderId="13" xfId="19" applyNumberFormat="1" applyFont="1" applyFill="1" applyBorder="1" applyAlignment="1" applyProtection="1">
      <alignment horizontal="left" vertical="top"/>
    </xf>
    <xf numFmtId="15" fontId="75" fillId="31" borderId="18" xfId="17" applyNumberFormat="1" applyFont="1" applyFill="1" applyBorder="1" applyAlignment="1">
      <alignment horizontal="left" vertical="top"/>
    </xf>
    <xf numFmtId="0" fontId="75" fillId="31" borderId="0" xfId="21" applyFont="1" applyFill="1" applyAlignment="1">
      <alignment vertical="top"/>
    </xf>
    <xf numFmtId="0" fontId="75" fillId="31" borderId="0" xfId="21" applyFont="1" applyFill="1" applyAlignment="1">
      <alignment horizontal="left" vertical="top"/>
    </xf>
    <xf numFmtId="15" fontId="75" fillId="31" borderId="0" xfId="19" applyNumberFormat="1" applyFont="1" applyFill="1" applyBorder="1" applyAlignment="1" applyProtection="1">
      <alignment horizontal="left" vertical="top"/>
    </xf>
    <xf numFmtId="0" fontId="28" fillId="31" borderId="0" xfId="17" applyFont="1" applyFill="1" applyAlignment="1">
      <alignment horizontal="right" vertical="top"/>
    </xf>
    <xf numFmtId="15" fontId="75" fillId="31" borderId="35" xfId="17" applyNumberFormat="1" applyFont="1" applyFill="1" applyBorder="1" applyAlignment="1">
      <alignment horizontal="left" vertical="top"/>
    </xf>
    <xf numFmtId="0" fontId="75" fillId="31" borderId="15" xfId="21" applyFont="1" applyFill="1" applyBorder="1" applyAlignment="1">
      <alignment vertical="top"/>
    </xf>
    <xf numFmtId="0" fontId="75" fillId="31" borderId="15" xfId="21" applyFont="1" applyFill="1" applyBorder="1" applyAlignment="1">
      <alignment horizontal="left" vertical="top"/>
    </xf>
    <xf numFmtId="0" fontId="75" fillId="31" borderId="57" xfId="17" applyFont="1" applyFill="1" applyBorder="1" applyAlignment="1">
      <alignment horizontal="left" vertical="top"/>
    </xf>
    <xf numFmtId="0" fontId="28" fillId="32" borderId="92" xfId="21" applyFont="1" applyFill="1" applyBorder="1" applyAlignment="1">
      <alignment horizontal="left" vertical="top"/>
    </xf>
    <xf numFmtId="0" fontId="28" fillId="32" borderId="15" xfId="21" applyFont="1" applyFill="1" applyBorder="1" applyAlignment="1">
      <alignment horizontal="left" vertical="top"/>
    </xf>
    <xf numFmtId="0" fontId="24" fillId="32" borderId="41" xfId="21" applyFont="1" applyFill="1" applyBorder="1" applyAlignment="1">
      <alignment vertical="top"/>
    </xf>
    <xf numFmtId="0" fontId="24" fillId="32" borderId="15" xfId="21" applyFont="1" applyFill="1" applyBorder="1" applyAlignment="1">
      <alignment vertical="top"/>
    </xf>
    <xf numFmtId="0" fontId="28" fillId="32" borderId="41" xfId="21" applyFont="1" applyFill="1" applyBorder="1" applyAlignment="1">
      <alignment vertical="top"/>
    </xf>
    <xf numFmtId="166" fontId="28" fillId="32" borderId="41" xfId="18" applyNumberFormat="1" applyFont="1" applyFill="1" applyBorder="1" applyAlignment="1" applyProtection="1">
      <alignment vertical="top"/>
    </xf>
    <xf numFmtId="0" fontId="28" fillId="32" borderId="54" xfId="21" applyFont="1" applyFill="1" applyBorder="1" applyAlignment="1">
      <alignment vertical="top"/>
    </xf>
    <xf numFmtId="0" fontId="74" fillId="0" borderId="105" xfId="20" applyBorder="1" applyAlignment="1">
      <alignment vertical="top"/>
    </xf>
    <xf numFmtId="0" fontId="74" fillId="0" borderId="14" xfId="20" applyBorder="1" applyAlignment="1">
      <alignment vertical="top"/>
    </xf>
    <xf numFmtId="170" fontId="18" fillId="0" borderId="4" xfId="22" applyNumberFormat="1" applyFont="1" applyBorder="1" applyAlignment="1">
      <alignment vertical="top"/>
    </xf>
    <xf numFmtId="0" fontId="18" fillId="0" borderId="106" xfId="20" applyFont="1" applyBorder="1" applyAlignment="1">
      <alignment vertical="top"/>
    </xf>
    <xf numFmtId="0" fontId="18" fillId="0" borderId="6" xfId="20" applyFont="1" applyBorder="1" applyAlignment="1">
      <alignment vertical="top"/>
    </xf>
    <xf numFmtId="170" fontId="26" fillId="0" borderId="1" xfId="22" applyNumberFormat="1" applyFont="1" applyBorder="1" applyAlignment="1">
      <alignment vertical="top"/>
    </xf>
    <xf numFmtId="0" fontId="74" fillId="0" borderId="6" xfId="20" applyBorder="1" applyAlignment="1">
      <alignment vertical="top"/>
    </xf>
    <xf numFmtId="0" fontId="18" fillId="0" borderId="6" xfId="20" applyFont="1" applyBorder="1" applyAlignment="1">
      <alignment horizontal="center" vertical="top"/>
    </xf>
    <xf numFmtId="0" fontId="19" fillId="0" borderId="34" xfId="20" applyFont="1" applyBorder="1" applyAlignment="1">
      <alignment vertical="top"/>
    </xf>
    <xf numFmtId="0" fontId="24" fillId="0" borderId="0" xfId="20" applyFont="1" applyAlignment="1">
      <alignment vertical="top"/>
    </xf>
    <xf numFmtId="170" fontId="26" fillId="0" borderId="2" xfId="22" applyNumberFormat="1" applyFont="1" applyBorder="1" applyAlignment="1">
      <alignment vertical="top"/>
    </xf>
    <xf numFmtId="170" fontId="26" fillId="0" borderId="3" xfId="22" applyNumberFormat="1" applyFont="1" applyBorder="1" applyAlignment="1">
      <alignment vertical="top"/>
    </xf>
    <xf numFmtId="0" fontId="24" fillId="0" borderId="29" xfId="20" applyFont="1" applyBorder="1" applyAlignment="1">
      <alignment vertical="top"/>
    </xf>
    <xf numFmtId="0" fontId="24" fillId="0" borderId="11" xfId="20" applyFont="1" applyBorder="1" applyAlignment="1">
      <alignment vertical="top"/>
    </xf>
    <xf numFmtId="0" fontId="74" fillId="0" borderId="11" xfId="20" applyBorder="1" applyAlignment="1">
      <alignment vertical="top"/>
    </xf>
    <xf numFmtId="164" fontId="26" fillId="0" borderId="21" xfId="19" applyNumberFormat="1" applyFont="1" applyBorder="1" applyAlignment="1">
      <alignment vertical="top"/>
    </xf>
    <xf numFmtId="0" fontId="18" fillId="0" borderId="34" xfId="20" applyFont="1" applyBorder="1" applyAlignment="1">
      <alignment vertical="top"/>
    </xf>
    <xf numFmtId="0" fontId="18" fillId="0" borderId="0" xfId="20" applyFont="1" applyAlignment="1">
      <alignment vertical="top"/>
    </xf>
    <xf numFmtId="164" fontId="26" fillId="0" borderId="35" xfId="19" applyNumberFormat="1" applyFont="1" applyBorder="1" applyAlignment="1">
      <alignment vertical="top"/>
    </xf>
    <xf numFmtId="0" fontId="18" fillId="0" borderId="0" xfId="20" applyFont="1" applyAlignment="1">
      <alignment horizontal="center" vertical="top"/>
    </xf>
    <xf numFmtId="0" fontId="74" fillId="0" borderId="35" xfId="20" applyBorder="1" applyAlignment="1">
      <alignment vertical="top"/>
    </xf>
    <xf numFmtId="0" fontId="19" fillId="0" borderId="8" xfId="20" applyFont="1" applyBorder="1" applyAlignment="1">
      <alignment vertical="top"/>
    </xf>
    <xf numFmtId="170" fontId="18" fillId="0" borderId="9" xfId="22" applyNumberFormat="1" applyFont="1" applyBorder="1" applyAlignment="1">
      <alignment vertical="top"/>
    </xf>
    <xf numFmtId="170" fontId="18" fillId="0" borderId="0" xfId="22" applyNumberFormat="1" applyFont="1" applyBorder="1" applyAlignment="1">
      <alignment vertical="top"/>
    </xf>
    <xf numFmtId="170" fontId="26" fillId="0" borderId="2" xfId="22" quotePrefix="1" applyNumberFormat="1" applyFont="1" applyBorder="1" applyAlignment="1">
      <alignment vertical="top"/>
    </xf>
    <xf numFmtId="170" fontId="18" fillId="0" borderId="4" xfId="20" applyNumberFormat="1" applyFont="1" applyBorder="1" applyAlignment="1">
      <alignment vertical="top"/>
    </xf>
    <xf numFmtId="170" fontId="18" fillId="0" borderId="11" xfId="20" applyNumberFormat="1" applyFont="1" applyBorder="1" applyAlignment="1">
      <alignment vertical="top"/>
    </xf>
    <xf numFmtId="0" fontId="74" fillId="0" borderId="29" xfId="20" applyBorder="1" applyAlignment="1">
      <alignment vertical="top"/>
    </xf>
    <xf numFmtId="0" fontId="74" fillId="0" borderId="21" xfId="20" applyBorder="1" applyAlignment="1">
      <alignment vertical="top"/>
    </xf>
    <xf numFmtId="170" fontId="18" fillId="0" borderId="2" xfId="22" applyNumberFormat="1" applyFont="1" applyBorder="1" applyAlignment="1">
      <alignment vertical="top"/>
    </xf>
    <xf numFmtId="0" fontId="24" fillId="0" borderId="34" xfId="20" applyFont="1" applyBorder="1" applyAlignment="1">
      <alignment vertical="top"/>
    </xf>
    <xf numFmtId="0" fontId="74" fillId="0" borderId="12" xfId="20" applyBorder="1" applyAlignment="1">
      <alignment vertical="top"/>
    </xf>
    <xf numFmtId="0" fontId="74" fillId="0" borderId="107" xfId="20" applyBorder="1" applyAlignment="1">
      <alignment vertical="top"/>
    </xf>
    <xf numFmtId="170" fontId="18" fillId="0" borderId="6" xfId="22" applyNumberFormat="1" applyFont="1" applyBorder="1" applyAlignment="1">
      <alignment vertical="top"/>
    </xf>
    <xf numFmtId="164" fontId="18" fillId="0" borderId="35" xfId="19" applyNumberFormat="1" applyFont="1" applyBorder="1" applyAlignment="1">
      <alignment vertical="top"/>
    </xf>
    <xf numFmtId="170" fontId="26" fillId="0" borderId="39" xfId="22" applyNumberFormat="1" applyFont="1" applyFill="1" applyBorder="1" applyAlignment="1">
      <alignment vertical="top"/>
    </xf>
    <xf numFmtId="2" fontId="28" fillId="31" borderId="17" xfId="21" applyNumberFormat="1" applyFont="1" applyFill="1" applyBorder="1" applyAlignment="1">
      <alignment horizontal="left" vertical="top"/>
    </xf>
    <xf numFmtId="2" fontId="28" fillId="31" borderId="15" xfId="21" applyNumberFormat="1" applyFont="1" applyFill="1" applyBorder="1" applyAlignment="1">
      <alignment horizontal="right" vertical="top"/>
    </xf>
    <xf numFmtId="2" fontId="28" fillId="31" borderId="92" xfId="21" applyNumberFormat="1" applyFont="1" applyFill="1" applyBorder="1" applyAlignment="1">
      <alignment horizontal="left" vertical="top"/>
    </xf>
    <xf numFmtId="2" fontId="28" fillId="31" borderId="0" xfId="18" applyNumberFormat="1" applyFont="1" applyFill="1" applyBorder="1" applyAlignment="1" applyProtection="1">
      <alignment horizontal="right" vertical="top"/>
    </xf>
    <xf numFmtId="2" fontId="28" fillId="31" borderId="15" xfId="17" applyNumberFormat="1" applyFont="1" applyFill="1" applyBorder="1" applyAlignment="1">
      <alignment horizontal="right" vertical="top"/>
    </xf>
    <xf numFmtId="2" fontId="28" fillId="31" borderId="0" xfId="21" applyNumberFormat="1" applyFont="1" applyFill="1" applyAlignment="1">
      <alignment horizontal="right" vertical="top"/>
    </xf>
    <xf numFmtId="0" fontId="19" fillId="0" borderId="34" xfId="20" quotePrefix="1" applyFont="1" applyBorder="1" applyAlignment="1">
      <alignment vertical="top"/>
    </xf>
    <xf numFmtId="9" fontId="74" fillId="0" borderId="0" xfId="3" applyFont="1" applyBorder="1" applyAlignment="1">
      <alignment vertical="top"/>
    </xf>
    <xf numFmtId="0" fontId="79" fillId="33" borderId="0" xfId="20" applyFont="1" applyFill="1" applyAlignment="1">
      <alignment vertical="top"/>
    </xf>
    <xf numFmtId="0" fontId="74" fillId="33" borderId="0" xfId="20" applyFill="1" applyAlignment="1">
      <alignment vertical="top"/>
    </xf>
    <xf numFmtId="170" fontId="18" fillId="33" borderId="4" xfId="22" applyNumberFormat="1" applyFont="1" applyFill="1" applyBorder="1" applyAlignment="1">
      <alignment vertical="top"/>
    </xf>
    <xf numFmtId="170" fontId="26" fillId="33" borderId="2" xfId="22" applyNumberFormat="1" applyFont="1" applyFill="1" applyBorder="1" applyAlignment="1">
      <alignment vertical="top"/>
    </xf>
    <xf numFmtId="170" fontId="26" fillId="33" borderId="2" xfId="22" quotePrefix="1" applyNumberFormat="1" applyFont="1" applyFill="1" applyBorder="1" applyAlignment="1">
      <alignment vertical="top"/>
    </xf>
    <xf numFmtId="170" fontId="18" fillId="33" borderId="4" xfId="20" applyNumberFormat="1" applyFont="1" applyFill="1" applyBorder="1" applyAlignment="1">
      <alignment vertical="top"/>
    </xf>
    <xf numFmtId="170" fontId="74" fillId="33" borderId="0" xfId="20" applyNumberFormat="1" applyFill="1" applyAlignment="1">
      <alignment vertical="top"/>
    </xf>
    <xf numFmtId="0" fontId="74" fillId="33" borderId="0" xfId="20" applyFill="1" applyAlignment="1">
      <alignment horizontal="right" vertical="top"/>
    </xf>
    <xf numFmtId="0" fontId="16" fillId="0" borderId="11" xfId="4" applyFont="1" applyBorder="1"/>
    <xf numFmtId="0" fontId="34" fillId="0" borderId="11" xfId="4" applyFont="1" applyBorder="1" applyProtection="1">
      <protection locked="0"/>
    </xf>
    <xf numFmtId="0" fontId="80" fillId="0" borderId="0" xfId="10" applyFont="1" applyAlignment="1">
      <alignment horizontal="center"/>
    </xf>
    <xf numFmtId="0" fontId="32" fillId="0" borderId="0" xfId="10" applyFont="1" applyAlignment="1">
      <alignment horizontal="center"/>
    </xf>
    <xf numFmtId="0" fontId="19" fillId="0" borderId="0" xfId="10" applyAlignment="1">
      <alignment horizontal="center" vertical="center"/>
    </xf>
    <xf numFmtId="0" fontId="54" fillId="0" borderId="0" xfId="24" applyFont="1" applyAlignment="1">
      <alignment vertical="center"/>
    </xf>
    <xf numFmtId="0" fontId="55" fillId="0" borderId="0" xfId="24" applyFont="1" applyAlignment="1">
      <alignment vertical="center"/>
    </xf>
    <xf numFmtId="0" fontId="56" fillId="0" borderId="0" xfId="24" applyFont="1" applyAlignment="1">
      <alignment vertical="center"/>
    </xf>
    <xf numFmtId="0" fontId="55" fillId="0" borderId="11" xfId="24" applyFont="1" applyBorder="1" applyAlignment="1">
      <alignment vertical="center"/>
    </xf>
    <xf numFmtId="0" fontId="57" fillId="0" borderId="0" xfId="24" applyFont="1"/>
    <xf numFmtId="0" fontId="54" fillId="0" borderId="0" xfId="24" applyFont="1"/>
    <xf numFmtId="0" fontId="58" fillId="0" borderId="0" xfId="24" applyFont="1"/>
    <xf numFmtId="0" fontId="54" fillId="0" borderId="11" xfId="24" applyFont="1" applyBorder="1"/>
    <xf numFmtId="0" fontId="60" fillId="0" borderId="0" xfId="24" applyFont="1"/>
    <xf numFmtId="0" fontId="59" fillId="0" borderId="0" xfId="24" applyFont="1"/>
    <xf numFmtId="0" fontId="55" fillId="0" borderId="55" xfId="24" applyFont="1" applyBorder="1" applyAlignment="1">
      <alignment horizontal="center" vertical="center"/>
    </xf>
    <xf numFmtId="0" fontId="59" fillId="0" borderId="56" xfId="24" applyFont="1" applyBorder="1" applyAlignment="1">
      <alignment horizontal="center" vertical="center"/>
    </xf>
    <xf numFmtId="0" fontId="59" fillId="0" borderId="42" xfId="24" applyFont="1" applyBorder="1" applyAlignment="1">
      <alignment horizontal="center" vertical="center"/>
    </xf>
    <xf numFmtId="0" fontId="59" fillId="0" borderId="20" xfId="24" applyFont="1" applyBorder="1" applyAlignment="1">
      <alignment vertical="center"/>
    </xf>
    <xf numFmtId="0" fontId="59" fillId="0" borderId="90" xfId="24" applyFont="1" applyBorder="1" applyAlignment="1">
      <alignment vertical="center"/>
    </xf>
    <xf numFmtId="0" fontId="59" fillId="0" borderId="90" xfId="24" applyFont="1" applyBorder="1" applyAlignment="1">
      <alignment vertical="center" wrapText="1"/>
    </xf>
    <xf numFmtId="0" fontId="59" fillId="0" borderId="91" xfId="24" applyFont="1" applyBorder="1" applyAlignment="1">
      <alignment vertical="center"/>
    </xf>
    <xf numFmtId="0" fontId="55" fillId="0" borderId="55" xfId="24" applyFont="1" applyBorder="1" applyAlignment="1">
      <alignment vertical="center"/>
    </xf>
    <xf numFmtId="0" fontId="59" fillId="0" borderId="55" xfId="24" applyFont="1" applyBorder="1" applyAlignment="1">
      <alignment vertical="center"/>
    </xf>
    <xf numFmtId="0" fontId="59" fillId="0" borderId="56" xfId="24" applyFont="1" applyBorder="1" applyAlignment="1">
      <alignment horizontal="center" vertical="center" wrapText="1"/>
    </xf>
    <xf numFmtId="0" fontId="59" fillId="0" borderId="93" xfId="24" applyFont="1" applyBorder="1" applyAlignment="1">
      <alignment horizontal="center" vertical="center" wrapText="1"/>
    </xf>
    <xf numFmtId="0" fontId="59" fillId="0" borderId="42" xfId="24" applyFont="1" applyBorder="1" applyAlignment="1">
      <alignment horizontal="center" vertical="center" wrapText="1"/>
    </xf>
    <xf numFmtId="0" fontId="55" fillId="0" borderId="16" xfId="24" applyFont="1" applyBorder="1" applyAlignment="1">
      <alignment horizontal="center" vertical="center" wrapText="1"/>
    </xf>
    <xf numFmtId="0" fontId="59" fillId="0" borderId="94" xfId="24" applyFont="1" applyBorder="1" applyAlignment="1">
      <alignment vertical="center"/>
    </xf>
    <xf numFmtId="0" fontId="64" fillId="0" borderId="0" xfId="24" applyFont="1" applyAlignment="1">
      <alignment vertical="center"/>
    </xf>
    <xf numFmtId="0" fontId="64" fillId="0" borderId="55" xfId="24" applyFont="1" applyBorder="1" applyAlignment="1">
      <alignment vertical="center"/>
    </xf>
    <xf numFmtId="0" fontId="64" fillId="0" borderId="0" xfId="24" applyFont="1"/>
    <xf numFmtId="0" fontId="0" fillId="7" borderId="4" xfId="0" applyFill="1" applyBorder="1" applyAlignment="1">
      <alignment vertical="top"/>
    </xf>
    <xf numFmtId="0" fontId="0" fillId="7" borderId="0" xfId="0" applyFill="1" applyAlignment="1">
      <alignment vertical="top"/>
    </xf>
    <xf numFmtId="175" fontId="0" fillId="7" borderId="4" xfId="0" applyNumberFormat="1" applyFill="1" applyBorder="1" applyAlignment="1">
      <alignment vertical="top"/>
    </xf>
    <xf numFmtId="175" fontId="0" fillId="7" borderId="4" xfId="0" applyNumberFormat="1" applyFill="1" applyBorder="1" applyAlignment="1">
      <alignment horizontal="center" vertical="top"/>
    </xf>
    <xf numFmtId="43" fontId="0" fillId="7" borderId="4" xfId="0" applyNumberFormat="1" applyFill="1" applyBorder="1" applyAlignment="1">
      <alignment vertical="top"/>
    </xf>
    <xf numFmtId="9" fontId="0" fillId="7" borderId="4" xfId="3" applyFont="1" applyFill="1" applyBorder="1" applyAlignment="1">
      <alignment vertical="top"/>
    </xf>
    <xf numFmtId="43" fontId="0" fillId="7" borderId="4" xfId="1" applyFont="1" applyFill="1" applyBorder="1" applyAlignment="1">
      <alignment vertical="top"/>
    </xf>
    <xf numFmtId="43" fontId="20" fillId="7" borderId="4" xfId="0" applyNumberFormat="1" applyFont="1" applyFill="1" applyBorder="1" applyAlignment="1">
      <alignment vertical="top"/>
    </xf>
    <xf numFmtId="0" fontId="0" fillId="7" borderId="4" xfId="0" applyFill="1" applyBorder="1" applyAlignment="1">
      <alignment vertical="top" wrapText="1"/>
    </xf>
    <xf numFmtId="41" fontId="20" fillId="7" borderId="4" xfId="0" applyNumberFormat="1" applyFont="1" applyFill="1" applyBorder="1" applyAlignment="1">
      <alignment vertical="top"/>
    </xf>
    <xf numFmtId="41" fontId="0" fillId="7" borderId="4" xfId="0" applyNumberFormat="1" applyFill="1" applyBorder="1" applyAlignment="1">
      <alignment vertical="top"/>
    </xf>
    <xf numFmtId="175" fontId="0" fillId="7" borderId="4" xfId="0" applyNumberFormat="1" applyFill="1" applyBorder="1" applyAlignment="1">
      <alignment vertical="top" wrapText="1"/>
    </xf>
    <xf numFmtId="175" fontId="0" fillId="7" borderId="4" xfId="0" applyNumberFormat="1" applyFill="1" applyBorder="1" applyAlignment="1">
      <alignment horizontal="center" vertical="top" wrapText="1"/>
    </xf>
    <xf numFmtId="43" fontId="0" fillId="7" borderId="4" xfId="0" applyNumberFormat="1" applyFill="1" applyBorder="1" applyAlignment="1">
      <alignment vertical="top" wrapText="1"/>
    </xf>
    <xf numFmtId="9" fontId="0" fillId="7" borderId="4" xfId="3" applyFont="1" applyFill="1" applyBorder="1" applyAlignment="1">
      <alignment vertical="top" wrapText="1"/>
    </xf>
    <xf numFmtId="43" fontId="0" fillId="7" borderId="4" xfId="1" applyFont="1" applyFill="1" applyBorder="1" applyAlignment="1">
      <alignment vertical="top" wrapText="1"/>
    </xf>
    <xf numFmtId="43" fontId="20" fillId="7" borderId="4" xfId="0" applyNumberFormat="1" applyFont="1" applyFill="1" applyBorder="1" applyAlignment="1">
      <alignment vertical="top" wrapText="1"/>
    </xf>
    <xf numFmtId="0" fontId="74" fillId="25" borderId="0" xfId="20" applyFill="1" applyAlignment="1" applyProtection="1">
      <alignment vertical="top"/>
      <protection locked="0"/>
    </xf>
    <xf numFmtId="0" fontId="74" fillId="0" borderId="0" xfId="20" applyAlignment="1">
      <alignment horizontal="center" vertical="top"/>
    </xf>
    <xf numFmtId="0" fontId="74" fillId="33" borderId="0" xfId="20" applyFill="1" applyAlignment="1">
      <alignment horizontal="center" vertical="top"/>
    </xf>
    <xf numFmtId="5" fontId="18" fillId="0" borderId="0" xfId="4" applyNumberFormat="1" applyFont="1" applyAlignment="1">
      <alignment horizontal="center"/>
    </xf>
    <xf numFmtId="5" fontId="16" fillId="0" borderId="0" xfId="4" applyNumberFormat="1" applyFont="1" applyAlignment="1">
      <alignment horizontal="center"/>
    </xf>
    <xf numFmtId="42" fontId="19" fillId="0" borderId="14" xfId="14" applyNumberFormat="1" applyFont="1" applyFill="1" applyBorder="1"/>
    <xf numFmtId="42" fontId="19" fillId="0" borderId="39" xfId="14" applyNumberFormat="1" applyFont="1" applyFill="1" applyBorder="1"/>
    <xf numFmtId="42" fontId="20" fillId="0" borderId="38" xfId="0" applyNumberFormat="1" applyFont="1" applyBorder="1" applyAlignment="1">
      <alignment vertical="center"/>
    </xf>
    <xf numFmtId="0" fontId="20" fillId="0" borderId="11" xfId="0" applyFont="1" applyBorder="1" applyAlignment="1">
      <alignment vertical="top" wrapText="1"/>
    </xf>
    <xf numFmtId="168" fontId="0" fillId="2" borderId="4" xfId="0" applyNumberFormat="1" applyFill="1" applyBorder="1"/>
    <xf numFmtId="42" fontId="0" fillId="25" borderId="4" xfId="0" applyNumberFormat="1" applyFill="1" applyBorder="1" applyProtection="1">
      <protection locked="0"/>
    </xf>
    <xf numFmtId="169" fontId="0" fillId="25" borderId="4" xfId="0" applyNumberFormat="1" applyFill="1" applyBorder="1" applyAlignment="1" applyProtection="1">
      <alignment vertical="top" wrapText="1"/>
      <protection locked="0"/>
    </xf>
    <xf numFmtId="5" fontId="18" fillId="25" borderId="0" xfId="4" applyNumberFormat="1" applyFont="1" applyFill="1" applyProtection="1">
      <protection locked="0"/>
    </xf>
    <xf numFmtId="0" fontId="0" fillId="25" borderId="0" xfId="0" applyFill="1" applyProtection="1">
      <protection locked="0"/>
    </xf>
    <xf numFmtId="1" fontId="0" fillId="25" borderId="0" xfId="3" applyNumberFormat="1" applyFont="1" applyFill="1" applyAlignment="1" applyProtection="1">
      <alignment horizontal="center"/>
      <protection locked="0"/>
    </xf>
    <xf numFmtId="0" fontId="19" fillId="25" borderId="0" xfId="0" applyFont="1" applyFill="1" applyAlignment="1" applyProtection="1">
      <alignment horizontal="center"/>
      <protection locked="0"/>
    </xf>
    <xf numFmtId="14" fontId="18" fillId="25" borderId="0" xfId="4" applyNumberFormat="1" applyFont="1" applyFill="1" applyProtection="1">
      <protection locked="0"/>
    </xf>
    <xf numFmtId="173" fontId="14" fillId="25" borderId="4" xfId="13" applyNumberFormat="1" applyFill="1" applyBorder="1" applyProtection="1">
      <protection locked="0"/>
    </xf>
    <xf numFmtId="0" fontId="14" fillId="25" borderId="2" xfId="13" applyFill="1" applyBorder="1" applyProtection="1">
      <protection locked="0"/>
    </xf>
    <xf numFmtId="0" fontId="14" fillId="25" borderId="3" xfId="13" applyFill="1" applyBorder="1" applyProtection="1">
      <protection locked="0"/>
    </xf>
    <xf numFmtId="9" fontId="14" fillId="25" borderId="2" xfId="3" quotePrefix="1" applyFont="1" applyFill="1" applyBorder="1" applyProtection="1">
      <protection locked="0"/>
    </xf>
    <xf numFmtId="9" fontId="14" fillId="25" borderId="2" xfId="3" applyFont="1" applyFill="1" applyBorder="1" applyProtection="1">
      <protection locked="0"/>
    </xf>
    <xf numFmtId="9" fontId="14" fillId="25" borderId="3" xfId="3" applyFont="1" applyFill="1" applyBorder="1" applyProtection="1">
      <protection locked="0"/>
    </xf>
    <xf numFmtId="0" fontId="19" fillId="25" borderId="4" xfId="0" applyFont="1" applyFill="1" applyBorder="1" applyAlignment="1" applyProtection="1">
      <alignment wrapText="1"/>
      <protection locked="0"/>
    </xf>
    <xf numFmtId="0" fontId="0" fillId="25" borderId="4" xfId="0" applyFill="1" applyBorder="1" applyAlignment="1" applyProtection="1">
      <alignment wrapText="1"/>
      <protection locked="0"/>
    </xf>
    <xf numFmtId="5" fontId="24" fillId="0" borderId="116" xfId="4" applyNumberFormat="1" applyFont="1" applyBorder="1"/>
    <xf numFmtId="5" fontId="24" fillId="0" borderId="117" xfId="4" applyNumberFormat="1" applyFont="1" applyBorder="1" applyAlignment="1">
      <alignment horizontal="left"/>
    </xf>
    <xf numFmtId="5" fontId="24" fillId="0" borderId="117" xfId="4" applyNumberFormat="1" applyFont="1" applyBorder="1"/>
    <xf numFmtId="5" fontId="24" fillId="0" borderId="117" xfId="4" applyNumberFormat="1" applyFont="1" applyBorder="1" applyAlignment="1">
      <alignment horizontal="center"/>
    </xf>
    <xf numFmtId="5" fontId="24" fillId="0" borderId="118" xfId="4" applyNumberFormat="1" applyFont="1" applyBorder="1"/>
    <xf numFmtId="5" fontId="24" fillId="0" borderId="119" xfId="4" applyNumberFormat="1" applyFont="1" applyBorder="1"/>
    <xf numFmtId="0" fontId="24" fillId="0" borderId="119" xfId="4" applyFont="1" applyBorder="1"/>
    <xf numFmtId="5" fontId="20" fillId="0" borderId="119" xfId="4" applyNumberFormat="1" applyFont="1" applyBorder="1" applyAlignment="1">
      <alignment horizontal="left"/>
    </xf>
    <xf numFmtId="0" fontId="24" fillId="0" borderId="120" xfId="4" applyFont="1" applyBorder="1"/>
    <xf numFmtId="5" fontId="28" fillId="0" borderId="120" xfId="4" applyNumberFormat="1" applyFont="1" applyBorder="1" applyAlignment="1">
      <alignment horizontal="left"/>
    </xf>
    <xf numFmtId="5" fontId="20" fillId="0" borderId="120" xfId="4" applyNumberFormat="1" applyFont="1" applyBorder="1" applyAlignment="1">
      <alignment horizontal="left"/>
    </xf>
    <xf numFmtId="5" fontId="20" fillId="0" borderId="121" xfId="4" applyNumberFormat="1" applyFont="1" applyBorder="1"/>
    <xf numFmtId="5" fontId="24" fillId="0" borderId="122" xfId="4" applyNumberFormat="1" applyFont="1" applyBorder="1" applyAlignment="1">
      <alignment horizontal="left"/>
    </xf>
    <xf numFmtId="5" fontId="24" fillId="0" borderId="122" xfId="4" applyNumberFormat="1" applyFont="1" applyBorder="1"/>
    <xf numFmtId="5" fontId="20" fillId="0" borderId="122" xfId="4" applyNumberFormat="1" applyFont="1" applyBorder="1" applyAlignment="1">
      <alignment horizontal="left"/>
    </xf>
    <xf numFmtId="5" fontId="24" fillId="0" borderId="122" xfId="4" applyNumberFormat="1" applyFont="1" applyBorder="1" applyAlignment="1">
      <alignment horizontal="right"/>
    </xf>
    <xf numFmtId="5" fontId="20" fillId="0" borderId="123" xfId="4" applyNumberFormat="1" applyFont="1" applyBorder="1" applyAlignment="1">
      <alignment horizontal="left"/>
    </xf>
    <xf numFmtId="5" fontId="24" fillId="0" borderId="8" xfId="4" applyNumberFormat="1" applyFont="1" applyBorder="1" applyProtection="1">
      <protection locked="0"/>
    </xf>
    <xf numFmtId="0" fontId="24" fillId="0" borderId="116" xfId="4" applyFont="1" applyBorder="1"/>
    <xf numFmtId="5" fontId="20" fillId="0" borderId="117" xfId="4" applyNumberFormat="1" applyFont="1" applyBorder="1" applyAlignment="1">
      <alignment horizontal="left"/>
    </xf>
    <xf numFmtId="0" fontId="24" fillId="0" borderId="117" xfId="4" applyFont="1" applyBorder="1"/>
    <xf numFmtId="5" fontId="24" fillId="0" borderId="120" xfId="4" applyNumberFormat="1" applyFont="1" applyBorder="1"/>
    <xf numFmtId="0" fontId="24" fillId="0" borderId="119" xfId="4" applyFont="1" applyBorder="1" applyProtection="1">
      <protection locked="0"/>
    </xf>
    <xf numFmtId="166" fontId="24" fillId="0" borderId="119" xfId="1" applyNumberFormat="1" applyFont="1" applyFill="1" applyBorder="1" applyProtection="1">
      <protection locked="0"/>
    </xf>
    <xf numFmtId="5" fontId="24" fillId="0" borderId="119" xfId="4" applyNumberFormat="1" applyFont="1" applyBorder="1" applyAlignment="1" applyProtection="1">
      <alignment horizontal="left"/>
      <protection locked="0"/>
    </xf>
    <xf numFmtId="5" fontId="24" fillId="0" borderId="121" xfId="4" applyNumberFormat="1" applyFont="1" applyBorder="1" applyAlignment="1">
      <alignment horizontal="left"/>
    </xf>
    <xf numFmtId="164" fontId="18" fillId="0" borderId="122" xfId="3" applyNumberFormat="1" applyFont="1" applyBorder="1" applyAlignment="1" applyProtection="1">
      <alignment horizontal="left"/>
    </xf>
    <xf numFmtId="0" fontId="24" fillId="0" borderId="122" xfId="4" applyFont="1" applyBorder="1"/>
    <xf numFmtId="5" fontId="16" fillId="0" borderId="125" xfId="4" applyNumberFormat="1" applyFont="1" applyBorder="1" applyAlignment="1">
      <alignment horizontal="left"/>
    </xf>
    <xf numFmtId="5" fontId="20" fillId="0" borderId="124" xfId="4" applyNumberFormat="1" applyFont="1" applyBorder="1" applyAlignment="1">
      <alignment horizontal="left"/>
    </xf>
    <xf numFmtId="0" fontId="19" fillId="0" borderId="126" xfId="5" applyBorder="1" applyAlignment="1">
      <alignment horizontal="center" textRotation="90"/>
    </xf>
    <xf numFmtId="0" fontId="16" fillId="0" borderId="124" xfId="5" applyFont="1" applyBorder="1" applyAlignment="1">
      <alignment horizontal="center"/>
    </xf>
    <xf numFmtId="5" fontId="26" fillId="0" borderId="124" xfId="4" applyNumberFormat="1" applyFont="1" applyBorder="1" applyAlignment="1">
      <alignment horizontal="center" wrapText="1"/>
    </xf>
    <xf numFmtId="168" fontId="34" fillId="0" borderId="124" xfId="7" applyNumberFormat="1" applyFont="1" applyBorder="1" applyAlignment="1">
      <alignment horizontal="right"/>
    </xf>
    <xf numFmtId="5" fontId="16" fillId="0" borderId="124" xfId="4" applyNumberFormat="1" applyFont="1" applyBorder="1" applyAlignment="1">
      <alignment horizontal="left"/>
    </xf>
    <xf numFmtId="9" fontId="20" fillId="0" borderId="117" xfId="4" applyNumberFormat="1" applyFont="1" applyBorder="1" applyAlignment="1">
      <alignment horizontal="left"/>
    </xf>
    <xf numFmtId="5" fontId="26" fillId="0" borderId="119" xfId="4" applyNumberFormat="1" applyFont="1" applyBorder="1" applyAlignment="1" applyProtection="1">
      <alignment horizontal="left"/>
      <protection locked="0"/>
    </xf>
    <xf numFmtId="0" fontId="34" fillId="0" borderId="120" xfId="4" applyFont="1" applyBorder="1"/>
    <xf numFmtId="0" fontId="26" fillId="0" borderId="119" xfId="4" applyFont="1" applyBorder="1"/>
    <xf numFmtId="1" fontId="26" fillId="0" borderId="119" xfId="4" applyNumberFormat="1" applyFont="1" applyBorder="1" applyAlignment="1" applyProtection="1">
      <alignment horizontal="left"/>
      <protection locked="0"/>
    </xf>
    <xf numFmtId="5" fontId="18" fillId="0" borderId="119" xfId="4" applyNumberFormat="1" applyFont="1" applyBorder="1" applyAlignment="1">
      <alignment horizontal="center"/>
    </xf>
    <xf numFmtId="0" fontId="36" fillId="0" borderId="120" xfId="6" applyFont="1" applyBorder="1"/>
    <xf numFmtId="5" fontId="18" fillId="0" borderId="119" xfId="4" applyNumberFormat="1" applyFont="1" applyBorder="1" applyAlignment="1">
      <alignment horizontal="left"/>
    </xf>
    <xf numFmtId="5" fontId="18" fillId="0" borderId="119" xfId="4" applyNumberFormat="1" applyFont="1" applyBorder="1"/>
    <xf numFmtId="5" fontId="16" fillId="0" borderId="119" xfId="4" applyNumberFormat="1" applyFont="1" applyBorder="1" applyAlignment="1">
      <alignment horizontal="left"/>
    </xf>
    <xf numFmtId="5" fontId="20" fillId="0" borderId="121" xfId="4" applyNumberFormat="1" applyFont="1" applyBorder="1" applyAlignment="1">
      <alignment horizontal="left"/>
    </xf>
    <xf numFmtId="170" fontId="36" fillId="0" borderId="122" xfId="2" applyNumberFormat="1" applyFont="1" applyBorder="1"/>
    <xf numFmtId="0" fontId="34" fillId="0" borderId="122" xfId="4" applyFont="1" applyBorder="1"/>
    <xf numFmtId="0" fontId="19" fillId="0" borderId="122" xfId="4" applyFont="1" applyBorder="1" applyAlignment="1">
      <alignment horizontal="center"/>
    </xf>
    <xf numFmtId="0" fontId="19" fillId="0" borderId="122" xfId="4" applyFont="1" applyBorder="1"/>
    <xf numFmtId="5" fontId="20" fillId="0" borderId="127" xfId="4" applyNumberFormat="1" applyFont="1" applyBorder="1" applyAlignment="1">
      <alignment horizontal="left"/>
    </xf>
    <xf numFmtId="5" fontId="24" fillId="0" borderId="118" xfId="4" applyNumberFormat="1" applyFont="1" applyBorder="1" applyAlignment="1">
      <alignment horizontal="center"/>
    </xf>
    <xf numFmtId="5" fontId="18" fillId="0" borderId="119" xfId="4" applyNumberFormat="1" applyFont="1" applyBorder="1" applyAlignment="1">
      <alignment horizontal="centerContinuous"/>
    </xf>
    <xf numFmtId="5" fontId="24" fillId="0" borderId="120" xfId="4" applyNumberFormat="1" applyFont="1" applyBorder="1" applyAlignment="1">
      <alignment horizontal="centerContinuous"/>
    </xf>
    <xf numFmtId="1" fontId="27" fillId="0" borderId="120" xfId="4" applyNumberFormat="1" applyFont="1" applyBorder="1" applyAlignment="1">
      <alignment horizontal="left"/>
    </xf>
    <xf numFmtId="0" fontId="24" fillId="0" borderId="120" xfId="4" applyFont="1" applyBorder="1" applyAlignment="1">
      <alignment horizontal="left"/>
    </xf>
    <xf numFmtId="5" fontId="24" fillId="0" borderId="120" xfId="4" applyNumberFormat="1" applyFont="1" applyBorder="1" applyAlignment="1">
      <alignment horizontal="center"/>
    </xf>
    <xf numFmtId="5" fontId="24" fillId="0" borderId="123" xfId="4" applyNumberFormat="1" applyFont="1" applyBorder="1" applyAlignment="1">
      <alignment horizontal="right"/>
    </xf>
    <xf numFmtId="5" fontId="20" fillId="0" borderId="116" xfId="4" applyNumberFormat="1" applyFont="1" applyBorder="1" applyAlignment="1">
      <alignment horizontal="left"/>
    </xf>
    <xf numFmtId="0" fontId="16" fillId="0" borderId="119" xfId="4" applyFont="1" applyBorder="1" applyAlignment="1">
      <alignment horizontal="left"/>
    </xf>
    <xf numFmtId="0" fontId="34" fillId="0" borderId="119" xfId="4" applyFont="1" applyBorder="1"/>
    <xf numFmtId="0" fontId="16" fillId="0" borderId="119" xfId="4" applyFont="1" applyBorder="1" applyAlignment="1">
      <alignment horizontal="left" vertical="center"/>
    </xf>
    <xf numFmtId="0" fontId="16" fillId="0" borderId="120" xfId="4" applyFont="1" applyBorder="1" applyAlignment="1">
      <alignment horizontal="center" vertical="center"/>
    </xf>
    <xf numFmtId="0" fontId="16" fillId="0" borderId="119" xfId="6" applyFont="1" applyBorder="1" applyAlignment="1">
      <alignment horizontal="left"/>
    </xf>
    <xf numFmtId="5" fontId="26" fillId="0" borderId="0" xfId="4" applyNumberFormat="1" applyFont="1"/>
    <xf numFmtId="15" fontId="34" fillId="0" borderId="120" xfId="4" applyNumberFormat="1" applyFont="1" applyBorder="1" applyAlignment="1">
      <alignment horizontal="center"/>
    </xf>
    <xf numFmtId="0" fontId="16" fillId="0" borderId="0" xfId="6" applyFont="1" applyAlignment="1">
      <alignment horizontal="left"/>
    </xf>
    <xf numFmtId="5" fontId="34" fillId="0" borderId="119" xfId="4" applyNumberFormat="1" applyFont="1" applyBorder="1" applyAlignment="1">
      <alignment horizontal="left"/>
    </xf>
    <xf numFmtId="0" fontId="34" fillId="0" borderId="121" xfId="4" applyFont="1" applyBorder="1"/>
    <xf numFmtId="0" fontId="36" fillId="0" borderId="122" xfId="6" applyFont="1" applyBorder="1"/>
    <xf numFmtId="0" fontId="34" fillId="0" borderId="123" xfId="4" applyFont="1" applyBorder="1"/>
    <xf numFmtId="0" fontId="24" fillId="0" borderId="8" xfId="4" applyFont="1" applyBorder="1" applyAlignment="1" applyProtection="1">
      <alignment vertical="top"/>
      <protection locked="0"/>
    </xf>
    <xf numFmtId="5" fontId="24" fillId="0" borderId="8" xfId="4" applyNumberFormat="1" applyFont="1" applyBorder="1" applyAlignment="1" applyProtection="1">
      <alignment vertical="top"/>
      <protection locked="0"/>
    </xf>
    <xf numFmtId="5" fontId="24" fillId="0" borderId="0" xfId="4" applyNumberFormat="1" applyFont="1" applyAlignment="1">
      <alignment horizontal="left" vertical="top"/>
    </xf>
    <xf numFmtId="5" fontId="24" fillId="0" borderId="116" xfId="4" applyNumberFormat="1" applyFont="1" applyBorder="1" applyAlignment="1">
      <alignment vertical="top"/>
    </xf>
    <xf numFmtId="5" fontId="24" fillId="0" borderId="117" xfId="4" applyNumberFormat="1" applyFont="1" applyBorder="1" applyAlignment="1">
      <alignment horizontal="left" vertical="top"/>
    </xf>
    <xf numFmtId="5" fontId="24" fillId="0" borderId="117" xfId="4" applyNumberFormat="1" applyFont="1" applyBorder="1" applyAlignment="1">
      <alignment vertical="top"/>
    </xf>
    <xf numFmtId="5" fontId="24" fillId="0" borderId="119" xfId="4" applyNumberFormat="1" applyFont="1" applyBorder="1" applyAlignment="1">
      <alignment vertical="top"/>
    </xf>
    <xf numFmtId="0" fontId="24" fillId="0" borderId="119" xfId="4" applyFont="1" applyBorder="1" applyAlignment="1">
      <alignment vertical="top"/>
    </xf>
    <xf numFmtId="5" fontId="20" fillId="0" borderId="119" xfId="4" applyNumberFormat="1" applyFont="1" applyBorder="1" applyAlignment="1">
      <alignment horizontal="left" vertical="top"/>
    </xf>
    <xf numFmtId="5" fontId="20" fillId="0" borderId="121" xfId="4" applyNumberFormat="1" applyFont="1" applyBorder="1" applyAlignment="1">
      <alignment vertical="top"/>
    </xf>
    <xf numFmtId="5" fontId="24" fillId="0" borderId="122" xfId="4" applyNumberFormat="1" applyFont="1" applyBorder="1" applyAlignment="1">
      <alignment horizontal="left" vertical="top"/>
    </xf>
    <xf numFmtId="5" fontId="24" fillId="0" borderId="122" xfId="4" applyNumberFormat="1" applyFont="1" applyBorder="1" applyAlignment="1">
      <alignment vertical="top"/>
    </xf>
    <xf numFmtId="5" fontId="20" fillId="0" borderId="122" xfId="4" applyNumberFormat="1" applyFont="1" applyBorder="1" applyAlignment="1">
      <alignment horizontal="left" vertical="top"/>
    </xf>
    <xf numFmtId="0" fontId="24" fillId="0" borderId="116" xfId="4" applyFont="1" applyBorder="1" applyAlignment="1">
      <alignment vertical="top"/>
    </xf>
    <xf numFmtId="5" fontId="20" fillId="0" borderId="117" xfId="4" applyNumberFormat="1" applyFont="1" applyBorder="1" applyAlignment="1">
      <alignment horizontal="left" vertical="top"/>
    </xf>
    <xf numFmtId="0" fontId="24" fillId="0" borderId="117" xfId="4" applyFont="1" applyBorder="1" applyAlignment="1">
      <alignment vertical="top"/>
    </xf>
    <xf numFmtId="0" fontId="24" fillId="0" borderId="119" xfId="4" applyFont="1" applyBorder="1" applyAlignment="1" applyProtection="1">
      <alignment vertical="top"/>
      <protection locked="0"/>
    </xf>
    <xf numFmtId="164" fontId="26" fillId="0" borderId="0" xfId="3" applyNumberFormat="1" applyFont="1" applyBorder="1" applyAlignment="1">
      <alignment vertical="top"/>
    </xf>
    <xf numFmtId="168" fontId="24" fillId="0" borderId="0" xfId="6" applyNumberFormat="1" applyFont="1" applyAlignment="1">
      <alignment horizontal="right" vertical="top"/>
    </xf>
    <xf numFmtId="5" fontId="24" fillId="0" borderId="119" xfId="4" applyNumberFormat="1" applyFont="1" applyBorder="1" applyAlignment="1" applyProtection="1">
      <alignment horizontal="left" vertical="top"/>
      <protection locked="0"/>
    </xf>
    <xf numFmtId="164" fontId="26" fillId="10" borderId="0" xfId="3" applyNumberFormat="1" applyFont="1" applyFill="1" applyBorder="1" applyAlignment="1">
      <alignment vertical="top"/>
    </xf>
    <xf numFmtId="0" fontId="24" fillId="0" borderId="122" xfId="4" applyFont="1" applyBorder="1" applyAlignment="1">
      <alignment vertical="top"/>
    </xf>
    <xf numFmtId="5" fontId="24" fillId="0" borderId="122" xfId="4" applyNumberFormat="1" applyFont="1" applyBorder="1" applyAlignment="1">
      <alignment horizontal="right" vertical="top"/>
    </xf>
    <xf numFmtId="9" fontId="20" fillId="0" borderId="117" xfId="4" applyNumberFormat="1" applyFont="1" applyBorder="1" applyAlignment="1">
      <alignment horizontal="left" vertical="top"/>
    </xf>
    <xf numFmtId="5" fontId="26" fillId="0" borderId="119" xfId="4" applyNumberFormat="1" applyFont="1" applyBorder="1" applyAlignment="1" applyProtection="1">
      <alignment horizontal="left" vertical="top"/>
      <protection locked="0"/>
    </xf>
    <xf numFmtId="0" fontId="26" fillId="0" borderId="119" xfId="4" applyFont="1" applyBorder="1" applyAlignment="1">
      <alignment vertical="top"/>
    </xf>
    <xf numFmtId="1" fontId="26" fillId="0" borderId="119" xfId="4" applyNumberFormat="1" applyFont="1" applyBorder="1" applyAlignment="1" applyProtection="1">
      <alignment horizontal="left" vertical="top"/>
      <protection locked="0"/>
    </xf>
    <xf numFmtId="15" fontId="34" fillId="0" borderId="0" xfId="4" applyNumberFormat="1" applyFont="1" applyAlignment="1">
      <alignment horizontal="left" vertical="top"/>
    </xf>
    <xf numFmtId="15" fontId="34" fillId="0" borderId="0" xfId="4" applyNumberFormat="1" applyFont="1" applyAlignment="1">
      <alignment horizontal="center" vertical="top"/>
    </xf>
    <xf numFmtId="5" fontId="18" fillId="0" borderId="119" xfId="4" applyNumberFormat="1" applyFont="1" applyBorder="1" applyAlignment="1">
      <alignment horizontal="center" vertical="top"/>
    </xf>
    <xf numFmtId="5" fontId="18" fillId="0" borderId="119" xfId="4" applyNumberFormat="1" applyFont="1" applyBorder="1" applyAlignment="1">
      <alignment horizontal="left" vertical="top"/>
    </xf>
    <xf numFmtId="5" fontId="18" fillId="0" borderId="119" xfId="4" applyNumberFormat="1" applyFont="1" applyBorder="1" applyAlignment="1">
      <alignment vertical="top"/>
    </xf>
    <xf numFmtId="170" fontId="36" fillId="0" borderId="0" xfId="2" applyNumberFormat="1" applyFont="1" applyBorder="1" applyAlignment="1">
      <alignment vertical="top"/>
    </xf>
    <xf numFmtId="0" fontId="19" fillId="0" borderId="122" xfId="4" applyFont="1" applyBorder="1" applyAlignment="1">
      <alignment vertical="top"/>
    </xf>
    <xf numFmtId="164" fontId="26" fillId="0" borderId="124" xfId="3" applyNumberFormat="1" applyFont="1" applyBorder="1" applyAlignment="1">
      <alignment vertical="top"/>
    </xf>
    <xf numFmtId="5" fontId="24" fillId="0" borderId="119" xfId="4" applyNumberFormat="1" applyFont="1" applyBorder="1" applyAlignment="1">
      <alignment horizontal="left" vertical="top"/>
    </xf>
    <xf numFmtId="166" fontId="19" fillId="0" borderId="0" xfId="1" applyNumberFormat="1" applyFont="1" applyBorder="1"/>
    <xf numFmtId="166" fontId="19" fillId="0" borderId="11" xfId="1" applyNumberFormat="1" applyFont="1" applyBorder="1"/>
    <xf numFmtId="166" fontId="19" fillId="2" borderId="0" xfId="1" applyNumberFormat="1" applyFont="1" applyFill="1" applyBorder="1" applyProtection="1">
      <protection locked="0"/>
    </xf>
    <xf numFmtId="5" fontId="16" fillId="0" borderId="124" xfId="4" applyNumberFormat="1" applyFont="1" applyBorder="1" applyAlignment="1">
      <alignment horizontal="left" vertical="top"/>
    </xf>
    <xf numFmtId="5" fontId="16" fillId="0" borderId="117" xfId="4" applyNumberFormat="1" applyFont="1" applyBorder="1" applyAlignment="1">
      <alignment horizontal="left" vertical="top"/>
    </xf>
    <xf numFmtId="166" fontId="24" fillId="0" borderId="119" xfId="1" applyNumberFormat="1" applyFont="1" applyFill="1" applyBorder="1" applyAlignment="1" applyProtection="1">
      <alignment horizontal="center" vertical="top"/>
      <protection locked="0"/>
    </xf>
    <xf numFmtId="5" fontId="24" fillId="0" borderId="119" xfId="4" applyNumberFormat="1" applyFont="1" applyBorder="1" applyAlignment="1" applyProtection="1">
      <alignment horizontal="center" vertical="top"/>
      <protection locked="0"/>
    </xf>
    <xf numFmtId="5" fontId="24" fillId="0" borderId="121" xfId="4" applyNumberFormat="1" applyFont="1" applyBorder="1" applyAlignment="1">
      <alignment horizontal="center" vertical="top"/>
    </xf>
    <xf numFmtId="166" fontId="19" fillId="25" borderId="0" xfId="1" applyNumberFormat="1" applyFont="1" applyFill="1" applyBorder="1" applyProtection="1">
      <protection locked="0"/>
    </xf>
    <xf numFmtId="168" fontId="19" fillId="0" borderId="23" xfId="2" applyNumberFormat="1" applyFill="1" applyBorder="1" applyAlignment="1">
      <alignment horizontal="center" vertical="top"/>
    </xf>
    <xf numFmtId="5" fontId="18" fillId="0" borderId="0" xfId="0" applyNumberFormat="1" applyFont="1" applyAlignment="1">
      <alignment vertical="top"/>
    </xf>
    <xf numFmtId="171" fontId="20" fillId="0" borderId="0" xfId="0" applyNumberFormat="1" applyFont="1" applyAlignment="1">
      <alignment horizontal="center" vertical="top"/>
    </xf>
    <xf numFmtId="14" fontId="19" fillId="0" borderId="0" xfId="0" applyNumberFormat="1" applyFont="1" applyAlignment="1">
      <alignment vertical="top"/>
    </xf>
    <xf numFmtId="0" fontId="19" fillId="0" borderId="15" xfId="0" applyFont="1" applyBorder="1" applyAlignment="1">
      <alignment vertical="top"/>
    </xf>
    <xf numFmtId="0" fontId="19" fillId="0" borderId="15" xfId="0" applyFont="1" applyBorder="1" applyAlignment="1">
      <alignment horizontal="right" vertical="top"/>
    </xf>
    <xf numFmtId="9" fontId="20" fillId="0" borderId="15" xfId="0" applyNumberFormat="1" applyFont="1" applyBorder="1" applyAlignment="1">
      <alignment horizontal="center" vertical="top"/>
    </xf>
    <xf numFmtId="0" fontId="19" fillId="0" borderId="15" xfId="0" applyFont="1" applyBorder="1" applyAlignment="1">
      <alignment horizontal="center" vertical="top"/>
    </xf>
    <xf numFmtId="170" fontId="19" fillId="0" borderId="15" xfId="2" quotePrefix="1" applyNumberFormat="1" applyFill="1" applyBorder="1" applyAlignment="1">
      <alignment horizontal="center" vertical="top"/>
    </xf>
    <xf numFmtId="0" fontId="20" fillId="0" borderId="18" xfId="0" quotePrefix="1" applyFont="1" applyBorder="1" applyAlignment="1">
      <alignment horizontal="centerContinuous" vertical="top"/>
    </xf>
    <xf numFmtId="0" fontId="19" fillId="0" borderId="19" xfId="0" applyFont="1" applyBorder="1" applyAlignment="1">
      <alignment vertical="top"/>
    </xf>
    <xf numFmtId="0" fontId="20" fillId="0" borderId="67" xfId="0" applyFont="1" applyBorder="1" applyAlignment="1">
      <alignment horizontal="center" vertical="top"/>
    </xf>
    <xf numFmtId="0" fontId="20" fillId="0" borderId="11" xfId="0" applyFont="1" applyBorder="1" applyAlignment="1">
      <alignment vertical="top"/>
    </xf>
    <xf numFmtId="0" fontId="20" fillId="0" borderId="11" xfId="0" applyFont="1" applyBorder="1" applyAlignment="1">
      <alignment horizontal="center" vertical="top"/>
    </xf>
    <xf numFmtId="3" fontId="19" fillId="0" borderId="11" xfId="2" applyNumberFormat="1" applyFont="1" applyFill="1" applyBorder="1" applyAlignment="1">
      <alignment horizontal="center" vertical="top"/>
    </xf>
    <xf numFmtId="168" fontId="19" fillId="0" borderId="11" xfId="2" applyNumberFormat="1" applyFont="1" applyFill="1" applyBorder="1" applyAlignment="1">
      <alignment vertical="top"/>
    </xf>
    <xf numFmtId="168" fontId="19" fillId="0" borderId="11" xfId="2" applyNumberFormat="1" applyFont="1" applyFill="1" applyBorder="1" applyAlignment="1">
      <alignment horizontal="center" vertical="top"/>
    </xf>
    <xf numFmtId="168" fontId="19" fillId="0" borderId="68" xfId="2" applyNumberFormat="1" applyFont="1" applyFill="1" applyBorder="1" applyAlignment="1">
      <alignment vertical="top"/>
    </xf>
    <xf numFmtId="168" fontId="19" fillId="0" borderId="0" xfId="2" applyNumberFormat="1" applyFont="1" applyFill="1" applyBorder="1" applyAlignment="1">
      <alignment vertical="top"/>
    </xf>
    <xf numFmtId="0" fontId="20" fillId="0" borderId="23" xfId="0" applyFont="1" applyBorder="1" applyAlignment="1">
      <alignment horizontal="right" vertical="top"/>
    </xf>
    <xf numFmtId="168" fontId="19" fillId="0" borderId="26" xfId="2" applyNumberFormat="1" applyFont="1" applyFill="1" applyBorder="1" applyAlignment="1">
      <alignment horizontal="center" vertical="top"/>
    </xf>
    <xf numFmtId="168" fontId="19" fillId="0" borderId="70" xfId="2" applyNumberFormat="1" applyFont="1" applyFill="1" applyBorder="1" applyAlignment="1">
      <alignment horizontal="center" vertical="top"/>
    </xf>
    <xf numFmtId="0" fontId="19" fillId="0" borderId="30" xfId="0" applyFont="1" applyBorder="1" applyAlignment="1">
      <alignment vertical="top"/>
    </xf>
    <xf numFmtId="0" fontId="20" fillId="0" borderId="30" xfId="0" applyFont="1" applyBorder="1" applyAlignment="1">
      <alignment horizontal="center" vertical="top"/>
    </xf>
    <xf numFmtId="3" fontId="19" fillId="0" borderId="30" xfId="2" applyNumberFormat="1" applyFont="1" applyFill="1" applyBorder="1" applyAlignment="1">
      <alignment horizontal="center" vertical="top"/>
    </xf>
    <xf numFmtId="168" fontId="19" fillId="0" borderId="30" xfId="2" applyNumberFormat="1" applyFont="1" applyFill="1" applyBorder="1" applyAlignment="1">
      <alignment horizontal="center" vertical="top"/>
    </xf>
    <xf numFmtId="0" fontId="19" fillId="0" borderId="30" xfId="0" applyFont="1" applyBorder="1" applyAlignment="1">
      <alignment horizontal="center" vertical="top"/>
    </xf>
    <xf numFmtId="0" fontId="19" fillId="0" borderId="23" xfId="0" applyFont="1" applyBorder="1" applyAlignment="1">
      <alignment vertical="top"/>
    </xf>
    <xf numFmtId="3" fontId="19" fillId="0" borderId="23" xfId="2" applyNumberFormat="1" applyFont="1" applyFill="1" applyBorder="1" applyAlignment="1">
      <alignment horizontal="center" vertical="top"/>
    </xf>
    <xf numFmtId="168" fontId="19" fillId="0" borderId="69" xfId="2" applyNumberFormat="1" applyFont="1" applyFill="1" applyBorder="1" applyAlignment="1">
      <alignment horizontal="center" vertical="top"/>
    </xf>
    <xf numFmtId="168" fontId="19" fillId="0" borderId="30" xfId="2" applyNumberFormat="1" applyFill="1" applyBorder="1" applyAlignment="1">
      <alignment horizontal="center" vertical="top"/>
    </xf>
    <xf numFmtId="168" fontId="19" fillId="0" borderId="0" xfId="2" applyNumberFormat="1" applyFont="1" applyFill="1" applyAlignment="1">
      <alignment vertical="top"/>
    </xf>
    <xf numFmtId="168" fontId="19" fillId="0" borderId="0" xfId="2" applyNumberFormat="1" applyFill="1" applyAlignment="1">
      <alignment vertical="top"/>
    </xf>
    <xf numFmtId="168" fontId="19" fillId="0" borderId="67" xfId="2" applyNumberFormat="1" applyFont="1" applyFill="1" applyBorder="1" applyAlignment="1">
      <alignment vertical="top"/>
    </xf>
    <xf numFmtId="0" fontId="20" fillId="0" borderId="0" xfId="0" applyFont="1" applyAlignment="1">
      <alignment horizontal="left" vertical="top"/>
    </xf>
    <xf numFmtId="9" fontId="20" fillId="0" borderId="0" xfId="3" applyFont="1" applyFill="1" applyBorder="1" applyAlignment="1">
      <alignment horizontal="center" vertical="top"/>
    </xf>
    <xf numFmtId="168" fontId="19" fillId="0" borderId="0" xfId="2" applyNumberFormat="1" applyFill="1" applyBorder="1" applyAlignment="1">
      <alignment vertical="top"/>
    </xf>
    <xf numFmtId="166" fontId="20" fillId="0" borderId="0" xfId="1" applyNumberFormat="1" applyFont="1" applyFill="1" applyAlignment="1">
      <alignment horizontal="center" vertical="top"/>
    </xf>
    <xf numFmtId="168" fontId="20" fillId="0" borderId="0" xfId="2" applyNumberFormat="1" applyFont="1" applyFill="1" applyAlignment="1">
      <alignment horizontal="center" vertical="top"/>
    </xf>
    <xf numFmtId="168" fontId="20" fillId="0" borderId="67" xfId="2" applyNumberFormat="1" applyFont="1" applyFill="1" applyBorder="1" applyAlignment="1">
      <alignment horizontal="center" vertical="top"/>
    </xf>
    <xf numFmtId="168" fontId="19" fillId="0" borderId="0" xfId="2" applyNumberFormat="1" applyFont="1" applyFill="1" applyAlignment="1">
      <alignment horizontal="center" vertical="top"/>
    </xf>
    <xf numFmtId="9" fontId="19" fillId="0" borderId="0" xfId="0" applyNumberFormat="1" applyFont="1" applyAlignment="1">
      <alignment horizontal="center" vertical="top"/>
    </xf>
    <xf numFmtId="168" fontId="19" fillId="0" borderId="67" xfId="2" applyNumberFormat="1" applyFont="1" applyFill="1" applyBorder="1" applyAlignment="1">
      <alignment horizontal="center" vertical="top"/>
    </xf>
    <xf numFmtId="164" fontId="0" fillId="0" borderId="0" xfId="3" applyNumberFormat="1" applyFont="1" applyFill="1" applyAlignment="1">
      <alignment horizontal="center" vertical="top"/>
    </xf>
    <xf numFmtId="168" fontId="19" fillId="0" borderId="0" xfId="2" quotePrefix="1" applyNumberFormat="1" applyFont="1" applyFill="1" applyBorder="1" applyAlignment="1" applyProtection="1">
      <alignment horizontal="center" vertical="top"/>
      <protection locked="0"/>
    </xf>
    <xf numFmtId="3" fontId="20" fillId="0" borderId="36" xfId="2" applyNumberFormat="1" applyFont="1" applyFill="1" applyBorder="1" applyAlignment="1">
      <alignment horizontal="center" vertical="top"/>
    </xf>
    <xf numFmtId="170" fontId="19" fillId="0" borderId="22" xfId="2" applyNumberFormat="1" applyFont="1" applyFill="1" applyBorder="1" applyAlignment="1">
      <alignment vertical="top"/>
    </xf>
    <xf numFmtId="3" fontId="19" fillId="0" borderId="0" xfId="2" applyNumberFormat="1" applyFont="1" applyFill="1" applyAlignment="1">
      <alignment vertical="top"/>
    </xf>
    <xf numFmtId="170" fontId="20" fillId="0" borderId="80" xfId="2" applyNumberFormat="1" applyFont="1" applyBorder="1" applyAlignment="1">
      <alignment vertical="top"/>
    </xf>
    <xf numFmtId="170" fontId="20" fillId="0" borderId="59" xfId="2" applyNumberFormat="1" applyFont="1" applyFill="1" applyBorder="1" applyAlignment="1">
      <alignment vertical="top"/>
    </xf>
    <xf numFmtId="0" fontId="20" fillId="0" borderId="80" xfId="0" applyFont="1" applyBorder="1" applyAlignment="1">
      <alignment horizontal="center" vertical="top"/>
    </xf>
    <xf numFmtId="166" fontId="20" fillId="0" borderId="80" xfId="1" applyNumberFormat="1" applyFont="1" applyFill="1" applyBorder="1" applyAlignment="1">
      <alignment horizontal="center" vertical="top"/>
    </xf>
    <xf numFmtId="168" fontId="20" fillId="0" borderId="80" xfId="2" applyNumberFormat="1" applyFont="1" applyFill="1" applyBorder="1" applyAlignment="1">
      <alignment horizontal="center" vertical="top"/>
    </xf>
    <xf numFmtId="166" fontId="20" fillId="18" borderId="80" xfId="1" applyNumberFormat="1" applyFont="1" applyFill="1" applyBorder="1" applyAlignment="1">
      <alignment horizontal="center" vertical="top"/>
    </xf>
    <xf numFmtId="168" fontId="20" fillId="18" borderId="80" xfId="2" applyNumberFormat="1" applyFont="1" applyFill="1" applyBorder="1" applyAlignment="1">
      <alignment horizontal="center" vertical="top"/>
    </xf>
    <xf numFmtId="168" fontId="19" fillId="0" borderId="23" xfId="2" applyNumberFormat="1" applyFont="1" applyFill="1" applyBorder="1" applyAlignment="1">
      <alignment horizontal="center" vertical="top"/>
    </xf>
    <xf numFmtId="170" fontId="0" fillId="0" borderId="0" xfId="2" applyNumberFormat="1" applyFont="1" applyAlignment="1">
      <alignment horizontal="centerContinuous" wrapText="1"/>
    </xf>
    <xf numFmtId="5" fontId="18" fillId="33" borderId="0" xfId="0" applyNumberFormat="1" applyFont="1" applyFill="1" applyAlignment="1">
      <alignment vertical="top"/>
    </xf>
    <xf numFmtId="0" fontId="0" fillId="33" borderId="0" xfId="0" applyFill="1" applyAlignment="1">
      <alignment vertical="top"/>
    </xf>
    <xf numFmtId="0" fontId="20" fillId="33" borderId="0" xfId="0" applyFont="1" applyFill="1" applyAlignment="1">
      <alignment horizontal="center" vertical="top"/>
    </xf>
    <xf numFmtId="0" fontId="0" fillId="33" borderId="0" xfId="0" applyFill="1" applyAlignment="1">
      <alignment horizontal="center" vertical="top"/>
    </xf>
    <xf numFmtId="171" fontId="20" fillId="33" borderId="0" xfId="0" applyNumberFormat="1" applyFont="1" applyFill="1" applyAlignment="1">
      <alignment horizontal="center" vertical="top"/>
    </xf>
    <xf numFmtId="0" fontId="20" fillId="33" borderId="0" xfId="0" applyFont="1" applyFill="1" applyAlignment="1">
      <alignment vertical="top"/>
    </xf>
    <xf numFmtId="14" fontId="0" fillId="33" borderId="0" xfId="0" applyNumberFormat="1" applyFill="1" applyAlignment="1">
      <alignment vertical="top"/>
    </xf>
    <xf numFmtId="14" fontId="0" fillId="33" borderId="0" xfId="0" applyNumberFormat="1" applyFill="1" applyAlignment="1">
      <alignment horizontal="center" vertical="top"/>
    </xf>
    <xf numFmtId="0" fontId="18" fillId="33" borderId="0" xfId="0" applyFont="1" applyFill="1" applyAlignment="1">
      <alignment vertical="top"/>
    </xf>
    <xf numFmtId="5" fontId="18" fillId="33" borderId="8" xfId="4" applyNumberFormat="1" applyFont="1" applyFill="1" applyBorder="1" applyAlignment="1">
      <alignment vertical="top"/>
    </xf>
    <xf numFmtId="5" fontId="24" fillId="33" borderId="15" xfId="0" applyNumberFormat="1" applyFont="1" applyFill="1" applyBorder="1" applyAlignment="1">
      <alignment horizontal="left" vertical="top"/>
    </xf>
    <xf numFmtId="9" fontId="20" fillId="33" borderId="15" xfId="0" applyNumberFormat="1" applyFont="1" applyFill="1" applyBorder="1" applyAlignment="1">
      <alignment horizontal="center" vertical="top"/>
    </xf>
    <xf numFmtId="0" fontId="0" fillId="33" borderId="15" xfId="0" applyFill="1" applyBorder="1" applyAlignment="1">
      <alignment horizontal="center" vertical="top"/>
    </xf>
    <xf numFmtId="0" fontId="0" fillId="33" borderId="15" xfId="0" applyFill="1" applyBorder="1" applyAlignment="1">
      <alignment vertical="top"/>
    </xf>
    <xf numFmtId="170" fontId="19" fillId="33" borderId="15" xfId="2" quotePrefix="1" applyNumberFormat="1" applyFill="1" applyBorder="1" applyAlignment="1">
      <alignment horizontal="center" vertical="top"/>
    </xf>
    <xf numFmtId="0" fontId="20" fillId="33" borderId="18" xfId="0" applyFont="1" applyFill="1" applyBorder="1" applyAlignment="1">
      <alignment horizontal="centerContinuous" vertical="top"/>
    </xf>
    <xf numFmtId="0" fontId="20" fillId="33" borderId="11" xfId="0" applyFont="1" applyFill="1" applyBorder="1" applyAlignment="1">
      <alignment vertical="top"/>
    </xf>
    <xf numFmtId="0" fontId="20" fillId="33" borderId="11" xfId="0" applyFont="1" applyFill="1" applyBorder="1" applyAlignment="1">
      <alignment horizontal="center" vertical="top"/>
    </xf>
    <xf numFmtId="3" fontId="19" fillId="33" borderId="11" xfId="2" applyNumberFormat="1" applyFill="1" applyBorder="1" applyAlignment="1">
      <alignment horizontal="center" vertical="top"/>
    </xf>
    <xf numFmtId="168" fontId="19" fillId="33" borderId="11" xfId="2" applyNumberFormat="1" applyFill="1" applyBorder="1" applyAlignment="1">
      <alignment vertical="top"/>
    </xf>
    <xf numFmtId="168" fontId="19" fillId="33" borderId="11" xfId="2" applyNumberFormat="1" applyFill="1" applyBorder="1" applyAlignment="1">
      <alignment horizontal="center" vertical="top"/>
    </xf>
    <xf numFmtId="168" fontId="19" fillId="33" borderId="21" xfId="2" applyNumberFormat="1" applyFill="1" applyBorder="1" applyAlignment="1">
      <alignment vertical="top"/>
    </xf>
    <xf numFmtId="0" fontId="0" fillId="33" borderId="23" xfId="0" applyFill="1" applyBorder="1" applyAlignment="1">
      <alignment vertical="top"/>
    </xf>
    <xf numFmtId="0" fontId="19" fillId="33" borderId="23" xfId="0" applyFont="1" applyFill="1" applyBorder="1" applyAlignment="1">
      <alignment horizontal="center" vertical="top"/>
    </xf>
    <xf numFmtId="9" fontId="20" fillId="33" borderId="23" xfId="0" applyNumberFormat="1" applyFont="1" applyFill="1" applyBorder="1" applyAlignment="1" applyProtection="1">
      <alignment horizontal="center" vertical="top"/>
      <protection locked="0"/>
    </xf>
    <xf numFmtId="3" fontId="19" fillId="33" borderId="23" xfId="2" applyNumberFormat="1" applyFont="1" applyFill="1" applyBorder="1" applyAlignment="1">
      <alignment horizontal="center" vertical="top"/>
    </xf>
    <xf numFmtId="168" fontId="19" fillId="33" borderId="23" xfId="2" applyNumberFormat="1" applyFill="1" applyBorder="1" applyAlignment="1">
      <alignment horizontal="center" vertical="top"/>
    </xf>
    <xf numFmtId="3" fontId="19" fillId="33" borderId="23" xfId="2" applyNumberFormat="1" applyFill="1" applyBorder="1" applyAlignment="1" applyProtection="1">
      <alignment horizontal="center" vertical="top"/>
      <protection locked="0"/>
    </xf>
    <xf numFmtId="0" fontId="20" fillId="33" borderId="23" xfId="0" applyFont="1" applyFill="1" applyBorder="1" applyAlignment="1">
      <alignment horizontal="right" vertical="top"/>
    </xf>
    <xf numFmtId="168" fontId="19" fillId="33" borderId="26" xfId="2" applyNumberFormat="1" applyFill="1" applyBorder="1" applyAlignment="1">
      <alignment horizontal="center" vertical="top"/>
    </xf>
    <xf numFmtId="3" fontId="19" fillId="33" borderId="23" xfId="2" applyNumberFormat="1" applyFill="1" applyBorder="1" applyAlignment="1">
      <alignment horizontal="center" vertical="top"/>
    </xf>
    <xf numFmtId="164" fontId="20" fillId="33" borderId="23" xfId="0" applyNumberFormat="1" applyFont="1" applyFill="1" applyBorder="1" applyAlignment="1" applyProtection="1">
      <alignment horizontal="center" vertical="top"/>
      <protection locked="0"/>
    </xf>
    <xf numFmtId="168" fontId="19" fillId="33" borderId="28" xfId="2" applyNumberFormat="1" applyFill="1" applyBorder="1" applyAlignment="1">
      <alignment horizontal="center" vertical="top"/>
    </xf>
    <xf numFmtId="0" fontId="19" fillId="33" borderId="28" xfId="0" applyFont="1" applyFill="1" applyBorder="1" applyAlignment="1">
      <alignment horizontal="center" vertical="top"/>
    </xf>
    <xf numFmtId="168" fontId="19" fillId="33" borderId="21" xfId="2" applyNumberFormat="1" applyFill="1" applyBorder="1" applyAlignment="1">
      <alignment horizontal="center" vertical="top"/>
    </xf>
    <xf numFmtId="0" fontId="20" fillId="33" borderId="23" xfId="0" applyFont="1" applyFill="1" applyBorder="1" applyAlignment="1">
      <alignment horizontal="center" vertical="top"/>
    </xf>
    <xf numFmtId="0" fontId="19" fillId="33" borderId="0" xfId="0" applyFont="1" applyFill="1" applyAlignment="1">
      <alignment horizontal="center" vertical="top"/>
    </xf>
    <xf numFmtId="3" fontId="19" fillId="33" borderId="0" xfId="2" applyNumberFormat="1" applyFill="1" applyBorder="1" applyAlignment="1">
      <alignment horizontal="center" vertical="top"/>
    </xf>
    <xf numFmtId="44" fontId="19" fillId="33" borderId="0" xfId="2" applyFill="1" applyBorder="1" applyAlignment="1">
      <alignment horizontal="center" vertical="top"/>
    </xf>
    <xf numFmtId="3" fontId="19" fillId="33" borderId="0" xfId="2" applyNumberFormat="1" applyFill="1" applyAlignment="1">
      <alignment horizontal="center" vertical="top"/>
    </xf>
    <xf numFmtId="168" fontId="19" fillId="33" borderId="0" xfId="2" applyNumberFormat="1" applyFill="1" applyAlignment="1">
      <alignment horizontal="center" vertical="top"/>
    </xf>
    <xf numFmtId="0" fontId="20" fillId="33" borderId="30" xfId="0" applyFont="1" applyFill="1" applyBorder="1" applyAlignment="1">
      <alignment horizontal="right" vertical="top"/>
    </xf>
    <xf numFmtId="0" fontId="19" fillId="33" borderId="30" xfId="0" applyFont="1" applyFill="1" applyBorder="1" applyAlignment="1">
      <alignment vertical="top"/>
    </xf>
    <xf numFmtId="0" fontId="20" fillId="33" borderId="30" xfId="0" applyFont="1" applyFill="1" applyBorder="1" applyAlignment="1">
      <alignment horizontal="center" vertical="top"/>
    </xf>
    <xf numFmtId="3" fontId="19" fillId="33" borderId="30" xfId="2" applyNumberFormat="1" applyFill="1" applyBorder="1" applyAlignment="1">
      <alignment horizontal="center" vertical="top"/>
    </xf>
    <xf numFmtId="168" fontId="19" fillId="33" borderId="30" xfId="2" applyNumberFormat="1" applyFill="1" applyBorder="1" applyAlignment="1">
      <alignment horizontal="center" vertical="top"/>
    </xf>
    <xf numFmtId="168" fontId="19" fillId="33" borderId="0" xfId="2" applyNumberFormat="1" applyFill="1" applyAlignment="1">
      <alignment vertical="top"/>
    </xf>
    <xf numFmtId="0" fontId="19" fillId="33" borderId="31" xfId="0" applyFont="1" applyFill="1" applyBorder="1" applyAlignment="1">
      <alignment horizontal="center" vertical="top"/>
    </xf>
    <xf numFmtId="166" fontId="19" fillId="33" borderId="23" xfId="1" applyNumberFormat="1" applyFill="1" applyBorder="1" applyAlignment="1">
      <alignment horizontal="center" vertical="top"/>
    </xf>
    <xf numFmtId="166" fontId="19" fillId="33" borderId="30" xfId="1" applyNumberFormat="1" applyFill="1" applyBorder="1" applyAlignment="1">
      <alignment horizontal="center" vertical="top"/>
    </xf>
    <xf numFmtId="0" fontId="0" fillId="33" borderId="23" xfId="0" applyFill="1" applyBorder="1" applyAlignment="1">
      <alignment horizontal="center" vertical="top"/>
    </xf>
    <xf numFmtId="0" fontId="19" fillId="33" borderId="11" xfId="0" applyFont="1" applyFill="1" applyBorder="1" applyAlignment="1">
      <alignment horizontal="center" vertical="top"/>
    </xf>
    <xf numFmtId="0" fontId="0" fillId="33" borderId="30" xfId="0" applyFill="1" applyBorder="1" applyAlignment="1">
      <alignment vertical="top"/>
    </xf>
    <xf numFmtId="0" fontId="19" fillId="33" borderId="0" xfId="0" applyFont="1" applyFill="1" applyAlignment="1">
      <alignment vertical="top"/>
    </xf>
    <xf numFmtId="3" fontId="19" fillId="33" borderId="0" xfId="2" applyNumberFormat="1" applyFont="1" applyFill="1" applyBorder="1" applyAlignment="1">
      <alignment horizontal="center" vertical="top"/>
    </xf>
    <xf numFmtId="168" fontId="19" fillId="33" borderId="0" xfId="2" applyNumberFormat="1" applyFont="1" applyFill="1" applyBorder="1" applyAlignment="1">
      <alignment vertical="top"/>
    </xf>
    <xf numFmtId="0" fontId="19" fillId="33" borderId="23" xfId="0" applyFont="1" applyFill="1" applyBorder="1" applyAlignment="1">
      <alignment vertical="top"/>
    </xf>
    <xf numFmtId="0" fontId="20" fillId="33" borderId="23" xfId="0" applyFont="1" applyFill="1" applyBorder="1" applyAlignment="1">
      <alignment vertical="top"/>
    </xf>
    <xf numFmtId="3" fontId="19" fillId="33" borderId="0" xfId="2" applyNumberFormat="1" applyFont="1" applyFill="1" applyAlignment="1">
      <alignment horizontal="center" vertical="top"/>
    </xf>
    <xf numFmtId="168" fontId="19" fillId="33" borderId="0" xfId="2" applyNumberFormat="1" applyFont="1" applyFill="1" applyAlignment="1">
      <alignment vertical="top"/>
    </xf>
    <xf numFmtId="172" fontId="19" fillId="33" borderId="23" xfId="1" applyNumberFormat="1" applyFill="1" applyBorder="1" applyAlignment="1">
      <alignment horizontal="center" vertical="top"/>
    </xf>
    <xf numFmtId="0" fontId="20" fillId="33" borderId="0" xfId="0" applyFont="1" applyFill="1" applyAlignment="1">
      <alignment horizontal="left" vertical="top"/>
    </xf>
    <xf numFmtId="168" fontId="19" fillId="33" borderId="0" xfId="2" applyNumberFormat="1" applyFill="1" applyBorder="1" applyAlignment="1">
      <alignment vertical="top"/>
    </xf>
    <xf numFmtId="0" fontId="19" fillId="33" borderId="33" xfId="0" applyFont="1" applyFill="1" applyBorder="1" applyAlignment="1">
      <alignment horizontal="center" vertical="top"/>
    </xf>
    <xf numFmtId="3" fontId="19" fillId="33" borderId="30" xfId="2" applyNumberFormat="1" applyFont="1" applyFill="1" applyBorder="1" applyAlignment="1">
      <alignment horizontal="center" vertical="top"/>
    </xf>
    <xf numFmtId="166" fontId="20" fillId="33" borderId="0" xfId="1" applyNumberFormat="1" applyFont="1" applyFill="1" applyAlignment="1">
      <alignment horizontal="center" vertical="top"/>
    </xf>
    <xf numFmtId="168" fontId="20" fillId="33" borderId="0" xfId="2" applyNumberFormat="1" applyFont="1" applyFill="1" applyAlignment="1">
      <alignment horizontal="center" vertical="top"/>
    </xf>
    <xf numFmtId="0" fontId="20" fillId="33" borderId="80" xfId="0" applyFont="1" applyFill="1" applyBorder="1" applyAlignment="1">
      <alignment vertical="top"/>
    </xf>
    <xf numFmtId="9" fontId="20" fillId="33" borderId="128" xfId="0" applyNumberFormat="1" applyFont="1" applyFill="1" applyBorder="1" applyAlignment="1" applyProtection="1">
      <alignment horizontal="center" vertical="top"/>
      <protection locked="0"/>
    </xf>
    <xf numFmtId="166" fontId="20" fillId="33" borderId="80" xfId="1" applyNumberFormat="1" applyFont="1" applyFill="1" applyBorder="1" applyAlignment="1">
      <alignment horizontal="center" vertical="top"/>
    </xf>
    <xf numFmtId="168" fontId="20" fillId="33" borderId="80" xfId="2" applyNumberFormat="1" applyFont="1" applyFill="1" applyBorder="1" applyAlignment="1">
      <alignment horizontal="center" vertical="top"/>
    </xf>
    <xf numFmtId="3" fontId="19" fillId="33" borderId="0" xfId="2" applyNumberFormat="1" applyFont="1" applyFill="1" applyAlignment="1">
      <alignment horizontal="left" vertical="top"/>
    </xf>
    <xf numFmtId="0" fontId="19" fillId="33" borderId="11" xfId="0" applyFont="1" applyFill="1" applyBorder="1" applyAlignment="1">
      <alignment vertical="top"/>
    </xf>
    <xf numFmtId="168" fontId="19" fillId="33" borderId="35" xfId="2" applyNumberFormat="1" applyFont="1" applyFill="1" applyBorder="1" applyAlignment="1">
      <alignment horizontal="center" vertical="top"/>
    </xf>
    <xf numFmtId="0" fontId="20" fillId="33" borderId="15" xfId="0" applyFont="1" applyFill="1" applyBorder="1" applyAlignment="1">
      <alignment vertical="top"/>
    </xf>
    <xf numFmtId="166" fontId="20" fillId="33" borderId="37" xfId="1" applyNumberFormat="1" applyFont="1" applyFill="1" applyBorder="1" applyAlignment="1">
      <alignment horizontal="center" vertical="top"/>
    </xf>
    <xf numFmtId="168" fontId="20" fillId="33" borderId="37" xfId="2" applyNumberFormat="1" applyFont="1" applyFill="1" applyBorder="1" applyAlignment="1">
      <alignment horizontal="center" vertical="top"/>
    </xf>
    <xf numFmtId="3" fontId="19" fillId="33" borderId="0" xfId="2" applyNumberFormat="1" applyFill="1" applyAlignment="1">
      <alignment vertical="top"/>
    </xf>
    <xf numFmtId="0" fontId="0" fillId="33" borderId="0" xfId="0" applyFill="1" applyAlignment="1">
      <alignment horizontal="centerContinuous" vertical="top" wrapText="1"/>
    </xf>
    <xf numFmtId="168" fontId="0" fillId="33" borderId="0" xfId="0" applyNumberFormat="1" applyFill="1" applyAlignment="1">
      <alignment vertical="top"/>
    </xf>
    <xf numFmtId="0" fontId="20" fillId="33" borderId="60" xfId="0" applyFont="1" applyFill="1" applyBorder="1" applyAlignment="1">
      <alignment horizontal="center" vertical="top"/>
    </xf>
    <xf numFmtId="0" fontId="20" fillId="33" borderId="60" xfId="0" applyFont="1" applyFill="1" applyBorder="1" applyAlignment="1">
      <alignment horizontal="centerContinuous" vertical="top"/>
    </xf>
    <xf numFmtId="0" fontId="0" fillId="33" borderId="80" xfId="0" applyFill="1" applyBorder="1" applyAlignment="1">
      <alignment vertical="top"/>
    </xf>
    <xf numFmtId="166" fontId="0" fillId="33" borderId="0" xfId="1" applyNumberFormat="1" applyFont="1" applyFill="1" applyBorder="1" applyAlignment="1">
      <alignment vertical="top"/>
    </xf>
    <xf numFmtId="3" fontId="19" fillId="33" borderId="0" xfId="2" applyNumberFormat="1" applyFill="1" applyBorder="1" applyAlignment="1">
      <alignment vertical="top"/>
    </xf>
    <xf numFmtId="0" fontId="0" fillId="33" borderId="88" xfId="0" applyFill="1" applyBorder="1" applyAlignment="1">
      <alignment vertical="top"/>
    </xf>
    <xf numFmtId="0" fontId="0" fillId="33" borderId="88" xfId="0" applyFill="1" applyBorder="1" applyAlignment="1">
      <alignment horizontal="center" vertical="top"/>
    </xf>
    <xf numFmtId="168" fontId="0" fillId="33" borderId="88" xfId="0" applyNumberFormat="1" applyFill="1" applyBorder="1" applyAlignment="1">
      <alignment vertical="top"/>
    </xf>
    <xf numFmtId="0" fontId="19" fillId="33" borderId="0" xfId="0" applyFont="1" applyFill="1" applyAlignment="1" applyProtection="1">
      <alignment vertical="top"/>
      <protection locked="0"/>
    </xf>
    <xf numFmtId="166" fontId="0" fillId="33" borderId="0" xfId="1" applyNumberFormat="1" applyFont="1" applyFill="1" applyBorder="1" applyAlignment="1">
      <alignment horizontal="center" vertical="top"/>
    </xf>
    <xf numFmtId="0" fontId="84" fillId="0" borderId="0" xfId="0" applyFont="1" applyAlignment="1">
      <alignment horizontal="left" vertical="top"/>
    </xf>
    <xf numFmtId="0" fontId="52" fillId="18" borderId="0" xfId="0" applyFont="1" applyFill="1" applyAlignment="1">
      <alignment horizontal="left" vertical="top"/>
    </xf>
    <xf numFmtId="0" fontId="19" fillId="10" borderId="0" xfId="0" applyFont="1" applyFill="1" applyAlignment="1">
      <alignment vertical="top"/>
    </xf>
    <xf numFmtId="10" fontId="0" fillId="0" borderId="0" xfId="3" applyNumberFormat="1" applyFont="1" applyBorder="1"/>
    <xf numFmtId="0" fontId="20" fillId="0" borderId="0" xfId="0" applyFont="1" applyAlignment="1">
      <alignment horizontal="right" vertical="top"/>
    </xf>
    <xf numFmtId="166" fontId="20" fillId="0" borderId="0" xfId="1" applyNumberFormat="1" applyFont="1" applyAlignment="1">
      <alignment horizontal="right" vertical="top" wrapText="1"/>
    </xf>
    <xf numFmtId="166" fontId="20" fillId="0" borderId="0" xfId="1" applyNumberFormat="1" applyFont="1" applyAlignment="1">
      <alignment horizontal="right" vertical="top"/>
    </xf>
    <xf numFmtId="166" fontId="0" fillId="0" borderId="5" xfId="1" applyNumberFormat="1" applyFont="1" applyBorder="1" applyAlignment="1">
      <alignment vertical="top"/>
    </xf>
    <xf numFmtId="166" fontId="0" fillId="0" borderId="6" xfId="1" applyNumberFormat="1" applyFont="1" applyBorder="1" applyAlignment="1">
      <alignment vertical="top"/>
    </xf>
    <xf numFmtId="166" fontId="0" fillId="21" borderId="10" xfId="0" applyNumberFormat="1" applyFill="1" applyBorder="1" applyAlignment="1">
      <alignment vertical="top"/>
    </xf>
    <xf numFmtId="0" fontId="0" fillId="0" borderId="11" xfId="0" applyBorder="1" applyAlignment="1">
      <alignment vertical="top"/>
    </xf>
    <xf numFmtId="0" fontId="16" fillId="0" borderId="0" xfId="0" applyFont="1" applyAlignment="1">
      <alignment vertical="top"/>
    </xf>
    <xf numFmtId="0" fontId="0" fillId="23" borderId="0" xfId="0" applyFill="1" applyAlignment="1">
      <alignment horizontal="center" vertical="top"/>
    </xf>
    <xf numFmtId="0" fontId="0" fillId="23" borderId="0" xfId="0" applyFill="1" applyAlignment="1">
      <alignment vertical="top"/>
    </xf>
    <xf numFmtId="166" fontId="0" fillId="23" borderId="0" xfId="1" applyNumberFormat="1" applyFont="1" applyFill="1" applyAlignment="1">
      <alignment vertical="top"/>
    </xf>
    <xf numFmtId="0" fontId="0" fillId="0" borderId="0" xfId="0" applyAlignment="1">
      <alignment horizontal="left"/>
    </xf>
    <xf numFmtId="3" fontId="0" fillId="0" borderId="0" xfId="0" applyNumberFormat="1"/>
    <xf numFmtId="168" fontId="19" fillId="0" borderId="28" xfId="2" applyNumberFormat="1" applyFill="1" applyBorder="1" applyAlignment="1">
      <alignment horizontal="center" vertical="top"/>
    </xf>
    <xf numFmtId="168" fontId="19" fillId="0" borderId="23" xfId="2" applyNumberFormat="1" applyFill="1" applyBorder="1" applyAlignment="1" applyProtection="1">
      <alignment horizontal="center" vertical="top"/>
      <protection locked="0"/>
    </xf>
    <xf numFmtId="168" fontId="19" fillId="0" borderId="28" xfId="2" applyNumberFormat="1" applyFont="1" applyFill="1" applyBorder="1" applyAlignment="1">
      <alignment horizontal="center" vertical="top"/>
    </xf>
    <xf numFmtId="0" fontId="47" fillId="0" borderId="0" xfId="0" applyFont="1" applyAlignment="1">
      <alignment vertical="top"/>
    </xf>
    <xf numFmtId="0" fontId="47" fillId="0" borderId="0" xfId="10" applyFont="1" applyAlignment="1">
      <alignment vertical="top"/>
    </xf>
    <xf numFmtId="0" fontId="48" fillId="13" borderId="58" xfId="0" applyFont="1" applyFill="1" applyBorder="1" applyAlignment="1">
      <alignment horizontal="center" vertical="top" wrapText="1"/>
    </xf>
    <xf numFmtId="0" fontId="48" fillId="13" borderId="59" xfId="0" applyFont="1" applyFill="1" applyBorder="1" applyAlignment="1">
      <alignment horizontal="center" vertical="top" wrapText="1"/>
    </xf>
    <xf numFmtId="0" fontId="48" fillId="13" borderId="62" xfId="0" applyFont="1" applyFill="1" applyBorder="1" applyAlignment="1">
      <alignment horizontal="center" vertical="top" wrapText="1"/>
    </xf>
    <xf numFmtId="0" fontId="48" fillId="13" borderId="22" xfId="0" applyFont="1" applyFill="1" applyBorder="1" applyAlignment="1">
      <alignment horizontal="center" vertical="top" wrapText="1"/>
    </xf>
    <xf numFmtId="0" fontId="48" fillId="13" borderId="64" xfId="0" applyFont="1" applyFill="1" applyBorder="1" applyAlignment="1">
      <alignment horizontal="center" vertical="top" wrapText="1"/>
    </xf>
    <xf numFmtId="0" fontId="49" fillId="0" borderId="66" xfId="0" applyFont="1" applyBorder="1" applyAlignment="1">
      <alignment horizontal="left" vertical="top" wrapText="1"/>
    </xf>
    <xf numFmtId="3" fontId="50" fillId="0" borderId="57" xfId="0" applyNumberFormat="1" applyFont="1" applyBorder="1" applyAlignment="1">
      <alignment horizontal="right" vertical="top" wrapText="1"/>
    </xf>
    <xf numFmtId="0" fontId="48" fillId="14" borderId="62" xfId="0" applyFont="1" applyFill="1" applyBorder="1" applyAlignment="1">
      <alignment vertical="top" wrapText="1"/>
    </xf>
    <xf numFmtId="0" fontId="50" fillId="0" borderId="55" xfId="0" applyFont="1" applyBorder="1" applyAlignment="1">
      <alignment vertical="top" wrapText="1"/>
    </xf>
    <xf numFmtId="3" fontId="50" fillId="0" borderId="55" xfId="0" applyNumberFormat="1" applyFont="1" applyBorder="1" applyAlignment="1">
      <alignment horizontal="right" vertical="top" wrapText="1"/>
    </xf>
    <xf numFmtId="0" fontId="12" fillId="0" borderId="0" xfId="25"/>
    <xf numFmtId="0" fontId="42" fillId="0" borderId="116" xfId="8" applyFont="1" applyBorder="1"/>
    <xf numFmtId="0" fontId="42" fillId="0" borderId="117" xfId="8" applyFont="1" applyBorder="1"/>
    <xf numFmtId="0" fontId="42" fillId="0" borderId="129" xfId="8" applyFont="1" applyBorder="1" applyAlignment="1">
      <alignment horizontal="left" textRotation="59"/>
    </xf>
    <xf numFmtId="0" fontId="42" fillId="0" borderId="130" xfId="8" applyFont="1" applyBorder="1" applyAlignment="1">
      <alignment horizontal="center"/>
    </xf>
    <xf numFmtId="0" fontId="12" fillId="0" borderId="131" xfId="25" applyBorder="1"/>
    <xf numFmtId="0" fontId="12" fillId="0" borderId="132" xfId="25" applyBorder="1"/>
    <xf numFmtId="0" fontId="43" fillId="7" borderId="133" xfId="8" applyFont="1" applyFill="1" applyBorder="1"/>
    <xf numFmtId="0" fontId="12" fillId="7" borderId="4" xfId="25" applyFill="1" applyBorder="1"/>
    <xf numFmtId="0" fontId="12" fillId="0" borderId="133" xfId="25" applyBorder="1"/>
    <xf numFmtId="0" fontId="12" fillId="0" borderId="14" xfId="25" applyBorder="1"/>
    <xf numFmtId="0" fontId="12" fillId="0" borderId="4" xfId="25" applyBorder="1"/>
    <xf numFmtId="0" fontId="43" fillId="0" borderId="133" xfId="8" applyFont="1" applyBorder="1"/>
    <xf numFmtId="0" fontId="85" fillId="7" borderId="4" xfId="25" applyFont="1" applyFill="1" applyBorder="1"/>
    <xf numFmtId="0" fontId="85" fillId="0" borderId="4" xfId="25" applyFont="1" applyBorder="1"/>
    <xf numFmtId="0" fontId="85" fillId="0" borderId="14" xfId="25" applyFont="1" applyBorder="1"/>
    <xf numFmtId="0" fontId="43" fillId="0" borderId="14" xfId="8" applyFont="1" applyBorder="1" applyAlignment="1">
      <alignment horizontal="left" indent="3"/>
    </xf>
    <xf numFmtId="0" fontId="43" fillId="0" borderId="0" xfId="8" applyFont="1" applyAlignment="1">
      <alignment horizontal="left"/>
    </xf>
    <xf numFmtId="0" fontId="43" fillId="0" borderId="135" xfId="8" applyFont="1" applyBorder="1"/>
    <xf numFmtId="0" fontId="43" fillId="0" borderId="136" xfId="8" applyFont="1" applyBorder="1"/>
    <xf numFmtId="0" fontId="85" fillId="0" borderId="137" xfId="25" applyFont="1" applyBorder="1"/>
    <xf numFmtId="0" fontId="43" fillId="0" borderId="133" xfId="8" applyFont="1" applyBorder="1" applyAlignment="1">
      <alignment horizontal="left" indent="1"/>
    </xf>
    <xf numFmtId="0" fontId="19" fillId="0" borderId="0" xfId="0" applyFont="1" applyAlignment="1">
      <alignment horizontal="left" indent="2"/>
    </xf>
    <xf numFmtId="0" fontId="19" fillId="0" borderId="124" xfId="0" applyFont="1" applyBorder="1" applyAlignment="1">
      <alignment horizontal="left" indent="2"/>
    </xf>
    <xf numFmtId="0" fontId="36" fillId="0" borderId="124" xfId="6" applyFont="1" applyBorder="1"/>
    <xf numFmtId="0" fontId="12" fillId="0" borderId="14" xfId="25" applyBorder="1" applyAlignment="1">
      <alignment horizontal="left"/>
    </xf>
    <xf numFmtId="0" fontId="12" fillId="0" borderId="134" xfId="25" applyBorder="1" applyAlignment="1">
      <alignment horizontal="left"/>
    </xf>
    <xf numFmtId="0" fontId="85" fillId="0" borderId="14" xfId="25" applyFont="1" applyBorder="1" applyAlignment="1">
      <alignment horizontal="left"/>
    </xf>
    <xf numFmtId="0" fontId="85" fillId="0" borderId="134" xfId="25" applyFont="1" applyBorder="1" applyAlignment="1">
      <alignment horizontal="left"/>
    </xf>
    <xf numFmtId="0" fontId="12" fillId="0" borderId="14" xfId="25" applyBorder="1" applyAlignment="1">
      <alignment horizontal="left" wrapText="1"/>
    </xf>
    <xf numFmtId="0" fontId="12" fillId="0" borderId="134" xfId="25" applyBorder="1" applyAlignment="1">
      <alignment horizontal="left" wrapText="1"/>
    </xf>
    <xf numFmtId="0" fontId="85" fillId="0" borderId="14" xfId="25" applyFont="1" applyBorder="1" applyAlignment="1">
      <alignment horizontal="left" wrapText="1"/>
    </xf>
    <xf numFmtId="0" fontId="85" fillId="0" borderId="134" xfId="25" applyFont="1" applyBorder="1" applyAlignment="1">
      <alignment horizontal="left" wrapText="1"/>
    </xf>
    <xf numFmtId="0" fontId="55" fillId="0" borderId="0" xfId="24" applyFont="1" applyAlignment="1">
      <alignment horizontal="right" vertical="center"/>
    </xf>
    <xf numFmtId="0" fontId="81" fillId="0" borderId="0" xfId="10" applyFont="1"/>
    <xf numFmtId="0" fontId="82" fillId="0" borderId="0" xfId="10" applyFont="1" applyAlignment="1">
      <alignment vertical="center"/>
    </xf>
    <xf numFmtId="0" fontId="82" fillId="0" borderId="0" xfId="10" applyFont="1" applyAlignment="1">
      <alignment horizontal="right" vertical="center"/>
    </xf>
    <xf numFmtId="170" fontId="18" fillId="33" borderId="8" xfId="22" applyNumberFormat="1" applyFont="1" applyFill="1" applyBorder="1" applyAlignment="1">
      <alignment vertical="top"/>
    </xf>
    <xf numFmtId="170" fontId="26" fillId="33" borderId="8" xfId="22" applyNumberFormat="1" applyFont="1" applyFill="1" applyBorder="1" applyAlignment="1">
      <alignment vertical="top"/>
    </xf>
    <xf numFmtId="170" fontId="26" fillId="33" borderId="8" xfId="22" quotePrefix="1" applyNumberFormat="1" applyFont="1" applyFill="1" applyBorder="1" applyAlignment="1">
      <alignment vertical="top"/>
    </xf>
    <xf numFmtId="170" fontId="18" fillId="33" borderId="8" xfId="20" applyNumberFormat="1" applyFont="1" applyFill="1" applyBorder="1" applyAlignment="1">
      <alignment vertical="top"/>
    </xf>
    <xf numFmtId="170" fontId="18" fillId="33" borderId="9" xfId="22" applyNumberFormat="1" applyFont="1" applyFill="1" applyBorder="1" applyAlignment="1">
      <alignment vertical="top"/>
    </xf>
    <xf numFmtId="170" fontId="26" fillId="33" borderId="9" xfId="22" applyNumberFormat="1" applyFont="1" applyFill="1" applyBorder="1" applyAlignment="1">
      <alignment vertical="top"/>
    </xf>
    <xf numFmtId="170" fontId="26" fillId="33" borderId="9" xfId="22" quotePrefix="1" applyNumberFormat="1" applyFont="1" applyFill="1" applyBorder="1" applyAlignment="1">
      <alignment vertical="top"/>
    </xf>
    <xf numFmtId="170" fontId="18" fillId="33" borderId="9" xfId="20" applyNumberFormat="1" applyFont="1" applyFill="1" applyBorder="1" applyAlignment="1">
      <alignment vertical="top"/>
    </xf>
    <xf numFmtId="0" fontId="74" fillId="33" borderId="0" xfId="20" applyFill="1" applyAlignment="1">
      <alignment vertical="top" wrapText="1"/>
    </xf>
    <xf numFmtId="0" fontId="0" fillId="0" borderId="0" xfId="0" quotePrefix="1" applyAlignment="1">
      <alignment vertical="top"/>
    </xf>
    <xf numFmtId="16" fontId="0" fillId="0" borderId="0" xfId="0" quotePrefix="1" applyNumberFormat="1" applyAlignment="1">
      <alignment vertical="top"/>
    </xf>
    <xf numFmtId="170" fontId="26" fillId="8" borderId="2" xfId="22" quotePrefix="1" applyNumberFormat="1" applyFont="1" applyFill="1" applyBorder="1" applyAlignment="1">
      <alignment vertical="top"/>
    </xf>
    <xf numFmtId="0" fontId="43" fillId="0" borderId="14" xfId="8" applyFont="1" applyBorder="1" applyAlignment="1">
      <alignment horizontal="left" vertical="center" indent="3"/>
    </xf>
    <xf numFmtId="0" fontId="19" fillId="25" borderId="0" xfId="0" applyFont="1" applyFill="1" applyProtection="1">
      <protection locked="0"/>
    </xf>
    <xf numFmtId="173" fontId="9" fillId="0" borderId="0" xfId="13" applyNumberFormat="1" applyFont="1" applyAlignment="1">
      <alignment horizontal="centerContinuous"/>
    </xf>
    <xf numFmtId="3" fontId="50" fillId="25" borderId="55" xfId="0" applyNumberFormat="1" applyFont="1" applyFill="1" applyBorder="1" applyAlignment="1" applyProtection="1">
      <alignment horizontal="right" vertical="top" wrapText="1"/>
      <protection locked="0"/>
    </xf>
    <xf numFmtId="5" fontId="48" fillId="13" borderId="59" xfId="0" applyNumberFormat="1" applyFont="1" applyFill="1" applyBorder="1" applyAlignment="1">
      <alignment horizontal="center" vertical="top" wrapText="1"/>
    </xf>
    <xf numFmtId="5" fontId="47" fillId="0" borderId="0" xfId="10" applyNumberFormat="1" applyFont="1" applyAlignment="1">
      <alignment vertical="top"/>
    </xf>
    <xf numFmtId="9" fontId="50" fillId="0" borderId="55" xfId="3" applyFont="1" applyBorder="1" applyAlignment="1">
      <alignment horizontal="right" vertical="top" wrapText="1"/>
    </xf>
    <xf numFmtId="1" fontId="50" fillId="25" borderId="57" xfId="0" applyNumberFormat="1" applyFont="1" applyFill="1" applyBorder="1" applyAlignment="1" applyProtection="1">
      <alignment horizontal="right" vertical="top" wrapText="1"/>
      <protection locked="0"/>
    </xf>
    <xf numFmtId="3" fontId="50" fillId="25" borderId="57" xfId="0" applyNumberFormat="1" applyFont="1" applyFill="1" applyBorder="1" applyAlignment="1" applyProtection="1">
      <alignment horizontal="right" vertical="top" wrapText="1"/>
      <protection locked="0"/>
    </xf>
    <xf numFmtId="1" fontId="19" fillId="0" borderId="11" xfId="2" applyNumberFormat="1" applyFont="1" applyFill="1" applyBorder="1" applyAlignment="1">
      <alignment horizontal="center" vertical="top"/>
    </xf>
    <xf numFmtId="1" fontId="19" fillId="17" borderId="0" xfId="2" applyNumberFormat="1" applyFont="1" applyFill="1" applyBorder="1" applyAlignment="1">
      <alignment horizontal="center" vertical="top"/>
    </xf>
    <xf numFmtId="1" fontId="19" fillId="0" borderId="30" xfId="2" applyNumberFormat="1" applyFont="1" applyFill="1" applyBorder="1" applyAlignment="1">
      <alignment horizontal="center" vertical="top"/>
    </xf>
    <xf numFmtId="1" fontId="19" fillId="0" borderId="23" xfId="2" applyNumberFormat="1" applyFont="1" applyFill="1" applyBorder="1" applyAlignment="1">
      <alignment horizontal="center" vertical="top"/>
    </xf>
    <xf numFmtId="1" fontId="19" fillId="0" borderId="0" xfId="2" applyNumberFormat="1" applyFont="1" applyFill="1" applyAlignment="1">
      <alignment horizontal="center" vertical="top"/>
    </xf>
    <xf numFmtId="1" fontId="19" fillId="0" borderId="0" xfId="2" applyNumberFormat="1" applyFont="1" applyFill="1" applyBorder="1" applyAlignment="1">
      <alignment horizontal="center" vertical="top"/>
    </xf>
    <xf numFmtId="1" fontId="20" fillId="0" borderId="0" xfId="1" applyNumberFormat="1" applyFont="1" applyFill="1" applyAlignment="1">
      <alignment horizontal="center" vertical="top"/>
    </xf>
    <xf numFmtId="1" fontId="20" fillId="0" borderId="80" xfId="1" applyNumberFormat="1" applyFont="1" applyFill="1" applyBorder="1" applyAlignment="1">
      <alignment horizontal="center" vertical="top"/>
    </xf>
    <xf numFmtId="1" fontId="19" fillId="0" borderId="0" xfId="2" applyNumberFormat="1" applyFont="1" applyFill="1" applyAlignment="1">
      <alignment horizontal="left" vertical="top"/>
    </xf>
    <xf numFmtId="1" fontId="20" fillId="17" borderId="0" xfId="0" applyNumberFormat="1" applyFont="1" applyFill="1" applyAlignment="1">
      <alignment horizontal="center" vertical="top"/>
    </xf>
    <xf numFmtId="1" fontId="19" fillId="17" borderId="11" xfId="2" applyNumberFormat="1" applyFont="1" applyFill="1" applyBorder="1" applyAlignment="1">
      <alignment horizontal="center" vertical="top"/>
    </xf>
    <xf numFmtId="1" fontId="0" fillId="17" borderId="0" xfId="0" applyNumberFormat="1" applyFill="1" applyAlignment="1">
      <alignment horizontal="center" vertical="top"/>
    </xf>
    <xf numFmtId="1" fontId="0" fillId="17" borderId="88" xfId="0" applyNumberFormat="1" applyFill="1" applyBorder="1" applyAlignment="1">
      <alignment vertical="top"/>
    </xf>
    <xf numFmtId="1" fontId="0" fillId="19" borderId="0" xfId="1" applyNumberFormat="1" applyFont="1" applyFill="1" applyBorder="1" applyAlignment="1">
      <alignment vertical="top"/>
    </xf>
    <xf numFmtId="1" fontId="0" fillId="0" borderId="0" xfId="0" applyNumberFormat="1"/>
    <xf numFmtId="1" fontId="19" fillId="0" borderId="15" xfId="0" applyNumberFormat="1" applyFont="1" applyBorder="1" applyAlignment="1">
      <alignment horizontal="center" vertical="top"/>
    </xf>
    <xf numFmtId="176" fontId="0" fillId="0" borderId="0" xfId="0" applyNumberFormat="1"/>
    <xf numFmtId="0" fontId="14" fillId="0" borderId="39" xfId="13" applyBorder="1" applyProtection="1">
      <protection locked="0"/>
    </xf>
    <xf numFmtId="0" fontId="15" fillId="0" borderId="0" xfId="13" applyFont="1" applyAlignment="1">
      <alignment horizontal="left"/>
    </xf>
    <xf numFmtId="0" fontId="0" fillId="0" borderId="3" xfId="0" applyBorder="1" applyAlignment="1">
      <alignment vertical="top"/>
    </xf>
    <xf numFmtId="175" fontId="0" fillId="0" borderId="3" xfId="0" applyNumberFormat="1" applyBorder="1" applyAlignment="1">
      <alignment vertical="top"/>
    </xf>
    <xf numFmtId="0" fontId="87" fillId="0" borderId="0" xfId="0" applyFont="1" applyAlignment="1">
      <alignment horizontal="centerContinuous"/>
    </xf>
    <xf numFmtId="0" fontId="88" fillId="0" borderId="0" xfId="0" applyFont="1" applyAlignment="1">
      <alignment horizontal="centerContinuous"/>
    </xf>
    <xf numFmtId="0" fontId="87" fillId="0" borderId="0" xfId="0" applyFont="1"/>
    <xf numFmtId="9" fontId="15" fillId="0" borderId="34" xfId="3" applyFont="1" applyFill="1" applyBorder="1" applyAlignment="1">
      <alignment horizontal="centerContinuous"/>
    </xf>
    <xf numFmtId="0" fontId="15" fillId="0" borderId="0" xfId="0" applyFont="1" applyAlignment="1">
      <alignment horizontal="centerContinuous"/>
    </xf>
    <xf numFmtId="0" fontId="15" fillId="0" borderId="35" xfId="0" applyFont="1" applyBorder="1" applyAlignment="1">
      <alignment horizontal="centerContinuous"/>
    </xf>
    <xf numFmtId="0" fontId="0" fillId="0" borderId="29" xfId="0" applyBorder="1"/>
    <xf numFmtId="0" fontId="89" fillId="12" borderId="11" xfId="0" applyFont="1" applyFill="1" applyBorder="1" applyAlignment="1">
      <alignment horizontal="center" wrapText="1"/>
    </xf>
    <xf numFmtId="0" fontId="0" fillId="0" borderId="29" xfId="0" applyBorder="1" applyAlignment="1">
      <alignment horizontal="center"/>
    </xf>
    <xf numFmtId="0" fontId="0" fillId="0" borderId="11" xfId="0" applyBorder="1" applyAlignment="1">
      <alignment horizontal="center"/>
    </xf>
    <xf numFmtId="0" fontId="0" fillId="0" borderId="21" xfId="0" applyBorder="1" applyAlignment="1">
      <alignment horizontal="center"/>
    </xf>
    <xf numFmtId="0" fontId="15" fillId="0" borderId="51" xfId="0" applyFont="1" applyBorder="1" applyAlignment="1">
      <alignment horizontal="centerContinuous"/>
    </xf>
    <xf numFmtId="0" fontId="15" fillId="0" borderId="52" xfId="0" applyFont="1" applyBorder="1" applyAlignment="1">
      <alignment horizontal="centerContinuous"/>
    </xf>
    <xf numFmtId="10" fontId="0" fillId="0" borderId="4" xfId="0" applyNumberFormat="1" applyBorder="1" applyAlignment="1">
      <alignment horizontal="center"/>
    </xf>
    <xf numFmtId="9" fontId="0" fillId="0" borderId="4" xfId="3" applyFont="1" applyFill="1" applyBorder="1" applyAlignment="1">
      <alignment horizontal="center"/>
    </xf>
    <xf numFmtId="9" fontId="0" fillId="0" borderId="96" xfId="3" applyFont="1" applyFill="1" applyBorder="1" applyAlignment="1">
      <alignment horizontal="center"/>
    </xf>
    <xf numFmtId="0" fontId="0" fillId="0" borderId="97" xfId="0" applyBorder="1"/>
    <xf numFmtId="0" fontId="0" fillId="0" borderId="98" xfId="0" applyBorder="1"/>
    <xf numFmtId="0" fontId="0" fillId="0" borderId="99" xfId="0" applyBorder="1"/>
    <xf numFmtId="10" fontId="7" fillId="0" borderId="4" xfId="3" applyNumberFormat="1" applyFont="1" applyFill="1" applyBorder="1" applyAlignment="1">
      <alignment horizontal="center"/>
    </xf>
    <xf numFmtId="9" fontId="0" fillId="0" borderId="4" xfId="0" applyNumberFormat="1" applyBorder="1"/>
    <xf numFmtId="9" fontId="0" fillId="0" borderId="98" xfId="0" applyNumberFormat="1" applyBorder="1"/>
    <xf numFmtId="9" fontId="0" fillId="0" borderId="99" xfId="3" applyFont="1" applyFill="1" applyBorder="1" applyAlignment="1">
      <alignment horizontal="center"/>
    </xf>
    <xf numFmtId="9" fontId="15" fillId="0" borderId="51" xfId="3" applyFont="1" applyFill="1" applyBorder="1" applyAlignment="1">
      <alignment horizontal="centerContinuous"/>
    </xf>
    <xf numFmtId="9" fontId="7" fillId="0" borderId="39" xfId="3" applyFont="1" applyFill="1" applyBorder="1"/>
    <xf numFmtId="9" fontId="0" fillId="0" borderId="39" xfId="3" applyFont="1" applyFill="1" applyBorder="1"/>
    <xf numFmtId="9" fontId="0" fillId="0" borderId="141" xfId="3" applyFont="1" applyFill="1" applyBorder="1"/>
    <xf numFmtId="10" fontId="7" fillId="0" borderId="99" xfId="3" applyNumberFormat="1" applyFont="1" applyFill="1" applyBorder="1" applyAlignment="1">
      <alignment horizontal="center"/>
    </xf>
    <xf numFmtId="0" fontId="0" fillId="0" borderId="105" xfId="0" applyBorder="1"/>
    <xf numFmtId="0" fontId="0" fillId="0" borderId="74" xfId="0" applyBorder="1"/>
    <xf numFmtId="0" fontId="15" fillId="12" borderId="44" xfId="0" applyFont="1" applyFill="1" applyBorder="1" applyAlignment="1">
      <alignment horizontal="centerContinuous"/>
    </xf>
    <xf numFmtId="0" fontId="0" fillId="0" borderId="17"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9" fontId="0" fillId="0" borderId="142" xfId="3" applyFont="1" applyFill="1" applyBorder="1" applyAlignment="1">
      <alignment horizontal="center"/>
    </xf>
    <xf numFmtId="0" fontId="0" fillId="0" borderId="92" xfId="0" applyBorder="1" applyAlignment="1">
      <alignment horizontal="center"/>
    </xf>
    <xf numFmtId="0" fontId="0" fillId="0" borderId="57" xfId="0" applyBorder="1" applyAlignment="1">
      <alignment horizontal="center"/>
    </xf>
    <xf numFmtId="0" fontId="90" fillId="0" borderId="95" xfId="0" applyFont="1" applyBorder="1" applyAlignment="1">
      <alignment horizontal="left"/>
    </xf>
    <xf numFmtId="168" fontId="19" fillId="0" borderId="26" xfId="1" applyNumberFormat="1" applyFill="1" applyBorder="1" applyAlignment="1">
      <alignment horizontal="center" vertical="top"/>
    </xf>
    <xf numFmtId="168" fontId="19" fillId="0" borderId="23" xfId="1" applyNumberFormat="1" applyFill="1" applyBorder="1" applyAlignment="1">
      <alignment horizontal="center" vertical="top"/>
    </xf>
    <xf numFmtId="168" fontId="19" fillId="0" borderId="0" xfId="2" applyNumberFormat="1" applyFont="1" applyFill="1" applyBorder="1" applyAlignment="1">
      <alignment horizontal="center" vertical="top"/>
    </xf>
    <xf numFmtId="166" fontId="19" fillId="0" borderId="0" xfId="1" applyNumberFormat="1" applyFont="1" applyFill="1" applyBorder="1" applyAlignment="1">
      <alignment horizontal="center" vertical="top"/>
    </xf>
    <xf numFmtId="166" fontId="19" fillId="0" borderId="0" xfId="1" applyNumberFormat="1" applyFont="1" applyFill="1" applyAlignment="1">
      <alignment horizontal="center" vertical="top"/>
    </xf>
    <xf numFmtId="168" fontId="19" fillId="0" borderId="0" xfId="2" applyNumberFormat="1" applyFill="1" applyBorder="1" applyAlignment="1">
      <alignment horizontal="center" vertical="top"/>
    </xf>
    <xf numFmtId="170" fontId="19" fillId="25" borderId="0" xfId="2" applyNumberFormat="1" applyFont="1" applyFill="1" applyBorder="1" applyAlignment="1" applyProtection="1">
      <alignment horizontal="center" vertical="top"/>
      <protection locked="0"/>
    </xf>
    <xf numFmtId="166" fontId="19" fillId="0" borderId="0" xfId="1" applyNumberFormat="1" applyFont="1" applyFill="1" applyAlignment="1">
      <alignment horizontal="left" vertical="top"/>
    </xf>
    <xf numFmtId="168" fontId="19" fillId="0" borderId="143" xfId="2" applyNumberFormat="1" applyFont="1" applyFill="1" applyBorder="1" applyAlignment="1">
      <alignment horizontal="center" vertical="top"/>
    </xf>
    <xf numFmtId="0" fontId="20" fillId="0" borderId="17" xfId="0" applyFont="1" applyBorder="1" applyAlignment="1">
      <alignment horizontal="left" vertical="top"/>
    </xf>
    <xf numFmtId="0" fontId="20" fillId="0" borderId="13" xfId="0" applyFont="1" applyBorder="1" applyAlignment="1">
      <alignment vertical="top"/>
    </xf>
    <xf numFmtId="0" fontId="20" fillId="0" borderId="13" xfId="0" applyFont="1" applyBorder="1" applyAlignment="1">
      <alignment horizontal="center" vertical="top"/>
    </xf>
    <xf numFmtId="168" fontId="20" fillId="0" borderId="18" xfId="2" applyNumberFormat="1" applyFont="1" applyFill="1" applyBorder="1" applyAlignment="1">
      <alignment horizontal="center" vertical="top"/>
    </xf>
    <xf numFmtId="3" fontId="19" fillId="0" borderId="0" xfId="2" applyNumberFormat="1" applyFont="1" applyFill="1" applyBorder="1" applyAlignment="1" applyProtection="1">
      <alignment horizontal="center" vertical="top"/>
      <protection locked="0"/>
    </xf>
    <xf numFmtId="168" fontId="19" fillId="0" borderId="0" xfId="2" applyNumberFormat="1" applyFont="1" applyFill="1" applyBorder="1" applyAlignment="1" applyProtection="1">
      <alignment horizontal="center" vertical="top"/>
      <protection locked="0"/>
    </xf>
    <xf numFmtId="0" fontId="20" fillId="0" borderId="41" xfId="0" applyFont="1" applyBorder="1" applyAlignment="1">
      <alignment vertical="top"/>
    </xf>
    <xf numFmtId="0" fontId="20" fillId="0" borderId="41" xfId="0" applyFont="1" applyBorder="1" applyAlignment="1">
      <alignment horizontal="center" vertical="top"/>
    </xf>
    <xf numFmtId="168" fontId="20" fillId="0" borderId="54" xfId="2" applyNumberFormat="1" applyFont="1" applyFill="1" applyBorder="1" applyAlignment="1">
      <alignment horizontal="center" vertical="top"/>
    </xf>
    <xf numFmtId="0" fontId="20" fillId="0" borderId="53" xfId="0" applyFont="1" applyBorder="1" applyAlignment="1">
      <alignment horizontal="left" vertical="top"/>
    </xf>
    <xf numFmtId="168" fontId="19" fillId="0" borderId="35" xfId="2" applyNumberFormat="1" applyBorder="1" applyAlignment="1">
      <alignment horizontal="center" vertical="top"/>
    </xf>
    <xf numFmtId="0" fontId="20" fillId="0" borderId="115" xfId="0" applyFont="1" applyBorder="1" applyAlignment="1">
      <alignment horizontal="center" vertical="top"/>
    </xf>
    <xf numFmtId="0" fontId="19" fillId="0" borderId="6" xfId="0" applyFont="1" applyBorder="1" applyAlignment="1">
      <alignment vertical="top"/>
    </xf>
    <xf numFmtId="9" fontId="19" fillId="0" borderId="6" xfId="0" applyNumberFormat="1" applyFont="1" applyBorder="1" applyAlignment="1">
      <alignment horizontal="center" vertical="top"/>
    </xf>
    <xf numFmtId="3" fontId="19" fillId="0" borderId="6" xfId="2" applyNumberFormat="1" applyFont="1" applyFill="1" applyBorder="1" applyAlignment="1">
      <alignment horizontal="center" vertical="top"/>
    </xf>
    <xf numFmtId="168" fontId="19" fillId="0" borderId="6" xfId="2" applyNumberFormat="1" applyFont="1" applyFill="1" applyBorder="1" applyAlignment="1">
      <alignment horizontal="center" vertical="top"/>
    </xf>
    <xf numFmtId="1" fontId="19" fillId="0" borderId="6" xfId="2" applyNumberFormat="1" applyFont="1" applyFill="1" applyBorder="1" applyAlignment="1">
      <alignment horizontal="center" vertical="top"/>
    </xf>
    <xf numFmtId="168" fontId="19" fillId="0" borderId="107" xfId="2" applyNumberFormat="1" applyFont="1" applyFill="1" applyBorder="1" applyAlignment="1">
      <alignment horizontal="center" vertical="top"/>
    </xf>
    <xf numFmtId="0" fontId="19" fillId="0" borderId="6" xfId="0" applyFont="1" applyBorder="1" applyAlignment="1">
      <alignment horizontal="center" vertical="top"/>
    </xf>
    <xf numFmtId="166" fontId="19" fillId="0" borderId="6" xfId="1" applyNumberFormat="1" applyFont="1" applyFill="1" applyBorder="1" applyAlignment="1">
      <alignment horizontal="center" vertical="top"/>
    </xf>
    <xf numFmtId="3" fontId="20" fillId="0" borderId="0" xfId="2" applyNumberFormat="1" applyFont="1" applyFill="1" applyBorder="1" applyAlignment="1">
      <alignment horizontal="center" vertical="top"/>
    </xf>
    <xf numFmtId="168" fontId="20" fillId="0" borderId="0" xfId="2" applyNumberFormat="1" applyFont="1" applyFill="1" applyBorder="1" applyAlignment="1">
      <alignment horizontal="center" vertical="top"/>
    </xf>
    <xf numFmtId="166" fontId="20" fillId="0" borderId="0" xfId="1" applyNumberFormat="1" applyFont="1" applyFill="1" applyBorder="1" applyAlignment="1">
      <alignment horizontal="center" vertical="top"/>
    </xf>
    <xf numFmtId="164" fontId="19" fillId="0" borderId="0" xfId="3" applyNumberFormat="1" applyFont="1" applyBorder="1" applyAlignment="1">
      <alignment horizontal="center" vertical="top"/>
    </xf>
    <xf numFmtId="0" fontId="20" fillId="0" borderId="74" xfId="0" applyFont="1" applyBorder="1" applyAlignment="1">
      <alignment horizontal="center" vertical="top"/>
    </xf>
    <xf numFmtId="9" fontId="19" fillId="0" borderId="30" xfId="0" applyNumberFormat="1" applyFont="1" applyBorder="1" applyAlignment="1">
      <alignment horizontal="center" vertical="top"/>
    </xf>
    <xf numFmtId="0" fontId="20" fillId="0" borderId="106" xfId="0" applyFont="1" applyBorder="1" applyAlignment="1">
      <alignment horizontal="center" vertical="top"/>
    </xf>
    <xf numFmtId="0" fontId="19" fillId="25" borderId="0" xfId="0" applyFont="1" applyFill="1" applyAlignment="1">
      <alignment vertical="top"/>
    </xf>
    <xf numFmtId="0" fontId="19" fillId="25" borderId="31" xfId="0" applyFont="1" applyFill="1" applyBorder="1" applyAlignment="1">
      <alignment vertical="top"/>
    </xf>
    <xf numFmtId="0" fontId="19" fillId="25" borderId="33" xfId="0" applyFont="1" applyFill="1" applyBorder="1" applyAlignment="1">
      <alignment vertical="top"/>
    </xf>
    <xf numFmtId="1" fontId="19" fillId="25" borderId="0" xfId="2" applyNumberFormat="1" applyFont="1" applyFill="1" applyBorder="1" applyAlignment="1">
      <alignment horizontal="center" vertical="top"/>
    </xf>
    <xf numFmtId="44" fontId="19" fillId="25" borderId="0" xfId="2" applyFill="1" applyBorder="1" applyAlignment="1">
      <alignment horizontal="center" vertical="top"/>
    </xf>
    <xf numFmtId="0" fontId="19" fillId="25" borderId="23" xfId="0" applyFont="1" applyFill="1" applyBorder="1" applyAlignment="1">
      <alignment vertical="top"/>
    </xf>
    <xf numFmtId="0" fontId="19" fillId="25" borderId="23" xfId="0" applyFont="1" applyFill="1" applyBorder="1" applyAlignment="1">
      <alignment horizontal="center" vertical="top"/>
    </xf>
    <xf numFmtId="0" fontId="0" fillId="25" borderId="23" xfId="0" applyFill="1" applyBorder="1" applyAlignment="1">
      <alignment vertical="top"/>
    </xf>
    <xf numFmtId="0" fontId="19" fillId="25" borderId="0" xfId="0" applyFont="1" applyFill="1" applyAlignment="1">
      <alignment horizontal="center" vertical="top"/>
    </xf>
    <xf numFmtId="9" fontId="20" fillId="0" borderId="23" xfId="3" applyFont="1" applyFill="1" applyBorder="1" applyAlignment="1">
      <alignment horizontal="center" vertical="top"/>
    </xf>
    <xf numFmtId="0" fontId="20" fillId="0" borderId="23" xfId="0" applyFont="1" applyBorder="1" applyAlignment="1">
      <alignment vertical="top"/>
    </xf>
    <xf numFmtId="9" fontId="20" fillId="25" borderId="23" xfId="0" applyNumberFormat="1" applyFont="1" applyFill="1" applyBorder="1" applyAlignment="1" applyProtection="1">
      <alignment horizontal="center" vertical="top"/>
      <protection locked="0"/>
    </xf>
    <xf numFmtId="0" fontId="19" fillId="25" borderId="31" xfId="0" applyFont="1" applyFill="1" applyBorder="1" applyAlignment="1">
      <alignment horizontal="center" vertical="top"/>
    </xf>
    <xf numFmtId="0" fontId="20" fillId="25" borderId="23" xfId="0" applyFont="1" applyFill="1" applyBorder="1" applyAlignment="1">
      <alignment horizontal="center" vertical="top"/>
    </xf>
    <xf numFmtId="0" fontId="19" fillId="0" borderId="67" xfId="0" applyFont="1" applyBorder="1" applyAlignment="1">
      <alignment vertical="top"/>
    </xf>
    <xf numFmtId="168" fontId="19" fillId="0" borderId="19" xfId="0" applyNumberFormat="1" applyFont="1" applyBorder="1" applyAlignment="1">
      <alignment vertical="top"/>
    </xf>
    <xf numFmtId="0" fontId="20" fillId="0" borderId="59" xfId="0" applyFont="1" applyBorder="1" applyAlignment="1">
      <alignment vertical="top"/>
    </xf>
    <xf numFmtId="166" fontId="0" fillId="0" borderId="0" xfId="1" applyNumberFormat="1" applyFont="1" applyFill="1" applyBorder="1" applyAlignment="1">
      <alignment vertical="top"/>
    </xf>
    <xf numFmtId="170" fontId="19" fillId="0" borderId="27" xfId="2" applyNumberFormat="1" applyFont="1" applyFill="1" applyBorder="1" applyAlignment="1">
      <alignment vertical="top"/>
    </xf>
    <xf numFmtId="168" fontId="0" fillId="0" borderId="88" xfId="0" applyNumberFormat="1" applyBorder="1" applyAlignment="1">
      <alignment vertical="top"/>
    </xf>
    <xf numFmtId="9" fontId="20" fillId="25" borderId="0" xfId="3" applyFont="1" applyFill="1" applyAlignment="1" applyProtection="1">
      <alignment horizontal="center" vertical="top"/>
      <protection locked="0"/>
    </xf>
    <xf numFmtId="9" fontId="20" fillId="25" borderId="23" xfId="3" applyFont="1" applyFill="1" applyBorder="1" applyAlignment="1">
      <alignment horizontal="center" vertical="top"/>
    </xf>
    <xf numFmtId="0" fontId="19" fillId="25" borderId="11" xfId="0" applyFont="1" applyFill="1" applyBorder="1" applyAlignment="1">
      <alignment vertical="top"/>
    </xf>
    <xf numFmtId="0" fontId="19" fillId="25" borderId="11" xfId="0" applyFont="1" applyFill="1" applyBorder="1" applyAlignment="1">
      <alignment horizontal="center" vertical="top"/>
    </xf>
    <xf numFmtId="0" fontId="20" fillId="25" borderId="23" xfId="0" applyFont="1" applyFill="1" applyBorder="1" applyAlignment="1">
      <alignment vertical="top"/>
    </xf>
    <xf numFmtId="9" fontId="20" fillId="25" borderId="23" xfId="3" applyFont="1" applyFill="1" applyBorder="1" applyAlignment="1" applyProtection="1">
      <alignment horizontal="center" vertical="top"/>
      <protection locked="0"/>
    </xf>
    <xf numFmtId="0" fontId="20" fillId="25" borderId="0" xfId="0" applyFont="1" applyFill="1" applyAlignment="1">
      <alignment vertical="top"/>
    </xf>
    <xf numFmtId="0" fontId="19" fillId="25" borderId="23" xfId="0" applyFont="1" applyFill="1" applyBorder="1" applyAlignment="1">
      <alignment horizontal="left" vertical="top"/>
    </xf>
    <xf numFmtId="0" fontId="19" fillId="25" borderId="33" xfId="0" applyFont="1" applyFill="1" applyBorder="1" applyAlignment="1">
      <alignment horizontal="center" vertical="top"/>
    </xf>
    <xf numFmtId="0" fontId="19" fillId="25" borderId="34" xfId="0" applyFont="1" applyFill="1" applyBorder="1" applyAlignment="1">
      <alignment vertical="top"/>
    </xf>
    <xf numFmtId="3" fontId="19" fillId="25" borderId="0" xfId="2" applyNumberFormat="1" applyFont="1" applyFill="1" applyBorder="1" applyAlignment="1" applyProtection="1">
      <alignment horizontal="center" vertical="top"/>
      <protection locked="0"/>
    </xf>
    <xf numFmtId="3" fontId="19" fillId="25" borderId="0" xfId="2" applyNumberFormat="1" applyFont="1" applyFill="1" applyAlignment="1" applyProtection="1">
      <alignment horizontal="center" vertical="top"/>
      <protection locked="0"/>
    </xf>
    <xf numFmtId="168" fontId="19" fillId="25" borderId="0" xfId="2" applyNumberFormat="1" applyFont="1" applyFill="1" applyAlignment="1" applyProtection="1">
      <alignment vertical="top"/>
      <protection locked="0"/>
    </xf>
    <xf numFmtId="3" fontId="19" fillId="25" borderId="0" xfId="2" applyNumberFormat="1" applyFont="1" applyFill="1" applyAlignment="1">
      <alignment horizontal="center" vertical="top"/>
    </xf>
    <xf numFmtId="168" fontId="19" fillId="25" borderId="0" xfId="2" applyNumberFormat="1" applyFont="1" applyFill="1" applyAlignment="1">
      <alignment vertical="top"/>
    </xf>
    <xf numFmtId="3" fontId="19" fillId="25" borderId="0" xfId="2" applyNumberFormat="1" applyFont="1" applyFill="1" applyBorder="1" applyAlignment="1">
      <alignment horizontal="center" vertical="top"/>
    </xf>
    <xf numFmtId="168" fontId="19" fillId="25" borderId="0" xfId="2" applyNumberFormat="1" applyFont="1" applyFill="1" applyBorder="1" applyAlignment="1">
      <alignment horizontal="center" vertical="top"/>
    </xf>
    <xf numFmtId="168" fontId="19" fillId="25" borderId="0" xfId="2" applyNumberFormat="1" applyFill="1" applyBorder="1" applyAlignment="1">
      <alignment horizontal="center" vertical="top"/>
    </xf>
    <xf numFmtId="3" fontId="19" fillId="25" borderId="23" xfId="2" applyNumberFormat="1" applyFont="1" applyFill="1" applyBorder="1" applyAlignment="1" applyProtection="1">
      <alignment horizontal="center" vertical="top"/>
      <protection locked="0"/>
    </xf>
    <xf numFmtId="168" fontId="19" fillId="25" borderId="23" xfId="2" applyNumberFormat="1" applyFont="1" applyFill="1" applyBorder="1" applyAlignment="1" applyProtection="1">
      <alignment horizontal="center" vertical="top"/>
      <protection locked="0"/>
    </xf>
    <xf numFmtId="168" fontId="19" fillId="25" borderId="0" xfId="2" applyNumberFormat="1" applyFont="1" applyFill="1" applyBorder="1" applyAlignment="1" applyProtection="1">
      <alignment horizontal="center" vertical="top"/>
      <protection locked="0"/>
    </xf>
    <xf numFmtId="3" fontId="19" fillId="25" borderId="23" xfId="2" applyNumberFormat="1" applyFill="1" applyBorder="1" applyAlignment="1" applyProtection="1">
      <alignment horizontal="center" vertical="top"/>
      <protection locked="0"/>
    </xf>
    <xf numFmtId="1" fontId="19" fillId="0" borderId="23" xfId="2" applyNumberFormat="1" applyFill="1" applyBorder="1" applyAlignment="1" applyProtection="1">
      <alignment horizontal="center" vertical="top"/>
      <protection locked="0"/>
    </xf>
    <xf numFmtId="168" fontId="19" fillId="25" borderId="21" xfId="2" applyNumberFormat="1" applyFont="1" applyFill="1" applyBorder="1" applyAlignment="1" applyProtection="1">
      <alignment horizontal="center" vertical="top"/>
      <protection locked="0"/>
    </xf>
    <xf numFmtId="1" fontId="19" fillId="25" borderId="23" xfId="2" applyNumberFormat="1" applyFill="1" applyBorder="1" applyAlignment="1" applyProtection="1">
      <alignment horizontal="center" vertical="top"/>
      <protection locked="0"/>
    </xf>
    <xf numFmtId="1" fontId="19" fillId="25" borderId="0" xfId="2" applyNumberFormat="1" applyFill="1" applyAlignment="1">
      <alignment horizontal="center" vertical="top"/>
    </xf>
    <xf numFmtId="168" fontId="19" fillId="25" borderId="0" xfId="2" applyNumberFormat="1" applyFill="1" applyAlignment="1">
      <alignment horizontal="center" vertical="top"/>
    </xf>
    <xf numFmtId="168" fontId="19" fillId="25" borderId="23" xfId="2" applyNumberFormat="1" applyFont="1" applyFill="1" applyBorder="1" applyAlignment="1">
      <alignment horizontal="center" vertical="top"/>
    </xf>
    <xf numFmtId="1" fontId="19" fillId="25" borderId="23" xfId="2" applyNumberFormat="1" applyFont="1" applyFill="1" applyBorder="1" applyAlignment="1">
      <alignment horizontal="center" vertical="top"/>
    </xf>
    <xf numFmtId="168" fontId="19" fillId="0" borderId="0" xfId="2" applyNumberFormat="1" applyFill="1" applyAlignment="1">
      <alignment horizontal="center" vertical="top"/>
    </xf>
    <xf numFmtId="1" fontId="19" fillId="0" borderId="23" xfId="2" applyNumberFormat="1" applyFont="1" applyFill="1" applyBorder="1" applyAlignment="1" applyProtection="1">
      <alignment horizontal="center" vertical="top"/>
      <protection locked="0"/>
    </xf>
    <xf numFmtId="1" fontId="19" fillId="25" borderId="23" xfId="2" applyNumberFormat="1" applyFont="1" applyFill="1" applyBorder="1" applyAlignment="1" applyProtection="1">
      <alignment horizontal="center" vertical="top"/>
      <protection locked="0"/>
    </xf>
    <xf numFmtId="3" fontId="19" fillId="0" borderId="0" xfId="2" applyNumberFormat="1" applyFill="1" applyAlignment="1">
      <alignment horizontal="center" vertical="top"/>
    </xf>
    <xf numFmtId="0" fontId="20" fillId="18" borderId="74" xfId="0" applyFont="1" applyFill="1" applyBorder="1" applyAlignment="1">
      <alignment horizontal="center" vertical="top"/>
    </xf>
    <xf numFmtId="0" fontId="20" fillId="18" borderId="17" xfId="0" applyFont="1" applyFill="1" applyBorder="1" applyAlignment="1">
      <alignment horizontal="left" vertical="top"/>
    </xf>
    <xf numFmtId="0" fontId="20" fillId="18" borderId="13" xfId="0" applyFont="1" applyFill="1" applyBorder="1" applyAlignment="1">
      <alignment vertical="top"/>
    </xf>
    <xf numFmtId="0" fontId="20" fillId="18" borderId="115" xfId="0" applyFont="1" applyFill="1" applyBorder="1" applyAlignment="1">
      <alignment horizontal="center" vertical="top"/>
    </xf>
    <xf numFmtId="0" fontId="19" fillId="18" borderId="6" xfId="0" applyFont="1" applyFill="1" applyBorder="1" applyAlignment="1">
      <alignment vertical="top"/>
    </xf>
    <xf numFmtId="0" fontId="20" fillId="18" borderId="106" xfId="0" applyFont="1" applyFill="1" applyBorder="1" applyAlignment="1">
      <alignment horizontal="center" vertical="top"/>
    </xf>
    <xf numFmtId="0" fontId="20" fillId="18" borderId="0" xfId="0" applyFont="1" applyFill="1" applyAlignment="1">
      <alignment horizontal="right" vertical="top"/>
    </xf>
    <xf numFmtId="0" fontId="20" fillId="18" borderId="53" xfId="0" applyFont="1" applyFill="1" applyBorder="1" applyAlignment="1">
      <alignment horizontal="left" vertical="top"/>
    </xf>
    <xf numFmtId="0" fontId="20" fillId="18" borderId="41" xfId="0" applyFont="1" applyFill="1" applyBorder="1" applyAlignment="1">
      <alignment vertical="top"/>
    </xf>
    <xf numFmtId="0" fontId="20" fillId="0" borderId="13" xfId="0" applyFont="1" applyBorder="1" applyAlignment="1">
      <alignment horizontal="centerContinuous" vertical="top"/>
    </xf>
    <xf numFmtId="0" fontId="20" fillId="0" borderId="17" xfId="0" applyFont="1" applyBorder="1" applyAlignment="1">
      <alignment vertical="top"/>
    </xf>
    <xf numFmtId="3" fontId="19" fillId="0" borderId="108" xfId="2" applyNumberFormat="1" applyFont="1" applyFill="1" applyBorder="1" applyAlignment="1">
      <alignment horizontal="center" vertical="top"/>
    </xf>
    <xf numFmtId="3" fontId="20" fillId="0" borderId="13" xfId="2" applyNumberFormat="1" applyFont="1" applyFill="1" applyBorder="1" applyAlignment="1">
      <alignment horizontal="center" vertical="top"/>
    </xf>
    <xf numFmtId="10" fontId="19" fillId="25" borderId="0" xfId="3" applyNumberFormat="1" applyFont="1" applyFill="1" applyBorder="1" applyAlignment="1">
      <alignment horizontal="center" vertical="top"/>
    </xf>
    <xf numFmtId="3" fontId="20" fillId="0" borderId="41" xfId="2" applyNumberFormat="1" applyFont="1" applyFill="1" applyBorder="1" applyAlignment="1">
      <alignment horizontal="center" vertical="top"/>
    </xf>
    <xf numFmtId="0" fontId="19" fillId="0" borderId="34" xfId="0" applyFont="1" applyBorder="1" applyAlignment="1">
      <alignment vertical="top"/>
    </xf>
    <xf numFmtId="170" fontId="19" fillId="0" borderId="29" xfId="2" applyNumberFormat="1" applyFont="1" applyFill="1" applyBorder="1" applyAlignment="1">
      <alignment vertical="top"/>
    </xf>
    <xf numFmtId="170" fontId="19" fillId="0" borderId="27" xfId="2" applyNumberFormat="1" applyFill="1" applyBorder="1" applyAlignment="1">
      <alignment vertical="top"/>
    </xf>
    <xf numFmtId="170" fontId="19" fillId="0" borderId="34" xfId="2" applyNumberFormat="1" applyFont="1" applyFill="1" applyBorder="1" applyAlignment="1">
      <alignment vertical="top"/>
    </xf>
    <xf numFmtId="170" fontId="19" fillId="0" borderId="75" xfId="2" applyNumberFormat="1" applyFont="1" applyFill="1" applyBorder="1" applyAlignment="1">
      <alignment vertical="top"/>
    </xf>
    <xf numFmtId="168" fontId="19" fillId="0" borderId="27" xfId="0" applyNumberFormat="1" applyFont="1" applyBorder="1" applyAlignment="1">
      <alignment vertical="top"/>
    </xf>
    <xf numFmtId="170" fontId="19" fillId="0" borderId="74" xfId="2" applyNumberFormat="1" applyFont="1" applyFill="1" applyBorder="1" applyAlignment="1">
      <alignment vertical="top"/>
    </xf>
    <xf numFmtId="170" fontId="19" fillId="0" borderId="76" xfId="2" applyNumberFormat="1" applyFont="1" applyFill="1" applyBorder="1" applyAlignment="1">
      <alignment vertical="top"/>
    </xf>
    <xf numFmtId="170" fontId="20" fillId="0" borderId="34" xfId="2" applyNumberFormat="1" applyFont="1" applyFill="1" applyBorder="1" applyAlignment="1">
      <alignment vertical="top"/>
    </xf>
    <xf numFmtId="170" fontId="20" fillId="0" borderId="81" xfId="2" applyNumberFormat="1" applyFont="1" applyFill="1" applyBorder="1" applyAlignment="1">
      <alignment vertical="top"/>
    </xf>
    <xf numFmtId="170" fontId="19" fillId="0" borderId="17" xfId="2" applyNumberFormat="1" applyFont="1" applyFill="1" applyBorder="1" applyAlignment="1">
      <alignment vertical="top"/>
    </xf>
    <xf numFmtId="170" fontId="19" fillId="0" borderId="106" xfId="2" applyNumberFormat="1" applyFont="1" applyFill="1" applyBorder="1" applyAlignment="1">
      <alignment vertical="top"/>
    </xf>
    <xf numFmtId="170" fontId="19" fillId="0" borderId="92" xfId="2" applyNumberFormat="1" applyFont="1" applyFill="1" applyBorder="1" applyAlignment="1">
      <alignment vertical="top"/>
    </xf>
    <xf numFmtId="3" fontId="20" fillId="17" borderId="144" xfId="2" applyNumberFormat="1" applyFont="1" applyFill="1" applyBorder="1" applyAlignment="1">
      <alignment horizontal="center" vertical="top"/>
    </xf>
    <xf numFmtId="0" fontId="20" fillId="0" borderId="81" xfId="0" applyFont="1" applyBorder="1" applyAlignment="1">
      <alignment vertical="top"/>
    </xf>
    <xf numFmtId="1" fontId="19" fillId="0" borderId="108" xfId="2" applyNumberFormat="1" applyFont="1" applyFill="1" applyBorder="1" applyAlignment="1">
      <alignment horizontal="center" vertical="top"/>
    </xf>
    <xf numFmtId="1" fontId="19" fillId="25" borderId="11" xfId="2" applyNumberFormat="1" applyFont="1" applyFill="1" applyBorder="1" applyAlignment="1">
      <alignment horizontal="center" vertical="top"/>
    </xf>
    <xf numFmtId="1" fontId="19" fillId="25" borderId="31" xfId="2" applyNumberFormat="1" applyFont="1" applyFill="1" applyBorder="1" applyAlignment="1">
      <alignment horizontal="center" vertical="top"/>
    </xf>
    <xf numFmtId="1" fontId="19" fillId="0" borderId="31" xfId="2" applyNumberFormat="1" applyFont="1" applyFill="1" applyBorder="1" applyAlignment="1">
      <alignment horizontal="center" vertical="top"/>
    </xf>
    <xf numFmtId="1" fontId="19" fillId="0" borderId="33" xfId="2" applyNumberFormat="1" applyFont="1" applyFill="1" applyBorder="1" applyAlignment="1">
      <alignment horizontal="center" vertical="top"/>
    </xf>
    <xf numFmtId="166" fontId="20" fillId="0" borderId="13" xfId="1" applyNumberFormat="1" applyFont="1" applyFill="1" applyBorder="1" applyAlignment="1">
      <alignment horizontal="center" vertical="top"/>
    </xf>
    <xf numFmtId="10" fontId="19" fillId="0" borderId="0" xfId="3" applyNumberFormat="1" applyFont="1" applyFill="1" applyBorder="1" applyAlignment="1">
      <alignment horizontal="center" vertical="top"/>
    </xf>
    <xf numFmtId="166" fontId="20" fillId="0" borderId="41" xfId="1" applyNumberFormat="1" applyFont="1" applyFill="1" applyBorder="1" applyAlignment="1">
      <alignment horizontal="center" vertical="top"/>
    </xf>
    <xf numFmtId="1" fontId="20" fillId="17" borderId="80" xfId="0" applyNumberFormat="1" applyFont="1" applyFill="1" applyBorder="1" applyAlignment="1">
      <alignment horizontal="centerContinuous" vertical="top"/>
    </xf>
    <xf numFmtId="1" fontId="20" fillId="17" borderId="144" xfId="2" applyNumberFormat="1" applyFont="1" applyFill="1" applyBorder="1" applyAlignment="1">
      <alignment horizontal="center" vertical="top"/>
    </xf>
    <xf numFmtId="3" fontId="19" fillId="0" borderId="31" xfId="2" applyNumberFormat="1" applyFont="1" applyFill="1" applyBorder="1" applyAlignment="1">
      <alignment horizontal="center" vertical="top"/>
    </xf>
    <xf numFmtId="3" fontId="20" fillId="0" borderId="144" xfId="2" applyNumberFormat="1" applyFont="1" applyFill="1" applyBorder="1" applyAlignment="1">
      <alignment horizontal="center" vertical="top"/>
    </xf>
    <xf numFmtId="170" fontId="19" fillId="0" borderId="34" xfId="2" applyNumberFormat="1" applyFill="1" applyBorder="1" applyAlignment="1">
      <alignment vertical="top"/>
    </xf>
    <xf numFmtId="170" fontId="20" fillId="0" borderId="17" xfId="2" applyNumberFormat="1" applyFont="1" applyFill="1" applyBorder="1" applyAlignment="1">
      <alignment vertical="top"/>
    </xf>
    <xf numFmtId="170" fontId="20" fillId="0" borderId="53" xfId="2" applyNumberFormat="1" applyFont="1" applyFill="1" applyBorder="1" applyAlignment="1">
      <alignment vertical="top"/>
    </xf>
    <xf numFmtId="3" fontId="19" fillId="0" borderId="0" xfId="2" applyNumberFormat="1" applyFont="1" applyFill="1" applyBorder="1" applyAlignment="1">
      <alignment vertical="top"/>
    </xf>
    <xf numFmtId="170" fontId="19" fillId="0" borderId="23" xfId="2" applyNumberFormat="1" applyFont="1" applyFill="1" applyBorder="1" applyAlignment="1">
      <alignment vertical="top"/>
    </xf>
    <xf numFmtId="43" fontId="19" fillId="0" borderId="27" xfId="1" applyFont="1" applyFill="1" applyBorder="1" applyAlignment="1">
      <alignment vertical="top"/>
    </xf>
    <xf numFmtId="43" fontId="19" fillId="0" borderId="27" xfId="1" applyFont="1" applyFill="1" applyBorder="1" applyAlignment="1" applyProtection="1">
      <alignment vertical="top"/>
      <protection locked="0"/>
    </xf>
    <xf numFmtId="168" fontId="19" fillId="0" borderId="27" xfId="2" applyNumberFormat="1" applyFont="1" applyFill="1" applyBorder="1" applyAlignment="1">
      <alignment vertical="top"/>
    </xf>
    <xf numFmtId="168" fontId="19" fillId="0" borderId="27" xfId="1" applyNumberFormat="1" applyFont="1" applyFill="1" applyBorder="1" applyAlignment="1" applyProtection="1">
      <alignment vertical="top"/>
      <protection locked="0"/>
    </xf>
    <xf numFmtId="168" fontId="19" fillId="0" borderId="27" xfId="1" applyNumberFormat="1" applyFont="1" applyFill="1" applyBorder="1" applyAlignment="1">
      <alignment vertical="top"/>
    </xf>
    <xf numFmtId="170" fontId="19" fillId="17" borderId="27" xfId="2" applyNumberFormat="1" applyFont="1" applyFill="1" applyBorder="1" applyAlignment="1">
      <alignment vertical="top"/>
    </xf>
    <xf numFmtId="170" fontId="19" fillId="17" borderId="34" xfId="2" applyNumberFormat="1" applyFont="1" applyFill="1" applyBorder="1" applyAlignment="1">
      <alignment vertical="top"/>
    </xf>
    <xf numFmtId="170" fontId="19" fillId="17" borderId="75" xfId="2" applyNumberFormat="1" applyFont="1" applyFill="1" applyBorder="1" applyAlignment="1">
      <alignment vertical="top"/>
    </xf>
    <xf numFmtId="170" fontId="19" fillId="17" borderId="76" xfId="2" applyNumberFormat="1" applyFont="1" applyFill="1" applyBorder="1" applyAlignment="1">
      <alignment vertical="top"/>
    </xf>
    <xf numFmtId="43" fontId="19" fillId="17" borderId="27" xfId="1" applyFont="1" applyFill="1" applyBorder="1" applyAlignment="1">
      <alignment vertical="top"/>
    </xf>
    <xf numFmtId="168" fontId="19" fillId="17" borderId="27" xfId="2" applyNumberFormat="1" applyFont="1" applyFill="1" applyBorder="1" applyAlignment="1">
      <alignment vertical="top"/>
    </xf>
    <xf numFmtId="168" fontId="19" fillId="17" borderId="27" xfId="1" applyNumberFormat="1" applyFont="1" applyFill="1" applyBorder="1" applyAlignment="1">
      <alignment vertical="top"/>
    </xf>
    <xf numFmtId="0" fontId="20" fillId="17" borderId="81" xfId="0" applyFont="1" applyFill="1" applyBorder="1" applyAlignment="1">
      <alignment vertical="top"/>
    </xf>
    <xf numFmtId="0" fontId="19" fillId="17" borderId="34" xfId="0" applyFont="1" applyFill="1" applyBorder="1" applyAlignment="1">
      <alignment vertical="top"/>
    </xf>
    <xf numFmtId="170" fontId="19" fillId="17" borderId="29" xfId="2" applyNumberFormat="1" applyFont="1" applyFill="1" applyBorder="1" applyAlignment="1">
      <alignment vertical="top"/>
    </xf>
    <xf numFmtId="170" fontId="20" fillId="17" borderId="34" xfId="2" applyNumberFormat="1" applyFont="1" applyFill="1" applyBorder="1" applyAlignment="1">
      <alignment vertical="top"/>
    </xf>
    <xf numFmtId="170" fontId="19" fillId="17" borderId="92" xfId="2" applyNumberFormat="1" applyFont="1" applyFill="1" applyBorder="1" applyAlignment="1">
      <alignment vertical="top"/>
    </xf>
    <xf numFmtId="0" fontId="20" fillId="33" borderId="13" xfId="0" applyFont="1" applyFill="1" applyBorder="1" applyAlignment="1">
      <alignment horizontal="centerContinuous" vertical="top"/>
    </xf>
    <xf numFmtId="3" fontId="19" fillId="33" borderId="108" xfId="2" applyNumberFormat="1" applyFill="1" applyBorder="1" applyAlignment="1">
      <alignment horizontal="center" vertical="top"/>
    </xf>
    <xf numFmtId="3" fontId="19" fillId="33" borderId="108" xfId="2" applyNumberFormat="1" applyFont="1" applyFill="1" applyBorder="1" applyAlignment="1">
      <alignment horizontal="center" vertical="top"/>
    </xf>
    <xf numFmtId="0" fontId="20" fillId="33" borderId="80" xfId="0" applyFont="1" applyFill="1" applyBorder="1" applyAlignment="1">
      <alignment horizontal="centerContinuous" vertical="top"/>
    </xf>
    <xf numFmtId="0" fontId="20" fillId="33" borderId="17" xfId="0" applyFont="1" applyFill="1" applyBorder="1" applyAlignment="1">
      <alignment vertical="top"/>
    </xf>
    <xf numFmtId="0" fontId="0" fillId="33" borderId="34" xfId="0" applyFill="1" applyBorder="1" applyAlignment="1">
      <alignment vertical="top"/>
    </xf>
    <xf numFmtId="170" fontId="19" fillId="33" borderId="29" xfId="2" applyNumberFormat="1" applyFill="1" applyBorder="1" applyAlignment="1">
      <alignment vertical="top"/>
    </xf>
    <xf numFmtId="170" fontId="19" fillId="33" borderId="27" xfId="2" applyNumberFormat="1" applyFill="1" applyBorder="1" applyAlignment="1">
      <alignment vertical="top"/>
    </xf>
    <xf numFmtId="170" fontId="19" fillId="33" borderId="23" xfId="2" applyNumberFormat="1" applyFill="1" applyBorder="1" applyAlignment="1">
      <alignment vertical="top"/>
    </xf>
    <xf numFmtId="170" fontId="19" fillId="33" borderId="34" xfId="2" applyNumberFormat="1" applyFill="1" applyBorder="1" applyAlignment="1">
      <alignment vertical="top"/>
    </xf>
    <xf numFmtId="170" fontId="19" fillId="33" borderId="74" xfId="2" applyNumberFormat="1" applyFill="1" applyBorder="1" applyAlignment="1">
      <alignment vertical="top"/>
    </xf>
    <xf numFmtId="170" fontId="19" fillId="33" borderId="34" xfId="2" applyNumberFormat="1" applyFont="1" applyFill="1" applyBorder="1" applyAlignment="1">
      <alignment vertical="top"/>
    </xf>
    <xf numFmtId="170" fontId="20" fillId="33" borderId="34" xfId="2" applyNumberFormat="1" applyFont="1" applyFill="1" applyBorder="1" applyAlignment="1">
      <alignment vertical="top"/>
    </xf>
    <xf numFmtId="170" fontId="20" fillId="33" borderId="81" xfId="2" applyNumberFormat="1" applyFont="1" applyFill="1" applyBorder="1" applyAlignment="1">
      <alignment vertical="top"/>
    </xf>
    <xf numFmtId="170" fontId="19" fillId="33" borderId="92" xfId="2" applyNumberFormat="1" applyFill="1" applyBorder="1" applyAlignment="1">
      <alignment vertical="top"/>
    </xf>
    <xf numFmtId="168" fontId="20" fillId="0" borderId="13" xfId="2" applyNumberFormat="1" applyFont="1" applyFill="1" applyBorder="1" applyAlignment="1">
      <alignment horizontal="center" vertical="top"/>
    </xf>
    <xf numFmtId="0" fontId="20" fillId="18" borderId="13" xfId="0" applyFont="1" applyFill="1" applyBorder="1" applyAlignment="1">
      <alignment horizontal="centerContinuous" vertical="top"/>
    </xf>
    <xf numFmtId="3" fontId="19" fillId="18" borderId="108" xfId="2" applyNumberFormat="1" applyFill="1" applyBorder="1" applyAlignment="1">
      <alignment horizontal="center" vertical="top"/>
    </xf>
    <xf numFmtId="3" fontId="19" fillId="18" borderId="108" xfId="2" applyNumberFormat="1" applyFont="1" applyFill="1" applyBorder="1" applyAlignment="1">
      <alignment horizontal="center" vertical="top"/>
    </xf>
    <xf numFmtId="3" fontId="19" fillId="18" borderId="11" xfId="2" applyNumberFormat="1" applyFont="1" applyFill="1" applyBorder="1" applyAlignment="1">
      <alignment horizontal="center" vertical="top"/>
    </xf>
    <xf numFmtId="3" fontId="20" fillId="18" borderId="144" xfId="2" applyNumberFormat="1" applyFont="1" applyFill="1" applyBorder="1" applyAlignment="1">
      <alignment horizontal="center" vertical="top"/>
    </xf>
    <xf numFmtId="0" fontId="20" fillId="18" borderId="80" xfId="0" applyFont="1" applyFill="1" applyBorder="1" applyAlignment="1">
      <alignment horizontal="centerContinuous" vertical="top"/>
    </xf>
    <xf numFmtId="0" fontId="20" fillId="18" borderId="17" xfId="0" applyFont="1" applyFill="1" applyBorder="1" applyAlignment="1">
      <alignment vertical="top"/>
    </xf>
    <xf numFmtId="0" fontId="0" fillId="18" borderId="34" xfId="0" applyFill="1" applyBorder="1" applyAlignment="1">
      <alignment vertical="top"/>
    </xf>
    <xf numFmtId="170" fontId="19" fillId="18" borderId="29" xfId="2" applyNumberFormat="1" applyFill="1" applyBorder="1" applyAlignment="1">
      <alignment vertical="top"/>
    </xf>
    <xf numFmtId="170" fontId="19" fillId="18" borderId="34" xfId="2" applyNumberFormat="1" applyFill="1" applyBorder="1" applyAlignment="1">
      <alignment vertical="top"/>
    </xf>
    <xf numFmtId="170" fontId="19" fillId="18" borderId="75" xfId="2" applyNumberFormat="1" applyFill="1" applyBorder="1" applyAlignment="1">
      <alignment vertical="top"/>
    </xf>
    <xf numFmtId="168" fontId="0" fillId="18" borderId="27" xfId="0" applyNumberFormat="1" applyFill="1" applyBorder="1" applyAlignment="1">
      <alignment vertical="top"/>
    </xf>
    <xf numFmtId="170" fontId="19" fillId="18" borderId="74" xfId="2" applyNumberFormat="1" applyFill="1" applyBorder="1" applyAlignment="1">
      <alignment vertical="top"/>
    </xf>
    <xf numFmtId="170" fontId="19" fillId="18" borderId="34" xfId="2" applyNumberFormat="1" applyFont="1" applyFill="1" applyBorder="1" applyAlignment="1">
      <alignment vertical="top"/>
    </xf>
    <xf numFmtId="170" fontId="19" fillId="18" borderId="145" xfId="2" applyNumberFormat="1" applyFill="1" applyBorder="1" applyAlignment="1">
      <alignment vertical="top"/>
    </xf>
    <xf numFmtId="170" fontId="19" fillId="18" borderId="76" xfId="2" applyNumberFormat="1" applyFill="1" applyBorder="1" applyAlignment="1">
      <alignment vertical="top"/>
    </xf>
    <xf numFmtId="170" fontId="20" fillId="18" borderId="34" xfId="2" applyNumberFormat="1" applyFont="1" applyFill="1" applyBorder="1" applyAlignment="1">
      <alignment vertical="top"/>
    </xf>
    <xf numFmtId="170" fontId="20" fillId="18" borderId="81" xfId="2" applyNumberFormat="1" applyFont="1" applyFill="1" applyBorder="1" applyAlignment="1">
      <alignment vertical="top"/>
    </xf>
    <xf numFmtId="170" fontId="19" fillId="18" borderId="92" xfId="2" applyNumberFormat="1" applyFill="1" applyBorder="1" applyAlignment="1">
      <alignment vertical="top"/>
    </xf>
    <xf numFmtId="0" fontId="20" fillId="18" borderId="81" xfId="0" applyFont="1" applyFill="1" applyBorder="1" applyAlignment="1">
      <alignment vertical="top"/>
    </xf>
    <xf numFmtId="170" fontId="19" fillId="18" borderId="23" xfId="2" applyNumberFormat="1" applyFill="1" applyBorder="1" applyAlignment="1">
      <alignment vertical="top"/>
    </xf>
    <xf numFmtId="3" fontId="19" fillId="33" borderId="33" xfId="2" applyNumberFormat="1" applyFont="1" applyFill="1" applyBorder="1" applyAlignment="1">
      <alignment horizontal="center" vertical="top"/>
    </xf>
    <xf numFmtId="3" fontId="19" fillId="33" borderId="31" xfId="2" applyNumberFormat="1" applyFill="1" applyBorder="1" applyAlignment="1">
      <alignment horizontal="center" vertical="top"/>
    </xf>
    <xf numFmtId="3" fontId="19" fillId="33" borderId="11" xfId="2" applyNumberFormat="1" applyFont="1" applyFill="1" applyBorder="1" applyAlignment="1">
      <alignment horizontal="center" vertical="top"/>
    </xf>
    <xf numFmtId="170" fontId="19" fillId="33" borderId="27" xfId="2" applyNumberFormat="1" applyFont="1" applyFill="1" applyBorder="1" applyAlignment="1">
      <alignment vertical="top"/>
    </xf>
    <xf numFmtId="168" fontId="0" fillId="33" borderId="27" xfId="0" applyNumberFormat="1" applyFill="1" applyBorder="1" applyAlignment="1">
      <alignment vertical="top"/>
    </xf>
    <xf numFmtId="170" fontId="19" fillId="33" borderId="75" xfId="2" applyNumberFormat="1" applyFill="1" applyBorder="1" applyAlignment="1">
      <alignment vertical="top"/>
    </xf>
    <xf numFmtId="170" fontId="19" fillId="33" borderId="76" xfId="2" applyNumberFormat="1" applyFill="1" applyBorder="1" applyAlignment="1">
      <alignment vertical="top"/>
    </xf>
    <xf numFmtId="0" fontId="20" fillId="33" borderId="81" xfId="0" applyFont="1" applyFill="1" applyBorder="1" applyAlignment="1">
      <alignment vertical="top"/>
    </xf>
    <xf numFmtId="170" fontId="19" fillId="33" borderId="110" xfId="2" applyNumberFormat="1" applyFill="1" applyBorder="1" applyAlignment="1">
      <alignment vertical="top"/>
    </xf>
    <xf numFmtId="5" fontId="24" fillId="0" borderId="0" xfId="0" applyNumberFormat="1" applyFont="1" applyAlignment="1">
      <alignment horizontal="left" vertical="top"/>
    </xf>
    <xf numFmtId="0" fontId="20" fillId="0" borderId="18" xfId="0" applyFont="1" applyBorder="1" applyAlignment="1">
      <alignment vertical="top"/>
    </xf>
    <xf numFmtId="0" fontId="20" fillId="0" borderId="35" xfId="0" applyFont="1" applyBorder="1" applyAlignment="1">
      <alignment horizontal="center" vertical="top"/>
    </xf>
    <xf numFmtId="168" fontId="19" fillId="0" borderId="35" xfId="2" applyNumberFormat="1" applyFont="1" applyFill="1" applyBorder="1" applyAlignment="1">
      <alignment vertical="top"/>
    </xf>
    <xf numFmtId="168" fontId="19" fillId="2" borderId="26" xfId="2" applyNumberFormat="1" applyFont="1" applyFill="1" applyBorder="1" applyAlignment="1" applyProtection="1">
      <alignment horizontal="center" vertical="top" wrapText="1"/>
      <protection locked="0"/>
    </xf>
    <xf numFmtId="168" fontId="19" fillId="0" borderId="28" xfId="2" applyNumberFormat="1" applyFont="1" applyFill="1" applyBorder="1" applyAlignment="1" applyProtection="1">
      <alignment horizontal="center" vertical="top" wrapText="1"/>
      <protection locked="0"/>
    </xf>
    <xf numFmtId="168" fontId="19" fillId="2" borderId="35" xfId="2" applyNumberFormat="1" applyFill="1" applyBorder="1" applyAlignment="1" applyProtection="1">
      <alignment horizontal="center" vertical="top" wrapText="1"/>
      <protection locked="0"/>
    </xf>
    <xf numFmtId="168" fontId="19" fillId="2" borderId="143" xfId="2" applyNumberFormat="1" applyFont="1" applyFill="1" applyBorder="1" applyAlignment="1" applyProtection="1">
      <alignment horizontal="center" vertical="top" wrapText="1"/>
      <protection locked="0"/>
    </xf>
    <xf numFmtId="168" fontId="19" fillId="0" borderId="35" xfId="2" applyNumberFormat="1" applyFont="1" applyFill="1" applyBorder="1" applyAlignment="1" applyProtection="1">
      <alignment vertical="top" wrapText="1"/>
      <protection locked="0"/>
    </xf>
    <xf numFmtId="0" fontId="19" fillId="2" borderId="35" xfId="0" applyFont="1" applyFill="1" applyBorder="1" applyAlignment="1" applyProtection="1">
      <alignment vertical="top" wrapText="1"/>
      <protection locked="0"/>
    </xf>
    <xf numFmtId="168" fontId="19" fillId="2" borderId="78" xfId="2" applyNumberFormat="1" applyFont="1" applyFill="1" applyBorder="1" applyAlignment="1" applyProtection="1">
      <alignment horizontal="center" vertical="top" wrapText="1"/>
      <protection locked="0"/>
    </xf>
    <xf numFmtId="168" fontId="19" fillId="2" borderId="77" xfId="2" applyNumberFormat="1" applyFont="1" applyFill="1" applyBorder="1" applyAlignment="1" applyProtection="1">
      <alignment horizontal="center" vertical="top" wrapText="1"/>
      <protection locked="0"/>
    </xf>
    <xf numFmtId="168" fontId="19" fillId="0" borderId="26" xfId="2" applyNumberFormat="1" applyFont="1" applyFill="1" applyBorder="1" applyAlignment="1" applyProtection="1">
      <alignment horizontal="center" vertical="top" wrapText="1"/>
      <protection locked="0"/>
    </xf>
    <xf numFmtId="168" fontId="19" fillId="2" borderId="35" xfId="2" applyNumberFormat="1" applyFont="1" applyFill="1" applyBorder="1" applyAlignment="1" applyProtection="1">
      <alignment vertical="top" wrapText="1"/>
      <protection locked="0"/>
    </xf>
    <xf numFmtId="168" fontId="20" fillId="2" borderId="35" xfId="2" applyNumberFormat="1" applyFont="1" applyFill="1" applyBorder="1" applyAlignment="1" applyProtection="1">
      <alignment horizontal="center" vertical="top" wrapText="1"/>
      <protection locked="0"/>
    </xf>
    <xf numFmtId="168" fontId="20" fillId="2" borderId="60" xfId="2" applyNumberFormat="1" applyFont="1" applyFill="1" applyBorder="1" applyAlignment="1" applyProtection="1">
      <alignment horizontal="center" vertical="top" wrapText="1"/>
      <protection locked="0"/>
    </xf>
    <xf numFmtId="168" fontId="19" fillId="2" borderId="35" xfId="2" applyNumberFormat="1" applyFont="1" applyFill="1" applyBorder="1" applyAlignment="1" applyProtection="1">
      <alignment horizontal="center" vertical="top" wrapText="1"/>
      <protection locked="0"/>
    </xf>
    <xf numFmtId="0" fontId="20" fillId="18" borderId="35" xfId="0" applyFont="1" applyFill="1" applyBorder="1" applyAlignment="1">
      <alignment horizontal="center" vertical="top"/>
    </xf>
    <xf numFmtId="168" fontId="19" fillId="18" borderId="21" xfId="2" applyNumberFormat="1" applyFill="1" applyBorder="1" applyAlignment="1">
      <alignment vertical="top"/>
    </xf>
    <xf numFmtId="168" fontId="19" fillId="18" borderId="35" xfId="2" applyNumberFormat="1" applyFill="1" applyBorder="1" applyAlignment="1">
      <alignment horizontal="center" vertical="top"/>
    </xf>
    <xf numFmtId="168" fontId="19" fillId="18" borderId="143" xfId="2" applyNumberFormat="1" applyFill="1" applyBorder="1" applyAlignment="1">
      <alignment horizontal="center" vertical="top"/>
    </xf>
    <xf numFmtId="168" fontId="19" fillId="18" borderId="35" xfId="2" applyNumberFormat="1" applyFill="1" applyBorder="1" applyAlignment="1">
      <alignment vertical="top"/>
    </xf>
    <xf numFmtId="0" fontId="0" fillId="18" borderId="35" xfId="0" applyFill="1" applyBorder="1" applyAlignment="1">
      <alignment vertical="top"/>
    </xf>
    <xf numFmtId="168" fontId="19" fillId="18" borderId="35" xfId="2" applyNumberFormat="1" applyFont="1" applyFill="1" applyBorder="1" applyAlignment="1">
      <alignment vertical="top"/>
    </xf>
    <xf numFmtId="168" fontId="19" fillId="18" borderId="28" xfId="2" applyNumberFormat="1" applyFont="1" applyFill="1" applyBorder="1" applyAlignment="1">
      <alignment horizontal="center" vertical="top"/>
    </xf>
    <xf numFmtId="166" fontId="20" fillId="18" borderId="0" xfId="1" applyNumberFormat="1" applyFont="1" applyFill="1" applyBorder="1" applyAlignment="1">
      <alignment horizontal="center" vertical="top"/>
    </xf>
    <xf numFmtId="168" fontId="20" fillId="18" borderId="35" xfId="2" applyNumberFormat="1" applyFont="1" applyFill="1" applyBorder="1" applyAlignment="1">
      <alignment horizontal="center" vertical="top"/>
    </xf>
    <xf numFmtId="168" fontId="20" fillId="18" borderId="60" xfId="2" applyNumberFormat="1" applyFont="1" applyFill="1" applyBorder="1" applyAlignment="1">
      <alignment horizontal="center" vertical="top"/>
    </xf>
    <xf numFmtId="168" fontId="19" fillId="0" borderId="35" xfId="2" applyNumberFormat="1" applyFont="1" applyFill="1" applyBorder="1" applyAlignment="1">
      <alignment horizontal="center" vertical="top"/>
    </xf>
    <xf numFmtId="0" fontId="0" fillId="16" borderId="16" xfId="0" applyFill="1" applyBorder="1" applyAlignment="1">
      <alignment vertical="top"/>
    </xf>
    <xf numFmtId="0" fontId="0" fillId="16" borderId="19" xfId="0" applyFill="1" applyBorder="1" applyAlignment="1">
      <alignment vertical="top"/>
    </xf>
    <xf numFmtId="0" fontId="19" fillId="16" borderId="19" xfId="0" applyFont="1" applyFill="1" applyBorder="1" applyAlignment="1">
      <alignment vertical="top"/>
    </xf>
    <xf numFmtId="0" fontId="20" fillId="16" borderId="19" xfId="0" applyFont="1" applyFill="1" applyBorder="1" applyAlignment="1">
      <alignment vertical="top"/>
    </xf>
    <xf numFmtId="170" fontId="19" fillId="16" borderId="19" xfId="2" applyNumberFormat="1" applyFill="1" applyBorder="1" applyAlignment="1">
      <alignment vertical="top"/>
    </xf>
    <xf numFmtId="170" fontId="19" fillId="16" borderId="22" xfId="2" applyNumberFormat="1" applyFill="1" applyBorder="1" applyAlignment="1">
      <alignment vertical="top"/>
    </xf>
    <xf numFmtId="0" fontId="37" fillId="0" borderId="0" xfId="0" applyFont="1" applyAlignment="1">
      <alignment horizontal="left" vertical="top" wrapText="1"/>
    </xf>
    <xf numFmtId="1" fontId="19" fillId="25" borderId="21" xfId="2" applyNumberFormat="1" applyFont="1" applyFill="1" applyBorder="1" applyAlignment="1" applyProtection="1">
      <alignment horizontal="center" vertical="top"/>
      <protection locked="0"/>
    </xf>
    <xf numFmtId="0" fontId="20" fillId="0" borderId="6" xfId="0" applyFont="1" applyBorder="1" applyAlignment="1">
      <alignment horizontal="left"/>
    </xf>
    <xf numFmtId="0" fontId="0" fillId="0" borderId="6" xfId="0" applyBorder="1" applyAlignment="1">
      <alignment horizontal="center"/>
    </xf>
    <xf numFmtId="0" fontId="19" fillId="0" borderId="6" xfId="0" applyFont="1" applyBorder="1" applyAlignment="1">
      <alignment horizontal="center"/>
    </xf>
    <xf numFmtId="0" fontId="19" fillId="25" borderId="6" xfId="0" applyFont="1" applyFill="1" applyBorder="1" applyAlignment="1" applyProtection="1">
      <alignment horizontal="center"/>
      <protection locked="0"/>
    </xf>
    <xf numFmtId="0" fontId="19" fillId="0" borderId="6" xfId="0" applyFont="1" applyBorder="1" applyAlignment="1">
      <alignment horizontal="centerContinuous"/>
    </xf>
    <xf numFmtId="0" fontId="0" fillId="0" borderId="6" xfId="0" applyBorder="1" applyAlignment="1">
      <alignment horizontal="centerContinuous"/>
    </xf>
    <xf numFmtId="164" fontId="0" fillId="0" borderId="0" xfId="0" applyNumberFormat="1"/>
    <xf numFmtId="3" fontId="47" fillId="0" borderId="0" xfId="10" applyNumberFormat="1" applyFont="1" applyAlignment="1">
      <alignment vertical="top"/>
    </xf>
    <xf numFmtId="43" fontId="18" fillId="24" borderId="53" xfId="0" applyNumberFormat="1" applyFont="1" applyFill="1" applyBorder="1" applyAlignment="1">
      <alignment horizontal="center" vertical="center" wrapText="1"/>
    </xf>
    <xf numFmtId="170" fontId="19" fillId="0" borderId="0" xfId="2" applyNumberFormat="1" applyBorder="1"/>
    <xf numFmtId="170" fontId="19" fillId="0" borderId="30" xfId="2" applyNumberFormat="1" applyFont="1" applyFill="1" applyBorder="1" applyAlignment="1">
      <alignment horizontal="center"/>
    </xf>
    <xf numFmtId="168" fontId="19" fillId="0" borderId="30" xfId="2" applyNumberFormat="1" applyFont="1" applyFill="1" applyBorder="1" applyAlignment="1">
      <alignment horizontal="center"/>
    </xf>
    <xf numFmtId="0" fontId="0" fillId="25" borderId="15" xfId="0" applyFill="1" applyBorder="1" applyProtection="1">
      <protection locked="0"/>
    </xf>
    <xf numFmtId="0" fontId="20" fillId="0" borderId="5" xfId="0" applyFont="1" applyBorder="1" applyAlignment="1">
      <alignment horizontal="left"/>
    </xf>
    <xf numFmtId="167" fontId="0" fillId="25" borderId="0" xfId="2" applyNumberFormat="1" applyFont="1" applyFill="1" applyBorder="1" applyProtection="1">
      <protection locked="0"/>
    </xf>
    <xf numFmtId="44" fontId="0" fillId="25" borderId="0" xfId="2" applyFont="1" applyFill="1" applyBorder="1" applyProtection="1">
      <protection locked="0"/>
    </xf>
    <xf numFmtId="0" fontId="19" fillId="0" borderId="6" xfId="0" applyFont="1" applyBorder="1" applyAlignment="1">
      <alignment horizontal="right"/>
    </xf>
    <xf numFmtId="166" fontId="50" fillId="0" borderId="57" xfId="1" applyNumberFormat="1" applyFont="1" applyBorder="1" applyAlignment="1">
      <alignment horizontal="right" vertical="top" wrapText="1"/>
    </xf>
    <xf numFmtId="166" fontId="48" fillId="14" borderId="64" xfId="1" applyNumberFormat="1" applyFont="1" applyFill="1" applyBorder="1" applyAlignment="1">
      <alignment horizontal="right" vertical="top" wrapText="1"/>
    </xf>
    <xf numFmtId="168" fontId="0" fillId="0" borderId="0" xfId="1" applyNumberFormat="1" applyFont="1" applyAlignment="1">
      <alignment horizontal="center"/>
    </xf>
    <xf numFmtId="168" fontId="0" fillId="0" borderId="0" xfId="1" applyNumberFormat="1" applyFont="1"/>
    <xf numFmtId="0" fontId="16" fillId="33" borderId="15" xfId="0" applyFont="1" applyFill="1" applyBorder="1" applyAlignment="1">
      <alignment horizontal="right" vertical="top"/>
    </xf>
    <xf numFmtId="168" fontId="26" fillId="0" borderId="0" xfId="7" applyNumberFormat="1" applyFont="1" applyBorder="1" applyAlignment="1">
      <alignment horizontal="right" vertical="top"/>
    </xf>
    <xf numFmtId="168" fontId="26" fillId="0" borderId="0" xfId="7" applyNumberFormat="1" applyFont="1" applyBorder="1" applyAlignment="1">
      <alignment horizontal="right"/>
    </xf>
    <xf numFmtId="168" fontId="26" fillId="0" borderId="0" xfId="5" applyNumberFormat="1" applyFont="1" applyAlignment="1">
      <alignment horizontal="right" vertical="top"/>
    </xf>
    <xf numFmtId="168" fontId="26" fillId="0" borderId="0" xfId="6" applyNumberFormat="1" applyFont="1" applyAlignment="1">
      <alignment horizontal="right" vertical="top"/>
    </xf>
    <xf numFmtId="168" fontId="91" fillId="0" borderId="0" xfId="6" applyNumberFormat="1" applyFont="1" applyAlignment="1">
      <alignment horizontal="right" vertical="top"/>
    </xf>
    <xf numFmtId="168" fontId="26" fillId="0" borderId="124" xfId="7" applyNumberFormat="1" applyFont="1" applyBorder="1" applyAlignment="1">
      <alignment horizontal="right" vertical="top"/>
    </xf>
    <xf numFmtId="168" fontId="26" fillId="0" borderId="124" xfId="7" applyNumberFormat="1" applyFont="1" applyBorder="1" applyAlignment="1">
      <alignment horizontal="right"/>
    </xf>
    <xf numFmtId="168" fontId="26" fillId="10" borderId="0" xfId="7" applyNumberFormat="1" applyFont="1" applyFill="1" applyBorder="1" applyAlignment="1">
      <alignment horizontal="right" vertical="top"/>
    </xf>
    <xf numFmtId="168" fontId="26" fillId="10" borderId="0" xfId="6" applyNumberFormat="1" applyFont="1" applyFill="1" applyAlignment="1">
      <alignment horizontal="right" vertical="top"/>
    </xf>
    <xf numFmtId="168" fontId="91" fillId="10" borderId="0" xfId="6" applyNumberFormat="1" applyFont="1" applyFill="1" applyAlignment="1">
      <alignment horizontal="right" vertical="top"/>
    </xf>
    <xf numFmtId="0" fontId="19" fillId="18" borderId="0" xfId="0" applyFont="1" applyFill="1" applyAlignment="1">
      <alignment vertical="top" wrapText="1"/>
    </xf>
    <xf numFmtId="0" fontId="17" fillId="18" borderId="0" xfId="6" applyFill="1" applyAlignment="1">
      <alignment vertical="top"/>
    </xf>
    <xf numFmtId="168" fontId="26" fillId="18" borderId="0" xfId="7" applyNumberFormat="1" applyFont="1" applyFill="1" applyBorder="1" applyAlignment="1">
      <alignment horizontal="right" vertical="top"/>
    </xf>
    <xf numFmtId="164" fontId="26" fillId="18" borderId="0" xfId="3" applyNumberFormat="1" applyFont="1" applyFill="1" applyBorder="1" applyAlignment="1">
      <alignment vertical="top"/>
    </xf>
    <xf numFmtId="168" fontId="26" fillId="18" borderId="0" xfId="6" applyNumberFormat="1" applyFont="1" applyFill="1" applyAlignment="1">
      <alignment horizontal="right" vertical="top"/>
    </xf>
    <xf numFmtId="168" fontId="91" fillId="18" borderId="0" xfId="6" applyNumberFormat="1" applyFont="1" applyFill="1" applyAlignment="1">
      <alignment horizontal="right" vertical="top"/>
    </xf>
    <xf numFmtId="168" fontId="16" fillId="0" borderId="6" xfId="7" applyNumberFormat="1" applyFont="1" applyBorder="1" applyAlignment="1">
      <alignment horizontal="right" vertical="top"/>
    </xf>
    <xf numFmtId="164" fontId="26" fillId="0" borderId="6" xfId="3" applyNumberFormat="1" applyFont="1" applyBorder="1" applyAlignment="1">
      <alignment vertical="top"/>
    </xf>
    <xf numFmtId="168" fontId="16" fillId="0" borderId="146" xfId="7" applyNumberFormat="1" applyFont="1" applyBorder="1" applyAlignment="1">
      <alignment horizontal="right" vertical="top"/>
    </xf>
    <xf numFmtId="168" fontId="16" fillId="0" borderId="13" xfId="7" applyNumberFormat="1" applyFont="1" applyBorder="1" applyAlignment="1">
      <alignment horizontal="right" vertical="top"/>
    </xf>
    <xf numFmtId="164" fontId="26" fillId="0" borderId="13" xfId="3" applyNumberFormat="1" applyFont="1" applyBorder="1" applyAlignment="1">
      <alignment vertical="top"/>
    </xf>
    <xf numFmtId="0" fontId="19" fillId="0" borderId="119" xfId="5" applyBorder="1" applyAlignment="1">
      <alignment horizontal="center" vertical="top" textRotation="90"/>
    </xf>
    <xf numFmtId="5" fontId="26" fillId="0" borderId="0" xfId="4" applyNumberFormat="1" applyFont="1" applyAlignment="1">
      <alignment horizontal="center" vertical="top" wrapText="1"/>
    </xf>
    <xf numFmtId="166" fontId="24" fillId="0" borderId="147" xfId="1" applyNumberFormat="1" applyFont="1" applyFill="1" applyBorder="1" applyAlignment="1" applyProtection="1">
      <alignment horizontal="center" vertical="top"/>
      <protection locked="0"/>
    </xf>
    <xf numFmtId="0" fontId="19" fillId="0" borderId="13" xfId="0" applyFont="1" applyBorder="1" applyAlignment="1">
      <alignment vertical="top" wrapText="1"/>
    </xf>
    <xf numFmtId="168" fontId="26" fillId="0" borderId="13" xfId="7" applyNumberFormat="1" applyFont="1" applyBorder="1" applyAlignment="1">
      <alignment horizontal="right" vertical="top"/>
    </xf>
    <xf numFmtId="168" fontId="26" fillId="0" borderId="13" xfId="7" applyNumberFormat="1" applyFont="1" applyBorder="1" applyAlignment="1">
      <alignment horizontal="right"/>
    </xf>
    <xf numFmtId="0" fontId="34" fillId="0" borderId="80" xfId="4" quotePrefix="1" applyFont="1" applyBorder="1" applyAlignment="1">
      <alignment horizontal="left" vertical="top"/>
    </xf>
    <xf numFmtId="0" fontId="19" fillId="0" borderId="122" xfId="4" applyFont="1" applyBorder="1" applyAlignment="1">
      <alignment horizontal="center" vertical="top"/>
    </xf>
    <xf numFmtId="5" fontId="18" fillId="0" borderId="121" xfId="4" applyNumberFormat="1" applyFont="1" applyBorder="1" applyAlignment="1">
      <alignment horizontal="left" vertical="top"/>
    </xf>
    <xf numFmtId="170" fontId="36" fillId="0" borderId="122" xfId="2" applyNumberFormat="1" applyFont="1" applyBorder="1" applyAlignment="1">
      <alignment vertical="top"/>
    </xf>
    <xf numFmtId="5" fontId="19" fillId="0" borderId="122" xfId="4" applyNumberFormat="1" applyFont="1" applyBorder="1" applyAlignment="1">
      <alignment vertical="top"/>
    </xf>
    <xf numFmtId="0" fontId="34" fillId="0" borderId="122" xfId="4" applyFont="1" applyBorder="1" applyAlignment="1">
      <alignment vertical="top"/>
    </xf>
    <xf numFmtId="41" fontId="0" fillId="35" borderId="4" xfId="0" applyNumberFormat="1" applyFill="1" applyBorder="1" applyAlignment="1">
      <alignment vertical="top"/>
    </xf>
    <xf numFmtId="164" fontId="26" fillId="0" borderId="0" xfId="19" applyNumberFormat="1" applyFont="1" applyFill="1" applyBorder="1" applyAlignment="1" applyProtection="1">
      <alignment vertical="top"/>
    </xf>
    <xf numFmtId="5" fontId="92" fillId="0" borderId="0" xfId="4" applyNumberFormat="1" applyFont="1" applyAlignment="1">
      <alignment horizontal="left"/>
    </xf>
    <xf numFmtId="5" fontId="92" fillId="0" borderId="0" xfId="4" applyNumberFormat="1" applyFont="1"/>
    <xf numFmtId="5" fontId="92" fillId="0" borderId="0" xfId="4" applyNumberFormat="1" applyFont="1" applyAlignment="1">
      <alignment vertical="top"/>
    </xf>
    <xf numFmtId="166" fontId="0" fillId="0" borderId="13" xfId="1" applyNumberFormat="1" applyFont="1" applyBorder="1" applyAlignment="1">
      <alignment vertical="top"/>
    </xf>
    <xf numFmtId="0" fontId="0" fillId="0" borderId="7" xfId="0" applyBorder="1" applyAlignment="1">
      <alignment vertical="top"/>
    </xf>
    <xf numFmtId="0" fontId="19" fillId="0" borderId="12" xfId="0" applyFont="1" applyBorder="1" applyAlignment="1">
      <alignment vertical="top"/>
    </xf>
    <xf numFmtId="9" fontId="0" fillId="25" borderId="0" xfId="3" applyFont="1" applyFill="1" applyProtection="1">
      <protection locked="0"/>
    </xf>
    <xf numFmtId="0" fontId="0" fillId="3" borderId="0" xfId="0" applyFill="1"/>
    <xf numFmtId="0" fontId="6" fillId="0" borderId="0" xfId="13" applyFont="1"/>
    <xf numFmtId="164" fontId="0" fillId="0" borderId="0" xfId="3" applyNumberFormat="1" applyFont="1" applyAlignment="1">
      <alignment horizontal="right"/>
    </xf>
    <xf numFmtId="178" fontId="0" fillId="0" borderId="6" xfId="0" applyNumberFormat="1" applyBorder="1" applyAlignment="1">
      <alignment horizontal="center"/>
    </xf>
    <xf numFmtId="178" fontId="16" fillId="0" borderId="0" xfId="5" applyNumberFormat="1" applyFont="1" applyAlignment="1">
      <alignment horizontal="center" vertical="top"/>
    </xf>
    <xf numFmtId="178" fontId="31" fillId="0" borderId="0" xfId="5" applyNumberFormat="1" applyFont="1" applyAlignment="1">
      <alignment vertical="top"/>
    </xf>
    <xf numFmtId="178" fontId="28" fillId="0" borderId="0" xfId="6" applyNumberFormat="1" applyFont="1" applyAlignment="1">
      <alignment vertical="top"/>
    </xf>
    <xf numFmtId="178" fontId="48" fillId="13" borderId="60" xfId="0" applyNumberFormat="1" applyFont="1" applyFill="1" applyBorder="1" applyAlignment="1">
      <alignment horizontal="center" vertical="top" wrapText="1"/>
    </xf>
    <xf numFmtId="178" fontId="16" fillId="0" borderId="124" xfId="5" applyNumberFormat="1" applyFont="1" applyBorder="1" applyAlignment="1">
      <alignment horizontal="center"/>
    </xf>
    <xf numFmtId="178" fontId="16" fillId="0" borderId="0" xfId="5" applyNumberFormat="1" applyFont="1" applyAlignment="1">
      <alignment horizontal="center"/>
    </xf>
    <xf numFmtId="178" fontId="31" fillId="0" borderId="0" xfId="5" applyNumberFormat="1" applyFont="1"/>
    <xf numFmtId="178" fontId="28" fillId="0" borderId="0" xfId="6" applyNumberFormat="1" applyFont="1"/>
    <xf numFmtId="178" fontId="24" fillId="0" borderId="0" xfId="4" applyNumberFormat="1" applyFont="1"/>
    <xf numFmtId="178" fontId="20" fillId="0" borderId="13" xfId="10" applyNumberFormat="1" applyFont="1" applyBorder="1" applyAlignment="1">
      <alignment horizontal="center"/>
    </xf>
    <xf numFmtId="178" fontId="45" fillId="0" borderId="55" xfId="10" applyNumberFormat="1" applyFont="1" applyBorder="1" applyAlignment="1">
      <alignment horizontal="center" vertical="center" wrapText="1"/>
    </xf>
    <xf numFmtId="178" fontId="45" fillId="0" borderId="54" xfId="10" applyNumberFormat="1" applyFont="1" applyBorder="1" applyAlignment="1">
      <alignment horizontal="center" vertical="center" wrapText="1"/>
    </xf>
    <xf numFmtId="178" fontId="20" fillId="0" borderId="44" xfId="0" applyNumberFormat="1" applyFont="1" applyBorder="1" applyAlignment="1">
      <alignment horizontal="center"/>
    </xf>
    <xf numFmtId="178" fontId="20" fillId="0" borderId="13" xfId="0" applyNumberFormat="1" applyFont="1" applyBorder="1" applyAlignment="1">
      <alignment horizontal="centerContinuous" vertical="top"/>
    </xf>
    <xf numFmtId="178" fontId="20" fillId="17" borderId="80" xfId="0" applyNumberFormat="1" applyFont="1" applyFill="1" applyBorder="1" applyAlignment="1">
      <alignment horizontal="centerContinuous" vertical="top"/>
    </xf>
    <xf numFmtId="178" fontId="20" fillId="33" borderId="13" xfId="0" applyNumberFormat="1" applyFont="1" applyFill="1" applyBorder="1" applyAlignment="1">
      <alignment horizontal="centerContinuous" vertical="top"/>
    </xf>
    <xf numFmtId="178" fontId="20" fillId="33" borderId="80" xfId="0" applyNumberFormat="1" applyFont="1" applyFill="1" applyBorder="1" applyAlignment="1">
      <alignment horizontal="centerContinuous" vertical="top"/>
    </xf>
    <xf numFmtId="178" fontId="20" fillId="0" borderId="4" xfId="14" applyNumberFormat="1" applyFont="1" applyFill="1" applyBorder="1" applyAlignment="1">
      <alignment horizontal="center" vertical="center" wrapText="1"/>
    </xf>
    <xf numFmtId="178" fontId="74" fillId="33" borderId="0" xfId="20" applyNumberFormat="1" applyFill="1" applyAlignment="1">
      <alignment vertical="top"/>
    </xf>
    <xf numFmtId="178" fontId="20" fillId="0" borderId="0" xfId="0" applyNumberFormat="1" applyFont="1"/>
    <xf numFmtId="178" fontId="0" fillId="0" borderId="0" xfId="0" applyNumberFormat="1"/>
    <xf numFmtId="0" fontId="19" fillId="0" borderId="0" xfId="0" applyFont="1" applyAlignment="1">
      <alignment horizontal="center" vertical="top" wrapText="1"/>
    </xf>
    <xf numFmtId="177" fontId="0" fillId="25" borderId="0" xfId="0" applyNumberFormat="1" applyFill="1" applyAlignment="1" applyProtection="1">
      <alignment horizontal="center" vertical="top"/>
      <protection locked="0"/>
    </xf>
    <xf numFmtId="177" fontId="0" fillId="0" borderId="0" xfId="0" applyNumberFormat="1" applyAlignment="1">
      <alignment horizontal="center" vertical="top"/>
    </xf>
    <xf numFmtId="178" fontId="0" fillId="0" borderId="0" xfId="0" applyNumberFormat="1" applyAlignment="1">
      <alignment horizontal="center"/>
    </xf>
    <xf numFmtId="178" fontId="14" fillId="0" borderId="0" xfId="13" applyNumberFormat="1"/>
    <xf numFmtId="178" fontId="26" fillId="0" borderId="15" xfId="4" applyNumberFormat="1" applyFont="1" applyBorder="1" applyAlignment="1">
      <alignment horizontal="center" wrapText="1"/>
    </xf>
    <xf numFmtId="179" fontId="25" fillId="0" borderId="0" xfId="4" applyNumberFormat="1" applyFont="1"/>
    <xf numFmtId="14" fontId="19" fillId="0" borderId="0" xfId="0" applyNumberFormat="1" applyFont="1"/>
    <xf numFmtId="1" fontId="0" fillId="25" borderId="0" xfId="0" applyNumberFormat="1" applyFill="1" applyAlignment="1" applyProtection="1">
      <alignment horizontal="center" vertical="top"/>
      <protection locked="0"/>
    </xf>
    <xf numFmtId="168" fontId="50" fillId="0" borderId="57" xfId="0" applyNumberFormat="1" applyFont="1" applyBorder="1" applyAlignment="1">
      <alignment horizontal="right" vertical="top" wrapText="1"/>
    </xf>
    <xf numFmtId="168" fontId="48" fillId="14" borderId="64" xfId="0" applyNumberFormat="1" applyFont="1" applyFill="1" applyBorder="1" applyAlignment="1">
      <alignment horizontal="right" vertical="top" wrapText="1"/>
    </xf>
    <xf numFmtId="168" fontId="50" fillId="0" borderId="55" xfId="0" applyNumberFormat="1" applyFont="1" applyBorder="1" applyAlignment="1">
      <alignment horizontal="right" vertical="top" wrapText="1"/>
    </xf>
    <xf numFmtId="0" fontId="0" fillId="25" borderId="4" xfId="0" applyFill="1" applyBorder="1" applyAlignment="1" applyProtection="1">
      <alignment vertical="top" wrapText="1"/>
      <protection locked="0"/>
    </xf>
    <xf numFmtId="43" fontId="19" fillId="2" borderId="4" xfId="0" applyNumberFormat="1" applyFont="1" applyFill="1" applyBorder="1" applyAlignment="1" applyProtection="1">
      <alignment vertical="top"/>
      <protection locked="0"/>
    </xf>
    <xf numFmtId="0" fontId="94" fillId="0" borderId="0" xfId="0" applyFont="1"/>
    <xf numFmtId="0" fontId="94" fillId="0" borderId="0" xfId="0" applyFont="1" applyAlignment="1">
      <alignment horizontal="left"/>
    </xf>
    <xf numFmtId="0" fontId="95" fillId="36" borderId="0" xfId="0" applyFont="1" applyFill="1" applyAlignment="1">
      <alignment horizontal="center"/>
    </xf>
    <xf numFmtId="0" fontId="95" fillId="35" borderId="0" xfId="0" applyFont="1" applyFill="1" applyAlignment="1">
      <alignment horizontal="center"/>
    </xf>
    <xf numFmtId="0" fontId="95" fillId="10" borderId="4" xfId="0" applyFont="1" applyFill="1" applyBorder="1" applyAlignment="1">
      <alignment horizontal="center"/>
    </xf>
    <xf numFmtId="0" fontId="19" fillId="8" borderId="4" xfId="0" applyFont="1" applyFill="1" applyBorder="1" applyAlignment="1">
      <alignment horizontal="center"/>
    </xf>
    <xf numFmtId="0" fontId="19" fillId="0" borderId="43" xfId="0" applyFont="1" applyBorder="1"/>
    <xf numFmtId="0" fontId="0" fillId="17" borderId="44" xfId="0" applyFill="1" applyBorder="1" applyAlignment="1">
      <alignment wrapText="1"/>
    </xf>
    <xf numFmtId="0" fontId="0" fillId="17" borderId="44" xfId="0" applyFill="1" applyBorder="1"/>
    <xf numFmtId="0" fontId="0" fillId="25" borderId="44" xfId="0" applyFill="1" applyBorder="1"/>
    <xf numFmtId="0" fontId="19" fillId="16" borderId="44" xfId="0" applyFont="1" applyFill="1" applyBorder="1" applyAlignment="1">
      <alignment wrapText="1"/>
    </xf>
    <xf numFmtId="0" fontId="0" fillId="16" borderId="44" xfId="0" applyFill="1" applyBorder="1"/>
    <xf numFmtId="0" fontId="0" fillId="33" borderId="150" xfId="0" applyFill="1" applyBorder="1" applyAlignment="1">
      <alignment wrapText="1"/>
    </xf>
    <xf numFmtId="0" fontId="19" fillId="33" borderId="44" xfId="0" applyFont="1" applyFill="1" applyBorder="1"/>
    <xf numFmtId="0" fontId="19" fillId="35" borderId="44" xfId="0" applyFont="1" applyFill="1" applyBorder="1" applyAlignment="1">
      <alignment wrapText="1"/>
    </xf>
    <xf numFmtId="0" fontId="0" fillId="35" borderId="44" xfId="0" applyFill="1" applyBorder="1"/>
    <xf numFmtId="43" fontId="0" fillId="25" borderId="44" xfId="0" applyNumberFormat="1" applyFill="1" applyBorder="1"/>
    <xf numFmtId="0" fontId="96" fillId="12" borderId="44" xfId="0" applyFont="1" applyFill="1" applyBorder="1"/>
    <xf numFmtId="0" fontId="0" fillId="10" borderId="44" xfId="0" applyFill="1" applyBorder="1" applyAlignment="1">
      <alignment vertical="top" wrapText="1"/>
    </xf>
    <xf numFmtId="0" fontId="0" fillId="0" borderId="34" xfId="0" applyBorder="1" applyAlignment="1">
      <alignment horizontal="left"/>
    </xf>
    <xf numFmtId="0" fontId="0" fillId="17" borderId="4" xfId="0" applyFill="1" applyBorder="1" applyAlignment="1">
      <alignment wrapText="1"/>
    </xf>
    <xf numFmtId="0" fontId="0" fillId="17" borderId="4" xfId="0" applyFill="1" applyBorder="1"/>
    <xf numFmtId="0" fontId="0" fillId="25" borderId="4" xfId="0" applyFill="1" applyBorder="1"/>
    <xf numFmtId="0" fontId="0" fillId="16" borderId="4" xfId="0" applyFill="1" applyBorder="1" applyAlignment="1">
      <alignment wrapText="1"/>
    </xf>
    <xf numFmtId="0" fontId="0" fillId="16" borderId="4" xfId="0" applyFill="1" applyBorder="1"/>
    <xf numFmtId="0" fontId="0" fillId="33" borderId="4" xfId="0" applyFill="1" applyBorder="1" applyAlignment="1">
      <alignment wrapText="1"/>
    </xf>
    <xf numFmtId="0" fontId="19" fillId="33" borderId="4" xfId="0" applyFont="1" applyFill="1" applyBorder="1"/>
    <xf numFmtId="0" fontId="19" fillId="35" borderId="4" xfId="0" applyFont="1" applyFill="1" applyBorder="1" applyAlignment="1">
      <alignment wrapText="1"/>
    </xf>
    <xf numFmtId="0" fontId="19" fillId="35" borderId="4" xfId="0" applyFont="1" applyFill="1" applyBorder="1"/>
    <xf numFmtId="43" fontId="19" fillId="25" borderId="4" xfId="1" applyFont="1" applyFill="1" applyBorder="1"/>
    <xf numFmtId="0" fontId="19" fillId="12" borderId="4" xfId="0" applyFont="1" applyFill="1" applyBorder="1"/>
    <xf numFmtId="0" fontId="19" fillId="10" borderId="4" xfId="0" applyFont="1" applyFill="1" applyBorder="1" applyAlignment="1">
      <alignment vertical="top" wrapText="1"/>
    </xf>
    <xf numFmtId="0" fontId="97" fillId="35" borderId="4" xfId="0" applyFont="1" applyFill="1" applyBorder="1" applyAlignment="1">
      <alignment wrapText="1"/>
    </xf>
    <xf numFmtId="0" fontId="97" fillId="35" borderId="4" xfId="0" applyFont="1" applyFill="1" applyBorder="1"/>
    <xf numFmtId="43" fontId="97" fillId="35" borderId="4" xfId="1" applyFont="1" applyFill="1" applyBorder="1"/>
    <xf numFmtId="0" fontId="97" fillId="12" borderId="4" xfId="0" applyFont="1" applyFill="1" applyBorder="1"/>
    <xf numFmtId="43" fontId="0" fillId="25" borderId="4" xfId="1" applyFont="1" applyFill="1" applyBorder="1"/>
    <xf numFmtId="0" fontId="19" fillId="16" borderId="4" xfId="0" applyFont="1" applyFill="1" applyBorder="1" applyAlignment="1">
      <alignment wrapText="1"/>
    </xf>
    <xf numFmtId="0" fontId="0" fillId="35" borderId="4" xfId="0" applyFill="1" applyBorder="1"/>
    <xf numFmtId="0" fontId="0" fillId="35" borderId="4" xfId="0" applyFill="1" applyBorder="1" applyAlignment="1">
      <alignment wrapText="1"/>
    </xf>
    <xf numFmtId="0" fontId="0" fillId="10" borderId="4" xfId="0" applyFill="1" applyBorder="1" applyAlignment="1">
      <alignment vertical="top" wrapText="1"/>
    </xf>
    <xf numFmtId="0" fontId="0" fillId="10" borderId="4" xfId="0" applyFill="1" applyBorder="1"/>
    <xf numFmtId="0" fontId="0" fillId="17" borderId="98" xfId="0" applyFill="1" applyBorder="1" applyAlignment="1">
      <alignment wrapText="1"/>
    </xf>
    <xf numFmtId="0" fontId="0" fillId="17" borderId="98" xfId="0" applyFill="1" applyBorder="1"/>
    <xf numFmtId="0" fontId="0" fillId="16" borderId="155" xfId="0" applyFill="1" applyBorder="1" applyAlignment="1">
      <alignment wrapText="1"/>
    </xf>
    <xf numFmtId="0" fontId="0" fillId="16" borderId="155" xfId="0" applyFill="1" applyBorder="1"/>
    <xf numFmtId="0" fontId="0" fillId="25" borderId="98" xfId="0" applyFill="1" applyBorder="1"/>
    <xf numFmtId="0" fontId="0" fillId="33" borderId="98" xfId="0" applyFill="1" applyBorder="1" applyAlignment="1">
      <alignment wrapText="1"/>
    </xf>
    <xf numFmtId="0" fontId="0" fillId="33" borderId="98" xfId="0" applyFill="1" applyBorder="1"/>
    <xf numFmtId="0" fontId="0" fillId="35" borderId="98" xfId="0" applyFill="1" applyBorder="1" applyAlignment="1">
      <alignment wrapText="1"/>
    </xf>
    <xf numFmtId="0" fontId="0" fillId="35" borderId="98" xfId="0" applyFill="1" applyBorder="1"/>
    <xf numFmtId="0" fontId="93" fillId="37" borderId="154" xfId="0" applyFont="1" applyFill="1" applyBorder="1" applyAlignment="1">
      <alignment vertical="center" wrapText="1"/>
    </xf>
    <xf numFmtId="0" fontId="0" fillId="38" borderId="155" xfId="0" applyFill="1" applyBorder="1" applyAlignment="1">
      <alignment wrapText="1"/>
    </xf>
    <xf numFmtId="0" fontId="0" fillId="38" borderId="155" xfId="0" applyFill="1" applyBorder="1"/>
    <xf numFmtId="0" fontId="0" fillId="38" borderId="155" xfId="0" applyFill="1" applyBorder="1" applyAlignment="1">
      <alignment vertical="top" wrapText="1"/>
    </xf>
    <xf numFmtId="0" fontId="93" fillId="37" borderId="156" xfId="0" applyFont="1" applyFill="1" applyBorder="1" applyAlignment="1">
      <alignment vertical="top"/>
    </xf>
    <xf numFmtId="0" fontId="0" fillId="10" borderId="98" xfId="0" applyFill="1" applyBorder="1" applyAlignment="1">
      <alignment vertical="top" wrapText="1"/>
    </xf>
    <xf numFmtId="0" fontId="19" fillId="21" borderId="98" xfId="0" applyFont="1" applyFill="1" applyBorder="1"/>
    <xf numFmtId="0" fontId="93" fillId="0" borderId="0" xfId="0" applyFont="1" applyAlignment="1">
      <alignment horizontal="center" vertical="center" wrapText="1"/>
    </xf>
    <xf numFmtId="0" fontId="0" fillId="0" borderId="0" xfId="0" applyAlignment="1">
      <alignment horizontal="left" vertical="top" wrapText="1"/>
    </xf>
    <xf numFmtId="0" fontId="93" fillId="0" borderId="0" xfId="0" applyFont="1" applyAlignment="1">
      <alignment horizontal="center" vertical="top"/>
    </xf>
    <xf numFmtId="0" fontId="98" fillId="0" borderId="0" xfId="0" applyFont="1" applyAlignment="1">
      <alignment horizontal="left" vertical="center" wrapText="1"/>
    </xf>
    <xf numFmtId="0" fontId="0" fillId="25" borderId="4" xfId="0" applyFill="1" applyBorder="1" applyAlignment="1" applyProtection="1">
      <alignment vertical="top"/>
      <protection locked="0"/>
    </xf>
    <xf numFmtId="9" fontId="96" fillId="25" borderId="4" xfId="0" applyNumberFormat="1" applyFont="1" applyFill="1" applyBorder="1" applyAlignment="1" applyProtection="1">
      <alignment vertical="top"/>
      <protection locked="0"/>
    </xf>
    <xf numFmtId="0" fontId="96" fillId="2" borderId="4" xfId="0" applyFont="1" applyFill="1" applyBorder="1" applyAlignment="1" applyProtection="1">
      <alignment vertical="top" wrapText="1"/>
      <protection locked="0"/>
    </xf>
    <xf numFmtId="0" fontId="96" fillId="2" borderId="4" xfId="0" applyFont="1" applyFill="1" applyBorder="1" applyAlignment="1" applyProtection="1">
      <alignment horizontal="center" vertical="top"/>
      <protection locked="0"/>
    </xf>
    <xf numFmtId="0" fontId="96" fillId="2" borderId="4" xfId="0" applyFont="1" applyFill="1" applyBorder="1" applyAlignment="1" applyProtection="1">
      <alignment vertical="top"/>
      <protection locked="0"/>
    </xf>
    <xf numFmtId="0" fontId="96" fillId="0" borderId="0" xfId="0" applyFont="1" applyAlignment="1">
      <alignment vertical="top"/>
    </xf>
    <xf numFmtId="175" fontId="96" fillId="2" borderId="4" xfId="0" applyNumberFormat="1" applyFont="1" applyFill="1" applyBorder="1" applyAlignment="1" applyProtection="1">
      <alignment vertical="top"/>
      <protection locked="0"/>
    </xf>
    <xf numFmtId="43" fontId="96" fillId="2" borderId="4" xfId="1" applyFont="1" applyFill="1" applyBorder="1" applyAlignment="1" applyProtection="1">
      <alignment vertical="top"/>
      <protection locked="0"/>
    </xf>
    <xf numFmtId="175" fontId="96" fillId="0" borderId="4" xfId="0" applyNumberFormat="1" applyFont="1" applyBorder="1" applyAlignment="1">
      <alignment vertical="top"/>
    </xf>
    <xf numFmtId="2" fontId="96" fillId="0" borderId="4" xfId="0" applyNumberFormat="1" applyFont="1" applyBorder="1" applyAlignment="1">
      <alignment vertical="top"/>
    </xf>
    <xf numFmtId="43" fontId="96" fillId="25" borderId="4" xfId="0" applyNumberFormat="1" applyFont="1" applyFill="1" applyBorder="1" applyAlignment="1" applyProtection="1">
      <alignment vertical="top"/>
      <protection locked="0"/>
    </xf>
    <xf numFmtId="9" fontId="96" fillId="2" borderId="4" xfId="3" applyFont="1" applyFill="1" applyBorder="1" applyAlignment="1" applyProtection="1">
      <alignment vertical="top"/>
      <protection locked="0"/>
    </xf>
    <xf numFmtId="43" fontId="96" fillId="0" borderId="4" xfId="1" applyFont="1" applyBorder="1" applyAlignment="1">
      <alignment vertical="top"/>
    </xf>
    <xf numFmtId="43" fontId="96" fillId="0" borderId="4" xfId="0" applyNumberFormat="1" applyFont="1" applyBorder="1" applyAlignment="1">
      <alignment vertical="top"/>
    </xf>
    <xf numFmtId="43" fontId="96" fillId="2" borderId="4" xfId="0" applyNumberFormat="1" applyFont="1" applyFill="1" applyBorder="1" applyAlignment="1" applyProtection="1">
      <alignment vertical="top"/>
      <protection locked="0"/>
    </xf>
    <xf numFmtId="43" fontId="94" fillId="0" borderId="4" xfId="0" applyNumberFormat="1" applyFont="1" applyBorder="1" applyAlignment="1">
      <alignment vertical="top"/>
    </xf>
    <xf numFmtId="166" fontId="99" fillId="0" borderId="0" xfId="0" applyNumberFormat="1" applyFont="1"/>
    <xf numFmtId="0" fontId="100" fillId="0" borderId="0" xfId="0" applyFont="1" applyAlignment="1">
      <alignment vertical="center" wrapText="1"/>
    </xf>
    <xf numFmtId="0" fontId="19" fillId="0" borderId="44" xfId="0" applyFont="1" applyBorder="1" applyAlignment="1">
      <alignment wrapText="1"/>
    </xf>
    <xf numFmtId="0" fontId="95" fillId="16" borderId="0" xfId="0" applyFont="1" applyFill="1" applyAlignment="1">
      <alignment horizontal="center"/>
    </xf>
    <xf numFmtId="0" fontId="95" fillId="33" borderId="0" xfId="0" applyFont="1" applyFill="1" applyAlignment="1">
      <alignment horizontal="center"/>
    </xf>
    <xf numFmtId="0" fontId="95" fillId="17" borderId="0" xfId="0" applyFont="1" applyFill="1" applyAlignment="1">
      <alignment horizontal="centerContinuous"/>
    </xf>
    <xf numFmtId="0" fontId="95" fillId="16" borderId="0" xfId="0" applyFont="1" applyFill="1" applyAlignment="1">
      <alignment horizontal="centerContinuous"/>
    </xf>
    <xf numFmtId="0" fontId="95" fillId="33" borderId="0" xfId="0" applyFont="1" applyFill="1" applyAlignment="1">
      <alignment horizontal="center" wrapText="1"/>
    </xf>
    <xf numFmtId="0" fontId="95" fillId="35" borderId="11" xfId="0" applyFont="1" applyFill="1" applyBorder="1" applyAlignment="1">
      <alignment horizontal="centerContinuous"/>
    </xf>
    <xf numFmtId="41" fontId="0" fillId="0" borderId="0" xfId="0" applyNumberFormat="1" applyAlignment="1">
      <alignment vertical="top"/>
    </xf>
    <xf numFmtId="0" fontId="20" fillId="19" borderId="4" xfId="0" applyFont="1" applyFill="1" applyBorder="1" applyAlignment="1">
      <alignment wrapText="1"/>
    </xf>
    <xf numFmtId="0" fontId="19" fillId="2" borderId="4" xfId="0" applyFont="1" applyFill="1" applyBorder="1" applyAlignment="1" applyProtection="1">
      <alignment vertical="center" wrapText="1"/>
      <protection locked="0"/>
    </xf>
    <xf numFmtId="0" fontId="20" fillId="19" borderId="4" xfId="0" applyFont="1" applyFill="1" applyBorder="1" applyAlignment="1" applyProtection="1">
      <alignment vertical="center" wrapText="1"/>
      <protection locked="0"/>
    </xf>
    <xf numFmtId="0" fontId="19" fillId="19" borderId="4" xfId="0" applyFont="1" applyFill="1" applyBorder="1" applyAlignment="1" applyProtection="1">
      <alignment horizontal="center" vertical="top"/>
      <protection locked="0"/>
    </xf>
    <xf numFmtId="43" fontId="20" fillId="19" borderId="4" xfId="0" applyNumberFormat="1" applyFont="1" applyFill="1" applyBorder="1" applyAlignment="1">
      <alignment vertical="top"/>
    </xf>
    <xf numFmtId="0" fontId="19" fillId="2" borderId="4" xfId="0" applyFont="1" applyFill="1" applyBorder="1"/>
    <xf numFmtId="177" fontId="0" fillId="0" borderId="0" xfId="0" applyNumberFormat="1" applyAlignment="1">
      <alignment horizontal="center"/>
    </xf>
    <xf numFmtId="0" fontId="19" fillId="19" borderId="4" xfId="0" applyFont="1" applyFill="1" applyBorder="1"/>
    <xf numFmtId="3" fontId="19" fillId="2" borderId="4" xfId="0" applyNumberFormat="1" applyFont="1" applyFill="1" applyBorder="1" applyAlignment="1">
      <alignment horizontal="center"/>
    </xf>
    <xf numFmtId="3" fontId="19" fillId="19" borderId="4" xfId="0" applyNumberFormat="1" applyFont="1" applyFill="1" applyBorder="1" applyAlignment="1">
      <alignment horizontal="center"/>
    </xf>
    <xf numFmtId="0" fontId="20" fillId="36" borderId="4" xfId="0" applyFont="1" applyFill="1" applyBorder="1" applyAlignment="1">
      <alignment wrapText="1"/>
    </xf>
    <xf numFmtId="0" fontId="19" fillId="36" borderId="4" xfId="0" applyFont="1" applyFill="1" applyBorder="1" applyAlignment="1" applyProtection="1">
      <alignment horizontal="center" vertical="top"/>
      <protection locked="0"/>
    </xf>
    <xf numFmtId="43" fontId="20" fillId="36" borderId="4" xfId="0" applyNumberFormat="1" applyFont="1" applyFill="1" applyBorder="1" applyAlignment="1">
      <alignment vertical="top"/>
    </xf>
    <xf numFmtId="0" fontId="19" fillId="19" borderId="4" xfId="0" applyFont="1" applyFill="1" applyBorder="1" applyAlignment="1" applyProtection="1">
      <alignment vertical="top"/>
      <protection locked="0"/>
    </xf>
    <xf numFmtId="43" fontId="19" fillId="2" borderId="4" xfId="1" applyFont="1" applyFill="1" applyBorder="1" applyAlignment="1" applyProtection="1">
      <alignment vertical="top"/>
      <protection locked="0"/>
    </xf>
    <xf numFmtId="175" fontId="19" fillId="0" borderId="4" xfId="0" applyNumberFormat="1" applyFont="1" applyBorder="1" applyAlignment="1">
      <alignment vertical="top"/>
    </xf>
    <xf numFmtId="2" fontId="19" fillId="0" borderId="4" xfId="0" applyNumberFormat="1" applyFont="1" applyBorder="1" applyAlignment="1">
      <alignment vertical="top"/>
    </xf>
    <xf numFmtId="43" fontId="19" fillId="0" borderId="4" xfId="1" applyFont="1" applyBorder="1" applyAlignment="1">
      <alignment vertical="top"/>
    </xf>
    <xf numFmtId="43" fontId="19" fillId="0" borderId="4" xfId="0" applyNumberFormat="1" applyFont="1" applyBorder="1" applyAlignment="1">
      <alignment vertical="top"/>
    </xf>
    <xf numFmtId="0" fontId="19" fillId="19" borderId="0" xfId="0" applyFont="1" applyFill="1" applyAlignment="1">
      <alignment vertical="top"/>
    </xf>
    <xf numFmtId="43" fontId="19" fillId="19" borderId="4" xfId="1" applyFont="1" applyFill="1" applyBorder="1" applyAlignment="1" applyProtection="1">
      <alignment vertical="top"/>
      <protection locked="0"/>
    </xf>
    <xf numFmtId="175" fontId="19" fillId="19" borderId="4" xfId="0" applyNumberFormat="1" applyFont="1" applyFill="1" applyBorder="1" applyAlignment="1">
      <alignment vertical="top"/>
    </xf>
    <xf numFmtId="2" fontId="19" fillId="19" borderId="4" xfId="0" applyNumberFormat="1" applyFont="1" applyFill="1" applyBorder="1" applyAlignment="1">
      <alignment vertical="top"/>
    </xf>
    <xf numFmtId="43" fontId="19" fillId="19" borderId="4" xfId="0" applyNumberFormat="1" applyFont="1" applyFill="1" applyBorder="1" applyAlignment="1" applyProtection="1">
      <alignment vertical="top"/>
      <protection locked="0"/>
    </xf>
    <xf numFmtId="43" fontId="19" fillId="19" borderId="4" xfId="1" applyFont="1" applyFill="1" applyBorder="1" applyAlignment="1">
      <alignment vertical="top"/>
    </xf>
    <xf numFmtId="43" fontId="19" fillId="19" borderId="4" xfId="0" applyNumberFormat="1" applyFont="1" applyFill="1" applyBorder="1" applyAlignment="1">
      <alignment vertical="top"/>
    </xf>
    <xf numFmtId="0" fontId="19" fillId="2" borderId="4" xfId="0" applyFont="1" applyFill="1" applyBorder="1" applyAlignment="1" applyProtection="1">
      <alignment horizontal="left" vertical="center" wrapText="1"/>
      <protection locked="0"/>
    </xf>
    <xf numFmtId="43" fontId="19" fillId="28" borderId="4" xfId="1" applyFont="1" applyFill="1" applyBorder="1" applyAlignment="1" applyProtection="1">
      <alignment vertical="top"/>
      <protection locked="0"/>
    </xf>
    <xf numFmtId="43" fontId="19" fillId="28" borderId="4" xfId="0" applyNumberFormat="1" applyFont="1" applyFill="1" applyBorder="1" applyAlignment="1" applyProtection="1">
      <alignment vertical="top"/>
      <protection locked="0"/>
    </xf>
    <xf numFmtId="43" fontId="19" fillId="0" borderId="4" xfId="1" applyFont="1" applyFill="1" applyBorder="1" applyAlignment="1">
      <alignment vertical="top"/>
    </xf>
    <xf numFmtId="0" fontId="19" fillId="36" borderId="4" xfId="0" applyFont="1" applyFill="1" applyBorder="1" applyAlignment="1" applyProtection="1">
      <alignment vertical="top"/>
      <protection locked="0"/>
    </xf>
    <xf numFmtId="0" fontId="19" fillId="36" borderId="0" xfId="0" applyFont="1" applyFill="1" applyAlignment="1">
      <alignment vertical="top"/>
    </xf>
    <xf numFmtId="43" fontId="19" fillId="36" borderId="4" xfId="1" applyFont="1" applyFill="1" applyBorder="1" applyAlignment="1" applyProtection="1">
      <alignment vertical="top"/>
      <protection locked="0"/>
    </xf>
    <xf numFmtId="175" fontId="19" fillId="36" borderId="4" xfId="0" applyNumberFormat="1" applyFont="1" applyFill="1" applyBorder="1" applyAlignment="1">
      <alignment vertical="top"/>
    </xf>
    <xf numFmtId="2" fontId="19" fillId="36" borderId="4" xfId="0" applyNumberFormat="1" applyFont="1" applyFill="1" applyBorder="1" applyAlignment="1">
      <alignment vertical="top"/>
    </xf>
    <xf numFmtId="43" fontId="19" fillId="36" borderId="4" xfId="0" applyNumberFormat="1" applyFont="1" applyFill="1" applyBorder="1" applyAlignment="1" applyProtection="1">
      <alignment vertical="top"/>
      <protection locked="0"/>
    </xf>
    <xf numFmtId="43" fontId="19" fillId="36" borderId="4" xfId="1" applyFont="1" applyFill="1" applyBorder="1" applyAlignment="1">
      <alignment vertical="top"/>
    </xf>
    <xf numFmtId="43" fontId="19" fillId="36" borderId="4" xfId="0" applyNumberFormat="1" applyFont="1" applyFill="1" applyBorder="1" applyAlignment="1">
      <alignment vertical="top"/>
    </xf>
    <xf numFmtId="3" fontId="19" fillId="36" borderId="4" xfId="0" applyNumberFormat="1" applyFont="1" applyFill="1" applyBorder="1" applyAlignment="1">
      <alignment horizontal="center"/>
    </xf>
    <xf numFmtId="0" fontId="20" fillId="36" borderId="4" xfId="0" applyFont="1" applyFill="1" applyBorder="1" applyAlignment="1" applyProtection="1">
      <alignment vertical="center" wrapText="1"/>
      <protection locked="0"/>
    </xf>
    <xf numFmtId="44" fontId="0" fillId="2" borderId="4" xfId="2" applyFont="1" applyFill="1" applyBorder="1" applyAlignment="1" applyProtection="1">
      <alignment vertical="top"/>
      <protection locked="0"/>
    </xf>
    <xf numFmtId="44" fontId="0" fillId="0" borderId="4" xfId="2" applyFont="1" applyBorder="1" applyAlignment="1">
      <alignment vertical="top"/>
    </xf>
    <xf numFmtId="44" fontId="0" fillId="2" borderId="4" xfId="2" applyFont="1" applyFill="1" applyBorder="1" applyAlignment="1" applyProtection="1">
      <alignment vertical="top" wrapText="1"/>
      <protection locked="0"/>
    </xf>
    <xf numFmtId="0" fontId="20" fillId="19" borderId="4" xfId="0" applyFont="1" applyFill="1" applyBorder="1" applyAlignment="1">
      <alignment vertical="center" wrapText="1"/>
    </xf>
    <xf numFmtId="0" fontId="19" fillId="2" borderId="4" xfId="13" applyFont="1" applyFill="1" applyBorder="1" applyAlignment="1" applyProtection="1">
      <alignment vertical="center" wrapText="1"/>
      <protection locked="0"/>
    </xf>
    <xf numFmtId="0" fontId="20" fillId="19" borderId="4" xfId="13" applyFont="1" applyFill="1" applyBorder="1" applyAlignment="1" applyProtection="1">
      <alignment vertical="center" wrapText="1"/>
      <protection locked="0"/>
    </xf>
    <xf numFmtId="0" fontId="20" fillId="19" borderId="4" xfId="0" applyFont="1" applyFill="1" applyBorder="1" applyAlignment="1" applyProtection="1">
      <alignment horizontal="left" vertical="center" wrapText="1"/>
      <protection locked="0"/>
    </xf>
    <xf numFmtId="0" fontId="0" fillId="36" borderId="4" xfId="0" applyFill="1" applyBorder="1" applyAlignment="1" applyProtection="1">
      <alignment vertical="top" wrapText="1"/>
      <protection locked="0"/>
    </xf>
    <xf numFmtId="0" fontId="103" fillId="0" borderId="1" xfId="0" applyFont="1" applyBorder="1" applyAlignment="1">
      <alignment horizontal="center"/>
    </xf>
    <xf numFmtId="0" fontId="103" fillId="0" borderId="2" xfId="0" applyFont="1" applyBorder="1" applyAlignment="1">
      <alignment horizontal="center"/>
    </xf>
    <xf numFmtId="0" fontId="103" fillId="0" borderId="3" xfId="0" applyFont="1" applyBorder="1" applyAlignment="1">
      <alignment horizontal="center"/>
    </xf>
    <xf numFmtId="0" fontId="103" fillId="0" borderId="4" xfId="0" applyFont="1" applyBorder="1" applyAlignment="1">
      <alignment horizontal="center"/>
    </xf>
    <xf numFmtId="0" fontId="94" fillId="0" borderId="1" xfId="0" applyFont="1" applyBorder="1" applyAlignment="1">
      <alignment horizontal="center"/>
    </xf>
    <xf numFmtId="0" fontId="94" fillId="0" borderId="2" xfId="0" applyFont="1" applyBorder="1" applyAlignment="1">
      <alignment horizontal="center"/>
    </xf>
    <xf numFmtId="0" fontId="94" fillId="0" borderId="3" xfId="0" applyFont="1" applyBorder="1" applyAlignment="1">
      <alignment horizontal="center"/>
    </xf>
    <xf numFmtId="0" fontId="19" fillId="25" borderId="4" xfId="0" applyFont="1" applyFill="1" applyBorder="1" applyAlignment="1" applyProtection="1">
      <alignment vertical="top" wrapText="1"/>
      <protection locked="0"/>
    </xf>
    <xf numFmtId="0" fontId="19" fillId="25" borderId="4" xfId="0" applyFont="1" applyFill="1" applyBorder="1" applyAlignment="1" applyProtection="1">
      <alignment horizontal="center" vertical="top"/>
      <protection locked="0"/>
    </xf>
    <xf numFmtId="175" fontId="0" fillId="25" borderId="4" xfId="0" applyNumberFormat="1" applyFill="1" applyBorder="1" applyAlignment="1" applyProtection="1">
      <alignment vertical="top"/>
      <protection locked="0"/>
    </xf>
    <xf numFmtId="43" fontId="0" fillId="25" borderId="4" xfId="1" applyFont="1" applyFill="1" applyBorder="1" applyAlignment="1" applyProtection="1">
      <alignment vertical="top"/>
      <protection locked="0"/>
    </xf>
    <xf numFmtId="175" fontId="19" fillId="25" borderId="4" xfId="0" applyNumberFormat="1" applyFont="1" applyFill="1" applyBorder="1" applyAlignment="1" applyProtection="1">
      <alignment horizontal="center" vertical="top"/>
      <protection locked="0"/>
    </xf>
    <xf numFmtId="43" fontId="0" fillId="25" borderId="4" xfId="0" applyNumberFormat="1" applyFill="1" applyBorder="1" applyAlignment="1" applyProtection="1">
      <alignment vertical="top"/>
      <protection locked="0"/>
    </xf>
    <xf numFmtId="44" fontId="0" fillId="25" borderId="4" xfId="2" applyFont="1" applyFill="1" applyBorder="1" applyAlignment="1" applyProtection="1">
      <alignment vertical="top"/>
      <protection locked="0"/>
    </xf>
    <xf numFmtId="43" fontId="18" fillId="16" borderId="53" xfId="0" applyNumberFormat="1" applyFont="1" applyFill="1" applyBorder="1" applyAlignment="1">
      <alignment horizontal="center" vertical="top" wrapText="1"/>
    </xf>
    <xf numFmtId="43" fontId="0" fillId="16" borderId="41" xfId="0" applyNumberFormat="1" applyFill="1" applyBorder="1" applyAlignment="1">
      <alignment horizontal="centerContinuous" vertical="top"/>
    </xf>
    <xf numFmtId="43" fontId="0" fillId="16" borderId="41" xfId="0" applyNumberFormat="1" applyFill="1" applyBorder="1" applyAlignment="1">
      <alignment horizontal="center" vertical="top"/>
    </xf>
    <xf numFmtId="43" fontId="18" fillId="16" borderId="41" xfId="0" applyNumberFormat="1" applyFont="1" applyFill="1" applyBorder="1" applyAlignment="1">
      <alignment horizontal="centerContinuous" vertical="top"/>
    </xf>
    <xf numFmtId="43" fontId="20" fillId="16" borderId="41" xfId="0" applyNumberFormat="1" applyFont="1" applyFill="1" applyBorder="1" applyAlignment="1">
      <alignment horizontal="center" vertical="top" wrapText="1"/>
    </xf>
    <xf numFmtId="43" fontId="20" fillId="16" borderId="54" xfId="0" applyNumberFormat="1" applyFont="1" applyFill="1" applyBorder="1" applyAlignment="1">
      <alignment horizontal="center" vertical="top" wrapText="1"/>
    </xf>
    <xf numFmtId="0" fontId="0" fillId="16" borderId="83" xfId="0" applyFill="1" applyBorder="1" applyAlignment="1">
      <alignment vertical="top"/>
    </xf>
    <xf numFmtId="0" fontId="0" fillId="16" borderId="0" xfId="0" applyFill="1" applyAlignment="1">
      <alignment vertical="top" wrapText="1"/>
    </xf>
    <xf numFmtId="175" fontId="0" fillId="16" borderId="0" xfId="0" applyNumberFormat="1" applyFill="1" applyAlignment="1">
      <alignment vertical="top"/>
    </xf>
    <xf numFmtId="175" fontId="0" fillId="16" borderId="0" xfId="0" applyNumberFormat="1" applyFill="1" applyAlignment="1">
      <alignment horizontal="center" vertical="top"/>
    </xf>
    <xf numFmtId="43" fontId="0" fillId="16" borderId="0" xfId="0" applyNumberFormat="1" applyFill="1" applyAlignment="1">
      <alignment vertical="top"/>
    </xf>
    <xf numFmtId="9" fontId="0" fillId="16" borderId="0" xfId="3" applyFont="1" applyFill="1" applyBorder="1" applyAlignment="1">
      <alignment vertical="top"/>
    </xf>
    <xf numFmtId="43" fontId="20" fillId="16" borderId="0" xfId="1" applyFont="1" applyFill="1" applyBorder="1" applyAlignment="1">
      <alignment horizontal="center" vertical="top"/>
    </xf>
    <xf numFmtId="43" fontId="20" fillId="16" borderId="0" xfId="0" applyNumberFormat="1" applyFont="1" applyFill="1" applyAlignment="1">
      <alignment vertical="top" wrapText="1"/>
    </xf>
    <xf numFmtId="43" fontId="19" fillId="16" borderId="53" xfId="0" applyNumberFormat="1" applyFont="1" applyFill="1" applyBorder="1" applyAlignment="1">
      <alignment horizontal="center" vertical="top" textRotation="90" wrapText="1"/>
    </xf>
    <xf numFmtId="43" fontId="18" fillId="16" borderId="53" xfId="0" applyNumberFormat="1" applyFont="1" applyFill="1" applyBorder="1" applyAlignment="1">
      <alignment horizontal="center" vertical="center" wrapText="1"/>
    </xf>
    <xf numFmtId="43" fontId="18" fillId="16" borderId="53" xfId="0" applyNumberFormat="1" applyFont="1" applyFill="1" applyBorder="1" applyAlignment="1">
      <alignment horizontal="left" vertical="top" wrapText="1"/>
    </xf>
    <xf numFmtId="43" fontId="18" fillId="16" borderId="55" xfId="0" applyNumberFormat="1" applyFont="1" applyFill="1" applyBorder="1" applyAlignment="1">
      <alignment horizontal="left" vertical="top" wrapText="1"/>
    </xf>
    <xf numFmtId="43" fontId="0" fillId="16" borderId="41" xfId="0" applyNumberFormat="1" applyFill="1" applyBorder="1" applyAlignment="1">
      <alignment horizontal="centerContinuous" vertical="top" wrapText="1"/>
    </xf>
    <xf numFmtId="43" fontId="0" fillId="16" borderId="41" xfId="0" applyNumberFormat="1" applyFill="1" applyBorder="1" applyAlignment="1">
      <alignment horizontal="center" vertical="top" wrapText="1"/>
    </xf>
    <xf numFmtId="43" fontId="18" fillId="16" borderId="41" xfId="0" applyNumberFormat="1" applyFont="1" applyFill="1" applyBorder="1" applyAlignment="1">
      <alignment horizontal="centerContinuous" vertical="top" wrapText="1"/>
    </xf>
    <xf numFmtId="0" fontId="0" fillId="16" borderId="83" xfId="0" applyFill="1" applyBorder="1" applyAlignment="1">
      <alignment vertical="top" wrapText="1"/>
    </xf>
    <xf numFmtId="9" fontId="0" fillId="16" borderId="0" xfId="3" applyFont="1" applyFill="1" applyBorder="1" applyAlignment="1">
      <alignment vertical="top" wrapText="1"/>
    </xf>
    <xf numFmtId="43" fontId="20" fillId="16" borderId="0" xfId="1" applyFont="1" applyFill="1" applyBorder="1" applyAlignment="1">
      <alignment horizontal="center" vertical="top" wrapText="1"/>
    </xf>
    <xf numFmtId="10" fontId="19" fillId="0" borderId="0" xfId="3" applyNumberFormat="1" applyFont="1" applyFill="1" applyBorder="1" applyAlignment="1">
      <alignment vertical="top" wrapText="1"/>
    </xf>
    <xf numFmtId="0" fontId="19" fillId="25" borderId="4" xfId="0" applyFont="1" applyFill="1" applyBorder="1" applyAlignment="1" applyProtection="1">
      <alignment vertical="top"/>
      <protection locked="0"/>
    </xf>
    <xf numFmtId="3" fontId="19" fillId="25" borderId="4" xfId="0" applyNumberFormat="1" applyFont="1" applyFill="1" applyBorder="1" applyAlignment="1">
      <alignment horizontal="center"/>
    </xf>
    <xf numFmtId="175" fontId="19" fillId="25" borderId="4" xfId="0" applyNumberFormat="1" applyFont="1" applyFill="1" applyBorder="1" applyAlignment="1" applyProtection="1">
      <alignment vertical="top"/>
      <protection locked="0"/>
    </xf>
    <xf numFmtId="44" fontId="19" fillId="25" borderId="4" xfId="2" applyFont="1" applyFill="1" applyBorder="1" applyAlignment="1" applyProtection="1">
      <alignment vertical="top"/>
      <protection locked="0"/>
    </xf>
    <xf numFmtId="43" fontId="19" fillId="25" borderId="4" xfId="1" applyFont="1" applyFill="1" applyBorder="1" applyAlignment="1" applyProtection="1">
      <alignment vertical="top"/>
      <protection locked="0"/>
    </xf>
    <xf numFmtId="43" fontId="19" fillId="25" borderId="4" xfId="1" applyFont="1" applyFill="1" applyBorder="1" applyAlignment="1" applyProtection="1">
      <alignment horizontal="right" vertical="top"/>
      <protection locked="0"/>
    </xf>
    <xf numFmtId="4" fontId="19" fillId="25" borderId="4" xfId="0" applyNumberFormat="1" applyFont="1" applyFill="1" applyBorder="1" applyAlignment="1">
      <alignment horizontal="right"/>
    </xf>
    <xf numFmtId="4" fontId="19" fillId="25" borderId="4" xfId="0" applyNumberFormat="1" applyFont="1" applyFill="1" applyBorder="1" applyAlignment="1">
      <alignment horizontal="right" wrapText="1"/>
    </xf>
    <xf numFmtId="43" fontId="19" fillId="25" borderId="4" xfId="0" applyNumberFormat="1" applyFont="1" applyFill="1" applyBorder="1" applyAlignment="1" applyProtection="1">
      <alignment vertical="top"/>
      <protection locked="0"/>
    </xf>
    <xf numFmtId="43" fontId="19" fillId="25" borderId="4" xfId="0" applyNumberFormat="1" applyFont="1" applyFill="1" applyBorder="1" applyAlignment="1" applyProtection="1">
      <alignment horizontal="center" vertical="top"/>
      <protection locked="0"/>
    </xf>
    <xf numFmtId="173" fontId="14" fillId="0" borderId="0" xfId="13" applyNumberFormat="1" applyAlignment="1">
      <alignment horizontal="center" wrapText="1"/>
    </xf>
    <xf numFmtId="173" fontId="15" fillId="21" borderId="0" xfId="13" applyNumberFormat="1" applyFont="1" applyFill="1" applyAlignment="1">
      <alignment horizontal="center" wrapText="1"/>
    </xf>
    <xf numFmtId="0" fontId="19" fillId="25" borderId="4" xfId="0" applyFont="1" applyFill="1" applyBorder="1" applyAlignment="1" applyProtection="1">
      <alignment horizontal="center" vertical="center"/>
      <protection locked="0"/>
    </xf>
    <xf numFmtId="175" fontId="19" fillId="25" borderId="4" xfId="0" applyNumberFormat="1" applyFont="1" applyFill="1" applyBorder="1" applyAlignment="1" applyProtection="1">
      <alignment horizontal="center" vertical="center"/>
      <protection locked="0"/>
    </xf>
    <xf numFmtId="0" fontId="24" fillId="0" borderId="0" xfId="0" applyFont="1" applyAlignment="1">
      <alignment horizontal="center" vertical="center"/>
    </xf>
    <xf numFmtId="0" fontId="0" fillId="0" borderId="83" xfId="0" applyBorder="1" applyAlignment="1">
      <alignment horizontal="center" vertical="center"/>
    </xf>
    <xf numFmtId="0" fontId="19" fillId="25" borderId="4" xfId="0" applyFont="1" applyFill="1" applyBorder="1" applyAlignment="1" applyProtection="1">
      <alignment horizontal="center" vertical="center" wrapText="1"/>
      <protection locked="0"/>
    </xf>
    <xf numFmtId="0" fontId="0" fillId="25" borderId="4" xfId="0" applyFill="1" applyBorder="1" applyAlignment="1" applyProtection="1">
      <alignment horizontal="center" vertical="center"/>
      <protection locked="0"/>
    </xf>
    <xf numFmtId="175" fontId="0" fillId="25" borderId="4" xfId="0" applyNumberFormat="1" applyFill="1" applyBorder="1" applyAlignment="1" applyProtection="1">
      <alignment horizontal="center" vertical="center"/>
      <protection locked="0"/>
    </xf>
    <xf numFmtId="43" fontId="0" fillId="25" borderId="4" xfId="1" applyFont="1" applyFill="1" applyBorder="1" applyAlignment="1" applyProtection="1">
      <alignment horizontal="center" vertical="center"/>
      <protection locked="0"/>
    </xf>
    <xf numFmtId="175" fontId="0" fillId="0" borderId="4" xfId="0" applyNumberFormat="1" applyBorder="1" applyAlignment="1">
      <alignment horizontal="center" vertical="center"/>
    </xf>
    <xf numFmtId="43" fontId="0" fillId="25" borderId="4" xfId="0" applyNumberFormat="1" applyFill="1" applyBorder="1" applyAlignment="1" applyProtection="1">
      <alignment horizontal="center" vertical="center"/>
      <protection locked="0"/>
    </xf>
    <xf numFmtId="43" fontId="0" fillId="0" borderId="4" xfId="1" applyFont="1" applyBorder="1" applyAlignment="1">
      <alignment horizontal="center" vertical="center"/>
    </xf>
    <xf numFmtId="43" fontId="0" fillId="0" borderId="4" xfId="0" applyNumberFormat="1" applyBorder="1" applyAlignment="1">
      <alignment horizontal="center" vertical="center"/>
    </xf>
    <xf numFmtId="43" fontId="20" fillId="0" borderId="4" xfId="0" applyNumberFormat="1" applyFont="1" applyBorder="1" applyAlignment="1">
      <alignment horizontal="center" vertical="center"/>
    </xf>
    <xf numFmtId="0" fontId="0" fillId="0" borderId="67" xfId="0" applyBorder="1" applyAlignment="1">
      <alignment horizontal="center" vertical="center"/>
    </xf>
    <xf numFmtId="166" fontId="0" fillId="0" borderId="4" xfId="1" applyNumberFormat="1" applyFont="1" applyBorder="1" applyAlignment="1">
      <alignment horizontal="center" vertical="center"/>
    </xf>
    <xf numFmtId="166" fontId="0" fillId="0" borderId="4" xfId="1" quotePrefix="1" applyNumberFormat="1" applyFont="1" applyBorder="1" applyAlignment="1">
      <alignment horizontal="center" vertical="center"/>
    </xf>
    <xf numFmtId="166" fontId="20" fillId="0" borderId="4" xfId="1" applyNumberFormat="1" applyFont="1" applyBorder="1" applyAlignment="1">
      <alignment horizontal="center" vertical="center"/>
    </xf>
    <xf numFmtId="0" fontId="19" fillId="25" borderId="4" xfId="0" applyFont="1" applyFill="1" applyBorder="1" applyAlignment="1" applyProtection="1">
      <alignment horizontal="left" vertical="center" wrapText="1"/>
      <protection locked="0"/>
    </xf>
    <xf numFmtId="16" fontId="74" fillId="25" borderId="0" xfId="20" applyNumberFormat="1" applyFill="1" applyAlignment="1" applyProtection="1">
      <alignment vertical="top"/>
      <protection locked="0"/>
    </xf>
    <xf numFmtId="170" fontId="19" fillId="0" borderId="0" xfId="22" applyNumberFormat="1" applyFont="1" applyBorder="1" applyAlignment="1">
      <alignment vertical="top"/>
    </xf>
    <xf numFmtId="10" fontId="14" fillId="25" borderId="4" xfId="3" applyNumberFormat="1" applyFont="1" applyFill="1" applyBorder="1" applyProtection="1">
      <protection locked="0"/>
    </xf>
    <xf numFmtId="10" fontId="15" fillId="25" borderId="4" xfId="3" applyNumberFormat="1" applyFont="1" applyFill="1" applyBorder="1" applyProtection="1">
      <protection locked="0"/>
    </xf>
    <xf numFmtId="175" fontId="0" fillId="16" borderId="0" xfId="0" applyNumberFormat="1" applyFill="1" applyAlignment="1">
      <alignment vertical="top" wrapText="1"/>
    </xf>
    <xf numFmtId="175" fontId="0" fillId="16" borderId="0" xfId="0" applyNumberFormat="1" applyFill="1" applyAlignment="1">
      <alignment horizontal="center" vertical="top" wrapText="1"/>
    </xf>
    <xf numFmtId="43" fontId="0" fillId="16" borderId="0" xfId="0" applyNumberFormat="1" applyFill="1" applyAlignment="1">
      <alignment vertical="top" wrapText="1"/>
    </xf>
    <xf numFmtId="0" fontId="0" fillId="25" borderId="4" xfId="0" applyFill="1" applyBorder="1" applyAlignment="1" applyProtection="1">
      <alignment horizontal="center" vertical="top"/>
      <protection locked="0"/>
    </xf>
    <xf numFmtId="0" fontId="0" fillId="7" borderId="0" xfId="0" applyFill="1" applyAlignment="1">
      <alignment vertical="top" wrapText="1"/>
    </xf>
    <xf numFmtId="0" fontId="0" fillId="0" borderId="0" xfId="0" applyAlignment="1" applyProtection="1">
      <alignment vertical="top"/>
      <protection locked="0"/>
    </xf>
    <xf numFmtId="175" fontId="19" fillId="28" borderId="4" xfId="0" applyNumberFormat="1" applyFont="1" applyFill="1" applyBorder="1" applyAlignment="1" applyProtection="1">
      <alignment horizontal="center" vertical="top"/>
      <protection locked="0"/>
    </xf>
    <xf numFmtId="175" fontId="96" fillId="28" borderId="4" xfId="0" applyNumberFormat="1" applyFont="1" applyFill="1" applyBorder="1" applyAlignment="1" applyProtection="1">
      <alignment horizontal="center" vertical="top"/>
      <protection locked="0"/>
    </xf>
    <xf numFmtId="2" fontId="19" fillId="2" borderId="4" xfId="0" applyNumberFormat="1" applyFont="1" applyFill="1" applyBorder="1" applyAlignment="1" applyProtection="1">
      <alignment horizontal="center" vertical="center"/>
      <protection locked="0"/>
    </xf>
    <xf numFmtId="0" fontId="105" fillId="13" borderId="0" xfId="31" applyFont="1" applyFill="1" applyAlignment="1">
      <alignment horizontal="center" vertical="top" wrapText="1"/>
    </xf>
    <xf numFmtId="0" fontId="106" fillId="13" borderId="0" xfId="31" applyFont="1" applyFill="1" applyAlignment="1">
      <alignment horizontal="center" vertical="top" wrapText="1"/>
    </xf>
    <xf numFmtId="0" fontId="107" fillId="0" borderId="0" xfId="31" applyFont="1" applyAlignment="1">
      <alignment vertical="top"/>
    </xf>
    <xf numFmtId="170" fontId="105" fillId="13" borderId="0" xfId="32" applyNumberFormat="1" applyFont="1" applyFill="1" applyBorder="1" applyAlignment="1">
      <alignment horizontal="center" vertical="top" wrapText="1"/>
    </xf>
    <xf numFmtId="0" fontId="105" fillId="13" borderId="11" xfId="31" applyFont="1" applyFill="1" applyBorder="1" applyAlignment="1">
      <alignment horizontal="center" vertical="top" wrapText="1"/>
    </xf>
    <xf numFmtId="170" fontId="105" fillId="25" borderId="11" xfId="32" applyNumberFormat="1" applyFont="1" applyFill="1" applyBorder="1" applyAlignment="1">
      <alignment horizontal="center" vertical="top" wrapText="1"/>
    </xf>
    <xf numFmtId="0" fontId="107" fillId="0" borderId="11" xfId="31" applyFont="1" applyBorder="1" applyAlignment="1">
      <alignment vertical="top"/>
    </xf>
    <xf numFmtId="49" fontId="105" fillId="25" borderId="11" xfId="32" applyNumberFormat="1" applyFont="1" applyFill="1" applyBorder="1" applyAlignment="1">
      <alignment horizontal="center" vertical="top" wrapText="1"/>
    </xf>
    <xf numFmtId="170" fontId="105" fillId="13" borderId="11" xfId="32" applyNumberFormat="1" applyFont="1" applyFill="1" applyBorder="1" applyAlignment="1">
      <alignment horizontal="center" vertical="top" wrapText="1"/>
    </xf>
    <xf numFmtId="172" fontId="105" fillId="13" borderId="0" xfId="33" applyNumberFormat="1" applyFont="1" applyFill="1" applyBorder="1" applyAlignment="1">
      <alignment horizontal="center" vertical="top" wrapText="1"/>
    </xf>
    <xf numFmtId="0" fontId="109" fillId="0" borderId="53" xfId="31" applyFont="1" applyBorder="1" applyAlignment="1">
      <alignment vertical="top" wrapText="1"/>
    </xf>
    <xf numFmtId="0" fontId="109" fillId="0" borderId="55" xfId="31" applyFont="1" applyBorder="1" applyAlignment="1">
      <alignment vertical="top" wrapText="1"/>
    </xf>
    <xf numFmtId="0" fontId="19" fillId="11" borderId="23" xfId="0" applyFont="1" applyFill="1" applyBorder="1" applyAlignment="1" applyProtection="1">
      <alignment vertical="top"/>
      <protection locked="0"/>
    </xf>
    <xf numFmtId="0" fontId="19" fillId="25" borderId="23" xfId="0" applyFont="1" applyFill="1" applyBorder="1" applyAlignment="1" applyProtection="1">
      <alignment vertical="top"/>
      <protection locked="0"/>
    </xf>
    <xf numFmtId="0" fontId="108" fillId="0" borderId="55" xfId="31" applyFont="1" applyBorder="1" applyAlignment="1">
      <alignment horizontal="left" vertical="top" wrapText="1"/>
    </xf>
    <xf numFmtId="0" fontId="108" fillId="0" borderId="22" xfId="31" applyFont="1" applyBorder="1" applyAlignment="1">
      <alignment horizontal="left" vertical="top" wrapText="1"/>
    </xf>
    <xf numFmtId="0" fontId="105" fillId="14" borderId="63" xfId="31" applyFont="1" applyFill="1" applyBorder="1" applyAlignment="1">
      <alignment vertical="top" wrapText="1"/>
    </xf>
    <xf numFmtId="0" fontId="19" fillId="0" borderId="34" xfId="10" applyBorder="1" applyAlignment="1">
      <alignment vertical="top"/>
    </xf>
    <xf numFmtId="0" fontId="20" fillId="0" borderId="34" xfId="31" applyFont="1" applyBorder="1" applyAlignment="1">
      <alignment vertical="top"/>
    </xf>
    <xf numFmtId="0" fontId="105" fillId="14" borderId="22" xfId="31" applyFont="1" applyFill="1" applyBorder="1" applyAlignment="1">
      <alignment vertical="top" wrapText="1"/>
    </xf>
    <xf numFmtId="0" fontId="105" fillId="13" borderId="0" xfId="31" applyFont="1" applyFill="1" applyAlignment="1">
      <alignment horizontal="right" vertical="top" wrapText="1"/>
    </xf>
    <xf numFmtId="5" fontId="18" fillId="0" borderId="0" xfId="4" applyNumberFormat="1" applyFont="1" applyAlignment="1">
      <alignment horizontal="center" vertical="top"/>
    </xf>
    <xf numFmtId="0" fontId="3" fillId="25" borderId="2" xfId="13" applyFont="1" applyFill="1" applyBorder="1" applyProtection="1">
      <protection locked="0"/>
    </xf>
    <xf numFmtId="5" fontId="18" fillId="0" borderId="117" xfId="4" applyNumberFormat="1" applyFont="1" applyBorder="1" applyAlignment="1">
      <alignment horizontal="centerContinuous" vertical="top"/>
    </xf>
    <xf numFmtId="5" fontId="24" fillId="0" borderId="117" xfId="4" applyNumberFormat="1" applyFont="1" applyBorder="1" applyAlignment="1">
      <alignment horizontal="centerContinuous" vertical="top"/>
    </xf>
    <xf numFmtId="44" fontId="19" fillId="0" borderId="4" xfId="2" applyFont="1" applyFill="1" applyBorder="1" applyAlignment="1" applyProtection="1">
      <alignment vertical="top"/>
      <protection locked="0"/>
    </xf>
    <xf numFmtId="43" fontId="19" fillId="0" borderId="4" xfId="1" applyFont="1" applyFill="1" applyBorder="1" applyAlignment="1" applyProtection="1">
      <alignment vertical="top"/>
      <protection locked="0"/>
    </xf>
    <xf numFmtId="43" fontId="19" fillId="0" borderId="4" xfId="0" applyNumberFormat="1" applyFont="1" applyBorder="1" applyAlignment="1" applyProtection="1">
      <alignment vertical="top"/>
      <protection locked="0"/>
    </xf>
    <xf numFmtId="180" fontId="15" fillId="0" borderId="0" xfId="13" applyNumberFormat="1" applyFont="1"/>
    <xf numFmtId="10" fontId="90" fillId="0" borderId="0" xfId="3" applyNumberFormat="1" applyFont="1" applyFill="1"/>
    <xf numFmtId="0" fontId="19" fillId="2" borderId="2" xfId="0" applyFont="1" applyFill="1" applyBorder="1" applyAlignment="1" applyProtection="1">
      <alignment wrapText="1"/>
      <protection locked="0"/>
    </xf>
    <xf numFmtId="0" fontId="34" fillId="0" borderId="0" xfId="4" applyFont="1" applyAlignment="1">
      <alignment horizontal="centerContinuous" vertical="top" wrapText="1"/>
    </xf>
    <xf numFmtId="0" fontId="0" fillId="0" borderId="0" xfId="0" applyAlignment="1">
      <alignment horizontal="centerContinuous" vertical="top" wrapText="1"/>
    </xf>
    <xf numFmtId="0" fontId="34" fillId="0" borderId="122" xfId="4" applyFont="1" applyBorder="1" applyAlignment="1">
      <alignment horizontal="centerContinuous" vertical="top" wrapText="1"/>
    </xf>
    <xf numFmtId="0" fontId="0" fillId="0" borderId="122" xfId="0" applyBorder="1" applyAlignment="1">
      <alignment horizontal="centerContinuous" vertical="top" wrapText="1"/>
    </xf>
    <xf numFmtId="0" fontId="26" fillId="0" borderId="14" xfId="0" applyFont="1" applyBorder="1" applyAlignment="1">
      <alignment horizontal="center" vertical="top" wrapText="1"/>
    </xf>
    <xf numFmtId="0" fontId="26" fillId="0" borderId="14" xfId="0" applyFont="1" applyBorder="1" applyAlignment="1">
      <alignment horizontal="center" vertical="top"/>
    </xf>
    <xf numFmtId="0" fontId="26" fillId="0" borderId="0" xfId="0" applyFont="1" applyAlignment="1">
      <alignment horizontal="center" vertical="top"/>
    </xf>
    <xf numFmtId="0" fontId="26" fillId="25" borderId="0" xfId="0" applyFont="1" applyFill="1" applyAlignment="1">
      <alignment horizontal="center" vertical="top"/>
    </xf>
    <xf numFmtId="0" fontId="26" fillId="25" borderId="0" xfId="0" applyFont="1" applyFill="1" applyAlignment="1">
      <alignment vertical="top"/>
    </xf>
    <xf numFmtId="0" fontId="0" fillId="25" borderId="158" xfId="0" applyFill="1" applyBorder="1" applyAlignment="1" applyProtection="1">
      <alignment horizontal="center" vertical="top" wrapText="1"/>
      <protection locked="0"/>
    </xf>
    <xf numFmtId="0" fontId="0" fillId="25" borderId="158" xfId="0" applyFill="1" applyBorder="1" applyAlignment="1" applyProtection="1">
      <alignment vertical="top" wrapText="1"/>
      <protection locked="0"/>
    </xf>
    <xf numFmtId="0" fontId="19" fillId="25" borderId="158" xfId="0" applyFont="1" applyFill="1" applyBorder="1" applyAlignment="1" applyProtection="1">
      <alignment vertical="top" wrapText="1"/>
      <protection locked="0"/>
    </xf>
    <xf numFmtId="0" fontId="0" fillId="25" borderId="0" xfId="0" quotePrefix="1" applyFill="1" applyProtection="1">
      <protection locked="0"/>
    </xf>
    <xf numFmtId="0" fontId="19" fillId="0" borderId="0" xfId="10" applyAlignment="1">
      <alignment vertical="top"/>
    </xf>
    <xf numFmtId="0" fontId="18" fillId="0" borderId="0" xfId="10" applyFont="1" applyAlignment="1">
      <alignment vertical="top"/>
    </xf>
    <xf numFmtId="0" fontId="19" fillId="0" borderId="4" xfId="10" applyBorder="1" applyAlignment="1">
      <alignment vertical="top"/>
    </xf>
    <xf numFmtId="0" fontId="19" fillId="0" borderId="38" xfId="10" applyBorder="1" applyAlignment="1">
      <alignment vertical="top"/>
    </xf>
    <xf numFmtId="0" fontId="19" fillId="0" borderId="14" xfId="10" applyBorder="1" applyAlignment="1">
      <alignment vertical="top"/>
    </xf>
    <xf numFmtId="0" fontId="19" fillId="0" borderId="14" xfId="10" applyBorder="1" applyAlignment="1">
      <alignment vertical="top" wrapText="1"/>
    </xf>
    <xf numFmtId="0" fontId="19" fillId="0" borderId="39" xfId="10" applyBorder="1" applyAlignment="1">
      <alignment vertical="top"/>
    </xf>
    <xf numFmtId="0" fontId="19" fillId="0" borderId="0" xfId="10" applyAlignment="1">
      <alignment horizontal="left" vertical="top"/>
    </xf>
    <xf numFmtId="0" fontId="19" fillId="0" borderId="0" xfId="10" applyAlignment="1">
      <alignment horizontal="right" vertical="top"/>
    </xf>
    <xf numFmtId="0" fontId="19" fillId="0" borderId="0" xfId="10" applyAlignment="1">
      <alignment horizontal="center" vertical="top"/>
    </xf>
    <xf numFmtId="0" fontId="20" fillId="0" borderId="6" xfId="10" applyFont="1" applyBorder="1" applyAlignment="1">
      <alignment vertical="top"/>
    </xf>
    <xf numFmtId="166" fontId="20" fillId="0" borderId="6" xfId="1" applyNumberFormat="1" applyFont="1" applyBorder="1" applyAlignment="1">
      <alignment vertical="top"/>
    </xf>
    <xf numFmtId="0" fontId="19" fillId="0" borderId="5" xfId="10" applyBorder="1" applyAlignment="1">
      <alignment vertical="top"/>
    </xf>
    <xf numFmtId="0" fontId="19" fillId="0" borderId="6" xfId="10" applyBorder="1" applyAlignment="1">
      <alignment vertical="top"/>
    </xf>
    <xf numFmtId="0" fontId="19" fillId="0" borderId="7" xfId="10" applyBorder="1" applyAlignment="1">
      <alignment vertical="top"/>
    </xf>
    <xf numFmtId="0" fontId="19" fillId="0" borderId="8" xfId="10" applyBorder="1" applyAlignment="1">
      <alignment vertical="top"/>
    </xf>
    <xf numFmtId="0" fontId="19" fillId="0" borderId="9" xfId="10" applyBorder="1" applyAlignment="1">
      <alignment vertical="top"/>
    </xf>
    <xf numFmtId="0" fontId="19" fillId="0" borderId="10" xfId="10" applyBorder="1" applyAlignment="1">
      <alignment vertical="top"/>
    </xf>
    <xf numFmtId="0" fontId="19" fillId="0" borderId="11" xfId="10" applyBorder="1" applyAlignment="1">
      <alignment vertical="top"/>
    </xf>
    <xf numFmtId="166" fontId="0" fillId="0" borderId="11" xfId="1" applyNumberFormat="1" applyFont="1" applyBorder="1" applyAlignment="1">
      <alignment vertical="top"/>
    </xf>
    <xf numFmtId="166" fontId="20" fillId="0" borderId="11" xfId="1" applyNumberFormat="1" applyFont="1" applyBorder="1" applyAlignment="1">
      <alignment vertical="top"/>
    </xf>
    <xf numFmtId="0" fontId="19" fillId="0" borderId="12" xfId="10" applyBorder="1" applyAlignment="1">
      <alignment vertical="top"/>
    </xf>
    <xf numFmtId="0" fontId="19" fillId="0" borderId="0" xfId="10" applyAlignment="1">
      <alignment horizontal="centerContinuous" vertical="top" wrapText="1"/>
    </xf>
    <xf numFmtId="166" fontId="0" fillId="0" borderId="0" xfId="1" applyNumberFormat="1" applyFont="1" applyFill="1" applyAlignment="1">
      <alignment vertical="top"/>
    </xf>
    <xf numFmtId="166" fontId="20" fillId="0" borderId="6" xfId="10" applyNumberFormat="1" applyFont="1" applyBorder="1" applyAlignment="1">
      <alignment vertical="top"/>
    </xf>
    <xf numFmtId="0" fontId="19" fillId="25" borderId="0" xfId="10" applyFill="1" applyAlignment="1">
      <alignment vertical="top"/>
    </xf>
    <xf numFmtId="166" fontId="19" fillId="0" borderId="0" xfId="1" applyNumberFormat="1" applyFont="1" applyFill="1" applyAlignment="1">
      <alignment vertical="top"/>
    </xf>
    <xf numFmtId="166" fontId="20" fillId="0" borderId="0" xfId="1" applyNumberFormat="1" applyFont="1" applyFill="1" applyAlignment="1">
      <alignment vertical="top"/>
    </xf>
    <xf numFmtId="166" fontId="19" fillId="0" borderId="0" xfId="10" applyNumberFormat="1" applyAlignment="1">
      <alignment vertical="top"/>
    </xf>
    <xf numFmtId="166" fontId="20" fillId="0" borderId="0" xfId="10" applyNumberFormat="1" applyFont="1" applyAlignment="1">
      <alignment vertical="top"/>
    </xf>
    <xf numFmtId="0" fontId="19" fillId="0" borderId="0" xfId="10" applyAlignment="1">
      <alignment vertical="top" wrapText="1"/>
    </xf>
    <xf numFmtId="0" fontId="0" fillId="0" borderId="0" xfId="0" applyAlignment="1">
      <alignment horizontal="center" vertical="center" wrapText="1"/>
    </xf>
    <xf numFmtId="0" fontId="20" fillId="35" borderId="55" xfId="0" applyFont="1" applyFill="1" applyBorder="1" applyAlignment="1">
      <alignment vertical="top"/>
    </xf>
    <xf numFmtId="1" fontId="0" fillId="25" borderId="4" xfId="0" applyNumberFormat="1" applyFill="1" applyBorder="1" applyAlignment="1" applyProtection="1">
      <alignment vertical="top"/>
      <protection locked="0"/>
    </xf>
    <xf numFmtId="0" fontId="20" fillId="15" borderId="34" xfId="0" applyFont="1" applyFill="1" applyBorder="1" applyAlignment="1">
      <alignment horizontal="right" vertical="top"/>
    </xf>
    <xf numFmtId="0" fontId="18" fillId="18" borderId="34" xfId="0" applyFont="1" applyFill="1" applyBorder="1" applyAlignment="1">
      <alignment vertical="top"/>
    </xf>
    <xf numFmtId="0" fontId="18" fillId="15" borderId="34" xfId="0" applyFont="1" applyFill="1" applyBorder="1" applyAlignment="1">
      <alignment vertical="top"/>
    </xf>
    <xf numFmtId="0" fontId="19" fillId="0" borderId="14" xfId="10" applyBorder="1" applyAlignment="1">
      <alignment horizontal="center" vertical="top" wrapText="1"/>
    </xf>
    <xf numFmtId="9" fontId="19" fillId="0" borderId="0" xfId="10" applyNumberFormat="1" applyAlignment="1">
      <alignment vertical="top"/>
    </xf>
    <xf numFmtId="166" fontId="0" fillId="25" borderId="0" xfId="1" applyNumberFormat="1" applyFont="1" applyFill="1" applyAlignment="1" applyProtection="1">
      <alignment vertical="top"/>
      <protection locked="0"/>
    </xf>
    <xf numFmtId="166" fontId="0" fillId="0" borderId="0" xfId="1" applyNumberFormat="1" applyFont="1" applyAlignment="1" applyProtection="1">
      <alignment vertical="top"/>
      <protection locked="0"/>
    </xf>
    <xf numFmtId="9" fontId="0" fillId="25" borderId="0" xfId="3" applyFont="1" applyFill="1" applyAlignment="1" applyProtection="1">
      <alignment vertical="top"/>
      <protection locked="0"/>
    </xf>
    <xf numFmtId="166" fontId="19" fillId="25" borderId="0" xfId="10" applyNumberFormat="1" applyFill="1" applyAlignment="1" applyProtection="1">
      <alignment vertical="top"/>
      <protection locked="0"/>
    </xf>
    <xf numFmtId="0" fontId="0" fillId="25" borderId="0" xfId="1" applyNumberFormat="1" applyFont="1" applyFill="1" applyAlignment="1" applyProtection="1">
      <alignment vertical="top"/>
      <protection locked="0"/>
    </xf>
    <xf numFmtId="166" fontId="0" fillId="25" borderId="0" xfId="3" applyNumberFormat="1" applyFont="1" applyFill="1" applyAlignment="1" applyProtection="1">
      <alignment vertical="top"/>
      <protection locked="0"/>
    </xf>
    <xf numFmtId="0" fontId="19" fillId="25" borderId="0" xfId="10" applyFill="1" applyAlignment="1" applyProtection="1">
      <alignment vertical="top"/>
      <protection locked="0"/>
    </xf>
    <xf numFmtId="172" fontId="19" fillId="25" borderId="0" xfId="10" applyNumberFormat="1" applyFill="1" applyAlignment="1" applyProtection="1">
      <alignment vertical="top"/>
      <protection locked="0"/>
    </xf>
    <xf numFmtId="9" fontId="19" fillId="0" borderId="0" xfId="3" applyAlignment="1">
      <alignment vertical="top"/>
    </xf>
    <xf numFmtId="0" fontId="2" fillId="0" borderId="0" xfId="34"/>
    <xf numFmtId="0" fontId="20" fillId="0" borderId="0" xfId="34" applyFont="1" applyAlignment="1">
      <alignment horizontal="left"/>
    </xf>
    <xf numFmtId="10" fontId="20" fillId="0" borderId="0" xfId="34" applyNumberFormat="1" applyFont="1" applyAlignment="1">
      <alignment vertical="center" wrapText="1"/>
    </xf>
    <xf numFmtId="10" fontId="20" fillId="0" borderId="0" xfId="34" applyNumberFormat="1" applyFont="1"/>
    <xf numFmtId="0" fontId="111" fillId="41" borderId="55" xfId="34" applyFont="1" applyFill="1" applyBorder="1" applyAlignment="1">
      <alignment vertical="center"/>
    </xf>
    <xf numFmtId="0" fontId="112" fillId="0" borderId="0" xfId="34" applyFont="1"/>
    <xf numFmtId="0" fontId="111" fillId="0" borderId="22" xfId="34" applyFont="1" applyBorder="1" applyAlignment="1">
      <alignment vertical="center"/>
    </xf>
    <xf numFmtId="0" fontId="111" fillId="0" borderId="54" xfId="34" applyFont="1" applyBorder="1" applyAlignment="1">
      <alignment vertical="center"/>
    </xf>
    <xf numFmtId="0" fontId="111" fillId="0" borderId="54" xfId="34" applyFont="1" applyBorder="1" applyAlignment="1">
      <alignment horizontal="left" vertical="center" wrapText="1"/>
    </xf>
    <xf numFmtId="168" fontId="111" fillId="0" borderId="57" xfId="37" applyNumberFormat="1" applyFont="1" applyBorder="1" applyAlignment="1">
      <alignment vertical="center"/>
    </xf>
    <xf numFmtId="168" fontId="111" fillId="0" borderId="57" xfId="34" applyNumberFormat="1" applyFont="1" applyBorder="1" applyAlignment="1">
      <alignment vertical="center"/>
    </xf>
    <xf numFmtId="168" fontId="2" fillId="0" borderId="0" xfId="34" applyNumberFormat="1"/>
    <xf numFmtId="0" fontId="100" fillId="25" borderId="55" xfId="34" applyFont="1" applyFill="1" applyBorder="1" applyAlignment="1">
      <alignment wrapText="1"/>
    </xf>
    <xf numFmtId="0" fontId="111" fillId="25" borderId="22" xfId="38" applyFont="1" applyFill="1" applyBorder="1" applyAlignment="1">
      <alignment vertical="center" wrapText="1"/>
    </xf>
    <xf numFmtId="0" fontId="2" fillId="0" borderId="0" xfId="34" applyAlignment="1">
      <alignment vertical="top"/>
    </xf>
    <xf numFmtId="0" fontId="2" fillId="39" borderId="0" xfId="34" applyFill="1" applyAlignment="1">
      <alignment vertical="top"/>
    </xf>
    <xf numFmtId="0" fontId="15" fillId="39" borderId="0" xfId="34" applyFont="1" applyFill="1" applyAlignment="1">
      <alignment vertical="top"/>
    </xf>
    <xf numFmtId="0" fontId="110" fillId="0" borderId="0" xfId="35" applyFont="1" applyAlignment="1">
      <alignment horizontal="center" vertical="top" wrapText="1"/>
    </xf>
    <xf numFmtId="170" fontId="0" fillId="0" borderId="0" xfId="36" applyNumberFormat="1" applyFont="1" applyFill="1" applyAlignment="1">
      <alignment vertical="top"/>
    </xf>
    <xf numFmtId="170" fontId="2" fillId="0" borderId="0" xfId="34" applyNumberFormat="1" applyAlignment="1">
      <alignment vertical="top"/>
    </xf>
    <xf numFmtId="0" fontId="102" fillId="0" borderId="0" xfId="35" applyFont="1" applyAlignment="1">
      <alignment vertical="top"/>
    </xf>
    <xf numFmtId="0" fontId="101" fillId="0" borderId="0" xfId="35" applyAlignment="1">
      <alignment vertical="top"/>
    </xf>
    <xf numFmtId="44" fontId="0" fillId="0" borderId="0" xfId="36" applyFont="1" applyAlignment="1">
      <alignment vertical="top"/>
    </xf>
    <xf numFmtId="0" fontId="2" fillId="40" borderId="0" xfId="34" applyFill="1" applyAlignment="1">
      <alignment vertical="top"/>
    </xf>
    <xf numFmtId="10" fontId="2" fillId="0" borderId="0" xfId="34" applyNumberFormat="1" applyAlignment="1">
      <alignment vertical="top"/>
    </xf>
    <xf numFmtId="10" fontId="2" fillId="40" borderId="0" xfId="3" applyNumberFormat="1" applyFont="1" applyFill="1" applyAlignment="1">
      <alignment vertical="top"/>
    </xf>
    <xf numFmtId="10" fontId="2" fillId="40" borderId="0" xfId="34" applyNumberFormat="1" applyFill="1" applyAlignment="1">
      <alignment vertical="top"/>
    </xf>
    <xf numFmtId="44" fontId="2" fillId="0" borderId="0" xfId="34" applyNumberFormat="1" applyAlignment="1">
      <alignment vertical="top"/>
    </xf>
    <xf numFmtId="0" fontId="101" fillId="0" borderId="6" xfId="35" applyBorder="1" applyAlignment="1">
      <alignment vertical="top"/>
    </xf>
    <xf numFmtId="170" fontId="2" fillId="0" borderId="6" xfId="34" applyNumberFormat="1" applyBorder="1" applyAlignment="1">
      <alignment vertical="top"/>
    </xf>
    <xf numFmtId="170" fontId="2" fillId="0" borderId="0" xfId="34" applyNumberFormat="1" applyAlignment="1">
      <alignment horizontal="left" vertical="top"/>
    </xf>
    <xf numFmtId="0" fontId="101" fillId="0" borderId="5" xfId="35" applyBorder="1" applyAlignment="1">
      <alignment vertical="top"/>
    </xf>
    <xf numFmtId="0" fontId="101" fillId="0" borderId="7" xfId="35" applyBorder="1" applyAlignment="1">
      <alignment vertical="top"/>
    </xf>
    <xf numFmtId="0" fontId="101" fillId="0" borderId="1" xfId="35" applyBorder="1" applyAlignment="1">
      <alignment vertical="top" wrapText="1"/>
    </xf>
    <xf numFmtId="0" fontId="101" fillId="0" borderId="8" xfId="35" applyBorder="1" applyAlignment="1">
      <alignment vertical="top"/>
    </xf>
    <xf numFmtId="170" fontId="101" fillId="0" borderId="9" xfId="35" applyNumberFormat="1" applyBorder="1" applyAlignment="1">
      <alignment vertical="top"/>
    </xf>
    <xf numFmtId="170" fontId="101" fillId="0" borderId="2" xfId="2" applyNumberFormat="1" applyFont="1" applyBorder="1" applyAlignment="1">
      <alignment vertical="top"/>
    </xf>
    <xf numFmtId="0" fontId="2" fillId="0" borderId="10" xfId="34" applyBorder="1" applyAlignment="1">
      <alignment vertical="top"/>
    </xf>
    <xf numFmtId="170" fontId="2" fillId="0" borderId="12" xfId="34" applyNumberFormat="1" applyBorder="1" applyAlignment="1">
      <alignment vertical="top"/>
    </xf>
    <xf numFmtId="170" fontId="2" fillId="0" borderId="3" xfId="34" applyNumberFormat="1" applyBorder="1" applyAlignment="1">
      <alignment vertical="top"/>
    </xf>
    <xf numFmtId="10" fontId="2" fillId="25" borderId="0" xfId="3" applyNumberFormat="1" applyFont="1" applyFill="1" applyAlignment="1">
      <alignment vertical="top"/>
    </xf>
    <xf numFmtId="0" fontId="2" fillId="0" borderId="0" xfId="34" quotePrefix="1" applyAlignment="1">
      <alignment vertical="top"/>
    </xf>
    <xf numFmtId="0" fontId="2" fillId="25" borderId="0" xfId="34" applyFill="1" applyAlignment="1">
      <alignment vertical="top"/>
    </xf>
    <xf numFmtId="164" fontId="0" fillId="25" borderId="4" xfId="3" applyNumberFormat="1" applyFont="1" applyFill="1" applyBorder="1" applyAlignment="1" applyProtection="1">
      <alignment vertical="top"/>
      <protection locked="0"/>
    </xf>
    <xf numFmtId="164" fontId="19" fillId="25" borderId="4" xfId="3" applyNumberFormat="1" applyFont="1" applyFill="1" applyBorder="1" applyAlignment="1" applyProtection="1">
      <alignment horizontal="center" vertical="top"/>
      <protection locked="0"/>
    </xf>
    <xf numFmtId="164" fontId="0" fillId="25" borderId="0" xfId="3" applyNumberFormat="1" applyFont="1" applyFill="1" applyBorder="1" applyAlignment="1" applyProtection="1">
      <alignment vertical="top"/>
      <protection locked="0"/>
    </xf>
    <xf numFmtId="164" fontId="20" fillId="25" borderId="4" xfId="3" applyNumberFormat="1" applyFont="1" applyFill="1" applyBorder="1" applyAlignment="1" applyProtection="1">
      <alignment vertical="top" wrapText="1"/>
      <protection locked="0"/>
    </xf>
    <xf numFmtId="0" fontId="43" fillId="0" borderId="14" xfId="8" applyFont="1" applyBorder="1" applyAlignment="1">
      <alignment horizontal="centerContinuous" wrapText="1"/>
    </xf>
    <xf numFmtId="0" fontId="43" fillId="0" borderId="14" xfId="8" applyFont="1" applyBorder="1" applyAlignment="1">
      <alignment horizontal="centerContinuous"/>
    </xf>
    <xf numFmtId="166" fontId="0" fillId="25" borderId="4" xfId="1" applyNumberFormat="1" applyFont="1" applyFill="1" applyBorder="1" applyAlignment="1" applyProtection="1">
      <alignment vertical="top"/>
      <protection locked="0"/>
    </xf>
    <xf numFmtId="0" fontId="0" fillId="25" borderId="0" xfId="0" applyFill="1"/>
    <xf numFmtId="0" fontId="0" fillId="33" borderId="44" xfId="0" applyFill="1" applyBorder="1"/>
    <xf numFmtId="0" fontId="0" fillId="33" borderId="4" xfId="0" applyFill="1" applyBorder="1"/>
    <xf numFmtId="0" fontId="26" fillId="27" borderId="1" xfId="0" applyFont="1" applyFill="1" applyBorder="1" applyAlignment="1">
      <alignment vertical="top"/>
    </xf>
    <xf numFmtId="0" fontId="26" fillId="27" borderId="1" xfId="0" applyFont="1" applyFill="1" applyBorder="1" applyAlignment="1">
      <alignment vertical="top" wrapText="1"/>
    </xf>
    <xf numFmtId="0" fontId="26" fillId="27" borderId="2" xfId="0" applyFont="1" applyFill="1" applyBorder="1" applyAlignment="1">
      <alignment vertical="top"/>
    </xf>
    <xf numFmtId="0" fontId="26" fillId="27" borderId="2" xfId="0" applyFont="1" applyFill="1" applyBorder="1" applyAlignment="1">
      <alignment horizontal="center" vertical="top"/>
    </xf>
    <xf numFmtId="166" fontId="0" fillId="25" borderId="44" xfId="1" applyNumberFormat="1" applyFont="1" applyFill="1" applyBorder="1"/>
    <xf numFmtId="166" fontId="0" fillId="25" borderId="4" xfId="1" applyNumberFormat="1" applyFont="1" applyFill="1" applyBorder="1"/>
    <xf numFmtId="0" fontId="0" fillId="16" borderId="98" xfId="0" applyFill="1" applyBorder="1"/>
    <xf numFmtId="166" fontId="0" fillId="16" borderId="44" xfId="1" applyNumberFormat="1" applyFont="1" applyFill="1" applyBorder="1"/>
    <xf numFmtId="166" fontId="0" fillId="16" borderId="4" xfId="1" applyNumberFormat="1" applyFont="1" applyFill="1" applyBorder="1"/>
    <xf numFmtId="166" fontId="0" fillId="25" borderId="44" xfId="1" applyNumberFormat="1" applyFont="1" applyFill="1" applyBorder="1" applyProtection="1">
      <protection locked="0"/>
    </xf>
    <xf numFmtId="166" fontId="0" fillId="25" borderId="4" xfId="1" applyNumberFormat="1" applyFont="1" applyFill="1" applyBorder="1" applyProtection="1">
      <protection locked="0"/>
    </xf>
    <xf numFmtId="166" fontId="0" fillId="2" borderId="4" xfId="1" applyNumberFormat="1" applyFont="1" applyFill="1" applyBorder="1" applyAlignment="1" applyProtection="1">
      <alignment vertical="top"/>
      <protection locked="0"/>
    </xf>
    <xf numFmtId="166" fontId="96" fillId="2" borderId="4" xfId="1" applyNumberFormat="1" applyFont="1" applyFill="1" applyBorder="1" applyAlignment="1" applyProtection="1">
      <alignment vertical="top"/>
      <protection locked="0"/>
    </xf>
    <xf numFmtId="0" fontId="113" fillId="0" borderId="0" xfId="0" applyFont="1" applyAlignment="1">
      <alignment horizontal="right" vertical="top"/>
    </xf>
    <xf numFmtId="166" fontId="0" fillId="25" borderId="44" xfId="0" applyNumberFormat="1" applyFill="1" applyBorder="1"/>
    <xf numFmtId="166" fontId="19" fillId="25" borderId="4" xfId="1" applyNumberFormat="1" applyFont="1" applyFill="1" applyBorder="1"/>
    <xf numFmtId="0" fontId="19" fillId="21" borderId="98" xfId="0" applyFont="1" applyFill="1" applyBorder="1" applyAlignment="1">
      <alignment horizontal="center" vertical="center"/>
    </xf>
    <xf numFmtId="0" fontId="26" fillId="0" borderId="0" xfId="4" applyFont="1" applyAlignment="1">
      <alignment vertical="top" wrapText="1"/>
    </xf>
    <xf numFmtId="0" fontId="26" fillId="0" borderId="0" xfId="6" applyFont="1" applyAlignment="1">
      <alignment vertical="top"/>
    </xf>
    <xf numFmtId="0" fontId="19" fillId="33" borderId="44" xfId="0" applyFont="1" applyFill="1" applyBorder="1" applyAlignment="1">
      <alignment horizontal="center"/>
    </xf>
    <xf numFmtId="0" fontId="19" fillId="33" borderId="4" xfId="0" applyFont="1" applyFill="1" applyBorder="1" applyAlignment="1">
      <alignment horizontal="center"/>
    </xf>
    <xf numFmtId="0" fontId="0" fillId="33" borderId="98" xfId="0" applyFill="1" applyBorder="1" applyAlignment="1">
      <alignment horizontal="center"/>
    </xf>
    <xf numFmtId="0" fontId="0" fillId="16" borderId="44" xfId="0" applyFill="1" applyBorder="1" applyAlignment="1">
      <alignment horizontal="center"/>
    </xf>
    <xf numFmtId="0" fontId="0" fillId="16" borderId="4" xfId="0" applyFill="1" applyBorder="1" applyAlignment="1">
      <alignment horizontal="center"/>
    </xf>
    <xf numFmtId="0" fontId="0" fillId="16" borderId="155" xfId="0" applyFill="1" applyBorder="1" applyAlignment="1">
      <alignment horizontal="center"/>
    </xf>
    <xf numFmtId="0" fontId="0" fillId="38" borderId="155" xfId="0" applyFill="1" applyBorder="1" applyAlignment="1">
      <alignment horizontal="center"/>
    </xf>
    <xf numFmtId="0" fontId="0" fillId="17" borderId="44" xfId="0" applyFill="1" applyBorder="1" applyAlignment="1">
      <alignment horizontal="center"/>
    </xf>
    <xf numFmtId="0" fontId="0" fillId="17" borderId="4" xfId="0" applyFill="1" applyBorder="1" applyAlignment="1">
      <alignment horizontal="center"/>
    </xf>
    <xf numFmtId="0" fontId="0" fillId="17" borderId="98" xfId="0" applyFill="1" applyBorder="1" applyAlignment="1">
      <alignment horizontal="center"/>
    </xf>
    <xf numFmtId="0" fontId="0" fillId="35" borderId="44" xfId="0" applyFill="1" applyBorder="1" applyAlignment="1">
      <alignment horizontal="center"/>
    </xf>
    <xf numFmtId="0" fontId="19" fillId="35" borderId="4" xfId="0" applyFont="1" applyFill="1" applyBorder="1" applyAlignment="1">
      <alignment horizontal="center"/>
    </xf>
    <xf numFmtId="0" fontId="97" fillId="35" borderId="4" xfId="0" applyFont="1" applyFill="1" applyBorder="1" applyAlignment="1">
      <alignment horizontal="center"/>
    </xf>
    <xf numFmtId="0" fontId="0" fillId="35" borderId="4" xfId="0" applyFill="1" applyBorder="1" applyAlignment="1">
      <alignment horizontal="center"/>
    </xf>
    <xf numFmtId="0" fontId="0" fillId="35" borderId="98" xfId="0" applyFill="1" applyBorder="1" applyAlignment="1">
      <alignment horizontal="center"/>
    </xf>
    <xf numFmtId="166" fontId="19" fillId="25" borderId="44" xfId="1" applyNumberFormat="1" applyFont="1" applyFill="1" applyBorder="1" applyProtection="1">
      <protection locked="0"/>
    </xf>
    <xf numFmtId="166" fontId="19" fillId="25" borderId="4" xfId="1" applyNumberFormat="1" applyFont="1" applyFill="1" applyBorder="1" applyProtection="1">
      <protection locked="0"/>
    </xf>
    <xf numFmtId="166" fontId="20" fillId="25" borderId="44" xfId="1" applyNumberFormat="1" applyFont="1" applyFill="1" applyBorder="1" applyProtection="1">
      <protection locked="0"/>
    </xf>
    <xf numFmtId="166" fontId="20" fillId="25" borderId="4" xfId="1" applyNumberFormat="1" applyFont="1" applyFill="1" applyBorder="1" applyProtection="1">
      <protection locked="0"/>
    </xf>
    <xf numFmtId="166" fontId="0" fillId="25" borderId="44" xfId="0" applyNumberFormat="1" applyFill="1" applyBorder="1" applyProtection="1">
      <protection locked="0"/>
    </xf>
    <xf numFmtId="0" fontId="0" fillId="25" borderId="44" xfId="0" applyFill="1" applyBorder="1" applyProtection="1">
      <protection locked="0"/>
    </xf>
    <xf numFmtId="43" fontId="0" fillId="25" borderId="44" xfId="0" applyNumberFormat="1" applyFill="1" applyBorder="1" applyProtection="1">
      <protection locked="0"/>
    </xf>
    <xf numFmtId="43" fontId="19" fillId="25" borderId="4" xfId="1" applyFont="1" applyFill="1" applyBorder="1" applyProtection="1">
      <protection locked="0"/>
    </xf>
    <xf numFmtId="172" fontId="105" fillId="25" borderId="0" xfId="33" applyNumberFormat="1" applyFont="1" applyFill="1" applyBorder="1" applyAlignment="1" applyProtection="1">
      <alignment horizontal="center" vertical="top" wrapText="1"/>
      <protection locked="0"/>
    </xf>
    <xf numFmtId="0" fontId="107" fillId="25" borderId="45" xfId="31" applyFont="1" applyFill="1" applyBorder="1" applyAlignment="1" applyProtection="1">
      <alignment vertical="top"/>
      <protection locked="0"/>
    </xf>
    <xf numFmtId="0" fontId="107" fillId="25" borderId="96" xfId="31" applyFont="1" applyFill="1" applyBorder="1" applyAlignment="1" applyProtection="1">
      <alignment vertical="top"/>
      <protection locked="0"/>
    </xf>
    <xf numFmtId="0" fontId="107" fillId="25" borderId="96" xfId="31" applyFont="1" applyFill="1" applyBorder="1" applyAlignment="1" applyProtection="1">
      <alignment vertical="top" wrapText="1"/>
      <protection locked="0"/>
    </xf>
    <xf numFmtId="0" fontId="107" fillId="0" borderId="35" xfId="31" applyFont="1" applyBorder="1" applyAlignment="1" applyProtection="1">
      <alignment vertical="top"/>
      <protection locked="0"/>
    </xf>
    <xf numFmtId="0" fontId="107" fillId="25" borderId="99" xfId="31" applyFont="1" applyFill="1" applyBorder="1" applyAlignment="1" applyProtection="1">
      <alignment vertical="top"/>
      <protection locked="0"/>
    </xf>
    <xf numFmtId="1" fontId="19" fillId="25" borderId="0" xfId="2" applyNumberFormat="1" applyFill="1" applyAlignment="1" applyProtection="1">
      <alignment horizontal="center" vertical="top"/>
      <protection locked="0"/>
    </xf>
    <xf numFmtId="179" fontId="116" fillId="0" borderId="0" xfId="4" applyNumberFormat="1" applyFont="1"/>
    <xf numFmtId="0" fontId="26" fillId="25" borderId="0" xfId="0" applyFont="1" applyFill="1" applyAlignment="1" applyProtection="1">
      <alignment horizontal="center" vertical="top"/>
      <protection locked="0"/>
    </xf>
    <xf numFmtId="0" fontId="0" fillId="25" borderId="0" xfId="0" applyFill="1" applyAlignment="1" applyProtection="1">
      <alignment vertical="top" wrapText="1"/>
      <protection locked="0"/>
    </xf>
    <xf numFmtId="0" fontId="115" fillId="0" borderId="0" xfId="0" quotePrefix="1" applyFont="1" applyAlignment="1" applyProtection="1">
      <alignment vertical="top"/>
      <protection locked="0"/>
    </xf>
    <xf numFmtId="166" fontId="115" fillId="0" borderId="0" xfId="1" applyNumberFormat="1" applyFont="1" applyFill="1" applyBorder="1" applyAlignment="1">
      <alignment vertical="top"/>
    </xf>
    <xf numFmtId="0" fontId="114" fillId="0" borderId="0" xfId="0" applyFont="1" applyAlignment="1" applyProtection="1">
      <alignment vertical="top"/>
      <protection locked="0"/>
    </xf>
    <xf numFmtId="5" fontId="26" fillId="0" borderId="0" xfId="4" applyNumberFormat="1" applyFont="1" applyAlignment="1">
      <alignment horizontal="left" vertical="top"/>
    </xf>
    <xf numFmtId="5" fontId="26" fillId="0" borderId="0" xfId="4" applyNumberFormat="1" applyFont="1" applyAlignment="1">
      <alignment vertical="top"/>
    </xf>
    <xf numFmtId="0" fontId="26" fillId="0" borderId="0" xfId="4" quotePrefix="1" applyFont="1" applyAlignment="1">
      <alignment vertical="top"/>
    </xf>
    <xf numFmtId="5" fontId="18" fillId="0" borderId="0" xfId="4" applyNumberFormat="1" applyFont="1" applyAlignment="1">
      <alignment vertical="top"/>
    </xf>
    <xf numFmtId="5" fontId="20" fillId="0" borderId="8" xfId="4" applyNumberFormat="1" applyFont="1" applyBorder="1" applyAlignment="1">
      <alignment horizontal="centerContinuous"/>
    </xf>
    <xf numFmtId="5" fontId="26" fillId="0" borderId="8" xfId="4" applyNumberFormat="1" applyFont="1" applyBorder="1" applyAlignment="1">
      <alignment horizontal="left" vertical="top"/>
    </xf>
    <xf numFmtId="5" fontId="18" fillId="0" borderId="8" xfId="4" applyNumberFormat="1" applyFont="1" applyBorder="1" applyAlignment="1">
      <alignment horizontal="center" vertical="top"/>
    </xf>
    <xf numFmtId="5" fontId="26" fillId="0" borderId="8" xfId="4" applyNumberFormat="1" applyFont="1" applyBorder="1" applyAlignment="1">
      <alignment vertical="top"/>
    </xf>
    <xf numFmtId="0" fontId="26" fillId="0" borderId="8" xfId="4" quotePrefix="1" applyFont="1" applyBorder="1" applyAlignment="1">
      <alignment vertical="top"/>
    </xf>
    <xf numFmtId="0" fontId="0" fillId="0" borderId="122" xfId="0" applyBorder="1"/>
    <xf numFmtId="5" fontId="20" fillId="0" borderId="0" xfId="4" applyNumberFormat="1" applyFont="1"/>
    <xf numFmtId="5" fontId="20" fillId="0" borderId="122" xfId="4" applyNumberFormat="1" applyFont="1" applyBorder="1"/>
    <xf numFmtId="5" fontId="18" fillId="0" borderId="0" xfId="4" applyNumberFormat="1" applyFont="1" applyAlignment="1">
      <alignment horizontal="right" vertical="top"/>
    </xf>
    <xf numFmtId="5" fontId="0" fillId="0" borderId="0" xfId="0" applyNumberFormat="1" applyAlignment="1">
      <alignment vertical="top" wrapText="1"/>
    </xf>
    <xf numFmtId="5" fontId="25" fillId="0" borderId="0" xfId="0" applyNumberFormat="1" applyFont="1" applyAlignment="1">
      <alignment horizontal="left" vertical="top"/>
    </xf>
    <xf numFmtId="0" fontId="0" fillId="0" borderId="118" xfId="0" applyBorder="1"/>
    <xf numFmtId="0" fontId="0" fillId="0" borderId="120" xfId="0" applyBorder="1"/>
    <xf numFmtId="0" fontId="0" fillId="0" borderId="123" xfId="0" applyBorder="1"/>
    <xf numFmtId="170" fontId="0" fillId="0" borderId="120" xfId="2" applyNumberFormat="1" applyFont="1" applyBorder="1"/>
    <xf numFmtId="170" fontId="0" fillId="0" borderId="120" xfId="2" applyNumberFormat="1" applyFont="1" applyBorder="1" applyAlignment="1">
      <alignment vertical="top"/>
    </xf>
    <xf numFmtId="170" fontId="26" fillId="0" borderId="120" xfId="2" applyNumberFormat="1" applyFont="1" applyBorder="1" applyAlignment="1">
      <alignment horizontal="right"/>
    </xf>
    <xf numFmtId="168" fontId="0" fillId="0" borderId="120" xfId="0" applyNumberFormat="1" applyBorder="1"/>
    <xf numFmtId="10" fontId="0" fillId="0" borderId="0" xfId="0" applyNumberFormat="1"/>
    <xf numFmtId="42" fontId="20" fillId="18" borderId="0" xfId="0" applyNumberFormat="1" applyFont="1" applyFill="1"/>
    <xf numFmtId="42" fontId="20" fillId="18" borderId="11" xfId="0" applyNumberFormat="1" applyFont="1" applyFill="1" applyBorder="1"/>
    <xf numFmtId="42" fontId="0" fillId="18" borderId="0" xfId="0" applyNumberFormat="1" applyFill="1"/>
    <xf numFmtId="0" fontId="0" fillId="18" borderId="35" xfId="0" applyFill="1" applyBorder="1"/>
    <xf numFmtId="0" fontId="0" fillId="18" borderId="0" xfId="0" applyFill="1"/>
    <xf numFmtId="0" fontId="16" fillId="0" borderId="159" xfId="5" applyFont="1" applyBorder="1" applyAlignment="1">
      <alignment horizontal="center" vertical="top" wrapText="1"/>
    </xf>
    <xf numFmtId="14" fontId="26" fillId="25" borderId="161" xfId="0" applyNumberFormat="1" applyFont="1" applyFill="1" applyBorder="1" applyAlignment="1" applyProtection="1">
      <alignment horizontal="left" vertical="top"/>
      <protection locked="0"/>
    </xf>
    <xf numFmtId="0" fontId="20" fillId="25" borderId="160" xfId="0" applyFont="1" applyFill="1" applyBorder="1" applyAlignment="1" applyProtection="1">
      <alignment horizontal="center"/>
      <protection locked="0"/>
    </xf>
    <xf numFmtId="0" fontId="20" fillId="25" borderId="162" xfId="0" applyFont="1" applyFill="1" applyBorder="1" applyAlignment="1" applyProtection="1">
      <alignment horizontal="center"/>
      <protection locked="0"/>
    </xf>
    <xf numFmtId="164" fontId="0" fillId="25" borderId="160" xfId="3" applyNumberFormat="1" applyFont="1" applyFill="1" applyBorder="1" applyAlignment="1" applyProtection="1">
      <alignment horizontal="center"/>
      <protection locked="0"/>
    </xf>
    <xf numFmtId="10" fontId="0" fillId="25" borderId="161" xfId="3" applyNumberFormat="1" applyFont="1" applyFill="1" applyBorder="1" applyAlignment="1" applyProtection="1">
      <alignment horizontal="center"/>
      <protection locked="0"/>
    </xf>
    <xf numFmtId="164" fontId="0" fillId="25" borderId="161" xfId="3" applyNumberFormat="1" applyFont="1" applyFill="1" applyBorder="1" applyAlignment="1" applyProtection="1">
      <alignment horizontal="center"/>
      <protection locked="0"/>
    </xf>
    <xf numFmtId="43" fontId="19" fillId="25" borderId="160" xfId="1" applyFont="1" applyFill="1" applyBorder="1" applyProtection="1">
      <protection locked="0"/>
    </xf>
    <xf numFmtId="43" fontId="19" fillId="25" borderId="161" xfId="1" applyFont="1" applyFill="1" applyBorder="1" applyProtection="1">
      <protection locked="0"/>
    </xf>
    <xf numFmtId="0" fontId="19" fillId="25" borderId="161" xfId="0" applyFont="1" applyFill="1" applyBorder="1" applyProtection="1">
      <protection locked="0"/>
    </xf>
    <xf numFmtId="164" fontId="0" fillId="25" borderId="160" xfId="3" applyNumberFormat="1" applyFont="1" applyFill="1" applyBorder="1" applyAlignment="1" applyProtection="1">
      <alignment horizontal="center" vertical="top"/>
      <protection locked="0"/>
    </xf>
    <xf numFmtId="164" fontId="0" fillId="0" borderId="0" xfId="3" applyNumberFormat="1" applyFont="1" applyFill="1" applyAlignment="1">
      <alignment vertical="top"/>
    </xf>
    <xf numFmtId="164" fontId="0" fillId="25" borderId="161" xfId="3" applyNumberFormat="1" applyFont="1" applyFill="1" applyBorder="1" applyAlignment="1" applyProtection="1">
      <alignment horizontal="center" vertical="top"/>
      <protection locked="0"/>
    </xf>
    <xf numFmtId="170" fontId="19" fillId="25" borderId="163" xfId="2" applyNumberFormat="1" applyFill="1" applyBorder="1" applyAlignment="1" applyProtection="1">
      <alignment vertical="top" wrapText="1"/>
      <protection locked="0"/>
    </xf>
    <xf numFmtId="170" fontId="19" fillId="25" borderId="164" xfId="2" applyNumberFormat="1" applyFill="1" applyBorder="1" applyAlignment="1" applyProtection="1">
      <alignment vertical="top" wrapText="1"/>
      <protection locked="0"/>
    </xf>
    <xf numFmtId="0" fontId="0" fillId="25" borderId="164" xfId="0" applyFill="1" applyBorder="1" applyAlignment="1" applyProtection="1">
      <alignment vertical="top" wrapText="1"/>
      <protection locked="0"/>
    </xf>
    <xf numFmtId="170" fontId="19" fillId="25" borderId="164" xfId="2" applyNumberFormat="1" applyFont="1" applyFill="1" applyBorder="1" applyAlignment="1" applyProtection="1">
      <alignment vertical="top" wrapText="1"/>
      <protection locked="0"/>
    </xf>
    <xf numFmtId="170" fontId="20" fillId="25" borderId="164" xfId="2" applyNumberFormat="1" applyFont="1" applyFill="1" applyBorder="1" applyAlignment="1" applyProtection="1">
      <alignment vertical="top" wrapText="1"/>
      <protection locked="0"/>
    </xf>
    <xf numFmtId="170" fontId="19" fillId="25" borderId="161" xfId="2" applyNumberFormat="1" applyFill="1" applyBorder="1" applyAlignment="1" applyProtection="1">
      <alignment vertical="top" wrapText="1"/>
      <protection locked="0"/>
    </xf>
    <xf numFmtId="170" fontId="19" fillId="25" borderId="165" xfId="2" applyNumberFormat="1" applyFill="1" applyBorder="1" applyAlignment="1" applyProtection="1">
      <alignment vertical="top" wrapText="1"/>
      <protection locked="0"/>
    </xf>
    <xf numFmtId="0" fontId="18" fillId="0" borderId="16" xfId="0" applyFont="1" applyBorder="1" applyAlignment="1">
      <alignment horizontal="center" vertical="top" wrapText="1"/>
    </xf>
    <xf numFmtId="0" fontId="19" fillId="25" borderId="160" xfId="0" applyFont="1" applyFill="1" applyBorder="1" applyAlignment="1" applyProtection="1">
      <alignment horizontal="left" vertical="top"/>
      <protection locked="0"/>
    </xf>
    <xf numFmtId="0" fontId="19" fillId="25" borderId="161" xfId="0" applyFont="1" applyFill="1" applyBorder="1" applyAlignment="1" applyProtection="1">
      <alignment horizontal="left" vertical="top"/>
      <protection locked="0"/>
    </xf>
    <xf numFmtId="0" fontId="19" fillId="0" borderId="6" xfId="0" applyFont="1" applyBorder="1"/>
    <xf numFmtId="0" fontId="19" fillId="3" borderId="0" xfId="0" applyFont="1" applyFill="1" applyAlignment="1">
      <alignment horizontal="left"/>
    </xf>
    <xf numFmtId="0" fontId="19" fillId="3" borderId="0" xfId="0" applyFont="1" applyFill="1" applyAlignment="1">
      <alignment horizontal="center"/>
    </xf>
    <xf numFmtId="0" fontId="0" fillId="3" borderId="0" xfId="0" applyFill="1" applyAlignment="1">
      <alignment horizontal="center"/>
    </xf>
    <xf numFmtId="42" fontId="108" fillId="25" borderId="157" xfId="32" applyNumberFormat="1" applyFont="1" applyFill="1" applyBorder="1" applyAlignment="1" applyProtection="1">
      <alignment horizontal="left" vertical="top" wrapText="1"/>
      <protection locked="0"/>
    </xf>
    <xf numFmtId="42" fontId="107" fillId="0" borderId="13" xfId="31" applyNumberFormat="1" applyFont="1" applyBorder="1" applyAlignment="1">
      <alignment vertical="top"/>
    </xf>
    <xf numFmtId="42" fontId="109" fillId="0" borderId="55" xfId="32" applyNumberFormat="1" applyFont="1" applyBorder="1" applyAlignment="1">
      <alignment vertical="top" wrapText="1"/>
    </xf>
    <xf numFmtId="42" fontId="108" fillId="0" borderId="53" xfId="32" applyNumberFormat="1" applyFont="1" applyBorder="1" applyAlignment="1">
      <alignment horizontal="left" vertical="top" wrapText="1"/>
    </xf>
    <xf numFmtId="42" fontId="108" fillId="25" borderId="66" xfId="32" applyNumberFormat="1" applyFont="1" applyFill="1" applyBorder="1" applyAlignment="1" applyProtection="1">
      <alignment horizontal="left" vertical="top" wrapText="1"/>
      <protection locked="0"/>
    </xf>
    <xf numFmtId="42" fontId="107" fillId="0" borderId="0" xfId="31" applyNumberFormat="1" applyFont="1" applyAlignment="1">
      <alignment vertical="top"/>
    </xf>
    <xf numFmtId="42" fontId="105" fillId="25" borderId="62" xfId="32" applyNumberFormat="1" applyFont="1" applyFill="1" applyBorder="1" applyAlignment="1" applyProtection="1">
      <alignment vertical="top" wrapText="1"/>
      <protection locked="0"/>
    </xf>
    <xf numFmtId="42" fontId="19" fillId="0" borderId="0" xfId="32" applyNumberFormat="1" applyFont="1" applyBorder="1" applyAlignment="1" applyProtection="1">
      <alignment vertical="top"/>
      <protection locked="0"/>
    </xf>
    <xf numFmtId="42" fontId="20" fillId="0" borderId="0" xfId="32" applyNumberFormat="1" applyFont="1" applyBorder="1" applyAlignment="1" applyProtection="1">
      <alignment vertical="top"/>
      <protection locked="0"/>
    </xf>
    <xf numFmtId="42" fontId="108" fillId="25" borderId="55" xfId="32" applyNumberFormat="1" applyFont="1" applyFill="1" applyBorder="1" applyAlignment="1" applyProtection="1">
      <alignment horizontal="left" vertical="top" wrapText="1"/>
      <protection locked="0"/>
    </xf>
    <xf numFmtId="42" fontId="109" fillId="25" borderId="55" xfId="32" applyNumberFormat="1" applyFont="1" applyFill="1" applyBorder="1" applyAlignment="1" applyProtection="1">
      <alignment vertical="top" wrapText="1"/>
      <protection locked="0"/>
    </xf>
    <xf numFmtId="42" fontId="109" fillId="0" borderId="53" xfId="32" applyNumberFormat="1" applyFont="1" applyBorder="1" applyAlignment="1">
      <alignment vertical="top" wrapText="1"/>
    </xf>
    <xf numFmtId="42" fontId="105" fillId="25" borderId="66" xfId="32" applyNumberFormat="1" applyFont="1" applyFill="1" applyBorder="1" applyAlignment="1" applyProtection="1">
      <alignment vertical="top" wrapText="1"/>
      <protection locked="0"/>
    </xf>
    <xf numFmtId="42" fontId="107" fillId="0" borderId="15" xfId="31" applyNumberFormat="1" applyFont="1" applyBorder="1" applyAlignment="1">
      <alignment vertical="top"/>
    </xf>
    <xf numFmtId="0" fontId="4" fillId="0" borderId="0" xfId="31" applyAlignment="1">
      <alignment vertical="top"/>
    </xf>
    <xf numFmtId="0" fontId="109" fillId="13" borderId="0" xfId="31" applyFont="1" applyFill="1" applyAlignment="1">
      <alignment horizontal="centerContinuous" vertical="top"/>
    </xf>
    <xf numFmtId="0" fontId="106" fillId="13" borderId="0" xfId="31" applyFont="1" applyFill="1" applyAlignment="1">
      <alignment horizontal="centerContinuous" vertical="top" wrapText="1"/>
    </xf>
    <xf numFmtId="0" fontId="20" fillId="3" borderId="0" xfId="0" applyFont="1" applyFill="1"/>
    <xf numFmtId="14" fontId="101" fillId="0" borderId="0" xfId="10" applyNumberFormat="1" applyFont="1" applyAlignment="1">
      <alignment horizontal="left" vertical="center"/>
    </xf>
    <xf numFmtId="0" fontId="101" fillId="0" borderId="0" xfId="10" applyFont="1" applyAlignment="1">
      <alignment horizontal="left" vertical="center"/>
    </xf>
    <xf numFmtId="0" fontId="85" fillId="0" borderId="0" xfId="39" applyFont="1" applyAlignment="1">
      <alignment horizontal="center" vertical="center"/>
    </xf>
    <xf numFmtId="0" fontId="85" fillId="12" borderId="170" xfId="39" applyFont="1" applyFill="1" applyBorder="1" applyAlignment="1">
      <alignment horizontal="center" vertical="center" wrapText="1"/>
    </xf>
    <xf numFmtId="181" fontId="85" fillId="12" borderId="170" xfId="39" applyNumberFormat="1" applyFont="1" applyFill="1" applyBorder="1" applyAlignment="1">
      <alignment horizontal="center" vertical="center" wrapText="1"/>
    </xf>
    <xf numFmtId="179" fontId="85" fillId="12" borderId="170" xfId="39" applyNumberFormat="1" applyFont="1" applyFill="1" applyBorder="1" applyAlignment="1">
      <alignment horizontal="center" vertical="center" textRotation="90" wrapText="1"/>
    </xf>
    <xf numFmtId="0" fontId="85" fillId="0" borderId="172" xfId="39" applyFont="1" applyBorder="1" applyAlignment="1">
      <alignment horizontal="center" vertical="center"/>
    </xf>
    <xf numFmtId="0" fontId="85" fillId="0" borderId="173" xfId="39" applyFont="1" applyBorder="1" applyAlignment="1">
      <alignment horizontal="center" vertical="center"/>
    </xf>
    <xf numFmtId="14" fontId="19" fillId="25" borderId="161" xfId="1" applyNumberFormat="1" applyFont="1" applyFill="1" applyBorder="1" applyAlignment="1" applyProtection="1">
      <alignment horizontal="center"/>
      <protection locked="0"/>
    </xf>
    <xf numFmtId="0" fontId="15" fillId="25" borderId="0" xfId="0" applyFont="1" applyFill="1" applyAlignment="1" applyProtection="1">
      <alignment horizontal="center"/>
      <protection locked="0"/>
    </xf>
    <xf numFmtId="168" fontId="0" fillId="0" borderId="0" xfId="1" applyNumberFormat="1" applyFont="1" applyAlignment="1" applyProtection="1">
      <alignment horizontal="center"/>
    </xf>
    <xf numFmtId="178" fontId="20" fillId="18" borderId="13" xfId="0" applyNumberFormat="1" applyFont="1" applyFill="1" applyBorder="1" applyAlignment="1">
      <alignment horizontal="centerContinuous" vertical="top"/>
    </xf>
    <xf numFmtId="168" fontId="19" fillId="0" borderId="78" xfId="2" applyNumberFormat="1" applyFont="1" applyFill="1" applyBorder="1" applyAlignment="1">
      <alignment horizontal="center" vertical="top"/>
    </xf>
    <xf numFmtId="178" fontId="20" fillId="0" borderId="181" xfId="0" applyNumberFormat="1" applyFont="1" applyBorder="1" applyAlignment="1">
      <alignment horizontal="center"/>
    </xf>
    <xf numFmtId="166" fontId="19" fillId="0" borderId="182" xfId="1" applyNumberFormat="1" applyBorder="1" applyAlignment="1">
      <alignment horizontal="center"/>
    </xf>
    <xf numFmtId="166" fontId="0" fillId="0" borderId="41" xfId="0" applyNumberFormat="1" applyBorder="1"/>
    <xf numFmtId="170" fontId="18" fillId="33" borderId="0" xfId="22" applyNumberFormat="1" applyFont="1" applyFill="1" applyBorder="1" applyAlignment="1">
      <alignment vertical="top"/>
    </xf>
    <xf numFmtId="170" fontId="26" fillId="33" borderId="0" xfId="22" applyNumberFormat="1" applyFont="1" applyFill="1" applyBorder="1" applyAlignment="1">
      <alignment vertical="top"/>
    </xf>
    <xf numFmtId="170" fontId="26" fillId="33" borderId="0" xfId="22" quotePrefix="1" applyNumberFormat="1" applyFont="1" applyFill="1" applyBorder="1" applyAlignment="1">
      <alignment vertical="top"/>
    </xf>
    <xf numFmtId="170" fontId="18" fillId="33" borderId="0" xfId="20" applyNumberFormat="1" applyFont="1" applyFill="1" applyAlignment="1">
      <alignment vertical="top"/>
    </xf>
    <xf numFmtId="168" fontId="0" fillId="33" borderId="0" xfId="0" applyNumberFormat="1" applyFill="1" applyAlignment="1">
      <alignment horizontal="center" vertical="top"/>
    </xf>
    <xf numFmtId="166" fontId="0" fillId="23" borderId="0" xfId="1" applyNumberFormat="1" applyFont="1" applyFill="1" applyAlignment="1" applyProtection="1">
      <alignment vertical="top"/>
    </xf>
    <xf numFmtId="166" fontId="0" fillId="0" borderId="4" xfId="0" applyNumberFormat="1" applyBorder="1" applyAlignment="1">
      <alignment vertical="top"/>
    </xf>
    <xf numFmtId="166" fontId="0" fillId="25" borderId="4" xfId="0" applyNumberFormat="1" applyFill="1" applyBorder="1" applyAlignment="1" applyProtection="1">
      <alignment vertical="top"/>
      <protection locked="0"/>
    </xf>
    <xf numFmtId="166" fontId="20" fillId="0" borderId="4" xfId="0" applyNumberFormat="1" applyFont="1" applyBorder="1" applyAlignment="1">
      <alignment vertical="top"/>
    </xf>
    <xf numFmtId="166" fontId="0" fillId="25" borderId="4" xfId="2" applyNumberFormat="1" applyFont="1" applyFill="1" applyBorder="1" applyAlignment="1" applyProtection="1">
      <alignment vertical="top"/>
      <protection locked="0"/>
    </xf>
    <xf numFmtId="0" fontId="71" fillId="9" borderId="166" xfId="10" applyFont="1" applyFill="1" applyBorder="1" applyAlignment="1">
      <alignment horizontal="center" vertical="center"/>
    </xf>
    <xf numFmtId="0" fontId="71" fillId="9" borderId="167" xfId="10" applyFont="1" applyFill="1" applyBorder="1" applyAlignment="1">
      <alignment horizontal="center" vertical="center"/>
    </xf>
    <xf numFmtId="0" fontId="20" fillId="9" borderId="171" xfId="10" applyFont="1" applyFill="1" applyBorder="1" applyAlignment="1">
      <alignment horizontal="left" vertical="center"/>
    </xf>
    <xf numFmtId="0" fontId="71" fillId="9" borderId="167" xfId="10" applyFont="1" applyFill="1" applyBorder="1" applyAlignment="1">
      <alignment horizontal="left" vertical="center"/>
    </xf>
    <xf numFmtId="0" fontId="20" fillId="9" borderId="167" xfId="10" applyFont="1" applyFill="1" applyBorder="1" applyAlignment="1">
      <alignment horizontal="left" vertical="center"/>
    </xf>
    <xf numFmtId="0" fontId="83" fillId="9" borderId="167" xfId="10" applyFont="1" applyFill="1" applyBorder="1" applyAlignment="1">
      <alignment horizontal="left" vertical="center"/>
    </xf>
    <xf numFmtId="14" fontId="20" fillId="9" borderId="167" xfId="10" applyNumberFormat="1" applyFont="1" applyFill="1" applyBorder="1" applyAlignment="1">
      <alignment horizontal="left" vertical="center"/>
    </xf>
    <xf numFmtId="0" fontId="20" fillId="9" borderId="168" xfId="10" applyFont="1" applyFill="1" applyBorder="1" applyAlignment="1">
      <alignment horizontal="left" vertical="center"/>
    </xf>
    <xf numFmtId="0" fontId="71" fillId="0" borderId="169" xfId="10" applyFont="1" applyBorder="1" applyAlignment="1">
      <alignment horizontal="center" vertical="center"/>
    </xf>
    <xf numFmtId="0" fontId="71" fillId="0" borderId="0" xfId="10" applyFont="1" applyAlignment="1">
      <alignment horizontal="center" vertical="center"/>
    </xf>
    <xf numFmtId="0" fontId="20" fillId="0" borderId="0" xfId="10" applyFont="1" applyAlignment="1">
      <alignment horizontal="left" vertical="center"/>
    </xf>
    <xf numFmtId="0" fontId="71" fillId="0" borderId="0" xfId="10" applyFont="1" applyAlignment="1">
      <alignment horizontal="left" vertical="center"/>
    </xf>
    <xf numFmtId="0" fontId="83" fillId="0" borderId="0" xfId="10" applyFont="1" applyAlignment="1">
      <alignment horizontal="left" vertical="center"/>
    </xf>
    <xf numFmtId="14" fontId="20" fillId="0" borderId="0" xfId="10" applyNumberFormat="1" applyFont="1" applyAlignment="1">
      <alignment horizontal="left" vertical="center"/>
    </xf>
    <xf numFmtId="0" fontId="20" fillId="0" borderId="172" xfId="10" applyFont="1" applyBorder="1" applyAlignment="1">
      <alignment horizontal="left" vertical="center"/>
    </xf>
    <xf numFmtId="0" fontId="101" fillId="0" borderId="5" xfId="10" applyFont="1" applyBorder="1" applyAlignment="1">
      <alignment horizontal="left" vertical="center"/>
    </xf>
    <xf numFmtId="14" fontId="101" fillId="0" borderId="6" xfId="10" applyNumberFormat="1" applyFont="1" applyBorder="1" applyAlignment="1">
      <alignment horizontal="left" vertical="center"/>
    </xf>
    <xf numFmtId="14" fontId="101" fillId="0" borderId="7" xfId="10" applyNumberFormat="1" applyFont="1" applyBorder="1" applyAlignment="1">
      <alignment horizontal="left" vertical="center"/>
    </xf>
    <xf numFmtId="0" fontId="19" fillId="0" borderId="172" xfId="10" applyBorder="1" applyAlignment="1">
      <alignment horizontal="center"/>
    </xf>
    <xf numFmtId="0" fontId="85" fillId="0" borderId="8" xfId="39" applyFont="1" applyBorder="1" applyAlignment="1">
      <alignment horizontal="center" vertical="center" wrapText="1"/>
    </xf>
    <xf numFmtId="181" fontId="85" fillId="0" borderId="0" xfId="39" applyNumberFormat="1" applyFont="1" applyAlignment="1">
      <alignment horizontal="center" vertical="center" wrapText="1"/>
    </xf>
    <xf numFmtId="181" fontId="85" fillId="0" borderId="9" xfId="39" applyNumberFormat="1" applyFont="1" applyBorder="1" applyAlignment="1">
      <alignment horizontal="center" vertical="center" wrapText="1"/>
    </xf>
    <xf numFmtId="179" fontId="85" fillId="0" borderId="0" xfId="39" applyNumberFormat="1" applyFont="1" applyAlignment="1">
      <alignment horizontal="center" vertical="center" textRotation="90" wrapText="1"/>
    </xf>
    <xf numFmtId="0" fontId="19" fillId="9" borderId="8" xfId="10" applyFill="1" applyBorder="1" applyAlignment="1">
      <alignment horizontal="left" vertical="center"/>
    </xf>
    <xf numFmtId="0" fontId="19" fillId="9" borderId="0" xfId="10" applyFill="1" applyAlignment="1">
      <alignment horizontal="left" vertical="center"/>
    </xf>
    <xf numFmtId="0" fontId="19" fillId="9" borderId="9" xfId="10" applyFill="1" applyBorder="1" applyAlignment="1">
      <alignment horizontal="left" vertical="center"/>
    </xf>
    <xf numFmtId="0" fontId="20" fillId="9" borderId="0" xfId="10" applyFont="1" applyFill="1" applyAlignment="1">
      <alignment horizontal="left" vertical="center"/>
    </xf>
    <xf numFmtId="0" fontId="71" fillId="9" borderId="0" xfId="10" applyFont="1" applyFill="1" applyAlignment="1">
      <alignment horizontal="left" vertical="center"/>
    </xf>
    <xf numFmtId="0" fontId="83" fillId="9" borderId="0" xfId="10" applyFont="1" applyFill="1" applyAlignment="1">
      <alignment horizontal="left" vertical="center"/>
    </xf>
    <xf numFmtId="14" fontId="20" fillId="9" borderId="0" xfId="10" applyNumberFormat="1" applyFont="1" applyFill="1" applyAlignment="1">
      <alignment horizontal="left" vertical="center"/>
    </xf>
    <xf numFmtId="0" fontId="20" fillId="9" borderId="172" xfId="10" applyFont="1" applyFill="1" applyBorder="1" applyAlignment="1">
      <alignment horizontal="left" vertical="center"/>
    </xf>
    <xf numFmtId="0" fontId="71" fillId="0" borderId="8" xfId="10" applyFont="1" applyBorder="1" applyAlignment="1">
      <alignment horizontal="center" vertical="center"/>
    </xf>
    <xf numFmtId="0" fontId="71" fillId="0" borderId="9" xfId="10" applyFont="1" applyBorder="1" applyAlignment="1">
      <alignment horizontal="center" vertical="center"/>
    </xf>
    <xf numFmtId="0" fontId="101" fillId="0" borderId="8" xfId="10" applyFont="1" applyBorder="1" applyAlignment="1">
      <alignment horizontal="left" vertical="center"/>
    </xf>
    <xf numFmtId="14" fontId="101" fillId="0" borderId="9" xfId="10" applyNumberFormat="1" applyFont="1" applyBorder="1" applyAlignment="1">
      <alignment horizontal="left" vertical="center"/>
    </xf>
    <xf numFmtId="0" fontId="101" fillId="0" borderId="10" xfId="10" applyFont="1" applyBorder="1" applyAlignment="1">
      <alignment horizontal="left" vertical="center"/>
    </xf>
    <xf numFmtId="14" fontId="101" fillId="0" borderId="11" xfId="10" applyNumberFormat="1" applyFont="1" applyBorder="1" applyAlignment="1">
      <alignment horizontal="left" vertical="center"/>
    </xf>
    <xf numFmtId="14" fontId="101" fillId="0" borderId="12" xfId="10" applyNumberFormat="1" applyFont="1" applyBorder="1" applyAlignment="1">
      <alignment horizontal="left" vertical="center"/>
    </xf>
    <xf numFmtId="0" fontId="19" fillId="0" borderId="173" xfId="10" applyBorder="1" applyAlignment="1">
      <alignment horizontal="center"/>
    </xf>
    <xf numFmtId="0" fontId="19" fillId="0" borderId="174" xfId="10" applyBorder="1" applyAlignment="1">
      <alignment horizontal="center"/>
    </xf>
    <xf numFmtId="49" fontId="26" fillId="25" borderId="161" xfId="1" applyNumberFormat="1" applyFont="1" applyFill="1" applyBorder="1" applyAlignment="1" applyProtection="1">
      <alignment horizontal="left" vertical="top"/>
      <protection locked="0"/>
    </xf>
    <xf numFmtId="178" fontId="0" fillId="0" borderId="11" xfId="0" applyNumberFormat="1" applyBorder="1"/>
    <xf numFmtId="0" fontId="125" fillId="0" borderId="0" xfId="0" applyFont="1"/>
    <xf numFmtId="2" fontId="125" fillId="0" borderId="0" xfId="0" applyNumberFormat="1" applyFont="1"/>
    <xf numFmtId="164" fontId="26" fillId="25" borderId="0" xfId="19" applyNumberFormat="1" applyFont="1" applyFill="1" applyBorder="1" applyAlignment="1" applyProtection="1">
      <alignment vertical="top"/>
      <protection locked="0"/>
    </xf>
    <xf numFmtId="170" fontId="26" fillId="25" borderId="2" xfId="22" quotePrefix="1" applyNumberFormat="1" applyFont="1" applyFill="1" applyBorder="1" applyAlignment="1">
      <alignment vertical="top"/>
    </xf>
    <xf numFmtId="170" fontId="18" fillId="0" borderId="4" xfId="22" applyNumberFormat="1" applyFont="1" applyBorder="1" applyAlignment="1">
      <alignment horizontal="center" vertical="top"/>
    </xf>
    <xf numFmtId="0" fontId="74" fillId="25" borderId="35" xfId="20" applyFill="1" applyBorder="1" applyAlignment="1">
      <alignment vertical="top" wrapText="1"/>
    </xf>
    <xf numFmtId="14" fontId="0" fillId="35" borderId="4" xfId="0" applyNumberFormat="1" applyFill="1" applyBorder="1" applyAlignment="1" applyProtection="1">
      <alignment horizontal="center" vertical="center"/>
      <protection locked="0"/>
    </xf>
    <xf numFmtId="14" fontId="19" fillId="35" borderId="4" xfId="0" applyNumberFormat="1" applyFont="1" applyFill="1" applyBorder="1" applyAlignment="1" applyProtection="1">
      <alignment horizontal="center" vertical="center"/>
      <protection locked="0"/>
    </xf>
    <xf numFmtId="0" fontId="19" fillId="35" borderId="4" xfId="0" applyFont="1" applyFill="1" applyBorder="1" applyAlignment="1" applyProtection="1">
      <alignment wrapText="1"/>
      <protection locked="0"/>
    </xf>
    <xf numFmtId="0" fontId="19" fillId="25" borderId="23" xfId="0" applyFont="1" applyFill="1" applyBorder="1" applyAlignment="1">
      <alignment vertical="top" wrapText="1"/>
    </xf>
    <xf numFmtId="10" fontId="90" fillId="15" borderId="0" xfId="3" applyNumberFormat="1" applyFont="1" applyFill="1"/>
    <xf numFmtId="10" fontId="1" fillId="25" borderId="4" xfId="3" applyNumberFormat="1" applyFont="1" applyFill="1" applyBorder="1" applyProtection="1">
      <protection locked="0"/>
    </xf>
    <xf numFmtId="10" fontId="1" fillId="25" borderId="4" xfId="3" applyNumberFormat="1" applyFont="1" applyFill="1" applyBorder="1"/>
    <xf numFmtId="0" fontId="126" fillId="42" borderId="183" xfId="94" applyFont="1" applyFill="1" applyBorder="1" applyAlignment="1">
      <alignment horizontal="center"/>
    </xf>
    <xf numFmtId="0" fontId="0" fillId="0" borderId="0" xfId="0" applyAlignment="1">
      <alignment horizontal="left" vertical="center"/>
    </xf>
    <xf numFmtId="14" fontId="0" fillId="0" borderId="0" xfId="0" applyNumberFormat="1" applyAlignment="1">
      <alignment horizontal="left" vertical="center"/>
    </xf>
    <xf numFmtId="7" fontId="0" fillId="0" borderId="0" xfId="0" applyNumberFormat="1" applyAlignment="1">
      <alignment horizontal="left" vertical="center"/>
    </xf>
    <xf numFmtId="0" fontId="26" fillId="25" borderId="161" xfId="1" applyNumberFormat="1" applyFont="1" applyFill="1" applyBorder="1" applyAlignment="1" applyProtection="1">
      <alignment horizontal="left" vertical="top"/>
      <protection locked="0"/>
    </xf>
    <xf numFmtId="0" fontId="26" fillId="25" borderId="161" xfId="1" applyNumberFormat="1" applyFont="1" applyFill="1" applyBorder="1" applyAlignment="1" applyProtection="1">
      <alignment horizontal="left" vertical="top" wrapText="1"/>
      <protection locked="0"/>
    </xf>
    <xf numFmtId="0" fontId="26" fillId="25" borderId="160" xfId="1" applyNumberFormat="1" applyFont="1" applyFill="1" applyBorder="1" applyAlignment="1" applyProtection="1">
      <alignment horizontal="left" vertical="top"/>
      <protection locked="0"/>
    </xf>
    <xf numFmtId="0" fontId="26" fillId="25" borderId="161" xfId="4" applyFont="1" applyFill="1" applyBorder="1" applyAlignment="1" applyProtection="1">
      <alignment horizontal="left" vertical="top"/>
      <protection locked="0"/>
    </xf>
    <xf numFmtId="177" fontId="0" fillId="0" borderId="6" xfId="0" applyNumberFormat="1" applyBorder="1"/>
    <xf numFmtId="44" fontId="19" fillId="0" borderId="78" xfId="2" quotePrefix="1" applyFill="1" applyBorder="1" applyAlignment="1">
      <alignment horizontal="center" vertical="top"/>
    </xf>
    <xf numFmtId="0" fontId="15" fillId="7" borderId="0" xfId="0" applyFont="1" applyFill="1"/>
    <xf numFmtId="0" fontId="15" fillId="0" borderId="11" xfId="0" applyFont="1" applyBorder="1" applyAlignment="1">
      <alignment horizontal="center"/>
    </xf>
    <xf numFmtId="166" fontId="15" fillId="0" borderId="0" xfId="95" applyNumberFormat="1" applyFont="1" applyFill="1" applyAlignment="1">
      <alignment horizontal="center"/>
    </xf>
    <xf numFmtId="166" fontId="15" fillId="21" borderId="0" xfId="95" applyNumberFormat="1" applyFont="1" applyFill="1" applyAlignment="1"/>
    <xf numFmtId="0" fontId="0" fillId="21" borderId="0" xfId="0" applyFill="1" applyAlignment="1">
      <alignment horizontal="center"/>
    </xf>
    <xf numFmtId="1" fontId="0" fillId="0" borderId="0" xfId="0" applyNumberFormat="1" applyAlignment="1">
      <alignment horizontal="center"/>
    </xf>
    <xf numFmtId="44" fontId="0" fillId="0" borderId="0" xfId="2" applyFont="1" applyAlignment="1">
      <alignment horizontal="center"/>
    </xf>
    <xf numFmtId="0" fontId="0" fillId="43" borderId="0" xfId="0" applyFill="1" applyAlignment="1">
      <alignment horizontal="center" wrapText="1"/>
    </xf>
    <xf numFmtId="44" fontId="0" fillId="25" borderId="0" xfId="2" applyFont="1" applyFill="1" applyAlignment="1">
      <alignment horizontal="center"/>
    </xf>
    <xf numFmtId="164" fontId="0" fillId="25" borderId="0" xfId="3" applyNumberFormat="1" applyFont="1" applyFill="1"/>
    <xf numFmtId="43" fontId="0" fillId="0" borderId="0" xfId="1" applyFont="1" applyAlignment="1">
      <alignment horizontal="center"/>
    </xf>
    <xf numFmtId="43" fontId="15" fillId="0" borderId="0" xfId="1" applyFont="1" applyAlignment="1">
      <alignment horizontal="center"/>
    </xf>
    <xf numFmtId="0" fontId="0" fillId="43" borderId="184" xfId="0" applyFill="1" applyBorder="1"/>
    <xf numFmtId="0" fontId="0" fillId="43" borderId="185" xfId="0" applyFill="1" applyBorder="1"/>
    <xf numFmtId="0" fontId="0" fillId="43" borderId="186" xfId="0" applyFill="1" applyBorder="1"/>
    <xf numFmtId="5" fontId="18" fillId="0" borderId="124" xfId="4" applyNumberFormat="1" applyFont="1" applyBorder="1" applyAlignment="1">
      <alignment horizontal="left" vertical="top"/>
    </xf>
    <xf numFmtId="182" fontId="96" fillId="25" borderId="4" xfId="1" applyNumberFormat="1" applyFont="1" applyFill="1" applyBorder="1" applyAlignment="1">
      <alignment vertical="top"/>
    </xf>
    <xf numFmtId="14" fontId="0" fillId="25" borderId="15" xfId="0" applyNumberFormat="1" applyFill="1" applyBorder="1" applyProtection="1">
      <protection locked="0"/>
    </xf>
    <xf numFmtId="183" fontId="19" fillId="0" borderId="4" xfId="0" applyNumberFormat="1" applyFont="1" applyBorder="1" applyAlignment="1">
      <alignment vertical="top"/>
    </xf>
    <xf numFmtId="1" fontId="19" fillId="25" borderId="4" xfId="0" applyNumberFormat="1" applyFont="1" applyFill="1" applyBorder="1" applyAlignment="1" applyProtection="1">
      <alignment horizontal="center"/>
      <protection locked="0"/>
    </xf>
    <xf numFmtId="170" fontId="26" fillId="16" borderId="120" xfId="2" applyNumberFormat="1" applyFont="1" applyFill="1" applyBorder="1" applyAlignment="1">
      <alignment horizontal="right"/>
    </xf>
    <xf numFmtId="0" fontId="0" fillId="44" borderId="0" xfId="0" applyFill="1" applyAlignment="1">
      <alignment vertical="top"/>
    </xf>
    <xf numFmtId="0" fontId="15" fillId="0" borderId="0" xfId="0" applyFont="1" applyAlignment="1">
      <alignment vertical="top"/>
    </xf>
    <xf numFmtId="0" fontId="15" fillId="0" borderId="0" xfId="0" applyFont="1"/>
    <xf numFmtId="0" fontId="128" fillId="0" borderId="0" xfId="0" applyFont="1"/>
    <xf numFmtId="0" fontId="19" fillId="8" borderId="0" xfId="0" applyFont="1" applyFill="1" applyAlignment="1">
      <alignment horizontal="center"/>
    </xf>
    <xf numFmtId="0" fontId="0" fillId="8" borderId="0" xfId="0" applyFill="1" applyAlignment="1">
      <alignment horizontal="center"/>
    </xf>
    <xf numFmtId="0" fontId="0" fillId="8" borderId="0" xfId="0" applyFill="1"/>
    <xf numFmtId="0" fontId="16" fillId="0" borderId="0" xfId="4" applyFont="1" applyAlignment="1">
      <alignment horizontal="center" vertical="top"/>
    </xf>
    <xf numFmtId="0" fontId="129" fillId="0" borderId="0" xfId="0" applyFont="1"/>
    <xf numFmtId="0" fontId="130" fillId="0" borderId="0" xfId="0" applyFont="1" applyAlignment="1">
      <alignment horizontal="center"/>
    </xf>
    <xf numFmtId="166" fontId="20" fillId="0" borderId="0" xfId="1" applyNumberFormat="1" applyFont="1" applyAlignment="1">
      <alignment horizontal="center" vertical="top" wrapText="1"/>
    </xf>
    <xf numFmtId="166" fontId="20" fillId="0" borderId="0" xfId="1" applyNumberFormat="1" applyFont="1" applyAlignment="1">
      <alignment horizontal="center" vertical="top"/>
    </xf>
    <xf numFmtId="0" fontId="0" fillId="25" borderId="0" xfId="0" applyFill="1" applyAlignment="1" applyProtection="1">
      <alignment horizontal="centerContinuous" wrapText="1"/>
      <protection locked="0"/>
    </xf>
    <xf numFmtId="0" fontId="0" fillId="25" borderId="0" xfId="0" applyFill="1" applyAlignment="1" applyProtection="1">
      <alignment horizontal="centerContinuous" vertical="top" wrapText="1"/>
      <protection locked="0"/>
    </xf>
    <xf numFmtId="0" fontId="19" fillId="0" borderId="38" xfId="0" applyFont="1" applyBorder="1" applyAlignment="1" applyProtection="1">
      <alignment vertical="top" wrapText="1"/>
      <protection locked="0"/>
    </xf>
    <xf numFmtId="0" fontId="19" fillId="0" borderId="8" xfId="0" applyFont="1" applyBorder="1" applyAlignment="1" applyProtection="1">
      <alignment vertical="top" wrapText="1"/>
      <protection locked="0"/>
    </xf>
    <xf numFmtId="0" fontId="131" fillId="0" borderId="0" xfId="0" applyFont="1"/>
    <xf numFmtId="0" fontId="20" fillId="19" borderId="4" xfId="0" applyFont="1" applyFill="1" applyBorder="1" applyProtection="1">
      <protection locked="0"/>
    </xf>
    <xf numFmtId="2" fontId="0" fillId="0" borderId="6" xfId="0" applyNumberFormat="1" applyBorder="1" applyAlignment="1">
      <alignment horizontal="center"/>
    </xf>
    <xf numFmtId="0" fontId="0" fillId="0" borderId="6" xfId="0" applyBorder="1" applyAlignment="1">
      <alignment horizontal="left"/>
    </xf>
    <xf numFmtId="43" fontId="26" fillId="0" borderId="0" xfId="1" applyFont="1" applyBorder="1" applyAlignment="1">
      <alignment vertical="top"/>
    </xf>
    <xf numFmtId="0" fontId="114" fillId="0" borderId="0" xfId="6" applyFont="1" applyAlignment="1">
      <alignment vertical="top"/>
    </xf>
    <xf numFmtId="166" fontId="26" fillId="25" borderId="0" xfId="1" applyNumberFormat="1" applyFont="1" applyFill="1" applyBorder="1" applyAlignment="1" applyProtection="1">
      <alignment vertical="top"/>
      <protection locked="0"/>
    </xf>
    <xf numFmtId="0" fontId="19" fillId="8" borderId="4" xfId="0" applyFont="1" applyFill="1" applyBorder="1" applyAlignment="1" applyProtection="1">
      <alignment vertical="top" wrapText="1"/>
      <protection locked="0"/>
    </xf>
    <xf numFmtId="0" fontId="20" fillId="19" borderId="53" xfId="0" applyFont="1" applyFill="1" applyBorder="1" applyAlignment="1">
      <alignment wrapText="1"/>
    </xf>
    <xf numFmtId="0" fontId="19" fillId="25" borderId="4" xfId="0" applyFont="1" applyFill="1" applyBorder="1" applyAlignment="1" applyProtection="1">
      <alignment vertical="center" wrapText="1"/>
      <protection locked="0"/>
    </xf>
    <xf numFmtId="0" fontId="19" fillId="25" borderId="4" xfId="0" applyFont="1" applyFill="1" applyBorder="1" applyAlignment="1">
      <alignment vertical="center" wrapText="1"/>
    </xf>
    <xf numFmtId="183" fontId="19" fillId="25" borderId="4" xfId="0" applyNumberFormat="1" applyFont="1" applyFill="1" applyBorder="1" applyAlignment="1" applyProtection="1">
      <alignment vertical="top"/>
      <protection locked="0"/>
    </xf>
    <xf numFmtId="0" fontId="19" fillId="25" borderId="4" xfId="0" applyFont="1" applyFill="1" applyBorder="1"/>
    <xf numFmtId="14" fontId="19" fillId="25" borderId="4" xfId="0" applyNumberFormat="1" applyFont="1" applyFill="1" applyBorder="1" applyAlignment="1" applyProtection="1">
      <alignment vertical="top" wrapText="1"/>
      <protection locked="0"/>
    </xf>
    <xf numFmtId="0" fontId="71" fillId="19" borderId="53" xfId="0" applyFont="1" applyFill="1" applyBorder="1" applyAlignment="1">
      <alignment wrapText="1"/>
    </xf>
    <xf numFmtId="0" fontId="19" fillId="8" borderId="0" xfId="0" applyFont="1" applyFill="1" applyAlignment="1">
      <alignment vertical="top"/>
    </xf>
    <xf numFmtId="175" fontId="19" fillId="8" borderId="4" xfId="0" applyNumberFormat="1" applyFont="1" applyFill="1" applyBorder="1" applyAlignment="1">
      <alignment vertical="top"/>
    </xf>
    <xf numFmtId="43" fontId="20" fillId="8" borderId="4" xfId="0" applyNumberFormat="1" applyFont="1" applyFill="1" applyBorder="1" applyAlignment="1">
      <alignment vertical="top"/>
    </xf>
    <xf numFmtId="43" fontId="19" fillId="8" borderId="4" xfId="1" applyFont="1" applyFill="1" applyBorder="1" applyAlignment="1">
      <alignment vertical="top"/>
    </xf>
    <xf numFmtId="3" fontId="19" fillId="8" borderId="4" xfId="0" applyNumberFormat="1" applyFont="1" applyFill="1" applyBorder="1" applyAlignment="1">
      <alignment horizontal="center"/>
    </xf>
    <xf numFmtId="43" fontId="19" fillId="8" borderId="4" xfId="0" applyNumberFormat="1" applyFont="1" applyFill="1" applyBorder="1" applyAlignment="1">
      <alignment vertical="top"/>
    </xf>
    <xf numFmtId="175" fontId="0" fillId="25" borderId="4" xfId="0" applyNumberFormat="1" applyFill="1" applyBorder="1" applyAlignment="1" applyProtection="1">
      <alignment vertical="top" wrapText="1"/>
      <protection locked="0"/>
    </xf>
    <xf numFmtId="43" fontId="0" fillId="25" borderId="4" xfId="0" applyNumberFormat="1" applyFill="1" applyBorder="1" applyAlignment="1" applyProtection="1">
      <alignment vertical="top" wrapText="1"/>
      <protection locked="0"/>
    </xf>
    <xf numFmtId="44" fontId="0" fillId="25" borderId="4" xfId="2" applyFont="1" applyFill="1" applyBorder="1" applyAlignment="1" applyProtection="1">
      <alignment vertical="top" wrapText="1"/>
      <protection locked="0"/>
    </xf>
    <xf numFmtId="43" fontId="0" fillId="25" borderId="4" xfId="1" applyFont="1" applyFill="1" applyBorder="1" applyAlignment="1" applyProtection="1">
      <alignment vertical="top" wrapText="1"/>
      <protection locked="0"/>
    </xf>
    <xf numFmtId="0" fontId="19" fillId="25" borderId="4" xfId="0" applyFont="1" applyFill="1" applyBorder="1" applyAlignment="1" applyProtection="1">
      <alignment horizontal="center" vertical="top" wrapText="1"/>
      <protection locked="0"/>
    </xf>
    <xf numFmtId="0" fontId="19" fillId="25" borderId="4" xfId="0" applyFont="1" applyFill="1" applyBorder="1" applyAlignment="1" applyProtection="1">
      <alignment vertical="center"/>
      <protection locked="0"/>
    </xf>
    <xf numFmtId="3" fontId="19" fillId="25" borderId="4" xfId="0" applyNumberFormat="1" applyFont="1" applyFill="1" applyBorder="1" applyAlignment="1" applyProtection="1">
      <alignment horizontal="left" vertical="center" wrapText="1"/>
      <protection locked="0"/>
    </xf>
    <xf numFmtId="0" fontId="19" fillId="25" borderId="4" xfId="13" applyFont="1" applyFill="1" applyBorder="1" applyAlignment="1" applyProtection="1">
      <alignment vertical="center" wrapText="1"/>
      <protection locked="0"/>
    </xf>
    <xf numFmtId="43" fontId="0" fillId="8" borderId="4" xfId="0" applyNumberFormat="1" applyFill="1" applyBorder="1" applyAlignment="1">
      <alignment vertical="top"/>
    </xf>
    <xf numFmtId="0" fontId="19" fillId="25" borderId="3" xfId="13" applyFont="1" applyFill="1" applyBorder="1" applyAlignment="1" applyProtection="1">
      <alignment vertical="center" wrapText="1"/>
      <protection locked="0"/>
    </xf>
    <xf numFmtId="0" fontId="19" fillId="25" borderId="4" xfId="13" applyFont="1" applyFill="1" applyBorder="1" applyAlignment="1" applyProtection="1">
      <alignment horizontal="left" vertical="center" wrapText="1"/>
      <protection locked="0"/>
    </xf>
    <xf numFmtId="0" fontId="19" fillId="21" borderId="4" xfId="0" applyFont="1" applyFill="1" applyBorder="1" applyAlignment="1" applyProtection="1">
      <alignment wrapText="1"/>
      <protection locked="0"/>
    </xf>
    <xf numFmtId="0" fontId="132" fillId="0" borderId="0" xfId="0" applyFont="1"/>
    <xf numFmtId="184" fontId="0" fillId="25" borderId="4" xfId="0" applyNumberFormat="1" applyFill="1" applyBorder="1"/>
    <xf numFmtId="4" fontId="0" fillId="0" borderId="4" xfId="0" applyNumberFormat="1" applyBorder="1"/>
    <xf numFmtId="2" fontId="0" fillId="0" borderId="4" xfId="0" applyNumberFormat="1" applyBorder="1"/>
    <xf numFmtId="2" fontId="90" fillId="0" borderId="4" xfId="0" applyNumberFormat="1" applyFont="1" applyBorder="1"/>
    <xf numFmtId="4" fontId="90" fillId="0" borderId="4" xfId="0" applyNumberFormat="1" applyFont="1" applyBorder="1"/>
    <xf numFmtId="0" fontId="90" fillId="0" borderId="4" xfId="0" applyFont="1" applyBorder="1" applyAlignment="1">
      <alignment vertical="top"/>
    </xf>
    <xf numFmtId="0" fontId="90" fillId="0" borderId="0" xfId="0" applyFont="1" applyAlignment="1">
      <alignment vertical="top"/>
    </xf>
    <xf numFmtId="0" fontId="90" fillId="0" borderId="83" xfId="0" applyFont="1" applyBorder="1" applyAlignment="1">
      <alignment vertical="top"/>
    </xf>
    <xf numFmtId="0" fontId="90" fillId="25" borderId="4" xfId="0" applyFont="1" applyFill="1" applyBorder="1" applyAlignment="1" applyProtection="1">
      <alignment vertical="top"/>
      <protection locked="0"/>
    </xf>
    <xf numFmtId="175" fontId="90" fillId="25" borderId="4" xfId="0" applyNumberFormat="1" applyFont="1" applyFill="1" applyBorder="1" applyAlignment="1" applyProtection="1">
      <alignment vertical="top"/>
      <protection locked="0"/>
    </xf>
    <xf numFmtId="43" fontId="90" fillId="25" borderId="4" xfId="1" applyFont="1" applyFill="1" applyBorder="1" applyAlignment="1" applyProtection="1">
      <alignment vertical="top"/>
      <protection locked="0"/>
    </xf>
    <xf numFmtId="175" fontId="90" fillId="0" borderId="4" xfId="0" applyNumberFormat="1" applyFont="1" applyBorder="1" applyAlignment="1">
      <alignment vertical="top"/>
    </xf>
    <xf numFmtId="43" fontId="90" fillId="25" borderId="4" xfId="0" applyNumberFormat="1" applyFont="1" applyFill="1" applyBorder="1" applyAlignment="1" applyProtection="1">
      <alignment vertical="top"/>
      <protection locked="0"/>
    </xf>
    <xf numFmtId="43" fontId="90" fillId="0" borderId="4" xfId="0" applyNumberFormat="1" applyFont="1" applyBorder="1" applyAlignment="1">
      <alignment vertical="top"/>
    </xf>
    <xf numFmtId="0" fontId="90" fillId="25" borderId="4" xfId="0" applyFont="1" applyFill="1" applyBorder="1"/>
    <xf numFmtId="0" fontId="90" fillId="0" borderId="67" xfId="0" applyFont="1" applyBorder="1" applyAlignment="1">
      <alignment vertical="top"/>
    </xf>
    <xf numFmtId="0" fontId="90" fillId="0" borderId="0" xfId="0" applyFont="1"/>
    <xf numFmtId="39" fontId="0" fillId="0" borderId="4" xfId="0" applyNumberFormat="1" applyBorder="1" applyAlignment="1">
      <alignment vertical="top"/>
    </xf>
    <xf numFmtId="39" fontId="90" fillId="0" borderId="4" xfId="0" applyNumberFormat="1" applyFont="1" applyBorder="1" applyAlignment="1">
      <alignment vertical="top"/>
    </xf>
    <xf numFmtId="0" fontId="129" fillId="0" borderId="4" xfId="0" applyFont="1" applyBorder="1" applyAlignment="1">
      <alignment vertical="top"/>
    </xf>
    <xf numFmtId="0" fontId="19" fillId="11" borderId="4" xfId="0" applyFont="1" applyFill="1" applyBorder="1" applyAlignment="1" applyProtection="1">
      <alignment horizontal="left" vertical="center" wrapText="1"/>
      <protection locked="0"/>
    </xf>
    <xf numFmtId="0" fontId="19" fillId="28" borderId="4" xfId="0" applyFont="1" applyFill="1" applyBorder="1" applyAlignment="1" applyProtection="1">
      <alignment vertical="center" wrapText="1"/>
      <protection locked="0"/>
    </xf>
    <xf numFmtId="173" fontId="1" fillId="0" borderId="0" xfId="13" applyNumberFormat="1" applyFont="1"/>
    <xf numFmtId="173" fontId="1" fillId="25" borderId="4" xfId="13" applyNumberFormat="1" applyFont="1" applyFill="1" applyBorder="1" applyProtection="1">
      <protection locked="0"/>
    </xf>
    <xf numFmtId="173" fontId="1" fillId="0" borderId="0" xfId="13" applyNumberFormat="1" applyFont="1" applyAlignment="1">
      <alignment horizontal="centerContinuous"/>
    </xf>
    <xf numFmtId="0" fontId="1" fillId="0" borderId="0" xfId="13" applyFont="1"/>
    <xf numFmtId="173" fontId="1" fillId="0" borderId="0" xfId="13" applyNumberFormat="1" applyFont="1" applyAlignment="1">
      <alignment horizontal="center"/>
    </xf>
    <xf numFmtId="0" fontId="0" fillId="0" borderId="14" xfId="0" applyBorder="1"/>
    <xf numFmtId="44" fontId="0" fillId="25" borderId="4" xfId="2" applyFont="1" applyFill="1" applyBorder="1" applyProtection="1">
      <protection locked="0"/>
    </xf>
    <xf numFmtId="5" fontId="24" fillId="0" borderId="6" xfId="4" applyNumberFormat="1" applyFont="1" applyBorder="1" applyAlignment="1" applyProtection="1">
      <alignment vertical="top"/>
      <protection locked="0"/>
    </xf>
    <xf numFmtId="5" fontId="24" fillId="0" borderId="6" xfId="4" applyNumberFormat="1" applyFont="1" applyBorder="1" applyAlignment="1" applyProtection="1">
      <alignment horizontal="center" vertical="top"/>
      <protection locked="0"/>
    </xf>
    <xf numFmtId="5" fontId="24" fillId="0" borderId="0" xfId="4" applyNumberFormat="1" applyFont="1" applyAlignment="1" applyProtection="1">
      <alignment horizontal="center" vertical="top"/>
      <protection locked="0"/>
    </xf>
    <xf numFmtId="5" fontId="24" fillId="0" borderId="117" xfId="4" applyNumberFormat="1" applyFont="1" applyBorder="1" applyAlignment="1" applyProtection="1">
      <alignment horizontal="centerContinuous" vertical="top"/>
      <protection locked="0"/>
    </xf>
    <xf numFmtId="5" fontId="24" fillId="0" borderId="118" xfId="4" applyNumberFormat="1" applyFont="1" applyBorder="1" applyAlignment="1" applyProtection="1">
      <alignment horizontal="center" vertical="top"/>
      <protection locked="0"/>
    </xf>
    <xf numFmtId="0" fontId="20" fillId="0" borderId="116" xfId="0" applyFont="1" applyBorder="1" applyProtection="1">
      <protection locked="0"/>
    </xf>
    <xf numFmtId="5" fontId="18" fillId="0" borderId="0" xfId="4" applyNumberFormat="1" applyFont="1" applyAlignment="1" applyProtection="1">
      <alignment horizontal="center" vertical="top"/>
      <protection locked="0"/>
    </xf>
    <xf numFmtId="5" fontId="18" fillId="0" borderId="120" xfId="4" applyNumberFormat="1" applyFont="1" applyBorder="1" applyAlignment="1" applyProtection="1">
      <alignment horizontal="center" vertical="top"/>
      <protection locked="0"/>
    </xf>
    <xf numFmtId="0" fontId="0" fillId="0" borderId="119" xfId="0" applyBorder="1" applyProtection="1">
      <protection locked="0"/>
    </xf>
    <xf numFmtId="0" fontId="24" fillId="0" borderId="0" xfId="4" applyFont="1" applyAlignment="1" applyProtection="1">
      <alignment vertical="top"/>
      <protection locked="0"/>
    </xf>
    <xf numFmtId="5" fontId="20" fillId="0" borderId="120" xfId="4" applyNumberFormat="1" applyFont="1" applyBorder="1" applyAlignment="1" applyProtection="1">
      <alignment horizontal="left" vertical="top"/>
      <protection locked="0"/>
    </xf>
    <xf numFmtId="5" fontId="20" fillId="0" borderId="0" xfId="4" applyNumberFormat="1" applyFont="1" applyAlignment="1" applyProtection="1">
      <alignment horizontal="left" vertical="top"/>
      <protection locked="0"/>
    </xf>
    <xf numFmtId="5" fontId="26" fillId="0" borderId="119" xfId="0" applyNumberFormat="1" applyFont="1" applyBorder="1" applyProtection="1">
      <protection locked="0"/>
    </xf>
    <xf numFmtId="1" fontId="27" fillId="0" borderId="120" xfId="4" applyNumberFormat="1" applyFont="1" applyBorder="1" applyAlignment="1" applyProtection="1">
      <alignment horizontal="left" vertical="top"/>
      <protection locked="0"/>
    </xf>
    <xf numFmtId="1" fontId="27" fillId="0" borderId="0" xfId="4" applyNumberFormat="1" applyFont="1" applyAlignment="1" applyProtection="1">
      <alignment horizontal="left" vertical="top"/>
      <protection locked="0"/>
    </xf>
    <xf numFmtId="0" fontId="24" fillId="0" borderId="120" xfId="4" applyFont="1" applyBorder="1" applyAlignment="1" applyProtection="1">
      <alignment horizontal="left" vertical="top"/>
      <protection locked="0"/>
    </xf>
    <xf numFmtId="0" fontId="24" fillId="0" borderId="0" xfId="4" applyFont="1" applyAlignment="1" applyProtection="1">
      <alignment horizontal="left" vertical="top"/>
      <protection locked="0"/>
    </xf>
    <xf numFmtId="0" fontId="26" fillId="0" borderId="119" xfId="0" applyFont="1" applyBorder="1" applyProtection="1">
      <protection locked="0"/>
    </xf>
    <xf numFmtId="0" fontId="24" fillId="0" borderId="120" xfId="4" applyFont="1" applyBorder="1" applyAlignment="1" applyProtection="1">
      <alignment vertical="top"/>
      <protection locked="0"/>
    </xf>
    <xf numFmtId="5" fontId="28" fillId="0" borderId="0" xfId="4" applyNumberFormat="1" applyFont="1" applyAlignment="1" applyProtection="1">
      <alignment horizontal="left" vertical="top"/>
      <protection locked="0"/>
    </xf>
    <xf numFmtId="5" fontId="24" fillId="0" borderId="120" xfId="4" applyNumberFormat="1" applyFont="1" applyBorder="1" applyAlignment="1" applyProtection="1">
      <alignment horizontal="center" vertical="top"/>
      <protection locked="0"/>
    </xf>
    <xf numFmtId="5" fontId="20" fillId="0" borderId="122" xfId="4" applyNumberFormat="1" applyFont="1" applyBorder="1" applyAlignment="1" applyProtection="1">
      <alignment horizontal="left" vertical="top"/>
      <protection locked="0"/>
    </xf>
    <xf numFmtId="5" fontId="24" fillId="0" borderId="123" xfId="4" applyNumberFormat="1" applyFont="1" applyBorder="1" applyAlignment="1" applyProtection="1">
      <alignment horizontal="right" vertical="top"/>
      <protection locked="0"/>
    </xf>
    <xf numFmtId="5" fontId="24" fillId="0" borderId="0" xfId="4" applyNumberFormat="1" applyFont="1" applyAlignment="1" applyProtection="1">
      <alignment horizontal="right" vertical="top"/>
      <protection locked="0"/>
    </xf>
    <xf numFmtId="0" fontId="0" fillId="0" borderId="121" xfId="0" applyBorder="1" applyProtection="1">
      <protection locked="0"/>
    </xf>
    <xf numFmtId="5" fontId="24" fillId="0" borderId="0" xfId="4" applyNumberFormat="1" applyFont="1" applyAlignment="1" applyProtection="1">
      <alignment vertical="top"/>
      <protection locked="0"/>
    </xf>
    <xf numFmtId="5" fontId="24" fillId="0" borderId="117" xfId="4" applyNumberFormat="1" applyFont="1" applyBorder="1" applyAlignment="1" applyProtection="1">
      <alignment vertical="top"/>
      <protection locked="0"/>
    </xf>
    <xf numFmtId="5" fontId="24" fillId="0" borderId="118" xfId="4" applyNumberFormat="1" applyFont="1" applyBorder="1" applyAlignment="1" applyProtection="1">
      <alignment vertical="top"/>
      <protection locked="0"/>
    </xf>
    <xf numFmtId="5" fontId="24" fillId="0" borderId="120" xfId="4" applyNumberFormat="1" applyFont="1" applyBorder="1" applyAlignment="1" applyProtection="1">
      <alignment vertical="top"/>
      <protection locked="0"/>
    </xf>
    <xf numFmtId="0" fontId="17" fillId="0" borderId="120" xfId="6" applyBorder="1" applyAlignment="1" applyProtection="1">
      <alignment vertical="top"/>
      <protection locked="0"/>
    </xf>
    <xf numFmtId="0" fontId="17" fillId="0" borderId="0" xfId="6" applyAlignment="1" applyProtection="1">
      <alignment vertical="top"/>
      <protection locked="0"/>
    </xf>
    <xf numFmtId="178" fontId="24" fillId="0" borderId="0" xfId="4" applyNumberFormat="1" applyFont="1" applyAlignment="1" applyProtection="1">
      <alignment vertical="top"/>
      <protection locked="0"/>
    </xf>
    <xf numFmtId="178" fontId="16" fillId="0" borderId="0" xfId="5" applyNumberFormat="1" applyFont="1" applyAlignment="1" applyProtection="1">
      <alignment horizontal="center" vertical="top"/>
      <protection locked="0"/>
    </xf>
    <xf numFmtId="178" fontId="16" fillId="0" borderId="120" xfId="5" applyNumberFormat="1" applyFont="1" applyBorder="1" applyAlignment="1" applyProtection="1">
      <alignment horizontal="center" vertical="top"/>
      <protection locked="0"/>
    </xf>
    <xf numFmtId="5" fontId="26" fillId="0" borderId="0" xfId="4" applyNumberFormat="1" applyFont="1" applyAlignment="1" applyProtection="1">
      <alignment horizontal="right" vertical="top"/>
      <protection locked="0"/>
    </xf>
    <xf numFmtId="168" fontId="26" fillId="0" borderId="13" xfId="7" applyNumberFormat="1" applyFont="1" applyBorder="1" applyAlignment="1" applyProtection="1">
      <alignment horizontal="right"/>
      <protection locked="0"/>
    </xf>
    <xf numFmtId="168" fontId="26" fillId="0" borderId="0" xfId="7" applyNumberFormat="1" applyFont="1" applyBorder="1" applyAlignment="1" applyProtection="1">
      <alignment horizontal="right"/>
      <protection locked="0"/>
    </xf>
    <xf numFmtId="168" fontId="26" fillId="0" borderId="148" xfId="7" applyNumberFormat="1" applyFont="1" applyBorder="1" applyAlignment="1" applyProtection="1">
      <alignment horizontal="right"/>
      <protection locked="0"/>
    </xf>
    <xf numFmtId="168" fontId="26" fillId="0" borderId="120" xfId="7" applyNumberFormat="1" applyFont="1" applyBorder="1" applyAlignment="1" applyProtection="1">
      <alignment horizontal="right"/>
      <protection locked="0"/>
    </xf>
    <xf numFmtId="0" fontId="19" fillId="0" borderId="119" xfId="0" applyFont="1" applyBorder="1" applyProtection="1">
      <protection locked="0"/>
    </xf>
    <xf numFmtId="168" fontId="16" fillId="0" borderId="6" xfId="7" applyNumberFormat="1" applyFont="1" applyBorder="1" applyAlignment="1" applyProtection="1">
      <alignment horizontal="right" vertical="top"/>
      <protection locked="0"/>
    </xf>
    <xf numFmtId="168" fontId="16" fillId="0" borderId="0" xfId="7" applyNumberFormat="1" applyFont="1" applyBorder="1" applyAlignment="1" applyProtection="1">
      <alignment horizontal="right" vertical="top"/>
      <protection locked="0"/>
    </xf>
    <xf numFmtId="168" fontId="16" fillId="0" borderId="146" xfId="7" applyNumberFormat="1" applyFont="1" applyBorder="1" applyAlignment="1" applyProtection="1">
      <alignment horizontal="right" vertical="top"/>
      <protection locked="0"/>
    </xf>
    <xf numFmtId="168" fontId="34" fillId="0" borderId="0" xfId="7" applyNumberFormat="1" applyFont="1" applyBorder="1" applyAlignment="1" applyProtection="1">
      <alignment horizontal="right"/>
      <protection locked="0"/>
    </xf>
    <xf numFmtId="168" fontId="34" fillId="0" borderId="120" xfId="7" applyNumberFormat="1" applyFont="1" applyBorder="1" applyAlignment="1" applyProtection="1">
      <alignment horizontal="right"/>
      <protection locked="0"/>
    </xf>
    <xf numFmtId="168" fontId="16" fillId="0" borderId="13" xfId="7" applyNumberFormat="1" applyFont="1" applyBorder="1" applyAlignment="1" applyProtection="1">
      <alignment horizontal="right" vertical="top"/>
      <protection locked="0"/>
    </xf>
    <xf numFmtId="168" fontId="16" fillId="0" borderId="148" xfId="7" applyNumberFormat="1" applyFont="1" applyBorder="1" applyAlignment="1" applyProtection="1">
      <alignment horizontal="right" vertical="top"/>
      <protection locked="0"/>
    </xf>
    <xf numFmtId="168" fontId="26" fillId="0" borderId="0" xfId="7" applyNumberFormat="1" applyFont="1" applyBorder="1" applyAlignment="1" applyProtection="1">
      <alignment horizontal="right" vertical="top"/>
      <protection locked="0"/>
    </xf>
    <xf numFmtId="168" fontId="26" fillId="0" borderId="120" xfId="7" applyNumberFormat="1" applyFont="1" applyBorder="1" applyAlignment="1" applyProtection="1">
      <alignment horizontal="right" vertical="top"/>
      <protection locked="0"/>
    </xf>
    <xf numFmtId="0" fontId="0" fillId="0" borderId="119" xfId="0" applyBorder="1" applyAlignment="1" applyProtection="1">
      <alignment vertical="top"/>
      <protection locked="0"/>
    </xf>
    <xf numFmtId="168" fontId="26" fillId="0" borderId="124" xfId="7" applyNumberFormat="1" applyFont="1" applyBorder="1" applyAlignment="1" applyProtection="1">
      <alignment horizontal="right"/>
      <protection locked="0"/>
    </xf>
    <xf numFmtId="168" fontId="26" fillId="0" borderId="180" xfId="7" applyNumberFormat="1" applyFont="1" applyBorder="1" applyAlignment="1" applyProtection="1">
      <alignment horizontal="right"/>
      <protection locked="0"/>
    </xf>
    <xf numFmtId="168" fontId="16" fillId="0" borderId="0" xfId="6" applyNumberFormat="1" applyFont="1" applyAlignment="1" applyProtection="1">
      <alignment horizontal="center" vertical="top"/>
      <protection locked="0"/>
    </xf>
    <xf numFmtId="168" fontId="16" fillId="0" borderId="120" xfId="6" applyNumberFormat="1" applyFont="1" applyBorder="1" applyAlignment="1" applyProtection="1">
      <alignment horizontal="center" vertical="top"/>
      <protection locked="0"/>
    </xf>
    <xf numFmtId="168" fontId="16" fillId="0" borderId="0" xfId="7" applyNumberFormat="1" applyFont="1" applyBorder="1" applyAlignment="1" applyProtection="1">
      <alignment horizontal="center" vertical="top"/>
      <protection locked="0"/>
    </xf>
    <xf numFmtId="5" fontId="26" fillId="10" borderId="0" xfId="4" applyNumberFormat="1" applyFont="1" applyFill="1" applyAlignment="1" applyProtection="1">
      <alignment horizontal="right" vertical="top"/>
      <protection locked="0"/>
    </xf>
    <xf numFmtId="168" fontId="26" fillId="10" borderId="0" xfId="7" applyNumberFormat="1" applyFont="1" applyFill="1" applyBorder="1" applyAlignment="1" applyProtection="1">
      <alignment horizontal="right" vertical="top"/>
      <protection locked="0"/>
    </xf>
    <xf numFmtId="168" fontId="26" fillId="10" borderId="120" xfId="7" applyNumberFormat="1" applyFont="1" applyFill="1" applyBorder="1" applyAlignment="1" applyProtection="1">
      <alignment horizontal="right" vertical="top"/>
      <protection locked="0"/>
    </xf>
    <xf numFmtId="168" fontId="26" fillId="18" borderId="0" xfId="7" applyNumberFormat="1" applyFont="1" applyFill="1" applyBorder="1" applyAlignment="1" applyProtection="1">
      <alignment horizontal="right" vertical="top"/>
      <protection locked="0"/>
    </xf>
    <xf numFmtId="168" fontId="26" fillId="18" borderId="120" xfId="7" applyNumberFormat="1" applyFont="1" applyFill="1" applyBorder="1" applyAlignment="1" applyProtection="1">
      <alignment horizontal="right" vertical="top"/>
      <protection locked="0"/>
    </xf>
    <xf numFmtId="5" fontId="26" fillId="18" borderId="0" xfId="4" applyNumberFormat="1" applyFont="1" applyFill="1" applyAlignment="1" applyProtection="1">
      <alignment horizontal="right" vertical="top"/>
      <protection locked="0"/>
    </xf>
    <xf numFmtId="5" fontId="24" fillId="10" borderId="0" xfId="4" applyNumberFormat="1" applyFont="1" applyFill="1" applyAlignment="1" applyProtection="1">
      <alignment horizontal="right" vertical="top"/>
      <protection locked="0"/>
    </xf>
    <xf numFmtId="168" fontId="34" fillId="10" borderId="0" xfId="7" applyNumberFormat="1" applyFont="1" applyFill="1" applyBorder="1" applyAlignment="1" applyProtection="1">
      <alignment horizontal="right" vertical="top"/>
      <protection locked="0"/>
    </xf>
    <xf numFmtId="168" fontId="34" fillId="10" borderId="120" xfId="7" applyNumberFormat="1" applyFont="1" applyFill="1" applyBorder="1" applyAlignment="1" applyProtection="1">
      <alignment horizontal="right" vertical="top"/>
      <protection locked="0"/>
    </xf>
    <xf numFmtId="0" fontId="16" fillId="0" borderId="0" xfId="4" applyFont="1" applyAlignment="1" applyProtection="1">
      <alignment horizontal="left" vertical="top"/>
      <protection locked="0"/>
    </xf>
    <xf numFmtId="0" fontId="16" fillId="0" borderId="120" xfId="4" applyFont="1" applyBorder="1" applyAlignment="1" applyProtection="1">
      <alignment horizontal="left" vertical="top"/>
      <protection locked="0"/>
    </xf>
    <xf numFmtId="6" fontId="34" fillId="0" borderId="0" xfId="6" applyNumberFormat="1" applyFont="1" applyAlignment="1" applyProtection="1">
      <alignment horizontal="center" vertical="top"/>
      <protection locked="0"/>
    </xf>
    <xf numFmtId="6" fontId="34" fillId="0" borderId="120" xfId="6" applyNumberFormat="1" applyFont="1" applyBorder="1" applyAlignment="1" applyProtection="1">
      <alignment horizontal="center" vertical="top"/>
      <protection locked="0"/>
    </xf>
    <xf numFmtId="5" fontId="24" fillId="0" borderId="122" xfId="4" applyNumberFormat="1" applyFont="1" applyBorder="1" applyAlignment="1" applyProtection="1">
      <alignment horizontal="left" vertical="top"/>
      <protection locked="0"/>
    </xf>
    <xf numFmtId="0" fontId="24" fillId="0" borderId="123" xfId="4" applyFont="1" applyBorder="1" applyAlignment="1" applyProtection="1">
      <alignment vertical="top"/>
      <protection locked="0"/>
    </xf>
    <xf numFmtId="9" fontId="20" fillId="0" borderId="117" xfId="4" applyNumberFormat="1" applyFont="1" applyBorder="1" applyAlignment="1" applyProtection="1">
      <alignment horizontal="left" vertical="top"/>
      <protection locked="0"/>
    </xf>
    <xf numFmtId="5" fontId="24" fillId="0" borderId="118" xfId="4" applyNumberFormat="1" applyFont="1" applyBorder="1" applyAlignment="1" applyProtection="1">
      <alignment horizontal="left" vertical="top"/>
      <protection locked="0"/>
    </xf>
    <xf numFmtId="0" fontId="34" fillId="0" borderId="120" xfId="4" applyFont="1" applyBorder="1" applyAlignment="1" applyProtection="1">
      <alignment vertical="top"/>
      <protection locked="0"/>
    </xf>
    <xf numFmtId="15" fontId="34" fillId="0" borderId="120" xfId="4" applyNumberFormat="1" applyFont="1" applyBorder="1" applyAlignment="1" applyProtection="1">
      <alignment horizontal="center" vertical="top"/>
      <protection locked="0"/>
    </xf>
    <xf numFmtId="15" fontId="34" fillId="0" borderId="0" xfId="4" applyNumberFormat="1" applyFont="1" applyAlignment="1" applyProtection="1">
      <alignment horizontal="center" vertical="top"/>
      <protection locked="0"/>
    </xf>
    <xf numFmtId="0" fontId="36" fillId="0" borderId="0" xfId="6" applyFont="1" applyAlignment="1" applyProtection="1">
      <alignment vertical="top"/>
      <protection locked="0"/>
    </xf>
    <xf numFmtId="0" fontId="36" fillId="0" borderId="120" xfId="6" applyFont="1" applyBorder="1" applyAlignment="1" applyProtection="1">
      <alignment vertical="top"/>
      <protection locked="0"/>
    </xf>
    <xf numFmtId="0" fontId="19" fillId="0" borderId="122" xfId="4" applyFont="1" applyBorder="1" applyAlignment="1" applyProtection="1">
      <alignment horizontal="center" vertical="top"/>
      <protection locked="0"/>
    </xf>
    <xf numFmtId="0" fontId="34" fillId="0" borderId="123" xfId="4" applyFont="1" applyBorder="1" applyAlignment="1" applyProtection="1">
      <alignment vertical="top"/>
      <protection locked="0"/>
    </xf>
    <xf numFmtId="0" fontId="20" fillId="38" borderId="4" xfId="0" applyFont="1" applyFill="1" applyBorder="1" applyAlignment="1" applyProtection="1">
      <alignment vertical="center" wrapText="1"/>
      <protection locked="0"/>
    </xf>
    <xf numFmtId="0" fontId="20" fillId="38" borderId="55" xfId="0" applyFont="1" applyFill="1" applyBorder="1" applyAlignment="1">
      <alignment wrapText="1"/>
    </xf>
    <xf numFmtId="0" fontId="20" fillId="38" borderId="53" xfId="0" applyFont="1" applyFill="1" applyBorder="1" applyAlignment="1">
      <alignment wrapText="1"/>
    </xf>
    <xf numFmtId="0" fontId="20" fillId="38" borderId="4" xfId="0" applyFont="1" applyFill="1" applyBorder="1" applyAlignment="1" applyProtection="1">
      <alignment vertical="top" wrapText="1"/>
      <protection locked="0"/>
    </xf>
    <xf numFmtId="0" fontId="19" fillId="11" borderId="4" xfId="0" applyFont="1" applyFill="1" applyBorder="1" applyAlignment="1" applyProtection="1">
      <alignment horizontal="center" vertical="top"/>
      <protection locked="0"/>
    </xf>
    <xf numFmtId="43" fontId="0" fillId="11" borderId="4" xfId="0" applyNumberFormat="1" applyFill="1" applyBorder="1" applyAlignment="1">
      <alignment vertical="top"/>
    </xf>
    <xf numFmtId="175" fontId="0" fillId="11" borderId="4" xfId="0" applyNumberFormat="1" applyFill="1" applyBorder="1" applyAlignment="1">
      <alignment vertical="top"/>
    </xf>
    <xf numFmtId="2" fontId="0" fillId="11" borderId="4" xfId="0" applyNumberFormat="1" applyFill="1" applyBorder="1" applyAlignment="1">
      <alignment vertical="top"/>
    </xf>
    <xf numFmtId="2" fontId="90" fillId="11" borderId="4" xfId="0" applyNumberFormat="1" applyFont="1" applyFill="1" applyBorder="1" applyAlignment="1">
      <alignment vertical="top"/>
    </xf>
    <xf numFmtId="1" fontId="0" fillId="11" borderId="4" xfId="0" applyNumberFormat="1" applyFill="1" applyBorder="1" applyAlignment="1">
      <alignment vertical="top"/>
    </xf>
    <xf numFmtId="0" fontId="19" fillId="11" borderId="4" xfId="0" applyFont="1" applyFill="1" applyBorder="1" applyAlignment="1" applyProtection="1">
      <alignment vertical="top"/>
      <protection locked="0"/>
    </xf>
    <xf numFmtId="175" fontId="19" fillId="11" borderId="4" xfId="0" applyNumberFormat="1" applyFont="1" applyFill="1" applyBorder="1" applyAlignment="1">
      <alignment vertical="top"/>
    </xf>
    <xf numFmtId="0" fontId="71" fillId="38" borderId="53" xfId="0" applyFont="1" applyFill="1" applyBorder="1" applyAlignment="1">
      <alignment wrapText="1"/>
    </xf>
    <xf numFmtId="0" fontId="19" fillId="3" borderId="4" xfId="0" applyFont="1" applyFill="1" applyBorder="1" applyAlignment="1" applyProtection="1">
      <alignment vertical="center" wrapText="1"/>
      <protection locked="0"/>
    </xf>
    <xf numFmtId="0" fontId="19" fillId="25" borderId="3" xfId="13" applyFont="1" applyFill="1" applyBorder="1" applyAlignment="1" applyProtection="1">
      <alignment horizontal="left" vertical="center" wrapText="1"/>
      <protection locked="0"/>
    </xf>
    <xf numFmtId="0" fontId="19" fillId="8" borderId="4" xfId="0" applyFont="1" applyFill="1" applyBorder="1" applyAlignment="1" applyProtection="1">
      <alignment vertical="top"/>
      <protection locked="0"/>
    </xf>
    <xf numFmtId="0" fontId="19" fillId="8" borderId="4" xfId="0" applyFont="1" applyFill="1" applyBorder="1" applyAlignment="1" applyProtection="1">
      <alignment horizontal="center" vertical="top"/>
      <protection locked="0"/>
    </xf>
    <xf numFmtId="0" fontId="0" fillId="45" borderId="0" xfId="0" applyFill="1"/>
    <xf numFmtId="0" fontId="134" fillId="45" borderId="0" xfId="0" applyFont="1" applyFill="1"/>
    <xf numFmtId="175" fontId="0" fillId="25" borderId="4" xfId="0" applyNumberFormat="1" applyFill="1" applyBorder="1" applyProtection="1">
      <protection locked="0"/>
    </xf>
    <xf numFmtId="172" fontId="0" fillId="33" borderId="44" xfId="1" applyNumberFormat="1" applyFont="1" applyFill="1" applyBorder="1"/>
    <xf numFmtId="172" fontId="0" fillId="33" borderId="4" xfId="1" applyNumberFormat="1" applyFont="1" applyFill="1" applyBorder="1"/>
    <xf numFmtId="172" fontId="19" fillId="25" borderId="4" xfId="1" applyNumberFormat="1" applyFont="1" applyFill="1" applyBorder="1" applyProtection="1">
      <protection locked="0"/>
    </xf>
    <xf numFmtId="175" fontId="0" fillId="33" borderId="44" xfId="0" applyNumberFormat="1" applyFill="1" applyBorder="1"/>
    <xf numFmtId="175" fontId="0" fillId="33" borderId="4" xfId="0" applyNumberFormat="1" applyFill="1" applyBorder="1"/>
    <xf numFmtId="0" fontId="0" fillId="17" borderId="1" xfId="0" applyFill="1" applyBorder="1" applyAlignment="1">
      <alignment wrapText="1"/>
    </xf>
    <xf numFmtId="0" fontId="0" fillId="17" borderId="1" xfId="0" applyFill="1" applyBorder="1" applyAlignment="1">
      <alignment horizontal="center"/>
    </xf>
    <xf numFmtId="0" fontId="0" fillId="17" borderId="1" xfId="0" applyFill="1" applyBorder="1"/>
    <xf numFmtId="0" fontId="0" fillId="16" borderId="2" xfId="0" applyFill="1" applyBorder="1" applyAlignment="1">
      <alignment wrapText="1"/>
    </xf>
    <xf numFmtId="0" fontId="0" fillId="16" borderId="2" xfId="0" applyFill="1" applyBorder="1" applyAlignment="1">
      <alignment horizontal="center"/>
    </xf>
    <xf numFmtId="0" fontId="0" fillId="16" borderId="1" xfId="0" applyFill="1" applyBorder="1"/>
    <xf numFmtId="0" fontId="0" fillId="33" borderId="1" xfId="0" applyFill="1" applyBorder="1" applyAlignment="1">
      <alignment wrapText="1"/>
    </xf>
    <xf numFmtId="0" fontId="0" fillId="33" borderId="1" xfId="0" applyFill="1" applyBorder="1" applyAlignment="1">
      <alignment horizontal="center"/>
    </xf>
    <xf numFmtId="172" fontId="19" fillId="25" borderId="1" xfId="1" applyNumberFormat="1" applyFont="1" applyFill="1" applyBorder="1" applyProtection="1">
      <protection locked="0"/>
    </xf>
    <xf numFmtId="172" fontId="0" fillId="33" borderId="1" xfId="1" applyNumberFormat="1" applyFont="1" applyFill="1" applyBorder="1"/>
    <xf numFmtId="0" fontId="19" fillId="33" borderId="1" xfId="0" applyFont="1" applyFill="1" applyBorder="1"/>
    <xf numFmtId="175" fontId="0" fillId="33" borderId="1" xfId="0" applyNumberFormat="1" applyFill="1" applyBorder="1"/>
    <xf numFmtId="0" fontId="0" fillId="35" borderId="1" xfId="0" applyFill="1" applyBorder="1" applyAlignment="1">
      <alignment wrapText="1"/>
    </xf>
    <xf numFmtId="0" fontId="0" fillId="35" borderId="1" xfId="0" applyFill="1" applyBorder="1" applyAlignment="1">
      <alignment horizontal="center"/>
    </xf>
    <xf numFmtId="0" fontId="0" fillId="35" borderId="1" xfId="0" applyFill="1" applyBorder="1"/>
    <xf numFmtId="0" fontId="0" fillId="10" borderId="1" xfId="0" applyFill="1" applyBorder="1" applyAlignment="1">
      <alignment vertical="top" wrapText="1"/>
    </xf>
    <xf numFmtId="0" fontId="93" fillId="37" borderId="40" xfId="0" applyFont="1" applyFill="1" applyBorder="1" applyAlignment="1">
      <alignment vertical="center" wrapText="1"/>
    </xf>
    <xf numFmtId="0" fontId="0" fillId="38" borderId="93" xfId="0" applyFill="1" applyBorder="1" applyAlignment="1">
      <alignment wrapText="1"/>
    </xf>
    <xf numFmtId="0" fontId="0" fillId="38" borderId="93" xfId="0" applyFill="1" applyBorder="1" applyAlignment="1">
      <alignment horizontal="center"/>
    </xf>
    <xf numFmtId="0" fontId="0" fillId="38" borderId="93" xfId="0" applyFill="1" applyBorder="1"/>
    <xf numFmtId="0" fontId="0" fillId="38" borderId="93" xfId="0" applyFill="1" applyBorder="1" applyAlignment="1">
      <alignment vertical="top" wrapText="1"/>
    </xf>
    <xf numFmtId="0" fontId="93" fillId="37" borderId="100" xfId="0" applyFont="1" applyFill="1" applyBorder="1" applyAlignment="1">
      <alignment vertical="top"/>
    </xf>
    <xf numFmtId="172" fontId="19" fillId="25" borderId="150" xfId="1" applyNumberFormat="1" applyFont="1" applyFill="1" applyBorder="1" applyProtection="1">
      <protection locked="0"/>
    </xf>
    <xf numFmtId="166" fontId="0" fillId="10" borderId="4" xfId="1" applyNumberFormat="1" applyFont="1" applyFill="1" applyBorder="1" applyAlignment="1">
      <alignment horizontal="right"/>
    </xf>
    <xf numFmtId="185" fontId="90" fillId="10" borderId="4" xfId="0" applyNumberFormat="1" applyFont="1" applyFill="1" applyBorder="1" applyAlignment="1">
      <alignment horizontal="right"/>
    </xf>
    <xf numFmtId="0" fontId="19" fillId="21" borderId="1" xfId="0" applyFont="1" applyFill="1" applyBorder="1" applyAlignment="1">
      <alignment horizontal="center" vertical="center"/>
    </xf>
    <xf numFmtId="0" fontId="19" fillId="21" borderId="4" xfId="0" applyFont="1" applyFill="1" applyBorder="1" applyAlignment="1" applyProtection="1">
      <alignment vertical="top" wrapText="1"/>
      <protection locked="0"/>
    </xf>
    <xf numFmtId="10" fontId="1" fillId="21" borderId="4" xfId="3" applyNumberFormat="1" applyFont="1" applyFill="1" applyBorder="1"/>
    <xf numFmtId="10" fontId="15" fillId="21" borderId="4" xfId="3" applyNumberFormat="1" applyFont="1" applyFill="1" applyBorder="1"/>
    <xf numFmtId="43" fontId="0" fillId="0" borderId="4" xfId="1" applyFont="1" applyFill="1" applyBorder="1" applyAlignment="1">
      <alignment vertical="top"/>
    </xf>
    <xf numFmtId="0" fontId="19" fillId="28" borderId="4" xfId="0" applyFont="1" applyFill="1" applyBorder="1" applyAlignment="1" applyProtection="1">
      <alignment horizontal="center" vertical="top"/>
      <protection locked="0"/>
    </xf>
    <xf numFmtId="166" fontId="0" fillId="7" borderId="4" xfId="1" applyNumberFormat="1" applyFont="1" applyFill="1" applyBorder="1" applyAlignment="1">
      <alignment vertical="top"/>
    </xf>
    <xf numFmtId="166" fontId="0" fillId="7" borderId="4" xfId="1" quotePrefix="1" applyNumberFormat="1" applyFont="1" applyFill="1" applyBorder="1" applyAlignment="1">
      <alignment vertical="top"/>
    </xf>
    <xf numFmtId="166" fontId="20" fillId="7" borderId="4" xfId="1" applyNumberFormat="1" applyFont="1" applyFill="1" applyBorder="1" applyAlignment="1">
      <alignment vertical="top"/>
    </xf>
    <xf numFmtId="43" fontId="0" fillId="11" borderId="4" xfId="0" applyNumberFormat="1" applyFill="1" applyBorder="1" applyAlignment="1" applyProtection="1">
      <alignment vertical="top" wrapText="1"/>
      <protection locked="0"/>
    </xf>
    <xf numFmtId="43" fontId="0" fillId="11" borderId="4" xfId="0" applyNumberFormat="1" applyFill="1" applyBorder="1" applyAlignment="1" applyProtection="1">
      <alignment vertical="top"/>
      <protection locked="0"/>
    </xf>
    <xf numFmtId="43" fontId="19" fillId="11" borderId="4" xfId="0" applyNumberFormat="1" applyFont="1" applyFill="1" applyBorder="1" applyAlignment="1" applyProtection="1">
      <alignment vertical="top"/>
      <protection locked="0"/>
    </xf>
    <xf numFmtId="43" fontId="90" fillId="11" borderId="4" xfId="0" applyNumberFormat="1" applyFont="1" applyFill="1" applyBorder="1" applyAlignment="1" applyProtection="1">
      <alignment vertical="top"/>
      <protection locked="0"/>
    </xf>
    <xf numFmtId="0" fontId="0" fillId="0" borderId="0" xfId="0" applyAlignment="1">
      <alignment horizontal="right" vertical="top"/>
    </xf>
    <xf numFmtId="175" fontId="0" fillId="21" borderId="4" xfId="0" applyNumberFormat="1" applyFill="1" applyBorder="1" applyAlignment="1" applyProtection="1">
      <alignment vertical="top"/>
      <protection locked="0"/>
    </xf>
    <xf numFmtId="2" fontId="19" fillId="2" borderId="2" xfId="0" applyNumberFormat="1" applyFont="1" applyFill="1" applyBorder="1" applyAlignment="1" applyProtection="1">
      <alignment horizontal="center" vertical="top"/>
      <protection locked="0"/>
    </xf>
    <xf numFmtId="0" fontId="0" fillId="2" borderId="0" xfId="0" applyFill="1" applyAlignment="1">
      <alignment vertical="top" wrapText="1"/>
    </xf>
    <xf numFmtId="0" fontId="19" fillId="2" borderId="2" xfId="0" applyFont="1" applyFill="1" applyBorder="1" applyAlignment="1" applyProtection="1">
      <alignment vertical="top" wrapText="1"/>
      <protection locked="0"/>
    </xf>
    <xf numFmtId="0" fontId="0" fillId="2" borderId="0" xfId="0" applyFill="1" applyAlignment="1">
      <alignment vertical="top"/>
    </xf>
    <xf numFmtId="14" fontId="0" fillId="2" borderId="0" xfId="0" applyNumberFormat="1" applyFill="1" applyAlignment="1">
      <alignment horizontal="center" vertical="top"/>
    </xf>
    <xf numFmtId="0" fontId="18" fillId="0" borderId="17" xfId="0" applyFont="1" applyBorder="1" applyAlignment="1">
      <alignment horizontal="centerContinuous" vertical="top" wrapText="1"/>
    </xf>
    <xf numFmtId="0" fontId="18" fillId="0" borderId="18" xfId="0" applyFont="1" applyBorder="1" applyAlignment="1">
      <alignment horizontal="centerContinuous" vertical="top" wrapText="1"/>
    </xf>
    <xf numFmtId="0" fontId="18" fillId="25" borderId="17" xfId="0" applyFont="1" applyFill="1" applyBorder="1" applyAlignment="1" applyProtection="1">
      <alignment horizontal="centerContinuous" vertical="top" wrapText="1"/>
      <protection locked="0"/>
    </xf>
    <xf numFmtId="0" fontId="18" fillId="25" borderId="18" xfId="0" applyFont="1" applyFill="1" applyBorder="1" applyAlignment="1" applyProtection="1">
      <alignment horizontal="centerContinuous" vertical="top" wrapText="1"/>
      <protection locked="0"/>
    </xf>
    <xf numFmtId="168" fontId="19" fillId="25" borderId="23" xfId="2" applyNumberFormat="1" applyFill="1" applyBorder="1" applyAlignment="1" applyProtection="1">
      <alignment horizontal="center" vertical="top"/>
      <protection locked="0"/>
    </xf>
    <xf numFmtId="164" fontId="20" fillId="25" borderId="23" xfId="0" applyNumberFormat="1" applyFont="1" applyFill="1" applyBorder="1" applyAlignment="1" applyProtection="1">
      <alignment horizontal="center" vertical="top"/>
      <protection locked="0"/>
    </xf>
    <xf numFmtId="183" fontId="0" fillId="25" borderId="4" xfId="0" applyNumberFormat="1" applyFill="1" applyBorder="1" applyAlignment="1" applyProtection="1">
      <alignment vertical="top"/>
      <protection locked="0"/>
    </xf>
    <xf numFmtId="183" fontId="0" fillId="0" borderId="4" xfId="0" applyNumberFormat="1" applyBorder="1" applyAlignment="1">
      <alignment vertical="top"/>
    </xf>
    <xf numFmtId="0" fontId="20" fillId="46" borderId="53" xfId="0" applyFont="1" applyFill="1" applyBorder="1" applyAlignment="1">
      <alignment wrapText="1"/>
    </xf>
    <xf numFmtId="0" fontId="0" fillId="0" borderId="0" xfId="13" applyFont="1"/>
    <xf numFmtId="0" fontId="103" fillId="0" borderId="0" xfId="0" applyFont="1" applyAlignment="1">
      <alignment horizontal="center"/>
    </xf>
    <xf numFmtId="9" fontId="0" fillId="25" borderId="0" xfId="3" applyFont="1" applyFill="1" applyAlignment="1" applyProtection="1">
      <alignment horizontal="center" vertical="top"/>
      <protection locked="0"/>
    </xf>
    <xf numFmtId="9" fontId="26" fillId="0" borderId="0" xfId="3" applyFont="1" applyBorder="1" applyAlignment="1">
      <alignment horizontal="right"/>
    </xf>
    <xf numFmtId="10" fontId="0" fillId="0" borderId="0" xfId="0" applyNumberFormat="1" applyAlignment="1">
      <alignment horizontal="center"/>
    </xf>
    <xf numFmtId="10" fontId="0" fillId="0" borderId="23" xfId="3" applyNumberFormat="1" applyFont="1" applyBorder="1" applyAlignment="1">
      <alignment horizontal="center" vertical="top"/>
    </xf>
    <xf numFmtId="0" fontId="22" fillId="23" borderId="0" xfId="0" applyFont="1" applyFill="1" applyAlignment="1">
      <alignment horizontal="center"/>
    </xf>
    <xf numFmtId="0" fontId="135" fillId="47" borderId="4" xfId="0" applyFont="1" applyFill="1" applyBorder="1" applyAlignment="1">
      <alignment horizontal="center" vertical="top" wrapText="1"/>
    </xf>
    <xf numFmtId="0" fontId="135" fillId="47" borderId="4" xfId="0" applyFont="1" applyFill="1" applyBorder="1" applyAlignment="1">
      <alignment vertical="top" wrapText="1"/>
    </xf>
    <xf numFmtId="0" fontId="136" fillId="47" borderId="4" xfId="0" applyFont="1" applyFill="1" applyBorder="1" applyAlignment="1">
      <alignment horizontal="center" vertical="top" wrapText="1" readingOrder="1"/>
    </xf>
    <xf numFmtId="0" fontId="136" fillId="47" borderId="4" xfId="0" applyFont="1" applyFill="1" applyBorder="1" applyAlignment="1">
      <alignment horizontal="left" vertical="top" wrapText="1" readingOrder="1"/>
    </xf>
    <xf numFmtId="49" fontId="136" fillId="47" borderId="4" xfId="0" applyNumberFormat="1" applyFont="1" applyFill="1" applyBorder="1" applyAlignment="1">
      <alignment horizontal="center" vertical="top" wrapText="1" readingOrder="1"/>
    </xf>
    <xf numFmtId="49" fontId="136" fillId="47" borderId="4" xfId="0" applyNumberFormat="1" applyFont="1" applyFill="1" applyBorder="1" applyAlignment="1">
      <alignment horizontal="left" vertical="top" wrapText="1" readingOrder="1"/>
    </xf>
    <xf numFmtId="0" fontId="136" fillId="47" borderId="4" xfId="0" applyFont="1" applyFill="1" applyBorder="1" applyAlignment="1">
      <alignment horizontal="right" vertical="top" wrapText="1" readingOrder="1"/>
    </xf>
    <xf numFmtId="14" fontId="136" fillId="47" borderId="4" xfId="0" applyNumberFormat="1" applyFont="1" applyFill="1" applyBorder="1" applyAlignment="1">
      <alignment horizontal="right" vertical="top" wrapText="1" readingOrder="1"/>
    </xf>
    <xf numFmtId="0" fontId="137" fillId="0" borderId="0" xfId="0" applyFont="1"/>
    <xf numFmtId="0" fontId="137" fillId="0" borderId="0" xfId="0" applyFont="1" applyAlignment="1">
      <alignment vertical="top" wrapText="1"/>
    </xf>
    <xf numFmtId="0" fontId="137" fillId="0" borderId="57" xfId="0" applyFont="1" applyBorder="1" applyAlignment="1">
      <alignment vertical="top" wrapText="1"/>
    </xf>
    <xf numFmtId="0" fontId="137" fillId="0" borderId="15" xfId="0" applyFont="1" applyBorder="1" applyAlignment="1">
      <alignment vertical="top" wrapText="1"/>
    </xf>
    <xf numFmtId="0" fontId="137" fillId="0" borderId="92" xfId="0" applyFont="1" applyBorder="1"/>
    <xf numFmtId="0" fontId="137" fillId="0" borderId="35" xfId="0" applyFont="1" applyBorder="1" applyAlignment="1">
      <alignment vertical="top" wrapText="1"/>
    </xf>
    <xf numFmtId="0" fontId="137" fillId="0" borderId="34" xfId="0" applyFont="1" applyBorder="1"/>
    <xf numFmtId="0" fontId="137" fillId="0" borderId="35" xfId="0" applyFont="1" applyBorder="1"/>
    <xf numFmtId="0" fontId="138" fillId="0" borderId="34" xfId="0" applyFont="1" applyBorder="1"/>
    <xf numFmtId="0" fontId="0" fillId="0" borderId="35" xfId="0" applyBorder="1" applyAlignment="1">
      <alignment vertical="top"/>
    </xf>
    <xf numFmtId="0" fontId="0" fillId="0" borderId="34" xfId="0" applyBorder="1" applyAlignment="1">
      <alignment vertical="top"/>
    </xf>
    <xf numFmtId="0" fontId="19" fillId="25" borderId="187" xfId="0" applyFont="1" applyFill="1" applyBorder="1" applyAlignment="1" applyProtection="1">
      <alignment vertical="top" wrapText="1"/>
      <protection locked="0"/>
    </xf>
    <xf numFmtId="0" fontId="0" fillId="25" borderId="188" xfId="0" applyFill="1" applyBorder="1" applyAlignment="1" applyProtection="1">
      <alignment vertical="top" wrapText="1"/>
      <protection locked="0"/>
    </xf>
    <xf numFmtId="0" fontId="0" fillId="25" borderId="189" xfId="0" applyFill="1" applyBorder="1" applyAlignment="1" applyProtection="1">
      <alignment vertical="top" wrapText="1"/>
      <protection locked="0"/>
    </xf>
    <xf numFmtId="0" fontId="0" fillId="0" borderId="190" xfId="0" applyBorder="1" applyAlignment="1">
      <alignment horizontal="center" vertical="top"/>
    </xf>
    <xf numFmtId="0" fontId="26" fillId="25" borderId="34" xfId="0" applyFont="1" applyFill="1" applyBorder="1" applyAlignment="1">
      <alignment vertical="top"/>
    </xf>
    <xf numFmtId="0" fontId="26" fillId="0" borderId="34" xfId="0" applyFont="1" applyBorder="1" applyAlignment="1">
      <alignment horizontal="center" vertical="top" wrapText="1"/>
    </xf>
    <xf numFmtId="0" fontId="137" fillId="0" borderId="19" xfId="0" applyFont="1" applyBorder="1"/>
    <xf numFmtId="0" fontId="26" fillId="0" borderId="39" xfId="0" applyFont="1" applyBorder="1" applyAlignment="1">
      <alignment horizontal="center" vertical="top"/>
    </xf>
    <xf numFmtId="0" fontId="26" fillId="0" borderId="38" xfId="0" applyFont="1" applyBorder="1" applyAlignment="1">
      <alignment horizontal="center" vertical="top"/>
    </xf>
    <xf numFmtId="0" fontId="26" fillId="0" borderId="105" xfId="0" applyFont="1" applyBorder="1" applyAlignment="1">
      <alignment horizontal="center" vertical="top" wrapText="1"/>
    </xf>
    <xf numFmtId="6" fontId="137" fillId="0" borderId="0" xfId="0" applyNumberFormat="1" applyFont="1"/>
    <xf numFmtId="0" fontId="137" fillId="0" borderId="191" xfId="0" applyFont="1" applyBorder="1"/>
    <xf numFmtId="0" fontId="137" fillId="0" borderId="107" xfId="0" applyFont="1" applyBorder="1"/>
    <xf numFmtId="0" fontId="137" fillId="0" borderId="0" xfId="0" applyFont="1" applyAlignment="1">
      <alignment horizontal="right"/>
    </xf>
    <xf numFmtId="0" fontId="139" fillId="0" borderId="0" xfId="0" applyFont="1" applyAlignment="1">
      <alignment vertical="center"/>
    </xf>
    <xf numFmtId="0" fontId="137" fillId="0" borderId="0" xfId="0" applyFont="1" applyAlignment="1">
      <alignment horizontal="left" vertical="center"/>
    </xf>
    <xf numFmtId="0" fontId="137" fillId="0" borderId="192" xfId="0" applyFont="1" applyBorder="1"/>
    <xf numFmtId="0" fontId="137" fillId="0" borderId="14" xfId="0" applyFont="1" applyBorder="1"/>
    <xf numFmtId="0" fontId="137" fillId="0" borderId="105" xfId="0" applyFont="1" applyBorder="1"/>
    <xf numFmtId="0" fontId="140" fillId="0" borderId="34" xfId="0" applyFont="1" applyBorder="1"/>
    <xf numFmtId="0" fontId="137" fillId="0" borderId="93" xfId="0" applyFont="1" applyBorder="1"/>
    <xf numFmtId="0" fontId="137" fillId="0" borderId="40" xfId="0" applyFont="1" applyBorder="1"/>
    <xf numFmtId="0" fontId="138" fillId="19" borderId="1" xfId="0" applyFont="1" applyFill="1" applyBorder="1"/>
    <xf numFmtId="0" fontId="138" fillId="21" borderId="105" xfId="0" applyFont="1" applyFill="1" applyBorder="1"/>
    <xf numFmtId="0" fontId="137" fillId="19" borderId="11" xfId="0" applyFont="1" applyFill="1" applyBorder="1" applyAlignment="1">
      <alignment horizontal="left"/>
    </xf>
    <xf numFmtId="0" fontId="137" fillId="16" borderId="11" xfId="0" applyFont="1" applyFill="1" applyBorder="1" applyAlignment="1">
      <alignment horizontal="right"/>
    </xf>
    <xf numFmtId="0" fontId="138" fillId="21" borderId="149" xfId="0" applyFont="1" applyFill="1" applyBorder="1"/>
    <xf numFmtId="0" fontId="137" fillId="0" borderId="106" xfId="0" applyFont="1" applyBorder="1"/>
    <xf numFmtId="0" fontId="137" fillId="19" borderId="0" xfId="0" applyFont="1" applyFill="1"/>
    <xf numFmtId="0" fontId="137" fillId="16" borderId="34" xfId="0" applyFont="1" applyFill="1" applyBorder="1" applyAlignment="1">
      <alignment horizontal="right"/>
    </xf>
    <xf numFmtId="0" fontId="137" fillId="0" borderId="191" xfId="0" applyFont="1" applyBorder="1" applyAlignment="1">
      <alignment horizontal="right"/>
    </xf>
    <xf numFmtId="0" fontId="137" fillId="0" borderId="106" xfId="0" applyFont="1" applyBorder="1" applyAlignment="1">
      <alignment horizontal="right"/>
    </xf>
    <xf numFmtId="0" fontId="137" fillId="19" borderId="0" xfId="0" applyFont="1" applyFill="1" applyAlignment="1">
      <alignment horizontal="left"/>
    </xf>
    <xf numFmtId="0" fontId="137" fillId="16" borderId="0" xfId="0" applyFont="1" applyFill="1" applyAlignment="1">
      <alignment horizontal="right"/>
    </xf>
    <xf numFmtId="14" fontId="137" fillId="19" borderId="0" xfId="0" applyNumberFormat="1" applyFont="1" applyFill="1" applyAlignment="1">
      <alignment horizontal="left"/>
    </xf>
    <xf numFmtId="14" fontId="137" fillId="16" borderId="0" xfId="0" applyNumberFormat="1" applyFont="1" applyFill="1" applyAlignment="1">
      <alignment horizontal="right"/>
    </xf>
    <xf numFmtId="0" fontId="137" fillId="0" borderId="18" xfId="0" applyFont="1" applyBorder="1"/>
    <xf numFmtId="0" fontId="137" fillId="0" borderId="13" xfId="0" applyFont="1" applyBorder="1"/>
    <xf numFmtId="0" fontId="137" fillId="19" borderId="13" xfId="0" applyFont="1" applyFill="1" applyBorder="1"/>
    <xf numFmtId="0" fontId="137" fillId="16" borderId="17" xfId="0" applyFont="1" applyFill="1" applyBorder="1" applyAlignment="1">
      <alignment horizontal="right"/>
    </xf>
    <xf numFmtId="0" fontId="16" fillId="0" borderId="34" xfId="0" applyFont="1" applyBorder="1" applyAlignment="1">
      <alignment vertical="top"/>
    </xf>
    <xf numFmtId="0" fontId="0" fillId="0" borderId="18" xfId="0" applyBorder="1" applyAlignment="1">
      <alignment vertical="top"/>
    </xf>
    <xf numFmtId="0" fontId="0" fillId="0" borderId="13" xfId="0" applyBorder="1" applyAlignment="1">
      <alignment vertical="top"/>
    </xf>
    <xf numFmtId="0" fontId="16" fillId="0" borderId="17" xfId="0" applyFont="1" applyBorder="1" applyAlignment="1">
      <alignment vertical="top"/>
    </xf>
    <xf numFmtId="0" fontId="137" fillId="0" borderId="17" xfId="0" applyFont="1" applyBorder="1"/>
    <xf numFmtId="43" fontId="0" fillId="0" borderId="0" xfId="1" applyFont="1"/>
    <xf numFmtId="44" fontId="90" fillId="25" borderId="4" xfId="2" applyFont="1" applyFill="1" applyBorder="1" applyAlignment="1" applyProtection="1">
      <alignment vertical="top"/>
      <protection locked="0"/>
    </xf>
    <xf numFmtId="43" fontId="0" fillId="8" borderId="4" xfId="1" applyFont="1" applyFill="1" applyBorder="1" applyAlignment="1">
      <alignment vertical="top"/>
    </xf>
    <xf numFmtId="44" fontId="1" fillId="25" borderId="4" xfId="2" applyFont="1" applyFill="1" applyBorder="1" applyAlignment="1" applyProtection="1">
      <alignment vertical="top"/>
      <protection locked="0"/>
    </xf>
    <xf numFmtId="5" fontId="0" fillId="0" borderId="14" xfId="0" applyNumberFormat="1" applyBorder="1"/>
    <xf numFmtId="5" fontId="0" fillId="0" borderId="39" xfId="0" applyNumberFormat="1" applyBorder="1"/>
    <xf numFmtId="44" fontId="0" fillId="0" borderId="0" xfId="2" applyFont="1"/>
    <xf numFmtId="44" fontId="0" fillId="0" borderId="4" xfId="2" applyFont="1" applyBorder="1"/>
    <xf numFmtId="44" fontId="0" fillId="21" borderId="4" xfId="2" applyFont="1" applyFill="1" applyBorder="1"/>
    <xf numFmtId="44" fontId="0" fillId="8" borderId="4" xfId="2" applyFont="1" applyFill="1" applyBorder="1"/>
    <xf numFmtId="186" fontId="0" fillId="0" borderId="0" xfId="0" applyNumberFormat="1"/>
    <xf numFmtId="44" fontId="0" fillId="0" borderId="0" xfId="0" applyNumberFormat="1"/>
    <xf numFmtId="44" fontId="0" fillId="21" borderId="0" xfId="0" applyNumberFormat="1" applyFill="1"/>
    <xf numFmtId="2" fontId="0" fillId="0" borderId="0" xfId="0" applyNumberFormat="1"/>
    <xf numFmtId="0" fontId="0" fillId="21" borderId="4" xfId="0" applyFill="1" applyBorder="1" applyAlignment="1" applyProtection="1">
      <alignment vertical="top"/>
      <protection locked="0"/>
    </xf>
    <xf numFmtId="164" fontId="19" fillId="21" borderId="4" xfId="3" applyNumberFormat="1" applyFont="1" applyFill="1" applyBorder="1" applyAlignment="1" applyProtection="1">
      <alignment horizontal="center" vertical="top"/>
      <protection locked="0"/>
    </xf>
    <xf numFmtId="0" fontId="0" fillId="21" borderId="4" xfId="0" applyFill="1" applyBorder="1" applyAlignment="1" applyProtection="1">
      <alignment vertical="top" wrapText="1"/>
      <protection locked="0"/>
    </xf>
    <xf numFmtId="14" fontId="19" fillId="25" borderId="187" xfId="0" applyNumberFormat="1" applyFont="1" applyFill="1" applyBorder="1" applyAlignment="1" applyProtection="1">
      <alignment vertical="top" wrapText="1"/>
      <protection locked="0"/>
    </xf>
    <xf numFmtId="0" fontId="0" fillId="0" borderId="34" xfId="0" applyBorder="1" applyAlignment="1">
      <alignment vertical="center"/>
    </xf>
    <xf numFmtId="0" fontId="0" fillId="0" borderId="190" xfId="0" applyBorder="1" applyAlignment="1">
      <alignment horizontal="center" vertical="center"/>
    </xf>
    <xf numFmtId="0" fontId="0" fillId="25" borderId="158" xfId="0" applyFill="1" applyBorder="1" applyAlignment="1" applyProtection="1">
      <alignment vertical="center" wrapText="1"/>
      <protection locked="0"/>
    </xf>
    <xf numFmtId="0" fontId="0" fillId="25" borderId="189" xfId="0" applyFill="1" applyBorder="1" applyAlignment="1" applyProtection="1">
      <alignment vertical="center" wrapText="1"/>
      <protection locked="0"/>
    </xf>
    <xf numFmtId="0" fontId="0" fillId="25" borderId="188" xfId="0" applyFill="1" applyBorder="1" applyAlignment="1" applyProtection="1">
      <alignment vertical="center" wrapText="1"/>
      <protection locked="0"/>
    </xf>
    <xf numFmtId="0" fontId="19" fillId="25" borderId="187" xfId="0" applyFont="1" applyFill="1" applyBorder="1" applyAlignment="1" applyProtection="1">
      <alignment vertical="center" wrapText="1"/>
      <protection locked="0"/>
    </xf>
    <xf numFmtId="0" fontId="0" fillId="0" borderId="0" xfId="0" applyAlignment="1">
      <alignment vertical="center"/>
    </xf>
    <xf numFmtId="0" fontId="0" fillId="0" borderId="35" xfId="0" applyBorder="1" applyAlignment="1">
      <alignment vertical="center"/>
    </xf>
    <xf numFmtId="0" fontId="137" fillId="0" borderId="35" xfId="0" applyFont="1" applyBorder="1" applyAlignment="1">
      <alignment vertical="center"/>
    </xf>
    <xf numFmtId="14" fontId="0" fillId="25" borderId="189" xfId="0" applyNumberFormat="1" applyFill="1" applyBorder="1" applyAlignment="1" applyProtection="1">
      <alignment vertical="top" wrapText="1"/>
      <protection locked="0"/>
    </xf>
    <xf numFmtId="0" fontId="19" fillId="21" borderId="4" xfId="0" applyFont="1" applyFill="1" applyBorder="1" applyAlignment="1" applyProtection="1">
      <alignment horizontal="center" vertical="top"/>
      <protection locked="0"/>
    </xf>
    <xf numFmtId="43" fontId="0" fillId="21" borderId="4" xfId="0" applyNumberFormat="1" applyFill="1" applyBorder="1" applyAlignment="1" applyProtection="1">
      <alignment vertical="top"/>
      <protection locked="0"/>
    </xf>
    <xf numFmtId="0" fontId="15" fillId="25" borderId="158" xfId="0" applyFont="1" applyFill="1" applyBorder="1" applyAlignment="1" applyProtection="1">
      <alignment vertical="top" wrapText="1"/>
      <protection locked="0"/>
    </xf>
    <xf numFmtId="0" fontId="16" fillId="0" borderId="0" xfId="4" applyFont="1" applyAlignment="1">
      <alignment horizontal="center" vertical="top"/>
    </xf>
    <xf numFmtId="0" fontId="18" fillId="25" borderId="17" xfId="0" applyFont="1" applyFill="1" applyBorder="1" applyAlignment="1" applyProtection="1">
      <alignment horizontal="center" vertical="top" wrapText="1"/>
      <protection locked="0"/>
    </xf>
    <xf numFmtId="0" fontId="18" fillId="25" borderId="18" xfId="0" applyFont="1" applyFill="1" applyBorder="1" applyAlignment="1" applyProtection="1">
      <alignment horizontal="center" vertical="top" wrapText="1"/>
      <protection locked="0"/>
    </xf>
    <xf numFmtId="178" fontId="48" fillId="13" borderId="59" xfId="0" applyNumberFormat="1" applyFont="1" applyFill="1" applyBorder="1" applyAlignment="1">
      <alignment horizontal="center" vertical="top" wrapText="1"/>
    </xf>
    <xf numFmtId="178" fontId="48" fillId="13" borderId="63" xfId="0" applyNumberFormat="1" applyFont="1" applyFill="1" applyBorder="1" applyAlignment="1">
      <alignment horizontal="center" vertical="top" wrapText="1"/>
    </xf>
    <xf numFmtId="0" fontId="48" fillId="13" borderId="61" xfId="0" applyFont="1" applyFill="1" applyBorder="1" applyAlignment="1">
      <alignment horizontal="center" vertical="top" wrapText="1"/>
    </xf>
    <xf numFmtId="0" fontId="48" fillId="13" borderId="65" xfId="0" applyFont="1" applyFill="1" applyBorder="1" applyAlignment="1">
      <alignment horizontal="center" vertical="top" wrapText="1"/>
    </xf>
    <xf numFmtId="0" fontId="48" fillId="13" borderId="59" xfId="0" applyFont="1" applyFill="1" applyBorder="1" applyAlignment="1">
      <alignment horizontal="center" vertical="top" wrapText="1"/>
    </xf>
    <xf numFmtId="0" fontId="48" fillId="13" borderId="63" xfId="0" applyFont="1" applyFill="1" applyBorder="1" applyAlignment="1">
      <alignment horizontal="center" vertical="top" wrapText="1"/>
    </xf>
    <xf numFmtId="0" fontId="34" fillId="0" borderId="0" xfId="4" applyFont="1" applyAlignment="1">
      <alignment horizontal="center"/>
    </xf>
    <xf numFmtId="0" fontId="34" fillId="0" borderId="122" xfId="4" applyFont="1" applyBorder="1" applyAlignment="1">
      <alignment horizontal="center"/>
    </xf>
    <xf numFmtId="0" fontId="16" fillId="0" borderId="0" xfId="4" applyFont="1" applyAlignment="1">
      <alignment horizontal="center"/>
    </xf>
    <xf numFmtId="5" fontId="18" fillId="0" borderId="0" xfId="4" applyNumberFormat="1" applyFont="1" applyAlignment="1">
      <alignment horizontal="center"/>
    </xf>
    <xf numFmtId="5" fontId="16" fillId="0" borderId="0" xfId="4" applyNumberFormat="1" applyFont="1" applyAlignment="1">
      <alignment horizontal="center"/>
    </xf>
    <xf numFmtId="170" fontId="105" fillId="13" borderId="0" xfId="32" applyNumberFormat="1" applyFont="1" applyFill="1" applyBorder="1" applyAlignment="1">
      <alignment horizontal="center" vertical="top" wrapText="1"/>
    </xf>
    <xf numFmtId="0" fontId="105" fillId="13" borderId="0" xfId="31" applyFont="1" applyFill="1" applyAlignment="1">
      <alignment horizontal="center" vertical="top" wrapText="1"/>
    </xf>
    <xf numFmtId="170" fontId="105" fillId="10" borderId="0" xfId="32" applyNumberFormat="1" applyFont="1" applyFill="1" applyBorder="1" applyAlignment="1">
      <alignment horizontal="center" vertical="top" wrapText="1"/>
    </xf>
    <xf numFmtId="0" fontId="85" fillId="25" borderId="138" xfId="25" applyFont="1" applyFill="1" applyBorder="1" applyAlignment="1" applyProtection="1">
      <alignment horizontal="left"/>
      <protection locked="0"/>
    </xf>
    <xf numFmtId="0" fontId="85" fillId="25" borderId="136" xfId="25" applyFont="1" applyFill="1" applyBorder="1" applyAlignment="1" applyProtection="1">
      <alignment horizontal="left"/>
      <protection locked="0"/>
    </xf>
    <xf numFmtId="0" fontId="85" fillId="25" borderId="139" xfId="25" applyFont="1" applyFill="1" applyBorder="1" applyAlignment="1" applyProtection="1">
      <alignment horizontal="left"/>
      <protection locked="0"/>
    </xf>
    <xf numFmtId="0" fontId="43" fillId="7" borderId="38" xfId="8" applyFont="1" applyFill="1" applyBorder="1" applyAlignment="1" applyProtection="1">
      <alignment horizontal="left" wrapText="1"/>
      <protection locked="0"/>
    </xf>
    <xf numFmtId="0" fontId="43" fillId="7" borderId="14" xfId="8" applyFont="1" applyFill="1" applyBorder="1" applyAlignment="1" applyProtection="1">
      <alignment horizontal="left" wrapText="1"/>
      <protection locked="0"/>
    </xf>
    <xf numFmtId="0" fontId="43" fillId="7" borderId="134" xfId="8" applyFont="1" applyFill="1" applyBorder="1" applyAlignment="1" applyProtection="1">
      <alignment horizontal="left" wrapText="1"/>
      <protection locked="0"/>
    </xf>
    <xf numFmtId="0" fontId="12" fillId="25" borderId="38" xfId="25" applyFill="1" applyBorder="1" applyAlignment="1" applyProtection="1">
      <alignment horizontal="left" wrapText="1"/>
      <protection locked="0"/>
    </xf>
    <xf numFmtId="0" fontId="12" fillId="25" borderId="14" xfId="25" applyFill="1" applyBorder="1" applyAlignment="1" applyProtection="1">
      <alignment horizontal="left" wrapText="1"/>
      <protection locked="0"/>
    </xf>
    <xf numFmtId="0" fontId="12" fillId="25" borderId="134" xfId="25" applyFill="1" applyBorder="1" applyAlignment="1" applyProtection="1">
      <alignment horizontal="left" wrapText="1"/>
      <protection locked="0"/>
    </xf>
    <xf numFmtId="0" fontId="11" fillId="25" borderId="38" xfId="25" applyFont="1" applyFill="1" applyBorder="1" applyAlignment="1" applyProtection="1">
      <alignment horizontal="left" wrapText="1"/>
      <protection locked="0"/>
    </xf>
    <xf numFmtId="0" fontId="12" fillId="25" borderId="38" xfId="25" applyFill="1" applyBorder="1" applyAlignment="1" applyProtection="1">
      <alignment horizontal="left"/>
      <protection locked="0"/>
    </xf>
    <xf numFmtId="0" fontId="12" fillId="25" borderId="14" xfId="25" applyFill="1" applyBorder="1" applyAlignment="1" applyProtection="1">
      <alignment horizontal="left"/>
      <protection locked="0"/>
    </xf>
    <xf numFmtId="0" fontId="12" fillId="25" borderId="134" xfId="25" applyFill="1" applyBorder="1" applyAlignment="1" applyProtection="1">
      <alignment horizontal="left"/>
      <protection locked="0"/>
    </xf>
    <xf numFmtId="0" fontId="12" fillId="25" borderId="38" xfId="25" applyFill="1" applyBorder="1" applyAlignment="1" applyProtection="1">
      <alignment vertical="center"/>
      <protection locked="0"/>
    </xf>
    <xf numFmtId="0" fontId="12" fillId="25" borderId="14" xfId="25" applyFill="1" applyBorder="1" applyAlignment="1" applyProtection="1">
      <alignment vertical="center"/>
      <protection locked="0"/>
    </xf>
    <xf numFmtId="0" fontId="12" fillId="25" borderId="134" xfId="25" applyFill="1" applyBorder="1" applyAlignment="1" applyProtection="1">
      <alignment vertical="center"/>
      <protection locked="0"/>
    </xf>
    <xf numFmtId="5" fontId="72" fillId="0" borderId="116" xfId="4" applyNumberFormat="1" applyFont="1" applyBorder="1" applyAlignment="1">
      <alignment horizontal="center"/>
    </xf>
    <xf numFmtId="5" fontId="72" fillId="0" borderId="117" xfId="4" applyNumberFormat="1" applyFont="1" applyBorder="1" applyAlignment="1">
      <alignment horizontal="center"/>
    </xf>
    <xf numFmtId="5" fontId="72" fillId="0" borderId="118" xfId="4" applyNumberFormat="1" applyFont="1" applyBorder="1" applyAlignment="1">
      <alignment horizontal="center"/>
    </xf>
    <xf numFmtId="0" fontId="12" fillId="0" borderId="38" xfId="25" applyBorder="1" applyAlignment="1">
      <alignment horizontal="left"/>
    </xf>
    <xf numFmtId="0" fontId="12" fillId="0" borderId="14" xfId="25" applyBorder="1" applyAlignment="1">
      <alignment horizontal="left"/>
    </xf>
    <xf numFmtId="0" fontId="12" fillId="0" borderId="134" xfId="25" applyBorder="1" applyAlignment="1">
      <alignment horizontal="left"/>
    </xf>
    <xf numFmtId="0" fontId="85" fillId="25" borderId="138" xfId="25" applyFont="1" applyFill="1" applyBorder="1" applyAlignment="1" applyProtection="1">
      <alignment horizontal="left" wrapText="1"/>
      <protection locked="0"/>
    </xf>
    <xf numFmtId="0" fontId="85" fillId="25" borderId="136" xfId="25" applyFont="1" applyFill="1" applyBorder="1" applyAlignment="1" applyProtection="1">
      <alignment horizontal="left" wrapText="1"/>
      <protection locked="0"/>
    </xf>
    <xf numFmtId="0" fontId="85" fillId="25" borderId="139" xfId="25" applyFont="1" applyFill="1" applyBorder="1" applyAlignment="1" applyProtection="1">
      <alignment horizontal="left" wrapText="1"/>
      <protection locked="0"/>
    </xf>
    <xf numFmtId="0" fontId="10" fillId="25" borderId="38" xfId="25" applyFont="1" applyFill="1" applyBorder="1" applyAlignment="1" applyProtection="1">
      <alignment horizontal="left" wrapText="1"/>
      <protection locked="0"/>
    </xf>
    <xf numFmtId="0" fontId="0" fillId="25" borderId="38" xfId="25" applyFont="1" applyFill="1" applyBorder="1" applyAlignment="1" applyProtection="1">
      <alignment horizontal="left" wrapText="1"/>
      <protection locked="0"/>
    </xf>
    <xf numFmtId="0" fontId="12" fillId="0" borderId="14" xfId="25" applyBorder="1" applyAlignment="1">
      <alignment horizontal="left" wrapText="1"/>
    </xf>
    <xf numFmtId="0" fontId="12" fillId="0" borderId="134" xfId="25" applyBorder="1" applyAlignment="1">
      <alignment horizontal="left" wrapText="1"/>
    </xf>
    <xf numFmtId="0" fontId="53" fillId="0" borderId="0" xfId="24" applyFont="1" applyAlignment="1">
      <alignment horizontal="center" vertical="center"/>
    </xf>
    <xf numFmtId="0" fontId="55" fillId="0" borderId="0" xfId="24" applyFont="1" applyAlignment="1">
      <alignment horizontal="right" vertical="center"/>
    </xf>
    <xf numFmtId="0" fontId="55" fillId="0" borderId="0" xfId="24" applyFont="1" applyAlignment="1">
      <alignment horizontal="center" vertical="center"/>
    </xf>
    <xf numFmtId="0" fontId="55" fillId="0" borderId="0" xfId="24" applyFont="1" applyAlignment="1">
      <alignment horizontal="left" vertical="center"/>
    </xf>
    <xf numFmtId="49" fontId="55" fillId="0" borderId="0" xfId="24" applyNumberFormat="1" applyFont="1" applyAlignment="1">
      <alignment horizontal="center" vertical="center"/>
    </xf>
    <xf numFmtId="5" fontId="55" fillId="0" borderId="0" xfId="24" applyNumberFormat="1" applyFont="1" applyAlignment="1">
      <alignment horizontal="left" vertical="center"/>
    </xf>
    <xf numFmtId="0" fontId="55" fillId="0" borderId="11" xfId="24" applyFont="1" applyBorder="1" applyAlignment="1">
      <alignment horizontal="right" vertical="center"/>
    </xf>
    <xf numFmtId="0" fontId="55" fillId="0" borderId="11" xfId="24" applyFont="1" applyBorder="1" applyAlignment="1">
      <alignment horizontal="center" vertical="center"/>
    </xf>
    <xf numFmtId="0" fontId="59" fillId="0" borderId="0" xfId="24" applyFont="1" applyAlignment="1" applyProtection="1">
      <alignment horizontal="left" vertical="top" wrapText="1"/>
      <protection locked="0"/>
    </xf>
    <xf numFmtId="0" fontId="61" fillId="20" borderId="17" xfId="24" applyFont="1" applyFill="1" applyBorder="1" applyAlignment="1">
      <alignment horizontal="center" vertical="center"/>
    </xf>
    <xf numFmtId="0" fontId="61" fillId="20" borderId="13" xfId="24" applyFont="1" applyFill="1" applyBorder="1" applyAlignment="1">
      <alignment horizontal="center" vertical="center"/>
    </xf>
    <xf numFmtId="0" fontId="61" fillId="20" borderId="18" xfId="24" applyFont="1" applyFill="1" applyBorder="1" applyAlignment="1">
      <alignment horizontal="center" vertical="center"/>
    </xf>
    <xf numFmtId="0" fontId="61" fillId="20" borderId="92" xfId="24" applyFont="1" applyFill="1" applyBorder="1" applyAlignment="1">
      <alignment horizontal="center" vertical="center"/>
    </xf>
    <xf numFmtId="0" fontId="61" fillId="20" borderId="15" xfId="24" applyFont="1" applyFill="1" applyBorder="1" applyAlignment="1">
      <alignment horizontal="center" vertical="center"/>
    </xf>
    <xf numFmtId="0" fontId="19" fillId="25" borderId="29" xfId="0" applyFont="1" applyFill="1" applyBorder="1" applyAlignment="1">
      <alignment vertical="top"/>
    </xf>
    <xf numFmtId="0" fontId="19" fillId="25" borderId="11" xfId="0" applyFont="1" applyFill="1" applyBorder="1" applyAlignment="1">
      <alignment vertical="top"/>
    </xf>
    <xf numFmtId="0" fontId="19" fillId="18" borderId="34" xfId="0" applyFont="1" applyFill="1" applyBorder="1" applyAlignment="1">
      <alignment vertical="top"/>
    </xf>
    <xf numFmtId="0" fontId="19" fillId="18" borderId="0" xfId="0" applyFont="1" applyFill="1" applyAlignment="1">
      <alignment vertical="top"/>
    </xf>
    <xf numFmtId="0" fontId="19" fillId="18" borderId="29" xfId="0" applyFont="1" applyFill="1" applyBorder="1" applyAlignment="1">
      <alignment vertical="top"/>
    </xf>
    <xf numFmtId="0" fontId="19" fillId="18" borderId="11" xfId="0" applyFont="1" applyFill="1" applyBorder="1" applyAlignment="1">
      <alignment vertical="top"/>
    </xf>
    <xf numFmtId="0" fontId="52" fillId="33" borderId="0" xfId="0" applyFont="1" applyFill="1" applyAlignment="1">
      <alignment horizontal="center" vertical="top"/>
    </xf>
    <xf numFmtId="0" fontId="19" fillId="25" borderId="0" xfId="0" applyFont="1" applyFill="1" applyAlignment="1">
      <alignment vertical="top"/>
    </xf>
    <xf numFmtId="0" fontId="19" fillId="25" borderId="34" xfId="0" applyFont="1" applyFill="1" applyBorder="1" applyAlignment="1">
      <alignment vertical="top"/>
    </xf>
    <xf numFmtId="0" fontId="136" fillId="47" borderId="4" xfId="0" applyFont="1" applyFill="1" applyBorder="1" applyAlignment="1">
      <alignment horizontal="left" vertical="top" wrapText="1" readingOrder="1"/>
    </xf>
    <xf numFmtId="0" fontId="137" fillId="0" borderId="92" xfId="0" applyFont="1" applyBorder="1" applyAlignment="1">
      <alignment horizontal="left" vertical="top" wrapText="1"/>
    </xf>
    <xf numFmtId="0" fontId="137" fillId="0" borderId="15" xfId="0" applyFont="1" applyBorder="1" applyAlignment="1">
      <alignment horizontal="left" vertical="top" wrapText="1"/>
    </xf>
    <xf numFmtId="0" fontId="137" fillId="0" borderId="57" xfId="0" applyFont="1" applyBorder="1" applyAlignment="1">
      <alignment horizontal="left" vertical="top" wrapText="1"/>
    </xf>
    <xf numFmtId="0" fontId="137" fillId="0" borderId="53" xfId="0" applyFont="1" applyBorder="1" applyAlignment="1">
      <alignment horizontal="center" vertical="top" wrapText="1"/>
    </xf>
    <xf numFmtId="0" fontId="137" fillId="0" borderId="41" xfId="0" applyFont="1" applyBorder="1" applyAlignment="1">
      <alignment horizontal="center" vertical="top" wrapText="1"/>
    </xf>
    <xf numFmtId="0" fontId="137" fillId="0" borderId="54" xfId="0" applyFont="1" applyBorder="1" applyAlignment="1">
      <alignment horizontal="center" vertical="top" wrapText="1"/>
    </xf>
    <xf numFmtId="0" fontId="137" fillId="0" borderId="34" xfId="0" applyFont="1" applyBorder="1" applyAlignment="1">
      <alignment horizontal="left" vertical="top" wrapText="1"/>
    </xf>
    <xf numFmtId="0" fontId="137" fillId="0" borderId="0" xfId="0" applyFont="1" applyAlignment="1">
      <alignment horizontal="left" vertical="top" wrapText="1"/>
    </xf>
    <xf numFmtId="0" fontId="137" fillId="0" borderId="35" xfId="0" applyFont="1" applyBorder="1" applyAlignment="1">
      <alignment horizontal="left" vertical="top" wrapText="1"/>
    </xf>
    <xf numFmtId="0" fontId="19" fillId="0" borderId="0" xfId="0" applyFont="1"/>
    <xf numFmtId="0" fontId="20" fillId="0" borderId="0" xfId="0" applyFont="1"/>
    <xf numFmtId="0" fontId="31" fillId="0" borderId="17" xfId="0" applyFont="1" applyBorder="1" applyAlignment="1">
      <alignment horizontal="center"/>
    </xf>
    <xf numFmtId="0" fontId="0" fillId="0" borderId="13" xfId="0" applyBorder="1" applyAlignment="1">
      <alignment horizontal="center"/>
    </xf>
    <xf numFmtId="0" fontId="0" fillId="0" borderId="18" xfId="0" applyBorder="1" applyAlignment="1">
      <alignment horizontal="center"/>
    </xf>
    <xf numFmtId="0" fontId="18" fillId="0" borderId="34" xfId="0" applyFont="1" applyBorder="1" applyAlignment="1">
      <alignment horizontal="center"/>
    </xf>
    <xf numFmtId="0" fontId="0" fillId="0" borderId="0" xfId="0" applyAlignment="1">
      <alignment horizontal="center"/>
    </xf>
    <xf numFmtId="0" fontId="0" fillId="0" borderId="35" xfId="0" applyBorder="1" applyAlignment="1">
      <alignment horizontal="center"/>
    </xf>
    <xf numFmtId="0" fontId="0" fillId="0" borderId="35" xfId="0" applyBorder="1" applyAlignment="1">
      <alignment horizontal="center" wrapText="1"/>
    </xf>
    <xf numFmtId="0" fontId="0" fillId="0" borderId="35" xfId="0" applyBorder="1" applyAlignment="1">
      <alignment wrapText="1"/>
    </xf>
    <xf numFmtId="0" fontId="20" fillId="0" borderId="0" xfId="0" applyFont="1" applyAlignment="1">
      <alignment horizontal="center"/>
    </xf>
    <xf numFmtId="5" fontId="82" fillId="0" borderId="0" xfId="10" applyNumberFormat="1" applyFont="1" applyAlignment="1">
      <alignment horizontal="center" vertical="center"/>
    </xf>
    <xf numFmtId="0" fontId="82" fillId="0" borderId="0" xfId="10" applyFont="1" applyAlignment="1">
      <alignment horizontal="center" vertical="center"/>
    </xf>
    <xf numFmtId="0" fontId="82" fillId="0" borderId="0" xfId="10" applyFont="1" applyAlignment="1">
      <alignment horizontal="left" vertical="center" wrapText="1"/>
    </xf>
    <xf numFmtId="0" fontId="52" fillId="0" borderId="0" xfId="10" applyFont="1" applyAlignment="1">
      <alignment horizontal="center" vertical="center"/>
    </xf>
    <xf numFmtId="0" fontId="82" fillId="0" borderId="0" xfId="10" applyFont="1" applyAlignment="1">
      <alignment horizontal="right" vertical="center"/>
    </xf>
    <xf numFmtId="0" fontId="55" fillId="0" borderId="0" xfId="23" applyFont="1" applyAlignment="1">
      <alignment horizontal="left" vertical="center" wrapText="1"/>
    </xf>
    <xf numFmtId="49" fontId="82" fillId="0" borderId="0" xfId="10" applyNumberFormat="1" applyFont="1" applyAlignment="1">
      <alignment horizontal="center" vertical="center"/>
    </xf>
    <xf numFmtId="5" fontId="82" fillId="0" borderId="0" xfId="10" applyNumberFormat="1" applyFont="1" applyAlignment="1">
      <alignment horizontal="left"/>
    </xf>
    <xf numFmtId="0" fontId="82" fillId="0" borderId="0" xfId="10" applyFont="1" applyAlignment="1">
      <alignment horizontal="left"/>
    </xf>
    <xf numFmtId="178" fontId="19" fillId="0" borderId="109" xfId="10" applyNumberFormat="1" applyBorder="1" applyAlignment="1">
      <alignment horizontal="center" vertical="center"/>
    </xf>
    <xf numFmtId="178" fontId="19" fillId="0" borderId="109" xfId="10" applyNumberFormat="1" applyBorder="1" applyAlignment="1">
      <alignment vertical="center"/>
    </xf>
    <xf numFmtId="0" fontId="24" fillId="0" borderId="113" xfId="10" applyFont="1" applyBorder="1" applyAlignment="1">
      <alignment horizontal="center" vertical="center"/>
    </xf>
    <xf numFmtId="0" fontId="24" fillId="0" borderId="33" xfId="10" applyFont="1" applyBorder="1" applyAlignment="1">
      <alignment horizontal="center" vertical="center"/>
    </xf>
    <xf numFmtId="0" fontId="24" fillId="0" borderId="112" xfId="10" applyFont="1" applyBorder="1" applyAlignment="1">
      <alignment horizontal="center" vertical="center"/>
    </xf>
    <xf numFmtId="0" fontId="24" fillId="0" borderId="114" xfId="10" applyFont="1" applyBorder="1" applyAlignment="1">
      <alignment horizontal="center" vertical="center"/>
    </xf>
    <xf numFmtId="0" fontId="24" fillId="0" borderId="111" xfId="10" applyFont="1" applyBorder="1" applyAlignment="1">
      <alignment horizontal="center" vertical="center"/>
    </xf>
    <xf numFmtId="5" fontId="18" fillId="0" borderId="8" xfId="4" applyNumberFormat="1" applyFont="1" applyBorder="1" applyAlignment="1">
      <alignment horizontal="center"/>
    </xf>
    <xf numFmtId="5" fontId="18" fillId="0" borderId="9" xfId="4" applyNumberFormat="1" applyFont="1" applyBorder="1" applyAlignment="1">
      <alignment horizontal="center"/>
    </xf>
    <xf numFmtId="5" fontId="16" fillId="0" borderId="8" xfId="4" applyNumberFormat="1" applyFont="1" applyBorder="1" applyAlignment="1">
      <alignment horizontal="center"/>
    </xf>
    <xf numFmtId="5" fontId="16" fillId="0" borderId="9" xfId="4" applyNumberFormat="1" applyFont="1" applyBorder="1" applyAlignment="1">
      <alignment horizontal="center"/>
    </xf>
    <xf numFmtId="0" fontId="34" fillId="0" borderId="8" xfId="4" applyFont="1" applyBorder="1" applyAlignment="1">
      <alignment horizontal="center"/>
    </xf>
    <xf numFmtId="0" fontId="0" fillId="0" borderId="0" xfId="0"/>
    <xf numFmtId="0" fontId="34" fillId="0" borderId="10" xfId="4" applyFont="1" applyBorder="1" applyAlignment="1">
      <alignment horizontal="center"/>
    </xf>
    <xf numFmtId="0" fontId="0" fillId="0" borderId="11" xfId="0" applyBorder="1"/>
    <xf numFmtId="0" fontId="19" fillId="25" borderId="151" xfId="0" applyFont="1" applyFill="1" applyBorder="1" applyAlignment="1">
      <alignment horizontal="center" vertical="center"/>
    </xf>
    <xf numFmtId="0" fontId="19" fillId="25" borderId="152" xfId="0" applyFont="1" applyFill="1" applyBorder="1" applyAlignment="1">
      <alignment horizontal="center" vertical="center"/>
    </xf>
    <xf numFmtId="0" fontId="19" fillId="25" borderId="149" xfId="0" applyFont="1" applyFill="1" applyBorder="1" applyAlignment="1">
      <alignment horizontal="center" vertical="center" wrapText="1"/>
    </xf>
    <xf numFmtId="0" fontId="19" fillId="25" borderId="153" xfId="0" applyFont="1" applyFill="1" applyBorder="1" applyAlignment="1">
      <alignment horizontal="center" vertical="center" wrapText="1"/>
    </xf>
    <xf numFmtId="0" fontId="19" fillId="25" borderId="156" xfId="0" applyFont="1" applyFill="1" applyBorder="1" applyAlignment="1">
      <alignment horizontal="center" vertical="center"/>
    </xf>
    <xf numFmtId="0" fontId="19" fillId="25" borderId="154" xfId="0" applyFont="1" applyFill="1" applyBorder="1" applyAlignment="1">
      <alignment horizontal="center" vertical="center" wrapText="1"/>
    </xf>
    <xf numFmtId="14" fontId="0" fillId="0" borderId="1" xfId="0" applyNumberFormat="1" applyBorder="1" applyAlignment="1">
      <alignment horizontal="center" vertical="center" wrapText="1"/>
    </xf>
    <xf numFmtId="14" fontId="0" fillId="0" borderId="2" xfId="0" applyNumberFormat="1" applyBorder="1" applyAlignment="1">
      <alignment horizontal="center" vertical="center" wrapText="1"/>
    </xf>
    <xf numFmtId="14" fontId="0" fillId="0" borderId="3" xfId="0" applyNumberFormat="1" applyBorder="1" applyAlignment="1">
      <alignment horizontal="center" vertical="center" wrapText="1"/>
    </xf>
    <xf numFmtId="0" fontId="19" fillId="0" borderId="1" xfId="0" applyFont="1" applyBorder="1" applyAlignment="1">
      <alignment horizontal="left" vertical="center" wrapText="1"/>
    </xf>
    <xf numFmtId="0" fontId="19" fillId="0" borderId="2" xfId="0" applyFont="1" applyBorder="1" applyAlignment="1">
      <alignment horizontal="left" vertical="center" wrapText="1"/>
    </xf>
    <xf numFmtId="0" fontId="19" fillId="0" borderId="3" xfId="0" applyFont="1" applyBorder="1" applyAlignment="1">
      <alignment horizontal="left"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5" fillId="0" borderId="0" xfId="0" applyFont="1" applyAlignment="1">
      <alignment horizontal="center"/>
    </xf>
    <xf numFmtId="14" fontId="0" fillId="0" borderId="4" xfId="0" applyNumberForma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14" fontId="0" fillId="0" borderId="1" xfId="0" applyNumberForma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43" fontId="0" fillId="6" borderId="4" xfId="1" applyFont="1" applyFill="1" applyBorder="1" applyAlignment="1" applyProtection="1">
      <alignment vertical="top"/>
      <protection locked="0"/>
    </xf>
    <xf numFmtId="0" fontId="0" fillId="0" borderId="0" xfId="0" applyAlignment="1">
      <alignment horizontal="left" vertical="top"/>
    </xf>
  </cellXfs>
  <cellStyles count="110">
    <cellStyle name="AF Column - IBM Cognos" xfId="40" xr:uid="{6C055849-9C76-4C44-A243-9C9A7F8B510F}"/>
    <cellStyle name="AF Data - IBM Cognos" xfId="41" xr:uid="{D26C5153-08E0-4370-9E08-C9C7C764D11A}"/>
    <cellStyle name="AF Data 0 - IBM Cognos" xfId="42" xr:uid="{4512E734-0E80-4E02-A8D0-64A85B50785A}"/>
    <cellStyle name="AF Data 1 - IBM Cognos" xfId="43" xr:uid="{2C38F7AE-2626-4827-9B7D-E86BA582272C}"/>
    <cellStyle name="AF Data 2 - IBM Cognos" xfId="44" xr:uid="{2D8469C8-8342-4903-BD92-C36E5F00F2CB}"/>
    <cellStyle name="AF Data 3 - IBM Cognos" xfId="45" xr:uid="{D619BF70-A18D-48B3-BBDA-A0D0A8310451}"/>
    <cellStyle name="AF Data 4 - IBM Cognos" xfId="46" xr:uid="{83796D24-EFC3-466D-AC41-5B7F9CFB611C}"/>
    <cellStyle name="AF Data 5 - IBM Cognos" xfId="47" xr:uid="{BF2AB603-404B-499D-9408-93BEE2B5CD28}"/>
    <cellStyle name="AF Data Leaf - IBM Cognos" xfId="48" xr:uid="{C981C61C-2D70-4E4B-B8AA-4E0D6DB9A01D}"/>
    <cellStyle name="AF Header - IBM Cognos" xfId="49" xr:uid="{21A9FF87-D54D-4A30-BB96-52AD432515C5}"/>
    <cellStyle name="AF Header 0 - IBM Cognos" xfId="50" xr:uid="{994AA5BA-BAF5-4966-A7BC-BD894C6B8328}"/>
    <cellStyle name="AF Header 1 - IBM Cognos" xfId="51" xr:uid="{AEED76F5-3644-4E15-A63B-E6A20A435D19}"/>
    <cellStyle name="AF Header 2 - IBM Cognos" xfId="52" xr:uid="{99CD44C6-142C-44D1-9D5F-5968CE789342}"/>
    <cellStyle name="AF Header 3 - IBM Cognos" xfId="53" xr:uid="{35DE8CB4-95A7-4BF9-BC58-0C557F99A38F}"/>
    <cellStyle name="AF Header 4 - IBM Cognos" xfId="54" xr:uid="{873DA86A-AA6D-4954-9C41-42FF48DB3BF7}"/>
    <cellStyle name="AF Header 5 - IBM Cognos" xfId="55" xr:uid="{E26E3BC9-D811-4908-8D1C-703A00662281}"/>
    <cellStyle name="AF Header Leaf - IBM Cognos" xfId="56" xr:uid="{E23CC7AA-9432-40FD-B856-86238A6D3DD8}"/>
    <cellStyle name="AF Row - IBM Cognos" xfId="57" xr:uid="{91F41788-336A-4126-B085-B958BA41B96A}"/>
    <cellStyle name="AF Row 0 - IBM Cognos" xfId="58" xr:uid="{FC6710D9-811E-48BF-A142-AAC38A435536}"/>
    <cellStyle name="AF Row 1 - IBM Cognos" xfId="59" xr:uid="{F220AEA2-9187-4939-90B7-D97BB4F2245F}"/>
    <cellStyle name="AF Row 2 - IBM Cognos" xfId="60" xr:uid="{8A334A54-A871-4518-8869-AA370B3C2725}"/>
    <cellStyle name="AF Row 3 - IBM Cognos" xfId="61" xr:uid="{2562ED99-CD25-41AE-910F-D2163BB435C9}"/>
    <cellStyle name="AF Row 4 - IBM Cognos" xfId="62" xr:uid="{3C5ED9E3-E527-4586-A47C-1850BB85F800}"/>
    <cellStyle name="AF Row 5 - IBM Cognos" xfId="63" xr:uid="{3E998F7B-FB89-4430-B341-5BDAF8AF7BC4}"/>
    <cellStyle name="AF Row Leaf - IBM Cognos" xfId="64" xr:uid="{F0AF289B-6433-4BF6-820D-49BC8613EC22}"/>
    <cellStyle name="AF Subnm - IBM Cognos" xfId="65" xr:uid="{853394C4-D7EF-41A8-BDDE-D0C7777D597C}"/>
    <cellStyle name="AF Title - IBM Cognos" xfId="66" xr:uid="{A7B9F560-FDB1-4361-83C4-AD1A59D0EABC}"/>
    <cellStyle name="Calculated Column - IBM Cognos" xfId="67" xr:uid="{6D9EB7EA-9705-4F0E-A06D-85651F350461}"/>
    <cellStyle name="Calculated Column Name - IBM Cognos" xfId="68" xr:uid="{A028AB49-C031-44C6-894A-CD78D1F9BB95}"/>
    <cellStyle name="Calculated Row - IBM Cognos" xfId="69" xr:uid="{514E1BBD-994E-48A8-8E5C-B3B17D597D9F}"/>
    <cellStyle name="Calculated Row Name - IBM Cognos" xfId="70" xr:uid="{91D91119-2304-43F4-88F6-260B005A588C}"/>
    <cellStyle name="Column Name - IBM Cognos" xfId="71" xr:uid="{308F8179-D291-4F0A-84B8-A20686AFAC4F}"/>
    <cellStyle name="Column Template - IBM Cognos" xfId="72" xr:uid="{8E278588-AEE6-4849-B431-E878E4F6532B}"/>
    <cellStyle name="Comma" xfId="1" builtinId="3"/>
    <cellStyle name="Comma 2" xfId="15" xr:uid="{B46B3219-1258-4842-B36F-DAD76260927F}"/>
    <cellStyle name="Comma 3" xfId="18" xr:uid="{23AF7C51-28CC-4896-A2B2-179C2D041923}"/>
    <cellStyle name="Comma 4" xfId="29" xr:uid="{3490B993-21A9-455F-8F15-05B794B67292}"/>
    <cellStyle name="Comma 4 2" xfId="103" xr:uid="{21F12015-0FDD-40E7-A921-0D78CA63CF4F}"/>
    <cellStyle name="Comma 5" xfId="33" xr:uid="{ECBDA465-4036-4DC2-8545-DD942DEE43E8}"/>
    <cellStyle name="Comma 5 2" xfId="107" xr:uid="{3DBDA157-92EE-4B09-96CD-62B461690F2B}"/>
    <cellStyle name="Comma 6" xfId="95" xr:uid="{1EE7BA48-0A8B-4B82-B76A-B2731FCC5E0F}"/>
    <cellStyle name="Currency" xfId="2" builtinId="4"/>
    <cellStyle name="Currency 2" xfId="14" xr:uid="{399C3396-C87C-4A01-990D-7D4DF1F98316}"/>
    <cellStyle name="Currency 2 2" xfId="12" xr:uid="{4AA11B64-AE26-4C1A-83BE-E147151A79D6}"/>
    <cellStyle name="Currency 2 2 2" xfId="37" xr:uid="{95FE67D6-9E77-4BBF-9E94-7A322263DF60}"/>
    <cellStyle name="Currency 3" xfId="22" xr:uid="{08E90DC8-3F72-44EB-A6C6-C673F2CD3995}"/>
    <cellStyle name="Currency 4" xfId="28" xr:uid="{CE07D03C-AB28-4255-AC34-3C0ADE5DE050}"/>
    <cellStyle name="Currency 4 2" xfId="102" xr:uid="{983F03B8-50DB-4616-8224-39DC650C8D40}"/>
    <cellStyle name="Currency 5" xfId="32" xr:uid="{B5546D3D-EE34-4DC8-8C01-F116B4CFBD50}"/>
    <cellStyle name="Currency 5 2" xfId="106" xr:uid="{42230443-7CED-42BD-92A6-F573F711BA05}"/>
    <cellStyle name="Currency 6" xfId="36" xr:uid="{7298B6A9-D293-495B-A51A-B8E335C5AB5A}"/>
    <cellStyle name="Currency 6 2" xfId="109" xr:uid="{3D524E3A-1DFD-4212-9AE7-4CF92FB55F79}"/>
    <cellStyle name="Currency_Cover (2)" xfId="7" xr:uid="{4FB9B25B-1D26-4335-B34F-B29D49E857A0}"/>
    <cellStyle name="Differs From Base - IBM Cognos" xfId="73" xr:uid="{0EB805FB-C096-4976-801B-621AF85155F7}"/>
    <cellStyle name="Edit - IBM Cognos" xfId="74" xr:uid="{1834850A-E924-4765-9B4A-735ECBD73843}"/>
    <cellStyle name="Formula - IBM Cognos" xfId="75" xr:uid="{8BDD82AA-21A8-4C2A-8663-5223093676C3}"/>
    <cellStyle name="Group Name - IBM Cognos" xfId="76" xr:uid="{A364941E-EA6E-486B-9660-4E0406D10FFA}"/>
    <cellStyle name="Hold Values - IBM Cognos" xfId="77" xr:uid="{ACD54175-6012-4529-A134-DC81D52834FA}"/>
    <cellStyle name="List Name - IBM Cognos" xfId="78" xr:uid="{F0F223DB-2C1A-46D9-A5FC-79742FCAF0CB}"/>
    <cellStyle name="Locked - IBM Cognos" xfId="26" xr:uid="{09A50E90-1C59-4A00-A444-9FFE1D629C3C}"/>
    <cellStyle name="Measure - IBM Cognos" xfId="79" xr:uid="{F14685E3-BD53-4B65-A53C-EA14F5176106}"/>
    <cellStyle name="Measure Header - IBM Cognos" xfId="80" xr:uid="{D24AE8D5-5252-4752-AF01-42A57CD4EF83}"/>
    <cellStyle name="Measure Name - IBM Cognos" xfId="81" xr:uid="{75C64D0D-820F-46E6-9C3D-A1AB43D3F376}"/>
    <cellStyle name="Measure Summary - IBM Cognos" xfId="82" xr:uid="{BF9270E7-80F5-49B0-BEA2-0916EC9A3BF6}"/>
    <cellStyle name="Measure Summary TM1 - IBM Cognos" xfId="83" xr:uid="{D223EB80-6CFD-42AC-9504-45570155C127}"/>
    <cellStyle name="Measure Template - IBM Cognos" xfId="84" xr:uid="{855269FF-F80F-4F37-97F9-7515E0873698}"/>
    <cellStyle name="More - IBM Cognos" xfId="85" xr:uid="{6BAE34A6-C064-4CD4-B076-E0D1FB251A9E}"/>
    <cellStyle name="Normal" xfId="0" builtinId="0" customBuiltin="1"/>
    <cellStyle name="Normal 10" xfId="30" xr:uid="{0717DD4D-A192-4509-AD32-36BE4242CD41}"/>
    <cellStyle name="Normal 10 2" xfId="104" xr:uid="{4476BC0D-8C52-4DE1-B1BF-E4A10539F13E}"/>
    <cellStyle name="Normal 11" xfId="34" xr:uid="{6987F7D8-7E20-4F27-AE94-A0B5A85D0192}"/>
    <cellStyle name="Normal 11 2" xfId="108" xr:uid="{EFFB3862-19AB-493D-B73B-BCAC1417C37A}"/>
    <cellStyle name="Normal 12" xfId="39" xr:uid="{2CD986F4-02C1-4C13-BD05-C83495E663D1}"/>
    <cellStyle name="Normal 2" xfId="11" xr:uid="{981355D5-54B5-4B17-8EE0-AAEDFE2EB4CD}"/>
    <cellStyle name="Normal 2 2" xfId="8" xr:uid="{484D3A6D-CFE0-498F-A73D-76FDB4DA4BC4}"/>
    <cellStyle name="Normal 2 3" xfId="24" xr:uid="{3DD6B0CD-2AAE-44E8-BF53-1837903E68EB}"/>
    <cellStyle name="Normal 2 3 2" xfId="99" xr:uid="{DDEEE068-D128-43CD-A22B-77F1F0C1FDBF}"/>
    <cellStyle name="Normal 2 4" xfId="35" xr:uid="{DCBB8867-80B7-4689-930F-9EF458997074}"/>
    <cellStyle name="Normal 2 5" xfId="97" xr:uid="{481D64B6-4A77-4136-9CFC-6E15BA4CBBE5}"/>
    <cellStyle name="Normal 3" xfId="20" xr:uid="{5A306621-F677-499F-A9D2-E7848EE97A61}"/>
    <cellStyle name="Normal 3 2" xfId="38" xr:uid="{EE15E176-0A92-4362-B026-771446738F4B}"/>
    <cellStyle name="Normal 4" xfId="10" xr:uid="{730EC741-1A66-44EA-B2B6-B8F712EA1A3F}"/>
    <cellStyle name="Normal 5" xfId="13" xr:uid="{C4BB09DF-A79A-4D82-B406-9C0234BA8157}"/>
    <cellStyle name="Normal 5 2" xfId="98" xr:uid="{8AE8EDB3-1368-4E6C-A18F-0760BC8CBE97}"/>
    <cellStyle name="Normal 6" xfId="9" xr:uid="{048753EE-489B-44A8-8EA6-8A0F274BA5A3}"/>
    <cellStyle name="Normal 6 2" xfId="96" xr:uid="{5C03ED55-1743-43E9-B081-EB4EE2B83865}"/>
    <cellStyle name="Normal 7" xfId="25" xr:uid="{528D25D7-2DA6-421E-B8B8-EF0A3726B462}"/>
    <cellStyle name="Normal 7 2" xfId="100" xr:uid="{48E42C85-D8CD-498F-9C71-4845F1CFE1F2}"/>
    <cellStyle name="Normal 8" xfId="27" xr:uid="{319EDFA1-D61A-4C3E-9158-DA727E3708FF}"/>
    <cellStyle name="Normal 8 2" xfId="101" xr:uid="{C08FF2AD-5C34-4154-96F8-751CADC5D5AF}"/>
    <cellStyle name="Normal 9" xfId="31" xr:uid="{6F4FF392-029E-458F-ADAE-CA2D1DA3A494}"/>
    <cellStyle name="Normal 9 2" xfId="105" xr:uid="{A01C5611-3166-4C27-A87A-97C07E129294}"/>
    <cellStyle name="Normal_CBATCOV" xfId="4" xr:uid="{AFFA8EB4-8274-47A0-9C0D-F6C891ECC46E}"/>
    <cellStyle name="Normal_Cover (2)" xfId="6" xr:uid="{8A4BECCD-B7C6-459F-958E-9802A5FC2E22}"/>
    <cellStyle name="Normal_CRC-001 - Cost Update Template Rev 1" xfId="23" xr:uid="{3C546781-A99C-40DF-8DDE-B4AC1CDBEFDC}"/>
    <cellStyle name="Normal_DCA FORM" xfId="5" xr:uid="{604588E6-D927-48FA-8AE2-6B4AEAA0985E}"/>
    <cellStyle name="Normal_EstSum" xfId="21" xr:uid="{532ACD35-5967-4155-A0EC-24477FB96223}"/>
    <cellStyle name="Normal_RequestDetails" xfId="94" xr:uid="{9577F15D-72CB-4DA8-A680-E718C92AAB7A}"/>
    <cellStyle name="Normal_Shaw Corporate Review Forms" xfId="17" xr:uid="{1BBF5483-AAD6-45D2-80EF-27BAEB8D0A87}"/>
    <cellStyle name="Pending Change - IBM Cognos" xfId="86" xr:uid="{CC0A4FA8-AAE3-4845-8A6B-969E80EEAE82}"/>
    <cellStyle name="Percent" xfId="3" builtinId="5"/>
    <cellStyle name="Percent 2" xfId="16" xr:uid="{302E813B-03E2-49AA-A4B7-BBBEA1FBE4EC}"/>
    <cellStyle name="Percent 3" xfId="19" xr:uid="{9E8CACF1-DE1F-4915-AB76-D43BFEB0477C}"/>
    <cellStyle name="Row Name - IBM Cognos" xfId="87" xr:uid="{9403C7B9-CFD0-4AA9-B7A5-6949948160E3}"/>
    <cellStyle name="Row Template - IBM Cognos" xfId="88" xr:uid="{1D762DF5-BB98-4ED2-A4A5-2B0F4E623A4C}"/>
    <cellStyle name="Summary Column Name - IBM Cognos" xfId="89" xr:uid="{F09BCADD-C7A6-4D0C-8360-A637055AF732}"/>
    <cellStyle name="Summary Column Name TM1 - IBM Cognos" xfId="90" xr:uid="{5A8281C7-B968-4EB1-870D-EDD3BA3A1F3A}"/>
    <cellStyle name="Summary Row Name - IBM Cognos" xfId="91" xr:uid="{589E4996-A97F-4181-925E-8BEB92946847}"/>
    <cellStyle name="Summary Row Name TM1 - IBM Cognos" xfId="92" xr:uid="{13D06160-AE35-47BF-8437-36982EA675B4}"/>
    <cellStyle name="Unsaved Change - IBM Cognos" xfId="93" xr:uid="{0A33B3DA-7A45-4BBF-A401-660D0BA812FC}"/>
  </cellStyles>
  <dxfs count="2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b/>
        <i val="0"/>
      </font>
      <fill>
        <patternFill>
          <bgColor rgb="FFFF0000"/>
        </patternFill>
      </fill>
    </dxf>
  </dxfs>
  <tableStyles count="0" defaultTableStyle="TableStyleMedium2" defaultPivotStyle="PivotStyleLight16"/>
  <colors>
    <mruColors>
      <color rgb="FFFF7C80"/>
      <color rgb="FF4B02EE"/>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20"/>
      <c:rAngAx val="0"/>
    </c:view3D>
    <c:floor>
      <c:thickness val="0"/>
    </c:floor>
    <c:sideWall>
      <c:thickness val="0"/>
    </c:sideWall>
    <c:backWall>
      <c:thickness val="0"/>
    </c:backWall>
    <c:plotArea>
      <c:layout>
        <c:manualLayout>
          <c:layoutTarget val="inner"/>
          <c:xMode val="edge"/>
          <c:yMode val="edge"/>
          <c:x val="6.0855263157894739E-2"/>
          <c:y val="0.22670807453416164"/>
          <c:w val="0.86348684210526316"/>
          <c:h val="0.50931677018633448"/>
        </c:manualLayout>
      </c:layout>
      <c:pie3DChart>
        <c:varyColors val="1"/>
        <c:ser>
          <c:idx val="0"/>
          <c:order val="0"/>
          <c:tx>
            <c:strRef>
              <c:f>'PP4 Estimate and Schedule'!$B$19</c:f>
              <c:strCache>
                <c:ptCount val="1"/>
                <c:pt idx="0">
                  <c:v>2.1. Project Cost Summary</c:v>
                </c:pt>
              </c:strCache>
            </c:strRef>
          </c:tx>
          <c:explosion val="18"/>
          <c:dPt>
            <c:idx val="0"/>
            <c:bubble3D val="0"/>
            <c:spPr>
              <a:solidFill>
                <a:srgbClr val="CCFF99"/>
              </a:solidFill>
              <a:ln>
                <a:solidFill>
                  <a:schemeClr val="bg1">
                    <a:lumMod val="50000"/>
                  </a:schemeClr>
                </a:solidFill>
              </a:ln>
            </c:spPr>
            <c:extLst>
              <c:ext xmlns:c16="http://schemas.microsoft.com/office/drawing/2014/chart" uri="{C3380CC4-5D6E-409C-BE32-E72D297353CC}">
                <c16:uniqueId val="{00000001-FDA6-4A8B-A6AF-B34DD3EBD0D0}"/>
              </c:ext>
            </c:extLst>
          </c:dPt>
          <c:dPt>
            <c:idx val="1"/>
            <c:bubble3D val="0"/>
            <c:spPr>
              <a:solidFill>
                <a:schemeClr val="accent1">
                  <a:lumMod val="40000"/>
                  <a:lumOff val="60000"/>
                </a:schemeClr>
              </a:solidFill>
              <a:ln>
                <a:solidFill>
                  <a:sysClr val="window" lastClr="FFFFFF">
                    <a:lumMod val="50000"/>
                  </a:sysClr>
                </a:solidFill>
              </a:ln>
            </c:spPr>
            <c:extLst>
              <c:ext xmlns:c16="http://schemas.microsoft.com/office/drawing/2014/chart" uri="{C3380CC4-5D6E-409C-BE32-E72D297353CC}">
                <c16:uniqueId val="{00000003-FDA6-4A8B-A6AF-B34DD3EBD0D0}"/>
              </c:ext>
            </c:extLst>
          </c:dPt>
          <c:dPt>
            <c:idx val="2"/>
            <c:bubble3D val="0"/>
            <c:spPr>
              <a:solidFill>
                <a:schemeClr val="tx2">
                  <a:lumMod val="60000"/>
                  <a:lumOff val="40000"/>
                </a:schemeClr>
              </a:solidFill>
              <a:ln>
                <a:solidFill>
                  <a:sysClr val="window" lastClr="FFFFFF">
                    <a:lumMod val="50000"/>
                  </a:sysClr>
                </a:solidFill>
              </a:ln>
            </c:spPr>
            <c:extLst>
              <c:ext xmlns:c16="http://schemas.microsoft.com/office/drawing/2014/chart" uri="{C3380CC4-5D6E-409C-BE32-E72D297353CC}">
                <c16:uniqueId val="{00000005-FDA6-4A8B-A6AF-B34DD3EBD0D0}"/>
              </c:ext>
            </c:extLst>
          </c:dPt>
          <c:dPt>
            <c:idx val="3"/>
            <c:bubble3D val="0"/>
            <c:spPr>
              <a:solidFill>
                <a:srgbClr val="FFC000"/>
              </a:solidFill>
              <a:ln>
                <a:solidFill>
                  <a:sysClr val="window" lastClr="FFFFFF">
                    <a:lumMod val="50000"/>
                  </a:sysClr>
                </a:solidFill>
              </a:ln>
            </c:spPr>
            <c:extLst>
              <c:ext xmlns:c16="http://schemas.microsoft.com/office/drawing/2014/chart" uri="{C3380CC4-5D6E-409C-BE32-E72D297353CC}">
                <c16:uniqueId val="{00000007-FDA6-4A8B-A6AF-B34DD3EBD0D0}"/>
              </c:ext>
            </c:extLst>
          </c:dPt>
          <c:dPt>
            <c:idx val="4"/>
            <c:bubble3D val="0"/>
            <c:spPr>
              <a:solidFill>
                <a:schemeClr val="accent4">
                  <a:lumMod val="75000"/>
                </a:schemeClr>
              </a:solidFill>
              <a:ln>
                <a:solidFill>
                  <a:sysClr val="window" lastClr="FFFFFF">
                    <a:lumMod val="50000"/>
                  </a:sysClr>
                </a:solidFill>
              </a:ln>
            </c:spPr>
            <c:extLst>
              <c:ext xmlns:c16="http://schemas.microsoft.com/office/drawing/2014/chart" uri="{C3380CC4-5D6E-409C-BE32-E72D297353CC}">
                <c16:uniqueId val="{00000009-FDA6-4A8B-A6AF-B34DD3EBD0D0}"/>
              </c:ext>
            </c:extLst>
          </c:dPt>
          <c:dPt>
            <c:idx val="5"/>
            <c:bubble3D val="0"/>
            <c:spPr>
              <a:solidFill>
                <a:schemeClr val="accent4">
                  <a:lumMod val="40000"/>
                  <a:lumOff val="60000"/>
                </a:schemeClr>
              </a:solidFill>
              <a:ln>
                <a:solidFill>
                  <a:sysClr val="window" lastClr="FFFFFF">
                    <a:lumMod val="50000"/>
                  </a:sysClr>
                </a:solidFill>
              </a:ln>
            </c:spPr>
            <c:extLst>
              <c:ext xmlns:c16="http://schemas.microsoft.com/office/drawing/2014/chart" uri="{C3380CC4-5D6E-409C-BE32-E72D297353CC}">
                <c16:uniqueId val="{0000000B-FDA6-4A8B-A6AF-B34DD3EBD0D0}"/>
              </c:ext>
            </c:extLst>
          </c:dPt>
          <c:dPt>
            <c:idx val="6"/>
            <c:bubble3D val="0"/>
            <c:spPr>
              <a:solidFill>
                <a:schemeClr val="accent6">
                  <a:lumMod val="60000"/>
                  <a:lumOff val="40000"/>
                </a:schemeClr>
              </a:solidFill>
              <a:ln>
                <a:solidFill>
                  <a:sysClr val="window" lastClr="FFFFFF">
                    <a:lumMod val="50000"/>
                  </a:sysClr>
                </a:solidFill>
              </a:ln>
            </c:spPr>
            <c:extLst>
              <c:ext xmlns:c16="http://schemas.microsoft.com/office/drawing/2014/chart" uri="{C3380CC4-5D6E-409C-BE32-E72D297353CC}">
                <c16:uniqueId val="{0000000D-FDA6-4A8B-A6AF-B34DD3EBD0D0}"/>
              </c:ext>
            </c:extLst>
          </c:dPt>
          <c:dLbls>
            <c:spPr>
              <a:noFill/>
              <a:ln w="25400">
                <a:noFill/>
              </a:ln>
            </c:spPr>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'PP4 Estimate and Schedule'!$B$21:$B$27</c:f>
              <c:strCache>
                <c:ptCount val="7"/>
                <c:pt idx="0">
                  <c:v>Material</c:v>
                </c:pt>
                <c:pt idx="1">
                  <c:v>Labor &amp; Equipment</c:v>
                </c:pt>
                <c:pt idx="2">
                  <c:v>Right of Way</c:v>
                </c:pt>
                <c:pt idx="3">
                  <c:v>Engineering/Permitting
/Indirects</c:v>
                </c:pt>
                <c:pt idx="4">
                  <c:v>Escalation</c:v>
                </c:pt>
                <c:pt idx="5">
                  <c:v>AFUDC</c:v>
                </c:pt>
                <c:pt idx="6">
                  <c:v>Contingency</c:v>
                </c:pt>
              </c:strCache>
            </c:strRef>
          </c:cat>
          <c:val>
            <c:numRef>
              <c:f>'PP4 Estimate and Schedule'!$E$21:$E$27</c:f>
              <c:numCache>
                <c:formatCode>_("$"* #,##0_);_("$"* \(#,##0\);_("$"* "-"_);_(@_)</c:formatCode>
                <c:ptCount val="7"/>
                <c:pt idx="0">
                  <c:v>20462.829593060036</c:v>
                </c:pt>
                <c:pt idx="1">
                  <c:v>9029.985873301157</c:v>
                </c:pt>
                <c:pt idx="2">
                  <c:v>0</c:v>
                </c:pt>
                <c:pt idx="3">
                  <c:v>4653.9073936388068</c:v>
                </c:pt>
                <c:pt idx="4">
                  <c:v>3421.8</c:v>
                </c:pt>
                <c:pt idx="5">
                  <c:v>2832.5</c:v>
                </c:pt>
                <c:pt idx="6">
                  <c:v>5791.8</c:v>
                </c:pt>
              </c:numCache>
            </c:numRef>
          </c:val>
          <c:extLst>
            <c:ext xmlns:c16="http://schemas.microsoft.com/office/drawing/2014/chart" uri="{C3380CC4-5D6E-409C-BE32-E72D297353CC}">
              <c16:uniqueId val="{0000000E-FDA6-4A8B-A6AF-B34DD3EBD0D0}"/>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8.2236842105263153E-3"/>
          <c:y val="0.71894409937888204"/>
          <c:w val="0.92763157894736836"/>
          <c:h val="0.27639751552795033"/>
        </c:manualLayout>
      </c:layout>
      <c:overlay val="0"/>
      <c:spPr>
        <a:noFill/>
      </c:spPr>
      <c:txPr>
        <a:bodyPr/>
        <a:lstStyle/>
        <a:p>
          <a:pPr>
            <a:defRPr sz="995" b="0" i="0" u="none" strike="noStrike" baseline="0">
              <a:solidFill>
                <a:srgbClr val="000000"/>
              </a:solidFill>
              <a:latin typeface="Calibri"/>
              <a:ea typeface="Calibri"/>
              <a:cs typeface="Calibri"/>
            </a:defRPr>
          </a:pPr>
          <a:endParaRPr lang="en-US"/>
        </a:p>
      </c:txPr>
    </c:legend>
    <c:plotVisOnly val="1"/>
    <c:dispBlanksAs val="zero"/>
    <c:showDLblsOverMax val="0"/>
  </c:chart>
  <c:spPr>
    <a:no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33" l="0.70000000000000062" r="0.70000000000000062" t="0.75000000000000133"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checked="Checked"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lockText="1" noThreeD="1"/>
</file>

<file path=xl/ctrlProps/ctrlProp708.xml><?xml version="1.0" encoding="utf-8"?>
<formControlPr xmlns="http://schemas.microsoft.com/office/spreadsheetml/2009/9/main" objectType="CheckBox"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lockText="1" noThreeD="1"/>
</file>

<file path=xl/ctrlProps/ctrlProp712.xml><?xml version="1.0" encoding="utf-8"?>
<formControlPr xmlns="http://schemas.microsoft.com/office/spreadsheetml/2009/9/main" objectType="CheckBox" checked="Checked"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checked="Checked"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lockText="1" noThreeD="1"/>
</file>

<file path=xl/ctrlProps/ctrlProp769.xml><?xml version="1.0" encoding="utf-8"?>
<formControlPr xmlns="http://schemas.microsoft.com/office/spreadsheetml/2009/9/main" objectType="CheckBox" lockText="1" noThreeD="1"/>
</file>

<file path=xl/ctrlProps/ctrlProp770.xml><?xml version="1.0" encoding="utf-8"?>
<formControlPr xmlns="http://schemas.microsoft.com/office/spreadsheetml/2009/9/main" objectType="CheckBox" lockText="1" noThreeD="1"/>
</file>

<file path=xl/ctrlProps/ctrlProp771.xml><?xml version="1.0" encoding="utf-8"?>
<formControlPr xmlns="http://schemas.microsoft.com/office/spreadsheetml/2009/9/main" objectType="CheckBox" lockText="1" noThreeD="1"/>
</file>

<file path=xl/ctrlProps/ctrlProp772.xml><?xml version="1.0" encoding="utf-8"?>
<formControlPr xmlns="http://schemas.microsoft.com/office/spreadsheetml/2009/9/main" objectType="CheckBox" lockText="1" noThreeD="1"/>
</file>

<file path=xl/ctrlProps/ctrlProp773.xml><?xml version="1.0" encoding="utf-8"?>
<formControlPr xmlns="http://schemas.microsoft.com/office/spreadsheetml/2009/9/main" objectType="CheckBox" lockText="1" noThreeD="1"/>
</file>

<file path=xl/ctrlProps/ctrlProp774.xml><?xml version="1.0" encoding="utf-8"?>
<formControlPr xmlns="http://schemas.microsoft.com/office/spreadsheetml/2009/9/main" objectType="CheckBox" lockText="1" noThreeD="1"/>
</file>

<file path=xl/ctrlProps/ctrlProp775.xml><?xml version="1.0" encoding="utf-8"?>
<formControlPr xmlns="http://schemas.microsoft.com/office/spreadsheetml/2009/9/main" objectType="CheckBox" lockText="1" noThreeD="1"/>
</file>

<file path=xl/ctrlProps/ctrlProp776.xml><?xml version="1.0" encoding="utf-8"?>
<formControlPr xmlns="http://schemas.microsoft.com/office/spreadsheetml/2009/9/main" objectType="CheckBox" lockText="1" noThreeD="1"/>
</file>

<file path=xl/ctrlProps/ctrlProp777.xml><?xml version="1.0" encoding="utf-8"?>
<formControlPr xmlns="http://schemas.microsoft.com/office/spreadsheetml/2009/9/main" objectType="CheckBox" lockText="1" noThreeD="1"/>
</file>

<file path=xl/ctrlProps/ctrlProp778.xml><?xml version="1.0" encoding="utf-8"?>
<formControlPr xmlns="http://schemas.microsoft.com/office/spreadsheetml/2009/9/main" objectType="CheckBox" lockText="1" noThreeD="1"/>
</file>

<file path=xl/ctrlProps/ctrlProp779.xml><?xml version="1.0" encoding="utf-8"?>
<formControlPr xmlns="http://schemas.microsoft.com/office/spreadsheetml/2009/9/main" objectType="CheckBox" lockText="1" noThreeD="1"/>
</file>

<file path=xl/ctrlProps/ctrlProp780.xml><?xml version="1.0" encoding="utf-8"?>
<formControlPr xmlns="http://schemas.microsoft.com/office/spreadsheetml/2009/9/main" objectType="CheckBox" lockText="1" noThreeD="1"/>
</file>

<file path=xl/ctrlProps/ctrlProp781.xml><?xml version="1.0" encoding="utf-8"?>
<formControlPr xmlns="http://schemas.microsoft.com/office/spreadsheetml/2009/9/main" objectType="CheckBox" lockText="1" noThreeD="1"/>
</file>

<file path=xl/ctrlProps/ctrlProp782.xml><?xml version="1.0" encoding="utf-8"?>
<formControlPr xmlns="http://schemas.microsoft.com/office/spreadsheetml/2009/9/main" objectType="CheckBox" lockText="1" noThreeD="1"/>
</file>

<file path=xl/ctrlProps/ctrlProp783.xml><?xml version="1.0" encoding="utf-8"?>
<formControlPr xmlns="http://schemas.microsoft.com/office/spreadsheetml/2009/9/main" objectType="CheckBox" lockText="1" noThreeD="1"/>
</file>

<file path=xl/ctrlProps/ctrlProp784.xml><?xml version="1.0" encoding="utf-8"?>
<formControlPr xmlns="http://schemas.microsoft.com/office/spreadsheetml/2009/9/main" objectType="CheckBox" lockText="1" noThreeD="1"/>
</file>

<file path=xl/ctrlProps/ctrlProp785.xml><?xml version="1.0" encoding="utf-8"?>
<formControlPr xmlns="http://schemas.microsoft.com/office/spreadsheetml/2009/9/main" objectType="CheckBox" lockText="1" noThreeD="1"/>
</file>

<file path=xl/ctrlProps/ctrlProp786.xml><?xml version="1.0" encoding="utf-8"?>
<formControlPr xmlns="http://schemas.microsoft.com/office/spreadsheetml/2009/9/main" objectType="CheckBox" lockText="1" noThreeD="1"/>
</file>

<file path=xl/ctrlProps/ctrlProp787.xml><?xml version="1.0" encoding="utf-8"?>
<formControlPr xmlns="http://schemas.microsoft.com/office/spreadsheetml/2009/9/main" objectType="CheckBox" lockText="1" noThreeD="1"/>
</file>

<file path=xl/ctrlProps/ctrlProp788.xml><?xml version="1.0" encoding="utf-8"?>
<formControlPr xmlns="http://schemas.microsoft.com/office/spreadsheetml/2009/9/main" objectType="CheckBox" lockText="1" noThreeD="1"/>
</file>

<file path=xl/ctrlProps/ctrlProp789.xml><?xml version="1.0" encoding="utf-8"?>
<formControlPr xmlns="http://schemas.microsoft.com/office/spreadsheetml/2009/9/main" objectType="CheckBox" lockText="1" noThreeD="1"/>
</file>

<file path=xl/ctrlProps/ctrlProp790.xml><?xml version="1.0" encoding="utf-8"?>
<formControlPr xmlns="http://schemas.microsoft.com/office/spreadsheetml/2009/9/main" objectType="CheckBox" lockText="1" noThreeD="1"/>
</file>

<file path=xl/ctrlProps/ctrlProp791.xml><?xml version="1.0" encoding="utf-8"?>
<formControlPr xmlns="http://schemas.microsoft.com/office/spreadsheetml/2009/9/main" objectType="CheckBox" lockText="1" noThreeD="1"/>
</file>

<file path=xl/ctrlProps/ctrlProp792.xml><?xml version="1.0" encoding="utf-8"?>
<formControlPr xmlns="http://schemas.microsoft.com/office/spreadsheetml/2009/9/main" objectType="CheckBox" lockText="1" noThreeD="1"/>
</file>

<file path=xl/ctrlProps/ctrlProp793.xml><?xml version="1.0" encoding="utf-8"?>
<formControlPr xmlns="http://schemas.microsoft.com/office/spreadsheetml/2009/9/main" objectType="CheckBox" lockText="1" noThreeD="1"/>
</file>

<file path=xl/ctrlProps/ctrlProp794.xml><?xml version="1.0" encoding="utf-8"?>
<formControlPr xmlns="http://schemas.microsoft.com/office/spreadsheetml/2009/9/main" objectType="CheckBox" lockText="1" noThreeD="1"/>
</file>

<file path=xl/ctrlProps/ctrlProp795.xml><?xml version="1.0" encoding="utf-8"?>
<formControlPr xmlns="http://schemas.microsoft.com/office/spreadsheetml/2009/9/main" objectType="CheckBox" lockText="1" noThreeD="1"/>
</file>

<file path=xl/ctrlProps/ctrlProp796.xml><?xml version="1.0" encoding="utf-8"?>
<formControlPr xmlns="http://schemas.microsoft.com/office/spreadsheetml/2009/9/main" objectType="CheckBox" lockText="1" noThreeD="1"/>
</file>

<file path=xl/ctrlProps/ctrlProp797.xml><?xml version="1.0" encoding="utf-8"?>
<formControlPr xmlns="http://schemas.microsoft.com/office/spreadsheetml/2009/9/main" objectType="CheckBox" lockText="1" noThreeD="1"/>
</file>

<file path=xl/ctrlProps/ctrlProp798.xml><?xml version="1.0" encoding="utf-8"?>
<formControlPr xmlns="http://schemas.microsoft.com/office/spreadsheetml/2009/9/main" objectType="CheckBox" lockText="1" noThreeD="1"/>
</file>

<file path=xl/ctrlProps/ctrlProp799.xml><?xml version="1.0" encoding="utf-8"?>
<formControlPr xmlns="http://schemas.microsoft.com/office/spreadsheetml/2009/9/main" objectType="CheckBox" lockText="1" noThreeD="1"/>
</file>

<file path=xl/ctrlProps/ctrlProp800.xml><?xml version="1.0" encoding="utf-8"?>
<formControlPr xmlns="http://schemas.microsoft.com/office/spreadsheetml/2009/9/main" objectType="CheckBox" lockText="1" noThreeD="1"/>
</file>

<file path=xl/ctrlProps/ctrlProp801.xml><?xml version="1.0" encoding="utf-8"?>
<formControlPr xmlns="http://schemas.microsoft.com/office/spreadsheetml/2009/9/main" objectType="CheckBox" lockText="1" noThreeD="1"/>
</file>

<file path=xl/ctrlProps/ctrlProp802.xml><?xml version="1.0" encoding="utf-8"?>
<formControlPr xmlns="http://schemas.microsoft.com/office/spreadsheetml/2009/9/main" objectType="CheckBox" lockText="1" noThreeD="1"/>
</file>

<file path=xl/ctrlProps/ctrlProp803.xml><?xml version="1.0" encoding="utf-8"?>
<formControlPr xmlns="http://schemas.microsoft.com/office/spreadsheetml/2009/9/main" objectType="CheckBox" lockText="1" noThreeD="1"/>
</file>

<file path=xl/ctrlProps/ctrlProp804.xml><?xml version="1.0" encoding="utf-8"?>
<formControlPr xmlns="http://schemas.microsoft.com/office/spreadsheetml/2009/9/main" objectType="CheckBox" lockText="1" noThreeD="1"/>
</file>

<file path=xl/ctrlProps/ctrlProp805.xml><?xml version="1.0" encoding="utf-8"?>
<formControlPr xmlns="http://schemas.microsoft.com/office/spreadsheetml/2009/9/main" objectType="CheckBox" lockText="1" noThreeD="1"/>
</file>

<file path=xl/ctrlProps/ctrlProp806.xml><?xml version="1.0" encoding="utf-8"?>
<formControlPr xmlns="http://schemas.microsoft.com/office/spreadsheetml/2009/9/main" objectType="CheckBox" lockText="1" noThreeD="1"/>
</file>

<file path=xl/ctrlProps/ctrlProp807.xml><?xml version="1.0" encoding="utf-8"?>
<formControlPr xmlns="http://schemas.microsoft.com/office/spreadsheetml/2009/9/main" objectType="CheckBox" lockText="1" noThreeD="1"/>
</file>

<file path=xl/ctrlProps/ctrlProp808.xml><?xml version="1.0" encoding="utf-8"?>
<formControlPr xmlns="http://schemas.microsoft.com/office/spreadsheetml/2009/9/main" objectType="CheckBox" lockText="1" noThreeD="1"/>
</file>

<file path=xl/ctrlProps/ctrlProp809.xml><?xml version="1.0" encoding="utf-8"?>
<formControlPr xmlns="http://schemas.microsoft.com/office/spreadsheetml/2009/9/main" objectType="CheckBox" lockText="1" noThreeD="1"/>
</file>

<file path=xl/ctrlProps/ctrlProp810.xml><?xml version="1.0" encoding="utf-8"?>
<formControlPr xmlns="http://schemas.microsoft.com/office/spreadsheetml/2009/9/main" objectType="CheckBox" lockText="1" noThreeD="1"/>
</file>

<file path=xl/ctrlProps/ctrlProp811.xml><?xml version="1.0" encoding="utf-8"?>
<formControlPr xmlns="http://schemas.microsoft.com/office/spreadsheetml/2009/9/main" objectType="CheckBox" lockText="1" noThreeD="1"/>
</file>

<file path=xl/ctrlProps/ctrlProp812.xml><?xml version="1.0" encoding="utf-8"?>
<formControlPr xmlns="http://schemas.microsoft.com/office/spreadsheetml/2009/9/main" objectType="CheckBox" lockText="1" noThreeD="1"/>
</file>

<file path=xl/ctrlProps/ctrlProp813.xml><?xml version="1.0" encoding="utf-8"?>
<formControlPr xmlns="http://schemas.microsoft.com/office/spreadsheetml/2009/9/main" objectType="CheckBox" lockText="1" noThreeD="1"/>
</file>

<file path=xl/ctrlProps/ctrlProp814.xml><?xml version="1.0" encoding="utf-8"?>
<formControlPr xmlns="http://schemas.microsoft.com/office/spreadsheetml/2009/9/main" objectType="CheckBox" lockText="1" noThreeD="1"/>
</file>

<file path=xl/ctrlProps/ctrlProp815.xml><?xml version="1.0" encoding="utf-8"?>
<formControlPr xmlns="http://schemas.microsoft.com/office/spreadsheetml/2009/9/main" objectType="CheckBox" lockText="1" noThreeD="1"/>
</file>

<file path=xl/ctrlProps/ctrlProp816.xml><?xml version="1.0" encoding="utf-8"?>
<formControlPr xmlns="http://schemas.microsoft.com/office/spreadsheetml/2009/9/main" objectType="CheckBox" lockText="1" noThreeD="1"/>
</file>

<file path=xl/ctrlProps/ctrlProp817.xml><?xml version="1.0" encoding="utf-8"?>
<formControlPr xmlns="http://schemas.microsoft.com/office/spreadsheetml/2009/9/main" objectType="CheckBox" lockText="1" noThreeD="1"/>
</file>

<file path=xl/ctrlProps/ctrlProp818.xml><?xml version="1.0" encoding="utf-8"?>
<formControlPr xmlns="http://schemas.microsoft.com/office/spreadsheetml/2009/9/main" objectType="CheckBox" lockText="1" noThreeD="1"/>
</file>

<file path=xl/ctrlProps/ctrlProp819.xml><?xml version="1.0" encoding="utf-8"?>
<formControlPr xmlns="http://schemas.microsoft.com/office/spreadsheetml/2009/9/main" objectType="CheckBox" lockText="1" noThreeD="1"/>
</file>

<file path=xl/ctrlProps/ctrlProp820.xml><?xml version="1.0" encoding="utf-8"?>
<formControlPr xmlns="http://schemas.microsoft.com/office/spreadsheetml/2009/9/main" objectType="CheckBox" lockText="1" noThreeD="1"/>
</file>

<file path=xl/ctrlProps/ctrlProp821.xml><?xml version="1.0" encoding="utf-8"?>
<formControlPr xmlns="http://schemas.microsoft.com/office/spreadsheetml/2009/9/main" objectType="CheckBox" checked="Checked" lockText="1" noThreeD="1"/>
</file>

<file path=xl/ctrlProps/ctrlProp822.xml><?xml version="1.0" encoding="utf-8"?>
<formControlPr xmlns="http://schemas.microsoft.com/office/spreadsheetml/2009/9/main" objectType="CheckBox" lockText="1" noThreeD="1"/>
</file>

<file path=xl/ctrlProps/ctrlProp823.xml><?xml version="1.0" encoding="utf-8"?>
<formControlPr xmlns="http://schemas.microsoft.com/office/spreadsheetml/2009/9/main" objectType="CheckBox" lockText="1" noThreeD="1"/>
</file>

<file path=xl/ctrlProps/ctrlProp824.xml><?xml version="1.0" encoding="utf-8"?>
<formControlPr xmlns="http://schemas.microsoft.com/office/spreadsheetml/2009/9/main" objectType="CheckBox" lockText="1" noThreeD="1"/>
</file>

<file path=xl/ctrlProps/ctrlProp825.xml><?xml version="1.0" encoding="utf-8"?>
<formControlPr xmlns="http://schemas.microsoft.com/office/spreadsheetml/2009/9/main" objectType="CheckBox" lockText="1" noThreeD="1"/>
</file>

<file path=xl/ctrlProps/ctrlProp826.xml><?xml version="1.0" encoding="utf-8"?>
<formControlPr xmlns="http://schemas.microsoft.com/office/spreadsheetml/2009/9/main" objectType="CheckBox" lockText="1" noThreeD="1"/>
</file>

<file path=xl/ctrlProps/ctrlProp827.xml><?xml version="1.0" encoding="utf-8"?>
<formControlPr xmlns="http://schemas.microsoft.com/office/spreadsheetml/2009/9/main" objectType="CheckBox" lockText="1" noThreeD="1"/>
</file>

<file path=xl/ctrlProps/ctrlProp828.xml><?xml version="1.0" encoding="utf-8"?>
<formControlPr xmlns="http://schemas.microsoft.com/office/spreadsheetml/2009/9/main" objectType="CheckBox" lockText="1" noThreeD="1"/>
</file>

<file path=xl/ctrlProps/ctrlProp829.xml><?xml version="1.0" encoding="utf-8"?>
<formControlPr xmlns="http://schemas.microsoft.com/office/spreadsheetml/2009/9/main" objectType="CheckBox" lockText="1" noThreeD="1"/>
</file>

<file path=xl/ctrlProps/ctrlProp830.xml><?xml version="1.0" encoding="utf-8"?>
<formControlPr xmlns="http://schemas.microsoft.com/office/spreadsheetml/2009/9/main" objectType="CheckBox" lockText="1" noThreeD="1"/>
</file>

<file path=xl/ctrlProps/ctrlProp831.xml><?xml version="1.0" encoding="utf-8"?>
<formControlPr xmlns="http://schemas.microsoft.com/office/spreadsheetml/2009/9/main" objectType="CheckBox" lockText="1" noThreeD="1"/>
</file>

<file path=xl/ctrlProps/ctrlProp832.xml><?xml version="1.0" encoding="utf-8"?>
<formControlPr xmlns="http://schemas.microsoft.com/office/spreadsheetml/2009/9/main" objectType="CheckBox" lockText="1" noThreeD="1"/>
</file>

<file path=xl/ctrlProps/ctrlProp833.xml><?xml version="1.0" encoding="utf-8"?>
<formControlPr xmlns="http://schemas.microsoft.com/office/spreadsheetml/2009/9/main" objectType="CheckBox" checked="Checked" lockText="1" noThreeD="1"/>
</file>

<file path=xl/ctrlProps/ctrlProp834.xml><?xml version="1.0" encoding="utf-8"?>
<formControlPr xmlns="http://schemas.microsoft.com/office/spreadsheetml/2009/9/main" objectType="CheckBox" lockText="1" noThreeD="1"/>
</file>

<file path=xl/ctrlProps/ctrlProp835.xml><?xml version="1.0" encoding="utf-8"?>
<formControlPr xmlns="http://schemas.microsoft.com/office/spreadsheetml/2009/9/main" objectType="CheckBox" lockText="1" noThreeD="1"/>
</file>

<file path=xl/ctrlProps/ctrlProp836.xml><?xml version="1.0" encoding="utf-8"?>
<formControlPr xmlns="http://schemas.microsoft.com/office/spreadsheetml/2009/9/main" objectType="CheckBox" lockText="1" noThreeD="1"/>
</file>

<file path=xl/ctrlProps/ctrlProp837.xml><?xml version="1.0" encoding="utf-8"?>
<formControlPr xmlns="http://schemas.microsoft.com/office/spreadsheetml/2009/9/main" objectType="CheckBox" lockText="1" noThreeD="1"/>
</file>

<file path=xl/ctrlProps/ctrlProp838.xml><?xml version="1.0" encoding="utf-8"?>
<formControlPr xmlns="http://schemas.microsoft.com/office/spreadsheetml/2009/9/main" objectType="CheckBox" lockText="1" noThreeD="1"/>
</file>

<file path=xl/ctrlProps/ctrlProp839.xml><?xml version="1.0" encoding="utf-8"?>
<formControlPr xmlns="http://schemas.microsoft.com/office/spreadsheetml/2009/9/main" objectType="CheckBox" checked="Checked" lockText="1" noThreeD="1"/>
</file>

<file path=xl/ctrlProps/ctrlProp840.xml><?xml version="1.0" encoding="utf-8"?>
<formControlPr xmlns="http://schemas.microsoft.com/office/spreadsheetml/2009/9/main" objectType="CheckBox" lockText="1" noThreeD="1"/>
</file>

<file path=xl/ctrlProps/ctrlProp841.xml><?xml version="1.0" encoding="utf-8"?>
<formControlPr xmlns="http://schemas.microsoft.com/office/spreadsheetml/2009/9/main" objectType="CheckBox" lockText="1" noThreeD="1"/>
</file>

<file path=xl/ctrlProps/ctrlProp842.xml><?xml version="1.0" encoding="utf-8"?>
<formControlPr xmlns="http://schemas.microsoft.com/office/spreadsheetml/2009/9/main" objectType="CheckBox" lockText="1" noThreeD="1"/>
</file>

<file path=xl/ctrlProps/ctrlProp843.xml><?xml version="1.0" encoding="utf-8"?>
<formControlPr xmlns="http://schemas.microsoft.com/office/spreadsheetml/2009/9/main" objectType="CheckBox" lockText="1" noThreeD="1"/>
</file>

<file path=xl/ctrlProps/ctrlProp844.xml><?xml version="1.0" encoding="utf-8"?>
<formControlPr xmlns="http://schemas.microsoft.com/office/spreadsheetml/2009/9/main" objectType="CheckBox" lockText="1" noThreeD="1"/>
</file>

<file path=xl/ctrlProps/ctrlProp845.xml><?xml version="1.0" encoding="utf-8"?>
<formControlPr xmlns="http://schemas.microsoft.com/office/spreadsheetml/2009/9/main" objectType="CheckBox" lockText="1" noThreeD="1"/>
</file>

<file path=xl/ctrlProps/ctrlProp846.xml><?xml version="1.0" encoding="utf-8"?>
<formControlPr xmlns="http://schemas.microsoft.com/office/spreadsheetml/2009/9/main" objectType="CheckBox" lockText="1" noThreeD="1"/>
</file>

<file path=xl/ctrlProps/ctrlProp847.xml><?xml version="1.0" encoding="utf-8"?>
<formControlPr xmlns="http://schemas.microsoft.com/office/spreadsheetml/2009/9/main" objectType="CheckBox" lockText="1" noThreeD="1"/>
</file>

<file path=xl/ctrlProps/ctrlProp848.xml><?xml version="1.0" encoding="utf-8"?>
<formControlPr xmlns="http://schemas.microsoft.com/office/spreadsheetml/2009/9/main" objectType="CheckBox" lockText="1" noThreeD="1"/>
</file>

<file path=xl/ctrlProps/ctrlProp849.xml><?xml version="1.0" encoding="utf-8"?>
<formControlPr xmlns="http://schemas.microsoft.com/office/spreadsheetml/2009/9/main" objectType="CheckBox" lockText="1" noThreeD="1"/>
</file>

<file path=xl/ctrlProps/ctrlProp850.xml><?xml version="1.0" encoding="utf-8"?>
<formControlPr xmlns="http://schemas.microsoft.com/office/spreadsheetml/2009/9/main" objectType="CheckBox" lockText="1" noThreeD="1"/>
</file>

<file path=xl/ctrlProps/ctrlProp851.xml><?xml version="1.0" encoding="utf-8"?>
<formControlPr xmlns="http://schemas.microsoft.com/office/spreadsheetml/2009/9/main" objectType="CheckBox" lockText="1" noThreeD="1"/>
</file>

<file path=xl/ctrlProps/ctrlProp852.xml><?xml version="1.0" encoding="utf-8"?>
<formControlPr xmlns="http://schemas.microsoft.com/office/spreadsheetml/2009/9/main" objectType="CheckBox" lockText="1" noThreeD="1"/>
</file>

<file path=xl/ctrlProps/ctrlProp853.xml><?xml version="1.0" encoding="utf-8"?>
<formControlPr xmlns="http://schemas.microsoft.com/office/spreadsheetml/2009/9/main" objectType="CheckBox" lockText="1" noThreeD="1"/>
</file>

<file path=xl/ctrlProps/ctrlProp854.xml><?xml version="1.0" encoding="utf-8"?>
<formControlPr xmlns="http://schemas.microsoft.com/office/spreadsheetml/2009/9/main" objectType="CheckBox" lockText="1" noThreeD="1"/>
</file>

<file path=xl/ctrlProps/ctrlProp855.xml><?xml version="1.0" encoding="utf-8"?>
<formControlPr xmlns="http://schemas.microsoft.com/office/spreadsheetml/2009/9/main" objectType="CheckBox" lockText="1" noThreeD="1"/>
</file>

<file path=xl/ctrlProps/ctrlProp856.xml><?xml version="1.0" encoding="utf-8"?>
<formControlPr xmlns="http://schemas.microsoft.com/office/spreadsheetml/2009/9/main" objectType="CheckBox" lockText="1" noThreeD="1"/>
</file>

<file path=xl/ctrlProps/ctrlProp857.xml><?xml version="1.0" encoding="utf-8"?>
<formControlPr xmlns="http://schemas.microsoft.com/office/spreadsheetml/2009/9/main" objectType="CheckBox" lockText="1" noThreeD="1"/>
</file>

<file path=xl/ctrlProps/ctrlProp858.xml><?xml version="1.0" encoding="utf-8"?>
<formControlPr xmlns="http://schemas.microsoft.com/office/spreadsheetml/2009/9/main" objectType="CheckBox" lockText="1" noThreeD="1"/>
</file>

<file path=xl/ctrlProps/ctrlProp859.xml><?xml version="1.0" encoding="utf-8"?>
<formControlPr xmlns="http://schemas.microsoft.com/office/spreadsheetml/2009/9/main" objectType="CheckBox" lockText="1" noThreeD="1"/>
</file>

<file path=xl/ctrlProps/ctrlProp860.xml><?xml version="1.0" encoding="utf-8"?>
<formControlPr xmlns="http://schemas.microsoft.com/office/spreadsheetml/2009/9/main" objectType="CheckBox" lockText="1" noThreeD="1"/>
</file>

<file path=xl/ctrlProps/ctrlProp861.xml><?xml version="1.0" encoding="utf-8"?>
<formControlPr xmlns="http://schemas.microsoft.com/office/spreadsheetml/2009/9/main" objectType="CheckBox" lockText="1" noThreeD="1"/>
</file>

<file path=xl/ctrlProps/ctrlProp862.xml><?xml version="1.0" encoding="utf-8"?>
<formControlPr xmlns="http://schemas.microsoft.com/office/spreadsheetml/2009/9/main" objectType="CheckBox" lockText="1" noThreeD="1"/>
</file>

<file path=xl/ctrlProps/ctrlProp863.xml><?xml version="1.0" encoding="utf-8"?>
<formControlPr xmlns="http://schemas.microsoft.com/office/spreadsheetml/2009/9/main" objectType="CheckBox" lockText="1" noThreeD="1"/>
</file>

<file path=xl/ctrlProps/ctrlProp864.xml><?xml version="1.0" encoding="utf-8"?>
<formControlPr xmlns="http://schemas.microsoft.com/office/spreadsheetml/2009/9/main" objectType="CheckBox" lockText="1" noThreeD="1"/>
</file>

<file path=xl/ctrlProps/ctrlProp865.xml><?xml version="1.0" encoding="utf-8"?>
<formControlPr xmlns="http://schemas.microsoft.com/office/spreadsheetml/2009/9/main" objectType="CheckBox" lockText="1" noThreeD="1"/>
</file>

<file path=xl/ctrlProps/ctrlProp866.xml><?xml version="1.0" encoding="utf-8"?>
<formControlPr xmlns="http://schemas.microsoft.com/office/spreadsheetml/2009/9/main" objectType="CheckBox" lockText="1" noThreeD="1"/>
</file>

<file path=xl/ctrlProps/ctrlProp867.xml><?xml version="1.0" encoding="utf-8"?>
<formControlPr xmlns="http://schemas.microsoft.com/office/spreadsheetml/2009/9/main" objectType="CheckBox" lockText="1" noThreeD="1"/>
</file>

<file path=xl/ctrlProps/ctrlProp868.xml><?xml version="1.0" encoding="utf-8"?>
<formControlPr xmlns="http://schemas.microsoft.com/office/spreadsheetml/2009/9/main" objectType="CheckBox" lockText="1" noThreeD="1"/>
</file>

<file path=xl/ctrlProps/ctrlProp869.xml><?xml version="1.0" encoding="utf-8"?>
<formControlPr xmlns="http://schemas.microsoft.com/office/spreadsheetml/2009/9/main" objectType="CheckBox" checked="Checked" lockText="1" noThreeD="1"/>
</file>

<file path=xl/ctrlProps/ctrlProp870.xml><?xml version="1.0" encoding="utf-8"?>
<formControlPr xmlns="http://schemas.microsoft.com/office/spreadsheetml/2009/9/main" objectType="CheckBox" lockText="1" noThreeD="1"/>
</file>

<file path=xl/ctrlProps/ctrlProp871.xml><?xml version="1.0" encoding="utf-8"?>
<formControlPr xmlns="http://schemas.microsoft.com/office/spreadsheetml/2009/9/main" objectType="CheckBox" lockText="1" noThreeD="1"/>
</file>

<file path=xl/ctrlProps/ctrlProp872.xml><?xml version="1.0" encoding="utf-8"?>
<formControlPr xmlns="http://schemas.microsoft.com/office/spreadsheetml/2009/9/main" objectType="CheckBox" lockText="1" noThreeD="1"/>
</file>

<file path=xl/ctrlProps/ctrlProp873.xml><?xml version="1.0" encoding="utf-8"?>
<formControlPr xmlns="http://schemas.microsoft.com/office/spreadsheetml/2009/9/main" objectType="CheckBox" lockText="1" noThreeD="1"/>
</file>

<file path=xl/ctrlProps/ctrlProp874.xml><?xml version="1.0" encoding="utf-8"?>
<formControlPr xmlns="http://schemas.microsoft.com/office/spreadsheetml/2009/9/main" objectType="CheckBox" lockText="1" noThreeD="1"/>
</file>

<file path=xl/ctrlProps/ctrlProp875.xml><?xml version="1.0" encoding="utf-8"?>
<formControlPr xmlns="http://schemas.microsoft.com/office/spreadsheetml/2009/9/main" objectType="CheckBox" lockText="1" noThreeD="1"/>
</file>

<file path=xl/ctrlProps/ctrlProp876.xml><?xml version="1.0" encoding="utf-8"?>
<formControlPr xmlns="http://schemas.microsoft.com/office/spreadsheetml/2009/9/main" objectType="CheckBox" lockText="1" noThreeD="1"/>
</file>

<file path=xl/ctrlProps/ctrlProp877.xml><?xml version="1.0" encoding="utf-8"?>
<formControlPr xmlns="http://schemas.microsoft.com/office/spreadsheetml/2009/9/main" objectType="CheckBox" checked="Checked" lockText="1" noThreeD="1"/>
</file>

<file path=xl/ctrlProps/ctrlProp878.xml><?xml version="1.0" encoding="utf-8"?>
<formControlPr xmlns="http://schemas.microsoft.com/office/spreadsheetml/2009/9/main" objectType="CheckBox" lockText="1" noThreeD="1"/>
</file>

<file path=xl/ctrlProps/ctrlProp879.xml><?xml version="1.0" encoding="utf-8"?>
<formControlPr xmlns="http://schemas.microsoft.com/office/spreadsheetml/2009/9/main" objectType="CheckBox" lockText="1" noThreeD="1"/>
</file>

<file path=xl/ctrlProps/ctrlProp880.xml><?xml version="1.0" encoding="utf-8"?>
<formControlPr xmlns="http://schemas.microsoft.com/office/spreadsheetml/2009/9/main" objectType="CheckBox" lockText="1" noThreeD="1"/>
</file>

<file path=xl/ctrlProps/ctrlProp881.xml><?xml version="1.0" encoding="utf-8"?>
<formControlPr xmlns="http://schemas.microsoft.com/office/spreadsheetml/2009/9/main" objectType="CheckBox" lockText="1" noThreeD="1"/>
</file>

<file path=xl/ctrlProps/ctrlProp882.xml><?xml version="1.0" encoding="utf-8"?>
<formControlPr xmlns="http://schemas.microsoft.com/office/spreadsheetml/2009/9/main" objectType="CheckBox" lockText="1" noThreeD="1"/>
</file>

<file path=xl/ctrlProps/ctrlProp883.xml><?xml version="1.0" encoding="utf-8"?>
<formControlPr xmlns="http://schemas.microsoft.com/office/spreadsheetml/2009/9/main" objectType="CheckBox" checked="Checked" lockText="1" noThreeD="1"/>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checked="Checked"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lockText="1" noThreeD="1"/>
</file>

<file path=xl/ctrlProps/ctrlProp892.xml><?xml version="1.0" encoding="utf-8"?>
<formControlPr xmlns="http://schemas.microsoft.com/office/spreadsheetml/2009/9/main" objectType="CheckBox" lockText="1" noThreeD="1"/>
</file>

<file path=xl/ctrlProps/ctrlProp893.xml><?xml version="1.0" encoding="utf-8"?>
<formControlPr xmlns="http://schemas.microsoft.com/office/spreadsheetml/2009/9/main" objectType="CheckBox" lockText="1" noThreeD="1"/>
</file>

<file path=xl/ctrlProps/ctrlProp894.xml><?xml version="1.0" encoding="utf-8"?>
<formControlPr xmlns="http://schemas.microsoft.com/office/spreadsheetml/2009/9/main" objectType="CheckBox" lockText="1" noThreeD="1"/>
</file>

<file path=xl/ctrlProps/ctrlProp895.xml><?xml version="1.0" encoding="utf-8"?>
<formControlPr xmlns="http://schemas.microsoft.com/office/spreadsheetml/2009/9/main" objectType="CheckBox" checked="Checked" lockText="1" noThreeD="1"/>
</file>

<file path=xl/ctrlProps/ctrlProp896.xml><?xml version="1.0" encoding="utf-8"?>
<formControlPr xmlns="http://schemas.microsoft.com/office/spreadsheetml/2009/9/main" objectType="CheckBox" lockText="1" noThreeD="1"/>
</file>

<file path=xl/ctrlProps/ctrlProp897.xml><?xml version="1.0" encoding="utf-8"?>
<formControlPr xmlns="http://schemas.microsoft.com/office/spreadsheetml/2009/9/main" objectType="CheckBox" lockText="1" noThreeD="1"/>
</file>

<file path=xl/ctrlProps/ctrlProp898.xml><?xml version="1.0" encoding="utf-8"?>
<formControlPr xmlns="http://schemas.microsoft.com/office/spreadsheetml/2009/9/main" objectType="CheckBox" lockText="1" noThreeD="1"/>
</file>

<file path=xl/ctrlProps/ctrlProp899.xml><?xml version="1.0" encoding="utf-8"?>
<formControlPr xmlns="http://schemas.microsoft.com/office/spreadsheetml/2009/9/main" objectType="CheckBox" lockText="1" noThreeD="1"/>
</file>

<file path=xl/ctrlProps/ctrlProp900.xml><?xml version="1.0" encoding="utf-8"?>
<formControlPr xmlns="http://schemas.microsoft.com/office/spreadsheetml/2009/9/main" objectType="CheckBox" lockText="1" noThreeD="1"/>
</file>

<file path=xl/ctrlProps/ctrlProp901.xml><?xml version="1.0" encoding="utf-8"?>
<formControlPr xmlns="http://schemas.microsoft.com/office/spreadsheetml/2009/9/main" objectType="CheckBox" checked="Checked" lockText="1" noThreeD="1"/>
</file>

<file path=xl/ctrlProps/ctrlProp902.xml><?xml version="1.0" encoding="utf-8"?>
<formControlPr xmlns="http://schemas.microsoft.com/office/spreadsheetml/2009/9/main" objectType="CheckBox" lockText="1" noThreeD="1"/>
</file>

<file path=xl/ctrlProps/ctrlProp903.xml><?xml version="1.0" encoding="utf-8"?>
<formControlPr xmlns="http://schemas.microsoft.com/office/spreadsheetml/2009/9/main" objectType="CheckBox" lockText="1" noThreeD="1"/>
</file>

<file path=xl/ctrlProps/ctrlProp904.xml><?xml version="1.0" encoding="utf-8"?>
<formControlPr xmlns="http://schemas.microsoft.com/office/spreadsheetml/2009/9/main" objectType="CheckBox" lockText="1" noThreeD="1"/>
</file>

<file path=xl/ctrlProps/ctrlProp905.xml><?xml version="1.0" encoding="utf-8"?>
<formControlPr xmlns="http://schemas.microsoft.com/office/spreadsheetml/2009/9/main" objectType="CheckBox" lockText="1" noThreeD="1"/>
</file>

<file path=xl/ctrlProps/ctrlProp906.xml><?xml version="1.0" encoding="utf-8"?>
<formControlPr xmlns="http://schemas.microsoft.com/office/spreadsheetml/2009/9/main" objectType="CheckBox" lockText="1" noThreeD="1"/>
</file>

<file path=xl/ctrlProps/ctrlProp907.xml><?xml version="1.0" encoding="utf-8"?>
<formControlPr xmlns="http://schemas.microsoft.com/office/spreadsheetml/2009/9/main" objectType="CheckBox" checked="Checked" lockText="1" noThreeD="1"/>
</file>

<file path=xl/ctrlProps/ctrlProp908.xml><?xml version="1.0" encoding="utf-8"?>
<formControlPr xmlns="http://schemas.microsoft.com/office/spreadsheetml/2009/9/main" objectType="CheckBox" lockText="1" noThreeD="1"/>
</file>

<file path=xl/ctrlProps/ctrlProp909.xml><?xml version="1.0" encoding="utf-8"?>
<formControlPr xmlns="http://schemas.microsoft.com/office/spreadsheetml/2009/9/main" objectType="CheckBox" lockText="1" noThreeD="1"/>
</file>

<file path=xl/ctrlProps/ctrlProp910.xml><?xml version="1.0" encoding="utf-8"?>
<formControlPr xmlns="http://schemas.microsoft.com/office/spreadsheetml/2009/9/main" objectType="CheckBox" lockText="1" noThreeD="1"/>
</file>

<file path=xl/ctrlProps/ctrlProp911.xml><?xml version="1.0" encoding="utf-8"?>
<formControlPr xmlns="http://schemas.microsoft.com/office/spreadsheetml/2009/9/main" objectType="CheckBox" lockText="1" noThreeD="1"/>
</file>

<file path=xl/ctrlProps/ctrlProp912.xml><?xml version="1.0" encoding="utf-8"?>
<formControlPr xmlns="http://schemas.microsoft.com/office/spreadsheetml/2009/9/main" objectType="CheckBox" lockText="1" noThreeD="1"/>
</file>

<file path=xl/ctrlProps/ctrlProp913.xml><?xml version="1.0" encoding="utf-8"?>
<formControlPr xmlns="http://schemas.microsoft.com/office/spreadsheetml/2009/9/main" objectType="CheckBox" checked="Checked" lockText="1" noThreeD="1"/>
</file>

<file path=xl/ctrlProps/ctrlProp914.xml><?xml version="1.0" encoding="utf-8"?>
<formControlPr xmlns="http://schemas.microsoft.com/office/spreadsheetml/2009/9/main" objectType="CheckBox" lockText="1" noThreeD="1"/>
</file>

<file path=xl/ctrlProps/ctrlProp915.xml><?xml version="1.0" encoding="utf-8"?>
<formControlPr xmlns="http://schemas.microsoft.com/office/spreadsheetml/2009/9/main" objectType="CheckBox" lockText="1" noThreeD="1"/>
</file>

<file path=xl/ctrlProps/ctrlProp916.xml><?xml version="1.0" encoding="utf-8"?>
<formControlPr xmlns="http://schemas.microsoft.com/office/spreadsheetml/2009/9/main" objectType="CheckBox" checked="Checked" lockText="1" noThreeD="1"/>
</file>

<file path=xl/ctrlProps/ctrlProp917.xml><?xml version="1.0" encoding="utf-8"?>
<formControlPr xmlns="http://schemas.microsoft.com/office/spreadsheetml/2009/9/main" objectType="CheckBox" lockText="1" noThreeD="1"/>
</file>

<file path=xl/ctrlProps/ctrlProp918.xml><?xml version="1.0" encoding="utf-8"?>
<formControlPr xmlns="http://schemas.microsoft.com/office/spreadsheetml/2009/9/main" objectType="CheckBox" lockText="1" noThreeD="1"/>
</file>

<file path=xl/ctrlProps/ctrlProp919.xml><?xml version="1.0" encoding="utf-8"?>
<formControlPr xmlns="http://schemas.microsoft.com/office/spreadsheetml/2009/9/main" objectType="CheckBox" lockText="1" noThreeD="1"/>
</file>

<file path=xl/ctrlProps/ctrlProp920.xml><?xml version="1.0" encoding="utf-8"?>
<formControlPr xmlns="http://schemas.microsoft.com/office/spreadsheetml/2009/9/main" objectType="CheckBox" lockText="1" noThreeD="1"/>
</file>

<file path=xl/ctrlProps/ctrlProp921.xml><?xml version="1.0" encoding="utf-8"?>
<formControlPr xmlns="http://schemas.microsoft.com/office/spreadsheetml/2009/9/main" objectType="CheckBox"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lockText="1" noThreeD="1"/>
</file>

<file path=xl/ctrlProps/ctrlProp924.xml><?xml version="1.0" encoding="utf-8"?>
<formControlPr xmlns="http://schemas.microsoft.com/office/spreadsheetml/2009/9/main" objectType="CheckBox" lockText="1" noThreeD="1"/>
</file>

<file path=xl/ctrlProps/ctrlProp925.xml><?xml version="1.0" encoding="utf-8"?>
<formControlPr xmlns="http://schemas.microsoft.com/office/spreadsheetml/2009/9/main" objectType="CheckBox" checked="Checked" lockText="1" noThreeD="1"/>
</file>

<file path=xl/ctrlProps/ctrlProp926.xml><?xml version="1.0" encoding="utf-8"?>
<formControlPr xmlns="http://schemas.microsoft.com/office/spreadsheetml/2009/9/main" objectType="CheckBox" lockText="1" noThreeD="1"/>
</file>

<file path=xl/ctrlProps/ctrlProp927.xml><?xml version="1.0" encoding="utf-8"?>
<formControlPr xmlns="http://schemas.microsoft.com/office/spreadsheetml/2009/9/main" objectType="CheckBox" lockText="1" noThreeD="1"/>
</file>

<file path=xl/ctrlProps/ctrlProp928.xml><?xml version="1.0" encoding="utf-8"?>
<formControlPr xmlns="http://schemas.microsoft.com/office/spreadsheetml/2009/9/main" objectType="CheckBox" lockText="1" noThreeD="1"/>
</file>

<file path=xl/ctrlProps/ctrlProp929.xml><?xml version="1.0" encoding="utf-8"?>
<formControlPr xmlns="http://schemas.microsoft.com/office/spreadsheetml/2009/9/main" objectType="CheckBox" lockText="1" noThreeD="1"/>
</file>

<file path=xl/ctrlProps/ctrlProp930.xml><?xml version="1.0" encoding="utf-8"?>
<formControlPr xmlns="http://schemas.microsoft.com/office/spreadsheetml/2009/9/main" objectType="CheckBox" lockText="1" noThreeD="1"/>
</file>

<file path=xl/ctrlProps/ctrlProp931.xml><?xml version="1.0" encoding="utf-8"?>
<formControlPr xmlns="http://schemas.microsoft.com/office/spreadsheetml/2009/9/main" objectType="CheckBox" checked="Checked" lockText="1" noThreeD="1"/>
</file>

<file path=xl/ctrlProps/ctrlProp932.xml><?xml version="1.0" encoding="utf-8"?>
<formControlPr xmlns="http://schemas.microsoft.com/office/spreadsheetml/2009/9/main" objectType="CheckBox" lockText="1" noThreeD="1"/>
</file>

<file path=xl/ctrlProps/ctrlProp933.xml><?xml version="1.0" encoding="utf-8"?>
<formControlPr xmlns="http://schemas.microsoft.com/office/spreadsheetml/2009/9/main" objectType="CheckBox" lockText="1" noThreeD="1"/>
</file>

<file path=xl/ctrlProps/ctrlProp934.xml><?xml version="1.0" encoding="utf-8"?>
<formControlPr xmlns="http://schemas.microsoft.com/office/spreadsheetml/2009/9/main" objectType="CheckBox" lockText="1" noThreeD="1"/>
</file>

<file path=xl/ctrlProps/ctrlProp935.xml><?xml version="1.0" encoding="utf-8"?>
<formControlPr xmlns="http://schemas.microsoft.com/office/spreadsheetml/2009/9/main" objectType="CheckBox" lockText="1" noThreeD="1"/>
</file>

<file path=xl/ctrlProps/ctrlProp936.xml><?xml version="1.0" encoding="utf-8"?>
<formControlPr xmlns="http://schemas.microsoft.com/office/spreadsheetml/2009/9/main" objectType="CheckBox" lockText="1" noThreeD="1"/>
</file>

<file path=xl/ctrlProps/ctrlProp937.xml><?xml version="1.0" encoding="utf-8"?>
<formControlPr xmlns="http://schemas.microsoft.com/office/spreadsheetml/2009/9/main" objectType="CheckBox" checked="Checked" lockText="1" noThreeD="1"/>
</file>

<file path=xl/ctrlProps/ctrlProp938.xml><?xml version="1.0" encoding="utf-8"?>
<formControlPr xmlns="http://schemas.microsoft.com/office/spreadsheetml/2009/9/main" objectType="CheckBox" lockText="1" noThreeD="1"/>
</file>

<file path=xl/ctrlProps/ctrlProp939.xml><?xml version="1.0" encoding="utf-8"?>
<formControlPr xmlns="http://schemas.microsoft.com/office/spreadsheetml/2009/9/main" objectType="CheckBox" lockText="1" noThreeD="1"/>
</file>

<file path=xl/ctrlProps/ctrlProp940.xml><?xml version="1.0" encoding="utf-8"?>
<formControlPr xmlns="http://schemas.microsoft.com/office/spreadsheetml/2009/9/main" objectType="CheckBox" lockText="1" noThreeD="1"/>
</file>

<file path=xl/ctrlProps/ctrlProp941.xml><?xml version="1.0" encoding="utf-8"?>
<formControlPr xmlns="http://schemas.microsoft.com/office/spreadsheetml/2009/9/main" objectType="CheckBox" lockText="1" noThreeD="1"/>
</file>

<file path=xl/ctrlProps/ctrlProp942.xml><?xml version="1.0" encoding="utf-8"?>
<formControlPr xmlns="http://schemas.microsoft.com/office/spreadsheetml/2009/9/main" objectType="CheckBox" lockText="1" noThreeD="1"/>
</file>

<file path=xl/ctrlProps/ctrlProp943.xml><?xml version="1.0" encoding="utf-8"?>
<formControlPr xmlns="http://schemas.microsoft.com/office/spreadsheetml/2009/9/main" objectType="CheckBox" lockText="1" noThreeD="1"/>
</file>

<file path=xl/ctrlProps/ctrlProp944.xml><?xml version="1.0" encoding="utf-8"?>
<formControlPr xmlns="http://schemas.microsoft.com/office/spreadsheetml/2009/9/main" objectType="CheckBox" checked="Checked" lockText="1" noThreeD="1"/>
</file>

<file path=xl/ctrlProps/ctrlProp945.xml><?xml version="1.0" encoding="utf-8"?>
<formControlPr xmlns="http://schemas.microsoft.com/office/spreadsheetml/2009/9/main" objectType="CheckBox" lockText="1" noThreeD="1"/>
</file>

<file path=xl/ctrlProps/ctrlProp946.xml><?xml version="1.0" encoding="utf-8"?>
<formControlPr xmlns="http://schemas.microsoft.com/office/spreadsheetml/2009/9/main" objectType="CheckBox" lockText="1" noThreeD="1"/>
</file>

<file path=xl/ctrlProps/ctrlProp947.xml><?xml version="1.0" encoding="utf-8"?>
<formControlPr xmlns="http://schemas.microsoft.com/office/spreadsheetml/2009/9/main" objectType="CheckBox" lockText="1" noThreeD="1"/>
</file>

<file path=xl/ctrlProps/ctrlProp948.xml><?xml version="1.0" encoding="utf-8"?>
<formControlPr xmlns="http://schemas.microsoft.com/office/spreadsheetml/2009/9/main" objectType="CheckBox" lockText="1" noThreeD="1"/>
</file>

<file path=xl/ctrlProps/ctrlProp949.xml><?xml version="1.0" encoding="utf-8"?>
<formControlPr xmlns="http://schemas.microsoft.com/office/spreadsheetml/2009/9/main" objectType="CheckBox" checked="Checked" lockText="1" noThreeD="1"/>
</file>

<file path=xl/ctrlProps/ctrlProp950.xml><?xml version="1.0" encoding="utf-8"?>
<formControlPr xmlns="http://schemas.microsoft.com/office/spreadsheetml/2009/9/main" objectType="CheckBox" lockText="1" noThreeD="1"/>
</file>

<file path=xl/ctrlProps/ctrlProp951.xml><?xml version="1.0" encoding="utf-8"?>
<formControlPr xmlns="http://schemas.microsoft.com/office/spreadsheetml/2009/9/main" objectType="CheckBox" lockText="1" noThreeD="1"/>
</file>

<file path=xl/ctrlProps/ctrlProp952.xml><?xml version="1.0" encoding="utf-8"?>
<formControlPr xmlns="http://schemas.microsoft.com/office/spreadsheetml/2009/9/main" objectType="CheckBox" lockText="1" noThreeD="1"/>
</file>

<file path=xl/ctrlProps/ctrlProp953.xml><?xml version="1.0" encoding="utf-8"?>
<formControlPr xmlns="http://schemas.microsoft.com/office/spreadsheetml/2009/9/main" objectType="CheckBox" lockText="1" noThreeD="1"/>
</file>

<file path=xl/ctrlProps/ctrlProp954.xml><?xml version="1.0" encoding="utf-8"?>
<formControlPr xmlns="http://schemas.microsoft.com/office/spreadsheetml/2009/9/main" objectType="CheckBox" lockText="1" noThreeD="1"/>
</file>

<file path=xl/ctrlProps/ctrlProp955.xml><?xml version="1.0" encoding="utf-8"?>
<formControlPr xmlns="http://schemas.microsoft.com/office/spreadsheetml/2009/9/main" objectType="CheckBox" lockText="1" noThreeD="1"/>
</file>

<file path=xl/ctrlProps/ctrlProp956.xml><?xml version="1.0" encoding="utf-8"?>
<formControlPr xmlns="http://schemas.microsoft.com/office/spreadsheetml/2009/9/main" objectType="CheckBox" lockText="1" noThreeD="1"/>
</file>

<file path=xl/ctrlProps/ctrlProp957.xml><?xml version="1.0" encoding="utf-8"?>
<formControlPr xmlns="http://schemas.microsoft.com/office/spreadsheetml/2009/9/main" objectType="CheckBox" lockText="1" noThreeD="1"/>
</file>

<file path=xl/ctrlProps/ctrlProp958.xml><?xml version="1.0" encoding="utf-8"?>
<formControlPr xmlns="http://schemas.microsoft.com/office/spreadsheetml/2009/9/main" objectType="CheckBox" lockText="1" noThreeD="1"/>
</file>

<file path=xl/ctrlProps/ctrlProp959.xml><?xml version="1.0" encoding="utf-8"?>
<formControlPr xmlns="http://schemas.microsoft.com/office/spreadsheetml/2009/9/main" objectType="CheckBox" lockText="1" noThreeD="1"/>
</file>

<file path=xl/ctrlProps/ctrlProp960.xml><?xml version="1.0" encoding="utf-8"?>
<formControlPr xmlns="http://schemas.microsoft.com/office/spreadsheetml/2009/9/main" objectType="CheckBox" lockText="1" noThreeD="1"/>
</file>

<file path=xl/ctrlProps/ctrlProp961.xml><?xml version="1.0" encoding="utf-8"?>
<formControlPr xmlns="http://schemas.microsoft.com/office/spreadsheetml/2009/9/main" objectType="CheckBox" lockText="1" noThreeD="1"/>
</file>

<file path=xl/ctrlProps/ctrlProp962.xml><?xml version="1.0" encoding="utf-8"?>
<formControlPr xmlns="http://schemas.microsoft.com/office/spreadsheetml/2009/9/main" objectType="CheckBox" checked="Checked" lockText="1" noThreeD="1"/>
</file>

<file path=xl/ctrlProps/ctrlProp963.xml><?xml version="1.0" encoding="utf-8"?>
<formControlPr xmlns="http://schemas.microsoft.com/office/spreadsheetml/2009/9/main" objectType="CheckBox" lockText="1" noThreeD="1"/>
</file>

<file path=xl/ctrlProps/ctrlProp964.xml><?xml version="1.0" encoding="utf-8"?>
<formControlPr xmlns="http://schemas.microsoft.com/office/spreadsheetml/2009/9/main" objectType="CheckBox" lockText="1" noThreeD="1"/>
</file>

<file path=xl/ctrlProps/ctrlProp965.xml><?xml version="1.0" encoding="utf-8"?>
<formControlPr xmlns="http://schemas.microsoft.com/office/spreadsheetml/2009/9/main" objectType="CheckBox" lockText="1" noThreeD="1"/>
</file>

<file path=xl/ctrlProps/ctrlProp966.xml><?xml version="1.0" encoding="utf-8"?>
<formControlPr xmlns="http://schemas.microsoft.com/office/spreadsheetml/2009/9/main" objectType="CheckBox" lockText="1" noThreeD="1"/>
</file>

<file path=xl/ctrlProps/ctrlProp967.xml><?xml version="1.0" encoding="utf-8"?>
<formControlPr xmlns="http://schemas.microsoft.com/office/spreadsheetml/2009/9/main" objectType="CheckBox" lockText="1" noThreeD="1"/>
</file>

<file path=xl/ctrlProps/ctrlProp968.xml><?xml version="1.0" encoding="utf-8"?>
<formControlPr xmlns="http://schemas.microsoft.com/office/spreadsheetml/2009/9/main" objectType="CheckBox" lockText="1" noThreeD="1"/>
</file>

<file path=xl/ctrlProps/ctrlProp969.xml><?xml version="1.0" encoding="utf-8"?>
<formControlPr xmlns="http://schemas.microsoft.com/office/spreadsheetml/2009/9/main" objectType="CheckBox" lockText="1" noThreeD="1"/>
</file>

<file path=xl/ctrlProps/ctrlProp970.xml><?xml version="1.0" encoding="utf-8"?>
<formControlPr xmlns="http://schemas.microsoft.com/office/spreadsheetml/2009/9/main" objectType="CheckBox" lockText="1" noThreeD="1"/>
</file>

<file path=xl/ctrlProps/ctrlProp971.xml><?xml version="1.0" encoding="utf-8"?>
<formControlPr xmlns="http://schemas.microsoft.com/office/spreadsheetml/2009/9/main" objectType="CheckBox" lockText="1" noThreeD="1"/>
</file>

<file path=xl/ctrlProps/ctrlProp972.xml><?xml version="1.0" encoding="utf-8"?>
<formControlPr xmlns="http://schemas.microsoft.com/office/spreadsheetml/2009/9/main" objectType="CheckBox" lockText="1" noThreeD="1"/>
</file>

<file path=xl/ctrlProps/ctrlProp973.xml><?xml version="1.0" encoding="utf-8"?>
<formControlPr xmlns="http://schemas.microsoft.com/office/spreadsheetml/2009/9/main" objectType="CheckBox" lockText="1" noThreeD="1"/>
</file>

<file path=xl/ctrlProps/ctrlProp974.xml><?xml version="1.0" encoding="utf-8"?>
<formControlPr xmlns="http://schemas.microsoft.com/office/spreadsheetml/2009/9/main" objectType="CheckBox" checked="Checked" lockText="1" noThreeD="1"/>
</file>

<file path=xl/ctrlProps/ctrlProp975.xml><?xml version="1.0" encoding="utf-8"?>
<formControlPr xmlns="http://schemas.microsoft.com/office/spreadsheetml/2009/9/main" objectType="CheckBox" lockText="1" noThreeD="1"/>
</file>

<file path=xl/ctrlProps/ctrlProp976.xml><?xml version="1.0" encoding="utf-8"?>
<formControlPr xmlns="http://schemas.microsoft.com/office/spreadsheetml/2009/9/main" objectType="CheckBox" lockText="1" noThreeD="1"/>
</file>

<file path=xl/ctrlProps/ctrlProp977.xml><?xml version="1.0" encoding="utf-8"?>
<formControlPr xmlns="http://schemas.microsoft.com/office/spreadsheetml/2009/9/main" objectType="CheckBox" lockText="1" noThreeD="1"/>
</file>

<file path=xl/ctrlProps/ctrlProp978.xml><?xml version="1.0" encoding="utf-8"?>
<formControlPr xmlns="http://schemas.microsoft.com/office/spreadsheetml/2009/9/main" objectType="CheckBox" lockText="1" noThreeD="1"/>
</file>

<file path=xl/ctrlProps/ctrlProp979.xml><?xml version="1.0" encoding="utf-8"?>
<formControlPr xmlns="http://schemas.microsoft.com/office/spreadsheetml/2009/9/main" objectType="CheckBox" lockText="1" noThreeD="1"/>
</file>

<file path=xl/ctrlProps/ctrlProp980.xml><?xml version="1.0" encoding="utf-8"?>
<formControlPr xmlns="http://schemas.microsoft.com/office/spreadsheetml/2009/9/main" objectType="CheckBox" checked="Checked" lockText="1" noThreeD="1"/>
</file>

<file path=xl/ctrlProps/ctrlProp981.xml><?xml version="1.0" encoding="utf-8"?>
<formControlPr xmlns="http://schemas.microsoft.com/office/spreadsheetml/2009/9/main" objectType="CheckBox" lockText="1" noThreeD="1"/>
</file>

<file path=xl/ctrlProps/ctrlProp982.xml><?xml version="1.0" encoding="utf-8"?>
<formControlPr xmlns="http://schemas.microsoft.com/office/spreadsheetml/2009/9/main" objectType="CheckBox" lockText="1" noThreeD="1"/>
</file>

<file path=xl/ctrlProps/ctrlProp983.xml><?xml version="1.0" encoding="utf-8"?>
<formControlPr xmlns="http://schemas.microsoft.com/office/spreadsheetml/2009/9/main" objectType="CheckBox" lockText="1" noThreeD="1"/>
</file>

<file path=xl/ctrlProps/ctrlProp984.xml><?xml version="1.0" encoding="utf-8"?>
<formControlPr xmlns="http://schemas.microsoft.com/office/spreadsheetml/2009/9/main" objectType="CheckBox" lockText="1" noThreeD="1"/>
</file>

<file path=xl/ctrlProps/ctrlProp985.xml><?xml version="1.0" encoding="utf-8"?>
<formControlPr xmlns="http://schemas.microsoft.com/office/spreadsheetml/2009/9/main" objectType="CheckBox" lockText="1" noThreeD="1"/>
</file>

<file path=xl/ctrlProps/ctrlProp986.xml><?xml version="1.0" encoding="utf-8"?>
<formControlPr xmlns="http://schemas.microsoft.com/office/spreadsheetml/2009/9/main" objectType="CheckBox" lockText="1" noThreeD="1"/>
</file>

<file path=xl/ctrlProps/ctrlProp987.xml><?xml version="1.0" encoding="utf-8"?>
<formControlPr xmlns="http://schemas.microsoft.com/office/spreadsheetml/2009/9/main" objectType="CheckBox" lockText="1" noThreeD="1"/>
</file>

<file path=xl/ctrlProps/ctrlProp988.xml><?xml version="1.0" encoding="utf-8"?>
<formControlPr xmlns="http://schemas.microsoft.com/office/spreadsheetml/2009/9/main" objectType="CheckBox" lockText="1" noThreeD="1"/>
</file>

<file path=xl/ctrlProps/ctrlProp989.xml><?xml version="1.0" encoding="utf-8"?>
<formControlPr xmlns="http://schemas.microsoft.com/office/spreadsheetml/2009/9/main" objectType="CheckBox" lockText="1" noThreeD="1"/>
</file>

<file path=xl/ctrlProps/ctrlProp990.xml><?xml version="1.0" encoding="utf-8"?>
<formControlPr xmlns="http://schemas.microsoft.com/office/spreadsheetml/2009/9/main" objectType="CheckBox" lockText="1" noThreeD="1"/>
</file>

<file path=xl/ctrlProps/ctrlProp991.xml><?xml version="1.0" encoding="utf-8"?>
<formControlPr xmlns="http://schemas.microsoft.com/office/spreadsheetml/2009/9/main" objectType="CheckBox" lockText="1" noThreeD="1"/>
</file>

<file path=xl/ctrlProps/ctrlProp992.xml><?xml version="1.0" encoding="utf-8"?>
<formControlPr xmlns="http://schemas.microsoft.com/office/spreadsheetml/2009/9/main" objectType="CheckBox" lockText="1" noThreeD="1"/>
</file>

<file path=xl/ctrlProps/ctrlProp993.xml><?xml version="1.0" encoding="utf-8"?>
<formControlPr xmlns="http://schemas.microsoft.com/office/spreadsheetml/2009/9/main" objectType="CheckBox" checked="Checked" lockText="1" noThreeD="1"/>
</file>

<file path=xl/ctrlProps/ctrlProp994.xml><?xml version="1.0" encoding="utf-8"?>
<formControlPr xmlns="http://schemas.microsoft.com/office/spreadsheetml/2009/9/main" objectType="CheckBox" lockText="1" noThreeD="1"/>
</file>

<file path=xl/ctrlProps/ctrlProp995.xml><?xml version="1.0" encoding="utf-8"?>
<formControlPr xmlns="http://schemas.microsoft.com/office/spreadsheetml/2009/9/main" objectType="CheckBox" lockText="1" noThreeD="1"/>
</file>

<file path=xl/ctrlProps/ctrlProp996.xml><?xml version="1.0" encoding="utf-8"?>
<formControlPr xmlns="http://schemas.microsoft.com/office/spreadsheetml/2009/9/main" objectType="CheckBox" lockText="1" noThreeD="1"/>
</file>

<file path=xl/ctrlProps/ctrlProp997.xml><?xml version="1.0" encoding="utf-8"?>
<formControlPr xmlns="http://schemas.microsoft.com/office/spreadsheetml/2009/9/main" objectType="CheckBox" lockText="1" noThreeD="1"/>
</file>

<file path=xl/ctrlProps/ctrlProp998.xml><?xml version="1.0" encoding="utf-8"?>
<formControlPr xmlns="http://schemas.microsoft.com/office/spreadsheetml/2009/9/main" objectType="CheckBox" lockText="1" noThreeD="1"/>
</file>

<file path=xl/ctrlProps/ctrlProp999.xml><?xml version="1.0" encoding="utf-8"?>
<formControlPr xmlns="http://schemas.microsoft.com/office/spreadsheetml/2009/9/main" objectType="CheckBox" lockText="1" noThreeD="1"/>
</file>

<file path=xl/ctrlProps/ctrlProp1000.xml><?xml version="1.0" encoding="utf-8"?>
<formControlPr xmlns="http://schemas.microsoft.com/office/spreadsheetml/2009/9/main" objectType="CheckBox" lockText="1" noThreeD="1"/>
</file>

<file path=xl/ctrlProps/ctrlProp1001.xml><?xml version="1.0" encoding="utf-8"?>
<formControlPr xmlns="http://schemas.microsoft.com/office/spreadsheetml/2009/9/main" objectType="CheckBox" lockText="1" noThreeD="1"/>
</file>

<file path=xl/ctrlProps/ctrlProp1002.xml><?xml version="1.0" encoding="utf-8"?>
<formControlPr xmlns="http://schemas.microsoft.com/office/spreadsheetml/2009/9/main" objectType="CheckBox" lockText="1" noThreeD="1"/>
</file>

<file path=xl/ctrlProps/ctrlProp1003.xml><?xml version="1.0" encoding="utf-8"?>
<formControlPr xmlns="http://schemas.microsoft.com/office/spreadsheetml/2009/9/main" objectType="CheckBox" lockText="1" noThreeD="1"/>
</file>

<file path=xl/ctrlProps/ctrlProp1004.xml><?xml version="1.0" encoding="utf-8"?>
<formControlPr xmlns="http://schemas.microsoft.com/office/spreadsheetml/2009/9/main" objectType="CheckBox" lockText="1" noThreeD="1"/>
</file>

<file path=xl/ctrlProps/ctrlProp1005.xml><?xml version="1.0" encoding="utf-8"?>
<formControlPr xmlns="http://schemas.microsoft.com/office/spreadsheetml/2009/9/main" objectType="CheckBox" checked="Checked" lockText="1" noThreeD="1"/>
</file>

<file path=xl/ctrlProps/ctrlProp1006.xml><?xml version="1.0" encoding="utf-8"?>
<formControlPr xmlns="http://schemas.microsoft.com/office/spreadsheetml/2009/9/main" objectType="CheckBox" lockText="1" noThreeD="1"/>
</file>

<file path=xl/ctrlProps/ctrlProp1007.xml><?xml version="1.0" encoding="utf-8"?>
<formControlPr xmlns="http://schemas.microsoft.com/office/spreadsheetml/2009/9/main" objectType="CheckBox" lockText="1" noThreeD="1"/>
</file>

<file path=xl/ctrlProps/ctrlProp1008.xml><?xml version="1.0" encoding="utf-8"?>
<formControlPr xmlns="http://schemas.microsoft.com/office/spreadsheetml/2009/9/main" objectType="CheckBox" lockText="1" noThreeD="1"/>
</file>

<file path=xl/ctrlProps/ctrlProp1009.xml><?xml version="1.0" encoding="utf-8"?>
<formControlPr xmlns="http://schemas.microsoft.com/office/spreadsheetml/2009/9/main" objectType="CheckBox" lockText="1" noThreeD="1"/>
</file>

<file path=xl/ctrlProps/ctrlProp1010.xml><?xml version="1.0" encoding="utf-8"?>
<formControlPr xmlns="http://schemas.microsoft.com/office/spreadsheetml/2009/9/main" objectType="CheckBox" lockText="1" noThreeD="1"/>
</file>

<file path=xl/ctrlProps/ctrlProp1011.xml><?xml version="1.0" encoding="utf-8"?>
<formControlPr xmlns="http://schemas.microsoft.com/office/spreadsheetml/2009/9/main" objectType="CheckBox" lockText="1" noThreeD="1"/>
</file>

<file path=xl/ctrlProps/ctrlProp1012.xml><?xml version="1.0" encoding="utf-8"?>
<formControlPr xmlns="http://schemas.microsoft.com/office/spreadsheetml/2009/9/main" objectType="CheckBox" lockText="1" noThreeD="1"/>
</file>

<file path=xl/ctrlProps/ctrlProp1013.xml><?xml version="1.0" encoding="utf-8"?>
<formControlPr xmlns="http://schemas.microsoft.com/office/spreadsheetml/2009/9/main" objectType="CheckBox" lockText="1" noThreeD="1"/>
</file>

<file path=xl/ctrlProps/ctrlProp1014.xml><?xml version="1.0" encoding="utf-8"?>
<formControlPr xmlns="http://schemas.microsoft.com/office/spreadsheetml/2009/9/main" objectType="CheckBox" lockText="1" noThreeD="1"/>
</file>

<file path=xl/ctrlProps/ctrlProp1015.xml><?xml version="1.0" encoding="utf-8"?>
<formControlPr xmlns="http://schemas.microsoft.com/office/spreadsheetml/2009/9/main" objectType="CheckBox" lockText="1" noThreeD="1"/>
</file>

<file path=xl/ctrlProps/ctrlProp1016.xml><?xml version="1.0" encoding="utf-8"?>
<formControlPr xmlns="http://schemas.microsoft.com/office/spreadsheetml/2009/9/main" objectType="CheckBox" lockText="1" noThreeD="1"/>
</file>

<file path=xl/ctrlProps/ctrlProp1017.xml><?xml version="1.0" encoding="utf-8"?>
<formControlPr xmlns="http://schemas.microsoft.com/office/spreadsheetml/2009/9/main" objectType="CheckBox" checked="Checked" lockText="1" noThreeD="1"/>
</file>

<file path=xl/ctrlProps/ctrlProp1018.xml><?xml version="1.0" encoding="utf-8"?>
<formControlPr xmlns="http://schemas.microsoft.com/office/spreadsheetml/2009/9/main" objectType="CheckBox" lockText="1" noThreeD="1"/>
</file>

<file path=xl/ctrlProps/ctrlProp1019.xml><?xml version="1.0" encoding="utf-8"?>
<formControlPr xmlns="http://schemas.microsoft.com/office/spreadsheetml/2009/9/main" objectType="CheckBox" lockText="1" noThreeD="1"/>
</file>

<file path=xl/ctrlProps/ctrlProp1020.xml><?xml version="1.0" encoding="utf-8"?>
<formControlPr xmlns="http://schemas.microsoft.com/office/spreadsheetml/2009/9/main" objectType="CheckBox" lockText="1" noThreeD="1"/>
</file>

<file path=xl/ctrlProps/ctrlProp1021.xml><?xml version="1.0" encoding="utf-8"?>
<formControlPr xmlns="http://schemas.microsoft.com/office/spreadsheetml/2009/9/main" objectType="CheckBox" lockText="1" noThreeD="1"/>
</file>

<file path=xl/ctrlProps/ctrlProp1022.xml><?xml version="1.0" encoding="utf-8"?>
<formControlPr xmlns="http://schemas.microsoft.com/office/spreadsheetml/2009/9/main" objectType="CheckBox" lockText="1" noThreeD="1"/>
</file>

<file path=xl/ctrlProps/ctrlProp1023.xml><?xml version="1.0" encoding="utf-8"?>
<formControlPr xmlns="http://schemas.microsoft.com/office/spreadsheetml/2009/9/main" objectType="CheckBox" lockText="1" noThreeD="1"/>
</file>

<file path=xl/ctrlProps/ctrlProp1024.xml><?xml version="1.0" encoding="utf-8"?>
<formControlPr xmlns="http://schemas.microsoft.com/office/spreadsheetml/2009/9/main" objectType="CheckBox" lockText="1" noThreeD="1"/>
</file>

<file path=xl/ctrlProps/ctrlProp1025.xml><?xml version="1.0" encoding="utf-8"?>
<formControlPr xmlns="http://schemas.microsoft.com/office/spreadsheetml/2009/9/main" objectType="CheckBox" lockText="1" noThreeD="1"/>
</file>

<file path=xl/ctrlProps/ctrlProp1026.xml><?xml version="1.0" encoding="utf-8"?>
<formControlPr xmlns="http://schemas.microsoft.com/office/spreadsheetml/2009/9/main" objectType="CheckBox" lockText="1" noThreeD="1"/>
</file>

<file path=xl/ctrlProps/ctrlProp1027.xml><?xml version="1.0" encoding="utf-8"?>
<formControlPr xmlns="http://schemas.microsoft.com/office/spreadsheetml/2009/9/main" objectType="CheckBox" lockText="1" noThreeD="1"/>
</file>

<file path=xl/ctrlProps/ctrlProp1028.xml><?xml version="1.0" encoding="utf-8"?>
<formControlPr xmlns="http://schemas.microsoft.com/office/spreadsheetml/2009/9/main" objectType="CheckBox" lockText="1" noThreeD="1"/>
</file>

<file path=xl/ctrlProps/ctrlProp1029.xml><?xml version="1.0" encoding="utf-8"?>
<formControlPr xmlns="http://schemas.microsoft.com/office/spreadsheetml/2009/9/main" objectType="CheckBox" checked="Checked" lockText="1" noThreeD="1"/>
</file>

<file path=xl/ctrlProps/ctrlProp1030.xml><?xml version="1.0" encoding="utf-8"?>
<formControlPr xmlns="http://schemas.microsoft.com/office/spreadsheetml/2009/9/main" objectType="CheckBox" lockText="1" noThreeD="1"/>
</file>

<file path=xl/ctrlProps/ctrlProp1031.xml><?xml version="1.0" encoding="utf-8"?>
<formControlPr xmlns="http://schemas.microsoft.com/office/spreadsheetml/2009/9/main" objectType="CheckBox" lockText="1" noThreeD="1"/>
</file>

<file path=xl/ctrlProps/ctrlProp1032.xml><?xml version="1.0" encoding="utf-8"?>
<formControlPr xmlns="http://schemas.microsoft.com/office/spreadsheetml/2009/9/main" objectType="CheckBox" lockText="1" noThreeD="1"/>
</file>

<file path=xl/ctrlProps/ctrlProp1033.xml><?xml version="1.0" encoding="utf-8"?>
<formControlPr xmlns="http://schemas.microsoft.com/office/spreadsheetml/2009/9/main" objectType="CheckBox" lockText="1" noThreeD="1"/>
</file>

<file path=xl/ctrlProps/ctrlProp1034.xml><?xml version="1.0" encoding="utf-8"?>
<formControlPr xmlns="http://schemas.microsoft.com/office/spreadsheetml/2009/9/main" objectType="CheckBox" lockText="1" noThreeD="1"/>
</file>

<file path=xl/ctrlProps/ctrlProp1035.xml><?xml version="1.0" encoding="utf-8"?>
<formControlPr xmlns="http://schemas.microsoft.com/office/spreadsheetml/2009/9/main" objectType="CheckBox" lockText="1" noThreeD="1"/>
</file>

<file path=xl/ctrlProps/ctrlProp1036.xml><?xml version="1.0" encoding="utf-8"?>
<formControlPr xmlns="http://schemas.microsoft.com/office/spreadsheetml/2009/9/main" objectType="CheckBox" lockText="1" noThreeD="1"/>
</file>

<file path=xl/ctrlProps/ctrlProp1037.xml><?xml version="1.0" encoding="utf-8"?>
<formControlPr xmlns="http://schemas.microsoft.com/office/spreadsheetml/2009/9/main" objectType="CheckBox" lockText="1" noThreeD="1"/>
</file>

<file path=xl/ctrlProps/ctrlProp1038.xml><?xml version="1.0" encoding="utf-8"?>
<formControlPr xmlns="http://schemas.microsoft.com/office/spreadsheetml/2009/9/main" objectType="CheckBox" lockText="1" noThreeD="1"/>
</file>

<file path=xl/ctrlProps/ctrlProp1039.xml><?xml version="1.0" encoding="utf-8"?>
<formControlPr xmlns="http://schemas.microsoft.com/office/spreadsheetml/2009/9/main" objectType="CheckBox" lockText="1" noThreeD="1"/>
</file>

<file path=xl/ctrlProps/ctrlProp1040.xml><?xml version="1.0" encoding="utf-8"?>
<formControlPr xmlns="http://schemas.microsoft.com/office/spreadsheetml/2009/9/main" objectType="CheckBox" lockText="1" noThreeD="1"/>
</file>

<file path=xl/ctrlProps/ctrlProp1041.xml><?xml version="1.0" encoding="utf-8"?>
<formControlPr xmlns="http://schemas.microsoft.com/office/spreadsheetml/2009/9/main" objectType="CheckBox" lockText="1" noThreeD="1"/>
</file>

<file path=xl/ctrlProps/ctrlProp1042.xml><?xml version="1.0" encoding="utf-8"?>
<formControlPr xmlns="http://schemas.microsoft.com/office/spreadsheetml/2009/9/main" objectType="CheckBox" lockText="1" noThreeD="1"/>
</file>

<file path=xl/ctrlProps/ctrlProp1043.xml><?xml version="1.0" encoding="utf-8"?>
<formControlPr xmlns="http://schemas.microsoft.com/office/spreadsheetml/2009/9/main" objectType="CheckBox" lockText="1" noThreeD="1"/>
</file>

<file path=xl/ctrlProps/ctrlProp1044.xml><?xml version="1.0" encoding="utf-8"?>
<formControlPr xmlns="http://schemas.microsoft.com/office/spreadsheetml/2009/9/main" objectType="CheckBox" lockText="1" noThreeD="1"/>
</file>

<file path=xl/ctrlProps/ctrlProp1045.xml><?xml version="1.0" encoding="utf-8"?>
<formControlPr xmlns="http://schemas.microsoft.com/office/spreadsheetml/2009/9/main" objectType="CheckBox" lockText="1" noThreeD="1"/>
</file>

<file path=xl/ctrlProps/ctrlProp1046.xml><?xml version="1.0" encoding="utf-8"?>
<formControlPr xmlns="http://schemas.microsoft.com/office/spreadsheetml/2009/9/main" objectType="CheckBox" lockText="1" noThreeD="1"/>
</file>

<file path=xl/ctrlProps/ctrlProp1047.xml><?xml version="1.0" encoding="utf-8"?>
<formControlPr xmlns="http://schemas.microsoft.com/office/spreadsheetml/2009/9/main" objectType="CheckBox" lockText="1" noThreeD="1"/>
</file>

<file path=xl/ctrlProps/ctrlProp1048.xml><?xml version="1.0" encoding="utf-8"?>
<formControlPr xmlns="http://schemas.microsoft.com/office/spreadsheetml/2009/9/main" objectType="CheckBox" lockText="1" noThreeD="1"/>
</file>

<file path=xl/ctrlProps/ctrlProp1049.xml><?xml version="1.0" encoding="utf-8"?>
<formControlPr xmlns="http://schemas.microsoft.com/office/spreadsheetml/2009/9/main" objectType="CheckBox" lockText="1" noThreeD="1"/>
</file>

<file path=xl/ctrlProps/ctrlProp1050.xml><?xml version="1.0" encoding="utf-8"?>
<formControlPr xmlns="http://schemas.microsoft.com/office/spreadsheetml/2009/9/main" objectType="CheckBox" lockText="1" noThreeD="1"/>
</file>

<file path=xl/ctrlProps/ctrlProp1051.xml><?xml version="1.0" encoding="utf-8"?>
<formControlPr xmlns="http://schemas.microsoft.com/office/spreadsheetml/2009/9/main" objectType="CheckBox" lockText="1" noThreeD="1"/>
</file>

<file path=xl/ctrlProps/ctrlProp1052.xml><?xml version="1.0" encoding="utf-8"?>
<formControlPr xmlns="http://schemas.microsoft.com/office/spreadsheetml/2009/9/main" objectType="CheckBox" lockText="1" noThreeD="1"/>
</file>

<file path=xl/ctrlProps/ctrlProp1053.xml><?xml version="1.0" encoding="utf-8"?>
<formControlPr xmlns="http://schemas.microsoft.com/office/spreadsheetml/2009/9/main" objectType="CheckBox" checked="Checked" lockText="1" noThreeD="1"/>
</file>

<file path=xl/ctrlProps/ctrlProp1054.xml><?xml version="1.0" encoding="utf-8"?>
<formControlPr xmlns="http://schemas.microsoft.com/office/spreadsheetml/2009/9/main" objectType="CheckBox" lockText="1" noThreeD="1"/>
</file>

<file path=xl/ctrlProps/ctrlProp1055.xml><?xml version="1.0" encoding="utf-8"?>
<formControlPr xmlns="http://schemas.microsoft.com/office/spreadsheetml/2009/9/main" objectType="CheckBox" lockText="1" noThreeD="1"/>
</file>

<file path=xl/ctrlProps/ctrlProp1056.xml><?xml version="1.0" encoding="utf-8"?>
<formControlPr xmlns="http://schemas.microsoft.com/office/spreadsheetml/2009/9/main" objectType="CheckBox" lockText="1" noThreeD="1"/>
</file>

<file path=xl/ctrlProps/ctrlProp1057.xml><?xml version="1.0" encoding="utf-8"?>
<formControlPr xmlns="http://schemas.microsoft.com/office/spreadsheetml/2009/9/main" objectType="CheckBox" lockText="1" noThreeD="1"/>
</file>

<file path=xl/ctrlProps/ctrlProp1058.xml><?xml version="1.0" encoding="utf-8"?>
<formControlPr xmlns="http://schemas.microsoft.com/office/spreadsheetml/2009/9/main" objectType="CheckBox" lockText="1" noThreeD="1"/>
</file>

<file path=xl/ctrlProps/ctrlProp1059.xml><?xml version="1.0" encoding="utf-8"?>
<formControlPr xmlns="http://schemas.microsoft.com/office/spreadsheetml/2009/9/main" objectType="CheckBox" lockText="1" noThreeD="1"/>
</file>

<file path=xl/ctrlProps/ctrlProp1060.xml><?xml version="1.0" encoding="utf-8"?>
<formControlPr xmlns="http://schemas.microsoft.com/office/spreadsheetml/2009/9/main" objectType="CheckBox" lockText="1" noThreeD="1"/>
</file>

<file path=xl/ctrlProps/ctrlProp1061.xml><?xml version="1.0" encoding="utf-8"?>
<formControlPr xmlns="http://schemas.microsoft.com/office/spreadsheetml/2009/9/main" objectType="CheckBox" lockText="1" noThreeD="1"/>
</file>

<file path=xl/ctrlProps/ctrlProp1062.xml><?xml version="1.0" encoding="utf-8"?>
<formControlPr xmlns="http://schemas.microsoft.com/office/spreadsheetml/2009/9/main" objectType="CheckBox" lockText="1" noThreeD="1"/>
</file>

<file path=xl/ctrlProps/ctrlProp1063.xml><?xml version="1.0" encoding="utf-8"?>
<formControlPr xmlns="http://schemas.microsoft.com/office/spreadsheetml/2009/9/main" objectType="CheckBox" lockText="1" noThreeD="1"/>
</file>

<file path=xl/ctrlProps/ctrlProp1064.xml><?xml version="1.0" encoding="utf-8"?>
<formControlPr xmlns="http://schemas.microsoft.com/office/spreadsheetml/2009/9/main" objectType="CheckBox" lockText="1" noThreeD="1"/>
</file>

<file path=xl/ctrlProps/ctrlProp1065.xml><?xml version="1.0" encoding="utf-8"?>
<formControlPr xmlns="http://schemas.microsoft.com/office/spreadsheetml/2009/9/main" objectType="CheckBox" checked="Checked" lockText="1" noThreeD="1"/>
</file>

<file path=xl/ctrlProps/ctrlProp1066.xml><?xml version="1.0" encoding="utf-8"?>
<formControlPr xmlns="http://schemas.microsoft.com/office/spreadsheetml/2009/9/main" objectType="CheckBox" lockText="1" noThreeD="1"/>
</file>

<file path=xl/ctrlProps/ctrlProp1067.xml><?xml version="1.0" encoding="utf-8"?>
<formControlPr xmlns="http://schemas.microsoft.com/office/spreadsheetml/2009/9/main" objectType="CheckBox" lockText="1" noThreeD="1"/>
</file>

<file path=xl/ctrlProps/ctrlProp1068.xml><?xml version="1.0" encoding="utf-8"?>
<formControlPr xmlns="http://schemas.microsoft.com/office/spreadsheetml/2009/9/main" objectType="CheckBox" lockText="1" noThreeD="1"/>
</file>

<file path=xl/ctrlProps/ctrlProp1069.xml><?xml version="1.0" encoding="utf-8"?>
<formControlPr xmlns="http://schemas.microsoft.com/office/spreadsheetml/2009/9/main" objectType="CheckBox" lockText="1" noThreeD="1"/>
</file>

<file path=xl/ctrlProps/ctrlProp1070.xml><?xml version="1.0" encoding="utf-8"?>
<formControlPr xmlns="http://schemas.microsoft.com/office/spreadsheetml/2009/9/main" objectType="CheckBox" lockText="1" noThreeD="1"/>
</file>

<file path=xl/ctrlProps/ctrlProp1071.xml><?xml version="1.0" encoding="utf-8"?>
<formControlPr xmlns="http://schemas.microsoft.com/office/spreadsheetml/2009/9/main" objectType="CheckBox" lockText="1" noThreeD="1"/>
</file>

<file path=xl/ctrlProps/ctrlProp1072.xml><?xml version="1.0" encoding="utf-8"?>
<formControlPr xmlns="http://schemas.microsoft.com/office/spreadsheetml/2009/9/main" objectType="CheckBox" lockText="1" noThreeD="1"/>
</file>

<file path=xl/ctrlProps/ctrlProp1073.xml><?xml version="1.0" encoding="utf-8"?>
<formControlPr xmlns="http://schemas.microsoft.com/office/spreadsheetml/2009/9/main" objectType="CheckBox" lockText="1" noThreeD="1"/>
</file>

<file path=xl/ctrlProps/ctrlProp1074.xml><?xml version="1.0" encoding="utf-8"?>
<formControlPr xmlns="http://schemas.microsoft.com/office/spreadsheetml/2009/9/main" objectType="CheckBox" lockText="1" noThreeD="1"/>
</file>

<file path=xl/ctrlProps/ctrlProp1075.xml><?xml version="1.0" encoding="utf-8"?>
<formControlPr xmlns="http://schemas.microsoft.com/office/spreadsheetml/2009/9/main" objectType="CheckBox" lockText="1" noThreeD="1"/>
</file>

<file path=xl/ctrlProps/ctrlProp1076.xml><?xml version="1.0" encoding="utf-8"?>
<formControlPr xmlns="http://schemas.microsoft.com/office/spreadsheetml/2009/9/main" objectType="CheckBox" lockText="1" noThreeD="1"/>
</file>

<file path=xl/ctrlProps/ctrlProp1077.xml><?xml version="1.0" encoding="utf-8"?>
<formControlPr xmlns="http://schemas.microsoft.com/office/spreadsheetml/2009/9/main" objectType="CheckBox" checked="Checked" lockText="1" noThreeD="1"/>
</file>

<file path=xl/ctrlProps/ctrlProp1078.xml><?xml version="1.0" encoding="utf-8"?>
<formControlPr xmlns="http://schemas.microsoft.com/office/spreadsheetml/2009/9/main" objectType="CheckBox" lockText="1" noThreeD="1"/>
</file>

<file path=xl/ctrlProps/ctrlProp1079.xml><?xml version="1.0" encoding="utf-8"?>
<formControlPr xmlns="http://schemas.microsoft.com/office/spreadsheetml/2009/9/main" objectType="CheckBox" lockText="1" noThreeD="1"/>
</file>

<file path=xl/ctrlProps/ctrlProp1080.xml><?xml version="1.0" encoding="utf-8"?>
<formControlPr xmlns="http://schemas.microsoft.com/office/spreadsheetml/2009/9/main" objectType="CheckBox" lockText="1" noThreeD="1"/>
</file>

<file path=xl/ctrlProps/ctrlProp1081.xml><?xml version="1.0" encoding="utf-8"?>
<formControlPr xmlns="http://schemas.microsoft.com/office/spreadsheetml/2009/9/main" objectType="CheckBox" lockText="1" noThreeD="1"/>
</file>

<file path=xl/ctrlProps/ctrlProp1082.xml><?xml version="1.0" encoding="utf-8"?>
<formControlPr xmlns="http://schemas.microsoft.com/office/spreadsheetml/2009/9/main" objectType="CheckBox" lockText="1" noThreeD="1"/>
</file>

<file path=xl/ctrlProps/ctrlProp1083.xml><?xml version="1.0" encoding="utf-8"?>
<formControlPr xmlns="http://schemas.microsoft.com/office/spreadsheetml/2009/9/main" objectType="CheckBox" lockText="1" noThreeD="1"/>
</file>

<file path=xl/ctrlProps/ctrlProp1084.xml><?xml version="1.0" encoding="utf-8"?>
<formControlPr xmlns="http://schemas.microsoft.com/office/spreadsheetml/2009/9/main" objectType="CheckBox" lockText="1" noThreeD="1"/>
</file>

<file path=xl/ctrlProps/ctrlProp1085.xml><?xml version="1.0" encoding="utf-8"?>
<formControlPr xmlns="http://schemas.microsoft.com/office/spreadsheetml/2009/9/main" objectType="CheckBox" lockText="1" noThreeD="1"/>
</file>

<file path=xl/ctrlProps/ctrlProp1086.xml><?xml version="1.0" encoding="utf-8"?>
<formControlPr xmlns="http://schemas.microsoft.com/office/spreadsheetml/2009/9/main" objectType="CheckBox" lockText="1" noThreeD="1"/>
</file>

<file path=xl/ctrlProps/ctrlProp1087.xml><?xml version="1.0" encoding="utf-8"?>
<formControlPr xmlns="http://schemas.microsoft.com/office/spreadsheetml/2009/9/main" objectType="CheckBox" lockText="1" noThreeD="1"/>
</file>

<file path=xl/ctrlProps/ctrlProp1088.xml><?xml version="1.0" encoding="utf-8"?>
<formControlPr xmlns="http://schemas.microsoft.com/office/spreadsheetml/2009/9/main" objectType="CheckBox" lockText="1" noThreeD="1"/>
</file>

<file path=xl/ctrlProps/ctrlProp1089.xml><?xml version="1.0" encoding="utf-8"?>
<formControlPr xmlns="http://schemas.microsoft.com/office/spreadsheetml/2009/9/main" objectType="CheckBox" checked="Checked" lockText="1" noThreeD="1"/>
</file>

<file path=xl/ctrlProps/ctrlProp1090.xml><?xml version="1.0" encoding="utf-8"?>
<formControlPr xmlns="http://schemas.microsoft.com/office/spreadsheetml/2009/9/main" objectType="CheckBox" lockText="1" noThreeD="1"/>
</file>

<file path=xl/ctrlProps/ctrlProp1091.xml><?xml version="1.0" encoding="utf-8"?>
<formControlPr xmlns="http://schemas.microsoft.com/office/spreadsheetml/2009/9/main" objectType="CheckBox" lockText="1" noThreeD="1"/>
</file>

<file path=xl/ctrlProps/ctrlProp1092.xml><?xml version="1.0" encoding="utf-8"?>
<formControlPr xmlns="http://schemas.microsoft.com/office/spreadsheetml/2009/9/main" objectType="CheckBox" lockText="1" noThreeD="1"/>
</file>

<file path=xl/ctrlProps/ctrlProp1093.xml><?xml version="1.0" encoding="utf-8"?>
<formControlPr xmlns="http://schemas.microsoft.com/office/spreadsheetml/2009/9/main" objectType="CheckBox" lockText="1" noThreeD="1"/>
</file>

<file path=xl/ctrlProps/ctrlProp1094.xml><?xml version="1.0" encoding="utf-8"?>
<formControlPr xmlns="http://schemas.microsoft.com/office/spreadsheetml/2009/9/main" objectType="CheckBox" lockText="1" noThreeD="1"/>
</file>

<file path=xl/ctrlProps/ctrlProp1095.xml><?xml version="1.0" encoding="utf-8"?>
<formControlPr xmlns="http://schemas.microsoft.com/office/spreadsheetml/2009/9/main" objectType="CheckBox" lockText="1" noThreeD="1"/>
</file>

<file path=xl/ctrlProps/ctrlProp1096.xml><?xml version="1.0" encoding="utf-8"?>
<formControlPr xmlns="http://schemas.microsoft.com/office/spreadsheetml/2009/9/main" objectType="CheckBox" lockText="1" noThreeD="1"/>
</file>

<file path=xl/ctrlProps/ctrlProp1097.xml><?xml version="1.0" encoding="utf-8"?>
<formControlPr xmlns="http://schemas.microsoft.com/office/spreadsheetml/2009/9/main" objectType="CheckBox" lockText="1" noThreeD="1"/>
</file>

<file path=xl/ctrlProps/ctrlProp1098.xml><?xml version="1.0" encoding="utf-8"?>
<formControlPr xmlns="http://schemas.microsoft.com/office/spreadsheetml/2009/9/main" objectType="CheckBox" lockText="1" noThreeD="1"/>
</file>

<file path=xl/ctrlProps/ctrlProp1099.xml><?xml version="1.0" encoding="utf-8"?>
<formControlPr xmlns="http://schemas.microsoft.com/office/spreadsheetml/2009/9/main" objectType="CheckBox" lockText="1" noThreeD="1"/>
</file>

<file path=xl/ctrlProps/ctrlProp1100.xml><?xml version="1.0" encoding="utf-8"?>
<formControlPr xmlns="http://schemas.microsoft.com/office/spreadsheetml/2009/9/main" objectType="CheckBox" lockText="1" noThreeD="1"/>
</file>

<file path=xl/ctrlProps/ctrlProp1101.xml><?xml version="1.0" encoding="utf-8"?>
<formControlPr xmlns="http://schemas.microsoft.com/office/spreadsheetml/2009/9/main" objectType="CheckBox" checked="Checked" lockText="1" noThreeD="1"/>
</file>

<file path=xl/ctrlProps/ctrlProp1102.xml><?xml version="1.0" encoding="utf-8"?>
<formControlPr xmlns="http://schemas.microsoft.com/office/spreadsheetml/2009/9/main" objectType="CheckBox" lockText="1" noThreeD="1"/>
</file>

<file path=xl/ctrlProps/ctrlProp1103.xml><?xml version="1.0" encoding="utf-8"?>
<formControlPr xmlns="http://schemas.microsoft.com/office/spreadsheetml/2009/9/main" objectType="CheckBox" lockText="1" noThreeD="1"/>
</file>

<file path=xl/ctrlProps/ctrlProp1104.xml><?xml version="1.0" encoding="utf-8"?>
<formControlPr xmlns="http://schemas.microsoft.com/office/spreadsheetml/2009/9/main" objectType="CheckBox" lockText="1" noThreeD="1"/>
</file>

<file path=xl/ctrlProps/ctrlProp1105.xml><?xml version="1.0" encoding="utf-8"?>
<formControlPr xmlns="http://schemas.microsoft.com/office/spreadsheetml/2009/9/main" objectType="CheckBox" lockText="1" noThreeD="1"/>
</file>

<file path=xl/ctrlProps/ctrlProp1106.xml><?xml version="1.0" encoding="utf-8"?>
<formControlPr xmlns="http://schemas.microsoft.com/office/spreadsheetml/2009/9/main" objectType="CheckBox" lockText="1" noThreeD="1"/>
</file>

<file path=xl/ctrlProps/ctrlProp1107.xml><?xml version="1.0" encoding="utf-8"?>
<formControlPr xmlns="http://schemas.microsoft.com/office/spreadsheetml/2009/9/main" objectType="CheckBox" lockText="1" noThreeD="1"/>
</file>

<file path=xl/ctrlProps/ctrlProp1108.xml><?xml version="1.0" encoding="utf-8"?>
<formControlPr xmlns="http://schemas.microsoft.com/office/spreadsheetml/2009/9/main" objectType="CheckBox" lockText="1" noThreeD="1"/>
</file>

<file path=xl/ctrlProps/ctrlProp1109.xml><?xml version="1.0" encoding="utf-8"?>
<formControlPr xmlns="http://schemas.microsoft.com/office/spreadsheetml/2009/9/main" objectType="CheckBox" lockText="1" noThreeD="1"/>
</file>

<file path=xl/ctrlProps/ctrlProp1110.xml><?xml version="1.0" encoding="utf-8"?>
<formControlPr xmlns="http://schemas.microsoft.com/office/spreadsheetml/2009/9/main" objectType="CheckBox" checked="Checked" lockText="1" noThreeD="1"/>
</file>

<file path=xl/ctrlProps/ctrlProp1111.xml><?xml version="1.0" encoding="utf-8"?>
<formControlPr xmlns="http://schemas.microsoft.com/office/spreadsheetml/2009/9/main" objectType="CheckBox" lockText="1" noThreeD="1"/>
</file>

<file path=xl/ctrlProps/ctrlProp1112.xml><?xml version="1.0" encoding="utf-8"?>
<formControlPr xmlns="http://schemas.microsoft.com/office/spreadsheetml/2009/9/main" objectType="CheckBox" lockText="1" noThreeD="1"/>
</file>

<file path=xl/ctrlProps/ctrlProp1113.xml><?xml version="1.0" encoding="utf-8"?>
<formControlPr xmlns="http://schemas.microsoft.com/office/spreadsheetml/2009/9/main" objectType="CheckBox" checked="Checked" lockText="1" noThreeD="1"/>
</file>

<file path=xl/ctrlProps/ctrlProp1114.xml><?xml version="1.0" encoding="utf-8"?>
<formControlPr xmlns="http://schemas.microsoft.com/office/spreadsheetml/2009/9/main" objectType="CheckBox" lockText="1" noThreeD="1"/>
</file>

<file path=xl/ctrlProps/ctrlProp1115.xml><?xml version="1.0" encoding="utf-8"?>
<formControlPr xmlns="http://schemas.microsoft.com/office/spreadsheetml/2009/9/main" objectType="CheckBox" lockText="1" noThreeD="1"/>
</file>

<file path=xl/ctrlProps/ctrlProp1116.xml><?xml version="1.0" encoding="utf-8"?>
<formControlPr xmlns="http://schemas.microsoft.com/office/spreadsheetml/2009/9/main" objectType="CheckBox" lockText="1" noThreeD="1"/>
</file>

<file path=xl/ctrlProps/ctrlProp1117.xml><?xml version="1.0" encoding="utf-8"?>
<formControlPr xmlns="http://schemas.microsoft.com/office/spreadsheetml/2009/9/main" objectType="CheckBox" lockText="1" noThreeD="1"/>
</file>

<file path=xl/ctrlProps/ctrlProp1118.xml><?xml version="1.0" encoding="utf-8"?>
<formControlPr xmlns="http://schemas.microsoft.com/office/spreadsheetml/2009/9/main" objectType="CheckBox" lockText="1" noThreeD="1"/>
</file>

<file path=xl/ctrlProps/ctrlProp1119.xml><?xml version="1.0" encoding="utf-8"?>
<formControlPr xmlns="http://schemas.microsoft.com/office/spreadsheetml/2009/9/main" objectType="CheckBox" lockText="1" noThreeD="1"/>
</file>

<file path=xl/ctrlProps/ctrlProp1120.xml><?xml version="1.0" encoding="utf-8"?>
<formControlPr xmlns="http://schemas.microsoft.com/office/spreadsheetml/2009/9/main" objectType="CheckBox" lockText="1" noThreeD="1"/>
</file>

<file path=xl/ctrlProps/ctrlProp1121.xml><?xml version="1.0" encoding="utf-8"?>
<formControlPr xmlns="http://schemas.microsoft.com/office/spreadsheetml/2009/9/main" objectType="CheckBox" lockText="1" noThreeD="1"/>
</file>

<file path=xl/ctrlProps/ctrlProp1122.xml><?xml version="1.0" encoding="utf-8"?>
<formControlPr xmlns="http://schemas.microsoft.com/office/spreadsheetml/2009/9/main" objectType="CheckBox" lockText="1" noThreeD="1"/>
</file>

<file path=xl/ctrlProps/ctrlProp1123.xml><?xml version="1.0" encoding="utf-8"?>
<formControlPr xmlns="http://schemas.microsoft.com/office/spreadsheetml/2009/9/main" objectType="CheckBox" lockText="1" noThreeD="1"/>
</file>

<file path=xl/ctrlProps/ctrlProp1124.xml><?xml version="1.0" encoding="utf-8"?>
<formControlPr xmlns="http://schemas.microsoft.com/office/spreadsheetml/2009/9/main" objectType="CheckBox" lockText="1" noThreeD="1"/>
</file>

<file path=xl/ctrlProps/ctrlProp1125.xml><?xml version="1.0" encoding="utf-8"?>
<formControlPr xmlns="http://schemas.microsoft.com/office/spreadsheetml/2009/9/main" objectType="CheckBox" lockText="1" noThreeD="1"/>
</file>

<file path=xl/ctrlProps/ctrlProp1126.xml><?xml version="1.0" encoding="utf-8"?>
<formControlPr xmlns="http://schemas.microsoft.com/office/spreadsheetml/2009/9/main" objectType="CheckBox" lockText="1" noThreeD="1"/>
</file>

<file path=xl/ctrlProps/ctrlProp1127.xml><?xml version="1.0" encoding="utf-8"?>
<formControlPr xmlns="http://schemas.microsoft.com/office/spreadsheetml/2009/9/main" objectType="CheckBox" lockText="1" noThreeD="1"/>
</file>

<file path=xl/ctrlProps/ctrlProp1128.xml><?xml version="1.0" encoding="utf-8"?>
<formControlPr xmlns="http://schemas.microsoft.com/office/spreadsheetml/2009/9/main" objectType="CheckBox" lockText="1" noThreeD="1"/>
</file>

<file path=xl/ctrlProps/ctrlProp1129.xml><?xml version="1.0" encoding="utf-8"?>
<formControlPr xmlns="http://schemas.microsoft.com/office/spreadsheetml/2009/9/main" objectType="CheckBox" lockText="1" noThreeD="1"/>
</file>

<file path=xl/ctrlProps/ctrlProp1130.xml><?xml version="1.0" encoding="utf-8"?>
<formControlPr xmlns="http://schemas.microsoft.com/office/spreadsheetml/2009/9/main" objectType="CheckBox" lockText="1" noThreeD="1"/>
</file>

<file path=xl/ctrlProps/ctrlProp1131.xml><?xml version="1.0" encoding="utf-8"?>
<formControlPr xmlns="http://schemas.microsoft.com/office/spreadsheetml/2009/9/main" objectType="CheckBox" lockText="1" noThreeD="1"/>
</file>

<file path=xl/ctrlProps/ctrlProp1132.xml><?xml version="1.0" encoding="utf-8"?>
<formControlPr xmlns="http://schemas.microsoft.com/office/spreadsheetml/2009/9/main" objectType="CheckBox" lockText="1" noThreeD="1"/>
</file>

<file path=xl/ctrlProps/ctrlProp1133.xml><?xml version="1.0" encoding="utf-8"?>
<formControlPr xmlns="http://schemas.microsoft.com/office/spreadsheetml/2009/9/main" objectType="CheckBox" lockText="1" noThreeD="1"/>
</file>

<file path=xl/ctrlProps/ctrlProp1134.xml><?xml version="1.0" encoding="utf-8"?>
<formControlPr xmlns="http://schemas.microsoft.com/office/spreadsheetml/2009/9/main" objectType="CheckBox" lockText="1" noThreeD="1"/>
</file>

<file path=xl/ctrlProps/ctrlProp1135.xml><?xml version="1.0" encoding="utf-8"?>
<formControlPr xmlns="http://schemas.microsoft.com/office/spreadsheetml/2009/9/main" objectType="CheckBox" lockText="1" noThreeD="1"/>
</file>

<file path=xl/ctrlProps/ctrlProp1136.xml><?xml version="1.0" encoding="utf-8"?>
<formControlPr xmlns="http://schemas.microsoft.com/office/spreadsheetml/2009/9/main" objectType="CheckBox" lockText="1" noThreeD="1"/>
</file>

<file path=xl/ctrlProps/ctrlProp1137.xml><?xml version="1.0" encoding="utf-8"?>
<formControlPr xmlns="http://schemas.microsoft.com/office/spreadsheetml/2009/9/main" objectType="CheckBox" checked="Checked" lockText="1" noThreeD="1"/>
</file>

<file path=xl/ctrlProps/ctrlProp1138.xml><?xml version="1.0" encoding="utf-8"?>
<formControlPr xmlns="http://schemas.microsoft.com/office/spreadsheetml/2009/9/main" objectType="CheckBox" lockText="1" noThreeD="1"/>
</file>

<file path=xl/ctrlProps/ctrlProp1139.xml><?xml version="1.0" encoding="utf-8"?>
<formControlPr xmlns="http://schemas.microsoft.com/office/spreadsheetml/2009/9/main" objectType="CheckBox" lockText="1" noThreeD="1"/>
</file>

<file path=xl/ctrlProps/ctrlProp1140.xml><?xml version="1.0" encoding="utf-8"?>
<formControlPr xmlns="http://schemas.microsoft.com/office/spreadsheetml/2009/9/main" objectType="CheckBox" lockText="1" noThreeD="1"/>
</file>

<file path=xl/ctrlProps/ctrlProp1141.xml><?xml version="1.0" encoding="utf-8"?>
<formControlPr xmlns="http://schemas.microsoft.com/office/spreadsheetml/2009/9/main" objectType="CheckBox" lockText="1" noThreeD="1"/>
</file>

<file path=xl/ctrlProps/ctrlProp1142.xml><?xml version="1.0" encoding="utf-8"?>
<formControlPr xmlns="http://schemas.microsoft.com/office/spreadsheetml/2009/9/main" objectType="CheckBox" lockText="1" noThreeD="1"/>
</file>

<file path=xl/ctrlProps/ctrlProp1143.xml><?xml version="1.0" encoding="utf-8"?>
<formControlPr xmlns="http://schemas.microsoft.com/office/spreadsheetml/2009/9/main" objectType="CheckBox" lockText="1" noThreeD="1"/>
</file>

<file path=xl/ctrlProps/ctrlProp1144.xml><?xml version="1.0" encoding="utf-8"?>
<formControlPr xmlns="http://schemas.microsoft.com/office/spreadsheetml/2009/9/main" objectType="CheckBox" lockText="1" noThreeD="1"/>
</file>

<file path=xl/ctrlProps/ctrlProp1145.xml><?xml version="1.0" encoding="utf-8"?>
<formControlPr xmlns="http://schemas.microsoft.com/office/spreadsheetml/2009/9/main" objectType="CheckBox" lockText="1" noThreeD="1"/>
</file>

<file path=xl/ctrlProps/ctrlProp1146.xml><?xml version="1.0" encoding="utf-8"?>
<formControlPr xmlns="http://schemas.microsoft.com/office/spreadsheetml/2009/9/main" objectType="CheckBox" lockText="1" noThreeD="1"/>
</file>

<file path=xl/ctrlProps/ctrlProp1147.xml><?xml version="1.0" encoding="utf-8"?>
<formControlPr xmlns="http://schemas.microsoft.com/office/spreadsheetml/2009/9/main" objectType="CheckBox" lockText="1" noThreeD="1"/>
</file>

<file path=xl/ctrlProps/ctrlProp1148.xml><?xml version="1.0" encoding="utf-8"?>
<formControlPr xmlns="http://schemas.microsoft.com/office/spreadsheetml/2009/9/main" objectType="CheckBox" lockText="1" noThreeD="1"/>
</file>

<file path=xl/ctrlProps/ctrlProp1149.xml><?xml version="1.0" encoding="utf-8"?>
<formControlPr xmlns="http://schemas.microsoft.com/office/spreadsheetml/2009/9/main" objectType="CheckBox" lockText="1" noThreeD="1"/>
</file>

<file path=xl/ctrlProps/ctrlProp1150.xml><?xml version="1.0" encoding="utf-8"?>
<formControlPr xmlns="http://schemas.microsoft.com/office/spreadsheetml/2009/9/main" objectType="CheckBox" lockText="1" noThreeD="1"/>
</file>

<file path=xl/ctrlProps/ctrlProp1151.xml><?xml version="1.0" encoding="utf-8"?>
<formControlPr xmlns="http://schemas.microsoft.com/office/spreadsheetml/2009/9/main" objectType="CheckBox" lockText="1" noThreeD="1"/>
</file>

<file path=xl/ctrlProps/ctrlProp1152.xml><?xml version="1.0" encoding="utf-8"?>
<formControlPr xmlns="http://schemas.microsoft.com/office/spreadsheetml/2009/9/main" objectType="CheckBox" lockText="1" noThreeD="1"/>
</file>

<file path=xl/ctrlProps/ctrlProp1153.xml><?xml version="1.0" encoding="utf-8"?>
<formControlPr xmlns="http://schemas.microsoft.com/office/spreadsheetml/2009/9/main" objectType="CheckBox" lockText="1" noThreeD="1"/>
</file>

<file path=xl/ctrlProps/ctrlProp1154.xml><?xml version="1.0" encoding="utf-8"?>
<formControlPr xmlns="http://schemas.microsoft.com/office/spreadsheetml/2009/9/main" objectType="CheckBox" lockText="1" noThreeD="1"/>
</file>

<file path=xl/ctrlProps/ctrlProp1155.xml><?xml version="1.0" encoding="utf-8"?>
<formControlPr xmlns="http://schemas.microsoft.com/office/spreadsheetml/2009/9/main" objectType="CheckBox" lockText="1" noThreeD="1"/>
</file>

<file path=xl/ctrlProps/ctrlProp1156.xml><?xml version="1.0" encoding="utf-8"?>
<formControlPr xmlns="http://schemas.microsoft.com/office/spreadsheetml/2009/9/main" objectType="CheckBox" lockText="1" noThreeD="1"/>
</file>

<file path=xl/ctrlProps/ctrlProp1157.xml><?xml version="1.0" encoding="utf-8"?>
<formControlPr xmlns="http://schemas.microsoft.com/office/spreadsheetml/2009/9/main" objectType="CheckBox" lockText="1" noThreeD="1"/>
</file>

<file path=xl/ctrlProps/ctrlProp1158.xml><?xml version="1.0" encoding="utf-8"?>
<formControlPr xmlns="http://schemas.microsoft.com/office/spreadsheetml/2009/9/main" objectType="CheckBox" checked="Checked" lockText="1" noThreeD="1"/>
</file>

<file path=xl/ctrlProps/ctrlProp1159.xml><?xml version="1.0" encoding="utf-8"?>
<formControlPr xmlns="http://schemas.microsoft.com/office/spreadsheetml/2009/9/main" objectType="CheckBox" lockText="1" noThreeD="1"/>
</file>

<file path=xl/ctrlProps/ctrlProp1160.xml><?xml version="1.0" encoding="utf-8"?>
<formControlPr xmlns="http://schemas.microsoft.com/office/spreadsheetml/2009/9/main" objectType="CheckBox" lockText="1" noThreeD="1"/>
</file>

<file path=xl/ctrlProps/ctrlProp1161.xml><?xml version="1.0" encoding="utf-8"?>
<formControlPr xmlns="http://schemas.microsoft.com/office/spreadsheetml/2009/9/main" objectType="CheckBox" lockText="1" noThreeD="1"/>
</file>

<file path=xl/ctrlProps/ctrlProp1162.xml><?xml version="1.0" encoding="utf-8"?>
<formControlPr xmlns="http://schemas.microsoft.com/office/spreadsheetml/2009/9/main" objectType="CheckBox" lockText="1" noThreeD="1"/>
</file>

<file path=xl/ctrlProps/ctrlProp1163.xml><?xml version="1.0" encoding="utf-8"?>
<formControlPr xmlns="http://schemas.microsoft.com/office/spreadsheetml/2009/9/main" objectType="CheckBox" lockText="1" noThreeD="1"/>
</file>

<file path=xl/ctrlProps/ctrlProp1164.xml><?xml version="1.0" encoding="utf-8"?>
<formControlPr xmlns="http://schemas.microsoft.com/office/spreadsheetml/2009/9/main" objectType="CheckBox" lockText="1" noThreeD="1"/>
</file>

<file path=xl/ctrlProps/ctrlProp1165.xml><?xml version="1.0" encoding="utf-8"?>
<formControlPr xmlns="http://schemas.microsoft.com/office/spreadsheetml/2009/9/main" objectType="CheckBox" lockText="1" noThreeD="1"/>
</file>

<file path=xl/ctrlProps/ctrlProp1166.xml><?xml version="1.0" encoding="utf-8"?>
<formControlPr xmlns="http://schemas.microsoft.com/office/spreadsheetml/2009/9/main" objectType="CheckBox" lockText="1" noThreeD="1"/>
</file>

<file path=xl/ctrlProps/ctrlProp1167.xml><?xml version="1.0" encoding="utf-8"?>
<formControlPr xmlns="http://schemas.microsoft.com/office/spreadsheetml/2009/9/main" objectType="CheckBox" lockText="1" noThreeD="1"/>
</file>

<file path=xl/ctrlProps/ctrlProp1168.xml><?xml version="1.0" encoding="utf-8"?>
<formControlPr xmlns="http://schemas.microsoft.com/office/spreadsheetml/2009/9/main" objectType="CheckBox" lockText="1" noThreeD="1"/>
</file>

<file path=xl/ctrlProps/ctrlProp1169.xml><?xml version="1.0" encoding="utf-8"?>
<formControlPr xmlns="http://schemas.microsoft.com/office/spreadsheetml/2009/9/main" objectType="CheckBox" lockText="1" noThreeD="1"/>
</file>

<file path=xl/ctrlProps/ctrlProp1170.xml><?xml version="1.0" encoding="utf-8"?>
<formControlPr xmlns="http://schemas.microsoft.com/office/spreadsheetml/2009/9/main" objectType="CheckBox" lockText="1" noThreeD="1"/>
</file>

<file path=xl/ctrlProps/ctrlProp1171.xml><?xml version="1.0" encoding="utf-8"?>
<formControlPr xmlns="http://schemas.microsoft.com/office/spreadsheetml/2009/9/main" objectType="CheckBox" lockText="1" noThreeD="1"/>
</file>

<file path=xl/ctrlProps/ctrlProp1172.xml><?xml version="1.0" encoding="utf-8"?>
<formControlPr xmlns="http://schemas.microsoft.com/office/spreadsheetml/2009/9/main" objectType="CheckBox" lockText="1" noThreeD="1"/>
</file>

<file path=xl/ctrlProps/ctrlProp1173.xml><?xml version="1.0" encoding="utf-8"?>
<formControlPr xmlns="http://schemas.microsoft.com/office/spreadsheetml/2009/9/main" objectType="CheckBox" lockText="1" noThreeD="1"/>
</file>

<file path=xl/ctrlProps/ctrlProp1174.xml><?xml version="1.0" encoding="utf-8"?>
<formControlPr xmlns="http://schemas.microsoft.com/office/spreadsheetml/2009/9/main" objectType="CheckBox" lockText="1" noThreeD="1"/>
</file>

<file path=xl/ctrlProps/ctrlProp1175.xml><?xml version="1.0" encoding="utf-8"?>
<formControlPr xmlns="http://schemas.microsoft.com/office/spreadsheetml/2009/9/main" objectType="CheckBox" lockText="1" noThreeD="1"/>
</file>

<file path=xl/ctrlProps/ctrlProp1176.xml><?xml version="1.0" encoding="utf-8"?>
<formControlPr xmlns="http://schemas.microsoft.com/office/spreadsheetml/2009/9/main" objectType="CheckBox" lockText="1" noThreeD="1"/>
</file>

<file path=xl/ctrlProps/ctrlProp1177.xml><?xml version="1.0" encoding="utf-8"?>
<formControlPr xmlns="http://schemas.microsoft.com/office/spreadsheetml/2009/9/main" objectType="CheckBox" lockText="1" noThreeD="1"/>
</file>

<file path=xl/ctrlProps/ctrlProp1178.xml><?xml version="1.0" encoding="utf-8"?>
<formControlPr xmlns="http://schemas.microsoft.com/office/spreadsheetml/2009/9/main" objectType="CheckBox" checked="Checked" lockText="1" noThreeD="1"/>
</file>

<file path=xl/ctrlProps/ctrlProp1179.xml><?xml version="1.0" encoding="utf-8"?>
<formControlPr xmlns="http://schemas.microsoft.com/office/spreadsheetml/2009/9/main" objectType="CheckBox" lockText="1" noThreeD="1"/>
</file>

<file path=xl/ctrlProps/ctrlProp1180.xml><?xml version="1.0" encoding="utf-8"?>
<formControlPr xmlns="http://schemas.microsoft.com/office/spreadsheetml/2009/9/main" objectType="CheckBox" lockText="1" noThreeD="1"/>
</file>

<file path=xl/ctrlProps/ctrlProp1181.xml><?xml version="1.0" encoding="utf-8"?>
<formControlPr xmlns="http://schemas.microsoft.com/office/spreadsheetml/2009/9/main" objectType="CheckBox" lockText="1" noThreeD="1"/>
</file>

<file path=xl/ctrlProps/ctrlProp1182.xml><?xml version="1.0" encoding="utf-8"?>
<formControlPr xmlns="http://schemas.microsoft.com/office/spreadsheetml/2009/9/main" objectType="CheckBox" lockText="1" noThreeD="1"/>
</file>

<file path=xl/ctrlProps/ctrlProp1183.xml><?xml version="1.0" encoding="utf-8"?>
<formControlPr xmlns="http://schemas.microsoft.com/office/spreadsheetml/2009/9/main" objectType="CheckBox" lockText="1" noThreeD="1"/>
</file>

<file path=xl/ctrlProps/ctrlProp1184.xml><?xml version="1.0" encoding="utf-8"?>
<formControlPr xmlns="http://schemas.microsoft.com/office/spreadsheetml/2009/9/main" objectType="CheckBox" lockText="1" noThreeD="1"/>
</file>

<file path=xl/ctrlProps/ctrlProp1185.xml><?xml version="1.0" encoding="utf-8"?>
<formControlPr xmlns="http://schemas.microsoft.com/office/spreadsheetml/2009/9/main" objectType="CheckBox" lockText="1" noThreeD="1"/>
</file>

<file path=xl/ctrlProps/ctrlProp1186.xml><?xml version="1.0" encoding="utf-8"?>
<formControlPr xmlns="http://schemas.microsoft.com/office/spreadsheetml/2009/9/main" objectType="CheckBox" lockText="1" noThreeD="1"/>
</file>

<file path=xl/ctrlProps/ctrlProp1187.xml><?xml version="1.0" encoding="utf-8"?>
<formControlPr xmlns="http://schemas.microsoft.com/office/spreadsheetml/2009/9/main" objectType="CheckBox" lockText="1" noThreeD="1"/>
</file>

<file path=xl/ctrlProps/ctrlProp1188.xml><?xml version="1.0" encoding="utf-8"?>
<formControlPr xmlns="http://schemas.microsoft.com/office/spreadsheetml/2009/9/main" objectType="CheckBox" lockText="1" noThreeD="1"/>
</file>

<file path=xl/ctrlProps/ctrlProp1189.xml><?xml version="1.0" encoding="utf-8"?>
<formControlPr xmlns="http://schemas.microsoft.com/office/spreadsheetml/2009/9/main" objectType="CheckBox" lockText="1" noThreeD="1"/>
</file>

<file path=xl/ctrlProps/ctrlProp1190.xml><?xml version="1.0" encoding="utf-8"?>
<formControlPr xmlns="http://schemas.microsoft.com/office/spreadsheetml/2009/9/main" objectType="CheckBox" lockText="1" noThreeD="1"/>
</file>

<file path=xl/ctrlProps/ctrlProp1191.xml><?xml version="1.0" encoding="utf-8"?>
<formControlPr xmlns="http://schemas.microsoft.com/office/spreadsheetml/2009/9/main" objectType="CheckBox" lockText="1" noThreeD="1"/>
</file>

<file path=xl/ctrlProps/ctrlProp1192.xml><?xml version="1.0" encoding="utf-8"?>
<formControlPr xmlns="http://schemas.microsoft.com/office/spreadsheetml/2009/9/main" objectType="CheckBox" lockText="1" noThreeD="1"/>
</file>

<file path=xl/ctrlProps/ctrlProp1193.xml><?xml version="1.0" encoding="utf-8"?>
<formControlPr xmlns="http://schemas.microsoft.com/office/spreadsheetml/2009/9/main" objectType="CheckBox" lockText="1" noThreeD="1"/>
</file>

<file path=xl/ctrlProps/ctrlProp1194.xml><?xml version="1.0" encoding="utf-8"?>
<formControlPr xmlns="http://schemas.microsoft.com/office/spreadsheetml/2009/9/main" objectType="CheckBox" lockText="1" noThreeD="1"/>
</file>

<file path=xl/ctrlProps/ctrlProp1195.xml><?xml version="1.0" encoding="utf-8"?>
<formControlPr xmlns="http://schemas.microsoft.com/office/spreadsheetml/2009/9/main" objectType="CheckBox" lockText="1" noThreeD="1"/>
</file>

<file path=xl/ctrlProps/ctrlProp1196.xml><?xml version="1.0" encoding="utf-8"?>
<formControlPr xmlns="http://schemas.microsoft.com/office/spreadsheetml/2009/9/main" objectType="CheckBox" lockText="1" noThreeD="1"/>
</file>

<file path=xl/ctrlProps/ctrlProp1197.xml><?xml version="1.0" encoding="utf-8"?>
<formControlPr xmlns="http://schemas.microsoft.com/office/spreadsheetml/2009/9/main" objectType="CheckBox" lockText="1" noThreeD="1"/>
</file>

<file path=xl/ctrlProps/ctrlProp1198.xml><?xml version="1.0" encoding="utf-8"?>
<formControlPr xmlns="http://schemas.microsoft.com/office/spreadsheetml/2009/9/main" objectType="CheckBox" lockText="1" noThreeD="1"/>
</file>

<file path=xl/ctrlProps/ctrlProp1199.xml><?xml version="1.0" encoding="utf-8"?>
<formControlPr xmlns="http://schemas.microsoft.com/office/spreadsheetml/2009/9/main" objectType="CheckBox" lockText="1" noThreeD="1"/>
</file>

<file path=xl/ctrlProps/ctrlProp1200.xml><?xml version="1.0" encoding="utf-8"?>
<formControlPr xmlns="http://schemas.microsoft.com/office/spreadsheetml/2009/9/main" objectType="CheckBox" checked="Checked" lockText="1" noThreeD="1"/>
</file>

<file path=xl/ctrlProps/ctrlProp1201.xml><?xml version="1.0" encoding="utf-8"?>
<formControlPr xmlns="http://schemas.microsoft.com/office/spreadsheetml/2009/9/main" objectType="CheckBox" lockText="1" noThreeD="1"/>
</file>

<file path=xl/ctrlProps/ctrlProp1202.xml><?xml version="1.0" encoding="utf-8"?>
<formControlPr xmlns="http://schemas.microsoft.com/office/spreadsheetml/2009/9/main" objectType="CheckBox" lockText="1" noThreeD="1"/>
</file>

<file path=xl/ctrlProps/ctrlProp1203.xml><?xml version="1.0" encoding="utf-8"?>
<formControlPr xmlns="http://schemas.microsoft.com/office/spreadsheetml/2009/9/main" objectType="CheckBox" lockText="1" noThreeD="1"/>
</file>

<file path=xl/ctrlProps/ctrlProp1204.xml><?xml version="1.0" encoding="utf-8"?>
<formControlPr xmlns="http://schemas.microsoft.com/office/spreadsheetml/2009/9/main" objectType="CheckBox" lockText="1" noThreeD="1"/>
</file>

<file path=xl/ctrlProps/ctrlProp1205.xml><?xml version="1.0" encoding="utf-8"?>
<formControlPr xmlns="http://schemas.microsoft.com/office/spreadsheetml/2009/9/main" objectType="CheckBox" lockText="1" noThreeD="1"/>
</file>

<file path=xl/ctrlProps/ctrlProp1206.xml><?xml version="1.0" encoding="utf-8"?>
<formControlPr xmlns="http://schemas.microsoft.com/office/spreadsheetml/2009/9/main" objectType="CheckBox" lockText="1" noThreeD="1"/>
</file>

<file path=xl/ctrlProps/ctrlProp1207.xml><?xml version="1.0" encoding="utf-8"?>
<formControlPr xmlns="http://schemas.microsoft.com/office/spreadsheetml/2009/9/main" objectType="CheckBox" lockText="1" noThreeD="1"/>
</file>

<file path=xl/ctrlProps/ctrlProp1208.xml><?xml version="1.0" encoding="utf-8"?>
<formControlPr xmlns="http://schemas.microsoft.com/office/spreadsheetml/2009/9/main" objectType="CheckBox" lockText="1" noThreeD="1"/>
</file>

<file path=xl/ctrlProps/ctrlProp1209.xml><?xml version="1.0" encoding="utf-8"?>
<formControlPr xmlns="http://schemas.microsoft.com/office/spreadsheetml/2009/9/main" objectType="CheckBox" lockText="1" noThreeD="1"/>
</file>

<file path=xl/ctrlProps/ctrlProp1210.xml><?xml version="1.0" encoding="utf-8"?>
<formControlPr xmlns="http://schemas.microsoft.com/office/spreadsheetml/2009/9/main" objectType="CheckBox" lockText="1" noThreeD="1"/>
</file>

<file path=xl/ctrlProps/ctrlProp1211.xml><?xml version="1.0" encoding="utf-8"?>
<formControlPr xmlns="http://schemas.microsoft.com/office/spreadsheetml/2009/9/main" objectType="CheckBox" lockText="1" noThreeD="1"/>
</file>

<file path=xl/ctrlProps/ctrlProp1212.xml><?xml version="1.0" encoding="utf-8"?>
<formControlPr xmlns="http://schemas.microsoft.com/office/spreadsheetml/2009/9/main" objectType="CheckBox" lockText="1" noThreeD="1"/>
</file>

<file path=xl/ctrlProps/ctrlProp1213.xml><?xml version="1.0" encoding="utf-8"?>
<formControlPr xmlns="http://schemas.microsoft.com/office/spreadsheetml/2009/9/main" objectType="CheckBox" lockText="1" noThreeD="1"/>
</file>

<file path=xl/ctrlProps/ctrlProp1214.xml><?xml version="1.0" encoding="utf-8"?>
<formControlPr xmlns="http://schemas.microsoft.com/office/spreadsheetml/2009/9/main" objectType="CheckBox" checked="Checked" lockText="1" noThreeD="1"/>
</file>

<file path=xl/ctrlProps/ctrlProp1215.xml><?xml version="1.0" encoding="utf-8"?>
<formControlPr xmlns="http://schemas.microsoft.com/office/spreadsheetml/2009/9/main" objectType="CheckBox" lockText="1" noThreeD="1"/>
</file>

<file path=xl/ctrlProps/ctrlProp1216.xml><?xml version="1.0" encoding="utf-8"?>
<formControlPr xmlns="http://schemas.microsoft.com/office/spreadsheetml/2009/9/main" objectType="CheckBox" lockText="1" noThreeD="1"/>
</file>

<file path=xl/ctrlProps/ctrlProp1217.xml><?xml version="1.0" encoding="utf-8"?>
<formControlPr xmlns="http://schemas.microsoft.com/office/spreadsheetml/2009/9/main" objectType="CheckBox" lockText="1" noThreeD="1"/>
</file>

<file path=xl/ctrlProps/ctrlProp1218.xml><?xml version="1.0" encoding="utf-8"?>
<formControlPr xmlns="http://schemas.microsoft.com/office/spreadsheetml/2009/9/main" objectType="CheckBox" lockText="1" noThreeD="1"/>
</file>

<file path=xl/ctrlProps/ctrlProp1219.xml><?xml version="1.0" encoding="utf-8"?>
<formControlPr xmlns="http://schemas.microsoft.com/office/spreadsheetml/2009/9/main" objectType="CheckBox" lockText="1" noThreeD="1"/>
</file>

<file path=xl/ctrlProps/ctrlProp1220.xml><?xml version="1.0" encoding="utf-8"?>
<formControlPr xmlns="http://schemas.microsoft.com/office/spreadsheetml/2009/9/main" objectType="CheckBox" lockText="1" noThreeD="1"/>
</file>

<file path=xl/ctrlProps/ctrlProp1221.xml><?xml version="1.0" encoding="utf-8"?>
<formControlPr xmlns="http://schemas.microsoft.com/office/spreadsheetml/2009/9/main" objectType="CheckBox" lockText="1" noThreeD="1"/>
</file>

<file path=xl/ctrlProps/ctrlProp1222.xml><?xml version="1.0" encoding="utf-8"?>
<formControlPr xmlns="http://schemas.microsoft.com/office/spreadsheetml/2009/9/main" objectType="CheckBox" lockText="1" noThreeD="1"/>
</file>

<file path=xl/ctrlProps/ctrlProp1223.xml><?xml version="1.0" encoding="utf-8"?>
<formControlPr xmlns="http://schemas.microsoft.com/office/spreadsheetml/2009/9/main" objectType="CheckBox" lockText="1" noThreeD="1"/>
</file>

<file path=xl/ctrlProps/ctrlProp1224.xml><?xml version="1.0" encoding="utf-8"?>
<formControlPr xmlns="http://schemas.microsoft.com/office/spreadsheetml/2009/9/main" objectType="CheckBox" lockText="1" noThreeD="1"/>
</file>

<file path=xl/ctrlProps/ctrlProp1225.xml><?xml version="1.0" encoding="utf-8"?>
<formControlPr xmlns="http://schemas.microsoft.com/office/spreadsheetml/2009/9/main" objectType="CheckBox" lockText="1" noThreeD="1"/>
</file>

<file path=xl/ctrlProps/ctrlProp1226.xml><?xml version="1.0" encoding="utf-8"?>
<formControlPr xmlns="http://schemas.microsoft.com/office/spreadsheetml/2009/9/main" objectType="CheckBox" lockText="1" noThreeD="1"/>
</file>

<file path=xl/ctrlProps/ctrlProp1227.xml><?xml version="1.0" encoding="utf-8"?>
<formControlPr xmlns="http://schemas.microsoft.com/office/spreadsheetml/2009/9/main" objectType="CheckBox" lockText="1" noThreeD="1"/>
</file>

<file path=xl/ctrlProps/ctrlProp1228.xml><?xml version="1.0" encoding="utf-8"?>
<formControlPr xmlns="http://schemas.microsoft.com/office/spreadsheetml/2009/9/main" objectType="CheckBox" lockText="1" noThreeD="1"/>
</file>

<file path=xl/ctrlProps/ctrlProp1229.xml><?xml version="1.0" encoding="utf-8"?>
<formControlPr xmlns="http://schemas.microsoft.com/office/spreadsheetml/2009/9/main" objectType="CheckBox" lockText="1" noThreeD="1"/>
</file>

<file path=xl/ctrlProps/ctrlProp1230.xml><?xml version="1.0" encoding="utf-8"?>
<formControlPr xmlns="http://schemas.microsoft.com/office/spreadsheetml/2009/9/main" objectType="CheckBox" lockText="1" noThreeD="1"/>
</file>

<file path=xl/ctrlProps/ctrlProp1231.xml><?xml version="1.0" encoding="utf-8"?>
<formControlPr xmlns="http://schemas.microsoft.com/office/spreadsheetml/2009/9/main" objectType="CheckBox" lockText="1" noThreeD="1"/>
</file>

<file path=xl/ctrlProps/ctrlProp1232.xml><?xml version="1.0" encoding="utf-8"?>
<formControlPr xmlns="http://schemas.microsoft.com/office/spreadsheetml/2009/9/main" objectType="CheckBox" lockText="1" noThreeD="1"/>
</file>

<file path=xl/ctrlProps/ctrlProp1233.xml><?xml version="1.0" encoding="utf-8"?>
<formControlPr xmlns="http://schemas.microsoft.com/office/spreadsheetml/2009/9/main" objectType="CheckBox" lockText="1" noThreeD="1"/>
</file>

<file path=xl/ctrlProps/ctrlProp1234.xml><?xml version="1.0" encoding="utf-8"?>
<formControlPr xmlns="http://schemas.microsoft.com/office/spreadsheetml/2009/9/main" objectType="CheckBox" lockText="1" noThreeD="1"/>
</file>

<file path=xl/ctrlProps/ctrlProp1235.xml><?xml version="1.0" encoding="utf-8"?>
<formControlPr xmlns="http://schemas.microsoft.com/office/spreadsheetml/2009/9/main" objectType="CheckBox" lockText="1" noThreeD="1"/>
</file>

<file path=xl/ctrlProps/ctrlProp1236.xml><?xml version="1.0" encoding="utf-8"?>
<formControlPr xmlns="http://schemas.microsoft.com/office/spreadsheetml/2009/9/main" objectType="CheckBox" lockText="1" noThreeD="1"/>
</file>

<file path=xl/ctrlProps/ctrlProp1237.xml><?xml version="1.0" encoding="utf-8"?>
<formControlPr xmlns="http://schemas.microsoft.com/office/spreadsheetml/2009/9/main" objectType="CheckBox" lockText="1" noThreeD="1"/>
</file>

<file path=xl/ctrlProps/ctrlProp1238.xml><?xml version="1.0" encoding="utf-8"?>
<formControlPr xmlns="http://schemas.microsoft.com/office/spreadsheetml/2009/9/main" objectType="CheckBox" lockText="1" noThreeD="1"/>
</file>

<file path=xl/ctrlProps/ctrlProp1239.xml><?xml version="1.0" encoding="utf-8"?>
<formControlPr xmlns="http://schemas.microsoft.com/office/spreadsheetml/2009/9/main" objectType="CheckBox" lockText="1" noThreeD="1"/>
</file>

<file path=xl/ctrlProps/ctrlProp1240.xml><?xml version="1.0" encoding="utf-8"?>
<formControlPr xmlns="http://schemas.microsoft.com/office/spreadsheetml/2009/9/main" objectType="CheckBox" lockText="1" noThreeD="1"/>
</file>

<file path=xl/ctrlProps/ctrlProp1241.xml><?xml version="1.0" encoding="utf-8"?>
<formControlPr xmlns="http://schemas.microsoft.com/office/spreadsheetml/2009/9/main" objectType="CheckBox" lockText="1" noThreeD="1"/>
</file>

<file path=xl/ctrlProps/ctrlProp1242.xml><?xml version="1.0" encoding="utf-8"?>
<formControlPr xmlns="http://schemas.microsoft.com/office/spreadsheetml/2009/9/main" objectType="CheckBox" lockText="1" noThreeD="1"/>
</file>

<file path=xl/ctrlProps/ctrlProp1243.xml><?xml version="1.0" encoding="utf-8"?>
<formControlPr xmlns="http://schemas.microsoft.com/office/spreadsheetml/2009/9/main" objectType="CheckBox" lockText="1" noThreeD="1"/>
</file>

<file path=xl/ctrlProps/ctrlProp1244.xml><?xml version="1.0" encoding="utf-8"?>
<formControlPr xmlns="http://schemas.microsoft.com/office/spreadsheetml/2009/9/main" objectType="CheckBox" lockText="1" noThreeD="1"/>
</file>

<file path=xl/ctrlProps/ctrlProp1245.xml><?xml version="1.0" encoding="utf-8"?>
<formControlPr xmlns="http://schemas.microsoft.com/office/spreadsheetml/2009/9/main" objectType="CheckBox" lockText="1" noThreeD="1"/>
</file>

<file path=xl/ctrlProps/ctrlProp1246.xml><?xml version="1.0" encoding="utf-8"?>
<formControlPr xmlns="http://schemas.microsoft.com/office/spreadsheetml/2009/9/main" objectType="CheckBox" lockText="1" noThreeD="1"/>
</file>

<file path=xl/ctrlProps/ctrlProp1247.xml><?xml version="1.0" encoding="utf-8"?>
<formControlPr xmlns="http://schemas.microsoft.com/office/spreadsheetml/2009/9/main" objectType="CheckBox" lockText="1" noThreeD="1"/>
</file>

<file path=xl/ctrlProps/ctrlProp1248.xml><?xml version="1.0" encoding="utf-8"?>
<formControlPr xmlns="http://schemas.microsoft.com/office/spreadsheetml/2009/9/main" objectType="CheckBox" lockText="1" noThreeD="1"/>
</file>

<file path=xl/ctrlProps/ctrlProp1249.xml><?xml version="1.0" encoding="utf-8"?>
<formControlPr xmlns="http://schemas.microsoft.com/office/spreadsheetml/2009/9/main" objectType="CheckBox" lockText="1" noThreeD="1"/>
</file>

<file path=xl/ctrlProps/ctrlProp1250.xml><?xml version="1.0" encoding="utf-8"?>
<formControlPr xmlns="http://schemas.microsoft.com/office/spreadsheetml/2009/9/main" objectType="CheckBox" lockText="1" noThreeD="1"/>
</file>

<file path=xl/ctrlProps/ctrlProp1251.xml><?xml version="1.0" encoding="utf-8"?>
<formControlPr xmlns="http://schemas.microsoft.com/office/spreadsheetml/2009/9/main" objectType="CheckBox" lockText="1" noThreeD="1"/>
</file>

<file path=xl/ctrlProps/ctrlProp1252.xml><?xml version="1.0" encoding="utf-8"?>
<formControlPr xmlns="http://schemas.microsoft.com/office/spreadsheetml/2009/9/main" objectType="CheckBox" lockText="1" noThreeD="1"/>
</file>

<file path=xl/ctrlProps/ctrlProp1253.xml><?xml version="1.0" encoding="utf-8"?>
<formControlPr xmlns="http://schemas.microsoft.com/office/spreadsheetml/2009/9/main" objectType="CheckBox" lockText="1" noThreeD="1"/>
</file>

<file path=xl/ctrlProps/ctrlProp1254.xml><?xml version="1.0" encoding="utf-8"?>
<formControlPr xmlns="http://schemas.microsoft.com/office/spreadsheetml/2009/9/main" objectType="CheckBox" lockText="1" noThreeD="1"/>
</file>

<file path=xl/ctrlProps/ctrlProp1255.xml><?xml version="1.0" encoding="utf-8"?>
<formControlPr xmlns="http://schemas.microsoft.com/office/spreadsheetml/2009/9/main" objectType="CheckBox" lockText="1" noThreeD="1"/>
</file>

<file path=xl/ctrlProps/ctrlProp1256.xml><?xml version="1.0" encoding="utf-8"?>
<formControlPr xmlns="http://schemas.microsoft.com/office/spreadsheetml/2009/9/main" objectType="CheckBox" lockText="1" noThreeD="1"/>
</file>

<file path=xl/ctrlProps/ctrlProp1257.xml><?xml version="1.0" encoding="utf-8"?>
<formControlPr xmlns="http://schemas.microsoft.com/office/spreadsheetml/2009/9/main" objectType="CheckBox" lockText="1" noThreeD="1"/>
</file>

<file path=xl/ctrlProps/ctrlProp1258.xml><?xml version="1.0" encoding="utf-8"?>
<formControlPr xmlns="http://schemas.microsoft.com/office/spreadsheetml/2009/9/main" objectType="CheckBox" lockText="1" noThreeD="1"/>
</file>

<file path=xl/ctrlProps/ctrlProp1259.xml><?xml version="1.0" encoding="utf-8"?>
<formControlPr xmlns="http://schemas.microsoft.com/office/spreadsheetml/2009/9/main" objectType="CheckBox" lockText="1" noThreeD="1"/>
</file>

<file path=xl/ctrlProps/ctrlProp1260.xml><?xml version="1.0" encoding="utf-8"?>
<formControlPr xmlns="http://schemas.microsoft.com/office/spreadsheetml/2009/9/main" objectType="CheckBox" lockText="1" noThreeD="1"/>
</file>

<file path=xl/ctrlProps/ctrlProp1261.xml><?xml version="1.0" encoding="utf-8"?>
<formControlPr xmlns="http://schemas.microsoft.com/office/spreadsheetml/2009/9/main" objectType="CheckBox" lockText="1" noThreeD="1"/>
</file>

<file path=xl/ctrlProps/ctrlProp1262.xml><?xml version="1.0" encoding="utf-8"?>
<formControlPr xmlns="http://schemas.microsoft.com/office/spreadsheetml/2009/9/main" objectType="CheckBox" lockText="1" noThreeD="1"/>
</file>

<file path=xl/ctrlProps/ctrlProp1263.xml><?xml version="1.0" encoding="utf-8"?>
<formControlPr xmlns="http://schemas.microsoft.com/office/spreadsheetml/2009/9/main" objectType="CheckBox" lockText="1" noThreeD="1"/>
</file>

<file path=xl/ctrlProps/ctrlProp1264.xml><?xml version="1.0" encoding="utf-8"?>
<formControlPr xmlns="http://schemas.microsoft.com/office/spreadsheetml/2009/9/main" objectType="CheckBox" lockText="1" noThreeD="1"/>
</file>

<file path=xl/ctrlProps/ctrlProp1265.xml><?xml version="1.0" encoding="utf-8"?>
<formControlPr xmlns="http://schemas.microsoft.com/office/spreadsheetml/2009/9/main" objectType="CheckBox" lockText="1" noThreeD="1"/>
</file>

<file path=xl/ctrlProps/ctrlProp1266.xml><?xml version="1.0" encoding="utf-8"?>
<formControlPr xmlns="http://schemas.microsoft.com/office/spreadsheetml/2009/9/main" objectType="CheckBox" lockText="1" noThreeD="1"/>
</file>

<file path=xl/ctrlProps/ctrlProp1267.xml><?xml version="1.0" encoding="utf-8"?>
<formControlPr xmlns="http://schemas.microsoft.com/office/spreadsheetml/2009/9/main" objectType="CheckBox" lockText="1" noThreeD="1"/>
</file>

<file path=xl/ctrlProps/ctrlProp1268.xml><?xml version="1.0" encoding="utf-8"?>
<formControlPr xmlns="http://schemas.microsoft.com/office/spreadsheetml/2009/9/main" objectType="CheckBox" lockText="1" noThreeD="1"/>
</file>

<file path=xl/ctrlProps/ctrlProp1269.xml><?xml version="1.0" encoding="utf-8"?>
<formControlPr xmlns="http://schemas.microsoft.com/office/spreadsheetml/2009/9/main" objectType="CheckBox" lockText="1" noThreeD="1"/>
</file>

<file path=xl/ctrlProps/ctrlProp1270.xml><?xml version="1.0" encoding="utf-8"?>
<formControlPr xmlns="http://schemas.microsoft.com/office/spreadsheetml/2009/9/main" objectType="CheckBox" lockText="1" noThreeD="1"/>
</file>

<file path=xl/ctrlProps/ctrlProp1271.xml><?xml version="1.0" encoding="utf-8"?>
<formControlPr xmlns="http://schemas.microsoft.com/office/spreadsheetml/2009/9/main" objectType="CheckBox" lockText="1" noThreeD="1"/>
</file>

<file path=xl/ctrlProps/ctrlProp1272.xml><?xml version="1.0" encoding="utf-8"?>
<formControlPr xmlns="http://schemas.microsoft.com/office/spreadsheetml/2009/9/main" objectType="CheckBox" lockText="1" noThreeD="1"/>
</file>

<file path=xl/ctrlProps/ctrlProp1273.xml><?xml version="1.0" encoding="utf-8"?>
<formControlPr xmlns="http://schemas.microsoft.com/office/spreadsheetml/2009/9/main" objectType="CheckBox" lockText="1" noThreeD="1"/>
</file>

<file path=xl/ctrlProps/ctrlProp1274.xml><?xml version="1.0" encoding="utf-8"?>
<formControlPr xmlns="http://schemas.microsoft.com/office/spreadsheetml/2009/9/main" objectType="CheckBox" lockText="1" noThreeD="1"/>
</file>

<file path=xl/ctrlProps/ctrlProp1275.xml><?xml version="1.0" encoding="utf-8"?>
<formControlPr xmlns="http://schemas.microsoft.com/office/spreadsheetml/2009/9/main" objectType="CheckBox" lockText="1" noThreeD="1"/>
</file>

<file path=xl/ctrlProps/ctrlProp1276.xml><?xml version="1.0" encoding="utf-8"?>
<formControlPr xmlns="http://schemas.microsoft.com/office/spreadsheetml/2009/9/main" objectType="CheckBox" lockText="1" noThreeD="1"/>
</file>

<file path=xl/ctrlProps/ctrlProp1277.xml><?xml version="1.0" encoding="utf-8"?>
<formControlPr xmlns="http://schemas.microsoft.com/office/spreadsheetml/2009/9/main" objectType="CheckBox" lockText="1" noThreeD="1"/>
</file>

<file path=xl/ctrlProps/ctrlProp1278.xml><?xml version="1.0" encoding="utf-8"?>
<formControlPr xmlns="http://schemas.microsoft.com/office/spreadsheetml/2009/9/main" objectType="CheckBox" lockText="1" noThreeD="1"/>
</file>

<file path=xl/ctrlProps/ctrlProp1279.xml><?xml version="1.0" encoding="utf-8"?>
<formControlPr xmlns="http://schemas.microsoft.com/office/spreadsheetml/2009/9/main" objectType="CheckBox" lockText="1" noThreeD="1"/>
</file>

<file path=xl/ctrlProps/ctrlProp1280.xml><?xml version="1.0" encoding="utf-8"?>
<formControlPr xmlns="http://schemas.microsoft.com/office/spreadsheetml/2009/9/main" objectType="CheckBox" lockText="1" noThreeD="1"/>
</file>

<file path=xl/ctrlProps/ctrlProp1281.xml><?xml version="1.0" encoding="utf-8"?>
<formControlPr xmlns="http://schemas.microsoft.com/office/spreadsheetml/2009/9/main" objectType="CheckBox" lockText="1" noThreeD="1"/>
</file>

<file path=xl/ctrlProps/ctrlProp1282.xml><?xml version="1.0" encoding="utf-8"?>
<formControlPr xmlns="http://schemas.microsoft.com/office/spreadsheetml/2009/9/main" objectType="CheckBox" lockText="1" noThreeD="1"/>
</file>

<file path=xl/ctrlProps/ctrlProp1283.xml><?xml version="1.0" encoding="utf-8"?>
<formControlPr xmlns="http://schemas.microsoft.com/office/spreadsheetml/2009/9/main" objectType="CheckBox" lockText="1" noThreeD="1"/>
</file>

<file path=xl/ctrlProps/ctrlProp1284.xml><?xml version="1.0" encoding="utf-8"?>
<formControlPr xmlns="http://schemas.microsoft.com/office/spreadsheetml/2009/9/main" objectType="CheckBox" lockText="1" noThreeD="1"/>
</file>

<file path=xl/ctrlProps/ctrlProp1285.xml><?xml version="1.0" encoding="utf-8"?>
<formControlPr xmlns="http://schemas.microsoft.com/office/spreadsheetml/2009/9/main" objectType="CheckBox" lockText="1" noThreeD="1"/>
</file>

<file path=xl/ctrlProps/ctrlProp1286.xml><?xml version="1.0" encoding="utf-8"?>
<formControlPr xmlns="http://schemas.microsoft.com/office/spreadsheetml/2009/9/main" objectType="CheckBox" lockText="1" noThreeD="1"/>
</file>

<file path=xl/ctrlProps/ctrlProp1287.xml><?xml version="1.0" encoding="utf-8"?>
<formControlPr xmlns="http://schemas.microsoft.com/office/spreadsheetml/2009/9/main" objectType="CheckBox" lockText="1" noThreeD="1"/>
</file>

<file path=xl/ctrlProps/ctrlProp1288.xml><?xml version="1.0" encoding="utf-8"?>
<formControlPr xmlns="http://schemas.microsoft.com/office/spreadsheetml/2009/9/main" objectType="CheckBox" lockText="1" noThreeD="1"/>
</file>

<file path=xl/ctrlProps/ctrlProp1289.xml><?xml version="1.0" encoding="utf-8"?>
<formControlPr xmlns="http://schemas.microsoft.com/office/spreadsheetml/2009/9/main" objectType="CheckBox" lockText="1" noThreeD="1"/>
</file>

<file path=xl/ctrlProps/ctrlProp1290.xml><?xml version="1.0" encoding="utf-8"?>
<formControlPr xmlns="http://schemas.microsoft.com/office/spreadsheetml/2009/9/main" objectType="CheckBox" lockText="1" noThreeD="1"/>
</file>

<file path=xl/ctrlProps/ctrlProp1291.xml><?xml version="1.0" encoding="utf-8"?>
<formControlPr xmlns="http://schemas.microsoft.com/office/spreadsheetml/2009/9/main" objectType="CheckBox" lockText="1" noThreeD="1"/>
</file>

<file path=xl/ctrlProps/ctrlProp1292.xml><?xml version="1.0" encoding="utf-8"?>
<formControlPr xmlns="http://schemas.microsoft.com/office/spreadsheetml/2009/9/main" objectType="CheckBox" checked="Checked" lockText="1" noThreeD="1"/>
</file>

<file path=xl/ctrlProps/ctrlProp1293.xml><?xml version="1.0" encoding="utf-8"?>
<formControlPr xmlns="http://schemas.microsoft.com/office/spreadsheetml/2009/9/main" objectType="CheckBox" lockText="1" noThreeD="1"/>
</file>

<file path=xl/ctrlProps/ctrlProp1294.xml><?xml version="1.0" encoding="utf-8"?>
<formControlPr xmlns="http://schemas.microsoft.com/office/spreadsheetml/2009/9/main" objectType="CheckBox" lockText="1" noThreeD="1"/>
</file>

<file path=xl/ctrlProps/ctrlProp1295.xml><?xml version="1.0" encoding="utf-8"?>
<formControlPr xmlns="http://schemas.microsoft.com/office/spreadsheetml/2009/9/main" objectType="CheckBox" lockText="1" noThreeD="1"/>
</file>

<file path=xl/ctrlProps/ctrlProp1296.xml><?xml version="1.0" encoding="utf-8"?>
<formControlPr xmlns="http://schemas.microsoft.com/office/spreadsheetml/2009/9/main" objectType="CheckBox" lockText="1" noThreeD="1"/>
</file>

<file path=xl/ctrlProps/ctrlProp1297.xml><?xml version="1.0" encoding="utf-8"?>
<formControlPr xmlns="http://schemas.microsoft.com/office/spreadsheetml/2009/9/main" objectType="CheckBox" lockText="1" noThreeD="1"/>
</file>

<file path=xl/ctrlProps/ctrlProp1298.xml><?xml version="1.0" encoding="utf-8"?>
<formControlPr xmlns="http://schemas.microsoft.com/office/spreadsheetml/2009/9/main" objectType="CheckBox" checked="Checked" lockText="1" noThreeD="1"/>
</file>

<file path=xl/ctrlProps/ctrlProp1299.xml><?xml version="1.0" encoding="utf-8"?>
<formControlPr xmlns="http://schemas.microsoft.com/office/spreadsheetml/2009/9/main" objectType="CheckBox" lockText="1" noThreeD="1"/>
</file>

<file path=xl/ctrlProps/ctrlProp1300.xml><?xml version="1.0" encoding="utf-8"?>
<formControlPr xmlns="http://schemas.microsoft.com/office/spreadsheetml/2009/9/main" objectType="CheckBox" lockText="1" noThreeD="1"/>
</file>

<file path=xl/ctrlProps/ctrlProp1301.xml><?xml version="1.0" encoding="utf-8"?>
<formControlPr xmlns="http://schemas.microsoft.com/office/spreadsheetml/2009/9/main" objectType="CheckBox" lockText="1" noThreeD="1"/>
</file>

<file path=xl/ctrlProps/ctrlProp1302.xml><?xml version="1.0" encoding="utf-8"?>
<formControlPr xmlns="http://schemas.microsoft.com/office/spreadsheetml/2009/9/main" objectType="CheckBox" lockText="1" noThreeD="1"/>
</file>

<file path=xl/ctrlProps/ctrlProp1303.xml><?xml version="1.0" encoding="utf-8"?>
<formControlPr xmlns="http://schemas.microsoft.com/office/spreadsheetml/2009/9/main" objectType="CheckBox" lockText="1" noThreeD="1"/>
</file>

<file path=xl/ctrlProps/ctrlProp1304.xml><?xml version="1.0" encoding="utf-8"?>
<formControlPr xmlns="http://schemas.microsoft.com/office/spreadsheetml/2009/9/main" objectType="CheckBox" checked="Checked" lockText="1" noThreeD="1"/>
</file>

<file path=xl/ctrlProps/ctrlProp1305.xml><?xml version="1.0" encoding="utf-8"?>
<formControlPr xmlns="http://schemas.microsoft.com/office/spreadsheetml/2009/9/main" objectType="CheckBox" lockText="1" noThreeD="1"/>
</file>

<file path=xl/ctrlProps/ctrlProp1306.xml><?xml version="1.0" encoding="utf-8"?>
<formControlPr xmlns="http://schemas.microsoft.com/office/spreadsheetml/2009/9/main" objectType="CheckBox" lockText="1" noThreeD="1"/>
</file>

<file path=xl/ctrlProps/ctrlProp1307.xml><?xml version="1.0" encoding="utf-8"?>
<formControlPr xmlns="http://schemas.microsoft.com/office/spreadsheetml/2009/9/main" objectType="CheckBox" lockText="1" noThreeD="1"/>
</file>

<file path=xl/ctrlProps/ctrlProp1308.xml><?xml version="1.0" encoding="utf-8"?>
<formControlPr xmlns="http://schemas.microsoft.com/office/spreadsheetml/2009/9/main" objectType="CheckBox" lockText="1" noThreeD="1"/>
</file>

<file path=xl/ctrlProps/ctrlProp1309.xml><?xml version="1.0" encoding="utf-8"?>
<formControlPr xmlns="http://schemas.microsoft.com/office/spreadsheetml/2009/9/main" objectType="CheckBox" lockText="1" noThreeD="1"/>
</file>

<file path=xl/ctrlProps/ctrlProp1310.xml><?xml version="1.0" encoding="utf-8"?>
<formControlPr xmlns="http://schemas.microsoft.com/office/spreadsheetml/2009/9/main" objectType="CheckBox" lockText="1" noThreeD="1"/>
</file>

<file path=xl/ctrlProps/ctrlProp1311.xml><?xml version="1.0" encoding="utf-8"?>
<formControlPr xmlns="http://schemas.microsoft.com/office/spreadsheetml/2009/9/main" objectType="CheckBox" lockText="1" noThreeD="1"/>
</file>

<file path=xl/ctrlProps/ctrlProp1312.xml><?xml version="1.0" encoding="utf-8"?>
<formControlPr xmlns="http://schemas.microsoft.com/office/spreadsheetml/2009/9/main" objectType="CheckBox" lockText="1" noThreeD="1"/>
</file>

<file path=xl/ctrlProps/ctrlProp1313.xml><?xml version="1.0" encoding="utf-8"?>
<formControlPr xmlns="http://schemas.microsoft.com/office/spreadsheetml/2009/9/main" objectType="CheckBox" lockText="1" noThreeD="1"/>
</file>

<file path=xl/ctrlProps/ctrlProp1314.xml><?xml version="1.0" encoding="utf-8"?>
<formControlPr xmlns="http://schemas.microsoft.com/office/spreadsheetml/2009/9/main" objectType="CheckBox" lockText="1" noThreeD="1"/>
</file>

<file path=xl/ctrlProps/ctrlProp1315.xml><?xml version="1.0" encoding="utf-8"?>
<formControlPr xmlns="http://schemas.microsoft.com/office/spreadsheetml/2009/9/main" objectType="CheckBox" lockText="1" noThreeD="1"/>
</file>

<file path=xl/ctrlProps/ctrlProp1316.xml><?xml version="1.0" encoding="utf-8"?>
<formControlPr xmlns="http://schemas.microsoft.com/office/spreadsheetml/2009/9/main" objectType="CheckBox" lockText="1" noThreeD="1"/>
</file>

<file path=xl/ctrlProps/ctrlProp1317.xml><?xml version="1.0" encoding="utf-8"?>
<formControlPr xmlns="http://schemas.microsoft.com/office/spreadsheetml/2009/9/main" objectType="CheckBox" lockText="1" noThreeD="1"/>
</file>

<file path=xl/ctrlProps/ctrlProp1318.xml><?xml version="1.0" encoding="utf-8"?>
<formControlPr xmlns="http://schemas.microsoft.com/office/spreadsheetml/2009/9/main" objectType="CheckBox" lockText="1" noThreeD="1"/>
</file>

<file path=xl/ctrlProps/ctrlProp1319.xml><?xml version="1.0" encoding="utf-8"?>
<formControlPr xmlns="http://schemas.microsoft.com/office/spreadsheetml/2009/9/main" objectType="CheckBox" lockText="1" noThreeD="1"/>
</file>

<file path=xl/ctrlProps/ctrlProp1320.xml><?xml version="1.0" encoding="utf-8"?>
<formControlPr xmlns="http://schemas.microsoft.com/office/spreadsheetml/2009/9/main" objectType="CheckBox" lockText="1" noThreeD="1"/>
</file>

<file path=xl/ctrlProps/ctrlProp1321.xml><?xml version="1.0" encoding="utf-8"?>
<formControlPr xmlns="http://schemas.microsoft.com/office/spreadsheetml/2009/9/main" objectType="CheckBox" lockText="1" noThreeD="1"/>
</file>

<file path=xl/ctrlProps/ctrlProp1322.xml><?xml version="1.0" encoding="utf-8"?>
<formControlPr xmlns="http://schemas.microsoft.com/office/spreadsheetml/2009/9/main" objectType="CheckBox" lockText="1" noThreeD="1"/>
</file>

<file path=xl/ctrlProps/ctrlProp1323.xml><?xml version="1.0" encoding="utf-8"?>
<formControlPr xmlns="http://schemas.microsoft.com/office/spreadsheetml/2009/9/main" objectType="CheckBox" lockText="1" noThreeD="1"/>
</file>

<file path=xl/ctrlProps/ctrlProp1324.xml><?xml version="1.0" encoding="utf-8"?>
<formControlPr xmlns="http://schemas.microsoft.com/office/spreadsheetml/2009/9/main" objectType="CheckBox" lockText="1" noThreeD="1"/>
</file>

<file path=xl/ctrlProps/ctrlProp1325.xml><?xml version="1.0" encoding="utf-8"?>
<formControlPr xmlns="http://schemas.microsoft.com/office/spreadsheetml/2009/9/main" objectType="CheckBox" lockText="1" noThreeD="1"/>
</file>

<file path=xl/ctrlProps/ctrlProp1326.xml><?xml version="1.0" encoding="utf-8"?>
<formControlPr xmlns="http://schemas.microsoft.com/office/spreadsheetml/2009/9/main" objectType="CheckBox" lockText="1" noThreeD="1"/>
</file>

<file path=xl/ctrlProps/ctrlProp1327.xml><?xml version="1.0" encoding="utf-8"?>
<formControlPr xmlns="http://schemas.microsoft.com/office/spreadsheetml/2009/9/main" objectType="CheckBox" lockText="1" noThreeD="1"/>
</file>

<file path=xl/ctrlProps/ctrlProp1328.xml><?xml version="1.0" encoding="utf-8"?>
<formControlPr xmlns="http://schemas.microsoft.com/office/spreadsheetml/2009/9/main" objectType="CheckBox" lockText="1" noThreeD="1"/>
</file>

<file path=xl/ctrlProps/ctrlProp1329.xml><?xml version="1.0" encoding="utf-8"?>
<formControlPr xmlns="http://schemas.microsoft.com/office/spreadsheetml/2009/9/main" objectType="CheckBox" lockText="1" noThreeD="1"/>
</file>

<file path=xl/ctrlProps/ctrlProp1330.xml><?xml version="1.0" encoding="utf-8"?>
<formControlPr xmlns="http://schemas.microsoft.com/office/spreadsheetml/2009/9/main" objectType="CheckBox" lockText="1" noThreeD="1"/>
</file>

<file path=xl/ctrlProps/ctrlProp1331.xml><?xml version="1.0" encoding="utf-8"?>
<formControlPr xmlns="http://schemas.microsoft.com/office/spreadsheetml/2009/9/main" objectType="CheckBox" lockText="1" noThreeD="1"/>
</file>

<file path=xl/ctrlProps/ctrlProp1332.xml><?xml version="1.0" encoding="utf-8"?>
<formControlPr xmlns="http://schemas.microsoft.com/office/spreadsheetml/2009/9/main" objectType="CheckBox" checked="Checked" lockText="1" noThreeD="1"/>
</file>

<file path=xl/ctrlProps/ctrlProp1333.xml><?xml version="1.0" encoding="utf-8"?>
<formControlPr xmlns="http://schemas.microsoft.com/office/spreadsheetml/2009/9/main" objectType="CheckBox" lockText="1" noThreeD="1"/>
</file>

<file path=xl/ctrlProps/ctrlProp1334.xml><?xml version="1.0" encoding="utf-8"?>
<formControlPr xmlns="http://schemas.microsoft.com/office/spreadsheetml/2009/9/main" objectType="CheckBox" lockText="1" noThreeD="1"/>
</file>

<file path=xl/ctrlProps/ctrlProp1335.xml><?xml version="1.0" encoding="utf-8"?>
<formControlPr xmlns="http://schemas.microsoft.com/office/spreadsheetml/2009/9/main" objectType="CheckBox" lockText="1" noThreeD="1"/>
</file>

<file path=xl/ctrlProps/ctrlProp1336.xml><?xml version="1.0" encoding="utf-8"?>
<formControlPr xmlns="http://schemas.microsoft.com/office/spreadsheetml/2009/9/main" objectType="CheckBox" lockText="1" noThreeD="1"/>
</file>

<file path=xl/ctrlProps/ctrlProp1337.xml><?xml version="1.0" encoding="utf-8"?>
<formControlPr xmlns="http://schemas.microsoft.com/office/spreadsheetml/2009/9/main" objectType="CheckBox" lockText="1" noThreeD="1"/>
</file>

<file path=xl/ctrlProps/ctrlProp1338.xml><?xml version="1.0" encoding="utf-8"?>
<formControlPr xmlns="http://schemas.microsoft.com/office/spreadsheetml/2009/9/main" objectType="CheckBox" lockText="1" noThreeD="1"/>
</file>

<file path=xl/ctrlProps/ctrlProp1339.xml><?xml version="1.0" encoding="utf-8"?>
<formControlPr xmlns="http://schemas.microsoft.com/office/spreadsheetml/2009/9/main" objectType="CheckBox" lockText="1" noThreeD="1"/>
</file>

<file path=xl/ctrlProps/ctrlProp1340.xml><?xml version="1.0" encoding="utf-8"?>
<formControlPr xmlns="http://schemas.microsoft.com/office/spreadsheetml/2009/9/main" objectType="CheckBox" lockText="1" noThreeD="1"/>
</file>

<file path=xl/ctrlProps/ctrlProp1341.xml><?xml version="1.0" encoding="utf-8"?>
<formControlPr xmlns="http://schemas.microsoft.com/office/spreadsheetml/2009/9/main" objectType="CheckBox" lockText="1" noThreeD="1"/>
</file>

<file path=xl/ctrlProps/ctrlProp1342.xml><?xml version="1.0" encoding="utf-8"?>
<formControlPr xmlns="http://schemas.microsoft.com/office/spreadsheetml/2009/9/main" objectType="CheckBox" lockText="1" noThreeD="1"/>
</file>

<file path=xl/ctrlProps/ctrlProp1343.xml><?xml version="1.0" encoding="utf-8"?>
<formControlPr xmlns="http://schemas.microsoft.com/office/spreadsheetml/2009/9/main" objectType="CheckBox" lockText="1" noThreeD="1"/>
</file>

<file path=xl/ctrlProps/ctrlProp1344.xml><?xml version="1.0" encoding="utf-8"?>
<formControlPr xmlns="http://schemas.microsoft.com/office/spreadsheetml/2009/9/main" objectType="CheckBox" lockText="1" noThreeD="1"/>
</file>

<file path=xl/ctrlProps/ctrlProp1345.xml><?xml version="1.0" encoding="utf-8"?>
<formControlPr xmlns="http://schemas.microsoft.com/office/spreadsheetml/2009/9/main" objectType="CheckBox" lockText="1" noThreeD="1"/>
</file>

<file path=xl/ctrlProps/ctrlProp1346.xml><?xml version="1.0" encoding="utf-8"?>
<formControlPr xmlns="http://schemas.microsoft.com/office/spreadsheetml/2009/9/main" objectType="CheckBox" lockText="1" noThreeD="1"/>
</file>

<file path=xl/ctrlProps/ctrlProp1347.xml><?xml version="1.0" encoding="utf-8"?>
<formControlPr xmlns="http://schemas.microsoft.com/office/spreadsheetml/2009/9/main" objectType="CheckBox" lockText="1" noThreeD="1"/>
</file>

<file path=xl/ctrlProps/ctrlProp1348.xml><?xml version="1.0" encoding="utf-8"?>
<formControlPr xmlns="http://schemas.microsoft.com/office/spreadsheetml/2009/9/main" objectType="CheckBox" lockText="1" noThreeD="1"/>
</file>

<file path=xl/ctrlProps/ctrlProp1349.xml><?xml version="1.0" encoding="utf-8"?>
<formControlPr xmlns="http://schemas.microsoft.com/office/spreadsheetml/2009/9/main" objectType="CheckBox" lockText="1" noThreeD="1"/>
</file>

<file path=xl/ctrlProps/ctrlProp1350.xml><?xml version="1.0" encoding="utf-8"?>
<formControlPr xmlns="http://schemas.microsoft.com/office/spreadsheetml/2009/9/main" objectType="CheckBox" lockText="1" noThreeD="1"/>
</file>

<file path=xl/ctrlProps/ctrlProp1351.xml><?xml version="1.0" encoding="utf-8"?>
<formControlPr xmlns="http://schemas.microsoft.com/office/spreadsheetml/2009/9/main" objectType="CheckBox" lockText="1" noThreeD="1"/>
</file>

<file path=xl/ctrlProps/ctrlProp1352.xml><?xml version="1.0" encoding="utf-8"?>
<formControlPr xmlns="http://schemas.microsoft.com/office/spreadsheetml/2009/9/main" objectType="CheckBox" lockText="1" noThreeD="1"/>
</file>

<file path=xl/ctrlProps/ctrlProp1353.xml><?xml version="1.0" encoding="utf-8"?>
<formControlPr xmlns="http://schemas.microsoft.com/office/spreadsheetml/2009/9/main" objectType="CheckBox" lockText="1" noThreeD="1"/>
</file>

<file path=xl/ctrlProps/ctrlProp1354.xml><?xml version="1.0" encoding="utf-8"?>
<formControlPr xmlns="http://schemas.microsoft.com/office/spreadsheetml/2009/9/main" objectType="CheckBox" lockText="1" noThreeD="1"/>
</file>

<file path=xl/ctrlProps/ctrlProp1355.xml><?xml version="1.0" encoding="utf-8"?>
<formControlPr xmlns="http://schemas.microsoft.com/office/spreadsheetml/2009/9/main" objectType="CheckBox" lockText="1" noThreeD="1"/>
</file>

<file path=xl/ctrlProps/ctrlProp1356.xml><?xml version="1.0" encoding="utf-8"?>
<formControlPr xmlns="http://schemas.microsoft.com/office/spreadsheetml/2009/9/main" objectType="CheckBox" lockText="1" noThreeD="1"/>
</file>

<file path=xl/ctrlProps/ctrlProp1357.xml><?xml version="1.0" encoding="utf-8"?>
<formControlPr xmlns="http://schemas.microsoft.com/office/spreadsheetml/2009/9/main" objectType="CheckBox" lockText="1" noThreeD="1"/>
</file>

<file path=xl/ctrlProps/ctrlProp1358.xml><?xml version="1.0" encoding="utf-8"?>
<formControlPr xmlns="http://schemas.microsoft.com/office/spreadsheetml/2009/9/main" objectType="CheckBox" checked="Checked" lockText="1" noThreeD="1"/>
</file>

<file path=xl/ctrlProps/ctrlProp1359.xml><?xml version="1.0" encoding="utf-8"?>
<formControlPr xmlns="http://schemas.microsoft.com/office/spreadsheetml/2009/9/main" objectType="CheckBox" lockText="1" noThreeD="1"/>
</file>

<file path=xl/ctrlProps/ctrlProp1360.xml><?xml version="1.0" encoding="utf-8"?>
<formControlPr xmlns="http://schemas.microsoft.com/office/spreadsheetml/2009/9/main" objectType="CheckBox" lockText="1" noThreeD="1"/>
</file>

<file path=xl/ctrlProps/ctrlProp1361.xml><?xml version="1.0" encoding="utf-8"?>
<formControlPr xmlns="http://schemas.microsoft.com/office/spreadsheetml/2009/9/main" objectType="CheckBox" lockText="1" noThreeD="1"/>
</file>

<file path=xl/ctrlProps/ctrlProp1362.xml><?xml version="1.0" encoding="utf-8"?>
<formControlPr xmlns="http://schemas.microsoft.com/office/spreadsheetml/2009/9/main" objectType="CheckBox" lockText="1" noThreeD="1"/>
</file>

<file path=xl/ctrlProps/ctrlProp1363.xml><?xml version="1.0" encoding="utf-8"?>
<formControlPr xmlns="http://schemas.microsoft.com/office/spreadsheetml/2009/9/main" objectType="CheckBox" lockText="1" noThreeD="1"/>
</file>

<file path=xl/ctrlProps/ctrlProp1364.xml><?xml version="1.0" encoding="utf-8"?>
<formControlPr xmlns="http://schemas.microsoft.com/office/spreadsheetml/2009/9/main" objectType="CheckBox" lockText="1" noThreeD="1"/>
</file>

<file path=xl/ctrlProps/ctrlProp1365.xml><?xml version="1.0" encoding="utf-8"?>
<formControlPr xmlns="http://schemas.microsoft.com/office/spreadsheetml/2009/9/main" objectType="CheckBox" lockText="1" noThreeD="1"/>
</file>

<file path=xl/ctrlProps/ctrlProp1366.xml><?xml version="1.0" encoding="utf-8"?>
<formControlPr xmlns="http://schemas.microsoft.com/office/spreadsheetml/2009/9/main" objectType="CheckBox" lockText="1" noThreeD="1"/>
</file>

<file path=xl/ctrlProps/ctrlProp1367.xml><?xml version="1.0" encoding="utf-8"?>
<formControlPr xmlns="http://schemas.microsoft.com/office/spreadsheetml/2009/9/main" objectType="CheckBox" lockText="1" noThreeD="1"/>
</file>

<file path=xl/ctrlProps/ctrlProp1368.xml><?xml version="1.0" encoding="utf-8"?>
<formControlPr xmlns="http://schemas.microsoft.com/office/spreadsheetml/2009/9/main" objectType="CheckBox" lockText="1" noThreeD="1"/>
</file>

<file path=xl/ctrlProps/ctrlProp1369.xml><?xml version="1.0" encoding="utf-8"?>
<formControlPr xmlns="http://schemas.microsoft.com/office/spreadsheetml/2009/9/main" objectType="CheckBox" lockText="1" noThreeD="1"/>
</file>

<file path=xl/ctrlProps/ctrlProp1370.xml><?xml version="1.0" encoding="utf-8"?>
<formControlPr xmlns="http://schemas.microsoft.com/office/spreadsheetml/2009/9/main" objectType="CheckBox" lockText="1" noThreeD="1"/>
</file>

<file path=xl/ctrlProps/ctrlProp1371.xml><?xml version="1.0" encoding="utf-8"?>
<formControlPr xmlns="http://schemas.microsoft.com/office/spreadsheetml/2009/9/main" objectType="CheckBox" lockText="1" noThreeD="1"/>
</file>

<file path=xl/ctrlProps/ctrlProp1372.xml><?xml version="1.0" encoding="utf-8"?>
<formControlPr xmlns="http://schemas.microsoft.com/office/spreadsheetml/2009/9/main" objectType="CheckBox" lockText="1" noThreeD="1"/>
</file>

<file path=xl/ctrlProps/ctrlProp1373.xml><?xml version="1.0" encoding="utf-8"?>
<formControlPr xmlns="http://schemas.microsoft.com/office/spreadsheetml/2009/9/main" objectType="CheckBox" lockText="1" noThreeD="1"/>
</file>

<file path=xl/ctrlProps/ctrlProp1374.xml><?xml version="1.0" encoding="utf-8"?>
<formControlPr xmlns="http://schemas.microsoft.com/office/spreadsheetml/2009/9/main" objectType="CheckBox" lockText="1" noThreeD="1"/>
</file>

<file path=xl/ctrlProps/ctrlProp1375.xml><?xml version="1.0" encoding="utf-8"?>
<formControlPr xmlns="http://schemas.microsoft.com/office/spreadsheetml/2009/9/main" objectType="CheckBox" lockText="1" noThreeD="1"/>
</file>

<file path=xl/ctrlProps/ctrlProp1376.xml><?xml version="1.0" encoding="utf-8"?>
<formControlPr xmlns="http://schemas.microsoft.com/office/spreadsheetml/2009/9/main" objectType="CheckBox" lockText="1" noThreeD="1"/>
</file>

<file path=xl/ctrlProps/ctrlProp1377.xml><?xml version="1.0" encoding="utf-8"?>
<formControlPr xmlns="http://schemas.microsoft.com/office/spreadsheetml/2009/9/main" objectType="CheckBox" lockText="1" noThreeD="1"/>
</file>

<file path=xl/ctrlProps/ctrlProp1378.xml><?xml version="1.0" encoding="utf-8"?>
<formControlPr xmlns="http://schemas.microsoft.com/office/spreadsheetml/2009/9/main" objectType="CheckBox" lockText="1" noThreeD="1"/>
</file>

<file path=xl/ctrlProps/ctrlProp1379.xml><?xml version="1.0" encoding="utf-8"?>
<formControlPr xmlns="http://schemas.microsoft.com/office/spreadsheetml/2009/9/main" objectType="CheckBox" lockText="1" noThreeD="1"/>
</file>

<file path=xl/ctrlProps/ctrlProp1380.xml><?xml version="1.0" encoding="utf-8"?>
<formControlPr xmlns="http://schemas.microsoft.com/office/spreadsheetml/2009/9/main" objectType="CheckBox" checked="Checked" lockText="1" noThreeD="1"/>
</file>

<file path=xl/ctrlProps/ctrlProp1381.xml><?xml version="1.0" encoding="utf-8"?>
<formControlPr xmlns="http://schemas.microsoft.com/office/spreadsheetml/2009/9/main" objectType="CheckBox" lockText="1" noThreeD="1"/>
</file>

<file path=xl/ctrlProps/ctrlProp1382.xml><?xml version="1.0" encoding="utf-8"?>
<formControlPr xmlns="http://schemas.microsoft.com/office/spreadsheetml/2009/9/main" objectType="CheckBox" lockText="1" noThreeD="1"/>
</file>

<file path=xl/ctrlProps/ctrlProp1383.xml><?xml version="1.0" encoding="utf-8"?>
<formControlPr xmlns="http://schemas.microsoft.com/office/spreadsheetml/2009/9/main" objectType="CheckBox" lockText="1" noThreeD="1"/>
</file>

<file path=xl/ctrlProps/ctrlProp1384.xml><?xml version="1.0" encoding="utf-8"?>
<formControlPr xmlns="http://schemas.microsoft.com/office/spreadsheetml/2009/9/main" objectType="CheckBox" lockText="1" noThreeD="1"/>
</file>

<file path=xl/ctrlProps/ctrlProp1385.xml><?xml version="1.0" encoding="utf-8"?>
<formControlPr xmlns="http://schemas.microsoft.com/office/spreadsheetml/2009/9/main" objectType="CheckBox" lockText="1" noThreeD="1"/>
</file>

<file path=xl/ctrlProps/ctrlProp1386.xml><?xml version="1.0" encoding="utf-8"?>
<formControlPr xmlns="http://schemas.microsoft.com/office/spreadsheetml/2009/9/main" objectType="CheckBox" lockText="1" noThreeD="1"/>
</file>

<file path=xl/ctrlProps/ctrlProp1387.xml><?xml version="1.0" encoding="utf-8"?>
<formControlPr xmlns="http://schemas.microsoft.com/office/spreadsheetml/2009/9/main" objectType="CheckBox" lockText="1" noThreeD="1"/>
</file>

<file path=xl/ctrlProps/ctrlProp1388.xml><?xml version="1.0" encoding="utf-8"?>
<formControlPr xmlns="http://schemas.microsoft.com/office/spreadsheetml/2009/9/main" objectType="CheckBox" lockText="1" noThreeD="1"/>
</file>

<file path=xl/ctrlProps/ctrlProp1389.xml><?xml version="1.0" encoding="utf-8"?>
<formControlPr xmlns="http://schemas.microsoft.com/office/spreadsheetml/2009/9/main" objectType="CheckBox" lockText="1" noThreeD="1"/>
</file>

<file path=xl/ctrlProps/ctrlProp1390.xml><?xml version="1.0" encoding="utf-8"?>
<formControlPr xmlns="http://schemas.microsoft.com/office/spreadsheetml/2009/9/main" objectType="CheckBox" lockText="1" noThreeD="1"/>
</file>

<file path=xl/ctrlProps/ctrlProp1391.xml><?xml version="1.0" encoding="utf-8"?>
<formControlPr xmlns="http://schemas.microsoft.com/office/spreadsheetml/2009/9/main" objectType="CheckBox" lockText="1" noThreeD="1"/>
</file>

<file path=xl/ctrlProps/ctrlProp1392.xml><?xml version="1.0" encoding="utf-8"?>
<formControlPr xmlns="http://schemas.microsoft.com/office/spreadsheetml/2009/9/main" objectType="CheckBox" lockText="1" noThreeD="1"/>
</file>

<file path=xl/ctrlProps/ctrlProp1393.xml><?xml version="1.0" encoding="utf-8"?>
<formControlPr xmlns="http://schemas.microsoft.com/office/spreadsheetml/2009/9/main" objectType="CheckBox" lockText="1" noThreeD="1"/>
</file>

<file path=xl/ctrlProps/ctrlProp1394.xml><?xml version="1.0" encoding="utf-8"?>
<formControlPr xmlns="http://schemas.microsoft.com/office/spreadsheetml/2009/9/main" objectType="CheckBox" lockText="1" noThreeD="1"/>
</file>

<file path=xl/ctrlProps/ctrlProp1395.xml><?xml version="1.0" encoding="utf-8"?>
<formControlPr xmlns="http://schemas.microsoft.com/office/spreadsheetml/2009/9/main" objectType="CheckBox" lockText="1" noThreeD="1"/>
</file>

<file path=xl/ctrlProps/ctrlProp1396.xml><?xml version="1.0" encoding="utf-8"?>
<formControlPr xmlns="http://schemas.microsoft.com/office/spreadsheetml/2009/9/main" objectType="CheckBox" lockText="1" noThreeD="1"/>
</file>

<file path=xl/ctrlProps/ctrlProp1397.xml><?xml version="1.0" encoding="utf-8"?>
<formControlPr xmlns="http://schemas.microsoft.com/office/spreadsheetml/2009/9/main" objectType="CheckBox" lockText="1" noThreeD="1"/>
</file>

<file path=xl/ctrlProps/ctrlProp1398.xml><?xml version="1.0" encoding="utf-8"?>
<formControlPr xmlns="http://schemas.microsoft.com/office/spreadsheetml/2009/9/main" objectType="CheckBox" lockText="1" noThreeD="1"/>
</file>

<file path=xl/ctrlProps/ctrlProp1399.xml><?xml version="1.0" encoding="utf-8"?>
<formControlPr xmlns="http://schemas.microsoft.com/office/spreadsheetml/2009/9/main" objectType="CheckBox" lockText="1" noThreeD="1"/>
</file>

<file path=xl/ctrlProps/ctrlProp1400.xml><?xml version="1.0" encoding="utf-8"?>
<formControlPr xmlns="http://schemas.microsoft.com/office/spreadsheetml/2009/9/main" objectType="CheckBox" lockText="1" noThreeD="1"/>
</file>

<file path=xl/ctrlProps/ctrlProp1401.xml><?xml version="1.0" encoding="utf-8"?>
<formControlPr xmlns="http://schemas.microsoft.com/office/spreadsheetml/2009/9/main" objectType="CheckBox" lockText="1" noThreeD="1"/>
</file>

<file path=xl/ctrlProps/ctrlProp1402.xml><?xml version="1.0" encoding="utf-8"?>
<formControlPr xmlns="http://schemas.microsoft.com/office/spreadsheetml/2009/9/main" objectType="CheckBox" lockText="1" noThreeD="1"/>
</file>

<file path=xl/ctrlProps/ctrlProp1403.xml><?xml version="1.0" encoding="utf-8"?>
<formControlPr xmlns="http://schemas.microsoft.com/office/spreadsheetml/2009/9/main" objectType="CheckBox" lockText="1" noThreeD="1"/>
</file>

<file path=xl/ctrlProps/ctrlProp1404.xml><?xml version="1.0" encoding="utf-8"?>
<formControlPr xmlns="http://schemas.microsoft.com/office/spreadsheetml/2009/9/main" objectType="CheckBox" lockText="1" noThreeD="1"/>
</file>

<file path=xl/ctrlProps/ctrlProp1405.xml><?xml version="1.0" encoding="utf-8"?>
<formControlPr xmlns="http://schemas.microsoft.com/office/spreadsheetml/2009/9/main" objectType="CheckBox" lockText="1" noThreeD="1"/>
</file>

<file path=xl/ctrlProps/ctrlProp1406.xml><?xml version="1.0" encoding="utf-8"?>
<formControlPr xmlns="http://schemas.microsoft.com/office/spreadsheetml/2009/9/main" objectType="CheckBox" lockText="1" noThreeD="1"/>
</file>

<file path=xl/ctrlProps/ctrlProp1407.xml><?xml version="1.0" encoding="utf-8"?>
<formControlPr xmlns="http://schemas.microsoft.com/office/spreadsheetml/2009/9/main" objectType="CheckBox" lockText="1" noThreeD="1"/>
</file>

<file path=xl/ctrlProps/ctrlProp1408.xml><?xml version="1.0" encoding="utf-8"?>
<formControlPr xmlns="http://schemas.microsoft.com/office/spreadsheetml/2009/9/main" objectType="CheckBox" lockText="1" noThreeD="1"/>
</file>

<file path=xl/ctrlProps/ctrlProp1409.xml><?xml version="1.0" encoding="utf-8"?>
<formControlPr xmlns="http://schemas.microsoft.com/office/spreadsheetml/2009/9/main" objectType="CheckBox" lockText="1" noThreeD="1"/>
</file>

<file path=xl/ctrlProps/ctrlProp1410.xml><?xml version="1.0" encoding="utf-8"?>
<formControlPr xmlns="http://schemas.microsoft.com/office/spreadsheetml/2009/9/main" objectType="CheckBox" lockText="1" noThreeD="1"/>
</file>

<file path=xl/ctrlProps/ctrlProp1411.xml><?xml version="1.0" encoding="utf-8"?>
<formControlPr xmlns="http://schemas.microsoft.com/office/spreadsheetml/2009/9/main" objectType="CheckBox" lockText="1" noThreeD="1"/>
</file>

<file path=xl/ctrlProps/ctrlProp1412.xml><?xml version="1.0" encoding="utf-8"?>
<formControlPr xmlns="http://schemas.microsoft.com/office/spreadsheetml/2009/9/main" objectType="CheckBox" lockText="1" noThreeD="1"/>
</file>

<file path=xl/ctrlProps/ctrlProp1413.xml><?xml version="1.0" encoding="utf-8"?>
<formControlPr xmlns="http://schemas.microsoft.com/office/spreadsheetml/2009/9/main" objectType="CheckBox" lockText="1" noThreeD="1"/>
</file>

<file path=xl/ctrlProps/ctrlProp1414.xml><?xml version="1.0" encoding="utf-8"?>
<formControlPr xmlns="http://schemas.microsoft.com/office/spreadsheetml/2009/9/main" objectType="CheckBox" lockText="1" noThreeD="1"/>
</file>

<file path=xl/ctrlProps/ctrlProp1415.xml><?xml version="1.0" encoding="utf-8"?>
<formControlPr xmlns="http://schemas.microsoft.com/office/spreadsheetml/2009/9/main" objectType="CheckBox" lockText="1" noThreeD="1"/>
</file>

<file path=xl/ctrlProps/ctrlProp1416.xml><?xml version="1.0" encoding="utf-8"?>
<formControlPr xmlns="http://schemas.microsoft.com/office/spreadsheetml/2009/9/main" objectType="CheckBox" lockText="1" noThreeD="1"/>
</file>

<file path=xl/ctrlProps/ctrlProp1417.xml><?xml version="1.0" encoding="utf-8"?>
<formControlPr xmlns="http://schemas.microsoft.com/office/spreadsheetml/2009/9/main" objectType="CheckBox" lockText="1" noThreeD="1"/>
</file>

<file path=xl/ctrlProps/ctrlProp1418.xml><?xml version="1.0" encoding="utf-8"?>
<formControlPr xmlns="http://schemas.microsoft.com/office/spreadsheetml/2009/9/main" objectType="CheckBox" checked="Checked" lockText="1" noThreeD="1"/>
</file>

<file path=xl/ctrlProps/ctrlProp1419.xml><?xml version="1.0" encoding="utf-8"?>
<formControlPr xmlns="http://schemas.microsoft.com/office/spreadsheetml/2009/9/main" objectType="CheckBox" lockText="1" noThreeD="1"/>
</file>

<file path=xl/ctrlProps/ctrlProp1420.xml><?xml version="1.0" encoding="utf-8"?>
<formControlPr xmlns="http://schemas.microsoft.com/office/spreadsheetml/2009/9/main" objectType="CheckBox" lockText="1" noThreeD="1"/>
</file>

<file path=xl/ctrlProps/ctrlProp1421.xml><?xml version="1.0" encoding="utf-8"?>
<formControlPr xmlns="http://schemas.microsoft.com/office/spreadsheetml/2009/9/main" objectType="CheckBox" lockText="1" noThreeD="1"/>
</file>

<file path=xl/ctrlProps/ctrlProp1422.xml><?xml version="1.0" encoding="utf-8"?>
<formControlPr xmlns="http://schemas.microsoft.com/office/spreadsheetml/2009/9/main" objectType="CheckBox" lockText="1" noThreeD="1"/>
</file>

<file path=xl/ctrlProps/ctrlProp1423.xml><?xml version="1.0" encoding="utf-8"?>
<formControlPr xmlns="http://schemas.microsoft.com/office/spreadsheetml/2009/9/main" objectType="CheckBox" lockText="1" noThreeD="1"/>
</file>

<file path=xl/ctrlProps/ctrlProp1424.xml><?xml version="1.0" encoding="utf-8"?>
<formControlPr xmlns="http://schemas.microsoft.com/office/spreadsheetml/2009/9/main" objectType="CheckBox" lockText="1" noThreeD="1"/>
</file>

<file path=xl/ctrlProps/ctrlProp1425.xml><?xml version="1.0" encoding="utf-8"?>
<formControlPr xmlns="http://schemas.microsoft.com/office/spreadsheetml/2009/9/main" objectType="CheckBox" lockText="1" noThreeD="1"/>
</file>

<file path=xl/ctrlProps/ctrlProp1426.xml><?xml version="1.0" encoding="utf-8"?>
<formControlPr xmlns="http://schemas.microsoft.com/office/spreadsheetml/2009/9/main" objectType="CheckBox" lockText="1" noThreeD="1"/>
</file>

<file path=xl/ctrlProps/ctrlProp1427.xml><?xml version="1.0" encoding="utf-8"?>
<formControlPr xmlns="http://schemas.microsoft.com/office/spreadsheetml/2009/9/main" objectType="CheckBox" lockText="1" noThreeD="1"/>
</file>

<file path=xl/ctrlProps/ctrlProp1428.xml><?xml version="1.0" encoding="utf-8"?>
<formControlPr xmlns="http://schemas.microsoft.com/office/spreadsheetml/2009/9/main" objectType="CheckBox" lockText="1" noThreeD="1"/>
</file>

<file path=xl/ctrlProps/ctrlProp1429.xml><?xml version="1.0" encoding="utf-8"?>
<formControlPr xmlns="http://schemas.microsoft.com/office/spreadsheetml/2009/9/main" objectType="CheckBox" lockText="1" noThreeD="1"/>
</file>

<file path=xl/ctrlProps/ctrlProp1430.xml><?xml version="1.0" encoding="utf-8"?>
<formControlPr xmlns="http://schemas.microsoft.com/office/spreadsheetml/2009/9/main" objectType="CheckBox" lockText="1" noThreeD="1"/>
</file>

<file path=xl/ctrlProps/ctrlProp1431.xml><?xml version="1.0" encoding="utf-8"?>
<formControlPr xmlns="http://schemas.microsoft.com/office/spreadsheetml/2009/9/main" objectType="CheckBox" lockText="1" noThreeD="1"/>
</file>

<file path=xl/ctrlProps/ctrlProp1432.xml><?xml version="1.0" encoding="utf-8"?>
<formControlPr xmlns="http://schemas.microsoft.com/office/spreadsheetml/2009/9/main" objectType="CheckBox" lockText="1" noThreeD="1"/>
</file>

<file path=xl/ctrlProps/ctrlProp1433.xml><?xml version="1.0" encoding="utf-8"?>
<formControlPr xmlns="http://schemas.microsoft.com/office/spreadsheetml/2009/9/main" objectType="CheckBox" lockText="1" noThreeD="1"/>
</file>

<file path=xl/ctrlProps/ctrlProp1434.xml><?xml version="1.0" encoding="utf-8"?>
<formControlPr xmlns="http://schemas.microsoft.com/office/spreadsheetml/2009/9/main" objectType="CheckBox" lockText="1" noThreeD="1"/>
</file>

<file path=xl/ctrlProps/ctrlProp1435.xml><?xml version="1.0" encoding="utf-8"?>
<formControlPr xmlns="http://schemas.microsoft.com/office/spreadsheetml/2009/9/main" objectType="CheckBox" lockText="1" noThreeD="1"/>
</file>

<file path=xl/ctrlProps/ctrlProp1436.xml><?xml version="1.0" encoding="utf-8"?>
<formControlPr xmlns="http://schemas.microsoft.com/office/spreadsheetml/2009/9/main" objectType="CheckBox" lockText="1" noThreeD="1"/>
</file>

<file path=xl/ctrlProps/ctrlProp1437.xml><?xml version="1.0" encoding="utf-8"?>
<formControlPr xmlns="http://schemas.microsoft.com/office/spreadsheetml/2009/9/main" objectType="CheckBox" lockText="1" noThreeD="1"/>
</file>

<file path=xl/ctrlProps/ctrlProp1438.xml><?xml version="1.0" encoding="utf-8"?>
<formControlPr xmlns="http://schemas.microsoft.com/office/spreadsheetml/2009/9/main" objectType="CheckBox" lockText="1" noThreeD="1"/>
</file>

<file path=xl/ctrlProps/ctrlProp1439.xml><?xml version="1.0" encoding="utf-8"?>
<formControlPr xmlns="http://schemas.microsoft.com/office/spreadsheetml/2009/9/main" objectType="CheckBox" lockText="1" noThreeD="1"/>
</file>

<file path=xl/ctrlProps/ctrlProp1440.xml><?xml version="1.0" encoding="utf-8"?>
<formControlPr xmlns="http://schemas.microsoft.com/office/spreadsheetml/2009/9/main" objectType="CheckBox" lockText="1" noThreeD="1"/>
</file>

<file path=xl/ctrlProps/ctrlProp1441.xml><?xml version="1.0" encoding="utf-8"?>
<formControlPr xmlns="http://schemas.microsoft.com/office/spreadsheetml/2009/9/main" objectType="CheckBox" lockText="1" noThreeD="1"/>
</file>

<file path=xl/ctrlProps/ctrlProp1442.xml><?xml version="1.0" encoding="utf-8"?>
<formControlPr xmlns="http://schemas.microsoft.com/office/spreadsheetml/2009/9/main" objectType="CheckBox" lockText="1" noThreeD="1"/>
</file>

<file path=xl/ctrlProps/ctrlProp1443.xml><?xml version="1.0" encoding="utf-8"?>
<formControlPr xmlns="http://schemas.microsoft.com/office/spreadsheetml/2009/9/main" objectType="CheckBox" lockText="1" noThreeD="1"/>
</file>

<file path=xl/ctrlProps/ctrlProp1444.xml><?xml version="1.0" encoding="utf-8"?>
<formControlPr xmlns="http://schemas.microsoft.com/office/spreadsheetml/2009/9/main" objectType="CheckBox" lockText="1" noThreeD="1"/>
</file>

<file path=xl/ctrlProps/ctrlProp1445.xml><?xml version="1.0" encoding="utf-8"?>
<formControlPr xmlns="http://schemas.microsoft.com/office/spreadsheetml/2009/9/main" objectType="CheckBox" lockText="1" noThreeD="1"/>
</file>

<file path=xl/ctrlProps/ctrlProp1446.xml><?xml version="1.0" encoding="utf-8"?>
<formControlPr xmlns="http://schemas.microsoft.com/office/spreadsheetml/2009/9/main" objectType="CheckBox" lockText="1" noThreeD="1"/>
</file>

<file path=xl/ctrlProps/ctrlProp1447.xml><?xml version="1.0" encoding="utf-8"?>
<formControlPr xmlns="http://schemas.microsoft.com/office/spreadsheetml/2009/9/main" objectType="CheckBox" lockText="1" noThreeD="1"/>
</file>

<file path=xl/ctrlProps/ctrlProp1448.xml><?xml version="1.0" encoding="utf-8"?>
<formControlPr xmlns="http://schemas.microsoft.com/office/spreadsheetml/2009/9/main" objectType="CheckBox" lockText="1" noThreeD="1"/>
</file>

<file path=xl/ctrlProps/ctrlProp1449.xml><?xml version="1.0" encoding="utf-8"?>
<formControlPr xmlns="http://schemas.microsoft.com/office/spreadsheetml/2009/9/main" objectType="CheckBox" lockText="1" noThreeD="1"/>
</file>

<file path=xl/ctrlProps/ctrlProp1450.xml><?xml version="1.0" encoding="utf-8"?>
<formControlPr xmlns="http://schemas.microsoft.com/office/spreadsheetml/2009/9/main" objectType="CheckBox" lockText="1" noThreeD="1"/>
</file>

<file path=xl/ctrlProps/ctrlProp1451.xml><?xml version="1.0" encoding="utf-8"?>
<formControlPr xmlns="http://schemas.microsoft.com/office/spreadsheetml/2009/9/main" objectType="CheckBox" lockText="1" noThreeD="1"/>
</file>

<file path=xl/ctrlProps/ctrlProp1452.xml><?xml version="1.0" encoding="utf-8"?>
<formControlPr xmlns="http://schemas.microsoft.com/office/spreadsheetml/2009/9/main" objectType="CheckBox" lockText="1" noThreeD="1"/>
</file>

<file path=xl/ctrlProps/ctrlProp1453.xml><?xml version="1.0" encoding="utf-8"?>
<formControlPr xmlns="http://schemas.microsoft.com/office/spreadsheetml/2009/9/main" objectType="CheckBox" lockText="1" noThreeD="1"/>
</file>

<file path=xl/ctrlProps/ctrlProp1454.xml><?xml version="1.0" encoding="utf-8"?>
<formControlPr xmlns="http://schemas.microsoft.com/office/spreadsheetml/2009/9/main" objectType="CheckBox" checked="Checked" lockText="1" noThreeD="1"/>
</file>

<file path=xl/ctrlProps/ctrlProp1455.xml><?xml version="1.0" encoding="utf-8"?>
<formControlPr xmlns="http://schemas.microsoft.com/office/spreadsheetml/2009/9/main" objectType="CheckBox" lockText="1" noThreeD="1"/>
</file>

<file path=xl/ctrlProps/ctrlProp1456.xml><?xml version="1.0" encoding="utf-8"?>
<formControlPr xmlns="http://schemas.microsoft.com/office/spreadsheetml/2009/9/main" objectType="CheckBox" lockText="1" noThreeD="1"/>
</file>

<file path=xl/ctrlProps/ctrlProp1457.xml><?xml version="1.0" encoding="utf-8"?>
<formControlPr xmlns="http://schemas.microsoft.com/office/spreadsheetml/2009/9/main" objectType="CheckBox" lockText="1" noThreeD="1"/>
</file>

<file path=xl/ctrlProps/ctrlProp1458.xml><?xml version="1.0" encoding="utf-8"?>
<formControlPr xmlns="http://schemas.microsoft.com/office/spreadsheetml/2009/9/main" objectType="CheckBox" lockText="1" noThreeD="1"/>
</file>

<file path=xl/ctrlProps/ctrlProp1459.xml><?xml version="1.0" encoding="utf-8"?>
<formControlPr xmlns="http://schemas.microsoft.com/office/spreadsheetml/2009/9/main" objectType="CheckBox" lockText="1" noThreeD="1"/>
</file>

<file path=xl/ctrlProps/ctrlProp1460.xml><?xml version="1.0" encoding="utf-8"?>
<formControlPr xmlns="http://schemas.microsoft.com/office/spreadsheetml/2009/9/main" objectType="CheckBox" lockText="1" noThreeD="1"/>
</file>

<file path=xl/ctrlProps/ctrlProp1461.xml><?xml version="1.0" encoding="utf-8"?>
<formControlPr xmlns="http://schemas.microsoft.com/office/spreadsheetml/2009/9/main" objectType="CheckBox" lockText="1" noThreeD="1"/>
</file>

<file path=xl/ctrlProps/ctrlProp1462.xml><?xml version="1.0" encoding="utf-8"?>
<formControlPr xmlns="http://schemas.microsoft.com/office/spreadsheetml/2009/9/main" objectType="CheckBox" lockText="1" noThreeD="1"/>
</file>

<file path=xl/ctrlProps/ctrlProp1463.xml><?xml version="1.0" encoding="utf-8"?>
<formControlPr xmlns="http://schemas.microsoft.com/office/spreadsheetml/2009/9/main" objectType="CheckBox" lockText="1" noThreeD="1"/>
</file>

<file path=xl/ctrlProps/ctrlProp1464.xml><?xml version="1.0" encoding="utf-8"?>
<formControlPr xmlns="http://schemas.microsoft.com/office/spreadsheetml/2009/9/main" objectType="CheckBox" lockText="1" noThreeD="1"/>
</file>

<file path=xl/ctrlProps/ctrlProp1465.xml><?xml version="1.0" encoding="utf-8"?>
<formControlPr xmlns="http://schemas.microsoft.com/office/spreadsheetml/2009/9/main" objectType="CheckBox" lockText="1" noThreeD="1"/>
</file>

<file path=xl/ctrlProps/ctrlProp1466.xml><?xml version="1.0" encoding="utf-8"?>
<formControlPr xmlns="http://schemas.microsoft.com/office/spreadsheetml/2009/9/main" objectType="CheckBox" lockText="1" noThreeD="1"/>
</file>

<file path=xl/ctrlProps/ctrlProp1467.xml><?xml version="1.0" encoding="utf-8"?>
<formControlPr xmlns="http://schemas.microsoft.com/office/spreadsheetml/2009/9/main" objectType="CheckBox" lockText="1" noThreeD="1"/>
</file>

<file path=xl/ctrlProps/ctrlProp1468.xml><?xml version="1.0" encoding="utf-8"?>
<formControlPr xmlns="http://schemas.microsoft.com/office/spreadsheetml/2009/9/main" objectType="CheckBox" lockText="1" noThreeD="1"/>
</file>

<file path=xl/ctrlProps/ctrlProp1469.xml><?xml version="1.0" encoding="utf-8"?>
<formControlPr xmlns="http://schemas.microsoft.com/office/spreadsheetml/2009/9/main" objectType="CheckBox" lockText="1" noThreeD="1"/>
</file>

<file path=xl/ctrlProps/ctrlProp1470.xml><?xml version="1.0" encoding="utf-8"?>
<formControlPr xmlns="http://schemas.microsoft.com/office/spreadsheetml/2009/9/main" objectType="CheckBox" lockText="1" noThreeD="1"/>
</file>

<file path=xl/ctrlProps/ctrlProp1471.xml><?xml version="1.0" encoding="utf-8"?>
<formControlPr xmlns="http://schemas.microsoft.com/office/spreadsheetml/2009/9/main" objectType="CheckBox" lockText="1" noThreeD="1"/>
</file>

<file path=xl/ctrlProps/ctrlProp1472.xml><?xml version="1.0" encoding="utf-8"?>
<formControlPr xmlns="http://schemas.microsoft.com/office/spreadsheetml/2009/9/main" objectType="CheckBox" lockText="1" noThreeD="1"/>
</file>

<file path=xl/ctrlProps/ctrlProp1473.xml><?xml version="1.0" encoding="utf-8"?>
<formControlPr xmlns="http://schemas.microsoft.com/office/spreadsheetml/2009/9/main" objectType="CheckBox" lockText="1" noThreeD="1"/>
</file>

<file path=xl/ctrlProps/ctrlProp1474.xml><?xml version="1.0" encoding="utf-8"?>
<formControlPr xmlns="http://schemas.microsoft.com/office/spreadsheetml/2009/9/main" objectType="CheckBox" lockText="1" noThreeD="1"/>
</file>

<file path=xl/ctrlProps/ctrlProp1475.xml><?xml version="1.0" encoding="utf-8"?>
<formControlPr xmlns="http://schemas.microsoft.com/office/spreadsheetml/2009/9/main" objectType="CheckBox" lockText="1" noThreeD="1"/>
</file>

<file path=xl/ctrlProps/ctrlProp1476.xml><?xml version="1.0" encoding="utf-8"?>
<formControlPr xmlns="http://schemas.microsoft.com/office/spreadsheetml/2009/9/main" objectType="CheckBox" lockText="1" noThreeD="1"/>
</file>

<file path=xl/ctrlProps/ctrlProp1477.xml><?xml version="1.0" encoding="utf-8"?>
<formControlPr xmlns="http://schemas.microsoft.com/office/spreadsheetml/2009/9/main" objectType="CheckBox" lockText="1" noThreeD="1"/>
</file>

<file path=xl/ctrlProps/ctrlProp1478.xml><?xml version="1.0" encoding="utf-8"?>
<formControlPr xmlns="http://schemas.microsoft.com/office/spreadsheetml/2009/9/main" objectType="CheckBox" lockText="1" noThreeD="1"/>
</file>

<file path=xl/ctrlProps/ctrlProp1479.xml><?xml version="1.0" encoding="utf-8"?>
<formControlPr xmlns="http://schemas.microsoft.com/office/spreadsheetml/2009/9/main" objectType="CheckBox" lockText="1" noThreeD="1"/>
</file>

<file path=xl/ctrlProps/ctrlProp1480.xml><?xml version="1.0" encoding="utf-8"?>
<formControlPr xmlns="http://schemas.microsoft.com/office/spreadsheetml/2009/9/main" objectType="CheckBox" lockText="1" noThreeD="1"/>
</file>

<file path=xl/ctrlProps/ctrlProp1481.xml><?xml version="1.0" encoding="utf-8"?>
<formControlPr xmlns="http://schemas.microsoft.com/office/spreadsheetml/2009/9/main" objectType="CheckBox" lockText="1" noThreeD="1"/>
</file>

<file path=xl/ctrlProps/ctrlProp1482.xml><?xml version="1.0" encoding="utf-8"?>
<formControlPr xmlns="http://schemas.microsoft.com/office/spreadsheetml/2009/9/main" objectType="CheckBox" lockText="1" noThreeD="1"/>
</file>

<file path=xl/ctrlProps/ctrlProp1483.xml><?xml version="1.0" encoding="utf-8"?>
<formControlPr xmlns="http://schemas.microsoft.com/office/spreadsheetml/2009/9/main" objectType="CheckBox" lockText="1" noThreeD="1"/>
</file>

<file path=xl/ctrlProps/ctrlProp1484.xml><?xml version="1.0" encoding="utf-8"?>
<formControlPr xmlns="http://schemas.microsoft.com/office/spreadsheetml/2009/9/main" objectType="CheckBox" lockText="1" noThreeD="1"/>
</file>

<file path=xl/ctrlProps/ctrlProp1485.xml><?xml version="1.0" encoding="utf-8"?>
<formControlPr xmlns="http://schemas.microsoft.com/office/spreadsheetml/2009/9/main" objectType="CheckBox" lockText="1" noThreeD="1"/>
</file>

<file path=xl/ctrlProps/ctrlProp1486.xml><?xml version="1.0" encoding="utf-8"?>
<formControlPr xmlns="http://schemas.microsoft.com/office/spreadsheetml/2009/9/main" objectType="CheckBox" lockText="1" noThreeD="1"/>
</file>

<file path=xl/ctrlProps/ctrlProp1487.xml><?xml version="1.0" encoding="utf-8"?>
<formControlPr xmlns="http://schemas.microsoft.com/office/spreadsheetml/2009/9/main" objectType="CheckBox" lockText="1" noThreeD="1"/>
</file>

<file path=xl/ctrlProps/ctrlProp1488.xml><?xml version="1.0" encoding="utf-8"?>
<formControlPr xmlns="http://schemas.microsoft.com/office/spreadsheetml/2009/9/main" objectType="CheckBox" lockText="1" noThreeD="1"/>
</file>

<file path=xl/ctrlProps/ctrlProp1489.xml><?xml version="1.0" encoding="utf-8"?>
<formControlPr xmlns="http://schemas.microsoft.com/office/spreadsheetml/2009/9/main" objectType="CheckBox" lockText="1" noThreeD="1"/>
</file>

<file path=xl/ctrlProps/ctrlProp1490.xml><?xml version="1.0" encoding="utf-8"?>
<formControlPr xmlns="http://schemas.microsoft.com/office/spreadsheetml/2009/9/main" objectType="CheckBox" checked="Checked" lockText="1" noThreeD="1"/>
</file>

<file path=xl/ctrlProps/ctrlProp1491.xml><?xml version="1.0" encoding="utf-8"?>
<formControlPr xmlns="http://schemas.microsoft.com/office/spreadsheetml/2009/9/main" objectType="CheckBox" lockText="1" noThreeD="1"/>
</file>

<file path=xl/ctrlProps/ctrlProp1492.xml><?xml version="1.0" encoding="utf-8"?>
<formControlPr xmlns="http://schemas.microsoft.com/office/spreadsheetml/2009/9/main" objectType="CheckBox" lockText="1" noThreeD="1"/>
</file>

<file path=xl/ctrlProps/ctrlProp1493.xml><?xml version="1.0" encoding="utf-8"?>
<formControlPr xmlns="http://schemas.microsoft.com/office/spreadsheetml/2009/9/main" objectType="CheckBox" lockText="1" noThreeD="1"/>
</file>

<file path=xl/ctrlProps/ctrlProp1494.xml><?xml version="1.0" encoding="utf-8"?>
<formControlPr xmlns="http://schemas.microsoft.com/office/spreadsheetml/2009/9/main" objectType="CheckBox" lockText="1" noThreeD="1"/>
</file>

<file path=xl/ctrlProps/ctrlProp1495.xml><?xml version="1.0" encoding="utf-8"?>
<formControlPr xmlns="http://schemas.microsoft.com/office/spreadsheetml/2009/9/main" objectType="CheckBox" lockText="1" noThreeD="1"/>
</file>

<file path=xl/ctrlProps/ctrlProp1496.xml><?xml version="1.0" encoding="utf-8"?>
<formControlPr xmlns="http://schemas.microsoft.com/office/spreadsheetml/2009/9/main" objectType="CheckBox" lockText="1" noThreeD="1"/>
</file>

<file path=xl/ctrlProps/ctrlProp1497.xml><?xml version="1.0" encoding="utf-8"?>
<formControlPr xmlns="http://schemas.microsoft.com/office/spreadsheetml/2009/9/main" objectType="CheckBox" lockText="1" noThreeD="1"/>
</file>

<file path=xl/ctrlProps/ctrlProp1498.xml><?xml version="1.0" encoding="utf-8"?>
<formControlPr xmlns="http://schemas.microsoft.com/office/spreadsheetml/2009/9/main" objectType="CheckBox" lockText="1" noThreeD="1"/>
</file>

<file path=xl/ctrlProps/ctrlProp1499.xml><?xml version="1.0" encoding="utf-8"?>
<formControlPr xmlns="http://schemas.microsoft.com/office/spreadsheetml/2009/9/main" objectType="CheckBox" lockText="1" noThreeD="1"/>
</file>

<file path=xl/ctrlProps/ctrlProp1500.xml><?xml version="1.0" encoding="utf-8"?>
<formControlPr xmlns="http://schemas.microsoft.com/office/spreadsheetml/2009/9/main" objectType="CheckBox" lockText="1" noThreeD="1"/>
</file>

<file path=xl/ctrlProps/ctrlProp1501.xml><?xml version="1.0" encoding="utf-8"?>
<formControlPr xmlns="http://schemas.microsoft.com/office/spreadsheetml/2009/9/main" objectType="CheckBox" lockText="1" noThreeD="1"/>
</file>

<file path=xl/ctrlProps/ctrlProp1502.xml><?xml version="1.0" encoding="utf-8"?>
<formControlPr xmlns="http://schemas.microsoft.com/office/spreadsheetml/2009/9/main" objectType="CheckBox" checked="Checked" lockText="1" noThreeD="1"/>
</file>

<file path=xl/ctrlProps/ctrlProp1503.xml><?xml version="1.0" encoding="utf-8"?>
<formControlPr xmlns="http://schemas.microsoft.com/office/spreadsheetml/2009/9/main" objectType="CheckBox" lockText="1" noThreeD="1"/>
</file>

<file path=xl/ctrlProps/ctrlProp1504.xml><?xml version="1.0" encoding="utf-8"?>
<formControlPr xmlns="http://schemas.microsoft.com/office/spreadsheetml/2009/9/main" objectType="CheckBox" lockText="1" noThreeD="1"/>
</file>

<file path=xl/ctrlProps/ctrlProp1505.xml><?xml version="1.0" encoding="utf-8"?>
<formControlPr xmlns="http://schemas.microsoft.com/office/spreadsheetml/2009/9/main" objectType="CheckBox" lockText="1" noThreeD="1"/>
</file>

<file path=xl/ctrlProps/ctrlProp1506.xml><?xml version="1.0" encoding="utf-8"?>
<formControlPr xmlns="http://schemas.microsoft.com/office/spreadsheetml/2009/9/main" objectType="CheckBox" lockText="1" noThreeD="1"/>
</file>

<file path=xl/ctrlProps/ctrlProp1507.xml><?xml version="1.0" encoding="utf-8"?>
<formControlPr xmlns="http://schemas.microsoft.com/office/spreadsheetml/2009/9/main" objectType="CheckBox" lockText="1" noThreeD="1"/>
</file>

<file path=xl/ctrlProps/ctrlProp1508.xml><?xml version="1.0" encoding="utf-8"?>
<formControlPr xmlns="http://schemas.microsoft.com/office/spreadsheetml/2009/9/main" objectType="CheckBox" lockText="1" noThreeD="1"/>
</file>

<file path=xl/ctrlProps/ctrlProp1509.xml><?xml version="1.0" encoding="utf-8"?>
<formControlPr xmlns="http://schemas.microsoft.com/office/spreadsheetml/2009/9/main" objectType="CheckBox" lockText="1" noThreeD="1"/>
</file>

<file path=xl/ctrlProps/ctrlProp1510.xml><?xml version="1.0" encoding="utf-8"?>
<formControlPr xmlns="http://schemas.microsoft.com/office/spreadsheetml/2009/9/main" objectType="CheckBox" lockText="1" noThreeD="1"/>
</file>

<file path=xl/ctrlProps/ctrlProp1511.xml><?xml version="1.0" encoding="utf-8"?>
<formControlPr xmlns="http://schemas.microsoft.com/office/spreadsheetml/2009/9/main" objectType="CheckBox" lockText="1" noThreeD="1"/>
</file>

<file path=xl/ctrlProps/ctrlProp1512.xml><?xml version="1.0" encoding="utf-8"?>
<formControlPr xmlns="http://schemas.microsoft.com/office/spreadsheetml/2009/9/main" objectType="CheckBox" lockText="1" noThreeD="1"/>
</file>

<file path=xl/ctrlProps/ctrlProp1513.xml><?xml version="1.0" encoding="utf-8"?>
<formControlPr xmlns="http://schemas.microsoft.com/office/spreadsheetml/2009/9/main" objectType="CheckBox" lockText="1" noThreeD="1"/>
</file>

<file path=xl/ctrlProps/ctrlProp1514.xml><?xml version="1.0" encoding="utf-8"?>
<formControlPr xmlns="http://schemas.microsoft.com/office/spreadsheetml/2009/9/main" objectType="CheckBox" lockText="1" noThreeD="1"/>
</file>

<file path=xl/ctrlProps/ctrlProp1515.xml><?xml version="1.0" encoding="utf-8"?>
<formControlPr xmlns="http://schemas.microsoft.com/office/spreadsheetml/2009/9/main" objectType="CheckBox" checked="Checked" lockText="1" noThreeD="1"/>
</file>

<file path=xl/ctrlProps/ctrlProp1516.xml><?xml version="1.0" encoding="utf-8"?>
<formControlPr xmlns="http://schemas.microsoft.com/office/spreadsheetml/2009/9/main" objectType="CheckBox" lockText="1" noThreeD="1"/>
</file>

<file path=xl/ctrlProps/ctrlProp1517.xml><?xml version="1.0" encoding="utf-8"?>
<formControlPr xmlns="http://schemas.microsoft.com/office/spreadsheetml/2009/9/main" objectType="CheckBox" lockText="1" noThreeD="1"/>
</file>

<file path=xl/ctrlProps/ctrlProp1518.xml><?xml version="1.0" encoding="utf-8"?>
<formControlPr xmlns="http://schemas.microsoft.com/office/spreadsheetml/2009/9/main" objectType="CheckBox" lockText="1" noThreeD="1"/>
</file>

<file path=xl/ctrlProps/ctrlProp1519.xml><?xml version="1.0" encoding="utf-8"?>
<formControlPr xmlns="http://schemas.microsoft.com/office/spreadsheetml/2009/9/main" objectType="CheckBox" lockText="1" noThreeD="1"/>
</file>

<file path=xl/ctrlProps/ctrlProp1520.xml><?xml version="1.0" encoding="utf-8"?>
<formControlPr xmlns="http://schemas.microsoft.com/office/spreadsheetml/2009/9/main" objectType="CheckBox" lockText="1" noThreeD="1"/>
</file>

<file path=xl/ctrlProps/ctrlProp1521.xml><?xml version="1.0" encoding="utf-8"?>
<formControlPr xmlns="http://schemas.microsoft.com/office/spreadsheetml/2009/9/main" objectType="CheckBox" lockText="1" noThreeD="1"/>
</file>

<file path=xl/ctrlProps/ctrlProp1522.xml><?xml version="1.0" encoding="utf-8"?>
<formControlPr xmlns="http://schemas.microsoft.com/office/spreadsheetml/2009/9/main" objectType="CheckBox" lockText="1" noThreeD="1"/>
</file>

<file path=xl/ctrlProps/ctrlProp1523.xml><?xml version="1.0" encoding="utf-8"?>
<formControlPr xmlns="http://schemas.microsoft.com/office/spreadsheetml/2009/9/main" objectType="CheckBox" lockText="1" noThreeD="1"/>
</file>

<file path=xl/ctrlProps/ctrlProp1524.xml><?xml version="1.0" encoding="utf-8"?>
<formControlPr xmlns="http://schemas.microsoft.com/office/spreadsheetml/2009/9/main" objectType="CheckBox" checked="Checked" lockText="1" noThreeD="1"/>
</file>

<file path=xl/ctrlProps/ctrlProp1525.xml><?xml version="1.0" encoding="utf-8"?>
<formControlPr xmlns="http://schemas.microsoft.com/office/spreadsheetml/2009/9/main" objectType="CheckBox" lockText="1" noThreeD="1"/>
</file>

<file path=xl/ctrlProps/ctrlProp1526.xml><?xml version="1.0" encoding="utf-8"?>
<formControlPr xmlns="http://schemas.microsoft.com/office/spreadsheetml/2009/9/main" objectType="CheckBox" lockText="1" noThreeD="1"/>
</file>

<file path=xl/ctrlProps/ctrlProp1527.xml><?xml version="1.0" encoding="utf-8"?>
<formControlPr xmlns="http://schemas.microsoft.com/office/spreadsheetml/2009/9/main" objectType="CheckBox" lockText="1" noThreeD="1"/>
</file>

<file path=xl/ctrlProps/ctrlProp1528.xml><?xml version="1.0" encoding="utf-8"?>
<formControlPr xmlns="http://schemas.microsoft.com/office/spreadsheetml/2009/9/main" objectType="CheckBox" lockText="1" noThreeD="1"/>
</file>

<file path=xl/ctrlProps/ctrlProp1529.xml><?xml version="1.0" encoding="utf-8"?>
<formControlPr xmlns="http://schemas.microsoft.com/office/spreadsheetml/2009/9/main" objectType="CheckBox" lockText="1" noThreeD="1"/>
</file>

<file path=xl/ctrlProps/ctrlProp1530.xml><?xml version="1.0" encoding="utf-8"?>
<formControlPr xmlns="http://schemas.microsoft.com/office/spreadsheetml/2009/9/main" objectType="CheckBox" lockText="1" noThreeD="1"/>
</file>

<file path=xl/ctrlProps/ctrlProp1531.xml><?xml version="1.0" encoding="utf-8"?>
<formControlPr xmlns="http://schemas.microsoft.com/office/spreadsheetml/2009/9/main" objectType="CheckBox" lockText="1" noThreeD="1"/>
</file>

<file path=xl/ctrlProps/ctrlProp1532.xml><?xml version="1.0" encoding="utf-8"?>
<formControlPr xmlns="http://schemas.microsoft.com/office/spreadsheetml/2009/9/main" objectType="CheckBox" lockText="1" noThreeD="1"/>
</file>

<file path=xl/ctrlProps/ctrlProp1533.xml><?xml version="1.0" encoding="utf-8"?>
<formControlPr xmlns="http://schemas.microsoft.com/office/spreadsheetml/2009/9/main" objectType="CheckBox" lockText="1" noThreeD="1"/>
</file>

<file path=xl/ctrlProps/ctrlProp1534.xml><?xml version="1.0" encoding="utf-8"?>
<formControlPr xmlns="http://schemas.microsoft.com/office/spreadsheetml/2009/9/main" objectType="CheckBox" lockText="1" noThreeD="1"/>
</file>

<file path=xl/ctrlProps/ctrlProp1535.xml><?xml version="1.0" encoding="utf-8"?>
<formControlPr xmlns="http://schemas.microsoft.com/office/spreadsheetml/2009/9/main" objectType="CheckBox" lockText="1" noThreeD="1"/>
</file>

<file path=xl/ctrlProps/ctrlProp1536.xml><?xml version="1.0" encoding="utf-8"?>
<formControlPr xmlns="http://schemas.microsoft.com/office/spreadsheetml/2009/9/main" objectType="CheckBox" lockText="1" noThreeD="1"/>
</file>

<file path=xl/ctrlProps/ctrlProp1537.xml><?xml version="1.0" encoding="utf-8"?>
<formControlPr xmlns="http://schemas.microsoft.com/office/spreadsheetml/2009/9/main" objectType="CheckBox" lockText="1" noThreeD="1"/>
</file>

<file path=xl/ctrlProps/ctrlProp1538.xml><?xml version="1.0" encoding="utf-8"?>
<formControlPr xmlns="http://schemas.microsoft.com/office/spreadsheetml/2009/9/main" objectType="CheckBox" lockText="1" noThreeD="1"/>
</file>

<file path=xl/ctrlProps/ctrlProp1539.xml><?xml version="1.0" encoding="utf-8"?>
<formControlPr xmlns="http://schemas.microsoft.com/office/spreadsheetml/2009/9/main" objectType="CheckBox" lockText="1" noThreeD="1"/>
</file>

<file path=xl/ctrlProps/ctrlProp1540.xml><?xml version="1.0" encoding="utf-8"?>
<formControlPr xmlns="http://schemas.microsoft.com/office/spreadsheetml/2009/9/main" objectType="CheckBox" lockText="1" noThreeD="1"/>
</file>

<file path=xl/ctrlProps/ctrlProp1541.xml><?xml version="1.0" encoding="utf-8"?>
<formControlPr xmlns="http://schemas.microsoft.com/office/spreadsheetml/2009/9/main" objectType="CheckBox" lockText="1" noThreeD="1"/>
</file>

<file path=xl/ctrlProps/ctrlProp1542.xml><?xml version="1.0" encoding="utf-8"?>
<formControlPr xmlns="http://schemas.microsoft.com/office/spreadsheetml/2009/9/main" objectType="CheckBox" lockText="1" noThreeD="1"/>
</file>

<file path=xl/ctrlProps/ctrlProp1543.xml><?xml version="1.0" encoding="utf-8"?>
<formControlPr xmlns="http://schemas.microsoft.com/office/spreadsheetml/2009/9/main" objectType="CheckBox" lockText="1" noThreeD="1"/>
</file>

<file path=xl/ctrlProps/ctrlProp1544.xml><?xml version="1.0" encoding="utf-8"?>
<formControlPr xmlns="http://schemas.microsoft.com/office/spreadsheetml/2009/9/main" objectType="CheckBox" lockText="1" noThreeD="1"/>
</file>

<file path=xl/ctrlProps/ctrlProp1545.xml><?xml version="1.0" encoding="utf-8"?>
<formControlPr xmlns="http://schemas.microsoft.com/office/spreadsheetml/2009/9/main" objectType="CheckBox" lockText="1" noThreeD="1"/>
</file>

<file path=xl/ctrlProps/ctrlProp1546.xml><?xml version="1.0" encoding="utf-8"?>
<formControlPr xmlns="http://schemas.microsoft.com/office/spreadsheetml/2009/9/main" objectType="CheckBox" lockText="1" noThreeD="1"/>
</file>

<file path=xl/ctrlProps/ctrlProp1547.xml><?xml version="1.0" encoding="utf-8"?>
<formControlPr xmlns="http://schemas.microsoft.com/office/spreadsheetml/2009/9/main" objectType="CheckBox" lockText="1" noThreeD="1"/>
</file>

<file path=xl/ctrlProps/ctrlProp1548.xml><?xml version="1.0" encoding="utf-8"?>
<formControlPr xmlns="http://schemas.microsoft.com/office/spreadsheetml/2009/9/main" objectType="CheckBox" lockText="1" noThreeD="1"/>
</file>

<file path=xl/ctrlProps/ctrlProp1549.xml><?xml version="1.0" encoding="utf-8"?>
<formControlPr xmlns="http://schemas.microsoft.com/office/spreadsheetml/2009/9/main" objectType="CheckBox" lockText="1" noThreeD="1"/>
</file>

<file path=xl/ctrlProps/ctrlProp1550.xml><?xml version="1.0" encoding="utf-8"?>
<formControlPr xmlns="http://schemas.microsoft.com/office/spreadsheetml/2009/9/main" objectType="CheckBox" lockText="1" noThreeD="1"/>
</file>

<file path=xl/ctrlProps/ctrlProp1551.xml><?xml version="1.0" encoding="utf-8"?>
<formControlPr xmlns="http://schemas.microsoft.com/office/spreadsheetml/2009/9/main" objectType="CheckBox" lockText="1" noThreeD="1"/>
</file>

<file path=xl/ctrlProps/ctrlProp1552.xml><?xml version="1.0" encoding="utf-8"?>
<formControlPr xmlns="http://schemas.microsoft.com/office/spreadsheetml/2009/9/main" objectType="CheckBox" lockText="1" noThreeD="1"/>
</file>

<file path=xl/ctrlProps/ctrlProp1553.xml><?xml version="1.0" encoding="utf-8"?>
<formControlPr xmlns="http://schemas.microsoft.com/office/spreadsheetml/2009/9/main" objectType="CheckBox" lockText="1" noThreeD="1"/>
</file>

<file path=xl/ctrlProps/ctrlProp1554.xml><?xml version="1.0" encoding="utf-8"?>
<formControlPr xmlns="http://schemas.microsoft.com/office/spreadsheetml/2009/9/main" objectType="CheckBox" lockText="1" noThreeD="1"/>
</file>

<file path=xl/ctrlProps/ctrlProp1555.xml><?xml version="1.0" encoding="utf-8"?>
<formControlPr xmlns="http://schemas.microsoft.com/office/spreadsheetml/2009/9/main" objectType="CheckBox" lockText="1" noThreeD="1"/>
</file>

<file path=xl/ctrlProps/ctrlProp1556.xml><?xml version="1.0" encoding="utf-8"?>
<formControlPr xmlns="http://schemas.microsoft.com/office/spreadsheetml/2009/9/main" objectType="CheckBox" lockText="1" noThreeD="1"/>
</file>

<file path=xl/ctrlProps/ctrlProp1557.xml><?xml version="1.0" encoding="utf-8"?>
<formControlPr xmlns="http://schemas.microsoft.com/office/spreadsheetml/2009/9/main" objectType="CheckBox" lockText="1" noThreeD="1"/>
</file>

<file path=xl/ctrlProps/ctrlProp1558.xml><?xml version="1.0" encoding="utf-8"?>
<formControlPr xmlns="http://schemas.microsoft.com/office/spreadsheetml/2009/9/main" objectType="CheckBox" lockText="1" noThreeD="1"/>
</file>

<file path=xl/ctrlProps/ctrlProp1559.xml><?xml version="1.0" encoding="utf-8"?>
<formControlPr xmlns="http://schemas.microsoft.com/office/spreadsheetml/2009/9/main" objectType="CheckBox" lockText="1" noThreeD="1"/>
</file>

<file path=xl/ctrlProps/ctrlProp1560.xml><?xml version="1.0" encoding="utf-8"?>
<formControlPr xmlns="http://schemas.microsoft.com/office/spreadsheetml/2009/9/main" objectType="CheckBox" lockText="1" noThreeD="1"/>
</file>

<file path=xl/ctrlProps/ctrlProp1561.xml><?xml version="1.0" encoding="utf-8"?>
<formControlPr xmlns="http://schemas.microsoft.com/office/spreadsheetml/2009/9/main" objectType="CheckBox" lockText="1" noThreeD="1"/>
</file>

<file path=xl/ctrlProps/ctrlProp1562.xml><?xml version="1.0" encoding="utf-8"?>
<formControlPr xmlns="http://schemas.microsoft.com/office/spreadsheetml/2009/9/main" objectType="CheckBox" checked="Checked" lockText="1" noThreeD="1"/>
</file>

<file path=xl/ctrlProps/ctrlProp1563.xml><?xml version="1.0" encoding="utf-8"?>
<formControlPr xmlns="http://schemas.microsoft.com/office/spreadsheetml/2009/9/main" objectType="CheckBox" lockText="1" noThreeD="1"/>
</file>

<file path=xl/ctrlProps/ctrlProp1564.xml><?xml version="1.0" encoding="utf-8"?>
<formControlPr xmlns="http://schemas.microsoft.com/office/spreadsheetml/2009/9/main" objectType="CheckBox" lockText="1" noThreeD="1"/>
</file>

<file path=xl/ctrlProps/ctrlProp1565.xml><?xml version="1.0" encoding="utf-8"?>
<formControlPr xmlns="http://schemas.microsoft.com/office/spreadsheetml/2009/9/main" objectType="CheckBox" lockText="1" noThreeD="1"/>
</file>

<file path=xl/ctrlProps/ctrlProp1566.xml><?xml version="1.0" encoding="utf-8"?>
<formControlPr xmlns="http://schemas.microsoft.com/office/spreadsheetml/2009/9/main" objectType="CheckBox" lockText="1" noThreeD="1"/>
</file>

<file path=xl/ctrlProps/ctrlProp1567.xml><?xml version="1.0" encoding="utf-8"?>
<formControlPr xmlns="http://schemas.microsoft.com/office/spreadsheetml/2009/9/main" objectType="CheckBox" lockText="1" noThreeD="1"/>
</file>

<file path=xl/ctrlProps/ctrlProp1568.xml><?xml version="1.0" encoding="utf-8"?>
<formControlPr xmlns="http://schemas.microsoft.com/office/spreadsheetml/2009/9/main" objectType="CheckBox" checked="Checked" lockText="1" noThreeD="1"/>
</file>

<file path=xl/ctrlProps/ctrlProp1569.xml><?xml version="1.0" encoding="utf-8"?>
<formControlPr xmlns="http://schemas.microsoft.com/office/spreadsheetml/2009/9/main" objectType="CheckBox" lockText="1" noThreeD="1"/>
</file>

<file path=xl/ctrlProps/ctrlProp1570.xml><?xml version="1.0" encoding="utf-8"?>
<formControlPr xmlns="http://schemas.microsoft.com/office/spreadsheetml/2009/9/main" objectType="CheckBox" lockText="1" noThreeD="1"/>
</file>

<file path=xl/ctrlProps/ctrlProp1571.xml><?xml version="1.0" encoding="utf-8"?>
<formControlPr xmlns="http://schemas.microsoft.com/office/spreadsheetml/2009/9/main" objectType="CheckBox" lockText="1" noThreeD="1"/>
</file>

<file path=xl/ctrlProps/ctrlProp1572.xml><?xml version="1.0" encoding="utf-8"?>
<formControlPr xmlns="http://schemas.microsoft.com/office/spreadsheetml/2009/9/main" objectType="CheckBox" lockText="1" noThreeD="1"/>
</file>

<file path=xl/ctrlProps/ctrlProp1573.xml><?xml version="1.0" encoding="utf-8"?>
<formControlPr xmlns="http://schemas.microsoft.com/office/spreadsheetml/2009/9/main" objectType="CheckBox" lockText="1" noThreeD="1"/>
</file>

<file path=xl/ctrlProps/ctrlProp1574.xml><?xml version="1.0" encoding="utf-8"?>
<formControlPr xmlns="http://schemas.microsoft.com/office/spreadsheetml/2009/9/main" objectType="CheckBox" checked="Checked" lockText="1" noThreeD="1"/>
</file>

<file path=xl/ctrlProps/ctrlProp1575.xml><?xml version="1.0" encoding="utf-8"?>
<formControlPr xmlns="http://schemas.microsoft.com/office/spreadsheetml/2009/9/main" objectType="CheckBox" lockText="1" noThreeD="1"/>
</file>

<file path=xl/ctrlProps/ctrlProp1576.xml><?xml version="1.0" encoding="utf-8"?>
<formControlPr xmlns="http://schemas.microsoft.com/office/spreadsheetml/2009/9/main" objectType="CheckBox" lockText="1" noThreeD="1"/>
</file>

<file path=xl/ctrlProps/ctrlProp1577.xml><?xml version="1.0" encoding="utf-8"?>
<formControlPr xmlns="http://schemas.microsoft.com/office/spreadsheetml/2009/9/main" objectType="CheckBox" lockText="1" noThreeD="1"/>
</file>

<file path=xl/ctrlProps/ctrlProp1578.xml><?xml version="1.0" encoding="utf-8"?>
<formControlPr xmlns="http://schemas.microsoft.com/office/spreadsheetml/2009/9/main" objectType="CheckBox" lockText="1" noThreeD="1"/>
</file>

<file path=xl/ctrlProps/ctrlProp1579.xml><?xml version="1.0" encoding="utf-8"?>
<formControlPr xmlns="http://schemas.microsoft.com/office/spreadsheetml/2009/9/main" objectType="CheckBox" lockText="1" noThreeD="1"/>
</file>

<file path=xl/ctrlProps/ctrlProp1580.xml><?xml version="1.0" encoding="utf-8"?>
<formControlPr xmlns="http://schemas.microsoft.com/office/spreadsheetml/2009/9/main" objectType="CheckBox" lockText="1" noThreeD="1"/>
</file>

<file path=xl/ctrlProps/ctrlProp1581.xml><?xml version="1.0" encoding="utf-8"?>
<formControlPr xmlns="http://schemas.microsoft.com/office/spreadsheetml/2009/9/main" objectType="CheckBox" lockText="1" noThreeD="1"/>
</file>

<file path=xl/ctrlProps/ctrlProp1582.xml><?xml version="1.0" encoding="utf-8"?>
<formControlPr xmlns="http://schemas.microsoft.com/office/spreadsheetml/2009/9/main" objectType="CheckBox" lockText="1" noThreeD="1"/>
</file>

<file path=xl/ctrlProps/ctrlProp1583.xml><?xml version="1.0" encoding="utf-8"?>
<formControlPr xmlns="http://schemas.microsoft.com/office/spreadsheetml/2009/9/main" objectType="CheckBox" lockText="1" noThreeD="1"/>
</file>

<file path=xl/ctrlProps/ctrlProp1584.xml><?xml version="1.0" encoding="utf-8"?>
<formControlPr xmlns="http://schemas.microsoft.com/office/spreadsheetml/2009/9/main" objectType="CheckBox" lockText="1" noThreeD="1"/>
</file>

<file path=xl/ctrlProps/ctrlProp1585.xml><?xml version="1.0" encoding="utf-8"?>
<formControlPr xmlns="http://schemas.microsoft.com/office/spreadsheetml/2009/9/main" objectType="CheckBox" lockText="1" noThreeD="1"/>
</file>

<file path=xl/ctrlProps/ctrlProp1586.xml><?xml version="1.0" encoding="utf-8"?>
<formControlPr xmlns="http://schemas.microsoft.com/office/spreadsheetml/2009/9/main" objectType="CheckBox" lockText="1" noThreeD="1"/>
</file>

<file path=xl/ctrlProps/ctrlProp1587.xml><?xml version="1.0" encoding="utf-8"?>
<formControlPr xmlns="http://schemas.microsoft.com/office/spreadsheetml/2009/9/main" objectType="CheckBox" lockText="1" noThreeD="1"/>
</file>

<file path=xl/ctrlProps/ctrlProp1588.xml><?xml version="1.0" encoding="utf-8"?>
<formControlPr xmlns="http://schemas.microsoft.com/office/spreadsheetml/2009/9/main" objectType="CheckBox" lockText="1" noThreeD="1"/>
</file>

<file path=xl/ctrlProps/ctrlProp1589.xml><?xml version="1.0" encoding="utf-8"?>
<formControlPr xmlns="http://schemas.microsoft.com/office/spreadsheetml/2009/9/main" objectType="CheckBox" lockText="1" noThreeD="1"/>
</file>

<file path=xl/ctrlProps/ctrlProp1590.xml><?xml version="1.0" encoding="utf-8"?>
<formControlPr xmlns="http://schemas.microsoft.com/office/spreadsheetml/2009/9/main" objectType="CheckBox" lockText="1" noThreeD="1"/>
</file>

<file path=xl/ctrlProps/ctrlProp1591.xml><?xml version="1.0" encoding="utf-8"?>
<formControlPr xmlns="http://schemas.microsoft.com/office/spreadsheetml/2009/9/main" objectType="CheckBox" lockText="1" noThreeD="1"/>
</file>

<file path=xl/ctrlProps/ctrlProp1592.xml><?xml version="1.0" encoding="utf-8"?>
<formControlPr xmlns="http://schemas.microsoft.com/office/spreadsheetml/2009/9/main" objectType="CheckBox" lockText="1" noThreeD="1"/>
</file>

<file path=xl/ctrlProps/ctrlProp1593.xml><?xml version="1.0" encoding="utf-8"?>
<formControlPr xmlns="http://schemas.microsoft.com/office/spreadsheetml/2009/9/main" objectType="CheckBox" lockText="1" noThreeD="1"/>
</file>

<file path=xl/ctrlProps/ctrlProp1594.xml><?xml version="1.0" encoding="utf-8"?>
<formControlPr xmlns="http://schemas.microsoft.com/office/spreadsheetml/2009/9/main" objectType="CheckBox" lockText="1" noThreeD="1"/>
</file>

<file path=xl/ctrlProps/ctrlProp1595.xml><?xml version="1.0" encoding="utf-8"?>
<formControlPr xmlns="http://schemas.microsoft.com/office/spreadsheetml/2009/9/main" objectType="CheckBox" lockText="1" noThreeD="1"/>
</file>

<file path=xl/ctrlProps/ctrlProp1596.xml><?xml version="1.0" encoding="utf-8"?>
<formControlPr xmlns="http://schemas.microsoft.com/office/spreadsheetml/2009/9/main" objectType="CheckBox" lockText="1" noThreeD="1"/>
</file>

<file path=xl/ctrlProps/ctrlProp1597.xml><?xml version="1.0" encoding="utf-8"?>
<formControlPr xmlns="http://schemas.microsoft.com/office/spreadsheetml/2009/9/main" objectType="CheckBox" lockText="1" noThreeD="1"/>
</file>

<file path=xl/ctrlProps/ctrlProp1598.xml><?xml version="1.0" encoding="utf-8"?>
<formControlPr xmlns="http://schemas.microsoft.com/office/spreadsheetml/2009/9/main" objectType="CheckBox" lockText="1" noThreeD="1"/>
</file>

<file path=xl/ctrlProps/ctrlProp1599.xml><?xml version="1.0" encoding="utf-8"?>
<formControlPr xmlns="http://schemas.microsoft.com/office/spreadsheetml/2009/9/main" objectType="CheckBox" lockText="1" noThreeD="1"/>
</file>

<file path=xl/ctrlProps/ctrlProp1600.xml><?xml version="1.0" encoding="utf-8"?>
<formControlPr xmlns="http://schemas.microsoft.com/office/spreadsheetml/2009/9/main" objectType="CheckBox" checked="Checked" lockText="1" noThreeD="1"/>
</file>

<file path=xl/ctrlProps/ctrlProp1601.xml><?xml version="1.0" encoding="utf-8"?>
<formControlPr xmlns="http://schemas.microsoft.com/office/spreadsheetml/2009/9/main" objectType="CheckBox" checked="Checked" lockText="1" noThreeD="1"/>
</file>

<file path=xl/ctrlProps/ctrlProp1602.xml><?xml version="1.0" encoding="utf-8"?>
<formControlPr xmlns="http://schemas.microsoft.com/office/spreadsheetml/2009/9/main" objectType="CheckBox" checked="Checked" lockText="1" noThreeD="1"/>
</file>

<file path=xl/ctrlProps/ctrlProp1603.xml><?xml version="1.0" encoding="utf-8"?>
<formControlPr xmlns="http://schemas.microsoft.com/office/spreadsheetml/2009/9/main" objectType="CheckBox" checked="Checked" lockText="1" noThreeD="1"/>
</file>

<file path=xl/ctrlProps/ctrlProp1604.xml><?xml version="1.0" encoding="utf-8"?>
<formControlPr xmlns="http://schemas.microsoft.com/office/spreadsheetml/2009/9/main" objectType="CheckBox" checked="Checked" lockText="1" noThreeD="1"/>
</file>

<file path=xl/ctrlProps/ctrlProp1605.xml><?xml version="1.0" encoding="utf-8"?>
<formControlPr xmlns="http://schemas.microsoft.com/office/spreadsheetml/2009/9/main" objectType="CheckBox" checked="Checked" lockText="1" noThreeD="1"/>
</file>

<file path=xl/ctrlProps/ctrlProp1606.xml><?xml version="1.0" encoding="utf-8"?>
<formControlPr xmlns="http://schemas.microsoft.com/office/spreadsheetml/2009/9/main" objectType="CheckBox" checked="Checked" lockText="1" noThreeD="1"/>
</file>

<file path=xl/ctrlProps/ctrlProp1607.xml><?xml version="1.0" encoding="utf-8"?>
<formControlPr xmlns="http://schemas.microsoft.com/office/spreadsheetml/2009/9/main" objectType="CheckBox" checked="Checked" lockText="1" noThreeD="1"/>
</file>

<file path=xl/ctrlProps/ctrlProp1608.xml><?xml version="1.0" encoding="utf-8"?>
<formControlPr xmlns="http://schemas.microsoft.com/office/spreadsheetml/2009/9/main" objectType="CheckBox" checked="Checked" lockText="1" noThreeD="1"/>
</file>

<file path=xl/ctrlProps/ctrlProp1609.xml><?xml version="1.0" encoding="utf-8"?>
<formControlPr xmlns="http://schemas.microsoft.com/office/spreadsheetml/2009/9/main" objectType="CheckBox" checked="Checked" lockText="1" noThreeD="1"/>
</file>

<file path=xl/ctrlProps/ctrlProp1610.xml><?xml version="1.0" encoding="utf-8"?>
<formControlPr xmlns="http://schemas.microsoft.com/office/spreadsheetml/2009/9/main" objectType="CheckBox" checked="Checked" lockText="1" noThreeD="1"/>
</file>

<file path=xl/ctrlProps/ctrlProp1611.xml><?xml version="1.0" encoding="utf-8"?>
<formControlPr xmlns="http://schemas.microsoft.com/office/spreadsheetml/2009/9/main" objectType="CheckBox" checked="Checked" lockText="1" noThreeD="1"/>
</file>

<file path=xl/ctrlProps/ctrlProp1612.xml><?xml version="1.0" encoding="utf-8"?>
<formControlPr xmlns="http://schemas.microsoft.com/office/spreadsheetml/2009/9/main" objectType="CheckBox" lockText="1" noThreeD="1"/>
</file>

<file path=xl/ctrlProps/ctrlProp1613.xml><?xml version="1.0" encoding="utf-8"?>
<formControlPr xmlns="http://schemas.microsoft.com/office/spreadsheetml/2009/9/main" objectType="CheckBox" lockText="1" noThreeD="1"/>
</file>

<file path=xl/ctrlProps/ctrlProp1614.xml><?xml version="1.0" encoding="utf-8"?>
<formControlPr xmlns="http://schemas.microsoft.com/office/spreadsheetml/2009/9/main" objectType="CheckBox" lockText="1" noThreeD="1"/>
</file>

<file path=xl/ctrlProps/ctrlProp1615.xml><?xml version="1.0" encoding="utf-8"?>
<formControlPr xmlns="http://schemas.microsoft.com/office/spreadsheetml/2009/9/main" objectType="CheckBox" lockText="1" noThreeD="1"/>
</file>

<file path=xl/ctrlProps/ctrlProp1616.xml><?xml version="1.0" encoding="utf-8"?>
<formControlPr xmlns="http://schemas.microsoft.com/office/spreadsheetml/2009/9/main" objectType="CheckBox" lockText="1" noThreeD="1"/>
</file>

<file path=xl/ctrlProps/ctrlProp1617.xml><?xml version="1.0" encoding="utf-8"?>
<formControlPr xmlns="http://schemas.microsoft.com/office/spreadsheetml/2009/9/main" objectType="CheckBox" lockText="1" noThreeD="1"/>
</file>

<file path=xl/ctrlProps/ctrlProp1618.xml><?xml version="1.0" encoding="utf-8"?>
<formControlPr xmlns="http://schemas.microsoft.com/office/spreadsheetml/2009/9/main" objectType="CheckBox" lockText="1" noThreeD="1"/>
</file>

<file path=xl/ctrlProps/ctrlProp1619.xml><?xml version="1.0" encoding="utf-8"?>
<formControlPr xmlns="http://schemas.microsoft.com/office/spreadsheetml/2009/9/main" objectType="CheckBox" checked="Checked" lockText="1" noThreeD="1"/>
</file>

<file path=xl/ctrlProps/ctrlProp1620.xml><?xml version="1.0" encoding="utf-8"?>
<formControlPr xmlns="http://schemas.microsoft.com/office/spreadsheetml/2009/9/main" objectType="CheckBox" checked="Checked" lockText="1" noThreeD="1"/>
</file>

<file path=xl/ctrlProps/ctrlProp1621.xml><?xml version="1.0" encoding="utf-8"?>
<formControlPr xmlns="http://schemas.microsoft.com/office/spreadsheetml/2009/9/main" objectType="CheckBox" checked="Checked" lockText="1" noThreeD="1"/>
</file>

<file path=xl/ctrlProps/ctrlProp1622.xml><?xml version="1.0" encoding="utf-8"?>
<formControlPr xmlns="http://schemas.microsoft.com/office/spreadsheetml/2009/9/main" objectType="CheckBox" checked="Checked" lockText="1" noThreeD="1"/>
</file>

<file path=xl/ctrlProps/ctrlProp1623.xml><?xml version="1.0" encoding="utf-8"?>
<formControlPr xmlns="http://schemas.microsoft.com/office/spreadsheetml/2009/9/main" objectType="CheckBox" lockText="1" noThreeD="1"/>
</file>

<file path=xl/ctrlProps/ctrlProp1624.xml><?xml version="1.0" encoding="utf-8"?>
<formControlPr xmlns="http://schemas.microsoft.com/office/spreadsheetml/2009/9/main" objectType="CheckBox" lockText="1" noThreeD="1"/>
</file>

<file path=xl/ctrlProps/ctrlProp1625.xml><?xml version="1.0" encoding="utf-8"?>
<formControlPr xmlns="http://schemas.microsoft.com/office/spreadsheetml/2009/9/main" objectType="CheckBox" lockText="1" noThreeD="1"/>
</file>

<file path=xl/ctrlProps/ctrlProp1626.xml><?xml version="1.0" encoding="utf-8"?>
<formControlPr xmlns="http://schemas.microsoft.com/office/spreadsheetml/2009/9/main" objectType="CheckBox" lockText="1" noThreeD="1"/>
</file>

<file path=xl/ctrlProps/ctrlProp1627.xml><?xml version="1.0" encoding="utf-8"?>
<formControlPr xmlns="http://schemas.microsoft.com/office/spreadsheetml/2009/9/main" objectType="CheckBox" lockText="1" noThreeD="1"/>
</file>

<file path=xl/ctrlProps/ctrlProp1628.xml><?xml version="1.0" encoding="utf-8"?>
<formControlPr xmlns="http://schemas.microsoft.com/office/spreadsheetml/2009/9/main" objectType="CheckBox" lockText="1" noThreeD="1"/>
</file>

<file path=xl/ctrlProps/ctrlProp1629.xml><?xml version="1.0" encoding="utf-8"?>
<formControlPr xmlns="http://schemas.microsoft.com/office/spreadsheetml/2009/9/main" objectType="CheckBox" lockText="1" noThreeD="1"/>
</file>

<file path=xl/ctrlProps/ctrlProp1630.xml><?xml version="1.0" encoding="utf-8"?>
<formControlPr xmlns="http://schemas.microsoft.com/office/spreadsheetml/2009/9/main" objectType="CheckBox" lockText="1" noThreeD="1"/>
</file>

<file path=xl/ctrlProps/ctrlProp1631.xml><?xml version="1.0" encoding="utf-8"?>
<formControlPr xmlns="http://schemas.microsoft.com/office/spreadsheetml/2009/9/main" objectType="CheckBox" lockText="1" noThreeD="1"/>
</file>

<file path=xl/ctrlProps/ctrlProp1632.xml><?xml version="1.0" encoding="utf-8"?>
<formControlPr xmlns="http://schemas.microsoft.com/office/spreadsheetml/2009/9/main" objectType="CheckBox" lockText="1" noThreeD="1"/>
</file>

<file path=xl/ctrlProps/ctrlProp1633.xml><?xml version="1.0" encoding="utf-8"?>
<formControlPr xmlns="http://schemas.microsoft.com/office/spreadsheetml/2009/9/main" objectType="CheckBox" lockText="1" noThreeD="1"/>
</file>

<file path=xl/ctrlProps/ctrlProp1634.xml><?xml version="1.0" encoding="utf-8"?>
<formControlPr xmlns="http://schemas.microsoft.com/office/spreadsheetml/2009/9/main" objectType="CheckBox" lockText="1" noThreeD="1"/>
</file>

<file path=xl/ctrlProps/ctrlProp1635.xml><?xml version="1.0" encoding="utf-8"?>
<formControlPr xmlns="http://schemas.microsoft.com/office/spreadsheetml/2009/9/main" objectType="CheckBox" lockText="1" noThreeD="1"/>
</file>

<file path=xl/ctrlProps/ctrlProp1636.xml><?xml version="1.0" encoding="utf-8"?>
<formControlPr xmlns="http://schemas.microsoft.com/office/spreadsheetml/2009/9/main" objectType="CheckBox" lockText="1" noThreeD="1"/>
</file>

<file path=xl/ctrlProps/ctrlProp1637.xml><?xml version="1.0" encoding="utf-8"?>
<formControlPr xmlns="http://schemas.microsoft.com/office/spreadsheetml/2009/9/main" objectType="CheckBox" lockText="1" noThreeD="1"/>
</file>

<file path=xl/ctrlProps/ctrlProp1638.xml><?xml version="1.0" encoding="utf-8"?>
<formControlPr xmlns="http://schemas.microsoft.com/office/spreadsheetml/2009/9/main" objectType="CheckBox" lockText="1" noThreeD="1"/>
</file>

<file path=xl/ctrlProps/ctrlProp1639.xml><?xml version="1.0" encoding="utf-8"?>
<formControlPr xmlns="http://schemas.microsoft.com/office/spreadsheetml/2009/9/main" objectType="CheckBox" lockText="1" noThreeD="1"/>
</file>

<file path=xl/ctrlProps/ctrlProp1640.xml><?xml version="1.0" encoding="utf-8"?>
<formControlPr xmlns="http://schemas.microsoft.com/office/spreadsheetml/2009/9/main" objectType="CheckBox" lockText="1" noThreeD="1"/>
</file>

<file path=xl/ctrlProps/ctrlProp1641.xml><?xml version="1.0" encoding="utf-8"?>
<formControlPr xmlns="http://schemas.microsoft.com/office/spreadsheetml/2009/9/main" objectType="CheckBox" lockText="1" noThreeD="1"/>
</file>

<file path=xl/ctrlProps/ctrlProp1642.xml><?xml version="1.0" encoding="utf-8"?>
<formControlPr xmlns="http://schemas.microsoft.com/office/spreadsheetml/2009/9/main" objectType="CheckBox" lockText="1" noThreeD="1"/>
</file>

<file path=xl/ctrlProps/ctrlProp1643.xml><?xml version="1.0" encoding="utf-8"?>
<formControlPr xmlns="http://schemas.microsoft.com/office/spreadsheetml/2009/9/main" objectType="CheckBox" lockText="1" noThreeD="1"/>
</file>

<file path=xl/ctrlProps/ctrlProp1644.xml><?xml version="1.0" encoding="utf-8"?>
<formControlPr xmlns="http://schemas.microsoft.com/office/spreadsheetml/2009/9/main" objectType="CheckBox" lockText="1" noThreeD="1"/>
</file>

<file path=xl/ctrlProps/ctrlProp1645.xml><?xml version="1.0" encoding="utf-8"?>
<formControlPr xmlns="http://schemas.microsoft.com/office/spreadsheetml/2009/9/main" objectType="CheckBox" lockText="1" noThreeD="1"/>
</file>

<file path=xl/ctrlProps/ctrlProp1646.xml><?xml version="1.0" encoding="utf-8"?>
<formControlPr xmlns="http://schemas.microsoft.com/office/spreadsheetml/2009/9/main" objectType="CheckBox" lockText="1" noThreeD="1"/>
</file>

<file path=xl/ctrlProps/ctrlProp1647.xml><?xml version="1.0" encoding="utf-8"?>
<formControlPr xmlns="http://schemas.microsoft.com/office/spreadsheetml/2009/9/main" objectType="CheckBox" lockText="1" noThreeD="1"/>
</file>

<file path=xl/ctrlProps/ctrlProp1648.xml><?xml version="1.0" encoding="utf-8"?>
<formControlPr xmlns="http://schemas.microsoft.com/office/spreadsheetml/2009/9/main" objectType="CheckBox" lockText="1" noThreeD="1"/>
</file>

<file path=xl/ctrlProps/ctrlProp1649.xml><?xml version="1.0" encoding="utf-8"?>
<formControlPr xmlns="http://schemas.microsoft.com/office/spreadsheetml/2009/9/main" objectType="CheckBox" lockText="1" noThreeD="1"/>
</file>

<file path=xl/ctrlProps/ctrlProp1650.xml><?xml version="1.0" encoding="utf-8"?>
<formControlPr xmlns="http://schemas.microsoft.com/office/spreadsheetml/2009/9/main" objectType="CheckBox" lockText="1" noThreeD="1"/>
</file>

<file path=xl/ctrlProps/ctrlProp1651.xml><?xml version="1.0" encoding="utf-8"?>
<formControlPr xmlns="http://schemas.microsoft.com/office/spreadsheetml/2009/9/main" objectType="CheckBox" lockText="1" noThreeD="1"/>
</file>

<file path=xl/ctrlProps/ctrlProp1652.xml><?xml version="1.0" encoding="utf-8"?>
<formControlPr xmlns="http://schemas.microsoft.com/office/spreadsheetml/2009/9/main" objectType="CheckBox" lockText="1" noThreeD="1"/>
</file>

<file path=xl/drawings/_rels/drawing9.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xml"/></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4</xdr:col>
          <xdr:colOff>28575</xdr:colOff>
          <xdr:row>5</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From Request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28575</xdr:colOff>
      <xdr:row>63</xdr:row>
      <xdr:rowOff>0</xdr:rowOff>
    </xdr:from>
    <xdr:to>
      <xdr:col>14</xdr:col>
      <xdr:colOff>28575</xdr:colOff>
      <xdr:row>75</xdr:row>
      <xdr:rowOff>19050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66725" y="13830300"/>
          <a:ext cx="8991600" cy="2419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15 MW/20MWhr Battery Energy Storage System (BESS) -  Cummings Hwy,</a:t>
          </a:r>
          <a:r>
            <a:rPr lang="en-US" sz="1100" b="1" baseline="0"/>
            <a:t> </a:t>
          </a:r>
          <a:r>
            <a:rPr lang="en-US" sz="1100" b="1"/>
            <a:t>Hyde Park SS #496, Boston MA.</a:t>
          </a:r>
        </a:p>
        <a:p>
          <a:pPr eaLnBrk="1" fontAlgn="auto" latinLnBrk="0" hangingPunct="1"/>
          <a:r>
            <a:rPr lang="en-US" sz="1100" b="0" baseline="0">
              <a:solidFill>
                <a:schemeClr val="dk1"/>
              </a:solidFill>
              <a:effectLst/>
              <a:latin typeface="+mn-lt"/>
              <a:ea typeface="+mn-ea"/>
              <a:cs typeface="+mn-cs"/>
            </a:rPr>
            <a:t>Installlation of self contained battery enclosure</a:t>
          </a:r>
          <a:endParaRPr lang="en-US">
            <a:effectLst/>
          </a:endParaRPr>
        </a:p>
        <a:p>
          <a:r>
            <a:rPr lang="en-US" sz="1100">
              <a:solidFill>
                <a:schemeClr val="dk1"/>
              </a:solidFill>
              <a:effectLst/>
              <a:latin typeface="+mn-lt"/>
              <a:ea typeface="+mn-ea"/>
              <a:cs typeface="+mn-cs"/>
            </a:rPr>
            <a:t>Installation of Power Conversion</a:t>
          </a:r>
          <a:r>
            <a:rPr lang="en-US" sz="1100" baseline="0">
              <a:solidFill>
                <a:schemeClr val="dk1"/>
              </a:solidFill>
              <a:effectLst/>
              <a:latin typeface="+mn-lt"/>
              <a:ea typeface="+mn-ea"/>
              <a:cs typeface="+mn-cs"/>
            </a:rPr>
            <a:t> system (PCS) units</a:t>
          </a:r>
          <a:endParaRPr lang="en-US">
            <a:effectLst/>
          </a:endParaRPr>
        </a:p>
        <a:p>
          <a:r>
            <a:rPr lang="en-US" sz="1100" baseline="0">
              <a:solidFill>
                <a:schemeClr val="dk1"/>
              </a:solidFill>
              <a:effectLst/>
              <a:latin typeface="+mn-lt"/>
              <a:ea typeface="+mn-ea"/>
              <a:cs typeface="+mn-cs"/>
            </a:rPr>
            <a:t>Installation of Step up transformers</a:t>
          </a:r>
          <a:endParaRPr lang="en-US">
            <a:effectLst/>
          </a:endParaRPr>
        </a:p>
        <a:p>
          <a:r>
            <a:rPr lang="en-US" sz="1100" baseline="0">
              <a:solidFill>
                <a:schemeClr val="dk1"/>
              </a:solidFill>
              <a:effectLst/>
              <a:latin typeface="+mn-lt"/>
              <a:ea typeface="+mn-ea"/>
              <a:cs typeface="+mn-cs"/>
            </a:rPr>
            <a:t>Installation of MV Switchgear</a:t>
          </a:r>
        </a:p>
        <a:p>
          <a:r>
            <a:rPr lang="en-US" sz="1100" baseline="0">
              <a:solidFill>
                <a:schemeClr val="dk1"/>
              </a:solidFill>
              <a:effectLst/>
              <a:latin typeface="+mn-lt"/>
              <a:ea typeface="+mn-ea"/>
              <a:cs typeface="+mn-cs"/>
            </a:rPr>
            <a:t>Installation of underground ductbank to Manhole connection to grid.</a:t>
          </a:r>
          <a:endParaRPr lang="en-US">
            <a:effectLst/>
          </a:endParaRPr>
        </a:p>
        <a:p>
          <a:r>
            <a:rPr lang="en-US" sz="1100" baseline="0">
              <a:solidFill>
                <a:schemeClr val="dk1"/>
              </a:solidFill>
              <a:effectLst/>
              <a:latin typeface="+mn-lt"/>
              <a:ea typeface="+mn-ea"/>
              <a:cs typeface="+mn-cs"/>
            </a:rPr>
            <a:t>Installation of sound mitigation</a:t>
          </a:r>
          <a:endParaRPr lang="en-US">
            <a:effectLst/>
          </a:endParaRPr>
        </a:p>
        <a:p>
          <a:r>
            <a:rPr lang="en-US" sz="1100" baseline="0">
              <a:solidFill>
                <a:schemeClr val="dk1"/>
              </a:solidFill>
              <a:effectLst/>
              <a:latin typeface="+mn-lt"/>
              <a:ea typeface="+mn-ea"/>
              <a:cs typeface="+mn-cs"/>
            </a:rPr>
            <a:t>Installation of fire suppression systems</a:t>
          </a:r>
          <a:endParaRPr lang="en-US">
            <a:effectLst/>
          </a:endParaRPr>
        </a:p>
        <a:p>
          <a:r>
            <a:rPr lang="en-US" sz="1100" baseline="0">
              <a:solidFill>
                <a:schemeClr val="dk1"/>
              </a:solidFill>
              <a:effectLst/>
              <a:latin typeface="+mn-lt"/>
              <a:ea typeface="+mn-ea"/>
              <a:cs typeface="+mn-cs"/>
            </a:rPr>
            <a:t>Installation of grounding transformer and grounding grid</a:t>
          </a:r>
          <a:endParaRPr lang="en-US">
            <a:effectLst/>
          </a:endParaRPr>
        </a:p>
        <a:p>
          <a:r>
            <a:rPr lang="en-US" sz="1100" baseline="0">
              <a:solidFill>
                <a:schemeClr val="dk1"/>
              </a:solidFill>
              <a:effectLst/>
              <a:latin typeface="+mn-lt"/>
              <a:ea typeface="+mn-ea"/>
              <a:cs typeface="+mn-cs"/>
            </a:rPr>
            <a:t>Site development to incude fencing and lighting</a:t>
          </a:r>
          <a:endParaRPr lang="en-US">
            <a:effectLst/>
          </a:endParaRPr>
        </a:p>
        <a:p>
          <a:endParaRPr lang="en-US" sz="1100" b="0"/>
        </a:p>
      </xdr:txBody>
    </xdr:sp>
    <xdr:clientData/>
  </xdr:twoCellAnchor>
  <xdr:twoCellAnchor>
    <xdr:from>
      <xdr:col>2</xdr:col>
      <xdr:colOff>47625</xdr:colOff>
      <xdr:row>77</xdr:row>
      <xdr:rowOff>47625</xdr:rowOff>
    </xdr:from>
    <xdr:to>
      <xdr:col>14</xdr:col>
      <xdr:colOff>66675</xdr:colOff>
      <xdr:row>89</xdr:row>
      <xdr:rowOff>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85775" y="16678275"/>
          <a:ext cx="9010650" cy="2352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Updated PAF to 2024.</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ISD is 4/23/2027 based on schedule</a:t>
          </a:r>
          <a:r>
            <a:rPr lang="en-US" sz="1100" baseline="0">
              <a:solidFill>
                <a:schemeClr val="dk1"/>
              </a:solidFill>
              <a:effectLst/>
              <a:latin typeface="+mn-lt"/>
              <a:ea typeface="+mn-ea"/>
              <a:cs typeface="+mn-cs"/>
            </a:rPr>
            <a:t> provided by PMT.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Prior costs for WO# 80089926 are included as of 12/31/2023.</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Location is Eversource property, footprint of BESS property will not impede furture projects on this site.</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u="none" strike="noStrike">
              <a:solidFill>
                <a:schemeClr val="dk1"/>
              </a:solidFill>
              <a:effectLst/>
              <a:latin typeface="+mn-lt"/>
              <a:ea typeface="+mn-ea"/>
              <a:cs typeface="+mn-cs"/>
            </a:rPr>
            <a:t>Labor and material was taken from company #3 out of the 5 on the BESS indicative pricing sheet, dated 7/28/2023, provided by</a:t>
          </a:r>
          <a:r>
            <a:rPr lang="en-US" sz="1100" b="0" i="0" u="none" strike="noStrike" baseline="0">
              <a:solidFill>
                <a:schemeClr val="dk1"/>
              </a:solidFill>
              <a:effectLst/>
              <a:latin typeface="+mn-lt"/>
              <a:ea typeface="+mn-ea"/>
              <a:cs typeface="+mn-cs"/>
            </a:rPr>
            <a:t> PMT.</a:t>
          </a:r>
          <a:r>
            <a:rPr lang="en-US"/>
            <a:t> </a:t>
          </a:r>
        </a:p>
        <a:p>
          <a:pPr marL="0" marR="0" lvl="0" indent="0" defTabSz="914400" eaLnBrk="1" fontAlgn="auto" latinLnBrk="0" hangingPunct="1">
            <a:lnSpc>
              <a:spcPct val="100000"/>
            </a:lnSpc>
            <a:spcBef>
              <a:spcPts val="0"/>
            </a:spcBef>
            <a:spcAft>
              <a:spcPts val="0"/>
            </a:spcAft>
            <a:buClrTx/>
            <a:buSzTx/>
            <a:buFontTx/>
            <a:buNone/>
            <a:tabLst/>
            <a:defRPr/>
          </a:pPr>
          <a:r>
            <a:rPr lang="en-US">
              <a:effectLst/>
            </a:rPr>
            <a:t>Spot</a:t>
          </a:r>
          <a:r>
            <a:rPr lang="en-US" baseline="0">
              <a:effectLst/>
            </a:rPr>
            <a:t> generation in two locations for load loss during construction.</a:t>
          </a:r>
          <a:endParaRPr lang="en-US">
            <a:effectLst/>
          </a:endParaRPr>
        </a:p>
        <a:p>
          <a:r>
            <a:rPr lang="en-US" sz="1100">
              <a:solidFill>
                <a:schemeClr val="dk1"/>
              </a:solidFill>
              <a:effectLst/>
              <a:latin typeface="+mn-lt"/>
              <a:ea typeface="+mn-ea"/>
              <a:cs typeface="+mn-cs"/>
            </a:rPr>
            <a:t>Construction to be </a:t>
          </a:r>
          <a:r>
            <a:rPr lang="en-US" sz="1100" baseline="0">
              <a:solidFill>
                <a:schemeClr val="dk1"/>
              </a:solidFill>
              <a:effectLst/>
              <a:latin typeface="+mn-lt"/>
              <a:ea typeface="+mn-ea"/>
              <a:cs typeface="+mn-cs"/>
            </a:rPr>
            <a:t>external vendor.</a:t>
          </a:r>
          <a:endParaRPr lang="en-US">
            <a:effectLst/>
          </a:endParaRPr>
        </a:p>
        <a:p>
          <a:r>
            <a:rPr lang="en-US" sz="1100" baseline="0">
              <a:solidFill>
                <a:schemeClr val="dk1"/>
              </a:solidFill>
              <a:effectLst/>
              <a:latin typeface="+mn-lt"/>
              <a:ea typeface="+mn-ea"/>
              <a:cs typeface="+mn-cs"/>
            </a:rPr>
            <a:t>Engineering to be external with internal oversight.</a:t>
          </a:r>
          <a:endParaRPr lang="en-US">
            <a:effectLst/>
          </a:endParaRPr>
        </a:p>
        <a:p>
          <a:r>
            <a:rPr lang="en-US" sz="1100" baseline="0">
              <a:solidFill>
                <a:schemeClr val="dk1"/>
              </a:solidFill>
              <a:effectLst/>
              <a:latin typeface="+mn-lt"/>
              <a:ea typeface="+mn-ea"/>
              <a:cs typeface="+mn-cs"/>
            </a:rPr>
            <a:t>Initial testing and commisioning will be by external vendor.</a:t>
          </a:r>
          <a:endParaRPr lang="en-US">
            <a:effectLst/>
          </a:endParaRPr>
        </a:p>
        <a:p>
          <a:r>
            <a:rPr lang="en-US" sz="1100" baseline="0">
              <a:solidFill>
                <a:schemeClr val="dk1"/>
              </a:solidFill>
              <a:effectLst/>
              <a:latin typeface="+mn-lt"/>
              <a:ea typeface="+mn-ea"/>
              <a:cs typeface="+mn-cs"/>
            </a:rPr>
            <a:t>Initial training by external vendor</a:t>
          </a:r>
          <a:endParaRPr lang="en-US">
            <a:effectLst/>
          </a:endParaRPr>
        </a:p>
        <a:p>
          <a:r>
            <a:rPr lang="en-US" sz="1100" baseline="0">
              <a:solidFill>
                <a:schemeClr val="dk1"/>
              </a:solidFill>
              <a:effectLst/>
              <a:latin typeface="+mn-lt"/>
              <a:ea typeface="+mn-ea"/>
              <a:cs typeface="+mn-cs"/>
            </a:rPr>
            <a:t>Maintenance and upkeep of BESS is not included.</a:t>
          </a:r>
          <a:endParaRPr lang="en-US">
            <a:effectLst/>
          </a:endParaRP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3</xdr:row>
      <xdr:rowOff>0</xdr:rowOff>
    </xdr:from>
    <xdr:to>
      <xdr:col>19</xdr:col>
      <xdr:colOff>381000</xdr:colOff>
      <xdr:row>15</xdr:row>
      <xdr:rowOff>142876</xdr:rowOff>
    </xdr:to>
    <xdr:sp macro="" textlink="">
      <xdr:nvSpPr>
        <xdr:cNvPr id="9" name="Rectangle 8">
          <a:extLst>
            <a:ext uri="{FF2B5EF4-FFF2-40B4-BE49-F238E27FC236}">
              <a16:creationId xmlns:a16="http://schemas.microsoft.com/office/drawing/2014/main" id="{00000000-0008-0000-0800-000009000000}"/>
            </a:ext>
          </a:extLst>
        </xdr:cNvPr>
        <xdr:cNvSpPr/>
      </xdr:nvSpPr>
      <xdr:spPr>
        <a:xfrm>
          <a:off x="12039600" y="590550"/>
          <a:ext cx="3333750" cy="2809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18288" bIns="18288" rtlCol="0" anchor="ctr" anchorCtr="0"/>
        <a:lstStyle/>
        <a:p>
          <a:pPr algn="l"/>
          <a:r>
            <a:rPr lang="en-US" sz="1100"/>
            <a:t>Notes from EPAC Administrators: To copy and</a:t>
          </a:r>
          <a:r>
            <a:rPr lang="en-US" sz="1100" baseline="0"/>
            <a:t> paste this </a:t>
          </a:r>
          <a:r>
            <a:rPr lang="en-US" sz="1100" b="1" u="sng" baseline="0"/>
            <a:t>WBS Project Cost Summary</a:t>
          </a:r>
          <a:r>
            <a:rPr lang="en-US" sz="1100" baseline="0"/>
            <a:t> table into the PAF form, follow these steps:</a:t>
          </a:r>
        </a:p>
        <a:p>
          <a:pPr algn="l"/>
          <a:endParaRPr lang="en-US" sz="1100"/>
        </a:p>
        <a:p>
          <a:pPr marL="228600" indent="-228600" algn="l">
            <a:buFont typeface="+mj-lt"/>
            <a:buAutoNum type="arabicPeriod"/>
          </a:pPr>
          <a:r>
            <a:rPr lang="en-US" sz="1100"/>
            <a:t>Navigate to the worksheet "PAF Summary WBS" in the estimating workbook</a:t>
          </a:r>
          <a:r>
            <a:rPr lang="en-US" sz="1100" baseline="0"/>
            <a:t> (this worksheet)</a:t>
          </a:r>
        </a:p>
        <a:p>
          <a:pPr marL="228600" indent="-228600" algn="l">
            <a:buFont typeface="+mj-lt"/>
            <a:buAutoNum type="arabicPeriod"/>
          </a:pPr>
          <a:r>
            <a:rPr lang="en-US" sz="1100" baseline="0"/>
            <a:t>Select MS Excel cells C5:K28 (the entire table except for the row and column headers)</a:t>
          </a:r>
        </a:p>
        <a:p>
          <a:pPr marL="228600" indent="-228600" algn="l">
            <a:buFont typeface="+mj-lt"/>
            <a:buAutoNum type="arabicPeriod"/>
          </a:pPr>
          <a:r>
            <a:rPr lang="en-US" sz="1100" baseline="0"/>
            <a:t>Click copy in MS Excel</a:t>
          </a:r>
        </a:p>
        <a:p>
          <a:pPr marL="228600" indent="-228600" algn="l">
            <a:buFont typeface="+mj-lt"/>
            <a:buAutoNum type="arabicPeriod"/>
          </a:pPr>
          <a:r>
            <a:rPr lang="en-US" sz="1100" baseline="0"/>
            <a:t>in the MS Word PAF file, navigate to the Project Cost Summary table on page 2</a:t>
          </a:r>
        </a:p>
        <a:p>
          <a:pPr marL="228600" indent="-228600" algn="l">
            <a:buFont typeface="+mj-lt"/>
            <a:buAutoNum type="arabicPeriod"/>
          </a:pPr>
          <a:r>
            <a:rPr lang="en-US" sz="1100" baseline="0"/>
            <a:t>Select all of the "$"s in the table (the entire table except for the row and column headers)</a:t>
          </a:r>
        </a:p>
        <a:p>
          <a:pPr marL="228600" indent="-228600" algn="l">
            <a:buFont typeface="+mj-lt"/>
            <a:buAutoNum type="arabicPeriod"/>
          </a:pPr>
          <a:r>
            <a:rPr lang="en-US" sz="1100" baseline="0"/>
            <a:t>In the MS Word PAF file, click on the down arrow under the Paste button, then click on "Paste Special", then select "Unformatted Text", and then click "OK".</a:t>
          </a:r>
          <a:endParaRPr lang="en-US" sz="1100"/>
        </a:p>
      </xdr:txBody>
    </xdr:sp>
    <xdr:clientData/>
  </xdr:twoCellAnchor>
  <xdr:twoCellAnchor>
    <xdr:from>
      <xdr:col>14</xdr:col>
      <xdr:colOff>0</xdr:colOff>
      <xdr:row>30</xdr:row>
      <xdr:rowOff>0</xdr:rowOff>
    </xdr:from>
    <xdr:to>
      <xdr:col>19</xdr:col>
      <xdr:colOff>381000</xdr:colOff>
      <xdr:row>42</xdr:row>
      <xdr:rowOff>57151</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12039600" y="6838950"/>
          <a:ext cx="3333750" cy="2809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18288" bIns="18288" rtlCol="0" anchor="ctr" anchorCtr="0"/>
        <a:lstStyle/>
        <a:p>
          <a:pPr algn="l"/>
          <a:r>
            <a:rPr lang="en-US" sz="1100"/>
            <a:t>Notes from EPAC Administrators: To copy and</a:t>
          </a:r>
          <a:r>
            <a:rPr lang="en-US" sz="1100" baseline="0"/>
            <a:t> paste this </a:t>
          </a:r>
          <a:r>
            <a:rPr lang="en-US" sz="1100" b="1" u="sng" baseline="0"/>
            <a:t>Breakout Costs</a:t>
          </a:r>
          <a:r>
            <a:rPr lang="en-US" sz="1100" b="1" baseline="0"/>
            <a:t> </a:t>
          </a:r>
          <a:r>
            <a:rPr lang="en-US" sz="1100" baseline="0"/>
            <a:t>table into the PAF form, follow these steps:</a:t>
          </a:r>
        </a:p>
        <a:p>
          <a:pPr algn="l"/>
          <a:endParaRPr lang="en-US" sz="1100"/>
        </a:p>
        <a:p>
          <a:pPr marL="228600" indent="-228600" algn="l">
            <a:buFont typeface="+mj-lt"/>
            <a:buAutoNum type="arabicPeriod"/>
          </a:pPr>
          <a:r>
            <a:rPr lang="en-US" sz="1100"/>
            <a:t>Navigate to the worksheet "PAF Summary WBS" in the estimating workbook</a:t>
          </a:r>
          <a:r>
            <a:rPr lang="en-US" sz="1100" baseline="0"/>
            <a:t> (this worksheet)</a:t>
          </a:r>
        </a:p>
        <a:p>
          <a:pPr marL="228600" indent="-228600" algn="l">
            <a:buFont typeface="+mj-lt"/>
            <a:buAutoNum type="arabicPeriod"/>
          </a:pPr>
          <a:r>
            <a:rPr lang="en-US" sz="1100" baseline="0"/>
            <a:t>Select MS Excel cells C31:K39 (the entire table except for the row and column headers)</a:t>
          </a:r>
        </a:p>
        <a:p>
          <a:pPr marL="228600" indent="-228600" algn="l">
            <a:buFont typeface="+mj-lt"/>
            <a:buAutoNum type="arabicPeriod"/>
          </a:pPr>
          <a:r>
            <a:rPr lang="en-US" sz="1100" baseline="0"/>
            <a:t>Click copy in MS Excel</a:t>
          </a:r>
        </a:p>
        <a:p>
          <a:pPr marL="228600" indent="-228600" algn="l">
            <a:buFont typeface="+mj-lt"/>
            <a:buAutoNum type="arabicPeriod"/>
          </a:pPr>
          <a:r>
            <a:rPr lang="en-US" sz="1100" baseline="0"/>
            <a:t>in the MS Word PAF file, navigate to the Breakout Costs table on page 3</a:t>
          </a:r>
        </a:p>
        <a:p>
          <a:pPr marL="228600" indent="-228600" algn="l">
            <a:buFont typeface="+mj-lt"/>
            <a:buAutoNum type="arabicPeriod"/>
          </a:pPr>
          <a:r>
            <a:rPr lang="en-US" sz="1100" baseline="0"/>
            <a:t>Select all of the "$"s in the table (the entire table except for the row and column headers)</a:t>
          </a:r>
        </a:p>
        <a:p>
          <a:pPr marL="228600" indent="-228600" algn="l">
            <a:buFont typeface="+mj-lt"/>
            <a:buAutoNum type="arabicPeriod"/>
          </a:pPr>
          <a:r>
            <a:rPr lang="en-US" sz="1100" baseline="0"/>
            <a:t>In the MS Word PAF file, click on the down arrow under the Paste button, then click on "Paste Special", then select "Unformatted Text", and then click "OK".</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0</xdr:colOff>
      <xdr:row>3</xdr:row>
      <xdr:rowOff>0</xdr:rowOff>
    </xdr:from>
    <xdr:to>
      <xdr:col>23</xdr:col>
      <xdr:colOff>381000</xdr:colOff>
      <xdr:row>15</xdr:row>
      <xdr:rowOff>142876</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12039600" y="628650"/>
          <a:ext cx="3333750" cy="29051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18288" bIns="18288" rtlCol="0" anchor="ctr" anchorCtr="0"/>
        <a:lstStyle/>
        <a:p>
          <a:pPr algn="l"/>
          <a:r>
            <a:rPr lang="en-US" sz="1100"/>
            <a:t>Notes from EPAC Administrators: To copy and</a:t>
          </a:r>
          <a:r>
            <a:rPr lang="en-US" sz="1100" baseline="0"/>
            <a:t> paste this </a:t>
          </a:r>
          <a:r>
            <a:rPr lang="en-US" sz="1100" b="1" u="sng" baseline="0"/>
            <a:t>WBS Project Cost Summary</a:t>
          </a:r>
          <a:r>
            <a:rPr lang="en-US" sz="1100" baseline="0"/>
            <a:t> table into the PAF form, follow these steps:</a:t>
          </a:r>
        </a:p>
        <a:p>
          <a:pPr algn="l"/>
          <a:endParaRPr lang="en-US" sz="1100"/>
        </a:p>
        <a:p>
          <a:pPr marL="228600" indent="-228600" algn="l">
            <a:buFont typeface="+mj-lt"/>
            <a:buAutoNum type="arabicPeriod"/>
          </a:pPr>
          <a:r>
            <a:rPr lang="en-US" sz="1100"/>
            <a:t>Navigate to the worksheet "PAF Summary WBS" in the estimating workbook</a:t>
          </a:r>
          <a:r>
            <a:rPr lang="en-US" sz="1100" baseline="0"/>
            <a:t> (this worksheet)</a:t>
          </a:r>
        </a:p>
        <a:p>
          <a:pPr marL="228600" indent="-228600" algn="l">
            <a:buFont typeface="+mj-lt"/>
            <a:buAutoNum type="arabicPeriod"/>
          </a:pPr>
          <a:r>
            <a:rPr lang="en-US" sz="1100" baseline="0"/>
            <a:t>Select MS Excel cells C5:K28 (the entire table except for the row and column headers)</a:t>
          </a:r>
        </a:p>
        <a:p>
          <a:pPr marL="228600" indent="-228600" algn="l">
            <a:buFont typeface="+mj-lt"/>
            <a:buAutoNum type="arabicPeriod"/>
          </a:pPr>
          <a:r>
            <a:rPr lang="en-US" sz="1100" baseline="0"/>
            <a:t>Click copy in MS Excel</a:t>
          </a:r>
        </a:p>
        <a:p>
          <a:pPr marL="228600" indent="-228600" algn="l">
            <a:buFont typeface="+mj-lt"/>
            <a:buAutoNum type="arabicPeriod"/>
          </a:pPr>
          <a:r>
            <a:rPr lang="en-US" sz="1100" baseline="0"/>
            <a:t>in the MS Word PAF file, navigate to the Project Cost Summary table on page 2</a:t>
          </a:r>
        </a:p>
        <a:p>
          <a:pPr marL="228600" indent="-228600" algn="l">
            <a:buFont typeface="+mj-lt"/>
            <a:buAutoNum type="arabicPeriod"/>
          </a:pPr>
          <a:r>
            <a:rPr lang="en-US" sz="1100" baseline="0"/>
            <a:t>Select all of the "$"s in the table (the entire table except for the row and column headers)</a:t>
          </a:r>
        </a:p>
        <a:p>
          <a:pPr marL="228600" indent="-228600" algn="l">
            <a:buFont typeface="+mj-lt"/>
            <a:buAutoNum type="arabicPeriod"/>
          </a:pPr>
          <a:r>
            <a:rPr lang="en-US" sz="1100" baseline="0"/>
            <a:t>In the MS Word PAF file, click on the down arrow under the Paste button, then click on "Paste Special", then select "Unformatted Text", and then click "OK".</a:t>
          </a:r>
          <a:endParaRPr lang="en-US" sz="1100"/>
        </a:p>
      </xdr:txBody>
    </xdr:sp>
    <xdr:clientData/>
  </xdr:twoCellAnchor>
  <xdr:twoCellAnchor>
    <xdr:from>
      <xdr:col>18</xdr:col>
      <xdr:colOff>0</xdr:colOff>
      <xdr:row>30</xdr:row>
      <xdr:rowOff>0</xdr:rowOff>
    </xdr:from>
    <xdr:to>
      <xdr:col>23</xdr:col>
      <xdr:colOff>381000</xdr:colOff>
      <xdr:row>42</xdr:row>
      <xdr:rowOff>57151</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a:off x="12039600" y="7086600"/>
          <a:ext cx="3333750" cy="293370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18288" bIns="18288" rtlCol="0" anchor="ctr" anchorCtr="0"/>
        <a:lstStyle/>
        <a:p>
          <a:pPr algn="l"/>
          <a:r>
            <a:rPr lang="en-US" sz="1100"/>
            <a:t>Notes from EPAC Administrators: To copy and</a:t>
          </a:r>
          <a:r>
            <a:rPr lang="en-US" sz="1100" baseline="0"/>
            <a:t> paste this </a:t>
          </a:r>
          <a:r>
            <a:rPr lang="en-US" sz="1100" b="1" u="sng" baseline="0"/>
            <a:t>Breakout Costs</a:t>
          </a:r>
          <a:r>
            <a:rPr lang="en-US" sz="1100" b="1" baseline="0"/>
            <a:t> </a:t>
          </a:r>
          <a:r>
            <a:rPr lang="en-US" sz="1100" baseline="0"/>
            <a:t>table into the PAF form, follow these steps:</a:t>
          </a:r>
        </a:p>
        <a:p>
          <a:pPr algn="l"/>
          <a:endParaRPr lang="en-US" sz="1100"/>
        </a:p>
        <a:p>
          <a:pPr marL="228600" indent="-228600" algn="l">
            <a:buFont typeface="+mj-lt"/>
            <a:buAutoNum type="arabicPeriod"/>
          </a:pPr>
          <a:r>
            <a:rPr lang="en-US" sz="1100"/>
            <a:t>Navigate to the worksheet "PAF Summary WBS" in the estimating workbook</a:t>
          </a:r>
          <a:r>
            <a:rPr lang="en-US" sz="1100" baseline="0"/>
            <a:t> (this worksheet)</a:t>
          </a:r>
        </a:p>
        <a:p>
          <a:pPr marL="228600" indent="-228600" algn="l">
            <a:buFont typeface="+mj-lt"/>
            <a:buAutoNum type="arabicPeriod"/>
          </a:pPr>
          <a:r>
            <a:rPr lang="en-US" sz="1100" baseline="0"/>
            <a:t>Select MS Excel cells C31:K39 (the entire table except for the row and column headers)</a:t>
          </a:r>
        </a:p>
        <a:p>
          <a:pPr marL="228600" indent="-228600" algn="l">
            <a:buFont typeface="+mj-lt"/>
            <a:buAutoNum type="arabicPeriod"/>
          </a:pPr>
          <a:r>
            <a:rPr lang="en-US" sz="1100" baseline="0"/>
            <a:t>Click copy in MS Excel</a:t>
          </a:r>
        </a:p>
        <a:p>
          <a:pPr marL="228600" indent="-228600" algn="l">
            <a:buFont typeface="+mj-lt"/>
            <a:buAutoNum type="arabicPeriod"/>
          </a:pPr>
          <a:r>
            <a:rPr lang="en-US" sz="1100" baseline="0"/>
            <a:t>in the MS Word PAF file, navigate to the Breakout Costs table on page 3</a:t>
          </a:r>
        </a:p>
        <a:p>
          <a:pPr marL="228600" indent="-228600" algn="l">
            <a:buFont typeface="+mj-lt"/>
            <a:buAutoNum type="arabicPeriod"/>
          </a:pPr>
          <a:r>
            <a:rPr lang="en-US" sz="1100" baseline="0"/>
            <a:t>Select all of the "$"s in the table (the entire table except for the row and column headers)</a:t>
          </a:r>
        </a:p>
        <a:p>
          <a:pPr marL="228600" indent="-228600" algn="l">
            <a:buFont typeface="+mj-lt"/>
            <a:buAutoNum type="arabicPeriod"/>
          </a:pPr>
          <a:r>
            <a:rPr lang="en-US" sz="1100" baseline="0"/>
            <a:t>In the MS Word PAF file, click on the down arrow under the Paste button, then click on "Paste Special", then select "Unformatted Text", and then click "OK".</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7299</xdr:colOff>
      <xdr:row>42</xdr:row>
      <xdr:rowOff>0</xdr:rowOff>
    </xdr:from>
    <xdr:to>
      <xdr:col>15</xdr:col>
      <xdr:colOff>749847</xdr:colOff>
      <xdr:row>61</xdr:row>
      <xdr:rowOff>65690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429574" y="8915400"/>
          <a:ext cx="10086573" cy="38693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284654</xdr:colOff>
      <xdr:row>66</xdr:row>
      <xdr:rowOff>0</xdr:rowOff>
    </xdr:from>
    <xdr:to>
      <xdr:col>15</xdr:col>
      <xdr:colOff>777326</xdr:colOff>
      <xdr:row>76</xdr:row>
      <xdr:rowOff>145503</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08479" y="13515975"/>
          <a:ext cx="10128797" cy="2142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9</xdr:row>
          <xdr:rowOff>28575</xdr:rowOff>
        </xdr:from>
        <xdr:to>
          <xdr:col>5</xdr:col>
          <xdr:colOff>447675</xdr:colOff>
          <xdr:row>10</xdr:row>
          <xdr:rowOff>0</xdr:rowOff>
        </xdr:to>
        <xdr:sp macro="" textlink="">
          <xdr:nvSpPr>
            <xdr:cNvPr id="40961" name="Check Box 1" hidden="1">
              <a:extLst>
                <a:ext uri="{63B3BB69-23CF-44E3-9099-C40C66FF867C}">
                  <a14:compatExt spid="_x0000_s40961"/>
                </a:ext>
                <a:ext uri="{FF2B5EF4-FFF2-40B4-BE49-F238E27FC236}">
                  <a16:creationId xmlns:a16="http://schemas.microsoft.com/office/drawing/2014/main" id="{00000000-0008-0000-0D00-00000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9</xdr:row>
          <xdr:rowOff>28575</xdr:rowOff>
        </xdr:from>
        <xdr:to>
          <xdr:col>6</xdr:col>
          <xdr:colOff>419100</xdr:colOff>
          <xdr:row>10</xdr:row>
          <xdr:rowOff>0</xdr:rowOff>
        </xdr:to>
        <xdr:sp macro="" textlink="">
          <xdr:nvSpPr>
            <xdr:cNvPr id="40962" name="Check Box 2" hidden="1">
              <a:extLst>
                <a:ext uri="{63B3BB69-23CF-44E3-9099-C40C66FF867C}">
                  <a14:compatExt spid="_x0000_s40962"/>
                </a:ext>
                <a:ext uri="{FF2B5EF4-FFF2-40B4-BE49-F238E27FC236}">
                  <a16:creationId xmlns:a16="http://schemas.microsoft.com/office/drawing/2014/main" id="{00000000-0008-0000-0D00-00000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9</xdr:row>
          <xdr:rowOff>28575</xdr:rowOff>
        </xdr:from>
        <xdr:to>
          <xdr:col>7</xdr:col>
          <xdr:colOff>419100</xdr:colOff>
          <xdr:row>10</xdr:row>
          <xdr:rowOff>0</xdr:rowOff>
        </xdr:to>
        <xdr:sp macro="" textlink="">
          <xdr:nvSpPr>
            <xdr:cNvPr id="40963" name="Check Box 3" hidden="1">
              <a:extLst>
                <a:ext uri="{63B3BB69-23CF-44E3-9099-C40C66FF867C}">
                  <a14:compatExt spid="_x0000_s40963"/>
                </a:ext>
                <a:ext uri="{FF2B5EF4-FFF2-40B4-BE49-F238E27FC236}">
                  <a16:creationId xmlns:a16="http://schemas.microsoft.com/office/drawing/2014/main" id="{00000000-0008-0000-0D00-00000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11</xdr:row>
          <xdr:rowOff>28575</xdr:rowOff>
        </xdr:from>
        <xdr:to>
          <xdr:col>5</xdr:col>
          <xdr:colOff>447675</xdr:colOff>
          <xdr:row>12</xdr:row>
          <xdr:rowOff>0</xdr:rowOff>
        </xdr:to>
        <xdr:sp macro="" textlink="">
          <xdr:nvSpPr>
            <xdr:cNvPr id="40964" name="Check Box 4" hidden="1">
              <a:extLst>
                <a:ext uri="{63B3BB69-23CF-44E3-9099-C40C66FF867C}">
                  <a14:compatExt spid="_x0000_s40964"/>
                </a:ext>
                <a:ext uri="{FF2B5EF4-FFF2-40B4-BE49-F238E27FC236}">
                  <a16:creationId xmlns:a16="http://schemas.microsoft.com/office/drawing/2014/main" id="{00000000-0008-0000-0D00-00000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11</xdr:row>
          <xdr:rowOff>28575</xdr:rowOff>
        </xdr:from>
        <xdr:to>
          <xdr:col>6</xdr:col>
          <xdr:colOff>419100</xdr:colOff>
          <xdr:row>12</xdr:row>
          <xdr:rowOff>0</xdr:rowOff>
        </xdr:to>
        <xdr:sp macro="" textlink="">
          <xdr:nvSpPr>
            <xdr:cNvPr id="40965" name="Check Box 5" hidden="1">
              <a:extLst>
                <a:ext uri="{63B3BB69-23CF-44E3-9099-C40C66FF867C}">
                  <a14:compatExt spid="_x0000_s40965"/>
                </a:ext>
                <a:ext uri="{FF2B5EF4-FFF2-40B4-BE49-F238E27FC236}">
                  <a16:creationId xmlns:a16="http://schemas.microsoft.com/office/drawing/2014/main" id="{00000000-0008-0000-0D00-00000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11</xdr:row>
          <xdr:rowOff>28575</xdr:rowOff>
        </xdr:from>
        <xdr:to>
          <xdr:col>7</xdr:col>
          <xdr:colOff>419100</xdr:colOff>
          <xdr:row>12</xdr:row>
          <xdr:rowOff>0</xdr:rowOff>
        </xdr:to>
        <xdr:sp macro="" textlink="">
          <xdr:nvSpPr>
            <xdr:cNvPr id="40966" name="Check Box 6" hidden="1">
              <a:extLst>
                <a:ext uri="{63B3BB69-23CF-44E3-9099-C40C66FF867C}">
                  <a14:compatExt spid="_x0000_s40966"/>
                </a:ext>
                <a:ext uri="{FF2B5EF4-FFF2-40B4-BE49-F238E27FC236}">
                  <a16:creationId xmlns:a16="http://schemas.microsoft.com/office/drawing/2014/main" id="{00000000-0008-0000-0D00-00000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0967" name="Check Box 7" hidden="1">
              <a:extLst>
                <a:ext uri="{63B3BB69-23CF-44E3-9099-C40C66FF867C}">
                  <a14:compatExt spid="_x0000_s40967"/>
                </a:ext>
                <a:ext uri="{FF2B5EF4-FFF2-40B4-BE49-F238E27FC236}">
                  <a16:creationId xmlns:a16="http://schemas.microsoft.com/office/drawing/2014/main" id="{00000000-0008-0000-0D00-00000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0D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0969" name="Check Box 9" hidden="1">
              <a:extLst>
                <a:ext uri="{63B3BB69-23CF-44E3-9099-C40C66FF867C}">
                  <a14:compatExt spid="_x0000_s40969"/>
                </a:ext>
                <a:ext uri="{FF2B5EF4-FFF2-40B4-BE49-F238E27FC236}">
                  <a16:creationId xmlns:a16="http://schemas.microsoft.com/office/drawing/2014/main" id="{00000000-0008-0000-0D00-00000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0970" name="Check Box 10" hidden="1">
              <a:extLst>
                <a:ext uri="{63B3BB69-23CF-44E3-9099-C40C66FF867C}">
                  <a14:compatExt spid="_x0000_s40970"/>
                </a:ext>
                <a:ext uri="{FF2B5EF4-FFF2-40B4-BE49-F238E27FC236}">
                  <a16:creationId xmlns:a16="http://schemas.microsoft.com/office/drawing/2014/main" id="{00000000-0008-0000-0D00-00000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0971" name="Check Box 11" hidden="1">
              <a:extLst>
                <a:ext uri="{63B3BB69-23CF-44E3-9099-C40C66FF867C}">
                  <a14:compatExt spid="_x0000_s40971"/>
                </a:ext>
                <a:ext uri="{FF2B5EF4-FFF2-40B4-BE49-F238E27FC236}">
                  <a16:creationId xmlns:a16="http://schemas.microsoft.com/office/drawing/2014/main" id="{00000000-0008-0000-0D00-00000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0972" name="Check Box 12" hidden="1">
              <a:extLst>
                <a:ext uri="{63B3BB69-23CF-44E3-9099-C40C66FF867C}">
                  <a14:compatExt spid="_x0000_s40972"/>
                </a:ext>
                <a:ext uri="{FF2B5EF4-FFF2-40B4-BE49-F238E27FC236}">
                  <a16:creationId xmlns:a16="http://schemas.microsoft.com/office/drawing/2014/main" id="{00000000-0008-0000-0D00-00000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12</xdr:row>
          <xdr:rowOff>28575</xdr:rowOff>
        </xdr:from>
        <xdr:to>
          <xdr:col>5</xdr:col>
          <xdr:colOff>447675</xdr:colOff>
          <xdr:row>13</xdr:row>
          <xdr:rowOff>0</xdr:rowOff>
        </xdr:to>
        <xdr:sp macro="" textlink="">
          <xdr:nvSpPr>
            <xdr:cNvPr id="40973" name="Check Box 13" hidden="1">
              <a:extLst>
                <a:ext uri="{63B3BB69-23CF-44E3-9099-C40C66FF867C}">
                  <a14:compatExt spid="_x0000_s40973"/>
                </a:ext>
                <a:ext uri="{FF2B5EF4-FFF2-40B4-BE49-F238E27FC236}">
                  <a16:creationId xmlns:a16="http://schemas.microsoft.com/office/drawing/2014/main" id="{00000000-0008-0000-0D00-00000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12</xdr:row>
          <xdr:rowOff>28575</xdr:rowOff>
        </xdr:from>
        <xdr:to>
          <xdr:col>6</xdr:col>
          <xdr:colOff>419100</xdr:colOff>
          <xdr:row>13</xdr:row>
          <xdr:rowOff>0</xdr:rowOff>
        </xdr:to>
        <xdr:sp macro="" textlink="">
          <xdr:nvSpPr>
            <xdr:cNvPr id="40974" name="Check Box 14" hidden="1">
              <a:extLst>
                <a:ext uri="{63B3BB69-23CF-44E3-9099-C40C66FF867C}">
                  <a14:compatExt spid="_x0000_s40974"/>
                </a:ext>
                <a:ext uri="{FF2B5EF4-FFF2-40B4-BE49-F238E27FC236}">
                  <a16:creationId xmlns:a16="http://schemas.microsoft.com/office/drawing/2014/main" id="{00000000-0008-0000-0D00-00000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12</xdr:row>
          <xdr:rowOff>28575</xdr:rowOff>
        </xdr:from>
        <xdr:to>
          <xdr:col>7</xdr:col>
          <xdr:colOff>419100</xdr:colOff>
          <xdr:row>13</xdr:row>
          <xdr:rowOff>0</xdr:rowOff>
        </xdr:to>
        <xdr:sp macro="" textlink="">
          <xdr:nvSpPr>
            <xdr:cNvPr id="40975" name="Check Box 15" hidden="1">
              <a:extLst>
                <a:ext uri="{63B3BB69-23CF-44E3-9099-C40C66FF867C}">
                  <a14:compatExt spid="_x0000_s40975"/>
                </a:ext>
                <a:ext uri="{FF2B5EF4-FFF2-40B4-BE49-F238E27FC236}">
                  <a16:creationId xmlns:a16="http://schemas.microsoft.com/office/drawing/2014/main" id="{00000000-0008-0000-0D00-00000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13</xdr:row>
          <xdr:rowOff>28575</xdr:rowOff>
        </xdr:from>
        <xdr:to>
          <xdr:col>5</xdr:col>
          <xdr:colOff>447675</xdr:colOff>
          <xdr:row>14</xdr:row>
          <xdr:rowOff>0</xdr:rowOff>
        </xdr:to>
        <xdr:sp macro="" textlink="">
          <xdr:nvSpPr>
            <xdr:cNvPr id="40976" name="Check Box 16" hidden="1">
              <a:extLst>
                <a:ext uri="{63B3BB69-23CF-44E3-9099-C40C66FF867C}">
                  <a14:compatExt spid="_x0000_s40976"/>
                </a:ext>
                <a:ext uri="{FF2B5EF4-FFF2-40B4-BE49-F238E27FC236}">
                  <a16:creationId xmlns:a16="http://schemas.microsoft.com/office/drawing/2014/main" id="{00000000-0008-0000-0D00-00001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13</xdr:row>
          <xdr:rowOff>28575</xdr:rowOff>
        </xdr:from>
        <xdr:to>
          <xdr:col>6</xdr:col>
          <xdr:colOff>419100</xdr:colOff>
          <xdr:row>14</xdr:row>
          <xdr:rowOff>0</xdr:rowOff>
        </xdr:to>
        <xdr:sp macro="" textlink="">
          <xdr:nvSpPr>
            <xdr:cNvPr id="40977" name="Check Box 17" hidden="1">
              <a:extLst>
                <a:ext uri="{63B3BB69-23CF-44E3-9099-C40C66FF867C}">
                  <a14:compatExt spid="_x0000_s40977"/>
                </a:ext>
                <a:ext uri="{FF2B5EF4-FFF2-40B4-BE49-F238E27FC236}">
                  <a16:creationId xmlns:a16="http://schemas.microsoft.com/office/drawing/2014/main" id="{00000000-0008-0000-0D00-00001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28575</xdr:rowOff>
        </xdr:from>
        <xdr:to>
          <xdr:col>7</xdr:col>
          <xdr:colOff>419100</xdr:colOff>
          <xdr:row>14</xdr:row>
          <xdr:rowOff>0</xdr:rowOff>
        </xdr:to>
        <xdr:sp macro="" textlink="">
          <xdr:nvSpPr>
            <xdr:cNvPr id="40978" name="Check Box 18" hidden="1">
              <a:extLst>
                <a:ext uri="{63B3BB69-23CF-44E3-9099-C40C66FF867C}">
                  <a14:compatExt spid="_x0000_s40978"/>
                </a:ext>
                <a:ext uri="{FF2B5EF4-FFF2-40B4-BE49-F238E27FC236}">
                  <a16:creationId xmlns:a16="http://schemas.microsoft.com/office/drawing/2014/main" id="{00000000-0008-0000-0D00-00001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447675</xdr:colOff>
          <xdr:row>15</xdr:row>
          <xdr:rowOff>0</xdr:rowOff>
        </xdr:to>
        <xdr:sp macro="" textlink="">
          <xdr:nvSpPr>
            <xdr:cNvPr id="40979" name="Check Box 19" hidden="1">
              <a:extLst>
                <a:ext uri="{63B3BB69-23CF-44E3-9099-C40C66FF867C}">
                  <a14:compatExt spid="_x0000_s40979"/>
                </a:ext>
                <a:ext uri="{FF2B5EF4-FFF2-40B4-BE49-F238E27FC236}">
                  <a16:creationId xmlns:a16="http://schemas.microsoft.com/office/drawing/2014/main" id="{00000000-0008-0000-0D00-00001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0980" name="Check Box 20" hidden="1">
              <a:extLst>
                <a:ext uri="{63B3BB69-23CF-44E3-9099-C40C66FF867C}">
                  <a14:compatExt spid="_x0000_s40980"/>
                </a:ext>
                <a:ext uri="{FF2B5EF4-FFF2-40B4-BE49-F238E27FC236}">
                  <a16:creationId xmlns:a16="http://schemas.microsoft.com/office/drawing/2014/main" id="{00000000-0008-0000-0D00-00001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0981" name="Check Box 21" hidden="1">
              <a:extLst>
                <a:ext uri="{63B3BB69-23CF-44E3-9099-C40C66FF867C}">
                  <a14:compatExt spid="_x0000_s40981"/>
                </a:ext>
                <a:ext uri="{FF2B5EF4-FFF2-40B4-BE49-F238E27FC236}">
                  <a16:creationId xmlns:a16="http://schemas.microsoft.com/office/drawing/2014/main" id="{00000000-0008-0000-0D00-00001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0982" name="Check Box 22" hidden="1">
              <a:extLst>
                <a:ext uri="{63B3BB69-23CF-44E3-9099-C40C66FF867C}">
                  <a14:compatExt spid="_x0000_s40982"/>
                </a:ext>
                <a:ext uri="{FF2B5EF4-FFF2-40B4-BE49-F238E27FC236}">
                  <a16:creationId xmlns:a16="http://schemas.microsoft.com/office/drawing/2014/main" id="{00000000-0008-0000-0D00-00001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0983" name="Check Box 23" hidden="1">
              <a:extLst>
                <a:ext uri="{63B3BB69-23CF-44E3-9099-C40C66FF867C}">
                  <a14:compatExt spid="_x0000_s40983"/>
                </a:ext>
                <a:ext uri="{FF2B5EF4-FFF2-40B4-BE49-F238E27FC236}">
                  <a16:creationId xmlns:a16="http://schemas.microsoft.com/office/drawing/2014/main" id="{00000000-0008-0000-0D00-00001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0984" name="Check Box 24" hidden="1">
              <a:extLst>
                <a:ext uri="{63B3BB69-23CF-44E3-9099-C40C66FF867C}">
                  <a14:compatExt spid="_x0000_s40984"/>
                </a:ext>
                <a:ext uri="{FF2B5EF4-FFF2-40B4-BE49-F238E27FC236}">
                  <a16:creationId xmlns:a16="http://schemas.microsoft.com/office/drawing/2014/main" id="{00000000-0008-0000-0D00-00001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16</xdr:row>
          <xdr:rowOff>28575</xdr:rowOff>
        </xdr:from>
        <xdr:to>
          <xdr:col>5</xdr:col>
          <xdr:colOff>447675</xdr:colOff>
          <xdr:row>17</xdr:row>
          <xdr:rowOff>0</xdr:rowOff>
        </xdr:to>
        <xdr:sp macro="" textlink="">
          <xdr:nvSpPr>
            <xdr:cNvPr id="40985" name="Check Box 25" hidden="1">
              <a:extLst>
                <a:ext uri="{63B3BB69-23CF-44E3-9099-C40C66FF867C}">
                  <a14:compatExt spid="_x0000_s40985"/>
                </a:ext>
                <a:ext uri="{FF2B5EF4-FFF2-40B4-BE49-F238E27FC236}">
                  <a16:creationId xmlns:a16="http://schemas.microsoft.com/office/drawing/2014/main" id="{00000000-0008-0000-0D00-00001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16</xdr:row>
          <xdr:rowOff>28575</xdr:rowOff>
        </xdr:from>
        <xdr:to>
          <xdr:col>6</xdr:col>
          <xdr:colOff>419100</xdr:colOff>
          <xdr:row>17</xdr:row>
          <xdr:rowOff>0</xdr:rowOff>
        </xdr:to>
        <xdr:sp macro="" textlink="">
          <xdr:nvSpPr>
            <xdr:cNvPr id="40986" name="Check Box 26" hidden="1">
              <a:extLst>
                <a:ext uri="{63B3BB69-23CF-44E3-9099-C40C66FF867C}">
                  <a14:compatExt spid="_x0000_s40986"/>
                </a:ext>
                <a:ext uri="{FF2B5EF4-FFF2-40B4-BE49-F238E27FC236}">
                  <a16:creationId xmlns:a16="http://schemas.microsoft.com/office/drawing/2014/main" id="{00000000-0008-0000-0D00-00001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16</xdr:row>
          <xdr:rowOff>28575</xdr:rowOff>
        </xdr:from>
        <xdr:to>
          <xdr:col>7</xdr:col>
          <xdr:colOff>419100</xdr:colOff>
          <xdr:row>17</xdr:row>
          <xdr:rowOff>0</xdr:rowOff>
        </xdr:to>
        <xdr:sp macro="" textlink="">
          <xdr:nvSpPr>
            <xdr:cNvPr id="40987" name="Check Box 27" hidden="1">
              <a:extLst>
                <a:ext uri="{63B3BB69-23CF-44E3-9099-C40C66FF867C}">
                  <a14:compatExt spid="_x0000_s40987"/>
                </a:ext>
                <a:ext uri="{FF2B5EF4-FFF2-40B4-BE49-F238E27FC236}">
                  <a16:creationId xmlns:a16="http://schemas.microsoft.com/office/drawing/2014/main" id="{00000000-0008-0000-0D00-00001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17</xdr:row>
          <xdr:rowOff>28575</xdr:rowOff>
        </xdr:from>
        <xdr:to>
          <xdr:col>5</xdr:col>
          <xdr:colOff>447675</xdr:colOff>
          <xdr:row>18</xdr:row>
          <xdr:rowOff>0</xdr:rowOff>
        </xdr:to>
        <xdr:sp macro="" textlink="">
          <xdr:nvSpPr>
            <xdr:cNvPr id="40988" name="Check Box 28" hidden="1">
              <a:extLst>
                <a:ext uri="{63B3BB69-23CF-44E3-9099-C40C66FF867C}">
                  <a14:compatExt spid="_x0000_s40988"/>
                </a:ext>
                <a:ext uri="{FF2B5EF4-FFF2-40B4-BE49-F238E27FC236}">
                  <a16:creationId xmlns:a16="http://schemas.microsoft.com/office/drawing/2014/main" id="{00000000-0008-0000-0D00-00001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28575</xdr:rowOff>
        </xdr:from>
        <xdr:to>
          <xdr:col>6</xdr:col>
          <xdr:colOff>419100</xdr:colOff>
          <xdr:row>18</xdr:row>
          <xdr:rowOff>0</xdr:rowOff>
        </xdr:to>
        <xdr:sp macro="" textlink="">
          <xdr:nvSpPr>
            <xdr:cNvPr id="40989" name="Check Box 29" hidden="1">
              <a:extLst>
                <a:ext uri="{63B3BB69-23CF-44E3-9099-C40C66FF867C}">
                  <a14:compatExt spid="_x0000_s40989"/>
                </a:ext>
                <a:ext uri="{FF2B5EF4-FFF2-40B4-BE49-F238E27FC236}">
                  <a16:creationId xmlns:a16="http://schemas.microsoft.com/office/drawing/2014/main" id="{00000000-0008-0000-0D00-00001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28575</xdr:rowOff>
        </xdr:from>
        <xdr:to>
          <xdr:col>7</xdr:col>
          <xdr:colOff>419100</xdr:colOff>
          <xdr:row>18</xdr:row>
          <xdr:rowOff>0</xdr:rowOff>
        </xdr:to>
        <xdr:sp macro="" textlink="">
          <xdr:nvSpPr>
            <xdr:cNvPr id="40990" name="Check Box 30" hidden="1">
              <a:extLst>
                <a:ext uri="{63B3BB69-23CF-44E3-9099-C40C66FF867C}">
                  <a14:compatExt spid="_x0000_s40990"/>
                </a:ext>
                <a:ext uri="{FF2B5EF4-FFF2-40B4-BE49-F238E27FC236}">
                  <a16:creationId xmlns:a16="http://schemas.microsoft.com/office/drawing/2014/main" id="{00000000-0008-0000-0D00-00001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28575</xdr:rowOff>
        </xdr:from>
        <xdr:to>
          <xdr:col>5</xdr:col>
          <xdr:colOff>447675</xdr:colOff>
          <xdr:row>19</xdr:row>
          <xdr:rowOff>0</xdr:rowOff>
        </xdr:to>
        <xdr:sp macro="" textlink="">
          <xdr:nvSpPr>
            <xdr:cNvPr id="40991" name="Check Box 31" hidden="1">
              <a:extLst>
                <a:ext uri="{63B3BB69-23CF-44E3-9099-C40C66FF867C}">
                  <a14:compatExt spid="_x0000_s40991"/>
                </a:ext>
                <a:ext uri="{FF2B5EF4-FFF2-40B4-BE49-F238E27FC236}">
                  <a16:creationId xmlns:a16="http://schemas.microsoft.com/office/drawing/2014/main" id="{00000000-0008-0000-0D00-00001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28575</xdr:rowOff>
        </xdr:from>
        <xdr:to>
          <xdr:col>6</xdr:col>
          <xdr:colOff>419100</xdr:colOff>
          <xdr:row>19</xdr:row>
          <xdr:rowOff>0</xdr:rowOff>
        </xdr:to>
        <xdr:sp macro="" textlink="">
          <xdr:nvSpPr>
            <xdr:cNvPr id="40992" name="Check Box 32" hidden="1">
              <a:extLst>
                <a:ext uri="{63B3BB69-23CF-44E3-9099-C40C66FF867C}">
                  <a14:compatExt spid="_x0000_s40992"/>
                </a:ext>
                <a:ext uri="{FF2B5EF4-FFF2-40B4-BE49-F238E27FC236}">
                  <a16:creationId xmlns:a16="http://schemas.microsoft.com/office/drawing/2014/main" id="{00000000-0008-0000-0D00-00002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28575</xdr:rowOff>
        </xdr:from>
        <xdr:to>
          <xdr:col>7</xdr:col>
          <xdr:colOff>419100</xdr:colOff>
          <xdr:row>19</xdr:row>
          <xdr:rowOff>0</xdr:rowOff>
        </xdr:to>
        <xdr:sp macro="" textlink="">
          <xdr:nvSpPr>
            <xdr:cNvPr id="40993" name="Check Box 33" hidden="1">
              <a:extLst>
                <a:ext uri="{63B3BB69-23CF-44E3-9099-C40C66FF867C}">
                  <a14:compatExt spid="_x0000_s40993"/>
                </a:ext>
                <a:ext uri="{FF2B5EF4-FFF2-40B4-BE49-F238E27FC236}">
                  <a16:creationId xmlns:a16="http://schemas.microsoft.com/office/drawing/2014/main" id="{00000000-0008-0000-0D00-00002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19</xdr:row>
          <xdr:rowOff>28575</xdr:rowOff>
        </xdr:from>
        <xdr:to>
          <xdr:col>5</xdr:col>
          <xdr:colOff>447675</xdr:colOff>
          <xdr:row>20</xdr:row>
          <xdr:rowOff>0</xdr:rowOff>
        </xdr:to>
        <xdr:sp macro="" textlink="">
          <xdr:nvSpPr>
            <xdr:cNvPr id="40994" name="Check Box 34" hidden="1">
              <a:extLst>
                <a:ext uri="{63B3BB69-23CF-44E3-9099-C40C66FF867C}">
                  <a14:compatExt spid="_x0000_s40994"/>
                </a:ext>
                <a:ext uri="{FF2B5EF4-FFF2-40B4-BE49-F238E27FC236}">
                  <a16:creationId xmlns:a16="http://schemas.microsoft.com/office/drawing/2014/main" id="{00000000-0008-0000-0D00-00002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19</xdr:row>
          <xdr:rowOff>28575</xdr:rowOff>
        </xdr:from>
        <xdr:to>
          <xdr:col>6</xdr:col>
          <xdr:colOff>419100</xdr:colOff>
          <xdr:row>20</xdr:row>
          <xdr:rowOff>0</xdr:rowOff>
        </xdr:to>
        <xdr:sp macro="" textlink="">
          <xdr:nvSpPr>
            <xdr:cNvPr id="40995" name="Check Box 35" hidden="1">
              <a:extLst>
                <a:ext uri="{63B3BB69-23CF-44E3-9099-C40C66FF867C}">
                  <a14:compatExt spid="_x0000_s40995"/>
                </a:ext>
                <a:ext uri="{FF2B5EF4-FFF2-40B4-BE49-F238E27FC236}">
                  <a16:creationId xmlns:a16="http://schemas.microsoft.com/office/drawing/2014/main" id="{00000000-0008-0000-0D00-00002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28575</xdr:rowOff>
        </xdr:from>
        <xdr:to>
          <xdr:col>7</xdr:col>
          <xdr:colOff>419100</xdr:colOff>
          <xdr:row>20</xdr:row>
          <xdr:rowOff>0</xdr:rowOff>
        </xdr:to>
        <xdr:sp macro="" textlink="">
          <xdr:nvSpPr>
            <xdr:cNvPr id="40996" name="Check Box 36" hidden="1">
              <a:extLst>
                <a:ext uri="{63B3BB69-23CF-44E3-9099-C40C66FF867C}">
                  <a14:compatExt spid="_x0000_s40996"/>
                </a:ext>
                <a:ext uri="{FF2B5EF4-FFF2-40B4-BE49-F238E27FC236}">
                  <a16:creationId xmlns:a16="http://schemas.microsoft.com/office/drawing/2014/main" id="{00000000-0008-0000-0D00-00002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0997" name="Check Box 37" hidden="1">
              <a:extLst>
                <a:ext uri="{63B3BB69-23CF-44E3-9099-C40C66FF867C}">
                  <a14:compatExt spid="_x0000_s40997"/>
                </a:ext>
                <a:ext uri="{FF2B5EF4-FFF2-40B4-BE49-F238E27FC236}">
                  <a16:creationId xmlns:a16="http://schemas.microsoft.com/office/drawing/2014/main" id="{00000000-0008-0000-0D00-00002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0998" name="Check Box 38" hidden="1">
              <a:extLst>
                <a:ext uri="{63B3BB69-23CF-44E3-9099-C40C66FF867C}">
                  <a14:compatExt spid="_x0000_s40998"/>
                </a:ext>
                <a:ext uri="{FF2B5EF4-FFF2-40B4-BE49-F238E27FC236}">
                  <a16:creationId xmlns:a16="http://schemas.microsoft.com/office/drawing/2014/main" id="{00000000-0008-0000-0D00-00002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0999" name="Check Box 39" hidden="1">
              <a:extLst>
                <a:ext uri="{63B3BB69-23CF-44E3-9099-C40C66FF867C}">
                  <a14:compatExt spid="_x0000_s40999"/>
                </a:ext>
                <a:ext uri="{FF2B5EF4-FFF2-40B4-BE49-F238E27FC236}">
                  <a16:creationId xmlns:a16="http://schemas.microsoft.com/office/drawing/2014/main" id="{00000000-0008-0000-0D00-00002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1000" name="Check Box 40" hidden="1">
              <a:extLst>
                <a:ext uri="{63B3BB69-23CF-44E3-9099-C40C66FF867C}">
                  <a14:compatExt spid="_x0000_s41000"/>
                </a:ext>
                <a:ext uri="{FF2B5EF4-FFF2-40B4-BE49-F238E27FC236}">
                  <a16:creationId xmlns:a16="http://schemas.microsoft.com/office/drawing/2014/main" id="{00000000-0008-0000-0D00-00002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1001" name="Check Box 41" hidden="1">
              <a:extLst>
                <a:ext uri="{63B3BB69-23CF-44E3-9099-C40C66FF867C}">
                  <a14:compatExt spid="_x0000_s41001"/>
                </a:ext>
                <a:ext uri="{FF2B5EF4-FFF2-40B4-BE49-F238E27FC236}">
                  <a16:creationId xmlns:a16="http://schemas.microsoft.com/office/drawing/2014/main" id="{00000000-0008-0000-0D00-00002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1002" name="Check Box 42" hidden="1">
              <a:extLst>
                <a:ext uri="{63B3BB69-23CF-44E3-9099-C40C66FF867C}">
                  <a14:compatExt spid="_x0000_s41002"/>
                </a:ext>
                <a:ext uri="{FF2B5EF4-FFF2-40B4-BE49-F238E27FC236}">
                  <a16:creationId xmlns:a16="http://schemas.microsoft.com/office/drawing/2014/main" id="{00000000-0008-0000-0D00-00002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1003" name="Check Box 43" hidden="1">
              <a:extLst>
                <a:ext uri="{63B3BB69-23CF-44E3-9099-C40C66FF867C}">
                  <a14:compatExt spid="_x0000_s41003"/>
                </a:ext>
                <a:ext uri="{FF2B5EF4-FFF2-40B4-BE49-F238E27FC236}">
                  <a16:creationId xmlns:a16="http://schemas.microsoft.com/office/drawing/2014/main" id="{00000000-0008-0000-0D00-00002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1004" name="Check Box 44" hidden="1">
              <a:extLst>
                <a:ext uri="{63B3BB69-23CF-44E3-9099-C40C66FF867C}">
                  <a14:compatExt spid="_x0000_s41004"/>
                </a:ext>
                <a:ext uri="{FF2B5EF4-FFF2-40B4-BE49-F238E27FC236}">
                  <a16:creationId xmlns:a16="http://schemas.microsoft.com/office/drawing/2014/main" id="{00000000-0008-0000-0D00-00002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1005" name="Check Box 45" hidden="1">
              <a:extLst>
                <a:ext uri="{63B3BB69-23CF-44E3-9099-C40C66FF867C}">
                  <a14:compatExt spid="_x0000_s41005"/>
                </a:ext>
                <a:ext uri="{FF2B5EF4-FFF2-40B4-BE49-F238E27FC236}">
                  <a16:creationId xmlns:a16="http://schemas.microsoft.com/office/drawing/2014/main" id="{00000000-0008-0000-0D00-00002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23</xdr:row>
          <xdr:rowOff>28575</xdr:rowOff>
        </xdr:from>
        <xdr:to>
          <xdr:col>5</xdr:col>
          <xdr:colOff>447675</xdr:colOff>
          <xdr:row>24</xdr:row>
          <xdr:rowOff>0</xdr:rowOff>
        </xdr:to>
        <xdr:sp macro="" textlink="">
          <xdr:nvSpPr>
            <xdr:cNvPr id="41006" name="Check Box 46" hidden="1">
              <a:extLst>
                <a:ext uri="{63B3BB69-23CF-44E3-9099-C40C66FF867C}">
                  <a14:compatExt spid="_x0000_s41006"/>
                </a:ext>
                <a:ext uri="{FF2B5EF4-FFF2-40B4-BE49-F238E27FC236}">
                  <a16:creationId xmlns:a16="http://schemas.microsoft.com/office/drawing/2014/main" id="{00000000-0008-0000-0D00-00002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23</xdr:row>
          <xdr:rowOff>28575</xdr:rowOff>
        </xdr:from>
        <xdr:to>
          <xdr:col>6</xdr:col>
          <xdr:colOff>419100</xdr:colOff>
          <xdr:row>24</xdr:row>
          <xdr:rowOff>0</xdr:rowOff>
        </xdr:to>
        <xdr:sp macro="" textlink="">
          <xdr:nvSpPr>
            <xdr:cNvPr id="41007" name="Check Box 47" hidden="1">
              <a:extLst>
                <a:ext uri="{63B3BB69-23CF-44E3-9099-C40C66FF867C}">
                  <a14:compatExt spid="_x0000_s41007"/>
                </a:ext>
                <a:ext uri="{FF2B5EF4-FFF2-40B4-BE49-F238E27FC236}">
                  <a16:creationId xmlns:a16="http://schemas.microsoft.com/office/drawing/2014/main" id="{00000000-0008-0000-0D00-00002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23</xdr:row>
          <xdr:rowOff>28575</xdr:rowOff>
        </xdr:from>
        <xdr:to>
          <xdr:col>7</xdr:col>
          <xdr:colOff>419100</xdr:colOff>
          <xdr:row>24</xdr:row>
          <xdr:rowOff>0</xdr:rowOff>
        </xdr:to>
        <xdr:sp macro="" textlink="">
          <xdr:nvSpPr>
            <xdr:cNvPr id="41008" name="Check Box 48" hidden="1">
              <a:extLst>
                <a:ext uri="{63B3BB69-23CF-44E3-9099-C40C66FF867C}">
                  <a14:compatExt spid="_x0000_s41008"/>
                </a:ext>
                <a:ext uri="{FF2B5EF4-FFF2-40B4-BE49-F238E27FC236}">
                  <a16:creationId xmlns:a16="http://schemas.microsoft.com/office/drawing/2014/main" id="{00000000-0008-0000-0D00-00003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23</xdr:row>
          <xdr:rowOff>28575</xdr:rowOff>
        </xdr:from>
        <xdr:to>
          <xdr:col>5</xdr:col>
          <xdr:colOff>447675</xdr:colOff>
          <xdr:row>24</xdr:row>
          <xdr:rowOff>0</xdr:rowOff>
        </xdr:to>
        <xdr:sp macro="" textlink="">
          <xdr:nvSpPr>
            <xdr:cNvPr id="41009" name="Check Box 49" hidden="1">
              <a:extLst>
                <a:ext uri="{63B3BB69-23CF-44E3-9099-C40C66FF867C}">
                  <a14:compatExt spid="_x0000_s41009"/>
                </a:ext>
                <a:ext uri="{FF2B5EF4-FFF2-40B4-BE49-F238E27FC236}">
                  <a16:creationId xmlns:a16="http://schemas.microsoft.com/office/drawing/2014/main" id="{00000000-0008-0000-0D00-00003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23</xdr:row>
          <xdr:rowOff>28575</xdr:rowOff>
        </xdr:from>
        <xdr:to>
          <xdr:col>6</xdr:col>
          <xdr:colOff>419100</xdr:colOff>
          <xdr:row>24</xdr:row>
          <xdr:rowOff>0</xdr:rowOff>
        </xdr:to>
        <xdr:sp macro="" textlink="">
          <xdr:nvSpPr>
            <xdr:cNvPr id="41010" name="Check Box 50" hidden="1">
              <a:extLst>
                <a:ext uri="{63B3BB69-23CF-44E3-9099-C40C66FF867C}">
                  <a14:compatExt spid="_x0000_s41010"/>
                </a:ext>
                <a:ext uri="{FF2B5EF4-FFF2-40B4-BE49-F238E27FC236}">
                  <a16:creationId xmlns:a16="http://schemas.microsoft.com/office/drawing/2014/main" id="{00000000-0008-0000-0D00-00003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23</xdr:row>
          <xdr:rowOff>28575</xdr:rowOff>
        </xdr:from>
        <xdr:to>
          <xdr:col>7</xdr:col>
          <xdr:colOff>419100</xdr:colOff>
          <xdr:row>24</xdr:row>
          <xdr:rowOff>0</xdr:rowOff>
        </xdr:to>
        <xdr:sp macro="" textlink="">
          <xdr:nvSpPr>
            <xdr:cNvPr id="41011" name="Check Box 51" hidden="1">
              <a:extLst>
                <a:ext uri="{63B3BB69-23CF-44E3-9099-C40C66FF867C}">
                  <a14:compatExt spid="_x0000_s41011"/>
                </a:ext>
                <a:ext uri="{FF2B5EF4-FFF2-40B4-BE49-F238E27FC236}">
                  <a16:creationId xmlns:a16="http://schemas.microsoft.com/office/drawing/2014/main" id="{00000000-0008-0000-0D00-00003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1012" name="Check Box 52" hidden="1">
              <a:extLst>
                <a:ext uri="{63B3BB69-23CF-44E3-9099-C40C66FF867C}">
                  <a14:compatExt spid="_x0000_s41012"/>
                </a:ext>
                <a:ext uri="{FF2B5EF4-FFF2-40B4-BE49-F238E27FC236}">
                  <a16:creationId xmlns:a16="http://schemas.microsoft.com/office/drawing/2014/main" id="{00000000-0008-0000-0D00-00003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1013" name="Check Box 53" hidden="1">
              <a:extLst>
                <a:ext uri="{63B3BB69-23CF-44E3-9099-C40C66FF867C}">
                  <a14:compatExt spid="_x0000_s41013"/>
                </a:ext>
                <a:ext uri="{FF2B5EF4-FFF2-40B4-BE49-F238E27FC236}">
                  <a16:creationId xmlns:a16="http://schemas.microsoft.com/office/drawing/2014/main" id="{00000000-0008-0000-0D00-00003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1014" name="Check Box 54" hidden="1">
              <a:extLst>
                <a:ext uri="{63B3BB69-23CF-44E3-9099-C40C66FF867C}">
                  <a14:compatExt spid="_x0000_s41014"/>
                </a:ext>
                <a:ext uri="{FF2B5EF4-FFF2-40B4-BE49-F238E27FC236}">
                  <a16:creationId xmlns:a16="http://schemas.microsoft.com/office/drawing/2014/main" id="{00000000-0008-0000-0D00-00003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1015" name="Check Box 55" hidden="1">
              <a:extLst>
                <a:ext uri="{63B3BB69-23CF-44E3-9099-C40C66FF867C}">
                  <a14:compatExt spid="_x0000_s41015"/>
                </a:ext>
                <a:ext uri="{FF2B5EF4-FFF2-40B4-BE49-F238E27FC236}">
                  <a16:creationId xmlns:a16="http://schemas.microsoft.com/office/drawing/2014/main" id="{00000000-0008-0000-0D00-00003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1016" name="Check Box 56" hidden="1">
              <a:extLst>
                <a:ext uri="{63B3BB69-23CF-44E3-9099-C40C66FF867C}">
                  <a14:compatExt spid="_x0000_s41016"/>
                </a:ext>
                <a:ext uri="{FF2B5EF4-FFF2-40B4-BE49-F238E27FC236}">
                  <a16:creationId xmlns:a16="http://schemas.microsoft.com/office/drawing/2014/main" id="{00000000-0008-0000-0D00-00003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1017" name="Check Box 57" hidden="1">
              <a:extLst>
                <a:ext uri="{63B3BB69-23CF-44E3-9099-C40C66FF867C}">
                  <a14:compatExt spid="_x0000_s41017"/>
                </a:ext>
                <a:ext uri="{FF2B5EF4-FFF2-40B4-BE49-F238E27FC236}">
                  <a16:creationId xmlns:a16="http://schemas.microsoft.com/office/drawing/2014/main" id="{00000000-0008-0000-0D00-00003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018" name="Check Box 58" hidden="1">
              <a:extLst>
                <a:ext uri="{63B3BB69-23CF-44E3-9099-C40C66FF867C}">
                  <a14:compatExt spid="_x0000_s41018"/>
                </a:ext>
                <a:ext uri="{FF2B5EF4-FFF2-40B4-BE49-F238E27FC236}">
                  <a16:creationId xmlns:a16="http://schemas.microsoft.com/office/drawing/2014/main" id="{00000000-0008-0000-0D00-00003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019" name="Check Box 59" hidden="1">
              <a:extLst>
                <a:ext uri="{63B3BB69-23CF-44E3-9099-C40C66FF867C}">
                  <a14:compatExt spid="_x0000_s41019"/>
                </a:ext>
                <a:ext uri="{FF2B5EF4-FFF2-40B4-BE49-F238E27FC236}">
                  <a16:creationId xmlns:a16="http://schemas.microsoft.com/office/drawing/2014/main" id="{00000000-0008-0000-0D00-00003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020" name="Check Box 60" hidden="1">
              <a:extLst>
                <a:ext uri="{63B3BB69-23CF-44E3-9099-C40C66FF867C}">
                  <a14:compatExt spid="_x0000_s41020"/>
                </a:ext>
                <a:ext uri="{FF2B5EF4-FFF2-40B4-BE49-F238E27FC236}">
                  <a16:creationId xmlns:a16="http://schemas.microsoft.com/office/drawing/2014/main" id="{00000000-0008-0000-0D00-00003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021" name="Check Box 61" hidden="1">
              <a:extLst>
                <a:ext uri="{63B3BB69-23CF-44E3-9099-C40C66FF867C}">
                  <a14:compatExt spid="_x0000_s41021"/>
                </a:ext>
                <a:ext uri="{FF2B5EF4-FFF2-40B4-BE49-F238E27FC236}">
                  <a16:creationId xmlns:a16="http://schemas.microsoft.com/office/drawing/2014/main" id="{00000000-0008-0000-0D00-00003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022" name="Check Box 62" hidden="1">
              <a:extLst>
                <a:ext uri="{63B3BB69-23CF-44E3-9099-C40C66FF867C}">
                  <a14:compatExt spid="_x0000_s41022"/>
                </a:ext>
                <a:ext uri="{FF2B5EF4-FFF2-40B4-BE49-F238E27FC236}">
                  <a16:creationId xmlns:a16="http://schemas.microsoft.com/office/drawing/2014/main" id="{00000000-0008-0000-0D00-00003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023" name="Check Box 63" hidden="1">
              <a:extLst>
                <a:ext uri="{63B3BB69-23CF-44E3-9099-C40C66FF867C}">
                  <a14:compatExt spid="_x0000_s41023"/>
                </a:ext>
                <a:ext uri="{FF2B5EF4-FFF2-40B4-BE49-F238E27FC236}">
                  <a16:creationId xmlns:a16="http://schemas.microsoft.com/office/drawing/2014/main" id="{00000000-0008-0000-0D00-00003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1024" name="Check Box 64" hidden="1">
              <a:extLst>
                <a:ext uri="{63B3BB69-23CF-44E3-9099-C40C66FF867C}">
                  <a14:compatExt spid="_x0000_s41024"/>
                </a:ext>
                <a:ext uri="{FF2B5EF4-FFF2-40B4-BE49-F238E27FC236}">
                  <a16:creationId xmlns:a16="http://schemas.microsoft.com/office/drawing/2014/main" id="{00000000-0008-0000-0D00-00004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1025" name="Check Box 65" hidden="1">
              <a:extLst>
                <a:ext uri="{63B3BB69-23CF-44E3-9099-C40C66FF867C}">
                  <a14:compatExt spid="_x0000_s41025"/>
                </a:ext>
                <a:ext uri="{FF2B5EF4-FFF2-40B4-BE49-F238E27FC236}">
                  <a16:creationId xmlns:a16="http://schemas.microsoft.com/office/drawing/2014/main" id="{00000000-0008-0000-0D00-00004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1026" name="Check Box 66" hidden="1">
              <a:extLst>
                <a:ext uri="{63B3BB69-23CF-44E3-9099-C40C66FF867C}">
                  <a14:compatExt spid="_x0000_s41026"/>
                </a:ext>
                <a:ext uri="{FF2B5EF4-FFF2-40B4-BE49-F238E27FC236}">
                  <a16:creationId xmlns:a16="http://schemas.microsoft.com/office/drawing/2014/main" id="{00000000-0008-0000-0D00-00004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1027" name="Check Box 67" hidden="1">
              <a:extLst>
                <a:ext uri="{63B3BB69-23CF-44E3-9099-C40C66FF867C}">
                  <a14:compatExt spid="_x0000_s41027"/>
                </a:ext>
                <a:ext uri="{FF2B5EF4-FFF2-40B4-BE49-F238E27FC236}">
                  <a16:creationId xmlns:a16="http://schemas.microsoft.com/office/drawing/2014/main" id="{00000000-0008-0000-0D00-00004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1028" name="Check Box 68" hidden="1">
              <a:extLst>
                <a:ext uri="{63B3BB69-23CF-44E3-9099-C40C66FF867C}">
                  <a14:compatExt spid="_x0000_s41028"/>
                </a:ext>
                <a:ext uri="{FF2B5EF4-FFF2-40B4-BE49-F238E27FC236}">
                  <a16:creationId xmlns:a16="http://schemas.microsoft.com/office/drawing/2014/main" id="{00000000-0008-0000-0D00-00004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1029" name="Check Box 69" hidden="1">
              <a:extLst>
                <a:ext uri="{63B3BB69-23CF-44E3-9099-C40C66FF867C}">
                  <a14:compatExt spid="_x0000_s41029"/>
                </a:ext>
                <a:ext uri="{FF2B5EF4-FFF2-40B4-BE49-F238E27FC236}">
                  <a16:creationId xmlns:a16="http://schemas.microsoft.com/office/drawing/2014/main" id="{00000000-0008-0000-0D00-00004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1030" name="Check Box 70" hidden="1">
              <a:extLst>
                <a:ext uri="{63B3BB69-23CF-44E3-9099-C40C66FF867C}">
                  <a14:compatExt spid="_x0000_s41030"/>
                </a:ext>
                <a:ext uri="{FF2B5EF4-FFF2-40B4-BE49-F238E27FC236}">
                  <a16:creationId xmlns:a16="http://schemas.microsoft.com/office/drawing/2014/main" id="{00000000-0008-0000-0D00-00004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1031" name="Check Box 71" hidden="1">
              <a:extLst>
                <a:ext uri="{63B3BB69-23CF-44E3-9099-C40C66FF867C}">
                  <a14:compatExt spid="_x0000_s41031"/>
                </a:ext>
                <a:ext uri="{FF2B5EF4-FFF2-40B4-BE49-F238E27FC236}">
                  <a16:creationId xmlns:a16="http://schemas.microsoft.com/office/drawing/2014/main" id="{00000000-0008-0000-0D00-00004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1032" name="Check Box 72" hidden="1">
              <a:extLst>
                <a:ext uri="{63B3BB69-23CF-44E3-9099-C40C66FF867C}">
                  <a14:compatExt spid="_x0000_s41032"/>
                </a:ext>
                <a:ext uri="{FF2B5EF4-FFF2-40B4-BE49-F238E27FC236}">
                  <a16:creationId xmlns:a16="http://schemas.microsoft.com/office/drawing/2014/main" id="{00000000-0008-0000-0D00-00004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1033" name="Check Box 73" hidden="1">
              <a:extLst>
                <a:ext uri="{63B3BB69-23CF-44E3-9099-C40C66FF867C}">
                  <a14:compatExt spid="_x0000_s41033"/>
                </a:ext>
                <a:ext uri="{FF2B5EF4-FFF2-40B4-BE49-F238E27FC236}">
                  <a16:creationId xmlns:a16="http://schemas.microsoft.com/office/drawing/2014/main" id="{00000000-0008-0000-0D00-00004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1034" name="Check Box 74" hidden="1">
              <a:extLst>
                <a:ext uri="{63B3BB69-23CF-44E3-9099-C40C66FF867C}">
                  <a14:compatExt spid="_x0000_s41034"/>
                </a:ext>
                <a:ext uri="{FF2B5EF4-FFF2-40B4-BE49-F238E27FC236}">
                  <a16:creationId xmlns:a16="http://schemas.microsoft.com/office/drawing/2014/main" id="{00000000-0008-0000-0D00-00004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1035" name="Check Box 75" hidden="1">
              <a:extLst>
                <a:ext uri="{63B3BB69-23CF-44E3-9099-C40C66FF867C}">
                  <a14:compatExt spid="_x0000_s41035"/>
                </a:ext>
                <a:ext uri="{FF2B5EF4-FFF2-40B4-BE49-F238E27FC236}">
                  <a16:creationId xmlns:a16="http://schemas.microsoft.com/office/drawing/2014/main" id="{00000000-0008-0000-0D00-00004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1036" name="Check Box 76" hidden="1">
              <a:extLst>
                <a:ext uri="{63B3BB69-23CF-44E3-9099-C40C66FF867C}">
                  <a14:compatExt spid="_x0000_s41036"/>
                </a:ext>
                <a:ext uri="{FF2B5EF4-FFF2-40B4-BE49-F238E27FC236}">
                  <a16:creationId xmlns:a16="http://schemas.microsoft.com/office/drawing/2014/main" id="{00000000-0008-0000-0D00-00004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1037" name="Check Box 77" hidden="1">
              <a:extLst>
                <a:ext uri="{63B3BB69-23CF-44E3-9099-C40C66FF867C}">
                  <a14:compatExt spid="_x0000_s41037"/>
                </a:ext>
                <a:ext uri="{FF2B5EF4-FFF2-40B4-BE49-F238E27FC236}">
                  <a16:creationId xmlns:a16="http://schemas.microsoft.com/office/drawing/2014/main" id="{00000000-0008-0000-0D00-00004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1038" name="Check Box 78" hidden="1">
              <a:extLst>
                <a:ext uri="{63B3BB69-23CF-44E3-9099-C40C66FF867C}">
                  <a14:compatExt spid="_x0000_s41038"/>
                </a:ext>
                <a:ext uri="{FF2B5EF4-FFF2-40B4-BE49-F238E27FC236}">
                  <a16:creationId xmlns:a16="http://schemas.microsoft.com/office/drawing/2014/main" id="{00000000-0008-0000-0D00-00004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1039" name="Check Box 79" hidden="1">
              <a:extLst>
                <a:ext uri="{63B3BB69-23CF-44E3-9099-C40C66FF867C}">
                  <a14:compatExt spid="_x0000_s41039"/>
                </a:ext>
                <a:ext uri="{FF2B5EF4-FFF2-40B4-BE49-F238E27FC236}">
                  <a16:creationId xmlns:a16="http://schemas.microsoft.com/office/drawing/2014/main" id="{00000000-0008-0000-0D00-00004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1040" name="Check Box 80" hidden="1">
              <a:extLst>
                <a:ext uri="{63B3BB69-23CF-44E3-9099-C40C66FF867C}">
                  <a14:compatExt spid="_x0000_s41040"/>
                </a:ext>
                <a:ext uri="{FF2B5EF4-FFF2-40B4-BE49-F238E27FC236}">
                  <a16:creationId xmlns:a16="http://schemas.microsoft.com/office/drawing/2014/main" id="{00000000-0008-0000-0D00-00005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1041" name="Check Box 81" hidden="1">
              <a:extLst>
                <a:ext uri="{63B3BB69-23CF-44E3-9099-C40C66FF867C}">
                  <a14:compatExt spid="_x0000_s41041"/>
                </a:ext>
                <a:ext uri="{FF2B5EF4-FFF2-40B4-BE49-F238E27FC236}">
                  <a16:creationId xmlns:a16="http://schemas.microsoft.com/office/drawing/2014/main" id="{00000000-0008-0000-0D00-00005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1042" name="Check Box 82" hidden="1">
              <a:extLst>
                <a:ext uri="{63B3BB69-23CF-44E3-9099-C40C66FF867C}">
                  <a14:compatExt spid="_x0000_s41042"/>
                </a:ext>
                <a:ext uri="{FF2B5EF4-FFF2-40B4-BE49-F238E27FC236}">
                  <a16:creationId xmlns:a16="http://schemas.microsoft.com/office/drawing/2014/main" id="{00000000-0008-0000-0D00-00005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1043" name="Check Box 83" hidden="1">
              <a:extLst>
                <a:ext uri="{63B3BB69-23CF-44E3-9099-C40C66FF867C}">
                  <a14:compatExt spid="_x0000_s41043"/>
                </a:ext>
                <a:ext uri="{FF2B5EF4-FFF2-40B4-BE49-F238E27FC236}">
                  <a16:creationId xmlns:a16="http://schemas.microsoft.com/office/drawing/2014/main" id="{00000000-0008-0000-0D00-00005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1044" name="Check Box 84" hidden="1">
              <a:extLst>
                <a:ext uri="{63B3BB69-23CF-44E3-9099-C40C66FF867C}">
                  <a14:compatExt spid="_x0000_s41044"/>
                </a:ext>
                <a:ext uri="{FF2B5EF4-FFF2-40B4-BE49-F238E27FC236}">
                  <a16:creationId xmlns:a16="http://schemas.microsoft.com/office/drawing/2014/main" id="{00000000-0008-0000-0D00-00005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1045" name="Check Box 85" hidden="1">
              <a:extLst>
                <a:ext uri="{63B3BB69-23CF-44E3-9099-C40C66FF867C}">
                  <a14:compatExt spid="_x0000_s41045"/>
                </a:ext>
                <a:ext uri="{FF2B5EF4-FFF2-40B4-BE49-F238E27FC236}">
                  <a16:creationId xmlns:a16="http://schemas.microsoft.com/office/drawing/2014/main" id="{00000000-0008-0000-0D00-00005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1046" name="Check Box 86" hidden="1">
              <a:extLst>
                <a:ext uri="{63B3BB69-23CF-44E3-9099-C40C66FF867C}">
                  <a14:compatExt spid="_x0000_s41046"/>
                </a:ext>
                <a:ext uri="{FF2B5EF4-FFF2-40B4-BE49-F238E27FC236}">
                  <a16:creationId xmlns:a16="http://schemas.microsoft.com/office/drawing/2014/main" id="{00000000-0008-0000-0D00-00005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1047" name="Check Box 87" hidden="1">
              <a:extLst>
                <a:ext uri="{63B3BB69-23CF-44E3-9099-C40C66FF867C}">
                  <a14:compatExt spid="_x0000_s41047"/>
                </a:ext>
                <a:ext uri="{FF2B5EF4-FFF2-40B4-BE49-F238E27FC236}">
                  <a16:creationId xmlns:a16="http://schemas.microsoft.com/office/drawing/2014/main" id="{00000000-0008-0000-0D00-00005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1048" name="Check Box 88" hidden="1">
              <a:extLst>
                <a:ext uri="{63B3BB69-23CF-44E3-9099-C40C66FF867C}">
                  <a14:compatExt spid="_x0000_s41048"/>
                </a:ext>
                <a:ext uri="{FF2B5EF4-FFF2-40B4-BE49-F238E27FC236}">
                  <a16:creationId xmlns:a16="http://schemas.microsoft.com/office/drawing/2014/main" id="{00000000-0008-0000-0D00-00005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1049" name="Check Box 89" hidden="1">
              <a:extLst>
                <a:ext uri="{63B3BB69-23CF-44E3-9099-C40C66FF867C}">
                  <a14:compatExt spid="_x0000_s41049"/>
                </a:ext>
                <a:ext uri="{FF2B5EF4-FFF2-40B4-BE49-F238E27FC236}">
                  <a16:creationId xmlns:a16="http://schemas.microsoft.com/office/drawing/2014/main" id="{00000000-0008-0000-0D00-00005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1050" name="Check Box 90" hidden="1">
              <a:extLst>
                <a:ext uri="{63B3BB69-23CF-44E3-9099-C40C66FF867C}">
                  <a14:compatExt spid="_x0000_s41050"/>
                </a:ext>
                <a:ext uri="{FF2B5EF4-FFF2-40B4-BE49-F238E27FC236}">
                  <a16:creationId xmlns:a16="http://schemas.microsoft.com/office/drawing/2014/main" id="{00000000-0008-0000-0D00-00005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1051" name="Check Box 91" hidden="1">
              <a:extLst>
                <a:ext uri="{63B3BB69-23CF-44E3-9099-C40C66FF867C}">
                  <a14:compatExt spid="_x0000_s41051"/>
                </a:ext>
                <a:ext uri="{FF2B5EF4-FFF2-40B4-BE49-F238E27FC236}">
                  <a16:creationId xmlns:a16="http://schemas.microsoft.com/office/drawing/2014/main" id="{00000000-0008-0000-0D00-00005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1052" name="Check Box 92" hidden="1">
              <a:extLst>
                <a:ext uri="{63B3BB69-23CF-44E3-9099-C40C66FF867C}">
                  <a14:compatExt spid="_x0000_s41052"/>
                </a:ext>
                <a:ext uri="{FF2B5EF4-FFF2-40B4-BE49-F238E27FC236}">
                  <a16:creationId xmlns:a16="http://schemas.microsoft.com/office/drawing/2014/main" id="{00000000-0008-0000-0D00-00005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1053" name="Check Box 93" hidden="1">
              <a:extLst>
                <a:ext uri="{63B3BB69-23CF-44E3-9099-C40C66FF867C}">
                  <a14:compatExt spid="_x0000_s41053"/>
                </a:ext>
                <a:ext uri="{FF2B5EF4-FFF2-40B4-BE49-F238E27FC236}">
                  <a16:creationId xmlns:a16="http://schemas.microsoft.com/office/drawing/2014/main" id="{00000000-0008-0000-0D00-00005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1054" name="Check Box 94" hidden="1">
              <a:extLst>
                <a:ext uri="{63B3BB69-23CF-44E3-9099-C40C66FF867C}">
                  <a14:compatExt spid="_x0000_s41054"/>
                </a:ext>
                <a:ext uri="{FF2B5EF4-FFF2-40B4-BE49-F238E27FC236}">
                  <a16:creationId xmlns:a16="http://schemas.microsoft.com/office/drawing/2014/main" id="{00000000-0008-0000-0D00-00005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1055" name="Check Box 95" hidden="1">
              <a:extLst>
                <a:ext uri="{63B3BB69-23CF-44E3-9099-C40C66FF867C}">
                  <a14:compatExt spid="_x0000_s41055"/>
                </a:ext>
                <a:ext uri="{FF2B5EF4-FFF2-40B4-BE49-F238E27FC236}">
                  <a16:creationId xmlns:a16="http://schemas.microsoft.com/office/drawing/2014/main" id="{00000000-0008-0000-0D00-00005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1056" name="Check Box 96" hidden="1">
              <a:extLst>
                <a:ext uri="{63B3BB69-23CF-44E3-9099-C40C66FF867C}">
                  <a14:compatExt spid="_x0000_s41056"/>
                </a:ext>
                <a:ext uri="{FF2B5EF4-FFF2-40B4-BE49-F238E27FC236}">
                  <a16:creationId xmlns:a16="http://schemas.microsoft.com/office/drawing/2014/main" id="{00000000-0008-0000-0D00-00006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1057" name="Check Box 97" hidden="1">
              <a:extLst>
                <a:ext uri="{63B3BB69-23CF-44E3-9099-C40C66FF867C}">
                  <a14:compatExt spid="_x0000_s41057"/>
                </a:ext>
                <a:ext uri="{FF2B5EF4-FFF2-40B4-BE49-F238E27FC236}">
                  <a16:creationId xmlns:a16="http://schemas.microsoft.com/office/drawing/2014/main" id="{00000000-0008-0000-0D00-00006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1058" name="Check Box 98" hidden="1">
              <a:extLst>
                <a:ext uri="{63B3BB69-23CF-44E3-9099-C40C66FF867C}">
                  <a14:compatExt spid="_x0000_s41058"/>
                </a:ext>
                <a:ext uri="{FF2B5EF4-FFF2-40B4-BE49-F238E27FC236}">
                  <a16:creationId xmlns:a16="http://schemas.microsoft.com/office/drawing/2014/main" id="{00000000-0008-0000-0D00-00006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1059" name="Check Box 99" hidden="1">
              <a:extLst>
                <a:ext uri="{63B3BB69-23CF-44E3-9099-C40C66FF867C}">
                  <a14:compatExt spid="_x0000_s41059"/>
                </a:ext>
                <a:ext uri="{FF2B5EF4-FFF2-40B4-BE49-F238E27FC236}">
                  <a16:creationId xmlns:a16="http://schemas.microsoft.com/office/drawing/2014/main" id="{00000000-0008-0000-0D00-00006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1060" name="Check Box 100" hidden="1">
              <a:extLst>
                <a:ext uri="{63B3BB69-23CF-44E3-9099-C40C66FF867C}">
                  <a14:compatExt spid="_x0000_s41060"/>
                </a:ext>
                <a:ext uri="{FF2B5EF4-FFF2-40B4-BE49-F238E27FC236}">
                  <a16:creationId xmlns:a16="http://schemas.microsoft.com/office/drawing/2014/main" id="{00000000-0008-0000-0D00-00006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1061" name="Check Box 101" hidden="1">
              <a:extLst>
                <a:ext uri="{63B3BB69-23CF-44E3-9099-C40C66FF867C}">
                  <a14:compatExt spid="_x0000_s41061"/>
                </a:ext>
                <a:ext uri="{FF2B5EF4-FFF2-40B4-BE49-F238E27FC236}">
                  <a16:creationId xmlns:a16="http://schemas.microsoft.com/office/drawing/2014/main" id="{00000000-0008-0000-0D00-00006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1062" name="Check Box 102" hidden="1">
              <a:extLst>
                <a:ext uri="{63B3BB69-23CF-44E3-9099-C40C66FF867C}">
                  <a14:compatExt spid="_x0000_s41062"/>
                </a:ext>
                <a:ext uri="{FF2B5EF4-FFF2-40B4-BE49-F238E27FC236}">
                  <a16:creationId xmlns:a16="http://schemas.microsoft.com/office/drawing/2014/main" id="{00000000-0008-0000-0D00-00006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1063" name="Check Box 103" hidden="1">
              <a:extLst>
                <a:ext uri="{63B3BB69-23CF-44E3-9099-C40C66FF867C}">
                  <a14:compatExt spid="_x0000_s41063"/>
                </a:ext>
                <a:ext uri="{FF2B5EF4-FFF2-40B4-BE49-F238E27FC236}">
                  <a16:creationId xmlns:a16="http://schemas.microsoft.com/office/drawing/2014/main" id="{00000000-0008-0000-0D00-00006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1064" name="Check Box 104" hidden="1">
              <a:extLst>
                <a:ext uri="{63B3BB69-23CF-44E3-9099-C40C66FF867C}">
                  <a14:compatExt spid="_x0000_s41064"/>
                </a:ext>
                <a:ext uri="{FF2B5EF4-FFF2-40B4-BE49-F238E27FC236}">
                  <a16:creationId xmlns:a16="http://schemas.microsoft.com/office/drawing/2014/main" id="{00000000-0008-0000-0D00-00006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1065" name="Check Box 105" hidden="1">
              <a:extLst>
                <a:ext uri="{63B3BB69-23CF-44E3-9099-C40C66FF867C}">
                  <a14:compatExt spid="_x0000_s41065"/>
                </a:ext>
                <a:ext uri="{FF2B5EF4-FFF2-40B4-BE49-F238E27FC236}">
                  <a16:creationId xmlns:a16="http://schemas.microsoft.com/office/drawing/2014/main" id="{00000000-0008-0000-0D00-00006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38</xdr:row>
          <xdr:rowOff>28575</xdr:rowOff>
        </xdr:from>
        <xdr:to>
          <xdr:col>5</xdr:col>
          <xdr:colOff>447675</xdr:colOff>
          <xdr:row>39</xdr:row>
          <xdr:rowOff>0</xdr:rowOff>
        </xdr:to>
        <xdr:sp macro="" textlink="">
          <xdr:nvSpPr>
            <xdr:cNvPr id="41066" name="Check Box 106" hidden="1">
              <a:extLst>
                <a:ext uri="{63B3BB69-23CF-44E3-9099-C40C66FF867C}">
                  <a14:compatExt spid="_x0000_s41066"/>
                </a:ext>
                <a:ext uri="{FF2B5EF4-FFF2-40B4-BE49-F238E27FC236}">
                  <a16:creationId xmlns:a16="http://schemas.microsoft.com/office/drawing/2014/main" id="{00000000-0008-0000-0D00-00006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38</xdr:row>
          <xdr:rowOff>28575</xdr:rowOff>
        </xdr:from>
        <xdr:to>
          <xdr:col>6</xdr:col>
          <xdr:colOff>419100</xdr:colOff>
          <xdr:row>39</xdr:row>
          <xdr:rowOff>0</xdr:rowOff>
        </xdr:to>
        <xdr:sp macro="" textlink="">
          <xdr:nvSpPr>
            <xdr:cNvPr id="41067" name="Check Box 107" hidden="1">
              <a:extLst>
                <a:ext uri="{63B3BB69-23CF-44E3-9099-C40C66FF867C}">
                  <a14:compatExt spid="_x0000_s41067"/>
                </a:ext>
                <a:ext uri="{FF2B5EF4-FFF2-40B4-BE49-F238E27FC236}">
                  <a16:creationId xmlns:a16="http://schemas.microsoft.com/office/drawing/2014/main" id="{00000000-0008-0000-0D00-00006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38</xdr:row>
          <xdr:rowOff>28575</xdr:rowOff>
        </xdr:from>
        <xdr:to>
          <xdr:col>7</xdr:col>
          <xdr:colOff>419100</xdr:colOff>
          <xdr:row>39</xdr:row>
          <xdr:rowOff>0</xdr:rowOff>
        </xdr:to>
        <xdr:sp macro="" textlink="">
          <xdr:nvSpPr>
            <xdr:cNvPr id="41068" name="Check Box 108" hidden="1">
              <a:extLst>
                <a:ext uri="{63B3BB69-23CF-44E3-9099-C40C66FF867C}">
                  <a14:compatExt spid="_x0000_s41068"/>
                </a:ext>
                <a:ext uri="{FF2B5EF4-FFF2-40B4-BE49-F238E27FC236}">
                  <a16:creationId xmlns:a16="http://schemas.microsoft.com/office/drawing/2014/main" id="{00000000-0008-0000-0D00-00006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38</xdr:row>
          <xdr:rowOff>28575</xdr:rowOff>
        </xdr:from>
        <xdr:to>
          <xdr:col>5</xdr:col>
          <xdr:colOff>447675</xdr:colOff>
          <xdr:row>39</xdr:row>
          <xdr:rowOff>0</xdr:rowOff>
        </xdr:to>
        <xdr:sp macro="" textlink="">
          <xdr:nvSpPr>
            <xdr:cNvPr id="41069" name="Check Box 109" hidden="1">
              <a:extLst>
                <a:ext uri="{63B3BB69-23CF-44E3-9099-C40C66FF867C}">
                  <a14:compatExt spid="_x0000_s41069"/>
                </a:ext>
                <a:ext uri="{FF2B5EF4-FFF2-40B4-BE49-F238E27FC236}">
                  <a16:creationId xmlns:a16="http://schemas.microsoft.com/office/drawing/2014/main" id="{00000000-0008-0000-0D00-00006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38</xdr:row>
          <xdr:rowOff>28575</xdr:rowOff>
        </xdr:from>
        <xdr:to>
          <xdr:col>6</xdr:col>
          <xdr:colOff>419100</xdr:colOff>
          <xdr:row>39</xdr:row>
          <xdr:rowOff>0</xdr:rowOff>
        </xdr:to>
        <xdr:sp macro="" textlink="">
          <xdr:nvSpPr>
            <xdr:cNvPr id="41070" name="Check Box 110" hidden="1">
              <a:extLst>
                <a:ext uri="{63B3BB69-23CF-44E3-9099-C40C66FF867C}">
                  <a14:compatExt spid="_x0000_s41070"/>
                </a:ext>
                <a:ext uri="{FF2B5EF4-FFF2-40B4-BE49-F238E27FC236}">
                  <a16:creationId xmlns:a16="http://schemas.microsoft.com/office/drawing/2014/main" id="{00000000-0008-0000-0D00-00006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38</xdr:row>
          <xdr:rowOff>28575</xdr:rowOff>
        </xdr:from>
        <xdr:to>
          <xdr:col>7</xdr:col>
          <xdr:colOff>419100</xdr:colOff>
          <xdr:row>39</xdr:row>
          <xdr:rowOff>0</xdr:rowOff>
        </xdr:to>
        <xdr:sp macro="" textlink="">
          <xdr:nvSpPr>
            <xdr:cNvPr id="41071" name="Check Box 111" hidden="1">
              <a:extLst>
                <a:ext uri="{63B3BB69-23CF-44E3-9099-C40C66FF867C}">
                  <a14:compatExt spid="_x0000_s41071"/>
                </a:ext>
                <a:ext uri="{FF2B5EF4-FFF2-40B4-BE49-F238E27FC236}">
                  <a16:creationId xmlns:a16="http://schemas.microsoft.com/office/drawing/2014/main" id="{00000000-0008-0000-0D00-00006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1072" name="Check Box 112" hidden="1">
              <a:extLst>
                <a:ext uri="{63B3BB69-23CF-44E3-9099-C40C66FF867C}">
                  <a14:compatExt spid="_x0000_s41072"/>
                </a:ext>
                <a:ext uri="{FF2B5EF4-FFF2-40B4-BE49-F238E27FC236}">
                  <a16:creationId xmlns:a16="http://schemas.microsoft.com/office/drawing/2014/main" id="{00000000-0008-0000-0D00-00007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1073" name="Check Box 113" hidden="1">
              <a:extLst>
                <a:ext uri="{63B3BB69-23CF-44E3-9099-C40C66FF867C}">
                  <a14:compatExt spid="_x0000_s41073"/>
                </a:ext>
                <a:ext uri="{FF2B5EF4-FFF2-40B4-BE49-F238E27FC236}">
                  <a16:creationId xmlns:a16="http://schemas.microsoft.com/office/drawing/2014/main" id="{00000000-0008-0000-0D00-00007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1074" name="Check Box 114" hidden="1">
              <a:extLst>
                <a:ext uri="{63B3BB69-23CF-44E3-9099-C40C66FF867C}">
                  <a14:compatExt spid="_x0000_s41074"/>
                </a:ext>
                <a:ext uri="{FF2B5EF4-FFF2-40B4-BE49-F238E27FC236}">
                  <a16:creationId xmlns:a16="http://schemas.microsoft.com/office/drawing/2014/main" id="{00000000-0008-0000-0D00-00007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1075" name="Check Box 115" hidden="1">
              <a:extLst>
                <a:ext uri="{63B3BB69-23CF-44E3-9099-C40C66FF867C}">
                  <a14:compatExt spid="_x0000_s41075"/>
                </a:ext>
                <a:ext uri="{FF2B5EF4-FFF2-40B4-BE49-F238E27FC236}">
                  <a16:creationId xmlns:a16="http://schemas.microsoft.com/office/drawing/2014/main" id="{00000000-0008-0000-0D00-00007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1076" name="Check Box 116" hidden="1">
              <a:extLst>
                <a:ext uri="{63B3BB69-23CF-44E3-9099-C40C66FF867C}">
                  <a14:compatExt spid="_x0000_s41076"/>
                </a:ext>
                <a:ext uri="{FF2B5EF4-FFF2-40B4-BE49-F238E27FC236}">
                  <a16:creationId xmlns:a16="http://schemas.microsoft.com/office/drawing/2014/main" id="{00000000-0008-0000-0D00-00007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1077" name="Check Box 117" hidden="1">
              <a:extLst>
                <a:ext uri="{63B3BB69-23CF-44E3-9099-C40C66FF867C}">
                  <a14:compatExt spid="_x0000_s41077"/>
                </a:ext>
                <a:ext uri="{FF2B5EF4-FFF2-40B4-BE49-F238E27FC236}">
                  <a16:creationId xmlns:a16="http://schemas.microsoft.com/office/drawing/2014/main" id="{00000000-0008-0000-0D00-00007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1078" name="Check Box 118" hidden="1">
              <a:extLst>
                <a:ext uri="{63B3BB69-23CF-44E3-9099-C40C66FF867C}">
                  <a14:compatExt spid="_x0000_s41078"/>
                </a:ext>
                <a:ext uri="{FF2B5EF4-FFF2-40B4-BE49-F238E27FC236}">
                  <a16:creationId xmlns:a16="http://schemas.microsoft.com/office/drawing/2014/main" id="{00000000-0008-0000-0D00-00007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1079" name="Check Box 119" hidden="1">
              <a:extLst>
                <a:ext uri="{63B3BB69-23CF-44E3-9099-C40C66FF867C}">
                  <a14:compatExt spid="_x0000_s41079"/>
                </a:ext>
                <a:ext uri="{FF2B5EF4-FFF2-40B4-BE49-F238E27FC236}">
                  <a16:creationId xmlns:a16="http://schemas.microsoft.com/office/drawing/2014/main" id="{00000000-0008-0000-0D00-00007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1080" name="Check Box 120" hidden="1">
              <a:extLst>
                <a:ext uri="{63B3BB69-23CF-44E3-9099-C40C66FF867C}">
                  <a14:compatExt spid="_x0000_s41080"/>
                </a:ext>
                <a:ext uri="{FF2B5EF4-FFF2-40B4-BE49-F238E27FC236}">
                  <a16:creationId xmlns:a16="http://schemas.microsoft.com/office/drawing/2014/main" id="{00000000-0008-0000-0D00-00007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1081" name="Check Box 121" hidden="1">
              <a:extLst>
                <a:ext uri="{63B3BB69-23CF-44E3-9099-C40C66FF867C}">
                  <a14:compatExt spid="_x0000_s41081"/>
                </a:ext>
                <a:ext uri="{FF2B5EF4-FFF2-40B4-BE49-F238E27FC236}">
                  <a16:creationId xmlns:a16="http://schemas.microsoft.com/office/drawing/2014/main" id="{00000000-0008-0000-0D00-00007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1082" name="Check Box 122" hidden="1">
              <a:extLst>
                <a:ext uri="{63B3BB69-23CF-44E3-9099-C40C66FF867C}">
                  <a14:compatExt spid="_x0000_s41082"/>
                </a:ext>
                <a:ext uri="{FF2B5EF4-FFF2-40B4-BE49-F238E27FC236}">
                  <a16:creationId xmlns:a16="http://schemas.microsoft.com/office/drawing/2014/main" id="{00000000-0008-0000-0D00-00007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1083" name="Check Box 123" hidden="1">
              <a:extLst>
                <a:ext uri="{63B3BB69-23CF-44E3-9099-C40C66FF867C}">
                  <a14:compatExt spid="_x0000_s41083"/>
                </a:ext>
                <a:ext uri="{FF2B5EF4-FFF2-40B4-BE49-F238E27FC236}">
                  <a16:creationId xmlns:a16="http://schemas.microsoft.com/office/drawing/2014/main" id="{00000000-0008-0000-0D00-00007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1084" name="Check Box 124" hidden="1">
              <a:extLst>
                <a:ext uri="{63B3BB69-23CF-44E3-9099-C40C66FF867C}">
                  <a14:compatExt spid="_x0000_s41084"/>
                </a:ext>
                <a:ext uri="{FF2B5EF4-FFF2-40B4-BE49-F238E27FC236}">
                  <a16:creationId xmlns:a16="http://schemas.microsoft.com/office/drawing/2014/main" id="{00000000-0008-0000-0D00-00007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1085" name="Check Box 125" hidden="1">
              <a:extLst>
                <a:ext uri="{63B3BB69-23CF-44E3-9099-C40C66FF867C}">
                  <a14:compatExt spid="_x0000_s41085"/>
                </a:ext>
                <a:ext uri="{FF2B5EF4-FFF2-40B4-BE49-F238E27FC236}">
                  <a16:creationId xmlns:a16="http://schemas.microsoft.com/office/drawing/2014/main" id="{00000000-0008-0000-0D00-00007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1086" name="Check Box 126" hidden="1">
              <a:extLst>
                <a:ext uri="{63B3BB69-23CF-44E3-9099-C40C66FF867C}">
                  <a14:compatExt spid="_x0000_s41086"/>
                </a:ext>
                <a:ext uri="{FF2B5EF4-FFF2-40B4-BE49-F238E27FC236}">
                  <a16:creationId xmlns:a16="http://schemas.microsoft.com/office/drawing/2014/main" id="{00000000-0008-0000-0D00-00007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1087" name="Check Box 127" hidden="1">
              <a:extLst>
                <a:ext uri="{63B3BB69-23CF-44E3-9099-C40C66FF867C}">
                  <a14:compatExt spid="_x0000_s41087"/>
                </a:ext>
                <a:ext uri="{FF2B5EF4-FFF2-40B4-BE49-F238E27FC236}">
                  <a16:creationId xmlns:a16="http://schemas.microsoft.com/office/drawing/2014/main" id="{00000000-0008-0000-0D00-00007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1088" name="Check Box 128" hidden="1">
              <a:extLst>
                <a:ext uri="{63B3BB69-23CF-44E3-9099-C40C66FF867C}">
                  <a14:compatExt spid="_x0000_s41088"/>
                </a:ext>
                <a:ext uri="{FF2B5EF4-FFF2-40B4-BE49-F238E27FC236}">
                  <a16:creationId xmlns:a16="http://schemas.microsoft.com/office/drawing/2014/main" id="{00000000-0008-0000-0D00-00008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1089" name="Check Box 129" hidden="1">
              <a:extLst>
                <a:ext uri="{63B3BB69-23CF-44E3-9099-C40C66FF867C}">
                  <a14:compatExt spid="_x0000_s41089"/>
                </a:ext>
                <a:ext uri="{FF2B5EF4-FFF2-40B4-BE49-F238E27FC236}">
                  <a16:creationId xmlns:a16="http://schemas.microsoft.com/office/drawing/2014/main" id="{00000000-0008-0000-0D00-00008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1090" name="Check Box 130" hidden="1">
              <a:extLst>
                <a:ext uri="{63B3BB69-23CF-44E3-9099-C40C66FF867C}">
                  <a14:compatExt spid="_x0000_s41090"/>
                </a:ext>
                <a:ext uri="{FF2B5EF4-FFF2-40B4-BE49-F238E27FC236}">
                  <a16:creationId xmlns:a16="http://schemas.microsoft.com/office/drawing/2014/main" id="{00000000-0008-0000-0D00-00008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1091" name="Check Box 131" hidden="1">
              <a:extLst>
                <a:ext uri="{63B3BB69-23CF-44E3-9099-C40C66FF867C}">
                  <a14:compatExt spid="_x0000_s41091"/>
                </a:ext>
                <a:ext uri="{FF2B5EF4-FFF2-40B4-BE49-F238E27FC236}">
                  <a16:creationId xmlns:a16="http://schemas.microsoft.com/office/drawing/2014/main" id="{00000000-0008-0000-0D00-00008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1092" name="Check Box 132" hidden="1">
              <a:extLst>
                <a:ext uri="{63B3BB69-23CF-44E3-9099-C40C66FF867C}">
                  <a14:compatExt spid="_x0000_s41092"/>
                </a:ext>
                <a:ext uri="{FF2B5EF4-FFF2-40B4-BE49-F238E27FC236}">
                  <a16:creationId xmlns:a16="http://schemas.microsoft.com/office/drawing/2014/main" id="{00000000-0008-0000-0D00-00008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1093" name="Check Box 133" hidden="1">
              <a:extLst>
                <a:ext uri="{63B3BB69-23CF-44E3-9099-C40C66FF867C}">
                  <a14:compatExt spid="_x0000_s41093"/>
                </a:ext>
                <a:ext uri="{FF2B5EF4-FFF2-40B4-BE49-F238E27FC236}">
                  <a16:creationId xmlns:a16="http://schemas.microsoft.com/office/drawing/2014/main" id="{00000000-0008-0000-0D00-00008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1094" name="Check Box 134" hidden="1">
              <a:extLst>
                <a:ext uri="{63B3BB69-23CF-44E3-9099-C40C66FF867C}">
                  <a14:compatExt spid="_x0000_s41094"/>
                </a:ext>
                <a:ext uri="{FF2B5EF4-FFF2-40B4-BE49-F238E27FC236}">
                  <a16:creationId xmlns:a16="http://schemas.microsoft.com/office/drawing/2014/main" id="{00000000-0008-0000-0D00-00008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1095" name="Check Box 135" hidden="1">
              <a:extLst>
                <a:ext uri="{63B3BB69-23CF-44E3-9099-C40C66FF867C}">
                  <a14:compatExt spid="_x0000_s41095"/>
                </a:ext>
                <a:ext uri="{FF2B5EF4-FFF2-40B4-BE49-F238E27FC236}">
                  <a16:creationId xmlns:a16="http://schemas.microsoft.com/office/drawing/2014/main" id="{00000000-0008-0000-0D00-00008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1096" name="Check Box 136" hidden="1">
              <a:extLst>
                <a:ext uri="{63B3BB69-23CF-44E3-9099-C40C66FF867C}">
                  <a14:compatExt spid="_x0000_s41096"/>
                </a:ext>
                <a:ext uri="{FF2B5EF4-FFF2-40B4-BE49-F238E27FC236}">
                  <a16:creationId xmlns:a16="http://schemas.microsoft.com/office/drawing/2014/main" id="{00000000-0008-0000-0D00-00008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1097" name="Check Box 137" hidden="1">
              <a:extLst>
                <a:ext uri="{63B3BB69-23CF-44E3-9099-C40C66FF867C}">
                  <a14:compatExt spid="_x0000_s41097"/>
                </a:ext>
                <a:ext uri="{FF2B5EF4-FFF2-40B4-BE49-F238E27FC236}">
                  <a16:creationId xmlns:a16="http://schemas.microsoft.com/office/drawing/2014/main" id="{00000000-0008-0000-0D00-00008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1098" name="Check Box 138" hidden="1">
              <a:extLst>
                <a:ext uri="{63B3BB69-23CF-44E3-9099-C40C66FF867C}">
                  <a14:compatExt spid="_x0000_s41098"/>
                </a:ext>
                <a:ext uri="{FF2B5EF4-FFF2-40B4-BE49-F238E27FC236}">
                  <a16:creationId xmlns:a16="http://schemas.microsoft.com/office/drawing/2014/main" id="{00000000-0008-0000-0D00-00008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1099" name="Check Box 139" hidden="1">
              <a:extLst>
                <a:ext uri="{63B3BB69-23CF-44E3-9099-C40C66FF867C}">
                  <a14:compatExt spid="_x0000_s41099"/>
                </a:ext>
                <a:ext uri="{FF2B5EF4-FFF2-40B4-BE49-F238E27FC236}">
                  <a16:creationId xmlns:a16="http://schemas.microsoft.com/office/drawing/2014/main" id="{00000000-0008-0000-0D00-00008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1100" name="Check Box 140" hidden="1">
              <a:extLst>
                <a:ext uri="{63B3BB69-23CF-44E3-9099-C40C66FF867C}">
                  <a14:compatExt spid="_x0000_s41100"/>
                </a:ext>
                <a:ext uri="{FF2B5EF4-FFF2-40B4-BE49-F238E27FC236}">
                  <a16:creationId xmlns:a16="http://schemas.microsoft.com/office/drawing/2014/main" id="{00000000-0008-0000-0D00-00008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1101" name="Check Box 141" hidden="1">
              <a:extLst>
                <a:ext uri="{63B3BB69-23CF-44E3-9099-C40C66FF867C}">
                  <a14:compatExt spid="_x0000_s41101"/>
                </a:ext>
                <a:ext uri="{FF2B5EF4-FFF2-40B4-BE49-F238E27FC236}">
                  <a16:creationId xmlns:a16="http://schemas.microsoft.com/office/drawing/2014/main" id="{00000000-0008-0000-0D00-00008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1102" name="Check Box 142" hidden="1">
              <a:extLst>
                <a:ext uri="{63B3BB69-23CF-44E3-9099-C40C66FF867C}">
                  <a14:compatExt spid="_x0000_s41102"/>
                </a:ext>
                <a:ext uri="{FF2B5EF4-FFF2-40B4-BE49-F238E27FC236}">
                  <a16:creationId xmlns:a16="http://schemas.microsoft.com/office/drawing/2014/main" id="{00000000-0008-0000-0D00-00008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1103" name="Check Box 143" hidden="1">
              <a:extLst>
                <a:ext uri="{63B3BB69-23CF-44E3-9099-C40C66FF867C}">
                  <a14:compatExt spid="_x0000_s41103"/>
                </a:ext>
                <a:ext uri="{FF2B5EF4-FFF2-40B4-BE49-F238E27FC236}">
                  <a16:creationId xmlns:a16="http://schemas.microsoft.com/office/drawing/2014/main" id="{00000000-0008-0000-0D00-00008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1104" name="Check Box 144" hidden="1">
              <a:extLst>
                <a:ext uri="{63B3BB69-23CF-44E3-9099-C40C66FF867C}">
                  <a14:compatExt spid="_x0000_s41104"/>
                </a:ext>
                <a:ext uri="{FF2B5EF4-FFF2-40B4-BE49-F238E27FC236}">
                  <a16:creationId xmlns:a16="http://schemas.microsoft.com/office/drawing/2014/main" id="{00000000-0008-0000-0D00-00009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1105" name="Check Box 145" hidden="1">
              <a:extLst>
                <a:ext uri="{63B3BB69-23CF-44E3-9099-C40C66FF867C}">
                  <a14:compatExt spid="_x0000_s41105"/>
                </a:ext>
                <a:ext uri="{FF2B5EF4-FFF2-40B4-BE49-F238E27FC236}">
                  <a16:creationId xmlns:a16="http://schemas.microsoft.com/office/drawing/2014/main" id="{00000000-0008-0000-0D00-00009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1106" name="Check Box 146" hidden="1">
              <a:extLst>
                <a:ext uri="{63B3BB69-23CF-44E3-9099-C40C66FF867C}">
                  <a14:compatExt spid="_x0000_s41106"/>
                </a:ext>
                <a:ext uri="{FF2B5EF4-FFF2-40B4-BE49-F238E27FC236}">
                  <a16:creationId xmlns:a16="http://schemas.microsoft.com/office/drawing/2014/main" id="{00000000-0008-0000-0D00-00009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1107" name="Check Box 147" hidden="1">
              <a:extLst>
                <a:ext uri="{63B3BB69-23CF-44E3-9099-C40C66FF867C}">
                  <a14:compatExt spid="_x0000_s41107"/>
                </a:ext>
                <a:ext uri="{FF2B5EF4-FFF2-40B4-BE49-F238E27FC236}">
                  <a16:creationId xmlns:a16="http://schemas.microsoft.com/office/drawing/2014/main" id="{00000000-0008-0000-0D00-00009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23</xdr:row>
          <xdr:rowOff>28575</xdr:rowOff>
        </xdr:from>
        <xdr:to>
          <xdr:col>5</xdr:col>
          <xdr:colOff>447675</xdr:colOff>
          <xdr:row>24</xdr:row>
          <xdr:rowOff>0</xdr:rowOff>
        </xdr:to>
        <xdr:sp macro="" textlink="">
          <xdr:nvSpPr>
            <xdr:cNvPr id="41108" name="Check Box 148" hidden="1">
              <a:extLst>
                <a:ext uri="{63B3BB69-23CF-44E3-9099-C40C66FF867C}">
                  <a14:compatExt spid="_x0000_s41108"/>
                </a:ext>
                <a:ext uri="{FF2B5EF4-FFF2-40B4-BE49-F238E27FC236}">
                  <a16:creationId xmlns:a16="http://schemas.microsoft.com/office/drawing/2014/main" id="{00000000-0008-0000-0D00-00009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23</xdr:row>
          <xdr:rowOff>28575</xdr:rowOff>
        </xdr:from>
        <xdr:to>
          <xdr:col>6</xdr:col>
          <xdr:colOff>419100</xdr:colOff>
          <xdr:row>24</xdr:row>
          <xdr:rowOff>0</xdr:rowOff>
        </xdr:to>
        <xdr:sp macro="" textlink="">
          <xdr:nvSpPr>
            <xdr:cNvPr id="41109" name="Check Box 149" hidden="1">
              <a:extLst>
                <a:ext uri="{63B3BB69-23CF-44E3-9099-C40C66FF867C}">
                  <a14:compatExt spid="_x0000_s41109"/>
                </a:ext>
                <a:ext uri="{FF2B5EF4-FFF2-40B4-BE49-F238E27FC236}">
                  <a16:creationId xmlns:a16="http://schemas.microsoft.com/office/drawing/2014/main" id="{00000000-0008-0000-0D00-00009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23</xdr:row>
          <xdr:rowOff>28575</xdr:rowOff>
        </xdr:from>
        <xdr:to>
          <xdr:col>7</xdr:col>
          <xdr:colOff>419100</xdr:colOff>
          <xdr:row>24</xdr:row>
          <xdr:rowOff>0</xdr:rowOff>
        </xdr:to>
        <xdr:sp macro="" textlink="">
          <xdr:nvSpPr>
            <xdr:cNvPr id="41110" name="Check Box 150" hidden="1">
              <a:extLst>
                <a:ext uri="{63B3BB69-23CF-44E3-9099-C40C66FF867C}">
                  <a14:compatExt spid="_x0000_s41110"/>
                </a:ext>
                <a:ext uri="{FF2B5EF4-FFF2-40B4-BE49-F238E27FC236}">
                  <a16:creationId xmlns:a16="http://schemas.microsoft.com/office/drawing/2014/main" id="{00000000-0008-0000-0D00-00009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23</xdr:row>
          <xdr:rowOff>28575</xdr:rowOff>
        </xdr:from>
        <xdr:to>
          <xdr:col>5</xdr:col>
          <xdr:colOff>447675</xdr:colOff>
          <xdr:row>24</xdr:row>
          <xdr:rowOff>0</xdr:rowOff>
        </xdr:to>
        <xdr:sp macro="" textlink="">
          <xdr:nvSpPr>
            <xdr:cNvPr id="41111" name="Check Box 151" hidden="1">
              <a:extLst>
                <a:ext uri="{63B3BB69-23CF-44E3-9099-C40C66FF867C}">
                  <a14:compatExt spid="_x0000_s41111"/>
                </a:ext>
                <a:ext uri="{FF2B5EF4-FFF2-40B4-BE49-F238E27FC236}">
                  <a16:creationId xmlns:a16="http://schemas.microsoft.com/office/drawing/2014/main" id="{00000000-0008-0000-0D00-00009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23</xdr:row>
          <xdr:rowOff>28575</xdr:rowOff>
        </xdr:from>
        <xdr:to>
          <xdr:col>6</xdr:col>
          <xdr:colOff>419100</xdr:colOff>
          <xdr:row>24</xdr:row>
          <xdr:rowOff>0</xdr:rowOff>
        </xdr:to>
        <xdr:sp macro="" textlink="">
          <xdr:nvSpPr>
            <xdr:cNvPr id="41112" name="Check Box 152" hidden="1">
              <a:extLst>
                <a:ext uri="{63B3BB69-23CF-44E3-9099-C40C66FF867C}">
                  <a14:compatExt spid="_x0000_s41112"/>
                </a:ext>
                <a:ext uri="{FF2B5EF4-FFF2-40B4-BE49-F238E27FC236}">
                  <a16:creationId xmlns:a16="http://schemas.microsoft.com/office/drawing/2014/main" id="{00000000-0008-0000-0D00-00009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23</xdr:row>
          <xdr:rowOff>28575</xdr:rowOff>
        </xdr:from>
        <xdr:to>
          <xdr:col>7</xdr:col>
          <xdr:colOff>419100</xdr:colOff>
          <xdr:row>24</xdr:row>
          <xdr:rowOff>0</xdr:rowOff>
        </xdr:to>
        <xdr:sp macro="" textlink="">
          <xdr:nvSpPr>
            <xdr:cNvPr id="41113" name="Check Box 153" hidden="1">
              <a:extLst>
                <a:ext uri="{63B3BB69-23CF-44E3-9099-C40C66FF867C}">
                  <a14:compatExt spid="_x0000_s41113"/>
                </a:ext>
                <a:ext uri="{FF2B5EF4-FFF2-40B4-BE49-F238E27FC236}">
                  <a16:creationId xmlns:a16="http://schemas.microsoft.com/office/drawing/2014/main" id="{00000000-0008-0000-0D00-00009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1114" name="Check Box 154" hidden="1">
              <a:extLst>
                <a:ext uri="{63B3BB69-23CF-44E3-9099-C40C66FF867C}">
                  <a14:compatExt spid="_x0000_s41114"/>
                </a:ext>
                <a:ext uri="{FF2B5EF4-FFF2-40B4-BE49-F238E27FC236}">
                  <a16:creationId xmlns:a16="http://schemas.microsoft.com/office/drawing/2014/main" id="{00000000-0008-0000-0D00-00009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1115" name="Check Box 155" hidden="1">
              <a:extLst>
                <a:ext uri="{63B3BB69-23CF-44E3-9099-C40C66FF867C}">
                  <a14:compatExt spid="_x0000_s41115"/>
                </a:ext>
                <a:ext uri="{FF2B5EF4-FFF2-40B4-BE49-F238E27FC236}">
                  <a16:creationId xmlns:a16="http://schemas.microsoft.com/office/drawing/2014/main" id="{00000000-0008-0000-0D00-00009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1116" name="Check Box 156" hidden="1">
              <a:extLst>
                <a:ext uri="{63B3BB69-23CF-44E3-9099-C40C66FF867C}">
                  <a14:compatExt spid="_x0000_s41116"/>
                </a:ext>
                <a:ext uri="{FF2B5EF4-FFF2-40B4-BE49-F238E27FC236}">
                  <a16:creationId xmlns:a16="http://schemas.microsoft.com/office/drawing/2014/main" id="{00000000-0008-0000-0D00-00009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1117" name="Check Box 157" hidden="1">
              <a:extLst>
                <a:ext uri="{63B3BB69-23CF-44E3-9099-C40C66FF867C}">
                  <a14:compatExt spid="_x0000_s41117"/>
                </a:ext>
                <a:ext uri="{FF2B5EF4-FFF2-40B4-BE49-F238E27FC236}">
                  <a16:creationId xmlns:a16="http://schemas.microsoft.com/office/drawing/2014/main" id="{00000000-0008-0000-0D00-00009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1118" name="Check Box 158" hidden="1">
              <a:extLst>
                <a:ext uri="{63B3BB69-23CF-44E3-9099-C40C66FF867C}">
                  <a14:compatExt spid="_x0000_s41118"/>
                </a:ext>
                <a:ext uri="{FF2B5EF4-FFF2-40B4-BE49-F238E27FC236}">
                  <a16:creationId xmlns:a16="http://schemas.microsoft.com/office/drawing/2014/main" id="{00000000-0008-0000-0D00-00009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1119" name="Check Box 159" hidden="1">
              <a:extLst>
                <a:ext uri="{63B3BB69-23CF-44E3-9099-C40C66FF867C}">
                  <a14:compatExt spid="_x0000_s41119"/>
                </a:ext>
                <a:ext uri="{FF2B5EF4-FFF2-40B4-BE49-F238E27FC236}">
                  <a16:creationId xmlns:a16="http://schemas.microsoft.com/office/drawing/2014/main" id="{00000000-0008-0000-0D00-00009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120" name="Check Box 160" hidden="1">
              <a:extLst>
                <a:ext uri="{63B3BB69-23CF-44E3-9099-C40C66FF867C}">
                  <a14:compatExt spid="_x0000_s41120"/>
                </a:ext>
                <a:ext uri="{FF2B5EF4-FFF2-40B4-BE49-F238E27FC236}">
                  <a16:creationId xmlns:a16="http://schemas.microsoft.com/office/drawing/2014/main" id="{00000000-0008-0000-0D00-0000A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121" name="Check Box 161" hidden="1">
              <a:extLst>
                <a:ext uri="{63B3BB69-23CF-44E3-9099-C40C66FF867C}">
                  <a14:compatExt spid="_x0000_s41121"/>
                </a:ext>
                <a:ext uri="{FF2B5EF4-FFF2-40B4-BE49-F238E27FC236}">
                  <a16:creationId xmlns:a16="http://schemas.microsoft.com/office/drawing/2014/main" id="{00000000-0008-0000-0D00-0000A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122" name="Check Box 162" hidden="1">
              <a:extLst>
                <a:ext uri="{63B3BB69-23CF-44E3-9099-C40C66FF867C}">
                  <a14:compatExt spid="_x0000_s41122"/>
                </a:ext>
                <a:ext uri="{FF2B5EF4-FFF2-40B4-BE49-F238E27FC236}">
                  <a16:creationId xmlns:a16="http://schemas.microsoft.com/office/drawing/2014/main" id="{00000000-0008-0000-0D00-0000A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123" name="Check Box 163" hidden="1">
              <a:extLst>
                <a:ext uri="{63B3BB69-23CF-44E3-9099-C40C66FF867C}">
                  <a14:compatExt spid="_x0000_s41123"/>
                </a:ext>
                <a:ext uri="{FF2B5EF4-FFF2-40B4-BE49-F238E27FC236}">
                  <a16:creationId xmlns:a16="http://schemas.microsoft.com/office/drawing/2014/main" id="{00000000-0008-0000-0D00-0000A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124" name="Check Box 164" hidden="1">
              <a:extLst>
                <a:ext uri="{63B3BB69-23CF-44E3-9099-C40C66FF867C}">
                  <a14:compatExt spid="_x0000_s41124"/>
                </a:ext>
                <a:ext uri="{FF2B5EF4-FFF2-40B4-BE49-F238E27FC236}">
                  <a16:creationId xmlns:a16="http://schemas.microsoft.com/office/drawing/2014/main" id="{00000000-0008-0000-0D00-0000A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125" name="Check Box 165" hidden="1">
              <a:extLst>
                <a:ext uri="{63B3BB69-23CF-44E3-9099-C40C66FF867C}">
                  <a14:compatExt spid="_x0000_s41125"/>
                </a:ext>
                <a:ext uri="{FF2B5EF4-FFF2-40B4-BE49-F238E27FC236}">
                  <a16:creationId xmlns:a16="http://schemas.microsoft.com/office/drawing/2014/main" id="{00000000-0008-0000-0D00-0000A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1126" name="Check Box 166" hidden="1">
              <a:extLst>
                <a:ext uri="{63B3BB69-23CF-44E3-9099-C40C66FF867C}">
                  <a14:compatExt spid="_x0000_s41126"/>
                </a:ext>
                <a:ext uri="{FF2B5EF4-FFF2-40B4-BE49-F238E27FC236}">
                  <a16:creationId xmlns:a16="http://schemas.microsoft.com/office/drawing/2014/main" id="{00000000-0008-0000-0D00-0000A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1127" name="Check Box 167" hidden="1">
              <a:extLst>
                <a:ext uri="{63B3BB69-23CF-44E3-9099-C40C66FF867C}">
                  <a14:compatExt spid="_x0000_s41127"/>
                </a:ext>
                <a:ext uri="{FF2B5EF4-FFF2-40B4-BE49-F238E27FC236}">
                  <a16:creationId xmlns:a16="http://schemas.microsoft.com/office/drawing/2014/main" id="{00000000-0008-0000-0D00-0000A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1128" name="Check Box 168" hidden="1">
              <a:extLst>
                <a:ext uri="{63B3BB69-23CF-44E3-9099-C40C66FF867C}">
                  <a14:compatExt spid="_x0000_s41128"/>
                </a:ext>
                <a:ext uri="{FF2B5EF4-FFF2-40B4-BE49-F238E27FC236}">
                  <a16:creationId xmlns:a16="http://schemas.microsoft.com/office/drawing/2014/main" id="{00000000-0008-0000-0D00-0000A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1129" name="Check Box 169" hidden="1">
              <a:extLst>
                <a:ext uri="{63B3BB69-23CF-44E3-9099-C40C66FF867C}">
                  <a14:compatExt spid="_x0000_s41129"/>
                </a:ext>
                <a:ext uri="{FF2B5EF4-FFF2-40B4-BE49-F238E27FC236}">
                  <a16:creationId xmlns:a16="http://schemas.microsoft.com/office/drawing/2014/main" id="{00000000-0008-0000-0D00-0000A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1130" name="Check Box 170" hidden="1">
              <a:extLst>
                <a:ext uri="{63B3BB69-23CF-44E3-9099-C40C66FF867C}">
                  <a14:compatExt spid="_x0000_s41130"/>
                </a:ext>
                <a:ext uri="{FF2B5EF4-FFF2-40B4-BE49-F238E27FC236}">
                  <a16:creationId xmlns:a16="http://schemas.microsoft.com/office/drawing/2014/main" id="{00000000-0008-0000-0D00-0000A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1131" name="Check Box 171" hidden="1">
              <a:extLst>
                <a:ext uri="{63B3BB69-23CF-44E3-9099-C40C66FF867C}">
                  <a14:compatExt spid="_x0000_s41131"/>
                </a:ext>
                <a:ext uri="{FF2B5EF4-FFF2-40B4-BE49-F238E27FC236}">
                  <a16:creationId xmlns:a16="http://schemas.microsoft.com/office/drawing/2014/main" id="{00000000-0008-0000-0D00-0000A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1132" name="Check Box 172" hidden="1">
              <a:extLst>
                <a:ext uri="{63B3BB69-23CF-44E3-9099-C40C66FF867C}">
                  <a14:compatExt spid="_x0000_s41132"/>
                </a:ext>
                <a:ext uri="{FF2B5EF4-FFF2-40B4-BE49-F238E27FC236}">
                  <a16:creationId xmlns:a16="http://schemas.microsoft.com/office/drawing/2014/main" id="{00000000-0008-0000-0D00-0000A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1133" name="Check Box 173" hidden="1">
              <a:extLst>
                <a:ext uri="{63B3BB69-23CF-44E3-9099-C40C66FF867C}">
                  <a14:compatExt spid="_x0000_s41133"/>
                </a:ext>
                <a:ext uri="{FF2B5EF4-FFF2-40B4-BE49-F238E27FC236}">
                  <a16:creationId xmlns:a16="http://schemas.microsoft.com/office/drawing/2014/main" id="{00000000-0008-0000-0D00-0000A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1134" name="Check Box 174" hidden="1">
              <a:extLst>
                <a:ext uri="{63B3BB69-23CF-44E3-9099-C40C66FF867C}">
                  <a14:compatExt spid="_x0000_s41134"/>
                </a:ext>
                <a:ext uri="{FF2B5EF4-FFF2-40B4-BE49-F238E27FC236}">
                  <a16:creationId xmlns:a16="http://schemas.microsoft.com/office/drawing/2014/main" id="{00000000-0008-0000-0D00-0000A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1135" name="Check Box 175" hidden="1">
              <a:extLst>
                <a:ext uri="{63B3BB69-23CF-44E3-9099-C40C66FF867C}">
                  <a14:compatExt spid="_x0000_s41135"/>
                </a:ext>
                <a:ext uri="{FF2B5EF4-FFF2-40B4-BE49-F238E27FC236}">
                  <a16:creationId xmlns:a16="http://schemas.microsoft.com/office/drawing/2014/main" id="{00000000-0008-0000-0D00-0000A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1136" name="Check Box 176" hidden="1">
              <a:extLst>
                <a:ext uri="{63B3BB69-23CF-44E3-9099-C40C66FF867C}">
                  <a14:compatExt spid="_x0000_s41136"/>
                </a:ext>
                <a:ext uri="{FF2B5EF4-FFF2-40B4-BE49-F238E27FC236}">
                  <a16:creationId xmlns:a16="http://schemas.microsoft.com/office/drawing/2014/main" id="{00000000-0008-0000-0D00-0000B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1137" name="Check Box 177" hidden="1">
              <a:extLst>
                <a:ext uri="{63B3BB69-23CF-44E3-9099-C40C66FF867C}">
                  <a14:compatExt spid="_x0000_s41137"/>
                </a:ext>
                <a:ext uri="{FF2B5EF4-FFF2-40B4-BE49-F238E27FC236}">
                  <a16:creationId xmlns:a16="http://schemas.microsoft.com/office/drawing/2014/main" id="{00000000-0008-0000-0D00-0000B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1138" name="Check Box 178" hidden="1">
              <a:extLst>
                <a:ext uri="{63B3BB69-23CF-44E3-9099-C40C66FF867C}">
                  <a14:compatExt spid="_x0000_s41138"/>
                </a:ext>
                <a:ext uri="{FF2B5EF4-FFF2-40B4-BE49-F238E27FC236}">
                  <a16:creationId xmlns:a16="http://schemas.microsoft.com/office/drawing/2014/main" id="{00000000-0008-0000-0D00-0000B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1139" name="Check Box 179" hidden="1">
              <a:extLst>
                <a:ext uri="{63B3BB69-23CF-44E3-9099-C40C66FF867C}">
                  <a14:compatExt spid="_x0000_s41139"/>
                </a:ext>
                <a:ext uri="{FF2B5EF4-FFF2-40B4-BE49-F238E27FC236}">
                  <a16:creationId xmlns:a16="http://schemas.microsoft.com/office/drawing/2014/main" id="{00000000-0008-0000-0D00-0000B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1140" name="Check Box 180" hidden="1">
              <a:extLst>
                <a:ext uri="{63B3BB69-23CF-44E3-9099-C40C66FF867C}">
                  <a14:compatExt spid="_x0000_s41140"/>
                </a:ext>
                <a:ext uri="{FF2B5EF4-FFF2-40B4-BE49-F238E27FC236}">
                  <a16:creationId xmlns:a16="http://schemas.microsoft.com/office/drawing/2014/main" id="{00000000-0008-0000-0D00-0000B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1141" name="Check Box 181" hidden="1">
              <a:extLst>
                <a:ext uri="{63B3BB69-23CF-44E3-9099-C40C66FF867C}">
                  <a14:compatExt spid="_x0000_s41141"/>
                </a:ext>
                <a:ext uri="{FF2B5EF4-FFF2-40B4-BE49-F238E27FC236}">
                  <a16:creationId xmlns:a16="http://schemas.microsoft.com/office/drawing/2014/main" id="{00000000-0008-0000-0D00-0000B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1142" name="Check Box 182" hidden="1">
              <a:extLst>
                <a:ext uri="{63B3BB69-23CF-44E3-9099-C40C66FF867C}">
                  <a14:compatExt spid="_x0000_s41142"/>
                </a:ext>
                <a:ext uri="{FF2B5EF4-FFF2-40B4-BE49-F238E27FC236}">
                  <a16:creationId xmlns:a16="http://schemas.microsoft.com/office/drawing/2014/main" id="{00000000-0008-0000-0D00-0000B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1143" name="Check Box 183" hidden="1">
              <a:extLst>
                <a:ext uri="{63B3BB69-23CF-44E3-9099-C40C66FF867C}">
                  <a14:compatExt spid="_x0000_s41143"/>
                </a:ext>
                <a:ext uri="{FF2B5EF4-FFF2-40B4-BE49-F238E27FC236}">
                  <a16:creationId xmlns:a16="http://schemas.microsoft.com/office/drawing/2014/main" id="{00000000-0008-0000-0D00-0000B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1144" name="Check Box 184" hidden="1">
              <a:extLst>
                <a:ext uri="{63B3BB69-23CF-44E3-9099-C40C66FF867C}">
                  <a14:compatExt spid="_x0000_s41144"/>
                </a:ext>
                <a:ext uri="{FF2B5EF4-FFF2-40B4-BE49-F238E27FC236}">
                  <a16:creationId xmlns:a16="http://schemas.microsoft.com/office/drawing/2014/main" id="{00000000-0008-0000-0D00-0000B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1145" name="Check Box 185" hidden="1">
              <a:extLst>
                <a:ext uri="{63B3BB69-23CF-44E3-9099-C40C66FF867C}">
                  <a14:compatExt spid="_x0000_s41145"/>
                </a:ext>
                <a:ext uri="{FF2B5EF4-FFF2-40B4-BE49-F238E27FC236}">
                  <a16:creationId xmlns:a16="http://schemas.microsoft.com/office/drawing/2014/main" id="{00000000-0008-0000-0D00-0000B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1146" name="Check Box 186" hidden="1">
              <a:extLst>
                <a:ext uri="{63B3BB69-23CF-44E3-9099-C40C66FF867C}">
                  <a14:compatExt spid="_x0000_s41146"/>
                </a:ext>
                <a:ext uri="{FF2B5EF4-FFF2-40B4-BE49-F238E27FC236}">
                  <a16:creationId xmlns:a16="http://schemas.microsoft.com/office/drawing/2014/main" id="{00000000-0008-0000-0D00-0000B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1147" name="Check Box 187" hidden="1">
              <a:extLst>
                <a:ext uri="{63B3BB69-23CF-44E3-9099-C40C66FF867C}">
                  <a14:compatExt spid="_x0000_s41147"/>
                </a:ext>
                <a:ext uri="{FF2B5EF4-FFF2-40B4-BE49-F238E27FC236}">
                  <a16:creationId xmlns:a16="http://schemas.microsoft.com/office/drawing/2014/main" id="{00000000-0008-0000-0D00-0000B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1148" name="Check Box 188" hidden="1">
              <a:extLst>
                <a:ext uri="{63B3BB69-23CF-44E3-9099-C40C66FF867C}">
                  <a14:compatExt spid="_x0000_s41148"/>
                </a:ext>
                <a:ext uri="{FF2B5EF4-FFF2-40B4-BE49-F238E27FC236}">
                  <a16:creationId xmlns:a16="http://schemas.microsoft.com/office/drawing/2014/main" id="{00000000-0008-0000-0D00-0000B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1149" name="Check Box 189" hidden="1">
              <a:extLst>
                <a:ext uri="{63B3BB69-23CF-44E3-9099-C40C66FF867C}">
                  <a14:compatExt spid="_x0000_s41149"/>
                </a:ext>
                <a:ext uri="{FF2B5EF4-FFF2-40B4-BE49-F238E27FC236}">
                  <a16:creationId xmlns:a16="http://schemas.microsoft.com/office/drawing/2014/main" id="{00000000-0008-0000-0D00-0000B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1150" name="Check Box 190" hidden="1">
              <a:extLst>
                <a:ext uri="{63B3BB69-23CF-44E3-9099-C40C66FF867C}">
                  <a14:compatExt spid="_x0000_s41150"/>
                </a:ext>
                <a:ext uri="{FF2B5EF4-FFF2-40B4-BE49-F238E27FC236}">
                  <a16:creationId xmlns:a16="http://schemas.microsoft.com/office/drawing/2014/main" id="{00000000-0008-0000-0D00-0000B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1151" name="Check Box 191" hidden="1">
              <a:extLst>
                <a:ext uri="{63B3BB69-23CF-44E3-9099-C40C66FF867C}">
                  <a14:compatExt spid="_x0000_s41151"/>
                </a:ext>
                <a:ext uri="{FF2B5EF4-FFF2-40B4-BE49-F238E27FC236}">
                  <a16:creationId xmlns:a16="http://schemas.microsoft.com/office/drawing/2014/main" id="{00000000-0008-0000-0D00-0000B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1152" name="Check Box 192" hidden="1">
              <a:extLst>
                <a:ext uri="{63B3BB69-23CF-44E3-9099-C40C66FF867C}">
                  <a14:compatExt spid="_x0000_s41152"/>
                </a:ext>
                <a:ext uri="{FF2B5EF4-FFF2-40B4-BE49-F238E27FC236}">
                  <a16:creationId xmlns:a16="http://schemas.microsoft.com/office/drawing/2014/main" id="{00000000-0008-0000-0D00-0000C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1153" name="Check Box 193" hidden="1">
              <a:extLst>
                <a:ext uri="{63B3BB69-23CF-44E3-9099-C40C66FF867C}">
                  <a14:compatExt spid="_x0000_s41153"/>
                </a:ext>
                <a:ext uri="{FF2B5EF4-FFF2-40B4-BE49-F238E27FC236}">
                  <a16:creationId xmlns:a16="http://schemas.microsoft.com/office/drawing/2014/main" id="{00000000-0008-0000-0D00-0000C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1154" name="Check Box 194" hidden="1">
              <a:extLst>
                <a:ext uri="{63B3BB69-23CF-44E3-9099-C40C66FF867C}">
                  <a14:compatExt spid="_x0000_s41154"/>
                </a:ext>
                <a:ext uri="{FF2B5EF4-FFF2-40B4-BE49-F238E27FC236}">
                  <a16:creationId xmlns:a16="http://schemas.microsoft.com/office/drawing/2014/main" id="{00000000-0008-0000-0D00-0000C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1155" name="Check Box 195" hidden="1">
              <a:extLst>
                <a:ext uri="{63B3BB69-23CF-44E3-9099-C40C66FF867C}">
                  <a14:compatExt spid="_x0000_s41155"/>
                </a:ext>
                <a:ext uri="{FF2B5EF4-FFF2-40B4-BE49-F238E27FC236}">
                  <a16:creationId xmlns:a16="http://schemas.microsoft.com/office/drawing/2014/main" id="{00000000-0008-0000-0D00-0000C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1156" name="Check Box 196" hidden="1">
              <a:extLst>
                <a:ext uri="{63B3BB69-23CF-44E3-9099-C40C66FF867C}">
                  <a14:compatExt spid="_x0000_s41156"/>
                </a:ext>
                <a:ext uri="{FF2B5EF4-FFF2-40B4-BE49-F238E27FC236}">
                  <a16:creationId xmlns:a16="http://schemas.microsoft.com/office/drawing/2014/main" id="{00000000-0008-0000-0D00-0000C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1157" name="Check Box 197" hidden="1">
              <a:extLst>
                <a:ext uri="{63B3BB69-23CF-44E3-9099-C40C66FF867C}">
                  <a14:compatExt spid="_x0000_s41157"/>
                </a:ext>
                <a:ext uri="{FF2B5EF4-FFF2-40B4-BE49-F238E27FC236}">
                  <a16:creationId xmlns:a16="http://schemas.microsoft.com/office/drawing/2014/main" id="{00000000-0008-0000-0D00-0000C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1158" name="Check Box 198" hidden="1">
              <a:extLst>
                <a:ext uri="{63B3BB69-23CF-44E3-9099-C40C66FF867C}">
                  <a14:compatExt spid="_x0000_s41158"/>
                </a:ext>
                <a:ext uri="{FF2B5EF4-FFF2-40B4-BE49-F238E27FC236}">
                  <a16:creationId xmlns:a16="http://schemas.microsoft.com/office/drawing/2014/main" id="{00000000-0008-0000-0D00-0000C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1159" name="Check Box 199" hidden="1">
              <a:extLst>
                <a:ext uri="{63B3BB69-23CF-44E3-9099-C40C66FF867C}">
                  <a14:compatExt spid="_x0000_s41159"/>
                </a:ext>
                <a:ext uri="{FF2B5EF4-FFF2-40B4-BE49-F238E27FC236}">
                  <a16:creationId xmlns:a16="http://schemas.microsoft.com/office/drawing/2014/main" id="{00000000-0008-0000-0D00-0000C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1160" name="Check Box 200" hidden="1">
              <a:extLst>
                <a:ext uri="{63B3BB69-23CF-44E3-9099-C40C66FF867C}">
                  <a14:compatExt spid="_x0000_s41160"/>
                </a:ext>
                <a:ext uri="{FF2B5EF4-FFF2-40B4-BE49-F238E27FC236}">
                  <a16:creationId xmlns:a16="http://schemas.microsoft.com/office/drawing/2014/main" id="{00000000-0008-0000-0D00-0000C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1161" name="Check Box 201" hidden="1">
              <a:extLst>
                <a:ext uri="{63B3BB69-23CF-44E3-9099-C40C66FF867C}">
                  <a14:compatExt spid="_x0000_s41161"/>
                </a:ext>
                <a:ext uri="{FF2B5EF4-FFF2-40B4-BE49-F238E27FC236}">
                  <a16:creationId xmlns:a16="http://schemas.microsoft.com/office/drawing/2014/main" id="{00000000-0008-0000-0D00-0000C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1162" name="Check Box 202" hidden="1">
              <a:extLst>
                <a:ext uri="{63B3BB69-23CF-44E3-9099-C40C66FF867C}">
                  <a14:compatExt spid="_x0000_s41162"/>
                </a:ext>
                <a:ext uri="{FF2B5EF4-FFF2-40B4-BE49-F238E27FC236}">
                  <a16:creationId xmlns:a16="http://schemas.microsoft.com/office/drawing/2014/main" id="{00000000-0008-0000-0D00-0000C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1163" name="Check Box 203" hidden="1">
              <a:extLst>
                <a:ext uri="{63B3BB69-23CF-44E3-9099-C40C66FF867C}">
                  <a14:compatExt spid="_x0000_s41163"/>
                </a:ext>
                <a:ext uri="{FF2B5EF4-FFF2-40B4-BE49-F238E27FC236}">
                  <a16:creationId xmlns:a16="http://schemas.microsoft.com/office/drawing/2014/main" id="{00000000-0008-0000-0D00-0000C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1164" name="Check Box 204" hidden="1">
              <a:extLst>
                <a:ext uri="{63B3BB69-23CF-44E3-9099-C40C66FF867C}">
                  <a14:compatExt spid="_x0000_s41164"/>
                </a:ext>
                <a:ext uri="{FF2B5EF4-FFF2-40B4-BE49-F238E27FC236}">
                  <a16:creationId xmlns:a16="http://schemas.microsoft.com/office/drawing/2014/main" id="{00000000-0008-0000-0D00-0000C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1165" name="Check Box 205" hidden="1">
              <a:extLst>
                <a:ext uri="{63B3BB69-23CF-44E3-9099-C40C66FF867C}">
                  <a14:compatExt spid="_x0000_s41165"/>
                </a:ext>
                <a:ext uri="{FF2B5EF4-FFF2-40B4-BE49-F238E27FC236}">
                  <a16:creationId xmlns:a16="http://schemas.microsoft.com/office/drawing/2014/main" id="{00000000-0008-0000-0D00-0000C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1166" name="Check Box 206" hidden="1">
              <a:extLst>
                <a:ext uri="{63B3BB69-23CF-44E3-9099-C40C66FF867C}">
                  <a14:compatExt spid="_x0000_s41166"/>
                </a:ext>
                <a:ext uri="{FF2B5EF4-FFF2-40B4-BE49-F238E27FC236}">
                  <a16:creationId xmlns:a16="http://schemas.microsoft.com/office/drawing/2014/main" id="{00000000-0008-0000-0D00-0000C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1167" name="Check Box 207" hidden="1">
              <a:extLst>
                <a:ext uri="{63B3BB69-23CF-44E3-9099-C40C66FF867C}">
                  <a14:compatExt spid="_x0000_s41167"/>
                </a:ext>
                <a:ext uri="{FF2B5EF4-FFF2-40B4-BE49-F238E27FC236}">
                  <a16:creationId xmlns:a16="http://schemas.microsoft.com/office/drawing/2014/main" id="{00000000-0008-0000-0D00-0000C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38</xdr:row>
          <xdr:rowOff>28575</xdr:rowOff>
        </xdr:from>
        <xdr:to>
          <xdr:col>5</xdr:col>
          <xdr:colOff>447675</xdr:colOff>
          <xdr:row>39</xdr:row>
          <xdr:rowOff>0</xdr:rowOff>
        </xdr:to>
        <xdr:sp macro="" textlink="">
          <xdr:nvSpPr>
            <xdr:cNvPr id="41168" name="Check Box 208" hidden="1">
              <a:extLst>
                <a:ext uri="{63B3BB69-23CF-44E3-9099-C40C66FF867C}">
                  <a14:compatExt spid="_x0000_s41168"/>
                </a:ext>
                <a:ext uri="{FF2B5EF4-FFF2-40B4-BE49-F238E27FC236}">
                  <a16:creationId xmlns:a16="http://schemas.microsoft.com/office/drawing/2014/main" id="{00000000-0008-0000-0D00-0000D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38</xdr:row>
          <xdr:rowOff>28575</xdr:rowOff>
        </xdr:from>
        <xdr:to>
          <xdr:col>6</xdr:col>
          <xdr:colOff>419100</xdr:colOff>
          <xdr:row>39</xdr:row>
          <xdr:rowOff>0</xdr:rowOff>
        </xdr:to>
        <xdr:sp macro="" textlink="">
          <xdr:nvSpPr>
            <xdr:cNvPr id="41169" name="Check Box 209" hidden="1">
              <a:extLst>
                <a:ext uri="{63B3BB69-23CF-44E3-9099-C40C66FF867C}">
                  <a14:compatExt spid="_x0000_s41169"/>
                </a:ext>
                <a:ext uri="{FF2B5EF4-FFF2-40B4-BE49-F238E27FC236}">
                  <a16:creationId xmlns:a16="http://schemas.microsoft.com/office/drawing/2014/main" id="{00000000-0008-0000-0D00-0000D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38</xdr:row>
          <xdr:rowOff>28575</xdr:rowOff>
        </xdr:from>
        <xdr:to>
          <xdr:col>7</xdr:col>
          <xdr:colOff>419100</xdr:colOff>
          <xdr:row>39</xdr:row>
          <xdr:rowOff>0</xdr:rowOff>
        </xdr:to>
        <xdr:sp macro="" textlink="">
          <xdr:nvSpPr>
            <xdr:cNvPr id="41170" name="Check Box 210" hidden="1">
              <a:extLst>
                <a:ext uri="{63B3BB69-23CF-44E3-9099-C40C66FF867C}">
                  <a14:compatExt spid="_x0000_s41170"/>
                </a:ext>
                <a:ext uri="{FF2B5EF4-FFF2-40B4-BE49-F238E27FC236}">
                  <a16:creationId xmlns:a16="http://schemas.microsoft.com/office/drawing/2014/main" id="{00000000-0008-0000-0D00-0000D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38</xdr:row>
          <xdr:rowOff>28575</xdr:rowOff>
        </xdr:from>
        <xdr:to>
          <xdr:col>5</xdr:col>
          <xdr:colOff>447675</xdr:colOff>
          <xdr:row>39</xdr:row>
          <xdr:rowOff>0</xdr:rowOff>
        </xdr:to>
        <xdr:sp macro="" textlink="">
          <xdr:nvSpPr>
            <xdr:cNvPr id="41171" name="Check Box 211" hidden="1">
              <a:extLst>
                <a:ext uri="{63B3BB69-23CF-44E3-9099-C40C66FF867C}">
                  <a14:compatExt spid="_x0000_s41171"/>
                </a:ext>
                <a:ext uri="{FF2B5EF4-FFF2-40B4-BE49-F238E27FC236}">
                  <a16:creationId xmlns:a16="http://schemas.microsoft.com/office/drawing/2014/main" id="{00000000-0008-0000-0D00-0000D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38</xdr:row>
          <xdr:rowOff>28575</xdr:rowOff>
        </xdr:from>
        <xdr:to>
          <xdr:col>6</xdr:col>
          <xdr:colOff>419100</xdr:colOff>
          <xdr:row>39</xdr:row>
          <xdr:rowOff>0</xdr:rowOff>
        </xdr:to>
        <xdr:sp macro="" textlink="">
          <xdr:nvSpPr>
            <xdr:cNvPr id="41172" name="Check Box 212" hidden="1">
              <a:extLst>
                <a:ext uri="{63B3BB69-23CF-44E3-9099-C40C66FF867C}">
                  <a14:compatExt spid="_x0000_s41172"/>
                </a:ext>
                <a:ext uri="{FF2B5EF4-FFF2-40B4-BE49-F238E27FC236}">
                  <a16:creationId xmlns:a16="http://schemas.microsoft.com/office/drawing/2014/main" id="{00000000-0008-0000-0D00-0000D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38</xdr:row>
          <xdr:rowOff>28575</xdr:rowOff>
        </xdr:from>
        <xdr:to>
          <xdr:col>7</xdr:col>
          <xdr:colOff>419100</xdr:colOff>
          <xdr:row>39</xdr:row>
          <xdr:rowOff>0</xdr:rowOff>
        </xdr:to>
        <xdr:sp macro="" textlink="">
          <xdr:nvSpPr>
            <xdr:cNvPr id="41173" name="Check Box 213" hidden="1">
              <a:extLst>
                <a:ext uri="{63B3BB69-23CF-44E3-9099-C40C66FF867C}">
                  <a14:compatExt spid="_x0000_s41173"/>
                </a:ext>
                <a:ext uri="{FF2B5EF4-FFF2-40B4-BE49-F238E27FC236}">
                  <a16:creationId xmlns:a16="http://schemas.microsoft.com/office/drawing/2014/main" id="{00000000-0008-0000-0D00-0000D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1174" name="Check Box 214" hidden="1">
              <a:extLst>
                <a:ext uri="{63B3BB69-23CF-44E3-9099-C40C66FF867C}">
                  <a14:compatExt spid="_x0000_s41174"/>
                </a:ext>
                <a:ext uri="{FF2B5EF4-FFF2-40B4-BE49-F238E27FC236}">
                  <a16:creationId xmlns:a16="http://schemas.microsoft.com/office/drawing/2014/main" id="{00000000-0008-0000-0D00-0000D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1175" name="Check Box 215" hidden="1">
              <a:extLst>
                <a:ext uri="{63B3BB69-23CF-44E3-9099-C40C66FF867C}">
                  <a14:compatExt spid="_x0000_s41175"/>
                </a:ext>
                <a:ext uri="{FF2B5EF4-FFF2-40B4-BE49-F238E27FC236}">
                  <a16:creationId xmlns:a16="http://schemas.microsoft.com/office/drawing/2014/main" id="{00000000-0008-0000-0D00-0000D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1176" name="Check Box 216" hidden="1">
              <a:extLst>
                <a:ext uri="{63B3BB69-23CF-44E3-9099-C40C66FF867C}">
                  <a14:compatExt spid="_x0000_s41176"/>
                </a:ext>
                <a:ext uri="{FF2B5EF4-FFF2-40B4-BE49-F238E27FC236}">
                  <a16:creationId xmlns:a16="http://schemas.microsoft.com/office/drawing/2014/main" id="{00000000-0008-0000-0D00-0000D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1177" name="Check Box 217" hidden="1">
              <a:extLst>
                <a:ext uri="{63B3BB69-23CF-44E3-9099-C40C66FF867C}">
                  <a14:compatExt spid="_x0000_s41177"/>
                </a:ext>
                <a:ext uri="{FF2B5EF4-FFF2-40B4-BE49-F238E27FC236}">
                  <a16:creationId xmlns:a16="http://schemas.microsoft.com/office/drawing/2014/main" id="{00000000-0008-0000-0D00-0000D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1178" name="Check Box 218" hidden="1">
              <a:extLst>
                <a:ext uri="{63B3BB69-23CF-44E3-9099-C40C66FF867C}">
                  <a14:compatExt spid="_x0000_s41178"/>
                </a:ext>
                <a:ext uri="{FF2B5EF4-FFF2-40B4-BE49-F238E27FC236}">
                  <a16:creationId xmlns:a16="http://schemas.microsoft.com/office/drawing/2014/main" id="{00000000-0008-0000-0D00-0000D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1179" name="Check Box 219" hidden="1">
              <a:extLst>
                <a:ext uri="{63B3BB69-23CF-44E3-9099-C40C66FF867C}">
                  <a14:compatExt spid="_x0000_s41179"/>
                </a:ext>
                <a:ext uri="{FF2B5EF4-FFF2-40B4-BE49-F238E27FC236}">
                  <a16:creationId xmlns:a16="http://schemas.microsoft.com/office/drawing/2014/main" id="{00000000-0008-0000-0D00-0000D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1180" name="Check Box 220" hidden="1">
              <a:extLst>
                <a:ext uri="{63B3BB69-23CF-44E3-9099-C40C66FF867C}">
                  <a14:compatExt spid="_x0000_s41180"/>
                </a:ext>
                <a:ext uri="{FF2B5EF4-FFF2-40B4-BE49-F238E27FC236}">
                  <a16:creationId xmlns:a16="http://schemas.microsoft.com/office/drawing/2014/main" id="{00000000-0008-0000-0D00-0000D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1181" name="Check Box 221" hidden="1">
              <a:extLst>
                <a:ext uri="{63B3BB69-23CF-44E3-9099-C40C66FF867C}">
                  <a14:compatExt spid="_x0000_s41181"/>
                </a:ext>
                <a:ext uri="{FF2B5EF4-FFF2-40B4-BE49-F238E27FC236}">
                  <a16:creationId xmlns:a16="http://schemas.microsoft.com/office/drawing/2014/main" id="{00000000-0008-0000-0D00-0000D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1182" name="Check Box 222" hidden="1">
              <a:extLst>
                <a:ext uri="{63B3BB69-23CF-44E3-9099-C40C66FF867C}">
                  <a14:compatExt spid="_x0000_s41182"/>
                </a:ext>
                <a:ext uri="{FF2B5EF4-FFF2-40B4-BE49-F238E27FC236}">
                  <a16:creationId xmlns:a16="http://schemas.microsoft.com/office/drawing/2014/main" id="{00000000-0008-0000-0D00-0000D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1183" name="Check Box 223" hidden="1">
              <a:extLst>
                <a:ext uri="{63B3BB69-23CF-44E3-9099-C40C66FF867C}">
                  <a14:compatExt spid="_x0000_s41183"/>
                </a:ext>
                <a:ext uri="{FF2B5EF4-FFF2-40B4-BE49-F238E27FC236}">
                  <a16:creationId xmlns:a16="http://schemas.microsoft.com/office/drawing/2014/main" id="{00000000-0008-0000-0D00-0000D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1184" name="Check Box 224" hidden="1">
              <a:extLst>
                <a:ext uri="{63B3BB69-23CF-44E3-9099-C40C66FF867C}">
                  <a14:compatExt spid="_x0000_s41184"/>
                </a:ext>
                <a:ext uri="{FF2B5EF4-FFF2-40B4-BE49-F238E27FC236}">
                  <a16:creationId xmlns:a16="http://schemas.microsoft.com/office/drawing/2014/main" id="{00000000-0008-0000-0D00-0000E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1185" name="Check Box 225" hidden="1">
              <a:extLst>
                <a:ext uri="{63B3BB69-23CF-44E3-9099-C40C66FF867C}">
                  <a14:compatExt spid="_x0000_s41185"/>
                </a:ext>
                <a:ext uri="{FF2B5EF4-FFF2-40B4-BE49-F238E27FC236}">
                  <a16:creationId xmlns:a16="http://schemas.microsoft.com/office/drawing/2014/main" id="{00000000-0008-0000-0D00-0000E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1186" name="Check Box 226" hidden="1">
              <a:extLst>
                <a:ext uri="{63B3BB69-23CF-44E3-9099-C40C66FF867C}">
                  <a14:compatExt spid="_x0000_s41186"/>
                </a:ext>
                <a:ext uri="{FF2B5EF4-FFF2-40B4-BE49-F238E27FC236}">
                  <a16:creationId xmlns:a16="http://schemas.microsoft.com/office/drawing/2014/main" id="{00000000-0008-0000-0D00-0000E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1187" name="Check Box 227" hidden="1">
              <a:extLst>
                <a:ext uri="{63B3BB69-23CF-44E3-9099-C40C66FF867C}">
                  <a14:compatExt spid="_x0000_s41187"/>
                </a:ext>
                <a:ext uri="{FF2B5EF4-FFF2-40B4-BE49-F238E27FC236}">
                  <a16:creationId xmlns:a16="http://schemas.microsoft.com/office/drawing/2014/main" id="{00000000-0008-0000-0D00-0000E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1188" name="Check Box 228" hidden="1">
              <a:extLst>
                <a:ext uri="{63B3BB69-23CF-44E3-9099-C40C66FF867C}">
                  <a14:compatExt spid="_x0000_s41188"/>
                </a:ext>
                <a:ext uri="{FF2B5EF4-FFF2-40B4-BE49-F238E27FC236}">
                  <a16:creationId xmlns:a16="http://schemas.microsoft.com/office/drawing/2014/main" id="{00000000-0008-0000-0D00-0000E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1189" name="Check Box 229" hidden="1">
              <a:extLst>
                <a:ext uri="{63B3BB69-23CF-44E3-9099-C40C66FF867C}">
                  <a14:compatExt spid="_x0000_s41189"/>
                </a:ext>
                <a:ext uri="{FF2B5EF4-FFF2-40B4-BE49-F238E27FC236}">
                  <a16:creationId xmlns:a16="http://schemas.microsoft.com/office/drawing/2014/main" id="{00000000-0008-0000-0D00-0000E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1190" name="Check Box 230" hidden="1">
              <a:extLst>
                <a:ext uri="{63B3BB69-23CF-44E3-9099-C40C66FF867C}">
                  <a14:compatExt spid="_x0000_s41190"/>
                </a:ext>
                <a:ext uri="{FF2B5EF4-FFF2-40B4-BE49-F238E27FC236}">
                  <a16:creationId xmlns:a16="http://schemas.microsoft.com/office/drawing/2014/main" id="{00000000-0008-0000-0D00-0000E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1191" name="Check Box 231" hidden="1">
              <a:extLst>
                <a:ext uri="{63B3BB69-23CF-44E3-9099-C40C66FF867C}">
                  <a14:compatExt spid="_x0000_s41191"/>
                </a:ext>
                <a:ext uri="{FF2B5EF4-FFF2-40B4-BE49-F238E27FC236}">
                  <a16:creationId xmlns:a16="http://schemas.microsoft.com/office/drawing/2014/main" id="{00000000-0008-0000-0D00-0000E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1192" name="Check Box 232" hidden="1">
              <a:extLst>
                <a:ext uri="{63B3BB69-23CF-44E3-9099-C40C66FF867C}">
                  <a14:compatExt spid="_x0000_s41192"/>
                </a:ext>
                <a:ext uri="{FF2B5EF4-FFF2-40B4-BE49-F238E27FC236}">
                  <a16:creationId xmlns:a16="http://schemas.microsoft.com/office/drawing/2014/main" id="{00000000-0008-0000-0D00-0000E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1193" name="Check Box 233" hidden="1">
              <a:extLst>
                <a:ext uri="{63B3BB69-23CF-44E3-9099-C40C66FF867C}">
                  <a14:compatExt spid="_x0000_s41193"/>
                </a:ext>
                <a:ext uri="{FF2B5EF4-FFF2-40B4-BE49-F238E27FC236}">
                  <a16:creationId xmlns:a16="http://schemas.microsoft.com/office/drawing/2014/main" id="{00000000-0008-0000-0D00-0000E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1194" name="Check Box 234" hidden="1">
              <a:extLst>
                <a:ext uri="{63B3BB69-23CF-44E3-9099-C40C66FF867C}">
                  <a14:compatExt spid="_x0000_s41194"/>
                </a:ext>
                <a:ext uri="{FF2B5EF4-FFF2-40B4-BE49-F238E27FC236}">
                  <a16:creationId xmlns:a16="http://schemas.microsoft.com/office/drawing/2014/main" id="{00000000-0008-0000-0D00-0000E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1195" name="Check Box 235" hidden="1">
              <a:extLst>
                <a:ext uri="{63B3BB69-23CF-44E3-9099-C40C66FF867C}">
                  <a14:compatExt spid="_x0000_s41195"/>
                </a:ext>
                <a:ext uri="{FF2B5EF4-FFF2-40B4-BE49-F238E27FC236}">
                  <a16:creationId xmlns:a16="http://schemas.microsoft.com/office/drawing/2014/main" id="{00000000-0008-0000-0D00-0000E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1196" name="Check Box 236" hidden="1">
              <a:extLst>
                <a:ext uri="{63B3BB69-23CF-44E3-9099-C40C66FF867C}">
                  <a14:compatExt spid="_x0000_s41196"/>
                </a:ext>
                <a:ext uri="{FF2B5EF4-FFF2-40B4-BE49-F238E27FC236}">
                  <a16:creationId xmlns:a16="http://schemas.microsoft.com/office/drawing/2014/main" id="{00000000-0008-0000-0D00-0000E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1197" name="Check Box 237" hidden="1">
              <a:extLst>
                <a:ext uri="{63B3BB69-23CF-44E3-9099-C40C66FF867C}">
                  <a14:compatExt spid="_x0000_s41197"/>
                </a:ext>
                <a:ext uri="{FF2B5EF4-FFF2-40B4-BE49-F238E27FC236}">
                  <a16:creationId xmlns:a16="http://schemas.microsoft.com/office/drawing/2014/main" id="{00000000-0008-0000-0D00-0000E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1198" name="Check Box 238" hidden="1">
              <a:extLst>
                <a:ext uri="{63B3BB69-23CF-44E3-9099-C40C66FF867C}">
                  <a14:compatExt spid="_x0000_s41198"/>
                </a:ext>
                <a:ext uri="{FF2B5EF4-FFF2-40B4-BE49-F238E27FC236}">
                  <a16:creationId xmlns:a16="http://schemas.microsoft.com/office/drawing/2014/main" id="{00000000-0008-0000-0D00-0000E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1199" name="Check Box 239" hidden="1">
              <a:extLst>
                <a:ext uri="{63B3BB69-23CF-44E3-9099-C40C66FF867C}">
                  <a14:compatExt spid="_x0000_s41199"/>
                </a:ext>
                <a:ext uri="{FF2B5EF4-FFF2-40B4-BE49-F238E27FC236}">
                  <a16:creationId xmlns:a16="http://schemas.microsoft.com/office/drawing/2014/main" id="{00000000-0008-0000-0D00-0000E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1200" name="Check Box 240" hidden="1">
              <a:extLst>
                <a:ext uri="{63B3BB69-23CF-44E3-9099-C40C66FF867C}">
                  <a14:compatExt spid="_x0000_s41200"/>
                </a:ext>
                <a:ext uri="{FF2B5EF4-FFF2-40B4-BE49-F238E27FC236}">
                  <a16:creationId xmlns:a16="http://schemas.microsoft.com/office/drawing/2014/main" id="{00000000-0008-0000-0D00-0000F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1201" name="Check Box 241" hidden="1">
              <a:extLst>
                <a:ext uri="{63B3BB69-23CF-44E3-9099-C40C66FF867C}">
                  <a14:compatExt spid="_x0000_s41201"/>
                </a:ext>
                <a:ext uri="{FF2B5EF4-FFF2-40B4-BE49-F238E27FC236}">
                  <a16:creationId xmlns:a16="http://schemas.microsoft.com/office/drawing/2014/main" id="{00000000-0008-0000-0D00-0000F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1202" name="Check Box 242" hidden="1">
              <a:extLst>
                <a:ext uri="{63B3BB69-23CF-44E3-9099-C40C66FF867C}">
                  <a14:compatExt spid="_x0000_s41202"/>
                </a:ext>
                <a:ext uri="{FF2B5EF4-FFF2-40B4-BE49-F238E27FC236}">
                  <a16:creationId xmlns:a16="http://schemas.microsoft.com/office/drawing/2014/main" id="{00000000-0008-0000-0D00-0000F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1203" name="Check Box 243" hidden="1">
              <a:extLst>
                <a:ext uri="{63B3BB69-23CF-44E3-9099-C40C66FF867C}">
                  <a14:compatExt spid="_x0000_s41203"/>
                </a:ext>
                <a:ext uri="{FF2B5EF4-FFF2-40B4-BE49-F238E27FC236}">
                  <a16:creationId xmlns:a16="http://schemas.microsoft.com/office/drawing/2014/main" id="{00000000-0008-0000-0D00-0000F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46</xdr:row>
          <xdr:rowOff>28575</xdr:rowOff>
        </xdr:from>
        <xdr:to>
          <xdr:col>5</xdr:col>
          <xdr:colOff>447675</xdr:colOff>
          <xdr:row>47</xdr:row>
          <xdr:rowOff>0</xdr:rowOff>
        </xdr:to>
        <xdr:sp macro="" textlink="">
          <xdr:nvSpPr>
            <xdr:cNvPr id="41204" name="Check Box 244" hidden="1">
              <a:extLst>
                <a:ext uri="{63B3BB69-23CF-44E3-9099-C40C66FF867C}">
                  <a14:compatExt spid="_x0000_s41204"/>
                </a:ext>
                <a:ext uri="{FF2B5EF4-FFF2-40B4-BE49-F238E27FC236}">
                  <a16:creationId xmlns:a16="http://schemas.microsoft.com/office/drawing/2014/main" id="{00000000-0008-0000-0D00-0000F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46</xdr:row>
          <xdr:rowOff>28575</xdr:rowOff>
        </xdr:from>
        <xdr:to>
          <xdr:col>6</xdr:col>
          <xdr:colOff>419100</xdr:colOff>
          <xdr:row>47</xdr:row>
          <xdr:rowOff>0</xdr:rowOff>
        </xdr:to>
        <xdr:sp macro="" textlink="">
          <xdr:nvSpPr>
            <xdr:cNvPr id="41205" name="Check Box 245" hidden="1">
              <a:extLst>
                <a:ext uri="{63B3BB69-23CF-44E3-9099-C40C66FF867C}">
                  <a14:compatExt spid="_x0000_s41205"/>
                </a:ext>
                <a:ext uri="{FF2B5EF4-FFF2-40B4-BE49-F238E27FC236}">
                  <a16:creationId xmlns:a16="http://schemas.microsoft.com/office/drawing/2014/main" id="{00000000-0008-0000-0D00-0000F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46</xdr:row>
          <xdr:rowOff>28575</xdr:rowOff>
        </xdr:from>
        <xdr:to>
          <xdr:col>7</xdr:col>
          <xdr:colOff>419100</xdr:colOff>
          <xdr:row>47</xdr:row>
          <xdr:rowOff>0</xdr:rowOff>
        </xdr:to>
        <xdr:sp macro="" textlink="">
          <xdr:nvSpPr>
            <xdr:cNvPr id="41206" name="Check Box 246" hidden="1">
              <a:extLst>
                <a:ext uri="{63B3BB69-23CF-44E3-9099-C40C66FF867C}">
                  <a14:compatExt spid="_x0000_s41206"/>
                </a:ext>
                <a:ext uri="{FF2B5EF4-FFF2-40B4-BE49-F238E27FC236}">
                  <a16:creationId xmlns:a16="http://schemas.microsoft.com/office/drawing/2014/main" id="{00000000-0008-0000-0D00-0000F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46</xdr:row>
          <xdr:rowOff>28575</xdr:rowOff>
        </xdr:from>
        <xdr:to>
          <xdr:col>5</xdr:col>
          <xdr:colOff>447675</xdr:colOff>
          <xdr:row>47</xdr:row>
          <xdr:rowOff>0</xdr:rowOff>
        </xdr:to>
        <xdr:sp macro="" textlink="">
          <xdr:nvSpPr>
            <xdr:cNvPr id="41207" name="Check Box 247" hidden="1">
              <a:extLst>
                <a:ext uri="{63B3BB69-23CF-44E3-9099-C40C66FF867C}">
                  <a14:compatExt spid="_x0000_s41207"/>
                </a:ext>
                <a:ext uri="{FF2B5EF4-FFF2-40B4-BE49-F238E27FC236}">
                  <a16:creationId xmlns:a16="http://schemas.microsoft.com/office/drawing/2014/main" id="{00000000-0008-0000-0D00-0000F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46</xdr:row>
          <xdr:rowOff>28575</xdr:rowOff>
        </xdr:from>
        <xdr:to>
          <xdr:col>6</xdr:col>
          <xdr:colOff>419100</xdr:colOff>
          <xdr:row>47</xdr:row>
          <xdr:rowOff>0</xdr:rowOff>
        </xdr:to>
        <xdr:sp macro="" textlink="">
          <xdr:nvSpPr>
            <xdr:cNvPr id="41208" name="Check Box 248" hidden="1">
              <a:extLst>
                <a:ext uri="{63B3BB69-23CF-44E3-9099-C40C66FF867C}">
                  <a14:compatExt spid="_x0000_s41208"/>
                </a:ext>
                <a:ext uri="{FF2B5EF4-FFF2-40B4-BE49-F238E27FC236}">
                  <a16:creationId xmlns:a16="http://schemas.microsoft.com/office/drawing/2014/main" id="{00000000-0008-0000-0D00-0000F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46</xdr:row>
          <xdr:rowOff>28575</xdr:rowOff>
        </xdr:from>
        <xdr:to>
          <xdr:col>7</xdr:col>
          <xdr:colOff>419100</xdr:colOff>
          <xdr:row>47</xdr:row>
          <xdr:rowOff>0</xdr:rowOff>
        </xdr:to>
        <xdr:sp macro="" textlink="">
          <xdr:nvSpPr>
            <xdr:cNvPr id="41209" name="Check Box 249" hidden="1">
              <a:extLst>
                <a:ext uri="{63B3BB69-23CF-44E3-9099-C40C66FF867C}">
                  <a14:compatExt spid="_x0000_s41209"/>
                </a:ext>
                <a:ext uri="{FF2B5EF4-FFF2-40B4-BE49-F238E27FC236}">
                  <a16:creationId xmlns:a16="http://schemas.microsoft.com/office/drawing/2014/main" id="{00000000-0008-0000-0D00-0000F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47</xdr:row>
          <xdr:rowOff>28575</xdr:rowOff>
        </xdr:from>
        <xdr:to>
          <xdr:col>5</xdr:col>
          <xdr:colOff>447675</xdr:colOff>
          <xdr:row>48</xdr:row>
          <xdr:rowOff>0</xdr:rowOff>
        </xdr:to>
        <xdr:sp macro="" textlink="">
          <xdr:nvSpPr>
            <xdr:cNvPr id="41210" name="Check Box 250" hidden="1">
              <a:extLst>
                <a:ext uri="{63B3BB69-23CF-44E3-9099-C40C66FF867C}">
                  <a14:compatExt spid="_x0000_s41210"/>
                </a:ext>
                <a:ext uri="{FF2B5EF4-FFF2-40B4-BE49-F238E27FC236}">
                  <a16:creationId xmlns:a16="http://schemas.microsoft.com/office/drawing/2014/main" id="{00000000-0008-0000-0D00-0000F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47</xdr:row>
          <xdr:rowOff>28575</xdr:rowOff>
        </xdr:from>
        <xdr:to>
          <xdr:col>6</xdr:col>
          <xdr:colOff>419100</xdr:colOff>
          <xdr:row>48</xdr:row>
          <xdr:rowOff>0</xdr:rowOff>
        </xdr:to>
        <xdr:sp macro="" textlink="">
          <xdr:nvSpPr>
            <xdr:cNvPr id="41211" name="Check Box 251" hidden="1">
              <a:extLst>
                <a:ext uri="{63B3BB69-23CF-44E3-9099-C40C66FF867C}">
                  <a14:compatExt spid="_x0000_s41211"/>
                </a:ext>
                <a:ext uri="{FF2B5EF4-FFF2-40B4-BE49-F238E27FC236}">
                  <a16:creationId xmlns:a16="http://schemas.microsoft.com/office/drawing/2014/main" id="{00000000-0008-0000-0D00-0000F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47</xdr:row>
          <xdr:rowOff>28575</xdr:rowOff>
        </xdr:from>
        <xdr:to>
          <xdr:col>7</xdr:col>
          <xdr:colOff>419100</xdr:colOff>
          <xdr:row>48</xdr:row>
          <xdr:rowOff>0</xdr:rowOff>
        </xdr:to>
        <xdr:sp macro="" textlink="">
          <xdr:nvSpPr>
            <xdr:cNvPr id="41212" name="Check Box 252" hidden="1">
              <a:extLst>
                <a:ext uri="{63B3BB69-23CF-44E3-9099-C40C66FF867C}">
                  <a14:compatExt spid="_x0000_s41212"/>
                </a:ext>
                <a:ext uri="{FF2B5EF4-FFF2-40B4-BE49-F238E27FC236}">
                  <a16:creationId xmlns:a16="http://schemas.microsoft.com/office/drawing/2014/main" id="{00000000-0008-0000-0D00-0000F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47</xdr:row>
          <xdr:rowOff>28575</xdr:rowOff>
        </xdr:from>
        <xdr:to>
          <xdr:col>5</xdr:col>
          <xdr:colOff>447675</xdr:colOff>
          <xdr:row>48</xdr:row>
          <xdr:rowOff>0</xdr:rowOff>
        </xdr:to>
        <xdr:sp macro="" textlink="">
          <xdr:nvSpPr>
            <xdr:cNvPr id="41213" name="Check Box 253" hidden="1">
              <a:extLst>
                <a:ext uri="{63B3BB69-23CF-44E3-9099-C40C66FF867C}">
                  <a14:compatExt spid="_x0000_s41213"/>
                </a:ext>
                <a:ext uri="{FF2B5EF4-FFF2-40B4-BE49-F238E27FC236}">
                  <a16:creationId xmlns:a16="http://schemas.microsoft.com/office/drawing/2014/main" id="{00000000-0008-0000-0D00-0000F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47</xdr:row>
          <xdr:rowOff>28575</xdr:rowOff>
        </xdr:from>
        <xdr:to>
          <xdr:col>6</xdr:col>
          <xdr:colOff>419100</xdr:colOff>
          <xdr:row>48</xdr:row>
          <xdr:rowOff>0</xdr:rowOff>
        </xdr:to>
        <xdr:sp macro="" textlink="">
          <xdr:nvSpPr>
            <xdr:cNvPr id="41214" name="Check Box 254" hidden="1">
              <a:extLst>
                <a:ext uri="{63B3BB69-23CF-44E3-9099-C40C66FF867C}">
                  <a14:compatExt spid="_x0000_s41214"/>
                </a:ext>
                <a:ext uri="{FF2B5EF4-FFF2-40B4-BE49-F238E27FC236}">
                  <a16:creationId xmlns:a16="http://schemas.microsoft.com/office/drawing/2014/main" id="{00000000-0008-0000-0D00-0000F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47</xdr:row>
          <xdr:rowOff>28575</xdr:rowOff>
        </xdr:from>
        <xdr:to>
          <xdr:col>7</xdr:col>
          <xdr:colOff>419100</xdr:colOff>
          <xdr:row>48</xdr:row>
          <xdr:rowOff>0</xdr:rowOff>
        </xdr:to>
        <xdr:sp macro="" textlink="">
          <xdr:nvSpPr>
            <xdr:cNvPr id="41215" name="Check Box 255" hidden="1">
              <a:extLst>
                <a:ext uri="{63B3BB69-23CF-44E3-9099-C40C66FF867C}">
                  <a14:compatExt spid="_x0000_s41215"/>
                </a:ext>
                <a:ext uri="{FF2B5EF4-FFF2-40B4-BE49-F238E27FC236}">
                  <a16:creationId xmlns:a16="http://schemas.microsoft.com/office/drawing/2014/main" id="{00000000-0008-0000-0D00-0000F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48</xdr:row>
          <xdr:rowOff>28575</xdr:rowOff>
        </xdr:from>
        <xdr:to>
          <xdr:col>5</xdr:col>
          <xdr:colOff>447675</xdr:colOff>
          <xdr:row>49</xdr:row>
          <xdr:rowOff>0</xdr:rowOff>
        </xdr:to>
        <xdr:sp macro="" textlink="">
          <xdr:nvSpPr>
            <xdr:cNvPr id="41216" name="Check Box 256" hidden="1">
              <a:extLst>
                <a:ext uri="{63B3BB69-23CF-44E3-9099-C40C66FF867C}">
                  <a14:compatExt spid="_x0000_s41216"/>
                </a:ext>
                <a:ext uri="{FF2B5EF4-FFF2-40B4-BE49-F238E27FC236}">
                  <a16:creationId xmlns:a16="http://schemas.microsoft.com/office/drawing/2014/main" id="{00000000-0008-0000-0D00-00000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48</xdr:row>
          <xdr:rowOff>28575</xdr:rowOff>
        </xdr:from>
        <xdr:to>
          <xdr:col>6</xdr:col>
          <xdr:colOff>419100</xdr:colOff>
          <xdr:row>49</xdr:row>
          <xdr:rowOff>0</xdr:rowOff>
        </xdr:to>
        <xdr:sp macro="" textlink="">
          <xdr:nvSpPr>
            <xdr:cNvPr id="41217" name="Check Box 257" hidden="1">
              <a:extLst>
                <a:ext uri="{63B3BB69-23CF-44E3-9099-C40C66FF867C}">
                  <a14:compatExt spid="_x0000_s41217"/>
                </a:ext>
                <a:ext uri="{FF2B5EF4-FFF2-40B4-BE49-F238E27FC236}">
                  <a16:creationId xmlns:a16="http://schemas.microsoft.com/office/drawing/2014/main" id="{00000000-0008-0000-0D00-00000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48</xdr:row>
          <xdr:rowOff>28575</xdr:rowOff>
        </xdr:from>
        <xdr:to>
          <xdr:col>7</xdr:col>
          <xdr:colOff>419100</xdr:colOff>
          <xdr:row>49</xdr:row>
          <xdr:rowOff>0</xdr:rowOff>
        </xdr:to>
        <xdr:sp macro="" textlink="">
          <xdr:nvSpPr>
            <xdr:cNvPr id="41218" name="Check Box 258" hidden="1">
              <a:extLst>
                <a:ext uri="{63B3BB69-23CF-44E3-9099-C40C66FF867C}">
                  <a14:compatExt spid="_x0000_s41218"/>
                </a:ext>
                <a:ext uri="{FF2B5EF4-FFF2-40B4-BE49-F238E27FC236}">
                  <a16:creationId xmlns:a16="http://schemas.microsoft.com/office/drawing/2014/main" id="{00000000-0008-0000-0D00-00000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48</xdr:row>
          <xdr:rowOff>28575</xdr:rowOff>
        </xdr:from>
        <xdr:to>
          <xdr:col>5</xdr:col>
          <xdr:colOff>447675</xdr:colOff>
          <xdr:row>49</xdr:row>
          <xdr:rowOff>0</xdr:rowOff>
        </xdr:to>
        <xdr:sp macro="" textlink="">
          <xdr:nvSpPr>
            <xdr:cNvPr id="41219" name="Check Box 259" hidden="1">
              <a:extLst>
                <a:ext uri="{63B3BB69-23CF-44E3-9099-C40C66FF867C}">
                  <a14:compatExt spid="_x0000_s41219"/>
                </a:ext>
                <a:ext uri="{FF2B5EF4-FFF2-40B4-BE49-F238E27FC236}">
                  <a16:creationId xmlns:a16="http://schemas.microsoft.com/office/drawing/2014/main" id="{00000000-0008-0000-0D00-00000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48</xdr:row>
          <xdr:rowOff>28575</xdr:rowOff>
        </xdr:from>
        <xdr:to>
          <xdr:col>6</xdr:col>
          <xdr:colOff>419100</xdr:colOff>
          <xdr:row>49</xdr:row>
          <xdr:rowOff>0</xdr:rowOff>
        </xdr:to>
        <xdr:sp macro="" textlink="">
          <xdr:nvSpPr>
            <xdr:cNvPr id="41220" name="Check Box 260" hidden="1">
              <a:extLst>
                <a:ext uri="{63B3BB69-23CF-44E3-9099-C40C66FF867C}">
                  <a14:compatExt spid="_x0000_s41220"/>
                </a:ext>
                <a:ext uri="{FF2B5EF4-FFF2-40B4-BE49-F238E27FC236}">
                  <a16:creationId xmlns:a16="http://schemas.microsoft.com/office/drawing/2014/main" id="{00000000-0008-0000-0D00-00000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48</xdr:row>
          <xdr:rowOff>28575</xdr:rowOff>
        </xdr:from>
        <xdr:to>
          <xdr:col>7</xdr:col>
          <xdr:colOff>419100</xdr:colOff>
          <xdr:row>49</xdr:row>
          <xdr:rowOff>0</xdr:rowOff>
        </xdr:to>
        <xdr:sp macro="" textlink="">
          <xdr:nvSpPr>
            <xdr:cNvPr id="41221" name="Check Box 261" hidden="1">
              <a:extLst>
                <a:ext uri="{63B3BB69-23CF-44E3-9099-C40C66FF867C}">
                  <a14:compatExt spid="_x0000_s41221"/>
                </a:ext>
                <a:ext uri="{FF2B5EF4-FFF2-40B4-BE49-F238E27FC236}">
                  <a16:creationId xmlns:a16="http://schemas.microsoft.com/office/drawing/2014/main" id="{00000000-0008-0000-0D00-00000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49</xdr:row>
          <xdr:rowOff>28575</xdr:rowOff>
        </xdr:from>
        <xdr:to>
          <xdr:col>5</xdr:col>
          <xdr:colOff>447675</xdr:colOff>
          <xdr:row>50</xdr:row>
          <xdr:rowOff>0</xdr:rowOff>
        </xdr:to>
        <xdr:sp macro="" textlink="">
          <xdr:nvSpPr>
            <xdr:cNvPr id="41222" name="Check Box 262" hidden="1">
              <a:extLst>
                <a:ext uri="{63B3BB69-23CF-44E3-9099-C40C66FF867C}">
                  <a14:compatExt spid="_x0000_s41222"/>
                </a:ext>
                <a:ext uri="{FF2B5EF4-FFF2-40B4-BE49-F238E27FC236}">
                  <a16:creationId xmlns:a16="http://schemas.microsoft.com/office/drawing/2014/main" id="{00000000-0008-0000-0D00-00000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49</xdr:row>
          <xdr:rowOff>28575</xdr:rowOff>
        </xdr:from>
        <xdr:to>
          <xdr:col>6</xdr:col>
          <xdr:colOff>419100</xdr:colOff>
          <xdr:row>50</xdr:row>
          <xdr:rowOff>0</xdr:rowOff>
        </xdr:to>
        <xdr:sp macro="" textlink="">
          <xdr:nvSpPr>
            <xdr:cNvPr id="41223" name="Check Box 263" hidden="1">
              <a:extLst>
                <a:ext uri="{63B3BB69-23CF-44E3-9099-C40C66FF867C}">
                  <a14:compatExt spid="_x0000_s41223"/>
                </a:ext>
                <a:ext uri="{FF2B5EF4-FFF2-40B4-BE49-F238E27FC236}">
                  <a16:creationId xmlns:a16="http://schemas.microsoft.com/office/drawing/2014/main" id="{00000000-0008-0000-0D00-00000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49</xdr:row>
          <xdr:rowOff>28575</xdr:rowOff>
        </xdr:from>
        <xdr:to>
          <xdr:col>7</xdr:col>
          <xdr:colOff>419100</xdr:colOff>
          <xdr:row>50</xdr:row>
          <xdr:rowOff>0</xdr:rowOff>
        </xdr:to>
        <xdr:sp macro="" textlink="">
          <xdr:nvSpPr>
            <xdr:cNvPr id="41224" name="Check Box 264" hidden="1">
              <a:extLst>
                <a:ext uri="{63B3BB69-23CF-44E3-9099-C40C66FF867C}">
                  <a14:compatExt spid="_x0000_s41224"/>
                </a:ext>
                <a:ext uri="{FF2B5EF4-FFF2-40B4-BE49-F238E27FC236}">
                  <a16:creationId xmlns:a16="http://schemas.microsoft.com/office/drawing/2014/main" id="{00000000-0008-0000-0D00-00000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1225" name="Check Box 265" hidden="1">
              <a:extLst>
                <a:ext uri="{63B3BB69-23CF-44E3-9099-C40C66FF867C}">
                  <a14:compatExt spid="_x0000_s41225"/>
                </a:ext>
                <a:ext uri="{FF2B5EF4-FFF2-40B4-BE49-F238E27FC236}">
                  <a16:creationId xmlns:a16="http://schemas.microsoft.com/office/drawing/2014/main" id="{00000000-0008-0000-0D00-00000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1226" name="Check Box 266" hidden="1">
              <a:extLst>
                <a:ext uri="{63B3BB69-23CF-44E3-9099-C40C66FF867C}">
                  <a14:compatExt spid="_x0000_s41226"/>
                </a:ext>
                <a:ext uri="{FF2B5EF4-FFF2-40B4-BE49-F238E27FC236}">
                  <a16:creationId xmlns:a16="http://schemas.microsoft.com/office/drawing/2014/main" id="{00000000-0008-0000-0D00-00000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1227" name="Check Box 267" hidden="1">
              <a:extLst>
                <a:ext uri="{63B3BB69-23CF-44E3-9099-C40C66FF867C}">
                  <a14:compatExt spid="_x0000_s41227"/>
                </a:ext>
                <a:ext uri="{FF2B5EF4-FFF2-40B4-BE49-F238E27FC236}">
                  <a16:creationId xmlns:a16="http://schemas.microsoft.com/office/drawing/2014/main" id="{00000000-0008-0000-0D00-00000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1228" name="Check Box 268" hidden="1">
              <a:extLst>
                <a:ext uri="{63B3BB69-23CF-44E3-9099-C40C66FF867C}">
                  <a14:compatExt spid="_x0000_s41228"/>
                </a:ext>
                <a:ext uri="{FF2B5EF4-FFF2-40B4-BE49-F238E27FC236}">
                  <a16:creationId xmlns:a16="http://schemas.microsoft.com/office/drawing/2014/main" id="{00000000-0008-0000-0D00-00000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1229" name="Check Box 269" hidden="1">
              <a:extLst>
                <a:ext uri="{63B3BB69-23CF-44E3-9099-C40C66FF867C}">
                  <a14:compatExt spid="_x0000_s41229"/>
                </a:ext>
                <a:ext uri="{FF2B5EF4-FFF2-40B4-BE49-F238E27FC236}">
                  <a16:creationId xmlns:a16="http://schemas.microsoft.com/office/drawing/2014/main" id="{00000000-0008-0000-0D00-00000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1230" name="Check Box 270" hidden="1">
              <a:extLst>
                <a:ext uri="{63B3BB69-23CF-44E3-9099-C40C66FF867C}">
                  <a14:compatExt spid="_x0000_s41230"/>
                </a:ext>
                <a:ext uri="{FF2B5EF4-FFF2-40B4-BE49-F238E27FC236}">
                  <a16:creationId xmlns:a16="http://schemas.microsoft.com/office/drawing/2014/main" id="{00000000-0008-0000-0D00-00000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1231" name="Check Box 271" hidden="1">
              <a:extLst>
                <a:ext uri="{63B3BB69-23CF-44E3-9099-C40C66FF867C}">
                  <a14:compatExt spid="_x0000_s41231"/>
                </a:ext>
                <a:ext uri="{FF2B5EF4-FFF2-40B4-BE49-F238E27FC236}">
                  <a16:creationId xmlns:a16="http://schemas.microsoft.com/office/drawing/2014/main" id="{00000000-0008-0000-0D00-00000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1232" name="Check Box 272" hidden="1">
              <a:extLst>
                <a:ext uri="{63B3BB69-23CF-44E3-9099-C40C66FF867C}">
                  <a14:compatExt spid="_x0000_s41232"/>
                </a:ext>
                <a:ext uri="{FF2B5EF4-FFF2-40B4-BE49-F238E27FC236}">
                  <a16:creationId xmlns:a16="http://schemas.microsoft.com/office/drawing/2014/main" id="{00000000-0008-0000-0D00-00001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1233" name="Check Box 273" hidden="1">
              <a:extLst>
                <a:ext uri="{63B3BB69-23CF-44E3-9099-C40C66FF867C}">
                  <a14:compatExt spid="_x0000_s41233"/>
                </a:ext>
                <a:ext uri="{FF2B5EF4-FFF2-40B4-BE49-F238E27FC236}">
                  <a16:creationId xmlns:a16="http://schemas.microsoft.com/office/drawing/2014/main" id="{00000000-0008-0000-0D00-00001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1234" name="Check Box 274" hidden="1">
              <a:extLst>
                <a:ext uri="{63B3BB69-23CF-44E3-9099-C40C66FF867C}">
                  <a14:compatExt spid="_x0000_s41234"/>
                </a:ext>
                <a:ext uri="{FF2B5EF4-FFF2-40B4-BE49-F238E27FC236}">
                  <a16:creationId xmlns:a16="http://schemas.microsoft.com/office/drawing/2014/main" id="{00000000-0008-0000-0D00-00001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1235" name="Check Box 275" hidden="1">
              <a:extLst>
                <a:ext uri="{63B3BB69-23CF-44E3-9099-C40C66FF867C}">
                  <a14:compatExt spid="_x0000_s41235"/>
                </a:ext>
                <a:ext uri="{FF2B5EF4-FFF2-40B4-BE49-F238E27FC236}">
                  <a16:creationId xmlns:a16="http://schemas.microsoft.com/office/drawing/2014/main" id="{00000000-0008-0000-0D00-00001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1236" name="Check Box 276" hidden="1">
              <a:extLst>
                <a:ext uri="{63B3BB69-23CF-44E3-9099-C40C66FF867C}">
                  <a14:compatExt spid="_x0000_s41236"/>
                </a:ext>
                <a:ext uri="{FF2B5EF4-FFF2-40B4-BE49-F238E27FC236}">
                  <a16:creationId xmlns:a16="http://schemas.microsoft.com/office/drawing/2014/main" id="{00000000-0008-0000-0D00-00001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49</xdr:row>
          <xdr:rowOff>28575</xdr:rowOff>
        </xdr:from>
        <xdr:to>
          <xdr:col>5</xdr:col>
          <xdr:colOff>447675</xdr:colOff>
          <xdr:row>50</xdr:row>
          <xdr:rowOff>0</xdr:rowOff>
        </xdr:to>
        <xdr:sp macro="" textlink="">
          <xdr:nvSpPr>
            <xdr:cNvPr id="41237" name="Check Box 277" hidden="1">
              <a:extLst>
                <a:ext uri="{63B3BB69-23CF-44E3-9099-C40C66FF867C}">
                  <a14:compatExt spid="_x0000_s41237"/>
                </a:ext>
                <a:ext uri="{FF2B5EF4-FFF2-40B4-BE49-F238E27FC236}">
                  <a16:creationId xmlns:a16="http://schemas.microsoft.com/office/drawing/2014/main" id="{00000000-0008-0000-0D00-00001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49</xdr:row>
          <xdr:rowOff>28575</xdr:rowOff>
        </xdr:from>
        <xdr:to>
          <xdr:col>6</xdr:col>
          <xdr:colOff>419100</xdr:colOff>
          <xdr:row>50</xdr:row>
          <xdr:rowOff>0</xdr:rowOff>
        </xdr:to>
        <xdr:sp macro="" textlink="">
          <xdr:nvSpPr>
            <xdr:cNvPr id="41238" name="Check Box 278" hidden="1">
              <a:extLst>
                <a:ext uri="{63B3BB69-23CF-44E3-9099-C40C66FF867C}">
                  <a14:compatExt spid="_x0000_s41238"/>
                </a:ext>
                <a:ext uri="{FF2B5EF4-FFF2-40B4-BE49-F238E27FC236}">
                  <a16:creationId xmlns:a16="http://schemas.microsoft.com/office/drawing/2014/main" id="{00000000-0008-0000-0D00-00001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49</xdr:row>
          <xdr:rowOff>28575</xdr:rowOff>
        </xdr:from>
        <xdr:to>
          <xdr:col>7</xdr:col>
          <xdr:colOff>419100</xdr:colOff>
          <xdr:row>50</xdr:row>
          <xdr:rowOff>0</xdr:rowOff>
        </xdr:to>
        <xdr:sp macro="" textlink="">
          <xdr:nvSpPr>
            <xdr:cNvPr id="41239" name="Check Box 279" hidden="1">
              <a:extLst>
                <a:ext uri="{63B3BB69-23CF-44E3-9099-C40C66FF867C}">
                  <a14:compatExt spid="_x0000_s41239"/>
                </a:ext>
                <a:ext uri="{FF2B5EF4-FFF2-40B4-BE49-F238E27FC236}">
                  <a16:creationId xmlns:a16="http://schemas.microsoft.com/office/drawing/2014/main" id="{00000000-0008-0000-0D00-00001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49</xdr:row>
          <xdr:rowOff>28575</xdr:rowOff>
        </xdr:from>
        <xdr:to>
          <xdr:col>5</xdr:col>
          <xdr:colOff>447675</xdr:colOff>
          <xdr:row>50</xdr:row>
          <xdr:rowOff>0</xdr:rowOff>
        </xdr:to>
        <xdr:sp macro="" textlink="">
          <xdr:nvSpPr>
            <xdr:cNvPr id="41240" name="Check Box 280" hidden="1">
              <a:extLst>
                <a:ext uri="{63B3BB69-23CF-44E3-9099-C40C66FF867C}">
                  <a14:compatExt spid="_x0000_s41240"/>
                </a:ext>
                <a:ext uri="{FF2B5EF4-FFF2-40B4-BE49-F238E27FC236}">
                  <a16:creationId xmlns:a16="http://schemas.microsoft.com/office/drawing/2014/main" id="{00000000-0008-0000-0D00-00001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49</xdr:row>
          <xdr:rowOff>28575</xdr:rowOff>
        </xdr:from>
        <xdr:to>
          <xdr:col>6</xdr:col>
          <xdr:colOff>419100</xdr:colOff>
          <xdr:row>50</xdr:row>
          <xdr:rowOff>0</xdr:rowOff>
        </xdr:to>
        <xdr:sp macro="" textlink="">
          <xdr:nvSpPr>
            <xdr:cNvPr id="41241" name="Check Box 281" hidden="1">
              <a:extLst>
                <a:ext uri="{63B3BB69-23CF-44E3-9099-C40C66FF867C}">
                  <a14:compatExt spid="_x0000_s41241"/>
                </a:ext>
                <a:ext uri="{FF2B5EF4-FFF2-40B4-BE49-F238E27FC236}">
                  <a16:creationId xmlns:a16="http://schemas.microsoft.com/office/drawing/2014/main" id="{00000000-0008-0000-0D00-00001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49</xdr:row>
          <xdr:rowOff>28575</xdr:rowOff>
        </xdr:from>
        <xdr:to>
          <xdr:col>7</xdr:col>
          <xdr:colOff>419100</xdr:colOff>
          <xdr:row>50</xdr:row>
          <xdr:rowOff>0</xdr:rowOff>
        </xdr:to>
        <xdr:sp macro="" textlink="">
          <xdr:nvSpPr>
            <xdr:cNvPr id="41242" name="Check Box 282" hidden="1">
              <a:extLst>
                <a:ext uri="{63B3BB69-23CF-44E3-9099-C40C66FF867C}">
                  <a14:compatExt spid="_x0000_s41242"/>
                </a:ext>
                <a:ext uri="{FF2B5EF4-FFF2-40B4-BE49-F238E27FC236}">
                  <a16:creationId xmlns:a16="http://schemas.microsoft.com/office/drawing/2014/main" id="{00000000-0008-0000-0D00-00001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1243" name="Check Box 283" hidden="1">
              <a:extLst>
                <a:ext uri="{63B3BB69-23CF-44E3-9099-C40C66FF867C}">
                  <a14:compatExt spid="_x0000_s41243"/>
                </a:ext>
                <a:ext uri="{FF2B5EF4-FFF2-40B4-BE49-F238E27FC236}">
                  <a16:creationId xmlns:a16="http://schemas.microsoft.com/office/drawing/2014/main" id="{00000000-0008-0000-0D00-00001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1244" name="Check Box 284" hidden="1">
              <a:extLst>
                <a:ext uri="{63B3BB69-23CF-44E3-9099-C40C66FF867C}">
                  <a14:compatExt spid="_x0000_s41244"/>
                </a:ext>
                <a:ext uri="{FF2B5EF4-FFF2-40B4-BE49-F238E27FC236}">
                  <a16:creationId xmlns:a16="http://schemas.microsoft.com/office/drawing/2014/main" id="{00000000-0008-0000-0D00-00001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1245" name="Check Box 285" hidden="1">
              <a:extLst>
                <a:ext uri="{63B3BB69-23CF-44E3-9099-C40C66FF867C}">
                  <a14:compatExt spid="_x0000_s41245"/>
                </a:ext>
                <a:ext uri="{FF2B5EF4-FFF2-40B4-BE49-F238E27FC236}">
                  <a16:creationId xmlns:a16="http://schemas.microsoft.com/office/drawing/2014/main" id="{00000000-0008-0000-0D00-00001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1246" name="Check Box 286" hidden="1">
              <a:extLst>
                <a:ext uri="{63B3BB69-23CF-44E3-9099-C40C66FF867C}">
                  <a14:compatExt spid="_x0000_s41246"/>
                </a:ext>
                <a:ext uri="{FF2B5EF4-FFF2-40B4-BE49-F238E27FC236}">
                  <a16:creationId xmlns:a16="http://schemas.microsoft.com/office/drawing/2014/main" id="{00000000-0008-0000-0D00-00001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1247" name="Check Box 287" hidden="1">
              <a:extLst>
                <a:ext uri="{63B3BB69-23CF-44E3-9099-C40C66FF867C}">
                  <a14:compatExt spid="_x0000_s41247"/>
                </a:ext>
                <a:ext uri="{FF2B5EF4-FFF2-40B4-BE49-F238E27FC236}">
                  <a16:creationId xmlns:a16="http://schemas.microsoft.com/office/drawing/2014/main" id="{00000000-0008-0000-0D00-00001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1248" name="Check Box 288" hidden="1">
              <a:extLst>
                <a:ext uri="{63B3BB69-23CF-44E3-9099-C40C66FF867C}">
                  <a14:compatExt spid="_x0000_s41248"/>
                </a:ext>
                <a:ext uri="{FF2B5EF4-FFF2-40B4-BE49-F238E27FC236}">
                  <a16:creationId xmlns:a16="http://schemas.microsoft.com/office/drawing/2014/main" id="{00000000-0008-0000-0D00-00002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19</xdr:row>
          <xdr:rowOff>28575</xdr:rowOff>
        </xdr:from>
        <xdr:to>
          <xdr:col>5</xdr:col>
          <xdr:colOff>447675</xdr:colOff>
          <xdr:row>20</xdr:row>
          <xdr:rowOff>0</xdr:rowOff>
        </xdr:to>
        <xdr:sp macro="" textlink="">
          <xdr:nvSpPr>
            <xdr:cNvPr id="41249" name="Check Box 289" hidden="1">
              <a:extLst>
                <a:ext uri="{63B3BB69-23CF-44E3-9099-C40C66FF867C}">
                  <a14:compatExt spid="_x0000_s41249"/>
                </a:ext>
                <a:ext uri="{FF2B5EF4-FFF2-40B4-BE49-F238E27FC236}">
                  <a16:creationId xmlns:a16="http://schemas.microsoft.com/office/drawing/2014/main" id="{00000000-0008-0000-0D00-00002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19</xdr:row>
          <xdr:rowOff>28575</xdr:rowOff>
        </xdr:from>
        <xdr:to>
          <xdr:col>6</xdr:col>
          <xdr:colOff>419100</xdr:colOff>
          <xdr:row>20</xdr:row>
          <xdr:rowOff>0</xdr:rowOff>
        </xdr:to>
        <xdr:sp macro="" textlink="">
          <xdr:nvSpPr>
            <xdr:cNvPr id="41250" name="Check Box 290" hidden="1">
              <a:extLst>
                <a:ext uri="{63B3BB69-23CF-44E3-9099-C40C66FF867C}">
                  <a14:compatExt spid="_x0000_s41250"/>
                </a:ext>
                <a:ext uri="{FF2B5EF4-FFF2-40B4-BE49-F238E27FC236}">
                  <a16:creationId xmlns:a16="http://schemas.microsoft.com/office/drawing/2014/main" id="{00000000-0008-0000-0D00-00002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28575</xdr:rowOff>
        </xdr:from>
        <xdr:to>
          <xdr:col>7</xdr:col>
          <xdr:colOff>419100</xdr:colOff>
          <xdr:row>20</xdr:row>
          <xdr:rowOff>0</xdr:rowOff>
        </xdr:to>
        <xdr:sp macro="" textlink="">
          <xdr:nvSpPr>
            <xdr:cNvPr id="41251" name="Check Box 291" hidden="1">
              <a:extLst>
                <a:ext uri="{63B3BB69-23CF-44E3-9099-C40C66FF867C}">
                  <a14:compatExt spid="_x0000_s41251"/>
                </a:ext>
                <a:ext uri="{FF2B5EF4-FFF2-40B4-BE49-F238E27FC236}">
                  <a16:creationId xmlns:a16="http://schemas.microsoft.com/office/drawing/2014/main" id="{00000000-0008-0000-0D00-00002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19</xdr:row>
          <xdr:rowOff>28575</xdr:rowOff>
        </xdr:from>
        <xdr:to>
          <xdr:col>5</xdr:col>
          <xdr:colOff>447675</xdr:colOff>
          <xdr:row>20</xdr:row>
          <xdr:rowOff>0</xdr:rowOff>
        </xdr:to>
        <xdr:sp macro="" textlink="">
          <xdr:nvSpPr>
            <xdr:cNvPr id="41252" name="Check Box 292" hidden="1">
              <a:extLst>
                <a:ext uri="{63B3BB69-23CF-44E3-9099-C40C66FF867C}">
                  <a14:compatExt spid="_x0000_s41252"/>
                </a:ext>
                <a:ext uri="{FF2B5EF4-FFF2-40B4-BE49-F238E27FC236}">
                  <a16:creationId xmlns:a16="http://schemas.microsoft.com/office/drawing/2014/main" id="{00000000-0008-0000-0D00-00002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19</xdr:row>
          <xdr:rowOff>28575</xdr:rowOff>
        </xdr:from>
        <xdr:to>
          <xdr:col>6</xdr:col>
          <xdr:colOff>419100</xdr:colOff>
          <xdr:row>20</xdr:row>
          <xdr:rowOff>0</xdr:rowOff>
        </xdr:to>
        <xdr:sp macro="" textlink="">
          <xdr:nvSpPr>
            <xdr:cNvPr id="41253" name="Check Box 293" hidden="1">
              <a:extLst>
                <a:ext uri="{63B3BB69-23CF-44E3-9099-C40C66FF867C}">
                  <a14:compatExt spid="_x0000_s41253"/>
                </a:ext>
                <a:ext uri="{FF2B5EF4-FFF2-40B4-BE49-F238E27FC236}">
                  <a16:creationId xmlns:a16="http://schemas.microsoft.com/office/drawing/2014/main" id="{00000000-0008-0000-0D00-00002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28575</xdr:rowOff>
        </xdr:from>
        <xdr:to>
          <xdr:col>7</xdr:col>
          <xdr:colOff>419100</xdr:colOff>
          <xdr:row>20</xdr:row>
          <xdr:rowOff>0</xdr:rowOff>
        </xdr:to>
        <xdr:sp macro="" textlink="">
          <xdr:nvSpPr>
            <xdr:cNvPr id="41254" name="Check Box 294" hidden="1">
              <a:extLst>
                <a:ext uri="{63B3BB69-23CF-44E3-9099-C40C66FF867C}">
                  <a14:compatExt spid="_x0000_s41254"/>
                </a:ext>
                <a:ext uri="{FF2B5EF4-FFF2-40B4-BE49-F238E27FC236}">
                  <a16:creationId xmlns:a16="http://schemas.microsoft.com/office/drawing/2014/main" id="{00000000-0008-0000-0D00-00002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1255" name="Check Box 295" hidden="1">
              <a:extLst>
                <a:ext uri="{63B3BB69-23CF-44E3-9099-C40C66FF867C}">
                  <a14:compatExt spid="_x0000_s41255"/>
                </a:ext>
                <a:ext uri="{FF2B5EF4-FFF2-40B4-BE49-F238E27FC236}">
                  <a16:creationId xmlns:a16="http://schemas.microsoft.com/office/drawing/2014/main" id="{00000000-0008-0000-0D00-00002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1256" name="Check Box 296" hidden="1">
              <a:extLst>
                <a:ext uri="{63B3BB69-23CF-44E3-9099-C40C66FF867C}">
                  <a14:compatExt spid="_x0000_s41256"/>
                </a:ext>
                <a:ext uri="{FF2B5EF4-FFF2-40B4-BE49-F238E27FC236}">
                  <a16:creationId xmlns:a16="http://schemas.microsoft.com/office/drawing/2014/main" id="{00000000-0008-0000-0D00-00002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1257" name="Check Box 297" hidden="1">
              <a:extLst>
                <a:ext uri="{63B3BB69-23CF-44E3-9099-C40C66FF867C}">
                  <a14:compatExt spid="_x0000_s41257"/>
                </a:ext>
                <a:ext uri="{FF2B5EF4-FFF2-40B4-BE49-F238E27FC236}">
                  <a16:creationId xmlns:a16="http://schemas.microsoft.com/office/drawing/2014/main" id="{00000000-0008-0000-0D00-00002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1258" name="Check Box 298" hidden="1">
              <a:extLst>
                <a:ext uri="{63B3BB69-23CF-44E3-9099-C40C66FF867C}">
                  <a14:compatExt spid="_x0000_s41258"/>
                </a:ext>
                <a:ext uri="{FF2B5EF4-FFF2-40B4-BE49-F238E27FC236}">
                  <a16:creationId xmlns:a16="http://schemas.microsoft.com/office/drawing/2014/main" id="{00000000-0008-0000-0D00-00002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1259" name="Check Box 299" hidden="1">
              <a:extLst>
                <a:ext uri="{63B3BB69-23CF-44E3-9099-C40C66FF867C}">
                  <a14:compatExt spid="_x0000_s41259"/>
                </a:ext>
                <a:ext uri="{FF2B5EF4-FFF2-40B4-BE49-F238E27FC236}">
                  <a16:creationId xmlns:a16="http://schemas.microsoft.com/office/drawing/2014/main" id="{00000000-0008-0000-0D00-00002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1260" name="Check Box 300" hidden="1">
              <a:extLst>
                <a:ext uri="{63B3BB69-23CF-44E3-9099-C40C66FF867C}">
                  <a14:compatExt spid="_x0000_s41260"/>
                </a:ext>
                <a:ext uri="{FF2B5EF4-FFF2-40B4-BE49-F238E27FC236}">
                  <a16:creationId xmlns:a16="http://schemas.microsoft.com/office/drawing/2014/main" id="{00000000-0008-0000-0D00-00002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1261" name="Check Box 301" hidden="1">
              <a:extLst>
                <a:ext uri="{63B3BB69-23CF-44E3-9099-C40C66FF867C}">
                  <a14:compatExt spid="_x0000_s41261"/>
                </a:ext>
                <a:ext uri="{FF2B5EF4-FFF2-40B4-BE49-F238E27FC236}">
                  <a16:creationId xmlns:a16="http://schemas.microsoft.com/office/drawing/2014/main" id="{00000000-0008-0000-0D00-00002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1262" name="Check Box 302" hidden="1">
              <a:extLst>
                <a:ext uri="{63B3BB69-23CF-44E3-9099-C40C66FF867C}">
                  <a14:compatExt spid="_x0000_s41262"/>
                </a:ext>
                <a:ext uri="{FF2B5EF4-FFF2-40B4-BE49-F238E27FC236}">
                  <a16:creationId xmlns:a16="http://schemas.microsoft.com/office/drawing/2014/main" id="{00000000-0008-0000-0D00-00002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1263" name="Check Box 303" hidden="1">
              <a:extLst>
                <a:ext uri="{63B3BB69-23CF-44E3-9099-C40C66FF867C}">
                  <a14:compatExt spid="_x0000_s41263"/>
                </a:ext>
                <a:ext uri="{FF2B5EF4-FFF2-40B4-BE49-F238E27FC236}">
                  <a16:creationId xmlns:a16="http://schemas.microsoft.com/office/drawing/2014/main" id="{00000000-0008-0000-0D00-00002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1264" name="Check Box 304" hidden="1">
              <a:extLst>
                <a:ext uri="{63B3BB69-23CF-44E3-9099-C40C66FF867C}">
                  <a14:compatExt spid="_x0000_s41264"/>
                </a:ext>
                <a:ext uri="{FF2B5EF4-FFF2-40B4-BE49-F238E27FC236}">
                  <a16:creationId xmlns:a16="http://schemas.microsoft.com/office/drawing/2014/main" id="{00000000-0008-0000-0D00-00003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1265" name="Check Box 305" hidden="1">
              <a:extLst>
                <a:ext uri="{63B3BB69-23CF-44E3-9099-C40C66FF867C}">
                  <a14:compatExt spid="_x0000_s41265"/>
                </a:ext>
                <a:ext uri="{FF2B5EF4-FFF2-40B4-BE49-F238E27FC236}">
                  <a16:creationId xmlns:a16="http://schemas.microsoft.com/office/drawing/2014/main" id="{00000000-0008-0000-0D00-00003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1266" name="Check Box 306" hidden="1">
              <a:extLst>
                <a:ext uri="{63B3BB69-23CF-44E3-9099-C40C66FF867C}">
                  <a14:compatExt spid="_x0000_s41266"/>
                </a:ext>
                <a:ext uri="{FF2B5EF4-FFF2-40B4-BE49-F238E27FC236}">
                  <a16:creationId xmlns:a16="http://schemas.microsoft.com/office/drawing/2014/main" id="{00000000-0008-0000-0D00-00003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1267" name="Check Box 307" hidden="1">
              <a:extLst>
                <a:ext uri="{63B3BB69-23CF-44E3-9099-C40C66FF867C}">
                  <a14:compatExt spid="_x0000_s41267"/>
                </a:ext>
                <a:ext uri="{FF2B5EF4-FFF2-40B4-BE49-F238E27FC236}">
                  <a16:creationId xmlns:a16="http://schemas.microsoft.com/office/drawing/2014/main" id="{00000000-0008-0000-0D00-00003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1268" name="Check Box 308" hidden="1">
              <a:extLst>
                <a:ext uri="{63B3BB69-23CF-44E3-9099-C40C66FF867C}">
                  <a14:compatExt spid="_x0000_s41268"/>
                </a:ext>
                <a:ext uri="{FF2B5EF4-FFF2-40B4-BE49-F238E27FC236}">
                  <a16:creationId xmlns:a16="http://schemas.microsoft.com/office/drawing/2014/main" id="{00000000-0008-0000-0D00-00003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1269" name="Check Box 309" hidden="1">
              <a:extLst>
                <a:ext uri="{63B3BB69-23CF-44E3-9099-C40C66FF867C}">
                  <a14:compatExt spid="_x0000_s41269"/>
                </a:ext>
                <a:ext uri="{FF2B5EF4-FFF2-40B4-BE49-F238E27FC236}">
                  <a16:creationId xmlns:a16="http://schemas.microsoft.com/office/drawing/2014/main" id="{00000000-0008-0000-0D00-00003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1270" name="Check Box 310" hidden="1">
              <a:extLst>
                <a:ext uri="{63B3BB69-23CF-44E3-9099-C40C66FF867C}">
                  <a14:compatExt spid="_x0000_s41270"/>
                </a:ext>
                <a:ext uri="{FF2B5EF4-FFF2-40B4-BE49-F238E27FC236}">
                  <a16:creationId xmlns:a16="http://schemas.microsoft.com/office/drawing/2014/main" id="{00000000-0008-0000-0D00-00003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1271" name="Check Box 311" hidden="1">
              <a:extLst>
                <a:ext uri="{63B3BB69-23CF-44E3-9099-C40C66FF867C}">
                  <a14:compatExt spid="_x0000_s41271"/>
                </a:ext>
                <a:ext uri="{FF2B5EF4-FFF2-40B4-BE49-F238E27FC236}">
                  <a16:creationId xmlns:a16="http://schemas.microsoft.com/office/drawing/2014/main" id="{00000000-0008-0000-0D00-00003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1272" name="Check Box 312" hidden="1">
              <a:extLst>
                <a:ext uri="{63B3BB69-23CF-44E3-9099-C40C66FF867C}">
                  <a14:compatExt spid="_x0000_s41272"/>
                </a:ext>
                <a:ext uri="{FF2B5EF4-FFF2-40B4-BE49-F238E27FC236}">
                  <a16:creationId xmlns:a16="http://schemas.microsoft.com/office/drawing/2014/main" id="{00000000-0008-0000-0D00-00003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1273" name="Check Box 313" hidden="1">
              <a:extLst>
                <a:ext uri="{63B3BB69-23CF-44E3-9099-C40C66FF867C}">
                  <a14:compatExt spid="_x0000_s41273"/>
                </a:ext>
                <a:ext uri="{FF2B5EF4-FFF2-40B4-BE49-F238E27FC236}">
                  <a16:creationId xmlns:a16="http://schemas.microsoft.com/office/drawing/2014/main" id="{00000000-0008-0000-0D00-00003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1274" name="Check Box 314" hidden="1">
              <a:extLst>
                <a:ext uri="{63B3BB69-23CF-44E3-9099-C40C66FF867C}">
                  <a14:compatExt spid="_x0000_s41274"/>
                </a:ext>
                <a:ext uri="{FF2B5EF4-FFF2-40B4-BE49-F238E27FC236}">
                  <a16:creationId xmlns:a16="http://schemas.microsoft.com/office/drawing/2014/main" id="{00000000-0008-0000-0D00-00003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1275" name="Check Box 315" hidden="1">
              <a:extLst>
                <a:ext uri="{63B3BB69-23CF-44E3-9099-C40C66FF867C}">
                  <a14:compatExt spid="_x0000_s41275"/>
                </a:ext>
                <a:ext uri="{FF2B5EF4-FFF2-40B4-BE49-F238E27FC236}">
                  <a16:creationId xmlns:a16="http://schemas.microsoft.com/office/drawing/2014/main" id="{00000000-0008-0000-0D00-00003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1276" name="Check Box 316" hidden="1">
              <a:extLst>
                <a:ext uri="{63B3BB69-23CF-44E3-9099-C40C66FF867C}">
                  <a14:compatExt spid="_x0000_s41276"/>
                </a:ext>
                <a:ext uri="{FF2B5EF4-FFF2-40B4-BE49-F238E27FC236}">
                  <a16:creationId xmlns:a16="http://schemas.microsoft.com/office/drawing/2014/main" id="{00000000-0008-0000-0D00-00003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1277" name="Check Box 317" hidden="1">
              <a:extLst>
                <a:ext uri="{63B3BB69-23CF-44E3-9099-C40C66FF867C}">
                  <a14:compatExt spid="_x0000_s41277"/>
                </a:ext>
                <a:ext uri="{FF2B5EF4-FFF2-40B4-BE49-F238E27FC236}">
                  <a16:creationId xmlns:a16="http://schemas.microsoft.com/office/drawing/2014/main" id="{00000000-0008-0000-0D00-00003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1278" name="Check Box 318" hidden="1">
              <a:extLst>
                <a:ext uri="{63B3BB69-23CF-44E3-9099-C40C66FF867C}">
                  <a14:compatExt spid="_x0000_s41278"/>
                </a:ext>
                <a:ext uri="{FF2B5EF4-FFF2-40B4-BE49-F238E27FC236}">
                  <a16:creationId xmlns:a16="http://schemas.microsoft.com/office/drawing/2014/main" id="{00000000-0008-0000-0D00-00003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1279" name="Check Box 319" hidden="1">
              <a:extLst>
                <a:ext uri="{63B3BB69-23CF-44E3-9099-C40C66FF867C}">
                  <a14:compatExt spid="_x0000_s41279"/>
                </a:ext>
                <a:ext uri="{FF2B5EF4-FFF2-40B4-BE49-F238E27FC236}">
                  <a16:creationId xmlns:a16="http://schemas.microsoft.com/office/drawing/2014/main" id="{00000000-0008-0000-0D00-00003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1280" name="Check Box 320" hidden="1">
              <a:extLst>
                <a:ext uri="{63B3BB69-23CF-44E3-9099-C40C66FF867C}">
                  <a14:compatExt spid="_x0000_s41280"/>
                </a:ext>
                <a:ext uri="{FF2B5EF4-FFF2-40B4-BE49-F238E27FC236}">
                  <a16:creationId xmlns:a16="http://schemas.microsoft.com/office/drawing/2014/main" id="{00000000-0008-0000-0D00-00004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1281" name="Check Box 321" hidden="1">
              <a:extLst>
                <a:ext uri="{63B3BB69-23CF-44E3-9099-C40C66FF867C}">
                  <a14:compatExt spid="_x0000_s41281"/>
                </a:ext>
                <a:ext uri="{FF2B5EF4-FFF2-40B4-BE49-F238E27FC236}">
                  <a16:creationId xmlns:a16="http://schemas.microsoft.com/office/drawing/2014/main" id="{00000000-0008-0000-0D00-00004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53</xdr:row>
          <xdr:rowOff>28575</xdr:rowOff>
        </xdr:from>
        <xdr:to>
          <xdr:col>5</xdr:col>
          <xdr:colOff>447675</xdr:colOff>
          <xdr:row>54</xdr:row>
          <xdr:rowOff>0</xdr:rowOff>
        </xdr:to>
        <xdr:sp macro="" textlink="">
          <xdr:nvSpPr>
            <xdr:cNvPr id="41282" name="Check Box 322" hidden="1">
              <a:extLst>
                <a:ext uri="{63B3BB69-23CF-44E3-9099-C40C66FF867C}">
                  <a14:compatExt spid="_x0000_s41282"/>
                </a:ext>
                <a:ext uri="{FF2B5EF4-FFF2-40B4-BE49-F238E27FC236}">
                  <a16:creationId xmlns:a16="http://schemas.microsoft.com/office/drawing/2014/main" id="{00000000-0008-0000-0D00-00004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53</xdr:row>
          <xdr:rowOff>28575</xdr:rowOff>
        </xdr:from>
        <xdr:to>
          <xdr:col>6</xdr:col>
          <xdr:colOff>419100</xdr:colOff>
          <xdr:row>54</xdr:row>
          <xdr:rowOff>0</xdr:rowOff>
        </xdr:to>
        <xdr:sp macro="" textlink="">
          <xdr:nvSpPr>
            <xdr:cNvPr id="41283" name="Check Box 323" hidden="1">
              <a:extLst>
                <a:ext uri="{63B3BB69-23CF-44E3-9099-C40C66FF867C}">
                  <a14:compatExt spid="_x0000_s41283"/>
                </a:ext>
                <a:ext uri="{FF2B5EF4-FFF2-40B4-BE49-F238E27FC236}">
                  <a16:creationId xmlns:a16="http://schemas.microsoft.com/office/drawing/2014/main" id="{00000000-0008-0000-0D00-00004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53</xdr:row>
          <xdr:rowOff>28575</xdr:rowOff>
        </xdr:from>
        <xdr:to>
          <xdr:col>7</xdr:col>
          <xdr:colOff>419100</xdr:colOff>
          <xdr:row>54</xdr:row>
          <xdr:rowOff>0</xdr:rowOff>
        </xdr:to>
        <xdr:sp macro="" textlink="">
          <xdr:nvSpPr>
            <xdr:cNvPr id="41284" name="Check Box 324" hidden="1">
              <a:extLst>
                <a:ext uri="{63B3BB69-23CF-44E3-9099-C40C66FF867C}">
                  <a14:compatExt spid="_x0000_s41284"/>
                </a:ext>
                <a:ext uri="{FF2B5EF4-FFF2-40B4-BE49-F238E27FC236}">
                  <a16:creationId xmlns:a16="http://schemas.microsoft.com/office/drawing/2014/main" id="{00000000-0008-0000-0D00-00004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53</xdr:row>
          <xdr:rowOff>28575</xdr:rowOff>
        </xdr:from>
        <xdr:to>
          <xdr:col>5</xdr:col>
          <xdr:colOff>447675</xdr:colOff>
          <xdr:row>54</xdr:row>
          <xdr:rowOff>0</xdr:rowOff>
        </xdr:to>
        <xdr:sp macro="" textlink="">
          <xdr:nvSpPr>
            <xdr:cNvPr id="41285" name="Check Box 325" hidden="1">
              <a:extLst>
                <a:ext uri="{63B3BB69-23CF-44E3-9099-C40C66FF867C}">
                  <a14:compatExt spid="_x0000_s41285"/>
                </a:ext>
                <a:ext uri="{FF2B5EF4-FFF2-40B4-BE49-F238E27FC236}">
                  <a16:creationId xmlns:a16="http://schemas.microsoft.com/office/drawing/2014/main" id="{00000000-0008-0000-0D00-00004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53</xdr:row>
          <xdr:rowOff>28575</xdr:rowOff>
        </xdr:from>
        <xdr:to>
          <xdr:col>6</xdr:col>
          <xdr:colOff>419100</xdr:colOff>
          <xdr:row>54</xdr:row>
          <xdr:rowOff>0</xdr:rowOff>
        </xdr:to>
        <xdr:sp macro="" textlink="">
          <xdr:nvSpPr>
            <xdr:cNvPr id="41286" name="Check Box 326" hidden="1">
              <a:extLst>
                <a:ext uri="{63B3BB69-23CF-44E3-9099-C40C66FF867C}">
                  <a14:compatExt spid="_x0000_s41286"/>
                </a:ext>
                <a:ext uri="{FF2B5EF4-FFF2-40B4-BE49-F238E27FC236}">
                  <a16:creationId xmlns:a16="http://schemas.microsoft.com/office/drawing/2014/main" id="{00000000-0008-0000-0D00-00004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53</xdr:row>
          <xdr:rowOff>28575</xdr:rowOff>
        </xdr:from>
        <xdr:to>
          <xdr:col>7</xdr:col>
          <xdr:colOff>419100</xdr:colOff>
          <xdr:row>54</xdr:row>
          <xdr:rowOff>0</xdr:rowOff>
        </xdr:to>
        <xdr:sp macro="" textlink="">
          <xdr:nvSpPr>
            <xdr:cNvPr id="41287" name="Check Box 327" hidden="1">
              <a:extLst>
                <a:ext uri="{63B3BB69-23CF-44E3-9099-C40C66FF867C}">
                  <a14:compatExt spid="_x0000_s41287"/>
                </a:ext>
                <a:ext uri="{FF2B5EF4-FFF2-40B4-BE49-F238E27FC236}">
                  <a16:creationId xmlns:a16="http://schemas.microsoft.com/office/drawing/2014/main" id="{00000000-0008-0000-0D00-00004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1288" name="Check Box 328" hidden="1">
              <a:extLst>
                <a:ext uri="{63B3BB69-23CF-44E3-9099-C40C66FF867C}">
                  <a14:compatExt spid="_x0000_s41288"/>
                </a:ext>
                <a:ext uri="{FF2B5EF4-FFF2-40B4-BE49-F238E27FC236}">
                  <a16:creationId xmlns:a16="http://schemas.microsoft.com/office/drawing/2014/main" id="{00000000-0008-0000-0D00-00004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1289" name="Check Box 329" hidden="1">
              <a:extLst>
                <a:ext uri="{63B3BB69-23CF-44E3-9099-C40C66FF867C}">
                  <a14:compatExt spid="_x0000_s41289"/>
                </a:ext>
                <a:ext uri="{FF2B5EF4-FFF2-40B4-BE49-F238E27FC236}">
                  <a16:creationId xmlns:a16="http://schemas.microsoft.com/office/drawing/2014/main" id="{00000000-0008-0000-0D00-00004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1290" name="Check Box 330" hidden="1">
              <a:extLst>
                <a:ext uri="{63B3BB69-23CF-44E3-9099-C40C66FF867C}">
                  <a14:compatExt spid="_x0000_s41290"/>
                </a:ext>
                <a:ext uri="{FF2B5EF4-FFF2-40B4-BE49-F238E27FC236}">
                  <a16:creationId xmlns:a16="http://schemas.microsoft.com/office/drawing/2014/main" id="{00000000-0008-0000-0D00-00004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53</xdr:row>
          <xdr:rowOff>28575</xdr:rowOff>
        </xdr:from>
        <xdr:to>
          <xdr:col>5</xdr:col>
          <xdr:colOff>447675</xdr:colOff>
          <xdr:row>54</xdr:row>
          <xdr:rowOff>0</xdr:rowOff>
        </xdr:to>
        <xdr:sp macro="" textlink="">
          <xdr:nvSpPr>
            <xdr:cNvPr id="41291" name="Check Box 331" hidden="1">
              <a:extLst>
                <a:ext uri="{63B3BB69-23CF-44E3-9099-C40C66FF867C}">
                  <a14:compatExt spid="_x0000_s41291"/>
                </a:ext>
                <a:ext uri="{FF2B5EF4-FFF2-40B4-BE49-F238E27FC236}">
                  <a16:creationId xmlns:a16="http://schemas.microsoft.com/office/drawing/2014/main" id="{00000000-0008-0000-0D00-00004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53</xdr:row>
          <xdr:rowOff>28575</xdr:rowOff>
        </xdr:from>
        <xdr:to>
          <xdr:col>6</xdr:col>
          <xdr:colOff>419100</xdr:colOff>
          <xdr:row>54</xdr:row>
          <xdr:rowOff>0</xdr:rowOff>
        </xdr:to>
        <xdr:sp macro="" textlink="">
          <xdr:nvSpPr>
            <xdr:cNvPr id="41292" name="Check Box 332" hidden="1">
              <a:extLst>
                <a:ext uri="{63B3BB69-23CF-44E3-9099-C40C66FF867C}">
                  <a14:compatExt spid="_x0000_s41292"/>
                </a:ext>
                <a:ext uri="{FF2B5EF4-FFF2-40B4-BE49-F238E27FC236}">
                  <a16:creationId xmlns:a16="http://schemas.microsoft.com/office/drawing/2014/main" id="{00000000-0008-0000-0D00-00004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53</xdr:row>
          <xdr:rowOff>28575</xdr:rowOff>
        </xdr:from>
        <xdr:to>
          <xdr:col>7</xdr:col>
          <xdr:colOff>419100</xdr:colOff>
          <xdr:row>54</xdr:row>
          <xdr:rowOff>0</xdr:rowOff>
        </xdr:to>
        <xdr:sp macro="" textlink="">
          <xdr:nvSpPr>
            <xdr:cNvPr id="41293" name="Check Box 333" hidden="1">
              <a:extLst>
                <a:ext uri="{63B3BB69-23CF-44E3-9099-C40C66FF867C}">
                  <a14:compatExt spid="_x0000_s41293"/>
                </a:ext>
                <a:ext uri="{FF2B5EF4-FFF2-40B4-BE49-F238E27FC236}">
                  <a16:creationId xmlns:a16="http://schemas.microsoft.com/office/drawing/2014/main" id="{00000000-0008-0000-0D00-00004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1294" name="Check Box 334" hidden="1">
              <a:extLst>
                <a:ext uri="{63B3BB69-23CF-44E3-9099-C40C66FF867C}">
                  <a14:compatExt spid="_x0000_s41294"/>
                </a:ext>
                <a:ext uri="{FF2B5EF4-FFF2-40B4-BE49-F238E27FC236}">
                  <a16:creationId xmlns:a16="http://schemas.microsoft.com/office/drawing/2014/main" id="{00000000-0008-0000-0D00-00004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1295" name="Check Box 335" hidden="1">
              <a:extLst>
                <a:ext uri="{63B3BB69-23CF-44E3-9099-C40C66FF867C}">
                  <a14:compatExt spid="_x0000_s41295"/>
                </a:ext>
                <a:ext uri="{FF2B5EF4-FFF2-40B4-BE49-F238E27FC236}">
                  <a16:creationId xmlns:a16="http://schemas.microsoft.com/office/drawing/2014/main" id="{00000000-0008-0000-0D00-00004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1296" name="Check Box 336" hidden="1">
              <a:extLst>
                <a:ext uri="{63B3BB69-23CF-44E3-9099-C40C66FF867C}">
                  <a14:compatExt spid="_x0000_s41296"/>
                </a:ext>
                <a:ext uri="{FF2B5EF4-FFF2-40B4-BE49-F238E27FC236}">
                  <a16:creationId xmlns:a16="http://schemas.microsoft.com/office/drawing/2014/main" id="{00000000-0008-0000-0D00-00005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1297" name="Check Box 337" hidden="1">
              <a:extLst>
                <a:ext uri="{63B3BB69-23CF-44E3-9099-C40C66FF867C}">
                  <a14:compatExt spid="_x0000_s41297"/>
                </a:ext>
                <a:ext uri="{FF2B5EF4-FFF2-40B4-BE49-F238E27FC236}">
                  <a16:creationId xmlns:a16="http://schemas.microsoft.com/office/drawing/2014/main" id="{00000000-0008-0000-0D00-00005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1298" name="Check Box 338" hidden="1">
              <a:extLst>
                <a:ext uri="{63B3BB69-23CF-44E3-9099-C40C66FF867C}">
                  <a14:compatExt spid="_x0000_s41298"/>
                </a:ext>
                <a:ext uri="{FF2B5EF4-FFF2-40B4-BE49-F238E27FC236}">
                  <a16:creationId xmlns:a16="http://schemas.microsoft.com/office/drawing/2014/main" id="{00000000-0008-0000-0D00-00005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1299" name="Check Box 339" hidden="1">
              <a:extLst>
                <a:ext uri="{63B3BB69-23CF-44E3-9099-C40C66FF867C}">
                  <a14:compatExt spid="_x0000_s41299"/>
                </a:ext>
                <a:ext uri="{FF2B5EF4-FFF2-40B4-BE49-F238E27FC236}">
                  <a16:creationId xmlns:a16="http://schemas.microsoft.com/office/drawing/2014/main" id="{00000000-0008-0000-0D00-00005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53</xdr:row>
          <xdr:rowOff>28575</xdr:rowOff>
        </xdr:from>
        <xdr:to>
          <xdr:col>5</xdr:col>
          <xdr:colOff>447675</xdr:colOff>
          <xdr:row>54</xdr:row>
          <xdr:rowOff>0</xdr:rowOff>
        </xdr:to>
        <xdr:sp macro="" textlink="">
          <xdr:nvSpPr>
            <xdr:cNvPr id="41300" name="Check Box 340" hidden="1">
              <a:extLst>
                <a:ext uri="{63B3BB69-23CF-44E3-9099-C40C66FF867C}">
                  <a14:compatExt spid="_x0000_s41300"/>
                </a:ext>
                <a:ext uri="{FF2B5EF4-FFF2-40B4-BE49-F238E27FC236}">
                  <a16:creationId xmlns:a16="http://schemas.microsoft.com/office/drawing/2014/main" id="{00000000-0008-0000-0D00-00005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53</xdr:row>
          <xdr:rowOff>28575</xdr:rowOff>
        </xdr:from>
        <xdr:to>
          <xdr:col>6</xdr:col>
          <xdr:colOff>419100</xdr:colOff>
          <xdr:row>54</xdr:row>
          <xdr:rowOff>0</xdr:rowOff>
        </xdr:to>
        <xdr:sp macro="" textlink="">
          <xdr:nvSpPr>
            <xdr:cNvPr id="41301" name="Check Box 341" hidden="1">
              <a:extLst>
                <a:ext uri="{63B3BB69-23CF-44E3-9099-C40C66FF867C}">
                  <a14:compatExt spid="_x0000_s41301"/>
                </a:ext>
                <a:ext uri="{FF2B5EF4-FFF2-40B4-BE49-F238E27FC236}">
                  <a16:creationId xmlns:a16="http://schemas.microsoft.com/office/drawing/2014/main" id="{00000000-0008-0000-0D00-00005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53</xdr:row>
          <xdr:rowOff>28575</xdr:rowOff>
        </xdr:from>
        <xdr:to>
          <xdr:col>7</xdr:col>
          <xdr:colOff>419100</xdr:colOff>
          <xdr:row>54</xdr:row>
          <xdr:rowOff>0</xdr:rowOff>
        </xdr:to>
        <xdr:sp macro="" textlink="">
          <xdr:nvSpPr>
            <xdr:cNvPr id="41302" name="Check Box 342" hidden="1">
              <a:extLst>
                <a:ext uri="{63B3BB69-23CF-44E3-9099-C40C66FF867C}">
                  <a14:compatExt spid="_x0000_s41302"/>
                </a:ext>
                <a:ext uri="{FF2B5EF4-FFF2-40B4-BE49-F238E27FC236}">
                  <a16:creationId xmlns:a16="http://schemas.microsoft.com/office/drawing/2014/main" id="{00000000-0008-0000-0D00-00005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1303" name="Check Box 343" hidden="1">
              <a:extLst>
                <a:ext uri="{63B3BB69-23CF-44E3-9099-C40C66FF867C}">
                  <a14:compatExt spid="_x0000_s41303"/>
                </a:ext>
                <a:ext uri="{FF2B5EF4-FFF2-40B4-BE49-F238E27FC236}">
                  <a16:creationId xmlns:a16="http://schemas.microsoft.com/office/drawing/2014/main" id="{00000000-0008-0000-0D00-00005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1304" name="Check Box 344" hidden="1">
              <a:extLst>
                <a:ext uri="{63B3BB69-23CF-44E3-9099-C40C66FF867C}">
                  <a14:compatExt spid="_x0000_s41304"/>
                </a:ext>
                <a:ext uri="{FF2B5EF4-FFF2-40B4-BE49-F238E27FC236}">
                  <a16:creationId xmlns:a16="http://schemas.microsoft.com/office/drawing/2014/main" id="{00000000-0008-0000-0D00-00005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1305" name="Check Box 345" hidden="1">
              <a:extLst>
                <a:ext uri="{63B3BB69-23CF-44E3-9099-C40C66FF867C}">
                  <a14:compatExt spid="_x0000_s41305"/>
                </a:ext>
                <a:ext uri="{FF2B5EF4-FFF2-40B4-BE49-F238E27FC236}">
                  <a16:creationId xmlns:a16="http://schemas.microsoft.com/office/drawing/2014/main" id="{00000000-0008-0000-0D00-00005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1306" name="Check Box 346" hidden="1">
              <a:extLst>
                <a:ext uri="{63B3BB69-23CF-44E3-9099-C40C66FF867C}">
                  <a14:compatExt spid="_x0000_s41306"/>
                </a:ext>
                <a:ext uri="{FF2B5EF4-FFF2-40B4-BE49-F238E27FC236}">
                  <a16:creationId xmlns:a16="http://schemas.microsoft.com/office/drawing/2014/main" id="{00000000-0008-0000-0D00-00005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1307" name="Check Box 347" hidden="1">
              <a:extLst>
                <a:ext uri="{63B3BB69-23CF-44E3-9099-C40C66FF867C}">
                  <a14:compatExt spid="_x0000_s41307"/>
                </a:ext>
                <a:ext uri="{FF2B5EF4-FFF2-40B4-BE49-F238E27FC236}">
                  <a16:creationId xmlns:a16="http://schemas.microsoft.com/office/drawing/2014/main" id="{00000000-0008-0000-0D00-00005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1308" name="Check Box 348" hidden="1">
              <a:extLst>
                <a:ext uri="{63B3BB69-23CF-44E3-9099-C40C66FF867C}">
                  <a14:compatExt spid="_x0000_s41308"/>
                </a:ext>
                <a:ext uri="{FF2B5EF4-FFF2-40B4-BE49-F238E27FC236}">
                  <a16:creationId xmlns:a16="http://schemas.microsoft.com/office/drawing/2014/main" id="{00000000-0008-0000-0D00-00005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1309" name="Check Box 349" hidden="1">
              <a:extLst>
                <a:ext uri="{63B3BB69-23CF-44E3-9099-C40C66FF867C}">
                  <a14:compatExt spid="_x0000_s41309"/>
                </a:ext>
                <a:ext uri="{FF2B5EF4-FFF2-40B4-BE49-F238E27FC236}">
                  <a16:creationId xmlns:a16="http://schemas.microsoft.com/office/drawing/2014/main" id="{00000000-0008-0000-0D00-00005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1310" name="Check Box 350" hidden="1">
              <a:extLst>
                <a:ext uri="{63B3BB69-23CF-44E3-9099-C40C66FF867C}">
                  <a14:compatExt spid="_x0000_s41310"/>
                </a:ext>
                <a:ext uri="{FF2B5EF4-FFF2-40B4-BE49-F238E27FC236}">
                  <a16:creationId xmlns:a16="http://schemas.microsoft.com/office/drawing/2014/main" id="{00000000-0008-0000-0D00-00005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1311" name="Check Box 351" hidden="1">
              <a:extLst>
                <a:ext uri="{63B3BB69-23CF-44E3-9099-C40C66FF867C}">
                  <a14:compatExt spid="_x0000_s41311"/>
                </a:ext>
                <a:ext uri="{FF2B5EF4-FFF2-40B4-BE49-F238E27FC236}">
                  <a16:creationId xmlns:a16="http://schemas.microsoft.com/office/drawing/2014/main" id="{00000000-0008-0000-0D00-00005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1312" name="Check Box 352" hidden="1">
              <a:extLst>
                <a:ext uri="{63B3BB69-23CF-44E3-9099-C40C66FF867C}">
                  <a14:compatExt spid="_x0000_s41312"/>
                </a:ext>
                <a:ext uri="{FF2B5EF4-FFF2-40B4-BE49-F238E27FC236}">
                  <a16:creationId xmlns:a16="http://schemas.microsoft.com/office/drawing/2014/main" id="{00000000-0008-0000-0D00-00006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1313" name="Check Box 353" hidden="1">
              <a:extLst>
                <a:ext uri="{63B3BB69-23CF-44E3-9099-C40C66FF867C}">
                  <a14:compatExt spid="_x0000_s41313"/>
                </a:ext>
                <a:ext uri="{FF2B5EF4-FFF2-40B4-BE49-F238E27FC236}">
                  <a16:creationId xmlns:a16="http://schemas.microsoft.com/office/drawing/2014/main" id="{00000000-0008-0000-0D00-00006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1314" name="Check Box 354" hidden="1">
              <a:extLst>
                <a:ext uri="{63B3BB69-23CF-44E3-9099-C40C66FF867C}">
                  <a14:compatExt spid="_x0000_s41314"/>
                </a:ext>
                <a:ext uri="{FF2B5EF4-FFF2-40B4-BE49-F238E27FC236}">
                  <a16:creationId xmlns:a16="http://schemas.microsoft.com/office/drawing/2014/main" id="{00000000-0008-0000-0D00-00006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1315" name="Check Box 355" hidden="1">
              <a:extLst>
                <a:ext uri="{63B3BB69-23CF-44E3-9099-C40C66FF867C}">
                  <a14:compatExt spid="_x0000_s41315"/>
                </a:ext>
                <a:ext uri="{FF2B5EF4-FFF2-40B4-BE49-F238E27FC236}">
                  <a16:creationId xmlns:a16="http://schemas.microsoft.com/office/drawing/2014/main" id="{00000000-0008-0000-0D00-00006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1316" name="Check Box 356" hidden="1">
              <a:extLst>
                <a:ext uri="{63B3BB69-23CF-44E3-9099-C40C66FF867C}">
                  <a14:compatExt spid="_x0000_s41316"/>
                </a:ext>
                <a:ext uri="{FF2B5EF4-FFF2-40B4-BE49-F238E27FC236}">
                  <a16:creationId xmlns:a16="http://schemas.microsoft.com/office/drawing/2014/main" id="{00000000-0008-0000-0D00-00006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1317" name="Check Box 357" hidden="1">
              <a:extLst>
                <a:ext uri="{63B3BB69-23CF-44E3-9099-C40C66FF867C}">
                  <a14:compatExt spid="_x0000_s41317"/>
                </a:ext>
                <a:ext uri="{FF2B5EF4-FFF2-40B4-BE49-F238E27FC236}">
                  <a16:creationId xmlns:a16="http://schemas.microsoft.com/office/drawing/2014/main" id="{00000000-0008-0000-0D00-00006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1318" name="Check Box 358" hidden="1">
              <a:extLst>
                <a:ext uri="{63B3BB69-23CF-44E3-9099-C40C66FF867C}">
                  <a14:compatExt spid="_x0000_s41318"/>
                </a:ext>
                <a:ext uri="{FF2B5EF4-FFF2-40B4-BE49-F238E27FC236}">
                  <a16:creationId xmlns:a16="http://schemas.microsoft.com/office/drawing/2014/main" id="{00000000-0008-0000-0D00-00006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1319" name="Check Box 359" hidden="1">
              <a:extLst>
                <a:ext uri="{63B3BB69-23CF-44E3-9099-C40C66FF867C}">
                  <a14:compatExt spid="_x0000_s41319"/>
                </a:ext>
                <a:ext uri="{FF2B5EF4-FFF2-40B4-BE49-F238E27FC236}">
                  <a16:creationId xmlns:a16="http://schemas.microsoft.com/office/drawing/2014/main" id="{00000000-0008-0000-0D00-00006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1320" name="Check Box 360" hidden="1">
              <a:extLst>
                <a:ext uri="{63B3BB69-23CF-44E3-9099-C40C66FF867C}">
                  <a14:compatExt spid="_x0000_s41320"/>
                </a:ext>
                <a:ext uri="{FF2B5EF4-FFF2-40B4-BE49-F238E27FC236}">
                  <a16:creationId xmlns:a16="http://schemas.microsoft.com/office/drawing/2014/main" id="{00000000-0008-0000-0D00-00006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1321" name="Check Box 361" hidden="1">
              <a:extLst>
                <a:ext uri="{63B3BB69-23CF-44E3-9099-C40C66FF867C}">
                  <a14:compatExt spid="_x0000_s41321"/>
                </a:ext>
                <a:ext uri="{FF2B5EF4-FFF2-40B4-BE49-F238E27FC236}">
                  <a16:creationId xmlns:a16="http://schemas.microsoft.com/office/drawing/2014/main" id="{00000000-0008-0000-0D00-00006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1322" name="Check Box 362" hidden="1">
              <a:extLst>
                <a:ext uri="{63B3BB69-23CF-44E3-9099-C40C66FF867C}">
                  <a14:compatExt spid="_x0000_s41322"/>
                </a:ext>
                <a:ext uri="{FF2B5EF4-FFF2-40B4-BE49-F238E27FC236}">
                  <a16:creationId xmlns:a16="http://schemas.microsoft.com/office/drawing/2014/main" id="{00000000-0008-0000-0D00-00006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1323" name="Check Box 363" hidden="1">
              <a:extLst>
                <a:ext uri="{63B3BB69-23CF-44E3-9099-C40C66FF867C}">
                  <a14:compatExt spid="_x0000_s41323"/>
                </a:ext>
                <a:ext uri="{FF2B5EF4-FFF2-40B4-BE49-F238E27FC236}">
                  <a16:creationId xmlns:a16="http://schemas.microsoft.com/office/drawing/2014/main" id="{00000000-0008-0000-0D00-00006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1324" name="Check Box 364" hidden="1">
              <a:extLst>
                <a:ext uri="{63B3BB69-23CF-44E3-9099-C40C66FF867C}">
                  <a14:compatExt spid="_x0000_s41324"/>
                </a:ext>
                <a:ext uri="{FF2B5EF4-FFF2-40B4-BE49-F238E27FC236}">
                  <a16:creationId xmlns:a16="http://schemas.microsoft.com/office/drawing/2014/main" id="{00000000-0008-0000-0D00-00006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1325" name="Check Box 365" hidden="1">
              <a:extLst>
                <a:ext uri="{63B3BB69-23CF-44E3-9099-C40C66FF867C}">
                  <a14:compatExt spid="_x0000_s41325"/>
                </a:ext>
                <a:ext uri="{FF2B5EF4-FFF2-40B4-BE49-F238E27FC236}">
                  <a16:creationId xmlns:a16="http://schemas.microsoft.com/office/drawing/2014/main" id="{00000000-0008-0000-0D00-00006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1326" name="Check Box 366" hidden="1">
              <a:extLst>
                <a:ext uri="{63B3BB69-23CF-44E3-9099-C40C66FF867C}">
                  <a14:compatExt spid="_x0000_s41326"/>
                </a:ext>
                <a:ext uri="{FF2B5EF4-FFF2-40B4-BE49-F238E27FC236}">
                  <a16:creationId xmlns:a16="http://schemas.microsoft.com/office/drawing/2014/main" id="{00000000-0008-0000-0D00-00006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1327" name="Check Box 367" hidden="1">
              <a:extLst>
                <a:ext uri="{63B3BB69-23CF-44E3-9099-C40C66FF867C}">
                  <a14:compatExt spid="_x0000_s41327"/>
                </a:ext>
                <a:ext uri="{FF2B5EF4-FFF2-40B4-BE49-F238E27FC236}">
                  <a16:creationId xmlns:a16="http://schemas.microsoft.com/office/drawing/2014/main" id="{00000000-0008-0000-0D00-00006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1328" name="Check Box 368" hidden="1">
              <a:extLst>
                <a:ext uri="{63B3BB69-23CF-44E3-9099-C40C66FF867C}">
                  <a14:compatExt spid="_x0000_s41328"/>
                </a:ext>
                <a:ext uri="{FF2B5EF4-FFF2-40B4-BE49-F238E27FC236}">
                  <a16:creationId xmlns:a16="http://schemas.microsoft.com/office/drawing/2014/main" id="{00000000-0008-0000-0D00-00007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1329" name="Check Box 369" hidden="1">
              <a:extLst>
                <a:ext uri="{63B3BB69-23CF-44E3-9099-C40C66FF867C}">
                  <a14:compatExt spid="_x0000_s41329"/>
                </a:ext>
                <a:ext uri="{FF2B5EF4-FFF2-40B4-BE49-F238E27FC236}">
                  <a16:creationId xmlns:a16="http://schemas.microsoft.com/office/drawing/2014/main" id="{00000000-0008-0000-0D00-00007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1330" name="Check Box 370" hidden="1">
              <a:extLst>
                <a:ext uri="{63B3BB69-23CF-44E3-9099-C40C66FF867C}">
                  <a14:compatExt spid="_x0000_s41330"/>
                </a:ext>
                <a:ext uri="{FF2B5EF4-FFF2-40B4-BE49-F238E27FC236}">
                  <a16:creationId xmlns:a16="http://schemas.microsoft.com/office/drawing/2014/main" id="{00000000-0008-0000-0D00-00007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1331" name="Check Box 371" hidden="1">
              <a:extLst>
                <a:ext uri="{63B3BB69-23CF-44E3-9099-C40C66FF867C}">
                  <a14:compatExt spid="_x0000_s41331"/>
                </a:ext>
                <a:ext uri="{FF2B5EF4-FFF2-40B4-BE49-F238E27FC236}">
                  <a16:creationId xmlns:a16="http://schemas.microsoft.com/office/drawing/2014/main" id="{00000000-0008-0000-0D00-00007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1332" name="Check Box 372" hidden="1">
              <a:extLst>
                <a:ext uri="{63B3BB69-23CF-44E3-9099-C40C66FF867C}">
                  <a14:compatExt spid="_x0000_s41332"/>
                </a:ext>
                <a:ext uri="{FF2B5EF4-FFF2-40B4-BE49-F238E27FC236}">
                  <a16:creationId xmlns:a16="http://schemas.microsoft.com/office/drawing/2014/main" id="{00000000-0008-0000-0D00-00007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1333" name="Check Box 373" hidden="1">
              <a:extLst>
                <a:ext uri="{63B3BB69-23CF-44E3-9099-C40C66FF867C}">
                  <a14:compatExt spid="_x0000_s41333"/>
                </a:ext>
                <a:ext uri="{FF2B5EF4-FFF2-40B4-BE49-F238E27FC236}">
                  <a16:creationId xmlns:a16="http://schemas.microsoft.com/office/drawing/2014/main" id="{00000000-0008-0000-0D00-00007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1334" name="Check Box 374" hidden="1">
              <a:extLst>
                <a:ext uri="{63B3BB69-23CF-44E3-9099-C40C66FF867C}">
                  <a14:compatExt spid="_x0000_s41334"/>
                </a:ext>
                <a:ext uri="{FF2B5EF4-FFF2-40B4-BE49-F238E27FC236}">
                  <a16:creationId xmlns:a16="http://schemas.microsoft.com/office/drawing/2014/main" id="{00000000-0008-0000-0D00-00007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1335" name="Check Box 375" hidden="1">
              <a:extLst>
                <a:ext uri="{63B3BB69-23CF-44E3-9099-C40C66FF867C}">
                  <a14:compatExt spid="_x0000_s41335"/>
                </a:ext>
                <a:ext uri="{FF2B5EF4-FFF2-40B4-BE49-F238E27FC236}">
                  <a16:creationId xmlns:a16="http://schemas.microsoft.com/office/drawing/2014/main" id="{00000000-0008-0000-0D00-00007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1336" name="Check Box 376" hidden="1">
              <a:extLst>
                <a:ext uri="{63B3BB69-23CF-44E3-9099-C40C66FF867C}">
                  <a14:compatExt spid="_x0000_s41336"/>
                </a:ext>
                <a:ext uri="{FF2B5EF4-FFF2-40B4-BE49-F238E27FC236}">
                  <a16:creationId xmlns:a16="http://schemas.microsoft.com/office/drawing/2014/main" id="{00000000-0008-0000-0D00-00007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1337" name="Check Box 377" hidden="1">
              <a:extLst>
                <a:ext uri="{63B3BB69-23CF-44E3-9099-C40C66FF867C}">
                  <a14:compatExt spid="_x0000_s41337"/>
                </a:ext>
                <a:ext uri="{FF2B5EF4-FFF2-40B4-BE49-F238E27FC236}">
                  <a16:creationId xmlns:a16="http://schemas.microsoft.com/office/drawing/2014/main" id="{00000000-0008-0000-0D00-00007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1338" name="Check Box 378" hidden="1">
              <a:extLst>
                <a:ext uri="{63B3BB69-23CF-44E3-9099-C40C66FF867C}">
                  <a14:compatExt spid="_x0000_s41338"/>
                </a:ext>
                <a:ext uri="{FF2B5EF4-FFF2-40B4-BE49-F238E27FC236}">
                  <a16:creationId xmlns:a16="http://schemas.microsoft.com/office/drawing/2014/main" id="{00000000-0008-0000-0D00-00007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1339" name="Check Box 379" hidden="1">
              <a:extLst>
                <a:ext uri="{63B3BB69-23CF-44E3-9099-C40C66FF867C}">
                  <a14:compatExt spid="_x0000_s41339"/>
                </a:ext>
                <a:ext uri="{FF2B5EF4-FFF2-40B4-BE49-F238E27FC236}">
                  <a16:creationId xmlns:a16="http://schemas.microsoft.com/office/drawing/2014/main" id="{00000000-0008-0000-0D00-00007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1340" name="Check Box 380" hidden="1">
              <a:extLst>
                <a:ext uri="{63B3BB69-23CF-44E3-9099-C40C66FF867C}">
                  <a14:compatExt spid="_x0000_s41340"/>
                </a:ext>
                <a:ext uri="{FF2B5EF4-FFF2-40B4-BE49-F238E27FC236}">
                  <a16:creationId xmlns:a16="http://schemas.microsoft.com/office/drawing/2014/main" id="{00000000-0008-0000-0D00-00007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1341" name="Check Box 381" hidden="1">
              <a:extLst>
                <a:ext uri="{63B3BB69-23CF-44E3-9099-C40C66FF867C}">
                  <a14:compatExt spid="_x0000_s41341"/>
                </a:ext>
                <a:ext uri="{FF2B5EF4-FFF2-40B4-BE49-F238E27FC236}">
                  <a16:creationId xmlns:a16="http://schemas.microsoft.com/office/drawing/2014/main" id="{00000000-0008-0000-0D00-00007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1342" name="Check Box 382" hidden="1">
              <a:extLst>
                <a:ext uri="{63B3BB69-23CF-44E3-9099-C40C66FF867C}">
                  <a14:compatExt spid="_x0000_s41342"/>
                </a:ext>
                <a:ext uri="{FF2B5EF4-FFF2-40B4-BE49-F238E27FC236}">
                  <a16:creationId xmlns:a16="http://schemas.microsoft.com/office/drawing/2014/main" id="{00000000-0008-0000-0D00-00007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1343" name="Check Box 383" hidden="1">
              <a:extLst>
                <a:ext uri="{63B3BB69-23CF-44E3-9099-C40C66FF867C}">
                  <a14:compatExt spid="_x0000_s41343"/>
                </a:ext>
                <a:ext uri="{FF2B5EF4-FFF2-40B4-BE49-F238E27FC236}">
                  <a16:creationId xmlns:a16="http://schemas.microsoft.com/office/drawing/2014/main" id="{00000000-0008-0000-0D00-00007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1344" name="Check Box 384" hidden="1">
              <a:extLst>
                <a:ext uri="{63B3BB69-23CF-44E3-9099-C40C66FF867C}">
                  <a14:compatExt spid="_x0000_s41344"/>
                </a:ext>
                <a:ext uri="{FF2B5EF4-FFF2-40B4-BE49-F238E27FC236}">
                  <a16:creationId xmlns:a16="http://schemas.microsoft.com/office/drawing/2014/main" id="{00000000-0008-0000-0D00-00008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1345" name="Check Box 385" hidden="1">
              <a:extLst>
                <a:ext uri="{63B3BB69-23CF-44E3-9099-C40C66FF867C}">
                  <a14:compatExt spid="_x0000_s41345"/>
                </a:ext>
                <a:ext uri="{FF2B5EF4-FFF2-40B4-BE49-F238E27FC236}">
                  <a16:creationId xmlns:a16="http://schemas.microsoft.com/office/drawing/2014/main" id="{00000000-0008-0000-0D00-00008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1346" name="Check Box 386" hidden="1">
              <a:extLst>
                <a:ext uri="{63B3BB69-23CF-44E3-9099-C40C66FF867C}">
                  <a14:compatExt spid="_x0000_s41346"/>
                </a:ext>
                <a:ext uri="{FF2B5EF4-FFF2-40B4-BE49-F238E27FC236}">
                  <a16:creationId xmlns:a16="http://schemas.microsoft.com/office/drawing/2014/main" id="{00000000-0008-0000-0D00-00008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1347" name="Check Box 387" hidden="1">
              <a:extLst>
                <a:ext uri="{63B3BB69-23CF-44E3-9099-C40C66FF867C}">
                  <a14:compatExt spid="_x0000_s41347"/>
                </a:ext>
                <a:ext uri="{FF2B5EF4-FFF2-40B4-BE49-F238E27FC236}">
                  <a16:creationId xmlns:a16="http://schemas.microsoft.com/office/drawing/2014/main" id="{00000000-0008-0000-0D00-00008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1348" name="Check Box 388" hidden="1">
              <a:extLst>
                <a:ext uri="{63B3BB69-23CF-44E3-9099-C40C66FF867C}">
                  <a14:compatExt spid="_x0000_s41348"/>
                </a:ext>
                <a:ext uri="{FF2B5EF4-FFF2-40B4-BE49-F238E27FC236}">
                  <a16:creationId xmlns:a16="http://schemas.microsoft.com/office/drawing/2014/main" id="{00000000-0008-0000-0D00-00008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1349" name="Check Box 389" hidden="1">
              <a:extLst>
                <a:ext uri="{63B3BB69-23CF-44E3-9099-C40C66FF867C}">
                  <a14:compatExt spid="_x0000_s41349"/>
                </a:ext>
                <a:ext uri="{FF2B5EF4-FFF2-40B4-BE49-F238E27FC236}">
                  <a16:creationId xmlns:a16="http://schemas.microsoft.com/office/drawing/2014/main" id="{00000000-0008-0000-0D00-00008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1350" name="Check Box 390" hidden="1">
              <a:extLst>
                <a:ext uri="{63B3BB69-23CF-44E3-9099-C40C66FF867C}">
                  <a14:compatExt spid="_x0000_s41350"/>
                </a:ext>
                <a:ext uri="{FF2B5EF4-FFF2-40B4-BE49-F238E27FC236}">
                  <a16:creationId xmlns:a16="http://schemas.microsoft.com/office/drawing/2014/main" id="{00000000-0008-0000-0D00-00008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1351" name="Check Box 391" hidden="1">
              <a:extLst>
                <a:ext uri="{63B3BB69-23CF-44E3-9099-C40C66FF867C}">
                  <a14:compatExt spid="_x0000_s41351"/>
                </a:ext>
                <a:ext uri="{FF2B5EF4-FFF2-40B4-BE49-F238E27FC236}">
                  <a16:creationId xmlns:a16="http://schemas.microsoft.com/office/drawing/2014/main" id="{00000000-0008-0000-0D00-00008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1352" name="Check Box 392" hidden="1">
              <a:extLst>
                <a:ext uri="{63B3BB69-23CF-44E3-9099-C40C66FF867C}">
                  <a14:compatExt spid="_x0000_s41352"/>
                </a:ext>
                <a:ext uri="{FF2B5EF4-FFF2-40B4-BE49-F238E27FC236}">
                  <a16:creationId xmlns:a16="http://schemas.microsoft.com/office/drawing/2014/main" id="{00000000-0008-0000-0D00-00008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1353" name="Check Box 393" hidden="1">
              <a:extLst>
                <a:ext uri="{63B3BB69-23CF-44E3-9099-C40C66FF867C}">
                  <a14:compatExt spid="_x0000_s41353"/>
                </a:ext>
                <a:ext uri="{FF2B5EF4-FFF2-40B4-BE49-F238E27FC236}">
                  <a16:creationId xmlns:a16="http://schemas.microsoft.com/office/drawing/2014/main" id="{00000000-0008-0000-0D00-00008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1354" name="Check Box 394" hidden="1">
              <a:extLst>
                <a:ext uri="{63B3BB69-23CF-44E3-9099-C40C66FF867C}">
                  <a14:compatExt spid="_x0000_s41354"/>
                </a:ext>
                <a:ext uri="{FF2B5EF4-FFF2-40B4-BE49-F238E27FC236}">
                  <a16:creationId xmlns:a16="http://schemas.microsoft.com/office/drawing/2014/main" id="{00000000-0008-0000-0D00-00008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1355" name="Check Box 395" hidden="1">
              <a:extLst>
                <a:ext uri="{63B3BB69-23CF-44E3-9099-C40C66FF867C}">
                  <a14:compatExt spid="_x0000_s41355"/>
                </a:ext>
                <a:ext uri="{FF2B5EF4-FFF2-40B4-BE49-F238E27FC236}">
                  <a16:creationId xmlns:a16="http://schemas.microsoft.com/office/drawing/2014/main" id="{00000000-0008-0000-0D00-00008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1356" name="Check Box 396" hidden="1">
              <a:extLst>
                <a:ext uri="{63B3BB69-23CF-44E3-9099-C40C66FF867C}">
                  <a14:compatExt spid="_x0000_s41356"/>
                </a:ext>
                <a:ext uri="{FF2B5EF4-FFF2-40B4-BE49-F238E27FC236}">
                  <a16:creationId xmlns:a16="http://schemas.microsoft.com/office/drawing/2014/main" id="{00000000-0008-0000-0D00-00008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1357" name="Check Box 397" hidden="1">
              <a:extLst>
                <a:ext uri="{63B3BB69-23CF-44E3-9099-C40C66FF867C}">
                  <a14:compatExt spid="_x0000_s41357"/>
                </a:ext>
                <a:ext uri="{FF2B5EF4-FFF2-40B4-BE49-F238E27FC236}">
                  <a16:creationId xmlns:a16="http://schemas.microsoft.com/office/drawing/2014/main" id="{00000000-0008-0000-0D00-00008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1358" name="Check Box 398" hidden="1">
              <a:extLst>
                <a:ext uri="{63B3BB69-23CF-44E3-9099-C40C66FF867C}">
                  <a14:compatExt spid="_x0000_s41358"/>
                </a:ext>
                <a:ext uri="{FF2B5EF4-FFF2-40B4-BE49-F238E27FC236}">
                  <a16:creationId xmlns:a16="http://schemas.microsoft.com/office/drawing/2014/main" id="{00000000-0008-0000-0D00-00008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1359" name="Check Box 399" hidden="1">
              <a:extLst>
                <a:ext uri="{63B3BB69-23CF-44E3-9099-C40C66FF867C}">
                  <a14:compatExt spid="_x0000_s41359"/>
                </a:ext>
                <a:ext uri="{FF2B5EF4-FFF2-40B4-BE49-F238E27FC236}">
                  <a16:creationId xmlns:a16="http://schemas.microsoft.com/office/drawing/2014/main" id="{00000000-0008-0000-0D00-00008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1360" name="Check Box 400" hidden="1">
              <a:extLst>
                <a:ext uri="{63B3BB69-23CF-44E3-9099-C40C66FF867C}">
                  <a14:compatExt spid="_x0000_s41360"/>
                </a:ext>
                <a:ext uri="{FF2B5EF4-FFF2-40B4-BE49-F238E27FC236}">
                  <a16:creationId xmlns:a16="http://schemas.microsoft.com/office/drawing/2014/main" id="{00000000-0008-0000-0D00-00009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1361" name="Check Box 401" hidden="1">
              <a:extLst>
                <a:ext uri="{63B3BB69-23CF-44E3-9099-C40C66FF867C}">
                  <a14:compatExt spid="_x0000_s41361"/>
                </a:ext>
                <a:ext uri="{FF2B5EF4-FFF2-40B4-BE49-F238E27FC236}">
                  <a16:creationId xmlns:a16="http://schemas.microsoft.com/office/drawing/2014/main" id="{00000000-0008-0000-0D00-00009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1362" name="Check Box 402" hidden="1">
              <a:extLst>
                <a:ext uri="{63B3BB69-23CF-44E3-9099-C40C66FF867C}">
                  <a14:compatExt spid="_x0000_s41362"/>
                </a:ext>
                <a:ext uri="{FF2B5EF4-FFF2-40B4-BE49-F238E27FC236}">
                  <a16:creationId xmlns:a16="http://schemas.microsoft.com/office/drawing/2014/main" id="{00000000-0008-0000-0D00-00009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1363" name="Check Box 403" hidden="1">
              <a:extLst>
                <a:ext uri="{63B3BB69-23CF-44E3-9099-C40C66FF867C}">
                  <a14:compatExt spid="_x0000_s41363"/>
                </a:ext>
                <a:ext uri="{FF2B5EF4-FFF2-40B4-BE49-F238E27FC236}">
                  <a16:creationId xmlns:a16="http://schemas.microsoft.com/office/drawing/2014/main" id="{00000000-0008-0000-0D00-00009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1364" name="Check Box 404" hidden="1">
              <a:extLst>
                <a:ext uri="{63B3BB69-23CF-44E3-9099-C40C66FF867C}">
                  <a14:compatExt spid="_x0000_s41364"/>
                </a:ext>
                <a:ext uri="{FF2B5EF4-FFF2-40B4-BE49-F238E27FC236}">
                  <a16:creationId xmlns:a16="http://schemas.microsoft.com/office/drawing/2014/main" id="{00000000-0008-0000-0D00-00009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1365" name="Check Box 405" hidden="1">
              <a:extLst>
                <a:ext uri="{63B3BB69-23CF-44E3-9099-C40C66FF867C}">
                  <a14:compatExt spid="_x0000_s41365"/>
                </a:ext>
                <a:ext uri="{FF2B5EF4-FFF2-40B4-BE49-F238E27FC236}">
                  <a16:creationId xmlns:a16="http://schemas.microsoft.com/office/drawing/2014/main" id="{00000000-0008-0000-0D00-00009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1366" name="Check Box 406" hidden="1">
              <a:extLst>
                <a:ext uri="{63B3BB69-23CF-44E3-9099-C40C66FF867C}">
                  <a14:compatExt spid="_x0000_s41366"/>
                </a:ext>
                <a:ext uri="{FF2B5EF4-FFF2-40B4-BE49-F238E27FC236}">
                  <a16:creationId xmlns:a16="http://schemas.microsoft.com/office/drawing/2014/main" id="{00000000-0008-0000-0D00-00009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1367" name="Check Box 407" hidden="1">
              <a:extLst>
                <a:ext uri="{63B3BB69-23CF-44E3-9099-C40C66FF867C}">
                  <a14:compatExt spid="_x0000_s41367"/>
                </a:ext>
                <a:ext uri="{FF2B5EF4-FFF2-40B4-BE49-F238E27FC236}">
                  <a16:creationId xmlns:a16="http://schemas.microsoft.com/office/drawing/2014/main" id="{00000000-0008-0000-0D00-00009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1368" name="Check Box 408" hidden="1">
              <a:extLst>
                <a:ext uri="{63B3BB69-23CF-44E3-9099-C40C66FF867C}">
                  <a14:compatExt spid="_x0000_s41368"/>
                </a:ext>
                <a:ext uri="{FF2B5EF4-FFF2-40B4-BE49-F238E27FC236}">
                  <a16:creationId xmlns:a16="http://schemas.microsoft.com/office/drawing/2014/main" id="{00000000-0008-0000-0D00-00009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1369" name="Check Box 409" hidden="1">
              <a:extLst>
                <a:ext uri="{63B3BB69-23CF-44E3-9099-C40C66FF867C}">
                  <a14:compatExt spid="_x0000_s41369"/>
                </a:ext>
                <a:ext uri="{FF2B5EF4-FFF2-40B4-BE49-F238E27FC236}">
                  <a16:creationId xmlns:a16="http://schemas.microsoft.com/office/drawing/2014/main" id="{00000000-0008-0000-0D00-00009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1370" name="Check Box 410" hidden="1">
              <a:extLst>
                <a:ext uri="{63B3BB69-23CF-44E3-9099-C40C66FF867C}">
                  <a14:compatExt spid="_x0000_s41370"/>
                </a:ext>
                <a:ext uri="{FF2B5EF4-FFF2-40B4-BE49-F238E27FC236}">
                  <a16:creationId xmlns:a16="http://schemas.microsoft.com/office/drawing/2014/main" id="{00000000-0008-0000-0D00-00009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1371" name="Check Box 411" hidden="1">
              <a:extLst>
                <a:ext uri="{63B3BB69-23CF-44E3-9099-C40C66FF867C}">
                  <a14:compatExt spid="_x0000_s41371"/>
                </a:ext>
                <a:ext uri="{FF2B5EF4-FFF2-40B4-BE49-F238E27FC236}">
                  <a16:creationId xmlns:a16="http://schemas.microsoft.com/office/drawing/2014/main" id="{00000000-0008-0000-0D00-00009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1372" name="Check Box 412" hidden="1">
              <a:extLst>
                <a:ext uri="{63B3BB69-23CF-44E3-9099-C40C66FF867C}">
                  <a14:compatExt spid="_x0000_s41372"/>
                </a:ext>
                <a:ext uri="{FF2B5EF4-FFF2-40B4-BE49-F238E27FC236}">
                  <a16:creationId xmlns:a16="http://schemas.microsoft.com/office/drawing/2014/main" id="{00000000-0008-0000-0D00-00009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1373" name="Check Box 413" hidden="1">
              <a:extLst>
                <a:ext uri="{63B3BB69-23CF-44E3-9099-C40C66FF867C}">
                  <a14:compatExt spid="_x0000_s41373"/>
                </a:ext>
                <a:ext uri="{FF2B5EF4-FFF2-40B4-BE49-F238E27FC236}">
                  <a16:creationId xmlns:a16="http://schemas.microsoft.com/office/drawing/2014/main" id="{00000000-0008-0000-0D00-00009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1374" name="Check Box 414" hidden="1">
              <a:extLst>
                <a:ext uri="{63B3BB69-23CF-44E3-9099-C40C66FF867C}">
                  <a14:compatExt spid="_x0000_s41374"/>
                </a:ext>
                <a:ext uri="{FF2B5EF4-FFF2-40B4-BE49-F238E27FC236}">
                  <a16:creationId xmlns:a16="http://schemas.microsoft.com/office/drawing/2014/main" id="{00000000-0008-0000-0D00-00009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1375" name="Check Box 415" hidden="1">
              <a:extLst>
                <a:ext uri="{63B3BB69-23CF-44E3-9099-C40C66FF867C}">
                  <a14:compatExt spid="_x0000_s41375"/>
                </a:ext>
                <a:ext uri="{FF2B5EF4-FFF2-40B4-BE49-F238E27FC236}">
                  <a16:creationId xmlns:a16="http://schemas.microsoft.com/office/drawing/2014/main" id="{00000000-0008-0000-0D00-00009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1376" name="Check Box 416" hidden="1">
              <a:extLst>
                <a:ext uri="{63B3BB69-23CF-44E3-9099-C40C66FF867C}">
                  <a14:compatExt spid="_x0000_s41376"/>
                </a:ext>
                <a:ext uri="{FF2B5EF4-FFF2-40B4-BE49-F238E27FC236}">
                  <a16:creationId xmlns:a16="http://schemas.microsoft.com/office/drawing/2014/main" id="{00000000-0008-0000-0D00-0000A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1377" name="Check Box 417" hidden="1">
              <a:extLst>
                <a:ext uri="{63B3BB69-23CF-44E3-9099-C40C66FF867C}">
                  <a14:compatExt spid="_x0000_s41377"/>
                </a:ext>
                <a:ext uri="{FF2B5EF4-FFF2-40B4-BE49-F238E27FC236}">
                  <a16:creationId xmlns:a16="http://schemas.microsoft.com/office/drawing/2014/main" id="{00000000-0008-0000-0D00-0000A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1378" name="Check Box 418" hidden="1">
              <a:extLst>
                <a:ext uri="{63B3BB69-23CF-44E3-9099-C40C66FF867C}">
                  <a14:compatExt spid="_x0000_s41378"/>
                </a:ext>
                <a:ext uri="{FF2B5EF4-FFF2-40B4-BE49-F238E27FC236}">
                  <a16:creationId xmlns:a16="http://schemas.microsoft.com/office/drawing/2014/main" id="{00000000-0008-0000-0D00-0000A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1379" name="Check Box 419" hidden="1">
              <a:extLst>
                <a:ext uri="{63B3BB69-23CF-44E3-9099-C40C66FF867C}">
                  <a14:compatExt spid="_x0000_s41379"/>
                </a:ext>
                <a:ext uri="{FF2B5EF4-FFF2-40B4-BE49-F238E27FC236}">
                  <a16:creationId xmlns:a16="http://schemas.microsoft.com/office/drawing/2014/main" id="{00000000-0008-0000-0D00-0000A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1380" name="Check Box 420" hidden="1">
              <a:extLst>
                <a:ext uri="{63B3BB69-23CF-44E3-9099-C40C66FF867C}">
                  <a14:compatExt spid="_x0000_s41380"/>
                </a:ext>
                <a:ext uri="{FF2B5EF4-FFF2-40B4-BE49-F238E27FC236}">
                  <a16:creationId xmlns:a16="http://schemas.microsoft.com/office/drawing/2014/main" id="{00000000-0008-0000-0D00-0000A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1381" name="Check Box 421" hidden="1">
              <a:extLst>
                <a:ext uri="{63B3BB69-23CF-44E3-9099-C40C66FF867C}">
                  <a14:compatExt spid="_x0000_s41381"/>
                </a:ext>
                <a:ext uri="{FF2B5EF4-FFF2-40B4-BE49-F238E27FC236}">
                  <a16:creationId xmlns:a16="http://schemas.microsoft.com/office/drawing/2014/main" id="{00000000-0008-0000-0D00-0000A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1382" name="Check Box 422" hidden="1">
              <a:extLst>
                <a:ext uri="{63B3BB69-23CF-44E3-9099-C40C66FF867C}">
                  <a14:compatExt spid="_x0000_s41382"/>
                </a:ext>
                <a:ext uri="{FF2B5EF4-FFF2-40B4-BE49-F238E27FC236}">
                  <a16:creationId xmlns:a16="http://schemas.microsoft.com/office/drawing/2014/main" id="{00000000-0008-0000-0D00-0000A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1383" name="Check Box 423" hidden="1">
              <a:extLst>
                <a:ext uri="{63B3BB69-23CF-44E3-9099-C40C66FF867C}">
                  <a14:compatExt spid="_x0000_s41383"/>
                </a:ext>
                <a:ext uri="{FF2B5EF4-FFF2-40B4-BE49-F238E27FC236}">
                  <a16:creationId xmlns:a16="http://schemas.microsoft.com/office/drawing/2014/main" id="{00000000-0008-0000-0D00-0000A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1384" name="Check Box 424" hidden="1">
              <a:extLst>
                <a:ext uri="{63B3BB69-23CF-44E3-9099-C40C66FF867C}">
                  <a14:compatExt spid="_x0000_s41384"/>
                </a:ext>
                <a:ext uri="{FF2B5EF4-FFF2-40B4-BE49-F238E27FC236}">
                  <a16:creationId xmlns:a16="http://schemas.microsoft.com/office/drawing/2014/main" id="{00000000-0008-0000-0D00-0000A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1385" name="Check Box 425" hidden="1">
              <a:extLst>
                <a:ext uri="{63B3BB69-23CF-44E3-9099-C40C66FF867C}">
                  <a14:compatExt spid="_x0000_s41385"/>
                </a:ext>
                <a:ext uri="{FF2B5EF4-FFF2-40B4-BE49-F238E27FC236}">
                  <a16:creationId xmlns:a16="http://schemas.microsoft.com/office/drawing/2014/main" id="{00000000-0008-0000-0D00-0000A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1386" name="Check Box 426" hidden="1">
              <a:extLst>
                <a:ext uri="{63B3BB69-23CF-44E3-9099-C40C66FF867C}">
                  <a14:compatExt spid="_x0000_s41386"/>
                </a:ext>
                <a:ext uri="{FF2B5EF4-FFF2-40B4-BE49-F238E27FC236}">
                  <a16:creationId xmlns:a16="http://schemas.microsoft.com/office/drawing/2014/main" id="{00000000-0008-0000-0D00-0000A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1387" name="Check Box 427" hidden="1">
              <a:extLst>
                <a:ext uri="{63B3BB69-23CF-44E3-9099-C40C66FF867C}">
                  <a14:compatExt spid="_x0000_s41387"/>
                </a:ext>
                <a:ext uri="{FF2B5EF4-FFF2-40B4-BE49-F238E27FC236}">
                  <a16:creationId xmlns:a16="http://schemas.microsoft.com/office/drawing/2014/main" id="{00000000-0008-0000-0D00-0000A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1388" name="Check Box 428" hidden="1">
              <a:extLst>
                <a:ext uri="{63B3BB69-23CF-44E3-9099-C40C66FF867C}">
                  <a14:compatExt spid="_x0000_s41388"/>
                </a:ext>
                <a:ext uri="{FF2B5EF4-FFF2-40B4-BE49-F238E27FC236}">
                  <a16:creationId xmlns:a16="http://schemas.microsoft.com/office/drawing/2014/main" id="{00000000-0008-0000-0D00-0000A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1389" name="Check Box 429" hidden="1">
              <a:extLst>
                <a:ext uri="{63B3BB69-23CF-44E3-9099-C40C66FF867C}">
                  <a14:compatExt spid="_x0000_s41389"/>
                </a:ext>
                <a:ext uri="{FF2B5EF4-FFF2-40B4-BE49-F238E27FC236}">
                  <a16:creationId xmlns:a16="http://schemas.microsoft.com/office/drawing/2014/main" id="{00000000-0008-0000-0D00-0000A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1390" name="Check Box 430" hidden="1">
              <a:extLst>
                <a:ext uri="{63B3BB69-23CF-44E3-9099-C40C66FF867C}">
                  <a14:compatExt spid="_x0000_s41390"/>
                </a:ext>
                <a:ext uri="{FF2B5EF4-FFF2-40B4-BE49-F238E27FC236}">
                  <a16:creationId xmlns:a16="http://schemas.microsoft.com/office/drawing/2014/main" id="{00000000-0008-0000-0D00-0000A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1391" name="Check Box 431" hidden="1">
              <a:extLst>
                <a:ext uri="{63B3BB69-23CF-44E3-9099-C40C66FF867C}">
                  <a14:compatExt spid="_x0000_s41391"/>
                </a:ext>
                <a:ext uri="{FF2B5EF4-FFF2-40B4-BE49-F238E27FC236}">
                  <a16:creationId xmlns:a16="http://schemas.microsoft.com/office/drawing/2014/main" id="{00000000-0008-0000-0D00-0000A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1392" name="Check Box 432" hidden="1">
              <a:extLst>
                <a:ext uri="{63B3BB69-23CF-44E3-9099-C40C66FF867C}">
                  <a14:compatExt spid="_x0000_s41392"/>
                </a:ext>
                <a:ext uri="{FF2B5EF4-FFF2-40B4-BE49-F238E27FC236}">
                  <a16:creationId xmlns:a16="http://schemas.microsoft.com/office/drawing/2014/main" id="{00000000-0008-0000-0D00-0000B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1393" name="Check Box 433" hidden="1">
              <a:extLst>
                <a:ext uri="{63B3BB69-23CF-44E3-9099-C40C66FF867C}">
                  <a14:compatExt spid="_x0000_s41393"/>
                </a:ext>
                <a:ext uri="{FF2B5EF4-FFF2-40B4-BE49-F238E27FC236}">
                  <a16:creationId xmlns:a16="http://schemas.microsoft.com/office/drawing/2014/main" id="{00000000-0008-0000-0D00-0000B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1394" name="Check Box 434" hidden="1">
              <a:extLst>
                <a:ext uri="{63B3BB69-23CF-44E3-9099-C40C66FF867C}">
                  <a14:compatExt spid="_x0000_s41394"/>
                </a:ext>
                <a:ext uri="{FF2B5EF4-FFF2-40B4-BE49-F238E27FC236}">
                  <a16:creationId xmlns:a16="http://schemas.microsoft.com/office/drawing/2014/main" id="{00000000-0008-0000-0D00-0000B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1395" name="Check Box 435" hidden="1">
              <a:extLst>
                <a:ext uri="{63B3BB69-23CF-44E3-9099-C40C66FF867C}">
                  <a14:compatExt spid="_x0000_s41395"/>
                </a:ext>
                <a:ext uri="{FF2B5EF4-FFF2-40B4-BE49-F238E27FC236}">
                  <a16:creationId xmlns:a16="http://schemas.microsoft.com/office/drawing/2014/main" id="{00000000-0008-0000-0D00-0000B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1396" name="Check Box 436" hidden="1">
              <a:extLst>
                <a:ext uri="{63B3BB69-23CF-44E3-9099-C40C66FF867C}">
                  <a14:compatExt spid="_x0000_s41396"/>
                </a:ext>
                <a:ext uri="{FF2B5EF4-FFF2-40B4-BE49-F238E27FC236}">
                  <a16:creationId xmlns:a16="http://schemas.microsoft.com/office/drawing/2014/main" id="{00000000-0008-0000-0D00-0000B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1397" name="Check Box 437" hidden="1">
              <a:extLst>
                <a:ext uri="{63B3BB69-23CF-44E3-9099-C40C66FF867C}">
                  <a14:compatExt spid="_x0000_s41397"/>
                </a:ext>
                <a:ext uri="{FF2B5EF4-FFF2-40B4-BE49-F238E27FC236}">
                  <a16:creationId xmlns:a16="http://schemas.microsoft.com/office/drawing/2014/main" id="{00000000-0008-0000-0D00-0000B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1398" name="Check Box 438" hidden="1">
              <a:extLst>
                <a:ext uri="{63B3BB69-23CF-44E3-9099-C40C66FF867C}">
                  <a14:compatExt spid="_x0000_s41398"/>
                </a:ext>
                <a:ext uri="{FF2B5EF4-FFF2-40B4-BE49-F238E27FC236}">
                  <a16:creationId xmlns:a16="http://schemas.microsoft.com/office/drawing/2014/main" id="{00000000-0008-0000-0D00-0000B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399" name="Check Box 439" hidden="1">
              <a:extLst>
                <a:ext uri="{63B3BB69-23CF-44E3-9099-C40C66FF867C}">
                  <a14:compatExt spid="_x0000_s41399"/>
                </a:ext>
                <a:ext uri="{FF2B5EF4-FFF2-40B4-BE49-F238E27FC236}">
                  <a16:creationId xmlns:a16="http://schemas.microsoft.com/office/drawing/2014/main" id="{00000000-0008-0000-0D00-0000B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00" name="Check Box 440" hidden="1">
              <a:extLst>
                <a:ext uri="{63B3BB69-23CF-44E3-9099-C40C66FF867C}">
                  <a14:compatExt spid="_x0000_s41400"/>
                </a:ext>
                <a:ext uri="{FF2B5EF4-FFF2-40B4-BE49-F238E27FC236}">
                  <a16:creationId xmlns:a16="http://schemas.microsoft.com/office/drawing/2014/main" id="{00000000-0008-0000-0D00-0000B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01" name="Check Box 441" hidden="1">
              <a:extLst>
                <a:ext uri="{63B3BB69-23CF-44E3-9099-C40C66FF867C}">
                  <a14:compatExt spid="_x0000_s41401"/>
                </a:ext>
                <a:ext uri="{FF2B5EF4-FFF2-40B4-BE49-F238E27FC236}">
                  <a16:creationId xmlns:a16="http://schemas.microsoft.com/office/drawing/2014/main" id="{00000000-0008-0000-0D00-0000B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402" name="Check Box 442" hidden="1">
              <a:extLst>
                <a:ext uri="{63B3BB69-23CF-44E3-9099-C40C66FF867C}">
                  <a14:compatExt spid="_x0000_s41402"/>
                </a:ext>
                <a:ext uri="{FF2B5EF4-FFF2-40B4-BE49-F238E27FC236}">
                  <a16:creationId xmlns:a16="http://schemas.microsoft.com/office/drawing/2014/main" id="{00000000-0008-0000-0D00-0000B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03" name="Check Box 443" hidden="1">
              <a:extLst>
                <a:ext uri="{63B3BB69-23CF-44E3-9099-C40C66FF867C}">
                  <a14:compatExt spid="_x0000_s41403"/>
                </a:ext>
                <a:ext uri="{FF2B5EF4-FFF2-40B4-BE49-F238E27FC236}">
                  <a16:creationId xmlns:a16="http://schemas.microsoft.com/office/drawing/2014/main" id="{00000000-0008-0000-0D00-0000B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04" name="Check Box 444" hidden="1">
              <a:extLst>
                <a:ext uri="{63B3BB69-23CF-44E3-9099-C40C66FF867C}">
                  <a14:compatExt spid="_x0000_s41404"/>
                </a:ext>
                <a:ext uri="{FF2B5EF4-FFF2-40B4-BE49-F238E27FC236}">
                  <a16:creationId xmlns:a16="http://schemas.microsoft.com/office/drawing/2014/main" id="{00000000-0008-0000-0D00-0000B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405" name="Check Box 445" hidden="1">
              <a:extLst>
                <a:ext uri="{63B3BB69-23CF-44E3-9099-C40C66FF867C}">
                  <a14:compatExt spid="_x0000_s41405"/>
                </a:ext>
                <a:ext uri="{FF2B5EF4-FFF2-40B4-BE49-F238E27FC236}">
                  <a16:creationId xmlns:a16="http://schemas.microsoft.com/office/drawing/2014/main" id="{00000000-0008-0000-0D00-0000B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06" name="Check Box 446" hidden="1">
              <a:extLst>
                <a:ext uri="{63B3BB69-23CF-44E3-9099-C40C66FF867C}">
                  <a14:compatExt spid="_x0000_s41406"/>
                </a:ext>
                <a:ext uri="{FF2B5EF4-FFF2-40B4-BE49-F238E27FC236}">
                  <a16:creationId xmlns:a16="http://schemas.microsoft.com/office/drawing/2014/main" id="{00000000-0008-0000-0D00-0000B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07" name="Check Box 447" hidden="1">
              <a:extLst>
                <a:ext uri="{63B3BB69-23CF-44E3-9099-C40C66FF867C}">
                  <a14:compatExt spid="_x0000_s41407"/>
                </a:ext>
                <a:ext uri="{FF2B5EF4-FFF2-40B4-BE49-F238E27FC236}">
                  <a16:creationId xmlns:a16="http://schemas.microsoft.com/office/drawing/2014/main" id="{00000000-0008-0000-0D00-0000B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408" name="Check Box 448" hidden="1">
              <a:extLst>
                <a:ext uri="{63B3BB69-23CF-44E3-9099-C40C66FF867C}">
                  <a14:compatExt spid="_x0000_s41408"/>
                </a:ext>
                <a:ext uri="{FF2B5EF4-FFF2-40B4-BE49-F238E27FC236}">
                  <a16:creationId xmlns:a16="http://schemas.microsoft.com/office/drawing/2014/main" id="{00000000-0008-0000-0D00-0000C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09" name="Check Box 449" hidden="1">
              <a:extLst>
                <a:ext uri="{63B3BB69-23CF-44E3-9099-C40C66FF867C}">
                  <a14:compatExt spid="_x0000_s41409"/>
                </a:ext>
                <a:ext uri="{FF2B5EF4-FFF2-40B4-BE49-F238E27FC236}">
                  <a16:creationId xmlns:a16="http://schemas.microsoft.com/office/drawing/2014/main" id="{00000000-0008-0000-0D00-0000C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10" name="Check Box 450" hidden="1">
              <a:extLst>
                <a:ext uri="{63B3BB69-23CF-44E3-9099-C40C66FF867C}">
                  <a14:compatExt spid="_x0000_s41410"/>
                </a:ext>
                <a:ext uri="{FF2B5EF4-FFF2-40B4-BE49-F238E27FC236}">
                  <a16:creationId xmlns:a16="http://schemas.microsoft.com/office/drawing/2014/main" id="{00000000-0008-0000-0D00-0000C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411" name="Check Box 451" hidden="1">
              <a:extLst>
                <a:ext uri="{63B3BB69-23CF-44E3-9099-C40C66FF867C}">
                  <a14:compatExt spid="_x0000_s41411"/>
                </a:ext>
                <a:ext uri="{FF2B5EF4-FFF2-40B4-BE49-F238E27FC236}">
                  <a16:creationId xmlns:a16="http://schemas.microsoft.com/office/drawing/2014/main" id="{00000000-0008-0000-0D00-0000C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12" name="Check Box 452" hidden="1">
              <a:extLst>
                <a:ext uri="{63B3BB69-23CF-44E3-9099-C40C66FF867C}">
                  <a14:compatExt spid="_x0000_s41412"/>
                </a:ext>
                <a:ext uri="{FF2B5EF4-FFF2-40B4-BE49-F238E27FC236}">
                  <a16:creationId xmlns:a16="http://schemas.microsoft.com/office/drawing/2014/main" id="{00000000-0008-0000-0D00-0000C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13" name="Check Box 453" hidden="1">
              <a:extLst>
                <a:ext uri="{63B3BB69-23CF-44E3-9099-C40C66FF867C}">
                  <a14:compatExt spid="_x0000_s41413"/>
                </a:ext>
                <a:ext uri="{FF2B5EF4-FFF2-40B4-BE49-F238E27FC236}">
                  <a16:creationId xmlns:a16="http://schemas.microsoft.com/office/drawing/2014/main" id="{00000000-0008-0000-0D00-0000C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14" name="Check Box 454" hidden="1">
              <a:extLst>
                <a:ext uri="{63B3BB69-23CF-44E3-9099-C40C66FF867C}">
                  <a14:compatExt spid="_x0000_s41414"/>
                </a:ext>
                <a:ext uri="{FF2B5EF4-FFF2-40B4-BE49-F238E27FC236}">
                  <a16:creationId xmlns:a16="http://schemas.microsoft.com/office/drawing/2014/main" id="{00000000-0008-0000-0D00-0000C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15" name="Check Box 455" hidden="1">
              <a:extLst>
                <a:ext uri="{63B3BB69-23CF-44E3-9099-C40C66FF867C}">
                  <a14:compatExt spid="_x0000_s41415"/>
                </a:ext>
                <a:ext uri="{FF2B5EF4-FFF2-40B4-BE49-F238E27FC236}">
                  <a16:creationId xmlns:a16="http://schemas.microsoft.com/office/drawing/2014/main" id="{00000000-0008-0000-0D00-0000C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16" name="Check Box 456" hidden="1">
              <a:extLst>
                <a:ext uri="{63B3BB69-23CF-44E3-9099-C40C66FF867C}">
                  <a14:compatExt spid="_x0000_s41416"/>
                </a:ext>
                <a:ext uri="{FF2B5EF4-FFF2-40B4-BE49-F238E27FC236}">
                  <a16:creationId xmlns:a16="http://schemas.microsoft.com/office/drawing/2014/main" id="{00000000-0008-0000-0D00-0000C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17" name="Check Box 457" hidden="1">
              <a:extLst>
                <a:ext uri="{63B3BB69-23CF-44E3-9099-C40C66FF867C}">
                  <a14:compatExt spid="_x0000_s41417"/>
                </a:ext>
                <a:ext uri="{FF2B5EF4-FFF2-40B4-BE49-F238E27FC236}">
                  <a16:creationId xmlns:a16="http://schemas.microsoft.com/office/drawing/2014/main" id="{00000000-0008-0000-0D00-0000C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18" name="Check Box 458" hidden="1">
              <a:extLst>
                <a:ext uri="{63B3BB69-23CF-44E3-9099-C40C66FF867C}">
                  <a14:compatExt spid="_x0000_s41418"/>
                </a:ext>
                <a:ext uri="{FF2B5EF4-FFF2-40B4-BE49-F238E27FC236}">
                  <a16:creationId xmlns:a16="http://schemas.microsoft.com/office/drawing/2014/main" id="{00000000-0008-0000-0D00-0000C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19" name="Check Box 459" hidden="1">
              <a:extLst>
                <a:ext uri="{63B3BB69-23CF-44E3-9099-C40C66FF867C}">
                  <a14:compatExt spid="_x0000_s41419"/>
                </a:ext>
                <a:ext uri="{FF2B5EF4-FFF2-40B4-BE49-F238E27FC236}">
                  <a16:creationId xmlns:a16="http://schemas.microsoft.com/office/drawing/2014/main" id="{00000000-0008-0000-0D00-0000C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420" name="Check Box 460" hidden="1">
              <a:extLst>
                <a:ext uri="{63B3BB69-23CF-44E3-9099-C40C66FF867C}">
                  <a14:compatExt spid="_x0000_s41420"/>
                </a:ext>
                <a:ext uri="{FF2B5EF4-FFF2-40B4-BE49-F238E27FC236}">
                  <a16:creationId xmlns:a16="http://schemas.microsoft.com/office/drawing/2014/main" id="{00000000-0008-0000-0D00-0000C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21" name="Check Box 461" hidden="1">
              <a:extLst>
                <a:ext uri="{63B3BB69-23CF-44E3-9099-C40C66FF867C}">
                  <a14:compatExt spid="_x0000_s41421"/>
                </a:ext>
                <a:ext uri="{FF2B5EF4-FFF2-40B4-BE49-F238E27FC236}">
                  <a16:creationId xmlns:a16="http://schemas.microsoft.com/office/drawing/2014/main" id="{00000000-0008-0000-0D00-0000C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22" name="Check Box 462" hidden="1">
              <a:extLst>
                <a:ext uri="{63B3BB69-23CF-44E3-9099-C40C66FF867C}">
                  <a14:compatExt spid="_x0000_s41422"/>
                </a:ext>
                <a:ext uri="{FF2B5EF4-FFF2-40B4-BE49-F238E27FC236}">
                  <a16:creationId xmlns:a16="http://schemas.microsoft.com/office/drawing/2014/main" id="{00000000-0008-0000-0D00-0000C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23" name="Check Box 463" hidden="1">
              <a:extLst>
                <a:ext uri="{63B3BB69-23CF-44E3-9099-C40C66FF867C}">
                  <a14:compatExt spid="_x0000_s41423"/>
                </a:ext>
                <a:ext uri="{FF2B5EF4-FFF2-40B4-BE49-F238E27FC236}">
                  <a16:creationId xmlns:a16="http://schemas.microsoft.com/office/drawing/2014/main" id="{00000000-0008-0000-0D00-0000C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24" name="Check Box 464" hidden="1">
              <a:extLst>
                <a:ext uri="{63B3BB69-23CF-44E3-9099-C40C66FF867C}">
                  <a14:compatExt spid="_x0000_s41424"/>
                </a:ext>
                <a:ext uri="{FF2B5EF4-FFF2-40B4-BE49-F238E27FC236}">
                  <a16:creationId xmlns:a16="http://schemas.microsoft.com/office/drawing/2014/main" id="{00000000-0008-0000-0D00-0000D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25" name="Check Box 465" hidden="1">
              <a:extLst>
                <a:ext uri="{63B3BB69-23CF-44E3-9099-C40C66FF867C}">
                  <a14:compatExt spid="_x0000_s41425"/>
                </a:ext>
                <a:ext uri="{FF2B5EF4-FFF2-40B4-BE49-F238E27FC236}">
                  <a16:creationId xmlns:a16="http://schemas.microsoft.com/office/drawing/2014/main" id="{00000000-0008-0000-0D00-0000D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26" name="Check Box 466" hidden="1">
              <a:extLst>
                <a:ext uri="{63B3BB69-23CF-44E3-9099-C40C66FF867C}">
                  <a14:compatExt spid="_x0000_s41426"/>
                </a:ext>
                <a:ext uri="{FF2B5EF4-FFF2-40B4-BE49-F238E27FC236}">
                  <a16:creationId xmlns:a16="http://schemas.microsoft.com/office/drawing/2014/main" id="{00000000-0008-0000-0D00-0000D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27" name="Check Box 467" hidden="1">
              <a:extLst>
                <a:ext uri="{63B3BB69-23CF-44E3-9099-C40C66FF867C}">
                  <a14:compatExt spid="_x0000_s41427"/>
                </a:ext>
                <a:ext uri="{FF2B5EF4-FFF2-40B4-BE49-F238E27FC236}">
                  <a16:creationId xmlns:a16="http://schemas.microsoft.com/office/drawing/2014/main" id="{00000000-0008-0000-0D00-0000D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28" name="Check Box 468" hidden="1">
              <a:extLst>
                <a:ext uri="{63B3BB69-23CF-44E3-9099-C40C66FF867C}">
                  <a14:compatExt spid="_x0000_s41428"/>
                </a:ext>
                <a:ext uri="{FF2B5EF4-FFF2-40B4-BE49-F238E27FC236}">
                  <a16:creationId xmlns:a16="http://schemas.microsoft.com/office/drawing/2014/main" id="{00000000-0008-0000-0D00-0000D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29" name="Check Box 469" hidden="1">
              <a:extLst>
                <a:ext uri="{63B3BB69-23CF-44E3-9099-C40C66FF867C}">
                  <a14:compatExt spid="_x0000_s41429"/>
                </a:ext>
                <a:ext uri="{FF2B5EF4-FFF2-40B4-BE49-F238E27FC236}">
                  <a16:creationId xmlns:a16="http://schemas.microsoft.com/office/drawing/2014/main" id="{00000000-0008-0000-0D00-0000D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30" name="Check Box 470" hidden="1">
              <a:extLst>
                <a:ext uri="{63B3BB69-23CF-44E3-9099-C40C66FF867C}">
                  <a14:compatExt spid="_x0000_s41430"/>
                </a:ext>
                <a:ext uri="{FF2B5EF4-FFF2-40B4-BE49-F238E27FC236}">
                  <a16:creationId xmlns:a16="http://schemas.microsoft.com/office/drawing/2014/main" id="{00000000-0008-0000-0D00-0000D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31" name="Check Box 471" hidden="1">
              <a:extLst>
                <a:ext uri="{63B3BB69-23CF-44E3-9099-C40C66FF867C}">
                  <a14:compatExt spid="_x0000_s41431"/>
                </a:ext>
                <a:ext uri="{FF2B5EF4-FFF2-40B4-BE49-F238E27FC236}">
                  <a16:creationId xmlns:a16="http://schemas.microsoft.com/office/drawing/2014/main" id="{00000000-0008-0000-0D00-0000D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32" name="Check Box 472" hidden="1">
              <a:extLst>
                <a:ext uri="{63B3BB69-23CF-44E3-9099-C40C66FF867C}">
                  <a14:compatExt spid="_x0000_s41432"/>
                </a:ext>
                <a:ext uri="{FF2B5EF4-FFF2-40B4-BE49-F238E27FC236}">
                  <a16:creationId xmlns:a16="http://schemas.microsoft.com/office/drawing/2014/main" id="{00000000-0008-0000-0D00-0000D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33" name="Check Box 473" hidden="1">
              <a:extLst>
                <a:ext uri="{63B3BB69-23CF-44E3-9099-C40C66FF867C}">
                  <a14:compatExt spid="_x0000_s41433"/>
                </a:ext>
                <a:ext uri="{FF2B5EF4-FFF2-40B4-BE49-F238E27FC236}">
                  <a16:creationId xmlns:a16="http://schemas.microsoft.com/office/drawing/2014/main" id="{00000000-0008-0000-0D00-0000D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34" name="Check Box 474" hidden="1">
              <a:extLst>
                <a:ext uri="{63B3BB69-23CF-44E3-9099-C40C66FF867C}">
                  <a14:compatExt spid="_x0000_s41434"/>
                </a:ext>
                <a:ext uri="{FF2B5EF4-FFF2-40B4-BE49-F238E27FC236}">
                  <a16:creationId xmlns:a16="http://schemas.microsoft.com/office/drawing/2014/main" id="{00000000-0008-0000-0D00-0000D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35" name="Check Box 475" hidden="1">
              <a:extLst>
                <a:ext uri="{63B3BB69-23CF-44E3-9099-C40C66FF867C}">
                  <a14:compatExt spid="_x0000_s41435"/>
                </a:ext>
                <a:ext uri="{FF2B5EF4-FFF2-40B4-BE49-F238E27FC236}">
                  <a16:creationId xmlns:a16="http://schemas.microsoft.com/office/drawing/2014/main" id="{00000000-0008-0000-0D00-0000D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36" name="Check Box 476" hidden="1">
              <a:extLst>
                <a:ext uri="{63B3BB69-23CF-44E3-9099-C40C66FF867C}">
                  <a14:compatExt spid="_x0000_s41436"/>
                </a:ext>
                <a:ext uri="{FF2B5EF4-FFF2-40B4-BE49-F238E27FC236}">
                  <a16:creationId xmlns:a16="http://schemas.microsoft.com/office/drawing/2014/main" id="{00000000-0008-0000-0D00-0000D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37" name="Check Box 477" hidden="1">
              <a:extLst>
                <a:ext uri="{63B3BB69-23CF-44E3-9099-C40C66FF867C}">
                  <a14:compatExt spid="_x0000_s41437"/>
                </a:ext>
                <a:ext uri="{FF2B5EF4-FFF2-40B4-BE49-F238E27FC236}">
                  <a16:creationId xmlns:a16="http://schemas.microsoft.com/office/drawing/2014/main" id="{00000000-0008-0000-0D00-0000D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38" name="Check Box 478" hidden="1">
              <a:extLst>
                <a:ext uri="{63B3BB69-23CF-44E3-9099-C40C66FF867C}">
                  <a14:compatExt spid="_x0000_s41438"/>
                </a:ext>
                <a:ext uri="{FF2B5EF4-FFF2-40B4-BE49-F238E27FC236}">
                  <a16:creationId xmlns:a16="http://schemas.microsoft.com/office/drawing/2014/main" id="{00000000-0008-0000-0D00-0000D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39" name="Check Box 479" hidden="1">
              <a:extLst>
                <a:ext uri="{63B3BB69-23CF-44E3-9099-C40C66FF867C}">
                  <a14:compatExt spid="_x0000_s41439"/>
                </a:ext>
                <a:ext uri="{FF2B5EF4-FFF2-40B4-BE49-F238E27FC236}">
                  <a16:creationId xmlns:a16="http://schemas.microsoft.com/office/drawing/2014/main" id="{00000000-0008-0000-0D00-0000D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40" name="Check Box 480" hidden="1">
              <a:extLst>
                <a:ext uri="{63B3BB69-23CF-44E3-9099-C40C66FF867C}">
                  <a14:compatExt spid="_x0000_s41440"/>
                </a:ext>
                <a:ext uri="{FF2B5EF4-FFF2-40B4-BE49-F238E27FC236}">
                  <a16:creationId xmlns:a16="http://schemas.microsoft.com/office/drawing/2014/main" id="{00000000-0008-0000-0D00-0000E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41" name="Check Box 481" hidden="1">
              <a:extLst>
                <a:ext uri="{63B3BB69-23CF-44E3-9099-C40C66FF867C}">
                  <a14:compatExt spid="_x0000_s41441"/>
                </a:ext>
                <a:ext uri="{FF2B5EF4-FFF2-40B4-BE49-F238E27FC236}">
                  <a16:creationId xmlns:a16="http://schemas.microsoft.com/office/drawing/2014/main" id="{00000000-0008-0000-0D00-0000E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42" name="Check Box 482" hidden="1">
              <a:extLst>
                <a:ext uri="{63B3BB69-23CF-44E3-9099-C40C66FF867C}">
                  <a14:compatExt spid="_x0000_s41442"/>
                </a:ext>
                <a:ext uri="{FF2B5EF4-FFF2-40B4-BE49-F238E27FC236}">
                  <a16:creationId xmlns:a16="http://schemas.microsoft.com/office/drawing/2014/main" id="{00000000-0008-0000-0D00-0000E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43" name="Check Box 483" hidden="1">
              <a:extLst>
                <a:ext uri="{63B3BB69-23CF-44E3-9099-C40C66FF867C}">
                  <a14:compatExt spid="_x0000_s41443"/>
                </a:ext>
                <a:ext uri="{FF2B5EF4-FFF2-40B4-BE49-F238E27FC236}">
                  <a16:creationId xmlns:a16="http://schemas.microsoft.com/office/drawing/2014/main" id="{00000000-0008-0000-0D00-0000E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44" name="Check Box 484" hidden="1">
              <a:extLst>
                <a:ext uri="{63B3BB69-23CF-44E3-9099-C40C66FF867C}">
                  <a14:compatExt spid="_x0000_s41444"/>
                </a:ext>
                <a:ext uri="{FF2B5EF4-FFF2-40B4-BE49-F238E27FC236}">
                  <a16:creationId xmlns:a16="http://schemas.microsoft.com/office/drawing/2014/main" id="{00000000-0008-0000-0D00-0000E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45" name="Check Box 485" hidden="1">
              <a:extLst>
                <a:ext uri="{63B3BB69-23CF-44E3-9099-C40C66FF867C}">
                  <a14:compatExt spid="_x0000_s41445"/>
                </a:ext>
                <a:ext uri="{FF2B5EF4-FFF2-40B4-BE49-F238E27FC236}">
                  <a16:creationId xmlns:a16="http://schemas.microsoft.com/office/drawing/2014/main" id="{00000000-0008-0000-0D00-0000E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46" name="Check Box 486" hidden="1">
              <a:extLst>
                <a:ext uri="{63B3BB69-23CF-44E3-9099-C40C66FF867C}">
                  <a14:compatExt spid="_x0000_s41446"/>
                </a:ext>
                <a:ext uri="{FF2B5EF4-FFF2-40B4-BE49-F238E27FC236}">
                  <a16:creationId xmlns:a16="http://schemas.microsoft.com/office/drawing/2014/main" id="{00000000-0008-0000-0D00-0000E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47" name="Check Box 487" hidden="1">
              <a:extLst>
                <a:ext uri="{63B3BB69-23CF-44E3-9099-C40C66FF867C}">
                  <a14:compatExt spid="_x0000_s41447"/>
                </a:ext>
                <a:ext uri="{FF2B5EF4-FFF2-40B4-BE49-F238E27FC236}">
                  <a16:creationId xmlns:a16="http://schemas.microsoft.com/office/drawing/2014/main" id="{00000000-0008-0000-0D00-0000E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48" name="Check Box 488" hidden="1">
              <a:extLst>
                <a:ext uri="{63B3BB69-23CF-44E3-9099-C40C66FF867C}">
                  <a14:compatExt spid="_x0000_s41448"/>
                </a:ext>
                <a:ext uri="{FF2B5EF4-FFF2-40B4-BE49-F238E27FC236}">
                  <a16:creationId xmlns:a16="http://schemas.microsoft.com/office/drawing/2014/main" id="{00000000-0008-0000-0D00-0000E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49" name="Check Box 489" hidden="1">
              <a:extLst>
                <a:ext uri="{63B3BB69-23CF-44E3-9099-C40C66FF867C}">
                  <a14:compatExt spid="_x0000_s41449"/>
                </a:ext>
                <a:ext uri="{FF2B5EF4-FFF2-40B4-BE49-F238E27FC236}">
                  <a16:creationId xmlns:a16="http://schemas.microsoft.com/office/drawing/2014/main" id="{00000000-0008-0000-0D00-0000E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50" name="Check Box 490" hidden="1">
              <a:extLst>
                <a:ext uri="{63B3BB69-23CF-44E3-9099-C40C66FF867C}">
                  <a14:compatExt spid="_x0000_s41450"/>
                </a:ext>
                <a:ext uri="{FF2B5EF4-FFF2-40B4-BE49-F238E27FC236}">
                  <a16:creationId xmlns:a16="http://schemas.microsoft.com/office/drawing/2014/main" id="{00000000-0008-0000-0D00-0000E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51" name="Check Box 491" hidden="1">
              <a:extLst>
                <a:ext uri="{63B3BB69-23CF-44E3-9099-C40C66FF867C}">
                  <a14:compatExt spid="_x0000_s41451"/>
                </a:ext>
                <a:ext uri="{FF2B5EF4-FFF2-40B4-BE49-F238E27FC236}">
                  <a16:creationId xmlns:a16="http://schemas.microsoft.com/office/drawing/2014/main" id="{00000000-0008-0000-0D00-0000E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52" name="Check Box 492" hidden="1">
              <a:extLst>
                <a:ext uri="{63B3BB69-23CF-44E3-9099-C40C66FF867C}">
                  <a14:compatExt spid="_x0000_s41452"/>
                </a:ext>
                <a:ext uri="{FF2B5EF4-FFF2-40B4-BE49-F238E27FC236}">
                  <a16:creationId xmlns:a16="http://schemas.microsoft.com/office/drawing/2014/main" id="{00000000-0008-0000-0D00-0000E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53" name="Check Box 493" hidden="1">
              <a:extLst>
                <a:ext uri="{63B3BB69-23CF-44E3-9099-C40C66FF867C}">
                  <a14:compatExt spid="_x0000_s41453"/>
                </a:ext>
                <a:ext uri="{FF2B5EF4-FFF2-40B4-BE49-F238E27FC236}">
                  <a16:creationId xmlns:a16="http://schemas.microsoft.com/office/drawing/2014/main" id="{00000000-0008-0000-0D00-0000E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54" name="Check Box 494" hidden="1">
              <a:extLst>
                <a:ext uri="{63B3BB69-23CF-44E3-9099-C40C66FF867C}">
                  <a14:compatExt spid="_x0000_s41454"/>
                </a:ext>
                <a:ext uri="{FF2B5EF4-FFF2-40B4-BE49-F238E27FC236}">
                  <a16:creationId xmlns:a16="http://schemas.microsoft.com/office/drawing/2014/main" id="{00000000-0008-0000-0D00-0000E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55" name="Check Box 495" hidden="1">
              <a:extLst>
                <a:ext uri="{63B3BB69-23CF-44E3-9099-C40C66FF867C}">
                  <a14:compatExt spid="_x0000_s41455"/>
                </a:ext>
                <a:ext uri="{FF2B5EF4-FFF2-40B4-BE49-F238E27FC236}">
                  <a16:creationId xmlns:a16="http://schemas.microsoft.com/office/drawing/2014/main" id="{00000000-0008-0000-0D00-0000E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56" name="Check Box 496" hidden="1">
              <a:extLst>
                <a:ext uri="{63B3BB69-23CF-44E3-9099-C40C66FF867C}">
                  <a14:compatExt spid="_x0000_s41456"/>
                </a:ext>
                <a:ext uri="{FF2B5EF4-FFF2-40B4-BE49-F238E27FC236}">
                  <a16:creationId xmlns:a16="http://schemas.microsoft.com/office/drawing/2014/main" id="{00000000-0008-0000-0D00-0000F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57" name="Check Box 497" hidden="1">
              <a:extLst>
                <a:ext uri="{63B3BB69-23CF-44E3-9099-C40C66FF867C}">
                  <a14:compatExt spid="_x0000_s41457"/>
                </a:ext>
                <a:ext uri="{FF2B5EF4-FFF2-40B4-BE49-F238E27FC236}">
                  <a16:creationId xmlns:a16="http://schemas.microsoft.com/office/drawing/2014/main" id="{00000000-0008-0000-0D00-0000F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58" name="Check Box 498" hidden="1">
              <a:extLst>
                <a:ext uri="{63B3BB69-23CF-44E3-9099-C40C66FF867C}">
                  <a14:compatExt spid="_x0000_s41458"/>
                </a:ext>
                <a:ext uri="{FF2B5EF4-FFF2-40B4-BE49-F238E27FC236}">
                  <a16:creationId xmlns:a16="http://schemas.microsoft.com/office/drawing/2014/main" id="{00000000-0008-0000-0D00-0000F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59" name="Check Box 499" hidden="1">
              <a:extLst>
                <a:ext uri="{63B3BB69-23CF-44E3-9099-C40C66FF867C}">
                  <a14:compatExt spid="_x0000_s41459"/>
                </a:ext>
                <a:ext uri="{FF2B5EF4-FFF2-40B4-BE49-F238E27FC236}">
                  <a16:creationId xmlns:a16="http://schemas.microsoft.com/office/drawing/2014/main" id="{00000000-0008-0000-0D00-0000F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60" name="Check Box 500" hidden="1">
              <a:extLst>
                <a:ext uri="{63B3BB69-23CF-44E3-9099-C40C66FF867C}">
                  <a14:compatExt spid="_x0000_s41460"/>
                </a:ext>
                <a:ext uri="{FF2B5EF4-FFF2-40B4-BE49-F238E27FC236}">
                  <a16:creationId xmlns:a16="http://schemas.microsoft.com/office/drawing/2014/main" id="{00000000-0008-0000-0D00-0000F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61" name="Check Box 501" hidden="1">
              <a:extLst>
                <a:ext uri="{63B3BB69-23CF-44E3-9099-C40C66FF867C}">
                  <a14:compatExt spid="_x0000_s41461"/>
                </a:ext>
                <a:ext uri="{FF2B5EF4-FFF2-40B4-BE49-F238E27FC236}">
                  <a16:creationId xmlns:a16="http://schemas.microsoft.com/office/drawing/2014/main" id="{00000000-0008-0000-0D00-0000F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62" name="Check Box 502" hidden="1">
              <a:extLst>
                <a:ext uri="{63B3BB69-23CF-44E3-9099-C40C66FF867C}">
                  <a14:compatExt spid="_x0000_s41462"/>
                </a:ext>
                <a:ext uri="{FF2B5EF4-FFF2-40B4-BE49-F238E27FC236}">
                  <a16:creationId xmlns:a16="http://schemas.microsoft.com/office/drawing/2014/main" id="{00000000-0008-0000-0D00-0000F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63" name="Check Box 503" hidden="1">
              <a:extLst>
                <a:ext uri="{63B3BB69-23CF-44E3-9099-C40C66FF867C}">
                  <a14:compatExt spid="_x0000_s41463"/>
                </a:ext>
                <a:ext uri="{FF2B5EF4-FFF2-40B4-BE49-F238E27FC236}">
                  <a16:creationId xmlns:a16="http://schemas.microsoft.com/office/drawing/2014/main" id="{00000000-0008-0000-0D00-0000F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64" name="Check Box 504" hidden="1">
              <a:extLst>
                <a:ext uri="{63B3BB69-23CF-44E3-9099-C40C66FF867C}">
                  <a14:compatExt spid="_x0000_s41464"/>
                </a:ext>
                <a:ext uri="{FF2B5EF4-FFF2-40B4-BE49-F238E27FC236}">
                  <a16:creationId xmlns:a16="http://schemas.microsoft.com/office/drawing/2014/main" id="{00000000-0008-0000-0D00-0000F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65" name="Check Box 505" hidden="1">
              <a:extLst>
                <a:ext uri="{63B3BB69-23CF-44E3-9099-C40C66FF867C}">
                  <a14:compatExt spid="_x0000_s41465"/>
                </a:ext>
                <a:ext uri="{FF2B5EF4-FFF2-40B4-BE49-F238E27FC236}">
                  <a16:creationId xmlns:a16="http://schemas.microsoft.com/office/drawing/2014/main" id="{00000000-0008-0000-0D00-0000F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66" name="Check Box 506" hidden="1">
              <a:extLst>
                <a:ext uri="{63B3BB69-23CF-44E3-9099-C40C66FF867C}">
                  <a14:compatExt spid="_x0000_s41466"/>
                </a:ext>
                <a:ext uri="{FF2B5EF4-FFF2-40B4-BE49-F238E27FC236}">
                  <a16:creationId xmlns:a16="http://schemas.microsoft.com/office/drawing/2014/main" id="{00000000-0008-0000-0D00-0000F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67" name="Check Box 507" hidden="1">
              <a:extLst>
                <a:ext uri="{63B3BB69-23CF-44E3-9099-C40C66FF867C}">
                  <a14:compatExt spid="_x0000_s41467"/>
                </a:ext>
                <a:ext uri="{FF2B5EF4-FFF2-40B4-BE49-F238E27FC236}">
                  <a16:creationId xmlns:a16="http://schemas.microsoft.com/office/drawing/2014/main" id="{00000000-0008-0000-0D00-0000F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68" name="Check Box 508" hidden="1">
              <a:extLst>
                <a:ext uri="{63B3BB69-23CF-44E3-9099-C40C66FF867C}">
                  <a14:compatExt spid="_x0000_s41468"/>
                </a:ext>
                <a:ext uri="{FF2B5EF4-FFF2-40B4-BE49-F238E27FC236}">
                  <a16:creationId xmlns:a16="http://schemas.microsoft.com/office/drawing/2014/main" id="{00000000-0008-0000-0D00-0000F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69" name="Check Box 509" hidden="1">
              <a:extLst>
                <a:ext uri="{63B3BB69-23CF-44E3-9099-C40C66FF867C}">
                  <a14:compatExt spid="_x0000_s41469"/>
                </a:ext>
                <a:ext uri="{FF2B5EF4-FFF2-40B4-BE49-F238E27FC236}">
                  <a16:creationId xmlns:a16="http://schemas.microsoft.com/office/drawing/2014/main" id="{00000000-0008-0000-0D00-0000F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70" name="Check Box 510" hidden="1">
              <a:extLst>
                <a:ext uri="{63B3BB69-23CF-44E3-9099-C40C66FF867C}">
                  <a14:compatExt spid="_x0000_s41470"/>
                </a:ext>
                <a:ext uri="{FF2B5EF4-FFF2-40B4-BE49-F238E27FC236}">
                  <a16:creationId xmlns:a16="http://schemas.microsoft.com/office/drawing/2014/main" id="{00000000-0008-0000-0D00-0000F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71" name="Check Box 511" hidden="1">
              <a:extLst>
                <a:ext uri="{63B3BB69-23CF-44E3-9099-C40C66FF867C}">
                  <a14:compatExt spid="_x0000_s41471"/>
                </a:ext>
                <a:ext uri="{FF2B5EF4-FFF2-40B4-BE49-F238E27FC236}">
                  <a16:creationId xmlns:a16="http://schemas.microsoft.com/office/drawing/2014/main" id="{00000000-0008-0000-0D00-0000F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72" name="Check Box 512" hidden="1">
              <a:extLst>
                <a:ext uri="{63B3BB69-23CF-44E3-9099-C40C66FF867C}">
                  <a14:compatExt spid="_x0000_s41472"/>
                </a:ext>
                <a:ext uri="{FF2B5EF4-FFF2-40B4-BE49-F238E27FC236}">
                  <a16:creationId xmlns:a16="http://schemas.microsoft.com/office/drawing/2014/main" id="{00000000-0008-0000-0D00-00000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73" name="Check Box 513" hidden="1">
              <a:extLst>
                <a:ext uri="{63B3BB69-23CF-44E3-9099-C40C66FF867C}">
                  <a14:compatExt spid="_x0000_s41473"/>
                </a:ext>
                <a:ext uri="{FF2B5EF4-FFF2-40B4-BE49-F238E27FC236}">
                  <a16:creationId xmlns:a16="http://schemas.microsoft.com/office/drawing/2014/main" id="{00000000-0008-0000-0D00-00000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74" name="Check Box 514" hidden="1">
              <a:extLst>
                <a:ext uri="{63B3BB69-23CF-44E3-9099-C40C66FF867C}">
                  <a14:compatExt spid="_x0000_s41474"/>
                </a:ext>
                <a:ext uri="{FF2B5EF4-FFF2-40B4-BE49-F238E27FC236}">
                  <a16:creationId xmlns:a16="http://schemas.microsoft.com/office/drawing/2014/main" id="{00000000-0008-0000-0D00-00000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75" name="Check Box 515" hidden="1">
              <a:extLst>
                <a:ext uri="{63B3BB69-23CF-44E3-9099-C40C66FF867C}">
                  <a14:compatExt spid="_x0000_s41475"/>
                </a:ext>
                <a:ext uri="{FF2B5EF4-FFF2-40B4-BE49-F238E27FC236}">
                  <a16:creationId xmlns:a16="http://schemas.microsoft.com/office/drawing/2014/main" id="{00000000-0008-0000-0D00-00000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76" name="Check Box 516" hidden="1">
              <a:extLst>
                <a:ext uri="{63B3BB69-23CF-44E3-9099-C40C66FF867C}">
                  <a14:compatExt spid="_x0000_s41476"/>
                </a:ext>
                <a:ext uri="{FF2B5EF4-FFF2-40B4-BE49-F238E27FC236}">
                  <a16:creationId xmlns:a16="http://schemas.microsoft.com/office/drawing/2014/main" id="{00000000-0008-0000-0D00-00000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77" name="Check Box 517" hidden="1">
              <a:extLst>
                <a:ext uri="{63B3BB69-23CF-44E3-9099-C40C66FF867C}">
                  <a14:compatExt spid="_x0000_s41477"/>
                </a:ext>
                <a:ext uri="{FF2B5EF4-FFF2-40B4-BE49-F238E27FC236}">
                  <a16:creationId xmlns:a16="http://schemas.microsoft.com/office/drawing/2014/main" id="{00000000-0008-0000-0D00-00000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78" name="Check Box 518" hidden="1">
              <a:extLst>
                <a:ext uri="{63B3BB69-23CF-44E3-9099-C40C66FF867C}">
                  <a14:compatExt spid="_x0000_s41478"/>
                </a:ext>
                <a:ext uri="{FF2B5EF4-FFF2-40B4-BE49-F238E27FC236}">
                  <a16:creationId xmlns:a16="http://schemas.microsoft.com/office/drawing/2014/main" id="{00000000-0008-0000-0D00-00000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79" name="Check Box 519" hidden="1">
              <a:extLst>
                <a:ext uri="{63B3BB69-23CF-44E3-9099-C40C66FF867C}">
                  <a14:compatExt spid="_x0000_s41479"/>
                </a:ext>
                <a:ext uri="{FF2B5EF4-FFF2-40B4-BE49-F238E27FC236}">
                  <a16:creationId xmlns:a16="http://schemas.microsoft.com/office/drawing/2014/main" id="{00000000-0008-0000-0D00-00000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80" name="Check Box 520" hidden="1">
              <a:extLst>
                <a:ext uri="{63B3BB69-23CF-44E3-9099-C40C66FF867C}">
                  <a14:compatExt spid="_x0000_s41480"/>
                </a:ext>
                <a:ext uri="{FF2B5EF4-FFF2-40B4-BE49-F238E27FC236}">
                  <a16:creationId xmlns:a16="http://schemas.microsoft.com/office/drawing/2014/main" id="{00000000-0008-0000-0D00-00000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81" name="Check Box 521" hidden="1">
              <a:extLst>
                <a:ext uri="{63B3BB69-23CF-44E3-9099-C40C66FF867C}">
                  <a14:compatExt spid="_x0000_s41481"/>
                </a:ext>
                <a:ext uri="{FF2B5EF4-FFF2-40B4-BE49-F238E27FC236}">
                  <a16:creationId xmlns:a16="http://schemas.microsoft.com/office/drawing/2014/main" id="{00000000-0008-0000-0D00-00000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82" name="Check Box 522" hidden="1">
              <a:extLst>
                <a:ext uri="{63B3BB69-23CF-44E3-9099-C40C66FF867C}">
                  <a14:compatExt spid="_x0000_s41482"/>
                </a:ext>
                <a:ext uri="{FF2B5EF4-FFF2-40B4-BE49-F238E27FC236}">
                  <a16:creationId xmlns:a16="http://schemas.microsoft.com/office/drawing/2014/main" id="{00000000-0008-0000-0D00-00000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83" name="Check Box 523" hidden="1">
              <a:extLst>
                <a:ext uri="{63B3BB69-23CF-44E3-9099-C40C66FF867C}">
                  <a14:compatExt spid="_x0000_s41483"/>
                </a:ext>
                <a:ext uri="{FF2B5EF4-FFF2-40B4-BE49-F238E27FC236}">
                  <a16:creationId xmlns:a16="http://schemas.microsoft.com/office/drawing/2014/main" id="{00000000-0008-0000-0D00-00000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84" name="Check Box 524" hidden="1">
              <a:extLst>
                <a:ext uri="{63B3BB69-23CF-44E3-9099-C40C66FF867C}">
                  <a14:compatExt spid="_x0000_s41484"/>
                </a:ext>
                <a:ext uri="{FF2B5EF4-FFF2-40B4-BE49-F238E27FC236}">
                  <a16:creationId xmlns:a16="http://schemas.microsoft.com/office/drawing/2014/main" id="{00000000-0008-0000-0D00-00000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85" name="Check Box 525" hidden="1">
              <a:extLst>
                <a:ext uri="{63B3BB69-23CF-44E3-9099-C40C66FF867C}">
                  <a14:compatExt spid="_x0000_s41485"/>
                </a:ext>
                <a:ext uri="{FF2B5EF4-FFF2-40B4-BE49-F238E27FC236}">
                  <a16:creationId xmlns:a16="http://schemas.microsoft.com/office/drawing/2014/main" id="{00000000-0008-0000-0D00-00000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86" name="Check Box 526" hidden="1">
              <a:extLst>
                <a:ext uri="{63B3BB69-23CF-44E3-9099-C40C66FF867C}">
                  <a14:compatExt spid="_x0000_s41486"/>
                </a:ext>
                <a:ext uri="{FF2B5EF4-FFF2-40B4-BE49-F238E27FC236}">
                  <a16:creationId xmlns:a16="http://schemas.microsoft.com/office/drawing/2014/main" id="{00000000-0008-0000-0D00-00000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87" name="Check Box 527" hidden="1">
              <a:extLst>
                <a:ext uri="{63B3BB69-23CF-44E3-9099-C40C66FF867C}">
                  <a14:compatExt spid="_x0000_s41487"/>
                </a:ext>
                <a:ext uri="{FF2B5EF4-FFF2-40B4-BE49-F238E27FC236}">
                  <a16:creationId xmlns:a16="http://schemas.microsoft.com/office/drawing/2014/main" id="{00000000-0008-0000-0D00-00000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88" name="Check Box 528" hidden="1">
              <a:extLst>
                <a:ext uri="{63B3BB69-23CF-44E3-9099-C40C66FF867C}">
                  <a14:compatExt spid="_x0000_s41488"/>
                </a:ext>
                <a:ext uri="{FF2B5EF4-FFF2-40B4-BE49-F238E27FC236}">
                  <a16:creationId xmlns:a16="http://schemas.microsoft.com/office/drawing/2014/main" id="{00000000-0008-0000-0D00-00001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89" name="Check Box 529" hidden="1">
              <a:extLst>
                <a:ext uri="{63B3BB69-23CF-44E3-9099-C40C66FF867C}">
                  <a14:compatExt spid="_x0000_s41489"/>
                </a:ext>
                <a:ext uri="{FF2B5EF4-FFF2-40B4-BE49-F238E27FC236}">
                  <a16:creationId xmlns:a16="http://schemas.microsoft.com/office/drawing/2014/main" id="{00000000-0008-0000-0D00-00001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90" name="Check Box 530" hidden="1">
              <a:extLst>
                <a:ext uri="{63B3BB69-23CF-44E3-9099-C40C66FF867C}">
                  <a14:compatExt spid="_x0000_s41490"/>
                </a:ext>
                <a:ext uri="{FF2B5EF4-FFF2-40B4-BE49-F238E27FC236}">
                  <a16:creationId xmlns:a16="http://schemas.microsoft.com/office/drawing/2014/main" id="{00000000-0008-0000-0D00-00001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91" name="Check Box 531" hidden="1">
              <a:extLst>
                <a:ext uri="{63B3BB69-23CF-44E3-9099-C40C66FF867C}">
                  <a14:compatExt spid="_x0000_s41491"/>
                </a:ext>
                <a:ext uri="{FF2B5EF4-FFF2-40B4-BE49-F238E27FC236}">
                  <a16:creationId xmlns:a16="http://schemas.microsoft.com/office/drawing/2014/main" id="{00000000-0008-0000-0D00-00001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92" name="Check Box 532" hidden="1">
              <a:extLst>
                <a:ext uri="{63B3BB69-23CF-44E3-9099-C40C66FF867C}">
                  <a14:compatExt spid="_x0000_s41492"/>
                </a:ext>
                <a:ext uri="{FF2B5EF4-FFF2-40B4-BE49-F238E27FC236}">
                  <a16:creationId xmlns:a16="http://schemas.microsoft.com/office/drawing/2014/main" id="{00000000-0008-0000-0D00-00001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93" name="Check Box 533" hidden="1">
              <a:extLst>
                <a:ext uri="{63B3BB69-23CF-44E3-9099-C40C66FF867C}">
                  <a14:compatExt spid="_x0000_s41493"/>
                </a:ext>
                <a:ext uri="{FF2B5EF4-FFF2-40B4-BE49-F238E27FC236}">
                  <a16:creationId xmlns:a16="http://schemas.microsoft.com/office/drawing/2014/main" id="{00000000-0008-0000-0D00-00001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94" name="Check Box 534" hidden="1">
              <a:extLst>
                <a:ext uri="{63B3BB69-23CF-44E3-9099-C40C66FF867C}">
                  <a14:compatExt spid="_x0000_s41494"/>
                </a:ext>
                <a:ext uri="{FF2B5EF4-FFF2-40B4-BE49-F238E27FC236}">
                  <a16:creationId xmlns:a16="http://schemas.microsoft.com/office/drawing/2014/main" id="{00000000-0008-0000-0D00-00001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95" name="Check Box 535" hidden="1">
              <a:extLst>
                <a:ext uri="{63B3BB69-23CF-44E3-9099-C40C66FF867C}">
                  <a14:compatExt spid="_x0000_s41495"/>
                </a:ext>
                <a:ext uri="{FF2B5EF4-FFF2-40B4-BE49-F238E27FC236}">
                  <a16:creationId xmlns:a16="http://schemas.microsoft.com/office/drawing/2014/main" id="{00000000-0008-0000-0D00-00001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96" name="Check Box 536" hidden="1">
              <a:extLst>
                <a:ext uri="{63B3BB69-23CF-44E3-9099-C40C66FF867C}">
                  <a14:compatExt spid="_x0000_s41496"/>
                </a:ext>
                <a:ext uri="{FF2B5EF4-FFF2-40B4-BE49-F238E27FC236}">
                  <a16:creationId xmlns:a16="http://schemas.microsoft.com/office/drawing/2014/main" id="{00000000-0008-0000-0D00-00001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97" name="Check Box 537" hidden="1">
              <a:extLst>
                <a:ext uri="{63B3BB69-23CF-44E3-9099-C40C66FF867C}">
                  <a14:compatExt spid="_x0000_s41497"/>
                </a:ext>
                <a:ext uri="{FF2B5EF4-FFF2-40B4-BE49-F238E27FC236}">
                  <a16:creationId xmlns:a16="http://schemas.microsoft.com/office/drawing/2014/main" id="{00000000-0008-0000-0D00-00001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498" name="Check Box 538" hidden="1">
              <a:extLst>
                <a:ext uri="{63B3BB69-23CF-44E3-9099-C40C66FF867C}">
                  <a14:compatExt spid="_x0000_s41498"/>
                </a:ext>
                <a:ext uri="{FF2B5EF4-FFF2-40B4-BE49-F238E27FC236}">
                  <a16:creationId xmlns:a16="http://schemas.microsoft.com/office/drawing/2014/main" id="{00000000-0008-0000-0D00-00001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499" name="Check Box 539" hidden="1">
              <a:extLst>
                <a:ext uri="{63B3BB69-23CF-44E3-9099-C40C66FF867C}">
                  <a14:compatExt spid="_x0000_s41499"/>
                </a:ext>
                <a:ext uri="{FF2B5EF4-FFF2-40B4-BE49-F238E27FC236}">
                  <a16:creationId xmlns:a16="http://schemas.microsoft.com/office/drawing/2014/main" id="{00000000-0008-0000-0D00-00001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00" name="Check Box 540" hidden="1">
              <a:extLst>
                <a:ext uri="{63B3BB69-23CF-44E3-9099-C40C66FF867C}">
                  <a14:compatExt spid="_x0000_s41500"/>
                </a:ext>
                <a:ext uri="{FF2B5EF4-FFF2-40B4-BE49-F238E27FC236}">
                  <a16:creationId xmlns:a16="http://schemas.microsoft.com/office/drawing/2014/main" id="{00000000-0008-0000-0D00-00001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01" name="Check Box 541" hidden="1">
              <a:extLst>
                <a:ext uri="{63B3BB69-23CF-44E3-9099-C40C66FF867C}">
                  <a14:compatExt spid="_x0000_s41501"/>
                </a:ext>
                <a:ext uri="{FF2B5EF4-FFF2-40B4-BE49-F238E27FC236}">
                  <a16:creationId xmlns:a16="http://schemas.microsoft.com/office/drawing/2014/main" id="{00000000-0008-0000-0D00-00001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02" name="Check Box 542" hidden="1">
              <a:extLst>
                <a:ext uri="{63B3BB69-23CF-44E3-9099-C40C66FF867C}">
                  <a14:compatExt spid="_x0000_s41502"/>
                </a:ext>
                <a:ext uri="{FF2B5EF4-FFF2-40B4-BE49-F238E27FC236}">
                  <a16:creationId xmlns:a16="http://schemas.microsoft.com/office/drawing/2014/main" id="{00000000-0008-0000-0D00-00001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03" name="Check Box 543" hidden="1">
              <a:extLst>
                <a:ext uri="{63B3BB69-23CF-44E3-9099-C40C66FF867C}">
                  <a14:compatExt spid="_x0000_s41503"/>
                </a:ext>
                <a:ext uri="{FF2B5EF4-FFF2-40B4-BE49-F238E27FC236}">
                  <a16:creationId xmlns:a16="http://schemas.microsoft.com/office/drawing/2014/main" id="{00000000-0008-0000-0D00-00001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504" name="Check Box 544" hidden="1">
              <a:extLst>
                <a:ext uri="{63B3BB69-23CF-44E3-9099-C40C66FF867C}">
                  <a14:compatExt spid="_x0000_s41504"/>
                </a:ext>
                <a:ext uri="{FF2B5EF4-FFF2-40B4-BE49-F238E27FC236}">
                  <a16:creationId xmlns:a16="http://schemas.microsoft.com/office/drawing/2014/main" id="{00000000-0008-0000-0D00-00002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505" name="Check Box 545" hidden="1">
              <a:extLst>
                <a:ext uri="{63B3BB69-23CF-44E3-9099-C40C66FF867C}">
                  <a14:compatExt spid="_x0000_s41505"/>
                </a:ext>
                <a:ext uri="{FF2B5EF4-FFF2-40B4-BE49-F238E27FC236}">
                  <a16:creationId xmlns:a16="http://schemas.microsoft.com/office/drawing/2014/main" id="{00000000-0008-0000-0D00-00002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506" name="Check Box 546" hidden="1">
              <a:extLst>
                <a:ext uri="{63B3BB69-23CF-44E3-9099-C40C66FF867C}">
                  <a14:compatExt spid="_x0000_s41506"/>
                </a:ext>
                <a:ext uri="{FF2B5EF4-FFF2-40B4-BE49-F238E27FC236}">
                  <a16:creationId xmlns:a16="http://schemas.microsoft.com/office/drawing/2014/main" id="{00000000-0008-0000-0D00-00002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07" name="Check Box 547" hidden="1">
              <a:extLst>
                <a:ext uri="{63B3BB69-23CF-44E3-9099-C40C66FF867C}">
                  <a14:compatExt spid="_x0000_s41507"/>
                </a:ext>
                <a:ext uri="{FF2B5EF4-FFF2-40B4-BE49-F238E27FC236}">
                  <a16:creationId xmlns:a16="http://schemas.microsoft.com/office/drawing/2014/main" id="{00000000-0008-0000-0D00-00002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08" name="Check Box 548" hidden="1">
              <a:extLst>
                <a:ext uri="{63B3BB69-23CF-44E3-9099-C40C66FF867C}">
                  <a14:compatExt spid="_x0000_s41508"/>
                </a:ext>
                <a:ext uri="{FF2B5EF4-FFF2-40B4-BE49-F238E27FC236}">
                  <a16:creationId xmlns:a16="http://schemas.microsoft.com/office/drawing/2014/main" id="{00000000-0008-0000-0D00-00002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09" name="Check Box 549" hidden="1">
              <a:extLst>
                <a:ext uri="{63B3BB69-23CF-44E3-9099-C40C66FF867C}">
                  <a14:compatExt spid="_x0000_s41509"/>
                </a:ext>
                <a:ext uri="{FF2B5EF4-FFF2-40B4-BE49-F238E27FC236}">
                  <a16:creationId xmlns:a16="http://schemas.microsoft.com/office/drawing/2014/main" id="{00000000-0008-0000-0D00-00002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10" name="Check Box 550" hidden="1">
              <a:extLst>
                <a:ext uri="{63B3BB69-23CF-44E3-9099-C40C66FF867C}">
                  <a14:compatExt spid="_x0000_s41510"/>
                </a:ext>
                <a:ext uri="{FF2B5EF4-FFF2-40B4-BE49-F238E27FC236}">
                  <a16:creationId xmlns:a16="http://schemas.microsoft.com/office/drawing/2014/main" id="{00000000-0008-0000-0D00-00002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11" name="Check Box 551" hidden="1">
              <a:extLst>
                <a:ext uri="{63B3BB69-23CF-44E3-9099-C40C66FF867C}">
                  <a14:compatExt spid="_x0000_s41511"/>
                </a:ext>
                <a:ext uri="{FF2B5EF4-FFF2-40B4-BE49-F238E27FC236}">
                  <a16:creationId xmlns:a16="http://schemas.microsoft.com/office/drawing/2014/main" id="{00000000-0008-0000-0D00-00002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12" name="Check Box 552" hidden="1">
              <a:extLst>
                <a:ext uri="{63B3BB69-23CF-44E3-9099-C40C66FF867C}">
                  <a14:compatExt spid="_x0000_s41512"/>
                </a:ext>
                <a:ext uri="{FF2B5EF4-FFF2-40B4-BE49-F238E27FC236}">
                  <a16:creationId xmlns:a16="http://schemas.microsoft.com/office/drawing/2014/main" id="{00000000-0008-0000-0D00-00002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13" name="Check Box 553" hidden="1">
              <a:extLst>
                <a:ext uri="{63B3BB69-23CF-44E3-9099-C40C66FF867C}">
                  <a14:compatExt spid="_x0000_s41513"/>
                </a:ext>
                <a:ext uri="{FF2B5EF4-FFF2-40B4-BE49-F238E27FC236}">
                  <a16:creationId xmlns:a16="http://schemas.microsoft.com/office/drawing/2014/main" id="{00000000-0008-0000-0D00-00002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14" name="Check Box 554" hidden="1">
              <a:extLst>
                <a:ext uri="{63B3BB69-23CF-44E3-9099-C40C66FF867C}">
                  <a14:compatExt spid="_x0000_s41514"/>
                </a:ext>
                <a:ext uri="{FF2B5EF4-FFF2-40B4-BE49-F238E27FC236}">
                  <a16:creationId xmlns:a16="http://schemas.microsoft.com/office/drawing/2014/main" id="{00000000-0008-0000-0D00-00002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15" name="Check Box 555" hidden="1">
              <a:extLst>
                <a:ext uri="{63B3BB69-23CF-44E3-9099-C40C66FF867C}">
                  <a14:compatExt spid="_x0000_s41515"/>
                </a:ext>
                <a:ext uri="{FF2B5EF4-FFF2-40B4-BE49-F238E27FC236}">
                  <a16:creationId xmlns:a16="http://schemas.microsoft.com/office/drawing/2014/main" id="{00000000-0008-0000-0D00-00002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16" name="Check Box 556" hidden="1">
              <a:extLst>
                <a:ext uri="{63B3BB69-23CF-44E3-9099-C40C66FF867C}">
                  <a14:compatExt spid="_x0000_s41516"/>
                </a:ext>
                <a:ext uri="{FF2B5EF4-FFF2-40B4-BE49-F238E27FC236}">
                  <a16:creationId xmlns:a16="http://schemas.microsoft.com/office/drawing/2014/main" id="{00000000-0008-0000-0D00-00002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17" name="Check Box 557" hidden="1">
              <a:extLst>
                <a:ext uri="{63B3BB69-23CF-44E3-9099-C40C66FF867C}">
                  <a14:compatExt spid="_x0000_s41517"/>
                </a:ext>
                <a:ext uri="{FF2B5EF4-FFF2-40B4-BE49-F238E27FC236}">
                  <a16:creationId xmlns:a16="http://schemas.microsoft.com/office/drawing/2014/main" id="{00000000-0008-0000-0D00-00002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18" name="Check Box 558" hidden="1">
              <a:extLst>
                <a:ext uri="{63B3BB69-23CF-44E3-9099-C40C66FF867C}">
                  <a14:compatExt spid="_x0000_s41518"/>
                </a:ext>
                <a:ext uri="{FF2B5EF4-FFF2-40B4-BE49-F238E27FC236}">
                  <a16:creationId xmlns:a16="http://schemas.microsoft.com/office/drawing/2014/main" id="{00000000-0008-0000-0D00-00002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19" name="Check Box 559" hidden="1">
              <a:extLst>
                <a:ext uri="{63B3BB69-23CF-44E3-9099-C40C66FF867C}">
                  <a14:compatExt spid="_x0000_s41519"/>
                </a:ext>
                <a:ext uri="{FF2B5EF4-FFF2-40B4-BE49-F238E27FC236}">
                  <a16:creationId xmlns:a16="http://schemas.microsoft.com/office/drawing/2014/main" id="{00000000-0008-0000-0D00-00002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20" name="Check Box 560" hidden="1">
              <a:extLst>
                <a:ext uri="{63B3BB69-23CF-44E3-9099-C40C66FF867C}">
                  <a14:compatExt spid="_x0000_s41520"/>
                </a:ext>
                <a:ext uri="{FF2B5EF4-FFF2-40B4-BE49-F238E27FC236}">
                  <a16:creationId xmlns:a16="http://schemas.microsoft.com/office/drawing/2014/main" id="{00000000-0008-0000-0D00-00003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21" name="Check Box 561" hidden="1">
              <a:extLst>
                <a:ext uri="{63B3BB69-23CF-44E3-9099-C40C66FF867C}">
                  <a14:compatExt spid="_x0000_s41521"/>
                </a:ext>
                <a:ext uri="{FF2B5EF4-FFF2-40B4-BE49-F238E27FC236}">
                  <a16:creationId xmlns:a16="http://schemas.microsoft.com/office/drawing/2014/main" id="{00000000-0008-0000-0D00-00003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22" name="Check Box 562" hidden="1">
              <a:extLst>
                <a:ext uri="{63B3BB69-23CF-44E3-9099-C40C66FF867C}">
                  <a14:compatExt spid="_x0000_s41522"/>
                </a:ext>
                <a:ext uri="{FF2B5EF4-FFF2-40B4-BE49-F238E27FC236}">
                  <a16:creationId xmlns:a16="http://schemas.microsoft.com/office/drawing/2014/main" id="{00000000-0008-0000-0D00-00003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23" name="Check Box 563" hidden="1">
              <a:extLst>
                <a:ext uri="{63B3BB69-23CF-44E3-9099-C40C66FF867C}">
                  <a14:compatExt spid="_x0000_s41523"/>
                </a:ext>
                <a:ext uri="{FF2B5EF4-FFF2-40B4-BE49-F238E27FC236}">
                  <a16:creationId xmlns:a16="http://schemas.microsoft.com/office/drawing/2014/main" id="{00000000-0008-0000-0D00-00003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24" name="Check Box 564" hidden="1">
              <a:extLst>
                <a:ext uri="{63B3BB69-23CF-44E3-9099-C40C66FF867C}">
                  <a14:compatExt spid="_x0000_s41524"/>
                </a:ext>
                <a:ext uri="{FF2B5EF4-FFF2-40B4-BE49-F238E27FC236}">
                  <a16:creationId xmlns:a16="http://schemas.microsoft.com/office/drawing/2014/main" id="{00000000-0008-0000-0D00-00003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25" name="Check Box 565" hidden="1">
              <a:extLst>
                <a:ext uri="{63B3BB69-23CF-44E3-9099-C40C66FF867C}">
                  <a14:compatExt spid="_x0000_s41525"/>
                </a:ext>
                <a:ext uri="{FF2B5EF4-FFF2-40B4-BE49-F238E27FC236}">
                  <a16:creationId xmlns:a16="http://schemas.microsoft.com/office/drawing/2014/main" id="{00000000-0008-0000-0D00-00003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26" name="Check Box 566" hidden="1">
              <a:extLst>
                <a:ext uri="{63B3BB69-23CF-44E3-9099-C40C66FF867C}">
                  <a14:compatExt spid="_x0000_s41526"/>
                </a:ext>
                <a:ext uri="{FF2B5EF4-FFF2-40B4-BE49-F238E27FC236}">
                  <a16:creationId xmlns:a16="http://schemas.microsoft.com/office/drawing/2014/main" id="{00000000-0008-0000-0D00-00003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27" name="Check Box 567" hidden="1">
              <a:extLst>
                <a:ext uri="{63B3BB69-23CF-44E3-9099-C40C66FF867C}">
                  <a14:compatExt spid="_x0000_s41527"/>
                </a:ext>
                <a:ext uri="{FF2B5EF4-FFF2-40B4-BE49-F238E27FC236}">
                  <a16:creationId xmlns:a16="http://schemas.microsoft.com/office/drawing/2014/main" id="{00000000-0008-0000-0D00-00003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28" name="Check Box 568" hidden="1">
              <a:extLst>
                <a:ext uri="{63B3BB69-23CF-44E3-9099-C40C66FF867C}">
                  <a14:compatExt spid="_x0000_s41528"/>
                </a:ext>
                <a:ext uri="{FF2B5EF4-FFF2-40B4-BE49-F238E27FC236}">
                  <a16:creationId xmlns:a16="http://schemas.microsoft.com/office/drawing/2014/main" id="{00000000-0008-0000-0D00-00003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29" name="Check Box 569" hidden="1">
              <a:extLst>
                <a:ext uri="{63B3BB69-23CF-44E3-9099-C40C66FF867C}">
                  <a14:compatExt spid="_x0000_s41529"/>
                </a:ext>
                <a:ext uri="{FF2B5EF4-FFF2-40B4-BE49-F238E27FC236}">
                  <a16:creationId xmlns:a16="http://schemas.microsoft.com/office/drawing/2014/main" id="{00000000-0008-0000-0D00-00003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30" name="Check Box 570" hidden="1">
              <a:extLst>
                <a:ext uri="{63B3BB69-23CF-44E3-9099-C40C66FF867C}">
                  <a14:compatExt spid="_x0000_s41530"/>
                </a:ext>
                <a:ext uri="{FF2B5EF4-FFF2-40B4-BE49-F238E27FC236}">
                  <a16:creationId xmlns:a16="http://schemas.microsoft.com/office/drawing/2014/main" id="{00000000-0008-0000-0D00-00003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31" name="Check Box 571" hidden="1">
              <a:extLst>
                <a:ext uri="{63B3BB69-23CF-44E3-9099-C40C66FF867C}">
                  <a14:compatExt spid="_x0000_s41531"/>
                </a:ext>
                <a:ext uri="{FF2B5EF4-FFF2-40B4-BE49-F238E27FC236}">
                  <a16:creationId xmlns:a16="http://schemas.microsoft.com/office/drawing/2014/main" id="{00000000-0008-0000-0D00-00003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32" name="Check Box 572" hidden="1">
              <a:extLst>
                <a:ext uri="{63B3BB69-23CF-44E3-9099-C40C66FF867C}">
                  <a14:compatExt spid="_x0000_s41532"/>
                </a:ext>
                <a:ext uri="{FF2B5EF4-FFF2-40B4-BE49-F238E27FC236}">
                  <a16:creationId xmlns:a16="http://schemas.microsoft.com/office/drawing/2014/main" id="{00000000-0008-0000-0D00-00003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33" name="Check Box 573" hidden="1">
              <a:extLst>
                <a:ext uri="{63B3BB69-23CF-44E3-9099-C40C66FF867C}">
                  <a14:compatExt spid="_x0000_s41533"/>
                </a:ext>
                <a:ext uri="{FF2B5EF4-FFF2-40B4-BE49-F238E27FC236}">
                  <a16:creationId xmlns:a16="http://schemas.microsoft.com/office/drawing/2014/main" id="{00000000-0008-0000-0D00-00003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34" name="Check Box 574" hidden="1">
              <a:extLst>
                <a:ext uri="{63B3BB69-23CF-44E3-9099-C40C66FF867C}">
                  <a14:compatExt spid="_x0000_s41534"/>
                </a:ext>
                <a:ext uri="{FF2B5EF4-FFF2-40B4-BE49-F238E27FC236}">
                  <a16:creationId xmlns:a16="http://schemas.microsoft.com/office/drawing/2014/main" id="{00000000-0008-0000-0D00-00003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35" name="Check Box 575" hidden="1">
              <a:extLst>
                <a:ext uri="{63B3BB69-23CF-44E3-9099-C40C66FF867C}">
                  <a14:compatExt spid="_x0000_s41535"/>
                </a:ext>
                <a:ext uri="{FF2B5EF4-FFF2-40B4-BE49-F238E27FC236}">
                  <a16:creationId xmlns:a16="http://schemas.microsoft.com/office/drawing/2014/main" id="{00000000-0008-0000-0D00-00003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36" name="Check Box 576" hidden="1">
              <a:extLst>
                <a:ext uri="{63B3BB69-23CF-44E3-9099-C40C66FF867C}">
                  <a14:compatExt spid="_x0000_s41536"/>
                </a:ext>
                <a:ext uri="{FF2B5EF4-FFF2-40B4-BE49-F238E27FC236}">
                  <a16:creationId xmlns:a16="http://schemas.microsoft.com/office/drawing/2014/main" id="{00000000-0008-0000-0D00-00004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37" name="Check Box 577" hidden="1">
              <a:extLst>
                <a:ext uri="{63B3BB69-23CF-44E3-9099-C40C66FF867C}">
                  <a14:compatExt spid="_x0000_s41537"/>
                </a:ext>
                <a:ext uri="{FF2B5EF4-FFF2-40B4-BE49-F238E27FC236}">
                  <a16:creationId xmlns:a16="http://schemas.microsoft.com/office/drawing/2014/main" id="{00000000-0008-0000-0D00-00004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38" name="Check Box 578" hidden="1">
              <a:extLst>
                <a:ext uri="{63B3BB69-23CF-44E3-9099-C40C66FF867C}">
                  <a14:compatExt spid="_x0000_s41538"/>
                </a:ext>
                <a:ext uri="{FF2B5EF4-FFF2-40B4-BE49-F238E27FC236}">
                  <a16:creationId xmlns:a16="http://schemas.microsoft.com/office/drawing/2014/main" id="{00000000-0008-0000-0D00-00004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39" name="Check Box 579" hidden="1">
              <a:extLst>
                <a:ext uri="{63B3BB69-23CF-44E3-9099-C40C66FF867C}">
                  <a14:compatExt spid="_x0000_s41539"/>
                </a:ext>
                <a:ext uri="{FF2B5EF4-FFF2-40B4-BE49-F238E27FC236}">
                  <a16:creationId xmlns:a16="http://schemas.microsoft.com/office/drawing/2014/main" id="{00000000-0008-0000-0D00-00004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40" name="Check Box 580" hidden="1">
              <a:extLst>
                <a:ext uri="{63B3BB69-23CF-44E3-9099-C40C66FF867C}">
                  <a14:compatExt spid="_x0000_s41540"/>
                </a:ext>
                <a:ext uri="{FF2B5EF4-FFF2-40B4-BE49-F238E27FC236}">
                  <a16:creationId xmlns:a16="http://schemas.microsoft.com/office/drawing/2014/main" id="{00000000-0008-0000-0D00-00004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41" name="Check Box 581" hidden="1">
              <a:extLst>
                <a:ext uri="{63B3BB69-23CF-44E3-9099-C40C66FF867C}">
                  <a14:compatExt spid="_x0000_s41541"/>
                </a:ext>
                <a:ext uri="{FF2B5EF4-FFF2-40B4-BE49-F238E27FC236}">
                  <a16:creationId xmlns:a16="http://schemas.microsoft.com/office/drawing/2014/main" id="{00000000-0008-0000-0D00-00004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42" name="Check Box 582" hidden="1">
              <a:extLst>
                <a:ext uri="{63B3BB69-23CF-44E3-9099-C40C66FF867C}">
                  <a14:compatExt spid="_x0000_s41542"/>
                </a:ext>
                <a:ext uri="{FF2B5EF4-FFF2-40B4-BE49-F238E27FC236}">
                  <a16:creationId xmlns:a16="http://schemas.microsoft.com/office/drawing/2014/main" id="{00000000-0008-0000-0D00-00004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43" name="Check Box 583" hidden="1">
              <a:extLst>
                <a:ext uri="{63B3BB69-23CF-44E3-9099-C40C66FF867C}">
                  <a14:compatExt spid="_x0000_s41543"/>
                </a:ext>
                <a:ext uri="{FF2B5EF4-FFF2-40B4-BE49-F238E27FC236}">
                  <a16:creationId xmlns:a16="http://schemas.microsoft.com/office/drawing/2014/main" id="{00000000-0008-0000-0D00-00004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44" name="Check Box 584" hidden="1">
              <a:extLst>
                <a:ext uri="{63B3BB69-23CF-44E3-9099-C40C66FF867C}">
                  <a14:compatExt spid="_x0000_s41544"/>
                </a:ext>
                <a:ext uri="{FF2B5EF4-FFF2-40B4-BE49-F238E27FC236}">
                  <a16:creationId xmlns:a16="http://schemas.microsoft.com/office/drawing/2014/main" id="{00000000-0008-0000-0D00-00004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45" name="Check Box 585" hidden="1">
              <a:extLst>
                <a:ext uri="{63B3BB69-23CF-44E3-9099-C40C66FF867C}">
                  <a14:compatExt spid="_x0000_s41545"/>
                </a:ext>
                <a:ext uri="{FF2B5EF4-FFF2-40B4-BE49-F238E27FC236}">
                  <a16:creationId xmlns:a16="http://schemas.microsoft.com/office/drawing/2014/main" id="{00000000-0008-0000-0D00-00004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46" name="Check Box 586" hidden="1">
              <a:extLst>
                <a:ext uri="{63B3BB69-23CF-44E3-9099-C40C66FF867C}">
                  <a14:compatExt spid="_x0000_s41546"/>
                </a:ext>
                <a:ext uri="{FF2B5EF4-FFF2-40B4-BE49-F238E27FC236}">
                  <a16:creationId xmlns:a16="http://schemas.microsoft.com/office/drawing/2014/main" id="{00000000-0008-0000-0D00-00004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47" name="Check Box 587" hidden="1">
              <a:extLst>
                <a:ext uri="{63B3BB69-23CF-44E3-9099-C40C66FF867C}">
                  <a14:compatExt spid="_x0000_s41547"/>
                </a:ext>
                <a:ext uri="{FF2B5EF4-FFF2-40B4-BE49-F238E27FC236}">
                  <a16:creationId xmlns:a16="http://schemas.microsoft.com/office/drawing/2014/main" id="{00000000-0008-0000-0D00-00004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48" name="Check Box 588" hidden="1">
              <a:extLst>
                <a:ext uri="{63B3BB69-23CF-44E3-9099-C40C66FF867C}">
                  <a14:compatExt spid="_x0000_s41548"/>
                </a:ext>
                <a:ext uri="{FF2B5EF4-FFF2-40B4-BE49-F238E27FC236}">
                  <a16:creationId xmlns:a16="http://schemas.microsoft.com/office/drawing/2014/main" id="{00000000-0008-0000-0D00-00004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49" name="Check Box 589" hidden="1">
              <a:extLst>
                <a:ext uri="{63B3BB69-23CF-44E3-9099-C40C66FF867C}">
                  <a14:compatExt spid="_x0000_s41549"/>
                </a:ext>
                <a:ext uri="{FF2B5EF4-FFF2-40B4-BE49-F238E27FC236}">
                  <a16:creationId xmlns:a16="http://schemas.microsoft.com/office/drawing/2014/main" id="{00000000-0008-0000-0D00-00004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50" name="Check Box 590" hidden="1">
              <a:extLst>
                <a:ext uri="{63B3BB69-23CF-44E3-9099-C40C66FF867C}">
                  <a14:compatExt spid="_x0000_s41550"/>
                </a:ext>
                <a:ext uri="{FF2B5EF4-FFF2-40B4-BE49-F238E27FC236}">
                  <a16:creationId xmlns:a16="http://schemas.microsoft.com/office/drawing/2014/main" id="{00000000-0008-0000-0D00-00004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51" name="Check Box 591" hidden="1">
              <a:extLst>
                <a:ext uri="{63B3BB69-23CF-44E3-9099-C40C66FF867C}">
                  <a14:compatExt spid="_x0000_s41551"/>
                </a:ext>
                <a:ext uri="{FF2B5EF4-FFF2-40B4-BE49-F238E27FC236}">
                  <a16:creationId xmlns:a16="http://schemas.microsoft.com/office/drawing/2014/main" id="{00000000-0008-0000-0D00-00004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52" name="Check Box 592" hidden="1">
              <a:extLst>
                <a:ext uri="{63B3BB69-23CF-44E3-9099-C40C66FF867C}">
                  <a14:compatExt spid="_x0000_s41552"/>
                </a:ext>
                <a:ext uri="{FF2B5EF4-FFF2-40B4-BE49-F238E27FC236}">
                  <a16:creationId xmlns:a16="http://schemas.microsoft.com/office/drawing/2014/main" id="{00000000-0008-0000-0D00-00005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53" name="Check Box 593" hidden="1">
              <a:extLst>
                <a:ext uri="{63B3BB69-23CF-44E3-9099-C40C66FF867C}">
                  <a14:compatExt spid="_x0000_s41553"/>
                </a:ext>
                <a:ext uri="{FF2B5EF4-FFF2-40B4-BE49-F238E27FC236}">
                  <a16:creationId xmlns:a16="http://schemas.microsoft.com/office/drawing/2014/main" id="{00000000-0008-0000-0D00-00005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54" name="Check Box 594" hidden="1">
              <a:extLst>
                <a:ext uri="{63B3BB69-23CF-44E3-9099-C40C66FF867C}">
                  <a14:compatExt spid="_x0000_s41554"/>
                </a:ext>
                <a:ext uri="{FF2B5EF4-FFF2-40B4-BE49-F238E27FC236}">
                  <a16:creationId xmlns:a16="http://schemas.microsoft.com/office/drawing/2014/main" id="{00000000-0008-0000-0D00-00005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55" name="Check Box 595" hidden="1">
              <a:extLst>
                <a:ext uri="{63B3BB69-23CF-44E3-9099-C40C66FF867C}">
                  <a14:compatExt spid="_x0000_s41555"/>
                </a:ext>
                <a:ext uri="{FF2B5EF4-FFF2-40B4-BE49-F238E27FC236}">
                  <a16:creationId xmlns:a16="http://schemas.microsoft.com/office/drawing/2014/main" id="{00000000-0008-0000-0D00-00005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56" name="Check Box 596" hidden="1">
              <a:extLst>
                <a:ext uri="{63B3BB69-23CF-44E3-9099-C40C66FF867C}">
                  <a14:compatExt spid="_x0000_s41556"/>
                </a:ext>
                <a:ext uri="{FF2B5EF4-FFF2-40B4-BE49-F238E27FC236}">
                  <a16:creationId xmlns:a16="http://schemas.microsoft.com/office/drawing/2014/main" id="{00000000-0008-0000-0D00-00005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57" name="Check Box 597" hidden="1">
              <a:extLst>
                <a:ext uri="{63B3BB69-23CF-44E3-9099-C40C66FF867C}">
                  <a14:compatExt spid="_x0000_s41557"/>
                </a:ext>
                <a:ext uri="{FF2B5EF4-FFF2-40B4-BE49-F238E27FC236}">
                  <a16:creationId xmlns:a16="http://schemas.microsoft.com/office/drawing/2014/main" id="{00000000-0008-0000-0D00-00005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58" name="Check Box 598" hidden="1">
              <a:extLst>
                <a:ext uri="{63B3BB69-23CF-44E3-9099-C40C66FF867C}">
                  <a14:compatExt spid="_x0000_s41558"/>
                </a:ext>
                <a:ext uri="{FF2B5EF4-FFF2-40B4-BE49-F238E27FC236}">
                  <a16:creationId xmlns:a16="http://schemas.microsoft.com/office/drawing/2014/main" id="{00000000-0008-0000-0D00-00005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59" name="Check Box 599" hidden="1">
              <a:extLst>
                <a:ext uri="{63B3BB69-23CF-44E3-9099-C40C66FF867C}">
                  <a14:compatExt spid="_x0000_s41559"/>
                </a:ext>
                <a:ext uri="{FF2B5EF4-FFF2-40B4-BE49-F238E27FC236}">
                  <a16:creationId xmlns:a16="http://schemas.microsoft.com/office/drawing/2014/main" id="{00000000-0008-0000-0D00-00005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60" name="Check Box 600" hidden="1">
              <a:extLst>
                <a:ext uri="{63B3BB69-23CF-44E3-9099-C40C66FF867C}">
                  <a14:compatExt spid="_x0000_s41560"/>
                </a:ext>
                <a:ext uri="{FF2B5EF4-FFF2-40B4-BE49-F238E27FC236}">
                  <a16:creationId xmlns:a16="http://schemas.microsoft.com/office/drawing/2014/main" id="{00000000-0008-0000-0D00-00005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61" name="Check Box 601" hidden="1">
              <a:extLst>
                <a:ext uri="{63B3BB69-23CF-44E3-9099-C40C66FF867C}">
                  <a14:compatExt spid="_x0000_s41561"/>
                </a:ext>
                <a:ext uri="{FF2B5EF4-FFF2-40B4-BE49-F238E27FC236}">
                  <a16:creationId xmlns:a16="http://schemas.microsoft.com/office/drawing/2014/main" id="{00000000-0008-0000-0D00-00005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62" name="Check Box 602" hidden="1">
              <a:extLst>
                <a:ext uri="{63B3BB69-23CF-44E3-9099-C40C66FF867C}">
                  <a14:compatExt spid="_x0000_s41562"/>
                </a:ext>
                <a:ext uri="{FF2B5EF4-FFF2-40B4-BE49-F238E27FC236}">
                  <a16:creationId xmlns:a16="http://schemas.microsoft.com/office/drawing/2014/main" id="{00000000-0008-0000-0D00-00005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63" name="Check Box 603" hidden="1">
              <a:extLst>
                <a:ext uri="{63B3BB69-23CF-44E3-9099-C40C66FF867C}">
                  <a14:compatExt spid="_x0000_s41563"/>
                </a:ext>
                <a:ext uri="{FF2B5EF4-FFF2-40B4-BE49-F238E27FC236}">
                  <a16:creationId xmlns:a16="http://schemas.microsoft.com/office/drawing/2014/main" id="{00000000-0008-0000-0D00-00005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64" name="Check Box 604" hidden="1">
              <a:extLst>
                <a:ext uri="{63B3BB69-23CF-44E3-9099-C40C66FF867C}">
                  <a14:compatExt spid="_x0000_s41564"/>
                </a:ext>
                <a:ext uri="{FF2B5EF4-FFF2-40B4-BE49-F238E27FC236}">
                  <a16:creationId xmlns:a16="http://schemas.microsoft.com/office/drawing/2014/main" id="{00000000-0008-0000-0D00-00005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65" name="Check Box 605" hidden="1">
              <a:extLst>
                <a:ext uri="{63B3BB69-23CF-44E3-9099-C40C66FF867C}">
                  <a14:compatExt spid="_x0000_s41565"/>
                </a:ext>
                <a:ext uri="{FF2B5EF4-FFF2-40B4-BE49-F238E27FC236}">
                  <a16:creationId xmlns:a16="http://schemas.microsoft.com/office/drawing/2014/main" id="{00000000-0008-0000-0D00-00005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66" name="Check Box 606" hidden="1">
              <a:extLst>
                <a:ext uri="{63B3BB69-23CF-44E3-9099-C40C66FF867C}">
                  <a14:compatExt spid="_x0000_s41566"/>
                </a:ext>
                <a:ext uri="{FF2B5EF4-FFF2-40B4-BE49-F238E27FC236}">
                  <a16:creationId xmlns:a16="http://schemas.microsoft.com/office/drawing/2014/main" id="{00000000-0008-0000-0D00-00005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67" name="Check Box 607" hidden="1">
              <a:extLst>
                <a:ext uri="{63B3BB69-23CF-44E3-9099-C40C66FF867C}">
                  <a14:compatExt spid="_x0000_s41567"/>
                </a:ext>
                <a:ext uri="{FF2B5EF4-FFF2-40B4-BE49-F238E27FC236}">
                  <a16:creationId xmlns:a16="http://schemas.microsoft.com/office/drawing/2014/main" id="{00000000-0008-0000-0D00-00005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68" name="Check Box 608" hidden="1">
              <a:extLst>
                <a:ext uri="{63B3BB69-23CF-44E3-9099-C40C66FF867C}">
                  <a14:compatExt spid="_x0000_s41568"/>
                </a:ext>
                <a:ext uri="{FF2B5EF4-FFF2-40B4-BE49-F238E27FC236}">
                  <a16:creationId xmlns:a16="http://schemas.microsoft.com/office/drawing/2014/main" id="{00000000-0008-0000-0D00-00006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69" name="Check Box 609" hidden="1">
              <a:extLst>
                <a:ext uri="{63B3BB69-23CF-44E3-9099-C40C66FF867C}">
                  <a14:compatExt spid="_x0000_s41569"/>
                </a:ext>
                <a:ext uri="{FF2B5EF4-FFF2-40B4-BE49-F238E27FC236}">
                  <a16:creationId xmlns:a16="http://schemas.microsoft.com/office/drawing/2014/main" id="{00000000-0008-0000-0D00-00006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70" name="Check Box 610" hidden="1">
              <a:extLst>
                <a:ext uri="{63B3BB69-23CF-44E3-9099-C40C66FF867C}">
                  <a14:compatExt spid="_x0000_s41570"/>
                </a:ext>
                <a:ext uri="{FF2B5EF4-FFF2-40B4-BE49-F238E27FC236}">
                  <a16:creationId xmlns:a16="http://schemas.microsoft.com/office/drawing/2014/main" id="{00000000-0008-0000-0D00-00006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71" name="Check Box 611" hidden="1">
              <a:extLst>
                <a:ext uri="{63B3BB69-23CF-44E3-9099-C40C66FF867C}">
                  <a14:compatExt spid="_x0000_s41571"/>
                </a:ext>
                <a:ext uri="{FF2B5EF4-FFF2-40B4-BE49-F238E27FC236}">
                  <a16:creationId xmlns:a16="http://schemas.microsoft.com/office/drawing/2014/main" id="{00000000-0008-0000-0D00-00006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72" name="Check Box 612" hidden="1">
              <a:extLst>
                <a:ext uri="{63B3BB69-23CF-44E3-9099-C40C66FF867C}">
                  <a14:compatExt spid="_x0000_s41572"/>
                </a:ext>
                <a:ext uri="{FF2B5EF4-FFF2-40B4-BE49-F238E27FC236}">
                  <a16:creationId xmlns:a16="http://schemas.microsoft.com/office/drawing/2014/main" id="{00000000-0008-0000-0D00-00006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73" name="Check Box 613" hidden="1">
              <a:extLst>
                <a:ext uri="{63B3BB69-23CF-44E3-9099-C40C66FF867C}">
                  <a14:compatExt spid="_x0000_s41573"/>
                </a:ext>
                <a:ext uri="{FF2B5EF4-FFF2-40B4-BE49-F238E27FC236}">
                  <a16:creationId xmlns:a16="http://schemas.microsoft.com/office/drawing/2014/main" id="{00000000-0008-0000-0D00-00006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74" name="Check Box 614" hidden="1">
              <a:extLst>
                <a:ext uri="{63B3BB69-23CF-44E3-9099-C40C66FF867C}">
                  <a14:compatExt spid="_x0000_s41574"/>
                </a:ext>
                <a:ext uri="{FF2B5EF4-FFF2-40B4-BE49-F238E27FC236}">
                  <a16:creationId xmlns:a16="http://schemas.microsoft.com/office/drawing/2014/main" id="{00000000-0008-0000-0D00-00006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75" name="Check Box 615" hidden="1">
              <a:extLst>
                <a:ext uri="{63B3BB69-23CF-44E3-9099-C40C66FF867C}">
                  <a14:compatExt spid="_x0000_s41575"/>
                </a:ext>
                <a:ext uri="{FF2B5EF4-FFF2-40B4-BE49-F238E27FC236}">
                  <a16:creationId xmlns:a16="http://schemas.microsoft.com/office/drawing/2014/main" id="{00000000-0008-0000-0D00-00006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76" name="Check Box 616" hidden="1">
              <a:extLst>
                <a:ext uri="{63B3BB69-23CF-44E3-9099-C40C66FF867C}">
                  <a14:compatExt spid="_x0000_s41576"/>
                </a:ext>
                <a:ext uri="{FF2B5EF4-FFF2-40B4-BE49-F238E27FC236}">
                  <a16:creationId xmlns:a16="http://schemas.microsoft.com/office/drawing/2014/main" id="{00000000-0008-0000-0D00-00006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77" name="Check Box 617" hidden="1">
              <a:extLst>
                <a:ext uri="{63B3BB69-23CF-44E3-9099-C40C66FF867C}">
                  <a14:compatExt spid="_x0000_s41577"/>
                </a:ext>
                <a:ext uri="{FF2B5EF4-FFF2-40B4-BE49-F238E27FC236}">
                  <a16:creationId xmlns:a16="http://schemas.microsoft.com/office/drawing/2014/main" id="{00000000-0008-0000-0D00-00006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78" name="Check Box 618" hidden="1">
              <a:extLst>
                <a:ext uri="{63B3BB69-23CF-44E3-9099-C40C66FF867C}">
                  <a14:compatExt spid="_x0000_s41578"/>
                </a:ext>
                <a:ext uri="{FF2B5EF4-FFF2-40B4-BE49-F238E27FC236}">
                  <a16:creationId xmlns:a16="http://schemas.microsoft.com/office/drawing/2014/main" id="{00000000-0008-0000-0D00-00006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79" name="Check Box 619" hidden="1">
              <a:extLst>
                <a:ext uri="{63B3BB69-23CF-44E3-9099-C40C66FF867C}">
                  <a14:compatExt spid="_x0000_s41579"/>
                </a:ext>
                <a:ext uri="{FF2B5EF4-FFF2-40B4-BE49-F238E27FC236}">
                  <a16:creationId xmlns:a16="http://schemas.microsoft.com/office/drawing/2014/main" id="{00000000-0008-0000-0D00-00006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80" name="Check Box 620" hidden="1">
              <a:extLst>
                <a:ext uri="{63B3BB69-23CF-44E3-9099-C40C66FF867C}">
                  <a14:compatExt spid="_x0000_s41580"/>
                </a:ext>
                <a:ext uri="{FF2B5EF4-FFF2-40B4-BE49-F238E27FC236}">
                  <a16:creationId xmlns:a16="http://schemas.microsoft.com/office/drawing/2014/main" id="{00000000-0008-0000-0D00-00006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81" name="Check Box 621" hidden="1">
              <a:extLst>
                <a:ext uri="{63B3BB69-23CF-44E3-9099-C40C66FF867C}">
                  <a14:compatExt spid="_x0000_s41581"/>
                </a:ext>
                <a:ext uri="{FF2B5EF4-FFF2-40B4-BE49-F238E27FC236}">
                  <a16:creationId xmlns:a16="http://schemas.microsoft.com/office/drawing/2014/main" id="{00000000-0008-0000-0D00-00006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80</xdr:row>
          <xdr:rowOff>28575</xdr:rowOff>
        </xdr:from>
        <xdr:to>
          <xdr:col>5</xdr:col>
          <xdr:colOff>447675</xdr:colOff>
          <xdr:row>81</xdr:row>
          <xdr:rowOff>0</xdr:rowOff>
        </xdr:to>
        <xdr:sp macro="" textlink="">
          <xdr:nvSpPr>
            <xdr:cNvPr id="41582" name="Check Box 622" hidden="1">
              <a:extLst>
                <a:ext uri="{63B3BB69-23CF-44E3-9099-C40C66FF867C}">
                  <a14:compatExt spid="_x0000_s41582"/>
                </a:ext>
                <a:ext uri="{FF2B5EF4-FFF2-40B4-BE49-F238E27FC236}">
                  <a16:creationId xmlns:a16="http://schemas.microsoft.com/office/drawing/2014/main" id="{00000000-0008-0000-0D00-00006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80</xdr:row>
          <xdr:rowOff>28575</xdr:rowOff>
        </xdr:from>
        <xdr:to>
          <xdr:col>6</xdr:col>
          <xdr:colOff>419100</xdr:colOff>
          <xdr:row>81</xdr:row>
          <xdr:rowOff>0</xdr:rowOff>
        </xdr:to>
        <xdr:sp macro="" textlink="">
          <xdr:nvSpPr>
            <xdr:cNvPr id="41583" name="Check Box 623" hidden="1">
              <a:extLst>
                <a:ext uri="{63B3BB69-23CF-44E3-9099-C40C66FF867C}">
                  <a14:compatExt spid="_x0000_s41583"/>
                </a:ext>
                <a:ext uri="{FF2B5EF4-FFF2-40B4-BE49-F238E27FC236}">
                  <a16:creationId xmlns:a16="http://schemas.microsoft.com/office/drawing/2014/main" id="{00000000-0008-0000-0D00-00006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28575</xdr:rowOff>
        </xdr:from>
        <xdr:to>
          <xdr:col>7</xdr:col>
          <xdr:colOff>419100</xdr:colOff>
          <xdr:row>81</xdr:row>
          <xdr:rowOff>0</xdr:rowOff>
        </xdr:to>
        <xdr:sp macro="" textlink="">
          <xdr:nvSpPr>
            <xdr:cNvPr id="41584" name="Check Box 624" hidden="1">
              <a:extLst>
                <a:ext uri="{63B3BB69-23CF-44E3-9099-C40C66FF867C}">
                  <a14:compatExt spid="_x0000_s41584"/>
                </a:ext>
                <a:ext uri="{FF2B5EF4-FFF2-40B4-BE49-F238E27FC236}">
                  <a16:creationId xmlns:a16="http://schemas.microsoft.com/office/drawing/2014/main" id="{00000000-0008-0000-0D00-00007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80</xdr:row>
          <xdr:rowOff>28575</xdr:rowOff>
        </xdr:from>
        <xdr:to>
          <xdr:col>5</xdr:col>
          <xdr:colOff>447675</xdr:colOff>
          <xdr:row>81</xdr:row>
          <xdr:rowOff>0</xdr:rowOff>
        </xdr:to>
        <xdr:sp macro="" textlink="">
          <xdr:nvSpPr>
            <xdr:cNvPr id="41585" name="Check Box 625" hidden="1">
              <a:extLst>
                <a:ext uri="{63B3BB69-23CF-44E3-9099-C40C66FF867C}">
                  <a14:compatExt spid="_x0000_s41585"/>
                </a:ext>
                <a:ext uri="{FF2B5EF4-FFF2-40B4-BE49-F238E27FC236}">
                  <a16:creationId xmlns:a16="http://schemas.microsoft.com/office/drawing/2014/main" id="{00000000-0008-0000-0D00-00007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80</xdr:row>
          <xdr:rowOff>28575</xdr:rowOff>
        </xdr:from>
        <xdr:to>
          <xdr:col>6</xdr:col>
          <xdr:colOff>419100</xdr:colOff>
          <xdr:row>81</xdr:row>
          <xdr:rowOff>0</xdr:rowOff>
        </xdr:to>
        <xdr:sp macro="" textlink="">
          <xdr:nvSpPr>
            <xdr:cNvPr id="41586" name="Check Box 626" hidden="1">
              <a:extLst>
                <a:ext uri="{63B3BB69-23CF-44E3-9099-C40C66FF867C}">
                  <a14:compatExt spid="_x0000_s41586"/>
                </a:ext>
                <a:ext uri="{FF2B5EF4-FFF2-40B4-BE49-F238E27FC236}">
                  <a16:creationId xmlns:a16="http://schemas.microsoft.com/office/drawing/2014/main" id="{00000000-0008-0000-0D00-00007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28575</xdr:rowOff>
        </xdr:from>
        <xdr:to>
          <xdr:col>7</xdr:col>
          <xdr:colOff>419100</xdr:colOff>
          <xdr:row>81</xdr:row>
          <xdr:rowOff>0</xdr:rowOff>
        </xdr:to>
        <xdr:sp macro="" textlink="">
          <xdr:nvSpPr>
            <xdr:cNvPr id="41587" name="Check Box 627" hidden="1">
              <a:extLst>
                <a:ext uri="{63B3BB69-23CF-44E3-9099-C40C66FF867C}">
                  <a14:compatExt spid="_x0000_s41587"/>
                </a:ext>
                <a:ext uri="{FF2B5EF4-FFF2-40B4-BE49-F238E27FC236}">
                  <a16:creationId xmlns:a16="http://schemas.microsoft.com/office/drawing/2014/main" id="{00000000-0008-0000-0D00-00007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88" name="Check Box 628" hidden="1">
              <a:extLst>
                <a:ext uri="{63B3BB69-23CF-44E3-9099-C40C66FF867C}">
                  <a14:compatExt spid="_x0000_s41588"/>
                </a:ext>
                <a:ext uri="{FF2B5EF4-FFF2-40B4-BE49-F238E27FC236}">
                  <a16:creationId xmlns:a16="http://schemas.microsoft.com/office/drawing/2014/main" id="{00000000-0008-0000-0D00-00007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89" name="Check Box 629" hidden="1">
              <a:extLst>
                <a:ext uri="{63B3BB69-23CF-44E3-9099-C40C66FF867C}">
                  <a14:compatExt spid="_x0000_s41589"/>
                </a:ext>
                <a:ext uri="{FF2B5EF4-FFF2-40B4-BE49-F238E27FC236}">
                  <a16:creationId xmlns:a16="http://schemas.microsoft.com/office/drawing/2014/main" id="{00000000-0008-0000-0D00-00007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90" name="Check Box 630" hidden="1">
              <a:extLst>
                <a:ext uri="{63B3BB69-23CF-44E3-9099-C40C66FF867C}">
                  <a14:compatExt spid="_x0000_s41590"/>
                </a:ext>
                <a:ext uri="{FF2B5EF4-FFF2-40B4-BE49-F238E27FC236}">
                  <a16:creationId xmlns:a16="http://schemas.microsoft.com/office/drawing/2014/main" id="{00000000-0008-0000-0D00-00007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80</xdr:row>
          <xdr:rowOff>28575</xdr:rowOff>
        </xdr:from>
        <xdr:to>
          <xdr:col>5</xdr:col>
          <xdr:colOff>447675</xdr:colOff>
          <xdr:row>81</xdr:row>
          <xdr:rowOff>0</xdr:rowOff>
        </xdr:to>
        <xdr:sp macro="" textlink="">
          <xdr:nvSpPr>
            <xdr:cNvPr id="41591" name="Check Box 631" hidden="1">
              <a:extLst>
                <a:ext uri="{63B3BB69-23CF-44E3-9099-C40C66FF867C}">
                  <a14:compatExt spid="_x0000_s41591"/>
                </a:ext>
                <a:ext uri="{FF2B5EF4-FFF2-40B4-BE49-F238E27FC236}">
                  <a16:creationId xmlns:a16="http://schemas.microsoft.com/office/drawing/2014/main" id="{00000000-0008-0000-0D00-00007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80</xdr:row>
          <xdr:rowOff>28575</xdr:rowOff>
        </xdr:from>
        <xdr:to>
          <xdr:col>6</xdr:col>
          <xdr:colOff>419100</xdr:colOff>
          <xdr:row>81</xdr:row>
          <xdr:rowOff>0</xdr:rowOff>
        </xdr:to>
        <xdr:sp macro="" textlink="">
          <xdr:nvSpPr>
            <xdr:cNvPr id="41592" name="Check Box 632" hidden="1">
              <a:extLst>
                <a:ext uri="{63B3BB69-23CF-44E3-9099-C40C66FF867C}">
                  <a14:compatExt spid="_x0000_s41592"/>
                </a:ext>
                <a:ext uri="{FF2B5EF4-FFF2-40B4-BE49-F238E27FC236}">
                  <a16:creationId xmlns:a16="http://schemas.microsoft.com/office/drawing/2014/main" id="{00000000-0008-0000-0D00-00007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28575</xdr:rowOff>
        </xdr:from>
        <xdr:to>
          <xdr:col>7</xdr:col>
          <xdr:colOff>419100</xdr:colOff>
          <xdr:row>81</xdr:row>
          <xdr:rowOff>0</xdr:rowOff>
        </xdr:to>
        <xdr:sp macro="" textlink="">
          <xdr:nvSpPr>
            <xdr:cNvPr id="41593" name="Check Box 633" hidden="1">
              <a:extLst>
                <a:ext uri="{63B3BB69-23CF-44E3-9099-C40C66FF867C}">
                  <a14:compatExt spid="_x0000_s41593"/>
                </a:ext>
                <a:ext uri="{FF2B5EF4-FFF2-40B4-BE49-F238E27FC236}">
                  <a16:creationId xmlns:a16="http://schemas.microsoft.com/office/drawing/2014/main" id="{00000000-0008-0000-0D00-00007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80</xdr:row>
          <xdr:rowOff>28575</xdr:rowOff>
        </xdr:from>
        <xdr:to>
          <xdr:col>5</xdr:col>
          <xdr:colOff>447675</xdr:colOff>
          <xdr:row>81</xdr:row>
          <xdr:rowOff>0</xdr:rowOff>
        </xdr:to>
        <xdr:sp macro="" textlink="">
          <xdr:nvSpPr>
            <xdr:cNvPr id="41594" name="Check Box 634" hidden="1">
              <a:extLst>
                <a:ext uri="{63B3BB69-23CF-44E3-9099-C40C66FF867C}">
                  <a14:compatExt spid="_x0000_s41594"/>
                </a:ext>
                <a:ext uri="{FF2B5EF4-FFF2-40B4-BE49-F238E27FC236}">
                  <a16:creationId xmlns:a16="http://schemas.microsoft.com/office/drawing/2014/main" id="{00000000-0008-0000-0D00-00007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80</xdr:row>
          <xdr:rowOff>28575</xdr:rowOff>
        </xdr:from>
        <xdr:to>
          <xdr:col>6</xdr:col>
          <xdr:colOff>419100</xdr:colOff>
          <xdr:row>81</xdr:row>
          <xdr:rowOff>0</xdr:rowOff>
        </xdr:to>
        <xdr:sp macro="" textlink="">
          <xdr:nvSpPr>
            <xdr:cNvPr id="41595" name="Check Box 635" hidden="1">
              <a:extLst>
                <a:ext uri="{63B3BB69-23CF-44E3-9099-C40C66FF867C}">
                  <a14:compatExt spid="_x0000_s41595"/>
                </a:ext>
                <a:ext uri="{FF2B5EF4-FFF2-40B4-BE49-F238E27FC236}">
                  <a16:creationId xmlns:a16="http://schemas.microsoft.com/office/drawing/2014/main" id="{00000000-0008-0000-0D00-00007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28575</xdr:rowOff>
        </xdr:from>
        <xdr:to>
          <xdr:col>7</xdr:col>
          <xdr:colOff>419100</xdr:colOff>
          <xdr:row>81</xdr:row>
          <xdr:rowOff>0</xdr:rowOff>
        </xdr:to>
        <xdr:sp macro="" textlink="">
          <xdr:nvSpPr>
            <xdr:cNvPr id="41596" name="Check Box 636" hidden="1">
              <a:extLst>
                <a:ext uri="{63B3BB69-23CF-44E3-9099-C40C66FF867C}">
                  <a14:compatExt spid="_x0000_s41596"/>
                </a:ext>
                <a:ext uri="{FF2B5EF4-FFF2-40B4-BE49-F238E27FC236}">
                  <a16:creationId xmlns:a16="http://schemas.microsoft.com/office/drawing/2014/main" id="{00000000-0008-0000-0D00-00007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1597" name="Check Box 637" hidden="1">
              <a:extLst>
                <a:ext uri="{63B3BB69-23CF-44E3-9099-C40C66FF867C}">
                  <a14:compatExt spid="_x0000_s41597"/>
                </a:ext>
                <a:ext uri="{FF2B5EF4-FFF2-40B4-BE49-F238E27FC236}">
                  <a16:creationId xmlns:a16="http://schemas.microsoft.com/office/drawing/2014/main" id="{00000000-0008-0000-0D00-00007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1598" name="Check Box 638" hidden="1">
              <a:extLst>
                <a:ext uri="{63B3BB69-23CF-44E3-9099-C40C66FF867C}">
                  <a14:compatExt spid="_x0000_s41598"/>
                </a:ext>
                <a:ext uri="{FF2B5EF4-FFF2-40B4-BE49-F238E27FC236}">
                  <a16:creationId xmlns:a16="http://schemas.microsoft.com/office/drawing/2014/main" id="{00000000-0008-0000-0D00-00007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1599" name="Check Box 639" hidden="1">
              <a:extLst>
                <a:ext uri="{63B3BB69-23CF-44E3-9099-C40C66FF867C}">
                  <a14:compatExt spid="_x0000_s41599"/>
                </a:ext>
                <a:ext uri="{FF2B5EF4-FFF2-40B4-BE49-F238E27FC236}">
                  <a16:creationId xmlns:a16="http://schemas.microsoft.com/office/drawing/2014/main" id="{00000000-0008-0000-0D00-00007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1600" name="Check Box 640" hidden="1">
              <a:extLst>
                <a:ext uri="{63B3BB69-23CF-44E3-9099-C40C66FF867C}">
                  <a14:compatExt spid="_x0000_s41600"/>
                </a:ext>
                <a:ext uri="{FF2B5EF4-FFF2-40B4-BE49-F238E27FC236}">
                  <a16:creationId xmlns:a16="http://schemas.microsoft.com/office/drawing/2014/main" id="{00000000-0008-0000-0D00-00008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1601" name="Check Box 641" hidden="1">
              <a:extLst>
                <a:ext uri="{63B3BB69-23CF-44E3-9099-C40C66FF867C}">
                  <a14:compatExt spid="_x0000_s41601"/>
                </a:ext>
                <a:ext uri="{FF2B5EF4-FFF2-40B4-BE49-F238E27FC236}">
                  <a16:creationId xmlns:a16="http://schemas.microsoft.com/office/drawing/2014/main" id="{00000000-0008-0000-0D00-00008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1602" name="Check Box 642" hidden="1">
              <a:extLst>
                <a:ext uri="{63B3BB69-23CF-44E3-9099-C40C66FF867C}">
                  <a14:compatExt spid="_x0000_s41602"/>
                </a:ext>
                <a:ext uri="{FF2B5EF4-FFF2-40B4-BE49-F238E27FC236}">
                  <a16:creationId xmlns:a16="http://schemas.microsoft.com/office/drawing/2014/main" id="{00000000-0008-0000-0D00-00008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1603" name="Check Box 643" hidden="1">
              <a:extLst>
                <a:ext uri="{63B3BB69-23CF-44E3-9099-C40C66FF867C}">
                  <a14:compatExt spid="_x0000_s41603"/>
                </a:ext>
                <a:ext uri="{FF2B5EF4-FFF2-40B4-BE49-F238E27FC236}">
                  <a16:creationId xmlns:a16="http://schemas.microsoft.com/office/drawing/2014/main" id="{00000000-0008-0000-0D00-00008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1604" name="Check Box 644" hidden="1">
              <a:extLst>
                <a:ext uri="{63B3BB69-23CF-44E3-9099-C40C66FF867C}">
                  <a14:compatExt spid="_x0000_s41604"/>
                </a:ext>
                <a:ext uri="{FF2B5EF4-FFF2-40B4-BE49-F238E27FC236}">
                  <a16:creationId xmlns:a16="http://schemas.microsoft.com/office/drawing/2014/main" id="{00000000-0008-0000-0D00-00008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1605" name="Check Box 645" hidden="1">
              <a:extLst>
                <a:ext uri="{63B3BB69-23CF-44E3-9099-C40C66FF867C}">
                  <a14:compatExt spid="_x0000_s41605"/>
                </a:ext>
                <a:ext uri="{FF2B5EF4-FFF2-40B4-BE49-F238E27FC236}">
                  <a16:creationId xmlns:a16="http://schemas.microsoft.com/office/drawing/2014/main" id="{00000000-0008-0000-0D00-00008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1606" name="Check Box 646" hidden="1">
              <a:extLst>
                <a:ext uri="{63B3BB69-23CF-44E3-9099-C40C66FF867C}">
                  <a14:compatExt spid="_x0000_s41606"/>
                </a:ext>
                <a:ext uri="{FF2B5EF4-FFF2-40B4-BE49-F238E27FC236}">
                  <a16:creationId xmlns:a16="http://schemas.microsoft.com/office/drawing/2014/main" id="{00000000-0008-0000-0D00-00008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1607" name="Check Box 647" hidden="1">
              <a:extLst>
                <a:ext uri="{63B3BB69-23CF-44E3-9099-C40C66FF867C}">
                  <a14:compatExt spid="_x0000_s41607"/>
                </a:ext>
                <a:ext uri="{FF2B5EF4-FFF2-40B4-BE49-F238E27FC236}">
                  <a16:creationId xmlns:a16="http://schemas.microsoft.com/office/drawing/2014/main" id="{00000000-0008-0000-0D00-00008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1608" name="Check Box 648" hidden="1">
              <a:extLst>
                <a:ext uri="{63B3BB69-23CF-44E3-9099-C40C66FF867C}">
                  <a14:compatExt spid="_x0000_s41608"/>
                </a:ext>
                <a:ext uri="{FF2B5EF4-FFF2-40B4-BE49-F238E27FC236}">
                  <a16:creationId xmlns:a16="http://schemas.microsoft.com/office/drawing/2014/main" id="{00000000-0008-0000-0D00-00008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64</xdr:row>
          <xdr:rowOff>28575</xdr:rowOff>
        </xdr:from>
        <xdr:to>
          <xdr:col>5</xdr:col>
          <xdr:colOff>447675</xdr:colOff>
          <xdr:row>65</xdr:row>
          <xdr:rowOff>0</xdr:rowOff>
        </xdr:to>
        <xdr:sp macro="" textlink="">
          <xdr:nvSpPr>
            <xdr:cNvPr id="41609" name="Check Box 649" hidden="1">
              <a:extLst>
                <a:ext uri="{63B3BB69-23CF-44E3-9099-C40C66FF867C}">
                  <a14:compatExt spid="_x0000_s41609"/>
                </a:ext>
                <a:ext uri="{FF2B5EF4-FFF2-40B4-BE49-F238E27FC236}">
                  <a16:creationId xmlns:a16="http://schemas.microsoft.com/office/drawing/2014/main" id="{00000000-0008-0000-0D00-00008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64</xdr:row>
          <xdr:rowOff>28575</xdr:rowOff>
        </xdr:from>
        <xdr:to>
          <xdr:col>6</xdr:col>
          <xdr:colOff>419100</xdr:colOff>
          <xdr:row>65</xdr:row>
          <xdr:rowOff>0</xdr:rowOff>
        </xdr:to>
        <xdr:sp macro="" textlink="">
          <xdr:nvSpPr>
            <xdr:cNvPr id="41610" name="Check Box 650" hidden="1">
              <a:extLst>
                <a:ext uri="{63B3BB69-23CF-44E3-9099-C40C66FF867C}">
                  <a14:compatExt spid="_x0000_s41610"/>
                </a:ext>
                <a:ext uri="{FF2B5EF4-FFF2-40B4-BE49-F238E27FC236}">
                  <a16:creationId xmlns:a16="http://schemas.microsoft.com/office/drawing/2014/main" id="{00000000-0008-0000-0D00-00008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64</xdr:row>
          <xdr:rowOff>28575</xdr:rowOff>
        </xdr:from>
        <xdr:to>
          <xdr:col>7</xdr:col>
          <xdr:colOff>419100</xdr:colOff>
          <xdr:row>65</xdr:row>
          <xdr:rowOff>0</xdr:rowOff>
        </xdr:to>
        <xdr:sp macro="" textlink="">
          <xdr:nvSpPr>
            <xdr:cNvPr id="41611" name="Check Box 651" hidden="1">
              <a:extLst>
                <a:ext uri="{63B3BB69-23CF-44E3-9099-C40C66FF867C}">
                  <a14:compatExt spid="_x0000_s41611"/>
                </a:ext>
                <a:ext uri="{FF2B5EF4-FFF2-40B4-BE49-F238E27FC236}">
                  <a16:creationId xmlns:a16="http://schemas.microsoft.com/office/drawing/2014/main" id="{00000000-0008-0000-0D00-00008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64</xdr:row>
          <xdr:rowOff>28575</xdr:rowOff>
        </xdr:from>
        <xdr:to>
          <xdr:col>5</xdr:col>
          <xdr:colOff>447675</xdr:colOff>
          <xdr:row>65</xdr:row>
          <xdr:rowOff>0</xdr:rowOff>
        </xdr:to>
        <xdr:sp macro="" textlink="">
          <xdr:nvSpPr>
            <xdr:cNvPr id="41612" name="Check Box 652" hidden="1">
              <a:extLst>
                <a:ext uri="{63B3BB69-23CF-44E3-9099-C40C66FF867C}">
                  <a14:compatExt spid="_x0000_s41612"/>
                </a:ext>
                <a:ext uri="{FF2B5EF4-FFF2-40B4-BE49-F238E27FC236}">
                  <a16:creationId xmlns:a16="http://schemas.microsoft.com/office/drawing/2014/main" id="{00000000-0008-0000-0D00-00008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64</xdr:row>
          <xdr:rowOff>28575</xdr:rowOff>
        </xdr:from>
        <xdr:to>
          <xdr:col>6</xdr:col>
          <xdr:colOff>419100</xdr:colOff>
          <xdr:row>65</xdr:row>
          <xdr:rowOff>0</xdr:rowOff>
        </xdr:to>
        <xdr:sp macro="" textlink="">
          <xdr:nvSpPr>
            <xdr:cNvPr id="41613" name="Check Box 653" hidden="1">
              <a:extLst>
                <a:ext uri="{63B3BB69-23CF-44E3-9099-C40C66FF867C}">
                  <a14:compatExt spid="_x0000_s41613"/>
                </a:ext>
                <a:ext uri="{FF2B5EF4-FFF2-40B4-BE49-F238E27FC236}">
                  <a16:creationId xmlns:a16="http://schemas.microsoft.com/office/drawing/2014/main" id="{00000000-0008-0000-0D00-00008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64</xdr:row>
          <xdr:rowOff>28575</xdr:rowOff>
        </xdr:from>
        <xdr:to>
          <xdr:col>7</xdr:col>
          <xdr:colOff>419100</xdr:colOff>
          <xdr:row>65</xdr:row>
          <xdr:rowOff>0</xdr:rowOff>
        </xdr:to>
        <xdr:sp macro="" textlink="">
          <xdr:nvSpPr>
            <xdr:cNvPr id="41614" name="Check Box 654" hidden="1">
              <a:extLst>
                <a:ext uri="{63B3BB69-23CF-44E3-9099-C40C66FF867C}">
                  <a14:compatExt spid="_x0000_s41614"/>
                </a:ext>
                <a:ext uri="{FF2B5EF4-FFF2-40B4-BE49-F238E27FC236}">
                  <a16:creationId xmlns:a16="http://schemas.microsoft.com/office/drawing/2014/main" id="{00000000-0008-0000-0D00-00008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1615" name="Check Box 655" hidden="1">
              <a:extLst>
                <a:ext uri="{63B3BB69-23CF-44E3-9099-C40C66FF867C}">
                  <a14:compatExt spid="_x0000_s41615"/>
                </a:ext>
                <a:ext uri="{FF2B5EF4-FFF2-40B4-BE49-F238E27FC236}">
                  <a16:creationId xmlns:a16="http://schemas.microsoft.com/office/drawing/2014/main" id="{00000000-0008-0000-0D00-00008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1616" name="Check Box 656" hidden="1">
              <a:extLst>
                <a:ext uri="{63B3BB69-23CF-44E3-9099-C40C66FF867C}">
                  <a14:compatExt spid="_x0000_s41616"/>
                </a:ext>
                <a:ext uri="{FF2B5EF4-FFF2-40B4-BE49-F238E27FC236}">
                  <a16:creationId xmlns:a16="http://schemas.microsoft.com/office/drawing/2014/main" id="{00000000-0008-0000-0D00-00009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1617" name="Check Box 657" hidden="1">
              <a:extLst>
                <a:ext uri="{63B3BB69-23CF-44E3-9099-C40C66FF867C}">
                  <a14:compatExt spid="_x0000_s41617"/>
                </a:ext>
                <a:ext uri="{FF2B5EF4-FFF2-40B4-BE49-F238E27FC236}">
                  <a16:creationId xmlns:a16="http://schemas.microsoft.com/office/drawing/2014/main" id="{00000000-0008-0000-0D00-00009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1618" name="Check Box 658" hidden="1">
              <a:extLst>
                <a:ext uri="{63B3BB69-23CF-44E3-9099-C40C66FF867C}">
                  <a14:compatExt spid="_x0000_s41618"/>
                </a:ext>
                <a:ext uri="{FF2B5EF4-FFF2-40B4-BE49-F238E27FC236}">
                  <a16:creationId xmlns:a16="http://schemas.microsoft.com/office/drawing/2014/main" id="{00000000-0008-0000-0D00-00009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1619" name="Check Box 659" hidden="1">
              <a:extLst>
                <a:ext uri="{63B3BB69-23CF-44E3-9099-C40C66FF867C}">
                  <a14:compatExt spid="_x0000_s41619"/>
                </a:ext>
                <a:ext uri="{FF2B5EF4-FFF2-40B4-BE49-F238E27FC236}">
                  <a16:creationId xmlns:a16="http://schemas.microsoft.com/office/drawing/2014/main" id="{00000000-0008-0000-0D00-00009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1620" name="Check Box 660" hidden="1">
              <a:extLst>
                <a:ext uri="{63B3BB69-23CF-44E3-9099-C40C66FF867C}">
                  <a14:compatExt spid="_x0000_s41620"/>
                </a:ext>
                <a:ext uri="{FF2B5EF4-FFF2-40B4-BE49-F238E27FC236}">
                  <a16:creationId xmlns:a16="http://schemas.microsoft.com/office/drawing/2014/main" id="{00000000-0008-0000-0D00-00009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66</xdr:row>
          <xdr:rowOff>28575</xdr:rowOff>
        </xdr:from>
        <xdr:to>
          <xdr:col>5</xdr:col>
          <xdr:colOff>447675</xdr:colOff>
          <xdr:row>67</xdr:row>
          <xdr:rowOff>0</xdr:rowOff>
        </xdr:to>
        <xdr:sp macro="" textlink="">
          <xdr:nvSpPr>
            <xdr:cNvPr id="41621" name="Check Box 661" hidden="1">
              <a:extLst>
                <a:ext uri="{63B3BB69-23CF-44E3-9099-C40C66FF867C}">
                  <a14:compatExt spid="_x0000_s41621"/>
                </a:ext>
                <a:ext uri="{FF2B5EF4-FFF2-40B4-BE49-F238E27FC236}">
                  <a16:creationId xmlns:a16="http://schemas.microsoft.com/office/drawing/2014/main" id="{00000000-0008-0000-0D00-00009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66</xdr:row>
          <xdr:rowOff>28575</xdr:rowOff>
        </xdr:from>
        <xdr:to>
          <xdr:col>6</xdr:col>
          <xdr:colOff>419100</xdr:colOff>
          <xdr:row>67</xdr:row>
          <xdr:rowOff>0</xdr:rowOff>
        </xdr:to>
        <xdr:sp macro="" textlink="">
          <xdr:nvSpPr>
            <xdr:cNvPr id="41622" name="Check Box 662" hidden="1">
              <a:extLst>
                <a:ext uri="{63B3BB69-23CF-44E3-9099-C40C66FF867C}">
                  <a14:compatExt spid="_x0000_s41622"/>
                </a:ext>
                <a:ext uri="{FF2B5EF4-FFF2-40B4-BE49-F238E27FC236}">
                  <a16:creationId xmlns:a16="http://schemas.microsoft.com/office/drawing/2014/main" id="{00000000-0008-0000-0D00-00009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66</xdr:row>
          <xdr:rowOff>28575</xdr:rowOff>
        </xdr:from>
        <xdr:to>
          <xdr:col>7</xdr:col>
          <xdr:colOff>419100</xdr:colOff>
          <xdr:row>67</xdr:row>
          <xdr:rowOff>0</xdr:rowOff>
        </xdr:to>
        <xdr:sp macro="" textlink="">
          <xdr:nvSpPr>
            <xdr:cNvPr id="41623" name="Check Box 663" hidden="1">
              <a:extLst>
                <a:ext uri="{63B3BB69-23CF-44E3-9099-C40C66FF867C}">
                  <a14:compatExt spid="_x0000_s41623"/>
                </a:ext>
                <a:ext uri="{FF2B5EF4-FFF2-40B4-BE49-F238E27FC236}">
                  <a16:creationId xmlns:a16="http://schemas.microsoft.com/office/drawing/2014/main" id="{00000000-0008-0000-0D00-00009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66</xdr:row>
          <xdr:rowOff>28575</xdr:rowOff>
        </xdr:from>
        <xdr:to>
          <xdr:col>5</xdr:col>
          <xdr:colOff>447675</xdr:colOff>
          <xdr:row>67</xdr:row>
          <xdr:rowOff>0</xdr:rowOff>
        </xdr:to>
        <xdr:sp macro="" textlink="">
          <xdr:nvSpPr>
            <xdr:cNvPr id="41624" name="Check Box 664" hidden="1">
              <a:extLst>
                <a:ext uri="{63B3BB69-23CF-44E3-9099-C40C66FF867C}">
                  <a14:compatExt spid="_x0000_s41624"/>
                </a:ext>
                <a:ext uri="{FF2B5EF4-FFF2-40B4-BE49-F238E27FC236}">
                  <a16:creationId xmlns:a16="http://schemas.microsoft.com/office/drawing/2014/main" id="{00000000-0008-0000-0D00-00009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66</xdr:row>
          <xdr:rowOff>28575</xdr:rowOff>
        </xdr:from>
        <xdr:to>
          <xdr:col>6</xdr:col>
          <xdr:colOff>419100</xdr:colOff>
          <xdr:row>67</xdr:row>
          <xdr:rowOff>0</xdr:rowOff>
        </xdr:to>
        <xdr:sp macro="" textlink="">
          <xdr:nvSpPr>
            <xdr:cNvPr id="41625" name="Check Box 665" hidden="1">
              <a:extLst>
                <a:ext uri="{63B3BB69-23CF-44E3-9099-C40C66FF867C}">
                  <a14:compatExt spid="_x0000_s41625"/>
                </a:ext>
                <a:ext uri="{FF2B5EF4-FFF2-40B4-BE49-F238E27FC236}">
                  <a16:creationId xmlns:a16="http://schemas.microsoft.com/office/drawing/2014/main" id="{00000000-0008-0000-0D00-00009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66</xdr:row>
          <xdr:rowOff>28575</xdr:rowOff>
        </xdr:from>
        <xdr:to>
          <xdr:col>7</xdr:col>
          <xdr:colOff>419100</xdr:colOff>
          <xdr:row>67</xdr:row>
          <xdr:rowOff>0</xdr:rowOff>
        </xdr:to>
        <xdr:sp macro="" textlink="">
          <xdr:nvSpPr>
            <xdr:cNvPr id="41626" name="Check Box 666" hidden="1">
              <a:extLst>
                <a:ext uri="{63B3BB69-23CF-44E3-9099-C40C66FF867C}">
                  <a14:compatExt spid="_x0000_s41626"/>
                </a:ext>
                <a:ext uri="{FF2B5EF4-FFF2-40B4-BE49-F238E27FC236}">
                  <a16:creationId xmlns:a16="http://schemas.microsoft.com/office/drawing/2014/main" id="{00000000-0008-0000-0D00-00009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67</xdr:row>
          <xdr:rowOff>28575</xdr:rowOff>
        </xdr:from>
        <xdr:to>
          <xdr:col>5</xdr:col>
          <xdr:colOff>447675</xdr:colOff>
          <xdr:row>68</xdr:row>
          <xdr:rowOff>0</xdr:rowOff>
        </xdr:to>
        <xdr:sp macro="" textlink="">
          <xdr:nvSpPr>
            <xdr:cNvPr id="41627" name="Check Box 667" hidden="1">
              <a:extLst>
                <a:ext uri="{63B3BB69-23CF-44E3-9099-C40C66FF867C}">
                  <a14:compatExt spid="_x0000_s41627"/>
                </a:ext>
                <a:ext uri="{FF2B5EF4-FFF2-40B4-BE49-F238E27FC236}">
                  <a16:creationId xmlns:a16="http://schemas.microsoft.com/office/drawing/2014/main" id="{00000000-0008-0000-0D00-00009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67</xdr:row>
          <xdr:rowOff>28575</xdr:rowOff>
        </xdr:from>
        <xdr:to>
          <xdr:col>6</xdr:col>
          <xdr:colOff>419100</xdr:colOff>
          <xdr:row>68</xdr:row>
          <xdr:rowOff>0</xdr:rowOff>
        </xdr:to>
        <xdr:sp macro="" textlink="">
          <xdr:nvSpPr>
            <xdr:cNvPr id="41628" name="Check Box 668" hidden="1">
              <a:extLst>
                <a:ext uri="{63B3BB69-23CF-44E3-9099-C40C66FF867C}">
                  <a14:compatExt spid="_x0000_s41628"/>
                </a:ext>
                <a:ext uri="{FF2B5EF4-FFF2-40B4-BE49-F238E27FC236}">
                  <a16:creationId xmlns:a16="http://schemas.microsoft.com/office/drawing/2014/main" id="{00000000-0008-0000-0D00-00009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67</xdr:row>
          <xdr:rowOff>28575</xdr:rowOff>
        </xdr:from>
        <xdr:to>
          <xdr:col>7</xdr:col>
          <xdr:colOff>419100</xdr:colOff>
          <xdr:row>68</xdr:row>
          <xdr:rowOff>0</xdr:rowOff>
        </xdr:to>
        <xdr:sp macro="" textlink="">
          <xdr:nvSpPr>
            <xdr:cNvPr id="41629" name="Check Box 669" hidden="1">
              <a:extLst>
                <a:ext uri="{63B3BB69-23CF-44E3-9099-C40C66FF867C}">
                  <a14:compatExt spid="_x0000_s41629"/>
                </a:ext>
                <a:ext uri="{FF2B5EF4-FFF2-40B4-BE49-F238E27FC236}">
                  <a16:creationId xmlns:a16="http://schemas.microsoft.com/office/drawing/2014/main" id="{00000000-0008-0000-0D00-00009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67</xdr:row>
          <xdr:rowOff>28575</xdr:rowOff>
        </xdr:from>
        <xdr:to>
          <xdr:col>5</xdr:col>
          <xdr:colOff>447675</xdr:colOff>
          <xdr:row>68</xdr:row>
          <xdr:rowOff>0</xdr:rowOff>
        </xdr:to>
        <xdr:sp macro="" textlink="">
          <xdr:nvSpPr>
            <xdr:cNvPr id="41630" name="Check Box 670" hidden="1">
              <a:extLst>
                <a:ext uri="{63B3BB69-23CF-44E3-9099-C40C66FF867C}">
                  <a14:compatExt spid="_x0000_s41630"/>
                </a:ext>
                <a:ext uri="{FF2B5EF4-FFF2-40B4-BE49-F238E27FC236}">
                  <a16:creationId xmlns:a16="http://schemas.microsoft.com/office/drawing/2014/main" id="{00000000-0008-0000-0D00-00009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67</xdr:row>
          <xdr:rowOff>28575</xdr:rowOff>
        </xdr:from>
        <xdr:to>
          <xdr:col>6</xdr:col>
          <xdr:colOff>419100</xdr:colOff>
          <xdr:row>68</xdr:row>
          <xdr:rowOff>0</xdr:rowOff>
        </xdr:to>
        <xdr:sp macro="" textlink="">
          <xdr:nvSpPr>
            <xdr:cNvPr id="41631" name="Check Box 671" hidden="1">
              <a:extLst>
                <a:ext uri="{63B3BB69-23CF-44E3-9099-C40C66FF867C}">
                  <a14:compatExt spid="_x0000_s41631"/>
                </a:ext>
                <a:ext uri="{FF2B5EF4-FFF2-40B4-BE49-F238E27FC236}">
                  <a16:creationId xmlns:a16="http://schemas.microsoft.com/office/drawing/2014/main" id="{00000000-0008-0000-0D00-00009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67</xdr:row>
          <xdr:rowOff>28575</xdr:rowOff>
        </xdr:from>
        <xdr:to>
          <xdr:col>7</xdr:col>
          <xdr:colOff>419100</xdr:colOff>
          <xdr:row>68</xdr:row>
          <xdr:rowOff>0</xdr:rowOff>
        </xdr:to>
        <xdr:sp macro="" textlink="">
          <xdr:nvSpPr>
            <xdr:cNvPr id="41632" name="Check Box 672" hidden="1">
              <a:extLst>
                <a:ext uri="{63B3BB69-23CF-44E3-9099-C40C66FF867C}">
                  <a14:compatExt spid="_x0000_s41632"/>
                </a:ext>
                <a:ext uri="{FF2B5EF4-FFF2-40B4-BE49-F238E27FC236}">
                  <a16:creationId xmlns:a16="http://schemas.microsoft.com/office/drawing/2014/main" id="{00000000-0008-0000-0D00-0000A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68</xdr:row>
          <xdr:rowOff>28575</xdr:rowOff>
        </xdr:from>
        <xdr:to>
          <xdr:col>5</xdr:col>
          <xdr:colOff>447675</xdr:colOff>
          <xdr:row>69</xdr:row>
          <xdr:rowOff>0</xdr:rowOff>
        </xdr:to>
        <xdr:sp macro="" textlink="">
          <xdr:nvSpPr>
            <xdr:cNvPr id="41633" name="Check Box 673" hidden="1">
              <a:extLst>
                <a:ext uri="{63B3BB69-23CF-44E3-9099-C40C66FF867C}">
                  <a14:compatExt spid="_x0000_s41633"/>
                </a:ext>
                <a:ext uri="{FF2B5EF4-FFF2-40B4-BE49-F238E27FC236}">
                  <a16:creationId xmlns:a16="http://schemas.microsoft.com/office/drawing/2014/main" id="{00000000-0008-0000-0D00-0000A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68</xdr:row>
          <xdr:rowOff>28575</xdr:rowOff>
        </xdr:from>
        <xdr:to>
          <xdr:col>6</xdr:col>
          <xdr:colOff>419100</xdr:colOff>
          <xdr:row>69</xdr:row>
          <xdr:rowOff>0</xdr:rowOff>
        </xdr:to>
        <xdr:sp macro="" textlink="">
          <xdr:nvSpPr>
            <xdr:cNvPr id="41634" name="Check Box 674" hidden="1">
              <a:extLst>
                <a:ext uri="{63B3BB69-23CF-44E3-9099-C40C66FF867C}">
                  <a14:compatExt spid="_x0000_s41634"/>
                </a:ext>
                <a:ext uri="{FF2B5EF4-FFF2-40B4-BE49-F238E27FC236}">
                  <a16:creationId xmlns:a16="http://schemas.microsoft.com/office/drawing/2014/main" id="{00000000-0008-0000-0D00-0000A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68</xdr:row>
          <xdr:rowOff>28575</xdr:rowOff>
        </xdr:from>
        <xdr:to>
          <xdr:col>7</xdr:col>
          <xdr:colOff>419100</xdr:colOff>
          <xdr:row>69</xdr:row>
          <xdr:rowOff>0</xdr:rowOff>
        </xdr:to>
        <xdr:sp macro="" textlink="">
          <xdr:nvSpPr>
            <xdr:cNvPr id="41635" name="Check Box 675" hidden="1">
              <a:extLst>
                <a:ext uri="{63B3BB69-23CF-44E3-9099-C40C66FF867C}">
                  <a14:compatExt spid="_x0000_s41635"/>
                </a:ext>
                <a:ext uri="{FF2B5EF4-FFF2-40B4-BE49-F238E27FC236}">
                  <a16:creationId xmlns:a16="http://schemas.microsoft.com/office/drawing/2014/main" id="{00000000-0008-0000-0D00-0000A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68</xdr:row>
          <xdr:rowOff>28575</xdr:rowOff>
        </xdr:from>
        <xdr:to>
          <xdr:col>5</xdr:col>
          <xdr:colOff>447675</xdr:colOff>
          <xdr:row>69</xdr:row>
          <xdr:rowOff>0</xdr:rowOff>
        </xdr:to>
        <xdr:sp macro="" textlink="">
          <xdr:nvSpPr>
            <xdr:cNvPr id="41636" name="Check Box 676" hidden="1">
              <a:extLst>
                <a:ext uri="{63B3BB69-23CF-44E3-9099-C40C66FF867C}">
                  <a14:compatExt spid="_x0000_s41636"/>
                </a:ext>
                <a:ext uri="{FF2B5EF4-FFF2-40B4-BE49-F238E27FC236}">
                  <a16:creationId xmlns:a16="http://schemas.microsoft.com/office/drawing/2014/main" id="{00000000-0008-0000-0D00-0000A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68</xdr:row>
          <xdr:rowOff>28575</xdr:rowOff>
        </xdr:from>
        <xdr:to>
          <xdr:col>6</xdr:col>
          <xdr:colOff>419100</xdr:colOff>
          <xdr:row>69</xdr:row>
          <xdr:rowOff>0</xdr:rowOff>
        </xdr:to>
        <xdr:sp macro="" textlink="">
          <xdr:nvSpPr>
            <xdr:cNvPr id="41637" name="Check Box 677" hidden="1">
              <a:extLst>
                <a:ext uri="{63B3BB69-23CF-44E3-9099-C40C66FF867C}">
                  <a14:compatExt spid="_x0000_s41637"/>
                </a:ext>
                <a:ext uri="{FF2B5EF4-FFF2-40B4-BE49-F238E27FC236}">
                  <a16:creationId xmlns:a16="http://schemas.microsoft.com/office/drawing/2014/main" id="{00000000-0008-0000-0D00-0000A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68</xdr:row>
          <xdr:rowOff>28575</xdr:rowOff>
        </xdr:from>
        <xdr:to>
          <xdr:col>7</xdr:col>
          <xdr:colOff>419100</xdr:colOff>
          <xdr:row>69</xdr:row>
          <xdr:rowOff>0</xdr:rowOff>
        </xdr:to>
        <xdr:sp macro="" textlink="">
          <xdr:nvSpPr>
            <xdr:cNvPr id="41638" name="Check Box 678" hidden="1">
              <a:extLst>
                <a:ext uri="{63B3BB69-23CF-44E3-9099-C40C66FF867C}">
                  <a14:compatExt spid="_x0000_s41638"/>
                </a:ext>
                <a:ext uri="{FF2B5EF4-FFF2-40B4-BE49-F238E27FC236}">
                  <a16:creationId xmlns:a16="http://schemas.microsoft.com/office/drawing/2014/main" id="{00000000-0008-0000-0D00-0000A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69</xdr:row>
          <xdr:rowOff>28575</xdr:rowOff>
        </xdr:from>
        <xdr:to>
          <xdr:col>5</xdr:col>
          <xdr:colOff>447675</xdr:colOff>
          <xdr:row>70</xdr:row>
          <xdr:rowOff>0</xdr:rowOff>
        </xdr:to>
        <xdr:sp macro="" textlink="">
          <xdr:nvSpPr>
            <xdr:cNvPr id="41639" name="Check Box 679" hidden="1">
              <a:extLst>
                <a:ext uri="{63B3BB69-23CF-44E3-9099-C40C66FF867C}">
                  <a14:compatExt spid="_x0000_s41639"/>
                </a:ext>
                <a:ext uri="{FF2B5EF4-FFF2-40B4-BE49-F238E27FC236}">
                  <a16:creationId xmlns:a16="http://schemas.microsoft.com/office/drawing/2014/main" id="{00000000-0008-0000-0D00-0000A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69</xdr:row>
          <xdr:rowOff>28575</xdr:rowOff>
        </xdr:from>
        <xdr:to>
          <xdr:col>6</xdr:col>
          <xdr:colOff>419100</xdr:colOff>
          <xdr:row>70</xdr:row>
          <xdr:rowOff>0</xdr:rowOff>
        </xdr:to>
        <xdr:sp macro="" textlink="">
          <xdr:nvSpPr>
            <xdr:cNvPr id="41640" name="Check Box 680" hidden="1">
              <a:extLst>
                <a:ext uri="{63B3BB69-23CF-44E3-9099-C40C66FF867C}">
                  <a14:compatExt spid="_x0000_s41640"/>
                </a:ext>
                <a:ext uri="{FF2B5EF4-FFF2-40B4-BE49-F238E27FC236}">
                  <a16:creationId xmlns:a16="http://schemas.microsoft.com/office/drawing/2014/main" id="{00000000-0008-0000-0D00-0000A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69</xdr:row>
          <xdr:rowOff>28575</xdr:rowOff>
        </xdr:from>
        <xdr:to>
          <xdr:col>7</xdr:col>
          <xdr:colOff>419100</xdr:colOff>
          <xdr:row>70</xdr:row>
          <xdr:rowOff>0</xdr:rowOff>
        </xdr:to>
        <xdr:sp macro="" textlink="">
          <xdr:nvSpPr>
            <xdr:cNvPr id="41641" name="Check Box 681" hidden="1">
              <a:extLst>
                <a:ext uri="{63B3BB69-23CF-44E3-9099-C40C66FF867C}">
                  <a14:compatExt spid="_x0000_s41641"/>
                </a:ext>
                <a:ext uri="{FF2B5EF4-FFF2-40B4-BE49-F238E27FC236}">
                  <a16:creationId xmlns:a16="http://schemas.microsoft.com/office/drawing/2014/main" id="{00000000-0008-0000-0D00-0000A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69</xdr:row>
          <xdr:rowOff>28575</xdr:rowOff>
        </xdr:from>
        <xdr:to>
          <xdr:col>5</xdr:col>
          <xdr:colOff>447675</xdr:colOff>
          <xdr:row>70</xdr:row>
          <xdr:rowOff>0</xdr:rowOff>
        </xdr:to>
        <xdr:sp macro="" textlink="">
          <xdr:nvSpPr>
            <xdr:cNvPr id="41642" name="Check Box 682" hidden="1">
              <a:extLst>
                <a:ext uri="{63B3BB69-23CF-44E3-9099-C40C66FF867C}">
                  <a14:compatExt spid="_x0000_s41642"/>
                </a:ext>
                <a:ext uri="{FF2B5EF4-FFF2-40B4-BE49-F238E27FC236}">
                  <a16:creationId xmlns:a16="http://schemas.microsoft.com/office/drawing/2014/main" id="{00000000-0008-0000-0D00-0000A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69</xdr:row>
          <xdr:rowOff>28575</xdr:rowOff>
        </xdr:from>
        <xdr:to>
          <xdr:col>6</xdr:col>
          <xdr:colOff>419100</xdr:colOff>
          <xdr:row>70</xdr:row>
          <xdr:rowOff>0</xdr:rowOff>
        </xdr:to>
        <xdr:sp macro="" textlink="">
          <xdr:nvSpPr>
            <xdr:cNvPr id="41643" name="Check Box 683" hidden="1">
              <a:extLst>
                <a:ext uri="{63B3BB69-23CF-44E3-9099-C40C66FF867C}">
                  <a14:compatExt spid="_x0000_s41643"/>
                </a:ext>
                <a:ext uri="{FF2B5EF4-FFF2-40B4-BE49-F238E27FC236}">
                  <a16:creationId xmlns:a16="http://schemas.microsoft.com/office/drawing/2014/main" id="{00000000-0008-0000-0D00-0000A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69</xdr:row>
          <xdr:rowOff>28575</xdr:rowOff>
        </xdr:from>
        <xdr:to>
          <xdr:col>7</xdr:col>
          <xdr:colOff>419100</xdr:colOff>
          <xdr:row>70</xdr:row>
          <xdr:rowOff>0</xdr:rowOff>
        </xdr:to>
        <xdr:sp macro="" textlink="">
          <xdr:nvSpPr>
            <xdr:cNvPr id="41644" name="Check Box 684" hidden="1">
              <a:extLst>
                <a:ext uri="{63B3BB69-23CF-44E3-9099-C40C66FF867C}">
                  <a14:compatExt spid="_x0000_s41644"/>
                </a:ext>
                <a:ext uri="{FF2B5EF4-FFF2-40B4-BE49-F238E27FC236}">
                  <a16:creationId xmlns:a16="http://schemas.microsoft.com/office/drawing/2014/main" id="{00000000-0008-0000-0D00-0000A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657" name="Check Box 697" hidden="1">
              <a:extLst>
                <a:ext uri="{63B3BB69-23CF-44E3-9099-C40C66FF867C}">
                  <a14:compatExt spid="_x0000_s41657"/>
                </a:ext>
                <a:ext uri="{FF2B5EF4-FFF2-40B4-BE49-F238E27FC236}">
                  <a16:creationId xmlns:a16="http://schemas.microsoft.com/office/drawing/2014/main" id="{00000000-0008-0000-0D00-0000B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658" name="Check Box 698" hidden="1">
              <a:extLst>
                <a:ext uri="{63B3BB69-23CF-44E3-9099-C40C66FF867C}">
                  <a14:compatExt spid="_x0000_s41658"/>
                </a:ext>
                <a:ext uri="{FF2B5EF4-FFF2-40B4-BE49-F238E27FC236}">
                  <a16:creationId xmlns:a16="http://schemas.microsoft.com/office/drawing/2014/main" id="{00000000-0008-0000-0D00-0000B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659" name="Check Box 699" hidden="1">
              <a:extLst>
                <a:ext uri="{63B3BB69-23CF-44E3-9099-C40C66FF867C}">
                  <a14:compatExt spid="_x0000_s41659"/>
                </a:ext>
                <a:ext uri="{FF2B5EF4-FFF2-40B4-BE49-F238E27FC236}">
                  <a16:creationId xmlns:a16="http://schemas.microsoft.com/office/drawing/2014/main" id="{00000000-0008-0000-0D00-0000B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660" name="Check Box 700" hidden="1">
              <a:extLst>
                <a:ext uri="{63B3BB69-23CF-44E3-9099-C40C66FF867C}">
                  <a14:compatExt spid="_x0000_s41660"/>
                </a:ext>
                <a:ext uri="{FF2B5EF4-FFF2-40B4-BE49-F238E27FC236}">
                  <a16:creationId xmlns:a16="http://schemas.microsoft.com/office/drawing/2014/main" id="{00000000-0008-0000-0D00-0000B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661" name="Check Box 701" hidden="1">
              <a:extLst>
                <a:ext uri="{63B3BB69-23CF-44E3-9099-C40C66FF867C}">
                  <a14:compatExt spid="_x0000_s41661"/>
                </a:ext>
                <a:ext uri="{FF2B5EF4-FFF2-40B4-BE49-F238E27FC236}">
                  <a16:creationId xmlns:a16="http://schemas.microsoft.com/office/drawing/2014/main" id="{00000000-0008-0000-0D00-0000B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662" name="Check Box 702" hidden="1">
              <a:extLst>
                <a:ext uri="{63B3BB69-23CF-44E3-9099-C40C66FF867C}">
                  <a14:compatExt spid="_x0000_s41662"/>
                </a:ext>
                <a:ext uri="{FF2B5EF4-FFF2-40B4-BE49-F238E27FC236}">
                  <a16:creationId xmlns:a16="http://schemas.microsoft.com/office/drawing/2014/main" id="{00000000-0008-0000-0D00-0000B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663" name="Check Box 703" hidden="1">
              <a:extLst>
                <a:ext uri="{63B3BB69-23CF-44E3-9099-C40C66FF867C}">
                  <a14:compatExt spid="_x0000_s41663"/>
                </a:ext>
                <a:ext uri="{FF2B5EF4-FFF2-40B4-BE49-F238E27FC236}">
                  <a16:creationId xmlns:a16="http://schemas.microsoft.com/office/drawing/2014/main" id="{00000000-0008-0000-0D00-0000B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664" name="Check Box 704" hidden="1">
              <a:extLst>
                <a:ext uri="{63B3BB69-23CF-44E3-9099-C40C66FF867C}">
                  <a14:compatExt spid="_x0000_s41664"/>
                </a:ext>
                <a:ext uri="{FF2B5EF4-FFF2-40B4-BE49-F238E27FC236}">
                  <a16:creationId xmlns:a16="http://schemas.microsoft.com/office/drawing/2014/main" id="{00000000-0008-0000-0D00-0000C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665" name="Check Box 705" hidden="1">
              <a:extLst>
                <a:ext uri="{63B3BB69-23CF-44E3-9099-C40C66FF867C}">
                  <a14:compatExt spid="_x0000_s41665"/>
                </a:ext>
                <a:ext uri="{FF2B5EF4-FFF2-40B4-BE49-F238E27FC236}">
                  <a16:creationId xmlns:a16="http://schemas.microsoft.com/office/drawing/2014/main" id="{00000000-0008-0000-0D00-0000C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666" name="Check Box 706" hidden="1">
              <a:extLst>
                <a:ext uri="{63B3BB69-23CF-44E3-9099-C40C66FF867C}">
                  <a14:compatExt spid="_x0000_s41666"/>
                </a:ext>
                <a:ext uri="{FF2B5EF4-FFF2-40B4-BE49-F238E27FC236}">
                  <a16:creationId xmlns:a16="http://schemas.microsoft.com/office/drawing/2014/main" id="{00000000-0008-0000-0D00-0000C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667" name="Check Box 707" hidden="1">
              <a:extLst>
                <a:ext uri="{63B3BB69-23CF-44E3-9099-C40C66FF867C}">
                  <a14:compatExt spid="_x0000_s41667"/>
                </a:ext>
                <a:ext uri="{FF2B5EF4-FFF2-40B4-BE49-F238E27FC236}">
                  <a16:creationId xmlns:a16="http://schemas.microsoft.com/office/drawing/2014/main" id="{00000000-0008-0000-0D00-0000C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668" name="Check Box 708" hidden="1">
              <a:extLst>
                <a:ext uri="{63B3BB69-23CF-44E3-9099-C40C66FF867C}">
                  <a14:compatExt spid="_x0000_s41668"/>
                </a:ext>
                <a:ext uri="{FF2B5EF4-FFF2-40B4-BE49-F238E27FC236}">
                  <a16:creationId xmlns:a16="http://schemas.microsoft.com/office/drawing/2014/main" id="{00000000-0008-0000-0D00-0000C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9</xdr:row>
          <xdr:rowOff>28575</xdr:rowOff>
        </xdr:from>
        <xdr:to>
          <xdr:col>5</xdr:col>
          <xdr:colOff>447675</xdr:colOff>
          <xdr:row>10</xdr:row>
          <xdr:rowOff>0</xdr:rowOff>
        </xdr:to>
        <xdr:sp macro="" textlink="">
          <xdr:nvSpPr>
            <xdr:cNvPr id="41985" name="Check Box 1"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9</xdr:row>
          <xdr:rowOff>28575</xdr:rowOff>
        </xdr:from>
        <xdr:to>
          <xdr:col>6</xdr:col>
          <xdr:colOff>419100</xdr:colOff>
          <xdr:row>10</xdr:row>
          <xdr:rowOff>0</xdr:rowOff>
        </xdr:to>
        <xdr:sp macro="" textlink="">
          <xdr:nvSpPr>
            <xdr:cNvPr id="41986" name="Check Box 2" hidden="1">
              <a:extLst>
                <a:ext uri="{63B3BB69-23CF-44E3-9099-C40C66FF867C}">
                  <a14:compatExt spid="_x0000_s41986"/>
                </a:ext>
                <a:ext uri="{FF2B5EF4-FFF2-40B4-BE49-F238E27FC236}">
                  <a16:creationId xmlns:a16="http://schemas.microsoft.com/office/drawing/2014/main" id="{00000000-0008-0000-0E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9</xdr:row>
          <xdr:rowOff>28575</xdr:rowOff>
        </xdr:from>
        <xdr:to>
          <xdr:col>7</xdr:col>
          <xdr:colOff>419100</xdr:colOff>
          <xdr:row>10</xdr:row>
          <xdr:rowOff>0</xdr:rowOff>
        </xdr:to>
        <xdr:sp macro="" textlink="">
          <xdr:nvSpPr>
            <xdr:cNvPr id="41987" name="Check Box 3" hidden="1">
              <a:extLst>
                <a:ext uri="{63B3BB69-23CF-44E3-9099-C40C66FF867C}">
                  <a14:compatExt spid="_x0000_s41987"/>
                </a:ext>
                <a:ext uri="{FF2B5EF4-FFF2-40B4-BE49-F238E27FC236}">
                  <a16:creationId xmlns:a16="http://schemas.microsoft.com/office/drawing/2014/main" id="{00000000-0008-0000-0E00-00000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11</xdr:row>
          <xdr:rowOff>28575</xdr:rowOff>
        </xdr:from>
        <xdr:to>
          <xdr:col>5</xdr:col>
          <xdr:colOff>447675</xdr:colOff>
          <xdr:row>12</xdr:row>
          <xdr:rowOff>0</xdr:rowOff>
        </xdr:to>
        <xdr:sp macro="" textlink="">
          <xdr:nvSpPr>
            <xdr:cNvPr id="41988" name="Check Box 4" hidden="1">
              <a:extLst>
                <a:ext uri="{63B3BB69-23CF-44E3-9099-C40C66FF867C}">
                  <a14:compatExt spid="_x0000_s41988"/>
                </a:ext>
                <a:ext uri="{FF2B5EF4-FFF2-40B4-BE49-F238E27FC236}">
                  <a16:creationId xmlns:a16="http://schemas.microsoft.com/office/drawing/2014/main" id="{00000000-0008-0000-0E00-00000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11</xdr:row>
          <xdr:rowOff>28575</xdr:rowOff>
        </xdr:from>
        <xdr:to>
          <xdr:col>6</xdr:col>
          <xdr:colOff>419100</xdr:colOff>
          <xdr:row>12</xdr:row>
          <xdr:rowOff>0</xdr:rowOff>
        </xdr:to>
        <xdr:sp macro="" textlink="">
          <xdr:nvSpPr>
            <xdr:cNvPr id="41989" name="Check Box 5" hidden="1">
              <a:extLst>
                <a:ext uri="{63B3BB69-23CF-44E3-9099-C40C66FF867C}">
                  <a14:compatExt spid="_x0000_s41989"/>
                </a:ext>
                <a:ext uri="{FF2B5EF4-FFF2-40B4-BE49-F238E27FC236}">
                  <a16:creationId xmlns:a16="http://schemas.microsoft.com/office/drawing/2014/main" id="{00000000-0008-0000-0E00-00000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11</xdr:row>
          <xdr:rowOff>28575</xdr:rowOff>
        </xdr:from>
        <xdr:to>
          <xdr:col>7</xdr:col>
          <xdr:colOff>419100</xdr:colOff>
          <xdr:row>12</xdr:row>
          <xdr:rowOff>0</xdr:rowOff>
        </xdr:to>
        <xdr:sp macro="" textlink="">
          <xdr:nvSpPr>
            <xdr:cNvPr id="41990" name="Check Box 6" hidden="1">
              <a:extLst>
                <a:ext uri="{63B3BB69-23CF-44E3-9099-C40C66FF867C}">
                  <a14:compatExt spid="_x0000_s41990"/>
                </a:ext>
                <a:ext uri="{FF2B5EF4-FFF2-40B4-BE49-F238E27FC236}">
                  <a16:creationId xmlns:a16="http://schemas.microsoft.com/office/drawing/2014/main" id="{00000000-0008-0000-0E00-00000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17</xdr:row>
          <xdr:rowOff>28575</xdr:rowOff>
        </xdr:from>
        <xdr:to>
          <xdr:col>5</xdr:col>
          <xdr:colOff>447675</xdr:colOff>
          <xdr:row>18</xdr:row>
          <xdr:rowOff>0</xdr:rowOff>
        </xdr:to>
        <xdr:sp macro="" textlink="">
          <xdr:nvSpPr>
            <xdr:cNvPr id="41991" name="Check Box 7" hidden="1">
              <a:extLst>
                <a:ext uri="{63B3BB69-23CF-44E3-9099-C40C66FF867C}">
                  <a14:compatExt spid="_x0000_s41991"/>
                </a:ext>
                <a:ext uri="{FF2B5EF4-FFF2-40B4-BE49-F238E27FC236}">
                  <a16:creationId xmlns:a16="http://schemas.microsoft.com/office/drawing/2014/main" id="{00000000-0008-0000-0E00-00000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28575</xdr:rowOff>
        </xdr:from>
        <xdr:to>
          <xdr:col>6</xdr:col>
          <xdr:colOff>419100</xdr:colOff>
          <xdr:row>18</xdr:row>
          <xdr:rowOff>0</xdr:rowOff>
        </xdr:to>
        <xdr:sp macro="" textlink="">
          <xdr:nvSpPr>
            <xdr:cNvPr id="41992" name="Check Box 8" hidden="1">
              <a:extLst>
                <a:ext uri="{63B3BB69-23CF-44E3-9099-C40C66FF867C}">
                  <a14:compatExt spid="_x0000_s41992"/>
                </a:ext>
                <a:ext uri="{FF2B5EF4-FFF2-40B4-BE49-F238E27FC236}">
                  <a16:creationId xmlns:a16="http://schemas.microsoft.com/office/drawing/2014/main" id="{00000000-0008-0000-0E00-00000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28575</xdr:rowOff>
        </xdr:from>
        <xdr:to>
          <xdr:col>7</xdr:col>
          <xdr:colOff>419100</xdr:colOff>
          <xdr:row>18</xdr:row>
          <xdr:rowOff>0</xdr:rowOff>
        </xdr:to>
        <xdr:sp macro="" textlink="">
          <xdr:nvSpPr>
            <xdr:cNvPr id="41993" name="Check Box 9" hidden="1">
              <a:extLst>
                <a:ext uri="{63B3BB69-23CF-44E3-9099-C40C66FF867C}">
                  <a14:compatExt spid="_x0000_s41993"/>
                </a:ext>
                <a:ext uri="{FF2B5EF4-FFF2-40B4-BE49-F238E27FC236}">
                  <a16:creationId xmlns:a16="http://schemas.microsoft.com/office/drawing/2014/main" id="{00000000-0008-0000-0E00-00000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20</xdr:row>
          <xdr:rowOff>28575</xdr:rowOff>
        </xdr:from>
        <xdr:to>
          <xdr:col>5</xdr:col>
          <xdr:colOff>447675</xdr:colOff>
          <xdr:row>21</xdr:row>
          <xdr:rowOff>0</xdr:rowOff>
        </xdr:to>
        <xdr:sp macro="" textlink="">
          <xdr:nvSpPr>
            <xdr:cNvPr id="41994" name="Check Box 10" hidden="1">
              <a:extLst>
                <a:ext uri="{63B3BB69-23CF-44E3-9099-C40C66FF867C}">
                  <a14:compatExt spid="_x0000_s41994"/>
                </a:ext>
                <a:ext uri="{FF2B5EF4-FFF2-40B4-BE49-F238E27FC236}">
                  <a16:creationId xmlns:a16="http://schemas.microsoft.com/office/drawing/2014/main" id="{00000000-0008-0000-0E00-00000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20</xdr:row>
          <xdr:rowOff>28575</xdr:rowOff>
        </xdr:from>
        <xdr:to>
          <xdr:col>6</xdr:col>
          <xdr:colOff>419100</xdr:colOff>
          <xdr:row>21</xdr:row>
          <xdr:rowOff>0</xdr:rowOff>
        </xdr:to>
        <xdr:sp macro="" textlink="">
          <xdr:nvSpPr>
            <xdr:cNvPr id="41995" name="Check Box 11" hidden="1">
              <a:extLst>
                <a:ext uri="{63B3BB69-23CF-44E3-9099-C40C66FF867C}">
                  <a14:compatExt spid="_x0000_s41995"/>
                </a:ext>
                <a:ext uri="{FF2B5EF4-FFF2-40B4-BE49-F238E27FC236}">
                  <a16:creationId xmlns:a16="http://schemas.microsoft.com/office/drawing/2014/main" id="{00000000-0008-0000-0E00-00000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28575</xdr:rowOff>
        </xdr:from>
        <xdr:to>
          <xdr:col>7</xdr:col>
          <xdr:colOff>419100</xdr:colOff>
          <xdr:row>21</xdr:row>
          <xdr:rowOff>0</xdr:rowOff>
        </xdr:to>
        <xdr:sp macro="" textlink="">
          <xdr:nvSpPr>
            <xdr:cNvPr id="41996" name="Check Box 12" hidden="1">
              <a:extLst>
                <a:ext uri="{63B3BB69-23CF-44E3-9099-C40C66FF867C}">
                  <a14:compatExt spid="_x0000_s41996"/>
                </a:ext>
                <a:ext uri="{FF2B5EF4-FFF2-40B4-BE49-F238E27FC236}">
                  <a16:creationId xmlns:a16="http://schemas.microsoft.com/office/drawing/2014/main" id="{00000000-0008-0000-0E00-00000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12</xdr:row>
          <xdr:rowOff>28575</xdr:rowOff>
        </xdr:from>
        <xdr:to>
          <xdr:col>5</xdr:col>
          <xdr:colOff>447675</xdr:colOff>
          <xdr:row>13</xdr:row>
          <xdr:rowOff>0</xdr:rowOff>
        </xdr:to>
        <xdr:sp macro="" textlink="">
          <xdr:nvSpPr>
            <xdr:cNvPr id="41997" name="Check Box 13" hidden="1">
              <a:extLst>
                <a:ext uri="{63B3BB69-23CF-44E3-9099-C40C66FF867C}">
                  <a14:compatExt spid="_x0000_s41997"/>
                </a:ext>
                <a:ext uri="{FF2B5EF4-FFF2-40B4-BE49-F238E27FC236}">
                  <a16:creationId xmlns:a16="http://schemas.microsoft.com/office/drawing/2014/main" id="{00000000-0008-0000-0E00-00000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12</xdr:row>
          <xdr:rowOff>28575</xdr:rowOff>
        </xdr:from>
        <xdr:to>
          <xdr:col>6</xdr:col>
          <xdr:colOff>419100</xdr:colOff>
          <xdr:row>13</xdr:row>
          <xdr:rowOff>0</xdr:rowOff>
        </xdr:to>
        <xdr:sp macro="" textlink="">
          <xdr:nvSpPr>
            <xdr:cNvPr id="41998" name="Check Box 14" hidden="1">
              <a:extLst>
                <a:ext uri="{63B3BB69-23CF-44E3-9099-C40C66FF867C}">
                  <a14:compatExt spid="_x0000_s41998"/>
                </a:ext>
                <a:ext uri="{FF2B5EF4-FFF2-40B4-BE49-F238E27FC236}">
                  <a16:creationId xmlns:a16="http://schemas.microsoft.com/office/drawing/2014/main" id="{00000000-0008-0000-0E00-00000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12</xdr:row>
          <xdr:rowOff>28575</xdr:rowOff>
        </xdr:from>
        <xdr:to>
          <xdr:col>7</xdr:col>
          <xdr:colOff>419100</xdr:colOff>
          <xdr:row>13</xdr:row>
          <xdr:rowOff>0</xdr:rowOff>
        </xdr:to>
        <xdr:sp macro="" textlink="">
          <xdr:nvSpPr>
            <xdr:cNvPr id="41999" name="Check Box 15" hidden="1">
              <a:extLst>
                <a:ext uri="{63B3BB69-23CF-44E3-9099-C40C66FF867C}">
                  <a14:compatExt spid="_x0000_s41999"/>
                </a:ext>
                <a:ext uri="{FF2B5EF4-FFF2-40B4-BE49-F238E27FC236}">
                  <a16:creationId xmlns:a16="http://schemas.microsoft.com/office/drawing/2014/main" id="{00000000-0008-0000-0E00-00000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13</xdr:row>
          <xdr:rowOff>28575</xdr:rowOff>
        </xdr:from>
        <xdr:to>
          <xdr:col>5</xdr:col>
          <xdr:colOff>447675</xdr:colOff>
          <xdr:row>14</xdr:row>
          <xdr:rowOff>0</xdr:rowOff>
        </xdr:to>
        <xdr:sp macro="" textlink="">
          <xdr:nvSpPr>
            <xdr:cNvPr id="42000" name="Check Box 16" hidden="1">
              <a:extLst>
                <a:ext uri="{63B3BB69-23CF-44E3-9099-C40C66FF867C}">
                  <a14:compatExt spid="_x0000_s42000"/>
                </a:ext>
                <a:ext uri="{FF2B5EF4-FFF2-40B4-BE49-F238E27FC236}">
                  <a16:creationId xmlns:a16="http://schemas.microsoft.com/office/drawing/2014/main" id="{00000000-0008-0000-0E00-00001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13</xdr:row>
          <xdr:rowOff>28575</xdr:rowOff>
        </xdr:from>
        <xdr:to>
          <xdr:col>6</xdr:col>
          <xdr:colOff>419100</xdr:colOff>
          <xdr:row>14</xdr:row>
          <xdr:rowOff>0</xdr:rowOff>
        </xdr:to>
        <xdr:sp macro="" textlink="">
          <xdr:nvSpPr>
            <xdr:cNvPr id="42001" name="Check Box 17" hidden="1">
              <a:extLst>
                <a:ext uri="{63B3BB69-23CF-44E3-9099-C40C66FF867C}">
                  <a14:compatExt spid="_x0000_s42001"/>
                </a:ext>
                <a:ext uri="{FF2B5EF4-FFF2-40B4-BE49-F238E27FC236}">
                  <a16:creationId xmlns:a16="http://schemas.microsoft.com/office/drawing/2014/main" id="{00000000-0008-0000-0E00-00001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28575</xdr:rowOff>
        </xdr:from>
        <xdr:to>
          <xdr:col>7</xdr:col>
          <xdr:colOff>419100</xdr:colOff>
          <xdr:row>14</xdr:row>
          <xdr:rowOff>0</xdr:rowOff>
        </xdr:to>
        <xdr:sp macro="" textlink="">
          <xdr:nvSpPr>
            <xdr:cNvPr id="42002" name="Check Box 18" hidden="1">
              <a:extLst>
                <a:ext uri="{63B3BB69-23CF-44E3-9099-C40C66FF867C}">
                  <a14:compatExt spid="_x0000_s42002"/>
                </a:ext>
                <a:ext uri="{FF2B5EF4-FFF2-40B4-BE49-F238E27FC236}">
                  <a16:creationId xmlns:a16="http://schemas.microsoft.com/office/drawing/2014/main" id="{00000000-0008-0000-0E00-00001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409575</xdr:colOff>
          <xdr:row>14</xdr:row>
          <xdr:rowOff>180975</xdr:rowOff>
        </xdr:to>
        <xdr:sp macro="" textlink="">
          <xdr:nvSpPr>
            <xdr:cNvPr id="42003" name="Check Box 19" hidden="1">
              <a:extLst>
                <a:ext uri="{63B3BB69-23CF-44E3-9099-C40C66FF867C}">
                  <a14:compatExt spid="_x0000_s42003"/>
                </a:ext>
                <a:ext uri="{FF2B5EF4-FFF2-40B4-BE49-F238E27FC236}">
                  <a16:creationId xmlns:a16="http://schemas.microsoft.com/office/drawing/2014/main" id="{00000000-0008-0000-0E00-00001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2004" name="Check Box 20" hidden="1">
              <a:extLst>
                <a:ext uri="{63B3BB69-23CF-44E3-9099-C40C66FF867C}">
                  <a14:compatExt spid="_x0000_s42004"/>
                </a:ext>
                <a:ext uri="{FF2B5EF4-FFF2-40B4-BE49-F238E27FC236}">
                  <a16:creationId xmlns:a16="http://schemas.microsoft.com/office/drawing/2014/main" id="{00000000-0008-0000-0E00-00001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2005" name="Check Box 21" hidden="1">
              <a:extLst>
                <a:ext uri="{63B3BB69-23CF-44E3-9099-C40C66FF867C}">
                  <a14:compatExt spid="_x0000_s42005"/>
                </a:ext>
                <a:ext uri="{FF2B5EF4-FFF2-40B4-BE49-F238E27FC236}">
                  <a16:creationId xmlns:a16="http://schemas.microsoft.com/office/drawing/2014/main" id="{00000000-0008-0000-0E00-00001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0</xdr:rowOff>
        </xdr:from>
        <xdr:to>
          <xdr:col>5</xdr:col>
          <xdr:colOff>447675</xdr:colOff>
          <xdr:row>15</xdr:row>
          <xdr:rowOff>0</xdr:rowOff>
        </xdr:to>
        <xdr:sp macro="" textlink="">
          <xdr:nvSpPr>
            <xdr:cNvPr id="42015" name="Check Box 31" hidden="1">
              <a:extLst>
                <a:ext uri="{63B3BB69-23CF-44E3-9099-C40C66FF867C}">
                  <a14:compatExt spid="_x0000_s42015"/>
                </a:ext>
                <a:ext uri="{FF2B5EF4-FFF2-40B4-BE49-F238E27FC236}">
                  <a16:creationId xmlns:a16="http://schemas.microsoft.com/office/drawing/2014/main" id="{00000000-0008-0000-0E00-00001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0</xdr:rowOff>
        </xdr:from>
        <xdr:to>
          <xdr:col>6</xdr:col>
          <xdr:colOff>419100</xdr:colOff>
          <xdr:row>15</xdr:row>
          <xdr:rowOff>0</xdr:rowOff>
        </xdr:to>
        <xdr:sp macro="" textlink="">
          <xdr:nvSpPr>
            <xdr:cNvPr id="42016" name="Check Box 32" hidden="1">
              <a:extLst>
                <a:ext uri="{63B3BB69-23CF-44E3-9099-C40C66FF867C}">
                  <a14:compatExt spid="_x0000_s42016"/>
                </a:ext>
                <a:ext uri="{FF2B5EF4-FFF2-40B4-BE49-F238E27FC236}">
                  <a16:creationId xmlns:a16="http://schemas.microsoft.com/office/drawing/2014/main" id="{00000000-0008-0000-0E00-00002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0</xdr:rowOff>
        </xdr:from>
        <xdr:to>
          <xdr:col>7</xdr:col>
          <xdr:colOff>419100</xdr:colOff>
          <xdr:row>15</xdr:row>
          <xdr:rowOff>0</xdr:rowOff>
        </xdr:to>
        <xdr:sp macro="" textlink="">
          <xdr:nvSpPr>
            <xdr:cNvPr id="42017" name="Check Box 33" hidden="1">
              <a:extLst>
                <a:ext uri="{63B3BB69-23CF-44E3-9099-C40C66FF867C}">
                  <a14:compatExt spid="_x0000_s42017"/>
                </a:ext>
                <a:ext uri="{FF2B5EF4-FFF2-40B4-BE49-F238E27FC236}">
                  <a16:creationId xmlns:a16="http://schemas.microsoft.com/office/drawing/2014/main" id="{00000000-0008-0000-0E00-00002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018" name="Check Box 34" hidden="1">
              <a:extLst>
                <a:ext uri="{63B3BB69-23CF-44E3-9099-C40C66FF867C}">
                  <a14:compatExt spid="_x0000_s42018"/>
                </a:ext>
                <a:ext uri="{FF2B5EF4-FFF2-40B4-BE49-F238E27FC236}">
                  <a16:creationId xmlns:a16="http://schemas.microsoft.com/office/drawing/2014/main" id="{00000000-0008-0000-0E00-00002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019" name="Check Box 35" hidden="1">
              <a:extLst>
                <a:ext uri="{63B3BB69-23CF-44E3-9099-C40C66FF867C}">
                  <a14:compatExt spid="_x0000_s42019"/>
                </a:ext>
                <a:ext uri="{FF2B5EF4-FFF2-40B4-BE49-F238E27FC236}">
                  <a16:creationId xmlns:a16="http://schemas.microsoft.com/office/drawing/2014/main" id="{00000000-0008-0000-0E00-00002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020" name="Check Box 36" hidden="1">
              <a:extLst>
                <a:ext uri="{63B3BB69-23CF-44E3-9099-C40C66FF867C}">
                  <a14:compatExt spid="_x0000_s42020"/>
                </a:ext>
                <a:ext uri="{FF2B5EF4-FFF2-40B4-BE49-F238E27FC236}">
                  <a16:creationId xmlns:a16="http://schemas.microsoft.com/office/drawing/2014/main" id="{00000000-0008-0000-0E00-00002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17</xdr:row>
          <xdr:rowOff>28575</xdr:rowOff>
        </xdr:from>
        <xdr:to>
          <xdr:col>5</xdr:col>
          <xdr:colOff>447675</xdr:colOff>
          <xdr:row>18</xdr:row>
          <xdr:rowOff>0</xdr:rowOff>
        </xdr:to>
        <xdr:sp macro="" textlink="">
          <xdr:nvSpPr>
            <xdr:cNvPr id="42021" name="Check Box 37" hidden="1">
              <a:extLst>
                <a:ext uri="{63B3BB69-23CF-44E3-9099-C40C66FF867C}">
                  <a14:compatExt spid="_x0000_s42021"/>
                </a:ext>
                <a:ext uri="{FF2B5EF4-FFF2-40B4-BE49-F238E27FC236}">
                  <a16:creationId xmlns:a16="http://schemas.microsoft.com/office/drawing/2014/main" id="{00000000-0008-0000-0E00-00002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28575</xdr:rowOff>
        </xdr:from>
        <xdr:to>
          <xdr:col>6</xdr:col>
          <xdr:colOff>419100</xdr:colOff>
          <xdr:row>18</xdr:row>
          <xdr:rowOff>0</xdr:rowOff>
        </xdr:to>
        <xdr:sp macro="" textlink="">
          <xdr:nvSpPr>
            <xdr:cNvPr id="42022" name="Check Box 38" hidden="1">
              <a:extLst>
                <a:ext uri="{63B3BB69-23CF-44E3-9099-C40C66FF867C}">
                  <a14:compatExt spid="_x0000_s42022"/>
                </a:ext>
                <a:ext uri="{FF2B5EF4-FFF2-40B4-BE49-F238E27FC236}">
                  <a16:creationId xmlns:a16="http://schemas.microsoft.com/office/drawing/2014/main" id="{00000000-0008-0000-0E00-00002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28575</xdr:rowOff>
        </xdr:from>
        <xdr:to>
          <xdr:col>7</xdr:col>
          <xdr:colOff>419100</xdr:colOff>
          <xdr:row>18</xdr:row>
          <xdr:rowOff>0</xdr:rowOff>
        </xdr:to>
        <xdr:sp macro="" textlink="">
          <xdr:nvSpPr>
            <xdr:cNvPr id="42023" name="Check Box 39" hidden="1">
              <a:extLst>
                <a:ext uri="{63B3BB69-23CF-44E3-9099-C40C66FF867C}">
                  <a14:compatExt spid="_x0000_s42023"/>
                </a:ext>
                <a:ext uri="{FF2B5EF4-FFF2-40B4-BE49-F238E27FC236}">
                  <a16:creationId xmlns:a16="http://schemas.microsoft.com/office/drawing/2014/main" id="{00000000-0008-0000-0E00-00002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0</xdr:rowOff>
        </xdr:from>
        <xdr:to>
          <xdr:col>5</xdr:col>
          <xdr:colOff>447675</xdr:colOff>
          <xdr:row>18</xdr:row>
          <xdr:rowOff>0</xdr:rowOff>
        </xdr:to>
        <xdr:sp macro="" textlink="">
          <xdr:nvSpPr>
            <xdr:cNvPr id="42030" name="Check Box 46" hidden="1">
              <a:extLst>
                <a:ext uri="{63B3BB69-23CF-44E3-9099-C40C66FF867C}">
                  <a14:compatExt spid="_x0000_s42030"/>
                </a:ext>
                <a:ext uri="{FF2B5EF4-FFF2-40B4-BE49-F238E27FC236}">
                  <a16:creationId xmlns:a16="http://schemas.microsoft.com/office/drawing/2014/main" id="{00000000-0008-0000-0E00-00002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0</xdr:rowOff>
        </xdr:from>
        <xdr:to>
          <xdr:col>6</xdr:col>
          <xdr:colOff>419100</xdr:colOff>
          <xdr:row>18</xdr:row>
          <xdr:rowOff>0</xdr:rowOff>
        </xdr:to>
        <xdr:sp macro="" textlink="">
          <xdr:nvSpPr>
            <xdr:cNvPr id="42031" name="Check Box 47" hidden="1">
              <a:extLst>
                <a:ext uri="{63B3BB69-23CF-44E3-9099-C40C66FF867C}">
                  <a14:compatExt spid="_x0000_s42031"/>
                </a:ext>
                <a:ext uri="{FF2B5EF4-FFF2-40B4-BE49-F238E27FC236}">
                  <a16:creationId xmlns:a16="http://schemas.microsoft.com/office/drawing/2014/main" id="{00000000-0008-0000-0E00-00002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0</xdr:rowOff>
        </xdr:from>
        <xdr:to>
          <xdr:col>7</xdr:col>
          <xdr:colOff>419100</xdr:colOff>
          <xdr:row>18</xdr:row>
          <xdr:rowOff>0</xdr:rowOff>
        </xdr:to>
        <xdr:sp macro="" textlink="">
          <xdr:nvSpPr>
            <xdr:cNvPr id="42032" name="Check Box 48" hidden="1">
              <a:extLst>
                <a:ext uri="{63B3BB69-23CF-44E3-9099-C40C66FF867C}">
                  <a14:compatExt spid="_x0000_s42032"/>
                </a:ext>
                <a:ext uri="{FF2B5EF4-FFF2-40B4-BE49-F238E27FC236}">
                  <a16:creationId xmlns:a16="http://schemas.microsoft.com/office/drawing/2014/main" id="{00000000-0008-0000-0E00-00003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0</xdr:rowOff>
        </xdr:from>
        <xdr:to>
          <xdr:col>5</xdr:col>
          <xdr:colOff>447675</xdr:colOff>
          <xdr:row>18</xdr:row>
          <xdr:rowOff>0</xdr:rowOff>
        </xdr:to>
        <xdr:sp macro="" textlink="">
          <xdr:nvSpPr>
            <xdr:cNvPr id="42033" name="Check Box 49" hidden="1">
              <a:extLst>
                <a:ext uri="{63B3BB69-23CF-44E3-9099-C40C66FF867C}">
                  <a14:compatExt spid="_x0000_s42033"/>
                </a:ext>
                <a:ext uri="{FF2B5EF4-FFF2-40B4-BE49-F238E27FC236}">
                  <a16:creationId xmlns:a16="http://schemas.microsoft.com/office/drawing/2014/main" id="{00000000-0008-0000-0E00-00003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0</xdr:rowOff>
        </xdr:from>
        <xdr:to>
          <xdr:col>6</xdr:col>
          <xdr:colOff>419100</xdr:colOff>
          <xdr:row>18</xdr:row>
          <xdr:rowOff>0</xdr:rowOff>
        </xdr:to>
        <xdr:sp macro="" textlink="">
          <xdr:nvSpPr>
            <xdr:cNvPr id="42034" name="Check Box 50" hidden="1">
              <a:extLst>
                <a:ext uri="{63B3BB69-23CF-44E3-9099-C40C66FF867C}">
                  <a14:compatExt spid="_x0000_s42034"/>
                </a:ext>
                <a:ext uri="{FF2B5EF4-FFF2-40B4-BE49-F238E27FC236}">
                  <a16:creationId xmlns:a16="http://schemas.microsoft.com/office/drawing/2014/main" id="{00000000-0008-0000-0E00-00003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0</xdr:rowOff>
        </xdr:from>
        <xdr:to>
          <xdr:col>7</xdr:col>
          <xdr:colOff>419100</xdr:colOff>
          <xdr:row>18</xdr:row>
          <xdr:rowOff>0</xdr:rowOff>
        </xdr:to>
        <xdr:sp macro="" textlink="">
          <xdr:nvSpPr>
            <xdr:cNvPr id="42035" name="Check Box 51" hidden="1">
              <a:extLst>
                <a:ext uri="{63B3BB69-23CF-44E3-9099-C40C66FF867C}">
                  <a14:compatExt spid="_x0000_s42035"/>
                </a:ext>
                <a:ext uri="{FF2B5EF4-FFF2-40B4-BE49-F238E27FC236}">
                  <a16:creationId xmlns:a16="http://schemas.microsoft.com/office/drawing/2014/main" id="{00000000-0008-0000-0E00-00003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28575</xdr:rowOff>
        </xdr:from>
        <xdr:to>
          <xdr:col>5</xdr:col>
          <xdr:colOff>447675</xdr:colOff>
          <xdr:row>19</xdr:row>
          <xdr:rowOff>0</xdr:rowOff>
        </xdr:to>
        <xdr:sp macro="" textlink="">
          <xdr:nvSpPr>
            <xdr:cNvPr id="42036" name="Check Box 52" hidden="1">
              <a:extLst>
                <a:ext uri="{63B3BB69-23CF-44E3-9099-C40C66FF867C}">
                  <a14:compatExt spid="_x0000_s42036"/>
                </a:ext>
                <a:ext uri="{FF2B5EF4-FFF2-40B4-BE49-F238E27FC236}">
                  <a16:creationId xmlns:a16="http://schemas.microsoft.com/office/drawing/2014/main" id="{00000000-0008-0000-0E00-00003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28575</xdr:rowOff>
        </xdr:from>
        <xdr:to>
          <xdr:col>6</xdr:col>
          <xdr:colOff>419100</xdr:colOff>
          <xdr:row>19</xdr:row>
          <xdr:rowOff>0</xdr:rowOff>
        </xdr:to>
        <xdr:sp macro="" textlink="">
          <xdr:nvSpPr>
            <xdr:cNvPr id="42037" name="Check Box 53" hidden="1">
              <a:extLst>
                <a:ext uri="{63B3BB69-23CF-44E3-9099-C40C66FF867C}">
                  <a14:compatExt spid="_x0000_s42037"/>
                </a:ext>
                <a:ext uri="{FF2B5EF4-FFF2-40B4-BE49-F238E27FC236}">
                  <a16:creationId xmlns:a16="http://schemas.microsoft.com/office/drawing/2014/main" id="{00000000-0008-0000-0E00-00003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28575</xdr:rowOff>
        </xdr:from>
        <xdr:to>
          <xdr:col>7</xdr:col>
          <xdr:colOff>419100</xdr:colOff>
          <xdr:row>19</xdr:row>
          <xdr:rowOff>0</xdr:rowOff>
        </xdr:to>
        <xdr:sp macro="" textlink="">
          <xdr:nvSpPr>
            <xdr:cNvPr id="42038" name="Check Box 54" hidden="1">
              <a:extLst>
                <a:ext uri="{63B3BB69-23CF-44E3-9099-C40C66FF867C}">
                  <a14:compatExt spid="_x0000_s42038"/>
                </a:ext>
                <a:ext uri="{FF2B5EF4-FFF2-40B4-BE49-F238E27FC236}">
                  <a16:creationId xmlns:a16="http://schemas.microsoft.com/office/drawing/2014/main" id="{00000000-0008-0000-0E00-00003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20</xdr:row>
          <xdr:rowOff>28575</xdr:rowOff>
        </xdr:from>
        <xdr:to>
          <xdr:col>5</xdr:col>
          <xdr:colOff>447675</xdr:colOff>
          <xdr:row>21</xdr:row>
          <xdr:rowOff>0</xdr:rowOff>
        </xdr:to>
        <xdr:sp macro="" textlink="">
          <xdr:nvSpPr>
            <xdr:cNvPr id="42039" name="Check Box 55" hidden="1">
              <a:extLst>
                <a:ext uri="{63B3BB69-23CF-44E3-9099-C40C66FF867C}">
                  <a14:compatExt spid="_x0000_s42039"/>
                </a:ext>
                <a:ext uri="{FF2B5EF4-FFF2-40B4-BE49-F238E27FC236}">
                  <a16:creationId xmlns:a16="http://schemas.microsoft.com/office/drawing/2014/main" id="{00000000-0008-0000-0E00-00003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20</xdr:row>
          <xdr:rowOff>28575</xdr:rowOff>
        </xdr:from>
        <xdr:to>
          <xdr:col>6</xdr:col>
          <xdr:colOff>419100</xdr:colOff>
          <xdr:row>21</xdr:row>
          <xdr:rowOff>0</xdr:rowOff>
        </xdr:to>
        <xdr:sp macro="" textlink="">
          <xdr:nvSpPr>
            <xdr:cNvPr id="42040" name="Check Box 56" hidden="1">
              <a:extLst>
                <a:ext uri="{63B3BB69-23CF-44E3-9099-C40C66FF867C}">
                  <a14:compatExt spid="_x0000_s42040"/>
                </a:ext>
                <a:ext uri="{FF2B5EF4-FFF2-40B4-BE49-F238E27FC236}">
                  <a16:creationId xmlns:a16="http://schemas.microsoft.com/office/drawing/2014/main" id="{00000000-0008-0000-0E00-00003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28575</xdr:rowOff>
        </xdr:from>
        <xdr:to>
          <xdr:col>7</xdr:col>
          <xdr:colOff>419100</xdr:colOff>
          <xdr:row>21</xdr:row>
          <xdr:rowOff>0</xdr:rowOff>
        </xdr:to>
        <xdr:sp macro="" textlink="">
          <xdr:nvSpPr>
            <xdr:cNvPr id="42041" name="Check Box 57" hidden="1">
              <a:extLst>
                <a:ext uri="{63B3BB69-23CF-44E3-9099-C40C66FF867C}">
                  <a14:compatExt spid="_x0000_s42041"/>
                </a:ext>
                <a:ext uri="{FF2B5EF4-FFF2-40B4-BE49-F238E27FC236}">
                  <a16:creationId xmlns:a16="http://schemas.microsoft.com/office/drawing/2014/main" id="{00000000-0008-0000-0E00-00003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2042" name="Check Box 58" hidden="1">
              <a:extLst>
                <a:ext uri="{63B3BB69-23CF-44E3-9099-C40C66FF867C}">
                  <a14:compatExt spid="_x0000_s42042"/>
                </a:ext>
                <a:ext uri="{FF2B5EF4-FFF2-40B4-BE49-F238E27FC236}">
                  <a16:creationId xmlns:a16="http://schemas.microsoft.com/office/drawing/2014/main" id="{00000000-0008-0000-0E00-00003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2043" name="Check Box 59" hidden="1">
              <a:extLst>
                <a:ext uri="{63B3BB69-23CF-44E3-9099-C40C66FF867C}">
                  <a14:compatExt spid="_x0000_s42043"/>
                </a:ext>
                <a:ext uri="{FF2B5EF4-FFF2-40B4-BE49-F238E27FC236}">
                  <a16:creationId xmlns:a16="http://schemas.microsoft.com/office/drawing/2014/main" id="{00000000-0008-0000-0E00-00003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2044" name="Check Box 60" hidden="1">
              <a:extLst>
                <a:ext uri="{63B3BB69-23CF-44E3-9099-C40C66FF867C}">
                  <a14:compatExt spid="_x0000_s42044"/>
                </a:ext>
                <a:ext uri="{FF2B5EF4-FFF2-40B4-BE49-F238E27FC236}">
                  <a16:creationId xmlns:a16="http://schemas.microsoft.com/office/drawing/2014/main" id="{00000000-0008-0000-0E00-00003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2045" name="Check Box 61" hidden="1">
              <a:extLst>
                <a:ext uri="{63B3BB69-23CF-44E3-9099-C40C66FF867C}">
                  <a14:compatExt spid="_x0000_s42045"/>
                </a:ext>
                <a:ext uri="{FF2B5EF4-FFF2-40B4-BE49-F238E27FC236}">
                  <a16:creationId xmlns:a16="http://schemas.microsoft.com/office/drawing/2014/main" id="{00000000-0008-0000-0E00-00003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2046" name="Check Box 62" hidden="1">
              <a:extLst>
                <a:ext uri="{63B3BB69-23CF-44E3-9099-C40C66FF867C}">
                  <a14:compatExt spid="_x0000_s42046"/>
                </a:ext>
                <a:ext uri="{FF2B5EF4-FFF2-40B4-BE49-F238E27FC236}">
                  <a16:creationId xmlns:a16="http://schemas.microsoft.com/office/drawing/2014/main" id="{00000000-0008-0000-0E00-00003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2047" name="Check Box 63" hidden="1">
              <a:extLst>
                <a:ext uri="{63B3BB69-23CF-44E3-9099-C40C66FF867C}">
                  <a14:compatExt spid="_x0000_s42047"/>
                </a:ext>
                <a:ext uri="{FF2B5EF4-FFF2-40B4-BE49-F238E27FC236}">
                  <a16:creationId xmlns:a16="http://schemas.microsoft.com/office/drawing/2014/main" id="{00000000-0008-0000-0E00-00003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2048" name="Check Box 64" hidden="1">
              <a:extLst>
                <a:ext uri="{63B3BB69-23CF-44E3-9099-C40C66FF867C}">
                  <a14:compatExt spid="_x0000_s42048"/>
                </a:ext>
                <a:ext uri="{FF2B5EF4-FFF2-40B4-BE49-F238E27FC236}">
                  <a16:creationId xmlns:a16="http://schemas.microsoft.com/office/drawing/2014/main" id="{00000000-0008-0000-0E00-00004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2049" name="Check Box 65" hidden="1">
              <a:extLst>
                <a:ext uri="{63B3BB69-23CF-44E3-9099-C40C66FF867C}">
                  <a14:compatExt spid="_x0000_s42049"/>
                </a:ext>
                <a:ext uri="{FF2B5EF4-FFF2-40B4-BE49-F238E27FC236}">
                  <a16:creationId xmlns:a16="http://schemas.microsoft.com/office/drawing/2014/main" id="{00000000-0008-0000-0E00-00004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2050" name="Check Box 66" hidden="1">
              <a:extLst>
                <a:ext uri="{63B3BB69-23CF-44E3-9099-C40C66FF867C}">
                  <a14:compatExt spid="_x0000_s42050"/>
                </a:ext>
                <a:ext uri="{FF2B5EF4-FFF2-40B4-BE49-F238E27FC236}">
                  <a16:creationId xmlns:a16="http://schemas.microsoft.com/office/drawing/2014/main" id="{00000000-0008-0000-0E00-00004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2051" name="Check Box 67" hidden="1">
              <a:extLst>
                <a:ext uri="{63B3BB69-23CF-44E3-9099-C40C66FF867C}">
                  <a14:compatExt spid="_x0000_s42051"/>
                </a:ext>
                <a:ext uri="{FF2B5EF4-FFF2-40B4-BE49-F238E27FC236}">
                  <a16:creationId xmlns:a16="http://schemas.microsoft.com/office/drawing/2014/main" id="{00000000-0008-0000-0E00-00004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2052" name="Check Box 68" hidden="1">
              <a:extLst>
                <a:ext uri="{63B3BB69-23CF-44E3-9099-C40C66FF867C}">
                  <a14:compatExt spid="_x0000_s42052"/>
                </a:ext>
                <a:ext uri="{FF2B5EF4-FFF2-40B4-BE49-F238E27FC236}">
                  <a16:creationId xmlns:a16="http://schemas.microsoft.com/office/drawing/2014/main" id="{00000000-0008-0000-0E00-00004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2053" name="Check Box 69" hidden="1">
              <a:extLst>
                <a:ext uri="{63B3BB69-23CF-44E3-9099-C40C66FF867C}">
                  <a14:compatExt spid="_x0000_s42053"/>
                </a:ext>
                <a:ext uri="{FF2B5EF4-FFF2-40B4-BE49-F238E27FC236}">
                  <a16:creationId xmlns:a16="http://schemas.microsoft.com/office/drawing/2014/main" id="{00000000-0008-0000-0E00-00004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0</xdr:rowOff>
        </xdr:from>
        <xdr:to>
          <xdr:col>5</xdr:col>
          <xdr:colOff>447675</xdr:colOff>
          <xdr:row>25</xdr:row>
          <xdr:rowOff>0</xdr:rowOff>
        </xdr:to>
        <xdr:sp macro="" textlink="">
          <xdr:nvSpPr>
            <xdr:cNvPr id="42054" name="Check Box 70" hidden="1">
              <a:extLst>
                <a:ext uri="{63B3BB69-23CF-44E3-9099-C40C66FF867C}">
                  <a14:compatExt spid="_x0000_s42054"/>
                </a:ext>
                <a:ext uri="{FF2B5EF4-FFF2-40B4-BE49-F238E27FC236}">
                  <a16:creationId xmlns:a16="http://schemas.microsoft.com/office/drawing/2014/main" id="{00000000-0008-0000-0E00-00004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0</xdr:rowOff>
        </xdr:from>
        <xdr:to>
          <xdr:col>6</xdr:col>
          <xdr:colOff>419100</xdr:colOff>
          <xdr:row>25</xdr:row>
          <xdr:rowOff>0</xdr:rowOff>
        </xdr:to>
        <xdr:sp macro="" textlink="">
          <xdr:nvSpPr>
            <xdr:cNvPr id="42055" name="Check Box 71" hidden="1">
              <a:extLst>
                <a:ext uri="{63B3BB69-23CF-44E3-9099-C40C66FF867C}">
                  <a14:compatExt spid="_x0000_s42055"/>
                </a:ext>
                <a:ext uri="{FF2B5EF4-FFF2-40B4-BE49-F238E27FC236}">
                  <a16:creationId xmlns:a16="http://schemas.microsoft.com/office/drawing/2014/main" id="{00000000-0008-0000-0E00-00004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0</xdr:rowOff>
        </xdr:from>
        <xdr:to>
          <xdr:col>7</xdr:col>
          <xdr:colOff>419100</xdr:colOff>
          <xdr:row>25</xdr:row>
          <xdr:rowOff>0</xdr:rowOff>
        </xdr:to>
        <xdr:sp macro="" textlink="">
          <xdr:nvSpPr>
            <xdr:cNvPr id="42056" name="Check Box 72" hidden="1">
              <a:extLst>
                <a:ext uri="{63B3BB69-23CF-44E3-9099-C40C66FF867C}">
                  <a14:compatExt spid="_x0000_s42056"/>
                </a:ext>
                <a:ext uri="{FF2B5EF4-FFF2-40B4-BE49-F238E27FC236}">
                  <a16:creationId xmlns:a16="http://schemas.microsoft.com/office/drawing/2014/main" id="{00000000-0008-0000-0E00-00004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0</xdr:rowOff>
        </xdr:from>
        <xdr:to>
          <xdr:col>5</xdr:col>
          <xdr:colOff>447675</xdr:colOff>
          <xdr:row>25</xdr:row>
          <xdr:rowOff>0</xdr:rowOff>
        </xdr:to>
        <xdr:sp macro="" textlink="">
          <xdr:nvSpPr>
            <xdr:cNvPr id="42057" name="Check Box 73" hidden="1">
              <a:extLst>
                <a:ext uri="{63B3BB69-23CF-44E3-9099-C40C66FF867C}">
                  <a14:compatExt spid="_x0000_s42057"/>
                </a:ext>
                <a:ext uri="{FF2B5EF4-FFF2-40B4-BE49-F238E27FC236}">
                  <a16:creationId xmlns:a16="http://schemas.microsoft.com/office/drawing/2014/main" id="{00000000-0008-0000-0E00-00004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0</xdr:rowOff>
        </xdr:from>
        <xdr:to>
          <xdr:col>6</xdr:col>
          <xdr:colOff>419100</xdr:colOff>
          <xdr:row>25</xdr:row>
          <xdr:rowOff>0</xdr:rowOff>
        </xdr:to>
        <xdr:sp macro="" textlink="">
          <xdr:nvSpPr>
            <xdr:cNvPr id="42058" name="Check Box 74" hidden="1">
              <a:extLst>
                <a:ext uri="{63B3BB69-23CF-44E3-9099-C40C66FF867C}">
                  <a14:compatExt spid="_x0000_s42058"/>
                </a:ext>
                <a:ext uri="{FF2B5EF4-FFF2-40B4-BE49-F238E27FC236}">
                  <a16:creationId xmlns:a16="http://schemas.microsoft.com/office/drawing/2014/main" id="{00000000-0008-0000-0E00-00004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0</xdr:rowOff>
        </xdr:from>
        <xdr:to>
          <xdr:col>7</xdr:col>
          <xdr:colOff>419100</xdr:colOff>
          <xdr:row>25</xdr:row>
          <xdr:rowOff>0</xdr:rowOff>
        </xdr:to>
        <xdr:sp macro="" textlink="">
          <xdr:nvSpPr>
            <xdr:cNvPr id="42059" name="Check Box 75" hidden="1">
              <a:extLst>
                <a:ext uri="{63B3BB69-23CF-44E3-9099-C40C66FF867C}">
                  <a14:compatExt spid="_x0000_s42059"/>
                </a:ext>
                <a:ext uri="{FF2B5EF4-FFF2-40B4-BE49-F238E27FC236}">
                  <a16:creationId xmlns:a16="http://schemas.microsoft.com/office/drawing/2014/main" id="{00000000-0008-0000-0E00-00004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28575</xdr:rowOff>
        </xdr:from>
        <xdr:to>
          <xdr:col>5</xdr:col>
          <xdr:colOff>447675</xdr:colOff>
          <xdr:row>26</xdr:row>
          <xdr:rowOff>0</xdr:rowOff>
        </xdr:to>
        <xdr:sp macro="" textlink="">
          <xdr:nvSpPr>
            <xdr:cNvPr id="42060" name="Check Box 76" hidden="1">
              <a:extLst>
                <a:ext uri="{63B3BB69-23CF-44E3-9099-C40C66FF867C}">
                  <a14:compatExt spid="_x0000_s42060"/>
                </a:ext>
                <a:ext uri="{FF2B5EF4-FFF2-40B4-BE49-F238E27FC236}">
                  <a16:creationId xmlns:a16="http://schemas.microsoft.com/office/drawing/2014/main" id="{00000000-0008-0000-0E00-00004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28575</xdr:rowOff>
        </xdr:from>
        <xdr:to>
          <xdr:col>6</xdr:col>
          <xdr:colOff>419100</xdr:colOff>
          <xdr:row>26</xdr:row>
          <xdr:rowOff>0</xdr:rowOff>
        </xdr:to>
        <xdr:sp macro="" textlink="">
          <xdr:nvSpPr>
            <xdr:cNvPr id="42061" name="Check Box 77" hidden="1">
              <a:extLst>
                <a:ext uri="{63B3BB69-23CF-44E3-9099-C40C66FF867C}">
                  <a14:compatExt spid="_x0000_s42061"/>
                </a:ext>
                <a:ext uri="{FF2B5EF4-FFF2-40B4-BE49-F238E27FC236}">
                  <a16:creationId xmlns:a16="http://schemas.microsoft.com/office/drawing/2014/main" id="{00000000-0008-0000-0E00-00004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28575</xdr:rowOff>
        </xdr:from>
        <xdr:to>
          <xdr:col>7</xdr:col>
          <xdr:colOff>419100</xdr:colOff>
          <xdr:row>26</xdr:row>
          <xdr:rowOff>0</xdr:rowOff>
        </xdr:to>
        <xdr:sp macro="" textlink="">
          <xdr:nvSpPr>
            <xdr:cNvPr id="42062" name="Check Box 78" hidden="1">
              <a:extLst>
                <a:ext uri="{63B3BB69-23CF-44E3-9099-C40C66FF867C}">
                  <a14:compatExt spid="_x0000_s42062"/>
                </a:ext>
                <a:ext uri="{FF2B5EF4-FFF2-40B4-BE49-F238E27FC236}">
                  <a16:creationId xmlns:a16="http://schemas.microsoft.com/office/drawing/2014/main" id="{00000000-0008-0000-0E00-00004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28575</xdr:rowOff>
        </xdr:from>
        <xdr:to>
          <xdr:col>5</xdr:col>
          <xdr:colOff>447675</xdr:colOff>
          <xdr:row>26</xdr:row>
          <xdr:rowOff>0</xdr:rowOff>
        </xdr:to>
        <xdr:sp macro="" textlink="">
          <xdr:nvSpPr>
            <xdr:cNvPr id="42063" name="Check Box 79" hidden="1">
              <a:extLst>
                <a:ext uri="{63B3BB69-23CF-44E3-9099-C40C66FF867C}">
                  <a14:compatExt spid="_x0000_s42063"/>
                </a:ext>
                <a:ext uri="{FF2B5EF4-FFF2-40B4-BE49-F238E27FC236}">
                  <a16:creationId xmlns:a16="http://schemas.microsoft.com/office/drawing/2014/main" id="{00000000-0008-0000-0E00-00004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28575</xdr:rowOff>
        </xdr:from>
        <xdr:to>
          <xdr:col>6</xdr:col>
          <xdr:colOff>419100</xdr:colOff>
          <xdr:row>26</xdr:row>
          <xdr:rowOff>0</xdr:rowOff>
        </xdr:to>
        <xdr:sp macro="" textlink="">
          <xdr:nvSpPr>
            <xdr:cNvPr id="42064" name="Check Box 80" hidden="1">
              <a:extLst>
                <a:ext uri="{63B3BB69-23CF-44E3-9099-C40C66FF867C}">
                  <a14:compatExt spid="_x0000_s42064"/>
                </a:ext>
                <a:ext uri="{FF2B5EF4-FFF2-40B4-BE49-F238E27FC236}">
                  <a16:creationId xmlns:a16="http://schemas.microsoft.com/office/drawing/2014/main" id="{00000000-0008-0000-0E00-00005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28575</xdr:rowOff>
        </xdr:from>
        <xdr:to>
          <xdr:col>7</xdr:col>
          <xdr:colOff>419100</xdr:colOff>
          <xdr:row>26</xdr:row>
          <xdr:rowOff>0</xdr:rowOff>
        </xdr:to>
        <xdr:sp macro="" textlink="">
          <xdr:nvSpPr>
            <xdr:cNvPr id="42065" name="Check Box 81" hidden="1">
              <a:extLst>
                <a:ext uri="{63B3BB69-23CF-44E3-9099-C40C66FF867C}">
                  <a14:compatExt spid="_x0000_s42065"/>
                </a:ext>
                <a:ext uri="{FF2B5EF4-FFF2-40B4-BE49-F238E27FC236}">
                  <a16:creationId xmlns:a16="http://schemas.microsoft.com/office/drawing/2014/main" id="{00000000-0008-0000-0E00-00005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2066" name="Check Box 82" hidden="1">
              <a:extLst>
                <a:ext uri="{63B3BB69-23CF-44E3-9099-C40C66FF867C}">
                  <a14:compatExt spid="_x0000_s42066"/>
                </a:ext>
                <a:ext uri="{FF2B5EF4-FFF2-40B4-BE49-F238E27FC236}">
                  <a16:creationId xmlns:a16="http://schemas.microsoft.com/office/drawing/2014/main" id="{00000000-0008-0000-0E00-00005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2067" name="Check Box 83" hidden="1">
              <a:extLst>
                <a:ext uri="{63B3BB69-23CF-44E3-9099-C40C66FF867C}">
                  <a14:compatExt spid="_x0000_s42067"/>
                </a:ext>
                <a:ext uri="{FF2B5EF4-FFF2-40B4-BE49-F238E27FC236}">
                  <a16:creationId xmlns:a16="http://schemas.microsoft.com/office/drawing/2014/main" id="{00000000-0008-0000-0E00-00005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2068" name="Check Box 84" hidden="1">
              <a:extLst>
                <a:ext uri="{63B3BB69-23CF-44E3-9099-C40C66FF867C}">
                  <a14:compatExt spid="_x0000_s42068"/>
                </a:ext>
                <a:ext uri="{FF2B5EF4-FFF2-40B4-BE49-F238E27FC236}">
                  <a16:creationId xmlns:a16="http://schemas.microsoft.com/office/drawing/2014/main" id="{00000000-0008-0000-0E00-00005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2069" name="Check Box 85" hidden="1">
              <a:extLst>
                <a:ext uri="{63B3BB69-23CF-44E3-9099-C40C66FF867C}">
                  <a14:compatExt spid="_x0000_s42069"/>
                </a:ext>
                <a:ext uri="{FF2B5EF4-FFF2-40B4-BE49-F238E27FC236}">
                  <a16:creationId xmlns:a16="http://schemas.microsoft.com/office/drawing/2014/main" id="{00000000-0008-0000-0E00-00005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2070" name="Check Box 86" hidden="1">
              <a:extLst>
                <a:ext uri="{63B3BB69-23CF-44E3-9099-C40C66FF867C}">
                  <a14:compatExt spid="_x0000_s42070"/>
                </a:ext>
                <a:ext uri="{FF2B5EF4-FFF2-40B4-BE49-F238E27FC236}">
                  <a16:creationId xmlns:a16="http://schemas.microsoft.com/office/drawing/2014/main" id="{00000000-0008-0000-0E00-00005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2071" name="Check Box 87" hidden="1">
              <a:extLst>
                <a:ext uri="{63B3BB69-23CF-44E3-9099-C40C66FF867C}">
                  <a14:compatExt spid="_x0000_s42071"/>
                </a:ext>
                <a:ext uri="{FF2B5EF4-FFF2-40B4-BE49-F238E27FC236}">
                  <a16:creationId xmlns:a16="http://schemas.microsoft.com/office/drawing/2014/main" id="{00000000-0008-0000-0E00-00005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2072" name="Check Box 88" hidden="1">
              <a:extLst>
                <a:ext uri="{63B3BB69-23CF-44E3-9099-C40C66FF867C}">
                  <a14:compatExt spid="_x0000_s42072"/>
                </a:ext>
                <a:ext uri="{FF2B5EF4-FFF2-40B4-BE49-F238E27FC236}">
                  <a16:creationId xmlns:a16="http://schemas.microsoft.com/office/drawing/2014/main" id="{00000000-0008-0000-0E00-00005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2073" name="Check Box 89" hidden="1">
              <a:extLst>
                <a:ext uri="{63B3BB69-23CF-44E3-9099-C40C66FF867C}">
                  <a14:compatExt spid="_x0000_s42073"/>
                </a:ext>
                <a:ext uri="{FF2B5EF4-FFF2-40B4-BE49-F238E27FC236}">
                  <a16:creationId xmlns:a16="http://schemas.microsoft.com/office/drawing/2014/main" id="{00000000-0008-0000-0E00-00005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2074" name="Check Box 90" hidden="1">
              <a:extLst>
                <a:ext uri="{63B3BB69-23CF-44E3-9099-C40C66FF867C}">
                  <a14:compatExt spid="_x0000_s42074"/>
                </a:ext>
                <a:ext uri="{FF2B5EF4-FFF2-40B4-BE49-F238E27FC236}">
                  <a16:creationId xmlns:a16="http://schemas.microsoft.com/office/drawing/2014/main" id="{00000000-0008-0000-0E00-00005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2075" name="Check Box 91" hidden="1">
              <a:extLst>
                <a:ext uri="{63B3BB69-23CF-44E3-9099-C40C66FF867C}">
                  <a14:compatExt spid="_x0000_s42075"/>
                </a:ext>
                <a:ext uri="{FF2B5EF4-FFF2-40B4-BE49-F238E27FC236}">
                  <a16:creationId xmlns:a16="http://schemas.microsoft.com/office/drawing/2014/main" id="{00000000-0008-0000-0E00-00005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2076" name="Check Box 92" hidden="1">
              <a:extLst>
                <a:ext uri="{63B3BB69-23CF-44E3-9099-C40C66FF867C}">
                  <a14:compatExt spid="_x0000_s42076"/>
                </a:ext>
                <a:ext uri="{FF2B5EF4-FFF2-40B4-BE49-F238E27FC236}">
                  <a16:creationId xmlns:a16="http://schemas.microsoft.com/office/drawing/2014/main" id="{00000000-0008-0000-0E00-00005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2077" name="Check Box 93" hidden="1">
              <a:extLst>
                <a:ext uri="{63B3BB69-23CF-44E3-9099-C40C66FF867C}">
                  <a14:compatExt spid="_x0000_s42077"/>
                </a:ext>
                <a:ext uri="{FF2B5EF4-FFF2-40B4-BE49-F238E27FC236}">
                  <a16:creationId xmlns:a16="http://schemas.microsoft.com/office/drawing/2014/main" id="{00000000-0008-0000-0E00-00005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2078" name="Check Box 94" hidden="1">
              <a:extLst>
                <a:ext uri="{63B3BB69-23CF-44E3-9099-C40C66FF867C}">
                  <a14:compatExt spid="_x0000_s42078"/>
                </a:ext>
                <a:ext uri="{FF2B5EF4-FFF2-40B4-BE49-F238E27FC236}">
                  <a16:creationId xmlns:a16="http://schemas.microsoft.com/office/drawing/2014/main" id="{00000000-0008-0000-0E00-00005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2079" name="Check Box 95" hidden="1">
              <a:extLst>
                <a:ext uri="{63B3BB69-23CF-44E3-9099-C40C66FF867C}">
                  <a14:compatExt spid="_x0000_s42079"/>
                </a:ext>
                <a:ext uri="{FF2B5EF4-FFF2-40B4-BE49-F238E27FC236}">
                  <a16:creationId xmlns:a16="http://schemas.microsoft.com/office/drawing/2014/main" id="{00000000-0008-0000-0E00-00005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2080" name="Check Box 96" hidden="1">
              <a:extLst>
                <a:ext uri="{63B3BB69-23CF-44E3-9099-C40C66FF867C}">
                  <a14:compatExt spid="_x0000_s42080"/>
                </a:ext>
                <a:ext uri="{FF2B5EF4-FFF2-40B4-BE49-F238E27FC236}">
                  <a16:creationId xmlns:a16="http://schemas.microsoft.com/office/drawing/2014/main" id="{00000000-0008-0000-0E00-00006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2081" name="Check Box 97" hidden="1">
              <a:extLst>
                <a:ext uri="{63B3BB69-23CF-44E3-9099-C40C66FF867C}">
                  <a14:compatExt spid="_x0000_s42081"/>
                </a:ext>
                <a:ext uri="{FF2B5EF4-FFF2-40B4-BE49-F238E27FC236}">
                  <a16:creationId xmlns:a16="http://schemas.microsoft.com/office/drawing/2014/main" id="{00000000-0008-0000-0E00-00006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2082" name="Check Box 98" hidden="1">
              <a:extLst>
                <a:ext uri="{63B3BB69-23CF-44E3-9099-C40C66FF867C}">
                  <a14:compatExt spid="_x0000_s42082"/>
                </a:ext>
                <a:ext uri="{FF2B5EF4-FFF2-40B4-BE49-F238E27FC236}">
                  <a16:creationId xmlns:a16="http://schemas.microsoft.com/office/drawing/2014/main" id="{00000000-0008-0000-0E00-00006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2083" name="Check Box 99" hidden="1">
              <a:extLst>
                <a:ext uri="{63B3BB69-23CF-44E3-9099-C40C66FF867C}">
                  <a14:compatExt spid="_x0000_s42083"/>
                </a:ext>
                <a:ext uri="{FF2B5EF4-FFF2-40B4-BE49-F238E27FC236}">
                  <a16:creationId xmlns:a16="http://schemas.microsoft.com/office/drawing/2014/main" id="{00000000-0008-0000-0E00-00006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2084" name="Check Box 100" hidden="1">
              <a:extLst>
                <a:ext uri="{63B3BB69-23CF-44E3-9099-C40C66FF867C}">
                  <a14:compatExt spid="_x0000_s42084"/>
                </a:ext>
                <a:ext uri="{FF2B5EF4-FFF2-40B4-BE49-F238E27FC236}">
                  <a16:creationId xmlns:a16="http://schemas.microsoft.com/office/drawing/2014/main" id="{00000000-0008-0000-0E00-00006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2085" name="Check Box 101" hidden="1">
              <a:extLst>
                <a:ext uri="{63B3BB69-23CF-44E3-9099-C40C66FF867C}">
                  <a14:compatExt spid="_x0000_s42085"/>
                </a:ext>
                <a:ext uri="{FF2B5EF4-FFF2-40B4-BE49-F238E27FC236}">
                  <a16:creationId xmlns:a16="http://schemas.microsoft.com/office/drawing/2014/main" id="{00000000-0008-0000-0E00-00006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2086" name="Check Box 102" hidden="1">
              <a:extLst>
                <a:ext uri="{63B3BB69-23CF-44E3-9099-C40C66FF867C}">
                  <a14:compatExt spid="_x0000_s42086"/>
                </a:ext>
                <a:ext uri="{FF2B5EF4-FFF2-40B4-BE49-F238E27FC236}">
                  <a16:creationId xmlns:a16="http://schemas.microsoft.com/office/drawing/2014/main" id="{00000000-0008-0000-0E00-00006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2087" name="Check Box 103" hidden="1">
              <a:extLst>
                <a:ext uri="{63B3BB69-23CF-44E3-9099-C40C66FF867C}">
                  <a14:compatExt spid="_x0000_s42087"/>
                </a:ext>
                <a:ext uri="{FF2B5EF4-FFF2-40B4-BE49-F238E27FC236}">
                  <a16:creationId xmlns:a16="http://schemas.microsoft.com/office/drawing/2014/main" id="{00000000-0008-0000-0E00-00006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2088" name="Check Box 104" hidden="1">
              <a:extLst>
                <a:ext uri="{63B3BB69-23CF-44E3-9099-C40C66FF867C}">
                  <a14:compatExt spid="_x0000_s42088"/>
                </a:ext>
                <a:ext uri="{FF2B5EF4-FFF2-40B4-BE49-F238E27FC236}">
                  <a16:creationId xmlns:a16="http://schemas.microsoft.com/office/drawing/2014/main" id="{00000000-0008-0000-0E00-00006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2089" name="Check Box 105" hidden="1">
              <a:extLst>
                <a:ext uri="{63B3BB69-23CF-44E3-9099-C40C66FF867C}">
                  <a14:compatExt spid="_x0000_s42089"/>
                </a:ext>
                <a:ext uri="{FF2B5EF4-FFF2-40B4-BE49-F238E27FC236}">
                  <a16:creationId xmlns:a16="http://schemas.microsoft.com/office/drawing/2014/main" id="{00000000-0008-0000-0E00-00006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2090" name="Check Box 106" hidden="1">
              <a:extLst>
                <a:ext uri="{63B3BB69-23CF-44E3-9099-C40C66FF867C}">
                  <a14:compatExt spid="_x0000_s42090"/>
                </a:ext>
                <a:ext uri="{FF2B5EF4-FFF2-40B4-BE49-F238E27FC236}">
                  <a16:creationId xmlns:a16="http://schemas.microsoft.com/office/drawing/2014/main" id="{00000000-0008-0000-0E00-00006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2091" name="Check Box 107" hidden="1">
              <a:extLst>
                <a:ext uri="{63B3BB69-23CF-44E3-9099-C40C66FF867C}">
                  <a14:compatExt spid="_x0000_s42091"/>
                </a:ext>
                <a:ext uri="{FF2B5EF4-FFF2-40B4-BE49-F238E27FC236}">
                  <a16:creationId xmlns:a16="http://schemas.microsoft.com/office/drawing/2014/main" id="{00000000-0008-0000-0E00-00006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2092" name="Check Box 108" hidden="1">
              <a:extLst>
                <a:ext uri="{63B3BB69-23CF-44E3-9099-C40C66FF867C}">
                  <a14:compatExt spid="_x0000_s42092"/>
                </a:ext>
                <a:ext uri="{FF2B5EF4-FFF2-40B4-BE49-F238E27FC236}">
                  <a16:creationId xmlns:a16="http://schemas.microsoft.com/office/drawing/2014/main" id="{00000000-0008-0000-0E00-00006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2093" name="Check Box 109" hidden="1">
              <a:extLst>
                <a:ext uri="{63B3BB69-23CF-44E3-9099-C40C66FF867C}">
                  <a14:compatExt spid="_x0000_s42093"/>
                </a:ext>
                <a:ext uri="{FF2B5EF4-FFF2-40B4-BE49-F238E27FC236}">
                  <a16:creationId xmlns:a16="http://schemas.microsoft.com/office/drawing/2014/main" id="{00000000-0008-0000-0E00-00006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2094" name="Check Box 110" hidden="1">
              <a:extLst>
                <a:ext uri="{63B3BB69-23CF-44E3-9099-C40C66FF867C}">
                  <a14:compatExt spid="_x0000_s42094"/>
                </a:ext>
                <a:ext uri="{FF2B5EF4-FFF2-40B4-BE49-F238E27FC236}">
                  <a16:creationId xmlns:a16="http://schemas.microsoft.com/office/drawing/2014/main" id="{00000000-0008-0000-0E00-00006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2095" name="Check Box 111" hidden="1">
              <a:extLst>
                <a:ext uri="{63B3BB69-23CF-44E3-9099-C40C66FF867C}">
                  <a14:compatExt spid="_x0000_s42095"/>
                </a:ext>
                <a:ext uri="{FF2B5EF4-FFF2-40B4-BE49-F238E27FC236}">
                  <a16:creationId xmlns:a16="http://schemas.microsoft.com/office/drawing/2014/main" id="{00000000-0008-0000-0E00-00006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33</xdr:row>
          <xdr:rowOff>28575</xdr:rowOff>
        </xdr:from>
        <xdr:to>
          <xdr:col>5</xdr:col>
          <xdr:colOff>447675</xdr:colOff>
          <xdr:row>34</xdr:row>
          <xdr:rowOff>0</xdr:rowOff>
        </xdr:to>
        <xdr:sp macro="" textlink="">
          <xdr:nvSpPr>
            <xdr:cNvPr id="42096" name="Check Box 112" hidden="1">
              <a:extLst>
                <a:ext uri="{63B3BB69-23CF-44E3-9099-C40C66FF867C}">
                  <a14:compatExt spid="_x0000_s42096"/>
                </a:ext>
                <a:ext uri="{FF2B5EF4-FFF2-40B4-BE49-F238E27FC236}">
                  <a16:creationId xmlns:a16="http://schemas.microsoft.com/office/drawing/2014/main" id="{00000000-0008-0000-0E00-00007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33</xdr:row>
          <xdr:rowOff>28575</xdr:rowOff>
        </xdr:from>
        <xdr:to>
          <xdr:col>6</xdr:col>
          <xdr:colOff>419100</xdr:colOff>
          <xdr:row>34</xdr:row>
          <xdr:rowOff>0</xdr:rowOff>
        </xdr:to>
        <xdr:sp macro="" textlink="">
          <xdr:nvSpPr>
            <xdr:cNvPr id="42097" name="Check Box 113" hidden="1">
              <a:extLst>
                <a:ext uri="{63B3BB69-23CF-44E3-9099-C40C66FF867C}">
                  <a14:compatExt spid="_x0000_s42097"/>
                </a:ext>
                <a:ext uri="{FF2B5EF4-FFF2-40B4-BE49-F238E27FC236}">
                  <a16:creationId xmlns:a16="http://schemas.microsoft.com/office/drawing/2014/main" id="{00000000-0008-0000-0E00-00007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28575</xdr:rowOff>
        </xdr:from>
        <xdr:to>
          <xdr:col>7</xdr:col>
          <xdr:colOff>419100</xdr:colOff>
          <xdr:row>34</xdr:row>
          <xdr:rowOff>0</xdr:rowOff>
        </xdr:to>
        <xdr:sp macro="" textlink="">
          <xdr:nvSpPr>
            <xdr:cNvPr id="42098" name="Check Box 114" hidden="1">
              <a:extLst>
                <a:ext uri="{63B3BB69-23CF-44E3-9099-C40C66FF867C}">
                  <a14:compatExt spid="_x0000_s42098"/>
                </a:ext>
                <a:ext uri="{FF2B5EF4-FFF2-40B4-BE49-F238E27FC236}">
                  <a16:creationId xmlns:a16="http://schemas.microsoft.com/office/drawing/2014/main" id="{00000000-0008-0000-0E00-00007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33</xdr:row>
          <xdr:rowOff>28575</xdr:rowOff>
        </xdr:from>
        <xdr:to>
          <xdr:col>5</xdr:col>
          <xdr:colOff>447675</xdr:colOff>
          <xdr:row>34</xdr:row>
          <xdr:rowOff>0</xdr:rowOff>
        </xdr:to>
        <xdr:sp macro="" textlink="">
          <xdr:nvSpPr>
            <xdr:cNvPr id="42099" name="Check Box 115" hidden="1">
              <a:extLst>
                <a:ext uri="{63B3BB69-23CF-44E3-9099-C40C66FF867C}">
                  <a14:compatExt spid="_x0000_s42099"/>
                </a:ext>
                <a:ext uri="{FF2B5EF4-FFF2-40B4-BE49-F238E27FC236}">
                  <a16:creationId xmlns:a16="http://schemas.microsoft.com/office/drawing/2014/main" id="{00000000-0008-0000-0E00-00007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33</xdr:row>
          <xdr:rowOff>28575</xdr:rowOff>
        </xdr:from>
        <xdr:to>
          <xdr:col>6</xdr:col>
          <xdr:colOff>419100</xdr:colOff>
          <xdr:row>34</xdr:row>
          <xdr:rowOff>0</xdr:rowOff>
        </xdr:to>
        <xdr:sp macro="" textlink="">
          <xdr:nvSpPr>
            <xdr:cNvPr id="42100" name="Check Box 116" hidden="1">
              <a:extLst>
                <a:ext uri="{63B3BB69-23CF-44E3-9099-C40C66FF867C}">
                  <a14:compatExt spid="_x0000_s42100"/>
                </a:ext>
                <a:ext uri="{FF2B5EF4-FFF2-40B4-BE49-F238E27FC236}">
                  <a16:creationId xmlns:a16="http://schemas.microsoft.com/office/drawing/2014/main" id="{00000000-0008-0000-0E00-00007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28575</xdr:rowOff>
        </xdr:from>
        <xdr:to>
          <xdr:col>7</xdr:col>
          <xdr:colOff>419100</xdr:colOff>
          <xdr:row>34</xdr:row>
          <xdr:rowOff>0</xdr:rowOff>
        </xdr:to>
        <xdr:sp macro="" textlink="">
          <xdr:nvSpPr>
            <xdr:cNvPr id="42101" name="Check Box 117" hidden="1">
              <a:extLst>
                <a:ext uri="{63B3BB69-23CF-44E3-9099-C40C66FF867C}">
                  <a14:compatExt spid="_x0000_s42101"/>
                </a:ext>
                <a:ext uri="{FF2B5EF4-FFF2-40B4-BE49-F238E27FC236}">
                  <a16:creationId xmlns:a16="http://schemas.microsoft.com/office/drawing/2014/main" id="{00000000-0008-0000-0E00-00007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2102" name="Check Box 118" hidden="1">
              <a:extLst>
                <a:ext uri="{63B3BB69-23CF-44E3-9099-C40C66FF867C}">
                  <a14:compatExt spid="_x0000_s42102"/>
                </a:ext>
                <a:ext uri="{FF2B5EF4-FFF2-40B4-BE49-F238E27FC236}">
                  <a16:creationId xmlns:a16="http://schemas.microsoft.com/office/drawing/2014/main" id="{00000000-0008-0000-0E00-00007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2103" name="Check Box 119" hidden="1">
              <a:extLst>
                <a:ext uri="{63B3BB69-23CF-44E3-9099-C40C66FF867C}">
                  <a14:compatExt spid="_x0000_s42103"/>
                </a:ext>
                <a:ext uri="{FF2B5EF4-FFF2-40B4-BE49-F238E27FC236}">
                  <a16:creationId xmlns:a16="http://schemas.microsoft.com/office/drawing/2014/main" id="{00000000-0008-0000-0E00-00007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2104" name="Check Box 120" hidden="1">
              <a:extLst>
                <a:ext uri="{63B3BB69-23CF-44E3-9099-C40C66FF867C}">
                  <a14:compatExt spid="_x0000_s42104"/>
                </a:ext>
                <a:ext uri="{FF2B5EF4-FFF2-40B4-BE49-F238E27FC236}">
                  <a16:creationId xmlns:a16="http://schemas.microsoft.com/office/drawing/2014/main" id="{00000000-0008-0000-0E00-00007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2105" name="Check Box 121" hidden="1">
              <a:extLst>
                <a:ext uri="{63B3BB69-23CF-44E3-9099-C40C66FF867C}">
                  <a14:compatExt spid="_x0000_s42105"/>
                </a:ext>
                <a:ext uri="{FF2B5EF4-FFF2-40B4-BE49-F238E27FC236}">
                  <a16:creationId xmlns:a16="http://schemas.microsoft.com/office/drawing/2014/main" id="{00000000-0008-0000-0E00-00007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2106" name="Check Box 122" hidden="1">
              <a:extLst>
                <a:ext uri="{63B3BB69-23CF-44E3-9099-C40C66FF867C}">
                  <a14:compatExt spid="_x0000_s42106"/>
                </a:ext>
                <a:ext uri="{FF2B5EF4-FFF2-40B4-BE49-F238E27FC236}">
                  <a16:creationId xmlns:a16="http://schemas.microsoft.com/office/drawing/2014/main" id="{00000000-0008-0000-0E00-00007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2107" name="Check Box 123" hidden="1">
              <a:extLst>
                <a:ext uri="{63B3BB69-23CF-44E3-9099-C40C66FF867C}">
                  <a14:compatExt spid="_x0000_s42107"/>
                </a:ext>
                <a:ext uri="{FF2B5EF4-FFF2-40B4-BE49-F238E27FC236}">
                  <a16:creationId xmlns:a16="http://schemas.microsoft.com/office/drawing/2014/main" id="{00000000-0008-0000-0E00-00007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2108" name="Check Box 124" hidden="1">
              <a:extLst>
                <a:ext uri="{63B3BB69-23CF-44E3-9099-C40C66FF867C}">
                  <a14:compatExt spid="_x0000_s42108"/>
                </a:ext>
                <a:ext uri="{FF2B5EF4-FFF2-40B4-BE49-F238E27FC236}">
                  <a16:creationId xmlns:a16="http://schemas.microsoft.com/office/drawing/2014/main" id="{00000000-0008-0000-0E00-00007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2109" name="Check Box 125" hidden="1">
              <a:extLst>
                <a:ext uri="{63B3BB69-23CF-44E3-9099-C40C66FF867C}">
                  <a14:compatExt spid="_x0000_s42109"/>
                </a:ext>
                <a:ext uri="{FF2B5EF4-FFF2-40B4-BE49-F238E27FC236}">
                  <a16:creationId xmlns:a16="http://schemas.microsoft.com/office/drawing/2014/main" id="{00000000-0008-0000-0E00-00007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2110" name="Check Box 126" hidden="1">
              <a:extLst>
                <a:ext uri="{63B3BB69-23CF-44E3-9099-C40C66FF867C}">
                  <a14:compatExt spid="_x0000_s42110"/>
                </a:ext>
                <a:ext uri="{FF2B5EF4-FFF2-40B4-BE49-F238E27FC236}">
                  <a16:creationId xmlns:a16="http://schemas.microsoft.com/office/drawing/2014/main" id="{00000000-0008-0000-0E00-00007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2111" name="Check Box 127" hidden="1">
              <a:extLst>
                <a:ext uri="{63B3BB69-23CF-44E3-9099-C40C66FF867C}">
                  <a14:compatExt spid="_x0000_s42111"/>
                </a:ext>
                <a:ext uri="{FF2B5EF4-FFF2-40B4-BE49-F238E27FC236}">
                  <a16:creationId xmlns:a16="http://schemas.microsoft.com/office/drawing/2014/main" id="{00000000-0008-0000-0E00-00007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2112" name="Check Box 128" hidden="1">
              <a:extLst>
                <a:ext uri="{63B3BB69-23CF-44E3-9099-C40C66FF867C}">
                  <a14:compatExt spid="_x0000_s42112"/>
                </a:ext>
                <a:ext uri="{FF2B5EF4-FFF2-40B4-BE49-F238E27FC236}">
                  <a16:creationId xmlns:a16="http://schemas.microsoft.com/office/drawing/2014/main" id="{00000000-0008-0000-0E00-00008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2113" name="Check Box 129" hidden="1">
              <a:extLst>
                <a:ext uri="{63B3BB69-23CF-44E3-9099-C40C66FF867C}">
                  <a14:compatExt spid="_x0000_s42113"/>
                </a:ext>
                <a:ext uri="{FF2B5EF4-FFF2-40B4-BE49-F238E27FC236}">
                  <a16:creationId xmlns:a16="http://schemas.microsoft.com/office/drawing/2014/main" id="{00000000-0008-0000-0E00-00008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2114" name="Check Box 130" hidden="1">
              <a:extLst>
                <a:ext uri="{63B3BB69-23CF-44E3-9099-C40C66FF867C}">
                  <a14:compatExt spid="_x0000_s42114"/>
                </a:ext>
                <a:ext uri="{FF2B5EF4-FFF2-40B4-BE49-F238E27FC236}">
                  <a16:creationId xmlns:a16="http://schemas.microsoft.com/office/drawing/2014/main" id="{00000000-0008-0000-0E00-00008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2115" name="Check Box 131" hidden="1">
              <a:extLst>
                <a:ext uri="{63B3BB69-23CF-44E3-9099-C40C66FF867C}">
                  <a14:compatExt spid="_x0000_s42115"/>
                </a:ext>
                <a:ext uri="{FF2B5EF4-FFF2-40B4-BE49-F238E27FC236}">
                  <a16:creationId xmlns:a16="http://schemas.microsoft.com/office/drawing/2014/main" id="{00000000-0008-0000-0E00-00008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2116" name="Check Box 132" hidden="1">
              <a:extLst>
                <a:ext uri="{63B3BB69-23CF-44E3-9099-C40C66FF867C}">
                  <a14:compatExt spid="_x0000_s42116"/>
                </a:ext>
                <a:ext uri="{FF2B5EF4-FFF2-40B4-BE49-F238E27FC236}">
                  <a16:creationId xmlns:a16="http://schemas.microsoft.com/office/drawing/2014/main" id="{00000000-0008-0000-0E00-00008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2117" name="Check Box 133" hidden="1">
              <a:extLst>
                <a:ext uri="{63B3BB69-23CF-44E3-9099-C40C66FF867C}">
                  <a14:compatExt spid="_x0000_s42117"/>
                </a:ext>
                <a:ext uri="{FF2B5EF4-FFF2-40B4-BE49-F238E27FC236}">
                  <a16:creationId xmlns:a16="http://schemas.microsoft.com/office/drawing/2014/main" id="{00000000-0008-0000-0E00-00008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2118" name="Check Box 134" hidden="1">
              <a:extLst>
                <a:ext uri="{63B3BB69-23CF-44E3-9099-C40C66FF867C}">
                  <a14:compatExt spid="_x0000_s42118"/>
                </a:ext>
                <a:ext uri="{FF2B5EF4-FFF2-40B4-BE49-F238E27FC236}">
                  <a16:creationId xmlns:a16="http://schemas.microsoft.com/office/drawing/2014/main" id="{00000000-0008-0000-0E00-00008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2119" name="Check Box 135" hidden="1">
              <a:extLst>
                <a:ext uri="{63B3BB69-23CF-44E3-9099-C40C66FF867C}">
                  <a14:compatExt spid="_x0000_s42119"/>
                </a:ext>
                <a:ext uri="{FF2B5EF4-FFF2-40B4-BE49-F238E27FC236}">
                  <a16:creationId xmlns:a16="http://schemas.microsoft.com/office/drawing/2014/main" id="{00000000-0008-0000-0E00-00008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2120" name="Check Box 136" hidden="1">
              <a:extLst>
                <a:ext uri="{63B3BB69-23CF-44E3-9099-C40C66FF867C}">
                  <a14:compatExt spid="_x0000_s42120"/>
                </a:ext>
                <a:ext uri="{FF2B5EF4-FFF2-40B4-BE49-F238E27FC236}">
                  <a16:creationId xmlns:a16="http://schemas.microsoft.com/office/drawing/2014/main" id="{00000000-0008-0000-0E00-00008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2121" name="Check Box 137" hidden="1">
              <a:extLst>
                <a:ext uri="{63B3BB69-23CF-44E3-9099-C40C66FF867C}">
                  <a14:compatExt spid="_x0000_s42121"/>
                </a:ext>
                <a:ext uri="{FF2B5EF4-FFF2-40B4-BE49-F238E27FC236}">
                  <a16:creationId xmlns:a16="http://schemas.microsoft.com/office/drawing/2014/main" id="{00000000-0008-0000-0E00-00008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2122" name="Check Box 138" hidden="1">
              <a:extLst>
                <a:ext uri="{63B3BB69-23CF-44E3-9099-C40C66FF867C}">
                  <a14:compatExt spid="_x0000_s42122"/>
                </a:ext>
                <a:ext uri="{FF2B5EF4-FFF2-40B4-BE49-F238E27FC236}">
                  <a16:creationId xmlns:a16="http://schemas.microsoft.com/office/drawing/2014/main" id="{00000000-0008-0000-0E00-00008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17</xdr:row>
          <xdr:rowOff>28575</xdr:rowOff>
        </xdr:from>
        <xdr:to>
          <xdr:col>5</xdr:col>
          <xdr:colOff>447675</xdr:colOff>
          <xdr:row>18</xdr:row>
          <xdr:rowOff>0</xdr:rowOff>
        </xdr:to>
        <xdr:sp macro="" textlink="">
          <xdr:nvSpPr>
            <xdr:cNvPr id="42123" name="Check Box 139" hidden="1">
              <a:extLst>
                <a:ext uri="{63B3BB69-23CF-44E3-9099-C40C66FF867C}">
                  <a14:compatExt spid="_x0000_s42123"/>
                </a:ext>
                <a:ext uri="{FF2B5EF4-FFF2-40B4-BE49-F238E27FC236}">
                  <a16:creationId xmlns:a16="http://schemas.microsoft.com/office/drawing/2014/main" id="{00000000-0008-0000-0E00-00008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28575</xdr:rowOff>
        </xdr:from>
        <xdr:to>
          <xdr:col>6</xdr:col>
          <xdr:colOff>419100</xdr:colOff>
          <xdr:row>18</xdr:row>
          <xdr:rowOff>0</xdr:rowOff>
        </xdr:to>
        <xdr:sp macro="" textlink="">
          <xdr:nvSpPr>
            <xdr:cNvPr id="42124" name="Check Box 140" hidden="1">
              <a:extLst>
                <a:ext uri="{63B3BB69-23CF-44E3-9099-C40C66FF867C}">
                  <a14:compatExt spid="_x0000_s42124"/>
                </a:ext>
                <a:ext uri="{FF2B5EF4-FFF2-40B4-BE49-F238E27FC236}">
                  <a16:creationId xmlns:a16="http://schemas.microsoft.com/office/drawing/2014/main" id="{00000000-0008-0000-0E00-00008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28575</xdr:rowOff>
        </xdr:from>
        <xdr:to>
          <xdr:col>7</xdr:col>
          <xdr:colOff>419100</xdr:colOff>
          <xdr:row>18</xdr:row>
          <xdr:rowOff>0</xdr:rowOff>
        </xdr:to>
        <xdr:sp macro="" textlink="">
          <xdr:nvSpPr>
            <xdr:cNvPr id="42125" name="Check Box 141" hidden="1">
              <a:extLst>
                <a:ext uri="{63B3BB69-23CF-44E3-9099-C40C66FF867C}">
                  <a14:compatExt spid="_x0000_s42125"/>
                </a:ext>
                <a:ext uri="{FF2B5EF4-FFF2-40B4-BE49-F238E27FC236}">
                  <a16:creationId xmlns:a16="http://schemas.microsoft.com/office/drawing/2014/main" id="{00000000-0008-0000-0E00-00008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0</xdr:rowOff>
        </xdr:from>
        <xdr:to>
          <xdr:col>5</xdr:col>
          <xdr:colOff>447675</xdr:colOff>
          <xdr:row>18</xdr:row>
          <xdr:rowOff>0</xdr:rowOff>
        </xdr:to>
        <xdr:sp macro="" textlink="">
          <xdr:nvSpPr>
            <xdr:cNvPr id="42132" name="Check Box 148" hidden="1">
              <a:extLst>
                <a:ext uri="{63B3BB69-23CF-44E3-9099-C40C66FF867C}">
                  <a14:compatExt spid="_x0000_s42132"/>
                </a:ext>
                <a:ext uri="{FF2B5EF4-FFF2-40B4-BE49-F238E27FC236}">
                  <a16:creationId xmlns:a16="http://schemas.microsoft.com/office/drawing/2014/main" id="{00000000-0008-0000-0E00-00009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0</xdr:rowOff>
        </xdr:from>
        <xdr:to>
          <xdr:col>6</xdr:col>
          <xdr:colOff>419100</xdr:colOff>
          <xdr:row>18</xdr:row>
          <xdr:rowOff>0</xdr:rowOff>
        </xdr:to>
        <xdr:sp macro="" textlink="">
          <xdr:nvSpPr>
            <xdr:cNvPr id="42133" name="Check Box 149" hidden="1">
              <a:extLst>
                <a:ext uri="{63B3BB69-23CF-44E3-9099-C40C66FF867C}">
                  <a14:compatExt spid="_x0000_s42133"/>
                </a:ext>
                <a:ext uri="{FF2B5EF4-FFF2-40B4-BE49-F238E27FC236}">
                  <a16:creationId xmlns:a16="http://schemas.microsoft.com/office/drawing/2014/main" id="{00000000-0008-0000-0E00-00009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0</xdr:rowOff>
        </xdr:from>
        <xdr:to>
          <xdr:col>7</xdr:col>
          <xdr:colOff>419100</xdr:colOff>
          <xdr:row>18</xdr:row>
          <xdr:rowOff>0</xdr:rowOff>
        </xdr:to>
        <xdr:sp macro="" textlink="">
          <xdr:nvSpPr>
            <xdr:cNvPr id="42134" name="Check Box 150" hidden="1">
              <a:extLst>
                <a:ext uri="{63B3BB69-23CF-44E3-9099-C40C66FF867C}">
                  <a14:compatExt spid="_x0000_s42134"/>
                </a:ext>
                <a:ext uri="{FF2B5EF4-FFF2-40B4-BE49-F238E27FC236}">
                  <a16:creationId xmlns:a16="http://schemas.microsoft.com/office/drawing/2014/main" id="{00000000-0008-0000-0E00-00009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0</xdr:rowOff>
        </xdr:from>
        <xdr:to>
          <xdr:col>5</xdr:col>
          <xdr:colOff>447675</xdr:colOff>
          <xdr:row>18</xdr:row>
          <xdr:rowOff>0</xdr:rowOff>
        </xdr:to>
        <xdr:sp macro="" textlink="">
          <xdr:nvSpPr>
            <xdr:cNvPr id="42135" name="Check Box 151" hidden="1">
              <a:extLst>
                <a:ext uri="{63B3BB69-23CF-44E3-9099-C40C66FF867C}">
                  <a14:compatExt spid="_x0000_s42135"/>
                </a:ext>
                <a:ext uri="{FF2B5EF4-FFF2-40B4-BE49-F238E27FC236}">
                  <a16:creationId xmlns:a16="http://schemas.microsoft.com/office/drawing/2014/main" id="{00000000-0008-0000-0E00-00009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0</xdr:rowOff>
        </xdr:from>
        <xdr:to>
          <xdr:col>6</xdr:col>
          <xdr:colOff>419100</xdr:colOff>
          <xdr:row>18</xdr:row>
          <xdr:rowOff>0</xdr:rowOff>
        </xdr:to>
        <xdr:sp macro="" textlink="">
          <xdr:nvSpPr>
            <xdr:cNvPr id="42136" name="Check Box 152" hidden="1">
              <a:extLst>
                <a:ext uri="{63B3BB69-23CF-44E3-9099-C40C66FF867C}">
                  <a14:compatExt spid="_x0000_s42136"/>
                </a:ext>
                <a:ext uri="{FF2B5EF4-FFF2-40B4-BE49-F238E27FC236}">
                  <a16:creationId xmlns:a16="http://schemas.microsoft.com/office/drawing/2014/main" id="{00000000-0008-0000-0E00-00009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0</xdr:rowOff>
        </xdr:from>
        <xdr:to>
          <xdr:col>7</xdr:col>
          <xdr:colOff>419100</xdr:colOff>
          <xdr:row>18</xdr:row>
          <xdr:rowOff>0</xdr:rowOff>
        </xdr:to>
        <xdr:sp macro="" textlink="">
          <xdr:nvSpPr>
            <xdr:cNvPr id="42137" name="Check Box 153" hidden="1">
              <a:extLst>
                <a:ext uri="{63B3BB69-23CF-44E3-9099-C40C66FF867C}">
                  <a14:compatExt spid="_x0000_s42137"/>
                </a:ext>
                <a:ext uri="{FF2B5EF4-FFF2-40B4-BE49-F238E27FC236}">
                  <a16:creationId xmlns:a16="http://schemas.microsoft.com/office/drawing/2014/main" id="{00000000-0008-0000-0E00-00009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28575</xdr:rowOff>
        </xdr:from>
        <xdr:to>
          <xdr:col>5</xdr:col>
          <xdr:colOff>447675</xdr:colOff>
          <xdr:row>19</xdr:row>
          <xdr:rowOff>0</xdr:rowOff>
        </xdr:to>
        <xdr:sp macro="" textlink="">
          <xdr:nvSpPr>
            <xdr:cNvPr id="42138" name="Check Box 154" hidden="1">
              <a:extLst>
                <a:ext uri="{63B3BB69-23CF-44E3-9099-C40C66FF867C}">
                  <a14:compatExt spid="_x0000_s42138"/>
                </a:ext>
                <a:ext uri="{FF2B5EF4-FFF2-40B4-BE49-F238E27FC236}">
                  <a16:creationId xmlns:a16="http://schemas.microsoft.com/office/drawing/2014/main" id="{00000000-0008-0000-0E00-00009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28575</xdr:rowOff>
        </xdr:from>
        <xdr:to>
          <xdr:col>6</xdr:col>
          <xdr:colOff>419100</xdr:colOff>
          <xdr:row>19</xdr:row>
          <xdr:rowOff>0</xdr:rowOff>
        </xdr:to>
        <xdr:sp macro="" textlink="">
          <xdr:nvSpPr>
            <xdr:cNvPr id="42139" name="Check Box 155" hidden="1">
              <a:extLst>
                <a:ext uri="{63B3BB69-23CF-44E3-9099-C40C66FF867C}">
                  <a14:compatExt spid="_x0000_s42139"/>
                </a:ext>
                <a:ext uri="{FF2B5EF4-FFF2-40B4-BE49-F238E27FC236}">
                  <a16:creationId xmlns:a16="http://schemas.microsoft.com/office/drawing/2014/main" id="{00000000-0008-0000-0E00-00009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28575</xdr:rowOff>
        </xdr:from>
        <xdr:to>
          <xdr:col>7</xdr:col>
          <xdr:colOff>419100</xdr:colOff>
          <xdr:row>19</xdr:row>
          <xdr:rowOff>0</xdr:rowOff>
        </xdr:to>
        <xdr:sp macro="" textlink="">
          <xdr:nvSpPr>
            <xdr:cNvPr id="42140" name="Check Box 156" hidden="1">
              <a:extLst>
                <a:ext uri="{63B3BB69-23CF-44E3-9099-C40C66FF867C}">
                  <a14:compatExt spid="_x0000_s42140"/>
                </a:ext>
                <a:ext uri="{FF2B5EF4-FFF2-40B4-BE49-F238E27FC236}">
                  <a16:creationId xmlns:a16="http://schemas.microsoft.com/office/drawing/2014/main" id="{00000000-0008-0000-0E00-00009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20</xdr:row>
          <xdr:rowOff>28575</xdr:rowOff>
        </xdr:from>
        <xdr:to>
          <xdr:col>5</xdr:col>
          <xdr:colOff>447675</xdr:colOff>
          <xdr:row>21</xdr:row>
          <xdr:rowOff>0</xdr:rowOff>
        </xdr:to>
        <xdr:sp macro="" textlink="">
          <xdr:nvSpPr>
            <xdr:cNvPr id="42141" name="Check Box 157" hidden="1">
              <a:extLst>
                <a:ext uri="{63B3BB69-23CF-44E3-9099-C40C66FF867C}">
                  <a14:compatExt spid="_x0000_s42141"/>
                </a:ext>
                <a:ext uri="{FF2B5EF4-FFF2-40B4-BE49-F238E27FC236}">
                  <a16:creationId xmlns:a16="http://schemas.microsoft.com/office/drawing/2014/main" id="{00000000-0008-0000-0E00-00009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20</xdr:row>
          <xdr:rowOff>28575</xdr:rowOff>
        </xdr:from>
        <xdr:to>
          <xdr:col>6</xdr:col>
          <xdr:colOff>419100</xdr:colOff>
          <xdr:row>21</xdr:row>
          <xdr:rowOff>0</xdr:rowOff>
        </xdr:to>
        <xdr:sp macro="" textlink="">
          <xdr:nvSpPr>
            <xdr:cNvPr id="42142" name="Check Box 158" hidden="1">
              <a:extLst>
                <a:ext uri="{63B3BB69-23CF-44E3-9099-C40C66FF867C}">
                  <a14:compatExt spid="_x0000_s42142"/>
                </a:ext>
                <a:ext uri="{FF2B5EF4-FFF2-40B4-BE49-F238E27FC236}">
                  <a16:creationId xmlns:a16="http://schemas.microsoft.com/office/drawing/2014/main" id="{00000000-0008-0000-0E00-00009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28575</xdr:rowOff>
        </xdr:from>
        <xdr:to>
          <xdr:col>7</xdr:col>
          <xdr:colOff>419100</xdr:colOff>
          <xdr:row>21</xdr:row>
          <xdr:rowOff>0</xdr:rowOff>
        </xdr:to>
        <xdr:sp macro="" textlink="">
          <xdr:nvSpPr>
            <xdr:cNvPr id="42143" name="Check Box 159" hidden="1">
              <a:extLst>
                <a:ext uri="{63B3BB69-23CF-44E3-9099-C40C66FF867C}">
                  <a14:compatExt spid="_x0000_s42143"/>
                </a:ext>
                <a:ext uri="{FF2B5EF4-FFF2-40B4-BE49-F238E27FC236}">
                  <a16:creationId xmlns:a16="http://schemas.microsoft.com/office/drawing/2014/main" id="{00000000-0008-0000-0E00-00009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2144" name="Check Box 160" hidden="1">
              <a:extLst>
                <a:ext uri="{63B3BB69-23CF-44E3-9099-C40C66FF867C}">
                  <a14:compatExt spid="_x0000_s42144"/>
                </a:ext>
                <a:ext uri="{FF2B5EF4-FFF2-40B4-BE49-F238E27FC236}">
                  <a16:creationId xmlns:a16="http://schemas.microsoft.com/office/drawing/2014/main" id="{00000000-0008-0000-0E00-0000A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2145" name="Check Box 161" hidden="1">
              <a:extLst>
                <a:ext uri="{63B3BB69-23CF-44E3-9099-C40C66FF867C}">
                  <a14:compatExt spid="_x0000_s42145"/>
                </a:ext>
                <a:ext uri="{FF2B5EF4-FFF2-40B4-BE49-F238E27FC236}">
                  <a16:creationId xmlns:a16="http://schemas.microsoft.com/office/drawing/2014/main" id="{00000000-0008-0000-0E00-0000A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2146" name="Check Box 162" hidden="1">
              <a:extLst>
                <a:ext uri="{63B3BB69-23CF-44E3-9099-C40C66FF867C}">
                  <a14:compatExt spid="_x0000_s42146"/>
                </a:ext>
                <a:ext uri="{FF2B5EF4-FFF2-40B4-BE49-F238E27FC236}">
                  <a16:creationId xmlns:a16="http://schemas.microsoft.com/office/drawing/2014/main" id="{00000000-0008-0000-0E00-0000A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2147" name="Check Box 163" hidden="1">
              <a:extLst>
                <a:ext uri="{63B3BB69-23CF-44E3-9099-C40C66FF867C}">
                  <a14:compatExt spid="_x0000_s42147"/>
                </a:ext>
                <a:ext uri="{FF2B5EF4-FFF2-40B4-BE49-F238E27FC236}">
                  <a16:creationId xmlns:a16="http://schemas.microsoft.com/office/drawing/2014/main" id="{00000000-0008-0000-0E00-0000A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2148" name="Check Box 164" hidden="1">
              <a:extLst>
                <a:ext uri="{63B3BB69-23CF-44E3-9099-C40C66FF867C}">
                  <a14:compatExt spid="_x0000_s42148"/>
                </a:ext>
                <a:ext uri="{FF2B5EF4-FFF2-40B4-BE49-F238E27FC236}">
                  <a16:creationId xmlns:a16="http://schemas.microsoft.com/office/drawing/2014/main" id="{00000000-0008-0000-0E00-0000A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2149" name="Check Box 165" hidden="1">
              <a:extLst>
                <a:ext uri="{63B3BB69-23CF-44E3-9099-C40C66FF867C}">
                  <a14:compatExt spid="_x0000_s42149"/>
                </a:ext>
                <a:ext uri="{FF2B5EF4-FFF2-40B4-BE49-F238E27FC236}">
                  <a16:creationId xmlns:a16="http://schemas.microsoft.com/office/drawing/2014/main" id="{00000000-0008-0000-0E00-0000A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2150" name="Check Box 166" hidden="1">
              <a:extLst>
                <a:ext uri="{63B3BB69-23CF-44E3-9099-C40C66FF867C}">
                  <a14:compatExt spid="_x0000_s42150"/>
                </a:ext>
                <a:ext uri="{FF2B5EF4-FFF2-40B4-BE49-F238E27FC236}">
                  <a16:creationId xmlns:a16="http://schemas.microsoft.com/office/drawing/2014/main" id="{00000000-0008-0000-0E00-0000A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2151" name="Check Box 167" hidden="1">
              <a:extLst>
                <a:ext uri="{63B3BB69-23CF-44E3-9099-C40C66FF867C}">
                  <a14:compatExt spid="_x0000_s42151"/>
                </a:ext>
                <a:ext uri="{FF2B5EF4-FFF2-40B4-BE49-F238E27FC236}">
                  <a16:creationId xmlns:a16="http://schemas.microsoft.com/office/drawing/2014/main" id="{00000000-0008-0000-0E00-0000A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2152" name="Check Box 168" hidden="1">
              <a:extLst>
                <a:ext uri="{63B3BB69-23CF-44E3-9099-C40C66FF867C}">
                  <a14:compatExt spid="_x0000_s42152"/>
                </a:ext>
                <a:ext uri="{FF2B5EF4-FFF2-40B4-BE49-F238E27FC236}">
                  <a16:creationId xmlns:a16="http://schemas.microsoft.com/office/drawing/2014/main" id="{00000000-0008-0000-0E00-0000A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2153" name="Check Box 169" hidden="1">
              <a:extLst>
                <a:ext uri="{63B3BB69-23CF-44E3-9099-C40C66FF867C}">
                  <a14:compatExt spid="_x0000_s42153"/>
                </a:ext>
                <a:ext uri="{FF2B5EF4-FFF2-40B4-BE49-F238E27FC236}">
                  <a16:creationId xmlns:a16="http://schemas.microsoft.com/office/drawing/2014/main" id="{00000000-0008-0000-0E00-0000A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2154" name="Check Box 170" hidden="1">
              <a:extLst>
                <a:ext uri="{63B3BB69-23CF-44E3-9099-C40C66FF867C}">
                  <a14:compatExt spid="_x0000_s42154"/>
                </a:ext>
                <a:ext uri="{FF2B5EF4-FFF2-40B4-BE49-F238E27FC236}">
                  <a16:creationId xmlns:a16="http://schemas.microsoft.com/office/drawing/2014/main" id="{00000000-0008-0000-0E00-0000A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2155" name="Check Box 171" hidden="1">
              <a:extLst>
                <a:ext uri="{63B3BB69-23CF-44E3-9099-C40C66FF867C}">
                  <a14:compatExt spid="_x0000_s42155"/>
                </a:ext>
                <a:ext uri="{FF2B5EF4-FFF2-40B4-BE49-F238E27FC236}">
                  <a16:creationId xmlns:a16="http://schemas.microsoft.com/office/drawing/2014/main" id="{00000000-0008-0000-0E00-0000A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0</xdr:rowOff>
        </xdr:from>
        <xdr:to>
          <xdr:col>5</xdr:col>
          <xdr:colOff>447675</xdr:colOff>
          <xdr:row>25</xdr:row>
          <xdr:rowOff>0</xdr:rowOff>
        </xdr:to>
        <xdr:sp macro="" textlink="">
          <xdr:nvSpPr>
            <xdr:cNvPr id="42156" name="Check Box 172" hidden="1">
              <a:extLst>
                <a:ext uri="{63B3BB69-23CF-44E3-9099-C40C66FF867C}">
                  <a14:compatExt spid="_x0000_s42156"/>
                </a:ext>
                <a:ext uri="{FF2B5EF4-FFF2-40B4-BE49-F238E27FC236}">
                  <a16:creationId xmlns:a16="http://schemas.microsoft.com/office/drawing/2014/main" id="{00000000-0008-0000-0E00-0000A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0</xdr:rowOff>
        </xdr:from>
        <xdr:to>
          <xdr:col>6</xdr:col>
          <xdr:colOff>419100</xdr:colOff>
          <xdr:row>25</xdr:row>
          <xdr:rowOff>0</xdr:rowOff>
        </xdr:to>
        <xdr:sp macro="" textlink="">
          <xdr:nvSpPr>
            <xdr:cNvPr id="42157" name="Check Box 173" hidden="1">
              <a:extLst>
                <a:ext uri="{63B3BB69-23CF-44E3-9099-C40C66FF867C}">
                  <a14:compatExt spid="_x0000_s42157"/>
                </a:ext>
                <a:ext uri="{FF2B5EF4-FFF2-40B4-BE49-F238E27FC236}">
                  <a16:creationId xmlns:a16="http://schemas.microsoft.com/office/drawing/2014/main" id="{00000000-0008-0000-0E00-0000A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0</xdr:rowOff>
        </xdr:from>
        <xdr:to>
          <xdr:col>7</xdr:col>
          <xdr:colOff>419100</xdr:colOff>
          <xdr:row>25</xdr:row>
          <xdr:rowOff>0</xdr:rowOff>
        </xdr:to>
        <xdr:sp macro="" textlink="">
          <xdr:nvSpPr>
            <xdr:cNvPr id="42158" name="Check Box 174" hidden="1">
              <a:extLst>
                <a:ext uri="{63B3BB69-23CF-44E3-9099-C40C66FF867C}">
                  <a14:compatExt spid="_x0000_s42158"/>
                </a:ext>
                <a:ext uri="{FF2B5EF4-FFF2-40B4-BE49-F238E27FC236}">
                  <a16:creationId xmlns:a16="http://schemas.microsoft.com/office/drawing/2014/main" id="{00000000-0008-0000-0E00-0000A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0</xdr:rowOff>
        </xdr:from>
        <xdr:to>
          <xdr:col>5</xdr:col>
          <xdr:colOff>447675</xdr:colOff>
          <xdr:row>25</xdr:row>
          <xdr:rowOff>0</xdr:rowOff>
        </xdr:to>
        <xdr:sp macro="" textlink="">
          <xdr:nvSpPr>
            <xdr:cNvPr id="42159" name="Check Box 175" hidden="1">
              <a:extLst>
                <a:ext uri="{63B3BB69-23CF-44E3-9099-C40C66FF867C}">
                  <a14:compatExt spid="_x0000_s42159"/>
                </a:ext>
                <a:ext uri="{FF2B5EF4-FFF2-40B4-BE49-F238E27FC236}">
                  <a16:creationId xmlns:a16="http://schemas.microsoft.com/office/drawing/2014/main" id="{00000000-0008-0000-0E00-0000A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0</xdr:rowOff>
        </xdr:from>
        <xdr:to>
          <xdr:col>6</xdr:col>
          <xdr:colOff>419100</xdr:colOff>
          <xdr:row>25</xdr:row>
          <xdr:rowOff>0</xdr:rowOff>
        </xdr:to>
        <xdr:sp macro="" textlink="">
          <xdr:nvSpPr>
            <xdr:cNvPr id="42160" name="Check Box 176" hidden="1">
              <a:extLst>
                <a:ext uri="{63B3BB69-23CF-44E3-9099-C40C66FF867C}">
                  <a14:compatExt spid="_x0000_s42160"/>
                </a:ext>
                <a:ext uri="{FF2B5EF4-FFF2-40B4-BE49-F238E27FC236}">
                  <a16:creationId xmlns:a16="http://schemas.microsoft.com/office/drawing/2014/main" id="{00000000-0008-0000-0E00-0000B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0</xdr:rowOff>
        </xdr:from>
        <xdr:to>
          <xdr:col>7</xdr:col>
          <xdr:colOff>419100</xdr:colOff>
          <xdr:row>25</xdr:row>
          <xdr:rowOff>0</xdr:rowOff>
        </xdr:to>
        <xdr:sp macro="" textlink="">
          <xdr:nvSpPr>
            <xdr:cNvPr id="42161" name="Check Box 177" hidden="1">
              <a:extLst>
                <a:ext uri="{63B3BB69-23CF-44E3-9099-C40C66FF867C}">
                  <a14:compatExt spid="_x0000_s42161"/>
                </a:ext>
                <a:ext uri="{FF2B5EF4-FFF2-40B4-BE49-F238E27FC236}">
                  <a16:creationId xmlns:a16="http://schemas.microsoft.com/office/drawing/2014/main" id="{00000000-0008-0000-0E00-0000B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28575</xdr:rowOff>
        </xdr:from>
        <xdr:to>
          <xdr:col>5</xdr:col>
          <xdr:colOff>447675</xdr:colOff>
          <xdr:row>26</xdr:row>
          <xdr:rowOff>0</xdr:rowOff>
        </xdr:to>
        <xdr:sp macro="" textlink="">
          <xdr:nvSpPr>
            <xdr:cNvPr id="42162" name="Check Box 178" hidden="1">
              <a:extLst>
                <a:ext uri="{63B3BB69-23CF-44E3-9099-C40C66FF867C}">
                  <a14:compatExt spid="_x0000_s42162"/>
                </a:ext>
                <a:ext uri="{FF2B5EF4-FFF2-40B4-BE49-F238E27FC236}">
                  <a16:creationId xmlns:a16="http://schemas.microsoft.com/office/drawing/2014/main" id="{00000000-0008-0000-0E00-0000B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28575</xdr:rowOff>
        </xdr:from>
        <xdr:to>
          <xdr:col>6</xdr:col>
          <xdr:colOff>419100</xdr:colOff>
          <xdr:row>26</xdr:row>
          <xdr:rowOff>0</xdr:rowOff>
        </xdr:to>
        <xdr:sp macro="" textlink="">
          <xdr:nvSpPr>
            <xdr:cNvPr id="42163" name="Check Box 179" hidden="1">
              <a:extLst>
                <a:ext uri="{63B3BB69-23CF-44E3-9099-C40C66FF867C}">
                  <a14:compatExt spid="_x0000_s42163"/>
                </a:ext>
                <a:ext uri="{FF2B5EF4-FFF2-40B4-BE49-F238E27FC236}">
                  <a16:creationId xmlns:a16="http://schemas.microsoft.com/office/drawing/2014/main" id="{00000000-0008-0000-0E00-0000B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28575</xdr:rowOff>
        </xdr:from>
        <xdr:to>
          <xdr:col>7</xdr:col>
          <xdr:colOff>419100</xdr:colOff>
          <xdr:row>26</xdr:row>
          <xdr:rowOff>0</xdr:rowOff>
        </xdr:to>
        <xdr:sp macro="" textlink="">
          <xdr:nvSpPr>
            <xdr:cNvPr id="42164" name="Check Box 180" hidden="1">
              <a:extLst>
                <a:ext uri="{63B3BB69-23CF-44E3-9099-C40C66FF867C}">
                  <a14:compatExt spid="_x0000_s42164"/>
                </a:ext>
                <a:ext uri="{FF2B5EF4-FFF2-40B4-BE49-F238E27FC236}">
                  <a16:creationId xmlns:a16="http://schemas.microsoft.com/office/drawing/2014/main" id="{00000000-0008-0000-0E00-0000B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28575</xdr:rowOff>
        </xdr:from>
        <xdr:to>
          <xdr:col>5</xdr:col>
          <xdr:colOff>447675</xdr:colOff>
          <xdr:row>26</xdr:row>
          <xdr:rowOff>0</xdr:rowOff>
        </xdr:to>
        <xdr:sp macro="" textlink="">
          <xdr:nvSpPr>
            <xdr:cNvPr id="42165" name="Check Box 181" hidden="1">
              <a:extLst>
                <a:ext uri="{63B3BB69-23CF-44E3-9099-C40C66FF867C}">
                  <a14:compatExt spid="_x0000_s42165"/>
                </a:ext>
                <a:ext uri="{FF2B5EF4-FFF2-40B4-BE49-F238E27FC236}">
                  <a16:creationId xmlns:a16="http://schemas.microsoft.com/office/drawing/2014/main" id="{00000000-0008-0000-0E00-0000B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28575</xdr:rowOff>
        </xdr:from>
        <xdr:to>
          <xdr:col>6</xdr:col>
          <xdr:colOff>419100</xdr:colOff>
          <xdr:row>26</xdr:row>
          <xdr:rowOff>0</xdr:rowOff>
        </xdr:to>
        <xdr:sp macro="" textlink="">
          <xdr:nvSpPr>
            <xdr:cNvPr id="42166" name="Check Box 182" hidden="1">
              <a:extLst>
                <a:ext uri="{63B3BB69-23CF-44E3-9099-C40C66FF867C}">
                  <a14:compatExt spid="_x0000_s42166"/>
                </a:ext>
                <a:ext uri="{FF2B5EF4-FFF2-40B4-BE49-F238E27FC236}">
                  <a16:creationId xmlns:a16="http://schemas.microsoft.com/office/drawing/2014/main" id="{00000000-0008-0000-0E00-0000B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28575</xdr:rowOff>
        </xdr:from>
        <xdr:to>
          <xdr:col>7</xdr:col>
          <xdr:colOff>419100</xdr:colOff>
          <xdr:row>26</xdr:row>
          <xdr:rowOff>0</xdr:rowOff>
        </xdr:to>
        <xdr:sp macro="" textlink="">
          <xdr:nvSpPr>
            <xdr:cNvPr id="42167" name="Check Box 183" hidden="1">
              <a:extLst>
                <a:ext uri="{63B3BB69-23CF-44E3-9099-C40C66FF867C}">
                  <a14:compatExt spid="_x0000_s42167"/>
                </a:ext>
                <a:ext uri="{FF2B5EF4-FFF2-40B4-BE49-F238E27FC236}">
                  <a16:creationId xmlns:a16="http://schemas.microsoft.com/office/drawing/2014/main" id="{00000000-0008-0000-0E00-0000B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2168" name="Check Box 184" hidden="1">
              <a:extLst>
                <a:ext uri="{63B3BB69-23CF-44E3-9099-C40C66FF867C}">
                  <a14:compatExt spid="_x0000_s42168"/>
                </a:ext>
                <a:ext uri="{FF2B5EF4-FFF2-40B4-BE49-F238E27FC236}">
                  <a16:creationId xmlns:a16="http://schemas.microsoft.com/office/drawing/2014/main" id="{00000000-0008-0000-0E00-0000B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2169" name="Check Box 185" hidden="1">
              <a:extLst>
                <a:ext uri="{63B3BB69-23CF-44E3-9099-C40C66FF867C}">
                  <a14:compatExt spid="_x0000_s42169"/>
                </a:ext>
                <a:ext uri="{FF2B5EF4-FFF2-40B4-BE49-F238E27FC236}">
                  <a16:creationId xmlns:a16="http://schemas.microsoft.com/office/drawing/2014/main" id="{00000000-0008-0000-0E00-0000B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2170" name="Check Box 186" hidden="1">
              <a:extLst>
                <a:ext uri="{63B3BB69-23CF-44E3-9099-C40C66FF867C}">
                  <a14:compatExt spid="_x0000_s42170"/>
                </a:ext>
                <a:ext uri="{FF2B5EF4-FFF2-40B4-BE49-F238E27FC236}">
                  <a16:creationId xmlns:a16="http://schemas.microsoft.com/office/drawing/2014/main" id="{00000000-0008-0000-0E00-0000B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2171" name="Check Box 187" hidden="1">
              <a:extLst>
                <a:ext uri="{63B3BB69-23CF-44E3-9099-C40C66FF867C}">
                  <a14:compatExt spid="_x0000_s42171"/>
                </a:ext>
                <a:ext uri="{FF2B5EF4-FFF2-40B4-BE49-F238E27FC236}">
                  <a16:creationId xmlns:a16="http://schemas.microsoft.com/office/drawing/2014/main" id="{00000000-0008-0000-0E00-0000B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2172" name="Check Box 188" hidden="1">
              <a:extLst>
                <a:ext uri="{63B3BB69-23CF-44E3-9099-C40C66FF867C}">
                  <a14:compatExt spid="_x0000_s42172"/>
                </a:ext>
                <a:ext uri="{FF2B5EF4-FFF2-40B4-BE49-F238E27FC236}">
                  <a16:creationId xmlns:a16="http://schemas.microsoft.com/office/drawing/2014/main" id="{00000000-0008-0000-0E00-0000B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2173" name="Check Box 189" hidden="1">
              <a:extLst>
                <a:ext uri="{63B3BB69-23CF-44E3-9099-C40C66FF867C}">
                  <a14:compatExt spid="_x0000_s42173"/>
                </a:ext>
                <a:ext uri="{FF2B5EF4-FFF2-40B4-BE49-F238E27FC236}">
                  <a16:creationId xmlns:a16="http://schemas.microsoft.com/office/drawing/2014/main" id="{00000000-0008-0000-0E00-0000B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2174" name="Check Box 190" hidden="1">
              <a:extLst>
                <a:ext uri="{63B3BB69-23CF-44E3-9099-C40C66FF867C}">
                  <a14:compatExt spid="_x0000_s42174"/>
                </a:ext>
                <a:ext uri="{FF2B5EF4-FFF2-40B4-BE49-F238E27FC236}">
                  <a16:creationId xmlns:a16="http://schemas.microsoft.com/office/drawing/2014/main" id="{00000000-0008-0000-0E00-0000B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2175" name="Check Box 191" hidden="1">
              <a:extLst>
                <a:ext uri="{63B3BB69-23CF-44E3-9099-C40C66FF867C}">
                  <a14:compatExt spid="_x0000_s42175"/>
                </a:ext>
                <a:ext uri="{FF2B5EF4-FFF2-40B4-BE49-F238E27FC236}">
                  <a16:creationId xmlns:a16="http://schemas.microsoft.com/office/drawing/2014/main" id="{00000000-0008-0000-0E00-0000B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2176" name="Check Box 192" hidden="1">
              <a:extLst>
                <a:ext uri="{63B3BB69-23CF-44E3-9099-C40C66FF867C}">
                  <a14:compatExt spid="_x0000_s42176"/>
                </a:ext>
                <a:ext uri="{FF2B5EF4-FFF2-40B4-BE49-F238E27FC236}">
                  <a16:creationId xmlns:a16="http://schemas.microsoft.com/office/drawing/2014/main" id="{00000000-0008-0000-0E00-0000C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2177" name="Check Box 193" hidden="1">
              <a:extLst>
                <a:ext uri="{63B3BB69-23CF-44E3-9099-C40C66FF867C}">
                  <a14:compatExt spid="_x0000_s42177"/>
                </a:ext>
                <a:ext uri="{FF2B5EF4-FFF2-40B4-BE49-F238E27FC236}">
                  <a16:creationId xmlns:a16="http://schemas.microsoft.com/office/drawing/2014/main" id="{00000000-0008-0000-0E00-0000C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2178" name="Check Box 194" hidden="1">
              <a:extLst>
                <a:ext uri="{63B3BB69-23CF-44E3-9099-C40C66FF867C}">
                  <a14:compatExt spid="_x0000_s42178"/>
                </a:ext>
                <a:ext uri="{FF2B5EF4-FFF2-40B4-BE49-F238E27FC236}">
                  <a16:creationId xmlns:a16="http://schemas.microsoft.com/office/drawing/2014/main" id="{00000000-0008-0000-0E00-0000C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2179" name="Check Box 195" hidden="1">
              <a:extLst>
                <a:ext uri="{63B3BB69-23CF-44E3-9099-C40C66FF867C}">
                  <a14:compatExt spid="_x0000_s42179"/>
                </a:ext>
                <a:ext uri="{FF2B5EF4-FFF2-40B4-BE49-F238E27FC236}">
                  <a16:creationId xmlns:a16="http://schemas.microsoft.com/office/drawing/2014/main" id="{00000000-0008-0000-0E00-0000C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2180" name="Check Box 196" hidden="1">
              <a:extLst>
                <a:ext uri="{63B3BB69-23CF-44E3-9099-C40C66FF867C}">
                  <a14:compatExt spid="_x0000_s42180"/>
                </a:ext>
                <a:ext uri="{FF2B5EF4-FFF2-40B4-BE49-F238E27FC236}">
                  <a16:creationId xmlns:a16="http://schemas.microsoft.com/office/drawing/2014/main" id="{00000000-0008-0000-0E00-0000C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2181" name="Check Box 197" hidden="1">
              <a:extLst>
                <a:ext uri="{63B3BB69-23CF-44E3-9099-C40C66FF867C}">
                  <a14:compatExt spid="_x0000_s42181"/>
                </a:ext>
                <a:ext uri="{FF2B5EF4-FFF2-40B4-BE49-F238E27FC236}">
                  <a16:creationId xmlns:a16="http://schemas.microsoft.com/office/drawing/2014/main" id="{00000000-0008-0000-0E00-0000C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2182" name="Check Box 198" hidden="1">
              <a:extLst>
                <a:ext uri="{63B3BB69-23CF-44E3-9099-C40C66FF867C}">
                  <a14:compatExt spid="_x0000_s42182"/>
                </a:ext>
                <a:ext uri="{FF2B5EF4-FFF2-40B4-BE49-F238E27FC236}">
                  <a16:creationId xmlns:a16="http://schemas.microsoft.com/office/drawing/2014/main" id="{00000000-0008-0000-0E00-0000C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2183" name="Check Box 199" hidden="1">
              <a:extLst>
                <a:ext uri="{63B3BB69-23CF-44E3-9099-C40C66FF867C}">
                  <a14:compatExt spid="_x0000_s42183"/>
                </a:ext>
                <a:ext uri="{FF2B5EF4-FFF2-40B4-BE49-F238E27FC236}">
                  <a16:creationId xmlns:a16="http://schemas.microsoft.com/office/drawing/2014/main" id="{00000000-0008-0000-0E00-0000C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2184" name="Check Box 200" hidden="1">
              <a:extLst>
                <a:ext uri="{63B3BB69-23CF-44E3-9099-C40C66FF867C}">
                  <a14:compatExt spid="_x0000_s42184"/>
                </a:ext>
                <a:ext uri="{FF2B5EF4-FFF2-40B4-BE49-F238E27FC236}">
                  <a16:creationId xmlns:a16="http://schemas.microsoft.com/office/drawing/2014/main" id="{00000000-0008-0000-0E00-0000C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2185" name="Check Box 201" hidden="1">
              <a:extLst>
                <a:ext uri="{63B3BB69-23CF-44E3-9099-C40C66FF867C}">
                  <a14:compatExt spid="_x0000_s42185"/>
                </a:ext>
                <a:ext uri="{FF2B5EF4-FFF2-40B4-BE49-F238E27FC236}">
                  <a16:creationId xmlns:a16="http://schemas.microsoft.com/office/drawing/2014/main" id="{00000000-0008-0000-0E00-0000C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2186" name="Check Box 202" hidden="1">
              <a:extLst>
                <a:ext uri="{63B3BB69-23CF-44E3-9099-C40C66FF867C}">
                  <a14:compatExt spid="_x0000_s42186"/>
                </a:ext>
                <a:ext uri="{FF2B5EF4-FFF2-40B4-BE49-F238E27FC236}">
                  <a16:creationId xmlns:a16="http://schemas.microsoft.com/office/drawing/2014/main" id="{00000000-0008-0000-0E00-0000C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2187" name="Check Box 203" hidden="1">
              <a:extLst>
                <a:ext uri="{63B3BB69-23CF-44E3-9099-C40C66FF867C}">
                  <a14:compatExt spid="_x0000_s42187"/>
                </a:ext>
                <a:ext uri="{FF2B5EF4-FFF2-40B4-BE49-F238E27FC236}">
                  <a16:creationId xmlns:a16="http://schemas.microsoft.com/office/drawing/2014/main" id="{00000000-0008-0000-0E00-0000C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2188" name="Check Box 204" hidden="1">
              <a:extLst>
                <a:ext uri="{63B3BB69-23CF-44E3-9099-C40C66FF867C}">
                  <a14:compatExt spid="_x0000_s42188"/>
                </a:ext>
                <a:ext uri="{FF2B5EF4-FFF2-40B4-BE49-F238E27FC236}">
                  <a16:creationId xmlns:a16="http://schemas.microsoft.com/office/drawing/2014/main" id="{00000000-0008-0000-0E00-0000C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2189" name="Check Box 205" hidden="1">
              <a:extLst>
                <a:ext uri="{63B3BB69-23CF-44E3-9099-C40C66FF867C}">
                  <a14:compatExt spid="_x0000_s42189"/>
                </a:ext>
                <a:ext uri="{FF2B5EF4-FFF2-40B4-BE49-F238E27FC236}">
                  <a16:creationId xmlns:a16="http://schemas.microsoft.com/office/drawing/2014/main" id="{00000000-0008-0000-0E00-0000C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2190" name="Check Box 206" hidden="1">
              <a:extLst>
                <a:ext uri="{63B3BB69-23CF-44E3-9099-C40C66FF867C}">
                  <a14:compatExt spid="_x0000_s42190"/>
                </a:ext>
                <a:ext uri="{FF2B5EF4-FFF2-40B4-BE49-F238E27FC236}">
                  <a16:creationId xmlns:a16="http://schemas.microsoft.com/office/drawing/2014/main" id="{00000000-0008-0000-0E00-0000C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2191" name="Check Box 207" hidden="1">
              <a:extLst>
                <a:ext uri="{63B3BB69-23CF-44E3-9099-C40C66FF867C}">
                  <a14:compatExt spid="_x0000_s42191"/>
                </a:ext>
                <a:ext uri="{FF2B5EF4-FFF2-40B4-BE49-F238E27FC236}">
                  <a16:creationId xmlns:a16="http://schemas.microsoft.com/office/drawing/2014/main" id="{00000000-0008-0000-0E00-0000C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2192" name="Check Box 208" hidden="1">
              <a:extLst>
                <a:ext uri="{63B3BB69-23CF-44E3-9099-C40C66FF867C}">
                  <a14:compatExt spid="_x0000_s42192"/>
                </a:ext>
                <a:ext uri="{FF2B5EF4-FFF2-40B4-BE49-F238E27FC236}">
                  <a16:creationId xmlns:a16="http://schemas.microsoft.com/office/drawing/2014/main" id="{00000000-0008-0000-0E00-0000D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2193" name="Check Box 209" hidden="1">
              <a:extLst>
                <a:ext uri="{63B3BB69-23CF-44E3-9099-C40C66FF867C}">
                  <a14:compatExt spid="_x0000_s42193"/>
                </a:ext>
                <a:ext uri="{FF2B5EF4-FFF2-40B4-BE49-F238E27FC236}">
                  <a16:creationId xmlns:a16="http://schemas.microsoft.com/office/drawing/2014/main" id="{00000000-0008-0000-0E00-0000D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2194" name="Check Box 210" hidden="1">
              <a:extLst>
                <a:ext uri="{63B3BB69-23CF-44E3-9099-C40C66FF867C}">
                  <a14:compatExt spid="_x0000_s42194"/>
                </a:ext>
                <a:ext uri="{FF2B5EF4-FFF2-40B4-BE49-F238E27FC236}">
                  <a16:creationId xmlns:a16="http://schemas.microsoft.com/office/drawing/2014/main" id="{00000000-0008-0000-0E00-0000D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2195" name="Check Box 211" hidden="1">
              <a:extLst>
                <a:ext uri="{63B3BB69-23CF-44E3-9099-C40C66FF867C}">
                  <a14:compatExt spid="_x0000_s42195"/>
                </a:ext>
                <a:ext uri="{FF2B5EF4-FFF2-40B4-BE49-F238E27FC236}">
                  <a16:creationId xmlns:a16="http://schemas.microsoft.com/office/drawing/2014/main" id="{00000000-0008-0000-0E00-0000D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2196" name="Check Box 212" hidden="1">
              <a:extLst>
                <a:ext uri="{63B3BB69-23CF-44E3-9099-C40C66FF867C}">
                  <a14:compatExt spid="_x0000_s42196"/>
                </a:ext>
                <a:ext uri="{FF2B5EF4-FFF2-40B4-BE49-F238E27FC236}">
                  <a16:creationId xmlns:a16="http://schemas.microsoft.com/office/drawing/2014/main" id="{00000000-0008-0000-0E00-0000D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2197" name="Check Box 213" hidden="1">
              <a:extLst>
                <a:ext uri="{63B3BB69-23CF-44E3-9099-C40C66FF867C}">
                  <a14:compatExt spid="_x0000_s42197"/>
                </a:ext>
                <a:ext uri="{FF2B5EF4-FFF2-40B4-BE49-F238E27FC236}">
                  <a16:creationId xmlns:a16="http://schemas.microsoft.com/office/drawing/2014/main" id="{00000000-0008-0000-0E00-0000D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33</xdr:row>
          <xdr:rowOff>28575</xdr:rowOff>
        </xdr:from>
        <xdr:to>
          <xdr:col>5</xdr:col>
          <xdr:colOff>447675</xdr:colOff>
          <xdr:row>34</xdr:row>
          <xdr:rowOff>0</xdr:rowOff>
        </xdr:to>
        <xdr:sp macro="" textlink="">
          <xdr:nvSpPr>
            <xdr:cNvPr id="42198" name="Check Box 214" hidden="1">
              <a:extLst>
                <a:ext uri="{63B3BB69-23CF-44E3-9099-C40C66FF867C}">
                  <a14:compatExt spid="_x0000_s42198"/>
                </a:ext>
                <a:ext uri="{FF2B5EF4-FFF2-40B4-BE49-F238E27FC236}">
                  <a16:creationId xmlns:a16="http://schemas.microsoft.com/office/drawing/2014/main" id="{00000000-0008-0000-0E00-0000D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33</xdr:row>
          <xdr:rowOff>28575</xdr:rowOff>
        </xdr:from>
        <xdr:to>
          <xdr:col>6</xdr:col>
          <xdr:colOff>419100</xdr:colOff>
          <xdr:row>34</xdr:row>
          <xdr:rowOff>0</xdr:rowOff>
        </xdr:to>
        <xdr:sp macro="" textlink="">
          <xdr:nvSpPr>
            <xdr:cNvPr id="42199" name="Check Box 215" hidden="1">
              <a:extLst>
                <a:ext uri="{63B3BB69-23CF-44E3-9099-C40C66FF867C}">
                  <a14:compatExt spid="_x0000_s42199"/>
                </a:ext>
                <a:ext uri="{FF2B5EF4-FFF2-40B4-BE49-F238E27FC236}">
                  <a16:creationId xmlns:a16="http://schemas.microsoft.com/office/drawing/2014/main" id="{00000000-0008-0000-0E00-0000D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28575</xdr:rowOff>
        </xdr:from>
        <xdr:to>
          <xdr:col>7</xdr:col>
          <xdr:colOff>419100</xdr:colOff>
          <xdr:row>34</xdr:row>
          <xdr:rowOff>0</xdr:rowOff>
        </xdr:to>
        <xdr:sp macro="" textlink="">
          <xdr:nvSpPr>
            <xdr:cNvPr id="42200" name="Check Box 216" hidden="1">
              <a:extLst>
                <a:ext uri="{63B3BB69-23CF-44E3-9099-C40C66FF867C}">
                  <a14:compatExt spid="_x0000_s42200"/>
                </a:ext>
                <a:ext uri="{FF2B5EF4-FFF2-40B4-BE49-F238E27FC236}">
                  <a16:creationId xmlns:a16="http://schemas.microsoft.com/office/drawing/2014/main" id="{00000000-0008-0000-0E00-0000D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33</xdr:row>
          <xdr:rowOff>28575</xdr:rowOff>
        </xdr:from>
        <xdr:to>
          <xdr:col>5</xdr:col>
          <xdr:colOff>447675</xdr:colOff>
          <xdr:row>34</xdr:row>
          <xdr:rowOff>0</xdr:rowOff>
        </xdr:to>
        <xdr:sp macro="" textlink="">
          <xdr:nvSpPr>
            <xdr:cNvPr id="42201" name="Check Box 217" hidden="1">
              <a:extLst>
                <a:ext uri="{63B3BB69-23CF-44E3-9099-C40C66FF867C}">
                  <a14:compatExt spid="_x0000_s42201"/>
                </a:ext>
                <a:ext uri="{FF2B5EF4-FFF2-40B4-BE49-F238E27FC236}">
                  <a16:creationId xmlns:a16="http://schemas.microsoft.com/office/drawing/2014/main" id="{00000000-0008-0000-0E00-0000D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33</xdr:row>
          <xdr:rowOff>28575</xdr:rowOff>
        </xdr:from>
        <xdr:to>
          <xdr:col>6</xdr:col>
          <xdr:colOff>419100</xdr:colOff>
          <xdr:row>34</xdr:row>
          <xdr:rowOff>0</xdr:rowOff>
        </xdr:to>
        <xdr:sp macro="" textlink="">
          <xdr:nvSpPr>
            <xdr:cNvPr id="42202" name="Check Box 218" hidden="1">
              <a:extLst>
                <a:ext uri="{63B3BB69-23CF-44E3-9099-C40C66FF867C}">
                  <a14:compatExt spid="_x0000_s42202"/>
                </a:ext>
                <a:ext uri="{FF2B5EF4-FFF2-40B4-BE49-F238E27FC236}">
                  <a16:creationId xmlns:a16="http://schemas.microsoft.com/office/drawing/2014/main" id="{00000000-0008-0000-0E00-0000D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28575</xdr:rowOff>
        </xdr:from>
        <xdr:to>
          <xdr:col>7</xdr:col>
          <xdr:colOff>419100</xdr:colOff>
          <xdr:row>34</xdr:row>
          <xdr:rowOff>0</xdr:rowOff>
        </xdr:to>
        <xdr:sp macro="" textlink="">
          <xdr:nvSpPr>
            <xdr:cNvPr id="42203" name="Check Box 219" hidden="1">
              <a:extLst>
                <a:ext uri="{63B3BB69-23CF-44E3-9099-C40C66FF867C}">
                  <a14:compatExt spid="_x0000_s42203"/>
                </a:ext>
                <a:ext uri="{FF2B5EF4-FFF2-40B4-BE49-F238E27FC236}">
                  <a16:creationId xmlns:a16="http://schemas.microsoft.com/office/drawing/2014/main" id="{00000000-0008-0000-0E00-0000D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2204" name="Check Box 220" hidden="1">
              <a:extLst>
                <a:ext uri="{63B3BB69-23CF-44E3-9099-C40C66FF867C}">
                  <a14:compatExt spid="_x0000_s42204"/>
                </a:ext>
                <a:ext uri="{FF2B5EF4-FFF2-40B4-BE49-F238E27FC236}">
                  <a16:creationId xmlns:a16="http://schemas.microsoft.com/office/drawing/2014/main" id="{00000000-0008-0000-0E00-0000D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2205" name="Check Box 221" hidden="1">
              <a:extLst>
                <a:ext uri="{63B3BB69-23CF-44E3-9099-C40C66FF867C}">
                  <a14:compatExt spid="_x0000_s42205"/>
                </a:ext>
                <a:ext uri="{FF2B5EF4-FFF2-40B4-BE49-F238E27FC236}">
                  <a16:creationId xmlns:a16="http://schemas.microsoft.com/office/drawing/2014/main" id="{00000000-0008-0000-0E00-0000D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2206" name="Check Box 222" hidden="1">
              <a:extLst>
                <a:ext uri="{63B3BB69-23CF-44E3-9099-C40C66FF867C}">
                  <a14:compatExt spid="_x0000_s42206"/>
                </a:ext>
                <a:ext uri="{FF2B5EF4-FFF2-40B4-BE49-F238E27FC236}">
                  <a16:creationId xmlns:a16="http://schemas.microsoft.com/office/drawing/2014/main" id="{00000000-0008-0000-0E00-0000D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2207" name="Check Box 223" hidden="1">
              <a:extLst>
                <a:ext uri="{63B3BB69-23CF-44E3-9099-C40C66FF867C}">
                  <a14:compatExt spid="_x0000_s42207"/>
                </a:ext>
                <a:ext uri="{FF2B5EF4-FFF2-40B4-BE49-F238E27FC236}">
                  <a16:creationId xmlns:a16="http://schemas.microsoft.com/office/drawing/2014/main" id="{00000000-0008-0000-0E00-0000D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2208" name="Check Box 224" hidden="1">
              <a:extLst>
                <a:ext uri="{63B3BB69-23CF-44E3-9099-C40C66FF867C}">
                  <a14:compatExt spid="_x0000_s42208"/>
                </a:ext>
                <a:ext uri="{FF2B5EF4-FFF2-40B4-BE49-F238E27FC236}">
                  <a16:creationId xmlns:a16="http://schemas.microsoft.com/office/drawing/2014/main" id="{00000000-0008-0000-0E00-0000E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2209" name="Check Box 225" hidden="1">
              <a:extLst>
                <a:ext uri="{63B3BB69-23CF-44E3-9099-C40C66FF867C}">
                  <a14:compatExt spid="_x0000_s42209"/>
                </a:ext>
                <a:ext uri="{FF2B5EF4-FFF2-40B4-BE49-F238E27FC236}">
                  <a16:creationId xmlns:a16="http://schemas.microsoft.com/office/drawing/2014/main" id="{00000000-0008-0000-0E00-0000E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2210" name="Check Box 226" hidden="1">
              <a:extLst>
                <a:ext uri="{63B3BB69-23CF-44E3-9099-C40C66FF867C}">
                  <a14:compatExt spid="_x0000_s42210"/>
                </a:ext>
                <a:ext uri="{FF2B5EF4-FFF2-40B4-BE49-F238E27FC236}">
                  <a16:creationId xmlns:a16="http://schemas.microsoft.com/office/drawing/2014/main" id="{00000000-0008-0000-0E00-0000E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2211" name="Check Box 227" hidden="1">
              <a:extLst>
                <a:ext uri="{63B3BB69-23CF-44E3-9099-C40C66FF867C}">
                  <a14:compatExt spid="_x0000_s42211"/>
                </a:ext>
                <a:ext uri="{FF2B5EF4-FFF2-40B4-BE49-F238E27FC236}">
                  <a16:creationId xmlns:a16="http://schemas.microsoft.com/office/drawing/2014/main" id="{00000000-0008-0000-0E00-0000E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2212" name="Check Box 228" hidden="1">
              <a:extLst>
                <a:ext uri="{63B3BB69-23CF-44E3-9099-C40C66FF867C}">
                  <a14:compatExt spid="_x0000_s42212"/>
                </a:ext>
                <a:ext uri="{FF2B5EF4-FFF2-40B4-BE49-F238E27FC236}">
                  <a16:creationId xmlns:a16="http://schemas.microsoft.com/office/drawing/2014/main" id="{00000000-0008-0000-0E00-0000E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2213" name="Check Box 229" hidden="1">
              <a:extLst>
                <a:ext uri="{63B3BB69-23CF-44E3-9099-C40C66FF867C}">
                  <a14:compatExt spid="_x0000_s42213"/>
                </a:ext>
                <a:ext uri="{FF2B5EF4-FFF2-40B4-BE49-F238E27FC236}">
                  <a16:creationId xmlns:a16="http://schemas.microsoft.com/office/drawing/2014/main" id="{00000000-0008-0000-0E00-0000E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2214" name="Check Box 230" hidden="1">
              <a:extLst>
                <a:ext uri="{63B3BB69-23CF-44E3-9099-C40C66FF867C}">
                  <a14:compatExt spid="_x0000_s42214"/>
                </a:ext>
                <a:ext uri="{FF2B5EF4-FFF2-40B4-BE49-F238E27FC236}">
                  <a16:creationId xmlns:a16="http://schemas.microsoft.com/office/drawing/2014/main" id="{00000000-0008-0000-0E00-0000E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2215" name="Check Box 231" hidden="1">
              <a:extLst>
                <a:ext uri="{63B3BB69-23CF-44E3-9099-C40C66FF867C}">
                  <a14:compatExt spid="_x0000_s42215"/>
                </a:ext>
                <a:ext uri="{FF2B5EF4-FFF2-40B4-BE49-F238E27FC236}">
                  <a16:creationId xmlns:a16="http://schemas.microsoft.com/office/drawing/2014/main" id="{00000000-0008-0000-0E00-0000E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2216" name="Check Box 232" hidden="1">
              <a:extLst>
                <a:ext uri="{63B3BB69-23CF-44E3-9099-C40C66FF867C}">
                  <a14:compatExt spid="_x0000_s42216"/>
                </a:ext>
                <a:ext uri="{FF2B5EF4-FFF2-40B4-BE49-F238E27FC236}">
                  <a16:creationId xmlns:a16="http://schemas.microsoft.com/office/drawing/2014/main" id="{00000000-0008-0000-0E00-0000E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2217" name="Check Box 233" hidden="1">
              <a:extLst>
                <a:ext uri="{63B3BB69-23CF-44E3-9099-C40C66FF867C}">
                  <a14:compatExt spid="_x0000_s42217"/>
                </a:ext>
                <a:ext uri="{FF2B5EF4-FFF2-40B4-BE49-F238E27FC236}">
                  <a16:creationId xmlns:a16="http://schemas.microsoft.com/office/drawing/2014/main" id="{00000000-0008-0000-0E00-0000E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2218" name="Check Box 234" hidden="1">
              <a:extLst>
                <a:ext uri="{63B3BB69-23CF-44E3-9099-C40C66FF867C}">
                  <a14:compatExt spid="_x0000_s42218"/>
                </a:ext>
                <a:ext uri="{FF2B5EF4-FFF2-40B4-BE49-F238E27FC236}">
                  <a16:creationId xmlns:a16="http://schemas.microsoft.com/office/drawing/2014/main" id="{00000000-0008-0000-0E00-0000E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2219" name="Check Box 235" hidden="1">
              <a:extLst>
                <a:ext uri="{63B3BB69-23CF-44E3-9099-C40C66FF867C}">
                  <a14:compatExt spid="_x0000_s42219"/>
                </a:ext>
                <a:ext uri="{FF2B5EF4-FFF2-40B4-BE49-F238E27FC236}">
                  <a16:creationId xmlns:a16="http://schemas.microsoft.com/office/drawing/2014/main" id="{00000000-0008-0000-0E00-0000E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2220" name="Check Box 236" hidden="1">
              <a:extLst>
                <a:ext uri="{63B3BB69-23CF-44E3-9099-C40C66FF867C}">
                  <a14:compatExt spid="_x0000_s42220"/>
                </a:ext>
                <a:ext uri="{FF2B5EF4-FFF2-40B4-BE49-F238E27FC236}">
                  <a16:creationId xmlns:a16="http://schemas.microsoft.com/office/drawing/2014/main" id="{00000000-0008-0000-0E00-0000E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2221" name="Check Box 237" hidden="1">
              <a:extLst>
                <a:ext uri="{63B3BB69-23CF-44E3-9099-C40C66FF867C}">
                  <a14:compatExt spid="_x0000_s42221"/>
                </a:ext>
                <a:ext uri="{FF2B5EF4-FFF2-40B4-BE49-F238E27FC236}">
                  <a16:creationId xmlns:a16="http://schemas.microsoft.com/office/drawing/2014/main" id="{00000000-0008-0000-0E00-0000E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2222" name="Check Box 238" hidden="1">
              <a:extLst>
                <a:ext uri="{63B3BB69-23CF-44E3-9099-C40C66FF867C}">
                  <a14:compatExt spid="_x0000_s42222"/>
                </a:ext>
                <a:ext uri="{FF2B5EF4-FFF2-40B4-BE49-F238E27FC236}">
                  <a16:creationId xmlns:a16="http://schemas.microsoft.com/office/drawing/2014/main" id="{00000000-0008-0000-0E00-0000E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2223" name="Check Box 239" hidden="1">
              <a:extLst>
                <a:ext uri="{63B3BB69-23CF-44E3-9099-C40C66FF867C}">
                  <a14:compatExt spid="_x0000_s42223"/>
                </a:ext>
                <a:ext uri="{FF2B5EF4-FFF2-40B4-BE49-F238E27FC236}">
                  <a16:creationId xmlns:a16="http://schemas.microsoft.com/office/drawing/2014/main" id="{00000000-0008-0000-0E00-0000E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2224" name="Check Box 240" hidden="1">
              <a:extLst>
                <a:ext uri="{63B3BB69-23CF-44E3-9099-C40C66FF867C}">
                  <a14:compatExt spid="_x0000_s42224"/>
                </a:ext>
                <a:ext uri="{FF2B5EF4-FFF2-40B4-BE49-F238E27FC236}">
                  <a16:creationId xmlns:a16="http://schemas.microsoft.com/office/drawing/2014/main" id="{00000000-0008-0000-0E00-0000F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47</xdr:row>
          <xdr:rowOff>28575</xdr:rowOff>
        </xdr:from>
        <xdr:to>
          <xdr:col>5</xdr:col>
          <xdr:colOff>447675</xdr:colOff>
          <xdr:row>48</xdr:row>
          <xdr:rowOff>0</xdr:rowOff>
        </xdr:to>
        <xdr:sp macro="" textlink="">
          <xdr:nvSpPr>
            <xdr:cNvPr id="42225" name="Check Box 241" hidden="1">
              <a:extLst>
                <a:ext uri="{63B3BB69-23CF-44E3-9099-C40C66FF867C}">
                  <a14:compatExt spid="_x0000_s42225"/>
                </a:ext>
                <a:ext uri="{FF2B5EF4-FFF2-40B4-BE49-F238E27FC236}">
                  <a16:creationId xmlns:a16="http://schemas.microsoft.com/office/drawing/2014/main" id="{00000000-0008-0000-0E00-0000F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47</xdr:row>
          <xdr:rowOff>28575</xdr:rowOff>
        </xdr:from>
        <xdr:to>
          <xdr:col>6</xdr:col>
          <xdr:colOff>419100</xdr:colOff>
          <xdr:row>48</xdr:row>
          <xdr:rowOff>0</xdr:rowOff>
        </xdr:to>
        <xdr:sp macro="" textlink="">
          <xdr:nvSpPr>
            <xdr:cNvPr id="42226" name="Check Box 242" hidden="1">
              <a:extLst>
                <a:ext uri="{63B3BB69-23CF-44E3-9099-C40C66FF867C}">
                  <a14:compatExt spid="_x0000_s42226"/>
                </a:ext>
                <a:ext uri="{FF2B5EF4-FFF2-40B4-BE49-F238E27FC236}">
                  <a16:creationId xmlns:a16="http://schemas.microsoft.com/office/drawing/2014/main" id="{00000000-0008-0000-0E00-0000F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47</xdr:row>
          <xdr:rowOff>28575</xdr:rowOff>
        </xdr:from>
        <xdr:to>
          <xdr:col>7</xdr:col>
          <xdr:colOff>419100</xdr:colOff>
          <xdr:row>48</xdr:row>
          <xdr:rowOff>0</xdr:rowOff>
        </xdr:to>
        <xdr:sp macro="" textlink="">
          <xdr:nvSpPr>
            <xdr:cNvPr id="42227" name="Check Box 243" hidden="1">
              <a:extLst>
                <a:ext uri="{63B3BB69-23CF-44E3-9099-C40C66FF867C}">
                  <a14:compatExt spid="_x0000_s42227"/>
                </a:ext>
                <a:ext uri="{FF2B5EF4-FFF2-40B4-BE49-F238E27FC236}">
                  <a16:creationId xmlns:a16="http://schemas.microsoft.com/office/drawing/2014/main" id="{00000000-0008-0000-0E00-0000F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48</xdr:row>
          <xdr:rowOff>28575</xdr:rowOff>
        </xdr:from>
        <xdr:to>
          <xdr:col>5</xdr:col>
          <xdr:colOff>447675</xdr:colOff>
          <xdr:row>49</xdr:row>
          <xdr:rowOff>0</xdr:rowOff>
        </xdr:to>
        <xdr:sp macro="" textlink="">
          <xdr:nvSpPr>
            <xdr:cNvPr id="42228" name="Check Box 244" hidden="1">
              <a:extLst>
                <a:ext uri="{63B3BB69-23CF-44E3-9099-C40C66FF867C}">
                  <a14:compatExt spid="_x0000_s42228"/>
                </a:ext>
                <a:ext uri="{FF2B5EF4-FFF2-40B4-BE49-F238E27FC236}">
                  <a16:creationId xmlns:a16="http://schemas.microsoft.com/office/drawing/2014/main" id="{00000000-0008-0000-0E00-0000F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48</xdr:row>
          <xdr:rowOff>28575</xdr:rowOff>
        </xdr:from>
        <xdr:to>
          <xdr:col>6</xdr:col>
          <xdr:colOff>419100</xdr:colOff>
          <xdr:row>49</xdr:row>
          <xdr:rowOff>0</xdr:rowOff>
        </xdr:to>
        <xdr:sp macro="" textlink="">
          <xdr:nvSpPr>
            <xdr:cNvPr id="42229" name="Check Box 245" hidden="1">
              <a:extLst>
                <a:ext uri="{63B3BB69-23CF-44E3-9099-C40C66FF867C}">
                  <a14:compatExt spid="_x0000_s42229"/>
                </a:ext>
                <a:ext uri="{FF2B5EF4-FFF2-40B4-BE49-F238E27FC236}">
                  <a16:creationId xmlns:a16="http://schemas.microsoft.com/office/drawing/2014/main" id="{00000000-0008-0000-0E00-0000F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48</xdr:row>
          <xdr:rowOff>28575</xdr:rowOff>
        </xdr:from>
        <xdr:to>
          <xdr:col>7</xdr:col>
          <xdr:colOff>419100</xdr:colOff>
          <xdr:row>49</xdr:row>
          <xdr:rowOff>0</xdr:rowOff>
        </xdr:to>
        <xdr:sp macro="" textlink="">
          <xdr:nvSpPr>
            <xdr:cNvPr id="42230" name="Check Box 246" hidden="1">
              <a:extLst>
                <a:ext uri="{63B3BB69-23CF-44E3-9099-C40C66FF867C}">
                  <a14:compatExt spid="_x0000_s42230"/>
                </a:ext>
                <a:ext uri="{FF2B5EF4-FFF2-40B4-BE49-F238E27FC236}">
                  <a16:creationId xmlns:a16="http://schemas.microsoft.com/office/drawing/2014/main" id="{00000000-0008-0000-0E00-0000F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48</xdr:row>
          <xdr:rowOff>28575</xdr:rowOff>
        </xdr:from>
        <xdr:to>
          <xdr:col>5</xdr:col>
          <xdr:colOff>447675</xdr:colOff>
          <xdr:row>49</xdr:row>
          <xdr:rowOff>0</xdr:rowOff>
        </xdr:to>
        <xdr:sp macro="" textlink="">
          <xdr:nvSpPr>
            <xdr:cNvPr id="42231" name="Check Box 247" hidden="1">
              <a:extLst>
                <a:ext uri="{63B3BB69-23CF-44E3-9099-C40C66FF867C}">
                  <a14:compatExt spid="_x0000_s42231"/>
                </a:ext>
                <a:ext uri="{FF2B5EF4-FFF2-40B4-BE49-F238E27FC236}">
                  <a16:creationId xmlns:a16="http://schemas.microsoft.com/office/drawing/2014/main" id="{00000000-0008-0000-0E00-0000F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48</xdr:row>
          <xdr:rowOff>28575</xdr:rowOff>
        </xdr:from>
        <xdr:to>
          <xdr:col>6</xdr:col>
          <xdr:colOff>419100</xdr:colOff>
          <xdr:row>49</xdr:row>
          <xdr:rowOff>0</xdr:rowOff>
        </xdr:to>
        <xdr:sp macro="" textlink="">
          <xdr:nvSpPr>
            <xdr:cNvPr id="42232" name="Check Box 248" hidden="1">
              <a:extLst>
                <a:ext uri="{63B3BB69-23CF-44E3-9099-C40C66FF867C}">
                  <a14:compatExt spid="_x0000_s42232"/>
                </a:ext>
                <a:ext uri="{FF2B5EF4-FFF2-40B4-BE49-F238E27FC236}">
                  <a16:creationId xmlns:a16="http://schemas.microsoft.com/office/drawing/2014/main" id="{00000000-0008-0000-0E00-0000F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48</xdr:row>
          <xdr:rowOff>28575</xdr:rowOff>
        </xdr:from>
        <xdr:to>
          <xdr:col>7</xdr:col>
          <xdr:colOff>419100</xdr:colOff>
          <xdr:row>49</xdr:row>
          <xdr:rowOff>0</xdr:rowOff>
        </xdr:to>
        <xdr:sp macro="" textlink="">
          <xdr:nvSpPr>
            <xdr:cNvPr id="42233" name="Check Box 249" hidden="1">
              <a:extLst>
                <a:ext uri="{63B3BB69-23CF-44E3-9099-C40C66FF867C}">
                  <a14:compatExt spid="_x0000_s42233"/>
                </a:ext>
                <a:ext uri="{FF2B5EF4-FFF2-40B4-BE49-F238E27FC236}">
                  <a16:creationId xmlns:a16="http://schemas.microsoft.com/office/drawing/2014/main" id="{00000000-0008-0000-0E00-0000F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49</xdr:row>
          <xdr:rowOff>28575</xdr:rowOff>
        </xdr:from>
        <xdr:to>
          <xdr:col>5</xdr:col>
          <xdr:colOff>447675</xdr:colOff>
          <xdr:row>50</xdr:row>
          <xdr:rowOff>0</xdr:rowOff>
        </xdr:to>
        <xdr:sp macro="" textlink="">
          <xdr:nvSpPr>
            <xdr:cNvPr id="42234" name="Check Box 250" hidden="1">
              <a:extLst>
                <a:ext uri="{63B3BB69-23CF-44E3-9099-C40C66FF867C}">
                  <a14:compatExt spid="_x0000_s42234"/>
                </a:ext>
                <a:ext uri="{FF2B5EF4-FFF2-40B4-BE49-F238E27FC236}">
                  <a16:creationId xmlns:a16="http://schemas.microsoft.com/office/drawing/2014/main" id="{00000000-0008-0000-0E00-0000F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49</xdr:row>
          <xdr:rowOff>28575</xdr:rowOff>
        </xdr:from>
        <xdr:to>
          <xdr:col>6</xdr:col>
          <xdr:colOff>419100</xdr:colOff>
          <xdr:row>50</xdr:row>
          <xdr:rowOff>0</xdr:rowOff>
        </xdr:to>
        <xdr:sp macro="" textlink="">
          <xdr:nvSpPr>
            <xdr:cNvPr id="42235" name="Check Box 251" hidden="1">
              <a:extLst>
                <a:ext uri="{63B3BB69-23CF-44E3-9099-C40C66FF867C}">
                  <a14:compatExt spid="_x0000_s42235"/>
                </a:ext>
                <a:ext uri="{FF2B5EF4-FFF2-40B4-BE49-F238E27FC236}">
                  <a16:creationId xmlns:a16="http://schemas.microsoft.com/office/drawing/2014/main" id="{00000000-0008-0000-0E00-0000F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49</xdr:row>
          <xdr:rowOff>28575</xdr:rowOff>
        </xdr:from>
        <xdr:to>
          <xdr:col>7</xdr:col>
          <xdr:colOff>419100</xdr:colOff>
          <xdr:row>50</xdr:row>
          <xdr:rowOff>0</xdr:rowOff>
        </xdr:to>
        <xdr:sp macro="" textlink="">
          <xdr:nvSpPr>
            <xdr:cNvPr id="42236" name="Check Box 252" hidden="1">
              <a:extLst>
                <a:ext uri="{63B3BB69-23CF-44E3-9099-C40C66FF867C}">
                  <a14:compatExt spid="_x0000_s42236"/>
                </a:ext>
                <a:ext uri="{FF2B5EF4-FFF2-40B4-BE49-F238E27FC236}">
                  <a16:creationId xmlns:a16="http://schemas.microsoft.com/office/drawing/2014/main" id="{00000000-0008-0000-0E00-0000F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49</xdr:row>
          <xdr:rowOff>28575</xdr:rowOff>
        </xdr:from>
        <xdr:to>
          <xdr:col>5</xdr:col>
          <xdr:colOff>447675</xdr:colOff>
          <xdr:row>50</xdr:row>
          <xdr:rowOff>0</xdr:rowOff>
        </xdr:to>
        <xdr:sp macro="" textlink="">
          <xdr:nvSpPr>
            <xdr:cNvPr id="42237" name="Check Box 253" hidden="1">
              <a:extLst>
                <a:ext uri="{63B3BB69-23CF-44E3-9099-C40C66FF867C}">
                  <a14:compatExt spid="_x0000_s42237"/>
                </a:ext>
                <a:ext uri="{FF2B5EF4-FFF2-40B4-BE49-F238E27FC236}">
                  <a16:creationId xmlns:a16="http://schemas.microsoft.com/office/drawing/2014/main" id="{00000000-0008-0000-0E00-0000F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49</xdr:row>
          <xdr:rowOff>28575</xdr:rowOff>
        </xdr:from>
        <xdr:to>
          <xdr:col>6</xdr:col>
          <xdr:colOff>419100</xdr:colOff>
          <xdr:row>50</xdr:row>
          <xdr:rowOff>0</xdr:rowOff>
        </xdr:to>
        <xdr:sp macro="" textlink="">
          <xdr:nvSpPr>
            <xdr:cNvPr id="42238" name="Check Box 254" hidden="1">
              <a:extLst>
                <a:ext uri="{63B3BB69-23CF-44E3-9099-C40C66FF867C}">
                  <a14:compatExt spid="_x0000_s42238"/>
                </a:ext>
                <a:ext uri="{FF2B5EF4-FFF2-40B4-BE49-F238E27FC236}">
                  <a16:creationId xmlns:a16="http://schemas.microsoft.com/office/drawing/2014/main" id="{00000000-0008-0000-0E00-0000F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49</xdr:row>
          <xdr:rowOff>28575</xdr:rowOff>
        </xdr:from>
        <xdr:to>
          <xdr:col>7</xdr:col>
          <xdr:colOff>419100</xdr:colOff>
          <xdr:row>50</xdr:row>
          <xdr:rowOff>0</xdr:rowOff>
        </xdr:to>
        <xdr:sp macro="" textlink="">
          <xdr:nvSpPr>
            <xdr:cNvPr id="42239" name="Check Box 255" hidden="1">
              <a:extLst>
                <a:ext uri="{63B3BB69-23CF-44E3-9099-C40C66FF867C}">
                  <a14:compatExt spid="_x0000_s42239"/>
                </a:ext>
                <a:ext uri="{FF2B5EF4-FFF2-40B4-BE49-F238E27FC236}">
                  <a16:creationId xmlns:a16="http://schemas.microsoft.com/office/drawing/2014/main" id="{00000000-0008-0000-0E00-0000F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50</xdr:row>
          <xdr:rowOff>28575</xdr:rowOff>
        </xdr:from>
        <xdr:to>
          <xdr:col>5</xdr:col>
          <xdr:colOff>447675</xdr:colOff>
          <xdr:row>51</xdr:row>
          <xdr:rowOff>0</xdr:rowOff>
        </xdr:to>
        <xdr:sp macro="" textlink="">
          <xdr:nvSpPr>
            <xdr:cNvPr id="42240" name="Check Box 256" hidden="1">
              <a:extLst>
                <a:ext uri="{63B3BB69-23CF-44E3-9099-C40C66FF867C}">
                  <a14:compatExt spid="_x0000_s42240"/>
                </a:ext>
                <a:ext uri="{FF2B5EF4-FFF2-40B4-BE49-F238E27FC236}">
                  <a16:creationId xmlns:a16="http://schemas.microsoft.com/office/drawing/2014/main" id="{00000000-0008-0000-0E00-00000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50</xdr:row>
          <xdr:rowOff>28575</xdr:rowOff>
        </xdr:from>
        <xdr:to>
          <xdr:col>6</xdr:col>
          <xdr:colOff>419100</xdr:colOff>
          <xdr:row>51</xdr:row>
          <xdr:rowOff>0</xdr:rowOff>
        </xdr:to>
        <xdr:sp macro="" textlink="">
          <xdr:nvSpPr>
            <xdr:cNvPr id="42241" name="Check Box 257" hidden="1">
              <a:extLst>
                <a:ext uri="{63B3BB69-23CF-44E3-9099-C40C66FF867C}">
                  <a14:compatExt spid="_x0000_s42241"/>
                </a:ext>
                <a:ext uri="{FF2B5EF4-FFF2-40B4-BE49-F238E27FC236}">
                  <a16:creationId xmlns:a16="http://schemas.microsoft.com/office/drawing/2014/main" id="{00000000-0008-0000-0E00-00000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50</xdr:row>
          <xdr:rowOff>28575</xdr:rowOff>
        </xdr:from>
        <xdr:to>
          <xdr:col>7</xdr:col>
          <xdr:colOff>419100</xdr:colOff>
          <xdr:row>51</xdr:row>
          <xdr:rowOff>0</xdr:rowOff>
        </xdr:to>
        <xdr:sp macro="" textlink="">
          <xdr:nvSpPr>
            <xdr:cNvPr id="42242" name="Check Box 258" hidden="1">
              <a:extLst>
                <a:ext uri="{63B3BB69-23CF-44E3-9099-C40C66FF867C}">
                  <a14:compatExt spid="_x0000_s42242"/>
                </a:ext>
                <a:ext uri="{FF2B5EF4-FFF2-40B4-BE49-F238E27FC236}">
                  <a16:creationId xmlns:a16="http://schemas.microsoft.com/office/drawing/2014/main" id="{00000000-0008-0000-0E00-00000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50</xdr:row>
          <xdr:rowOff>28575</xdr:rowOff>
        </xdr:from>
        <xdr:to>
          <xdr:col>5</xdr:col>
          <xdr:colOff>447675</xdr:colOff>
          <xdr:row>51</xdr:row>
          <xdr:rowOff>0</xdr:rowOff>
        </xdr:to>
        <xdr:sp macro="" textlink="">
          <xdr:nvSpPr>
            <xdr:cNvPr id="42243" name="Check Box 259" hidden="1">
              <a:extLst>
                <a:ext uri="{63B3BB69-23CF-44E3-9099-C40C66FF867C}">
                  <a14:compatExt spid="_x0000_s42243"/>
                </a:ext>
                <a:ext uri="{FF2B5EF4-FFF2-40B4-BE49-F238E27FC236}">
                  <a16:creationId xmlns:a16="http://schemas.microsoft.com/office/drawing/2014/main" id="{00000000-0008-0000-0E00-00000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50</xdr:row>
          <xdr:rowOff>28575</xdr:rowOff>
        </xdr:from>
        <xdr:to>
          <xdr:col>6</xdr:col>
          <xdr:colOff>419100</xdr:colOff>
          <xdr:row>51</xdr:row>
          <xdr:rowOff>0</xdr:rowOff>
        </xdr:to>
        <xdr:sp macro="" textlink="">
          <xdr:nvSpPr>
            <xdr:cNvPr id="42244" name="Check Box 260" hidden="1">
              <a:extLst>
                <a:ext uri="{63B3BB69-23CF-44E3-9099-C40C66FF867C}">
                  <a14:compatExt spid="_x0000_s42244"/>
                </a:ext>
                <a:ext uri="{FF2B5EF4-FFF2-40B4-BE49-F238E27FC236}">
                  <a16:creationId xmlns:a16="http://schemas.microsoft.com/office/drawing/2014/main" id="{00000000-0008-0000-0E00-00000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50</xdr:row>
          <xdr:rowOff>28575</xdr:rowOff>
        </xdr:from>
        <xdr:to>
          <xdr:col>7</xdr:col>
          <xdr:colOff>419100</xdr:colOff>
          <xdr:row>51</xdr:row>
          <xdr:rowOff>0</xdr:rowOff>
        </xdr:to>
        <xdr:sp macro="" textlink="">
          <xdr:nvSpPr>
            <xdr:cNvPr id="42245" name="Check Box 261" hidden="1">
              <a:extLst>
                <a:ext uri="{63B3BB69-23CF-44E3-9099-C40C66FF867C}">
                  <a14:compatExt spid="_x0000_s42245"/>
                </a:ext>
                <a:ext uri="{FF2B5EF4-FFF2-40B4-BE49-F238E27FC236}">
                  <a16:creationId xmlns:a16="http://schemas.microsoft.com/office/drawing/2014/main" id="{00000000-0008-0000-0E00-00000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246" name="Check Box 262" hidden="1">
              <a:extLst>
                <a:ext uri="{63B3BB69-23CF-44E3-9099-C40C66FF867C}">
                  <a14:compatExt spid="_x0000_s42246"/>
                </a:ext>
                <a:ext uri="{FF2B5EF4-FFF2-40B4-BE49-F238E27FC236}">
                  <a16:creationId xmlns:a16="http://schemas.microsoft.com/office/drawing/2014/main" id="{00000000-0008-0000-0E00-00000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247" name="Check Box 263" hidden="1">
              <a:extLst>
                <a:ext uri="{63B3BB69-23CF-44E3-9099-C40C66FF867C}">
                  <a14:compatExt spid="_x0000_s42247"/>
                </a:ext>
                <a:ext uri="{FF2B5EF4-FFF2-40B4-BE49-F238E27FC236}">
                  <a16:creationId xmlns:a16="http://schemas.microsoft.com/office/drawing/2014/main" id="{00000000-0008-0000-0E00-00000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248" name="Check Box 264" hidden="1">
              <a:extLst>
                <a:ext uri="{63B3BB69-23CF-44E3-9099-C40C66FF867C}">
                  <a14:compatExt spid="_x0000_s42248"/>
                </a:ext>
                <a:ext uri="{FF2B5EF4-FFF2-40B4-BE49-F238E27FC236}">
                  <a16:creationId xmlns:a16="http://schemas.microsoft.com/office/drawing/2014/main" id="{00000000-0008-0000-0E00-00000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2249" name="Check Box 265" hidden="1">
              <a:extLst>
                <a:ext uri="{63B3BB69-23CF-44E3-9099-C40C66FF867C}">
                  <a14:compatExt spid="_x0000_s42249"/>
                </a:ext>
                <a:ext uri="{FF2B5EF4-FFF2-40B4-BE49-F238E27FC236}">
                  <a16:creationId xmlns:a16="http://schemas.microsoft.com/office/drawing/2014/main" id="{00000000-0008-0000-0E00-00000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2250" name="Check Box 266" hidden="1">
              <a:extLst>
                <a:ext uri="{63B3BB69-23CF-44E3-9099-C40C66FF867C}">
                  <a14:compatExt spid="_x0000_s42250"/>
                </a:ext>
                <a:ext uri="{FF2B5EF4-FFF2-40B4-BE49-F238E27FC236}">
                  <a16:creationId xmlns:a16="http://schemas.microsoft.com/office/drawing/2014/main" id="{00000000-0008-0000-0E00-00000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2251" name="Check Box 267" hidden="1">
              <a:extLst>
                <a:ext uri="{63B3BB69-23CF-44E3-9099-C40C66FF867C}">
                  <a14:compatExt spid="_x0000_s42251"/>
                </a:ext>
                <a:ext uri="{FF2B5EF4-FFF2-40B4-BE49-F238E27FC236}">
                  <a16:creationId xmlns:a16="http://schemas.microsoft.com/office/drawing/2014/main" id="{00000000-0008-0000-0E00-00000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2252" name="Check Box 268" hidden="1">
              <a:extLst>
                <a:ext uri="{63B3BB69-23CF-44E3-9099-C40C66FF867C}">
                  <a14:compatExt spid="_x0000_s42252"/>
                </a:ext>
                <a:ext uri="{FF2B5EF4-FFF2-40B4-BE49-F238E27FC236}">
                  <a16:creationId xmlns:a16="http://schemas.microsoft.com/office/drawing/2014/main" id="{00000000-0008-0000-0E00-00000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2253" name="Check Box 269" hidden="1">
              <a:extLst>
                <a:ext uri="{63B3BB69-23CF-44E3-9099-C40C66FF867C}">
                  <a14:compatExt spid="_x0000_s42253"/>
                </a:ext>
                <a:ext uri="{FF2B5EF4-FFF2-40B4-BE49-F238E27FC236}">
                  <a16:creationId xmlns:a16="http://schemas.microsoft.com/office/drawing/2014/main" id="{00000000-0008-0000-0E00-00000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2254" name="Check Box 270" hidden="1">
              <a:extLst>
                <a:ext uri="{63B3BB69-23CF-44E3-9099-C40C66FF867C}">
                  <a14:compatExt spid="_x0000_s42254"/>
                </a:ext>
                <a:ext uri="{FF2B5EF4-FFF2-40B4-BE49-F238E27FC236}">
                  <a16:creationId xmlns:a16="http://schemas.microsoft.com/office/drawing/2014/main" id="{00000000-0008-0000-0E00-00000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47</xdr:row>
          <xdr:rowOff>28575</xdr:rowOff>
        </xdr:from>
        <xdr:to>
          <xdr:col>5</xdr:col>
          <xdr:colOff>447675</xdr:colOff>
          <xdr:row>48</xdr:row>
          <xdr:rowOff>0</xdr:rowOff>
        </xdr:to>
        <xdr:sp macro="" textlink="">
          <xdr:nvSpPr>
            <xdr:cNvPr id="42255" name="Check Box 271" hidden="1">
              <a:extLst>
                <a:ext uri="{63B3BB69-23CF-44E3-9099-C40C66FF867C}">
                  <a14:compatExt spid="_x0000_s42255"/>
                </a:ext>
                <a:ext uri="{FF2B5EF4-FFF2-40B4-BE49-F238E27FC236}">
                  <a16:creationId xmlns:a16="http://schemas.microsoft.com/office/drawing/2014/main" id="{00000000-0008-0000-0E00-00000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47</xdr:row>
          <xdr:rowOff>28575</xdr:rowOff>
        </xdr:from>
        <xdr:to>
          <xdr:col>6</xdr:col>
          <xdr:colOff>419100</xdr:colOff>
          <xdr:row>48</xdr:row>
          <xdr:rowOff>0</xdr:rowOff>
        </xdr:to>
        <xdr:sp macro="" textlink="">
          <xdr:nvSpPr>
            <xdr:cNvPr id="42256" name="Check Box 272" hidden="1">
              <a:extLst>
                <a:ext uri="{63B3BB69-23CF-44E3-9099-C40C66FF867C}">
                  <a14:compatExt spid="_x0000_s42256"/>
                </a:ext>
                <a:ext uri="{FF2B5EF4-FFF2-40B4-BE49-F238E27FC236}">
                  <a16:creationId xmlns:a16="http://schemas.microsoft.com/office/drawing/2014/main" id="{00000000-0008-0000-0E00-00001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47</xdr:row>
          <xdr:rowOff>28575</xdr:rowOff>
        </xdr:from>
        <xdr:to>
          <xdr:col>7</xdr:col>
          <xdr:colOff>419100</xdr:colOff>
          <xdr:row>48</xdr:row>
          <xdr:rowOff>0</xdr:rowOff>
        </xdr:to>
        <xdr:sp macro="" textlink="">
          <xdr:nvSpPr>
            <xdr:cNvPr id="42257" name="Check Box 273" hidden="1">
              <a:extLst>
                <a:ext uri="{63B3BB69-23CF-44E3-9099-C40C66FF867C}">
                  <a14:compatExt spid="_x0000_s42257"/>
                </a:ext>
                <a:ext uri="{FF2B5EF4-FFF2-40B4-BE49-F238E27FC236}">
                  <a16:creationId xmlns:a16="http://schemas.microsoft.com/office/drawing/2014/main" id="{00000000-0008-0000-0E00-00001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2258" name="Check Box 274" hidden="1">
              <a:extLst>
                <a:ext uri="{63B3BB69-23CF-44E3-9099-C40C66FF867C}">
                  <a14:compatExt spid="_x0000_s42258"/>
                </a:ext>
                <a:ext uri="{FF2B5EF4-FFF2-40B4-BE49-F238E27FC236}">
                  <a16:creationId xmlns:a16="http://schemas.microsoft.com/office/drawing/2014/main" id="{00000000-0008-0000-0E00-00001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2259" name="Check Box 275" hidden="1">
              <a:extLst>
                <a:ext uri="{63B3BB69-23CF-44E3-9099-C40C66FF867C}">
                  <a14:compatExt spid="_x0000_s42259"/>
                </a:ext>
                <a:ext uri="{FF2B5EF4-FFF2-40B4-BE49-F238E27FC236}">
                  <a16:creationId xmlns:a16="http://schemas.microsoft.com/office/drawing/2014/main" id="{00000000-0008-0000-0E00-00001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2260" name="Check Box 276" hidden="1">
              <a:extLst>
                <a:ext uri="{63B3BB69-23CF-44E3-9099-C40C66FF867C}">
                  <a14:compatExt spid="_x0000_s42260"/>
                </a:ext>
                <a:ext uri="{FF2B5EF4-FFF2-40B4-BE49-F238E27FC236}">
                  <a16:creationId xmlns:a16="http://schemas.microsoft.com/office/drawing/2014/main" id="{00000000-0008-0000-0E00-00001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261" name="Check Box 277" hidden="1">
              <a:extLst>
                <a:ext uri="{63B3BB69-23CF-44E3-9099-C40C66FF867C}">
                  <a14:compatExt spid="_x0000_s42261"/>
                </a:ext>
                <a:ext uri="{FF2B5EF4-FFF2-40B4-BE49-F238E27FC236}">
                  <a16:creationId xmlns:a16="http://schemas.microsoft.com/office/drawing/2014/main" id="{00000000-0008-0000-0E00-00001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262" name="Check Box 278" hidden="1">
              <a:extLst>
                <a:ext uri="{63B3BB69-23CF-44E3-9099-C40C66FF867C}">
                  <a14:compatExt spid="_x0000_s42262"/>
                </a:ext>
                <a:ext uri="{FF2B5EF4-FFF2-40B4-BE49-F238E27FC236}">
                  <a16:creationId xmlns:a16="http://schemas.microsoft.com/office/drawing/2014/main" id="{00000000-0008-0000-0E00-00001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263" name="Check Box 279" hidden="1">
              <a:extLst>
                <a:ext uri="{63B3BB69-23CF-44E3-9099-C40C66FF867C}">
                  <a14:compatExt spid="_x0000_s42263"/>
                </a:ext>
                <a:ext uri="{FF2B5EF4-FFF2-40B4-BE49-F238E27FC236}">
                  <a16:creationId xmlns:a16="http://schemas.microsoft.com/office/drawing/2014/main" id="{00000000-0008-0000-0E00-00001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264" name="Check Box 280" hidden="1">
              <a:extLst>
                <a:ext uri="{63B3BB69-23CF-44E3-9099-C40C66FF867C}">
                  <a14:compatExt spid="_x0000_s42264"/>
                </a:ext>
                <a:ext uri="{FF2B5EF4-FFF2-40B4-BE49-F238E27FC236}">
                  <a16:creationId xmlns:a16="http://schemas.microsoft.com/office/drawing/2014/main" id="{00000000-0008-0000-0E00-00001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265" name="Check Box 281" hidden="1">
              <a:extLst>
                <a:ext uri="{63B3BB69-23CF-44E3-9099-C40C66FF867C}">
                  <a14:compatExt spid="_x0000_s42265"/>
                </a:ext>
                <a:ext uri="{FF2B5EF4-FFF2-40B4-BE49-F238E27FC236}">
                  <a16:creationId xmlns:a16="http://schemas.microsoft.com/office/drawing/2014/main" id="{00000000-0008-0000-0E00-00001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266" name="Check Box 282" hidden="1">
              <a:extLst>
                <a:ext uri="{63B3BB69-23CF-44E3-9099-C40C66FF867C}">
                  <a14:compatExt spid="_x0000_s42266"/>
                </a:ext>
                <a:ext uri="{FF2B5EF4-FFF2-40B4-BE49-F238E27FC236}">
                  <a16:creationId xmlns:a16="http://schemas.microsoft.com/office/drawing/2014/main" id="{00000000-0008-0000-0E00-00001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2267" name="Check Box 283" hidden="1">
              <a:extLst>
                <a:ext uri="{63B3BB69-23CF-44E3-9099-C40C66FF867C}">
                  <a14:compatExt spid="_x0000_s42267"/>
                </a:ext>
                <a:ext uri="{FF2B5EF4-FFF2-40B4-BE49-F238E27FC236}">
                  <a16:creationId xmlns:a16="http://schemas.microsoft.com/office/drawing/2014/main" id="{00000000-0008-0000-0E00-00001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2268" name="Check Box 284" hidden="1">
              <a:extLst>
                <a:ext uri="{63B3BB69-23CF-44E3-9099-C40C66FF867C}">
                  <a14:compatExt spid="_x0000_s42268"/>
                </a:ext>
                <a:ext uri="{FF2B5EF4-FFF2-40B4-BE49-F238E27FC236}">
                  <a16:creationId xmlns:a16="http://schemas.microsoft.com/office/drawing/2014/main" id="{00000000-0008-0000-0E00-00001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2269" name="Check Box 285" hidden="1">
              <a:extLst>
                <a:ext uri="{63B3BB69-23CF-44E3-9099-C40C66FF867C}">
                  <a14:compatExt spid="_x0000_s42269"/>
                </a:ext>
                <a:ext uri="{FF2B5EF4-FFF2-40B4-BE49-F238E27FC236}">
                  <a16:creationId xmlns:a16="http://schemas.microsoft.com/office/drawing/2014/main" id="{00000000-0008-0000-0E00-00001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2270" name="Check Box 286" hidden="1">
              <a:extLst>
                <a:ext uri="{63B3BB69-23CF-44E3-9099-C40C66FF867C}">
                  <a14:compatExt spid="_x0000_s42270"/>
                </a:ext>
                <a:ext uri="{FF2B5EF4-FFF2-40B4-BE49-F238E27FC236}">
                  <a16:creationId xmlns:a16="http://schemas.microsoft.com/office/drawing/2014/main" id="{00000000-0008-0000-0E00-00001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2271" name="Check Box 287" hidden="1">
              <a:extLst>
                <a:ext uri="{63B3BB69-23CF-44E3-9099-C40C66FF867C}">
                  <a14:compatExt spid="_x0000_s42271"/>
                </a:ext>
                <a:ext uri="{FF2B5EF4-FFF2-40B4-BE49-F238E27FC236}">
                  <a16:creationId xmlns:a16="http://schemas.microsoft.com/office/drawing/2014/main" id="{00000000-0008-0000-0E00-00001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2272" name="Check Box 288" hidden="1">
              <a:extLst>
                <a:ext uri="{63B3BB69-23CF-44E3-9099-C40C66FF867C}">
                  <a14:compatExt spid="_x0000_s42272"/>
                </a:ext>
                <a:ext uri="{FF2B5EF4-FFF2-40B4-BE49-F238E27FC236}">
                  <a16:creationId xmlns:a16="http://schemas.microsoft.com/office/drawing/2014/main" id="{00000000-0008-0000-0E00-00002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273" name="Check Box 289" hidden="1">
              <a:extLst>
                <a:ext uri="{63B3BB69-23CF-44E3-9099-C40C66FF867C}">
                  <a14:compatExt spid="_x0000_s42273"/>
                </a:ext>
                <a:ext uri="{FF2B5EF4-FFF2-40B4-BE49-F238E27FC236}">
                  <a16:creationId xmlns:a16="http://schemas.microsoft.com/office/drawing/2014/main" id="{00000000-0008-0000-0E00-00002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274" name="Check Box 290" hidden="1">
              <a:extLst>
                <a:ext uri="{63B3BB69-23CF-44E3-9099-C40C66FF867C}">
                  <a14:compatExt spid="_x0000_s42274"/>
                </a:ext>
                <a:ext uri="{FF2B5EF4-FFF2-40B4-BE49-F238E27FC236}">
                  <a16:creationId xmlns:a16="http://schemas.microsoft.com/office/drawing/2014/main" id="{00000000-0008-0000-0E00-00002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275" name="Check Box 291" hidden="1">
              <a:extLst>
                <a:ext uri="{63B3BB69-23CF-44E3-9099-C40C66FF867C}">
                  <a14:compatExt spid="_x0000_s42275"/>
                </a:ext>
                <a:ext uri="{FF2B5EF4-FFF2-40B4-BE49-F238E27FC236}">
                  <a16:creationId xmlns:a16="http://schemas.microsoft.com/office/drawing/2014/main" id="{00000000-0008-0000-0E00-00002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276" name="Check Box 292" hidden="1">
              <a:extLst>
                <a:ext uri="{63B3BB69-23CF-44E3-9099-C40C66FF867C}">
                  <a14:compatExt spid="_x0000_s42276"/>
                </a:ext>
                <a:ext uri="{FF2B5EF4-FFF2-40B4-BE49-F238E27FC236}">
                  <a16:creationId xmlns:a16="http://schemas.microsoft.com/office/drawing/2014/main" id="{00000000-0008-0000-0E00-00002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277" name="Check Box 293" hidden="1">
              <a:extLst>
                <a:ext uri="{63B3BB69-23CF-44E3-9099-C40C66FF867C}">
                  <a14:compatExt spid="_x0000_s42277"/>
                </a:ext>
                <a:ext uri="{FF2B5EF4-FFF2-40B4-BE49-F238E27FC236}">
                  <a16:creationId xmlns:a16="http://schemas.microsoft.com/office/drawing/2014/main" id="{00000000-0008-0000-0E00-00002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278" name="Check Box 294" hidden="1">
              <a:extLst>
                <a:ext uri="{63B3BB69-23CF-44E3-9099-C40C66FF867C}">
                  <a14:compatExt spid="_x0000_s42278"/>
                </a:ext>
                <a:ext uri="{FF2B5EF4-FFF2-40B4-BE49-F238E27FC236}">
                  <a16:creationId xmlns:a16="http://schemas.microsoft.com/office/drawing/2014/main" id="{00000000-0008-0000-0E00-00002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28575</xdr:rowOff>
        </xdr:from>
        <xdr:to>
          <xdr:col>5</xdr:col>
          <xdr:colOff>447675</xdr:colOff>
          <xdr:row>19</xdr:row>
          <xdr:rowOff>0</xdr:rowOff>
        </xdr:to>
        <xdr:sp macro="" textlink="">
          <xdr:nvSpPr>
            <xdr:cNvPr id="42279" name="Check Box 295" hidden="1">
              <a:extLst>
                <a:ext uri="{63B3BB69-23CF-44E3-9099-C40C66FF867C}">
                  <a14:compatExt spid="_x0000_s42279"/>
                </a:ext>
                <a:ext uri="{FF2B5EF4-FFF2-40B4-BE49-F238E27FC236}">
                  <a16:creationId xmlns:a16="http://schemas.microsoft.com/office/drawing/2014/main" id="{00000000-0008-0000-0E00-00002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28575</xdr:rowOff>
        </xdr:from>
        <xdr:to>
          <xdr:col>6</xdr:col>
          <xdr:colOff>419100</xdr:colOff>
          <xdr:row>19</xdr:row>
          <xdr:rowOff>0</xdr:rowOff>
        </xdr:to>
        <xdr:sp macro="" textlink="">
          <xdr:nvSpPr>
            <xdr:cNvPr id="42280" name="Check Box 296" hidden="1">
              <a:extLst>
                <a:ext uri="{63B3BB69-23CF-44E3-9099-C40C66FF867C}">
                  <a14:compatExt spid="_x0000_s42280"/>
                </a:ext>
                <a:ext uri="{FF2B5EF4-FFF2-40B4-BE49-F238E27FC236}">
                  <a16:creationId xmlns:a16="http://schemas.microsoft.com/office/drawing/2014/main" id="{00000000-0008-0000-0E00-00002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28575</xdr:rowOff>
        </xdr:from>
        <xdr:to>
          <xdr:col>7</xdr:col>
          <xdr:colOff>419100</xdr:colOff>
          <xdr:row>19</xdr:row>
          <xdr:rowOff>0</xdr:rowOff>
        </xdr:to>
        <xdr:sp macro="" textlink="">
          <xdr:nvSpPr>
            <xdr:cNvPr id="42281" name="Check Box 297" hidden="1">
              <a:extLst>
                <a:ext uri="{63B3BB69-23CF-44E3-9099-C40C66FF867C}">
                  <a14:compatExt spid="_x0000_s42281"/>
                </a:ext>
                <a:ext uri="{FF2B5EF4-FFF2-40B4-BE49-F238E27FC236}">
                  <a16:creationId xmlns:a16="http://schemas.microsoft.com/office/drawing/2014/main" id="{00000000-0008-0000-0E00-00002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28575</xdr:rowOff>
        </xdr:from>
        <xdr:to>
          <xdr:col>5</xdr:col>
          <xdr:colOff>447675</xdr:colOff>
          <xdr:row>19</xdr:row>
          <xdr:rowOff>0</xdr:rowOff>
        </xdr:to>
        <xdr:sp macro="" textlink="">
          <xdr:nvSpPr>
            <xdr:cNvPr id="42282" name="Check Box 298" hidden="1">
              <a:extLst>
                <a:ext uri="{63B3BB69-23CF-44E3-9099-C40C66FF867C}">
                  <a14:compatExt spid="_x0000_s42282"/>
                </a:ext>
                <a:ext uri="{FF2B5EF4-FFF2-40B4-BE49-F238E27FC236}">
                  <a16:creationId xmlns:a16="http://schemas.microsoft.com/office/drawing/2014/main" id="{00000000-0008-0000-0E00-00002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28575</xdr:rowOff>
        </xdr:from>
        <xdr:to>
          <xdr:col>6</xdr:col>
          <xdr:colOff>419100</xdr:colOff>
          <xdr:row>19</xdr:row>
          <xdr:rowOff>0</xdr:rowOff>
        </xdr:to>
        <xdr:sp macro="" textlink="">
          <xdr:nvSpPr>
            <xdr:cNvPr id="42283" name="Check Box 299" hidden="1">
              <a:extLst>
                <a:ext uri="{63B3BB69-23CF-44E3-9099-C40C66FF867C}">
                  <a14:compatExt spid="_x0000_s42283"/>
                </a:ext>
                <a:ext uri="{FF2B5EF4-FFF2-40B4-BE49-F238E27FC236}">
                  <a16:creationId xmlns:a16="http://schemas.microsoft.com/office/drawing/2014/main" id="{00000000-0008-0000-0E00-00002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28575</xdr:rowOff>
        </xdr:from>
        <xdr:to>
          <xdr:col>7</xdr:col>
          <xdr:colOff>419100</xdr:colOff>
          <xdr:row>19</xdr:row>
          <xdr:rowOff>0</xdr:rowOff>
        </xdr:to>
        <xdr:sp macro="" textlink="">
          <xdr:nvSpPr>
            <xdr:cNvPr id="42284" name="Check Box 300" hidden="1">
              <a:extLst>
                <a:ext uri="{63B3BB69-23CF-44E3-9099-C40C66FF867C}">
                  <a14:compatExt spid="_x0000_s42284"/>
                </a:ext>
                <a:ext uri="{FF2B5EF4-FFF2-40B4-BE49-F238E27FC236}">
                  <a16:creationId xmlns:a16="http://schemas.microsoft.com/office/drawing/2014/main" id="{00000000-0008-0000-0E00-00002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2285" name="Check Box 301" hidden="1">
              <a:extLst>
                <a:ext uri="{63B3BB69-23CF-44E3-9099-C40C66FF867C}">
                  <a14:compatExt spid="_x0000_s42285"/>
                </a:ext>
                <a:ext uri="{FF2B5EF4-FFF2-40B4-BE49-F238E27FC236}">
                  <a16:creationId xmlns:a16="http://schemas.microsoft.com/office/drawing/2014/main" id="{00000000-0008-0000-0E00-00002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2286" name="Check Box 302" hidden="1">
              <a:extLst>
                <a:ext uri="{63B3BB69-23CF-44E3-9099-C40C66FF867C}">
                  <a14:compatExt spid="_x0000_s42286"/>
                </a:ext>
                <a:ext uri="{FF2B5EF4-FFF2-40B4-BE49-F238E27FC236}">
                  <a16:creationId xmlns:a16="http://schemas.microsoft.com/office/drawing/2014/main" id="{00000000-0008-0000-0E00-00002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2287" name="Check Box 303" hidden="1">
              <a:extLst>
                <a:ext uri="{63B3BB69-23CF-44E3-9099-C40C66FF867C}">
                  <a14:compatExt spid="_x0000_s42287"/>
                </a:ext>
                <a:ext uri="{FF2B5EF4-FFF2-40B4-BE49-F238E27FC236}">
                  <a16:creationId xmlns:a16="http://schemas.microsoft.com/office/drawing/2014/main" id="{00000000-0008-0000-0E00-00002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2288" name="Check Box 304" hidden="1">
              <a:extLst>
                <a:ext uri="{63B3BB69-23CF-44E3-9099-C40C66FF867C}">
                  <a14:compatExt spid="_x0000_s42288"/>
                </a:ext>
                <a:ext uri="{FF2B5EF4-FFF2-40B4-BE49-F238E27FC236}">
                  <a16:creationId xmlns:a16="http://schemas.microsoft.com/office/drawing/2014/main" id="{00000000-0008-0000-0E00-00003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2289" name="Check Box 305" hidden="1">
              <a:extLst>
                <a:ext uri="{63B3BB69-23CF-44E3-9099-C40C66FF867C}">
                  <a14:compatExt spid="_x0000_s42289"/>
                </a:ext>
                <a:ext uri="{FF2B5EF4-FFF2-40B4-BE49-F238E27FC236}">
                  <a16:creationId xmlns:a16="http://schemas.microsoft.com/office/drawing/2014/main" id="{00000000-0008-0000-0E00-00003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2290" name="Check Box 306" hidden="1">
              <a:extLst>
                <a:ext uri="{63B3BB69-23CF-44E3-9099-C40C66FF867C}">
                  <a14:compatExt spid="_x0000_s42290"/>
                </a:ext>
                <a:ext uri="{FF2B5EF4-FFF2-40B4-BE49-F238E27FC236}">
                  <a16:creationId xmlns:a16="http://schemas.microsoft.com/office/drawing/2014/main" id="{00000000-0008-0000-0E00-00003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2291" name="Check Box 307" hidden="1">
              <a:extLst>
                <a:ext uri="{63B3BB69-23CF-44E3-9099-C40C66FF867C}">
                  <a14:compatExt spid="_x0000_s42291"/>
                </a:ext>
                <a:ext uri="{FF2B5EF4-FFF2-40B4-BE49-F238E27FC236}">
                  <a16:creationId xmlns:a16="http://schemas.microsoft.com/office/drawing/2014/main" id="{00000000-0008-0000-0E00-00003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2292" name="Check Box 308" hidden="1">
              <a:extLst>
                <a:ext uri="{63B3BB69-23CF-44E3-9099-C40C66FF867C}">
                  <a14:compatExt spid="_x0000_s42292"/>
                </a:ext>
                <a:ext uri="{FF2B5EF4-FFF2-40B4-BE49-F238E27FC236}">
                  <a16:creationId xmlns:a16="http://schemas.microsoft.com/office/drawing/2014/main" id="{00000000-0008-0000-0E00-00003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2293" name="Check Box 309" hidden="1">
              <a:extLst>
                <a:ext uri="{63B3BB69-23CF-44E3-9099-C40C66FF867C}">
                  <a14:compatExt spid="_x0000_s42293"/>
                </a:ext>
                <a:ext uri="{FF2B5EF4-FFF2-40B4-BE49-F238E27FC236}">
                  <a16:creationId xmlns:a16="http://schemas.microsoft.com/office/drawing/2014/main" id="{00000000-0008-0000-0E00-00003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2294" name="Check Box 310" hidden="1">
              <a:extLst>
                <a:ext uri="{63B3BB69-23CF-44E3-9099-C40C66FF867C}">
                  <a14:compatExt spid="_x0000_s42294"/>
                </a:ext>
                <a:ext uri="{FF2B5EF4-FFF2-40B4-BE49-F238E27FC236}">
                  <a16:creationId xmlns:a16="http://schemas.microsoft.com/office/drawing/2014/main" id="{00000000-0008-0000-0E00-00003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2295" name="Check Box 311" hidden="1">
              <a:extLst>
                <a:ext uri="{63B3BB69-23CF-44E3-9099-C40C66FF867C}">
                  <a14:compatExt spid="_x0000_s42295"/>
                </a:ext>
                <a:ext uri="{FF2B5EF4-FFF2-40B4-BE49-F238E27FC236}">
                  <a16:creationId xmlns:a16="http://schemas.microsoft.com/office/drawing/2014/main" id="{00000000-0008-0000-0E00-00003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2296" name="Check Box 312" hidden="1">
              <a:extLst>
                <a:ext uri="{63B3BB69-23CF-44E3-9099-C40C66FF867C}">
                  <a14:compatExt spid="_x0000_s42296"/>
                </a:ext>
                <a:ext uri="{FF2B5EF4-FFF2-40B4-BE49-F238E27FC236}">
                  <a16:creationId xmlns:a16="http://schemas.microsoft.com/office/drawing/2014/main" id="{00000000-0008-0000-0E00-00003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2297" name="Check Box 313" hidden="1">
              <a:extLst>
                <a:ext uri="{63B3BB69-23CF-44E3-9099-C40C66FF867C}">
                  <a14:compatExt spid="_x0000_s42297"/>
                </a:ext>
                <a:ext uri="{FF2B5EF4-FFF2-40B4-BE49-F238E27FC236}">
                  <a16:creationId xmlns:a16="http://schemas.microsoft.com/office/drawing/2014/main" id="{00000000-0008-0000-0E00-00003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2298" name="Check Box 314" hidden="1">
              <a:extLst>
                <a:ext uri="{63B3BB69-23CF-44E3-9099-C40C66FF867C}">
                  <a14:compatExt spid="_x0000_s42298"/>
                </a:ext>
                <a:ext uri="{FF2B5EF4-FFF2-40B4-BE49-F238E27FC236}">
                  <a16:creationId xmlns:a16="http://schemas.microsoft.com/office/drawing/2014/main" id="{00000000-0008-0000-0E00-00003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2299" name="Check Box 315" hidden="1">
              <a:extLst>
                <a:ext uri="{63B3BB69-23CF-44E3-9099-C40C66FF867C}">
                  <a14:compatExt spid="_x0000_s42299"/>
                </a:ext>
                <a:ext uri="{FF2B5EF4-FFF2-40B4-BE49-F238E27FC236}">
                  <a16:creationId xmlns:a16="http://schemas.microsoft.com/office/drawing/2014/main" id="{00000000-0008-0000-0E00-00003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2300" name="Check Box 316" hidden="1">
              <a:extLst>
                <a:ext uri="{63B3BB69-23CF-44E3-9099-C40C66FF867C}">
                  <a14:compatExt spid="_x0000_s42300"/>
                </a:ext>
                <a:ext uri="{FF2B5EF4-FFF2-40B4-BE49-F238E27FC236}">
                  <a16:creationId xmlns:a16="http://schemas.microsoft.com/office/drawing/2014/main" id="{00000000-0008-0000-0E00-00003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2301" name="Check Box 317" hidden="1">
              <a:extLst>
                <a:ext uri="{63B3BB69-23CF-44E3-9099-C40C66FF867C}">
                  <a14:compatExt spid="_x0000_s42301"/>
                </a:ext>
                <a:ext uri="{FF2B5EF4-FFF2-40B4-BE49-F238E27FC236}">
                  <a16:creationId xmlns:a16="http://schemas.microsoft.com/office/drawing/2014/main" id="{00000000-0008-0000-0E00-00003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2302" name="Check Box 318" hidden="1">
              <a:extLst>
                <a:ext uri="{63B3BB69-23CF-44E3-9099-C40C66FF867C}">
                  <a14:compatExt spid="_x0000_s42302"/>
                </a:ext>
                <a:ext uri="{FF2B5EF4-FFF2-40B4-BE49-F238E27FC236}">
                  <a16:creationId xmlns:a16="http://schemas.microsoft.com/office/drawing/2014/main" id="{00000000-0008-0000-0E00-00003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2303" name="Check Box 319" hidden="1">
              <a:extLst>
                <a:ext uri="{63B3BB69-23CF-44E3-9099-C40C66FF867C}">
                  <a14:compatExt spid="_x0000_s42303"/>
                </a:ext>
                <a:ext uri="{FF2B5EF4-FFF2-40B4-BE49-F238E27FC236}">
                  <a16:creationId xmlns:a16="http://schemas.microsoft.com/office/drawing/2014/main" id="{00000000-0008-0000-0E00-00003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2304" name="Check Box 320" hidden="1">
              <a:extLst>
                <a:ext uri="{63B3BB69-23CF-44E3-9099-C40C66FF867C}">
                  <a14:compatExt spid="_x0000_s42304"/>
                </a:ext>
                <a:ext uri="{FF2B5EF4-FFF2-40B4-BE49-F238E27FC236}">
                  <a16:creationId xmlns:a16="http://schemas.microsoft.com/office/drawing/2014/main" id="{00000000-0008-0000-0E00-00004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2305" name="Check Box 321" hidden="1">
              <a:extLst>
                <a:ext uri="{63B3BB69-23CF-44E3-9099-C40C66FF867C}">
                  <a14:compatExt spid="_x0000_s42305"/>
                </a:ext>
                <a:ext uri="{FF2B5EF4-FFF2-40B4-BE49-F238E27FC236}">
                  <a16:creationId xmlns:a16="http://schemas.microsoft.com/office/drawing/2014/main" id="{00000000-0008-0000-0E00-00004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2306" name="Check Box 322" hidden="1">
              <a:extLst>
                <a:ext uri="{63B3BB69-23CF-44E3-9099-C40C66FF867C}">
                  <a14:compatExt spid="_x0000_s42306"/>
                </a:ext>
                <a:ext uri="{FF2B5EF4-FFF2-40B4-BE49-F238E27FC236}">
                  <a16:creationId xmlns:a16="http://schemas.microsoft.com/office/drawing/2014/main" id="{00000000-0008-0000-0E00-00004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2307" name="Check Box 323" hidden="1">
              <a:extLst>
                <a:ext uri="{63B3BB69-23CF-44E3-9099-C40C66FF867C}">
                  <a14:compatExt spid="_x0000_s42307"/>
                </a:ext>
                <a:ext uri="{FF2B5EF4-FFF2-40B4-BE49-F238E27FC236}">
                  <a16:creationId xmlns:a16="http://schemas.microsoft.com/office/drawing/2014/main" id="{00000000-0008-0000-0E00-00004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2308" name="Check Box 324" hidden="1">
              <a:extLst>
                <a:ext uri="{63B3BB69-23CF-44E3-9099-C40C66FF867C}">
                  <a14:compatExt spid="_x0000_s42308"/>
                </a:ext>
                <a:ext uri="{FF2B5EF4-FFF2-40B4-BE49-F238E27FC236}">
                  <a16:creationId xmlns:a16="http://schemas.microsoft.com/office/drawing/2014/main" id="{00000000-0008-0000-0E00-00004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2309" name="Check Box 325" hidden="1">
              <a:extLst>
                <a:ext uri="{63B3BB69-23CF-44E3-9099-C40C66FF867C}">
                  <a14:compatExt spid="_x0000_s42309"/>
                </a:ext>
                <a:ext uri="{FF2B5EF4-FFF2-40B4-BE49-F238E27FC236}">
                  <a16:creationId xmlns:a16="http://schemas.microsoft.com/office/drawing/2014/main" id="{00000000-0008-0000-0E00-00004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2310" name="Check Box 326" hidden="1">
              <a:extLst>
                <a:ext uri="{63B3BB69-23CF-44E3-9099-C40C66FF867C}">
                  <a14:compatExt spid="_x0000_s42310"/>
                </a:ext>
                <a:ext uri="{FF2B5EF4-FFF2-40B4-BE49-F238E27FC236}">
                  <a16:creationId xmlns:a16="http://schemas.microsoft.com/office/drawing/2014/main" id="{00000000-0008-0000-0E00-00004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2311" name="Check Box 327" hidden="1">
              <a:extLst>
                <a:ext uri="{63B3BB69-23CF-44E3-9099-C40C66FF867C}">
                  <a14:compatExt spid="_x0000_s42311"/>
                </a:ext>
                <a:ext uri="{FF2B5EF4-FFF2-40B4-BE49-F238E27FC236}">
                  <a16:creationId xmlns:a16="http://schemas.microsoft.com/office/drawing/2014/main" id="{00000000-0008-0000-0E00-00004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2312" name="Check Box 328" hidden="1">
              <a:extLst>
                <a:ext uri="{63B3BB69-23CF-44E3-9099-C40C66FF867C}">
                  <a14:compatExt spid="_x0000_s42312"/>
                </a:ext>
                <a:ext uri="{FF2B5EF4-FFF2-40B4-BE49-F238E27FC236}">
                  <a16:creationId xmlns:a16="http://schemas.microsoft.com/office/drawing/2014/main" id="{00000000-0008-0000-0E00-00004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2313" name="Check Box 329" hidden="1">
              <a:extLst>
                <a:ext uri="{63B3BB69-23CF-44E3-9099-C40C66FF867C}">
                  <a14:compatExt spid="_x0000_s42313"/>
                </a:ext>
                <a:ext uri="{FF2B5EF4-FFF2-40B4-BE49-F238E27FC236}">
                  <a16:creationId xmlns:a16="http://schemas.microsoft.com/office/drawing/2014/main" id="{00000000-0008-0000-0E00-00004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2314" name="Check Box 330" hidden="1">
              <a:extLst>
                <a:ext uri="{63B3BB69-23CF-44E3-9099-C40C66FF867C}">
                  <a14:compatExt spid="_x0000_s42314"/>
                </a:ext>
                <a:ext uri="{FF2B5EF4-FFF2-40B4-BE49-F238E27FC236}">
                  <a16:creationId xmlns:a16="http://schemas.microsoft.com/office/drawing/2014/main" id="{00000000-0008-0000-0E00-00004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2315" name="Check Box 331" hidden="1">
              <a:extLst>
                <a:ext uri="{63B3BB69-23CF-44E3-9099-C40C66FF867C}">
                  <a14:compatExt spid="_x0000_s42315"/>
                </a:ext>
                <a:ext uri="{FF2B5EF4-FFF2-40B4-BE49-F238E27FC236}">
                  <a16:creationId xmlns:a16="http://schemas.microsoft.com/office/drawing/2014/main" id="{00000000-0008-0000-0E00-00004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2316" name="Check Box 332" hidden="1">
              <a:extLst>
                <a:ext uri="{63B3BB69-23CF-44E3-9099-C40C66FF867C}">
                  <a14:compatExt spid="_x0000_s42316"/>
                </a:ext>
                <a:ext uri="{FF2B5EF4-FFF2-40B4-BE49-F238E27FC236}">
                  <a16:creationId xmlns:a16="http://schemas.microsoft.com/office/drawing/2014/main" id="{00000000-0008-0000-0E00-00004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2317" name="Check Box 333" hidden="1">
              <a:extLst>
                <a:ext uri="{63B3BB69-23CF-44E3-9099-C40C66FF867C}">
                  <a14:compatExt spid="_x0000_s42317"/>
                </a:ext>
                <a:ext uri="{FF2B5EF4-FFF2-40B4-BE49-F238E27FC236}">
                  <a16:creationId xmlns:a16="http://schemas.microsoft.com/office/drawing/2014/main" id="{00000000-0008-0000-0E00-00004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2318" name="Check Box 334" hidden="1">
              <a:extLst>
                <a:ext uri="{63B3BB69-23CF-44E3-9099-C40C66FF867C}">
                  <a14:compatExt spid="_x0000_s42318"/>
                </a:ext>
                <a:ext uri="{FF2B5EF4-FFF2-40B4-BE49-F238E27FC236}">
                  <a16:creationId xmlns:a16="http://schemas.microsoft.com/office/drawing/2014/main" id="{00000000-0008-0000-0E00-00004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2319" name="Check Box 335" hidden="1">
              <a:extLst>
                <a:ext uri="{63B3BB69-23CF-44E3-9099-C40C66FF867C}">
                  <a14:compatExt spid="_x0000_s42319"/>
                </a:ext>
                <a:ext uri="{FF2B5EF4-FFF2-40B4-BE49-F238E27FC236}">
                  <a16:creationId xmlns:a16="http://schemas.microsoft.com/office/drawing/2014/main" id="{00000000-0008-0000-0E00-00004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2320" name="Check Box 336" hidden="1">
              <a:extLst>
                <a:ext uri="{63B3BB69-23CF-44E3-9099-C40C66FF867C}">
                  <a14:compatExt spid="_x0000_s42320"/>
                </a:ext>
                <a:ext uri="{FF2B5EF4-FFF2-40B4-BE49-F238E27FC236}">
                  <a16:creationId xmlns:a16="http://schemas.microsoft.com/office/drawing/2014/main" id="{00000000-0008-0000-0E00-00005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2321" name="Check Box 337" hidden="1">
              <a:extLst>
                <a:ext uri="{63B3BB69-23CF-44E3-9099-C40C66FF867C}">
                  <a14:compatExt spid="_x0000_s42321"/>
                </a:ext>
                <a:ext uri="{FF2B5EF4-FFF2-40B4-BE49-F238E27FC236}">
                  <a16:creationId xmlns:a16="http://schemas.microsoft.com/office/drawing/2014/main" id="{00000000-0008-0000-0E00-00005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2322" name="Check Box 338" hidden="1">
              <a:extLst>
                <a:ext uri="{63B3BB69-23CF-44E3-9099-C40C66FF867C}">
                  <a14:compatExt spid="_x0000_s42322"/>
                </a:ext>
                <a:ext uri="{FF2B5EF4-FFF2-40B4-BE49-F238E27FC236}">
                  <a16:creationId xmlns:a16="http://schemas.microsoft.com/office/drawing/2014/main" id="{00000000-0008-0000-0E00-00005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2323" name="Check Box 339" hidden="1">
              <a:extLst>
                <a:ext uri="{63B3BB69-23CF-44E3-9099-C40C66FF867C}">
                  <a14:compatExt spid="_x0000_s42323"/>
                </a:ext>
                <a:ext uri="{FF2B5EF4-FFF2-40B4-BE49-F238E27FC236}">
                  <a16:creationId xmlns:a16="http://schemas.microsoft.com/office/drawing/2014/main" id="{00000000-0008-0000-0E00-00005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2324" name="Check Box 340" hidden="1">
              <a:extLst>
                <a:ext uri="{63B3BB69-23CF-44E3-9099-C40C66FF867C}">
                  <a14:compatExt spid="_x0000_s42324"/>
                </a:ext>
                <a:ext uri="{FF2B5EF4-FFF2-40B4-BE49-F238E27FC236}">
                  <a16:creationId xmlns:a16="http://schemas.microsoft.com/office/drawing/2014/main" id="{00000000-0008-0000-0E00-00005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2325" name="Check Box 341" hidden="1">
              <a:extLst>
                <a:ext uri="{63B3BB69-23CF-44E3-9099-C40C66FF867C}">
                  <a14:compatExt spid="_x0000_s42325"/>
                </a:ext>
                <a:ext uri="{FF2B5EF4-FFF2-40B4-BE49-F238E27FC236}">
                  <a16:creationId xmlns:a16="http://schemas.microsoft.com/office/drawing/2014/main" id="{00000000-0008-0000-0E00-00005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2326" name="Check Box 342" hidden="1">
              <a:extLst>
                <a:ext uri="{63B3BB69-23CF-44E3-9099-C40C66FF867C}">
                  <a14:compatExt spid="_x0000_s42326"/>
                </a:ext>
                <a:ext uri="{FF2B5EF4-FFF2-40B4-BE49-F238E27FC236}">
                  <a16:creationId xmlns:a16="http://schemas.microsoft.com/office/drawing/2014/main" id="{00000000-0008-0000-0E00-00005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2327" name="Check Box 343" hidden="1">
              <a:extLst>
                <a:ext uri="{63B3BB69-23CF-44E3-9099-C40C66FF867C}">
                  <a14:compatExt spid="_x0000_s42327"/>
                </a:ext>
                <a:ext uri="{FF2B5EF4-FFF2-40B4-BE49-F238E27FC236}">
                  <a16:creationId xmlns:a16="http://schemas.microsoft.com/office/drawing/2014/main" id="{00000000-0008-0000-0E00-00005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2328" name="Check Box 344" hidden="1">
              <a:extLst>
                <a:ext uri="{63B3BB69-23CF-44E3-9099-C40C66FF867C}">
                  <a14:compatExt spid="_x0000_s42328"/>
                </a:ext>
                <a:ext uri="{FF2B5EF4-FFF2-40B4-BE49-F238E27FC236}">
                  <a16:creationId xmlns:a16="http://schemas.microsoft.com/office/drawing/2014/main" id="{00000000-0008-0000-0E00-00005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2329" name="Check Box 345" hidden="1">
              <a:extLst>
                <a:ext uri="{63B3BB69-23CF-44E3-9099-C40C66FF867C}">
                  <a14:compatExt spid="_x0000_s42329"/>
                </a:ext>
                <a:ext uri="{FF2B5EF4-FFF2-40B4-BE49-F238E27FC236}">
                  <a16:creationId xmlns:a16="http://schemas.microsoft.com/office/drawing/2014/main" id="{00000000-0008-0000-0E00-00005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0</xdr:rowOff>
        </xdr:from>
        <xdr:to>
          <xdr:col>5</xdr:col>
          <xdr:colOff>447675</xdr:colOff>
          <xdr:row>58</xdr:row>
          <xdr:rowOff>0</xdr:rowOff>
        </xdr:to>
        <xdr:sp macro="" textlink="">
          <xdr:nvSpPr>
            <xdr:cNvPr id="42330" name="Check Box 346" hidden="1">
              <a:extLst>
                <a:ext uri="{63B3BB69-23CF-44E3-9099-C40C66FF867C}">
                  <a14:compatExt spid="_x0000_s42330"/>
                </a:ext>
                <a:ext uri="{FF2B5EF4-FFF2-40B4-BE49-F238E27FC236}">
                  <a16:creationId xmlns:a16="http://schemas.microsoft.com/office/drawing/2014/main" id="{00000000-0008-0000-0E00-00005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0</xdr:rowOff>
        </xdr:from>
        <xdr:to>
          <xdr:col>6</xdr:col>
          <xdr:colOff>419100</xdr:colOff>
          <xdr:row>58</xdr:row>
          <xdr:rowOff>0</xdr:rowOff>
        </xdr:to>
        <xdr:sp macro="" textlink="">
          <xdr:nvSpPr>
            <xdr:cNvPr id="42331" name="Check Box 347" hidden="1">
              <a:extLst>
                <a:ext uri="{63B3BB69-23CF-44E3-9099-C40C66FF867C}">
                  <a14:compatExt spid="_x0000_s42331"/>
                </a:ext>
                <a:ext uri="{FF2B5EF4-FFF2-40B4-BE49-F238E27FC236}">
                  <a16:creationId xmlns:a16="http://schemas.microsoft.com/office/drawing/2014/main" id="{00000000-0008-0000-0E00-00005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0</xdr:rowOff>
        </xdr:from>
        <xdr:to>
          <xdr:col>7</xdr:col>
          <xdr:colOff>419100</xdr:colOff>
          <xdr:row>58</xdr:row>
          <xdr:rowOff>0</xdr:rowOff>
        </xdr:to>
        <xdr:sp macro="" textlink="">
          <xdr:nvSpPr>
            <xdr:cNvPr id="42332" name="Check Box 348" hidden="1">
              <a:extLst>
                <a:ext uri="{63B3BB69-23CF-44E3-9099-C40C66FF867C}">
                  <a14:compatExt spid="_x0000_s42332"/>
                </a:ext>
                <a:ext uri="{FF2B5EF4-FFF2-40B4-BE49-F238E27FC236}">
                  <a16:creationId xmlns:a16="http://schemas.microsoft.com/office/drawing/2014/main" id="{00000000-0008-0000-0E00-00005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0</xdr:rowOff>
        </xdr:from>
        <xdr:to>
          <xdr:col>5</xdr:col>
          <xdr:colOff>447675</xdr:colOff>
          <xdr:row>58</xdr:row>
          <xdr:rowOff>0</xdr:rowOff>
        </xdr:to>
        <xdr:sp macro="" textlink="">
          <xdr:nvSpPr>
            <xdr:cNvPr id="42333" name="Check Box 349" hidden="1">
              <a:extLst>
                <a:ext uri="{63B3BB69-23CF-44E3-9099-C40C66FF867C}">
                  <a14:compatExt spid="_x0000_s42333"/>
                </a:ext>
                <a:ext uri="{FF2B5EF4-FFF2-40B4-BE49-F238E27FC236}">
                  <a16:creationId xmlns:a16="http://schemas.microsoft.com/office/drawing/2014/main" id="{00000000-0008-0000-0E00-00005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0</xdr:rowOff>
        </xdr:from>
        <xdr:to>
          <xdr:col>6</xdr:col>
          <xdr:colOff>419100</xdr:colOff>
          <xdr:row>58</xdr:row>
          <xdr:rowOff>0</xdr:rowOff>
        </xdr:to>
        <xdr:sp macro="" textlink="">
          <xdr:nvSpPr>
            <xdr:cNvPr id="42334" name="Check Box 350" hidden="1">
              <a:extLst>
                <a:ext uri="{63B3BB69-23CF-44E3-9099-C40C66FF867C}">
                  <a14:compatExt spid="_x0000_s42334"/>
                </a:ext>
                <a:ext uri="{FF2B5EF4-FFF2-40B4-BE49-F238E27FC236}">
                  <a16:creationId xmlns:a16="http://schemas.microsoft.com/office/drawing/2014/main" id="{00000000-0008-0000-0E00-00005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0</xdr:rowOff>
        </xdr:from>
        <xdr:to>
          <xdr:col>7</xdr:col>
          <xdr:colOff>419100</xdr:colOff>
          <xdr:row>58</xdr:row>
          <xdr:rowOff>0</xdr:rowOff>
        </xdr:to>
        <xdr:sp macro="" textlink="">
          <xdr:nvSpPr>
            <xdr:cNvPr id="42335" name="Check Box 351" hidden="1">
              <a:extLst>
                <a:ext uri="{63B3BB69-23CF-44E3-9099-C40C66FF867C}">
                  <a14:compatExt spid="_x0000_s42335"/>
                </a:ext>
                <a:ext uri="{FF2B5EF4-FFF2-40B4-BE49-F238E27FC236}">
                  <a16:creationId xmlns:a16="http://schemas.microsoft.com/office/drawing/2014/main" id="{00000000-0008-0000-0E00-00005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2336" name="Check Box 352" hidden="1">
              <a:extLst>
                <a:ext uri="{63B3BB69-23CF-44E3-9099-C40C66FF867C}">
                  <a14:compatExt spid="_x0000_s42336"/>
                </a:ext>
                <a:ext uri="{FF2B5EF4-FFF2-40B4-BE49-F238E27FC236}">
                  <a16:creationId xmlns:a16="http://schemas.microsoft.com/office/drawing/2014/main" id="{00000000-0008-0000-0E00-00006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2337" name="Check Box 353" hidden="1">
              <a:extLst>
                <a:ext uri="{63B3BB69-23CF-44E3-9099-C40C66FF867C}">
                  <a14:compatExt spid="_x0000_s42337"/>
                </a:ext>
                <a:ext uri="{FF2B5EF4-FFF2-40B4-BE49-F238E27FC236}">
                  <a16:creationId xmlns:a16="http://schemas.microsoft.com/office/drawing/2014/main" id="{00000000-0008-0000-0E00-00006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2338" name="Check Box 354" hidden="1">
              <a:extLst>
                <a:ext uri="{63B3BB69-23CF-44E3-9099-C40C66FF867C}">
                  <a14:compatExt spid="_x0000_s42338"/>
                </a:ext>
                <a:ext uri="{FF2B5EF4-FFF2-40B4-BE49-F238E27FC236}">
                  <a16:creationId xmlns:a16="http://schemas.microsoft.com/office/drawing/2014/main" id="{00000000-0008-0000-0E00-00006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0</xdr:rowOff>
        </xdr:from>
        <xdr:to>
          <xdr:col>5</xdr:col>
          <xdr:colOff>447675</xdr:colOff>
          <xdr:row>58</xdr:row>
          <xdr:rowOff>0</xdr:rowOff>
        </xdr:to>
        <xdr:sp macro="" textlink="">
          <xdr:nvSpPr>
            <xdr:cNvPr id="42339" name="Check Box 355" hidden="1">
              <a:extLst>
                <a:ext uri="{63B3BB69-23CF-44E3-9099-C40C66FF867C}">
                  <a14:compatExt spid="_x0000_s42339"/>
                </a:ext>
                <a:ext uri="{FF2B5EF4-FFF2-40B4-BE49-F238E27FC236}">
                  <a16:creationId xmlns:a16="http://schemas.microsoft.com/office/drawing/2014/main" id="{00000000-0008-0000-0E00-00006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0</xdr:rowOff>
        </xdr:from>
        <xdr:to>
          <xdr:col>6</xdr:col>
          <xdr:colOff>419100</xdr:colOff>
          <xdr:row>58</xdr:row>
          <xdr:rowOff>0</xdr:rowOff>
        </xdr:to>
        <xdr:sp macro="" textlink="">
          <xdr:nvSpPr>
            <xdr:cNvPr id="42340" name="Check Box 356" hidden="1">
              <a:extLst>
                <a:ext uri="{63B3BB69-23CF-44E3-9099-C40C66FF867C}">
                  <a14:compatExt spid="_x0000_s42340"/>
                </a:ext>
                <a:ext uri="{FF2B5EF4-FFF2-40B4-BE49-F238E27FC236}">
                  <a16:creationId xmlns:a16="http://schemas.microsoft.com/office/drawing/2014/main" id="{00000000-0008-0000-0E00-00006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0</xdr:rowOff>
        </xdr:from>
        <xdr:to>
          <xdr:col>7</xdr:col>
          <xdr:colOff>419100</xdr:colOff>
          <xdr:row>58</xdr:row>
          <xdr:rowOff>0</xdr:rowOff>
        </xdr:to>
        <xdr:sp macro="" textlink="">
          <xdr:nvSpPr>
            <xdr:cNvPr id="42341" name="Check Box 357" hidden="1">
              <a:extLst>
                <a:ext uri="{63B3BB69-23CF-44E3-9099-C40C66FF867C}">
                  <a14:compatExt spid="_x0000_s42341"/>
                </a:ext>
                <a:ext uri="{FF2B5EF4-FFF2-40B4-BE49-F238E27FC236}">
                  <a16:creationId xmlns:a16="http://schemas.microsoft.com/office/drawing/2014/main" id="{00000000-0008-0000-0E00-00006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2342" name="Check Box 358" hidden="1">
              <a:extLst>
                <a:ext uri="{63B3BB69-23CF-44E3-9099-C40C66FF867C}">
                  <a14:compatExt spid="_x0000_s42342"/>
                </a:ext>
                <a:ext uri="{FF2B5EF4-FFF2-40B4-BE49-F238E27FC236}">
                  <a16:creationId xmlns:a16="http://schemas.microsoft.com/office/drawing/2014/main" id="{00000000-0008-0000-0E00-00006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2343" name="Check Box 359" hidden="1">
              <a:extLst>
                <a:ext uri="{63B3BB69-23CF-44E3-9099-C40C66FF867C}">
                  <a14:compatExt spid="_x0000_s42343"/>
                </a:ext>
                <a:ext uri="{FF2B5EF4-FFF2-40B4-BE49-F238E27FC236}">
                  <a16:creationId xmlns:a16="http://schemas.microsoft.com/office/drawing/2014/main" id="{00000000-0008-0000-0E00-00006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2344" name="Check Box 360" hidden="1">
              <a:extLst>
                <a:ext uri="{63B3BB69-23CF-44E3-9099-C40C66FF867C}">
                  <a14:compatExt spid="_x0000_s42344"/>
                </a:ext>
                <a:ext uri="{FF2B5EF4-FFF2-40B4-BE49-F238E27FC236}">
                  <a16:creationId xmlns:a16="http://schemas.microsoft.com/office/drawing/2014/main" id="{00000000-0008-0000-0E00-00006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2345" name="Check Box 361" hidden="1">
              <a:extLst>
                <a:ext uri="{63B3BB69-23CF-44E3-9099-C40C66FF867C}">
                  <a14:compatExt spid="_x0000_s42345"/>
                </a:ext>
                <a:ext uri="{FF2B5EF4-FFF2-40B4-BE49-F238E27FC236}">
                  <a16:creationId xmlns:a16="http://schemas.microsoft.com/office/drawing/2014/main" id="{00000000-0008-0000-0E00-00006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2346" name="Check Box 362" hidden="1">
              <a:extLst>
                <a:ext uri="{63B3BB69-23CF-44E3-9099-C40C66FF867C}">
                  <a14:compatExt spid="_x0000_s42346"/>
                </a:ext>
                <a:ext uri="{FF2B5EF4-FFF2-40B4-BE49-F238E27FC236}">
                  <a16:creationId xmlns:a16="http://schemas.microsoft.com/office/drawing/2014/main" id="{00000000-0008-0000-0E00-00006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2347" name="Check Box 363" hidden="1">
              <a:extLst>
                <a:ext uri="{63B3BB69-23CF-44E3-9099-C40C66FF867C}">
                  <a14:compatExt spid="_x0000_s42347"/>
                </a:ext>
                <a:ext uri="{FF2B5EF4-FFF2-40B4-BE49-F238E27FC236}">
                  <a16:creationId xmlns:a16="http://schemas.microsoft.com/office/drawing/2014/main" id="{00000000-0008-0000-0E00-00006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0</xdr:rowOff>
        </xdr:from>
        <xdr:to>
          <xdr:col>5</xdr:col>
          <xdr:colOff>447675</xdr:colOff>
          <xdr:row>58</xdr:row>
          <xdr:rowOff>0</xdr:rowOff>
        </xdr:to>
        <xdr:sp macro="" textlink="">
          <xdr:nvSpPr>
            <xdr:cNvPr id="42348" name="Check Box 364" hidden="1">
              <a:extLst>
                <a:ext uri="{63B3BB69-23CF-44E3-9099-C40C66FF867C}">
                  <a14:compatExt spid="_x0000_s42348"/>
                </a:ext>
                <a:ext uri="{FF2B5EF4-FFF2-40B4-BE49-F238E27FC236}">
                  <a16:creationId xmlns:a16="http://schemas.microsoft.com/office/drawing/2014/main" id="{00000000-0008-0000-0E00-00006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0</xdr:rowOff>
        </xdr:from>
        <xdr:to>
          <xdr:col>6</xdr:col>
          <xdr:colOff>419100</xdr:colOff>
          <xdr:row>58</xdr:row>
          <xdr:rowOff>0</xdr:rowOff>
        </xdr:to>
        <xdr:sp macro="" textlink="">
          <xdr:nvSpPr>
            <xdr:cNvPr id="42349" name="Check Box 365" hidden="1">
              <a:extLst>
                <a:ext uri="{63B3BB69-23CF-44E3-9099-C40C66FF867C}">
                  <a14:compatExt spid="_x0000_s42349"/>
                </a:ext>
                <a:ext uri="{FF2B5EF4-FFF2-40B4-BE49-F238E27FC236}">
                  <a16:creationId xmlns:a16="http://schemas.microsoft.com/office/drawing/2014/main" id="{00000000-0008-0000-0E00-00006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0</xdr:rowOff>
        </xdr:from>
        <xdr:to>
          <xdr:col>7</xdr:col>
          <xdr:colOff>419100</xdr:colOff>
          <xdr:row>58</xdr:row>
          <xdr:rowOff>0</xdr:rowOff>
        </xdr:to>
        <xdr:sp macro="" textlink="">
          <xdr:nvSpPr>
            <xdr:cNvPr id="42350" name="Check Box 366" hidden="1">
              <a:extLst>
                <a:ext uri="{63B3BB69-23CF-44E3-9099-C40C66FF867C}">
                  <a14:compatExt spid="_x0000_s42350"/>
                </a:ext>
                <a:ext uri="{FF2B5EF4-FFF2-40B4-BE49-F238E27FC236}">
                  <a16:creationId xmlns:a16="http://schemas.microsoft.com/office/drawing/2014/main" id="{00000000-0008-0000-0E00-00006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2351" name="Check Box 367" hidden="1">
              <a:extLst>
                <a:ext uri="{63B3BB69-23CF-44E3-9099-C40C66FF867C}">
                  <a14:compatExt spid="_x0000_s42351"/>
                </a:ext>
                <a:ext uri="{FF2B5EF4-FFF2-40B4-BE49-F238E27FC236}">
                  <a16:creationId xmlns:a16="http://schemas.microsoft.com/office/drawing/2014/main" id="{00000000-0008-0000-0E00-00006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2352" name="Check Box 368" hidden="1">
              <a:extLst>
                <a:ext uri="{63B3BB69-23CF-44E3-9099-C40C66FF867C}">
                  <a14:compatExt spid="_x0000_s42352"/>
                </a:ext>
                <a:ext uri="{FF2B5EF4-FFF2-40B4-BE49-F238E27FC236}">
                  <a16:creationId xmlns:a16="http://schemas.microsoft.com/office/drawing/2014/main" id="{00000000-0008-0000-0E00-00007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2353" name="Check Box 369" hidden="1">
              <a:extLst>
                <a:ext uri="{63B3BB69-23CF-44E3-9099-C40C66FF867C}">
                  <a14:compatExt spid="_x0000_s42353"/>
                </a:ext>
                <a:ext uri="{FF2B5EF4-FFF2-40B4-BE49-F238E27FC236}">
                  <a16:creationId xmlns:a16="http://schemas.microsoft.com/office/drawing/2014/main" id="{00000000-0008-0000-0E00-00007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2354" name="Check Box 370" hidden="1">
              <a:extLst>
                <a:ext uri="{63B3BB69-23CF-44E3-9099-C40C66FF867C}">
                  <a14:compatExt spid="_x0000_s42354"/>
                </a:ext>
                <a:ext uri="{FF2B5EF4-FFF2-40B4-BE49-F238E27FC236}">
                  <a16:creationId xmlns:a16="http://schemas.microsoft.com/office/drawing/2014/main" id="{00000000-0008-0000-0E00-00007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2355" name="Check Box 371" hidden="1">
              <a:extLst>
                <a:ext uri="{63B3BB69-23CF-44E3-9099-C40C66FF867C}">
                  <a14:compatExt spid="_x0000_s42355"/>
                </a:ext>
                <a:ext uri="{FF2B5EF4-FFF2-40B4-BE49-F238E27FC236}">
                  <a16:creationId xmlns:a16="http://schemas.microsoft.com/office/drawing/2014/main" id="{00000000-0008-0000-0E00-00007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2356" name="Check Box 372" hidden="1">
              <a:extLst>
                <a:ext uri="{63B3BB69-23CF-44E3-9099-C40C66FF867C}">
                  <a14:compatExt spid="_x0000_s42356"/>
                </a:ext>
                <a:ext uri="{FF2B5EF4-FFF2-40B4-BE49-F238E27FC236}">
                  <a16:creationId xmlns:a16="http://schemas.microsoft.com/office/drawing/2014/main" id="{00000000-0008-0000-0E00-00007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2357" name="Check Box 373" hidden="1">
              <a:extLst>
                <a:ext uri="{63B3BB69-23CF-44E3-9099-C40C66FF867C}">
                  <a14:compatExt spid="_x0000_s42357"/>
                </a:ext>
                <a:ext uri="{FF2B5EF4-FFF2-40B4-BE49-F238E27FC236}">
                  <a16:creationId xmlns:a16="http://schemas.microsoft.com/office/drawing/2014/main" id="{00000000-0008-0000-0E00-00007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2358" name="Check Box 374" hidden="1">
              <a:extLst>
                <a:ext uri="{63B3BB69-23CF-44E3-9099-C40C66FF867C}">
                  <a14:compatExt spid="_x0000_s42358"/>
                </a:ext>
                <a:ext uri="{FF2B5EF4-FFF2-40B4-BE49-F238E27FC236}">
                  <a16:creationId xmlns:a16="http://schemas.microsoft.com/office/drawing/2014/main" id="{00000000-0008-0000-0E00-00007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2359" name="Check Box 375" hidden="1">
              <a:extLst>
                <a:ext uri="{63B3BB69-23CF-44E3-9099-C40C66FF867C}">
                  <a14:compatExt spid="_x0000_s42359"/>
                </a:ext>
                <a:ext uri="{FF2B5EF4-FFF2-40B4-BE49-F238E27FC236}">
                  <a16:creationId xmlns:a16="http://schemas.microsoft.com/office/drawing/2014/main" id="{00000000-0008-0000-0E00-00007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2360" name="Check Box 376" hidden="1">
              <a:extLst>
                <a:ext uri="{63B3BB69-23CF-44E3-9099-C40C66FF867C}">
                  <a14:compatExt spid="_x0000_s42360"/>
                </a:ext>
                <a:ext uri="{FF2B5EF4-FFF2-40B4-BE49-F238E27FC236}">
                  <a16:creationId xmlns:a16="http://schemas.microsoft.com/office/drawing/2014/main" id="{00000000-0008-0000-0E00-00007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2361" name="Check Box 377" hidden="1">
              <a:extLst>
                <a:ext uri="{63B3BB69-23CF-44E3-9099-C40C66FF867C}">
                  <a14:compatExt spid="_x0000_s42361"/>
                </a:ext>
                <a:ext uri="{FF2B5EF4-FFF2-40B4-BE49-F238E27FC236}">
                  <a16:creationId xmlns:a16="http://schemas.microsoft.com/office/drawing/2014/main" id="{00000000-0008-0000-0E00-00007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2362" name="Check Box 378" hidden="1">
              <a:extLst>
                <a:ext uri="{63B3BB69-23CF-44E3-9099-C40C66FF867C}">
                  <a14:compatExt spid="_x0000_s42362"/>
                </a:ext>
                <a:ext uri="{FF2B5EF4-FFF2-40B4-BE49-F238E27FC236}">
                  <a16:creationId xmlns:a16="http://schemas.microsoft.com/office/drawing/2014/main" id="{00000000-0008-0000-0E00-00007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2363" name="Check Box 379" hidden="1">
              <a:extLst>
                <a:ext uri="{63B3BB69-23CF-44E3-9099-C40C66FF867C}">
                  <a14:compatExt spid="_x0000_s42363"/>
                </a:ext>
                <a:ext uri="{FF2B5EF4-FFF2-40B4-BE49-F238E27FC236}">
                  <a16:creationId xmlns:a16="http://schemas.microsoft.com/office/drawing/2014/main" id="{00000000-0008-0000-0E00-00007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2364" name="Check Box 380" hidden="1">
              <a:extLst>
                <a:ext uri="{63B3BB69-23CF-44E3-9099-C40C66FF867C}">
                  <a14:compatExt spid="_x0000_s42364"/>
                </a:ext>
                <a:ext uri="{FF2B5EF4-FFF2-40B4-BE49-F238E27FC236}">
                  <a16:creationId xmlns:a16="http://schemas.microsoft.com/office/drawing/2014/main" id="{00000000-0008-0000-0E00-00007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2365" name="Check Box 381" hidden="1">
              <a:extLst>
                <a:ext uri="{63B3BB69-23CF-44E3-9099-C40C66FF867C}">
                  <a14:compatExt spid="_x0000_s42365"/>
                </a:ext>
                <a:ext uri="{FF2B5EF4-FFF2-40B4-BE49-F238E27FC236}">
                  <a16:creationId xmlns:a16="http://schemas.microsoft.com/office/drawing/2014/main" id="{00000000-0008-0000-0E00-00007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2366" name="Check Box 382" hidden="1">
              <a:extLst>
                <a:ext uri="{63B3BB69-23CF-44E3-9099-C40C66FF867C}">
                  <a14:compatExt spid="_x0000_s42366"/>
                </a:ext>
                <a:ext uri="{FF2B5EF4-FFF2-40B4-BE49-F238E27FC236}">
                  <a16:creationId xmlns:a16="http://schemas.microsoft.com/office/drawing/2014/main" id="{00000000-0008-0000-0E00-00007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2367" name="Check Box 383" hidden="1">
              <a:extLst>
                <a:ext uri="{63B3BB69-23CF-44E3-9099-C40C66FF867C}">
                  <a14:compatExt spid="_x0000_s42367"/>
                </a:ext>
                <a:ext uri="{FF2B5EF4-FFF2-40B4-BE49-F238E27FC236}">
                  <a16:creationId xmlns:a16="http://schemas.microsoft.com/office/drawing/2014/main" id="{00000000-0008-0000-0E00-00007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2368" name="Check Box 384" hidden="1">
              <a:extLst>
                <a:ext uri="{63B3BB69-23CF-44E3-9099-C40C66FF867C}">
                  <a14:compatExt spid="_x0000_s42368"/>
                </a:ext>
                <a:ext uri="{FF2B5EF4-FFF2-40B4-BE49-F238E27FC236}">
                  <a16:creationId xmlns:a16="http://schemas.microsoft.com/office/drawing/2014/main" id="{00000000-0008-0000-0E00-00008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2369" name="Check Box 385" hidden="1">
              <a:extLst>
                <a:ext uri="{63B3BB69-23CF-44E3-9099-C40C66FF867C}">
                  <a14:compatExt spid="_x0000_s42369"/>
                </a:ext>
                <a:ext uri="{FF2B5EF4-FFF2-40B4-BE49-F238E27FC236}">
                  <a16:creationId xmlns:a16="http://schemas.microsoft.com/office/drawing/2014/main" id="{00000000-0008-0000-0E00-00008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2370" name="Check Box 386" hidden="1">
              <a:extLst>
                <a:ext uri="{63B3BB69-23CF-44E3-9099-C40C66FF867C}">
                  <a14:compatExt spid="_x0000_s42370"/>
                </a:ext>
                <a:ext uri="{FF2B5EF4-FFF2-40B4-BE49-F238E27FC236}">
                  <a16:creationId xmlns:a16="http://schemas.microsoft.com/office/drawing/2014/main" id="{00000000-0008-0000-0E00-00008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2371" name="Check Box 387" hidden="1">
              <a:extLst>
                <a:ext uri="{63B3BB69-23CF-44E3-9099-C40C66FF867C}">
                  <a14:compatExt spid="_x0000_s42371"/>
                </a:ext>
                <a:ext uri="{FF2B5EF4-FFF2-40B4-BE49-F238E27FC236}">
                  <a16:creationId xmlns:a16="http://schemas.microsoft.com/office/drawing/2014/main" id="{00000000-0008-0000-0E00-00008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2372" name="Check Box 388" hidden="1">
              <a:extLst>
                <a:ext uri="{63B3BB69-23CF-44E3-9099-C40C66FF867C}">
                  <a14:compatExt spid="_x0000_s42372"/>
                </a:ext>
                <a:ext uri="{FF2B5EF4-FFF2-40B4-BE49-F238E27FC236}">
                  <a16:creationId xmlns:a16="http://schemas.microsoft.com/office/drawing/2014/main" id="{00000000-0008-0000-0E00-00008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2373" name="Check Box 389" hidden="1">
              <a:extLst>
                <a:ext uri="{63B3BB69-23CF-44E3-9099-C40C66FF867C}">
                  <a14:compatExt spid="_x0000_s42373"/>
                </a:ext>
                <a:ext uri="{FF2B5EF4-FFF2-40B4-BE49-F238E27FC236}">
                  <a16:creationId xmlns:a16="http://schemas.microsoft.com/office/drawing/2014/main" id="{00000000-0008-0000-0E00-00008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2374" name="Check Box 390" hidden="1">
              <a:extLst>
                <a:ext uri="{63B3BB69-23CF-44E3-9099-C40C66FF867C}">
                  <a14:compatExt spid="_x0000_s42374"/>
                </a:ext>
                <a:ext uri="{FF2B5EF4-FFF2-40B4-BE49-F238E27FC236}">
                  <a16:creationId xmlns:a16="http://schemas.microsoft.com/office/drawing/2014/main" id="{00000000-0008-0000-0E00-00008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2375" name="Check Box 391" hidden="1">
              <a:extLst>
                <a:ext uri="{63B3BB69-23CF-44E3-9099-C40C66FF867C}">
                  <a14:compatExt spid="_x0000_s42375"/>
                </a:ext>
                <a:ext uri="{FF2B5EF4-FFF2-40B4-BE49-F238E27FC236}">
                  <a16:creationId xmlns:a16="http://schemas.microsoft.com/office/drawing/2014/main" id="{00000000-0008-0000-0E00-00008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2376" name="Check Box 392" hidden="1">
              <a:extLst>
                <a:ext uri="{63B3BB69-23CF-44E3-9099-C40C66FF867C}">
                  <a14:compatExt spid="_x0000_s42376"/>
                </a:ext>
                <a:ext uri="{FF2B5EF4-FFF2-40B4-BE49-F238E27FC236}">
                  <a16:creationId xmlns:a16="http://schemas.microsoft.com/office/drawing/2014/main" id="{00000000-0008-0000-0E00-00008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2377" name="Check Box 393" hidden="1">
              <a:extLst>
                <a:ext uri="{63B3BB69-23CF-44E3-9099-C40C66FF867C}">
                  <a14:compatExt spid="_x0000_s42377"/>
                </a:ext>
                <a:ext uri="{FF2B5EF4-FFF2-40B4-BE49-F238E27FC236}">
                  <a16:creationId xmlns:a16="http://schemas.microsoft.com/office/drawing/2014/main" id="{00000000-0008-0000-0E00-00008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2378" name="Check Box 394" hidden="1">
              <a:extLst>
                <a:ext uri="{63B3BB69-23CF-44E3-9099-C40C66FF867C}">
                  <a14:compatExt spid="_x0000_s42378"/>
                </a:ext>
                <a:ext uri="{FF2B5EF4-FFF2-40B4-BE49-F238E27FC236}">
                  <a16:creationId xmlns:a16="http://schemas.microsoft.com/office/drawing/2014/main" id="{00000000-0008-0000-0E00-00008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2379" name="Check Box 395" hidden="1">
              <a:extLst>
                <a:ext uri="{63B3BB69-23CF-44E3-9099-C40C66FF867C}">
                  <a14:compatExt spid="_x0000_s42379"/>
                </a:ext>
                <a:ext uri="{FF2B5EF4-FFF2-40B4-BE49-F238E27FC236}">
                  <a16:creationId xmlns:a16="http://schemas.microsoft.com/office/drawing/2014/main" id="{00000000-0008-0000-0E00-00008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2380" name="Check Box 396" hidden="1">
              <a:extLst>
                <a:ext uri="{63B3BB69-23CF-44E3-9099-C40C66FF867C}">
                  <a14:compatExt spid="_x0000_s42380"/>
                </a:ext>
                <a:ext uri="{FF2B5EF4-FFF2-40B4-BE49-F238E27FC236}">
                  <a16:creationId xmlns:a16="http://schemas.microsoft.com/office/drawing/2014/main" id="{00000000-0008-0000-0E00-00008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2381" name="Check Box 397" hidden="1">
              <a:extLst>
                <a:ext uri="{63B3BB69-23CF-44E3-9099-C40C66FF867C}">
                  <a14:compatExt spid="_x0000_s42381"/>
                </a:ext>
                <a:ext uri="{FF2B5EF4-FFF2-40B4-BE49-F238E27FC236}">
                  <a16:creationId xmlns:a16="http://schemas.microsoft.com/office/drawing/2014/main" id="{00000000-0008-0000-0E00-00008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2382" name="Check Box 398" hidden="1">
              <a:extLst>
                <a:ext uri="{63B3BB69-23CF-44E3-9099-C40C66FF867C}">
                  <a14:compatExt spid="_x0000_s42382"/>
                </a:ext>
                <a:ext uri="{FF2B5EF4-FFF2-40B4-BE49-F238E27FC236}">
                  <a16:creationId xmlns:a16="http://schemas.microsoft.com/office/drawing/2014/main" id="{00000000-0008-0000-0E00-00008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2383" name="Check Box 399" hidden="1">
              <a:extLst>
                <a:ext uri="{63B3BB69-23CF-44E3-9099-C40C66FF867C}">
                  <a14:compatExt spid="_x0000_s42383"/>
                </a:ext>
                <a:ext uri="{FF2B5EF4-FFF2-40B4-BE49-F238E27FC236}">
                  <a16:creationId xmlns:a16="http://schemas.microsoft.com/office/drawing/2014/main" id="{00000000-0008-0000-0E00-00008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2384" name="Check Box 400" hidden="1">
              <a:extLst>
                <a:ext uri="{63B3BB69-23CF-44E3-9099-C40C66FF867C}">
                  <a14:compatExt spid="_x0000_s42384"/>
                </a:ext>
                <a:ext uri="{FF2B5EF4-FFF2-40B4-BE49-F238E27FC236}">
                  <a16:creationId xmlns:a16="http://schemas.microsoft.com/office/drawing/2014/main" id="{00000000-0008-0000-0E00-00009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2385" name="Check Box 401" hidden="1">
              <a:extLst>
                <a:ext uri="{63B3BB69-23CF-44E3-9099-C40C66FF867C}">
                  <a14:compatExt spid="_x0000_s42385"/>
                </a:ext>
                <a:ext uri="{FF2B5EF4-FFF2-40B4-BE49-F238E27FC236}">
                  <a16:creationId xmlns:a16="http://schemas.microsoft.com/office/drawing/2014/main" id="{00000000-0008-0000-0E00-00009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2386" name="Check Box 402" hidden="1">
              <a:extLst>
                <a:ext uri="{63B3BB69-23CF-44E3-9099-C40C66FF867C}">
                  <a14:compatExt spid="_x0000_s42386"/>
                </a:ext>
                <a:ext uri="{FF2B5EF4-FFF2-40B4-BE49-F238E27FC236}">
                  <a16:creationId xmlns:a16="http://schemas.microsoft.com/office/drawing/2014/main" id="{00000000-0008-0000-0E00-00009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2387" name="Check Box 403" hidden="1">
              <a:extLst>
                <a:ext uri="{63B3BB69-23CF-44E3-9099-C40C66FF867C}">
                  <a14:compatExt spid="_x0000_s42387"/>
                </a:ext>
                <a:ext uri="{FF2B5EF4-FFF2-40B4-BE49-F238E27FC236}">
                  <a16:creationId xmlns:a16="http://schemas.microsoft.com/office/drawing/2014/main" id="{00000000-0008-0000-0E00-00009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2388" name="Check Box 404" hidden="1">
              <a:extLst>
                <a:ext uri="{63B3BB69-23CF-44E3-9099-C40C66FF867C}">
                  <a14:compatExt spid="_x0000_s42388"/>
                </a:ext>
                <a:ext uri="{FF2B5EF4-FFF2-40B4-BE49-F238E27FC236}">
                  <a16:creationId xmlns:a16="http://schemas.microsoft.com/office/drawing/2014/main" id="{00000000-0008-0000-0E00-00009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2389" name="Check Box 405" hidden="1">
              <a:extLst>
                <a:ext uri="{63B3BB69-23CF-44E3-9099-C40C66FF867C}">
                  <a14:compatExt spid="_x0000_s42389"/>
                </a:ext>
                <a:ext uri="{FF2B5EF4-FFF2-40B4-BE49-F238E27FC236}">
                  <a16:creationId xmlns:a16="http://schemas.microsoft.com/office/drawing/2014/main" id="{00000000-0008-0000-0E00-00009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2390" name="Check Box 406" hidden="1">
              <a:extLst>
                <a:ext uri="{63B3BB69-23CF-44E3-9099-C40C66FF867C}">
                  <a14:compatExt spid="_x0000_s42390"/>
                </a:ext>
                <a:ext uri="{FF2B5EF4-FFF2-40B4-BE49-F238E27FC236}">
                  <a16:creationId xmlns:a16="http://schemas.microsoft.com/office/drawing/2014/main" id="{00000000-0008-0000-0E00-00009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2391" name="Check Box 407" hidden="1">
              <a:extLst>
                <a:ext uri="{63B3BB69-23CF-44E3-9099-C40C66FF867C}">
                  <a14:compatExt spid="_x0000_s42391"/>
                </a:ext>
                <a:ext uri="{FF2B5EF4-FFF2-40B4-BE49-F238E27FC236}">
                  <a16:creationId xmlns:a16="http://schemas.microsoft.com/office/drawing/2014/main" id="{00000000-0008-0000-0E00-00009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2392" name="Check Box 408" hidden="1">
              <a:extLst>
                <a:ext uri="{63B3BB69-23CF-44E3-9099-C40C66FF867C}">
                  <a14:compatExt spid="_x0000_s42392"/>
                </a:ext>
                <a:ext uri="{FF2B5EF4-FFF2-40B4-BE49-F238E27FC236}">
                  <a16:creationId xmlns:a16="http://schemas.microsoft.com/office/drawing/2014/main" id="{00000000-0008-0000-0E00-00009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2393" name="Check Box 409" hidden="1">
              <a:extLst>
                <a:ext uri="{63B3BB69-23CF-44E3-9099-C40C66FF867C}">
                  <a14:compatExt spid="_x0000_s42393"/>
                </a:ext>
                <a:ext uri="{FF2B5EF4-FFF2-40B4-BE49-F238E27FC236}">
                  <a16:creationId xmlns:a16="http://schemas.microsoft.com/office/drawing/2014/main" id="{00000000-0008-0000-0E00-00009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2394" name="Check Box 410" hidden="1">
              <a:extLst>
                <a:ext uri="{63B3BB69-23CF-44E3-9099-C40C66FF867C}">
                  <a14:compatExt spid="_x0000_s42394"/>
                </a:ext>
                <a:ext uri="{FF2B5EF4-FFF2-40B4-BE49-F238E27FC236}">
                  <a16:creationId xmlns:a16="http://schemas.microsoft.com/office/drawing/2014/main" id="{00000000-0008-0000-0E00-00009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2395" name="Check Box 411" hidden="1">
              <a:extLst>
                <a:ext uri="{63B3BB69-23CF-44E3-9099-C40C66FF867C}">
                  <a14:compatExt spid="_x0000_s42395"/>
                </a:ext>
                <a:ext uri="{FF2B5EF4-FFF2-40B4-BE49-F238E27FC236}">
                  <a16:creationId xmlns:a16="http://schemas.microsoft.com/office/drawing/2014/main" id="{00000000-0008-0000-0E00-00009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2396" name="Check Box 412" hidden="1">
              <a:extLst>
                <a:ext uri="{63B3BB69-23CF-44E3-9099-C40C66FF867C}">
                  <a14:compatExt spid="_x0000_s42396"/>
                </a:ext>
                <a:ext uri="{FF2B5EF4-FFF2-40B4-BE49-F238E27FC236}">
                  <a16:creationId xmlns:a16="http://schemas.microsoft.com/office/drawing/2014/main" id="{00000000-0008-0000-0E00-00009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2397" name="Check Box 413" hidden="1">
              <a:extLst>
                <a:ext uri="{63B3BB69-23CF-44E3-9099-C40C66FF867C}">
                  <a14:compatExt spid="_x0000_s42397"/>
                </a:ext>
                <a:ext uri="{FF2B5EF4-FFF2-40B4-BE49-F238E27FC236}">
                  <a16:creationId xmlns:a16="http://schemas.microsoft.com/office/drawing/2014/main" id="{00000000-0008-0000-0E00-00009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2398" name="Check Box 414" hidden="1">
              <a:extLst>
                <a:ext uri="{63B3BB69-23CF-44E3-9099-C40C66FF867C}">
                  <a14:compatExt spid="_x0000_s42398"/>
                </a:ext>
                <a:ext uri="{FF2B5EF4-FFF2-40B4-BE49-F238E27FC236}">
                  <a16:creationId xmlns:a16="http://schemas.microsoft.com/office/drawing/2014/main" id="{00000000-0008-0000-0E00-00009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2399" name="Check Box 415" hidden="1">
              <a:extLst>
                <a:ext uri="{63B3BB69-23CF-44E3-9099-C40C66FF867C}">
                  <a14:compatExt spid="_x0000_s42399"/>
                </a:ext>
                <a:ext uri="{FF2B5EF4-FFF2-40B4-BE49-F238E27FC236}">
                  <a16:creationId xmlns:a16="http://schemas.microsoft.com/office/drawing/2014/main" id="{00000000-0008-0000-0E00-00009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2400" name="Check Box 416" hidden="1">
              <a:extLst>
                <a:ext uri="{63B3BB69-23CF-44E3-9099-C40C66FF867C}">
                  <a14:compatExt spid="_x0000_s42400"/>
                </a:ext>
                <a:ext uri="{FF2B5EF4-FFF2-40B4-BE49-F238E27FC236}">
                  <a16:creationId xmlns:a16="http://schemas.microsoft.com/office/drawing/2014/main" id="{00000000-0008-0000-0E00-0000A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2401" name="Check Box 417" hidden="1">
              <a:extLst>
                <a:ext uri="{63B3BB69-23CF-44E3-9099-C40C66FF867C}">
                  <a14:compatExt spid="_x0000_s42401"/>
                </a:ext>
                <a:ext uri="{FF2B5EF4-FFF2-40B4-BE49-F238E27FC236}">
                  <a16:creationId xmlns:a16="http://schemas.microsoft.com/office/drawing/2014/main" id="{00000000-0008-0000-0E00-0000A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2402" name="Check Box 418" hidden="1">
              <a:extLst>
                <a:ext uri="{63B3BB69-23CF-44E3-9099-C40C66FF867C}">
                  <a14:compatExt spid="_x0000_s42402"/>
                </a:ext>
                <a:ext uri="{FF2B5EF4-FFF2-40B4-BE49-F238E27FC236}">
                  <a16:creationId xmlns:a16="http://schemas.microsoft.com/office/drawing/2014/main" id="{00000000-0008-0000-0E00-0000A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2403" name="Check Box 419" hidden="1">
              <a:extLst>
                <a:ext uri="{63B3BB69-23CF-44E3-9099-C40C66FF867C}">
                  <a14:compatExt spid="_x0000_s42403"/>
                </a:ext>
                <a:ext uri="{FF2B5EF4-FFF2-40B4-BE49-F238E27FC236}">
                  <a16:creationId xmlns:a16="http://schemas.microsoft.com/office/drawing/2014/main" id="{00000000-0008-0000-0E00-0000A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2404" name="Check Box 420" hidden="1">
              <a:extLst>
                <a:ext uri="{63B3BB69-23CF-44E3-9099-C40C66FF867C}">
                  <a14:compatExt spid="_x0000_s42404"/>
                </a:ext>
                <a:ext uri="{FF2B5EF4-FFF2-40B4-BE49-F238E27FC236}">
                  <a16:creationId xmlns:a16="http://schemas.microsoft.com/office/drawing/2014/main" id="{00000000-0008-0000-0E00-0000A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2405" name="Check Box 421" hidden="1">
              <a:extLst>
                <a:ext uri="{63B3BB69-23CF-44E3-9099-C40C66FF867C}">
                  <a14:compatExt spid="_x0000_s42405"/>
                </a:ext>
                <a:ext uri="{FF2B5EF4-FFF2-40B4-BE49-F238E27FC236}">
                  <a16:creationId xmlns:a16="http://schemas.microsoft.com/office/drawing/2014/main" id="{00000000-0008-0000-0E00-0000A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2406" name="Check Box 422" hidden="1">
              <a:extLst>
                <a:ext uri="{63B3BB69-23CF-44E3-9099-C40C66FF867C}">
                  <a14:compatExt spid="_x0000_s42406"/>
                </a:ext>
                <a:ext uri="{FF2B5EF4-FFF2-40B4-BE49-F238E27FC236}">
                  <a16:creationId xmlns:a16="http://schemas.microsoft.com/office/drawing/2014/main" id="{00000000-0008-0000-0E00-0000A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2407" name="Check Box 423" hidden="1">
              <a:extLst>
                <a:ext uri="{63B3BB69-23CF-44E3-9099-C40C66FF867C}">
                  <a14:compatExt spid="_x0000_s42407"/>
                </a:ext>
                <a:ext uri="{FF2B5EF4-FFF2-40B4-BE49-F238E27FC236}">
                  <a16:creationId xmlns:a16="http://schemas.microsoft.com/office/drawing/2014/main" id="{00000000-0008-0000-0E00-0000A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2408" name="Check Box 424" hidden="1">
              <a:extLst>
                <a:ext uri="{63B3BB69-23CF-44E3-9099-C40C66FF867C}">
                  <a14:compatExt spid="_x0000_s42408"/>
                </a:ext>
                <a:ext uri="{FF2B5EF4-FFF2-40B4-BE49-F238E27FC236}">
                  <a16:creationId xmlns:a16="http://schemas.microsoft.com/office/drawing/2014/main" id="{00000000-0008-0000-0E00-0000A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2409" name="Check Box 425" hidden="1">
              <a:extLst>
                <a:ext uri="{63B3BB69-23CF-44E3-9099-C40C66FF867C}">
                  <a14:compatExt spid="_x0000_s42409"/>
                </a:ext>
                <a:ext uri="{FF2B5EF4-FFF2-40B4-BE49-F238E27FC236}">
                  <a16:creationId xmlns:a16="http://schemas.microsoft.com/office/drawing/2014/main" id="{00000000-0008-0000-0E00-0000A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2410" name="Check Box 426" hidden="1">
              <a:extLst>
                <a:ext uri="{63B3BB69-23CF-44E3-9099-C40C66FF867C}">
                  <a14:compatExt spid="_x0000_s42410"/>
                </a:ext>
                <a:ext uri="{FF2B5EF4-FFF2-40B4-BE49-F238E27FC236}">
                  <a16:creationId xmlns:a16="http://schemas.microsoft.com/office/drawing/2014/main" id="{00000000-0008-0000-0E00-0000A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2411" name="Check Box 427" hidden="1">
              <a:extLst>
                <a:ext uri="{63B3BB69-23CF-44E3-9099-C40C66FF867C}">
                  <a14:compatExt spid="_x0000_s42411"/>
                </a:ext>
                <a:ext uri="{FF2B5EF4-FFF2-40B4-BE49-F238E27FC236}">
                  <a16:creationId xmlns:a16="http://schemas.microsoft.com/office/drawing/2014/main" id="{00000000-0008-0000-0E00-0000A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2412" name="Check Box 428" hidden="1">
              <a:extLst>
                <a:ext uri="{63B3BB69-23CF-44E3-9099-C40C66FF867C}">
                  <a14:compatExt spid="_x0000_s42412"/>
                </a:ext>
                <a:ext uri="{FF2B5EF4-FFF2-40B4-BE49-F238E27FC236}">
                  <a16:creationId xmlns:a16="http://schemas.microsoft.com/office/drawing/2014/main" id="{00000000-0008-0000-0E00-0000A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2413" name="Check Box 429" hidden="1">
              <a:extLst>
                <a:ext uri="{63B3BB69-23CF-44E3-9099-C40C66FF867C}">
                  <a14:compatExt spid="_x0000_s42413"/>
                </a:ext>
                <a:ext uri="{FF2B5EF4-FFF2-40B4-BE49-F238E27FC236}">
                  <a16:creationId xmlns:a16="http://schemas.microsoft.com/office/drawing/2014/main" id="{00000000-0008-0000-0E00-0000A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64</xdr:row>
          <xdr:rowOff>28575</xdr:rowOff>
        </xdr:from>
        <xdr:to>
          <xdr:col>5</xdr:col>
          <xdr:colOff>447675</xdr:colOff>
          <xdr:row>65</xdr:row>
          <xdr:rowOff>0</xdr:rowOff>
        </xdr:to>
        <xdr:sp macro="" textlink="">
          <xdr:nvSpPr>
            <xdr:cNvPr id="42414" name="Check Box 430" hidden="1">
              <a:extLst>
                <a:ext uri="{63B3BB69-23CF-44E3-9099-C40C66FF867C}">
                  <a14:compatExt spid="_x0000_s42414"/>
                </a:ext>
                <a:ext uri="{FF2B5EF4-FFF2-40B4-BE49-F238E27FC236}">
                  <a16:creationId xmlns:a16="http://schemas.microsoft.com/office/drawing/2014/main" id="{00000000-0008-0000-0E00-0000A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64</xdr:row>
          <xdr:rowOff>28575</xdr:rowOff>
        </xdr:from>
        <xdr:to>
          <xdr:col>6</xdr:col>
          <xdr:colOff>419100</xdr:colOff>
          <xdr:row>65</xdr:row>
          <xdr:rowOff>0</xdr:rowOff>
        </xdr:to>
        <xdr:sp macro="" textlink="">
          <xdr:nvSpPr>
            <xdr:cNvPr id="42415" name="Check Box 431" hidden="1">
              <a:extLst>
                <a:ext uri="{63B3BB69-23CF-44E3-9099-C40C66FF867C}">
                  <a14:compatExt spid="_x0000_s42415"/>
                </a:ext>
                <a:ext uri="{FF2B5EF4-FFF2-40B4-BE49-F238E27FC236}">
                  <a16:creationId xmlns:a16="http://schemas.microsoft.com/office/drawing/2014/main" id="{00000000-0008-0000-0E00-0000A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64</xdr:row>
          <xdr:rowOff>28575</xdr:rowOff>
        </xdr:from>
        <xdr:to>
          <xdr:col>7</xdr:col>
          <xdr:colOff>419100</xdr:colOff>
          <xdr:row>65</xdr:row>
          <xdr:rowOff>0</xdr:rowOff>
        </xdr:to>
        <xdr:sp macro="" textlink="">
          <xdr:nvSpPr>
            <xdr:cNvPr id="42416" name="Check Box 432" hidden="1">
              <a:extLst>
                <a:ext uri="{63B3BB69-23CF-44E3-9099-C40C66FF867C}">
                  <a14:compatExt spid="_x0000_s42416"/>
                </a:ext>
                <a:ext uri="{FF2B5EF4-FFF2-40B4-BE49-F238E27FC236}">
                  <a16:creationId xmlns:a16="http://schemas.microsoft.com/office/drawing/2014/main" id="{00000000-0008-0000-0E00-0000B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64</xdr:row>
          <xdr:rowOff>28575</xdr:rowOff>
        </xdr:from>
        <xdr:to>
          <xdr:col>5</xdr:col>
          <xdr:colOff>447675</xdr:colOff>
          <xdr:row>65</xdr:row>
          <xdr:rowOff>0</xdr:rowOff>
        </xdr:to>
        <xdr:sp macro="" textlink="">
          <xdr:nvSpPr>
            <xdr:cNvPr id="42417" name="Check Box 433" hidden="1">
              <a:extLst>
                <a:ext uri="{63B3BB69-23CF-44E3-9099-C40C66FF867C}">
                  <a14:compatExt spid="_x0000_s42417"/>
                </a:ext>
                <a:ext uri="{FF2B5EF4-FFF2-40B4-BE49-F238E27FC236}">
                  <a16:creationId xmlns:a16="http://schemas.microsoft.com/office/drawing/2014/main" id="{00000000-0008-0000-0E00-0000B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64</xdr:row>
          <xdr:rowOff>28575</xdr:rowOff>
        </xdr:from>
        <xdr:to>
          <xdr:col>6</xdr:col>
          <xdr:colOff>419100</xdr:colOff>
          <xdr:row>65</xdr:row>
          <xdr:rowOff>0</xdr:rowOff>
        </xdr:to>
        <xdr:sp macro="" textlink="">
          <xdr:nvSpPr>
            <xdr:cNvPr id="42418" name="Check Box 434" hidden="1">
              <a:extLst>
                <a:ext uri="{63B3BB69-23CF-44E3-9099-C40C66FF867C}">
                  <a14:compatExt spid="_x0000_s42418"/>
                </a:ext>
                <a:ext uri="{FF2B5EF4-FFF2-40B4-BE49-F238E27FC236}">
                  <a16:creationId xmlns:a16="http://schemas.microsoft.com/office/drawing/2014/main" id="{00000000-0008-0000-0E00-0000B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64</xdr:row>
          <xdr:rowOff>28575</xdr:rowOff>
        </xdr:from>
        <xdr:to>
          <xdr:col>7</xdr:col>
          <xdr:colOff>419100</xdr:colOff>
          <xdr:row>65</xdr:row>
          <xdr:rowOff>0</xdr:rowOff>
        </xdr:to>
        <xdr:sp macro="" textlink="">
          <xdr:nvSpPr>
            <xdr:cNvPr id="42419" name="Check Box 435" hidden="1">
              <a:extLst>
                <a:ext uri="{63B3BB69-23CF-44E3-9099-C40C66FF867C}">
                  <a14:compatExt spid="_x0000_s42419"/>
                </a:ext>
                <a:ext uri="{FF2B5EF4-FFF2-40B4-BE49-F238E27FC236}">
                  <a16:creationId xmlns:a16="http://schemas.microsoft.com/office/drawing/2014/main" id="{00000000-0008-0000-0E00-0000B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2420" name="Check Box 436" hidden="1">
              <a:extLst>
                <a:ext uri="{63B3BB69-23CF-44E3-9099-C40C66FF867C}">
                  <a14:compatExt spid="_x0000_s42420"/>
                </a:ext>
                <a:ext uri="{FF2B5EF4-FFF2-40B4-BE49-F238E27FC236}">
                  <a16:creationId xmlns:a16="http://schemas.microsoft.com/office/drawing/2014/main" id="{00000000-0008-0000-0E00-0000B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2421" name="Check Box 437" hidden="1">
              <a:extLst>
                <a:ext uri="{63B3BB69-23CF-44E3-9099-C40C66FF867C}">
                  <a14:compatExt spid="_x0000_s42421"/>
                </a:ext>
                <a:ext uri="{FF2B5EF4-FFF2-40B4-BE49-F238E27FC236}">
                  <a16:creationId xmlns:a16="http://schemas.microsoft.com/office/drawing/2014/main" id="{00000000-0008-0000-0E00-0000B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2422" name="Check Box 438" hidden="1">
              <a:extLst>
                <a:ext uri="{63B3BB69-23CF-44E3-9099-C40C66FF867C}">
                  <a14:compatExt spid="_x0000_s42422"/>
                </a:ext>
                <a:ext uri="{FF2B5EF4-FFF2-40B4-BE49-F238E27FC236}">
                  <a16:creationId xmlns:a16="http://schemas.microsoft.com/office/drawing/2014/main" id="{00000000-0008-0000-0E00-0000B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23" name="Check Box 439" hidden="1">
              <a:extLst>
                <a:ext uri="{63B3BB69-23CF-44E3-9099-C40C66FF867C}">
                  <a14:compatExt spid="_x0000_s42423"/>
                </a:ext>
                <a:ext uri="{FF2B5EF4-FFF2-40B4-BE49-F238E27FC236}">
                  <a16:creationId xmlns:a16="http://schemas.microsoft.com/office/drawing/2014/main" id="{00000000-0008-0000-0E00-0000B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24" name="Check Box 440" hidden="1">
              <a:extLst>
                <a:ext uri="{63B3BB69-23CF-44E3-9099-C40C66FF867C}">
                  <a14:compatExt spid="_x0000_s42424"/>
                </a:ext>
                <a:ext uri="{FF2B5EF4-FFF2-40B4-BE49-F238E27FC236}">
                  <a16:creationId xmlns:a16="http://schemas.microsoft.com/office/drawing/2014/main" id="{00000000-0008-0000-0E00-0000B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25" name="Check Box 441" hidden="1">
              <a:extLst>
                <a:ext uri="{63B3BB69-23CF-44E3-9099-C40C66FF867C}">
                  <a14:compatExt spid="_x0000_s42425"/>
                </a:ext>
                <a:ext uri="{FF2B5EF4-FFF2-40B4-BE49-F238E27FC236}">
                  <a16:creationId xmlns:a16="http://schemas.microsoft.com/office/drawing/2014/main" id="{00000000-0008-0000-0E00-0000B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26" name="Check Box 442" hidden="1">
              <a:extLst>
                <a:ext uri="{63B3BB69-23CF-44E3-9099-C40C66FF867C}">
                  <a14:compatExt spid="_x0000_s42426"/>
                </a:ext>
                <a:ext uri="{FF2B5EF4-FFF2-40B4-BE49-F238E27FC236}">
                  <a16:creationId xmlns:a16="http://schemas.microsoft.com/office/drawing/2014/main" id="{00000000-0008-0000-0E00-0000B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27" name="Check Box 443" hidden="1">
              <a:extLst>
                <a:ext uri="{63B3BB69-23CF-44E3-9099-C40C66FF867C}">
                  <a14:compatExt spid="_x0000_s42427"/>
                </a:ext>
                <a:ext uri="{FF2B5EF4-FFF2-40B4-BE49-F238E27FC236}">
                  <a16:creationId xmlns:a16="http://schemas.microsoft.com/office/drawing/2014/main" id="{00000000-0008-0000-0E00-0000B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28" name="Check Box 444" hidden="1">
              <a:extLst>
                <a:ext uri="{63B3BB69-23CF-44E3-9099-C40C66FF867C}">
                  <a14:compatExt spid="_x0000_s42428"/>
                </a:ext>
                <a:ext uri="{FF2B5EF4-FFF2-40B4-BE49-F238E27FC236}">
                  <a16:creationId xmlns:a16="http://schemas.microsoft.com/office/drawing/2014/main" id="{00000000-0008-0000-0E00-0000B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29" name="Check Box 445" hidden="1">
              <a:extLst>
                <a:ext uri="{63B3BB69-23CF-44E3-9099-C40C66FF867C}">
                  <a14:compatExt spid="_x0000_s42429"/>
                </a:ext>
                <a:ext uri="{FF2B5EF4-FFF2-40B4-BE49-F238E27FC236}">
                  <a16:creationId xmlns:a16="http://schemas.microsoft.com/office/drawing/2014/main" id="{00000000-0008-0000-0E00-0000B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30" name="Check Box 446" hidden="1">
              <a:extLst>
                <a:ext uri="{63B3BB69-23CF-44E3-9099-C40C66FF867C}">
                  <a14:compatExt spid="_x0000_s42430"/>
                </a:ext>
                <a:ext uri="{FF2B5EF4-FFF2-40B4-BE49-F238E27FC236}">
                  <a16:creationId xmlns:a16="http://schemas.microsoft.com/office/drawing/2014/main" id="{00000000-0008-0000-0E00-0000B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31" name="Check Box 447" hidden="1">
              <a:extLst>
                <a:ext uri="{63B3BB69-23CF-44E3-9099-C40C66FF867C}">
                  <a14:compatExt spid="_x0000_s42431"/>
                </a:ext>
                <a:ext uri="{FF2B5EF4-FFF2-40B4-BE49-F238E27FC236}">
                  <a16:creationId xmlns:a16="http://schemas.microsoft.com/office/drawing/2014/main" id="{00000000-0008-0000-0E00-0000B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32" name="Check Box 448" hidden="1">
              <a:extLst>
                <a:ext uri="{63B3BB69-23CF-44E3-9099-C40C66FF867C}">
                  <a14:compatExt spid="_x0000_s42432"/>
                </a:ext>
                <a:ext uri="{FF2B5EF4-FFF2-40B4-BE49-F238E27FC236}">
                  <a16:creationId xmlns:a16="http://schemas.microsoft.com/office/drawing/2014/main" id="{00000000-0008-0000-0E00-0000C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33" name="Check Box 449" hidden="1">
              <a:extLst>
                <a:ext uri="{63B3BB69-23CF-44E3-9099-C40C66FF867C}">
                  <a14:compatExt spid="_x0000_s42433"/>
                </a:ext>
                <a:ext uri="{FF2B5EF4-FFF2-40B4-BE49-F238E27FC236}">
                  <a16:creationId xmlns:a16="http://schemas.microsoft.com/office/drawing/2014/main" id="{00000000-0008-0000-0E00-0000C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34" name="Check Box 450" hidden="1">
              <a:extLst>
                <a:ext uri="{63B3BB69-23CF-44E3-9099-C40C66FF867C}">
                  <a14:compatExt spid="_x0000_s42434"/>
                </a:ext>
                <a:ext uri="{FF2B5EF4-FFF2-40B4-BE49-F238E27FC236}">
                  <a16:creationId xmlns:a16="http://schemas.microsoft.com/office/drawing/2014/main" id="{00000000-0008-0000-0E00-0000C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35" name="Check Box 451" hidden="1">
              <a:extLst>
                <a:ext uri="{63B3BB69-23CF-44E3-9099-C40C66FF867C}">
                  <a14:compatExt spid="_x0000_s42435"/>
                </a:ext>
                <a:ext uri="{FF2B5EF4-FFF2-40B4-BE49-F238E27FC236}">
                  <a16:creationId xmlns:a16="http://schemas.microsoft.com/office/drawing/2014/main" id="{00000000-0008-0000-0E00-0000C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36" name="Check Box 452" hidden="1">
              <a:extLst>
                <a:ext uri="{63B3BB69-23CF-44E3-9099-C40C66FF867C}">
                  <a14:compatExt spid="_x0000_s42436"/>
                </a:ext>
                <a:ext uri="{FF2B5EF4-FFF2-40B4-BE49-F238E27FC236}">
                  <a16:creationId xmlns:a16="http://schemas.microsoft.com/office/drawing/2014/main" id="{00000000-0008-0000-0E00-0000C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37" name="Check Box 453" hidden="1">
              <a:extLst>
                <a:ext uri="{63B3BB69-23CF-44E3-9099-C40C66FF867C}">
                  <a14:compatExt spid="_x0000_s42437"/>
                </a:ext>
                <a:ext uri="{FF2B5EF4-FFF2-40B4-BE49-F238E27FC236}">
                  <a16:creationId xmlns:a16="http://schemas.microsoft.com/office/drawing/2014/main" id="{00000000-0008-0000-0E00-0000C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38" name="Check Box 454" hidden="1">
              <a:extLst>
                <a:ext uri="{63B3BB69-23CF-44E3-9099-C40C66FF867C}">
                  <a14:compatExt spid="_x0000_s42438"/>
                </a:ext>
                <a:ext uri="{FF2B5EF4-FFF2-40B4-BE49-F238E27FC236}">
                  <a16:creationId xmlns:a16="http://schemas.microsoft.com/office/drawing/2014/main" id="{00000000-0008-0000-0E00-0000C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39" name="Check Box 455" hidden="1">
              <a:extLst>
                <a:ext uri="{63B3BB69-23CF-44E3-9099-C40C66FF867C}">
                  <a14:compatExt spid="_x0000_s42439"/>
                </a:ext>
                <a:ext uri="{FF2B5EF4-FFF2-40B4-BE49-F238E27FC236}">
                  <a16:creationId xmlns:a16="http://schemas.microsoft.com/office/drawing/2014/main" id="{00000000-0008-0000-0E00-0000C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40" name="Check Box 456" hidden="1">
              <a:extLst>
                <a:ext uri="{63B3BB69-23CF-44E3-9099-C40C66FF867C}">
                  <a14:compatExt spid="_x0000_s42440"/>
                </a:ext>
                <a:ext uri="{FF2B5EF4-FFF2-40B4-BE49-F238E27FC236}">
                  <a16:creationId xmlns:a16="http://schemas.microsoft.com/office/drawing/2014/main" id="{00000000-0008-0000-0E00-0000C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41" name="Check Box 457" hidden="1">
              <a:extLst>
                <a:ext uri="{63B3BB69-23CF-44E3-9099-C40C66FF867C}">
                  <a14:compatExt spid="_x0000_s42441"/>
                </a:ext>
                <a:ext uri="{FF2B5EF4-FFF2-40B4-BE49-F238E27FC236}">
                  <a16:creationId xmlns:a16="http://schemas.microsoft.com/office/drawing/2014/main" id="{00000000-0008-0000-0E00-0000C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42" name="Check Box 458" hidden="1">
              <a:extLst>
                <a:ext uri="{63B3BB69-23CF-44E3-9099-C40C66FF867C}">
                  <a14:compatExt spid="_x0000_s42442"/>
                </a:ext>
                <a:ext uri="{FF2B5EF4-FFF2-40B4-BE49-F238E27FC236}">
                  <a16:creationId xmlns:a16="http://schemas.microsoft.com/office/drawing/2014/main" id="{00000000-0008-0000-0E00-0000C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43" name="Check Box 459" hidden="1">
              <a:extLst>
                <a:ext uri="{63B3BB69-23CF-44E3-9099-C40C66FF867C}">
                  <a14:compatExt spid="_x0000_s42443"/>
                </a:ext>
                <a:ext uri="{FF2B5EF4-FFF2-40B4-BE49-F238E27FC236}">
                  <a16:creationId xmlns:a16="http://schemas.microsoft.com/office/drawing/2014/main" id="{00000000-0008-0000-0E00-0000C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44" name="Check Box 460" hidden="1">
              <a:extLst>
                <a:ext uri="{63B3BB69-23CF-44E3-9099-C40C66FF867C}">
                  <a14:compatExt spid="_x0000_s42444"/>
                </a:ext>
                <a:ext uri="{FF2B5EF4-FFF2-40B4-BE49-F238E27FC236}">
                  <a16:creationId xmlns:a16="http://schemas.microsoft.com/office/drawing/2014/main" id="{00000000-0008-0000-0E00-0000C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45" name="Check Box 461" hidden="1">
              <a:extLst>
                <a:ext uri="{63B3BB69-23CF-44E3-9099-C40C66FF867C}">
                  <a14:compatExt spid="_x0000_s42445"/>
                </a:ext>
                <a:ext uri="{FF2B5EF4-FFF2-40B4-BE49-F238E27FC236}">
                  <a16:creationId xmlns:a16="http://schemas.microsoft.com/office/drawing/2014/main" id="{00000000-0008-0000-0E00-0000C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46" name="Check Box 462" hidden="1">
              <a:extLst>
                <a:ext uri="{63B3BB69-23CF-44E3-9099-C40C66FF867C}">
                  <a14:compatExt spid="_x0000_s42446"/>
                </a:ext>
                <a:ext uri="{FF2B5EF4-FFF2-40B4-BE49-F238E27FC236}">
                  <a16:creationId xmlns:a16="http://schemas.microsoft.com/office/drawing/2014/main" id="{00000000-0008-0000-0E00-0000C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47" name="Check Box 463" hidden="1">
              <a:extLst>
                <a:ext uri="{63B3BB69-23CF-44E3-9099-C40C66FF867C}">
                  <a14:compatExt spid="_x0000_s42447"/>
                </a:ext>
                <a:ext uri="{FF2B5EF4-FFF2-40B4-BE49-F238E27FC236}">
                  <a16:creationId xmlns:a16="http://schemas.microsoft.com/office/drawing/2014/main" id="{00000000-0008-0000-0E00-0000C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48" name="Check Box 464" hidden="1">
              <a:extLst>
                <a:ext uri="{63B3BB69-23CF-44E3-9099-C40C66FF867C}">
                  <a14:compatExt spid="_x0000_s42448"/>
                </a:ext>
                <a:ext uri="{FF2B5EF4-FFF2-40B4-BE49-F238E27FC236}">
                  <a16:creationId xmlns:a16="http://schemas.microsoft.com/office/drawing/2014/main" id="{00000000-0008-0000-0E00-0000D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49" name="Check Box 465" hidden="1">
              <a:extLst>
                <a:ext uri="{63B3BB69-23CF-44E3-9099-C40C66FF867C}">
                  <a14:compatExt spid="_x0000_s42449"/>
                </a:ext>
                <a:ext uri="{FF2B5EF4-FFF2-40B4-BE49-F238E27FC236}">
                  <a16:creationId xmlns:a16="http://schemas.microsoft.com/office/drawing/2014/main" id="{00000000-0008-0000-0E00-0000D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50" name="Check Box 466" hidden="1">
              <a:extLst>
                <a:ext uri="{63B3BB69-23CF-44E3-9099-C40C66FF867C}">
                  <a14:compatExt spid="_x0000_s42450"/>
                </a:ext>
                <a:ext uri="{FF2B5EF4-FFF2-40B4-BE49-F238E27FC236}">
                  <a16:creationId xmlns:a16="http://schemas.microsoft.com/office/drawing/2014/main" id="{00000000-0008-0000-0E00-0000D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51" name="Check Box 467" hidden="1">
              <a:extLst>
                <a:ext uri="{63B3BB69-23CF-44E3-9099-C40C66FF867C}">
                  <a14:compatExt spid="_x0000_s42451"/>
                </a:ext>
                <a:ext uri="{FF2B5EF4-FFF2-40B4-BE49-F238E27FC236}">
                  <a16:creationId xmlns:a16="http://schemas.microsoft.com/office/drawing/2014/main" id="{00000000-0008-0000-0E00-0000D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52" name="Check Box 468" hidden="1">
              <a:extLst>
                <a:ext uri="{63B3BB69-23CF-44E3-9099-C40C66FF867C}">
                  <a14:compatExt spid="_x0000_s42452"/>
                </a:ext>
                <a:ext uri="{FF2B5EF4-FFF2-40B4-BE49-F238E27FC236}">
                  <a16:creationId xmlns:a16="http://schemas.microsoft.com/office/drawing/2014/main" id="{00000000-0008-0000-0E00-0000D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53" name="Check Box 469" hidden="1">
              <a:extLst>
                <a:ext uri="{63B3BB69-23CF-44E3-9099-C40C66FF867C}">
                  <a14:compatExt spid="_x0000_s42453"/>
                </a:ext>
                <a:ext uri="{FF2B5EF4-FFF2-40B4-BE49-F238E27FC236}">
                  <a16:creationId xmlns:a16="http://schemas.microsoft.com/office/drawing/2014/main" id="{00000000-0008-0000-0E00-0000D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54" name="Check Box 470" hidden="1">
              <a:extLst>
                <a:ext uri="{63B3BB69-23CF-44E3-9099-C40C66FF867C}">
                  <a14:compatExt spid="_x0000_s42454"/>
                </a:ext>
                <a:ext uri="{FF2B5EF4-FFF2-40B4-BE49-F238E27FC236}">
                  <a16:creationId xmlns:a16="http://schemas.microsoft.com/office/drawing/2014/main" id="{00000000-0008-0000-0E00-0000D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55" name="Check Box 471" hidden="1">
              <a:extLst>
                <a:ext uri="{63B3BB69-23CF-44E3-9099-C40C66FF867C}">
                  <a14:compatExt spid="_x0000_s42455"/>
                </a:ext>
                <a:ext uri="{FF2B5EF4-FFF2-40B4-BE49-F238E27FC236}">
                  <a16:creationId xmlns:a16="http://schemas.microsoft.com/office/drawing/2014/main" id="{00000000-0008-0000-0E00-0000D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56" name="Check Box 472" hidden="1">
              <a:extLst>
                <a:ext uri="{63B3BB69-23CF-44E3-9099-C40C66FF867C}">
                  <a14:compatExt spid="_x0000_s42456"/>
                </a:ext>
                <a:ext uri="{FF2B5EF4-FFF2-40B4-BE49-F238E27FC236}">
                  <a16:creationId xmlns:a16="http://schemas.microsoft.com/office/drawing/2014/main" id="{00000000-0008-0000-0E00-0000D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57" name="Check Box 473" hidden="1">
              <a:extLst>
                <a:ext uri="{63B3BB69-23CF-44E3-9099-C40C66FF867C}">
                  <a14:compatExt spid="_x0000_s42457"/>
                </a:ext>
                <a:ext uri="{FF2B5EF4-FFF2-40B4-BE49-F238E27FC236}">
                  <a16:creationId xmlns:a16="http://schemas.microsoft.com/office/drawing/2014/main" id="{00000000-0008-0000-0E00-0000D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58" name="Check Box 474" hidden="1">
              <a:extLst>
                <a:ext uri="{63B3BB69-23CF-44E3-9099-C40C66FF867C}">
                  <a14:compatExt spid="_x0000_s42458"/>
                </a:ext>
                <a:ext uri="{FF2B5EF4-FFF2-40B4-BE49-F238E27FC236}">
                  <a16:creationId xmlns:a16="http://schemas.microsoft.com/office/drawing/2014/main" id="{00000000-0008-0000-0E00-0000D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59" name="Check Box 475" hidden="1">
              <a:extLst>
                <a:ext uri="{63B3BB69-23CF-44E3-9099-C40C66FF867C}">
                  <a14:compatExt spid="_x0000_s42459"/>
                </a:ext>
                <a:ext uri="{FF2B5EF4-FFF2-40B4-BE49-F238E27FC236}">
                  <a16:creationId xmlns:a16="http://schemas.microsoft.com/office/drawing/2014/main" id="{00000000-0008-0000-0E00-0000D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60" name="Check Box 476" hidden="1">
              <a:extLst>
                <a:ext uri="{63B3BB69-23CF-44E3-9099-C40C66FF867C}">
                  <a14:compatExt spid="_x0000_s42460"/>
                </a:ext>
                <a:ext uri="{FF2B5EF4-FFF2-40B4-BE49-F238E27FC236}">
                  <a16:creationId xmlns:a16="http://schemas.microsoft.com/office/drawing/2014/main" id="{00000000-0008-0000-0E00-0000D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61" name="Check Box 477" hidden="1">
              <a:extLst>
                <a:ext uri="{63B3BB69-23CF-44E3-9099-C40C66FF867C}">
                  <a14:compatExt spid="_x0000_s42461"/>
                </a:ext>
                <a:ext uri="{FF2B5EF4-FFF2-40B4-BE49-F238E27FC236}">
                  <a16:creationId xmlns:a16="http://schemas.microsoft.com/office/drawing/2014/main" id="{00000000-0008-0000-0E00-0000D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62" name="Check Box 478" hidden="1">
              <a:extLst>
                <a:ext uri="{63B3BB69-23CF-44E3-9099-C40C66FF867C}">
                  <a14:compatExt spid="_x0000_s42462"/>
                </a:ext>
                <a:ext uri="{FF2B5EF4-FFF2-40B4-BE49-F238E27FC236}">
                  <a16:creationId xmlns:a16="http://schemas.microsoft.com/office/drawing/2014/main" id="{00000000-0008-0000-0E00-0000D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63" name="Check Box 479" hidden="1">
              <a:extLst>
                <a:ext uri="{63B3BB69-23CF-44E3-9099-C40C66FF867C}">
                  <a14:compatExt spid="_x0000_s42463"/>
                </a:ext>
                <a:ext uri="{FF2B5EF4-FFF2-40B4-BE49-F238E27FC236}">
                  <a16:creationId xmlns:a16="http://schemas.microsoft.com/office/drawing/2014/main" id="{00000000-0008-0000-0E00-0000D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64" name="Check Box 480" hidden="1">
              <a:extLst>
                <a:ext uri="{63B3BB69-23CF-44E3-9099-C40C66FF867C}">
                  <a14:compatExt spid="_x0000_s42464"/>
                </a:ext>
                <a:ext uri="{FF2B5EF4-FFF2-40B4-BE49-F238E27FC236}">
                  <a16:creationId xmlns:a16="http://schemas.microsoft.com/office/drawing/2014/main" id="{00000000-0008-0000-0E00-0000E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65" name="Check Box 481" hidden="1">
              <a:extLst>
                <a:ext uri="{63B3BB69-23CF-44E3-9099-C40C66FF867C}">
                  <a14:compatExt spid="_x0000_s42465"/>
                </a:ext>
                <a:ext uri="{FF2B5EF4-FFF2-40B4-BE49-F238E27FC236}">
                  <a16:creationId xmlns:a16="http://schemas.microsoft.com/office/drawing/2014/main" id="{00000000-0008-0000-0E00-0000E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66" name="Check Box 482" hidden="1">
              <a:extLst>
                <a:ext uri="{63B3BB69-23CF-44E3-9099-C40C66FF867C}">
                  <a14:compatExt spid="_x0000_s42466"/>
                </a:ext>
                <a:ext uri="{FF2B5EF4-FFF2-40B4-BE49-F238E27FC236}">
                  <a16:creationId xmlns:a16="http://schemas.microsoft.com/office/drawing/2014/main" id="{00000000-0008-0000-0E00-0000E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67" name="Check Box 483" hidden="1">
              <a:extLst>
                <a:ext uri="{63B3BB69-23CF-44E3-9099-C40C66FF867C}">
                  <a14:compatExt spid="_x0000_s42467"/>
                </a:ext>
                <a:ext uri="{FF2B5EF4-FFF2-40B4-BE49-F238E27FC236}">
                  <a16:creationId xmlns:a16="http://schemas.microsoft.com/office/drawing/2014/main" id="{00000000-0008-0000-0E00-0000E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68" name="Check Box 484" hidden="1">
              <a:extLst>
                <a:ext uri="{63B3BB69-23CF-44E3-9099-C40C66FF867C}">
                  <a14:compatExt spid="_x0000_s42468"/>
                </a:ext>
                <a:ext uri="{FF2B5EF4-FFF2-40B4-BE49-F238E27FC236}">
                  <a16:creationId xmlns:a16="http://schemas.microsoft.com/office/drawing/2014/main" id="{00000000-0008-0000-0E00-0000E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69" name="Check Box 485" hidden="1">
              <a:extLst>
                <a:ext uri="{63B3BB69-23CF-44E3-9099-C40C66FF867C}">
                  <a14:compatExt spid="_x0000_s42469"/>
                </a:ext>
                <a:ext uri="{FF2B5EF4-FFF2-40B4-BE49-F238E27FC236}">
                  <a16:creationId xmlns:a16="http://schemas.microsoft.com/office/drawing/2014/main" id="{00000000-0008-0000-0E00-0000E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70" name="Check Box 486" hidden="1">
              <a:extLst>
                <a:ext uri="{63B3BB69-23CF-44E3-9099-C40C66FF867C}">
                  <a14:compatExt spid="_x0000_s42470"/>
                </a:ext>
                <a:ext uri="{FF2B5EF4-FFF2-40B4-BE49-F238E27FC236}">
                  <a16:creationId xmlns:a16="http://schemas.microsoft.com/office/drawing/2014/main" id="{00000000-0008-0000-0E00-0000E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71" name="Check Box 487" hidden="1">
              <a:extLst>
                <a:ext uri="{63B3BB69-23CF-44E3-9099-C40C66FF867C}">
                  <a14:compatExt spid="_x0000_s42471"/>
                </a:ext>
                <a:ext uri="{FF2B5EF4-FFF2-40B4-BE49-F238E27FC236}">
                  <a16:creationId xmlns:a16="http://schemas.microsoft.com/office/drawing/2014/main" id="{00000000-0008-0000-0E00-0000E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72" name="Check Box 488" hidden="1">
              <a:extLst>
                <a:ext uri="{63B3BB69-23CF-44E3-9099-C40C66FF867C}">
                  <a14:compatExt spid="_x0000_s42472"/>
                </a:ext>
                <a:ext uri="{FF2B5EF4-FFF2-40B4-BE49-F238E27FC236}">
                  <a16:creationId xmlns:a16="http://schemas.microsoft.com/office/drawing/2014/main" id="{00000000-0008-0000-0E00-0000E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73" name="Check Box 489" hidden="1">
              <a:extLst>
                <a:ext uri="{63B3BB69-23CF-44E3-9099-C40C66FF867C}">
                  <a14:compatExt spid="_x0000_s42473"/>
                </a:ext>
                <a:ext uri="{FF2B5EF4-FFF2-40B4-BE49-F238E27FC236}">
                  <a16:creationId xmlns:a16="http://schemas.microsoft.com/office/drawing/2014/main" id="{00000000-0008-0000-0E00-0000E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74" name="Check Box 490" hidden="1">
              <a:extLst>
                <a:ext uri="{63B3BB69-23CF-44E3-9099-C40C66FF867C}">
                  <a14:compatExt spid="_x0000_s42474"/>
                </a:ext>
                <a:ext uri="{FF2B5EF4-FFF2-40B4-BE49-F238E27FC236}">
                  <a16:creationId xmlns:a16="http://schemas.microsoft.com/office/drawing/2014/main" id="{00000000-0008-0000-0E00-0000E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75" name="Check Box 491" hidden="1">
              <a:extLst>
                <a:ext uri="{63B3BB69-23CF-44E3-9099-C40C66FF867C}">
                  <a14:compatExt spid="_x0000_s42475"/>
                </a:ext>
                <a:ext uri="{FF2B5EF4-FFF2-40B4-BE49-F238E27FC236}">
                  <a16:creationId xmlns:a16="http://schemas.microsoft.com/office/drawing/2014/main" id="{00000000-0008-0000-0E00-0000E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76" name="Check Box 492" hidden="1">
              <a:extLst>
                <a:ext uri="{63B3BB69-23CF-44E3-9099-C40C66FF867C}">
                  <a14:compatExt spid="_x0000_s42476"/>
                </a:ext>
                <a:ext uri="{FF2B5EF4-FFF2-40B4-BE49-F238E27FC236}">
                  <a16:creationId xmlns:a16="http://schemas.microsoft.com/office/drawing/2014/main" id="{00000000-0008-0000-0E00-0000E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77" name="Check Box 493" hidden="1">
              <a:extLst>
                <a:ext uri="{63B3BB69-23CF-44E3-9099-C40C66FF867C}">
                  <a14:compatExt spid="_x0000_s42477"/>
                </a:ext>
                <a:ext uri="{FF2B5EF4-FFF2-40B4-BE49-F238E27FC236}">
                  <a16:creationId xmlns:a16="http://schemas.microsoft.com/office/drawing/2014/main" id="{00000000-0008-0000-0E00-0000E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78" name="Check Box 494" hidden="1">
              <a:extLst>
                <a:ext uri="{63B3BB69-23CF-44E3-9099-C40C66FF867C}">
                  <a14:compatExt spid="_x0000_s42478"/>
                </a:ext>
                <a:ext uri="{FF2B5EF4-FFF2-40B4-BE49-F238E27FC236}">
                  <a16:creationId xmlns:a16="http://schemas.microsoft.com/office/drawing/2014/main" id="{00000000-0008-0000-0E00-0000E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79" name="Check Box 495" hidden="1">
              <a:extLst>
                <a:ext uri="{63B3BB69-23CF-44E3-9099-C40C66FF867C}">
                  <a14:compatExt spid="_x0000_s42479"/>
                </a:ext>
                <a:ext uri="{FF2B5EF4-FFF2-40B4-BE49-F238E27FC236}">
                  <a16:creationId xmlns:a16="http://schemas.microsoft.com/office/drawing/2014/main" id="{00000000-0008-0000-0E00-0000E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80" name="Check Box 496" hidden="1">
              <a:extLst>
                <a:ext uri="{63B3BB69-23CF-44E3-9099-C40C66FF867C}">
                  <a14:compatExt spid="_x0000_s42480"/>
                </a:ext>
                <a:ext uri="{FF2B5EF4-FFF2-40B4-BE49-F238E27FC236}">
                  <a16:creationId xmlns:a16="http://schemas.microsoft.com/office/drawing/2014/main" id="{00000000-0008-0000-0E00-0000F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81" name="Check Box 497" hidden="1">
              <a:extLst>
                <a:ext uri="{63B3BB69-23CF-44E3-9099-C40C66FF867C}">
                  <a14:compatExt spid="_x0000_s42481"/>
                </a:ext>
                <a:ext uri="{FF2B5EF4-FFF2-40B4-BE49-F238E27FC236}">
                  <a16:creationId xmlns:a16="http://schemas.microsoft.com/office/drawing/2014/main" id="{00000000-0008-0000-0E00-0000F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482" name="Check Box 498" hidden="1">
              <a:extLst>
                <a:ext uri="{63B3BB69-23CF-44E3-9099-C40C66FF867C}">
                  <a14:compatExt spid="_x0000_s42482"/>
                </a:ext>
                <a:ext uri="{FF2B5EF4-FFF2-40B4-BE49-F238E27FC236}">
                  <a16:creationId xmlns:a16="http://schemas.microsoft.com/office/drawing/2014/main" id="{00000000-0008-0000-0E00-0000F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83" name="Check Box 499" hidden="1">
              <a:extLst>
                <a:ext uri="{63B3BB69-23CF-44E3-9099-C40C66FF867C}">
                  <a14:compatExt spid="_x0000_s42483"/>
                </a:ext>
                <a:ext uri="{FF2B5EF4-FFF2-40B4-BE49-F238E27FC236}">
                  <a16:creationId xmlns:a16="http://schemas.microsoft.com/office/drawing/2014/main" id="{00000000-0008-0000-0E00-0000F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84" name="Check Box 500" hidden="1">
              <a:extLst>
                <a:ext uri="{63B3BB69-23CF-44E3-9099-C40C66FF867C}">
                  <a14:compatExt spid="_x0000_s42484"/>
                </a:ext>
                <a:ext uri="{FF2B5EF4-FFF2-40B4-BE49-F238E27FC236}">
                  <a16:creationId xmlns:a16="http://schemas.microsoft.com/office/drawing/2014/main" id="{00000000-0008-0000-0E00-0000F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485" name="Check Box 501" hidden="1">
              <a:extLst>
                <a:ext uri="{63B3BB69-23CF-44E3-9099-C40C66FF867C}">
                  <a14:compatExt spid="_x0000_s42485"/>
                </a:ext>
                <a:ext uri="{FF2B5EF4-FFF2-40B4-BE49-F238E27FC236}">
                  <a16:creationId xmlns:a16="http://schemas.microsoft.com/office/drawing/2014/main" id="{00000000-0008-0000-0E00-0000F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86" name="Check Box 502" hidden="1">
              <a:extLst>
                <a:ext uri="{63B3BB69-23CF-44E3-9099-C40C66FF867C}">
                  <a14:compatExt spid="_x0000_s42486"/>
                </a:ext>
                <a:ext uri="{FF2B5EF4-FFF2-40B4-BE49-F238E27FC236}">
                  <a16:creationId xmlns:a16="http://schemas.microsoft.com/office/drawing/2014/main" id="{00000000-0008-0000-0E00-0000F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87" name="Check Box 503" hidden="1">
              <a:extLst>
                <a:ext uri="{63B3BB69-23CF-44E3-9099-C40C66FF867C}">
                  <a14:compatExt spid="_x0000_s42487"/>
                </a:ext>
                <a:ext uri="{FF2B5EF4-FFF2-40B4-BE49-F238E27FC236}">
                  <a16:creationId xmlns:a16="http://schemas.microsoft.com/office/drawing/2014/main" id="{00000000-0008-0000-0E00-0000F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88" name="Check Box 504" hidden="1">
              <a:extLst>
                <a:ext uri="{63B3BB69-23CF-44E3-9099-C40C66FF867C}">
                  <a14:compatExt spid="_x0000_s42488"/>
                </a:ext>
                <a:ext uri="{FF2B5EF4-FFF2-40B4-BE49-F238E27FC236}">
                  <a16:creationId xmlns:a16="http://schemas.microsoft.com/office/drawing/2014/main" id="{00000000-0008-0000-0E00-0000F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89" name="Check Box 505" hidden="1">
              <a:extLst>
                <a:ext uri="{63B3BB69-23CF-44E3-9099-C40C66FF867C}">
                  <a14:compatExt spid="_x0000_s42489"/>
                </a:ext>
                <a:ext uri="{FF2B5EF4-FFF2-40B4-BE49-F238E27FC236}">
                  <a16:creationId xmlns:a16="http://schemas.microsoft.com/office/drawing/2014/main" id="{00000000-0008-0000-0E00-0000F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90" name="Check Box 506" hidden="1">
              <a:extLst>
                <a:ext uri="{63B3BB69-23CF-44E3-9099-C40C66FF867C}">
                  <a14:compatExt spid="_x0000_s42490"/>
                </a:ext>
                <a:ext uri="{FF2B5EF4-FFF2-40B4-BE49-F238E27FC236}">
                  <a16:creationId xmlns:a16="http://schemas.microsoft.com/office/drawing/2014/main" id="{00000000-0008-0000-0E00-0000F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491" name="Check Box 507" hidden="1">
              <a:extLst>
                <a:ext uri="{63B3BB69-23CF-44E3-9099-C40C66FF867C}">
                  <a14:compatExt spid="_x0000_s42491"/>
                </a:ext>
                <a:ext uri="{FF2B5EF4-FFF2-40B4-BE49-F238E27FC236}">
                  <a16:creationId xmlns:a16="http://schemas.microsoft.com/office/drawing/2014/main" id="{00000000-0008-0000-0E00-0000F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92" name="Check Box 508" hidden="1">
              <a:extLst>
                <a:ext uri="{63B3BB69-23CF-44E3-9099-C40C66FF867C}">
                  <a14:compatExt spid="_x0000_s42492"/>
                </a:ext>
                <a:ext uri="{FF2B5EF4-FFF2-40B4-BE49-F238E27FC236}">
                  <a16:creationId xmlns:a16="http://schemas.microsoft.com/office/drawing/2014/main" id="{00000000-0008-0000-0E00-0000F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93" name="Check Box 509" hidden="1">
              <a:extLst>
                <a:ext uri="{63B3BB69-23CF-44E3-9099-C40C66FF867C}">
                  <a14:compatExt spid="_x0000_s42493"/>
                </a:ext>
                <a:ext uri="{FF2B5EF4-FFF2-40B4-BE49-F238E27FC236}">
                  <a16:creationId xmlns:a16="http://schemas.microsoft.com/office/drawing/2014/main" id="{00000000-0008-0000-0E00-0000F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494" name="Check Box 510" hidden="1">
              <a:extLst>
                <a:ext uri="{63B3BB69-23CF-44E3-9099-C40C66FF867C}">
                  <a14:compatExt spid="_x0000_s42494"/>
                </a:ext>
                <a:ext uri="{FF2B5EF4-FFF2-40B4-BE49-F238E27FC236}">
                  <a16:creationId xmlns:a16="http://schemas.microsoft.com/office/drawing/2014/main" id="{00000000-0008-0000-0E00-0000F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95" name="Check Box 511" hidden="1">
              <a:extLst>
                <a:ext uri="{63B3BB69-23CF-44E3-9099-C40C66FF867C}">
                  <a14:compatExt spid="_x0000_s42495"/>
                </a:ext>
                <a:ext uri="{FF2B5EF4-FFF2-40B4-BE49-F238E27FC236}">
                  <a16:creationId xmlns:a16="http://schemas.microsoft.com/office/drawing/2014/main" id="{00000000-0008-0000-0E00-0000F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96" name="Check Box 512" hidden="1">
              <a:extLst>
                <a:ext uri="{63B3BB69-23CF-44E3-9099-C40C66FF867C}">
                  <a14:compatExt spid="_x0000_s42496"/>
                </a:ext>
                <a:ext uri="{FF2B5EF4-FFF2-40B4-BE49-F238E27FC236}">
                  <a16:creationId xmlns:a16="http://schemas.microsoft.com/office/drawing/2014/main" id="{00000000-0008-0000-0E00-00000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497" name="Check Box 513" hidden="1">
              <a:extLst>
                <a:ext uri="{63B3BB69-23CF-44E3-9099-C40C66FF867C}">
                  <a14:compatExt spid="_x0000_s42497"/>
                </a:ext>
                <a:ext uri="{FF2B5EF4-FFF2-40B4-BE49-F238E27FC236}">
                  <a16:creationId xmlns:a16="http://schemas.microsoft.com/office/drawing/2014/main" id="{00000000-0008-0000-0E00-00000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98" name="Check Box 514" hidden="1">
              <a:extLst>
                <a:ext uri="{63B3BB69-23CF-44E3-9099-C40C66FF867C}">
                  <a14:compatExt spid="_x0000_s42498"/>
                </a:ext>
                <a:ext uri="{FF2B5EF4-FFF2-40B4-BE49-F238E27FC236}">
                  <a16:creationId xmlns:a16="http://schemas.microsoft.com/office/drawing/2014/main" id="{00000000-0008-0000-0E00-00000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99" name="Check Box 515" hidden="1">
              <a:extLst>
                <a:ext uri="{63B3BB69-23CF-44E3-9099-C40C66FF867C}">
                  <a14:compatExt spid="_x0000_s42499"/>
                </a:ext>
                <a:ext uri="{FF2B5EF4-FFF2-40B4-BE49-F238E27FC236}">
                  <a16:creationId xmlns:a16="http://schemas.microsoft.com/office/drawing/2014/main" id="{00000000-0008-0000-0E00-00000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500" name="Check Box 516" hidden="1">
              <a:extLst>
                <a:ext uri="{63B3BB69-23CF-44E3-9099-C40C66FF867C}">
                  <a14:compatExt spid="_x0000_s42500"/>
                </a:ext>
                <a:ext uri="{FF2B5EF4-FFF2-40B4-BE49-F238E27FC236}">
                  <a16:creationId xmlns:a16="http://schemas.microsoft.com/office/drawing/2014/main" id="{00000000-0008-0000-0E00-00000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01" name="Check Box 517" hidden="1">
              <a:extLst>
                <a:ext uri="{63B3BB69-23CF-44E3-9099-C40C66FF867C}">
                  <a14:compatExt spid="_x0000_s42501"/>
                </a:ext>
                <a:ext uri="{FF2B5EF4-FFF2-40B4-BE49-F238E27FC236}">
                  <a16:creationId xmlns:a16="http://schemas.microsoft.com/office/drawing/2014/main" id="{00000000-0008-0000-0E00-00000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02" name="Check Box 518" hidden="1">
              <a:extLst>
                <a:ext uri="{63B3BB69-23CF-44E3-9099-C40C66FF867C}">
                  <a14:compatExt spid="_x0000_s42502"/>
                </a:ext>
                <a:ext uri="{FF2B5EF4-FFF2-40B4-BE49-F238E27FC236}">
                  <a16:creationId xmlns:a16="http://schemas.microsoft.com/office/drawing/2014/main" id="{00000000-0008-0000-0E00-00000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03" name="Check Box 519" hidden="1">
              <a:extLst>
                <a:ext uri="{63B3BB69-23CF-44E3-9099-C40C66FF867C}">
                  <a14:compatExt spid="_x0000_s42503"/>
                </a:ext>
                <a:ext uri="{FF2B5EF4-FFF2-40B4-BE49-F238E27FC236}">
                  <a16:creationId xmlns:a16="http://schemas.microsoft.com/office/drawing/2014/main" id="{00000000-0008-0000-0E00-00000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04" name="Check Box 520" hidden="1">
              <a:extLst>
                <a:ext uri="{63B3BB69-23CF-44E3-9099-C40C66FF867C}">
                  <a14:compatExt spid="_x0000_s42504"/>
                </a:ext>
                <a:ext uri="{FF2B5EF4-FFF2-40B4-BE49-F238E27FC236}">
                  <a16:creationId xmlns:a16="http://schemas.microsoft.com/office/drawing/2014/main" id="{00000000-0008-0000-0E00-00000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05" name="Check Box 521" hidden="1">
              <a:extLst>
                <a:ext uri="{63B3BB69-23CF-44E3-9099-C40C66FF867C}">
                  <a14:compatExt spid="_x0000_s42505"/>
                </a:ext>
                <a:ext uri="{FF2B5EF4-FFF2-40B4-BE49-F238E27FC236}">
                  <a16:creationId xmlns:a16="http://schemas.microsoft.com/office/drawing/2014/main" id="{00000000-0008-0000-0E00-00000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06" name="Check Box 522" hidden="1">
              <a:extLst>
                <a:ext uri="{63B3BB69-23CF-44E3-9099-C40C66FF867C}">
                  <a14:compatExt spid="_x0000_s42506"/>
                </a:ext>
                <a:ext uri="{FF2B5EF4-FFF2-40B4-BE49-F238E27FC236}">
                  <a16:creationId xmlns:a16="http://schemas.microsoft.com/office/drawing/2014/main" id="{00000000-0008-0000-0E00-00000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507" name="Check Box 523" hidden="1">
              <a:extLst>
                <a:ext uri="{63B3BB69-23CF-44E3-9099-C40C66FF867C}">
                  <a14:compatExt spid="_x0000_s42507"/>
                </a:ext>
                <a:ext uri="{FF2B5EF4-FFF2-40B4-BE49-F238E27FC236}">
                  <a16:creationId xmlns:a16="http://schemas.microsoft.com/office/drawing/2014/main" id="{00000000-0008-0000-0E00-00000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508" name="Check Box 524" hidden="1">
              <a:extLst>
                <a:ext uri="{63B3BB69-23CF-44E3-9099-C40C66FF867C}">
                  <a14:compatExt spid="_x0000_s42508"/>
                </a:ext>
                <a:ext uri="{FF2B5EF4-FFF2-40B4-BE49-F238E27FC236}">
                  <a16:creationId xmlns:a16="http://schemas.microsoft.com/office/drawing/2014/main" id="{00000000-0008-0000-0E00-00000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509" name="Check Box 525" hidden="1">
              <a:extLst>
                <a:ext uri="{63B3BB69-23CF-44E3-9099-C40C66FF867C}">
                  <a14:compatExt spid="_x0000_s42509"/>
                </a:ext>
                <a:ext uri="{FF2B5EF4-FFF2-40B4-BE49-F238E27FC236}">
                  <a16:creationId xmlns:a16="http://schemas.microsoft.com/office/drawing/2014/main" id="{00000000-0008-0000-0E00-00000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10" name="Check Box 526" hidden="1">
              <a:extLst>
                <a:ext uri="{63B3BB69-23CF-44E3-9099-C40C66FF867C}">
                  <a14:compatExt spid="_x0000_s42510"/>
                </a:ext>
                <a:ext uri="{FF2B5EF4-FFF2-40B4-BE49-F238E27FC236}">
                  <a16:creationId xmlns:a16="http://schemas.microsoft.com/office/drawing/2014/main" id="{00000000-0008-0000-0E00-00000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11" name="Check Box 527" hidden="1">
              <a:extLst>
                <a:ext uri="{63B3BB69-23CF-44E3-9099-C40C66FF867C}">
                  <a14:compatExt spid="_x0000_s42511"/>
                </a:ext>
                <a:ext uri="{FF2B5EF4-FFF2-40B4-BE49-F238E27FC236}">
                  <a16:creationId xmlns:a16="http://schemas.microsoft.com/office/drawing/2014/main" id="{00000000-0008-0000-0E00-00000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12" name="Check Box 528" hidden="1">
              <a:extLst>
                <a:ext uri="{63B3BB69-23CF-44E3-9099-C40C66FF867C}">
                  <a14:compatExt spid="_x0000_s42512"/>
                </a:ext>
                <a:ext uri="{FF2B5EF4-FFF2-40B4-BE49-F238E27FC236}">
                  <a16:creationId xmlns:a16="http://schemas.microsoft.com/office/drawing/2014/main" id="{00000000-0008-0000-0E00-00001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13" name="Check Box 529" hidden="1">
              <a:extLst>
                <a:ext uri="{63B3BB69-23CF-44E3-9099-C40C66FF867C}">
                  <a14:compatExt spid="_x0000_s42513"/>
                </a:ext>
                <a:ext uri="{FF2B5EF4-FFF2-40B4-BE49-F238E27FC236}">
                  <a16:creationId xmlns:a16="http://schemas.microsoft.com/office/drawing/2014/main" id="{00000000-0008-0000-0E00-00001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14" name="Check Box 530" hidden="1">
              <a:extLst>
                <a:ext uri="{63B3BB69-23CF-44E3-9099-C40C66FF867C}">
                  <a14:compatExt spid="_x0000_s42514"/>
                </a:ext>
                <a:ext uri="{FF2B5EF4-FFF2-40B4-BE49-F238E27FC236}">
                  <a16:creationId xmlns:a16="http://schemas.microsoft.com/office/drawing/2014/main" id="{00000000-0008-0000-0E00-00001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15" name="Check Box 531" hidden="1">
              <a:extLst>
                <a:ext uri="{63B3BB69-23CF-44E3-9099-C40C66FF867C}">
                  <a14:compatExt spid="_x0000_s42515"/>
                </a:ext>
                <a:ext uri="{FF2B5EF4-FFF2-40B4-BE49-F238E27FC236}">
                  <a16:creationId xmlns:a16="http://schemas.microsoft.com/office/drawing/2014/main" id="{00000000-0008-0000-0E00-00001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16" name="Check Box 532" hidden="1">
              <a:extLst>
                <a:ext uri="{63B3BB69-23CF-44E3-9099-C40C66FF867C}">
                  <a14:compatExt spid="_x0000_s42516"/>
                </a:ext>
                <a:ext uri="{FF2B5EF4-FFF2-40B4-BE49-F238E27FC236}">
                  <a16:creationId xmlns:a16="http://schemas.microsoft.com/office/drawing/2014/main" id="{00000000-0008-0000-0E00-00001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17" name="Check Box 533" hidden="1">
              <a:extLst>
                <a:ext uri="{63B3BB69-23CF-44E3-9099-C40C66FF867C}">
                  <a14:compatExt spid="_x0000_s42517"/>
                </a:ext>
                <a:ext uri="{FF2B5EF4-FFF2-40B4-BE49-F238E27FC236}">
                  <a16:creationId xmlns:a16="http://schemas.microsoft.com/office/drawing/2014/main" id="{00000000-0008-0000-0E00-00001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18" name="Check Box 534" hidden="1">
              <a:extLst>
                <a:ext uri="{63B3BB69-23CF-44E3-9099-C40C66FF867C}">
                  <a14:compatExt spid="_x0000_s42518"/>
                </a:ext>
                <a:ext uri="{FF2B5EF4-FFF2-40B4-BE49-F238E27FC236}">
                  <a16:creationId xmlns:a16="http://schemas.microsoft.com/office/drawing/2014/main" id="{00000000-0008-0000-0E00-00001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19" name="Check Box 535" hidden="1">
              <a:extLst>
                <a:ext uri="{63B3BB69-23CF-44E3-9099-C40C66FF867C}">
                  <a14:compatExt spid="_x0000_s42519"/>
                </a:ext>
                <a:ext uri="{FF2B5EF4-FFF2-40B4-BE49-F238E27FC236}">
                  <a16:creationId xmlns:a16="http://schemas.microsoft.com/office/drawing/2014/main" id="{00000000-0008-0000-0E00-00001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20" name="Check Box 536" hidden="1">
              <a:extLst>
                <a:ext uri="{63B3BB69-23CF-44E3-9099-C40C66FF867C}">
                  <a14:compatExt spid="_x0000_s42520"/>
                </a:ext>
                <a:ext uri="{FF2B5EF4-FFF2-40B4-BE49-F238E27FC236}">
                  <a16:creationId xmlns:a16="http://schemas.microsoft.com/office/drawing/2014/main" id="{00000000-0008-0000-0E00-00001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21" name="Check Box 537" hidden="1">
              <a:extLst>
                <a:ext uri="{63B3BB69-23CF-44E3-9099-C40C66FF867C}">
                  <a14:compatExt spid="_x0000_s42521"/>
                </a:ext>
                <a:ext uri="{FF2B5EF4-FFF2-40B4-BE49-F238E27FC236}">
                  <a16:creationId xmlns:a16="http://schemas.microsoft.com/office/drawing/2014/main" id="{00000000-0008-0000-0E00-00001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28" name="Check Box 544" hidden="1">
              <a:extLst>
                <a:ext uri="{63B3BB69-23CF-44E3-9099-C40C66FF867C}">
                  <a14:compatExt spid="_x0000_s42528"/>
                </a:ext>
                <a:ext uri="{FF2B5EF4-FFF2-40B4-BE49-F238E27FC236}">
                  <a16:creationId xmlns:a16="http://schemas.microsoft.com/office/drawing/2014/main" id="{00000000-0008-0000-0E00-00002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29" name="Check Box 545" hidden="1">
              <a:extLst>
                <a:ext uri="{63B3BB69-23CF-44E3-9099-C40C66FF867C}">
                  <a14:compatExt spid="_x0000_s42529"/>
                </a:ext>
                <a:ext uri="{FF2B5EF4-FFF2-40B4-BE49-F238E27FC236}">
                  <a16:creationId xmlns:a16="http://schemas.microsoft.com/office/drawing/2014/main" id="{00000000-0008-0000-0E00-00002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30" name="Check Box 546" hidden="1">
              <a:extLst>
                <a:ext uri="{63B3BB69-23CF-44E3-9099-C40C66FF867C}">
                  <a14:compatExt spid="_x0000_s42530"/>
                </a:ext>
                <a:ext uri="{FF2B5EF4-FFF2-40B4-BE49-F238E27FC236}">
                  <a16:creationId xmlns:a16="http://schemas.microsoft.com/office/drawing/2014/main" id="{00000000-0008-0000-0E00-00002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28575</xdr:rowOff>
        </xdr:from>
        <xdr:to>
          <xdr:col>7</xdr:col>
          <xdr:colOff>419100</xdr:colOff>
          <xdr:row>81</xdr:row>
          <xdr:rowOff>0</xdr:rowOff>
        </xdr:to>
        <xdr:sp macro="" textlink="">
          <xdr:nvSpPr>
            <xdr:cNvPr id="42545" name="Check Box 561" hidden="1">
              <a:extLst>
                <a:ext uri="{63B3BB69-23CF-44E3-9099-C40C66FF867C}">
                  <a14:compatExt spid="_x0000_s42545"/>
                </a:ext>
                <a:ext uri="{FF2B5EF4-FFF2-40B4-BE49-F238E27FC236}">
                  <a16:creationId xmlns:a16="http://schemas.microsoft.com/office/drawing/2014/main" id="{00000000-0008-0000-0E00-00003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64" name="Check Box 580" hidden="1">
              <a:extLst>
                <a:ext uri="{63B3BB69-23CF-44E3-9099-C40C66FF867C}">
                  <a14:compatExt spid="_x0000_s42564"/>
                </a:ext>
                <a:ext uri="{FF2B5EF4-FFF2-40B4-BE49-F238E27FC236}">
                  <a16:creationId xmlns:a16="http://schemas.microsoft.com/office/drawing/2014/main" id="{00000000-0008-0000-0E00-00004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65" name="Check Box 581" hidden="1">
              <a:extLst>
                <a:ext uri="{63B3BB69-23CF-44E3-9099-C40C66FF867C}">
                  <a14:compatExt spid="_x0000_s42565"/>
                </a:ext>
                <a:ext uri="{FF2B5EF4-FFF2-40B4-BE49-F238E27FC236}">
                  <a16:creationId xmlns:a16="http://schemas.microsoft.com/office/drawing/2014/main" id="{00000000-0008-0000-0E00-00004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66" name="Check Box 582" hidden="1">
              <a:extLst>
                <a:ext uri="{63B3BB69-23CF-44E3-9099-C40C66FF867C}">
                  <a14:compatExt spid="_x0000_s42566"/>
                </a:ext>
                <a:ext uri="{FF2B5EF4-FFF2-40B4-BE49-F238E27FC236}">
                  <a16:creationId xmlns:a16="http://schemas.microsoft.com/office/drawing/2014/main" id="{00000000-0008-0000-0E00-00004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67" name="Check Box 583" hidden="1">
              <a:extLst>
                <a:ext uri="{63B3BB69-23CF-44E3-9099-C40C66FF867C}">
                  <a14:compatExt spid="_x0000_s42567"/>
                </a:ext>
                <a:ext uri="{FF2B5EF4-FFF2-40B4-BE49-F238E27FC236}">
                  <a16:creationId xmlns:a16="http://schemas.microsoft.com/office/drawing/2014/main" id="{00000000-0008-0000-0E00-00004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68" name="Check Box 584" hidden="1">
              <a:extLst>
                <a:ext uri="{63B3BB69-23CF-44E3-9099-C40C66FF867C}">
                  <a14:compatExt spid="_x0000_s42568"/>
                </a:ext>
                <a:ext uri="{FF2B5EF4-FFF2-40B4-BE49-F238E27FC236}">
                  <a16:creationId xmlns:a16="http://schemas.microsoft.com/office/drawing/2014/main" id="{00000000-0008-0000-0E00-00004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69" name="Check Box 585" hidden="1">
              <a:extLst>
                <a:ext uri="{63B3BB69-23CF-44E3-9099-C40C66FF867C}">
                  <a14:compatExt spid="_x0000_s42569"/>
                </a:ext>
                <a:ext uri="{FF2B5EF4-FFF2-40B4-BE49-F238E27FC236}">
                  <a16:creationId xmlns:a16="http://schemas.microsoft.com/office/drawing/2014/main" id="{00000000-0008-0000-0E00-00004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73" name="Check Box 589" hidden="1">
              <a:extLst>
                <a:ext uri="{63B3BB69-23CF-44E3-9099-C40C66FF867C}">
                  <a14:compatExt spid="_x0000_s42573"/>
                </a:ext>
                <a:ext uri="{FF2B5EF4-FFF2-40B4-BE49-F238E27FC236}">
                  <a16:creationId xmlns:a16="http://schemas.microsoft.com/office/drawing/2014/main" id="{00000000-0008-0000-0E00-00004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74" name="Check Box 590" hidden="1">
              <a:extLst>
                <a:ext uri="{63B3BB69-23CF-44E3-9099-C40C66FF867C}">
                  <a14:compatExt spid="_x0000_s42574"/>
                </a:ext>
                <a:ext uri="{FF2B5EF4-FFF2-40B4-BE49-F238E27FC236}">
                  <a16:creationId xmlns:a16="http://schemas.microsoft.com/office/drawing/2014/main" id="{00000000-0008-0000-0E00-00004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75" name="Check Box 591" hidden="1">
              <a:extLst>
                <a:ext uri="{63B3BB69-23CF-44E3-9099-C40C66FF867C}">
                  <a14:compatExt spid="_x0000_s42575"/>
                </a:ext>
                <a:ext uri="{FF2B5EF4-FFF2-40B4-BE49-F238E27FC236}">
                  <a16:creationId xmlns:a16="http://schemas.microsoft.com/office/drawing/2014/main" id="{00000000-0008-0000-0E00-00004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76" name="Check Box 592" hidden="1">
              <a:extLst>
                <a:ext uri="{63B3BB69-23CF-44E3-9099-C40C66FF867C}">
                  <a14:compatExt spid="_x0000_s42576"/>
                </a:ext>
                <a:ext uri="{FF2B5EF4-FFF2-40B4-BE49-F238E27FC236}">
                  <a16:creationId xmlns:a16="http://schemas.microsoft.com/office/drawing/2014/main" id="{00000000-0008-0000-0E00-00005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77" name="Check Box 593" hidden="1">
              <a:extLst>
                <a:ext uri="{63B3BB69-23CF-44E3-9099-C40C66FF867C}">
                  <a14:compatExt spid="_x0000_s42577"/>
                </a:ext>
                <a:ext uri="{FF2B5EF4-FFF2-40B4-BE49-F238E27FC236}">
                  <a16:creationId xmlns:a16="http://schemas.microsoft.com/office/drawing/2014/main" id="{00000000-0008-0000-0E00-00005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78" name="Check Box 594" hidden="1">
              <a:extLst>
                <a:ext uri="{63B3BB69-23CF-44E3-9099-C40C66FF867C}">
                  <a14:compatExt spid="_x0000_s42578"/>
                </a:ext>
                <a:ext uri="{FF2B5EF4-FFF2-40B4-BE49-F238E27FC236}">
                  <a16:creationId xmlns:a16="http://schemas.microsoft.com/office/drawing/2014/main" id="{00000000-0008-0000-0E00-00005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79" name="Check Box 595" hidden="1">
              <a:extLst>
                <a:ext uri="{63B3BB69-23CF-44E3-9099-C40C66FF867C}">
                  <a14:compatExt spid="_x0000_s42579"/>
                </a:ext>
                <a:ext uri="{FF2B5EF4-FFF2-40B4-BE49-F238E27FC236}">
                  <a16:creationId xmlns:a16="http://schemas.microsoft.com/office/drawing/2014/main" id="{00000000-0008-0000-0E00-00005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80" name="Check Box 596" hidden="1">
              <a:extLst>
                <a:ext uri="{63B3BB69-23CF-44E3-9099-C40C66FF867C}">
                  <a14:compatExt spid="_x0000_s42580"/>
                </a:ext>
                <a:ext uri="{FF2B5EF4-FFF2-40B4-BE49-F238E27FC236}">
                  <a16:creationId xmlns:a16="http://schemas.microsoft.com/office/drawing/2014/main" id="{00000000-0008-0000-0E00-00005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81" name="Check Box 597" hidden="1">
              <a:extLst>
                <a:ext uri="{63B3BB69-23CF-44E3-9099-C40C66FF867C}">
                  <a14:compatExt spid="_x0000_s42581"/>
                </a:ext>
                <a:ext uri="{FF2B5EF4-FFF2-40B4-BE49-F238E27FC236}">
                  <a16:creationId xmlns:a16="http://schemas.microsoft.com/office/drawing/2014/main" id="{00000000-0008-0000-0E00-00005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82" name="Check Box 598" hidden="1">
              <a:extLst>
                <a:ext uri="{63B3BB69-23CF-44E3-9099-C40C66FF867C}">
                  <a14:compatExt spid="_x0000_s42582"/>
                </a:ext>
                <a:ext uri="{FF2B5EF4-FFF2-40B4-BE49-F238E27FC236}">
                  <a16:creationId xmlns:a16="http://schemas.microsoft.com/office/drawing/2014/main" id="{00000000-0008-0000-0E00-00005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83" name="Check Box 599" hidden="1">
              <a:extLst>
                <a:ext uri="{63B3BB69-23CF-44E3-9099-C40C66FF867C}">
                  <a14:compatExt spid="_x0000_s42583"/>
                </a:ext>
                <a:ext uri="{FF2B5EF4-FFF2-40B4-BE49-F238E27FC236}">
                  <a16:creationId xmlns:a16="http://schemas.microsoft.com/office/drawing/2014/main" id="{00000000-0008-0000-0E00-00005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84" name="Check Box 600" hidden="1">
              <a:extLst>
                <a:ext uri="{63B3BB69-23CF-44E3-9099-C40C66FF867C}">
                  <a14:compatExt spid="_x0000_s42584"/>
                </a:ext>
                <a:ext uri="{FF2B5EF4-FFF2-40B4-BE49-F238E27FC236}">
                  <a16:creationId xmlns:a16="http://schemas.microsoft.com/office/drawing/2014/main" id="{00000000-0008-0000-0E00-00005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585" name="Check Box 601" hidden="1">
              <a:extLst>
                <a:ext uri="{63B3BB69-23CF-44E3-9099-C40C66FF867C}">
                  <a14:compatExt spid="_x0000_s42585"/>
                </a:ext>
                <a:ext uri="{FF2B5EF4-FFF2-40B4-BE49-F238E27FC236}">
                  <a16:creationId xmlns:a16="http://schemas.microsoft.com/office/drawing/2014/main" id="{00000000-0008-0000-0E00-00005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586" name="Check Box 602" hidden="1">
              <a:extLst>
                <a:ext uri="{63B3BB69-23CF-44E3-9099-C40C66FF867C}">
                  <a14:compatExt spid="_x0000_s42586"/>
                </a:ext>
                <a:ext uri="{FF2B5EF4-FFF2-40B4-BE49-F238E27FC236}">
                  <a16:creationId xmlns:a16="http://schemas.microsoft.com/office/drawing/2014/main" id="{00000000-0008-0000-0E00-00005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587" name="Check Box 603" hidden="1">
              <a:extLst>
                <a:ext uri="{63B3BB69-23CF-44E3-9099-C40C66FF867C}">
                  <a14:compatExt spid="_x0000_s42587"/>
                </a:ext>
                <a:ext uri="{FF2B5EF4-FFF2-40B4-BE49-F238E27FC236}">
                  <a16:creationId xmlns:a16="http://schemas.microsoft.com/office/drawing/2014/main" id="{00000000-0008-0000-0E00-00005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588" name="Check Box 604" hidden="1">
              <a:extLst>
                <a:ext uri="{63B3BB69-23CF-44E3-9099-C40C66FF867C}">
                  <a14:compatExt spid="_x0000_s42588"/>
                </a:ext>
                <a:ext uri="{FF2B5EF4-FFF2-40B4-BE49-F238E27FC236}">
                  <a16:creationId xmlns:a16="http://schemas.microsoft.com/office/drawing/2014/main" id="{00000000-0008-0000-0E00-00005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589" name="Check Box 605" hidden="1">
              <a:extLst>
                <a:ext uri="{63B3BB69-23CF-44E3-9099-C40C66FF867C}">
                  <a14:compatExt spid="_x0000_s42589"/>
                </a:ext>
                <a:ext uri="{FF2B5EF4-FFF2-40B4-BE49-F238E27FC236}">
                  <a16:creationId xmlns:a16="http://schemas.microsoft.com/office/drawing/2014/main" id="{00000000-0008-0000-0E00-00005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590" name="Check Box 606" hidden="1">
              <a:extLst>
                <a:ext uri="{63B3BB69-23CF-44E3-9099-C40C66FF867C}">
                  <a14:compatExt spid="_x0000_s42590"/>
                </a:ext>
                <a:ext uri="{FF2B5EF4-FFF2-40B4-BE49-F238E27FC236}">
                  <a16:creationId xmlns:a16="http://schemas.microsoft.com/office/drawing/2014/main" id="{00000000-0008-0000-0E00-00005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91" name="Check Box 607" hidden="1">
              <a:extLst>
                <a:ext uri="{63B3BB69-23CF-44E3-9099-C40C66FF867C}">
                  <a14:compatExt spid="_x0000_s42591"/>
                </a:ext>
                <a:ext uri="{FF2B5EF4-FFF2-40B4-BE49-F238E27FC236}">
                  <a16:creationId xmlns:a16="http://schemas.microsoft.com/office/drawing/2014/main" id="{00000000-0008-0000-0E00-00005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92" name="Check Box 608" hidden="1">
              <a:extLst>
                <a:ext uri="{63B3BB69-23CF-44E3-9099-C40C66FF867C}">
                  <a14:compatExt spid="_x0000_s42592"/>
                </a:ext>
                <a:ext uri="{FF2B5EF4-FFF2-40B4-BE49-F238E27FC236}">
                  <a16:creationId xmlns:a16="http://schemas.microsoft.com/office/drawing/2014/main" id="{00000000-0008-0000-0E00-00006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93" name="Check Box 609" hidden="1">
              <a:extLst>
                <a:ext uri="{63B3BB69-23CF-44E3-9099-C40C66FF867C}">
                  <a14:compatExt spid="_x0000_s42593"/>
                </a:ext>
                <a:ext uri="{FF2B5EF4-FFF2-40B4-BE49-F238E27FC236}">
                  <a16:creationId xmlns:a16="http://schemas.microsoft.com/office/drawing/2014/main" id="{00000000-0008-0000-0E00-00006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594" name="Check Box 610" hidden="1">
              <a:extLst>
                <a:ext uri="{63B3BB69-23CF-44E3-9099-C40C66FF867C}">
                  <a14:compatExt spid="_x0000_s42594"/>
                </a:ext>
                <a:ext uri="{FF2B5EF4-FFF2-40B4-BE49-F238E27FC236}">
                  <a16:creationId xmlns:a16="http://schemas.microsoft.com/office/drawing/2014/main" id="{00000000-0008-0000-0E00-00006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595" name="Check Box 611" hidden="1">
              <a:extLst>
                <a:ext uri="{63B3BB69-23CF-44E3-9099-C40C66FF867C}">
                  <a14:compatExt spid="_x0000_s42595"/>
                </a:ext>
                <a:ext uri="{FF2B5EF4-FFF2-40B4-BE49-F238E27FC236}">
                  <a16:creationId xmlns:a16="http://schemas.microsoft.com/office/drawing/2014/main" id="{00000000-0008-0000-0E00-00006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596" name="Check Box 612" hidden="1">
              <a:extLst>
                <a:ext uri="{63B3BB69-23CF-44E3-9099-C40C66FF867C}">
                  <a14:compatExt spid="_x0000_s42596"/>
                </a:ext>
                <a:ext uri="{FF2B5EF4-FFF2-40B4-BE49-F238E27FC236}">
                  <a16:creationId xmlns:a16="http://schemas.microsoft.com/office/drawing/2014/main" id="{00000000-0008-0000-0E00-00006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597" name="Check Box 613" hidden="1">
              <a:extLst>
                <a:ext uri="{63B3BB69-23CF-44E3-9099-C40C66FF867C}">
                  <a14:compatExt spid="_x0000_s42597"/>
                </a:ext>
                <a:ext uri="{FF2B5EF4-FFF2-40B4-BE49-F238E27FC236}">
                  <a16:creationId xmlns:a16="http://schemas.microsoft.com/office/drawing/2014/main" id="{00000000-0008-0000-0E00-00006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598" name="Check Box 614" hidden="1">
              <a:extLst>
                <a:ext uri="{63B3BB69-23CF-44E3-9099-C40C66FF867C}">
                  <a14:compatExt spid="_x0000_s42598"/>
                </a:ext>
                <a:ext uri="{FF2B5EF4-FFF2-40B4-BE49-F238E27FC236}">
                  <a16:creationId xmlns:a16="http://schemas.microsoft.com/office/drawing/2014/main" id="{00000000-0008-0000-0E00-00006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599" name="Check Box 615" hidden="1">
              <a:extLst>
                <a:ext uri="{63B3BB69-23CF-44E3-9099-C40C66FF867C}">
                  <a14:compatExt spid="_x0000_s42599"/>
                </a:ext>
                <a:ext uri="{FF2B5EF4-FFF2-40B4-BE49-F238E27FC236}">
                  <a16:creationId xmlns:a16="http://schemas.microsoft.com/office/drawing/2014/main" id="{00000000-0008-0000-0E00-00006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600" name="Check Box 616" hidden="1">
              <a:extLst>
                <a:ext uri="{63B3BB69-23CF-44E3-9099-C40C66FF867C}">
                  <a14:compatExt spid="_x0000_s42600"/>
                </a:ext>
                <a:ext uri="{FF2B5EF4-FFF2-40B4-BE49-F238E27FC236}">
                  <a16:creationId xmlns:a16="http://schemas.microsoft.com/office/drawing/2014/main" id="{00000000-0008-0000-0E00-00006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601" name="Check Box 617" hidden="1">
              <a:extLst>
                <a:ext uri="{63B3BB69-23CF-44E3-9099-C40C66FF867C}">
                  <a14:compatExt spid="_x0000_s42601"/>
                </a:ext>
                <a:ext uri="{FF2B5EF4-FFF2-40B4-BE49-F238E27FC236}">
                  <a16:creationId xmlns:a16="http://schemas.microsoft.com/office/drawing/2014/main" id="{00000000-0008-0000-0E00-00006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602" name="Check Box 618" hidden="1">
              <a:extLst>
                <a:ext uri="{63B3BB69-23CF-44E3-9099-C40C66FF867C}">
                  <a14:compatExt spid="_x0000_s42602"/>
                </a:ext>
                <a:ext uri="{FF2B5EF4-FFF2-40B4-BE49-F238E27FC236}">
                  <a16:creationId xmlns:a16="http://schemas.microsoft.com/office/drawing/2014/main" id="{00000000-0008-0000-0E00-00006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603" name="Check Box 619" hidden="1">
              <a:extLst>
                <a:ext uri="{63B3BB69-23CF-44E3-9099-C40C66FF867C}">
                  <a14:compatExt spid="_x0000_s42603"/>
                </a:ext>
                <a:ext uri="{FF2B5EF4-FFF2-40B4-BE49-F238E27FC236}">
                  <a16:creationId xmlns:a16="http://schemas.microsoft.com/office/drawing/2014/main" id="{00000000-0008-0000-0E00-00006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604" name="Check Box 620" hidden="1">
              <a:extLst>
                <a:ext uri="{63B3BB69-23CF-44E3-9099-C40C66FF867C}">
                  <a14:compatExt spid="_x0000_s42604"/>
                </a:ext>
                <a:ext uri="{FF2B5EF4-FFF2-40B4-BE49-F238E27FC236}">
                  <a16:creationId xmlns:a16="http://schemas.microsoft.com/office/drawing/2014/main" id="{00000000-0008-0000-0E00-00006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605" name="Check Box 621" hidden="1">
              <a:extLst>
                <a:ext uri="{63B3BB69-23CF-44E3-9099-C40C66FF867C}">
                  <a14:compatExt spid="_x0000_s42605"/>
                </a:ext>
                <a:ext uri="{FF2B5EF4-FFF2-40B4-BE49-F238E27FC236}">
                  <a16:creationId xmlns:a16="http://schemas.microsoft.com/office/drawing/2014/main" id="{00000000-0008-0000-0E00-00006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83</xdr:row>
          <xdr:rowOff>28575</xdr:rowOff>
        </xdr:from>
        <xdr:to>
          <xdr:col>5</xdr:col>
          <xdr:colOff>447675</xdr:colOff>
          <xdr:row>84</xdr:row>
          <xdr:rowOff>0</xdr:rowOff>
        </xdr:to>
        <xdr:sp macro="" textlink="">
          <xdr:nvSpPr>
            <xdr:cNvPr id="42606" name="Check Box 622" hidden="1">
              <a:extLst>
                <a:ext uri="{63B3BB69-23CF-44E3-9099-C40C66FF867C}">
                  <a14:compatExt spid="_x0000_s42606"/>
                </a:ext>
                <a:ext uri="{FF2B5EF4-FFF2-40B4-BE49-F238E27FC236}">
                  <a16:creationId xmlns:a16="http://schemas.microsoft.com/office/drawing/2014/main" id="{00000000-0008-0000-0E00-00006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83</xdr:row>
          <xdr:rowOff>28575</xdr:rowOff>
        </xdr:from>
        <xdr:to>
          <xdr:col>6</xdr:col>
          <xdr:colOff>419100</xdr:colOff>
          <xdr:row>84</xdr:row>
          <xdr:rowOff>0</xdr:rowOff>
        </xdr:to>
        <xdr:sp macro="" textlink="">
          <xdr:nvSpPr>
            <xdr:cNvPr id="42607" name="Check Box 623" hidden="1">
              <a:extLst>
                <a:ext uri="{63B3BB69-23CF-44E3-9099-C40C66FF867C}">
                  <a14:compatExt spid="_x0000_s42607"/>
                </a:ext>
                <a:ext uri="{FF2B5EF4-FFF2-40B4-BE49-F238E27FC236}">
                  <a16:creationId xmlns:a16="http://schemas.microsoft.com/office/drawing/2014/main" id="{00000000-0008-0000-0E00-00006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83</xdr:row>
          <xdr:rowOff>28575</xdr:rowOff>
        </xdr:from>
        <xdr:to>
          <xdr:col>7</xdr:col>
          <xdr:colOff>419100</xdr:colOff>
          <xdr:row>84</xdr:row>
          <xdr:rowOff>0</xdr:rowOff>
        </xdr:to>
        <xdr:sp macro="" textlink="">
          <xdr:nvSpPr>
            <xdr:cNvPr id="42608" name="Check Box 624" hidden="1">
              <a:extLst>
                <a:ext uri="{63B3BB69-23CF-44E3-9099-C40C66FF867C}">
                  <a14:compatExt spid="_x0000_s42608"/>
                </a:ext>
                <a:ext uri="{FF2B5EF4-FFF2-40B4-BE49-F238E27FC236}">
                  <a16:creationId xmlns:a16="http://schemas.microsoft.com/office/drawing/2014/main" id="{00000000-0008-0000-0E00-00007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83</xdr:row>
          <xdr:rowOff>28575</xdr:rowOff>
        </xdr:from>
        <xdr:to>
          <xdr:col>5</xdr:col>
          <xdr:colOff>447675</xdr:colOff>
          <xdr:row>84</xdr:row>
          <xdr:rowOff>0</xdr:rowOff>
        </xdr:to>
        <xdr:sp macro="" textlink="">
          <xdr:nvSpPr>
            <xdr:cNvPr id="42609" name="Check Box 625" hidden="1">
              <a:extLst>
                <a:ext uri="{63B3BB69-23CF-44E3-9099-C40C66FF867C}">
                  <a14:compatExt spid="_x0000_s42609"/>
                </a:ext>
                <a:ext uri="{FF2B5EF4-FFF2-40B4-BE49-F238E27FC236}">
                  <a16:creationId xmlns:a16="http://schemas.microsoft.com/office/drawing/2014/main" id="{00000000-0008-0000-0E00-00007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83</xdr:row>
          <xdr:rowOff>28575</xdr:rowOff>
        </xdr:from>
        <xdr:to>
          <xdr:col>6</xdr:col>
          <xdr:colOff>419100</xdr:colOff>
          <xdr:row>84</xdr:row>
          <xdr:rowOff>0</xdr:rowOff>
        </xdr:to>
        <xdr:sp macro="" textlink="">
          <xdr:nvSpPr>
            <xdr:cNvPr id="42610" name="Check Box 626" hidden="1">
              <a:extLst>
                <a:ext uri="{63B3BB69-23CF-44E3-9099-C40C66FF867C}">
                  <a14:compatExt spid="_x0000_s42610"/>
                </a:ext>
                <a:ext uri="{FF2B5EF4-FFF2-40B4-BE49-F238E27FC236}">
                  <a16:creationId xmlns:a16="http://schemas.microsoft.com/office/drawing/2014/main" id="{00000000-0008-0000-0E00-00007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83</xdr:row>
          <xdr:rowOff>28575</xdr:rowOff>
        </xdr:from>
        <xdr:to>
          <xdr:col>7</xdr:col>
          <xdr:colOff>419100</xdr:colOff>
          <xdr:row>84</xdr:row>
          <xdr:rowOff>0</xdr:rowOff>
        </xdr:to>
        <xdr:sp macro="" textlink="">
          <xdr:nvSpPr>
            <xdr:cNvPr id="42611" name="Check Box 627" hidden="1">
              <a:extLst>
                <a:ext uri="{63B3BB69-23CF-44E3-9099-C40C66FF867C}">
                  <a14:compatExt spid="_x0000_s42611"/>
                </a:ext>
                <a:ext uri="{FF2B5EF4-FFF2-40B4-BE49-F238E27FC236}">
                  <a16:creationId xmlns:a16="http://schemas.microsoft.com/office/drawing/2014/main" id="{00000000-0008-0000-0E00-00007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612" name="Check Box 628" hidden="1">
              <a:extLst>
                <a:ext uri="{63B3BB69-23CF-44E3-9099-C40C66FF867C}">
                  <a14:compatExt spid="_x0000_s42612"/>
                </a:ext>
                <a:ext uri="{FF2B5EF4-FFF2-40B4-BE49-F238E27FC236}">
                  <a16:creationId xmlns:a16="http://schemas.microsoft.com/office/drawing/2014/main" id="{00000000-0008-0000-0E00-00007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613" name="Check Box 629" hidden="1">
              <a:extLst>
                <a:ext uri="{63B3BB69-23CF-44E3-9099-C40C66FF867C}">
                  <a14:compatExt spid="_x0000_s42613"/>
                </a:ext>
                <a:ext uri="{FF2B5EF4-FFF2-40B4-BE49-F238E27FC236}">
                  <a16:creationId xmlns:a16="http://schemas.microsoft.com/office/drawing/2014/main" id="{00000000-0008-0000-0E00-00007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614" name="Check Box 630" hidden="1">
              <a:extLst>
                <a:ext uri="{63B3BB69-23CF-44E3-9099-C40C66FF867C}">
                  <a14:compatExt spid="_x0000_s42614"/>
                </a:ext>
                <a:ext uri="{FF2B5EF4-FFF2-40B4-BE49-F238E27FC236}">
                  <a16:creationId xmlns:a16="http://schemas.microsoft.com/office/drawing/2014/main" id="{00000000-0008-0000-0E00-00007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83</xdr:row>
          <xdr:rowOff>28575</xdr:rowOff>
        </xdr:from>
        <xdr:to>
          <xdr:col>5</xdr:col>
          <xdr:colOff>447675</xdr:colOff>
          <xdr:row>84</xdr:row>
          <xdr:rowOff>0</xdr:rowOff>
        </xdr:to>
        <xdr:sp macro="" textlink="">
          <xdr:nvSpPr>
            <xdr:cNvPr id="42615" name="Check Box 631" hidden="1">
              <a:extLst>
                <a:ext uri="{63B3BB69-23CF-44E3-9099-C40C66FF867C}">
                  <a14:compatExt spid="_x0000_s42615"/>
                </a:ext>
                <a:ext uri="{FF2B5EF4-FFF2-40B4-BE49-F238E27FC236}">
                  <a16:creationId xmlns:a16="http://schemas.microsoft.com/office/drawing/2014/main" id="{00000000-0008-0000-0E00-00007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83</xdr:row>
          <xdr:rowOff>28575</xdr:rowOff>
        </xdr:from>
        <xdr:to>
          <xdr:col>6</xdr:col>
          <xdr:colOff>419100</xdr:colOff>
          <xdr:row>84</xdr:row>
          <xdr:rowOff>0</xdr:rowOff>
        </xdr:to>
        <xdr:sp macro="" textlink="">
          <xdr:nvSpPr>
            <xdr:cNvPr id="42616" name="Check Box 632" hidden="1">
              <a:extLst>
                <a:ext uri="{63B3BB69-23CF-44E3-9099-C40C66FF867C}">
                  <a14:compatExt spid="_x0000_s42616"/>
                </a:ext>
                <a:ext uri="{FF2B5EF4-FFF2-40B4-BE49-F238E27FC236}">
                  <a16:creationId xmlns:a16="http://schemas.microsoft.com/office/drawing/2014/main" id="{00000000-0008-0000-0E00-00007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83</xdr:row>
          <xdr:rowOff>28575</xdr:rowOff>
        </xdr:from>
        <xdr:to>
          <xdr:col>7</xdr:col>
          <xdr:colOff>419100</xdr:colOff>
          <xdr:row>84</xdr:row>
          <xdr:rowOff>0</xdr:rowOff>
        </xdr:to>
        <xdr:sp macro="" textlink="">
          <xdr:nvSpPr>
            <xdr:cNvPr id="42617" name="Check Box 633" hidden="1">
              <a:extLst>
                <a:ext uri="{63B3BB69-23CF-44E3-9099-C40C66FF867C}">
                  <a14:compatExt spid="_x0000_s42617"/>
                </a:ext>
                <a:ext uri="{FF2B5EF4-FFF2-40B4-BE49-F238E27FC236}">
                  <a16:creationId xmlns:a16="http://schemas.microsoft.com/office/drawing/2014/main" id="{00000000-0008-0000-0E00-00007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83</xdr:row>
          <xdr:rowOff>28575</xdr:rowOff>
        </xdr:from>
        <xdr:to>
          <xdr:col>5</xdr:col>
          <xdr:colOff>447675</xdr:colOff>
          <xdr:row>84</xdr:row>
          <xdr:rowOff>0</xdr:rowOff>
        </xdr:to>
        <xdr:sp macro="" textlink="">
          <xdr:nvSpPr>
            <xdr:cNvPr id="42618" name="Check Box 634" hidden="1">
              <a:extLst>
                <a:ext uri="{63B3BB69-23CF-44E3-9099-C40C66FF867C}">
                  <a14:compatExt spid="_x0000_s42618"/>
                </a:ext>
                <a:ext uri="{FF2B5EF4-FFF2-40B4-BE49-F238E27FC236}">
                  <a16:creationId xmlns:a16="http://schemas.microsoft.com/office/drawing/2014/main" id="{00000000-0008-0000-0E00-00007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83</xdr:row>
          <xdr:rowOff>28575</xdr:rowOff>
        </xdr:from>
        <xdr:to>
          <xdr:col>6</xdr:col>
          <xdr:colOff>419100</xdr:colOff>
          <xdr:row>84</xdr:row>
          <xdr:rowOff>0</xdr:rowOff>
        </xdr:to>
        <xdr:sp macro="" textlink="">
          <xdr:nvSpPr>
            <xdr:cNvPr id="42619" name="Check Box 635" hidden="1">
              <a:extLst>
                <a:ext uri="{63B3BB69-23CF-44E3-9099-C40C66FF867C}">
                  <a14:compatExt spid="_x0000_s42619"/>
                </a:ext>
                <a:ext uri="{FF2B5EF4-FFF2-40B4-BE49-F238E27FC236}">
                  <a16:creationId xmlns:a16="http://schemas.microsoft.com/office/drawing/2014/main" id="{00000000-0008-0000-0E00-00007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83</xdr:row>
          <xdr:rowOff>28575</xdr:rowOff>
        </xdr:from>
        <xdr:to>
          <xdr:col>7</xdr:col>
          <xdr:colOff>419100</xdr:colOff>
          <xdr:row>84</xdr:row>
          <xdr:rowOff>0</xdr:rowOff>
        </xdr:to>
        <xdr:sp macro="" textlink="">
          <xdr:nvSpPr>
            <xdr:cNvPr id="42620" name="Check Box 636" hidden="1">
              <a:extLst>
                <a:ext uri="{63B3BB69-23CF-44E3-9099-C40C66FF867C}">
                  <a14:compatExt spid="_x0000_s42620"/>
                </a:ext>
                <a:ext uri="{FF2B5EF4-FFF2-40B4-BE49-F238E27FC236}">
                  <a16:creationId xmlns:a16="http://schemas.microsoft.com/office/drawing/2014/main" id="{00000000-0008-0000-0E00-00007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13</xdr:row>
          <xdr:rowOff>28575</xdr:rowOff>
        </xdr:from>
        <xdr:to>
          <xdr:col>5</xdr:col>
          <xdr:colOff>447675</xdr:colOff>
          <xdr:row>14</xdr:row>
          <xdr:rowOff>0</xdr:rowOff>
        </xdr:to>
        <xdr:sp macro="" textlink="">
          <xdr:nvSpPr>
            <xdr:cNvPr id="42621" name="Check Box 637" hidden="1">
              <a:extLst>
                <a:ext uri="{63B3BB69-23CF-44E3-9099-C40C66FF867C}">
                  <a14:compatExt spid="_x0000_s42621"/>
                </a:ext>
                <a:ext uri="{FF2B5EF4-FFF2-40B4-BE49-F238E27FC236}">
                  <a16:creationId xmlns:a16="http://schemas.microsoft.com/office/drawing/2014/main" id="{00000000-0008-0000-0E00-00007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13</xdr:row>
          <xdr:rowOff>28575</xdr:rowOff>
        </xdr:from>
        <xdr:to>
          <xdr:col>6</xdr:col>
          <xdr:colOff>419100</xdr:colOff>
          <xdr:row>14</xdr:row>
          <xdr:rowOff>0</xdr:rowOff>
        </xdr:to>
        <xdr:sp macro="" textlink="">
          <xdr:nvSpPr>
            <xdr:cNvPr id="42622" name="Check Box 638" hidden="1">
              <a:extLst>
                <a:ext uri="{63B3BB69-23CF-44E3-9099-C40C66FF867C}">
                  <a14:compatExt spid="_x0000_s42622"/>
                </a:ext>
                <a:ext uri="{FF2B5EF4-FFF2-40B4-BE49-F238E27FC236}">
                  <a16:creationId xmlns:a16="http://schemas.microsoft.com/office/drawing/2014/main" id="{00000000-0008-0000-0E00-00007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28575</xdr:rowOff>
        </xdr:from>
        <xdr:to>
          <xdr:col>7</xdr:col>
          <xdr:colOff>419100</xdr:colOff>
          <xdr:row>14</xdr:row>
          <xdr:rowOff>0</xdr:rowOff>
        </xdr:to>
        <xdr:sp macro="" textlink="">
          <xdr:nvSpPr>
            <xdr:cNvPr id="42623" name="Check Box 639" hidden="1">
              <a:extLst>
                <a:ext uri="{63B3BB69-23CF-44E3-9099-C40C66FF867C}">
                  <a14:compatExt spid="_x0000_s42623"/>
                </a:ext>
                <a:ext uri="{FF2B5EF4-FFF2-40B4-BE49-F238E27FC236}">
                  <a16:creationId xmlns:a16="http://schemas.microsoft.com/office/drawing/2014/main" id="{00000000-0008-0000-0E00-00007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13</xdr:row>
          <xdr:rowOff>28575</xdr:rowOff>
        </xdr:from>
        <xdr:to>
          <xdr:col>5</xdr:col>
          <xdr:colOff>447675</xdr:colOff>
          <xdr:row>14</xdr:row>
          <xdr:rowOff>0</xdr:rowOff>
        </xdr:to>
        <xdr:sp macro="" textlink="">
          <xdr:nvSpPr>
            <xdr:cNvPr id="42624" name="Check Box 640" hidden="1">
              <a:extLst>
                <a:ext uri="{63B3BB69-23CF-44E3-9099-C40C66FF867C}">
                  <a14:compatExt spid="_x0000_s42624"/>
                </a:ext>
                <a:ext uri="{FF2B5EF4-FFF2-40B4-BE49-F238E27FC236}">
                  <a16:creationId xmlns:a16="http://schemas.microsoft.com/office/drawing/2014/main" id="{00000000-0008-0000-0E00-00008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13</xdr:row>
          <xdr:rowOff>28575</xdr:rowOff>
        </xdr:from>
        <xdr:to>
          <xdr:col>6</xdr:col>
          <xdr:colOff>419100</xdr:colOff>
          <xdr:row>14</xdr:row>
          <xdr:rowOff>0</xdr:rowOff>
        </xdr:to>
        <xdr:sp macro="" textlink="">
          <xdr:nvSpPr>
            <xdr:cNvPr id="42625" name="Check Box 641" hidden="1">
              <a:extLst>
                <a:ext uri="{63B3BB69-23CF-44E3-9099-C40C66FF867C}">
                  <a14:compatExt spid="_x0000_s42625"/>
                </a:ext>
                <a:ext uri="{FF2B5EF4-FFF2-40B4-BE49-F238E27FC236}">
                  <a16:creationId xmlns:a16="http://schemas.microsoft.com/office/drawing/2014/main" id="{00000000-0008-0000-0E00-00008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28575</xdr:rowOff>
        </xdr:from>
        <xdr:to>
          <xdr:col>7</xdr:col>
          <xdr:colOff>419100</xdr:colOff>
          <xdr:row>14</xdr:row>
          <xdr:rowOff>0</xdr:rowOff>
        </xdr:to>
        <xdr:sp macro="" textlink="">
          <xdr:nvSpPr>
            <xdr:cNvPr id="42626" name="Check Box 642" hidden="1">
              <a:extLst>
                <a:ext uri="{63B3BB69-23CF-44E3-9099-C40C66FF867C}">
                  <a14:compatExt spid="_x0000_s42626"/>
                </a:ext>
                <a:ext uri="{FF2B5EF4-FFF2-40B4-BE49-F238E27FC236}">
                  <a16:creationId xmlns:a16="http://schemas.microsoft.com/office/drawing/2014/main" id="{00000000-0008-0000-0E00-00008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447675</xdr:colOff>
          <xdr:row>15</xdr:row>
          <xdr:rowOff>0</xdr:rowOff>
        </xdr:to>
        <xdr:sp macro="" textlink="">
          <xdr:nvSpPr>
            <xdr:cNvPr id="42627" name="Check Box 643" hidden="1">
              <a:extLst>
                <a:ext uri="{63B3BB69-23CF-44E3-9099-C40C66FF867C}">
                  <a14:compatExt spid="_x0000_s42627"/>
                </a:ext>
                <a:ext uri="{FF2B5EF4-FFF2-40B4-BE49-F238E27FC236}">
                  <a16:creationId xmlns:a16="http://schemas.microsoft.com/office/drawing/2014/main" id="{00000000-0008-0000-0E00-00008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2628" name="Check Box 644" hidden="1">
              <a:extLst>
                <a:ext uri="{63B3BB69-23CF-44E3-9099-C40C66FF867C}">
                  <a14:compatExt spid="_x0000_s42628"/>
                </a:ext>
                <a:ext uri="{FF2B5EF4-FFF2-40B4-BE49-F238E27FC236}">
                  <a16:creationId xmlns:a16="http://schemas.microsoft.com/office/drawing/2014/main" id="{00000000-0008-0000-0E00-00008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2629" name="Check Box 645" hidden="1">
              <a:extLst>
                <a:ext uri="{63B3BB69-23CF-44E3-9099-C40C66FF867C}">
                  <a14:compatExt spid="_x0000_s42629"/>
                </a:ext>
                <a:ext uri="{FF2B5EF4-FFF2-40B4-BE49-F238E27FC236}">
                  <a16:creationId xmlns:a16="http://schemas.microsoft.com/office/drawing/2014/main" id="{00000000-0008-0000-0E00-00008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447675</xdr:colOff>
          <xdr:row>15</xdr:row>
          <xdr:rowOff>0</xdr:rowOff>
        </xdr:to>
        <xdr:sp macro="" textlink="">
          <xdr:nvSpPr>
            <xdr:cNvPr id="42630" name="Check Box 646" hidden="1">
              <a:extLst>
                <a:ext uri="{63B3BB69-23CF-44E3-9099-C40C66FF867C}">
                  <a14:compatExt spid="_x0000_s42630"/>
                </a:ext>
                <a:ext uri="{FF2B5EF4-FFF2-40B4-BE49-F238E27FC236}">
                  <a16:creationId xmlns:a16="http://schemas.microsoft.com/office/drawing/2014/main" id="{00000000-0008-0000-0E00-00008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2631" name="Check Box 647" hidden="1">
              <a:extLst>
                <a:ext uri="{63B3BB69-23CF-44E3-9099-C40C66FF867C}">
                  <a14:compatExt spid="_x0000_s42631"/>
                </a:ext>
                <a:ext uri="{FF2B5EF4-FFF2-40B4-BE49-F238E27FC236}">
                  <a16:creationId xmlns:a16="http://schemas.microsoft.com/office/drawing/2014/main" id="{00000000-0008-0000-0E00-00008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2632" name="Check Box 648" hidden="1">
              <a:extLst>
                <a:ext uri="{63B3BB69-23CF-44E3-9099-C40C66FF867C}">
                  <a14:compatExt spid="_x0000_s42632"/>
                </a:ext>
                <a:ext uri="{FF2B5EF4-FFF2-40B4-BE49-F238E27FC236}">
                  <a16:creationId xmlns:a16="http://schemas.microsoft.com/office/drawing/2014/main" id="{00000000-0008-0000-0E00-00008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633" name="Check Box 649" hidden="1">
              <a:extLst>
                <a:ext uri="{63B3BB69-23CF-44E3-9099-C40C66FF867C}">
                  <a14:compatExt spid="_x0000_s42633"/>
                </a:ext>
                <a:ext uri="{FF2B5EF4-FFF2-40B4-BE49-F238E27FC236}">
                  <a16:creationId xmlns:a16="http://schemas.microsoft.com/office/drawing/2014/main" id="{00000000-0008-0000-0E00-00008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634" name="Check Box 650" hidden="1">
              <a:extLst>
                <a:ext uri="{63B3BB69-23CF-44E3-9099-C40C66FF867C}">
                  <a14:compatExt spid="_x0000_s42634"/>
                </a:ext>
                <a:ext uri="{FF2B5EF4-FFF2-40B4-BE49-F238E27FC236}">
                  <a16:creationId xmlns:a16="http://schemas.microsoft.com/office/drawing/2014/main" id="{00000000-0008-0000-0E00-00008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635" name="Check Box 651" hidden="1">
              <a:extLst>
                <a:ext uri="{63B3BB69-23CF-44E3-9099-C40C66FF867C}">
                  <a14:compatExt spid="_x0000_s42635"/>
                </a:ext>
                <a:ext uri="{FF2B5EF4-FFF2-40B4-BE49-F238E27FC236}">
                  <a16:creationId xmlns:a16="http://schemas.microsoft.com/office/drawing/2014/main" id="{00000000-0008-0000-0E00-00008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636" name="Check Box 652" hidden="1">
              <a:extLst>
                <a:ext uri="{63B3BB69-23CF-44E3-9099-C40C66FF867C}">
                  <a14:compatExt spid="_x0000_s42636"/>
                </a:ext>
                <a:ext uri="{FF2B5EF4-FFF2-40B4-BE49-F238E27FC236}">
                  <a16:creationId xmlns:a16="http://schemas.microsoft.com/office/drawing/2014/main" id="{00000000-0008-0000-0E00-00008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637" name="Check Box 653" hidden="1">
              <a:extLst>
                <a:ext uri="{63B3BB69-23CF-44E3-9099-C40C66FF867C}">
                  <a14:compatExt spid="_x0000_s42637"/>
                </a:ext>
                <a:ext uri="{FF2B5EF4-FFF2-40B4-BE49-F238E27FC236}">
                  <a16:creationId xmlns:a16="http://schemas.microsoft.com/office/drawing/2014/main" id="{00000000-0008-0000-0E00-00008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638" name="Check Box 654" hidden="1">
              <a:extLst>
                <a:ext uri="{63B3BB69-23CF-44E3-9099-C40C66FF867C}">
                  <a14:compatExt spid="_x0000_s42638"/>
                </a:ext>
                <a:ext uri="{FF2B5EF4-FFF2-40B4-BE49-F238E27FC236}">
                  <a16:creationId xmlns:a16="http://schemas.microsoft.com/office/drawing/2014/main" id="{00000000-0008-0000-0E00-00008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13</xdr:row>
          <xdr:rowOff>28575</xdr:rowOff>
        </xdr:from>
        <xdr:to>
          <xdr:col>5</xdr:col>
          <xdr:colOff>447675</xdr:colOff>
          <xdr:row>14</xdr:row>
          <xdr:rowOff>0</xdr:rowOff>
        </xdr:to>
        <xdr:sp macro="" textlink="">
          <xdr:nvSpPr>
            <xdr:cNvPr id="42639" name="Check Box 655" hidden="1">
              <a:extLst>
                <a:ext uri="{63B3BB69-23CF-44E3-9099-C40C66FF867C}">
                  <a14:compatExt spid="_x0000_s42639"/>
                </a:ext>
                <a:ext uri="{FF2B5EF4-FFF2-40B4-BE49-F238E27FC236}">
                  <a16:creationId xmlns:a16="http://schemas.microsoft.com/office/drawing/2014/main" id="{00000000-0008-0000-0E00-00008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13</xdr:row>
          <xdr:rowOff>28575</xdr:rowOff>
        </xdr:from>
        <xdr:to>
          <xdr:col>6</xdr:col>
          <xdr:colOff>419100</xdr:colOff>
          <xdr:row>14</xdr:row>
          <xdr:rowOff>0</xdr:rowOff>
        </xdr:to>
        <xdr:sp macro="" textlink="">
          <xdr:nvSpPr>
            <xdr:cNvPr id="42640" name="Check Box 656" hidden="1">
              <a:extLst>
                <a:ext uri="{63B3BB69-23CF-44E3-9099-C40C66FF867C}">
                  <a14:compatExt spid="_x0000_s42640"/>
                </a:ext>
                <a:ext uri="{FF2B5EF4-FFF2-40B4-BE49-F238E27FC236}">
                  <a16:creationId xmlns:a16="http://schemas.microsoft.com/office/drawing/2014/main" id="{00000000-0008-0000-0E00-00009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28575</xdr:rowOff>
        </xdr:from>
        <xdr:to>
          <xdr:col>7</xdr:col>
          <xdr:colOff>419100</xdr:colOff>
          <xdr:row>14</xdr:row>
          <xdr:rowOff>0</xdr:rowOff>
        </xdr:to>
        <xdr:sp macro="" textlink="">
          <xdr:nvSpPr>
            <xdr:cNvPr id="42641" name="Check Box 657" hidden="1">
              <a:extLst>
                <a:ext uri="{63B3BB69-23CF-44E3-9099-C40C66FF867C}">
                  <a14:compatExt spid="_x0000_s42641"/>
                </a:ext>
                <a:ext uri="{FF2B5EF4-FFF2-40B4-BE49-F238E27FC236}">
                  <a16:creationId xmlns:a16="http://schemas.microsoft.com/office/drawing/2014/main" id="{00000000-0008-0000-0E00-00009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447675</xdr:colOff>
          <xdr:row>15</xdr:row>
          <xdr:rowOff>0</xdr:rowOff>
        </xdr:to>
        <xdr:sp macro="" textlink="">
          <xdr:nvSpPr>
            <xdr:cNvPr id="42642" name="Check Box 658" hidden="1">
              <a:extLst>
                <a:ext uri="{63B3BB69-23CF-44E3-9099-C40C66FF867C}">
                  <a14:compatExt spid="_x0000_s42642"/>
                </a:ext>
                <a:ext uri="{FF2B5EF4-FFF2-40B4-BE49-F238E27FC236}">
                  <a16:creationId xmlns:a16="http://schemas.microsoft.com/office/drawing/2014/main" id="{00000000-0008-0000-0E00-00009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2643" name="Check Box 659" hidden="1">
              <a:extLst>
                <a:ext uri="{63B3BB69-23CF-44E3-9099-C40C66FF867C}">
                  <a14:compatExt spid="_x0000_s42643"/>
                </a:ext>
                <a:ext uri="{FF2B5EF4-FFF2-40B4-BE49-F238E27FC236}">
                  <a16:creationId xmlns:a16="http://schemas.microsoft.com/office/drawing/2014/main" id="{00000000-0008-0000-0E00-00009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2644" name="Check Box 660" hidden="1">
              <a:extLst>
                <a:ext uri="{63B3BB69-23CF-44E3-9099-C40C66FF867C}">
                  <a14:compatExt spid="_x0000_s42644"/>
                </a:ext>
                <a:ext uri="{FF2B5EF4-FFF2-40B4-BE49-F238E27FC236}">
                  <a16:creationId xmlns:a16="http://schemas.microsoft.com/office/drawing/2014/main" id="{00000000-0008-0000-0E00-00009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447675</xdr:colOff>
          <xdr:row>15</xdr:row>
          <xdr:rowOff>0</xdr:rowOff>
        </xdr:to>
        <xdr:sp macro="" textlink="">
          <xdr:nvSpPr>
            <xdr:cNvPr id="42645" name="Check Box 661" hidden="1">
              <a:extLst>
                <a:ext uri="{63B3BB69-23CF-44E3-9099-C40C66FF867C}">
                  <a14:compatExt spid="_x0000_s42645"/>
                </a:ext>
                <a:ext uri="{FF2B5EF4-FFF2-40B4-BE49-F238E27FC236}">
                  <a16:creationId xmlns:a16="http://schemas.microsoft.com/office/drawing/2014/main" id="{00000000-0008-0000-0E00-00009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2646" name="Check Box 662" hidden="1">
              <a:extLst>
                <a:ext uri="{63B3BB69-23CF-44E3-9099-C40C66FF867C}">
                  <a14:compatExt spid="_x0000_s42646"/>
                </a:ext>
                <a:ext uri="{FF2B5EF4-FFF2-40B4-BE49-F238E27FC236}">
                  <a16:creationId xmlns:a16="http://schemas.microsoft.com/office/drawing/2014/main" id="{00000000-0008-0000-0E00-00009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2647" name="Check Box 663" hidden="1">
              <a:extLst>
                <a:ext uri="{63B3BB69-23CF-44E3-9099-C40C66FF867C}">
                  <a14:compatExt spid="_x0000_s42647"/>
                </a:ext>
                <a:ext uri="{FF2B5EF4-FFF2-40B4-BE49-F238E27FC236}">
                  <a16:creationId xmlns:a16="http://schemas.microsoft.com/office/drawing/2014/main" id="{00000000-0008-0000-0E00-00009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648" name="Check Box 664" hidden="1">
              <a:extLst>
                <a:ext uri="{63B3BB69-23CF-44E3-9099-C40C66FF867C}">
                  <a14:compatExt spid="_x0000_s42648"/>
                </a:ext>
                <a:ext uri="{FF2B5EF4-FFF2-40B4-BE49-F238E27FC236}">
                  <a16:creationId xmlns:a16="http://schemas.microsoft.com/office/drawing/2014/main" id="{00000000-0008-0000-0E00-00009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649" name="Check Box 665" hidden="1">
              <a:extLst>
                <a:ext uri="{63B3BB69-23CF-44E3-9099-C40C66FF867C}">
                  <a14:compatExt spid="_x0000_s42649"/>
                </a:ext>
                <a:ext uri="{FF2B5EF4-FFF2-40B4-BE49-F238E27FC236}">
                  <a16:creationId xmlns:a16="http://schemas.microsoft.com/office/drawing/2014/main" id="{00000000-0008-0000-0E00-00009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650" name="Check Box 666" hidden="1">
              <a:extLst>
                <a:ext uri="{63B3BB69-23CF-44E3-9099-C40C66FF867C}">
                  <a14:compatExt spid="_x0000_s42650"/>
                </a:ext>
                <a:ext uri="{FF2B5EF4-FFF2-40B4-BE49-F238E27FC236}">
                  <a16:creationId xmlns:a16="http://schemas.microsoft.com/office/drawing/2014/main" id="{00000000-0008-0000-0E00-00009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651" name="Check Box 667" hidden="1">
              <a:extLst>
                <a:ext uri="{63B3BB69-23CF-44E3-9099-C40C66FF867C}">
                  <a14:compatExt spid="_x0000_s42651"/>
                </a:ext>
                <a:ext uri="{FF2B5EF4-FFF2-40B4-BE49-F238E27FC236}">
                  <a16:creationId xmlns:a16="http://schemas.microsoft.com/office/drawing/2014/main" id="{00000000-0008-0000-0E00-00009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652" name="Check Box 668" hidden="1">
              <a:extLst>
                <a:ext uri="{63B3BB69-23CF-44E3-9099-C40C66FF867C}">
                  <a14:compatExt spid="_x0000_s42652"/>
                </a:ext>
                <a:ext uri="{FF2B5EF4-FFF2-40B4-BE49-F238E27FC236}">
                  <a16:creationId xmlns:a16="http://schemas.microsoft.com/office/drawing/2014/main" id="{00000000-0008-0000-0E00-00009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653" name="Check Box 669" hidden="1">
              <a:extLst>
                <a:ext uri="{63B3BB69-23CF-44E3-9099-C40C66FF867C}">
                  <a14:compatExt spid="_x0000_s42653"/>
                </a:ext>
                <a:ext uri="{FF2B5EF4-FFF2-40B4-BE49-F238E27FC236}">
                  <a16:creationId xmlns:a16="http://schemas.microsoft.com/office/drawing/2014/main" id="{00000000-0008-0000-0E00-00009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2654" name="Check Box 670" hidden="1">
              <a:extLst>
                <a:ext uri="{63B3BB69-23CF-44E3-9099-C40C66FF867C}">
                  <a14:compatExt spid="_x0000_s42654"/>
                </a:ext>
                <a:ext uri="{FF2B5EF4-FFF2-40B4-BE49-F238E27FC236}">
                  <a16:creationId xmlns:a16="http://schemas.microsoft.com/office/drawing/2014/main" id="{00000000-0008-0000-0E00-00009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2655" name="Check Box 671" hidden="1">
              <a:extLst>
                <a:ext uri="{63B3BB69-23CF-44E3-9099-C40C66FF867C}">
                  <a14:compatExt spid="_x0000_s42655"/>
                </a:ext>
                <a:ext uri="{FF2B5EF4-FFF2-40B4-BE49-F238E27FC236}">
                  <a16:creationId xmlns:a16="http://schemas.microsoft.com/office/drawing/2014/main" id="{00000000-0008-0000-0E00-00009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2656" name="Check Box 672" hidden="1">
              <a:extLst>
                <a:ext uri="{63B3BB69-23CF-44E3-9099-C40C66FF867C}">
                  <a14:compatExt spid="_x0000_s42656"/>
                </a:ext>
                <a:ext uri="{FF2B5EF4-FFF2-40B4-BE49-F238E27FC236}">
                  <a16:creationId xmlns:a16="http://schemas.microsoft.com/office/drawing/2014/main" id="{00000000-0008-0000-0E00-0000A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57" name="Check Box 673" hidden="1">
              <a:extLst>
                <a:ext uri="{63B3BB69-23CF-44E3-9099-C40C66FF867C}">
                  <a14:compatExt spid="_x0000_s42657"/>
                </a:ext>
                <a:ext uri="{FF2B5EF4-FFF2-40B4-BE49-F238E27FC236}">
                  <a16:creationId xmlns:a16="http://schemas.microsoft.com/office/drawing/2014/main" id="{00000000-0008-0000-0E00-0000A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58" name="Check Box 674" hidden="1">
              <a:extLst>
                <a:ext uri="{63B3BB69-23CF-44E3-9099-C40C66FF867C}">
                  <a14:compatExt spid="_x0000_s42658"/>
                </a:ext>
                <a:ext uri="{FF2B5EF4-FFF2-40B4-BE49-F238E27FC236}">
                  <a16:creationId xmlns:a16="http://schemas.microsoft.com/office/drawing/2014/main" id="{00000000-0008-0000-0E00-0000A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59" name="Check Box 675" hidden="1">
              <a:extLst>
                <a:ext uri="{63B3BB69-23CF-44E3-9099-C40C66FF867C}">
                  <a14:compatExt spid="_x0000_s42659"/>
                </a:ext>
                <a:ext uri="{FF2B5EF4-FFF2-40B4-BE49-F238E27FC236}">
                  <a16:creationId xmlns:a16="http://schemas.microsoft.com/office/drawing/2014/main" id="{00000000-0008-0000-0E00-0000A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60" name="Check Box 676" hidden="1">
              <a:extLst>
                <a:ext uri="{63B3BB69-23CF-44E3-9099-C40C66FF867C}">
                  <a14:compatExt spid="_x0000_s42660"/>
                </a:ext>
                <a:ext uri="{FF2B5EF4-FFF2-40B4-BE49-F238E27FC236}">
                  <a16:creationId xmlns:a16="http://schemas.microsoft.com/office/drawing/2014/main" id="{00000000-0008-0000-0E00-0000A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61" name="Check Box 677" hidden="1">
              <a:extLst>
                <a:ext uri="{63B3BB69-23CF-44E3-9099-C40C66FF867C}">
                  <a14:compatExt spid="_x0000_s42661"/>
                </a:ext>
                <a:ext uri="{FF2B5EF4-FFF2-40B4-BE49-F238E27FC236}">
                  <a16:creationId xmlns:a16="http://schemas.microsoft.com/office/drawing/2014/main" id="{00000000-0008-0000-0E00-0000A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62" name="Check Box 678" hidden="1">
              <a:extLst>
                <a:ext uri="{63B3BB69-23CF-44E3-9099-C40C66FF867C}">
                  <a14:compatExt spid="_x0000_s42662"/>
                </a:ext>
                <a:ext uri="{FF2B5EF4-FFF2-40B4-BE49-F238E27FC236}">
                  <a16:creationId xmlns:a16="http://schemas.microsoft.com/office/drawing/2014/main" id="{00000000-0008-0000-0E00-0000A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663" name="Check Box 679" hidden="1">
              <a:extLst>
                <a:ext uri="{63B3BB69-23CF-44E3-9099-C40C66FF867C}">
                  <a14:compatExt spid="_x0000_s42663"/>
                </a:ext>
                <a:ext uri="{FF2B5EF4-FFF2-40B4-BE49-F238E27FC236}">
                  <a16:creationId xmlns:a16="http://schemas.microsoft.com/office/drawing/2014/main" id="{00000000-0008-0000-0E00-0000A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664" name="Check Box 680" hidden="1">
              <a:extLst>
                <a:ext uri="{63B3BB69-23CF-44E3-9099-C40C66FF867C}">
                  <a14:compatExt spid="_x0000_s42664"/>
                </a:ext>
                <a:ext uri="{FF2B5EF4-FFF2-40B4-BE49-F238E27FC236}">
                  <a16:creationId xmlns:a16="http://schemas.microsoft.com/office/drawing/2014/main" id="{00000000-0008-0000-0E00-0000A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665" name="Check Box 681" hidden="1">
              <a:extLst>
                <a:ext uri="{63B3BB69-23CF-44E3-9099-C40C66FF867C}">
                  <a14:compatExt spid="_x0000_s42665"/>
                </a:ext>
                <a:ext uri="{FF2B5EF4-FFF2-40B4-BE49-F238E27FC236}">
                  <a16:creationId xmlns:a16="http://schemas.microsoft.com/office/drawing/2014/main" id="{00000000-0008-0000-0E00-0000A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666" name="Check Box 682" hidden="1">
              <a:extLst>
                <a:ext uri="{63B3BB69-23CF-44E3-9099-C40C66FF867C}">
                  <a14:compatExt spid="_x0000_s42666"/>
                </a:ext>
                <a:ext uri="{FF2B5EF4-FFF2-40B4-BE49-F238E27FC236}">
                  <a16:creationId xmlns:a16="http://schemas.microsoft.com/office/drawing/2014/main" id="{00000000-0008-0000-0E00-0000A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667" name="Check Box 683" hidden="1">
              <a:extLst>
                <a:ext uri="{63B3BB69-23CF-44E3-9099-C40C66FF867C}">
                  <a14:compatExt spid="_x0000_s42667"/>
                </a:ext>
                <a:ext uri="{FF2B5EF4-FFF2-40B4-BE49-F238E27FC236}">
                  <a16:creationId xmlns:a16="http://schemas.microsoft.com/office/drawing/2014/main" id="{00000000-0008-0000-0E00-0000A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668" name="Check Box 684" hidden="1">
              <a:extLst>
                <a:ext uri="{63B3BB69-23CF-44E3-9099-C40C66FF867C}">
                  <a14:compatExt spid="_x0000_s42668"/>
                </a:ext>
                <a:ext uri="{FF2B5EF4-FFF2-40B4-BE49-F238E27FC236}">
                  <a16:creationId xmlns:a16="http://schemas.microsoft.com/office/drawing/2014/main" id="{00000000-0008-0000-0E00-0000A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2669" name="Check Box 685" hidden="1">
              <a:extLst>
                <a:ext uri="{63B3BB69-23CF-44E3-9099-C40C66FF867C}">
                  <a14:compatExt spid="_x0000_s42669"/>
                </a:ext>
                <a:ext uri="{FF2B5EF4-FFF2-40B4-BE49-F238E27FC236}">
                  <a16:creationId xmlns:a16="http://schemas.microsoft.com/office/drawing/2014/main" id="{00000000-0008-0000-0E00-0000A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2670" name="Check Box 686" hidden="1">
              <a:extLst>
                <a:ext uri="{63B3BB69-23CF-44E3-9099-C40C66FF867C}">
                  <a14:compatExt spid="_x0000_s42670"/>
                </a:ext>
                <a:ext uri="{FF2B5EF4-FFF2-40B4-BE49-F238E27FC236}">
                  <a16:creationId xmlns:a16="http://schemas.microsoft.com/office/drawing/2014/main" id="{00000000-0008-0000-0E00-0000A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2671" name="Check Box 687" hidden="1">
              <a:extLst>
                <a:ext uri="{63B3BB69-23CF-44E3-9099-C40C66FF867C}">
                  <a14:compatExt spid="_x0000_s42671"/>
                </a:ext>
                <a:ext uri="{FF2B5EF4-FFF2-40B4-BE49-F238E27FC236}">
                  <a16:creationId xmlns:a16="http://schemas.microsoft.com/office/drawing/2014/main" id="{00000000-0008-0000-0E00-0000A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2672" name="Check Box 688" hidden="1">
              <a:extLst>
                <a:ext uri="{63B3BB69-23CF-44E3-9099-C40C66FF867C}">
                  <a14:compatExt spid="_x0000_s42672"/>
                </a:ext>
                <a:ext uri="{FF2B5EF4-FFF2-40B4-BE49-F238E27FC236}">
                  <a16:creationId xmlns:a16="http://schemas.microsoft.com/office/drawing/2014/main" id="{00000000-0008-0000-0E00-0000B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2673" name="Check Box 689" hidden="1">
              <a:extLst>
                <a:ext uri="{63B3BB69-23CF-44E3-9099-C40C66FF867C}">
                  <a14:compatExt spid="_x0000_s42673"/>
                </a:ext>
                <a:ext uri="{FF2B5EF4-FFF2-40B4-BE49-F238E27FC236}">
                  <a16:creationId xmlns:a16="http://schemas.microsoft.com/office/drawing/2014/main" id="{00000000-0008-0000-0E00-0000B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2674" name="Check Box 690" hidden="1">
              <a:extLst>
                <a:ext uri="{63B3BB69-23CF-44E3-9099-C40C66FF867C}">
                  <a14:compatExt spid="_x0000_s42674"/>
                </a:ext>
                <a:ext uri="{FF2B5EF4-FFF2-40B4-BE49-F238E27FC236}">
                  <a16:creationId xmlns:a16="http://schemas.microsoft.com/office/drawing/2014/main" id="{00000000-0008-0000-0E00-0000B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75" name="Check Box 691" hidden="1">
              <a:extLst>
                <a:ext uri="{63B3BB69-23CF-44E3-9099-C40C66FF867C}">
                  <a14:compatExt spid="_x0000_s42675"/>
                </a:ext>
                <a:ext uri="{FF2B5EF4-FFF2-40B4-BE49-F238E27FC236}">
                  <a16:creationId xmlns:a16="http://schemas.microsoft.com/office/drawing/2014/main" id="{00000000-0008-0000-0E00-0000B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76" name="Check Box 692" hidden="1">
              <a:extLst>
                <a:ext uri="{63B3BB69-23CF-44E3-9099-C40C66FF867C}">
                  <a14:compatExt spid="_x0000_s42676"/>
                </a:ext>
                <a:ext uri="{FF2B5EF4-FFF2-40B4-BE49-F238E27FC236}">
                  <a16:creationId xmlns:a16="http://schemas.microsoft.com/office/drawing/2014/main" id="{00000000-0008-0000-0E00-0000B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77" name="Check Box 693" hidden="1">
              <a:extLst>
                <a:ext uri="{63B3BB69-23CF-44E3-9099-C40C66FF867C}">
                  <a14:compatExt spid="_x0000_s42677"/>
                </a:ext>
                <a:ext uri="{FF2B5EF4-FFF2-40B4-BE49-F238E27FC236}">
                  <a16:creationId xmlns:a16="http://schemas.microsoft.com/office/drawing/2014/main" id="{00000000-0008-0000-0E00-0000B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78" name="Check Box 694" hidden="1">
              <a:extLst>
                <a:ext uri="{63B3BB69-23CF-44E3-9099-C40C66FF867C}">
                  <a14:compatExt spid="_x0000_s42678"/>
                </a:ext>
                <a:ext uri="{FF2B5EF4-FFF2-40B4-BE49-F238E27FC236}">
                  <a16:creationId xmlns:a16="http://schemas.microsoft.com/office/drawing/2014/main" id="{00000000-0008-0000-0E00-0000B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79" name="Check Box 695" hidden="1">
              <a:extLst>
                <a:ext uri="{63B3BB69-23CF-44E3-9099-C40C66FF867C}">
                  <a14:compatExt spid="_x0000_s42679"/>
                </a:ext>
                <a:ext uri="{FF2B5EF4-FFF2-40B4-BE49-F238E27FC236}">
                  <a16:creationId xmlns:a16="http://schemas.microsoft.com/office/drawing/2014/main" id="{00000000-0008-0000-0E00-0000B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80" name="Check Box 696" hidden="1">
              <a:extLst>
                <a:ext uri="{63B3BB69-23CF-44E3-9099-C40C66FF867C}">
                  <a14:compatExt spid="_x0000_s42680"/>
                </a:ext>
                <a:ext uri="{FF2B5EF4-FFF2-40B4-BE49-F238E27FC236}">
                  <a16:creationId xmlns:a16="http://schemas.microsoft.com/office/drawing/2014/main" id="{00000000-0008-0000-0E00-0000B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2681" name="Check Box 697" hidden="1">
              <a:extLst>
                <a:ext uri="{63B3BB69-23CF-44E3-9099-C40C66FF867C}">
                  <a14:compatExt spid="_x0000_s42681"/>
                </a:ext>
                <a:ext uri="{FF2B5EF4-FFF2-40B4-BE49-F238E27FC236}">
                  <a16:creationId xmlns:a16="http://schemas.microsoft.com/office/drawing/2014/main" id="{00000000-0008-0000-0E00-0000B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2682" name="Check Box 698" hidden="1">
              <a:extLst>
                <a:ext uri="{63B3BB69-23CF-44E3-9099-C40C66FF867C}">
                  <a14:compatExt spid="_x0000_s42682"/>
                </a:ext>
                <a:ext uri="{FF2B5EF4-FFF2-40B4-BE49-F238E27FC236}">
                  <a16:creationId xmlns:a16="http://schemas.microsoft.com/office/drawing/2014/main" id="{00000000-0008-0000-0E00-0000B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2683" name="Check Box 699" hidden="1">
              <a:extLst>
                <a:ext uri="{63B3BB69-23CF-44E3-9099-C40C66FF867C}">
                  <a14:compatExt spid="_x0000_s42683"/>
                </a:ext>
                <a:ext uri="{FF2B5EF4-FFF2-40B4-BE49-F238E27FC236}">
                  <a16:creationId xmlns:a16="http://schemas.microsoft.com/office/drawing/2014/main" id="{00000000-0008-0000-0E00-0000B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84" name="Check Box 700" hidden="1">
              <a:extLst>
                <a:ext uri="{63B3BB69-23CF-44E3-9099-C40C66FF867C}">
                  <a14:compatExt spid="_x0000_s42684"/>
                </a:ext>
                <a:ext uri="{FF2B5EF4-FFF2-40B4-BE49-F238E27FC236}">
                  <a16:creationId xmlns:a16="http://schemas.microsoft.com/office/drawing/2014/main" id="{00000000-0008-0000-0E00-0000B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85" name="Check Box 701" hidden="1">
              <a:extLst>
                <a:ext uri="{63B3BB69-23CF-44E3-9099-C40C66FF867C}">
                  <a14:compatExt spid="_x0000_s42685"/>
                </a:ext>
                <a:ext uri="{FF2B5EF4-FFF2-40B4-BE49-F238E27FC236}">
                  <a16:creationId xmlns:a16="http://schemas.microsoft.com/office/drawing/2014/main" id="{00000000-0008-0000-0E00-0000B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86" name="Check Box 702" hidden="1">
              <a:extLst>
                <a:ext uri="{63B3BB69-23CF-44E3-9099-C40C66FF867C}">
                  <a14:compatExt spid="_x0000_s42686"/>
                </a:ext>
                <a:ext uri="{FF2B5EF4-FFF2-40B4-BE49-F238E27FC236}">
                  <a16:creationId xmlns:a16="http://schemas.microsoft.com/office/drawing/2014/main" id="{00000000-0008-0000-0E00-0000B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687" name="Check Box 703" hidden="1">
              <a:extLst>
                <a:ext uri="{63B3BB69-23CF-44E3-9099-C40C66FF867C}">
                  <a14:compatExt spid="_x0000_s42687"/>
                </a:ext>
                <a:ext uri="{FF2B5EF4-FFF2-40B4-BE49-F238E27FC236}">
                  <a16:creationId xmlns:a16="http://schemas.microsoft.com/office/drawing/2014/main" id="{00000000-0008-0000-0E00-0000B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688" name="Check Box 704" hidden="1">
              <a:extLst>
                <a:ext uri="{63B3BB69-23CF-44E3-9099-C40C66FF867C}">
                  <a14:compatExt spid="_x0000_s42688"/>
                </a:ext>
                <a:ext uri="{FF2B5EF4-FFF2-40B4-BE49-F238E27FC236}">
                  <a16:creationId xmlns:a16="http://schemas.microsoft.com/office/drawing/2014/main" id="{00000000-0008-0000-0E00-0000C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689" name="Check Box 705" hidden="1">
              <a:extLst>
                <a:ext uri="{63B3BB69-23CF-44E3-9099-C40C66FF867C}">
                  <a14:compatExt spid="_x0000_s42689"/>
                </a:ext>
                <a:ext uri="{FF2B5EF4-FFF2-40B4-BE49-F238E27FC236}">
                  <a16:creationId xmlns:a16="http://schemas.microsoft.com/office/drawing/2014/main" id="{00000000-0008-0000-0E00-0000C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690" name="Check Box 706" hidden="1">
              <a:extLst>
                <a:ext uri="{63B3BB69-23CF-44E3-9099-C40C66FF867C}">
                  <a14:compatExt spid="_x0000_s42690"/>
                </a:ext>
                <a:ext uri="{FF2B5EF4-FFF2-40B4-BE49-F238E27FC236}">
                  <a16:creationId xmlns:a16="http://schemas.microsoft.com/office/drawing/2014/main" id="{00000000-0008-0000-0E00-0000C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691" name="Check Box 707" hidden="1">
              <a:extLst>
                <a:ext uri="{63B3BB69-23CF-44E3-9099-C40C66FF867C}">
                  <a14:compatExt spid="_x0000_s42691"/>
                </a:ext>
                <a:ext uri="{FF2B5EF4-FFF2-40B4-BE49-F238E27FC236}">
                  <a16:creationId xmlns:a16="http://schemas.microsoft.com/office/drawing/2014/main" id="{00000000-0008-0000-0E00-0000C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692" name="Check Box 708" hidden="1">
              <a:extLst>
                <a:ext uri="{63B3BB69-23CF-44E3-9099-C40C66FF867C}">
                  <a14:compatExt spid="_x0000_s42692"/>
                </a:ext>
                <a:ext uri="{FF2B5EF4-FFF2-40B4-BE49-F238E27FC236}">
                  <a16:creationId xmlns:a16="http://schemas.microsoft.com/office/drawing/2014/main" id="{00000000-0008-0000-0E00-0000C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93" name="Check Box 709" hidden="1">
              <a:extLst>
                <a:ext uri="{63B3BB69-23CF-44E3-9099-C40C66FF867C}">
                  <a14:compatExt spid="_x0000_s42693"/>
                </a:ext>
                <a:ext uri="{FF2B5EF4-FFF2-40B4-BE49-F238E27FC236}">
                  <a16:creationId xmlns:a16="http://schemas.microsoft.com/office/drawing/2014/main" id="{00000000-0008-0000-0E00-0000C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94" name="Check Box 710" hidden="1">
              <a:extLst>
                <a:ext uri="{63B3BB69-23CF-44E3-9099-C40C66FF867C}">
                  <a14:compatExt spid="_x0000_s42694"/>
                </a:ext>
                <a:ext uri="{FF2B5EF4-FFF2-40B4-BE49-F238E27FC236}">
                  <a16:creationId xmlns:a16="http://schemas.microsoft.com/office/drawing/2014/main" id="{00000000-0008-0000-0E00-0000C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95" name="Check Box 711" hidden="1">
              <a:extLst>
                <a:ext uri="{63B3BB69-23CF-44E3-9099-C40C66FF867C}">
                  <a14:compatExt spid="_x0000_s42695"/>
                </a:ext>
                <a:ext uri="{FF2B5EF4-FFF2-40B4-BE49-F238E27FC236}">
                  <a16:creationId xmlns:a16="http://schemas.microsoft.com/office/drawing/2014/main" id="{00000000-0008-0000-0E00-0000C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96" name="Check Box 712" hidden="1">
              <a:extLst>
                <a:ext uri="{63B3BB69-23CF-44E3-9099-C40C66FF867C}">
                  <a14:compatExt spid="_x0000_s42696"/>
                </a:ext>
                <a:ext uri="{FF2B5EF4-FFF2-40B4-BE49-F238E27FC236}">
                  <a16:creationId xmlns:a16="http://schemas.microsoft.com/office/drawing/2014/main" id="{00000000-0008-0000-0E00-0000C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97" name="Check Box 713" hidden="1">
              <a:extLst>
                <a:ext uri="{63B3BB69-23CF-44E3-9099-C40C66FF867C}">
                  <a14:compatExt spid="_x0000_s42697"/>
                </a:ext>
                <a:ext uri="{FF2B5EF4-FFF2-40B4-BE49-F238E27FC236}">
                  <a16:creationId xmlns:a16="http://schemas.microsoft.com/office/drawing/2014/main" id="{00000000-0008-0000-0E00-0000C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98" name="Check Box 714" hidden="1">
              <a:extLst>
                <a:ext uri="{63B3BB69-23CF-44E3-9099-C40C66FF867C}">
                  <a14:compatExt spid="_x0000_s42698"/>
                </a:ext>
                <a:ext uri="{FF2B5EF4-FFF2-40B4-BE49-F238E27FC236}">
                  <a16:creationId xmlns:a16="http://schemas.microsoft.com/office/drawing/2014/main" id="{00000000-0008-0000-0E00-0000C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699" name="Check Box 715" hidden="1">
              <a:extLst>
                <a:ext uri="{63B3BB69-23CF-44E3-9099-C40C66FF867C}">
                  <a14:compatExt spid="_x0000_s42699"/>
                </a:ext>
                <a:ext uri="{FF2B5EF4-FFF2-40B4-BE49-F238E27FC236}">
                  <a16:creationId xmlns:a16="http://schemas.microsoft.com/office/drawing/2014/main" id="{00000000-0008-0000-0E00-0000C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00" name="Check Box 716" hidden="1">
              <a:extLst>
                <a:ext uri="{63B3BB69-23CF-44E3-9099-C40C66FF867C}">
                  <a14:compatExt spid="_x0000_s42700"/>
                </a:ext>
                <a:ext uri="{FF2B5EF4-FFF2-40B4-BE49-F238E27FC236}">
                  <a16:creationId xmlns:a16="http://schemas.microsoft.com/office/drawing/2014/main" id="{00000000-0008-0000-0E00-0000C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01" name="Check Box 717" hidden="1">
              <a:extLst>
                <a:ext uri="{63B3BB69-23CF-44E3-9099-C40C66FF867C}">
                  <a14:compatExt spid="_x0000_s42701"/>
                </a:ext>
                <a:ext uri="{FF2B5EF4-FFF2-40B4-BE49-F238E27FC236}">
                  <a16:creationId xmlns:a16="http://schemas.microsoft.com/office/drawing/2014/main" id="{00000000-0008-0000-0E00-0000C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702" name="Check Box 718" hidden="1">
              <a:extLst>
                <a:ext uri="{63B3BB69-23CF-44E3-9099-C40C66FF867C}">
                  <a14:compatExt spid="_x0000_s42702"/>
                </a:ext>
                <a:ext uri="{FF2B5EF4-FFF2-40B4-BE49-F238E27FC236}">
                  <a16:creationId xmlns:a16="http://schemas.microsoft.com/office/drawing/2014/main" id="{00000000-0008-0000-0E00-0000C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03" name="Check Box 719" hidden="1">
              <a:extLst>
                <a:ext uri="{63B3BB69-23CF-44E3-9099-C40C66FF867C}">
                  <a14:compatExt spid="_x0000_s42703"/>
                </a:ext>
                <a:ext uri="{FF2B5EF4-FFF2-40B4-BE49-F238E27FC236}">
                  <a16:creationId xmlns:a16="http://schemas.microsoft.com/office/drawing/2014/main" id="{00000000-0008-0000-0E00-0000C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04" name="Check Box 720" hidden="1">
              <a:extLst>
                <a:ext uri="{63B3BB69-23CF-44E3-9099-C40C66FF867C}">
                  <a14:compatExt spid="_x0000_s42704"/>
                </a:ext>
                <a:ext uri="{FF2B5EF4-FFF2-40B4-BE49-F238E27FC236}">
                  <a16:creationId xmlns:a16="http://schemas.microsoft.com/office/drawing/2014/main" id="{00000000-0008-0000-0E00-0000D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705" name="Check Box 721" hidden="1">
              <a:extLst>
                <a:ext uri="{63B3BB69-23CF-44E3-9099-C40C66FF867C}">
                  <a14:compatExt spid="_x0000_s42705"/>
                </a:ext>
                <a:ext uri="{FF2B5EF4-FFF2-40B4-BE49-F238E27FC236}">
                  <a16:creationId xmlns:a16="http://schemas.microsoft.com/office/drawing/2014/main" id="{00000000-0008-0000-0E00-0000D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706" name="Check Box 722" hidden="1">
              <a:extLst>
                <a:ext uri="{63B3BB69-23CF-44E3-9099-C40C66FF867C}">
                  <a14:compatExt spid="_x0000_s42706"/>
                </a:ext>
                <a:ext uri="{FF2B5EF4-FFF2-40B4-BE49-F238E27FC236}">
                  <a16:creationId xmlns:a16="http://schemas.microsoft.com/office/drawing/2014/main" id="{00000000-0008-0000-0E00-0000D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707" name="Check Box 723" hidden="1">
              <a:extLst>
                <a:ext uri="{63B3BB69-23CF-44E3-9099-C40C66FF867C}">
                  <a14:compatExt spid="_x0000_s42707"/>
                </a:ext>
                <a:ext uri="{FF2B5EF4-FFF2-40B4-BE49-F238E27FC236}">
                  <a16:creationId xmlns:a16="http://schemas.microsoft.com/office/drawing/2014/main" id="{00000000-0008-0000-0E00-0000D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708" name="Check Box 724" hidden="1">
              <a:extLst>
                <a:ext uri="{63B3BB69-23CF-44E3-9099-C40C66FF867C}">
                  <a14:compatExt spid="_x0000_s42708"/>
                </a:ext>
                <a:ext uri="{FF2B5EF4-FFF2-40B4-BE49-F238E27FC236}">
                  <a16:creationId xmlns:a16="http://schemas.microsoft.com/office/drawing/2014/main" id="{00000000-0008-0000-0E00-0000D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09" name="Check Box 725" hidden="1">
              <a:extLst>
                <a:ext uri="{63B3BB69-23CF-44E3-9099-C40C66FF867C}">
                  <a14:compatExt spid="_x0000_s42709"/>
                </a:ext>
                <a:ext uri="{FF2B5EF4-FFF2-40B4-BE49-F238E27FC236}">
                  <a16:creationId xmlns:a16="http://schemas.microsoft.com/office/drawing/2014/main" id="{00000000-0008-0000-0E00-0000D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10" name="Check Box 726" hidden="1">
              <a:extLst>
                <a:ext uri="{63B3BB69-23CF-44E3-9099-C40C66FF867C}">
                  <a14:compatExt spid="_x0000_s42710"/>
                </a:ext>
                <a:ext uri="{FF2B5EF4-FFF2-40B4-BE49-F238E27FC236}">
                  <a16:creationId xmlns:a16="http://schemas.microsoft.com/office/drawing/2014/main" id="{00000000-0008-0000-0E00-0000D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11" name="Check Box 727" hidden="1">
              <a:extLst>
                <a:ext uri="{63B3BB69-23CF-44E3-9099-C40C66FF867C}">
                  <a14:compatExt spid="_x0000_s42711"/>
                </a:ext>
                <a:ext uri="{FF2B5EF4-FFF2-40B4-BE49-F238E27FC236}">
                  <a16:creationId xmlns:a16="http://schemas.microsoft.com/office/drawing/2014/main" id="{00000000-0008-0000-0E00-0000D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12" name="Check Box 728" hidden="1">
              <a:extLst>
                <a:ext uri="{63B3BB69-23CF-44E3-9099-C40C66FF867C}">
                  <a14:compatExt spid="_x0000_s42712"/>
                </a:ext>
                <a:ext uri="{FF2B5EF4-FFF2-40B4-BE49-F238E27FC236}">
                  <a16:creationId xmlns:a16="http://schemas.microsoft.com/office/drawing/2014/main" id="{00000000-0008-0000-0E00-0000D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13" name="Check Box 729" hidden="1">
              <a:extLst>
                <a:ext uri="{63B3BB69-23CF-44E3-9099-C40C66FF867C}">
                  <a14:compatExt spid="_x0000_s42713"/>
                </a:ext>
                <a:ext uri="{FF2B5EF4-FFF2-40B4-BE49-F238E27FC236}">
                  <a16:creationId xmlns:a16="http://schemas.microsoft.com/office/drawing/2014/main" id="{00000000-0008-0000-0E00-0000D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14" name="Check Box 730" hidden="1">
              <a:extLst>
                <a:ext uri="{63B3BB69-23CF-44E3-9099-C40C66FF867C}">
                  <a14:compatExt spid="_x0000_s42714"/>
                </a:ext>
                <a:ext uri="{FF2B5EF4-FFF2-40B4-BE49-F238E27FC236}">
                  <a16:creationId xmlns:a16="http://schemas.microsoft.com/office/drawing/2014/main" id="{00000000-0008-0000-0E00-0000D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15" name="Check Box 731" hidden="1">
              <a:extLst>
                <a:ext uri="{63B3BB69-23CF-44E3-9099-C40C66FF867C}">
                  <a14:compatExt spid="_x0000_s42715"/>
                </a:ext>
                <a:ext uri="{FF2B5EF4-FFF2-40B4-BE49-F238E27FC236}">
                  <a16:creationId xmlns:a16="http://schemas.microsoft.com/office/drawing/2014/main" id="{00000000-0008-0000-0E00-0000D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16" name="Check Box 732" hidden="1">
              <a:extLst>
                <a:ext uri="{63B3BB69-23CF-44E3-9099-C40C66FF867C}">
                  <a14:compatExt spid="_x0000_s42716"/>
                </a:ext>
                <a:ext uri="{FF2B5EF4-FFF2-40B4-BE49-F238E27FC236}">
                  <a16:creationId xmlns:a16="http://schemas.microsoft.com/office/drawing/2014/main" id="{00000000-0008-0000-0E00-0000D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717" name="Check Box 733" hidden="1">
              <a:extLst>
                <a:ext uri="{63B3BB69-23CF-44E3-9099-C40C66FF867C}">
                  <a14:compatExt spid="_x0000_s42717"/>
                </a:ext>
                <a:ext uri="{FF2B5EF4-FFF2-40B4-BE49-F238E27FC236}">
                  <a16:creationId xmlns:a16="http://schemas.microsoft.com/office/drawing/2014/main" id="{00000000-0008-0000-0E00-0000D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18" name="Check Box 734" hidden="1">
              <a:extLst>
                <a:ext uri="{63B3BB69-23CF-44E3-9099-C40C66FF867C}">
                  <a14:compatExt spid="_x0000_s42718"/>
                </a:ext>
                <a:ext uri="{FF2B5EF4-FFF2-40B4-BE49-F238E27FC236}">
                  <a16:creationId xmlns:a16="http://schemas.microsoft.com/office/drawing/2014/main" id="{00000000-0008-0000-0E00-0000D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19" name="Check Box 735" hidden="1">
              <a:extLst>
                <a:ext uri="{63B3BB69-23CF-44E3-9099-C40C66FF867C}">
                  <a14:compatExt spid="_x0000_s42719"/>
                </a:ext>
                <a:ext uri="{FF2B5EF4-FFF2-40B4-BE49-F238E27FC236}">
                  <a16:creationId xmlns:a16="http://schemas.microsoft.com/office/drawing/2014/main" id="{00000000-0008-0000-0E00-0000D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720" name="Check Box 736" hidden="1">
              <a:extLst>
                <a:ext uri="{63B3BB69-23CF-44E3-9099-C40C66FF867C}">
                  <a14:compatExt spid="_x0000_s42720"/>
                </a:ext>
                <a:ext uri="{FF2B5EF4-FFF2-40B4-BE49-F238E27FC236}">
                  <a16:creationId xmlns:a16="http://schemas.microsoft.com/office/drawing/2014/main" id="{00000000-0008-0000-0E00-0000E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21" name="Check Box 737" hidden="1">
              <a:extLst>
                <a:ext uri="{63B3BB69-23CF-44E3-9099-C40C66FF867C}">
                  <a14:compatExt spid="_x0000_s42721"/>
                </a:ext>
                <a:ext uri="{FF2B5EF4-FFF2-40B4-BE49-F238E27FC236}">
                  <a16:creationId xmlns:a16="http://schemas.microsoft.com/office/drawing/2014/main" id="{00000000-0008-0000-0E00-0000E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22" name="Check Box 738" hidden="1">
              <a:extLst>
                <a:ext uri="{63B3BB69-23CF-44E3-9099-C40C66FF867C}">
                  <a14:compatExt spid="_x0000_s42722"/>
                </a:ext>
                <a:ext uri="{FF2B5EF4-FFF2-40B4-BE49-F238E27FC236}">
                  <a16:creationId xmlns:a16="http://schemas.microsoft.com/office/drawing/2014/main" id="{00000000-0008-0000-0E00-0000E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23" name="Check Box 739" hidden="1">
              <a:extLst>
                <a:ext uri="{63B3BB69-23CF-44E3-9099-C40C66FF867C}">
                  <a14:compatExt spid="_x0000_s42723"/>
                </a:ext>
                <a:ext uri="{FF2B5EF4-FFF2-40B4-BE49-F238E27FC236}">
                  <a16:creationId xmlns:a16="http://schemas.microsoft.com/office/drawing/2014/main" id="{00000000-0008-0000-0E00-0000E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24" name="Check Box 740" hidden="1">
              <a:extLst>
                <a:ext uri="{63B3BB69-23CF-44E3-9099-C40C66FF867C}">
                  <a14:compatExt spid="_x0000_s42724"/>
                </a:ext>
                <a:ext uri="{FF2B5EF4-FFF2-40B4-BE49-F238E27FC236}">
                  <a16:creationId xmlns:a16="http://schemas.microsoft.com/office/drawing/2014/main" id="{00000000-0008-0000-0E00-0000E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25" name="Check Box 741" hidden="1">
              <a:extLst>
                <a:ext uri="{63B3BB69-23CF-44E3-9099-C40C66FF867C}">
                  <a14:compatExt spid="_x0000_s42725"/>
                </a:ext>
                <a:ext uri="{FF2B5EF4-FFF2-40B4-BE49-F238E27FC236}">
                  <a16:creationId xmlns:a16="http://schemas.microsoft.com/office/drawing/2014/main" id="{00000000-0008-0000-0E00-0000E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26" name="Check Box 742" hidden="1">
              <a:extLst>
                <a:ext uri="{63B3BB69-23CF-44E3-9099-C40C66FF867C}">
                  <a14:compatExt spid="_x0000_s42726"/>
                </a:ext>
                <a:ext uri="{FF2B5EF4-FFF2-40B4-BE49-F238E27FC236}">
                  <a16:creationId xmlns:a16="http://schemas.microsoft.com/office/drawing/2014/main" id="{00000000-0008-0000-0E00-0000E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27" name="Check Box 743" hidden="1">
              <a:extLst>
                <a:ext uri="{63B3BB69-23CF-44E3-9099-C40C66FF867C}">
                  <a14:compatExt spid="_x0000_s42727"/>
                </a:ext>
                <a:ext uri="{FF2B5EF4-FFF2-40B4-BE49-F238E27FC236}">
                  <a16:creationId xmlns:a16="http://schemas.microsoft.com/office/drawing/2014/main" id="{00000000-0008-0000-0E00-0000E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28" name="Check Box 744" hidden="1">
              <a:extLst>
                <a:ext uri="{63B3BB69-23CF-44E3-9099-C40C66FF867C}">
                  <a14:compatExt spid="_x0000_s42728"/>
                </a:ext>
                <a:ext uri="{FF2B5EF4-FFF2-40B4-BE49-F238E27FC236}">
                  <a16:creationId xmlns:a16="http://schemas.microsoft.com/office/drawing/2014/main" id="{00000000-0008-0000-0E00-0000E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729" name="Check Box 745" hidden="1">
              <a:extLst>
                <a:ext uri="{63B3BB69-23CF-44E3-9099-C40C66FF867C}">
                  <a14:compatExt spid="_x0000_s42729"/>
                </a:ext>
                <a:ext uri="{FF2B5EF4-FFF2-40B4-BE49-F238E27FC236}">
                  <a16:creationId xmlns:a16="http://schemas.microsoft.com/office/drawing/2014/main" id="{00000000-0008-0000-0E00-0000E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30" name="Check Box 746" hidden="1">
              <a:extLst>
                <a:ext uri="{63B3BB69-23CF-44E3-9099-C40C66FF867C}">
                  <a14:compatExt spid="_x0000_s42730"/>
                </a:ext>
                <a:ext uri="{FF2B5EF4-FFF2-40B4-BE49-F238E27FC236}">
                  <a16:creationId xmlns:a16="http://schemas.microsoft.com/office/drawing/2014/main" id="{00000000-0008-0000-0E00-0000E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31" name="Check Box 747" hidden="1">
              <a:extLst>
                <a:ext uri="{63B3BB69-23CF-44E3-9099-C40C66FF867C}">
                  <a14:compatExt spid="_x0000_s42731"/>
                </a:ext>
                <a:ext uri="{FF2B5EF4-FFF2-40B4-BE49-F238E27FC236}">
                  <a16:creationId xmlns:a16="http://schemas.microsoft.com/office/drawing/2014/main" id="{00000000-0008-0000-0E00-0000E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32" name="Check Box 748" hidden="1">
              <a:extLst>
                <a:ext uri="{63B3BB69-23CF-44E3-9099-C40C66FF867C}">
                  <a14:compatExt spid="_x0000_s42732"/>
                </a:ext>
                <a:ext uri="{FF2B5EF4-FFF2-40B4-BE49-F238E27FC236}">
                  <a16:creationId xmlns:a16="http://schemas.microsoft.com/office/drawing/2014/main" id="{00000000-0008-0000-0E00-0000E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33" name="Check Box 749" hidden="1">
              <a:extLst>
                <a:ext uri="{63B3BB69-23CF-44E3-9099-C40C66FF867C}">
                  <a14:compatExt spid="_x0000_s42733"/>
                </a:ext>
                <a:ext uri="{FF2B5EF4-FFF2-40B4-BE49-F238E27FC236}">
                  <a16:creationId xmlns:a16="http://schemas.microsoft.com/office/drawing/2014/main" id="{00000000-0008-0000-0E00-0000E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34" name="Check Box 750" hidden="1">
              <a:extLst>
                <a:ext uri="{63B3BB69-23CF-44E3-9099-C40C66FF867C}">
                  <a14:compatExt spid="_x0000_s42734"/>
                </a:ext>
                <a:ext uri="{FF2B5EF4-FFF2-40B4-BE49-F238E27FC236}">
                  <a16:creationId xmlns:a16="http://schemas.microsoft.com/office/drawing/2014/main" id="{00000000-0008-0000-0E00-0000E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35" name="Check Box 751" hidden="1">
              <a:extLst>
                <a:ext uri="{63B3BB69-23CF-44E3-9099-C40C66FF867C}">
                  <a14:compatExt spid="_x0000_s42735"/>
                </a:ext>
                <a:ext uri="{FF2B5EF4-FFF2-40B4-BE49-F238E27FC236}">
                  <a16:creationId xmlns:a16="http://schemas.microsoft.com/office/drawing/2014/main" id="{00000000-0008-0000-0E00-0000E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36" name="Check Box 752" hidden="1">
              <a:extLst>
                <a:ext uri="{63B3BB69-23CF-44E3-9099-C40C66FF867C}">
                  <a14:compatExt spid="_x0000_s42736"/>
                </a:ext>
                <a:ext uri="{FF2B5EF4-FFF2-40B4-BE49-F238E27FC236}">
                  <a16:creationId xmlns:a16="http://schemas.microsoft.com/office/drawing/2014/main" id="{00000000-0008-0000-0E00-0000F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37" name="Check Box 753" hidden="1">
              <a:extLst>
                <a:ext uri="{63B3BB69-23CF-44E3-9099-C40C66FF867C}">
                  <a14:compatExt spid="_x0000_s42737"/>
                </a:ext>
                <a:ext uri="{FF2B5EF4-FFF2-40B4-BE49-F238E27FC236}">
                  <a16:creationId xmlns:a16="http://schemas.microsoft.com/office/drawing/2014/main" id="{00000000-0008-0000-0E00-0000F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38" name="Check Box 754" hidden="1">
              <a:extLst>
                <a:ext uri="{63B3BB69-23CF-44E3-9099-C40C66FF867C}">
                  <a14:compatExt spid="_x0000_s42738"/>
                </a:ext>
                <a:ext uri="{FF2B5EF4-FFF2-40B4-BE49-F238E27FC236}">
                  <a16:creationId xmlns:a16="http://schemas.microsoft.com/office/drawing/2014/main" id="{00000000-0008-0000-0E00-0000F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39" name="Check Box 755" hidden="1">
              <a:extLst>
                <a:ext uri="{63B3BB69-23CF-44E3-9099-C40C66FF867C}">
                  <a14:compatExt spid="_x0000_s42739"/>
                </a:ext>
                <a:ext uri="{FF2B5EF4-FFF2-40B4-BE49-F238E27FC236}">
                  <a16:creationId xmlns:a16="http://schemas.microsoft.com/office/drawing/2014/main" id="{00000000-0008-0000-0E00-0000F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40" name="Check Box 756" hidden="1">
              <a:extLst>
                <a:ext uri="{63B3BB69-23CF-44E3-9099-C40C66FF867C}">
                  <a14:compatExt spid="_x0000_s42740"/>
                </a:ext>
                <a:ext uri="{FF2B5EF4-FFF2-40B4-BE49-F238E27FC236}">
                  <a16:creationId xmlns:a16="http://schemas.microsoft.com/office/drawing/2014/main" id="{00000000-0008-0000-0E00-0000F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41" name="Check Box 757" hidden="1">
              <a:extLst>
                <a:ext uri="{63B3BB69-23CF-44E3-9099-C40C66FF867C}">
                  <a14:compatExt spid="_x0000_s42741"/>
                </a:ext>
                <a:ext uri="{FF2B5EF4-FFF2-40B4-BE49-F238E27FC236}">
                  <a16:creationId xmlns:a16="http://schemas.microsoft.com/office/drawing/2014/main" id="{00000000-0008-0000-0E00-0000F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42" name="Check Box 758" hidden="1">
              <a:extLst>
                <a:ext uri="{63B3BB69-23CF-44E3-9099-C40C66FF867C}">
                  <a14:compatExt spid="_x0000_s42742"/>
                </a:ext>
                <a:ext uri="{FF2B5EF4-FFF2-40B4-BE49-F238E27FC236}">
                  <a16:creationId xmlns:a16="http://schemas.microsoft.com/office/drawing/2014/main" id="{00000000-0008-0000-0E00-0000F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43" name="Check Box 759" hidden="1">
              <a:extLst>
                <a:ext uri="{63B3BB69-23CF-44E3-9099-C40C66FF867C}">
                  <a14:compatExt spid="_x0000_s42743"/>
                </a:ext>
                <a:ext uri="{FF2B5EF4-FFF2-40B4-BE49-F238E27FC236}">
                  <a16:creationId xmlns:a16="http://schemas.microsoft.com/office/drawing/2014/main" id="{00000000-0008-0000-0E00-0000F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44" name="Check Box 760" hidden="1">
              <a:extLst>
                <a:ext uri="{63B3BB69-23CF-44E3-9099-C40C66FF867C}">
                  <a14:compatExt spid="_x0000_s42744"/>
                </a:ext>
                <a:ext uri="{FF2B5EF4-FFF2-40B4-BE49-F238E27FC236}">
                  <a16:creationId xmlns:a16="http://schemas.microsoft.com/office/drawing/2014/main" id="{00000000-0008-0000-0E00-0000F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45" name="Check Box 761" hidden="1">
              <a:extLst>
                <a:ext uri="{63B3BB69-23CF-44E3-9099-C40C66FF867C}">
                  <a14:compatExt spid="_x0000_s42745"/>
                </a:ext>
                <a:ext uri="{FF2B5EF4-FFF2-40B4-BE49-F238E27FC236}">
                  <a16:creationId xmlns:a16="http://schemas.microsoft.com/office/drawing/2014/main" id="{00000000-0008-0000-0E00-0000F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46" name="Check Box 762" hidden="1">
              <a:extLst>
                <a:ext uri="{63B3BB69-23CF-44E3-9099-C40C66FF867C}">
                  <a14:compatExt spid="_x0000_s42746"/>
                </a:ext>
                <a:ext uri="{FF2B5EF4-FFF2-40B4-BE49-F238E27FC236}">
                  <a16:creationId xmlns:a16="http://schemas.microsoft.com/office/drawing/2014/main" id="{00000000-0008-0000-0E00-0000F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47" name="Check Box 763" hidden="1">
              <a:extLst>
                <a:ext uri="{63B3BB69-23CF-44E3-9099-C40C66FF867C}">
                  <a14:compatExt spid="_x0000_s42747"/>
                </a:ext>
                <a:ext uri="{FF2B5EF4-FFF2-40B4-BE49-F238E27FC236}">
                  <a16:creationId xmlns:a16="http://schemas.microsoft.com/office/drawing/2014/main" id="{00000000-0008-0000-0E00-0000F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48" name="Check Box 764" hidden="1">
              <a:extLst>
                <a:ext uri="{63B3BB69-23CF-44E3-9099-C40C66FF867C}">
                  <a14:compatExt spid="_x0000_s42748"/>
                </a:ext>
                <a:ext uri="{FF2B5EF4-FFF2-40B4-BE49-F238E27FC236}">
                  <a16:creationId xmlns:a16="http://schemas.microsoft.com/office/drawing/2014/main" id="{00000000-0008-0000-0E00-0000F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49" name="Check Box 765" hidden="1">
              <a:extLst>
                <a:ext uri="{63B3BB69-23CF-44E3-9099-C40C66FF867C}">
                  <a14:compatExt spid="_x0000_s42749"/>
                </a:ext>
                <a:ext uri="{FF2B5EF4-FFF2-40B4-BE49-F238E27FC236}">
                  <a16:creationId xmlns:a16="http://schemas.microsoft.com/office/drawing/2014/main" id="{00000000-0008-0000-0E00-0000F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50" name="Check Box 766" hidden="1">
              <a:extLst>
                <a:ext uri="{63B3BB69-23CF-44E3-9099-C40C66FF867C}">
                  <a14:compatExt spid="_x0000_s42750"/>
                </a:ext>
                <a:ext uri="{FF2B5EF4-FFF2-40B4-BE49-F238E27FC236}">
                  <a16:creationId xmlns:a16="http://schemas.microsoft.com/office/drawing/2014/main" id="{00000000-0008-0000-0E00-0000F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51" name="Check Box 767" hidden="1">
              <a:extLst>
                <a:ext uri="{63B3BB69-23CF-44E3-9099-C40C66FF867C}">
                  <a14:compatExt spid="_x0000_s42751"/>
                </a:ext>
                <a:ext uri="{FF2B5EF4-FFF2-40B4-BE49-F238E27FC236}">
                  <a16:creationId xmlns:a16="http://schemas.microsoft.com/office/drawing/2014/main" id="{00000000-0008-0000-0E00-0000F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52" name="Check Box 768" hidden="1">
              <a:extLst>
                <a:ext uri="{63B3BB69-23CF-44E3-9099-C40C66FF867C}">
                  <a14:compatExt spid="_x0000_s42752"/>
                </a:ext>
                <a:ext uri="{FF2B5EF4-FFF2-40B4-BE49-F238E27FC236}">
                  <a16:creationId xmlns:a16="http://schemas.microsoft.com/office/drawing/2014/main" id="{00000000-0008-0000-0E00-00000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53" name="Check Box 769" hidden="1">
              <a:extLst>
                <a:ext uri="{63B3BB69-23CF-44E3-9099-C40C66FF867C}">
                  <a14:compatExt spid="_x0000_s42753"/>
                </a:ext>
                <a:ext uri="{FF2B5EF4-FFF2-40B4-BE49-F238E27FC236}">
                  <a16:creationId xmlns:a16="http://schemas.microsoft.com/office/drawing/2014/main" id="{00000000-0008-0000-0E00-00000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54" name="Check Box 770" hidden="1">
              <a:extLst>
                <a:ext uri="{63B3BB69-23CF-44E3-9099-C40C66FF867C}">
                  <a14:compatExt spid="_x0000_s42754"/>
                </a:ext>
                <a:ext uri="{FF2B5EF4-FFF2-40B4-BE49-F238E27FC236}">
                  <a16:creationId xmlns:a16="http://schemas.microsoft.com/office/drawing/2014/main" id="{00000000-0008-0000-0E00-00000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55" name="Check Box 771" hidden="1">
              <a:extLst>
                <a:ext uri="{63B3BB69-23CF-44E3-9099-C40C66FF867C}">
                  <a14:compatExt spid="_x0000_s42755"/>
                </a:ext>
                <a:ext uri="{FF2B5EF4-FFF2-40B4-BE49-F238E27FC236}">
                  <a16:creationId xmlns:a16="http://schemas.microsoft.com/office/drawing/2014/main" id="{00000000-0008-0000-0E00-00000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56" name="Check Box 772" hidden="1">
              <a:extLst>
                <a:ext uri="{63B3BB69-23CF-44E3-9099-C40C66FF867C}">
                  <a14:compatExt spid="_x0000_s42756"/>
                </a:ext>
                <a:ext uri="{FF2B5EF4-FFF2-40B4-BE49-F238E27FC236}">
                  <a16:creationId xmlns:a16="http://schemas.microsoft.com/office/drawing/2014/main" id="{00000000-0008-0000-0E00-00000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57" name="Check Box 773" hidden="1">
              <a:extLst>
                <a:ext uri="{63B3BB69-23CF-44E3-9099-C40C66FF867C}">
                  <a14:compatExt spid="_x0000_s42757"/>
                </a:ext>
                <a:ext uri="{FF2B5EF4-FFF2-40B4-BE49-F238E27FC236}">
                  <a16:creationId xmlns:a16="http://schemas.microsoft.com/office/drawing/2014/main" id="{00000000-0008-0000-0E00-00000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58" name="Check Box 774" hidden="1">
              <a:extLst>
                <a:ext uri="{63B3BB69-23CF-44E3-9099-C40C66FF867C}">
                  <a14:compatExt spid="_x0000_s42758"/>
                </a:ext>
                <a:ext uri="{FF2B5EF4-FFF2-40B4-BE49-F238E27FC236}">
                  <a16:creationId xmlns:a16="http://schemas.microsoft.com/office/drawing/2014/main" id="{00000000-0008-0000-0E00-00000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59" name="Check Box 775" hidden="1">
              <a:extLst>
                <a:ext uri="{63B3BB69-23CF-44E3-9099-C40C66FF867C}">
                  <a14:compatExt spid="_x0000_s42759"/>
                </a:ext>
                <a:ext uri="{FF2B5EF4-FFF2-40B4-BE49-F238E27FC236}">
                  <a16:creationId xmlns:a16="http://schemas.microsoft.com/office/drawing/2014/main" id="{00000000-0008-0000-0E00-00000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60" name="Check Box 776" hidden="1">
              <a:extLst>
                <a:ext uri="{63B3BB69-23CF-44E3-9099-C40C66FF867C}">
                  <a14:compatExt spid="_x0000_s42760"/>
                </a:ext>
                <a:ext uri="{FF2B5EF4-FFF2-40B4-BE49-F238E27FC236}">
                  <a16:creationId xmlns:a16="http://schemas.microsoft.com/office/drawing/2014/main" id="{00000000-0008-0000-0E00-00000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61" name="Check Box 777" hidden="1">
              <a:extLst>
                <a:ext uri="{63B3BB69-23CF-44E3-9099-C40C66FF867C}">
                  <a14:compatExt spid="_x0000_s42761"/>
                </a:ext>
                <a:ext uri="{FF2B5EF4-FFF2-40B4-BE49-F238E27FC236}">
                  <a16:creationId xmlns:a16="http://schemas.microsoft.com/office/drawing/2014/main" id="{00000000-0008-0000-0E00-00000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62" name="Check Box 778" hidden="1">
              <a:extLst>
                <a:ext uri="{63B3BB69-23CF-44E3-9099-C40C66FF867C}">
                  <a14:compatExt spid="_x0000_s42762"/>
                </a:ext>
                <a:ext uri="{FF2B5EF4-FFF2-40B4-BE49-F238E27FC236}">
                  <a16:creationId xmlns:a16="http://schemas.microsoft.com/office/drawing/2014/main" id="{00000000-0008-0000-0E00-00000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63" name="Check Box 779" hidden="1">
              <a:extLst>
                <a:ext uri="{63B3BB69-23CF-44E3-9099-C40C66FF867C}">
                  <a14:compatExt spid="_x0000_s42763"/>
                </a:ext>
                <a:ext uri="{FF2B5EF4-FFF2-40B4-BE49-F238E27FC236}">
                  <a16:creationId xmlns:a16="http://schemas.microsoft.com/office/drawing/2014/main" id="{00000000-0008-0000-0E00-00000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64" name="Check Box 780" hidden="1">
              <a:extLst>
                <a:ext uri="{63B3BB69-23CF-44E3-9099-C40C66FF867C}">
                  <a14:compatExt spid="_x0000_s42764"/>
                </a:ext>
                <a:ext uri="{FF2B5EF4-FFF2-40B4-BE49-F238E27FC236}">
                  <a16:creationId xmlns:a16="http://schemas.microsoft.com/office/drawing/2014/main" id="{00000000-0008-0000-0E00-00000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65" name="Check Box 781" hidden="1">
              <a:extLst>
                <a:ext uri="{63B3BB69-23CF-44E3-9099-C40C66FF867C}">
                  <a14:compatExt spid="_x0000_s42765"/>
                </a:ext>
                <a:ext uri="{FF2B5EF4-FFF2-40B4-BE49-F238E27FC236}">
                  <a16:creationId xmlns:a16="http://schemas.microsoft.com/office/drawing/2014/main" id="{00000000-0008-0000-0E00-00000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66" name="Check Box 782" hidden="1">
              <a:extLst>
                <a:ext uri="{63B3BB69-23CF-44E3-9099-C40C66FF867C}">
                  <a14:compatExt spid="_x0000_s42766"/>
                </a:ext>
                <a:ext uri="{FF2B5EF4-FFF2-40B4-BE49-F238E27FC236}">
                  <a16:creationId xmlns:a16="http://schemas.microsoft.com/office/drawing/2014/main" id="{00000000-0008-0000-0E00-00000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67" name="Check Box 783" hidden="1">
              <a:extLst>
                <a:ext uri="{63B3BB69-23CF-44E3-9099-C40C66FF867C}">
                  <a14:compatExt spid="_x0000_s42767"/>
                </a:ext>
                <a:ext uri="{FF2B5EF4-FFF2-40B4-BE49-F238E27FC236}">
                  <a16:creationId xmlns:a16="http://schemas.microsoft.com/office/drawing/2014/main" id="{00000000-0008-0000-0E00-00000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68" name="Check Box 784" hidden="1">
              <a:extLst>
                <a:ext uri="{63B3BB69-23CF-44E3-9099-C40C66FF867C}">
                  <a14:compatExt spid="_x0000_s42768"/>
                </a:ext>
                <a:ext uri="{FF2B5EF4-FFF2-40B4-BE49-F238E27FC236}">
                  <a16:creationId xmlns:a16="http://schemas.microsoft.com/office/drawing/2014/main" id="{00000000-0008-0000-0E00-00001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69" name="Check Box 785" hidden="1">
              <a:extLst>
                <a:ext uri="{63B3BB69-23CF-44E3-9099-C40C66FF867C}">
                  <a14:compatExt spid="_x0000_s42769"/>
                </a:ext>
                <a:ext uri="{FF2B5EF4-FFF2-40B4-BE49-F238E27FC236}">
                  <a16:creationId xmlns:a16="http://schemas.microsoft.com/office/drawing/2014/main" id="{00000000-0008-0000-0E00-00001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70" name="Check Box 786" hidden="1">
              <a:extLst>
                <a:ext uri="{63B3BB69-23CF-44E3-9099-C40C66FF867C}">
                  <a14:compatExt spid="_x0000_s42770"/>
                </a:ext>
                <a:ext uri="{FF2B5EF4-FFF2-40B4-BE49-F238E27FC236}">
                  <a16:creationId xmlns:a16="http://schemas.microsoft.com/office/drawing/2014/main" id="{00000000-0008-0000-0E00-00001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71" name="Check Box 787" hidden="1">
              <a:extLst>
                <a:ext uri="{63B3BB69-23CF-44E3-9099-C40C66FF867C}">
                  <a14:compatExt spid="_x0000_s42771"/>
                </a:ext>
                <a:ext uri="{FF2B5EF4-FFF2-40B4-BE49-F238E27FC236}">
                  <a16:creationId xmlns:a16="http://schemas.microsoft.com/office/drawing/2014/main" id="{00000000-0008-0000-0E00-00001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72" name="Check Box 788" hidden="1">
              <a:extLst>
                <a:ext uri="{63B3BB69-23CF-44E3-9099-C40C66FF867C}">
                  <a14:compatExt spid="_x0000_s42772"/>
                </a:ext>
                <a:ext uri="{FF2B5EF4-FFF2-40B4-BE49-F238E27FC236}">
                  <a16:creationId xmlns:a16="http://schemas.microsoft.com/office/drawing/2014/main" id="{00000000-0008-0000-0E00-00001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73" name="Check Box 789" hidden="1">
              <a:extLst>
                <a:ext uri="{63B3BB69-23CF-44E3-9099-C40C66FF867C}">
                  <a14:compatExt spid="_x0000_s42773"/>
                </a:ext>
                <a:ext uri="{FF2B5EF4-FFF2-40B4-BE49-F238E27FC236}">
                  <a16:creationId xmlns:a16="http://schemas.microsoft.com/office/drawing/2014/main" id="{00000000-0008-0000-0E00-00001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74" name="Check Box 790" hidden="1">
              <a:extLst>
                <a:ext uri="{63B3BB69-23CF-44E3-9099-C40C66FF867C}">
                  <a14:compatExt spid="_x0000_s42774"/>
                </a:ext>
                <a:ext uri="{FF2B5EF4-FFF2-40B4-BE49-F238E27FC236}">
                  <a16:creationId xmlns:a16="http://schemas.microsoft.com/office/drawing/2014/main" id="{00000000-0008-0000-0E00-00001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75" name="Check Box 791" hidden="1">
              <a:extLst>
                <a:ext uri="{63B3BB69-23CF-44E3-9099-C40C66FF867C}">
                  <a14:compatExt spid="_x0000_s42775"/>
                </a:ext>
                <a:ext uri="{FF2B5EF4-FFF2-40B4-BE49-F238E27FC236}">
                  <a16:creationId xmlns:a16="http://schemas.microsoft.com/office/drawing/2014/main" id="{00000000-0008-0000-0E00-00001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76" name="Check Box 792" hidden="1">
              <a:extLst>
                <a:ext uri="{63B3BB69-23CF-44E3-9099-C40C66FF867C}">
                  <a14:compatExt spid="_x0000_s42776"/>
                </a:ext>
                <a:ext uri="{FF2B5EF4-FFF2-40B4-BE49-F238E27FC236}">
                  <a16:creationId xmlns:a16="http://schemas.microsoft.com/office/drawing/2014/main" id="{00000000-0008-0000-0E00-00001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77" name="Check Box 793" hidden="1">
              <a:extLst>
                <a:ext uri="{63B3BB69-23CF-44E3-9099-C40C66FF867C}">
                  <a14:compatExt spid="_x0000_s42777"/>
                </a:ext>
                <a:ext uri="{FF2B5EF4-FFF2-40B4-BE49-F238E27FC236}">
                  <a16:creationId xmlns:a16="http://schemas.microsoft.com/office/drawing/2014/main" id="{00000000-0008-0000-0E00-00001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78" name="Check Box 794" hidden="1">
              <a:extLst>
                <a:ext uri="{63B3BB69-23CF-44E3-9099-C40C66FF867C}">
                  <a14:compatExt spid="_x0000_s42778"/>
                </a:ext>
                <a:ext uri="{FF2B5EF4-FFF2-40B4-BE49-F238E27FC236}">
                  <a16:creationId xmlns:a16="http://schemas.microsoft.com/office/drawing/2014/main" id="{00000000-0008-0000-0E00-00001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79" name="Check Box 795" hidden="1">
              <a:extLst>
                <a:ext uri="{63B3BB69-23CF-44E3-9099-C40C66FF867C}">
                  <a14:compatExt spid="_x0000_s42779"/>
                </a:ext>
                <a:ext uri="{FF2B5EF4-FFF2-40B4-BE49-F238E27FC236}">
                  <a16:creationId xmlns:a16="http://schemas.microsoft.com/office/drawing/2014/main" id="{00000000-0008-0000-0E00-00001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80" name="Check Box 796" hidden="1">
              <a:extLst>
                <a:ext uri="{63B3BB69-23CF-44E3-9099-C40C66FF867C}">
                  <a14:compatExt spid="_x0000_s42780"/>
                </a:ext>
                <a:ext uri="{FF2B5EF4-FFF2-40B4-BE49-F238E27FC236}">
                  <a16:creationId xmlns:a16="http://schemas.microsoft.com/office/drawing/2014/main" id="{00000000-0008-0000-0E00-00001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81" name="Check Box 797" hidden="1">
              <a:extLst>
                <a:ext uri="{63B3BB69-23CF-44E3-9099-C40C66FF867C}">
                  <a14:compatExt spid="_x0000_s42781"/>
                </a:ext>
                <a:ext uri="{FF2B5EF4-FFF2-40B4-BE49-F238E27FC236}">
                  <a16:creationId xmlns:a16="http://schemas.microsoft.com/office/drawing/2014/main" id="{00000000-0008-0000-0E00-00001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82" name="Check Box 798" hidden="1">
              <a:extLst>
                <a:ext uri="{63B3BB69-23CF-44E3-9099-C40C66FF867C}">
                  <a14:compatExt spid="_x0000_s42782"/>
                </a:ext>
                <a:ext uri="{FF2B5EF4-FFF2-40B4-BE49-F238E27FC236}">
                  <a16:creationId xmlns:a16="http://schemas.microsoft.com/office/drawing/2014/main" id="{00000000-0008-0000-0E00-00001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783" name="Check Box 799" hidden="1">
              <a:extLst>
                <a:ext uri="{63B3BB69-23CF-44E3-9099-C40C66FF867C}">
                  <a14:compatExt spid="_x0000_s42783"/>
                </a:ext>
                <a:ext uri="{FF2B5EF4-FFF2-40B4-BE49-F238E27FC236}">
                  <a16:creationId xmlns:a16="http://schemas.microsoft.com/office/drawing/2014/main" id="{00000000-0008-0000-0E00-00001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784" name="Check Box 800" hidden="1">
              <a:extLst>
                <a:ext uri="{63B3BB69-23CF-44E3-9099-C40C66FF867C}">
                  <a14:compatExt spid="_x0000_s42784"/>
                </a:ext>
                <a:ext uri="{FF2B5EF4-FFF2-40B4-BE49-F238E27FC236}">
                  <a16:creationId xmlns:a16="http://schemas.microsoft.com/office/drawing/2014/main" id="{00000000-0008-0000-0E00-00002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785" name="Check Box 801" hidden="1">
              <a:extLst>
                <a:ext uri="{63B3BB69-23CF-44E3-9099-C40C66FF867C}">
                  <a14:compatExt spid="_x0000_s42785"/>
                </a:ext>
                <a:ext uri="{FF2B5EF4-FFF2-40B4-BE49-F238E27FC236}">
                  <a16:creationId xmlns:a16="http://schemas.microsoft.com/office/drawing/2014/main" id="{00000000-0008-0000-0E00-00002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786" name="Check Box 802" hidden="1">
              <a:extLst>
                <a:ext uri="{63B3BB69-23CF-44E3-9099-C40C66FF867C}">
                  <a14:compatExt spid="_x0000_s42786"/>
                </a:ext>
                <a:ext uri="{FF2B5EF4-FFF2-40B4-BE49-F238E27FC236}">
                  <a16:creationId xmlns:a16="http://schemas.microsoft.com/office/drawing/2014/main" id="{00000000-0008-0000-0E00-00002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787" name="Check Box 803" hidden="1">
              <a:extLst>
                <a:ext uri="{63B3BB69-23CF-44E3-9099-C40C66FF867C}">
                  <a14:compatExt spid="_x0000_s42787"/>
                </a:ext>
                <a:ext uri="{FF2B5EF4-FFF2-40B4-BE49-F238E27FC236}">
                  <a16:creationId xmlns:a16="http://schemas.microsoft.com/office/drawing/2014/main" id="{00000000-0008-0000-0E00-00002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788" name="Check Box 804" hidden="1">
              <a:extLst>
                <a:ext uri="{63B3BB69-23CF-44E3-9099-C40C66FF867C}">
                  <a14:compatExt spid="_x0000_s42788"/>
                </a:ext>
                <a:ext uri="{FF2B5EF4-FFF2-40B4-BE49-F238E27FC236}">
                  <a16:creationId xmlns:a16="http://schemas.microsoft.com/office/drawing/2014/main" id="{00000000-0008-0000-0E00-00002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89" name="Check Box 805" hidden="1">
              <a:extLst>
                <a:ext uri="{63B3BB69-23CF-44E3-9099-C40C66FF867C}">
                  <a14:compatExt spid="_x0000_s42789"/>
                </a:ext>
                <a:ext uri="{FF2B5EF4-FFF2-40B4-BE49-F238E27FC236}">
                  <a16:creationId xmlns:a16="http://schemas.microsoft.com/office/drawing/2014/main" id="{00000000-0008-0000-0E00-00002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90" name="Check Box 806" hidden="1">
              <a:extLst>
                <a:ext uri="{63B3BB69-23CF-44E3-9099-C40C66FF867C}">
                  <a14:compatExt spid="_x0000_s42790"/>
                </a:ext>
                <a:ext uri="{FF2B5EF4-FFF2-40B4-BE49-F238E27FC236}">
                  <a16:creationId xmlns:a16="http://schemas.microsoft.com/office/drawing/2014/main" id="{00000000-0008-0000-0E00-00002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91" name="Check Box 807" hidden="1">
              <a:extLst>
                <a:ext uri="{63B3BB69-23CF-44E3-9099-C40C66FF867C}">
                  <a14:compatExt spid="_x0000_s42791"/>
                </a:ext>
                <a:ext uri="{FF2B5EF4-FFF2-40B4-BE49-F238E27FC236}">
                  <a16:creationId xmlns:a16="http://schemas.microsoft.com/office/drawing/2014/main" id="{00000000-0008-0000-0E00-00002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92" name="Check Box 808" hidden="1">
              <a:extLst>
                <a:ext uri="{63B3BB69-23CF-44E3-9099-C40C66FF867C}">
                  <a14:compatExt spid="_x0000_s42792"/>
                </a:ext>
                <a:ext uri="{FF2B5EF4-FFF2-40B4-BE49-F238E27FC236}">
                  <a16:creationId xmlns:a16="http://schemas.microsoft.com/office/drawing/2014/main" id="{00000000-0008-0000-0E00-00002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93" name="Check Box 809" hidden="1">
              <a:extLst>
                <a:ext uri="{63B3BB69-23CF-44E3-9099-C40C66FF867C}">
                  <a14:compatExt spid="_x0000_s42793"/>
                </a:ext>
                <a:ext uri="{FF2B5EF4-FFF2-40B4-BE49-F238E27FC236}">
                  <a16:creationId xmlns:a16="http://schemas.microsoft.com/office/drawing/2014/main" id="{00000000-0008-0000-0E00-00002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94" name="Check Box 810" hidden="1">
              <a:extLst>
                <a:ext uri="{63B3BB69-23CF-44E3-9099-C40C66FF867C}">
                  <a14:compatExt spid="_x0000_s42794"/>
                </a:ext>
                <a:ext uri="{FF2B5EF4-FFF2-40B4-BE49-F238E27FC236}">
                  <a16:creationId xmlns:a16="http://schemas.microsoft.com/office/drawing/2014/main" id="{00000000-0008-0000-0E00-00002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795" name="Check Box 811" hidden="1">
              <a:extLst>
                <a:ext uri="{63B3BB69-23CF-44E3-9099-C40C66FF867C}">
                  <a14:compatExt spid="_x0000_s42795"/>
                </a:ext>
                <a:ext uri="{FF2B5EF4-FFF2-40B4-BE49-F238E27FC236}">
                  <a16:creationId xmlns:a16="http://schemas.microsoft.com/office/drawing/2014/main" id="{00000000-0008-0000-0E00-00002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796" name="Check Box 812" hidden="1">
              <a:extLst>
                <a:ext uri="{63B3BB69-23CF-44E3-9099-C40C66FF867C}">
                  <a14:compatExt spid="_x0000_s42796"/>
                </a:ext>
                <a:ext uri="{FF2B5EF4-FFF2-40B4-BE49-F238E27FC236}">
                  <a16:creationId xmlns:a16="http://schemas.microsoft.com/office/drawing/2014/main" id="{00000000-0008-0000-0E00-00002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797" name="Check Box 813" hidden="1">
              <a:extLst>
                <a:ext uri="{63B3BB69-23CF-44E3-9099-C40C66FF867C}">
                  <a14:compatExt spid="_x0000_s42797"/>
                </a:ext>
                <a:ext uri="{FF2B5EF4-FFF2-40B4-BE49-F238E27FC236}">
                  <a16:creationId xmlns:a16="http://schemas.microsoft.com/office/drawing/2014/main" id="{00000000-0008-0000-0E00-00002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798" name="Check Box 814" hidden="1">
              <a:extLst>
                <a:ext uri="{63B3BB69-23CF-44E3-9099-C40C66FF867C}">
                  <a14:compatExt spid="_x0000_s42798"/>
                </a:ext>
                <a:ext uri="{FF2B5EF4-FFF2-40B4-BE49-F238E27FC236}">
                  <a16:creationId xmlns:a16="http://schemas.microsoft.com/office/drawing/2014/main" id="{00000000-0008-0000-0E00-00002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799" name="Check Box 815" hidden="1">
              <a:extLst>
                <a:ext uri="{63B3BB69-23CF-44E3-9099-C40C66FF867C}">
                  <a14:compatExt spid="_x0000_s42799"/>
                </a:ext>
                <a:ext uri="{FF2B5EF4-FFF2-40B4-BE49-F238E27FC236}">
                  <a16:creationId xmlns:a16="http://schemas.microsoft.com/office/drawing/2014/main" id="{00000000-0008-0000-0E00-00002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00" name="Check Box 816" hidden="1">
              <a:extLst>
                <a:ext uri="{63B3BB69-23CF-44E3-9099-C40C66FF867C}">
                  <a14:compatExt spid="_x0000_s42800"/>
                </a:ext>
                <a:ext uri="{FF2B5EF4-FFF2-40B4-BE49-F238E27FC236}">
                  <a16:creationId xmlns:a16="http://schemas.microsoft.com/office/drawing/2014/main" id="{00000000-0008-0000-0E00-00003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801" name="Check Box 817" hidden="1">
              <a:extLst>
                <a:ext uri="{63B3BB69-23CF-44E3-9099-C40C66FF867C}">
                  <a14:compatExt spid="_x0000_s42801"/>
                </a:ext>
                <a:ext uri="{FF2B5EF4-FFF2-40B4-BE49-F238E27FC236}">
                  <a16:creationId xmlns:a16="http://schemas.microsoft.com/office/drawing/2014/main" id="{00000000-0008-0000-0E00-00003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802" name="Check Box 818" hidden="1">
              <a:extLst>
                <a:ext uri="{63B3BB69-23CF-44E3-9099-C40C66FF867C}">
                  <a14:compatExt spid="_x0000_s42802"/>
                </a:ext>
                <a:ext uri="{FF2B5EF4-FFF2-40B4-BE49-F238E27FC236}">
                  <a16:creationId xmlns:a16="http://schemas.microsoft.com/office/drawing/2014/main" id="{00000000-0008-0000-0E00-00003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803" name="Check Box 819" hidden="1">
              <a:extLst>
                <a:ext uri="{63B3BB69-23CF-44E3-9099-C40C66FF867C}">
                  <a14:compatExt spid="_x0000_s42803"/>
                </a:ext>
                <a:ext uri="{FF2B5EF4-FFF2-40B4-BE49-F238E27FC236}">
                  <a16:creationId xmlns:a16="http://schemas.microsoft.com/office/drawing/2014/main" id="{00000000-0008-0000-0E00-00003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04" name="Check Box 820" hidden="1">
              <a:extLst>
                <a:ext uri="{63B3BB69-23CF-44E3-9099-C40C66FF867C}">
                  <a14:compatExt spid="_x0000_s42804"/>
                </a:ext>
                <a:ext uri="{FF2B5EF4-FFF2-40B4-BE49-F238E27FC236}">
                  <a16:creationId xmlns:a16="http://schemas.microsoft.com/office/drawing/2014/main" id="{00000000-0008-0000-0E00-00003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05" name="Check Box 821" hidden="1">
              <a:extLst>
                <a:ext uri="{63B3BB69-23CF-44E3-9099-C40C66FF867C}">
                  <a14:compatExt spid="_x0000_s42805"/>
                </a:ext>
                <a:ext uri="{FF2B5EF4-FFF2-40B4-BE49-F238E27FC236}">
                  <a16:creationId xmlns:a16="http://schemas.microsoft.com/office/drawing/2014/main" id="{00000000-0008-0000-0E00-00003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06" name="Check Box 822" hidden="1">
              <a:extLst>
                <a:ext uri="{63B3BB69-23CF-44E3-9099-C40C66FF867C}">
                  <a14:compatExt spid="_x0000_s42806"/>
                </a:ext>
                <a:ext uri="{FF2B5EF4-FFF2-40B4-BE49-F238E27FC236}">
                  <a16:creationId xmlns:a16="http://schemas.microsoft.com/office/drawing/2014/main" id="{00000000-0008-0000-0E00-00003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07" name="Check Box 823" hidden="1">
              <a:extLst>
                <a:ext uri="{63B3BB69-23CF-44E3-9099-C40C66FF867C}">
                  <a14:compatExt spid="_x0000_s42807"/>
                </a:ext>
                <a:ext uri="{FF2B5EF4-FFF2-40B4-BE49-F238E27FC236}">
                  <a16:creationId xmlns:a16="http://schemas.microsoft.com/office/drawing/2014/main" id="{00000000-0008-0000-0E00-00003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08" name="Check Box 824" hidden="1">
              <a:extLst>
                <a:ext uri="{63B3BB69-23CF-44E3-9099-C40C66FF867C}">
                  <a14:compatExt spid="_x0000_s42808"/>
                </a:ext>
                <a:ext uri="{FF2B5EF4-FFF2-40B4-BE49-F238E27FC236}">
                  <a16:creationId xmlns:a16="http://schemas.microsoft.com/office/drawing/2014/main" id="{00000000-0008-0000-0E00-00003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09" name="Check Box 825" hidden="1">
              <a:extLst>
                <a:ext uri="{63B3BB69-23CF-44E3-9099-C40C66FF867C}">
                  <a14:compatExt spid="_x0000_s42809"/>
                </a:ext>
                <a:ext uri="{FF2B5EF4-FFF2-40B4-BE49-F238E27FC236}">
                  <a16:creationId xmlns:a16="http://schemas.microsoft.com/office/drawing/2014/main" id="{00000000-0008-0000-0E00-00003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10" name="Check Box 826" hidden="1">
              <a:extLst>
                <a:ext uri="{63B3BB69-23CF-44E3-9099-C40C66FF867C}">
                  <a14:compatExt spid="_x0000_s42810"/>
                </a:ext>
                <a:ext uri="{FF2B5EF4-FFF2-40B4-BE49-F238E27FC236}">
                  <a16:creationId xmlns:a16="http://schemas.microsoft.com/office/drawing/2014/main" id="{00000000-0008-0000-0E00-00003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11" name="Check Box 827" hidden="1">
              <a:extLst>
                <a:ext uri="{63B3BB69-23CF-44E3-9099-C40C66FF867C}">
                  <a14:compatExt spid="_x0000_s42811"/>
                </a:ext>
                <a:ext uri="{FF2B5EF4-FFF2-40B4-BE49-F238E27FC236}">
                  <a16:creationId xmlns:a16="http://schemas.microsoft.com/office/drawing/2014/main" id="{00000000-0008-0000-0E00-00003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12" name="Check Box 828" hidden="1">
              <a:extLst>
                <a:ext uri="{63B3BB69-23CF-44E3-9099-C40C66FF867C}">
                  <a14:compatExt spid="_x0000_s42812"/>
                </a:ext>
                <a:ext uri="{FF2B5EF4-FFF2-40B4-BE49-F238E27FC236}">
                  <a16:creationId xmlns:a16="http://schemas.microsoft.com/office/drawing/2014/main" id="{00000000-0008-0000-0E00-00003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13" name="Check Box 829" hidden="1">
              <a:extLst>
                <a:ext uri="{63B3BB69-23CF-44E3-9099-C40C66FF867C}">
                  <a14:compatExt spid="_x0000_s42813"/>
                </a:ext>
                <a:ext uri="{FF2B5EF4-FFF2-40B4-BE49-F238E27FC236}">
                  <a16:creationId xmlns:a16="http://schemas.microsoft.com/office/drawing/2014/main" id="{00000000-0008-0000-0E00-00003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14" name="Check Box 830" hidden="1">
              <a:extLst>
                <a:ext uri="{63B3BB69-23CF-44E3-9099-C40C66FF867C}">
                  <a14:compatExt spid="_x0000_s42814"/>
                </a:ext>
                <a:ext uri="{FF2B5EF4-FFF2-40B4-BE49-F238E27FC236}">
                  <a16:creationId xmlns:a16="http://schemas.microsoft.com/office/drawing/2014/main" id="{00000000-0008-0000-0E00-00003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15" name="Check Box 831" hidden="1">
              <a:extLst>
                <a:ext uri="{63B3BB69-23CF-44E3-9099-C40C66FF867C}">
                  <a14:compatExt spid="_x0000_s42815"/>
                </a:ext>
                <a:ext uri="{FF2B5EF4-FFF2-40B4-BE49-F238E27FC236}">
                  <a16:creationId xmlns:a16="http://schemas.microsoft.com/office/drawing/2014/main" id="{00000000-0008-0000-0E00-00003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16" name="Check Box 832" hidden="1">
              <a:extLst>
                <a:ext uri="{63B3BB69-23CF-44E3-9099-C40C66FF867C}">
                  <a14:compatExt spid="_x0000_s42816"/>
                </a:ext>
                <a:ext uri="{FF2B5EF4-FFF2-40B4-BE49-F238E27FC236}">
                  <a16:creationId xmlns:a16="http://schemas.microsoft.com/office/drawing/2014/main" id="{00000000-0008-0000-0E00-00004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17" name="Check Box 833" hidden="1">
              <a:extLst>
                <a:ext uri="{63B3BB69-23CF-44E3-9099-C40C66FF867C}">
                  <a14:compatExt spid="_x0000_s42817"/>
                </a:ext>
                <a:ext uri="{FF2B5EF4-FFF2-40B4-BE49-F238E27FC236}">
                  <a16:creationId xmlns:a16="http://schemas.microsoft.com/office/drawing/2014/main" id="{00000000-0008-0000-0E00-00004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18" name="Check Box 834" hidden="1">
              <a:extLst>
                <a:ext uri="{63B3BB69-23CF-44E3-9099-C40C66FF867C}">
                  <a14:compatExt spid="_x0000_s42818"/>
                </a:ext>
                <a:ext uri="{FF2B5EF4-FFF2-40B4-BE49-F238E27FC236}">
                  <a16:creationId xmlns:a16="http://schemas.microsoft.com/office/drawing/2014/main" id="{00000000-0008-0000-0E00-00004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19" name="Check Box 835" hidden="1">
              <a:extLst>
                <a:ext uri="{63B3BB69-23CF-44E3-9099-C40C66FF867C}">
                  <a14:compatExt spid="_x0000_s42819"/>
                </a:ext>
                <a:ext uri="{FF2B5EF4-FFF2-40B4-BE49-F238E27FC236}">
                  <a16:creationId xmlns:a16="http://schemas.microsoft.com/office/drawing/2014/main" id="{00000000-0008-0000-0E00-00004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20" name="Check Box 836" hidden="1">
              <a:extLst>
                <a:ext uri="{63B3BB69-23CF-44E3-9099-C40C66FF867C}">
                  <a14:compatExt spid="_x0000_s42820"/>
                </a:ext>
                <a:ext uri="{FF2B5EF4-FFF2-40B4-BE49-F238E27FC236}">
                  <a16:creationId xmlns:a16="http://schemas.microsoft.com/office/drawing/2014/main" id="{00000000-0008-0000-0E00-00004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21" name="Check Box 837" hidden="1">
              <a:extLst>
                <a:ext uri="{63B3BB69-23CF-44E3-9099-C40C66FF867C}">
                  <a14:compatExt spid="_x0000_s42821"/>
                </a:ext>
                <a:ext uri="{FF2B5EF4-FFF2-40B4-BE49-F238E27FC236}">
                  <a16:creationId xmlns:a16="http://schemas.microsoft.com/office/drawing/2014/main" id="{00000000-0008-0000-0E00-00004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22" name="Check Box 838" hidden="1">
              <a:extLst>
                <a:ext uri="{63B3BB69-23CF-44E3-9099-C40C66FF867C}">
                  <a14:compatExt spid="_x0000_s42822"/>
                </a:ext>
                <a:ext uri="{FF2B5EF4-FFF2-40B4-BE49-F238E27FC236}">
                  <a16:creationId xmlns:a16="http://schemas.microsoft.com/office/drawing/2014/main" id="{00000000-0008-0000-0E00-00004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23" name="Check Box 839" hidden="1">
              <a:extLst>
                <a:ext uri="{63B3BB69-23CF-44E3-9099-C40C66FF867C}">
                  <a14:compatExt spid="_x0000_s42823"/>
                </a:ext>
                <a:ext uri="{FF2B5EF4-FFF2-40B4-BE49-F238E27FC236}">
                  <a16:creationId xmlns:a16="http://schemas.microsoft.com/office/drawing/2014/main" id="{00000000-0008-0000-0E00-00004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24" name="Check Box 840" hidden="1">
              <a:extLst>
                <a:ext uri="{63B3BB69-23CF-44E3-9099-C40C66FF867C}">
                  <a14:compatExt spid="_x0000_s42824"/>
                </a:ext>
                <a:ext uri="{FF2B5EF4-FFF2-40B4-BE49-F238E27FC236}">
                  <a16:creationId xmlns:a16="http://schemas.microsoft.com/office/drawing/2014/main" id="{00000000-0008-0000-0E00-00004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25" name="Check Box 841" hidden="1">
              <a:extLst>
                <a:ext uri="{63B3BB69-23CF-44E3-9099-C40C66FF867C}">
                  <a14:compatExt spid="_x0000_s42825"/>
                </a:ext>
                <a:ext uri="{FF2B5EF4-FFF2-40B4-BE49-F238E27FC236}">
                  <a16:creationId xmlns:a16="http://schemas.microsoft.com/office/drawing/2014/main" id="{00000000-0008-0000-0E00-00004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26" name="Check Box 842" hidden="1">
              <a:extLst>
                <a:ext uri="{63B3BB69-23CF-44E3-9099-C40C66FF867C}">
                  <a14:compatExt spid="_x0000_s42826"/>
                </a:ext>
                <a:ext uri="{FF2B5EF4-FFF2-40B4-BE49-F238E27FC236}">
                  <a16:creationId xmlns:a16="http://schemas.microsoft.com/office/drawing/2014/main" id="{00000000-0008-0000-0E00-00004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27" name="Check Box 843" hidden="1">
              <a:extLst>
                <a:ext uri="{63B3BB69-23CF-44E3-9099-C40C66FF867C}">
                  <a14:compatExt spid="_x0000_s42827"/>
                </a:ext>
                <a:ext uri="{FF2B5EF4-FFF2-40B4-BE49-F238E27FC236}">
                  <a16:creationId xmlns:a16="http://schemas.microsoft.com/office/drawing/2014/main" id="{00000000-0008-0000-0E00-00004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28" name="Check Box 844" hidden="1">
              <a:extLst>
                <a:ext uri="{63B3BB69-23CF-44E3-9099-C40C66FF867C}">
                  <a14:compatExt spid="_x0000_s42828"/>
                </a:ext>
                <a:ext uri="{FF2B5EF4-FFF2-40B4-BE49-F238E27FC236}">
                  <a16:creationId xmlns:a16="http://schemas.microsoft.com/office/drawing/2014/main" id="{00000000-0008-0000-0E00-00004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29" name="Check Box 845" hidden="1">
              <a:extLst>
                <a:ext uri="{63B3BB69-23CF-44E3-9099-C40C66FF867C}">
                  <a14:compatExt spid="_x0000_s42829"/>
                </a:ext>
                <a:ext uri="{FF2B5EF4-FFF2-40B4-BE49-F238E27FC236}">
                  <a16:creationId xmlns:a16="http://schemas.microsoft.com/office/drawing/2014/main" id="{00000000-0008-0000-0E00-00004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30" name="Check Box 846" hidden="1">
              <a:extLst>
                <a:ext uri="{63B3BB69-23CF-44E3-9099-C40C66FF867C}">
                  <a14:compatExt spid="_x0000_s42830"/>
                </a:ext>
                <a:ext uri="{FF2B5EF4-FFF2-40B4-BE49-F238E27FC236}">
                  <a16:creationId xmlns:a16="http://schemas.microsoft.com/office/drawing/2014/main" id="{00000000-0008-0000-0E00-00004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31" name="Check Box 847" hidden="1">
              <a:extLst>
                <a:ext uri="{63B3BB69-23CF-44E3-9099-C40C66FF867C}">
                  <a14:compatExt spid="_x0000_s42831"/>
                </a:ext>
                <a:ext uri="{FF2B5EF4-FFF2-40B4-BE49-F238E27FC236}">
                  <a16:creationId xmlns:a16="http://schemas.microsoft.com/office/drawing/2014/main" id="{00000000-0008-0000-0E00-00004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32" name="Check Box 848" hidden="1">
              <a:extLst>
                <a:ext uri="{63B3BB69-23CF-44E3-9099-C40C66FF867C}">
                  <a14:compatExt spid="_x0000_s42832"/>
                </a:ext>
                <a:ext uri="{FF2B5EF4-FFF2-40B4-BE49-F238E27FC236}">
                  <a16:creationId xmlns:a16="http://schemas.microsoft.com/office/drawing/2014/main" id="{00000000-0008-0000-0E00-00005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33" name="Check Box 849" hidden="1">
              <a:extLst>
                <a:ext uri="{63B3BB69-23CF-44E3-9099-C40C66FF867C}">
                  <a14:compatExt spid="_x0000_s42833"/>
                </a:ext>
                <a:ext uri="{FF2B5EF4-FFF2-40B4-BE49-F238E27FC236}">
                  <a16:creationId xmlns:a16="http://schemas.microsoft.com/office/drawing/2014/main" id="{00000000-0008-0000-0E00-00005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34" name="Check Box 850" hidden="1">
              <a:extLst>
                <a:ext uri="{63B3BB69-23CF-44E3-9099-C40C66FF867C}">
                  <a14:compatExt spid="_x0000_s42834"/>
                </a:ext>
                <a:ext uri="{FF2B5EF4-FFF2-40B4-BE49-F238E27FC236}">
                  <a16:creationId xmlns:a16="http://schemas.microsoft.com/office/drawing/2014/main" id="{00000000-0008-0000-0E00-00005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35" name="Check Box 851" hidden="1">
              <a:extLst>
                <a:ext uri="{63B3BB69-23CF-44E3-9099-C40C66FF867C}">
                  <a14:compatExt spid="_x0000_s42835"/>
                </a:ext>
                <a:ext uri="{FF2B5EF4-FFF2-40B4-BE49-F238E27FC236}">
                  <a16:creationId xmlns:a16="http://schemas.microsoft.com/office/drawing/2014/main" id="{00000000-0008-0000-0E00-00005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36" name="Check Box 852" hidden="1">
              <a:extLst>
                <a:ext uri="{63B3BB69-23CF-44E3-9099-C40C66FF867C}">
                  <a14:compatExt spid="_x0000_s42836"/>
                </a:ext>
                <a:ext uri="{FF2B5EF4-FFF2-40B4-BE49-F238E27FC236}">
                  <a16:creationId xmlns:a16="http://schemas.microsoft.com/office/drawing/2014/main" id="{00000000-0008-0000-0E00-00005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37" name="Check Box 853" hidden="1">
              <a:extLst>
                <a:ext uri="{63B3BB69-23CF-44E3-9099-C40C66FF867C}">
                  <a14:compatExt spid="_x0000_s42837"/>
                </a:ext>
                <a:ext uri="{FF2B5EF4-FFF2-40B4-BE49-F238E27FC236}">
                  <a16:creationId xmlns:a16="http://schemas.microsoft.com/office/drawing/2014/main" id="{00000000-0008-0000-0E00-00005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38" name="Check Box 854" hidden="1">
              <a:extLst>
                <a:ext uri="{63B3BB69-23CF-44E3-9099-C40C66FF867C}">
                  <a14:compatExt spid="_x0000_s42838"/>
                </a:ext>
                <a:ext uri="{FF2B5EF4-FFF2-40B4-BE49-F238E27FC236}">
                  <a16:creationId xmlns:a16="http://schemas.microsoft.com/office/drawing/2014/main" id="{00000000-0008-0000-0E00-00005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39" name="Check Box 855" hidden="1">
              <a:extLst>
                <a:ext uri="{63B3BB69-23CF-44E3-9099-C40C66FF867C}">
                  <a14:compatExt spid="_x0000_s42839"/>
                </a:ext>
                <a:ext uri="{FF2B5EF4-FFF2-40B4-BE49-F238E27FC236}">
                  <a16:creationId xmlns:a16="http://schemas.microsoft.com/office/drawing/2014/main" id="{00000000-0008-0000-0E00-00005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40" name="Check Box 856" hidden="1">
              <a:extLst>
                <a:ext uri="{63B3BB69-23CF-44E3-9099-C40C66FF867C}">
                  <a14:compatExt spid="_x0000_s42840"/>
                </a:ext>
                <a:ext uri="{FF2B5EF4-FFF2-40B4-BE49-F238E27FC236}">
                  <a16:creationId xmlns:a16="http://schemas.microsoft.com/office/drawing/2014/main" id="{00000000-0008-0000-0E00-00005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41" name="Check Box 857" hidden="1">
              <a:extLst>
                <a:ext uri="{63B3BB69-23CF-44E3-9099-C40C66FF867C}">
                  <a14:compatExt spid="_x0000_s42841"/>
                </a:ext>
                <a:ext uri="{FF2B5EF4-FFF2-40B4-BE49-F238E27FC236}">
                  <a16:creationId xmlns:a16="http://schemas.microsoft.com/office/drawing/2014/main" id="{00000000-0008-0000-0E00-00005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42" name="Check Box 858" hidden="1">
              <a:extLst>
                <a:ext uri="{63B3BB69-23CF-44E3-9099-C40C66FF867C}">
                  <a14:compatExt spid="_x0000_s42842"/>
                </a:ext>
                <a:ext uri="{FF2B5EF4-FFF2-40B4-BE49-F238E27FC236}">
                  <a16:creationId xmlns:a16="http://schemas.microsoft.com/office/drawing/2014/main" id="{00000000-0008-0000-0E00-00005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43" name="Check Box 859" hidden="1">
              <a:extLst>
                <a:ext uri="{63B3BB69-23CF-44E3-9099-C40C66FF867C}">
                  <a14:compatExt spid="_x0000_s42843"/>
                </a:ext>
                <a:ext uri="{FF2B5EF4-FFF2-40B4-BE49-F238E27FC236}">
                  <a16:creationId xmlns:a16="http://schemas.microsoft.com/office/drawing/2014/main" id="{00000000-0008-0000-0E00-00005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44" name="Check Box 860" hidden="1">
              <a:extLst>
                <a:ext uri="{63B3BB69-23CF-44E3-9099-C40C66FF867C}">
                  <a14:compatExt spid="_x0000_s42844"/>
                </a:ext>
                <a:ext uri="{FF2B5EF4-FFF2-40B4-BE49-F238E27FC236}">
                  <a16:creationId xmlns:a16="http://schemas.microsoft.com/office/drawing/2014/main" id="{00000000-0008-0000-0E00-00005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45" name="Check Box 861" hidden="1">
              <a:extLst>
                <a:ext uri="{63B3BB69-23CF-44E3-9099-C40C66FF867C}">
                  <a14:compatExt spid="_x0000_s42845"/>
                </a:ext>
                <a:ext uri="{FF2B5EF4-FFF2-40B4-BE49-F238E27FC236}">
                  <a16:creationId xmlns:a16="http://schemas.microsoft.com/office/drawing/2014/main" id="{00000000-0008-0000-0E00-00005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46" name="Check Box 862" hidden="1">
              <a:extLst>
                <a:ext uri="{63B3BB69-23CF-44E3-9099-C40C66FF867C}">
                  <a14:compatExt spid="_x0000_s42846"/>
                </a:ext>
                <a:ext uri="{FF2B5EF4-FFF2-40B4-BE49-F238E27FC236}">
                  <a16:creationId xmlns:a16="http://schemas.microsoft.com/office/drawing/2014/main" id="{00000000-0008-0000-0E00-00005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47" name="Check Box 863" hidden="1">
              <a:extLst>
                <a:ext uri="{63B3BB69-23CF-44E3-9099-C40C66FF867C}">
                  <a14:compatExt spid="_x0000_s42847"/>
                </a:ext>
                <a:ext uri="{FF2B5EF4-FFF2-40B4-BE49-F238E27FC236}">
                  <a16:creationId xmlns:a16="http://schemas.microsoft.com/office/drawing/2014/main" id="{00000000-0008-0000-0E00-00005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48" name="Check Box 864" hidden="1">
              <a:extLst>
                <a:ext uri="{63B3BB69-23CF-44E3-9099-C40C66FF867C}">
                  <a14:compatExt spid="_x0000_s42848"/>
                </a:ext>
                <a:ext uri="{FF2B5EF4-FFF2-40B4-BE49-F238E27FC236}">
                  <a16:creationId xmlns:a16="http://schemas.microsoft.com/office/drawing/2014/main" id="{00000000-0008-0000-0E00-00006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49" name="Check Box 865" hidden="1">
              <a:extLst>
                <a:ext uri="{63B3BB69-23CF-44E3-9099-C40C66FF867C}">
                  <a14:compatExt spid="_x0000_s42849"/>
                </a:ext>
                <a:ext uri="{FF2B5EF4-FFF2-40B4-BE49-F238E27FC236}">
                  <a16:creationId xmlns:a16="http://schemas.microsoft.com/office/drawing/2014/main" id="{00000000-0008-0000-0E00-00006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50" name="Check Box 866" hidden="1">
              <a:extLst>
                <a:ext uri="{63B3BB69-23CF-44E3-9099-C40C66FF867C}">
                  <a14:compatExt spid="_x0000_s42850"/>
                </a:ext>
                <a:ext uri="{FF2B5EF4-FFF2-40B4-BE49-F238E27FC236}">
                  <a16:creationId xmlns:a16="http://schemas.microsoft.com/office/drawing/2014/main" id="{00000000-0008-0000-0E00-00006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51" name="Check Box 867" hidden="1">
              <a:extLst>
                <a:ext uri="{63B3BB69-23CF-44E3-9099-C40C66FF867C}">
                  <a14:compatExt spid="_x0000_s42851"/>
                </a:ext>
                <a:ext uri="{FF2B5EF4-FFF2-40B4-BE49-F238E27FC236}">
                  <a16:creationId xmlns:a16="http://schemas.microsoft.com/office/drawing/2014/main" id="{00000000-0008-0000-0E00-00006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852" name="Check Box 868" hidden="1">
              <a:extLst>
                <a:ext uri="{63B3BB69-23CF-44E3-9099-C40C66FF867C}">
                  <a14:compatExt spid="_x0000_s42852"/>
                </a:ext>
                <a:ext uri="{FF2B5EF4-FFF2-40B4-BE49-F238E27FC236}">
                  <a16:creationId xmlns:a16="http://schemas.microsoft.com/office/drawing/2014/main" id="{00000000-0008-0000-0E00-00006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853" name="Check Box 869" hidden="1">
              <a:extLst>
                <a:ext uri="{63B3BB69-23CF-44E3-9099-C40C66FF867C}">
                  <a14:compatExt spid="_x0000_s42853"/>
                </a:ext>
                <a:ext uri="{FF2B5EF4-FFF2-40B4-BE49-F238E27FC236}">
                  <a16:creationId xmlns:a16="http://schemas.microsoft.com/office/drawing/2014/main" id="{00000000-0008-0000-0E00-00006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854" name="Check Box 870" hidden="1">
              <a:extLst>
                <a:ext uri="{63B3BB69-23CF-44E3-9099-C40C66FF867C}">
                  <a14:compatExt spid="_x0000_s42854"/>
                </a:ext>
                <a:ext uri="{FF2B5EF4-FFF2-40B4-BE49-F238E27FC236}">
                  <a16:creationId xmlns:a16="http://schemas.microsoft.com/office/drawing/2014/main" id="{00000000-0008-0000-0E00-00006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855" name="Check Box 871" hidden="1">
              <a:extLst>
                <a:ext uri="{63B3BB69-23CF-44E3-9099-C40C66FF867C}">
                  <a14:compatExt spid="_x0000_s42855"/>
                </a:ext>
                <a:ext uri="{FF2B5EF4-FFF2-40B4-BE49-F238E27FC236}">
                  <a16:creationId xmlns:a16="http://schemas.microsoft.com/office/drawing/2014/main" id="{00000000-0008-0000-0E00-00006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856" name="Check Box 872" hidden="1">
              <a:extLst>
                <a:ext uri="{63B3BB69-23CF-44E3-9099-C40C66FF867C}">
                  <a14:compatExt spid="_x0000_s42856"/>
                </a:ext>
                <a:ext uri="{FF2B5EF4-FFF2-40B4-BE49-F238E27FC236}">
                  <a16:creationId xmlns:a16="http://schemas.microsoft.com/office/drawing/2014/main" id="{00000000-0008-0000-0E00-00006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857" name="Check Box 873" hidden="1">
              <a:extLst>
                <a:ext uri="{63B3BB69-23CF-44E3-9099-C40C66FF867C}">
                  <a14:compatExt spid="_x0000_s42857"/>
                </a:ext>
                <a:ext uri="{FF2B5EF4-FFF2-40B4-BE49-F238E27FC236}">
                  <a16:creationId xmlns:a16="http://schemas.microsoft.com/office/drawing/2014/main" id="{00000000-0008-0000-0E00-00006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864" name="Check Box 880" hidden="1">
              <a:extLst>
                <a:ext uri="{63B3BB69-23CF-44E3-9099-C40C66FF867C}">
                  <a14:compatExt spid="_x0000_s42864"/>
                </a:ext>
                <a:ext uri="{FF2B5EF4-FFF2-40B4-BE49-F238E27FC236}">
                  <a16:creationId xmlns:a16="http://schemas.microsoft.com/office/drawing/2014/main" id="{00000000-0008-0000-0E00-00007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865" name="Check Box 881" hidden="1">
              <a:extLst>
                <a:ext uri="{63B3BB69-23CF-44E3-9099-C40C66FF867C}">
                  <a14:compatExt spid="_x0000_s42865"/>
                </a:ext>
                <a:ext uri="{FF2B5EF4-FFF2-40B4-BE49-F238E27FC236}">
                  <a16:creationId xmlns:a16="http://schemas.microsoft.com/office/drawing/2014/main" id="{00000000-0008-0000-0E00-00007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2866" name="Check Box 882" hidden="1">
              <a:extLst>
                <a:ext uri="{63B3BB69-23CF-44E3-9099-C40C66FF867C}">
                  <a14:compatExt spid="_x0000_s42866"/>
                </a:ext>
                <a:ext uri="{FF2B5EF4-FFF2-40B4-BE49-F238E27FC236}">
                  <a16:creationId xmlns:a16="http://schemas.microsoft.com/office/drawing/2014/main" id="{00000000-0008-0000-0E00-00007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2867" name="Check Box 883" hidden="1">
              <a:extLst>
                <a:ext uri="{63B3BB69-23CF-44E3-9099-C40C66FF867C}">
                  <a14:compatExt spid="_x0000_s42867"/>
                </a:ext>
                <a:ext uri="{FF2B5EF4-FFF2-40B4-BE49-F238E27FC236}">
                  <a16:creationId xmlns:a16="http://schemas.microsoft.com/office/drawing/2014/main" id="{00000000-0008-0000-0E00-00007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2868" name="Check Box 884" hidden="1">
              <a:extLst>
                <a:ext uri="{63B3BB69-23CF-44E3-9099-C40C66FF867C}">
                  <a14:compatExt spid="_x0000_s42868"/>
                </a:ext>
                <a:ext uri="{FF2B5EF4-FFF2-40B4-BE49-F238E27FC236}">
                  <a16:creationId xmlns:a16="http://schemas.microsoft.com/office/drawing/2014/main" id="{00000000-0008-0000-0E00-00007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2869" name="Check Box 885" hidden="1">
              <a:extLst>
                <a:ext uri="{63B3BB69-23CF-44E3-9099-C40C66FF867C}">
                  <a14:compatExt spid="_x0000_s42869"/>
                </a:ext>
                <a:ext uri="{FF2B5EF4-FFF2-40B4-BE49-F238E27FC236}">
                  <a16:creationId xmlns:a16="http://schemas.microsoft.com/office/drawing/2014/main" id="{00000000-0008-0000-0E00-00007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2870" name="Check Box 886" hidden="1">
              <a:extLst>
                <a:ext uri="{63B3BB69-23CF-44E3-9099-C40C66FF867C}">
                  <a14:compatExt spid="_x0000_s42870"/>
                </a:ext>
                <a:ext uri="{FF2B5EF4-FFF2-40B4-BE49-F238E27FC236}">
                  <a16:creationId xmlns:a16="http://schemas.microsoft.com/office/drawing/2014/main" id="{00000000-0008-0000-0E00-00007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871" name="Check Box 887" hidden="1">
              <a:extLst>
                <a:ext uri="{63B3BB69-23CF-44E3-9099-C40C66FF867C}">
                  <a14:compatExt spid="_x0000_s42871"/>
                </a:ext>
                <a:ext uri="{FF2B5EF4-FFF2-40B4-BE49-F238E27FC236}">
                  <a16:creationId xmlns:a16="http://schemas.microsoft.com/office/drawing/2014/main" id="{00000000-0008-0000-0E00-00007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872" name="Check Box 888" hidden="1">
              <a:extLst>
                <a:ext uri="{63B3BB69-23CF-44E3-9099-C40C66FF867C}">
                  <a14:compatExt spid="_x0000_s42872"/>
                </a:ext>
                <a:ext uri="{FF2B5EF4-FFF2-40B4-BE49-F238E27FC236}">
                  <a16:creationId xmlns:a16="http://schemas.microsoft.com/office/drawing/2014/main" id="{00000000-0008-0000-0E00-00007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2873" name="Check Box 889" hidden="1">
              <a:extLst>
                <a:ext uri="{63B3BB69-23CF-44E3-9099-C40C66FF867C}">
                  <a14:compatExt spid="_x0000_s42873"/>
                </a:ext>
                <a:ext uri="{FF2B5EF4-FFF2-40B4-BE49-F238E27FC236}">
                  <a16:creationId xmlns:a16="http://schemas.microsoft.com/office/drawing/2014/main" id="{00000000-0008-0000-0E00-00007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2874" name="Check Box 890" hidden="1">
              <a:extLst>
                <a:ext uri="{63B3BB69-23CF-44E3-9099-C40C66FF867C}">
                  <a14:compatExt spid="_x0000_s42874"/>
                </a:ext>
                <a:ext uri="{FF2B5EF4-FFF2-40B4-BE49-F238E27FC236}">
                  <a16:creationId xmlns:a16="http://schemas.microsoft.com/office/drawing/2014/main" id="{00000000-0008-0000-0E00-00007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2875" name="Check Box 891" hidden="1">
              <a:extLst>
                <a:ext uri="{63B3BB69-23CF-44E3-9099-C40C66FF867C}">
                  <a14:compatExt spid="_x0000_s42875"/>
                </a:ext>
                <a:ext uri="{FF2B5EF4-FFF2-40B4-BE49-F238E27FC236}">
                  <a16:creationId xmlns:a16="http://schemas.microsoft.com/office/drawing/2014/main" id="{00000000-0008-0000-0E00-00007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2876" name="Check Box 892" hidden="1">
              <a:extLst>
                <a:ext uri="{63B3BB69-23CF-44E3-9099-C40C66FF867C}">
                  <a14:compatExt spid="_x0000_s42876"/>
                </a:ext>
                <a:ext uri="{FF2B5EF4-FFF2-40B4-BE49-F238E27FC236}">
                  <a16:creationId xmlns:a16="http://schemas.microsoft.com/office/drawing/2014/main" id="{00000000-0008-0000-0E00-00007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2877" name="Check Box 893" hidden="1">
              <a:extLst>
                <a:ext uri="{63B3BB69-23CF-44E3-9099-C40C66FF867C}">
                  <a14:compatExt spid="_x0000_s42877"/>
                </a:ext>
                <a:ext uri="{FF2B5EF4-FFF2-40B4-BE49-F238E27FC236}">
                  <a16:creationId xmlns:a16="http://schemas.microsoft.com/office/drawing/2014/main" id="{00000000-0008-0000-0E00-00007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878" name="Check Box 894" hidden="1">
              <a:extLst>
                <a:ext uri="{63B3BB69-23CF-44E3-9099-C40C66FF867C}">
                  <a14:compatExt spid="_x0000_s42878"/>
                </a:ext>
                <a:ext uri="{FF2B5EF4-FFF2-40B4-BE49-F238E27FC236}">
                  <a16:creationId xmlns:a16="http://schemas.microsoft.com/office/drawing/2014/main" id="{00000000-0008-0000-0E00-00007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879" name="Check Box 895" hidden="1">
              <a:extLst>
                <a:ext uri="{63B3BB69-23CF-44E3-9099-C40C66FF867C}">
                  <a14:compatExt spid="_x0000_s42879"/>
                </a:ext>
                <a:ext uri="{FF2B5EF4-FFF2-40B4-BE49-F238E27FC236}">
                  <a16:creationId xmlns:a16="http://schemas.microsoft.com/office/drawing/2014/main" id="{00000000-0008-0000-0E00-00007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2880" name="Check Box 896" hidden="1">
              <a:extLst>
                <a:ext uri="{63B3BB69-23CF-44E3-9099-C40C66FF867C}">
                  <a14:compatExt spid="_x0000_s42880"/>
                </a:ext>
                <a:ext uri="{FF2B5EF4-FFF2-40B4-BE49-F238E27FC236}">
                  <a16:creationId xmlns:a16="http://schemas.microsoft.com/office/drawing/2014/main" id="{00000000-0008-0000-0E00-00008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2881" name="Check Box 897" hidden="1">
              <a:extLst>
                <a:ext uri="{63B3BB69-23CF-44E3-9099-C40C66FF867C}">
                  <a14:compatExt spid="_x0000_s42881"/>
                </a:ext>
                <a:ext uri="{FF2B5EF4-FFF2-40B4-BE49-F238E27FC236}">
                  <a16:creationId xmlns:a16="http://schemas.microsoft.com/office/drawing/2014/main" id="{00000000-0008-0000-0E00-00008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2882" name="Check Box 898" hidden="1">
              <a:extLst>
                <a:ext uri="{63B3BB69-23CF-44E3-9099-C40C66FF867C}">
                  <a14:compatExt spid="_x0000_s42882"/>
                </a:ext>
                <a:ext uri="{FF2B5EF4-FFF2-40B4-BE49-F238E27FC236}">
                  <a16:creationId xmlns:a16="http://schemas.microsoft.com/office/drawing/2014/main" id="{00000000-0008-0000-0E00-00008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2883" name="Check Box 899" hidden="1">
              <a:extLst>
                <a:ext uri="{63B3BB69-23CF-44E3-9099-C40C66FF867C}">
                  <a14:compatExt spid="_x0000_s42883"/>
                </a:ext>
                <a:ext uri="{FF2B5EF4-FFF2-40B4-BE49-F238E27FC236}">
                  <a16:creationId xmlns:a16="http://schemas.microsoft.com/office/drawing/2014/main" id="{00000000-0008-0000-0E00-00008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2884" name="Check Box 900" hidden="1">
              <a:extLst>
                <a:ext uri="{63B3BB69-23CF-44E3-9099-C40C66FF867C}">
                  <a14:compatExt spid="_x0000_s42884"/>
                </a:ext>
                <a:ext uri="{FF2B5EF4-FFF2-40B4-BE49-F238E27FC236}">
                  <a16:creationId xmlns:a16="http://schemas.microsoft.com/office/drawing/2014/main" id="{00000000-0008-0000-0E00-00008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2894" name="Check Box 910" hidden="1">
              <a:extLst>
                <a:ext uri="{63B3BB69-23CF-44E3-9099-C40C66FF867C}">
                  <a14:compatExt spid="_x0000_s42894"/>
                </a:ext>
                <a:ext uri="{FF2B5EF4-FFF2-40B4-BE49-F238E27FC236}">
                  <a16:creationId xmlns:a16="http://schemas.microsoft.com/office/drawing/2014/main" id="{00000000-0008-0000-0E00-00008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2895" name="Check Box 911" hidden="1">
              <a:extLst>
                <a:ext uri="{63B3BB69-23CF-44E3-9099-C40C66FF867C}">
                  <a14:compatExt spid="_x0000_s42895"/>
                </a:ext>
                <a:ext uri="{FF2B5EF4-FFF2-40B4-BE49-F238E27FC236}">
                  <a16:creationId xmlns:a16="http://schemas.microsoft.com/office/drawing/2014/main" id="{00000000-0008-0000-0E00-00008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2896" name="Check Box 912" hidden="1">
              <a:extLst>
                <a:ext uri="{63B3BB69-23CF-44E3-9099-C40C66FF867C}">
                  <a14:compatExt spid="_x0000_s42896"/>
                </a:ext>
                <a:ext uri="{FF2B5EF4-FFF2-40B4-BE49-F238E27FC236}">
                  <a16:creationId xmlns:a16="http://schemas.microsoft.com/office/drawing/2014/main" id="{00000000-0008-0000-0E00-00009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2897" name="Check Box 913" hidden="1">
              <a:extLst>
                <a:ext uri="{63B3BB69-23CF-44E3-9099-C40C66FF867C}">
                  <a14:compatExt spid="_x0000_s42897"/>
                </a:ext>
                <a:ext uri="{FF2B5EF4-FFF2-40B4-BE49-F238E27FC236}">
                  <a16:creationId xmlns:a16="http://schemas.microsoft.com/office/drawing/2014/main" id="{00000000-0008-0000-0E00-00009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2898" name="Check Box 914" hidden="1">
              <a:extLst>
                <a:ext uri="{63B3BB69-23CF-44E3-9099-C40C66FF867C}">
                  <a14:compatExt spid="_x0000_s42898"/>
                </a:ext>
                <a:ext uri="{FF2B5EF4-FFF2-40B4-BE49-F238E27FC236}">
                  <a16:creationId xmlns:a16="http://schemas.microsoft.com/office/drawing/2014/main" id="{00000000-0008-0000-0E00-00009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899" name="Check Box 915" hidden="1">
              <a:extLst>
                <a:ext uri="{63B3BB69-23CF-44E3-9099-C40C66FF867C}">
                  <a14:compatExt spid="_x0000_s42899"/>
                </a:ext>
                <a:ext uri="{FF2B5EF4-FFF2-40B4-BE49-F238E27FC236}">
                  <a16:creationId xmlns:a16="http://schemas.microsoft.com/office/drawing/2014/main" id="{00000000-0008-0000-0E00-00009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00" name="Check Box 916" hidden="1">
              <a:extLst>
                <a:ext uri="{63B3BB69-23CF-44E3-9099-C40C66FF867C}">
                  <a14:compatExt spid="_x0000_s42900"/>
                </a:ext>
                <a:ext uri="{FF2B5EF4-FFF2-40B4-BE49-F238E27FC236}">
                  <a16:creationId xmlns:a16="http://schemas.microsoft.com/office/drawing/2014/main" id="{00000000-0008-0000-0E00-00009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01" name="Check Box 917" hidden="1">
              <a:extLst>
                <a:ext uri="{63B3BB69-23CF-44E3-9099-C40C66FF867C}">
                  <a14:compatExt spid="_x0000_s42901"/>
                </a:ext>
                <a:ext uri="{FF2B5EF4-FFF2-40B4-BE49-F238E27FC236}">
                  <a16:creationId xmlns:a16="http://schemas.microsoft.com/office/drawing/2014/main" id="{00000000-0008-0000-0E00-00009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02" name="Check Box 918" hidden="1">
              <a:extLst>
                <a:ext uri="{63B3BB69-23CF-44E3-9099-C40C66FF867C}">
                  <a14:compatExt spid="_x0000_s42902"/>
                </a:ext>
                <a:ext uri="{FF2B5EF4-FFF2-40B4-BE49-F238E27FC236}">
                  <a16:creationId xmlns:a16="http://schemas.microsoft.com/office/drawing/2014/main" id="{00000000-0008-0000-0E00-00009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03" name="Check Box 919" hidden="1">
              <a:extLst>
                <a:ext uri="{63B3BB69-23CF-44E3-9099-C40C66FF867C}">
                  <a14:compatExt spid="_x0000_s42903"/>
                </a:ext>
                <a:ext uri="{FF2B5EF4-FFF2-40B4-BE49-F238E27FC236}">
                  <a16:creationId xmlns:a16="http://schemas.microsoft.com/office/drawing/2014/main" id="{00000000-0008-0000-0E00-00009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2904" name="Check Box 920" hidden="1">
              <a:extLst>
                <a:ext uri="{63B3BB69-23CF-44E3-9099-C40C66FF867C}">
                  <a14:compatExt spid="_x0000_s42904"/>
                </a:ext>
                <a:ext uri="{FF2B5EF4-FFF2-40B4-BE49-F238E27FC236}">
                  <a16:creationId xmlns:a16="http://schemas.microsoft.com/office/drawing/2014/main" id="{00000000-0008-0000-0E00-00009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2905" name="Check Box 921" hidden="1">
              <a:extLst>
                <a:ext uri="{63B3BB69-23CF-44E3-9099-C40C66FF867C}">
                  <a14:compatExt spid="_x0000_s42905"/>
                </a:ext>
                <a:ext uri="{FF2B5EF4-FFF2-40B4-BE49-F238E27FC236}">
                  <a16:creationId xmlns:a16="http://schemas.microsoft.com/office/drawing/2014/main" id="{00000000-0008-0000-0E00-00009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2906" name="Check Box 922" hidden="1">
              <a:extLst>
                <a:ext uri="{63B3BB69-23CF-44E3-9099-C40C66FF867C}">
                  <a14:compatExt spid="_x0000_s42906"/>
                </a:ext>
                <a:ext uri="{FF2B5EF4-FFF2-40B4-BE49-F238E27FC236}">
                  <a16:creationId xmlns:a16="http://schemas.microsoft.com/office/drawing/2014/main" id="{00000000-0008-0000-0E00-00009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2907" name="Check Box 923" hidden="1">
              <a:extLst>
                <a:ext uri="{63B3BB69-23CF-44E3-9099-C40C66FF867C}">
                  <a14:compatExt spid="_x0000_s42907"/>
                </a:ext>
                <a:ext uri="{FF2B5EF4-FFF2-40B4-BE49-F238E27FC236}">
                  <a16:creationId xmlns:a16="http://schemas.microsoft.com/office/drawing/2014/main" id="{00000000-0008-0000-0E00-00009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2908" name="Check Box 924" hidden="1">
              <a:extLst>
                <a:ext uri="{63B3BB69-23CF-44E3-9099-C40C66FF867C}">
                  <a14:compatExt spid="_x0000_s42908"/>
                </a:ext>
                <a:ext uri="{FF2B5EF4-FFF2-40B4-BE49-F238E27FC236}">
                  <a16:creationId xmlns:a16="http://schemas.microsoft.com/office/drawing/2014/main" id="{00000000-0008-0000-0E00-00009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80</xdr:row>
          <xdr:rowOff>28575</xdr:rowOff>
        </xdr:from>
        <xdr:to>
          <xdr:col>5</xdr:col>
          <xdr:colOff>447675</xdr:colOff>
          <xdr:row>81</xdr:row>
          <xdr:rowOff>0</xdr:rowOff>
        </xdr:to>
        <xdr:sp macro="" textlink="">
          <xdr:nvSpPr>
            <xdr:cNvPr id="42909" name="Check Box 925" hidden="1">
              <a:extLst>
                <a:ext uri="{63B3BB69-23CF-44E3-9099-C40C66FF867C}">
                  <a14:compatExt spid="_x0000_s42909"/>
                </a:ext>
                <a:ext uri="{FF2B5EF4-FFF2-40B4-BE49-F238E27FC236}">
                  <a16:creationId xmlns:a16="http://schemas.microsoft.com/office/drawing/2014/main" id="{00000000-0008-0000-0E00-00009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80</xdr:row>
          <xdr:rowOff>28575</xdr:rowOff>
        </xdr:from>
        <xdr:to>
          <xdr:col>6</xdr:col>
          <xdr:colOff>419100</xdr:colOff>
          <xdr:row>81</xdr:row>
          <xdr:rowOff>0</xdr:rowOff>
        </xdr:to>
        <xdr:sp macro="" textlink="">
          <xdr:nvSpPr>
            <xdr:cNvPr id="42915" name="Check Box 931" hidden="1">
              <a:extLst>
                <a:ext uri="{63B3BB69-23CF-44E3-9099-C40C66FF867C}">
                  <a14:compatExt spid="_x0000_s42915"/>
                </a:ext>
                <a:ext uri="{FF2B5EF4-FFF2-40B4-BE49-F238E27FC236}">
                  <a16:creationId xmlns:a16="http://schemas.microsoft.com/office/drawing/2014/main" id="{00000000-0008-0000-0E00-0000A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16" name="Check Box 932" hidden="1">
              <a:extLst>
                <a:ext uri="{63B3BB69-23CF-44E3-9099-C40C66FF867C}">
                  <a14:compatExt spid="_x0000_s42916"/>
                </a:ext>
                <a:ext uri="{FF2B5EF4-FFF2-40B4-BE49-F238E27FC236}">
                  <a16:creationId xmlns:a16="http://schemas.microsoft.com/office/drawing/2014/main" id="{00000000-0008-0000-0E00-0000A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17" name="Check Box 933" hidden="1">
              <a:extLst>
                <a:ext uri="{63B3BB69-23CF-44E3-9099-C40C66FF867C}">
                  <a14:compatExt spid="_x0000_s42917"/>
                </a:ext>
                <a:ext uri="{FF2B5EF4-FFF2-40B4-BE49-F238E27FC236}">
                  <a16:creationId xmlns:a16="http://schemas.microsoft.com/office/drawing/2014/main" id="{00000000-0008-0000-0E00-0000A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18" name="Check Box 934" hidden="1">
              <a:extLst>
                <a:ext uri="{63B3BB69-23CF-44E3-9099-C40C66FF867C}">
                  <a14:compatExt spid="_x0000_s42918"/>
                </a:ext>
                <a:ext uri="{FF2B5EF4-FFF2-40B4-BE49-F238E27FC236}">
                  <a16:creationId xmlns:a16="http://schemas.microsoft.com/office/drawing/2014/main" id="{00000000-0008-0000-0E00-0000A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19" name="Check Box 935" hidden="1">
              <a:extLst>
                <a:ext uri="{63B3BB69-23CF-44E3-9099-C40C66FF867C}">
                  <a14:compatExt spid="_x0000_s42919"/>
                </a:ext>
                <a:ext uri="{FF2B5EF4-FFF2-40B4-BE49-F238E27FC236}">
                  <a16:creationId xmlns:a16="http://schemas.microsoft.com/office/drawing/2014/main" id="{00000000-0008-0000-0E00-0000A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20" name="Check Box 936" hidden="1">
              <a:extLst>
                <a:ext uri="{63B3BB69-23CF-44E3-9099-C40C66FF867C}">
                  <a14:compatExt spid="_x0000_s42920"/>
                </a:ext>
                <a:ext uri="{FF2B5EF4-FFF2-40B4-BE49-F238E27FC236}">
                  <a16:creationId xmlns:a16="http://schemas.microsoft.com/office/drawing/2014/main" id="{00000000-0008-0000-0E00-0000A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2921" name="Check Box 937" hidden="1">
              <a:extLst>
                <a:ext uri="{63B3BB69-23CF-44E3-9099-C40C66FF867C}">
                  <a14:compatExt spid="_x0000_s42921"/>
                </a:ext>
                <a:ext uri="{FF2B5EF4-FFF2-40B4-BE49-F238E27FC236}">
                  <a16:creationId xmlns:a16="http://schemas.microsoft.com/office/drawing/2014/main" id="{00000000-0008-0000-0E00-0000A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2922" name="Check Box 938" hidden="1">
              <a:extLst>
                <a:ext uri="{63B3BB69-23CF-44E3-9099-C40C66FF867C}">
                  <a14:compatExt spid="_x0000_s42922"/>
                </a:ext>
                <a:ext uri="{FF2B5EF4-FFF2-40B4-BE49-F238E27FC236}">
                  <a16:creationId xmlns:a16="http://schemas.microsoft.com/office/drawing/2014/main" id="{00000000-0008-0000-0E00-0000A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2923" name="Check Box 939" hidden="1">
              <a:extLst>
                <a:ext uri="{63B3BB69-23CF-44E3-9099-C40C66FF867C}">
                  <a14:compatExt spid="_x0000_s42923"/>
                </a:ext>
                <a:ext uri="{FF2B5EF4-FFF2-40B4-BE49-F238E27FC236}">
                  <a16:creationId xmlns:a16="http://schemas.microsoft.com/office/drawing/2014/main" id="{00000000-0008-0000-0E00-0000A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2924" name="Check Box 940" hidden="1">
              <a:extLst>
                <a:ext uri="{63B3BB69-23CF-44E3-9099-C40C66FF867C}">
                  <a14:compatExt spid="_x0000_s42924"/>
                </a:ext>
                <a:ext uri="{FF2B5EF4-FFF2-40B4-BE49-F238E27FC236}">
                  <a16:creationId xmlns:a16="http://schemas.microsoft.com/office/drawing/2014/main" id="{00000000-0008-0000-0E00-0000A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2925" name="Check Box 941" hidden="1">
              <a:extLst>
                <a:ext uri="{63B3BB69-23CF-44E3-9099-C40C66FF867C}">
                  <a14:compatExt spid="_x0000_s42925"/>
                </a:ext>
                <a:ext uri="{FF2B5EF4-FFF2-40B4-BE49-F238E27FC236}">
                  <a16:creationId xmlns:a16="http://schemas.microsoft.com/office/drawing/2014/main" id="{00000000-0008-0000-0E00-0000A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2926" name="Check Box 942" hidden="1">
              <a:extLst>
                <a:ext uri="{63B3BB69-23CF-44E3-9099-C40C66FF867C}">
                  <a14:compatExt spid="_x0000_s42926"/>
                </a:ext>
                <a:ext uri="{FF2B5EF4-FFF2-40B4-BE49-F238E27FC236}">
                  <a16:creationId xmlns:a16="http://schemas.microsoft.com/office/drawing/2014/main" id="{00000000-0008-0000-0E00-0000A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2927" name="Check Box 943" hidden="1">
              <a:extLst>
                <a:ext uri="{63B3BB69-23CF-44E3-9099-C40C66FF867C}">
                  <a14:compatExt spid="_x0000_s42927"/>
                </a:ext>
                <a:ext uri="{FF2B5EF4-FFF2-40B4-BE49-F238E27FC236}">
                  <a16:creationId xmlns:a16="http://schemas.microsoft.com/office/drawing/2014/main" id="{00000000-0008-0000-0E00-0000A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2928" name="Check Box 944" hidden="1">
              <a:extLst>
                <a:ext uri="{63B3BB69-23CF-44E3-9099-C40C66FF867C}">
                  <a14:compatExt spid="_x0000_s42928"/>
                </a:ext>
                <a:ext uri="{FF2B5EF4-FFF2-40B4-BE49-F238E27FC236}">
                  <a16:creationId xmlns:a16="http://schemas.microsoft.com/office/drawing/2014/main" id="{00000000-0008-0000-0E00-0000B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2929" name="Check Box 945" hidden="1">
              <a:extLst>
                <a:ext uri="{63B3BB69-23CF-44E3-9099-C40C66FF867C}">
                  <a14:compatExt spid="_x0000_s42929"/>
                </a:ext>
                <a:ext uri="{FF2B5EF4-FFF2-40B4-BE49-F238E27FC236}">
                  <a16:creationId xmlns:a16="http://schemas.microsoft.com/office/drawing/2014/main" id="{00000000-0008-0000-0E00-0000B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2930" name="Check Box 946" hidden="1">
              <a:extLst>
                <a:ext uri="{63B3BB69-23CF-44E3-9099-C40C66FF867C}">
                  <a14:compatExt spid="_x0000_s42930"/>
                </a:ext>
                <a:ext uri="{FF2B5EF4-FFF2-40B4-BE49-F238E27FC236}">
                  <a16:creationId xmlns:a16="http://schemas.microsoft.com/office/drawing/2014/main" id="{00000000-0008-0000-0E00-0000B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2931" name="Check Box 947" hidden="1">
              <a:extLst>
                <a:ext uri="{63B3BB69-23CF-44E3-9099-C40C66FF867C}">
                  <a14:compatExt spid="_x0000_s42931"/>
                </a:ext>
                <a:ext uri="{FF2B5EF4-FFF2-40B4-BE49-F238E27FC236}">
                  <a16:creationId xmlns:a16="http://schemas.microsoft.com/office/drawing/2014/main" id="{00000000-0008-0000-0E00-0000B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2932" name="Check Box 948" hidden="1">
              <a:extLst>
                <a:ext uri="{63B3BB69-23CF-44E3-9099-C40C66FF867C}">
                  <a14:compatExt spid="_x0000_s42932"/>
                </a:ext>
                <a:ext uri="{FF2B5EF4-FFF2-40B4-BE49-F238E27FC236}">
                  <a16:creationId xmlns:a16="http://schemas.microsoft.com/office/drawing/2014/main" id="{00000000-0008-0000-0E00-0000B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66</xdr:row>
          <xdr:rowOff>28575</xdr:rowOff>
        </xdr:from>
        <xdr:to>
          <xdr:col>5</xdr:col>
          <xdr:colOff>447675</xdr:colOff>
          <xdr:row>67</xdr:row>
          <xdr:rowOff>0</xdr:rowOff>
        </xdr:to>
        <xdr:sp macro="" textlink="">
          <xdr:nvSpPr>
            <xdr:cNvPr id="42933" name="Check Box 949" hidden="1">
              <a:extLst>
                <a:ext uri="{63B3BB69-23CF-44E3-9099-C40C66FF867C}">
                  <a14:compatExt spid="_x0000_s42933"/>
                </a:ext>
                <a:ext uri="{FF2B5EF4-FFF2-40B4-BE49-F238E27FC236}">
                  <a16:creationId xmlns:a16="http://schemas.microsoft.com/office/drawing/2014/main" id="{00000000-0008-0000-0E00-0000B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66</xdr:row>
          <xdr:rowOff>28575</xdr:rowOff>
        </xdr:from>
        <xdr:to>
          <xdr:col>6</xdr:col>
          <xdr:colOff>419100</xdr:colOff>
          <xdr:row>67</xdr:row>
          <xdr:rowOff>0</xdr:rowOff>
        </xdr:to>
        <xdr:sp macro="" textlink="">
          <xdr:nvSpPr>
            <xdr:cNvPr id="42934" name="Check Box 950" hidden="1">
              <a:extLst>
                <a:ext uri="{63B3BB69-23CF-44E3-9099-C40C66FF867C}">
                  <a14:compatExt spid="_x0000_s42934"/>
                </a:ext>
                <a:ext uri="{FF2B5EF4-FFF2-40B4-BE49-F238E27FC236}">
                  <a16:creationId xmlns:a16="http://schemas.microsoft.com/office/drawing/2014/main" id="{00000000-0008-0000-0E00-0000B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66</xdr:row>
          <xdr:rowOff>28575</xdr:rowOff>
        </xdr:from>
        <xdr:to>
          <xdr:col>7</xdr:col>
          <xdr:colOff>419100</xdr:colOff>
          <xdr:row>67</xdr:row>
          <xdr:rowOff>0</xdr:rowOff>
        </xdr:to>
        <xdr:sp macro="" textlink="">
          <xdr:nvSpPr>
            <xdr:cNvPr id="42935" name="Check Box 951" hidden="1">
              <a:extLst>
                <a:ext uri="{63B3BB69-23CF-44E3-9099-C40C66FF867C}">
                  <a14:compatExt spid="_x0000_s42935"/>
                </a:ext>
                <a:ext uri="{FF2B5EF4-FFF2-40B4-BE49-F238E27FC236}">
                  <a16:creationId xmlns:a16="http://schemas.microsoft.com/office/drawing/2014/main" id="{00000000-0008-0000-0E00-0000B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66</xdr:row>
          <xdr:rowOff>28575</xdr:rowOff>
        </xdr:from>
        <xdr:to>
          <xdr:col>5</xdr:col>
          <xdr:colOff>447675</xdr:colOff>
          <xdr:row>67</xdr:row>
          <xdr:rowOff>0</xdr:rowOff>
        </xdr:to>
        <xdr:sp macro="" textlink="">
          <xdr:nvSpPr>
            <xdr:cNvPr id="42936" name="Check Box 952" hidden="1">
              <a:extLst>
                <a:ext uri="{63B3BB69-23CF-44E3-9099-C40C66FF867C}">
                  <a14:compatExt spid="_x0000_s42936"/>
                </a:ext>
                <a:ext uri="{FF2B5EF4-FFF2-40B4-BE49-F238E27FC236}">
                  <a16:creationId xmlns:a16="http://schemas.microsoft.com/office/drawing/2014/main" id="{00000000-0008-0000-0E00-0000B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66</xdr:row>
          <xdr:rowOff>28575</xdr:rowOff>
        </xdr:from>
        <xdr:to>
          <xdr:col>6</xdr:col>
          <xdr:colOff>419100</xdr:colOff>
          <xdr:row>67</xdr:row>
          <xdr:rowOff>0</xdr:rowOff>
        </xdr:to>
        <xdr:sp macro="" textlink="">
          <xdr:nvSpPr>
            <xdr:cNvPr id="42937" name="Check Box 953" hidden="1">
              <a:extLst>
                <a:ext uri="{63B3BB69-23CF-44E3-9099-C40C66FF867C}">
                  <a14:compatExt spid="_x0000_s42937"/>
                </a:ext>
                <a:ext uri="{FF2B5EF4-FFF2-40B4-BE49-F238E27FC236}">
                  <a16:creationId xmlns:a16="http://schemas.microsoft.com/office/drawing/2014/main" id="{00000000-0008-0000-0E00-0000B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66</xdr:row>
          <xdr:rowOff>28575</xdr:rowOff>
        </xdr:from>
        <xdr:to>
          <xdr:col>7</xdr:col>
          <xdr:colOff>419100</xdr:colOff>
          <xdr:row>67</xdr:row>
          <xdr:rowOff>0</xdr:rowOff>
        </xdr:to>
        <xdr:sp macro="" textlink="">
          <xdr:nvSpPr>
            <xdr:cNvPr id="42938" name="Check Box 954" hidden="1">
              <a:extLst>
                <a:ext uri="{63B3BB69-23CF-44E3-9099-C40C66FF867C}">
                  <a14:compatExt spid="_x0000_s42938"/>
                </a:ext>
                <a:ext uri="{FF2B5EF4-FFF2-40B4-BE49-F238E27FC236}">
                  <a16:creationId xmlns:a16="http://schemas.microsoft.com/office/drawing/2014/main" id="{00000000-0008-0000-0E00-0000B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67</xdr:row>
          <xdr:rowOff>28575</xdr:rowOff>
        </xdr:from>
        <xdr:to>
          <xdr:col>5</xdr:col>
          <xdr:colOff>447675</xdr:colOff>
          <xdr:row>68</xdr:row>
          <xdr:rowOff>0</xdr:rowOff>
        </xdr:to>
        <xdr:sp macro="" textlink="">
          <xdr:nvSpPr>
            <xdr:cNvPr id="42939" name="Check Box 955" hidden="1">
              <a:extLst>
                <a:ext uri="{63B3BB69-23CF-44E3-9099-C40C66FF867C}">
                  <a14:compatExt spid="_x0000_s42939"/>
                </a:ext>
                <a:ext uri="{FF2B5EF4-FFF2-40B4-BE49-F238E27FC236}">
                  <a16:creationId xmlns:a16="http://schemas.microsoft.com/office/drawing/2014/main" id="{00000000-0008-0000-0E00-0000B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67</xdr:row>
          <xdr:rowOff>28575</xdr:rowOff>
        </xdr:from>
        <xdr:to>
          <xdr:col>6</xdr:col>
          <xdr:colOff>419100</xdr:colOff>
          <xdr:row>68</xdr:row>
          <xdr:rowOff>0</xdr:rowOff>
        </xdr:to>
        <xdr:sp macro="" textlink="">
          <xdr:nvSpPr>
            <xdr:cNvPr id="42940" name="Check Box 956" hidden="1">
              <a:extLst>
                <a:ext uri="{63B3BB69-23CF-44E3-9099-C40C66FF867C}">
                  <a14:compatExt spid="_x0000_s42940"/>
                </a:ext>
                <a:ext uri="{FF2B5EF4-FFF2-40B4-BE49-F238E27FC236}">
                  <a16:creationId xmlns:a16="http://schemas.microsoft.com/office/drawing/2014/main" id="{00000000-0008-0000-0E00-0000B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67</xdr:row>
          <xdr:rowOff>28575</xdr:rowOff>
        </xdr:from>
        <xdr:to>
          <xdr:col>7</xdr:col>
          <xdr:colOff>419100</xdr:colOff>
          <xdr:row>68</xdr:row>
          <xdr:rowOff>0</xdr:rowOff>
        </xdr:to>
        <xdr:sp macro="" textlink="">
          <xdr:nvSpPr>
            <xdr:cNvPr id="42941" name="Check Box 957" hidden="1">
              <a:extLst>
                <a:ext uri="{63B3BB69-23CF-44E3-9099-C40C66FF867C}">
                  <a14:compatExt spid="_x0000_s42941"/>
                </a:ext>
                <a:ext uri="{FF2B5EF4-FFF2-40B4-BE49-F238E27FC236}">
                  <a16:creationId xmlns:a16="http://schemas.microsoft.com/office/drawing/2014/main" id="{00000000-0008-0000-0E00-0000B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67</xdr:row>
          <xdr:rowOff>28575</xdr:rowOff>
        </xdr:from>
        <xdr:to>
          <xdr:col>5</xdr:col>
          <xdr:colOff>447675</xdr:colOff>
          <xdr:row>68</xdr:row>
          <xdr:rowOff>0</xdr:rowOff>
        </xdr:to>
        <xdr:sp macro="" textlink="">
          <xdr:nvSpPr>
            <xdr:cNvPr id="42942" name="Check Box 958" hidden="1">
              <a:extLst>
                <a:ext uri="{63B3BB69-23CF-44E3-9099-C40C66FF867C}">
                  <a14:compatExt spid="_x0000_s42942"/>
                </a:ext>
                <a:ext uri="{FF2B5EF4-FFF2-40B4-BE49-F238E27FC236}">
                  <a16:creationId xmlns:a16="http://schemas.microsoft.com/office/drawing/2014/main" id="{00000000-0008-0000-0E00-0000B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67</xdr:row>
          <xdr:rowOff>28575</xdr:rowOff>
        </xdr:from>
        <xdr:to>
          <xdr:col>6</xdr:col>
          <xdr:colOff>419100</xdr:colOff>
          <xdr:row>68</xdr:row>
          <xdr:rowOff>0</xdr:rowOff>
        </xdr:to>
        <xdr:sp macro="" textlink="">
          <xdr:nvSpPr>
            <xdr:cNvPr id="42943" name="Check Box 959" hidden="1">
              <a:extLst>
                <a:ext uri="{63B3BB69-23CF-44E3-9099-C40C66FF867C}">
                  <a14:compatExt spid="_x0000_s42943"/>
                </a:ext>
                <a:ext uri="{FF2B5EF4-FFF2-40B4-BE49-F238E27FC236}">
                  <a16:creationId xmlns:a16="http://schemas.microsoft.com/office/drawing/2014/main" id="{00000000-0008-0000-0E00-0000B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67</xdr:row>
          <xdr:rowOff>28575</xdr:rowOff>
        </xdr:from>
        <xdr:to>
          <xdr:col>7</xdr:col>
          <xdr:colOff>419100</xdr:colOff>
          <xdr:row>68</xdr:row>
          <xdr:rowOff>0</xdr:rowOff>
        </xdr:to>
        <xdr:sp macro="" textlink="">
          <xdr:nvSpPr>
            <xdr:cNvPr id="42944" name="Check Box 960" hidden="1">
              <a:extLst>
                <a:ext uri="{63B3BB69-23CF-44E3-9099-C40C66FF867C}">
                  <a14:compatExt spid="_x0000_s42944"/>
                </a:ext>
                <a:ext uri="{FF2B5EF4-FFF2-40B4-BE49-F238E27FC236}">
                  <a16:creationId xmlns:a16="http://schemas.microsoft.com/office/drawing/2014/main" id="{00000000-0008-0000-0E00-0000C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68</xdr:row>
          <xdr:rowOff>28575</xdr:rowOff>
        </xdr:from>
        <xdr:to>
          <xdr:col>5</xdr:col>
          <xdr:colOff>447675</xdr:colOff>
          <xdr:row>69</xdr:row>
          <xdr:rowOff>0</xdr:rowOff>
        </xdr:to>
        <xdr:sp macro="" textlink="">
          <xdr:nvSpPr>
            <xdr:cNvPr id="42945" name="Check Box 961" hidden="1">
              <a:extLst>
                <a:ext uri="{63B3BB69-23CF-44E3-9099-C40C66FF867C}">
                  <a14:compatExt spid="_x0000_s42945"/>
                </a:ext>
                <a:ext uri="{FF2B5EF4-FFF2-40B4-BE49-F238E27FC236}">
                  <a16:creationId xmlns:a16="http://schemas.microsoft.com/office/drawing/2014/main" id="{00000000-0008-0000-0E00-0000C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68</xdr:row>
          <xdr:rowOff>28575</xdr:rowOff>
        </xdr:from>
        <xdr:to>
          <xdr:col>6</xdr:col>
          <xdr:colOff>419100</xdr:colOff>
          <xdr:row>69</xdr:row>
          <xdr:rowOff>0</xdr:rowOff>
        </xdr:to>
        <xdr:sp macro="" textlink="">
          <xdr:nvSpPr>
            <xdr:cNvPr id="42946" name="Check Box 962" hidden="1">
              <a:extLst>
                <a:ext uri="{63B3BB69-23CF-44E3-9099-C40C66FF867C}">
                  <a14:compatExt spid="_x0000_s42946"/>
                </a:ext>
                <a:ext uri="{FF2B5EF4-FFF2-40B4-BE49-F238E27FC236}">
                  <a16:creationId xmlns:a16="http://schemas.microsoft.com/office/drawing/2014/main" id="{00000000-0008-0000-0E00-0000C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68</xdr:row>
          <xdr:rowOff>28575</xdr:rowOff>
        </xdr:from>
        <xdr:to>
          <xdr:col>7</xdr:col>
          <xdr:colOff>419100</xdr:colOff>
          <xdr:row>69</xdr:row>
          <xdr:rowOff>0</xdr:rowOff>
        </xdr:to>
        <xdr:sp macro="" textlink="">
          <xdr:nvSpPr>
            <xdr:cNvPr id="42947" name="Check Box 963" hidden="1">
              <a:extLst>
                <a:ext uri="{63B3BB69-23CF-44E3-9099-C40C66FF867C}">
                  <a14:compatExt spid="_x0000_s42947"/>
                </a:ext>
                <a:ext uri="{FF2B5EF4-FFF2-40B4-BE49-F238E27FC236}">
                  <a16:creationId xmlns:a16="http://schemas.microsoft.com/office/drawing/2014/main" id="{00000000-0008-0000-0E00-0000C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68</xdr:row>
          <xdr:rowOff>28575</xdr:rowOff>
        </xdr:from>
        <xdr:to>
          <xdr:col>5</xdr:col>
          <xdr:colOff>447675</xdr:colOff>
          <xdr:row>69</xdr:row>
          <xdr:rowOff>0</xdr:rowOff>
        </xdr:to>
        <xdr:sp macro="" textlink="">
          <xdr:nvSpPr>
            <xdr:cNvPr id="42948" name="Check Box 964" hidden="1">
              <a:extLst>
                <a:ext uri="{63B3BB69-23CF-44E3-9099-C40C66FF867C}">
                  <a14:compatExt spid="_x0000_s42948"/>
                </a:ext>
                <a:ext uri="{FF2B5EF4-FFF2-40B4-BE49-F238E27FC236}">
                  <a16:creationId xmlns:a16="http://schemas.microsoft.com/office/drawing/2014/main" id="{00000000-0008-0000-0E00-0000C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68</xdr:row>
          <xdr:rowOff>28575</xdr:rowOff>
        </xdr:from>
        <xdr:to>
          <xdr:col>6</xdr:col>
          <xdr:colOff>419100</xdr:colOff>
          <xdr:row>69</xdr:row>
          <xdr:rowOff>0</xdr:rowOff>
        </xdr:to>
        <xdr:sp macro="" textlink="">
          <xdr:nvSpPr>
            <xdr:cNvPr id="42949" name="Check Box 965" hidden="1">
              <a:extLst>
                <a:ext uri="{63B3BB69-23CF-44E3-9099-C40C66FF867C}">
                  <a14:compatExt spid="_x0000_s42949"/>
                </a:ext>
                <a:ext uri="{FF2B5EF4-FFF2-40B4-BE49-F238E27FC236}">
                  <a16:creationId xmlns:a16="http://schemas.microsoft.com/office/drawing/2014/main" id="{00000000-0008-0000-0E00-0000C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68</xdr:row>
          <xdr:rowOff>28575</xdr:rowOff>
        </xdr:from>
        <xdr:to>
          <xdr:col>7</xdr:col>
          <xdr:colOff>419100</xdr:colOff>
          <xdr:row>69</xdr:row>
          <xdr:rowOff>0</xdr:rowOff>
        </xdr:to>
        <xdr:sp macro="" textlink="">
          <xdr:nvSpPr>
            <xdr:cNvPr id="42950" name="Check Box 966" hidden="1">
              <a:extLst>
                <a:ext uri="{63B3BB69-23CF-44E3-9099-C40C66FF867C}">
                  <a14:compatExt spid="_x0000_s42950"/>
                </a:ext>
                <a:ext uri="{FF2B5EF4-FFF2-40B4-BE49-F238E27FC236}">
                  <a16:creationId xmlns:a16="http://schemas.microsoft.com/office/drawing/2014/main" id="{00000000-0008-0000-0E00-0000C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69</xdr:row>
          <xdr:rowOff>28575</xdr:rowOff>
        </xdr:from>
        <xdr:to>
          <xdr:col>5</xdr:col>
          <xdr:colOff>447675</xdr:colOff>
          <xdr:row>70</xdr:row>
          <xdr:rowOff>0</xdr:rowOff>
        </xdr:to>
        <xdr:sp macro="" textlink="">
          <xdr:nvSpPr>
            <xdr:cNvPr id="42951" name="Check Box 967" hidden="1">
              <a:extLst>
                <a:ext uri="{63B3BB69-23CF-44E3-9099-C40C66FF867C}">
                  <a14:compatExt spid="_x0000_s42951"/>
                </a:ext>
                <a:ext uri="{FF2B5EF4-FFF2-40B4-BE49-F238E27FC236}">
                  <a16:creationId xmlns:a16="http://schemas.microsoft.com/office/drawing/2014/main" id="{00000000-0008-0000-0E00-0000C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69</xdr:row>
          <xdr:rowOff>28575</xdr:rowOff>
        </xdr:from>
        <xdr:to>
          <xdr:col>6</xdr:col>
          <xdr:colOff>419100</xdr:colOff>
          <xdr:row>70</xdr:row>
          <xdr:rowOff>0</xdr:rowOff>
        </xdr:to>
        <xdr:sp macro="" textlink="">
          <xdr:nvSpPr>
            <xdr:cNvPr id="42952" name="Check Box 968" hidden="1">
              <a:extLst>
                <a:ext uri="{63B3BB69-23CF-44E3-9099-C40C66FF867C}">
                  <a14:compatExt spid="_x0000_s42952"/>
                </a:ext>
                <a:ext uri="{FF2B5EF4-FFF2-40B4-BE49-F238E27FC236}">
                  <a16:creationId xmlns:a16="http://schemas.microsoft.com/office/drawing/2014/main" id="{00000000-0008-0000-0E00-0000C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69</xdr:row>
          <xdr:rowOff>28575</xdr:rowOff>
        </xdr:from>
        <xdr:to>
          <xdr:col>7</xdr:col>
          <xdr:colOff>419100</xdr:colOff>
          <xdr:row>70</xdr:row>
          <xdr:rowOff>0</xdr:rowOff>
        </xdr:to>
        <xdr:sp macro="" textlink="">
          <xdr:nvSpPr>
            <xdr:cNvPr id="42953" name="Check Box 969" hidden="1">
              <a:extLst>
                <a:ext uri="{63B3BB69-23CF-44E3-9099-C40C66FF867C}">
                  <a14:compatExt spid="_x0000_s42953"/>
                </a:ext>
                <a:ext uri="{FF2B5EF4-FFF2-40B4-BE49-F238E27FC236}">
                  <a16:creationId xmlns:a16="http://schemas.microsoft.com/office/drawing/2014/main" id="{00000000-0008-0000-0E00-0000C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69</xdr:row>
          <xdr:rowOff>28575</xdr:rowOff>
        </xdr:from>
        <xdr:to>
          <xdr:col>5</xdr:col>
          <xdr:colOff>447675</xdr:colOff>
          <xdr:row>70</xdr:row>
          <xdr:rowOff>0</xdr:rowOff>
        </xdr:to>
        <xdr:sp macro="" textlink="">
          <xdr:nvSpPr>
            <xdr:cNvPr id="42954" name="Check Box 970" hidden="1">
              <a:extLst>
                <a:ext uri="{63B3BB69-23CF-44E3-9099-C40C66FF867C}">
                  <a14:compatExt spid="_x0000_s42954"/>
                </a:ext>
                <a:ext uri="{FF2B5EF4-FFF2-40B4-BE49-F238E27FC236}">
                  <a16:creationId xmlns:a16="http://schemas.microsoft.com/office/drawing/2014/main" id="{00000000-0008-0000-0E00-0000C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69</xdr:row>
          <xdr:rowOff>28575</xdr:rowOff>
        </xdr:from>
        <xdr:to>
          <xdr:col>6</xdr:col>
          <xdr:colOff>419100</xdr:colOff>
          <xdr:row>70</xdr:row>
          <xdr:rowOff>0</xdr:rowOff>
        </xdr:to>
        <xdr:sp macro="" textlink="">
          <xdr:nvSpPr>
            <xdr:cNvPr id="42955" name="Check Box 971" hidden="1">
              <a:extLst>
                <a:ext uri="{63B3BB69-23CF-44E3-9099-C40C66FF867C}">
                  <a14:compatExt spid="_x0000_s42955"/>
                </a:ext>
                <a:ext uri="{FF2B5EF4-FFF2-40B4-BE49-F238E27FC236}">
                  <a16:creationId xmlns:a16="http://schemas.microsoft.com/office/drawing/2014/main" id="{00000000-0008-0000-0E00-0000C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69</xdr:row>
          <xdr:rowOff>28575</xdr:rowOff>
        </xdr:from>
        <xdr:to>
          <xdr:col>7</xdr:col>
          <xdr:colOff>419100</xdr:colOff>
          <xdr:row>70</xdr:row>
          <xdr:rowOff>0</xdr:rowOff>
        </xdr:to>
        <xdr:sp macro="" textlink="">
          <xdr:nvSpPr>
            <xdr:cNvPr id="42956" name="Check Box 972" hidden="1">
              <a:extLst>
                <a:ext uri="{63B3BB69-23CF-44E3-9099-C40C66FF867C}">
                  <a14:compatExt spid="_x0000_s42956"/>
                </a:ext>
                <a:ext uri="{FF2B5EF4-FFF2-40B4-BE49-F238E27FC236}">
                  <a16:creationId xmlns:a16="http://schemas.microsoft.com/office/drawing/2014/main" id="{00000000-0008-0000-0E00-0000C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70</xdr:row>
          <xdr:rowOff>28575</xdr:rowOff>
        </xdr:from>
        <xdr:to>
          <xdr:col>5</xdr:col>
          <xdr:colOff>447675</xdr:colOff>
          <xdr:row>71</xdr:row>
          <xdr:rowOff>0</xdr:rowOff>
        </xdr:to>
        <xdr:sp macro="" textlink="">
          <xdr:nvSpPr>
            <xdr:cNvPr id="42957" name="Check Box 973" hidden="1">
              <a:extLst>
                <a:ext uri="{63B3BB69-23CF-44E3-9099-C40C66FF867C}">
                  <a14:compatExt spid="_x0000_s42957"/>
                </a:ext>
                <a:ext uri="{FF2B5EF4-FFF2-40B4-BE49-F238E27FC236}">
                  <a16:creationId xmlns:a16="http://schemas.microsoft.com/office/drawing/2014/main" id="{00000000-0008-0000-0E00-0000C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70</xdr:row>
          <xdr:rowOff>28575</xdr:rowOff>
        </xdr:from>
        <xdr:to>
          <xdr:col>6</xdr:col>
          <xdr:colOff>419100</xdr:colOff>
          <xdr:row>71</xdr:row>
          <xdr:rowOff>0</xdr:rowOff>
        </xdr:to>
        <xdr:sp macro="" textlink="">
          <xdr:nvSpPr>
            <xdr:cNvPr id="42958" name="Check Box 974" hidden="1">
              <a:extLst>
                <a:ext uri="{63B3BB69-23CF-44E3-9099-C40C66FF867C}">
                  <a14:compatExt spid="_x0000_s42958"/>
                </a:ext>
                <a:ext uri="{FF2B5EF4-FFF2-40B4-BE49-F238E27FC236}">
                  <a16:creationId xmlns:a16="http://schemas.microsoft.com/office/drawing/2014/main" id="{00000000-0008-0000-0E00-0000C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70</xdr:row>
          <xdr:rowOff>28575</xdr:rowOff>
        </xdr:from>
        <xdr:to>
          <xdr:col>7</xdr:col>
          <xdr:colOff>419100</xdr:colOff>
          <xdr:row>71</xdr:row>
          <xdr:rowOff>0</xdr:rowOff>
        </xdr:to>
        <xdr:sp macro="" textlink="">
          <xdr:nvSpPr>
            <xdr:cNvPr id="42959" name="Check Box 975" hidden="1">
              <a:extLst>
                <a:ext uri="{63B3BB69-23CF-44E3-9099-C40C66FF867C}">
                  <a14:compatExt spid="_x0000_s42959"/>
                </a:ext>
                <a:ext uri="{FF2B5EF4-FFF2-40B4-BE49-F238E27FC236}">
                  <a16:creationId xmlns:a16="http://schemas.microsoft.com/office/drawing/2014/main" id="{00000000-0008-0000-0E00-0000C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70</xdr:row>
          <xdr:rowOff>28575</xdr:rowOff>
        </xdr:from>
        <xdr:to>
          <xdr:col>5</xdr:col>
          <xdr:colOff>447675</xdr:colOff>
          <xdr:row>71</xdr:row>
          <xdr:rowOff>0</xdr:rowOff>
        </xdr:to>
        <xdr:sp macro="" textlink="">
          <xdr:nvSpPr>
            <xdr:cNvPr id="42960" name="Check Box 976" hidden="1">
              <a:extLst>
                <a:ext uri="{63B3BB69-23CF-44E3-9099-C40C66FF867C}">
                  <a14:compatExt spid="_x0000_s42960"/>
                </a:ext>
                <a:ext uri="{FF2B5EF4-FFF2-40B4-BE49-F238E27FC236}">
                  <a16:creationId xmlns:a16="http://schemas.microsoft.com/office/drawing/2014/main" id="{00000000-0008-0000-0E00-0000D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70</xdr:row>
          <xdr:rowOff>28575</xdr:rowOff>
        </xdr:from>
        <xdr:to>
          <xdr:col>6</xdr:col>
          <xdr:colOff>419100</xdr:colOff>
          <xdr:row>71</xdr:row>
          <xdr:rowOff>0</xdr:rowOff>
        </xdr:to>
        <xdr:sp macro="" textlink="">
          <xdr:nvSpPr>
            <xdr:cNvPr id="42961" name="Check Box 977" hidden="1">
              <a:extLst>
                <a:ext uri="{63B3BB69-23CF-44E3-9099-C40C66FF867C}">
                  <a14:compatExt spid="_x0000_s42961"/>
                </a:ext>
                <a:ext uri="{FF2B5EF4-FFF2-40B4-BE49-F238E27FC236}">
                  <a16:creationId xmlns:a16="http://schemas.microsoft.com/office/drawing/2014/main" id="{00000000-0008-0000-0E00-0000D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70</xdr:row>
          <xdr:rowOff>28575</xdr:rowOff>
        </xdr:from>
        <xdr:to>
          <xdr:col>7</xdr:col>
          <xdr:colOff>419100</xdr:colOff>
          <xdr:row>71</xdr:row>
          <xdr:rowOff>0</xdr:rowOff>
        </xdr:to>
        <xdr:sp macro="" textlink="">
          <xdr:nvSpPr>
            <xdr:cNvPr id="42962" name="Check Box 978" hidden="1">
              <a:extLst>
                <a:ext uri="{63B3BB69-23CF-44E3-9099-C40C66FF867C}">
                  <a14:compatExt spid="_x0000_s42962"/>
                </a:ext>
                <a:ext uri="{FF2B5EF4-FFF2-40B4-BE49-F238E27FC236}">
                  <a16:creationId xmlns:a16="http://schemas.microsoft.com/office/drawing/2014/main" id="{00000000-0008-0000-0E00-0000D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2963" name="Check Box 979" hidden="1">
              <a:extLst>
                <a:ext uri="{63B3BB69-23CF-44E3-9099-C40C66FF867C}">
                  <a14:compatExt spid="_x0000_s42963"/>
                </a:ext>
                <a:ext uri="{FF2B5EF4-FFF2-40B4-BE49-F238E27FC236}">
                  <a16:creationId xmlns:a16="http://schemas.microsoft.com/office/drawing/2014/main" id="{00000000-0008-0000-0E00-0000D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2964" name="Check Box 980" hidden="1">
              <a:extLst>
                <a:ext uri="{63B3BB69-23CF-44E3-9099-C40C66FF867C}">
                  <a14:compatExt spid="_x0000_s42964"/>
                </a:ext>
                <a:ext uri="{FF2B5EF4-FFF2-40B4-BE49-F238E27FC236}">
                  <a16:creationId xmlns:a16="http://schemas.microsoft.com/office/drawing/2014/main" id="{00000000-0008-0000-0E00-0000D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2965" name="Check Box 981" hidden="1">
              <a:extLst>
                <a:ext uri="{63B3BB69-23CF-44E3-9099-C40C66FF867C}">
                  <a14:compatExt spid="_x0000_s42965"/>
                </a:ext>
                <a:ext uri="{FF2B5EF4-FFF2-40B4-BE49-F238E27FC236}">
                  <a16:creationId xmlns:a16="http://schemas.microsoft.com/office/drawing/2014/main" id="{00000000-0008-0000-0E00-0000D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2966" name="Check Box 982" hidden="1">
              <a:extLst>
                <a:ext uri="{63B3BB69-23CF-44E3-9099-C40C66FF867C}">
                  <a14:compatExt spid="_x0000_s42966"/>
                </a:ext>
                <a:ext uri="{FF2B5EF4-FFF2-40B4-BE49-F238E27FC236}">
                  <a16:creationId xmlns:a16="http://schemas.microsoft.com/office/drawing/2014/main" id="{00000000-0008-0000-0E00-0000D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2967" name="Check Box 983" hidden="1">
              <a:extLst>
                <a:ext uri="{63B3BB69-23CF-44E3-9099-C40C66FF867C}">
                  <a14:compatExt spid="_x0000_s42967"/>
                </a:ext>
                <a:ext uri="{FF2B5EF4-FFF2-40B4-BE49-F238E27FC236}">
                  <a16:creationId xmlns:a16="http://schemas.microsoft.com/office/drawing/2014/main" id="{00000000-0008-0000-0E00-0000D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2968" name="Check Box 984" hidden="1">
              <a:extLst>
                <a:ext uri="{63B3BB69-23CF-44E3-9099-C40C66FF867C}">
                  <a14:compatExt spid="_x0000_s42968"/>
                </a:ext>
                <a:ext uri="{FF2B5EF4-FFF2-40B4-BE49-F238E27FC236}">
                  <a16:creationId xmlns:a16="http://schemas.microsoft.com/office/drawing/2014/main" id="{00000000-0008-0000-0E00-0000D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2</xdr:row>
          <xdr:rowOff>142875</xdr:rowOff>
        </xdr:from>
        <xdr:to>
          <xdr:col>5</xdr:col>
          <xdr:colOff>0</xdr:colOff>
          <xdr:row>4</xdr:row>
          <xdr:rowOff>28575</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F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3</xdr:row>
          <xdr:rowOff>142875</xdr:rowOff>
        </xdr:from>
        <xdr:to>
          <xdr:col>5</xdr:col>
          <xdr:colOff>0</xdr:colOff>
          <xdr:row>5</xdr:row>
          <xdr:rowOff>28575</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F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4</xdr:row>
          <xdr:rowOff>142875</xdr:rowOff>
        </xdr:from>
        <xdr:to>
          <xdr:col>5</xdr:col>
          <xdr:colOff>0</xdr:colOff>
          <xdr:row>6</xdr:row>
          <xdr:rowOff>28575</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F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5</xdr:row>
          <xdr:rowOff>142875</xdr:rowOff>
        </xdr:from>
        <xdr:to>
          <xdr:col>5</xdr:col>
          <xdr:colOff>0</xdr:colOff>
          <xdr:row>7</xdr:row>
          <xdr:rowOff>28575</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F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6</xdr:row>
          <xdr:rowOff>142875</xdr:rowOff>
        </xdr:from>
        <xdr:to>
          <xdr:col>5</xdr:col>
          <xdr:colOff>0</xdr:colOff>
          <xdr:row>8</xdr:row>
          <xdr:rowOff>28575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F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9</xdr:row>
          <xdr:rowOff>142875</xdr:rowOff>
        </xdr:from>
        <xdr:to>
          <xdr:col>5</xdr:col>
          <xdr:colOff>0</xdr:colOff>
          <xdr:row>11</xdr:row>
          <xdr:rowOff>28575</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F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10</xdr:row>
          <xdr:rowOff>142875</xdr:rowOff>
        </xdr:from>
        <xdr:to>
          <xdr:col>5</xdr:col>
          <xdr:colOff>0</xdr:colOff>
          <xdr:row>12</xdr:row>
          <xdr:rowOff>28575</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F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11</xdr:row>
          <xdr:rowOff>142875</xdr:rowOff>
        </xdr:from>
        <xdr:to>
          <xdr:col>5</xdr:col>
          <xdr:colOff>0</xdr:colOff>
          <xdr:row>13</xdr:row>
          <xdr:rowOff>28575</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F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12</xdr:row>
          <xdr:rowOff>142875</xdr:rowOff>
        </xdr:from>
        <xdr:to>
          <xdr:col>5</xdr:col>
          <xdr:colOff>0</xdr:colOff>
          <xdr:row>14</xdr:row>
          <xdr:rowOff>28575</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F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13</xdr:row>
          <xdr:rowOff>142875</xdr:rowOff>
        </xdr:from>
        <xdr:to>
          <xdr:col>5</xdr:col>
          <xdr:colOff>0</xdr:colOff>
          <xdr:row>15</xdr:row>
          <xdr:rowOff>28575</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F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16</xdr:row>
          <xdr:rowOff>142875</xdr:rowOff>
        </xdr:from>
        <xdr:to>
          <xdr:col>5</xdr:col>
          <xdr:colOff>0</xdr:colOff>
          <xdr:row>18</xdr:row>
          <xdr:rowOff>28575</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F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142875</xdr:rowOff>
        </xdr:from>
        <xdr:to>
          <xdr:col>5</xdr:col>
          <xdr:colOff>0</xdr:colOff>
          <xdr:row>21</xdr:row>
          <xdr:rowOff>28575</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F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20</xdr:row>
          <xdr:rowOff>142875</xdr:rowOff>
        </xdr:from>
        <xdr:to>
          <xdr:col>5</xdr:col>
          <xdr:colOff>0</xdr:colOff>
          <xdr:row>22</xdr:row>
          <xdr:rowOff>28575</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F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21</xdr:row>
          <xdr:rowOff>142875</xdr:rowOff>
        </xdr:from>
        <xdr:to>
          <xdr:col>5</xdr:col>
          <xdr:colOff>0</xdr:colOff>
          <xdr:row>23</xdr:row>
          <xdr:rowOff>28575</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F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22</xdr:row>
          <xdr:rowOff>142875</xdr:rowOff>
        </xdr:from>
        <xdr:to>
          <xdr:col>5</xdr:col>
          <xdr:colOff>0</xdr:colOff>
          <xdr:row>24</xdr:row>
          <xdr:rowOff>28575</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F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142875</xdr:rowOff>
        </xdr:from>
        <xdr:to>
          <xdr:col>5</xdr:col>
          <xdr:colOff>0</xdr:colOff>
          <xdr:row>25</xdr:row>
          <xdr:rowOff>28575</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F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26</xdr:row>
          <xdr:rowOff>142875</xdr:rowOff>
        </xdr:from>
        <xdr:to>
          <xdr:col>5</xdr:col>
          <xdr:colOff>0</xdr:colOff>
          <xdr:row>28</xdr:row>
          <xdr:rowOff>28575</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F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27</xdr:row>
          <xdr:rowOff>0</xdr:rowOff>
        </xdr:from>
        <xdr:to>
          <xdr:col>5</xdr:col>
          <xdr:colOff>0</xdr:colOff>
          <xdr:row>28</xdr:row>
          <xdr:rowOff>28575</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F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27</xdr:row>
          <xdr:rowOff>0</xdr:rowOff>
        </xdr:from>
        <xdr:to>
          <xdr:col>5</xdr:col>
          <xdr:colOff>0</xdr:colOff>
          <xdr:row>28</xdr:row>
          <xdr:rowOff>28575</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F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xdr:row>
          <xdr:rowOff>676275</xdr:rowOff>
        </xdr:from>
        <xdr:to>
          <xdr:col>5</xdr:col>
          <xdr:colOff>0</xdr:colOff>
          <xdr:row>3</xdr:row>
          <xdr:rowOff>28575</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F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8</xdr:row>
          <xdr:rowOff>142875</xdr:rowOff>
        </xdr:from>
        <xdr:to>
          <xdr:col>5</xdr:col>
          <xdr:colOff>0</xdr:colOff>
          <xdr:row>10</xdr:row>
          <xdr:rowOff>28575</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F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xdr:row>
          <xdr:rowOff>142875</xdr:rowOff>
        </xdr:from>
        <xdr:to>
          <xdr:col>5</xdr:col>
          <xdr:colOff>0</xdr:colOff>
          <xdr:row>17</xdr:row>
          <xdr:rowOff>28575</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F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18</xdr:row>
          <xdr:rowOff>142875</xdr:rowOff>
        </xdr:from>
        <xdr:to>
          <xdr:col>5</xdr:col>
          <xdr:colOff>0</xdr:colOff>
          <xdr:row>20</xdr:row>
          <xdr:rowOff>28575</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F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5</xdr:col>
      <xdr:colOff>333375</xdr:colOff>
      <xdr:row>15</xdr:row>
      <xdr:rowOff>225425</xdr:rowOff>
    </xdr:from>
    <xdr:to>
      <xdr:col>9</xdr:col>
      <xdr:colOff>1035050</xdr:colOff>
      <xdr:row>32</xdr:row>
      <xdr:rowOff>168275</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0</xdr:col>
          <xdr:colOff>62441</xdr:colOff>
          <xdr:row>48</xdr:row>
          <xdr:rowOff>137584</xdr:rowOff>
        </xdr:from>
        <xdr:to>
          <xdr:col>10</xdr:col>
          <xdr:colOff>31750</xdr:colOff>
          <xdr:row>63</xdr:row>
          <xdr:rowOff>91180</xdr:rowOff>
        </xdr:to>
        <xdr:pic>
          <xdr:nvPicPr>
            <xdr:cNvPr id="4" name="Picture 3">
              <a:extLst>
                <a:ext uri="{FF2B5EF4-FFF2-40B4-BE49-F238E27FC236}">
                  <a16:creationId xmlns:a16="http://schemas.microsoft.com/office/drawing/2014/main" id="{00000000-0008-0000-1100-000004000000}"/>
                </a:ext>
              </a:extLst>
            </xdr:cNvPr>
            <xdr:cNvPicPr>
              <a:picLocks noChangeAspect="1" noChangeArrowheads="1"/>
              <a:extLst>
                <a:ext uri="{84589F7E-364E-4C9E-8A38-B11213B215E9}">
                  <a14:cameraTool cellRange="'Milestone Summary'!$A$6:$BW$24" spid="_x0000_s195595"/>
                </a:ext>
              </a:extLst>
            </xdr:cNvPicPr>
          </xdr:nvPicPr>
          <xdr:blipFill>
            <a:blip xmlns:r="http://schemas.openxmlformats.org/officeDocument/2006/relationships" r:embed="rId2"/>
            <a:srcRect/>
            <a:stretch>
              <a:fillRect/>
            </a:stretch>
          </xdr:blipFill>
          <xdr:spPr bwMode="auto">
            <a:xfrm>
              <a:off x="62441" y="15906751"/>
              <a:ext cx="12447059" cy="265234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1028700</xdr:colOff>
          <xdr:row>24</xdr:row>
          <xdr:rowOff>9525</xdr:rowOff>
        </xdr:from>
        <xdr:to>
          <xdr:col>5</xdr:col>
          <xdr:colOff>1457325</xdr:colOff>
          <xdr:row>25</xdr:row>
          <xdr:rowOff>85725</xdr:rowOff>
        </xdr:to>
        <xdr:sp macro="" textlink="">
          <xdr:nvSpPr>
            <xdr:cNvPr id="154625" name="Check Box 1" hidden="1">
              <a:extLst>
                <a:ext uri="{63B3BB69-23CF-44E3-9099-C40C66FF867C}">
                  <a14:compatExt spid="_x0000_s154625"/>
                </a:ext>
                <a:ext uri="{FF2B5EF4-FFF2-40B4-BE49-F238E27FC236}">
                  <a16:creationId xmlns:a16="http://schemas.microsoft.com/office/drawing/2014/main" id="{00000000-0008-0000-15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27</xdr:row>
          <xdr:rowOff>28575</xdr:rowOff>
        </xdr:from>
        <xdr:to>
          <xdr:col>5</xdr:col>
          <xdr:colOff>1362075</xdr:colOff>
          <xdr:row>28</xdr:row>
          <xdr:rowOff>28575</xdr:rowOff>
        </xdr:to>
        <xdr:sp macro="" textlink="">
          <xdr:nvSpPr>
            <xdr:cNvPr id="154626" name="Check Box 2" hidden="1">
              <a:extLst>
                <a:ext uri="{63B3BB69-23CF-44E3-9099-C40C66FF867C}">
                  <a14:compatExt spid="_x0000_s154626"/>
                </a:ext>
                <a:ext uri="{FF2B5EF4-FFF2-40B4-BE49-F238E27FC236}">
                  <a16:creationId xmlns:a16="http://schemas.microsoft.com/office/drawing/2014/main" id="{00000000-0008-0000-15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30</xdr:row>
          <xdr:rowOff>28575</xdr:rowOff>
        </xdr:from>
        <xdr:to>
          <xdr:col>5</xdr:col>
          <xdr:colOff>1371600</xdr:colOff>
          <xdr:row>31</xdr:row>
          <xdr:rowOff>66675</xdr:rowOff>
        </xdr:to>
        <xdr:sp macro="" textlink="">
          <xdr:nvSpPr>
            <xdr:cNvPr id="154627" name="Check Box 3" hidden="1">
              <a:extLst>
                <a:ext uri="{63B3BB69-23CF-44E3-9099-C40C66FF867C}">
                  <a14:compatExt spid="_x0000_s154627"/>
                </a:ext>
                <a:ext uri="{FF2B5EF4-FFF2-40B4-BE49-F238E27FC236}">
                  <a16:creationId xmlns:a16="http://schemas.microsoft.com/office/drawing/2014/main" id="{00000000-0008-0000-15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33</xdr:row>
          <xdr:rowOff>9525</xdr:rowOff>
        </xdr:from>
        <xdr:to>
          <xdr:col>5</xdr:col>
          <xdr:colOff>1409700</xdr:colOff>
          <xdr:row>34</xdr:row>
          <xdr:rowOff>85725</xdr:rowOff>
        </xdr:to>
        <xdr:sp macro="" textlink="">
          <xdr:nvSpPr>
            <xdr:cNvPr id="154628" name="Check Box 4" hidden="1">
              <a:extLst>
                <a:ext uri="{63B3BB69-23CF-44E3-9099-C40C66FF867C}">
                  <a14:compatExt spid="_x0000_s154628"/>
                </a:ext>
                <a:ext uri="{FF2B5EF4-FFF2-40B4-BE49-F238E27FC236}">
                  <a16:creationId xmlns:a16="http://schemas.microsoft.com/office/drawing/2014/main" id="{00000000-0008-0000-15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36</xdr:row>
          <xdr:rowOff>9525</xdr:rowOff>
        </xdr:from>
        <xdr:to>
          <xdr:col>5</xdr:col>
          <xdr:colOff>1400175</xdr:colOff>
          <xdr:row>37</xdr:row>
          <xdr:rowOff>85725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5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24</xdr:row>
          <xdr:rowOff>28575</xdr:rowOff>
        </xdr:from>
        <xdr:to>
          <xdr:col>12</xdr:col>
          <xdr:colOff>342900</xdr:colOff>
          <xdr:row>25</xdr:row>
          <xdr:rowOff>66675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5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866775</xdr:colOff>
          <xdr:row>26</xdr:row>
          <xdr:rowOff>47625</xdr:rowOff>
        </xdr:from>
        <xdr:to>
          <xdr:col>12</xdr:col>
          <xdr:colOff>342900</xdr:colOff>
          <xdr:row>27</xdr:row>
          <xdr:rowOff>123825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5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790575</xdr:colOff>
          <xdr:row>30</xdr:row>
          <xdr:rowOff>28575</xdr:rowOff>
        </xdr:from>
        <xdr:to>
          <xdr:col>12</xdr:col>
          <xdr:colOff>371475</xdr:colOff>
          <xdr:row>31</xdr:row>
          <xdr:rowOff>66675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5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33</xdr:row>
          <xdr:rowOff>38100</xdr:rowOff>
        </xdr:from>
        <xdr:to>
          <xdr:col>12</xdr:col>
          <xdr:colOff>390525</xdr:colOff>
          <xdr:row>34</xdr:row>
          <xdr:rowOff>38100</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5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Yes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36</xdr:row>
          <xdr:rowOff>38100</xdr:rowOff>
        </xdr:from>
        <xdr:to>
          <xdr:col>12</xdr:col>
          <xdr:colOff>381000</xdr:colOff>
          <xdr:row>37</xdr:row>
          <xdr:rowOff>28575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5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24</xdr:row>
          <xdr:rowOff>28575</xdr:rowOff>
        </xdr:from>
        <xdr:to>
          <xdr:col>6</xdr:col>
          <xdr:colOff>200025</xdr:colOff>
          <xdr:row>25</xdr:row>
          <xdr:rowOff>66675</xdr:rowOff>
        </xdr:to>
        <xdr:sp macro="" textlink="">
          <xdr:nvSpPr>
            <xdr:cNvPr id="154635" name="Check Box 11" hidden="1">
              <a:extLst>
                <a:ext uri="{63B3BB69-23CF-44E3-9099-C40C66FF867C}">
                  <a14:compatExt spid="_x0000_s154635"/>
                </a:ext>
                <a:ext uri="{FF2B5EF4-FFF2-40B4-BE49-F238E27FC236}">
                  <a16:creationId xmlns:a16="http://schemas.microsoft.com/office/drawing/2014/main" id="{00000000-0008-0000-15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27</xdr:row>
          <xdr:rowOff>28575</xdr:rowOff>
        </xdr:from>
        <xdr:to>
          <xdr:col>12</xdr:col>
          <xdr:colOff>790575</xdr:colOff>
          <xdr:row>28</xdr:row>
          <xdr:rowOff>47625</xdr:rowOff>
        </xdr:to>
        <xdr:sp macro="" textlink="">
          <xdr:nvSpPr>
            <xdr:cNvPr id="154636" name="Check Box 12" hidden="1">
              <a:extLst>
                <a:ext uri="{63B3BB69-23CF-44E3-9099-C40C66FF867C}">
                  <a14:compatExt spid="_x0000_s154636"/>
                </a:ext>
                <a:ext uri="{FF2B5EF4-FFF2-40B4-BE49-F238E27FC236}">
                  <a16:creationId xmlns:a16="http://schemas.microsoft.com/office/drawing/2014/main" id="{00000000-0008-0000-15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390525</xdr:colOff>
          <xdr:row>24</xdr:row>
          <xdr:rowOff>38100</xdr:rowOff>
        </xdr:from>
        <xdr:to>
          <xdr:col>12</xdr:col>
          <xdr:colOff>790575</xdr:colOff>
          <xdr:row>25</xdr:row>
          <xdr:rowOff>66675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5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30</xdr:row>
          <xdr:rowOff>38100</xdr:rowOff>
        </xdr:from>
        <xdr:to>
          <xdr:col>12</xdr:col>
          <xdr:colOff>790575</xdr:colOff>
          <xdr:row>31</xdr:row>
          <xdr:rowOff>66675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5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33</xdr:row>
          <xdr:rowOff>28575</xdr:rowOff>
        </xdr:from>
        <xdr:to>
          <xdr:col>12</xdr:col>
          <xdr:colOff>790575</xdr:colOff>
          <xdr:row>34</xdr:row>
          <xdr:rowOff>66675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5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390525</xdr:colOff>
          <xdr:row>36</xdr:row>
          <xdr:rowOff>28575</xdr:rowOff>
        </xdr:from>
        <xdr:to>
          <xdr:col>12</xdr:col>
          <xdr:colOff>790575</xdr:colOff>
          <xdr:row>37</xdr:row>
          <xdr:rowOff>66675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5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36</xdr:row>
          <xdr:rowOff>28575</xdr:rowOff>
        </xdr:from>
        <xdr:to>
          <xdr:col>6</xdr:col>
          <xdr:colOff>180975</xdr:colOff>
          <xdr:row>37</xdr:row>
          <xdr:rowOff>66675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5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33</xdr:row>
          <xdr:rowOff>38100</xdr:rowOff>
        </xdr:from>
        <xdr:to>
          <xdr:col>6</xdr:col>
          <xdr:colOff>200025</xdr:colOff>
          <xdr:row>34</xdr:row>
          <xdr:rowOff>66675</xdr:rowOff>
        </xdr:to>
        <xdr:sp macro="" textlink="">
          <xdr:nvSpPr>
            <xdr:cNvPr id="154642" name="Check Box 18" hidden="1">
              <a:extLst>
                <a:ext uri="{63B3BB69-23CF-44E3-9099-C40C66FF867C}">
                  <a14:compatExt spid="_x0000_s154642"/>
                </a:ext>
                <a:ext uri="{FF2B5EF4-FFF2-40B4-BE49-F238E27FC236}">
                  <a16:creationId xmlns:a16="http://schemas.microsoft.com/office/drawing/2014/main" id="{00000000-0008-0000-15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30</xdr:row>
          <xdr:rowOff>38100</xdr:rowOff>
        </xdr:from>
        <xdr:to>
          <xdr:col>6</xdr:col>
          <xdr:colOff>200025</xdr:colOff>
          <xdr:row>31</xdr:row>
          <xdr:rowOff>66675</xdr:rowOff>
        </xdr:to>
        <xdr:sp macro="" textlink="">
          <xdr:nvSpPr>
            <xdr:cNvPr id="154643" name="Check Box 19" hidden="1">
              <a:extLst>
                <a:ext uri="{63B3BB69-23CF-44E3-9099-C40C66FF867C}">
                  <a14:compatExt spid="_x0000_s154643"/>
                </a:ext>
                <a:ext uri="{FF2B5EF4-FFF2-40B4-BE49-F238E27FC236}">
                  <a16:creationId xmlns:a16="http://schemas.microsoft.com/office/drawing/2014/main" id="{00000000-0008-0000-15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39</xdr:row>
          <xdr:rowOff>9525</xdr:rowOff>
        </xdr:from>
        <xdr:to>
          <xdr:col>5</xdr:col>
          <xdr:colOff>1400175</xdr:colOff>
          <xdr:row>40</xdr:row>
          <xdr:rowOff>85725</xdr:rowOff>
        </xdr:to>
        <xdr:sp macro="" textlink="">
          <xdr:nvSpPr>
            <xdr:cNvPr id="154644" name="Check Box 20" hidden="1">
              <a:extLst>
                <a:ext uri="{63B3BB69-23CF-44E3-9099-C40C66FF867C}">
                  <a14:compatExt spid="_x0000_s154644"/>
                </a:ext>
                <a:ext uri="{FF2B5EF4-FFF2-40B4-BE49-F238E27FC236}">
                  <a16:creationId xmlns:a16="http://schemas.microsoft.com/office/drawing/2014/main" id="{00000000-0008-0000-15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39</xdr:row>
          <xdr:rowOff>38100</xdr:rowOff>
        </xdr:from>
        <xdr:to>
          <xdr:col>12</xdr:col>
          <xdr:colOff>381000</xdr:colOff>
          <xdr:row>40</xdr:row>
          <xdr:rowOff>28575</xdr:rowOff>
        </xdr:to>
        <xdr:sp macro="" textlink="">
          <xdr:nvSpPr>
            <xdr:cNvPr id="154645" name="Check Box 21" hidden="1">
              <a:extLst>
                <a:ext uri="{63B3BB69-23CF-44E3-9099-C40C66FF867C}">
                  <a14:compatExt spid="_x0000_s154645"/>
                </a:ext>
                <a:ext uri="{FF2B5EF4-FFF2-40B4-BE49-F238E27FC236}">
                  <a16:creationId xmlns:a16="http://schemas.microsoft.com/office/drawing/2014/main" id="{00000000-0008-0000-15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39</xdr:row>
          <xdr:rowOff>28575</xdr:rowOff>
        </xdr:from>
        <xdr:to>
          <xdr:col>12</xdr:col>
          <xdr:colOff>809625</xdr:colOff>
          <xdr:row>40</xdr:row>
          <xdr:rowOff>66675</xdr:rowOff>
        </xdr:to>
        <xdr:sp macro="" textlink="">
          <xdr:nvSpPr>
            <xdr:cNvPr id="154646" name="Check Box 22" hidden="1">
              <a:extLst>
                <a:ext uri="{63B3BB69-23CF-44E3-9099-C40C66FF867C}">
                  <a14:compatExt spid="_x0000_s154646"/>
                </a:ext>
                <a:ext uri="{FF2B5EF4-FFF2-40B4-BE49-F238E27FC236}">
                  <a16:creationId xmlns:a16="http://schemas.microsoft.com/office/drawing/2014/main" id="{00000000-0008-0000-15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42</xdr:row>
          <xdr:rowOff>9525</xdr:rowOff>
        </xdr:from>
        <xdr:to>
          <xdr:col>5</xdr:col>
          <xdr:colOff>1400175</xdr:colOff>
          <xdr:row>43</xdr:row>
          <xdr:rowOff>85725</xdr:rowOff>
        </xdr:to>
        <xdr:sp macro="" textlink="">
          <xdr:nvSpPr>
            <xdr:cNvPr id="154647" name="Check Box 23" hidden="1">
              <a:extLst>
                <a:ext uri="{63B3BB69-23CF-44E3-9099-C40C66FF867C}">
                  <a14:compatExt spid="_x0000_s154647"/>
                </a:ext>
                <a:ext uri="{FF2B5EF4-FFF2-40B4-BE49-F238E27FC236}">
                  <a16:creationId xmlns:a16="http://schemas.microsoft.com/office/drawing/2014/main" id="{00000000-0008-0000-15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42</xdr:row>
          <xdr:rowOff>38100</xdr:rowOff>
        </xdr:from>
        <xdr:to>
          <xdr:col>12</xdr:col>
          <xdr:colOff>381000</xdr:colOff>
          <xdr:row>43</xdr:row>
          <xdr:rowOff>28575</xdr:rowOff>
        </xdr:to>
        <xdr:sp macro="" textlink="">
          <xdr:nvSpPr>
            <xdr:cNvPr id="154648" name="Check Box 24" hidden="1">
              <a:extLst>
                <a:ext uri="{63B3BB69-23CF-44E3-9099-C40C66FF867C}">
                  <a14:compatExt spid="_x0000_s154648"/>
                </a:ext>
                <a:ext uri="{FF2B5EF4-FFF2-40B4-BE49-F238E27FC236}">
                  <a16:creationId xmlns:a16="http://schemas.microsoft.com/office/drawing/2014/main" id="{00000000-0008-0000-15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390525</xdr:colOff>
          <xdr:row>42</xdr:row>
          <xdr:rowOff>28575</xdr:rowOff>
        </xdr:from>
        <xdr:to>
          <xdr:col>12</xdr:col>
          <xdr:colOff>790575</xdr:colOff>
          <xdr:row>43</xdr:row>
          <xdr:rowOff>66675</xdr:rowOff>
        </xdr:to>
        <xdr:sp macro="" textlink="">
          <xdr:nvSpPr>
            <xdr:cNvPr id="154649" name="Check Box 25" hidden="1">
              <a:extLst>
                <a:ext uri="{63B3BB69-23CF-44E3-9099-C40C66FF867C}">
                  <a14:compatExt spid="_x0000_s154649"/>
                </a:ext>
                <a:ext uri="{FF2B5EF4-FFF2-40B4-BE49-F238E27FC236}">
                  <a16:creationId xmlns:a16="http://schemas.microsoft.com/office/drawing/2014/main" id="{00000000-0008-0000-15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42</xdr:row>
          <xdr:rowOff>28575</xdr:rowOff>
        </xdr:from>
        <xdr:to>
          <xdr:col>6</xdr:col>
          <xdr:colOff>180975</xdr:colOff>
          <xdr:row>43</xdr:row>
          <xdr:rowOff>66675</xdr:rowOff>
        </xdr:to>
        <xdr:sp macro="" textlink="">
          <xdr:nvSpPr>
            <xdr:cNvPr id="154650" name="Check Box 26" hidden="1">
              <a:extLst>
                <a:ext uri="{63B3BB69-23CF-44E3-9099-C40C66FF867C}">
                  <a14:compatExt spid="_x0000_s154650"/>
                </a:ext>
                <a:ext uri="{FF2B5EF4-FFF2-40B4-BE49-F238E27FC236}">
                  <a16:creationId xmlns:a16="http://schemas.microsoft.com/office/drawing/2014/main" id="{00000000-0008-0000-15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39</xdr:row>
          <xdr:rowOff>9525</xdr:rowOff>
        </xdr:from>
        <xdr:to>
          <xdr:col>5</xdr:col>
          <xdr:colOff>1400175</xdr:colOff>
          <xdr:row>40</xdr:row>
          <xdr:rowOff>85725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5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39</xdr:row>
          <xdr:rowOff>38100</xdr:rowOff>
        </xdr:from>
        <xdr:to>
          <xdr:col>12</xdr:col>
          <xdr:colOff>381000</xdr:colOff>
          <xdr:row>40</xdr:row>
          <xdr:rowOff>28575</xdr:rowOff>
        </xdr:to>
        <xdr:sp macro="" textlink="">
          <xdr:nvSpPr>
            <xdr:cNvPr id="154652" name="Check Box 28" hidden="1">
              <a:extLst>
                <a:ext uri="{63B3BB69-23CF-44E3-9099-C40C66FF867C}">
                  <a14:compatExt spid="_x0000_s154652"/>
                </a:ext>
                <a:ext uri="{FF2B5EF4-FFF2-40B4-BE49-F238E27FC236}">
                  <a16:creationId xmlns:a16="http://schemas.microsoft.com/office/drawing/2014/main" id="{00000000-0008-0000-15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39</xdr:row>
          <xdr:rowOff>28575</xdr:rowOff>
        </xdr:from>
        <xdr:to>
          <xdr:col>6</xdr:col>
          <xdr:colOff>180975</xdr:colOff>
          <xdr:row>40</xdr:row>
          <xdr:rowOff>66675</xdr:rowOff>
        </xdr:to>
        <xdr:sp macro="" textlink="">
          <xdr:nvSpPr>
            <xdr:cNvPr id="154653" name="Check Box 29" hidden="1">
              <a:extLst>
                <a:ext uri="{63B3BB69-23CF-44E3-9099-C40C66FF867C}">
                  <a14:compatExt spid="_x0000_s154653"/>
                </a:ext>
                <a:ext uri="{FF2B5EF4-FFF2-40B4-BE49-F238E27FC236}">
                  <a16:creationId xmlns:a16="http://schemas.microsoft.com/office/drawing/2014/main" id="{00000000-0008-0000-15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26</xdr:row>
          <xdr:rowOff>142875</xdr:rowOff>
        </xdr:from>
        <xdr:to>
          <xdr:col>6</xdr:col>
          <xdr:colOff>200025</xdr:colOff>
          <xdr:row>28</xdr:row>
          <xdr:rowOff>9525</xdr:rowOff>
        </xdr:to>
        <xdr:sp macro="" textlink="">
          <xdr:nvSpPr>
            <xdr:cNvPr id="154654" name="Check Box 30" hidden="1">
              <a:extLst>
                <a:ext uri="{63B3BB69-23CF-44E3-9099-C40C66FF867C}">
                  <a14:compatExt spid="_x0000_s154654"/>
                </a:ext>
                <a:ext uri="{FF2B5EF4-FFF2-40B4-BE49-F238E27FC236}">
                  <a16:creationId xmlns:a16="http://schemas.microsoft.com/office/drawing/2014/main" id="{00000000-0008-0000-15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9525</xdr:rowOff>
    </xdr:from>
    <xdr:to>
      <xdr:col>3</xdr:col>
      <xdr:colOff>19050</xdr:colOff>
      <xdr:row>1</xdr:row>
      <xdr:rowOff>104775</xdr:rowOff>
    </xdr:to>
    <xdr:sp macro="" textlink="">
      <xdr:nvSpPr>
        <xdr:cNvPr id="2" name="Text 1">
          <a:extLst>
            <a:ext uri="{FF2B5EF4-FFF2-40B4-BE49-F238E27FC236}">
              <a16:creationId xmlns:a16="http://schemas.microsoft.com/office/drawing/2014/main" id="{00000000-0008-0000-1C00-000002000000}"/>
            </a:ext>
          </a:extLst>
        </xdr:cNvPr>
        <xdr:cNvSpPr txBox="1">
          <a:spLocks noChangeArrowheads="1"/>
        </xdr:cNvSpPr>
      </xdr:nvSpPr>
      <xdr:spPr bwMode="auto">
        <a:xfrm>
          <a:off x="129540" y="9525"/>
          <a:ext cx="2114550" cy="316230"/>
        </a:xfrm>
        <a:prstGeom prst="rect">
          <a:avLst/>
        </a:prstGeom>
        <a:solidFill>
          <a:srgbClr val="FFFFFF"/>
        </a:solidFill>
        <a:ln w="9525">
          <a:solidFill>
            <a:srgbClr val="000000"/>
          </a:solidFill>
          <a:miter lim="800000"/>
          <a:headEnd/>
          <a:tailEnd/>
        </a:ln>
      </xdr:spPr>
      <xdr:txBody>
        <a:bodyPr vertOverflow="clip" wrap="square" lIns="45720" tIns="36576" rIns="0" bIns="0" anchor="t" upright="1"/>
        <a:lstStyle/>
        <a:p>
          <a:pPr algn="l" rtl="0">
            <a:defRPr sz="1000"/>
          </a:pPr>
          <a:r>
            <a:rPr lang="en-US" sz="1800" b="0" i="0" strike="noStrike">
              <a:solidFill>
                <a:srgbClr val="000000"/>
              </a:solidFill>
              <a:latin typeface="Arial"/>
              <a:cs typeface="Arial"/>
            </a:rPr>
            <a:t>Contingency</a:t>
          </a:r>
        </a:p>
        <a:p>
          <a:pPr algn="l" rtl="0">
            <a:defRPr sz="1000"/>
          </a:pPr>
          <a:endParaRPr lang="en-US" sz="18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19051</xdr:colOff>
      <xdr:row>25</xdr:row>
      <xdr:rowOff>161925</xdr:rowOff>
    </xdr:from>
    <xdr:to>
      <xdr:col>5</xdr:col>
      <xdr:colOff>9525</xdr:colOff>
      <xdr:row>29</xdr:row>
      <xdr:rowOff>114300</xdr:rowOff>
    </xdr:to>
    <xdr:sp macro="" textlink="">
      <xdr:nvSpPr>
        <xdr:cNvPr id="2" name="TextBox 1">
          <a:extLst>
            <a:ext uri="{FF2B5EF4-FFF2-40B4-BE49-F238E27FC236}">
              <a16:creationId xmlns:a16="http://schemas.microsoft.com/office/drawing/2014/main" id="{00000000-0008-0000-2C00-000002000000}"/>
            </a:ext>
          </a:extLst>
        </xdr:cNvPr>
        <xdr:cNvSpPr txBox="1"/>
      </xdr:nvSpPr>
      <xdr:spPr>
        <a:xfrm>
          <a:off x="885826" y="4683125"/>
          <a:ext cx="5530849" cy="679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equation for calculating monthly AFUDC is: </a:t>
          </a:r>
        </a:p>
        <a:p>
          <a:r>
            <a:rPr lang="en-US" sz="1100">
              <a:solidFill>
                <a:schemeClr val="dk1"/>
              </a:solidFill>
              <a:effectLst/>
              <a:latin typeface="+mn-lt"/>
              <a:ea typeface="+mn-ea"/>
              <a:cs typeface="+mn-cs"/>
            </a:rPr>
            <a:t>((Prior month charges + (current month charges * .50)) * AFUDC rate) / 12 Interest is compounded annually.</a:t>
          </a:r>
        </a:p>
        <a:p>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person displayName="Ducharme, Benjamin" id="{179AC018-A341-462A-A809-E192A2CE6A84}" userId="S::benjamin.ducharme@eversource.com::ffb9fbfa-b2d0-446f-8913-41ba4efa453f"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W364" dT="2022-04-21T15:00:46.52" personId="{179AC018-A341-462A-A809-E192A2CE6A84}" id="{5F385A7E-2C26-416B-8506-BC6C317E6017}">
    <text>See notes for pricing range</text>
  </threadedComment>
  <threadedComment ref="W365" dT="2022-04-21T15:00:30.29" personId="{179AC018-A341-462A-A809-E192A2CE6A84}" id="{4AB2832C-A4D0-4D32-86F9-A9E9D929D15C}">
    <text>See notes for pricing range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17" Type="http://schemas.openxmlformats.org/officeDocument/2006/relationships/ctrlProp" Target="../ctrlProps/ctrlProp116.xml"/><Relationship Id="rId671" Type="http://schemas.openxmlformats.org/officeDocument/2006/relationships/ctrlProp" Target="../ctrlProps/ctrlProp670.xml"/><Relationship Id="rId21" Type="http://schemas.openxmlformats.org/officeDocument/2006/relationships/ctrlProp" Target="../ctrlProps/ctrlProp20.xml"/><Relationship Id="rId324" Type="http://schemas.openxmlformats.org/officeDocument/2006/relationships/ctrlProp" Target="../ctrlProps/ctrlProp323.xml"/><Relationship Id="rId531" Type="http://schemas.openxmlformats.org/officeDocument/2006/relationships/ctrlProp" Target="../ctrlProps/ctrlProp530.xml"/><Relationship Id="rId629" Type="http://schemas.openxmlformats.org/officeDocument/2006/relationships/ctrlProp" Target="../ctrlProps/ctrlProp628.xml"/><Relationship Id="rId170" Type="http://schemas.openxmlformats.org/officeDocument/2006/relationships/ctrlProp" Target="../ctrlProps/ctrlProp169.xml"/><Relationship Id="rId268" Type="http://schemas.openxmlformats.org/officeDocument/2006/relationships/ctrlProp" Target="../ctrlProps/ctrlProp267.xml"/><Relationship Id="rId475" Type="http://schemas.openxmlformats.org/officeDocument/2006/relationships/ctrlProp" Target="../ctrlProps/ctrlProp474.xml"/><Relationship Id="rId682" Type="http://schemas.openxmlformats.org/officeDocument/2006/relationships/ctrlProp" Target="../ctrlProps/ctrlProp681.xml"/><Relationship Id="rId32" Type="http://schemas.openxmlformats.org/officeDocument/2006/relationships/ctrlProp" Target="../ctrlProps/ctrlProp31.xml"/><Relationship Id="rId128" Type="http://schemas.openxmlformats.org/officeDocument/2006/relationships/ctrlProp" Target="../ctrlProps/ctrlProp127.xml"/><Relationship Id="rId335" Type="http://schemas.openxmlformats.org/officeDocument/2006/relationships/ctrlProp" Target="../ctrlProps/ctrlProp334.xml"/><Relationship Id="rId542" Type="http://schemas.openxmlformats.org/officeDocument/2006/relationships/ctrlProp" Target="../ctrlProps/ctrlProp541.xml"/><Relationship Id="rId181" Type="http://schemas.openxmlformats.org/officeDocument/2006/relationships/ctrlProp" Target="../ctrlProps/ctrlProp180.xml"/><Relationship Id="rId402" Type="http://schemas.openxmlformats.org/officeDocument/2006/relationships/ctrlProp" Target="../ctrlProps/ctrlProp401.xml"/><Relationship Id="rId279" Type="http://schemas.openxmlformats.org/officeDocument/2006/relationships/ctrlProp" Target="../ctrlProps/ctrlProp278.xml"/><Relationship Id="rId486" Type="http://schemas.openxmlformats.org/officeDocument/2006/relationships/ctrlProp" Target="../ctrlProps/ctrlProp485.xml"/><Relationship Id="rId693" Type="http://schemas.openxmlformats.org/officeDocument/2006/relationships/ctrlProp" Target="../ctrlProps/ctrlProp692.xml"/><Relationship Id="rId43" Type="http://schemas.openxmlformats.org/officeDocument/2006/relationships/ctrlProp" Target="../ctrlProps/ctrlProp42.xml"/><Relationship Id="rId139" Type="http://schemas.openxmlformats.org/officeDocument/2006/relationships/ctrlProp" Target="../ctrlProps/ctrlProp138.xml"/><Relationship Id="rId346" Type="http://schemas.openxmlformats.org/officeDocument/2006/relationships/ctrlProp" Target="../ctrlProps/ctrlProp345.xml"/><Relationship Id="rId553" Type="http://schemas.openxmlformats.org/officeDocument/2006/relationships/ctrlProp" Target="../ctrlProps/ctrlProp552.xml"/><Relationship Id="rId192" Type="http://schemas.openxmlformats.org/officeDocument/2006/relationships/ctrlProp" Target="../ctrlProps/ctrlProp191.xml"/><Relationship Id="rId206" Type="http://schemas.openxmlformats.org/officeDocument/2006/relationships/ctrlProp" Target="../ctrlProps/ctrlProp205.xml"/><Relationship Id="rId413" Type="http://schemas.openxmlformats.org/officeDocument/2006/relationships/ctrlProp" Target="../ctrlProps/ctrlProp412.xml"/><Relationship Id="rId497" Type="http://schemas.openxmlformats.org/officeDocument/2006/relationships/ctrlProp" Target="../ctrlProps/ctrlProp496.xml"/><Relationship Id="rId620" Type="http://schemas.openxmlformats.org/officeDocument/2006/relationships/ctrlProp" Target="../ctrlProps/ctrlProp619.xml"/><Relationship Id="rId357" Type="http://schemas.openxmlformats.org/officeDocument/2006/relationships/ctrlProp" Target="../ctrlProps/ctrlProp356.xml"/><Relationship Id="rId54" Type="http://schemas.openxmlformats.org/officeDocument/2006/relationships/ctrlProp" Target="../ctrlProps/ctrlProp53.xml"/><Relationship Id="rId217" Type="http://schemas.openxmlformats.org/officeDocument/2006/relationships/ctrlProp" Target="../ctrlProps/ctrlProp216.xml"/><Relationship Id="rId564" Type="http://schemas.openxmlformats.org/officeDocument/2006/relationships/ctrlProp" Target="../ctrlProps/ctrlProp563.xml"/><Relationship Id="rId424" Type="http://schemas.openxmlformats.org/officeDocument/2006/relationships/ctrlProp" Target="../ctrlProps/ctrlProp423.xml"/><Relationship Id="rId631" Type="http://schemas.openxmlformats.org/officeDocument/2006/relationships/ctrlProp" Target="../ctrlProps/ctrlProp630.xml"/><Relationship Id="rId270" Type="http://schemas.openxmlformats.org/officeDocument/2006/relationships/ctrlProp" Target="../ctrlProps/ctrlProp269.xml"/><Relationship Id="rId65" Type="http://schemas.openxmlformats.org/officeDocument/2006/relationships/ctrlProp" Target="../ctrlProps/ctrlProp64.xml"/><Relationship Id="rId130" Type="http://schemas.openxmlformats.org/officeDocument/2006/relationships/ctrlProp" Target="../ctrlProps/ctrlProp129.xml"/><Relationship Id="rId368" Type="http://schemas.openxmlformats.org/officeDocument/2006/relationships/ctrlProp" Target="../ctrlProps/ctrlProp367.xml"/><Relationship Id="rId575" Type="http://schemas.openxmlformats.org/officeDocument/2006/relationships/ctrlProp" Target="../ctrlProps/ctrlProp574.xml"/><Relationship Id="rId228" Type="http://schemas.openxmlformats.org/officeDocument/2006/relationships/ctrlProp" Target="../ctrlProps/ctrlProp227.xml"/><Relationship Id="rId435" Type="http://schemas.openxmlformats.org/officeDocument/2006/relationships/ctrlProp" Target="../ctrlProps/ctrlProp434.xml"/><Relationship Id="rId642" Type="http://schemas.openxmlformats.org/officeDocument/2006/relationships/ctrlProp" Target="../ctrlProps/ctrlProp641.xml"/><Relationship Id="rId281" Type="http://schemas.openxmlformats.org/officeDocument/2006/relationships/ctrlProp" Target="../ctrlProps/ctrlProp280.xml"/><Relationship Id="rId502" Type="http://schemas.openxmlformats.org/officeDocument/2006/relationships/ctrlProp" Target="../ctrlProps/ctrlProp501.xml"/><Relationship Id="rId76" Type="http://schemas.openxmlformats.org/officeDocument/2006/relationships/ctrlProp" Target="../ctrlProps/ctrlProp75.xml"/><Relationship Id="rId141" Type="http://schemas.openxmlformats.org/officeDocument/2006/relationships/ctrlProp" Target="../ctrlProps/ctrlProp140.xml"/><Relationship Id="rId379" Type="http://schemas.openxmlformats.org/officeDocument/2006/relationships/ctrlProp" Target="../ctrlProps/ctrlProp378.xml"/><Relationship Id="rId586" Type="http://schemas.openxmlformats.org/officeDocument/2006/relationships/ctrlProp" Target="../ctrlProps/ctrlProp585.xml"/><Relationship Id="rId7" Type="http://schemas.openxmlformats.org/officeDocument/2006/relationships/ctrlProp" Target="../ctrlProps/ctrlProp6.xml"/><Relationship Id="rId239" Type="http://schemas.openxmlformats.org/officeDocument/2006/relationships/ctrlProp" Target="../ctrlProps/ctrlProp238.xml"/><Relationship Id="rId446" Type="http://schemas.openxmlformats.org/officeDocument/2006/relationships/ctrlProp" Target="../ctrlProps/ctrlProp445.xml"/><Relationship Id="rId653" Type="http://schemas.openxmlformats.org/officeDocument/2006/relationships/ctrlProp" Target="../ctrlProps/ctrlProp652.xml"/><Relationship Id="rId292" Type="http://schemas.openxmlformats.org/officeDocument/2006/relationships/ctrlProp" Target="../ctrlProps/ctrlProp291.xml"/><Relationship Id="rId306" Type="http://schemas.openxmlformats.org/officeDocument/2006/relationships/ctrlProp" Target="../ctrlProps/ctrlProp305.xml"/><Relationship Id="rId87" Type="http://schemas.openxmlformats.org/officeDocument/2006/relationships/ctrlProp" Target="../ctrlProps/ctrlProp86.xml"/><Relationship Id="rId513" Type="http://schemas.openxmlformats.org/officeDocument/2006/relationships/ctrlProp" Target="../ctrlProps/ctrlProp512.xml"/><Relationship Id="rId597" Type="http://schemas.openxmlformats.org/officeDocument/2006/relationships/ctrlProp" Target="../ctrlProps/ctrlProp596.xml"/><Relationship Id="rId152" Type="http://schemas.openxmlformats.org/officeDocument/2006/relationships/ctrlProp" Target="../ctrlProps/ctrlProp151.xml"/><Relationship Id="rId457" Type="http://schemas.openxmlformats.org/officeDocument/2006/relationships/ctrlProp" Target="../ctrlProps/ctrlProp456.xml"/><Relationship Id="rId664" Type="http://schemas.openxmlformats.org/officeDocument/2006/relationships/ctrlProp" Target="../ctrlProps/ctrlProp663.xml"/><Relationship Id="rId14" Type="http://schemas.openxmlformats.org/officeDocument/2006/relationships/ctrlProp" Target="../ctrlProps/ctrlProp13.xml"/><Relationship Id="rId317" Type="http://schemas.openxmlformats.org/officeDocument/2006/relationships/ctrlProp" Target="../ctrlProps/ctrlProp316.xml"/><Relationship Id="rId524" Type="http://schemas.openxmlformats.org/officeDocument/2006/relationships/ctrlProp" Target="../ctrlProps/ctrlProp523.xml"/><Relationship Id="rId98" Type="http://schemas.openxmlformats.org/officeDocument/2006/relationships/ctrlProp" Target="../ctrlProps/ctrlProp97.xml"/><Relationship Id="rId163" Type="http://schemas.openxmlformats.org/officeDocument/2006/relationships/ctrlProp" Target="../ctrlProps/ctrlProp162.xml"/><Relationship Id="rId370" Type="http://schemas.openxmlformats.org/officeDocument/2006/relationships/ctrlProp" Target="../ctrlProps/ctrlProp369.xml"/><Relationship Id="rId230" Type="http://schemas.openxmlformats.org/officeDocument/2006/relationships/ctrlProp" Target="../ctrlProps/ctrlProp229.xml"/><Relationship Id="rId468" Type="http://schemas.openxmlformats.org/officeDocument/2006/relationships/ctrlProp" Target="../ctrlProps/ctrlProp467.xml"/><Relationship Id="rId675" Type="http://schemas.openxmlformats.org/officeDocument/2006/relationships/ctrlProp" Target="../ctrlProps/ctrlProp674.xml"/><Relationship Id="rId25" Type="http://schemas.openxmlformats.org/officeDocument/2006/relationships/ctrlProp" Target="../ctrlProps/ctrlProp24.xml"/><Relationship Id="rId328" Type="http://schemas.openxmlformats.org/officeDocument/2006/relationships/ctrlProp" Target="../ctrlProps/ctrlProp327.xml"/><Relationship Id="rId535" Type="http://schemas.openxmlformats.org/officeDocument/2006/relationships/ctrlProp" Target="../ctrlProps/ctrlProp534.xml"/><Relationship Id="rId174" Type="http://schemas.openxmlformats.org/officeDocument/2006/relationships/ctrlProp" Target="../ctrlProps/ctrlProp173.xml"/><Relationship Id="rId381" Type="http://schemas.openxmlformats.org/officeDocument/2006/relationships/ctrlProp" Target="../ctrlProps/ctrlProp380.xml"/><Relationship Id="rId602" Type="http://schemas.openxmlformats.org/officeDocument/2006/relationships/ctrlProp" Target="../ctrlProps/ctrlProp601.xml"/><Relationship Id="rId241" Type="http://schemas.openxmlformats.org/officeDocument/2006/relationships/ctrlProp" Target="../ctrlProps/ctrlProp240.xml"/><Relationship Id="rId479" Type="http://schemas.openxmlformats.org/officeDocument/2006/relationships/ctrlProp" Target="../ctrlProps/ctrlProp478.xml"/><Relationship Id="rId686" Type="http://schemas.openxmlformats.org/officeDocument/2006/relationships/ctrlProp" Target="../ctrlProps/ctrlProp685.xml"/><Relationship Id="rId36" Type="http://schemas.openxmlformats.org/officeDocument/2006/relationships/ctrlProp" Target="../ctrlProps/ctrlProp35.xml"/><Relationship Id="rId339" Type="http://schemas.openxmlformats.org/officeDocument/2006/relationships/ctrlProp" Target="../ctrlProps/ctrlProp338.xml"/><Relationship Id="rId546" Type="http://schemas.openxmlformats.org/officeDocument/2006/relationships/ctrlProp" Target="../ctrlProps/ctrlProp545.xml"/><Relationship Id="rId101" Type="http://schemas.openxmlformats.org/officeDocument/2006/relationships/ctrlProp" Target="../ctrlProps/ctrlProp100.xml"/><Relationship Id="rId185" Type="http://schemas.openxmlformats.org/officeDocument/2006/relationships/ctrlProp" Target="../ctrlProps/ctrlProp184.xml"/><Relationship Id="rId406" Type="http://schemas.openxmlformats.org/officeDocument/2006/relationships/ctrlProp" Target="../ctrlProps/ctrlProp405.xml"/><Relationship Id="rId392" Type="http://schemas.openxmlformats.org/officeDocument/2006/relationships/ctrlProp" Target="../ctrlProps/ctrlProp391.xml"/><Relationship Id="rId613" Type="http://schemas.openxmlformats.org/officeDocument/2006/relationships/ctrlProp" Target="../ctrlProps/ctrlProp612.xml"/><Relationship Id="rId697" Type="http://schemas.openxmlformats.org/officeDocument/2006/relationships/ctrlProp" Target="../ctrlProps/ctrlProp696.xml"/><Relationship Id="rId252" Type="http://schemas.openxmlformats.org/officeDocument/2006/relationships/ctrlProp" Target="../ctrlProps/ctrlProp251.xml"/><Relationship Id="rId47" Type="http://schemas.openxmlformats.org/officeDocument/2006/relationships/ctrlProp" Target="../ctrlProps/ctrlProp46.xml"/><Relationship Id="rId112" Type="http://schemas.openxmlformats.org/officeDocument/2006/relationships/ctrlProp" Target="../ctrlProps/ctrlProp111.xml"/><Relationship Id="rId557" Type="http://schemas.openxmlformats.org/officeDocument/2006/relationships/ctrlProp" Target="../ctrlProps/ctrlProp556.xml"/><Relationship Id="rId196" Type="http://schemas.openxmlformats.org/officeDocument/2006/relationships/ctrlProp" Target="../ctrlProps/ctrlProp195.xml"/><Relationship Id="rId417" Type="http://schemas.openxmlformats.org/officeDocument/2006/relationships/ctrlProp" Target="../ctrlProps/ctrlProp416.xml"/><Relationship Id="rId624" Type="http://schemas.openxmlformats.org/officeDocument/2006/relationships/ctrlProp" Target="../ctrlProps/ctrlProp623.xml"/><Relationship Id="rId263" Type="http://schemas.openxmlformats.org/officeDocument/2006/relationships/ctrlProp" Target="../ctrlProps/ctrlProp262.xml"/><Relationship Id="rId470" Type="http://schemas.openxmlformats.org/officeDocument/2006/relationships/ctrlProp" Target="../ctrlProps/ctrlProp469.xml"/><Relationship Id="rId58" Type="http://schemas.openxmlformats.org/officeDocument/2006/relationships/ctrlProp" Target="../ctrlProps/ctrlProp57.xml"/><Relationship Id="rId123" Type="http://schemas.openxmlformats.org/officeDocument/2006/relationships/ctrlProp" Target="../ctrlProps/ctrlProp122.xml"/><Relationship Id="rId330" Type="http://schemas.openxmlformats.org/officeDocument/2006/relationships/ctrlProp" Target="../ctrlProps/ctrlProp329.xml"/><Relationship Id="rId568" Type="http://schemas.openxmlformats.org/officeDocument/2006/relationships/ctrlProp" Target="../ctrlProps/ctrlProp567.xml"/><Relationship Id="rId428" Type="http://schemas.openxmlformats.org/officeDocument/2006/relationships/ctrlProp" Target="../ctrlProps/ctrlProp427.xml"/><Relationship Id="rId635" Type="http://schemas.openxmlformats.org/officeDocument/2006/relationships/ctrlProp" Target="../ctrlProps/ctrlProp634.xml"/><Relationship Id="rId274" Type="http://schemas.openxmlformats.org/officeDocument/2006/relationships/ctrlProp" Target="../ctrlProps/ctrlProp273.xml"/><Relationship Id="rId481" Type="http://schemas.openxmlformats.org/officeDocument/2006/relationships/ctrlProp" Target="../ctrlProps/ctrlProp480.xml"/><Relationship Id="rId69" Type="http://schemas.openxmlformats.org/officeDocument/2006/relationships/ctrlProp" Target="../ctrlProps/ctrlProp68.xml"/><Relationship Id="rId134" Type="http://schemas.openxmlformats.org/officeDocument/2006/relationships/ctrlProp" Target="../ctrlProps/ctrlProp133.xml"/><Relationship Id="rId579" Type="http://schemas.openxmlformats.org/officeDocument/2006/relationships/ctrlProp" Target="../ctrlProps/ctrlProp578.xml"/><Relationship Id="rId341" Type="http://schemas.openxmlformats.org/officeDocument/2006/relationships/ctrlProp" Target="../ctrlProps/ctrlProp340.xml"/><Relationship Id="rId439" Type="http://schemas.openxmlformats.org/officeDocument/2006/relationships/ctrlProp" Target="../ctrlProps/ctrlProp438.xml"/><Relationship Id="rId646" Type="http://schemas.openxmlformats.org/officeDocument/2006/relationships/ctrlProp" Target="../ctrlProps/ctrlProp645.xml"/><Relationship Id="rId201" Type="http://schemas.openxmlformats.org/officeDocument/2006/relationships/ctrlProp" Target="../ctrlProps/ctrlProp200.xml"/><Relationship Id="rId285" Type="http://schemas.openxmlformats.org/officeDocument/2006/relationships/ctrlProp" Target="../ctrlProps/ctrlProp284.xml"/><Relationship Id="rId506" Type="http://schemas.openxmlformats.org/officeDocument/2006/relationships/ctrlProp" Target="../ctrlProps/ctrlProp505.xml"/><Relationship Id="rId492" Type="http://schemas.openxmlformats.org/officeDocument/2006/relationships/ctrlProp" Target="../ctrlProps/ctrlProp491.xml"/><Relationship Id="rId145" Type="http://schemas.openxmlformats.org/officeDocument/2006/relationships/ctrlProp" Target="../ctrlProps/ctrlProp144.xml"/><Relationship Id="rId352" Type="http://schemas.openxmlformats.org/officeDocument/2006/relationships/ctrlProp" Target="../ctrlProps/ctrlProp351.xml"/><Relationship Id="rId212" Type="http://schemas.openxmlformats.org/officeDocument/2006/relationships/ctrlProp" Target="../ctrlProps/ctrlProp211.xml"/><Relationship Id="rId657" Type="http://schemas.openxmlformats.org/officeDocument/2006/relationships/ctrlProp" Target="../ctrlProps/ctrlProp656.xml"/><Relationship Id="rId296" Type="http://schemas.openxmlformats.org/officeDocument/2006/relationships/ctrlProp" Target="../ctrlProps/ctrlProp295.xml"/><Relationship Id="rId517" Type="http://schemas.openxmlformats.org/officeDocument/2006/relationships/ctrlProp" Target="../ctrlProps/ctrlProp516.xml"/><Relationship Id="rId60" Type="http://schemas.openxmlformats.org/officeDocument/2006/relationships/ctrlProp" Target="../ctrlProps/ctrlProp59.xml"/><Relationship Id="rId156" Type="http://schemas.openxmlformats.org/officeDocument/2006/relationships/ctrlProp" Target="../ctrlProps/ctrlProp155.xml"/><Relationship Id="rId363" Type="http://schemas.openxmlformats.org/officeDocument/2006/relationships/ctrlProp" Target="../ctrlProps/ctrlProp362.xml"/><Relationship Id="rId570" Type="http://schemas.openxmlformats.org/officeDocument/2006/relationships/ctrlProp" Target="../ctrlProps/ctrlProp569.xml"/><Relationship Id="rId223" Type="http://schemas.openxmlformats.org/officeDocument/2006/relationships/ctrlProp" Target="../ctrlProps/ctrlProp222.xml"/><Relationship Id="rId430" Type="http://schemas.openxmlformats.org/officeDocument/2006/relationships/ctrlProp" Target="../ctrlProps/ctrlProp429.xml"/><Relationship Id="rId668" Type="http://schemas.openxmlformats.org/officeDocument/2006/relationships/ctrlProp" Target="../ctrlProps/ctrlProp667.xml"/><Relationship Id="rId18" Type="http://schemas.openxmlformats.org/officeDocument/2006/relationships/ctrlProp" Target="../ctrlProps/ctrlProp17.xml"/><Relationship Id="rId265" Type="http://schemas.openxmlformats.org/officeDocument/2006/relationships/ctrlProp" Target="../ctrlProps/ctrlProp264.xml"/><Relationship Id="rId472" Type="http://schemas.openxmlformats.org/officeDocument/2006/relationships/ctrlProp" Target="../ctrlProps/ctrlProp471.xml"/><Relationship Id="rId528" Type="http://schemas.openxmlformats.org/officeDocument/2006/relationships/ctrlProp" Target="../ctrlProps/ctrlProp527.xml"/><Relationship Id="rId125" Type="http://schemas.openxmlformats.org/officeDocument/2006/relationships/ctrlProp" Target="../ctrlProps/ctrlProp124.xml"/><Relationship Id="rId167" Type="http://schemas.openxmlformats.org/officeDocument/2006/relationships/ctrlProp" Target="../ctrlProps/ctrlProp166.xml"/><Relationship Id="rId332" Type="http://schemas.openxmlformats.org/officeDocument/2006/relationships/ctrlProp" Target="../ctrlProps/ctrlProp331.xml"/><Relationship Id="rId374" Type="http://schemas.openxmlformats.org/officeDocument/2006/relationships/ctrlProp" Target="../ctrlProps/ctrlProp373.xml"/><Relationship Id="rId581" Type="http://schemas.openxmlformats.org/officeDocument/2006/relationships/ctrlProp" Target="../ctrlProps/ctrlProp580.xml"/><Relationship Id="rId71" Type="http://schemas.openxmlformats.org/officeDocument/2006/relationships/ctrlProp" Target="../ctrlProps/ctrlProp70.xml"/><Relationship Id="rId234" Type="http://schemas.openxmlformats.org/officeDocument/2006/relationships/ctrlProp" Target="../ctrlProps/ctrlProp233.xml"/><Relationship Id="rId637" Type="http://schemas.openxmlformats.org/officeDocument/2006/relationships/ctrlProp" Target="../ctrlProps/ctrlProp636.xml"/><Relationship Id="rId679" Type="http://schemas.openxmlformats.org/officeDocument/2006/relationships/ctrlProp" Target="../ctrlProps/ctrlProp678.xml"/><Relationship Id="rId2" Type="http://schemas.openxmlformats.org/officeDocument/2006/relationships/vmlDrawing" Target="../drawings/vmlDrawing3.vml"/><Relationship Id="rId29" Type="http://schemas.openxmlformats.org/officeDocument/2006/relationships/ctrlProp" Target="../ctrlProps/ctrlProp28.xml"/><Relationship Id="rId276" Type="http://schemas.openxmlformats.org/officeDocument/2006/relationships/ctrlProp" Target="../ctrlProps/ctrlProp275.xml"/><Relationship Id="rId441" Type="http://schemas.openxmlformats.org/officeDocument/2006/relationships/ctrlProp" Target="../ctrlProps/ctrlProp440.xml"/><Relationship Id="rId483" Type="http://schemas.openxmlformats.org/officeDocument/2006/relationships/ctrlProp" Target="../ctrlProps/ctrlProp482.xml"/><Relationship Id="rId539" Type="http://schemas.openxmlformats.org/officeDocument/2006/relationships/ctrlProp" Target="../ctrlProps/ctrlProp538.xml"/><Relationship Id="rId690" Type="http://schemas.openxmlformats.org/officeDocument/2006/relationships/ctrlProp" Target="../ctrlProps/ctrlProp689.xml"/><Relationship Id="rId40" Type="http://schemas.openxmlformats.org/officeDocument/2006/relationships/ctrlProp" Target="../ctrlProps/ctrlProp39.xml"/><Relationship Id="rId136" Type="http://schemas.openxmlformats.org/officeDocument/2006/relationships/ctrlProp" Target="../ctrlProps/ctrlProp135.xml"/><Relationship Id="rId178" Type="http://schemas.openxmlformats.org/officeDocument/2006/relationships/ctrlProp" Target="../ctrlProps/ctrlProp177.xml"/><Relationship Id="rId301" Type="http://schemas.openxmlformats.org/officeDocument/2006/relationships/ctrlProp" Target="../ctrlProps/ctrlProp300.xml"/><Relationship Id="rId343" Type="http://schemas.openxmlformats.org/officeDocument/2006/relationships/ctrlProp" Target="../ctrlProps/ctrlProp342.xml"/><Relationship Id="rId550" Type="http://schemas.openxmlformats.org/officeDocument/2006/relationships/ctrlProp" Target="../ctrlProps/ctrlProp549.xml"/><Relationship Id="rId82" Type="http://schemas.openxmlformats.org/officeDocument/2006/relationships/ctrlProp" Target="../ctrlProps/ctrlProp81.xml"/><Relationship Id="rId203" Type="http://schemas.openxmlformats.org/officeDocument/2006/relationships/ctrlProp" Target="../ctrlProps/ctrlProp202.xml"/><Relationship Id="rId385" Type="http://schemas.openxmlformats.org/officeDocument/2006/relationships/ctrlProp" Target="../ctrlProps/ctrlProp384.xml"/><Relationship Id="rId592" Type="http://schemas.openxmlformats.org/officeDocument/2006/relationships/ctrlProp" Target="../ctrlProps/ctrlProp591.xml"/><Relationship Id="rId606" Type="http://schemas.openxmlformats.org/officeDocument/2006/relationships/ctrlProp" Target="../ctrlProps/ctrlProp605.xml"/><Relationship Id="rId648" Type="http://schemas.openxmlformats.org/officeDocument/2006/relationships/ctrlProp" Target="../ctrlProps/ctrlProp647.xml"/><Relationship Id="rId245" Type="http://schemas.openxmlformats.org/officeDocument/2006/relationships/ctrlProp" Target="../ctrlProps/ctrlProp244.xml"/><Relationship Id="rId287" Type="http://schemas.openxmlformats.org/officeDocument/2006/relationships/ctrlProp" Target="../ctrlProps/ctrlProp286.xml"/><Relationship Id="rId410" Type="http://schemas.openxmlformats.org/officeDocument/2006/relationships/ctrlProp" Target="../ctrlProps/ctrlProp409.xml"/><Relationship Id="rId452" Type="http://schemas.openxmlformats.org/officeDocument/2006/relationships/ctrlProp" Target="../ctrlProps/ctrlProp451.xml"/><Relationship Id="rId494" Type="http://schemas.openxmlformats.org/officeDocument/2006/relationships/ctrlProp" Target="../ctrlProps/ctrlProp493.xml"/><Relationship Id="rId508" Type="http://schemas.openxmlformats.org/officeDocument/2006/relationships/ctrlProp" Target="../ctrlProps/ctrlProp507.xml"/><Relationship Id="rId105" Type="http://schemas.openxmlformats.org/officeDocument/2006/relationships/ctrlProp" Target="../ctrlProps/ctrlProp104.xml"/><Relationship Id="rId147" Type="http://schemas.openxmlformats.org/officeDocument/2006/relationships/ctrlProp" Target="../ctrlProps/ctrlProp146.xml"/><Relationship Id="rId312" Type="http://schemas.openxmlformats.org/officeDocument/2006/relationships/ctrlProp" Target="../ctrlProps/ctrlProp311.xml"/><Relationship Id="rId354" Type="http://schemas.openxmlformats.org/officeDocument/2006/relationships/ctrlProp" Target="../ctrlProps/ctrlProp353.xml"/><Relationship Id="rId51" Type="http://schemas.openxmlformats.org/officeDocument/2006/relationships/ctrlProp" Target="../ctrlProps/ctrlProp50.xml"/><Relationship Id="rId93" Type="http://schemas.openxmlformats.org/officeDocument/2006/relationships/ctrlProp" Target="../ctrlProps/ctrlProp92.xml"/><Relationship Id="rId189" Type="http://schemas.openxmlformats.org/officeDocument/2006/relationships/ctrlProp" Target="../ctrlProps/ctrlProp188.xml"/><Relationship Id="rId396" Type="http://schemas.openxmlformats.org/officeDocument/2006/relationships/ctrlProp" Target="../ctrlProps/ctrlProp395.xml"/><Relationship Id="rId561" Type="http://schemas.openxmlformats.org/officeDocument/2006/relationships/ctrlProp" Target="../ctrlProps/ctrlProp560.xml"/><Relationship Id="rId617" Type="http://schemas.openxmlformats.org/officeDocument/2006/relationships/ctrlProp" Target="../ctrlProps/ctrlProp616.xml"/><Relationship Id="rId659" Type="http://schemas.openxmlformats.org/officeDocument/2006/relationships/ctrlProp" Target="../ctrlProps/ctrlProp658.xml"/><Relationship Id="rId214" Type="http://schemas.openxmlformats.org/officeDocument/2006/relationships/ctrlProp" Target="../ctrlProps/ctrlProp213.xml"/><Relationship Id="rId256" Type="http://schemas.openxmlformats.org/officeDocument/2006/relationships/ctrlProp" Target="../ctrlProps/ctrlProp255.xml"/><Relationship Id="rId298" Type="http://schemas.openxmlformats.org/officeDocument/2006/relationships/ctrlProp" Target="../ctrlProps/ctrlProp297.xml"/><Relationship Id="rId421" Type="http://schemas.openxmlformats.org/officeDocument/2006/relationships/ctrlProp" Target="../ctrlProps/ctrlProp420.xml"/><Relationship Id="rId463" Type="http://schemas.openxmlformats.org/officeDocument/2006/relationships/ctrlProp" Target="../ctrlProps/ctrlProp462.xml"/><Relationship Id="rId519" Type="http://schemas.openxmlformats.org/officeDocument/2006/relationships/ctrlProp" Target="../ctrlProps/ctrlProp518.xml"/><Relationship Id="rId670" Type="http://schemas.openxmlformats.org/officeDocument/2006/relationships/ctrlProp" Target="../ctrlProps/ctrlProp669.xml"/><Relationship Id="rId116" Type="http://schemas.openxmlformats.org/officeDocument/2006/relationships/ctrlProp" Target="../ctrlProps/ctrlProp115.xml"/><Relationship Id="rId158" Type="http://schemas.openxmlformats.org/officeDocument/2006/relationships/ctrlProp" Target="../ctrlProps/ctrlProp157.xml"/><Relationship Id="rId323" Type="http://schemas.openxmlformats.org/officeDocument/2006/relationships/ctrlProp" Target="../ctrlProps/ctrlProp322.xml"/><Relationship Id="rId530" Type="http://schemas.openxmlformats.org/officeDocument/2006/relationships/ctrlProp" Target="../ctrlProps/ctrlProp529.xml"/><Relationship Id="rId20" Type="http://schemas.openxmlformats.org/officeDocument/2006/relationships/ctrlProp" Target="../ctrlProps/ctrlProp19.xml"/><Relationship Id="rId62" Type="http://schemas.openxmlformats.org/officeDocument/2006/relationships/ctrlProp" Target="../ctrlProps/ctrlProp61.xml"/><Relationship Id="rId365" Type="http://schemas.openxmlformats.org/officeDocument/2006/relationships/ctrlProp" Target="../ctrlProps/ctrlProp364.xml"/><Relationship Id="rId572" Type="http://schemas.openxmlformats.org/officeDocument/2006/relationships/ctrlProp" Target="../ctrlProps/ctrlProp571.xml"/><Relationship Id="rId628" Type="http://schemas.openxmlformats.org/officeDocument/2006/relationships/ctrlProp" Target="../ctrlProps/ctrlProp627.xml"/><Relationship Id="rId225" Type="http://schemas.openxmlformats.org/officeDocument/2006/relationships/ctrlProp" Target="../ctrlProps/ctrlProp224.xml"/><Relationship Id="rId267" Type="http://schemas.openxmlformats.org/officeDocument/2006/relationships/ctrlProp" Target="../ctrlProps/ctrlProp266.xml"/><Relationship Id="rId432" Type="http://schemas.openxmlformats.org/officeDocument/2006/relationships/ctrlProp" Target="../ctrlProps/ctrlProp431.xml"/><Relationship Id="rId474" Type="http://schemas.openxmlformats.org/officeDocument/2006/relationships/ctrlProp" Target="../ctrlProps/ctrlProp473.xml"/><Relationship Id="rId127" Type="http://schemas.openxmlformats.org/officeDocument/2006/relationships/ctrlProp" Target="../ctrlProps/ctrlProp126.xml"/><Relationship Id="rId681" Type="http://schemas.openxmlformats.org/officeDocument/2006/relationships/ctrlProp" Target="../ctrlProps/ctrlProp680.xml"/><Relationship Id="rId31" Type="http://schemas.openxmlformats.org/officeDocument/2006/relationships/ctrlProp" Target="../ctrlProps/ctrlProp30.xml"/><Relationship Id="rId73" Type="http://schemas.openxmlformats.org/officeDocument/2006/relationships/ctrlProp" Target="../ctrlProps/ctrlProp72.xml"/><Relationship Id="rId169" Type="http://schemas.openxmlformats.org/officeDocument/2006/relationships/ctrlProp" Target="../ctrlProps/ctrlProp168.xml"/><Relationship Id="rId334" Type="http://schemas.openxmlformats.org/officeDocument/2006/relationships/ctrlProp" Target="../ctrlProps/ctrlProp333.xml"/><Relationship Id="rId376" Type="http://schemas.openxmlformats.org/officeDocument/2006/relationships/ctrlProp" Target="../ctrlProps/ctrlProp375.xml"/><Relationship Id="rId541" Type="http://schemas.openxmlformats.org/officeDocument/2006/relationships/ctrlProp" Target="../ctrlProps/ctrlProp540.xml"/><Relationship Id="rId583" Type="http://schemas.openxmlformats.org/officeDocument/2006/relationships/ctrlProp" Target="../ctrlProps/ctrlProp582.xml"/><Relationship Id="rId639" Type="http://schemas.openxmlformats.org/officeDocument/2006/relationships/ctrlProp" Target="../ctrlProps/ctrlProp638.xml"/><Relationship Id="rId4" Type="http://schemas.openxmlformats.org/officeDocument/2006/relationships/ctrlProp" Target="../ctrlProps/ctrlProp3.xml"/><Relationship Id="rId180" Type="http://schemas.openxmlformats.org/officeDocument/2006/relationships/ctrlProp" Target="../ctrlProps/ctrlProp179.xml"/><Relationship Id="rId236" Type="http://schemas.openxmlformats.org/officeDocument/2006/relationships/ctrlProp" Target="../ctrlProps/ctrlProp235.xml"/><Relationship Id="rId278" Type="http://schemas.openxmlformats.org/officeDocument/2006/relationships/ctrlProp" Target="../ctrlProps/ctrlProp277.xml"/><Relationship Id="rId401" Type="http://schemas.openxmlformats.org/officeDocument/2006/relationships/ctrlProp" Target="../ctrlProps/ctrlProp400.xml"/><Relationship Id="rId443" Type="http://schemas.openxmlformats.org/officeDocument/2006/relationships/ctrlProp" Target="../ctrlProps/ctrlProp442.xml"/><Relationship Id="rId650" Type="http://schemas.openxmlformats.org/officeDocument/2006/relationships/ctrlProp" Target="../ctrlProps/ctrlProp649.xml"/><Relationship Id="rId303" Type="http://schemas.openxmlformats.org/officeDocument/2006/relationships/ctrlProp" Target="../ctrlProps/ctrlProp302.xml"/><Relationship Id="rId485" Type="http://schemas.openxmlformats.org/officeDocument/2006/relationships/ctrlProp" Target="../ctrlProps/ctrlProp484.xml"/><Relationship Id="rId692" Type="http://schemas.openxmlformats.org/officeDocument/2006/relationships/ctrlProp" Target="../ctrlProps/ctrlProp691.xml"/><Relationship Id="rId42" Type="http://schemas.openxmlformats.org/officeDocument/2006/relationships/ctrlProp" Target="../ctrlProps/ctrlProp41.xml"/><Relationship Id="rId84" Type="http://schemas.openxmlformats.org/officeDocument/2006/relationships/ctrlProp" Target="../ctrlProps/ctrlProp83.xml"/><Relationship Id="rId138" Type="http://schemas.openxmlformats.org/officeDocument/2006/relationships/ctrlProp" Target="../ctrlProps/ctrlProp137.xml"/><Relationship Id="rId345" Type="http://schemas.openxmlformats.org/officeDocument/2006/relationships/ctrlProp" Target="../ctrlProps/ctrlProp344.xml"/><Relationship Id="rId387" Type="http://schemas.openxmlformats.org/officeDocument/2006/relationships/ctrlProp" Target="../ctrlProps/ctrlProp386.xml"/><Relationship Id="rId510" Type="http://schemas.openxmlformats.org/officeDocument/2006/relationships/ctrlProp" Target="../ctrlProps/ctrlProp509.xml"/><Relationship Id="rId552" Type="http://schemas.openxmlformats.org/officeDocument/2006/relationships/ctrlProp" Target="../ctrlProps/ctrlProp551.xml"/><Relationship Id="rId594" Type="http://schemas.openxmlformats.org/officeDocument/2006/relationships/ctrlProp" Target="../ctrlProps/ctrlProp593.xml"/><Relationship Id="rId608" Type="http://schemas.openxmlformats.org/officeDocument/2006/relationships/ctrlProp" Target="../ctrlProps/ctrlProp607.xml"/><Relationship Id="rId191" Type="http://schemas.openxmlformats.org/officeDocument/2006/relationships/ctrlProp" Target="../ctrlProps/ctrlProp190.xml"/><Relationship Id="rId205" Type="http://schemas.openxmlformats.org/officeDocument/2006/relationships/ctrlProp" Target="../ctrlProps/ctrlProp204.xml"/><Relationship Id="rId247" Type="http://schemas.openxmlformats.org/officeDocument/2006/relationships/ctrlProp" Target="../ctrlProps/ctrlProp246.xml"/><Relationship Id="rId412" Type="http://schemas.openxmlformats.org/officeDocument/2006/relationships/ctrlProp" Target="../ctrlProps/ctrlProp411.xml"/><Relationship Id="rId107" Type="http://schemas.openxmlformats.org/officeDocument/2006/relationships/ctrlProp" Target="../ctrlProps/ctrlProp106.xml"/><Relationship Id="rId289" Type="http://schemas.openxmlformats.org/officeDocument/2006/relationships/ctrlProp" Target="../ctrlProps/ctrlProp288.xml"/><Relationship Id="rId454" Type="http://schemas.openxmlformats.org/officeDocument/2006/relationships/ctrlProp" Target="../ctrlProps/ctrlProp453.xml"/><Relationship Id="rId496" Type="http://schemas.openxmlformats.org/officeDocument/2006/relationships/ctrlProp" Target="../ctrlProps/ctrlProp495.xml"/><Relationship Id="rId661" Type="http://schemas.openxmlformats.org/officeDocument/2006/relationships/ctrlProp" Target="../ctrlProps/ctrlProp660.xml"/><Relationship Id="rId11" Type="http://schemas.openxmlformats.org/officeDocument/2006/relationships/ctrlProp" Target="../ctrlProps/ctrlProp10.xml"/><Relationship Id="rId53" Type="http://schemas.openxmlformats.org/officeDocument/2006/relationships/ctrlProp" Target="../ctrlProps/ctrlProp52.xml"/><Relationship Id="rId149" Type="http://schemas.openxmlformats.org/officeDocument/2006/relationships/ctrlProp" Target="../ctrlProps/ctrlProp148.xml"/><Relationship Id="rId314" Type="http://schemas.openxmlformats.org/officeDocument/2006/relationships/ctrlProp" Target="../ctrlProps/ctrlProp313.xml"/><Relationship Id="rId356" Type="http://schemas.openxmlformats.org/officeDocument/2006/relationships/ctrlProp" Target="../ctrlProps/ctrlProp355.xml"/><Relationship Id="rId398" Type="http://schemas.openxmlformats.org/officeDocument/2006/relationships/ctrlProp" Target="../ctrlProps/ctrlProp397.xml"/><Relationship Id="rId521" Type="http://schemas.openxmlformats.org/officeDocument/2006/relationships/ctrlProp" Target="../ctrlProps/ctrlProp520.xml"/><Relationship Id="rId563" Type="http://schemas.openxmlformats.org/officeDocument/2006/relationships/ctrlProp" Target="../ctrlProps/ctrlProp562.xml"/><Relationship Id="rId619" Type="http://schemas.openxmlformats.org/officeDocument/2006/relationships/ctrlProp" Target="../ctrlProps/ctrlProp618.xml"/><Relationship Id="rId95" Type="http://schemas.openxmlformats.org/officeDocument/2006/relationships/ctrlProp" Target="../ctrlProps/ctrlProp94.xml"/><Relationship Id="rId160" Type="http://schemas.openxmlformats.org/officeDocument/2006/relationships/ctrlProp" Target="../ctrlProps/ctrlProp159.xml"/><Relationship Id="rId216" Type="http://schemas.openxmlformats.org/officeDocument/2006/relationships/ctrlProp" Target="../ctrlProps/ctrlProp215.xml"/><Relationship Id="rId423" Type="http://schemas.openxmlformats.org/officeDocument/2006/relationships/ctrlProp" Target="../ctrlProps/ctrlProp422.xml"/><Relationship Id="rId258" Type="http://schemas.openxmlformats.org/officeDocument/2006/relationships/ctrlProp" Target="../ctrlProps/ctrlProp257.xml"/><Relationship Id="rId465" Type="http://schemas.openxmlformats.org/officeDocument/2006/relationships/ctrlProp" Target="../ctrlProps/ctrlProp464.xml"/><Relationship Id="rId630" Type="http://schemas.openxmlformats.org/officeDocument/2006/relationships/ctrlProp" Target="../ctrlProps/ctrlProp629.xml"/><Relationship Id="rId672" Type="http://schemas.openxmlformats.org/officeDocument/2006/relationships/ctrlProp" Target="../ctrlProps/ctrlProp671.xml"/><Relationship Id="rId22" Type="http://schemas.openxmlformats.org/officeDocument/2006/relationships/ctrlProp" Target="../ctrlProps/ctrlProp21.xml"/><Relationship Id="rId64" Type="http://schemas.openxmlformats.org/officeDocument/2006/relationships/ctrlProp" Target="../ctrlProps/ctrlProp63.xml"/><Relationship Id="rId118" Type="http://schemas.openxmlformats.org/officeDocument/2006/relationships/ctrlProp" Target="../ctrlProps/ctrlProp117.xml"/><Relationship Id="rId325" Type="http://schemas.openxmlformats.org/officeDocument/2006/relationships/ctrlProp" Target="../ctrlProps/ctrlProp324.xml"/><Relationship Id="rId367" Type="http://schemas.openxmlformats.org/officeDocument/2006/relationships/ctrlProp" Target="../ctrlProps/ctrlProp366.xml"/><Relationship Id="rId532" Type="http://schemas.openxmlformats.org/officeDocument/2006/relationships/ctrlProp" Target="../ctrlProps/ctrlProp531.xml"/><Relationship Id="rId574" Type="http://schemas.openxmlformats.org/officeDocument/2006/relationships/ctrlProp" Target="../ctrlProps/ctrlProp573.xml"/><Relationship Id="rId171" Type="http://schemas.openxmlformats.org/officeDocument/2006/relationships/ctrlProp" Target="../ctrlProps/ctrlProp170.xml"/><Relationship Id="rId227" Type="http://schemas.openxmlformats.org/officeDocument/2006/relationships/ctrlProp" Target="../ctrlProps/ctrlProp226.xml"/><Relationship Id="rId269" Type="http://schemas.openxmlformats.org/officeDocument/2006/relationships/ctrlProp" Target="../ctrlProps/ctrlProp268.xml"/><Relationship Id="rId434" Type="http://schemas.openxmlformats.org/officeDocument/2006/relationships/ctrlProp" Target="../ctrlProps/ctrlProp433.xml"/><Relationship Id="rId476" Type="http://schemas.openxmlformats.org/officeDocument/2006/relationships/ctrlProp" Target="../ctrlProps/ctrlProp475.xml"/><Relationship Id="rId641" Type="http://schemas.openxmlformats.org/officeDocument/2006/relationships/ctrlProp" Target="../ctrlProps/ctrlProp640.xml"/><Relationship Id="rId683" Type="http://schemas.openxmlformats.org/officeDocument/2006/relationships/ctrlProp" Target="../ctrlProps/ctrlProp682.xml"/><Relationship Id="rId33" Type="http://schemas.openxmlformats.org/officeDocument/2006/relationships/ctrlProp" Target="../ctrlProps/ctrlProp32.xml"/><Relationship Id="rId129" Type="http://schemas.openxmlformats.org/officeDocument/2006/relationships/ctrlProp" Target="../ctrlProps/ctrlProp128.xml"/><Relationship Id="rId280" Type="http://schemas.openxmlformats.org/officeDocument/2006/relationships/ctrlProp" Target="../ctrlProps/ctrlProp279.xml"/><Relationship Id="rId336" Type="http://schemas.openxmlformats.org/officeDocument/2006/relationships/ctrlProp" Target="../ctrlProps/ctrlProp335.xml"/><Relationship Id="rId501" Type="http://schemas.openxmlformats.org/officeDocument/2006/relationships/ctrlProp" Target="../ctrlProps/ctrlProp500.xml"/><Relationship Id="rId543" Type="http://schemas.openxmlformats.org/officeDocument/2006/relationships/ctrlProp" Target="../ctrlProps/ctrlProp542.xml"/><Relationship Id="rId75" Type="http://schemas.openxmlformats.org/officeDocument/2006/relationships/ctrlProp" Target="../ctrlProps/ctrlProp74.xml"/><Relationship Id="rId140" Type="http://schemas.openxmlformats.org/officeDocument/2006/relationships/ctrlProp" Target="../ctrlProps/ctrlProp139.xml"/><Relationship Id="rId182" Type="http://schemas.openxmlformats.org/officeDocument/2006/relationships/ctrlProp" Target="../ctrlProps/ctrlProp181.xml"/><Relationship Id="rId378" Type="http://schemas.openxmlformats.org/officeDocument/2006/relationships/ctrlProp" Target="../ctrlProps/ctrlProp377.xml"/><Relationship Id="rId403" Type="http://schemas.openxmlformats.org/officeDocument/2006/relationships/ctrlProp" Target="../ctrlProps/ctrlProp402.xml"/><Relationship Id="rId585" Type="http://schemas.openxmlformats.org/officeDocument/2006/relationships/ctrlProp" Target="../ctrlProps/ctrlProp584.xml"/><Relationship Id="rId6" Type="http://schemas.openxmlformats.org/officeDocument/2006/relationships/ctrlProp" Target="../ctrlProps/ctrlProp5.xml"/><Relationship Id="rId238" Type="http://schemas.openxmlformats.org/officeDocument/2006/relationships/ctrlProp" Target="../ctrlProps/ctrlProp237.xml"/><Relationship Id="rId445" Type="http://schemas.openxmlformats.org/officeDocument/2006/relationships/ctrlProp" Target="../ctrlProps/ctrlProp444.xml"/><Relationship Id="rId487" Type="http://schemas.openxmlformats.org/officeDocument/2006/relationships/ctrlProp" Target="../ctrlProps/ctrlProp486.xml"/><Relationship Id="rId610" Type="http://schemas.openxmlformats.org/officeDocument/2006/relationships/ctrlProp" Target="../ctrlProps/ctrlProp609.xml"/><Relationship Id="rId652" Type="http://schemas.openxmlformats.org/officeDocument/2006/relationships/ctrlProp" Target="../ctrlProps/ctrlProp651.xml"/><Relationship Id="rId694" Type="http://schemas.openxmlformats.org/officeDocument/2006/relationships/ctrlProp" Target="../ctrlProps/ctrlProp693.xml"/><Relationship Id="rId291" Type="http://schemas.openxmlformats.org/officeDocument/2006/relationships/ctrlProp" Target="../ctrlProps/ctrlProp290.xml"/><Relationship Id="rId305" Type="http://schemas.openxmlformats.org/officeDocument/2006/relationships/ctrlProp" Target="../ctrlProps/ctrlProp304.xml"/><Relationship Id="rId347" Type="http://schemas.openxmlformats.org/officeDocument/2006/relationships/ctrlProp" Target="../ctrlProps/ctrlProp346.xml"/><Relationship Id="rId512" Type="http://schemas.openxmlformats.org/officeDocument/2006/relationships/ctrlProp" Target="../ctrlProps/ctrlProp511.xml"/><Relationship Id="rId44" Type="http://schemas.openxmlformats.org/officeDocument/2006/relationships/ctrlProp" Target="../ctrlProps/ctrlProp43.xml"/><Relationship Id="rId86" Type="http://schemas.openxmlformats.org/officeDocument/2006/relationships/ctrlProp" Target="../ctrlProps/ctrlProp85.xml"/><Relationship Id="rId151" Type="http://schemas.openxmlformats.org/officeDocument/2006/relationships/ctrlProp" Target="../ctrlProps/ctrlProp150.xml"/><Relationship Id="rId389" Type="http://schemas.openxmlformats.org/officeDocument/2006/relationships/ctrlProp" Target="../ctrlProps/ctrlProp388.xml"/><Relationship Id="rId554" Type="http://schemas.openxmlformats.org/officeDocument/2006/relationships/ctrlProp" Target="../ctrlProps/ctrlProp553.xml"/><Relationship Id="rId596" Type="http://schemas.openxmlformats.org/officeDocument/2006/relationships/ctrlProp" Target="../ctrlProps/ctrlProp595.xml"/><Relationship Id="rId193" Type="http://schemas.openxmlformats.org/officeDocument/2006/relationships/ctrlProp" Target="../ctrlProps/ctrlProp192.xml"/><Relationship Id="rId207" Type="http://schemas.openxmlformats.org/officeDocument/2006/relationships/ctrlProp" Target="../ctrlProps/ctrlProp206.xml"/><Relationship Id="rId249" Type="http://schemas.openxmlformats.org/officeDocument/2006/relationships/ctrlProp" Target="../ctrlProps/ctrlProp248.xml"/><Relationship Id="rId414" Type="http://schemas.openxmlformats.org/officeDocument/2006/relationships/ctrlProp" Target="../ctrlProps/ctrlProp413.xml"/><Relationship Id="rId456" Type="http://schemas.openxmlformats.org/officeDocument/2006/relationships/ctrlProp" Target="../ctrlProps/ctrlProp455.xml"/><Relationship Id="rId498" Type="http://schemas.openxmlformats.org/officeDocument/2006/relationships/ctrlProp" Target="../ctrlProps/ctrlProp497.xml"/><Relationship Id="rId621" Type="http://schemas.openxmlformats.org/officeDocument/2006/relationships/ctrlProp" Target="../ctrlProps/ctrlProp620.xml"/><Relationship Id="rId663" Type="http://schemas.openxmlformats.org/officeDocument/2006/relationships/ctrlProp" Target="../ctrlProps/ctrlProp662.xml"/><Relationship Id="rId13" Type="http://schemas.openxmlformats.org/officeDocument/2006/relationships/ctrlProp" Target="../ctrlProps/ctrlProp12.xml"/><Relationship Id="rId109" Type="http://schemas.openxmlformats.org/officeDocument/2006/relationships/ctrlProp" Target="../ctrlProps/ctrlProp108.xml"/><Relationship Id="rId260" Type="http://schemas.openxmlformats.org/officeDocument/2006/relationships/ctrlProp" Target="../ctrlProps/ctrlProp259.xml"/><Relationship Id="rId316" Type="http://schemas.openxmlformats.org/officeDocument/2006/relationships/ctrlProp" Target="../ctrlProps/ctrlProp315.xml"/><Relationship Id="rId523" Type="http://schemas.openxmlformats.org/officeDocument/2006/relationships/ctrlProp" Target="../ctrlProps/ctrlProp522.xml"/><Relationship Id="rId55" Type="http://schemas.openxmlformats.org/officeDocument/2006/relationships/ctrlProp" Target="../ctrlProps/ctrlProp54.xml"/><Relationship Id="rId97" Type="http://schemas.openxmlformats.org/officeDocument/2006/relationships/ctrlProp" Target="../ctrlProps/ctrlProp96.xml"/><Relationship Id="rId120" Type="http://schemas.openxmlformats.org/officeDocument/2006/relationships/ctrlProp" Target="../ctrlProps/ctrlProp119.xml"/><Relationship Id="rId358" Type="http://schemas.openxmlformats.org/officeDocument/2006/relationships/ctrlProp" Target="../ctrlProps/ctrlProp357.xml"/><Relationship Id="rId565" Type="http://schemas.openxmlformats.org/officeDocument/2006/relationships/ctrlProp" Target="../ctrlProps/ctrlProp564.xml"/><Relationship Id="rId162" Type="http://schemas.openxmlformats.org/officeDocument/2006/relationships/ctrlProp" Target="../ctrlProps/ctrlProp161.xml"/><Relationship Id="rId218" Type="http://schemas.openxmlformats.org/officeDocument/2006/relationships/ctrlProp" Target="../ctrlProps/ctrlProp217.xml"/><Relationship Id="rId425" Type="http://schemas.openxmlformats.org/officeDocument/2006/relationships/ctrlProp" Target="../ctrlProps/ctrlProp424.xml"/><Relationship Id="rId467" Type="http://schemas.openxmlformats.org/officeDocument/2006/relationships/ctrlProp" Target="../ctrlProps/ctrlProp466.xml"/><Relationship Id="rId632" Type="http://schemas.openxmlformats.org/officeDocument/2006/relationships/ctrlProp" Target="../ctrlProps/ctrlProp631.xml"/><Relationship Id="rId271" Type="http://schemas.openxmlformats.org/officeDocument/2006/relationships/ctrlProp" Target="../ctrlProps/ctrlProp270.xml"/><Relationship Id="rId674" Type="http://schemas.openxmlformats.org/officeDocument/2006/relationships/ctrlProp" Target="../ctrlProps/ctrlProp673.xml"/><Relationship Id="rId24" Type="http://schemas.openxmlformats.org/officeDocument/2006/relationships/ctrlProp" Target="../ctrlProps/ctrlProp23.xml"/><Relationship Id="rId66" Type="http://schemas.openxmlformats.org/officeDocument/2006/relationships/ctrlProp" Target="../ctrlProps/ctrlProp65.xml"/><Relationship Id="rId131" Type="http://schemas.openxmlformats.org/officeDocument/2006/relationships/ctrlProp" Target="../ctrlProps/ctrlProp130.xml"/><Relationship Id="rId327" Type="http://schemas.openxmlformats.org/officeDocument/2006/relationships/ctrlProp" Target="../ctrlProps/ctrlProp326.xml"/><Relationship Id="rId369" Type="http://schemas.openxmlformats.org/officeDocument/2006/relationships/ctrlProp" Target="../ctrlProps/ctrlProp368.xml"/><Relationship Id="rId534" Type="http://schemas.openxmlformats.org/officeDocument/2006/relationships/ctrlProp" Target="../ctrlProps/ctrlProp533.xml"/><Relationship Id="rId576" Type="http://schemas.openxmlformats.org/officeDocument/2006/relationships/ctrlProp" Target="../ctrlProps/ctrlProp575.xml"/><Relationship Id="rId173" Type="http://schemas.openxmlformats.org/officeDocument/2006/relationships/ctrlProp" Target="../ctrlProps/ctrlProp172.xml"/><Relationship Id="rId229" Type="http://schemas.openxmlformats.org/officeDocument/2006/relationships/ctrlProp" Target="../ctrlProps/ctrlProp228.xml"/><Relationship Id="rId380" Type="http://schemas.openxmlformats.org/officeDocument/2006/relationships/ctrlProp" Target="../ctrlProps/ctrlProp379.xml"/><Relationship Id="rId436" Type="http://schemas.openxmlformats.org/officeDocument/2006/relationships/ctrlProp" Target="../ctrlProps/ctrlProp435.xml"/><Relationship Id="rId601" Type="http://schemas.openxmlformats.org/officeDocument/2006/relationships/ctrlProp" Target="../ctrlProps/ctrlProp600.xml"/><Relationship Id="rId643" Type="http://schemas.openxmlformats.org/officeDocument/2006/relationships/ctrlProp" Target="../ctrlProps/ctrlProp642.xml"/><Relationship Id="rId240" Type="http://schemas.openxmlformats.org/officeDocument/2006/relationships/ctrlProp" Target="../ctrlProps/ctrlProp239.xml"/><Relationship Id="rId478" Type="http://schemas.openxmlformats.org/officeDocument/2006/relationships/ctrlProp" Target="../ctrlProps/ctrlProp477.xml"/><Relationship Id="rId685" Type="http://schemas.openxmlformats.org/officeDocument/2006/relationships/ctrlProp" Target="../ctrlProps/ctrlProp684.xml"/><Relationship Id="rId35" Type="http://schemas.openxmlformats.org/officeDocument/2006/relationships/ctrlProp" Target="../ctrlProps/ctrlProp34.xml"/><Relationship Id="rId77" Type="http://schemas.openxmlformats.org/officeDocument/2006/relationships/ctrlProp" Target="../ctrlProps/ctrlProp76.xml"/><Relationship Id="rId100" Type="http://schemas.openxmlformats.org/officeDocument/2006/relationships/ctrlProp" Target="../ctrlProps/ctrlProp99.xml"/><Relationship Id="rId282" Type="http://schemas.openxmlformats.org/officeDocument/2006/relationships/ctrlProp" Target="../ctrlProps/ctrlProp281.xml"/><Relationship Id="rId338" Type="http://schemas.openxmlformats.org/officeDocument/2006/relationships/ctrlProp" Target="../ctrlProps/ctrlProp337.xml"/><Relationship Id="rId503" Type="http://schemas.openxmlformats.org/officeDocument/2006/relationships/ctrlProp" Target="../ctrlProps/ctrlProp502.xml"/><Relationship Id="rId545" Type="http://schemas.openxmlformats.org/officeDocument/2006/relationships/ctrlProp" Target="../ctrlProps/ctrlProp544.xml"/><Relationship Id="rId587" Type="http://schemas.openxmlformats.org/officeDocument/2006/relationships/ctrlProp" Target="../ctrlProps/ctrlProp586.xml"/><Relationship Id="rId8" Type="http://schemas.openxmlformats.org/officeDocument/2006/relationships/ctrlProp" Target="../ctrlProps/ctrlProp7.xml"/><Relationship Id="rId142" Type="http://schemas.openxmlformats.org/officeDocument/2006/relationships/ctrlProp" Target="../ctrlProps/ctrlProp141.xml"/><Relationship Id="rId184" Type="http://schemas.openxmlformats.org/officeDocument/2006/relationships/ctrlProp" Target="../ctrlProps/ctrlProp183.xml"/><Relationship Id="rId391" Type="http://schemas.openxmlformats.org/officeDocument/2006/relationships/ctrlProp" Target="../ctrlProps/ctrlProp390.xml"/><Relationship Id="rId405" Type="http://schemas.openxmlformats.org/officeDocument/2006/relationships/ctrlProp" Target="../ctrlProps/ctrlProp404.xml"/><Relationship Id="rId447" Type="http://schemas.openxmlformats.org/officeDocument/2006/relationships/ctrlProp" Target="../ctrlProps/ctrlProp446.xml"/><Relationship Id="rId612" Type="http://schemas.openxmlformats.org/officeDocument/2006/relationships/ctrlProp" Target="../ctrlProps/ctrlProp611.xml"/><Relationship Id="rId251" Type="http://schemas.openxmlformats.org/officeDocument/2006/relationships/ctrlProp" Target="../ctrlProps/ctrlProp250.xml"/><Relationship Id="rId489" Type="http://schemas.openxmlformats.org/officeDocument/2006/relationships/ctrlProp" Target="../ctrlProps/ctrlProp488.xml"/><Relationship Id="rId654" Type="http://schemas.openxmlformats.org/officeDocument/2006/relationships/ctrlProp" Target="../ctrlProps/ctrlProp653.xml"/><Relationship Id="rId696" Type="http://schemas.openxmlformats.org/officeDocument/2006/relationships/ctrlProp" Target="../ctrlProps/ctrlProp695.xml"/><Relationship Id="rId46" Type="http://schemas.openxmlformats.org/officeDocument/2006/relationships/ctrlProp" Target="../ctrlProps/ctrlProp45.xml"/><Relationship Id="rId293" Type="http://schemas.openxmlformats.org/officeDocument/2006/relationships/ctrlProp" Target="../ctrlProps/ctrlProp292.xml"/><Relationship Id="rId307" Type="http://schemas.openxmlformats.org/officeDocument/2006/relationships/ctrlProp" Target="../ctrlProps/ctrlProp306.xml"/><Relationship Id="rId349" Type="http://schemas.openxmlformats.org/officeDocument/2006/relationships/ctrlProp" Target="../ctrlProps/ctrlProp348.xml"/><Relationship Id="rId514" Type="http://schemas.openxmlformats.org/officeDocument/2006/relationships/ctrlProp" Target="../ctrlProps/ctrlProp513.xml"/><Relationship Id="rId556" Type="http://schemas.openxmlformats.org/officeDocument/2006/relationships/ctrlProp" Target="../ctrlProps/ctrlProp555.xml"/><Relationship Id="rId88" Type="http://schemas.openxmlformats.org/officeDocument/2006/relationships/ctrlProp" Target="../ctrlProps/ctrlProp87.xml"/><Relationship Id="rId111" Type="http://schemas.openxmlformats.org/officeDocument/2006/relationships/ctrlProp" Target="../ctrlProps/ctrlProp110.xml"/><Relationship Id="rId153" Type="http://schemas.openxmlformats.org/officeDocument/2006/relationships/ctrlProp" Target="../ctrlProps/ctrlProp152.xml"/><Relationship Id="rId195" Type="http://schemas.openxmlformats.org/officeDocument/2006/relationships/ctrlProp" Target="../ctrlProps/ctrlProp194.xml"/><Relationship Id="rId209" Type="http://schemas.openxmlformats.org/officeDocument/2006/relationships/ctrlProp" Target="../ctrlProps/ctrlProp208.xml"/><Relationship Id="rId360" Type="http://schemas.openxmlformats.org/officeDocument/2006/relationships/ctrlProp" Target="../ctrlProps/ctrlProp359.xml"/><Relationship Id="rId416" Type="http://schemas.openxmlformats.org/officeDocument/2006/relationships/ctrlProp" Target="../ctrlProps/ctrlProp415.xml"/><Relationship Id="rId598" Type="http://schemas.openxmlformats.org/officeDocument/2006/relationships/ctrlProp" Target="../ctrlProps/ctrlProp597.xml"/><Relationship Id="rId220" Type="http://schemas.openxmlformats.org/officeDocument/2006/relationships/ctrlProp" Target="../ctrlProps/ctrlProp219.xml"/><Relationship Id="rId458" Type="http://schemas.openxmlformats.org/officeDocument/2006/relationships/ctrlProp" Target="../ctrlProps/ctrlProp457.xml"/><Relationship Id="rId623" Type="http://schemas.openxmlformats.org/officeDocument/2006/relationships/ctrlProp" Target="../ctrlProps/ctrlProp622.xml"/><Relationship Id="rId665" Type="http://schemas.openxmlformats.org/officeDocument/2006/relationships/ctrlProp" Target="../ctrlProps/ctrlProp664.xml"/><Relationship Id="rId15" Type="http://schemas.openxmlformats.org/officeDocument/2006/relationships/ctrlProp" Target="../ctrlProps/ctrlProp14.xml"/><Relationship Id="rId57" Type="http://schemas.openxmlformats.org/officeDocument/2006/relationships/ctrlProp" Target="../ctrlProps/ctrlProp56.xml"/><Relationship Id="rId262" Type="http://schemas.openxmlformats.org/officeDocument/2006/relationships/ctrlProp" Target="../ctrlProps/ctrlProp261.xml"/><Relationship Id="rId318" Type="http://schemas.openxmlformats.org/officeDocument/2006/relationships/ctrlProp" Target="../ctrlProps/ctrlProp317.xml"/><Relationship Id="rId525" Type="http://schemas.openxmlformats.org/officeDocument/2006/relationships/ctrlProp" Target="../ctrlProps/ctrlProp524.xml"/><Relationship Id="rId567" Type="http://schemas.openxmlformats.org/officeDocument/2006/relationships/ctrlProp" Target="../ctrlProps/ctrlProp566.xml"/><Relationship Id="rId99" Type="http://schemas.openxmlformats.org/officeDocument/2006/relationships/ctrlProp" Target="../ctrlProps/ctrlProp98.xml"/><Relationship Id="rId122" Type="http://schemas.openxmlformats.org/officeDocument/2006/relationships/ctrlProp" Target="../ctrlProps/ctrlProp121.xml"/><Relationship Id="rId164" Type="http://schemas.openxmlformats.org/officeDocument/2006/relationships/ctrlProp" Target="../ctrlProps/ctrlProp163.xml"/><Relationship Id="rId371" Type="http://schemas.openxmlformats.org/officeDocument/2006/relationships/ctrlProp" Target="../ctrlProps/ctrlProp370.xml"/><Relationship Id="rId427" Type="http://schemas.openxmlformats.org/officeDocument/2006/relationships/ctrlProp" Target="../ctrlProps/ctrlProp426.xml"/><Relationship Id="rId469" Type="http://schemas.openxmlformats.org/officeDocument/2006/relationships/ctrlProp" Target="../ctrlProps/ctrlProp468.xml"/><Relationship Id="rId634" Type="http://schemas.openxmlformats.org/officeDocument/2006/relationships/ctrlProp" Target="../ctrlProps/ctrlProp633.xml"/><Relationship Id="rId676" Type="http://schemas.openxmlformats.org/officeDocument/2006/relationships/ctrlProp" Target="../ctrlProps/ctrlProp675.xml"/><Relationship Id="rId26" Type="http://schemas.openxmlformats.org/officeDocument/2006/relationships/ctrlProp" Target="../ctrlProps/ctrlProp25.xml"/><Relationship Id="rId231" Type="http://schemas.openxmlformats.org/officeDocument/2006/relationships/ctrlProp" Target="../ctrlProps/ctrlProp230.xml"/><Relationship Id="rId273" Type="http://schemas.openxmlformats.org/officeDocument/2006/relationships/ctrlProp" Target="../ctrlProps/ctrlProp272.xml"/><Relationship Id="rId329" Type="http://schemas.openxmlformats.org/officeDocument/2006/relationships/ctrlProp" Target="../ctrlProps/ctrlProp328.xml"/><Relationship Id="rId480" Type="http://schemas.openxmlformats.org/officeDocument/2006/relationships/ctrlProp" Target="../ctrlProps/ctrlProp479.xml"/><Relationship Id="rId536" Type="http://schemas.openxmlformats.org/officeDocument/2006/relationships/ctrlProp" Target="../ctrlProps/ctrlProp535.xml"/><Relationship Id="rId68" Type="http://schemas.openxmlformats.org/officeDocument/2006/relationships/ctrlProp" Target="../ctrlProps/ctrlProp67.xml"/><Relationship Id="rId133" Type="http://schemas.openxmlformats.org/officeDocument/2006/relationships/ctrlProp" Target="../ctrlProps/ctrlProp132.xml"/><Relationship Id="rId175" Type="http://schemas.openxmlformats.org/officeDocument/2006/relationships/ctrlProp" Target="../ctrlProps/ctrlProp174.xml"/><Relationship Id="rId340" Type="http://schemas.openxmlformats.org/officeDocument/2006/relationships/ctrlProp" Target="../ctrlProps/ctrlProp339.xml"/><Relationship Id="rId578" Type="http://schemas.openxmlformats.org/officeDocument/2006/relationships/ctrlProp" Target="../ctrlProps/ctrlProp577.xml"/><Relationship Id="rId200" Type="http://schemas.openxmlformats.org/officeDocument/2006/relationships/ctrlProp" Target="../ctrlProps/ctrlProp199.xml"/><Relationship Id="rId382" Type="http://schemas.openxmlformats.org/officeDocument/2006/relationships/ctrlProp" Target="../ctrlProps/ctrlProp381.xml"/><Relationship Id="rId438" Type="http://schemas.openxmlformats.org/officeDocument/2006/relationships/ctrlProp" Target="../ctrlProps/ctrlProp437.xml"/><Relationship Id="rId603" Type="http://schemas.openxmlformats.org/officeDocument/2006/relationships/ctrlProp" Target="../ctrlProps/ctrlProp602.xml"/><Relationship Id="rId645" Type="http://schemas.openxmlformats.org/officeDocument/2006/relationships/ctrlProp" Target="../ctrlProps/ctrlProp644.xml"/><Relationship Id="rId687" Type="http://schemas.openxmlformats.org/officeDocument/2006/relationships/ctrlProp" Target="../ctrlProps/ctrlProp686.xml"/><Relationship Id="rId242" Type="http://schemas.openxmlformats.org/officeDocument/2006/relationships/ctrlProp" Target="../ctrlProps/ctrlProp241.xml"/><Relationship Id="rId284" Type="http://schemas.openxmlformats.org/officeDocument/2006/relationships/ctrlProp" Target="../ctrlProps/ctrlProp283.xml"/><Relationship Id="rId491" Type="http://schemas.openxmlformats.org/officeDocument/2006/relationships/ctrlProp" Target="../ctrlProps/ctrlProp490.xml"/><Relationship Id="rId505" Type="http://schemas.openxmlformats.org/officeDocument/2006/relationships/ctrlProp" Target="../ctrlProps/ctrlProp504.xml"/><Relationship Id="rId37" Type="http://schemas.openxmlformats.org/officeDocument/2006/relationships/ctrlProp" Target="../ctrlProps/ctrlProp36.xml"/><Relationship Id="rId79" Type="http://schemas.openxmlformats.org/officeDocument/2006/relationships/ctrlProp" Target="../ctrlProps/ctrlProp78.xml"/><Relationship Id="rId102" Type="http://schemas.openxmlformats.org/officeDocument/2006/relationships/ctrlProp" Target="../ctrlProps/ctrlProp101.xml"/><Relationship Id="rId144" Type="http://schemas.openxmlformats.org/officeDocument/2006/relationships/ctrlProp" Target="../ctrlProps/ctrlProp143.xml"/><Relationship Id="rId547" Type="http://schemas.openxmlformats.org/officeDocument/2006/relationships/ctrlProp" Target="../ctrlProps/ctrlProp546.xml"/><Relationship Id="rId589" Type="http://schemas.openxmlformats.org/officeDocument/2006/relationships/ctrlProp" Target="../ctrlProps/ctrlProp588.xml"/><Relationship Id="rId90" Type="http://schemas.openxmlformats.org/officeDocument/2006/relationships/ctrlProp" Target="../ctrlProps/ctrlProp89.xml"/><Relationship Id="rId186" Type="http://schemas.openxmlformats.org/officeDocument/2006/relationships/ctrlProp" Target="../ctrlProps/ctrlProp185.xml"/><Relationship Id="rId351" Type="http://schemas.openxmlformats.org/officeDocument/2006/relationships/ctrlProp" Target="../ctrlProps/ctrlProp350.xml"/><Relationship Id="rId393" Type="http://schemas.openxmlformats.org/officeDocument/2006/relationships/ctrlProp" Target="../ctrlProps/ctrlProp392.xml"/><Relationship Id="rId407" Type="http://schemas.openxmlformats.org/officeDocument/2006/relationships/ctrlProp" Target="../ctrlProps/ctrlProp406.xml"/><Relationship Id="rId449" Type="http://schemas.openxmlformats.org/officeDocument/2006/relationships/ctrlProp" Target="../ctrlProps/ctrlProp448.xml"/><Relationship Id="rId614" Type="http://schemas.openxmlformats.org/officeDocument/2006/relationships/ctrlProp" Target="../ctrlProps/ctrlProp613.xml"/><Relationship Id="rId656" Type="http://schemas.openxmlformats.org/officeDocument/2006/relationships/ctrlProp" Target="../ctrlProps/ctrlProp655.xml"/><Relationship Id="rId211" Type="http://schemas.openxmlformats.org/officeDocument/2006/relationships/ctrlProp" Target="../ctrlProps/ctrlProp210.xml"/><Relationship Id="rId253" Type="http://schemas.openxmlformats.org/officeDocument/2006/relationships/ctrlProp" Target="../ctrlProps/ctrlProp252.xml"/><Relationship Id="rId295" Type="http://schemas.openxmlformats.org/officeDocument/2006/relationships/ctrlProp" Target="../ctrlProps/ctrlProp294.xml"/><Relationship Id="rId309" Type="http://schemas.openxmlformats.org/officeDocument/2006/relationships/ctrlProp" Target="../ctrlProps/ctrlProp308.xml"/><Relationship Id="rId460" Type="http://schemas.openxmlformats.org/officeDocument/2006/relationships/ctrlProp" Target="../ctrlProps/ctrlProp459.xml"/><Relationship Id="rId516" Type="http://schemas.openxmlformats.org/officeDocument/2006/relationships/ctrlProp" Target="../ctrlProps/ctrlProp515.xml"/><Relationship Id="rId698" Type="http://schemas.openxmlformats.org/officeDocument/2006/relationships/ctrlProp" Target="../ctrlProps/ctrlProp697.xml"/><Relationship Id="rId48" Type="http://schemas.openxmlformats.org/officeDocument/2006/relationships/ctrlProp" Target="../ctrlProps/ctrlProp47.xml"/><Relationship Id="rId113" Type="http://schemas.openxmlformats.org/officeDocument/2006/relationships/ctrlProp" Target="../ctrlProps/ctrlProp112.xml"/><Relationship Id="rId320" Type="http://schemas.openxmlformats.org/officeDocument/2006/relationships/ctrlProp" Target="../ctrlProps/ctrlProp319.xml"/><Relationship Id="rId558" Type="http://schemas.openxmlformats.org/officeDocument/2006/relationships/ctrlProp" Target="../ctrlProps/ctrlProp557.xml"/><Relationship Id="rId155" Type="http://schemas.openxmlformats.org/officeDocument/2006/relationships/ctrlProp" Target="../ctrlProps/ctrlProp154.xml"/><Relationship Id="rId197" Type="http://schemas.openxmlformats.org/officeDocument/2006/relationships/ctrlProp" Target="../ctrlProps/ctrlProp196.xml"/><Relationship Id="rId362" Type="http://schemas.openxmlformats.org/officeDocument/2006/relationships/ctrlProp" Target="../ctrlProps/ctrlProp361.xml"/><Relationship Id="rId418" Type="http://schemas.openxmlformats.org/officeDocument/2006/relationships/ctrlProp" Target="../ctrlProps/ctrlProp417.xml"/><Relationship Id="rId625" Type="http://schemas.openxmlformats.org/officeDocument/2006/relationships/ctrlProp" Target="../ctrlProps/ctrlProp624.xml"/><Relationship Id="rId222" Type="http://schemas.openxmlformats.org/officeDocument/2006/relationships/ctrlProp" Target="../ctrlProps/ctrlProp221.xml"/><Relationship Id="rId264" Type="http://schemas.openxmlformats.org/officeDocument/2006/relationships/ctrlProp" Target="../ctrlProps/ctrlProp263.xml"/><Relationship Id="rId471" Type="http://schemas.openxmlformats.org/officeDocument/2006/relationships/ctrlProp" Target="../ctrlProps/ctrlProp470.xml"/><Relationship Id="rId667" Type="http://schemas.openxmlformats.org/officeDocument/2006/relationships/ctrlProp" Target="../ctrlProps/ctrlProp666.xml"/><Relationship Id="rId17" Type="http://schemas.openxmlformats.org/officeDocument/2006/relationships/ctrlProp" Target="../ctrlProps/ctrlProp16.xml"/><Relationship Id="rId59" Type="http://schemas.openxmlformats.org/officeDocument/2006/relationships/ctrlProp" Target="../ctrlProps/ctrlProp58.xml"/><Relationship Id="rId124" Type="http://schemas.openxmlformats.org/officeDocument/2006/relationships/ctrlProp" Target="../ctrlProps/ctrlProp123.xml"/><Relationship Id="rId527" Type="http://schemas.openxmlformats.org/officeDocument/2006/relationships/ctrlProp" Target="../ctrlProps/ctrlProp526.xml"/><Relationship Id="rId569" Type="http://schemas.openxmlformats.org/officeDocument/2006/relationships/ctrlProp" Target="../ctrlProps/ctrlProp568.xml"/><Relationship Id="rId70" Type="http://schemas.openxmlformats.org/officeDocument/2006/relationships/ctrlProp" Target="../ctrlProps/ctrlProp69.xml"/><Relationship Id="rId166" Type="http://schemas.openxmlformats.org/officeDocument/2006/relationships/ctrlProp" Target="../ctrlProps/ctrlProp165.xml"/><Relationship Id="rId331" Type="http://schemas.openxmlformats.org/officeDocument/2006/relationships/ctrlProp" Target="../ctrlProps/ctrlProp330.xml"/><Relationship Id="rId373" Type="http://schemas.openxmlformats.org/officeDocument/2006/relationships/ctrlProp" Target="../ctrlProps/ctrlProp372.xml"/><Relationship Id="rId429" Type="http://schemas.openxmlformats.org/officeDocument/2006/relationships/ctrlProp" Target="../ctrlProps/ctrlProp428.xml"/><Relationship Id="rId580" Type="http://schemas.openxmlformats.org/officeDocument/2006/relationships/ctrlProp" Target="../ctrlProps/ctrlProp579.xml"/><Relationship Id="rId636" Type="http://schemas.openxmlformats.org/officeDocument/2006/relationships/ctrlProp" Target="../ctrlProps/ctrlProp635.xml"/><Relationship Id="rId1" Type="http://schemas.openxmlformats.org/officeDocument/2006/relationships/drawing" Target="../drawings/drawing6.xml"/><Relationship Id="rId233" Type="http://schemas.openxmlformats.org/officeDocument/2006/relationships/ctrlProp" Target="../ctrlProps/ctrlProp232.xml"/><Relationship Id="rId440" Type="http://schemas.openxmlformats.org/officeDocument/2006/relationships/ctrlProp" Target="../ctrlProps/ctrlProp439.xml"/><Relationship Id="rId678" Type="http://schemas.openxmlformats.org/officeDocument/2006/relationships/ctrlProp" Target="../ctrlProps/ctrlProp677.xml"/><Relationship Id="rId28" Type="http://schemas.openxmlformats.org/officeDocument/2006/relationships/ctrlProp" Target="../ctrlProps/ctrlProp27.xml"/><Relationship Id="rId275" Type="http://schemas.openxmlformats.org/officeDocument/2006/relationships/ctrlProp" Target="../ctrlProps/ctrlProp274.xml"/><Relationship Id="rId300" Type="http://schemas.openxmlformats.org/officeDocument/2006/relationships/ctrlProp" Target="../ctrlProps/ctrlProp299.xml"/><Relationship Id="rId482" Type="http://schemas.openxmlformats.org/officeDocument/2006/relationships/ctrlProp" Target="../ctrlProps/ctrlProp481.xml"/><Relationship Id="rId538" Type="http://schemas.openxmlformats.org/officeDocument/2006/relationships/ctrlProp" Target="../ctrlProps/ctrlProp537.xml"/><Relationship Id="rId81" Type="http://schemas.openxmlformats.org/officeDocument/2006/relationships/ctrlProp" Target="../ctrlProps/ctrlProp80.xml"/><Relationship Id="rId135" Type="http://schemas.openxmlformats.org/officeDocument/2006/relationships/ctrlProp" Target="../ctrlProps/ctrlProp134.xml"/><Relationship Id="rId177" Type="http://schemas.openxmlformats.org/officeDocument/2006/relationships/ctrlProp" Target="../ctrlProps/ctrlProp176.xml"/><Relationship Id="rId342" Type="http://schemas.openxmlformats.org/officeDocument/2006/relationships/ctrlProp" Target="../ctrlProps/ctrlProp341.xml"/><Relationship Id="rId384" Type="http://schemas.openxmlformats.org/officeDocument/2006/relationships/ctrlProp" Target="../ctrlProps/ctrlProp383.xml"/><Relationship Id="rId591" Type="http://schemas.openxmlformats.org/officeDocument/2006/relationships/ctrlProp" Target="../ctrlProps/ctrlProp590.xml"/><Relationship Id="rId605" Type="http://schemas.openxmlformats.org/officeDocument/2006/relationships/ctrlProp" Target="../ctrlProps/ctrlProp604.xml"/><Relationship Id="rId202" Type="http://schemas.openxmlformats.org/officeDocument/2006/relationships/ctrlProp" Target="../ctrlProps/ctrlProp201.xml"/><Relationship Id="rId244" Type="http://schemas.openxmlformats.org/officeDocument/2006/relationships/ctrlProp" Target="../ctrlProps/ctrlProp243.xml"/><Relationship Id="rId647" Type="http://schemas.openxmlformats.org/officeDocument/2006/relationships/ctrlProp" Target="../ctrlProps/ctrlProp646.xml"/><Relationship Id="rId689" Type="http://schemas.openxmlformats.org/officeDocument/2006/relationships/ctrlProp" Target="../ctrlProps/ctrlProp688.xml"/><Relationship Id="rId39" Type="http://schemas.openxmlformats.org/officeDocument/2006/relationships/ctrlProp" Target="../ctrlProps/ctrlProp38.xml"/><Relationship Id="rId286" Type="http://schemas.openxmlformats.org/officeDocument/2006/relationships/ctrlProp" Target="../ctrlProps/ctrlProp285.xml"/><Relationship Id="rId451" Type="http://schemas.openxmlformats.org/officeDocument/2006/relationships/ctrlProp" Target="../ctrlProps/ctrlProp450.xml"/><Relationship Id="rId493" Type="http://schemas.openxmlformats.org/officeDocument/2006/relationships/ctrlProp" Target="../ctrlProps/ctrlProp492.xml"/><Relationship Id="rId507" Type="http://schemas.openxmlformats.org/officeDocument/2006/relationships/ctrlProp" Target="../ctrlProps/ctrlProp506.xml"/><Relationship Id="rId549" Type="http://schemas.openxmlformats.org/officeDocument/2006/relationships/ctrlProp" Target="../ctrlProps/ctrlProp548.xml"/><Relationship Id="rId50" Type="http://schemas.openxmlformats.org/officeDocument/2006/relationships/ctrlProp" Target="../ctrlProps/ctrlProp49.xml"/><Relationship Id="rId104" Type="http://schemas.openxmlformats.org/officeDocument/2006/relationships/ctrlProp" Target="../ctrlProps/ctrlProp103.xml"/><Relationship Id="rId146" Type="http://schemas.openxmlformats.org/officeDocument/2006/relationships/ctrlProp" Target="../ctrlProps/ctrlProp145.xml"/><Relationship Id="rId188" Type="http://schemas.openxmlformats.org/officeDocument/2006/relationships/ctrlProp" Target="../ctrlProps/ctrlProp187.xml"/><Relationship Id="rId311" Type="http://schemas.openxmlformats.org/officeDocument/2006/relationships/ctrlProp" Target="../ctrlProps/ctrlProp310.xml"/><Relationship Id="rId353" Type="http://schemas.openxmlformats.org/officeDocument/2006/relationships/ctrlProp" Target="../ctrlProps/ctrlProp352.xml"/><Relationship Id="rId395" Type="http://schemas.openxmlformats.org/officeDocument/2006/relationships/ctrlProp" Target="../ctrlProps/ctrlProp394.xml"/><Relationship Id="rId409" Type="http://schemas.openxmlformats.org/officeDocument/2006/relationships/ctrlProp" Target="../ctrlProps/ctrlProp408.xml"/><Relationship Id="rId560" Type="http://schemas.openxmlformats.org/officeDocument/2006/relationships/ctrlProp" Target="../ctrlProps/ctrlProp559.xml"/><Relationship Id="rId92" Type="http://schemas.openxmlformats.org/officeDocument/2006/relationships/ctrlProp" Target="../ctrlProps/ctrlProp91.xml"/><Relationship Id="rId213" Type="http://schemas.openxmlformats.org/officeDocument/2006/relationships/ctrlProp" Target="../ctrlProps/ctrlProp212.xml"/><Relationship Id="rId420" Type="http://schemas.openxmlformats.org/officeDocument/2006/relationships/ctrlProp" Target="../ctrlProps/ctrlProp419.xml"/><Relationship Id="rId616" Type="http://schemas.openxmlformats.org/officeDocument/2006/relationships/ctrlProp" Target="../ctrlProps/ctrlProp615.xml"/><Relationship Id="rId658" Type="http://schemas.openxmlformats.org/officeDocument/2006/relationships/ctrlProp" Target="../ctrlProps/ctrlProp657.xml"/><Relationship Id="rId255" Type="http://schemas.openxmlformats.org/officeDocument/2006/relationships/ctrlProp" Target="../ctrlProps/ctrlProp254.xml"/><Relationship Id="rId297" Type="http://schemas.openxmlformats.org/officeDocument/2006/relationships/ctrlProp" Target="../ctrlProps/ctrlProp296.xml"/><Relationship Id="rId462" Type="http://schemas.openxmlformats.org/officeDocument/2006/relationships/ctrlProp" Target="../ctrlProps/ctrlProp461.xml"/><Relationship Id="rId518" Type="http://schemas.openxmlformats.org/officeDocument/2006/relationships/ctrlProp" Target="../ctrlProps/ctrlProp517.xml"/><Relationship Id="rId115" Type="http://schemas.openxmlformats.org/officeDocument/2006/relationships/ctrlProp" Target="../ctrlProps/ctrlProp114.xml"/><Relationship Id="rId157" Type="http://schemas.openxmlformats.org/officeDocument/2006/relationships/ctrlProp" Target="../ctrlProps/ctrlProp156.xml"/><Relationship Id="rId322" Type="http://schemas.openxmlformats.org/officeDocument/2006/relationships/ctrlProp" Target="../ctrlProps/ctrlProp321.xml"/><Relationship Id="rId364" Type="http://schemas.openxmlformats.org/officeDocument/2006/relationships/ctrlProp" Target="../ctrlProps/ctrlProp363.xml"/><Relationship Id="rId61" Type="http://schemas.openxmlformats.org/officeDocument/2006/relationships/ctrlProp" Target="../ctrlProps/ctrlProp60.xml"/><Relationship Id="rId199" Type="http://schemas.openxmlformats.org/officeDocument/2006/relationships/ctrlProp" Target="../ctrlProps/ctrlProp198.xml"/><Relationship Id="rId571" Type="http://schemas.openxmlformats.org/officeDocument/2006/relationships/ctrlProp" Target="../ctrlProps/ctrlProp570.xml"/><Relationship Id="rId627" Type="http://schemas.openxmlformats.org/officeDocument/2006/relationships/ctrlProp" Target="../ctrlProps/ctrlProp626.xml"/><Relationship Id="rId669" Type="http://schemas.openxmlformats.org/officeDocument/2006/relationships/ctrlProp" Target="../ctrlProps/ctrlProp668.xml"/><Relationship Id="rId19" Type="http://schemas.openxmlformats.org/officeDocument/2006/relationships/ctrlProp" Target="../ctrlProps/ctrlProp18.xml"/><Relationship Id="rId224" Type="http://schemas.openxmlformats.org/officeDocument/2006/relationships/ctrlProp" Target="../ctrlProps/ctrlProp223.xml"/><Relationship Id="rId266" Type="http://schemas.openxmlformats.org/officeDocument/2006/relationships/ctrlProp" Target="../ctrlProps/ctrlProp265.xml"/><Relationship Id="rId431" Type="http://schemas.openxmlformats.org/officeDocument/2006/relationships/ctrlProp" Target="../ctrlProps/ctrlProp430.xml"/><Relationship Id="rId473" Type="http://schemas.openxmlformats.org/officeDocument/2006/relationships/ctrlProp" Target="../ctrlProps/ctrlProp472.xml"/><Relationship Id="rId529" Type="http://schemas.openxmlformats.org/officeDocument/2006/relationships/ctrlProp" Target="../ctrlProps/ctrlProp528.xml"/><Relationship Id="rId680" Type="http://schemas.openxmlformats.org/officeDocument/2006/relationships/ctrlProp" Target="../ctrlProps/ctrlProp679.xml"/><Relationship Id="rId30" Type="http://schemas.openxmlformats.org/officeDocument/2006/relationships/ctrlProp" Target="../ctrlProps/ctrlProp29.xml"/><Relationship Id="rId126" Type="http://schemas.openxmlformats.org/officeDocument/2006/relationships/ctrlProp" Target="../ctrlProps/ctrlProp125.xml"/><Relationship Id="rId168" Type="http://schemas.openxmlformats.org/officeDocument/2006/relationships/ctrlProp" Target="../ctrlProps/ctrlProp167.xml"/><Relationship Id="rId333" Type="http://schemas.openxmlformats.org/officeDocument/2006/relationships/ctrlProp" Target="../ctrlProps/ctrlProp332.xml"/><Relationship Id="rId540" Type="http://schemas.openxmlformats.org/officeDocument/2006/relationships/ctrlProp" Target="../ctrlProps/ctrlProp539.xml"/><Relationship Id="rId72" Type="http://schemas.openxmlformats.org/officeDocument/2006/relationships/ctrlProp" Target="../ctrlProps/ctrlProp71.xml"/><Relationship Id="rId375" Type="http://schemas.openxmlformats.org/officeDocument/2006/relationships/ctrlProp" Target="../ctrlProps/ctrlProp374.xml"/><Relationship Id="rId582" Type="http://schemas.openxmlformats.org/officeDocument/2006/relationships/ctrlProp" Target="../ctrlProps/ctrlProp581.xml"/><Relationship Id="rId638" Type="http://schemas.openxmlformats.org/officeDocument/2006/relationships/ctrlProp" Target="../ctrlProps/ctrlProp637.xml"/><Relationship Id="rId3" Type="http://schemas.openxmlformats.org/officeDocument/2006/relationships/ctrlProp" Target="../ctrlProps/ctrlProp2.xml"/><Relationship Id="rId235" Type="http://schemas.openxmlformats.org/officeDocument/2006/relationships/ctrlProp" Target="../ctrlProps/ctrlProp234.xml"/><Relationship Id="rId277" Type="http://schemas.openxmlformats.org/officeDocument/2006/relationships/ctrlProp" Target="../ctrlProps/ctrlProp276.xml"/><Relationship Id="rId400" Type="http://schemas.openxmlformats.org/officeDocument/2006/relationships/ctrlProp" Target="../ctrlProps/ctrlProp399.xml"/><Relationship Id="rId442" Type="http://schemas.openxmlformats.org/officeDocument/2006/relationships/ctrlProp" Target="../ctrlProps/ctrlProp441.xml"/><Relationship Id="rId484" Type="http://schemas.openxmlformats.org/officeDocument/2006/relationships/ctrlProp" Target="../ctrlProps/ctrlProp483.xml"/><Relationship Id="rId137" Type="http://schemas.openxmlformats.org/officeDocument/2006/relationships/ctrlProp" Target="../ctrlProps/ctrlProp136.xml"/><Relationship Id="rId302" Type="http://schemas.openxmlformats.org/officeDocument/2006/relationships/ctrlProp" Target="../ctrlProps/ctrlProp301.xml"/><Relationship Id="rId344" Type="http://schemas.openxmlformats.org/officeDocument/2006/relationships/ctrlProp" Target="../ctrlProps/ctrlProp343.xml"/><Relationship Id="rId691" Type="http://schemas.openxmlformats.org/officeDocument/2006/relationships/ctrlProp" Target="../ctrlProps/ctrlProp690.xml"/><Relationship Id="rId41" Type="http://schemas.openxmlformats.org/officeDocument/2006/relationships/ctrlProp" Target="../ctrlProps/ctrlProp40.xml"/><Relationship Id="rId83" Type="http://schemas.openxmlformats.org/officeDocument/2006/relationships/ctrlProp" Target="../ctrlProps/ctrlProp82.xml"/><Relationship Id="rId179" Type="http://schemas.openxmlformats.org/officeDocument/2006/relationships/ctrlProp" Target="../ctrlProps/ctrlProp178.xml"/><Relationship Id="rId386" Type="http://schemas.openxmlformats.org/officeDocument/2006/relationships/ctrlProp" Target="../ctrlProps/ctrlProp385.xml"/><Relationship Id="rId551" Type="http://schemas.openxmlformats.org/officeDocument/2006/relationships/ctrlProp" Target="../ctrlProps/ctrlProp550.xml"/><Relationship Id="rId593" Type="http://schemas.openxmlformats.org/officeDocument/2006/relationships/ctrlProp" Target="../ctrlProps/ctrlProp592.xml"/><Relationship Id="rId607" Type="http://schemas.openxmlformats.org/officeDocument/2006/relationships/ctrlProp" Target="../ctrlProps/ctrlProp606.xml"/><Relationship Id="rId649" Type="http://schemas.openxmlformats.org/officeDocument/2006/relationships/ctrlProp" Target="../ctrlProps/ctrlProp648.xml"/><Relationship Id="rId190" Type="http://schemas.openxmlformats.org/officeDocument/2006/relationships/ctrlProp" Target="../ctrlProps/ctrlProp189.xml"/><Relationship Id="rId204" Type="http://schemas.openxmlformats.org/officeDocument/2006/relationships/ctrlProp" Target="../ctrlProps/ctrlProp203.xml"/><Relationship Id="rId246" Type="http://schemas.openxmlformats.org/officeDocument/2006/relationships/ctrlProp" Target="../ctrlProps/ctrlProp245.xml"/><Relationship Id="rId288" Type="http://schemas.openxmlformats.org/officeDocument/2006/relationships/ctrlProp" Target="../ctrlProps/ctrlProp287.xml"/><Relationship Id="rId411" Type="http://schemas.openxmlformats.org/officeDocument/2006/relationships/ctrlProp" Target="../ctrlProps/ctrlProp410.xml"/><Relationship Id="rId453" Type="http://schemas.openxmlformats.org/officeDocument/2006/relationships/ctrlProp" Target="../ctrlProps/ctrlProp452.xml"/><Relationship Id="rId509" Type="http://schemas.openxmlformats.org/officeDocument/2006/relationships/ctrlProp" Target="../ctrlProps/ctrlProp508.xml"/><Relationship Id="rId660" Type="http://schemas.openxmlformats.org/officeDocument/2006/relationships/ctrlProp" Target="../ctrlProps/ctrlProp659.xml"/><Relationship Id="rId106" Type="http://schemas.openxmlformats.org/officeDocument/2006/relationships/ctrlProp" Target="../ctrlProps/ctrlProp105.xml"/><Relationship Id="rId313" Type="http://schemas.openxmlformats.org/officeDocument/2006/relationships/ctrlProp" Target="../ctrlProps/ctrlProp312.xml"/><Relationship Id="rId495" Type="http://schemas.openxmlformats.org/officeDocument/2006/relationships/ctrlProp" Target="../ctrlProps/ctrlProp494.xml"/><Relationship Id="rId10" Type="http://schemas.openxmlformats.org/officeDocument/2006/relationships/ctrlProp" Target="../ctrlProps/ctrlProp9.xml"/><Relationship Id="rId52" Type="http://schemas.openxmlformats.org/officeDocument/2006/relationships/ctrlProp" Target="../ctrlProps/ctrlProp51.xml"/><Relationship Id="rId94" Type="http://schemas.openxmlformats.org/officeDocument/2006/relationships/ctrlProp" Target="../ctrlProps/ctrlProp93.xml"/><Relationship Id="rId148" Type="http://schemas.openxmlformats.org/officeDocument/2006/relationships/ctrlProp" Target="../ctrlProps/ctrlProp147.xml"/><Relationship Id="rId355" Type="http://schemas.openxmlformats.org/officeDocument/2006/relationships/ctrlProp" Target="../ctrlProps/ctrlProp354.xml"/><Relationship Id="rId397" Type="http://schemas.openxmlformats.org/officeDocument/2006/relationships/ctrlProp" Target="../ctrlProps/ctrlProp396.xml"/><Relationship Id="rId520" Type="http://schemas.openxmlformats.org/officeDocument/2006/relationships/ctrlProp" Target="../ctrlProps/ctrlProp519.xml"/><Relationship Id="rId562" Type="http://schemas.openxmlformats.org/officeDocument/2006/relationships/ctrlProp" Target="../ctrlProps/ctrlProp561.xml"/><Relationship Id="rId618" Type="http://schemas.openxmlformats.org/officeDocument/2006/relationships/ctrlProp" Target="../ctrlProps/ctrlProp617.xml"/><Relationship Id="rId215" Type="http://schemas.openxmlformats.org/officeDocument/2006/relationships/ctrlProp" Target="../ctrlProps/ctrlProp214.xml"/><Relationship Id="rId257" Type="http://schemas.openxmlformats.org/officeDocument/2006/relationships/ctrlProp" Target="../ctrlProps/ctrlProp256.xml"/><Relationship Id="rId422" Type="http://schemas.openxmlformats.org/officeDocument/2006/relationships/ctrlProp" Target="../ctrlProps/ctrlProp421.xml"/><Relationship Id="rId464" Type="http://schemas.openxmlformats.org/officeDocument/2006/relationships/ctrlProp" Target="../ctrlProps/ctrlProp463.xml"/><Relationship Id="rId299" Type="http://schemas.openxmlformats.org/officeDocument/2006/relationships/ctrlProp" Target="../ctrlProps/ctrlProp298.xml"/><Relationship Id="rId63" Type="http://schemas.openxmlformats.org/officeDocument/2006/relationships/ctrlProp" Target="../ctrlProps/ctrlProp62.xml"/><Relationship Id="rId159" Type="http://schemas.openxmlformats.org/officeDocument/2006/relationships/ctrlProp" Target="../ctrlProps/ctrlProp158.xml"/><Relationship Id="rId366" Type="http://schemas.openxmlformats.org/officeDocument/2006/relationships/ctrlProp" Target="../ctrlProps/ctrlProp365.xml"/><Relationship Id="rId573" Type="http://schemas.openxmlformats.org/officeDocument/2006/relationships/ctrlProp" Target="../ctrlProps/ctrlProp572.xml"/><Relationship Id="rId226" Type="http://schemas.openxmlformats.org/officeDocument/2006/relationships/ctrlProp" Target="../ctrlProps/ctrlProp225.xml"/><Relationship Id="rId433" Type="http://schemas.openxmlformats.org/officeDocument/2006/relationships/ctrlProp" Target="../ctrlProps/ctrlProp432.xml"/><Relationship Id="rId640" Type="http://schemas.openxmlformats.org/officeDocument/2006/relationships/ctrlProp" Target="../ctrlProps/ctrlProp639.xml"/><Relationship Id="rId74" Type="http://schemas.openxmlformats.org/officeDocument/2006/relationships/ctrlProp" Target="../ctrlProps/ctrlProp73.xml"/><Relationship Id="rId377" Type="http://schemas.openxmlformats.org/officeDocument/2006/relationships/ctrlProp" Target="../ctrlProps/ctrlProp376.xml"/><Relationship Id="rId500" Type="http://schemas.openxmlformats.org/officeDocument/2006/relationships/ctrlProp" Target="../ctrlProps/ctrlProp499.xml"/><Relationship Id="rId584" Type="http://schemas.openxmlformats.org/officeDocument/2006/relationships/ctrlProp" Target="../ctrlProps/ctrlProp583.xml"/><Relationship Id="rId5" Type="http://schemas.openxmlformats.org/officeDocument/2006/relationships/ctrlProp" Target="../ctrlProps/ctrlProp4.xml"/><Relationship Id="rId237" Type="http://schemas.openxmlformats.org/officeDocument/2006/relationships/ctrlProp" Target="../ctrlProps/ctrlProp236.xml"/><Relationship Id="rId444" Type="http://schemas.openxmlformats.org/officeDocument/2006/relationships/ctrlProp" Target="../ctrlProps/ctrlProp443.xml"/><Relationship Id="rId651" Type="http://schemas.openxmlformats.org/officeDocument/2006/relationships/ctrlProp" Target="../ctrlProps/ctrlProp650.xml"/><Relationship Id="rId290" Type="http://schemas.openxmlformats.org/officeDocument/2006/relationships/ctrlProp" Target="../ctrlProps/ctrlProp289.xml"/><Relationship Id="rId304" Type="http://schemas.openxmlformats.org/officeDocument/2006/relationships/ctrlProp" Target="../ctrlProps/ctrlProp303.xml"/><Relationship Id="rId388" Type="http://schemas.openxmlformats.org/officeDocument/2006/relationships/ctrlProp" Target="../ctrlProps/ctrlProp387.xml"/><Relationship Id="rId511" Type="http://schemas.openxmlformats.org/officeDocument/2006/relationships/ctrlProp" Target="../ctrlProps/ctrlProp510.xml"/><Relationship Id="rId609" Type="http://schemas.openxmlformats.org/officeDocument/2006/relationships/ctrlProp" Target="../ctrlProps/ctrlProp608.xml"/><Relationship Id="rId85" Type="http://schemas.openxmlformats.org/officeDocument/2006/relationships/ctrlProp" Target="../ctrlProps/ctrlProp84.xml"/><Relationship Id="rId150" Type="http://schemas.openxmlformats.org/officeDocument/2006/relationships/ctrlProp" Target="../ctrlProps/ctrlProp149.xml"/><Relationship Id="rId595" Type="http://schemas.openxmlformats.org/officeDocument/2006/relationships/ctrlProp" Target="../ctrlProps/ctrlProp594.xml"/><Relationship Id="rId248" Type="http://schemas.openxmlformats.org/officeDocument/2006/relationships/ctrlProp" Target="../ctrlProps/ctrlProp247.xml"/><Relationship Id="rId455" Type="http://schemas.openxmlformats.org/officeDocument/2006/relationships/ctrlProp" Target="../ctrlProps/ctrlProp454.xml"/><Relationship Id="rId662" Type="http://schemas.openxmlformats.org/officeDocument/2006/relationships/ctrlProp" Target="../ctrlProps/ctrlProp661.xml"/><Relationship Id="rId12" Type="http://schemas.openxmlformats.org/officeDocument/2006/relationships/ctrlProp" Target="../ctrlProps/ctrlProp11.xml"/><Relationship Id="rId108" Type="http://schemas.openxmlformats.org/officeDocument/2006/relationships/ctrlProp" Target="../ctrlProps/ctrlProp107.xml"/><Relationship Id="rId315" Type="http://schemas.openxmlformats.org/officeDocument/2006/relationships/ctrlProp" Target="../ctrlProps/ctrlProp314.xml"/><Relationship Id="rId522" Type="http://schemas.openxmlformats.org/officeDocument/2006/relationships/ctrlProp" Target="../ctrlProps/ctrlProp521.xml"/><Relationship Id="rId96" Type="http://schemas.openxmlformats.org/officeDocument/2006/relationships/ctrlProp" Target="../ctrlProps/ctrlProp95.xml"/><Relationship Id="rId161" Type="http://schemas.openxmlformats.org/officeDocument/2006/relationships/ctrlProp" Target="../ctrlProps/ctrlProp160.xml"/><Relationship Id="rId399" Type="http://schemas.openxmlformats.org/officeDocument/2006/relationships/ctrlProp" Target="../ctrlProps/ctrlProp398.xml"/><Relationship Id="rId259" Type="http://schemas.openxmlformats.org/officeDocument/2006/relationships/ctrlProp" Target="../ctrlProps/ctrlProp258.xml"/><Relationship Id="rId466" Type="http://schemas.openxmlformats.org/officeDocument/2006/relationships/ctrlProp" Target="../ctrlProps/ctrlProp465.xml"/><Relationship Id="rId673" Type="http://schemas.openxmlformats.org/officeDocument/2006/relationships/ctrlProp" Target="../ctrlProps/ctrlProp672.xml"/><Relationship Id="rId23" Type="http://schemas.openxmlformats.org/officeDocument/2006/relationships/ctrlProp" Target="../ctrlProps/ctrlProp22.xml"/><Relationship Id="rId119" Type="http://schemas.openxmlformats.org/officeDocument/2006/relationships/ctrlProp" Target="../ctrlProps/ctrlProp118.xml"/><Relationship Id="rId326" Type="http://schemas.openxmlformats.org/officeDocument/2006/relationships/ctrlProp" Target="../ctrlProps/ctrlProp325.xml"/><Relationship Id="rId533" Type="http://schemas.openxmlformats.org/officeDocument/2006/relationships/ctrlProp" Target="../ctrlProps/ctrlProp532.xml"/><Relationship Id="rId172" Type="http://schemas.openxmlformats.org/officeDocument/2006/relationships/ctrlProp" Target="../ctrlProps/ctrlProp171.xml"/><Relationship Id="rId477" Type="http://schemas.openxmlformats.org/officeDocument/2006/relationships/ctrlProp" Target="../ctrlProps/ctrlProp476.xml"/><Relationship Id="rId600" Type="http://schemas.openxmlformats.org/officeDocument/2006/relationships/ctrlProp" Target="../ctrlProps/ctrlProp599.xml"/><Relationship Id="rId684" Type="http://schemas.openxmlformats.org/officeDocument/2006/relationships/ctrlProp" Target="../ctrlProps/ctrlProp683.xml"/><Relationship Id="rId337" Type="http://schemas.openxmlformats.org/officeDocument/2006/relationships/ctrlProp" Target="../ctrlProps/ctrlProp336.xml"/><Relationship Id="rId34" Type="http://schemas.openxmlformats.org/officeDocument/2006/relationships/ctrlProp" Target="../ctrlProps/ctrlProp33.xml"/><Relationship Id="rId544" Type="http://schemas.openxmlformats.org/officeDocument/2006/relationships/ctrlProp" Target="../ctrlProps/ctrlProp543.xml"/><Relationship Id="rId183" Type="http://schemas.openxmlformats.org/officeDocument/2006/relationships/ctrlProp" Target="../ctrlProps/ctrlProp182.xml"/><Relationship Id="rId390" Type="http://schemas.openxmlformats.org/officeDocument/2006/relationships/ctrlProp" Target="../ctrlProps/ctrlProp389.xml"/><Relationship Id="rId404" Type="http://schemas.openxmlformats.org/officeDocument/2006/relationships/ctrlProp" Target="../ctrlProps/ctrlProp403.xml"/><Relationship Id="rId611" Type="http://schemas.openxmlformats.org/officeDocument/2006/relationships/ctrlProp" Target="../ctrlProps/ctrlProp610.xml"/><Relationship Id="rId250" Type="http://schemas.openxmlformats.org/officeDocument/2006/relationships/ctrlProp" Target="../ctrlProps/ctrlProp249.xml"/><Relationship Id="rId488" Type="http://schemas.openxmlformats.org/officeDocument/2006/relationships/ctrlProp" Target="../ctrlProps/ctrlProp487.xml"/><Relationship Id="rId695" Type="http://schemas.openxmlformats.org/officeDocument/2006/relationships/ctrlProp" Target="../ctrlProps/ctrlProp694.xml"/><Relationship Id="rId45" Type="http://schemas.openxmlformats.org/officeDocument/2006/relationships/ctrlProp" Target="../ctrlProps/ctrlProp44.xml"/><Relationship Id="rId110" Type="http://schemas.openxmlformats.org/officeDocument/2006/relationships/ctrlProp" Target="../ctrlProps/ctrlProp109.xml"/><Relationship Id="rId348" Type="http://schemas.openxmlformats.org/officeDocument/2006/relationships/ctrlProp" Target="../ctrlProps/ctrlProp347.xml"/><Relationship Id="rId555" Type="http://schemas.openxmlformats.org/officeDocument/2006/relationships/ctrlProp" Target="../ctrlProps/ctrlProp554.xml"/><Relationship Id="rId194" Type="http://schemas.openxmlformats.org/officeDocument/2006/relationships/ctrlProp" Target="../ctrlProps/ctrlProp193.xml"/><Relationship Id="rId208" Type="http://schemas.openxmlformats.org/officeDocument/2006/relationships/ctrlProp" Target="../ctrlProps/ctrlProp207.xml"/><Relationship Id="rId415" Type="http://schemas.openxmlformats.org/officeDocument/2006/relationships/ctrlProp" Target="../ctrlProps/ctrlProp414.xml"/><Relationship Id="rId622" Type="http://schemas.openxmlformats.org/officeDocument/2006/relationships/ctrlProp" Target="../ctrlProps/ctrlProp621.xml"/><Relationship Id="rId261" Type="http://schemas.openxmlformats.org/officeDocument/2006/relationships/ctrlProp" Target="../ctrlProps/ctrlProp260.xml"/><Relationship Id="rId499" Type="http://schemas.openxmlformats.org/officeDocument/2006/relationships/ctrlProp" Target="../ctrlProps/ctrlProp498.xml"/><Relationship Id="rId56" Type="http://schemas.openxmlformats.org/officeDocument/2006/relationships/ctrlProp" Target="../ctrlProps/ctrlProp55.xml"/><Relationship Id="rId359" Type="http://schemas.openxmlformats.org/officeDocument/2006/relationships/ctrlProp" Target="../ctrlProps/ctrlProp358.xml"/><Relationship Id="rId566" Type="http://schemas.openxmlformats.org/officeDocument/2006/relationships/ctrlProp" Target="../ctrlProps/ctrlProp565.xml"/><Relationship Id="rId121" Type="http://schemas.openxmlformats.org/officeDocument/2006/relationships/ctrlProp" Target="../ctrlProps/ctrlProp120.xml"/><Relationship Id="rId219" Type="http://schemas.openxmlformats.org/officeDocument/2006/relationships/ctrlProp" Target="../ctrlProps/ctrlProp218.xml"/><Relationship Id="rId426" Type="http://schemas.openxmlformats.org/officeDocument/2006/relationships/ctrlProp" Target="../ctrlProps/ctrlProp425.xml"/><Relationship Id="rId633" Type="http://schemas.openxmlformats.org/officeDocument/2006/relationships/ctrlProp" Target="../ctrlProps/ctrlProp632.xml"/><Relationship Id="rId67" Type="http://schemas.openxmlformats.org/officeDocument/2006/relationships/ctrlProp" Target="../ctrlProps/ctrlProp66.xml"/><Relationship Id="rId272" Type="http://schemas.openxmlformats.org/officeDocument/2006/relationships/ctrlProp" Target="../ctrlProps/ctrlProp271.xml"/><Relationship Id="rId577" Type="http://schemas.openxmlformats.org/officeDocument/2006/relationships/ctrlProp" Target="../ctrlProps/ctrlProp576.xml"/><Relationship Id="rId132" Type="http://schemas.openxmlformats.org/officeDocument/2006/relationships/ctrlProp" Target="../ctrlProps/ctrlProp131.xml"/><Relationship Id="rId437" Type="http://schemas.openxmlformats.org/officeDocument/2006/relationships/ctrlProp" Target="../ctrlProps/ctrlProp436.xml"/><Relationship Id="rId644" Type="http://schemas.openxmlformats.org/officeDocument/2006/relationships/ctrlProp" Target="../ctrlProps/ctrlProp643.xml"/><Relationship Id="rId283" Type="http://schemas.openxmlformats.org/officeDocument/2006/relationships/ctrlProp" Target="../ctrlProps/ctrlProp282.xml"/><Relationship Id="rId490" Type="http://schemas.openxmlformats.org/officeDocument/2006/relationships/ctrlProp" Target="../ctrlProps/ctrlProp489.xml"/><Relationship Id="rId504" Type="http://schemas.openxmlformats.org/officeDocument/2006/relationships/ctrlProp" Target="../ctrlProps/ctrlProp503.xml"/><Relationship Id="rId78" Type="http://schemas.openxmlformats.org/officeDocument/2006/relationships/ctrlProp" Target="../ctrlProps/ctrlProp77.xml"/><Relationship Id="rId143" Type="http://schemas.openxmlformats.org/officeDocument/2006/relationships/ctrlProp" Target="../ctrlProps/ctrlProp142.xml"/><Relationship Id="rId350" Type="http://schemas.openxmlformats.org/officeDocument/2006/relationships/ctrlProp" Target="../ctrlProps/ctrlProp349.xml"/><Relationship Id="rId588" Type="http://schemas.openxmlformats.org/officeDocument/2006/relationships/ctrlProp" Target="../ctrlProps/ctrlProp587.xml"/><Relationship Id="rId9" Type="http://schemas.openxmlformats.org/officeDocument/2006/relationships/ctrlProp" Target="../ctrlProps/ctrlProp8.xml"/><Relationship Id="rId210" Type="http://schemas.openxmlformats.org/officeDocument/2006/relationships/ctrlProp" Target="../ctrlProps/ctrlProp209.xml"/><Relationship Id="rId448" Type="http://schemas.openxmlformats.org/officeDocument/2006/relationships/ctrlProp" Target="../ctrlProps/ctrlProp447.xml"/><Relationship Id="rId655" Type="http://schemas.openxmlformats.org/officeDocument/2006/relationships/ctrlProp" Target="../ctrlProps/ctrlProp654.xml"/><Relationship Id="rId294" Type="http://schemas.openxmlformats.org/officeDocument/2006/relationships/ctrlProp" Target="../ctrlProps/ctrlProp293.xml"/><Relationship Id="rId308" Type="http://schemas.openxmlformats.org/officeDocument/2006/relationships/ctrlProp" Target="../ctrlProps/ctrlProp307.xml"/><Relationship Id="rId515" Type="http://schemas.openxmlformats.org/officeDocument/2006/relationships/ctrlProp" Target="../ctrlProps/ctrlProp514.xml"/><Relationship Id="rId89" Type="http://schemas.openxmlformats.org/officeDocument/2006/relationships/ctrlProp" Target="../ctrlProps/ctrlProp88.xml"/><Relationship Id="rId154" Type="http://schemas.openxmlformats.org/officeDocument/2006/relationships/ctrlProp" Target="../ctrlProps/ctrlProp153.xml"/><Relationship Id="rId361" Type="http://schemas.openxmlformats.org/officeDocument/2006/relationships/ctrlProp" Target="../ctrlProps/ctrlProp360.xml"/><Relationship Id="rId599" Type="http://schemas.openxmlformats.org/officeDocument/2006/relationships/ctrlProp" Target="../ctrlProps/ctrlProp598.xml"/><Relationship Id="rId459" Type="http://schemas.openxmlformats.org/officeDocument/2006/relationships/ctrlProp" Target="../ctrlProps/ctrlProp458.xml"/><Relationship Id="rId666" Type="http://schemas.openxmlformats.org/officeDocument/2006/relationships/ctrlProp" Target="../ctrlProps/ctrlProp665.xml"/><Relationship Id="rId16" Type="http://schemas.openxmlformats.org/officeDocument/2006/relationships/ctrlProp" Target="../ctrlProps/ctrlProp15.xml"/><Relationship Id="rId221" Type="http://schemas.openxmlformats.org/officeDocument/2006/relationships/ctrlProp" Target="../ctrlProps/ctrlProp220.xml"/><Relationship Id="rId319" Type="http://schemas.openxmlformats.org/officeDocument/2006/relationships/ctrlProp" Target="../ctrlProps/ctrlProp318.xml"/><Relationship Id="rId526" Type="http://schemas.openxmlformats.org/officeDocument/2006/relationships/ctrlProp" Target="../ctrlProps/ctrlProp525.xml"/><Relationship Id="rId165" Type="http://schemas.openxmlformats.org/officeDocument/2006/relationships/ctrlProp" Target="../ctrlProps/ctrlProp164.xml"/><Relationship Id="rId372" Type="http://schemas.openxmlformats.org/officeDocument/2006/relationships/ctrlProp" Target="../ctrlProps/ctrlProp371.xml"/><Relationship Id="rId677" Type="http://schemas.openxmlformats.org/officeDocument/2006/relationships/ctrlProp" Target="../ctrlProps/ctrlProp676.xml"/><Relationship Id="rId232" Type="http://schemas.openxmlformats.org/officeDocument/2006/relationships/ctrlProp" Target="../ctrlProps/ctrlProp231.xml"/><Relationship Id="rId27" Type="http://schemas.openxmlformats.org/officeDocument/2006/relationships/ctrlProp" Target="../ctrlProps/ctrlProp26.xml"/><Relationship Id="rId537" Type="http://schemas.openxmlformats.org/officeDocument/2006/relationships/ctrlProp" Target="../ctrlProps/ctrlProp536.xml"/><Relationship Id="rId80" Type="http://schemas.openxmlformats.org/officeDocument/2006/relationships/ctrlProp" Target="../ctrlProps/ctrlProp79.xml"/><Relationship Id="rId176" Type="http://schemas.openxmlformats.org/officeDocument/2006/relationships/ctrlProp" Target="../ctrlProps/ctrlProp175.xml"/><Relationship Id="rId383" Type="http://schemas.openxmlformats.org/officeDocument/2006/relationships/ctrlProp" Target="../ctrlProps/ctrlProp382.xml"/><Relationship Id="rId590" Type="http://schemas.openxmlformats.org/officeDocument/2006/relationships/ctrlProp" Target="../ctrlProps/ctrlProp589.xml"/><Relationship Id="rId604" Type="http://schemas.openxmlformats.org/officeDocument/2006/relationships/ctrlProp" Target="../ctrlProps/ctrlProp603.xml"/><Relationship Id="rId243" Type="http://schemas.openxmlformats.org/officeDocument/2006/relationships/ctrlProp" Target="../ctrlProps/ctrlProp242.xml"/><Relationship Id="rId450" Type="http://schemas.openxmlformats.org/officeDocument/2006/relationships/ctrlProp" Target="../ctrlProps/ctrlProp449.xml"/><Relationship Id="rId688" Type="http://schemas.openxmlformats.org/officeDocument/2006/relationships/ctrlProp" Target="../ctrlProps/ctrlProp687.xml"/><Relationship Id="rId38" Type="http://schemas.openxmlformats.org/officeDocument/2006/relationships/ctrlProp" Target="../ctrlProps/ctrlProp37.xml"/><Relationship Id="rId103" Type="http://schemas.openxmlformats.org/officeDocument/2006/relationships/ctrlProp" Target="../ctrlProps/ctrlProp102.xml"/><Relationship Id="rId310" Type="http://schemas.openxmlformats.org/officeDocument/2006/relationships/ctrlProp" Target="../ctrlProps/ctrlProp309.xml"/><Relationship Id="rId548" Type="http://schemas.openxmlformats.org/officeDocument/2006/relationships/ctrlProp" Target="../ctrlProps/ctrlProp547.xml"/><Relationship Id="rId91" Type="http://schemas.openxmlformats.org/officeDocument/2006/relationships/ctrlProp" Target="../ctrlProps/ctrlProp90.xml"/><Relationship Id="rId187" Type="http://schemas.openxmlformats.org/officeDocument/2006/relationships/ctrlProp" Target="../ctrlProps/ctrlProp186.xml"/><Relationship Id="rId394" Type="http://schemas.openxmlformats.org/officeDocument/2006/relationships/ctrlProp" Target="../ctrlProps/ctrlProp393.xml"/><Relationship Id="rId408" Type="http://schemas.openxmlformats.org/officeDocument/2006/relationships/ctrlProp" Target="../ctrlProps/ctrlProp407.xml"/><Relationship Id="rId615" Type="http://schemas.openxmlformats.org/officeDocument/2006/relationships/ctrlProp" Target="../ctrlProps/ctrlProp614.xml"/><Relationship Id="rId254" Type="http://schemas.openxmlformats.org/officeDocument/2006/relationships/ctrlProp" Target="../ctrlProps/ctrlProp253.xml"/><Relationship Id="rId49" Type="http://schemas.openxmlformats.org/officeDocument/2006/relationships/ctrlProp" Target="../ctrlProps/ctrlProp48.xml"/><Relationship Id="rId114" Type="http://schemas.openxmlformats.org/officeDocument/2006/relationships/ctrlProp" Target="../ctrlProps/ctrlProp113.xml"/><Relationship Id="rId461" Type="http://schemas.openxmlformats.org/officeDocument/2006/relationships/ctrlProp" Target="../ctrlProps/ctrlProp460.xml"/><Relationship Id="rId559" Type="http://schemas.openxmlformats.org/officeDocument/2006/relationships/ctrlProp" Target="../ctrlProps/ctrlProp558.xml"/><Relationship Id="rId198" Type="http://schemas.openxmlformats.org/officeDocument/2006/relationships/ctrlProp" Target="../ctrlProps/ctrlProp197.xml"/><Relationship Id="rId321" Type="http://schemas.openxmlformats.org/officeDocument/2006/relationships/ctrlProp" Target="../ctrlProps/ctrlProp320.xml"/><Relationship Id="rId419" Type="http://schemas.openxmlformats.org/officeDocument/2006/relationships/ctrlProp" Target="../ctrlProps/ctrlProp418.xml"/><Relationship Id="rId626" Type="http://schemas.openxmlformats.org/officeDocument/2006/relationships/ctrlProp" Target="../ctrlProps/ctrlProp625.xml"/></Relationships>
</file>

<file path=xl/worksheets/_rels/sheet15.xml.rels><?xml version="1.0" encoding="UTF-8" standalone="yes"?>
<Relationships xmlns="http://schemas.openxmlformats.org/package/2006/relationships"><Relationship Id="rId117" Type="http://schemas.openxmlformats.org/officeDocument/2006/relationships/ctrlProp" Target="../ctrlProps/ctrlProp812.xml"/><Relationship Id="rId671" Type="http://schemas.openxmlformats.org/officeDocument/2006/relationships/ctrlProp" Target="../ctrlProps/ctrlProp1366.xml"/><Relationship Id="rId769" Type="http://schemas.openxmlformats.org/officeDocument/2006/relationships/ctrlProp" Target="../ctrlProps/ctrlProp1464.xml"/><Relationship Id="rId21" Type="http://schemas.openxmlformats.org/officeDocument/2006/relationships/ctrlProp" Target="../ctrlProps/ctrlProp716.xml"/><Relationship Id="rId324" Type="http://schemas.openxmlformats.org/officeDocument/2006/relationships/ctrlProp" Target="../ctrlProps/ctrlProp1019.xml"/><Relationship Id="rId531" Type="http://schemas.openxmlformats.org/officeDocument/2006/relationships/ctrlProp" Target="../ctrlProps/ctrlProp1226.xml"/><Relationship Id="rId629" Type="http://schemas.openxmlformats.org/officeDocument/2006/relationships/ctrlProp" Target="../ctrlProps/ctrlProp1324.xml"/><Relationship Id="rId170" Type="http://schemas.openxmlformats.org/officeDocument/2006/relationships/ctrlProp" Target="../ctrlProps/ctrlProp865.xml"/><Relationship Id="rId836" Type="http://schemas.openxmlformats.org/officeDocument/2006/relationships/ctrlProp" Target="../ctrlProps/ctrlProp1531.xml"/><Relationship Id="rId268" Type="http://schemas.openxmlformats.org/officeDocument/2006/relationships/ctrlProp" Target="../ctrlProps/ctrlProp963.xml"/><Relationship Id="rId475" Type="http://schemas.openxmlformats.org/officeDocument/2006/relationships/ctrlProp" Target="../ctrlProps/ctrlProp1170.xml"/><Relationship Id="rId682" Type="http://schemas.openxmlformats.org/officeDocument/2006/relationships/ctrlProp" Target="../ctrlProps/ctrlProp1377.xml"/><Relationship Id="rId903" Type="http://schemas.openxmlformats.org/officeDocument/2006/relationships/ctrlProp" Target="../ctrlProps/ctrlProp1598.xml"/><Relationship Id="rId32" Type="http://schemas.openxmlformats.org/officeDocument/2006/relationships/ctrlProp" Target="../ctrlProps/ctrlProp727.xml"/><Relationship Id="rId128" Type="http://schemas.openxmlformats.org/officeDocument/2006/relationships/ctrlProp" Target="../ctrlProps/ctrlProp823.xml"/><Relationship Id="rId335" Type="http://schemas.openxmlformats.org/officeDocument/2006/relationships/ctrlProp" Target="../ctrlProps/ctrlProp1030.xml"/><Relationship Id="rId542" Type="http://schemas.openxmlformats.org/officeDocument/2006/relationships/ctrlProp" Target="../ctrlProps/ctrlProp1237.xml"/><Relationship Id="rId181" Type="http://schemas.openxmlformats.org/officeDocument/2006/relationships/ctrlProp" Target="../ctrlProps/ctrlProp876.xml"/><Relationship Id="rId402" Type="http://schemas.openxmlformats.org/officeDocument/2006/relationships/ctrlProp" Target="../ctrlProps/ctrlProp1097.xml"/><Relationship Id="rId847" Type="http://schemas.openxmlformats.org/officeDocument/2006/relationships/ctrlProp" Target="../ctrlProps/ctrlProp1542.xml"/><Relationship Id="rId279" Type="http://schemas.openxmlformats.org/officeDocument/2006/relationships/ctrlProp" Target="../ctrlProps/ctrlProp974.xml"/><Relationship Id="rId486" Type="http://schemas.openxmlformats.org/officeDocument/2006/relationships/ctrlProp" Target="../ctrlProps/ctrlProp1181.xml"/><Relationship Id="rId693" Type="http://schemas.openxmlformats.org/officeDocument/2006/relationships/ctrlProp" Target="../ctrlProps/ctrlProp1388.xml"/><Relationship Id="rId707" Type="http://schemas.openxmlformats.org/officeDocument/2006/relationships/ctrlProp" Target="../ctrlProps/ctrlProp1402.xml"/><Relationship Id="rId43" Type="http://schemas.openxmlformats.org/officeDocument/2006/relationships/ctrlProp" Target="../ctrlProps/ctrlProp738.xml"/><Relationship Id="rId139" Type="http://schemas.openxmlformats.org/officeDocument/2006/relationships/ctrlProp" Target="../ctrlProps/ctrlProp834.xml"/><Relationship Id="rId346" Type="http://schemas.openxmlformats.org/officeDocument/2006/relationships/ctrlProp" Target="../ctrlProps/ctrlProp1041.xml"/><Relationship Id="rId553" Type="http://schemas.openxmlformats.org/officeDocument/2006/relationships/ctrlProp" Target="../ctrlProps/ctrlProp1248.xml"/><Relationship Id="rId760" Type="http://schemas.openxmlformats.org/officeDocument/2006/relationships/ctrlProp" Target="../ctrlProps/ctrlProp1455.xml"/><Relationship Id="rId192" Type="http://schemas.openxmlformats.org/officeDocument/2006/relationships/ctrlProp" Target="../ctrlProps/ctrlProp887.xml"/><Relationship Id="rId206" Type="http://schemas.openxmlformats.org/officeDocument/2006/relationships/ctrlProp" Target="../ctrlProps/ctrlProp901.xml"/><Relationship Id="rId413" Type="http://schemas.openxmlformats.org/officeDocument/2006/relationships/ctrlProp" Target="../ctrlProps/ctrlProp1108.xml"/><Relationship Id="rId858" Type="http://schemas.openxmlformats.org/officeDocument/2006/relationships/ctrlProp" Target="../ctrlProps/ctrlProp1553.xml"/><Relationship Id="rId497" Type="http://schemas.openxmlformats.org/officeDocument/2006/relationships/ctrlProp" Target="../ctrlProps/ctrlProp1192.xml"/><Relationship Id="rId620" Type="http://schemas.openxmlformats.org/officeDocument/2006/relationships/ctrlProp" Target="../ctrlProps/ctrlProp1315.xml"/><Relationship Id="rId718" Type="http://schemas.openxmlformats.org/officeDocument/2006/relationships/ctrlProp" Target="../ctrlProps/ctrlProp1413.xml"/><Relationship Id="rId357" Type="http://schemas.openxmlformats.org/officeDocument/2006/relationships/ctrlProp" Target="../ctrlProps/ctrlProp1052.xml"/><Relationship Id="rId54" Type="http://schemas.openxmlformats.org/officeDocument/2006/relationships/ctrlProp" Target="../ctrlProps/ctrlProp749.xml"/><Relationship Id="rId217" Type="http://schemas.openxmlformats.org/officeDocument/2006/relationships/ctrlProp" Target="../ctrlProps/ctrlProp912.xml"/><Relationship Id="rId564" Type="http://schemas.openxmlformats.org/officeDocument/2006/relationships/ctrlProp" Target="../ctrlProps/ctrlProp1259.xml"/><Relationship Id="rId771" Type="http://schemas.openxmlformats.org/officeDocument/2006/relationships/ctrlProp" Target="../ctrlProps/ctrlProp1466.xml"/><Relationship Id="rId869" Type="http://schemas.openxmlformats.org/officeDocument/2006/relationships/ctrlProp" Target="../ctrlProps/ctrlProp1564.xml"/><Relationship Id="rId424" Type="http://schemas.openxmlformats.org/officeDocument/2006/relationships/ctrlProp" Target="../ctrlProps/ctrlProp1119.xml"/><Relationship Id="rId631" Type="http://schemas.openxmlformats.org/officeDocument/2006/relationships/ctrlProp" Target="../ctrlProps/ctrlProp1326.xml"/><Relationship Id="rId729" Type="http://schemas.openxmlformats.org/officeDocument/2006/relationships/ctrlProp" Target="../ctrlProps/ctrlProp1424.xml"/><Relationship Id="rId270" Type="http://schemas.openxmlformats.org/officeDocument/2006/relationships/ctrlProp" Target="../ctrlProps/ctrlProp965.xml"/><Relationship Id="rId65" Type="http://schemas.openxmlformats.org/officeDocument/2006/relationships/ctrlProp" Target="../ctrlProps/ctrlProp760.xml"/><Relationship Id="rId130" Type="http://schemas.openxmlformats.org/officeDocument/2006/relationships/ctrlProp" Target="../ctrlProps/ctrlProp825.xml"/><Relationship Id="rId368" Type="http://schemas.openxmlformats.org/officeDocument/2006/relationships/ctrlProp" Target="../ctrlProps/ctrlProp1063.xml"/><Relationship Id="rId575" Type="http://schemas.openxmlformats.org/officeDocument/2006/relationships/ctrlProp" Target="../ctrlProps/ctrlProp1270.xml"/><Relationship Id="rId782" Type="http://schemas.openxmlformats.org/officeDocument/2006/relationships/ctrlProp" Target="../ctrlProps/ctrlProp1477.xml"/><Relationship Id="rId228" Type="http://schemas.openxmlformats.org/officeDocument/2006/relationships/ctrlProp" Target="../ctrlProps/ctrlProp923.xml"/><Relationship Id="rId435" Type="http://schemas.openxmlformats.org/officeDocument/2006/relationships/ctrlProp" Target="../ctrlProps/ctrlProp1130.xml"/><Relationship Id="rId642" Type="http://schemas.openxmlformats.org/officeDocument/2006/relationships/ctrlProp" Target="../ctrlProps/ctrlProp1337.xml"/><Relationship Id="rId281" Type="http://schemas.openxmlformats.org/officeDocument/2006/relationships/ctrlProp" Target="../ctrlProps/ctrlProp976.xml"/><Relationship Id="rId502" Type="http://schemas.openxmlformats.org/officeDocument/2006/relationships/ctrlProp" Target="../ctrlProps/ctrlProp1197.xml"/><Relationship Id="rId76" Type="http://schemas.openxmlformats.org/officeDocument/2006/relationships/ctrlProp" Target="../ctrlProps/ctrlProp771.xml"/><Relationship Id="rId141" Type="http://schemas.openxmlformats.org/officeDocument/2006/relationships/ctrlProp" Target="../ctrlProps/ctrlProp836.xml"/><Relationship Id="rId379" Type="http://schemas.openxmlformats.org/officeDocument/2006/relationships/ctrlProp" Target="../ctrlProps/ctrlProp1074.xml"/><Relationship Id="rId586" Type="http://schemas.openxmlformats.org/officeDocument/2006/relationships/ctrlProp" Target="../ctrlProps/ctrlProp1281.xml"/><Relationship Id="rId793" Type="http://schemas.openxmlformats.org/officeDocument/2006/relationships/ctrlProp" Target="../ctrlProps/ctrlProp1488.xml"/><Relationship Id="rId807" Type="http://schemas.openxmlformats.org/officeDocument/2006/relationships/ctrlProp" Target="../ctrlProps/ctrlProp1502.xml"/><Relationship Id="rId7" Type="http://schemas.openxmlformats.org/officeDocument/2006/relationships/ctrlProp" Target="../ctrlProps/ctrlProp702.xml"/><Relationship Id="rId239" Type="http://schemas.openxmlformats.org/officeDocument/2006/relationships/ctrlProp" Target="../ctrlProps/ctrlProp934.xml"/><Relationship Id="rId446" Type="http://schemas.openxmlformats.org/officeDocument/2006/relationships/ctrlProp" Target="../ctrlProps/ctrlProp1141.xml"/><Relationship Id="rId653" Type="http://schemas.openxmlformats.org/officeDocument/2006/relationships/ctrlProp" Target="../ctrlProps/ctrlProp1348.xml"/><Relationship Id="rId292" Type="http://schemas.openxmlformats.org/officeDocument/2006/relationships/ctrlProp" Target="../ctrlProps/ctrlProp987.xml"/><Relationship Id="rId306" Type="http://schemas.openxmlformats.org/officeDocument/2006/relationships/ctrlProp" Target="../ctrlProps/ctrlProp1001.xml"/><Relationship Id="rId860" Type="http://schemas.openxmlformats.org/officeDocument/2006/relationships/ctrlProp" Target="../ctrlProps/ctrlProp1555.xml"/><Relationship Id="rId87" Type="http://schemas.openxmlformats.org/officeDocument/2006/relationships/ctrlProp" Target="../ctrlProps/ctrlProp782.xml"/><Relationship Id="rId513" Type="http://schemas.openxmlformats.org/officeDocument/2006/relationships/ctrlProp" Target="../ctrlProps/ctrlProp1208.xml"/><Relationship Id="rId597" Type="http://schemas.openxmlformats.org/officeDocument/2006/relationships/ctrlProp" Target="../ctrlProps/ctrlProp1292.xml"/><Relationship Id="rId720" Type="http://schemas.openxmlformats.org/officeDocument/2006/relationships/ctrlProp" Target="../ctrlProps/ctrlProp1415.xml"/><Relationship Id="rId818" Type="http://schemas.openxmlformats.org/officeDocument/2006/relationships/ctrlProp" Target="../ctrlProps/ctrlProp1513.xml"/><Relationship Id="rId152" Type="http://schemas.openxmlformats.org/officeDocument/2006/relationships/ctrlProp" Target="../ctrlProps/ctrlProp847.xml"/><Relationship Id="rId457" Type="http://schemas.openxmlformats.org/officeDocument/2006/relationships/ctrlProp" Target="../ctrlProps/ctrlProp1152.xml"/><Relationship Id="rId664" Type="http://schemas.openxmlformats.org/officeDocument/2006/relationships/ctrlProp" Target="../ctrlProps/ctrlProp1359.xml"/><Relationship Id="rId871" Type="http://schemas.openxmlformats.org/officeDocument/2006/relationships/ctrlProp" Target="../ctrlProps/ctrlProp1566.xml"/><Relationship Id="rId14" Type="http://schemas.openxmlformats.org/officeDocument/2006/relationships/ctrlProp" Target="../ctrlProps/ctrlProp709.xml"/><Relationship Id="rId317" Type="http://schemas.openxmlformats.org/officeDocument/2006/relationships/ctrlProp" Target="../ctrlProps/ctrlProp1012.xml"/><Relationship Id="rId524" Type="http://schemas.openxmlformats.org/officeDocument/2006/relationships/ctrlProp" Target="../ctrlProps/ctrlProp1219.xml"/><Relationship Id="rId731" Type="http://schemas.openxmlformats.org/officeDocument/2006/relationships/ctrlProp" Target="../ctrlProps/ctrlProp1426.xml"/><Relationship Id="rId98" Type="http://schemas.openxmlformats.org/officeDocument/2006/relationships/ctrlProp" Target="../ctrlProps/ctrlProp793.xml"/><Relationship Id="rId163" Type="http://schemas.openxmlformats.org/officeDocument/2006/relationships/ctrlProp" Target="../ctrlProps/ctrlProp858.xml"/><Relationship Id="rId370" Type="http://schemas.openxmlformats.org/officeDocument/2006/relationships/ctrlProp" Target="../ctrlProps/ctrlProp1065.xml"/><Relationship Id="rId829" Type="http://schemas.openxmlformats.org/officeDocument/2006/relationships/ctrlProp" Target="../ctrlProps/ctrlProp1524.xml"/><Relationship Id="rId230" Type="http://schemas.openxmlformats.org/officeDocument/2006/relationships/ctrlProp" Target="../ctrlProps/ctrlProp925.xml"/><Relationship Id="rId468" Type="http://schemas.openxmlformats.org/officeDocument/2006/relationships/ctrlProp" Target="../ctrlProps/ctrlProp1163.xml"/><Relationship Id="rId675" Type="http://schemas.openxmlformats.org/officeDocument/2006/relationships/ctrlProp" Target="../ctrlProps/ctrlProp1370.xml"/><Relationship Id="rId882" Type="http://schemas.openxmlformats.org/officeDocument/2006/relationships/ctrlProp" Target="../ctrlProps/ctrlProp1577.xml"/><Relationship Id="rId25" Type="http://schemas.openxmlformats.org/officeDocument/2006/relationships/ctrlProp" Target="../ctrlProps/ctrlProp720.xml"/><Relationship Id="rId328" Type="http://schemas.openxmlformats.org/officeDocument/2006/relationships/ctrlProp" Target="../ctrlProps/ctrlProp1023.xml"/><Relationship Id="rId535" Type="http://schemas.openxmlformats.org/officeDocument/2006/relationships/ctrlProp" Target="../ctrlProps/ctrlProp1230.xml"/><Relationship Id="rId742" Type="http://schemas.openxmlformats.org/officeDocument/2006/relationships/ctrlProp" Target="../ctrlProps/ctrlProp1437.xml"/><Relationship Id="rId174" Type="http://schemas.openxmlformats.org/officeDocument/2006/relationships/ctrlProp" Target="../ctrlProps/ctrlProp869.xml"/><Relationship Id="rId381" Type="http://schemas.openxmlformats.org/officeDocument/2006/relationships/ctrlProp" Target="../ctrlProps/ctrlProp1076.xml"/><Relationship Id="rId602" Type="http://schemas.openxmlformats.org/officeDocument/2006/relationships/ctrlProp" Target="../ctrlProps/ctrlProp1297.xml"/><Relationship Id="rId241" Type="http://schemas.openxmlformats.org/officeDocument/2006/relationships/ctrlProp" Target="../ctrlProps/ctrlProp936.xml"/><Relationship Id="rId479" Type="http://schemas.openxmlformats.org/officeDocument/2006/relationships/ctrlProp" Target="../ctrlProps/ctrlProp1174.xml"/><Relationship Id="rId686" Type="http://schemas.openxmlformats.org/officeDocument/2006/relationships/ctrlProp" Target="../ctrlProps/ctrlProp1381.xml"/><Relationship Id="rId893" Type="http://schemas.openxmlformats.org/officeDocument/2006/relationships/ctrlProp" Target="../ctrlProps/ctrlProp1588.xml"/><Relationship Id="rId36" Type="http://schemas.openxmlformats.org/officeDocument/2006/relationships/ctrlProp" Target="../ctrlProps/ctrlProp731.xml"/><Relationship Id="rId339" Type="http://schemas.openxmlformats.org/officeDocument/2006/relationships/ctrlProp" Target="../ctrlProps/ctrlProp1034.xml"/><Relationship Id="rId546" Type="http://schemas.openxmlformats.org/officeDocument/2006/relationships/ctrlProp" Target="../ctrlProps/ctrlProp1241.xml"/><Relationship Id="rId753" Type="http://schemas.openxmlformats.org/officeDocument/2006/relationships/ctrlProp" Target="../ctrlProps/ctrlProp1448.xml"/><Relationship Id="rId101" Type="http://schemas.openxmlformats.org/officeDocument/2006/relationships/ctrlProp" Target="../ctrlProps/ctrlProp796.xml"/><Relationship Id="rId185" Type="http://schemas.openxmlformats.org/officeDocument/2006/relationships/ctrlProp" Target="../ctrlProps/ctrlProp880.xml"/><Relationship Id="rId406" Type="http://schemas.openxmlformats.org/officeDocument/2006/relationships/ctrlProp" Target="../ctrlProps/ctrlProp1101.xml"/><Relationship Id="rId392" Type="http://schemas.openxmlformats.org/officeDocument/2006/relationships/ctrlProp" Target="../ctrlProps/ctrlProp1087.xml"/><Relationship Id="rId613" Type="http://schemas.openxmlformats.org/officeDocument/2006/relationships/ctrlProp" Target="../ctrlProps/ctrlProp1308.xml"/><Relationship Id="rId697" Type="http://schemas.openxmlformats.org/officeDocument/2006/relationships/ctrlProp" Target="../ctrlProps/ctrlProp1392.xml"/><Relationship Id="rId820" Type="http://schemas.openxmlformats.org/officeDocument/2006/relationships/ctrlProp" Target="../ctrlProps/ctrlProp1515.xml"/><Relationship Id="rId252" Type="http://schemas.openxmlformats.org/officeDocument/2006/relationships/ctrlProp" Target="../ctrlProps/ctrlProp947.xml"/><Relationship Id="rId47" Type="http://schemas.openxmlformats.org/officeDocument/2006/relationships/ctrlProp" Target="../ctrlProps/ctrlProp742.xml"/><Relationship Id="rId112" Type="http://schemas.openxmlformats.org/officeDocument/2006/relationships/ctrlProp" Target="../ctrlProps/ctrlProp807.xml"/><Relationship Id="rId557" Type="http://schemas.openxmlformats.org/officeDocument/2006/relationships/ctrlProp" Target="../ctrlProps/ctrlProp1252.xml"/><Relationship Id="rId764" Type="http://schemas.openxmlformats.org/officeDocument/2006/relationships/ctrlProp" Target="../ctrlProps/ctrlProp1459.xml"/><Relationship Id="rId196" Type="http://schemas.openxmlformats.org/officeDocument/2006/relationships/ctrlProp" Target="../ctrlProps/ctrlProp891.xml"/><Relationship Id="rId417" Type="http://schemas.openxmlformats.org/officeDocument/2006/relationships/ctrlProp" Target="../ctrlProps/ctrlProp1112.xml"/><Relationship Id="rId624" Type="http://schemas.openxmlformats.org/officeDocument/2006/relationships/ctrlProp" Target="../ctrlProps/ctrlProp1319.xml"/><Relationship Id="rId831" Type="http://schemas.openxmlformats.org/officeDocument/2006/relationships/ctrlProp" Target="../ctrlProps/ctrlProp1526.xml"/><Relationship Id="rId263" Type="http://schemas.openxmlformats.org/officeDocument/2006/relationships/ctrlProp" Target="../ctrlProps/ctrlProp958.xml"/><Relationship Id="rId470" Type="http://schemas.openxmlformats.org/officeDocument/2006/relationships/ctrlProp" Target="../ctrlProps/ctrlProp1165.xml"/><Relationship Id="rId58" Type="http://schemas.openxmlformats.org/officeDocument/2006/relationships/ctrlProp" Target="../ctrlProps/ctrlProp753.xml"/><Relationship Id="rId123" Type="http://schemas.openxmlformats.org/officeDocument/2006/relationships/ctrlProp" Target="../ctrlProps/ctrlProp818.xml"/><Relationship Id="rId330" Type="http://schemas.openxmlformats.org/officeDocument/2006/relationships/ctrlProp" Target="../ctrlProps/ctrlProp1025.xml"/><Relationship Id="rId568" Type="http://schemas.openxmlformats.org/officeDocument/2006/relationships/ctrlProp" Target="../ctrlProps/ctrlProp1263.xml"/><Relationship Id="rId775" Type="http://schemas.openxmlformats.org/officeDocument/2006/relationships/ctrlProp" Target="../ctrlProps/ctrlProp1470.xml"/><Relationship Id="rId428" Type="http://schemas.openxmlformats.org/officeDocument/2006/relationships/ctrlProp" Target="../ctrlProps/ctrlProp1123.xml"/><Relationship Id="rId635" Type="http://schemas.openxmlformats.org/officeDocument/2006/relationships/ctrlProp" Target="../ctrlProps/ctrlProp1330.xml"/><Relationship Id="rId842" Type="http://schemas.openxmlformats.org/officeDocument/2006/relationships/ctrlProp" Target="../ctrlProps/ctrlProp1537.xml"/><Relationship Id="rId274" Type="http://schemas.openxmlformats.org/officeDocument/2006/relationships/ctrlProp" Target="../ctrlProps/ctrlProp969.xml"/><Relationship Id="rId481" Type="http://schemas.openxmlformats.org/officeDocument/2006/relationships/ctrlProp" Target="../ctrlProps/ctrlProp1176.xml"/><Relationship Id="rId702" Type="http://schemas.openxmlformats.org/officeDocument/2006/relationships/ctrlProp" Target="../ctrlProps/ctrlProp1397.xml"/><Relationship Id="rId69" Type="http://schemas.openxmlformats.org/officeDocument/2006/relationships/ctrlProp" Target="../ctrlProps/ctrlProp764.xml"/><Relationship Id="rId134" Type="http://schemas.openxmlformats.org/officeDocument/2006/relationships/ctrlProp" Target="../ctrlProps/ctrlProp829.xml"/><Relationship Id="rId579" Type="http://schemas.openxmlformats.org/officeDocument/2006/relationships/ctrlProp" Target="../ctrlProps/ctrlProp1274.xml"/><Relationship Id="rId786" Type="http://schemas.openxmlformats.org/officeDocument/2006/relationships/ctrlProp" Target="../ctrlProps/ctrlProp1481.xml"/><Relationship Id="rId341" Type="http://schemas.openxmlformats.org/officeDocument/2006/relationships/ctrlProp" Target="../ctrlProps/ctrlProp1036.xml"/><Relationship Id="rId439" Type="http://schemas.openxmlformats.org/officeDocument/2006/relationships/ctrlProp" Target="../ctrlProps/ctrlProp1134.xml"/><Relationship Id="rId646" Type="http://schemas.openxmlformats.org/officeDocument/2006/relationships/ctrlProp" Target="../ctrlProps/ctrlProp1341.xml"/><Relationship Id="rId201" Type="http://schemas.openxmlformats.org/officeDocument/2006/relationships/ctrlProp" Target="../ctrlProps/ctrlProp896.xml"/><Relationship Id="rId285" Type="http://schemas.openxmlformats.org/officeDocument/2006/relationships/ctrlProp" Target="../ctrlProps/ctrlProp980.xml"/><Relationship Id="rId506" Type="http://schemas.openxmlformats.org/officeDocument/2006/relationships/ctrlProp" Target="../ctrlProps/ctrlProp1201.xml"/><Relationship Id="rId853" Type="http://schemas.openxmlformats.org/officeDocument/2006/relationships/ctrlProp" Target="../ctrlProps/ctrlProp1548.xml"/><Relationship Id="rId492" Type="http://schemas.openxmlformats.org/officeDocument/2006/relationships/ctrlProp" Target="../ctrlProps/ctrlProp1187.xml"/><Relationship Id="rId713" Type="http://schemas.openxmlformats.org/officeDocument/2006/relationships/ctrlProp" Target="../ctrlProps/ctrlProp1408.xml"/><Relationship Id="rId797" Type="http://schemas.openxmlformats.org/officeDocument/2006/relationships/ctrlProp" Target="../ctrlProps/ctrlProp1492.xml"/><Relationship Id="rId145" Type="http://schemas.openxmlformats.org/officeDocument/2006/relationships/ctrlProp" Target="../ctrlProps/ctrlProp840.xml"/><Relationship Id="rId352" Type="http://schemas.openxmlformats.org/officeDocument/2006/relationships/ctrlProp" Target="../ctrlProps/ctrlProp1047.xml"/><Relationship Id="rId212" Type="http://schemas.openxmlformats.org/officeDocument/2006/relationships/ctrlProp" Target="../ctrlProps/ctrlProp907.xml"/><Relationship Id="rId657" Type="http://schemas.openxmlformats.org/officeDocument/2006/relationships/ctrlProp" Target="../ctrlProps/ctrlProp1352.xml"/><Relationship Id="rId864" Type="http://schemas.openxmlformats.org/officeDocument/2006/relationships/ctrlProp" Target="../ctrlProps/ctrlProp1559.xml"/><Relationship Id="rId296" Type="http://schemas.openxmlformats.org/officeDocument/2006/relationships/ctrlProp" Target="../ctrlProps/ctrlProp991.xml"/><Relationship Id="rId517" Type="http://schemas.openxmlformats.org/officeDocument/2006/relationships/ctrlProp" Target="../ctrlProps/ctrlProp1212.xml"/><Relationship Id="rId724" Type="http://schemas.openxmlformats.org/officeDocument/2006/relationships/ctrlProp" Target="../ctrlProps/ctrlProp1419.xml"/><Relationship Id="rId60" Type="http://schemas.openxmlformats.org/officeDocument/2006/relationships/ctrlProp" Target="../ctrlProps/ctrlProp755.xml"/><Relationship Id="rId156" Type="http://schemas.openxmlformats.org/officeDocument/2006/relationships/ctrlProp" Target="../ctrlProps/ctrlProp851.xml"/><Relationship Id="rId363" Type="http://schemas.openxmlformats.org/officeDocument/2006/relationships/ctrlProp" Target="../ctrlProps/ctrlProp1058.xml"/><Relationship Id="rId570" Type="http://schemas.openxmlformats.org/officeDocument/2006/relationships/ctrlProp" Target="../ctrlProps/ctrlProp1265.xml"/><Relationship Id="rId223" Type="http://schemas.openxmlformats.org/officeDocument/2006/relationships/ctrlProp" Target="../ctrlProps/ctrlProp918.xml"/><Relationship Id="rId430" Type="http://schemas.openxmlformats.org/officeDocument/2006/relationships/ctrlProp" Target="../ctrlProps/ctrlProp1125.xml"/><Relationship Id="rId668" Type="http://schemas.openxmlformats.org/officeDocument/2006/relationships/ctrlProp" Target="../ctrlProps/ctrlProp1363.xml"/><Relationship Id="rId875" Type="http://schemas.openxmlformats.org/officeDocument/2006/relationships/ctrlProp" Target="../ctrlProps/ctrlProp1570.xml"/><Relationship Id="rId18" Type="http://schemas.openxmlformats.org/officeDocument/2006/relationships/ctrlProp" Target="../ctrlProps/ctrlProp713.xml"/><Relationship Id="rId528" Type="http://schemas.openxmlformats.org/officeDocument/2006/relationships/ctrlProp" Target="../ctrlProps/ctrlProp1223.xml"/><Relationship Id="rId735" Type="http://schemas.openxmlformats.org/officeDocument/2006/relationships/ctrlProp" Target="../ctrlProps/ctrlProp1430.xml"/><Relationship Id="rId167" Type="http://schemas.openxmlformats.org/officeDocument/2006/relationships/ctrlProp" Target="../ctrlProps/ctrlProp862.xml"/><Relationship Id="rId374" Type="http://schemas.openxmlformats.org/officeDocument/2006/relationships/ctrlProp" Target="../ctrlProps/ctrlProp1069.xml"/><Relationship Id="rId581" Type="http://schemas.openxmlformats.org/officeDocument/2006/relationships/ctrlProp" Target="../ctrlProps/ctrlProp1276.xml"/><Relationship Id="rId71" Type="http://schemas.openxmlformats.org/officeDocument/2006/relationships/ctrlProp" Target="../ctrlProps/ctrlProp766.xml"/><Relationship Id="rId234" Type="http://schemas.openxmlformats.org/officeDocument/2006/relationships/ctrlProp" Target="../ctrlProps/ctrlProp929.xml"/><Relationship Id="rId679" Type="http://schemas.openxmlformats.org/officeDocument/2006/relationships/ctrlProp" Target="../ctrlProps/ctrlProp1374.xml"/><Relationship Id="rId802" Type="http://schemas.openxmlformats.org/officeDocument/2006/relationships/ctrlProp" Target="../ctrlProps/ctrlProp1497.xml"/><Relationship Id="rId886" Type="http://schemas.openxmlformats.org/officeDocument/2006/relationships/ctrlProp" Target="../ctrlProps/ctrlProp1581.xml"/><Relationship Id="rId2" Type="http://schemas.openxmlformats.org/officeDocument/2006/relationships/vmlDrawing" Target="../drawings/vmlDrawing4.vml"/><Relationship Id="rId29" Type="http://schemas.openxmlformats.org/officeDocument/2006/relationships/ctrlProp" Target="../ctrlProps/ctrlProp724.xml"/><Relationship Id="rId441" Type="http://schemas.openxmlformats.org/officeDocument/2006/relationships/ctrlProp" Target="../ctrlProps/ctrlProp1136.xml"/><Relationship Id="rId539" Type="http://schemas.openxmlformats.org/officeDocument/2006/relationships/ctrlProp" Target="../ctrlProps/ctrlProp1234.xml"/><Relationship Id="rId746" Type="http://schemas.openxmlformats.org/officeDocument/2006/relationships/ctrlProp" Target="../ctrlProps/ctrlProp1441.xml"/><Relationship Id="rId178" Type="http://schemas.openxmlformats.org/officeDocument/2006/relationships/ctrlProp" Target="../ctrlProps/ctrlProp873.xml"/><Relationship Id="rId301" Type="http://schemas.openxmlformats.org/officeDocument/2006/relationships/ctrlProp" Target="../ctrlProps/ctrlProp996.xml"/><Relationship Id="rId82" Type="http://schemas.openxmlformats.org/officeDocument/2006/relationships/ctrlProp" Target="../ctrlProps/ctrlProp777.xml"/><Relationship Id="rId385" Type="http://schemas.openxmlformats.org/officeDocument/2006/relationships/ctrlProp" Target="../ctrlProps/ctrlProp1080.xml"/><Relationship Id="rId592" Type="http://schemas.openxmlformats.org/officeDocument/2006/relationships/ctrlProp" Target="../ctrlProps/ctrlProp1287.xml"/><Relationship Id="rId606" Type="http://schemas.openxmlformats.org/officeDocument/2006/relationships/ctrlProp" Target="../ctrlProps/ctrlProp1301.xml"/><Relationship Id="rId813" Type="http://schemas.openxmlformats.org/officeDocument/2006/relationships/ctrlProp" Target="../ctrlProps/ctrlProp1508.xml"/><Relationship Id="rId245" Type="http://schemas.openxmlformats.org/officeDocument/2006/relationships/ctrlProp" Target="../ctrlProps/ctrlProp940.xml"/><Relationship Id="rId452" Type="http://schemas.openxmlformats.org/officeDocument/2006/relationships/ctrlProp" Target="../ctrlProps/ctrlProp1147.xml"/><Relationship Id="rId897" Type="http://schemas.openxmlformats.org/officeDocument/2006/relationships/ctrlProp" Target="../ctrlProps/ctrlProp1592.xml"/><Relationship Id="rId105" Type="http://schemas.openxmlformats.org/officeDocument/2006/relationships/ctrlProp" Target="../ctrlProps/ctrlProp800.xml"/><Relationship Id="rId312" Type="http://schemas.openxmlformats.org/officeDocument/2006/relationships/ctrlProp" Target="../ctrlProps/ctrlProp1007.xml"/><Relationship Id="rId757" Type="http://schemas.openxmlformats.org/officeDocument/2006/relationships/ctrlProp" Target="../ctrlProps/ctrlProp1452.xml"/><Relationship Id="rId93" Type="http://schemas.openxmlformats.org/officeDocument/2006/relationships/ctrlProp" Target="../ctrlProps/ctrlProp788.xml"/><Relationship Id="rId189" Type="http://schemas.openxmlformats.org/officeDocument/2006/relationships/ctrlProp" Target="../ctrlProps/ctrlProp884.xml"/><Relationship Id="rId396" Type="http://schemas.openxmlformats.org/officeDocument/2006/relationships/ctrlProp" Target="../ctrlProps/ctrlProp1091.xml"/><Relationship Id="rId617" Type="http://schemas.openxmlformats.org/officeDocument/2006/relationships/ctrlProp" Target="../ctrlProps/ctrlProp1312.xml"/><Relationship Id="rId824" Type="http://schemas.openxmlformats.org/officeDocument/2006/relationships/ctrlProp" Target="../ctrlProps/ctrlProp1519.xml"/><Relationship Id="rId256" Type="http://schemas.openxmlformats.org/officeDocument/2006/relationships/ctrlProp" Target="../ctrlProps/ctrlProp951.xml"/><Relationship Id="rId463" Type="http://schemas.openxmlformats.org/officeDocument/2006/relationships/ctrlProp" Target="../ctrlProps/ctrlProp1158.xml"/><Relationship Id="rId670" Type="http://schemas.openxmlformats.org/officeDocument/2006/relationships/ctrlProp" Target="../ctrlProps/ctrlProp1365.xml"/><Relationship Id="rId116" Type="http://schemas.openxmlformats.org/officeDocument/2006/relationships/ctrlProp" Target="../ctrlProps/ctrlProp811.xml"/><Relationship Id="rId323" Type="http://schemas.openxmlformats.org/officeDocument/2006/relationships/ctrlProp" Target="../ctrlProps/ctrlProp1018.xml"/><Relationship Id="rId530" Type="http://schemas.openxmlformats.org/officeDocument/2006/relationships/ctrlProp" Target="../ctrlProps/ctrlProp1225.xml"/><Relationship Id="rId768" Type="http://schemas.openxmlformats.org/officeDocument/2006/relationships/ctrlProp" Target="../ctrlProps/ctrlProp1463.xml"/><Relationship Id="rId20" Type="http://schemas.openxmlformats.org/officeDocument/2006/relationships/ctrlProp" Target="../ctrlProps/ctrlProp715.xml"/><Relationship Id="rId628" Type="http://schemas.openxmlformats.org/officeDocument/2006/relationships/ctrlProp" Target="../ctrlProps/ctrlProp1323.xml"/><Relationship Id="rId835" Type="http://schemas.openxmlformats.org/officeDocument/2006/relationships/ctrlProp" Target="../ctrlProps/ctrlProp1530.xml"/><Relationship Id="rId267" Type="http://schemas.openxmlformats.org/officeDocument/2006/relationships/ctrlProp" Target="../ctrlProps/ctrlProp962.xml"/><Relationship Id="rId474" Type="http://schemas.openxmlformats.org/officeDocument/2006/relationships/ctrlProp" Target="../ctrlProps/ctrlProp1169.xml"/><Relationship Id="rId127" Type="http://schemas.openxmlformats.org/officeDocument/2006/relationships/ctrlProp" Target="../ctrlProps/ctrlProp822.xml"/><Relationship Id="rId681" Type="http://schemas.openxmlformats.org/officeDocument/2006/relationships/ctrlProp" Target="../ctrlProps/ctrlProp1376.xml"/><Relationship Id="rId779" Type="http://schemas.openxmlformats.org/officeDocument/2006/relationships/ctrlProp" Target="../ctrlProps/ctrlProp1474.xml"/><Relationship Id="rId902" Type="http://schemas.openxmlformats.org/officeDocument/2006/relationships/ctrlProp" Target="../ctrlProps/ctrlProp1597.xml"/><Relationship Id="rId31" Type="http://schemas.openxmlformats.org/officeDocument/2006/relationships/ctrlProp" Target="../ctrlProps/ctrlProp726.xml"/><Relationship Id="rId334" Type="http://schemas.openxmlformats.org/officeDocument/2006/relationships/ctrlProp" Target="../ctrlProps/ctrlProp1029.xml"/><Relationship Id="rId541" Type="http://schemas.openxmlformats.org/officeDocument/2006/relationships/ctrlProp" Target="../ctrlProps/ctrlProp1236.xml"/><Relationship Id="rId639" Type="http://schemas.openxmlformats.org/officeDocument/2006/relationships/ctrlProp" Target="../ctrlProps/ctrlProp1334.xml"/><Relationship Id="rId180" Type="http://schemas.openxmlformats.org/officeDocument/2006/relationships/ctrlProp" Target="../ctrlProps/ctrlProp875.xml"/><Relationship Id="rId278" Type="http://schemas.openxmlformats.org/officeDocument/2006/relationships/ctrlProp" Target="../ctrlProps/ctrlProp973.xml"/><Relationship Id="rId401" Type="http://schemas.openxmlformats.org/officeDocument/2006/relationships/ctrlProp" Target="../ctrlProps/ctrlProp1096.xml"/><Relationship Id="rId846" Type="http://schemas.openxmlformats.org/officeDocument/2006/relationships/ctrlProp" Target="../ctrlProps/ctrlProp1541.xml"/><Relationship Id="rId485" Type="http://schemas.openxmlformats.org/officeDocument/2006/relationships/ctrlProp" Target="../ctrlProps/ctrlProp1180.xml"/><Relationship Id="rId692" Type="http://schemas.openxmlformats.org/officeDocument/2006/relationships/ctrlProp" Target="../ctrlProps/ctrlProp1387.xml"/><Relationship Id="rId706" Type="http://schemas.openxmlformats.org/officeDocument/2006/relationships/ctrlProp" Target="../ctrlProps/ctrlProp1401.xml"/><Relationship Id="rId42" Type="http://schemas.openxmlformats.org/officeDocument/2006/relationships/ctrlProp" Target="../ctrlProps/ctrlProp737.xml"/><Relationship Id="rId138" Type="http://schemas.openxmlformats.org/officeDocument/2006/relationships/ctrlProp" Target="../ctrlProps/ctrlProp833.xml"/><Relationship Id="rId345" Type="http://schemas.openxmlformats.org/officeDocument/2006/relationships/ctrlProp" Target="../ctrlProps/ctrlProp1040.xml"/><Relationship Id="rId552" Type="http://schemas.openxmlformats.org/officeDocument/2006/relationships/ctrlProp" Target="../ctrlProps/ctrlProp1247.xml"/><Relationship Id="rId191" Type="http://schemas.openxmlformats.org/officeDocument/2006/relationships/ctrlProp" Target="../ctrlProps/ctrlProp886.xml"/><Relationship Id="rId205" Type="http://schemas.openxmlformats.org/officeDocument/2006/relationships/ctrlProp" Target="../ctrlProps/ctrlProp900.xml"/><Relationship Id="rId412" Type="http://schemas.openxmlformats.org/officeDocument/2006/relationships/ctrlProp" Target="../ctrlProps/ctrlProp1107.xml"/><Relationship Id="rId857" Type="http://schemas.openxmlformats.org/officeDocument/2006/relationships/ctrlProp" Target="../ctrlProps/ctrlProp1552.xml"/><Relationship Id="rId289" Type="http://schemas.openxmlformats.org/officeDocument/2006/relationships/ctrlProp" Target="../ctrlProps/ctrlProp984.xml"/><Relationship Id="rId496" Type="http://schemas.openxmlformats.org/officeDocument/2006/relationships/ctrlProp" Target="../ctrlProps/ctrlProp1191.xml"/><Relationship Id="rId717" Type="http://schemas.openxmlformats.org/officeDocument/2006/relationships/ctrlProp" Target="../ctrlProps/ctrlProp1412.xml"/><Relationship Id="rId53" Type="http://schemas.openxmlformats.org/officeDocument/2006/relationships/ctrlProp" Target="../ctrlProps/ctrlProp748.xml"/><Relationship Id="rId149" Type="http://schemas.openxmlformats.org/officeDocument/2006/relationships/ctrlProp" Target="../ctrlProps/ctrlProp844.xml"/><Relationship Id="rId356" Type="http://schemas.openxmlformats.org/officeDocument/2006/relationships/ctrlProp" Target="../ctrlProps/ctrlProp1051.xml"/><Relationship Id="rId563" Type="http://schemas.openxmlformats.org/officeDocument/2006/relationships/ctrlProp" Target="../ctrlProps/ctrlProp1258.xml"/><Relationship Id="rId770" Type="http://schemas.openxmlformats.org/officeDocument/2006/relationships/ctrlProp" Target="../ctrlProps/ctrlProp1465.xml"/><Relationship Id="rId216" Type="http://schemas.openxmlformats.org/officeDocument/2006/relationships/ctrlProp" Target="../ctrlProps/ctrlProp911.xml"/><Relationship Id="rId423" Type="http://schemas.openxmlformats.org/officeDocument/2006/relationships/ctrlProp" Target="../ctrlProps/ctrlProp1118.xml"/><Relationship Id="rId868" Type="http://schemas.openxmlformats.org/officeDocument/2006/relationships/ctrlProp" Target="../ctrlProps/ctrlProp1563.xml"/><Relationship Id="rId630" Type="http://schemas.openxmlformats.org/officeDocument/2006/relationships/ctrlProp" Target="../ctrlProps/ctrlProp1325.xml"/><Relationship Id="rId728" Type="http://schemas.openxmlformats.org/officeDocument/2006/relationships/ctrlProp" Target="../ctrlProps/ctrlProp1423.xml"/><Relationship Id="rId64" Type="http://schemas.openxmlformats.org/officeDocument/2006/relationships/ctrlProp" Target="../ctrlProps/ctrlProp759.xml"/><Relationship Id="rId367" Type="http://schemas.openxmlformats.org/officeDocument/2006/relationships/ctrlProp" Target="../ctrlProps/ctrlProp1062.xml"/><Relationship Id="rId574" Type="http://schemas.openxmlformats.org/officeDocument/2006/relationships/ctrlProp" Target="../ctrlProps/ctrlProp1269.xml"/><Relationship Id="rId227" Type="http://schemas.openxmlformats.org/officeDocument/2006/relationships/ctrlProp" Target="../ctrlProps/ctrlProp922.xml"/><Relationship Id="rId781" Type="http://schemas.openxmlformats.org/officeDocument/2006/relationships/ctrlProp" Target="../ctrlProps/ctrlProp1476.xml"/><Relationship Id="rId879" Type="http://schemas.openxmlformats.org/officeDocument/2006/relationships/ctrlProp" Target="../ctrlProps/ctrlProp1574.xml"/><Relationship Id="rId434" Type="http://schemas.openxmlformats.org/officeDocument/2006/relationships/ctrlProp" Target="../ctrlProps/ctrlProp1129.xml"/><Relationship Id="rId641" Type="http://schemas.openxmlformats.org/officeDocument/2006/relationships/ctrlProp" Target="../ctrlProps/ctrlProp1336.xml"/><Relationship Id="rId739" Type="http://schemas.openxmlformats.org/officeDocument/2006/relationships/ctrlProp" Target="../ctrlProps/ctrlProp1434.xml"/><Relationship Id="rId280" Type="http://schemas.openxmlformats.org/officeDocument/2006/relationships/ctrlProp" Target="../ctrlProps/ctrlProp975.xml"/><Relationship Id="rId501" Type="http://schemas.openxmlformats.org/officeDocument/2006/relationships/ctrlProp" Target="../ctrlProps/ctrlProp1196.xml"/><Relationship Id="rId75" Type="http://schemas.openxmlformats.org/officeDocument/2006/relationships/ctrlProp" Target="../ctrlProps/ctrlProp770.xml"/><Relationship Id="rId140" Type="http://schemas.openxmlformats.org/officeDocument/2006/relationships/ctrlProp" Target="../ctrlProps/ctrlProp835.xml"/><Relationship Id="rId378" Type="http://schemas.openxmlformats.org/officeDocument/2006/relationships/ctrlProp" Target="../ctrlProps/ctrlProp1073.xml"/><Relationship Id="rId585" Type="http://schemas.openxmlformats.org/officeDocument/2006/relationships/ctrlProp" Target="../ctrlProps/ctrlProp1280.xml"/><Relationship Id="rId792" Type="http://schemas.openxmlformats.org/officeDocument/2006/relationships/ctrlProp" Target="../ctrlProps/ctrlProp1487.xml"/><Relationship Id="rId806" Type="http://schemas.openxmlformats.org/officeDocument/2006/relationships/ctrlProp" Target="../ctrlProps/ctrlProp1501.xml"/><Relationship Id="rId6" Type="http://schemas.openxmlformats.org/officeDocument/2006/relationships/ctrlProp" Target="../ctrlProps/ctrlProp701.xml"/><Relationship Id="rId238" Type="http://schemas.openxmlformats.org/officeDocument/2006/relationships/ctrlProp" Target="../ctrlProps/ctrlProp933.xml"/><Relationship Id="rId445" Type="http://schemas.openxmlformats.org/officeDocument/2006/relationships/ctrlProp" Target="../ctrlProps/ctrlProp1140.xml"/><Relationship Id="rId652" Type="http://schemas.openxmlformats.org/officeDocument/2006/relationships/ctrlProp" Target="../ctrlProps/ctrlProp1347.xml"/><Relationship Id="rId291" Type="http://schemas.openxmlformats.org/officeDocument/2006/relationships/ctrlProp" Target="../ctrlProps/ctrlProp986.xml"/><Relationship Id="rId305" Type="http://schemas.openxmlformats.org/officeDocument/2006/relationships/ctrlProp" Target="../ctrlProps/ctrlProp1000.xml"/><Relationship Id="rId512" Type="http://schemas.openxmlformats.org/officeDocument/2006/relationships/ctrlProp" Target="../ctrlProps/ctrlProp1207.xml"/><Relationship Id="rId86" Type="http://schemas.openxmlformats.org/officeDocument/2006/relationships/ctrlProp" Target="../ctrlProps/ctrlProp781.xml"/><Relationship Id="rId151" Type="http://schemas.openxmlformats.org/officeDocument/2006/relationships/ctrlProp" Target="../ctrlProps/ctrlProp846.xml"/><Relationship Id="rId389" Type="http://schemas.openxmlformats.org/officeDocument/2006/relationships/ctrlProp" Target="../ctrlProps/ctrlProp1084.xml"/><Relationship Id="rId596" Type="http://schemas.openxmlformats.org/officeDocument/2006/relationships/ctrlProp" Target="../ctrlProps/ctrlProp1291.xml"/><Relationship Id="rId817" Type="http://schemas.openxmlformats.org/officeDocument/2006/relationships/ctrlProp" Target="../ctrlProps/ctrlProp1512.xml"/><Relationship Id="rId249" Type="http://schemas.openxmlformats.org/officeDocument/2006/relationships/ctrlProp" Target="../ctrlProps/ctrlProp944.xml"/><Relationship Id="rId456" Type="http://schemas.openxmlformats.org/officeDocument/2006/relationships/ctrlProp" Target="../ctrlProps/ctrlProp1151.xml"/><Relationship Id="rId663" Type="http://schemas.openxmlformats.org/officeDocument/2006/relationships/ctrlProp" Target="../ctrlProps/ctrlProp1358.xml"/><Relationship Id="rId870" Type="http://schemas.openxmlformats.org/officeDocument/2006/relationships/ctrlProp" Target="../ctrlProps/ctrlProp1565.xml"/><Relationship Id="rId13" Type="http://schemas.openxmlformats.org/officeDocument/2006/relationships/ctrlProp" Target="../ctrlProps/ctrlProp708.xml"/><Relationship Id="rId109" Type="http://schemas.openxmlformats.org/officeDocument/2006/relationships/ctrlProp" Target="../ctrlProps/ctrlProp804.xml"/><Relationship Id="rId316" Type="http://schemas.openxmlformats.org/officeDocument/2006/relationships/ctrlProp" Target="../ctrlProps/ctrlProp1011.xml"/><Relationship Id="rId523" Type="http://schemas.openxmlformats.org/officeDocument/2006/relationships/ctrlProp" Target="../ctrlProps/ctrlProp1218.xml"/><Relationship Id="rId97" Type="http://schemas.openxmlformats.org/officeDocument/2006/relationships/ctrlProp" Target="../ctrlProps/ctrlProp792.xml"/><Relationship Id="rId730" Type="http://schemas.openxmlformats.org/officeDocument/2006/relationships/ctrlProp" Target="../ctrlProps/ctrlProp1425.xml"/><Relationship Id="rId828" Type="http://schemas.openxmlformats.org/officeDocument/2006/relationships/ctrlProp" Target="../ctrlProps/ctrlProp1523.xml"/><Relationship Id="rId162" Type="http://schemas.openxmlformats.org/officeDocument/2006/relationships/ctrlProp" Target="../ctrlProps/ctrlProp857.xml"/><Relationship Id="rId467" Type="http://schemas.openxmlformats.org/officeDocument/2006/relationships/ctrlProp" Target="../ctrlProps/ctrlProp1162.xml"/><Relationship Id="rId674" Type="http://schemas.openxmlformats.org/officeDocument/2006/relationships/ctrlProp" Target="../ctrlProps/ctrlProp1369.xml"/><Relationship Id="rId881" Type="http://schemas.openxmlformats.org/officeDocument/2006/relationships/ctrlProp" Target="../ctrlProps/ctrlProp1576.xml"/><Relationship Id="rId24" Type="http://schemas.openxmlformats.org/officeDocument/2006/relationships/ctrlProp" Target="../ctrlProps/ctrlProp719.xml"/><Relationship Id="rId327" Type="http://schemas.openxmlformats.org/officeDocument/2006/relationships/ctrlProp" Target="../ctrlProps/ctrlProp1022.xml"/><Relationship Id="rId534" Type="http://schemas.openxmlformats.org/officeDocument/2006/relationships/ctrlProp" Target="../ctrlProps/ctrlProp1229.xml"/><Relationship Id="rId741" Type="http://schemas.openxmlformats.org/officeDocument/2006/relationships/ctrlProp" Target="../ctrlProps/ctrlProp1436.xml"/><Relationship Id="rId839" Type="http://schemas.openxmlformats.org/officeDocument/2006/relationships/ctrlProp" Target="../ctrlProps/ctrlProp1534.xml"/><Relationship Id="rId173" Type="http://schemas.openxmlformats.org/officeDocument/2006/relationships/ctrlProp" Target="../ctrlProps/ctrlProp868.xml"/><Relationship Id="rId380" Type="http://schemas.openxmlformats.org/officeDocument/2006/relationships/ctrlProp" Target="../ctrlProps/ctrlProp1075.xml"/><Relationship Id="rId601" Type="http://schemas.openxmlformats.org/officeDocument/2006/relationships/ctrlProp" Target="../ctrlProps/ctrlProp1296.xml"/><Relationship Id="rId240" Type="http://schemas.openxmlformats.org/officeDocument/2006/relationships/ctrlProp" Target="../ctrlProps/ctrlProp935.xml"/><Relationship Id="rId478" Type="http://schemas.openxmlformats.org/officeDocument/2006/relationships/ctrlProp" Target="../ctrlProps/ctrlProp1173.xml"/><Relationship Id="rId685" Type="http://schemas.openxmlformats.org/officeDocument/2006/relationships/ctrlProp" Target="../ctrlProps/ctrlProp1380.xml"/><Relationship Id="rId892" Type="http://schemas.openxmlformats.org/officeDocument/2006/relationships/ctrlProp" Target="../ctrlProps/ctrlProp1587.xml"/><Relationship Id="rId35" Type="http://schemas.openxmlformats.org/officeDocument/2006/relationships/ctrlProp" Target="../ctrlProps/ctrlProp730.xml"/><Relationship Id="rId100" Type="http://schemas.openxmlformats.org/officeDocument/2006/relationships/ctrlProp" Target="../ctrlProps/ctrlProp795.xml"/><Relationship Id="rId338" Type="http://schemas.openxmlformats.org/officeDocument/2006/relationships/ctrlProp" Target="../ctrlProps/ctrlProp1033.xml"/><Relationship Id="rId545" Type="http://schemas.openxmlformats.org/officeDocument/2006/relationships/ctrlProp" Target="../ctrlProps/ctrlProp1240.xml"/><Relationship Id="rId752" Type="http://schemas.openxmlformats.org/officeDocument/2006/relationships/ctrlProp" Target="../ctrlProps/ctrlProp1447.xml"/><Relationship Id="rId184" Type="http://schemas.openxmlformats.org/officeDocument/2006/relationships/ctrlProp" Target="../ctrlProps/ctrlProp879.xml"/><Relationship Id="rId391" Type="http://schemas.openxmlformats.org/officeDocument/2006/relationships/ctrlProp" Target="../ctrlProps/ctrlProp1086.xml"/><Relationship Id="rId405" Type="http://schemas.openxmlformats.org/officeDocument/2006/relationships/ctrlProp" Target="../ctrlProps/ctrlProp1100.xml"/><Relationship Id="rId612" Type="http://schemas.openxmlformats.org/officeDocument/2006/relationships/ctrlProp" Target="../ctrlProps/ctrlProp1307.xml"/><Relationship Id="rId251" Type="http://schemas.openxmlformats.org/officeDocument/2006/relationships/ctrlProp" Target="../ctrlProps/ctrlProp946.xml"/><Relationship Id="rId489" Type="http://schemas.openxmlformats.org/officeDocument/2006/relationships/ctrlProp" Target="../ctrlProps/ctrlProp1184.xml"/><Relationship Id="rId696" Type="http://schemas.openxmlformats.org/officeDocument/2006/relationships/ctrlProp" Target="../ctrlProps/ctrlProp1391.xml"/><Relationship Id="rId46" Type="http://schemas.openxmlformats.org/officeDocument/2006/relationships/ctrlProp" Target="../ctrlProps/ctrlProp741.xml"/><Relationship Id="rId349" Type="http://schemas.openxmlformats.org/officeDocument/2006/relationships/ctrlProp" Target="../ctrlProps/ctrlProp1044.xml"/><Relationship Id="rId556" Type="http://schemas.openxmlformats.org/officeDocument/2006/relationships/ctrlProp" Target="../ctrlProps/ctrlProp1251.xml"/><Relationship Id="rId763" Type="http://schemas.openxmlformats.org/officeDocument/2006/relationships/ctrlProp" Target="../ctrlProps/ctrlProp1458.xml"/><Relationship Id="rId111" Type="http://schemas.openxmlformats.org/officeDocument/2006/relationships/ctrlProp" Target="../ctrlProps/ctrlProp806.xml"/><Relationship Id="rId195" Type="http://schemas.openxmlformats.org/officeDocument/2006/relationships/ctrlProp" Target="../ctrlProps/ctrlProp890.xml"/><Relationship Id="rId209" Type="http://schemas.openxmlformats.org/officeDocument/2006/relationships/ctrlProp" Target="../ctrlProps/ctrlProp904.xml"/><Relationship Id="rId416" Type="http://schemas.openxmlformats.org/officeDocument/2006/relationships/ctrlProp" Target="../ctrlProps/ctrlProp1111.xml"/><Relationship Id="rId623" Type="http://schemas.openxmlformats.org/officeDocument/2006/relationships/ctrlProp" Target="../ctrlProps/ctrlProp1318.xml"/><Relationship Id="rId830" Type="http://schemas.openxmlformats.org/officeDocument/2006/relationships/ctrlProp" Target="../ctrlProps/ctrlProp1525.xml"/><Relationship Id="rId57" Type="http://schemas.openxmlformats.org/officeDocument/2006/relationships/ctrlProp" Target="../ctrlProps/ctrlProp752.xml"/><Relationship Id="rId262" Type="http://schemas.openxmlformats.org/officeDocument/2006/relationships/ctrlProp" Target="../ctrlProps/ctrlProp957.xml"/><Relationship Id="rId567" Type="http://schemas.openxmlformats.org/officeDocument/2006/relationships/ctrlProp" Target="../ctrlProps/ctrlProp1262.xml"/><Relationship Id="rId122" Type="http://schemas.openxmlformats.org/officeDocument/2006/relationships/ctrlProp" Target="../ctrlProps/ctrlProp817.xml"/><Relationship Id="rId774" Type="http://schemas.openxmlformats.org/officeDocument/2006/relationships/ctrlProp" Target="../ctrlProps/ctrlProp1469.xml"/><Relationship Id="rId427" Type="http://schemas.openxmlformats.org/officeDocument/2006/relationships/ctrlProp" Target="../ctrlProps/ctrlProp1122.xml"/><Relationship Id="rId634" Type="http://schemas.openxmlformats.org/officeDocument/2006/relationships/ctrlProp" Target="../ctrlProps/ctrlProp1329.xml"/><Relationship Id="rId841" Type="http://schemas.openxmlformats.org/officeDocument/2006/relationships/ctrlProp" Target="../ctrlProps/ctrlProp1536.xml"/><Relationship Id="rId273" Type="http://schemas.openxmlformats.org/officeDocument/2006/relationships/ctrlProp" Target="../ctrlProps/ctrlProp968.xml"/><Relationship Id="rId480" Type="http://schemas.openxmlformats.org/officeDocument/2006/relationships/ctrlProp" Target="../ctrlProps/ctrlProp1175.xml"/><Relationship Id="rId701" Type="http://schemas.openxmlformats.org/officeDocument/2006/relationships/ctrlProp" Target="../ctrlProps/ctrlProp1396.xml"/><Relationship Id="rId68" Type="http://schemas.openxmlformats.org/officeDocument/2006/relationships/ctrlProp" Target="../ctrlProps/ctrlProp763.xml"/><Relationship Id="rId133" Type="http://schemas.openxmlformats.org/officeDocument/2006/relationships/ctrlProp" Target="../ctrlProps/ctrlProp828.xml"/><Relationship Id="rId340" Type="http://schemas.openxmlformats.org/officeDocument/2006/relationships/ctrlProp" Target="../ctrlProps/ctrlProp1035.xml"/><Relationship Id="rId578" Type="http://schemas.openxmlformats.org/officeDocument/2006/relationships/ctrlProp" Target="../ctrlProps/ctrlProp1273.xml"/><Relationship Id="rId785" Type="http://schemas.openxmlformats.org/officeDocument/2006/relationships/ctrlProp" Target="../ctrlProps/ctrlProp1480.xml"/><Relationship Id="rId200" Type="http://schemas.openxmlformats.org/officeDocument/2006/relationships/ctrlProp" Target="../ctrlProps/ctrlProp895.xml"/><Relationship Id="rId382" Type="http://schemas.openxmlformats.org/officeDocument/2006/relationships/ctrlProp" Target="../ctrlProps/ctrlProp1077.xml"/><Relationship Id="rId438" Type="http://schemas.openxmlformats.org/officeDocument/2006/relationships/ctrlProp" Target="../ctrlProps/ctrlProp1133.xml"/><Relationship Id="rId603" Type="http://schemas.openxmlformats.org/officeDocument/2006/relationships/ctrlProp" Target="../ctrlProps/ctrlProp1298.xml"/><Relationship Id="rId645" Type="http://schemas.openxmlformats.org/officeDocument/2006/relationships/ctrlProp" Target="../ctrlProps/ctrlProp1340.xml"/><Relationship Id="rId687" Type="http://schemas.openxmlformats.org/officeDocument/2006/relationships/ctrlProp" Target="../ctrlProps/ctrlProp1382.xml"/><Relationship Id="rId810" Type="http://schemas.openxmlformats.org/officeDocument/2006/relationships/ctrlProp" Target="../ctrlProps/ctrlProp1505.xml"/><Relationship Id="rId852" Type="http://schemas.openxmlformats.org/officeDocument/2006/relationships/ctrlProp" Target="../ctrlProps/ctrlProp1547.xml"/><Relationship Id="rId242" Type="http://schemas.openxmlformats.org/officeDocument/2006/relationships/ctrlProp" Target="../ctrlProps/ctrlProp937.xml"/><Relationship Id="rId284" Type="http://schemas.openxmlformats.org/officeDocument/2006/relationships/ctrlProp" Target="../ctrlProps/ctrlProp979.xml"/><Relationship Id="rId491" Type="http://schemas.openxmlformats.org/officeDocument/2006/relationships/ctrlProp" Target="../ctrlProps/ctrlProp1186.xml"/><Relationship Id="rId505" Type="http://schemas.openxmlformats.org/officeDocument/2006/relationships/ctrlProp" Target="../ctrlProps/ctrlProp1200.xml"/><Relationship Id="rId712" Type="http://schemas.openxmlformats.org/officeDocument/2006/relationships/ctrlProp" Target="../ctrlProps/ctrlProp1407.xml"/><Relationship Id="rId894" Type="http://schemas.openxmlformats.org/officeDocument/2006/relationships/ctrlProp" Target="../ctrlProps/ctrlProp1589.xml"/><Relationship Id="rId37" Type="http://schemas.openxmlformats.org/officeDocument/2006/relationships/ctrlProp" Target="../ctrlProps/ctrlProp732.xml"/><Relationship Id="rId79" Type="http://schemas.openxmlformats.org/officeDocument/2006/relationships/ctrlProp" Target="../ctrlProps/ctrlProp774.xml"/><Relationship Id="rId102" Type="http://schemas.openxmlformats.org/officeDocument/2006/relationships/ctrlProp" Target="../ctrlProps/ctrlProp797.xml"/><Relationship Id="rId144" Type="http://schemas.openxmlformats.org/officeDocument/2006/relationships/ctrlProp" Target="../ctrlProps/ctrlProp839.xml"/><Relationship Id="rId547" Type="http://schemas.openxmlformats.org/officeDocument/2006/relationships/ctrlProp" Target="../ctrlProps/ctrlProp1242.xml"/><Relationship Id="rId589" Type="http://schemas.openxmlformats.org/officeDocument/2006/relationships/ctrlProp" Target="../ctrlProps/ctrlProp1284.xml"/><Relationship Id="rId754" Type="http://schemas.openxmlformats.org/officeDocument/2006/relationships/ctrlProp" Target="../ctrlProps/ctrlProp1449.xml"/><Relationship Id="rId796" Type="http://schemas.openxmlformats.org/officeDocument/2006/relationships/ctrlProp" Target="../ctrlProps/ctrlProp1491.xml"/><Relationship Id="rId90" Type="http://schemas.openxmlformats.org/officeDocument/2006/relationships/ctrlProp" Target="../ctrlProps/ctrlProp785.xml"/><Relationship Id="rId186" Type="http://schemas.openxmlformats.org/officeDocument/2006/relationships/ctrlProp" Target="../ctrlProps/ctrlProp881.xml"/><Relationship Id="rId351" Type="http://schemas.openxmlformats.org/officeDocument/2006/relationships/ctrlProp" Target="../ctrlProps/ctrlProp1046.xml"/><Relationship Id="rId393" Type="http://schemas.openxmlformats.org/officeDocument/2006/relationships/ctrlProp" Target="../ctrlProps/ctrlProp1088.xml"/><Relationship Id="rId407" Type="http://schemas.openxmlformats.org/officeDocument/2006/relationships/ctrlProp" Target="../ctrlProps/ctrlProp1102.xml"/><Relationship Id="rId449" Type="http://schemas.openxmlformats.org/officeDocument/2006/relationships/ctrlProp" Target="../ctrlProps/ctrlProp1144.xml"/><Relationship Id="rId614" Type="http://schemas.openxmlformats.org/officeDocument/2006/relationships/ctrlProp" Target="../ctrlProps/ctrlProp1309.xml"/><Relationship Id="rId656" Type="http://schemas.openxmlformats.org/officeDocument/2006/relationships/ctrlProp" Target="../ctrlProps/ctrlProp1351.xml"/><Relationship Id="rId821" Type="http://schemas.openxmlformats.org/officeDocument/2006/relationships/ctrlProp" Target="../ctrlProps/ctrlProp1516.xml"/><Relationship Id="rId863" Type="http://schemas.openxmlformats.org/officeDocument/2006/relationships/ctrlProp" Target="../ctrlProps/ctrlProp1558.xml"/><Relationship Id="rId211" Type="http://schemas.openxmlformats.org/officeDocument/2006/relationships/ctrlProp" Target="../ctrlProps/ctrlProp906.xml"/><Relationship Id="rId253" Type="http://schemas.openxmlformats.org/officeDocument/2006/relationships/ctrlProp" Target="../ctrlProps/ctrlProp948.xml"/><Relationship Id="rId295" Type="http://schemas.openxmlformats.org/officeDocument/2006/relationships/ctrlProp" Target="../ctrlProps/ctrlProp990.xml"/><Relationship Id="rId309" Type="http://schemas.openxmlformats.org/officeDocument/2006/relationships/ctrlProp" Target="../ctrlProps/ctrlProp1004.xml"/><Relationship Id="rId460" Type="http://schemas.openxmlformats.org/officeDocument/2006/relationships/ctrlProp" Target="../ctrlProps/ctrlProp1155.xml"/><Relationship Id="rId516" Type="http://schemas.openxmlformats.org/officeDocument/2006/relationships/ctrlProp" Target="../ctrlProps/ctrlProp1211.xml"/><Relationship Id="rId698" Type="http://schemas.openxmlformats.org/officeDocument/2006/relationships/ctrlProp" Target="../ctrlProps/ctrlProp1393.xml"/><Relationship Id="rId48" Type="http://schemas.openxmlformats.org/officeDocument/2006/relationships/ctrlProp" Target="../ctrlProps/ctrlProp743.xml"/><Relationship Id="rId113" Type="http://schemas.openxmlformats.org/officeDocument/2006/relationships/ctrlProp" Target="../ctrlProps/ctrlProp808.xml"/><Relationship Id="rId320" Type="http://schemas.openxmlformats.org/officeDocument/2006/relationships/ctrlProp" Target="../ctrlProps/ctrlProp1015.xml"/><Relationship Id="rId558" Type="http://schemas.openxmlformats.org/officeDocument/2006/relationships/ctrlProp" Target="../ctrlProps/ctrlProp1253.xml"/><Relationship Id="rId723" Type="http://schemas.openxmlformats.org/officeDocument/2006/relationships/ctrlProp" Target="../ctrlProps/ctrlProp1418.xml"/><Relationship Id="rId765" Type="http://schemas.openxmlformats.org/officeDocument/2006/relationships/ctrlProp" Target="../ctrlProps/ctrlProp1460.xml"/><Relationship Id="rId155" Type="http://schemas.openxmlformats.org/officeDocument/2006/relationships/ctrlProp" Target="../ctrlProps/ctrlProp850.xml"/><Relationship Id="rId197" Type="http://schemas.openxmlformats.org/officeDocument/2006/relationships/ctrlProp" Target="../ctrlProps/ctrlProp892.xml"/><Relationship Id="rId362" Type="http://schemas.openxmlformats.org/officeDocument/2006/relationships/ctrlProp" Target="../ctrlProps/ctrlProp1057.xml"/><Relationship Id="rId418" Type="http://schemas.openxmlformats.org/officeDocument/2006/relationships/ctrlProp" Target="../ctrlProps/ctrlProp1113.xml"/><Relationship Id="rId625" Type="http://schemas.openxmlformats.org/officeDocument/2006/relationships/ctrlProp" Target="../ctrlProps/ctrlProp1320.xml"/><Relationship Id="rId832" Type="http://schemas.openxmlformats.org/officeDocument/2006/relationships/ctrlProp" Target="../ctrlProps/ctrlProp1527.xml"/><Relationship Id="rId222" Type="http://schemas.openxmlformats.org/officeDocument/2006/relationships/ctrlProp" Target="../ctrlProps/ctrlProp917.xml"/><Relationship Id="rId264" Type="http://schemas.openxmlformats.org/officeDocument/2006/relationships/ctrlProp" Target="../ctrlProps/ctrlProp959.xml"/><Relationship Id="rId471" Type="http://schemas.openxmlformats.org/officeDocument/2006/relationships/ctrlProp" Target="../ctrlProps/ctrlProp1166.xml"/><Relationship Id="rId667" Type="http://schemas.openxmlformats.org/officeDocument/2006/relationships/ctrlProp" Target="../ctrlProps/ctrlProp1362.xml"/><Relationship Id="rId874" Type="http://schemas.openxmlformats.org/officeDocument/2006/relationships/ctrlProp" Target="../ctrlProps/ctrlProp1569.xml"/><Relationship Id="rId17" Type="http://schemas.openxmlformats.org/officeDocument/2006/relationships/ctrlProp" Target="../ctrlProps/ctrlProp712.xml"/><Relationship Id="rId59" Type="http://schemas.openxmlformats.org/officeDocument/2006/relationships/ctrlProp" Target="../ctrlProps/ctrlProp754.xml"/><Relationship Id="rId124" Type="http://schemas.openxmlformats.org/officeDocument/2006/relationships/ctrlProp" Target="../ctrlProps/ctrlProp819.xml"/><Relationship Id="rId527" Type="http://schemas.openxmlformats.org/officeDocument/2006/relationships/ctrlProp" Target="../ctrlProps/ctrlProp1222.xml"/><Relationship Id="rId569" Type="http://schemas.openxmlformats.org/officeDocument/2006/relationships/ctrlProp" Target="../ctrlProps/ctrlProp1264.xml"/><Relationship Id="rId734" Type="http://schemas.openxmlformats.org/officeDocument/2006/relationships/ctrlProp" Target="../ctrlProps/ctrlProp1429.xml"/><Relationship Id="rId776" Type="http://schemas.openxmlformats.org/officeDocument/2006/relationships/ctrlProp" Target="../ctrlProps/ctrlProp1471.xml"/><Relationship Id="rId70" Type="http://schemas.openxmlformats.org/officeDocument/2006/relationships/ctrlProp" Target="../ctrlProps/ctrlProp765.xml"/><Relationship Id="rId166" Type="http://schemas.openxmlformats.org/officeDocument/2006/relationships/ctrlProp" Target="../ctrlProps/ctrlProp861.xml"/><Relationship Id="rId331" Type="http://schemas.openxmlformats.org/officeDocument/2006/relationships/ctrlProp" Target="../ctrlProps/ctrlProp1026.xml"/><Relationship Id="rId373" Type="http://schemas.openxmlformats.org/officeDocument/2006/relationships/ctrlProp" Target="../ctrlProps/ctrlProp1068.xml"/><Relationship Id="rId429" Type="http://schemas.openxmlformats.org/officeDocument/2006/relationships/ctrlProp" Target="../ctrlProps/ctrlProp1124.xml"/><Relationship Id="rId580" Type="http://schemas.openxmlformats.org/officeDocument/2006/relationships/ctrlProp" Target="../ctrlProps/ctrlProp1275.xml"/><Relationship Id="rId636" Type="http://schemas.openxmlformats.org/officeDocument/2006/relationships/ctrlProp" Target="../ctrlProps/ctrlProp1331.xml"/><Relationship Id="rId801" Type="http://schemas.openxmlformats.org/officeDocument/2006/relationships/ctrlProp" Target="../ctrlProps/ctrlProp1496.xml"/><Relationship Id="rId1" Type="http://schemas.openxmlformats.org/officeDocument/2006/relationships/drawing" Target="../drawings/drawing7.xml"/><Relationship Id="rId233" Type="http://schemas.openxmlformats.org/officeDocument/2006/relationships/ctrlProp" Target="../ctrlProps/ctrlProp928.xml"/><Relationship Id="rId440" Type="http://schemas.openxmlformats.org/officeDocument/2006/relationships/ctrlProp" Target="../ctrlProps/ctrlProp1135.xml"/><Relationship Id="rId678" Type="http://schemas.openxmlformats.org/officeDocument/2006/relationships/ctrlProp" Target="../ctrlProps/ctrlProp1373.xml"/><Relationship Id="rId843" Type="http://schemas.openxmlformats.org/officeDocument/2006/relationships/ctrlProp" Target="../ctrlProps/ctrlProp1538.xml"/><Relationship Id="rId885" Type="http://schemas.openxmlformats.org/officeDocument/2006/relationships/ctrlProp" Target="../ctrlProps/ctrlProp1580.xml"/><Relationship Id="rId28" Type="http://schemas.openxmlformats.org/officeDocument/2006/relationships/ctrlProp" Target="../ctrlProps/ctrlProp723.xml"/><Relationship Id="rId275" Type="http://schemas.openxmlformats.org/officeDocument/2006/relationships/ctrlProp" Target="../ctrlProps/ctrlProp970.xml"/><Relationship Id="rId300" Type="http://schemas.openxmlformats.org/officeDocument/2006/relationships/ctrlProp" Target="../ctrlProps/ctrlProp995.xml"/><Relationship Id="rId482" Type="http://schemas.openxmlformats.org/officeDocument/2006/relationships/ctrlProp" Target="../ctrlProps/ctrlProp1177.xml"/><Relationship Id="rId538" Type="http://schemas.openxmlformats.org/officeDocument/2006/relationships/ctrlProp" Target="../ctrlProps/ctrlProp1233.xml"/><Relationship Id="rId703" Type="http://schemas.openxmlformats.org/officeDocument/2006/relationships/ctrlProp" Target="../ctrlProps/ctrlProp1398.xml"/><Relationship Id="rId745" Type="http://schemas.openxmlformats.org/officeDocument/2006/relationships/ctrlProp" Target="../ctrlProps/ctrlProp1440.xml"/><Relationship Id="rId81" Type="http://schemas.openxmlformats.org/officeDocument/2006/relationships/ctrlProp" Target="../ctrlProps/ctrlProp776.xml"/><Relationship Id="rId135" Type="http://schemas.openxmlformats.org/officeDocument/2006/relationships/ctrlProp" Target="../ctrlProps/ctrlProp830.xml"/><Relationship Id="rId177" Type="http://schemas.openxmlformats.org/officeDocument/2006/relationships/ctrlProp" Target="../ctrlProps/ctrlProp872.xml"/><Relationship Id="rId342" Type="http://schemas.openxmlformats.org/officeDocument/2006/relationships/ctrlProp" Target="../ctrlProps/ctrlProp1037.xml"/><Relationship Id="rId384" Type="http://schemas.openxmlformats.org/officeDocument/2006/relationships/ctrlProp" Target="../ctrlProps/ctrlProp1079.xml"/><Relationship Id="rId591" Type="http://schemas.openxmlformats.org/officeDocument/2006/relationships/ctrlProp" Target="../ctrlProps/ctrlProp1286.xml"/><Relationship Id="rId605" Type="http://schemas.openxmlformats.org/officeDocument/2006/relationships/ctrlProp" Target="../ctrlProps/ctrlProp1300.xml"/><Relationship Id="rId787" Type="http://schemas.openxmlformats.org/officeDocument/2006/relationships/ctrlProp" Target="../ctrlProps/ctrlProp1482.xml"/><Relationship Id="rId812" Type="http://schemas.openxmlformats.org/officeDocument/2006/relationships/ctrlProp" Target="../ctrlProps/ctrlProp1507.xml"/><Relationship Id="rId202" Type="http://schemas.openxmlformats.org/officeDocument/2006/relationships/ctrlProp" Target="../ctrlProps/ctrlProp897.xml"/><Relationship Id="rId244" Type="http://schemas.openxmlformats.org/officeDocument/2006/relationships/ctrlProp" Target="../ctrlProps/ctrlProp939.xml"/><Relationship Id="rId647" Type="http://schemas.openxmlformats.org/officeDocument/2006/relationships/ctrlProp" Target="../ctrlProps/ctrlProp1342.xml"/><Relationship Id="rId689" Type="http://schemas.openxmlformats.org/officeDocument/2006/relationships/ctrlProp" Target="../ctrlProps/ctrlProp1384.xml"/><Relationship Id="rId854" Type="http://schemas.openxmlformats.org/officeDocument/2006/relationships/ctrlProp" Target="../ctrlProps/ctrlProp1549.xml"/><Relationship Id="rId896" Type="http://schemas.openxmlformats.org/officeDocument/2006/relationships/ctrlProp" Target="../ctrlProps/ctrlProp1591.xml"/><Relationship Id="rId39" Type="http://schemas.openxmlformats.org/officeDocument/2006/relationships/ctrlProp" Target="../ctrlProps/ctrlProp734.xml"/><Relationship Id="rId286" Type="http://schemas.openxmlformats.org/officeDocument/2006/relationships/ctrlProp" Target="../ctrlProps/ctrlProp981.xml"/><Relationship Id="rId451" Type="http://schemas.openxmlformats.org/officeDocument/2006/relationships/ctrlProp" Target="../ctrlProps/ctrlProp1146.xml"/><Relationship Id="rId493" Type="http://schemas.openxmlformats.org/officeDocument/2006/relationships/ctrlProp" Target="../ctrlProps/ctrlProp1188.xml"/><Relationship Id="rId507" Type="http://schemas.openxmlformats.org/officeDocument/2006/relationships/ctrlProp" Target="../ctrlProps/ctrlProp1202.xml"/><Relationship Id="rId549" Type="http://schemas.openxmlformats.org/officeDocument/2006/relationships/ctrlProp" Target="../ctrlProps/ctrlProp1244.xml"/><Relationship Id="rId714" Type="http://schemas.openxmlformats.org/officeDocument/2006/relationships/ctrlProp" Target="../ctrlProps/ctrlProp1409.xml"/><Relationship Id="rId756" Type="http://schemas.openxmlformats.org/officeDocument/2006/relationships/ctrlProp" Target="../ctrlProps/ctrlProp1451.xml"/><Relationship Id="rId50" Type="http://schemas.openxmlformats.org/officeDocument/2006/relationships/ctrlProp" Target="../ctrlProps/ctrlProp745.xml"/><Relationship Id="rId104" Type="http://schemas.openxmlformats.org/officeDocument/2006/relationships/ctrlProp" Target="../ctrlProps/ctrlProp799.xml"/><Relationship Id="rId146" Type="http://schemas.openxmlformats.org/officeDocument/2006/relationships/ctrlProp" Target="../ctrlProps/ctrlProp841.xml"/><Relationship Id="rId188" Type="http://schemas.openxmlformats.org/officeDocument/2006/relationships/ctrlProp" Target="../ctrlProps/ctrlProp883.xml"/><Relationship Id="rId311" Type="http://schemas.openxmlformats.org/officeDocument/2006/relationships/ctrlProp" Target="../ctrlProps/ctrlProp1006.xml"/><Relationship Id="rId353" Type="http://schemas.openxmlformats.org/officeDocument/2006/relationships/ctrlProp" Target="../ctrlProps/ctrlProp1048.xml"/><Relationship Id="rId395" Type="http://schemas.openxmlformats.org/officeDocument/2006/relationships/ctrlProp" Target="../ctrlProps/ctrlProp1090.xml"/><Relationship Id="rId409" Type="http://schemas.openxmlformats.org/officeDocument/2006/relationships/ctrlProp" Target="../ctrlProps/ctrlProp1104.xml"/><Relationship Id="rId560" Type="http://schemas.openxmlformats.org/officeDocument/2006/relationships/ctrlProp" Target="../ctrlProps/ctrlProp1255.xml"/><Relationship Id="rId798" Type="http://schemas.openxmlformats.org/officeDocument/2006/relationships/ctrlProp" Target="../ctrlProps/ctrlProp1493.xml"/><Relationship Id="rId92" Type="http://schemas.openxmlformats.org/officeDocument/2006/relationships/ctrlProp" Target="../ctrlProps/ctrlProp787.xml"/><Relationship Id="rId213" Type="http://schemas.openxmlformats.org/officeDocument/2006/relationships/ctrlProp" Target="../ctrlProps/ctrlProp908.xml"/><Relationship Id="rId420" Type="http://schemas.openxmlformats.org/officeDocument/2006/relationships/ctrlProp" Target="../ctrlProps/ctrlProp1115.xml"/><Relationship Id="rId616" Type="http://schemas.openxmlformats.org/officeDocument/2006/relationships/ctrlProp" Target="../ctrlProps/ctrlProp1311.xml"/><Relationship Id="rId658" Type="http://schemas.openxmlformats.org/officeDocument/2006/relationships/ctrlProp" Target="../ctrlProps/ctrlProp1353.xml"/><Relationship Id="rId823" Type="http://schemas.openxmlformats.org/officeDocument/2006/relationships/ctrlProp" Target="../ctrlProps/ctrlProp1518.xml"/><Relationship Id="rId865" Type="http://schemas.openxmlformats.org/officeDocument/2006/relationships/ctrlProp" Target="../ctrlProps/ctrlProp1560.xml"/><Relationship Id="rId255" Type="http://schemas.openxmlformats.org/officeDocument/2006/relationships/ctrlProp" Target="../ctrlProps/ctrlProp950.xml"/><Relationship Id="rId297" Type="http://schemas.openxmlformats.org/officeDocument/2006/relationships/ctrlProp" Target="../ctrlProps/ctrlProp992.xml"/><Relationship Id="rId462" Type="http://schemas.openxmlformats.org/officeDocument/2006/relationships/ctrlProp" Target="../ctrlProps/ctrlProp1157.xml"/><Relationship Id="rId518" Type="http://schemas.openxmlformats.org/officeDocument/2006/relationships/ctrlProp" Target="../ctrlProps/ctrlProp1213.xml"/><Relationship Id="rId725" Type="http://schemas.openxmlformats.org/officeDocument/2006/relationships/ctrlProp" Target="../ctrlProps/ctrlProp1420.xml"/><Relationship Id="rId115" Type="http://schemas.openxmlformats.org/officeDocument/2006/relationships/ctrlProp" Target="../ctrlProps/ctrlProp810.xml"/><Relationship Id="rId157" Type="http://schemas.openxmlformats.org/officeDocument/2006/relationships/ctrlProp" Target="../ctrlProps/ctrlProp852.xml"/><Relationship Id="rId322" Type="http://schemas.openxmlformats.org/officeDocument/2006/relationships/ctrlProp" Target="../ctrlProps/ctrlProp1017.xml"/><Relationship Id="rId364" Type="http://schemas.openxmlformats.org/officeDocument/2006/relationships/ctrlProp" Target="../ctrlProps/ctrlProp1059.xml"/><Relationship Id="rId767" Type="http://schemas.openxmlformats.org/officeDocument/2006/relationships/ctrlProp" Target="../ctrlProps/ctrlProp1462.xml"/><Relationship Id="rId61" Type="http://schemas.openxmlformats.org/officeDocument/2006/relationships/ctrlProp" Target="../ctrlProps/ctrlProp756.xml"/><Relationship Id="rId199" Type="http://schemas.openxmlformats.org/officeDocument/2006/relationships/ctrlProp" Target="../ctrlProps/ctrlProp894.xml"/><Relationship Id="rId571" Type="http://schemas.openxmlformats.org/officeDocument/2006/relationships/ctrlProp" Target="../ctrlProps/ctrlProp1266.xml"/><Relationship Id="rId627" Type="http://schemas.openxmlformats.org/officeDocument/2006/relationships/ctrlProp" Target="../ctrlProps/ctrlProp1322.xml"/><Relationship Id="rId669" Type="http://schemas.openxmlformats.org/officeDocument/2006/relationships/ctrlProp" Target="../ctrlProps/ctrlProp1364.xml"/><Relationship Id="rId834" Type="http://schemas.openxmlformats.org/officeDocument/2006/relationships/ctrlProp" Target="../ctrlProps/ctrlProp1529.xml"/><Relationship Id="rId876" Type="http://schemas.openxmlformats.org/officeDocument/2006/relationships/ctrlProp" Target="../ctrlProps/ctrlProp1571.xml"/><Relationship Id="rId19" Type="http://schemas.openxmlformats.org/officeDocument/2006/relationships/ctrlProp" Target="../ctrlProps/ctrlProp714.xml"/><Relationship Id="rId224" Type="http://schemas.openxmlformats.org/officeDocument/2006/relationships/ctrlProp" Target="../ctrlProps/ctrlProp919.xml"/><Relationship Id="rId266" Type="http://schemas.openxmlformats.org/officeDocument/2006/relationships/ctrlProp" Target="../ctrlProps/ctrlProp961.xml"/><Relationship Id="rId431" Type="http://schemas.openxmlformats.org/officeDocument/2006/relationships/ctrlProp" Target="../ctrlProps/ctrlProp1126.xml"/><Relationship Id="rId473" Type="http://schemas.openxmlformats.org/officeDocument/2006/relationships/ctrlProp" Target="../ctrlProps/ctrlProp1168.xml"/><Relationship Id="rId529" Type="http://schemas.openxmlformats.org/officeDocument/2006/relationships/ctrlProp" Target="../ctrlProps/ctrlProp1224.xml"/><Relationship Id="rId680" Type="http://schemas.openxmlformats.org/officeDocument/2006/relationships/ctrlProp" Target="../ctrlProps/ctrlProp1375.xml"/><Relationship Id="rId736" Type="http://schemas.openxmlformats.org/officeDocument/2006/relationships/ctrlProp" Target="../ctrlProps/ctrlProp1431.xml"/><Relationship Id="rId901" Type="http://schemas.openxmlformats.org/officeDocument/2006/relationships/ctrlProp" Target="../ctrlProps/ctrlProp1596.xml"/><Relationship Id="rId30" Type="http://schemas.openxmlformats.org/officeDocument/2006/relationships/ctrlProp" Target="../ctrlProps/ctrlProp725.xml"/><Relationship Id="rId126" Type="http://schemas.openxmlformats.org/officeDocument/2006/relationships/ctrlProp" Target="../ctrlProps/ctrlProp821.xml"/><Relationship Id="rId168" Type="http://schemas.openxmlformats.org/officeDocument/2006/relationships/ctrlProp" Target="../ctrlProps/ctrlProp863.xml"/><Relationship Id="rId333" Type="http://schemas.openxmlformats.org/officeDocument/2006/relationships/ctrlProp" Target="../ctrlProps/ctrlProp1028.xml"/><Relationship Id="rId540" Type="http://schemas.openxmlformats.org/officeDocument/2006/relationships/ctrlProp" Target="../ctrlProps/ctrlProp1235.xml"/><Relationship Id="rId778" Type="http://schemas.openxmlformats.org/officeDocument/2006/relationships/ctrlProp" Target="../ctrlProps/ctrlProp1473.xml"/><Relationship Id="rId72" Type="http://schemas.openxmlformats.org/officeDocument/2006/relationships/ctrlProp" Target="../ctrlProps/ctrlProp767.xml"/><Relationship Id="rId375" Type="http://schemas.openxmlformats.org/officeDocument/2006/relationships/ctrlProp" Target="../ctrlProps/ctrlProp1070.xml"/><Relationship Id="rId582" Type="http://schemas.openxmlformats.org/officeDocument/2006/relationships/ctrlProp" Target="../ctrlProps/ctrlProp1277.xml"/><Relationship Id="rId638" Type="http://schemas.openxmlformats.org/officeDocument/2006/relationships/ctrlProp" Target="../ctrlProps/ctrlProp1333.xml"/><Relationship Id="rId803" Type="http://schemas.openxmlformats.org/officeDocument/2006/relationships/ctrlProp" Target="../ctrlProps/ctrlProp1498.xml"/><Relationship Id="rId845" Type="http://schemas.openxmlformats.org/officeDocument/2006/relationships/ctrlProp" Target="../ctrlProps/ctrlProp1540.xml"/><Relationship Id="rId3" Type="http://schemas.openxmlformats.org/officeDocument/2006/relationships/ctrlProp" Target="../ctrlProps/ctrlProp698.xml"/><Relationship Id="rId235" Type="http://schemas.openxmlformats.org/officeDocument/2006/relationships/ctrlProp" Target="../ctrlProps/ctrlProp930.xml"/><Relationship Id="rId277" Type="http://schemas.openxmlformats.org/officeDocument/2006/relationships/ctrlProp" Target="../ctrlProps/ctrlProp972.xml"/><Relationship Id="rId400" Type="http://schemas.openxmlformats.org/officeDocument/2006/relationships/ctrlProp" Target="../ctrlProps/ctrlProp1095.xml"/><Relationship Id="rId442" Type="http://schemas.openxmlformats.org/officeDocument/2006/relationships/ctrlProp" Target="../ctrlProps/ctrlProp1137.xml"/><Relationship Id="rId484" Type="http://schemas.openxmlformats.org/officeDocument/2006/relationships/ctrlProp" Target="../ctrlProps/ctrlProp1179.xml"/><Relationship Id="rId705" Type="http://schemas.openxmlformats.org/officeDocument/2006/relationships/ctrlProp" Target="../ctrlProps/ctrlProp1400.xml"/><Relationship Id="rId887" Type="http://schemas.openxmlformats.org/officeDocument/2006/relationships/ctrlProp" Target="../ctrlProps/ctrlProp1582.xml"/><Relationship Id="rId137" Type="http://schemas.openxmlformats.org/officeDocument/2006/relationships/ctrlProp" Target="../ctrlProps/ctrlProp832.xml"/><Relationship Id="rId302" Type="http://schemas.openxmlformats.org/officeDocument/2006/relationships/ctrlProp" Target="../ctrlProps/ctrlProp997.xml"/><Relationship Id="rId344" Type="http://schemas.openxmlformats.org/officeDocument/2006/relationships/ctrlProp" Target="../ctrlProps/ctrlProp1039.xml"/><Relationship Id="rId691" Type="http://schemas.openxmlformats.org/officeDocument/2006/relationships/ctrlProp" Target="../ctrlProps/ctrlProp1386.xml"/><Relationship Id="rId747" Type="http://schemas.openxmlformats.org/officeDocument/2006/relationships/ctrlProp" Target="../ctrlProps/ctrlProp1442.xml"/><Relationship Id="rId789" Type="http://schemas.openxmlformats.org/officeDocument/2006/relationships/ctrlProp" Target="../ctrlProps/ctrlProp1484.xml"/><Relationship Id="rId41" Type="http://schemas.openxmlformats.org/officeDocument/2006/relationships/ctrlProp" Target="../ctrlProps/ctrlProp736.xml"/><Relationship Id="rId83" Type="http://schemas.openxmlformats.org/officeDocument/2006/relationships/ctrlProp" Target="../ctrlProps/ctrlProp778.xml"/><Relationship Id="rId179" Type="http://schemas.openxmlformats.org/officeDocument/2006/relationships/ctrlProp" Target="../ctrlProps/ctrlProp874.xml"/><Relationship Id="rId386" Type="http://schemas.openxmlformats.org/officeDocument/2006/relationships/ctrlProp" Target="../ctrlProps/ctrlProp1081.xml"/><Relationship Id="rId551" Type="http://schemas.openxmlformats.org/officeDocument/2006/relationships/ctrlProp" Target="../ctrlProps/ctrlProp1246.xml"/><Relationship Id="rId593" Type="http://schemas.openxmlformats.org/officeDocument/2006/relationships/ctrlProp" Target="../ctrlProps/ctrlProp1288.xml"/><Relationship Id="rId607" Type="http://schemas.openxmlformats.org/officeDocument/2006/relationships/ctrlProp" Target="../ctrlProps/ctrlProp1302.xml"/><Relationship Id="rId649" Type="http://schemas.openxmlformats.org/officeDocument/2006/relationships/ctrlProp" Target="../ctrlProps/ctrlProp1344.xml"/><Relationship Id="rId814" Type="http://schemas.openxmlformats.org/officeDocument/2006/relationships/ctrlProp" Target="../ctrlProps/ctrlProp1509.xml"/><Relationship Id="rId856" Type="http://schemas.openxmlformats.org/officeDocument/2006/relationships/ctrlProp" Target="../ctrlProps/ctrlProp1551.xml"/><Relationship Id="rId190" Type="http://schemas.openxmlformats.org/officeDocument/2006/relationships/ctrlProp" Target="../ctrlProps/ctrlProp885.xml"/><Relationship Id="rId204" Type="http://schemas.openxmlformats.org/officeDocument/2006/relationships/ctrlProp" Target="../ctrlProps/ctrlProp899.xml"/><Relationship Id="rId246" Type="http://schemas.openxmlformats.org/officeDocument/2006/relationships/ctrlProp" Target="../ctrlProps/ctrlProp941.xml"/><Relationship Id="rId288" Type="http://schemas.openxmlformats.org/officeDocument/2006/relationships/ctrlProp" Target="../ctrlProps/ctrlProp983.xml"/><Relationship Id="rId411" Type="http://schemas.openxmlformats.org/officeDocument/2006/relationships/ctrlProp" Target="../ctrlProps/ctrlProp1106.xml"/><Relationship Id="rId453" Type="http://schemas.openxmlformats.org/officeDocument/2006/relationships/ctrlProp" Target="../ctrlProps/ctrlProp1148.xml"/><Relationship Id="rId509" Type="http://schemas.openxmlformats.org/officeDocument/2006/relationships/ctrlProp" Target="../ctrlProps/ctrlProp1204.xml"/><Relationship Id="rId660" Type="http://schemas.openxmlformats.org/officeDocument/2006/relationships/ctrlProp" Target="../ctrlProps/ctrlProp1355.xml"/><Relationship Id="rId898" Type="http://schemas.openxmlformats.org/officeDocument/2006/relationships/ctrlProp" Target="../ctrlProps/ctrlProp1593.xml"/><Relationship Id="rId106" Type="http://schemas.openxmlformats.org/officeDocument/2006/relationships/ctrlProp" Target="../ctrlProps/ctrlProp801.xml"/><Relationship Id="rId313" Type="http://schemas.openxmlformats.org/officeDocument/2006/relationships/ctrlProp" Target="../ctrlProps/ctrlProp1008.xml"/><Relationship Id="rId495" Type="http://schemas.openxmlformats.org/officeDocument/2006/relationships/ctrlProp" Target="../ctrlProps/ctrlProp1190.xml"/><Relationship Id="rId716" Type="http://schemas.openxmlformats.org/officeDocument/2006/relationships/ctrlProp" Target="../ctrlProps/ctrlProp1411.xml"/><Relationship Id="rId758" Type="http://schemas.openxmlformats.org/officeDocument/2006/relationships/ctrlProp" Target="../ctrlProps/ctrlProp1453.xml"/><Relationship Id="rId10" Type="http://schemas.openxmlformats.org/officeDocument/2006/relationships/ctrlProp" Target="../ctrlProps/ctrlProp705.xml"/><Relationship Id="rId52" Type="http://schemas.openxmlformats.org/officeDocument/2006/relationships/ctrlProp" Target="../ctrlProps/ctrlProp747.xml"/><Relationship Id="rId94" Type="http://schemas.openxmlformats.org/officeDocument/2006/relationships/ctrlProp" Target="../ctrlProps/ctrlProp789.xml"/><Relationship Id="rId148" Type="http://schemas.openxmlformats.org/officeDocument/2006/relationships/ctrlProp" Target="../ctrlProps/ctrlProp843.xml"/><Relationship Id="rId355" Type="http://schemas.openxmlformats.org/officeDocument/2006/relationships/ctrlProp" Target="../ctrlProps/ctrlProp1050.xml"/><Relationship Id="rId397" Type="http://schemas.openxmlformats.org/officeDocument/2006/relationships/ctrlProp" Target="../ctrlProps/ctrlProp1092.xml"/><Relationship Id="rId520" Type="http://schemas.openxmlformats.org/officeDocument/2006/relationships/ctrlProp" Target="../ctrlProps/ctrlProp1215.xml"/><Relationship Id="rId562" Type="http://schemas.openxmlformats.org/officeDocument/2006/relationships/ctrlProp" Target="../ctrlProps/ctrlProp1257.xml"/><Relationship Id="rId618" Type="http://schemas.openxmlformats.org/officeDocument/2006/relationships/ctrlProp" Target="../ctrlProps/ctrlProp1313.xml"/><Relationship Id="rId825" Type="http://schemas.openxmlformats.org/officeDocument/2006/relationships/ctrlProp" Target="../ctrlProps/ctrlProp1520.xml"/><Relationship Id="rId215" Type="http://schemas.openxmlformats.org/officeDocument/2006/relationships/ctrlProp" Target="../ctrlProps/ctrlProp910.xml"/><Relationship Id="rId257" Type="http://schemas.openxmlformats.org/officeDocument/2006/relationships/ctrlProp" Target="../ctrlProps/ctrlProp952.xml"/><Relationship Id="rId422" Type="http://schemas.openxmlformats.org/officeDocument/2006/relationships/ctrlProp" Target="../ctrlProps/ctrlProp1117.xml"/><Relationship Id="rId464" Type="http://schemas.openxmlformats.org/officeDocument/2006/relationships/ctrlProp" Target="../ctrlProps/ctrlProp1159.xml"/><Relationship Id="rId867" Type="http://schemas.openxmlformats.org/officeDocument/2006/relationships/ctrlProp" Target="../ctrlProps/ctrlProp1562.xml"/><Relationship Id="rId299" Type="http://schemas.openxmlformats.org/officeDocument/2006/relationships/ctrlProp" Target="../ctrlProps/ctrlProp994.xml"/><Relationship Id="rId727" Type="http://schemas.openxmlformats.org/officeDocument/2006/relationships/ctrlProp" Target="../ctrlProps/ctrlProp1422.xml"/><Relationship Id="rId63" Type="http://schemas.openxmlformats.org/officeDocument/2006/relationships/ctrlProp" Target="../ctrlProps/ctrlProp758.xml"/><Relationship Id="rId159" Type="http://schemas.openxmlformats.org/officeDocument/2006/relationships/ctrlProp" Target="../ctrlProps/ctrlProp854.xml"/><Relationship Id="rId366" Type="http://schemas.openxmlformats.org/officeDocument/2006/relationships/ctrlProp" Target="../ctrlProps/ctrlProp1061.xml"/><Relationship Id="rId573" Type="http://schemas.openxmlformats.org/officeDocument/2006/relationships/ctrlProp" Target="../ctrlProps/ctrlProp1268.xml"/><Relationship Id="rId780" Type="http://schemas.openxmlformats.org/officeDocument/2006/relationships/ctrlProp" Target="../ctrlProps/ctrlProp1475.xml"/><Relationship Id="rId226" Type="http://schemas.openxmlformats.org/officeDocument/2006/relationships/ctrlProp" Target="../ctrlProps/ctrlProp921.xml"/><Relationship Id="rId433" Type="http://schemas.openxmlformats.org/officeDocument/2006/relationships/ctrlProp" Target="../ctrlProps/ctrlProp1128.xml"/><Relationship Id="rId878" Type="http://schemas.openxmlformats.org/officeDocument/2006/relationships/ctrlProp" Target="../ctrlProps/ctrlProp1573.xml"/><Relationship Id="rId640" Type="http://schemas.openxmlformats.org/officeDocument/2006/relationships/ctrlProp" Target="../ctrlProps/ctrlProp1335.xml"/><Relationship Id="rId738" Type="http://schemas.openxmlformats.org/officeDocument/2006/relationships/ctrlProp" Target="../ctrlProps/ctrlProp1433.xml"/><Relationship Id="rId74" Type="http://schemas.openxmlformats.org/officeDocument/2006/relationships/ctrlProp" Target="../ctrlProps/ctrlProp769.xml"/><Relationship Id="rId377" Type="http://schemas.openxmlformats.org/officeDocument/2006/relationships/ctrlProp" Target="../ctrlProps/ctrlProp1072.xml"/><Relationship Id="rId500" Type="http://schemas.openxmlformats.org/officeDocument/2006/relationships/ctrlProp" Target="../ctrlProps/ctrlProp1195.xml"/><Relationship Id="rId584" Type="http://schemas.openxmlformats.org/officeDocument/2006/relationships/ctrlProp" Target="../ctrlProps/ctrlProp1279.xml"/><Relationship Id="rId805" Type="http://schemas.openxmlformats.org/officeDocument/2006/relationships/ctrlProp" Target="../ctrlProps/ctrlProp1500.xml"/><Relationship Id="rId5" Type="http://schemas.openxmlformats.org/officeDocument/2006/relationships/ctrlProp" Target="../ctrlProps/ctrlProp700.xml"/><Relationship Id="rId237" Type="http://schemas.openxmlformats.org/officeDocument/2006/relationships/ctrlProp" Target="../ctrlProps/ctrlProp932.xml"/><Relationship Id="rId791" Type="http://schemas.openxmlformats.org/officeDocument/2006/relationships/ctrlProp" Target="../ctrlProps/ctrlProp1486.xml"/><Relationship Id="rId889" Type="http://schemas.openxmlformats.org/officeDocument/2006/relationships/ctrlProp" Target="../ctrlProps/ctrlProp1584.xml"/><Relationship Id="rId444" Type="http://schemas.openxmlformats.org/officeDocument/2006/relationships/ctrlProp" Target="../ctrlProps/ctrlProp1139.xml"/><Relationship Id="rId651" Type="http://schemas.openxmlformats.org/officeDocument/2006/relationships/ctrlProp" Target="../ctrlProps/ctrlProp1346.xml"/><Relationship Id="rId749" Type="http://schemas.openxmlformats.org/officeDocument/2006/relationships/ctrlProp" Target="../ctrlProps/ctrlProp1444.xml"/><Relationship Id="rId290" Type="http://schemas.openxmlformats.org/officeDocument/2006/relationships/ctrlProp" Target="../ctrlProps/ctrlProp985.xml"/><Relationship Id="rId304" Type="http://schemas.openxmlformats.org/officeDocument/2006/relationships/ctrlProp" Target="../ctrlProps/ctrlProp999.xml"/><Relationship Id="rId388" Type="http://schemas.openxmlformats.org/officeDocument/2006/relationships/ctrlProp" Target="../ctrlProps/ctrlProp1083.xml"/><Relationship Id="rId511" Type="http://schemas.openxmlformats.org/officeDocument/2006/relationships/ctrlProp" Target="../ctrlProps/ctrlProp1206.xml"/><Relationship Id="rId609" Type="http://schemas.openxmlformats.org/officeDocument/2006/relationships/ctrlProp" Target="../ctrlProps/ctrlProp1304.xml"/><Relationship Id="rId85" Type="http://schemas.openxmlformats.org/officeDocument/2006/relationships/ctrlProp" Target="../ctrlProps/ctrlProp780.xml"/><Relationship Id="rId150" Type="http://schemas.openxmlformats.org/officeDocument/2006/relationships/ctrlProp" Target="../ctrlProps/ctrlProp845.xml"/><Relationship Id="rId595" Type="http://schemas.openxmlformats.org/officeDocument/2006/relationships/ctrlProp" Target="../ctrlProps/ctrlProp1290.xml"/><Relationship Id="rId816" Type="http://schemas.openxmlformats.org/officeDocument/2006/relationships/ctrlProp" Target="../ctrlProps/ctrlProp1511.xml"/><Relationship Id="rId248" Type="http://schemas.openxmlformats.org/officeDocument/2006/relationships/ctrlProp" Target="../ctrlProps/ctrlProp943.xml"/><Relationship Id="rId455" Type="http://schemas.openxmlformats.org/officeDocument/2006/relationships/ctrlProp" Target="../ctrlProps/ctrlProp1150.xml"/><Relationship Id="rId662" Type="http://schemas.openxmlformats.org/officeDocument/2006/relationships/ctrlProp" Target="../ctrlProps/ctrlProp1357.xml"/><Relationship Id="rId12" Type="http://schemas.openxmlformats.org/officeDocument/2006/relationships/ctrlProp" Target="../ctrlProps/ctrlProp707.xml"/><Relationship Id="rId108" Type="http://schemas.openxmlformats.org/officeDocument/2006/relationships/ctrlProp" Target="../ctrlProps/ctrlProp803.xml"/><Relationship Id="rId315" Type="http://schemas.openxmlformats.org/officeDocument/2006/relationships/ctrlProp" Target="../ctrlProps/ctrlProp1010.xml"/><Relationship Id="rId522" Type="http://schemas.openxmlformats.org/officeDocument/2006/relationships/ctrlProp" Target="../ctrlProps/ctrlProp1217.xml"/><Relationship Id="rId96" Type="http://schemas.openxmlformats.org/officeDocument/2006/relationships/ctrlProp" Target="../ctrlProps/ctrlProp791.xml"/><Relationship Id="rId161" Type="http://schemas.openxmlformats.org/officeDocument/2006/relationships/ctrlProp" Target="../ctrlProps/ctrlProp856.xml"/><Relationship Id="rId399" Type="http://schemas.openxmlformats.org/officeDocument/2006/relationships/ctrlProp" Target="../ctrlProps/ctrlProp1094.xml"/><Relationship Id="rId827" Type="http://schemas.openxmlformats.org/officeDocument/2006/relationships/ctrlProp" Target="../ctrlProps/ctrlProp1522.xml"/><Relationship Id="rId259" Type="http://schemas.openxmlformats.org/officeDocument/2006/relationships/ctrlProp" Target="../ctrlProps/ctrlProp954.xml"/><Relationship Id="rId466" Type="http://schemas.openxmlformats.org/officeDocument/2006/relationships/ctrlProp" Target="../ctrlProps/ctrlProp1161.xml"/><Relationship Id="rId673" Type="http://schemas.openxmlformats.org/officeDocument/2006/relationships/ctrlProp" Target="../ctrlProps/ctrlProp1368.xml"/><Relationship Id="rId880" Type="http://schemas.openxmlformats.org/officeDocument/2006/relationships/ctrlProp" Target="../ctrlProps/ctrlProp1575.xml"/><Relationship Id="rId23" Type="http://schemas.openxmlformats.org/officeDocument/2006/relationships/ctrlProp" Target="../ctrlProps/ctrlProp718.xml"/><Relationship Id="rId119" Type="http://schemas.openxmlformats.org/officeDocument/2006/relationships/ctrlProp" Target="../ctrlProps/ctrlProp814.xml"/><Relationship Id="rId326" Type="http://schemas.openxmlformats.org/officeDocument/2006/relationships/ctrlProp" Target="../ctrlProps/ctrlProp1021.xml"/><Relationship Id="rId533" Type="http://schemas.openxmlformats.org/officeDocument/2006/relationships/ctrlProp" Target="../ctrlProps/ctrlProp1228.xml"/><Relationship Id="rId740" Type="http://schemas.openxmlformats.org/officeDocument/2006/relationships/ctrlProp" Target="../ctrlProps/ctrlProp1435.xml"/><Relationship Id="rId838" Type="http://schemas.openxmlformats.org/officeDocument/2006/relationships/ctrlProp" Target="../ctrlProps/ctrlProp1533.xml"/><Relationship Id="rId172" Type="http://schemas.openxmlformats.org/officeDocument/2006/relationships/ctrlProp" Target="../ctrlProps/ctrlProp867.xml"/><Relationship Id="rId477" Type="http://schemas.openxmlformats.org/officeDocument/2006/relationships/ctrlProp" Target="../ctrlProps/ctrlProp1172.xml"/><Relationship Id="rId600" Type="http://schemas.openxmlformats.org/officeDocument/2006/relationships/ctrlProp" Target="../ctrlProps/ctrlProp1295.xml"/><Relationship Id="rId684" Type="http://schemas.openxmlformats.org/officeDocument/2006/relationships/ctrlProp" Target="../ctrlProps/ctrlProp1379.xml"/><Relationship Id="rId337" Type="http://schemas.openxmlformats.org/officeDocument/2006/relationships/ctrlProp" Target="../ctrlProps/ctrlProp1032.xml"/><Relationship Id="rId891" Type="http://schemas.openxmlformats.org/officeDocument/2006/relationships/ctrlProp" Target="../ctrlProps/ctrlProp1586.xml"/><Relationship Id="rId34" Type="http://schemas.openxmlformats.org/officeDocument/2006/relationships/ctrlProp" Target="../ctrlProps/ctrlProp729.xml"/><Relationship Id="rId544" Type="http://schemas.openxmlformats.org/officeDocument/2006/relationships/ctrlProp" Target="../ctrlProps/ctrlProp1239.xml"/><Relationship Id="rId751" Type="http://schemas.openxmlformats.org/officeDocument/2006/relationships/ctrlProp" Target="../ctrlProps/ctrlProp1446.xml"/><Relationship Id="rId849" Type="http://schemas.openxmlformats.org/officeDocument/2006/relationships/ctrlProp" Target="../ctrlProps/ctrlProp1544.xml"/><Relationship Id="rId183" Type="http://schemas.openxmlformats.org/officeDocument/2006/relationships/ctrlProp" Target="../ctrlProps/ctrlProp878.xml"/><Relationship Id="rId390" Type="http://schemas.openxmlformats.org/officeDocument/2006/relationships/ctrlProp" Target="../ctrlProps/ctrlProp1085.xml"/><Relationship Id="rId404" Type="http://schemas.openxmlformats.org/officeDocument/2006/relationships/ctrlProp" Target="../ctrlProps/ctrlProp1099.xml"/><Relationship Id="rId611" Type="http://schemas.openxmlformats.org/officeDocument/2006/relationships/ctrlProp" Target="../ctrlProps/ctrlProp1306.xml"/><Relationship Id="rId250" Type="http://schemas.openxmlformats.org/officeDocument/2006/relationships/ctrlProp" Target="../ctrlProps/ctrlProp945.xml"/><Relationship Id="rId488" Type="http://schemas.openxmlformats.org/officeDocument/2006/relationships/ctrlProp" Target="../ctrlProps/ctrlProp1183.xml"/><Relationship Id="rId695" Type="http://schemas.openxmlformats.org/officeDocument/2006/relationships/ctrlProp" Target="../ctrlProps/ctrlProp1390.xml"/><Relationship Id="rId709" Type="http://schemas.openxmlformats.org/officeDocument/2006/relationships/ctrlProp" Target="../ctrlProps/ctrlProp1404.xml"/><Relationship Id="rId45" Type="http://schemas.openxmlformats.org/officeDocument/2006/relationships/ctrlProp" Target="../ctrlProps/ctrlProp740.xml"/><Relationship Id="rId110" Type="http://schemas.openxmlformats.org/officeDocument/2006/relationships/ctrlProp" Target="../ctrlProps/ctrlProp805.xml"/><Relationship Id="rId348" Type="http://schemas.openxmlformats.org/officeDocument/2006/relationships/ctrlProp" Target="../ctrlProps/ctrlProp1043.xml"/><Relationship Id="rId555" Type="http://schemas.openxmlformats.org/officeDocument/2006/relationships/ctrlProp" Target="../ctrlProps/ctrlProp1250.xml"/><Relationship Id="rId762" Type="http://schemas.openxmlformats.org/officeDocument/2006/relationships/ctrlProp" Target="../ctrlProps/ctrlProp1457.xml"/><Relationship Id="rId194" Type="http://schemas.openxmlformats.org/officeDocument/2006/relationships/ctrlProp" Target="../ctrlProps/ctrlProp889.xml"/><Relationship Id="rId208" Type="http://schemas.openxmlformats.org/officeDocument/2006/relationships/ctrlProp" Target="../ctrlProps/ctrlProp903.xml"/><Relationship Id="rId415" Type="http://schemas.openxmlformats.org/officeDocument/2006/relationships/ctrlProp" Target="../ctrlProps/ctrlProp1110.xml"/><Relationship Id="rId622" Type="http://schemas.openxmlformats.org/officeDocument/2006/relationships/ctrlProp" Target="../ctrlProps/ctrlProp1317.xml"/><Relationship Id="rId261" Type="http://schemas.openxmlformats.org/officeDocument/2006/relationships/ctrlProp" Target="../ctrlProps/ctrlProp956.xml"/><Relationship Id="rId499" Type="http://schemas.openxmlformats.org/officeDocument/2006/relationships/ctrlProp" Target="../ctrlProps/ctrlProp1194.xml"/><Relationship Id="rId56" Type="http://schemas.openxmlformats.org/officeDocument/2006/relationships/ctrlProp" Target="../ctrlProps/ctrlProp751.xml"/><Relationship Id="rId359" Type="http://schemas.openxmlformats.org/officeDocument/2006/relationships/ctrlProp" Target="../ctrlProps/ctrlProp1054.xml"/><Relationship Id="rId566" Type="http://schemas.openxmlformats.org/officeDocument/2006/relationships/ctrlProp" Target="../ctrlProps/ctrlProp1261.xml"/><Relationship Id="rId773" Type="http://schemas.openxmlformats.org/officeDocument/2006/relationships/ctrlProp" Target="../ctrlProps/ctrlProp1468.xml"/><Relationship Id="rId121" Type="http://schemas.openxmlformats.org/officeDocument/2006/relationships/ctrlProp" Target="../ctrlProps/ctrlProp816.xml"/><Relationship Id="rId219" Type="http://schemas.openxmlformats.org/officeDocument/2006/relationships/ctrlProp" Target="../ctrlProps/ctrlProp914.xml"/><Relationship Id="rId426" Type="http://schemas.openxmlformats.org/officeDocument/2006/relationships/ctrlProp" Target="../ctrlProps/ctrlProp1121.xml"/><Relationship Id="rId633" Type="http://schemas.openxmlformats.org/officeDocument/2006/relationships/ctrlProp" Target="../ctrlProps/ctrlProp1328.xml"/><Relationship Id="rId840" Type="http://schemas.openxmlformats.org/officeDocument/2006/relationships/ctrlProp" Target="../ctrlProps/ctrlProp1535.xml"/><Relationship Id="rId67" Type="http://schemas.openxmlformats.org/officeDocument/2006/relationships/ctrlProp" Target="../ctrlProps/ctrlProp762.xml"/><Relationship Id="rId272" Type="http://schemas.openxmlformats.org/officeDocument/2006/relationships/ctrlProp" Target="../ctrlProps/ctrlProp967.xml"/><Relationship Id="rId577" Type="http://schemas.openxmlformats.org/officeDocument/2006/relationships/ctrlProp" Target="../ctrlProps/ctrlProp1272.xml"/><Relationship Id="rId700" Type="http://schemas.openxmlformats.org/officeDocument/2006/relationships/ctrlProp" Target="../ctrlProps/ctrlProp1395.xml"/><Relationship Id="rId132" Type="http://schemas.openxmlformats.org/officeDocument/2006/relationships/ctrlProp" Target="../ctrlProps/ctrlProp827.xml"/><Relationship Id="rId784" Type="http://schemas.openxmlformats.org/officeDocument/2006/relationships/ctrlProp" Target="../ctrlProps/ctrlProp1479.xml"/><Relationship Id="rId437" Type="http://schemas.openxmlformats.org/officeDocument/2006/relationships/ctrlProp" Target="../ctrlProps/ctrlProp1132.xml"/><Relationship Id="rId644" Type="http://schemas.openxmlformats.org/officeDocument/2006/relationships/ctrlProp" Target="../ctrlProps/ctrlProp1339.xml"/><Relationship Id="rId851" Type="http://schemas.openxmlformats.org/officeDocument/2006/relationships/ctrlProp" Target="../ctrlProps/ctrlProp1546.xml"/><Relationship Id="rId283" Type="http://schemas.openxmlformats.org/officeDocument/2006/relationships/ctrlProp" Target="../ctrlProps/ctrlProp978.xml"/><Relationship Id="rId490" Type="http://schemas.openxmlformats.org/officeDocument/2006/relationships/ctrlProp" Target="../ctrlProps/ctrlProp1185.xml"/><Relationship Id="rId504" Type="http://schemas.openxmlformats.org/officeDocument/2006/relationships/ctrlProp" Target="../ctrlProps/ctrlProp1199.xml"/><Relationship Id="rId711" Type="http://schemas.openxmlformats.org/officeDocument/2006/relationships/ctrlProp" Target="../ctrlProps/ctrlProp1406.xml"/><Relationship Id="rId78" Type="http://schemas.openxmlformats.org/officeDocument/2006/relationships/ctrlProp" Target="../ctrlProps/ctrlProp773.xml"/><Relationship Id="rId143" Type="http://schemas.openxmlformats.org/officeDocument/2006/relationships/ctrlProp" Target="../ctrlProps/ctrlProp838.xml"/><Relationship Id="rId350" Type="http://schemas.openxmlformats.org/officeDocument/2006/relationships/ctrlProp" Target="../ctrlProps/ctrlProp1045.xml"/><Relationship Id="rId588" Type="http://schemas.openxmlformats.org/officeDocument/2006/relationships/ctrlProp" Target="../ctrlProps/ctrlProp1283.xml"/><Relationship Id="rId795" Type="http://schemas.openxmlformats.org/officeDocument/2006/relationships/ctrlProp" Target="../ctrlProps/ctrlProp1490.xml"/><Relationship Id="rId809" Type="http://schemas.openxmlformats.org/officeDocument/2006/relationships/ctrlProp" Target="../ctrlProps/ctrlProp1504.xml"/><Relationship Id="rId9" Type="http://schemas.openxmlformats.org/officeDocument/2006/relationships/ctrlProp" Target="../ctrlProps/ctrlProp704.xml"/><Relationship Id="rId210" Type="http://schemas.openxmlformats.org/officeDocument/2006/relationships/ctrlProp" Target="../ctrlProps/ctrlProp905.xml"/><Relationship Id="rId448" Type="http://schemas.openxmlformats.org/officeDocument/2006/relationships/ctrlProp" Target="../ctrlProps/ctrlProp1143.xml"/><Relationship Id="rId655" Type="http://schemas.openxmlformats.org/officeDocument/2006/relationships/ctrlProp" Target="../ctrlProps/ctrlProp1350.xml"/><Relationship Id="rId862" Type="http://schemas.openxmlformats.org/officeDocument/2006/relationships/ctrlProp" Target="../ctrlProps/ctrlProp1557.xml"/><Relationship Id="rId294" Type="http://schemas.openxmlformats.org/officeDocument/2006/relationships/ctrlProp" Target="../ctrlProps/ctrlProp989.xml"/><Relationship Id="rId308" Type="http://schemas.openxmlformats.org/officeDocument/2006/relationships/ctrlProp" Target="../ctrlProps/ctrlProp1003.xml"/><Relationship Id="rId515" Type="http://schemas.openxmlformats.org/officeDocument/2006/relationships/ctrlProp" Target="../ctrlProps/ctrlProp1210.xml"/><Relationship Id="rId722" Type="http://schemas.openxmlformats.org/officeDocument/2006/relationships/ctrlProp" Target="../ctrlProps/ctrlProp1417.xml"/><Relationship Id="rId89" Type="http://schemas.openxmlformats.org/officeDocument/2006/relationships/ctrlProp" Target="../ctrlProps/ctrlProp784.xml"/><Relationship Id="rId154" Type="http://schemas.openxmlformats.org/officeDocument/2006/relationships/ctrlProp" Target="../ctrlProps/ctrlProp849.xml"/><Relationship Id="rId361" Type="http://schemas.openxmlformats.org/officeDocument/2006/relationships/ctrlProp" Target="../ctrlProps/ctrlProp1056.xml"/><Relationship Id="rId599" Type="http://schemas.openxmlformats.org/officeDocument/2006/relationships/ctrlProp" Target="../ctrlProps/ctrlProp1294.xml"/><Relationship Id="rId459" Type="http://schemas.openxmlformats.org/officeDocument/2006/relationships/ctrlProp" Target="../ctrlProps/ctrlProp1154.xml"/><Relationship Id="rId666" Type="http://schemas.openxmlformats.org/officeDocument/2006/relationships/ctrlProp" Target="../ctrlProps/ctrlProp1361.xml"/><Relationship Id="rId873" Type="http://schemas.openxmlformats.org/officeDocument/2006/relationships/ctrlProp" Target="../ctrlProps/ctrlProp1568.xml"/><Relationship Id="rId16" Type="http://schemas.openxmlformats.org/officeDocument/2006/relationships/ctrlProp" Target="../ctrlProps/ctrlProp711.xml"/><Relationship Id="rId221" Type="http://schemas.openxmlformats.org/officeDocument/2006/relationships/ctrlProp" Target="../ctrlProps/ctrlProp916.xml"/><Relationship Id="rId319" Type="http://schemas.openxmlformats.org/officeDocument/2006/relationships/ctrlProp" Target="../ctrlProps/ctrlProp1014.xml"/><Relationship Id="rId526" Type="http://schemas.openxmlformats.org/officeDocument/2006/relationships/ctrlProp" Target="../ctrlProps/ctrlProp1221.xml"/><Relationship Id="rId733" Type="http://schemas.openxmlformats.org/officeDocument/2006/relationships/ctrlProp" Target="../ctrlProps/ctrlProp1428.xml"/><Relationship Id="rId165" Type="http://schemas.openxmlformats.org/officeDocument/2006/relationships/ctrlProp" Target="../ctrlProps/ctrlProp860.xml"/><Relationship Id="rId372" Type="http://schemas.openxmlformats.org/officeDocument/2006/relationships/ctrlProp" Target="../ctrlProps/ctrlProp1067.xml"/><Relationship Id="rId677" Type="http://schemas.openxmlformats.org/officeDocument/2006/relationships/ctrlProp" Target="../ctrlProps/ctrlProp1372.xml"/><Relationship Id="rId800" Type="http://schemas.openxmlformats.org/officeDocument/2006/relationships/ctrlProp" Target="../ctrlProps/ctrlProp1495.xml"/><Relationship Id="rId232" Type="http://schemas.openxmlformats.org/officeDocument/2006/relationships/ctrlProp" Target="../ctrlProps/ctrlProp927.xml"/><Relationship Id="rId884" Type="http://schemas.openxmlformats.org/officeDocument/2006/relationships/ctrlProp" Target="../ctrlProps/ctrlProp1579.xml"/><Relationship Id="rId27" Type="http://schemas.openxmlformats.org/officeDocument/2006/relationships/ctrlProp" Target="../ctrlProps/ctrlProp722.xml"/><Relationship Id="rId537" Type="http://schemas.openxmlformats.org/officeDocument/2006/relationships/ctrlProp" Target="../ctrlProps/ctrlProp1232.xml"/><Relationship Id="rId744" Type="http://schemas.openxmlformats.org/officeDocument/2006/relationships/ctrlProp" Target="../ctrlProps/ctrlProp1439.xml"/><Relationship Id="rId80" Type="http://schemas.openxmlformats.org/officeDocument/2006/relationships/ctrlProp" Target="../ctrlProps/ctrlProp775.xml"/><Relationship Id="rId176" Type="http://schemas.openxmlformats.org/officeDocument/2006/relationships/ctrlProp" Target="../ctrlProps/ctrlProp871.xml"/><Relationship Id="rId383" Type="http://schemas.openxmlformats.org/officeDocument/2006/relationships/ctrlProp" Target="../ctrlProps/ctrlProp1078.xml"/><Relationship Id="rId590" Type="http://schemas.openxmlformats.org/officeDocument/2006/relationships/ctrlProp" Target="../ctrlProps/ctrlProp1285.xml"/><Relationship Id="rId604" Type="http://schemas.openxmlformats.org/officeDocument/2006/relationships/ctrlProp" Target="../ctrlProps/ctrlProp1299.xml"/><Relationship Id="rId811" Type="http://schemas.openxmlformats.org/officeDocument/2006/relationships/ctrlProp" Target="../ctrlProps/ctrlProp1506.xml"/><Relationship Id="rId243" Type="http://schemas.openxmlformats.org/officeDocument/2006/relationships/ctrlProp" Target="../ctrlProps/ctrlProp938.xml"/><Relationship Id="rId450" Type="http://schemas.openxmlformats.org/officeDocument/2006/relationships/ctrlProp" Target="../ctrlProps/ctrlProp1145.xml"/><Relationship Id="rId688" Type="http://schemas.openxmlformats.org/officeDocument/2006/relationships/ctrlProp" Target="../ctrlProps/ctrlProp1383.xml"/><Relationship Id="rId895" Type="http://schemas.openxmlformats.org/officeDocument/2006/relationships/ctrlProp" Target="../ctrlProps/ctrlProp1590.xml"/><Relationship Id="rId38" Type="http://schemas.openxmlformats.org/officeDocument/2006/relationships/ctrlProp" Target="../ctrlProps/ctrlProp733.xml"/><Relationship Id="rId103" Type="http://schemas.openxmlformats.org/officeDocument/2006/relationships/ctrlProp" Target="../ctrlProps/ctrlProp798.xml"/><Relationship Id="rId310" Type="http://schemas.openxmlformats.org/officeDocument/2006/relationships/ctrlProp" Target="../ctrlProps/ctrlProp1005.xml"/><Relationship Id="rId548" Type="http://schemas.openxmlformats.org/officeDocument/2006/relationships/ctrlProp" Target="../ctrlProps/ctrlProp1243.xml"/><Relationship Id="rId755" Type="http://schemas.openxmlformats.org/officeDocument/2006/relationships/ctrlProp" Target="../ctrlProps/ctrlProp1450.xml"/><Relationship Id="rId91" Type="http://schemas.openxmlformats.org/officeDocument/2006/relationships/ctrlProp" Target="../ctrlProps/ctrlProp786.xml"/><Relationship Id="rId187" Type="http://schemas.openxmlformats.org/officeDocument/2006/relationships/ctrlProp" Target="../ctrlProps/ctrlProp882.xml"/><Relationship Id="rId394" Type="http://schemas.openxmlformats.org/officeDocument/2006/relationships/ctrlProp" Target="../ctrlProps/ctrlProp1089.xml"/><Relationship Id="rId408" Type="http://schemas.openxmlformats.org/officeDocument/2006/relationships/ctrlProp" Target="../ctrlProps/ctrlProp1103.xml"/><Relationship Id="rId615" Type="http://schemas.openxmlformats.org/officeDocument/2006/relationships/ctrlProp" Target="../ctrlProps/ctrlProp1310.xml"/><Relationship Id="rId822" Type="http://schemas.openxmlformats.org/officeDocument/2006/relationships/ctrlProp" Target="../ctrlProps/ctrlProp1517.xml"/><Relationship Id="rId254" Type="http://schemas.openxmlformats.org/officeDocument/2006/relationships/ctrlProp" Target="../ctrlProps/ctrlProp949.xml"/><Relationship Id="rId699" Type="http://schemas.openxmlformats.org/officeDocument/2006/relationships/ctrlProp" Target="../ctrlProps/ctrlProp1394.xml"/><Relationship Id="rId49" Type="http://schemas.openxmlformats.org/officeDocument/2006/relationships/ctrlProp" Target="../ctrlProps/ctrlProp744.xml"/><Relationship Id="rId114" Type="http://schemas.openxmlformats.org/officeDocument/2006/relationships/ctrlProp" Target="../ctrlProps/ctrlProp809.xml"/><Relationship Id="rId461" Type="http://schemas.openxmlformats.org/officeDocument/2006/relationships/ctrlProp" Target="../ctrlProps/ctrlProp1156.xml"/><Relationship Id="rId559" Type="http://schemas.openxmlformats.org/officeDocument/2006/relationships/ctrlProp" Target="../ctrlProps/ctrlProp1254.xml"/><Relationship Id="rId766" Type="http://schemas.openxmlformats.org/officeDocument/2006/relationships/ctrlProp" Target="../ctrlProps/ctrlProp1461.xml"/><Relationship Id="rId198" Type="http://schemas.openxmlformats.org/officeDocument/2006/relationships/ctrlProp" Target="../ctrlProps/ctrlProp893.xml"/><Relationship Id="rId321" Type="http://schemas.openxmlformats.org/officeDocument/2006/relationships/ctrlProp" Target="../ctrlProps/ctrlProp1016.xml"/><Relationship Id="rId419" Type="http://schemas.openxmlformats.org/officeDocument/2006/relationships/ctrlProp" Target="../ctrlProps/ctrlProp1114.xml"/><Relationship Id="rId626" Type="http://schemas.openxmlformats.org/officeDocument/2006/relationships/ctrlProp" Target="../ctrlProps/ctrlProp1321.xml"/><Relationship Id="rId833" Type="http://schemas.openxmlformats.org/officeDocument/2006/relationships/ctrlProp" Target="../ctrlProps/ctrlProp1528.xml"/><Relationship Id="rId265" Type="http://schemas.openxmlformats.org/officeDocument/2006/relationships/ctrlProp" Target="../ctrlProps/ctrlProp960.xml"/><Relationship Id="rId472" Type="http://schemas.openxmlformats.org/officeDocument/2006/relationships/ctrlProp" Target="../ctrlProps/ctrlProp1167.xml"/><Relationship Id="rId900" Type="http://schemas.openxmlformats.org/officeDocument/2006/relationships/ctrlProp" Target="../ctrlProps/ctrlProp1595.xml"/><Relationship Id="rId125" Type="http://schemas.openxmlformats.org/officeDocument/2006/relationships/ctrlProp" Target="../ctrlProps/ctrlProp820.xml"/><Relationship Id="rId332" Type="http://schemas.openxmlformats.org/officeDocument/2006/relationships/ctrlProp" Target="../ctrlProps/ctrlProp1027.xml"/><Relationship Id="rId777" Type="http://schemas.openxmlformats.org/officeDocument/2006/relationships/ctrlProp" Target="../ctrlProps/ctrlProp1472.xml"/><Relationship Id="rId637" Type="http://schemas.openxmlformats.org/officeDocument/2006/relationships/ctrlProp" Target="../ctrlProps/ctrlProp1332.xml"/><Relationship Id="rId844" Type="http://schemas.openxmlformats.org/officeDocument/2006/relationships/ctrlProp" Target="../ctrlProps/ctrlProp1539.xml"/><Relationship Id="rId276" Type="http://schemas.openxmlformats.org/officeDocument/2006/relationships/ctrlProp" Target="../ctrlProps/ctrlProp971.xml"/><Relationship Id="rId483" Type="http://schemas.openxmlformats.org/officeDocument/2006/relationships/ctrlProp" Target="../ctrlProps/ctrlProp1178.xml"/><Relationship Id="rId690" Type="http://schemas.openxmlformats.org/officeDocument/2006/relationships/ctrlProp" Target="../ctrlProps/ctrlProp1385.xml"/><Relationship Id="rId704" Type="http://schemas.openxmlformats.org/officeDocument/2006/relationships/ctrlProp" Target="../ctrlProps/ctrlProp1399.xml"/><Relationship Id="rId40" Type="http://schemas.openxmlformats.org/officeDocument/2006/relationships/ctrlProp" Target="../ctrlProps/ctrlProp735.xml"/><Relationship Id="rId136" Type="http://schemas.openxmlformats.org/officeDocument/2006/relationships/ctrlProp" Target="../ctrlProps/ctrlProp831.xml"/><Relationship Id="rId343" Type="http://schemas.openxmlformats.org/officeDocument/2006/relationships/ctrlProp" Target="../ctrlProps/ctrlProp1038.xml"/><Relationship Id="rId550" Type="http://schemas.openxmlformats.org/officeDocument/2006/relationships/ctrlProp" Target="../ctrlProps/ctrlProp1245.xml"/><Relationship Id="rId788" Type="http://schemas.openxmlformats.org/officeDocument/2006/relationships/ctrlProp" Target="../ctrlProps/ctrlProp1483.xml"/><Relationship Id="rId203" Type="http://schemas.openxmlformats.org/officeDocument/2006/relationships/ctrlProp" Target="../ctrlProps/ctrlProp898.xml"/><Relationship Id="rId648" Type="http://schemas.openxmlformats.org/officeDocument/2006/relationships/ctrlProp" Target="../ctrlProps/ctrlProp1343.xml"/><Relationship Id="rId855" Type="http://schemas.openxmlformats.org/officeDocument/2006/relationships/ctrlProp" Target="../ctrlProps/ctrlProp1550.xml"/><Relationship Id="rId287" Type="http://schemas.openxmlformats.org/officeDocument/2006/relationships/ctrlProp" Target="../ctrlProps/ctrlProp982.xml"/><Relationship Id="rId410" Type="http://schemas.openxmlformats.org/officeDocument/2006/relationships/ctrlProp" Target="../ctrlProps/ctrlProp1105.xml"/><Relationship Id="rId494" Type="http://schemas.openxmlformats.org/officeDocument/2006/relationships/ctrlProp" Target="../ctrlProps/ctrlProp1189.xml"/><Relationship Id="rId508" Type="http://schemas.openxmlformats.org/officeDocument/2006/relationships/ctrlProp" Target="../ctrlProps/ctrlProp1203.xml"/><Relationship Id="rId715" Type="http://schemas.openxmlformats.org/officeDocument/2006/relationships/ctrlProp" Target="../ctrlProps/ctrlProp1410.xml"/><Relationship Id="rId147" Type="http://schemas.openxmlformats.org/officeDocument/2006/relationships/ctrlProp" Target="../ctrlProps/ctrlProp842.xml"/><Relationship Id="rId354" Type="http://schemas.openxmlformats.org/officeDocument/2006/relationships/ctrlProp" Target="../ctrlProps/ctrlProp1049.xml"/><Relationship Id="rId799" Type="http://schemas.openxmlformats.org/officeDocument/2006/relationships/ctrlProp" Target="../ctrlProps/ctrlProp1494.xml"/><Relationship Id="rId51" Type="http://schemas.openxmlformats.org/officeDocument/2006/relationships/ctrlProp" Target="../ctrlProps/ctrlProp746.xml"/><Relationship Id="rId561" Type="http://schemas.openxmlformats.org/officeDocument/2006/relationships/ctrlProp" Target="../ctrlProps/ctrlProp1256.xml"/><Relationship Id="rId659" Type="http://schemas.openxmlformats.org/officeDocument/2006/relationships/ctrlProp" Target="../ctrlProps/ctrlProp1354.xml"/><Relationship Id="rId866" Type="http://schemas.openxmlformats.org/officeDocument/2006/relationships/ctrlProp" Target="../ctrlProps/ctrlProp1561.xml"/><Relationship Id="rId214" Type="http://schemas.openxmlformats.org/officeDocument/2006/relationships/ctrlProp" Target="../ctrlProps/ctrlProp909.xml"/><Relationship Id="rId298" Type="http://schemas.openxmlformats.org/officeDocument/2006/relationships/ctrlProp" Target="../ctrlProps/ctrlProp993.xml"/><Relationship Id="rId421" Type="http://schemas.openxmlformats.org/officeDocument/2006/relationships/ctrlProp" Target="../ctrlProps/ctrlProp1116.xml"/><Relationship Id="rId519" Type="http://schemas.openxmlformats.org/officeDocument/2006/relationships/ctrlProp" Target="../ctrlProps/ctrlProp1214.xml"/><Relationship Id="rId158" Type="http://schemas.openxmlformats.org/officeDocument/2006/relationships/ctrlProp" Target="../ctrlProps/ctrlProp853.xml"/><Relationship Id="rId726" Type="http://schemas.openxmlformats.org/officeDocument/2006/relationships/ctrlProp" Target="../ctrlProps/ctrlProp1421.xml"/><Relationship Id="rId62" Type="http://schemas.openxmlformats.org/officeDocument/2006/relationships/ctrlProp" Target="../ctrlProps/ctrlProp757.xml"/><Relationship Id="rId365" Type="http://schemas.openxmlformats.org/officeDocument/2006/relationships/ctrlProp" Target="../ctrlProps/ctrlProp1060.xml"/><Relationship Id="rId572" Type="http://schemas.openxmlformats.org/officeDocument/2006/relationships/ctrlProp" Target="../ctrlProps/ctrlProp1267.xml"/><Relationship Id="rId225" Type="http://schemas.openxmlformats.org/officeDocument/2006/relationships/ctrlProp" Target="../ctrlProps/ctrlProp920.xml"/><Relationship Id="rId432" Type="http://schemas.openxmlformats.org/officeDocument/2006/relationships/ctrlProp" Target="../ctrlProps/ctrlProp1127.xml"/><Relationship Id="rId877" Type="http://schemas.openxmlformats.org/officeDocument/2006/relationships/ctrlProp" Target="../ctrlProps/ctrlProp1572.xml"/><Relationship Id="rId737" Type="http://schemas.openxmlformats.org/officeDocument/2006/relationships/ctrlProp" Target="../ctrlProps/ctrlProp1432.xml"/><Relationship Id="rId73" Type="http://schemas.openxmlformats.org/officeDocument/2006/relationships/ctrlProp" Target="../ctrlProps/ctrlProp768.xml"/><Relationship Id="rId169" Type="http://schemas.openxmlformats.org/officeDocument/2006/relationships/ctrlProp" Target="../ctrlProps/ctrlProp864.xml"/><Relationship Id="rId376" Type="http://schemas.openxmlformats.org/officeDocument/2006/relationships/ctrlProp" Target="../ctrlProps/ctrlProp1071.xml"/><Relationship Id="rId583" Type="http://schemas.openxmlformats.org/officeDocument/2006/relationships/ctrlProp" Target="../ctrlProps/ctrlProp1278.xml"/><Relationship Id="rId790" Type="http://schemas.openxmlformats.org/officeDocument/2006/relationships/ctrlProp" Target="../ctrlProps/ctrlProp1485.xml"/><Relationship Id="rId804" Type="http://schemas.openxmlformats.org/officeDocument/2006/relationships/ctrlProp" Target="../ctrlProps/ctrlProp1499.xml"/><Relationship Id="rId4" Type="http://schemas.openxmlformats.org/officeDocument/2006/relationships/ctrlProp" Target="../ctrlProps/ctrlProp699.xml"/><Relationship Id="rId236" Type="http://schemas.openxmlformats.org/officeDocument/2006/relationships/ctrlProp" Target="../ctrlProps/ctrlProp931.xml"/><Relationship Id="rId443" Type="http://schemas.openxmlformats.org/officeDocument/2006/relationships/ctrlProp" Target="../ctrlProps/ctrlProp1138.xml"/><Relationship Id="rId650" Type="http://schemas.openxmlformats.org/officeDocument/2006/relationships/ctrlProp" Target="../ctrlProps/ctrlProp1345.xml"/><Relationship Id="rId888" Type="http://schemas.openxmlformats.org/officeDocument/2006/relationships/ctrlProp" Target="../ctrlProps/ctrlProp1583.xml"/><Relationship Id="rId303" Type="http://schemas.openxmlformats.org/officeDocument/2006/relationships/ctrlProp" Target="../ctrlProps/ctrlProp998.xml"/><Relationship Id="rId748" Type="http://schemas.openxmlformats.org/officeDocument/2006/relationships/ctrlProp" Target="../ctrlProps/ctrlProp1443.xml"/><Relationship Id="rId84" Type="http://schemas.openxmlformats.org/officeDocument/2006/relationships/ctrlProp" Target="../ctrlProps/ctrlProp779.xml"/><Relationship Id="rId387" Type="http://schemas.openxmlformats.org/officeDocument/2006/relationships/ctrlProp" Target="../ctrlProps/ctrlProp1082.xml"/><Relationship Id="rId510" Type="http://schemas.openxmlformats.org/officeDocument/2006/relationships/ctrlProp" Target="../ctrlProps/ctrlProp1205.xml"/><Relationship Id="rId594" Type="http://schemas.openxmlformats.org/officeDocument/2006/relationships/ctrlProp" Target="../ctrlProps/ctrlProp1289.xml"/><Relationship Id="rId608" Type="http://schemas.openxmlformats.org/officeDocument/2006/relationships/ctrlProp" Target="../ctrlProps/ctrlProp1303.xml"/><Relationship Id="rId815" Type="http://schemas.openxmlformats.org/officeDocument/2006/relationships/ctrlProp" Target="../ctrlProps/ctrlProp1510.xml"/><Relationship Id="rId247" Type="http://schemas.openxmlformats.org/officeDocument/2006/relationships/ctrlProp" Target="../ctrlProps/ctrlProp942.xml"/><Relationship Id="rId899" Type="http://schemas.openxmlformats.org/officeDocument/2006/relationships/ctrlProp" Target="../ctrlProps/ctrlProp1594.xml"/><Relationship Id="rId107" Type="http://schemas.openxmlformats.org/officeDocument/2006/relationships/ctrlProp" Target="../ctrlProps/ctrlProp802.xml"/><Relationship Id="rId454" Type="http://schemas.openxmlformats.org/officeDocument/2006/relationships/ctrlProp" Target="../ctrlProps/ctrlProp1149.xml"/><Relationship Id="rId661" Type="http://schemas.openxmlformats.org/officeDocument/2006/relationships/ctrlProp" Target="../ctrlProps/ctrlProp1356.xml"/><Relationship Id="rId759" Type="http://schemas.openxmlformats.org/officeDocument/2006/relationships/ctrlProp" Target="../ctrlProps/ctrlProp1454.xml"/><Relationship Id="rId11" Type="http://schemas.openxmlformats.org/officeDocument/2006/relationships/ctrlProp" Target="../ctrlProps/ctrlProp706.xml"/><Relationship Id="rId314" Type="http://schemas.openxmlformats.org/officeDocument/2006/relationships/ctrlProp" Target="../ctrlProps/ctrlProp1009.xml"/><Relationship Id="rId398" Type="http://schemas.openxmlformats.org/officeDocument/2006/relationships/ctrlProp" Target="../ctrlProps/ctrlProp1093.xml"/><Relationship Id="rId521" Type="http://schemas.openxmlformats.org/officeDocument/2006/relationships/ctrlProp" Target="../ctrlProps/ctrlProp1216.xml"/><Relationship Id="rId619" Type="http://schemas.openxmlformats.org/officeDocument/2006/relationships/ctrlProp" Target="../ctrlProps/ctrlProp1314.xml"/><Relationship Id="rId95" Type="http://schemas.openxmlformats.org/officeDocument/2006/relationships/ctrlProp" Target="../ctrlProps/ctrlProp790.xml"/><Relationship Id="rId160" Type="http://schemas.openxmlformats.org/officeDocument/2006/relationships/ctrlProp" Target="../ctrlProps/ctrlProp855.xml"/><Relationship Id="rId826" Type="http://schemas.openxmlformats.org/officeDocument/2006/relationships/ctrlProp" Target="../ctrlProps/ctrlProp1521.xml"/><Relationship Id="rId258" Type="http://schemas.openxmlformats.org/officeDocument/2006/relationships/ctrlProp" Target="../ctrlProps/ctrlProp953.xml"/><Relationship Id="rId465" Type="http://schemas.openxmlformats.org/officeDocument/2006/relationships/ctrlProp" Target="../ctrlProps/ctrlProp1160.xml"/><Relationship Id="rId672" Type="http://schemas.openxmlformats.org/officeDocument/2006/relationships/ctrlProp" Target="../ctrlProps/ctrlProp1367.xml"/><Relationship Id="rId22" Type="http://schemas.openxmlformats.org/officeDocument/2006/relationships/ctrlProp" Target="../ctrlProps/ctrlProp717.xml"/><Relationship Id="rId118" Type="http://schemas.openxmlformats.org/officeDocument/2006/relationships/ctrlProp" Target="../ctrlProps/ctrlProp813.xml"/><Relationship Id="rId325" Type="http://schemas.openxmlformats.org/officeDocument/2006/relationships/ctrlProp" Target="../ctrlProps/ctrlProp1020.xml"/><Relationship Id="rId532" Type="http://schemas.openxmlformats.org/officeDocument/2006/relationships/ctrlProp" Target="../ctrlProps/ctrlProp1227.xml"/><Relationship Id="rId171" Type="http://schemas.openxmlformats.org/officeDocument/2006/relationships/ctrlProp" Target="../ctrlProps/ctrlProp866.xml"/><Relationship Id="rId837" Type="http://schemas.openxmlformats.org/officeDocument/2006/relationships/ctrlProp" Target="../ctrlProps/ctrlProp1532.xml"/><Relationship Id="rId269" Type="http://schemas.openxmlformats.org/officeDocument/2006/relationships/ctrlProp" Target="../ctrlProps/ctrlProp964.xml"/><Relationship Id="rId476" Type="http://schemas.openxmlformats.org/officeDocument/2006/relationships/ctrlProp" Target="../ctrlProps/ctrlProp1171.xml"/><Relationship Id="rId683" Type="http://schemas.openxmlformats.org/officeDocument/2006/relationships/ctrlProp" Target="../ctrlProps/ctrlProp1378.xml"/><Relationship Id="rId890" Type="http://schemas.openxmlformats.org/officeDocument/2006/relationships/ctrlProp" Target="../ctrlProps/ctrlProp1585.xml"/><Relationship Id="rId904" Type="http://schemas.openxmlformats.org/officeDocument/2006/relationships/ctrlProp" Target="../ctrlProps/ctrlProp1599.xml"/><Relationship Id="rId33" Type="http://schemas.openxmlformats.org/officeDocument/2006/relationships/ctrlProp" Target="../ctrlProps/ctrlProp728.xml"/><Relationship Id="rId129" Type="http://schemas.openxmlformats.org/officeDocument/2006/relationships/ctrlProp" Target="../ctrlProps/ctrlProp824.xml"/><Relationship Id="rId336" Type="http://schemas.openxmlformats.org/officeDocument/2006/relationships/ctrlProp" Target="../ctrlProps/ctrlProp1031.xml"/><Relationship Id="rId543" Type="http://schemas.openxmlformats.org/officeDocument/2006/relationships/ctrlProp" Target="../ctrlProps/ctrlProp1238.xml"/><Relationship Id="rId182" Type="http://schemas.openxmlformats.org/officeDocument/2006/relationships/ctrlProp" Target="../ctrlProps/ctrlProp877.xml"/><Relationship Id="rId403" Type="http://schemas.openxmlformats.org/officeDocument/2006/relationships/ctrlProp" Target="../ctrlProps/ctrlProp1098.xml"/><Relationship Id="rId750" Type="http://schemas.openxmlformats.org/officeDocument/2006/relationships/ctrlProp" Target="../ctrlProps/ctrlProp1445.xml"/><Relationship Id="rId848" Type="http://schemas.openxmlformats.org/officeDocument/2006/relationships/ctrlProp" Target="../ctrlProps/ctrlProp1543.xml"/><Relationship Id="rId487" Type="http://schemas.openxmlformats.org/officeDocument/2006/relationships/ctrlProp" Target="../ctrlProps/ctrlProp1182.xml"/><Relationship Id="rId610" Type="http://schemas.openxmlformats.org/officeDocument/2006/relationships/ctrlProp" Target="../ctrlProps/ctrlProp1305.xml"/><Relationship Id="rId694" Type="http://schemas.openxmlformats.org/officeDocument/2006/relationships/ctrlProp" Target="../ctrlProps/ctrlProp1389.xml"/><Relationship Id="rId708" Type="http://schemas.openxmlformats.org/officeDocument/2006/relationships/ctrlProp" Target="../ctrlProps/ctrlProp1403.xml"/><Relationship Id="rId347" Type="http://schemas.openxmlformats.org/officeDocument/2006/relationships/ctrlProp" Target="../ctrlProps/ctrlProp1042.xml"/><Relationship Id="rId44" Type="http://schemas.openxmlformats.org/officeDocument/2006/relationships/ctrlProp" Target="../ctrlProps/ctrlProp739.xml"/><Relationship Id="rId554" Type="http://schemas.openxmlformats.org/officeDocument/2006/relationships/ctrlProp" Target="../ctrlProps/ctrlProp1249.xml"/><Relationship Id="rId761" Type="http://schemas.openxmlformats.org/officeDocument/2006/relationships/ctrlProp" Target="../ctrlProps/ctrlProp1456.xml"/><Relationship Id="rId859" Type="http://schemas.openxmlformats.org/officeDocument/2006/relationships/ctrlProp" Target="../ctrlProps/ctrlProp1554.xml"/><Relationship Id="rId193" Type="http://schemas.openxmlformats.org/officeDocument/2006/relationships/ctrlProp" Target="../ctrlProps/ctrlProp888.xml"/><Relationship Id="rId207" Type="http://schemas.openxmlformats.org/officeDocument/2006/relationships/ctrlProp" Target="../ctrlProps/ctrlProp902.xml"/><Relationship Id="rId414" Type="http://schemas.openxmlformats.org/officeDocument/2006/relationships/ctrlProp" Target="../ctrlProps/ctrlProp1109.xml"/><Relationship Id="rId498" Type="http://schemas.openxmlformats.org/officeDocument/2006/relationships/ctrlProp" Target="../ctrlProps/ctrlProp1193.xml"/><Relationship Id="rId621" Type="http://schemas.openxmlformats.org/officeDocument/2006/relationships/ctrlProp" Target="../ctrlProps/ctrlProp1316.xml"/><Relationship Id="rId260" Type="http://schemas.openxmlformats.org/officeDocument/2006/relationships/ctrlProp" Target="../ctrlProps/ctrlProp955.xml"/><Relationship Id="rId719" Type="http://schemas.openxmlformats.org/officeDocument/2006/relationships/ctrlProp" Target="../ctrlProps/ctrlProp1414.xml"/><Relationship Id="rId55" Type="http://schemas.openxmlformats.org/officeDocument/2006/relationships/ctrlProp" Target="../ctrlProps/ctrlProp750.xml"/><Relationship Id="rId120" Type="http://schemas.openxmlformats.org/officeDocument/2006/relationships/ctrlProp" Target="../ctrlProps/ctrlProp815.xml"/><Relationship Id="rId358" Type="http://schemas.openxmlformats.org/officeDocument/2006/relationships/ctrlProp" Target="../ctrlProps/ctrlProp1053.xml"/><Relationship Id="rId565" Type="http://schemas.openxmlformats.org/officeDocument/2006/relationships/ctrlProp" Target="../ctrlProps/ctrlProp1260.xml"/><Relationship Id="rId772" Type="http://schemas.openxmlformats.org/officeDocument/2006/relationships/ctrlProp" Target="../ctrlProps/ctrlProp1467.xml"/><Relationship Id="rId218" Type="http://schemas.openxmlformats.org/officeDocument/2006/relationships/ctrlProp" Target="../ctrlProps/ctrlProp913.xml"/><Relationship Id="rId425" Type="http://schemas.openxmlformats.org/officeDocument/2006/relationships/ctrlProp" Target="../ctrlProps/ctrlProp1120.xml"/><Relationship Id="rId632" Type="http://schemas.openxmlformats.org/officeDocument/2006/relationships/ctrlProp" Target="../ctrlProps/ctrlProp1327.xml"/><Relationship Id="rId271" Type="http://schemas.openxmlformats.org/officeDocument/2006/relationships/ctrlProp" Target="../ctrlProps/ctrlProp966.xml"/><Relationship Id="rId66" Type="http://schemas.openxmlformats.org/officeDocument/2006/relationships/ctrlProp" Target="../ctrlProps/ctrlProp761.xml"/><Relationship Id="rId131" Type="http://schemas.openxmlformats.org/officeDocument/2006/relationships/ctrlProp" Target="../ctrlProps/ctrlProp826.xml"/><Relationship Id="rId369" Type="http://schemas.openxmlformats.org/officeDocument/2006/relationships/ctrlProp" Target="../ctrlProps/ctrlProp1064.xml"/><Relationship Id="rId576" Type="http://schemas.openxmlformats.org/officeDocument/2006/relationships/ctrlProp" Target="../ctrlProps/ctrlProp1271.xml"/><Relationship Id="rId783" Type="http://schemas.openxmlformats.org/officeDocument/2006/relationships/ctrlProp" Target="../ctrlProps/ctrlProp1478.xml"/><Relationship Id="rId229" Type="http://schemas.openxmlformats.org/officeDocument/2006/relationships/ctrlProp" Target="../ctrlProps/ctrlProp924.xml"/><Relationship Id="rId436" Type="http://schemas.openxmlformats.org/officeDocument/2006/relationships/ctrlProp" Target="../ctrlProps/ctrlProp1131.xml"/><Relationship Id="rId643" Type="http://schemas.openxmlformats.org/officeDocument/2006/relationships/ctrlProp" Target="../ctrlProps/ctrlProp1338.xml"/><Relationship Id="rId850" Type="http://schemas.openxmlformats.org/officeDocument/2006/relationships/ctrlProp" Target="../ctrlProps/ctrlProp1545.xml"/><Relationship Id="rId77" Type="http://schemas.openxmlformats.org/officeDocument/2006/relationships/ctrlProp" Target="../ctrlProps/ctrlProp772.xml"/><Relationship Id="rId282" Type="http://schemas.openxmlformats.org/officeDocument/2006/relationships/ctrlProp" Target="../ctrlProps/ctrlProp977.xml"/><Relationship Id="rId503" Type="http://schemas.openxmlformats.org/officeDocument/2006/relationships/ctrlProp" Target="../ctrlProps/ctrlProp1198.xml"/><Relationship Id="rId587" Type="http://schemas.openxmlformats.org/officeDocument/2006/relationships/ctrlProp" Target="../ctrlProps/ctrlProp1282.xml"/><Relationship Id="rId710" Type="http://schemas.openxmlformats.org/officeDocument/2006/relationships/ctrlProp" Target="../ctrlProps/ctrlProp1405.xml"/><Relationship Id="rId808" Type="http://schemas.openxmlformats.org/officeDocument/2006/relationships/ctrlProp" Target="../ctrlProps/ctrlProp1503.xml"/><Relationship Id="rId8" Type="http://schemas.openxmlformats.org/officeDocument/2006/relationships/ctrlProp" Target="../ctrlProps/ctrlProp703.xml"/><Relationship Id="rId142" Type="http://schemas.openxmlformats.org/officeDocument/2006/relationships/ctrlProp" Target="../ctrlProps/ctrlProp837.xml"/><Relationship Id="rId447" Type="http://schemas.openxmlformats.org/officeDocument/2006/relationships/ctrlProp" Target="../ctrlProps/ctrlProp1142.xml"/><Relationship Id="rId794" Type="http://schemas.openxmlformats.org/officeDocument/2006/relationships/ctrlProp" Target="../ctrlProps/ctrlProp1489.xml"/><Relationship Id="rId654" Type="http://schemas.openxmlformats.org/officeDocument/2006/relationships/ctrlProp" Target="../ctrlProps/ctrlProp1349.xml"/><Relationship Id="rId861" Type="http://schemas.openxmlformats.org/officeDocument/2006/relationships/ctrlProp" Target="../ctrlProps/ctrlProp1556.xml"/><Relationship Id="rId293" Type="http://schemas.openxmlformats.org/officeDocument/2006/relationships/ctrlProp" Target="../ctrlProps/ctrlProp988.xml"/><Relationship Id="rId307" Type="http://schemas.openxmlformats.org/officeDocument/2006/relationships/ctrlProp" Target="../ctrlProps/ctrlProp1002.xml"/><Relationship Id="rId514" Type="http://schemas.openxmlformats.org/officeDocument/2006/relationships/ctrlProp" Target="../ctrlProps/ctrlProp1209.xml"/><Relationship Id="rId721" Type="http://schemas.openxmlformats.org/officeDocument/2006/relationships/ctrlProp" Target="../ctrlProps/ctrlProp1416.xml"/><Relationship Id="rId88" Type="http://schemas.openxmlformats.org/officeDocument/2006/relationships/ctrlProp" Target="../ctrlProps/ctrlProp783.xml"/><Relationship Id="rId153" Type="http://schemas.openxmlformats.org/officeDocument/2006/relationships/ctrlProp" Target="../ctrlProps/ctrlProp848.xml"/><Relationship Id="rId360" Type="http://schemas.openxmlformats.org/officeDocument/2006/relationships/ctrlProp" Target="../ctrlProps/ctrlProp1055.xml"/><Relationship Id="rId598" Type="http://schemas.openxmlformats.org/officeDocument/2006/relationships/ctrlProp" Target="../ctrlProps/ctrlProp1293.xml"/><Relationship Id="rId819" Type="http://schemas.openxmlformats.org/officeDocument/2006/relationships/ctrlProp" Target="../ctrlProps/ctrlProp1514.xml"/><Relationship Id="rId220" Type="http://schemas.openxmlformats.org/officeDocument/2006/relationships/ctrlProp" Target="../ctrlProps/ctrlProp915.xml"/><Relationship Id="rId458" Type="http://schemas.openxmlformats.org/officeDocument/2006/relationships/ctrlProp" Target="../ctrlProps/ctrlProp1153.xml"/><Relationship Id="rId665" Type="http://schemas.openxmlformats.org/officeDocument/2006/relationships/ctrlProp" Target="../ctrlProps/ctrlProp1360.xml"/><Relationship Id="rId872" Type="http://schemas.openxmlformats.org/officeDocument/2006/relationships/ctrlProp" Target="../ctrlProps/ctrlProp1567.xml"/><Relationship Id="rId15" Type="http://schemas.openxmlformats.org/officeDocument/2006/relationships/ctrlProp" Target="../ctrlProps/ctrlProp710.xml"/><Relationship Id="rId318" Type="http://schemas.openxmlformats.org/officeDocument/2006/relationships/ctrlProp" Target="../ctrlProps/ctrlProp1013.xml"/><Relationship Id="rId525" Type="http://schemas.openxmlformats.org/officeDocument/2006/relationships/ctrlProp" Target="../ctrlProps/ctrlProp1220.xml"/><Relationship Id="rId732" Type="http://schemas.openxmlformats.org/officeDocument/2006/relationships/ctrlProp" Target="../ctrlProps/ctrlProp1427.xml"/><Relationship Id="rId99" Type="http://schemas.openxmlformats.org/officeDocument/2006/relationships/ctrlProp" Target="../ctrlProps/ctrlProp794.xml"/><Relationship Id="rId164" Type="http://schemas.openxmlformats.org/officeDocument/2006/relationships/ctrlProp" Target="../ctrlProps/ctrlProp859.xml"/><Relationship Id="rId371" Type="http://schemas.openxmlformats.org/officeDocument/2006/relationships/ctrlProp" Target="../ctrlProps/ctrlProp1066.xml"/><Relationship Id="rId469" Type="http://schemas.openxmlformats.org/officeDocument/2006/relationships/ctrlProp" Target="../ctrlProps/ctrlProp1164.xml"/><Relationship Id="rId676" Type="http://schemas.openxmlformats.org/officeDocument/2006/relationships/ctrlProp" Target="../ctrlProps/ctrlProp1371.xml"/><Relationship Id="rId883" Type="http://schemas.openxmlformats.org/officeDocument/2006/relationships/ctrlProp" Target="../ctrlProps/ctrlProp1578.xml"/><Relationship Id="rId26" Type="http://schemas.openxmlformats.org/officeDocument/2006/relationships/ctrlProp" Target="../ctrlProps/ctrlProp721.xml"/><Relationship Id="rId231" Type="http://schemas.openxmlformats.org/officeDocument/2006/relationships/ctrlProp" Target="../ctrlProps/ctrlProp926.xml"/><Relationship Id="rId329" Type="http://schemas.openxmlformats.org/officeDocument/2006/relationships/ctrlProp" Target="../ctrlProps/ctrlProp1024.xml"/><Relationship Id="rId536" Type="http://schemas.openxmlformats.org/officeDocument/2006/relationships/ctrlProp" Target="../ctrlProps/ctrlProp1231.xml"/><Relationship Id="rId175" Type="http://schemas.openxmlformats.org/officeDocument/2006/relationships/ctrlProp" Target="../ctrlProps/ctrlProp870.xml"/><Relationship Id="rId743" Type="http://schemas.openxmlformats.org/officeDocument/2006/relationships/ctrlProp" Target="../ctrlProps/ctrlProp143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605.xml"/><Relationship Id="rId13" Type="http://schemas.openxmlformats.org/officeDocument/2006/relationships/ctrlProp" Target="../ctrlProps/ctrlProp1610.xml"/><Relationship Id="rId18" Type="http://schemas.openxmlformats.org/officeDocument/2006/relationships/ctrlProp" Target="../ctrlProps/ctrlProp1615.xml"/><Relationship Id="rId3" Type="http://schemas.openxmlformats.org/officeDocument/2006/relationships/ctrlProp" Target="../ctrlProps/ctrlProp1600.xml"/><Relationship Id="rId21" Type="http://schemas.openxmlformats.org/officeDocument/2006/relationships/ctrlProp" Target="../ctrlProps/ctrlProp1618.xml"/><Relationship Id="rId7" Type="http://schemas.openxmlformats.org/officeDocument/2006/relationships/ctrlProp" Target="../ctrlProps/ctrlProp1604.xml"/><Relationship Id="rId12" Type="http://schemas.openxmlformats.org/officeDocument/2006/relationships/ctrlProp" Target="../ctrlProps/ctrlProp1609.xml"/><Relationship Id="rId17" Type="http://schemas.openxmlformats.org/officeDocument/2006/relationships/ctrlProp" Target="../ctrlProps/ctrlProp1614.xml"/><Relationship Id="rId25" Type="http://schemas.openxmlformats.org/officeDocument/2006/relationships/ctrlProp" Target="../ctrlProps/ctrlProp1622.xml"/><Relationship Id="rId2" Type="http://schemas.openxmlformats.org/officeDocument/2006/relationships/vmlDrawing" Target="../drawings/vmlDrawing5.vml"/><Relationship Id="rId16" Type="http://schemas.openxmlformats.org/officeDocument/2006/relationships/ctrlProp" Target="../ctrlProps/ctrlProp1613.xml"/><Relationship Id="rId20" Type="http://schemas.openxmlformats.org/officeDocument/2006/relationships/ctrlProp" Target="../ctrlProps/ctrlProp1617.xml"/><Relationship Id="rId1" Type="http://schemas.openxmlformats.org/officeDocument/2006/relationships/drawing" Target="../drawings/drawing8.xml"/><Relationship Id="rId6" Type="http://schemas.openxmlformats.org/officeDocument/2006/relationships/ctrlProp" Target="../ctrlProps/ctrlProp1603.xml"/><Relationship Id="rId11" Type="http://schemas.openxmlformats.org/officeDocument/2006/relationships/ctrlProp" Target="../ctrlProps/ctrlProp1608.xml"/><Relationship Id="rId24" Type="http://schemas.openxmlformats.org/officeDocument/2006/relationships/ctrlProp" Target="../ctrlProps/ctrlProp1621.xml"/><Relationship Id="rId5" Type="http://schemas.openxmlformats.org/officeDocument/2006/relationships/ctrlProp" Target="../ctrlProps/ctrlProp1602.xml"/><Relationship Id="rId15" Type="http://schemas.openxmlformats.org/officeDocument/2006/relationships/ctrlProp" Target="../ctrlProps/ctrlProp1612.xml"/><Relationship Id="rId23" Type="http://schemas.openxmlformats.org/officeDocument/2006/relationships/ctrlProp" Target="../ctrlProps/ctrlProp1620.xml"/><Relationship Id="rId10" Type="http://schemas.openxmlformats.org/officeDocument/2006/relationships/ctrlProp" Target="../ctrlProps/ctrlProp1607.xml"/><Relationship Id="rId19" Type="http://schemas.openxmlformats.org/officeDocument/2006/relationships/ctrlProp" Target="../ctrlProps/ctrlProp1616.xml"/><Relationship Id="rId4" Type="http://schemas.openxmlformats.org/officeDocument/2006/relationships/ctrlProp" Target="../ctrlProps/ctrlProp1601.xml"/><Relationship Id="rId9" Type="http://schemas.openxmlformats.org/officeDocument/2006/relationships/ctrlProp" Target="../ctrlProps/ctrlProp1606.xml"/><Relationship Id="rId14" Type="http://schemas.openxmlformats.org/officeDocument/2006/relationships/ctrlProp" Target="../ctrlProps/ctrlProp1611.xml"/><Relationship Id="rId22" Type="http://schemas.openxmlformats.org/officeDocument/2006/relationships/ctrlProp" Target="../ctrlProps/ctrlProp1619.x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drawing" Target="../drawings/drawing9.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1632.xml"/><Relationship Id="rId18" Type="http://schemas.openxmlformats.org/officeDocument/2006/relationships/ctrlProp" Target="../ctrlProps/ctrlProp1637.xml"/><Relationship Id="rId26" Type="http://schemas.openxmlformats.org/officeDocument/2006/relationships/ctrlProp" Target="../ctrlProps/ctrlProp1645.xml"/><Relationship Id="rId3" Type="http://schemas.openxmlformats.org/officeDocument/2006/relationships/vmlDrawing" Target="../drawings/vmlDrawing7.vml"/><Relationship Id="rId21" Type="http://schemas.openxmlformats.org/officeDocument/2006/relationships/ctrlProp" Target="../ctrlProps/ctrlProp1640.xml"/><Relationship Id="rId7" Type="http://schemas.openxmlformats.org/officeDocument/2006/relationships/ctrlProp" Target="../ctrlProps/ctrlProp1626.xml"/><Relationship Id="rId12" Type="http://schemas.openxmlformats.org/officeDocument/2006/relationships/ctrlProp" Target="../ctrlProps/ctrlProp1631.xml"/><Relationship Id="rId17" Type="http://schemas.openxmlformats.org/officeDocument/2006/relationships/ctrlProp" Target="../ctrlProps/ctrlProp1636.xml"/><Relationship Id="rId25" Type="http://schemas.openxmlformats.org/officeDocument/2006/relationships/ctrlProp" Target="../ctrlProps/ctrlProp1644.xml"/><Relationship Id="rId33" Type="http://schemas.openxmlformats.org/officeDocument/2006/relationships/ctrlProp" Target="../ctrlProps/ctrlProp1652.xml"/><Relationship Id="rId2" Type="http://schemas.openxmlformats.org/officeDocument/2006/relationships/drawing" Target="../drawings/drawing10.xml"/><Relationship Id="rId16" Type="http://schemas.openxmlformats.org/officeDocument/2006/relationships/ctrlProp" Target="../ctrlProps/ctrlProp1635.xml"/><Relationship Id="rId20" Type="http://schemas.openxmlformats.org/officeDocument/2006/relationships/ctrlProp" Target="../ctrlProps/ctrlProp1639.xml"/><Relationship Id="rId29" Type="http://schemas.openxmlformats.org/officeDocument/2006/relationships/ctrlProp" Target="../ctrlProps/ctrlProp1648.xml"/><Relationship Id="rId1" Type="http://schemas.openxmlformats.org/officeDocument/2006/relationships/printerSettings" Target="../printerSettings/printerSettings2.bin"/><Relationship Id="rId6" Type="http://schemas.openxmlformats.org/officeDocument/2006/relationships/ctrlProp" Target="../ctrlProps/ctrlProp1625.xml"/><Relationship Id="rId11" Type="http://schemas.openxmlformats.org/officeDocument/2006/relationships/ctrlProp" Target="../ctrlProps/ctrlProp1630.xml"/><Relationship Id="rId24" Type="http://schemas.openxmlformats.org/officeDocument/2006/relationships/ctrlProp" Target="../ctrlProps/ctrlProp1643.xml"/><Relationship Id="rId32" Type="http://schemas.openxmlformats.org/officeDocument/2006/relationships/ctrlProp" Target="../ctrlProps/ctrlProp1651.xml"/><Relationship Id="rId5" Type="http://schemas.openxmlformats.org/officeDocument/2006/relationships/ctrlProp" Target="../ctrlProps/ctrlProp1624.xml"/><Relationship Id="rId15" Type="http://schemas.openxmlformats.org/officeDocument/2006/relationships/ctrlProp" Target="../ctrlProps/ctrlProp1634.xml"/><Relationship Id="rId23" Type="http://schemas.openxmlformats.org/officeDocument/2006/relationships/ctrlProp" Target="../ctrlProps/ctrlProp1642.xml"/><Relationship Id="rId28" Type="http://schemas.openxmlformats.org/officeDocument/2006/relationships/ctrlProp" Target="../ctrlProps/ctrlProp1647.xml"/><Relationship Id="rId10" Type="http://schemas.openxmlformats.org/officeDocument/2006/relationships/ctrlProp" Target="../ctrlProps/ctrlProp1629.xml"/><Relationship Id="rId19" Type="http://schemas.openxmlformats.org/officeDocument/2006/relationships/ctrlProp" Target="../ctrlProps/ctrlProp1638.xml"/><Relationship Id="rId31" Type="http://schemas.openxmlformats.org/officeDocument/2006/relationships/ctrlProp" Target="../ctrlProps/ctrlProp1650.xml"/><Relationship Id="rId4" Type="http://schemas.openxmlformats.org/officeDocument/2006/relationships/ctrlProp" Target="../ctrlProps/ctrlProp1623.xml"/><Relationship Id="rId9" Type="http://schemas.openxmlformats.org/officeDocument/2006/relationships/ctrlProp" Target="../ctrlProps/ctrlProp1628.xml"/><Relationship Id="rId14" Type="http://schemas.openxmlformats.org/officeDocument/2006/relationships/ctrlProp" Target="../ctrlProps/ctrlProp1633.xml"/><Relationship Id="rId22" Type="http://schemas.openxmlformats.org/officeDocument/2006/relationships/ctrlProp" Target="../ctrlProps/ctrlProp1641.xml"/><Relationship Id="rId27" Type="http://schemas.openxmlformats.org/officeDocument/2006/relationships/ctrlProp" Target="../ctrlProps/ctrlProp1646.xml"/><Relationship Id="rId30" Type="http://schemas.openxmlformats.org/officeDocument/2006/relationships/ctrlProp" Target="../ctrlProps/ctrlProp1649.xml"/><Relationship Id="rId8" Type="http://schemas.openxmlformats.org/officeDocument/2006/relationships/ctrlProp" Target="../ctrlProps/ctrlProp16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8.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9.vml"/></Relationships>
</file>

<file path=xl/worksheets/_rels/sheet39.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5.xml"/><Relationship Id="rId1" Type="http://schemas.openxmlformats.org/officeDocument/2006/relationships/vmlDrawing" Target="../drawings/vmlDrawing10.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1.v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9616C-A078-46FF-A8E6-8959DE1A4683}">
  <sheetPr codeName="Sheet1">
    <tabColor rgb="FFFFC000"/>
    <pageSetUpPr fitToPage="1"/>
  </sheetPr>
  <dimension ref="A1:AN206"/>
  <sheetViews>
    <sheetView topLeftCell="A40" zoomScaleNormal="100" workbookViewId="0">
      <selection activeCell="C61" sqref="C61"/>
    </sheetView>
  </sheetViews>
  <sheetFormatPr defaultRowHeight="12.6" customHeight="1" x14ac:dyDescent="0.25"/>
  <cols>
    <col min="1" max="1" width="2.42578125" customWidth="1"/>
    <col min="2" max="2" width="34.5703125" customWidth="1"/>
    <col min="3" max="3" width="44.5703125" customWidth="1"/>
    <col min="4" max="4" width="15.5703125" customWidth="1"/>
    <col min="5" max="6" width="1.42578125" customWidth="1"/>
    <col min="7" max="7" width="14.42578125" customWidth="1"/>
    <col min="8" max="9" width="1.42578125" customWidth="1"/>
    <col min="10" max="10" width="16" customWidth="1"/>
    <col min="11" max="12" width="1.42578125" customWidth="1"/>
    <col min="13" max="13" width="12.5703125" customWidth="1"/>
    <col min="14" max="15" width="1.42578125" customWidth="1"/>
    <col min="16" max="16" width="13.42578125" customWidth="1"/>
    <col min="17" max="18" width="1.42578125" customWidth="1"/>
    <col min="19" max="19" width="12.5703125" customWidth="1"/>
    <col min="20" max="21" width="1.42578125" customWidth="1"/>
    <col min="22" max="22" width="12.42578125" customWidth="1"/>
    <col min="23" max="24" width="1.42578125" customWidth="1"/>
    <col min="25" max="25" width="12.42578125" customWidth="1"/>
    <col min="26" max="27" width="1.42578125" customWidth="1"/>
    <col min="28" max="28" width="12.42578125" customWidth="1"/>
    <col min="29" max="30" width="1.42578125" customWidth="1"/>
    <col min="31" max="31" width="12.42578125" customWidth="1"/>
  </cols>
  <sheetData>
    <row r="1" spans="1:31" ht="18" x14ac:dyDescent="0.25">
      <c r="B1" s="1" t="s">
        <v>1238</v>
      </c>
      <c r="C1" s="2"/>
      <c r="D1" s="2"/>
      <c r="E1" s="2"/>
      <c r="F1" s="2"/>
      <c r="G1" s="2"/>
      <c r="H1" s="2"/>
      <c r="I1" s="2"/>
      <c r="M1" s="2354" t="s">
        <v>2554</v>
      </c>
      <c r="N1" s="1825"/>
      <c r="O1" s="1825"/>
      <c r="P1" s="1825"/>
      <c r="Q1" s="1825"/>
      <c r="R1" s="1825"/>
      <c r="S1" s="1825"/>
      <c r="T1" s="1825"/>
    </row>
    <row r="2" spans="1:31" ht="18" x14ac:dyDescent="0.25">
      <c r="A2" s="1"/>
      <c r="B2" s="1" t="s">
        <v>0</v>
      </c>
      <c r="C2" s="2"/>
      <c r="E2" s="2"/>
      <c r="F2" s="2"/>
      <c r="G2" s="2"/>
      <c r="H2" s="2"/>
      <c r="I2" s="2"/>
      <c r="M2" s="1100" t="s">
        <v>3640</v>
      </c>
      <c r="S2" s="1104">
        <v>45107</v>
      </c>
    </row>
    <row r="3" spans="1:31" ht="15" x14ac:dyDescent="0.25">
      <c r="C3" s="2"/>
      <c r="D3" s="2"/>
      <c r="E3" s="2"/>
      <c r="F3" s="2"/>
      <c r="G3" s="2"/>
      <c r="H3" s="2"/>
      <c r="I3" s="2"/>
    </row>
    <row r="4" spans="1:31" ht="19.5" customHeight="1" x14ac:dyDescent="0.25">
      <c r="B4" s="256" t="s">
        <v>2544</v>
      </c>
      <c r="C4" s="2443" t="s">
        <v>3643</v>
      </c>
      <c r="M4" s="4" t="s">
        <v>2539</v>
      </c>
      <c r="N4" s="1825"/>
      <c r="O4" s="1825"/>
      <c r="P4" s="1825"/>
      <c r="Q4" s="1825"/>
      <c r="R4" s="1825"/>
      <c r="S4" s="1825"/>
      <c r="T4" s="1825"/>
    </row>
    <row r="5" spans="1:31" ht="19.350000000000001" customHeight="1" x14ac:dyDescent="0.25">
      <c r="B5" s="256" t="s">
        <v>1875</v>
      </c>
      <c r="C5" s="2442">
        <v>21334</v>
      </c>
      <c r="M5" s="4" t="s">
        <v>2</v>
      </c>
      <c r="N5" s="1825"/>
      <c r="O5" s="1825"/>
      <c r="P5" s="1825"/>
      <c r="Q5" s="1825"/>
      <c r="R5" s="1825"/>
      <c r="S5" s="1825"/>
      <c r="T5" s="1825"/>
    </row>
    <row r="6" spans="1:31" ht="20.100000000000001" customHeight="1" x14ac:dyDescent="0.25">
      <c r="B6" s="256" t="s">
        <v>1876</v>
      </c>
      <c r="C6" s="2440">
        <v>80089926</v>
      </c>
      <c r="M6" s="4" t="s">
        <v>3</v>
      </c>
      <c r="N6" s="1825"/>
      <c r="O6" s="1825"/>
      <c r="P6" s="1825"/>
      <c r="Q6" s="1825"/>
      <c r="R6" s="1825"/>
      <c r="S6" s="1825"/>
      <c r="T6" s="1825"/>
    </row>
    <row r="7" spans="1:31" ht="15.75" x14ac:dyDescent="0.25">
      <c r="B7" s="256" t="s">
        <v>1877</v>
      </c>
      <c r="C7" s="2441" t="s">
        <v>3644</v>
      </c>
      <c r="M7" s="4" t="s">
        <v>4</v>
      </c>
      <c r="N7" s="1825"/>
      <c r="O7" s="1825"/>
      <c r="P7" s="1825"/>
      <c r="Q7" s="1825"/>
      <c r="R7" s="1825"/>
      <c r="S7" s="1825"/>
      <c r="T7" s="1825"/>
    </row>
    <row r="8" spans="1:31" ht="19.5" customHeight="1" x14ac:dyDescent="0.25">
      <c r="B8" s="256" t="s">
        <v>1878</v>
      </c>
      <c r="C8" s="2440" t="s">
        <v>3645</v>
      </c>
      <c r="M8" s="4" t="s">
        <v>5</v>
      </c>
      <c r="N8" s="1825"/>
      <c r="O8" s="1825"/>
      <c r="P8" s="1825"/>
      <c r="Q8" s="1825"/>
      <c r="R8" s="1825"/>
      <c r="S8" s="1825"/>
      <c r="T8" s="1825"/>
    </row>
    <row r="9" spans="1:31" ht="15.75" x14ac:dyDescent="0.25">
      <c r="B9" s="256" t="s">
        <v>1500</v>
      </c>
      <c r="C9" s="2311">
        <v>44896</v>
      </c>
      <c r="D9" s="1857" t="s">
        <v>2540</v>
      </c>
      <c r="E9" s="1857"/>
      <c r="F9" s="1857"/>
      <c r="M9" s="4"/>
      <c r="N9" s="1825"/>
      <c r="O9" s="1825"/>
      <c r="P9" s="1825"/>
      <c r="Q9" s="1825"/>
      <c r="R9" s="1825"/>
      <c r="S9" s="1825"/>
      <c r="T9" s="1825"/>
    </row>
    <row r="10" spans="1:31" ht="15.75" x14ac:dyDescent="0.25">
      <c r="B10" s="256" t="s">
        <v>2574</v>
      </c>
      <c r="C10" s="2311">
        <v>47110</v>
      </c>
      <c r="D10" s="1857" t="s">
        <v>2540</v>
      </c>
      <c r="E10" s="1857"/>
      <c r="F10" s="1857"/>
      <c r="M10" s="2775"/>
    </row>
    <row r="11" spans="1:31" ht="15.75" x14ac:dyDescent="0.25">
      <c r="B11" s="256" t="s">
        <v>1879</v>
      </c>
      <c r="C11" s="2311">
        <v>45268</v>
      </c>
      <c r="D11" s="1857" t="s">
        <v>2540</v>
      </c>
    </row>
    <row r="12" spans="1:31" ht="15.75" x14ac:dyDescent="0.25">
      <c r="B12" s="256" t="s">
        <v>2542</v>
      </c>
      <c r="C12" s="2421" t="s">
        <v>2555</v>
      </c>
    </row>
    <row r="13" spans="1:31" ht="15.75" x14ac:dyDescent="0.25">
      <c r="B13" s="256" t="s">
        <v>2543</v>
      </c>
      <c r="C13" s="2421" t="s">
        <v>3646</v>
      </c>
    </row>
    <row r="14" spans="1:31" ht="15" x14ac:dyDescent="0.25">
      <c r="B14" s="30"/>
      <c r="D14" s="30"/>
      <c r="E14" s="30"/>
      <c r="F14" s="30"/>
      <c r="G14" s="1777" t="s">
        <v>6</v>
      </c>
      <c r="H14" s="1777"/>
      <c r="I14" s="1777"/>
      <c r="J14" s="1777" t="s">
        <v>7</v>
      </c>
      <c r="K14" s="1777"/>
      <c r="L14" s="1777"/>
      <c r="M14" s="30"/>
      <c r="N14" s="30"/>
      <c r="O14" s="30"/>
      <c r="P14" s="30"/>
      <c r="Q14" s="30"/>
      <c r="R14" s="30"/>
      <c r="S14" s="30"/>
      <c r="T14" s="30"/>
      <c r="U14" s="30"/>
      <c r="V14" s="30"/>
      <c r="W14" s="30"/>
      <c r="X14" s="30"/>
      <c r="Y14" s="30"/>
      <c r="Z14" s="30"/>
      <c r="AA14" s="30"/>
      <c r="AB14" s="30"/>
      <c r="AC14" s="30"/>
      <c r="AD14" s="30"/>
      <c r="AE14" s="30"/>
    </row>
    <row r="15" spans="1:31" ht="15.75" x14ac:dyDescent="0.25">
      <c r="B15" s="6" t="str">
        <f>"Estimate Type: "&amp;D15</f>
        <v>Estimate Type: Conceptual</v>
      </c>
      <c r="C15" s="5" t="s">
        <v>2776</v>
      </c>
      <c r="D15" s="2364" t="s">
        <v>524</v>
      </c>
      <c r="E15" s="13"/>
      <c r="F15" s="13"/>
      <c r="G15" s="7">
        <f>-VLOOKUP($D$15,'Indirect Rates'!$I$26:$J$33,2,0)</f>
        <v>-0.25</v>
      </c>
      <c r="H15" s="7"/>
      <c r="I15" s="7"/>
      <c r="J15" s="8">
        <f>VLOOKUP($D$15,'Indirect Rates'!$I$26:$K$33,3,0)</f>
        <v>0.5</v>
      </c>
      <c r="K15" s="8"/>
      <c r="L15" s="8"/>
      <c r="M15" s="9" t="s">
        <v>10</v>
      </c>
      <c r="N15" s="9"/>
      <c r="O15" s="9"/>
    </row>
    <row r="16" spans="1:31" ht="15.75" x14ac:dyDescent="0.25">
      <c r="C16" s="6" t="s">
        <v>2771</v>
      </c>
      <c r="D16" s="2364" t="s">
        <v>1540</v>
      </c>
      <c r="E16" s="7"/>
      <c r="F16" s="7"/>
      <c r="G16" s="7"/>
      <c r="H16" s="7"/>
      <c r="I16" s="7"/>
      <c r="J16" s="8"/>
      <c r="K16" s="8"/>
      <c r="L16" s="8"/>
      <c r="M16" s="9"/>
      <c r="N16" s="9"/>
      <c r="O16" s="9"/>
    </row>
    <row r="17" spans="1:40" ht="15.75" x14ac:dyDescent="0.25">
      <c r="B17" s="6"/>
      <c r="C17" s="5" t="s">
        <v>2772</v>
      </c>
      <c r="D17" s="2364"/>
      <c r="E17" s="13"/>
      <c r="F17" s="13"/>
      <c r="G17" s="7" t="e">
        <f>-VLOOKUP($D$17,'Indirect Rates'!$I$26:$J$33,2,0)</f>
        <v>#N/A</v>
      </c>
      <c r="H17" s="7"/>
      <c r="I17" s="7"/>
      <c r="J17" s="8" t="e">
        <f>VLOOKUP($D$17,'Indirect Rates'!$I$26:$K$33,3,0)</f>
        <v>#N/A</v>
      </c>
      <c r="K17" s="8"/>
      <c r="L17" s="8"/>
      <c r="M17" s="9" t="s">
        <v>10</v>
      </c>
      <c r="N17" s="9"/>
      <c r="O17" s="9"/>
    </row>
    <row r="18" spans="1:40" ht="15" x14ac:dyDescent="0.25">
      <c r="E18" s="13"/>
      <c r="F18" s="13"/>
    </row>
    <row r="19" spans="1:40" ht="15" x14ac:dyDescent="0.25">
      <c r="A19" s="9"/>
      <c r="B19" s="11" t="s">
        <v>15</v>
      </c>
      <c r="C19" s="5" t="s">
        <v>8</v>
      </c>
      <c r="D19" s="2312" t="s">
        <v>31</v>
      </c>
      <c r="E19" s="13"/>
      <c r="F19" s="13"/>
      <c r="G19" s="2334" t="s">
        <v>1903</v>
      </c>
      <c r="H19" s="2335"/>
      <c r="I19" s="2335"/>
      <c r="J19" s="4"/>
      <c r="K19" s="4"/>
      <c r="L19" s="4"/>
      <c r="M19" s="1825"/>
      <c r="N19" s="1825"/>
      <c r="O19" s="1825"/>
      <c r="P19" s="1825"/>
      <c r="Q19" s="1825"/>
      <c r="R19" s="1825"/>
      <c r="S19" s="1825"/>
      <c r="T19" s="1825"/>
      <c r="U19" s="1825"/>
    </row>
    <row r="20" spans="1:40" ht="15" x14ac:dyDescent="0.25">
      <c r="B20" s="11" t="s">
        <v>17</v>
      </c>
      <c r="C20" s="5" t="s">
        <v>8</v>
      </c>
      <c r="D20" s="2313" t="s">
        <v>520</v>
      </c>
      <c r="E20" s="13"/>
      <c r="F20" s="13"/>
      <c r="G20" s="2"/>
      <c r="H20" s="2"/>
      <c r="I20" s="2"/>
    </row>
    <row r="21" spans="1:40" ht="15" x14ac:dyDescent="0.25">
      <c r="B21" s="11"/>
      <c r="C21" s="5"/>
      <c r="D21" s="5"/>
      <c r="E21" s="13"/>
      <c r="F21" s="13"/>
      <c r="G21" s="2"/>
      <c r="H21" s="2"/>
      <c r="I21" s="2"/>
    </row>
    <row r="22" spans="1:40" ht="15.75" x14ac:dyDescent="0.25">
      <c r="B22" s="6" t="s">
        <v>11</v>
      </c>
      <c r="C22" t="s">
        <v>12</v>
      </c>
      <c r="D22" s="1101">
        <v>-2</v>
      </c>
      <c r="E22" s="13"/>
      <c r="F22" s="13"/>
      <c r="G22" t="s">
        <v>13</v>
      </c>
    </row>
    <row r="23" spans="1:40" ht="15.75" x14ac:dyDescent="0.25">
      <c r="B23" s="6"/>
      <c r="C23" t="s">
        <v>14</v>
      </c>
      <c r="D23" s="1101">
        <v>-3</v>
      </c>
      <c r="E23" s="13"/>
      <c r="F23" s="13"/>
      <c r="AN23" t="s">
        <v>3641</v>
      </c>
    </row>
    <row r="24" spans="1:40" ht="15" x14ac:dyDescent="0.25">
      <c r="B24" s="13"/>
      <c r="C24" s="13"/>
      <c r="D24" s="13"/>
      <c r="E24" s="13"/>
      <c r="F24" s="13"/>
      <c r="G24" s="13"/>
      <c r="H24" s="13"/>
      <c r="I24" s="13"/>
      <c r="J24" s="13"/>
      <c r="K24" s="13"/>
      <c r="L24" s="13"/>
      <c r="M24" s="13"/>
      <c r="N24" s="13"/>
      <c r="O24" s="13"/>
      <c r="P24" s="13"/>
      <c r="Q24" s="13"/>
      <c r="R24" s="13"/>
      <c r="S24" s="13"/>
    </row>
    <row r="25" spans="1:40" ht="15" x14ac:dyDescent="0.25">
      <c r="B25" t="s">
        <v>2059</v>
      </c>
      <c r="C25" s="2"/>
      <c r="D25" s="2" t="str">
        <f>+D20</f>
        <v>Station work</v>
      </c>
      <c r="E25" s="2"/>
      <c r="F25" s="2"/>
      <c r="G25" t="s">
        <v>2060</v>
      </c>
    </row>
    <row r="26" spans="1:40" ht="15" x14ac:dyDescent="0.25">
      <c r="B26" s="1761" t="s">
        <v>19</v>
      </c>
      <c r="C26" s="1762"/>
      <c r="D26" s="1765" t="s">
        <v>20</v>
      </c>
      <c r="E26" s="1765"/>
      <c r="F26" s="1765"/>
      <c r="G26" s="1766"/>
      <c r="H26" s="1766"/>
      <c r="I26" s="1766"/>
      <c r="J26" s="30"/>
      <c r="K26" s="30"/>
      <c r="L26" s="30"/>
      <c r="M26" s="30"/>
      <c r="N26" s="30"/>
      <c r="O26" s="30"/>
      <c r="P26" s="30"/>
      <c r="Q26" s="30"/>
      <c r="R26" s="30"/>
      <c r="S26" s="30"/>
      <c r="T26" s="30"/>
      <c r="U26" s="30"/>
      <c r="V26" s="30"/>
      <c r="W26" s="30"/>
      <c r="X26" s="30"/>
      <c r="Y26" s="30"/>
      <c r="Z26" s="30"/>
      <c r="AA26" s="30"/>
      <c r="AB26" s="30"/>
      <c r="AC26" s="30"/>
      <c r="AD26" s="30"/>
      <c r="AE26" s="30"/>
    </row>
    <row r="27" spans="1:40" ht="15" x14ac:dyDescent="0.25">
      <c r="C27" s="2"/>
      <c r="D27" s="2" t="s">
        <v>21</v>
      </c>
      <c r="E27" s="2"/>
      <c r="F27" s="2"/>
      <c r="G27" s="12" t="s">
        <v>22</v>
      </c>
      <c r="H27" s="12"/>
      <c r="I27" s="12"/>
      <c r="J27" t="s">
        <v>23</v>
      </c>
    </row>
    <row r="28" spans="1:40" ht="15" x14ac:dyDescent="0.25">
      <c r="B28" s="16"/>
      <c r="C28" s="2" t="s">
        <v>16</v>
      </c>
      <c r="D28" s="2315">
        <v>0</v>
      </c>
      <c r="E28" s="2"/>
      <c r="F28" s="2"/>
      <c r="G28" s="2315">
        <v>3.9E-2</v>
      </c>
      <c r="H28" s="12"/>
      <c r="I28" s="12"/>
      <c r="J28" s="2315">
        <v>3.9E-2</v>
      </c>
      <c r="M28" t="s">
        <v>24</v>
      </c>
    </row>
    <row r="29" spans="1:40" ht="15" x14ac:dyDescent="0.25">
      <c r="B29" s="16"/>
      <c r="C29" s="2" t="s">
        <v>25</v>
      </c>
      <c r="D29" s="2315">
        <v>0</v>
      </c>
      <c r="E29" s="2"/>
      <c r="F29" s="2"/>
      <c r="G29" s="2315">
        <v>0</v>
      </c>
      <c r="H29" s="12"/>
      <c r="I29" s="12"/>
      <c r="J29" s="2315">
        <v>6.25E-2</v>
      </c>
      <c r="M29" t="s">
        <v>26</v>
      </c>
    </row>
    <row r="30" spans="1:40" ht="15" x14ac:dyDescent="0.25">
      <c r="B30" s="16"/>
      <c r="C30" s="2" t="s">
        <v>27</v>
      </c>
      <c r="D30" s="2315">
        <v>0</v>
      </c>
      <c r="E30" s="2"/>
      <c r="F30" s="2"/>
      <c r="G30" s="2315">
        <v>0</v>
      </c>
      <c r="H30" s="12"/>
      <c r="I30" s="12"/>
      <c r="J30" s="2315">
        <v>6.25E-2</v>
      </c>
    </row>
    <row r="31" spans="1:40" ht="15" x14ac:dyDescent="0.25">
      <c r="C31" s="2" t="s">
        <v>28</v>
      </c>
      <c r="D31" s="2315">
        <v>0</v>
      </c>
      <c r="E31" s="2"/>
      <c r="F31" s="2"/>
      <c r="G31" s="2315">
        <v>0</v>
      </c>
      <c r="H31" s="12"/>
      <c r="I31" s="12"/>
      <c r="J31" s="2315">
        <v>0</v>
      </c>
      <c r="M31" t="s">
        <v>29</v>
      </c>
    </row>
    <row r="32" spans="1:40" ht="15" x14ac:dyDescent="0.25">
      <c r="C32" s="2" t="s">
        <v>30</v>
      </c>
      <c r="D32" s="2315">
        <f t="shared" ref="D32:J35" si="0">+D28</f>
        <v>0</v>
      </c>
      <c r="E32" s="2"/>
      <c r="F32" s="2"/>
      <c r="G32" s="2315">
        <f t="shared" si="0"/>
        <v>3.9E-2</v>
      </c>
      <c r="H32" s="12"/>
      <c r="I32" s="12"/>
      <c r="J32" s="2315">
        <f t="shared" si="0"/>
        <v>3.9E-2</v>
      </c>
      <c r="M32" t="s">
        <v>24</v>
      </c>
    </row>
    <row r="33" spans="2:31" ht="15" x14ac:dyDescent="0.25">
      <c r="C33" s="2" t="s">
        <v>31</v>
      </c>
      <c r="D33" s="2315">
        <f t="shared" si="0"/>
        <v>0</v>
      </c>
      <c r="E33" s="2"/>
      <c r="F33" s="2"/>
      <c r="G33" s="2315">
        <f t="shared" si="0"/>
        <v>0</v>
      </c>
      <c r="H33" s="12"/>
      <c r="I33" s="12"/>
      <c r="J33" s="2315">
        <f t="shared" si="0"/>
        <v>6.25E-2</v>
      </c>
      <c r="M33" t="s">
        <v>26</v>
      </c>
    </row>
    <row r="34" spans="2:31" ht="15" x14ac:dyDescent="0.25">
      <c r="C34" s="2" t="s">
        <v>32</v>
      </c>
      <c r="D34" s="2315">
        <f t="shared" si="0"/>
        <v>0</v>
      </c>
      <c r="E34" s="2"/>
      <c r="F34" s="2"/>
      <c r="G34" s="2315">
        <f t="shared" si="0"/>
        <v>0</v>
      </c>
      <c r="H34" s="12"/>
      <c r="I34" s="12"/>
      <c r="J34" s="2315">
        <f t="shared" si="0"/>
        <v>6.25E-2</v>
      </c>
    </row>
    <row r="35" spans="2:31" ht="15" x14ac:dyDescent="0.25">
      <c r="C35" s="2" t="s">
        <v>33</v>
      </c>
      <c r="D35" s="2315">
        <f t="shared" si="0"/>
        <v>0</v>
      </c>
      <c r="E35" s="2"/>
      <c r="F35" s="2"/>
      <c r="G35" s="2315">
        <f t="shared" si="0"/>
        <v>0</v>
      </c>
      <c r="H35" s="12"/>
      <c r="I35" s="12"/>
      <c r="J35" s="2315">
        <f t="shared" si="0"/>
        <v>0</v>
      </c>
      <c r="M35" t="s">
        <v>29</v>
      </c>
    </row>
    <row r="36" spans="2:31" ht="15" x14ac:dyDescent="0.25">
      <c r="C36" s="13" t="s">
        <v>34</v>
      </c>
      <c r="D36" s="17">
        <f>SUMIF(C28:C35,'Data Input sheet'!D19,D28:D35)</f>
        <v>0</v>
      </c>
      <c r="E36" s="2"/>
      <c r="F36" s="2"/>
      <c r="G36" s="17">
        <f>SUMIF(C28:C35,'Data Input sheet'!D19,G28:G35)</f>
        <v>0</v>
      </c>
      <c r="H36" s="12"/>
      <c r="I36" s="12"/>
      <c r="J36" s="17">
        <f>SUMIF(C28:C35,'Data Input sheet'!D19,J28:J35)</f>
        <v>6.25E-2</v>
      </c>
    </row>
    <row r="37" spans="2:31" ht="15" x14ac:dyDescent="0.25">
      <c r="C37" s="2"/>
      <c r="D37" s="2"/>
      <c r="E37" s="2"/>
      <c r="F37" s="2"/>
      <c r="G37" s="2"/>
      <c r="H37" s="12"/>
      <c r="I37" s="12"/>
    </row>
    <row r="38" spans="2:31" ht="15" x14ac:dyDescent="0.25">
      <c r="C38" s="2"/>
      <c r="D38" s="2"/>
      <c r="E38" s="2"/>
      <c r="F38" s="2"/>
      <c r="G38" s="2"/>
      <c r="H38" s="2"/>
      <c r="I38" s="2"/>
    </row>
    <row r="39" spans="2:31" ht="15" x14ac:dyDescent="0.25">
      <c r="B39" s="1761" t="s">
        <v>1448</v>
      </c>
      <c r="C39" s="1762"/>
      <c r="D39" s="1762"/>
      <c r="E39" s="1762"/>
      <c r="F39" s="1762"/>
      <c r="G39" s="1762"/>
      <c r="H39" s="1762"/>
      <c r="I39" s="1762"/>
      <c r="J39" s="30"/>
      <c r="K39" s="30"/>
      <c r="L39" s="30"/>
      <c r="M39" s="30"/>
      <c r="N39" s="30"/>
      <c r="O39" s="30"/>
      <c r="P39" s="30"/>
      <c r="Q39" s="30"/>
      <c r="R39" s="30"/>
      <c r="S39" s="30"/>
      <c r="T39" s="30"/>
      <c r="U39" s="30"/>
      <c r="V39" s="30"/>
      <c r="W39" s="30"/>
      <c r="X39" s="30"/>
      <c r="Y39" s="30"/>
      <c r="Z39" s="30"/>
      <c r="AA39" s="30"/>
      <c r="AB39" s="30"/>
      <c r="AC39" s="30"/>
      <c r="AD39" s="30"/>
      <c r="AE39" s="30"/>
    </row>
    <row r="40" spans="2:31" s="170" customFormat="1" ht="38.25" x14ac:dyDescent="0.25">
      <c r="C40" s="376"/>
      <c r="D40" s="457" t="s">
        <v>1466</v>
      </c>
      <c r="E40" s="2"/>
      <c r="F40" s="2"/>
      <c r="G40" s="376"/>
      <c r="H40" s="376"/>
      <c r="I40" s="376"/>
      <c r="M40" s="1850" t="s">
        <v>1493</v>
      </c>
      <c r="N40" s="1850"/>
      <c r="O40" s="1850"/>
      <c r="P40" s="1850" t="s">
        <v>506</v>
      </c>
      <c r="Q40" s="1850"/>
      <c r="R40" s="1850"/>
      <c r="S40" s="1850" t="s">
        <v>1469</v>
      </c>
    </row>
    <row r="41" spans="2:31" s="170" customFormat="1" ht="15" x14ac:dyDescent="0.25">
      <c r="C41" s="376" t="s">
        <v>28</v>
      </c>
      <c r="D41" s="2320">
        <v>0.01</v>
      </c>
      <c r="E41" s="376"/>
      <c r="F41" s="376"/>
      <c r="G41" s="2331" t="s">
        <v>1501</v>
      </c>
      <c r="H41" s="376"/>
      <c r="I41" s="376"/>
      <c r="M41" s="2321">
        <f>IF(AND($D$19=C41,$D$50="Y"),D41,0)</f>
        <v>0</v>
      </c>
      <c r="N41" s="2321"/>
      <c r="O41" s="2321"/>
      <c r="P41" s="731">
        <v>0.5</v>
      </c>
      <c r="Q41" s="731"/>
      <c r="R41" s="731"/>
      <c r="S41" s="2321">
        <f>+M41/P41</f>
        <v>0</v>
      </c>
      <c r="T41" s="488" t="s">
        <v>1494</v>
      </c>
    </row>
    <row r="42" spans="2:31" s="170" customFormat="1" ht="23.25" customHeight="1" x14ac:dyDescent="0.25">
      <c r="C42" s="376" t="s">
        <v>33</v>
      </c>
      <c r="D42" s="2322">
        <v>0.01</v>
      </c>
      <c r="E42" s="376"/>
      <c r="F42" s="376"/>
      <c r="G42" s="2332" t="s">
        <v>1501</v>
      </c>
      <c r="H42" s="376"/>
      <c r="I42" s="376"/>
      <c r="M42" s="2321">
        <f>IF(AND($D$19=C42,$D$50="Y"),D42,0)</f>
        <v>0</v>
      </c>
      <c r="N42" s="2321"/>
      <c r="O42" s="2321"/>
      <c r="P42" s="731">
        <v>0.5</v>
      </c>
      <c r="Q42" s="731"/>
      <c r="R42" s="731"/>
      <c r="S42" s="2321">
        <f>+M42/P42</f>
        <v>0</v>
      </c>
      <c r="T42" s="488" t="s">
        <v>1494</v>
      </c>
    </row>
    <row r="43" spans="2:31" s="170" customFormat="1" ht="8.85" customHeight="1" x14ac:dyDescent="0.25">
      <c r="C43" s="376"/>
      <c r="M43" s="2321"/>
      <c r="N43" s="2321"/>
      <c r="O43" s="2321"/>
      <c r="P43" s="731"/>
      <c r="Q43" s="731"/>
      <c r="R43" s="731"/>
      <c r="S43" s="2321"/>
      <c r="T43" s="488"/>
    </row>
    <row r="44" spans="2:31" s="170" customFormat="1" ht="15" x14ac:dyDescent="0.25">
      <c r="C44" s="376" t="s">
        <v>25</v>
      </c>
      <c r="D44" s="2322">
        <v>0.02</v>
      </c>
      <c r="E44" s="376"/>
      <c r="F44" s="376"/>
      <c r="G44" s="2332" t="s">
        <v>3092</v>
      </c>
      <c r="H44" s="376"/>
      <c r="I44" s="376"/>
      <c r="M44" s="2321">
        <f>IF(AND($D$19=C44,$D$50="Y"),D44,0)</f>
        <v>0</v>
      </c>
      <c r="N44" s="2321"/>
      <c r="O44" s="2321"/>
      <c r="P44" s="731">
        <v>1</v>
      </c>
      <c r="Q44" s="731"/>
      <c r="R44" s="731"/>
      <c r="S44" s="2321">
        <f t="shared" ref="S44:S45" si="1">+M44*P44</f>
        <v>0</v>
      </c>
    </row>
    <row r="45" spans="2:31" s="170" customFormat="1" ht="15" x14ac:dyDescent="0.25">
      <c r="C45" s="376" t="s">
        <v>31</v>
      </c>
      <c r="D45" s="2322">
        <v>0.02</v>
      </c>
      <c r="E45" s="376"/>
      <c r="F45" s="376"/>
      <c r="G45" s="2332" t="s">
        <v>3092</v>
      </c>
      <c r="H45" s="376"/>
      <c r="I45" s="376"/>
      <c r="M45" s="2321">
        <f>IF(AND($D$19=C45,$D$50="Y"),D45,0)</f>
        <v>0.02</v>
      </c>
      <c r="N45" s="2321"/>
      <c r="O45" s="2321"/>
      <c r="P45" s="731">
        <v>1</v>
      </c>
      <c r="Q45" s="731"/>
      <c r="R45" s="731"/>
      <c r="S45" s="2321">
        <f t="shared" si="1"/>
        <v>0.02</v>
      </c>
    </row>
    <row r="46" spans="2:31" ht="9" customHeight="1" x14ac:dyDescent="0.25">
      <c r="C46" s="2"/>
      <c r="D46" s="2"/>
      <c r="E46" s="2"/>
      <c r="F46" s="2"/>
      <c r="G46" s="2"/>
      <c r="H46" s="376"/>
      <c r="I46" s="376"/>
      <c r="J46" s="170"/>
    </row>
    <row r="47" spans="2:31" ht="15" x14ac:dyDescent="0.25">
      <c r="C47" s="2" t="s">
        <v>27</v>
      </c>
      <c r="D47" s="2322">
        <v>0.02</v>
      </c>
      <c r="E47" s="376"/>
      <c r="F47" s="376"/>
      <c r="G47" s="2332" t="s">
        <v>3093</v>
      </c>
      <c r="H47" s="376"/>
      <c r="I47" s="376"/>
      <c r="J47" s="170"/>
      <c r="K47" s="170"/>
      <c r="L47" s="170"/>
      <c r="M47" s="2321">
        <f>IF(AND($D$19=C47,$D$50="Y"),D47,0)</f>
        <v>0</v>
      </c>
      <c r="N47" s="2321"/>
      <c r="O47" s="2321"/>
      <c r="P47" s="731">
        <v>1</v>
      </c>
      <c r="Q47" s="731"/>
      <c r="R47" s="731"/>
      <c r="S47" s="2321">
        <f t="shared" ref="S47:S48" si="2">+M47*P47</f>
        <v>0</v>
      </c>
    </row>
    <row r="48" spans="2:31" ht="15" x14ac:dyDescent="0.25">
      <c r="C48" s="2" t="s">
        <v>32</v>
      </c>
      <c r="D48" s="2322">
        <v>0.02</v>
      </c>
      <c r="E48" s="376"/>
      <c r="F48" s="376"/>
      <c r="G48" s="2332" t="s">
        <v>3093</v>
      </c>
      <c r="H48" s="376"/>
      <c r="I48" s="376"/>
      <c r="J48" s="170"/>
      <c r="K48" s="170"/>
      <c r="L48" s="170"/>
      <c r="M48" s="2321">
        <f>IF(AND($D$19=C48,$D$50="Y"),D48,0)</f>
        <v>0</v>
      </c>
      <c r="N48" s="2321"/>
      <c r="O48" s="2321"/>
      <c r="P48" s="731">
        <v>1</v>
      </c>
      <c r="Q48" s="731"/>
      <c r="R48" s="731"/>
      <c r="S48" s="2321">
        <f t="shared" si="2"/>
        <v>0</v>
      </c>
    </row>
    <row r="49" spans="2:31" ht="15" x14ac:dyDescent="0.25">
      <c r="C49" s="2"/>
      <c r="D49" s="2"/>
      <c r="E49" s="2"/>
      <c r="F49" s="2"/>
      <c r="G49" s="2"/>
      <c r="H49" s="376"/>
      <c r="I49" s="376"/>
      <c r="J49" s="170"/>
    </row>
    <row r="50" spans="2:31" ht="15" x14ac:dyDescent="0.25">
      <c r="B50" s="9"/>
      <c r="C50" s="5" t="s">
        <v>3099</v>
      </c>
      <c r="D50" s="1103" t="s">
        <v>55</v>
      </c>
      <c r="E50" s="2"/>
      <c r="F50" s="2"/>
      <c r="G50" s="2"/>
      <c r="H50" s="376"/>
      <c r="I50" s="376"/>
      <c r="J50" s="170"/>
      <c r="S50" s="1767">
        <f>SUM(S41:S48)</f>
        <v>0.02</v>
      </c>
    </row>
    <row r="51" spans="2:31" ht="15" x14ac:dyDescent="0.25">
      <c r="B51" s="9"/>
      <c r="C51" s="5"/>
      <c r="D51" s="2"/>
      <c r="E51" s="2"/>
      <c r="F51" s="2"/>
      <c r="G51" s="2"/>
      <c r="H51" s="2"/>
      <c r="I51" s="2"/>
      <c r="S51" s="1767"/>
    </row>
    <row r="52" spans="2:31" ht="15" x14ac:dyDescent="0.25">
      <c r="B52" s="9"/>
      <c r="C52" s="5" t="s">
        <v>1492</v>
      </c>
      <c r="D52" s="2">
        <f>YEAR(C10)</f>
        <v>2028</v>
      </c>
      <c r="E52" s="2"/>
      <c r="F52" s="2"/>
      <c r="G52" s="2"/>
      <c r="H52" s="2"/>
      <c r="I52" s="2"/>
      <c r="S52" s="1767"/>
    </row>
    <row r="53" spans="2:31" ht="15" x14ac:dyDescent="0.25">
      <c r="B53" s="9"/>
      <c r="C53" s="5" t="s">
        <v>1490</v>
      </c>
      <c r="D53" s="1762">
        <f t="shared" ref="D53:S53" si="3">YEAR(D98)</f>
        <v>2024</v>
      </c>
      <c r="E53" s="1762"/>
      <c r="F53" s="1762"/>
      <c r="G53" s="1762">
        <f t="shared" si="3"/>
        <v>2025</v>
      </c>
      <c r="H53" s="1762"/>
      <c r="I53" s="1762"/>
      <c r="J53" s="1762">
        <f t="shared" si="3"/>
        <v>2026</v>
      </c>
      <c r="K53" s="1762"/>
      <c r="L53" s="1762"/>
      <c r="M53" s="1762">
        <f t="shared" si="3"/>
        <v>2027</v>
      </c>
      <c r="N53" s="1762"/>
      <c r="O53" s="1762"/>
      <c r="P53" s="1762">
        <f t="shared" si="3"/>
        <v>2028</v>
      </c>
      <c r="Q53" s="1762"/>
      <c r="R53" s="1762"/>
      <c r="S53" s="1762">
        <f t="shared" si="3"/>
        <v>2029</v>
      </c>
      <c r="T53" s="30"/>
      <c r="U53" s="30"/>
      <c r="V53" s="1762">
        <f t="shared" ref="V53" si="4">YEAR(V98)</f>
        <v>2030</v>
      </c>
      <c r="W53" s="30"/>
      <c r="X53" s="30"/>
      <c r="Y53" s="1762">
        <f t="shared" ref="Y53" si="5">YEAR(Y98)</f>
        <v>2031</v>
      </c>
      <c r="Z53" s="30"/>
      <c r="AA53" s="30"/>
      <c r="AB53" s="1762">
        <f t="shared" ref="AB53" si="6">YEAR(AB98)</f>
        <v>2032</v>
      </c>
      <c r="AC53" s="30"/>
      <c r="AD53" s="30"/>
      <c r="AE53" s="1762">
        <f t="shared" ref="AE53" si="7">YEAR(AE98)</f>
        <v>2033</v>
      </c>
    </row>
    <row r="54" spans="2:31" ht="15" x14ac:dyDescent="0.25">
      <c r="B54" s="9"/>
      <c r="C54" s="5" t="s">
        <v>1491</v>
      </c>
      <c r="D54" s="1827">
        <f>IF($D$52&lt;=D53,0,$S$50)</f>
        <v>0.02</v>
      </c>
      <c r="E54" s="1827"/>
      <c r="F54" s="1827"/>
      <c r="G54" s="1827">
        <f>IF($D$52&lt;=G53,0,$S$50)</f>
        <v>0.02</v>
      </c>
      <c r="H54" s="1827"/>
      <c r="I54" s="1827"/>
      <c r="J54" s="1827">
        <f>IF($D$52&lt;=J53,0,$S$50)</f>
        <v>0.02</v>
      </c>
      <c r="K54" s="1827"/>
      <c r="L54" s="1827"/>
      <c r="M54" s="1827">
        <f>IF($D$52&lt;=M53,0,$S$50)</f>
        <v>0.02</v>
      </c>
      <c r="N54" s="1827"/>
      <c r="O54" s="1827"/>
      <c r="P54" s="1827">
        <f>IF($D$52&lt;=P53,0,$S$50)</f>
        <v>0</v>
      </c>
      <c r="Q54" s="1827"/>
      <c r="R54" s="1827"/>
      <c r="S54" s="1827">
        <f t="shared" ref="S54" si="8">IF($D$52&lt;=S53,0,$S$50)</f>
        <v>0</v>
      </c>
      <c r="V54" s="1827">
        <f t="shared" ref="V54" si="9">IF($D$52&lt;=V53,0,$S$50)</f>
        <v>0</v>
      </c>
      <c r="Y54" s="1827">
        <f t="shared" ref="Y54" si="10">IF($D$52&lt;=Y53,0,$S$50)</f>
        <v>0</v>
      </c>
      <c r="AB54" s="1827">
        <f t="shared" ref="AB54" si="11">IF($D$52&lt;=AB53,0,$S$50)</f>
        <v>0</v>
      </c>
      <c r="AE54" s="1827">
        <f t="shared" ref="AE54" si="12">IF($D$52&lt;=AE53,0,$S$50)</f>
        <v>0</v>
      </c>
    </row>
    <row r="55" spans="2:31" ht="15" x14ac:dyDescent="0.25">
      <c r="C55" s="5" t="s">
        <v>1502</v>
      </c>
      <c r="D55" s="161"/>
      <c r="E55" s="161"/>
      <c r="F55" s="161"/>
      <c r="G55" s="161"/>
      <c r="H55" s="161"/>
      <c r="I55" s="161"/>
      <c r="M55" s="161"/>
      <c r="N55" s="161"/>
      <c r="O55" s="161"/>
    </row>
    <row r="56" spans="2:31" ht="15" x14ac:dyDescent="0.25">
      <c r="C56" s="2"/>
      <c r="D56" s="2"/>
      <c r="E56" s="2"/>
      <c r="F56" s="2"/>
      <c r="G56" s="2"/>
      <c r="H56" s="2"/>
      <c r="I56" s="2"/>
    </row>
    <row r="57" spans="2:31" ht="15" x14ac:dyDescent="0.25">
      <c r="C57" s="2"/>
      <c r="D57" s="2"/>
      <c r="E57" s="2"/>
      <c r="F57" s="2"/>
      <c r="G57" s="2"/>
      <c r="H57" s="2"/>
      <c r="I57" s="2"/>
    </row>
    <row r="58" spans="2:31" ht="15" x14ac:dyDescent="0.25">
      <c r="B58" s="31" t="s">
        <v>3553</v>
      </c>
      <c r="C58" s="1762" t="s">
        <v>3559</v>
      </c>
      <c r="D58" s="1828" t="s">
        <v>3560</v>
      </c>
      <c r="E58" s="1828"/>
      <c r="F58" s="1828"/>
      <c r="G58" s="1828" t="s">
        <v>3561</v>
      </c>
      <c r="H58" s="1828"/>
      <c r="I58" s="1828"/>
      <c r="J58" s="1828"/>
      <c r="K58" s="1828"/>
      <c r="L58" s="1828"/>
      <c r="M58" s="1828"/>
      <c r="N58" s="1828"/>
      <c r="O58" s="1828"/>
      <c r="P58" s="1828"/>
      <c r="Q58" s="1828"/>
      <c r="R58" s="1828"/>
      <c r="S58" s="1828"/>
      <c r="T58" s="30"/>
      <c r="U58" s="30"/>
      <c r="V58" s="1828"/>
      <c r="W58" s="30"/>
      <c r="X58" s="30"/>
      <c r="Y58" s="1828"/>
      <c r="Z58" s="30"/>
      <c r="AA58" s="30"/>
      <c r="AB58" s="1828"/>
      <c r="AC58" s="30"/>
      <c r="AD58" s="30"/>
      <c r="AE58" s="1828"/>
    </row>
    <row r="59" spans="2:31" ht="15" x14ac:dyDescent="0.25">
      <c r="B59" t="s">
        <v>3554</v>
      </c>
      <c r="C59" s="2708">
        <v>7.0000000000000001E-3</v>
      </c>
      <c r="D59" s="2322"/>
      <c r="E59" s="2"/>
      <c r="F59" s="2"/>
      <c r="G59" s="2708">
        <f>IF(D59&gt;0,D59,C59)</f>
        <v>7.0000000000000001E-3</v>
      </c>
      <c r="H59" s="2"/>
      <c r="I59" s="2"/>
    </row>
    <row r="60" spans="2:31" ht="15" x14ac:dyDescent="0.25">
      <c r="B60" t="s">
        <v>3555</v>
      </c>
      <c r="C60" s="2708">
        <v>1.4999999999999999E-2</v>
      </c>
      <c r="D60" s="2322"/>
      <c r="E60" s="2"/>
      <c r="F60" s="2"/>
      <c r="G60" s="2708">
        <f>IF(D60&gt;0,D60,C60)</f>
        <v>1.4999999999999999E-2</v>
      </c>
      <c r="H60" s="2"/>
      <c r="I60" s="2"/>
    </row>
    <row r="61" spans="2:31" ht="15" x14ac:dyDescent="0.25">
      <c r="B61" t="s">
        <v>3557</v>
      </c>
      <c r="C61" s="1103" t="s">
        <v>55</v>
      </c>
      <c r="D61" s="2"/>
      <c r="E61" s="2"/>
      <c r="F61" s="2"/>
      <c r="G61" s="2"/>
      <c r="H61" s="2"/>
      <c r="I61" s="2"/>
    </row>
    <row r="62" spans="2:31" ht="15" x14ac:dyDescent="0.25">
      <c r="B62" t="s">
        <v>3556</v>
      </c>
      <c r="C62" s="2">
        <f>IF(C61="Y",1,0)*IF(StationOrLine="Lines work",G60,IF(StationOrLine="Station work",G59,0))</f>
        <v>7.0000000000000001E-3</v>
      </c>
      <c r="D62" s="2"/>
      <c r="E62" s="2"/>
      <c r="F62" s="2"/>
      <c r="G62" s="2"/>
      <c r="H62" s="2"/>
      <c r="I62" s="2"/>
    </row>
    <row r="63" spans="2:31" ht="15" x14ac:dyDescent="0.25">
      <c r="C63" s="2"/>
      <c r="D63" s="2"/>
      <c r="E63" s="2"/>
      <c r="F63" s="2"/>
      <c r="G63" s="2"/>
      <c r="H63" s="2"/>
      <c r="I63" s="2"/>
    </row>
    <row r="64" spans="2:31" ht="15" x14ac:dyDescent="0.25">
      <c r="C64" s="2"/>
      <c r="D64" s="2"/>
      <c r="E64" s="2"/>
      <c r="F64" s="2"/>
      <c r="G64" s="2"/>
      <c r="H64" s="2"/>
      <c r="I64" s="2"/>
    </row>
    <row r="65" spans="2:31" ht="15" x14ac:dyDescent="0.25">
      <c r="B65" s="31" t="s">
        <v>35</v>
      </c>
      <c r="C65" s="1762"/>
      <c r="D65" s="1828">
        <f t="shared" ref="D65:S65" si="13">+D100</f>
        <v>45292</v>
      </c>
      <c r="E65" s="1828"/>
      <c r="F65" s="1828"/>
      <c r="G65" s="1828">
        <f t="shared" si="13"/>
        <v>45658</v>
      </c>
      <c r="H65" s="1828"/>
      <c r="I65" s="1828"/>
      <c r="J65" s="1828">
        <f t="shared" si="13"/>
        <v>46023</v>
      </c>
      <c r="K65" s="1828"/>
      <c r="L65" s="1828"/>
      <c r="M65" s="1828">
        <f t="shared" si="13"/>
        <v>46388</v>
      </c>
      <c r="N65" s="1828"/>
      <c r="O65" s="1828"/>
      <c r="P65" s="1828">
        <f t="shared" si="13"/>
        <v>46753</v>
      </c>
      <c r="Q65" s="1828"/>
      <c r="R65" s="1828"/>
      <c r="S65" s="1828">
        <f t="shared" si="13"/>
        <v>47119</v>
      </c>
      <c r="T65" s="30"/>
      <c r="U65" s="30"/>
      <c r="V65" s="1828">
        <f t="shared" ref="V65" si="14">+V100</f>
        <v>47484</v>
      </c>
      <c r="W65" s="30"/>
      <c r="X65" s="30"/>
      <c r="Y65" s="1828">
        <f t="shared" ref="Y65" si="15">+Y100</f>
        <v>47849</v>
      </c>
      <c r="Z65" s="30"/>
      <c r="AA65" s="30"/>
      <c r="AB65" s="1828">
        <f t="shared" ref="AB65" si="16">+AB100</f>
        <v>48214</v>
      </c>
      <c r="AC65" s="30"/>
      <c r="AD65" s="30"/>
      <c r="AE65" s="1828">
        <f t="shared" ref="AE65" si="17">+AE100</f>
        <v>48580</v>
      </c>
    </row>
    <row r="66" spans="2:31" ht="15" x14ac:dyDescent="0.25">
      <c r="B66" t="s">
        <v>36</v>
      </c>
      <c r="C66" s="12" t="s">
        <v>37</v>
      </c>
      <c r="D66" s="2314">
        <v>0</v>
      </c>
      <c r="E66" s="2"/>
      <c r="F66" s="2"/>
      <c r="G66" s="2314">
        <v>0.05</v>
      </c>
      <c r="H66" s="2"/>
      <c r="I66" s="2"/>
      <c r="J66" s="2314">
        <v>0.04</v>
      </c>
      <c r="K66" s="2"/>
      <c r="L66" s="2"/>
      <c r="M66" s="2314">
        <v>0.03</v>
      </c>
      <c r="N66" s="2"/>
      <c r="O66" s="2"/>
      <c r="P66" s="2314">
        <v>0.03</v>
      </c>
      <c r="Q66" s="2"/>
      <c r="R66" s="2"/>
      <c r="S66" s="2314">
        <v>0.03</v>
      </c>
      <c r="V66" s="2314">
        <v>0.03</v>
      </c>
      <c r="Y66" s="2314">
        <v>0.03</v>
      </c>
      <c r="AB66" s="2314">
        <v>0.03</v>
      </c>
      <c r="AE66" s="2314">
        <v>0.03</v>
      </c>
    </row>
    <row r="67" spans="2:31" ht="15" x14ac:dyDescent="0.25">
      <c r="B67" t="s">
        <v>38</v>
      </c>
      <c r="C67" s="12" t="s">
        <v>37</v>
      </c>
      <c r="D67" s="2316">
        <v>0</v>
      </c>
      <c r="E67" s="2"/>
      <c r="F67" s="2"/>
      <c r="G67" s="2316">
        <v>0.03</v>
      </c>
      <c r="H67" s="2"/>
      <c r="I67" s="2"/>
      <c r="J67" s="2316">
        <v>0.03</v>
      </c>
      <c r="K67" s="2"/>
      <c r="L67" s="2"/>
      <c r="M67" s="2316">
        <v>0.03</v>
      </c>
      <c r="N67" s="2"/>
      <c r="O67" s="2"/>
      <c r="P67" s="2316">
        <v>0.03</v>
      </c>
      <c r="Q67" s="2"/>
      <c r="R67" s="2"/>
      <c r="S67" s="2316">
        <v>0.02</v>
      </c>
      <c r="V67" s="2316">
        <v>0.02</v>
      </c>
      <c r="Y67" s="2316">
        <v>0.02</v>
      </c>
      <c r="AB67" s="2316">
        <v>0.02</v>
      </c>
      <c r="AE67" s="2316">
        <v>0.02</v>
      </c>
    </row>
    <row r="68" spans="2:31" ht="15" x14ac:dyDescent="0.25">
      <c r="B68" s="9" t="s">
        <v>39</v>
      </c>
      <c r="C68" s="12" t="s">
        <v>37</v>
      </c>
      <c r="D68" s="2316">
        <v>0</v>
      </c>
      <c r="E68" s="2"/>
      <c r="F68" s="2"/>
      <c r="G68" s="2316">
        <v>0.03</v>
      </c>
      <c r="H68" s="2"/>
      <c r="I68" s="2"/>
      <c r="J68" s="2316">
        <v>0.03</v>
      </c>
      <c r="K68" s="2"/>
      <c r="L68" s="2"/>
      <c r="M68" s="2316">
        <v>0.03</v>
      </c>
      <c r="N68" s="2"/>
      <c r="O68" s="2"/>
      <c r="P68" s="2316">
        <v>0.03</v>
      </c>
      <c r="Q68" s="2"/>
      <c r="R68" s="2"/>
      <c r="S68" s="2316">
        <v>0.03</v>
      </c>
      <c r="V68" s="2316">
        <v>0.03</v>
      </c>
      <c r="Y68" s="2316">
        <v>0.03</v>
      </c>
      <c r="AB68" s="2316">
        <v>0.03</v>
      </c>
      <c r="AE68" s="2316">
        <v>0.03</v>
      </c>
    </row>
    <row r="69" spans="2:31" ht="14.85" customHeight="1" x14ac:dyDescent="0.25">
      <c r="C69" s="2"/>
      <c r="D69" s="2"/>
      <c r="E69" s="2"/>
      <c r="F69" s="2"/>
      <c r="G69" s="2"/>
      <c r="H69" s="2"/>
      <c r="I69" s="2"/>
    </row>
    <row r="70" spans="2:31" ht="14.85" customHeight="1" x14ac:dyDescent="0.25">
      <c r="B70" s="9" t="s">
        <v>40</v>
      </c>
      <c r="C70" s="12" t="s">
        <v>41</v>
      </c>
      <c r="D70" s="1102">
        <v>0</v>
      </c>
      <c r="E70" s="2"/>
      <c r="F70" s="2"/>
      <c r="G70" s="2"/>
      <c r="H70" s="2"/>
      <c r="I70" s="2"/>
    </row>
    <row r="71" spans="2:31" ht="14.85" hidden="1" customHeight="1" x14ac:dyDescent="0.25">
      <c r="C71" s="2"/>
      <c r="D71" s="2"/>
      <c r="E71" s="2"/>
      <c r="F71" s="2"/>
      <c r="G71" s="2"/>
      <c r="H71" s="2"/>
      <c r="I71" s="2"/>
    </row>
    <row r="72" spans="2:31" ht="14.85" hidden="1" customHeight="1" x14ac:dyDescent="0.25">
      <c r="C72" s="2"/>
      <c r="D72" s="2"/>
      <c r="E72" s="2"/>
      <c r="F72" s="2"/>
      <c r="G72" s="2"/>
      <c r="H72" s="2"/>
      <c r="I72" s="2"/>
    </row>
    <row r="73" spans="2:31" ht="14.85" hidden="1" customHeight="1" x14ac:dyDescent="0.25">
      <c r="C73" s="2"/>
      <c r="D73" s="2"/>
      <c r="E73" s="2"/>
      <c r="F73" s="2"/>
      <c r="G73" s="2"/>
      <c r="H73" s="2"/>
      <c r="I73" s="2"/>
    </row>
    <row r="74" spans="2:31" ht="14.85" customHeight="1" x14ac:dyDescent="0.25">
      <c r="C74" s="2"/>
      <c r="D74" s="2"/>
      <c r="E74" s="2"/>
      <c r="F74" s="2"/>
      <c r="G74" s="2"/>
      <c r="H74" s="2"/>
      <c r="I74" s="2"/>
    </row>
    <row r="75" spans="2:31" ht="15" x14ac:dyDescent="0.25">
      <c r="B75" s="31" t="s">
        <v>42</v>
      </c>
      <c r="C75" s="1762"/>
      <c r="D75" s="1763" t="s">
        <v>43</v>
      </c>
      <c r="E75" s="1763"/>
      <c r="F75" s="1763"/>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row>
    <row r="76" spans="2:31" ht="15" x14ac:dyDescent="0.25">
      <c r="C76" s="2"/>
      <c r="D76" s="2"/>
      <c r="E76" s="2"/>
      <c r="F76" s="2"/>
      <c r="G76" s="2"/>
      <c r="H76" s="2"/>
      <c r="I76" s="2"/>
    </row>
    <row r="77" spans="2:31" ht="15" x14ac:dyDescent="0.25">
      <c r="B77" t="str">
        <f>+'Indirect Rates'!C3</f>
        <v>AS &amp; E Basis</v>
      </c>
      <c r="C77" s="2000" t="str">
        <f t="shared" ref="C77:C85" si="18">+$D$19&amp;" "&amp;B77</f>
        <v>21D - EMA AS &amp; E Basis</v>
      </c>
      <c r="D77" s="18">
        <f>SUMIF('Indirect Rates'!$A$3:$A$98,'Data Input sheet'!C77,'Indirect Rates'!$F$3:$F$98)</f>
        <v>8.9999999999999993E-3</v>
      </c>
      <c r="E77" s="18"/>
      <c r="F77" s="18"/>
      <c r="G77" s="2"/>
      <c r="H77" s="2"/>
      <c r="I77" s="2"/>
    </row>
    <row r="78" spans="2:31" ht="15" x14ac:dyDescent="0.25">
      <c r="B78" s="9" t="str">
        <f>IF(D20="Lines work",'Indirect Rates'!C4,'Indirect Rates'!C5)</f>
        <v>E&amp;S Station Basis</v>
      </c>
      <c r="C78" s="2001" t="str">
        <f t="shared" si="18"/>
        <v>21D - EMA E&amp;S Station Basis</v>
      </c>
      <c r="D78" s="18">
        <f>SUMIF('Indirect Rates'!$A$3:$A$98,'Data Input sheet'!C78,'Indirect Rates'!$F$3:$F$98)</f>
        <v>0.65</v>
      </c>
      <c r="E78" s="18"/>
      <c r="F78" s="18"/>
      <c r="G78" s="2"/>
      <c r="H78" s="2"/>
      <c r="I78" s="2"/>
    </row>
    <row r="79" spans="2:31" ht="15" x14ac:dyDescent="0.25">
      <c r="B79" s="9" t="str">
        <f>+'Indirect Rates'!C6</f>
        <v>Gen Svc Co OH Basis</v>
      </c>
      <c r="C79" s="2001" t="str">
        <f t="shared" si="18"/>
        <v>21D - EMA Gen Svc Co OH Basis</v>
      </c>
      <c r="D79" s="18">
        <f>SUMIF('Indirect Rates'!$A$3:$A$98,'Data Input sheet'!C79,'Indirect Rates'!$F$3:$F$98)</f>
        <v>0.7</v>
      </c>
      <c r="E79" s="18"/>
      <c r="F79" s="18"/>
      <c r="G79" s="2"/>
      <c r="H79" s="2"/>
      <c r="I79" s="2"/>
    </row>
    <row r="80" spans="2:31" ht="15" x14ac:dyDescent="0.25">
      <c r="B80" s="9" t="str">
        <f>IF(D20="Lines work",'Indirect Rates'!C56,'Indirect Rates'!C57)</f>
        <v>Lobby Stock Station Basis</v>
      </c>
      <c r="C80" s="2001" t="str">
        <f t="shared" si="18"/>
        <v>21D - EMA Lobby Stock Station Basis</v>
      </c>
      <c r="D80" s="18">
        <f>SUMIF('Indirect Rates'!$A$3:$A$98,'Data Input sheet'!C80,'Indirect Rates'!$F$3:$F$98)</f>
        <v>0</v>
      </c>
      <c r="E80" s="18"/>
      <c r="F80" s="18"/>
      <c r="G80" s="19" t="s">
        <v>44</v>
      </c>
      <c r="H80" s="19"/>
      <c r="I80" s="19"/>
    </row>
    <row r="81" spans="1:31" ht="15" x14ac:dyDescent="0.25">
      <c r="B81" s="9" t="str">
        <f>+'Indirect Rates'!C8</f>
        <v>MDEC Basis</v>
      </c>
      <c r="C81" s="2001" t="str">
        <f t="shared" si="18"/>
        <v>21D - EMA MDEC Basis</v>
      </c>
      <c r="D81" s="18">
        <f>SUMIF('Indirect Rates'!$A$3:$A$98,'Data Input sheet'!C81,'Indirect Rates'!$F$3:$F$98)</f>
        <v>7.0000000000000007E-2</v>
      </c>
      <c r="E81" s="18"/>
      <c r="F81" s="18"/>
      <c r="G81" s="19" t="s">
        <v>44</v>
      </c>
      <c r="H81" s="19"/>
      <c r="I81" s="19"/>
    </row>
    <row r="82" spans="1:31" ht="15" x14ac:dyDescent="0.25">
      <c r="B82" s="9" t="str">
        <f>+'Indirect Rates'!C9</f>
        <v>Non-Productive Basis</v>
      </c>
      <c r="C82" s="2001" t="str">
        <f t="shared" si="18"/>
        <v>21D - EMA Non-Productive Basis</v>
      </c>
      <c r="D82" s="18">
        <f>SUMIF('Indirect Rates'!$A$3:$A$98,'Data Input sheet'!C82,'Indirect Rates'!$F$3:$F$98)</f>
        <v>0.19</v>
      </c>
      <c r="E82" s="18"/>
      <c r="F82" s="18"/>
      <c r="G82" s="2"/>
      <c r="H82" s="2"/>
      <c r="I82" s="2"/>
    </row>
    <row r="83" spans="1:31" ht="15" x14ac:dyDescent="0.25">
      <c r="B83" s="9" t="str">
        <f>+'Indirect Rates'!C10</f>
        <v>Payroll Benefit Basis</v>
      </c>
      <c r="C83" s="2001" t="str">
        <f t="shared" si="18"/>
        <v>21D - EMA Payroll Benefit Basis</v>
      </c>
      <c r="D83" s="18">
        <f>SUMIF('Indirect Rates'!$A$3:$A$98,'Data Input sheet'!C83,'Indirect Rates'!$F$3:$F$98)</f>
        <v>0.08</v>
      </c>
      <c r="E83" s="18"/>
      <c r="F83" s="18"/>
      <c r="G83" s="2"/>
      <c r="H83" s="2"/>
      <c r="I83" s="2"/>
    </row>
    <row r="84" spans="1:31" ht="15" x14ac:dyDescent="0.25">
      <c r="B84" t="str">
        <f>+'Indirect Rates'!C11</f>
        <v>Stores Expense Basis</v>
      </c>
      <c r="C84" s="2001" t="str">
        <f t="shared" si="18"/>
        <v>21D - EMA Stores Expense Basis</v>
      </c>
      <c r="D84" s="18">
        <f>SUMIF('Indirect Rates'!$A$3:$A$98,'Data Input sheet'!C84,'Indirect Rates'!$F$3:$F$98)</f>
        <v>0.05</v>
      </c>
      <c r="E84" s="18"/>
      <c r="F84" s="18"/>
      <c r="G84" s="19"/>
      <c r="H84" s="19"/>
      <c r="I84" s="19"/>
    </row>
    <row r="85" spans="1:31" ht="15" x14ac:dyDescent="0.25">
      <c r="B85" t="str">
        <f>+'Indirect Rates'!C12</f>
        <v>Vehicles OH Basis</v>
      </c>
      <c r="C85" s="2002" t="str">
        <f t="shared" si="18"/>
        <v>21D - EMA Vehicles OH Basis</v>
      </c>
      <c r="D85" s="18">
        <f>SUMIF('Indirect Rates'!$A$3:$A$98,'Data Input sheet'!C85,'Indirect Rates'!$F$3:$F$98)</f>
        <v>0.21179999999999999</v>
      </c>
      <c r="E85" s="18"/>
      <c r="F85" s="18"/>
      <c r="G85" s="19"/>
      <c r="H85" s="19"/>
      <c r="I85" s="19"/>
    </row>
    <row r="86" spans="1:31" ht="15" x14ac:dyDescent="0.25">
      <c r="C86" s="2705"/>
      <c r="D86" s="18"/>
      <c r="E86" s="18"/>
      <c r="F86" s="18"/>
      <c r="G86" s="19"/>
      <c r="H86" s="19"/>
      <c r="I86" s="19"/>
    </row>
    <row r="87" spans="1:31" ht="15" x14ac:dyDescent="0.25">
      <c r="B87" s="31" t="s">
        <v>3548</v>
      </c>
      <c r="C87" s="31"/>
      <c r="D87" s="31"/>
      <c r="E87" s="31"/>
      <c r="F87" s="31"/>
      <c r="G87" s="31"/>
      <c r="H87" s="31"/>
      <c r="I87" s="31"/>
      <c r="J87" s="31"/>
      <c r="K87" s="31"/>
      <c r="L87" s="31"/>
      <c r="M87" s="31"/>
      <c r="N87" s="31"/>
      <c r="O87" s="31"/>
      <c r="P87" s="31"/>
      <c r="Q87" s="31"/>
      <c r="R87" s="31"/>
      <c r="S87" s="31"/>
      <c r="T87" s="31"/>
      <c r="U87" s="31"/>
      <c r="V87" s="31"/>
      <c r="W87" s="31"/>
      <c r="X87" s="31"/>
      <c r="Y87" s="31"/>
      <c r="Z87" s="31"/>
      <c r="AA87" s="31"/>
      <c r="AB87" s="31"/>
      <c r="AC87" s="31"/>
      <c r="AD87" s="31"/>
      <c r="AE87" s="31"/>
    </row>
    <row r="88" spans="1:31" ht="15" x14ac:dyDescent="0.25">
      <c r="B88" s="16" t="s">
        <v>3549</v>
      </c>
      <c r="C88" s="2706">
        <v>0</v>
      </c>
      <c r="D88" s="2"/>
      <c r="E88" s="2"/>
      <c r="F88" s="2"/>
      <c r="G88" s="2"/>
      <c r="H88" s="2"/>
      <c r="I88" s="2"/>
    </row>
    <row r="89" spans="1:31" ht="15" x14ac:dyDescent="0.25">
      <c r="B89" s="11"/>
      <c r="C89" s="9"/>
      <c r="D89" s="12"/>
      <c r="E89" s="12"/>
      <c r="F89" s="12"/>
      <c r="G89" s="2"/>
      <c r="H89" s="2"/>
      <c r="I89" s="2"/>
    </row>
    <row r="90" spans="1:31" ht="15" x14ac:dyDescent="0.25">
      <c r="B90" s="31" t="s">
        <v>45</v>
      </c>
      <c r="C90" s="1762"/>
      <c r="D90" s="1828">
        <f>+D100</f>
        <v>45292</v>
      </c>
      <c r="E90" s="1828"/>
      <c r="F90" s="1828"/>
      <c r="G90" s="1828">
        <f t="shared" ref="G90:S90" si="19">+G100</f>
        <v>45658</v>
      </c>
      <c r="H90" s="1828"/>
      <c r="I90" s="1828"/>
      <c r="J90" s="1828">
        <f t="shared" si="19"/>
        <v>46023</v>
      </c>
      <c r="K90" s="1828"/>
      <c r="L90" s="1828"/>
      <c r="M90" s="1828">
        <f t="shared" si="19"/>
        <v>46388</v>
      </c>
      <c r="N90" s="1828"/>
      <c r="O90" s="1828"/>
      <c r="P90" s="1828">
        <f t="shared" si="19"/>
        <v>46753</v>
      </c>
      <c r="Q90" s="1828"/>
      <c r="R90" s="1828"/>
      <c r="S90" s="1828">
        <f t="shared" si="19"/>
        <v>47119</v>
      </c>
      <c r="T90" s="30"/>
      <c r="U90" s="30"/>
      <c r="V90" s="1828">
        <f t="shared" ref="V90" si="20">+V100</f>
        <v>47484</v>
      </c>
      <c r="W90" s="30"/>
      <c r="X90" s="30"/>
      <c r="Y90" s="1828">
        <f t="shared" ref="Y90" si="21">+Y100</f>
        <v>47849</v>
      </c>
      <c r="Z90" s="30"/>
      <c r="AA90" s="30"/>
      <c r="AB90" s="1828">
        <f t="shared" ref="AB90" si="22">+AB100</f>
        <v>48214</v>
      </c>
      <c r="AC90" s="30"/>
      <c r="AD90" s="30"/>
      <c r="AE90" s="1828">
        <f t="shared" ref="AE90" si="23">+AE100</f>
        <v>48580</v>
      </c>
    </row>
    <row r="91" spans="1:31" ht="15" x14ac:dyDescent="0.25">
      <c r="B91" s="11"/>
      <c r="C91" s="2003" t="str">
        <f>+$D$19&amp;" "&amp;C92</f>
        <v>21D - EMA A</v>
      </c>
      <c r="D91" s="20">
        <f>SUMIF('AFUDC Rates'!$A3:$A21,'Data Input sheet'!$C$91,'AFUDC Rates'!F3:F21)</f>
        <v>7.0000000000000007E-2</v>
      </c>
      <c r="E91" s="20"/>
      <c r="F91" s="20"/>
      <c r="G91" s="20">
        <f>SUMIF('AFUDC Rates'!$A3:$A21,'Data Input sheet'!$C$91,'AFUDC Rates'!G3:G21)</f>
        <v>7.0000000000000007E-2</v>
      </c>
      <c r="H91" s="20"/>
      <c r="I91" s="20"/>
      <c r="J91" s="20">
        <f>SUMIF('AFUDC Rates'!$A3:$A21,'Data Input sheet'!$C$91,'AFUDC Rates'!H3:H21)</f>
        <v>7.0000000000000007E-2</v>
      </c>
      <c r="K91" s="20"/>
      <c r="L91" s="20"/>
      <c r="M91" s="20">
        <f>SUMIF('AFUDC Rates'!$A3:$A21,'Data Input sheet'!$C$91,'AFUDC Rates'!I3:I21)</f>
        <v>7.0000000000000007E-2</v>
      </c>
      <c r="N91" s="20"/>
      <c r="O91" s="20"/>
      <c r="P91" s="20">
        <f>SUMIF('AFUDC Rates'!$A3:$A21,'Data Input sheet'!$C$91,'AFUDC Rates'!J3:J21)</f>
        <v>7.0000000000000007E-2</v>
      </c>
      <c r="Q91" s="20"/>
      <c r="R91" s="20"/>
      <c r="S91" s="20">
        <f>SUMIF('AFUDC Rates'!$A3:$A21,'Data Input sheet'!$C$91,'AFUDC Rates'!K3:K21)</f>
        <v>7.0000000000000007E-2</v>
      </c>
      <c r="V91" s="20">
        <f>SUMIF('AFUDC Rates'!$A3:$A21,'Data Input sheet'!$C$91,'AFUDC Rates'!L3:L21)</f>
        <v>7.0000000000000007E-2</v>
      </c>
      <c r="Y91" s="20">
        <f>SUMIF('AFUDC Rates'!$A3:$A21,'Data Input sheet'!$C$91,'AFUDC Rates'!M3:M21)</f>
        <v>7.0000000000000007E-2</v>
      </c>
      <c r="AB91" s="20">
        <f>SUMIF('AFUDC Rates'!$A3:$A21,'Data Input sheet'!$C$91,'AFUDC Rates'!N3:N21)</f>
        <v>7.0000000000000007E-2</v>
      </c>
      <c r="AE91" s="20">
        <f>SUMIF('AFUDC Rates'!$A3:$A21,'Data Input sheet'!$C$91,'AFUDC Rates'!O3:O21)</f>
        <v>7.0000000000000007E-2</v>
      </c>
    </row>
    <row r="92" spans="1:31" ht="15" x14ac:dyDescent="0.25">
      <c r="A92" s="2"/>
      <c r="B92" s="5" t="s">
        <v>8</v>
      </c>
      <c r="C92" s="1103" t="s">
        <v>46</v>
      </c>
      <c r="D92" s="2334" t="s">
        <v>3410</v>
      </c>
      <c r="E92" s="2336"/>
      <c r="F92" s="2336"/>
      <c r="G92" s="1825"/>
      <c r="H92" s="1825"/>
      <c r="I92" s="1825"/>
      <c r="J92" s="1825"/>
      <c r="K92" s="1825"/>
      <c r="L92" s="1825"/>
      <c r="M92" s="1825"/>
      <c r="N92" s="1825"/>
      <c r="O92" s="1825"/>
      <c r="P92" s="1825"/>
      <c r="Q92" s="1825"/>
      <c r="R92" s="1825"/>
      <c r="S92" s="1825"/>
      <c r="T92" s="1825"/>
      <c r="U92" s="1825"/>
      <c r="V92" s="1825"/>
      <c r="W92" s="1825"/>
      <c r="X92" s="1825"/>
      <c r="Y92" s="1825"/>
      <c r="Z92" s="1825"/>
      <c r="AA92" s="1825"/>
      <c r="AB92" s="1825"/>
      <c r="AC92" s="1825"/>
      <c r="AD92" s="1825"/>
      <c r="AE92" s="1825"/>
    </row>
    <row r="93" spans="1:31" ht="15" x14ac:dyDescent="0.25">
      <c r="A93" s="2"/>
      <c r="B93" t="s">
        <v>47</v>
      </c>
      <c r="C93" s="2" t="s">
        <v>46</v>
      </c>
      <c r="D93" s="2"/>
      <c r="E93" s="2"/>
      <c r="F93" s="2"/>
      <c r="G93" s="2"/>
      <c r="H93" s="2"/>
      <c r="I93" s="2"/>
    </row>
    <row r="94" spans="1:31" ht="15" x14ac:dyDescent="0.25">
      <c r="A94" s="2"/>
      <c r="B94" t="s">
        <v>48</v>
      </c>
      <c r="C94" s="2" t="s">
        <v>49</v>
      </c>
      <c r="D94" s="2"/>
      <c r="E94" s="2"/>
      <c r="F94" s="2"/>
      <c r="G94" s="2"/>
      <c r="H94" s="2"/>
      <c r="I94" s="2"/>
    </row>
    <row r="95" spans="1:31" ht="15" x14ac:dyDescent="0.25">
      <c r="A95" s="2"/>
      <c r="B95" t="s">
        <v>50</v>
      </c>
      <c r="C95" s="2" t="s">
        <v>51</v>
      </c>
      <c r="D95" s="2"/>
      <c r="E95" s="2"/>
      <c r="F95" s="2"/>
      <c r="G95" s="2"/>
      <c r="H95" s="2"/>
      <c r="I95" s="2"/>
    </row>
    <row r="96" spans="1:31" ht="15" x14ac:dyDescent="0.25">
      <c r="B96" t="s">
        <v>52</v>
      </c>
      <c r="C96" s="21" t="s">
        <v>53</v>
      </c>
      <c r="D96" s="2"/>
      <c r="E96" s="2"/>
      <c r="F96" s="2"/>
      <c r="G96" s="2"/>
      <c r="H96" s="2"/>
      <c r="I96" s="2"/>
      <c r="K96" s="2"/>
      <c r="L96" s="2"/>
      <c r="N96" s="2"/>
      <c r="O96" s="2"/>
      <c r="Q96" s="2"/>
      <c r="R96" s="2"/>
    </row>
    <row r="97" spans="2:31" ht="15" x14ac:dyDescent="0.25">
      <c r="C97" s="2"/>
      <c r="D97" s="2"/>
      <c r="E97" s="2"/>
      <c r="F97" s="2"/>
      <c r="G97" s="2"/>
      <c r="H97" s="2"/>
      <c r="I97" s="2"/>
      <c r="K97" s="2"/>
      <c r="L97" s="2"/>
      <c r="N97" s="2"/>
      <c r="O97" s="2"/>
      <c r="Q97" s="2"/>
      <c r="R97" s="2"/>
    </row>
    <row r="98" spans="2:31" s="170" customFormat="1" ht="15" x14ac:dyDescent="0.25">
      <c r="B98" s="168" t="s">
        <v>1367</v>
      </c>
      <c r="C98" s="1850" t="s">
        <v>1697</v>
      </c>
      <c r="D98" s="1851">
        <v>45292</v>
      </c>
      <c r="E98" s="2"/>
      <c r="F98" s="2"/>
      <c r="G98" s="1852">
        <f>DATE(YEAR(D98)+1,1,1)</f>
        <v>45658</v>
      </c>
      <c r="H98" s="2"/>
      <c r="I98" s="2"/>
      <c r="J98" s="1852">
        <f>DATE(YEAR(G98)+1,1,1)</f>
        <v>46023</v>
      </c>
      <c r="K98" s="2"/>
      <c r="L98" s="2"/>
      <c r="M98" s="1852">
        <f>DATE(YEAR(J98)+1,1,1)</f>
        <v>46388</v>
      </c>
      <c r="N98" s="2"/>
      <c r="O98" s="2"/>
      <c r="P98" s="1852">
        <f>DATE(YEAR(M98)+1,1,1)</f>
        <v>46753</v>
      </c>
      <c r="Q98" s="2"/>
      <c r="R98" s="2"/>
      <c r="S98" s="1852">
        <f>DATE(YEAR(P98)+1,1,1)</f>
        <v>47119</v>
      </c>
      <c r="V98" s="1852">
        <f>DATE(YEAR(S98)+1,1,1)</f>
        <v>47484</v>
      </c>
      <c r="Y98" s="1852">
        <f>DATE(YEAR(V98)+1,1,1)</f>
        <v>47849</v>
      </c>
      <c r="AB98" s="1852">
        <f>DATE(YEAR(Y98)+1,1,1)</f>
        <v>48214</v>
      </c>
      <c r="AE98" s="1852">
        <f>DATE(YEAR(AB98)+1,1,1)</f>
        <v>48580</v>
      </c>
    </row>
    <row r="99" spans="2:31" ht="15" x14ac:dyDescent="0.25">
      <c r="B99" s="11"/>
      <c r="C99" s="5" t="s">
        <v>1674</v>
      </c>
      <c r="D99" s="1958">
        <f>DATE(YEAR(D98),12,31)</f>
        <v>45657</v>
      </c>
      <c r="E99" s="2"/>
      <c r="F99" s="2"/>
      <c r="G99" s="1958">
        <f>DATE(YEAR(G98),12,31)</f>
        <v>46022</v>
      </c>
      <c r="H99" s="2"/>
      <c r="I99" s="2"/>
      <c r="J99" s="1958">
        <f>DATE(YEAR(J98),12,31)</f>
        <v>46387</v>
      </c>
      <c r="K99" s="2"/>
      <c r="L99" s="2"/>
      <c r="M99" s="1958">
        <f>DATE(YEAR(M98),12,31)</f>
        <v>46752</v>
      </c>
      <c r="N99" s="2"/>
      <c r="O99" s="2"/>
      <c r="P99" s="1958">
        <f>DATE(YEAR(P98),12,31)</f>
        <v>47118</v>
      </c>
      <c r="Q99" s="2"/>
      <c r="R99" s="2"/>
      <c r="S99" s="1958">
        <f>DATE(YEAR(S98),12,31)</f>
        <v>47483</v>
      </c>
      <c r="V99" s="1958">
        <f>DATE(YEAR(V98),12,31)</f>
        <v>47848</v>
      </c>
      <c r="Y99" s="1958">
        <f>DATE(YEAR(Y98),12,31)</f>
        <v>48213</v>
      </c>
      <c r="AB99" s="1958">
        <f>DATE(YEAR(AB98),12,31)</f>
        <v>48579</v>
      </c>
      <c r="AE99" s="1958">
        <f>DATE(YEAR(AE98),12,31)</f>
        <v>48944</v>
      </c>
    </row>
    <row r="100" spans="2:31" ht="15" x14ac:dyDescent="0.25">
      <c r="C100" s="5" t="s">
        <v>1490</v>
      </c>
      <c r="D100" s="1853">
        <f>DATEVALUE(CONCATENATE(MONTH(D98),"/1/",YEAR(D98)))</f>
        <v>45292</v>
      </c>
      <c r="E100" s="2"/>
      <c r="F100" s="2"/>
      <c r="G100" s="1853">
        <f t="shared" ref="G100:S100" si="24">DATEVALUE(CONCATENATE(MONTH(G98),"/1/",YEAR(G98)))</f>
        <v>45658</v>
      </c>
      <c r="H100" s="2"/>
      <c r="I100" s="2"/>
      <c r="J100" s="1853">
        <f t="shared" si="24"/>
        <v>46023</v>
      </c>
      <c r="K100" s="2"/>
      <c r="L100" s="2"/>
      <c r="M100" s="1853">
        <f t="shared" si="24"/>
        <v>46388</v>
      </c>
      <c r="N100" s="2"/>
      <c r="O100" s="2"/>
      <c r="P100" s="1853">
        <f t="shared" si="24"/>
        <v>46753</v>
      </c>
      <c r="Q100" s="2"/>
      <c r="R100" s="2"/>
      <c r="S100" s="1853">
        <f t="shared" si="24"/>
        <v>47119</v>
      </c>
      <c r="V100" s="1853">
        <f t="shared" ref="V100" si="25">DATEVALUE(CONCATENATE(MONTH(V98),"/1/",YEAR(V98)))</f>
        <v>47484</v>
      </c>
      <c r="Y100" s="1853">
        <f t="shared" ref="Y100" si="26">DATEVALUE(CONCATENATE(MONTH(Y98),"/1/",YEAR(Y98)))</f>
        <v>47849</v>
      </c>
      <c r="AB100" s="1853">
        <f t="shared" ref="AB100" si="27">DATEVALUE(CONCATENATE(MONTH(AB98),"/1/",YEAR(AB98)))</f>
        <v>48214</v>
      </c>
      <c r="AE100" s="1853">
        <f t="shared" ref="AE100" si="28">DATEVALUE(CONCATENATE(MONTH(AE98),"/1/",YEAR(AE98)))</f>
        <v>48580</v>
      </c>
    </row>
    <row r="101" spans="2:31" ht="15" x14ac:dyDescent="0.25">
      <c r="C101" s="5"/>
      <c r="D101" s="1853"/>
      <c r="E101" s="2"/>
      <c r="F101" s="2"/>
      <c r="G101" s="1853"/>
      <c r="H101" s="2"/>
      <c r="I101" s="2"/>
      <c r="J101" s="1853"/>
      <c r="K101" s="2"/>
      <c r="L101" s="2"/>
      <c r="M101" s="1853"/>
      <c r="N101" s="2"/>
      <c r="O101" s="2"/>
      <c r="P101" s="1853"/>
      <c r="Q101" s="2"/>
      <c r="R101" s="2"/>
      <c r="S101" s="1853"/>
      <c r="V101" s="1853"/>
      <c r="Y101" s="1853"/>
      <c r="AB101" s="1853"/>
      <c r="AE101" s="1853"/>
    </row>
    <row r="102" spans="2:31" ht="15" x14ac:dyDescent="0.25">
      <c r="C102" s="9" t="s">
        <v>1675</v>
      </c>
      <c r="D102" s="2471" t="s">
        <v>55</v>
      </c>
      <c r="E102" s="2472"/>
      <c r="F102" s="2472"/>
      <c r="G102" s="2471" t="s">
        <v>55</v>
      </c>
      <c r="H102" s="2472"/>
      <c r="I102" s="2472"/>
      <c r="J102" s="2471" t="s">
        <v>55</v>
      </c>
      <c r="K102" s="2472"/>
      <c r="L102" s="2472"/>
      <c r="M102" s="2471" t="s">
        <v>55</v>
      </c>
      <c r="N102" s="2472"/>
      <c r="O102" s="2472"/>
      <c r="P102" s="2471" t="s">
        <v>55</v>
      </c>
      <c r="Q102" s="2472"/>
      <c r="R102" s="2472"/>
      <c r="S102" s="2471" t="s">
        <v>55</v>
      </c>
      <c r="T102" s="2473"/>
      <c r="U102" s="2473"/>
      <c r="V102" s="2471" t="s">
        <v>57</v>
      </c>
      <c r="W102" s="2473"/>
      <c r="X102" s="2473"/>
      <c r="Y102" s="2471" t="s">
        <v>57</v>
      </c>
      <c r="Z102" s="2473"/>
      <c r="AA102" s="2473"/>
      <c r="AB102" s="2471" t="s">
        <v>57</v>
      </c>
      <c r="AC102" s="2473"/>
      <c r="AD102" s="2473"/>
      <c r="AE102" s="2471" t="s">
        <v>57</v>
      </c>
    </row>
    <row r="103" spans="2:31" ht="15" x14ac:dyDescent="0.25">
      <c r="C103" s="9" t="s">
        <v>1676</v>
      </c>
      <c r="D103" s="1780">
        <f ca="1">+'Detail Summary'!BG163</f>
        <v>3917.23</v>
      </c>
      <c r="E103" s="2"/>
      <c r="F103" s="2"/>
      <c r="G103" s="1780">
        <f ca="1">+'Detail Summary'!BJ163</f>
        <v>7600</v>
      </c>
      <c r="H103" s="2"/>
      <c r="I103" s="2"/>
      <c r="J103" s="2365">
        <f ca="1">+'Detail Summary'!BM163</f>
        <v>11019114</v>
      </c>
      <c r="K103" s="2"/>
      <c r="L103" s="2"/>
      <c r="M103" s="1780">
        <f ca="1">+'Detail Summary'!BP163</f>
        <v>15195169.557289999</v>
      </c>
      <c r="N103" s="2"/>
      <c r="O103" s="2"/>
      <c r="P103" s="1781">
        <f ca="1">+'Detail Summary'!BS163</f>
        <v>4098816.392</v>
      </c>
      <c r="Q103" s="2"/>
      <c r="R103" s="2"/>
      <c r="S103" s="1781">
        <f ca="1">+'Detail Summary'!BV163</f>
        <v>0</v>
      </c>
      <c r="V103" s="1781">
        <f ca="1">+'Detail Summary'!BY163</f>
        <v>0</v>
      </c>
      <c r="Y103" s="1781">
        <f ca="1">+'Detail Summary'!CB163</f>
        <v>0</v>
      </c>
      <c r="AB103" s="1781">
        <f ca="1">+'Detail Summary'!CE163</f>
        <v>0</v>
      </c>
      <c r="AE103" s="1781">
        <f ca="1">+'Detail Summary'!CH163</f>
        <v>0</v>
      </c>
    </row>
    <row r="104" spans="2:31" ht="15" x14ac:dyDescent="0.25">
      <c r="C104" s="9"/>
      <c r="D104" s="2"/>
      <c r="E104" s="2"/>
      <c r="F104" s="2"/>
      <c r="G104" s="2"/>
      <c r="H104" s="2"/>
      <c r="I104" s="2"/>
      <c r="J104" s="2"/>
      <c r="K104" s="2"/>
      <c r="L104" s="2"/>
      <c r="M104" s="2"/>
      <c r="N104" s="2"/>
      <c r="O104" s="2"/>
      <c r="P104" s="2"/>
      <c r="Q104" s="2"/>
      <c r="R104" s="2"/>
      <c r="S104" s="2"/>
      <c r="V104" s="2"/>
      <c r="Y104" s="2"/>
      <c r="AB104" s="2"/>
      <c r="AE104" s="2"/>
    </row>
    <row r="105" spans="2:31" ht="26.25" x14ac:dyDescent="0.25">
      <c r="C105" s="24" t="s">
        <v>1677</v>
      </c>
      <c r="D105" s="12" t="str">
        <f ca="1">IF(AND(D102="Y",D103&lt;&gt;0,D106&gt;0),"Y","N")</f>
        <v>Y</v>
      </c>
      <c r="E105" s="2"/>
      <c r="F105" s="2"/>
      <c r="G105" s="12" t="str">
        <f ca="1">IF(AND(G102="Y",G103&lt;&gt;0,G106&gt;0),"Y","N")</f>
        <v>Y</v>
      </c>
      <c r="H105" s="2"/>
      <c r="I105" s="2"/>
      <c r="J105" s="12" t="str">
        <f ca="1">IF(AND(J102="Y",J103&lt;&gt;0,J106&gt;0),"Y","N")</f>
        <v>Y</v>
      </c>
      <c r="K105" s="2"/>
      <c r="L105" s="2"/>
      <c r="M105" s="12" t="str">
        <f ca="1">IF(AND(M102="Y",M103&lt;&gt;0,M106&gt;0),"Y","N")</f>
        <v>Y</v>
      </c>
      <c r="N105" s="2"/>
      <c r="O105" s="2"/>
      <c r="P105" s="12" t="str">
        <f ca="1">IF(AND(P102="Y",P103&lt;&gt;0,P106&gt;0),"Y","N")</f>
        <v>Y</v>
      </c>
      <c r="Q105" s="2"/>
      <c r="R105" s="2"/>
      <c r="S105" s="12" t="str">
        <f ca="1">IF(AND(S102="Y",S103&lt;&gt;0,S106&gt;0),"Y","N")</f>
        <v>N</v>
      </c>
      <c r="V105" s="12" t="str">
        <f ca="1">IF(AND(V102="Y",V103&lt;&gt;0,V106&gt;0),"Y","N")</f>
        <v>N</v>
      </c>
      <c r="Y105" s="12" t="str">
        <f ca="1">IF(AND(Y102="Y",Y103&lt;&gt;0,Y106&gt;0),"Y","N")</f>
        <v>N</v>
      </c>
      <c r="AB105" s="12" t="str">
        <f ca="1">IF(AND(AB102="Y",AB103&lt;&gt;0,AB106&gt;0),"Y","N")</f>
        <v>N</v>
      </c>
      <c r="AE105" s="12" t="str">
        <f ca="1">IF(AND(AE102="Y",AE103&lt;&gt;0,AE106&gt;0),"Y","N")</f>
        <v>N</v>
      </c>
    </row>
    <row r="106" spans="2:31" ht="39" x14ac:dyDescent="0.25">
      <c r="C106" s="24" t="s">
        <v>1503</v>
      </c>
      <c r="D106" s="1858">
        <f>IF($C$9&gt;D99,0,IF($C$10&lt;D98,0,IF($C$9&gt;D98,IF($C$10&gt;D99,DATEDIF($C$9,D99,"m"),DATEDIF($C$9,$C$10,"m")),IF($C$10&gt;D99,12,DATEDIF(D98,($C$10),"m")))))</f>
        <v>12</v>
      </c>
      <c r="E106" s="2"/>
      <c r="F106" s="2"/>
      <c r="G106" s="1858">
        <f>IF($C$9&gt;G99,0,IF($C$10&lt;G98,0,IF($C$9&gt;G98,IF($C$10&gt;G99,DATEDIF($C$9,G99,"m"),DATEDIF($C$9,$C$10,"m")),IF($C$10&gt;G99,12,DATEDIF(G98,($C$10),"m")))))</f>
        <v>12</v>
      </c>
      <c r="H106" s="2"/>
      <c r="I106" s="2"/>
      <c r="J106" s="1858">
        <f>IF($C$9&gt;J99,0,IF($C$10&lt;J98,0,IF($C$9&gt;J98,IF($C$10&gt;J99,DATEDIF($C$9,J99,"m"),DATEDIF($C$9,$C$10,"m")),IF($C$10&gt;J99,12,DATEDIF(J98,($C$10),"m")))))</f>
        <v>12</v>
      </c>
      <c r="K106" s="2"/>
      <c r="L106" s="2"/>
      <c r="M106" s="1858">
        <f>IF($C$9&gt;M99,0,IF($C$10&lt;M98,0,IF($C$9&gt;M98,IF($C$10&gt;M99,DATEDIF($C$9,M99,"m"),DATEDIF($C$9,$C$10,"m")),IF($C$10&gt;M99,12,DATEDIF(M98,$C$10,"M")))))</f>
        <v>12</v>
      </c>
      <c r="N106" s="2"/>
      <c r="O106" s="2"/>
      <c r="P106" s="1858">
        <f>IF($C$9&gt;P99,0,IF($C$10&lt;P98,0,IF($C$9&gt;P98,IF($C$10&gt;P99,DATEDIF($C$9,P99,"m"),DATEDIF($C$9,$C$10,"m")),IF($C$10&gt;P99,12,DATEDIF(P98,($C$10),"m")))))</f>
        <v>11</v>
      </c>
      <c r="Q106" s="2"/>
      <c r="R106" s="2"/>
      <c r="S106" s="1858">
        <f>IF($C$9&gt;S99,0,IF($C$10&lt;S98,0,IF($C$9&gt;S98,IF($C$10&gt;S99,DATEDIF($C$9,S99,"m"),DATEDIF($C$9,$C$10,"m")),IF($C$10&gt;S99,12,DATEDIF(S98,($C$10),"m")))))</f>
        <v>0</v>
      </c>
      <c r="V106" s="1858">
        <f>IF($C$9&gt;V99,0,IF($C$10&lt;V98,0,IF($C$9&gt;V98,IF($C$10&gt;V99,DATEDIF($C$9,V99,"m"),DATEDIF($C$9,$C$10,"m")),IF($C$10&gt;V99,12,DATEDIF(V98,($C$10),"m")))))</f>
        <v>0</v>
      </c>
      <c r="Y106" s="1858">
        <f>IF($C$9&gt;Y99,0,IF($C$10&lt;Y98,0,IF($C$9&gt;Y98,IF($C$10&gt;Y99,DATEDIF($C$9,Y99,"m"),DATEDIF($C$9,$C$10,"m")),IF($C$10&gt;Y99,12,DATEDIF(Y98,($C$10),"m")))))</f>
        <v>0</v>
      </c>
      <c r="AB106" s="1858">
        <f>IF($C$9&gt;AB99,0,IF($C$10&lt;AB98,0,IF($C$9&gt;AB98,IF($C$10&gt;AB99,DATEDIF($C$9,AB99,"m"),DATEDIF($C$9,$C$10,"m")),IF($C$10&gt;AB99,12,DATEDIF(AB98,($C$10),"m")))))</f>
        <v>0</v>
      </c>
      <c r="AE106" s="1858">
        <f>IF($C$9&gt;AE99,0,IF($C$10&lt;AE98,0,IF($C$9&gt;AE98,IF($C$10&gt;AE99,DATEDIF($C$9,AE99,"m"),DATEDIF($C$9,$C$10,"m")),IF($C$10&gt;AE99,12,DATEDIF(AE98,($C$10),"m")))))</f>
        <v>0</v>
      </c>
    </row>
    <row r="107" spans="2:31" ht="15" x14ac:dyDescent="0.25">
      <c r="C107" s="9"/>
      <c r="E107" s="2"/>
      <c r="F107" s="2"/>
      <c r="H107" s="2"/>
      <c r="I107" s="2"/>
    </row>
    <row r="109" spans="2:31" ht="15" x14ac:dyDescent="0.25">
      <c r="D109" s="2"/>
      <c r="E109" s="2"/>
      <c r="F109" s="2"/>
      <c r="G109" s="2"/>
      <c r="H109" s="2"/>
      <c r="I109" s="2"/>
    </row>
    <row r="110" spans="2:31" ht="15" x14ac:dyDescent="0.25">
      <c r="B110" s="31" t="s">
        <v>66</v>
      </c>
      <c r="C110" s="2333" t="s">
        <v>2538</v>
      </c>
      <c r="D110" s="1764" t="s">
        <v>57</v>
      </c>
      <c r="E110" s="1762"/>
      <c r="F110" s="1762"/>
      <c r="G110" s="1762"/>
      <c r="H110" s="1762"/>
      <c r="I110" s="1762"/>
      <c r="J110" s="30"/>
      <c r="K110" s="30"/>
      <c r="L110" s="30"/>
      <c r="M110" s="30"/>
      <c r="N110" s="30"/>
      <c r="O110" s="30"/>
      <c r="P110" s="30"/>
      <c r="Q110" s="30"/>
      <c r="R110" s="30"/>
      <c r="S110" s="30"/>
      <c r="T110" s="30"/>
      <c r="U110" s="30"/>
      <c r="V110" s="30"/>
      <c r="W110" s="30"/>
      <c r="X110" s="30"/>
      <c r="Y110" s="30"/>
      <c r="Z110" s="30"/>
      <c r="AA110" s="30"/>
      <c r="AB110" s="30"/>
      <c r="AC110" s="30"/>
      <c r="AD110" s="30"/>
      <c r="AE110" s="30"/>
    </row>
    <row r="111" spans="2:31" ht="15" x14ac:dyDescent="0.25">
      <c r="D111" s="2"/>
      <c r="E111" s="2"/>
      <c r="F111" s="2"/>
      <c r="G111" s="2"/>
      <c r="H111" s="2"/>
      <c r="I111" s="2"/>
    </row>
    <row r="112" spans="2:31" ht="15" x14ac:dyDescent="0.25">
      <c r="B112" s="31" t="s">
        <v>3101</v>
      </c>
      <c r="C112" s="1762"/>
      <c r="D112" s="2485">
        <f>IF(RIGHT(+Company,2)= "CT",2,1.5)</f>
        <v>1.5</v>
      </c>
      <c r="E112" s="1762"/>
      <c r="F112" s="1762"/>
      <c r="G112" s="2486" t="s">
        <v>3102</v>
      </c>
      <c r="H112" s="1762"/>
      <c r="I112" s="1762"/>
      <c r="J112" s="30"/>
      <c r="K112" s="30"/>
      <c r="L112" s="30"/>
      <c r="M112" s="30"/>
      <c r="N112" s="30"/>
      <c r="O112" s="30"/>
      <c r="P112" s="30"/>
      <c r="Q112" s="30"/>
      <c r="R112" s="30"/>
      <c r="S112" s="30"/>
      <c r="T112" s="30"/>
      <c r="U112" s="30"/>
      <c r="V112" s="30"/>
      <c r="W112" s="30"/>
      <c r="X112" s="30"/>
      <c r="Y112" s="30"/>
      <c r="Z112" s="30"/>
      <c r="AA112" s="30"/>
      <c r="AB112" s="30"/>
      <c r="AC112" s="30"/>
      <c r="AD112" s="30"/>
      <c r="AE112" s="30"/>
    </row>
    <row r="113" spans="2:31" ht="15" x14ac:dyDescent="0.25">
      <c r="C113" s="2"/>
      <c r="D113" s="2"/>
      <c r="E113" s="2"/>
      <c r="F113" s="2"/>
      <c r="G113" s="2"/>
      <c r="H113" s="2"/>
      <c r="I113" s="2"/>
    </row>
    <row r="114" spans="2:31" ht="15" x14ac:dyDescent="0.25">
      <c r="C114" s="2"/>
      <c r="D114" s="2"/>
      <c r="E114" s="2"/>
      <c r="F114" s="2"/>
      <c r="G114" s="2"/>
      <c r="H114" s="2"/>
      <c r="I114" s="2"/>
    </row>
    <row r="115" spans="2:31" ht="15" x14ac:dyDescent="0.25">
      <c r="C115" s="2"/>
      <c r="D115" s="2"/>
      <c r="E115" s="2"/>
      <c r="F115" s="2"/>
      <c r="G115" s="2"/>
      <c r="H115" s="2"/>
      <c r="I115" s="2"/>
    </row>
    <row r="116" spans="2:31" ht="15" x14ac:dyDescent="0.25">
      <c r="B116" s="1774" t="s">
        <v>69</v>
      </c>
      <c r="C116" s="30"/>
      <c r="D116" s="2444">
        <f>+D98</f>
        <v>45292</v>
      </c>
      <c r="E116" s="30"/>
      <c r="F116" s="30"/>
      <c r="G116" s="30"/>
      <c r="H116" s="30"/>
      <c r="I116" s="30"/>
      <c r="J116" s="31"/>
      <c r="K116" s="31"/>
      <c r="L116" s="31"/>
      <c r="M116" s="30"/>
      <c r="N116" s="30"/>
      <c r="O116" s="30"/>
      <c r="P116" s="2444" t="s">
        <v>3389</v>
      </c>
      <c r="Q116" s="30"/>
      <c r="R116" s="30"/>
      <c r="S116" s="30"/>
      <c r="T116" s="30"/>
      <c r="U116" s="30"/>
      <c r="V116" s="30"/>
      <c r="W116" s="30"/>
      <c r="X116" s="30"/>
      <c r="Y116" s="30"/>
      <c r="Z116" s="30"/>
      <c r="AA116" s="30"/>
      <c r="AB116" s="30"/>
      <c r="AC116" s="30"/>
      <c r="AD116" s="30"/>
      <c r="AE116" s="30"/>
    </row>
    <row r="117" spans="2:31" ht="15" x14ac:dyDescent="0.25">
      <c r="B117" s="32"/>
      <c r="C117" s="13"/>
      <c r="D117" s="13" t="s">
        <v>70</v>
      </c>
      <c r="E117" s="13"/>
      <c r="F117" s="13"/>
      <c r="G117" s="33" t="s">
        <v>71</v>
      </c>
      <c r="H117" s="13"/>
      <c r="I117" s="13"/>
      <c r="J117" s="33" t="s">
        <v>72</v>
      </c>
      <c r="K117" s="33"/>
      <c r="L117" s="33"/>
      <c r="P117" s="13" t="s">
        <v>70</v>
      </c>
    </row>
    <row r="118" spans="2:31" ht="15" x14ac:dyDescent="0.25">
      <c r="B118" s="34" t="s">
        <v>73</v>
      </c>
      <c r="C118" s="9" t="s">
        <v>2496</v>
      </c>
      <c r="D118" s="2317">
        <f t="shared" ref="D118:D179" si="29">ROUND(P118*1.03,0)</f>
        <v>119</v>
      </c>
      <c r="E118" s="13"/>
      <c r="F118" s="13"/>
      <c r="G118" s="2317">
        <v>10</v>
      </c>
      <c r="H118" s="13"/>
      <c r="I118" s="13"/>
      <c r="J118" s="35">
        <f t="shared" ref="J118:J175" si="30">+D118*G118</f>
        <v>1190</v>
      </c>
      <c r="K118" s="35"/>
      <c r="L118" s="35"/>
      <c r="P118" s="2317">
        <v>116</v>
      </c>
    </row>
    <row r="119" spans="2:31" ht="15" x14ac:dyDescent="0.25">
      <c r="B119" s="34" t="s">
        <v>74</v>
      </c>
      <c r="C119" s="9" t="s">
        <v>2497</v>
      </c>
      <c r="D119" s="2317">
        <f t="shared" si="29"/>
        <v>152</v>
      </c>
      <c r="E119" s="13"/>
      <c r="F119" s="13"/>
      <c r="G119" s="2318">
        <v>10</v>
      </c>
      <c r="H119" s="13"/>
      <c r="I119" s="13"/>
      <c r="J119" s="35">
        <f t="shared" si="30"/>
        <v>1520</v>
      </c>
      <c r="K119" s="35"/>
      <c r="L119" s="35"/>
      <c r="P119" s="2318">
        <v>148</v>
      </c>
    </row>
    <row r="120" spans="2:31" ht="15" x14ac:dyDescent="0.25">
      <c r="B120" s="34" t="s">
        <v>75</v>
      </c>
      <c r="C120" s="9" t="s">
        <v>76</v>
      </c>
      <c r="D120" s="2317">
        <f t="shared" si="29"/>
        <v>152</v>
      </c>
      <c r="E120" s="13"/>
      <c r="F120" s="13"/>
      <c r="G120" s="2318">
        <v>10</v>
      </c>
      <c r="H120" s="13"/>
      <c r="I120" s="13"/>
      <c r="J120" s="35">
        <f t="shared" si="30"/>
        <v>1520</v>
      </c>
      <c r="K120" s="35"/>
      <c r="L120" s="35"/>
      <c r="P120" s="2318">
        <v>148</v>
      </c>
    </row>
    <row r="121" spans="2:31" ht="15" x14ac:dyDescent="0.25">
      <c r="B121" s="34"/>
      <c r="C121" s="9"/>
      <c r="D121" s="2317">
        <f t="shared" si="29"/>
        <v>0</v>
      </c>
      <c r="E121" s="13"/>
      <c r="F121" s="13"/>
      <c r="G121" s="2318">
        <v>10</v>
      </c>
      <c r="H121" s="13"/>
      <c r="I121" s="13"/>
      <c r="J121" s="35">
        <f t="shared" si="30"/>
        <v>0</v>
      </c>
      <c r="K121" s="35"/>
      <c r="L121" s="35"/>
      <c r="P121" s="2319">
        <v>0</v>
      </c>
    </row>
    <row r="122" spans="2:31" ht="15" x14ac:dyDescent="0.25">
      <c r="B122" s="34" t="s">
        <v>2498</v>
      </c>
      <c r="C122" s="9" t="s">
        <v>2502</v>
      </c>
      <c r="D122" s="2317">
        <f t="shared" si="29"/>
        <v>57</v>
      </c>
      <c r="E122" s="13"/>
      <c r="F122" s="13"/>
      <c r="G122" s="2318">
        <v>8</v>
      </c>
      <c r="H122" s="13"/>
      <c r="I122" s="13"/>
      <c r="J122" s="35">
        <f t="shared" si="30"/>
        <v>456</v>
      </c>
      <c r="K122" s="35"/>
      <c r="L122" s="35"/>
      <c r="P122" s="2318">
        <v>55</v>
      </c>
    </row>
    <row r="123" spans="2:31" ht="15" x14ac:dyDescent="0.25">
      <c r="B123" s="34" t="s">
        <v>2499</v>
      </c>
      <c r="C123" s="9" t="s">
        <v>2503</v>
      </c>
      <c r="D123" s="2317">
        <f t="shared" si="29"/>
        <v>57</v>
      </c>
      <c r="E123" s="13"/>
      <c r="F123" s="13"/>
      <c r="G123" s="2318">
        <v>8</v>
      </c>
      <c r="H123" s="13"/>
      <c r="I123" s="13"/>
      <c r="J123" s="35">
        <f t="shared" ref="J123:J125" si="31">+D123*G123</f>
        <v>456</v>
      </c>
      <c r="K123" s="35"/>
      <c r="L123" s="35"/>
      <c r="P123" s="2318">
        <v>55</v>
      </c>
    </row>
    <row r="124" spans="2:31" ht="15" x14ac:dyDescent="0.25">
      <c r="B124" s="34" t="s">
        <v>2500</v>
      </c>
      <c r="C124" s="9" t="s">
        <v>2504</v>
      </c>
      <c r="D124" s="2317">
        <f t="shared" si="29"/>
        <v>57</v>
      </c>
      <c r="E124" s="13"/>
      <c r="F124" s="13"/>
      <c r="G124" s="2318">
        <v>8</v>
      </c>
      <c r="H124" s="13"/>
      <c r="I124" s="13"/>
      <c r="J124" s="35">
        <f t="shared" si="31"/>
        <v>456</v>
      </c>
      <c r="K124" s="35"/>
      <c r="L124" s="35"/>
      <c r="P124" s="2318">
        <v>55</v>
      </c>
    </row>
    <row r="125" spans="2:31" ht="15" x14ac:dyDescent="0.25">
      <c r="B125" s="34" t="s">
        <v>2501</v>
      </c>
      <c r="C125" s="9" t="s">
        <v>2505</v>
      </c>
      <c r="D125" s="2317">
        <f t="shared" si="29"/>
        <v>57</v>
      </c>
      <c r="E125" s="13"/>
      <c r="F125" s="13"/>
      <c r="G125" s="2318">
        <v>8</v>
      </c>
      <c r="H125" s="13"/>
      <c r="I125" s="13"/>
      <c r="J125" s="35">
        <f t="shared" si="31"/>
        <v>456</v>
      </c>
      <c r="K125" s="35"/>
      <c r="L125" s="35"/>
      <c r="P125" s="2318">
        <v>55</v>
      </c>
    </row>
    <row r="126" spans="2:31" ht="15" x14ac:dyDescent="0.25">
      <c r="B126" s="34"/>
      <c r="C126" s="9"/>
      <c r="D126" s="2317">
        <f t="shared" si="29"/>
        <v>0</v>
      </c>
      <c r="E126" s="13"/>
      <c r="F126" s="13"/>
      <c r="G126" s="2318">
        <v>10</v>
      </c>
      <c r="H126" s="13"/>
      <c r="I126" s="13"/>
      <c r="J126" s="35">
        <f t="shared" ref="J126" si="32">+D126*G126</f>
        <v>0</v>
      </c>
      <c r="K126" s="35"/>
      <c r="L126" s="35"/>
      <c r="P126" s="2319">
        <v>0</v>
      </c>
    </row>
    <row r="127" spans="2:31" ht="15" x14ac:dyDescent="0.25">
      <c r="B127" s="34" t="str">
        <f>+'Labor Rate Table'!$K$3</f>
        <v>EMA</v>
      </c>
      <c r="C127" s="2446" t="s">
        <v>2759</v>
      </c>
      <c r="D127" s="2317"/>
      <c r="E127" s="13"/>
      <c r="F127" s="13"/>
      <c r="G127" s="2318"/>
      <c r="H127" s="13"/>
      <c r="I127" s="13"/>
      <c r="J127" s="35"/>
      <c r="K127" s="35"/>
      <c r="L127" s="35"/>
      <c r="P127" s="2319"/>
    </row>
    <row r="128" spans="2:31" ht="15" x14ac:dyDescent="0.25">
      <c r="B128" s="34"/>
      <c r="C128" t="s">
        <v>2744</v>
      </c>
      <c r="D128" s="2317">
        <f ca="1">+'Labor Rate Table'!H4</f>
        <v>57.3</v>
      </c>
      <c r="E128" s="13"/>
      <c r="F128" s="13"/>
      <c r="G128" s="2318"/>
      <c r="H128" s="13"/>
      <c r="I128" s="13"/>
      <c r="J128" s="35"/>
      <c r="K128" s="35"/>
      <c r="L128" s="35"/>
      <c r="P128" s="2319"/>
    </row>
    <row r="129" spans="2:16" ht="15" x14ac:dyDescent="0.25">
      <c r="B129" s="34"/>
      <c r="C129" t="s">
        <v>2745</v>
      </c>
      <c r="D129" s="2317">
        <f ca="1">+'Labor Rate Table'!H5</f>
        <v>46.7</v>
      </c>
      <c r="E129" s="13"/>
      <c r="F129" s="13"/>
      <c r="G129" s="2318"/>
      <c r="H129" s="13"/>
      <c r="I129" s="13"/>
      <c r="J129" s="35"/>
      <c r="K129" s="35"/>
      <c r="L129" s="35"/>
      <c r="P129" s="2319"/>
    </row>
    <row r="130" spans="2:16" ht="15" x14ac:dyDescent="0.25">
      <c r="B130" s="34"/>
      <c r="C130" t="s">
        <v>2746</v>
      </c>
      <c r="D130" s="2317">
        <f ca="1">+'Labor Rate Table'!H6</f>
        <v>62.6</v>
      </c>
      <c r="E130" s="13"/>
      <c r="F130" s="13"/>
      <c r="G130" s="2318"/>
      <c r="H130" s="13"/>
      <c r="I130" s="13"/>
      <c r="J130" s="35"/>
      <c r="K130" s="35"/>
      <c r="L130" s="35"/>
      <c r="P130" s="2319"/>
    </row>
    <row r="131" spans="2:16" ht="15" x14ac:dyDescent="0.25">
      <c r="B131" s="34"/>
      <c r="C131" t="s">
        <v>2747</v>
      </c>
      <c r="D131" s="2317">
        <f ca="1">+'Labor Rate Table'!H7</f>
        <v>52</v>
      </c>
      <c r="E131" s="13"/>
      <c r="F131" s="13"/>
      <c r="G131" s="2318"/>
      <c r="H131" s="13"/>
      <c r="I131" s="13"/>
      <c r="J131" s="35"/>
      <c r="K131" s="35"/>
      <c r="L131" s="35"/>
      <c r="P131" s="2319"/>
    </row>
    <row r="132" spans="2:16" ht="15" x14ac:dyDescent="0.25">
      <c r="B132" s="34"/>
      <c r="C132" t="s">
        <v>2748</v>
      </c>
      <c r="D132" s="2317">
        <f ca="1">+'Labor Rate Table'!H8</f>
        <v>59.4</v>
      </c>
      <c r="E132" s="13"/>
      <c r="F132" s="13"/>
      <c r="G132" s="2318"/>
      <c r="H132" s="13"/>
      <c r="I132" s="13"/>
      <c r="J132" s="35"/>
      <c r="K132" s="35"/>
      <c r="L132" s="35"/>
      <c r="P132" s="2319"/>
    </row>
    <row r="133" spans="2:16" ht="15" x14ac:dyDescent="0.25">
      <c r="B133" s="34"/>
      <c r="C133" t="s">
        <v>2749</v>
      </c>
      <c r="D133" s="2317">
        <f ca="1">+'Labor Rate Table'!H9</f>
        <v>63.03</v>
      </c>
      <c r="E133" s="13"/>
      <c r="F133" s="13"/>
      <c r="G133" s="2318"/>
      <c r="H133" s="13"/>
      <c r="I133" s="13"/>
      <c r="J133" s="35"/>
      <c r="K133" s="35"/>
      <c r="L133" s="35"/>
      <c r="P133" s="2319"/>
    </row>
    <row r="134" spans="2:16" ht="15" x14ac:dyDescent="0.25">
      <c r="B134" s="34"/>
      <c r="C134" t="s">
        <v>296</v>
      </c>
      <c r="D134" s="2317">
        <f ca="1">+'Labor Rate Table'!H10</f>
        <v>0</v>
      </c>
      <c r="E134" s="13"/>
      <c r="F134" s="13"/>
      <c r="G134" s="2318"/>
      <c r="H134" s="13"/>
      <c r="I134" s="13"/>
      <c r="J134" s="35"/>
      <c r="K134" s="35"/>
      <c r="L134" s="35"/>
      <c r="P134" s="2319"/>
    </row>
    <row r="135" spans="2:16" ht="15" x14ac:dyDescent="0.25">
      <c r="B135" s="34"/>
      <c r="C135" t="s">
        <v>296</v>
      </c>
      <c r="D135" s="2317">
        <f ca="1">+'Labor Rate Table'!H11</f>
        <v>0</v>
      </c>
      <c r="E135" s="13"/>
      <c r="F135" s="13"/>
      <c r="G135" s="2318"/>
      <c r="H135" s="13"/>
      <c r="I135" s="13"/>
      <c r="J135" s="35"/>
      <c r="K135" s="35"/>
      <c r="L135" s="35"/>
      <c r="P135" s="2319"/>
    </row>
    <row r="136" spans="2:16" ht="15" x14ac:dyDescent="0.25">
      <c r="B136" s="34"/>
      <c r="C136" t="s">
        <v>296</v>
      </c>
      <c r="D136" s="2317">
        <f ca="1">+'Labor Rate Table'!H12</f>
        <v>0</v>
      </c>
      <c r="E136" s="13"/>
      <c r="F136" s="13"/>
      <c r="G136" s="2318"/>
      <c r="H136" s="13"/>
      <c r="I136" s="13"/>
      <c r="J136" s="35"/>
      <c r="K136" s="35"/>
      <c r="L136" s="35"/>
      <c r="P136" s="2319"/>
    </row>
    <row r="137" spans="2:16" ht="15" x14ac:dyDescent="0.25">
      <c r="B137" s="34" t="str">
        <f>+'Labor Rate Table'!$K$3</f>
        <v>EMA</v>
      </c>
      <c r="C137" s="2446" t="s">
        <v>2760</v>
      </c>
      <c r="D137" s="2317">
        <f ca="1">+'Labor Rate Table'!H13</f>
        <v>0</v>
      </c>
      <c r="E137" s="13"/>
      <c r="F137" s="13"/>
      <c r="G137" s="2318"/>
      <c r="H137" s="13"/>
      <c r="I137" s="13"/>
      <c r="J137" s="35"/>
      <c r="K137" s="35"/>
      <c r="L137" s="35"/>
      <c r="P137" s="2319"/>
    </row>
    <row r="138" spans="2:16" ht="15" x14ac:dyDescent="0.25">
      <c r="B138" s="34"/>
      <c r="C138" t="s">
        <v>313</v>
      </c>
      <c r="D138" s="2317">
        <f ca="1">+'Labor Rate Table'!H14</f>
        <v>63.7</v>
      </c>
      <c r="E138" s="13"/>
      <c r="F138" s="13"/>
      <c r="G138" s="2318"/>
      <c r="H138" s="13"/>
      <c r="I138" s="13"/>
      <c r="J138" s="35"/>
      <c r="K138" s="35"/>
      <c r="L138" s="35"/>
      <c r="P138" s="2319"/>
    </row>
    <row r="139" spans="2:16" ht="15" x14ac:dyDescent="0.25">
      <c r="B139" s="34"/>
      <c r="C139" t="s">
        <v>1770</v>
      </c>
      <c r="D139" s="2317">
        <f ca="1">+'Labor Rate Table'!H15</f>
        <v>63.7</v>
      </c>
      <c r="E139" s="13"/>
      <c r="F139" s="13"/>
      <c r="G139" s="2318"/>
      <c r="H139" s="13"/>
      <c r="I139" s="13"/>
      <c r="J139" s="35"/>
      <c r="K139" s="35"/>
      <c r="L139" s="35"/>
      <c r="P139" s="2319"/>
    </row>
    <row r="140" spans="2:16" ht="15" x14ac:dyDescent="0.25">
      <c r="B140" s="34"/>
      <c r="C140" t="s">
        <v>1771</v>
      </c>
      <c r="D140" s="2317">
        <f ca="1">+'Labor Rate Table'!H16</f>
        <v>63.7</v>
      </c>
      <c r="E140" s="13"/>
      <c r="F140" s="13"/>
      <c r="G140" s="2318"/>
      <c r="H140" s="13"/>
      <c r="I140" s="13"/>
      <c r="J140" s="35"/>
      <c r="K140" s="35"/>
      <c r="L140" s="35"/>
      <c r="P140" s="2319"/>
    </row>
    <row r="141" spans="2:16" ht="15" x14ac:dyDescent="0.25">
      <c r="B141" s="34"/>
      <c r="C141" t="s">
        <v>314</v>
      </c>
      <c r="D141" s="2317">
        <f ca="1">+'Labor Rate Table'!H17</f>
        <v>63.7</v>
      </c>
      <c r="E141" s="13"/>
      <c r="F141" s="13"/>
      <c r="G141" s="2318"/>
      <c r="H141" s="13"/>
      <c r="I141" s="13"/>
      <c r="J141" s="35"/>
      <c r="K141" s="35"/>
      <c r="L141" s="35"/>
      <c r="P141" s="2319"/>
    </row>
    <row r="142" spans="2:16" ht="15" x14ac:dyDescent="0.25">
      <c r="B142" s="34"/>
      <c r="C142" t="s">
        <v>2750</v>
      </c>
      <c r="D142" s="2317">
        <f ca="1">+'Labor Rate Table'!H18</f>
        <v>61.5</v>
      </c>
      <c r="E142" s="13"/>
      <c r="F142" s="13"/>
      <c r="G142" s="2318"/>
      <c r="H142" s="13"/>
      <c r="I142" s="13"/>
      <c r="J142" s="35"/>
      <c r="K142" s="35"/>
      <c r="L142" s="35"/>
      <c r="P142" s="2319"/>
    </row>
    <row r="143" spans="2:16" ht="15" x14ac:dyDescent="0.25">
      <c r="B143" s="34"/>
      <c r="C143" t="s">
        <v>315</v>
      </c>
      <c r="D143" s="2317">
        <f ca="1">+'Labor Rate Table'!H19</f>
        <v>61.5</v>
      </c>
      <c r="E143" s="13"/>
      <c r="F143" s="13"/>
      <c r="G143" s="2318"/>
      <c r="H143" s="13"/>
      <c r="I143" s="13"/>
      <c r="J143" s="35"/>
      <c r="K143" s="35"/>
      <c r="L143" s="35"/>
      <c r="P143" s="2319"/>
    </row>
    <row r="144" spans="2:16" ht="15" x14ac:dyDescent="0.25">
      <c r="B144" s="34"/>
      <c r="C144" t="s">
        <v>316</v>
      </c>
      <c r="D144" s="2317">
        <f ca="1">+'Labor Rate Table'!H20</f>
        <v>55.2</v>
      </c>
      <c r="E144" s="13"/>
      <c r="F144" s="13"/>
      <c r="G144" s="2318"/>
      <c r="H144" s="13"/>
      <c r="I144" s="13"/>
      <c r="J144" s="35"/>
      <c r="K144" s="35"/>
      <c r="L144" s="35"/>
      <c r="P144" s="2319"/>
    </row>
    <row r="145" spans="2:16" ht="15" x14ac:dyDescent="0.25">
      <c r="B145" s="34"/>
      <c r="C145" t="s">
        <v>1776</v>
      </c>
      <c r="D145" s="2317">
        <f ca="1">+'Labor Rate Table'!H21</f>
        <v>65.8</v>
      </c>
      <c r="E145" s="13"/>
      <c r="F145" s="13"/>
      <c r="G145" s="2318"/>
      <c r="H145" s="13"/>
      <c r="I145" s="13"/>
      <c r="J145" s="35"/>
      <c r="K145" s="35"/>
      <c r="L145" s="35"/>
      <c r="P145" s="2319"/>
    </row>
    <row r="146" spans="2:16" ht="15" x14ac:dyDescent="0.25">
      <c r="B146" s="34"/>
      <c r="C146" t="s">
        <v>317</v>
      </c>
      <c r="D146" s="2317">
        <f ca="1">+'Labor Rate Table'!H22</f>
        <v>65.8</v>
      </c>
      <c r="E146" s="13"/>
      <c r="F146" s="13"/>
      <c r="G146" s="2318"/>
      <c r="H146" s="13"/>
      <c r="I146" s="13"/>
      <c r="J146" s="35"/>
      <c r="K146" s="35"/>
      <c r="L146" s="35"/>
      <c r="P146" s="2319"/>
    </row>
    <row r="147" spans="2:16" ht="15" x14ac:dyDescent="0.25">
      <c r="B147" s="34"/>
      <c r="C147" t="s">
        <v>1779</v>
      </c>
      <c r="D147" s="2317">
        <f ca="1">+'Labor Rate Table'!H23</f>
        <v>0</v>
      </c>
      <c r="E147" s="13"/>
      <c r="F147" s="13"/>
      <c r="G147" s="2318"/>
      <c r="H147" s="13"/>
      <c r="I147" s="13"/>
      <c r="J147" s="35"/>
      <c r="K147" s="35"/>
      <c r="L147" s="35"/>
      <c r="P147" s="2319"/>
    </row>
    <row r="148" spans="2:16" ht="15" x14ac:dyDescent="0.25">
      <c r="B148" s="34"/>
      <c r="C148" t="s">
        <v>1779</v>
      </c>
      <c r="D148" s="2317">
        <f ca="1">+'Labor Rate Table'!H24</f>
        <v>0</v>
      </c>
      <c r="E148" s="13"/>
      <c r="F148" s="13"/>
      <c r="G148" s="2318"/>
      <c r="H148" s="13"/>
      <c r="I148" s="13"/>
      <c r="J148" s="35"/>
      <c r="K148" s="35"/>
      <c r="L148" s="35"/>
      <c r="P148" s="2319"/>
    </row>
    <row r="149" spans="2:16" ht="15" x14ac:dyDescent="0.25">
      <c r="B149" s="34" t="str">
        <f>+'Labor Rate Table'!$K$3</f>
        <v>EMA</v>
      </c>
      <c r="C149" s="2446" t="s">
        <v>2761</v>
      </c>
      <c r="D149" s="2317">
        <f ca="1">+'Labor Rate Table'!H25</f>
        <v>0</v>
      </c>
      <c r="E149" s="13"/>
      <c r="F149" s="13"/>
      <c r="G149" s="2318"/>
      <c r="H149" s="13"/>
      <c r="I149" s="13"/>
      <c r="J149" s="35"/>
      <c r="K149" s="35"/>
      <c r="L149" s="35"/>
      <c r="P149" s="2319"/>
    </row>
    <row r="150" spans="2:16" ht="15" x14ac:dyDescent="0.25">
      <c r="B150" s="34"/>
      <c r="C150" t="s">
        <v>326</v>
      </c>
      <c r="D150" s="2317">
        <f ca="1">+'Labor Rate Table'!H26</f>
        <v>64.7</v>
      </c>
      <c r="E150" s="13"/>
      <c r="F150" s="13"/>
      <c r="G150" s="2318"/>
      <c r="H150" s="13"/>
      <c r="I150" s="13"/>
      <c r="J150" s="35"/>
      <c r="K150" s="35"/>
      <c r="L150" s="35"/>
      <c r="P150" s="2319"/>
    </row>
    <row r="151" spans="2:16" ht="15" x14ac:dyDescent="0.25">
      <c r="B151" s="34" t="str">
        <f>+'Labor Rate Table'!$K$3</f>
        <v>EMA</v>
      </c>
      <c r="C151" s="2446" t="s">
        <v>2762</v>
      </c>
      <c r="D151" s="2317">
        <f ca="1">+'Labor Rate Table'!H27</f>
        <v>0</v>
      </c>
      <c r="E151" s="13"/>
      <c r="F151" s="13"/>
      <c r="G151" s="2318"/>
      <c r="H151" s="13"/>
      <c r="I151" s="13"/>
      <c r="J151" s="35"/>
      <c r="K151" s="35"/>
      <c r="L151" s="35"/>
      <c r="P151" s="2319"/>
    </row>
    <row r="152" spans="2:16" ht="15" x14ac:dyDescent="0.25">
      <c r="B152" s="34"/>
      <c r="C152" t="s">
        <v>2751</v>
      </c>
      <c r="D152" s="2317">
        <f ca="1">+'Labor Rate Table'!H28</f>
        <v>63.7</v>
      </c>
      <c r="E152" s="13"/>
      <c r="F152" s="13"/>
      <c r="G152" s="2318"/>
      <c r="H152" s="13"/>
      <c r="I152" s="13"/>
      <c r="J152" s="35"/>
      <c r="K152" s="35"/>
      <c r="L152" s="35"/>
      <c r="P152" s="2319"/>
    </row>
    <row r="153" spans="2:16" ht="15" x14ac:dyDescent="0.25">
      <c r="B153" s="34"/>
      <c r="C153" t="s">
        <v>2752</v>
      </c>
      <c r="D153" s="2317">
        <f ca="1">+'Labor Rate Table'!H29</f>
        <v>46.7</v>
      </c>
      <c r="E153" s="13"/>
      <c r="F153" s="13"/>
      <c r="G153" s="2318"/>
      <c r="H153" s="13"/>
      <c r="I153" s="13"/>
      <c r="J153" s="35"/>
      <c r="K153" s="35"/>
      <c r="L153" s="35"/>
      <c r="P153" s="2319"/>
    </row>
    <row r="154" spans="2:16" ht="15" x14ac:dyDescent="0.25">
      <c r="B154" s="34"/>
      <c r="C154" t="s">
        <v>340</v>
      </c>
      <c r="D154" s="2317">
        <f ca="1">+'Labor Rate Table'!H30</f>
        <v>65.8</v>
      </c>
      <c r="E154" s="13"/>
      <c r="F154" s="13"/>
      <c r="G154" s="2318"/>
      <c r="H154" s="13"/>
      <c r="I154" s="13"/>
      <c r="J154" s="35"/>
      <c r="K154" s="35"/>
      <c r="L154" s="35"/>
      <c r="P154" s="2319"/>
    </row>
    <row r="155" spans="2:16" ht="15" x14ac:dyDescent="0.25">
      <c r="B155" s="34"/>
      <c r="C155" t="s">
        <v>341</v>
      </c>
      <c r="D155" s="2317">
        <f ca="1">+'Labor Rate Table'!H31</f>
        <v>70</v>
      </c>
      <c r="E155" s="13"/>
      <c r="F155" s="13"/>
      <c r="G155" s="2318"/>
      <c r="H155" s="13"/>
      <c r="I155" s="13"/>
      <c r="J155" s="35"/>
      <c r="K155" s="35"/>
      <c r="L155" s="35"/>
      <c r="P155" s="2319"/>
    </row>
    <row r="156" spans="2:16" ht="15" x14ac:dyDescent="0.25">
      <c r="B156" s="34"/>
      <c r="C156" t="s">
        <v>342</v>
      </c>
      <c r="D156" s="2317">
        <f ca="1">+'Labor Rate Table'!H32</f>
        <v>55.2</v>
      </c>
      <c r="E156" s="13"/>
      <c r="F156" s="13"/>
      <c r="G156" s="2318"/>
      <c r="H156" s="13"/>
      <c r="I156" s="13"/>
      <c r="J156" s="35"/>
      <c r="K156" s="35"/>
      <c r="L156" s="35"/>
      <c r="P156" s="2319"/>
    </row>
    <row r="157" spans="2:16" ht="15" x14ac:dyDescent="0.25">
      <c r="B157" s="34"/>
      <c r="C157" t="s">
        <v>2753</v>
      </c>
      <c r="D157" s="2317">
        <f ca="1">+'Labor Rate Table'!H33</f>
        <v>55.2</v>
      </c>
      <c r="E157" s="13"/>
      <c r="F157" s="13"/>
      <c r="G157" s="2318"/>
      <c r="H157" s="13"/>
      <c r="I157" s="13"/>
      <c r="J157" s="35"/>
      <c r="K157" s="35"/>
      <c r="L157" s="35"/>
      <c r="P157" s="2319"/>
    </row>
    <row r="158" spans="2:16" ht="15" x14ac:dyDescent="0.25">
      <c r="B158" s="34"/>
      <c r="C158" t="s">
        <v>343</v>
      </c>
      <c r="D158" s="2317">
        <f>+'Labor Rate Table'!H34</f>
        <v>98.7</v>
      </c>
      <c r="E158" s="13"/>
      <c r="F158" s="13"/>
      <c r="G158" s="2318"/>
      <c r="H158" s="13"/>
      <c r="I158" s="13"/>
      <c r="J158" s="35"/>
      <c r="K158" s="35"/>
      <c r="L158" s="35"/>
      <c r="P158" s="2319"/>
    </row>
    <row r="159" spans="2:16" ht="15" x14ac:dyDescent="0.25">
      <c r="B159" s="34"/>
      <c r="C159" t="s">
        <v>344</v>
      </c>
      <c r="D159" s="2317">
        <f>+'Labor Rate Table'!H35</f>
        <v>61</v>
      </c>
      <c r="E159" s="13"/>
      <c r="F159" s="13"/>
      <c r="G159" s="2318"/>
      <c r="H159" s="13"/>
      <c r="I159" s="13"/>
      <c r="J159" s="35"/>
      <c r="K159" s="35"/>
      <c r="L159" s="35"/>
      <c r="P159" s="2319"/>
    </row>
    <row r="160" spans="2:16" ht="15" x14ac:dyDescent="0.25">
      <c r="B160" s="34"/>
      <c r="C160" t="s">
        <v>2754</v>
      </c>
      <c r="D160" s="2317">
        <f ca="1">+'Labor Rate Table'!H36</f>
        <v>58.4</v>
      </c>
      <c r="E160" s="13"/>
      <c r="F160" s="13"/>
      <c r="G160" s="2318"/>
      <c r="H160" s="13"/>
      <c r="I160" s="13"/>
      <c r="J160" s="35"/>
      <c r="K160" s="35"/>
      <c r="L160" s="35"/>
      <c r="P160" s="2319"/>
    </row>
    <row r="161" spans="2:16" ht="15" x14ac:dyDescent="0.25">
      <c r="B161" s="34"/>
      <c r="C161" t="s">
        <v>2755</v>
      </c>
      <c r="D161" s="2317">
        <f ca="1">+'Labor Rate Table'!H37</f>
        <v>57.3</v>
      </c>
      <c r="E161" s="13"/>
      <c r="F161" s="13"/>
      <c r="G161" s="2318"/>
      <c r="H161" s="13"/>
      <c r="I161" s="13"/>
      <c r="J161" s="35"/>
      <c r="K161" s="35"/>
      <c r="L161" s="35"/>
      <c r="P161" s="2319"/>
    </row>
    <row r="162" spans="2:16" ht="15" x14ac:dyDescent="0.25">
      <c r="B162" s="34"/>
      <c r="C162" s="853" t="s">
        <v>2756</v>
      </c>
      <c r="D162" s="2317">
        <f ca="1">+'Labor Rate Table'!H38</f>
        <v>61.5</v>
      </c>
      <c r="E162" s="13"/>
      <c r="F162" s="13"/>
      <c r="G162" s="2318"/>
      <c r="H162" s="13"/>
      <c r="I162" s="13"/>
      <c r="J162" s="35"/>
      <c r="K162" s="35"/>
      <c r="L162" s="35"/>
      <c r="P162" s="2319"/>
    </row>
    <row r="163" spans="2:16" ht="15" x14ac:dyDescent="0.25">
      <c r="B163" s="34"/>
      <c r="C163" t="s">
        <v>345</v>
      </c>
      <c r="D163" s="2317">
        <f>+'Labor Rate Table'!H39</f>
        <v>0</v>
      </c>
      <c r="E163" s="13"/>
      <c r="F163" s="13"/>
      <c r="G163" s="2318"/>
      <c r="H163" s="13"/>
      <c r="I163" s="13"/>
      <c r="J163" s="35"/>
      <c r="K163" s="35"/>
      <c r="L163" s="35"/>
      <c r="P163" s="2319"/>
    </row>
    <row r="164" spans="2:16" ht="15" x14ac:dyDescent="0.25">
      <c r="B164" s="34"/>
      <c r="C164" t="s">
        <v>345</v>
      </c>
      <c r="D164" s="2317">
        <f>+'Labor Rate Table'!H40</f>
        <v>0</v>
      </c>
      <c r="E164" s="13"/>
      <c r="F164" s="13"/>
      <c r="G164" s="2318"/>
      <c r="H164" s="13"/>
      <c r="I164" s="13"/>
      <c r="J164" s="35"/>
      <c r="K164" s="35"/>
      <c r="L164" s="35"/>
      <c r="P164" s="2319"/>
    </row>
    <row r="165" spans="2:16" ht="15" x14ac:dyDescent="0.25">
      <c r="B165" s="34"/>
      <c r="C165" t="s">
        <v>345</v>
      </c>
      <c r="D165" s="2317">
        <f>+'Labor Rate Table'!H41</f>
        <v>0</v>
      </c>
      <c r="E165" s="13"/>
      <c r="F165" s="13"/>
      <c r="G165" s="2318"/>
      <c r="H165" s="13"/>
      <c r="I165" s="13"/>
      <c r="J165" s="35"/>
      <c r="K165" s="35"/>
      <c r="L165" s="35"/>
      <c r="P165" s="2319"/>
    </row>
    <row r="166" spans="2:16" ht="15" x14ac:dyDescent="0.25">
      <c r="B166" s="34" t="str">
        <f>+'Labor Rate Table'!$K$3</f>
        <v>EMA</v>
      </c>
      <c r="C166" s="2446" t="s">
        <v>2763</v>
      </c>
      <c r="D166" s="2317">
        <f>+'Labor Rate Table'!H42</f>
        <v>0</v>
      </c>
      <c r="E166" s="13"/>
      <c r="F166" s="13"/>
      <c r="G166" s="2318"/>
      <c r="H166" s="13"/>
      <c r="I166" s="13"/>
      <c r="J166" s="35"/>
      <c r="K166" s="35"/>
      <c r="L166" s="35"/>
      <c r="P166" s="2319"/>
    </row>
    <row r="167" spans="2:16" ht="15" x14ac:dyDescent="0.25">
      <c r="B167" s="34" t="s">
        <v>81</v>
      </c>
      <c r="C167" t="s">
        <v>2757</v>
      </c>
      <c r="D167" s="2317">
        <f>+'Labor Rate Table'!H43</f>
        <v>64</v>
      </c>
      <c r="E167" s="13"/>
      <c r="F167" s="13"/>
      <c r="G167" s="2318"/>
      <c r="H167" s="13"/>
      <c r="I167" s="13"/>
      <c r="J167" s="35"/>
      <c r="K167" s="35"/>
      <c r="L167" s="35"/>
      <c r="P167" s="2319"/>
    </row>
    <row r="168" spans="2:16" ht="15" x14ac:dyDescent="0.25">
      <c r="B168" s="34" t="s">
        <v>79</v>
      </c>
      <c r="C168" t="s">
        <v>2758</v>
      </c>
      <c r="D168" s="2317">
        <f>+'Labor Rate Table'!H44</f>
        <v>64</v>
      </c>
      <c r="E168" s="13"/>
      <c r="F168" s="13"/>
      <c r="G168" s="2318"/>
      <c r="H168" s="13"/>
      <c r="I168" s="13"/>
      <c r="J168" s="35"/>
      <c r="K168" s="35"/>
      <c r="L168" s="35"/>
      <c r="P168" s="2319"/>
    </row>
    <row r="169" spans="2:16" ht="15" x14ac:dyDescent="0.25">
      <c r="B169" s="34"/>
      <c r="C169" s="9"/>
      <c r="D169" s="2317"/>
      <c r="E169" s="13"/>
      <c r="F169" s="13"/>
      <c r="G169" s="2318"/>
      <c r="H169" s="13"/>
      <c r="I169" s="13"/>
      <c r="J169" s="35"/>
      <c r="K169" s="35"/>
      <c r="L169" s="35"/>
      <c r="P169" s="2319"/>
    </row>
    <row r="170" spans="2:16" ht="15" x14ac:dyDescent="0.25">
      <c r="B170" s="34"/>
      <c r="C170" s="9"/>
      <c r="D170" s="2317"/>
      <c r="E170" s="13"/>
      <c r="F170" s="13"/>
      <c r="G170" s="2318"/>
      <c r="H170" s="13"/>
      <c r="I170" s="13"/>
      <c r="J170" s="35"/>
      <c r="K170" s="35"/>
      <c r="L170" s="35"/>
      <c r="P170" s="2319"/>
    </row>
    <row r="171" spans="2:16" ht="15" x14ac:dyDescent="0.25">
      <c r="B171" s="34"/>
      <c r="C171" s="9"/>
      <c r="D171" s="2317"/>
      <c r="E171" s="13"/>
      <c r="F171" s="13"/>
      <c r="G171" s="2318"/>
      <c r="H171" s="13"/>
      <c r="I171" s="13"/>
      <c r="J171" s="35"/>
      <c r="K171" s="35"/>
      <c r="L171" s="35"/>
      <c r="P171" s="2319"/>
    </row>
    <row r="172" spans="2:16" ht="15" x14ac:dyDescent="0.25">
      <c r="C172" s="9"/>
      <c r="D172" s="2317"/>
      <c r="E172" s="13"/>
      <c r="F172" s="13"/>
      <c r="G172" s="2318"/>
      <c r="H172" s="13"/>
      <c r="I172" s="13"/>
      <c r="J172" s="35"/>
      <c r="K172" s="35"/>
      <c r="L172" s="35"/>
      <c r="P172" s="2318"/>
    </row>
    <row r="173" spans="2:16" ht="15" x14ac:dyDescent="0.25">
      <c r="B173" s="34" t="s">
        <v>79</v>
      </c>
      <c r="C173" s="9" t="s">
        <v>80</v>
      </c>
      <c r="D173" s="2317">
        <f t="shared" si="29"/>
        <v>220</v>
      </c>
      <c r="E173" s="13"/>
      <c r="F173" s="13"/>
      <c r="G173" s="2318">
        <v>10</v>
      </c>
      <c r="H173" s="13"/>
      <c r="I173" s="13"/>
      <c r="J173" s="35">
        <f t="shared" ref="J173" si="33">+D173*G173</f>
        <v>2200</v>
      </c>
      <c r="K173" s="35"/>
      <c r="L173" s="35"/>
      <c r="P173" s="2318">
        <v>214</v>
      </c>
    </row>
    <row r="174" spans="2:16" ht="15" x14ac:dyDescent="0.25">
      <c r="B174" s="34" t="s">
        <v>81</v>
      </c>
      <c r="C174" s="9" t="s">
        <v>82</v>
      </c>
      <c r="D174" s="2317">
        <f t="shared" si="29"/>
        <v>191</v>
      </c>
      <c r="E174" s="13"/>
      <c r="F174" s="13"/>
      <c r="G174" s="2318">
        <v>10</v>
      </c>
      <c r="H174" s="13"/>
      <c r="I174" s="13"/>
      <c r="J174" s="35">
        <f t="shared" ref="J174" si="34">+D174*G174</f>
        <v>1910</v>
      </c>
      <c r="K174" s="35"/>
      <c r="L174" s="35"/>
      <c r="P174" s="2318">
        <v>185</v>
      </c>
    </row>
    <row r="175" spans="2:16" ht="15" x14ac:dyDescent="0.25">
      <c r="B175" s="34"/>
      <c r="C175" s="9"/>
      <c r="D175" s="2317">
        <f t="shared" si="29"/>
        <v>0</v>
      </c>
      <c r="E175" s="13"/>
      <c r="F175" s="13"/>
      <c r="G175" s="2318">
        <v>10</v>
      </c>
      <c r="H175" s="13"/>
      <c r="I175" s="13"/>
      <c r="J175" s="35">
        <f t="shared" si="30"/>
        <v>0</v>
      </c>
      <c r="K175" s="35"/>
      <c r="L175" s="35"/>
      <c r="P175" s="2319">
        <v>0</v>
      </c>
    </row>
    <row r="176" spans="2:16" ht="15" x14ac:dyDescent="0.25">
      <c r="B176" s="34" t="s">
        <v>78</v>
      </c>
      <c r="C176" s="9" t="s">
        <v>1219</v>
      </c>
      <c r="D176" s="2317">
        <f t="shared" si="29"/>
        <v>160</v>
      </c>
      <c r="E176" s="13"/>
      <c r="F176" s="13"/>
      <c r="G176" s="2318">
        <v>8</v>
      </c>
      <c r="H176" s="13"/>
      <c r="I176" s="13"/>
      <c r="J176" s="35">
        <f>+D176*G176</f>
        <v>1280</v>
      </c>
      <c r="K176" s="35"/>
      <c r="L176" s="35"/>
      <c r="P176" s="2318">
        <v>155</v>
      </c>
    </row>
    <row r="177" spans="2:31" ht="15" x14ac:dyDescent="0.25">
      <c r="B177" s="34" t="s">
        <v>1213</v>
      </c>
      <c r="C177" s="9" t="s">
        <v>1216</v>
      </c>
      <c r="D177" s="2317">
        <f t="shared" si="29"/>
        <v>161</v>
      </c>
      <c r="E177" s="13"/>
      <c r="F177" s="13"/>
      <c r="G177" s="2318">
        <v>8</v>
      </c>
      <c r="H177" s="13"/>
      <c r="I177" s="13"/>
      <c r="J177" s="35">
        <f>+D177*G177</f>
        <v>1288</v>
      </c>
      <c r="K177" s="35"/>
      <c r="L177" s="35"/>
      <c r="P177" s="2318">
        <v>156</v>
      </c>
    </row>
    <row r="178" spans="2:31" ht="15" x14ac:dyDescent="0.25">
      <c r="B178" s="34" t="s">
        <v>1214</v>
      </c>
      <c r="C178" s="9" t="s">
        <v>1217</v>
      </c>
      <c r="D178" s="2317">
        <f t="shared" si="29"/>
        <v>162</v>
      </c>
      <c r="E178" s="13"/>
      <c r="F178" s="13"/>
      <c r="G178" s="2318">
        <v>8</v>
      </c>
      <c r="H178" s="13"/>
      <c r="I178" s="13"/>
      <c r="J178" s="35">
        <f>+D178*G178</f>
        <v>1296</v>
      </c>
      <c r="K178" s="35"/>
      <c r="L178" s="35"/>
      <c r="P178" s="2318">
        <v>157</v>
      </c>
    </row>
    <row r="179" spans="2:31" ht="15" x14ac:dyDescent="0.25">
      <c r="B179" s="34" t="s">
        <v>1215</v>
      </c>
      <c r="C179" s="9" t="s">
        <v>1218</v>
      </c>
      <c r="D179" s="2317">
        <f t="shared" si="29"/>
        <v>163</v>
      </c>
      <c r="E179" s="13"/>
      <c r="F179" s="13"/>
      <c r="G179" s="2318">
        <v>8</v>
      </c>
      <c r="H179" s="13"/>
      <c r="I179" s="13"/>
      <c r="J179" s="35">
        <f>+D179*G179</f>
        <v>1304</v>
      </c>
      <c r="K179" s="35"/>
      <c r="L179" s="35"/>
      <c r="P179" s="2318">
        <v>158</v>
      </c>
    </row>
    <row r="180" spans="2:31" ht="15" x14ac:dyDescent="0.25">
      <c r="B180" s="36"/>
      <c r="C180" s="37"/>
      <c r="D180" s="37"/>
      <c r="E180" s="37"/>
      <c r="F180" s="37"/>
      <c r="G180" s="37"/>
      <c r="H180" s="37"/>
      <c r="I180" s="37"/>
      <c r="J180" s="37"/>
      <c r="K180" s="37"/>
      <c r="L180" s="37"/>
      <c r="M180" s="37"/>
      <c r="N180" s="37"/>
      <c r="O180" s="37"/>
      <c r="P180" s="37"/>
      <c r="Q180" s="37"/>
      <c r="R180" s="37"/>
      <c r="S180" s="37"/>
      <c r="T180" s="37"/>
      <c r="U180" s="37"/>
      <c r="V180" s="37"/>
      <c r="W180" s="37"/>
      <c r="X180" s="37"/>
      <c r="Y180" s="37"/>
      <c r="Z180" s="37"/>
      <c r="AA180" s="37"/>
      <c r="AB180" s="37"/>
      <c r="AC180" s="37"/>
      <c r="AD180" s="37"/>
      <c r="AE180" s="37"/>
    </row>
    <row r="181" spans="2:31" ht="15" x14ac:dyDescent="0.25">
      <c r="B181" s="29"/>
      <c r="C181" s="30"/>
      <c r="D181" s="30"/>
      <c r="E181" s="30"/>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row>
    <row r="182" spans="2:31" ht="15" x14ac:dyDescent="0.25">
      <c r="B182" s="38"/>
      <c r="C182" s="16" t="s">
        <v>83</v>
      </c>
      <c r="D182" s="1775">
        <v>2.5000000000000001E-2</v>
      </c>
    </row>
    <row r="183" spans="2:31" ht="15" x14ac:dyDescent="0.25">
      <c r="B183" s="38"/>
      <c r="C183" s="16" t="s">
        <v>84</v>
      </c>
      <c r="D183" s="1776">
        <v>0.05</v>
      </c>
    </row>
    <row r="184" spans="2:31" ht="15" x14ac:dyDescent="0.25">
      <c r="B184" s="38"/>
      <c r="AE184" t="s">
        <v>34</v>
      </c>
    </row>
    <row r="185" spans="2:31" ht="15" x14ac:dyDescent="0.25">
      <c r="B185" s="38" t="s">
        <v>85</v>
      </c>
      <c r="C185" t="s">
        <v>2860</v>
      </c>
      <c r="D185" s="1776">
        <f>+(2900*(1.75)/2000)</f>
        <v>2.5375000000000001</v>
      </c>
      <c r="G185" t="s">
        <v>86</v>
      </c>
      <c r="M185" t="s">
        <v>2859</v>
      </c>
      <c r="AB185">
        <f>75/30</f>
        <v>2.5</v>
      </c>
      <c r="AE185">
        <v>1.75</v>
      </c>
    </row>
    <row r="186" spans="2:31" ht="15" x14ac:dyDescent="0.25">
      <c r="B186" s="36"/>
      <c r="C186" s="37"/>
      <c r="D186" s="37">
        <f>+D185*2000</f>
        <v>5075</v>
      </c>
      <c r="G186" s="37" t="s">
        <v>87</v>
      </c>
      <c r="H186" s="37"/>
      <c r="I186" s="37"/>
      <c r="J186" s="37"/>
      <c r="K186" s="37"/>
      <c r="L186" s="37"/>
      <c r="M186" s="37"/>
      <c r="N186" s="37"/>
      <c r="O186" s="37"/>
      <c r="P186" s="37"/>
      <c r="Q186" s="37"/>
      <c r="R186" s="37"/>
      <c r="S186" s="37"/>
      <c r="T186" s="37"/>
      <c r="U186" s="37"/>
      <c r="V186" s="37"/>
      <c r="W186" s="37"/>
      <c r="X186" s="37"/>
      <c r="Y186" s="37"/>
      <c r="Z186" s="37"/>
      <c r="AA186" s="37"/>
      <c r="AB186" s="37"/>
      <c r="AC186" s="37"/>
      <c r="AD186" s="37"/>
      <c r="AE186" s="37"/>
    </row>
    <row r="187" spans="2:31" ht="15" x14ac:dyDescent="0.25"/>
    <row r="188" spans="2:31" ht="15" x14ac:dyDescent="0.25">
      <c r="B188" s="11" t="s">
        <v>2551</v>
      </c>
      <c r="D188" s="2" t="s">
        <v>2548</v>
      </c>
      <c r="E188" s="2"/>
      <c r="F188" s="2"/>
      <c r="G188" s="2" t="s">
        <v>2549</v>
      </c>
    </row>
    <row r="189" spans="2:31" ht="15" x14ac:dyDescent="0.25">
      <c r="C189" t="s">
        <v>2550</v>
      </c>
      <c r="D189" s="2363">
        <v>45453</v>
      </c>
      <c r="E189" s="2"/>
      <c r="F189" s="2"/>
      <c r="G189" s="2363">
        <v>46661</v>
      </c>
    </row>
    <row r="190" spans="2:31" ht="15" x14ac:dyDescent="0.25">
      <c r="C190" t="s">
        <v>1209</v>
      </c>
      <c r="D190" s="2363">
        <v>44773</v>
      </c>
      <c r="E190" s="2"/>
      <c r="F190" s="2"/>
      <c r="G190" s="2363">
        <v>45862</v>
      </c>
    </row>
    <row r="191" spans="2:31" ht="15" x14ac:dyDescent="0.25">
      <c r="C191" t="s">
        <v>2343</v>
      </c>
      <c r="D191" s="2363">
        <v>46183</v>
      </c>
      <c r="E191" s="2"/>
      <c r="F191" s="2"/>
      <c r="G191" s="2363">
        <v>46419</v>
      </c>
    </row>
    <row r="192" spans="2:31" ht="15" x14ac:dyDescent="0.25">
      <c r="C192" t="s">
        <v>93</v>
      </c>
      <c r="D192" s="2363">
        <v>46422</v>
      </c>
      <c r="E192" s="2"/>
      <c r="F192" s="2"/>
      <c r="G192" s="2363">
        <v>46927</v>
      </c>
    </row>
    <row r="193" spans="2:31" ht="15" x14ac:dyDescent="0.25">
      <c r="B193" s="36"/>
      <c r="C193" s="37"/>
      <c r="D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row>
    <row r="194" spans="2:31" ht="15" x14ac:dyDescent="0.25"/>
    <row r="195" spans="2:31" ht="15" x14ac:dyDescent="0.25">
      <c r="B195" s="705" t="s">
        <v>3277</v>
      </c>
      <c r="C195" s="2544"/>
      <c r="D195" s="2545"/>
    </row>
    <row r="196" spans="2:31" ht="15" x14ac:dyDescent="0.25"/>
    <row r="197" spans="2:31" ht="15" x14ac:dyDescent="0.25">
      <c r="B197" s="11" t="s">
        <v>58</v>
      </c>
      <c r="C197" s="25" t="s">
        <v>59</v>
      </c>
      <c r="D197" s="19" t="s">
        <v>60</v>
      </c>
      <c r="E197" s="19"/>
      <c r="F197" s="19"/>
      <c r="G197" s="2"/>
      <c r="H197" s="2"/>
      <c r="I197" s="2"/>
    </row>
    <row r="198" spans="2:31" ht="15" x14ac:dyDescent="0.25">
      <c r="C198" s="26" t="s">
        <v>61</v>
      </c>
      <c r="D198" s="19" t="s">
        <v>62</v>
      </c>
      <c r="E198" s="19"/>
      <c r="F198" s="19"/>
      <c r="G198" s="2"/>
      <c r="H198" s="2"/>
      <c r="I198" s="2"/>
    </row>
    <row r="199" spans="2:31" ht="15" x14ac:dyDescent="0.25">
      <c r="C199" s="27" t="s">
        <v>63</v>
      </c>
      <c r="D199" s="19" t="s">
        <v>64</v>
      </c>
      <c r="E199" s="19"/>
      <c r="F199" s="19"/>
      <c r="G199" s="2"/>
      <c r="H199" s="2"/>
      <c r="I199" s="2"/>
    </row>
    <row r="200" spans="2:31" ht="15" x14ac:dyDescent="0.25">
      <c r="C200" s="28" t="s">
        <v>65</v>
      </c>
      <c r="D200" s="19" t="s">
        <v>66</v>
      </c>
      <c r="E200" s="19"/>
      <c r="F200" s="19"/>
      <c r="G200" s="2"/>
      <c r="H200" s="2"/>
      <c r="I200" s="2"/>
    </row>
    <row r="201" spans="2:31" ht="15" x14ac:dyDescent="0.25">
      <c r="C201" s="2710" t="s">
        <v>67</v>
      </c>
      <c r="D201" s="19" t="s">
        <v>68</v>
      </c>
      <c r="E201" s="19"/>
      <c r="F201" s="19"/>
      <c r="G201" s="2"/>
      <c r="H201" s="2"/>
      <c r="I201" s="2"/>
    </row>
    <row r="202" spans="2:31" ht="15" x14ac:dyDescent="0.25">
      <c r="C202" s="2"/>
      <c r="D202" s="2"/>
      <c r="E202" s="2"/>
      <c r="F202" s="2"/>
      <c r="G202" s="2"/>
      <c r="H202" s="2"/>
      <c r="I202" s="2"/>
    </row>
    <row r="203" spans="2:31" ht="12.6" customHeight="1" x14ac:dyDescent="0.25">
      <c r="C203" s="2"/>
      <c r="D203" s="2"/>
      <c r="E203" s="2"/>
      <c r="F203" s="2"/>
      <c r="G203" s="2"/>
      <c r="H203" s="2"/>
      <c r="I203" s="2"/>
    </row>
    <row r="206" spans="2:31" ht="12.6" customHeight="1" x14ac:dyDescent="0.25">
      <c r="B206" t="str">
        <f ca="1">CELL("filename")</f>
        <v>N:\Estimating-R\2) Estimates\21334\E-23-373 Battery Storage - Hyde Park\01) Estimate Summary\01) Current\[21334 E-23-373 Battery Storage - Hyde Park EST 12-19 guess.xlsm]Cover</v>
      </c>
    </row>
  </sheetData>
  <sheetProtection formatCells="0" formatColumns="0" formatRows="0" autoFilter="0"/>
  <dataConsolidate/>
  <conditionalFormatting sqref="C9:C11">
    <cfRule type="expression" dxfId="238" priority="3">
      <formula>NOT(ISNUMBER(C9))</formula>
    </cfRule>
  </conditionalFormatting>
  <dataValidations count="2">
    <dataValidation type="list" allowBlank="1" showInputMessage="1" showErrorMessage="1" sqref="C92" xr:uid="{51F017B4-6F9C-452B-A7B2-F6ECB4CC95A1}">
      <formula1>$C$93:$C$96</formula1>
    </dataValidation>
    <dataValidation type="list" allowBlank="1" showInputMessage="1" showErrorMessage="1" sqref="D16" xr:uid="{2CA85A83-60CB-4359-9935-87876FAE4A2A}">
      <formula1>"YES, NO"</formula1>
    </dataValidation>
  </dataValidations>
  <pageMargins left="1" right="0" top="1" bottom="1" header="0.5" footer="0.5"/>
  <pageSetup scale="44" fitToHeight="0" orientation="portrait"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tn_UpdateFromLog">
                <anchor moveWithCells="1" sizeWithCells="1">
                  <from>
                    <xdr:col>3</xdr:col>
                    <xdr:colOff>28575</xdr:colOff>
                    <xdr:row>3</xdr:row>
                    <xdr:rowOff>0</xdr:rowOff>
                  </from>
                  <to>
                    <xdr:col>4</xdr:col>
                    <xdr:colOff>28575</xdr:colOff>
                    <xdr:row>5</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1BB76729-5CD6-413A-9039-B0C4021C80CF}">
          <x14:formula1>
            <xm:f>'Indirect Rates'!$I$3:$I$11</xm:f>
          </x14:formula1>
          <xm:sqref>D19</xm:sqref>
        </x14:dataValidation>
        <x14:dataValidation type="list" allowBlank="1" showInputMessage="1" showErrorMessage="1" xr:uid="{21762BC1-05FF-4077-BCCA-F702FE98CBDD}">
          <x14:formula1>
            <xm:f>'Indirect Rates'!$I$15:$I$22</xm:f>
          </x14:formula1>
          <xm:sqref>D20 D22:D23</xm:sqref>
        </x14:dataValidation>
        <x14:dataValidation type="list" allowBlank="1" showInputMessage="1" showErrorMessage="1" xr:uid="{D69B4679-801F-481A-B1FC-89B7F55471BD}">
          <x14:formula1>
            <xm:f>'Indirect Rates'!$I$26:$I$33</xm:f>
          </x14:formula1>
          <xm:sqref>D15 D17</xm:sqref>
        </x14:dataValidation>
        <x14:dataValidation type="list" allowBlank="1" showInputMessage="1" showErrorMessage="1" xr:uid="{04B97317-76CB-443D-88E9-6719AC210554}">
          <x14:formula1>
            <xm:f>Parameters!$D$362:$D$363</xm:f>
          </x14:formula1>
          <xm:sqref>D50 S102 D102 G102 J102 M102 P102 D110 V102 Y102 AB102 AE102 C61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A46D8-2A97-4F1A-B680-1F3CFED905FE}">
  <sheetPr codeName="Sheet44">
    <tabColor rgb="FFFFC000"/>
  </sheetPr>
  <dimension ref="B1:C132"/>
  <sheetViews>
    <sheetView topLeftCell="A112" workbookViewId="0">
      <selection activeCell="C3" sqref="C3"/>
    </sheetView>
  </sheetViews>
  <sheetFormatPr defaultRowHeight="15" x14ac:dyDescent="0.25"/>
  <cols>
    <col min="2" max="2" width="27.42578125" bestFit="1" customWidth="1"/>
    <col min="3" max="3" width="105.42578125" bestFit="1" customWidth="1"/>
  </cols>
  <sheetData>
    <row r="1" spans="2:3" x14ac:dyDescent="0.25">
      <c r="B1" t="s">
        <v>2733</v>
      </c>
      <c r="C1" t="str">
        <f>EstimateNumber</f>
        <v>E-23-373</v>
      </c>
    </row>
    <row r="4" spans="2:3" x14ac:dyDescent="0.25">
      <c r="B4" s="2436" t="s">
        <v>2606</v>
      </c>
      <c r="C4" s="2437"/>
    </row>
    <row r="5" spans="2:3" x14ac:dyDescent="0.25">
      <c r="B5" s="2436" t="s">
        <v>2607</v>
      </c>
      <c r="C5" s="2437"/>
    </row>
    <row r="6" spans="2:3" x14ac:dyDescent="0.25">
      <c r="B6" s="2436" t="s">
        <v>2608</v>
      </c>
      <c r="C6" s="2437"/>
    </row>
    <row r="7" spans="2:3" x14ac:dyDescent="0.25">
      <c r="B7" s="2436" t="s">
        <v>2609</v>
      </c>
      <c r="C7" s="2437"/>
    </row>
    <row r="8" spans="2:3" x14ac:dyDescent="0.25">
      <c r="B8" s="2436" t="s">
        <v>2610</v>
      </c>
      <c r="C8" s="2437"/>
    </row>
    <row r="9" spans="2:3" x14ac:dyDescent="0.25">
      <c r="B9" s="2436" t="s">
        <v>2611</v>
      </c>
      <c r="C9" s="2437"/>
    </row>
    <row r="10" spans="2:3" x14ac:dyDescent="0.25">
      <c r="B10" s="2436" t="s">
        <v>2612</v>
      </c>
      <c r="C10" s="2437"/>
    </row>
    <row r="11" spans="2:3" x14ac:dyDescent="0.25">
      <c r="B11" s="2436" t="s">
        <v>2613</v>
      </c>
      <c r="C11" s="2437"/>
    </row>
    <row r="12" spans="2:3" x14ac:dyDescent="0.25">
      <c r="B12" s="2436" t="s">
        <v>2614</v>
      </c>
      <c r="C12" s="2437"/>
    </row>
    <row r="13" spans="2:3" x14ac:dyDescent="0.25">
      <c r="B13" s="2436" t="s">
        <v>2615</v>
      </c>
      <c r="C13" s="2437"/>
    </row>
    <row r="14" spans="2:3" x14ac:dyDescent="0.25">
      <c r="B14" s="2436" t="s">
        <v>2616</v>
      </c>
      <c r="C14" s="2437"/>
    </row>
    <row r="15" spans="2:3" x14ac:dyDescent="0.25">
      <c r="B15" s="2436" t="s">
        <v>2617</v>
      </c>
      <c r="C15" s="2437"/>
    </row>
    <row r="16" spans="2:3" x14ac:dyDescent="0.25">
      <c r="B16" s="2436" t="s">
        <v>2618</v>
      </c>
      <c r="C16" s="2437"/>
    </row>
    <row r="17" spans="2:3" x14ac:dyDescent="0.25">
      <c r="B17" s="2436" t="s">
        <v>2619</v>
      </c>
      <c r="C17" s="2437"/>
    </row>
    <row r="18" spans="2:3" x14ac:dyDescent="0.25">
      <c r="B18" s="2436" t="s">
        <v>2620</v>
      </c>
      <c r="C18" s="2438"/>
    </row>
    <row r="19" spans="2:3" x14ac:dyDescent="0.25">
      <c r="B19" s="2436" t="s">
        <v>2621</v>
      </c>
      <c r="C19" s="2437"/>
    </row>
    <row r="20" spans="2:3" x14ac:dyDescent="0.25">
      <c r="B20" s="2436" t="s">
        <v>2622</v>
      </c>
      <c r="C20" s="2437"/>
    </row>
    <row r="21" spans="2:3" x14ac:dyDescent="0.25">
      <c r="B21" s="2436" t="s">
        <v>2623</v>
      </c>
      <c r="C21" s="2438"/>
    </row>
    <row r="22" spans="2:3" x14ac:dyDescent="0.25">
      <c r="B22" s="2436" t="s">
        <v>2736</v>
      </c>
      <c r="C22" s="2438"/>
    </row>
    <row r="23" spans="2:3" x14ac:dyDescent="0.25">
      <c r="B23" s="2436" t="s">
        <v>2624</v>
      </c>
      <c r="C23" s="2438"/>
    </row>
    <row r="24" spans="2:3" x14ac:dyDescent="0.25">
      <c r="B24" s="2436" t="s">
        <v>2625</v>
      </c>
      <c r="C24" s="2437"/>
    </row>
    <row r="25" spans="2:3" x14ac:dyDescent="0.25">
      <c r="B25" s="2436" t="s">
        <v>2626</v>
      </c>
      <c r="C25" s="2437"/>
    </row>
    <row r="26" spans="2:3" x14ac:dyDescent="0.25">
      <c r="B26" s="2436" t="s">
        <v>2627</v>
      </c>
      <c r="C26" s="2438"/>
    </row>
    <row r="27" spans="2:3" x14ac:dyDescent="0.25">
      <c r="B27" s="2436" t="s">
        <v>2628</v>
      </c>
      <c r="C27" s="2438"/>
    </row>
    <row r="28" spans="2:3" x14ac:dyDescent="0.25">
      <c r="B28" s="2436" t="s">
        <v>2629</v>
      </c>
      <c r="C28" s="2438"/>
    </row>
    <row r="29" spans="2:3" x14ac:dyDescent="0.25">
      <c r="B29" s="2436" t="s">
        <v>2630</v>
      </c>
      <c r="C29" s="2437"/>
    </row>
    <row r="30" spans="2:3" x14ac:dyDescent="0.25">
      <c r="B30" s="2436" t="s">
        <v>2631</v>
      </c>
      <c r="C30" s="2437"/>
    </row>
    <row r="31" spans="2:3" x14ac:dyDescent="0.25">
      <c r="B31" s="2436" t="s">
        <v>2632</v>
      </c>
      <c r="C31" s="2437"/>
    </row>
    <row r="32" spans="2:3" x14ac:dyDescent="0.25">
      <c r="B32" s="2436" t="s">
        <v>2633</v>
      </c>
      <c r="C32" s="2437"/>
    </row>
    <row r="33" spans="2:3" x14ac:dyDescent="0.25">
      <c r="B33" s="2436" t="s">
        <v>2634</v>
      </c>
      <c r="C33" s="2437"/>
    </row>
    <row r="34" spans="2:3" x14ac:dyDescent="0.25">
      <c r="B34" s="2436" t="s">
        <v>2635</v>
      </c>
      <c r="C34" s="2437"/>
    </row>
    <row r="35" spans="2:3" x14ac:dyDescent="0.25">
      <c r="B35" s="2436" t="s">
        <v>2636</v>
      </c>
      <c r="C35" s="2437"/>
    </row>
    <row r="36" spans="2:3" x14ac:dyDescent="0.25">
      <c r="B36" s="2436" t="s">
        <v>2637</v>
      </c>
      <c r="C36" s="2437"/>
    </row>
    <row r="37" spans="2:3" x14ac:dyDescent="0.25">
      <c r="B37" s="2436" t="s">
        <v>2638</v>
      </c>
      <c r="C37" s="2437"/>
    </row>
    <row r="38" spans="2:3" x14ac:dyDescent="0.25">
      <c r="B38" s="2436" t="s">
        <v>2639</v>
      </c>
      <c r="C38" s="2437"/>
    </row>
    <row r="39" spans="2:3" x14ac:dyDescent="0.25">
      <c r="B39" s="2436" t="s">
        <v>2640</v>
      </c>
      <c r="C39" s="2437"/>
    </row>
    <row r="40" spans="2:3" x14ac:dyDescent="0.25">
      <c r="B40" s="2436" t="s">
        <v>2641</v>
      </c>
      <c r="C40" s="2437"/>
    </row>
    <row r="41" spans="2:3" x14ac:dyDescent="0.25">
      <c r="B41" s="2436" t="s">
        <v>2642</v>
      </c>
      <c r="C41" s="2437"/>
    </row>
    <row r="42" spans="2:3" x14ac:dyDescent="0.25">
      <c r="B42" s="2436" t="s">
        <v>2643</v>
      </c>
      <c r="C42" s="2437"/>
    </row>
    <row r="43" spans="2:3" x14ac:dyDescent="0.25">
      <c r="B43" s="2436" t="s">
        <v>2644</v>
      </c>
      <c r="C43" s="2437"/>
    </row>
    <row r="44" spans="2:3" x14ac:dyDescent="0.25">
      <c r="B44" s="2436" t="s">
        <v>2645</v>
      </c>
      <c r="C44" s="2437"/>
    </row>
    <row r="45" spans="2:3" x14ac:dyDescent="0.25">
      <c r="B45" s="2436" t="s">
        <v>2646</v>
      </c>
      <c r="C45" s="2437"/>
    </row>
    <row r="46" spans="2:3" x14ac:dyDescent="0.25">
      <c r="B46" s="2436" t="s">
        <v>2647</v>
      </c>
      <c r="C46" s="2437"/>
    </row>
    <row r="47" spans="2:3" x14ac:dyDescent="0.25">
      <c r="B47" s="2436" t="s">
        <v>2648</v>
      </c>
      <c r="C47" s="2437"/>
    </row>
    <row r="48" spans="2:3" x14ac:dyDescent="0.25">
      <c r="B48" s="2436" t="s">
        <v>2649</v>
      </c>
      <c r="C48" s="2437"/>
    </row>
    <row r="49" spans="2:3" x14ac:dyDescent="0.25">
      <c r="B49" s="2436" t="s">
        <v>2650</v>
      </c>
      <c r="C49" s="2437"/>
    </row>
    <row r="50" spans="2:3" x14ac:dyDescent="0.25">
      <c r="B50" s="2436" t="s">
        <v>2651</v>
      </c>
      <c r="C50" s="2437"/>
    </row>
    <row r="51" spans="2:3" x14ac:dyDescent="0.25">
      <c r="B51" s="2436" t="s">
        <v>2652</v>
      </c>
      <c r="C51" s="2437"/>
    </row>
    <row r="52" spans="2:3" x14ac:dyDescent="0.25">
      <c r="B52" s="2436" t="s">
        <v>2653</v>
      </c>
      <c r="C52" s="2437"/>
    </row>
    <row r="53" spans="2:3" x14ac:dyDescent="0.25">
      <c r="B53" s="2436" t="s">
        <v>2654</v>
      </c>
      <c r="C53" s="2437"/>
    </row>
    <row r="54" spans="2:3" x14ac:dyDescent="0.25">
      <c r="B54" s="2436" t="s">
        <v>2655</v>
      </c>
      <c r="C54" s="2437"/>
    </row>
    <row r="55" spans="2:3" x14ac:dyDescent="0.25">
      <c r="B55" s="2436" t="s">
        <v>2656</v>
      </c>
      <c r="C55" s="2437"/>
    </row>
    <row r="56" spans="2:3" x14ac:dyDescent="0.25">
      <c r="B56" s="2436" t="s">
        <v>2657</v>
      </c>
      <c r="C56" s="2437"/>
    </row>
    <row r="57" spans="2:3" x14ac:dyDescent="0.25">
      <c r="B57" s="2436" t="s">
        <v>2658</v>
      </c>
      <c r="C57" s="2437"/>
    </row>
    <row r="58" spans="2:3" x14ac:dyDescent="0.25">
      <c r="B58" s="2436" t="s">
        <v>2659</v>
      </c>
      <c r="C58" s="2437"/>
    </row>
    <row r="59" spans="2:3" x14ac:dyDescent="0.25">
      <c r="B59" s="2436" t="s">
        <v>2660</v>
      </c>
      <c r="C59" s="2437"/>
    </row>
    <row r="60" spans="2:3" x14ac:dyDescent="0.25">
      <c r="B60" s="2436" t="s">
        <v>2661</v>
      </c>
      <c r="C60" s="2437"/>
    </row>
    <row r="61" spans="2:3" x14ac:dyDescent="0.25">
      <c r="B61" s="2436" t="s">
        <v>2662</v>
      </c>
      <c r="C61" s="2437"/>
    </row>
    <row r="62" spans="2:3" x14ac:dyDescent="0.25">
      <c r="B62" s="2436" t="s">
        <v>2663</v>
      </c>
      <c r="C62" s="2437"/>
    </row>
    <row r="63" spans="2:3" x14ac:dyDescent="0.25">
      <c r="B63" s="2436" t="s">
        <v>2664</v>
      </c>
      <c r="C63" s="2437"/>
    </row>
    <row r="64" spans="2:3" x14ac:dyDescent="0.25">
      <c r="B64" s="2436" t="s">
        <v>2665</v>
      </c>
      <c r="C64" s="2437"/>
    </row>
    <row r="65" spans="2:3" x14ac:dyDescent="0.25">
      <c r="B65" s="2436" t="s">
        <v>2666</v>
      </c>
      <c r="C65" s="2437"/>
    </row>
    <row r="66" spans="2:3" x14ac:dyDescent="0.25">
      <c r="B66" s="2436" t="s">
        <v>2667</v>
      </c>
      <c r="C66" s="2437"/>
    </row>
    <row r="67" spans="2:3" x14ac:dyDescent="0.25">
      <c r="B67" s="2436" t="s">
        <v>2668</v>
      </c>
      <c r="C67" s="2437"/>
    </row>
    <row r="68" spans="2:3" x14ac:dyDescent="0.25">
      <c r="B68" s="2436" t="s">
        <v>2669</v>
      </c>
      <c r="C68" s="2437"/>
    </row>
    <row r="69" spans="2:3" x14ac:dyDescent="0.25">
      <c r="B69" s="2436" t="s">
        <v>2670</v>
      </c>
      <c r="C69" s="2437"/>
    </row>
    <row r="70" spans="2:3" x14ac:dyDescent="0.25">
      <c r="B70" s="2436" t="s">
        <v>2671</v>
      </c>
      <c r="C70" s="2437"/>
    </row>
    <row r="71" spans="2:3" x14ac:dyDescent="0.25">
      <c r="B71" s="2436" t="s">
        <v>2672</v>
      </c>
      <c r="C71" s="2437"/>
    </row>
    <row r="72" spans="2:3" x14ac:dyDescent="0.25">
      <c r="B72" s="2436" t="s">
        <v>2673</v>
      </c>
      <c r="C72" s="2437"/>
    </row>
    <row r="73" spans="2:3" x14ac:dyDescent="0.25">
      <c r="B73" s="2436" t="s">
        <v>2674</v>
      </c>
      <c r="C73" s="2437"/>
    </row>
    <row r="74" spans="2:3" x14ac:dyDescent="0.25">
      <c r="B74" s="2436" t="s">
        <v>2675</v>
      </c>
      <c r="C74" s="2437"/>
    </row>
    <row r="75" spans="2:3" x14ac:dyDescent="0.25">
      <c r="B75" s="2436" t="s">
        <v>2676</v>
      </c>
      <c r="C75" s="2437"/>
    </row>
    <row r="76" spans="2:3" x14ac:dyDescent="0.25">
      <c r="B76" s="2436" t="s">
        <v>2677</v>
      </c>
      <c r="C76" s="2437"/>
    </row>
    <row r="77" spans="2:3" x14ac:dyDescent="0.25">
      <c r="B77" s="2436" t="s">
        <v>2678</v>
      </c>
      <c r="C77" s="2439"/>
    </row>
    <row r="78" spans="2:3" x14ac:dyDescent="0.25">
      <c r="B78" s="2436" t="s">
        <v>2679</v>
      </c>
      <c r="C78" s="2439"/>
    </row>
    <row r="79" spans="2:3" x14ac:dyDescent="0.25">
      <c r="B79" s="2436" t="s">
        <v>2680</v>
      </c>
      <c r="C79" s="2437"/>
    </row>
    <row r="80" spans="2:3" x14ac:dyDescent="0.25">
      <c r="B80" s="2436" t="s">
        <v>2681</v>
      </c>
      <c r="C80" s="2437"/>
    </row>
    <row r="81" spans="2:3" x14ac:dyDescent="0.25">
      <c r="B81" s="2436" t="s">
        <v>1480</v>
      </c>
      <c r="C81" s="2437"/>
    </row>
    <row r="82" spans="2:3" x14ac:dyDescent="0.25">
      <c r="B82" s="2436" t="s">
        <v>2682</v>
      </c>
      <c r="C82" s="2437"/>
    </row>
    <row r="83" spans="2:3" x14ac:dyDescent="0.25">
      <c r="B83" s="2436" t="s">
        <v>2683</v>
      </c>
      <c r="C83" s="2437"/>
    </row>
    <row r="84" spans="2:3" x14ac:dyDescent="0.25">
      <c r="B84" s="2436" t="s">
        <v>2684</v>
      </c>
      <c r="C84" s="2437"/>
    </row>
    <row r="85" spans="2:3" x14ac:dyDescent="0.25">
      <c r="B85" s="2436" t="s">
        <v>2685</v>
      </c>
      <c r="C85" s="2437"/>
    </row>
    <row r="86" spans="2:3" x14ac:dyDescent="0.25">
      <c r="B86" s="2436" t="s">
        <v>2686</v>
      </c>
      <c r="C86" s="2437"/>
    </row>
    <row r="87" spans="2:3" x14ac:dyDescent="0.25">
      <c r="B87" s="2436" t="s">
        <v>2687</v>
      </c>
      <c r="C87" s="2437"/>
    </row>
    <row r="88" spans="2:3" x14ac:dyDescent="0.25">
      <c r="B88" s="2436" t="s">
        <v>2688</v>
      </c>
      <c r="C88" s="2437"/>
    </row>
    <row r="89" spans="2:3" x14ac:dyDescent="0.25">
      <c r="B89" s="2436" t="s">
        <v>2689</v>
      </c>
      <c r="C89" s="2437"/>
    </row>
    <row r="90" spans="2:3" x14ac:dyDescent="0.25">
      <c r="B90" s="2436" t="s">
        <v>2690</v>
      </c>
      <c r="C90" s="2437"/>
    </row>
    <row r="91" spans="2:3" x14ac:dyDescent="0.25">
      <c r="B91" s="2436" t="s">
        <v>2691</v>
      </c>
      <c r="C91" s="2437"/>
    </row>
    <row r="92" spans="2:3" x14ac:dyDescent="0.25">
      <c r="B92" s="2436" t="s">
        <v>2692</v>
      </c>
      <c r="C92" s="2437"/>
    </row>
    <row r="93" spans="2:3" x14ac:dyDescent="0.25">
      <c r="B93" s="2436" t="s">
        <v>2693</v>
      </c>
      <c r="C93" s="2437"/>
    </row>
    <row r="94" spans="2:3" x14ac:dyDescent="0.25">
      <c r="B94" s="2436" t="s">
        <v>2694</v>
      </c>
      <c r="C94" s="2437"/>
    </row>
    <row r="95" spans="2:3" x14ac:dyDescent="0.25">
      <c r="B95" s="2436" t="s">
        <v>2695</v>
      </c>
      <c r="C95" s="2437"/>
    </row>
    <row r="96" spans="2:3" x14ac:dyDescent="0.25">
      <c r="B96" s="2436" t="s">
        <v>2696</v>
      </c>
      <c r="C96" s="2437"/>
    </row>
    <row r="97" spans="2:3" x14ac:dyDescent="0.25">
      <c r="B97" s="2436" t="s">
        <v>2697</v>
      </c>
      <c r="C97" s="2437"/>
    </row>
    <row r="98" spans="2:3" x14ac:dyDescent="0.25">
      <c r="B98" s="2436" t="s">
        <v>2698</v>
      </c>
      <c r="C98" s="2437"/>
    </row>
    <row r="99" spans="2:3" x14ac:dyDescent="0.25">
      <c r="B99" s="2436" t="s">
        <v>2699</v>
      </c>
      <c r="C99" s="2437"/>
    </row>
    <row r="100" spans="2:3" x14ac:dyDescent="0.25">
      <c r="B100" s="2436" t="s">
        <v>2700</v>
      </c>
      <c r="C100" s="2437"/>
    </row>
    <row r="101" spans="2:3" x14ac:dyDescent="0.25">
      <c r="B101" s="2436" t="s">
        <v>2701</v>
      </c>
      <c r="C101" s="2437"/>
    </row>
    <row r="102" spans="2:3" x14ac:dyDescent="0.25">
      <c r="B102" s="2436" t="s">
        <v>2702</v>
      </c>
      <c r="C102" s="2437"/>
    </row>
    <row r="103" spans="2:3" x14ac:dyDescent="0.25">
      <c r="B103" s="2436" t="s">
        <v>2703</v>
      </c>
      <c r="C103" s="2437"/>
    </row>
    <row r="104" spans="2:3" x14ac:dyDescent="0.25">
      <c r="B104" s="2436" t="s">
        <v>2704</v>
      </c>
      <c r="C104" s="2437"/>
    </row>
    <row r="105" spans="2:3" x14ac:dyDescent="0.25">
      <c r="B105" s="2436" t="s">
        <v>2705</v>
      </c>
      <c r="C105" s="2437"/>
    </row>
    <row r="106" spans="2:3" x14ac:dyDescent="0.25">
      <c r="B106" s="2436" t="s">
        <v>2706</v>
      </c>
      <c r="C106" s="2437"/>
    </row>
    <row r="107" spans="2:3" x14ac:dyDescent="0.25">
      <c r="B107" s="2436" t="s">
        <v>2707</v>
      </c>
      <c r="C107" s="2437"/>
    </row>
    <row r="108" spans="2:3" x14ac:dyDescent="0.25">
      <c r="B108" s="2436" t="s">
        <v>2708</v>
      </c>
      <c r="C108" s="2437"/>
    </row>
    <row r="109" spans="2:3" x14ac:dyDescent="0.25">
      <c r="B109" s="2436" t="s">
        <v>2709</v>
      </c>
      <c r="C109" s="2437"/>
    </row>
    <row r="110" spans="2:3" x14ac:dyDescent="0.25">
      <c r="B110" s="2436" t="s">
        <v>2710</v>
      </c>
      <c r="C110" s="2437"/>
    </row>
    <row r="111" spans="2:3" x14ac:dyDescent="0.25">
      <c r="B111" s="2436" t="s">
        <v>2711</v>
      </c>
      <c r="C111" s="2437"/>
    </row>
    <row r="112" spans="2:3" x14ac:dyDescent="0.25">
      <c r="B112" s="2436" t="s">
        <v>2712</v>
      </c>
      <c r="C112" s="2437"/>
    </row>
    <row r="113" spans="2:3" x14ac:dyDescent="0.25">
      <c r="B113" s="2436" t="s">
        <v>2713</v>
      </c>
      <c r="C113" s="2437"/>
    </row>
    <row r="114" spans="2:3" x14ac:dyDescent="0.25">
      <c r="B114" s="2436" t="s">
        <v>2714</v>
      </c>
      <c r="C114" s="2437"/>
    </row>
    <row r="115" spans="2:3" x14ac:dyDescent="0.25">
      <c r="B115" s="2436" t="s">
        <v>2715</v>
      </c>
      <c r="C115" s="2437"/>
    </row>
    <row r="116" spans="2:3" x14ac:dyDescent="0.25">
      <c r="B116" s="2436" t="s">
        <v>2716</v>
      </c>
      <c r="C116" s="2437"/>
    </row>
    <row r="117" spans="2:3" x14ac:dyDescent="0.25">
      <c r="B117" s="2436" t="s">
        <v>2717</v>
      </c>
      <c r="C117" s="2437"/>
    </row>
    <row r="118" spans="2:3" x14ac:dyDescent="0.25">
      <c r="B118" s="2436" t="s">
        <v>2718</v>
      </c>
      <c r="C118" s="2437"/>
    </row>
    <row r="119" spans="2:3" x14ac:dyDescent="0.25">
      <c r="B119" s="2436" t="s">
        <v>2719</v>
      </c>
      <c r="C119" s="2437"/>
    </row>
    <row r="120" spans="2:3" x14ac:dyDescent="0.25">
      <c r="B120" s="2436" t="s">
        <v>2720</v>
      </c>
      <c r="C120" s="2437"/>
    </row>
    <row r="121" spans="2:3" x14ac:dyDescent="0.25">
      <c r="B121" s="2436" t="s">
        <v>2721</v>
      </c>
      <c r="C121" s="2437"/>
    </row>
    <row r="122" spans="2:3" x14ac:dyDescent="0.25">
      <c r="B122" s="2436" t="s">
        <v>2722</v>
      </c>
      <c r="C122" s="2437"/>
    </row>
    <row r="123" spans="2:3" x14ac:dyDescent="0.25">
      <c r="B123" s="2436" t="s">
        <v>2723</v>
      </c>
      <c r="C123" s="2437"/>
    </row>
    <row r="124" spans="2:3" x14ac:dyDescent="0.25">
      <c r="B124" s="2436" t="s">
        <v>2724</v>
      </c>
      <c r="C124" s="2437"/>
    </row>
    <row r="125" spans="2:3" x14ac:dyDescent="0.25">
      <c r="B125" s="2436" t="s">
        <v>2725</v>
      </c>
      <c r="C125" s="2437"/>
    </row>
    <row r="126" spans="2:3" x14ac:dyDescent="0.25">
      <c r="B126" s="2436" t="s">
        <v>2726</v>
      </c>
      <c r="C126" s="2437"/>
    </row>
    <row r="127" spans="2:3" x14ac:dyDescent="0.25">
      <c r="B127" s="2436" t="s">
        <v>2727</v>
      </c>
      <c r="C127" s="2437"/>
    </row>
    <row r="128" spans="2:3" x14ac:dyDescent="0.25">
      <c r="B128" s="2436" t="s">
        <v>2728</v>
      </c>
      <c r="C128" s="2437"/>
    </row>
    <row r="129" spans="2:3" x14ac:dyDescent="0.25">
      <c r="B129" s="2436" t="s">
        <v>2729</v>
      </c>
      <c r="C129" s="2437"/>
    </row>
    <row r="130" spans="2:3" x14ac:dyDescent="0.25">
      <c r="B130" s="2436" t="s">
        <v>2730</v>
      </c>
      <c r="C130" s="2437"/>
    </row>
    <row r="131" spans="2:3" x14ac:dyDescent="0.25">
      <c r="B131" s="2436" t="s">
        <v>2731</v>
      </c>
      <c r="C131" s="2437"/>
    </row>
    <row r="132" spans="2:3" x14ac:dyDescent="0.25">
      <c r="B132" s="2436" t="s">
        <v>2732</v>
      </c>
    </row>
  </sheetData>
  <sheetProtection algorithmName="SHA-512" hashValue="XS76x0rSaMTp2awcQ0x+j7XFGiKJFR3idjLm64A1wctJRTUVenL69XimKpgkZD9J28rRVfo8kBmT5Ku017tnkA==" saltValue="uXUPd6fY6/klkKK8qAxgFA==" spinCount="100000" sheet="1" scenarios="1" formatCells="0" formatColumns="0" formatRows="0" autoFilter="0"/>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BF00F-33CE-427C-99E5-E15312E7FAE7}">
  <sheetPr codeName="Sheet31">
    <tabColor rgb="FF0070C0"/>
    <pageSetUpPr fitToPage="1"/>
  </sheetPr>
  <dimension ref="A1:AP98"/>
  <sheetViews>
    <sheetView showGridLines="0" showZeros="0" tabSelected="1" topLeftCell="A17" zoomScale="80" zoomScaleNormal="80" workbookViewId="0">
      <selection activeCell="H44" sqref="H44"/>
    </sheetView>
  </sheetViews>
  <sheetFormatPr defaultColWidth="9.42578125" defaultRowHeight="13.35" customHeight="1" outlineLevelCol="1" x14ac:dyDescent="0.25"/>
  <cols>
    <col min="1" max="1" width="1.5703125" customWidth="1"/>
    <col min="2" max="2" width="4.5703125" customWidth="1"/>
    <col min="3" max="3" width="33.5703125" customWidth="1"/>
    <col min="4" max="4" width="3.5703125" customWidth="1"/>
    <col min="5" max="5" width="21.42578125" customWidth="1"/>
    <col min="6" max="6" width="9" customWidth="1"/>
    <col min="7" max="7" width="10" bestFit="1" customWidth="1"/>
    <col min="8" max="8" width="18.5703125" bestFit="1" customWidth="1"/>
    <col min="9" max="10" width="1.42578125" customWidth="1"/>
    <col min="11" max="11" width="22.5703125" bestFit="1" customWidth="1"/>
    <col min="12" max="13" width="1.42578125" customWidth="1"/>
    <col min="14" max="14" width="17.42578125" customWidth="1"/>
    <col min="15" max="16" width="1.42578125" customWidth="1"/>
    <col min="17" max="17" width="17.42578125" customWidth="1"/>
    <col min="18" max="19" width="1.42578125" customWidth="1"/>
    <col min="20" max="20" width="18.5703125" bestFit="1" customWidth="1"/>
    <col min="21" max="22" width="1.42578125" customWidth="1"/>
    <col min="23" max="23" width="18.5703125" bestFit="1" customWidth="1"/>
    <col min="24" max="25" width="2.42578125" style="221" customWidth="1" outlineLevel="1"/>
    <col min="26" max="26" width="17.5703125" style="221" customWidth="1" outlineLevel="1"/>
    <col min="27" max="27" width="2.5703125" style="221" customWidth="1" outlineLevel="1"/>
    <col min="28" max="28" width="1.42578125" style="221" customWidth="1" outlineLevel="1"/>
    <col min="29" max="29" width="17.5703125" style="221" customWidth="1" outlineLevel="1"/>
    <col min="30" max="31" width="1.5703125" style="221" customWidth="1" outlineLevel="1"/>
    <col min="32" max="32" width="17.5703125" style="221" customWidth="1" outlineLevel="1"/>
    <col min="33" max="34" width="2.42578125" style="221" customWidth="1" outlineLevel="1"/>
    <col min="35" max="35" width="17.5703125" style="221" customWidth="1" outlineLevel="1"/>
    <col min="36" max="36" width="1.5703125" style="221" customWidth="1" outlineLevel="1"/>
    <col min="37" max="37" width="2.5703125" style="221" customWidth="1" outlineLevel="1"/>
    <col min="38" max="38" width="20.5703125" style="221" customWidth="1" outlineLevel="1"/>
    <col min="39" max="39" width="4.5703125" style="221" customWidth="1"/>
    <col min="40" max="40" width="27.5703125" style="221" customWidth="1"/>
    <col min="41" max="41" width="23.42578125" customWidth="1"/>
    <col min="42" max="42" width="16.5703125" style="170" customWidth="1"/>
  </cols>
  <sheetData>
    <row r="1" spans="1:41" ht="12.75" customHeight="1" x14ac:dyDescent="0.25">
      <c r="A1" s="250"/>
      <c r="B1" s="251"/>
      <c r="C1" s="251"/>
      <c r="D1" s="251"/>
      <c r="E1" s="251"/>
      <c r="F1" s="251"/>
      <c r="G1" s="251"/>
      <c r="H1" s="251"/>
      <c r="I1" s="251"/>
      <c r="J1" s="251"/>
      <c r="K1" s="251"/>
      <c r="L1" s="251"/>
      <c r="M1" s="251"/>
      <c r="N1" s="251"/>
      <c r="O1" s="251"/>
      <c r="P1" s="251"/>
      <c r="Q1" s="251"/>
      <c r="R1" s="251"/>
      <c r="S1" s="251"/>
      <c r="T1" s="251"/>
      <c r="U1" s="251"/>
      <c r="V1" s="251"/>
      <c r="W1" s="251"/>
      <c r="X1" s="2546"/>
      <c r="Y1" s="2546"/>
      <c r="Z1" s="2546"/>
      <c r="AA1" s="2546"/>
      <c r="AB1" s="2546"/>
      <c r="AC1" s="2546"/>
      <c r="AD1" s="2546"/>
      <c r="AE1" s="2546"/>
      <c r="AF1" s="2546"/>
      <c r="AG1" s="2546"/>
      <c r="AH1" s="2546"/>
      <c r="AI1" s="2546"/>
      <c r="AJ1" s="2546"/>
      <c r="AK1" s="2546"/>
      <c r="AL1" s="2547"/>
      <c r="AM1" s="2548"/>
    </row>
    <row r="2" spans="1:41" ht="12.75" customHeight="1" x14ac:dyDescent="0.25">
      <c r="A2" s="252"/>
      <c r="B2" s="1187"/>
      <c r="C2" s="2105" t="s">
        <v>88</v>
      </c>
      <c r="D2" s="2106"/>
      <c r="E2" s="2106"/>
      <c r="F2" s="2106"/>
      <c r="G2" s="2106"/>
      <c r="H2" s="2106"/>
      <c r="I2" s="2106"/>
      <c r="J2" s="2106"/>
      <c r="K2" s="2106"/>
      <c r="L2" s="2106"/>
      <c r="M2" s="2106"/>
      <c r="N2" s="2106"/>
      <c r="O2" s="2106"/>
      <c r="P2" s="2106"/>
      <c r="Q2" s="2106"/>
      <c r="R2" s="2106"/>
      <c r="S2" s="2106"/>
      <c r="T2" s="2106"/>
      <c r="U2" s="2106"/>
      <c r="V2" s="2106"/>
      <c r="W2" s="2106"/>
      <c r="X2" s="2549"/>
      <c r="Y2" s="2549"/>
      <c r="Z2" s="2549"/>
      <c r="AA2" s="2549"/>
      <c r="AB2" s="2549"/>
      <c r="AC2" s="2549"/>
      <c r="AD2" s="2549"/>
      <c r="AE2" s="2549"/>
      <c r="AF2" s="2549"/>
      <c r="AG2" s="2549"/>
      <c r="AH2" s="2549"/>
      <c r="AI2" s="2549"/>
      <c r="AJ2" s="2549"/>
      <c r="AK2" s="2549"/>
      <c r="AL2" s="2550"/>
      <c r="AM2" s="2548"/>
      <c r="AN2" s="2551" t="s">
        <v>2525</v>
      </c>
      <c r="AO2" s="2297"/>
    </row>
    <row r="3" spans="1:41" ht="12.75" customHeight="1" x14ac:dyDescent="0.25">
      <c r="A3" s="252"/>
      <c r="B3" s="1190"/>
      <c r="C3" s="2103"/>
      <c r="D3" s="2103"/>
      <c r="E3" s="2103"/>
      <c r="F3" s="2103"/>
      <c r="G3" s="2103"/>
      <c r="H3" s="2103"/>
      <c r="I3" s="2103"/>
      <c r="J3" s="2103"/>
      <c r="K3" s="2103"/>
      <c r="L3" s="2103"/>
      <c r="M3" s="2103"/>
      <c r="N3" s="2103"/>
      <c r="O3" s="2103"/>
      <c r="P3" s="2103"/>
      <c r="Q3" s="2103"/>
      <c r="R3" s="2103"/>
      <c r="S3" s="2103"/>
      <c r="T3" s="2103"/>
      <c r="U3" s="2103"/>
      <c r="V3" s="2103"/>
      <c r="W3" s="2103"/>
      <c r="X3" s="2552"/>
      <c r="Y3" s="2552"/>
      <c r="Z3" s="2552"/>
      <c r="AA3" s="2552"/>
      <c r="AB3" s="2552"/>
      <c r="AC3" s="2552"/>
      <c r="AD3" s="2552"/>
      <c r="AE3" s="2552"/>
      <c r="AF3" s="2552"/>
      <c r="AG3" s="2552"/>
      <c r="AH3" s="2552"/>
      <c r="AI3" s="2552"/>
      <c r="AJ3" s="2552"/>
      <c r="AK3" s="2552"/>
      <c r="AL3" s="2553"/>
      <c r="AM3" s="2552"/>
      <c r="AN3" s="2554"/>
      <c r="AO3" s="2298"/>
    </row>
    <row r="4" spans="1:41" ht="12.75" customHeight="1" x14ac:dyDescent="0.25">
      <c r="A4" s="252"/>
      <c r="B4" s="1190"/>
      <c r="D4" s="2103"/>
      <c r="E4" s="2103"/>
      <c r="F4" s="2103"/>
      <c r="G4" s="2103"/>
      <c r="H4" s="2103"/>
      <c r="I4" s="2103"/>
      <c r="J4" s="2103"/>
      <c r="K4" s="2103"/>
      <c r="L4" s="2103"/>
      <c r="M4" s="2103"/>
      <c r="N4" s="2103"/>
      <c r="O4" s="2103"/>
      <c r="P4" s="2103"/>
      <c r="Q4" s="2103"/>
      <c r="R4" s="2103"/>
      <c r="S4" s="2103"/>
      <c r="T4" s="2103"/>
      <c r="U4" s="2103"/>
      <c r="V4" s="2103"/>
      <c r="W4" s="2103"/>
      <c r="X4" s="2552"/>
      <c r="Y4" s="2552"/>
      <c r="Z4" s="2552"/>
      <c r="AA4" s="2552"/>
      <c r="AB4" s="2552"/>
      <c r="AC4" s="2552"/>
      <c r="AD4" s="2552"/>
      <c r="AE4" s="2552"/>
      <c r="AF4" s="2552"/>
      <c r="AG4" s="2552"/>
      <c r="AH4" s="2552"/>
      <c r="AI4" s="2552"/>
      <c r="AJ4" s="2552"/>
      <c r="AK4" s="2552"/>
      <c r="AL4" s="2553"/>
      <c r="AM4" s="2552"/>
      <c r="AN4" s="2554"/>
      <c r="AO4" s="2298"/>
    </row>
    <row r="5" spans="1:41" ht="15.75" x14ac:dyDescent="0.25">
      <c r="A5" s="254"/>
      <c r="B5" s="1192"/>
      <c r="C5" s="2282" t="str">
        <f>+'Data Input sheet'!$B$7&amp;" "&amp;'Data Input sheet'!$C$7</f>
        <v>Project Title: Battery Storage - Hyde Park</v>
      </c>
      <c r="D5" s="255"/>
      <c r="E5" s="256"/>
      <c r="F5" s="256"/>
      <c r="G5" s="257"/>
      <c r="H5" s="257"/>
      <c r="I5" s="257"/>
      <c r="J5" s="257"/>
      <c r="K5" s="257"/>
      <c r="L5" s="257"/>
      <c r="M5" s="257"/>
      <c r="N5" s="257"/>
      <c r="O5" s="258"/>
      <c r="P5" s="258"/>
      <c r="Q5" s="257"/>
      <c r="R5" s="2283" t="str">
        <f>+'Data Input sheet'!$B$4&amp;" "&amp;'Data Input sheet'!$C$4</f>
        <v>Estimate #: E-23-373</v>
      </c>
      <c r="S5" s="2285"/>
      <c r="T5" s="259"/>
      <c r="U5" s="259"/>
      <c r="V5" s="259"/>
      <c r="W5" s="259"/>
      <c r="X5" s="2555"/>
      <c r="Y5" s="2555"/>
      <c r="Z5" s="2555"/>
      <c r="AA5" s="2555"/>
      <c r="AB5" s="2555"/>
      <c r="AC5" s="2555"/>
      <c r="AD5" s="2555"/>
      <c r="AE5" s="2555"/>
      <c r="AF5" s="2555"/>
      <c r="AG5" s="2555"/>
      <c r="AH5" s="2555"/>
      <c r="AI5" s="2555"/>
      <c r="AJ5" s="2555"/>
      <c r="AK5" s="2555"/>
      <c r="AL5" s="2556"/>
      <c r="AM5" s="2557"/>
      <c r="AN5" s="2558" t="str">
        <f>+R5</f>
        <v>Estimate #: E-23-373</v>
      </c>
      <c r="AO5" s="2298"/>
    </row>
    <row r="6" spans="1:41" ht="15.75" x14ac:dyDescent="0.25">
      <c r="A6" s="254"/>
      <c r="B6" s="1192"/>
      <c r="C6" s="2282" t="str">
        <f>+'Data Input sheet'!$B$8&amp;" "&amp;'Data Input sheet'!$C$8</f>
        <v>Project Mgr/Lead: Michael Rosenburg</v>
      </c>
      <c r="D6" s="255"/>
      <c r="E6" s="260"/>
      <c r="F6" s="260"/>
      <c r="G6" s="261"/>
      <c r="H6" s="261"/>
      <c r="I6" s="261"/>
      <c r="J6" s="261"/>
      <c r="K6" s="261"/>
      <c r="L6" s="261"/>
      <c r="M6" s="261"/>
      <c r="N6" s="259"/>
      <c r="O6" s="257"/>
      <c r="P6" s="257"/>
      <c r="Q6" s="262"/>
      <c r="R6" s="2283" t="str">
        <f>'Data Input sheet'!$B$11&amp;TEXT('Data Input sheet'!$C$11,"mm/dd/yyy")</f>
        <v>Date of Estimate:12/08/2023</v>
      </c>
      <c r="S6" s="262"/>
      <c r="T6" s="259"/>
      <c r="U6" s="259"/>
      <c r="V6" s="259"/>
      <c r="W6" s="259"/>
      <c r="X6" s="2555"/>
      <c r="Y6" s="2555"/>
      <c r="Z6" s="2555"/>
      <c r="AA6" s="2555"/>
      <c r="AB6" s="2555"/>
      <c r="AC6" s="2555"/>
      <c r="AD6" s="2555"/>
      <c r="AE6" s="2555"/>
      <c r="AF6" s="2555"/>
      <c r="AG6" s="2555"/>
      <c r="AH6" s="2555"/>
      <c r="AI6" s="2555"/>
      <c r="AJ6" s="2555"/>
      <c r="AK6" s="2555"/>
      <c r="AL6" s="2559"/>
      <c r="AM6" s="2560"/>
      <c r="AN6" s="2558" t="str">
        <f>+R6</f>
        <v>Date of Estimate:12/08/2023</v>
      </c>
      <c r="AO6" s="2298"/>
    </row>
    <row r="7" spans="1:41" ht="6.75" customHeight="1" x14ac:dyDescent="0.25">
      <c r="A7" s="254"/>
      <c r="B7" s="1192"/>
      <c r="C7" s="2103"/>
      <c r="D7" s="263"/>
      <c r="E7" s="260"/>
      <c r="F7" s="260"/>
      <c r="G7" s="261"/>
      <c r="H7" s="261"/>
      <c r="I7" s="261"/>
      <c r="J7" s="261"/>
      <c r="K7" s="261"/>
      <c r="L7" s="261"/>
      <c r="M7" s="261"/>
      <c r="N7" s="259"/>
      <c r="O7" s="264"/>
      <c r="P7" s="264"/>
      <c r="Q7" s="262"/>
      <c r="R7" s="9"/>
      <c r="S7" s="2285"/>
      <c r="T7" s="259"/>
      <c r="U7" s="259"/>
      <c r="V7" s="259"/>
      <c r="W7" s="259"/>
      <c r="X7" s="2555"/>
      <c r="Y7" s="2555"/>
      <c r="Z7" s="2555"/>
      <c r="AA7" s="2555"/>
      <c r="AB7" s="2555"/>
      <c r="AC7" s="2555"/>
      <c r="AD7" s="2555"/>
      <c r="AE7" s="2555"/>
      <c r="AF7" s="2555"/>
      <c r="AG7" s="2555"/>
      <c r="AH7" s="2555"/>
      <c r="AI7" s="2555"/>
      <c r="AJ7" s="2555"/>
      <c r="AK7" s="2555"/>
      <c r="AL7" s="2561"/>
      <c r="AM7" s="2562"/>
      <c r="AN7" s="2563"/>
      <c r="AO7" s="2298"/>
    </row>
    <row r="8" spans="1:41" ht="14.25" customHeight="1" x14ac:dyDescent="0.25">
      <c r="A8" s="254"/>
      <c r="B8" s="1192"/>
      <c r="C8" s="2282" t="str">
        <f>+'Data Input sheet'!$B$5&amp;" "&amp;'Data Input sheet'!$C$5</f>
        <v>Project Number: 21334</v>
      </c>
      <c r="D8" s="256"/>
      <c r="E8" s="260"/>
      <c r="F8" s="260"/>
      <c r="G8" s="261"/>
      <c r="H8" s="261"/>
      <c r="I8" s="261"/>
      <c r="J8" s="261"/>
      <c r="K8" s="261"/>
      <c r="L8" s="261"/>
      <c r="M8" s="261"/>
      <c r="N8" s="259"/>
      <c r="O8" s="257"/>
      <c r="P8" s="257"/>
      <c r="Q8" s="262"/>
      <c r="R8" s="2283" t="str">
        <f>+'Data Input sheet'!$B$13&amp;" "&amp;'Data Input sheet'!$C$13</f>
        <v>Estimate done by: PAG</v>
      </c>
      <c r="S8" s="257"/>
      <c r="T8" s="259"/>
      <c r="U8" s="259"/>
      <c r="V8" s="259"/>
      <c r="W8" s="259"/>
      <c r="X8" s="2555"/>
      <c r="Y8" s="2555"/>
      <c r="Z8" s="2555"/>
      <c r="AA8" s="2555"/>
      <c r="AB8" s="2555"/>
      <c r="AC8" s="2555"/>
      <c r="AD8" s="2555"/>
      <c r="AE8" s="2555"/>
      <c r="AF8" s="2555"/>
      <c r="AG8" s="2555"/>
      <c r="AH8" s="2555"/>
      <c r="AI8" s="2555"/>
      <c r="AJ8" s="2555"/>
      <c r="AK8" s="2555"/>
      <c r="AL8" s="2564"/>
      <c r="AM8" s="2555"/>
      <c r="AN8" s="2563"/>
      <c r="AO8" s="2298"/>
    </row>
    <row r="9" spans="1:41" ht="15.75" x14ac:dyDescent="0.25">
      <c r="A9" s="254"/>
      <c r="B9" s="1192"/>
      <c r="C9" s="2282" t="str">
        <f>+'Data Input sheet'!$B$6&amp;" "&amp;'Data Input sheet'!$C$6</f>
        <v>WO &amp; Task #: 80089926</v>
      </c>
      <c r="D9" s="255"/>
      <c r="E9" s="2283"/>
      <c r="F9" s="260"/>
      <c r="G9" s="261"/>
      <c r="H9" s="261"/>
      <c r="I9" s="261"/>
      <c r="J9" s="261"/>
      <c r="K9" s="261"/>
      <c r="L9" s="261"/>
      <c r="M9" s="261"/>
      <c r="N9" s="259"/>
      <c r="O9" s="257"/>
      <c r="P9" s="257"/>
      <c r="Q9" s="259"/>
      <c r="R9" s="2283" t="str">
        <f>'Data Input sheet'!$B$10&amp;TEXT('Data Input sheet'!$C$10,"mm/dd/yyy")</f>
        <v>In Service date (ISD):12/23/2028</v>
      </c>
      <c r="S9" s="2285"/>
      <c r="T9" s="265"/>
      <c r="U9" s="265"/>
      <c r="V9" s="265"/>
      <c r="W9" s="265"/>
      <c r="X9" s="2565"/>
      <c r="Y9" s="2565"/>
      <c r="Z9" s="2565"/>
      <c r="AA9" s="2565"/>
      <c r="AB9" s="2565"/>
      <c r="AC9" s="2565"/>
      <c r="AD9" s="2565"/>
      <c r="AE9" s="2565"/>
      <c r="AF9" s="2565"/>
      <c r="AG9" s="2565"/>
      <c r="AH9" s="2565"/>
      <c r="AI9" s="2565"/>
      <c r="AJ9" s="2565"/>
      <c r="AK9" s="2565"/>
      <c r="AL9" s="2566"/>
      <c r="AM9" s="2548"/>
      <c r="AN9" s="2563"/>
      <c r="AO9" s="2298"/>
    </row>
    <row r="10" spans="1:41" ht="15.75" x14ac:dyDescent="0.25">
      <c r="A10" s="254"/>
      <c r="B10" s="1192"/>
      <c r="C10" s="2283" t="str">
        <f>+'Data Input sheet'!$B$12&amp;" "&amp;'Data Input sheet'!$C$12</f>
        <v>Estimate revision #: 00</v>
      </c>
      <c r="D10" s="266"/>
      <c r="E10" s="2283"/>
      <c r="F10" s="260"/>
      <c r="G10" s="259"/>
      <c r="H10" s="259"/>
      <c r="I10" s="259"/>
      <c r="J10" s="259"/>
      <c r="K10" s="259"/>
      <c r="L10" s="259"/>
      <c r="M10" s="259"/>
      <c r="N10" s="259"/>
      <c r="O10" s="257"/>
      <c r="P10" s="257"/>
      <c r="Q10" s="259"/>
      <c r="R10" s="257"/>
      <c r="S10" s="257"/>
      <c r="T10" s="262"/>
      <c r="U10" s="262"/>
      <c r="V10" s="262"/>
      <c r="W10" s="262"/>
      <c r="X10" s="2557"/>
      <c r="Y10" s="2557"/>
      <c r="Z10" s="2557"/>
      <c r="AA10" s="2557"/>
      <c r="AB10" s="2557"/>
      <c r="AC10" s="2557"/>
      <c r="AD10" s="2557"/>
      <c r="AE10" s="2557"/>
      <c r="AF10" s="2557"/>
      <c r="AG10" s="2557"/>
      <c r="AH10" s="2557"/>
      <c r="AI10" s="2557"/>
      <c r="AJ10" s="2557"/>
      <c r="AK10" s="2557"/>
      <c r="AL10" s="2566"/>
      <c r="AM10" s="2548"/>
      <c r="AN10" s="2558" t="str">
        <f>+C8</f>
        <v>Project Number: 21334</v>
      </c>
      <c r="AO10" s="2298"/>
    </row>
    <row r="11" spans="1:41" ht="15.75" x14ac:dyDescent="0.25">
      <c r="A11" s="254"/>
      <c r="B11" s="1192"/>
      <c r="C11" s="2284" t="str">
        <f>"Estimate Type"&amp;" - "&amp;'Data Input sheet'!$D$20</f>
        <v>Estimate Type - Station work</v>
      </c>
      <c r="D11" s="259"/>
      <c r="E11" s="9"/>
      <c r="F11" s="259"/>
      <c r="G11" s="267"/>
      <c r="H11" s="267"/>
      <c r="I11" s="267"/>
      <c r="J11" s="267"/>
      <c r="K11" s="267"/>
      <c r="L11" s="267"/>
      <c r="M11" s="267"/>
      <c r="N11" s="267"/>
      <c r="O11" s="259"/>
      <c r="P11" s="259"/>
      <c r="Q11" s="259"/>
      <c r="S11" s="2285"/>
      <c r="T11" s="265"/>
      <c r="U11" s="265"/>
      <c r="V11" s="265"/>
      <c r="W11" s="265"/>
      <c r="X11" s="2565"/>
      <c r="Y11" s="2565"/>
      <c r="Z11" s="2565"/>
      <c r="AA11" s="2565"/>
      <c r="AB11" s="2565"/>
      <c r="AC11" s="2565"/>
      <c r="AD11" s="2565"/>
      <c r="AE11" s="2565"/>
      <c r="AF11" s="2565"/>
      <c r="AG11" s="2565"/>
      <c r="AH11" s="2565"/>
      <c r="AI11" s="2565"/>
      <c r="AJ11" s="2565"/>
      <c r="AK11" s="2565"/>
      <c r="AL11" s="2566"/>
      <c r="AM11" s="2548"/>
      <c r="AN11" s="2558" t="str">
        <f>+C9</f>
        <v>WO &amp; Task #: 80089926</v>
      </c>
      <c r="AO11" s="2298"/>
    </row>
    <row r="12" spans="1:41" ht="12.75" customHeight="1" x14ac:dyDescent="0.25">
      <c r="A12" s="268"/>
      <c r="B12" s="1193"/>
      <c r="C12" s="1194"/>
      <c r="D12" s="1195"/>
      <c r="E12" s="1195"/>
      <c r="F12" s="1195"/>
      <c r="G12" s="1195"/>
      <c r="H12" s="1195"/>
      <c r="I12" s="1195"/>
      <c r="J12" s="1195"/>
      <c r="K12" s="1195"/>
      <c r="L12" s="1195"/>
      <c r="M12" s="1195"/>
      <c r="N12" s="1195"/>
      <c r="O12" s="1195"/>
      <c r="P12" s="1195"/>
      <c r="Q12" s="1195"/>
      <c r="R12" s="1195"/>
      <c r="S12" s="1195"/>
      <c r="T12" s="1196"/>
      <c r="U12" s="1196"/>
      <c r="V12" s="1196"/>
      <c r="W12" s="1196"/>
      <c r="X12" s="2567"/>
      <c r="Y12" s="2567"/>
      <c r="Z12" s="2567"/>
      <c r="AA12" s="2567"/>
      <c r="AB12" s="2567"/>
      <c r="AC12" s="2567"/>
      <c r="AD12" s="2567"/>
      <c r="AE12" s="2567"/>
      <c r="AF12" s="2567"/>
      <c r="AG12" s="2567"/>
      <c r="AH12" s="2567"/>
      <c r="AI12" s="2567"/>
      <c r="AJ12" s="2567"/>
      <c r="AK12" s="2567"/>
      <c r="AL12" s="2568" t="str">
        <f>+'Data Input sheet'!M2</f>
        <v>Template Revision # 01.92a</v>
      </c>
      <c r="AM12" s="2569"/>
      <c r="AN12" s="2570"/>
      <c r="AO12" s="2299"/>
    </row>
    <row r="13" spans="1:41" ht="12.75" customHeight="1" x14ac:dyDescent="0.25">
      <c r="A13" s="254"/>
      <c r="B13" s="262"/>
      <c r="C13" s="262"/>
      <c r="D13" s="262"/>
      <c r="F13" s="262"/>
      <c r="G13" s="257"/>
      <c r="H13" s="257"/>
      <c r="I13" s="257"/>
      <c r="J13" s="257"/>
      <c r="K13" s="257"/>
      <c r="L13" s="257"/>
      <c r="M13" s="257"/>
      <c r="N13" s="257"/>
      <c r="O13" s="257"/>
      <c r="P13" s="257"/>
      <c r="Q13" s="257"/>
      <c r="R13" s="257"/>
      <c r="S13" s="257"/>
      <c r="T13" s="257"/>
      <c r="U13" s="257"/>
      <c r="V13" s="257"/>
      <c r="W13" s="257"/>
      <c r="X13" s="2571"/>
      <c r="Y13" s="2571"/>
      <c r="Z13" s="2571"/>
      <c r="AA13" s="2571"/>
      <c r="AB13" s="2571"/>
      <c r="AC13" s="2571"/>
      <c r="AD13" s="2571"/>
      <c r="AE13" s="2571"/>
      <c r="AF13" s="2571"/>
      <c r="AG13" s="2571"/>
      <c r="AH13" s="2571"/>
      <c r="AI13" s="2571"/>
      <c r="AJ13" s="2571"/>
      <c r="AK13" s="2571"/>
      <c r="AL13" s="2555"/>
      <c r="AM13" s="2555"/>
      <c r="AN13" s="2554"/>
      <c r="AO13" s="2298"/>
    </row>
    <row r="14" spans="1:41" ht="18" customHeight="1" x14ac:dyDescent="0.25">
      <c r="A14" s="253"/>
      <c r="B14" s="1197"/>
      <c r="C14" s="1224" t="s">
        <v>89</v>
      </c>
      <c r="D14" s="1198"/>
      <c r="E14" s="1198"/>
      <c r="F14" s="1198"/>
      <c r="G14" s="1199"/>
      <c r="H14" s="1199"/>
      <c r="I14" s="1199"/>
      <c r="J14" s="1199"/>
      <c r="K14" s="1199"/>
      <c r="L14" s="1199"/>
      <c r="M14" s="1199"/>
      <c r="N14" s="1199"/>
      <c r="O14" s="1189"/>
      <c r="P14" s="1189"/>
      <c r="Q14" s="1189"/>
      <c r="R14" s="1189"/>
      <c r="S14" s="1189"/>
      <c r="T14" s="1189"/>
      <c r="U14" s="1189"/>
      <c r="V14" s="1189"/>
      <c r="W14" s="1189"/>
      <c r="X14" s="2572"/>
      <c r="Y14" s="2572"/>
      <c r="Z14" s="2572"/>
      <c r="AA14" s="2572"/>
      <c r="AB14" s="2572"/>
      <c r="AC14" s="2572"/>
      <c r="AD14" s="2572"/>
      <c r="AE14" s="2572"/>
      <c r="AF14" s="2572"/>
      <c r="AG14" s="2572"/>
      <c r="AH14" s="2572"/>
      <c r="AI14" s="2572"/>
      <c r="AJ14" s="2572"/>
      <c r="AK14" s="2572"/>
      <c r="AL14" s="2573"/>
      <c r="AM14" s="2571"/>
      <c r="AN14" s="2554"/>
      <c r="AO14" s="2298"/>
    </row>
    <row r="15" spans="1:41" ht="12.75" customHeight="1" x14ac:dyDescent="0.25">
      <c r="A15" s="253"/>
      <c r="B15" s="1191"/>
      <c r="C15" s="262"/>
      <c r="D15" s="262"/>
      <c r="E15" s="262"/>
      <c r="F15" s="262"/>
      <c r="G15" s="259"/>
      <c r="H15" s="259"/>
      <c r="I15" s="259"/>
      <c r="J15" s="259"/>
      <c r="K15" s="259"/>
      <c r="L15" s="259"/>
      <c r="M15" s="259"/>
      <c r="N15" s="259"/>
      <c r="O15" s="257"/>
      <c r="P15" s="257"/>
      <c r="Q15" s="257"/>
      <c r="R15" s="257"/>
      <c r="S15" s="257"/>
      <c r="T15" s="257"/>
      <c r="U15" s="257"/>
      <c r="V15" s="257"/>
      <c r="W15" s="257"/>
      <c r="X15" s="2571"/>
      <c r="Y15" s="2571"/>
      <c r="Z15" s="2571"/>
      <c r="AA15" s="2571"/>
      <c r="AB15" s="2571"/>
      <c r="AC15" s="2571"/>
      <c r="AD15" s="2571"/>
      <c r="AE15" s="2571"/>
      <c r="AF15" s="2571"/>
      <c r="AG15" s="2571"/>
      <c r="AH15" s="2571"/>
      <c r="AI15" s="2571"/>
      <c r="AJ15" s="2571"/>
      <c r="AK15" s="2571"/>
      <c r="AL15" s="2574"/>
      <c r="AM15" s="2571"/>
      <c r="AN15" s="2554"/>
      <c r="AO15" s="2298"/>
    </row>
    <row r="16" spans="1:41" ht="18" customHeight="1" thickBot="1" x14ac:dyDescent="0.3">
      <c r="A16" s="253"/>
      <c r="B16" s="1191"/>
      <c r="C16" s="1223" t="str">
        <f>'Data Input sheet'!B15</f>
        <v>Estimate Type: Conceptual</v>
      </c>
      <c r="D16" s="262"/>
      <c r="E16" s="262"/>
      <c r="F16" s="262"/>
      <c r="G16" s="269"/>
      <c r="H16" s="269"/>
      <c r="I16" s="269"/>
      <c r="J16" s="269"/>
      <c r="K16" s="269"/>
      <c r="L16" s="269"/>
      <c r="M16" s="269"/>
      <c r="N16" s="270"/>
      <c r="O16" s="259"/>
      <c r="P16" s="259"/>
      <c r="Q16" s="270"/>
      <c r="R16" s="257"/>
      <c r="S16" s="257"/>
      <c r="T16" s="257"/>
      <c r="U16" s="257"/>
      <c r="V16" s="257"/>
      <c r="W16" s="257"/>
      <c r="X16" s="2571"/>
      <c r="Y16" s="2571"/>
      <c r="Z16" s="2571"/>
      <c r="AA16" s="2571"/>
      <c r="AB16" s="2571"/>
      <c r="AC16" s="2571"/>
      <c r="AD16" s="2571"/>
      <c r="AE16" s="2571"/>
      <c r="AF16" s="2571"/>
      <c r="AG16" s="2571"/>
      <c r="AH16" s="2571"/>
      <c r="AI16" s="2571"/>
      <c r="AJ16" s="2571"/>
      <c r="AK16" s="2571"/>
      <c r="AL16" s="2574"/>
      <c r="AM16" s="2571"/>
      <c r="AN16" s="2554"/>
      <c r="AO16" s="2298"/>
    </row>
    <row r="17" spans="1:42" ht="20.85" customHeight="1" thickBot="1" x14ac:dyDescent="0.3">
      <c r="A17" s="1184"/>
      <c r="B17" s="1200"/>
      <c r="C17" s="2461" t="str">
        <f>IF('Data Input sheet'!D16="no"," ","External Est Category: "&amp;+'Data Input sheet'!D17)</f>
        <v xml:space="preserve"> </v>
      </c>
      <c r="D17" s="271"/>
      <c r="E17" s="271"/>
      <c r="F17" s="271"/>
      <c r="G17" s="271"/>
      <c r="H17" s="271"/>
      <c r="I17" s="271"/>
      <c r="J17" s="271"/>
      <c r="K17" s="271"/>
      <c r="L17" s="271"/>
      <c r="M17" s="271"/>
      <c r="N17" s="271"/>
      <c r="O17" s="271"/>
      <c r="P17" s="271"/>
      <c r="Q17" s="271"/>
      <c r="R17" s="271"/>
      <c r="S17" s="271"/>
      <c r="T17" s="271"/>
      <c r="U17" s="271"/>
      <c r="V17" s="271"/>
      <c r="W17" s="271"/>
      <c r="X17" s="2571"/>
      <c r="Y17" s="2571"/>
      <c r="Z17" s="2571"/>
      <c r="AA17" s="2571"/>
      <c r="AB17" s="2571"/>
      <c r="AC17" s="2571"/>
      <c r="AD17" s="2571"/>
      <c r="AE17" s="2571"/>
      <c r="AF17" s="2571"/>
      <c r="AG17" s="2571"/>
      <c r="AH17" s="2571"/>
      <c r="AI17" s="2571"/>
      <c r="AJ17" s="2571"/>
      <c r="AK17" s="2571"/>
      <c r="AL17" s="2575"/>
      <c r="AM17" s="2576"/>
      <c r="AN17" s="2554"/>
      <c r="AO17" s="2298"/>
    </row>
    <row r="18" spans="1:42" ht="38.25" customHeight="1" thickBot="1" x14ac:dyDescent="0.3">
      <c r="A18" s="1184"/>
      <c r="B18" s="1804" t="s">
        <v>90</v>
      </c>
      <c r="C18" s="272" t="s">
        <v>206</v>
      </c>
      <c r="D18" s="271"/>
      <c r="E18" s="272" t="s">
        <v>91</v>
      </c>
      <c r="F18" s="1805" t="s">
        <v>1941</v>
      </c>
      <c r="G18" s="1805" t="s">
        <v>92</v>
      </c>
      <c r="H18" s="272" t="s">
        <v>1480</v>
      </c>
      <c r="I18" s="272"/>
      <c r="J18" s="273"/>
      <c r="K18" s="1829">
        <f>'Data Input sheet'!$D$100</f>
        <v>45292</v>
      </c>
      <c r="L18" s="1829"/>
      <c r="M18" s="1830"/>
      <c r="N18" s="1829">
        <f>'Data Input sheet'!$G$100</f>
        <v>45658</v>
      </c>
      <c r="O18" s="1831"/>
      <c r="P18" s="1831"/>
      <c r="Q18" s="1829">
        <f>'Data Input sheet'!$J$100</f>
        <v>46023</v>
      </c>
      <c r="R18" s="1829"/>
      <c r="S18" s="1829"/>
      <c r="T18" s="1829">
        <f>'Data Input sheet'!$M$100</f>
        <v>46388</v>
      </c>
      <c r="U18" s="1829"/>
      <c r="V18" s="1829"/>
      <c r="W18" s="1829">
        <f>'Data Input sheet'!$P$100</f>
        <v>46753</v>
      </c>
      <c r="X18" s="2577"/>
      <c r="Y18" s="2577"/>
      <c r="Z18" s="2578">
        <f>'Data Input sheet'!$S$100</f>
        <v>47119</v>
      </c>
      <c r="AA18" s="2577"/>
      <c r="AB18" s="2577"/>
      <c r="AC18" s="2578">
        <f>'Data Input sheet'!$V$100</f>
        <v>47484</v>
      </c>
      <c r="AD18" s="2577"/>
      <c r="AE18" s="2577"/>
      <c r="AF18" s="2578">
        <f>'Data Input sheet'!$Y$100</f>
        <v>47849</v>
      </c>
      <c r="AG18" s="2578"/>
      <c r="AH18" s="2578"/>
      <c r="AI18" s="2578">
        <f>'Data Input sheet'!$AB$100</f>
        <v>48214</v>
      </c>
      <c r="AJ18" s="2577"/>
      <c r="AK18" s="2577"/>
      <c r="AL18" s="2579">
        <f>'Data Input sheet'!$AE$100</f>
        <v>48580</v>
      </c>
      <c r="AM18" s="2578"/>
      <c r="AN18" s="2554"/>
      <c r="AO18" s="2310" t="s">
        <v>2519</v>
      </c>
    </row>
    <row r="19" spans="1:42" ht="16.5" customHeight="1" x14ac:dyDescent="0.25">
      <c r="A19" s="1185"/>
      <c r="B19" s="1806">
        <v>1</v>
      </c>
      <c r="C19" s="1807" t="str">
        <f>VLOOKUP(B19,Parameters!$D$159:$E$301,2)</f>
        <v>ROW / Easements / Land purchases</v>
      </c>
      <c r="D19" s="275"/>
      <c r="E19" s="1808">
        <f t="shared" ref="E19:E31" ca="1" si="0">SUM(H19:AL19)</f>
        <v>0</v>
      </c>
      <c r="F19" s="1803">
        <f ca="1">IF($E$32=0,0,+E19/$E$32)</f>
        <v>0</v>
      </c>
      <c r="G19" s="1803">
        <f ca="1">IF($E$41=0,0,+E19/$E$41)</f>
        <v>0</v>
      </c>
      <c r="H19" s="1809">
        <f ca="1">ROUND(SUMIF('Detail Summary'!$E$217:$AS$277,$B19,'Detail Summary'!L$217:L$277),'Data Input sheet'!$D$22)</f>
        <v>0</v>
      </c>
      <c r="I19" s="1783"/>
      <c r="J19" s="1783"/>
      <c r="K19" s="1809">
        <f ca="1">ROUND(SUMIF('Detail Summary'!$E$217:$AS$277,$B19,'Detail Summary'!O$217:O$277),'Data Input sheet'!$D$22)</f>
        <v>0</v>
      </c>
      <c r="L19" s="1783"/>
      <c r="M19" s="1785"/>
      <c r="N19" s="1809">
        <f ca="1">ROUND(SUMIF('Detail Summary'!$E$217:$AS$277,$B19,'Detail Summary'!R$217:R$277),'Data Input sheet'!$D$22)</f>
        <v>0</v>
      </c>
      <c r="O19" s="1786"/>
      <c r="P19" s="1786"/>
      <c r="Q19" s="1809">
        <f ca="1">ROUND(SUMIF('Detail Summary'!$E$217:$AS$277,$B19,'Detail Summary'!U$217:U$277),'Data Input sheet'!$D$22)</f>
        <v>0</v>
      </c>
      <c r="R19" s="1783"/>
      <c r="S19" s="1783"/>
      <c r="T19" s="1809">
        <f ca="1">ROUND(SUMIF('Detail Summary'!$E$217:$AS$277,$B19,'Detail Summary'!X$217:X$277),'Data Input sheet'!$D$22)</f>
        <v>0</v>
      </c>
      <c r="U19" s="1783"/>
      <c r="V19" s="1783"/>
      <c r="W19" s="1809">
        <f ca="1">ROUND(SUMIF('Detail Summary'!$E$217:$AS$277,$B19,'Detail Summary'!AA$217:AA$277),'Data Input sheet'!$D$22)</f>
        <v>0</v>
      </c>
      <c r="X19" s="2580"/>
      <c r="Y19" s="2580"/>
      <c r="Z19" s="2581">
        <f ca="1">ROUND(SUMIF('Detail Summary'!$E$217:$AS$277,$B19,'Detail Summary'!AD$217:AD$277),'Data Input sheet'!$D$22)</f>
        <v>0</v>
      </c>
      <c r="AA19" s="2580"/>
      <c r="AB19" s="2580"/>
      <c r="AC19" s="2581">
        <f ca="1">ROUND(SUMIF('Detail Summary'!$E$217:$AS$277,$B19,'Detail Summary'!AG$217:AG$277),'Data Input sheet'!$D$22)</f>
        <v>0</v>
      </c>
      <c r="AD19" s="2580"/>
      <c r="AE19" s="2580"/>
      <c r="AF19" s="2581">
        <f ca="1">ROUND(SUMIF('Detail Summary'!$E$217:$AS$277,$B19,'Detail Summary'!AJ$217:AJ$277),'Data Input sheet'!$D$22)</f>
        <v>0</v>
      </c>
      <c r="AG19" s="2582"/>
      <c r="AH19" s="2582"/>
      <c r="AI19" s="2581">
        <f ca="1">ROUND(SUMIF('Detail Summary'!$E$217:$AS$277,$B19,'Detail Summary'!AM$217:AM$277),'Data Input sheet'!$D$22)</f>
        <v>0</v>
      </c>
      <c r="AJ19" s="2580"/>
      <c r="AK19" s="2580"/>
      <c r="AL19" s="2583">
        <f ca="1">ROUND(SUMIF('Detail Summary'!$E$217:$AS$277,$B19,'Detail Summary'!AP$217:AP$277),'Data Input sheet'!$D$22)</f>
        <v>0</v>
      </c>
      <c r="AM19" s="2582"/>
      <c r="AN19" s="2554" t="str">
        <f t="shared" ref="AN19:AN30" si="1">+C19</f>
        <v>ROW / Easements / Land purchases</v>
      </c>
      <c r="AO19" s="2302">
        <f ca="1">ROUND(+'WBS by year'!AI6,'Data Input sheet'!$D$22)</f>
        <v>0</v>
      </c>
    </row>
    <row r="20" spans="1:42" ht="16.5" customHeight="1" x14ac:dyDescent="0.25">
      <c r="A20" s="1185"/>
      <c r="B20" s="1225">
        <v>2</v>
      </c>
      <c r="C20" s="274" t="str">
        <f>VLOOKUP(B20,Parameters!$D$159:$E$301,2)</f>
        <v>Environmental Approvals / Permits</v>
      </c>
      <c r="D20" s="275"/>
      <c r="E20" s="1783">
        <f t="shared" ca="1" si="0"/>
        <v>325400</v>
      </c>
      <c r="F20" s="1201">
        <f t="shared" ref="F20:F30" ca="1" si="2">IF($E$32=0,0,+E20/$E$32)</f>
        <v>9.8781172684911135E-3</v>
      </c>
      <c r="G20" s="1201">
        <f t="shared" ref="G20:G31" ca="1" si="3">IF($E$41=0,0,+E20/$E$41)</f>
        <v>7.0590889566692558E-3</v>
      </c>
      <c r="H20" s="1784">
        <f ca="1">ROUND(SUMIF('Detail Summary'!$E$217:$AS$277,$B20,'Detail Summary'!L$217:L$277),'Data Input sheet'!$D$22)</f>
        <v>5100</v>
      </c>
      <c r="I20" s="1783"/>
      <c r="J20" s="1783"/>
      <c r="K20" s="1784">
        <f ca="1">ROUND(SUMIF('Detail Summary'!$E$217:$AS$277,$B20,'Detail Summary'!O$217:O$277),'Data Input sheet'!$D$22)</f>
        <v>0</v>
      </c>
      <c r="L20" s="1783"/>
      <c r="M20" s="1785"/>
      <c r="N20" s="1784">
        <f ca="1">ROUND(SUMIF('Detail Summary'!$E$217:$AS$277,$B20,'Detail Summary'!R$217:R$277),'Data Input sheet'!$D$22)</f>
        <v>0</v>
      </c>
      <c r="O20" s="1786"/>
      <c r="P20" s="1786"/>
      <c r="Q20" s="1784">
        <f ca="1">ROUND(SUMIF('Detail Summary'!$E$217:$AS$277,$B20,'Detail Summary'!U$217:U$277),'Data Input sheet'!$D$22)</f>
        <v>77700</v>
      </c>
      <c r="R20" s="1783"/>
      <c r="S20" s="1783"/>
      <c r="T20" s="1784">
        <f ca="1">ROUND(SUMIF('Detail Summary'!$E$217:$AS$277,$B20,'Detail Summary'!X$217:X$277),'Data Input sheet'!$D$22)</f>
        <v>160100</v>
      </c>
      <c r="U20" s="1783"/>
      <c r="V20" s="1783"/>
      <c r="W20" s="1784">
        <f ca="1">ROUND(SUMIF('Detail Summary'!$E$217:$AS$277,$B20,'Detail Summary'!AA$217:AA$277),'Data Input sheet'!$D$22)</f>
        <v>82500</v>
      </c>
      <c r="X20" s="2580"/>
      <c r="Y20" s="2580"/>
      <c r="Z20" s="2582">
        <f ca="1">ROUND(SUMIF('Detail Summary'!$E$217:$AS$277,$B20,'Detail Summary'!AD$217:AD$277),'Data Input sheet'!$D$22)</f>
        <v>0</v>
      </c>
      <c r="AA20" s="2580"/>
      <c r="AB20" s="2580"/>
      <c r="AC20" s="2582">
        <f ca="1">ROUND(SUMIF('Detail Summary'!$E$217:$AS$277,$B20,'Detail Summary'!AG$217:AG$277),'Data Input sheet'!$D$22)</f>
        <v>0</v>
      </c>
      <c r="AD20" s="2580"/>
      <c r="AE20" s="2580"/>
      <c r="AF20" s="2582">
        <f ca="1">ROUND(SUMIF('Detail Summary'!$E$217:$AS$277,$B20,'Detail Summary'!AJ$217:AJ$277),'Data Input sheet'!$D$22)</f>
        <v>0</v>
      </c>
      <c r="AG20" s="2582"/>
      <c r="AH20" s="2582"/>
      <c r="AI20" s="2582">
        <f ca="1">ROUND(SUMIF('Detail Summary'!$E$217:$AS$277,$B20,'Detail Summary'!AM$217:AM$277),'Data Input sheet'!$D$22)</f>
        <v>0</v>
      </c>
      <c r="AJ20" s="2580"/>
      <c r="AK20" s="2580"/>
      <c r="AL20" s="2584">
        <f ca="1">ROUND(SUMIF('Detail Summary'!$E$217:$AS$277,$B20,'Detail Summary'!AP$217:AP$277),'Data Input sheet'!$D$22)</f>
        <v>0</v>
      </c>
      <c r="AM20" s="2582"/>
      <c r="AN20" s="2554" t="str">
        <f t="shared" si="1"/>
        <v>Environmental Approvals / Permits</v>
      </c>
      <c r="AO20" s="2302">
        <f ca="1">ROUND(+'WBS by year'!AI7,'Data Input sheet'!$D$22)</f>
        <v>289800</v>
      </c>
    </row>
    <row r="21" spans="1:42" ht="16.5" customHeight="1" x14ac:dyDescent="0.25">
      <c r="A21" s="1185"/>
      <c r="B21" s="1225">
        <v>3</v>
      </c>
      <c r="C21" s="274" t="str">
        <f>VLOOKUP(B21,Parameters!$D$159:$E$301,2)</f>
        <v>Outreach</v>
      </c>
      <c r="D21" s="275" t="s">
        <v>96</v>
      </c>
      <c r="E21" s="1783">
        <f t="shared" ca="1" si="0"/>
        <v>329900</v>
      </c>
      <c r="F21" s="1201">
        <f t="shared" ca="1" si="2"/>
        <v>1.0014723069684137E-2</v>
      </c>
      <c r="G21" s="1201">
        <f t="shared" ca="1" si="3"/>
        <v>7.1567100393521432E-3</v>
      </c>
      <c r="H21" s="1784">
        <f ca="1">ROUND(SUMIF('Detail Summary'!$E$217:$AS$277,$B21,'Detail Summary'!L$217:L$277),'Data Input sheet'!$D$22)</f>
        <v>11000</v>
      </c>
      <c r="I21" s="1783"/>
      <c r="J21" s="1783"/>
      <c r="K21" s="1784">
        <f ca="1">ROUND(SUMIF('Detail Summary'!$E$217:$AS$277,$B21,'Detail Summary'!O$217:O$277),'Data Input sheet'!$D$22)</f>
        <v>0</v>
      </c>
      <c r="L21" s="1783"/>
      <c r="M21" s="1785"/>
      <c r="N21" s="1784">
        <f ca="1">ROUND(SUMIF('Detail Summary'!$E$217:$AS$277,$B21,'Detail Summary'!R$217:R$277),'Data Input sheet'!$D$22)</f>
        <v>0</v>
      </c>
      <c r="O21" s="1786"/>
      <c r="P21" s="1786"/>
      <c r="Q21" s="1784">
        <f ca="1">ROUND(SUMIF('Detail Summary'!$E$217:$AS$277,$B21,'Detail Summary'!U$217:U$277),'Data Input sheet'!$D$22)</f>
        <v>123800</v>
      </c>
      <c r="R21" s="1783"/>
      <c r="S21" s="1783"/>
      <c r="T21" s="1784">
        <f ca="1">ROUND(SUMIF('Detail Summary'!$E$217:$AS$277,$B21,'Detail Summary'!X$217:X$277),'Data Input sheet'!$D$22)</f>
        <v>164200</v>
      </c>
      <c r="U21" s="1783"/>
      <c r="V21" s="1783"/>
      <c r="W21" s="1784">
        <f ca="1">ROUND(SUMIF('Detail Summary'!$E$217:$AS$277,$B21,'Detail Summary'!AA$217:AA$277),'Data Input sheet'!$D$22)</f>
        <v>30900</v>
      </c>
      <c r="X21" s="2580"/>
      <c r="Y21" s="2580"/>
      <c r="Z21" s="2582">
        <f ca="1">ROUND(SUMIF('Detail Summary'!$E$217:$AS$277,$B21,'Detail Summary'!AD$217:AD$277),'Data Input sheet'!$D$22)</f>
        <v>0</v>
      </c>
      <c r="AA21" s="2580"/>
      <c r="AB21" s="2580"/>
      <c r="AC21" s="2582">
        <f ca="1">ROUND(SUMIF('Detail Summary'!$E$217:$AS$277,$B21,'Detail Summary'!AG$217:AG$277),'Data Input sheet'!$D$22)</f>
        <v>0</v>
      </c>
      <c r="AD21" s="2580"/>
      <c r="AE21" s="2580"/>
      <c r="AF21" s="2582">
        <f ca="1">ROUND(SUMIF('Detail Summary'!$E$217:$AS$277,$B21,'Detail Summary'!AJ$217:AJ$277),'Data Input sheet'!$D$22)</f>
        <v>0</v>
      </c>
      <c r="AG21" s="2582"/>
      <c r="AH21" s="2582"/>
      <c r="AI21" s="2582">
        <f ca="1">ROUND(SUMIF('Detail Summary'!$E$217:$AS$277,$B21,'Detail Summary'!AM$217:AM$277),'Data Input sheet'!$D$22)</f>
        <v>0</v>
      </c>
      <c r="AJ21" s="2580"/>
      <c r="AK21" s="2580"/>
      <c r="AL21" s="2584">
        <f ca="1">ROUND(SUMIF('Detail Summary'!$E$217:$AS$277,$B21,'Detail Summary'!AP$217:AP$277),'Data Input sheet'!$D$22)</f>
        <v>0</v>
      </c>
      <c r="AM21" s="2582"/>
      <c r="AN21" s="2554" t="str">
        <f t="shared" si="1"/>
        <v>Outreach</v>
      </c>
      <c r="AO21" s="2302">
        <f ca="1">ROUND(+'WBS by year'!AI8,'Data Input sheet'!$D$22)</f>
        <v>297100</v>
      </c>
    </row>
    <row r="22" spans="1:42" ht="16.5" customHeight="1" x14ac:dyDescent="0.25">
      <c r="A22" s="1185"/>
      <c r="B22" s="1225">
        <v>4</v>
      </c>
      <c r="C22" s="274" t="str">
        <f>VLOOKUP(B22,Parameters!$D$159:$E$301,2)</f>
        <v>Siting Approvals / Permits</v>
      </c>
      <c r="D22" s="275"/>
      <c r="E22" s="1783">
        <f t="shared" ca="1" si="0"/>
        <v>302700</v>
      </c>
      <c r="F22" s="1201">
        <f t="shared" ca="1" si="2"/>
        <v>9.1890168935840812E-3</v>
      </c>
      <c r="G22" s="1201">
        <f t="shared" ca="1" si="3"/>
        <v>6.5666448284689106E-3</v>
      </c>
      <c r="H22" s="1784">
        <f ca="1">ROUND(SUMIF('Detail Summary'!$E$217:$AS$277,$B22,'Detail Summary'!L$217:L$277),'Data Input sheet'!$D$22)</f>
        <v>10300</v>
      </c>
      <c r="I22" s="1783"/>
      <c r="J22" s="1783"/>
      <c r="K22" s="1784">
        <f ca="1">ROUND(SUMIF('Detail Summary'!$E$217:$AS$277,$B22,'Detail Summary'!O$217:O$277),'Data Input sheet'!$D$22)</f>
        <v>0</v>
      </c>
      <c r="L22" s="1783"/>
      <c r="M22" s="1785"/>
      <c r="N22" s="1784">
        <f ca="1">ROUND(SUMIF('Detail Summary'!$E$217:$AS$277,$B22,'Detail Summary'!R$217:R$277),'Data Input sheet'!$D$22)</f>
        <v>0</v>
      </c>
      <c r="O22" s="1786"/>
      <c r="P22" s="1786"/>
      <c r="Q22" s="1784">
        <f ca="1">ROUND(SUMIF('Detail Summary'!$E$217:$AS$277,$B22,'Detail Summary'!U$217:U$277),'Data Input sheet'!$D$22)</f>
        <v>113500</v>
      </c>
      <c r="R22" s="1783"/>
      <c r="S22" s="1783"/>
      <c r="T22" s="1784">
        <f ca="1">ROUND(SUMIF('Detail Summary'!$E$217:$AS$277,$B22,'Detail Summary'!X$217:X$277),'Data Input sheet'!$D$22)</f>
        <v>150600</v>
      </c>
      <c r="U22" s="1783"/>
      <c r="V22" s="1783"/>
      <c r="W22" s="1784">
        <f ca="1">ROUND(SUMIF('Detail Summary'!$E$217:$AS$277,$B22,'Detail Summary'!AA$217:AA$277),'Data Input sheet'!$D$22)</f>
        <v>28300</v>
      </c>
      <c r="X22" s="2580"/>
      <c r="Y22" s="2580"/>
      <c r="Z22" s="2582">
        <f ca="1">ROUND(SUMIF('Detail Summary'!$E$217:$AS$277,$B22,'Detail Summary'!AD$217:AD$277),'Data Input sheet'!$D$22)</f>
        <v>0</v>
      </c>
      <c r="AA22" s="2580"/>
      <c r="AB22" s="2580"/>
      <c r="AC22" s="2582">
        <f ca="1">ROUND(SUMIF('Detail Summary'!$E$217:$AS$277,$B22,'Detail Summary'!AG$217:AG$277),'Data Input sheet'!$D$22)</f>
        <v>0</v>
      </c>
      <c r="AD22" s="2580"/>
      <c r="AE22" s="2580"/>
      <c r="AF22" s="2582">
        <f ca="1">ROUND(SUMIF('Detail Summary'!$E$217:$AS$277,$B22,'Detail Summary'!AJ$217:AJ$277),'Data Input sheet'!$D$22)</f>
        <v>0</v>
      </c>
      <c r="AG22" s="2582"/>
      <c r="AH22" s="2582"/>
      <c r="AI22" s="2582">
        <f ca="1">ROUND(SUMIF('Detail Summary'!$E$217:$AS$277,$B22,'Detail Summary'!AM$217:AM$277),'Data Input sheet'!$D$22)</f>
        <v>0</v>
      </c>
      <c r="AJ22" s="2580"/>
      <c r="AK22" s="2580"/>
      <c r="AL22" s="2584">
        <f ca="1">ROUND(SUMIF('Detail Summary'!$E$217:$AS$277,$B22,'Detail Summary'!AP$217:AP$277),'Data Input sheet'!$D$22)</f>
        <v>0</v>
      </c>
      <c r="AM22" s="2582"/>
      <c r="AN22" s="2554" t="str">
        <f t="shared" si="1"/>
        <v>Siting Approvals / Permits</v>
      </c>
      <c r="AO22" s="2302">
        <f ca="1">ROUND(+'WBS by year'!AI9,'Data Input sheet'!$D$22)</f>
        <v>272500</v>
      </c>
    </row>
    <row r="23" spans="1:42" ht="16.5" customHeight="1" x14ac:dyDescent="0.25">
      <c r="A23" s="1185"/>
      <c r="B23" s="1225">
        <v>5</v>
      </c>
      <c r="C23" s="274" t="str">
        <f>VLOOKUP(B23,Parameters!$D$159:$E$301,2)</f>
        <v>Engineering / Design</v>
      </c>
      <c r="D23" s="275"/>
      <c r="E23" s="1783">
        <f t="shared" ca="1" si="0"/>
        <v>832000</v>
      </c>
      <c r="F23" s="1201">
        <f t="shared" ca="1" si="2"/>
        <v>2.5256894798354659E-2</v>
      </c>
      <c r="G23" s="1201">
        <f t="shared" ca="1" si="3"/>
        <v>1.8049053509369455E-2</v>
      </c>
      <c r="H23" s="1784">
        <f ca="1">ROUND(SUMIF('Detail Summary'!$E$217:$AS$277,$B23,'Detail Summary'!L$217:L$277),'Data Input sheet'!$D$22)</f>
        <v>16400</v>
      </c>
      <c r="I23" s="1783"/>
      <c r="J23" s="1783"/>
      <c r="K23" s="1784">
        <f ca="1">ROUND(SUMIF('Detail Summary'!$E$217:$AS$277,$B23,'Detail Summary'!O$217:O$277),'Data Input sheet'!$D$22)</f>
        <v>0</v>
      </c>
      <c r="L23" s="1783"/>
      <c r="M23" s="1785"/>
      <c r="N23" s="1784">
        <f ca="1">ROUND(SUMIF('Detail Summary'!$E$217:$AS$277,$B23,'Detail Summary'!R$217:R$277),'Data Input sheet'!$D$22)</f>
        <v>0</v>
      </c>
      <c r="O23" s="1786"/>
      <c r="P23" s="1786"/>
      <c r="Q23" s="1784">
        <f ca="1">ROUND(SUMIF('Detail Summary'!$E$217:$AS$277,$B23,'Detail Summary'!U$217:U$277),'Data Input sheet'!$D$22)</f>
        <v>393700</v>
      </c>
      <c r="R23" s="1783"/>
      <c r="S23" s="1783"/>
      <c r="T23" s="1784">
        <f ca="1">ROUND(SUMIF('Detail Summary'!$E$217:$AS$277,$B23,'Detail Summary'!X$217:X$277),'Data Input sheet'!$D$22)</f>
        <v>384000</v>
      </c>
      <c r="U23" s="1783"/>
      <c r="V23" s="1783"/>
      <c r="W23" s="1784">
        <f ca="1">ROUND(SUMIF('Detail Summary'!$E$217:$AS$277,$B23,'Detail Summary'!AA$217:AA$277),'Data Input sheet'!$D$22)</f>
        <v>37900</v>
      </c>
      <c r="X23" s="2580"/>
      <c r="Y23" s="2580"/>
      <c r="Z23" s="2582">
        <f ca="1">ROUND(SUMIF('Detail Summary'!$E$217:$AS$277,$B23,'Detail Summary'!AD$217:AD$277),'Data Input sheet'!$D$22)</f>
        <v>0</v>
      </c>
      <c r="AA23" s="2580"/>
      <c r="AB23" s="2580"/>
      <c r="AC23" s="2582">
        <f ca="1">ROUND(SUMIF('Detail Summary'!$E$217:$AS$277,$B23,'Detail Summary'!AG$217:AG$277),'Data Input sheet'!$D$22)</f>
        <v>0</v>
      </c>
      <c r="AD23" s="2580"/>
      <c r="AE23" s="2580"/>
      <c r="AF23" s="2582">
        <f ca="1">ROUND(SUMIF('Detail Summary'!$E$217:$AS$277,$B23,'Detail Summary'!AJ$217:AJ$277),'Data Input sheet'!$D$22)</f>
        <v>0</v>
      </c>
      <c r="AG23" s="2582"/>
      <c r="AH23" s="2582"/>
      <c r="AI23" s="2582">
        <f ca="1">ROUND(SUMIF('Detail Summary'!$E$217:$AS$277,$B23,'Detail Summary'!AM$217:AM$277),'Data Input sheet'!$D$22)</f>
        <v>0</v>
      </c>
      <c r="AJ23" s="2580"/>
      <c r="AK23" s="2580"/>
      <c r="AL23" s="2584">
        <f ca="1">ROUND(SUMIF('Detail Summary'!$E$217:$AS$277,$B23,'Detail Summary'!AP$217:AP$277),'Data Input sheet'!$D$22)</f>
        <v>0</v>
      </c>
      <c r="AM23" s="2582"/>
      <c r="AN23" s="2554" t="str">
        <f t="shared" si="1"/>
        <v>Engineering / Design</v>
      </c>
      <c r="AO23" s="2302">
        <f ca="1">ROUND(+'WBS by year'!AI10,'Data Input sheet'!$D$22)</f>
        <v>751100</v>
      </c>
    </row>
    <row r="24" spans="1:42" ht="16.5" customHeight="1" x14ac:dyDescent="0.25">
      <c r="A24" s="1185"/>
      <c r="B24" s="1225">
        <v>6</v>
      </c>
      <c r="C24" s="274" t="str">
        <f>VLOOKUP(B24,Parameters!$D$159:$E$301,2)</f>
        <v>Materials ( Eversource purchased)</v>
      </c>
      <c r="D24" s="275"/>
      <c r="E24" s="1783">
        <f t="shared" ca="1" si="0"/>
        <v>19569900</v>
      </c>
      <c r="F24" s="1201">
        <f t="shared" ca="1" si="2"/>
        <v>0.59408041528163558</v>
      </c>
      <c r="G24" s="1201">
        <f t="shared" ca="1" si="3"/>
        <v>0.42454107244352079</v>
      </c>
      <c r="H24" s="1784">
        <f ca="1">ROUND(SUMIF('Detail Summary'!$E$217:$AS$277,$B24,'Detail Summary'!L$217:L$277),'Data Input sheet'!$D$22)</f>
        <v>2400</v>
      </c>
      <c r="I24" s="1785"/>
      <c r="J24" s="1785"/>
      <c r="K24" s="1784">
        <f ca="1">ROUND(SUMIF('Detail Summary'!$E$217:$AS$277,$B24,'Detail Summary'!O$217:O$277),'Data Input sheet'!$D$22)</f>
        <v>0</v>
      </c>
      <c r="L24" s="1783"/>
      <c r="M24" s="1785"/>
      <c r="N24" s="1784">
        <f ca="1">ROUND(SUMIF('Detail Summary'!$E$217:$AS$277,$B24,'Detail Summary'!R$217:R$277),'Data Input sheet'!$D$22)</f>
        <v>0</v>
      </c>
      <c r="O24" s="1786"/>
      <c r="P24" s="1786"/>
      <c r="Q24" s="1784">
        <f ca="1">ROUND(SUMIF('Detail Summary'!$E$217:$AS$277,$B24,'Detail Summary'!U$217:U$277),'Data Input sheet'!$D$22)</f>
        <v>9639200</v>
      </c>
      <c r="R24" s="1783"/>
      <c r="S24" s="1783"/>
      <c r="T24" s="1784">
        <f ca="1">ROUND(SUMIF('Detail Summary'!$E$217:$AS$277,$B24,'Detail Summary'!X$217:X$277),'Data Input sheet'!$D$22)</f>
        <v>9928300</v>
      </c>
      <c r="U24" s="1783"/>
      <c r="V24" s="1783"/>
      <c r="W24" s="1784">
        <f ca="1">ROUND(SUMIF('Detail Summary'!$E$217:$AS$277,$B24,'Detail Summary'!AA$217:AA$277),'Data Input sheet'!$D$22)</f>
        <v>0</v>
      </c>
      <c r="X24" s="2580"/>
      <c r="Y24" s="2580"/>
      <c r="Z24" s="2582">
        <f ca="1">ROUND(SUMIF('Detail Summary'!$E$217:$AS$277,$B24,'Detail Summary'!AD$217:AD$277),'Data Input sheet'!$D$22)</f>
        <v>0</v>
      </c>
      <c r="AA24" s="2580"/>
      <c r="AB24" s="2580"/>
      <c r="AC24" s="2582">
        <f ca="1">ROUND(SUMIF('Detail Summary'!$E$217:$AS$277,$B24,'Detail Summary'!AG$217:AG$277),'Data Input sheet'!$D$22)</f>
        <v>0</v>
      </c>
      <c r="AD24" s="2580"/>
      <c r="AE24" s="2580"/>
      <c r="AF24" s="2582">
        <f ca="1">ROUND(SUMIF('Detail Summary'!$E$217:$AS$277,$B24,'Detail Summary'!AJ$217:AJ$277),'Data Input sheet'!$D$22)</f>
        <v>0</v>
      </c>
      <c r="AG24" s="2582"/>
      <c r="AH24" s="2582"/>
      <c r="AI24" s="2582">
        <f ca="1">ROUND(SUMIF('Detail Summary'!$E$217:$AS$277,$B24,'Detail Summary'!AM$217:AM$277),'Data Input sheet'!$D$22)</f>
        <v>0</v>
      </c>
      <c r="AJ24" s="2580"/>
      <c r="AK24" s="2580"/>
      <c r="AL24" s="2584">
        <f ca="1">ROUND(SUMIF('Detail Summary'!$E$217:$AS$277,$B24,'Detail Summary'!AP$217:AP$277),'Data Input sheet'!$D$22)</f>
        <v>0</v>
      </c>
      <c r="AM24" s="2582"/>
      <c r="AN24" s="2554" t="str">
        <f t="shared" si="1"/>
        <v>Materials ( Eversource purchased)</v>
      </c>
      <c r="AO24" s="2302">
        <f ca="1">ROUND(+'WBS by year'!AI11,'Data Input sheet'!$D$22)+AP25</f>
        <v>18175500</v>
      </c>
      <c r="AP24" s="378" t="s">
        <v>2870</v>
      </c>
    </row>
    <row r="25" spans="1:42" ht="25.5" x14ac:dyDescent="0.25">
      <c r="A25" s="1185"/>
      <c r="B25" s="1225">
        <v>7</v>
      </c>
      <c r="C25" s="274" t="str">
        <f>VLOOKUP(B25,Parameters!$D$159:$E$301,2)</f>
        <v>Construction  ( incl materials by contractors)</v>
      </c>
      <c r="D25" s="293"/>
      <c r="E25" s="1783">
        <f t="shared" ca="1" si="0"/>
        <v>4571800</v>
      </c>
      <c r="F25" s="1201">
        <f t="shared" ca="1" si="2"/>
        <v>0.13878542264317048</v>
      </c>
      <c r="G25" s="1201">
        <f t="shared" ca="1" si="3"/>
        <v>9.917868129102797E-2</v>
      </c>
      <c r="H25" s="1784">
        <f ca="1">ROUND(SUMIF('Detail Summary'!$E$217:$AS$277,$B25,'Detail Summary'!L$217:L$277),'Data Input sheet'!$D$22)</f>
        <v>11000</v>
      </c>
      <c r="I25" s="1786"/>
      <c r="J25" s="1787"/>
      <c r="K25" s="1784">
        <f ca="1">ROUND(SUMIF('Detail Summary'!$E$217:$AS$277,$B25,'Detail Summary'!O$217:O$277),'Data Input sheet'!$D$22)</f>
        <v>0</v>
      </c>
      <c r="L25" s="1783"/>
      <c r="M25" s="1785"/>
      <c r="N25" s="1784">
        <f ca="1">ROUND(SUMIF('Detail Summary'!$E$217:$AS$277,$B25,'Detail Summary'!R$217:R$277),'Data Input sheet'!$D$22)</f>
        <v>0</v>
      </c>
      <c r="O25" s="1786"/>
      <c r="P25" s="1786"/>
      <c r="Q25" s="1784">
        <f ca="1">ROUND(SUMIF('Detail Summary'!$E$217:$AS$277,$B25,'Detail Summary'!U$217:U$277),'Data Input sheet'!$D$22)</f>
        <v>800</v>
      </c>
      <c r="R25" s="1783"/>
      <c r="S25" s="1783"/>
      <c r="T25" s="1784">
        <f ca="1">ROUND(SUMIF('Detail Summary'!$E$217:$AS$277,$B25,'Detail Summary'!X$217:X$277),'Data Input sheet'!$D$22)</f>
        <v>2771300</v>
      </c>
      <c r="U25" s="1783"/>
      <c r="V25" s="1783"/>
      <c r="W25" s="1784">
        <f ca="1">ROUND(SUMIF('Detail Summary'!$E$217:$AS$277,$B25,'Detail Summary'!AA$217:AA$277),'Data Input sheet'!$D$22)</f>
        <v>1788700</v>
      </c>
      <c r="X25" s="2580"/>
      <c r="Y25" s="2580"/>
      <c r="Z25" s="2582">
        <f ca="1">ROUND(SUMIF('Detail Summary'!$E$217:$AS$277,$B25,'Detail Summary'!AD$217:AD$277),'Data Input sheet'!$D$22)</f>
        <v>0</v>
      </c>
      <c r="AA25" s="2580"/>
      <c r="AB25" s="2580"/>
      <c r="AC25" s="2582">
        <f ca="1">ROUND(SUMIF('Detail Summary'!$E$217:$AS$277,$B25,'Detail Summary'!AG$217:AG$277),'Data Input sheet'!$D$22)</f>
        <v>0</v>
      </c>
      <c r="AD25" s="2580"/>
      <c r="AE25" s="2580"/>
      <c r="AF25" s="2582">
        <f ca="1">ROUND(SUMIF('Detail Summary'!$E$217:$AS$277,$B25,'Detail Summary'!AJ$217:AJ$277),'Data Input sheet'!$D$22)</f>
        <v>0</v>
      </c>
      <c r="AG25" s="2582"/>
      <c r="AH25" s="2582"/>
      <c r="AI25" s="2582">
        <f ca="1">ROUND(SUMIF('Detail Summary'!$E$217:$AS$277,$B25,'Detail Summary'!AM$217:AM$277),'Data Input sheet'!$D$22)</f>
        <v>0</v>
      </c>
      <c r="AJ25" s="2580"/>
      <c r="AK25" s="2580"/>
      <c r="AL25" s="2584">
        <f ca="1">ROUND(SUMIF('Detail Summary'!$E$217:$AS$277,$B25,'Detail Summary'!AP$217:AP$277),'Data Input sheet'!$D$22)</f>
        <v>0</v>
      </c>
      <c r="AM25" s="2582"/>
      <c r="AN25" s="2554" t="str">
        <f t="shared" si="1"/>
        <v>Construction  ( incl materials by contractors)</v>
      </c>
      <c r="AO25" s="2302">
        <f ca="1">ROUND(+'WBS by year'!AI12,'Data Input sheet'!$D$22)-AP25</f>
        <v>4018100</v>
      </c>
      <c r="AP25" s="2466">
        <f>+'Detail Summary'!CK79</f>
        <v>1500</v>
      </c>
    </row>
    <row r="26" spans="1:42" ht="16.5" customHeight="1" x14ac:dyDescent="0.25">
      <c r="A26" s="284"/>
      <c r="B26" s="1225">
        <v>8</v>
      </c>
      <c r="C26" s="274" t="str">
        <f>VLOOKUP(B26,Parameters!$D$159:$E$301,2)</f>
        <v>Testing / Commissioning</v>
      </c>
      <c r="D26" s="278"/>
      <c r="E26" s="1783">
        <f t="shared" ca="1" si="0"/>
        <v>1063800</v>
      </c>
      <c r="F26" s="1201">
        <f t="shared" ca="1" si="2"/>
        <v>3.2293611402030874E-2</v>
      </c>
      <c r="G26" s="1201">
        <f t="shared" ca="1" si="3"/>
        <v>2.3077623946234645E-2</v>
      </c>
      <c r="H26" s="1784">
        <f ca="1">ROUND(SUMIF('Detail Summary'!$E$217:$AS$277,$B26,'Detail Summary'!L$217:L$277),'Data Input sheet'!$D$22)</f>
        <v>0</v>
      </c>
      <c r="I26" s="1786"/>
      <c r="J26" s="1787"/>
      <c r="K26" s="1784">
        <f ca="1">ROUND(SUMIF('Detail Summary'!$E$217:$AS$277,$B26,'Detail Summary'!O$217:O$277),'Data Input sheet'!$D$22)</f>
        <v>0</v>
      </c>
      <c r="L26" s="1783"/>
      <c r="M26" s="1785"/>
      <c r="N26" s="1784">
        <f ca="1">ROUND(SUMIF('Detail Summary'!$E$217:$AS$277,$B26,'Detail Summary'!R$217:R$277),'Data Input sheet'!$D$22)</f>
        <v>0</v>
      </c>
      <c r="O26" s="1786"/>
      <c r="P26" s="1786"/>
      <c r="Q26" s="1784">
        <f ca="1">ROUND(SUMIF('Detail Summary'!$E$217:$AS$277,$B26,'Detail Summary'!U$217:U$277),'Data Input sheet'!$D$22)</f>
        <v>0</v>
      </c>
      <c r="R26" s="1783"/>
      <c r="S26" s="1783"/>
      <c r="T26" s="1784">
        <f ca="1">ROUND(SUMIF('Detail Summary'!$E$217:$AS$277,$B26,'Detail Summary'!X$217:X$277),'Data Input sheet'!$D$22)</f>
        <v>311500</v>
      </c>
      <c r="U26" s="1783"/>
      <c r="V26" s="1783"/>
      <c r="W26" s="1784">
        <f ca="1">ROUND(SUMIF('Detail Summary'!$E$217:$AS$277,$B26,'Detail Summary'!AA$217:AA$277),'Data Input sheet'!$D$22)</f>
        <v>752300</v>
      </c>
      <c r="X26" s="2580"/>
      <c r="Y26" s="2580"/>
      <c r="Z26" s="2582">
        <f ca="1">ROUND(SUMIF('Detail Summary'!$E$217:$AS$277,$B26,'Detail Summary'!AD$217:AD$277),'Data Input sheet'!$D$22)</f>
        <v>0</v>
      </c>
      <c r="AA26" s="2580"/>
      <c r="AB26" s="2580"/>
      <c r="AC26" s="2582">
        <f ca="1">ROUND(SUMIF('Detail Summary'!$E$217:$AS$277,$B26,'Detail Summary'!AG$217:AG$277),'Data Input sheet'!$D$22)</f>
        <v>0</v>
      </c>
      <c r="AD26" s="2580"/>
      <c r="AE26" s="2580"/>
      <c r="AF26" s="2582">
        <f ca="1">ROUND(SUMIF('Detail Summary'!$E$217:$AS$277,$B26,'Detail Summary'!AJ$217:AJ$277),'Data Input sheet'!$D$22)</f>
        <v>0</v>
      </c>
      <c r="AG26" s="2582"/>
      <c r="AH26" s="2582"/>
      <c r="AI26" s="2582">
        <f ca="1">ROUND(SUMIF('Detail Summary'!$E$217:$AS$277,$B26,'Detail Summary'!AM$217:AM$277),'Data Input sheet'!$D$22)</f>
        <v>0</v>
      </c>
      <c r="AJ26" s="2580"/>
      <c r="AK26" s="2580"/>
      <c r="AL26" s="2584">
        <f ca="1">ROUND(SUMIF('Detail Summary'!$E$217:$AS$277,$B26,'Detail Summary'!AP$217:AP$277),'Data Input sheet'!$D$22)</f>
        <v>0</v>
      </c>
      <c r="AM26" s="2582"/>
      <c r="AN26" s="2554" t="str">
        <f t="shared" si="1"/>
        <v>Testing / Commissioning</v>
      </c>
      <c r="AO26" s="2302">
        <f ca="1">ROUND(+'WBS by year'!AI13,'Data Input sheet'!$D$22)</f>
        <v>926400</v>
      </c>
    </row>
    <row r="27" spans="1:42" ht="16.5" customHeight="1" x14ac:dyDescent="0.25">
      <c r="A27" s="1203"/>
      <c r="B27" s="1225">
        <v>9</v>
      </c>
      <c r="C27" s="274" t="str">
        <f>VLOOKUP(B27,Parameters!$D$159:$E$301,2)</f>
        <v>PMT Project Mgmt Team</v>
      </c>
      <c r="D27" s="278"/>
      <c r="E27" s="1783">
        <f t="shared" ca="1" si="0"/>
        <v>1058400</v>
      </c>
      <c r="F27" s="1201">
        <f t="shared" ca="1" si="2"/>
        <v>3.2129684440599243E-2</v>
      </c>
      <c r="G27" s="1201">
        <f t="shared" ca="1" si="3"/>
        <v>2.296047864701518E-2</v>
      </c>
      <c r="H27" s="1784">
        <f ca="1">ROUND(SUMIF('Detail Summary'!$E$217:$AS$277,$B27,'Detail Summary'!L$217:L$277),'Data Input sheet'!$D$22)</f>
        <v>74300</v>
      </c>
      <c r="I27" s="1786"/>
      <c r="J27" s="1787"/>
      <c r="K27" s="1784">
        <f ca="1">ROUND(SUMIF('Detail Summary'!$E$217:$AS$277,$B27,'Detail Summary'!O$217:O$277),'Data Input sheet'!$D$22)</f>
        <v>0</v>
      </c>
      <c r="L27" s="1783"/>
      <c r="M27" s="1785"/>
      <c r="N27" s="1784">
        <f ca="1">ROUND(SUMIF('Detail Summary'!$E$217:$AS$277,$B27,'Detail Summary'!R$217:R$277),'Data Input sheet'!$D$22)</f>
        <v>0</v>
      </c>
      <c r="O27" s="1786"/>
      <c r="P27" s="1786"/>
      <c r="Q27" s="1784">
        <f ca="1">ROUND(SUMIF('Detail Summary'!$E$217:$AS$277,$B27,'Detail Summary'!U$217:U$277),'Data Input sheet'!$D$22)</f>
        <v>193200</v>
      </c>
      <c r="R27" s="1783"/>
      <c r="S27" s="1783"/>
      <c r="T27" s="1784">
        <f ca="1">ROUND(SUMIF('Detail Summary'!$E$217:$AS$277,$B27,'Detail Summary'!X$217:X$277),'Data Input sheet'!$D$22)</f>
        <v>406600</v>
      </c>
      <c r="U27" s="1783"/>
      <c r="V27" s="1783"/>
      <c r="W27" s="1784">
        <f ca="1">ROUND(SUMIF('Detail Summary'!$E$217:$AS$277,$B27,'Detail Summary'!AA$217:AA$277),'Data Input sheet'!$D$22)</f>
        <v>384300</v>
      </c>
      <c r="X27" s="2580"/>
      <c r="Y27" s="2580"/>
      <c r="Z27" s="2582">
        <f ca="1">ROUND(SUMIF('Detail Summary'!$E$217:$AS$277,$B27,'Detail Summary'!AD$217:AD$277),'Data Input sheet'!$D$22)</f>
        <v>0</v>
      </c>
      <c r="AA27" s="2580"/>
      <c r="AB27" s="2580"/>
      <c r="AC27" s="2582">
        <f ca="1">ROUND(SUMIF('Detail Summary'!$E$217:$AS$277,$B27,'Detail Summary'!AG$217:AG$277),'Data Input sheet'!$D$22)</f>
        <v>0</v>
      </c>
      <c r="AD27" s="2580"/>
      <c r="AE27" s="2580"/>
      <c r="AF27" s="2582">
        <f ca="1">ROUND(SUMIF('Detail Summary'!$E$217:$AS$277,$B27,'Detail Summary'!AJ$217:AJ$277),'Data Input sheet'!$D$22)</f>
        <v>0</v>
      </c>
      <c r="AG27" s="2582"/>
      <c r="AH27" s="2582"/>
      <c r="AI27" s="2582">
        <f ca="1">ROUND(SUMIF('Detail Summary'!$E$217:$AS$277,$B27,'Detail Summary'!AM$217:AM$277),'Data Input sheet'!$D$22)</f>
        <v>0</v>
      </c>
      <c r="AJ27" s="2580"/>
      <c r="AK27" s="2580"/>
      <c r="AL27" s="2584">
        <f ca="1">ROUND(SUMIF('Detail Summary'!$E$217:$AS$277,$B27,'Detail Summary'!AP$217:AP$277),'Data Input sheet'!$D$22)</f>
        <v>0</v>
      </c>
      <c r="AM27" s="2582"/>
      <c r="AN27" s="2554" t="str">
        <f t="shared" si="1"/>
        <v>PMT Project Mgmt Team</v>
      </c>
      <c r="AO27" s="2302">
        <f ca="1">ROUND(+'WBS by year'!AI14,'Data Input sheet'!$D$22)</f>
        <v>944400</v>
      </c>
    </row>
    <row r="28" spans="1:42" ht="16.5" customHeight="1" x14ac:dyDescent="0.25">
      <c r="A28" s="1203"/>
      <c r="B28" s="1225">
        <v>10</v>
      </c>
      <c r="C28" s="274" t="str">
        <f>VLOOKUP(B28,Parameters!$D$159:$E$301,2)</f>
        <v>Removals</v>
      </c>
      <c r="D28" s="278"/>
      <c r="E28" s="1783">
        <f t="shared" ca="1" si="0"/>
        <v>0</v>
      </c>
      <c r="F28" s="1201">
        <f t="shared" ca="1" si="2"/>
        <v>0</v>
      </c>
      <c r="G28" s="1201">
        <f t="shared" ca="1" si="3"/>
        <v>0</v>
      </c>
      <c r="H28" s="1784">
        <f ca="1">ROUND(SUMIF('Detail Summary'!$E$217:$AS$277,$B28,'Detail Summary'!L$217:L$277),'Data Input sheet'!$D$22)</f>
        <v>0</v>
      </c>
      <c r="I28" s="1786"/>
      <c r="J28" s="1787"/>
      <c r="K28" s="1784">
        <f ca="1">ROUND(SUMIF('Detail Summary'!$E$217:$AS$277,$B28,'Detail Summary'!O$217:O$277),'Data Input sheet'!$D$22)</f>
        <v>0</v>
      </c>
      <c r="L28" s="1783"/>
      <c r="M28" s="1785"/>
      <c r="N28" s="1784">
        <f ca="1">ROUND(SUMIF('Detail Summary'!$E$217:$AS$277,$B28,'Detail Summary'!R$217:R$277),'Data Input sheet'!$D$22)</f>
        <v>0</v>
      </c>
      <c r="O28" s="1786"/>
      <c r="P28" s="1786"/>
      <c r="Q28" s="1784">
        <f ca="1">ROUND(SUMIF('Detail Summary'!$E$217:$AS$277,$B28,'Detail Summary'!U$217:U$277),'Data Input sheet'!$D$22)</f>
        <v>0</v>
      </c>
      <c r="R28" s="1783"/>
      <c r="S28" s="1783"/>
      <c r="T28" s="1784">
        <f ca="1">ROUND(SUMIF('Detail Summary'!$E$217:$AS$277,$B28,'Detail Summary'!X$217:X$277),'Data Input sheet'!$D$22)</f>
        <v>0</v>
      </c>
      <c r="U28" s="1783"/>
      <c r="V28" s="1783"/>
      <c r="W28" s="1784">
        <f ca="1">ROUND(SUMIF('Detail Summary'!$E$217:$AS$277,$B28,'Detail Summary'!AA$217:AA$277),'Data Input sheet'!$D$22)</f>
        <v>0</v>
      </c>
      <c r="X28" s="2580"/>
      <c r="Y28" s="2580"/>
      <c r="Z28" s="2582">
        <f ca="1">ROUND(SUMIF('Detail Summary'!$E$217:$AS$277,$B28,'Detail Summary'!AD$217:AD$277),'Data Input sheet'!$D$22)</f>
        <v>0</v>
      </c>
      <c r="AA28" s="2580"/>
      <c r="AB28" s="2580"/>
      <c r="AC28" s="2582">
        <f ca="1">ROUND(SUMIF('Detail Summary'!$E$217:$AS$277,$B28,'Detail Summary'!AG$217:AG$277),'Data Input sheet'!$D$22)</f>
        <v>0</v>
      </c>
      <c r="AD28" s="2580"/>
      <c r="AE28" s="2580"/>
      <c r="AF28" s="2582">
        <f ca="1">ROUND(SUMIF('Detail Summary'!$E$217:$AS$277,$B28,'Detail Summary'!AJ$217:AJ$277),'Data Input sheet'!$D$22)</f>
        <v>0</v>
      </c>
      <c r="AG28" s="2582"/>
      <c r="AH28" s="2582"/>
      <c r="AI28" s="2582">
        <f ca="1">ROUND(SUMIF('Detail Summary'!$E$217:$AS$277,$B28,'Detail Summary'!AM$217:AM$277),'Data Input sheet'!$D$22)</f>
        <v>0</v>
      </c>
      <c r="AJ28" s="2580"/>
      <c r="AK28" s="2580"/>
      <c r="AL28" s="2584">
        <f ca="1">ROUND(SUMIF('Detail Summary'!$E$217:$AS$277,$B28,'Detail Summary'!AP$217:AP$277),'Data Input sheet'!$D$22)</f>
        <v>0</v>
      </c>
      <c r="AM28" s="2582"/>
      <c r="AN28" s="2554" t="str">
        <f t="shared" si="1"/>
        <v>Removals</v>
      </c>
      <c r="AO28" s="2302">
        <f ca="1">ROUND(+'WBS by year'!AI15,'Data Input sheet'!$D$22)</f>
        <v>0</v>
      </c>
    </row>
    <row r="29" spans="1:42" ht="16.5" customHeight="1" x14ac:dyDescent="0.25">
      <c r="A29" s="1203"/>
      <c r="B29" s="1225">
        <v>11</v>
      </c>
      <c r="C29" s="274" t="str">
        <f>VLOOKUP(B29,Parameters!$D$159:$E$301,2)</f>
        <v>Other ( property taxes and BAR)</v>
      </c>
      <c r="D29" s="278"/>
      <c r="E29" s="1783">
        <f t="shared" ca="1" si="0"/>
        <v>937600</v>
      </c>
      <c r="F29" s="1201">
        <f t="shared" ca="1" si="2"/>
        <v>2.8462577599684288E-2</v>
      </c>
      <c r="G29" s="1201">
        <f t="shared" ca="1" si="3"/>
        <v>2.0339894916327886E-2</v>
      </c>
      <c r="H29" s="1784">
        <f ca="1">ROUND(SUMIF('Detail Summary'!$E$217:$AS$277,$B29,'Detail Summary'!L$217:L$277),'Data Input sheet'!$D$22)</f>
        <v>11100</v>
      </c>
      <c r="I29" s="1786"/>
      <c r="J29" s="1787"/>
      <c r="K29" s="1784">
        <f ca="1">ROUND(SUMIF('Detail Summary'!$E$217:$AS$277,$B29,'Detail Summary'!O$217:O$277),'Data Input sheet'!$D$22)</f>
        <v>3900</v>
      </c>
      <c r="L29" s="1783"/>
      <c r="M29" s="1785"/>
      <c r="N29" s="1784">
        <f ca="1">ROUND(SUMIF('Detail Summary'!$E$217:$AS$277,$B29,'Detail Summary'!R$217:R$277),'Data Input sheet'!$D$22)</f>
        <v>8000</v>
      </c>
      <c r="O29" s="1786"/>
      <c r="P29" s="1786"/>
      <c r="Q29" s="1784">
        <f ca="1">ROUND(SUMIF('Detail Summary'!$E$217:$AS$277,$B29,'Detail Summary'!U$217:U$277),'Data Input sheet'!$D$22)</f>
        <v>225600</v>
      </c>
      <c r="R29" s="1783"/>
      <c r="S29" s="1783"/>
      <c r="T29" s="1784">
        <f ca="1">ROUND(SUMIF('Detail Summary'!$E$217:$AS$277,$B29,'Detail Summary'!X$217:X$277),'Data Input sheet'!$D$22)</f>
        <v>667300</v>
      </c>
      <c r="U29" s="1783"/>
      <c r="V29" s="1783"/>
      <c r="W29" s="1784">
        <f ca="1">ROUND(SUMIF('Detail Summary'!$E$217:$AS$277,$B29,'Detail Summary'!AA$217:AA$277),'Data Input sheet'!$D$22)</f>
        <v>21700</v>
      </c>
      <c r="X29" s="2580"/>
      <c r="Y29" s="2580"/>
      <c r="Z29" s="2582">
        <f ca="1">ROUND(SUMIF('Detail Summary'!$E$217:$AS$277,$B29,'Detail Summary'!AD$217:AD$277),'Data Input sheet'!$D$22)</f>
        <v>0</v>
      </c>
      <c r="AA29" s="2580"/>
      <c r="AB29" s="2580"/>
      <c r="AC29" s="2582">
        <f ca="1">ROUND(SUMIF('Detail Summary'!$E$217:$AS$277,$B29,'Detail Summary'!AG$217:AG$277),'Data Input sheet'!$D$22)</f>
        <v>0</v>
      </c>
      <c r="AD29" s="2580"/>
      <c r="AE29" s="2580"/>
      <c r="AF29" s="2582">
        <f ca="1">ROUND(SUMIF('Detail Summary'!$E$217:$AS$277,$B29,'Detail Summary'!AJ$217:AJ$277),'Data Input sheet'!$D$22)</f>
        <v>0</v>
      </c>
      <c r="AG29" s="2582"/>
      <c r="AH29" s="2582"/>
      <c r="AI29" s="2582">
        <f ca="1">ROUND(SUMIF('Detail Summary'!$E$217:$AS$277,$B29,'Detail Summary'!AM$217:AM$277),'Data Input sheet'!$D$22)</f>
        <v>0</v>
      </c>
      <c r="AJ29" s="2580"/>
      <c r="AK29" s="2580"/>
      <c r="AL29" s="2584">
        <f ca="1">ROUND(SUMIF('Detail Summary'!$E$217:$AS$277,$B29,'Detail Summary'!AP$217:AP$277),'Data Input sheet'!$D$22)</f>
        <v>0</v>
      </c>
      <c r="AM29" s="2582"/>
      <c r="AN29" s="2554" t="str">
        <f t="shared" si="1"/>
        <v>Other ( property taxes and BAR)</v>
      </c>
      <c r="AO29" s="2302">
        <f ca="1">ROUND(+'WBS by year'!AI16,'Data Input sheet'!$D$22)</f>
        <v>841200</v>
      </c>
    </row>
    <row r="30" spans="1:42" ht="16.5" customHeight="1" x14ac:dyDescent="0.25">
      <c r="A30" s="1203"/>
      <c r="B30" s="1225">
        <v>12</v>
      </c>
      <c r="C30" s="274" t="str">
        <f>VLOOKUP(B30,Parameters!$D$159:$E$301,2)</f>
        <v>Risks</v>
      </c>
      <c r="D30" s="278"/>
      <c r="E30" s="1783">
        <f t="shared" ca="1" si="0"/>
        <v>3950000</v>
      </c>
      <c r="F30" s="1201">
        <f t="shared" ca="1" si="2"/>
        <v>0.11990953660276552</v>
      </c>
      <c r="G30" s="1201">
        <f t="shared" ca="1" si="3"/>
        <v>8.5689617021645847E-2</v>
      </c>
      <c r="H30" s="1784">
        <f ca="1">ROUND(SUMIF('Detail Summary'!$E$217:$AS$277,$B30,'Detail Summary'!L$217:L$277),'Data Input sheet'!$D$22)</f>
        <v>0</v>
      </c>
      <c r="I30" s="1786"/>
      <c r="J30" s="1787"/>
      <c r="K30" s="1784">
        <f ca="1">ROUND(SUMIF('Detail Summary'!$E$217:$AS$277,$B30,'Detail Summary'!O$217:O$277),'Data Input sheet'!$D$22)</f>
        <v>0</v>
      </c>
      <c r="L30" s="1783"/>
      <c r="M30" s="1785"/>
      <c r="N30" s="1784">
        <f ca="1">ROUND(SUMIF('Detail Summary'!$E$217:$AS$277,$B30,'Detail Summary'!R$217:R$277),'Data Input sheet'!$D$22)</f>
        <v>0</v>
      </c>
      <c r="O30" s="1786"/>
      <c r="P30" s="1786"/>
      <c r="Q30" s="1784">
        <f ca="1">ROUND(SUMIF('Detail Summary'!$E$217:$AS$277,$B30,'Detail Summary'!U$217:U$277),'Data Input sheet'!$D$22)</f>
        <v>900000</v>
      </c>
      <c r="R30" s="1783"/>
      <c r="S30" s="1783"/>
      <c r="T30" s="1784">
        <f ca="1">ROUND(SUMIF('Detail Summary'!$E$217:$AS$277,$B30,'Detail Summary'!X$217:X$277),'Data Input sheet'!$D$22)</f>
        <v>1650000</v>
      </c>
      <c r="U30" s="1783"/>
      <c r="V30" s="1783"/>
      <c r="W30" s="1784">
        <f ca="1">ROUND(SUMIF('Detail Summary'!$E$217:$AS$277,$B30,'Detail Summary'!AA$217:AA$277),'Data Input sheet'!$D$22)</f>
        <v>1400000</v>
      </c>
      <c r="X30" s="2580"/>
      <c r="Y30" s="2580"/>
      <c r="Z30" s="2582">
        <f ca="1">ROUND(SUMIF('Detail Summary'!$E$217:$AS$277,$B30,'Detail Summary'!AD$217:AD$277),'Data Input sheet'!$D$22)</f>
        <v>0</v>
      </c>
      <c r="AA30" s="2580"/>
      <c r="AB30" s="2580"/>
      <c r="AC30" s="2582">
        <f ca="1">ROUND(SUMIF('Detail Summary'!$E$217:$AS$277,$B30,'Detail Summary'!AG$217:AG$277),'Data Input sheet'!$D$22)</f>
        <v>0</v>
      </c>
      <c r="AD30" s="2580"/>
      <c r="AE30" s="2580"/>
      <c r="AF30" s="2582">
        <f ca="1">ROUND(SUMIF('Detail Summary'!$E$217:$AS$277,$B30,'Detail Summary'!AJ$217:AJ$277),'Data Input sheet'!$D$22)</f>
        <v>0</v>
      </c>
      <c r="AG30" s="2582"/>
      <c r="AH30" s="2582"/>
      <c r="AI30" s="2582">
        <f ca="1">ROUND(SUMIF('Detail Summary'!$E$217:$AS$277,$B30,'Detail Summary'!AM$217:AM$277),'Data Input sheet'!$D$22)</f>
        <v>0</v>
      </c>
      <c r="AJ30" s="2580"/>
      <c r="AK30" s="2580"/>
      <c r="AL30" s="2584">
        <f ca="1">ROUND(SUMIF('Detail Summary'!$E$217:$AS$277,$B30,'Detail Summary'!AP$217:AP$277),'Data Input sheet'!$D$22)</f>
        <v>0</v>
      </c>
      <c r="AM30" s="2582"/>
      <c r="AN30" s="2554" t="str">
        <f t="shared" si="1"/>
        <v>Risks</v>
      </c>
      <c r="AO30" s="2302">
        <f ca="1">ROUND(+'WBS by year'!AI17,'Data Input sheet'!$D$22)</f>
        <v>3950000</v>
      </c>
    </row>
    <row r="31" spans="1:42" ht="13.5" customHeight="1" x14ac:dyDescent="0.25">
      <c r="A31" s="1203"/>
      <c r="B31" s="1225">
        <v>125</v>
      </c>
      <c r="C31" s="274">
        <f>VLOOKUP(B31,Parameters!$D$159:$E$301,2)</f>
        <v>0</v>
      </c>
      <c r="D31" s="278"/>
      <c r="E31" s="1783">
        <f t="shared" ca="1" si="0"/>
        <v>0</v>
      </c>
      <c r="F31" s="1783"/>
      <c r="G31" s="1201">
        <f t="shared" ca="1" si="3"/>
        <v>0</v>
      </c>
      <c r="H31" s="1784">
        <f ca="1">ROUND(SUMIF('Detail Summary'!$E$217:$AS$277,$B31,'Detail Summary'!L$217:L$277),'Data Input sheet'!$D$22)</f>
        <v>0</v>
      </c>
      <c r="I31" s="1786"/>
      <c r="J31" s="1787"/>
      <c r="K31" s="1784">
        <f ca="1">ROUND(SUMIF('Detail Summary'!$E$217:$AS$277,$B31,'Detail Summary'!O$217:O$277),'Data Input sheet'!$D$22)</f>
        <v>0</v>
      </c>
      <c r="L31" s="1783"/>
      <c r="M31" s="1785"/>
      <c r="N31" s="1784">
        <f ca="1">ROUND(SUMIF('Detail Summary'!$E$217:$AS$277,$B31,'Detail Summary'!R$217:R$277),'Data Input sheet'!$D$22)</f>
        <v>0</v>
      </c>
      <c r="O31" s="1786"/>
      <c r="P31" s="1786"/>
      <c r="Q31" s="1784">
        <f ca="1">ROUND(SUMIF('Detail Summary'!$E$217:$AS$277,$B31,'Detail Summary'!U$217:U$277),'Data Input sheet'!$D$22)</f>
        <v>0</v>
      </c>
      <c r="R31" s="1783"/>
      <c r="S31" s="1783"/>
      <c r="T31" s="1784">
        <f ca="1">ROUND(SUMIF('Detail Summary'!$E$217:$AS$277,$B31,'Detail Summary'!X$217:X$277),'Data Input sheet'!$D$22)</f>
        <v>0</v>
      </c>
      <c r="U31" s="1783"/>
      <c r="V31" s="1783"/>
      <c r="W31" s="1784">
        <f ca="1">ROUND(SUMIF('Detail Summary'!$E$217:$AS$277,$B31,'Detail Summary'!AA$217:AA$277),'Data Input sheet'!$D$22)</f>
        <v>0</v>
      </c>
      <c r="X31" s="2580"/>
      <c r="Y31" s="2580"/>
      <c r="Z31" s="2582">
        <f ca="1">ROUND(SUMIF('Detail Summary'!$E$217:$AS$277,$B31,'Detail Summary'!AD$217:AD$277),'Data Input sheet'!$D$22)</f>
        <v>0</v>
      </c>
      <c r="AA31" s="2580"/>
      <c r="AB31" s="2580"/>
      <c r="AC31" s="2582">
        <f ca="1">ROUND(SUMIF('Detail Summary'!$E$217:$AS$277,$B31,'Detail Summary'!AG$217:AG$277),'Data Input sheet'!$D$22)</f>
        <v>0</v>
      </c>
      <c r="AD31" s="2580"/>
      <c r="AE31" s="2580"/>
      <c r="AF31" s="2582">
        <f ca="1">ROUND(SUMIF('Detail Summary'!$E$217:$AS$277,$B31,'Detail Summary'!AJ$217:AJ$277),'Data Input sheet'!$D$22)</f>
        <v>0</v>
      </c>
      <c r="AG31" s="2582"/>
      <c r="AH31" s="2582"/>
      <c r="AI31" s="2582">
        <f ca="1">ROUND(SUMIF('Detail Summary'!$E$217:$AS$277,$B31,'Detail Summary'!AM$217:AM$277),'Data Input sheet'!$D$22)</f>
        <v>0</v>
      </c>
      <c r="AJ31" s="2580"/>
      <c r="AK31" s="2580"/>
      <c r="AL31" s="2584">
        <f ca="1">ROUND(SUMIF('Detail Summary'!$E$217:$AS$277,$B31,'Detail Summary'!AP$217:AP$277),'Data Input sheet'!$D$22)</f>
        <v>0</v>
      </c>
      <c r="AM31" s="2582"/>
      <c r="AN31" s="2585"/>
      <c r="AO31" s="2300"/>
    </row>
    <row r="32" spans="1:42" ht="39" x14ac:dyDescent="0.25">
      <c r="A32" s="1203"/>
      <c r="B32" s="1225"/>
      <c r="C32" s="1759" t="s">
        <v>1496</v>
      </c>
      <c r="D32" s="278"/>
      <c r="E32" s="1799">
        <f ca="1">SUM(E19:E31)</f>
        <v>32941500</v>
      </c>
      <c r="F32" s="1800">
        <f ca="1">SUM(F19:F30)</f>
        <v>1</v>
      </c>
      <c r="G32" s="1800">
        <f ca="1">SUM(G19:G31)</f>
        <v>0.71461886559963217</v>
      </c>
      <c r="H32" s="1799">
        <f ca="1">SUM(H11:H31)</f>
        <v>141600</v>
      </c>
      <c r="I32" s="281"/>
      <c r="J32" s="282"/>
      <c r="K32" s="1799">
        <f ca="1">SUM(K19:K31)</f>
        <v>3900</v>
      </c>
      <c r="L32" s="281"/>
      <c r="M32" s="282"/>
      <c r="N32" s="1799">
        <f ca="1">SUM(N19:N31)</f>
        <v>8000</v>
      </c>
      <c r="O32" s="282"/>
      <c r="P32" s="282"/>
      <c r="Q32" s="1799">
        <f ca="1">SUM(Q19:Q31)</f>
        <v>11667500</v>
      </c>
      <c r="R32" s="282"/>
      <c r="S32" s="282"/>
      <c r="T32" s="1799">
        <f ca="1">SUM(T19:T31)</f>
        <v>16593900</v>
      </c>
      <c r="U32" s="283"/>
      <c r="V32" s="283"/>
      <c r="W32" s="1799">
        <f ca="1">SUM(W19:W31)</f>
        <v>4526600</v>
      </c>
      <c r="X32" s="2569"/>
      <c r="Y32" s="2569"/>
      <c r="Z32" s="2586">
        <f ca="1">SUM(Z19:Z31)</f>
        <v>0</v>
      </c>
      <c r="AA32" s="2569"/>
      <c r="AB32" s="2569"/>
      <c r="AC32" s="2586">
        <f ca="1">SUM(AC19:AC31)</f>
        <v>0</v>
      </c>
      <c r="AD32" s="2569"/>
      <c r="AE32" s="2569"/>
      <c r="AF32" s="2586">
        <f ca="1">SUM(AF19:AF31)</f>
        <v>0</v>
      </c>
      <c r="AG32" s="2587"/>
      <c r="AH32" s="2587"/>
      <c r="AI32" s="2586">
        <f ca="1">SUM(AI19:AI31)</f>
        <v>0</v>
      </c>
      <c r="AJ32" s="2569"/>
      <c r="AK32" s="2569"/>
      <c r="AL32" s="2588">
        <f ca="1">SUM(AL19:AL31)</f>
        <v>0</v>
      </c>
      <c r="AM32" s="2587"/>
      <c r="AN32" s="2554"/>
      <c r="AO32" s="1801">
        <f ca="1">SUM(AO19:AO31)</f>
        <v>30466100</v>
      </c>
    </row>
    <row r="33" spans="1:41" ht="11.1" customHeight="1" x14ac:dyDescent="0.25">
      <c r="A33" s="1203"/>
      <c r="B33" s="1225"/>
      <c r="C33" s="274"/>
      <c r="D33" s="278"/>
      <c r="E33" s="276"/>
      <c r="F33" s="276"/>
      <c r="G33" s="1201"/>
      <c r="H33" s="86"/>
      <c r="I33" s="280"/>
      <c r="J33" s="279"/>
      <c r="K33" s="86"/>
      <c r="L33" s="276"/>
      <c r="M33" s="277"/>
      <c r="N33" s="86"/>
      <c r="O33" s="1202"/>
      <c r="P33" s="1202"/>
      <c r="Q33" s="86"/>
      <c r="R33" s="276"/>
      <c r="S33" s="276"/>
      <c r="T33" s="86"/>
      <c r="U33" s="276"/>
      <c r="V33" s="276"/>
      <c r="W33" s="86"/>
      <c r="X33" s="2569"/>
      <c r="Y33" s="2569"/>
      <c r="Z33" s="2589"/>
      <c r="AA33" s="2569"/>
      <c r="AB33" s="2569"/>
      <c r="AC33" s="2589"/>
      <c r="AD33" s="2569"/>
      <c r="AE33" s="2569"/>
      <c r="AF33" s="2589"/>
      <c r="AG33" s="2589"/>
      <c r="AH33" s="2589"/>
      <c r="AI33" s="2589"/>
      <c r="AJ33" s="2569"/>
      <c r="AK33" s="2569"/>
      <c r="AL33" s="2590"/>
      <c r="AM33" s="2589"/>
      <c r="AN33" s="2554"/>
      <c r="AO33" s="2300"/>
    </row>
    <row r="34" spans="1:41" ht="16.5" customHeight="1" x14ac:dyDescent="0.25">
      <c r="A34" s="1203"/>
      <c r="B34" s="1225">
        <v>13</v>
      </c>
      <c r="C34" s="274" t="str">
        <f>VLOOKUP(B34,Parameters!$D$159:$E$301,2)</f>
        <v>Indirects/Overhead</v>
      </c>
      <c r="D34" s="278"/>
      <c r="E34" s="1783">
        <f ca="1">SUM(H34:AL34)</f>
        <v>8480800</v>
      </c>
      <c r="F34" s="1783"/>
      <c r="G34" s="1201">
        <f t="shared" ref="G34:G36" ca="1" si="4">IF($E$41=0,0,+E34/$E$41)</f>
        <v>0.18397886178156306</v>
      </c>
      <c r="H34" s="1784">
        <f ca="1">ROUND(SUMIF('Detail Summary'!$E$217:$AS$277,$B34,'Detail Summary'!L$217:L$277),'Data Input sheet'!$D$22)</f>
        <v>209100</v>
      </c>
      <c r="I34" s="1786"/>
      <c r="J34" s="1787"/>
      <c r="K34" s="1784">
        <f ca="1">ROUND(SUMIF('Detail Summary'!$E$217:$AS$277,$B34,'Detail Summary'!O$217:O$277),'Data Input sheet'!$D$22)</f>
        <v>0</v>
      </c>
      <c r="L34" s="1783"/>
      <c r="M34" s="1785"/>
      <c r="N34" s="1784">
        <f ca="1">ROUND(SUMIF('Detail Summary'!$E$217:$AS$277,$B34,'Detail Summary'!R$217:R$277),'Data Input sheet'!$D$22)</f>
        <v>100</v>
      </c>
      <c r="O34" s="1786"/>
      <c r="P34" s="1786"/>
      <c r="Q34" s="1784">
        <f ca="1">ROUND(SUMIF('Detail Summary'!$E$217:$AS$277,$B34,'Detail Summary'!U$217:U$277),'Data Input sheet'!$D$22)</f>
        <v>1433400</v>
      </c>
      <c r="R34" s="1783"/>
      <c r="S34" s="1783"/>
      <c r="T34" s="1784">
        <f ca="1">ROUND(SUMIF('Detail Summary'!$E$217:$AS$277,$B34,'Detail Summary'!X$217:X$277),'Data Input sheet'!$D$22)</f>
        <v>4242500</v>
      </c>
      <c r="U34" s="1783"/>
      <c r="V34" s="1783"/>
      <c r="W34" s="1784">
        <f ca="1">ROUND(SUMIF('Detail Summary'!$E$217:$AS$277,$B34,'Detail Summary'!AA$217:AA$277),'Data Input sheet'!$D$22)</f>
        <v>2595700</v>
      </c>
      <c r="X34" s="2580"/>
      <c r="Y34" s="2580"/>
      <c r="Z34" s="2582">
        <f ca="1">ROUND(SUMIF('Detail Summary'!$E$217:$AS$277,$B34,'Detail Summary'!AD$217:AD$277),'Data Input sheet'!$D$22)</f>
        <v>0</v>
      </c>
      <c r="AA34" s="2580"/>
      <c r="AB34" s="2580"/>
      <c r="AC34" s="2582">
        <f ca="1">ROUND(SUMIF('Detail Summary'!$E$217:$AS$277,$B34,'Detail Summary'!AG$217:AG$277),'Data Input sheet'!$D$22)</f>
        <v>0</v>
      </c>
      <c r="AD34" s="2580"/>
      <c r="AE34" s="2580"/>
      <c r="AF34" s="2582">
        <f ca="1">ROUND(SUMIF('Detail Summary'!$E$217:$AS$277,$B34,'Detail Summary'!AJ$217:AJ$277),'Data Input sheet'!$D$22)</f>
        <v>0</v>
      </c>
      <c r="AG34" s="2582"/>
      <c r="AH34" s="2582"/>
      <c r="AI34" s="2582">
        <f ca="1">ROUND(SUMIF('Detail Summary'!$E$217:$AS$277,$B34,'Detail Summary'!AM$217:AM$277),'Data Input sheet'!$D$22)</f>
        <v>0</v>
      </c>
      <c r="AJ34" s="2580"/>
      <c r="AK34" s="2580"/>
      <c r="AL34" s="2584">
        <f ca="1">ROUND(SUMIF('Detail Summary'!$E$217:$AS$277,$B34,'Detail Summary'!AP$217:AP$277),'Data Input sheet'!$D$22)</f>
        <v>0</v>
      </c>
      <c r="AM34" s="2582"/>
      <c r="AN34" s="2554" t="str">
        <f>+C34</f>
        <v>Indirects/Overhead</v>
      </c>
      <c r="AO34" s="2302">
        <f ca="1">ROUND(+'WBS by year'!AI18,'Data Input sheet'!$D$22)</f>
        <v>7534200</v>
      </c>
    </row>
    <row r="35" spans="1:41" ht="16.5" customHeight="1" x14ac:dyDescent="0.25">
      <c r="A35" s="1203"/>
      <c r="B35" s="1225">
        <v>14</v>
      </c>
      <c r="C35" s="274" t="str">
        <f>VLOOKUP(B35,Parameters!$D$159:$E$301,2)</f>
        <v>AFUDC</v>
      </c>
      <c r="D35" s="278"/>
      <c r="E35" s="1783">
        <f ca="1">SUM(H35:AL35)</f>
        <v>2832500</v>
      </c>
      <c r="F35" s="1783"/>
      <c r="G35" s="1201">
        <f t="shared" ca="1" si="4"/>
        <v>6.1447048155395409E-2</v>
      </c>
      <c r="H35" s="1784">
        <f ca="1">ROUND(SUMIF('Detail Summary'!$E$217:$AS$277,$B35,'Detail Summary'!L$217:L$277),'Data Input sheet'!$D$22)</f>
        <v>25400</v>
      </c>
      <c r="I35" s="1786"/>
      <c r="J35" s="1787"/>
      <c r="K35" s="1784">
        <f ca="1">ROUND(SUMIF('Detail Summary'!$E$217:$AS$277,$B35,'Detail Summary'!O$217:O$277),'Data Input sheet'!$D$22)</f>
        <v>1100</v>
      </c>
      <c r="L35" s="1783"/>
      <c r="M35" s="1785"/>
      <c r="N35" s="1784">
        <f ca="1">ROUND(SUMIF('Detail Summary'!$E$217:$AS$277,$B35,'Detail Summary'!R$217:R$277),'Data Input sheet'!$D$22)</f>
        <v>26900</v>
      </c>
      <c r="O35" s="1786"/>
      <c r="P35" s="1786"/>
      <c r="Q35" s="1784">
        <f ca="1">ROUND(SUMIF('Detail Summary'!$E$217:$AS$277,$B35,'Detail Summary'!U$217:U$277),'Data Input sheet'!$D$22)</f>
        <v>460700</v>
      </c>
      <c r="R35" s="1783"/>
      <c r="S35" s="1783"/>
      <c r="T35" s="1784">
        <f ca="1">ROUND(SUMIF('Detail Summary'!$E$217:$AS$277,$B35,'Detail Summary'!X$217:X$277),'Data Input sheet'!$D$22)</f>
        <v>1660900</v>
      </c>
      <c r="U35" s="1783"/>
      <c r="V35" s="1783"/>
      <c r="W35" s="1784">
        <f ca="1">ROUND(SUMIF('Detail Summary'!$E$217:$AS$277,$B35,'Detail Summary'!AA$217:AA$277),'Data Input sheet'!$D$22)</f>
        <v>657500</v>
      </c>
      <c r="X35" s="2580"/>
      <c r="Y35" s="2580"/>
      <c r="Z35" s="2582">
        <f ca="1">ROUND(SUMIF('Detail Summary'!$E$217:$AS$277,$B35,'Detail Summary'!AD$217:AD$277),'Data Input sheet'!$D$22)</f>
        <v>0</v>
      </c>
      <c r="AA35" s="2580"/>
      <c r="AB35" s="2580"/>
      <c r="AC35" s="2582">
        <f ca="1">ROUND(SUMIF('Detail Summary'!$E$217:$AS$277,$B35,'Detail Summary'!AG$217:AG$277),'Data Input sheet'!$D$22)</f>
        <v>0</v>
      </c>
      <c r="AD35" s="2580"/>
      <c r="AE35" s="2580"/>
      <c r="AF35" s="2582">
        <f ca="1">ROUND(SUMIF('Detail Summary'!$E$217:$AS$277,$B35,'Detail Summary'!AJ$217:AJ$277),'Data Input sheet'!$D$22)</f>
        <v>0</v>
      </c>
      <c r="AG35" s="2582"/>
      <c r="AH35" s="2582"/>
      <c r="AI35" s="2582">
        <f ca="1">ROUND(SUMIF('Detail Summary'!$E$217:$AS$277,$B35,'Detail Summary'!AM$217:AM$277),'Data Input sheet'!$D$22)</f>
        <v>0</v>
      </c>
      <c r="AJ35" s="2580"/>
      <c r="AK35" s="2580"/>
      <c r="AL35" s="2582">
        <f ca="1">ROUND(SUMIF('Detail Summary'!$E$217:$AS$277,$B35,'Detail Summary'!AP$217:AP$277),'Data Input sheet'!$D$22)</f>
        <v>0</v>
      </c>
      <c r="AM35" s="2582"/>
      <c r="AN35" s="2554" t="str">
        <f>+C35</f>
        <v>AFUDC</v>
      </c>
      <c r="AO35" s="2302">
        <f ca="1">ROUND(+'WBS by year'!AI19,'Data Input sheet'!$D$22)</f>
        <v>2832500</v>
      </c>
    </row>
    <row r="36" spans="1:41" ht="18" customHeight="1" x14ac:dyDescent="0.25">
      <c r="A36" s="1203"/>
      <c r="B36" s="1225">
        <v>125</v>
      </c>
      <c r="C36" s="274">
        <f>VLOOKUP(B36,Parameters!$D$159:$E$301,2)</f>
        <v>0</v>
      </c>
      <c r="D36" s="278"/>
      <c r="E36" s="1783">
        <f ca="1">SUM(H36:AL36)</f>
        <v>0</v>
      </c>
      <c r="F36" s="1783"/>
      <c r="G36" s="1201">
        <f t="shared" ca="1" si="4"/>
        <v>0</v>
      </c>
      <c r="H36" s="1784">
        <f ca="1">ROUND(SUMIF('Detail Summary'!$E$217:$AS$277,$B36,'Detail Summary'!L$217:L$277),'Data Input sheet'!$D$22)</f>
        <v>0</v>
      </c>
      <c r="I36" s="1786"/>
      <c r="J36" s="1787"/>
      <c r="K36" s="1784">
        <f ca="1">ROUND(SUMIF('Detail Summary'!$E$217:$AS$277,$B36,'Detail Summary'!O$217:O$277),'Data Input sheet'!$D$22)</f>
        <v>0</v>
      </c>
      <c r="L36" s="1783"/>
      <c r="M36" s="1785"/>
      <c r="N36" s="1784">
        <f ca="1">ROUND(SUMIF('Detail Summary'!$E$217:$AS$277,$B36,'Detail Summary'!R$217:R$277),'Data Input sheet'!$D$22)</f>
        <v>0</v>
      </c>
      <c r="O36" s="1786"/>
      <c r="P36" s="1786"/>
      <c r="Q36" s="1784">
        <f ca="1">ROUND(SUMIF('Detail Summary'!$E$217:$AS$277,$B36,'Detail Summary'!U$217:U$277),'Data Input sheet'!$D$22)</f>
        <v>0</v>
      </c>
      <c r="R36" s="1783"/>
      <c r="S36" s="1783"/>
      <c r="T36" s="1784">
        <f ca="1">ROUND(SUMIF('Detail Summary'!$E$217:$AS$277,$B36,'Detail Summary'!X$217:X$277),'Data Input sheet'!$D$22)</f>
        <v>0</v>
      </c>
      <c r="U36" s="1783"/>
      <c r="V36" s="1783"/>
      <c r="W36" s="1784">
        <f ca="1">ROUND(SUMIF('Detail Summary'!$E$217:$AS$277,$B36,'Detail Summary'!AA$217:AA$277),'Data Input sheet'!$D$22)</f>
        <v>0</v>
      </c>
      <c r="X36" s="2580"/>
      <c r="Y36" s="2580"/>
      <c r="Z36" s="2582">
        <f ca="1">ROUND(SUMIF('Detail Summary'!$E$217:$AS$277,$B36,'Detail Summary'!AD$217:AD$277),'Data Input sheet'!$D$22)</f>
        <v>0</v>
      </c>
      <c r="AA36" s="2580"/>
      <c r="AB36" s="2580"/>
      <c r="AC36" s="2582">
        <f ca="1">ROUND(SUMIF('Detail Summary'!$E$217:$AS$277,$B36,'Detail Summary'!AG$217:AG$277),'Data Input sheet'!$D$22)</f>
        <v>0</v>
      </c>
      <c r="AD36" s="2580"/>
      <c r="AE36" s="2580"/>
      <c r="AF36" s="2582">
        <f ca="1">ROUND(SUMIF('Detail Summary'!$E$217:$AS$277,$B36,'Detail Summary'!AJ$217:AJ$277),'Data Input sheet'!$D$22)</f>
        <v>0</v>
      </c>
      <c r="AG36" s="2582"/>
      <c r="AH36" s="2582"/>
      <c r="AI36" s="2582">
        <f ca="1">ROUND(SUMIF('Detail Summary'!$E$217:$AS$277,$B36,'Detail Summary'!AM$217:AM$277),'Data Input sheet'!$D$22)</f>
        <v>0</v>
      </c>
      <c r="AJ36" s="2580"/>
      <c r="AK36" s="2580"/>
      <c r="AL36" s="2584">
        <f ca="1">ROUND(SUMIF('Detail Summary'!$E$217:$AS$277,$B36,'Detail Summary'!AP$217:AP$277),'Data Input sheet'!$D$22)</f>
        <v>0</v>
      </c>
      <c r="AM36" s="2582"/>
      <c r="AN36" s="2554"/>
      <c r="AO36" s="2300">
        <v>0</v>
      </c>
    </row>
    <row r="37" spans="1:41" ht="39" x14ac:dyDescent="0.25">
      <c r="A37" s="1203"/>
      <c r="B37" s="1226"/>
      <c r="C37" s="1759" t="s">
        <v>1495</v>
      </c>
      <c r="D37" s="278"/>
      <c r="E37" s="1799">
        <f ca="1">SUM(E32:E36)</f>
        <v>44254800</v>
      </c>
      <c r="F37" s="1799"/>
      <c r="G37" s="1800">
        <f ca="1">SUM(G32:G36)</f>
        <v>0.96004477553659062</v>
      </c>
      <c r="H37" s="1799">
        <f ca="1">SUM(H32:H36)</f>
        <v>376100</v>
      </c>
      <c r="I37" s="281"/>
      <c r="J37" s="282"/>
      <c r="K37" s="1799">
        <f ca="1">SUM(K32:K36)</f>
        <v>5000</v>
      </c>
      <c r="L37" s="281"/>
      <c r="M37" s="282"/>
      <c r="N37" s="1799">
        <f ca="1">SUM(N32:N36)</f>
        <v>35000</v>
      </c>
      <c r="O37" s="282"/>
      <c r="P37" s="282"/>
      <c r="Q37" s="1799">
        <f ca="1">SUM(Q32:Q36)</f>
        <v>13561600</v>
      </c>
      <c r="R37" s="282"/>
      <c r="S37" s="282"/>
      <c r="T37" s="1799">
        <f ca="1">SUM(T32:T36)</f>
        <v>22497300</v>
      </c>
      <c r="U37" s="283"/>
      <c r="V37" s="283"/>
      <c r="W37" s="1799">
        <f ca="1">SUM(W32:W36)</f>
        <v>7779800</v>
      </c>
      <c r="X37" s="2569"/>
      <c r="Y37" s="2569"/>
      <c r="Z37" s="2586">
        <f ca="1">SUM(Z32:Z36)</f>
        <v>0</v>
      </c>
      <c r="AA37" s="2569"/>
      <c r="AB37" s="2569"/>
      <c r="AC37" s="2586">
        <f ca="1">SUM(AC32:AC36)</f>
        <v>0</v>
      </c>
      <c r="AD37" s="2569"/>
      <c r="AE37" s="2569"/>
      <c r="AF37" s="2586">
        <f ca="1">SUM(AF32:AF36)</f>
        <v>0</v>
      </c>
      <c r="AG37" s="2587"/>
      <c r="AH37" s="2587"/>
      <c r="AI37" s="2586">
        <f ca="1">SUM(AI32:AI36)</f>
        <v>0</v>
      </c>
      <c r="AJ37" s="2569"/>
      <c r="AK37" s="2569"/>
      <c r="AL37" s="2588">
        <f ca="1">SUM(AL32:AL36)</f>
        <v>0</v>
      </c>
      <c r="AM37" s="2587"/>
      <c r="AN37" s="2554"/>
      <c r="AO37" s="1801">
        <f ca="1">SUM(AO32:AO36)</f>
        <v>40832800</v>
      </c>
    </row>
    <row r="38" spans="1:41" ht="11.1" customHeight="1" x14ac:dyDescent="0.25">
      <c r="A38" s="1203"/>
      <c r="B38" s="1225"/>
      <c r="C38" s="274"/>
      <c r="D38" s="278"/>
      <c r="E38" s="1783"/>
      <c r="F38" s="1783"/>
      <c r="G38" s="1201"/>
      <c r="H38" s="1784"/>
      <c r="I38" s="1786"/>
      <c r="J38" s="1787"/>
      <c r="K38" s="1784"/>
      <c r="L38" s="1783"/>
      <c r="M38" s="1785"/>
      <c r="N38" s="1784"/>
      <c r="O38" s="1786"/>
      <c r="P38" s="1786"/>
      <c r="Q38" s="1784"/>
      <c r="R38" s="1783"/>
      <c r="S38" s="1783"/>
      <c r="T38" s="1784"/>
      <c r="U38" s="1783"/>
      <c r="V38" s="1783"/>
      <c r="W38" s="1784"/>
      <c r="X38" s="2580"/>
      <c r="Y38" s="2580"/>
      <c r="Z38" s="2582"/>
      <c r="AA38" s="2580"/>
      <c r="AB38" s="2580"/>
      <c r="AC38" s="2582"/>
      <c r="AD38" s="2580"/>
      <c r="AE38" s="2580"/>
      <c r="AF38" s="2582"/>
      <c r="AG38" s="2582"/>
      <c r="AH38" s="2582"/>
      <c r="AI38" s="2582"/>
      <c r="AJ38" s="2580"/>
      <c r="AK38" s="2580"/>
      <c r="AL38" s="2584"/>
      <c r="AM38" s="2582"/>
      <c r="AN38" s="2554"/>
      <c r="AO38" s="2300">
        <v>0</v>
      </c>
    </row>
    <row r="39" spans="1:41" ht="16.5" customHeight="1" x14ac:dyDescent="0.25">
      <c r="A39" s="1203"/>
      <c r="B39" s="1225">
        <v>15</v>
      </c>
      <c r="C39" s="274" t="str">
        <f>VLOOKUP(B39,Parameters!$D$159:$E$301,2)</f>
        <v>Contingency</v>
      </c>
      <c r="D39" s="278"/>
      <c r="E39" s="1783">
        <f ca="1">SUM(H39:AL39)</f>
        <v>1841800</v>
      </c>
      <c r="F39" s="1783"/>
      <c r="G39" s="1201">
        <f t="shared" ref="G39" ca="1" si="5">IF($E$41=0,0,+E39/$E$41)</f>
        <v>3.9955224463409447E-2</v>
      </c>
      <c r="H39" s="1784">
        <f ca="1">ROUND(SUMIF('Detail Summary'!$E$217:$AS$277,$B39,'Detail Summary'!L$217:L$277),'Data Input sheet'!$D$22)</f>
        <v>0</v>
      </c>
      <c r="I39" s="1786"/>
      <c r="J39" s="1787"/>
      <c r="K39" s="1784">
        <f ca="1">ROUND(SUMIF('Detail Summary'!$E$217:$AS$277,$B39,'Detail Summary'!O$217:O$277),'Data Input sheet'!$D$22)</f>
        <v>0</v>
      </c>
      <c r="L39" s="1783"/>
      <c r="M39" s="1785"/>
      <c r="N39" s="1784">
        <f ca="1">ROUND(SUMIF('Detail Summary'!$E$217:$AS$277,$B39,'Detail Summary'!R$217:R$277),'Data Input sheet'!$D$22)</f>
        <v>0</v>
      </c>
      <c r="O39" s="1786"/>
      <c r="P39" s="1786"/>
      <c r="Q39" s="1784">
        <f ca="1">ROUND(SUMIF('Detail Summary'!$E$217:$AS$277,$B39,'Detail Summary'!U$217:U$277),'Data Input sheet'!$D$22)</f>
        <v>775900</v>
      </c>
      <c r="R39" s="1783"/>
      <c r="S39" s="1783"/>
      <c r="T39" s="1784">
        <f ca="1">ROUND(SUMIF('Detail Summary'!$E$217:$AS$277,$B39,'Detail Summary'!X$217:X$277),'Data Input sheet'!$D$22)</f>
        <v>942300</v>
      </c>
      <c r="U39" s="1783"/>
      <c r="V39" s="1783"/>
      <c r="W39" s="1784">
        <f ca="1">ROUND(SUMIF('Detail Summary'!$E$217:$AS$277,$B39,'Detail Summary'!AA$217:AA$277),'Data Input sheet'!$D$22)</f>
        <v>123600</v>
      </c>
      <c r="X39" s="2580"/>
      <c r="Y39" s="2580"/>
      <c r="Z39" s="2582">
        <f ca="1">ROUND(SUMIF('Detail Summary'!$E$217:$AS$277,$B39,'Detail Summary'!AD$217:AD$277),'Data Input sheet'!$D$22)</f>
        <v>0</v>
      </c>
      <c r="AA39" s="2580"/>
      <c r="AB39" s="2580"/>
      <c r="AC39" s="2582">
        <f ca="1">ROUND(SUMIF('Detail Summary'!$E$217:$AS$277,$B39,'Detail Summary'!AG$217:AG$277),'Data Input sheet'!$D$22)</f>
        <v>0</v>
      </c>
      <c r="AD39" s="2580"/>
      <c r="AE39" s="2580"/>
      <c r="AF39" s="2582">
        <f ca="1">ROUND(SUMIF('Detail Summary'!$E$217:$AS$277,$B39,'Detail Summary'!AJ$217:AJ$277),'Data Input sheet'!$D$22)</f>
        <v>0</v>
      </c>
      <c r="AG39" s="2582"/>
      <c r="AH39" s="2582"/>
      <c r="AI39" s="2582">
        <f ca="1">ROUND(SUMIF('Detail Summary'!$E$217:$AS$277,$B39,'Detail Summary'!AM$217:AM$277),'Data Input sheet'!$D$22)</f>
        <v>0</v>
      </c>
      <c r="AJ39" s="2580"/>
      <c r="AK39" s="2580"/>
      <c r="AL39" s="2584">
        <f ca="1">ROUND(SUMIF('Detail Summary'!$E$217:$AS$277,$B39,'Detail Summary'!AP$217:AP$277),'Data Input sheet'!$D$22)</f>
        <v>0</v>
      </c>
      <c r="AM39" s="2582"/>
      <c r="AN39" s="2554" t="str">
        <f>+C39</f>
        <v>Contingency</v>
      </c>
      <c r="AO39" s="2302">
        <f ca="1">ROUND(SUMIF('Detail Summary'!$E$217:$CK$277,$B39,'Detail Summary'!CK$217:CK$277),'Data Input sheet'!$D$22)</f>
        <v>1841800</v>
      </c>
    </row>
    <row r="40" spans="1:41" ht="3" customHeight="1" thickBot="1" x14ac:dyDescent="0.3">
      <c r="A40" s="1203"/>
      <c r="B40" s="1225">
        <v>125</v>
      </c>
      <c r="C40" s="274">
        <f>VLOOKUP(B40,Parameters!$D$159:$E$301,2)</f>
        <v>0</v>
      </c>
      <c r="D40" s="278"/>
      <c r="E40" s="1783">
        <f ca="1">SUM(H40:AL40)</f>
        <v>0</v>
      </c>
      <c r="F40" s="1783"/>
      <c r="G40" s="1201">
        <f t="shared" ref="G40:G45" ca="1" si="6">IF($E$46=0,0,+E40/$E$46)</f>
        <v>0</v>
      </c>
      <c r="H40" s="1784">
        <f ca="1">ROUND(SUMIF('Detail Summary'!$E$217:$AS$277,$B40,'Detail Summary'!L$217:L$277),'Data Input sheet'!$D$22)</f>
        <v>0</v>
      </c>
      <c r="I40" s="1786"/>
      <c r="J40" s="1787"/>
      <c r="K40" s="1784">
        <f ca="1">ROUND(SUMIF('Detail Summary'!$E$217:$AS$277,$B40,'Detail Summary'!O$217:O$277),'Data Input sheet'!$D$22)</f>
        <v>0</v>
      </c>
      <c r="L40" s="1783"/>
      <c r="M40" s="1785"/>
      <c r="N40" s="1784">
        <f ca="1">ROUND(SUMIF('Detail Summary'!$E$217:$AS$277,$B40,'Detail Summary'!R$217:R$277),'Data Input sheet'!$D$22)</f>
        <v>0</v>
      </c>
      <c r="O40" s="1786"/>
      <c r="P40" s="1786"/>
      <c r="Q40" s="1784">
        <f ca="1">ROUND(SUMIF('Detail Summary'!$E$217:$AS$277,$B40,'Detail Summary'!U$217:U$277),'Data Input sheet'!$D$22)</f>
        <v>0</v>
      </c>
      <c r="R40" s="1783"/>
      <c r="S40" s="1783"/>
      <c r="T40" s="1784">
        <f ca="1">ROUND(SUMIF('Detail Summary'!$E$217:$AS$277,$B40,'Detail Summary'!X$217:X$277),'Data Input sheet'!$D$22)</f>
        <v>0</v>
      </c>
      <c r="U40" s="1783"/>
      <c r="V40" s="1783"/>
      <c r="W40" s="1784">
        <f ca="1">ROUND(SUMIF('Detail Summary'!$E$217:$AS$277,$B40,'Detail Summary'!AA$217:AA$277),'Data Input sheet'!$D$22)</f>
        <v>0</v>
      </c>
      <c r="X40" s="2580"/>
      <c r="Y40" s="2580"/>
      <c r="Z40" s="2582">
        <f ca="1">ROUND(SUMIF('Detail Summary'!$E$217:$AS$277,$B40,'Detail Summary'!AD$217:AD$277),'Data Input sheet'!$D$22)</f>
        <v>0</v>
      </c>
      <c r="AA40" s="2580"/>
      <c r="AB40" s="2580"/>
      <c r="AC40" s="2582">
        <f ca="1">ROUND(SUMIF('Detail Summary'!$E$217:$AS$277,$B40,'Detail Summary'!AG$217:AG$277),'Data Input sheet'!$D$22)</f>
        <v>0</v>
      </c>
      <c r="AD40" s="2580"/>
      <c r="AE40" s="2580"/>
      <c r="AF40" s="2582">
        <f ca="1">ROUND(SUMIF('Detail Summary'!$E$217:$AS$277,$B40,'Detail Summary'!AJ$217:AJ$277),'Data Input sheet'!$D$22)</f>
        <v>0</v>
      </c>
      <c r="AG40" s="2582"/>
      <c r="AH40" s="2582"/>
      <c r="AI40" s="2582">
        <f ca="1">ROUND(SUMIF('Detail Summary'!$E$217:$AS$277,$B40,'Detail Summary'!AM$217:AM$277),'Data Input sheet'!$D$22)</f>
        <v>0</v>
      </c>
      <c r="AJ40" s="2580"/>
      <c r="AK40" s="2580"/>
      <c r="AL40" s="2584">
        <f ca="1">ROUND(SUMIF('Detail Summary'!$E$217:$AS$277,$B40,'Detail Summary'!AP$217:AP$277),'Data Input sheet'!$D$22)</f>
        <v>0</v>
      </c>
      <c r="AM40" s="2582"/>
      <c r="AN40" s="2554">
        <f>+C40</f>
        <v>0</v>
      </c>
      <c r="AO40" s="2300"/>
    </row>
    <row r="41" spans="1:41" ht="39" x14ac:dyDescent="0.25">
      <c r="A41" s="1203"/>
      <c r="B41" s="1226"/>
      <c r="C41" s="1759" t="s">
        <v>1497</v>
      </c>
      <c r="D41" s="278"/>
      <c r="E41" s="1802">
        <f ca="1">SUM(E37:E40)</f>
        <v>46096600</v>
      </c>
      <c r="F41" s="1802"/>
      <c r="G41" s="1803">
        <f ca="1">SUM(G37:G40)</f>
        <v>1</v>
      </c>
      <c r="H41" s="1802">
        <f ca="1">SUM(H37:H40)</f>
        <v>376100</v>
      </c>
      <c r="I41" s="281"/>
      <c r="J41" s="282"/>
      <c r="K41" s="1802">
        <f ca="1">SUM(K37:K40)</f>
        <v>5000</v>
      </c>
      <c r="L41" s="281"/>
      <c r="M41" s="282"/>
      <c r="N41" s="1802">
        <f ca="1">SUM(N37:N40)</f>
        <v>35000</v>
      </c>
      <c r="O41" s="282"/>
      <c r="P41" s="282"/>
      <c r="Q41" s="1802">
        <f ca="1">SUM(Q37:Q40)</f>
        <v>14337500</v>
      </c>
      <c r="R41" s="282"/>
      <c r="S41" s="282"/>
      <c r="T41" s="1802">
        <f ca="1">SUM(T37:T40)</f>
        <v>23439600</v>
      </c>
      <c r="U41" s="283"/>
      <c r="V41" s="283"/>
      <c r="W41" s="1802">
        <f ca="1">SUM(W37:W40)</f>
        <v>7903400</v>
      </c>
      <c r="X41" s="2569"/>
      <c r="Y41" s="2569"/>
      <c r="Z41" s="2591">
        <f ca="1">SUM(Z37:Z40)</f>
        <v>0</v>
      </c>
      <c r="AA41" s="2569"/>
      <c r="AB41" s="2569"/>
      <c r="AC41" s="2591">
        <f ca="1">SUM(AC37:AC40)</f>
        <v>0</v>
      </c>
      <c r="AD41" s="2569"/>
      <c r="AE41" s="2569"/>
      <c r="AF41" s="2591">
        <f ca="1">SUM(AF37:AF40)</f>
        <v>0</v>
      </c>
      <c r="AG41" s="2587"/>
      <c r="AH41" s="2587"/>
      <c r="AI41" s="2591">
        <f ca="1">SUM(AI37:AI40)</f>
        <v>0</v>
      </c>
      <c r="AJ41" s="2569"/>
      <c r="AK41" s="2569"/>
      <c r="AL41" s="2592">
        <f ca="1">SUM(AL37:AL40)</f>
        <v>0</v>
      </c>
      <c r="AM41" s="2587"/>
      <c r="AN41" s="2554"/>
      <c r="AO41" s="1802">
        <f ca="1">SUM(AO37:AO40)</f>
        <v>42674600</v>
      </c>
    </row>
    <row r="42" spans="1:41" ht="16.5" customHeight="1" x14ac:dyDescent="0.25">
      <c r="A42" s="1203"/>
      <c r="B42" s="1225"/>
      <c r="C42" s="2038"/>
      <c r="D42" s="278"/>
      <c r="E42" s="1783"/>
      <c r="F42" s="1783"/>
      <c r="G42" s="1201"/>
      <c r="H42" s="1784"/>
      <c r="I42" s="1786"/>
      <c r="J42" s="1787"/>
      <c r="K42" s="2707"/>
      <c r="L42" s="1783"/>
      <c r="M42" s="1785"/>
      <c r="N42" s="2707"/>
      <c r="O42" s="1786"/>
      <c r="P42" s="1786"/>
      <c r="Q42" s="2707"/>
      <c r="R42" s="1783"/>
      <c r="S42" s="1783"/>
      <c r="T42" s="2707"/>
      <c r="U42" s="1783"/>
      <c r="V42" s="1783"/>
      <c r="W42" s="2707"/>
      <c r="X42" s="2580"/>
      <c r="Y42" s="2580"/>
      <c r="Z42" s="2707"/>
      <c r="AA42" s="2580"/>
      <c r="AB42" s="2580"/>
      <c r="AC42" s="2707"/>
      <c r="AD42" s="2580"/>
      <c r="AE42" s="2580"/>
      <c r="AF42" s="2582"/>
      <c r="AG42" s="2582"/>
      <c r="AH42" s="2582"/>
      <c r="AI42" s="2582"/>
      <c r="AJ42" s="2580"/>
      <c r="AK42" s="2580"/>
      <c r="AL42" s="2584"/>
      <c r="AM42" s="2582"/>
      <c r="AN42" s="2554"/>
      <c r="AO42" s="2300">
        <v>0</v>
      </c>
    </row>
    <row r="43" spans="1:41" s="170" customFormat="1" ht="16.5" customHeight="1" x14ac:dyDescent="0.25">
      <c r="A43" s="1203"/>
      <c r="B43" s="1225">
        <v>16</v>
      </c>
      <c r="C43" s="274" t="str">
        <f>VLOOKUP(B43,Parameters!$D$159:$E$301,2)</f>
        <v>Reimbursables/Customer Contribution</v>
      </c>
      <c r="D43" s="278"/>
      <c r="E43" s="1783">
        <f ca="1">SUM(H43:AL43)</f>
        <v>0</v>
      </c>
      <c r="F43" s="1783"/>
      <c r="G43" s="1201">
        <f ca="1">IFERROR(E43/E41,0)</f>
        <v>0</v>
      </c>
      <c r="H43" s="1783">
        <f ca="1">ROUND(SUMIF('Detail Summary'!$E$217:$AS$277,$B43,'Detail Summary'!L$217:L$277),'Data Input sheet'!$D$22)</f>
        <v>0</v>
      </c>
      <c r="I43" s="1786"/>
      <c r="J43" s="1787"/>
      <c r="K43" s="1783">
        <f ca="1">ROUND(SUMIF('Detail Summary'!$E$217:$AS$277,$B43,'Detail Summary'!O$217:O$277),'Data Input sheet'!$D$22)</f>
        <v>0</v>
      </c>
      <c r="L43" s="1783"/>
      <c r="M43" s="1785"/>
      <c r="N43" s="1783">
        <f ca="1">ROUND(SUMIF('Detail Summary'!$E$217:$AS$277,$B43,'Detail Summary'!R$217:R$277),'Data Input sheet'!$D$22)</f>
        <v>0</v>
      </c>
      <c r="O43" s="1786"/>
      <c r="P43" s="1786"/>
      <c r="Q43" s="1783">
        <f ca="1">ROUND(SUMIF('Detail Summary'!$E$217:$AS$277,$B43,'Detail Summary'!U$217:U$277),'Data Input sheet'!$D$22)</f>
        <v>0</v>
      </c>
      <c r="R43" s="1783"/>
      <c r="S43" s="1783"/>
      <c r="T43" s="1783">
        <f ca="1">ROUND(SUMIF('Detail Summary'!$E$217:$AS$277,$B43,'Detail Summary'!X$217:X$277),'Data Input sheet'!$D$22)</f>
        <v>0</v>
      </c>
      <c r="U43" s="1783"/>
      <c r="V43" s="1783"/>
      <c r="W43" s="1783">
        <f ca="1">ROUND(SUMIF('Detail Summary'!$E$217:$AS$277,$B43,'Detail Summary'!AA$217:AA$277),'Data Input sheet'!$D$22)</f>
        <v>0</v>
      </c>
      <c r="X43" s="2580"/>
      <c r="Y43" s="2580"/>
      <c r="Z43" s="2593">
        <f ca="1">ROUND(SUMIF('Detail Summary'!$E$217:$AS$277,$B43,'Detail Summary'!AD$217:AD$277),'Data Input sheet'!$D$22)</f>
        <v>0</v>
      </c>
      <c r="AA43" s="2580"/>
      <c r="AB43" s="2580"/>
      <c r="AC43" s="2593">
        <f ca="1">ROUND(SUMIF('Detail Summary'!$E$217:$AS$277,$B43,'Detail Summary'!AG$217:AG$277),'Data Input sheet'!$D$22)</f>
        <v>0</v>
      </c>
      <c r="AD43" s="2580"/>
      <c r="AE43" s="2580"/>
      <c r="AF43" s="2593">
        <f ca="1">ROUND(SUMIF('Detail Summary'!$E$217:$AS$277,$B43,'Detail Summary'!AJ$217:AJ$277),'Data Input sheet'!$D$22)</f>
        <v>0</v>
      </c>
      <c r="AG43" s="2593"/>
      <c r="AH43" s="2593"/>
      <c r="AI43" s="2593">
        <f ca="1">ROUND(SUMIF('Detail Summary'!$E$217:$AS$277,$B43,'Detail Summary'!AM$217:AM$277),'Data Input sheet'!$D$22)</f>
        <v>0</v>
      </c>
      <c r="AJ43" s="2580"/>
      <c r="AK43" s="2580"/>
      <c r="AL43" s="2594">
        <f ca="1">ROUND(SUMIF('Detail Summary'!$E$217:$AS$277,$B43,'Detail Summary'!AP$217:AP$277),'Data Input sheet'!$D$22)</f>
        <v>0</v>
      </c>
      <c r="AM43" s="2593"/>
      <c r="AN43" s="2595"/>
      <c r="AO43" s="2301">
        <v>0</v>
      </c>
    </row>
    <row r="44" spans="1:41" ht="3" customHeight="1" x14ac:dyDescent="0.25">
      <c r="A44" s="1203"/>
      <c r="B44" s="1225">
        <v>125</v>
      </c>
      <c r="C44" s="274">
        <f>VLOOKUP(B44,Parameters!$D$159:$E$301,2)</f>
        <v>0</v>
      </c>
      <c r="D44" s="278"/>
      <c r="E44" s="1783">
        <f ca="1">SUM(H44:AL44)</f>
        <v>0</v>
      </c>
      <c r="F44" s="1783"/>
      <c r="G44" s="1201">
        <f t="shared" ca="1" si="6"/>
        <v>0</v>
      </c>
      <c r="H44" s="1784">
        <f ca="1">ROUND(SUMIF('Detail Summary'!$E$217:$AS$277,$B44,'Detail Summary'!L$217:L$277),'Data Input sheet'!$D$22)</f>
        <v>0</v>
      </c>
      <c r="I44" s="1786"/>
      <c r="J44" s="1787"/>
      <c r="K44" s="1784">
        <f ca="1">ROUND(SUMIF('Detail Summary'!$E$217:$AS$277,$B44,'Detail Summary'!O$217:O$277),'Data Input sheet'!$D$22)</f>
        <v>0</v>
      </c>
      <c r="L44" s="1783"/>
      <c r="M44" s="1785"/>
      <c r="N44" s="1784">
        <f ca="1">ROUND(SUMIF('Detail Summary'!$E$217:$AS$277,$B44,'Detail Summary'!R$217:R$277),'Data Input sheet'!$D$22)</f>
        <v>0</v>
      </c>
      <c r="O44" s="1786"/>
      <c r="P44" s="1786"/>
      <c r="Q44" s="1784">
        <f ca="1">ROUND(SUMIF('Detail Summary'!$E$217:$AS$277,$B44,'Detail Summary'!U$217:U$277),'Data Input sheet'!$D$22)</f>
        <v>0</v>
      </c>
      <c r="R44" s="1783"/>
      <c r="S44" s="1783"/>
      <c r="T44" s="1784">
        <f ca="1">ROUND(SUMIF('Detail Summary'!$E$217:$AS$277,$B44,'Detail Summary'!X$217:X$277),'Data Input sheet'!$D$22)</f>
        <v>0</v>
      </c>
      <c r="U44" s="1783"/>
      <c r="V44" s="1783"/>
      <c r="W44" s="1784">
        <f ca="1">ROUND(SUMIF('Detail Summary'!$E$217:$AS$277,$B44,'Detail Summary'!AA$217:AA$277),'Data Input sheet'!$D$22)</f>
        <v>0</v>
      </c>
      <c r="X44" s="2580"/>
      <c r="Y44" s="2580"/>
      <c r="Z44" s="2582">
        <f ca="1">ROUND(SUMIF('Detail Summary'!$E$217:$AS$277,$B44,'Detail Summary'!AD$217:AD$277),'Data Input sheet'!$D$22)</f>
        <v>0</v>
      </c>
      <c r="AA44" s="2580"/>
      <c r="AB44" s="2580"/>
      <c r="AC44" s="2582">
        <f ca="1">ROUND(SUMIF('Detail Summary'!$E$217:$AS$277,$B44,'Detail Summary'!AG$217:AG$277),'Data Input sheet'!$D$22)</f>
        <v>0</v>
      </c>
      <c r="AD44" s="2580"/>
      <c r="AE44" s="2580"/>
      <c r="AF44" s="2582">
        <f ca="1">ROUND(SUMIF('Detail Summary'!$E$217:$AS$277,$B44,'Detail Summary'!AJ$217:AJ$277),'Data Input sheet'!$D$22)</f>
        <v>0</v>
      </c>
      <c r="AG44" s="2582"/>
      <c r="AH44" s="2582"/>
      <c r="AI44" s="2582">
        <f ca="1">ROUND(SUMIF('Detail Summary'!$E$217:$AS$277,$B44,'Detail Summary'!AM$217:AM$277),'Data Input sheet'!$D$22)</f>
        <v>0</v>
      </c>
      <c r="AJ44" s="2580"/>
      <c r="AK44" s="2580"/>
      <c r="AL44" s="2584">
        <f ca="1">ROUND(SUMIF('Detail Summary'!$E$217:$AS$277,$B44,'Detail Summary'!AP$217:AP$277),'Data Input sheet'!$D$22)</f>
        <v>0</v>
      </c>
      <c r="AM44" s="2582"/>
      <c r="AN44" s="2554"/>
      <c r="AO44" s="2300">
        <v>0</v>
      </c>
    </row>
    <row r="45" spans="1:41" ht="7.5" customHeight="1" thickBot="1" x14ac:dyDescent="0.3">
      <c r="A45" s="1203"/>
      <c r="B45" s="1225">
        <v>125</v>
      </c>
      <c r="C45" s="274">
        <f>VLOOKUP(B45,Parameters!$D$159:$E$301,2)</f>
        <v>0</v>
      </c>
      <c r="D45" s="278"/>
      <c r="E45" s="1788">
        <f ca="1">SUM(H45:AL45)</f>
        <v>0</v>
      </c>
      <c r="F45" s="1788"/>
      <c r="G45" s="1218">
        <f t="shared" ca="1" si="6"/>
        <v>0</v>
      </c>
      <c r="H45" s="1789">
        <f ca="1">ROUND(SUMIF('Detail Summary'!$E$217:$AS$277,$B45,'Detail Summary'!L$217:L$277),'Data Input sheet'!$D$22)</f>
        <v>0</v>
      </c>
      <c r="I45" s="1786"/>
      <c r="J45" s="1787"/>
      <c r="K45" s="1789">
        <f ca="1">ROUND(SUMIF('Detail Summary'!$E$217:$AS$277,$B45,'Detail Summary'!O$217:O$277),'Data Input sheet'!$D$22)</f>
        <v>0</v>
      </c>
      <c r="L45" s="1786"/>
      <c r="M45" s="1787"/>
      <c r="N45" s="1789">
        <f ca="1">ROUND(SUMIF('Detail Summary'!$E$217:$AS$277,$B45,'Detail Summary'!R$217:R$277),'Data Input sheet'!$D$22)</f>
        <v>0</v>
      </c>
      <c r="O45" s="1787"/>
      <c r="P45" s="1787"/>
      <c r="Q45" s="1789">
        <f ca="1">ROUND(SUMIF('Detail Summary'!$E$217:$AS$277,$B45,'Detail Summary'!U$217:U$277),'Data Input sheet'!$D$22)</f>
        <v>0</v>
      </c>
      <c r="R45" s="1787"/>
      <c r="S45" s="1787"/>
      <c r="T45" s="1789">
        <f ca="1">ROUND(SUMIF('Detail Summary'!$E$217:$AS$277,$B45,'Detail Summary'!X$217:X$277),'Data Input sheet'!$D$22)</f>
        <v>0</v>
      </c>
      <c r="U45" s="1786"/>
      <c r="V45" s="1786"/>
      <c r="W45" s="1789">
        <f ca="1">ROUND(SUMIF('Detail Summary'!$E$217:$AS$277,$B45,'Detail Summary'!AA$217:AA$277),'Data Input sheet'!$D$22)</f>
        <v>0</v>
      </c>
      <c r="X45" s="2580"/>
      <c r="Y45" s="2580"/>
      <c r="Z45" s="2596">
        <f ca="1">ROUND(SUMIF('Detail Summary'!$E$217:$AS$277,$B45,'Detail Summary'!AD$217:AD$277),'Data Input sheet'!$D$22)</f>
        <v>0</v>
      </c>
      <c r="AA45" s="2580"/>
      <c r="AB45" s="2580"/>
      <c r="AC45" s="2596">
        <f ca="1">ROUND(SUMIF('Detail Summary'!$E$217:$AS$277,$B45,'Detail Summary'!AG$217:AG$277),'Data Input sheet'!$D$22)</f>
        <v>0</v>
      </c>
      <c r="AD45" s="2580"/>
      <c r="AE45" s="2580"/>
      <c r="AF45" s="2596">
        <f ca="1">ROUND(SUMIF('Detail Summary'!$E$217:$AS$277,$B45,'Detail Summary'!AJ$217:AJ$277),'Data Input sheet'!$D$22)</f>
        <v>0</v>
      </c>
      <c r="AG45" s="2582"/>
      <c r="AH45" s="2582"/>
      <c r="AI45" s="2596">
        <f ca="1">ROUND(SUMIF('Detail Summary'!$E$217:$AS$277,$B45,'Detail Summary'!AM$217:AM$277),'Data Input sheet'!$D$22)</f>
        <v>0</v>
      </c>
      <c r="AJ45" s="2580"/>
      <c r="AK45" s="2580"/>
      <c r="AL45" s="2597">
        <f ca="1">ROUND(SUMIF('Detail Summary'!$E$217:$AS$277,$B45,'Detail Summary'!AP$217:AP$277),'Data Input sheet'!$D$22)</f>
        <v>0</v>
      </c>
      <c r="AM45" s="2582"/>
      <c r="AN45" s="2554"/>
      <c r="AO45" s="2300">
        <v>0</v>
      </c>
    </row>
    <row r="46" spans="1:41" ht="39" x14ac:dyDescent="0.25">
      <c r="A46" s="1203"/>
      <c r="B46" s="1226"/>
      <c r="C46" s="1759" t="s">
        <v>1499</v>
      </c>
      <c r="D46" s="278"/>
      <c r="E46" s="1802">
        <f ca="1">SUM(E41:E45)</f>
        <v>46096600</v>
      </c>
      <c r="F46" s="1802"/>
      <c r="G46" s="1803"/>
      <c r="H46" s="1802">
        <f ca="1">SUM(H41:H45)</f>
        <v>376100</v>
      </c>
      <c r="I46" s="281"/>
      <c r="J46" s="282"/>
      <c r="K46" s="1802">
        <f ca="1">SUM(K41:K45)</f>
        <v>5000</v>
      </c>
      <c r="L46" s="281"/>
      <c r="M46" s="282"/>
      <c r="N46" s="1802">
        <f ca="1">SUM(N41:N45)</f>
        <v>35000</v>
      </c>
      <c r="O46" s="282"/>
      <c r="P46" s="282"/>
      <c r="Q46" s="1802">
        <f ca="1">SUM(Q41:Q45)</f>
        <v>14337500</v>
      </c>
      <c r="R46" s="282"/>
      <c r="S46" s="282"/>
      <c r="T46" s="1802">
        <f ca="1">SUM(T41:T45)</f>
        <v>23439600</v>
      </c>
      <c r="U46" s="283"/>
      <c r="V46" s="283"/>
      <c r="W46" s="1802">
        <f ca="1">SUM(W41:W45)</f>
        <v>7903400</v>
      </c>
      <c r="X46" s="2569"/>
      <c r="Y46" s="2569"/>
      <c r="Z46" s="2591">
        <f ca="1">SUM(Z41:Z45)</f>
        <v>0</v>
      </c>
      <c r="AA46" s="2569"/>
      <c r="AB46" s="2569"/>
      <c r="AC46" s="2591">
        <f ca="1">SUM(AC41:AC45)</f>
        <v>0</v>
      </c>
      <c r="AD46" s="2569"/>
      <c r="AE46" s="2569"/>
      <c r="AF46" s="2591">
        <f ca="1">SUM(AF41:AF45)</f>
        <v>0</v>
      </c>
      <c r="AG46" s="2587"/>
      <c r="AH46" s="2587"/>
      <c r="AI46" s="2591">
        <f ca="1">SUM(AI41:AI45)</f>
        <v>0</v>
      </c>
      <c r="AJ46" s="2569"/>
      <c r="AK46" s="2569"/>
      <c r="AL46" s="2592">
        <f ca="1">SUM(AL41:AL45)</f>
        <v>0</v>
      </c>
      <c r="AM46" s="2587"/>
      <c r="AN46" s="2554"/>
      <c r="AO46" s="1802">
        <f ca="1">SUM(AO41:AO45)</f>
        <v>42674600</v>
      </c>
    </row>
    <row r="47" spans="1:41" ht="22.5" customHeight="1" x14ac:dyDescent="0.25">
      <c r="A47" s="1203"/>
      <c r="B47" s="1226"/>
      <c r="C47" s="2240" t="s">
        <v>2410</v>
      </c>
      <c r="D47" s="278"/>
      <c r="E47" s="2280">
        <f ca="1">IFERROR(E41/E62,0)</f>
        <v>46096600</v>
      </c>
      <c r="F47" s="2279" t="str">
        <f>"$'s / "&amp;F62&amp;" "&amp;G62</f>
        <v>$'s / LS BESS</v>
      </c>
      <c r="G47" s="2281"/>
      <c r="H47" s="286"/>
      <c r="I47" s="286"/>
      <c r="J47" s="286"/>
      <c r="K47" s="285"/>
      <c r="L47" s="285"/>
      <c r="M47" s="286"/>
      <c r="N47" s="285"/>
      <c r="O47" s="286"/>
      <c r="P47" s="286"/>
      <c r="Q47" s="285"/>
      <c r="R47" s="286"/>
      <c r="S47" s="286"/>
      <c r="T47" s="285"/>
      <c r="U47" s="287"/>
      <c r="V47" s="287"/>
      <c r="W47" s="287"/>
      <c r="X47" s="2571"/>
      <c r="Y47" s="2571"/>
      <c r="Z47" s="2598"/>
      <c r="AA47" s="2571"/>
      <c r="AB47" s="2571"/>
      <c r="AC47" s="2598"/>
      <c r="AD47" s="2571"/>
      <c r="AE47" s="2571"/>
      <c r="AF47" s="2598"/>
      <c r="AG47" s="2598"/>
      <c r="AH47" s="2598"/>
      <c r="AI47" s="2598"/>
      <c r="AJ47" s="2571"/>
      <c r="AK47" s="2571"/>
      <c r="AL47" s="2599"/>
      <c r="AM47" s="2600"/>
      <c r="AN47" s="2554"/>
      <c r="AO47" s="2300"/>
    </row>
    <row r="48" spans="1:41" ht="11.1" customHeight="1" x14ac:dyDescent="0.25">
      <c r="A48" s="1203"/>
      <c r="B48" s="1226"/>
      <c r="C48" s="257"/>
      <c r="D48" s="257"/>
      <c r="E48" s="257"/>
      <c r="F48" s="257"/>
      <c r="G48" s="257"/>
      <c r="H48" s="257"/>
      <c r="I48" s="257"/>
      <c r="J48" s="257"/>
      <c r="K48" s="257"/>
      <c r="L48" s="257"/>
      <c r="M48" s="257"/>
      <c r="N48" s="257"/>
      <c r="O48" s="257"/>
      <c r="P48" s="257"/>
      <c r="Q48" s="257"/>
      <c r="R48" s="257"/>
      <c r="S48" s="257"/>
      <c r="T48" s="257"/>
      <c r="U48" s="257"/>
      <c r="V48" s="257"/>
      <c r="W48" s="257"/>
      <c r="X48" s="2571"/>
      <c r="Y48" s="2571"/>
      <c r="Z48" s="2571"/>
      <c r="AA48" s="2571"/>
      <c r="AB48" s="2571"/>
      <c r="AC48" s="2571"/>
      <c r="AD48" s="2571"/>
      <c r="AE48" s="2571"/>
      <c r="AF48" s="2571"/>
      <c r="AG48" s="2571"/>
      <c r="AH48" s="2571"/>
      <c r="AI48" s="2571"/>
      <c r="AJ48" s="2571"/>
      <c r="AK48" s="2571"/>
      <c r="AL48" s="2574"/>
      <c r="AM48" s="2571"/>
      <c r="AN48" s="2554"/>
      <c r="AO48" s="2300"/>
    </row>
    <row r="49" spans="1:41" ht="15.75" x14ac:dyDescent="0.25">
      <c r="A49" s="1203"/>
      <c r="B49" s="1225"/>
      <c r="C49" s="288" t="s">
        <v>207</v>
      </c>
      <c r="D49" s="289"/>
      <c r="E49" s="1790">
        <f ca="1">SUM(H49:AL49)</f>
        <v>3421800</v>
      </c>
      <c r="F49" s="1790"/>
      <c r="G49" s="1204"/>
      <c r="H49" s="1790">
        <f>+'Detail Summary'!CT279</f>
        <v>0</v>
      </c>
      <c r="I49" s="1791"/>
      <c r="J49" s="1792"/>
      <c r="K49" s="1790">
        <f ca="1">ROUND(+'Detail Summary'!CW279,'Data Input sheet'!$D$22)</f>
        <v>0</v>
      </c>
      <c r="L49" s="1791"/>
      <c r="M49" s="1792"/>
      <c r="N49" s="1790">
        <f ca="1">ROUND(+'Detail Summary'!CZ279,'Data Input sheet'!$D$22)</f>
        <v>400</v>
      </c>
      <c r="O49" s="1792"/>
      <c r="P49" s="1792"/>
      <c r="Q49" s="1790">
        <f ca="1">ROUND(+'Detail Summary'!DC279,'Data Input sheet'!$D$22)</f>
        <v>769100</v>
      </c>
      <c r="R49" s="1792"/>
      <c r="S49" s="1792"/>
      <c r="T49" s="1790">
        <f ca="1">ROUND(+'Detail Summary'!DF279,'Data Input sheet'!$D$22)</f>
        <v>1869400</v>
      </c>
      <c r="U49" s="1791"/>
      <c r="V49" s="1791"/>
      <c r="W49" s="1790">
        <f ca="1">ROUND(+'Detail Summary'!DI279,'Data Input sheet'!$D$22)</f>
        <v>782900</v>
      </c>
      <c r="X49" s="2601"/>
      <c r="Y49" s="2601"/>
      <c r="Z49" s="2602">
        <f ca="1">ROUND(+'Detail Summary'!DL279,'Data Input sheet'!$D$22)</f>
        <v>0</v>
      </c>
      <c r="AA49" s="2601"/>
      <c r="AB49" s="2601"/>
      <c r="AC49" s="2602">
        <f ca="1">ROUND(+'Detail Summary'!DO279,'Data Input sheet'!$D$22)</f>
        <v>0</v>
      </c>
      <c r="AD49" s="2601"/>
      <c r="AE49" s="2601"/>
      <c r="AF49" s="2602">
        <f ca="1">ROUND(+'Detail Summary'!DR279,'Data Input sheet'!$D$22)</f>
        <v>0</v>
      </c>
      <c r="AG49" s="2602"/>
      <c r="AH49" s="2602"/>
      <c r="AI49" s="2602">
        <f ca="1">ROUND(+'Detail Summary'!DU279,'Data Input sheet'!$D$22)</f>
        <v>0</v>
      </c>
      <c r="AJ49" s="2601"/>
      <c r="AK49" s="2601"/>
      <c r="AL49" s="2603">
        <f ca="1">ROUND(+'Detail Summary'!DX279,'Data Input sheet'!$D$22)</f>
        <v>0</v>
      </c>
      <c r="AM49" s="2602"/>
      <c r="AN49" s="2554"/>
      <c r="AO49" s="2300">
        <f ca="1">ROUND(+E49,'Data Input sheet'!$D$22)</f>
        <v>3421800</v>
      </c>
    </row>
    <row r="50" spans="1:41" ht="15.75" thickBot="1" x14ac:dyDescent="0.3">
      <c r="A50" s="1203"/>
      <c r="B50" s="1225">
        <v>6</v>
      </c>
      <c r="C50" s="1793" t="s">
        <v>1477</v>
      </c>
      <c r="D50" s="1794"/>
      <c r="E50" s="1795">
        <f ca="1">SUM(H50:AL50)</f>
        <v>19569900</v>
      </c>
      <c r="F50" s="1795"/>
      <c r="G50" s="1796"/>
      <c r="H50" s="1795">
        <f ca="1">ROUND(SUMIF('Detail Summary'!$E$217:$AS$277,$B50,'Detail Summary'!L$217:L$277),'Data Input sheet'!$D$22)</f>
        <v>2400</v>
      </c>
      <c r="I50" s="1795"/>
      <c r="J50" s="1795"/>
      <c r="K50" s="1795">
        <f ca="1">ROUND(SUMIF('Detail Summary'!$E$217:$AS$277,$B50,'Detail Summary'!O$217:O$277),'Data Input sheet'!$D$22)</f>
        <v>0</v>
      </c>
      <c r="L50" s="1795"/>
      <c r="M50" s="1795"/>
      <c r="N50" s="1795">
        <f ca="1">ROUND(SUMIF('Detail Summary'!$E$217:$AS$277,$B50,'Detail Summary'!R$217:R$277),'Data Input sheet'!$D$22)</f>
        <v>0</v>
      </c>
      <c r="O50" s="1795"/>
      <c r="P50" s="1795"/>
      <c r="Q50" s="1795">
        <f ca="1">ROUND(SUMIF('Detail Summary'!$E$217:$AS$277,$B50,'Detail Summary'!U$217:U$277),'Data Input sheet'!$D$22)</f>
        <v>9639200</v>
      </c>
      <c r="R50" s="1795"/>
      <c r="S50" s="1795"/>
      <c r="T50" s="1795">
        <f ca="1">ROUND(SUMIF('Detail Summary'!$E$217:$AS$277,$B50,'Detail Summary'!X$217:X$277),'Data Input sheet'!$D$22)</f>
        <v>9928300</v>
      </c>
      <c r="U50" s="1795"/>
      <c r="V50" s="1795"/>
      <c r="W50" s="1795">
        <f ca="1">ROUND(SUMIF('Detail Summary'!$E$217:$AS$277,$B50,'Detail Summary'!AA$217:AA$277),'Data Input sheet'!$D$22)</f>
        <v>0</v>
      </c>
      <c r="X50" s="2604"/>
      <c r="Y50" s="2604"/>
      <c r="Z50" s="2604">
        <f ca="1">ROUND(SUMIF('Detail Summary'!$E$217:$AS$277,$B50,'Detail Summary'!AD$217:AD$277),'Data Input sheet'!$D$22)</f>
        <v>0</v>
      </c>
      <c r="AA50" s="2604"/>
      <c r="AB50" s="2604"/>
      <c r="AC50" s="2604">
        <f ca="1">ROUND(SUMIF('Detail Summary'!$E$217:$AS$277,$B50,'Detail Summary'!AG$217:AG$277),'Data Input sheet'!$D$22)</f>
        <v>0</v>
      </c>
      <c r="AD50" s="2604"/>
      <c r="AE50" s="2604"/>
      <c r="AF50" s="2604">
        <f ca="1">ROUND(SUMIF('Detail Summary'!$E$217:$AS$277,$B50,'Detail Summary'!AJ$217:AJ$277),'Data Input sheet'!$D$22)</f>
        <v>0</v>
      </c>
      <c r="AG50" s="2604"/>
      <c r="AH50" s="2604"/>
      <c r="AI50" s="2604">
        <f ca="1">ROUND(SUMIF('Detail Summary'!$E$217:$AS$277,$B50,'Detail Summary'!AM$217:AM$277),'Data Input sheet'!$D$22)</f>
        <v>0</v>
      </c>
      <c r="AJ50" s="2604"/>
      <c r="AK50" s="2604"/>
      <c r="AL50" s="2605">
        <f ca="1">ROUND(SUMIF('Detail Summary'!$E$217:$AS$277,$B50,'Detail Summary'!AP$217:AP$277),'Data Input sheet'!$D$22)</f>
        <v>0</v>
      </c>
      <c r="AM50" s="2604"/>
      <c r="AN50" s="2554"/>
      <c r="AO50" s="2300"/>
    </row>
    <row r="51" spans="1:41" ht="18" x14ac:dyDescent="0.25">
      <c r="A51" s="1203"/>
      <c r="B51" s="1225"/>
      <c r="C51" s="1793" t="s">
        <v>1478</v>
      </c>
      <c r="D51" s="1794"/>
      <c r="E51" s="1795">
        <f ca="1">SUM(H51:AL51)</f>
        <v>21858</v>
      </c>
      <c r="F51" s="1795"/>
      <c r="G51" s="1796"/>
      <c r="H51" s="1795">
        <f ca="1">+H52-H50</f>
        <v>-42</v>
      </c>
      <c r="I51" s="1797"/>
      <c r="J51" s="1798"/>
      <c r="K51" s="1795">
        <f ca="1">+K52-K50</f>
        <v>0</v>
      </c>
      <c r="L51" s="1797"/>
      <c r="M51" s="1798"/>
      <c r="N51" s="1795">
        <f ca="1">+N52-N50</f>
        <v>0</v>
      </c>
      <c r="O51" s="1798"/>
      <c r="P51" s="1798"/>
      <c r="Q51" s="1795">
        <f ca="1">+Q52-Q50</f>
        <v>800</v>
      </c>
      <c r="R51" s="1798"/>
      <c r="S51" s="1798"/>
      <c r="T51" s="1795">
        <f ca="1">+T52-T50</f>
        <v>12900</v>
      </c>
      <c r="U51" s="1797"/>
      <c r="V51" s="1797"/>
      <c r="W51" s="1795">
        <f ca="1">+W52-W50</f>
        <v>8200</v>
      </c>
      <c r="X51" s="2606"/>
      <c r="Y51" s="2606"/>
      <c r="Z51" s="2604">
        <f ca="1">+Z52-Z50</f>
        <v>0</v>
      </c>
      <c r="AA51" s="2606"/>
      <c r="AB51" s="2606"/>
      <c r="AC51" s="2604">
        <f ca="1">+AC52-AC50</f>
        <v>0</v>
      </c>
      <c r="AD51" s="2606"/>
      <c r="AE51" s="2606"/>
      <c r="AF51" s="2604">
        <f ca="1">+AF52-AF50</f>
        <v>0</v>
      </c>
      <c r="AG51" s="2604"/>
      <c r="AH51" s="2604"/>
      <c r="AI51" s="2604">
        <f ca="1">+AI52-AI50</f>
        <v>0</v>
      </c>
      <c r="AJ51" s="2606"/>
      <c r="AK51" s="2606"/>
      <c r="AL51" s="2605">
        <f ca="1">+AL52-AL50</f>
        <v>0</v>
      </c>
      <c r="AM51" s="2604"/>
      <c r="AN51" s="2585" t="s">
        <v>2520</v>
      </c>
      <c r="AO51" s="1802">
        <f ca="1">SUM(AO46:AO50)</f>
        <v>46096400</v>
      </c>
    </row>
    <row r="52" spans="1:41" ht="15.75" x14ac:dyDescent="0.25">
      <c r="A52" s="1203"/>
      <c r="B52" s="1225"/>
      <c r="C52" s="1793" t="s">
        <v>1479</v>
      </c>
      <c r="D52" s="1794"/>
      <c r="E52" s="1795">
        <f ca="1">SUM(H52:AL52)</f>
        <v>19591758</v>
      </c>
      <c r="F52" s="1795"/>
      <c r="G52" s="1796"/>
      <c r="H52" s="1795">
        <f>+'Detail Summary'!L288</f>
        <v>2358</v>
      </c>
      <c r="I52" s="1797"/>
      <c r="J52" s="1798"/>
      <c r="K52" s="1795">
        <f ca="1">ROUND(+'Detail Summary'!O288,'Data Input sheet'!$D$22)</f>
        <v>0</v>
      </c>
      <c r="L52" s="1797"/>
      <c r="M52" s="1798"/>
      <c r="N52" s="1795">
        <f ca="1">ROUND(+'Detail Summary'!R288,'Data Input sheet'!$D$22)</f>
        <v>0</v>
      </c>
      <c r="O52" s="1798"/>
      <c r="P52" s="1798"/>
      <c r="Q52" s="1795">
        <f ca="1">ROUND(+'Detail Summary'!U288,'Data Input sheet'!$D$22)</f>
        <v>9640000</v>
      </c>
      <c r="R52" s="1798"/>
      <c r="S52" s="1798"/>
      <c r="T52" s="1795">
        <f ca="1">ROUND(+'Detail Summary'!X288,'Data Input sheet'!$D$22)</f>
        <v>9941200</v>
      </c>
      <c r="U52" s="1797"/>
      <c r="V52" s="1797"/>
      <c r="W52" s="1795">
        <f ca="1">ROUND(+'Detail Summary'!AA288,'Data Input sheet'!$D$22)</f>
        <v>8200</v>
      </c>
      <c r="X52" s="2606"/>
      <c r="Y52" s="2606"/>
      <c r="Z52" s="2604">
        <f ca="1">ROUND(+'Detail Summary'!AD288,'Data Input sheet'!$D$22)</f>
        <v>0</v>
      </c>
      <c r="AA52" s="2606"/>
      <c r="AB52" s="2606"/>
      <c r="AC52" s="2604">
        <f ca="1">ROUND(+'Detail Summary'!AG288,'Data Input sheet'!$D$22)</f>
        <v>0</v>
      </c>
      <c r="AD52" s="2606"/>
      <c r="AE52" s="2606"/>
      <c r="AF52" s="2604">
        <f ca="1">ROUND(+'Detail Summary'!AJ288,'Data Input sheet'!$D$22)</f>
        <v>0</v>
      </c>
      <c r="AG52" s="2604"/>
      <c r="AH52" s="2604"/>
      <c r="AI52" s="2604">
        <f ca="1">ROUND(+'Detail Summary'!AM288,'Data Input sheet'!$D$22)</f>
        <v>0</v>
      </c>
      <c r="AJ52" s="2606"/>
      <c r="AK52" s="2606"/>
      <c r="AL52" s="2605">
        <f ca="1">ROUND(+'Detail Summary'!AP288,'Data Input sheet'!$D$22)</f>
        <v>0</v>
      </c>
      <c r="AM52" s="2604"/>
      <c r="AN52" s="2554" t="s">
        <v>2522</v>
      </c>
      <c r="AO52" s="2303">
        <f ca="1">+AO51-E46</f>
        <v>-200</v>
      </c>
    </row>
    <row r="53" spans="1:41" ht="18" x14ac:dyDescent="0.25">
      <c r="A53" s="1203"/>
      <c r="B53" s="1226"/>
      <c r="C53" s="1378" t="str">
        <f ca="1" xml:space="preserve"> "NOTE: Risk / Contingency is " &amp; ROUND(IF((E30+E39)&gt;0,(E30+E39)/(E41-E30-E39),0)*100,1) &amp; "% of Project Total Costs (incl escal/indirects/AFUDC but excl reimb.)"</f>
        <v>NOTE: Risk / Contingency is 14.4% of Project Total Costs (incl escal/indirects/AFUDC but excl reimb.)</v>
      </c>
      <c r="D53" s="289"/>
      <c r="E53" s="290"/>
      <c r="F53" s="290"/>
      <c r="G53" s="1204"/>
      <c r="H53" s="290"/>
      <c r="I53" s="291"/>
      <c r="J53" s="292"/>
      <c r="K53" s="290"/>
      <c r="L53" s="291"/>
      <c r="M53" s="292"/>
      <c r="N53" s="290"/>
      <c r="O53" s="292"/>
      <c r="P53" s="292"/>
      <c r="Q53" s="290"/>
      <c r="R53" s="292"/>
      <c r="S53" s="292"/>
      <c r="T53" s="290"/>
      <c r="U53" s="291"/>
      <c r="V53" s="291"/>
      <c r="W53" s="290"/>
      <c r="X53" s="2607"/>
      <c r="Y53" s="2607"/>
      <c r="Z53" s="2608"/>
      <c r="AA53" s="2607"/>
      <c r="AB53" s="2607"/>
      <c r="AC53" s="2608"/>
      <c r="AD53" s="2607"/>
      <c r="AE53" s="2607"/>
      <c r="AF53" s="2608"/>
      <c r="AG53" s="2608"/>
      <c r="AH53" s="2608"/>
      <c r="AI53" s="2608"/>
      <c r="AJ53" s="2607"/>
      <c r="AK53" s="2607"/>
      <c r="AL53" s="2609"/>
      <c r="AM53" s="2608"/>
      <c r="AN53" s="2554"/>
      <c r="AO53" s="2298"/>
    </row>
    <row r="54" spans="1:41" ht="22.5" customHeight="1" x14ac:dyDescent="0.25">
      <c r="A54" s="1203"/>
      <c r="B54" s="1226"/>
      <c r="C54" s="274"/>
      <c r="D54" s="293"/>
      <c r="E54" s="294"/>
      <c r="F54" s="294"/>
      <c r="G54" s="295"/>
      <c r="H54" s="294"/>
      <c r="I54" s="294"/>
      <c r="J54" s="296"/>
      <c r="K54" s="257"/>
      <c r="L54" s="257"/>
      <c r="M54" s="257"/>
      <c r="N54" s="257"/>
      <c r="O54" s="257"/>
      <c r="P54" s="257"/>
      <c r="Q54" s="257"/>
      <c r="R54" s="257"/>
      <c r="S54" s="257"/>
      <c r="T54" s="257"/>
      <c r="U54" s="257"/>
      <c r="V54" s="257"/>
      <c r="W54" s="257"/>
      <c r="X54" s="2571"/>
      <c r="Y54" s="2571"/>
      <c r="Z54" s="2571"/>
      <c r="AA54" s="2571"/>
      <c r="AB54" s="2571"/>
      <c r="AC54" s="2571"/>
      <c r="AD54" s="2571"/>
      <c r="AE54" s="2571"/>
      <c r="AF54" s="2571"/>
      <c r="AG54" s="2571"/>
      <c r="AH54" s="2571"/>
      <c r="AI54" s="2571"/>
      <c r="AJ54" s="2571"/>
      <c r="AK54" s="2571"/>
      <c r="AL54" s="2574"/>
      <c r="AM54" s="2571"/>
      <c r="AN54" s="2554"/>
      <c r="AO54" s="2298"/>
    </row>
    <row r="55" spans="1:41" ht="22.5" customHeight="1" x14ac:dyDescent="0.25">
      <c r="A55" s="1203"/>
      <c r="B55" s="1226"/>
      <c r="C55" s="297" t="s">
        <v>102</v>
      </c>
      <c r="D55" s="278"/>
      <c r="E55" s="298">
        <f>IF('Data Input sheet'!D16="YES", 'Data Input sheet'!G17,'Data Input sheet'!G15)</f>
        <v>-0.25</v>
      </c>
      <c r="F55" s="298"/>
      <c r="G55" s="299" t="s">
        <v>103</v>
      </c>
      <c r="H55" s="300">
        <f>IF('Data Input sheet'!D16="YES", 'Data Input sheet'!J17,'Data Input sheet'!J15)</f>
        <v>0.5</v>
      </c>
      <c r="I55" s="300"/>
      <c r="J55" s="301"/>
      <c r="K55" s="302"/>
      <c r="L55" s="302"/>
      <c r="M55" s="302"/>
      <c r="N55" s="302"/>
      <c r="O55" s="302"/>
      <c r="P55" s="302"/>
      <c r="Q55" s="302"/>
      <c r="R55" s="302"/>
      <c r="S55" s="302"/>
      <c r="T55" s="302"/>
      <c r="U55" s="302"/>
      <c r="V55" s="302"/>
      <c r="W55" s="302"/>
      <c r="X55" s="2610"/>
      <c r="Y55" s="2610"/>
      <c r="Z55" s="2610"/>
      <c r="AA55" s="2610"/>
      <c r="AB55" s="2610"/>
      <c r="AC55" s="2610"/>
      <c r="AD55" s="2610"/>
      <c r="AE55" s="2610"/>
      <c r="AF55" s="2610"/>
      <c r="AG55" s="2610"/>
      <c r="AH55" s="2610"/>
      <c r="AI55" s="2610"/>
      <c r="AJ55" s="2610"/>
      <c r="AK55" s="2610"/>
      <c r="AL55" s="2611"/>
      <c r="AM55" s="2610"/>
      <c r="AN55" s="2554"/>
      <c r="AO55" s="2298"/>
    </row>
    <row r="56" spans="1:41" ht="22.5" customHeight="1" x14ac:dyDescent="0.25">
      <c r="A56" s="1203"/>
      <c r="B56" s="1226"/>
      <c r="C56" s="274"/>
      <c r="D56" s="293"/>
      <c r="E56" s="294">
        <f ca="1">ROUND(E41*(100%+E55),'Data Input sheet'!D23)</f>
        <v>34572000</v>
      </c>
      <c r="F56" s="294"/>
      <c r="G56" s="295" t="s">
        <v>103</v>
      </c>
      <c r="H56" s="294">
        <f ca="1">ROUND(E41+(E41*H55),'Data Input sheet'!D23)</f>
        <v>69145000</v>
      </c>
      <c r="I56" s="294"/>
      <c r="J56" s="303"/>
      <c r="K56" s="302"/>
      <c r="L56" s="302"/>
      <c r="M56" s="304"/>
      <c r="N56" s="257"/>
      <c r="O56" s="304"/>
      <c r="P56" s="304"/>
      <c r="Q56" s="304"/>
      <c r="R56" s="304"/>
      <c r="S56" s="304"/>
      <c r="T56" s="304"/>
      <c r="U56" s="305"/>
      <c r="V56" s="305"/>
      <c r="W56" s="305"/>
      <c r="X56" s="2612"/>
      <c r="Y56" s="2612"/>
      <c r="Z56" s="2612"/>
      <c r="AA56" s="2612"/>
      <c r="AB56" s="2612"/>
      <c r="AC56" s="2612"/>
      <c r="AD56" s="2612"/>
      <c r="AE56" s="2612"/>
      <c r="AF56" s="2612"/>
      <c r="AG56" s="2612"/>
      <c r="AH56" s="2612"/>
      <c r="AI56" s="2612"/>
      <c r="AJ56" s="2612"/>
      <c r="AK56" s="2612"/>
      <c r="AL56" s="2613"/>
      <c r="AM56" s="2612"/>
      <c r="AN56" s="2554"/>
      <c r="AO56" s="2298"/>
    </row>
    <row r="57" spans="1:41" ht="7.35" customHeight="1" x14ac:dyDescent="0.25">
      <c r="A57" s="1219"/>
      <c r="B57" s="1227"/>
      <c r="C57" s="1196"/>
      <c r="D57" s="1205"/>
      <c r="E57" s="1205"/>
      <c r="F57" s="1205"/>
      <c r="G57" s="1205"/>
      <c r="H57" s="1205"/>
      <c r="I57" s="1205"/>
      <c r="J57" s="1205"/>
      <c r="K57" s="1194"/>
      <c r="L57" s="1194"/>
      <c r="M57" s="1194"/>
      <c r="N57" s="1194"/>
      <c r="O57" s="1194"/>
      <c r="P57" s="1194"/>
      <c r="Q57" s="1194"/>
      <c r="R57" s="1194"/>
      <c r="S57" s="1194"/>
      <c r="T57" s="1206"/>
      <c r="U57" s="1194"/>
      <c r="V57" s="1194"/>
      <c r="W57" s="1194"/>
      <c r="X57" s="2614"/>
      <c r="Y57" s="2614"/>
      <c r="Z57" s="2614"/>
      <c r="AA57" s="2614"/>
      <c r="AB57" s="2614"/>
      <c r="AC57" s="2614"/>
      <c r="AD57" s="2614"/>
      <c r="AE57" s="2614"/>
      <c r="AF57" s="2614"/>
      <c r="AG57" s="2614"/>
      <c r="AH57" s="2614"/>
      <c r="AI57" s="2614"/>
      <c r="AJ57" s="2614"/>
      <c r="AK57" s="2614"/>
      <c r="AL57" s="2615"/>
      <c r="AM57" s="2555"/>
      <c r="AN57" s="2554"/>
      <c r="AO57" s="2298"/>
    </row>
    <row r="58" spans="1:41" ht="12.75" customHeight="1" x14ac:dyDescent="0.25">
      <c r="A58" s="1203"/>
      <c r="B58" s="306"/>
      <c r="C58" s="1186"/>
      <c r="D58" s="259"/>
      <c r="E58" s="259"/>
      <c r="F58" s="259"/>
      <c r="G58" s="259"/>
      <c r="H58" s="259"/>
      <c r="I58" s="259"/>
      <c r="J58" s="259"/>
      <c r="K58" s="259"/>
      <c r="L58" s="259"/>
      <c r="M58" s="259"/>
      <c r="N58" s="259"/>
      <c r="O58" s="259"/>
      <c r="P58" s="259"/>
      <c r="Q58" s="259"/>
      <c r="R58" s="259"/>
      <c r="S58" s="259"/>
      <c r="T58" s="259"/>
      <c r="U58" s="259"/>
      <c r="V58" s="259"/>
      <c r="W58" s="259"/>
      <c r="X58" s="2555"/>
      <c r="Y58" s="2555"/>
      <c r="Z58" s="2555"/>
      <c r="AA58" s="2555"/>
      <c r="AB58" s="2555"/>
      <c r="AC58" s="2555"/>
      <c r="AD58" s="2555"/>
      <c r="AE58" s="2555"/>
      <c r="AF58" s="2555"/>
      <c r="AG58" s="2555"/>
      <c r="AH58" s="2555"/>
      <c r="AI58" s="2555"/>
      <c r="AJ58" s="2555"/>
      <c r="AK58" s="2555"/>
      <c r="AL58" s="2564"/>
      <c r="AM58" s="2555"/>
      <c r="AN58" s="2554"/>
      <c r="AO58" s="2298"/>
    </row>
    <row r="59" spans="1:41" ht="12.75" customHeight="1" thickBot="1" x14ac:dyDescent="0.3">
      <c r="A59" s="1191"/>
      <c r="B59" s="1197"/>
      <c r="C59" s="1198" t="s">
        <v>104</v>
      </c>
      <c r="D59" s="1199"/>
      <c r="E59" s="1199"/>
      <c r="F59" s="1199"/>
      <c r="G59" s="1189"/>
      <c r="H59" s="1189"/>
      <c r="I59" s="1189"/>
      <c r="J59" s="1189"/>
      <c r="K59" s="1189"/>
      <c r="L59" s="1189"/>
      <c r="M59" s="1189"/>
      <c r="N59" s="1189"/>
      <c r="O59" s="1189"/>
      <c r="P59" s="1189"/>
      <c r="Q59" s="1188"/>
      <c r="R59" s="1188"/>
      <c r="S59" s="1188"/>
      <c r="T59" s="1207"/>
      <c r="U59" s="1207"/>
      <c r="V59" s="1207"/>
      <c r="W59" s="1207"/>
      <c r="X59" s="2616"/>
      <c r="Y59" s="2616"/>
      <c r="Z59" s="2616"/>
      <c r="AA59" s="2616"/>
      <c r="AB59" s="2616"/>
      <c r="AC59" s="2616"/>
      <c r="AD59" s="2616"/>
      <c r="AE59" s="2616"/>
      <c r="AF59" s="2616"/>
      <c r="AG59" s="2616"/>
      <c r="AH59" s="2616"/>
      <c r="AI59" s="2616"/>
      <c r="AJ59" s="2616"/>
      <c r="AK59" s="2616"/>
      <c r="AL59" s="2617"/>
      <c r="AM59" s="306"/>
      <c r="AN59" s="2554"/>
      <c r="AO59" s="2298"/>
    </row>
    <row r="60" spans="1:41" ht="9" customHeight="1" thickTop="1" x14ac:dyDescent="0.25">
      <c r="A60" s="1208"/>
      <c r="B60" s="1208"/>
      <c r="C60" s="1810"/>
      <c r="D60" s="307"/>
      <c r="E60" s="307"/>
      <c r="F60" s="307"/>
      <c r="G60" s="307"/>
      <c r="H60" s="307"/>
      <c r="I60" s="307"/>
      <c r="J60" s="307"/>
      <c r="K60" s="307"/>
      <c r="L60" s="307"/>
      <c r="M60" s="307"/>
      <c r="N60" s="307"/>
      <c r="O60" s="307"/>
      <c r="P60" s="307"/>
      <c r="Q60" s="307"/>
      <c r="R60" s="307"/>
      <c r="S60" s="307"/>
      <c r="T60" s="307"/>
      <c r="U60" s="307"/>
      <c r="V60" s="307"/>
      <c r="W60" s="307"/>
      <c r="X60" s="313"/>
      <c r="Y60" s="313"/>
      <c r="Z60" s="313"/>
      <c r="AA60" s="313"/>
      <c r="AB60" s="313"/>
      <c r="AC60" s="313"/>
      <c r="AD60" s="313"/>
      <c r="AE60" s="313"/>
      <c r="AF60" s="313"/>
      <c r="AG60" s="313"/>
      <c r="AH60" s="313"/>
      <c r="AI60" s="313"/>
      <c r="AJ60" s="313"/>
      <c r="AK60" s="313"/>
      <c r="AL60" s="2618"/>
      <c r="AM60" s="313"/>
      <c r="AN60" s="2554"/>
      <c r="AO60" s="2298"/>
    </row>
    <row r="61" spans="1:41" ht="15.75" customHeight="1" x14ac:dyDescent="0.25">
      <c r="A61" s="1209"/>
      <c r="B61" s="1209"/>
      <c r="C61" s="302" t="s">
        <v>3648</v>
      </c>
      <c r="D61" s="307"/>
      <c r="E61" s="308"/>
      <c r="F61" s="308"/>
      <c r="G61" s="307"/>
      <c r="H61" s="308"/>
      <c r="I61" s="308"/>
      <c r="J61" s="307"/>
      <c r="K61" s="308"/>
      <c r="L61" s="308"/>
      <c r="M61" s="307"/>
      <c r="N61" s="308"/>
      <c r="O61" s="307"/>
      <c r="P61" s="307"/>
      <c r="Q61" s="308"/>
      <c r="R61" s="307"/>
      <c r="S61" s="307"/>
      <c r="T61" s="308"/>
      <c r="U61" s="307"/>
      <c r="V61" s="307"/>
      <c r="W61" s="307"/>
      <c r="X61" s="313"/>
      <c r="Y61" s="313"/>
      <c r="Z61" s="313"/>
      <c r="AA61" s="313"/>
      <c r="AB61" s="313"/>
      <c r="AC61" s="313"/>
      <c r="AD61" s="313"/>
      <c r="AE61" s="313"/>
      <c r="AF61" s="313"/>
      <c r="AG61" s="313"/>
      <c r="AH61" s="313"/>
      <c r="AI61" s="313"/>
      <c r="AJ61" s="313"/>
      <c r="AK61" s="313"/>
      <c r="AL61" s="2618"/>
      <c r="AM61" s="313"/>
      <c r="AN61" s="2554"/>
      <c r="AO61" s="2298"/>
    </row>
    <row r="62" spans="1:41" ht="30" x14ac:dyDescent="0.25">
      <c r="A62" s="1209"/>
      <c r="B62" s="1209"/>
      <c r="C62" s="2244" t="s">
        <v>2412</v>
      </c>
      <c r="D62" s="2245"/>
      <c r="E62" s="2489">
        <v>1</v>
      </c>
      <c r="F62" s="2489" t="s">
        <v>640</v>
      </c>
      <c r="G62" s="2489" t="s">
        <v>3647</v>
      </c>
      <c r="H62" s="310"/>
      <c r="I62" s="310"/>
      <c r="J62" s="310"/>
      <c r="K62" s="2487">
        <f ca="1">IF(E46&gt;0,E46/E24,0)</f>
        <v>2.3554846984399513</v>
      </c>
      <c r="L62" s="2488"/>
      <c r="M62" s="2488"/>
      <c r="N62" s="2488" t="s">
        <v>3106</v>
      </c>
      <c r="O62" s="310"/>
      <c r="P62" s="310"/>
      <c r="Q62" s="307"/>
      <c r="R62" s="307"/>
      <c r="S62" s="307"/>
      <c r="T62" s="307"/>
      <c r="U62" s="307"/>
      <c r="V62" s="307"/>
      <c r="W62" s="307"/>
      <c r="X62" s="313"/>
      <c r="Y62" s="313"/>
      <c r="Z62" s="313"/>
      <c r="AA62" s="313"/>
      <c r="AB62" s="313"/>
      <c r="AC62" s="313"/>
      <c r="AD62" s="313"/>
      <c r="AE62" s="313"/>
      <c r="AF62" s="313"/>
      <c r="AG62" s="313"/>
      <c r="AH62" s="313"/>
      <c r="AI62" s="313"/>
      <c r="AJ62" s="313"/>
      <c r="AK62" s="313"/>
      <c r="AL62" s="2618"/>
      <c r="AM62" s="313"/>
      <c r="AN62" s="2554"/>
      <c r="AO62" s="2298"/>
    </row>
    <row r="63" spans="1:41" ht="19.350000000000001" customHeight="1" x14ac:dyDescent="0.25">
      <c r="A63" s="1209"/>
      <c r="B63" s="1209"/>
      <c r="C63" s="307"/>
      <c r="D63" s="309"/>
      <c r="E63" s="310"/>
      <c r="F63" s="310"/>
      <c r="G63" s="310"/>
      <c r="H63" s="310"/>
      <c r="I63" s="310"/>
      <c r="J63" s="310"/>
      <c r="K63" s="2487">
        <f ca="1">IF(E32&gt;0,E32/E24,0)</f>
        <v>1.6832738031364494</v>
      </c>
      <c r="L63" s="2488"/>
      <c r="M63" s="2488"/>
      <c r="N63" s="2488" t="s">
        <v>3107</v>
      </c>
      <c r="O63" s="310"/>
      <c r="P63" s="310"/>
      <c r="Q63" s="307"/>
      <c r="R63" s="307"/>
      <c r="S63" s="307"/>
      <c r="T63" s="307"/>
      <c r="U63" s="307"/>
      <c r="V63" s="307"/>
      <c r="W63" s="307"/>
      <c r="X63" s="313"/>
      <c r="Y63" s="313"/>
      <c r="Z63" s="313"/>
      <c r="AA63" s="313"/>
      <c r="AB63" s="313"/>
      <c r="AC63" s="313"/>
      <c r="AD63" s="313"/>
      <c r="AE63" s="313"/>
      <c r="AF63" s="313"/>
      <c r="AG63" s="313"/>
      <c r="AH63" s="313"/>
      <c r="AI63" s="313"/>
      <c r="AJ63" s="313"/>
      <c r="AK63" s="313"/>
      <c r="AL63" s="2618"/>
      <c r="AM63" s="313"/>
      <c r="AN63" s="2554"/>
      <c r="AO63" s="2298"/>
    </row>
    <row r="64" spans="1:41" ht="15.75" customHeight="1" x14ac:dyDescent="0.25">
      <c r="A64" s="1209"/>
      <c r="B64" s="1209"/>
      <c r="C64" s="307"/>
      <c r="D64" s="310"/>
      <c r="E64" s="310"/>
      <c r="F64" s="310"/>
      <c r="G64" s="310"/>
      <c r="H64" s="310"/>
      <c r="I64" s="310"/>
      <c r="J64" s="310"/>
      <c r="K64" s="310"/>
      <c r="L64" s="310"/>
      <c r="M64" s="310"/>
      <c r="N64" s="310"/>
      <c r="O64" s="310"/>
      <c r="P64" s="310"/>
      <c r="Q64" s="307"/>
      <c r="R64" s="307"/>
      <c r="S64" s="307"/>
      <c r="T64" s="2424"/>
      <c r="U64" s="307"/>
      <c r="V64" s="307"/>
      <c r="W64" s="307"/>
      <c r="X64" s="313"/>
      <c r="Y64" s="313"/>
      <c r="Z64" s="313"/>
      <c r="AA64" s="313"/>
      <c r="AB64" s="313"/>
      <c r="AC64" s="313"/>
      <c r="AD64" s="313"/>
      <c r="AE64" s="313"/>
      <c r="AF64" s="313"/>
      <c r="AG64" s="313"/>
      <c r="AH64" s="313"/>
      <c r="AI64" s="313"/>
      <c r="AJ64" s="313"/>
      <c r="AK64" s="313"/>
      <c r="AL64" s="2618"/>
      <c r="AM64" s="313"/>
      <c r="AN64" s="2554"/>
      <c r="AO64" s="2298"/>
    </row>
    <row r="65" spans="1:41" ht="15.75" customHeight="1" x14ac:dyDescent="0.25">
      <c r="A65" s="1209"/>
      <c r="B65" s="1209"/>
      <c r="C65" s="307"/>
      <c r="D65" s="310"/>
      <c r="E65" s="310"/>
      <c r="F65" s="310"/>
      <c r="G65" s="310"/>
      <c r="H65" s="310"/>
      <c r="I65" s="310"/>
      <c r="J65" s="310"/>
      <c r="K65" s="310"/>
      <c r="L65" s="310"/>
      <c r="M65" s="310"/>
      <c r="N65" s="310"/>
      <c r="O65" s="310"/>
      <c r="P65" s="310"/>
      <c r="Q65" s="2423"/>
      <c r="R65" s="307"/>
      <c r="S65" s="307"/>
      <c r="T65" s="307"/>
      <c r="U65" s="307"/>
      <c r="V65" s="307"/>
      <c r="W65" s="307"/>
      <c r="X65" s="313"/>
      <c r="Y65" s="313"/>
      <c r="Z65" s="313"/>
      <c r="AA65" s="313"/>
      <c r="AB65" s="313"/>
      <c r="AC65" s="313"/>
      <c r="AD65" s="313"/>
      <c r="AE65" s="313"/>
      <c r="AF65" s="313"/>
      <c r="AG65" s="313"/>
      <c r="AH65" s="313"/>
      <c r="AI65" s="313"/>
      <c r="AJ65" s="313"/>
      <c r="AK65" s="313"/>
      <c r="AL65" s="2618"/>
      <c r="AM65" s="313"/>
      <c r="AN65" s="2554"/>
      <c r="AO65" s="2298"/>
    </row>
    <row r="66" spans="1:41" ht="15.75" customHeight="1" x14ac:dyDescent="0.25">
      <c r="A66" s="1209"/>
      <c r="B66" s="1209"/>
      <c r="C66" s="307"/>
      <c r="D66" s="310"/>
      <c r="E66" s="310"/>
      <c r="F66" s="310"/>
      <c r="G66" s="310"/>
      <c r="H66" s="310"/>
      <c r="I66" s="310"/>
      <c r="J66" s="310"/>
      <c r="K66" s="310"/>
      <c r="L66" s="310"/>
      <c r="M66" s="310"/>
      <c r="N66" s="310"/>
      <c r="O66" s="310"/>
      <c r="P66" s="310"/>
      <c r="Q66" s="2423"/>
      <c r="R66" s="307"/>
      <c r="S66" s="307"/>
      <c r="T66" s="307"/>
      <c r="U66" s="307"/>
      <c r="V66" s="307"/>
      <c r="W66" s="307"/>
      <c r="X66" s="313"/>
      <c r="Y66" s="313"/>
      <c r="Z66" s="313"/>
      <c r="AA66" s="313"/>
      <c r="AB66" s="313"/>
      <c r="AC66" s="313"/>
      <c r="AD66" s="313"/>
      <c r="AE66" s="313"/>
      <c r="AF66" s="313"/>
      <c r="AG66" s="313"/>
      <c r="AH66" s="313"/>
      <c r="AI66" s="313"/>
      <c r="AJ66" s="313"/>
      <c r="AK66" s="313"/>
      <c r="AL66" s="2618"/>
      <c r="AM66" s="313"/>
      <c r="AN66" s="2554"/>
      <c r="AO66" s="2298"/>
    </row>
    <row r="67" spans="1:41" ht="15.75" customHeight="1" x14ac:dyDescent="0.25">
      <c r="A67" s="1209"/>
      <c r="B67" s="1209"/>
      <c r="C67" s="307"/>
      <c r="D67" s="310"/>
      <c r="E67" s="310"/>
      <c r="F67" s="310"/>
      <c r="G67" s="310"/>
      <c r="H67" s="310"/>
      <c r="I67" s="310"/>
      <c r="J67" s="310"/>
      <c r="K67" s="310"/>
      <c r="L67" s="310"/>
      <c r="M67" s="310"/>
      <c r="N67" s="310"/>
      <c r="O67" s="310"/>
      <c r="P67" s="310"/>
      <c r="Q67" s="307"/>
      <c r="R67" s="307"/>
      <c r="S67" s="307"/>
      <c r="T67" s="307"/>
      <c r="U67" s="307"/>
      <c r="V67" s="307"/>
      <c r="W67" s="307"/>
      <c r="X67" s="313"/>
      <c r="Y67" s="313"/>
      <c r="Z67" s="313"/>
      <c r="AA67" s="313"/>
      <c r="AB67" s="313"/>
      <c r="AC67" s="313"/>
      <c r="AD67" s="313"/>
      <c r="AE67" s="313"/>
      <c r="AF67" s="313"/>
      <c r="AG67" s="313"/>
      <c r="AH67" s="313"/>
      <c r="AI67" s="313"/>
      <c r="AJ67" s="313"/>
      <c r="AK67" s="313"/>
      <c r="AL67" s="2618"/>
      <c r="AM67" s="313"/>
      <c r="AN67" s="2554"/>
      <c r="AO67" s="2298"/>
    </row>
    <row r="68" spans="1:41" ht="15.75" customHeight="1" x14ac:dyDescent="0.25">
      <c r="A68" s="1209"/>
      <c r="B68" s="1209"/>
      <c r="C68" s="307"/>
      <c r="D68" s="310"/>
      <c r="E68" s="310"/>
      <c r="F68" s="310"/>
      <c r="G68" s="310"/>
      <c r="H68" s="310"/>
      <c r="I68" s="310"/>
      <c r="J68" s="310"/>
      <c r="K68" s="310"/>
      <c r="L68" s="310"/>
      <c r="M68" s="310"/>
      <c r="N68" s="310"/>
      <c r="O68" s="310"/>
      <c r="P68" s="310"/>
      <c r="Q68" s="307"/>
      <c r="R68" s="307"/>
      <c r="S68" s="307"/>
      <c r="T68" s="307"/>
      <c r="U68" s="307"/>
      <c r="V68" s="307"/>
      <c r="W68" s="307"/>
      <c r="X68" s="313"/>
      <c r="Y68" s="313"/>
      <c r="Z68" s="313"/>
      <c r="AA68" s="313"/>
      <c r="AB68" s="313"/>
      <c r="AC68" s="313"/>
      <c r="AD68" s="313"/>
      <c r="AE68" s="313"/>
      <c r="AF68" s="313"/>
      <c r="AG68" s="313"/>
      <c r="AH68" s="313"/>
      <c r="AI68" s="313"/>
      <c r="AJ68" s="313"/>
      <c r="AK68" s="313"/>
      <c r="AL68" s="2618"/>
      <c r="AM68" s="313"/>
      <c r="AN68" s="2554"/>
      <c r="AO68" s="2298"/>
    </row>
    <row r="69" spans="1:41" ht="15.75" customHeight="1" x14ac:dyDescent="0.25">
      <c r="A69" s="1209"/>
      <c r="B69" s="1209"/>
      <c r="C69" s="307"/>
      <c r="D69" s="310"/>
      <c r="E69" s="310"/>
      <c r="F69" s="310"/>
      <c r="G69" s="310"/>
      <c r="H69" s="310"/>
      <c r="I69" s="310"/>
      <c r="J69" s="310"/>
      <c r="K69" s="310"/>
      <c r="L69" s="310"/>
      <c r="M69" s="310"/>
      <c r="N69" s="310"/>
      <c r="O69" s="310"/>
      <c r="P69" s="310"/>
      <c r="Q69" s="307"/>
      <c r="R69" s="307"/>
      <c r="S69" s="307"/>
      <c r="T69" s="307"/>
      <c r="U69" s="307"/>
      <c r="V69" s="307"/>
      <c r="W69" s="307"/>
      <c r="X69" s="313"/>
      <c r="Y69" s="313"/>
      <c r="Z69" s="313"/>
      <c r="AA69" s="313"/>
      <c r="AB69" s="313"/>
      <c r="AC69" s="313"/>
      <c r="AD69" s="313"/>
      <c r="AE69" s="313"/>
      <c r="AF69" s="313"/>
      <c r="AG69" s="313"/>
      <c r="AH69" s="313"/>
      <c r="AI69" s="313"/>
      <c r="AJ69" s="313"/>
      <c r="AK69" s="313"/>
      <c r="AL69" s="2618"/>
      <c r="AM69" s="313"/>
      <c r="AN69" s="2554"/>
      <c r="AO69" s="2298"/>
    </row>
    <row r="70" spans="1:41" ht="15.75" customHeight="1" x14ac:dyDescent="0.25">
      <c r="A70" s="1209"/>
      <c r="B70" s="1209"/>
      <c r="C70" s="307"/>
      <c r="D70" s="310"/>
      <c r="E70" s="310"/>
      <c r="F70" s="310"/>
      <c r="G70" s="310"/>
      <c r="H70" s="310"/>
      <c r="I70" s="310"/>
      <c r="J70" s="310"/>
      <c r="K70" s="310"/>
      <c r="L70" s="310"/>
      <c r="M70" s="310"/>
      <c r="N70" s="310"/>
      <c r="O70" s="310"/>
      <c r="P70" s="310"/>
      <c r="Q70" s="307"/>
      <c r="R70" s="307"/>
      <c r="S70" s="307"/>
      <c r="T70" s="307"/>
      <c r="U70" s="307"/>
      <c r="V70" s="307"/>
      <c r="W70" s="307"/>
      <c r="X70" s="313"/>
      <c r="Y70" s="313"/>
      <c r="Z70" s="313"/>
      <c r="AA70" s="313"/>
      <c r="AB70" s="313"/>
      <c r="AC70" s="313"/>
      <c r="AD70" s="313"/>
      <c r="AE70" s="313"/>
      <c r="AF70" s="313"/>
      <c r="AG70" s="313"/>
      <c r="AH70" s="313"/>
      <c r="AI70" s="313"/>
      <c r="AJ70" s="313"/>
      <c r="AK70" s="313"/>
      <c r="AL70" s="2618"/>
      <c r="AM70" s="313"/>
      <c r="AN70" s="2554"/>
      <c r="AO70" s="2298"/>
    </row>
    <row r="71" spans="1:41" ht="15.75" customHeight="1" x14ac:dyDescent="0.25">
      <c r="A71" s="1209"/>
      <c r="B71" s="1209"/>
      <c r="C71" s="307"/>
      <c r="D71" s="310"/>
      <c r="E71" s="310"/>
      <c r="F71" s="310"/>
      <c r="G71" s="310"/>
      <c r="H71" s="310"/>
      <c r="I71" s="310"/>
      <c r="J71" s="310"/>
      <c r="K71" s="310"/>
      <c r="L71" s="310"/>
      <c r="M71" s="310"/>
      <c r="N71" s="310"/>
      <c r="O71" s="310"/>
      <c r="P71" s="310"/>
      <c r="Q71" s="307"/>
      <c r="R71" s="307"/>
      <c r="S71" s="307"/>
      <c r="T71" s="307"/>
      <c r="U71" s="307"/>
      <c r="V71" s="307"/>
      <c r="W71" s="307"/>
      <c r="X71" s="313"/>
      <c r="Y71" s="313"/>
      <c r="Z71" s="313"/>
      <c r="AA71" s="313"/>
      <c r="AB71" s="313"/>
      <c r="AC71" s="313"/>
      <c r="AD71" s="313"/>
      <c r="AE71" s="313"/>
      <c r="AF71" s="313"/>
      <c r="AG71" s="313"/>
      <c r="AH71" s="313"/>
      <c r="AI71" s="313"/>
      <c r="AJ71" s="313"/>
      <c r="AK71" s="313"/>
      <c r="AL71" s="2618"/>
      <c r="AM71" s="313"/>
      <c r="AN71" s="2554"/>
      <c r="AO71" s="2298"/>
    </row>
    <row r="72" spans="1:41" ht="15.75" customHeight="1" x14ac:dyDescent="0.25">
      <c r="A72" s="1209"/>
      <c r="B72" s="1209"/>
      <c r="C72" s="307"/>
      <c r="D72" s="310"/>
      <c r="E72" s="310"/>
      <c r="F72" s="310"/>
      <c r="G72" s="310"/>
      <c r="H72" s="310"/>
      <c r="I72" s="310"/>
      <c r="J72" s="310"/>
      <c r="K72" s="310"/>
      <c r="L72" s="310"/>
      <c r="M72" s="310"/>
      <c r="N72" s="310"/>
      <c r="O72" s="310"/>
      <c r="P72" s="310"/>
      <c r="Q72" s="307"/>
      <c r="R72" s="307"/>
      <c r="S72" s="307"/>
      <c r="T72" s="307"/>
      <c r="U72" s="307"/>
      <c r="V72" s="307"/>
      <c r="W72" s="307"/>
      <c r="X72" s="313"/>
      <c r="Y72" s="313"/>
      <c r="Z72" s="313"/>
      <c r="AA72" s="313"/>
      <c r="AB72" s="313"/>
      <c r="AC72" s="313"/>
      <c r="AD72" s="313"/>
      <c r="AE72" s="313"/>
      <c r="AF72" s="313"/>
      <c r="AG72" s="313"/>
      <c r="AH72" s="313"/>
      <c r="AI72" s="313"/>
      <c r="AJ72" s="313"/>
      <c r="AK72" s="313"/>
      <c r="AL72" s="2618"/>
      <c r="AM72" s="313"/>
      <c r="AN72" s="2554"/>
      <c r="AO72" s="2298"/>
    </row>
    <row r="73" spans="1:41" ht="15.75" customHeight="1" x14ac:dyDescent="0.25">
      <c r="A73" s="1209"/>
      <c r="B73" s="1209"/>
      <c r="C73" s="307"/>
      <c r="D73" s="310"/>
      <c r="E73" s="310"/>
      <c r="F73" s="310"/>
      <c r="G73" s="310"/>
      <c r="H73" s="310"/>
      <c r="I73" s="310"/>
      <c r="J73" s="310"/>
      <c r="K73" s="310"/>
      <c r="L73" s="310"/>
      <c r="M73" s="310"/>
      <c r="N73" s="310"/>
      <c r="O73" s="310"/>
      <c r="P73" s="310"/>
      <c r="Q73" s="307"/>
      <c r="R73" s="307"/>
      <c r="S73" s="307"/>
      <c r="T73" s="307"/>
      <c r="U73" s="307"/>
      <c r="V73" s="307"/>
      <c r="W73" s="307"/>
      <c r="X73" s="313"/>
      <c r="Y73" s="313"/>
      <c r="Z73" s="313"/>
      <c r="AA73" s="313"/>
      <c r="AB73" s="313"/>
      <c r="AC73" s="313"/>
      <c r="AD73" s="313"/>
      <c r="AE73" s="313"/>
      <c r="AF73" s="313"/>
      <c r="AG73" s="313"/>
      <c r="AH73" s="313"/>
      <c r="AI73" s="313"/>
      <c r="AJ73" s="313"/>
      <c r="AK73" s="313"/>
      <c r="AL73" s="2618"/>
      <c r="AM73" s="313"/>
      <c r="AN73" s="2554"/>
      <c r="AO73" s="2298"/>
    </row>
    <row r="74" spans="1:41" ht="15.75" customHeight="1" x14ac:dyDescent="0.25">
      <c r="A74" s="1209"/>
      <c r="B74" s="1209"/>
      <c r="C74" s="307"/>
      <c r="D74" s="310"/>
      <c r="E74" s="310"/>
      <c r="F74" s="310"/>
      <c r="G74" s="310"/>
      <c r="H74" s="310"/>
      <c r="I74" s="310"/>
      <c r="J74" s="310"/>
      <c r="K74" s="310"/>
      <c r="L74" s="310"/>
      <c r="M74" s="310"/>
      <c r="N74" s="310"/>
      <c r="O74" s="310"/>
      <c r="P74" s="310"/>
      <c r="Q74" s="307"/>
      <c r="R74" s="307"/>
      <c r="S74" s="307"/>
      <c r="T74" s="307"/>
      <c r="U74" s="307"/>
      <c r="V74" s="307"/>
      <c r="W74" s="307"/>
      <c r="X74" s="313"/>
      <c r="Y74" s="313"/>
      <c r="Z74" s="313"/>
      <c r="AA74" s="313"/>
      <c r="AB74" s="313"/>
      <c r="AC74" s="313"/>
      <c r="AD74" s="313"/>
      <c r="AE74" s="313"/>
      <c r="AF74" s="313"/>
      <c r="AG74" s="313"/>
      <c r="AH74" s="313"/>
      <c r="AI74" s="313"/>
      <c r="AJ74" s="313"/>
      <c r="AK74" s="313"/>
      <c r="AL74" s="2618"/>
      <c r="AM74" s="313"/>
      <c r="AN74" s="2554"/>
      <c r="AO74" s="2298"/>
    </row>
    <row r="75" spans="1:41" ht="15.75" customHeight="1" x14ac:dyDescent="0.25">
      <c r="A75" s="1209"/>
      <c r="B75" s="1209"/>
      <c r="C75" s="307"/>
      <c r="D75" s="310"/>
      <c r="E75" s="310"/>
      <c r="F75" s="310"/>
      <c r="G75" s="310"/>
      <c r="H75" s="310"/>
      <c r="I75" s="310"/>
      <c r="J75" s="310"/>
      <c r="K75" s="310"/>
      <c r="L75" s="310"/>
      <c r="M75" s="310"/>
      <c r="N75" s="310"/>
      <c r="O75" s="310"/>
      <c r="P75" s="310"/>
      <c r="Q75" s="307"/>
      <c r="R75" s="307"/>
      <c r="S75" s="307"/>
      <c r="T75" s="307"/>
      <c r="U75" s="307"/>
      <c r="V75" s="307"/>
      <c r="W75" s="307"/>
      <c r="X75" s="313"/>
      <c r="Y75" s="313"/>
      <c r="Z75" s="313"/>
      <c r="AA75" s="313"/>
      <c r="AB75" s="313"/>
      <c r="AC75" s="313"/>
      <c r="AD75" s="313"/>
      <c r="AE75" s="313"/>
      <c r="AF75" s="313"/>
      <c r="AG75" s="313"/>
      <c r="AH75" s="313"/>
      <c r="AI75" s="313"/>
      <c r="AJ75" s="313"/>
      <c r="AK75" s="313"/>
      <c r="AL75" s="2618"/>
      <c r="AM75" s="313"/>
      <c r="AN75" s="2554"/>
      <c r="AO75" s="2298"/>
    </row>
    <row r="76" spans="1:41" ht="15.75" customHeight="1" x14ac:dyDescent="0.25">
      <c r="A76" s="1209"/>
      <c r="B76" s="1209"/>
      <c r="C76" s="302" t="s">
        <v>208</v>
      </c>
      <c r="D76" s="310"/>
      <c r="E76" s="310"/>
      <c r="F76" s="310"/>
      <c r="G76" s="310"/>
      <c r="H76" s="310"/>
      <c r="I76" s="310"/>
      <c r="J76" s="310"/>
      <c r="K76" s="310"/>
      <c r="L76" s="310"/>
      <c r="M76" s="310"/>
      <c r="N76" s="310"/>
      <c r="O76" s="310"/>
      <c r="P76" s="310"/>
      <c r="Q76" s="307"/>
      <c r="R76" s="307"/>
      <c r="S76" s="307"/>
      <c r="T76" s="307"/>
      <c r="U76" s="307"/>
      <c r="V76" s="307"/>
      <c r="W76" s="307"/>
      <c r="X76" s="313"/>
      <c r="Y76" s="313"/>
      <c r="Z76" s="313"/>
      <c r="AA76" s="313"/>
      <c r="AB76" s="313"/>
      <c r="AC76" s="313"/>
      <c r="AD76" s="313"/>
      <c r="AE76" s="313"/>
      <c r="AF76" s="313"/>
      <c r="AG76" s="313"/>
      <c r="AH76" s="313"/>
      <c r="AI76" s="313"/>
      <c r="AJ76" s="313"/>
      <c r="AK76" s="313"/>
      <c r="AL76" s="2618"/>
      <c r="AM76" s="313"/>
      <c r="AN76" s="2554"/>
      <c r="AO76" s="2298"/>
    </row>
    <row r="77" spans="1:41" ht="15.75" customHeight="1" x14ac:dyDescent="0.25">
      <c r="A77" s="1209"/>
      <c r="B77" s="1209"/>
      <c r="C77" s="307" t="s">
        <v>209</v>
      </c>
      <c r="D77" s="310"/>
      <c r="E77" s="310" t="str">
        <f>+'Data Input sheet'!D19&amp;" , "&amp;'Data Input sheet'!D20</f>
        <v>21D - EMA , Station work</v>
      </c>
      <c r="F77" s="310"/>
      <c r="G77" s="310"/>
      <c r="H77" s="310"/>
      <c r="I77" s="310"/>
      <c r="J77" s="310"/>
      <c r="K77" s="310"/>
      <c r="L77" s="310"/>
      <c r="M77" s="310"/>
      <c r="N77" s="310"/>
      <c r="O77" s="310"/>
      <c r="P77" s="310"/>
      <c r="Q77" s="307"/>
      <c r="R77" s="307"/>
      <c r="S77" s="307"/>
      <c r="T77" s="307"/>
      <c r="U77" s="307"/>
      <c r="V77" s="307"/>
      <c r="W77" s="307"/>
      <c r="X77" s="313"/>
      <c r="Y77" s="313"/>
      <c r="Z77" s="313"/>
      <c r="AA77" s="313"/>
      <c r="AB77" s="313"/>
      <c r="AC77" s="313"/>
      <c r="AD77" s="313"/>
      <c r="AE77" s="313"/>
      <c r="AF77" s="313"/>
      <c r="AG77" s="313"/>
      <c r="AH77" s="313"/>
      <c r="AI77" s="313"/>
      <c r="AJ77" s="313"/>
      <c r="AK77" s="313"/>
      <c r="AL77" s="2618"/>
      <c r="AM77" s="313"/>
      <c r="AN77" s="2554"/>
      <c r="AO77" s="2298"/>
    </row>
    <row r="78" spans="1:41" ht="15.75" customHeight="1" x14ac:dyDescent="0.25">
      <c r="A78" s="1210"/>
      <c r="B78" s="1210"/>
      <c r="C78" s="307"/>
      <c r="D78" s="310"/>
      <c r="E78" s="310"/>
      <c r="F78" s="310"/>
      <c r="G78" s="310"/>
      <c r="H78" s="310"/>
      <c r="I78" s="310"/>
      <c r="J78" s="310"/>
      <c r="K78" s="310"/>
      <c r="L78" s="310"/>
      <c r="M78" s="310"/>
      <c r="N78" s="310"/>
      <c r="O78" s="310"/>
      <c r="P78" s="310"/>
      <c r="Q78" s="307"/>
      <c r="R78" s="307"/>
      <c r="S78" s="307"/>
      <c r="T78" s="307"/>
      <c r="U78" s="307"/>
      <c r="V78" s="307"/>
      <c r="W78" s="307"/>
      <c r="X78" s="313"/>
      <c r="Y78" s="313"/>
      <c r="Z78" s="313"/>
      <c r="AA78" s="313"/>
      <c r="AB78" s="313"/>
      <c r="AC78" s="313"/>
      <c r="AD78" s="313"/>
      <c r="AE78" s="313"/>
      <c r="AF78" s="313"/>
      <c r="AG78" s="313"/>
      <c r="AH78" s="313"/>
      <c r="AI78" s="313"/>
      <c r="AJ78" s="313"/>
      <c r="AK78" s="313"/>
      <c r="AL78" s="2618"/>
      <c r="AM78" s="313"/>
      <c r="AN78" s="2554"/>
      <c r="AO78" s="2298"/>
    </row>
    <row r="79" spans="1:41" ht="15.75" customHeight="1" x14ac:dyDescent="0.25">
      <c r="A79" s="1210"/>
      <c r="B79" s="1210"/>
      <c r="C79" s="307"/>
      <c r="D79" s="311"/>
      <c r="E79" s="307"/>
      <c r="F79" s="307"/>
      <c r="G79" s="307"/>
      <c r="H79" s="307"/>
      <c r="I79" s="307"/>
      <c r="J79" s="307"/>
      <c r="K79" s="307"/>
      <c r="L79" s="307"/>
      <c r="M79" s="307"/>
      <c r="N79" s="1211"/>
      <c r="O79" s="307"/>
      <c r="P79" s="307"/>
      <c r="Q79" s="1212"/>
      <c r="R79" s="307"/>
      <c r="S79" s="307"/>
      <c r="T79" s="307"/>
      <c r="U79" s="307"/>
      <c r="V79" s="307"/>
      <c r="W79" s="307"/>
      <c r="X79" s="313"/>
      <c r="Y79" s="313"/>
      <c r="Z79" s="313"/>
      <c r="AA79" s="313"/>
      <c r="AB79" s="313"/>
      <c r="AC79" s="313"/>
      <c r="AD79" s="313"/>
      <c r="AE79" s="313"/>
      <c r="AF79" s="313"/>
      <c r="AG79" s="313"/>
      <c r="AH79" s="313"/>
      <c r="AI79" s="313"/>
      <c r="AJ79" s="313"/>
      <c r="AK79" s="313"/>
      <c r="AL79" s="2619"/>
      <c r="AM79" s="2620"/>
      <c r="AN79" s="2554"/>
      <c r="AO79" s="2298"/>
    </row>
    <row r="80" spans="1:41" ht="15.75" customHeight="1" x14ac:dyDescent="0.25">
      <c r="A80" s="1213"/>
      <c r="B80" s="1213"/>
      <c r="C80" s="307"/>
      <c r="D80" s="310"/>
      <c r="E80" s="310"/>
      <c r="F80" s="310"/>
      <c r="G80" s="310"/>
      <c r="H80" s="310"/>
      <c r="I80" s="310"/>
      <c r="J80" s="310"/>
      <c r="K80" s="310"/>
      <c r="L80" s="310"/>
      <c r="M80" s="310"/>
      <c r="N80" s="310"/>
      <c r="O80" s="310"/>
      <c r="P80" s="310"/>
      <c r="Q80" s="310"/>
      <c r="R80" s="310"/>
      <c r="S80" s="310"/>
      <c r="T80" s="310"/>
      <c r="U80" s="310"/>
      <c r="V80" s="310"/>
      <c r="W80" s="310"/>
      <c r="X80" s="2621"/>
      <c r="Y80" s="2621"/>
      <c r="Z80" s="2621"/>
      <c r="AA80" s="2621"/>
      <c r="AB80" s="2621"/>
      <c r="AC80" s="2621"/>
      <c r="AD80" s="2621"/>
      <c r="AE80" s="2621"/>
      <c r="AF80" s="2621"/>
      <c r="AG80" s="2621"/>
      <c r="AH80" s="2621"/>
      <c r="AI80" s="2621"/>
      <c r="AJ80" s="2621"/>
      <c r="AK80" s="2621"/>
      <c r="AL80" s="2622"/>
      <c r="AM80" s="2621"/>
      <c r="AN80" s="2554"/>
      <c r="AO80" s="2298"/>
    </row>
    <row r="81" spans="1:41" ht="15.75" customHeight="1" x14ac:dyDescent="0.25">
      <c r="A81" s="1214"/>
      <c r="B81" s="1214"/>
      <c r="C81" s="307"/>
      <c r="D81" s="310"/>
      <c r="E81" s="310"/>
      <c r="F81" s="310"/>
      <c r="G81" s="310"/>
      <c r="H81" s="310"/>
      <c r="I81" s="310"/>
      <c r="J81" s="310"/>
      <c r="K81" s="310"/>
      <c r="L81" s="310"/>
      <c r="M81" s="310"/>
      <c r="N81" s="310"/>
      <c r="O81" s="310"/>
      <c r="P81" s="310"/>
      <c r="Q81" s="310"/>
      <c r="R81" s="310"/>
      <c r="S81" s="310"/>
      <c r="T81" s="310"/>
      <c r="U81" s="310"/>
      <c r="V81" s="310"/>
      <c r="W81" s="310"/>
      <c r="X81" s="2621"/>
      <c r="Y81" s="2621"/>
      <c r="Z81" s="2621"/>
      <c r="AA81" s="2621"/>
      <c r="AB81" s="2621"/>
      <c r="AC81" s="2621"/>
      <c r="AD81" s="2621"/>
      <c r="AE81" s="2621"/>
      <c r="AF81" s="2621"/>
      <c r="AG81" s="2621"/>
      <c r="AH81" s="2621"/>
      <c r="AI81" s="2621"/>
      <c r="AJ81" s="2621"/>
      <c r="AK81" s="2621"/>
      <c r="AL81" s="2622"/>
      <c r="AM81" s="2621"/>
      <c r="AN81" s="2554"/>
      <c r="AO81" s="2298"/>
    </row>
    <row r="82" spans="1:41" ht="15.75" customHeight="1" x14ac:dyDescent="0.25">
      <c r="A82" s="1214"/>
      <c r="B82" s="1214"/>
      <c r="C82" s="307"/>
      <c r="D82" s="310"/>
      <c r="E82" s="310"/>
      <c r="F82" s="310"/>
      <c r="G82" s="310"/>
      <c r="H82" s="310"/>
      <c r="I82" s="310"/>
      <c r="J82" s="310"/>
      <c r="K82" s="310"/>
      <c r="L82" s="310"/>
      <c r="M82" s="310"/>
      <c r="N82" s="310"/>
      <c r="O82" s="310"/>
      <c r="P82" s="310"/>
      <c r="Q82" s="310"/>
      <c r="R82" s="310"/>
      <c r="S82" s="310"/>
      <c r="T82" s="310"/>
      <c r="U82" s="310"/>
      <c r="V82" s="310"/>
      <c r="W82" s="310"/>
      <c r="X82" s="2621"/>
      <c r="Y82" s="2621"/>
      <c r="Z82" s="2621"/>
      <c r="AA82" s="2621"/>
      <c r="AB82" s="2621"/>
      <c r="AC82" s="2621"/>
      <c r="AD82" s="2621"/>
      <c r="AE82" s="2621"/>
      <c r="AF82" s="2621"/>
      <c r="AG82" s="2621"/>
      <c r="AH82" s="2621"/>
      <c r="AI82" s="2621"/>
      <c r="AJ82" s="2621"/>
      <c r="AK82" s="2621"/>
      <c r="AL82" s="2622"/>
      <c r="AM82" s="2621"/>
      <c r="AN82" s="2554"/>
      <c r="AO82" s="2298"/>
    </row>
    <row r="83" spans="1:41" ht="15.75" customHeight="1" x14ac:dyDescent="0.25">
      <c r="A83" s="1215"/>
      <c r="B83" s="1215"/>
      <c r="C83" s="307"/>
      <c r="D83" s="310"/>
      <c r="E83" s="310"/>
      <c r="F83" s="310"/>
      <c r="G83" s="310"/>
      <c r="H83" s="310"/>
      <c r="I83" s="310"/>
      <c r="J83" s="310"/>
      <c r="K83" s="310"/>
      <c r="L83" s="310"/>
      <c r="M83" s="310"/>
      <c r="N83" s="310"/>
      <c r="O83" s="310"/>
      <c r="P83" s="310"/>
      <c r="Q83" s="310"/>
      <c r="R83" s="310"/>
      <c r="S83" s="310"/>
      <c r="T83" s="310"/>
      <c r="U83" s="310"/>
      <c r="V83" s="310"/>
      <c r="W83" s="310"/>
      <c r="X83" s="2621"/>
      <c r="Y83" s="2621"/>
      <c r="Z83" s="2621"/>
      <c r="AA83" s="2621"/>
      <c r="AB83" s="2621"/>
      <c r="AC83" s="2621"/>
      <c r="AD83" s="2621"/>
      <c r="AE83" s="2621"/>
      <c r="AF83" s="2621"/>
      <c r="AG83" s="2621"/>
      <c r="AH83" s="2621"/>
      <c r="AI83" s="2621"/>
      <c r="AJ83" s="2621"/>
      <c r="AK83" s="2621"/>
      <c r="AL83" s="2622"/>
      <c r="AM83" s="2621"/>
      <c r="AN83" s="2554"/>
      <c r="AO83" s="2298"/>
    </row>
    <row r="84" spans="1:41" ht="15.75" customHeight="1" x14ac:dyDescent="0.25">
      <c r="A84" s="1215"/>
      <c r="B84" s="1215"/>
      <c r="C84" s="304"/>
      <c r="D84" s="309"/>
      <c r="E84" s="310"/>
      <c r="F84" s="310"/>
      <c r="G84" s="310"/>
      <c r="H84" s="310"/>
      <c r="I84" s="310"/>
      <c r="J84" s="310"/>
      <c r="K84" s="310"/>
      <c r="L84" s="310"/>
      <c r="M84" s="310"/>
      <c r="N84" s="310"/>
      <c r="O84" s="310"/>
      <c r="P84" s="310"/>
      <c r="Q84" s="310"/>
      <c r="R84" s="310"/>
      <c r="S84" s="310"/>
      <c r="T84" s="310"/>
      <c r="U84" s="310"/>
      <c r="V84" s="310"/>
      <c r="W84" s="310"/>
      <c r="X84" s="2621"/>
      <c r="Y84" s="2621"/>
      <c r="Z84" s="2621"/>
      <c r="AA84" s="2621"/>
      <c r="AB84" s="2621"/>
      <c r="AC84" s="2621"/>
      <c r="AD84" s="2621"/>
      <c r="AE84" s="2621"/>
      <c r="AF84" s="2621"/>
      <c r="AG84" s="2621"/>
      <c r="AH84" s="2621"/>
      <c r="AI84" s="2621"/>
      <c r="AJ84" s="2621"/>
      <c r="AK84" s="2621"/>
      <c r="AL84" s="2622"/>
      <c r="AM84" s="2621"/>
      <c r="AN84" s="2554"/>
      <c r="AO84" s="2298"/>
    </row>
    <row r="85" spans="1:41" ht="15.75" customHeight="1" x14ac:dyDescent="0.25">
      <c r="A85" s="1213"/>
      <c r="B85" s="1213"/>
      <c r="C85" s="307" t="s">
        <v>96</v>
      </c>
      <c r="D85" s="312"/>
      <c r="E85" s="310"/>
      <c r="F85" s="310"/>
      <c r="G85" s="310"/>
      <c r="H85" s="310"/>
      <c r="I85" s="310"/>
      <c r="J85" s="310"/>
      <c r="K85" s="310"/>
      <c r="L85" s="310"/>
      <c r="M85" s="310"/>
      <c r="N85" s="310"/>
      <c r="O85" s="310"/>
      <c r="P85" s="310"/>
      <c r="Q85" s="310"/>
      <c r="R85" s="310"/>
      <c r="S85" s="310"/>
      <c r="T85" s="310"/>
      <c r="U85" s="310"/>
      <c r="V85" s="310"/>
      <c r="W85" s="310"/>
      <c r="X85" s="2621"/>
      <c r="Y85" s="2621"/>
      <c r="Z85" s="2621"/>
      <c r="AA85" s="2621"/>
      <c r="AB85" s="2621"/>
      <c r="AC85" s="2621"/>
      <c r="AD85" s="2621"/>
      <c r="AE85" s="2621"/>
      <c r="AF85" s="2621"/>
      <c r="AG85" s="2621"/>
      <c r="AH85" s="2621"/>
      <c r="AI85" s="2621"/>
      <c r="AJ85" s="2621"/>
      <c r="AK85" s="2621"/>
      <c r="AL85" s="2622"/>
      <c r="AM85" s="2621"/>
      <c r="AN85" s="2554"/>
      <c r="AO85" s="2298"/>
    </row>
    <row r="86" spans="1:41" ht="15.75" customHeight="1" x14ac:dyDescent="0.25">
      <c r="A86" s="1213"/>
      <c r="B86" s="1213"/>
      <c r="C86" s="307" t="s">
        <v>96</v>
      </c>
      <c r="D86" s="309"/>
      <c r="E86" s="310"/>
      <c r="F86" s="310"/>
      <c r="G86" s="310"/>
      <c r="H86" s="310"/>
      <c r="I86" s="310"/>
      <c r="J86" s="310"/>
      <c r="K86" s="310"/>
      <c r="L86" s="310"/>
      <c r="M86" s="310"/>
      <c r="N86" s="310"/>
      <c r="O86" s="310"/>
      <c r="P86" s="310"/>
      <c r="Q86" s="310"/>
      <c r="R86" s="310"/>
      <c r="S86" s="310"/>
      <c r="T86" s="310"/>
      <c r="U86" s="310"/>
      <c r="V86" s="310"/>
      <c r="W86" s="310"/>
      <c r="X86" s="2621"/>
      <c r="Y86" s="2621"/>
      <c r="Z86" s="2621"/>
      <c r="AA86" s="2621"/>
      <c r="AB86" s="2621"/>
      <c r="AC86" s="2621"/>
      <c r="AD86" s="2621"/>
      <c r="AE86" s="2621"/>
      <c r="AF86" s="2621"/>
      <c r="AG86" s="2621"/>
      <c r="AH86" s="2621"/>
      <c r="AI86" s="2621"/>
      <c r="AJ86" s="2621"/>
      <c r="AK86" s="2621"/>
      <c r="AL86" s="2622"/>
      <c r="AM86" s="2621"/>
      <c r="AN86" s="2554"/>
      <c r="AO86" s="2298"/>
    </row>
    <row r="87" spans="1:41" ht="15.75" customHeight="1" x14ac:dyDescent="0.25">
      <c r="A87" s="1213"/>
      <c r="B87" s="1213"/>
      <c r="C87" s="307"/>
      <c r="D87" s="309"/>
      <c r="E87" s="310"/>
      <c r="F87" s="310"/>
      <c r="G87" s="310"/>
      <c r="H87" s="310"/>
      <c r="I87" s="310"/>
      <c r="J87" s="310"/>
      <c r="K87" s="310"/>
      <c r="L87" s="310"/>
      <c r="M87" s="310"/>
      <c r="N87" s="310"/>
      <c r="O87" s="310"/>
      <c r="P87" s="310"/>
      <c r="Q87" s="310"/>
      <c r="R87" s="310"/>
      <c r="S87" s="310"/>
      <c r="T87" s="310"/>
      <c r="U87" s="310"/>
      <c r="V87" s="310"/>
      <c r="W87" s="310"/>
      <c r="X87" s="2621"/>
      <c r="Y87" s="2621"/>
      <c r="Z87" s="2621"/>
      <c r="AA87" s="2621"/>
      <c r="AB87" s="2621"/>
      <c r="AC87" s="2621"/>
      <c r="AD87" s="2621"/>
      <c r="AE87" s="2621"/>
      <c r="AF87" s="2621"/>
      <c r="AG87" s="2621"/>
      <c r="AH87" s="2621"/>
      <c r="AI87" s="2621"/>
      <c r="AJ87" s="2621"/>
      <c r="AK87" s="2621"/>
      <c r="AL87" s="2622"/>
      <c r="AM87" s="2621"/>
      <c r="AN87" s="2554"/>
      <c r="AO87" s="2298"/>
    </row>
    <row r="88" spans="1:41" ht="15.75" customHeight="1" x14ac:dyDescent="0.25">
      <c r="A88" s="1213"/>
      <c r="B88" s="1213"/>
      <c r="C88" s="307"/>
      <c r="D88" s="309"/>
      <c r="E88" s="310"/>
      <c r="F88" s="310"/>
      <c r="G88" s="310"/>
      <c r="H88" s="310"/>
      <c r="I88" s="310"/>
      <c r="J88" s="310"/>
      <c r="K88" s="310"/>
      <c r="L88" s="310"/>
      <c r="M88" s="310"/>
      <c r="N88" s="310"/>
      <c r="O88" s="310"/>
      <c r="P88" s="310"/>
      <c r="Q88" s="310"/>
      <c r="R88" s="310"/>
      <c r="S88" s="310"/>
      <c r="T88" s="310"/>
      <c r="U88" s="310"/>
      <c r="V88" s="310"/>
      <c r="W88" s="310"/>
      <c r="X88" s="2621"/>
      <c r="Y88" s="2621"/>
      <c r="Z88" s="2621"/>
      <c r="AA88" s="2621"/>
      <c r="AB88" s="2621"/>
      <c r="AC88" s="2621"/>
      <c r="AD88" s="2621"/>
      <c r="AE88" s="2621"/>
      <c r="AF88" s="2621"/>
      <c r="AG88" s="2621"/>
      <c r="AH88" s="2621"/>
      <c r="AI88" s="2621"/>
      <c r="AJ88" s="2621"/>
      <c r="AK88" s="2621"/>
      <c r="AL88" s="2622"/>
      <c r="AM88" s="2621"/>
      <c r="AN88" s="2554"/>
      <c r="AO88" s="2298"/>
    </row>
    <row r="89" spans="1:41" ht="15.75" customHeight="1" x14ac:dyDescent="0.25">
      <c r="A89" s="1213"/>
      <c r="B89" s="1213"/>
      <c r="C89" s="307"/>
      <c r="D89" s="310"/>
      <c r="E89" s="310"/>
      <c r="F89" s="310"/>
      <c r="G89" s="310"/>
      <c r="H89" s="310"/>
      <c r="I89" s="310"/>
      <c r="J89" s="310"/>
      <c r="K89" s="310"/>
      <c r="L89" s="310"/>
      <c r="M89" s="310"/>
      <c r="N89" s="310"/>
      <c r="O89" s="310"/>
      <c r="P89" s="310"/>
      <c r="Q89" s="310"/>
      <c r="R89" s="310"/>
      <c r="S89" s="310"/>
      <c r="T89" s="310"/>
      <c r="U89" s="310"/>
      <c r="V89" s="310"/>
      <c r="W89" s="310"/>
      <c r="X89" s="2621"/>
      <c r="Y89" s="2621"/>
      <c r="Z89" s="2621"/>
      <c r="AA89" s="2621"/>
      <c r="AB89" s="2621"/>
      <c r="AC89" s="2621"/>
      <c r="AD89" s="2621"/>
      <c r="AE89" s="2621"/>
      <c r="AF89" s="2621"/>
      <c r="AG89" s="2621"/>
      <c r="AH89" s="2621"/>
      <c r="AI89" s="2621"/>
      <c r="AJ89" s="2621"/>
      <c r="AK89" s="2621"/>
      <c r="AL89" s="2622"/>
      <c r="AM89" s="2621"/>
      <c r="AN89" s="2554"/>
      <c r="AO89" s="2298"/>
    </row>
    <row r="90" spans="1:41" ht="15.75" customHeight="1" x14ac:dyDescent="0.25">
      <c r="A90" s="1213"/>
      <c r="B90" s="1213"/>
      <c r="C90" s="304" t="s">
        <v>210</v>
      </c>
      <c r="D90" s="310"/>
      <c r="E90" s="310"/>
      <c r="F90" s="310"/>
      <c r="G90" s="310"/>
      <c r="H90" s="310"/>
      <c r="I90" s="310"/>
      <c r="J90" s="310"/>
      <c r="K90" s="310"/>
      <c r="L90" s="310"/>
      <c r="M90" s="310"/>
      <c r="N90" s="310"/>
      <c r="O90" s="310"/>
      <c r="P90" s="310"/>
      <c r="Q90" s="310"/>
      <c r="R90" s="310"/>
      <c r="S90" s="310"/>
      <c r="T90" s="310"/>
      <c r="U90" s="310"/>
      <c r="V90" s="310"/>
      <c r="W90" s="310"/>
      <c r="X90" s="2621"/>
      <c r="Y90" s="2621"/>
      <c r="Z90" s="2621"/>
      <c r="AA90" s="2621"/>
      <c r="AB90" s="2621"/>
      <c r="AC90" s="2621"/>
      <c r="AD90" s="2621"/>
      <c r="AE90" s="2621"/>
      <c r="AF90" s="2621"/>
      <c r="AG90" s="2621"/>
      <c r="AH90" s="2621"/>
      <c r="AI90" s="2621"/>
      <c r="AJ90" s="2621"/>
      <c r="AK90" s="2621"/>
      <c r="AL90" s="2622"/>
      <c r="AM90" s="2621"/>
      <c r="AN90" s="2554"/>
      <c r="AO90" s="2298"/>
    </row>
    <row r="91" spans="1:41" ht="15.75" customHeight="1" x14ac:dyDescent="0.25">
      <c r="A91" s="1213"/>
      <c r="B91" s="1213"/>
      <c r="C91" s="2113" t="str">
        <f>+'Estimated Risks'!B6</f>
        <v>Potential UG Obstructions</v>
      </c>
      <c r="D91" s="2114"/>
      <c r="E91" s="2114"/>
      <c r="F91" s="2114"/>
      <c r="G91" s="2114"/>
      <c r="H91" s="1216">
        <f>IF(ISTEXT(C91),+'Estimated Risks'!E6,"  ")</f>
        <v>350000</v>
      </c>
      <c r="I91" s="310"/>
      <c r="J91" s="310"/>
      <c r="K91" s="310"/>
      <c r="L91" s="310"/>
      <c r="M91" s="310"/>
      <c r="N91" s="307">
        <f>+'Estimated Risks'!B13</f>
        <v>0</v>
      </c>
      <c r="O91" s="310"/>
      <c r="P91" s="310"/>
      <c r="Q91" s="310"/>
      <c r="R91" s="310"/>
      <c r="S91" s="310"/>
      <c r="T91" s="310"/>
      <c r="U91" s="310"/>
      <c r="V91" s="310"/>
      <c r="W91" s="1216" t="str">
        <f>IF(ISTEXT(N91),+'Estimated Risks'!E13,"  ")</f>
        <v xml:space="preserve">  </v>
      </c>
      <c r="X91" s="2621"/>
      <c r="Y91" s="2621"/>
      <c r="Z91" s="2621"/>
      <c r="AA91" s="2621"/>
      <c r="AB91" s="2621"/>
      <c r="AC91" s="2621"/>
      <c r="AD91" s="2621"/>
      <c r="AE91" s="2621"/>
      <c r="AF91" s="2621"/>
      <c r="AG91" s="2621"/>
      <c r="AH91" s="2621"/>
      <c r="AI91" s="2621"/>
      <c r="AJ91" s="2621"/>
      <c r="AK91" s="2621"/>
      <c r="AL91" s="2622"/>
      <c r="AM91" s="2621"/>
      <c r="AN91" s="2554"/>
      <c r="AO91" s="2298"/>
    </row>
    <row r="92" spans="1:41" ht="15.75" customHeight="1" x14ac:dyDescent="0.25">
      <c r="A92" s="1213"/>
      <c r="B92" s="1213"/>
      <c r="C92" s="2113" t="str">
        <f>+'Estimated Risks'!B7</f>
        <v>Severe Weather, Delays, OT</v>
      </c>
      <c r="D92" s="2114"/>
      <c r="E92" s="2114"/>
      <c r="F92" s="2114"/>
      <c r="G92" s="2114"/>
      <c r="H92" s="1216">
        <f>IF(ISTEXT(C92),+'Estimated Risks'!E7,"  ")</f>
        <v>900000</v>
      </c>
      <c r="I92" s="1216"/>
      <c r="J92" s="310"/>
      <c r="K92" s="310"/>
      <c r="L92" s="310"/>
      <c r="M92" s="310"/>
      <c r="N92" s="307">
        <f>+'Estimated Risks'!B14</f>
        <v>0</v>
      </c>
      <c r="O92" s="310"/>
      <c r="P92" s="310"/>
      <c r="Q92" s="307"/>
      <c r="R92" s="310"/>
      <c r="S92" s="310"/>
      <c r="T92" s="310"/>
      <c r="U92" s="310"/>
      <c r="V92" s="310"/>
      <c r="W92" s="1216" t="str">
        <f>IF(ISTEXT(N92),+'Estimated Risks'!E14,"  ")</f>
        <v xml:space="preserve">  </v>
      </c>
      <c r="X92" s="2621"/>
      <c r="Y92" s="2621"/>
      <c r="Z92" s="2621"/>
      <c r="AA92" s="2621"/>
      <c r="AB92" s="2621"/>
      <c r="AC92" s="2621"/>
      <c r="AD92" s="2621"/>
      <c r="AE92" s="2621"/>
      <c r="AF92" s="2621"/>
      <c r="AG92" s="2621"/>
      <c r="AH92" s="2621"/>
      <c r="AI92" s="2621"/>
      <c r="AJ92" s="2621"/>
      <c r="AK92" s="2621"/>
      <c r="AL92" s="2622"/>
      <c r="AM92" s="2621"/>
      <c r="AN92" s="2554"/>
      <c r="AO92" s="2298"/>
    </row>
    <row r="93" spans="1:41" ht="15.75" customHeight="1" x14ac:dyDescent="0.25">
      <c r="A93" s="1214"/>
      <c r="B93" s="1214"/>
      <c r="C93" s="2113" t="str">
        <f>+'Estimated Risks'!B8</f>
        <v>Design development</v>
      </c>
      <c r="D93" s="2114"/>
      <c r="E93" s="2114"/>
      <c r="F93" s="2114"/>
      <c r="G93" s="2114"/>
      <c r="H93" s="1216">
        <f>IF(ISTEXT(C93),+'Estimated Risks'!E8,"  ")</f>
        <v>500000</v>
      </c>
      <c r="I93" s="1216"/>
      <c r="J93" s="310"/>
      <c r="K93" s="310"/>
      <c r="L93" s="310"/>
      <c r="M93" s="310"/>
      <c r="N93" s="307">
        <f>+'Estimated Risks'!B15</f>
        <v>0</v>
      </c>
      <c r="O93" s="310"/>
      <c r="P93" s="310"/>
      <c r="Q93" s="310"/>
      <c r="R93" s="310"/>
      <c r="S93" s="310"/>
      <c r="T93" s="310"/>
      <c r="U93" s="310"/>
      <c r="V93" s="310"/>
      <c r="W93" s="1216" t="str">
        <f>IF(ISTEXT(N93),+'Estimated Risks'!E15,"  ")</f>
        <v xml:space="preserve">  </v>
      </c>
      <c r="X93" s="2621"/>
      <c r="Y93" s="2621"/>
      <c r="Z93" s="2621"/>
      <c r="AA93" s="2621"/>
      <c r="AB93" s="2621"/>
      <c r="AC93" s="2621"/>
      <c r="AD93" s="2621"/>
      <c r="AE93" s="2621"/>
      <c r="AF93" s="2621"/>
      <c r="AG93" s="2621"/>
      <c r="AH93" s="2621"/>
      <c r="AI93" s="2621"/>
      <c r="AJ93" s="2621"/>
      <c r="AK93" s="2621"/>
      <c r="AL93" s="2622"/>
      <c r="AM93" s="2621"/>
      <c r="AN93" s="2554"/>
      <c r="AO93" s="2298"/>
    </row>
    <row r="94" spans="1:41" ht="15.75" customHeight="1" x14ac:dyDescent="0.25">
      <c r="A94" s="1214"/>
      <c r="B94" s="1214"/>
      <c r="C94" s="2113" t="str">
        <f>+'Estimated Risks'!B9</f>
        <v>Additional outreach</v>
      </c>
      <c r="D94" s="2114"/>
      <c r="E94" s="2114"/>
      <c r="F94" s="2114"/>
      <c r="G94" s="2114"/>
      <c r="H94" s="1216">
        <f>IF(ISTEXT(C94),+'Estimated Risks'!E9,"  ")</f>
        <v>700000</v>
      </c>
      <c r="I94" s="1216"/>
      <c r="J94" s="313"/>
      <c r="K94" s="313"/>
      <c r="L94" s="313"/>
      <c r="M94" s="313"/>
      <c r="N94" s="307">
        <f>+'Estimated Risks'!B16</f>
        <v>0</v>
      </c>
      <c r="O94" s="313"/>
      <c r="P94" s="313"/>
      <c r="Q94" s="307"/>
      <c r="R94" s="314"/>
      <c r="S94" s="314"/>
      <c r="T94" s="315"/>
      <c r="U94" s="315"/>
      <c r="V94" s="315"/>
      <c r="W94" s="1216" t="str">
        <f>IF(ISTEXT(N94),+'Estimated Risks'!E16,"  ")</f>
        <v xml:space="preserve">  </v>
      </c>
      <c r="X94" s="315"/>
      <c r="Y94" s="315"/>
      <c r="Z94" s="315"/>
      <c r="AA94" s="315"/>
      <c r="AB94" s="315"/>
      <c r="AC94" s="315"/>
      <c r="AD94" s="315"/>
      <c r="AE94" s="315"/>
      <c r="AF94" s="315"/>
      <c r="AG94" s="315"/>
      <c r="AH94" s="315"/>
      <c r="AI94" s="315"/>
      <c r="AJ94" s="315"/>
      <c r="AK94" s="315"/>
      <c r="AL94" s="2618"/>
      <c r="AM94" s="313"/>
      <c r="AN94" s="2554"/>
      <c r="AO94" s="2298"/>
    </row>
    <row r="95" spans="1:41" ht="15.6" customHeight="1" x14ac:dyDescent="0.25">
      <c r="A95" s="1214"/>
      <c r="B95" s="1214"/>
      <c r="C95" s="2113" t="str">
        <f>+'Estimated Risks'!B10</f>
        <v>Additional Siting costs</v>
      </c>
      <c r="D95" s="2114"/>
      <c r="E95" s="2114"/>
      <c r="F95" s="2114"/>
      <c r="G95" s="2114"/>
      <c r="H95" s="1216">
        <f>IF(ISTEXT(C95),+'Estimated Risks'!E10,"  ")</f>
        <v>550000</v>
      </c>
      <c r="I95" s="1216"/>
      <c r="J95" s="310"/>
      <c r="K95" s="310"/>
      <c r="L95" s="310"/>
      <c r="M95" s="310"/>
      <c r="N95" s="307">
        <f>+'Estimated Risks'!B17</f>
        <v>0</v>
      </c>
      <c r="O95" s="310"/>
      <c r="P95" s="310"/>
      <c r="Q95" s="310"/>
      <c r="R95" s="310"/>
      <c r="S95" s="310"/>
      <c r="T95" s="310"/>
      <c r="U95" s="310"/>
      <c r="V95" s="310"/>
      <c r="W95" s="1216" t="str">
        <f>IF(ISTEXT(N95),+'Estimated Risks'!E17,"  ")</f>
        <v xml:space="preserve">  </v>
      </c>
      <c r="X95" s="2621"/>
      <c r="Y95" s="2621"/>
      <c r="Z95" s="2621"/>
      <c r="AA95" s="2621"/>
      <c r="AB95" s="2621"/>
      <c r="AC95" s="2621"/>
      <c r="AD95" s="2621"/>
      <c r="AE95" s="2621"/>
      <c r="AF95" s="2621"/>
      <c r="AG95" s="2621"/>
      <c r="AH95" s="2621"/>
      <c r="AI95" s="2621"/>
      <c r="AJ95" s="2621"/>
      <c r="AK95" s="2621"/>
      <c r="AL95" s="2622"/>
      <c r="AM95" s="2621"/>
      <c r="AN95" s="2554"/>
      <c r="AO95" s="2298"/>
    </row>
    <row r="96" spans="1:41" ht="15.75" customHeight="1" x14ac:dyDescent="0.25">
      <c r="A96" s="1214"/>
      <c r="B96" s="1214"/>
      <c r="C96" s="2113" t="str">
        <f>+'Estimated Risks'!B11</f>
        <v>Additional Environmental costs</v>
      </c>
      <c r="D96" s="2114"/>
      <c r="E96" s="2114"/>
      <c r="F96" s="2114"/>
      <c r="G96" s="2114"/>
      <c r="H96" s="1216">
        <f>IF(ISTEXT(C96),+'Estimated Risks'!E11,"  ")</f>
        <v>450000</v>
      </c>
      <c r="I96" s="1216"/>
      <c r="J96" s="307"/>
      <c r="K96" s="304"/>
      <c r="L96" s="304"/>
      <c r="M96" s="304"/>
      <c r="N96" s="307">
        <f>+'Estimated Risks'!B18</f>
        <v>0</v>
      </c>
      <c r="O96" s="2806"/>
      <c r="P96" s="2806"/>
      <c r="Q96" s="2806"/>
      <c r="R96" s="2806"/>
      <c r="S96" s="2806"/>
      <c r="T96" s="2806"/>
      <c r="U96" s="310"/>
      <c r="V96" s="310"/>
      <c r="W96" s="1216" t="str">
        <f>IF(ISTEXT(N96),+'Estimated Risks'!E18,"  ")</f>
        <v xml:space="preserve">  </v>
      </c>
      <c r="X96" s="2621"/>
      <c r="Y96" s="2621"/>
      <c r="Z96" s="2621"/>
      <c r="AA96" s="2621"/>
      <c r="AB96" s="2621"/>
      <c r="AC96" s="2621"/>
      <c r="AD96" s="2621"/>
      <c r="AE96" s="2621"/>
      <c r="AF96" s="2621"/>
      <c r="AG96" s="2621"/>
      <c r="AH96" s="2621"/>
      <c r="AI96" s="2621"/>
      <c r="AJ96" s="2621"/>
      <c r="AK96" s="2621"/>
      <c r="AL96" s="2622"/>
      <c r="AM96" s="2621"/>
      <c r="AN96" s="2554"/>
      <c r="AO96" s="2298"/>
    </row>
    <row r="97" spans="1:41" ht="15.75" customHeight="1" x14ac:dyDescent="0.25">
      <c r="A97" s="1214"/>
      <c r="B97" s="1214"/>
      <c r="C97" s="2113" t="str">
        <f>+'Estimated Risks'!B12</f>
        <v>Contaminated soil removal</v>
      </c>
      <c r="D97" s="2114"/>
      <c r="E97" s="2114"/>
      <c r="F97" s="2114"/>
      <c r="G97" s="2114"/>
      <c r="H97" s="1216">
        <f>IF(ISTEXT(C97),+'Estimated Risks'!E12,"  ")</f>
        <v>500000</v>
      </c>
      <c r="I97" s="1216"/>
      <c r="J97" s="307"/>
      <c r="K97" s="304"/>
      <c r="L97" s="304"/>
      <c r="M97" s="304"/>
      <c r="N97" s="307">
        <f>+'Estimated Risks'!B19</f>
        <v>0</v>
      </c>
      <c r="O97" s="2474"/>
      <c r="P97" s="2474"/>
      <c r="Q97" s="2474"/>
      <c r="R97" s="2474"/>
      <c r="S97" s="2474"/>
      <c r="T97" s="2474"/>
      <c r="U97" s="310"/>
      <c r="V97" s="310"/>
      <c r="W97" s="1216" t="str">
        <f>IF(ISTEXT(N97),+'Estimated Risks'!E19,"  ")</f>
        <v xml:space="preserve">  </v>
      </c>
      <c r="X97" s="2621"/>
      <c r="Y97" s="2621"/>
      <c r="Z97" s="2621"/>
      <c r="AA97" s="2621"/>
      <c r="AB97" s="2621"/>
      <c r="AC97" s="2621"/>
      <c r="AD97" s="2621"/>
      <c r="AE97" s="2621"/>
      <c r="AF97" s="2621"/>
      <c r="AG97" s="2621"/>
      <c r="AH97" s="2621"/>
      <c r="AI97" s="2621"/>
      <c r="AJ97" s="2621"/>
      <c r="AK97" s="2621"/>
      <c r="AL97" s="2622"/>
      <c r="AM97" s="2621"/>
      <c r="AN97" s="2554"/>
      <c r="AO97" s="2298"/>
    </row>
    <row r="98" spans="1:41" ht="7.35" customHeight="1" x14ac:dyDescent="0.25">
      <c r="A98" s="1214"/>
      <c r="B98" s="1812"/>
      <c r="C98" s="2115"/>
      <c r="D98" s="2116"/>
      <c r="E98" s="2116"/>
      <c r="F98" s="2116"/>
      <c r="G98" s="2116"/>
      <c r="H98" s="1813"/>
      <c r="I98" s="1813"/>
      <c r="J98" s="1814"/>
      <c r="K98" s="1814"/>
      <c r="L98" s="1814"/>
      <c r="M98" s="1815"/>
      <c r="N98" s="1217"/>
      <c r="O98" s="1814"/>
      <c r="P98" s="1814"/>
      <c r="Q98" s="1814"/>
      <c r="R98" s="1814"/>
      <c r="S98" s="1814"/>
      <c r="T98" s="1814"/>
      <c r="U98" s="1811"/>
      <c r="V98" s="1811"/>
      <c r="W98" s="1811"/>
      <c r="X98" s="2623"/>
      <c r="Y98" s="2623"/>
      <c r="Z98" s="2623"/>
      <c r="AA98" s="2623"/>
      <c r="AB98" s="2623"/>
      <c r="AC98" s="2623"/>
      <c r="AD98" s="2623"/>
      <c r="AE98" s="2623"/>
      <c r="AF98" s="2623"/>
      <c r="AG98" s="2623"/>
      <c r="AH98" s="2623"/>
      <c r="AI98" s="2623"/>
      <c r="AJ98" s="2623"/>
      <c r="AK98" s="2623"/>
      <c r="AL98" s="2624"/>
      <c r="AM98" s="313"/>
      <c r="AN98" s="2570"/>
      <c r="AO98" s="2299"/>
    </row>
  </sheetData>
  <sheetProtection formatCells="0" formatColumns="0" formatRows="0" sort="0" autoFilter="0"/>
  <dataConsolidate/>
  <mergeCells count="1">
    <mergeCell ref="O96:T96"/>
  </mergeCells>
  <conditionalFormatting sqref="H19:H30 K19:K30 N19:N30 Q19:Q30 T19:T30 W19:W30 AM19:AM30 E34:F35 H34:H35 K34:K35 N34:N35 Q34:Q35 T34:T35 W34:W35 AM34:AM35 E39:F39 H39 K39 N39 Q39 T39 W39 AM39 E43:F43 H43 K43 N43 Q43 T43 W43 AM43 E19:E30">
    <cfRule type="cellIs" dxfId="237" priority="20" operator="lessThan">
      <formula>0</formula>
    </cfRule>
  </conditionalFormatting>
  <conditionalFormatting sqref="AO19">
    <cfRule type="cellIs" dxfId="236" priority="19" operator="lessThan">
      <formula>0</formula>
    </cfRule>
  </conditionalFormatting>
  <conditionalFormatting sqref="AO34">
    <cfRule type="cellIs" dxfId="235" priority="15" operator="lessThan">
      <formula>0</formula>
    </cfRule>
  </conditionalFormatting>
  <conditionalFormatting sqref="AO39">
    <cfRule type="cellIs" dxfId="234" priority="13" operator="lessThan">
      <formula>0</formula>
    </cfRule>
  </conditionalFormatting>
  <conditionalFormatting sqref="AO20:AO30">
    <cfRule type="cellIs" dxfId="233" priority="9" operator="lessThan">
      <formula>0</formula>
    </cfRule>
  </conditionalFormatting>
  <conditionalFormatting sqref="AO35">
    <cfRule type="cellIs" dxfId="232" priority="8" operator="lessThan">
      <formula>0</formula>
    </cfRule>
  </conditionalFormatting>
  <conditionalFormatting sqref="Z19:Z30 Z34:Z35 Z39 Z43">
    <cfRule type="cellIs" dxfId="231" priority="7" operator="lessThan">
      <formula>0</formula>
    </cfRule>
  </conditionalFormatting>
  <conditionalFormatting sqref="AC19:AC30 AC34:AC35 AC39 AC43">
    <cfRule type="cellIs" dxfId="230" priority="6" operator="lessThan">
      <formula>0</formula>
    </cfRule>
  </conditionalFormatting>
  <conditionalFormatting sqref="AF19:AH30 AF34:AH35 AF39:AH39 AF43:AH43">
    <cfRule type="cellIs" dxfId="229" priority="5" operator="lessThan">
      <formula>0</formula>
    </cfRule>
  </conditionalFormatting>
  <conditionalFormatting sqref="AI19:AI30 AI34:AI35 AI39 AI43">
    <cfRule type="cellIs" dxfId="228" priority="4" operator="lessThan">
      <formula>0</formula>
    </cfRule>
  </conditionalFormatting>
  <conditionalFormatting sqref="AL19:AL30 AL34 AL39 AL43">
    <cfRule type="cellIs" dxfId="227" priority="3" operator="lessThan">
      <formula>0</formula>
    </cfRule>
  </conditionalFormatting>
  <conditionalFormatting sqref="AL35">
    <cfRule type="cellIs" dxfId="226" priority="2" operator="lessThan">
      <formula>0</formula>
    </cfRule>
  </conditionalFormatting>
  <conditionalFormatting sqref="AP25">
    <cfRule type="cellIs" dxfId="225" priority="1" operator="lessThan">
      <formula>0</formula>
    </cfRule>
  </conditionalFormatting>
  <printOptions horizontalCentered="1"/>
  <pageMargins left="0.5" right="0" top="0.17" bottom="0.32" header="0.17" footer="0.17"/>
  <pageSetup scale="31" orientation="portrait" horizontalDpi="4294967292" verticalDpi="4294967292"/>
  <headerFooter alignWithMargins="0">
    <oddFooter>&amp;L&amp;8&amp;F&amp;A&amp;R&amp;D</oddFooter>
  </headerFooter>
  <rowBreaks count="1" manualBreakCount="1">
    <brk id="93" min="1" max="24" man="1"/>
  </rowBreak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E52162-23F3-48AA-9985-C0ED8271FB32}">
          <x14:formula1>
            <xm:f>Parameters!$D$311:$D$351</xm:f>
          </x14:formula1>
          <xm:sqref>F62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366BC-DDA0-4077-9348-1DC4E14C200A}">
  <sheetPr codeName="Sheet5">
    <tabColor rgb="FF0070C0"/>
    <pageSetUpPr fitToPage="1"/>
  </sheetPr>
  <dimension ref="A1:N59"/>
  <sheetViews>
    <sheetView showGridLines="0" showZeros="0" workbookViewId="0">
      <selection activeCell="D27" sqref="D27"/>
    </sheetView>
  </sheetViews>
  <sheetFormatPr defaultColWidth="9.42578125" defaultRowHeight="12.6" customHeight="1" x14ac:dyDescent="0.25"/>
  <cols>
    <col min="1" max="1" width="1.5703125" customWidth="1"/>
    <col min="2" max="2" width="28.5703125" customWidth="1"/>
    <col min="3" max="3" width="3.5703125" customWidth="1"/>
    <col min="4" max="4" width="15.42578125" customWidth="1"/>
    <col min="5" max="5" width="4.5703125" customWidth="1"/>
    <col min="6" max="6" width="14.5703125" customWidth="1"/>
    <col min="7" max="7" width="4.5703125" customWidth="1"/>
    <col min="8" max="8" width="16.42578125" customWidth="1"/>
    <col min="9" max="9" width="3.42578125" customWidth="1"/>
    <col min="10" max="10" width="14.42578125" customWidth="1"/>
    <col min="11" max="11" width="3.42578125" customWidth="1"/>
    <col min="12" max="12" width="14.42578125" customWidth="1"/>
    <col min="13" max="13" width="3.42578125" customWidth="1"/>
    <col min="14" max="14" width="14.42578125" customWidth="1"/>
    <col min="15" max="142" width="9.42578125" customWidth="1"/>
  </cols>
  <sheetData>
    <row r="1" spans="1:14" ht="12.75" customHeight="1" x14ac:dyDescent="0.25">
      <c r="A1" s="39"/>
      <c r="B1" s="40"/>
      <c r="C1" s="40"/>
      <c r="D1" s="40"/>
      <c r="E1" s="40"/>
      <c r="F1" s="40"/>
      <c r="G1" s="40"/>
      <c r="H1" s="40"/>
      <c r="I1" s="40"/>
      <c r="J1" s="40"/>
      <c r="K1" s="40"/>
      <c r="L1" s="40"/>
      <c r="M1" s="40"/>
      <c r="N1" s="41"/>
    </row>
    <row r="2" spans="1:14" ht="12.75" customHeight="1" x14ac:dyDescent="0.25">
      <c r="A2" s="43"/>
      <c r="B2" s="1113"/>
      <c r="C2" s="1115"/>
      <c r="D2" s="1115"/>
      <c r="E2" s="1115"/>
      <c r="F2" s="1115"/>
      <c r="G2" s="1115"/>
      <c r="H2" s="1115"/>
      <c r="I2" s="1115"/>
      <c r="J2" s="1115"/>
      <c r="K2" s="1115"/>
      <c r="L2" s="1115"/>
      <c r="M2" s="1115"/>
      <c r="N2" s="1164"/>
    </row>
    <row r="3" spans="1:14" ht="12.75" customHeight="1" x14ac:dyDescent="0.25">
      <c r="A3" s="43"/>
      <c r="B3" s="1165" t="s">
        <v>88</v>
      </c>
      <c r="C3" s="146"/>
      <c r="D3" s="146"/>
      <c r="E3" s="147"/>
      <c r="F3" s="147"/>
      <c r="G3" s="147"/>
      <c r="H3" s="147"/>
      <c r="I3" s="148"/>
      <c r="J3" s="146"/>
      <c r="K3" s="146"/>
      <c r="L3" s="146"/>
      <c r="M3" s="146"/>
      <c r="N3" s="1166"/>
    </row>
    <row r="4" spans="1:14" ht="12.75" customHeight="1" x14ac:dyDescent="0.25">
      <c r="A4" s="43"/>
      <c r="B4" s="2286"/>
      <c r="C4" s="146"/>
      <c r="D4" s="146"/>
      <c r="E4" s="147"/>
      <c r="F4" s="147"/>
      <c r="G4" s="147"/>
      <c r="H4" s="147"/>
      <c r="I4" s="147"/>
      <c r="J4" s="146"/>
      <c r="K4" s="146"/>
      <c r="L4" s="146"/>
      <c r="M4" s="146"/>
      <c r="N4" s="1166"/>
    </row>
    <row r="5" spans="1:14" ht="15" customHeight="1" x14ac:dyDescent="0.25">
      <c r="A5" s="46"/>
      <c r="B5" s="2287" t="str">
        <f>+'Data Input sheet'!$B$7&amp;" "&amp;'Data Input sheet'!$C$7</f>
        <v>Project Title: Battery Storage - Hyde Park</v>
      </c>
      <c r="C5" s="51"/>
      <c r="D5" s="51"/>
      <c r="E5" s="42"/>
      <c r="F5" s="42"/>
      <c r="G5" s="1092"/>
      <c r="H5" s="42"/>
      <c r="I5" s="42"/>
      <c r="J5" s="42"/>
      <c r="K5" s="2283" t="str">
        <f>+'Data Input sheet'!$B$4&amp;" "&amp;'Data Input sheet'!$C$4</f>
        <v>Estimate #: E-23-373</v>
      </c>
      <c r="L5" s="51"/>
      <c r="M5" s="51"/>
      <c r="N5" s="1123"/>
    </row>
    <row r="6" spans="1:14" ht="12.75" customHeight="1" x14ac:dyDescent="0.25">
      <c r="A6" s="47"/>
      <c r="B6" s="2287" t="str">
        <f>+'Data Input sheet'!$B$8&amp;" "&amp;'Data Input sheet'!$C$8</f>
        <v>Project Mgr/Lead: Michael Rosenburg</v>
      </c>
      <c r="C6" s="48"/>
      <c r="D6" s="49"/>
      <c r="E6" s="42"/>
      <c r="F6" s="42"/>
      <c r="G6" s="42"/>
      <c r="H6" s="42"/>
      <c r="I6" s="50"/>
      <c r="J6" s="42"/>
      <c r="K6" s="2283" t="str">
        <f>'Data Input sheet'!$B$11&amp;TEXT('Data Input sheet'!$C$11,"mm/dd/yyy")</f>
        <v>Date of Estimate:12/08/2023</v>
      </c>
      <c r="L6" s="51"/>
      <c r="M6" s="51"/>
      <c r="N6" s="1123"/>
    </row>
    <row r="7" spans="1:14" ht="4.5" customHeight="1" x14ac:dyDescent="0.25">
      <c r="A7" s="47"/>
      <c r="B7" s="2288"/>
      <c r="C7" s="48"/>
      <c r="D7" s="53"/>
      <c r="E7" s="54"/>
      <c r="F7" s="54"/>
      <c r="G7" s="54"/>
      <c r="H7" s="51"/>
      <c r="I7" s="42"/>
      <c r="J7" s="55"/>
      <c r="K7" s="9"/>
      <c r="L7" s="51"/>
      <c r="M7" s="51"/>
      <c r="N7" s="1167"/>
    </row>
    <row r="8" spans="1:14" ht="15.75" x14ac:dyDescent="0.25">
      <c r="A8" s="47"/>
      <c r="B8" s="2287" t="str">
        <f>+'Data Input sheet'!$B$5&amp;" "&amp;'Data Input sheet'!$C$5</f>
        <v>Project Number: 21334</v>
      </c>
      <c r="C8" s="57"/>
      <c r="D8" s="53"/>
      <c r="E8" s="54"/>
      <c r="F8" s="54"/>
      <c r="G8" s="54"/>
      <c r="H8" s="51"/>
      <c r="I8" s="58"/>
      <c r="J8" s="50"/>
      <c r="K8" s="2283" t="str">
        <f>+'Data Input sheet'!$B$13&amp;" "&amp;'Data Input sheet'!$C$13</f>
        <v>Estimate done by: PAG</v>
      </c>
      <c r="L8" s="51"/>
      <c r="M8" s="51"/>
      <c r="N8" s="1168"/>
    </row>
    <row r="9" spans="1:14" ht="15.75" x14ac:dyDescent="0.25">
      <c r="A9" s="47"/>
      <c r="B9" s="2287" t="str">
        <f>+'Data Input sheet'!$B$6&amp;" "&amp;'Data Input sheet'!$C$6</f>
        <v>WO &amp; Task #: 80089926</v>
      </c>
      <c r="C9" s="49"/>
      <c r="D9" s="53"/>
      <c r="E9" s="54"/>
      <c r="F9" s="54"/>
      <c r="G9" s="54"/>
      <c r="H9" s="51"/>
      <c r="I9" s="42"/>
      <c r="J9" s="55"/>
      <c r="K9" s="2283" t="str">
        <f>'Data Input sheet'!$B$10&amp;TEXT('Data Input sheet'!$C$10,"mm/dd/yyy")</f>
        <v>In Service date (ISD):12/23/2028</v>
      </c>
      <c r="L9" s="51"/>
      <c r="M9" s="51"/>
      <c r="N9" s="1121"/>
    </row>
    <row r="10" spans="1:14" ht="15.75" x14ac:dyDescent="0.25">
      <c r="A10" s="47"/>
      <c r="B10" s="2289" t="str">
        <f>+'Data Input sheet'!$B$12&amp;" "&amp;'Data Input sheet'!$C$12</f>
        <v>Estimate revision #: 00</v>
      </c>
      <c r="C10" s="48"/>
      <c r="D10" s="53"/>
      <c r="E10" s="54"/>
      <c r="F10" s="54"/>
      <c r="G10" s="54"/>
      <c r="H10" s="51"/>
      <c r="I10" s="42"/>
      <c r="J10" s="51"/>
      <c r="K10" s="1820"/>
      <c r="L10" s="61"/>
      <c r="M10" s="61"/>
      <c r="N10" s="1169"/>
    </row>
    <row r="11" spans="1:14" ht="12.75" customHeight="1" x14ac:dyDescent="0.25">
      <c r="A11" s="47"/>
      <c r="B11" s="2290" t="str">
        <f>"Estimate Type"&amp;" - "&amp;'Data Input sheet'!$D$20</f>
        <v>Estimate Type - Station work</v>
      </c>
      <c r="C11" s="63"/>
      <c r="D11" s="53"/>
      <c r="E11" s="51"/>
      <c r="F11" s="51"/>
      <c r="G11" s="51"/>
      <c r="H11" s="51"/>
      <c r="I11" s="42"/>
      <c r="J11" s="51"/>
      <c r="K11" s="257"/>
      <c r="L11" s="55"/>
      <c r="M11" s="55"/>
      <c r="N11" s="1169"/>
    </row>
    <row r="12" spans="1:14" ht="12.75" customHeight="1" x14ac:dyDescent="0.25">
      <c r="A12" s="65"/>
      <c r="B12" s="1138"/>
      <c r="C12" s="1125"/>
      <c r="D12" s="1125"/>
      <c r="E12" s="1126"/>
      <c r="F12" s="1126"/>
      <c r="G12" s="1126"/>
      <c r="H12" s="1126"/>
      <c r="I12" s="1126"/>
      <c r="J12" s="1126"/>
      <c r="K12" s="1126"/>
      <c r="L12" s="1127"/>
      <c r="M12" s="1127"/>
      <c r="N12" s="1170" t="str">
        <f>+'Data Input sheet'!M2</f>
        <v>Template Revision # 01.92a</v>
      </c>
    </row>
    <row r="13" spans="1:14" ht="12.75" customHeight="1" x14ac:dyDescent="0.25">
      <c r="A13" s="47"/>
      <c r="B13" s="55"/>
      <c r="C13" s="55"/>
      <c r="D13" s="55"/>
      <c r="E13" s="42"/>
      <c r="F13" s="42"/>
      <c r="G13" s="42"/>
      <c r="H13" s="42"/>
      <c r="I13" s="42"/>
      <c r="J13" s="42"/>
      <c r="K13" s="42"/>
      <c r="L13" s="42"/>
      <c r="M13" s="42"/>
      <c r="N13" s="51"/>
    </row>
    <row r="14" spans="1:14" ht="12.75" customHeight="1" x14ac:dyDescent="0.25">
      <c r="A14" s="46"/>
      <c r="B14" s="1171"/>
      <c r="C14" s="1132"/>
      <c r="D14" s="1132"/>
      <c r="E14" s="1133"/>
      <c r="F14" s="1133"/>
      <c r="G14" s="1133"/>
      <c r="H14" s="1133"/>
      <c r="I14" s="1115"/>
      <c r="J14" s="1115"/>
      <c r="K14" s="1115"/>
      <c r="L14" s="1115"/>
      <c r="M14" s="1115"/>
      <c r="N14" s="1117"/>
    </row>
    <row r="15" spans="1:14" ht="22.5" customHeight="1" x14ac:dyDescent="0.25">
      <c r="A15" s="46"/>
      <c r="B15" s="1172" t="s">
        <v>108</v>
      </c>
      <c r="C15" s="55"/>
      <c r="D15" s="55"/>
      <c r="E15" s="51"/>
      <c r="F15" s="51"/>
      <c r="G15" s="51"/>
      <c r="H15" s="51"/>
      <c r="I15" s="42"/>
      <c r="J15" s="42"/>
      <c r="K15" s="42"/>
      <c r="L15" s="42"/>
      <c r="M15" s="42"/>
      <c r="N15" s="1134"/>
    </row>
    <row r="16" spans="1:14" ht="12.75" customHeight="1" x14ac:dyDescent="0.25">
      <c r="A16" s="46"/>
      <c r="B16" s="1120"/>
      <c r="C16" s="55"/>
      <c r="D16" s="55"/>
      <c r="E16" s="73"/>
      <c r="F16" s="73"/>
      <c r="G16" s="73"/>
      <c r="H16" s="74"/>
      <c r="I16" s="51"/>
      <c r="J16" s="74"/>
      <c r="K16" s="42"/>
      <c r="L16" s="42"/>
      <c r="M16" s="42"/>
      <c r="N16" s="1134"/>
    </row>
    <row r="17" spans="1:14" ht="12.75" customHeight="1" x14ac:dyDescent="0.35">
      <c r="A17" s="895"/>
      <c r="B17" s="1120"/>
      <c r="C17" s="130"/>
      <c r="D17" s="131"/>
      <c r="E17" s="131"/>
      <c r="F17" s="131"/>
      <c r="G17" s="131"/>
      <c r="H17" s="131"/>
      <c r="I17" s="131"/>
      <c r="J17" s="126"/>
      <c r="K17" s="126"/>
      <c r="L17" s="126"/>
      <c r="M17" s="126"/>
      <c r="N17" s="1150"/>
    </row>
    <row r="18" spans="1:14" ht="19.5" x14ac:dyDescent="0.35">
      <c r="A18" s="895"/>
      <c r="B18" s="1173"/>
      <c r="C18" s="130"/>
      <c r="D18" s="131"/>
      <c r="E18" s="131"/>
      <c r="F18" s="131"/>
      <c r="G18" s="131"/>
      <c r="H18" s="131"/>
      <c r="I18" s="131"/>
      <c r="J18" s="126"/>
      <c r="K18" s="126"/>
      <c r="L18" s="126"/>
      <c r="M18" s="126"/>
      <c r="N18" s="1150"/>
    </row>
    <row r="19" spans="1:14" ht="19.5" x14ac:dyDescent="0.35">
      <c r="A19" s="1130"/>
      <c r="B19" s="1173"/>
      <c r="C19" s="130"/>
      <c r="D19" s="131"/>
      <c r="E19" s="131"/>
      <c r="F19" s="131"/>
      <c r="G19" s="131"/>
      <c r="H19" s="131"/>
      <c r="I19" s="131"/>
      <c r="J19" s="126"/>
      <c r="K19" s="126"/>
      <c r="L19" s="126"/>
      <c r="M19" s="126"/>
      <c r="N19" s="1150"/>
    </row>
    <row r="20" spans="1:14" ht="18" customHeight="1" x14ac:dyDescent="0.35">
      <c r="A20" s="1130"/>
      <c r="B20" s="1173"/>
      <c r="C20" s="130"/>
      <c r="D20" s="131"/>
      <c r="E20" s="131"/>
      <c r="F20" s="131"/>
      <c r="G20" s="131"/>
      <c r="H20" s="131"/>
      <c r="I20" s="131"/>
      <c r="J20" s="126"/>
      <c r="K20" s="126"/>
      <c r="L20" s="126"/>
      <c r="M20" s="126"/>
      <c r="N20" s="1150"/>
    </row>
    <row r="21" spans="1:14" ht="19.5" x14ac:dyDescent="0.35">
      <c r="A21" s="1130"/>
      <c r="B21" s="1173"/>
      <c r="C21" s="130"/>
      <c r="D21" s="131"/>
      <c r="E21" s="131"/>
      <c r="F21" s="131"/>
      <c r="G21" s="131"/>
      <c r="H21" s="131"/>
      <c r="I21" s="131"/>
      <c r="J21" s="126"/>
      <c r="K21" s="126"/>
      <c r="L21" s="126"/>
      <c r="M21" s="126"/>
      <c r="N21" s="1150"/>
    </row>
    <row r="22" spans="1:14" ht="19.5" x14ac:dyDescent="0.35">
      <c r="A22" s="1130"/>
      <c r="B22" s="1173"/>
      <c r="C22" s="130"/>
      <c r="D22" s="131"/>
      <c r="E22" s="131"/>
      <c r="F22" s="131"/>
      <c r="G22" s="131"/>
      <c r="H22" s="131"/>
      <c r="I22" s="131"/>
      <c r="J22" s="126"/>
      <c r="K22" s="126"/>
      <c r="L22" s="126"/>
      <c r="M22" s="126"/>
      <c r="N22" s="1150"/>
    </row>
    <row r="23" spans="1:14" ht="19.5" x14ac:dyDescent="0.35">
      <c r="A23" s="1130"/>
      <c r="B23" s="1173"/>
      <c r="C23" s="130"/>
      <c r="D23" s="131"/>
      <c r="E23" s="131"/>
      <c r="F23" s="131"/>
      <c r="G23" s="131"/>
      <c r="H23" s="131"/>
      <c r="I23" s="131"/>
      <c r="J23" s="126"/>
      <c r="K23" s="126"/>
      <c r="L23" s="126"/>
      <c r="M23" s="126"/>
      <c r="N23" s="1150"/>
    </row>
    <row r="24" spans="1:14" ht="22.5" customHeight="1" x14ac:dyDescent="0.35">
      <c r="A24" s="1130"/>
      <c r="B24" s="1173"/>
      <c r="C24" s="130"/>
      <c r="D24" s="131"/>
      <c r="E24" s="131"/>
      <c r="F24" s="131"/>
      <c r="G24" s="131"/>
      <c r="H24" s="131"/>
      <c r="I24" s="131"/>
      <c r="J24" s="126"/>
      <c r="K24" s="126"/>
      <c r="L24" s="126"/>
      <c r="M24" s="126"/>
      <c r="N24" s="1150"/>
    </row>
    <row r="25" spans="1:14" ht="22.5" customHeight="1" x14ac:dyDescent="0.35">
      <c r="A25" s="1130"/>
      <c r="B25" s="1173"/>
      <c r="C25" s="130"/>
      <c r="D25" s="131"/>
      <c r="E25" s="131"/>
      <c r="F25" s="131"/>
      <c r="G25" s="131"/>
      <c r="H25" s="131"/>
      <c r="I25" s="131"/>
      <c r="J25" s="126"/>
      <c r="K25" s="126"/>
      <c r="L25" s="126"/>
      <c r="M25" s="126"/>
      <c r="N25" s="1150"/>
    </row>
    <row r="26" spans="1:14" ht="22.5" customHeight="1" x14ac:dyDescent="0.35">
      <c r="A26" s="97"/>
      <c r="B26" s="1173"/>
      <c r="C26" s="130"/>
      <c r="D26" s="131"/>
      <c r="E26" s="131"/>
      <c r="F26" s="131"/>
      <c r="G26" s="131"/>
      <c r="H26" s="131"/>
      <c r="I26" s="131"/>
      <c r="J26" s="126"/>
      <c r="K26" s="126"/>
      <c r="L26" s="126"/>
      <c r="M26" s="126"/>
      <c r="N26" s="1150"/>
    </row>
    <row r="27" spans="1:14" ht="22.5" customHeight="1" x14ac:dyDescent="0.35">
      <c r="A27" s="97"/>
      <c r="B27" s="1173"/>
      <c r="C27" s="130"/>
      <c r="D27" s="131"/>
      <c r="E27" s="131"/>
      <c r="F27" s="131"/>
      <c r="G27" s="131"/>
      <c r="H27" s="131"/>
      <c r="I27" s="131"/>
      <c r="J27" s="126"/>
      <c r="K27" s="126"/>
      <c r="L27" s="126"/>
      <c r="M27" s="126"/>
      <c r="N27" s="1150"/>
    </row>
    <row r="28" spans="1:14" ht="22.5" customHeight="1" x14ac:dyDescent="0.3">
      <c r="A28" s="97"/>
      <c r="B28" s="1118"/>
      <c r="C28" s="42"/>
      <c r="D28" s="152"/>
      <c r="E28" s="152"/>
      <c r="F28" s="152"/>
      <c r="G28" s="152"/>
      <c r="H28" s="152"/>
      <c r="I28" s="153"/>
      <c r="J28" s="153"/>
      <c r="K28" s="126"/>
      <c r="L28" s="126"/>
      <c r="M28" s="126"/>
      <c r="N28" s="1150"/>
    </row>
    <row r="29" spans="1:14" ht="22.5" customHeight="1" x14ac:dyDescent="0.35">
      <c r="A29" s="97"/>
      <c r="B29" s="1173"/>
      <c r="C29" s="130"/>
      <c r="D29" s="131"/>
      <c r="E29" s="131"/>
      <c r="F29" s="131"/>
      <c r="G29" s="131"/>
      <c r="H29" s="131"/>
      <c r="I29" s="131"/>
      <c r="J29" s="126"/>
      <c r="K29" s="126"/>
      <c r="L29" s="126"/>
      <c r="M29" s="126"/>
      <c r="N29" s="1150"/>
    </row>
    <row r="30" spans="1:14" ht="18" customHeight="1" x14ac:dyDescent="0.25">
      <c r="A30" s="657"/>
      <c r="B30" s="1174"/>
      <c r="C30" s="42"/>
      <c r="D30" s="154"/>
      <c r="E30" s="154"/>
      <c r="F30" s="154"/>
      <c r="G30" s="154"/>
      <c r="H30" s="154"/>
      <c r="I30" s="154"/>
      <c r="J30" s="42"/>
      <c r="K30" s="154"/>
      <c r="L30" s="42"/>
      <c r="M30" s="154"/>
      <c r="N30" s="1175"/>
    </row>
    <row r="31" spans="1:14" ht="19.5" x14ac:dyDescent="0.35">
      <c r="A31" s="97"/>
      <c r="B31" s="1173"/>
      <c r="C31" s="130"/>
      <c r="D31" s="131"/>
      <c r="E31" s="131"/>
      <c r="F31" s="131"/>
      <c r="G31" s="131"/>
      <c r="H31" s="131"/>
      <c r="I31" s="131"/>
      <c r="J31" s="126"/>
      <c r="K31" s="126"/>
      <c r="L31" s="126"/>
      <c r="M31" s="126"/>
      <c r="N31" s="1150"/>
    </row>
    <row r="32" spans="1:14" ht="19.5" x14ac:dyDescent="0.35">
      <c r="A32" s="46"/>
      <c r="B32" s="1176"/>
      <c r="C32" s="42"/>
      <c r="D32" s="131"/>
      <c r="E32" s="131"/>
      <c r="F32" s="131"/>
      <c r="G32" s="131"/>
      <c r="H32" s="131"/>
      <c r="I32" s="131"/>
      <c r="J32" s="126"/>
      <c r="K32" s="126"/>
      <c r="L32" s="126"/>
      <c r="M32" s="126"/>
      <c r="N32" s="1150"/>
    </row>
    <row r="33" spans="1:14" ht="15.75" customHeight="1" x14ac:dyDescent="0.35">
      <c r="A33" s="124"/>
      <c r="B33" s="1173"/>
      <c r="C33" s="130"/>
      <c r="D33" s="131"/>
      <c r="E33" s="131"/>
      <c r="F33" s="131"/>
      <c r="G33" s="131"/>
      <c r="H33" s="131"/>
      <c r="I33" s="131"/>
      <c r="J33" s="126"/>
      <c r="K33" s="126"/>
      <c r="L33" s="126"/>
      <c r="M33" s="126"/>
      <c r="N33" s="1150"/>
    </row>
    <row r="34" spans="1:14" ht="21" customHeight="1" x14ac:dyDescent="0.35">
      <c r="A34" s="128"/>
      <c r="B34" s="1173"/>
      <c r="C34" s="1177"/>
      <c r="D34" s="131"/>
      <c r="E34" s="131"/>
      <c r="F34" s="131"/>
      <c r="G34" s="131"/>
      <c r="H34" s="131"/>
      <c r="I34" s="131"/>
      <c r="J34" s="126"/>
      <c r="K34" s="126"/>
      <c r="L34" s="126"/>
      <c r="M34" s="126"/>
      <c r="N34" s="1150"/>
    </row>
    <row r="35" spans="1:14" ht="15.75" customHeight="1" x14ac:dyDescent="0.35">
      <c r="A35" s="128"/>
      <c r="B35" s="1173"/>
      <c r="C35" s="130"/>
      <c r="D35" s="131"/>
      <c r="E35" s="131"/>
      <c r="F35" s="131"/>
      <c r="G35" s="131"/>
      <c r="H35" s="131"/>
      <c r="I35" s="131"/>
      <c r="J35" s="126"/>
      <c r="K35" s="126"/>
      <c r="L35" s="126"/>
      <c r="M35" s="126"/>
      <c r="N35" s="1150"/>
    </row>
    <row r="36" spans="1:14" ht="21" customHeight="1" x14ac:dyDescent="0.35">
      <c r="A36" s="128"/>
      <c r="B36" s="1173"/>
      <c r="C36" s="1177"/>
      <c r="D36" s="131"/>
      <c r="E36" s="131"/>
      <c r="F36" s="131"/>
      <c r="G36" s="131"/>
      <c r="H36" s="131"/>
      <c r="I36" s="131"/>
      <c r="J36" s="126"/>
      <c r="K36" s="126"/>
      <c r="L36" s="126"/>
      <c r="M36" s="126"/>
      <c r="N36" s="1150"/>
    </row>
    <row r="37" spans="1:14" ht="15.75" customHeight="1" x14ac:dyDescent="0.35">
      <c r="A37" s="128"/>
      <c r="B37" s="1173"/>
      <c r="C37" s="131"/>
      <c r="D37" s="131"/>
      <c r="E37" s="131"/>
      <c r="F37" s="131"/>
      <c r="G37" s="131"/>
      <c r="H37" s="131"/>
      <c r="I37" s="131"/>
      <c r="J37" s="126"/>
      <c r="K37" s="126"/>
      <c r="L37" s="126"/>
      <c r="M37" s="126"/>
      <c r="N37" s="1150"/>
    </row>
    <row r="38" spans="1:14" ht="21" customHeight="1" x14ac:dyDescent="0.35">
      <c r="A38" s="128"/>
      <c r="B38" s="1173"/>
      <c r="C38" s="1177"/>
      <c r="D38" s="131"/>
      <c r="E38" s="131"/>
      <c r="F38" s="131"/>
      <c r="G38" s="131"/>
      <c r="H38" s="131"/>
      <c r="I38" s="131"/>
      <c r="J38" s="126"/>
      <c r="K38" s="126"/>
      <c r="L38" s="126"/>
      <c r="M38" s="126"/>
      <c r="N38" s="1150"/>
    </row>
    <row r="39" spans="1:14" ht="15.75" customHeight="1" x14ac:dyDescent="0.35">
      <c r="A39" s="132"/>
      <c r="B39" s="1173"/>
      <c r="C39" s="131"/>
      <c r="D39" s="131"/>
      <c r="E39" s="131"/>
      <c r="F39" s="131"/>
      <c r="G39" s="131"/>
      <c r="H39" s="131"/>
      <c r="I39" s="131"/>
      <c r="J39" s="126"/>
      <c r="K39" s="126"/>
      <c r="L39" s="126"/>
      <c r="M39" s="126"/>
      <c r="N39" s="1150"/>
    </row>
    <row r="40" spans="1:14" ht="15.75" customHeight="1" x14ac:dyDescent="0.25">
      <c r="A40" s="132"/>
      <c r="B40" s="1173"/>
      <c r="C40" s="133"/>
      <c r="D40" s="126"/>
      <c r="E40" s="126"/>
      <c r="F40" s="126"/>
      <c r="G40" s="126"/>
      <c r="H40" s="899"/>
      <c r="I40" s="126"/>
      <c r="J40" s="898"/>
      <c r="K40" s="126"/>
      <c r="L40" s="126"/>
      <c r="M40" s="126"/>
      <c r="N40" s="1178"/>
    </row>
    <row r="41" spans="1:14" ht="15.75" customHeight="1" x14ac:dyDescent="0.35">
      <c r="A41" s="134"/>
      <c r="B41" s="1173"/>
      <c r="C41" s="131"/>
      <c r="D41" s="131"/>
      <c r="E41" s="131"/>
      <c r="F41" s="131"/>
      <c r="G41" s="131"/>
      <c r="H41" s="131"/>
      <c r="I41" s="131"/>
      <c r="J41" s="131"/>
      <c r="K41" s="131"/>
      <c r="L41" s="131"/>
      <c r="M41" s="131"/>
      <c r="N41" s="1154"/>
    </row>
    <row r="42" spans="1:14" ht="15.75" customHeight="1" x14ac:dyDescent="0.35">
      <c r="A42" s="135"/>
      <c r="B42" s="1173"/>
      <c r="C42" s="131"/>
      <c r="D42" s="131"/>
      <c r="E42" s="131"/>
      <c r="F42" s="131"/>
      <c r="G42" s="131"/>
      <c r="H42" s="131"/>
      <c r="I42" s="131"/>
      <c r="J42" s="131"/>
      <c r="K42" s="131"/>
      <c r="L42" s="131"/>
      <c r="M42" s="131"/>
      <c r="N42" s="1154"/>
    </row>
    <row r="43" spans="1:14" ht="18" customHeight="1" x14ac:dyDescent="0.25">
      <c r="A43" s="42"/>
      <c r="B43" s="1173"/>
      <c r="C43" s="154"/>
      <c r="D43" s="154"/>
      <c r="E43" s="154"/>
      <c r="F43" s="154"/>
      <c r="G43" s="42"/>
      <c r="H43" s="42"/>
      <c r="I43" s="154"/>
      <c r="J43" s="42"/>
      <c r="K43" s="154"/>
      <c r="L43" s="154"/>
      <c r="M43" s="154"/>
      <c r="N43" s="1175"/>
    </row>
    <row r="44" spans="1:14" ht="19.5" x14ac:dyDescent="0.35">
      <c r="A44" s="97"/>
      <c r="B44" s="1173"/>
      <c r="C44" s="130"/>
      <c r="D44" s="131"/>
      <c r="E44" s="131"/>
      <c r="F44" s="131"/>
      <c r="G44" s="131"/>
      <c r="H44" s="131"/>
      <c r="I44" s="131"/>
      <c r="J44" s="126"/>
      <c r="K44" s="126"/>
      <c r="L44" s="126"/>
      <c r="M44" s="126"/>
      <c r="N44" s="1150"/>
    </row>
    <row r="45" spans="1:14" ht="19.5" x14ac:dyDescent="0.35">
      <c r="A45" s="46"/>
      <c r="B45" s="1118"/>
      <c r="C45" s="1179"/>
      <c r="D45" s="131"/>
      <c r="E45" s="131"/>
      <c r="F45" s="131"/>
      <c r="G45" s="131"/>
      <c r="H45" s="131"/>
      <c r="I45" s="131"/>
      <c r="J45" s="126"/>
      <c r="K45" s="126"/>
      <c r="L45" s="126"/>
      <c r="M45" s="126"/>
      <c r="N45" s="1150"/>
    </row>
    <row r="46" spans="1:14" ht="15.75" customHeight="1" x14ac:dyDescent="0.35">
      <c r="A46" s="124"/>
      <c r="B46" s="1173"/>
      <c r="C46" s="130"/>
      <c r="D46" s="131"/>
      <c r="E46" s="131"/>
      <c r="F46" s="131"/>
      <c r="G46" s="131"/>
      <c r="H46" s="131"/>
      <c r="I46" s="131"/>
      <c r="J46" s="126"/>
      <c r="K46" s="126"/>
      <c r="L46" s="126"/>
      <c r="M46" s="126"/>
      <c r="N46" s="1150"/>
    </row>
    <row r="47" spans="1:14" ht="21" customHeight="1" x14ac:dyDescent="0.35">
      <c r="A47" s="128"/>
      <c r="B47" s="1173"/>
      <c r="C47" s="1179"/>
      <c r="D47" s="131"/>
      <c r="E47" s="131"/>
      <c r="F47" s="131"/>
      <c r="G47" s="131"/>
      <c r="H47" s="131"/>
      <c r="I47" s="131"/>
      <c r="J47" s="126"/>
      <c r="K47" s="126"/>
      <c r="L47" s="126"/>
      <c r="M47" s="126"/>
      <c r="N47" s="1150"/>
    </row>
    <row r="48" spans="1:14" ht="15.75" customHeight="1" x14ac:dyDescent="0.35">
      <c r="A48" s="128"/>
      <c r="B48" s="1173"/>
      <c r="C48" s="130"/>
      <c r="D48" s="131"/>
      <c r="E48" s="131"/>
      <c r="F48" s="131"/>
      <c r="G48" s="131"/>
      <c r="H48" s="131"/>
      <c r="I48" s="131"/>
      <c r="J48" s="126"/>
      <c r="K48" s="126"/>
      <c r="L48" s="126"/>
      <c r="M48" s="126"/>
      <c r="N48" s="1150"/>
    </row>
    <row r="49" spans="1:14" ht="21" customHeight="1" x14ac:dyDescent="0.35">
      <c r="A49" s="128"/>
      <c r="B49" s="1173"/>
      <c r="C49" s="1179"/>
      <c r="D49" s="131"/>
      <c r="E49" s="131"/>
      <c r="F49" s="131"/>
      <c r="G49" s="131"/>
      <c r="H49" s="131"/>
      <c r="I49" s="131"/>
      <c r="J49" s="126"/>
      <c r="K49" s="126"/>
      <c r="L49" s="126"/>
      <c r="M49" s="126"/>
      <c r="N49" s="1150"/>
    </row>
    <row r="50" spans="1:14" ht="15.75" customHeight="1" x14ac:dyDescent="0.35">
      <c r="A50" s="128"/>
      <c r="B50" s="1173"/>
      <c r="C50" s="131"/>
      <c r="D50" s="131"/>
      <c r="E50" s="131"/>
      <c r="F50" s="131"/>
      <c r="G50" s="131"/>
      <c r="H50" s="131"/>
      <c r="I50" s="131"/>
      <c r="J50" s="126"/>
      <c r="K50" s="126"/>
      <c r="L50" s="126"/>
      <c r="M50" s="126"/>
      <c r="N50" s="1150"/>
    </row>
    <row r="51" spans="1:14" ht="18" x14ac:dyDescent="0.25">
      <c r="A51" s="42"/>
      <c r="B51" s="1173"/>
      <c r="C51" s="42"/>
      <c r="D51" s="42"/>
      <c r="E51" s="42"/>
      <c r="F51" s="42"/>
      <c r="G51" s="42"/>
      <c r="H51" s="42"/>
      <c r="I51" s="42"/>
      <c r="J51" s="42"/>
      <c r="K51" s="42"/>
      <c r="L51" s="42"/>
      <c r="M51" s="42"/>
      <c r="N51" s="1150"/>
    </row>
    <row r="52" spans="1:14" ht="15.75" customHeight="1" x14ac:dyDescent="0.35">
      <c r="A52" s="134"/>
      <c r="B52" s="1173"/>
      <c r="C52" s="131"/>
      <c r="D52" s="131"/>
      <c r="E52" s="131"/>
      <c r="F52" s="131"/>
      <c r="G52" s="131"/>
      <c r="H52" s="131"/>
      <c r="I52" s="131"/>
      <c r="J52" s="131"/>
      <c r="K52" s="131"/>
      <c r="L52" s="131"/>
      <c r="M52" s="131"/>
      <c r="N52" s="1154"/>
    </row>
    <row r="53" spans="1:14" ht="21" customHeight="1" x14ac:dyDescent="0.35">
      <c r="A53" s="128"/>
      <c r="B53" s="1173"/>
      <c r="C53" s="1179"/>
      <c r="D53" s="131"/>
      <c r="E53" s="131"/>
      <c r="F53" s="131"/>
      <c r="G53" s="131"/>
      <c r="H53" s="131"/>
      <c r="I53" s="131"/>
      <c r="J53" s="126"/>
      <c r="K53" s="126"/>
      <c r="L53" s="126"/>
      <c r="M53" s="126"/>
      <c r="N53" s="1150"/>
    </row>
    <row r="54" spans="1:14" ht="15.75" customHeight="1" x14ac:dyDescent="0.35">
      <c r="A54" s="135"/>
      <c r="B54" s="1173"/>
      <c r="C54" s="131"/>
      <c r="D54" s="131"/>
      <c r="E54" s="131"/>
      <c r="F54" s="131"/>
      <c r="G54" s="131"/>
      <c r="H54" s="131"/>
      <c r="I54" s="131"/>
      <c r="J54" s="131"/>
      <c r="K54" s="131"/>
      <c r="L54" s="131"/>
      <c r="M54" s="131"/>
      <c r="N54" s="1154"/>
    </row>
    <row r="55" spans="1:14" ht="15.75" customHeight="1" x14ac:dyDescent="0.25">
      <c r="A55" s="135"/>
      <c r="B55" s="1180"/>
      <c r="C55" s="139"/>
      <c r="D55" s="126"/>
      <c r="E55" s="138"/>
      <c r="F55" s="138"/>
      <c r="G55" s="138"/>
      <c r="H55" s="126"/>
      <c r="I55" s="138"/>
      <c r="J55" s="126"/>
      <c r="K55" s="139"/>
      <c r="L55" s="140"/>
      <c r="M55" s="140"/>
      <c r="N55" s="1150"/>
    </row>
    <row r="56" spans="1:14" ht="15.75" customHeight="1" x14ac:dyDescent="0.35">
      <c r="A56" s="135"/>
      <c r="B56" s="1173"/>
      <c r="C56" s="131"/>
      <c r="D56" s="131"/>
      <c r="E56" s="131"/>
      <c r="F56" s="131"/>
      <c r="G56" s="131"/>
      <c r="H56" s="131"/>
      <c r="I56" s="131"/>
      <c r="J56" s="131"/>
      <c r="K56" s="131"/>
      <c r="L56" s="131"/>
      <c r="M56" s="131"/>
      <c r="N56" s="1154"/>
    </row>
    <row r="57" spans="1:14" ht="15.75" customHeight="1" x14ac:dyDescent="0.35">
      <c r="A57" s="135"/>
      <c r="B57" s="1173"/>
      <c r="C57" s="131"/>
      <c r="D57" s="131"/>
      <c r="E57" s="131"/>
      <c r="F57" s="131"/>
      <c r="G57" s="131"/>
      <c r="H57" s="131"/>
      <c r="I57" s="131"/>
      <c r="J57" s="131"/>
      <c r="K57" s="131"/>
      <c r="L57" s="131"/>
      <c r="M57" s="131"/>
      <c r="N57" s="1154"/>
    </row>
    <row r="58" spans="1:14" ht="15.75" customHeight="1" x14ac:dyDescent="0.35">
      <c r="A58" s="135"/>
      <c r="B58" s="1173" t="s">
        <v>96</v>
      </c>
      <c r="C58" s="131"/>
      <c r="D58" s="131"/>
      <c r="E58" s="131"/>
      <c r="F58" s="131"/>
      <c r="G58" s="131"/>
      <c r="H58" s="131"/>
      <c r="I58" s="131"/>
      <c r="J58" s="131"/>
      <c r="K58" s="131"/>
      <c r="L58" s="131"/>
      <c r="M58" s="143"/>
      <c r="N58" s="1150"/>
    </row>
    <row r="59" spans="1:14" ht="15.75" customHeight="1" x14ac:dyDescent="0.35">
      <c r="A59" s="144"/>
      <c r="B59" s="1181" t="s">
        <v>96</v>
      </c>
      <c r="C59" s="1182"/>
      <c r="D59" s="1182"/>
      <c r="E59" s="1182"/>
      <c r="F59" s="1182"/>
      <c r="G59" s="1182"/>
      <c r="H59" s="1182"/>
      <c r="I59" s="1182"/>
      <c r="J59" s="1182"/>
      <c r="K59" s="1182"/>
      <c r="L59" s="1182"/>
      <c r="M59" s="1160"/>
      <c r="N59" s="1183"/>
    </row>
  </sheetData>
  <sheetProtection algorithmName="SHA-512" hashValue="TlRYWr0YUauw6Hi4BpCbabpEq0T5BvP0DEDj2PzcdbIU4dWMBXXtxC9FKDzDEtkepAGL3v4qBC7m8Awf19o78Q==" saltValue="ic1FhQ6JA7KxX2zxO8flWw==" spinCount="100000" sheet="1" scenarios="1" formatCells="0" formatColumns="0" formatRows="0" autoFilter="0"/>
  <printOptions horizontalCentered="1"/>
  <pageMargins left="0" right="0" top="0.17" bottom="0.17" header="0.18" footer="0.24"/>
  <pageSetup scale="72" orientation="portrait" horizontalDpi="4294967292" verticalDpi="4294967292"/>
  <headerFooter alignWithMargins="0">
    <oddFooter>&amp;L&amp;8&amp;F&amp;A&amp;R&amp;D</oddFooter>
  </headerFooter>
  <rowBreaks count="1" manualBreakCount="1">
    <brk id="69" max="65535"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36535-64FF-4CC3-8E80-F5D55A9F49BB}">
  <sheetPr codeName="Sheet2">
    <tabColor rgb="FF0070C0"/>
    <pageSetUpPr fitToPage="1"/>
  </sheetPr>
  <dimension ref="A1:V202"/>
  <sheetViews>
    <sheetView showZeros="0" topLeftCell="A4" workbookViewId="0">
      <selection activeCell="B20" sqref="B20"/>
    </sheetView>
  </sheetViews>
  <sheetFormatPr defaultRowHeight="12.6" customHeight="1" outlineLevelCol="1" x14ac:dyDescent="0.25"/>
  <cols>
    <col min="1" max="1" width="1.42578125" customWidth="1"/>
    <col min="2" max="2" width="38.5703125" customWidth="1"/>
    <col min="3" max="3" width="0.5703125" customWidth="1"/>
    <col min="4" max="5" width="12.5703125" customWidth="1"/>
    <col min="6" max="6" width="0.5703125" customWidth="1"/>
    <col min="7" max="8" width="12.5703125" customWidth="1"/>
    <col min="9" max="9" width="0.5703125" customWidth="1"/>
    <col min="10" max="10" width="12.5703125" customWidth="1"/>
    <col min="11" max="11" width="13.42578125" customWidth="1"/>
    <col min="12" max="12" width="0.5703125" hidden="1" customWidth="1" outlineLevel="1"/>
    <col min="13" max="13" width="12.5703125" hidden="1" customWidth="1" outlineLevel="1"/>
    <col min="14" max="14" width="13.42578125" hidden="1" customWidth="1" outlineLevel="1"/>
    <col min="15" max="15" width="0.5703125" hidden="1" customWidth="1" outlineLevel="1"/>
    <col min="16" max="16" width="12.5703125" hidden="1" customWidth="1" outlineLevel="1"/>
    <col min="17" max="17" width="13.42578125" hidden="1" customWidth="1" outlineLevel="1"/>
    <col min="18" max="18" width="1.5703125" customWidth="1" collapsed="1"/>
    <col min="19" max="20" width="12.5703125" customWidth="1"/>
    <col min="21" max="21" width="0.5703125" customWidth="1"/>
    <col min="22" max="22" width="28.42578125" customWidth="1"/>
  </cols>
  <sheetData>
    <row r="1" spans="1:22" ht="15.75" x14ac:dyDescent="0.25">
      <c r="B1" s="158" t="str">
        <f>+'Data Input sheet'!$B$7&amp;" "&amp;'Data Input sheet'!$C$7</f>
        <v>Project Title: Battery Storage - Hyde Park</v>
      </c>
      <c r="D1" s="159"/>
      <c r="G1" s="159"/>
      <c r="J1" s="159"/>
      <c r="M1" s="159"/>
      <c r="P1" s="159"/>
      <c r="S1" s="159"/>
      <c r="V1" s="160"/>
    </row>
    <row r="2" spans="1:22" ht="15.75" x14ac:dyDescent="0.25">
      <c r="B2" s="158" t="str">
        <f>+'Data Input sheet'!$B$4&amp;" "&amp;'Data Input sheet'!$C$4</f>
        <v>Estimate #: E-23-373</v>
      </c>
      <c r="C2" s="11"/>
      <c r="D2" s="159"/>
      <c r="E2" s="161" t="s">
        <v>96</v>
      </c>
      <c r="F2" s="11"/>
      <c r="G2" s="159"/>
      <c r="H2" s="161" t="s">
        <v>96</v>
      </c>
      <c r="I2" s="11"/>
      <c r="J2" s="159"/>
      <c r="K2" s="161" t="s">
        <v>96</v>
      </c>
      <c r="L2" s="11"/>
      <c r="M2" s="159"/>
      <c r="N2" s="161" t="s">
        <v>96</v>
      </c>
      <c r="O2" s="11"/>
      <c r="P2" s="159"/>
      <c r="Q2" s="161" t="s">
        <v>96</v>
      </c>
      <c r="R2" s="11"/>
      <c r="S2" s="159"/>
      <c r="T2" s="161" t="s">
        <v>96</v>
      </c>
      <c r="U2" s="11"/>
      <c r="V2" s="162"/>
    </row>
    <row r="3" spans="1:22" ht="15.75" x14ac:dyDescent="0.25">
      <c r="B3" s="158" t="str">
        <f>+'Data Input sheet'!$B$7&amp;" "&amp;'Data Input sheet'!$C$7</f>
        <v>Project Title: Battery Storage - Hyde Park</v>
      </c>
      <c r="D3" s="13"/>
      <c r="E3" s="11"/>
      <c r="G3" s="13"/>
      <c r="H3" s="11"/>
      <c r="J3" s="13"/>
      <c r="K3" s="11"/>
      <c r="M3" s="13"/>
      <c r="N3" s="11"/>
      <c r="P3" s="13"/>
      <c r="Q3" s="11"/>
      <c r="S3" s="13"/>
      <c r="T3" s="11"/>
      <c r="V3" s="160"/>
    </row>
    <row r="4" spans="1:22" ht="15.75" x14ac:dyDescent="0.25">
      <c r="B4" s="158" t="str">
        <f>+'Data Input sheet'!$B$5&amp;" "&amp;'Data Input sheet'!$C$5</f>
        <v>Project Number: 21334</v>
      </c>
      <c r="D4" s="159"/>
      <c r="E4" s="11"/>
      <c r="G4" s="159"/>
      <c r="H4" s="11"/>
      <c r="J4" s="159"/>
      <c r="K4" s="11"/>
      <c r="M4" s="159"/>
      <c r="N4" s="11"/>
      <c r="P4" s="159"/>
      <c r="Q4" s="11"/>
      <c r="S4" s="159"/>
      <c r="T4" s="11"/>
      <c r="V4" s="160"/>
    </row>
    <row r="5" spans="1:22" ht="15.75" x14ac:dyDescent="0.25">
      <c r="B5" s="158" t="str">
        <f>+'Data Input sheet'!$B$6&amp;" "&amp;'Data Input sheet'!$C$6</f>
        <v>WO &amp; Task #: 80089926</v>
      </c>
      <c r="D5" s="13"/>
      <c r="E5" s="11"/>
      <c r="G5" s="13"/>
      <c r="H5" s="11"/>
      <c r="J5" s="13"/>
      <c r="K5" s="11"/>
      <c r="M5" s="13"/>
      <c r="N5" s="11"/>
      <c r="P5" s="13"/>
      <c r="Q5" s="11"/>
      <c r="S5" s="13"/>
      <c r="T5" s="11"/>
      <c r="V5" s="160"/>
    </row>
    <row r="6" spans="1:22" ht="15.75" x14ac:dyDescent="0.25">
      <c r="B6" s="158" t="str">
        <f>'Data Input sheet'!$B$11&amp;TEXT('Data Input sheet'!$C$11,"mm/dd/yyy")</f>
        <v>Date of Estimate:12/08/2023</v>
      </c>
      <c r="D6" s="13"/>
      <c r="E6" s="11"/>
      <c r="G6" s="13"/>
      <c r="H6" s="11"/>
      <c r="J6" s="13"/>
      <c r="K6" s="11"/>
      <c r="M6" s="13"/>
      <c r="N6" s="11"/>
      <c r="P6" s="13"/>
      <c r="Q6" s="11"/>
      <c r="S6" s="13"/>
      <c r="T6" s="11"/>
      <c r="V6" s="160"/>
    </row>
    <row r="7" spans="1:22" ht="15.75" x14ac:dyDescent="0.25">
      <c r="B7" s="158" t="str">
        <f>+'Data Input sheet'!$B$12&amp;" "&amp;'Data Input sheet'!$C$12</f>
        <v>Estimate revision #: 00</v>
      </c>
      <c r="D7" s="13"/>
      <c r="E7" s="11"/>
      <c r="G7" s="13"/>
      <c r="H7" s="11"/>
      <c r="J7" s="13"/>
      <c r="K7" s="11"/>
      <c r="M7" s="13"/>
      <c r="N7" s="11"/>
      <c r="P7" s="13"/>
      <c r="Q7" s="11"/>
      <c r="S7" s="13"/>
      <c r="T7" s="11"/>
      <c r="V7" s="160"/>
    </row>
    <row r="8" spans="1:22" ht="15.75" thickBot="1" x14ac:dyDescent="0.3">
      <c r="A8" s="11"/>
      <c r="B8" s="163" t="str">
        <f>+'Data Input sheet'!M2</f>
        <v>Template Revision # 01.92a</v>
      </c>
      <c r="C8" s="164"/>
      <c r="D8" s="165">
        <f>+'Data Input sheet'!G11</f>
        <v>0</v>
      </c>
      <c r="E8" s="164"/>
      <c r="F8" s="164"/>
      <c r="G8" s="166"/>
      <c r="H8" s="2463"/>
      <c r="I8" s="164"/>
      <c r="J8" s="166"/>
      <c r="K8" s="1773"/>
      <c r="L8" s="164"/>
      <c r="M8" s="166"/>
      <c r="N8" s="1773"/>
      <c r="O8" s="164"/>
      <c r="P8" s="166"/>
      <c r="Q8" s="1773"/>
      <c r="R8" s="164"/>
      <c r="S8" s="166"/>
      <c r="T8" s="164"/>
      <c r="U8" s="164"/>
      <c r="V8" s="167"/>
    </row>
    <row r="9" spans="1:22" ht="38.1" customHeight="1" x14ac:dyDescent="0.25">
      <c r="A9" s="168"/>
      <c r="B9" s="168"/>
      <c r="C9" s="169"/>
      <c r="D9" s="2695" t="s">
        <v>198</v>
      </c>
      <c r="E9" s="2696"/>
      <c r="F9" s="169"/>
      <c r="G9" s="2697"/>
      <c r="H9" s="2698"/>
      <c r="I9" s="169"/>
      <c r="J9" s="2697"/>
      <c r="K9" s="2698"/>
      <c r="L9" s="169"/>
      <c r="M9" s="2697"/>
      <c r="N9" s="2698"/>
      <c r="O9" s="169"/>
      <c r="P9" s="2697"/>
      <c r="Q9" s="2698"/>
      <c r="R9" s="169"/>
      <c r="S9" s="2807" t="s">
        <v>199</v>
      </c>
      <c r="T9" s="2808"/>
      <c r="U9" s="169"/>
      <c r="V9" s="2330" t="s">
        <v>1</v>
      </c>
    </row>
    <row r="10" spans="1:22" ht="15" x14ac:dyDescent="0.25">
      <c r="A10" s="11"/>
      <c r="B10" s="11"/>
      <c r="C10" s="171"/>
      <c r="D10" s="13" t="s">
        <v>200</v>
      </c>
      <c r="E10" s="13" t="s">
        <v>201</v>
      </c>
      <c r="F10" s="171"/>
      <c r="G10" s="13" t="s">
        <v>200</v>
      </c>
      <c r="H10" s="172" t="s">
        <v>201</v>
      </c>
      <c r="I10" s="171"/>
      <c r="J10" s="13" t="s">
        <v>200</v>
      </c>
      <c r="K10" s="172" t="s">
        <v>201</v>
      </c>
      <c r="L10" s="171"/>
      <c r="M10" s="13" t="s">
        <v>200</v>
      </c>
      <c r="N10" s="172" t="s">
        <v>201</v>
      </c>
      <c r="O10" s="171"/>
      <c r="P10" s="13" t="s">
        <v>200</v>
      </c>
      <c r="Q10" s="172" t="s">
        <v>201</v>
      </c>
      <c r="R10" s="171"/>
      <c r="S10" s="13" t="s">
        <v>200</v>
      </c>
      <c r="T10" s="13" t="s">
        <v>201</v>
      </c>
      <c r="U10" s="171"/>
      <c r="V10" s="173"/>
    </row>
    <row r="11" spans="1:22" ht="15.75" thickBot="1" x14ac:dyDescent="0.3">
      <c r="A11" s="11"/>
      <c r="B11" s="174" t="s">
        <v>202</v>
      </c>
      <c r="C11" s="175"/>
      <c r="D11" s="176"/>
      <c r="E11" s="177"/>
      <c r="F11" s="178"/>
      <c r="G11" s="179"/>
      <c r="H11" s="180"/>
      <c r="I11" s="178"/>
      <c r="J11" s="179"/>
      <c r="K11" s="180"/>
      <c r="L11" s="178"/>
      <c r="M11" s="179"/>
      <c r="N11" s="180"/>
      <c r="O11" s="178"/>
      <c r="P11" s="179"/>
      <c r="Q11" s="180"/>
      <c r="R11" s="178"/>
      <c r="S11" s="176"/>
      <c r="T11" s="177"/>
      <c r="U11" s="178"/>
      <c r="V11" s="181"/>
    </row>
    <row r="12" spans="1:22" ht="15" x14ac:dyDescent="0.25">
      <c r="A12" s="11"/>
      <c r="B12" s="182" t="str">
        <f>+'Detail Summary'!G12</f>
        <v xml:space="preserve">Electrical Construction </v>
      </c>
      <c r="C12" s="183"/>
      <c r="D12" s="184">
        <f>+'Detail Summary'!AR12</f>
        <v>0</v>
      </c>
      <c r="E12" s="185">
        <f>+'Detail Summary'!AS12</f>
        <v>0</v>
      </c>
      <c r="F12" s="178"/>
      <c r="G12" s="184">
        <v>0</v>
      </c>
      <c r="H12" s="186">
        <v>0</v>
      </c>
      <c r="I12" s="178"/>
      <c r="J12" s="184">
        <v>0</v>
      </c>
      <c r="K12" s="186">
        <v>0</v>
      </c>
      <c r="L12" s="178"/>
      <c r="M12" s="184">
        <v>0</v>
      </c>
      <c r="N12" s="186">
        <v>0</v>
      </c>
      <c r="O12" s="178"/>
      <c r="P12" s="184">
        <v>0</v>
      </c>
      <c r="Q12" s="186">
        <v>0</v>
      </c>
      <c r="R12" s="178"/>
      <c r="S12" s="184">
        <f t="shared" ref="S12:T20" si="0">+D12-G12</f>
        <v>0</v>
      </c>
      <c r="T12" s="185">
        <f t="shared" si="0"/>
        <v>0</v>
      </c>
      <c r="U12" s="178"/>
      <c r="V12" s="2323"/>
    </row>
    <row r="13" spans="1:22" ht="15" x14ac:dyDescent="0.25">
      <c r="A13" s="11"/>
      <c r="B13" s="182" t="str">
        <f>+'Detail Summary'!G13</f>
        <v xml:space="preserve">General Construction </v>
      </c>
      <c r="C13" s="183"/>
      <c r="D13" s="184">
        <f>+'Detail Summary'!AR13</f>
        <v>0</v>
      </c>
      <c r="E13" s="185">
        <f ca="1">+'Detail Summary'!AS13</f>
        <v>10963.25</v>
      </c>
      <c r="F13" s="178"/>
      <c r="G13" s="184">
        <v>0</v>
      </c>
      <c r="H13" s="186">
        <v>0</v>
      </c>
      <c r="I13" s="178"/>
      <c r="J13" s="184">
        <v>0</v>
      </c>
      <c r="K13" s="186">
        <v>0</v>
      </c>
      <c r="L13" s="178"/>
      <c r="M13" s="184">
        <v>0</v>
      </c>
      <c r="N13" s="186">
        <v>0</v>
      </c>
      <c r="O13" s="178"/>
      <c r="P13" s="184">
        <v>0</v>
      </c>
      <c r="Q13" s="186">
        <v>0</v>
      </c>
      <c r="R13" s="178"/>
      <c r="S13" s="184">
        <f t="shared" si="0"/>
        <v>0</v>
      </c>
      <c r="T13" s="185">
        <f t="shared" ca="1" si="0"/>
        <v>10963.25</v>
      </c>
      <c r="U13" s="178"/>
      <c r="V13" s="2324"/>
    </row>
    <row r="14" spans="1:22" ht="15" x14ac:dyDescent="0.25">
      <c r="A14" s="11"/>
      <c r="B14" s="182" t="str">
        <f>+'Detail Summary'!G14</f>
        <v>SCADA / Automation</v>
      </c>
      <c r="C14" s="183"/>
      <c r="D14" s="184">
        <f>+'Detail Summary'!AR14</f>
        <v>160</v>
      </c>
      <c r="E14" s="185">
        <f ca="1">+'Detail Summary'!AS14</f>
        <v>11435</v>
      </c>
      <c r="F14" s="178"/>
      <c r="G14" s="184">
        <v>0</v>
      </c>
      <c r="H14" s="186">
        <v>0</v>
      </c>
      <c r="I14" s="178"/>
      <c r="J14" s="184">
        <v>0</v>
      </c>
      <c r="K14" s="186">
        <v>0</v>
      </c>
      <c r="L14" s="178"/>
      <c r="M14" s="184">
        <v>0</v>
      </c>
      <c r="N14" s="186">
        <v>0</v>
      </c>
      <c r="O14" s="178"/>
      <c r="P14" s="184">
        <v>0</v>
      </c>
      <c r="Q14" s="186">
        <v>0</v>
      </c>
      <c r="R14" s="178"/>
      <c r="S14" s="184">
        <f t="shared" si="0"/>
        <v>160</v>
      </c>
      <c r="T14" s="185">
        <f t="shared" ca="1" si="0"/>
        <v>11435</v>
      </c>
      <c r="U14" s="178"/>
      <c r="V14" s="2324"/>
    </row>
    <row r="15" spans="1:22" ht="15" x14ac:dyDescent="0.25">
      <c r="A15" s="11"/>
      <c r="B15" s="182" t="str">
        <f>+'Detail Summary'!G15</f>
        <v>Other ( specify)</v>
      </c>
      <c r="C15" s="183"/>
      <c r="D15" s="184">
        <f>+'Detail Summary'!AR15</f>
        <v>0</v>
      </c>
      <c r="E15" s="185">
        <f ca="1">+'Detail Summary'!AS15</f>
        <v>0</v>
      </c>
      <c r="F15" s="178"/>
      <c r="G15" s="184">
        <v>0</v>
      </c>
      <c r="H15" s="186">
        <v>0</v>
      </c>
      <c r="I15" s="178"/>
      <c r="J15" s="184">
        <v>0</v>
      </c>
      <c r="K15" s="186">
        <v>0</v>
      </c>
      <c r="L15" s="178"/>
      <c r="M15" s="184">
        <v>0</v>
      </c>
      <c r="N15" s="186">
        <v>0</v>
      </c>
      <c r="O15" s="178"/>
      <c r="P15" s="184">
        <v>0</v>
      </c>
      <c r="Q15" s="186">
        <v>0</v>
      </c>
      <c r="R15" s="178"/>
      <c r="S15" s="184">
        <f t="shared" ref="S15" si="1">+D15-G15</f>
        <v>0</v>
      </c>
      <c r="T15" s="185">
        <f t="shared" ref="T15" ca="1" si="2">+E15-H15</f>
        <v>0</v>
      </c>
      <c r="U15" s="178"/>
      <c r="V15" s="2324"/>
    </row>
    <row r="16" spans="1:22" ht="15" x14ac:dyDescent="0.25">
      <c r="A16" s="11"/>
      <c r="B16" s="182" t="str">
        <f>+'Detail Summary'!G16</f>
        <v>Construction Reps ( internal)</v>
      </c>
      <c r="C16" s="183"/>
      <c r="D16" s="184">
        <f>+'Detail Summary'!AR16</f>
        <v>0</v>
      </c>
      <c r="E16" s="185">
        <f ca="1">+'Detail Summary'!AS16</f>
        <v>0</v>
      </c>
      <c r="F16" s="178"/>
      <c r="G16" s="184">
        <v>0</v>
      </c>
      <c r="H16" s="186">
        <v>0</v>
      </c>
      <c r="I16" s="178"/>
      <c r="J16" s="184">
        <v>0</v>
      </c>
      <c r="K16" s="186">
        <v>0</v>
      </c>
      <c r="L16" s="178"/>
      <c r="M16" s="184">
        <v>0</v>
      </c>
      <c r="N16" s="186">
        <v>0</v>
      </c>
      <c r="O16" s="178"/>
      <c r="P16" s="184">
        <v>0</v>
      </c>
      <c r="Q16" s="186">
        <v>0</v>
      </c>
      <c r="R16" s="178"/>
      <c r="S16" s="184">
        <f t="shared" si="0"/>
        <v>0</v>
      </c>
      <c r="T16" s="185">
        <f t="shared" ca="1" si="0"/>
        <v>0</v>
      </c>
      <c r="U16" s="178"/>
      <c r="V16" s="2324"/>
    </row>
    <row r="17" spans="1:22" ht="15" x14ac:dyDescent="0.25">
      <c r="A17" s="11"/>
      <c r="B17" s="182" t="str">
        <f>+'Detail Summary'!G17</f>
        <v>Support Switch/Tag</v>
      </c>
      <c r="C17" s="183"/>
      <c r="D17" s="184">
        <f>+'Detail Summary'!AR17</f>
        <v>40</v>
      </c>
      <c r="E17" s="185">
        <f ca="1">+'Detail Summary'!AS17</f>
        <v>2921</v>
      </c>
      <c r="F17" s="178"/>
      <c r="G17" s="184">
        <v>0</v>
      </c>
      <c r="H17" s="186">
        <v>0</v>
      </c>
      <c r="I17" s="178"/>
      <c r="J17" s="184">
        <v>0</v>
      </c>
      <c r="K17" s="186">
        <v>0</v>
      </c>
      <c r="L17" s="178"/>
      <c r="M17" s="184">
        <v>0</v>
      </c>
      <c r="N17" s="186">
        <v>0</v>
      </c>
      <c r="O17" s="178"/>
      <c r="P17" s="184">
        <v>0</v>
      </c>
      <c r="Q17" s="186">
        <v>0</v>
      </c>
      <c r="R17" s="178"/>
      <c r="S17" s="184">
        <f>+D17-G17</f>
        <v>40</v>
      </c>
      <c r="T17" s="185">
        <f t="shared" ca="1" si="0"/>
        <v>2921</v>
      </c>
      <c r="U17" s="178"/>
      <c r="V17" s="2324"/>
    </row>
    <row r="18" spans="1:22" ht="15" x14ac:dyDescent="0.25">
      <c r="A18" s="11"/>
      <c r="B18" s="182" t="str">
        <f>+'Detail Summary'!G18</f>
        <v>Other ( specify)</v>
      </c>
      <c r="C18" s="183"/>
      <c r="D18" s="184">
        <f>+'Detail Summary'!AR18</f>
        <v>0</v>
      </c>
      <c r="E18" s="185">
        <f ca="1">+'Detail Summary'!AS18</f>
        <v>0</v>
      </c>
      <c r="F18" s="178"/>
      <c r="G18" s="184">
        <v>0</v>
      </c>
      <c r="H18" s="186">
        <v>0</v>
      </c>
      <c r="I18" s="178"/>
      <c r="J18" s="184">
        <v>0</v>
      </c>
      <c r="K18" s="186">
        <v>0</v>
      </c>
      <c r="L18" s="178"/>
      <c r="M18" s="184">
        <v>0</v>
      </c>
      <c r="N18" s="186">
        <v>0</v>
      </c>
      <c r="O18" s="178"/>
      <c r="P18" s="184">
        <v>0</v>
      </c>
      <c r="Q18" s="186">
        <v>0</v>
      </c>
      <c r="R18" s="178"/>
      <c r="S18" s="184">
        <f t="shared" si="0"/>
        <v>0</v>
      </c>
      <c r="T18" s="185">
        <f t="shared" ca="1" si="0"/>
        <v>0</v>
      </c>
      <c r="U18" s="178"/>
      <c r="V18" s="2324"/>
    </row>
    <row r="19" spans="1:22" ht="15" x14ac:dyDescent="0.25">
      <c r="A19" s="11"/>
      <c r="B19" s="182" t="str">
        <f>+'Detail Summary'!G19</f>
        <v>Other ( specify)</v>
      </c>
      <c r="C19" s="183"/>
      <c r="D19" s="184">
        <f>+'Detail Summary'!AR19</f>
        <v>0</v>
      </c>
      <c r="E19" s="185">
        <f ca="1">+'Detail Summary'!AS19</f>
        <v>0</v>
      </c>
      <c r="F19" s="178"/>
      <c r="G19" s="184">
        <v>0</v>
      </c>
      <c r="H19" s="186">
        <v>0</v>
      </c>
      <c r="I19" s="178"/>
      <c r="J19" s="184">
        <v>0</v>
      </c>
      <c r="K19" s="186">
        <v>0</v>
      </c>
      <c r="L19" s="178"/>
      <c r="M19" s="184">
        <v>0</v>
      </c>
      <c r="N19" s="186">
        <v>0</v>
      </c>
      <c r="O19" s="178"/>
      <c r="P19" s="184">
        <v>0</v>
      </c>
      <c r="Q19" s="186">
        <v>0</v>
      </c>
      <c r="R19" s="178"/>
      <c r="S19" s="184">
        <f t="shared" si="0"/>
        <v>0</v>
      </c>
      <c r="T19" s="185">
        <f t="shared" ca="1" si="0"/>
        <v>0</v>
      </c>
      <c r="U19" s="178"/>
      <c r="V19" s="2324"/>
    </row>
    <row r="20" spans="1:22" ht="15.75" thickBot="1" x14ac:dyDescent="0.3">
      <c r="A20" s="11"/>
      <c r="B20" s="182" t="str">
        <f>+'Detail Summary'!G20</f>
        <v>Other ( specify)</v>
      </c>
      <c r="C20" s="183"/>
      <c r="D20" s="184">
        <f>+'Detail Summary'!AR20</f>
        <v>0</v>
      </c>
      <c r="E20" s="185">
        <f ca="1">+'Detail Summary'!AS20</f>
        <v>0</v>
      </c>
      <c r="F20" s="178"/>
      <c r="G20" s="184">
        <v>0</v>
      </c>
      <c r="H20" s="186">
        <v>0</v>
      </c>
      <c r="I20" s="178"/>
      <c r="J20" s="184">
        <v>0</v>
      </c>
      <c r="K20" s="186">
        <v>0</v>
      </c>
      <c r="L20" s="178"/>
      <c r="M20" s="184">
        <v>0</v>
      </c>
      <c r="N20" s="186">
        <v>0</v>
      </c>
      <c r="O20" s="178"/>
      <c r="P20" s="184">
        <v>0</v>
      </c>
      <c r="Q20" s="186">
        <v>0</v>
      </c>
      <c r="R20" s="178"/>
      <c r="S20" s="184">
        <f t="shared" si="0"/>
        <v>0</v>
      </c>
      <c r="T20" s="185">
        <f t="shared" ca="1" si="0"/>
        <v>0</v>
      </c>
      <c r="U20" s="178"/>
      <c r="V20" s="2324"/>
    </row>
    <row r="21" spans="1:22" ht="15" x14ac:dyDescent="0.25">
      <c r="A21" s="11"/>
      <c r="B21" s="187" t="str">
        <f>+'Detail Summary'!G21</f>
        <v>LT Total</v>
      </c>
      <c r="C21" s="183"/>
      <c r="D21" s="188">
        <f>SUM(D12:D20)</f>
        <v>200</v>
      </c>
      <c r="E21" s="189">
        <f ca="1">SUM(E12:E20)</f>
        <v>25319.25</v>
      </c>
      <c r="F21" s="178"/>
      <c r="G21" s="190">
        <f>SUM(G12:G20)</f>
        <v>0</v>
      </c>
      <c r="H21" s="191">
        <f>SUM(H12:H20)</f>
        <v>0</v>
      </c>
      <c r="I21" s="178"/>
      <c r="J21" s="190">
        <f>SUM(J12:J20)</f>
        <v>0</v>
      </c>
      <c r="K21" s="191">
        <f>SUM(K12:K20)</f>
        <v>0</v>
      </c>
      <c r="L21" s="178"/>
      <c r="M21" s="190">
        <f>SUM(M12:M20)</f>
        <v>0</v>
      </c>
      <c r="N21" s="191">
        <f>SUM(N12:N20)</f>
        <v>0</v>
      </c>
      <c r="O21" s="178"/>
      <c r="P21" s="190">
        <f>SUM(P12:P20)</f>
        <v>0</v>
      </c>
      <c r="Q21" s="191">
        <f>SUM(Q12:Q20)</f>
        <v>0</v>
      </c>
      <c r="R21" s="178"/>
      <c r="S21" s="188">
        <f>SUM(S12:S20)</f>
        <v>200</v>
      </c>
      <c r="T21" s="189">
        <f ca="1">SUM(T12:T20)</f>
        <v>25319.25</v>
      </c>
      <c r="U21" s="178"/>
      <c r="V21" s="2324"/>
    </row>
    <row r="22" spans="1:22" ht="15" x14ac:dyDescent="0.25">
      <c r="A22" s="11"/>
      <c r="B22" s="182" t="str">
        <f>+'Detail Summary'!G22</f>
        <v xml:space="preserve">Employee Expenses </v>
      </c>
      <c r="C22" s="183"/>
      <c r="D22" s="192">
        <f>+'Detail Summary'!AR22</f>
        <v>0</v>
      </c>
      <c r="E22" s="185">
        <f ca="1">+'Detail Summary'!AS22</f>
        <v>717</v>
      </c>
      <c r="F22" s="178"/>
      <c r="G22" s="184">
        <v>0</v>
      </c>
      <c r="H22" s="186">
        <v>0</v>
      </c>
      <c r="I22" s="178"/>
      <c r="J22" s="184">
        <v>0</v>
      </c>
      <c r="K22" s="186">
        <v>0</v>
      </c>
      <c r="L22" s="178"/>
      <c r="M22" s="184">
        <v>0</v>
      </c>
      <c r="N22" s="186">
        <v>0</v>
      </c>
      <c r="O22" s="178"/>
      <c r="P22" s="184">
        <v>0</v>
      </c>
      <c r="Q22" s="186">
        <v>0</v>
      </c>
      <c r="R22" s="178"/>
      <c r="S22" s="192">
        <f t="shared" ref="S22:T30" si="3">+D22-G22</f>
        <v>0</v>
      </c>
      <c r="T22" s="185">
        <f t="shared" ca="1" si="3"/>
        <v>717</v>
      </c>
      <c r="U22" s="178"/>
      <c r="V22" s="2324"/>
    </row>
    <row r="23" spans="1:22" ht="15" x14ac:dyDescent="0.25">
      <c r="A23" s="11"/>
      <c r="B23" s="193" t="str">
        <f>+'Detail Summary'!G23</f>
        <v>Constr. Purchased Mat'l (Eversource)</v>
      </c>
      <c r="C23" s="183"/>
      <c r="D23" s="192">
        <f>+'Detail Summary'!AR23</f>
        <v>0</v>
      </c>
      <c r="E23" s="185">
        <f ca="1">+'Detail Summary'!AS23</f>
        <v>0</v>
      </c>
      <c r="F23" s="178"/>
      <c r="G23" s="184">
        <v>0</v>
      </c>
      <c r="H23" s="186">
        <v>0</v>
      </c>
      <c r="I23" s="178"/>
      <c r="J23" s="184">
        <v>0</v>
      </c>
      <c r="K23" s="186">
        <v>0</v>
      </c>
      <c r="L23" s="178"/>
      <c r="M23" s="184">
        <v>0</v>
      </c>
      <c r="N23" s="186">
        <v>0</v>
      </c>
      <c r="O23" s="178"/>
      <c r="P23" s="184">
        <v>0</v>
      </c>
      <c r="Q23" s="186">
        <v>0</v>
      </c>
      <c r="R23" s="178"/>
      <c r="S23" s="192">
        <f t="shared" si="3"/>
        <v>0</v>
      </c>
      <c r="T23" s="185">
        <f t="shared" ca="1" si="3"/>
        <v>0</v>
      </c>
      <c r="U23" s="178"/>
      <c r="V23" s="2324"/>
    </row>
    <row r="24" spans="1:22" ht="15" x14ac:dyDescent="0.25">
      <c r="A24" s="11"/>
      <c r="B24" s="193" t="str">
        <f>+'Detail Summary'!G24</f>
        <v>Constr. Purchased Mat'l (contracted)</v>
      </c>
      <c r="C24" s="183"/>
      <c r="D24" s="192">
        <f>+'Detail Summary'!AR24</f>
        <v>0</v>
      </c>
      <c r="E24" s="185">
        <f>+'Detail Summary'!AS24</f>
        <v>20240</v>
      </c>
      <c r="F24" s="178"/>
      <c r="G24" s="184">
        <v>0</v>
      </c>
      <c r="H24" s="186">
        <v>0</v>
      </c>
      <c r="I24" s="178"/>
      <c r="J24" s="184">
        <v>0</v>
      </c>
      <c r="K24" s="186">
        <v>0</v>
      </c>
      <c r="L24" s="178"/>
      <c r="M24" s="184">
        <v>0</v>
      </c>
      <c r="N24" s="186">
        <v>0</v>
      </c>
      <c r="O24" s="178"/>
      <c r="P24" s="184">
        <v>0</v>
      </c>
      <c r="Q24" s="186">
        <v>0</v>
      </c>
      <c r="R24" s="178"/>
      <c r="S24" s="192">
        <f t="shared" ref="S24" si="4">+D24-G24</f>
        <v>0</v>
      </c>
      <c r="T24" s="185">
        <f t="shared" ref="T24" si="5">+E24-H24</f>
        <v>20240</v>
      </c>
      <c r="U24" s="178"/>
      <c r="V24" s="2324"/>
    </row>
    <row r="25" spans="1:22" ht="15" x14ac:dyDescent="0.25">
      <c r="A25" s="11"/>
      <c r="B25" s="193" t="str">
        <f>+'Detail Summary'!G25</f>
        <v>Outside Construction Vendor</v>
      </c>
      <c r="C25" s="183"/>
      <c r="D25" s="192">
        <f>+'Detail Summary'!AR25</f>
        <v>17605.108172043012</v>
      </c>
      <c r="E25" s="185">
        <f>+'Detail Summary'!AS25</f>
        <v>4048097.642306569</v>
      </c>
      <c r="F25" s="178"/>
      <c r="G25" s="184">
        <v>0</v>
      </c>
      <c r="H25" s="186">
        <v>0</v>
      </c>
      <c r="I25" s="178"/>
      <c r="J25" s="184">
        <v>0</v>
      </c>
      <c r="K25" s="186">
        <v>0</v>
      </c>
      <c r="L25" s="178"/>
      <c r="M25" s="184">
        <v>0</v>
      </c>
      <c r="N25" s="186">
        <v>0</v>
      </c>
      <c r="O25" s="178"/>
      <c r="P25" s="184">
        <v>0</v>
      </c>
      <c r="Q25" s="186">
        <v>0</v>
      </c>
      <c r="R25" s="178"/>
      <c r="S25" s="192">
        <f t="shared" si="3"/>
        <v>17605.108172043012</v>
      </c>
      <c r="T25" s="185">
        <f t="shared" si="3"/>
        <v>4048097.642306569</v>
      </c>
      <c r="U25" s="178"/>
      <c r="V25" s="2324" t="s">
        <v>96</v>
      </c>
    </row>
    <row r="26" spans="1:22" ht="15" x14ac:dyDescent="0.25">
      <c r="A26" s="11"/>
      <c r="B26" s="193" t="str">
        <f>+'Detail Summary'!G26</f>
        <v>Sales tax on Constr. Vendor</v>
      </c>
      <c r="C26" s="183"/>
      <c r="D26" s="192">
        <f>+'Detail Summary'!AR26</f>
        <v>0</v>
      </c>
      <c r="E26" s="185">
        <f>+'Detail Summary'!AS26</f>
        <v>0</v>
      </c>
      <c r="F26" s="178"/>
      <c r="G26" s="184">
        <v>0</v>
      </c>
      <c r="H26" s="186">
        <v>0</v>
      </c>
      <c r="I26" s="178"/>
      <c r="J26" s="184">
        <v>0</v>
      </c>
      <c r="K26" s="186">
        <v>0</v>
      </c>
      <c r="L26" s="178"/>
      <c r="M26" s="184">
        <v>0</v>
      </c>
      <c r="N26" s="186">
        <v>0</v>
      </c>
      <c r="O26" s="178"/>
      <c r="P26" s="184">
        <v>0</v>
      </c>
      <c r="Q26" s="186">
        <v>0</v>
      </c>
      <c r="R26" s="178"/>
      <c r="S26" s="192">
        <f t="shared" si="3"/>
        <v>0</v>
      </c>
      <c r="T26" s="185">
        <f t="shared" si="3"/>
        <v>0</v>
      </c>
      <c r="U26" s="178"/>
      <c r="V26" s="2324"/>
    </row>
    <row r="27" spans="1:22" ht="15" x14ac:dyDescent="0.25">
      <c r="A27" s="11"/>
      <c r="B27" s="182" t="str">
        <f>+'Detail Summary'!G27</f>
        <v>Vehicles ( now in indirects section)</v>
      </c>
      <c r="C27" s="183"/>
      <c r="D27" s="194">
        <f>+'Detail Summary'!AR27</f>
        <v>0</v>
      </c>
      <c r="E27" s="195">
        <f ca="1">+'Detail Summary'!AS27</f>
        <v>0</v>
      </c>
      <c r="F27" s="178"/>
      <c r="G27" s="196">
        <v>0</v>
      </c>
      <c r="H27" s="197">
        <v>0</v>
      </c>
      <c r="I27" s="178"/>
      <c r="J27" s="196">
        <v>0</v>
      </c>
      <c r="K27" s="197">
        <v>0</v>
      </c>
      <c r="L27" s="178"/>
      <c r="M27" s="196">
        <v>0</v>
      </c>
      <c r="N27" s="197">
        <v>0</v>
      </c>
      <c r="O27" s="178"/>
      <c r="P27" s="196">
        <v>0</v>
      </c>
      <c r="Q27" s="197">
        <v>0</v>
      </c>
      <c r="R27" s="178"/>
      <c r="S27" s="194">
        <f t="shared" si="3"/>
        <v>0</v>
      </c>
      <c r="T27" s="195">
        <f t="shared" ca="1" si="3"/>
        <v>0</v>
      </c>
      <c r="U27" s="178"/>
      <c r="V27" s="2324"/>
    </row>
    <row r="28" spans="1:22" ht="15" x14ac:dyDescent="0.25">
      <c r="A28" s="11"/>
      <c r="B28" s="198" t="str">
        <f>+'Detail Summary'!G28</f>
        <v>Inspection services ( Outside Vendor)</v>
      </c>
      <c r="C28" s="183"/>
      <c r="D28" s="192">
        <f>+'Detail Summary'!AR28</f>
        <v>0</v>
      </c>
      <c r="E28" s="185">
        <f>+'Detail Summary'!AS28</f>
        <v>0</v>
      </c>
      <c r="F28" s="178"/>
      <c r="G28" s="184">
        <v>0</v>
      </c>
      <c r="H28" s="186">
        <v>0</v>
      </c>
      <c r="I28" s="178"/>
      <c r="J28" s="184">
        <v>0</v>
      </c>
      <c r="K28" s="186">
        <v>0</v>
      </c>
      <c r="L28" s="178"/>
      <c r="M28" s="184">
        <v>0</v>
      </c>
      <c r="N28" s="186">
        <v>0</v>
      </c>
      <c r="O28" s="178"/>
      <c r="P28" s="184">
        <v>0</v>
      </c>
      <c r="Q28" s="186">
        <v>0</v>
      </c>
      <c r="R28" s="178"/>
      <c r="S28" s="192">
        <f t="shared" ref="S28" si="6">+D28-G28</f>
        <v>0</v>
      </c>
      <c r="T28" s="185">
        <f t="shared" ref="T28" si="7">+E28-H28</f>
        <v>0</v>
      </c>
      <c r="U28" s="178"/>
      <c r="V28" s="2324"/>
    </row>
    <row r="29" spans="1:22" ht="15" x14ac:dyDescent="0.25">
      <c r="A29" s="11"/>
      <c r="B29" s="198" t="str">
        <f>+'Detail Summary'!G29</f>
        <v>Construction Rep (Outside vendor)</v>
      </c>
      <c r="C29" s="183"/>
      <c r="D29" s="192">
        <f>+'Detail Summary'!AR29</f>
        <v>2762</v>
      </c>
      <c r="E29" s="185">
        <f>+'Detail Summary'!AS29</f>
        <v>475792</v>
      </c>
      <c r="F29" s="178"/>
      <c r="G29" s="184">
        <v>0</v>
      </c>
      <c r="H29" s="186">
        <v>0</v>
      </c>
      <c r="I29" s="178"/>
      <c r="J29" s="184">
        <v>0</v>
      </c>
      <c r="K29" s="186">
        <v>0</v>
      </c>
      <c r="L29" s="178"/>
      <c r="M29" s="184">
        <v>0</v>
      </c>
      <c r="N29" s="186">
        <v>0</v>
      </c>
      <c r="O29" s="178"/>
      <c r="P29" s="184">
        <v>0</v>
      </c>
      <c r="Q29" s="186">
        <v>0</v>
      </c>
      <c r="R29" s="178"/>
      <c r="S29" s="192">
        <f t="shared" si="3"/>
        <v>2762</v>
      </c>
      <c r="T29" s="185">
        <f t="shared" si="3"/>
        <v>475792</v>
      </c>
      <c r="U29" s="178"/>
      <c r="V29" s="2324"/>
    </row>
    <row r="30" spans="1:22" ht="15" x14ac:dyDescent="0.25">
      <c r="A30" s="11"/>
      <c r="B30" s="182" t="str">
        <f>+'Detail Summary'!G30</f>
        <v>Rents and Leases</v>
      </c>
      <c r="C30" s="178"/>
      <c r="D30" s="199">
        <f>+'Detail Summary'!AR30</f>
        <v>0</v>
      </c>
      <c r="E30" s="200">
        <f>+'Detail Summary'!AS30</f>
        <v>0</v>
      </c>
      <c r="F30" s="178"/>
      <c r="G30" s="201">
        <v>0</v>
      </c>
      <c r="H30" s="202">
        <v>0</v>
      </c>
      <c r="I30" s="178"/>
      <c r="J30" s="201">
        <v>0</v>
      </c>
      <c r="K30" s="202">
        <v>0</v>
      </c>
      <c r="L30" s="178"/>
      <c r="M30" s="201">
        <v>0</v>
      </c>
      <c r="N30" s="202">
        <v>0</v>
      </c>
      <c r="O30" s="178"/>
      <c r="P30" s="201">
        <v>0</v>
      </c>
      <c r="Q30" s="202">
        <v>0</v>
      </c>
      <c r="R30" s="178"/>
      <c r="S30" s="199">
        <f t="shared" si="3"/>
        <v>0</v>
      </c>
      <c r="T30" s="200">
        <f t="shared" si="3"/>
        <v>0</v>
      </c>
      <c r="U30" s="178"/>
      <c r="V30" s="2324"/>
    </row>
    <row r="31" spans="1:22" ht="15" x14ac:dyDescent="0.25">
      <c r="A31" s="11"/>
      <c r="B31" s="203" t="str">
        <f>+'Detail Summary'!G31</f>
        <v>CSTXX Subtotal</v>
      </c>
      <c r="C31" s="183"/>
      <c r="D31" s="192">
        <f>SUM(D12:D30)-D21</f>
        <v>20567.108172043012</v>
      </c>
      <c r="E31" s="185">
        <f ca="1">SUM(E12:E30)-E21</f>
        <v>4570165.892306569</v>
      </c>
      <c r="F31" s="178"/>
      <c r="G31" s="184">
        <f>SUM(G12:G30)-G21</f>
        <v>0</v>
      </c>
      <c r="H31" s="186">
        <f>SUM(H12:H30)-H21</f>
        <v>0</v>
      </c>
      <c r="I31" s="178"/>
      <c r="J31" s="184">
        <f>SUM(J12:J30)-J21</f>
        <v>0</v>
      </c>
      <c r="K31" s="186">
        <f>SUM(K12:K30)-K21</f>
        <v>0</v>
      </c>
      <c r="L31" s="178"/>
      <c r="M31" s="184">
        <f>SUM(M12:M30)-M21</f>
        <v>0</v>
      </c>
      <c r="N31" s="186">
        <f>SUM(N12:N30)-N21</f>
        <v>0</v>
      </c>
      <c r="O31" s="178"/>
      <c r="P31" s="184">
        <f>SUM(P12:P30)-P21</f>
        <v>0</v>
      </c>
      <c r="Q31" s="186">
        <f>SUM(Q12:Q30)-Q21</f>
        <v>0</v>
      </c>
      <c r="R31" s="178"/>
      <c r="S31" s="192">
        <f>SUM(S12:S30)-S21</f>
        <v>20567.108172043012</v>
      </c>
      <c r="T31" s="185">
        <f ca="1">SUM(T12:T30)-T21</f>
        <v>4570165.892306569</v>
      </c>
      <c r="U31" s="178"/>
      <c r="V31" s="2324"/>
    </row>
    <row r="32" spans="1:22" ht="15" x14ac:dyDescent="0.25">
      <c r="A32" s="11"/>
      <c r="B32" s="9" t="str">
        <f>+'Detail Summary'!G32</f>
        <v>Escalation</v>
      </c>
      <c r="C32" s="178"/>
      <c r="D32" s="204">
        <f>+'Detail Summary'!AR32</f>
        <v>0</v>
      </c>
      <c r="E32" s="205">
        <f>+'Detail Summary'!AS32</f>
        <v>0</v>
      </c>
      <c r="F32" s="178"/>
      <c r="G32" s="206">
        <v>0</v>
      </c>
      <c r="H32" s="207">
        <v>0</v>
      </c>
      <c r="I32" s="178"/>
      <c r="J32" s="206">
        <v>0</v>
      </c>
      <c r="K32" s="207">
        <v>0</v>
      </c>
      <c r="L32" s="178"/>
      <c r="M32" s="206">
        <v>0</v>
      </c>
      <c r="N32" s="207">
        <v>0</v>
      </c>
      <c r="O32" s="178"/>
      <c r="P32" s="206">
        <v>0</v>
      </c>
      <c r="Q32" s="207">
        <v>0</v>
      </c>
      <c r="R32" s="178"/>
      <c r="S32" s="204">
        <f>+D32-G32</f>
        <v>0</v>
      </c>
      <c r="T32" s="205">
        <f>+E32-H32</f>
        <v>0</v>
      </c>
      <c r="U32" s="178"/>
      <c r="V32" s="2324"/>
    </row>
    <row r="33" spans="1:22" ht="15" x14ac:dyDescent="0.25">
      <c r="A33" s="11"/>
      <c r="B33" s="9">
        <f>+'Detail Summary'!G33</f>
        <v>0</v>
      </c>
      <c r="C33" s="178"/>
      <c r="D33" s="208">
        <f>+'Detail Summary'!AR33</f>
        <v>0</v>
      </c>
      <c r="E33" s="209">
        <f ca="1">+'Detail Summary'!AS33</f>
        <v>0</v>
      </c>
      <c r="F33" s="178"/>
      <c r="G33" s="210">
        <v>0</v>
      </c>
      <c r="H33" s="211">
        <v>0</v>
      </c>
      <c r="I33" s="178"/>
      <c r="J33" s="210">
        <v>0</v>
      </c>
      <c r="K33" s="211">
        <v>0</v>
      </c>
      <c r="L33" s="178"/>
      <c r="M33" s="210">
        <v>0</v>
      </c>
      <c r="N33" s="211">
        <v>0</v>
      </c>
      <c r="O33" s="178"/>
      <c r="P33" s="210">
        <v>0</v>
      </c>
      <c r="Q33" s="211">
        <v>0</v>
      </c>
      <c r="R33" s="178"/>
      <c r="S33" s="208">
        <f>+D33-G33</f>
        <v>0</v>
      </c>
      <c r="T33" s="209">
        <f ca="1">+E33-H33</f>
        <v>0</v>
      </c>
      <c r="U33" s="178"/>
      <c r="V33" s="2324"/>
    </row>
    <row r="34" spans="1:22" ht="15.75" thickBot="1" x14ac:dyDescent="0.3">
      <c r="A34" s="11"/>
      <c r="B34" s="212" t="str">
        <f>+'Detail Summary'!G34</f>
        <v>CSTXX Total</v>
      </c>
      <c r="C34" s="178"/>
      <c r="D34" s="213">
        <f>+D33+D32+D31</f>
        <v>20567.108172043012</v>
      </c>
      <c r="E34" s="214">
        <f ca="1">+E33+E32+E31</f>
        <v>4570165.892306569</v>
      </c>
      <c r="F34" s="178"/>
      <c r="G34" s="215">
        <f>+G33+G32+G31</f>
        <v>0</v>
      </c>
      <c r="H34" s="216">
        <f>+H33+H32+H31</f>
        <v>0</v>
      </c>
      <c r="I34" s="178"/>
      <c r="J34" s="215">
        <f>+J33+J32+J31</f>
        <v>0</v>
      </c>
      <c r="K34" s="216">
        <f>+K33+K32+K31</f>
        <v>0</v>
      </c>
      <c r="L34" s="178"/>
      <c r="M34" s="215">
        <f>+M33+M32+M31</f>
        <v>0</v>
      </c>
      <c r="N34" s="216">
        <f>+N33+N32+N31</f>
        <v>0</v>
      </c>
      <c r="O34" s="178"/>
      <c r="P34" s="215">
        <f>+P33+P32+P31</f>
        <v>0</v>
      </c>
      <c r="Q34" s="216">
        <f>+Q33+Q32+Q31</f>
        <v>0</v>
      </c>
      <c r="R34" s="178"/>
      <c r="S34" s="213">
        <f>+S33+S32+S31</f>
        <v>20567.108172043012</v>
      </c>
      <c r="T34" s="214">
        <f ca="1">+T33+T32+T31</f>
        <v>4570165.892306569</v>
      </c>
      <c r="U34" s="178"/>
      <c r="V34" s="2324"/>
    </row>
    <row r="35" spans="1:22" ht="15" x14ac:dyDescent="0.25">
      <c r="A35" s="11"/>
      <c r="B35" s="11" t="str">
        <f>+'Detail Summary'!G35</f>
        <v>ENRXX-TG ENGINEERING/DESIGN</v>
      </c>
      <c r="C35" s="178"/>
      <c r="D35" s="208">
        <f>+'Detail Summary'!AR35</f>
        <v>0</v>
      </c>
      <c r="E35" s="217">
        <f>+'Detail Summary'!AS35</f>
        <v>0</v>
      </c>
      <c r="F35" s="178"/>
      <c r="G35" s="210">
        <v>0</v>
      </c>
      <c r="H35" s="218">
        <v>0</v>
      </c>
      <c r="I35" s="178"/>
      <c r="J35" s="210">
        <v>0</v>
      </c>
      <c r="K35" s="218">
        <v>0</v>
      </c>
      <c r="L35" s="178"/>
      <c r="M35" s="210">
        <v>0</v>
      </c>
      <c r="N35" s="218">
        <v>0</v>
      </c>
      <c r="O35" s="178"/>
      <c r="P35" s="210">
        <v>0</v>
      </c>
      <c r="Q35" s="218">
        <v>0</v>
      </c>
      <c r="R35" s="178"/>
      <c r="S35" s="208">
        <f t="shared" ref="S35:T36" si="8">+D35-G35</f>
        <v>0</v>
      </c>
      <c r="T35" s="217">
        <f t="shared" si="8"/>
        <v>0</v>
      </c>
      <c r="U35" s="178"/>
      <c r="V35" s="2324"/>
    </row>
    <row r="36" spans="1:22" ht="15" x14ac:dyDescent="0.25">
      <c r="A36" s="11"/>
      <c r="B36" s="182" t="str">
        <f>+'Detail Summary'!G36</f>
        <v>Project Services/Drafting</v>
      </c>
      <c r="C36" s="183"/>
      <c r="D36" s="184">
        <f>+'Detail Summary'!AR36</f>
        <v>380</v>
      </c>
      <c r="E36" s="185">
        <f ca="1">+'Detail Summary'!AS36</f>
        <v>27128</v>
      </c>
      <c r="F36" s="178"/>
      <c r="G36" s="184">
        <v>0</v>
      </c>
      <c r="H36" s="186">
        <v>0</v>
      </c>
      <c r="I36" s="178"/>
      <c r="J36" s="184">
        <v>0</v>
      </c>
      <c r="K36" s="186">
        <v>0</v>
      </c>
      <c r="L36" s="178"/>
      <c r="M36" s="184">
        <v>0</v>
      </c>
      <c r="N36" s="186">
        <v>0</v>
      </c>
      <c r="O36" s="178"/>
      <c r="P36" s="184">
        <v>0</v>
      </c>
      <c r="Q36" s="186">
        <v>0</v>
      </c>
      <c r="R36" s="178"/>
      <c r="S36" s="184">
        <f t="shared" si="8"/>
        <v>380</v>
      </c>
      <c r="T36" s="185">
        <f t="shared" ca="1" si="8"/>
        <v>27128</v>
      </c>
      <c r="U36" s="178"/>
      <c r="V36" s="2324"/>
    </row>
    <row r="37" spans="1:22" ht="15" x14ac:dyDescent="0.25">
      <c r="A37" s="11"/>
      <c r="B37" s="182" t="str">
        <f>+'Detail Summary'!G37</f>
        <v>T- Line Engineering/Design</v>
      </c>
      <c r="C37" s="183"/>
      <c r="D37" s="184">
        <f>+'Detail Summary'!AR37</f>
        <v>0</v>
      </c>
      <c r="E37" s="185">
        <f ca="1">+'Detail Summary'!AS37</f>
        <v>0</v>
      </c>
      <c r="F37" s="178"/>
      <c r="G37" s="184">
        <v>0</v>
      </c>
      <c r="H37" s="186">
        <v>0</v>
      </c>
      <c r="I37" s="178"/>
      <c r="J37" s="184">
        <v>0</v>
      </c>
      <c r="K37" s="186">
        <v>0</v>
      </c>
      <c r="L37" s="178"/>
      <c r="M37" s="184">
        <v>0</v>
      </c>
      <c r="N37" s="186">
        <v>0</v>
      </c>
      <c r="O37" s="178"/>
      <c r="P37" s="184">
        <v>0</v>
      </c>
      <c r="Q37" s="186">
        <v>0</v>
      </c>
      <c r="R37" s="178"/>
      <c r="S37" s="184">
        <f t="shared" ref="S37:S47" si="9">+D37-G37</f>
        <v>0</v>
      </c>
      <c r="T37" s="185">
        <f t="shared" ref="T37:T47" ca="1" si="10">+E37-H37</f>
        <v>0</v>
      </c>
      <c r="U37" s="178"/>
      <c r="V37" s="2324"/>
    </row>
    <row r="38" spans="1:22" ht="15" x14ac:dyDescent="0.25">
      <c r="A38" s="11"/>
      <c r="B38" s="182" t="str">
        <f>+'Detail Summary'!G38</f>
        <v>D- Street Engineering/Design</v>
      </c>
      <c r="C38" s="183"/>
      <c r="D38" s="184">
        <f>+'Detail Summary'!AR38</f>
        <v>0</v>
      </c>
      <c r="E38" s="185">
        <f ca="1">+'Detail Summary'!AS38</f>
        <v>0</v>
      </c>
      <c r="F38" s="178"/>
      <c r="G38" s="184">
        <v>0</v>
      </c>
      <c r="H38" s="186">
        <v>0</v>
      </c>
      <c r="I38" s="178"/>
      <c r="J38" s="184">
        <v>0</v>
      </c>
      <c r="K38" s="186">
        <v>0</v>
      </c>
      <c r="L38" s="178"/>
      <c r="M38" s="184">
        <v>0</v>
      </c>
      <c r="N38" s="186">
        <v>0</v>
      </c>
      <c r="O38" s="178"/>
      <c r="P38" s="184">
        <v>0</v>
      </c>
      <c r="Q38" s="186">
        <v>0</v>
      </c>
      <c r="R38" s="178"/>
      <c r="S38" s="184">
        <f t="shared" si="9"/>
        <v>0</v>
      </c>
      <c r="T38" s="185">
        <f t="shared" ca="1" si="10"/>
        <v>0</v>
      </c>
      <c r="U38" s="178"/>
      <c r="V38" s="2324"/>
    </row>
    <row r="39" spans="1:22" ht="15" x14ac:dyDescent="0.25">
      <c r="A39" s="11"/>
      <c r="B39" s="182" t="str">
        <f>+'Detail Summary'!G39</f>
        <v xml:space="preserve">Civil Engineering/Design </v>
      </c>
      <c r="C39" s="183"/>
      <c r="D39" s="184">
        <f>+'Detail Summary'!AR39</f>
        <v>120</v>
      </c>
      <c r="E39" s="185">
        <f ca="1">+'Detail Summary'!AS39</f>
        <v>8431</v>
      </c>
      <c r="F39" s="178"/>
      <c r="G39" s="184">
        <v>0</v>
      </c>
      <c r="H39" s="186">
        <v>0</v>
      </c>
      <c r="I39" s="178"/>
      <c r="J39" s="184">
        <v>0</v>
      </c>
      <c r="K39" s="186">
        <v>0</v>
      </c>
      <c r="L39" s="178"/>
      <c r="M39" s="184">
        <v>0</v>
      </c>
      <c r="N39" s="186">
        <v>0</v>
      </c>
      <c r="O39" s="178"/>
      <c r="P39" s="184">
        <v>0</v>
      </c>
      <c r="Q39" s="186">
        <v>0</v>
      </c>
      <c r="R39" s="178"/>
      <c r="S39" s="184">
        <f t="shared" si="9"/>
        <v>120</v>
      </c>
      <c r="T39" s="185">
        <f t="shared" ca="1" si="10"/>
        <v>8431</v>
      </c>
      <c r="U39" s="178"/>
      <c r="V39" s="2324"/>
    </row>
    <row r="40" spans="1:22" ht="15" x14ac:dyDescent="0.25">
      <c r="A40" s="11"/>
      <c r="B40" s="182" t="str">
        <f>+'Detail Summary'!G40</f>
        <v xml:space="preserve">Substation (T) Engineering/Design </v>
      </c>
      <c r="C40" s="183"/>
      <c r="D40" s="184">
        <f>+'Detail Summary'!AR40</f>
        <v>360</v>
      </c>
      <c r="E40" s="185">
        <f ca="1">+'Detail Summary'!AS40</f>
        <v>30015</v>
      </c>
      <c r="F40" s="178"/>
      <c r="G40" s="184">
        <v>0</v>
      </c>
      <c r="H40" s="186">
        <v>0</v>
      </c>
      <c r="I40" s="178"/>
      <c r="J40" s="184">
        <v>0</v>
      </c>
      <c r="K40" s="186">
        <v>0</v>
      </c>
      <c r="L40" s="178"/>
      <c r="M40" s="184">
        <v>0</v>
      </c>
      <c r="N40" s="186">
        <v>0</v>
      </c>
      <c r="O40" s="178"/>
      <c r="P40" s="184">
        <v>0</v>
      </c>
      <c r="Q40" s="186">
        <v>0</v>
      </c>
      <c r="R40" s="178"/>
      <c r="S40" s="184">
        <f t="shared" si="9"/>
        <v>360</v>
      </c>
      <c r="T40" s="185">
        <f t="shared" ca="1" si="10"/>
        <v>30015</v>
      </c>
      <c r="U40" s="178"/>
      <c r="V40" s="2324"/>
    </row>
    <row r="41" spans="1:22" ht="15" x14ac:dyDescent="0.25">
      <c r="A41" s="11"/>
      <c r="B41" s="182" t="str">
        <f>+'Detail Summary'!G41</f>
        <v>Substation (D) Engineering/Design</v>
      </c>
      <c r="C41" s="183"/>
      <c r="D41" s="184">
        <f>+'Detail Summary'!AR41</f>
        <v>0</v>
      </c>
      <c r="E41" s="185">
        <f ca="1">+'Detail Summary'!AS41</f>
        <v>0</v>
      </c>
      <c r="F41" s="178"/>
      <c r="G41" s="184">
        <v>0</v>
      </c>
      <c r="H41" s="186">
        <v>0</v>
      </c>
      <c r="I41" s="178"/>
      <c r="J41" s="184">
        <v>0</v>
      </c>
      <c r="K41" s="186">
        <v>0</v>
      </c>
      <c r="L41" s="178"/>
      <c r="M41" s="184">
        <v>0</v>
      </c>
      <c r="N41" s="186">
        <v>0</v>
      </c>
      <c r="O41" s="178"/>
      <c r="P41" s="184">
        <v>0</v>
      </c>
      <c r="Q41" s="186">
        <v>0</v>
      </c>
      <c r="R41" s="178"/>
      <c r="S41" s="184">
        <f t="shared" si="9"/>
        <v>0</v>
      </c>
      <c r="T41" s="185">
        <f t="shared" ca="1" si="10"/>
        <v>0</v>
      </c>
      <c r="U41" s="178"/>
      <c r="V41" s="2324"/>
    </row>
    <row r="42" spans="1:22" ht="15" x14ac:dyDescent="0.25">
      <c r="A42" s="11"/>
      <c r="B42" s="182" t="str">
        <f>+'Detail Summary'!G42</f>
        <v xml:space="preserve">Protection &amp; Controls Engineering </v>
      </c>
      <c r="C42" s="183"/>
      <c r="D42" s="184">
        <f>+'Detail Summary'!AR42</f>
        <v>880</v>
      </c>
      <c r="E42" s="185">
        <f ca="1">+'Detail Summary'!AS42</f>
        <v>60848</v>
      </c>
      <c r="F42" s="178"/>
      <c r="G42" s="184">
        <v>0</v>
      </c>
      <c r="H42" s="186">
        <v>0</v>
      </c>
      <c r="I42" s="178"/>
      <c r="J42" s="184">
        <v>0</v>
      </c>
      <c r="K42" s="186">
        <v>0</v>
      </c>
      <c r="L42" s="178"/>
      <c r="M42" s="184">
        <v>0</v>
      </c>
      <c r="N42" s="186">
        <v>0</v>
      </c>
      <c r="O42" s="178"/>
      <c r="P42" s="184">
        <v>0</v>
      </c>
      <c r="Q42" s="186">
        <v>0</v>
      </c>
      <c r="R42" s="178"/>
      <c r="S42" s="184">
        <f t="shared" si="9"/>
        <v>880</v>
      </c>
      <c r="T42" s="185">
        <f t="shared" ca="1" si="10"/>
        <v>60848</v>
      </c>
      <c r="U42" s="178"/>
      <c r="V42" s="2324"/>
    </row>
    <row r="43" spans="1:22" ht="15" x14ac:dyDescent="0.25">
      <c r="A43" s="11"/>
      <c r="B43" s="182" t="str">
        <f>+'Detail Summary'!G43</f>
        <v>Survey Engineering</v>
      </c>
      <c r="C43" s="183"/>
      <c r="D43" s="184">
        <f>+'Detail Summary'!AR43</f>
        <v>0</v>
      </c>
      <c r="E43" s="185">
        <f>+'Detail Summary'!AS43</f>
        <v>0</v>
      </c>
      <c r="F43" s="178"/>
      <c r="G43" s="184">
        <v>0</v>
      </c>
      <c r="H43" s="186">
        <v>0</v>
      </c>
      <c r="I43" s="178"/>
      <c r="J43" s="184">
        <v>0</v>
      </c>
      <c r="K43" s="186">
        <v>0</v>
      </c>
      <c r="L43" s="178"/>
      <c r="M43" s="184">
        <v>0</v>
      </c>
      <c r="N43" s="186">
        <v>0</v>
      </c>
      <c r="O43" s="178"/>
      <c r="P43" s="184">
        <v>0</v>
      </c>
      <c r="Q43" s="186">
        <v>0</v>
      </c>
      <c r="R43" s="178"/>
      <c r="S43" s="184">
        <f t="shared" si="9"/>
        <v>0</v>
      </c>
      <c r="T43" s="185">
        <f t="shared" si="10"/>
        <v>0</v>
      </c>
      <c r="U43" s="178"/>
      <c r="V43" s="2324"/>
    </row>
    <row r="44" spans="1:22" ht="15" x14ac:dyDescent="0.25">
      <c r="A44" s="11"/>
      <c r="B44" s="182" t="str">
        <f>+'Detail Summary'!G44</f>
        <v>SCADA / Automation Engineering</v>
      </c>
      <c r="C44" s="183"/>
      <c r="D44" s="184">
        <f>+'Detail Summary'!AR44</f>
        <v>280</v>
      </c>
      <c r="E44" s="185">
        <f ca="1">+'Detail Summary'!AS44</f>
        <v>20552</v>
      </c>
      <c r="F44" s="178"/>
      <c r="G44" s="184">
        <v>0</v>
      </c>
      <c r="H44" s="186">
        <v>0</v>
      </c>
      <c r="I44" s="178"/>
      <c r="J44" s="184">
        <v>0</v>
      </c>
      <c r="K44" s="186">
        <v>0</v>
      </c>
      <c r="L44" s="178"/>
      <c r="M44" s="184">
        <v>0</v>
      </c>
      <c r="N44" s="186">
        <v>0</v>
      </c>
      <c r="O44" s="178"/>
      <c r="P44" s="184">
        <v>0</v>
      </c>
      <c r="Q44" s="186">
        <v>0</v>
      </c>
      <c r="R44" s="178"/>
      <c r="S44" s="184">
        <f t="shared" si="9"/>
        <v>280</v>
      </c>
      <c r="T44" s="185">
        <f t="shared" ca="1" si="10"/>
        <v>20552</v>
      </c>
      <c r="U44" s="178"/>
      <c r="V44" s="2324"/>
    </row>
    <row r="45" spans="1:22" ht="15" x14ac:dyDescent="0.25">
      <c r="A45" s="11"/>
      <c r="B45" s="182" t="str">
        <f>+'Detail Summary'!G45</f>
        <v>Telecom Engineering</v>
      </c>
      <c r="C45" s="183"/>
      <c r="D45" s="184">
        <f>+'Detail Summary'!AR45</f>
        <v>80</v>
      </c>
      <c r="E45" s="185">
        <f ca="1">+'Detail Summary'!AS45</f>
        <v>5834</v>
      </c>
      <c r="F45" s="178"/>
      <c r="G45" s="184">
        <v>0</v>
      </c>
      <c r="H45" s="186">
        <v>0</v>
      </c>
      <c r="I45" s="178"/>
      <c r="J45" s="184">
        <v>0</v>
      </c>
      <c r="K45" s="186">
        <v>0</v>
      </c>
      <c r="L45" s="178"/>
      <c r="M45" s="184">
        <v>0</v>
      </c>
      <c r="N45" s="186">
        <v>0</v>
      </c>
      <c r="O45" s="178"/>
      <c r="P45" s="184">
        <v>0</v>
      </c>
      <c r="Q45" s="186">
        <v>0</v>
      </c>
      <c r="R45" s="178"/>
      <c r="S45" s="184">
        <f t="shared" si="9"/>
        <v>80</v>
      </c>
      <c r="T45" s="185">
        <f t="shared" ca="1" si="10"/>
        <v>5834</v>
      </c>
      <c r="U45" s="178"/>
      <c r="V45" s="2324"/>
    </row>
    <row r="46" spans="1:22" ht="15" x14ac:dyDescent="0.25">
      <c r="A46" s="11"/>
      <c r="B46" s="182" t="str">
        <f>+'Detail Summary'!G46</f>
        <v>Other - specify</v>
      </c>
      <c r="C46" s="183"/>
      <c r="D46" s="184">
        <f>+'Detail Summary'!AR46</f>
        <v>0</v>
      </c>
      <c r="E46" s="185">
        <f ca="1">+'Detail Summary'!AS46</f>
        <v>0</v>
      </c>
      <c r="F46" s="178"/>
      <c r="G46" s="184">
        <v>0</v>
      </c>
      <c r="H46" s="186">
        <v>0</v>
      </c>
      <c r="I46" s="178"/>
      <c r="J46" s="184">
        <v>0</v>
      </c>
      <c r="K46" s="186">
        <v>0</v>
      </c>
      <c r="L46" s="178"/>
      <c r="M46" s="184">
        <v>0</v>
      </c>
      <c r="N46" s="186">
        <v>0</v>
      </c>
      <c r="O46" s="178"/>
      <c r="P46" s="184">
        <v>0</v>
      </c>
      <c r="Q46" s="186">
        <v>0</v>
      </c>
      <c r="R46" s="178"/>
      <c r="S46" s="184">
        <f t="shared" si="9"/>
        <v>0</v>
      </c>
      <c r="T46" s="185">
        <f t="shared" ca="1" si="10"/>
        <v>0</v>
      </c>
      <c r="U46" s="178"/>
      <c r="V46" s="2324"/>
    </row>
    <row r="47" spans="1:22" ht="15.75" thickBot="1" x14ac:dyDescent="0.3">
      <c r="A47" s="11"/>
      <c r="B47" s="182" t="str">
        <f>+'Detail Summary'!G47</f>
        <v>Other - specify</v>
      </c>
      <c r="C47" s="183"/>
      <c r="D47" s="184">
        <f>+'Detail Summary'!AR47</f>
        <v>0</v>
      </c>
      <c r="E47" s="185">
        <f ca="1">+'Detail Summary'!AS47</f>
        <v>0</v>
      </c>
      <c r="F47" s="178"/>
      <c r="G47" s="184">
        <v>0</v>
      </c>
      <c r="H47" s="186">
        <v>0</v>
      </c>
      <c r="I47" s="178"/>
      <c r="J47" s="184">
        <v>0</v>
      </c>
      <c r="K47" s="186">
        <v>0</v>
      </c>
      <c r="L47" s="178"/>
      <c r="M47" s="184">
        <v>0</v>
      </c>
      <c r="N47" s="186">
        <v>0</v>
      </c>
      <c r="O47" s="178"/>
      <c r="P47" s="184">
        <v>0</v>
      </c>
      <c r="Q47" s="186">
        <v>0</v>
      </c>
      <c r="R47" s="178"/>
      <c r="S47" s="184">
        <f t="shared" si="9"/>
        <v>0</v>
      </c>
      <c r="T47" s="185">
        <f t="shared" ca="1" si="10"/>
        <v>0</v>
      </c>
      <c r="U47" s="178"/>
      <c r="V47" s="2324"/>
    </row>
    <row r="48" spans="1:22" ht="15" x14ac:dyDescent="0.25">
      <c r="A48" s="11"/>
      <c r="B48" s="187" t="str">
        <f>+'Detail Summary'!G48</f>
        <v>LT Total</v>
      </c>
      <c r="C48" s="183"/>
      <c r="D48" s="219">
        <f>SUM(D36:D47)</f>
        <v>2100</v>
      </c>
      <c r="E48" s="189">
        <f ca="1">SUM(E36:E47)</f>
        <v>152808</v>
      </c>
      <c r="F48" s="178"/>
      <c r="G48" s="220">
        <f>SUM(G36:G47)</f>
        <v>0</v>
      </c>
      <c r="H48" s="191">
        <f>SUM(H36:H47)</f>
        <v>0</v>
      </c>
      <c r="I48" s="178"/>
      <c r="J48" s="220">
        <f>SUM(J36:J47)</f>
        <v>0</v>
      </c>
      <c r="K48" s="191">
        <f>SUM(K36:K47)</f>
        <v>0</v>
      </c>
      <c r="L48" s="178"/>
      <c r="M48" s="220">
        <f>SUM(M36:M47)</f>
        <v>0</v>
      </c>
      <c r="N48" s="191">
        <f>SUM(N36:N47)</f>
        <v>0</v>
      </c>
      <c r="O48" s="178"/>
      <c r="P48" s="220">
        <f>SUM(P36:P47)</f>
        <v>0</v>
      </c>
      <c r="Q48" s="191">
        <f>SUM(Q36:Q47)</f>
        <v>0</v>
      </c>
      <c r="R48" s="178"/>
      <c r="S48" s="219">
        <f>SUM(S36:S47)</f>
        <v>2100</v>
      </c>
      <c r="T48" s="189">
        <f ca="1">SUM(T36:T47)</f>
        <v>152808</v>
      </c>
      <c r="U48" s="178"/>
      <c r="V48" s="2324"/>
    </row>
    <row r="49" spans="1:22" ht="15" x14ac:dyDescent="0.25">
      <c r="A49" s="11"/>
      <c r="B49" s="182" t="str">
        <f>+'Detail Summary'!G49</f>
        <v xml:space="preserve">Employee Expenses </v>
      </c>
      <c r="C49" s="183"/>
      <c r="D49" s="184">
        <f>+'Detail Summary'!AR49</f>
        <v>0</v>
      </c>
      <c r="E49" s="185">
        <f ca="1">+'Detail Summary'!AS49</f>
        <v>7376</v>
      </c>
      <c r="F49" s="178"/>
      <c r="G49" s="184">
        <v>0</v>
      </c>
      <c r="H49" s="186">
        <v>0</v>
      </c>
      <c r="I49" s="178"/>
      <c r="J49" s="184">
        <v>0</v>
      </c>
      <c r="K49" s="186">
        <v>0</v>
      </c>
      <c r="L49" s="178"/>
      <c r="M49" s="184">
        <v>0</v>
      </c>
      <c r="N49" s="186">
        <v>0</v>
      </c>
      <c r="O49" s="178"/>
      <c r="P49" s="184">
        <v>0</v>
      </c>
      <c r="Q49" s="186">
        <v>0</v>
      </c>
      <c r="R49" s="178"/>
      <c r="S49" s="184">
        <f t="shared" ref="S49:T50" si="11">+D49-G49</f>
        <v>0</v>
      </c>
      <c r="T49" s="185">
        <f t="shared" ca="1" si="11"/>
        <v>7376</v>
      </c>
      <c r="U49" s="178"/>
      <c r="V49" s="2324"/>
    </row>
    <row r="50" spans="1:22" ht="15" x14ac:dyDescent="0.25">
      <c r="A50" s="11"/>
      <c r="B50" s="182" t="str">
        <f>+'Detail Summary'!G50</f>
        <v>Contractor Engineering  - T-Lines</v>
      </c>
      <c r="C50" s="183"/>
      <c r="D50" s="184">
        <f>+'Detail Summary'!AR50</f>
        <v>0</v>
      </c>
      <c r="E50" s="185">
        <f>+'Detail Summary'!AS50</f>
        <v>0</v>
      </c>
      <c r="F50" s="178"/>
      <c r="G50" s="184">
        <v>0</v>
      </c>
      <c r="H50" s="186">
        <v>0</v>
      </c>
      <c r="I50" s="178"/>
      <c r="J50" s="184">
        <v>0</v>
      </c>
      <c r="K50" s="186">
        <v>0</v>
      </c>
      <c r="L50" s="178"/>
      <c r="M50" s="184">
        <v>0</v>
      </c>
      <c r="N50" s="186">
        <v>0</v>
      </c>
      <c r="O50" s="178"/>
      <c r="P50" s="184">
        <v>0</v>
      </c>
      <c r="Q50" s="186">
        <v>0</v>
      </c>
      <c r="R50" s="178"/>
      <c r="S50" s="184">
        <f t="shared" si="11"/>
        <v>0</v>
      </c>
      <c r="T50" s="185">
        <f t="shared" si="11"/>
        <v>0</v>
      </c>
      <c r="U50" s="178"/>
      <c r="V50" s="2324"/>
    </row>
    <row r="51" spans="1:22" ht="15" x14ac:dyDescent="0.25">
      <c r="A51" s="11"/>
      <c r="B51" s="182" t="str">
        <f>+'Detail Summary'!G51</f>
        <v>Contractor Engineering  - D-Street</v>
      </c>
      <c r="C51" s="183"/>
      <c r="D51" s="184">
        <f>+'Detail Summary'!AR51</f>
        <v>0</v>
      </c>
      <c r="E51" s="185">
        <f>+'Detail Summary'!AS51</f>
        <v>0</v>
      </c>
      <c r="F51" s="178"/>
      <c r="G51" s="184">
        <v>0</v>
      </c>
      <c r="H51" s="186">
        <v>0</v>
      </c>
      <c r="I51" s="178"/>
      <c r="J51" s="184">
        <v>0</v>
      </c>
      <c r="K51" s="186">
        <v>0</v>
      </c>
      <c r="L51" s="178"/>
      <c r="M51" s="184">
        <v>0</v>
      </c>
      <c r="N51" s="186">
        <v>0</v>
      </c>
      <c r="O51" s="178"/>
      <c r="P51" s="184">
        <v>0</v>
      </c>
      <c r="Q51" s="186">
        <v>0</v>
      </c>
      <c r="R51" s="178"/>
      <c r="S51" s="184">
        <f t="shared" ref="S51:S61" si="12">+D51-G51</f>
        <v>0</v>
      </c>
      <c r="T51" s="185">
        <f t="shared" ref="T51:T61" si="13">+E51-H51</f>
        <v>0</v>
      </c>
      <c r="U51" s="178"/>
      <c r="V51" s="2324"/>
    </row>
    <row r="52" spans="1:22" ht="15" x14ac:dyDescent="0.25">
      <c r="A52" s="11"/>
      <c r="B52" s="182" t="str">
        <f>+'Detail Summary'!G52</f>
        <v>Contractor Engineering  - T -Station</v>
      </c>
      <c r="C52" s="183"/>
      <c r="D52" s="184">
        <f>+'Detail Summary'!AR52</f>
        <v>1680</v>
      </c>
      <c r="E52" s="185">
        <f>+'Detail Summary'!AS52</f>
        <v>301020</v>
      </c>
      <c r="F52" s="178"/>
      <c r="G52" s="184">
        <v>0</v>
      </c>
      <c r="H52" s="186">
        <v>0</v>
      </c>
      <c r="I52" s="178"/>
      <c r="J52" s="184">
        <v>0</v>
      </c>
      <c r="K52" s="186">
        <v>0</v>
      </c>
      <c r="L52" s="178"/>
      <c r="M52" s="184">
        <v>0</v>
      </c>
      <c r="N52" s="186">
        <v>0</v>
      </c>
      <c r="O52" s="178"/>
      <c r="P52" s="184">
        <v>0</v>
      </c>
      <c r="Q52" s="186">
        <v>0</v>
      </c>
      <c r="R52" s="178"/>
      <c r="S52" s="184">
        <f t="shared" si="12"/>
        <v>1680</v>
      </c>
      <c r="T52" s="185">
        <f t="shared" si="13"/>
        <v>301020</v>
      </c>
      <c r="U52" s="178"/>
      <c r="V52" s="2324"/>
    </row>
    <row r="53" spans="1:22" ht="15" x14ac:dyDescent="0.25">
      <c r="A53" s="11"/>
      <c r="B53" s="182" t="str">
        <f>+'Detail Summary'!G53</f>
        <v>Contractor Engineering  - D-Station</v>
      </c>
      <c r="C53" s="183"/>
      <c r="D53" s="184">
        <f>+'Detail Summary'!AR53</f>
        <v>240</v>
      </c>
      <c r="E53" s="185">
        <f>+'Detail Summary'!AS53</f>
        <v>54248.06</v>
      </c>
      <c r="F53" s="178"/>
      <c r="G53" s="184">
        <v>0</v>
      </c>
      <c r="H53" s="186">
        <v>0</v>
      </c>
      <c r="I53" s="178"/>
      <c r="J53" s="184">
        <v>0</v>
      </c>
      <c r="K53" s="186">
        <v>0</v>
      </c>
      <c r="L53" s="178"/>
      <c r="M53" s="184">
        <v>0</v>
      </c>
      <c r="N53" s="186">
        <v>0</v>
      </c>
      <c r="O53" s="178"/>
      <c r="P53" s="184">
        <v>0</v>
      </c>
      <c r="Q53" s="186">
        <v>0</v>
      </c>
      <c r="R53" s="178"/>
      <c r="S53" s="184">
        <f t="shared" si="12"/>
        <v>240</v>
      </c>
      <c r="T53" s="185">
        <f t="shared" si="13"/>
        <v>54248.06</v>
      </c>
      <c r="U53" s="178"/>
      <c r="V53" s="2324"/>
    </row>
    <row r="54" spans="1:22" ht="15" x14ac:dyDescent="0.25">
      <c r="A54" s="11"/>
      <c r="B54" s="182" t="str">
        <f>+'Detail Summary'!G54</f>
        <v>Contractor Engineering  - P&amp;C</v>
      </c>
      <c r="C54" s="183"/>
      <c r="D54" s="184">
        <f>+'Detail Summary'!AR54</f>
        <v>1200</v>
      </c>
      <c r="E54" s="185">
        <f>+'Detail Summary'!AS54</f>
        <v>217440</v>
      </c>
      <c r="F54" s="178"/>
      <c r="G54" s="184">
        <v>0</v>
      </c>
      <c r="H54" s="186">
        <v>0</v>
      </c>
      <c r="I54" s="178"/>
      <c r="J54" s="184">
        <v>0</v>
      </c>
      <c r="K54" s="186">
        <v>0</v>
      </c>
      <c r="L54" s="178"/>
      <c r="M54" s="184">
        <v>0</v>
      </c>
      <c r="N54" s="186">
        <v>0</v>
      </c>
      <c r="O54" s="178"/>
      <c r="P54" s="184">
        <v>0</v>
      </c>
      <c r="Q54" s="186">
        <v>0</v>
      </c>
      <c r="R54" s="178"/>
      <c r="S54" s="184">
        <f t="shared" si="12"/>
        <v>1200</v>
      </c>
      <c r="T54" s="185">
        <f t="shared" si="13"/>
        <v>217440</v>
      </c>
      <c r="U54" s="178"/>
      <c r="V54" s="2324"/>
    </row>
    <row r="55" spans="1:22" ht="15" x14ac:dyDescent="0.25">
      <c r="A55" s="11"/>
      <c r="B55" s="182" t="str">
        <f>+'Detail Summary'!G55</f>
        <v>Contractor Engineering  - Survey</v>
      </c>
      <c r="C55" s="183"/>
      <c r="D55" s="184">
        <f>+'Detail Summary'!AR55</f>
        <v>0</v>
      </c>
      <c r="E55" s="185">
        <f>+'Detail Summary'!AS55</f>
        <v>0</v>
      </c>
      <c r="F55" s="178"/>
      <c r="G55" s="184">
        <v>0</v>
      </c>
      <c r="H55" s="186">
        <v>0</v>
      </c>
      <c r="I55" s="178"/>
      <c r="J55" s="184">
        <v>0</v>
      </c>
      <c r="K55" s="186">
        <v>0</v>
      </c>
      <c r="L55" s="178"/>
      <c r="M55" s="184">
        <v>0</v>
      </c>
      <c r="N55" s="186">
        <v>0</v>
      </c>
      <c r="O55" s="178"/>
      <c r="P55" s="184">
        <v>0</v>
      </c>
      <c r="Q55" s="186">
        <v>0</v>
      </c>
      <c r="R55" s="178"/>
      <c r="S55" s="184">
        <f t="shared" si="12"/>
        <v>0</v>
      </c>
      <c r="T55" s="185">
        <f t="shared" si="13"/>
        <v>0</v>
      </c>
      <c r="U55" s="178"/>
      <c r="V55" s="2324"/>
    </row>
    <row r="56" spans="1:22" ht="15" x14ac:dyDescent="0.25">
      <c r="A56" s="11"/>
      <c r="B56" s="182" t="str">
        <f>+'Detail Summary'!G56</f>
        <v>Contractor Engineering  - SCADA / Automation</v>
      </c>
      <c r="C56" s="183"/>
      <c r="D56" s="184">
        <f>+'Detail Summary'!AR56</f>
        <v>320</v>
      </c>
      <c r="E56" s="185">
        <f>+'Detail Summary'!AS56</f>
        <v>56539</v>
      </c>
      <c r="F56" s="178"/>
      <c r="G56" s="184">
        <v>0</v>
      </c>
      <c r="H56" s="186">
        <v>0</v>
      </c>
      <c r="I56" s="178"/>
      <c r="J56" s="184">
        <v>0</v>
      </c>
      <c r="K56" s="186">
        <v>0</v>
      </c>
      <c r="L56" s="178"/>
      <c r="M56" s="184">
        <v>0</v>
      </c>
      <c r="N56" s="186">
        <v>0</v>
      </c>
      <c r="O56" s="178"/>
      <c r="P56" s="184">
        <v>0</v>
      </c>
      <c r="Q56" s="186">
        <v>0</v>
      </c>
      <c r="R56" s="178"/>
      <c r="S56" s="184">
        <f t="shared" si="12"/>
        <v>320</v>
      </c>
      <c r="T56" s="185">
        <f t="shared" si="13"/>
        <v>56539</v>
      </c>
      <c r="U56" s="178"/>
      <c r="V56" s="2324"/>
    </row>
    <row r="57" spans="1:22" ht="15" x14ac:dyDescent="0.25">
      <c r="A57" s="11"/>
      <c r="B57" s="182" t="str">
        <f>+'Detail Summary'!G57</f>
        <v>Contractor Engineering  - Telecom</v>
      </c>
      <c r="C57" s="183"/>
      <c r="D57" s="184">
        <f>+'Detail Summary'!AR57</f>
        <v>240</v>
      </c>
      <c r="E57" s="185">
        <f>+'Detail Summary'!AS57</f>
        <v>42561</v>
      </c>
      <c r="F57" s="178"/>
      <c r="G57" s="184">
        <v>0</v>
      </c>
      <c r="H57" s="186">
        <v>0</v>
      </c>
      <c r="I57" s="178"/>
      <c r="J57" s="184">
        <v>0</v>
      </c>
      <c r="K57" s="186">
        <v>0</v>
      </c>
      <c r="L57" s="178"/>
      <c r="M57" s="184">
        <v>0</v>
      </c>
      <c r="N57" s="186">
        <v>0</v>
      </c>
      <c r="O57" s="178"/>
      <c r="P57" s="184">
        <v>0</v>
      </c>
      <c r="Q57" s="186">
        <v>0</v>
      </c>
      <c r="R57" s="178"/>
      <c r="S57" s="184">
        <f t="shared" si="12"/>
        <v>240</v>
      </c>
      <c r="T57" s="185">
        <f t="shared" si="13"/>
        <v>42561</v>
      </c>
      <c r="U57" s="178"/>
      <c r="V57" s="2324"/>
    </row>
    <row r="58" spans="1:22" ht="15" x14ac:dyDescent="0.25">
      <c r="A58" s="11"/>
      <c r="B58" s="182" t="str">
        <f>+'Detail Summary'!G58</f>
        <v>Contractor Engineering  - Specify</v>
      </c>
      <c r="C58" s="183"/>
      <c r="D58" s="184">
        <f>+'Detail Summary'!AR58</f>
        <v>0</v>
      </c>
      <c r="E58" s="185">
        <f>+'Detail Summary'!AS58</f>
        <v>0</v>
      </c>
      <c r="F58" s="178"/>
      <c r="G58" s="184">
        <v>0</v>
      </c>
      <c r="H58" s="186">
        <v>0</v>
      </c>
      <c r="I58" s="178"/>
      <c r="J58" s="184">
        <v>0</v>
      </c>
      <c r="K58" s="186">
        <v>0</v>
      </c>
      <c r="L58" s="178"/>
      <c r="M58" s="184">
        <v>0</v>
      </c>
      <c r="N58" s="186">
        <v>0</v>
      </c>
      <c r="O58" s="178"/>
      <c r="P58" s="184">
        <v>0</v>
      </c>
      <c r="Q58" s="186">
        <v>0</v>
      </c>
      <c r="R58" s="178"/>
      <c r="S58" s="184">
        <f t="shared" si="12"/>
        <v>0</v>
      </c>
      <c r="T58" s="185">
        <f t="shared" si="13"/>
        <v>0</v>
      </c>
      <c r="U58" s="178"/>
      <c r="V58" s="2324"/>
    </row>
    <row r="59" spans="1:22" ht="15" x14ac:dyDescent="0.25">
      <c r="A59" s="11"/>
      <c r="B59" s="182" t="str">
        <f>+'Detail Summary'!G59</f>
        <v>Contractor Engineering  - Specify</v>
      </c>
      <c r="C59" s="183"/>
      <c r="D59" s="184">
        <f>+'Detail Summary'!AR59</f>
        <v>0</v>
      </c>
      <c r="E59" s="185">
        <f>+'Detail Summary'!AS59</f>
        <v>0</v>
      </c>
      <c r="F59" s="178"/>
      <c r="G59" s="184">
        <v>0</v>
      </c>
      <c r="H59" s="186">
        <v>0</v>
      </c>
      <c r="I59" s="178"/>
      <c r="J59" s="184">
        <v>0</v>
      </c>
      <c r="K59" s="186">
        <v>0</v>
      </c>
      <c r="L59" s="178"/>
      <c r="M59" s="184">
        <v>0</v>
      </c>
      <c r="N59" s="186">
        <v>0</v>
      </c>
      <c r="O59" s="178"/>
      <c r="P59" s="184">
        <v>0</v>
      </c>
      <c r="Q59" s="186">
        <v>0</v>
      </c>
      <c r="R59" s="178"/>
      <c r="S59" s="184">
        <f t="shared" si="12"/>
        <v>0</v>
      </c>
      <c r="T59" s="185">
        <f t="shared" si="13"/>
        <v>0</v>
      </c>
      <c r="U59" s="178"/>
      <c r="V59" s="2324"/>
    </row>
    <row r="60" spans="1:22" ht="15" x14ac:dyDescent="0.25">
      <c r="A60" s="11"/>
      <c r="B60" s="182" t="str">
        <f>+'Detail Summary'!G60</f>
        <v>Contractor Engineering  - Specify</v>
      </c>
      <c r="C60" s="183"/>
      <c r="D60" s="184">
        <f>+'Detail Summary'!AR60</f>
        <v>0</v>
      </c>
      <c r="E60" s="185">
        <f>+'Detail Summary'!AS60</f>
        <v>0</v>
      </c>
      <c r="F60" s="178"/>
      <c r="G60" s="184">
        <v>0</v>
      </c>
      <c r="H60" s="186">
        <v>0</v>
      </c>
      <c r="I60" s="178"/>
      <c r="J60" s="184">
        <v>0</v>
      </c>
      <c r="K60" s="186">
        <v>0</v>
      </c>
      <c r="L60" s="178"/>
      <c r="M60" s="184">
        <v>0</v>
      </c>
      <c r="N60" s="186">
        <v>0</v>
      </c>
      <c r="O60" s="178"/>
      <c r="P60" s="184">
        <v>0</v>
      </c>
      <c r="Q60" s="186">
        <v>0</v>
      </c>
      <c r="R60" s="178"/>
      <c r="S60" s="184">
        <f t="shared" si="12"/>
        <v>0</v>
      </c>
      <c r="T60" s="185">
        <f t="shared" si="13"/>
        <v>0</v>
      </c>
      <c r="U60" s="178"/>
      <c r="V60" s="2324"/>
    </row>
    <row r="61" spans="1:22" ht="15" x14ac:dyDescent="0.25">
      <c r="A61" s="11"/>
      <c r="B61" s="182" t="str">
        <f>+'Detail Summary'!G61</f>
        <v>Vehicles ( now in indirects section)</v>
      </c>
      <c r="C61" s="183"/>
      <c r="D61" s="184">
        <f>+'Detail Summary'!AR61</f>
        <v>0</v>
      </c>
      <c r="E61" s="185">
        <f ca="1">+'Detail Summary'!AS61</f>
        <v>0</v>
      </c>
      <c r="F61" s="178"/>
      <c r="G61" s="184">
        <v>0</v>
      </c>
      <c r="H61" s="186">
        <v>0</v>
      </c>
      <c r="I61" s="178"/>
      <c r="J61" s="184">
        <v>0</v>
      </c>
      <c r="K61" s="186">
        <v>0</v>
      </c>
      <c r="L61" s="178"/>
      <c r="M61" s="184">
        <v>0</v>
      </c>
      <c r="N61" s="186">
        <v>0</v>
      </c>
      <c r="O61" s="178"/>
      <c r="P61" s="184">
        <v>0</v>
      </c>
      <c r="Q61" s="186">
        <v>0</v>
      </c>
      <c r="R61" s="178"/>
      <c r="S61" s="184">
        <f t="shared" si="12"/>
        <v>0</v>
      </c>
      <c r="T61" s="185">
        <f t="shared" ca="1" si="13"/>
        <v>0</v>
      </c>
      <c r="U61" s="178"/>
      <c r="V61" s="2324"/>
    </row>
    <row r="62" spans="1:22" ht="15" x14ac:dyDescent="0.25">
      <c r="A62" s="11"/>
      <c r="B62" s="203" t="str">
        <f>+'Detail Summary'!G62</f>
        <v>ENRXX Subtotal</v>
      </c>
      <c r="C62" s="183"/>
      <c r="D62" s="192">
        <f>SUM(D36:D61)-D48</f>
        <v>5780</v>
      </c>
      <c r="E62" s="185">
        <f ca="1">SUM(E36:E61)-E48</f>
        <v>831992.06</v>
      </c>
      <c r="F62" s="178"/>
      <c r="G62" s="184">
        <v>0</v>
      </c>
      <c r="H62" s="186">
        <v>0</v>
      </c>
      <c r="I62" s="178"/>
      <c r="J62" s="184">
        <f>SUM(J36:J61)-J48</f>
        <v>0</v>
      </c>
      <c r="K62" s="186">
        <f>SUM(K36:K61)-K48</f>
        <v>0</v>
      </c>
      <c r="L62" s="178"/>
      <c r="M62" s="184">
        <f>SUM(M36:M61)-M48</f>
        <v>0</v>
      </c>
      <c r="N62" s="186">
        <f>SUM(N36:N61)-N48</f>
        <v>0</v>
      </c>
      <c r="O62" s="178"/>
      <c r="P62" s="184">
        <f>SUM(P36:P61)-P48</f>
        <v>0</v>
      </c>
      <c r="Q62" s="186">
        <f>SUM(Q36:Q61)-Q48</f>
        <v>0</v>
      </c>
      <c r="R62" s="178"/>
      <c r="S62" s="192">
        <f>SUM(S36:S61)-S48</f>
        <v>5780</v>
      </c>
      <c r="T62" s="185">
        <f ca="1">SUM(T36:T61)-T48</f>
        <v>831992.06</v>
      </c>
      <c r="U62" s="178"/>
      <c r="V62" s="2324"/>
    </row>
    <row r="63" spans="1:22" ht="15" x14ac:dyDescent="0.25">
      <c r="A63" s="11"/>
      <c r="B63" s="9" t="str">
        <f>+'Detail Summary'!G63</f>
        <v>Escalation</v>
      </c>
      <c r="C63" s="183"/>
      <c r="D63" s="184">
        <f>+'Detail Summary'!AR63</f>
        <v>0</v>
      </c>
      <c r="E63" s="185">
        <f>+'Detail Summary'!AS63</f>
        <v>0</v>
      </c>
      <c r="F63" s="178"/>
      <c r="G63" s="184">
        <v>0</v>
      </c>
      <c r="H63" s="186">
        <v>0</v>
      </c>
      <c r="I63" s="178"/>
      <c r="J63" s="184">
        <v>0</v>
      </c>
      <c r="K63" s="186">
        <v>0</v>
      </c>
      <c r="L63" s="178"/>
      <c r="M63" s="184">
        <v>0</v>
      </c>
      <c r="N63" s="186">
        <v>0</v>
      </c>
      <c r="O63" s="178"/>
      <c r="P63" s="184">
        <v>0</v>
      </c>
      <c r="Q63" s="186">
        <v>0</v>
      </c>
      <c r="R63" s="178"/>
      <c r="S63" s="184">
        <f>+D63-G63</f>
        <v>0</v>
      </c>
      <c r="T63" s="185">
        <f>+E63-H63</f>
        <v>0</v>
      </c>
      <c r="U63" s="178"/>
      <c r="V63" s="2324"/>
    </row>
    <row r="64" spans="1:22" ht="15" x14ac:dyDescent="0.25">
      <c r="A64" s="11"/>
      <c r="B64" s="9" t="str">
        <f>+'Detail Summary'!G64</f>
        <v>other</v>
      </c>
      <c r="C64" s="183"/>
      <c r="D64" s="184">
        <f>+'Detail Summary'!AR64</f>
        <v>0</v>
      </c>
      <c r="E64" s="185">
        <f ca="1">+'Detail Summary'!AS64</f>
        <v>7511.24</v>
      </c>
      <c r="F64" s="178"/>
      <c r="G64" s="184">
        <v>0</v>
      </c>
      <c r="H64" s="186">
        <v>0</v>
      </c>
      <c r="I64" s="178"/>
      <c r="J64" s="184">
        <v>0</v>
      </c>
      <c r="K64" s="186">
        <v>0</v>
      </c>
      <c r="L64" s="178"/>
      <c r="M64" s="184">
        <v>0</v>
      </c>
      <c r="N64" s="186">
        <v>0</v>
      </c>
      <c r="O64" s="178"/>
      <c r="P64" s="184">
        <v>0</v>
      </c>
      <c r="Q64" s="186">
        <v>0</v>
      </c>
      <c r="R64" s="178"/>
      <c r="S64" s="184">
        <f>+D64-G64</f>
        <v>0</v>
      </c>
      <c r="T64" s="185">
        <f ca="1">+E64-H64</f>
        <v>7511.24</v>
      </c>
      <c r="U64" s="178"/>
      <c r="V64" s="2324"/>
    </row>
    <row r="65" spans="1:22" ht="15.75" thickBot="1" x14ac:dyDescent="0.3">
      <c r="A65" s="11"/>
      <c r="B65" s="212" t="str">
        <f>+'Detail Summary'!G65</f>
        <v>ENRXX Total</v>
      </c>
      <c r="C65" s="178"/>
      <c r="D65" s="213">
        <f>+D64+D63+D62</f>
        <v>5780</v>
      </c>
      <c r="E65" s="214">
        <f ca="1">+E64+E63+E62</f>
        <v>839503.3</v>
      </c>
      <c r="F65" s="178"/>
      <c r="G65" s="215">
        <f>+G64+G63+G62</f>
        <v>0</v>
      </c>
      <c r="H65" s="216">
        <f>+H64+H63+H62</f>
        <v>0</v>
      </c>
      <c r="I65" s="178"/>
      <c r="J65" s="215">
        <f>+J64+J63+J62</f>
        <v>0</v>
      </c>
      <c r="K65" s="216">
        <f>+K64+K63+K62</f>
        <v>0</v>
      </c>
      <c r="L65" s="178"/>
      <c r="M65" s="215">
        <f>+M64+M63+M62</f>
        <v>0</v>
      </c>
      <c r="N65" s="216">
        <f>+N64+N63+N62</f>
        <v>0</v>
      </c>
      <c r="O65" s="178"/>
      <c r="P65" s="215">
        <f>+P64+P63+P62</f>
        <v>0</v>
      </c>
      <c r="Q65" s="216">
        <f>+Q64+Q63+Q62</f>
        <v>0</v>
      </c>
      <c r="R65" s="178"/>
      <c r="S65" s="213">
        <f>+S64+S63+S62</f>
        <v>5780</v>
      </c>
      <c r="T65" s="214">
        <f ca="1">+T64+T63+T62</f>
        <v>839503.3</v>
      </c>
      <c r="U65" s="178"/>
      <c r="V65" s="2324"/>
    </row>
    <row r="66" spans="1:22" ht="15" x14ac:dyDescent="0.25">
      <c r="B66" s="11" t="str">
        <f>+'Detail Summary'!G66</f>
        <v>LNDXX-TG LAND</v>
      </c>
      <c r="C66" s="171"/>
      <c r="D66" s="2">
        <f>+'Detail Summary'!AR66</f>
        <v>0</v>
      </c>
      <c r="E66">
        <f>+'Detail Summary'!AS66</f>
        <v>0</v>
      </c>
      <c r="F66" s="178"/>
      <c r="G66" s="22">
        <v>0</v>
      </c>
      <c r="H66" s="221">
        <v>0</v>
      </c>
      <c r="I66" s="178"/>
      <c r="J66" s="22">
        <v>0</v>
      </c>
      <c r="K66" s="221">
        <v>0</v>
      </c>
      <c r="L66" s="178"/>
      <c r="M66" s="22">
        <v>0</v>
      </c>
      <c r="N66" s="221">
        <v>0</v>
      </c>
      <c r="O66" s="178"/>
      <c r="P66" s="22">
        <v>0</v>
      </c>
      <c r="Q66" s="221">
        <v>0</v>
      </c>
      <c r="R66" s="178"/>
      <c r="S66" s="2">
        <f t="shared" ref="S66:T72" si="14">+D66-G66</f>
        <v>0</v>
      </c>
      <c r="T66">
        <f t="shared" si="14"/>
        <v>0</v>
      </c>
      <c r="U66" s="171"/>
      <c r="V66" s="2325"/>
    </row>
    <row r="67" spans="1:22" ht="15" x14ac:dyDescent="0.25">
      <c r="B67" s="182" t="str">
        <f>+'Detail Summary'!G67</f>
        <v>Real Estate</v>
      </c>
      <c r="C67" s="183"/>
      <c r="D67" s="184">
        <f>+'Detail Summary'!AR67</f>
        <v>0</v>
      </c>
      <c r="E67" s="185">
        <f ca="1">+'Detail Summary'!AS67</f>
        <v>0</v>
      </c>
      <c r="F67" s="178"/>
      <c r="G67" s="184">
        <v>0</v>
      </c>
      <c r="H67" s="186">
        <v>0</v>
      </c>
      <c r="I67" s="178"/>
      <c r="J67" s="184">
        <v>0</v>
      </c>
      <c r="K67" s="186">
        <v>0</v>
      </c>
      <c r="L67" s="178"/>
      <c r="M67" s="184">
        <v>0</v>
      </c>
      <c r="N67" s="186">
        <v>0</v>
      </c>
      <c r="O67" s="178"/>
      <c r="P67" s="184">
        <v>0</v>
      </c>
      <c r="Q67" s="186">
        <v>0</v>
      </c>
      <c r="R67" s="178"/>
      <c r="S67" s="184">
        <f t="shared" si="14"/>
        <v>0</v>
      </c>
      <c r="T67" s="185">
        <f t="shared" ca="1" si="14"/>
        <v>0</v>
      </c>
      <c r="U67" s="178"/>
      <c r="V67" s="2324"/>
    </row>
    <row r="68" spans="1:22" ht="15" x14ac:dyDescent="0.25">
      <c r="B68" s="193" t="str">
        <f>+'Detail Summary'!G68</f>
        <v xml:space="preserve">Employee Expenses </v>
      </c>
      <c r="C68" s="183"/>
      <c r="D68" s="184">
        <f>+'Detail Summary'!AR68</f>
        <v>0</v>
      </c>
      <c r="E68" s="185">
        <f ca="1">+'Detail Summary'!AS68</f>
        <v>0</v>
      </c>
      <c r="F68" s="178"/>
      <c r="G68" s="184">
        <v>0</v>
      </c>
      <c r="H68" s="186">
        <v>0</v>
      </c>
      <c r="I68" s="178"/>
      <c r="J68" s="184">
        <v>0</v>
      </c>
      <c r="K68" s="186">
        <v>0</v>
      </c>
      <c r="L68" s="178"/>
      <c r="M68" s="184">
        <v>0</v>
      </c>
      <c r="N68" s="186">
        <v>0</v>
      </c>
      <c r="O68" s="178"/>
      <c r="P68" s="184">
        <v>0</v>
      </c>
      <c r="Q68" s="186">
        <v>0</v>
      </c>
      <c r="R68" s="178"/>
      <c r="S68" s="184">
        <f t="shared" si="14"/>
        <v>0</v>
      </c>
      <c r="T68" s="185">
        <f t="shared" ca="1" si="14"/>
        <v>0</v>
      </c>
      <c r="U68" s="178"/>
      <c r="V68" s="2324"/>
    </row>
    <row r="69" spans="1:22" ht="15" x14ac:dyDescent="0.25">
      <c r="A69" s="222"/>
      <c r="B69" s="182" t="str">
        <f>+'Detail Summary'!G69</f>
        <v>Purchase Land</v>
      </c>
      <c r="C69" s="183"/>
      <c r="D69" s="184">
        <f>+'Detail Summary'!AR69</f>
        <v>0</v>
      </c>
      <c r="E69" s="185">
        <f>+'Detail Summary'!AS69</f>
        <v>0</v>
      </c>
      <c r="F69" s="178"/>
      <c r="G69" s="184">
        <v>0</v>
      </c>
      <c r="H69" s="186">
        <v>0</v>
      </c>
      <c r="I69" s="178"/>
      <c r="J69" s="184">
        <v>0</v>
      </c>
      <c r="K69" s="186">
        <v>0</v>
      </c>
      <c r="L69" s="178"/>
      <c r="M69" s="184">
        <v>0</v>
      </c>
      <c r="N69" s="186">
        <v>0</v>
      </c>
      <c r="O69" s="178"/>
      <c r="P69" s="184">
        <v>0</v>
      </c>
      <c r="Q69" s="186">
        <v>0</v>
      </c>
      <c r="R69" s="178"/>
      <c r="S69" s="184">
        <f t="shared" si="14"/>
        <v>0</v>
      </c>
      <c r="T69" s="185">
        <f t="shared" si="14"/>
        <v>0</v>
      </c>
      <c r="U69" s="178"/>
      <c r="V69" s="2324"/>
    </row>
    <row r="70" spans="1:22" ht="15" x14ac:dyDescent="0.25">
      <c r="A70" s="222"/>
      <c r="B70" s="182" t="str">
        <f>+'Detail Summary'!G70</f>
        <v>Easements</v>
      </c>
      <c r="C70" s="183"/>
      <c r="D70" s="184">
        <f>+'Detail Summary'!AR70</f>
        <v>0</v>
      </c>
      <c r="E70" s="185">
        <f>+'Detail Summary'!AS70</f>
        <v>0</v>
      </c>
      <c r="F70" s="178"/>
      <c r="G70" s="184">
        <v>0</v>
      </c>
      <c r="H70" s="186">
        <v>0</v>
      </c>
      <c r="I70" s="178"/>
      <c r="J70" s="184">
        <v>0</v>
      </c>
      <c r="K70" s="186">
        <v>0</v>
      </c>
      <c r="L70" s="178"/>
      <c r="M70" s="184">
        <v>0</v>
      </c>
      <c r="N70" s="186">
        <v>0</v>
      </c>
      <c r="O70" s="178"/>
      <c r="P70" s="184">
        <v>0</v>
      </c>
      <c r="Q70" s="186">
        <v>0</v>
      </c>
      <c r="R70" s="178"/>
      <c r="S70" s="184">
        <f t="shared" ref="S70" si="15">+D70-G70</f>
        <v>0</v>
      </c>
      <c r="T70" s="185">
        <f t="shared" ref="T70" si="16">+E70-H70</f>
        <v>0</v>
      </c>
      <c r="U70" s="178"/>
      <c r="V70" s="2324"/>
    </row>
    <row r="71" spans="1:22" ht="15" x14ac:dyDescent="0.25">
      <c r="B71" s="182" t="str">
        <f>+'Detail Summary'!G71</f>
        <v>Vehicles ( now in indirects section)</v>
      </c>
      <c r="C71" s="183"/>
      <c r="D71" s="184">
        <f>+'Detail Summary'!AR71</f>
        <v>0</v>
      </c>
      <c r="E71" s="185">
        <f ca="1">+'Detail Summary'!AS71</f>
        <v>0</v>
      </c>
      <c r="F71" s="178"/>
      <c r="G71" s="184">
        <v>0</v>
      </c>
      <c r="H71" s="186">
        <v>0</v>
      </c>
      <c r="I71" s="178"/>
      <c r="J71" s="184">
        <v>0</v>
      </c>
      <c r="K71" s="186">
        <v>0</v>
      </c>
      <c r="L71" s="178"/>
      <c r="M71" s="184">
        <v>0</v>
      </c>
      <c r="N71" s="186">
        <v>0</v>
      </c>
      <c r="O71" s="178"/>
      <c r="P71" s="184">
        <v>0</v>
      </c>
      <c r="Q71" s="186">
        <v>0</v>
      </c>
      <c r="R71" s="178"/>
      <c r="S71" s="184">
        <f t="shared" si="14"/>
        <v>0</v>
      </c>
      <c r="T71" s="185">
        <f t="shared" ca="1" si="14"/>
        <v>0</v>
      </c>
      <c r="U71" s="178"/>
      <c r="V71" s="2324"/>
    </row>
    <row r="72" spans="1:22" ht="15" x14ac:dyDescent="0.25">
      <c r="B72" s="182" t="str">
        <f>+'Detail Summary'!G72</f>
        <v>Fees and Payments</v>
      </c>
      <c r="C72" s="183"/>
      <c r="D72" s="184">
        <f>+'Detail Summary'!AR72</f>
        <v>0</v>
      </c>
      <c r="E72" s="185">
        <f>+'Detail Summary'!AS72</f>
        <v>0</v>
      </c>
      <c r="F72" s="178"/>
      <c r="G72" s="184">
        <v>0</v>
      </c>
      <c r="H72" s="186">
        <v>0</v>
      </c>
      <c r="I72" s="178"/>
      <c r="J72" s="184">
        <v>0</v>
      </c>
      <c r="K72" s="186">
        <v>0</v>
      </c>
      <c r="L72" s="178"/>
      <c r="M72" s="184">
        <v>0</v>
      </c>
      <c r="N72" s="186">
        <v>0</v>
      </c>
      <c r="O72" s="178"/>
      <c r="P72" s="184">
        <v>0</v>
      </c>
      <c r="Q72" s="186">
        <v>0</v>
      </c>
      <c r="R72" s="178"/>
      <c r="S72" s="184">
        <f t="shared" si="14"/>
        <v>0</v>
      </c>
      <c r="T72" s="185">
        <f t="shared" si="14"/>
        <v>0</v>
      </c>
      <c r="U72" s="178"/>
      <c r="V72" s="2324"/>
    </row>
    <row r="73" spans="1:22" ht="15" x14ac:dyDescent="0.25">
      <c r="B73" s="203" t="str">
        <f>+'Detail Summary'!G73</f>
        <v>LNDXX Subtotal</v>
      </c>
      <c r="C73" s="183"/>
      <c r="D73" s="192">
        <f>SUM(D67:D72)</f>
        <v>0</v>
      </c>
      <c r="E73" s="185">
        <f ca="1">SUM(E67:E72)</f>
        <v>0</v>
      </c>
      <c r="F73" s="178"/>
      <c r="G73" s="184">
        <v>0</v>
      </c>
      <c r="H73" s="186">
        <v>0</v>
      </c>
      <c r="I73" s="178"/>
      <c r="J73" s="184">
        <f>SUM(J67:J72)</f>
        <v>0</v>
      </c>
      <c r="K73" s="186">
        <f>SUM(K67:K72)</f>
        <v>0</v>
      </c>
      <c r="L73" s="178"/>
      <c r="M73" s="184">
        <f>SUM(M67:M72)</f>
        <v>0</v>
      </c>
      <c r="N73" s="186">
        <f>SUM(N67:N72)</f>
        <v>0</v>
      </c>
      <c r="O73" s="178"/>
      <c r="P73" s="184">
        <f>SUM(P67:P72)</f>
        <v>0</v>
      </c>
      <c r="Q73" s="186">
        <f>SUM(Q67:Q72)</f>
        <v>0</v>
      </c>
      <c r="R73" s="178"/>
      <c r="S73" s="192">
        <f>SUM(S67:S72)</f>
        <v>0</v>
      </c>
      <c r="T73" s="185">
        <f ca="1">SUM(T67:T72)</f>
        <v>0</v>
      </c>
      <c r="U73" s="178"/>
      <c r="V73" s="2324"/>
    </row>
    <row r="74" spans="1:22" ht="15" x14ac:dyDescent="0.25">
      <c r="B74" s="9" t="str">
        <f>+'Detail Summary'!G74</f>
        <v>Escalation</v>
      </c>
      <c r="C74" s="183"/>
      <c r="D74" s="184">
        <f>+'Detail Summary'!AR74</f>
        <v>0</v>
      </c>
      <c r="E74" s="185">
        <f>+'Detail Summary'!AS74</f>
        <v>0</v>
      </c>
      <c r="F74" s="178"/>
      <c r="G74" s="184">
        <v>0</v>
      </c>
      <c r="H74" s="186">
        <v>0</v>
      </c>
      <c r="I74" s="178"/>
      <c r="J74" s="184">
        <v>0</v>
      </c>
      <c r="K74" s="186">
        <v>0</v>
      </c>
      <c r="L74" s="178"/>
      <c r="M74" s="184">
        <v>0</v>
      </c>
      <c r="N74" s="186">
        <v>0</v>
      </c>
      <c r="O74" s="178"/>
      <c r="P74" s="184">
        <v>0</v>
      </c>
      <c r="Q74" s="186">
        <v>0</v>
      </c>
      <c r="R74" s="178"/>
      <c r="S74" s="184">
        <f>+D74-G74</f>
        <v>0</v>
      </c>
      <c r="T74" s="185">
        <f>+E74-H74</f>
        <v>0</v>
      </c>
      <c r="U74" s="178"/>
      <c r="V74" s="2324"/>
    </row>
    <row r="75" spans="1:22" ht="15" x14ac:dyDescent="0.25">
      <c r="B75" s="223">
        <f>+'Detail Summary'!G75</f>
        <v>0</v>
      </c>
      <c r="C75" s="183"/>
      <c r="D75" s="184">
        <f>+'Detail Summary'!AR75</f>
        <v>0</v>
      </c>
      <c r="E75" s="185">
        <f ca="1">+'Detail Summary'!AS75</f>
        <v>0</v>
      </c>
      <c r="F75" s="178"/>
      <c r="G75" s="184">
        <v>0</v>
      </c>
      <c r="H75" s="186">
        <v>0</v>
      </c>
      <c r="I75" s="178"/>
      <c r="J75" s="184">
        <v>0</v>
      </c>
      <c r="K75" s="186">
        <v>0</v>
      </c>
      <c r="L75" s="178"/>
      <c r="M75" s="184">
        <v>0</v>
      </c>
      <c r="N75" s="186">
        <v>0</v>
      </c>
      <c r="O75" s="178"/>
      <c r="P75" s="184">
        <v>0</v>
      </c>
      <c r="Q75" s="186">
        <v>0</v>
      </c>
      <c r="R75" s="178"/>
      <c r="S75" s="184">
        <f>+D75-G75</f>
        <v>0</v>
      </c>
      <c r="T75" s="185">
        <f ca="1">+E75-H75</f>
        <v>0</v>
      </c>
      <c r="U75" s="178"/>
      <c r="V75" s="2324"/>
    </row>
    <row r="76" spans="1:22" ht="15.75" thickBot="1" x14ac:dyDescent="0.3">
      <c r="B76" s="212" t="str">
        <f>+'Detail Summary'!G76</f>
        <v>LNDXX Total</v>
      </c>
      <c r="C76" s="224"/>
      <c r="D76" s="225">
        <f>+D75+D74+D73</f>
        <v>0</v>
      </c>
      <c r="E76" s="214">
        <f ca="1">+E75+E74+E73</f>
        <v>0</v>
      </c>
      <c r="F76" s="178"/>
      <c r="G76" s="226">
        <f>+G75+G74+G73</f>
        <v>0</v>
      </c>
      <c r="H76" s="216">
        <f>+H75+H74+H73</f>
        <v>0</v>
      </c>
      <c r="I76" s="178"/>
      <c r="J76" s="226">
        <f>+J75+J74+J73</f>
        <v>0</v>
      </c>
      <c r="K76" s="216">
        <f>+K75+K74+K73</f>
        <v>0</v>
      </c>
      <c r="L76" s="178"/>
      <c r="M76" s="226">
        <f>+M75+M74+M73</f>
        <v>0</v>
      </c>
      <c r="N76" s="216">
        <f>+N75+N74+N73</f>
        <v>0</v>
      </c>
      <c r="O76" s="178"/>
      <c r="P76" s="226">
        <f>+P75+P74+P73</f>
        <v>0</v>
      </c>
      <c r="Q76" s="216">
        <f>+Q75+Q74+Q73</f>
        <v>0</v>
      </c>
      <c r="R76" s="178"/>
      <c r="S76" s="225">
        <f>+S75+S74+S73</f>
        <v>0</v>
      </c>
      <c r="T76" s="214">
        <f ca="1">+T75+T74+T73</f>
        <v>0</v>
      </c>
      <c r="U76" s="178"/>
      <c r="V76" s="2324"/>
    </row>
    <row r="77" spans="1:22" ht="15" x14ac:dyDescent="0.25">
      <c r="A77" s="9"/>
      <c r="B77" s="11" t="str">
        <f>+'Detail Summary'!G77</f>
        <v>MATXX-TG MATERIAL</v>
      </c>
      <c r="C77" s="227"/>
      <c r="D77" s="228">
        <f>+'Detail Summary'!AR77</f>
        <v>0</v>
      </c>
      <c r="E77" s="229">
        <f>+'Detail Summary'!AS77</f>
        <v>0</v>
      </c>
      <c r="F77" s="178"/>
      <c r="G77" s="230">
        <v>0</v>
      </c>
      <c r="H77" s="231">
        <v>0</v>
      </c>
      <c r="I77" s="178"/>
      <c r="J77" s="230">
        <v>0</v>
      </c>
      <c r="K77" s="231">
        <v>0</v>
      </c>
      <c r="L77" s="178"/>
      <c r="M77" s="230">
        <v>0</v>
      </c>
      <c r="N77" s="231">
        <v>0</v>
      </c>
      <c r="O77" s="178"/>
      <c r="P77" s="230">
        <v>0</v>
      </c>
      <c r="Q77" s="231">
        <v>0</v>
      </c>
      <c r="R77" s="178"/>
      <c r="S77" s="228">
        <f t="shared" ref="S77:T84" si="17">+D77-G77</f>
        <v>0</v>
      </c>
      <c r="T77" s="229">
        <f t="shared" si="17"/>
        <v>0</v>
      </c>
      <c r="U77" s="227"/>
      <c r="V77" s="2326"/>
    </row>
    <row r="78" spans="1:22" ht="15" x14ac:dyDescent="0.25">
      <c r="B78" s="182" t="str">
        <f>+'Detail Summary'!G78</f>
        <v>Eversource</v>
      </c>
      <c r="C78" s="183"/>
      <c r="D78" s="184">
        <f>+'Detail Summary'!AR78</f>
        <v>0</v>
      </c>
      <c r="E78" s="185">
        <f>+'Detail Summary'!AS78</f>
        <v>19569876.956188001</v>
      </c>
      <c r="F78" s="178"/>
      <c r="G78" s="184">
        <v>0</v>
      </c>
      <c r="H78" s="186">
        <v>0</v>
      </c>
      <c r="I78" s="178"/>
      <c r="J78" s="184">
        <v>0</v>
      </c>
      <c r="K78" s="186">
        <v>0</v>
      </c>
      <c r="L78" s="178"/>
      <c r="M78" s="184">
        <v>0</v>
      </c>
      <c r="N78" s="186">
        <v>0</v>
      </c>
      <c r="O78" s="178"/>
      <c r="P78" s="184">
        <v>0</v>
      </c>
      <c r="Q78" s="186">
        <v>0</v>
      </c>
      <c r="R78" s="178"/>
      <c r="S78" s="184">
        <f t="shared" si="17"/>
        <v>0</v>
      </c>
      <c r="T78" s="185">
        <f t="shared" si="17"/>
        <v>19569876.956188001</v>
      </c>
      <c r="U78" s="178"/>
      <c r="V78" s="2324"/>
    </row>
    <row r="79" spans="1:22" ht="15" x14ac:dyDescent="0.25">
      <c r="B79" s="193" t="str">
        <f>+'Detail Summary'!G79</f>
        <v>Outside Services</v>
      </c>
      <c r="C79" s="183"/>
      <c r="D79" s="184">
        <f>+'Detail Summary'!AR79</f>
        <v>0</v>
      </c>
      <c r="E79" s="185">
        <f>+'Detail Summary'!AS79</f>
        <v>1615.2202499999999</v>
      </c>
      <c r="F79" s="178"/>
      <c r="G79" s="184">
        <v>0</v>
      </c>
      <c r="H79" s="186">
        <v>0</v>
      </c>
      <c r="I79" s="178"/>
      <c r="J79" s="184">
        <v>0</v>
      </c>
      <c r="K79" s="186">
        <v>0</v>
      </c>
      <c r="L79" s="178"/>
      <c r="M79" s="184">
        <v>0</v>
      </c>
      <c r="N79" s="186">
        <v>0</v>
      </c>
      <c r="O79" s="178"/>
      <c r="P79" s="184">
        <v>0</v>
      </c>
      <c r="Q79" s="186">
        <v>0</v>
      </c>
      <c r="R79" s="178"/>
      <c r="S79" s="184">
        <f t="shared" si="17"/>
        <v>0</v>
      </c>
      <c r="T79" s="185">
        <f t="shared" si="17"/>
        <v>1615.2202499999999</v>
      </c>
      <c r="U79" s="178"/>
      <c r="V79" s="2324"/>
    </row>
    <row r="80" spans="1:22" ht="15" x14ac:dyDescent="0.25">
      <c r="B80" s="182" t="str">
        <f>+'Detail Summary'!G80</f>
        <v xml:space="preserve"> </v>
      </c>
      <c r="C80" s="183"/>
      <c r="D80" s="184">
        <f>+'Detail Summary'!AR80</f>
        <v>0</v>
      </c>
      <c r="E80" s="185">
        <f>+'Detail Summary'!AS80</f>
        <v>0</v>
      </c>
      <c r="F80" s="178"/>
      <c r="G80" s="184">
        <v>0</v>
      </c>
      <c r="H80" s="186">
        <v>0</v>
      </c>
      <c r="I80" s="178"/>
      <c r="J80" s="184">
        <v>0</v>
      </c>
      <c r="K80" s="186">
        <v>0</v>
      </c>
      <c r="L80" s="178"/>
      <c r="M80" s="184">
        <v>0</v>
      </c>
      <c r="N80" s="186">
        <v>0</v>
      </c>
      <c r="O80" s="178"/>
      <c r="P80" s="184">
        <v>0</v>
      </c>
      <c r="Q80" s="186">
        <v>0</v>
      </c>
      <c r="R80" s="178"/>
      <c r="S80" s="184">
        <f t="shared" si="17"/>
        <v>0</v>
      </c>
      <c r="T80" s="185">
        <f t="shared" si="17"/>
        <v>0</v>
      </c>
      <c r="U80" s="178"/>
      <c r="V80" s="2324"/>
    </row>
    <row r="81" spans="2:22" ht="15" x14ac:dyDescent="0.25">
      <c r="B81" s="193" t="str">
        <f>+'Detail Summary'!G81</f>
        <v>Freight</v>
      </c>
      <c r="C81" s="183"/>
      <c r="D81" s="184">
        <f>+'Detail Summary'!AR81</f>
        <v>0</v>
      </c>
      <c r="E81" s="185">
        <f>+'Detail Summary'!AS81</f>
        <v>0</v>
      </c>
      <c r="F81" s="178"/>
      <c r="G81" s="184">
        <v>0</v>
      </c>
      <c r="H81" s="186">
        <v>0</v>
      </c>
      <c r="I81" s="178"/>
      <c r="J81" s="184">
        <v>0</v>
      </c>
      <c r="K81" s="186">
        <v>0</v>
      </c>
      <c r="L81" s="178"/>
      <c r="M81" s="184">
        <v>0</v>
      </c>
      <c r="N81" s="186">
        <v>0</v>
      </c>
      <c r="O81" s="178"/>
      <c r="P81" s="184">
        <v>0</v>
      </c>
      <c r="Q81" s="186">
        <v>0</v>
      </c>
      <c r="R81" s="178"/>
      <c r="S81" s="184">
        <f t="shared" si="17"/>
        <v>0</v>
      </c>
      <c r="T81" s="185">
        <f t="shared" si="17"/>
        <v>0</v>
      </c>
      <c r="U81" s="178"/>
      <c r="V81" s="2324"/>
    </row>
    <row r="82" spans="2:22" ht="15" x14ac:dyDescent="0.25">
      <c r="B82" s="193" t="str">
        <f>+'Detail Summary'!G82</f>
        <v>Sales Tax (Eversouce)</v>
      </c>
      <c r="C82" s="183"/>
      <c r="D82" s="184">
        <f>+'Detail Summary'!AR82</f>
        <v>0</v>
      </c>
      <c r="E82" s="185">
        <f>+'Detail Summary'!AS82</f>
        <v>0</v>
      </c>
      <c r="F82" s="178"/>
      <c r="G82" s="184">
        <v>0</v>
      </c>
      <c r="H82" s="186">
        <v>0</v>
      </c>
      <c r="I82" s="178"/>
      <c r="J82" s="184">
        <v>0</v>
      </c>
      <c r="K82" s="186">
        <v>0</v>
      </c>
      <c r="L82" s="178"/>
      <c r="M82" s="184">
        <v>0</v>
      </c>
      <c r="N82" s="186">
        <v>0</v>
      </c>
      <c r="O82" s="178"/>
      <c r="P82" s="184">
        <v>0</v>
      </c>
      <c r="Q82" s="186">
        <v>0</v>
      </c>
      <c r="R82" s="178"/>
      <c r="S82" s="184">
        <f t="shared" si="17"/>
        <v>0</v>
      </c>
      <c r="T82" s="185">
        <f t="shared" si="17"/>
        <v>0</v>
      </c>
      <c r="U82" s="178"/>
      <c r="V82" s="2324"/>
    </row>
    <row r="83" spans="2:22" ht="15" x14ac:dyDescent="0.25">
      <c r="B83" s="193" t="str">
        <f>+'Detail Summary'!G83</f>
        <v>Sales Tax (outside services)</v>
      </c>
      <c r="C83" s="183"/>
      <c r="D83" s="184">
        <f>+'Detail Summary'!AR83</f>
        <v>0</v>
      </c>
      <c r="E83" s="185">
        <f>+'Detail Summary'!AS83</f>
        <v>0</v>
      </c>
      <c r="F83" s="178"/>
      <c r="G83" s="184">
        <v>0</v>
      </c>
      <c r="H83" s="186">
        <v>0</v>
      </c>
      <c r="I83" s="178"/>
      <c r="J83" s="184">
        <v>0</v>
      </c>
      <c r="K83" s="186">
        <v>0</v>
      </c>
      <c r="L83" s="178"/>
      <c r="M83" s="184">
        <v>0</v>
      </c>
      <c r="N83" s="186">
        <v>0</v>
      </c>
      <c r="O83" s="178"/>
      <c r="P83" s="184">
        <v>0</v>
      </c>
      <c r="Q83" s="186">
        <v>0</v>
      </c>
      <c r="R83" s="178"/>
      <c r="S83" s="184">
        <f t="shared" ref="S83" si="18">+D83-G83</f>
        <v>0</v>
      </c>
      <c r="T83" s="185">
        <f t="shared" ref="T83" si="19">+E83-H83</f>
        <v>0</v>
      </c>
      <c r="U83" s="178"/>
      <c r="V83" s="2324"/>
    </row>
    <row r="84" spans="2:22" ht="15" x14ac:dyDescent="0.25">
      <c r="B84" s="232" t="str">
        <f>+'Detail Summary'!G84</f>
        <v>Other</v>
      </c>
      <c r="C84" s="183"/>
      <c r="D84" s="184">
        <f>+'Detail Summary'!AR84</f>
        <v>0</v>
      </c>
      <c r="E84" s="185">
        <f>+'Detail Summary'!AS84</f>
        <v>0</v>
      </c>
      <c r="F84" s="178"/>
      <c r="G84" s="184">
        <v>0</v>
      </c>
      <c r="H84" s="186">
        <v>0</v>
      </c>
      <c r="I84" s="178"/>
      <c r="J84" s="184">
        <v>0</v>
      </c>
      <c r="K84" s="186">
        <v>0</v>
      </c>
      <c r="L84" s="178"/>
      <c r="M84" s="184">
        <v>0</v>
      </c>
      <c r="N84" s="186">
        <v>0</v>
      </c>
      <c r="O84" s="178"/>
      <c r="P84" s="184">
        <v>0</v>
      </c>
      <c r="Q84" s="186">
        <v>0</v>
      </c>
      <c r="R84" s="178"/>
      <c r="S84" s="184">
        <f t="shared" si="17"/>
        <v>0</v>
      </c>
      <c r="T84" s="185">
        <f t="shared" si="17"/>
        <v>0</v>
      </c>
      <c r="U84" s="178"/>
      <c r="V84" s="2324"/>
    </row>
    <row r="85" spans="2:22" ht="15" x14ac:dyDescent="0.25">
      <c r="B85" s="203" t="str">
        <f>+'Detail Summary'!G85</f>
        <v>MATXX Subtotal</v>
      </c>
      <c r="C85" s="183"/>
      <c r="D85" s="192">
        <f>SUM(D78:D84)</f>
        <v>0</v>
      </c>
      <c r="E85" s="185">
        <f>SUM(E78:E84)</f>
        <v>19571492.176438</v>
      </c>
      <c r="F85" s="178"/>
      <c r="G85" s="184">
        <f>SUM(G78:G84)</f>
        <v>0</v>
      </c>
      <c r="H85" s="186">
        <f>SUM(H78:H84)</f>
        <v>0</v>
      </c>
      <c r="I85" s="178"/>
      <c r="J85" s="184">
        <f>SUM(J78:J84)</f>
        <v>0</v>
      </c>
      <c r="K85" s="186">
        <f>SUM(K78:K84)</f>
        <v>0</v>
      </c>
      <c r="L85" s="178"/>
      <c r="M85" s="184">
        <f>SUM(M78:M84)</f>
        <v>0</v>
      </c>
      <c r="N85" s="186">
        <f>SUM(N78:N84)</f>
        <v>0</v>
      </c>
      <c r="O85" s="178"/>
      <c r="P85" s="184">
        <f>SUM(P78:P84)</f>
        <v>0</v>
      </c>
      <c r="Q85" s="186">
        <f>SUM(Q78:Q84)</f>
        <v>0</v>
      </c>
      <c r="R85" s="178"/>
      <c r="S85" s="192">
        <f>SUM(S78:S84)</f>
        <v>0</v>
      </c>
      <c r="T85" s="185">
        <f>SUM(T78:T84)</f>
        <v>19571492.176438</v>
      </c>
      <c r="U85" s="178"/>
      <c r="V85" s="2324"/>
    </row>
    <row r="86" spans="2:22" ht="15" x14ac:dyDescent="0.25">
      <c r="B86" s="9" t="str">
        <f>+'Detail Summary'!G86</f>
        <v>Escalation</v>
      </c>
      <c r="C86" s="183"/>
      <c r="D86" s="184">
        <f>+'Detail Summary'!AR86</f>
        <v>0</v>
      </c>
      <c r="E86" s="185">
        <f>+'Detail Summary'!AS86</f>
        <v>0</v>
      </c>
      <c r="F86" s="178"/>
      <c r="G86" s="184">
        <v>0</v>
      </c>
      <c r="H86" s="186">
        <v>0</v>
      </c>
      <c r="I86" s="178"/>
      <c r="J86" s="184">
        <v>0</v>
      </c>
      <c r="K86" s="186">
        <v>0</v>
      </c>
      <c r="L86" s="178"/>
      <c r="M86" s="184">
        <v>0</v>
      </c>
      <c r="N86" s="186">
        <v>0</v>
      </c>
      <c r="O86" s="178"/>
      <c r="P86" s="184">
        <v>0</v>
      </c>
      <c r="Q86" s="186">
        <v>0</v>
      </c>
      <c r="R86" s="178"/>
      <c r="S86" s="184">
        <f>+D86-G86</f>
        <v>0</v>
      </c>
      <c r="T86" s="185">
        <f>+E86-H86</f>
        <v>0</v>
      </c>
      <c r="U86" s="178"/>
      <c r="V86" s="2324"/>
    </row>
    <row r="87" spans="2:22" ht="15" x14ac:dyDescent="0.25">
      <c r="B87" s="9">
        <f>+'Detail Summary'!G87</f>
        <v>0</v>
      </c>
      <c r="C87" s="183"/>
      <c r="D87" s="184">
        <f>+'Detail Summary'!AR87</f>
        <v>0</v>
      </c>
      <c r="E87" s="185">
        <f>+'Detail Summary'!AS87</f>
        <v>0</v>
      </c>
      <c r="F87" s="178"/>
      <c r="G87" s="184">
        <v>0</v>
      </c>
      <c r="H87" s="186">
        <v>0</v>
      </c>
      <c r="I87" s="178"/>
      <c r="J87" s="184">
        <v>0</v>
      </c>
      <c r="K87" s="186">
        <v>0</v>
      </c>
      <c r="L87" s="178"/>
      <c r="M87" s="184">
        <v>0</v>
      </c>
      <c r="N87" s="186">
        <v>0</v>
      </c>
      <c r="O87" s="178"/>
      <c r="P87" s="184">
        <v>0</v>
      </c>
      <c r="Q87" s="186">
        <v>0</v>
      </c>
      <c r="R87" s="178"/>
      <c r="S87" s="184">
        <f>+D87-G87</f>
        <v>0</v>
      </c>
      <c r="T87" s="185">
        <f>+E87-H87</f>
        <v>0</v>
      </c>
      <c r="U87" s="178"/>
      <c r="V87" s="2324"/>
    </row>
    <row r="88" spans="2:22" ht="15.75" thickBot="1" x14ac:dyDescent="0.3">
      <c r="B88" s="212" t="str">
        <f>+'Detail Summary'!G88</f>
        <v>MATXX Total</v>
      </c>
      <c r="C88" s="178"/>
      <c r="D88" s="213">
        <f>+D87+D86+D85</f>
        <v>0</v>
      </c>
      <c r="E88" s="214">
        <f>+E87+E86+E85</f>
        <v>19571492.176438</v>
      </c>
      <c r="F88" s="178"/>
      <c r="G88" s="215">
        <f>+G87+G86+G85</f>
        <v>0</v>
      </c>
      <c r="H88" s="216">
        <f>+H87+H86+H85</f>
        <v>0</v>
      </c>
      <c r="I88" s="178"/>
      <c r="J88" s="215">
        <f>+J87+J86+J85</f>
        <v>0</v>
      </c>
      <c r="K88" s="216">
        <f>+K87+K86+K85</f>
        <v>0</v>
      </c>
      <c r="L88" s="178"/>
      <c r="M88" s="215">
        <f>+M87+M86+M85</f>
        <v>0</v>
      </c>
      <c r="N88" s="216">
        <f>+N87+N86+N85</f>
        <v>0</v>
      </c>
      <c r="O88" s="178"/>
      <c r="P88" s="215">
        <f>+P87+P86+P85</f>
        <v>0</v>
      </c>
      <c r="Q88" s="216">
        <f>+Q87+Q86+Q85</f>
        <v>0</v>
      </c>
      <c r="R88" s="178"/>
      <c r="S88" s="213">
        <f>+S87+S86+S85</f>
        <v>0</v>
      </c>
      <c r="T88" s="214">
        <f>+T87+T86+T85</f>
        <v>19571492.176438</v>
      </c>
      <c r="U88" s="178"/>
      <c r="V88" s="2324"/>
    </row>
    <row r="89" spans="2:22" ht="15" x14ac:dyDescent="0.25">
      <c r="B89" s="11" t="str">
        <f>+'Detail Summary'!G89</f>
        <v>PSMXX-PROJECT MANAGER &amp; SUPPORT</v>
      </c>
      <c r="C89" s="178"/>
      <c r="D89" s="233"/>
      <c r="E89" s="234"/>
      <c r="F89" s="178"/>
      <c r="G89" s="235"/>
      <c r="H89" s="236"/>
      <c r="I89" s="178"/>
      <c r="J89" s="235"/>
      <c r="K89" s="236"/>
      <c r="L89" s="178"/>
      <c r="M89" s="235"/>
      <c r="N89" s="236"/>
      <c r="O89" s="178"/>
      <c r="P89" s="235"/>
      <c r="Q89" s="236"/>
      <c r="R89" s="178"/>
      <c r="S89" s="233"/>
      <c r="T89" s="234"/>
      <c r="U89" s="178"/>
      <c r="V89" s="2324"/>
    </row>
    <row r="90" spans="2:22" ht="15" x14ac:dyDescent="0.25">
      <c r="B90" s="193" t="str">
        <f>+'Detail Summary'!G90</f>
        <v>Project Management (PM)</v>
      </c>
      <c r="C90" s="183"/>
      <c r="D90" s="184">
        <f>+'Detail Summary'!AR90</f>
        <v>2888</v>
      </c>
      <c r="E90" s="185">
        <f ca="1">+'Detail Summary'!AS90</f>
        <v>200931.53</v>
      </c>
      <c r="F90" s="178"/>
      <c r="G90" s="184">
        <v>0</v>
      </c>
      <c r="H90" s="186">
        <v>0</v>
      </c>
      <c r="I90" s="178"/>
      <c r="J90" s="184">
        <v>0</v>
      </c>
      <c r="K90" s="186">
        <v>0</v>
      </c>
      <c r="L90" s="178"/>
      <c r="M90" s="184">
        <v>0</v>
      </c>
      <c r="N90" s="186">
        <v>0</v>
      </c>
      <c r="O90" s="178"/>
      <c r="P90" s="184">
        <v>0</v>
      </c>
      <c r="Q90" s="186">
        <v>0</v>
      </c>
      <c r="R90" s="178"/>
      <c r="S90" s="184">
        <f t="shared" ref="S90:T103" si="20">+D90-G90</f>
        <v>2888</v>
      </c>
      <c r="T90" s="185">
        <f t="shared" ca="1" si="20"/>
        <v>200931.53</v>
      </c>
      <c r="U90" s="178"/>
      <c r="V90" s="2324"/>
    </row>
    <row r="91" spans="2:22" ht="15" x14ac:dyDescent="0.25">
      <c r="B91" s="193" t="str">
        <f>+'Detail Summary'!G91</f>
        <v>Project Planning/Cost (IP)</v>
      </c>
      <c r="C91" s="183"/>
      <c r="D91" s="184">
        <f>+'Detail Summary'!AR91</f>
        <v>120</v>
      </c>
      <c r="E91" s="185">
        <f ca="1">+'Detail Summary'!AS91</f>
        <v>6120</v>
      </c>
      <c r="F91" s="178"/>
      <c r="G91" s="184">
        <v>0</v>
      </c>
      <c r="H91" s="186">
        <v>0</v>
      </c>
      <c r="I91" s="178"/>
      <c r="J91" s="184">
        <v>0</v>
      </c>
      <c r="K91" s="186">
        <v>0</v>
      </c>
      <c r="L91" s="178"/>
      <c r="M91" s="184">
        <v>0</v>
      </c>
      <c r="N91" s="186">
        <v>0</v>
      </c>
      <c r="O91" s="178"/>
      <c r="P91" s="184">
        <v>0</v>
      </c>
      <c r="Q91" s="186">
        <v>0</v>
      </c>
      <c r="R91" s="178"/>
      <c r="S91" s="184">
        <f t="shared" si="20"/>
        <v>120</v>
      </c>
      <c r="T91" s="185">
        <f t="shared" ca="1" si="20"/>
        <v>6120</v>
      </c>
      <c r="U91" s="178"/>
      <c r="V91" s="2324"/>
    </row>
    <row r="92" spans="2:22" ht="15" x14ac:dyDescent="0.25">
      <c r="B92" s="193" t="str">
        <f>+'Detail Summary'!G92</f>
        <v>Contracts/Purchasing (C/P)</v>
      </c>
      <c r="C92" s="183"/>
      <c r="D92" s="184">
        <f>+'Detail Summary'!AR92</f>
        <v>120</v>
      </c>
      <c r="E92" s="185">
        <f ca="1">+'Detail Summary'!AS92</f>
        <v>8622</v>
      </c>
      <c r="F92" s="178"/>
      <c r="G92" s="184">
        <v>0</v>
      </c>
      <c r="H92" s="186">
        <v>0</v>
      </c>
      <c r="I92" s="178"/>
      <c r="J92" s="184">
        <v>0</v>
      </c>
      <c r="K92" s="186">
        <v>0</v>
      </c>
      <c r="L92" s="178"/>
      <c r="M92" s="184">
        <v>0</v>
      </c>
      <c r="N92" s="186">
        <v>0</v>
      </c>
      <c r="O92" s="178"/>
      <c r="P92" s="184">
        <v>0</v>
      </c>
      <c r="Q92" s="186">
        <v>0</v>
      </c>
      <c r="R92" s="178"/>
      <c r="S92" s="184">
        <f t="shared" si="20"/>
        <v>120</v>
      </c>
      <c r="T92" s="185">
        <f t="shared" ca="1" si="20"/>
        <v>8622</v>
      </c>
      <c r="U92" s="178"/>
      <c r="V92" s="2324"/>
    </row>
    <row r="93" spans="2:22" ht="15" x14ac:dyDescent="0.25">
      <c r="B93" s="193" t="str">
        <f>+'Detail Summary'!G93</f>
        <v>System Planning</v>
      </c>
      <c r="C93" s="183"/>
      <c r="D93" s="184">
        <f>+'Detail Summary'!AR93</f>
        <v>40</v>
      </c>
      <c r="E93" s="185">
        <f ca="1">+'Detail Summary'!AS93</f>
        <v>3058</v>
      </c>
      <c r="F93" s="178"/>
      <c r="G93" s="184">
        <v>0</v>
      </c>
      <c r="H93" s="186">
        <v>0</v>
      </c>
      <c r="I93" s="178"/>
      <c r="J93" s="184">
        <v>0</v>
      </c>
      <c r="K93" s="186">
        <v>0</v>
      </c>
      <c r="L93" s="178"/>
      <c r="M93" s="184">
        <v>0</v>
      </c>
      <c r="N93" s="186">
        <v>0</v>
      </c>
      <c r="O93" s="178"/>
      <c r="P93" s="184">
        <v>0</v>
      </c>
      <c r="Q93" s="186">
        <v>0</v>
      </c>
      <c r="R93" s="178"/>
      <c r="S93" s="184">
        <f t="shared" si="20"/>
        <v>40</v>
      </c>
      <c r="T93" s="185">
        <f t="shared" ca="1" si="20"/>
        <v>3058</v>
      </c>
      <c r="U93" s="178"/>
      <c r="V93" s="2324"/>
    </row>
    <row r="94" spans="2:22" ht="15" x14ac:dyDescent="0.25">
      <c r="B94" s="193" t="str">
        <f>+'Detail Summary'!G94</f>
        <v>Environmental</v>
      </c>
      <c r="C94" s="183"/>
      <c r="D94" s="184">
        <f>+'Detail Summary'!AR94</f>
        <v>320</v>
      </c>
      <c r="E94" s="185">
        <f>+'Detail Summary'!AS94</f>
        <v>283207.05</v>
      </c>
      <c r="F94" s="178"/>
      <c r="G94" s="184">
        <v>0</v>
      </c>
      <c r="H94" s="186">
        <v>0</v>
      </c>
      <c r="I94" s="178"/>
      <c r="J94" s="184">
        <v>0</v>
      </c>
      <c r="K94" s="186">
        <v>0</v>
      </c>
      <c r="L94" s="178"/>
      <c r="M94" s="184">
        <v>0</v>
      </c>
      <c r="N94" s="186">
        <v>0</v>
      </c>
      <c r="O94" s="178"/>
      <c r="P94" s="184">
        <v>0</v>
      </c>
      <c r="Q94" s="186">
        <v>0</v>
      </c>
      <c r="R94" s="178"/>
      <c r="S94" s="184">
        <f t="shared" si="20"/>
        <v>320</v>
      </c>
      <c r="T94" s="185">
        <f t="shared" si="20"/>
        <v>283207.05</v>
      </c>
      <c r="U94" s="178"/>
      <c r="V94" s="2324"/>
    </row>
    <row r="95" spans="2:22" ht="15" x14ac:dyDescent="0.25">
      <c r="B95" s="193" t="str">
        <f>+'Detail Summary'!G95</f>
        <v>SCS - Campaign</v>
      </c>
      <c r="C95" s="183"/>
      <c r="D95" s="184">
        <f>+'Detail Summary'!AR95</f>
        <v>0</v>
      </c>
      <c r="E95" s="185">
        <f ca="1">+'Detail Summary'!AS95</f>
        <v>72130.62</v>
      </c>
      <c r="F95" s="178"/>
      <c r="G95" s="184">
        <v>0</v>
      </c>
      <c r="H95" s="186">
        <v>0</v>
      </c>
      <c r="I95" s="178"/>
      <c r="J95" s="184">
        <v>0</v>
      </c>
      <c r="K95" s="186">
        <v>0</v>
      </c>
      <c r="L95" s="178"/>
      <c r="M95" s="184">
        <v>0</v>
      </c>
      <c r="N95" s="186">
        <v>0</v>
      </c>
      <c r="O95" s="178"/>
      <c r="P95" s="184">
        <v>0</v>
      </c>
      <c r="Q95" s="186">
        <v>0</v>
      </c>
      <c r="R95" s="178"/>
      <c r="S95" s="184">
        <f t="shared" si="20"/>
        <v>0</v>
      </c>
      <c r="T95" s="185">
        <f t="shared" ca="1" si="20"/>
        <v>72130.62</v>
      </c>
      <c r="U95" s="178"/>
      <c r="V95" s="2324"/>
    </row>
    <row r="96" spans="2:22" ht="15" x14ac:dyDescent="0.25">
      <c r="B96" s="193" t="str">
        <f>+'Detail Summary'!G96</f>
        <v>Legal</v>
      </c>
      <c r="C96" s="183"/>
      <c r="D96" s="184">
        <f>+'Detail Summary'!AR96</f>
        <v>0</v>
      </c>
      <c r="E96" s="185">
        <f>+'Detail Summary'!AS96</f>
        <v>0</v>
      </c>
      <c r="F96" s="178"/>
      <c r="G96" s="184">
        <v>0</v>
      </c>
      <c r="H96" s="186">
        <v>0</v>
      </c>
      <c r="I96" s="178"/>
      <c r="J96" s="184">
        <v>0</v>
      </c>
      <c r="K96" s="186">
        <v>0</v>
      </c>
      <c r="L96" s="178"/>
      <c r="M96" s="184">
        <v>0</v>
      </c>
      <c r="N96" s="186">
        <v>0</v>
      </c>
      <c r="O96" s="178"/>
      <c r="P96" s="184">
        <v>0</v>
      </c>
      <c r="Q96" s="186">
        <v>0</v>
      </c>
      <c r="R96" s="178"/>
      <c r="S96" s="184">
        <f t="shared" si="20"/>
        <v>0</v>
      </c>
      <c r="T96" s="185">
        <f t="shared" si="20"/>
        <v>0</v>
      </c>
      <c r="U96" s="178"/>
      <c r="V96" s="2324"/>
    </row>
    <row r="97" spans="1:22" ht="15" x14ac:dyDescent="0.25">
      <c r="B97" s="193" t="str">
        <f>+'Detail Summary'!G97</f>
        <v>Estimating</v>
      </c>
      <c r="C97" s="183"/>
      <c r="D97" s="184">
        <f>+'Detail Summary'!AR97</f>
        <v>0</v>
      </c>
      <c r="E97" s="185">
        <f>+'Detail Summary'!AS97</f>
        <v>4880</v>
      </c>
      <c r="F97" s="178"/>
      <c r="G97" s="184">
        <v>0</v>
      </c>
      <c r="H97" s="186">
        <v>0</v>
      </c>
      <c r="I97" s="178"/>
      <c r="J97" s="184">
        <v>0</v>
      </c>
      <c r="K97" s="186">
        <v>0</v>
      </c>
      <c r="L97" s="178"/>
      <c r="M97" s="184">
        <v>0</v>
      </c>
      <c r="N97" s="186">
        <v>0</v>
      </c>
      <c r="O97" s="178"/>
      <c r="P97" s="184">
        <v>0</v>
      </c>
      <c r="Q97" s="186">
        <v>0</v>
      </c>
      <c r="R97" s="178"/>
      <c r="S97" s="184">
        <f t="shared" si="20"/>
        <v>0</v>
      </c>
      <c r="T97" s="185">
        <f t="shared" si="20"/>
        <v>4880</v>
      </c>
      <c r="U97" s="178"/>
      <c r="V97" s="2324"/>
    </row>
    <row r="98" spans="1:22" ht="15" x14ac:dyDescent="0.25">
      <c r="B98" s="193" t="str">
        <f>+'Detail Summary'!G98</f>
        <v>Siting - Chapter 40A</v>
      </c>
      <c r="C98" s="183"/>
      <c r="D98" s="184">
        <f>+'Detail Summary'!AR98</f>
        <v>0</v>
      </c>
      <c r="E98" s="185">
        <f ca="1">+'Detail Summary'!AS98</f>
        <v>29209</v>
      </c>
      <c r="F98" s="178"/>
      <c r="G98" s="184">
        <v>0</v>
      </c>
      <c r="H98" s="186">
        <v>0</v>
      </c>
      <c r="I98" s="178"/>
      <c r="J98" s="184">
        <v>0</v>
      </c>
      <c r="K98" s="186">
        <v>0</v>
      </c>
      <c r="L98" s="178"/>
      <c r="M98" s="184">
        <v>0</v>
      </c>
      <c r="N98" s="186">
        <v>0</v>
      </c>
      <c r="O98" s="178"/>
      <c r="P98" s="184">
        <v>0</v>
      </c>
      <c r="Q98" s="186">
        <v>0</v>
      </c>
      <c r="R98" s="178"/>
      <c r="S98" s="184">
        <f t="shared" si="20"/>
        <v>0</v>
      </c>
      <c r="T98" s="185">
        <f t="shared" ca="1" si="20"/>
        <v>29209</v>
      </c>
      <c r="U98" s="178"/>
      <c r="V98" s="2324"/>
    </row>
    <row r="99" spans="1:22" ht="15" x14ac:dyDescent="0.25">
      <c r="B99" s="193" t="str">
        <f>+'Detail Summary'!G99</f>
        <v>Asset Management</v>
      </c>
      <c r="C99" s="183"/>
      <c r="D99" s="184">
        <f>+'Detail Summary'!AR99</f>
        <v>40</v>
      </c>
      <c r="E99" s="185">
        <f ca="1">+'Detail Summary'!AS99</f>
        <v>2503</v>
      </c>
      <c r="F99" s="178"/>
      <c r="G99" s="184">
        <v>0</v>
      </c>
      <c r="H99" s="186">
        <v>0</v>
      </c>
      <c r="I99" s="178"/>
      <c r="J99" s="184">
        <v>0</v>
      </c>
      <c r="K99" s="186">
        <v>0</v>
      </c>
      <c r="L99" s="178"/>
      <c r="M99" s="184">
        <v>0</v>
      </c>
      <c r="N99" s="186">
        <v>0</v>
      </c>
      <c r="O99" s="178"/>
      <c r="P99" s="184">
        <v>0</v>
      </c>
      <c r="Q99" s="186">
        <v>0</v>
      </c>
      <c r="R99" s="178"/>
      <c r="S99" s="184">
        <f t="shared" si="20"/>
        <v>40</v>
      </c>
      <c r="T99" s="185">
        <f t="shared" ca="1" si="20"/>
        <v>2503</v>
      </c>
      <c r="U99" s="178"/>
      <c r="V99" s="2324"/>
    </row>
    <row r="100" spans="1:22" ht="15" x14ac:dyDescent="0.25">
      <c r="B100" s="193" t="str">
        <f>+'Detail Summary'!G100</f>
        <v>Veg. Mgmt</v>
      </c>
      <c r="C100" s="183"/>
      <c r="D100" s="184">
        <f>+'Detail Summary'!AR100</f>
        <v>0</v>
      </c>
      <c r="E100" s="185">
        <f ca="1">+'Detail Summary'!AS100</f>
        <v>0</v>
      </c>
      <c r="F100" s="178"/>
      <c r="G100" s="184">
        <v>0</v>
      </c>
      <c r="H100" s="186">
        <v>0</v>
      </c>
      <c r="I100" s="178"/>
      <c r="J100" s="184">
        <v>0</v>
      </c>
      <c r="K100" s="186">
        <v>0</v>
      </c>
      <c r="L100" s="178"/>
      <c r="M100" s="184">
        <v>0</v>
      </c>
      <c r="N100" s="186">
        <v>0</v>
      </c>
      <c r="O100" s="178"/>
      <c r="P100" s="184">
        <v>0</v>
      </c>
      <c r="Q100" s="186">
        <v>0</v>
      </c>
      <c r="R100" s="178"/>
      <c r="S100" s="184">
        <f t="shared" si="20"/>
        <v>0</v>
      </c>
      <c r="T100" s="185">
        <f t="shared" ca="1" si="20"/>
        <v>0</v>
      </c>
      <c r="U100" s="178"/>
      <c r="V100" s="2324"/>
    </row>
    <row r="101" spans="1:22" ht="15" x14ac:dyDescent="0.25">
      <c r="B101" s="193" t="str">
        <f>+'Detail Summary'!G101</f>
        <v xml:space="preserve">Other - </v>
      </c>
      <c r="C101" s="183"/>
      <c r="D101" s="184">
        <f>+'Detail Summary'!AR101</f>
        <v>0</v>
      </c>
      <c r="E101" s="185">
        <f>+'Detail Summary'!AS101</f>
        <v>0</v>
      </c>
      <c r="F101" s="178"/>
      <c r="G101" s="184">
        <v>0</v>
      </c>
      <c r="H101" s="186">
        <v>0</v>
      </c>
      <c r="I101" s="178"/>
      <c r="J101" s="184">
        <v>0</v>
      </c>
      <c r="K101" s="186">
        <v>0</v>
      </c>
      <c r="L101" s="178"/>
      <c r="M101" s="184">
        <v>0</v>
      </c>
      <c r="N101" s="186">
        <v>0</v>
      </c>
      <c r="O101" s="178"/>
      <c r="P101" s="184">
        <v>0</v>
      </c>
      <c r="Q101" s="186">
        <v>0</v>
      </c>
      <c r="R101" s="178"/>
      <c r="S101" s="184">
        <f t="shared" si="20"/>
        <v>0</v>
      </c>
      <c r="T101" s="185">
        <f t="shared" si="20"/>
        <v>0</v>
      </c>
      <c r="U101" s="178"/>
      <c r="V101" s="2324"/>
    </row>
    <row r="102" spans="1:22" ht="15" x14ac:dyDescent="0.25">
      <c r="B102" s="193" t="str">
        <f>+'Detail Summary'!G102</f>
        <v xml:space="preserve">Other - </v>
      </c>
      <c r="C102" s="183"/>
      <c r="D102" s="184">
        <f>+'Detail Summary'!AR102</f>
        <v>0</v>
      </c>
      <c r="E102" s="185">
        <f>+'Detail Summary'!AS102</f>
        <v>0</v>
      </c>
      <c r="F102" s="178"/>
      <c r="G102" s="184">
        <v>0</v>
      </c>
      <c r="H102" s="186">
        <v>0</v>
      </c>
      <c r="I102" s="178"/>
      <c r="J102" s="184">
        <v>0</v>
      </c>
      <c r="K102" s="186">
        <v>0</v>
      </c>
      <c r="L102" s="178"/>
      <c r="M102" s="184">
        <v>0</v>
      </c>
      <c r="N102" s="186">
        <v>0</v>
      </c>
      <c r="O102" s="178"/>
      <c r="P102" s="184">
        <v>0</v>
      </c>
      <c r="Q102" s="186">
        <v>0</v>
      </c>
      <c r="R102" s="178"/>
      <c r="S102" s="184">
        <f t="shared" si="20"/>
        <v>0</v>
      </c>
      <c r="T102" s="185">
        <f t="shared" si="20"/>
        <v>0</v>
      </c>
      <c r="U102" s="178"/>
      <c r="V102" s="2324"/>
    </row>
    <row r="103" spans="1:22" ht="15.75" thickBot="1" x14ac:dyDescent="0.3">
      <c r="B103" s="193" t="str">
        <f>+'Detail Summary'!G103</f>
        <v xml:space="preserve">Other - </v>
      </c>
      <c r="C103" s="183"/>
      <c r="D103" s="184">
        <f>+'Detail Summary'!AR103</f>
        <v>0</v>
      </c>
      <c r="E103" s="185">
        <f>+'Detail Summary'!AS103</f>
        <v>0</v>
      </c>
      <c r="F103" s="178"/>
      <c r="G103" s="184">
        <v>0</v>
      </c>
      <c r="H103" s="186">
        <v>0</v>
      </c>
      <c r="I103" s="178"/>
      <c r="J103" s="184">
        <v>0</v>
      </c>
      <c r="K103" s="186">
        <v>0</v>
      </c>
      <c r="L103" s="178"/>
      <c r="M103" s="184">
        <v>0</v>
      </c>
      <c r="N103" s="186">
        <v>0</v>
      </c>
      <c r="O103" s="178"/>
      <c r="P103" s="184">
        <v>0</v>
      </c>
      <c r="Q103" s="186">
        <v>0</v>
      </c>
      <c r="R103" s="178"/>
      <c r="S103" s="184">
        <f t="shared" si="20"/>
        <v>0</v>
      </c>
      <c r="T103" s="185">
        <f t="shared" si="20"/>
        <v>0</v>
      </c>
      <c r="U103" s="178"/>
      <c r="V103" s="2324"/>
    </row>
    <row r="104" spans="1:22" ht="15" x14ac:dyDescent="0.25">
      <c r="B104" s="187" t="str">
        <f>+'Detail Summary'!G104</f>
        <v>LT Total</v>
      </c>
      <c r="C104" s="183"/>
      <c r="D104" s="219">
        <f>SUM(D90:D103)</f>
        <v>3528</v>
      </c>
      <c r="E104" s="189">
        <f ca="1">SUM(E90:E103)</f>
        <v>610661.19999999995</v>
      </c>
      <c r="F104" s="178"/>
      <c r="G104" s="219">
        <f>SUM(G90:G103)</f>
        <v>0</v>
      </c>
      <c r="H104" s="189">
        <f>SUM(H90:H103)</f>
        <v>0</v>
      </c>
      <c r="I104" s="178"/>
      <c r="J104" s="219">
        <f>SUM(J90:J103)</f>
        <v>0</v>
      </c>
      <c r="K104" s="189">
        <f>SUM(K90:K103)</f>
        <v>0</v>
      </c>
      <c r="L104" s="178"/>
      <c r="M104" s="219">
        <f>SUM(M90:M103)</f>
        <v>0</v>
      </c>
      <c r="N104" s="189">
        <f>SUM(N90:N103)</f>
        <v>0</v>
      </c>
      <c r="O104" s="178"/>
      <c r="P104" s="219">
        <f>SUM(P90:P103)</f>
        <v>0</v>
      </c>
      <c r="Q104" s="189">
        <f>SUM(Q90:Q103)</f>
        <v>0</v>
      </c>
      <c r="R104" s="178"/>
      <c r="S104" s="219">
        <f>SUM(S90:S103)</f>
        <v>3528</v>
      </c>
      <c r="T104" s="189">
        <f ca="1">SUM(T90:T103)</f>
        <v>610661.19999999995</v>
      </c>
      <c r="U104" s="178"/>
      <c r="V104" s="2324"/>
    </row>
    <row r="105" spans="1:22" ht="15" x14ac:dyDescent="0.25">
      <c r="B105" s="193" t="str">
        <f>+'Detail Summary'!G105</f>
        <v xml:space="preserve">Employee Expenses </v>
      </c>
      <c r="C105" s="183"/>
      <c r="D105" s="184">
        <f>+'Detail Summary'!AR105</f>
        <v>0</v>
      </c>
      <c r="E105" s="185">
        <f ca="1">+'Detail Summary'!AS105</f>
        <v>26921</v>
      </c>
      <c r="F105" s="178"/>
      <c r="G105" s="184">
        <v>0</v>
      </c>
      <c r="H105" s="186">
        <v>0</v>
      </c>
      <c r="I105" s="178"/>
      <c r="J105" s="184">
        <v>0</v>
      </c>
      <c r="K105" s="186">
        <v>0</v>
      </c>
      <c r="L105" s="178"/>
      <c r="M105" s="184">
        <v>0</v>
      </c>
      <c r="N105" s="186">
        <v>0</v>
      </c>
      <c r="O105" s="178"/>
      <c r="P105" s="184">
        <v>0</v>
      </c>
      <c r="Q105" s="186">
        <v>0</v>
      </c>
      <c r="R105" s="178"/>
      <c r="S105" s="184">
        <f t="shared" ref="S105:T123" si="21">+D105-G105</f>
        <v>0</v>
      </c>
      <c r="T105" s="185">
        <f t="shared" ca="1" si="21"/>
        <v>26921</v>
      </c>
      <c r="U105" s="178"/>
      <c r="V105" s="2324"/>
    </row>
    <row r="106" spans="1:22" ht="15" x14ac:dyDescent="0.25">
      <c r="A106" s="11"/>
      <c r="B106" s="193" t="str">
        <f>+'Detail Summary'!G106</f>
        <v>Project Support Vendor - PM</v>
      </c>
      <c r="C106" s="183"/>
      <c r="D106" s="184">
        <f>+'Detail Summary'!AR106</f>
        <v>4360</v>
      </c>
      <c r="E106" s="185">
        <f>+'Detail Summary'!AS106</f>
        <v>805350.62</v>
      </c>
      <c r="F106" s="178"/>
      <c r="G106" s="184">
        <v>0</v>
      </c>
      <c r="H106" s="186">
        <v>0</v>
      </c>
      <c r="I106" s="178"/>
      <c r="J106" s="184">
        <v>0</v>
      </c>
      <c r="K106" s="186">
        <v>0</v>
      </c>
      <c r="L106" s="178"/>
      <c r="M106" s="184">
        <v>0</v>
      </c>
      <c r="N106" s="186">
        <v>0</v>
      </c>
      <c r="O106" s="178"/>
      <c r="P106" s="184">
        <v>0</v>
      </c>
      <c r="Q106" s="186">
        <v>0</v>
      </c>
      <c r="R106" s="178"/>
      <c r="S106" s="184">
        <f t="shared" si="21"/>
        <v>4360</v>
      </c>
      <c r="T106" s="185">
        <f t="shared" si="21"/>
        <v>805350.62</v>
      </c>
      <c r="U106" s="178"/>
      <c r="V106" s="2324"/>
    </row>
    <row r="107" spans="1:22" ht="15" x14ac:dyDescent="0.25">
      <c r="A107" s="11"/>
      <c r="B107" s="193" t="str">
        <f>+'Detail Summary'!G107</f>
        <v>Project Support Vendor - IP</v>
      </c>
      <c r="C107" s="183"/>
      <c r="D107" s="184">
        <f>+'Detail Summary'!AR107</f>
        <v>0</v>
      </c>
      <c r="E107" s="185">
        <f>+'Detail Summary'!AS107</f>
        <v>0</v>
      </c>
      <c r="F107" s="178"/>
      <c r="G107" s="184">
        <v>0</v>
      </c>
      <c r="H107" s="186">
        <v>0</v>
      </c>
      <c r="I107" s="178"/>
      <c r="J107" s="184">
        <v>0</v>
      </c>
      <c r="K107" s="186">
        <v>0</v>
      </c>
      <c r="L107" s="178"/>
      <c r="M107" s="184">
        <v>0</v>
      </c>
      <c r="N107" s="186">
        <v>0</v>
      </c>
      <c r="O107" s="178"/>
      <c r="P107" s="184">
        <v>0</v>
      </c>
      <c r="Q107" s="186">
        <v>0</v>
      </c>
      <c r="R107" s="178"/>
      <c r="S107" s="184">
        <f t="shared" si="21"/>
        <v>0</v>
      </c>
      <c r="T107" s="185">
        <f t="shared" si="21"/>
        <v>0</v>
      </c>
      <c r="U107" s="178"/>
      <c r="V107" s="2324"/>
    </row>
    <row r="108" spans="1:22" ht="15" x14ac:dyDescent="0.25">
      <c r="A108" s="11"/>
      <c r="B108" s="193" t="str">
        <f>+'Detail Summary'!G108</f>
        <v>Project Support Vendor - C/P</v>
      </c>
      <c r="C108" s="183"/>
      <c r="D108" s="184">
        <f>+'Detail Summary'!AR108</f>
        <v>0</v>
      </c>
      <c r="E108" s="185">
        <f>+'Detail Summary'!AS108</f>
        <v>0</v>
      </c>
      <c r="F108" s="178"/>
      <c r="G108" s="184">
        <v>0</v>
      </c>
      <c r="H108" s="186">
        <v>0</v>
      </c>
      <c r="I108" s="178"/>
      <c r="J108" s="184">
        <v>0</v>
      </c>
      <c r="K108" s="186">
        <v>0</v>
      </c>
      <c r="L108" s="178"/>
      <c r="M108" s="184">
        <v>0</v>
      </c>
      <c r="N108" s="186">
        <v>0</v>
      </c>
      <c r="O108" s="178"/>
      <c r="P108" s="184">
        <v>0</v>
      </c>
      <c r="Q108" s="186">
        <v>0</v>
      </c>
      <c r="R108" s="178"/>
      <c r="S108" s="184">
        <f t="shared" ref="S108:S123" si="22">+D108-G108</f>
        <v>0</v>
      </c>
      <c r="T108" s="185">
        <f t="shared" si="21"/>
        <v>0</v>
      </c>
      <c r="U108" s="178"/>
      <c r="V108" s="2324"/>
    </row>
    <row r="109" spans="1:22" ht="15" x14ac:dyDescent="0.25">
      <c r="A109" s="11"/>
      <c r="B109" s="193" t="str">
        <f>+'Detail Summary'!G109</f>
        <v>Project Support Vendor - System Planning</v>
      </c>
      <c r="C109" s="183"/>
      <c r="D109" s="184">
        <f>+'Detail Summary'!AR109</f>
        <v>0</v>
      </c>
      <c r="E109" s="185">
        <f>+'Detail Summary'!AS109</f>
        <v>0</v>
      </c>
      <c r="F109" s="178"/>
      <c r="G109" s="184">
        <v>0</v>
      </c>
      <c r="H109" s="186">
        <v>0</v>
      </c>
      <c r="I109" s="178"/>
      <c r="J109" s="184">
        <v>0</v>
      </c>
      <c r="K109" s="186">
        <v>0</v>
      </c>
      <c r="L109" s="178"/>
      <c r="M109" s="184">
        <v>0</v>
      </c>
      <c r="N109" s="186">
        <v>0</v>
      </c>
      <c r="O109" s="178"/>
      <c r="P109" s="184">
        <v>0</v>
      </c>
      <c r="Q109" s="186">
        <v>0</v>
      </c>
      <c r="R109" s="178"/>
      <c r="S109" s="184">
        <f t="shared" si="22"/>
        <v>0</v>
      </c>
      <c r="T109" s="185">
        <f t="shared" si="21"/>
        <v>0</v>
      </c>
      <c r="U109" s="178"/>
      <c r="V109" s="2324"/>
    </row>
    <row r="110" spans="1:22" ht="15" x14ac:dyDescent="0.25">
      <c r="A110" s="11"/>
      <c r="B110" s="193" t="str">
        <f>+'Detail Summary'!G110</f>
        <v>Project Support Vendor - Enviromental</v>
      </c>
      <c r="C110" s="183"/>
      <c r="D110" s="184">
        <f>+'Detail Summary'!AR110</f>
        <v>112</v>
      </c>
      <c r="E110" s="185">
        <f>+'Detail Summary'!AS110</f>
        <v>42134</v>
      </c>
      <c r="F110" s="178"/>
      <c r="G110" s="184">
        <v>0</v>
      </c>
      <c r="H110" s="186">
        <v>0</v>
      </c>
      <c r="I110" s="178"/>
      <c r="J110" s="184">
        <v>0</v>
      </c>
      <c r="K110" s="186">
        <v>0</v>
      </c>
      <c r="L110" s="178"/>
      <c r="M110" s="184">
        <v>0</v>
      </c>
      <c r="N110" s="186">
        <v>0</v>
      </c>
      <c r="O110" s="178"/>
      <c r="P110" s="184">
        <v>0</v>
      </c>
      <c r="Q110" s="186">
        <v>0</v>
      </c>
      <c r="R110" s="178"/>
      <c r="S110" s="184">
        <f t="shared" si="22"/>
        <v>112</v>
      </c>
      <c r="T110" s="185">
        <f t="shared" si="21"/>
        <v>42134</v>
      </c>
      <c r="U110" s="178"/>
      <c r="V110" s="2324"/>
    </row>
    <row r="111" spans="1:22" ht="15" x14ac:dyDescent="0.25">
      <c r="A111" s="11"/>
      <c r="B111" s="193" t="str">
        <f>+'Detail Summary'!G111</f>
        <v>Project Support Vendor - SCS - Campaign</v>
      </c>
      <c r="C111" s="183"/>
      <c r="D111" s="184">
        <f>+'Detail Summary'!AR111</f>
        <v>0</v>
      </c>
      <c r="E111" s="185">
        <f ca="1">+'Detail Summary'!AS111</f>
        <v>257805.5</v>
      </c>
      <c r="F111" s="178"/>
      <c r="G111" s="184">
        <v>0</v>
      </c>
      <c r="H111" s="186">
        <v>0</v>
      </c>
      <c r="I111" s="178"/>
      <c r="J111" s="184">
        <v>0</v>
      </c>
      <c r="K111" s="186">
        <v>0</v>
      </c>
      <c r="L111" s="178"/>
      <c r="M111" s="184">
        <v>0</v>
      </c>
      <c r="N111" s="186">
        <v>0</v>
      </c>
      <c r="O111" s="178"/>
      <c r="P111" s="184">
        <v>0</v>
      </c>
      <c r="Q111" s="186">
        <v>0</v>
      </c>
      <c r="R111" s="178"/>
      <c r="S111" s="184">
        <f t="shared" si="22"/>
        <v>0</v>
      </c>
      <c r="T111" s="185">
        <f t="shared" ca="1" si="21"/>
        <v>257805.5</v>
      </c>
      <c r="U111" s="178"/>
      <c r="V111" s="2324"/>
    </row>
    <row r="112" spans="1:22" ht="15" x14ac:dyDescent="0.25">
      <c r="A112" s="11"/>
      <c r="B112" s="193" t="str">
        <f>+'Detail Summary'!G112</f>
        <v>Project Support Vendor - Legal</v>
      </c>
      <c r="C112" s="183"/>
      <c r="D112" s="184">
        <f>+'Detail Summary'!AR112</f>
        <v>0</v>
      </c>
      <c r="E112" s="185">
        <f>+'Detail Summary'!AS112</f>
        <v>0</v>
      </c>
      <c r="F112" s="178"/>
      <c r="G112" s="184">
        <v>0</v>
      </c>
      <c r="H112" s="186">
        <v>0</v>
      </c>
      <c r="I112" s="178"/>
      <c r="J112" s="184">
        <v>0</v>
      </c>
      <c r="K112" s="186">
        <v>0</v>
      </c>
      <c r="L112" s="178"/>
      <c r="M112" s="184">
        <v>0</v>
      </c>
      <c r="N112" s="186">
        <v>0</v>
      </c>
      <c r="O112" s="178"/>
      <c r="P112" s="184">
        <v>0</v>
      </c>
      <c r="Q112" s="186">
        <v>0</v>
      </c>
      <c r="R112" s="178"/>
      <c r="S112" s="184">
        <f t="shared" si="22"/>
        <v>0</v>
      </c>
      <c r="T112" s="185">
        <f t="shared" si="21"/>
        <v>0</v>
      </c>
      <c r="U112" s="178"/>
      <c r="V112" s="2324"/>
    </row>
    <row r="113" spans="1:22" ht="15" x14ac:dyDescent="0.25">
      <c r="A113" s="11"/>
      <c r="B113" s="193" t="str">
        <f>+'Detail Summary'!G113</f>
        <v>Project Support Vendor - Estimating</v>
      </c>
      <c r="C113" s="183"/>
      <c r="D113" s="184">
        <f>+'Detail Summary'!AR113</f>
        <v>0</v>
      </c>
      <c r="E113" s="185">
        <f>+'Detail Summary'!AS113</f>
        <v>0</v>
      </c>
      <c r="F113" s="178"/>
      <c r="G113" s="184">
        <v>0</v>
      </c>
      <c r="H113" s="186">
        <v>0</v>
      </c>
      <c r="I113" s="178"/>
      <c r="J113" s="184">
        <v>0</v>
      </c>
      <c r="K113" s="186">
        <v>0</v>
      </c>
      <c r="L113" s="178"/>
      <c r="M113" s="184">
        <v>0</v>
      </c>
      <c r="N113" s="186">
        <v>0</v>
      </c>
      <c r="O113" s="178"/>
      <c r="P113" s="184">
        <v>0</v>
      </c>
      <c r="Q113" s="186">
        <v>0</v>
      </c>
      <c r="R113" s="178"/>
      <c r="S113" s="184">
        <f t="shared" si="22"/>
        <v>0</v>
      </c>
      <c r="T113" s="185">
        <f t="shared" si="21"/>
        <v>0</v>
      </c>
      <c r="U113" s="178"/>
      <c r="V113" s="2324"/>
    </row>
    <row r="114" spans="1:22" ht="15" x14ac:dyDescent="0.25">
      <c r="A114" s="11"/>
      <c r="B114" s="193" t="str">
        <f>+'Detail Summary'!G114</f>
        <v>Project Support Vendor - Siting - Chapter 40A</v>
      </c>
      <c r="C114" s="183"/>
      <c r="D114" s="184">
        <f>+'Detail Summary'!AR114</f>
        <v>0</v>
      </c>
      <c r="E114" s="185">
        <f ca="1">+'Detail Summary'!AS114</f>
        <v>273430</v>
      </c>
      <c r="F114" s="178"/>
      <c r="G114" s="184">
        <v>0</v>
      </c>
      <c r="H114" s="186">
        <v>0</v>
      </c>
      <c r="I114" s="178"/>
      <c r="J114" s="184">
        <v>0</v>
      </c>
      <c r="K114" s="186">
        <v>0</v>
      </c>
      <c r="L114" s="178"/>
      <c r="M114" s="184">
        <v>0</v>
      </c>
      <c r="N114" s="186">
        <v>0</v>
      </c>
      <c r="O114" s="178"/>
      <c r="P114" s="184">
        <v>0</v>
      </c>
      <c r="Q114" s="186">
        <v>0</v>
      </c>
      <c r="R114" s="178"/>
      <c r="S114" s="184">
        <f t="shared" si="22"/>
        <v>0</v>
      </c>
      <c r="T114" s="185">
        <f t="shared" ca="1" si="21"/>
        <v>273430</v>
      </c>
      <c r="U114" s="178"/>
      <c r="V114" s="2324"/>
    </row>
    <row r="115" spans="1:22" ht="15" x14ac:dyDescent="0.25">
      <c r="A115" s="11"/>
      <c r="B115" s="193" t="str">
        <f>+'Detail Summary'!G115</f>
        <v>Project Support Vendor - Asset Management</v>
      </c>
      <c r="C115" s="183"/>
      <c r="D115" s="184">
        <f>+'Detail Summary'!AR115</f>
        <v>0</v>
      </c>
      <c r="E115" s="185">
        <f>+'Detail Summary'!AS115</f>
        <v>0</v>
      </c>
      <c r="F115" s="178"/>
      <c r="G115" s="184">
        <v>0</v>
      </c>
      <c r="H115" s="186">
        <v>0</v>
      </c>
      <c r="I115" s="178"/>
      <c r="J115" s="184">
        <v>0</v>
      </c>
      <c r="K115" s="186">
        <v>0</v>
      </c>
      <c r="L115" s="178"/>
      <c r="M115" s="184">
        <v>0</v>
      </c>
      <c r="N115" s="186">
        <v>0</v>
      </c>
      <c r="O115" s="178"/>
      <c r="P115" s="184">
        <v>0</v>
      </c>
      <c r="Q115" s="186">
        <v>0</v>
      </c>
      <c r="R115" s="178"/>
      <c r="S115" s="184">
        <f t="shared" si="22"/>
        <v>0</v>
      </c>
      <c r="T115" s="185">
        <f t="shared" si="21"/>
        <v>0</v>
      </c>
      <c r="U115" s="178"/>
      <c r="V115" s="2324"/>
    </row>
    <row r="116" spans="1:22" ht="15" x14ac:dyDescent="0.25">
      <c r="A116" s="11"/>
      <c r="B116" s="193" t="str">
        <f>+'Detail Summary'!G116</f>
        <v>Project Support Vendor - Veg. Mgmt.</v>
      </c>
      <c r="C116" s="183"/>
      <c r="D116" s="184">
        <f>+'Detail Summary'!AR116</f>
        <v>0</v>
      </c>
      <c r="E116" s="185">
        <f>+'Detail Summary'!AS116</f>
        <v>0</v>
      </c>
      <c r="F116" s="178"/>
      <c r="G116" s="184">
        <v>0</v>
      </c>
      <c r="H116" s="186">
        <v>0</v>
      </c>
      <c r="I116" s="178"/>
      <c r="J116" s="184">
        <v>0</v>
      </c>
      <c r="K116" s="186">
        <v>0</v>
      </c>
      <c r="L116" s="178"/>
      <c r="M116" s="184">
        <v>0</v>
      </c>
      <c r="N116" s="186">
        <v>0</v>
      </c>
      <c r="O116" s="178"/>
      <c r="P116" s="184">
        <v>0</v>
      </c>
      <c r="Q116" s="186">
        <v>0</v>
      </c>
      <c r="R116" s="178"/>
      <c r="S116" s="184">
        <f t="shared" si="22"/>
        <v>0</v>
      </c>
      <c r="T116" s="185">
        <f t="shared" si="21"/>
        <v>0</v>
      </c>
      <c r="U116" s="178"/>
      <c r="V116" s="2324"/>
    </row>
    <row r="117" spans="1:22" ht="15" x14ac:dyDescent="0.25">
      <c r="A117" s="11"/>
      <c r="B117" s="193" t="str">
        <f>+'Detail Summary'!G117</f>
        <v>Project Support Vendor - Other</v>
      </c>
      <c r="C117" s="183"/>
      <c r="D117" s="184">
        <f>+'Detail Summary'!AR117</f>
        <v>0</v>
      </c>
      <c r="E117" s="185">
        <f>+'Detail Summary'!AS117</f>
        <v>0</v>
      </c>
      <c r="F117" s="178"/>
      <c r="G117" s="184">
        <v>0</v>
      </c>
      <c r="H117" s="186">
        <v>0</v>
      </c>
      <c r="I117" s="178"/>
      <c r="J117" s="184">
        <v>0</v>
      </c>
      <c r="K117" s="186">
        <v>0</v>
      </c>
      <c r="L117" s="178"/>
      <c r="M117" s="184">
        <v>0</v>
      </c>
      <c r="N117" s="186">
        <v>0</v>
      </c>
      <c r="O117" s="178"/>
      <c r="P117" s="184">
        <v>0</v>
      </c>
      <c r="Q117" s="186">
        <v>0</v>
      </c>
      <c r="R117" s="178"/>
      <c r="S117" s="184">
        <f t="shared" si="22"/>
        <v>0</v>
      </c>
      <c r="T117" s="185">
        <f t="shared" si="21"/>
        <v>0</v>
      </c>
      <c r="U117" s="178"/>
      <c r="V117" s="2324"/>
    </row>
    <row r="118" spans="1:22" ht="15" x14ac:dyDescent="0.25">
      <c r="A118" s="11"/>
      <c r="B118" s="193" t="str">
        <f>+'Detail Summary'!G118</f>
        <v>Project Support Vendor - Other</v>
      </c>
      <c r="C118" s="183"/>
      <c r="D118" s="184">
        <f>+'Detail Summary'!AR118</f>
        <v>0</v>
      </c>
      <c r="E118" s="185">
        <f>+'Detail Summary'!AS118</f>
        <v>0</v>
      </c>
      <c r="F118" s="178"/>
      <c r="G118" s="184">
        <v>0</v>
      </c>
      <c r="H118" s="186">
        <v>0</v>
      </c>
      <c r="I118" s="178"/>
      <c r="J118" s="184">
        <v>0</v>
      </c>
      <c r="K118" s="186">
        <v>0</v>
      </c>
      <c r="L118" s="178"/>
      <c r="M118" s="184">
        <v>0</v>
      </c>
      <c r="N118" s="186">
        <v>0</v>
      </c>
      <c r="O118" s="178"/>
      <c r="P118" s="184">
        <v>0</v>
      </c>
      <c r="Q118" s="186">
        <v>0</v>
      </c>
      <c r="R118" s="178"/>
      <c r="S118" s="184">
        <f t="shared" si="22"/>
        <v>0</v>
      </c>
      <c r="T118" s="185">
        <f t="shared" si="21"/>
        <v>0</v>
      </c>
      <c r="U118" s="178"/>
      <c r="V118" s="2324"/>
    </row>
    <row r="119" spans="1:22" ht="15" x14ac:dyDescent="0.25">
      <c r="B119" s="193" t="str">
        <f>+'Detail Summary'!G119</f>
        <v>Project Support Vendor - Other</v>
      </c>
      <c r="C119" s="183"/>
      <c r="D119" s="184">
        <f>+'Detail Summary'!AR119</f>
        <v>0</v>
      </c>
      <c r="E119" s="185">
        <f>+'Detail Summary'!AS119</f>
        <v>0</v>
      </c>
      <c r="F119" s="178"/>
      <c r="G119" s="184">
        <v>0</v>
      </c>
      <c r="H119" s="186">
        <v>0</v>
      </c>
      <c r="I119" s="178"/>
      <c r="J119" s="184">
        <v>0</v>
      </c>
      <c r="K119" s="186">
        <v>0</v>
      </c>
      <c r="L119" s="178"/>
      <c r="M119" s="184">
        <v>0</v>
      </c>
      <c r="N119" s="186">
        <v>0</v>
      </c>
      <c r="O119" s="178"/>
      <c r="P119" s="184">
        <v>0</v>
      </c>
      <c r="Q119" s="186">
        <v>0</v>
      </c>
      <c r="R119" s="178"/>
      <c r="S119" s="184">
        <f t="shared" si="22"/>
        <v>0</v>
      </c>
      <c r="T119" s="185">
        <f t="shared" si="21"/>
        <v>0</v>
      </c>
      <c r="U119" s="178"/>
      <c r="V119" s="2324"/>
    </row>
    <row r="120" spans="1:22" ht="15" x14ac:dyDescent="0.25">
      <c r="B120" s="193" t="str">
        <f>+'Detail Summary'!G120</f>
        <v>Vehicles ( now in indirects section)</v>
      </c>
      <c r="C120" s="183"/>
      <c r="D120" s="184">
        <f>+'Detail Summary'!AR120</f>
        <v>0</v>
      </c>
      <c r="E120" s="185">
        <f ca="1">+'Detail Summary'!AS120</f>
        <v>0</v>
      </c>
      <c r="F120" s="178"/>
      <c r="G120" s="184">
        <v>0</v>
      </c>
      <c r="H120" s="186">
        <v>0</v>
      </c>
      <c r="I120" s="178"/>
      <c r="J120" s="184">
        <v>0</v>
      </c>
      <c r="K120" s="186">
        <v>0</v>
      </c>
      <c r="L120" s="178"/>
      <c r="M120" s="184">
        <v>0</v>
      </c>
      <c r="N120" s="186">
        <v>0</v>
      </c>
      <c r="O120" s="178"/>
      <c r="P120" s="184">
        <v>0</v>
      </c>
      <c r="Q120" s="186">
        <v>0</v>
      </c>
      <c r="R120" s="178"/>
      <c r="S120" s="184">
        <f t="shared" si="22"/>
        <v>0</v>
      </c>
      <c r="T120" s="185">
        <f t="shared" ca="1" si="21"/>
        <v>0</v>
      </c>
      <c r="U120" s="178"/>
      <c r="V120" s="2324"/>
    </row>
    <row r="121" spans="1:22" ht="15" x14ac:dyDescent="0.25">
      <c r="B121" s="193" t="str">
        <f>+'Detail Summary'!G121</f>
        <v>Property or CWIP tax large proj. allowance</v>
      </c>
      <c r="C121" s="183"/>
      <c r="D121" s="184">
        <f>+'Detail Summary'!AR121</f>
        <v>0</v>
      </c>
      <c r="E121" s="185">
        <f ca="1">+'Detail Summary'!AS121</f>
        <v>802454.77</v>
      </c>
      <c r="F121" s="178"/>
      <c r="G121" s="184">
        <v>0</v>
      </c>
      <c r="H121" s="186">
        <v>0</v>
      </c>
      <c r="I121" s="178"/>
      <c r="J121" s="184">
        <v>0</v>
      </c>
      <c r="K121" s="186">
        <v>0</v>
      </c>
      <c r="L121" s="178"/>
      <c r="M121" s="184">
        <v>0</v>
      </c>
      <c r="N121" s="186">
        <v>0</v>
      </c>
      <c r="O121" s="178"/>
      <c r="P121" s="184">
        <v>0</v>
      </c>
      <c r="Q121" s="186">
        <v>0</v>
      </c>
      <c r="R121" s="178"/>
      <c r="S121" s="184">
        <f t="shared" si="22"/>
        <v>0</v>
      </c>
      <c r="T121" s="185">
        <f t="shared" ca="1" si="21"/>
        <v>802454.77</v>
      </c>
      <c r="U121" s="178"/>
      <c r="V121" s="2324"/>
    </row>
    <row r="122" spans="1:22" ht="15" x14ac:dyDescent="0.25">
      <c r="B122" s="193" t="str">
        <f>+'Detail Summary'!G122</f>
        <v>Builder All risk insurance excluding deductables( if project is over $50m)</v>
      </c>
      <c r="C122" s="183"/>
      <c r="D122" s="184">
        <f>+'Detail Summary'!AR122</f>
        <v>0</v>
      </c>
      <c r="E122" s="185">
        <f ca="1">+'Detail Summary'!AS122</f>
        <v>127638</v>
      </c>
      <c r="F122" s="178"/>
      <c r="G122" s="184">
        <v>0</v>
      </c>
      <c r="H122" s="186">
        <v>0</v>
      </c>
      <c r="I122" s="178"/>
      <c r="J122" s="184">
        <v>0</v>
      </c>
      <c r="K122" s="186">
        <v>0</v>
      </c>
      <c r="L122" s="178"/>
      <c r="M122" s="184">
        <v>0</v>
      </c>
      <c r="N122" s="186">
        <v>0</v>
      </c>
      <c r="O122" s="178"/>
      <c r="P122" s="184">
        <v>0</v>
      </c>
      <c r="Q122" s="186">
        <v>0</v>
      </c>
      <c r="R122" s="178"/>
      <c r="S122" s="184">
        <f t="shared" si="22"/>
        <v>0</v>
      </c>
      <c r="T122" s="185">
        <f t="shared" ca="1" si="21"/>
        <v>127638</v>
      </c>
      <c r="U122" s="178"/>
      <c r="V122" s="2324"/>
    </row>
    <row r="123" spans="1:22" ht="15" x14ac:dyDescent="0.25">
      <c r="B123" s="193" t="str">
        <f>+'Detail Summary'!G123</f>
        <v>Fees and Payments - Enviromental</v>
      </c>
      <c r="C123" s="183"/>
      <c r="D123" s="184">
        <f>+'Detail Summary'!AR123</f>
        <v>0</v>
      </c>
      <c r="E123" s="185">
        <f>+'Detail Summary'!AS123</f>
        <v>0</v>
      </c>
      <c r="F123" s="178"/>
      <c r="G123" s="184">
        <v>0</v>
      </c>
      <c r="H123" s="186">
        <v>0</v>
      </c>
      <c r="I123" s="178"/>
      <c r="J123" s="184">
        <v>0</v>
      </c>
      <c r="K123" s="186">
        <v>0</v>
      </c>
      <c r="L123" s="178"/>
      <c r="M123" s="184">
        <v>0</v>
      </c>
      <c r="N123" s="186">
        <v>0</v>
      </c>
      <c r="O123" s="178"/>
      <c r="P123" s="184">
        <v>0</v>
      </c>
      <c r="Q123" s="186">
        <v>0</v>
      </c>
      <c r="R123" s="178"/>
      <c r="S123" s="184">
        <f t="shared" si="22"/>
        <v>0</v>
      </c>
      <c r="T123" s="185">
        <f t="shared" si="21"/>
        <v>0</v>
      </c>
      <c r="U123" s="178"/>
      <c r="V123" s="2324"/>
    </row>
    <row r="124" spans="1:22" ht="15" x14ac:dyDescent="0.25">
      <c r="B124" s="193" t="str">
        <f>+'Detail Summary'!G124</f>
        <v>Fees and Payments - Siting</v>
      </c>
      <c r="C124" s="183"/>
      <c r="D124" s="184">
        <f>+'Detail Summary'!AR124</f>
        <v>0</v>
      </c>
      <c r="E124" s="185">
        <f>+'Detail Summary'!AS124</f>
        <v>0</v>
      </c>
      <c r="F124" s="178"/>
      <c r="G124" s="184">
        <v>0</v>
      </c>
      <c r="H124" s="186">
        <v>0</v>
      </c>
      <c r="I124" s="178"/>
      <c r="J124" s="184">
        <v>0</v>
      </c>
      <c r="K124" s="186">
        <v>0</v>
      </c>
      <c r="L124" s="178"/>
      <c r="M124" s="184">
        <v>0</v>
      </c>
      <c r="N124" s="186">
        <v>0</v>
      </c>
      <c r="O124" s="178"/>
      <c r="P124" s="184">
        <v>0</v>
      </c>
      <c r="Q124" s="186">
        <v>0</v>
      </c>
      <c r="R124" s="178"/>
      <c r="S124" s="184">
        <f t="shared" ref="S124:S125" si="23">+D124-G124</f>
        <v>0</v>
      </c>
      <c r="T124" s="185">
        <f t="shared" ref="T124:T125" si="24">+E124-H124</f>
        <v>0</v>
      </c>
      <c r="U124" s="178"/>
      <c r="V124" s="2324"/>
    </row>
    <row r="125" spans="1:22" ht="15" x14ac:dyDescent="0.25">
      <c r="B125" s="193" t="str">
        <f>+'Detail Summary'!G125</f>
        <v>Fees and Payments - Other</v>
      </c>
      <c r="C125" s="183"/>
      <c r="D125" s="184">
        <f>+'Detail Summary'!AR125</f>
        <v>0</v>
      </c>
      <c r="E125" s="185">
        <f>+'Detail Summary'!AS125</f>
        <v>0</v>
      </c>
      <c r="F125" s="178"/>
      <c r="G125" s="184">
        <v>0</v>
      </c>
      <c r="H125" s="186">
        <v>0</v>
      </c>
      <c r="I125" s="178"/>
      <c r="J125" s="184">
        <v>0</v>
      </c>
      <c r="K125" s="186">
        <v>0</v>
      </c>
      <c r="L125" s="178"/>
      <c r="M125" s="184">
        <v>0</v>
      </c>
      <c r="N125" s="186">
        <v>0</v>
      </c>
      <c r="O125" s="178"/>
      <c r="P125" s="184">
        <v>0</v>
      </c>
      <c r="Q125" s="186">
        <v>0</v>
      </c>
      <c r="R125" s="178"/>
      <c r="S125" s="184">
        <f t="shared" si="23"/>
        <v>0</v>
      </c>
      <c r="T125" s="185">
        <f t="shared" si="24"/>
        <v>0</v>
      </c>
      <c r="U125" s="178"/>
      <c r="V125" s="2324"/>
    </row>
    <row r="126" spans="1:22" ht="15" x14ac:dyDescent="0.25">
      <c r="B126" s="203" t="str">
        <f>+'Detail Summary'!G126</f>
        <v>PSMXX Subtotal</v>
      </c>
      <c r="C126" s="183"/>
      <c r="D126" s="894">
        <f>SUM(D90:D125)-D104</f>
        <v>8000</v>
      </c>
      <c r="E126" s="185">
        <f ca="1">SUM(E90:E125)-E104</f>
        <v>2946395.09</v>
      </c>
      <c r="F126" s="178"/>
      <c r="G126" s="186"/>
      <c r="H126" s="186">
        <f>SUM(H90:H125)-H104</f>
        <v>0</v>
      </c>
      <c r="I126" s="178"/>
      <c r="J126" s="186"/>
      <c r="K126" s="186">
        <f>SUM(K90:K125)-K104</f>
        <v>0</v>
      </c>
      <c r="L126" s="178"/>
      <c r="M126" s="186"/>
      <c r="N126" s="186">
        <f>SUM(N90:N125)-N104</f>
        <v>0</v>
      </c>
      <c r="O126" s="178"/>
      <c r="P126" s="186"/>
      <c r="Q126" s="186">
        <f>SUM(Q90:Q125)-Q104</f>
        <v>0</v>
      </c>
      <c r="R126" s="178"/>
      <c r="S126" s="185"/>
      <c r="T126" s="185">
        <f ca="1">SUM(T90:T125)-T104</f>
        <v>2946395.09</v>
      </c>
      <c r="U126" s="178"/>
      <c r="V126" s="2324"/>
    </row>
    <row r="127" spans="1:22" ht="15" x14ac:dyDescent="0.25">
      <c r="B127" s="9" t="str">
        <f>+'Detail Summary'!G127</f>
        <v>Escalation</v>
      </c>
      <c r="C127" s="183"/>
      <c r="D127" s="184">
        <f>+'Detail Summary'!AR127</f>
        <v>0</v>
      </c>
      <c r="E127" s="185">
        <f>+'Detail Summary'!AS127</f>
        <v>0</v>
      </c>
      <c r="F127" s="178"/>
      <c r="G127" s="184">
        <v>0</v>
      </c>
      <c r="H127" s="186">
        <v>0</v>
      </c>
      <c r="I127" s="178"/>
      <c r="J127" s="184">
        <v>0</v>
      </c>
      <c r="K127" s="186">
        <v>0</v>
      </c>
      <c r="L127" s="178"/>
      <c r="M127" s="184">
        <v>0</v>
      </c>
      <c r="N127" s="186">
        <v>0</v>
      </c>
      <c r="O127" s="178"/>
      <c r="P127" s="184">
        <v>0</v>
      </c>
      <c r="Q127" s="186">
        <v>0</v>
      </c>
      <c r="R127" s="178"/>
      <c r="S127" s="184">
        <f>+D127-G127</f>
        <v>0</v>
      </c>
      <c r="T127" s="185">
        <f>+E127-H127</f>
        <v>0</v>
      </c>
      <c r="U127" s="178"/>
      <c r="V127" s="2324"/>
    </row>
    <row r="128" spans="1:22" ht="15" x14ac:dyDescent="0.25">
      <c r="B128" s="223" t="str">
        <f>+'Detail Summary'!G128</f>
        <v>journal entry adj</v>
      </c>
      <c r="C128" s="183"/>
      <c r="D128" s="184">
        <f>+'Detail Summary'!AR128</f>
        <v>0</v>
      </c>
      <c r="E128" s="185">
        <f ca="1">+'Detail Summary'!AS128</f>
        <v>0</v>
      </c>
      <c r="F128" s="178"/>
      <c r="G128" s="184">
        <v>0</v>
      </c>
      <c r="H128" s="186">
        <v>0</v>
      </c>
      <c r="I128" s="178"/>
      <c r="J128" s="184">
        <v>0</v>
      </c>
      <c r="K128" s="186">
        <v>0</v>
      </c>
      <c r="L128" s="178"/>
      <c r="M128" s="184">
        <v>0</v>
      </c>
      <c r="N128" s="186">
        <v>0</v>
      </c>
      <c r="O128" s="178"/>
      <c r="P128" s="184">
        <v>0</v>
      </c>
      <c r="Q128" s="186">
        <v>0</v>
      </c>
      <c r="R128" s="178"/>
      <c r="S128" s="184">
        <f>+D128-G128</f>
        <v>0</v>
      </c>
      <c r="T128" s="185">
        <f ca="1">+E128-H128</f>
        <v>0</v>
      </c>
      <c r="U128" s="178"/>
      <c r="V128" s="2324"/>
    </row>
    <row r="129" spans="1:22" ht="15.75" thickBot="1" x14ac:dyDescent="0.3">
      <c r="B129" s="212" t="str">
        <f>+'Detail Summary'!G129</f>
        <v>PSMXX Total</v>
      </c>
      <c r="C129" s="224"/>
      <c r="D129" s="225">
        <f>+D128+D127+D126</f>
        <v>8000</v>
      </c>
      <c r="E129" s="214">
        <f ca="1">+E128+E127+E126</f>
        <v>2946395.09</v>
      </c>
      <c r="F129" s="178"/>
      <c r="G129" s="226">
        <f>+G128+G127+G126</f>
        <v>0</v>
      </c>
      <c r="H129" s="216">
        <f>+H128+H127+H126</f>
        <v>0</v>
      </c>
      <c r="I129" s="178"/>
      <c r="J129" s="226">
        <f>+J128+J127+J126</f>
        <v>0</v>
      </c>
      <c r="K129" s="216">
        <f>+K128+K127+K126</f>
        <v>0</v>
      </c>
      <c r="L129" s="178"/>
      <c r="M129" s="226">
        <f>+M128+M127+M126</f>
        <v>0</v>
      </c>
      <c r="N129" s="216">
        <f>+N128+N127+N126</f>
        <v>0</v>
      </c>
      <c r="O129" s="178"/>
      <c r="P129" s="226">
        <f>+P128+P127+P126</f>
        <v>0</v>
      </c>
      <c r="Q129" s="216">
        <f>+Q128+Q127+Q126</f>
        <v>0</v>
      </c>
      <c r="R129" s="178"/>
      <c r="S129" s="225">
        <f>+S128+S127+S126</f>
        <v>0</v>
      </c>
      <c r="T129" s="214">
        <f ca="1">+T128+T127+T126</f>
        <v>2946395.09</v>
      </c>
      <c r="U129" s="178"/>
      <c r="V129" s="2324"/>
    </row>
    <row r="130" spans="1:22" ht="15" x14ac:dyDescent="0.25">
      <c r="B130" s="11" t="str">
        <f>+'Detail Summary'!G130</f>
        <v>REMXX-TG REMOVAL</v>
      </c>
      <c r="C130" s="178"/>
      <c r="D130" s="208">
        <f>+'Detail Summary'!AR130</f>
        <v>0</v>
      </c>
      <c r="E130" s="217">
        <f>+'Detail Summary'!AS130</f>
        <v>0</v>
      </c>
      <c r="F130" s="178"/>
      <c r="G130" s="210">
        <v>0</v>
      </c>
      <c r="H130" s="218">
        <v>0</v>
      </c>
      <c r="I130" s="178"/>
      <c r="J130" s="210">
        <v>0</v>
      </c>
      <c r="K130" s="218">
        <v>0</v>
      </c>
      <c r="L130" s="178"/>
      <c r="M130" s="210">
        <v>0</v>
      </c>
      <c r="N130" s="218">
        <v>0</v>
      </c>
      <c r="O130" s="178"/>
      <c r="P130" s="210">
        <v>0</v>
      </c>
      <c r="Q130" s="218">
        <v>0</v>
      </c>
      <c r="R130" s="178"/>
      <c r="S130" s="208">
        <f t="shared" ref="S130:T132" si="25">+D130-G130</f>
        <v>0</v>
      </c>
      <c r="T130" s="217">
        <f t="shared" si="25"/>
        <v>0</v>
      </c>
      <c r="U130" s="178"/>
      <c r="V130" s="2324"/>
    </row>
    <row r="131" spans="1:22" ht="15" x14ac:dyDescent="0.25">
      <c r="B131" s="193" t="str">
        <f>+'Detail Summary'!G131</f>
        <v>Engineering/Design</v>
      </c>
      <c r="C131" s="183"/>
      <c r="D131" s="184">
        <f>+'Detail Summary'!AR131</f>
        <v>0</v>
      </c>
      <c r="E131" s="185">
        <f ca="1">+'Detail Summary'!AS131</f>
        <v>0</v>
      </c>
      <c r="F131" s="178"/>
      <c r="G131" s="184">
        <v>0</v>
      </c>
      <c r="H131" s="186">
        <v>0</v>
      </c>
      <c r="I131" s="178"/>
      <c r="J131" s="184">
        <v>0</v>
      </c>
      <c r="K131" s="186">
        <v>0</v>
      </c>
      <c r="L131" s="178"/>
      <c r="M131" s="184">
        <v>0</v>
      </c>
      <c r="N131" s="186">
        <v>0</v>
      </c>
      <c r="O131" s="178"/>
      <c r="P131" s="184">
        <v>0</v>
      </c>
      <c r="Q131" s="186">
        <v>0</v>
      </c>
      <c r="R131" s="178"/>
      <c r="S131" s="184">
        <f t="shared" si="25"/>
        <v>0</v>
      </c>
      <c r="T131" s="185">
        <f t="shared" ca="1" si="25"/>
        <v>0</v>
      </c>
      <c r="U131" s="178"/>
      <c r="V131" s="2324"/>
    </row>
    <row r="132" spans="1:22" ht="15.75" thickBot="1" x14ac:dyDescent="0.3">
      <c r="A132" s="11"/>
      <c r="B132" s="182" t="str">
        <f>+'Detail Summary'!G132</f>
        <v xml:space="preserve">Internal Construction </v>
      </c>
      <c r="C132" s="183"/>
      <c r="D132" s="184">
        <f>+'Detail Summary'!AR132</f>
        <v>0</v>
      </c>
      <c r="E132" s="185">
        <f>+'Detail Summary'!AS132</f>
        <v>0</v>
      </c>
      <c r="F132" s="178"/>
      <c r="G132" s="184">
        <v>0</v>
      </c>
      <c r="H132" s="186">
        <v>0</v>
      </c>
      <c r="I132" s="178"/>
      <c r="J132" s="184">
        <v>0</v>
      </c>
      <c r="K132" s="186">
        <v>0</v>
      </c>
      <c r="L132" s="178"/>
      <c r="M132" s="184">
        <v>0</v>
      </c>
      <c r="N132" s="186">
        <v>0</v>
      </c>
      <c r="O132" s="178"/>
      <c r="P132" s="184">
        <v>0</v>
      </c>
      <c r="Q132" s="186">
        <v>0</v>
      </c>
      <c r="R132" s="178"/>
      <c r="S132" s="184">
        <f t="shared" si="25"/>
        <v>0</v>
      </c>
      <c r="T132" s="185">
        <f t="shared" si="25"/>
        <v>0</v>
      </c>
      <c r="U132" s="178"/>
      <c r="V132" s="2324"/>
    </row>
    <row r="133" spans="1:22" ht="15" x14ac:dyDescent="0.25">
      <c r="A133" s="11"/>
      <c r="B133" s="187" t="str">
        <f>+'Detail Summary'!G133</f>
        <v>LT Total</v>
      </c>
      <c r="C133" s="183"/>
      <c r="D133" s="237">
        <f>SUM(D131:D132)</f>
        <v>0</v>
      </c>
      <c r="E133" s="189">
        <f ca="1">SUM(E131:E132)</f>
        <v>0</v>
      </c>
      <c r="F133" s="178"/>
      <c r="G133" s="238">
        <v>0</v>
      </c>
      <c r="H133" s="191">
        <v>0</v>
      </c>
      <c r="I133" s="178"/>
      <c r="J133" s="238">
        <f>SUM(J131:J132)</f>
        <v>0</v>
      </c>
      <c r="K133" s="191">
        <f>SUM(K131:K132)</f>
        <v>0</v>
      </c>
      <c r="L133" s="178"/>
      <c r="M133" s="238">
        <f>SUM(M131:M132)</f>
        <v>0</v>
      </c>
      <c r="N133" s="191">
        <f>SUM(N131:N132)</f>
        <v>0</v>
      </c>
      <c r="O133" s="178"/>
      <c r="P133" s="238">
        <f>SUM(P131:P132)</f>
        <v>0</v>
      </c>
      <c r="Q133" s="191">
        <f>SUM(Q131:Q132)</f>
        <v>0</v>
      </c>
      <c r="R133" s="178"/>
      <c r="S133" s="237">
        <f>SUM(S131:S132)</f>
        <v>0</v>
      </c>
      <c r="T133" s="189">
        <f ca="1">SUM(T131:T132)</f>
        <v>0</v>
      </c>
      <c r="U133" s="178"/>
      <c r="V133" s="2324"/>
    </row>
    <row r="134" spans="1:22" ht="15" x14ac:dyDescent="0.25">
      <c r="B134" s="193" t="str">
        <f>+'Detail Summary'!G134</f>
        <v xml:space="preserve">Employee Expenses </v>
      </c>
      <c r="C134" s="183"/>
      <c r="D134" s="192">
        <f>+'Detail Summary'!AR134</f>
        <v>0</v>
      </c>
      <c r="E134" s="185">
        <f ca="1">+'Detail Summary'!AS134</f>
        <v>0</v>
      </c>
      <c r="F134" s="178"/>
      <c r="G134" s="184">
        <v>0</v>
      </c>
      <c r="H134" s="186">
        <v>0</v>
      </c>
      <c r="I134" s="178"/>
      <c r="J134" s="184">
        <v>0</v>
      </c>
      <c r="K134" s="186">
        <v>0</v>
      </c>
      <c r="L134" s="178"/>
      <c r="M134" s="184">
        <v>0</v>
      </c>
      <c r="N134" s="186">
        <v>0</v>
      </c>
      <c r="O134" s="178"/>
      <c r="P134" s="184">
        <v>0</v>
      </c>
      <c r="Q134" s="186">
        <v>0</v>
      </c>
      <c r="R134" s="178"/>
      <c r="S134" s="192">
        <f t="shared" ref="S134:T138" si="26">+D134-G134</f>
        <v>0</v>
      </c>
      <c r="T134" s="185">
        <f t="shared" ca="1" si="26"/>
        <v>0</v>
      </c>
      <c r="U134" s="178"/>
      <c r="V134" s="2324"/>
    </row>
    <row r="135" spans="1:22" ht="15" x14ac:dyDescent="0.25">
      <c r="B135" s="193" t="str">
        <f>+'Detail Summary'!G135</f>
        <v>Outside Services</v>
      </c>
      <c r="C135" s="183"/>
      <c r="D135" s="184">
        <f>+'Detail Summary'!AR135</f>
        <v>0</v>
      </c>
      <c r="E135" s="185">
        <f>+'Detail Summary'!AS135</f>
        <v>0</v>
      </c>
      <c r="F135" s="178"/>
      <c r="G135" s="184">
        <v>0</v>
      </c>
      <c r="H135" s="186">
        <v>0</v>
      </c>
      <c r="I135" s="178"/>
      <c r="J135" s="184">
        <v>0</v>
      </c>
      <c r="K135" s="186">
        <v>0</v>
      </c>
      <c r="L135" s="178"/>
      <c r="M135" s="184">
        <v>0</v>
      </c>
      <c r="N135" s="186">
        <v>0</v>
      </c>
      <c r="O135" s="178"/>
      <c r="P135" s="184">
        <v>0</v>
      </c>
      <c r="Q135" s="186">
        <v>0</v>
      </c>
      <c r="R135" s="178"/>
      <c r="S135" s="184">
        <f t="shared" si="26"/>
        <v>0</v>
      </c>
      <c r="T135" s="185">
        <f t="shared" si="26"/>
        <v>0</v>
      </c>
      <c r="U135" s="178"/>
      <c r="V135" s="2324"/>
    </row>
    <row r="136" spans="1:22" ht="15" x14ac:dyDescent="0.25">
      <c r="B136" s="193" t="str">
        <f>+'Detail Summary'!G136</f>
        <v>Contractor Labor</v>
      </c>
      <c r="C136" s="183"/>
      <c r="D136" s="184">
        <f ca="1">+'Detail Summary'!AR136</f>
        <v>0</v>
      </c>
      <c r="E136" s="185">
        <f ca="1">+'Detail Summary'!AS136</f>
        <v>0</v>
      </c>
      <c r="F136" s="178"/>
      <c r="G136" s="184">
        <v>0</v>
      </c>
      <c r="H136" s="186">
        <v>0</v>
      </c>
      <c r="I136" s="178"/>
      <c r="J136" s="184">
        <v>0</v>
      </c>
      <c r="K136" s="186">
        <v>0</v>
      </c>
      <c r="L136" s="178"/>
      <c r="M136" s="184">
        <v>0</v>
      </c>
      <c r="N136" s="186">
        <v>0</v>
      </c>
      <c r="O136" s="178"/>
      <c r="P136" s="184">
        <v>0</v>
      </c>
      <c r="Q136" s="186">
        <v>0</v>
      </c>
      <c r="R136" s="178"/>
      <c r="S136" s="184">
        <f t="shared" ca="1" si="26"/>
        <v>0</v>
      </c>
      <c r="T136" s="185">
        <f t="shared" ca="1" si="26"/>
        <v>0</v>
      </c>
      <c r="U136" s="178"/>
      <c r="V136" s="2324"/>
    </row>
    <row r="137" spans="1:22" ht="15" x14ac:dyDescent="0.25">
      <c r="B137" s="193" t="str">
        <f>+'Detail Summary'!G137</f>
        <v>Vehicles ( now in indirects section)</v>
      </c>
      <c r="C137" s="183"/>
      <c r="D137" s="184">
        <f>+'Detail Summary'!AR137</f>
        <v>0</v>
      </c>
      <c r="E137" s="185">
        <f ca="1">+'Detail Summary'!AS137</f>
        <v>0</v>
      </c>
      <c r="F137" s="178"/>
      <c r="G137" s="184">
        <v>0</v>
      </c>
      <c r="H137" s="186">
        <v>0</v>
      </c>
      <c r="I137" s="178"/>
      <c r="J137" s="184">
        <v>0</v>
      </c>
      <c r="K137" s="186">
        <v>0</v>
      </c>
      <c r="L137" s="178"/>
      <c r="M137" s="184">
        <v>0</v>
      </c>
      <c r="N137" s="186">
        <v>0</v>
      </c>
      <c r="O137" s="178"/>
      <c r="P137" s="184">
        <v>0</v>
      </c>
      <c r="Q137" s="186">
        <v>0</v>
      </c>
      <c r="R137" s="178"/>
      <c r="S137" s="184">
        <f t="shared" si="26"/>
        <v>0</v>
      </c>
      <c r="T137" s="185">
        <f t="shared" ca="1" si="26"/>
        <v>0</v>
      </c>
      <c r="U137" s="178"/>
      <c r="V137" s="2324"/>
    </row>
    <row r="138" spans="1:22" ht="15" x14ac:dyDescent="0.25">
      <c r="B138" s="182" t="str">
        <f>+'Detail Summary'!G138</f>
        <v>Rents and Leases</v>
      </c>
      <c r="C138" s="183"/>
      <c r="D138" s="184">
        <f>+'Detail Summary'!AR138</f>
        <v>0</v>
      </c>
      <c r="E138" s="185">
        <f>+'Detail Summary'!AS138</f>
        <v>0</v>
      </c>
      <c r="F138" s="178"/>
      <c r="G138" s="184">
        <v>0</v>
      </c>
      <c r="H138" s="186">
        <v>0</v>
      </c>
      <c r="I138" s="178"/>
      <c r="J138" s="184">
        <v>0</v>
      </c>
      <c r="K138" s="186">
        <v>0</v>
      </c>
      <c r="L138" s="178"/>
      <c r="M138" s="184">
        <v>0</v>
      </c>
      <c r="N138" s="186">
        <v>0</v>
      </c>
      <c r="O138" s="178"/>
      <c r="P138" s="184">
        <v>0</v>
      </c>
      <c r="Q138" s="186">
        <v>0</v>
      </c>
      <c r="R138" s="178"/>
      <c r="S138" s="184">
        <f t="shared" si="26"/>
        <v>0</v>
      </c>
      <c r="T138" s="185">
        <f t="shared" si="26"/>
        <v>0</v>
      </c>
      <c r="U138" s="178"/>
      <c r="V138" s="2324"/>
    </row>
    <row r="139" spans="1:22" ht="15" x14ac:dyDescent="0.25">
      <c r="B139" s="203" t="str">
        <f>+'Detail Summary'!G139</f>
        <v>REMXX Subtotal</v>
      </c>
      <c r="C139" s="183"/>
      <c r="D139" s="239">
        <f ca="1">SUM(D133:D138)</f>
        <v>0</v>
      </c>
      <c r="E139" s="185">
        <f ca="1">SUM(E133:E138)</f>
        <v>0</v>
      </c>
      <c r="F139" s="178"/>
      <c r="G139" s="240">
        <f>SUM(G133:G138)</f>
        <v>0</v>
      </c>
      <c r="H139" s="186">
        <f>SUM(H133:H138)</f>
        <v>0</v>
      </c>
      <c r="I139" s="178"/>
      <c r="J139" s="240">
        <f>SUM(J133:J138)</f>
        <v>0</v>
      </c>
      <c r="K139" s="186">
        <f>SUM(K133:K138)</f>
        <v>0</v>
      </c>
      <c r="L139" s="178"/>
      <c r="M139" s="240">
        <f>SUM(M133:M138)</f>
        <v>0</v>
      </c>
      <c r="N139" s="186">
        <f>SUM(N133:N138)</f>
        <v>0</v>
      </c>
      <c r="O139" s="178"/>
      <c r="P139" s="240">
        <f>SUM(P133:P138)</f>
        <v>0</v>
      </c>
      <c r="Q139" s="186">
        <f>SUM(Q133:Q138)</f>
        <v>0</v>
      </c>
      <c r="R139" s="178"/>
      <c r="S139" s="239">
        <f ca="1">SUM(S133:S138)</f>
        <v>0</v>
      </c>
      <c r="T139" s="185">
        <f ca="1">SUM(T133:T138)</f>
        <v>0</v>
      </c>
      <c r="U139" s="178"/>
      <c r="V139" s="2324"/>
    </row>
    <row r="140" spans="1:22" ht="15" x14ac:dyDescent="0.25">
      <c r="B140" s="9" t="str">
        <f>+'Detail Summary'!G140</f>
        <v>Escalation</v>
      </c>
      <c r="C140" s="183"/>
      <c r="D140" s="184">
        <f>+'Detail Summary'!AR140</f>
        <v>0</v>
      </c>
      <c r="E140" s="185">
        <f>+'Detail Summary'!AS140</f>
        <v>0</v>
      </c>
      <c r="F140" s="178"/>
      <c r="G140" s="184">
        <v>0</v>
      </c>
      <c r="H140" s="186">
        <v>0</v>
      </c>
      <c r="I140" s="178"/>
      <c r="J140" s="184">
        <v>0</v>
      </c>
      <c r="K140" s="186">
        <v>0</v>
      </c>
      <c r="L140" s="178"/>
      <c r="M140" s="184">
        <v>0</v>
      </c>
      <c r="N140" s="186">
        <v>0</v>
      </c>
      <c r="O140" s="178"/>
      <c r="P140" s="184">
        <v>0</v>
      </c>
      <c r="Q140" s="186">
        <v>0</v>
      </c>
      <c r="R140" s="178"/>
      <c r="S140" s="184">
        <f>+D140-G140</f>
        <v>0</v>
      </c>
      <c r="T140" s="185">
        <f>+E140-H140</f>
        <v>0</v>
      </c>
      <c r="U140" s="178"/>
      <c r="V140" s="2324"/>
    </row>
    <row r="141" spans="1:22" ht="15" x14ac:dyDescent="0.25">
      <c r="B141" s="223">
        <f>+'Detail Summary'!G141</f>
        <v>0</v>
      </c>
      <c r="C141" s="183"/>
      <c r="D141" s="184">
        <f>+'Detail Summary'!AR141</f>
        <v>0</v>
      </c>
      <c r="E141" s="185">
        <f ca="1">+'Detail Summary'!AS141</f>
        <v>0</v>
      </c>
      <c r="F141" s="178"/>
      <c r="G141" s="184">
        <v>0</v>
      </c>
      <c r="H141" s="186">
        <v>0</v>
      </c>
      <c r="I141" s="178"/>
      <c r="J141" s="184">
        <v>0</v>
      </c>
      <c r="K141" s="186">
        <v>0</v>
      </c>
      <c r="L141" s="178"/>
      <c r="M141" s="184">
        <v>0</v>
      </c>
      <c r="N141" s="186">
        <v>0</v>
      </c>
      <c r="O141" s="178"/>
      <c r="P141" s="184">
        <v>0</v>
      </c>
      <c r="Q141" s="186">
        <v>0</v>
      </c>
      <c r="R141" s="178"/>
      <c r="S141" s="184">
        <f>+D141-G141</f>
        <v>0</v>
      </c>
      <c r="T141" s="185">
        <f ca="1">+E141-H141</f>
        <v>0</v>
      </c>
      <c r="U141" s="178"/>
      <c r="V141" s="2324"/>
    </row>
    <row r="142" spans="1:22" ht="15.75" thickBot="1" x14ac:dyDescent="0.3">
      <c r="B142" s="212" t="str">
        <f>+'Detail Summary'!G142</f>
        <v>REMXX Total</v>
      </c>
      <c r="C142" s="224"/>
      <c r="D142" s="225">
        <f ca="1">+D141+D140+D139</f>
        <v>0</v>
      </c>
      <c r="E142" s="214">
        <f ca="1">+E141+E140+E139</f>
        <v>0</v>
      </c>
      <c r="F142" s="178"/>
      <c r="G142" s="226">
        <f>+G141+G140+G139</f>
        <v>0</v>
      </c>
      <c r="H142" s="216">
        <f>+H141+H140+H139</f>
        <v>0</v>
      </c>
      <c r="I142" s="178"/>
      <c r="J142" s="226">
        <f>+J141+J140+J139</f>
        <v>0</v>
      </c>
      <c r="K142" s="216">
        <f>+K141+K140+K139</f>
        <v>0</v>
      </c>
      <c r="L142" s="178"/>
      <c r="M142" s="226">
        <f>+M141+M140+M139</f>
        <v>0</v>
      </c>
      <c r="N142" s="216">
        <f>+N141+N140+N139</f>
        <v>0</v>
      </c>
      <c r="O142" s="178"/>
      <c r="P142" s="226">
        <f>+P141+P140+P139</f>
        <v>0</v>
      </c>
      <c r="Q142" s="216">
        <f>+Q141+Q140+Q139</f>
        <v>0</v>
      </c>
      <c r="R142" s="178"/>
      <c r="S142" s="225">
        <f ca="1">+S141+S140+S139</f>
        <v>0</v>
      </c>
      <c r="T142" s="214">
        <f ca="1">+T141+T140+T139</f>
        <v>0</v>
      </c>
      <c r="U142" s="178"/>
      <c r="V142" s="2324"/>
    </row>
    <row r="143" spans="1:22" ht="15" x14ac:dyDescent="0.25">
      <c r="B143" s="14" t="str">
        <f>+'Detail Summary'!G143</f>
        <v>TSTXX-TG TEST</v>
      </c>
      <c r="C143" s="178"/>
      <c r="D143" s="204">
        <f>+'Detail Summary'!AR143</f>
        <v>0</v>
      </c>
      <c r="E143" s="241">
        <f>+'Detail Summary'!AS143</f>
        <v>0</v>
      </c>
      <c r="F143" s="178"/>
      <c r="G143" s="206">
        <v>0</v>
      </c>
      <c r="H143" s="242">
        <v>0</v>
      </c>
      <c r="I143" s="178"/>
      <c r="J143" s="206">
        <v>0</v>
      </c>
      <c r="K143" s="242">
        <v>0</v>
      </c>
      <c r="L143" s="178"/>
      <c r="M143" s="206">
        <v>0</v>
      </c>
      <c r="N143" s="242">
        <v>0</v>
      </c>
      <c r="O143" s="178"/>
      <c r="P143" s="206">
        <v>0</v>
      </c>
      <c r="Q143" s="242">
        <v>0</v>
      </c>
      <c r="R143" s="178"/>
      <c r="S143" s="204">
        <f t="shared" ref="S143:T150" si="27">+D143-G143</f>
        <v>0</v>
      </c>
      <c r="T143" s="241">
        <f t="shared" si="27"/>
        <v>0</v>
      </c>
      <c r="U143" s="178"/>
      <c r="V143" s="2324"/>
    </row>
    <row r="144" spans="1:22" ht="15" x14ac:dyDescent="0.25">
      <c r="B144" s="243" t="str">
        <f>+'Detail Summary'!G144</f>
        <v>Test / Field Engr. Labor (In House)</v>
      </c>
      <c r="C144" s="183"/>
      <c r="D144" s="184">
        <f>+'Detail Summary'!AR144</f>
        <v>0</v>
      </c>
      <c r="E144" s="185">
        <f>+'Detail Summary'!AS144</f>
        <v>0</v>
      </c>
      <c r="F144" s="178"/>
      <c r="G144" s="184">
        <v>0</v>
      </c>
      <c r="H144" s="186">
        <v>0</v>
      </c>
      <c r="I144" s="178"/>
      <c r="J144" s="184">
        <v>0</v>
      </c>
      <c r="K144" s="186">
        <v>0</v>
      </c>
      <c r="L144" s="178"/>
      <c r="M144" s="184">
        <v>0</v>
      </c>
      <c r="N144" s="186">
        <v>0</v>
      </c>
      <c r="O144" s="178"/>
      <c r="P144" s="184">
        <v>0</v>
      </c>
      <c r="Q144" s="186">
        <v>0</v>
      </c>
      <c r="R144" s="178"/>
      <c r="S144" s="184">
        <f t="shared" si="27"/>
        <v>0</v>
      </c>
      <c r="T144" s="185">
        <f t="shared" si="27"/>
        <v>0</v>
      </c>
      <c r="U144" s="178"/>
      <c r="V144" s="2324"/>
    </row>
    <row r="145" spans="2:22" ht="15" x14ac:dyDescent="0.25">
      <c r="B145" s="243" t="str">
        <f>+'Detail Summary'!G145</f>
        <v>Test / Comm. Engr. Labor (In House)</v>
      </c>
      <c r="C145" s="183"/>
      <c r="D145" s="184">
        <f>+'Detail Summary'!AR145</f>
        <v>0</v>
      </c>
      <c r="E145" s="185">
        <f>+'Detail Summary'!AS145</f>
        <v>0</v>
      </c>
      <c r="F145" s="178"/>
      <c r="G145" s="184">
        <v>0</v>
      </c>
      <c r="H145" s="186">
        <v>0</v>
      </c>
      <c r="I145" s="178"/>
      <c r="J145" s="184">
        <v>0</v>
      </c>
      <c r="K145" s="186">
        <v>0</v>
      </c>
      <c r="L145" s="178"/>
      <c r="M145" s="184">
        <v>0</v>
      </c>
      <c r="N145" s="186">
        <v>0</v>
      </c>
      <c r="O145" s="178"/>
      <c r="P145" s="184">
        <v>0</v>
      </c>
      <c r="Q145" s="186">
        <v>0</v>
      </c>
      <c r="R145" s="178"/>
      <c r="S145" s="184">
        <f>+D145-G145</f>
        <v>0</v>
      </c>
      <c r="T145" s="185">
        <f>+E145-H145</f>
        <v>0</v>
      </c>
      <c r="U145" s="178"/>
      <c r="V145" s="2324"/>
    </row>
    <row r="146" spans="2:22" ht="15" x14ac:dyDescent="0.25">
      <c r="B146" s="243" t="str">
        <f>+'Detail Summary'!G146</f>
        <v>Lead Commissioning Engr. (LCE) ( internal)</v>
      </c>
      <c r="C146" s="183"/>
      <c r="D146" s="184">
        <f>+'Detail Summary'!AR146</f>
        <v>0</v>
      </c>
      <c r="E146" s="185">
        <f>+'Detail Summary'!AS146</f>
        <v>0</v>
      </c>
      <c r="F146" s="178"/>
      <c r="G146" s="184">
        <v>0</v>
      </c>
      <c r="H146" s="186">
        <v>0</v>
      </c>
      <c r="I146" s="178"/>
      <c r="J146" s="184">
        <v>0</v>
      </c>
      <c r="K146" s="186">
        <v>0</v>
      </c>
      <c r="L146" s="178"/>
      <c r="M146" s="184">
        <v>0</v>
      </c>
      <c r="N146" s="186">
        <v>0</v>
      </c>
      <c r="O146" s="178"/>
      <c r="P146" s="184">
        <v>0</v>
      </c>
      <c r="Q146" s="186">
        <v>0</v>
      </c>
      <c r="R146" s="178"/>
      <c r="S146" s="184">
        <f>+D146-G146</f>
        <v>0</v>
      </c>
      <c r="T146" s="185">
        <f>+E146-H146</f>
        <v>0</v>
      </c>
      <c r="U146" s="178"/>
      <c r="V146" s="2324"/>
    </row>
    <row r="147" spans="2:22" ht="15" x14ac:dyDescent="0.25">
      <c r="B147" s="243" t="str">
        <f>+'Detail Summary'!G147</f>
        <v xml:space="preserve">Employee Expense </v>
      </c>
      <c r="C147" s="183"/>
      <c r="D147" s="184">
        <f>+'Detail Summary'!AR147</f>
        <v>0</v>
      </c>
      <c r="E147" s="185">
        <f>+'Detail Summary'!AS147</f>
        <v>0</v>
      </c>
      <c r="F147" s="178"/>
      <c r="G147" s="184">
        <v>0</v>
      </c>
      <c r="H147" s="186">
        <v>0</v>
      </c>
      <c r="I147" s="178"/>
      <c r="J147" s="184">
        <v>0</v>
      </c>
      <c r="K147" s="186">
        <v>0</v>
      </c>
      <c r="L147" s="178"/>
      <c r="M147" s="184">
        <v>0</v>
      </c>
      <c r="N147" s="186">
        <v>0</v>
      </c>
      <c r="O147" s="178"/>
      <c r="P147" s="184">
        <v>0</v>
      </c>
      <c r="Q147" s="186">
        <v>0</v>
      </c>
      <c r="R147" s="178"/>
      <c r="S147" s="184">
        <f t="shared" si="27"/>
        <v>0</v>
      </c>
      <c r="T147" s="185">
        <f t="shared" si="27"/>
        <v>0</v>
      </c>
      <c r="U147" s="178"/>
      <c r="V147" s="2324"/>
    </row>
    <row r="148" spans="2:22" ht="15" x14ac:dyDescent="0.25">
      <c r="B148" s="243" t="str">
        <f>+'Detail Summary'!G148</f>
        <v>Test / Field Engr. Labor (contractor)</v>
      </c>
      <c r="C148" s="183"/>
      <c r="D148" s="184">
        <f>+'Detail Summary'!AR148</f>
        <v>3200</v>
      </c>
      <c r="E148" s="185">
        <f>+'Detail Summary'!AS148</f>
        <v>701632</v>
      </c>
      <c r="F148" s="178"/>
      <c r="G148" s="184">
        <v>0</v>
      </c>
      <c r="H148" s="186">
        <v>0</v>
      </c>
      <c r="I148" s="178"/>
      <c r="J148" s="184">
        <v>0</v>
      </c>
      <c r="K148" s="186">
        <v>0</v>
      </c>
      <c r="L148" s="178"/>
      <c r="M148" s="184">
        <v>0</v>
      </c>
      <c r="N148" s="186">
        <v>0</v>
      </c>
      <c r="O148" s="178"/>
      <c r="P148" s="184">
        <v>0</v>
      </c>
      <c r="Q148" s="186">
        <v>0</v>
      </c>
      <c r="R148" s="178"/>
      <c r="S148" s="184">
        <f t="shared" si="27"/>
        <v>3200</v>
      </c>
      <c r="T148" s="185">
        <f t="shared" si="27"/>
        <v>701632</v>
      </c>
      <c r="U148" s="178"/>
      <c r="V148" s="2324"/>
    </row>
    <row r="149" spans="2:22" ht="15" x14ac:dyDescent="0.25">
      <c r="B149" s="243" t="str">
        <f>+'Detail Summary'!G149</f>
        <v>Test / Comm. Engr. Labor (contractor)</v>
      </c>
      <c r="C149" s="183"/>
      <c r="D149" s="184">
        <f>+'Detail Summary'!AR149</f>
        <v>1650</v>
      </c>
      <c r="E149" s="185">
        <f>+'Detail Summary'!AS149</f>
        <v>362202</v>
      </c>
      <c r="F149" s="178"/>
      <c r="G149" s="184">
        <v>0</v>
      </c>
      <c r="H149" s="186">
        <v>0</v>
      </c>
      <c r="I149" s="178"/>
      <c r="J149" s="184">
        <v>0</v>
      </c>
      <c r="K149" s="186">
        <v>0</v>
      </c>
      <c r="L149" s="178"/>
      <c r="M149" s="184">
        <v>0</v>
      </c>
      <c r="N149" s="186">
        <v>0</v>
      </c>
      <c r="O149" s="178"/>
      <c r="P149" s="184">
        <v>0</v>
      </c>
      <c r="Q149" s="186">
        <v>0</v>
      </c>
      <c r="R149" s="178"/>
      <c r="S149" s="184">
        <f t="shared" ref="S149" si="28">+D149-G149</f>
        <v>1650</v>
      </c>
      <c r="T149" s="185">
        <f t="shared" ref="T149" si="29">+E149-H149</f>
        <v>362202</v>
      </c>
      <c r="U149" s="178"/>
      <c r="V149" s="2324"/>
    </row>
    <row r="150" spans="2:22" ht="15" x14ac:dyDescent="0.25">
      <c r="B150" s="243" t="str">
        <f>+'Detail Summary'!G150</f>
        <v>Lead Commissioning Engr. (LCE) (contactor)</v>
      </c>
      <c r="C150" s="183"/>
      <c r="D150" s="184">
        <f>+'Detail Summary'!AR150</f>
        <v>0</v>
      </c>
      <c r="E150" s="185">
        <f>+'Detail Summary'!AS150</f>
        <v>0</v>
      </c>
      <c r="F150" s="178"/>
      <c r="G150" s="184">
        <v>0</v>
      </c>
      <c r="H150" s="186">
        <v>0</v>
      </c>
      <c r="I150" s="178"/>
      <c r="J150" s="184">
        <v>0</v>
      </c>
      <c r="K150" s="186">
        <v>0</v>
      </c>
      <c r="L150" s="178"/>
      <c r="M150" s="184">
        <v>0</v>
      </c>
      <c r="N150" s="186">
        <v>0</v>
      </c>
      <c r="O150" s="178"/>
      <c r="P150" s="184">
        <v>0</v>
      </c>
      <c r="Q150" s="186">
        <v>0</v>
      </c>
      <c r="R150" s="178"/>
      <c r="S150" s="184">
        <f t="shared" si="27"/>
        <v>0</v>
      </c>
      <c r="T150" s="185">
        <f t="shared" si="27"/>
        <v>0</v>
      </c>
      <c r="U150" s="178"/>
      <c r="V150" s="2324"/>
    </row>
    <row r="151" spans="2:22" ht="15" x14ac:dyDescent="0.25">
      <c r="B151" s="243" t="str">
        <f>+'Detail Summary'!G151</f>
        <v>Vehicles ( now in indirects section)</v>
      </c>
      <c r="C151" s="183"/>
      <c r="D151" s="184">
        <f>+'Detail Summary'!AR151</f>
        <v>0</v>
      </c>
      <c r="E151" s="185">
        <f>+'Detail Summary'!AS151</f>
        <v>0</v>
      </c>
      <c r="F151" s="178"/>
      <c r="G151" s="184">
        <v>0</v>
      </c>
      <c r="H151" s="186">
        <v>0</v>
      </c>
      <c r="I151" s="178"/>
      <c r="J151" s="184">
        <v>0</v>
      </c>
      <c r="K151" s="186">
        <v>0</v>
      </c>
      <c r="L151" s="178"/>
      <c r="M151" s="184">
        <v>0</v>
      </c>
      <c r="N151" s="186">
        <v>0</v>
      </c>
      <c r="O151" s="178"/>
      <c r="P151" s="184">
        <v>0</v>
      </c>
      <c r="Q151" s="186">
        <v>0</v>
      </c>
      <c r="R151" s="178"/>
      <c r="S151" s="184">
        <f t="shared" ref="S151:S198" si="30">+D151-G151</f>
        <v>0</v>
      </c>
      <c r="T151" s="185">
        <f t="shared" ref="T151:T198" si="31">+E151-H151</f>
        <v>0</v>
      </c>
      <c r="U151" s="178"/>
      <c r="V151" s="2324"/>
    </row>
    <row r="152" spans="2:22" ht="15" x14ac:dyDescent="0.25">
      <c r="B152" s="243" t="str">
        <f>+'Detail Summary'!G152</f>
        <v>TSTXX Subtotal</v>
      </c>
      <c r="C152" s="183"/>
      <c r="D152" s="184">
        <f>+'Detail Summary'!AR152</f>
        <v>0</v>
      </c>
      <c r="E152" s="185">
        <f>+'Detail Summary'!AS152</f>
        <v>1063834</v>
      </c>
      <c r="F152" s="178"/>
      <c r="G152" s="184">
        <v>0</v>
      </c>
      <c r="H152" s="186">
        <v>0</v>
      </c>
      <c r="I152" s="178"/>
      <c r="J152" s="184">
        <v>0</v>
      </c>
      <c r="K152" s="186">
        <v>0</v>
      </c>
      <c r="L152" s="178"/>
      <c r="M152" s="184">
        <v>0</v>
      </c>
      <c r="N152" s="186">
        <v>0</v>
      </c>
      <c r="O152" s="178"/>
      <c r="P152" s="184">
        <v>0</v>
      </c>
      <c r="Q152" s="186">
        <v>0</v>
      </c>
      <c r="R152" s="178"/>
      <c r="S152" s="184">
        <f t="shared" si="30"/>
        <v>0</v>
      </c>
      <c r="T152" s="185">
        <f t="shared" si="31"/>
        <v>1063834</v>
      </c>
      <c r="U152" s="178"/>
      <c r="V152" s="2324"/>
    </row>
    <row r="153" spans="2:22" ht="15" x14ac:dyDescent="0.25">
      <c r="B153" s="243" t="str">
        <f>+'Detail Summary'!G153</f>
        <v>Escalation</v>
      </c>
      <c r="C153" s="183"/>
      <c r="D153" s="184">
        <f>+'Detail Summary'!AR153</f>
        <v>0</v>
      </c>
      <c r="E153" s="185">
        <f>+'Detail Summary'!AS153</f>
        <v>0</v>
      </c>
      <c r="F153" s="178"/>
      <c r="G153" s="184">
        <v>0</v>
      </c>
      <c r="H153" s="186">
        <v>0</v>
      </c>
      <c r="I153" s="178"/>
      <c r="J153" s="184">
        <v>0</v>
      </c>
      <c r="K153" s="186">
        <v>0</v>
      </c>
      <c r="L153" s="178"/>
      <c r="M153" s="184">
        <v>0</v>
      </c>
      <c r="N153" s="186">
        <v>0</v>
      </c>
      <c r="O153" s="178"/>
      <c r="P153" s="184">
        <v>0</v>
      </c>
      <c r="Q153" s="186">
        <v>0</v>
      </c>
      <c r="R153" s="178"/>
      <c r="S153" s="184">
        <f t="shared" si="30"/>
        <v>0</v>
      </c>
      <c r="T153" s="185">
        <f t="shared" si="31"/>
        <v>0</v>
      </c>
      <c r="U153" s="178"/>
      <c r="V153" s="2324"/>
    </row>
    <row r="154" spans="2:22" ht="15" x14ac:dyDescent="0.25">
      <c r="B154" s="243">
        <f>+'Detail Summary'!G154</f>
        <v>0</v>
      </c>
      <c r="C154" s="183"/>
      <c r="D154" s="184">
        <f>+'Detail Summary'!AR154</f>
        <v>0</v>
      </c>
      <c r="E154" s="185">
        <f>+'Detail Summary'!AS154</f>
        <v>0</v>
      </c>
      <c r="F154" s="178"/>
      <c r="G154" s="184">
        <v>0</v>
      </c>
      <c r="H154" s="186">
        <v>0</v>
      </c>
      <c r="I154" s="178"/>
      <c r="J154" s="184">
        <v>0</v>
      </c>
      <c r="K154" s="186">
        <v>0</v>
      </c>
      <c r="L154" s="178"/>
      <c r="M154" s="184">
        <v>0</v>
      </c>
      <c r="N154" s="186">
        <v>0</v>
      </c>
      <c r="O154" s="178"/>
      <c r="P154" s="184">
        <v>0</v>
      </c>
      <c r="Q154" s="186">
        <v>0</v>
      </c>
      <c r="R154" s="178"/>
      <c r="S154" s="184">
        <f t="shared" si="30"/>
        <v>0</v>
      </c>
      <c r="T154" s="185">
        <f t="shared" si="31"/>
        <v>0</v>
      </c>
      <c r="U154" s="178"/>
      <c r="V154" s="2324"/>
    </row>
    <row r="155" spans="2:22" ht="15.75" thickBot="1" x14ac:dyDescent="0.3">
      <c r="B155" s="212" t="str">
        <f>+'Detail Summary'!G155</f>
        <v>TSTXX Total</v>
      </c>
      <c r="C155" s="224"/>
      <c r="D155" s="225">
        <f>+'Detail Summary'!AR155</f>
        <v>4850</v>
      </c>
      <c r="E155" s="214">
        <f>+'Detail Summary'!AS155</f>
        <v>1063834</v>
      </c>
      <c r="F155" s="178"/>
      <c r="G155" s="225">
        <v>0</v>
      </c>
      <c r="H155" s="214">
        <v>0</v>
      </c>
      <c r="I155" s="178"/>
      <c r="J155" s="226">
        <v>0</v>
      </c>
      <c r="K155" s="216">
        <v>0</v>
      </c>
      <c r="L155" s="178"/>
      <c r="M155" s="226">
        <v>0</v>
      </c>
      <c r="N155" s="216">
        <v>0</v>
      </c>
      <c r="O155" s="178"/>
      <c r="P155" s="226">
        <v>0</v>
      </c>
      <c r="Q155" s="216">
        <v>0</v>
      </c>
      <c r="R155" s="178"/>
      <c r="S155" s="225">
        <f t="shared" si="30"/>
        <v>4850</v>
      </c>
      <c r="T155" s="214">
        <f t="shared" si="31"/>
        <v>1063834</v>
      </c>
      <c r="U155" s="178"/>
      <c r="V155" s="2324"/>
    </row>
    <row r="156" spans="2:22" ht="15.75" thickBot="1" x14ac:dyDescent="0.3">
      <c r="B156" s="212" t="str">
        <f>+'Detail Summary'!G156</f>
        <v>SUBTOTAL PROJECT DIRECT COST</v>
      </c>
      <c r="C156" s="224"/>
      <c r="D156" s="225">
        <f ca="1">+D155+D142+D129+D88+D76+D65+D34</f>
        <v>39197.108172043008</v>
      </c>
      <c r="E156" s="1771">
        <f ca="1">+E155+E142+E129+E88+E76+E65+E34</f>
        <v>28991390.458744571</v>
      </c>
      <c r="F156" s="178"/>
      <c r="G156" s="225">
        <f>+G155+G142+G129+G88+G76+G65+G34</f>
        <v>0</v>
      </c>
      <c r="H156" s="1771">
        <f>+H155+H142+H129+H88+H76+H65+H34</f>
        <v>0</v>
      </c>
      <c r="I156" s="178"/>
      <c r="J156" s="225">
        <f>+J155+J142+J129+J88+J76+J65+J34</f>
        <v>0</v>
      </c>
      <c r="K156" s="1771">
        <f>+K155+K142+K129+K88+K76+K65+K34</f>
        <v>0</v>
      </c>
      <c r="L156" s="178"/>
      <c r="M156" s="225">
        <f>+M155+M142+M129+M88+M76+M65+M34</f>
        <v>0</v>
      </c>
      <c r="N156" s="1771">
        <f>+N155+N142+N129+N88+N76+N65+N34</f>
        <v>0</v>
      </c>
      <c r="O156" s="178"/>
      <c r="P156" s="225">
        <f>+P155+P142+P129+P88+P76+P65+P34</f>
        <v>0</v>
      </c>
      <c r="Q156" s="1771">
        <f>+Q155+Q142+Q129+Q88+Q76+Q65+Q34</f>
        <v>0</v>
      </c>
      <c r="R156" s="178"/>
      <c r="S156" s="225">
        <f ca="1">+S155+S142+S129+S88+S76+S65+S34</f>
        <v>31197.108172043012</v>
      </c>
      <c r="T156" s="1771">
        <f ca="1">+T155+T142+T129+T88+T76+T65+T34</f>
        <v>28991390.458744571</v>
      </c>
      <c r="U156" s="178"/>
      <c r="V156" s="2324"/>
    </row>
    <row r="157" spans="2:22" ht="15" x14ac:dyDescent="0.25">
      <c r="B157" s="243">
        <f>+'Detail Summary'!G157</f>
        <v>0</v>
      </c>
      <c r="C157" s="183"/>
      <c r="D157" s="184">
        <f>+'Detail Summary'!AR157</f>
        <v>0</v>
      </c>
      <c r="E157" s="185">
        <f>+'Detail Summary'!AS157</f>
        <v>0</v>
      </c>
      <c r="F157" s="178"/>
      <c r="G157" s="184">
        <v>0</v>
      </c>
      <c r="H157" s="186">
        <v>0</v>
      </c>
      <c r="I157" s="178"/>
      <c r="J157" s="184">
        <v>0</v>
      </c>
      <c r="K157" s="186">
        <v>0</v>
      </c>
      <c r="L157" s="178"/>
      <c r="M157" s="184">
        <v>0</v>
      </c>
      <c r="N157" s="186">
        <v>0</v>
      </c>
      <c r="O157" s="178"/>
      <c r="P157" s="184">
        <v>0</v>
      </c>
      <c r="Q157" s="186">
        <v>0</v>
      </c>
      <c r="R157" s="178"/>
      <c r="S157" s="184">
        <f t="shared" si="30"/>
        <v>0</v>
      </c>
      <c r="T157" s="185">
        <f t="shared" si="31"/>
        <v>0</v>
      </c>
      <c r="U157" s="178"/>
      <c r="V157" s="2324"/>
    </row>
    <row r="158" spans="2:22" ht="15" x14ac:dyDescent="0.25">
      <c r="B158" s="243" t="str">
        <f>+'Detail Summary'!G158</f>
        <v>Risk</v>
      </c>
      <c r="C158" s="183"/>
      <c r="D158" s="184">
        <f>+'Detail Summary'!AR158</f>
        <v>0</v>
      </c>
      <c r="E158" s="185">
        <f>+'Detail Summary'!AS158</f>
        <v>0</v>
      </c>
      <c r="F158" s="178"/>
      <c r="G158" s="184">
        <v>0</v>
      </c>
      <c r="H158" s="186">
        <v>0</v>
      </c>
      <c r="I158" s="178"/>
      <c r="J158" s="184">
        <v>0</v>
      </c>
      <c r="K158" s="186">
        <v>0</v>
      </c>
      <c r="L158" s="178"/>
      <c r="M158" s="184">
        <v>0</v>
      </c>
      <c r="N158" s="186">
        <v>0</v>
      </c>
      <c r="O158" s="178"/>
      <c r="P158" s="184">
        <v>0</v>
      </c>
      <c r="Q158" s="186">
        <v>0</v>
      </c>
      <c r="R158" s="178"/>
      <c r="S158" s="184">
        <f t="shared" si="30"/>
        <v>0</v>
      </c>
      <c r="T158" s="185">
        <f t="shared" si="31"/>
        <v>0</v>
      </c>
      <c r="U158" s="178"/>
      <c r="V158" s="2324"/>
    </row>
    <row r="159" spans="2:22" ht="15" x14ac:dyDescent="0.25">
      <c r="B159" s="243" t="str">
        <f>+'Detail Summary'!G159</f>
        <v xml:space="preserve">   Risk</v>
      </c>
      <c r="C159" s="183"/>
      <c r="D159" s="184">
        <f>+'Detail Summary'!AR159</f>
        <v>0</v>
      </c>
      <c r="E159" s="185">
        <f>+'Detail Summary'!AS159</f>
        <v>3950000</v>
      </c>
      <c r="F159" s="178"/>
      <c r="G159" s="184">
        <v>0</v>
      </c>
      <c r="H159" s="186">
        <v>0</v>
      </c>
      <c r="I159" s="178"/>
      <c r="J159" s="184">
        <v>0</v>
      </c>
      <c r="K159" s="186">
        <v>0</v>
      </c>
      <c r="L159" s="178"/>
      <c r="M159" s="184">
        <v>0</v>
      </c>
      <c r="N159" s="186">
        <v>0</v>
      </c>
      <c r="O159" s="178"/>
      <c r="P159" s="184">
        <v>0</v>
      </c>
      <c r="Q159" s="186">
        <v>0</v>
      </c>
      <c r="R159" s="178"/>
      <c r="S159" s="184">
        <f t="shared" si="30"/>
        <v>0</v>
      </c>
      <c r="T159" s="185">
        <f t="shared" si="31"/>
        <v>3950000</v>
      </c>
      <c r="U159" s="178"/>
      <c r="V159" s="2324"/>
    </row>
    <row r="160" spans="2:22" ht="15" x14ac:dyDescent="0.25">
      <c r="B160" s="243">
        <f>+'Detail Summary'!G160</f>
        <v>0</v>
      </c>
      <c r="C160" s="183"/>
      <c r="D160" s="184">
        <f>+'Detail Summary'!AR160</f>
        <v>0</v>
      </c>
      <c r="E160" s="185">
        <f>+'Detail Summary'!AS160</f>
        <v>0</v>
      </c>
      <c r="F160" s="178"/>
      <c r="G160" s="184">
        <v>0</v>
      </c>
      <c r="H160" s="186">
        <v>0</v>
      </c>
      <c r="I160" s="178"/>
      <c r="J160" s="184">
        <v>0</v>
      </c>
      <c r="K160" s="186">
        <v>0</v>
      </c>
      <c r="L160" s="178"/>
      <c r="M160" s="184">
        <v>0</v>
      </c>
      <c r="N160" s="186">
        <v>0</v>
      </c>
      <c r="O160" s="178"/>
      <c r="P160" s="184">
        <v>0</v>
      </c>
      <c r="Q160" s="186">
        <v>0</v>
      </c>
      <c r="R160" s="178"/>
      <c r="S160" s="184">
        <f t="shared" si="30"/>
        <v>0</v>
      </c>
      <c r="T160" s="185">
        <f t="shared" si="31"/>
        <v>0</v>
      </c>
      <c r="U160" s="178"/>
      <c r="V160" s="2324"/>
    </row>
    <row r="161" spans="2:22" ht="15" x14ac:dyDescent="0.25">
      <c r="B161" s="243">
        <f>+'Detail Summary'!G161</f>
        <v>0</v>
      </c>
      <c r="C161" s="183"/>
      <c r="D161" s="184">
        <f>+'Detail Summary'!AR161</f>
        <v>0</v>
      </c>
      <c r="E161" s="185">
        <f>+'Detail Summary'!AS161</f>
        <v>0</v>
      </c>
      <c r="F161" s="178"/>
      <c r="G161" s="184">
        <v>0</v>
      </c>
      <c r="H161" s="186">
        <v>0</v>
      </c>
      <c r="I161" s="178"/>
      <c r="J161" s="184">
        <v>0</v>
      </c>
      <c r="K161" s="186">
        <v>0</v>
      </c>
      <c r="L161" s="178"/>
      <c r="M161" s="184">
        <v>0</v>
      </c>
      <c r="N161" s="186">
        <v>0</v>
      </c>
      <c r="O161" s="178"/>
      <c r="P161" s="184">
        <v>0</v>
      </c>
      <c r="Q161" s="186">
        <v>0</v>
      </c>
      <c r="R161" s="178"/>
      <c r="S161" s="184">
        <f t="shared" si="30"/>
        <v>0</v>
      </c>
      <c r="T161" s="185">
        <f t="shared" si="31"/>
        <v>0</v>
      </c>
      <c r="U161" s="178"/>
      <c r="V161" s="2324"/>
    </row>
    <row r="162" spans="2:22" ht="15.75" thickBot="1" x14ac:dyDescent="0.3">
      <c r="B162" s="212" t="str">
        <f>+'Detail Summary'!G162</f>
        <v>Risk  Total</v>
      </c>
      <c r="C162" s="224"/>
      <c r="D162" s="225">
        <f>SUM(D157:D161)</f>
        <v>0</v>
      </c>
      <c r="E162" s="1772">
        <f>SUM(E157:E161)</f>
        <v>3950000</v>
      </c>
      <c r="F162" s="178"/>
      <c r="G162" s="225">
        <f>SUM(G157:G161)</f>
        <v>0</v>
      </c>
      <c r="H162" s="1772">
        <f>SUM(H157:H161)</f>
        <v>0</v>
      </c>
      <c r="I162" s="178"/>
      <c r="J162" s="225">
        <f>SUM(J157:J161)</f>
        <v>0</v>
      </c>
      <c r="K162" s="1772">
        <f>SUM(K157:K161)</f>
        <v>0</v>
      </c>
      <c r="L162" s="178"/>
      <c r="M162" s="225">
        <f>SUM(M157:M161)</f>
        <v>0</v>
      </c>
      <c r="N162" s="1772">
        <f>SUM(N157:N161)</f>
        <v>0</v>
      </c>
      <c r="O162" s="178"/>
      <c r="P162" s="225">
        <f>SUM(P157:P161)</f>
        <v>0</v>
      </c>
      <c r="Q162" s="1772">
        <f>SUM(Q157:Q161)</f>
        <v>0</v>
      </c>
      <c r="R162" s="178"/>
      <c r="S162" s="225">
        <f>SUM(S157:S161)</f>
        <v>0</v>
      </c>
      <c r="T162" s="1772">
        <f>SUM(T157:T161)</f>
        <v>3950000</v>
      </c>
      <c r="U162" s="178"/>
      <c r="V162" s="2324"/>
    </row>
    <row r="163" spans="2:22" ht="15.75" thickBot="1" x14ac:dyDescent="0.3">
      <c r="B163" s="212" t="str">
        <f>+'Detail Summary'!G163</f>
        <v>TOTAL PROJECT DIRECT COST</v>
      </c>
      <c r="C163" s="224"/>
      <c r="D163" s="225">
        <f ca="1">+D156+D162</f>
        <v>39197.108172043008</v>
      </c>
      <c r="E163" s="1772">
        <f ca="1">+E156+E162</f>
        <v>32941390.458744571</v>
      </c>
      <c r="F163" s="178"/>
      <c r="G163" s="225">
        <f>+G156+G162</f>
        <v>0</v>
      </c>
      <c r="H163" s="1772">
        <f>+H156+H162</f>
        <v>0</v>
      </c>
      <c r="I163" s="178"/>
      <c r="J163" s="225">
        <f>+J156+J162</f>
        <v>0</v>
      </c>
      <c r="K163" s="1772">
        <f>+K156+K162</f>
        <v>0</v>
      </c>
      <c r="L163" s="178"/>
      <c r="M163" s="225">
        <f>+M156+M162</f>
        <v>0</v>
      </c>
      <c r="N163" s="1772">
        <f>+N156+N162</f>
        <v>0</v>
      </c>
      <c r="O163" s="178"/>
      <c r="P163" s="225">
        <f>+P156+P162</f>
        <v>0</v>
      </c>
      <c r="Q163" s="1772">
        <f>+Q156+Q162</f>
        <v>0</v>
      </c>
      <c r="R163" s="178"/>
      <c r="S163" s="225">
        <f ca="1">+S156+S162</f>
        <v>31197.108172043012</v>
      </c>
      <c r="T163" s="1772">
        <f ca="1">+T156+T162</f>
        <v>32941390.458744571</v>
      </c>
      <c r="U163" s="178"/>
      <c r="V163" s="2324"/>
    </row>
    <row r="164" spans="2:22" ht="15" x14ac:dyDescent="0.25">
      <c r="B164" s="243">
        <f>+'Detail Summary'!G164</f>
        <v>0</v>
      </c>
      <c r="C164" s="183"/>
      <c r="D164" s="184">
        <f>+'Detail Summary'!AR164</f>
        <v>0</v>
      </c>
      <c r="E164" s="185">
        <f>+'Detail Summary'!AS164</f>
        <v>0</v>
      </c>
      <c r="F164" s="178"/>
      <c r="G164" s="184">
        <v>0</v>
      </c>
      <c r="H164" s="186">
        <v>0</v>
      </c>
      <c r="I164" s="178"/>
      <c r="J164" s="184">
        <v>0</v>
      </c>
      <c r="K164" s="186">
        <v>0</v>
      </c>
      <c r="L164" s="178"/>
      <c r="M164" s="184">
        <v>0</v>
      </c>
      <c r="N164" s="186">
        <v>0</v>
      </c>
      <c r="O164" s="178"/>
      <c r="P164" s="184">
        <v>0</v>
      </c>
      <c r="Q164" s="186">
        <v>0</v>
      </c>
      <c r="R164" s="178"/>
      <c r="S164" s="184">
        <f t="shared" si="30"/>
        <v>0</v>
      </c>
      <c r="T164" s="185">
        <f t="shared" si="31"/>
        <v>0</v>
      </c>
      <c r="U164" s="178"/>
      <c r="V164" s="2324"/>
    </row>
    <row r="165" spans="2:22" ht="15" x14ac:dyDescent="0.25">
      <c r="B165" s="243" t="str">
        <f>+'Detail Summary'!G165</f>
        <v>INDIRECTS</v>
      </c>
      <c r="C165" s="183"/>
      <c r="D165" s="184">
        <f>+'Detail Summary'!AR165</f>
        <v>0</v>
      </c>
      <c r="E165" s="185">
        <f>+'Detail Summary'!AS165</f>
        <v>0</v>
      </c>
      <c r="F165" s="178"/>
      <c r="G165" s="184">
        <v>0</v>
      </c>
      <c r="H165" s="186">
        <v>0</v>
      </c>
      <c r="I165" s="178"/>
      <c r="J165" s="184">
        <v>0</v>
      </c>
      <c r="K165" s="186">
        <v>0</v>
      </c>
      <c r="L165" s="178"/>
      <c r="M165" s="184">
        <v>0</v>
      </c>
      <c r="N165" s="186">
        <v>0</v>
      </c>
      <c r="O165" s="178"/>
      <c r="P165" s="184">
        <v>0</v>
      </c>
      <c r="Q165" s="186">
        <v>0</v>
      </c>
      <c r="R165" s="178"/>
      <c r="S165" s="184">
        <f t="shared" si="30"/>
        <v>0</v>
      </c>
      <c r="T165" s="185">
        <f t="shared" si="31"/>
        <v>0</v>
      </c>
      <c r="U165" s="178"/>
      <c r="V165" s="2324"/>
    </row>
    <row r="166" spans="2:22" ht="15" x14ac:dyDescent="0.25">
      <c r="B166" s="243" t="str">
        <f>+'Detail Summary'!G166</f>
        <v xml:space="preserve">   Non-Productive Time Allocation (ZNP)</v>
      </c>
      <c r="C166" s="183"/>
      <c r="D166" s="184">
        <f>+'Detail Summary'!AR166</f>
        <v>0</v>
      </c>
      <c r="E166" s="185">
        <f ca="1">+'Detail Summary'!AS166</f>
        <v>131515.89000000001</v>
      </c>
      <c r="F166" s="178"/>
      <c r="G166" s="184">
        <v>0</v>
      </c>
      <c r="H166" s="186">
        <v>0</v>
      </c>
      <c r="I166" s="178"/>
      <c r="J166" s="184">
        <v>0</v>
      </c>
      <c r="K166" s="186">
        <v>0</v>
      </c>
      <c r="L166" s="178"/>
      <c r="M166" s="184">
        <v>0</v>
      </c>
      <c r="N166" s="186">
        <v>0</v>
      </c>
      <c r="O166" s="178"/>
      <c r="P166" s="184">
        <v>0</v>
      </c>
      <c r="Q166" s="186">
        <v>0</v>
      </c>
      <c r="R166" s="178"/>
      <c r="S166" s="184">
        <f t="shared" si="30"/>
        <v>0</v>
      </c>
      <c r="T166" s="185">
        <f t="shared" ca="1" si="31"/>
        <v>131515.89000000001</v>
      </c>
      <c r="U166" s="178"/>
      <c r="V166" s="2324"/>
    </row>
    <row r="167" spans="2:22" ht="15" x14ac:dyDescent="0.25">
      <c r="B167" s="243" t="str">
        <f>+'Detail Summary'!G167</f>
        <v xml:space="preserve">   Payroll Benefits Allocation (ZPB) incl NPT</v>
      </c>
      <c r="C167" s="183"/>
      <c r="D167" s="184">
        <f>+'Detail Summary'!AR167</f>
        <v>0</v>
      </c>
      <c r="E167" s="185">
        <f ca="1">+'Detail Summary'!AS167</f>
        <v>15415.81</v>
      </c>
      <c r="F167" s="178"/>
      <c r="G167" s="184">
        <v>0</v>
      </c>
      <c r="H167" s="186">
        <v>0</v>
      </c>
      <c r="I167" s="178"/>
      <c r="J167" s="184">
        <v>0</v>
      </c>
      <c r="K167" s="186">
        <v>0</v>
      </c>
      <c r="L167" s="178"/>
      <c r="M167" s="184">
        <v>0</v>
      </c>
      <c r="N167" s="186">
        <v>0</v>
      </c>
      <c r="O167" s="178"/>
      <c r="P167" s="184">
        <v>0</v>
      </c>
      <c r="Q167" s="186">
        <v>0</v>
      </c>
      <c r="R167" s="178"/>
      <c r="S167" s="184">
        <f t="shared" si="30"/>
        <v>0</v>
      </c>
      <c r="T167" s="185">
        <f t="shared" ca="1" si="31"/>
        <v>15415.81</v>
      </c>
      <c r="U167" s="178"/>
      <c r="V167" s="2324"/>
    </row>
    <row r="168" spans="2:22" ht="15" x14ac:dyDescent="0.25">
      <c r="B168" s="243" t="str">
        <f>+'Detail Summary'!G168</f>
        <v xml:space="preserve">   Gen SVC CO Overhead (ZGS) incl NPT</v>
      </c>
      <c r="C168" s="183"/>
      <c r="D168" s="184">
        <f>+'Detail Summary'!AR168</f>
        <v>0</v>
      </c>
      <c r="E168" s="185">
        <f ca="1">+'Detail Summary'!AS168</f>
        <v>441180.06</v>
      </c>
      <c r="F168" s="178"/>
      <c r="G168" s="184">
        <v>0</v>
      </c>
      <c r="H168" s="186">
        <v>0</v>
      </c>
      <c r="I168" s="178"/>
      <c r="J168" s="184">
        <v>0</v>
      </c>
      <c r="K168" s="186">
        <v>0</v>
      </c>
      <c r="L168" s="178"/>
      <c r="M168" s="184">
        <v>0</v>
      </c>
      <c r="N168" s="186">
        <v>0</v>
      </c>
      <c r="O168" s="178"/>
      <c r="P168" s="184">
        <v>0</v>
      </c>
      <c r="Q168" s="186">
        <v>0</v>
      </c>
      <c r="R168" s="178"/>
      <c r="S168" s="184">
        <f t="shared" si="30"/>
        <v>0</v>
      </c>
      <c r="T168" s="185">
        <f t="shared" ca="1" si="31"/>
        <v>441180.06</v>
      </c>
      <c r="U168" s="178"/>
      <c r="V168" s="2324"/>
    </row>
    <row r="169" spans="2:22" ht="15" x14ac:dyDescent="0.25">
      <c r="B169" s="243" t="str">
        <f>+'Detail Summary'!G169</f>
        <v xml:space="preserve">   E&amp;S Allocations (ZEB,ZEL,ZES)</v>
      </c>
      <c r="C169" s="183"/>
      <c r="D169" s="184">
        <f>+'Detail Summary'!AR169</f>
        <v>0</v>
      </c>
      <c r="E169" s="185">
        <f ca="1">+'Detail Summary'!AS169</f>
        <v>5809889.9500000002</v>
      </c>
      <c r="F169" s="178"/>
      <c r="G169" s="184">
        <v>0</v>
      </c>
      <c r="H169" s="186">
        <v>0</v>
      </c>
      <c r="I169" s="178"/>
      <c r="J169" s="184">
        <v>0</v>
      </c>
      <c r="K169" s="186">
        <v>0</v>
      </c>
      <c r="L169" s="178"/>
      <c r="M169" s="184">
        <v>0</v>
      </c>
      <c r="N169" s="186">
        <v>0</v>
      </c>
      <c r="O169" s="178"/>
      <c r="P169" s="184">
        <v>0</v>
      </c>
      <c r="Q169" s="186">
        <v>0</v>
      </c>
      <c r="R169" s="178"/>
      <c r="S169" s="184">
        <f t="shared" si="30"/>
        <v>0</v>
      </c>
      <c r="T169" s="185">
        <f t="shared" ca="1" si="31"/>
        <v>5809889.9500000002</v>
      </c>
      <c r="U169" s="178"/>
      <c r="V169" s="2324"/>
    </row>
    <row r="170" spans="2:22" ht="15" x14ac:dyDescent="0.25">
      <c r="B170" s="243" t="str">
        <f>+'Detail Summary'!G170</f>
        <v xml:space="preserve">   AS&amp;E Allocations (ZAS)</v>
      </c>
      <c r="C170" s="183"/>
      <c r="D170" s="184">
        <f>+'Detail Summary'!AR170</f>
        <v>0</v>
      </c>
      <c r="E170" s="185">
        <f ca="1">+'Detail Summary'!AS170</f>
        <v>323587.42</v>
      </c>
      <c r="F170" s="178"/>
      <c r="G170" s="184">
        <v>0</v>
      </c>
      <c r="H170" s="186">
        <v>0</v>
      </c>
      <c r="I170" s="178"/>
      <c r="J170" s="184">
        <v>0</v>
      </c>
      <c r="K170" s="186">
        <v>0</v>
      </c>
      <c r="L170" s="178"/>
      <c r="M170" s="184">
        <v>0</v>
      </c>
      <c r="N170" s="186">
        <v>0</v>
      </c>
      <c r="O170" s="178"/>
      <c r="P170" s="184">
        <v>0</v>
      </c>
      <c r="Q170" s="186">
        <v>0</v>
      </c>
      <c r="R170" s="178"/>
      <c r="S170" s="184">
        <f t="shared" si="30"/>
        <v>0</v>
      </c>
      <c r="T170" s="185">
        <f t="shared" ca="1" si="31"/>
        <v>323587.42</v>
      </c>
      <c r="U170" s="178"/>
      <c r="V170" s="2324"/>
    </row>
    <row r="171" spans="2:22" ht="15" x14ac:dyDescent="0.25">
      <c r="B171" s="243" t="str">
        <f>+'Detail Summary'!G171</f>
        <v xml:space="preserve">   Stores Expense Allocation (ZST) </v>
      </c>
      <c r="C171" s="183"/>
      <c r="D171" s="184">
        <f>+'Detail Summary'!AR171</f>
        <v>0</v>
      </c>
      <c r="E171" s="185">
        <f>+'Detail Summary'!AS171</f>
        <v>1007056</v>
      </c>
      <c r="F171" s="178"/>
      <c r="G171" s="184">
        <v>0</v>
      </c>
      <c r="H171" s="186">
        <v>0</v>
      </c>
      <c r="I171" s="178"/>
      <c r="J171" s="184">
        <v>0</v>
      </c>
      <c r="K171" s="186">
        <v>0</v>
      </c>
      <c r="L171" s="178"/>
      <c r="M171" s="184">
        <v>0</v>
      </c>
      <c r="N171" s="186">
        <v>0</v>
      </c>
      <c r="O171" s="178"/>
      <c r="P171" s="184">
        <v>0</v>
      </c>
      <c r="Q171" s="186">
        <v>0</v>
      </c>
      <c r="R171" s="178"/>
      <c r="S171" s="184">
        <f t="shared" si="30"/>
        <v>0</v>
      </c>
      <c r="T171" s="185">
        <f t="shared" si="31"/>
        <v>1007056</v>
      </c>
      <c r="U171" s="178"/>
      <c r="V171" s="2324"/>
    </row>
    <row r="172" spans="2:22" ht="15" x14ac:dyDescent="0.25">
      <c r="B172" s="243" t="str">
        <f>+'Detail Summary'!G172</f>
        <v xml:space="preserve">   Lobby Stock</v>
      </c>
      <c r="C172" s="183"/>
      <c r="D172" s="184">
        <f>+'Detail Summary'!AR172</f>
        <v>0</v>
      </c>
      <c r="E172" s="185">
        <f>+'Detail Summary'!AS172</f>
        <v>0</v>
      </c>
      <c r="F172" s="178"/>
      <c r="G172" s="184">
        <v>0</v>
      </c>
      <c r="H172" s="186">
        <v>0</v>
      </c>
      <c r="I172" s="178"/>
      <c r="J172" s="184">
        <v>0</v>
      </c>
      <c r="K172" s="186">
        <v>0</v>
      </c>
      <c r="L172" s="178"/>
      <c r="M172" s="184">
        <v>0</v>
      </c>
      <c r="N172" s="186">
        <v>0</v>
      </c>
      <c r="O172" s="178"/>
      <c r="P172" s="184">
        <v>0</v>
      </c>
      <c r="Q172" s="186">
        <v>0</v>
      </c>
      <c r="R172" s="178"/>
      <c r="S172" s="184">
        <f t="shared" si="30"/>
        <v>0</v>
      </c>
      <c r="T172" s="185">
        <f t="shared" si="31"/>
        <v>0</v>
      </c>
      <c r="U172" s="178"/>
      <c r="V172" s="2324"/>
    </row>
    <row r="173" spans="2:22" ht="15" x14ac:dyDescent="0.25">
      <c r="B173" s="243" t="str">
        <f>+'Detail Summary'!G173</f>
        <v xml:space="preserve">   MDEC (ZMI)</v>
      </c>
      <c r="C173" s="183"/>
      <c r="D173" s="184">
        <f>+'Detail Summary'!AR173</f>
        <v>0</v>
      </c>
      <c r="E173" s="185">
        <f ca="1">+'Detail Summary'!AS173</f>
        <v>602887.6</v>
      </c>
      <c r="F173" s="178"/>
      <c r="G173" s="184">
        <v>0</v>
      </c>
      <c r="H173" s="186">
        <v>0</v>
      </c>
      <c r="I173" s="178"/>
      <c r="J173" s="184">
        <v>0</v>
      </c>
      <c r="K173" s="186">
        <v>0</v>
      </c>
      <c r="L173" s="178"/>
      <c r="M173" s="184">
        <v>0</v>
      </c>
      <c r="N173" s="186">
        <v>0</v>
      </c>
      <c r="O173" s="178"/>
      <c r="P173" s="184">
        <v>0</v>
      </c>
      <c r="Q173" s="186">
        <v>0</v>
      </c>
      <c r="R173" s="178"/>
      <c r="S173" s="184">
        <f t="shared" si="30"/>
        <v>0</v>
      </c>
      <c r="T173" s="185">
        <f t="shared" ca="1" si="31"/>
        <v>602887.6</v>
      </c>
      <c r="U173" s="178"/>
      <c r="V173" s="2324"/>
    </row>
    <row r="174" spans="2:22" ht="15" x14ac:dyDescent="0.25">
      <c r="B174" s="243" t="str">
        <f>+'Detail Summary'!G174</f>
        <v xml:space="preserve">   Vehicles (ZVE)</v>
      </c>
      <c r="C174" s="183"/>
      <c r="D174" s="184">
        <f>+'Detail Summary'!AR174</f>
        <v>0</v>
      </c>
      <c r="E174" s="185">
        <f ca="1">+'Detail Summary'!AS174</f>
        <v>149165.07999999999</v>
      </c>
      <c r="F174" s="178"/>
      <c r="G174" s="184">
        <v>0</v>
      </c>
      <c r="H174" s="186">
        <v>0</v>
      </c>
      <c r="I174" s="178"/>
      <c r="J174" s="184">
        <v>0</v>
      </c>
      <c r="K174" s="186">
        <v>0</v>
      </c>
      <c r="L174" s="178"/>
      <c r="M174" s="184">
        <v>0</v>
      </c>
      <c r="N174" s="186">
        <v>0</v>
      </c>
      <c r="O174" s="178"/>
      <c r="P174" s="184">
        <v>0</v>
      </c>
      <c r="Q174" s="186">
        <v>0</v>
      </c>
      <c r="R174" s="178"/>
      <c r="S174" s="184">
        <f t="shared" si="30"/>
        <v>0</v>
      </c>
      <c r="T174" s="185">
        <f t="shared" ca="1" si="31"/>
        <v>149165.07999999999</v>
      </c>
      <c r="U174" s="178"/>
      <c r="V174" s="2324"/>
    </row>
    <row r="175" spans="2:22" ht="15" x14ac:dyDescent="0.25">
      <c r="B175" s="243">
        <f>+'Detail Summary'!G175</f>
        <v>0</v>
      </c>
      <c r="C175" s="183"/>
      <c r="D175" s="184">
        <f>+'Detail Summary'!AR175</f>
        <v>0</v>
      </c>
      <c r="E175" s="185">
        <f>+'Detail Summary'!AS175</f>
        <v>0</v>
      </c>
      <c r="F175" s="178"/>
      <c r="G175" s="184">
        <v>0</v>
      </c>
      <c r="H175" s="186">
        <v>0</v>
      </c>
      <c r="I175" s="178"/>
      <c r="J175" s="184">
        <v>0</v>
      </c>
      <c r="K175" s="186">
        <v>0</v>
      </c>
      <c r="L175" s="178"/>
      <c r="M175" s="184">
        <v>0</v>
      </c>
      <c r="N175" s="186">
        <v>0</v>
      </c>
      <c r="O175" s="178"/>
      <c r="P175" s="184">
        <v>0</v>
      </c>
      <c r="Q175" s="186">
        <v>0</v>
      </c>
      <c r="R175" s="178"/>
      <c r="S175" s="184">
        <f t="shared" si="30"/>
        <v>0</v>
      </c>
      <c r="T175" s="185">
        <f t="shared" si="31"/>
        <v>0</v>
      </c>
      <c r="U175" s="178"/>
      <c r="V175" s="2324"/>
    </row>
    <row r="176" spans="2:22" ht="15.75" thickBot="1" x14ac:dyDescent="0.3">
      <c r="B176" s="212" t="str">
        <f>+'Detail Summary'!G176</f>
        <v>Indirects Subtotal</v>
      </c>
      <c r="C176" s="224"/>
      <c r="D176" s="225">
        <f>SUM(D166:D175)</f>
        <v>0</v>
      </c>
      <c r="E176" s="1772">
        <f ca="1">SUM(E166:E175)</f>
        <v>8480697.8099999987</v>
      </c>
      <c r="F176" s="178"/>
      <c r="G176" s="225">
        <f>SUM(G166:G175)</f>
        <v>0</v>
      </c>
      <c r="H176" s="1772">
        <f>SUM(H166:H175)</f>
        <v>0</v>
      </c>
      <c r="I176" s="178"/>
      <c r="J176" s="225">
        <f>SUM(J166:J175)</f>
        <v>0</v>
      </c>
      <c r="K176" s="1772">
        <f>SUM(K166:K175)</f>
        <v>0</v>
      </c>
      <c r="L176" s="178"/>
      <c r="M176" s="225">
        <f>SUM(M166:M175)</f>
        <v>0</v>
      </c>
      <c r="N176" s="1772">
        <f>SUM(N166:N175)</f>
        <v>0</v>
      </c>
      <c r="O176" s="178"/>
      <c r="P176" s="225">
        <f>SUM(P166:P175)</f>
        <v>0</v>
      </c>
      <c r="Q176" s="1772">
        <f>SUM(Q166:Q175)</f>
        <v>0</v>
      </c>
      <c r="R176" s="178"/>
      <c r="S176" s="225">
        <f>SUM(S166:S175)</f>
        <v>0</v>
      </c>
      <c r="T176" s="1772">
        <f ca="1">SUM(T166:T175)</f>
        <v>8480697.8099999987</v>
      </c>
      <c r="U176" s="178"/>
      <c r="V176" s="2324"/>
    </row>
    <row r="177" spans="1:22" ht="15.75" thickBot="1" x14ac:dyDescent="0.3">
      <c r="B177" s="212" t="str">
        <f>+'Detail Summary'!G177</f>
        <v>TOTAL PROJECT COST -    Direct &amp; Indirect ( excl AFUDC )</v>
      </c>
      <c r="C177" s="224"/>
      <c r="D177" s="225">
        <f ca="1">+D176+D163</f>
        <v>39197.108172043008</v>
      </c>
      <c r="E177" s="214">
        <f ca="1">+E176+E163</f>
        <v>41422088.268744573</v>
      </c>
      <c r="F177" s="178"/>
      <c r="G177" s="225">
        <f>+G176+G163</f>
        <v>0</v>
      </c>
      <c r="H177" s="214">
        <f>+H176+H163</f>
        <v>0</v>
      </c>
      <c r="I177" s="178"/>
      <c r="J177" s="225">
        <f>+J176+J163</f>
        <v>0</v>
      </c>
      <c r="K177" s="214">
        <f>+K176+K163</f>
        <v>0</v>
      </c>
      <c r="L177" s="178"/>
      <c r="M177" s="225">
        <f>+M176+M163</f>
        <v>0</v>
      </c>
      <c r="N177" s="214">
        <f>+N176+N163</f>
        <v>0</v>
      </c>
      <c r="O177" s="178"/>
      <c r="P177" s="225">
        <f>+P176+P163</f>
        <v>0</v>
      </c>
      <c r="Q177" s="214">
        <f>+Q176+Q163</f>
        <v>0</v>
      </c>
      <c r="R177" s="178"/>
      <c r="S177" s="225">
        <f ca="1">+S176+S163</f>
        <v>31197.108172043012</v>
      </c>
      <c r="T177" s="214">
        <f ca="1">+T176+T163</f>
        <v>41422088.268744573</v>
      </c>
      <c r="U177" s="178"/>
      <c r="V177" s="2324"/>
    </row>
    <row r="178" spans="1:22" ht="15" x14ac:dyDescent="0.25">
      <c r="A178" s="11"/>
      <c r="B178" s="243">
        <f>+'Detail Summary'!G178</f>
        <v>0</v>
      </c>
      <c r="C178" s="183"/>
      <c r="D178" s="184">
        <f>+'Detail Summary'!AR178</f>
        <v>0</v>
      </c>
      <c r="E178" s="185">
        <f>+'Detail Summary'!AS178</f>
        <v>0</v>
      </c>
      <c r="F178" s="178"/>
      <c r="G178" s="184">
        <v>0</v>
      </c>
      <c r="H178" s="186">
        <v>0</v>
      </c>
      <c r="I178" s="178"/>
      <c r="J178" s="184">
        <v>0</v>
      </c>
      <c r="K178" s="186">
        <v>0</v>
      </c>
      <c r="L178" s="178"/>
      <c r="M178" s="184">
        <v>0</v>
      </c>
      <c r="N178" s="186">
        <v>0</v>
      </c>
      <c r="O178" s="178"/>
      <c r="P178" s="184">
        <v>0</v>
      </c>
      <c r="Q178" s="186">
        <v>0</v>
      </c>
      <c r="R178" s="178"/>
      <c r="S178" s="184">
        <f t="shared" si="30"/>
        <v>0</v>
      </c>
      <c r="T178" s="185">
        <f t="shared" si="31"/>
        <v>0</v>
      </c>
      <c r="U178" s="178"/>
      <c r="V178" s="2324"/>
    </row>
    <row r="179" spans="1:22" ht="15" x14ac:dyDescent="0.25">
      <c r="B179" s="243" t="str">
        <f>+'Detail Summary'!G179</f>
        <v>AFUDC</v>
      </c>
      <c r="C179" s="183"/>
      <c r="D179" s="184">
        <f>+'Detail Summary'!AR179</f>
        <v>0</v>
      </c>
      <c r="E179" s="185">
        <f>+'Detail Summary'!AS179</f>
        <v>0</v>
      </c>
      <c r="F179" s="178"/>
      <c r="G179" s="184">
        <v>0</v>
      </c>
      <c r="H179" s="186">
        <v>0</v>
      </c>
      <c r="I179" s="178"/>
      <c r="J179" s="184">
        <v>0</v>
      </c>
      <c r="K179" s="186">
        <v>0</v>
      </c>
      <c r="L179" s="178"/>
      <c r="M179" s="184">
        <v>0</v>
      </c>
      <c r="N179" s="186">
        <v>0</v>
      </c>
      <c r="O179" s="178"/>
      <c r="P179" s="184">
        <v>0</v>
      </c>
      <c r="Q179" s="186">
        <v>0</v>
      </c>
      <c r="R179" s="178"/>
      <c r="S179" s="184">
        <f t="shared" si="30"/>
        <v>0</v>
      </c>
      <c r="T179" s="185">
        <f t="shared" si="31"/>
        <v>0</v>
      </c>
      <c r="U179" s="244"/>
      <c r="V179" s="2327"/>
    </row>
    <row r="180" spans="1:22" ht="15.75" thickBot="1" x14ac:dyDescent="0.3">
      <c r="B180" s="243">
        <f>+'Detail Summary'!G180</f>
        <v>0</v>
      </c>
      <c r="C180" s="183"/>
      <c r="D180" s="184">
        <f>+'Detail Summary'!AR180</f>
        <v>0</v>
      </c>
      <c r="E180" s="185">
        <f>+'Detail Summary'!AS180</f>
        <v>0</v>
      </c>
      <c r="F180" s="178"/>
      <c r="G180" s="184">
        <v>0</v>
      </c>
      <c r="H180" s="186">
        <v>0</v>
      </c>
      <c r="I180" s="178"/>
      <c r="J180" s="184">
        <v>0</v>
      </c>
      <c r="K180" s="186">
        <v>0</v>
      </c>
      <c r="L180" s="178"/>
      <c r="M180" s="184">
        <v>0</v>
      </c>
      <c r="N180" s="186">
        <v>0</v>
      </c>
      <c r="O180" s="178"/>
      <c r="P180" s="184">
        <v>0</v>
      </c>
      <c r="Q180" s="186">
        <v>0</v>
      </c>
      <c r="R180" s="178"/>
      <c r="S180" s="184">
        <f t="shared" si="30"/>
        <v>0</v>
      </c>
      <c r="T180" s="185">
        <f t="shared" si="31"/>
        <v>0</v>
      </c>
      <c r="U180" s="246"/>
      <c r="V180" s="2324"/>
    </row>
    <row r="181" spans="1:22" ht="15" x14ac:dyDescent="0.25">
      <c r="B181" s="243" t="str">
        <f>+'Detail Summary'!G181</f>
        <v xml:space="preserve">  AFUDC (ZK) </v>
      </c>
      <c r="C181" s="183"/>
      <c r="D181" s="184">
        <f>+'Detail Summary'!AR181</f>
        <v>0.70000000000000018</v>
      </c>
      <c r="E181" s="185">
        <f ca="1">+'Detail Summary'!AS181</f>
        <v>2832480.34</v>
      </c>
      <c r="F181" s="178"/>
      <c r="G181" s="184">
        <v>0</v>
      </c>
      <c r="H181" s="186">
        <v>0</v>
      </c>
      <c r="I181" s="178"/>
      <c r="J181" s="184">
        <v>0</v>
      </c>
      <c r="K181" s="186">
        <v>0</v>
      </c>
      <c r="L181" s="178"/>
      <c r="M181" s="184">
        <v>0</v>
      </c>
      <c r="N181" s="186">
        <v>0</v>
      </c>
      <c r="O181" s="178"/>
      <c r="P181" s="184">
        <v>0</v>
      </c>
      <c r="Q181" s="186">
        <v>0</v>
      </c>
      <c r="R181" s="178"/>
      <c r="S181" s="184">
        <f t="shared" si="30"/>
        <v>0.70000000000000018</v>
      </c>
      <c r="T181" s="185">
        <f t="shared" ca="1" si="31"/>
        <v>2832480.34</v>
      </c>
      <c r="U181" s="1770"/>
      <c r="V181" s="2328"/>
    </row>
    <row r="182" spans="1:22" ht="15" x14ac:dyDescent="0.25">
      <c r="B182" s="243">
        <f>+'Detail Summary'!G184</f>
        <v>0</v>
      </c>
      <c r="C182" s="183"/>
      <c r="D182" s="184">
        <f>+'Detail Summary'!AR184</f>
        <v>0</v>
      </c>
      <c r="E182" s="185">
        <f>+'Detail Summary'!AS184</f>
        <v>0</v>
      </c>
      <c r="F182" s="178"/>
      <c r="G182" s="184">
        <v>0</v>
      </c>
      <c r="H182" s="186">
        <v>0</v>
      </c>
      <c r="I182" s="178"/>
      <c r="J182" s="184">
        <v>0</v>
      </c>
      <c r="K182" s="186">
        <v>0</v>
      </c>
      <c r="L182" s="178"/>
      <c r="M182" s="184">
        <v>0</v>
      </c>
      <c r="N182" s="186">
        <v>0</v>
      </c>
      <c r="O182" s="178"/>
      <c r="P182" s="184">
        <v>0</v>
      </c>
      <c r="Q182" s="186">
        <v>0</v>
      </c>
      <c r="R182" s="178"/>
      <c r="S182" s="184">
        <f t="shared" si="30"/>
        <v>0</v>
      </c>
      <c r="T182" s="185">
        <f t="shared" si="31"/>
        <v>0</v>
      </c>
      <c r="U182" s="1770"/>
      <c r="V182" s="2328"/>
    </row>
    <row r="183" spans="1:22" ht="15.75" thickBot="1" x14ac:dyDescent="0.3">
      <c r="B183" s="212" t="str">
        <f>+'Detail Summary'!G185</f>
        <v>AFUDC Subtotal</v>
      </c>
      <c r="C183" s="224"/>
      <c r="D183" s="225">
        <f>SUM(D179:D182)</f>
        <v>0.70000000000000018</v>
      </c>
      <c r="E183" s="214">
        <f ca="1">SUM(E179:E182)</f>
        <v>2832480.34</v>
      </c>
      <c r="F183" s="178"/>
      <c r="G183" s="225">
        <f>SUM(G179:G182)</f>
        <v>0</v>
      </c>
      <c r="H183" s="214">
        <f>SUM(H179:H182)</f>
        <v>0</v>
      </c>
      <c r="I183" s="178"/>
      <c r="J183" s="225">
        <f>SUM(J179:J182)</f>
        <v>0</v>
      </c>
      <c r="K183" s="214">
        <f>SUM(K179:K182)</f>
        <v>0</v>
      </c>
      <c r="L183" s="178"/>
      <c r="M183" s="225">
        <f>SUM(M179:M182)</f>
        <v>0</v>
      </c>
      <c r="N183" s="214">
        <f>SUM(N179:N182)</f>
        <v>0</v>
      </c>
      <c r="O183" s="178"/>
      <c r="P183" s="225">
        <f>SUM(P179:P182)</f>
        <v>0</v>
      </c>
      <c r="Q183" s="214">
        <f>SUM(Q179:Q182)</f>
        <v>0</v>
      </c>
      <c r="R183" s="178"/>
      <c r="S183" s="225">
        <f>SUM(S179:S182)</f>
        <v>0.70000000000000018</v>
      </c>
      <c r="T183" s="214">
        <f ca="1">SUM(T179:T182)</f>
        <v>2832480.34</v>
      </c>
      <c r="U183" s="178"/>
      <c r="V183" s="2324"/>
    </row>
    <row r="184" spans="1:22" ht="15" x14ac:dyDescent="0.25">
      <c r="B184" s="243">
        <f>+'Detail Summary'!G186</f>
        <v>0</v>
      </c>
      <c r="C184" s="183"/>
      <c r="D184" s="184">
        <f>+'Detail Summary'!AR186</f>
        <v>0</v>
      </c>
      <c r="E184" s="185">
        <f>+'Detail Summary'!AS186</f>
        <v>0</v>
      </c>
      <c r="F184" s="178"/>
      <c r="G184" s="184">
        <f>+'Detail Summary'!AU186</f>
        <v>0</v>
      </c>
      <c r="H184" s="185">
        <f>+'Detail Summary'!AV186</f>
        <v>0</v>
      </c>
      <c r="I184" s="178"/>
      <c r="J184" s="184">
        <f>+'Detail Summary'!AX186</f>
        <v>0</v>
      </c>
      <c r="K184" s="185">
        <f>+'Detail Summary'!AY186</f>
        <v>0</v>
      </c>
      <c r="L184" s="178"/>
      <c r="M184" s="184">
        <f>+'Detail Summary'!BA186</f>
        <v>0</v>
      </c>
      <c r="N184" s="185">
        <f>+'Detail Summary'!BB186</f>
        <v>0</v>
      </c>
      <c r="O184" s="178"/>
      <c r="P184" s="184">
        <f>+'Detail Summary'!BD186</f>
        <v>0</v>
      </c>
      <c r="Q184" s="185">
        <f>+'Detail Summary'!BE186</f>
        <v>0</v>
      </c>
      <c r="R184" s="178"/>
      <c r="S184" s="184">
        <f>+'Detail Summary'!BA186</f>
        <v>0</v>
      </c>
      <c r="T184" s="185">
        <f>+'Detail Summary'!BB186</f>
        <v>0</v>
      </c>
      <c r="U184" s="1770"/>
      <c r="V184" s="2328"/>
    </row>
    <row r="185" spans="1:22" ht="15" x14ac:dyDescent="0.25">
      <c r="B185" s="243">
        <f>+'Detail Summary'!G187</f>
        <v>0</v>
      </c>
      <c r="C185" s="183"/>
      <c r="D185" s="184">
        <f>+'Detail Summary'!AR187</f>
        <v>0</v>
      </c>
      <c r="E185" s="185">
        <f>+'Detail Summary'!AS187</f>
        <v>0</v>
      </c>
      <c r="F185" s="178"/>
      <c r="G185" s="184">
        <f>+'Detail Summary'!AU187</f>
        <v>0</v>
      </c>
      <c r="H185" s="185">
        <f>+'Detail Summary'!AV187</f>
        <v>0</v>
      </c>
      <c r="I185" s="178"/>
      <c r="J185" s="184">
        <f>+'Detail Summary'!AX187</f>
        <v>0</v>
      </c>
      <c r="K185" s="185">
        <f>+'Detail Summary'!AY187</f>
        <v>0</v>
      </c>
      <c r="L185" s="178"/>
      <c r="M185" s="184">
        <f>+'Detail Summary'!BA187</f>
        <v>0</v>
      </c>
      <c r="N185" s="185">
        <f>+'Detail Summary'!BB187</f>
        <v>0</v>
      </c>
      <c r="O185" s="178"/>
      <c r="P185" s="184">
        <f>+'Detail Summary'!BD187</f>
        <v>0</v>
      </c>
      <c r="Q185" s="185">
        <f>+'Detail Summary'!BE187</f>
        <v>0</v>
      </c>
      <c r="R185" s="178"/>
      <c r="S185" s="184">
        <f>+'Detail Summary'!BA187</f>
        <v>0</v>
      </c>
      <c r="T185" s="185">
        <f>+'Detail Summary'!BB187</f>
        <v>0</v>
      </c>
      <c r="U185" s="1770"/>
      <c r="V185" s="2328"/>
    </row>
    <row r="186" spans="1:22" ht="15.75" thickBot="1" x14ac:dyDescent="0.3">
      <c r="B186" s="212" t="str">
        <f>+'Detail Summary'!G188</f>
        <v>TOTAL PROJECT COST -  Baseline Budget</v>
      </c>
      <c r="C186" s="224"/>
      <c r="D186" s="225">
        <f ca="1">+D183+D177</f>
        <v>39197.808172043005</v>
      </c>
      <c r="E186" s="214">
        <f ca="1">+E183+E177</f>
        <v>44254568.608744577</v>
      </c>
      <c r="F186" s="178"/>
      <c r="G186" s="225">
        <f>+G183+G177</f>
        <v>0</v>
      </c>
      <c r="H186" s="214">
        <f>+H183+H177</f>
        <v>0</v>
      </c>
      <c r="I186" s="178"/>
      <c r="J186" s="225">
        <f>+J183+J177</f>
        <v>0</v>
      </c>
      <c r="K186" s="214">
        <f>+K183+K177</f>
        <v>0</v>
      </c>
      <c r="L186" s="178"/>
      <c r="M186" s="225">
        <f>+M183+M177</f>
        <v>0</v>
      </c>
      <c r="N186" s="214">
        <f>+N183+N177</f>
        <v>0</v>
      </c>
      <c r="O186" s="178"/>
      <c r="P186" s="225">
        <f>+P183+P177</f>
        <v>0</v>
      </c>
      <c r="Q186" s="214">
        <f>+Q183+Q177</f>
        <v>0</v>
      </c>
      <c r="R186" s="178"/>
      <c r="S186" s="225">
        <f ca="1">+S183+S177</f>
        <v>31197.808172043013</v>
      </c>
      <c r="T186" s="214">
        <f ca="1">+T183+T177</f>
        <v>44254568.608744577</v>
      </c>
      <c r="U186" s="178"/>
      <c r="V186" s="2324"/>
    </row>
    <row r="187" spans="1:22" ht="15" x14ac:dyDescent="0.25">
      <c r="B187" s="243">
        <f>+'Detail Summary'!G189</f>
        <v>0</v>
      </c>
      <c r="C187" s="183"/>
      <c r="D187" s="184">
        <f>+'Detail Summary'!AR189</f>
        <v>0</v>
      </c>
      <c r="E187" s="185">
        <f>+'Detail Summary'!AS189</f>
        <v>0</v>
      </c>
      <c r="F187" s="178"/>
      <c r="G187" s="184">
        <v>0</v>
      </c>
      <c r="H187" s="186">
        <v>0</v>
      </c>
      <c r="I187" s="178"/>
      <c r="J187" s="184">
        <v>0</v>
      </c>
      <c r="K187" s="186">
        <v>0</v>
      </c>
      <c r="L187" s="178"/>
      <c r="M187" s="184">
        <v>0</v>
      </c>
      <c r="N187" s="186">
        <v>0</v>
      </c>
      <c r="O187" s="178"/>
      <c r="P187" s="184">
        <v>0</v>
      </c>
      <c r="Q187" s="186">
        <v>0</v>
      </c>
      <c r="R187" s="178"/>
      <c r="S187" s="184">
        <f t="shared" si="30"/>
        <v>0</v>
      </c>
      <c r="T187" s="185">
        <f t="shared" si="31"/>
        <v>0</v>
      </c>
      <c r="U187" s="1770"/>
      <c r="V187" s="2328"/>
    </row>
    <row r="188" spans="1:22" ht="15" x14ac:dyDescent="0.25">
      <c r="B188" s="243" t="str">
        <f>+'Detail Summary'!G190</f>
        <v>Contingecy</v>
      </c>
      <c r="C188" s="183"/>
      <c r="D188" s="184">
        <f>+'Detail Summary'!AR190</f>
        <v>0</v>
      </c>
      <c r="E188" s="185">
        <f>+'Detail Summary'!AS190</f>
        <v>0</v>
      </c>
      <c r="F188" s="178"/>
      <c r="G188" s="184">
        <v>0</v>
      </c>
      <c r="H188" s="186">
        <v>0</v>
      </c>
      <c r="I188" s="178"/>
      <c r="J188" s="184">
        <v>0</v>
      </c>
      <c r="K188" s="186">
        <v>0</v>
      </c>
      <c r="L188" s="178"/>
      <c r="M188" s="184">
        <v>0</v>
      </c>
      <c r="N188" s="186">
        <v>0</v>
      </c>
      <c r="O188" s="178"/>
      <c r="P188" s="184">
        <v>0</v>
      </c>
      <c r="Q188" s="186">
        <v>0</v>
      </c>
      <c r="R188" s="178"/>
      <c r="S188" s="184">
        <f t="shared" si="30"/>
        <v>0</v>
      </c>
      <c r="T188" s="185">
        <f t="shared" si="31"/>
        <v>0</v>
      </c>
      <c r="U188" s="1770"/>
      <c r="V188" s="2328"/>
    </row>
    <row r="189" spans="1:22" ht="15" x14ac:dyDescent="0.25">
      <c r="B189" s="243" t="str">
        <f>+'Detail Summary'!G191</f>
        <v xml:space="preserve">   Contingency</v>
      </c>
      <c r="C189" s="183"/>
      <c r="D189" s="184">
        <f>+'Detail Summary'!AR191</f>
        <v>0</v>
      </c>
      <c r="E189" s="185">
        <f ca="1">+'Detail Summary'!AS191</f>
        <v>1841791.333133094</v>
      </c>
      <c r="F189" s="178"/>
      <c r="G189" s="184">
        <v>0</v>
      </c>
      <c r="H189" s="186">
        <v>0</v>
      </c>
      <c r="I189" s="178"/>
      <c r="J189" s="184">
        <v>0</v>
      </c>
      <c r="K189" s="186">
        <v>0</v>
      </c>
      <c r="L189" s="178"/>
      <c r="M189" s="184">
        <v>0</v>
      </c>
      <c r="N189" s="186">
        <v>0</v>
      </c>
      <c r="O189" s="178"/>
      <c r="P189" s="184">
        <v>0</v>
      </c>
      <c r="Q189" s="186">
        <v>0</v>
      </c>
      <c r="R189" s="178"/>
      <c r="S189" s="184">
        <f t="shared" si="30"/>
        <v>0</v>
      </c>
      <c r="T189" s="185">
        <f t="shared" ca="1" si="31"/>
        <v>1841791.333133094</v>
      </c>
      <c r="U189" s="1770"/>
      <c r="V189" s="2328"/>
    </row>
    <row r="190" spans="1:22" ht="15" x14ac:dyDescent="0.25">
      <c r="B190" s="243" t="str">
        <f>+'Detail Summary'!G192</f>
        <v xml:space="preserve">   Other</v>
      </c>
      <c r="C190" s="183"/>
      <c r="D190" s="184">
        <f>+'Detail Summary'!AR192</f>
        <v>0</v>
      </c>
      <c r="E190" s="185">
        <f>+'Detail Summary'!AS192</f>
        <v>0</v>
      </c>
      <c r="F190" s="178"/>
      <c r="G190" s="184">
        <v>0</v>
      </c>
      <c r="H190" s="186">
        <v>0</v>
      </c>
      <c r="I190" s="178"/>
      <c r="J190" s="184">
        <v>0</v>
      </c>
      <c r="K190" s="186">
        <v>0</v>
      </c>
      <c r="L190" s="178"/>
      <c r="M190" s="184">
        <v>0</v>
      </c>
      <c r="N190" s="186">
        <v>0</v>
      </c>
      <c r="O190" s="178"/>
      <c r="P190" s="184">
        <v>0</v>
      </c>
      <c r="Q190" s="186">
        <v>0</v>
      </c>
      <c r="R190" s="178"/>
      <c r="S190" s="184">
        <f t="shared" si="30"/>
        <v>0</v>
      </c>
      <c r="T190" s="185">
        <f t="shared" si="31"/>
        <v>0</v>
      </c>
      <c r="U190" s="1770"/>
      <c r="V190" s="2328"/>
    </row>
    <row r="191" spans="1:22" ht="15" x14ac:dyDescent="0.25">
      <c r="B191" s="243">
        <f>+'Detail Summary'!G193</f>
        <v>0</v>
      </c>
      <c r="C191" s="183"/>
      <c r="D191" s="184">
        <f>+'Detail Summary'!AR193</f>
        <v>0</v>
      </c>
      <c r="E191" s="185">
        <f>+'Detail Summary'!AS193</f>
        <v>0</v>
      </c>
      <c r="F191" s="178"/>
      <c r="G191" s="184">
        <v>0</v>
      </c>
      <c r="H191" s="186">
        <v>0</v>
      </c>
      <c r="I191" s="178"/>
      <c r="J191" s="184">
        <v>0</v>
      </c>
      <c r="K191" s="186">
        <v>0</v>
      </c>
      <c r="L191" s="178"/>
      <c r="M191" s="184">
        <v>0</v>
      </c>
      <c r="N191" s="186">
        <v>0</v>
      </c>
      <c r="O191" s="178"/>
      <c r="P191" s="184">
        <v>0</v>
      </c>
      <c r="Q191" s="186">
        <v>0</v>
      </c>
      <c r="R191" s="178"/>
      <c r="S191" s="184">
        <f t="shared" si="30"/>
        <v>0</v>
      </c>
      <c r="T191" s="185">
        <f t="shared" si="31"/>
        <v>0</v>
      </c>
      <c r="U191" s="1770"/>
      <c r="V191" s="2328"/>
    </row>
    <row r="192" spans="1:22" ht="15.75" thickBot="1" x14ac:dyDescent="0.3">
      <c r="B192" s="212" t="str">
        <f>+'Detail Summary'!G194</f>
        <v>Contingency SubTotal</v>
      </c>
      <c r="C192" s="224"/>
      <c r="D192" s="225">
        <f>SUM(D188:D191)</f>
        <v>0</v>
      </c>
      <c r="E192" s="214">
        <f ca="1">SUM(E188:E191)</f>
        <v>1841791.333133094</v>
      </c>
      <c r="F192" s="178"/>
      <c r="G192" s="225">
        <f>SUM(G188:G191)</f>
        <v>0</v>
      </c>
      <c r="H192" s="214">
        <f>SUM(H188:H191)</f>
        <v>0</v>
      </c>
      <c r="I192" s="178"/>
      <c r="J192" s="225">
        <f>SUM(J188:J191)</f>
        <v>0</v>
      </c>
      <c r="K192" s="214">
        <f>SUM(K188:K191)</f>
        <v>0</v>
      </c>
      <c r="L192" s="178"/>
      <c r="M192" s="225">
        <f>SUM(M188:M191)</f>
        <v>0</v>
      </c>
      <c r="N192" s="214">
        <f>SUM(N188:N191)</f>
        <v>0</v>
      </c>
      <c r="O192" s="178"/>
      <c r="P192" s="225">
        <f>SUM(P188:P191)</f>
        <v>0</v>
      </c>
      <c r="Q192" s="214">
        <f>SUM(Q188:Q191)</f>
        <v>0</v>
      </c>
      <c r="R192" s="178"/>
      <c r="S192" s="225">
        <f>SUM(S188:S191)</f>
        <v>0</v>
      </c>
      <c r="T192" s="214">
        <f ca="1">SUM(T188:T191)</f>
        <v>1841791.333133094</v>
      </c>
      <c r="U192" s="178"/>
      <c r="V192" s="2324"/>
    </row>
    <row r="193" spans="2:22" ht="15" x14ac:dyDescent="0.25">
      <c r="B193" s="243">
        <f>+'Detail Summary'!G195</f>
        <v>0</v>
      </c>
      <c r="C193" s="183"/>
      <c r="D193" s="184">
        <f>+'Detail Summary'!AR195</f>
        <v>0</v>
      </c>
      <c r="E193" s="185">
        <f>+'Detail Summary'!AS195</f>
        <v>0</v>
      </c>
      <c r="F193" s="178"/>
      <c r="G193" s="184">
        <f>+'Detail Summary'!AU195</f>
        <v>0</v>
      </c>
      <c r="H193" s="185">
        <f>+'Detail Summary'!AV195</f>
        <v>0</v>
      </c>
      <c r="I193" s="178"/>
      <c r="J193" s="184">
        <f>+'Detail Summary'!AX195</f>
        <v>0</v>
      </c>
      <c r="K193" s="185">
        <f>+'Detail Summary'!AY195</f>
        <v>0</v>
      </c>
      <c r="L193" s="178"/>
      <c r="M193" s="184">
        <f>+'Detail Summary'!BA195</f>
        <v>0</v>
      </c>
      <c r="N193" s="185">
        <f>+'Detail Summary'!BB195</f>
        <v>0</v>
      </c>
      <c r="O193" s="178"/>
      <c r="P193" s="184">
        <f>+'Detail Summary'!BD195</f>
        <v>0</v>
      </c>
      <c r="Q193" s="185">
        <f>+'Detail Summary'!BE195</f>
        <v>0</v>
      </c>
      <c r="R193" s="178"/>
      <c r="S193" s="184">
        <f>+'Detail Summary'!BA195</f>
        <v>0</v>
      </c>
      <c r="T193" s="185">
        <f>+'Detail Summary'!BB195</f>
        <v>0</v>
      </c>
      <c r="U193" s="1770"/>
      <c r="V193" s="2328"/>
    </row>
    <row r="194" spans="2:22" ht="15.75" thickBot="1" x14ac:dyDescent="0.3">
      <c r="B194" s="212" t="str">
        <f>+'Detail Summary'!G196</f>
        <v>TOTAL PROJECT COST -  Approved Funding</v>
      </c>
      <c r="C194" s="224"/>
      <c r="D194" s="225">
        <f ca="1">+D192+D186</f>
        <v>39197.808172043005</v>
      </c>
      <c r="E194" s="214">
        <f ca="1">+E192+E186</f>
        <v>46096359.941877671</v>
      </c>
      <c r="F194" s="178"/>
      <c r="G194" s="225">
        <f>+G192+G186</f>
        <v>0</v>
      </c>
      <c r="H194" s="214">
        <f>+H192+H186</f>
        <v>0</v>
      </c>
      <c r="I194" s="178"/>
      <c r="J194" s="225">
        <f>+J192+J186</f>
        <v>0</v>
      </c>
      <c r="K194" s="214">
        <f>+K192+K186</f>
        <v>0</v>
      </c>
      <c r="L194" s="178"/>
      <c r="M194" s="225">
        <f>+M192+M186</f>
        <v>0</v>
      </c>
      <c r="N194" s="214">
        <f>+N192+N186</f>
        <v>0</v>
      </c>
      <c r="O194" s="178"/>
      <c r="P194" s="225">
        <f>+P192+P186</f>
        <v>0</v>
      </c>
      <c r="Q194" s="214">
        <f>+Q192+Q186</f>
        <v>0</v>
      </c>
      <c r="R194" s="178"/>
      <c r="S194" s="225">
        <f ca="1">+S192+S186</f>
        <v>31197.808172043013</v>
      </c>
      <c r="T194" s="214">
        <f ca="1">+T192+T186</f>
        <v>46096359.941877671</v>
      </c>
      <c r="U194" s="178"/>
      <c r="V194" s="2324"/>
    </row>
    <row r="195" spans="2:22" ht="15" x14ac:dyDescent="0.25">
      <c r="B195" s="243">
        <f>+'Detail Summary'!G197</f>
        <v>0</v>
      </c>
      <c r="C195" s="183"/>
      <c r="D195" s="184">
        <f>+'Detail Summary'!AR197</f>
        <v>0</v>
      </c>
      <c r="E195" s="185">
        <f>+'Detail Summary'!AS197</f>
        <v>0</v>
      </c>
      <c r="F195" s="178"/>
      <c r="G195" s="184">
        <v>0</v>
      </c>
      <c r="H195" s="186">
        <v>0</v>
      </c>
      <c r="I195" s="178"/>
      <c r="J195" s="184">
        <v>0</v>
      </c>
      <c r="K195" s="186">
        <v>0</v>
      </c>
      <c r="L195" s="178"/>
      <c r="M195" s="184">
        <v>0</v>
      </c>
      <c r="N195" s="186">
        <v>0</v>
      </c>
      <c r="O195" s="178"/>
      <c r="P195" s="184">
        <v>0</v>
      </c>
      <c r="Q195" s="186">
        <v>0</v>
      </c>
      <c r="R195" s="178"/>
      <c r="S195" s="184">
        <f t="shared" si="30"/>
        <v>0</v>
      </c>
      <c r="T195" s="185">
        <f t="shared" si="31"/>
        <v>0</v>
      </c>
      <c r="U195" s="1770"/>
      <c r="V195" s="2328"/>
    </row>
    <row r="196" spans="2:22" ht="15" x14ac:dyDescent="0.25">
      <c r="B196" s="243" t="str">
        <f>+'Detail Summary'!G198</f>
        <v xml:space="preserve">   Reimbursables / Customer Contribution</v>
      </c>
      <c r="C196" s="183"/>
      <c r="D196" s="184">
        <f>+'Detail Summary'!AR198</f>
        <v>0</v>
      </c>
      <c r="E196" s="185">
        <f>+'Detail Summary'!AS198</f>
        <v>0</v>
      </c>
      <c r="F196" s="178"/>
      <c r="G196" s="184">
        <v>0</v>
      </c>
      <c r="H196" s="186">
        <v>0</v>
      </c>
      <c r="I196" s="178"/>
      <c r="J196" s="184">
        <v>0</v>
      </c>
      <c r="K196" s="186">
        <v>0</v>
      </c>
      <c r="L196" s="178"/>
      <c r="M196" s="184">
        <v>0</v>
      </c>
      <c r="N196" s="186">
        <v>0</v>
      </c>
      <c r="O196" s="178"/>
      <c r="P196" s="184">
        <v>0</v>
      </c>
      <c r="Q196" s="186">
        <v>0</v>
      </c>
      <c r="R196" s="178"/>
      <c r="S196" s="184">
        <f t="shared" si="30"/>
        <v>0</v>
      </c>
      <c r="T196" s="185">
        <f t="shared" si="31"/>
        <v>0</v>
      </c>
      <c r="U196" s="1770"/>
      <c r="V196" s="2328"/>
    </row>
    <row r="197" spans="2:22" ht="15" x14ac:dyDescent="0.25">
      <c r="B197" s="243" t="str">
        <f>+'Detail Summary'!G199</f>
        <v xml:space="preserve">   Reimbursables / Customer Contribution ( enter as negative)</v>
      </c>
      <c r="C197" s="183"/>
      <c r="D197" s="184">
        <f>+'Detail Summary'!AR199</f>
        <v>0</v>
      </c>
      <c r="E197" s="185">
        <f ca="1">+'Detail Summary'!AS199</f>
        <v>0</v>
      </c>
      <c r="F197" s="178"/>
      <c r="G197" s="184">
        <v>0</v>
      </c>
      <c r="H197" s="186">
        <v>0</v>
      </c>
      <c r="I197" s="178"/>
      <c r="J197" s="184">
        <v>0</v>
      </c>
      <c r="K197" s="186">
        <v>0</v>
      </c>
      <c r="L197" s="178"/>
      <c r="M197" s="184">
        <v>0</v>
      </c>
      <c r="N197" s="186">
        <v>0</v>
      </c>
      <c r="O197" s="178"/>
      <c r="P197" s="184">
        <v>0</v>
      </c>
      <c r="Q197" s="186">
        <v>0</v>
      </c>
      <c r="R197" s="178"/>
      <c r="S197" s="184">
        <f t="shared" si="30"/>
        <v>0</v>
      </c>
      <c r="T197" s="185">
        <f t="shared" ca="1" si="31"/>
        <v>0</v>
      </c>
      <c r="U197" s="1770"/>
      <c r="V197" s="2328"/>
    </row>
    <row r="198" spans="2:22" ht="15" x14ac:dyDescent="0.25">
      <c r="B198" s="243">
        <f>+'Detail Summary'!G200</f>
        <v>0</v>
      </c>
      <c r="C198" s="183"/>
      <c r="D198" s="184">
        <f>+'Detail Summary'!AR200</f>
        <v>0</v>
      </c>
      <c r="E198" s="185">
        <f>+'Detail Summary'!AS200</f>
        <v>0</v>
      </c>
      <c r="F198" s="178"/>
      <c r="G198" s="184">
        <v>0</v>
      </c>
      <c r="H198" s="186">
        <v>0</v>
      </c>
      <c r="I198" s="178"/>
      <c r="J198" s="184">
        <v>0</v>
      </c>
      <c r="K198" s="186">
        <v>0</v>
      </c>
      <c r="L198" s="178"/>
      <c r="M198" s="184">
        <v>0</v>
      </c>
      <c r="N198" s="186">
        <v>0</v>
      </c>
      <c r="O198" s="178"/>
      <c r="P198" s="184">
        <v>0</v>
      </c>
      <c r="Q198" s="186">
        <v>0</v>
      </c>
      <c r="R198" s="178"/>
      <c r="S198" s="184">
        <f t="shared" si="30"/>
        <v>0</v>
      </c>
      <c r="T198" s="185">
        <f t="shared" si="31"/>
        <v>0</v>
      </c>
      <c r="U198" s="1770"/>
      <c r="V198" s="2328"/>
    </row>
    <row r="199" spans="2:22" ht="15.75" thickBot="1" x14ac:dyDescent="0.3">
      <c r="B199" s="212" t="str">
        <f>+'Detail Summary'!G201</f>
        <v>TOTAL PROJECT COST</v>
      </c>
      <c r="C199" s="224"/>
      <c r="D199" s="225">
        <f ca="1">SUM(D194:D198)</f>
        <v>39197.808172043005</v>
      </c>
      <c r="E199" s="214">
        <f ca="1">SUM(E194:E198)</f>
        <v>46096359.941877671</v>
      </c>
      <c r="F199" s="178"/>
      <c r="G199" s="225">
        <f>SUM(G194:G198)</f>
        <v>0</v>
      </c>
      <c r="H199" s="214">
        <f>SUM(H194:H198)</f>
        <v>0</v>
      </c>
      <c r="I199" s="178"/>
      <c r="J199" s="225">
        <f>SUM(J194:J198)</f>
        <v>0</v>
      </c>
      <c r="K199" s="214">
        <f>SUM(K194:K198)</f>
        <v>0</v>
      </c>
      <c r="L199" s="178"/>
      <c r="M199" s="225">
        <f>SUM(M194:M198)</f>
        <v>0</v>
      </c>
      <c r="N199" s="214">
        <f>SUM(N194:N198)</f>
        <v>0</v>
      </c>
      <c r="O199" s="178"/>
      <c r="P199" s="225">
        <f>SUM(P194:P198)</f>
        <v>0</v>
      </c>
      <c r="Q199" s="214">
        <f>SUM(Q194:Q198)</f>
        <v>0</v>
      </c>
      <c r="R199" s="178"/>
      <c r="S199" s="225">
        <f ca="1">SUM(S194:S198)</f>
        <v>31197.808172043013</v>
      </c>
      <c r="T199" s="214">
        <f ca="1">SUM(T194:T198)</f>
        <v>46096359.941877671</v>
      </c>
      <c r="U199" s="178"/>
      <c r="V199" s="2329"/>
    </row>
    <row r="200" spans="2:22" ht="15" x14ac:dyDescent="0.25">
      <c r="C200" s="1770"/>
      <c r="D200" s="245"/>
      <c r="E200" s="247"/>
      <c r="F200" s="1770"/>
      <c r="G200" s="245"/>
      <c r="H200" s="247"/>
      <c r="I200" s="1770"/>
      <c r="J200" s="245"/>
      <c r="K200" s="247"/>
      <c r="L200" s="1770"/>
      <c r="M200" s="245"/>
      <c r="N200" s="247"/>
      <c r="O200" s="1770"/>
      <c r="P200" s="245"/>
      <c r="Q200" s="247"/>
      <c r="R200" s="1770"/>
      <c r="S200" s="245"/>
      <c r="T200" s="247"/>
      <c r="U200" s="1770"/>
      <c r="V200" s="160"/>
    </row>
    <row r="201" spans="2:22" ht="26.85" customHeight="1" x14ac:dyDescent="0.25">
      <c r="B201" s="248"/>
      <c r="C201" s="248"/>
      <c r="D201" s="5" t="s">
        <v>1473</v>
      </c>
      <c r="E201" s="1285">
        <f ca="1">+'Detail Summary'!AS201</f>
        <v>46096359.941877671</v>
      </c>
      <c r="G201" s="248"/>
      <c r="H201" s="248"/>
      <c r="J201" s="248"/>
      <c r="K201" s="248"/>
      <c r="M201" s="248"/>
      <c r="N201" s="248"/>
      <c r="P201" s="248"/>
      <c r="Q201" s="248"/>
      <c r="S201" s="248"/>
      <c r="T201" s="248"/>
      <c r="V201" s="160"/>
    </row>
    <row r="202" spans="2:22" ht="15" x14ac:dyDescent="0.25">
      <c r="C202" s="2"/>
      <c r="D202" s="2"/>
      <c r="E202" s="222">
        <f ca="1">+E199-E201</f>
        <v>0</v>
      </c>
      <c r="F202" s="2"/>
      <c r="G202" s="2"/>
      <c r="H202" s="222"/>
      <c r="I202" s="2"/>
      <c r="J202" s="2"/>
      <c r="K202" s="222"/>
      <c r="L202" s="2"/>
      <c r="M202" s="2"/>
      <c r="N202" s="222"/>
      <c r="O202" s="2"/>
      <c r="P202" s="2"/>
      <c r="Q202" s="222"/>
      <c r="R202" s="2"/>
      <c r="S202" s="2"/>
      <c r="T202" s="222"/>
      <c r="U202" s="2"/>
      <c r="V202" s="249"/>
    </row>
  </sheetData>
  <sheetProtection formatCells="0" formatColumns="0" formatRows="0" autoFilter="0"/>
  <mergeCells count="1">
    <mergeCell ref="S9:T9"/>
  </mergeCells>
  <pageMargins left="0.7" right="0.7" top="0.75" bottom="0.75" header="0.3" footer="0.3"/>
  <pageSetup paperSize="3" scale="72"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1163F-6978-446C-AD88-89A8FE74198A}">
  <sheetPr codeName="Sheet42">
    <tabColor theme="5" tint="0.59999389629810485"/>
  </sheetPr>
  <dimension ref="A2:E13"/>
  <sheetViews>
    <sheetView zoomScale="145" zoomScaleNormal="145" workbookViewId="0">
      <selection activeCell="B8" sqref="B8"/>
    </sheetView>
  </sheetViews>
  <sheetFormatPr defaultColWidth="9.42578125" defaultRowHeight="15" x14ac:dyDescent="0.25"/>
  <cols>
    <col min="1" max="1" width="58.5703125" style="2174" customWidth="1"/>
    <col min="2" max="5" width="16.5703125" style="2174" customWidth="1"/>
    <col min="6" max="16384" width="9.42578125" style="2174"/>
  </cols>
  <sheetData>
    <row r="2" spans="1:5" x14ac:dyDescent="0.25">
      <c r="A2" s="2175" t="s">
        <v>2341</v>
      </c>
    </row>
    <row r="3" spans="1:5" x14ac:dyDescent="0.25">
      <c r="A3" s="2176" t="str">
        <f>"WO: " &amp;'DER Project Information'!B3</f>
        <v>WO: 0</v>
      </c>
    </row>
    <row r="4" spans="1:5" x14ac:dyDescent="0.25">
      <c r="A4" s="2177" t="str">
        <f>'DER Project Information'!B1 &amp; " " &amp;'DER Project Information'!B2</f>
        <v xml:space="preserve">0 </v>
      </c>
    </row>
    <row r="5" spans="1:5" ht="15.75" thickBot="1" x14ac:dyDescent="0.3"/>
    <row r="6" spans="1:5" ht="15.75" thickBot="1" x14ac:dyDescent="0.3">
      <c r="A6" s="2178" t="s">
        <v>2342</v>
      </c>
      <c r="B6" s="2179"/>
      <c r="C6" s="2179"/>
      <c r="D6" s="2179"/>
      <c r="E6" s="2179"/>
    </row>
    <row r="7" spans="1:5" ht="15.75" thickBot="1" x14ac:dyDescent="0.3">
      <c r="A7" s="2180"/>
      <c r="B7" s="2181" t="s">
        <v>2343</v>
      </c>
      <c r="C7" s="2181" t="s">
        <v>36</v>
      </c>
      <c r="D7" s="2182" t="s">
        <v>242</v>
      </c>
      <c r="E7" s="2181" t="s">
        <v>239</v>
      </c>
    </row>
    <row r="8" spans="1:5" ht="15.75" thickBot="1" x14ac:dyDescent="0.3">
      <c r="A8" s="2186" t="s">
        <v>2348</v>
      </c>
      <c r="B8" s="2183">
        <f ca="1">'DER Project Information'!C29</f>
        <v>27127000</v>
      </c>
      <c r="C8" s="2183">
        <f ca="1">'DER Project Information'!C28</f>
        <v>2573600</v>
      </c>
      <c r="D8" s="2183">
        <f ca="1">'DER Project Information'!C30</f>
        <v>16395800</v>
      </c>
      <c r="E8" s="2183">
        <f ca="1">SUM(B8:D8)</f>
        <v>46096400</v>
      </c>
    </row>
    <row r="9" spans="1:5" ht="15.75" thickBot="1" x14ac:dyDescent="0.3">
      <c r="A9" s="2187" t="s">
        <v>2349</v>
      </c>
      <c r="B9" s="2183">
        <v>0</v>
      </c>
      <c r="C9" s="2183">
        <v>0</v>
      </c>
      <c r="D9" s="2183">
        <v>0</v>
      </c>
      <c r="E9" s="2183">
        <f t="shared" ref="E9" si="0">SUM(B9:D9)</f>
        <v>0</v>
      </c>
    </row>
    <row r="10" spans="1:5" ht="15.75" thickBot="1" x14ac:dyDescent="0.3">
      <c r="A10" s="2180" t="str">
        <f>"Tax Adder " &amp;"("&amp; 'DER Project Information'!B33*100&amp;" %"&amp;")"</f>
        <v>Tax Adder (15.4 %)</v>
      </c>
      <c r="B10" s="2183">
        <f ca="1">ROUND(SUM(B8:B9)*'DER Project Information'!$B$33,'DER Project Information'!$D$28)</f>
        <v>4178000</v>
      </c>
      <c r="C10" s="2183">
        <f ca="1">ROUND(SUM(C8:C9)*'DER Project Information'!$B$33,'DER Project Information'!$D$28)</f>
        <v>396000</v>
      </c>
      <c r="D10" s="2183">
        <f ca="1">ROUND(SUM(D8:D9)*'DER Project Information'!$B$33,'DER Project Information'!$D$28)</f>
        <v>2525000</v>
      </c>
      <c r="E10" s="2183">
        <f ca="1">SUM(B10:D10)</f>
        <v>7099000</v>
      </c>
    </row>
    <row r="11" spans="1:5" ht="15.75" thickBot="1" x14ac:dyDescent="0.3">
      <c r="A11" s="2180"/>
      <c r="B11" s="2184"/>
      <c r="C11" s="2184"/>
      <c r="D11" s="2184"/>
      <c r="E11" s="2184"/>
    </row>
    <row r="12" spans="1:5" ht="15.75" thickBot="1" x14ac:dyDescent="0.3">
      <c r="A12" s="2180" t="s">
        <v>239</v>
      </c>
      <c r="B12" s="2183">
        <f ca="1">SUM(B8:B10)</f>
        <v>31305000</v>
      </c>
      <c r="C12" s="2183">
        <f ca="1">SUM(C8:C10)</f>
        <v>2969600</v>
      </c>
      <c r="D12" s="2183">
        <f ca="1">SUM(D8:D10)</f>
        <v>18920800</v>
      </c>
      <c r="E12" s="2183">
        <f ca="1">SUM(E8:E10)</f>
        <v>53195400</v>
      </c>
    </row>
    <row r="13" spans="1:5" x14ac:dyDescent="0.25">
      <c r="E13" s="2185"/>
    </row>
  </sheetData>
  <sheetProtection algorithmName="SHA-512" hashValue="O5iqNg6AoI+hGffOQbtMpQYYYHR9IvHE1JoyAliidADBiZ7Qbf6BBjrbk0JC1QkXLBOpVs5Afh+3zPPtobBaUA==" saltValue="R9wvQ0WhNXzLrDnp2H4tqw==" spinCount="100000" sheet="1" scenarios="1" formatCells="0" formatColumns="0" formatRows="0" autoFilter="0"/>
  <pageMargins left="0.7" right="0.7" top="0.75" bottom="0.75" header="0.3" footer="0.3"/>
  <pageSetup orientation="portrait" horizontalDpi="4294967293" verticalDpi="429496729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FE707-7A3E-458B-9B82-282198D4DF05}">
  <sheetPr codeName="Sheet41">
    <tabColor theme="5" tint="0.59999389629810485"/>
  </sheetPr>
  <dimension ref="A1:M33"/>
  <sheetViews>
    <sheetView topLeftCell="A25" zoomScale="160" zoomScaleNormal="160" workbookViewId="0">
      <selection activeCell="B33" sqref="B33"/>
    </sheetView>
  </sheetViews>
  <sheetFormatPr defaultColWidth="9.42578125" defaultRowHeight="15" x14ac:dyDescent="0.25"/>
  <cols>
    <col min="1" max="1" width="35.42578125" style="2188" customWidth="1"/>
    <col min="2" max="2" width="14.42578125" style="2188" customWidth="1"/>
    <col min="3" max="3" width="12.5703125" style="2188" customWidth="1"/>
    <col min="4" max="4" width="13.5703125" style="2188" customWidth="1"/>
    <col min="5" max="6" width="12.5703125" style="2188" customWidth="1"/>
    <col min="7" max="7" width="19.42578125" style="2188" customWidth="1"/>
    <col min="8" max="8" width="14.42578125" style="2188" customWidth="1"/>
    <col min="9" max="12" width="9.42578125" style="2188"/>
    <col min="13" max="13" width="9.42578125" style="2188" customWidth="1"/>
    <col min="14" max="14" width="19.42578125" style="2188" customWidth="1"/>
    <col min="15" max="16" width="12" style="2188" customWidth="1"/>
    <col min="17" max="17" width="12.5703125" style="2188" customWidth="1"/>
    <col min="18" max="18" width="9.42578125" style="2188"/>
    <col min="19" max="19" width="35.42578125" style="2188" customWidth="1"/>
    <col min="20" max="24" width="12.5703125" style="2188" customWidth="1"/>
    <col min="25" max="25" width="14.42578125" style="2188" customWidth="1"/>
    <col min="26" max="16384" width="9.42578125" style="2188"/>
  </cols>
  <sheetData>
    <row r="1" spans="1:13" x14ac:dyDescent="0.25">
      <c r="A1" s="2188" t="s">
        <v>2324</v>
      </c>
      <c r="B1" s="2188">
        <f>+'Data Input sheet'!G7</f>
        <v>0</v>
      </c>
    </row>
    <row r="2" spans="1:13" x14ac:dyDescent="0.25">
      <c r="A2" s="2188" t="s">
        <v>2325</v>
      </c>
      <c r="B2" s="2216"/>
      <c r="E2" s="2189" t="s">
        <v>2326</v>
      </c>
      <c r="F2" s="2190" t="s">
        <v>2347</v>
      </c>
      <c r="G2" s="2189"/>
      <c r="H2" s="2189"/>
      <c r="I2" s="2189"/>
      <c r="J2" s="2189"/>
      <c r="K2" s="2189"/>
      <c r="L2" s="2189"/>
    </row>
    <row r="3" spans="1:13" x14ac:dyDescent="0.25">
      <c r="A3" s="2188" t="s">
        <v>2327</v>
      </c>
      <c r="B3" s="2188">
        <f>+'Data Input sheet'!G5</f>
        <v>0</v>
      </c>
      <c r="F3" s="2190" t="s">
        <v>2358</v>
      </c>
      <c r="G3" s="2189"/>
      <c r="H3" s="2189"/>
      <c r="I3" s="2189"/>
      <c r="J3" s="2189"/>
      <c r="K3" s="2189"/>
      <c r="L3" s="2189"/>
    </row>
    <row r="4" spans="1:13" x14ac:dyDescent="0.25">
      <c r="A4" s="2188" t="s">
        <v>2328</v>
      </c>
      <c r="B4" s="2216"/>
      <c r="F4" s="2190" t="s">
        <v>2356</v>
      </c>
      <c r="G4" s="2189"/>
      <c r="H4" s="2189"/>
      <c r="I4" s="2189"/>
      <c r="J4" s="2189"/>
      <c r="K4" s="2189"/>
      <c r="L4" s="2189"/>
    </row>
    <row r="5" spans="1:13" x14ac:dyDescent="0.25">
      <c r="F5" s="2190" t="s">
        <v>2357</v>
      </c>
      <c r="G5" s="2189"/>
      <c r="H5" s="2189"/>
      <c r="I5" s="2189"/>
      <c r="J5" s="2189"/>
      <c r="K5" s="2189"/>
      <c r="L5" s="2189"/>
    </row>
    <row r="6" spans="1:13" x14ac:dyDescent="0.25">
      <c r="F6" s="2190"/>
      <c r="G6" s="2189"/>
      <c r="H6" s="2189"/>
      <c r="I6" s="2189"/>
      <c r="J6" s="2189"/>
      <c r="K6" s="2189"/>
      <c r="L6" s="2189"/>
    </row>
    <row r="8" spans="1:13" ht="60" x14ac:dyDescent="0.25">
      <c r="C8" s="2191" t="s">
        <v>2359</v>
      </c>
      <c r="D8" s="2191" t="s">
        <v>2361</v>
      </c>
      <c r="E8" s="2191" t="s">
        <v>2360</v>
      </c>
      <c r="F8" s="2191" t="s">
        <v>2362</v>
      </c>
      <c r="G8" s="2191" t="s">
        <v>239</v>
      </c>
    </row>
    <row r="10" spans="1:13" x14ac:dyDescent="0.25">
      <c r="A10" s="2188" t="s">
        <v>2329</v>
      </c>
      <c r="C10" s="2192">
        <f ca="1">+'PAF Summary'!K31*1000+'PAF Summary'!K32*1000</f>
        <v>788788.45000000007</v>
      </c>
      <c r="D10" s="2192">
        <f ca="1">+'PAF Summary'!K34*1000</f>
        <v>19591732.176438</v>
      </c>
      <c r="E10" s="2192">
        <f ca="1">+'PAF Summary'!K33*1000+'PAF Summary'!K35*1000</f>
        <v>7638251.8223065687</v>
      </c>
      <c r="F10" s="2192">
        <f ca="1">+'PAF Summary'!K36*1000</f>
        <v>6764409.3431330947</v>
      </c>
      <c r="G10" s="2193">
        <f ca="1">SUM(C10:F10)</f>
        <v>34783181.791877665</v>
      </c>
    </row>
    <row r="11" spans="1:13" x14ac:dyDescent="0.25">
      <c r="A11" s="2194" t="s">
        <v>2330</v>
      </c>
      <c r="G11" s="2193"/>
      <c r="I11" s="2188" t="s">
        <v>2345</v>
      </c>
    </row>
    <row r="12" spans="1:13" x14ac:dyDescent="0.25">
      <c r="A12" s="2195" t="s">
        <v>369</v>
      </c>
      <c r="B12" s="2192">
        <f ca="1">+'Detail Summary'!AS166</f>
        <v>131515.89000000001</v>
      </c>
      <c r="C12" s="2193">
        <f t="shared" ref="C12:C21" ca="1" si="0">$B12*I12</f>
        <v>131515.89000000001</v>
      </c>
      <c r="D12" s="2193">
        <f t="shared" ref="D12:D21" ca="1" si="1">$B12*J12</f>
        <v>0</v>
      </c>
      <c r="E12" s="2193">
        <f t="shared" ref="E12:E21" ca="1" si="2">$B12*K12</f>
        <v>0</v>
      </c>
      <c r="F12" s="2193">
        <f t="shared" ref="F12:F21" ca="1" si="3">$B12*L12</f>
        <v>0</v>
      </c>
      <c r="G12" s="2193">
        <f t="shared" ref="G12:G21" ca="1" si="4">SUM(C12:F12)</f>
        <v>131515.89000000001</v>
      </c>
      <c r="H12" s="2196"/>
      <c r="I12" s="2197">
        <v>1</v>
      </c>
      <c r="J12" s="2197">
        <v>0</v>
      </c>
      <c r="K12" s="2197">
        <v>0</v>
      </c>
      <c r="L12" s="2197">
        <v>0</v>
      </c>
      <c r="M12" s="2198">
        <f t="shared" ref="M12:M20" si="5">SUM(I12:L12)</f>
        <v>1</v>
      </c>
    </row>
    <row r="13" spans="1:13" x14ac:dyDescent="0.25">
      <c r="A13" s="2195" t="s">
        <v>2331</v>
      </c>
      <c r="B13" s="2192">
        <f ca="1">+'Detail Summary'!AS167</f>
        <v>15415.81</v>
      </c>
      <c r="C13" s="2193">
        <f t="shared" ca="1" si="0"/>
        <v>15415.81</v>
      </c>
      <c r="D13" s="2193">
        <f t="shared" ca="1" si="1"/>
        <v>0</v>
      </c>
      <c r="E13" s="2193">
        <f t="shared" ca="1" si="2"/>
        <v>0</v>
      </c>
      <c r="F13" s="2193">
        <f t="shared" ca="1" si="3"/>
        <v>0</v>
      </c>
      <c r="G13" s="2193">
        <f t="shared" ca="1" si="4"/>
        <v>15415.81</v>
      </c>
      <c r="H13" s="2196"/>
      <c r="I13" s="2197">
        <v>1</v>
      </c>
      <c r="J13" s="2197">
        <v>0</v>
      </c>
      <c r="K13" s="2197">
        <v>0</v>
      </c>
      <c r="L13" s="2197">
        <v>0</v>
      </c>
      <c r="M13" s="2198">
        <f t="shared" si="5"/>
        <v>1</v>
      </c>
    </row>
    <row r="14" spans="1:13" x14ac:dyDescent="0.25">
      <c r="A14" s="2195" t="s">
        <v>2332</v>
      </c>
      <c r="B14" s="2192">
        <f ca="1">+'Detail Summary'!AS168</f>
        <v>441180.06</v>
      </c>
      <c r="C14" s="2193">
        <f t="shared" ca="1" si="0"/>
        <v>441180.06</v>
      </c>
      <c r="D14" s="2193">
        <f t="shared" ca="1" si="1"/>
        <v>0</v>
      </c>
      <c r="E14" s="2193">
        <f t="shared" ca="1" si="2"/>
        <v>0</v>
      </c>
      <c r="F14" s="2193">
        <f t="shared" ca="1" si="3"/>
        <v>0</v>
      </c>
      <c r="G14" s="2193">
        <f t="shared" ca="1" si="4"/>
        <v>441180.06</v>
      </c>
      <c r="H14" s="2196"/>
      <c r="I14" s="2197">
        <v>1</v>
      </c>
      <c r="J14" s="2197">
        <v>0</v>
      </c>
      <c r="K14" s="2197">
        <v>0</v>
      </c>
      <c r="L14" s="2197">
        <v>0</v>
      </c>
      <c r="M14" s="2198">
        <f t="shared" si="5"/>
        <v>1</v>
      </c>
    </row>
    <row r="15" spans="1:13" x14ac:dyDescent="0.25">
      <c r="A15" s="2195" t="s">
        <v>2333</v>
      </c>
      <c r="B15" s="2192">
        <f ca="1">+'Detail Summary'!AS169</f>
        <v>5809889.9500000002</v>
      </c>
      <c r="C15" s="2193">
        <f t="shared" ca="1" si="0"/>
        <v>543817.75098325533</v>
      </c>
      <c r="D15" s="2193">
        <f t="shared" ca="1" si="1"/>
        <v>0</v>
      </c>
      <c r="E15" s="2193">
        <f t="shared" ca="1" si="2"/>
        <v>5266072.1990167443</v>
      </c>
      <c r="F15" s="2193">
        <f t="shared" ca="1" si="3"/>
        <v>0</v>
      </c>
      <c r="G15" s="2193">
        <f t="shared" ca="1" si="4"/>
        <v>5809889.9499999993</v>
      </c>
      <c r="H15" s="2196"/>
      <c r="I15" s="2199">
        <f ca="1">+C10/(C10+E10)</f>
        <v>9.3602074335892599E-2</v>
      </c>
      <c r="J15" s="2199">
        <v>0</v>
      </c>
      <c r="K15" s="2199">
        <f ca="1">1-I15</f>
        <v>0.90639792566410737</v>
      </c>
      <c r="L15" s="2197">
        <v>0</v>
      </c>
      <c r="M15" s="2198">
        <f t="shared" ca="1" si="5"/>
        <v>1</v>
      </c>
    </row>
    <row r="16" spans="1:13" x14ac:dyDescent="0.25">
      <c r="A16" s="2195" t="s">
        <v>371</v>
      </c>
      <c r="B16" s="2192">
        <f ca="1">+'Detail Summary'!AS170</f>
        <v>323587.42</v>
      </c>
      <c r="C16" s="2193">
        <f t="shared" ca="1" si="0"/>
        <v>7338.0871533984109</v>
      </c>
      <c r="D16" s="2193">
        <f t="shared" ca="1" si="1"/>
        <v>182261.59142764067</v>
      </c>
      <c r="E16" s="2193">
        <f t="shared" ca="1" si="2"/>
        <v>71058.542466855128</v>
      </c>
      <c r="F16" s="2193">
        <f t="shared" ca="1" si="3"/>
        <v>62929.198952105784</v>
      </c>
      <c r="G16" s="2193">
        <f t="shared" ca="1" si="4"/>
        <v>323587.42</v>
      </c>
      <c r="H16" s="2196"/>
      <c r="I16" s="2199">
        <f ca="1">+C10/$G$10</f>
        <v>2.2677294294686769E-2</v>
      </c>
      <c r="J16" s="2199">
        <f ca="1">+D10/$G$10</f>
        <v>0.56325301962493068</v>
      </c>
      <c r="K16" s="2199">
        <f ca="1">+E10/$G$10</f>
        <v>0.21959612171219489</v>
      </c>
      <c r="L16" s="2199">
        <f ca="1">+F10/$G$10</f>
        <v>0.19447356436818769</v>
      </c>
      <c r="M16" s="2198">
        <f t="shared" ca="1" si="5"/>
        <v>1</v>
      </c>
    </row>
    <row r="17" spans="1:13" x14ac:dyDescent="0.25">
      <c r="A17" s="2195" t="s">
        <v>2334</v>
      </c>
      <c r="B17" s="2192">
        <f>+'Detail Summary'!AS171</f>
        <v>1007056</v>
      </c>
      <c r="C17" s="2193">
        <f t="shared" si="0"/>
        <v>0</v>
      </c>
      <c r="D17" s="2193">
        <f t="shared" si="1"/>
        <v>1007056</v>
      </c>
      <c r="E17" s="2193">
        <f t="shared" si="2"/>
        <v>0</v>
      </c>
      <c r="F17" s="2193">
        <f t="shared" si="3"/>
        <v>0</v>
      </c>
      <c r="G17" s="2193">
        <f t="shared" si="4"/>
        <v>1007056</v>
      </c>
      <c r="H17" s="2196"/>
      <c r="I17" s="2197">
        <v>0</v>
      </c>
      <c r="J17" s="2197">
        <v>1</v>
      </c>
      <c r="K17" s="2197">
        <v>0</v>
      </c>
      <c r="L17" s="2197">
        <v>0</v>
      </c>
      <c r="M17" s="2198">
        <f t="shared" si="5"/>
        <v>1</v>
      </c>
    </row>
    <row r="18" spans="1:13" x14ac:dyDescent="0.25">
      <c r="A18" s="2195" t="s">
        <v>2335</v>
      </c>
      <c r="B18" s="2192">
        <f>+'Detail Summary'!AS172</f>
        <v>0</v>
      </c>
      <c r="C18" s="2193">
        <f t="shared" si="0"/>
        <v>0</v>
      </c>
      <c r="D18" s="2193">
        <f t="shared" si="1"/>
        <v>0</v>
      </c>
      <c r="E18" s="2193">
        <f t="shared" si="2"/>
        <v>0</v>
      </c>
      <c r="F18" s="2193">
        <f t="shared" si="3"/>
        <v>0</v>
      </c>
      <c r="G18" s="2193">
        <f t="shared" si="4"/>
        <v>0</v>
      </c>
      <c r="H18" s="2196"/>
      <c r="I18" s="2197"/>
      <c r="J18" s="2197"/>
      <c r="K18" s="2197"/>
      <c r="L18" s="2197"/>
      <c r="M18" s="2198">
        <f t="shared" si="5"/>
        <v>0</v>
      </c>
    </row>
    <row r="19" spans="1:13" x14ac:dyDescent="0.25">
      <c r="A19" s="2195" t="s">
        <v>2336</v>
      </c>
      <c r="B19" s="2192">
        <f ca="1">+'Detail Summary'!AS173</f>
        <v>602887.6</v>
      </c>
      <c r="C19" s="2193">
        <f t="shared" ca="1" si="0"/>
        <v>13671.859531817398</v>
      </c>
      <c r="D19" s="2193">
        <f t="shared" ca="1" si="1"/>
        <v>339578.26119442732</v>
      </c>
      <c r="E19" s="2193">
        <f t="shared" ca="1" si="2"/>
        <v>132391.77878837308</v>
      </c>
      <c r="F19" s="2193">
        <f t="shared" ca="1" si="3"/>
        <v>117245.70048538219</v>
      </c>
      <c r="G19" s="2193">
        <f t="shared" ca="1" si="4"/>
        <v>602887.6</v>
      </c>
      <c r="H19" s="2196"/>
      <c r="I19" s="2200">
        <f ca="1">+I16</f>
        <v>2.2677294294686769E-2</v>
      </c>
      <c r="J19" s="2200">
        <f ca="1">+J16</f>
        <v>0.56325301962493068</v>
      </c>
      <c r="K19" s="2200">
        <f ca="1">+K16</f>
        <v>0.21959612171219489</v>
      </c>
      <c r="L19" s="2200">
        <f ca="1">+L16</f>
        <v>0.19447356436818769</v>
      </c>
      <c r="M19" s="2198">
        <f t="shared" ca="1" si="5"/>
        <v>1</v>
      </c>
    </row>
    <row r="20" spans="1:13" x14ac:dyDescent="0.25">
      <c r="A20" s="2188" t="s">
        <v>2337</v>
      </c>
      <c r="B20" s="2192">
        <f ca="1">+'Detail Summary'!AS174</f>
        <v>149165.07999999999</v>
      </c>
      <c r="C20" s="2193">
        <f t="shared" ca="1" si="0"/>
        <v>149165.07999999999</v>
      </c>
      <c r="D20" s="2193">
        <f t="shared" ca="1" si="1"/>
        <v>0</v>
      </c>
      <c r="E20" s="2193">
        <f t="shared" ca="1" si="2"/>
        <v>0</v>
      </c>
      <c r="F20" s="2193">
        <f t="shared" ca="1" si="3"/>
        <v>0</v>
      </c>
      <c r="G20" s="2193">
        <f t="shared" ca="1" si="4"/>
        <v>149165.07999999999</v>
      </c>
      <c r="H20" s="2196"/>
      <c r="I20" s="2197">
        <v>1</v>
      </c>
      <c r="J20" s="2197">
        <v>0</v>
      </c>
      <c r="K20" s="2197">
        <v>0</v>
      </c>
      <c r="L20" s="2197">
        <v>0</v>
      </c>
      <c r="M20" s="2198">
        <f t="shared" si="5"/>
        <v>1</v>
      </c>
    </row>
    <row r="21" spans="1:13" x14ac:dyDescent="0.25">
      <c r="A21" s="2188" t="s">
        <v>372</v>
      </c>
      <c r="B21" s="2192">
        <f ca="1">+'Detail Summary'!AS185</f>
        <v>2832480.34</v>
      </c>
      <c r="C21" s="2193">
        <f t="shared" ca="1" si="0"/>
        <v>64232.990254094439</v>
      </c>
      <c r="D21" s="2193">
        <f t="shared" ca="1" si="1"/>
        <v>1595403.1045332502</v>
      </c>
      <c r="E21" s="2193">
        <f t="shared" ca="1" si="2"/>
        <v>622001.69749003917</v>
      </c>
      <c r="F21" s="2193">
        <f t="shared" ca="1" si="3"/>
        <v>550842.54772261612</v>
      </c>
      <c r="G21" s="2193">
        <f t="shared" ca="1" si="4"/>
        <v>2832480.34</v>
      </c>
      <c r="H21" s="2196"/>
      <c r="I21" s="2200">
        <f ca="1">+I19</f>
        <v>2.2677294294686769E-2</v>
      </c>
      <c r="J21" s="2200">
        <f ca="1">+J19</f>
        <v>0.56325301962493068</v>
      </c>
      <c r="K21" s="2200">
        <f ca="1">+K19</f>
        <v>0.21959612171219489</v>
      </c>
      <c r="L21" s="2200">
        <f ca="1">+L19</f>
        <v>0.19447356436818769</v>
      </c>
      <c r="M21" s="2198">
        <f ca="1">SUM(I21:L21)</f>
        <v>1</v>
      </c>
    </row>
    <row r="22" spans="1:13" x14ac:dyDescent="0.25">
      <c r="A22" s="2195" t="s">
        <v>2338</v>
      </c>
      <c r="B22" s="2193"/>
      <c r="C22" s="2193">
        <f ca="1">SUM(C12:C21)</f>
        <v>1366337.5279225656</v>
      </c>
      <c r="D22" s="2193">
        <f t="shared" ref="D22:F22" ca="1" si="6">SUM(D12:D21)</f>
        <v>3124298.957155318</v>
      </c>
      <c r="E22" s="2193">
        <f t="shared" ca="1" si="6"/>
        <v>6091524.2177620111</v>
      </c>
      <c r="F22" s="2193">
        <f t="shared" ca="1" si="6"/>
        <v>731017.44716010406</v>
      </c>
      <c r="G22" s="2193">
        <f ca="1">SUM(G12:G21)</f>
        <v>11313178.149999999</v>
      </c>
      <c r="H22" s="2201"/>
    </row>
    <row r="23" spans="1:13" x14ac:dyDescent="0.25">
      <c r="A23" s="2202" t="s">
        <v>2339</v>
      </c>
      <c r="B23" s="2203"/>
      <c r="C23" s="2203">
        <f ca="1">SUM(C22,C10)</f>
        <v>2155125.9779225658</v>
      </c>
      <c r="D23" s="2203">
        <f t="shared" ref="D23:F23" ca="1" si="7">SUM(D22,D10)</f>
        <v>22716031.133593317</v>
      </c>
      <c r="E23" s="2203">
        <f t="shared" ca="1" si="7"/>
        <v>13729776.04006858</v>
      </c>
      <c r="F23" s="2203">
        <f t="shared" ca="1" si="7"/>
        <v>7495426.790293199</v>
      </c>
      <c r="G23" s="2203">
        <f ca="1">SUM(G22,G10)</f>
        <v>46096359.941877663</v>
      </c>
      <c r="H23" s="2201"/>
    </row>
    <row r="25" spans="1:13" x14ac:dyDescent="0.25">
      <c r="F25" s="2188" t="s">
        <v>2344</v>
      </c>
      <c r="G25" s="2204">
        <f ca="1">+Cover!E46-'DER Project Information'!G23</f>
        <v>240.05812233686447</v>
      </c>
    </row>
    <row r="26" spans="1:13" x14ac:dyDescent="0.25">
      <c r="C26" s="2195"/>
      <c r="D26" s="2195"/>
    </row>
    <row r="27" spans="1:13" ht="38.25" x14ac:dyDescent="0.25">
      <c r="A27" s="2205" t="s">
        <v>2346</v>
      </c>
      <c r="B27" s="2206"/>
      <c r="C27" s="2207" t="s">
        <v>2350</v>
      </c>
      <c r="D27" s="2188">
        <v>-2</v>
      </c>
      <c r="E27" s="2215" t="s">
        <v>2353</v>
      </c>
    </row>
    <row r="28" spans="1:13" x14ac:dyDescent="0.25">
      <c r="A28" s="2208" t="s">
        <v>36</v>
      </c>
      <c r="B28" s="2209">
        <f ca="1">C23+Z23+$F$23*(C23+Z23)/($E$23+$D$23+$C$23)</f>
        <v>2573602.6227213605</v>
      </c>
      <c r="C28" s="2210">
        <f ca="1">ROUND(B28,$D$27)</f>
        <v>2573600</v>
      </c>
      <c r="D28" s="2188">
        <v>-3</v>
      </c>
      <c r="E28" s="2215" t="s">
        <v>2352</v>
      </c>
    </row>
    <row r="29" spans="1:13" x14ac:dyDescent="0.25">
      <c r="A29" s="2208" t="s">
        <v>243</v>
      </c>
      <c r="B29" s="2209">
        <f ca="1">D23+$F$23*(D23)/(+$E$23+$D23+$C23)</f>
        <v>27126969.793009657</v>
      </c>
      <c r="C29" s="2210">
        <f ca="1">ROUND(B29,$D$27)</f>
        <v>27127000</v>
      </c>
    </row>
    <row r="30" spans="1:13" x14ac:dyDescent="0.25">
      <c r="A30" s="2208" t="s">
        <v>2340</v>
      </c>
      <c r="B30" s="2209">
        <f ca="1">E23+$F$23*(E23)/(SUM(C23:E23))</f>
        <v>16395787.526146643</v>
      </c>
      <c r="C30" s="2210">
        <f ca="1">ROUND(B30,$D$27)</f>
        <v>16395800</v>
      </c>
    </row>
    <row r="31" spans="1:13" x14ac:dyDescent="0.25">
      <c r="A31" s="2211"/>
      <c r="B31" s="2212">
        <f ca="1">+B28+B29+B30</f>
        <v>46096359.941877663</v>
      </c>
      <c r="C31" s="2213">
        <f ca="1">+C28+C29+C30</f>
        <v>46096400</v>
      </c>
    </row>
    <row r="33" spans="1:2" x14ac:dyDescent="0.25">
      <c r="A33" s="2188" t="s">
        <v>2351</v>
      </c>
      <c r="B33" s="2214">
        <v>0.154</v>
      </c>
    </row>
  </sheetData>
  <sheetProtection algorithmName="SHA-512" hashValue="AQ+pDMu33rmJoTmxwGyhrWBsfOs02npmbRjayflJCGuqa3kp/1Yc8i+vrSHpSZxh2h0qM4/s5iMbRfyPsZtYCQ==" saltValue="BmQeufTc7SGUiVisu/x7DA==" spinCount="100000" sheet="1" scenarios="1" formatCells="0" formatColumns="0" formatRows="0" autoFilter="0"/>
  <pageMargins left="0.7" right="0.7" top="0.75" bottom="0.75" header="0.3" footer="0.3"/>
  <pageSetup orientation="portrait" horizontalDpi="4294967293"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B797B-1396-40A5-A1E0-DCBA98293732}">
  <sheetPr codeName="Sheet7">
    <tabColor theme="1"/>
    <pageSetUpPr fitToPage="1"/>
  </sheetPr>
  <dimension ref="A1:S39"/>
  <sheetViews>
    <sheetView showZeros="0" topLeftCell="A2" workbookViewId="0">
      <selection activeCell="O28" sqref="O28"/>
    </sheetView>
  </sheetViews>
  <sheetFormatPr defaultRowHeight="12.6" customHeight="1" x14ac:dyDescent="0.25"/>
  <cols>
    <col min="1" max="1" width="4.5703125" customWidth="1"/>
    <col min="2" max="2" width="34.42578125" customWidth="1"/>
    <col min="3" max="3" width="11.5703125" customWidth="1"/>
    <col min="4" max="4" width="12.5703125" customWidth="1"/>
    <col min="5" max="15" width="12.42578125" customWidth="1"/>
    <col min="16" max="16" width="10.5703125" customWidth="1"/>
    <col min="19" max="19" width="35" customWidth="1"/>
    <col min="20" max="20" width="12.5703125" customWidth="1"/>
    <col min="21" max="21" width="13.5703125" customWidth="1"/>
    <col min="22" max="22" width="14.42578125" customWidth="1"/>
    <col min="23" max="23" width="13" customWidth="1"/>
  </cols>
  <sheetData>
    <row r="1" spans="1:15" ht="15.75" thickBot="1" x14ac:dyDescent="0.3">
      <c r="B1" s="9" t="s">
        <v>220</v>
      </c>
    </row>
    <row r="2" spans="1:15" ht="26.25" x14ac:dyDescent="0.25">
      <c r="B2" s="339"/>
      <c r="C2" s="340" t="s">
        <v>221</v>
      </c>
      <c r="D2" s="340" t="s">
        <v>222</v>
      </c>
      <c r="E2" s="1838">
        <f>+'Data Input sheet'!D100</f>
        <v>45292</v>
      </c>
      <c r="F2" s="1838">
        <f>+'Data Input sheet'!G100</f>
        <v>45658</v>
      </c>
      <c r="G2" s="1838">
        <f>+'Data Input sheet'!J100</f>
        <v>46023</v>
      </c>
      <c r="H2" s="1838">
        <f>+'Data Input sheet'!M100</f>
        <v>46388</v>
      </c>
      <c r="I2" s="1838">
        <f>+'Data Input sheet'!P100</f>
        <v>46753</v>
      </c>
      <c r="J2" s="1838">
        <f>+'Data Input sheet'!S100</f>
        <v>47119</v>
      </c>
      <c r="K2" s="1838">
        <f>+'Data Input sheet'!V100</f>
        <v>47484</v>
      </c>
      <c r="L2" s="1838">
        <f>+'Data Input sheet'!Y100</f>
        <v>47849</v>
      </c>
      <c r="M2" s="1838">
        <f>+'Data Input sheet'!AB100</f>
        <v>48214</v>
      </c>
      <c r="N2" s="1838">
        <f>+'Data Input sheet'!AE100</f>
        <v>48580</v>
      </c>
      <c r="O2" s="341" t="s">
        <v>223</v>
      </c>
    </row>
    <row r="3" spans="1:15" ht="15" x14ac:dyDescent="0.25">
      <c r="B3" s="342" t="s">
        <v>224</v>
      </c>
      <c r="C3" s="1220">
        <f t="shared" ref="C3:J3" si="0">C21-C5</f>
        <v>0</v>
      </c>
      <c r="D3" s="1220">
        <f t="shared" si="0"/>
        <v>141.43664000000001</v>
      </c>
      <c r="E3" s="1220">
        <f t="shared" ca="1" si="0"/>
        <v>3.9169999999999998</v>
      </c>
      <c r="F3" s="1220">
        <f t="shared" ca="1" si="0"/>
        <v>7.98</v>
      </c>
      <c r="G3" s="1220">
        <f t="shared" ca="1" si="0"/>
        <v>12443.346959716546</v>
      </c>
      <c r="H3" s="1220">
        <f t="shared" ca="1" si="0"/>
        <v>17536.30799948295</v>
      </c>
      <c r="I3" s="1220">
        <f t="shared" ca="1" si="0"/>
        <v>4650.1931926781681</v>
      </c>
      <c r="J3" s="1220">
        <f t="shared" ca="1" si="0"/>
        <v>0</v>
      </c>
      <c r="K3" s="1220">
        <f t="shared" ref="K3:N3" ca="1" si="1">K21-K5</f>
        <v>0</v>
      </c>
      <c r="L3" s="1220">
        <f t="shared" ca="1" si="1"/>
        <v>0</v>
      </c>
      <c r="M3" s="1220">
        <f t="shared" ca="1" si="1"/>
        <v>0</v>
      </c>
      <c r="N3" s="1220">
        <f t="shared" ca="1" si="1"/>
        <v>0</v>
      </c>
      <c r="O3" s="344">
        <f t="shared" ref="O3:O11" ca="1" si="2">SUM(D3:N3)</f>
        <v>34783.181791877665</v>
      </c>
    </row>
    <row r="4" spans="1:15" ht="15" x14ac:dyDescent="0.25">
      <c r="B4" s="342" t="s">
        <v>225</v>
      </c>
      <c r="C4" s="1220">
        <f t="shared" ref="C4:J4" si="3">C30</f>
        <v>0</v>
      </c>
      <c r="D4" s="1220">
        <f t="shared" si="3"/>
        <v>0</v>
      </c>
      <c r="E4" s="1220">
        <f t="shared" ca="1" si="3"/>
        <v>0</v>
      </c>
      <c r="F4" s="1220">
        <f t="shared" ca="1" si="3"/>
        <v>0</v>
      </c>
      <c r="G4" s="1220">
        <f t="shared" ca="1" si="3"/>
        <v>0</v>
      </c>
      <c r="H4" s="1220">
        <f t="shared" ca="1" si="3"/>
        <v>0</v>
      </c>
      <c r="I4" s="1220">
        <f t="shared" ca="1" si="3"/>
        <v>0</v>
      </c>
      <c r="J4" s="1220">
        <f t="shared" ca="1" si="3"/>
        <v>0</v>
      </c>
      <c r="K4" s="1220">
        <f t="shared" ref="K4:N4" ca="1" si="4">K30</f>
        <v>0</v>
      </c>
      <c r="L4" s="1220">
        <f t="shared" ca="1" si="4"/>
        <v>0</v>
      </c>
      <c r="M4" s="1220">
        <f t="shared" ca="1" si="4"/>
        <v>0</v>
      </c>
      <c r="N4" s="1220">
        <f t="shared" ca="1" si="4"/>
        <v>0</v>
      </c>
      <c r="O4" s="344">
        <f t="shared" ca="1" si="2"/>
        <v>0</v>
      </c>
    </row>
    <row r="5" spans="1:15" ht="15" x14ac:dyDescent="0.25">
      <c r="B5" s="342" t="s">
        <v>226</v>
      </c>
      <c r="C5" s="1221">
        <f>('Detail Summary'!K142)/1000</f>
        <v>0</v>
      </c>
      <c r="D5" s="1221">
        <f>('Detail Summary'!L142)/1000</f>
        <v>0</v>
      </c>
      <c r="E5" s="1221">
        <f ca="1">('Detail Summary'!O142)/1000</f>
        <v>0</v>
      </c>
      <c r="F5" s="1221">
        <f ca="1">('Detail Summary'!R142)/1000</f>
        <v>0</v>
      </c>
      <c r="G5" s="1221">
        <f ca="1">('Detail Summary'!U142)/1000</f>
        <v>0</v>
      </c>
      <c r="H5" s="1221">
        <f ca="1">('Detail Summary'!X142)/1000</f>
        <v>0</v>
      </c>
      <c r="I5" s="1221">
        <f ca="1">('Detail Summary'!AA142)/1000</f>
        <v>0</v>
      </c>
      <c r="J5" s="1221">
        <f ca="1">('Detail Summary'!AD142)/1000</f>
        <v>0</v>
      </c>
      <c r="K5" s="1221">
        <f>('Detail Summary'!AE142)/1000</f>
        <v>0</v>
      </c>
      <c r="L5" s="1221">
        <f ca="1">('Detail Summary'!AF142)/1000</f>
        <v>0</v>
      </c>
      <c r="M5" s="1221">
        <f ca="1">('Detail Summary'!AG142)/1000</f>
        <v>0</v>
      </c>
      <c r="N5" s="1221">
        <f>('Detail Summary'!AH142)/1000</f>
        <v>0</v>
      </c>
      <c r="O5" s="344">
        <f t="shared" ca="1" si="2"/>
        <v>0</v>
      </c>
    </row>
    <row r="6" spans="1:15" ht="15" x14ac:dyDescent="0.25">
      <c r="B6" s="342" t="s">
        <v>227</v>
      </c>
      <c r="C6" s="1220">
        <f t="shared" ref="C6:J6" si="5">SUM(C3:C5)</f>
        <v>0</v>
      </c>
      <c r="D6" s="1220">
        <f t="shared" si="5"/>
        <v>141.43664000000001</v>
      </c>
      <c r="E6" s="1220">
        <f t="shared" ca="1" si="5"/>
        <v>3.9169999999999998</v>
      </c>
      <c r="F6" s="1220">
        <f t="shared" ca="1" si="5"/>
        <v>7.98</v>
      </c>
      <c r="G6" s="1220">
        <f t="shared" ca="1" si="5"/>
        <v>12443.346959716546</v>
      </c>
      <c r="H6" s="1220">
        <f t="shared" ca="1" si="5"/>
        <v>17536.30799948295</v>
      </c>
      <c r="I6" s="1220">
        <f t="shared" ca="1" si="5"/>
        <v>4650.1931926781681</v>
      </c>
      <c r="J6" s="1220">
        <f t="shared" ca="1" si="5"/>
        <v>0</v>
      </c>
      <c r="K6" s="1220">
        <f t="shared" ref="K6:N6" ca="1" si="6">SUM(K3:K5)</f>
        <v>0</v>
      </c>
      <c r="L6" s="1220">
        <f t="shared" ca="1" si="6"/>
        <v>0</v>
      </c>
      <c r="M6" s="1220">
        <f t="shared" ca="1" si="6"/>
        <v>0</v>
      </c>
      <c r="N6" s="1220">
        <f t="shared" ca="1" si="6"/>
        <v>0</v>
      </c>
      <c r="O6" s="344">
        <f t="shared" ca="1" si="2"/>
        <v>34783.181791877665</v>
      </c>
    </row>
    <row r="7" spans="1:15" ht="15" x14ac:dyDescent="0.25">
      <c r="B7" s="342" t="s">
        <v>228</v>
      </c>
      <c r="C7" s="1221">
        <f t="shared" ref="C7:J7" si="7">C24</f>
        <v>0</v>
      </c>
      <c r="D7" s="1221">
        <f t="shared" si="7"/>
        <v>209.08080999999999</v>
      </c>
      <c r="E7" s="1221">
        <f t="shared" ca="1" si="7"/>
        <v>3.5000000000000003E-2</v>
      </c>
      <c r="F7" s="1221">
        <f t="shared" ca="1" si="7"/>
        <v>7.0999999999999994E-2</v>
      </c>
      <c r="G7" s="1221">
        <f t="shared" ca="1" si="7"/>
        <v>1433.3589999999999</v>
      </c>
      <c r="H7" s="1221">
        <f t="shared" ca="1" si="7"/>
        <v>4242.4740000000002</v>
      </c>
      <c r="I7" s="1221">
        <f t="shared" ca="1" si="7"/>
        <v>2595.6779999999999</v>
      </c>
      <c r="J7" s="1221">
        <f t="shared" ca="1" si="7"/>
        <v>0</v>
      </c>
      <c r="K7" s="1221">
        <f t="shared" ref="K7:N7" ca="1" si="8">K24</f>
        <v>0</v>
      </c>
      <c r="L7" s="1221">
        <f t="shared" ca="1" si="8"/>
        <v>0</v>
      </c>
      <c r="M7" s="1221">
        <f t="shared" ca="1" si="8"/>
        <v>0</v>
      </c>
      <c r="N7" s="1221">
        <f t="shared" ca="1" si="8"/>
        <v>0</v>
      </c>
      <c r="O7" s="344">
        <f t="shared" ca="1" si="2"/>
        <v>8480.6978099999997</v>
      </c>
    </row>
    <row r="8" spans="1:15" ht="15" x14ac:dyDescent="0.25">
      <c r="B8" s="342" t="s">
        <v>229</v>
      </c>
      <c r="C8" s="1220">
        <f>+C6+C7</f>
        <v>0</v>
      </c>
      <c r="D8" s="1220">
        <f>+D6+D7</f>
        <v>350.51745</v>
      </c>
      <c r="E8" s="1220">
        <f ca="1">SUM(E6:E7)</f>
        <v>3.952</v>
      </c>
      <c r="F8" s="1220">
        <f t="shared" ref="F8:N8" ca="1" si="9">+F6+F7</f>
        <v>8.0510000000000002</v>
      </c>
      <c r="G8" s="1220">
        <f t="shared" ca="1" si="9"/>
        <v>13876.705959716546</v>
      </c>
      <c r="H8" s="1220">
        <f t="shared" ca="1" si="9"/>
        <v>21778.781999482948</v>
      </c>
      <c r="I8" s="1220">
        <f t="shared" ca="1" si="9"/>
        <v>7245.871192678168</v>
      </c>
      <c r="J8" s="1220">
        <f t="shared" ca="1" si="9"/>
        <v>0</v>
      </c>
      <c r="K8" s="1220">
        <f t="shared" ca="1" si="9"/>
        <v>0</v>
      </c>
      <c r="L8" s="1220">
        <f t="shared" ca="1" si="9"/>
        <v>0</v>
      </c>
      <c r="M8" s="1220">
        <f t="shared" ca="1" si="9"/>
        <v>0</v>
      </c>
      <c r="N8" s="1220">
        <f t="shared" ca="1" si="9"/>
        <v>0</v>
      </c>
      <c r="O8" s="344">
        <f t="shared" ca="1" si="2"/>
        <v>43263.879601877663</v>
      </c>
    </row>
    <row r="9" spans="1:15" ht="15" x14ac:dyDescent="0.25">
      <c r="B9" s="342" t="s">
        <v>230</v>
      </c>
      <c r="C9" s="1221">
        <f t="shared" ref="C9:J9" si="10">C25</f>
        <v>0</v>
      </c>
      <c r="D9" s="1221">
        <f t="shared" si="10"/>
        <v>25.37434</v>
      </c>
      <c r="E9" s="1221">
        <f t="shared" ca="1" si="10"/>
        <v>1.077</v>
      </c>
      <c r="F9" s="1221">
        <f t="shared" ca="1" si="10"/>
        <v>26.933</v>
      </c>
      <c r="G9" s="1221">
        <f t="shared" ca="1" si="10"/>
        <v>460.69600000000003</v>
      </c>
      <c r="H9" s="1221">
        <f t="shared" si="10"/>
        <v>1660.9</v>
      </c>
      <c r="I9" s="1221">
        <f t="shared" si="10"/>
        <v>657.5</v>
      </c>
      <c r="J9" s="1221">
        <f t="shared" ca="1" si="10"/>
        <v>0</v>
      </c>
      <c r="K9" s="1221">
        <f t="shared" ref="K9:N9" ca="1" si="11">K25</f>
        <v>0</v>
      </c>
      <c r="L9" s="1221">
        <f t="shared" ca="1" si="11"/>
        <v>0</v>
      </c>
      <c r="M9" s="1221">
        <f t="shared" ca="1" si="11"/>
        <v>0</v>
      </c>
      <c r="N9" s="1221">
        <f t="shared" ca="1" si="11"/>
        <v>0</v>
      </c>
      <c r="O9" s="344">
        <f t="shared" ca="1" si="2"/>
        <v>2832.4803400000001</v>
      </c>
    </row>
    <row r="10" spans="1:15" ht="15" x14ac:dyDescent="0.25">
      <c r="B10" s="342" t="s">
        <v>231</v>
      </c>
      <c r="C10" s="1220">
        <f t="shared" ref="C10:J10" si="12">+C8+C9</f>
        <v>0</v>
      </c>
      <c r="D10" s="1220">
        <f t="shared" si="12"/>
        <v>375.89179000000001</v>
      </c>
      <c r="E10" s="1220">
        <f t="shared" ca="1" si="12"/>
        <v>5.0289999999999999</v>
      </c>
      <c r="F10" s="1220">
        <f t="shared" ca="1" si="12"/>
        <v>34.984000000000002</v>
      </c>
      <c r="G10" s="1220">
        <f t="shared" ca="1" si="12"/>
        <v>14337.401959716546</v>
      </c>
      <c r="H10" s="1220">
        <f t="shared" ca="1" si="12"/>
        <v>23439.681999482949</v>
      </c>
      <c r="I10" s="1220">
        <f t="shared" ca="1" si="12"/>
        <v>7903.371192678168</v>
      </c>
      <c r="J10" s="1220">
        <f t="shared" ca="1" si="12"/>
        <v>0</v>
      </c>
      <c r="K10" s="1220">
        <f t="shared" ref="K10:N10" ca="1" si="13">+K8+K9</f>
        <v>0</v>
      </c>
      <c r="L10" s="1220">
        <f t="shared" ca="1" si="13"/>
        <v>0</v>
      </c>
      <c r="M10" s="1220">
        <f t="shared" ca="1" si="13"/>
        <v>0</v>
      </c>
      <c r="N10" s="1220">
        <f t="shared" ca="1" si="13"/>
        <v>0</v>
      </c>
      <c r="O10" s="344">
        <f t="shared" ca="1" si="2"/>
        <v>46096.359941877665</v>
      </c>
    </row>
    <row r="11" spans="1:15" ht="15.75" thickBot="1" x14ac:dyDescent="0.3">
      <c r="B11" s="342" t="s">
        <v>232</v>
      </c>
      <c r="C11" s="825">
        <f t="shared" ref="C11:J11" si="14">C34</f>
        <v>0</v>
      </c>
      <c r="D11" s="825">
        <f t="shared" si="14"/>
        <v>0</v>
      </c>
      <c r="E11" s="825">
        <f t="shared" si="14"/>
        <v>0</v>
      </c>
      <c r="F11" s="825">
        <f t="shared" si="14"/>
        <v>0</v>
      </c>
      <c r="G11" s="825">
        <f t="shared" si="14"/>
        <v>0</v>
      </c>
      <c r="H11" s="825">
        <f t="shared" si="14"/>
        <v>0</v>
      </c>
      <c r="I11" s="825">
        <f t="shared" si="14"/>
        <v>0</v>
      </c>
      <c r="J11" s="825">
        <f t="shared" si="14"/>
        <v>0</v>
      </c>
      <c r="K11" s="825">
        <f t="shared" ref="K11:N11" si="15">K34</f>
        <v>0</v>
      </c>
      <c r="L11" s="825">
        <f t="shared" si="15"/>
        <v>0</v>
      </c>
      <c r="M11" s="825">
        <f t="shared" si="15"/>
        <v>0</v>
      </c>
      <c r="N11" s="825">
        <f t="shared" si="15"/>
        <v>0</v>
      </c>
      <c r="O11" s="344">
        <f t="shared" si="2"/>
        <v>0</v>
      </c>
    </row>
    <row r="12" spans="1:15" ht="15.75" thickBot="1" x14ac:dyDescent="0.3">
      <c r="B12" s="345" t="s">
        <v>233</v>
      </c>
      <c r="C12" s="346">
        <f>C10+C11</f>
        <v>0</v>
      </c>
      <c r="D12" s="346">
        <f>D10+D11</f>
        <v>375.89179000000001</v>
      </c>
      <c r="E12" s="346">
        <f ca="1">SUM(E10:E11)</f>
        <v>5.0289999999999999</v>
      </c>
      <c r="F12" s="346">
        <f t="shared" ref="F12:O12" ca="1" si="16">F10+F11</f>
        <v>34.984000000000002</v>
      </c>
      <c r="G12" s="346">
        <f t="shared" ca="1" si="16"/>
        <v>14337.401959716546</v>
      </c>
      <c r="H12" s="346">
        <f t="shared" ca="1" si="16"/>
        <v>23439.681999482949</v>
      </c>
      <c r="I12" s="346">
        <f t="shared" ca="1" si="16"/>
        <v>7903.371192678168</v>
      </c>
      <c r="J12" s="346">
        <f t="shared" ca="1" si="16"/>
        <v>0</v>
      </c>
      <c r="K12" s="346">
        <f t="shared" ref="K12:N12" ca="1" si="17">K10+K11</f>
        <v>0</v>
      </c>
      <c r="L12" s="346">
        <f t="shared" ca="1" si="17"/>
        <v>0</v>
      </c>
      <c r="M12" s="346">
        <f t="shared" ca="1" si="17"/>
        <v>0</v>
      </c>
      <c r="N12" s="346">
        <f t="shared" ca="1" si="17"/>
        <v>0</v>
      </c>
      <c r="O12" s="347">
        <f t="shared" ca="1" si="16"/>
        <v>46096.359941877665</v>
      </c>
    </row>
    <row r="13" spans="1:15" ht="15" x14ac:dyDescent="0.25">
      <c r="B13" s="348"/>
      <c r="C13" s="348"/>
      <c r="D13" s="348"/>
      <c r="E13" s="348"/>
      <c r="F13" s="348"/>
      <c r="G13" s="348"/>
      <c r="H13" s="348"/>
      <c r="I13" s="348"/>
      <c r="J13" s="348"/>
      <c r="K13" s="348"/>
      <c r="L13" s="348"/>
      <c r="M13" s="348"/>
      <c r="N13" s="348"/>
      <c r="O13" s="348"/>
    </row>
    <row r="14" spans="1:15" ht="15.75" thickBot="1" x14ac:dyDescent="0.3">
      <c r="B14" s="348"/>
      <c r="C14" s="2" t="s">
        <v>234</v>
      </c>
      <c r="D14" s="2" t="s">
        <v>234</v>
      </c>
      <c r="E14" s="349"/>
      <c r="F14" s="349"/>
      <c r="G14" s="349"/>
      <c r="H14" s="349"/>
      <c r="I14" s="349"/>
      <c r="J14" s="349"/>
      <c r="K14" s="349"/>
      <c r="L14" s="349"/>
      <c r="M14" s="349"/>
      <c r="N14" s="349"/>
      <c r="O14" s="348"/>
    </row>
    <row r="15" spans="1:15" ht="15.75" thickBot="1" x14ac:dyDescent="0.3">
      <c r="A15" s="350" t="s">
        <v>235</v>
      </c>
      <c r="B15" s="351" t="s">
        <v>236</v>
      </c>
      <c r="C15" s="352" t="s">
        <v>237</v>
      </c>
      <c r="D15" s="352" t="s">
        <v>238</v>
      </c>
      <c r="E15" s="1839">
        <f t="shared" ref="E15:J15" si="18">+E2</f>
        <v>45292</v>
      </c>
      <c r="F15" s="1839">
        <f t="shared" si="18"/>
        <v>45658</v>
      </c>
      <c r="G15" s="1839">
        <f t="shared" si="18"/>
        <v>46023</v>
      </c>
      <c r="H15" s="1839">
        <f t="shared" si="18"/>
        <v>46388</v>
      </c>
      <c r="I15" s="1839">
        <f t="shared" si="18"/>
        <v>46753</v>
      </c>
      <c r="J15" s="1839">
        <f t="shared" si="18"/>
        <v>47119</v>
      </c>
      <c r="K15" s="1839">
        <f t="shared" ref="K15:N15" si="19">+K2</f>
        <v>47484</v>
      </c>
      <c r="L15" s="1839">
        <f t="shared" si="19"/>
        <v>47849</v>
      </c>
      <c r="M15" s="1839">
        <f t="shared" si="19"/>
        <v>48214</v>
      </c>
      <c r="N15" s="1839">
        <f t="shared" si="19"/>
        <v>48580</v>
      </c>
      <c r="O15" s="351" t="s">
        <v>239</v>
      </c>
    </row>
    <row r="16" spans="1:15" ht="15" x14ac:dyDescent="0.25">
      <c r="A16" s="2">
        <v>1</v>
      </c>
      <c r="B16" s="342" t="s">
        <v>240</v>
      </c>
      <c r="C16" s="1228">
        <v>0</v>
      </c>
      <c r="D16" s="1220">
        <f>SUMIF('Detail Summary'!$B$305:$B$317,'PAF Summary (non WBS)'!$A16,'Detail Summary'!L$305:L$317)/1000</f>
        <v>88.462450000000004</v>
      </c>
      <c r="E16" s="1220">
        <f ca="1">SUMIF('Detail Summary'!$B$305:$B$317,'PAF Summary (non WBS)'!$A16,'Detail Summary'!O$305:O$317)/1000</f>
        <v>0</v>
      </c>
      <c r="F16" s="1220">
        <f ca="1">SUMIF('Detail Summary'!$B$305:$B$317,'PAF Summary (non WBS)'!$A16,'Detail Summary'!R$305:R$317)/1000</f>
        <v>0</v>
      </c>
      <c r="G16" s="1220">
        <f ca="1">SUMIF('Detail Summary'!$B$305:$B$317,'PAF Summary (non WBS)'!$A16,'Detail Summary'!U$305:U$317)/1000</f>
        <v>227.934</v>
      </c>
      <c r="H16" s="1220">
        <f ca="1">SUMIF('Detail Summary'!$B$305:$B$317,'PAF Summary (non WBS)'!$A16,'Detail Summary'!X$305:X$317)/1000</f>
        <v>274.39800000000002</v>
      </c>
      <c r="I16" s="1220">
        <f ca="1">SUMIF('Detail Summary'!$B$305:$B$317,'PAF Summary (non WBS)'!$A16,'Detail Summary'!AA$305:AA$317)/1000</f>
        <v>197.994</v>
      </c>
      <c r="J16" s="1220">
        <f ca="1">SUMIF('Detail Summary'!$B$305:$B$317,'PAF Summary (non WBS)'!$A16,'Detail Summary'!AD$305:AD$317)/1000</f>
        <v>0</v>
      </c>
      <c r="K16" s="1220">
        <f ca="1">SUMIF('Detail Summary'!$B$305:$B$317,'PAF Summary (non WBS)'!$A16,'Detail Summary'!AG$305:AG$317)/1000</f>
        <v>0</v>
      </c>
      <c r="L16" s="1220">
        <f ca="1">SUMIF('Detail Summary'!$B$305:$B$317,'PAF Summary (non WBS)'!$A16,'Detail Summary'!AJ$305:AJ$317)/1000</f>
        <v>0</v>
      </c>
      <c r="M16" s="1220">
        <f ca="1">SUMIF('Detail Summary'!$B$305:$B$317,'PAF Summary (non WBS)'!$A16,'Detail Summary'!AM$305:AM$317)/1000</f>
        <v>0</v>
      </c>
      <c r="N16" s="1220">
        <f ca="1">SUMIF('Detail Summary'!$B$305:$B$317,'PAF Summary (non WBS)'!$A16,'Detail Summary'!AP$305:AP$317)/1000</f>
        <v>0</v>
      </c>
      <c r="O16" s="344">
        <f ca="1">SUM(D16:N16)</f>
        <v>788.78845000000013</v>
      </c>
    </row>
    <row r="17" spans="1:19" ht="15" x14ac:dyDescent="0.25">
      <c r="A17" s="2">
        <v>2</v>
      </c>
      <c r="B17" s="342" t="s">
        <v>241</v>
      </c>
      <c r="C17" s="1228">
        <v>0</v>
      </c>
      <c r="D17" s="1220">
        <f>SUMIF('Detail Summary'!$B$305:$B$317,'PAF Summary (non WBS)'!$A17,'Detail Summary'!L$305:L$317)/1000</f>
        <v>0</v>
      </c>
      <c r="E17" s="1220">
        <f>SUMIF('Detail Summary'!$B$305:$B$317,'PAF Summary (non WBS)'!$A17,'Detail Summary'!O$305:O$317)/1000</f>
        <v>0</v>
      </c>
      <c r="F17" s="1220">
        <f>SUMIF('Detail Summary'!$B$305:$B$317,'PAF Summary (non WBS)'!$A17,'Detail Summary'!R$305:R$317)/1000</f>
        <v>0</v>
      </c>
      <c r="G17" s="1220">
        <f>SUMIF('Detail Summary'!$B$305:$B$317,'PAF Summary (non WBS)'!$A17,'Detail Summary'!U$305:U$317)/1000</f>
        <v>0</v>
      </c>
      <c r="H17" s="1220">
        <f>SUMIF('Detail Summary'!$B$305:$B$317,'PAF Summary (non WBS)'!$A17,'Detail Summary'!X$305:X$317)/1000</f>
        <v>0</v>
      </c>
      <c r="I17" s="1220">
        <f>SUMIF('Detail Summary'!$B$305:$B$317,'PAF Summary (non WBS)'!$A17,'Detail Summary'!AA$305:AA$317)/1000</f>
        <v>0</v>
      </c>
      <c r="J17" s="1220">
        <f>SUMIF('Detail Summary'!$B$305:$B$317,'PAF Summary (non WBS)'!$A17,'Detail Summary'!AD$305:AD$317)/1000</f>
        <v>0</v>
      </c>
      <c r="K17" s="1220">
        <f>SUMIF('Detail Summary'!$B$305:$B$317,'PAF Summary (non WBS)'!$A17,'Detail Summary'!AG$305:AG$317)/1000</f>
        <v>0</v>
      </c>
      <c r="L17" s="1220">
        <f>SUMIF('Detail Summary'!$B$305:$B$317,'PAF Summary (non WBS)'!$A17,'Detail Summary'!AJ$305:AJ$317)/1000</f>
        <v>0</v>
      </c>
      <c r="M17" s="1220">
        <f>SUMIF('Detail Summary'!$B$305:$B$317,'PAF Summary (non WBS)'!$A17,'Detail Summary'!AM$305:AM$317)/1000</f>
        <v>0</v>
      </c>
      <c r="N17" s="1220">
        <f>SUMIF('Detail Summary'!$B$305:$B$317,'PAF Summary (non WBS)'!$A17,'Detail Summary'!AP$305:AP$317)/1000</f>
        <v>0</v>
      </c>
      <c r="O17" s="344">
        <f>SUM(D17:N17)</f>
        <v>0</v>
      </c>
    </row>
    <row r="18" spans="1:19" ht="15" x14ac:dyDescent="0.25">
      <c r="A18" s="2">
        <v>3</v>
      </c>
      <c r="B18" s="342" t="s">
        <v>242</v>
      </c>
      <c r="C18" s="1228">
        <v>0</v>
      </c>
      <c r="D18" s="1220">
        <f>SUMIF('Detail Summary'!$B$305:$B$317,'PAF Summary (non WBS)'!$A18,'Detail Summary'!L$305:L$317)/1000</f>
        <v>39.522179999999999</v>
      </c>
      <c r="E18" s="1220">
        <f ca="1">SUMIF('Detail Summary'!$B$305:$B$317,'PAF Summary (non WBS)'!$A18,'Detail Summary'!O$305:O$317)/1000</f>
        <v>0</v>
      </c>
      <c r="F18" s="1220">
        <f ca="1">SUMIF('Detail Summary'!$B$305:$B$317,'PAF Summary (non WBS)'!$A18,'Detail Summary'!R$305:R$317)/1000</f>
        <v>0</v>
      </c>
      <c r="G18" s="1220">
        <f ca="1">SUMIF('Detail Summary'!$B$305:$B$317,'PAF Summary (non WBS)'!$A18,'Detail Summary'!U$305:U$317)/1000</f>
        <v>662.57299999999998</v>
      </c>
      <c r="H18" s="1220">
        <f ca="1">SUMIF('Detail Summary'!$B$305:$B$317,'PAF Summary (non WBS)'!$A18,'Detail Summary'!X$305:X$317)/1000</f>
        <v>4047.4378896284006</v>
      </c>
      <c r="I18" s="1220">
        <f ca="1">SUMIF('Detail Summary'!$B$305:$B$317,'PAF Summary (non WBS)'!$A18,'Detail Summary'!AA$305:AA$317)/1000</f>
        <v>2888.7187526781681</v>
      </c>
      <c r="J18" s="1220">
        <f ca="1">SUMIF('Detail Summary'!$B$305:$B$317,'PAF Summary (non WBS)'!$A18,'Detail Summary'!AD$305:AD$317)/1000</f>
        <v>0</v>
      </c>
      <c r="K18" s="1220">
        <f ca="1">SUMIF('Detail Summary'!$B$305:$B$317,'PAF Summary (non WBS)'!$A18,'Detail Summary'!AG$305:AG$317)/1000</f>
        <v>0</v>
      </c>
      <c r="L18" s="1220">
        <f ca="1">SUMIF('Detail Summary'!$B$305:$B$317,'PAF Summary (non WBS)'!$A18,'Detail Summary'!AJ$305:AJ$317)/1000</f>
        <v>0</v>
      </c>
      <c r="M18" s="1220">
        <f ca="1">SUMIF('Detail Summary'!$B$305:$B$317,'PAF Summary (non WBS)'!$A18,'Detail Summary'!AM$305:AM$317)/1000</f>
        <v>0</v>
      </c>
      <c r="N18" s="1220">
        <f ca="1">SUMIF('Detail Summary'!$B$305:$B$317,'PAF Summary (non WBS)'!$A18,'Detail Summary'!AP$305:AP$317)/1000</f>
        <v>0</v>
      </c>
      <c r="O18" s="344">
        <f ca="1">SUM(D18:N18)</f>
        <v>7638.251822306569</v>
      </c>
    </row>
    <row r="19" spans="1:19" ht="15" x14ac:dyDescent="0.25">
      <c r="A19" s="2">
        <v>4</v>
      </c>
      <c r="B19" s="342" t="s">
        <v>243</v>
      </c>
      <c r="C19" s="1228">
        <v>0</v>
      </c>
      <c r="D19" s="1220">
        <f>SUMIF('Detail Summary'!$B$305:$B$317,'PAF Summary (non WBS)'!$A19,'Detail Summary'!L$305:L$317)/1000</f>
        <v>2.3580000000000001</v>
      </c>
      <c r="E19" s="1220">
        <f ca="1">SUMIF('Detail Summary'!$B$305:$B$317,'PAF Summary (non WBS)'!$A19,'Detail Summary'!O$305:O$317)/1000</f>
        <v>0</v>
      </c>
      <c r="F19" s="1220">
        <f ca="1">SUMIF('Detail Summary'!$B$305:$B$317,'PAF Summary (non WBS)'!$A19,'Detail Summary'!R$305:R$317)/1000</f>
        <v>0</v>
      </c>
      <c r="G19" s="1220">
        <f ca="1">SUMIF('Detail Summary'!$B$305:$B$317,'PAF Summary (non WBS)'!$A19,'Detail Summary'!U$305:U$317)/1000</f>
        <v>9639.9675745999994</v>
      </c>
      <c r="H19" s="1220">
        <f ca="1">SUMIF('Detail Summary'!$B$305:$B$317,'PAF Summary (non WBS)'!$A19,'Detail Summary'!X$305:X$317)/1000</f>
        <v>9941.1666018380001</v>
      </c>
      <c r="I19" s="1220">
        <f ca="1">SUMIF('Detail Summary'!$B$305:$B$317,'PAF Summary (non WBS)'!$A19,'Detail Summary'!AA$305:AA$317)/1000</f>
        <v>8.24</v>
      </c>
      <c r="J19" s="1220">
        <f ca="1">SUMIF('Detail Summary'!$B$305:$B$317,'PAF Summary (non WBS)'!$A19,'Detail Summary'!AD$305:AD$317)/1000</f>
        <v>0</v>
      </c>
      <c r="K19" s="1220">
        <f ca="1">SUMIF('Detail Summary'!$B$305:$B$317,'PAF Summary (non WBS)'!$A19,'Detail Summary'!AG$305:AG$317)/1000</f>
        <v>0</v>
      </c>
      <c r="L19" s="1220">
        <f ca="1">SUMIF('Detail Summary'!$B$305:$B$317,'PAF Summary (non WBS)'!$A19,'Detail Summary'!AJ$305:AJ$317)/1000</f>
        <v>0</v>
      </c>
      <c r="M19" s="1220">
        <f ca="1">SUMIF('Detail Summary'!$B$305:$B$317,'PAF Summary (non WBS)'!$A19,'Detail Summary'!AM$305:AM$317)/1000</f>
        <v>0</v>
      </c>
      <c r="N19" s="1220">
        <f ca="1">SUMIF('Detail Summary'!$B$305:$B$317,'PAF Summary (non WBS)'!$A19,'Detail Summary'!AP$305:AP$317)/1000</f>
        <v>0</v>
      </c>
      <c r="O19" s="344">
        <f ca="1">SUM(D19:N19)</f>
        <v>19591.732176437999</v>
      </c>
    </row>
    <row r="20" spans="1:19" ht="15.75" thickBot="1" x14ac:dyDescent="0.3">
      <c r="A20" s="2">
        <v>5</v>
      </c>
      <c r="B20" s="342" t="s">
        <v>244</v>
      </c>
      <c r="C20" s="1228">
        <v>0</v>
      </c>
      <c r="D20" s="1220">
        <f>SUMIF('Detail Summary'!$B$305:$B$317,'PAF Summary (non WBS)'!$A20,'Detail Summary'!L$305:L$317)/1000</f>
        <v>11.094010000000001</v>
      </c>
      <c r="E20" s="1220">
        <f ca="1">SUMIF('Detail Summary'!$B$305:$B$317,'PAF Summary (non WBS)'!$A20,'Detail Summary'!O$305:O$317)/1000</f>
        <v>3.9169999999999998</v>
      </c>
      <c r="F20" s="1220">
        <f ca="1">SUMIF('Detail Summary'!$B$305:$B$317,'PAF Summary (non WBS)'!$A20,'Detail Summary'!R$305:R$317)/1000</f>
        <v>7.98</v>
      </c>
      <c r="G20" s="1220">
        <f ca="1">SUMIF('Detail Summary'!$B$305:$B$317,'PAF Summary (non WBS)'!$A20,'Detail Summary'!U$305:U$317)/1000</f>
        <v>1912.8723851165469</v>
      </c>
      <c r="H20" s="1220">
        <f ca="1">SUMIF('Detail Summary'!$B$305:$B$317,'PAF Summary (non WBS)'!$A20,'Detail Summary'!X$305:X$317)/1000</f>
        <v>3273.3055080165473</v>
      </c>
      <c r="I20" s="1220">
        <f ca="1">SUMIF('Detail Summary'!$B$305:$B$317,'PAF Summary (non WBS)'!$A20,'Detail Summary'!AA$305:AA$317)/1000</f>
        <v>1555.24044</v>
      </c>
      <c r="J20" s="1220">
        <f ca="1">SUMIF('Detail Summary'!$B$305:$B$317,'PAF Summary (non WBS)'!$A20,'Detail Summary'!AD$305:AD$317)/1000</f>
        <v>0</v>
      </c>
      <c r="K20" s="1220">
        <f ca="1">SUMIF('Detail Summary'!$B$305:$B$317,'PAF Summary (non WBS)'!$A20,'Detail Summary'!AG$305:AG$317)/1000</f>
        <v>0</v>
      </c>
      <c r="L20" s="1220">
        <f ca="1">SUMIF('Detail Summary'!$B$305:$B$317,'PAF Summary (non WBS)'!$A20,'Detail Summary'!AJ$305:AJ$317)/1000</f>
        <v>0</v>
      </c>
      <c r="M20" s="1220">
        <f ca="1">SUMIF('Detail Summary'!$B$305:$B$317,'PAF Summary (non WBS)'!$A20,'Detail Summary'!AM$305:AM$317)/1000</f>
        <v>0</v>
      </c>
      <c r="N20" s="1220">
        <f ca="1">SUMIF('Detail Summary'!$B$305:$B$317,'PAF Summary (non WBS)'!$A20,'Detail Summary'!AP$305:AP$317)/1000</f>
        <v>0</v>
      </c>
      <c r="O20" s="344">
        <f ca="1">SUM(D20:N20)</f>
        <v>6764.4093431330948</v>
      </c>
    </row>
    <row r="21" spans="1:19" ht="15.75" thickBot="1" x14ac:dyDescent="0.3">
      <c r="A21" s="2"/>
      <c r="B21" s="353" t="s">
        <v>245</v>
      </c>
      <c r="C21" s="354">
        <f t="shared" ref="C21:O21" si="20">SUM(C16:C20)</f>
        <v>0</v>
      </c>
      <c r="D21" s="354">
        <f t="shared" si="20"/>
        <v>141.43664000000001</v>
      </c>
      <c r="E21" s="354">
        <f t="shared" ca="1" si="20"/>
        <v>3.9169999999999998</v>
      </c>
      <c r="F21" s="354">
        <f t="shared" ca="1" si="20"/>
        <v>7.98</v>
      </c>
      <c r="G21" s="354">
        <f t="shared" ca="1" si="20"/>
        <v>12443.346959716546</v>
      </c>
      <c r="H21" s="354">
        <f t="shared" ca="1" si="20"/>
        <v>17536.30799948295</v>
      </c>
      <c r="I21" s="354">
        <f t="shared" ca="1" si="20"/>
        <v>4650.1931926781681</v>
      </c>
      <c r="J21" s="354">
        <f t="shared" ca="1" si="20"/>
        <v>0</v>
      </c>
      <c r="K21" s="354">
        <f t="shared" ref="K21:N21" ca="1" si="21">SUM(K16:K20)</f>
        <v>0</v>
      </c>
      <c r="L21" s="354">
        <f t="shared" ca="1" si="21"/>
        <v>0</v>
      </c>
      <c r="M21" s="354">
        <f t="shared" ca="1" si="21"/>
        <v>0</v>
      </c>
      <c r="N21" s="354">
        <f t="shared" ca="1" si="21"/>
        <v>0</v>
      </c>
      <c r="O21" s="355">
        <f t="shared" ca="1" si="20"/>
        <v>34783.181791877665</v>
      </c>
    </row>
    <row r="22" spans="1:19" ht="15.75" thickBot="1" x14ac:dyDescent="0.3">
      <c r="A22" s="2"/>
      <c r="B22" s="356"/>
      <c r="C22" s="357"/>
      <c r="D22" s="357"/>
      <c r="E22" s="348"/>
      <c r="F22" s="348"/>
      <c r="G22" s="348"/>
      <c r="H22" s="348"/>
      <c r="I22" s="348"/>
      <c r="J22" s="348"/>
      <c r="K22" s="348"/>
      <c r="L22" s="348"/>
      <c r="M22" s="348"/>
      <c r="N22" s="348"/>
      <c r="O22" s="348"/>
    </row>
    <row r="23" spans="1:19" ht="15.75" thickBot="1" x14ac:dyDescent="0.3">
      <c r="A23" s="2"/>
      <c r="B23" s="351" t="s">
        <v>246</v>
      </c>
      <c r="C23" s="358"/>
      <c r="D23" s="358"/>
      <c r="E23" s="1840">
        <f t="shared" ref="E23:J23" si="22">+E15</f>
        <v>45292</v>
      </c>
      <c r="F23" s="1840">
        <f t="shared" si="22"/>
        <v>45658</v>
      </c>
      <c r="G23" s="1840">
        <f t="shared" si="22"/>
        <v>46023</v>
      </c>
      <c r="H23" s="1840">
        <f t="shared" si="22"/>
        <v>46388</v>
      </c>
      <c r="I23" s="1840">
        <f t="shared" si="22"/>
        <v>46753</v>
      </c>
      <c r="J23" s="1840">
        <f t="shared" si="22"/>
        <v>47119</v>
      </c>
      <c r="K23" s="1840">
        <f t="shared" ref="K23:N23" si="23">+K15</f>
        <v>47484</v>
      </c>
      <c r="L23" s="1840">
        <f t="shared" si="23"/>
        <v>47849</v>
      </c>
      <c r="M23" s="1840">
        <f t="shared" si="23"/>
        <v>48214</v>
      </c>
      <c r="N23" s="1840">
        <f t="shared" si="23"/>
        <v>48580</v>
      </c>
      <c r="O23" s="359" t="s">
        <v>239</v>
      </c>
    </row>
    <row r="24" spans="1:19" ht="15" x14ac:dyDescent="0.25">
      <c r="A24" s="2">
        <v>6</v>
      </c>
      <c r="B24" s="342" t="s">
        <v>247</v>
      </c>
      <c r="C24" s="1228">
        <v>0</v>
      </c>
      <c r="D24" s="1220">
        <f>SUMIF('Detail Summary'!$B$305:$B$317,'PAF Summary (non WBS)'!$A24,'Detail Summary'!L$305:L$317)/1000</f>
        <v>209.08080999999999</v>
      </c>
      <c r="E24" s="1220">
        <f ca="1">SUMIF('Detail Summary'!$B$305:$B$317,'PAF Summary (non WBS)'!$A24,'Detail Summary'!O$305:O$317)/1000</f>
        <v>3.5000000000000003E-2</v>
      </c>
      <c r="F24" s="1220">
        <f ca="1">SUMIF('Detail Summary'!$B$305:$B$317,'PAF Summary (non WBS)'!$A24,'Detail Summary'!R$305:R$317)/1000</f>
        <v>7.0999999999999994E-2</v>
      </c>
      <c r="G24" s="1220">
        <f ca="1">SUMIF('Detail Summary'!$B$305:$B$317,'PAF Summary (non WBS)'!$A24,'Detail Summary'!U$305:U$317)/1000</f>
        <v>1433.3589999999999</v>
      </c>
      <c r="H24" s="1220">
        <f ca="1">SUMIF('Detail Summary'!$B$305:$B$317,'PAF Summary (non WBS)'!$A24,'Detail Summary'!X$305:X$317)/1000</f>
        <v>4242.4740000000002</v>
      </c>
      <c r="I24" s="1220">
        <f ca="1">SUMIF('Detail Summary'!$B$305:$B$317,'PAF Summary (non WBS)'!$A24,'Detail Summary'!AA$305:AA$317)/1000</f>
        <v>2595.6779999999999</v>
      </c>
      <c r="J24" s="1220">
        <f ca="1">SUMIF('Detail Summary'!$B$305:$B$317,'PAF Summary (non WBS)'!$A24,'Detail Summary'!AD$305:AD$317)/1000</f>
        <v>0</v>
      </c>
      <c r="K24" s="1220">
        <f ca="1">SUMIF('Detail Summary'!$B$305:$B$317,'PAF Summary (non WBS)'!$A24,'Detail Summary'!AG$305:AG$317)/1000</f>
        <v>0</v>
      </c>
      <c r="L24" s="1220">
        <f ca="1">SUMIF('Detail Summary'!$B$305:$B$317,'PAF Summary (non WBS)'!$A24,'Detail Summary'!AJ$305:AJ$317)/1000</f>
        <v>0</v>
      </c>
      <c r="M24" s="1220">
        <f ca="1">SUMIF('Detail Summary'!$B$305:$B$317,'PAF Summary (non WBS)'!$A24,'Detail Summary'!AM$305:AM$317)/1000</f>
        <v>0</v>
      </c>
      <c r="N24" s="1220">
        <f ca="1">SUMIF('Detail Summary'!$B$305:$B$317,'PAF Summary (non WBS)'!$A24,'Detail Summary'!AP$305:AP$317)/1000</f>
        <v>0</v>
      </c>
      <c r="O24" s="344">
        <f ca="1">SUM(D24:N24)</f>
        <v>8480.6978099999997</v>
      </c>
    </row>
    <row r="25" spans="1:19" ht="15.75" thickBot="1" x14ac:dyDescent="0.3">
      <c r="A25" s="2">
        <v>7</v>
      </c>
      <c r="B25" s="342" t="s">
        <v>248</v>
      </c>
      <c r="C25" s="1228">
        <v>0</v>
      </c>
      <c r="D25" s="1220">
        <f>SUMIF('Detail Summary'!$B$305:$B$317,'PAF Summary (non WBS)'!$A25,'Detail Summary'!L$305:L$317)/1000</f>
        <v>25.37434</v>
      </c>
      <c r="E25" s="1220">
        <f ca="1">SUMIF('Detail Summary'!$B$305:$B$317,'PAF Summary (non WBS)'!$A25,'Detail Summary'!O$305:O$317)/1000</f>
        <v>1.077</v>
      </c>
      <c r="F25" s="1220">
        <f ca="1">SUMIF('Detail Summary'!$B$305:$B$317,'PAF Summary (non WBS)'!$A25,'Detail Summary'!R$305:R$317)/1000</f>
        <v>26.933</v>
      </c>
      <c r="G25" s="1220">
        <f ca="1">SUMIF('Detail Summary'!$B$305:$B$317,'PAF Summary (non WBS)'!$A25,'Detail Summary'!U$305:U$317)/1000</f>
        <v>460.69600000000003</v>
      </c>
      <c r="H25" s="1220">
        <f>SUMIF('Detail Summary'!$B$305:$B$317,'PAF Summary (non WBS)'!$A25,'Detail Summary'!X$305:X$317)/1000</f>
        <v>1660.9</v>
      </c>
      <c r="I25" s="1220">
        <f>SUMIF('Detail Summary'!$B$305:$B$317,'PAF Summary (non WBS)'!$A25,'Detail Summary'!AA$305:AA$317)/1000</f>
        <v>657.5</v>
      </c>
      <c r="J25" s="1220">
        <f ca="1">SUMIF('Detail Summary'!$B$305:$B$317,'PAF Summary (non WBS)'!$A25,'Detail Summary'!AD$305:AD$317)/1000</f>
        <v>0</v>
      </c>
      <c r="K25" s="1220">
        <f ca="1">SUMIF('Detail Summary'!$B$305:$B$317,'PAF Summary (non WBS)'!$A25,'Detail Summary'!AG$305:AG$317)/1000</f>
        <v>0</v>
      </c>
      <c r="L25" s="1220">
        <f ca="1">SUMIF('Detail Summary'!$B$305:$B$317,'PAF Summary (non WBS)'!$A25,'Detail Summary'!AJ$305:AJ$317)/1000</f>
        <v>0</v>
      </c>
      <c r="M25" s="1220">
        <f ca="1">SUMIF('Detail Summary'!$B$305:$B$317,'PAF Summary (non WBS)'!$A25,'Detail Summary'!AM$305:AM$317)/1000</f>
        <v>0</v>
      </c>
      <c r="N25" s="1220">
        <f ca="1">SUMIF('Detail Summary'!$B$305:$B$317,'PAF Summary (non WBS)'!$A25,'Detail Summary'!AP$305:AP$317)/1000</f>
        <v>0</v>
      </c>
      <c r="O25" s="344">
        <f ca="1">SUM(D25:N25)</f>
        <v>2832.4803400000001</v>
      </c>
    </row>
    <row r="26" spans="1:19" ht="15.75" thickBot="1" x14ac:dyDescent="0.3">
      <c r="B26" s="353" t="s">
        <v>245</v>
      </c>
      <c r="C26" s="354">
        <f t="shared" ref="C26:O26" si="24">SUM(C24:C25)</f>
        <v>0</v>
      </c>
      <c r="D26" s="354">
        <f t="shared" si="24"/>
        <v>234.45514999999997</v>
      </c>
      <c r="E26" s="354">
        <f t="shared" ca="1" si="24"/>
        <v>1.1119999999999999</v>
      </c>
      <c r="F26" s="354">
        <f t="shared" ca="1" si="24"/>
        <v>27.004000000000001</v>
      </c>
      <c r="G26" s="354">
        <f t="shared" ca="1" si="24"/>
        <v>1894.0549999999998</v>
      </c>
      <c r="H26" s="354">
        <f t="shared" ca="1" si="24"/>
        <v>5903.3739999999998</v>
      </c>
      <c r="I26" s="354">
        <f t="shared" ca="1" si="24"/>
        <v>3253.1779999999999</v>
      </c>
      <c r="J26" s="354">
        <f t="shared" ca="1" si="24"/>
        <v>0</v>
      </c>
      <c r="K26" s="354">
        <f t="shared" ref="K26:N26" ca="1" si="25">SUM(K24:K25)</f>
        <v>0</v>
      </c>
      <c r="L26" s="354">
        <f t="shared" ca="1" si="25"/>
        <v>0</v>
      </c>
      <c r="M26" s="354">
        <f t="shared" ca="1" si="25"/>
        <v>0</v>
      </c>
      <c r="N26" s="354">
        <f t="shared" ca="1" si="25"/>
        <v>0</v>
      </c>
      <c r="O26" s="355">
        <f t="shared" ca="1" si="24"/>
        <v>11313.17815</v>
      </c>
    </row>
    <row r="27" spans="1:19" ht="15.75" thickBot="1" x14ac:dyDescent="0.3">
      <c r="B27" s="356"/>
      <c r="C27" s="357"/>
      <c r="D27" s="357"/>
      <c r="E27" s="348"/>
      <c r="F27" s="348"/>
      <c r="G27" s="348"/>
      <c r="H27" s="348"/>
      <c r="I27" s="348"/>
      <c r="J27" s="348"/>
      <c r="K27" s="348"/>
      <c r="L27" s="348"/>
      <c r="M27" s="348"/>
      <c r="N27" s="348"/>
      <c r="O27" s="348"/>
    </row>
    <row r="28" spans="1:19" ht="15.75" thickBot="1" x14ac:dyDescent="0.3">
      <c r="B28" s="360" t="s">
        <v>249</v>
      </c>
      <c r="C28" s="354">
        <f t="shared" ref="C28:O28" si="26">C21+C26</f>
        <v>0</v>
      </c>
      <c r="D28" s="354">
        <f t="shared" si="26"/>
        <v>375.89179000000001</v>
      </c>
      <c r="E28" s="354">
        <f t="shared" ca="1" si="26"/>
        <v>5.0289999999999999</v>
      </c>
      <c r="F28" s="354">
        <f t="shared" ca="1" si="26"/>
        <v>34.984000000000002</v>
      </c>
      <c r="G28" s="354">
        <f t="shared" ca="1" si="26"/>
        <v>14337.401959716546</v>
      </c>
      <c r="H28" s="354">
        <f t="shared" ca="1" si="26"/>
        <v>23439.681999482949</v>
      </c>
      <c r="I28" s="354">
        <f t="shared" ca="1" si="26"/>
        <v>7903.371192678168</v>
      </c>
      <c r="J28" s="354">
        <f t="shared" ca="1" si="26"/>
        <v>0</v>
      </c>
      <c r="K28" s="354">
        <f t="shared" ref="K28:N28" ca="1" si="27">K21+K26</f>
        <v>0</v>
      </c>
      <c r="L28" s="354">
        <f t="shared" ca="1" si="27"/>
        <v>0</v>
      </c>
      <c r="M28" s="354">
        <f t="shared" ca="1" si="27"/>
        <v>0</v>
      </c>
      <c r="N28" s="354">
        <f t="shared" ca="1" si="27"/>
        <v>0</v>
      </c>
      <c r="O28" s="354">
        <f t="shared" ca="1" si="26"/>
        <v>46096.359941877665</v>
      </c>
    </row>
    <row r="29" spans="1:19" ht="15.75" thickBot="1" x14ac:dyDescent="0.3">
      <c r="B29" s="356"/>
      <c r="C29" s="357"/>
      <c r="D29" s="357"/>
      <c r="E29" s="348"/>
      <c r="F29" s="348"/>
      <c r="G29" s="348"/>
      <c r="H29" s="348"/>
      <c r="I29" s="348"/>
      <c r="J29" s="348"/>
      <c r="K29" s="348"/>
      <c r="L29" s="348"/>
      <c r="M29" s="348"/>
      <c r="N29" s="348"/>
      <c r="O29" s="348"/>
    </row>
    <row r="30" spans="1:19" ht="15.75" thickBot="1" x14ac:dyDescent="0.3">
      <c r="A30">
        <v>8</v>
      </c>
      <c r="B30" s="360" t="s">
        <v>250</v>
      </c>
      <c r="C30" s="1228">
        <v>0</v>
      </c>
      <c r="D30" s="1228">
        <f>SUMIF('Detail Summary'!$B$305:$B$317,'PAF Summary (non WBS)'!$A30,'Detail Summary'!L$305:L$317)/1000</f>
        <v>0</v>
      </c>
      <c r="E30" s="1228">
        <f ca="1">SUMIF('Detail Summary'!$B$305:$B$317,'PAF Summary (non WBS)'!$A30,'Detail Summary'!O$305:O$317)/1000</f>
        <v>0</v>
      </c>
      <c r="F30" s="1228">
        <f ca="1">SUMIF('Detail Summary'!$B$305:$B$317,'PAF Summary (non WBS)'!$A30,'Detail Summary'!R$305:R$317)/1000</f>
        <v>0</v>
      </c>
      <c r="G30" s="1228">
        <f ca="1">SUMIF('Detail Summary'!$B$305:$B$317,'PAF Summary (non WBS)'!$A30,'Detail Summary'!U$305:U$317)/1000</f>
        <v>0</v>
      </c>
      <c r="H30" s="1228">
        <f ca="1">SUMIF('Detail Summary'!$B$305:$B$317,'PAF Summary (non WBS)'!$A30,'Detail Summary'!X$305:X$317)/1000</f>
        <v>0</v>
      </c>
      <c r="I30" s="1228">
        <f ca="1">SUMIF('Detail Summary'!$B$305:$B$317,'PAF Summary (non WBS)'!$A30,'Detail Summary'!AA$305:AA$317)/1000</f>
        <v>0</v>
      </c>
      <c r="J30" s="1228">
        <f ca="1">SUMIF('Detail Summary'!$B$305:$B$317,'PAF Summary (non WBS)'!$A30,'Detail Summary'!AD$305:AD$317)/1000</f>
        <v>0</v>
      </c>
      <c r="K30" s="1220">
        <f ca="1">SUMIF('Detail Summary'!$B$305:$B$317,'PAF Summary (non WBS)'!$A30,'Detail Summary'!AG$305:AG$317)/1000</f>
        <v>0</v>
      </c>
      <c r="L30" s="1220">
        <f ca="1">SUMIF('Detail Summary'!$B$305:$B$317,'PAF Summary (non WBS)'!$A30,'Detail Summary'!AJ$305:AJ$317)/1000</f>
        <v>0</v>
      </c>
      <c r="M30" s="1220">
        <f ca="1">SUMIF('Detail Summary'!$B$305:$B$317,'PAF Summary (non WBS)'!$A30,'Detail Summary'!AM$305:AM$317)/1000</f>
        <v>0</v>
      </c>
      <c r="N30" s="1220">
        <f ca="1">SUMIF('Detail Summary'!$B$305:$B$317,'PAF Summary (non WBS)'!$A30,'Detail Summary'!AP$305:AP$317)/1000</f>
        <v>0</v>
      </c>
      <c r="O30" s="1222">
        <f ca="1">SUM(D30:N30)</f>
        <v>0</v>
      </c>
      <c r="P30" s="1222"/>
      <c r="Q30" s="1222"/>
      <c r="R30" s="1222"/>
      <c r="S30" s="1222"/>
    </row>
    <row r="31" spans="1:19" ht="15.75" thickBot="1" x14ac:dyDescent="0.3">
      <c r="B31" s="356"/>
      <c r="C31" s="357"/>
      <c r="D31" s="357"/>
      <c r="E31" s="348"/>
      <c r="F31" s="348"/>
      <c r="G31" s="348"/>
      <c r="H31" s="348"/>
      <c r="I31" s="348"/>
      <c r="J31" s="348"/>
      <c r="K31" s="348"/>
      <c r="L31" s="348"/>
      <c r="M31" s="348"/>
      <c r="N31" s="348"/>
      <c r="O31" s="348"/>
      <c r="P31" s="361"/>
    </row>
    <row r="32" spans="1:19" ht="15.75" thickBot="1" x14ac:dyDescent="0.3">
      <c r="B32" s="362" t="s">
        <v>251</v>
      </c>
      <c r="C32" s="354">
        <f t="shared" ref="C32:O32" si="28">C28+C30</f>
        <v>0</v>
      </c>
      <c r="D32" s="354">
        <f t="shared" si="28"/>
        <v>375.89179000000001</v>
      </c>
      <c r="E32" s="354">
        <f t="shared" ca="1" si="28"/>
        <v>5.0289999999999999</v>
      </c>
      <c r="F32" s="354">
        <f t="shared" ca="1" si="28"/>
        <v>34.984000000000002</v>
      </c>
      <c r="G32" s="354">
        <f t="shared" ca="1" si="28"/>
        <v>14337.401959716546</v>
      </c>
      <c r="H32" s="354">
        <f t="shared" ca="1" si="28"/>
        <v>23439.681999482949</v>
      </c>
      <c r="I32" s="354">
        <f t="shared" ca="1" si="28"/>
        <v>7903.371192678168</v>
      </c>
      <c r="J32" s="354">
        <f t="shared" ca="1" si="28"/>
        <v>0</v>
      </c>
      <c r="K32" s="354">
        <f t="shared" ref="K32:N32" ca="1" si="29">K28+K30</f>
        <v>0</v>
      </c>
      <c r="L32" s="354">
        <f t="shared" ca="1" si="29"/>
        <v>0</v>
      </c>
      <c r="M32" s="354">
        <f t="shared" ca="1" si="29"/>
        <v>0</v>
      </c>
      <c r="N32" s="354">
        <f t="shared" ca="1" si="29"/>
        <v>0</v>
      </c>
      <c r="O32" s="354">
        <f t="shared" ca="1" si="28"/>
        <v>46096.359941877665</v>
      </c>
      <c r="P32" s="361"/>
    </row>
    <row r="33" spans="2:16" ht="15.75" thickBot="1" x14ac:dyDescent="0.3">
      <c r="B33" s="363"/>
      <c r="C33" s="357"/>
      <c r="D33" s="357"/>
      <c r="E33" s="364"/>
      <c r="F33" s="364"/>
      <c r="G33" s="364"/>
      <c r="H33" s="364"/>
      <c r="I33" s="364"/>
      <c r="J33" s="364"/>
      <c r="K33" s="364"/>
      <c r="L33" s="364"/>
      <c r="M33" s="364"/>
      <c r="N33" s="364"/>
      <c r="O33" s="364"/>
      <c r="P33" s="361"/>
    </row>
    <row r="34" spans="2:16" ht="15.75" thickBot="1" x14ac:dyDescent="0.3">
      <c r="B34" s="365" t="s">
        <v>252</v>
      </c>
      <c r="C34" s="366">
        <v>0</v>
      </c>
      <c r="D34" s="366">
        <v>0</v>
      </c>
      <c r="E34" s="354">
        <v>0</v>
      </c>
      <c r="F34" s="354">
        <v>0</v>
      </c>
      <c r="G34" s="354">
        <v>0</v>
      </c>
      <c r="H34" s="354">
        <v>0</v>
      </c>
      <c r="I34" s="354">
        <v>0</v>
      </c>
      <c r="J34" s="354">
        <v>0</v>
      </c>
      <c r="K34" s="354">
        <v>0</v>
      </c>
      <c r="L34" s="354">
        <v>0</v>
      </c>
      <c r="M34" s="354">
        <v>0</v>
      </c>
      <c r="N34" s="354">
        <v>0</v>
      </c>
      <c r="O34" s="367">
        <v>0</v>
      </c>
      <c r="P34" s="361"/>
    </row>
    <row r="35" spans="2:16" ht="15" x14ac:dyDescent="0.25">
      <c r="P35" s="361"/>
    </row>
    <row r="36" spans="2:16" ht="15" x14ac:dyDescent="0.25">
      <c r="B36" s="368"/>
      <c r="C36" s="248"/>
      <c r="D36" s="248"/>
      <c r="E36" s="248"/>
      <c r="F36" s="248"/>
      <c r="G36" s="248"/>
      <c r="H36" s="248"/>
      <c r="I36" s="248"/>
      <c r="J36" s="248"/>
      <c r="K36" s="248"/>
      <c r="L36" s="248"/>
      <c r="M36" s="248"/>
      <c r="N36" s="248"/>
      <c r="O36" s="248"/>
      <c r="P36" s="369"/>
    </row>
    <row r="37" spans="2:16" ht="15" x14ac:dyDescent="0.25">
      <c r="B37" s="368" t="s">
        <v>253</v>
      </c>
      <c r="P37" s="361"/>
    </row>
    <row r="38" spans="2:16" ht="15" x14ac:dyDescent="0.25">
      <c r="B38" s="370" t="s">
        <v>254</v>
      </c>
      <c r="C38" s="1101"/>
      <c r="D38" s="371">
        <f t="shared" ref="D38:J38" si="30">+D20-D39</f>
        <v>-63.168139999999994</v>
      </c>
      <c r="E38" s="371">
        <f t="shared" ca="1" si="30"/>
        <v>3.9169999999999998</v>
      </c>
      <c r="F38" s="371">
        <f t="shared" ca="1" si="30"/>
        <v>7.98</v>
      </c>
      <c r="G38" s="371">
        <f t="shared" ca="1" si="30"/>
        <v>1719.6513851165469</v>
      </c>
      <c r="H38" s="371">
        <f t="shared" ca="1" si="30"/>
        <v>2866.6695080165473</v>
      </c>
      <c r="I38" s="371">
        <f t="shared" ca="1" si="30"/>
        <v>1170.97344</v>
      </c>
      <c r="J38" s="371">
        <f t="shared" ca="1" si="30"/>
        <v>0</v>
      </c>
      <c r="K38" s="371">
        <f t="shared" ref="K38:N38" ca="1" si="31">+K20-K39</f>
        <v>0</v>
      </c>
      <c r="L38" s="371">
        <f t="shared" ca="1" si="31"/>
        <v>0</v>
      </c>
      <c r="M38" s="371">
        <f t="shared" ca="1" si="31"/>
        <v>0</v>
      </c>
      <c r="N38" s="371">
        <f t="shared" ca="1" si="31"/>
        <v>0</v>
      </c>
      <c r="O38" s="343">
        <f ca="1">SUM(D38:J38)</f>
        <v>5706.0231931330936</v>
      </c>
      <c r="P38" s="361"/>
    </row>
    <row r="39" spans="2:16" ht="15" x14ac:dyDescent="0.25">
      <c r="B39" s="370" t="s">
        <v>1360</v>
      </c>
      <c r="C39" s="1101"/>
      <c r="D39" s="343">
        <f>SUMIF('Detail Summary'!$E$217:$E$277,10,'Detail Summary'!L$217:L$277)/1000 +SUMIF('Detail Summary'!$E$217:$E$277,9,'Detail Summary'!L$217:L$277)/1000</f>
        <v>74.262149999999991</v>
      </c>
      <c r="E39" s="343">
        <f ca="1">SUMIF('Detail Summary'!$E$217:$E$277,10,'Detail Summary'!O$217:O$277)/1000+SUMIF('Detail Summary'!$E$217:$E$277,9,'Detail Summary'!O$217:O$277)/1000</f>
        <v>0</v>
      </c>
      <c r="F39" s="343">
        <f ca="1">SUMIF('Detail Summary'!$E$217:$E$277,10,'Detail Summary'!R$217:R$277)/1000+SUMIF('Detail Summary'!$E$217:$E$277,9,'Detail Summary'!R$217:R$277)/1000</f>
        <v>0</v>
      </c>
      <c r="G39" s="343">
        <f ca="1">SUMIF('Detail Summary'!$E$217:$E$277,10,'Detail Summary'!U$217:U$277)/1000+SUMIF('Detail Summary'!$E$217:$E$277,9,'Detail Summary'!U$217:U$277)/1000</f>
        <v>193.221</v>
      </c>
      <c r="H39" s="343">
        <f ca="1">SUMIF('Detail Summary'!$E$217:$E$277,10,'Detail Summary'!X$217:X$277)/1000+SUMIF('Detail Summary'!$E$217:$E$277,9,'Detail Summary'!X$217:X$277)/1000</f>
        <v>406.63600000000002</v>
      </c>
      <c r="I39" s="343">
        <f ca="1">SUMIF('Detail Summary'!$E$217:$E$277,10,'Detail Summary'!AA$217:AA$277)/1000+SUMIF('Detail Summary'!$E$217:$E$277,9,'Detail Summary'!AA$217:AA$277)/1000</f>
        <v>384.267</v>
      </c>
      <c r="J39" s="343">
        <f ca="1">SUMIF('Detail Summary'!$E$217:$E$277,10,'Detail Summary'!AD$217:AD$277)/1000+SUMIF('Detail Summary'!$E$217:$E$277,9,'Detail Summary'!AD$217:AD$277)/1000</f>
        <v>0</v>
      </c>
      <c r="K39" s="343">
        <f>SUMIF('Detail Summary'!$E$217:$E$277,10,'Detail Summary'!AE$217:AE$277)/1000+SUMIF('Detail Summary'!$E$217:$E$277,9,'Detail Summary'!AE$217:AE$277)/1000</f>
        <v>0</v>
      </c>
      <c r="L39" s="343">
        <f>SUMIF('Detail Summary'!$E$217:$E$277,10,'Detail Summary'!AF$217:AF$277)/1000+SUMIF('Detail Summary'!$E$217:$E$277,9,'Detail Summary'!AF$217:AF$277)/1000</f>
        <v>0</v>
      </c>
      <c r="M39" s="343">
        <f ca="1">SUMIF('Detail Summary'!$E$217:$E$277,10,'Detail Summary'!AG$217:AG$277)/1000+SUMIF('Detail Summary'!$E$217:$E$277,9,'Detail Summary'!AG$217:AG$277)/1000</f>
        <v>0</v>
      </c>
      <c r="N39" s="343">
        <f>SUMIF('Detail Summary'!$E$217:$E$277,10,'Detail Summary'!AH$217:AH$277)/1000+SUMIF('Detail Summary'!$E$217:$E$277,9,'Detail Summary'!AH$217:AH$277)/1000</f>
        <v>0</v>
      </c>
      <c r="O39" s="343">
        <f ca="1">SUM(D39:J39)</f>
        <v>1058.38615</v>
      </c>
      <c r="P39" s="361"/>
    </row>
  </sheetData>
  <sheetProtection algorithmName="SHA-512" hashValue="yBTpdJxQhn4LjY15USMd1XKR1xSMgHvdqvO71yZvb64p2JeCsq9qmmYfP8s/iOhYEfvb2/Qt8NeyYWCBYZryIA==" saltValue="1jZFk3jnRJJIW+eI1V1pEw==" spinCount="100000" sheet="1" scenarios="1" formatCells="0" formatColumns="0" formatRows="0" autoFilter="0"/>
  <pageMargins left="0.7" right="0.7" top="0.75" bottom="0.75" header="0.3" footer="0.3"/>
  <pageSetup scale="86" fitToHeight="0"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97D85-7811-46BD-BED3-4022E9E1EC71}">
  <sheetPr codeName="Sheet33">
    <tabColor rgb="FF0070C0"/>
    <pageSetUpPr fitToPage="1"/>
  </sheetPr>
  <dimension ref="A1:K41"/>
  <sheetViews>
    <sheetView showGridLines="0" showZeros="0" workbookViewId="0">
      <selection activeCell="F3" sqref="F3:F4"/>
    </sheetView>
  </sheetViews>
  <sheetFormatPr defaultColWidth="8.5703125" defaultRowHeight="13.35" customHeight="1" x14ac:dyDescent="0.25"/>
  <cols>
    <col min="1" max="1" width="4.5703125" customWidth="1"/>
    <col min="2" max="2" width="37.42578125" customWidth="1"/>
    <col min="3" max="4" width="12.5703125" customWidth="1"/>
    <col min="5" max="11" width="12.42578125" customWidth="1"/>
    <col min="12" max="12" width="8.5703125" customWidth="1"/>
  </cols>
  <sheetData>
    <row r="1" spans="1:11" ht="18.600000000000001" customHeight="1" x14ac:dyDescent="0.25">
      <c r="A1" s="1396"/>
      <c r="B1" s="1397" t="str">
        <f>+'Data Input sheet'!$B$5&amp;" "&amp;'Data Input sheet'!$C$5</f>
        <v>Project Number: 21334</v>
      </c>
      <c r="C1" s="1397"/>
      <c r="D1" s="1397" t="str">
        <f>+'Data Input sheet'!$B$7&amp;" "&amp;'Data Input sheet'!$C$7</f>
        <v>Project Title: Battery Storage - Hyde Park</v>
      </c>
      <c r="E1" s="1397"/>
      <c r="F1" s="1397"/>
      <c r="G1" s="1397"/>
      <c r="H1" s="1397"/>
      <c r="I1" s="1397"/>
      <c r="J1" s="1397"/>
      <c r="K1" s="1397"/>
    </row>
    <row r="2" spans="1:11" ht="15.75" thickBot="1" x14ac:dyDescent="0.3">
      <c r="A2" s="1396"/>
      <c r="B2" s="1397"/>
      <c r="C2" s="1397"/>
      <c r="D2" s="1397"/>
      <c r="E2" s="168" t="s">
        <v>220</v>
      </c>
      <c r="F2" s="1397"/>
      <c r="G2" s="1397"/>
      <c r="H2" s="1397"/>
      <c r="I2" s="1397"/>
      <c r="J2" s="1397" t="s">
        <v>2558</v>
      </c>
      <c r="K2" s="1397"/>
    </row>
    <row r="3" spans="1:11" ht="15.75" thickTop="1" x14ac:dyDescent="0.25">
      <c r="A3" s="1396"/>
      <c r="B3" s="1398"/>
      <c r="C3" s="1399"/>
      <c r="D3" s="1399"/>
      <c r="E3" s="1832">
        <f>+'Data Input sheet'!D65</f>
        <v>45292</v>
      </c>
      <c r="F3" s="2809">
        <f>+'Data Input sheet'!G65</f>
        <v>45658</v>
      </c>
      <c r="G3" s="2809">
        <f>+'Data Input sheet'!J65</f>
        <v>46023</v>
      </c>
      <c r="H3" s="2809">
        <f>+'Data Input sheet'!M65</f>
        <v>46388</v>
      </c>
      <c r="I3" s="2809">
        <f>+'Data Input sheet'!P65</f>
        <v>46753</v>
      </c>
      <c r="J3" s="2809">
        <f>+'Data Input sheet'!S65</f>
        <v>47119</v>
      </c>
      <c r="K3" s="2811" t="s">
        <v>216</v>
      </c>
    </row>
    <row r="4" spans="1:11" ht="30" customHeight="1" thickBot="1" x14ac:dyDescent="0.3">
      <c r="A4" s="1396"/>
      <c r="B4" s="1400" t="s">
        <v>255</v>
      </c>
      <c r="C4" s="1401" t="s">
        <v>221</v>
      </c>
      <c r="D4" s="1401" t="s">
        <v>215</v>
      </c>
      <c r="E4" s="1402" t="s">
        <v>256</v>
      </c>
      <c r="F4" s="2810"/>
      <c r="G4" s="2810"/>
      <c r="H4" s="2810"/>
      <c r="I4" s="2810"/>
      <c r="J4" s="2810"/>
      <c r="K4" s="2812"/>
    </row>
    <row r="5" spans="1:11" ht="16.5" thickTop="1" thickBot="1" x14ac:dyDescent="0.3">
      <c r="A5" s="1396">
        <v>1</v>
      </c>
      <c r="B5" s="1403" t="str">
        <f>+A5&amp;". "&amp;VLOOKUP(A5,Parameters!$D$159:$E$301,2)</f>
        <v>1. ROW / Easements / Land purchases</v>
      </c>
      <c r="C5" s="1859"/>
      <c r="D5" s="1859">
        <f ca="1">SUMIF('Detail Summary'!$E$217:$AS$277,$A5,'Detail Summary'!L$217:L$277)/1000</f>
        <v>0</v>
      </c>
      <c r="E5" s="1859">
        <f ca="1">SUMIF('Detail Summary'!$E$217:$AS$277,$A5,'Detail Summary'!O$217:O$277)/1000</f>
        <v>0</v>
      </c>
      <c r="F5" s="1859">
        <f ca="1">SUMIF('Detail Summary'!$E$217:$AS$277,$A5,'Detail Summary'!R$217:R$277)/1000</f>
        <v>0</v>
      </c>
      <c r="G5" s="1859">
        <f ca="1">SUMIF('Detail Summary'!$E$217:$AS$277,$A5,'Detail Summary'!U$217:U$277)/1000</f>
        <v>0</v>
      </c>
      <c r="H5" s="1859">
        <f ca="1">SUMIF('Detail Summary'!$E$217:$AS$277,$A5,'Detail Summary'!X$217:X$277)/1000</f>
        <v>0</v>
      </c>
      <c r="I5" s="1859">
        <f ca="1">SUMIF('Detail Summary'!$E$217:$AS$277,$A5,'Detail Summary'!AA$217:AA$277)/1000</f>
        <v>0</v>
      </c>
      <c r="J5" s="1859">
        <f ca="1">SUMIF('Detail Summary'!$E$217:$AS$277,$A5,'Detail Summary'!AD$217:AD$277)/1000+SUMIF('Detail Summary'!$E$217:$AS$277,$A5,'Detail Summary'!AG$217:AG$277)/1000+SUMIF('Detail Summary'!$E$217:$AS$277,$A5,'Detail Summary'!AJ$217:AJ$277)/1000+SUMIF('Detail Summary'!$E$217:$AS$277,$A5,'Detail Summary'!AM$217:AM$277)/1000+SUMIF('Detail Summary'!$E$217:$AS$277,$A5,'Detail Summary'!AP$217:AP$277)/1000</f>
        <v>0</v>
      </c>
      <c r="K5" s="1859">
        <f ca="1">SUM(D5:J5)</f>
        <v>0</v>
      </c>
    </row>
    <row r="6" spans="1:11" ht="15.75" thickBot="1" x14ac:dyDescent="0.3">
      <c r="A6" s="1396">
        <v>2</v>
      </c>
      <c r="B6" s="1403" t="str">
        <f>+A6&amp;". "&amp;VLOOKUP(A6,Parameters!$D$159:$E$301,2)</f>
        <v>2. Environmental Approvals / Permits</v>
      </c>
      <c r="C6" s="1859"/>
      <c r="D6" s="1859">
        <f ca="1">SUMIF('Detail Summary'!$E$217:$AS$277,$A6,'Detail Summary'!L$217:L$277)/1000</f>
        <v>5.0600500000000004</v>
      </c>
      <c r="E6" s="1859">
        <f ca="1">SUMIF('Detail Summary'!$E$217:$AS$277,$A6,'Detail Summary'!O$217:O$277)/1000</f>
        <v>0</v>
      </c>
      <c r="F6" s="1859">
        <f ca="1">SUMIF('Detail Summary'!$E$217:$AS$277,$A6,'Detail Summary'!R$217:R$277)/1000</f>
        <v>0</v>
      </c>
      <c r="G6" s="1859">
        <f ca="1">SUMIF('Detail Summary'!$E$217:$AS$277,$A6,'Detail Summary'!U$217:U$277)/1000</f>
        <v>77.721000000000004</v>
      </c>
      <c r="H6" s="1859">
        <f ca="1">SUMIF('Detail Summary'!$E$217:$AS$277,$A6,'Detail Summary'!X$217:X$277)/1000</f>
        <v>160.10599999999999</v>
      </c>
      <c r="I6" s="1859">
        <f ca="1">SUMIF('Detail Summary'!$E$217:$AS$277,$A6,'Detail Summary'!AA$217:AA$277)/1000</f>
        <v>82.453999999999994</v>
      </c>
      <c r="J6" s="1859">
        <f ca="1">SUMIF('Detail Summary'!$E$217:$AS$277,$A6,'Detail Summary'!AD$217:AD$277)/1000+SUMIF('Detail Summary'!$E$217:$AS$277,$A6,'Detail Summary'!AG$217:AG$277)/1000+SUMIF('Detail Summary'!$E$217:$AS$277,$A6,'Detail Summary'!AJ$217:AJ$277)/1000+SUMIF('Detail Summary'!$E$217:$AS$277,$A6,'Detail Summary'!AM$217:AM$277)/1000+SUMIF('Detail Summary'!$E$217:$AS$277,$A6,'Detail Summary'!AP$217:AP$277)/1000</f>
        <v>0</v>
      </c>
      <c r="K6" s="1859">
        <f t="shared" ref="K6:K15" ca="1" si="0">SUM(D6:J6)</f>
        <v>325.34105</v>
      </c>
    </row>
    <row r="7" spans="1:11" ht="15.75" thickBot="1" x14ac:dyDescent="0.3">
      <c r="A7" s="1396">
        <v>3</v>
      </c>
      <c r="B7" s="1403" t="str">
        <f>+A7&amp;". "&amp;VLOOKUP(A7,Parameters!$D$159:$E$301,2)</f>
        <v>3. Outreach</v>
      </c>
      <c r="C7" s="1859"/>
      <c r="D7" s="1859">
        <f ca="1">SUMIF('Detail Summary'!$E$217:$AS$277,$A7,'Detail Summary'!L$217:L$277)/1000</f>
        <v>10.968120000000001</v>
      </c>
      <c r="E7" s="1859">
        <f ca="1">SUMIF('Detail Summary'!$E$217:$AS$277,$A7,'Detail Summary'!O$217:O$277)/1000</f>
        <v>0</v>
      </c>
      <c r="F7" s="1859">
        <f ca="1">SUMIF('Detail Summary'!$E$217:$AS$277,$A7,'Detail Summary'!R$217:R$277)/1000</f>
        <v>0</v>
      </c>
      <c r="G7" s="1859">
        <f ca="1">SUMIF('Detail Summary'!$E$217:$AS$277,$A7,'Detail Summary'!U$217:U$277)/1000</f>
        <v>123.792</v>
      </c>
      <c r="H7" s="1859">
        <f ca="1">SUMIF('Detail Summary'!$E$217:$AS$277,$A7,'Detail Summary'!X$217:X$277)/1000</f>
        <v>164.22900000000001</v>
      </c>
      <c r="I7" s="1859">
        <f ca="1">SUMIF('Detail Summary'!$E$217:$AS$277,$A7,'Detail Summary'!AA$217:AA$277)/1000</f>
        <v>30.946999999999999</v>
      </c>
      <c r="J7" s="1859">
        <f ca="1">SUMIF('Detail Summary'!$E$217:$AS$277,$A7,'Detail Summary'!AD$217:AD$277)/1000+SUMIF('Detail Summary'!$E$217:$AS$277,$A7,'Detail Summary'!AG$217:AG$277)/1000+SUMIF('Detail Summary'!$E$217:$AS$277,$A7,'Detail Summary'!AJ$217:AJ$277)/1000+SUMIF('Detail Summary'!$E$217:$AS$277,$A7,'Detail Summary'!AM$217:AM$277)/1000+SUMIF('Detail Summary'!$E$217:$AS$277,$A7,'Detail Summary'!AP$217:AP$277)/1000</f>
        <v>0</v>
      </c>
      <c r="K7" s="1859">
        <f t="shared" ca="1" si="0"/>
        <v>329.93612000000002</v>
      </c>
    </row>
    <row r="8" spans="1:11" ht="15.75" thickBot="1" x14ac:dyDescent="0.3">
      <c r="A8" s="1396">
        <v>4</v>
      </c>
      <c r="B8" s="1403" t="str">
        <f>+A8&amp;". "&amp;VLOOKUP(A8,Parameters!$D$159:$E$301,2)</f>
        <v>4. Siting Approvals / Permits</v>
      </c>
      <c r="C8" s="1859"/>
      <c r="D8" s="1859">
        <f ca="1">SUMIF('Detail Summary'!$E$217:$AS$277,$A8,'Detail Summary'!L$217:L$277)/1000</f>
        <v>10.307</v>
      </c>
      <c r="E8" s="1859">
        <f ca="1">SUMIF('Detail Summary'!$E$217:$AS$277,$A8,'Detail Summary'!O$217:O$277)/1000</f>
        <v>0</v>
      </c>
      <c r="F8" s="1859">
        <f ca="1">SUMIF('Detail Summary'!$E$217:$AS$277,$A8,'Detail Summary'!R$217:R$277)/1000</f>
        <v>0</v>
      </c>
      <c r="G8" s="1859">
        <f ca="1">SUMIF('Detail Summary'!$E$217:$AS$277,$A8,'Detail Summary'!U$217:U$277)/1000</f>
        <v>113.459</v>
      </c>
      <c r="H8" s="1859">
        <f ca="1">SUMIF('Detail Summary'!$E$217:$AS$277,$A8,'Detail Summary'!X$217:X$277)/1000</f>
        <v>150.60599999999999</v>
      </c>
      <c r="I8" s="1859">
        <f ca="1">SUMIF('Detail Summary'!$E$217:$AS$277,$A8,'Detail Summary'!AA$217:AA$277)/1000</f>
        <v>28.266999999999999</v>
      </c>
      <c r="J8" s="1859">
        <f ca="1">SUMIF('Detail Summary'!$E$217:$AS$277,$A8,'Detail Summary'!AD$217:AD$277)/1000+SUMIF('Detail Summary'!$E$217:$AS$277,$A8,'Detail Summary'!AG$217:AG$277)/1000+SUMIF('Detail Summary'!$E$217:$AS$277,$A8,'Detail Summary'!AJ$217:AJ$277)/1000+SUMIF('Detail Summary'!$E$217:$AS$277,$A8,'Detail Summary'!AM$217:AM$277)/1000+SUMIF('Detail Summary'!$E$217:$AS$277,$A8,'Detail Summary'!AP$217:AP$277)/1000</f>
        <v>0</v>
      </c>
      <c r="K8" s="1859">
        <f t="shared" ca="1" si="0"/>
        <v>302.63900000000001</v>
      </c>
    </row>
    <row r="9" spans="1:11" ht="15.75" thickBot="1" x14ac:dyDescent="0.3">
      <c r="A9" s="1396">
        <v>5</v>
      </c>
      <c r="B9" s="1403" t="str">
        <f>+A9&amp;". "&amp;VLOOKUP(A9,Parameters!$D$159:$E$301,2)</f>
        <v>5. Engineering / Design</v>
      </c>
      <c r="C9" s="1859"/>
      <c r="D9" s="1859">
        <f ca="1">SUMIF('Detail Summary'!$E$217:$AS$277,$A9,'Detail Summary'!L$217:L$277)/1000</f>
        <v>16.424059999999997</v>
      </c>
      <c r="E9" s="1859">
        <f ca="1">SUMIF('Detail Summary'!$E$217:$AS$277,$A9,'Detail Summary'!O$217:O$277)/1000</f>
        <v>0</v>
      </c>
      <c r="F9" s="1859">
        <f ca="1">SUMIF('Detail Summary'!$E$217:$AS$277,$A9,'Detail Summary'!R$217:R$277)/1000</f>
        <v>0</v>
      </c>
      <c r="G9" s="1859">
        <f ca="1">SUMIF('Detail Summary'!$E$217:$AS$277,$A9,'Detail Summary'!U$217:U$277)/1000</f>
        <v>393.71</v>
      </c>
      <c r="H9" s="1859">
        <f ca="1">SUMIF('Detail Summary'!$E$217:$AS$277,$A9,'Detail Summary'!X$217:X$277)/1000</f>
        <v>383.976</v>
      </c>
      <c r="I9" s="1859">
        <f ca="1">SUMIF('Detail Summary'!$E$217:$AS$277,$A9,'Detail Summary'!AA$217:AA$277)/1000</f>
        <v>37.881999999999998</v>
      </c>
      <c r="J9" s="1859">
        <f ca="1">SUMIF('Detail Summary'!$E$217:$AS$277,$A9,'Detail Summary'!AD$217:AD$277)/1000+SUMIF('Detail Summary'!$E$217:$AS$277,$A9,'Detail Summary'!AG$217:AG$277)/1000+SUMIF('Detail Summary'!$E$217:$AS$277,$A9,'Detail Summary'!AJ$217:AJ$277)/1000+SUMIF('Detail Summary'!$E$217:$AS$277,$A9,'Detail Summary'!AM$217:AM$277)/1000+SUMIF('Detail Summary'!$E$217:$AS$277,$A9,'Detail Summary'!AP$217:AP$277)/1000</f>
        <v>0</v>
      </c>
      <c r="K9" s="1859">
        <f t="shared" ca="1" si="0"/>
        <v>831.99205999999992</v>
      </c>
    </row>
    <row r="10" spans="1:11" ht="15.75" thickBot="1" x14ac:dyDescent="0.3">
      <c r="A10" s="1396">
        <v>6</v>
      </c>
      <c r="B10" s="1403" t="str">
        <f>+A10&amp;". "&amp;VLOOKUP(A10,Parameters!$D$159:$E$301,2)</f>
        <v>6. Materials ( Eversource purchased)</v>
      </c>
      <c r="C10" s="1859"/>
      <c r="D10" s="1859">
        <f ca="1">SUMIF('Detail Summary'!$E$217:$AS$277,$A10,'Detail Summary'!L$217:L$277)/1000</f>
        <v>2.3580000000000001</v>
      </c>
      <c r="E10" s="1859">
        <f ca="1">SUMIF('Detail Summary'!$E$217:$AS$277,$A10,'Detail Summary'!O$217:O$277)/1000</f>
        <v>0</v>
      </c>
      <c r="F10" s="1859">
        <f ca="1">SUMIF('Detail Summary'!$E$217:$AS$277,$A10,'Detail Summary'!R$217:R$277)/1000</f>
        <v>0</v>
      </c>
      <c r="G10" s="1859">
        <f ca="1">SUMIF('Detail Summary'!$E$217:$AS$277,$A10,'Detail Summary'!U$217:U$277)/1000</f>
        <v>9639.1718996</v>
      </c>
      <c r="H10" s="1859">
        <f ca="1">SUMIF('Detail Summary'!$E$217:$AS$277,$A10,'Detail Summary'!X$217:X$277)/1000</f>
        <v>9928.3470565879998</v>
      </c>
      <c r="I10" s="1859">
        <f ca="1">SUMIF('Detail Summary'!$E$217:$AS$277,$A10,'Detail Summary'!AA$217:AA$277)/1000</f>
        <v>0</v>
      </c>
      <c r="J10" s="1859">
        <f ca="1">SUMIF('Detail Summary'!$E$217:$AS$277,$A10,'Detail Summary'!AD$217:AD$277)/1000+SUMIF('Detail Summary'!$E$217:$AS$277,$A10,'Detail Summary'!AG$217:AG$277)/1000+SUMIF('Detail Summary'!$E$217:$AS$277,$A10,'Detail Summary'!AJ$217:AJ$277)/1000+SUMIF('Detail Summary'!$E$217:$AS$277,$A10,'Detail Summary'!AM$217:AM$277)/1000+SUMIF('Detail Summary'!$E$217:$AS$277,$A10,'Detail Summary'!AP$217:AP$277)/1000</f>
        <v>0</v>
      </c>
      <c r="K10" s="1859">
        <f t="shared" ca="1" si="0"/>
        <v>19569.876956188</v>
      </c>
    </row>
    <row r="11" spans="1:11" ht="29.25" thickBot="1" x14ac:dyDescent="0.3">
      <c r="A11" s="1396">
        <v>7</v>
      </c>
      <c r="B11" s="1403" t="str">
        <f>+A11&amp;". "&amp;VLOOKUP(A11,Parameters!$D$159:$E$301,2)</f>
        <v>7. Construction  ( incl materials by contractors)</v>
      </c>
      <c r="C11" s="1859"/>
      <c r="D11" s="1859">
        <f ca="1">SUMIF('Detail Summary'!$E$217:$AS$277,$A11,'Detail Summary'!L$217:L$277)/1000</f>
        <v>10.96325</v>
      </c>
      <c r="E11" s="1859">
        <f ca="1">SUMIF('Detail Summary'!$E$217:$AS$277,$A11,'Detail Summary'!O$217:O$277)/1000</f>
        <v>0</v>
      </c>
      <c r="F11" s="1859">
        <f ca="1">SUMIF('Detail Summary'!$E$217:$AS$277,$A11,'Detail Summary'!R$217:R$277)/1000</f>
        <v>0</v>
      </c>
      <c r="G11" s="1859">
        <f ca="1">SUMIF('Detail Summary'!$E$217:$AS$277,$A11,'Detail Summary'!U$217:U$277)/1000</f>
        <v>0.79567499999999991</v>
      </c>
      <c r="H11" s="1859">
        <f ca="1">SUMIF('Detail Summary'!$E$217:$AS$277,$A11,'Detail Summary'!X$217:X$277)/1000</f>
        <v>2771.3184348784007</v>
      </c>
      <c r="I11" s="1859">
        <f ca="1">SUMIF('Detail Summary'!$E$217:$AS$277,$A11,'Detail Summary'!AA$217:AA$277)/1000</f>
        <v>1788.7037526781683</v>
      </c>
      <c r="J11" s="1859">
        <f ca="1">SUMIF('Detail Summary'!$E$217:$AS$277,$A11,'Detail Summary'!AD$217:AD$277)/1000+SUMIF('Detail Summary'!$E$217:$AS$277,$A11,'Detail Summary'!AG$217:AG$277)/1000+SUMIF('Detail Summary'!$E$217:$AS$277,$A11,'Detail Summary'!AJ$217:AJ$277)/1000+SUMIF('Detail Summary'!$E$217:$AS$277,$A11,'Detail Summary'!AM$217:AM$277)/1000+SUMIF('Detail Summary'!$E$217:$AS$277,$A11,'Detail Summary'!AP$217:AP$277)/1000</f>
        <v>0</v>
      </c>
      <c r="K11" s="1859">
        <f t="shared" ca="1" si="0"/>
        <v>4571.7811125565695</v>
      </c>
    </row>
    <row r="12" spans="1:11" ht="15.75" thickBot="1" x14ac:dyDescent="0.3">
      <c r="A12" s="1396">
        <v>8</v>
      </c>
      <c r="B12" s="1403" t="str">
        <f>+A12&amp;". "&amp;VLOOKUP(A12,Parameters!$D$159:$E$301,2)</f>
        <v>8. Testing / Commissioning</v>
      </c>
      <c r="C12" s="1859"/>
      <c r="D12" s="1859">
        <f ca="1">SUMIF('Detail Summary'!$E$217:$AS$277,$A12,'Detail Summary'!L$217:L$277)/1000</f>
        <v>0</v>
      </c>
      <c r="E12" s="1859">
        <f ca="1">SUMIF('Detail Summary'!$E$217:$AS$277,$A12,'Detail Summary'!O$217:O$277)/1000</f>
        <v>0</v>
      </c>
      <c r="F12" s="1859">
        <f ca="1">SUMIF('Detail Summary'!$E$217:$AS$277,$A12,'Detail Summary'!R$217:R$277)/1000</f>
        <v>0</v>
      </c>
      <c r="G12" s="1859">
        <f ca="1">SUMIF('Detail Summary'!$E$217:$AS$277,$A12,'Detail Summary'!U$217:U$277)/1000</f>
        <v>0</v>
      </c>
      <c r="H12" s="1859">
        <f ca="1">SUMIF('Detail Summary'!$E$217:$AS$277,$A12,'Detail Summary'!X$217:X$277)/1000</f>
        <v>311.50200000000001</v>
      </c>
      <c r="I12" s="1859">
        <f ca="1">SUMIF('Detail Summary'!$E$217:$AS$277,$A12,'Detail Summary'!AA$217:AA$277)/1000</f>
        <v>752.33199999999999</v>
      </c>
      <c r="J12" s="1859">
        <f ca="1">SUMIF('Detail Summary'!$E$217:$AS$277,$A12,'Detail Summary'!AD$217:AD$277)/1000+SUMIF('Detail Summary'!$E$217:$AS$277,$A12,'Detail Summary'!AG$217:AG$277)/1000+SUMIF('Detail Summary'!$E$217:$AS$277,$A12,'Detail Summary'!AJ$217:AJ$277)/1000+SUMIF('Detail Summary'!$E$217:$AS$277,$A12,'Detail Summary'!AM$217:AM$277)/1000+SUMIF('Detail Summary'!$E$217:$AS$277,$A12,'Detail Summary'!AP$217:AP$277)/1000</f>
        <v>0</v>
      </c>
      <c r="K12" s="1859">
        <f t="shared" ca="1" si="0"/>
        <v>1063.8340000000001</v>
      </c>
    </row>
    <row r="13" spans="1:11" ht="15.75" thickBot="1" x14ac:dyDescent="0.3">
      <c r="A13" s="1396">
        <v>9</v>
      </c>
      <c r="B13" s="1403" t="str">
        <f>+A13&amp;". "&amp;VLOOKUP(A13,Parameters!$D$159:$E$301,2)</f>
        <v>9. PMT Project Mgmt Team</v>
      </c>
      <c r="C13" s="1859"/>
      <c r="D13" s="1859">
        <f ca="1">SUMIF('Detail Summary'!$E$217:$AS$277,$A13,'Detail Summary'!L$217:L$277)/1000</f>
        <v>74.262149999999991</v>
      </c>
      <c r="E13" s="1859">
        <f ca="1">SUMIF('Detail Summary'!$E$217:$AS$277,$A13,'Detail Summary'!O$217:O$277)/1000</f>
        <v>0</v>
      </c>
      <c r="F13" s="1859">
        <f ca="1">SUMIF('Detail Summary'!$E$217:$AS$277,$A13,'Detail Summary'!R$217:R$277)/1000</f>
        <v>0</v>
      </c>
      <c r="G13" s="1859">
        <f ca="1">SUMIF('Detail Summary'!$E$217:$AS$277,$A13,'Detail Summary'!U$217:U$277)/1000</f>
        <v>193.221</v>
      </c>
      <c r="H13" s="1859">
        <f ca="1">SUMIF('Detail Summary'!$E$217:$AS$277,$A13,'Detail Summary'!X$217:X$277)/1000</f>
        <v>406.63600000000002</v>
      </c>
      <c r="I13" s="1859">
        <f ca="1">SUMIF('Detail Summary'!$E$217:$AS$277,$A13,'Detail Summary'!AA$217:AA$277)/1000</f>
        <v>384.267</v>
      </c>
      <c r="J13" s="1859">
        <f ca="1">SUMIF('Detail Summary'!$E$217:$AS$277,$A13,'Detail Summary'!AD$217:AD$277)/1000+SUMIF('Detail Summary'!$E$217:$AS$277,$A13,'Detail Summary'!AG$217:AG$277)/1000+SUMIF('Detail Summary'!$E$217:$AS$277,$A13,'Detail Summary'!AJ$217:AJ$277)/1000+SUMIF('Detail Summary'!$E$217:$AS$277,$A13,'Detail Summary'!AM$217:AM$277)/1000+SUMIF('Detail Summary'!$E$217:$AS$277,$A13,'Detail Summary'!AP$217:AP$277)/1000</f>
        <v>0</v>
      </c>
      <c r="K13" s="1859">
        <f t="shared" ca="1" si="0"/>
        <v>1058.38615</v>
      </c>
    </row>
    <row r="14" spans="1:11" ht="15.75" thickBot="1" x14ac:dyDescent="0.3">
      <c r="A14" s="1396">
        <v>10</v>
      </c>
      <c r="B14" s="1403" t="str">
        <f>+A14&amp;". "&amp;VLOOKUP(A14,Parameters!$D$159:$E$301,2)</f>
        <v>10. Removals</v>
      </c>
      <c r="C14" s="1859"/>
      <c r="D14" s="1859">
        <f ca="1">SUMIF('Detail Summary'!$E$217:$AS$277,$A14,'Detail Summary'!L$217:L$277)/1000</f>
        <v>0</v>
      </c>
      <c r="E14" s="1859">
        <f ca="1">SUMIF('Detail Summary'!$E$217:$AS$277,$A14,'Detail Summary'!O$217:O$277)/1000</f>
        <v>0</v>
      </c>
      <c r="F14" s="1859">
        <f ca="1">SUMIF('Detail Summary'!$E$217:$AS$277,$A14,'Detail Summary'!R$217:R$277)/1000</f>
        <v>0</v>
      </c>
      <c r="G14" s="1859">
        <f ca="1">SUMIF('Detail Summary'!$E$217:$AS$277,$A14,'Detail Summary'!U$217:U$277)/1000</f>
        <v>0</v>
      </c>
      <c r="H14" s="1859">
        <f ca="1">SUMIF('Detail Summary'!$E$217:$AS$277,$A14,'Detail Summary'!X$217:X$277)/1000</f>
        <v>0</v>
      </c>
      <c r="I14" s="1859">
        <f ca="1">SUMIF('Detail Summary'!$E$217:$AS$277,$A14,'Detail Summary'!AA$217:AA$277)/1000</f>
        <v>0</v>
      </c>
      <c r="J14" s="1859">
        <f ca="1">SUMIF('Detail Summary'!$E$217:$AS$277,$A14,'Detail Summary'!AD$217:AD$277)/1000+SUMIF('Detail Summary'!$E$217:$AS$277,$A14,'Detail Summary'!AG$217:AG$277)/1000+SUMIF('Detail Summary'!$E$217:$AS$277,$A14,'Detail Summary'!AJ$217:AJ$277)/1000+SUMIF('Detail Summary'!$E$217:$AS$277,$A14,'Detail Summary'!AM$217:AM$277)/1000+SUMIF('Detail Summary'!$E$217:$AS$277,$A14,'Detail Summary'!AP$217:AP$277)/1000</f>
        <v>0</v>
      </c>
      <c r="K14" s="1859">
        <f t="shared" ca="1" si="0"/>
        <v>0</v>
      </c>
    </row>
    <row r="15" spans="1:11" ht="15.75" thickBot="1" x14ac:dyDescent="0.3">
      <c r="A15" s="1396">
        <v>11</v>
      </c>
      <c r="B15" s="1403" t="str">
        <f>+A15&amp;". "&amp;VLOOKUP(A15,Parameters!$D$159:$E$301,2)</f>
        <v>11. Other ( property taxes and BAR)</v>
      </c>
      <c r="C15" s="1859"/>
      <c r="D15" s="1859">
        <f ca="1">SUMIF('Detail Summary'!$E$217:$AS$277,$A15,'Detail Summary'!L$217:L$277)/1000</f>
        <v>11.094010000000001</v>
      </c>
      <c r="E15" s="1859">
        <f ca="1">SUMIF('Detail Summary'!$E$217:$AS$277,$A15,'Detail Summary'!O$217:O$277)/1000</f>
        <v>3.9169999999999998</v>
      </c>
      <c r="F15" s="1859">
        <f ca="1">SUMIF('Detail Summary'!$E$217:$AS$277,$A15,'Detail Summary'!R$217:R$277)/1000</f>
        <v>7.98</v>
      </c>
      <c r="G15" s="1859">
        <f ca="1">SUMIF('Detail Summary'!$E$217:$AS$277,$A15,'Detail Summary'!U$217:U$277)/1000</f>
        <v>225.607</v>
      </c>
      <c r="H15" s="1859">
        <f ca="1">SUMIF('Detail Summary'!$E$217:$AS$277,$A15,'Detail Summary'!X$217:X$277)/1000</f>
        <v>667.27200000000005</v>
      </c>
      <c r="I15" s="1859">
        <f ca="1">SUMIF('Detail Summary'!$E$217:$AS$277,$A15,'Detail Summary'!AA$217:AA$277)/1000</f>
        <v>21.734000000000002</v>
      </c>
      <c r="J15" s="1859">
        <f ca="1">SUMIF('Detail Summary'!$E$217:$AS$277,$A15,'Detail Summary'!AD$217:AD$277)/1000+SUMIF('Detail Summary'!$E$217:$AS$277,$A15,'Detail Summary'!AG$217:AG$277)/1000+SUMIF('Detail Summary'!$E$217:$AS$277,$A15,'Detail Summary'!AJ$217:AJ$277)/1000+SUMIF('Detail Summary'!$E$217:$AS$277,$A15,'Detail Summary'!AM$217:AM$277)/1000+SUMIF('Detail Summary'!$E$217:$AS$277,$A15,'Detail Summary'!AP$217:AP$277)/1000</f>
        <v>0</v>
      </c>
      <c r="K15" s="1859">
        <f t="shared" ca="1" si="0"/>
        <v>937.60401000000013</v>
      </c>
    </row>
    <row r="16" spans="1:11" ht="15.75" thickBot="1" x14ac:dyDescent="0.3">
      <c r="A16" s="1396">
        <v>12</v>
      </c>
      <c r="B16" s="1403" t="str">
        <f>+A16&amp;". "&amp;VLOOKUP(A16,Parameters!$D$159:$E$301,2)</f>
        <v>12. Risks</v>
      </c>
      <c r="C16" s="1859"/>
      <c r="D16" s="1859">
        <f ca="1">SUMIF('Detail Summary'!$E$217:$AS$277,$A16,'Detail Summary'!L$217:L$277)/1000</f>
        <v>0</v>
      </c>
      <c r="E16" s="1859">
        <f ca="1">SUMIF('Detail Summary'!$E$217:$AS$277,$A16,'Detail Summary'!O$217:O$277)/1000</f>
        <v>0</v>
      </c>
      <c r="F16" s="1859">
        <f ca="1">SUMIF('Detail Summary'!$E$217:$AS$277,$A16,'Detail Summary'!R$217:R$277)/1000</f>
        <v>0</v>
      </c>
      <c r="G16" s="1859">
        <f ca="1">SUMIF('Detail Summary'!$E$217:$AS$277,$A16,'Detail Summary'!U$217:U$277)/1000</f>
        <v>900</v>
      </c>
      <c r="H16" s="1859">
        <f ca="1">SUMIF('Detail Summary'!$E$217:$AS$277,$A16,'Detail Summary'!X$217:X$277)/1000</f>
        <v>1650</v>
      </c>
      <c r="I16" s="1859">
        <f ca="1">SUMIF('Detail Summary'!$E$217:$AS$277,$A16,'Detail Summary'!AA$217:AA$277)/1000</f>
        <v>1400</v>
      </c>
      <c r="J16" s="1859">
        <f ca="1">SUMIF('Detail Summary'!$E$217:$AS$277,$A16,'Detail Summary'!AD$217:AD$277)/1000+SUMIF('Detail Summary'!$E$217:$AS$277,$A16,'Detail Summary'!AG$217:AG$277)/1000+SUMIF('Detail Summary'!$E$217:$AS$277,$A16,'Detail Summary'!AJ$217:AJ$277)/1000+SUMIF('Detail Summary'!$E$217:$AS$277,$A16,'Detail Summary'!AM$217:AM$277)/1000+SUMIF('Detail Summary'!$E$217:$AS$277,$A16,'Detail Summary'!AP$217:AP$277)/1000</f>
        <v>0</v>
      </c>
      <c r="K16" s="1859">
        <f t="shared" ref="K16" ca="1" si="1">SUM(D16:J16)</f>
        <v>3950</v>
      </c>
    </row>
    <row r="17" spans="1:11" ht="15.75" thickBot="1" x14ac:dyDescent="0.3">
      <c r="A17" s="1396"/>
      <c r="B17" s="1405" t="s">
        <v>1496</v>
      </c>
      <c r="C17" s="1860">
        <f t="shared" ref="C17" si="2">SUM(C5:C16)</f>
        <v>0</v>
      </c>
      <c r="D17" s="1860">
        <f ca="1">SUM(D5:D16)</f>
        <v>141.43663999999998</v>
      </c>
      <c r="E17" s="1860">
        <f t="shared" ref="E17:K17" ca="1" si="3">SUM(E5:E16)</f>
        <v>3.9169999999999998</v>
      </c>
      <c r="F17" s="1860">
        <f t="shared" ca="1" si="3"/>
        <v>7.98</v>
      </c>
      <c r="G17" s="1860">
        <f t="shared" ca="1" si="3"/>
        <v>11667.4775746</v>
      </c>
      <c r="H17" s="1860">
        <f t="shared" ca="1" si="3"/>
        <v>16593.992491466401</v>
      </c>
      <c r="I17" s="1860">
        <f t="shared" ca="1" si="3"/>
        <v>4526.5867526781676</v>
      </c>
      <c r="J17" s="1860">
        <f t="shared" ca="1" si="3"/>
        <v>0</v>
      </c>
      <c r="K17" s="1860">
        <f t="shared" ca="1" si="3"/>
        <v>32941.390458744565</v>
      </c>
    </row>
    <row r="18" spans="1:11" ht="16.5" thickTop="1" thickBot="1" x14ac:dyDescent="0.3">
      <c r="A18" s="1396">
        <v>13</v>
      </c>
      <c r="B18" s="1403" t="str">
        <f>+A18&amp;". "&amp;VLOOKUP(A18,Parameters!$D$159:$E$301,2)</f>
        <v>13. Indirects/Overhead</v>
      </c>
      <c r="C18" s="1859"/>
      <c r="D18" s="1859">
        <f ca="1">SUMIF('Detail Summary'!$E$217:$AS$277,$A18,'Detail Summary'!L$217:L$277)/1000</f>
        <v>209.08080999999999</v>
      </c>
      <c r="E18" s="1859">
        <f ca="1">SUMIF('Detail Summary'!$E$217:$AS$277,$A18,'Detail Summary'!O$217:O$277)/1000</f>
        <v>3.5000000000000003E-2</v>
      </c>
      <c r="F18" s="1859">
        <f ca="1">SUMIF('Detail Summary'!$E$217:$AS$277,$A18,'Detail Summary'!R$217:R$277)/1000</f>
        <v>7.0999999999999994E-2</v>
      </c>
      <c r="G18" s="1859">
        <f ca="1">SUMIF('Detail Summary'!$E$217:$AS$277,$A18,'Detail Summary'!U$217:U$277)/1000</f>
        <v>1433.3589999999999</v>
      </c>
      <c r="H18" s="1859">
        <f ca="1">SUMIF('Detail Summary'!$E$217:$AS$277,$A18,'Detail Summary'!X$217:X$277)/1000</f>
        <v>4242.4740000000002</v>
      </c>
      <c r="I18" s="1859">
        <f ca="1">SUMIF('Detail Summary'!$E$217:$AS$277,$A18,'Detail Summary'!AA$217:AA$277)/1000</f>
        <v>2595.6779999999999</v>
      </c>
      <c r="J18" s="1859">
        <f ca="1">SUMIF('Detail Summary'!$E$217:$AS$277,$A18,'Detail Summary'!AD$217:AD$277)/1000+SUMIF('Detail Summary'!$E$217:$AS$277,$A18,'Detail Summary'!AG$217:AG$277)/1000+SUMIF('Detail Summary'!$E$217:$AS$277,$A18,'Detail Summary'!AJ$217:AJ$277)/1000+SUMIF('Detail Summary'!$E$217:$AS$277,$A18,'Detail Summary'!AM$217:AM$277)/1000+SUMIF('Detail Summary'!$E$217:$AS$277,$A18,'Detail Summary'!AP$217:AP$277)/1000</f>
        <v>0</v>
      </c>
      <c r="K18" s="1859">
        <f ca="1">SUM(D18:J18)</f>
        <v>8480.6978099999997</v>
      </c>
    </row>
    <row r="19" spans="1:11" ht="15.75" thickBot="1" x14ac:dyDescent="0.3">
      <c r="A19" s="1396">
        <v>14</v>
      </c>
      <c r="B19" s="1403" t="str">
        <f>+A19&amp;". "&amp;VLOOKUP(A19,Parameters!$D$159:$E$301,2)</f>
        <v>14. AFUDC</v>
      </c>
      <c r="C19" s="1859"/>
      <c r="D19" s="1859">
        <f ca="1">SUMIF('Detail Summary'!$E$217:$AS$277,$A19,'Detail Summary'!L$217:L$277)/1000</f>
        <v>25.37434</v>
      </c>
      <c r="E19" s="1859">
        <f ca="1">SUMIF('Detail Summary'!$E$217:$AS$277,$A19,'Detail Summary'!O$217:O$277)/1000</f>
        <v>1.077</v>
      </c>
      <c r="F19" s="1859">
        <f ca="1">SUMIF('Detail Summary'!$E$217:$AS$277,$A19,'Detail Summary'!R$217:R$277)/1000</f>
        <v>26.933</v>
      </c>
      <c r="G19" s="1859">
        <f ca="1">SUMIF('Detail Summary'!$E$217:$AS$277,$A19,'Detail Summary'!U$217:U$277)/1000</f>
        <v>460.69600000000003</v>
      </c>
      <c r="H19" s="1859">
        <f ca="1">SUMIF('Detail Summary'!$E$217:$AS$277,$A19,'Detail Summary'!X$217:X$277)/1000</f>
        <v>1660.9</v>
      </c>
      <c r="I19" s="1859">
        <f ca="1">SUMIF('Detail Summary'!$E$217:$AS$277,$A19,'Detail Summary'!AA$217:AA$277)/1000</f>
        <v>657.5</v>
      </c>
      <c r="J19" s="1859">
        <f ca="1">SUMIF('Detail Summary'!$E$217:$AS$277,$A19,'Detail Summary'!AD$217:AD$277)/1000+SUMIF('Detail Summary'!$E$217:$AS$277,$A19,'Detail Summary'!AG$217:AG$277)/1000+SUMIF('Detail Summary'!$E$217:$AS$277,$A19,'Detail Summary'!AJ$217:AJ$277)/1000+SUMIF('Detail Summary'!$E$217:$AS$277,$A19,'Detail Summary'!AM$217:AM$277)/1000+SUMIF('Detail Summary'!$E$217:$AS$277,$A19,'Detail Summary'!AP$217:AP$277)/1000</f>
        <v>0</v>
      </c>
      <c r="K19" s="1859">
        <f ca="1">SUM(D19:J19)</f>
        <v>2832.4803400000001</v>
      </c>
    </row>
    <row r="20" spans="1:11" ht="15.75" thickBot="1" x14ac:dyDescent="0.3">
      <c r="A20" s="1396"/>
      <c r="B20" s="1405" t="s">
        <v>1495</v>
      </c>
      <c r="C20" s="1860">
        <f t="shared" ref="C20:K20" si="4">SUM(C17:C19)</f>
        <v>0</v>
      </c>
      <c r="D20" s="1860">
        <f t="shared" ca="1" si="4"/>
        <v>375.89178999999996</v>
      </c>
      <c r="E20" s="1860">
        <f t="shared" ca="1" si="4"/>
        <v>5.0289999999999999</v>
      </c>
      <c r="F20" s="1860">
        <f t="shared" ca="1" si="4"/>
        <v>34.984000000000002</v>
      </c>
      <c r="G20" s="1860">
        <f t="shared" ca="1" si="4"/>
        <v>13561.5325746</v>
      </c>
      <c r="H20" s="1860">
        <f t="shared" ca="1" si="4"/>
        <v>22497.366491466404</v>
      </c>
      <c r="I20" s="1860">
        <f t="shared" ca="1" si="4"/>
        <v>7779.7647526781675</v>
      </c>
      <c r="J20" s="1860">
        <f t="shared" ca="1" si="4"/>
        <v>0</v>
      </c>
      <c r="K20" s="1860">
        <f t="shared" ca="1" si="4"/>
        <v>44254.568608744565</v>
      </c>
    </row>
    <row r="21" spans="1:11" ht="16.5" thickTop="1" thickBot="1" x14ac:dyDescent="0.3">
      <c r="A21" s="1396">
        <v>15</v>
      </c>
      <c r="B21" s="1403" t="str">
        <f>+A21&amp;". "&amp;VLOOKUP(A21,Parameters!$D$159:$E$301,2)</f>
        <v>15. Contingency</v>
      </c>
      <c r="C21" s="1859"/>
      <c r="D21" s="1859">
        <f ca="1">SUMIF('Detail Summary'!$E$217:$AS$277,$A21,'Detail Summary'!L$217:L$277)/1000</f>
        <v>0</v>
      </c>
      <c r="E21" s="1859">
        <f ca="1">SUMIF('Detail Summary'!$E$217:$AS$277,$A21,'Detail Summary'!O$217:O$277)/1000</f>
        <v>0</v>
      </c>
      <c r="F21" s="1859">
        <f ca="1">SUMIF('Detail Summary'!$E$217:$AS$277,$A21,'Detail Summary'!R$217:R$277)/1000</f>
        <v>0</v>
      </c>
      <c r="G21" s="1859">
        <f ca="1">SUMIF('Detail Summary'!$E$217:$AS$277,$A21,'Detail Summary'!U$217:U$277)/1000</f>
        <v>775.86938511654705</v>
      </c>
      <c r="H21" s="1859">
        <f ca="1">SUMIF('Detail Summary'!$E$217:$AS$277,$A21,'Detail Summary'!X$217:X$277)/1000</f>
        <v>942.31550801654703</v>
      </c>
      <c r="I21" s="1859">
        <f ca="1">SUMIF('Detail Summary'!$E$217:$AS$277,$A21,'Detail Summary'!AA$217:AA$277)/1000</f>
        <v>123.60644000000001</v>
      </c>
      <c r="J21" s="1859">
        <f ca="1">SUMIF('Detail Summary'!$E$217:$AS$277,$A21,'Detail Summary'!AD$217:AD$277)/1000+SUMIF('Detail Summary'!$E$217:$AS$277,$A21,'Detail Summary'!AG$217:AG$277)/1000+SUMIF('Detail Summary'!$E$217:$AS$277,$A21,'Detail Summary'!AJ$217:AJ$277)/1000+SUMIF('Detail Summary'!$E$217:$AS$277,$A21,'Detail Summary'!AM$217:AM$277)/1000+SUMIF('Detail Summary'!$E$217:$AS$277,$A21,'Detail Summary'!AP$217:AP$277)/1000</f>
        <v>0</v>
      </c>
      <c r="K21" s="1859">
        <f t="shared" ref="K21:K22" ca="1" si="5">SUM(D21:J21)</f>
        <v>1841.7913331330942</v>
      </c>
    </row>
    <row r="22" spans="1:11" ht="15.75" thickBot="1" x14ac:dyDescent="0.3">
      <c r="A22" s="1396">
        <v>0</v>
      </c>
      <c r="B22" s="1403" t="e">
        <f>+A22&amp;". "&amp;VLOOKUP(A22,Parameters!$D$159:$E$301,2)</f>
        <v>#N/A</v>
      </c>
      <c r="C22" s="1859"/>
      <c r="D22" s="1859">
        <f ca="1">SUMIF('Detail Summary'!$E$217:$AS$277,$A22,'Detail Summary'!L$217:L$277)/1000</f>
        <v>0</v>
      </c>
      <c r="E22" s="1859">
        <f ca="1">SUMIF('Detail Summary'!$E$217:$AS$277,$A22,'Detail Summary'!O$217:O$277)/1000</f>
        <v>0</v>
      </c>
      <c r="F22" s="1859">
        <f ca="1">SUMIF('Detail Summary'!$E$217:$AS$277,$A22,'Detail Summary'!R$217:R$277)/1000</f>
        <v>0</v>
      </c>
      <c r="G22" s="1859">
        <f ca="1">SUMIF('Detail Summary'!$E$217:$AS$277,$A22,'Detail Summary'!U$217:U$277)/1000</f>
        <v>0</v>
      </c>
      <c r="H22" s="1859">
        <f ca="1">SUMIF('Detail Summary'!$E$217:$AS$277,$A22,'Detail Summary'!X$217:X$277)/1000</f>
        <v>0</v>
      </c>
      <c r="I22" s="1859">
        <f ca="1">SUMIF('Detail Summary'!$E$217:$AS$277,$A22,'Detail Summary'!AA$217:AA$277)/1000</f>
        <v>0</v>
      </c>
      <c r="J22" s="1859">
        <f ca="1">SUMIF('Detail Summary'!$E$217:$AS$277,$A22,'Detail Summary'!AD$217:AD$277)/1000+SUMIF('Detail Summary'!$E$217:$AS$277,$A22,'Detail Summary'!AG$217:AG$277)/1000+SUMIF('Detail Summary'!$E$217:$AS$277,$A22,'Detail Summary'!AJ$217:AJ$277)/1000+SUMIF('Detail Summary'!$E$217:$AS$277,$A22,'Detail Summary'!AM$217:AM$277)/1000+SUMIF('Detail Summary'!$E$217:$AS$277,$A22,'Detail Summary'!AP$217:AP$277)/1000</f>
        <v>0</v>
      </c>
      <c r="K22" s="1859">
        <f t="shared" ca="1" si="5"/>
        <v>0</v>
      </c>
    </row>
    <row r="23" spans="1:11" ht="29.25" thickBot="1" x14ac:dyDescent="0.3">
      <c r="A23" s="1396"/>
      <c r="B23" s="1405" t="s">
        <v>1497</v>
      </c>
      <c r="C23" s="1860">
        <f>'Data Input sheet'!D195</f>
        <v>0</v>
      </c>
      <c r="D23" s="1860">
        <f ca="1">SUM(D20:D22)</f>
        <v>375.89178999999996</v>
      </c>
      <c r="E23" s="1860">
        <f t="shared" ref="E23:K23" ca="1" si="6">SUM(E20:E22)</f>
        <v>5.0289999999999999</v>
      </c>
      <c r="F23" s="1860">
        <f t="shared" ca="1" si="6"/>
        <v>34.984000000000002</v>
      </c>
      <c r="G23" s="1860">
        <f t="shared" ca="1" si="6"/>
        <v>14337.401959716546</v>
      </c>
      <c r="H23" s="1860">
        <f t="shared" ca="1" si="6"/>
        <v>23439.681999482949</v>
      </c>
      <c r="I23" s="1860">
        <f t="shared" ca="1" si="6"/>
        <v>7903.3711926781671</v>
      </c>
      <c r="J23" s="1860">
        <f t="shared" ca="1" si="6"/>
        <v>0</v>
      </c>
      <c r="K23" s="1860">
        <f t="shared" ca="1" si="6"/>
        <v>46096.359941877658</v>
      </c>
    </row>
    <row r="24" spans="1:11" ht="30" thickTop="1" thickBot="1" x14ac:dyDescent="0.3">
      <c r="A24" s="1396">
        <v>16</v>
      </c>
      <c r="B24" s="1403" t="str">
        <f>+A24&amp;". "&amp;VLOOKUP(A24,Parameters!$D$159:$E$301,2)</f>
        <v>16. Reimbursables/Customer Contribution</v>
      </c>
      <c r="C24" s="1859"/>
      <c r="D24" s="1859">
        <f ca="1">SUMIF('Detail Summary'!$E$217:$AS$277,$A24,'Detail Summary'!L$217:L$277)/1000</f>
        <v>0</v>
      </c>
      <c r="E24" s="1859">
        <f ca="1">SUMIF('Detail Summary'!$E$217:$AS$277,$A24,'Detail Summary'!O$217:O$277)/1000</f>
        <v>0</v>
      </c>
      <c r="F24" s="1859">
        <f ca="1">SUMIF('Detail Summary'!$E$217:$AS$277,$A24,'Detail Summary'!R$217:R$277)/1000</f>
        <v>0</v>
      </c>
      <c r="G24" s="1859">
        <f ca="1">SUMIF('Detail Summary'!$E$217:$AS$277,$A24,'Detail Summary'!U$217:U$277)/1000</f>
        <v>0</v>
      </c>
      <c r="H24" s="1859">
        <f ca="1">SUMIF('Detail Summary'!$E$217:$AS$277,$A24,'Detail Summary'!X$217:X$277)/1000</f>
        <v>0</v>
      </c>
      <c r="I24" s="1859">
        <f ca="1">SUMIF('Detail Summary'!$E$217:$AS$277,$A24,'Detail Summary'!AA$217:AA$277)/1000</f>
        <v>0</v>
      </c>
      <c r="J24" s="1859">
        <f ca="1">SUMIF('Detail Summary'!$E$217:$AS$277,$A24,'Detail Summary'!AD$217:AD$277)/1000+SUMIF('Detail Summary'!$E$217:$AS$277,$A24,'Detail Summary'!AG$217:AG$277)/1000+SUMIF('Detail Summary'!$E$217:$AS$277,$A24,'Detail Summary'!AJ$217:AJ$277)/1000+SUMIF('Detail Summary'!$E$217:$AS$277,$A24,'Detail Summary'!AM$217:AM$277)/1000+SUMIF('Detail Summary'!$E$217:$AS$277,$A24,'Detail Summary'!AP$217:AP$277)/1000</f>
        <v>0</v>
      </c>
      <c r="K24" s="1859">
        <f ca="1">SUM(D24:J24)</f>
        <v>0</v>
      </c>
    </row>
    <row r="25" spans="1:11" ht="15.75" thickBot="1" x14ac:dyDescent="0.3">
      <c r="A25" s="1396"/>
      <c r="B25" s="1403" t="e">
        <f>+A25&amp;". "&amp;VLOOKUP(A25,Parameters!$D$159:$E$301,2)</f>
        <v>#N/A</v>
      </c>
      <c r="C25" s="1859"/>
      <c r="D25" s="1859">
        <f ca="1">SUMIF('Detail Summary'!$E$217:$AS$277,$A25,'Detail Summary'!L$217:L$277)/1000</f>
        <v>0</v>
      </c>
      <c r="E25" s="1859">
        <f ca="1">SUMIF('Detail Summary'!$E$217:$AS$277,$A25,'Detail Summary'!O$217:O$277)/1000</f>
        <v>0</v>
      </c>
      <c r="F25" s="1859">
        <f ca="1">SUMIF('Detail Summary'!$E$217:$AS$277,$A25,'Detail Summary'!R$217:R$277)/1000</f>
        <v>0</v>
      </c>
      <c r="G25" s="1859">
        <f ca="1">SUMIF('Detail Summary'!$E$217:$AS$277,$A25,'Detail Summary'!U$217:U$277)/1000</f>
        <v>0</v>
      </c>
      <c r="H25" s="1859">
        <f ca="1">SUMIF('Detail Summary'!$E$217:$AS$277,$A25,'Detail Summary'!X$217:X$277)/1000</f>
        <v>0</v>
      </c>
      <c r="I25" s="1859">
        <f ca="1">SUMIF('Detail Summary'!$E$217:$AS$277,$A25,'Detail Summary'!AA$217:AA$277)/1000</f>
        <v>0</v>
      </c>
      <c r="J25" s="1859">
        <f ca="1">SUMIF('Detail Summary'!$E$217:$AS$277,$A25,'Detail Summary'!AD$217:AD$277)/1000+SUMIF('Detail Summary'!$E$217:$AS$277,$A25,'Detail Summary'!AG$217:AG$277)/1000+SUMIF('Detail Summary'!$E$217:$AS$277,$A25,'Detail Summary'!AJ$217:AJ$277)/1000+SUMIF('Detail Summary'!$E$217:$AS$277,$A25,'Detail Summary'!AM$217:AM$277)/1000+SUMIF('Detail Summary'!$E$217:$AS$277,$A25,'Detail Summary'!AP$217:AP$277)/1000</f>
        <v>0</v>
      </c>
      <c r="K25" s="1859">
        <f ca="1">SUM(D25:J25)</f>
        <v>0</v>
      </c>
    </row>
    <row r="26" spans="1:11" ht="15.75" thickBot="1" x14ac:dyDescent="0.3">
      <c r="A26" s="1396"/>
      <c r="B26" s="1405" t="s">
        <v>1499</v>
      </c>
      <c r="C26" s="1860">
        <f t="shared" ref="C26:K26" si="7">SUM(C23:C25)</f>
        <v>0</v>
      </c>
      <c r="D26" s="1860">
        <f t="shared" ca="1" si="7"/>
        <v>375.89178999999996</v>
      </c>
      <c r="E26" s="1860">
        <f t="shared" ca="1" si="7"/>
        <v>5.0289999999999999</v>
      </c>
      <c r="F26" s="1860">
        <f t="shared" ca="1" si="7"/>
        <v>34.984000000000002</v>
      </c>
      <c r="G26" s="1860">
        <f t="shared" ca="1" si="7"/>
        <v>14337.401959716546</v>
      </c>
      <c r="H26" s="1860">
        <f t="shared" ca="1" si="7"/>
        <v>23439.681999482949</v>
      </c>
      <c r="I26" s="1860">
        <f t="shared" ca="1" si="7"/>
        <v>7903.3711926781671</v>
      </c>
      <c r="J26" s="1860">
        <f t="shared" ca="1" si="7"/>
        <v>0</v>
      </c>
      <c r="K26" s="1860">
        <f t="shared" ca="1" si="7"/>
        <v>46096.359941877658</v>
      </c>
    </row>
    <row r="27" spans="1:11" ht="29.85" customHeight="1" thickTop="1" thickBot="1" x14ac:dyDescent="0.3">
      <c r="A27" s="1396"/>
      <c r="B27" s="1405" t="s">
        <v>1498</v>
      </c>
      <c r="C27" s="1860"/>
      <c r="D27" s="1860">
        <v>0</v>
      </c>
      <c r="E27" s="1860">
        <v>0</v>
      </c>
      <c r="F27" s="1860">
        <v>0</v>
      </c>
      <c r="G27" s="1860">
        <v>0</v>
      </c>
      <c r="H27" s="1860">
        <v>0</v>
      </c>
      <c r="I27" s="1860">
        <v>0</v>
      </c>
      <c r="J27" s="1860">
        <v>0</v>
      </c>
      <c r="K27" s="1860">
        <v>0</v>
      </c>
    </row>
    <row r="28" spans="1:11" ht="29.85" customHeight="1" thickTop="1" thickBot="1" x14ac:dyDescent="0.3">
      <c r="A28" s="1396"/>
      <c r="B28" s="1405" t="s">
        <v>1489</v>
      </c>
      <c r="C28" s="1860">
        <f>+C26+C27</f>
        <v>0</v>
      </c>
      <c r="D28" s="1860">
        <f t="shared" ref="D28:K28" ca="1" si="8">+D26+D27</f>
        <v>375.89178999999996</v>
      </c>
      <c r="E28" s="1860">
        <f t="shared" ca="1" si="8"/>
        <v>5.0289999999999999</v>
      </c>
      <c r="F28" s="1860">
        <f t="shared" ca="1" si="8"/>
        <v>34.984000000000002</v>
      </c>
      <c r="G28" s="1860">
        <f t="shared" ca="1" si="8"/>
        <v>14337.401959716546</v>
      </c>
      <c r="H28" s="1860">
        <f t="shared" ca="1" si="8"/>
        <v>23439.681999482949</v>
      </c>
      <c r="I28" s="1860">
        <f t="shared" ca="1" si="8"/>
        <v>7903.3711926781671</v>
      </c>
      <c r="J28" s="1860">
        <f t="shared" ca="1" si="8"/>
        <v>0</v>
      </c>
      <c r="K28" s="1860">
        <f t="shared" ca="1" si="8"/>
        <v>46096.359941877658</v>
      </c>
    </row>
    <row r="29" spans="1:11" ht="15.75" thickTop="1" x14ac:dyDescent="0.25">
      <c r="A29" s="1396"/>
      <c r="B29" s="1397"/>
      <c r="C29" s="1397"/>
      <c r="D29" s="1397"/>
      <c r="E29" s="1397"/>
      <c r="F29" s="1397"/>
      <c r="G29" s="1397"/>
      <c r="H29" s="1397"/>
      <c r="I29" s="1397"/>
      <c r="J29" s="1397"/>
      <c r="K29" s="1397"/>
    </row>
    <row r="30" spans="1:11" ht="14.85" customHeight="1" thickBot="1" x14ac:dyDescent="0.3">
      <c r="A30" s="1396"/>
      <c r="B30" s="168" t="s">
        <v>1223</v>
      </c>
      <c r="C30" s="1397"/>
      <c r="D30" s="1397"/>
      <c r="E30" s="168" t="s">
        <v>220</v>
      </c>
      <c r="F30" s="1397"/>
      <c r="G30" s="1397"/>
      <c r="H30" s="1397"/>
      <c r="I30" s="1397"/>
      <c r="J30" s="1397"/>
      <c r="K30" s="1397"/>
    </row>
    <row r="31" spans="1:11" ht="15.75" thickBot="1" x14ac:dyDescent="0.3">
      <c r="A31" s="1396">
        <v>1</v>
      </c>
      <c r="B31" s="1406" t="s">
        <v>1224</v>
      </c>
      <c r="C31" s="1861">
        <f>+'Detail Summary'!K306/1000</f>
        <v>0</v>
      </c>
      <c r="D31" s="1861">
        <f ca="1">SUMIF('Detail Summary'!$D$285:$AS$296,$A31,'Detail Summary'!L$285:L$296)/1000</f>
        <v>88.462450000000004</v>
      </c>
      <c r="E31" s="1861">
        <f ca="1">SUMIF('Detail Summary'!$D$285:$AS$296,$A31,'Detail Summary'!O$285:O$296)/1000</f>
        <v>0</v>
      </c>
      <c r="F31" s="1861">
        <f ca="1">SUMIF('Detail Summary'!$D$285:$AS$296,$A31,'Detail Summary'!R$285:R$296)/1000</f>
        <v>0</v>
      </c>
      <c r="G31" s="1861">
        <f ca="1">SUMIF('Detail Summary'!$D$285:$AS$296,$A31,'Detail Summary'!U$285:U$296)/1000</f>
        <v>227.934</v>
      </c>
      <c r="H31" s="1861">
        <f ca="1">SUMIF('Detail Summary'!$D$285:$AS$296,$A31,'Detail Summary'!X$285:X$296)/1000</f>
        <v>274.39800000000002</v>
      </c>
      <c r="I31" s="1861">
        <f ca="1">SUMIF('Detail Summary'!$D$285:$AS$296,$A31,'Detail Summary'!AA$285:AA$296)/1000</f>
        <v>197.994</v>
      </c>
      <c r="J31" s="1861">
        <f ca="1">SUMIF('Detail Summary'!$D$285:$AS$296,$A31,'Detail Summary'!AD$285:AD$296)/1000+SUMIF('Detail Summary'!$D$285:$AS$296,$A31,'Detail Summary'!AG$285:AG$296)/1000+SUMIF('Detail Summary'!$D$285:$AS$296,$A31,'Detail Summary'!AJ$285:AJ$296)/1000+SUMIF('Detail Summary'!$D$285:$AS$296,$A31,'Detail Summary'!AM$285:AM$296)/1000+SUMIF('Detail Summary'!$D$285:$AS$296,$A31,'Detail Summary'!AP$285:AP$296)/1000</f>
        <v>0</v>
      </c>
      <c r="K31" s="1861">
        <f t="shared" ref="K31:K39" ca="1" si="9">SUM(D31:J31)</f>
        <v>788.78845000000013</v>
      </c>
    </row>
    <row r="32" spans="1:11" ht="15.75" thickBot="1" x14ac:dyDescent="0.3">
      <c r="A32" s="1396">
        <v>2</v>
      </c>
      <c r="B32" s="1406" t="s">
        <v>1225</v>
      </c>
      <c r="C32" s="1861">
        <f>+'Detail Summary'!K307/1000</f>
        <v>0</v>
      </c>
      <c r="D32" s="1859">
        <f ca="1">SUMIF('Detail Summary'!$D$285:$AS$296,$A32,'Detail Summary'!L$285:L$296)/1000</f>
        <v>0</v>
      </c>
      <c r="E32" s="1859">
        <f ca="1">SUMIF('Detail Summary'!$D$285:$AS$296,$A32,'Detail Summary'!O$285:O$296)/1000</f>
        <v>0</v>
      </c>
      <c r="F32" s="1859">
        <f ca="1">SUMIF('Detail Summary'!$D$285:$AS$296,$A32,'Detail Summary'!R$285:R$296)/1000</f>
        <v>0</v>
      </c>
      <c r="G32" s="1859">
        <f ca="1">SUMIF('Detail Summary'!$D$285:$AS$296,$A32,'Detail Summary'!U$285:U$296)/1000</f>
        <v>0</v>
      </c>
      <c r="H32" s="1859">
        <f ca="1">SUMIF('Detail Summary'!$D$285:$AS$296,$A32,'Detail Summary'!X$285:X$296)/1000</f>
        <v>0</v>
      </c>
      <c r="I32" s="1859">
        <f ca="1">SUMIF('Detail Summary'!$D$285:$AS$296,$A32,'Detail Summary'!AA$285:AA$296)/1000</f>
        <v>0</v>
      </c>
      <c r="J32" s="1861">
        <f ca="1">SUMIF('Detail Summary'!$D$285:$AS$296,$A32,'Detail Summary'!AD$285:AD$296)/1000+SUMIF('Detail Summary'!$D$285:$AS$296,$A32,'Detail Summary'!AG$285:AG$296)/1000+SUMIF('Detail Summary'!$D$285:$AS$296,$A32,'Detail Summary'!AJ$285:AJ$296)/1000+SUMIF('Detail Summary'!$D$285:$AS$296,$A32,'Detail Summary'!AM$285:AM$296)/1000+SUMIF('Detail Summary'!$D$285:$AS$296,$A32,'Detail Summary'!AP$285:AP$296)/1000</f>
        <v>0</v>
      </c>
      <c r="K32" s="1859">
        <f t="shared" ca="1" si="9"/>
        <v>0</v>
      </c>
    </row>
    <row r="33" spans="1:11" ht="15.75" thickBot="1" x14ac:dyDescent="0.3">
      <c r="A33" s="1396">
        <v>3</v>
      </c>
      <c r="B33" s="1406" t="s">
        <v>1226</v>
      </c>
      <c r="C33" s="1861">
        <f>+'Detail Summary'!K308/1000</f>
        <v>0</v>
      </c>
      <c r="D33" s="1859">
        <f ca="1">SUMIF('Detail Summary'!$D$285:$AS$296,$A33,'Detail Summary'!L$285:L$296)/1000</f>
        <v>39.522179999999999</v>
      </c>
      <c r="E33" s="1859">
        <f ca="1">SUMIF('Detail Summary'!$D$285:$AS$296,$A33,'Detail Summary'!O$285:O$296)/1000</f>
        <v>0</v>
      </c>
      <c r="F33" s="1859">
        <f ca="1">SUMIF('Detail Summary'!$D$285:$AS$296,$A33,'Detail Summary'!R$285:R$296)/1000</f>
        <v>0</v>
      </c>
      <c r="G33" s="1859">
        <f ca="1">SUMIF('Detail Summary'!$D$285:$AS$296,$A33,'Detail Summary'!U$285:U$296)/1000</f>
        <v>662.57299999999998</v>
      </c>
      <c r="H33" s="1859">
        <f ca="1">SUMIF('Detail Summary'!$D$285:$AS$296,$A33,'Detail Summary'!X$285:X$296)/1000</f>
        <v>4047.4378896284006</v>
      </c>
      <c r="I33" s="1859">
        <f ca="1">SUMIF('Detail Summary'!$D$285:$AS$296,$A33,'Detail Summary'!AA$285:AA$296)/1000</f>
        <v>2888.7187526781681</v>
      </c>
      <c r="J33" s="1861">
        <f ca="1">SUMIF('Detail Summary'!$D$285:$AS$296,$A33,'Detail Summary'!AD$285:AD$296)/1000+SUMIF('Detail Summary'!$D$285:$AS$296,$A33,'Detail Summary'!AG$285:AG$296)/1000+SUMIF('Detail Summary'!$D$285:$AS$296,$A33,'Detail Summary'!AJ$285:AJ$296)/1000+SUMIF('Detail Summary'!$D$285:$AS$296,$A33,'Detail Summary'!AM$285:AM$296)/1000+SUMIF('Detail Summary'!$D$285:$AS$296,$A33,'Detail Summary'!AP$285:AP$296)/1000</f>
        <v>0</v>
      </c>
      <c r="K33" s="1859">
        <f t="shared" ca="1" si="9"/>
        <v>7638.251822306569</v>
      </c>
    </row>
    <row r="34" spans="1:11" ht="43.5" thickBot="1" x14ac:dyDescent="0.3">
      <c r="A34" s="1396">
        <v>4</v>
      </c>
      <c r="B34" s="1406" t="s">
        <v>1295</v>
      </c>
      <c r="C34" s="1861">
        <f>+'Detail Summary'!K309/1000</f>
        <v>0</v>
      </c>
      <c r="D34" s="1859">
        <f ca="1">SUMIF('Detail Summary'!$D$285:$AS$296,$A34,'Detail Summary'!L$285:L$296)/1000</f>
        <v>2.3580000000000001</v>
      </c>
      <c r="E34" s="1859">
        <f ca="1">SUMIF('Detail Summary'!$D$285:$AS$296,$A34,'Detail Summary'!O$285:O$296)/1000</f>
        <v>0</v>
      </c>
      <c r="F34" s="1859">
        <f ca="1">SUMIF('Detail Summary'!$D$285:$AS$296,$A34,'Detail Summary'!R$285:R$296)/1000</f>
        <v>0</v>
      </c>
      <c r="G34" s="1859">
        <f ca="1">SUMIF('Detail Summary'!$D$285:$AS$296,$A34,'Detail Summary'!U$285:U$296)/1000</f>
        <v>9639.9675745999994</v>
      </c>
      <c r="H34" s="1859">
        <f ca="1">SUMIF('Detail Summary'!$D$285:$AS$296,$A34,'Detail Summary'!X$285:X$296)/1000</f>
        <v>9941.1666018380001</v>
      </c>
      <c r="I34" s="1859">
        <f ca="1">SUMIF('Detail Summary'!$D$285:$AS$296,$A34,'Detail Summary'!AA$285:AA$296)/1000</f>
        <v>8.24</v>
      </c>
      <c r="J34" s="1861">
        <f ca="1">SUMIF('Detail Summary'!$D$285:$AS$296,$A34,'Detail Summary'!AD$285:AD$296)/1000+SUMIF('Detail Summary'!$D$285:$AS$296,$A34,'Detail Summary'!AG$285:AG$296)/1000+SUMIF('Detail Summary'!$D$285:$AS$296,$A34,'Detail Summary'!AJ$285:AJ$296)/1000+SUMIF('Detail Summary'!$D$285:$AS$296,$A34,'Detail Summary'!AM$285:AM$296)/1000+SUMIF('Detail Summary'!$D$285:$AS$296,$A34,'Detail Summary'!AP$285:AP$296)/1000</f>
        <v>0</v>
      </c>
      <c r="K34" s="1859">
        <f t="shared" ca="1" si="9"/>
        <v>19591.732176437999</v>
      </c>
    </row>
    <row r="35" spans="1:11" ht="15.75" thickBot="1" x14ac:dyDescent="0.3">
      <c r="A35" s="1396">
        <v>5</v>
      </c>
      <c r="B35" s="1406" t="s">
        <v>393</v>
      </c>
      <c r="C35" s="1861">
        <f>+'Detail Summary'!K142/1000</f>
        <v>0</v>
      </c>
      <c r="D35" s="1859">
        <f ca="1">SUMIF('Detail Summary'!$D$285:$AS$296,$A35,'Detail Summary'!L$285:L$296)/1000</f>
        <v>0</v>
      </c>
      <c r="E35" s="1859">
        <f ca="1">SUMIF('Detail Summary'!$D$285:$AS$296,$A35,'Detail Summary'!O$285:O$296)/1000</f>
        <v>0</v>
      </c>
      <c r="F35" s="1859">
        <f ca="1">SUMIF('Detail Summary'!$D$285:$AS$296,$A35,'Detail Summary'!R$285:R$296)/1000</f>
        <v>0</v>
      </c>
      <c r="G35" s="1859">
        <f ca="1">SUMIF('Detail Summary'!$D$285:$AS$296,$A35,'Detail Summary'!U$285:U$296)/1000</f>
        <v>0</v>
      </c>
      <c r="H35" s="1859">
        <f ca="1">SUMIF('Detail Summary'!$D$285:$AS$296,$A35,'Detail Summary'!X$285:X$296)/1000</f>
        <v>0</v>
      </c>
      <c r="I35" s="1859">
        <f ca="1">SUMIF('Detail Summary'!$D$285:$AS$296,$A35,'Detail Summary'!AA$285:AA$296)/1000</f>
        <v>0</v>
      </c>
      <c r="J35" s="1861">
        <f ca="1">SUMIF('Detail Summary'!$D$285:$AS$296,$A35,'Detail Summary'!AD$285:AD$296)/1000+SUMIF('Detail Summary'!$D$285:$AS$296,$A35,'Detail Summary'!AG$285:AG$296)/1000+SUMIF('Detail Summary'!$D$285:$AS$296,$A35,'Detail Summary'!AJ$285:AJ$296)/1000+SUMIF('Detail Summary'!$D$285:$AS$296,$A35,'Detail Summary'!AM$285:AM$296)/1000+SUMIF('Detail Summary'!$D$285:$AS$296,$A35,'Detail Summary'!AP$285:AP$296)/1000</f>
        <v>0</v>
      </c>
      <c r="K35" s="1859">
        <f t="shared" ca="1" si="9"/>
        <v>0</v>
      </c>
    </row>
    <row r="36" spans="1:11" ht="15.75" thickBot="1" x14ac:dyDescent="0.3">
      <c r="A36" s="1396">
        <v>6</v>
      </c>
      <c r="B36" s="1406" t="s">
        <v>39</v>
      </c>
      <c r="C36" s="1861">
        <f>+'Detail Summary'!K310/1000</f>
        <v>0</v>
      </c>
      <c r="D36" s="1859">
        <f ca="1">SUMIF('Detail Summary'!$D$285:$AS$296,$A36,'Detail Summary'!L$285:L$296)/1000</f>
        <v>11.094010000000001</v>
      </c>
      <c r="E36" s="1859">
        <f ca="1">SUMIF('Detail Summary'!$D$285:$AS$296,$A36,'Detail Summary'!O$285:O$296)/1000</f>
        <v>3.9169999999999998</v>
      </c>
      <c r="F36" s="1859">
        <f ca="1">SUMIF('Detail Summary'!$D$285:$AS$296,$A36,'Detail Summary'!R$285:R$296)/1000</f>
        <v>7.98</v>
      </c>
      <c r="G36" s="1859">
        <f ca="1">SUMIF('Detail Summary'!$D$285:$AS$296,$A36,'Detail Summary'!U$285:U$296)/1000</f>
        <v>1912.8723851165469</v>
      </c>
      <c r="H36" s="1859">
        <f ca="1">SUMIF('Detail Summary'!$D$285:$AS$296,$A36,'Detail Summary'!X$285:X$296)/1000</f>
        <v>3273.3055080165473</v>
      </c>
      <c r="I36" s="1859">
        <f ca="1">SUMIF('Detail Summary'!$D$285:$AS$296,$A36,'Detail Summary'!AA$285:AA$296)/1000</f>
        <v>1555.24044</v>
      </c>
      <c r="J36" s="1861">
        <f ca="1">SUMIF('Detail Summary'!$D$285:$AS$296,$A36,'Detail Summary'!AD$285:AD$296)/1000+SUMIF('Detail Summary'!$D$285:$AS$296,$A36,'Detail Summary'!AG$285:AG$296)/1000+SUMIF('Detail Summary'!$D$285:$AS$296,$A36,'Detail Summary'!AJ$285:AJ$296)/1000+SUMIF('Detail Summary'!$D$285:$AS$296,$A36,'Detail Summary'!AM$285:AM$296)/1000+SUMIF('Detail Summary'!$D$285:$AS$296,$A36,'Detail Summary'!AP$285:AP$296)/1000</f>
        <v>0</v>
      </c>
      <c r="K36" s="1859">
        <f t="shared" ca="1" si="9"/>
        <v>6764.4093431330948</v>
      </c>
    </row>
    <row r="37" spans="1:11" ht="15.75" thickBot="1" x14ac:dyDescent="0.3">
      <c r="A37" s="1396">
        <v>7</v>
      </c>
      <c r="B37" s="1406" t="s">
        <v>100</v>
      </c>
      <c r="C37" s="1861">
        <f>+'Detail Summary'!K311/1000</f>
        <v>0</v>
      </c>
      <c r="D37" s="1859">
        <f ca="1">SUMIF('Detail Summary'!$D$285:$AS$296,$A37,'Detail Summary'!L$285:L$296)/1000</f>
        <v>209.08080999999999</v>
      </c>
      <c r="E37" s="1859">
        <f ca="1">SUMIF('Detail Summary'!$D$285:$AS$296,$A37,'Detail Summary'!O$285:O$296)/1000</f>
        <v>3.5000000000000003E-2</v>
      </c>
      <c r="F37" s="1859">
        <f ca="1">SUMIF('Detail Summary'!$D$285:$AS$296,$A37,'Detail Summary'!R$285:R$296)/1000</f>
        <v>7.0999999999999994E-2</v>
      </c>
      <c r="G37" s="1859">
        <f ca="1">SUMIF('Detail Summary'!$D$285:$AS$296,$A37,'Detail Summary'!U$285:U$296)/1000</f>
        <v>1433.3589999999999</v>
      </c>
      <c r="H37" s="1859">
        <f ca="1">SUMIF('Detail Summary'!$D$285:$AS$296,$A37,'Detail Summary'!X$285:X$296)/1000</f>
        <v>4242.4740000000002</v>
      </c>
      <c r="I37" s="1859">
        <f ca="1">SUMIF('Detail Summary'!$D$285:$AS$296,$A37,'Detail Summary'!AA$285:AA$296)/1000</f>
        <v>2595.6779999999999</v>
      </c>
      <c r="J37" s="1861">
        <f ca="1">SUMIF('Detail Summary'!$D$285:$AS$296,$A37,'Detail Summary'!AD$285:AD$296)/1000+SUMIF('Detail Summary'!$D$285:$AS$296,$A37,'Detail Summary'!AG$285:AG$296)/1000+SUMIF('Detail Summary'!$D$285:$AS$296,$A37,'Detail Summary'!AJ$285:AJ$296)/1000+SUMIF('Detail Summary'!$D$285:$AS$296,$A37,'Detail Summary'!AM$285:AM$296)/1000+SUMIF('Detail Summary'!$D$285:$AS$296,$A37,'Detail Summary'!AP$285:AP$296)/1000</f>
        <v>0</v>
      </c>
      <c r="K37" s="1859">
        <f t="shared" ca="1" si="9"/>
        <v>8480.6978099999997</v>
      </c>
    </row>
    <row r="38" spans="1:11" ht="15.75" thickBot="1" x14ac:dyDescent="0.3">
      <c r="A38" s="1396">
        <v>8</v>
      </c>
      <c r="B38" s="1406" t="s">
        <v>45</v>
      </c>
      <c r="C38" s="1861">
        <f>+'Detail Summary'!K312/1000</f>
        <v>0</v>
      </c>
      <c r="D38" s="1859">
        <f ca="1">SUMIF('Detail Summary'!$D$285:$AS$296,$A38,'Detail Summary'!L$285:L$296)/1000</f>
        <v>25.37434</v>
      </c>
      <c r="E38" s="1859">
        <f ca="1">SUMIF('Detail Summary'!$D$285:$AS$296,$A38,'Detail Summary'!O$285:O$296)/1000</f>
        <v>1.077</v>
      </c>
      <c r="F38" s="1859">
        <f ca="1">SUMIF('Detail Summary'!$D$285:$AS$296,$A38,'Detail Summary'!R$285:R$296)/1000</f>
        <v>26.933</v>
      </c>
      <c r="G38" s="1859">
        <f ca="1">SUMIF('Detail Summary'!$D$285:$AS$296,$A38,'Detail Summary'!U$285:U$296)/1000</f>
        <v>460.69600000000003</v>
      </c>
      <c r="H38" s="1859">
        <f ca="1">SUMIF('Detail Summary'!$D$285:$AS$296,$A38,'Detail Summary'!X$285:X$296)/1000</f>
        <v>1660.9</v>
      </c>
      <c r="I38" s="1859">
        <f ca="1">SUMIF('Detail Summary'!$D$285:$AS$296,$A38,'Detail Summary'!AA$285:AA$296)/1000</f>
        <v>657.5</v>
      </c>
      <c r="J38" s="1861">
        <f ca="1">SUMIF('Detail Summary'!$D$285:$AS$296,$A38,'Detail Summary'!AD$285:AD$296)/1000+SUMIF('Detail Summary'!$D$285:$AS$296,$A38,'Detail Summary'!AG$285:AG$296)/1000+SUMIF('Detail Summary'!$D$285:$AS$296,$A38,'Detail Summary'!AJ$285:AJ$296)/1000+SUMIF('Detail Summary'!$D$285:$AS$296,$A38,'Detail Summary'!AM$285:AM$296)/1000+SUMIF('Detail Summary'!$D$285:$AS$296,$A38,'Detail Summary'!AP$285:AP$296)/1000</f>
        <v>0</v>
      </c>
      <c r="K38" s="1859">
        <f t="shared" ca="1" si="9"/>
        <v>2832.4803400000001</v>
      </c>
    </row>
    <row r="39" spans="1:11" ht="29.25" thickBot="1" x14ac:dyDescent="0.3">
      <c r="A39" s="1396"/>
      <c r="B39" s="1405" t="s">
        <v>1472</v>
      </c>
      <c r="C39" s="1860">
        <f>SUM(C31:C38)</f>
        <v>0</v>
      </c>
      <c r="D39" s="1860">
        <f ca="1">SUM(D31:D38)</f>
        <v>375.89179000000001</v>
      </c>
      <c r="E39" s="1860">
        <f t="shared" ref="E39" ca="1" si="10">SUM(E31:E38)</f>
        <v>5.0289999999999999</v>
      </c>
      <c r="F39" s="1860">
        <f t="shared" ref="F39:J39" ca="1" si="11">SUM(F31:F38)</f>
        <v>34.984000000000002</v>
      </c>
      <c r="G39" s="1860">
        <f t="shared" ca="1" si="11"/>
        <v>14337.401959716546</v>
      </c>
      <c r="H39" s="1860">
        <f t="shared" ca="1" si="11"/>
        <v>23439.681999482949</v>
      </c>
      <c r="I39" s="1860">
        <f t="shared" ca="1" si="11"/>
        <v>7903.371192678168</v>
      </c>
      <c r="J39" s="1860">
        <f t="shared" ca="1" si="11"/>
        <v>0</v>
      </c>
      <c r="K39" s="1860">
        <f t="shared" ca="1" si="9"/>
        <v>46096.359941877665</v>
      </c>
    </row>
    <row r="40" spans="1:11" ht="15.75" thickTop="1" x14ac:dyDescent="0.25">
      <c r="A40" s="1396"/>
      <c r="B40" s="1397"/>
      <c r="C40" s="1397"/>
      <c r="D40" s="1397"/>
      <c r="E40" s="1397"/>
      <c r="F40" s="1397"/>
      <c r="G40" s="1397"/>
      <c r="H40" s="1397"/>
      <c r="I40" s="1397"/>
      <c r="J40" s="1397"/>
      <c r="K40" s="1397"/>
    </row>
    <row r="41" spans="1:11" ht="15" x14ac:dyDescent="0.25">
      <c r="A41" s="1396"/>
      <c r="B41" s="1397"/>
      <c r="C41" s="1397"/>
      <c r="D41" s="1768">
        <f ca="1">+D39-D26</f>
        <v>0</v>
      </c>
      <c r="E41" s="1768"/>
      <c r="F41" s="1768"/>
      <c r="G41" s="1768"/>
      <c r="H41" s="1768"/>
      <c r="I41" s="1768"/>
      <c r="J41" s="1768"/>
      <c r="K41" s="1768"/>
    </row>
  </sheetData>
  <sheetProtection algorithmName="SHA-512" hashValue="Qdl6O4nUYxhoRbGWdsfIbX6bzYXE4YCHmylnc7J2p9CggL+VuH5+HxGRgNEiHLHTdOKC5AofjEnGG19ztvt73A==" saltValue="oH205m3wZMEmdygFBNkiZA==" spinCount="100000" sheet="1" formatCells="0" formatColumns="0" formatRows="0" autoFilter="0"/>
  <mergeCells count="6">
    <mergeCell ref="I3:I4"/>
    <mergeCell ref="J3:J4"/>
    <mergeCell ref="K3:K4"/>
    <mergeCell ref="F3:F4"/>
    <mergeCell ref="G3:G4"/>
    <mergeCell ref="H3:H4"/>
  </mergeCells>
  <conditionalFormatting sqref="D5:K28 D31:K39">
    <cfRule type="cellIs" dxfId="224" priority="1" operator="lessThan">
      <formula>0</formula>
    </cfRule>
  </conditionalFormatting>
  <pageMargins left="0.7" right="0.7" top="0.75" bottom="0.75" header="0.3" footer="0.3"/>
  <pageSetup scale="83" fitToHeight="0"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14C75-5728-42C6-9F8C-055CB3C62CA0}">
  <sheetPr codeName="Sheet43">
    <tabColor rgb="FF0070C0"/>
    <pageSetUpPr fitToPage="1"/>
  </sheetPr>
  <dimension ref="A1:O41"/>
  <sheetViews>
    <sheetView showGridLines="0" showZeros="0" topLeftCell="A13" workbookViewId="0">
      <selection activeCell="E3" sqref="E3"/>
    </sheetView>
  </sheetViews>
  <sheetFormatPr defaultColWidth="8.5703125" defaultRowHeight="13.35" customHeight="1" x14ac:dyDescent="0.25"/>
  <cols>
    <col min="1" max="1" width="4.5703125" customWidth="1"/>
    <col min="2" max="2" width="37.42578125" customWidth="1"/>
    <col min="3" max="4" width="12.5703125" customWidth="1"/>
    <col min="5" max="15" width="12.42578125" customWidth="1"/>
    <col min="16" max="16" width="8.5703125" customWidth="1"/>
  </cols>
  <sheetData>
    <row r="1" spans="1:15" ht="18.600000000000001" customHeight="1" x14ac:dyDescent="0.25">
      <c r="A1" s="1396"/>
      <c r="B1" s="1397" t="str">
        <f>+'Data Input sheet'!$B$5&amp;" "&amp;'Data Input sheet'!$C$5</f>
        <v>Project Number: 21334</v>
      </c>
      <c r="C1" s="1397"/>
      <c r="D1" s="1397" t="str">
        <f>+'Data Input sheet'!$B$7&amp;" "&amp;'Data Input sheet'!$C$7</f>
        <v>Project Title: Battery Storage - Hyde Park</v>
      </c>
      <c r="E1" s="1397"/>
      <c r="F1" s="1397"/>
      <c r="G1" s="1397"/>
      <c r="H1" s="1397"/>
      <c r="I1" s="1397"/>
      <c r="J1" s="1397"/>
      <c r="K1" s="1397"/>
      <c r="L1" s="1397"/>
      <c r="M1" s="1397"/>
      <c r="N1" s="1397"/>
      <c r="O1" s="1397"/>
    </row>
    <row r="2" spans="1:15" ht="15.75" thickBot="1" x14ac:dyDescent="0.3">
      <c r="A2" s="1396"/>
      <c r="B2" s="1397"/>
      <c r="C2" s="1397"/>
      <c r="D2" s="1397"/>
      <c r="E2" s="168" t="s">
        <v>220</v>
      </c>
      <c r="F2" s="1397"/>
      <c r="G2" s="1397"/>
      <c r="H2" s="1397"/>
      <c r="I2" s="1397"/>
      <c r="J2" s="1397"/>
      <c r="K2" s="1397"/>
      <c r="L2" s="1397"/>
      <c r="M2" s="1397"/>
      <c r="N2" s="1397"/>
      <c r="O2" s="1397"/>
    </row>
    <row r="3" spans="1:15" ht="15.75" thickTop="1" x14ac:dyDescent="0.25">
      <c r="A3" s="1396"/>
      <c r="B3" s="1398"/>
      <c r="C3" s="1399"/>
      <c r="D3" s="1399"/>
      <c r="E3" s="1832">
        <f>+'Data Input sheet'!D65</f>
        <v>45292</v>
      </c>
      <c r="F3" s="2809">
        <f>+'Data Input sheet'!G65</f>
        <v>45658</v>
      </c>
      <c r="G3" s="2809">
        <f>+'Data Input sheet'!J65</f>
        <v>46023</v>
      </c>
      <c r="H3" s="2809">
        <f>+'Data Input sheet'!M65</f>
        <v>46388</v>
      </c>
      <c r="I3" s="2809">
        <f>+'Data Input sheet'!P65</f>
        <v>46753</v>
      </c>
      <c r="J3" s="2809">
        <f>+'Data Input sheet'!S65</f>
        <v>47119</v>
      </c>
      <c r="K3" s="2809">
        <f>+'Data Input sheet'!V65</f>
        <v>47484</v>
      </c>
      <c r="L3" s="2809">
        <f>+'Data Input sheet'!Y65</f>
        <v>47849</v>
      </c>
      <c r="M3" s="2809">
        <f>+'Data Input sheet'!AB65</f>
        <v>48214</v>
      </c>
      <c r="N3" s="2809">
        <f>+'Data Input sheet'!AE65</f>
        <v>48580</v>
      </c>
      <c r="O3" s="2811" t="s">
        <v>216</v>
      </c>
    </row>
    <row r="4" spans="1:15" ht="30" customHeight="1" thickBot="1" x14ac:dyDescent="0.3">
      <c r="A4" s="1396"/>
      <c r="B4" s="1400" t="s">
        <v>255</v>
      </c>
      <c r="C4" s="1401" t="s">
        <v>221</v>
      </c>
      <c r="D4" s="1401" t="s">
        <v>215</v>
      </c>
      <c r="E4" s="1402" t="s">
        <v>256</v>
      </c>
      <c r="F4" s="2810"/>
      <c r="G4" s="2810"/>
      <c r="H4" s="2810"/>
      <c r="I4" s="2810"/>
      <c r="J4" s="2810"/>
      <c r="K4" s="2810"/>
      <c r="L4" s="2810"/>
      <c r="M4" s="2810"/>
      <c r="N4" s="2810"/>
      <c r="O4" s="2812"/>
    </row>
    <row r="5" spans="1:15" ht="16.5" thickTop="1" thickBot="1" x14ac:dyDescent="0.3">
      <c r="A5" s="1396">
        <v>1</v>
      </c>
      <c r="B5" s="1403" t="str">
        <f>+A5&amp;". "&amp;VLOOKUP(A5,Parameters!$D$159:$E$301,2)</f>
        <v>1. ROW / Easements / Land purchases</v>
      </c>
      <c r="C5" s="1859"/>
      <c r="D5" s="1859">
        <f ca="1">SUMIF('Detail Summary'!$E$217:$AS$277,$A5,'Detail Summary'!L$217:L$277)/1000</f>
        <v>0</v>
      </c>
      <c r="E5" s="1859">
        <f ca="1">SUMIF('Detail Summary'!$E$217:$AS$277,$A5,'Detail Summary'!O$217:O$277)/1000</f>
        <v>0</v>
      </c>
      <c r="F5" s="1859">
        <f ca="1">SUMIF('Detail Summary'!$E$217:$AS$277,$A5,'Detail Summary'!R$217:R$277)/1000</f>
        <v>0</v>
      </c>
      <c r="G5" s="1859">
        <f ca="1">SUMIF('Detail Summary'!$E$217:$AS$277,$A5,'Detail Summary'!U$217:U$277)/1000</f>
        <v>0</v>
      </c>
      <c r="H5" s="1859">
        <f ca="1">SUMIF('Detail Summary'!$E$217:$AS$277,$A5,'Detail Summary'!X$217:X$277)/1000</f>
        <v>0</v>
      </c>
      <c r="I5" s="1859">
        <f ca="1">SUMIF('Detail Summary'!$E$217:$AS$277,$A5,'Detail Summary'!AA$217:AA$277)/1000</f>
        <v>0</v>
      </c>
      <c r="J5" s="1859">
        <f ca="1">SUMIF('Detail Summary'!$E$217:$AS$277,$A5,'Detail Summary'!AD$217:AD$277)/1000</f>
        <v>0</v>
      </c>
      <c r="K5" s="1859">
        <f ca="1">SUMIF('Detail Summary'!$E$217:$AS$277,$A5,'Detail Summary'!AG$217:AG$277)/1000</f>
        <v>0</v>
      </c>
      <c r="L5" s="1859">
        <f ca="1">SUMIF('Detail Summary'!$E$217:$AS$277,$A5,'Detail Summary'!AJ$217:AJ$277)/1000</f>
        <v>0</v>
      </c>
      <c r="M5" s="1859">
        <f ca="1">SUMIF('Detail Summary'!$E$217:$AS$277,$A5,'Detail Summary'!AM$217:AM$277)/1000</f>
        <v>0</v>
      </c>
      <c r="N5" s="1859">
        <f ca="1">SUMIF('Detail Summary'!$E$217:$AS$277,$A5,'Detail Summary'!AP$217:AP$277)/1000</f>
        <v>0</v>
      </c>
      <c r="O5" s="1859">
        <f ca="1">SUM(D5:N5)</f>
        <v>0</v>
      </c>
    </row>
    <row r="6" spans="1:15" ht="15.75" thickBot="1" x14ac:dyDescent="0.3">
      <c r="A6" s="1396">
        <v>2</v>
      </c>
      <c r="B6" s="1403" t="str">
        <f>+A6&amp;". "&amp;VLOOKUP(A6,Parameters!$D$159:$E$301,2)</f>
        <v>2. Environmental Approvals / Permits</v>
      </c>
      <c r="C6" s="1859"/>
      <c r="D6" s="1859">
        <f ca="1">SUMIF('Detail Summary'!$E$217:$AS$277,$A6,'Detail Summary'!L$217:L$277)/1000</f>
        <v>5.0600500000000004</v>
      </c>
      <c r="E6" s="1859">
        <f ca="1">SUMIF('Detail Summary'!$E$217:$AS$277,$A6,'Detail Summary'!O$217:O$277)/1000</f>
        <v>0</v>
      </c>
      <c r="F6" s="1859">
        <f ca="1">SUMIF('Detail Summary'!$E$217:$AS$277,$A6,'Detail Summary'!R$217:R$277)/1000</f>
        <v>0</v>
      </c>
      <c r="G6" s="1859">
        <f ca="1">SUMIF('Detail Summary'!$E$217:$AS$277,$A6,'Detail Summary'!U$217:U$277)/1000</f>
        <v>77.721000000000004</v>
      </c>
      <c r="H6" s="1859">
        <f ca="1">SUMIF('Detail Summary'!$E$217:$AS$277,$A6,'Detail Summary'!X$217:X$277)/1000</f>
        <v>160.10599999999999</v>
      </c>
      <c r="I6" s="1859">
        <f ca="1">SUMIF('Detail Summary'!$E$217:$AS$277,$A6,'Detail Summary'!AA$217:AA$277)/1000</f>
        <v>82.453999999999994</v>
      </c>
      <c r="J6" s="1859">
        <f ca="1">SUMIF('Detail Summary'!$E$217:$AS$277,$A6,'Detail Summary'!AD$217:AD$277)/1000</f>
        <v>0</v>
      </c>
      <c r="K6" s="1859">
        <f ca="1">SUMIF('Detail Summary'!$E$217:$AS$277,$A6,'Detail Summary'!AG$217:AG$277)/1000</f>
        <v>0</v>
      </c>
      <c r="L6" s="1859">
        <f ca="1">SUMIF('Detail Summary'!$E$217:$AS$277,$A6,'Detail Summary'!AJ$217:AJ$277)/1000</f>
        <v>0</v>
      </c>
      <c r="M6" s="1859">
        <f ca="1">SUMIF('Detail Summary'!$E$217:$AS$277,$A6,'Detail Summary'!AM$217:AM$277)/1000</f>
        <v>0</v>
      </c>
      <c r="N6" s="1859">
        <f ca="1">SUMIF('Detail Summary'!$E$217:$AS$277,$A6,'Detail Summary'!AP$217:AP$277)/1000</f>
        <v>0</v>
      </c>
      <c r="O6" s="1859">
        <f t="shared" ref="O6:O16" ca="1" si="0">SUM(D6:N6)</f>
        <v>325.34105</v>
      </c>
    </row>
    <row r="7" spans="1:15" ht="15.75" thickBot="1" x14ac:dyDescent="0.3">
      <c r="A7" s="1396">
        <v>3</v>
      </c>
      <c r="B7" s="1403" t="str">
        <f>+A7&amp;". "&amp;VLOOKUP(A7,Parameters!$D$159:$E$301,2)</f>
        <v>3. Outreach</v>
      </c>
      <c r="C7" s="1859"/>
      <c r="D7" s="1859">
        <f ca="1">SUMIF('Detail Summary'!$E$217:$AS$277,$A7,'Detail Summary'!L$217:L$277)/1000</f>
        <v>10.968120000000001</v>
      </c>
      <c r="E7" s="1859">
        <f ca="1">SUMIF('Detail Summary'!$E$217:$AS$277,$A7,'Detail Summary'!O$217:O$277)/1000</f>
        <v>0</v>
      </c>
      <c r="F7" s="1859">
        <f ca="1">SUMIF('Detail Summary'!$E$217:$AS$277,$A7,'Detail Summary'!R$217:R$277)/1000</f>
        <v>0</v>
      </c>
      <c r="G7" s="1859">
        <f ca="1">SUMIF('Detail Summary'!$E$217:$AS$277,$A7,'Detail Summary'!U$217:U$277)/1000</f>
        <v>123.792</v>
      </c>
      <c r="H7" s="1859">
        <f ca="1">SUMIF('Detail Summary'!$E$217:$AS$277,$A7,'Detail Summary'!X$217:X$277)/1000</f>
        <v>164.22900000000001</v>
      </c>
      <c r="I7" s="1859">
        <f ca="1">SUMIF('Detail Summary'!$E$217:$AS$277,$A7,'Detail Summary'!AA$217:AA$277)/1000</f>
        <v>30.946999999999999</v>
      </c>
      <c r="J7" s="1859">
        <f ca="1">SUMIF('Detail Summary'!$E$217:$AS$277,$A7,'Detail Summary'!AD$217:AD$277)/1000</f>
        <v>0</v>
      </c>
      <c r="K7" s="1859">
        <f ca="1">SUMIF('Detail Summary'!$E$217:$AS$277,$A7,'Detail Summary'!AG$217:AG$277)/1000</f>
        <v>0</v>
      </c>
      <c r="L7" s="1859">
        <f ca="1">SUMIF('Detail Summary'!$E$217:$AS$277,$A7,'Detail Summary'!AJ$217:AJ$277)/1000</f>
        <v>0</v>
      </c>
      <c r="M7" s="1859">
        <f ca="1">SUMIF('Detail Summary'!$E$217:$AS$277,$A7,'Detail Summary'!AM$217:AM$277)/1000</f>
        <v>0</v>
      </c>
      <c r="N7" s="1859">
        <f ca="1">SUMIF('Detail Summary'!$E$217:$AS$277,$A7,'Detail Summary'!AP$217:AP$277)/1000</f>
        <v>0</v>
      </c>
      <c r="O7" s="1859">
        <f t="shared" ca="1" si="0"/>
        <v>329.93612000000002</v>
      </c>
    </row>
    <row r="8" spans="1:15" ht="15.75" thickBot="1" x14ac:dyDescent="0.3">
      <c r="A8" s="1396">
        <v>4</v>
      </c>
      <c r="B8" s="1403" t="str">
        <f>+A8&amp;". "&amp;VLOOKUP(A8,Parameters!$D$159:$E$301,2)</f>
        <v>4. Siting Approvals / Permits</v>
      </c>
      <c r="C8" s="1859"/>
      <c r="D8" s="1859">
        <f ca="1">SUMIF('Detail Summary'!$E$217:$AS$277,$A8,'Detail Summary'!L$217:L$277)/1000</f>
        <v>10.307</v>
      </c>
      <c r="E8" s="1859">
        <f ca="1">SUMIF('Detail Summary'!$E$217:$AS$277,$A8,'Detail Summary'!O$217:O$277)/1000</f>
        <v>0</v>
      </c>
      <c r="F8" s="1859">
        <f ca="1">SUMIF('Detail Summary'!$E$217:$AS$277,$A8,'Detail Summary'!R$217:R$277)/1000</f>
        <v>0</v>
      </c>
      <c r="G8" s="1859">
        <f ca="1">SUMIF('Detail Summary'!$E$217:$AS$277,$A8,'Detail Summary'!U$217:U$277)/1000</f>
        <v>113.459</v>
      </c>
      <c r="H8" s="1859">
        <f ca="1">SUMIF('Detail Summary'!$E$217:$AS$277,$A8,'Detail Summary'!X$217:X$277)/1000</f>
        <v>150.60599999999999</v>
      </c>
      <c r="I8" s="1859">
        <f ca="1">SUMIF('Detail Summary'!$E$217:$AS$277,$A8,'Detail Summary'!AA$217:AA$277)/1000</f>
        <v>28.266999999999999</v>
      </c>
      <c r="J8" s="1859">
        <f ca="1">SUMIF('Detail Summary'!$E$217:$AS$277,$A8,'Detail Summary'!AD$217:AD$277)/1000</f>
        <v>0</v>
      </c>
      <c r="K8" s="1859">
        <f ca="1">SUMIF('Detail Summary'!$E$217:$AS$277,$A8,'Detail Summary'!AG$217:AG$277)/1000</f>
        <v>0</v>
      </c>
      <c r="L8" s="1859">
        <f ca="1">SUMIF('Detail Summary'!$E$217:$AS$277,$A8,'Detail Summary'!AJ$217:AJ$277)/1000</f>
        <v>0</v>
      </c>
      <c r="M8" s="1859">
        <f ca="1">SUMIF('Detail Summary'!$E$217:$AS$277,$A8,'Detail Summary'!AM$217:AM$277)/1000</f>
        <v>0</v>
      </c>
      <c r="N8" s="1859">
        <f ca="1">SUMIF('Detail Summary'!$E$217:$AS$277,$A8,'Detail Summary'!AP$217:AP$277)/1000</f>
        <v>0</v>
      </c>
      <c r="O8" s="1859">
        <f t="shared" ca="1" si="0"/>
        <v>302.63900000000001</v>
      </c>
    </row>
    <row r="9" spans="1:15" ht="15.75" thickBot="1" x14ac:dyDescent="0.3">
      <c r="A9" s="1396">
        <v>5</v>
      </c>
      <c r="B9" s="1403" t="str">
        <f>+A9&amp;". "&amp;VLOOKUP(A9,Parameters!$D$159:$E$301,2)</f>
        <v>5. Engineering / Design</v>
      </c>
      <c r="C9" s="1859"/>
      <c r="D9" s="1859">
        <f ca="1">SUMIF('Detail Summary'!$E$217:$AS$277,$A9,'Detail Summary'!L$217:L$277)/1000</f>
        <v>16.424059999999997</v>
      </c>
      <c r="E9" s="1859">
        <f ca="1">SUMIF('Detail Summary'!$E$217:$AS$277,$A9,'Detail Summary'!O$217:O$277)/1000</f>
        <v>0</v>
      </c>
      <c r="F9" s="1859">
        <f ca="1">SUMIF('Detail Summary'!$E$217:$AS$277,$A9,'Detail Summary'!R$217:R$277)/1000</f>
        <v>0</v>
      </c>
      <c r="G9" s="1859">
        <f ca="1">SUMIF('Detail Summary'!$E$217:$AS$277,$A9,'Detail Summary'!U$217:U$277)/1000</f>
        <v>393.71</v>
      </c>
      <c r="H9" s="1859">
        <f ca="1">SUMIF('Detail Summary'!$E$217:$AS$277,$A9,'Detail Summary'!X$217:X$277)/1000</f>
        <v>383.976</v>
      </c>
      <c r="I9" s="1859">
        <f ca="1">SUMIF('Detail Summary'!$E$217:$AS$277,$A9,'Detail Summary'!AA$217:AA$277)/1000</f>
        <v>37.881999999999998</v>
      </c>
      <c r="J9" s="1859">
        <f ca="1">SUMIF('Detail Summary'!$E$217:$AS$277,$A9,'Detail Summary'!AD$217:AD$277)/1000</f>
        <v>0</v>
      </c>
      <c r="K9" s="1859">
        <f ca="1">SUMIF('Detail Summary'!$E$217:$AS$277,$A9,'Detail Summary'!AG$217:AG$277)/1000</f>
        <v>0</v>
      </c>
      <c r="L9" s="1859">
        <f ca="1">SUMIF('Detail Summary'!$E$217:$AS$277,$A9,'Detail Summary'!AJ$217:AJ$277)/1000</f>
        <v>0</v>
      </c>
      <c r="M9" s="1859">
        <f ca="1">SUMIF('Detail Summary'!$E$217:$AS$277,$A9,'Detail Summary'!AM$217:AM$277)/1000</f>
        <v>0</v>
      </c>
      <c r="N9" s="1859">
        <f ca="1">SUMIF('Detail Summary'!$E$217:$AS$277,$A9,'Detail Summary'!AP$217:AP$277)/1000</f>
        <v>0</v>
      </c>
      <c r="O9" s="1859">
        <f t="shared" ca="1" si="0"/>
        <v>831.99205999999992</v>
      </c>
    </row>
    <row r="10" spans="1:15" ht="15.75" thickBot="1" x14ac:dyDescent="0.3">
      <c r="A10" s="1396">
        <v>6</v>
      </c>
      <c r="B10" s="1403" t="str">
        <f>+A10&amp;". "&amp;VLOOKUP(A10,Parameters!$D$159:$E$301,2)</f>
        <v>6. Materials ( Eversource purchased)</v>
      </c>
      <c r="C10" s="1859"/>
      <c r="D10" s="1859">
        <f ca="1">SUMIF('Detail Summary'!$E$217:$AS$277,$A10,'Detail Summary'!L$217:L$277)/1000</f>
        <v>2.3580000000000001</v>
      </c>
      <c r="E10" s="1859">
        <f ca="1">SUMIF('Detail Summary'!$E$217:$AS$277,$A10,'Detail Summary'!O$217:O$277)/1000</f>
        <v>0</v>
      </c>
      <c r="F10" s="1859">
        <f ca="1">SUMIF('Detail Summary'!$E$217:$AS$277,$A10,'Detail Summary'!R$217:R$277)/1000</f>
        <v>0</v>
      </c>
      <c r="G10" s="1859">
        <f ca="1">SUMIF('Detail Summary'!$E$217:$AS$277,$A10,'Detail Summary'!U$217:U$277)/1000</f>
        <v>9639.1718996</v>
      </c>
      <c r="H10" s="1859">
        <f ca="1">SUMIF('Detail Summary'!$E$217:$AS$277,$A10,'Detail Summary'!X$217:X$277)/1000</f>
        <v>9928.3470565879998</v>
      </c>
      <c r="I10" s="1859">
        <f ca="1">SUMIF('Detail Summary'!$E$217:$AS$277,$A10,'Detail Summary'!AA$217:AA$277)/1000</f>
        <v>0</v>
      </c>
      <c r="J10" s="1859">
        <f ca="1">SUMIF('Detail Summary'!$E$217:$AS$277,$A10,'Detail Summary'!AD$217:AD$277)/1000</f>
        <v>0</v>
      </c>
      <c r="K10" s="1859">
        <f ca="1">SUMIF('Detail Summary'!$E$217:$AS$277,$A10,'Detail Summary'!AG$217:AG$277)/1000</f>
        <v>0</v>
      </c>
      <c r="L10" s="1859">
        <f ca="1">SUMIF('Detail Summary'!$E$217:$AS$277,$A10,'Detail Summary'!AJ$217:AJ$277)/1000</f>
        <v>0</v>
      </c>
      <c r="M10" s="1859">
        <f ca="1">SUMIF('Detail Summary'!$E$217:$AS$277,$A10,'Detail Summary'!AM$217:AM$277)/1000</f>
        <v>0</v>
      </c>
      <c r="N10" s="1859">
        <f ca="1">SUMIF('Detail Summary'!$E$217:$AS$277,$A10,'Detail Summary'!AP$217:AP$277)/1000</f>
        <v>0</v>
      </c>
      <c r="O10" s="1859">
        <f t="shared" ca="1" si="0"/>
        <v>19569.876956188</v>
      </c>
    </row>
    <row r="11" spans="1:15" ht="29.25" thickBot="1" x14ac:dyDescent="0.3">
      <c r="A11" s="1396">
        <v>7</v>
      </c>
      <c r="B11" s="1403" t="str">
        <f>+A11&amp;". "&amp;VLOOKUP(A11,Parameters!$D$159:$E$301,2)</f>
        <v>7. Construction  ( incl materials by contractors)</v>
      </c>
      <c r="C11" s="1859"/>
      <c r="D11" s="1859">
        <f ca="1">SUMIF('Detail Summary'!$E$217:$AS$277,$A11,'Detail Summary'!L$217:L$277)/1000</f>
        <v>10.96325</v>
      </c>
      <c r="E11" s="1859">
        <f ca="1">SUMIF('Detail Summary'!$E$217:$AS$277,$A11,'Detail Summary'!O$217:O$277)/1000</f>
        <v>0</v>
      </c>
      <c r="F11" s="1859">
        <f ca="1">SUMIF('Detail Summary'!$E$217:$AS$277,$A11,'Detail Summary'!R$217:R$277)/1000</f>
        <v>0</v>
      </c>
      <c r="G11" s="1859">
        <f ca="1">SUMIF('Detail Summary'!$E$217:$AS$277,$A11,'Detail Summary'!U$217:U$277)/1000</f>
        <v>0.79567499999999991</v>
      </c>
      <c r="H11" s="1859">
        <f ca="1">SUMIF('Detail Summary'!$E$217:$AS$277,$A11,'Detail Summary'!X$217:X$277)/1000</f>
        <v>2771.3184348784007</v>
      </c>
      <c r="I11" s="1859">
        <f ca="1">SUMIF('Detail Summary'!$E$217:$AS$277,$A11,'Detail Summary'!AA$217:AA$277)/1000</f>
        <v>1788.7037526781683</v>
      </c>
      <c r="J11" s="1859">
        <f ca="1">SUMIF('Detail Summary'!$E$217:$AS$277,$A11,'Detail Summary'!AD$217:AD$277)/1000</f>
        <v>0</v>
      </c>
      <c r="K11" s="1859">
        <f ca="1">SUMIF('Detail Summary'!$E$217:$AS$277,$A11,'Detail Summary'!AG$217:AG$277)/1000</f>
        <v>0</v>
      </c>
      <c r="L11" s="1859">
        <f ca="1">SUMIF('Detail Summary'!$E$217:$AS$277,$A11,'Detail Summary'!AJ$217:AJ$277)/1000</f>
        <v>0</v>
      </c>
      <c r="M11" s="1859">
        <f ca="1">SUMIF('Detail Summary'!$E$217:$AS$277,$A11,'Detail Summary'!AM$217:AM$277)/1000</f>
        <v>0</v>
      </c>
      <c r="N11" s="1859">
        <f ca="1">SUMIF('Detail Summary'!$E$217:$AS$277,$A11,'Detail Summary'!AP$217:AP$277)/1000</f>
        <v>0</v>
      </c>
      <c r="O11" s="1859">
        <f t="shared" ca="1" si="0"/>
        <v>4571.7811125565695</v>
      </c>
    </row>
    <row r="12" spans="1:15" ht="15.75" thickBot="1" x14ac:dyDescent="0.3">
      <c r="A12" s="1396">
        <v>8</v>
      </c>
      <c r="B12" s="1403" t="str">
        <f>+A12&amp;". "&amp;VLOOKUP(A12,Parameters!$D$159:$E$301,2)</f>
        <v>8. Testing / Commissioning</v>
      </c>
      <c r="C12" s="1859"/>
      <c r="D12" s="1859">
        <f ca="1">SUMIF('Detail Summary'!$E$217:$AS$277,$A12,'Detail Summary'!L$217:L$277)/1000</f>
        <v>0</v>
      </c>
      <c r="E12" s="1859">
        <f ca="1">SUMIF('Detail Summary'!$E$217:$AS$277,$A12,'Detail Summary'!O$217:O$277)/1000</f>
        <v>0</v>
      </c>
      <c r="F12" s="1859">
        <f ca="1">SUMIF('Detail Summary'!$E$217:$AS$277,$A12,'Detail Summary'!R$217:R$277)/1000</f>
        <v>0</v>
      </c>
      <c r="G12" s="1859">
        <f ca="1">SUMIF('Detail Summary'!$E$217:$AS$277,$A12,'Detail Summary'!U$217:U$277)/1000</f>
        <v>0</v>
      </c>
      <c r="H12" s="1859">
        <f ca="1">SUMIF('Detail Summary'!$E$217:$AS$277,$A12,'Detail Summary'!X$217:X$277)/1000</f>
        <v>311.50200000000001</v>
      </c>
      <c r="I12" s="1859">
        <f ca="1">SUMIF('Detail Summary'!$E$217:$AS$277,$A12,'Detail Summary'!AA$217:AA$277)/1000</f>
        <v>752.33199999999999</v>
      </c>
      <c r="J12" s="1859">
        <f ca="1">SUMIF('Detail Summary'!$E$217:$AS$277,$A12,'Detail Summary'!AD$217:AD$277)/1000</f>
        <v>0</v>
      </c>
      <c r="K12" s="1859">
        <f ca="1">SUMIF('Detail Summary'!$E$217:$AS$277,$A12,'Detail Summary'!AG$217:AG$277)/1000</f>
        <v>0</v>
      </c>
      <c r="L12" s="1859">
        <f ca="1">SUMIF('Detail Summary'!$E$217:$AS$277,$A12,'Detail Summary'!AJ$217:AJ$277)/1000</f>
        <v>0</v>
      </c>
      <c r="M12" s="1859">
        <f ca="1">SUMIF('Detail Summary'!$E$217:$AS$277,$A12,'Detail Summary'!AM$217:AM$277)/1000</f>
        <v>0</v>
      </c>
      <c r="N12" s="1859">
        <f ca="1">SUMIF('Detail Summary'!$E$217:$AS$277,$A12,'Detail Summary'!AP$217:AP$277)/1000</f>
        <v>0</v>
      </c>
      <c r="O12" s="1859">
        <f t="shared" ca="1" si="0"/>
        <v>1063.8340000000001</v>
      </c>
    </row>
    <row r="13" spans="1:15" ht="15.75" thickBot="1" x14ac:dyDescent="0.3">
      <c r="A13" s="1396">
        <v>9</v>
      </c>
      <c r="B13" s="1403" t="str">
        <f>+A13&amp;". "&amp;VLOOKUP(A13,Parameters!$D$159:$E$301,2)</f>
        <v>9. PMT Project Mgmt Team</v>
      </c>
      <c r="C13" s="1859"/>
      <c r="D13" s="1859">
        <f ca="1">SUMIF('Detail Summary'!$E$217:$AS$277,$A13,'Detail Summary'!L$217:L$277)/1000</f>
        <v>74.262149999999991</v>
      </c>
      <c r="E13" s="1859">
        <f ca="1">SUMIF('Detail Summary'!$E$217:$AS$277,$A13,'Detail Summary'!O$217:O$277)/1000</f>
        <v>0</v>
      </c>
      <c r="F13" s="1859">
        <f ca="1">SUMIF('Detail Summary'!$E$217:$AS$277,$A13,'Detail Summary'!R$217:R$277)/1000</f>
        <v>0</v>
      </c>
      <c r="G13" s="1859">
        <f ca="1">SUMIF('Detail Summary'!$E$217:$AS$277,$A13,'Detail Summary'!U$217:U$277)/1000</f>
        <v>193.221</v>
      </c>
      <c r="H13" s="1859">
        <f ca="1">SUMIF('Detail Summary'!$E$217:$AS$277,$A13,'Detail Summary'!X$217:X$277)/1000</f>
        <v>406.63600000000002</v>
      </c>
      <c r="I13" s="1859">
        <f ca="1">SUMIF('Detail Summary'!$E$217:$AS$277,$A13,'Detail Summary'!AA$217:AA$277)/1000</f>
        <v>384.267</v>
      </c>
      <c r="J13" s="1859">
        <f ca="1">SUMIF('Detail Summary'!$E$217:$AS$277,$A13,'Detail Summary'!AD$217:AD$277)/1000</f>
        <v>0</v>
      </c>
      <c r="K13" s="1859">
        <f ca="1">SUMIF('Detail Summary'!$E$217:$AS$277,$A13,'Detail Summary'!AG$217:AG$277)/1000</f>
        <v>0</v>
      </c>
      <c r="L13" s="1859">
        <f ca="1">SUMIF('Detail Summary'!$E$217:$AS$277,$A13,'Detail Summary'!AJ$217:AJ$277)/1000</f>
        <v>0</v>
      </c>
      <c r="M13" s="1859">
        <f ca="1">SUMIF('Detail Summary'!$E$217:$AS$277,$A13,'Detail Summary'!AM$217:AM$277)/1000</f>
        <v>0</v>
      </c>
      <c r="N13" s="1859">
        <f ca="1">SUMIF('Detail Summary'!$E$217:$AS$277,$A13,'Detail Summary'!AP$217:AP$277)/1000</f>
        <v>0</v>
      </c>
      <c r="O13" s="1859">
        <f t="shared" ca="1" si="0"/>
        <v>1058.38615</v>
      </c>
    </row>
    <row r="14" spans="1:15" ht="15.75" thickBot="1" x14ac:dyDescent="0.3">
      <c r="A14" s="1396">
        <v>10</v>
      </c>
      <c r="B14" s="1403" t="str">
        <f>+A14&amp;". "&amp;VLOOKUP(A14,Parameters!$D$159:$E$301,2)</f>
        <v>10. Removals</v>
      </c>
      <c r="C14" s="1859"/>
      <c r="D14" s="1859">
        <f ca="1">SUMIF('Detail Summary'!$E$217:$AS$277,$A14,'Detail Summary'!L$217:L$277)/1000</f>
        <v>0</v>
      </c>
      <c r="E14" s="1859">
        <f ca="1">SUMIF('Detail Summary'!$E$217:$AS$277,$A14,'Detail Summary'!O$217:O$277)/1000</f>
        <v>0</v>
      </c>
      <c r="F14" s="1859">
        <f ca="1">SUMIF('Detail Summary'!$E$217:$AS$277,$A14,'Detail Summary'!R$217:R$277)/1000</f>
        <v>0</v>
      </c>
      <c r="G14" s="1859">
        <f ca="1">SUMIF('Detail Summary'!$E$217:$AS$277,$A14,'Detail Summary'!U$217:U$277)/1000</f>
        <v>0</v>
      </c>
      <c r="H14" s="1859">
        <f ca="1">SUMIF('Detail Summary'!$E$217:$AS$277,$A14,'Detail Summary'!X$217:X$277)/1000</f>
        <v>0</v>
      </c>
      <c r="I14" s="1859">
        <f ca="1">SUMIF('Detail Summary'!$E$217:$AS$277,$A14,'Detail Summary'!AA$217:AA$277)/1000</f>
        <v>0</v>
      </c>
      <c r="J14" s="1859">
        <f ca="1">SUMIF('Detail Summary'!$E$217:$AS$277,$A14,'Detail Summary'!AD$217:AD$277)/1000</f>
        <v>0</v>
      </c>
      <c r="K14" s="1859">
        <f ca="1">SUMIF('Detail Summary'!$E$217:$AS$277,$A14,'Detail Summary'!AG$217:AG$277)/1000</f>
        <v>0</v>
      </c>
      <c r="L14" s="1859">
        <f ca="1">SUMIF('Detail Summary'!$E$217:$AS$277,$A14,'Detail Summary'!AJ$217:AJ$277)/1000</f>
        <v>0</v>
      </c>
      <c r="M14" s="1859">
        <f ca="1">SUMIF('Detail Summary'!$E$217:$AS$277,$A14,'Detail Summary'!AM$217:AM$277)/1000</f>
        <v>0</v>
      </c>
      <c r="N14" s="1859">
        <f ca="1">SUMIF('Detail Summary'!$E$217:$AS$277,$A14,'Detail Summary'!AP$217:AP$277)/1000</f>
        <v>0</v>
      </c>
      <c r="O14" s="1859">
        <f t="shared" ca="1" si="0"/>
        <v>0</v>
      </c>
    </row>
    <row r="15" spans="1:15" ht="15.75" thickBot="1" x14ac:dyDescent="0.3">
      <c r="A15" s="1396">
        <v>11</v>
      </c>
      <c r="B15" s="1403" t="str">
        <f>+A15&amp;". "&amp;VLOOKUP(A15,Parameters!$D$159:$E$301,2)</f>
        <v>11. Other ( property taxes and BAR)</v>
      </c>
      <c r="C15" s="1859"/>
      <c r="D15" s="1859">
        <f ca="1">SUMIF('Detail Summary'!$E$217:$AS$277,$A15,'Detail Summary'!L$217:L$277)/1000</f>
        <v>11.094010000000001</v>
      </c>
      <c r="E15" s="1859">
        <f ca="1">SUMIF('Detail Summary'!$E$217:$AS$277,$A15,'Detail Summary'!O$217:O$277)/1000</f>
        <v>3.9169999999999998</v>
      </c>
      <c r="F15" s="1859">
        <f ca="1">SUMIF('Detail Summary'!$E$217:$AS$277,$A15,'Detail Summary'!R$217:R$277)/1000</f>
        <v>7.98</v>
      </c>
      <c r="G15" s="1859">
        <f ca="1">SUMIF('Detail Summary'!$E$217:$AS$277,$A15,'Detail Summary'!U$217:U$277)/1000</f>
        <v>225.607</v>
      </c>
      <c r="H15" s="1859">
        <f ca="1">SUMIF('Detail Summary'!$E$217:$AS$277,$A15,'Detail Summary'!X$217:X$277)/1000</f>
        <v>667.27200000000005</v>
      </c>
      <c r="I15" s="1859">
        <f ca="1">SUMIF('Detail Summary'!$E$217:$AS$277,$A15,'Detail Summary'!AA$217:AA$277)/1000</f>
        <v>21.734000000000002</v>
      </c>
      <c r="J15" s="1859">
        <f ca="1">SUMIF('Detail Summary'!$E$217:$AS$277,$A15,'Detail Summary'!AD$217:AD$277)/1000</f>
        <v>0</v>
      </c>
      <c r="K15" s="1859">
        <f ca="1">SUMIF('Detail Summary'!$E$217:$AS$277,$A15,'Detail Summary'!AG$217:AG$277)/1000</f>
        <v>0</v>
      </c>
      <c r="L15" s="1859">
        <f ca="1">SUMIF('Detail Summary'!$E$217:$AS$277,$A15,'Detail Summary'!AJ$217:AJ$277)/1000</f>
        <v>0</v>
      </c>
      <c r="M15" s="1859">
        <f ca="1">SUMIF('Detail Summary'!$E$217:$AS$277,$A15,'Detail Summary'!AM$217:AM$277)/1000</f>
        <v>0</v>
      </c>
      <c r="N15" s="1859">
        <f ca="1">SUMIF('Detail Summary'!$E$217:$AS$277,$A15,'Detail Summary'!AP$217:AP$277)/1000</f>
        <v>0</v>
      </c>
      <c r="O15" s="1859">
        <f t="shared" ca="1" si="0"/>
        <v>937.60401000000013</v>
      </c>
    </row>
    <row r="16" spans="1:15" ht="15.75" thickBot="1" x14ac:dyDescent="0.3">
      <c r="A16" s="1396">
        <v>12</v>
      </c>
      <c r="B16" s="1403" t="str">
        <f>+A16&amp;". "&amp;VLOOKUP(A16,Parameters!$D$159:$E$301,2)</f>
        <v>12. Risks</v>
      </c>
      <c r="C16" s="1859"/>
      <c r="D16" s="1859">
        <f ca="1">SUMIF('Detail Summary'!$E$217:$AS$277,$A16,'Detail Summary'!L$217:L$277)/1000</f>
        <v>0</v>
      </c>
      <c r="E16" s="1859">
        <f ca="1">SUMIF('Detail Summary'!$E$217:$AS$277,$A16,'Detail Summary'!O$217:O$277)/1000</f>
        <v>0</v>
      </c>
      <c r="F16" s="1859">
        <f ca="1">SUMIF('Detail Summary'!$E$217:$AS$277,$A16,'Detail Summary'!R$217:R$277)/1000</f>
        <v>0</v>
      </c>
      <c r="G16" s="1859">
        <f ca="1">SUMIF('Detail Summary'!$E$217:$AS$277,$A16,'Detail Summary'!U$217:U$277)/1000</f>
        <v>900</v>
      </c>
      <c r="H16" s="1859">
        <f ca="1">SUMIF('Detail Summary'!$E$217:$AS$277,$A16,'Detail Summary'!X$217:X$277)/1000</f>
        <v>1650</v>
      </c>
      <c r="I16" s="1859">
        <f ca="1">SUMIF('Detail Summary'!$E$217:$AS$277,$A16,'Detail Summary'!AA$217:AA$277)/1000</f>
        <v>1400</v>
      </c>
      <c r="J16" s="1859">
        <f ca="1">SUMIF('Detail Summary'!$E$217:$AS$277,$A16,'Detail Summary'!AD$217:AD$277)/1000</f>
        <v>0</v>
      </c>
      <c r="K16" s="1859">
        <f ca="1">SUMIF('Detail Summary'!$E$217:$AS$277,$A16,'Detail Summary'!AG$217:AG$277)/1000</f>
        <v>0</v>
      </c>
      <c r="L16" s="1859">
        <f ca="1">SUMIF('Detail Summary'!$E$217:$AS$277,$A16,'Detail Summary'!AJ$217:AJ$277)/1000</f>
        <v>0</v>
      </c>
      <c r="M16" s="1859">
        <f ca="1">SUMIF('Detail Summary'!$E$217:$AS$277,$A16,'Detail Summary'!AM$217:AM$277)/1000</f>
        <v>0</v>
      </c>
      <c r="N16" s="1859">
        <f ca="1">SUMIF('Detail Summary'!$E$217:$AS$277,$A16,'Detail Summary'!AP$217:AP$277)/1000</f>
        <v>0</v>
      </c>
      <c r="O16" s="1859">
        <f t="shared" ca="1" si="0"/>
        <v>3950</v>
      </c>
    </row>
    <row r="17" spans="1:15" ht="15.75" thickBot="1" x14ac:dyDescent="0.3">
      <c r="A17" s="1396"/>
      <c r="B17" s="1405" t="s">
        <v>1496</v>
      </c>
      <c r="C17" s="1860">
        <f t="shared" ref="C17" si="1">SUM(C5:C16)</f>
        <v>0</v>
      </c>
      <c r="D17" s="1860">
        <f ca="1">SUM(D5:D16)</f>
        <v>141.43663999999998</v>
      </c>
      <c r="E17" s="1860">
        <f t="shared" ref="E17:O17" ca="1" si="2">SUM(E5:E16)</f>
        <v>3.9169999999999998</v>
      </c>
      <c r="F17" s="1860">
        <f t="shared" ca="1" si="2"/>
        <v>7.98</v>
      </c>
      <c r="G17" s="1860">
        <f t="shared" ca="1" si="2"/>
        <v>11667.4775746</v>
      </c>
      <c r="H17" s="1860">
        <f t="shared" ca="1" si="2"/>
        <v>16593.992491466401</v>
      </c>
      <c r="I17" s="1860">
        <f t="shared" ca="1" si="2"/>
        <v>4526.5867526781676</v>
      </c>
      <c r="J17" s="1860">
        <f t="shared" ca="1" si="2"/>
        <v>0</v>
      </c>
      <c r="K17" s="1860">
        <f t="shared" ref="K17:N17" ca="1" si="3">SUM(K5:K16)</f>
        <v>0</v>
      </c>
      <c r="L17" s="1860">
        <f t="shared" ca="1" si="3"/>
        <v>0</v>
      </c>
      <c r="M17" s="1860">
        <f t="shared" ca="1" si="3"/>
        <v>0</v>
      </c>
      <c r="N17" s="1860">
        <f t="shared" ca="1" si="3"/>
        <v>0</v>
      </c>
      <c r="O17" s="1860">
        <f t="shared" ca="1" si="2"/>
        <v>32941.390458744565</v>
      </c>
    </row>
    <row r="18" spans="1:15" ht="16.5" thickTop="1" thickBot="1" x14ac:dyDescent="0.3">
      <c r="A18" s="1396">
        <v>13</v>
      </c>
      <c r="B18" s="1403" t="str">
        <f>+A18&amp;". "&amp;VLOOKUP(A18,Parameters!$D$159:$E$301,2)</f>
        <v>13. Indirects/Overhead</v>
      </c>
      <c r="C18" s="1859"/>
      <c r="D18" s="1859">
        <f ca="1">SUMIF('Detail Summary'!$E$217:$AS$277,$A18,'Detail Summary'!L$217:L$277)/1000</f>
        <v>209.08080999999999</v>
      </c>
      <c r="E18" s="1859">
        <f ca="1">SUMIF('Detail Summary'!$E$217:$AS$277,$A18,'Detail Summary'!O$217:O$277)/1000</f>
        <v>3.5000000000000003E-2</v>
      </c>
      <c r="F18" s="1859">
        <f ca="1">SUMIF('Detail Summary'!$E$217:$AS$277,$A18,'Detail Summary'!R$217:R$277)/1000</f>
        <v>7.0999999999999994E-2</v>
      </c>
      <c r="G18" s="1859">
        <f ca="1">SUMIF('Detail Summary'!$E$217:$AS$277,$A18,'Detail Summary'!U$217:U$277)/1000</f>
        <v>1433.3589999999999</v>
      </c>
      <c r="H18" s="1859">
        <f ca="1">SUMIF('Detail Summary'!$E$217:$AS$277,$A18,'Detail Summary'!X$217:X$277)/1000</f>
        <v>4242.4740000000002</v>
      </c>
      <c r="I18" s="1859">
        <f ca="1">SUMIF('Detail Summary'!$E$217:$AS$277,$A18,'Detail Summary'!AA$217:AA$277)/1000</f>
        <v>2595.6779999999999</v>
      </c>
      <c r="J18" s="1859">
        <f ca="1">SUMIF('Detail Summary'!$E$217:$AS$277,$A18,'Detail Summary'!AD$217:AD$277)/1000</f>
        <v>0</v>
      </c>
      <c r="K18" s="1859">
        <f ca="1">SUMIF('Detail Summary'!$E$217:$AS$277,$A18,'Detail Summary'!AG$217:AG$277)/1000</f>
        <v>0</v>
      </c>
      <c r="L18" s="1859">
        <f ca="1">SUMIF('Detail Summary'!$E$217:$AS$277,$A18,'Detail Summary'!AJ$217:AJ$277)/1000</f>
        <v>0</v>
      </c>
      <c r="M18" s="1859">
        <f ca="1">SUMIF('Detail Summary'!$E$217:$AS$277,$A18,'Detail Summary'!AM$217:AM$277)/1000</f>
        <v>0</v>
      </c>
      <c r="N18" s="1859">
        <f ca="1">SUMIF('Detail Summary'!$E$217:$AS$277,$A18,'Detail Summary'!AP$217:AP$277)/1000</f>
        <v>0</v>
      </c>
      <c r="O18" s="1859">
        <f t="shared" ref="O18:O19" ca="1" si="4">SUM(D18:N18)</f>
        <v>8480.6978099999997</v>
      </c>
    </row>
    <row r="19" spans="1:15" ht="15.75" thickBot="1" x14ac:dyDescent="0.3">
      <c r="A19" s="1396">
        <v>14</v>
      </c>
      <c r="B19" s="1403" t="str">
        <f>+A19&amp;". "&amp;VLOOKUP(A19,Parameters!$D$159:$E$301,2)</f>
        <v>14. AFUDC</v>
      </c>
      <c r="C19" s="1859"/>
      <c r="D19" s="1859">
        <f ca="1">SUMIF('Detail Summary'!$E$217:$AS$277,$A19,'Detail Summary'!L$217:L$277)/1000</f>
        <v>25.37434</v>
      </c>
      <c r="E19" s="1859">
        <f ca="1">SUMIF('Detail Summary'!$E$217:$AS$277,$A19,'Detail Summary'!O$217:O$277)/1000</f>
        <v>1.077</v>
      </c>
      <c r="F19" s="1859">
        <f ca="1">SUMIF('Detail Summary'!$E$217:$AS$277,$A19,'Detail Summary'!R$217:R$277)/1000</f>
        <v>26.933</v>
      </c>
      <c r="G19" s="1859">
        <f ca="1">SUMIF('Detail Summary'!$E$217:$AS$277,$A19,'Detail Summary'!U$217:U$277)/1000</f>
        <v>460.69600000000003</v>
      </c>
      <c r="H19" s="1859">
        <f ca="1">SUMIF('Detail Summary'!$E$217:$AS$277,$A19,'Detail Summary'!X$217:X$277)/1000</f>
        <v>1660.9</v>
      </c>
      <c r="I19" s="1859">
        <f ca="1">SUMIF('Detail Summary'!$E$217:$AS$277,$A19,'Detail Summary'!AA$217:AA$277)/1000</f>
        <v>657.5</v>
      </c>
      <c r="J19" s="1859">
        <f ca="1">SUMIF('Detail Summary'!$E$217:$AS$277,$A19,'Detail Summary'!AD$217:AD$277)/1000</f>
        <v>0</v>
      </c>
      <c r="K19" s="1859">
        <f ca="1">SUMIF('Detail Summary'!$E$217:$AS$277,$A19,'Detail Summary'!AG$217:AG$277)/1000</f>
        <v>0</v>
      </c>
      <c r="L19" s="1859">
        <f ca="1">SUMIF('Detail Summary'!$E$217:$AS$277,$A19,'Detail Summary'!AJ$217:AJ$277)/1000</f>
        <v>0</v>
      </c>
      <c r="M19" s="1859">
        <f ca="1">SUMIF('Detail Summary'!$E$217:$AS$277,$A19,'Detail Summary'!AM$217:AM$277)/1000</f>
        <v>0</v>
      </c>
      <c r="N19" s="1859">
        <f ca="1">SUMIF('Detail Summary'!$E$217:$AS$277,$A19,'Detail Summary'!AP$217:AP$277)/1000</f>
        <v>0</v>
      </c>
      <c r="O19" s="1859">
        <f t="shared" ca="1" si="4"/>
        <v>2832.4803400000001</v>
      </c>
    </row>
    <row r="20" spans="1:15" ht="15.75" thickBot="1" x14ac:dyDescent="0.3">
      <c r="A20" s="1396"/>
      <c r="B20" s="1405" t="s">
        <v>1495</v>
      </c>
      <c r="C20" s="1860">
        <f t="shared" ref="C20:O20" si="5">SUM(C17:C19)</f>
        <v>0</v>
      </c>
      <c r="D20" s="1860">
        <f t="shared" ca="1" si="5"/>
        <v>375.89178999999996</v>
      </c>
      <c r="E20" s="1860">
        <f t="shared" ca="1" si="5"/>
        <v>5.0289999999999999</v>
      </c>
      <c r="F20" s="1860">
        <f t="shared" ca="1" si="5"/>
        <v>34.984000000000002</v>
      </c>
      <c r="G20" s="1860">
        <f t="shared" ca="1" si="5"/>
        <v>13561.5325746</v>
      </c>
      <c r="H20" s="1860">
        <f t="shared" ca="1" si="5"/>
        <v>22497.366491466404</v>
      </c>
      <c r="I20" s="1860">
        <f t="shared" ca="1" si="5"/>
        <v>7779.7647526781675</v>
      </c>
      <c r="J20" s="1860">
        <f t="shared" ca="1" si="5"/>
        <v>0</v>
      </c>
      <c r="K20" s="1860">
        <f t="shared" ref="K20:N20" ca="1" si="6">SUM(K17:K19)</f>
        <v>0</v>
      </c>
      <c r="L20" s="1860">
        <f t="shared" ca="1" si="6"/>
        <v>0</v>
      </c>
      <c r="M20" s="1860">
        <f t="shared" ca="1" si="6"/>
        <v>0</v>
      </c>
      <c r="N20" s="1860">
        <f t="shared" ca="1" si="6"/>
        <v>0</v>
      </c>
      <c r="O20" s="1860">
        <f t="shared" ca="1" si="5"/>
        <v>44254.568608744565</v>
      </c>
    </row>
    <row r="21" spans="1:15" ht="16.5" thickTop="1" thickBot="1" x14ac:dyDescent="0.3">
      <c r="A21" s="1396">
        <v>15</v>
      </c>
      <c r="B21" s="1403" t="str">
        <f>+A21&amp;". "&amp;VLOOKUP(A21,Parameters!$D$159:$E$301,2)</f>
        <v>15. Contingency</v>
      </c>
      <c r="C21" s="1859"/>
      <c r="D21" s="1859">
        <f ca="1">SUMIF('Detail Summary'!$E$217:$AS$277,$A21,'Detail Summary'!L$217:L$277)/1000</f>
        <v>0</v>
      </c>
      <c r="E21" s="1859">
        <f ca="1">SUMIF('Detail Summary'!$E$217:$AS$277,$A21,'Detail Summary'!O$217:O$277)/1000</f>
        <v>0</v>
      </c>
      <c r="F21" s="1859">
        <f ca="1">SUMIF('Detail Summary'!$E$217:$AS$277,$A21,'Detail Summary'!R$217:R$277)/1000</f>
        <v>0</v>
      </c>
      <c r="G21" s="1859">
        <f ca="1">SUMIF('Detail Summary'!$E$217:$AS$277,$A21,'Detail Summary'!U$217:U$277)/1000</f>
        <v>775.86938511654705</v>
      </c>
      <c r="H21" s="1859">
        <f ca="1">SUMIF('Detail Summary'!$E$217:$AS$277,$A21,'Detail Summary'!X$217:X$277)/1000</f>
        <v>942.31550801654703</v>
      </c>
      <c r="I21" s="1859">
        <f ca="1">SUMIF('Detail Summary'!$E$217:$AS$277,$A21,'Detail Summary'!AA$217:AA$277)/1000</f>
        <v>123.60644000000001</v>
      </c>
      <c r="J21" s="1859">
        <f ca="1">SUMIF('Detail Summary'!$E$217:$AS$277,$A21,'Detail Summary'!AD$217:AD$277)/1000</f>
        <v>0</v>
      </c>
      <c r="K21" s="1859">
        <f ca="1">SUMIF('Detail Summary'!$E$217:$AS$277,$A21,'Detail Summary'!AG$217:AG$277)/1000</f>
        <v>0</v>
      </c>
      <c r="L21" s="1859">
        <f ca="1">SUMIF('Detail Summary'!$E$217:$AS$277,$A21,'Detail Summary'!AJ$217:AJ$277)/1000</f>
        <v>0</v>
      </c>
      <c r="M21" s="1859">
        <f ca="1">SUMIF('Detail Summary'!$E$217:$AS$277,$A21,'Detail Summary'!AM$217:AM$277)/1000</f>
        <v>0</v>
      </c>
      <c r="N21" s="1859">
        <f ca="1">SUMIF('Detail Summary'!$E$217:$AS$277,$A21,'Detail Summary'!AP$217:AP$277)/1000</f>
        <v>0</v>
      </c>
      <c r="O21" s="1859">
        <f t="shared" ref="O21:O22" ca="1" si="7">SUM(D21:N21)</f>
        <v>1841.7913331330942</v>
      </c>
    </row>
    <row r="22" spans="1:15" ht="15.75" thickBot="1" x14ac:dyDescent="0.3">
      <c r="A22" s="1396">
        <v>0</v>
      </c>
      <c r="B22" s="1403" t="e">
        <f>+A22&amp;". "&amp;VLOOKUP(A22,Parameters!$D$159:$E$301,2)</f>
        <v>#N/A</v>
      </c>
      <c r="C22" s="1859"/>
      <c r="D22" s="1859">
        <f ca="1">SUMIF('Detail Summary'!$E$217:$AS$277,$A22,'Detail Summary'!L$217:L$277)/1000</f>
        <v>0</v>
      </c>
      <c r="E22" s="1859">
        <f ca="1">SUMIF('Detail Summary'!$E$217:$AS$277,$A22,'Detail Summary'!O$217:O$277)/1000</f>
        <v>0</v>
      </c>
      <c r="F22" s="1859">
        <f ca="1">SUMIF('Detail Summary'!$E$217:$AS$277,$A22,'Detail Summary'!R$217:R$277)/1000</f>
        <v>0</v>
      </c>
      <c r="G22" s="1859">
        <f ca="1">SUMIF('Detail Summary'!$E$217:$AS$277,$A22,'Detail Summary'!U$217:U$277)/1000</f>
        <v>0</v>
      </c>
      <c r="H22" s="1859">
        <f ca="1">SUMIF('Detail Summary'!$E$217:$AS$277,$A22,'Detail Summary'!X$217:X$277)/1000</f>
        <v>0</v>
      </c>
      <c r="I22" s="1859">
        <f ca="1">SUMIF('Detail Summary'!$E$217:$AS$277,$A22,'Detail Summary'!AA$217:AA$277)/1000</f>
        <v>0</v>
      </c>
      <c r="J22" s="1859">
        <f ca="1">SUMIF('Detail Summary'!$E$217:$AS$277,$A22,'Detail Summary'!AD$217:AD$277)/1000</f>
        <v>0</v>
      </c>
      <c r="K22" s="1859">
        <f ca="1">SUMIF('Detail Summary'!$E$217:$AS$277,$A22,'Detail Summary'!AG$217:AG$277)/1000</f>
        <v>0</v>
      </c>
      <c r="L22" s="1859">
        <f ca="1">SUMIF('Detail Summary'!$E$217:$AS$277,$A22,'Detail Summary'!AJ$217:AJ$277)/1000</f>
        <v>0</v>
      </c>
      <c r="M22" s="1859">
        <f ca="1">SUMIF('Detail Summary'!$E$217:$AS$277,$A22,'Detail Summary'!AM$217:AM$277)/1000</f>
        <v>0</v>
      </c>
      <c r="N22" s="1859">
        <f ca="1">SUMIF('Detail Summary'!$E$217:$AS$277,$A22,'Detail Summary'!AP$217:AP$277)/1000</f>
        <v>0</v>
      </c>
      <c r="O22" s="1859">
        <f t="shared" ca="1" si="7"/>
        <v>0</v>
      </c>
    </row>
    <row r="23" spans="1:15" ht="29.25" thickBot="1" x14ac:dyDescent="0.3">
      <c r="A23" s="1396"/>
      <c r="B23" s="1405" t="s">
        <v>1497</v>
      </c>
      <c r="C23" s="1860">
        <f>'Data Input sheet'!D195</f>
        <v>0</v>
      </c>
      <c r="D23" s="1860">
        <f ca="1">SUM(D20:D22)</f>
        <v>375.89178999999996</v>
      </c>
      <c r="E23" s="1860">
        <f t="shared" ref="E23:O23" ca="1" si="8">SUM(E20:E22)</f>
        <v>5.0289999999999999</v>
      </c>
      <c r="F23" s="1860">
        <f t="shared" ca="1" si="8"/>
        <v>34.984000000000002</v>
      </c>
      <c r="G23" s="1860">
        <f t="shared" ca="1" si="8"/>
        <v>14337.401959716546</v>
      </c>
      <c r="H23" s="1860">
        <f t="shared" ca="1" si="8"/>
        <v>23439.681999482949</v>
      </c>
      <c r="I23" s="1860">
        <f t="shared" ca="1" si="8"/>
        <v>7903.3711926781671</v>
      </c>
      <c r="J23" s="1860">
        <f t="shared" ca="1" si="8"/>
        <v>0</v>
      </c>
      <c r="K23" s="1860">
        <f t="shared" ref="K23:N23" ca="1" si="9">SUM(K20:K22)</f>
        <v>0</v>
      </c>
      <c r="L23" s="1860">
        <f t="shared" ca="1" si="9"/>
        <v>0</v>
      </c>
      <c r="M23" s="1860">
        <f t="shared" ca="1" si="9"/>
        <v>0</v>
      </c>
      <c r="N23" s="1860">
        <f t="shared" ca="1" si="9"/>
        <v>0</v>
      </c>
      <c r="O23" s="1860">
        <f t="shared" ca="1" si="8"/>
        <v>46096.359941877658</v>
      </c>
    </row>
    <row r="24" spans="1:15" ht="30" thickTop="1" thickBot="1" x14ac:dyDescent="0.3">
      <c r="A24" s="1396">
        <v>16</v>
      </c>
      <c r="B24" s="1403" t="str">
        <f>+A24&amp;". "&amp;VLOOKUP(A24,Parameters!$D$159:$E$301,2)</f>
        <v>16. Reimbursables/Customer Contribution</v>
      </c>
      <c r="C24" s="1859"/>
      <c r="D24" s="1859">
        <f ca="1">SUMIF('Detail Summary'!$E$217:$AS$277,$A24,'Detail Summary'!L$217:L$277)/1000</f>
        <v>0</v>
      </c>
      <c r="E24" s="1859">
        <f ca="1">SUMIF('Detail Summary'!$E$217:$AS$277,$A24,'Detail Summary'!O$217:O$277)/1000</f>
        <v>0</v>
      </c>
      <c r="F24" s="1859">
        <f ca="1">SUMIF('Detail Summary'!$E$217:$AS$277,$A24,'Detail Summary'!R$217:R$277)/1000</f>
        <v>0</v>
      </c>
      <c r="G24" s="1859">
        <f ca="1">SUMIF('Detail Summary'!$E$217:$AS$277,$A24,'Detail Summary'!U$217:U$277)/1000</f>
        <v>0</v>
      </c>
      <c r="H24" s="1859">
        <f ca="1">SUMIF('Detail Summary'!$E$217:$AS$277,$A24,'Detail Summary'!X$217:X$277)/1000</f>
        <v>0</v>
      </c>
      <c r="I24" s="1859">
        <f ca="1">SUMIF('Detail Summary'!$E$217:$AS$277,$A24,'Detail Summary'!AA$217:AA$277)/1000</f>
        <v>0</v>
      </c>
      <c r="J24" s="1859">
        <f ca="1">SUMIF('Detail Summary'!$E$217:$AS$277,$A24,'Detail Summary'!AD$217:AD$277)/1000</f>
        <v>0</v>
      </c>
      <c r="K24" s="1859">
        <f ca="1">SUMIF('Detail Summary'!$E$217:$AS$277,$A24,'Detail Summary'!AG$217:AG$277)/1000</f>
        <v>0</v>
      </c>
      <c r="L24" s="1859">
        <f ca="1">SUMIF('Detail Summary'!$E$217:$AS$277,$A24,'Detail Summary'!AJ$217:AJ$277)/1000</f>
        <v>0</v>
      </c>
      <c r="M24" s="1859">
        <f ca="1">SUMIF('Detail Summary'!$E$217:$AS$277,$A24,'Detail Summary'!AM$217:AM$277)/1000</f>
        <v>0</v>
      </c>
      <c r="N24" s="1859">
        <f ca="1">SUMIF('Detail Summary'!$E$217:$AS$277,$A24,'Detail Summary'!AP$217:AP$277)/1000</f>
        <v>0</v>
      </c>
      <c r="O24" s="1859">
        <f t="shared" ref="O24:O25" ca="1" si="10">SUM(D24:N24)</f>
        <v>0</v>
      </c>
    </row>
    <row r="25" spans="1:15" ht="15.75" thickBot="1" x14ac:dyDescent="0.3">
      <c r="A25" s="1396"/>
      <c r="B25" s="1403" t="e">
        <f>+A25&amp;". "&amp;VLOOKUP(A25,Parameters!$D$159:$E$301,2)</f>
        <v>#N/A</v>
      </c>
      <c r="C25" s="1859"/>
      <c r="D25" s="1859">
        <f ca="1">SUMIF('Detail Summary'!$E$217:$AS$277,$A25,'Detail Summary'!L$217:L$277)/1000</f>
        <v>0</v>
      </c>
      <c r="E25" s="1859">
        <f ca="1">SUMIF('Detail Summary'!$E$217:$AS$277,$A25,'Detail Summary'!O$217:O$277)/1000</f>
        <v>0</v>
      </c>
      <c r="F25" s="1859">
        <f ca="1">SUMIF('Detail Summary'!$E$217:$AS$277,$A25,'Detail Summary'!R$217:R$277)/1000</f>
        <v>0</v>
      </c>
      <c r="G25" s="1859">
        <f ca="1">SUMIF('Detail Summary'!$E$217:$AS$277,$A25,'Detail Summary'!U$217:U$277)/1000</f>
        <v>0</v>
      </c>
      <c r="H25" s="1859">
        <f ca="1">SUMIF('Detail Summary'!$E$217:$AS$277,$A25,'Detail Summary'!X$217:X$277)/1000</f>
        <v>0</v>
      </c>
      <c r="I25" s="1859">
        <f ca="1">SUMIF('Detail Summary'!$E$217:$AS$277,$A25,'Detail Summary'!AA$217:AA$277)/1000</f>
        <v>0</v>
      </c>
      <c r="J25" s="1859">
        <f ca="1">SUMIF('Detail Summary'!$E$217:$AS$277,$A25,'Detail Summary'!AD$217:AD$277)/1000</f>
        <v>0</v>
      </c>
      <c r="K25" s="1859">
        <f ca="1">SUMIF('Detail Summary'!$E$217:$AS$277,$A25,'Detail Summary'!AG$217:AG$277)/1000</f>
        <v>0</v>
      </c>
      <c r="L25" s="1859">
        <f ca="1">SUMIF('Detail Summary'!$E$217:$AS$277,$A25,'Detail Summary'!AJ$217:AJ$277)/1000</f>
        <v>0</v>
      </c>
      <c r="M25" s="1859">
        <f ca="1">SUMIF('Detail Summary'!$E$217:$AS$277,$A25,'Detail Summary'!AM$217:AM$277)/1000</f>
        <v>0</v>
      </c>
      <c r="N25" s="1859">
        <f ca="1">SUMIF('Detail Summary'!$E$217:$AS$277,$A25,'Detail Summary'!AP$217:AP$277)/1000</f>
        <v>0</v>
      </c>
      <c r="O25" s="1859">
        <f t="shared" ca="1" si="10"/>
        <v>0</v>
      </c>
    </row>
    <row r="26" spans="1:15" ht="15.75" thickBot="1" x14ac:dyDescent="0.3">
      <c r="A26" s="1396"/>
      <c r="B26" s="1405" t="s">
        <v>1499</v>
      </c>
      <c r="C26" s="1860">
        <f t="shared" ref="C26:O26" si="11">SUM(C23:C25)</f>
        <v>0</v>
      </c>
      <c r="D26" s="1860">
        <f t="shared" ca="1" si="11"/>
        <v>375.89178999999996</v>
      </c>
      <c r="E26" s="1860">
        <f t="shared" ca="1" si="11"/>
        <v>5.0289999999999999</v>
      </c>
      <c r="F26" s="1860">
        <f t="shared" ca="1" si="11"/>
        <v>34.984000000000002</v>
      </c>
      <c r="G26" s="1860">
        <f t="shared" ca="1" si="11"/>
        <v>14337.401959716546</v>
      </c>
      <c r="H26" s="1860">
        <f t="shared" ca="1" si="11"/>
        <v>23439.681999482949</v>
      </c>
      <c r="I26" s="1860">
        <f t="shared" ca="1" si="11"/>
        <v>7903.3711926781671</v>
      </c>
      <c r="J26" s="1860">
        <f t="shared" ca="1" si="11"/>
        <v>0</v>
      </c>
      <c r="K26" s="1860">
        <f t="shared" ref="K26:N26" ca="1" si="12">SUM(K23:K25)</f>
        <v>0</v>
      </c>
      <c r="L26" s="1860">
        <f t="shared" ca="1" si="12"/>
        <v>0</v>
      </c>
      <c r="M26" s="1860">
        <f t="shared" ca="1" si="12"/>
        <v>0</v>
      </c>
      <c r="N26" s="1860">
        <f t="shared" ca="1" si="12"/>
        <v>0</v>
      </c>
      <c r="O26" s="1860">
        <f t="shared" ca="1" si="11"/>
        <v>46096.359941877658</v>
      </c>
    </row>
    <row r="27" spans="1:15" ht="29.85" customHeight="1" thickTop="1" thickBot="1" x14ac:dyDescent="0.3">
      <c r="A27" s="1396"/>
      <c r="B27" s="1405" t="s">
        <v>1498</v>
      </c>
      <c r="C27" s="1860"/>
      <c r="D27" s="1860">
        <v>0</v>
      </c>
      <c r="E27" s="1860">
        <v>0</v>
      </c>
      <c r="F27" s="1860">
        <v>0</v>
      </c>
      <c r="G27" s="1860">
        <v>0</v>
      </c>
      <c r="H27" s="1860">
        <v>0</v>
      </c>
      <c r="I27" s="1860">
        <v>0</v>
      </c>
      <c r="J27" s="1860">
        <v>0</v>
      </c>
      <c r="K27" s="1860">
        <v>0</v>
      </c>
      <c r="L27" s="1860">
        <v>0</v>
      </c>
      <c r="M27" s="1860">
        <v>0</v>
      </c>
      <c r="N27" s="1860">
        <v>0</v>
      </c>
      <c r="O27" s="1860">
        <v>0</v>
      </c>
    </row>
    <row r="28" spans="1:15" ht="29.85" customHeight="1" thickTop="1" thickBot="1" x14ac:dyDescent="0.3">
      <c r="A28" s="1396"/>
      <c r="B28" s="1405" t="s">
        <v>1489</v>
      </c>
      <c r="C28" s="1860">
        <f>+C26+C27</f>
        <v>0</v>
      </c>
      <c r="D28" s="1860">
        <f t="shared" ref="D28:J28" ca="1" si="13">+D26+D27</f>
        <v>375.89178999999996</v>
      </c>
      <c r="E28" s="1860">
        <f t="shared" ca="1" si="13"/>
        <v>5.0289999999999999</v>
      </c>
      <c r="F28" s="1860">
        <f t="shared" ca="1" si="13"/>
        <v>34.984000000000002</v>
      </c>
      <c r="G28" s="1860">
        <f t="shared" ca="1" si="13"/>
        <v>14337.401959716546</v>
      </c>
      <c r="H28" s="1860">
        <f t="shared" ca="1" si="13"/>
        <v>23439.681999482949</v>
      </c>
      <c r="I28" s="1860">
        <f t="shared" ca="1" si="13"/>
        <v>7903.3711926781671</v>
      </c>
      <c r="J28" s="1860">
        <f t="shared" ca="1" si="13"/>
        <v>0</v>
      </c>
      <c r="K28" s="1860">
        <f t="shared" ref="K28:N28" ca="1" si="14">+K26+K27</f>
        <v>0</v>
      </c>
      <c r="L28" s="1860">
        <f t="shared" ca="1" si="14"/>
        <v>0</v>
      </c>
      <c r="M28" s="1860">
        <f t="shared" ca="1" si="14"/>
        <v>0</v>
      </c>
      <c r="N28" s="1860">
        <f t="shared" ca="1" si="14"/>
        <v>0</v>
      </c>
      <c r="O28" s="1860">
        <f ca="1">+O26+O27</f>
        <v>46096.359941877658</v>
      </c>
    </row>
    <row r="29" spans="1:15" ht="15.75" thickTop="1" x14ac:dyDescent="0.25">
      <c r="A29" s="1396"/>
      <c r="B29" s="1397"/>
      <c r="C29" s="1397"/>
      <c r="D29" s="1397"/>
      <c r="E29" s="1397"/>
      <c r="F29" s="1397"/>
      <c r="G29" s="1397"/>
      <c r="H29" s="1397"/>
      <c r="I29" s="1397"/>
      <c r="J29" s="1397"/>
      <c r="K29" s="1397"/>
      <c r="L29" s="1397"/>
      <c r="M29" s="1397"/>
      <c r="N29" s="1397"/>
      <c r="O29" s="1397"/>
    </row>
    <row r="30" spans="1:15" ht="14.85" customHeight="1" thickBot="1" x14ac:dyDescent="0.3">
      <c r="A30" s="1396"/>
      <c r="B30" s="168" t="s">
        <v>1223</v>
      </c>
      <c r="C30" s="1397"/>
      <c r="D30" s="1397"/>
      <c r="E30" s="168" t="s">
        <v>220</v>
      </c>
      <c r="F30" s="1397"/>
      <c r="G30" s="1397"/>
      <c r="H30" s="1397"/>
      <c r="I30" s="1397"/>
      <c r="J30" s="1397"/>
      <c r="K30" s="1397"/>
      <c r="L30" s="1397"/>
      <c r="M30" s="1397"/>
      <c r="N30" s="1397"/>
      <c r="O30" s="1397"/>
    </row>
    <row r="31" spans="1:15" ht="15.75" thickBot="1" x14ac:dyDescent="0.3">
      <c r="A31" s="1396">
        <v>1</v>
      </c>
      <c r="B31" s="1406" t="s">
        <v>1224</v>
      </c>
      <c r="C31" s="1861">
        <f>+'Detail Summary'!K306/1000</f>
        <v>0</v>
      </c>
      <c r="D31" s="1861">
        <f ca="1">SUMIF('Detail Summary'!$D$285:$AS$296,$A31,'Detail Summary'!L$285:L$296)/1000</f>
        <v>88.462450000000004</v>
      </c>
      <c r="E31" s="1861">
        <f ca="1">SUMIF('Detail Summary'!$D$285:$AS$296,$A31,'Detail Summary'!O$285:O$296)/1000</f>
        <v>0</v>
      </c>
      <c r="F31" s="1861">
        <f ca="1">SUMIF('Detail Summary'!$D$285:$AS$296,$A31,'Detail Summary'!R$285:R$296)/1000</f>
        <v>0</v>
      </c>
      <c r="G31" s="1861">
        <f ca="1">SUMIF('Detail Summary'!$D$285:$AS$296,$A31,'Detail Summary'!U$285:U$296)/1000</f>
        <v>227.934</v>
      </c>
      <c r="H31" s="1861">
        <f ca="1">SUMIF('Detail Summary'!$D$285:$AS$296,$A31,'Detail Summary'!X$285:X$296)/1000</f>
        <v>274.39800000000002</v>
      </c>
      <c r="I31" s="1861">
        <f ca="1">SUMIF('Detail Summary'!$D$285:$AS$296,$A31,'Detail Summary'!AA$285:AA$296)/1000</f>
        <v>197.994</v>
      </c>
      <c r="J31" s="1861">
        <f ca="1">SUMIF('Detail Summary'!$D$285:$AS$296,$A31,'Detail Summary'!AD$285:AD$296)/1000</f>
        <v>0</v>
      </c>
      <c r="K31" s="1861">
        <f ca="1">SUMIF('Detail Summary'!$D$285:$AS$296,$A31,'Detail Summary'!AG$285:AG$296)/1000</f>
        <v>0</v>
      </c>
      <c r="L31" s="1861">
        <f ca="1">SUMIF('Detail Summary'!$D$285:$AS$296,$A31,'Detail Summary'!AJ$285:AJ$296)/1000</f>
        <v>0</v>
      </c>
      <c r="M31" s="1861">
        <f ca="1">SUMIF('Detail Summary'!$D$285:$AS$296,$A31,'Detail Summary'!AM$285:AM$296)/1000</f>
        <v>0</v>
      </c>
      <c r="N31" s="1861">
        <f ca="1">SUMIF('Detail Summary'!$D$285:$AS$296,$A31,'Detail Summary'!AP$285:AP$296)/1000</f>
        <v>0</v>
      </c>
      <c r="O31" s="1861">
        <f ca="1">SUM(D31:N31)</f>
        <v>788.78845000000013</v>
      </c>
    </row>
    <row r="32" spans="1:15" ht="15.75" thickBot="1" x14ac:dyDescent="0.3">
      <c r="A32" s="1396">
        <v>2</v>
      </c>
      <c r="B32" s="1406" t="s">
        <v>1225</v>
      </c>
      <c r="C32" s="1861">
        <f>+'Detail Summary'!K307/1000</f>
        <v>0</v>
      </c>
      <c r="D32" s="1859">
        <f ca="1">SUMIF('Detail Summary'!$D$285:$AS$296,$A32,'Detail Summary'!L$285:L$296)/1000</f>
        <v>0</v>
      </c>
      <c r="E32" s="1859">
        <f ca="1">SUMIF('Detail Summary'!$D$285:$AS$296,$A32,'Detail Summary'!O$285:O$296)/1000</f>
        <v>0</v>
      </c>
      <c r="F32" s="1859">
        <f ca="1">SUMIF('Detail Summary'!$D$285:$AS$296,$A32,'Detail Summary'!R$285:R$296)/1000</f>
        <v>0</v>
      </c>
      <c r="G32" s="1859">
        <f ca="1">SUMIF('Detail Summary'!$D$285:$AS$296,$A32,'Detail Summary'!U$285:U$296)/1000</f>
        <v>0</v>
      </c>
      <c r="H32" s="1859">
        <f ca="1">SUMIF('Detail Summary'!$D$285:$AS$296,$A32,'Detail Summary'!X$285:X$296)/1000</f>
        <v>0</v>
      </c>
      <c r="I32" s="1859">
        <f ca="1">SUMIF('Detail Summary'!$D$285:$AS$296,$A32,'Detail Summary'!AA$285:AA$296)/1000</f>
        <v>0</v>
      </c>
      <c r="J32" s="1859">
        <f ca="1">SUMIF('Detail Summary'!$D$285:$AS$296,$A32,'Detail Summary'!AD$285:AD$296)/1000</f>
        <v>0</v>
      </c>
      <c r="K32" s="1861">
        <f ca="1">SUMIF('Detail Summary'!$D$285:$AS$296,$A32,'Detail Summary'!AG$285:AG$296)/1000</f>
        <v>0</v>
      </c>
      <c r="L32" s="1861">
        <f ca="1">SUMIF('Detail Summary'!$D$285:$AS$296,$A32,'Detail Summary'!AJ$285:AJ$296)/1000</f>
        <v>0</v>
      </c>
      <c r="M32" s="1861">
        <f ca="1">SUMIF('Detail Summary'!$D$285:$AS$296,$A32,'Detail Summary'!AM$285:AM$296)/1000</f>
        <v>0</v>
      </c>
      <c r="N32" s="1861">
        <f ca="1">SUMIF('Detail Summary'!$D$285:$AS$296,$A32,'Detail Summary'!AP$285:AP$296)/1000</f>
        <v>0</v>
      </c>
      <c r="O32" s="1861">
        <f t="shared" ref="O32:O38" ca="1" si="15">SUM(D32:N32)</f>
        <v>0</v>
      </c>
    </row>
    <row r="33" spans="1:15" ht="15.75" thickBot="1" x14ac:dyDescent="0.3">
      <c r="A33" s="1396">
        <v>3</v>
      </c>
      <c r="B33" s="1406" t="s">
        <v>1226</v>
      </c>
      <c r="C33" s="1861">
        <f>+'Detail Summary'!K308/1000</f>
        <v>0</v>
      </c>
      <c r="D33" s="1859">
        <f ca="1">SUMIF('Detail Summary'!$D$285:$AS$296,$A33,'Detail Summary'!L$285:L$296)/1000</f>
        <v>39.522179999999999</v>
      </c>
      <c r="E33" s="1859">
        <f ca="1">SUMIF('Detail Summary'!$D$285:$AS$296,$A33,'Detail Summary'!O$285:O$296)/1000</f>
        <v>0</v>
      </c>
      <c r="F33" s="1859">
        <f ca="1">SUMIF('Detail Summary'!$D$285:$AS$296,$A33,'Detail Summary'!R$285:R$296)/1000</f>
        <v>0</v>
      </c>
      <c r="G33" s="1859">
        <f ca="1">SUMIF('Detail Summary'!$D$285:$AS$296,$A33,'Detail Summary'!U$285:U$296)/1000</f>
        <v>662.57299999999998</v>
      </c>
      <c r="H33" s="1859">
        <f ca="1">SUMIF('Detail Summary'!$D$285:$AS$296,$A33,'Detail Summary'!X$285:X$296)/1000</f>
        <v>4047.4378896284006</v>
      </c>
      <c r="I33" s="1859">
        <f ca="1">SUMIF('Detail Summary'!$D$285:$AS$296,$A33,'Detail Summary'!AA$285:AA$296)/1000</f>
        <v>2888.7187526781681</v>
      </c>
      <c r="J33" s="1859">
        <f ca="1">SUMIF('Detail Summary'!$D$285:$AS$296,$A33,'Detail Summary'!AD$285:AD$296)/1000</f>
        <v>0</v>
      </c>
      <c r="K33" s="1861">
        <f ca="1">SUMIF('Detail Summary'!$D$285:$AS$296,$A33,'Detail Summary'!AG$285:AG$296)/1000</f>
        <v>0</v>
      </c>
      <c r="L33" s="1861">
        <f ca="1">SUMIF('Detail Summary'!$D$285:$AS$296,$A33,'Detail Summary'!AJ$285:AJ$296)/1000</f>
        <v>0</v>
      </c>
      <c r="M33" s="1861">
        <f ca="1">SUMIF('Detail Summary'!$D$285:$AS$296,$A33,'Detail Summary'!AM$285:AM$296)/1000</f>
        <v>0</v>
      </c>
      <c r="N33" s="1861">
        <f ca="1">SUMIF('Detail Summary'!$D$285:$AS$296,$A33,'Detail Summary'!AP$285:AP$296)/1000</f>
        <v>0</v>
      </c>
      <c r="O33" s="1861">
        <f t="shared" ca="1" si="15"/>
        <v>7638.251822306569</v>
      </c>
    </row>
    <row r="34" spans="1:15" ht="43.5" thickBot="1" x14ac:dyDescent="0.3">
      <c r="A34" s="1396">
        <v>4</v>
      </c>
      <c r="B34" s="1406" t="s">
        <v>1295</v>
      </c>
      <c r="C34" s="1861">
        <f>+'Detail Summary'!K309/1000</f>
        <v>0</v>
      </c>
      <c r="D34" s="1859">
        <f ca="1">SUMIF('Detail Summary'!$D$285:$AS$296,$A34,'Detail Summary'!L$285:L$296)/1000</f>
        <v>2.3580000000000001</v>
      </c>
      <c r="E34" s="1859">
        <f ca="1">SUMIF('Detail Summary'!$D$285:$AS$296,$A34,'Detail Summary'!O$285:O$296)/1000</f>
        <v>0</v>
      </c>
      <c r="F34" s="1859">
        <f ca="1">SUMIF('Detail Summary'!$D$285:$AS$296,$A34,'Detail Summary'!R$285:R$296)/1000</f>
        <v>0</v>
      </c>
      <c r="G34" s="1859">
        <f ca="1">SUMIF('Detail Summary'!$D$285:$AS$296,$A34,'Detail Summary'!U$285:U$296)/1000</f>
        <v>9639.9675745999994</v>
      </c>
      <c r="H34" s="1859">
        <f ca="1">SUMIF('Detail Summary'!$D$285:$AS$296,$A34,'Detail Summary'!X$285:X$296)/1000</f>
        <v>9941.1666018380001</v>
      </c>
      <c r="I34" s="1859">
        <f ca="1">SUMIF('Detail Summary'!$D$285:$AS$296,$A34,'Detail Summary'!AA$285:AA$296)/1000</f>
        <v>8.24</v>
      </c>
      <c r="J34" s="1859">
        <f ca="1">SUMIF('Detail Summary'!$D$285:$AS$296,$A34,'Detail Summary'!AD$285:AD$296)/1000</f>
        <v>0</v>
      </c>
      <c r="K34" s="1861">
        <f ca="1">SUMIF('Detail Summary'!$D$285:$AS$296,$A34,'Detail Summary'!AG$285:AG$296)/1000</f>
        <v>0</v>
      </c>
      <c r="L34" s="1861">
        <f ca="1">SUMIF('Detail Summary'!$D$285:$AS$296,$A34,'Detail Summary'!AJ$285:AJ$296)/1000</f>
        <v>0</v>
      </c>
      <c r="M34" s="1861">
        <f ca="1">SUMIF('Detail Summary'!$D$285:$AS$296,$A34,'Detail Summary'!AM$285:AM$296)/1000</f>
        <v>0</v>
      </c>
      <c r="N34" s="1861">
        <f ca="1">SUMIF('Detail Summary'!$D$285:$AS$296,$A34,'Detail Summary'!AP$285:AP$296)/1000</f>
        <v>0</v>
      </c>
      <c r="O34" s="1861">
        <f t="shared" ca="1" si="15"/>
        <v>19591.732176437999</v>
      </c>
    </row>
    <row r="35" spans="1:15" ht="15.75" thickBot="1" x14ac:dyDescent="0.3">
      <c r="A35" s="1396">
        <v>5</v>
      </c>
      <c r="B35" s="1406" t="s">
        <v>393</v>
      </c>
      <c r="C35" s="1861">
        <f>+'Detail Summary'!K142/1000</f>
        <v>0</v>
      </c>
      <c r="D35" s="1859">
        <f ca="1">SUMIF('Detail Summary'!$D$285:$AS$296,$A35,'Detail Summary'!L$285:L$296)/1000</f>
        <v>0</v>
      </c>
      <c r="E35" s="1859">
        <f ca="1">SUMIF('Detail Summary'!$D$285:$AS$296,$A35,'Detail Summary'!O$285:O$296)/1000</f>
        <v>0</v>
      </c>
      <c r="F35" s="1859">
        <f ca="1">SUMIF('Detail Summary'!$D$285:$AS$296,$A35,'Detail Summary'!R$285:R$296)/1000</f>
        <v>0</v>
      </c>
      <c r="G35" s="1859">
        <f ca="1">SUMIF('Detail Summary'!$D$285:$AS$296,$A35,'Detail Summary'!U$285:U$296)/1000</f>
        <v>0</v>
      </c>
      <c r="H35" s="1859">
        <f ca="1">SUMIF('Detail Summary'!$D$285:$AS$296,$A35,'Detail Summary'!X$285:X$296)/1000</f>
        <v>0</v>
      </c>
      <c r="I35" s="1859">
        <f ca="1">SUMIF('Detail Summary'!$D$285:$AS$296,$A35,'Detail Summary'!AA$285:AA$296)/1000</f>
        <v>0</v>
      </c>
      <c r="J35" s="1859">
        <f ca="1">SUMIF('Detail Summary'!$D$285:$AS$296,$A35,'Detail Summary'!AD$285:AD$296)/1000</f>
        <v>0</v>
      </c>
      <c r="K35" s="1861">
        <f ca="1">SUMIF('Detail Summary'!$D$285:$AS$296,$A35,'Detail Summary'!AG$285:AG$296)/1000</f>
        <v>0</v>
      </c>
      <c r="L35" s="1861">
        <f ca="1">SUMIF('Detail Summary'!$D$285:$AS$296,$A35,'Detail Summary'!AJ$285:AJ$296)/1000</f>
        <v>0</v>
      </c>
      <c r="M35" s="1861">
        <f ca="1">SUMIF('Detail Summary'!$D$285:$AS$296,$A35,'Detail Summary'!AM$285:AM$296)/1000</f>
        <v>0</v>
      </c>
      <c r="N35" s="1861">
        <f ca="1">SUMIF('Detail Summary'!$D$285:$AS$296,$A35,'Detail Summary'!AP$285:AP$296)/1000</f>
        <v>0</v>
      </c>
      <c r="O35" s="1861">
        <f t="shared" ca="1" si="15"/>
        <v>0</v>
      </c>
    </row>
    <row r="36" spans="1:15" ht="15.75" thickBot="1" x14ac:dyDescent="0.3">
      <c r="A36" s="1396">
        <v>6</v>
      </c>
      <c r="B36" s="1406" t="s">
        <v>39</v>
      </c>
      <c r="C36" s="1861">
        <f>+'Detail Summary'!K310/1000</f>
        <v>0</v>
      </c>
      <c r="D36" s="1859">
        <f ca="1">SUMIF('Detail Summary'!$D$285:$AS$296,$A36,'Detail Summary'!L$285:L$296)/1000</f>
        <v>11.094010000000001</v>
      </c>
      <c r="E36" s="1859">
        <f ca="1">SUMIF('Detail Summary'!$D$285:$AS$296,$A36,'Detail Summary'!O$285:O$296)/1000</f>
        <v>3.9169999999999998</v>
      </c>
      <c r="F36" s="1859">
        <f ca="1">SUMIF('Detail Summary'!$D$285:$AS$296,$A36,'Detail Summary'!R$285:R$296)/1000</f>
        <v>7.98</v>
      </c>
      <c r="G36" s="1859">
        <f ca="1">SUMIF('Detail Summary'!$D$285:$AS$296,$A36,'Detail Summary'!U$285:U$296)/1000</f>
        <v>1912.8723851165469</v>
      </c>
      <c r="H36" s="1859">
        <f ca="1">SUMIF('Detail Summary'!$D$285:$AS$296,$A36,'Detail Summary'!X$285:X$296)/1000</f>
        <v>3273.3055080165473</v>
      </c>
      <c r="I36" s="1859">
        <f ca="1">SUMIF('Detail Summary'!$D$285:$AS$296,$A36,'Detail Summary'!AA$285:AA$296)/1000</f>
        <v>1555.24044</v>
      </c>
      <c r="J36" s="1859">
        <f ca="1">SUMIF('Detail Summary'!$D$285:$AS$296,$A36,'Detail Summary'!AD$285:AD$296)/1000</f>
        <v>0</v>
      </c>
      <c r="K36" s="1861">
        <f ca="1">SUMIF('Detail Summary'!$D$285:$AS$296,$A36,'Detail Summary'!AG$285:AG$296)/1000</f>
        <v>0</v>
      </c>
      <c r="L36" s="1861">
        <f ca="1">SUMIF('Detail Summary'!$D$285:$AS$296,$A36,'Detail Summary'!AJ$285:AJ$296)/1000</f>
        <v>0</v>
      </c>
      <c r="M36" s="1861">
        <f ca="1">SUMIF('Detail Summary'!$D$285:$AS$296,$A36,'Detail Summary'!AM$285:AM$296)/1000</f>
        <v>0</v>
      </c>
      <c r="N36" s="1861">
        <f ca="1">SUMIF('Detail Summary'!$D$285:$AS$296,$A36,'Detail Summary'!AP$285:AP$296)/1000</f>
        <v>0</v>
      </c>
      <c r="O36" s="1861">
        <f t="shared" ca="1" si="15"/>
        <v>6764.4093431330948</v>
      </c>
    </row>
    <row r="37" spans="1:15" ht="15.75" thickBot="1" x14ac:dyDescent="0.3">
      <c r="A37" s="1396">
        <v>7</v>
      </c>
      <c r="B37" s="1406" t="s">
        <v>100</v>
      </c>
      <c r="C37" s="1861">
        <f>+'Detail Summary'!K311/1000</f>
        <v>0</v>
      </c>
      <c r="D37" s="1859">
        <f ca="1">SUMIF('Detail Summary'!$D$285:$AS$296,$A37,'Detail Summary'!L$285:L$296)/1000</f>
        <v>209.08080999999999</v>
      </c>
      <c r="E37" s="1859">
        <f ca="1">SUMIF('Detail Summary'!$D$285:$AS$296,$A37,'Detail Summary'!O$285:O$296)/1000</f>
        <v>3.5000000000000003E-2</v>
      </c>
      <c r="F37" s="1859">
        <f ca="1">SUMIF('Detail Summary'!$D$285:$AS$296,$A37,'Detail Summary'!R$285:R$296)/1000</f>
        <v>7.0999999999999994E-2</v>
      </c>
      <c r="G37" s="1859">
        <f ca="1">SUMIF('Detail Summary'!$D$285:$AS$296,$A37,'Detail Summary'!U$285:U$296)/1000</f>
        <v>1433.3589999999999</v>
      </c>
      <c r="H37" s="1859">
        <f ca="1">SUMIF('Detail Summary'!$D$285:$AS$296,$A37,'Detail Summary'!X$285:X$296)/1000</f>
        <v>4242.4740000000002</v>
      </c>
      <c r="I37" s="1859">
        <f ca="1">SUMIF('Detail Summary'!$D$285:$AS$296,$A37,'Detail Summary'!AA$285:AA$296)/1000</f>
        <v>2595.6779999999999</v>
      </c>
      <c r="J37" s="1859">
        <f ca="1">SUMIF('Detail Summary'!$D$285:$AS$296,$A37,'Detail Summary'!AD$285:AD$296)/1000</f>
        <v>0</v>
      </c>
      <c r="K37" s="1861">
        <f ca="1">SUMIF('Detail Summary'!$D$285:$AS$296,$A37,'Detail Summary'!AG$285:AG$296)/1000</f>
        <v>0</v>
      </c>
      <c r="L37" s="1861">
        <f ca="1">SUMIF('Detail Summary'!$D$285:$AS$296,$A37,'Detail Summary'!AJ$285:AJ$296)/1000</f>
        <v>0</v>
      </c>
      <c r="M37" s="1861">
        <f ca="1">SUMIF('Detail Summary'!$D$285:$AS$296,$A37,'Detail Summary'!AM$285:AM$296)/1000</f>
        <v>0</v>
      </c>
      <c r="N37" s="1861">
        <f ca="1">SUMIF('Detail Summary'!$D$285:$AS$296,$A37,'Detail Summary'!AP$285:AP$296)/1000</f>
        <v>0</v>
      </c>
      <c r="O37" s="1861">
        <f t="shared" ca="1" si="15"/>
        <v>8480.6978099999997</v>
      </c>
    </row>
    <row r="38" spans="1:15" ht="15.75" thickBot="1" x14ac:dyDescent="0.3">
      <c r="A38" s="1396">
        <v>8</v>
      </c>
      <c r="B38" s="1406" t="s">
        <v>45</v>
      </c>
      <c r="C38" s="1861">
        <f>+'Detail Summary'!K312/1000</f>
        <v>0</v>
      </c>
      <c r="D38" s="1859">
        <f ca="1">SUMIF('Detail Summary'!$D$285:$AS$296,$A38,'Detail Summary'!L$285:L$296)/1000</f>
        <v>25.37434</v>
      </c>
      <c r="E38" s="1859">
        <f ca="1">SUMIF('Detail Summary'!$D$285:$AS$296,$A38,'Detail Summary'!O$285:O$296)/1000</f>
        <v>1.077</v>
      </c>
      <c r="F38" s="1859">
        <f ca="1">SUMIF('Detail Summary'!$D$285:$AS$296,$A38,'Detail Summary'!R$285:R$296)/1000</f>
        <v>26.933</v>
      </c>
      <c r="G38" s="1859">
        <f ca="1">SUMIF('Detail Summary'!$D$285:$AS$296,$A38,'Detail Summary'!U$285:U$296)/1000</f>
        <v>460.69600000000003</v>
      </c>
      <c r="H38" s="1859">
        <f ca="1">SUMIF('Detail Summary'!$D$285:$AS$296,$A38,'Detail Summary'!X$285:X$296)/1000</f>
        <v>1660.9</v>
      </c>
      <c r="I38" s="1859">
        <f ca="1">SUMIF('Detail Summary'!$D$285:$AS$296,$A38,'Detail Summary'!AA$285:AA$296)/1000</f>
        <v>657.5</v>
      </c>
      <c r="J38" s="1859">
        <f ca="1">SUMIF('Detail Summary'!$D$285:$AS$296,$A38,'Detail Summary'!AD$285:AD$296)/1000</f>
        <v>0</v>
      </c>
      <c r="K38" s="1861">
        <f ca="1">SUMIF('Detail Summary'!$D$285:$AS$296,$A38,'Detail Summary'!AG$285:AG$296)/1000</f>
        <v>0</v>
      </c>
      <c r="L38" s="1861">
        <f ca="1">SUMIF('Detail Summary'!$D$285:$AS$296,$A38,'Detail Summary'!AJ$285:AJ$296)/1000</f>
        <v>0</v>
      </c>
      <c r="M38" s="1861">
        <f ca="1">SUMIF('Detail Summary'!$D$285:$AS$296,$A38,'Detail Summary'!AM$285:AM$296)/1000</f>
        <v>0</v>
      </c>
      <c r="N38" s="1861">
        <f ca="1">SUMIF('Detail Summary'!$D$285:$AS$296,$A38,'Detail Summary'!AP$285:AP$296)/1000</f>
        <v>0</v>
      </c>
      <c r="O38" s="1861">
        <f t="shared" ca="1" si="15"/>
        <v>2832.4803400000001</v>
      </c>
    </row>
    <row r="39" spans="1:15" ht="29.25" thickBot="1" x14ac:dyDescent="0.3">
      <c r="A39" s="1396"/>
      <c r="B39" s="1405" t="s">
        <v>1472</v>
      </c>
      <c r="C39" s="1860">
        <f>SUM(C31:C38)</f>
        <v>0</v>
      </c>
      <c r="D39" s="1860">
        <f ca="1">SUM(D31:D38)</f>
        <v>375.89179000000001</v>
      </c>
      <c r="E39" s="1860">
        <f t="shared" ref="E39:J39" ca="1" si="16">SUM(E31:E38)</f>
        <v>5.0289999999999999</v>
      </c>
      <c r="F39" s="1860">
        <f t="shared" ca="1" si="16"/>
        <v>34.984000000000002</v>
      </c>
      <c r="G39" s="1860">
        <f t="shared" ca="1" si="16"/>
        <v>14337.401959716546</v>
      </c>
      <c r="H39" s="1860">
        <f t="shared" ca="1" si="16"/>
        <v>23439.681999482949</v>
      </c>
      <c r="I39" s="1860">
        <f t="shared" ca="1" si="16"/>
        <v>7903.371192678168</v>
      </c>
      <c r="J39" s="1860">
        <f t="shared" ca="1" si="16"/>
        <v>0</v>
      </c>
      <c r="K39" s="1860">
        <f t="shared" ref="K39:O39" ca="1" si="17">SUM(K31:K38)</f>
        <v>0</v>
      </c>
      <c r="L39" s="1860">
        <f t="shared" ca="1" si="17"/>
        <v>0</v>
      </c>
      <c r="M39" s="1860">
        <f t="shared" ca="1" si="17"/>
        <v>0</v>
      </c>
      <c r="N39" s="1860">
        <f t="shared" ca="1" si="17"/>
        <v>0</v>
      </c>
      <c r="O39" s="1860">
        <f t="shared" ca="1" si="17"/>
        <v>46096.359941877665</v>
      </c>
    </row>
    <row r="40" spans="1:15" ht="15.75" thickTop="1" x14ac:dyDescent="0.25">
      <c r="A40" s="1396"/>
      <c r="B40" s="1397"/>
      <c r="C40" s="1397"/>
      <c r="D40" s="1397"/>
      <c r="E40" s="1397"/>
      <c r="F40" s="1397"/>
      <c r="G40" s="1397"/>
      <c r="H40" s="1397"/>
      <c r="I40" s="1397"/>
      <c r="J40" s="1397"/>
      <c r="K40" s="1397"/>
      <c r="L40" s="1397"/>
      <c r="M40" s="1397"/>
      <c r="N40" s="1397"/>
      <c r="O40" s="1397"/>
    </row>
    <row r="41" spans="1:15" ht="15" x14ac:dyDescent="0.25">
      <c r="A41" s="1396"/>
      <c r="B41" s="1397"/>
      <c r="C41" s="1397"/>
      <c r="D41" s="1768">
        <f ca="1">+D39-D26</f>
        <v>0</v>
      </c>
      <c r="E41" s="1768"/>
      <c r="F41" s="1768"/>
      <c r="G41" s="1768"/>
      <c r="H41" s="1768"/>
      <c r="I41" s="1768"/>
      <c r="J41" s="1768"/>
      <c r="K41" s="1768"/>
      <c r="L41" s="1768"/>
      <c r="M41" s="1768"/>
      <c r="N41" s="1768"/>
      <c r="O41" s="1768"/>
    </row>
  </sheetData>
  <sheetProtection algorithmName="SHA-512" hashValue="vqsZqeXpVmnrsW9vv5eWf9t2Vqbo7TNljqHuTI5AHoHDQjHnG1POK0OtgQqMih3syYhM3BZf26kcgt8RDokfsA==" saltValue="yK5lB+zCv78yETHv6HpkXw==" spinCount="100000" sheet="1" formatCells="0" formatColumns="0" formatRows="0" autoFilter="0"/>
  <mergeCells count="10">
    <mergeCell ref="O3:O4"/>
    <mergeCell ref="K3:K4"/>
    <mergeCell ref="L3:L4"/>
    <mergeCell ref="M3:M4"/>
    <mergeCell ref="N3:N4"/>
    <mergeCell ref="F3:F4"/>
    <mergeCell ref="G3:G4"/>
    <mergeCell ref="H3:H4"/>
    <mergeCell ref="I3:I4"/>
    <mergeCell ref="J3:J4"/>
  </mergeCells>
  <conditionalFormatting sqref="D5:J28 O5:O28 D31:O39">
    <cfRule type="cellIs" dxfId="223" priority="2" operator="lessThan">
      <formula>0</formula>
    </cfRule>
  </conditionalFormatting>
  <conditionalFormatting sqref="K5:N28">
    <cfRule type="cellIs" dxfId="222" priority="1" operator="lessThan">
      <formula>0</formula>
    </cfRule>
  </conditionalFormatting>
  <pageMargins left="0.7" right="0.7" top="0.75" bottom="0.75" header="0.3" footer="0.3"/>
  <pageSetup scale="83" fitToHeight="0" orientation="landscape"/>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F7FE1-BB33-4FB6-8CA5-846CAC3ABDCE}">
  <sheetPr codeName="Sheet35">
    <tabColor rgb="FF0070C0"/>
    <pageSetUpPr fitToPage="1"/>
  </sheetPr>
  <dimension ref="A1:F50"/>
  <sheetViews>
    <sheetView showGridLines="0" showZeros="0" topLeftCell="A34" workbookViewId="0">
      <selection activeCell="C6" sqref="C6"/>
    </sheetView>
  </sheetViews>
  <sheetFormatPr defaultColWidth="8.5703125" defaultRowHeight="13.35" customHeight="1" x14ac:dyDescent="0.25"/>
  <cols>
    <col min="1" max="1" width="4.5703125" customWidth="1"/>
    <col min="2" max="2" width="34.42578125" customWidth="1"/>
    <col min="3" max="3" width="11.5703125" customWidth="1"/>
    <col min="4" max="4" width="12.5703125" customWidth="1"/>
    <col min="5" max="6" width="12.42578125" customWidth="1"/>
    <col min="7" max="10" width="8.5703125" customWidth="1"/>
    <col min="13" max="17" width="8.5703125" customWidth="1"/>
  </cols>
  <sheetData>
    <row r="1" spans="1:6" ht="18.600000000000001" customHeight="1" x14ac:dyDescent="0.25">
      <c r="A1" s="1396"/>
      <c r="B1" s="1397" t="str">
        <f>+'Data Input sheet'!$B$5&amp;" "&amp;'Data Input sheet'!$C$5</f>
        <v>Project Number: 21334</v>
      </c>
      <c r="C1" s="1397"/>
      <c r="D1" s="1397" t="str">
        <f>+'Data Input sheet'!$B$7&amp;" "&amp;'Data Input sheet'!$C$7</f>
        <v>Project Title: Battery Storage - Hyde Park</v>
      </c>
      <c r="E1" s="1397"/>
      <c r="F1" s="1397"/>
    </row>
    <row r="2" spans="1:6" ht="15.75" thickBot="1" x14ac:dyDescent="0.3">
      <c r="A2" s="1396"/>
      <c r="B2" s="1397" t="str">
        <f>+'Data Input sheet'!$B$6&amp;" "&amp;'Data Input sheet'!$C$6</f>
        <v>WO &amp; Task #: 80089926</v>
      </c>
      <c r="C2" s="168" t="s">
        <v>1349</v>
      </c>
      <c r="D2" s="1397"/>
      <c r="E2" s="168"/>
      <c r="F2" s="1397"/>
    </row>
    <row r="3" spans="1:6" ht="15.75" thickTop="1" x14ac:dyDescent="0.25">
      <c r="A3" s="1396"/>
      <c r="B3" s="1398" t="s">
        <v>1358</v>
      </c>
      <c r="C3" s="1461">
        <f>+'Data Input sheet'!G11</f>
        <v>0</v>
      </c>
      <c r="D3" s="1399" t="s">
        <v>1357</v>
      </c>
      <c r="E3" s="1399" t="s">
        <v>1357</v>
      </c>
      <c r="F3" s="2813"/>
    </row>
    <row r="4" spans="1:6" ht="30" customHeight="1" thickBot="1" x14ac:dyDescent="0.3">
      <c r="A4" s="1396"/>
      <c r="B4" s="1400"/>
      <c r="C4" s="1401" t="s">
        <v>1346</v>
      </c>
      <c r="D4" s="1401" t="s">
        <v>1347</v>
      </c>
      <c r="E4" s="1402" t="s">
        <v>1348</v>
      </c>
      <c r="F4" s="2814"/>
    </row>
    <row r="5" spans="1:6" ht="16.5" thickTop="1" thickBot="1" x14ac:dyDescent="0.3">
      <c r="A5" s="1396"/>
      <c r="B5" s="1403" t="s">
        <v>1359</v>
      </c>
      <c r="C5" s="1464"/>
      <c r="D5" s="1465"/>
      <c r="E5" s="1465"/>
      <c r="F5" s="1465"/>
    </row>
    <row r="6" spans="1:6" ht="29.25" thickBot="1" x14ac:dyDescent="0.3">
      <c r="A6" s="1396">
        <v>1</v>
      </c>
      <c r="B6" s="1403" t="str">
        <f>+A6&amp;". "&amp;VLOOKUP(A6,Parameters!$D$159:$E$301,2)</f>
        <v>1. ROW / Easements / Land purchases</v>
      </c>
      <c r="C6" s="1778">
        <f ca="1">SUMIF('Detail Summary'!$E$217:$AS$277,$A6,'Detail Summary'!AS$217:AS$277)/1000</f>
        <v>0</v>
      </c>
      <c r="D6" s="1778"/>
      <c r="E6" s="1778"/>
      <c r="F6" s="1778"/>
    </row>
    <row r="7" spans="1:6" ht="29.25" thickBot="1" x14ac:dyDescent="0.3">
      <c r="A7" s="1396">
        <v>2</v>
      </c>
      <c r="B7" s="1403" t="str">
        <f>+A7&amp;". "&amp;VLOOKUP(A7,Parameters!$D$159:$E$301,2)</f>
        <v>2. Environmental Approvals / Permits</v>
      </c>
      <c r="C7" s="1778">
        <f ca="1">SUMIF('Detail Summary'!$E$217:$AS$277,$A7,'Detail Summary'!AS$217:AS$277)/1000</f>
        <v>325.34105</v>
      </c>
      <c r="D7" s="1778"/>
      <c r="E7" s="1778"/>
      <c r="F7" s="1778"/>
    </row>
    <row r="8" spans="1:6" ht="15.75" thickBot="1" x14ac:dyDescent="0.3">
      <c r="A8" s="1396">
        <v>3</v>
      </c>
      <c r="B8" s="1403" t="str">
        <f>+A8&amp;". "&amp;VLOOKUP(A8,Parameters!$D$159:$E$301,2)</f>
        <v>3. Outreach</v>
      </c>
      <c r="C8" s="1778">
        <f ca="1">SUMIF('Detail Summary'!$E$217:$AS$277,$A8,'Detail Summary'!AS$217:AS$277)/1000</f>
        <v>329.93612000000002</v>
      </c>
      <c r="D8" s="1778"/>
      <c r="E8" s="1778"/>
      <c r="F8" s="1778"/>
    </row>
    <row r="9" spans="1:6" ht="15.75" thickBot="1" x14ac:dyDescent="0.3">
      <c r="A9" s="1396">
        <v>4</v>
      </c>
      <c r="B9" s="1403" t="str">
        <f>+A9&amp;". "&amp;VLOOKUP(A9,Parameters!$D$159:$E$301,2)</f>
        <v>4. Siting Approvals / Permits</v>
      </c>
      <c r="C9" s="1778">
        <f ca="1">SUMIF('Detail Summary'!$E$217:$AS$277,$A9,'Detail Summary'!AS$217:AS$277)/1000</f>
        <v>302.63900000000001</v>
      </c>
      <c r="D9" s="1778"/>
      <c r="E9" s="1778"/>
      <c r="F9" s="1778"/>
    </row>
    <row r="10" spans="1:6" ht="15.75" thickBot="1" x14ac:dyDescent="0.3">
      <c r="A10" s="1396">
        <v>5</v>
      </c>
      <c r="B10" s="1403" t="str">
        <f>+A10&amp;". "&amp;VLOOKUP(A10,Parameters!$D$159:$E$301,2)</f>
        <v>5. Engineering / Design</v>
      </c>
      <c r="C10" s="1778">
        <f ca="1">SUMIF('Detail Summary'!$E$217:$AS$277,$A10,'Detail Summary'!AS$217:AS$277)/1000</f>
        <v>831.99206000000004</v>
      </c>
      <c r="D10" s="1778"/>
      <c r="E10" s="1778"/>
      <c r="F10" s="1778"/>
    </row>
    <row r="11" spans="1:6" ht="29.25" thickBot="1" x14ac:dyDescent="0.3">
      <c r="A11" s="1396">
        <v>6</v>
      </c>
      <c r="B11" s="1403" t="str">
        <f>+A11&amp;". "&amp;VLOOKUP(A11,Parameters!$D$159:$E$301,2)</f>
        <v>6. Materials ( Eversource purchased)</v>
      </c>
      <c r="C11" s="1778">
        <f ca="1">SUMIF('Detail Summary'!$E$217:$AS$277,$A11,'Detail Summary'!AS$217:AS$277)/1000</f>
        <v>19569.876956188</v>
      </c>
      <c r="D11" s="1778"/>
      <c r="E11" s="1778"/>
      <c r="F11" s="1778"/>
    </row>
    <row r="12" spans="1:6" ht="29.25" thickBot="1" x14ac:dyDescent="0.3">
      <c r="A12" s="1396">
        <v>7</v>
      </c>
      <c r="B12" s="1403" t="str">
        <f>+A12&amp;". "&amp;VLOOKUP(A12,Parameters!$D$159:$E$301,2)</f>
        <v>7. Construction  ( incl materials by contractors)</v>
      </c>
      <c r="C12" s="1778">
        <f ca="1">SUMIF('Detail Summary'!$E$217:$AS$277,$A12,'Detail Summary'!AS$217:AS$277)/1000</f>
        <v>4571.7811125565695</v>
      </c>
      <c r="D12" s="1778"/>
      <c r="E12" s="1778"/>
      <c r="F12" s="1778"/>
    </row>
    <row r="13" spans="1:6" ht="15.75" thickBot="1" x14ac:dyDescent="0.3">
      <c r="A13" s="1396">
        <v>8</v>
      </c>
      <c r="B13" s="1403" t="str">
        <f>+A13&amp;". "&amp;VLOOKUP(A13,Parameters!$D$159:$E$301,2)</f>
        <v>8. Testing / Commissioning</v>
      </c>
      <c r="C13" s="1778">
        <f ca="1">SUMIF('Detail Summary'!$E$217:$AS$277,$A13,'Detail Summary'!AS$217:AS$277)/1000</f>
        <v>1063.8340000000001</v>
      </c>
      <c r="D13" s="1778"/>
      <c r="E13" s="1778"/>
      <c r="F13" s="1778"/>
    </row>
    <row r="14" spans="1:6" ht="15.75" thickBot="1" x14ac:dyDescent="0.3">
      <c r="A14" s="1396">
        <v>9</v>
      </c>
      <c r="B14" s="1403" t="str">
        <f>+A14&amp;". "&amp;VLOOKUP(A14,Parameters!$D$159:$E$301,2)</f>
        <v>9. PMT Project Mgmt Team</v>
      </c>
      <c r="C14" s="1778">
        <f ca="1">SUMIF('Detail Summary'!$E$217:$AS$277,$A14,'Detail Summary'!AS$217:AS$277)/1000</f>
        <v>1058.3861499999998</v>
      </c>
      <c r="D14" s="1778"/>
      <c r="E14" s="1778"/>
      <c r="F14" s="1778"/>
    </row>
    <row r="15" spans="1:6" ht="15.75" thickBot="1" x14ac:dyDescent="0.3">
      <c r="A15" s="1396">
        <v>10</v>
      </c>
      <c r="B15" s="1403" t="str">
        <f>+A15&amp;". "&amp;VLOOKUP(A15,Parameters!$D$159:$E$301,2)</f>
        <v>10. Removals</v>
      </c>
      <c r="C15" s="1778">
        <f ca="1">SUMIF('Detail Summary'!$E$217:$AS$277,$A15,'Detail Summary'!AS$217:AS$277)/1000</f>
        <v>0</v>
      </c>
      <c r="D15" s="1778"/>
      <c r="E15" s="1778"/>
      <c r="F15" s="1778"/>
    </row>
    <row r="16" spans="1:6" ht="15.75" thickBot="1" x14ac:dyDescent="0.3">
      <c r="A16" s="1396">
        <v>11</v>
      </c>
      <c r="B16" s="1403" t="str">
        <f>+A16&amp;". "&amp;VLOOKUP(A16,Parameters!$D$159:$E$301,2)</f>
        <v>11. Other ( property taxes and BAR)</v>
      </c>
      <c r="C16" s="1778">
        <f ca="1">SUMIF('Detail Summary'!$E$217:$AS$277,$A16,'Detail Summary'!AS$217:AS$277)/1000</f>
        <v>937.60401000000002</v>
      </c>
      <c r="D16" s="1778"/>
      <c r="E16" s="1778"/>
      <c r="F16" s="1778"/>
    </row>
    <row r="17" spans="1:6" ht="15.75" thickBot="1" x14ac:dyDescent="0.3">
      <c r="A17" s="1396">
        <v>12</v>
      </c>
      <c r="B17" s="1403" t="str">
        <f>+A17&amp;". "&amp;VLOOKUP(A17,Parameters!$D$159:$E$301,2)</f>
        <v>12. Risks</v>
      </c>
      <c r="C17" s="1778">
        <f ca="1">SUMIF('Detail Summary'!$E$217:$AS$277,$A17,'Detail Summary'!AS$217:AS$277)/1000</f>
        <v>3950</v>
      </c>
      <c r="D17" s="1778"/>
      <c r="E17" s="1778"/>
      <c r="F17" s="1778"/>
    </row>
    <row r="18" spans="1:6" ht="15.75" thickBot="1" x14ac:dyDescent="0.3">
      <c r="A18" s="1396"/>
      <c r="B18" s="1405" t="s">
        <v>1496</v>
      </c>
      <c r="C18" s="1779">
        <f ca="1">SUM(C6:C17)</f>
        <v>32941.390458744565</v>
      </c>
      <c r="D18" s="1779">
        <f t="shared" ref="D18:F18" si="0">SUM(D6:D17)</f>
        <v>0</v>
      </c>
      <c r="E18" s="1779">
        <f t="shared" si="0"/>
        <v>0</v>
      </c>
      <c r="F18" s="1779">
        <f t="shared" si="0"/>
        <v>0</v>
      </c>
    </row>
    <row r="19" spans="1:6" ht="16.5" thickTop="1" thickBot="1" x14ac:dyDescent="0.3">
      <c r="A19" s="1396">
        <v>13</v>
      </c>
      <c r="B19" s="1403" t="str">
        <f>+A19&amp;". "&amp;VLOOKUP(A19,Parameters!$D$159:$E$301,2)</f>
        <v>13. Indirects/Overhead</v>
      </c>
      <c r="C19" s="1778">
        <f ca="1">SUMIF('Detail Summary'!$E$217:$AS$277,$A19,'Detail Summary'!AS$217:AS$277)/1000</f>
        <v>8480.6978099999978</v>
      </c>
      <c r="D19" s="1778"/>
      <c r="E19" s="1778"/>
      <c r="F19" s="1778"/>
    </row>
    <row r="20" spans="1:6" ht="15.75" thickBot="1" x14ac:dyDescent="0.3">
      <c r="A20" s="1396">
        <v>14</v>
      </c>
      <c r="B20" s="1403" t="str">
        <f>+A20&amp;". "&amp;VLOOKUP(A20,Parameters!$D$159:$E$301,2)</f>
        <v>14. AFUDC</v>
      </c>
      <c r="C20" s="1778">
        <f ca="1">SUMIF('Detail Summary'!$E$217:$AS$277,$A20,'Detail Summary'!AS$217:AS$277)/1000</f>
        <v>2832.4803400000001</v>
      </c>
      <c r="D20" s="1778"/>
      <c r="E20" s="1778"/>
      <c r="F20" s="1778"/>
    </row>
    <row r="21" spans="1:6" ht="15.75" thickBot="1" x14ac:dyDescent="0.3">
      <c r="A21" s="1396"/>
      <c r="B21" s="1405" t="s">
        <v>1495</v>
      </c>
      <c r="C21" s="1779">
        <f ca="1">SUM(C18:C20)</f>
        <v>44254.568608744565</v>
      </c>
      <c r="D21" s="1779">
        <f>SUM(D18:D20)</f>
        <v>0</v>
      </c>
      <c r="E21" s="1779">
        <f>SUM(E18:E20)</f>
        <v>0</v>
      </c>
      <c r="F21" s="1779">
        <f>SUM(F18:F20)</f>
        <v>0</v>
      </c>
    </row>
    <row r="22" spans="1:6" ht="16.5" thickTop="1" thickBot="1" x14ac:dyDescent="0.3">
      <c r="A22" s="1396">
        <v>15</v>
      </c>
      <c r="B22" s="1403" t="str">
        <f>+A22&amp;". "&amp;VLOOKUP(A22,Parameters!$D$159:$E$301,2)</f>
        <v>15. Contingency</v>
      </c>
      <c r="C22" s="1778">
        <f ca="1">SUMIF('Detail Summary'!$E$217:$AS$277,$A22,'Detail Summary'!AS$217:AS$277)/1000</f>
        <v>1841.791333133094</v>
      </c>
      <c r="D22" s="1778"/>
      <c r="E22" s="1778"/>
      <c r="F22" s="1778"/>
    </row>
    <row r="23" spans="1:6" ht="15.75" thickBot="1" x14ac:dyDescent="0.3">
      <c r="A23" s="1396"/>
      <c r="B23" s="1403"/>
      <c r="C23" s="1778"/>
      <c r="D23" s="1778"/>
      <c r="E23" s="1778"/>
      <c r="F23" s="1778"/>
    </row>
    <row r="24" spans="1:6" ht="29.25" thickBot="1" x14ac:dyDescent="0.3">
      <c r="A24" s="1396"/>
      <c r="B24" s="1405" t="s">
        <v>1497</v>
      </c>
      <c r="C24" s="1778">
        <f ca="1">SUM(C21:C23)</f>
        <v>46096.359941877658</v>
      </c>
      <c r="D24" s="1778">
        <f t="shared" ref="D24:F24" si="1">SUM(D21:D23)</f>
        <v>0</v>
      </c>
      <c r="E24" s="1778">
        <f t="shared" si="1"/>
        <v>0</v>
      </c>
      <c r="F24" s="1778">
        <f t="shared" si="1"/>
        <v>0</v>
      </c>
    </row>
    <row r="25" spans="1:6" ht="30" thickTop="1" thickBot="1" x14ac:dyDescent="0.3">
      <c r="A25" s="1396">
        <v>16</v>
      </c>
      <c r="B25" s="1403" t="str">
        <f>+A25&amp;". "&amp;VLOOKUP(A25,Parameters!$D$159:$E$301,2)</f>
        <v>16. Reimbursables/Customer Contribution</v>
      </c>
      <c r="C25" s="1778">
        <f ca="1">SUMIF('Detail Summary'!$E$217:$AS$277,$A25,'Detail Summary'!AS$217:AS$277)/1000</f>
        <v>0</v>
      </c>
      <c r="D25" s="1778"/>
      <c r="E25" s="1778"/>
      <c r="F25" s="1778"/>
    </row>
    <row r="26" spans="1:6" ht="29.85" customHeight="1" thickBot="1" x14ac:dyDescent="0.3">
      <c r="A26" s="1396"/>
      <c r="B26" s="1405" t="s">
        <v>1499</v>
      </c>
      <c r="C26" s="1779">
        <f ca="1">SUM(C24:C25)</f>
        <v>46096.359941877658</v>
      </c>
      <c r="D26" s="1779">
        <f t="shared" ref="D26:F26" si="2">SUM(D24:D25)</f>
        <v>0</v>
      </c>
      <c r="E26" s="1779">
        <f t="shared" si="2"/>
        <v>0</v>
      </c>
      <c r="F26" s="1779">
        <f t="shared" si="2"/>
        <v>0</v>
      </c>
    </row>
    <row r="27" spans="1:6" ht="15.75" thickTop="1" x14ac:dyDescent="0.25">
      <c r="A27" s="1396"/>
      <c r="B27" s="1397"/>
      <c r="C27" s="1397"/>
      <c r="D27" s="1397"/>
      <c r="E27" s="1397"/>
      <c r="F27" s="1397"/>
    </row>
    <row r="28" spans="1:6" ht="15" x14ac:dyDescent="0.25">
      <c r="A28" s="1396"/>
      <c r="B28" s="1397"/>
      <c r="C28" s="1397"/>
      <c r="D28" s="1397"/>
      <c r="E28" s="1397"/>
      <c r="F28" s="1397"/>
    </row>
    <row r="29" spans="1:6" ht="15" x14ac:dyDescent="0.25">
      <c r="A29" s="1396"/>
      <c r="B29" s="1397"/>
      <c r="C29" s="1397"/>
      <c r="D29" s="1397"/>
      <c r="E29" s="1397"/>
      <c r="F29" s="1397"/>
    </row>
    <row r="30" spans="1:6" ht="15" x14ac:dyDescent="0.25">
      <c r="A30" s="1396"/>
      <c r="B30" s="1397"/>
      <c r="C30" s="1397"/>
      <c r="D30" s="1397"/>
      <c r="E30" s="1397"/>
      <c r="F30" s="1397"/>
    </row>
    <row r="31" spans="1:6" ht="15" x14ac:dyDescent="0.25">
      <c r="A31" s="1396"/>
      <c r="B31" s="1397"/>
      <c r="C31" s="1397"/>
      <c r="D31" s="1397"/>
      <c r="E31" s="1397"/>
      <c r="F31" s="1397"/>
    </row>
    <row r="32" spans="1:6" ht="15" x14ac:dyDescent="0.25">
      <c r="A32" s="1396"/>
      <c r="B32" s="1397"/>
      <c r="C32" s="1397"/>
      <c r="D32" s="1397"/>
      <c r="E32" s="1397"/>
      <c r="F32" s="1397"/>
    </row>
    <row r="33" spans="1:6" ht="15" x14ac:dyDescent="0.25">
      <c r="A33" s="1396"/>
      <c r="B33" s="168" t="s">
        <v>1354</v>
      </c>
      <c r="C33" s="1397"/>
      <c r="D33" s="1397"/>
      <c r="E33" s="1397"/>
      <c r="F33" s="1397"/>
    </row>
    <row r="34" spans="1:6" ht="15.75" thickBot="1" x14ac:dyDescent="0.3">
      <c r="A34" s="1396"/>
      <c r="B34" s="168"/>
      <c r="C34" s="1462"/>
      <c r="D34" s="1397"/>
      <c r="E34" s="1397"/>
      <c r="F34" s="1397"/>
    </row>
    <row r="35" spans="1:6" ht="15.75" thickBot="1" x14ac:dyDescent="0.3">
      <c r="A35" s="1396"/>
      <c r="B35" s="1406"/>
      <c r="C35" s="1407">
        <f t="shared" ref="C35:F36" si="3">+C3</f>
        <v>0</v>
      </c>
      <c r="D35" s="1407" t="str">
        <f t="shared" si="3"/>
        <v>Date</v>
      </c>
      <c r="E35" s="1407" t="str">
        <f t="shared" si="3"/>
        <v>Date</v>
      </c>
      <c r="F35" s="1407">
        <f t="shared" si="3"/>
        <v>0</v>
      </c>
    </row>
    <row r="36" spans="1:6" ht="29.25" thickBot="1" x14ac:dyDescent="0.3">
      <c r="A36" s="1396"/>
      <c r="B36" s="1406" t="s">
        <v>1350</v>
      </c>
      <c r="C36" s="1407" t="str">
        <f t="shared" si="3"/>
        <v>Total Estimate</v>
      </c>
      <c r="D36" s="1407" t="str">
        <f t="shared" si="3"/>
        <v>PAC (+50/-25%)</v>
      </c>
      <c r="E36" s="1407" t="str">
        <f t="shared" si="3"/>
        <v>TCA (+10/-10%)</v>
      </c>
      <c r="F36" s="1407">
        <f t="shared" si="3"/>
        <v>0</v>
      </c>
    </row>
    <row r="37" spans="1:6" ht="15.75" thickBot="1" x14ac:dyDescent="0.3">
      <c r="A37" s="1396"/>
      <c r="B37" s="1406" t="s">
        <v>1351</v>
      </c>
      <c r="C37" s="1460"/>
      <c r="D37" s="1460">
        <f>+'Detail Summary'!L320/1000</f>
        <v>0</v>
      </c>
      <c r="E37" s="1460">
        <f>+'Detail Summary'!O320/1000</f>
        <v>0</v>
      </c>
      <c r="F37" s="1460">
        <f>+'Detail Summary'!P320/1000</f>
        <v>0</v>
      </c>
    </row>
    <row r="38" spans="1:6" ht="15.75" thickBot="1" x14ac:dyDescent="0.3">
      <c r="A38" s="1136">
        <v>1</v>
      </c>
      <c r="B38" s="1406" t="s">
        <v>93</v>
      </c>
      <c r="C38" s="1404">
        <f ca="1">ROUND(SUMIF('Detail Summary'!$C$330:$C$340,$A38,'Detail Summary'!CK$330:CK$340),'Data Input sheet'!$D$22)/1000</f>
        <v>4000.4</v>
      </c>
      <c r="D38" s="1407">
        <f>+'Detail Summary'!L321/1000</f>
        <v>0</v>
      </c>
      <c r="E38" s="1407">
        <f ca="1">+'Detail Summary'!O321/1000</f>
        <v>0</v>
      </c>
      <c r="F38" s="1407">
        <f ca="1">+'Detail Summary'!R321/1000</f>
        <v>0</v>
      </c>
    </row>
    <row r="39" spans="1:6" ht="15.75" thickBot="1" x14ac:dyDescent="0.3">
      <c r="A39" s="1136">
        <v>2</v>
      </c>
      <c r="B39" s="1406" t="s">
        <v>1352</v>
      </c>
      <c r="C39" s="1404">
        <f ca="1">ROUND(SUMIF('Detail Summary'!$C$330:$C$340,$A39,'Detail Summary'!CK$330:CK$340),'Data Input sheet'!$D$22)/1000</f>
        <v>751.1</v>
      </c>
      <c r="D39" s="1407">
        <f>+'Detail Summary'!L322/1000</f>
        <v>0</v>
      </c>
      <c r="E39" s="1407">
        <f>+'Detail Summary'!O322/1000</f>
        <v>0</v>
      </c>
      <c r="F39" s="1407">
        <f>+'Detail Summary'!R322/1000</f>
        <v>0</v>
      </c>
    </row>
    <row r="40" spans="1:6" ht="15.75" thickBot="1" x14ac:dyDescent="0.3">
      <c r="A40" s="1136">
        <v>3</v>
      </c>
      <c r="B40" s="1406" t="s">
        <v>95</v>
      </c>
      <c r="C40" s="1404">
        <f ca="1">ROUND(SUMIF('Detail Summary'!$C$330:$C$340,$A40,'Detail Summary'!CK$330:CK$340),'Data Input sheet'!$D$22)/1000</f>
        <v>0</v>
      </c>
      <c r="D40" s="1407">
        <f>+'Detail Summary'!L157/1000</f>
        <v>0</v>
      </c>
      <c r="E40" s="1407">
        <f>+'Detail Summary'!O157/1000</f>
        <v>0</v>
      </c>
      <c r="F40" s="1407">
        <f>+'Detail Summary'!R157/1000</f>
        <v>0</v>
      </c>
    </row>
    <row r="41" spans="1:6" ht="15.75" thickBot="1" x14ac:dyDescent="0.3">
      <c r="A41" s="1136">
        <v>4</v>
      </c>
      <c r="B41" s="1406" t="s">
        <v>1355</v>
      </c>
      <c r="C41" s="1404">
        <f ca="1">ROUND(SUMIF('Detail Summary'!$C$330:$C$340,$A41,'Detail Summary'!CK$330:CK$340),'Data Input sheet'!$D$22)/1000</f>
        <v>18193.3</v>
      </c>
      <c r="D41" s="1407">
        <f>+'Detail Summary'!L323/1000</f>
        <v>0</v>
      </c>
      <c r="E41" s="1407">
        <f>+'Detail Summary'!O323/1000</f>
        <v>0</v>
      </c>
      <c r="F41" s="1407">
        <f>+'Detail Summary'!R323/1000</f>
        <v>0</v>
      </c>
    </row>
    <row r="42" spans="1:6" ht="15.75" thickBot="1" x14ac:dyDescent="0.3">
      <c r="A42" s="1136">
        <v>5</v>
      </c>
      <c r="B42" s="1406" t="s">
        <v>97</v>
      </c>
      <c r="C42" s="1404">
        <f ca="1">ROUND(SUMIF('Detail Summary'!$C$330:$C$340,$A42,'Detail Summary'!CK$330:CK$340),'Data Input sheet'!$D$22)/1000</f>
        <v>2637.5</v>
      </c>
      <c r="D42" s="1407">
        <f>+'Detail Summary'!L324/1000</f>
        <v>0</v>
      </c>
      <c r="E42" s="1407">
        <f>+'Detail Summary'!O324/1000</f>
        <v>0</v>
      </c>
      <c r="F42" s="1407">
        <f>+'Detail Summary'!R324/1000</f>
        <v>0</v>
      </c>
    </row>
    <row r="43" spans="1:6" ht="15.75" thickBot="1" x14ac:dyDescent="0.3">
      <c r="A43" s="1136">
        <v>6</v>
      </c>
      <c r="B43" s="1406" t="s">
        <v>98</v>
      </c>
      <c r="C43" s="1404">
        <f ca="1">ROUND(SUMIF('Detail Summary'!$C$330:$C$340,$A43,'Detail Summary'!CK$330:CK$340),'Data Input sheet'!$D$22)/1000</f>
        <v>0</v>
      </c>
      <c r="D43" s="1407">
        <f>+'Detail Summary'!L325/1000</f>
        <v>0</v>
      </c>
      <c r="E43" s="1407">
        <f>+'Detail Summary'!O325/1000</f>
        <v>0</v>
      </c>
      <c r="F43" s="1407">
        <f>+'Detail Summary'!R325/1000</f>
        <v>0</v>
      </c>
    </row>
    <row r="44" spans="1:6" ht="15.75" thickBot="1" x14ac:dyDescent="0.3">
      <c r="A44" s="1136">
        <v>7</v>
      </c>
      <c r="B44" s="1406" t="s">
        <v>81</v>
      </c>
      <c r="C44" s="1404">
        <f>ROUND(SUMIF('Detail Summary'!$C$330:$C$340,$A44,'Detail Summary'!CK$330:CK$340),'Data Input sheet'!$D$22)/1000</f>
        <v>926.4</v>
      </c>
      <c r="D44" s="1407"/>
      <c r="E44" s="1407"/>
      <c r="F44" s="1407"/>
    </row>
    <row r="45" spans="1:6" ht="15.75" thickBot="1" x14ac:dyDescent="0.3">
      <c r="A45" s="1136">
        <v>8</v>
      </c>
      <c r="B45" s="1406" t="s">
        <v>310</v>
      </c>
      <c r="C45" s="1404">
        <f ca="1">ROUND(SUMIF('Detail Summary'!$C$330:$C$340,$A45,'Detail Summary'!CK$330:CK$340),'Data Input sheet'!$D$22)/1000</f>
        <v>5799.3</v>
      </c>
      <c r="D45" s="1407"/>
      <c r="E45" s="1407"/>
      <c r="F45" s="1407"/>
    </row>
    <row r="46" spans="1:6" ht="15.75" thickBot="1" x14ac:dyDescent="0.3">
      <c r="A46" s="1136">
        <v>9</v>
      </c>
      <c r="B46" s="1406" t="s">
        <v>99</v>
      </c>
      <c r="C46" s="1404">
        <f ca="1">ROUND(+'Detail Summary'!EA201,'Data Input sheet'!$D$22)/1000</f>
        <v>3421.8</v>
      </c>
      <c r="D46" s="1407"/>
      <c r="E46" s="1407"/>
      <c r="F46" s="1407"/>
    </row>
    <row r="47" spans="1:6" ht="15.75" thickBot="1" x14ac:dyDescent="0.3">
      <c r="A47" s="1136">
        <v>10</v>
      </c>
      <c r="B47" s="1406" t="s">
        <v>100</v>
      </c>
      <c r="C47" s="1404">
        <f ca="1">ROUND(SUMIF('Detail Summary'!$C$330:$C$340,$A47,'Detail Summary'!CK$330:CK$340),'Data Input sheet'!$D$22)/1000</f>
        <v>7534.2</v>
      </c>
      <c r="D47" s="1407"/>
      <c r="E47" s="1407"/>
      <c r="F47" s="1407"/>
    </row>
    <row r="48" spans="1:6" ht="15.75" thickBot="1" x14ac:dyDescent="0.3">
      <c r="A48" s="1136">
        <v>11</v>
      </c>
      <c r="B48" s="1406" t="s">
        <v>45</v>
      </c>
      <c r="C48" s="1404">
        <f ca="1">ROUND(SUMIF('Detail Summary'!$C$330:$C$340,$A48,'Detail Summary'!CK$330:CK$340),'Data Input sheet'!$D$22)/1000</f>
        <v>2832.5</v>
      </c>
      <c r="D48" s="1407"/>
      <c r="E48" s="1407"/>
      <c r="F48" s="1407"/>
    </row>
    <row r="49" spans="1:6" ht="15.75" thickBot="1" x14ac:dyDescent="0.3">
      <c r="A49" s="1396"/>
      <c r="B49" s="1406" t="s">
        <v>1353</v>
      </c>
      <c r="C49" s="1407">
        <f ca="1">SUM(C38:C48)</f>
        <v>46096.5</v>
      </c>
      <c r="D49" s="1407">
        <f>SUM(D38:D48)</f>
        <v>0</v>
      </c>
      <c r="E49" s="1407">
        <f ca="1">SUM(E38:E48)</f>
        <v>0</v>
      </c>
      <c r="F49" s="1407">
        <f ca="1">SUM(F38:F48)</f>
        <v>0</v>
      </c>
    </row>
    <row r="50" spans="1:6" ht="15.75" thickBot="1" x14ac:dyDescent="0.3">
      <c r="A50" s="1396"/>
      <c r="B50" s="1406" t="s">
        <v>1356</v>
      </c>
      <c r="C50" s="1407"/>
      <c r="D50" s="1463">
        <f>IF(D49=0,0,+D49/C49-1)</f>
        <v>0</v>
      </c>
      <c r="E50" s="1463">
        <f ca="1">IF(E49=0,0,+E49/D49-1)</f>
        <v>0</v>
      </c>
      <c r="F50" s="1463"/>
    </row>
  </sheetData>
  <sheetProtection algorithmName="SHA-512" hashValue="22WjwdXjTjLb4eg1d1ifr3xDeCc9f1JeO+9FT7VoI2XBFdSSJjKZ6eWtccdEdyjBqwipn8A8F/AQF6QbxFSK/g==" saltValue="AYV7iYONsM6sdSm8qopHvQ==" spinCount="100000" sheet="1" scenarios="1" formatCells="0" formatColumns="0" formatRows="0" autoFilter="0"/>
  <mergeCells count="1">
    <mergeCell ref="F3:F4"/>
  </mergeCells>
  <printOptions horizontalCentered="1"/>
  <pageMargins left="0.95" right="0.45" top="0.75" bottom="0.75" header="0.3" footer="0.3"/>
  <pageSetup scale="7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B08-71B0-4713-82E4-F34D19289F2C}">
  <sheetPr codeName="Sheet3">
    <tabColor rgb="FF7030A0"/>
    <pageSetUpPr fitToPage="1"/>
  </sheetPr>
  <dimension ref="A1:AK89"/>
  <sheetViews>
    <sheetView showGridLines="0" showZeros="0" topLeftCell="S72" workbookViewId="0">
      <selection activeCell="Y93" sqref="Y93"/>
    </sheetView>
  </sheetViews>
  <sheetFormatPr defaultColWidth="9.42578125" defaultRowHeight="12.6" customHeight="1" x14ac:dyDescent="0.25"/>
  <cols>
    <col min="1" max="1" width="1.5703125" customWidth="1"/>
    <col min="2" max="2" width="4.42578125" customWidth="1"/>
    <col min="3" max="3" width="28.5703125" customWidth="1"/>
    <col min="4" max="4" width="3.5703125" customWidth="1"/>
    <col min="5" max="5" width="21.42578125" customWidth="1"/>
    <col min="6" max="6" width="9.42578125" customWidth="1"/>
    <col min="7" max="7" width="18.5703125" customWidth="1"/>
    <col min="8" max="8" width="2.42578125" customWidth="1"/>
    <col min="9" max="9" width="4.5703125" customWidth="1"/>
    <col min="10" max="10" width="18.5703125" customWidth="1"/>
    <col min="11" max="11" width="2.42578125" customWidth="1"/>
    <col min="12" max="12" width="5" customWidth="1"/>
    <col min="13" max="13" width="17.42578125" customWidth="1"/>
    <col min="14" max="15" width="3.42578125" customWidth="1"/>
    <col min="16" max="16" width="17.42578125" customWidth="1"/>
    <col min="17" max="18" width="3.42578125" customWidth="1"/>
    <col min="19" max="19" width="17.42578125" customWidth="1"/>
    <col min="20" max="21" width="3.42578125" customWidth="1"/>
    <col min="22" max="22" width="16.5703125" customWidth="1"/>
    <col min="23" max="24" width="3.42578125" customWidth="1"/>
    <col min="25" max="25" width="16.5703125" customWidth="1"/>
    <col min="26" max="27" width="2.5703125" customWidth="1"/>
    <col min="28" max="28" width="18.5703125" customWidth="1"/>
    <col min="29" max="30" width="2.5703125" customWidth="1"/>
    <col min="31" max="31" width="13" bestFit="1" customWidth="1"/>
    <col min="32" max="33" width="2.5703125" customWidth="1"/>
    <col min="34" max="34" width="13" bestFit="1" customWidth="1"/>
    <col min="35" max="36" width="2.5703125" customWidth="1"/>
    <col min="37" max="37" width="13" bestFit="1" customWidth="1"/>
    <col min="38" max="154" width="9.42578125" customWidth="1"/>
  </cols>
  <sheetData>
    <row r="1" spans="1:37" ht="12.75" customHeight="1" x14ac:dyDescent="0.25">
      <c r="A1" s="39"/>
      <c r="B1" s="40"/>
      <c r="C1" s="40"/>
      <c r="D1" s="40"/>
      <c r="E1" s="40"/>
      <c r="F1" s="40"/>
      <c r="G1" s="40"/>
      <c r="H1" s="40"/>
      <c r="I1" s="40"/>
      <c r="J1" s="40"/>
      <c r="K1" s="40"/>
      <c r="L1" s="40"/>
      <c r="M1" s="40"/>
      <c r="N1" s="40"/>
      <c r="O1" s="40"/>
      <c r="P1" s="40"/>
      <c r="Q1" s="40"/>
      <c r="R1" s="40"/>
      <c r="S1" s="40"/>
      <c r="T1" s="40"/>
      <c r="U1" s="40"/>
      <c r="V1" s="40"/>
      <c r="W1" s="40"/>
      <c r="X1" s="40"/>
      <c r="Y1" s="41"/>
    </row>
    <row r="2" spans="1:37" ht="7.35" customHeight="1" x14ac:dyDescent="0.25">
      <c r="A2" s="43"/>
      <c r="B2" s="1113"/>
      <c r="C2" s="1114"/>
      <c r="D2" s="1114"/>
      <c r="E2" s="1114"/>
      <c r="F2" s="1114"/>
      <c r="G2" s="1114"/>
      <c r="H2" s="1114"/>
      <c r="I2" s="1114"/>
      <c r="J2" s="1114"/>
      <c r="K2" s="1114"/>
      <c r="L2" s="1114"/>
      <c r="M2" s="1114"/>
      <c r="N2" s="1115"/>
      <c r="O2" s="1115"/>
      <c r="P2" s="1115"/>
      <c r="Q2" s="1115"/>
      <c r="R2" s="1115"/>
      <c r="S2" s="1115"/>
      <c r="T2" s="1115"/>
      <c r="U2" s="1115"/>
      <c r="V2" s="1115"/>
      <c r="W2" s="1115"/>
      <c r="X2" s="1115"/>
      <c r="Y2" s="1116"/>
    </row>
    <row r="3" spans="1:37" ht="12.75" customHeight="1" x14ac:dyDescent="0.25">
      <c r="A3" s="43"/>
      <c r="B3" s="1118"/>
      <c r="C3" s="2818" t="s">
        <v>88</v>
      </c>
      <c r="D3" s="2818"/>
      <c r="E3" s="2818"/>
      <c r="F3" s="2818"/>
      <c r="G3" s="2818"/>
      <c r="H3" s="2818"/>
      <c r="I3" s="2818"/>
      <c r="J3" s="2818"/>
      <c r="K3" s="2818"/>
      <c r="L3" s="2818"/>
      <c r="M3" s="2818"/>
      <c r="N3" s="2818"/>
      <c r="O3" s="2818"/>
      <c r="P3" s="2818"/>
      <c r="Q3" s="2818"/>
      <c r="R3" s="2818"/>
      <c r="S3" s="2818"/>
      <c r="T3" s="2818"/>
      <c r="U3" s="2818"/>
      <c r="V3" s="2818"/>
      <c r="W3" s="2818"/>
      <c r="X3" s="2818"/>
      <c r="Y3" s="2818"/>
    </row>
    <row r="4" spans="1:37" ht="12.75" customHeight="1" x14ac:dyDescent="0.25">
      <c r="A4" s="43"/>
      <c r="B4" s="1118"/>
      <c r="C4" s="2818"/>
      <c r="D4" s="2818"/>
      <c r="E4" s="2818"/>
      <c r="F4" s="2818"/>
      <c r="G4" s="2818"/>
      <c r="H4" s="2818"/>
      <c r="I4" s="2818"/>
      <c r="J4" s="2818"/>
      <c r="K4" s="2818"/>
      <c r="L4" s="2818"/>
      <c r="M4" s="2818"/>
      <c r="N4" s="2818"/>
      <c r="O4" s="2818"/>
      <c r="P4" s="2818"/>
      <c r="Q4" s="2818"/>
      <c r="R4" s="2818"/>
      <c r="S4" s="2818"/>
      <c r="T4" s="2818"/>
      <c r="U4" s="2818"/>
      <c r="V4" s="2818"/>
      <c r="W4" s="2818"/>
      <c r="X4" s="2818"/>
      <c r="Y4" s="2818"/>
    </row>
    <row r="5" spans="1:37" ht="15" customHeight="1" x14ac:dyDescent="0.25">
      <c r="A5" s="46"/>
      <c r="B5" s="1119"/>
      <c r="C5" s="2819" t="str">
        <f>'Data Input sheet'!G25</f>
        <v>group for reviews</v>
      </c>
      <c r="D5" s="2819"/>
      <c r="E5" s="2819"/>
      <c r="F5" s="2819"/>
      <c r="G5" s="2819"/>
      <c r="H5" s="2819"/>
      <c r="I5" s="2819"/>
      <c r="J5" s="2819"/>
      <c r="K5" s="2819"/>
      <c r="L5" s="2819"/>
      <c r="M5" s="2819"/>
      <c r="N5" s="2819"/>
      <c r="O5" s="2819"/>
      <c r="P5" s="2819"/>
      <c r="Q5" s="2819"/>
      <c r="R5" s="2819"/>
      <c r="S5" s="2819"/>
      <c r="T5" s="2819"/>
      <c r="U5" s="2819"/>
      <c r="V5" s="2819"/>
      <c r="W5" s="2819"/>
      <c r="X5" s="2819"/>
      <c r="Y5" s="2819"/>
    </row>
    <row r="6" spans="1:37" ht="12.75" customHeight="1" x14ac:dyDescent="0.25">
      <c r="A6" s="47"/>
      <c r="B6" s="1120"/>
      <c r="C6" s="1818">
        <f>'Data Input sheet'!G7</f>
        <v>0</v>
      </c>
      <c r="D6" s="48"/>
      <c r="E6" s="49"/>
      <c r="F6" s="42"/>
      <c r="G6" s="42"/>
      <c r="H6" s="42"/>
      <c r="I6" s="42"/>
      <c r="J6" s="42"/>
      <c r="K6" s="42"/>
      <c r="L6" s="42"/>
      <c r="M6" s="42"/>
      <c r="N6" s="50"/>
      <c r="O6" s="50"/>
      <c r="P6" s="42"/>
      <c r="Q6" s="1819">
        <f>'Data Input sheet'!G13</f>
        <v>0</v>
      </c>
      <c r="R6" s="50"/>
      <c r="S6" s="51"/>
      <c r="T6" s="51"/>
      <c r="U6" s="51"/>
      <c r="V6" s="51"/>
      <c r="W6" s="51"/>
      <c r="X6" s="51"/>
      <c r="Y6" s="55"/>
    </row>
    <row r="7" spans="1:37" ht="12.75" customHeight="1" x14ac:dyDescent="0.25">
      <c r="A7" s="47"/>
      <c r="B7" s="1120"/>
      <c r="C7" s="1091"/>
      <c r="D7" s="48"/>
      <c r="E7" s="53"/>
      <c r="F7" s="54"/>
      <c r="G7" s="54"/>
      <c r="H7" s="54"/>
      <c r="I7" s="54"/>
      <c r="J7" s="54"/>
      <c r="K7" s="54"/>
      <c r="L7" s="54"/>
      <c r="M7" s="51"/>
      <c r="N7" s="42"/>
      <c r="O7" s="42"/>
      <c r="P7" s="55"/>
      <c r="Q7" s="55"/>
      <c r="R7" s="55"/>
      <c r="S7" s="51"/>
      <c r="T7" s="51"/>
      <c r="U7" s="51"/>
      <c r="V7" s="51"/>
      <c r="W7" s="51"/>
      <c r="X7" s="51"/>
      <c r="Y7" s="54"/>
    </row>
    <row r="8" spans="1:37" ht="12.75" customHeight="1" x14ac:dyDescent="0.25">
      <c r="A8" s="47"/>
      <c r="B8" s="1120"/>
      <c r="C8" s="1819">
        <f>'Data Input sheet'!G8</f>
        <v>0</v>
      </c>
      <c r="D8" s="57"/>
      <c r="E8" s="53"/>
      <c r="F8" s="54"/>
      <c r="G8" s="54"/>
      <c r="H8" s="54"/>
      <c r="I8" s="54"/>
      <c r="J8" s="54"/>
      <c r="K8" s="54"/>
      <c r="L8" s="54"/>
      <c r="M8" s="51"/>
      <c r="N8" s="58"/>
      <c r="O8" s="58"/>
      <c r="P8" s="55"/>
      <c r="Q8" s="1819">
        <f>'Data Input sheet'!$G$11</f>
        <v>0</v>
      </c>
      <c r="R8" s="50"/>
      <c r="S8" s="51"/>
      <c r="T8" s="51"/>
      <c r="U8" s="51"/>
      <c r="V8" s="51"/>
      <c r="W8" s="51"/>
      <c r="X8" s="51"/>
      <c r="Y8" s="897"/>
    </row>
    <row r="9" spans="1:37" ht="12.75" customHeight="1" x14ac:dyDescent="0.25">
      <c r="A9" s="47"/>
      <c r="B9" s="1120"/>
      <c r="C9" s="1091"/>
      <c r="D9" s="49"/>
      <c r="E9" s="53"/>
      <c r="F9" s="54"/>
      <c r="G9" s="54"/>
      <c r="H9" s="54"/>
      <c r="I9" s="54"/>
      <c r="J9" s="54"/>
      <c r="K9" s="54"/>
      <c r="L9" s="54"/>
      <c r="M9" s="51"/>
      <c r="N9" s="42"/>
      <c r="O9" s="42"/>
      <c r="P9" s="55"/>
      <c r="Q9" s="42"/>
      <c r="R9" s="42"/>
      <c r="S9" s="51"/>
      <c r="T9" s="51"/>
      <c r="U9" s="51"/>
      <c r="V9" s="51"/>
      <c r="W9" s="51"/>
      <c r="X9" s="51"/>
      <c r="Y9" s="51"/>
    </row>
    <row r="10" spans="1:37" ht="12.75" customHeight="1" x14ac:dyDescent="0.25">
      <c r="A10" s="47"/>
      <c r="B10" s="1120"/>
      <c r="C10" s="1818">
        <f>'Data Input sheet'!$G$4</f>
        <v>0</v>
      </c>
      <c r="D10" s="48"/>
      <c r="E10" s="53"/>
      <c r="F10" s="54"/>
      <c r="G10" s="54"/>
      <c r="H10" s="54"/>
      <c r="I10" s="54"/>
      <c r="J10" s="54"/>
      <c r="K10" s="54"/>
      <c r="L10" s="54"/>
      <c r="M10" s="51"/>
      <c r="N10" s="42"/>
      <c r="O10" s="42"/>
      <c r="P10" s="51"/>
      <c r="Q10" s="50" t="str">
        <f>'Data Input sheet'!B10</f>
        <v>In Service date (ISD):</v>
      </c>
      <c r="R10" s="1819"/>
      <c r="S10" s="1856">
        <f>+'Data Input sheet'!$C$10</f>
        <v>47110</v>
      </c>
      <c r="T10" s="61"/>
      <c r="U10" s="61"/>
      <c r="V10" s="61"/>
      <c r="W10" s="61"/>
      <c r="X10" s="61"/>
      <c r="Y10" s="896"/>
    </row>
    <row r="11" spans="1:37" ht="12.75" customHeight="1" x14ac:dyDescent="0.25">
      <c r="A11" s="47"/>
      <c r="B11" s="1120"/>
      <c r="C11" s="1818">
        <f>+'Data Input sheet'!G5</f>
        <v>0</v>
      </c>
      <c r="D11" s="63"/>
      <c r="E11" s="53"/>
      <c r="F11" s="51"/>
      <c r="G11" s="51"/>
      <c r="H11" s="51"/>
      <c r="I11" s="51"/>
      <c r="J11" s="51"/>
      <c r="K11" s="51"/>
      <c r="L11" s="51"/>
      <c r="M11" s="51"/>
      <c r="N11" s="42"/>
      <c r="O11" s="42"/>
      <c r="P11" s="51"/>
      <c r="Q11" s="42"/>
      <c r="R11" s="42"/>
      <c r="S11" s="55"/>
      <c r="T11" s="55"/>
      <c r="U11" s="55"/>
      <c r="V11" s="55"/>
      <c r="W11" s="55"/>
      <c r="X11" s="55"/>
      <c r="Y11" s="896"/>
    </row>
    <row r="12" spans="1:37" ht="12.75" customHeight="1" x14ac:dyDescent="0.25">
      <c r="A12" s="47"/>
      <c r="B12" s="1120"/>
      <c r="C12" s="1819">
        <f>+'Data Input sheet'!$G$12</f>
        <v>0</v>
      </c>
      <c r="D12" s="51"/>
      <c r="E12" s="51"/>
      <c r="F12" s="64"/>
      <c r="G12" s="64"/>
      <c r="H12" s="64"/>
      <c r="I12" s="64"/>
      <c r="J12" s="64"/>
      <c r="K12" s="64"/>
      <c r="L12" s="64"/>
      <c r="M12" s="64"/>
      <c r="N12" s="51"/>
      <c r="O12" s="51"/>
      <c r="P12" s="51"/>
      <c r="Q12" s="50">
        <f>'Data Input sheet'!G6</f>
        <v>0</v>
      </c>
      <c r="R12" s="1819"/>
      <c r="S12" s="655"/>
      <c r="T12" s="61"/>
      <c r="U12" s="61"/>
      <c r="V12" s="61"/>
      <c r="W12" s="61"/>
      <c r="X12" s="61"/>
      <c r="Y12" s="896"/>
    </row>
    <row r="13" spans="1:37" ht="12.75" customHeight="1" x14ac:dyDescent="0.25">
      <c r="A13" s="65"/>
      <c r="B13" s="1124"/>
      <c r="C13" s="1125"/>
      <c r="D13" s="1125"/>
      <c r="E13" s="1125"/>
      <c r="F13" s="1126"/>
      <c r="G13" s="1126"/>
      <c r="H13" s="1126"/>
      <c r="I13" s="1126"/>
      <c r="J13" s="1126"/>
      <c r="K13" s="1126"/>
      <c r="L13" s="1126"/>
      <c r="M13" s="1126"/>
      <c r="N13" s="1126"/>
      <c r="O13" s="1126"/>
      <c r="P13" s="1126"/>
      <c r="Q13" s="1126"/>
      <c r="R13" s="1126"/>
      <c r="S13" s="1127"/>
      <c r="T13" s="1127"/>
      <c r="U13" s="1127"/>
      <c r="V13" s="1127"/>
      <c r="W13" s="1127"/>
      <c r="X13" s="1127"/>
      <c r="Y13" s="1128" t="str">
        <f>+'Data Input sheet'!M2</f>
        <v>Template Revision # 01.92a</v>
      </c>
      <c r="Z13" s="1128"/>
      <c r="AA13" s="1128"/>
      <c r="AB13" s="1128"/>
      <c r="AC13" s="1128"/>
      <c r="AD13" s="1128"/>
      <c r="AE13" s="1128"/>
      <c r="AF13" s="1128"/>
      <c r="AG13" s="1128"/>
      <c r="AH13" s="1128"/>
      <c r="AI13" s="1128"/>
      <c r="AJ13" s="1128"/>
      <c r="AK13" s="1128"/>
    </row>
    <row r="14" spans="1:37" ht="12.75" customHeight="1" x14ac:dyDescent="0.25">
      <c r="A14" s="47"/>
      <c r="B14" s="55"/>
      <c r="C14" s="55"/>
      <c r="D14" s="55"/>
      <c r="E14" s="55"/>
      <c r="F14" s="42"/>
      <c r="G14" s="42"/>
      <c r="H14" s="42"/>
      <c r="I14" s="42"/>
      <c r="J14" s="42"/>
      <c r="K14" s="42"/>
      <c r="L14" s="42"/>
      <c r="M14" s="42"/>
      <c r="N14" s="42"/>
      <c r="O14" s="42"/>
      <c r="P14" s="42"/>
      <c r="Q14" s="42"/>
      <c r="R14" s="42"/>
      <c r="S14" s="42"/>
      <c r="T14" s="42"/>
      <c r="U14" s="42"/>
      <c r="V14" s="42"/>
      <c r="W14" s="42"/>
      <c r="X14" s="42"/>
      <c r="Y14" s="51"/>
      <c r="Z14" s="51"/>
      <c r="AA14" s="51"/>
      <c r="AB14" s="51"/>
      <c r="AC14" s="51"/>
      <c r="AD14" s="51"/>
      <c r="AE14" s="51"/>
      <c r="AF14" s="51"/>
      <c r="AG14" s="51"/>
      <c r="AH14" s="51"/>
      <c r="AI14" s="51"/>
      <c r="AJ14" s="51"/>
      <c r="AK14" s="51"/>
    </row>
    <row r="15" spans="1:37" ht="18" customHeight="1" thickBot="1" x14ac:dyDescent="0.3">
      <c r="A15" s="46"/>
      <c r="B15" s="1131"/>
      <c r="C15" s="1141" t="s">
        <v>89</v>
      </c>
      <c r="D15" s="1132"/>
      <c r="E15" s="1132"/>
      <c r="F15" s="1133"/>
      <c r="G15" s="1133"/>
      <c r="H15" s="1133"/>
      <c r="I15" s="1133"/>
      <c r="J15" s="1133"/>
      <c r="K15" s="1133"/>
      <c r="L15" s="1133"/>
      <c r="M15" s="1133"/>
      <c r="N15" s="1115"/>
      <c r="O15" s="1115"/>
      <c r="P15" s="1115"/>
      <c r="Q15" s="1115"/>
      <c r="R15" s="1115"/>
      <c r="S15" s="1115"/>
      <c r="T15" s="1115"/>
      <c r="U15" s="1115"/>
      <c r="V15" s="1115"/>
      <c r="W15" s="1115"/>
      <c r="X15" s="1115"/>
      <c r="Y15" s="1115"/>
      <c r="Z15" s="1115"/>
      <c r="AA15" s="1115"/>
      <c r="AB15" s="1115"/>
      <c r="AC15" s="1115"/>
      <c r="AD15" s="1115"/>
      <c r="AE15" s="1115"/>
      <c r="AF15" s="1115"/>
      <c r="AG15" s="1115"/>
      <c r="AH15" s="1115"/>
      <c r="AI15" s="1115"/>
      <c r="AJ15" s="1115"/>
      <c r="AK15" s="1115"/>
    </row>
    <row r="16" spans="1:37" ht="12.75" customHeight="1" x14ac:dyDescent="0.25">
      <c r="A16" s="46"/>
      <c r="B16" s="1119"/>
      <c r="C16" s="55"/>
      <c r="D16" s="55"/>
      <c r="E16" s="55"/>
      <c r="F16" s="51"/>
      <c r="G16" s="51"/>
      <c r="H16" s="51"/>
      <c r="I16" s="51"/>
      <c r="J16" s="51"/>
      <c r="K16" s="51"/>
      <c r="L16" s="51"/>
      <c r="M16" s="51"/>
      <c r="N16" s="42"/>
      <c r="O16" s="42"/>
      <c r="P16" s="42"/>
      <c r="Q16" s="42"/>
      <c r="R16" s="42"/>
      <c r="S16" s="42"/>
      <c r="T16" s="42"/>
      <c r="U16" s="42"/>
      <c r="V16" s="42"/>
      <c r="W16" s="42"/>
      <c r="X16" s="42"/>
      <c r="Y16" s="42"/>
      <c r="Z16" s="42"/>
      <c r="AA16" s="42"/>
      <c r="AB16" s="42"/>
      <c r="AC16" s="42"/>
      <c r="AD16" s="42"/>
      <c r="AE16" s="42"/>
      <c r="AF16" s="42"/>
      <c r="AG16" s="42"/>
      <c r="AH16" s="42"/>
      <c r="AI16" s="42"/>
      <c r="AJ16" s="42"/>
      <c r="AK16" s="42"/>
    </row>
    <row r="17" spans="1:37" ht="18" customHeight="1" thickBot="1" x14ac:dyDescent="0.3">
      <c r="A17" s="46"/>
      <c r="B17" s="1119"/>
      <c r="C17" s="1147" t="str">
        <f>'Data Input sheet'!B15</f>
        <v>Estimate Type: Conceptual</v>
      </c>
      <c r="D17" s="1142"/>
      <c r="E17" s="1142"/>
      <c r="F17" s="73"/>
      <c r="G17" s="73"/>
      <c r="H17" s="73"/>
      <c r="I17" s="73"/>
      <c r="J17" s="73"/>
      <c r="K17" s="73"/>
      <c r="L17" s="73"/>
      <c r="M17" s="74"/>
      <c r="N17" s="51"/>
      <c r="O17" s="51"/>
      <c r="P17" s="74"/>
      <c r="Q17" s="42"/>
      <c r="R17" s="42"/>
      <c r="S17" s="42"/>
      <c r="T17" s="42"/>
      <c r="U17" s="42"/>
      <c r="V17" s="42"/>
      <c r="W17" s="42"/>
      <c r="X17" s="42"/>
      <c r="Y17" s="42"/>
    </row>
    <row r="18" spans="1:37" ht="12.6" customHeight="1" x14ac:dyDescent="0.3">
      <c r="A18" s="895"/>
      <c r="B18" s="1135"/>
      <c r="C18" s="76"/>
      <c r="D18" s="76"/>
      <c r="E18" s="76"/>
      <c r="F18" s="76"/>
      <c r="G18" s="76"/>
      <c r="H18" s="76"/>
      <c r="I18" s="76"/>
      <c r="J18" s="76"/>
      <c r="K18" s="76"/>
      <c r="L18" s="76"/>
      <c r="M18" s="76"/>
      <c r="N18" s="76"/>
      <c r="O18" s="76"/>
      <c r="P18" s="76"/>
      <c r="Q18" s="76"/>
      <c r="R18" s="76"/>
      <c r="S18" s="76"/>
      <c r="T18" s="76"/>
      <c r="U18" s="76"/>
      <c r="V18" s="76"/>
      <c r="W18" s="42"/>
      <c r="X18" s="42"/>
      <c r="Y18" s="77"/>
    </row>
    <row r="19" spans="1:37" ht="38.25" customHeight="1" thickBot="1" x14ac:dyDescent="0.35">
      <c r="A19" s="895"/>
      <c r="B19" s="1143" t="s">
        <v>90</v>
      </c>
      <c r="C19" s="78"/>
      <c r="D19" s="76"/>
      <c r="E19" s="1144" t="s">
        <v>91</v>
      </c>
      <c r="F19" s="1145" t="s">
        <v>92</v>
      </c>
      <c r="G19" s="1144" t="s">
        <v>54</v>
      </c>
      <c r="H19" s="81"/>
      <c r="I19" s="82"/>
      <c r="J19" s="1833">
        <f>'Data Input sheet'!$D$100</f>
        <v>45292</v>
      </c>
      <c r="K19" s="1834"/>
      <c r="L19" s="1835"/>
      <c r="M19" s="1833">
        <f>'Data Input sheet'!$G$100</f>
        <v>45658</v>
      </c>
      <c r="N19" s="1836"/>
      <c r="O19" s="1836"/>
      <c r="P19" s="1833">
        <f>'Data Input sheet'!$J$100</f>
        <v>46023</v>
      </c>
      <c r="Q19" s="1834"/>
      <c r="R19" s="1834"/>
      <c r="S19" s="1833">
        <f>'Data Input sheet'!$M$100</f>
        <v>46388</v>
      </c>
      <c r="T19" s="1834"/>
      <c r="U19" s="1834"/>
      <c r="V19" s="1833">
        <f>'Data Input sheet'!$P$100</f>
        <v>46753</v>
      </c>
      <c r="W19" s="1837"/>
      <c r="X19" s="1837"/>
      <c r="Y19" s="1833">
        <f>'Data Input sheet'!$S$100</f>
        <v>47119</v>
      </c>
      <c r="AB19" s="1833">
        <f>'Data Input sheet'!$V$100</f>
        <v>47484</v>
      </c>
      <c r="AE19" s="1833">
        <f>'Data Input sheet'!$Y$100</f>
        <v>47849</v>
      </c>
      <c r="AH19" s="1833">
        <f>'Data Input sheet'!$AB$100</f>
        <v>48214</v>
      </c>
      <c r="AK19" s="1833">
        <f>'Data Input sheet'!$AE$100</f>
        <v>48580</v>
      </c>
    </row>
    <row r="20" spans="1:37" ht="20.25" x14ac:dyDescent="0.3">
      <c r="A20" s="1130"/>
      <c r="B20" s="1136">
        <v>1</v>
      </c>
      <c r="C20" s="11" t="s">
        <v>93</v>
      </c>
      <c r="D20" s="85"/>
      <c r="E20" s="86">
        <f ca="1">SUM(G20:AK20)</f>
        <v>4000400</v>
      </c>
      <c r="F20" s="660">
        <f ca="1">IFERROR(E20/$E$32,0)</f>
        <v>8.6783327216924555E-2</v>
      </c>
      <c r="G20" s="86">
        <f>ROUND(SUMIF('Detail Summary'!$C$330:$C$342,$B20,'Detail Summary'!BD$330:BD$342),'Data Input sheet'!$D$22)</f>
        <v>11000</v>
      </c>
      <c r="H20" s="88"/>
      <c r="I20" s="88"/>
      <c r="J20" s="86">
        <f ca="1">ROUND(SUMIF('Detail Summary'!$C$330:$C$342,$B20,'Detail Summary'!BG$330:BG$342),'Data Input sheet'!$D$22)</f>
        <v>0</v>
      </c>
      <c r="K20" s="88"/>
      <c r="L20" s="89"/>
      <c r="M20" s="86">
        <f ca="1">ROUND(SUMIF('Detail Summary'!$C$330:$C$342,$B20,'Detail Summary'!BJ$330:BJ$342),'Data Input sheet'!$D$22)</f>
        <v>0</v>
      </c>
      <c r="N20" s="92"/>
      <c r="O20" s="92"/>
      <c r="P20" s="86">
        <f ca="1">ROUND(SUMIF('Detail Summary'!$C$330:$C$342,$B20,'Detail Summary'!BM$330:BM$342),'Data Input sheet'!$D$22)</f>
        <v>0</v>
      </c>
      <c r="Q20" s="88"/>
      <c r="R20" s="88"/>
      <c r="S20" s="86">
        <f ca="1">ROUND(SUMIF('Detail Summary'!$C$330:$C$342,$B20,'Detail Summary'!BP$330:BP$342),'Data Input sheet'!$D$22)</f>
        <v>2452500</v>
      </c>
      <c r="T20" s="88"/>
      <c r="U20" s="88"/>
      <c r="V20" s="86">
        <f ca="1">ROUND(SUMIF('Detail Summary'!$C$330:$C$342,$B20,'Detail Summary'!BS$330:BS$342),'Data Input sheet'!$D$22)</f>
        <v>1536900</v>
      </c>
      <c r="W20" s="90"/>
      <c r="X20" s="90"/>
      <c r="Y20" s="86">
        <f ca="1">ROUND(SUMIF('Detail Summary'!$C$330:$C$342,$B20,'Detail Summary'!BV$330:BV$342),'Data Input sheet'!$D$22)</f>
        <v>0</v>
      </c>
      <c r="AB20" s="86">
        <f ca="1">ROUND(SUMIF('Detail Summary'!$C$330:$C$342,$B20,'Detail Summary'!BY$330:BY$342),'Data Input sheet'!$D$22)</f>
        <v>0</v>
      </c>
      <c r="AE20" s="86">
        <f ca="1">ROUND(SUMIF('Detail Summary'!$C$330:$C$342,$B20,'Detail Summary'!CB$330:CB$342),'Data Input sheet'!$D$22)</f>
        <v>0</v>
      </c>
      <c r="AH20" s="86">
        <f ca="1">ROUND(SUMIF('Detail Summary'!$C$330:$C$342,$B20,'Detail Summary'!CE$330:CE$342),'Data Input sheet'!$D$22)</f>
        <v>0</v>
      </c>
      <c r="AK20" s="86">
        <f ca="1">ROUND(SUMIF('Detail Summary'!$C$330:$C$342,$B20,'Detail Summary'!CH$330:CH$342),'Data Input sheet'!$D$22)</f>
        <v>0</v>
      </c>
    </row>
    <row r="21" spans="1:37" ht="18" customHeight="1" x14ac:dyDescent="0.3">
      <c r="A21" s="1130"/>
      <c r="B21" s="1136">
        <v>2</v>
      </c>
      <c r="C21" s="11" t="s">
        <v>94</v>
      </c>
      <c r="D21" s="85"/>
      <c r="E21" s="86">
        <f t="shared" ref="E21:E31" ca="1" si="0">SUM(G21:AK21)</f>
        <v>751000</v>
      </c>
      <c r="F21" s="660">
        <f t="shared" ref="F21:F30" ca="1" si="1">IFERROR(E21/$E$32,0)</f>
        <v>1.6291940490928494E-2</v>
      </c>
      <c r="G21" s="86">
        <f>ROUND(SUMIF('Detail Summary'!$C$330:$C$342,$B21,'Detail Summary'!BD$330:BD$342),'Data Input sheet'!$D$22)</f>
        <v>16400</v>
      </c>
      <c r="H21" s="88"/>
      <c r="I21" s="88"/>
      <c r="J21" s="86">
        <f ca="1">ROUND(SUMIF('Detail Summary'!$C$330:$C$342,$B21,'Detail Summary'!BG$330:BG$342),'Data Input sheet'!$D$22)</f>
        <v>0</v>
      </c>
      <c r="K21" s="88"/>
      <c r="L21" s="89"/>
      <c r="M21" s="86">
        <f ca="1">ROUND(SUMIF('Detail Summary'!$C$330:$C$342,$B21,'Detail Summary'!BJ$330:BJ$342),'Data Input sheet'!$D$22)</f>
        <v>0</v>
      </c>
      <c r="N21" s="92"/>
      <c r="O21" s="92"/>
      <c r="P21" s="86">
        <f ca="1">ROUND(SUMIF('Detail Summary'!$C$330:$C$342,$B21,'Detail Summary'!BM$330:BM$342),'Data Input sheet'!$D$22)</f>
        <v>360500</v>
      </c>
      <c r="Q21" s="88"/>
      <c r="R21" s="88"/>
      <c r="S21" s="86">
        <f ca="1">ROUND(SUMIF('Detail Summary'!$C$330:$C$342,$B21,'Detail Summary'!BP$330:BP$342),'Data Input sheet'!$D$22)</f>
        <v>341400</v>
      </c>
      <c r="T21" s="88"/>
      <c r="U21" s="88"/>
      <c r="V21" s="86">
        <f ca="1">ROUND(SUMIF('Detail Summary'!$C$330:$C$342,$B21,'Detail Summary'!BS$330:BS$342),'Data Input sheet'!$D$22)</f>
        <v>32700</v>
      </c>
      <c r="W21" s="90"/>
      <c r="X21" s="90"/>
      <c r="Y21" s="86">
        <f ca="1">ROUND(SUMIF('Detail Summary'!$C$330:$C$342,$B21,'Detail Summary'!BV$330:BV$342),'Data Input sheet'!$D$22)</f>
        <v>0</v>
      </c>
      <c r="AB21" s="86">
        <f ca="1">ROUND(SUMIF('Detail Summary'!$C$330:$C$342,$B21,'Detail Summary'!BY$330:BY$342),'Data Input sheet'!$D$22)</f>
        <v>0</v>
      </c>
      <c r="AE21" s="86">
        <f ca="1">ROUND(SUMIF('Detail Summary'!$C$330:$C$342,$B21,'Detail Summary'!CB$330:CB$342),'Data Input sheet'!$D$22)</f>
        <v>0</v>
      </c>
      <c r="AH21" s="86">
        <f ca="1">ROUND(SUMIF('Detail Summary'!$C$330:$C$342,$B21,'Detail Summary'!CE$330:CE$342),'Data Input sheet'!$D$22)</f>
        <v>0</v>
      </c>
      <c r="AK21" s="86">
        <f ca="1">ROUND(SUMIF('Detail Summary'!$C$330:$C$342,$B21,'Detail Summary'!CH$330:CH$342),'Data Input sheet'!$D$22)</f>
        <v>0</v>
      </c>
    </row>
    <row r="22" spans="1:37" ht="20.25" x14ac:dyDescent="0.3">
      <c r="A22" s="1130"/>
      <c r="B22" s="1136">
        <v>3</v>
      </c>
      <c r="C22" s="11" t="s">
        <v>95</v>
      </c>
      <c r="D22" s="85" t="s">
        <v>96</v>
      </c>
      <c r="E22" s="86">
        <f t="shared" ca="1" si="0"/>
        <v>0</v>
      </c>
      <c r="F22" s="660">
        <f t="shared" ca="1" si="1"/>
        <v>0</v>
      </c>
      <c r="G22" s="86">
        <f>ROUND(SUMIF('Detail Summary'!$C$330:$C$342,$B22,'Detail Summary'!BD$330:BD$342),'Data Input sheet'!$D$22)</f>
        <v>0</v>
      </c>
      <c r="H22" s="88"/>
      <c r="I22" s="88"/>
      <c r="J22" s="86">
        <f ca="1">ROUND(SUMIF('Detail Summary'!$C$330:$C$342,$B22,'Detail Summary'!BG$330:BG$342),'Data Input sheet'!$D$22)</f>
        <v>0</v>
      </c>
      <c r="K22" s="88"/>
      <c r="L22" s="89"/>
      <c r="M22" s="86">
        <f ca="1">ROUND(SUMIF('Detail Summary'!$C$330:$C$342,$B22,'Detail Summary'!BJ$330:BJ$342),'Data Input sheet'!$D$22)</f>
        <v>0</v>
      </c>
      <c r="N22" s="92"/>
      <c r="O22" s="92"/>
      <c r="P22" s="86">
        <f ca="1">ROUND(SUMIF('Detail Summary'!$C$330:$C$342,$B22,'Detail Summary'!BM$330:BM$342),'Data Input sheet'!$D$22)</f>
        <v>0</v>
      </c>
      <c r="Q22" s="88"/>
      <c r="R22" s="88"/>
      <c r="S22" s="86">
        <f ca="1">ROUND(SUMIF('Detail Summary'!$C$330:$C$342,$B22,'Detail Summary'!BP$330:BP$342),'Data Input sheet'!$D$22)</f>
        <v>0</v>
      </c>
      <c r="T22" s="88"/>
      <c r="U22" s="88"/>
      <c r="V22" s="86">
        <f ca="1">ROUND(SUMIF('Detail Summary'!$C$330:$C$342,$B22,'Detail Summary'!BS$330:BS$342),'Data Input sheet'!$D$22)</f>
        <v>0</v>
      </c>
      <c r="W22" s="90"/>
      <c r="X22" s="90"/>
      <c r="Y22" s="86">
        <f ca="1">ROUND(SUMIF('Detail Summary'!$C$330:$C$342,$B22,'Detail Summary'!BV$330:BV$342),'Data Input sheet'!$D$22)</f>
        <v>0</v>
      </c>
      <c r="AB22" s="86">
        <f ca="1">ROUND(SUMIF('Detail Summary'!$C$330:$C$342,$B22,'Detail Summary'!BY$330:BY$342),'Data Input sheet'!$D$22)</f>
        <v>0</v>
      </c>
      <c r="AE22" s="86">
        <f ca="1">ROUND(SUMIF('Detail Summary'!$C$330:$C$342,$B22,'Detail Summary'!CB$330:CB$342),'Data Input sheet'!$D$22)</f>
        <v>0</v>
      </c>
      <c r="AH22" s="86">
        <f ca="1">ROUND(SUMIF('Detail Summary'!$C$330:$C$342,$B22,'Detail Summary'!CE$330:CE$342),'Data Input sheet'!$D$22)</f>
        <v>0</v>
      </c>
      <c r="AK22" s="86">
        <f ca="1">ROUND(SUMIF('Detail Summary'!$C$330:$C$342,$B22,'Detail Summary'!CH$330:CH$342),'Data Input sheet'!$D$22)</f>
        <v>0</v>
      </c>
    </row>
    <row r="23" spans="1:37" ht="20.25" x14ac:dyDescent="0.3">
      <c r="A23" s="1130"/>
      <c r="B23" s="1136">
        <v>4</v>
      </c>
      <c r="C23" s="11" t="s">
        <v>38</v>
      </c>
      <c r="D23" s="85"/>
      <c r="E23" s="86">
        <f t="shared" ca="1" si="0"/>
        <v>18193400</v>
      </c>
      <c r="F23" s="660">
        <f t="shared" ca="1" si="1"/>
        <v>0.39468147819927885</v>
      </c>
      <c r="G23" s="86">
        <f>ROUND(SUMIF('Detail Summary'!$C$330:$C$342,$B23,'Detail Summary'!BD$330:BD$342),'Data Input sheet'!$D$22)</f>
        <v>2400</v>
      </c>
      <c r="H23" s="88"/>
      <c r="I23" s="88"/>
      <c r="J23" s="86">
        <f ca="1">ROUND(SUMIF('Detail Summary'!$C$330:$C$342,$B23,'Detail Summary'!BG$330:BG$342),'Data Input sheet'!$D$22)</f>
        <v>0</v>
      </c>
      <c r="K23" s="88"/>
      <c r="L23" s="89"/>
      <c r="M23" s="86">
        <f ca="1">ROUND(SUMIF('Detail Summary'!$C$330:$C$342,$B23,'Detail Summary'!BJ$330:BJ$342),'Data Input sheet'!$D$22)</f>
        <v>0</v>
      </c>
      <c r="N23" s="92"/>
      <c r="O23" s="92"/>
      <c r="P23" s="86">
        <f ca="1">ROUND(SUMIF('Detail Summary'!$C$330:$C$342,$B23,'Detail Summary'!BM$330:BM$342),'Data Input sheet'!$D$22)</f>
        <v>9086600</v>
      </c>
      <c r="Q23" s="88"/>
      <c r="R23" s="88"/>
      <c r="S23" s="86">
        <f ca="1">ROUND(SUMIF('Detail Summary'!$C$330:$C$342,$B23,'Detail Summary'!BP$330:BP$342),'Data Input sheet'!$D$22)</f>
        <v>9097300</v>
      </c>
      <c r="T23" s="88"/>
      <c r="U23" s="88"/>
      <c r="V23" s="86">
        <f ca="1">ROUND(SUMIF('Detail Summary'!$C$330:$C$342,$B23,'Detail Summary'!BS$330:BS$342),'Data Input sheet'!$D$22)</f>
        <v>7100</v>
      </c>
      <c r="W23" s="90"/>
      <c r="X23" s="90"/>
      <c r="Y23" s="86">
        <f ca="1">ROUND(SUMIF('Detail Summary'!$C$330:$C$342,$B23,'Detail Summary'!BV$330:BV$342),'Data Input sheet'!$D$22)</f>
        <v>0</v>
      </c>
      <c r="AB23" s="86">
        <f ca="1">ROUND(SUMIF('Detail Summary'!$C$330:$C$342,$B23,'Detail Summary'!BY$330:BY$342),'Data Input sheet'!$D$22)</f>
        <v>0</v>
      </c>
      <c r="AE23" s="86">
        <f ca="1">ROUND(SUMIF('Detail Summary'!$C$330:$C$342,$B23,'Detail Summary'!CB$330:CB$342),'Data Input sheet'!$D$22)</f>
        <v>0</v>
      </c>
      <c r="AH23" s="86">
        <f ca="1">ROUND(SUMIF('Detail Summary'!$C$330:$C$342,$B23,'Detail Summary'!CE$330:CE$342),'Data Input sheet'!$D$22)</f>
        <v>0</v>
      </c>
      <c r="AK23" s="86">
        <f ca="1">ROUND(SUMIF('Detail Summary'!$C$330:$C$342,$B23,'Detail Summary'!CH$330:CH$342),'Data Input sheet'!$D$22)</f>
        <v>0</v>
      </c>
    </row>
    <row r="24" spans="1:37" ht="20.25" x14ac:dyDescent="0.3">
      <c r="A24" s="1130"/>
      <c r="B24" s="1136">
        <v>5</v>
      </c>
      <c r="C24" s="11" t="s">
        <v>97</v>
      </c>
      <c r="D24" s="85"/>
      <c r="E24" s="86">
        <f t="shared" ca="1" si="0"/>
        <v>2637400</v>
      </c>
      <c r="F24" s="660">
        <f t="shared" ca="1" si="1"/>
        <v>5.7214865313947809E-2</v>
      </c>
      <c r="G24" s="86">
        <f>ROUND(SUMIF('Detail Summary'!$C$330:$C$342,$B24,'Detail Summary'!BD$330:BD$342),'Data Input sheet'!$D$22)</f>
        <v>104200</v>
      </c>
      <c r="H24" s="88"/>
      <c r="I24" s="88"/>
      <c r="J24" s="86">
        <f ca="1">ROUND(SUMIF('Detail Summary'!$C$330:$C$342,$B24,'Detail Summary'!BG$330:BG$342),'Data Input sheet'!$D$22)</f>
        <v>3900</v>
      </c>
      <c r="K24" s="88"/>
      <c r="L24" s="89"/>
      <c r="M24" s="86">
        <f ca="1">ROUND(SUMIF('Detail Summary'!$C$330:$C$342,$B24,'Detail Summary'!BJ$330:BJ$342),'Data Input sheet'!$D$22)</f>
        <v>7600</v>
      </c>
      <c r="N24" s="92"/>
      <c r="O24" s="92"/>
      <c r="P24" s="86">
        <f ca="1">ROUND(SUMIF('Detail Summary'!$C$330:$C$342,$B24,'Detail Summary'!BM$330:BM$342),'Data Input sheet'!$D$22)</f>
        <v>672000</v>
      </c>
      <c r="Q24" s="88"/>
      <c r="R24" s="88"/>
      <c r="S24" s="86">
        <f ca="1">ROUND(SUMIF('Detail Summary'!$C$330:$C$342,$B24,'Detail Summary'!BP$330:BP$342),'Data Input sheet'!$D$22)</f>
        <v>1377000</v>
      </c>
      <c r="T24" s="88"/>
      <c r="U24" s="88"/>
      <c r="V24" s="86">
        <f ca="1">ROUND(SUMIF('Detail Summary'!$C$330:$C$342,$B24,'Detail Summary'!BS$330:BS$342),'Data Input sheet'!$D$22)</f>
        <v>472700</v>
      </c>
      <c r="W24" s="90"/>
      <c r="X24" s="90"/>
      <c r="Y24" s="86">
        <f ca="1">ROUND(SUMIF('Detail Summary'!$C$330:$C$342,$B24,'Detail Summary'!BV$330:BV$342),'Data Input sheet'!$D$22)</f>
        <v>0</v>
      </c>
      <c r="AB24" s="86">
        <f ca="1">ROUND(SUMIF('Detail Summary'!$C$330:$C$342,$B24,'Detail Summary'!BY$330:BY$342),'Data Input sheet'!$D$22)</f>
        <v>0</v>
      </c>
      <c r="AE24" s="86">
        <f ca="1">ROUND(SUMIF('Detail Summary'!$C$330:$C$342,$B24,'Detail Summary'!CB$330:CB$342),'Data Input sheet'!$D$22)</f>
        <v>0</v>
      </c>
      <c r="AH24" s="86">
        <f ca="1">ROUND(SUMIF('Detail Summary'!$C$330:$C$342,$B24,'Detail Summary'!CE$330:CE$342),'Data Input sheet'!$D$22)</f>
        <v>0</v>
      </c>
      <c r="AK24" s="86">
        <f ca="1">ROUND(SUMIF('Detail Summary'!$C$330:$C$342,$B24,'Detail Summary'!CH$330:CH$342),'Data Input sheet'!$D$22)</f>
        <v>0</v>
      </c>
    </row>
    <row r="25" spans="1:37" ht="22.5" customHeight="1" x14ac:dyDescent="0.3">
      <c r="A25" s="1130"/>
      <c r="B25" s="1136">
        <v>6</v>
      </c>
      <c r="C25" s="11" t="s">
        <v>98</v>
      </c>
      <c r="D25" s="85"/>
      <c r="E25" s="86">
        <f t="shared" ca="1" si="0"/>
        <v>0</v>
      </c>
      <c r="F25" s="660">
        <f t="shared" ca="1" si="1"/>
        <v>0</v>
      </c>
      <c r="G25" s="86">
        <f>ROUND(SUMIF('Detail Summary'!$C$330:$C$342,$B25,'Detail Summary'!BD$330:BD$342),'Data Input sheet'!$D$22)</f>
        <v>0</v>
      </c>
      <c r="H25" s="91"/>
      <c r="I25" s="91"/>
      <c r="J25" s="86">
        <f ca="1">ROUND(SUMIF('Detail Summary'!$C$330:$C$342,$B25,'Detail Summary'!BG$330:BG$342),'Data Input sheet'!$D$22)</f>
        <v>0</v>
      </c>
      <c r="K25" s="91"/>
      <c r="L25" s="91"/>
      <c r="M25" s="86">
        <f ca="1">ROUND(SUMIF('Detail Summary'!$C$330:$C$342,$B25,'Detail Summary'!BJ$330:BJ$342),'Data Input sheet'!$D$22)</f>
        <v>0</v>
      </c>
      <c r="N25" s="92"/>
      <c r="O25" s="92"/>
      <c r="P25" s="86">
        <f ca="1">ROUND(SUMIF('Detail Summary'!$C$330:$C$342,$B25,'Detail Summary'!BM$330:BM$342),'Data Input sheet'!$D$22)</f>
        <v>0</v>
      </c>
      <c r="Q25" s="91"/>
      <c r="R25" s="91"/>
      <c r="S25" s="86">
        <f ca="1">ROUND(SUMIF('Detail Summary'!$C$330:$C$342,$B25,'Detail Summary'!BP$330:BP$342),'Data Input sheet'!$D$22)</f>
        <v>0</v>
      </c>
      <c r="T25" s="91"/>
      <c r="U25" s="91"/>
      <c r="V25" s="86">
        <f ca="1">ROUND(SUMIF('Detail Summary'!$C$330:$C$342,$B25,'Detail Summary'!BS$330:BS$342),'Data Input sheet'!$D$22)</f>
        <v>0</v>
      </c>
      <c r="W25" s="90"/>
      <c r="X25" s="90"/>
      <c r="Y25" s="86">
        <f ca="1">ROUND(SUMIF('Detail Summary'!$C$330:$C$342,$B25,'Detail Summary'!BV$330:BV$342),'Data Input sheet'!$D$22)</f>
        <v>0</v>
      </c>
      <c r="AB25" s="86">
        <f ca="1">ROUND(SUMIF('Detail Summary'!$C$330:$C$342,$B25,'Detail Summary'!BY$330:BY$342),'Data Input sheet'!$D$22)</f>
        <v>0</v>
      </c>
      <c r="AE25" s="86">
        <f ca="1">ROUND(SUMIF('Detail Summary'!$C$330:$C$342,$B25,'Detail Summary'!CB$330:CB$342),'Data Input sheet'!$D$22)</f>
        <v>0</v>
      </c>
      <c r="AH25" s="86">
        <f ca="1">ROUND(SUMIF('Detail Summary'!$C$330:$C$342,$B25,'Detail Summary'!CE$330:CE$342),'Data Input sheet'!$D$22)</f>
        <v>0</v>
      </c>
      <c r="AK25" s="86">
        <f ca="1">ROUND(SUMIF('Detail Summary'!$C$330:$C$342,$B25,'Detail Summary'!CH$330:CH$342),'Data Input sheet'!$D$22)</f>
        <v>0</v>
      </c>
    </row>
    <row r="26" spans="1:37" ht="22.5" customHeight="1" x14ac:dyDescent="0.25">
      <c r="A26" s="1130"/>
      <c r="B26" s="1136">
        <v>7</v>
      </c>
      <c r="C26" s="14" t="s">
        <v>81</v>
      </c>
      <c r="D26" s="77"/>
      <c r="E26" s="86">
        <f t="shared" si="0"/>
        <v>926400</v>
      </c>
      <c r="F26" s="660">
        <f t="shared" ca="1" si="1"/>
        <v>2.0097008882551472E-2</v>
      </c>
      <c r="G26" s="86">
        <f>ROUND(SUMIF('Detail Summary'!$C$330:$C$342,$B26,'Detail Summary'!BD$330:BD$342),'Data Input sheet'!$D$22)</f>
        <v>0</v>
      </c>
      <c r="H26" s="96"/>
      <c r="I26" s="95"/>
      <c r="J26" s="86">
        <f>ROUND(SUMIF('Detail Summary'!$C$330:$C$342,$B26,'Detail Summary'!BG$330:BG$342),'Data Input sheet'!$D$22)</f>
        <v>0</v>
      </c>
      <c r="K26" s="96"/>
      <c r="L26" s="95"/>
      <c r="M26" s="86">
        <f>ROUND(SUMIF('Detail Summary'!$C$330:$C$342,$B26,'Detail Summary'!BJ$330:BJ$342),'Data Input sheet'!$D$22)</f>
        <v>0</v>
      </c>
      <c r="N26" s="95"/>
      <c r="O26" s="95"/>
      <c r="P26" s="86">
        <f>ROUND(SUMIF('Detail Summary'!$C$330:$C$342,$B26,'Detail Summary'!BM$330:BM$342),'Data Input sheet'!$D$22)</f>
        <v>0</v>
      </c>
      <c r="Q26" s="95"/>
      <c r="R26" s="95"/>
      <c r="S26" s="86">
        <f>ROUND(SUMIF('Detail Summary'!$C$330:$C$342,$B26,'Detail Summary'!BP$330:BP$342),'Data Input sheet'!$D$22)</f>
        <v>277000</v>
      </c>
      <c r="T26" s="96"/>
      <c r="U26" s="96"/>
      <c r="V26" s="86">
        <f>ROUND(SUMIF('Detail Summary'!$C$330:$C$342,$B26,'Detail Summary'!BS$330:BS$342),'Data Input sheet'!$D$22)</f>
        <v>649400</v>
      </c>
      <c r="W26" s="90"/>
      <c r="X26" s="90"/>
      <c r="Y26" s="86">
        <f>ROUND(SUMIF('Detail Summary'!$C$330:$C$342,$B26,'Detail Summary'!BV$330:BV$342),'Data Input sheet'!$D$22)</f>
        <v>0</v>
      </c>
      <c r="AB26" s="86">
        <f>ROUND(SUMIF('Detail Summary'!$C$330:$C$342,$B26,'Detail Summary'!BY$330:BY$342),'Data Input sheet'!$D$22)</f>
        <v>0</v>
      </c>
      <c r="AE26" s="86">
        <f>ROUND(SUMIF('Detail Summary'!$C$330:$C$342,$B26,'Detail Summary'!CB$330:CB$342),'Data Input sheet'!$D$22)</f>
        <v>0</v>
      </c>
      <c r="AH26" s="86">
        <f>ROUND(SUMIF('Detail Summary'!$C$330:$C$342,$B26,'Detail Summary'!CE$330:CE$342),'Data Input sheet'!$D$22)</f>
        <v>0</v>
      </c>
      <c r="AK26" s="86">
        <f>ROUND(SUMIF('Detail Summary'!$C$330:$C$342,$B26,'Detail Summary'!CH$330:CH$342),'Data Input sheet'!$D$22)</f>
        <v>0</v>
      </c>
    </row>
    <row r="27" spans="1:37" ht="22.5" customHeight="1" x14ac:dyDescent="0.35">
      <c r="A27" s="97"/>
      <c r="B27" s="1136">
        <v>8</v>
      </c>
      <c r="C27" s="11" t="s">
        <v>66</v>
      </c>
      <c r="D27" s="94"/>
      <c r="E27" s="86">
        <f t="shared" ca="1" si="0"/>
        <v>5799300</v>
      </c>
      <c r="F27" s="660">
        <f t="shared" ca="1" si="1"/>
        <v>0.12580805657661998</v>
      </c>
      <c r="G27" s="86">
        <f>ROUND(SUMIF('Detail Summary'!$C$330:$C$342,$B27,'Detail Summary'!BD$330:BD$342),'Data Input sheet'!$D$22)</f>
        <v>7500</v>
      </c>
      <c r="H27" s="96"/>
      <c r="I27" s="95"/>
      <c r="J27" s="86">
        <f ca="1">ROUND(SUMIF('Detail Summary'!$C$330:$C$342,$B27,'Detail Summary'!BG$330:BG$342),'Data Input sheet'!$D$22)</f>
        <v>0</v>
      </c>
      <c r="K27" s="96"/>
      <c r="L27" s="95"/>
      <c r="M27" s="86">
        <f ca="1">ROUND(SUMIF('Detail Summary'!$C$330:$C$342,$B27,'Detail Summary'!BJ$330:BJ$342),'Data Input sheet'!$D$22)</f>
        <v>0</v>
      </c>
      <c r="N27" s="95"/>
      <c r="O27" s="95"/>
      <c r="P27" s="86">
        <f ca="1">ROUND(SUMIF('Detail Summary'!$C$330:$C$342,$B27,'Detail Summary'!BM$330:BM$342),'Data Input sheet'!$D$22)</f>
        <v>1675900</v>
      </c>
      <c r="Q27" s="95"/>
      <c r="R27" s="95"/>
      <c r="S27" s="86">
        <f ca="1">ROUND(SUMIF('Detail Summary'!$C$330:$C$342,$B27,'Detail Summary'!BP$330:BP$342),'Data Input sheet'!$D$22)</f>
        <v>2592300</v>
      </c>
      <c r="T27" s="96"/>
      <c r="U27" s="96"/>
      <c r="V27" s="86">
        <f ca="1">ROUND(SUMIF('Detail Summary'!$C$330:$C$342,$B27,'Detail Summary'!BS$330:BS$342),'Data Input sheet'!$D$22)</f>
        <v>1523600</v>
      </c>
      <c r="W27" s="90"/>
      <c r="X27" s="90"/>
      <c r="Y27" s="86">
        <f ca="1">ROUND(SUMIF('Detail Summary'!$C$330:$C$342,$B27,'Detail Summary'!BV$330:BV$342),'Data Input sheet'!$D$22)</f>
        <v>0</v>
      </c>
      <c r="AB27" s="86">
        <f ca="1">ROUND(SUMIF('Detail Summary'!$C$330:$C$342,$B27,'Detail Summary'!BY$330:BY$342),'Data Input sheet'!$D$22)</f>
        <v>0</v>
      </c>
      <c r="AE27" s="86">
        <f ca="1">ROUND(SUMIF('Detail Summary'!$C$330:$C$342,$B27,'Detail Summary'!CB$330:CB$342),'Data Input sheet'!$D$22)</f>
        <v>0</v>
      </c>
      <c r="AH27" s="86">
        <f ca="1">ROUND(SUMIF('Detail Summary'!$C$330:$C$342,$B27,'Detail Summary'!CE$330:CE$342),'Data Input sheet'!$D$22)</f>
        <v>0</v>
      </c>
      <c r="AK27" s="86">
        <f ca="1">ROUND(SUMIF('Detail Summary'!$C$330:$C$342,$B27,'Detail Summary'!CH$330:CH$342),'Data Input sheet'!$D$22)</f>
        <v>0</v>
      </c>
    </row>
    <row r="28" spans="1:37" ht="22.5" customHeight="1" x14ac:dyDescent="0.35">
      <c r="A28" s="97"/>
      <c r="B28" s="1136">
        <v>9</v>
      </c>
      <c r="C28" s="11" t="s">
        <v>99</v>
      </c>
      <c r="D28" s="94"/>
      <c r="E28" s="86">
        <f t="shared" ca="1" si="0"/>
        <v>3421811.9294545678</v>
      </c>
      <c r="F28" s="660">
        <f t="shared" ca="1" si="1"/>
        <v>7.4231632923865545E-2</v>
      </c>
      <c r="G28" s="86">
        <f>+'Detail Summary'!CT343</f>
        <v>0</v>
      </c>
      <c r="H28" s="96"/>
      <c r="I28" s="95"/>
      <c r="J28" s="86">
        <f ca="1">+'Detail Summary'!CW343</f>
        <v>0.11000000000012733</v>
      </c>
      <c r="K28" s="96"/>
      <c r="L28" s="95"/>
      <c r="M28" s="86">
        <f ca="1">+'Detail Summary'!CZ343</f>
        <v>383</v>
      </c>
      <c r="N28" s="95"/>
      <c r="O28" s="95"/>
      <c r="P28" s="86">
        <f ca="1">+'Detail Summary'!DC343</f>
        <v>769123.52459999954</v>
      </c>
      <c r="Q28" s="95"/>
      <c r="R28" s="95"/>
      <c r="S28" s="86">
        <f ca="1">+'Detail Summary'!DF343</f>
        <v>1869402.9341764003</v>
      </c>
      <c r="T28" s="96"/>
      <c r="U28" s="96"/>
      <c r="V28" s="86">
        <f ca="1">+'Detail Summary'!DI343</f>
        <v>782902.36067816825</v>
      </c>
      <c r="W28" s="90"/>
      <c r="X28" s="90"/>
      <c r="Y28" s="86">
        <f ca="1">+'Detail Summary'!DL343</f>
        <v>0</v>
      </c>
      <c r="AB28" s="86">
        <f ca="1">+'Detail Summary'!DO343</f>
        <v>0</v>
      </c>
      <c r="AE28" s="86">
        <f ca="1">+'Detail Summary'!DR343</f>
        <v>0</v>
      </c>
      <c r="AH28" s="86">
        <f ca="1">+'Detail Summary'!DU343</f>
        <v>0</v>
      </c>
      <c r="AK28" s="86">
        <f ca="1">+'Detail Summary'!DX343</f>
        <v>0</v>
      </c>
    </row>
    <row r="29" spans="1:37" ht="22.5" customHeight="1" x14ac:dyDescent="0.35">
      <c r="A29" s="97"/>
      <c r="B29" s="1136">
        <v>10</v>
      </c>
      <c r="C29" s="11" t="s">
        <v>100</v>
      </c>
      <c r="D29" s="94"/>
      <c r="E29" s="86">
        <f t="shared" ca="1" si="0"/>
        <v>7534200</v>
      </c>
      <c r="F29" s="660">
        <f t="shared" ca="1" si="1"/>
        <v>0.1634443915402842</v>
      </c>
      <c r="G29" s="86">
        <f>ROUND(SUMIF('Detail Summary'!$C$330:$C$342,$B29,'Detail Summary'!BD$330:BD$342),'Data Input sheet'!$D$22)</f>
        <v>209100</v>
      </c>
      <c r="H29" s="96"/>
      <c r="I29" s="95"/>
      <c r="J29" s="86">
        <f ca="1">ROUND(SUMIF('Detail Summary'!$C$330:$C$342,$B29,'Detail Summary'!BG$330:BG$342),'Data Input sheet'!$D$22)</f>
        <v>0</v>
      </c>
      <c r="K29" s="96"/>
      <c r="L29" s="95"/>
      <c r="M29" s="86">
        <f ca="1">ROUND(SUMIF('Detail Summary'!$C$330:$C$342,$B29,'Detail Summary'!BJ$330:BJ$342),'Data Input sheet'!$D$22)</f>
        <v>100</v>
      </c>
      <c r="N29" s="95"/>
      <c r="O29" s="95"/>
      <c r="P29" s="86">
        <f ca="1">ROUND(SUMIF('Detail Summary'!$C$330:$C$342,$B29,'Detail Summary'!BM$330:BM$342),'Data Input sheet'!$D$22)</f>
        <v>1312600</v>
      </c>
      <c r="Q29" s="95"/>
      <c r="R29" s="95"/>
      <c r="S29" s="86">
        <f ca="1">ROUND(SUMIF('Detail Summary'!$C$330:$C$342,$B29,'Detail Summary'!BP$330:BP$342),'Data Input sheet'!$D$22)</f>
        <v>3771900</v>
      </c>
      <c r="T29" s="96"/>
      <c r="U29" s="96"/>
      <c r="V29" s="86">
        <f ca="1">ROUND(SUMIF('Detail Summary'!$C$330:$C$342,$B29,'Detail Summary'!BS$330:BS$342),'Data Input sheet'!$D$22)</f>
        <v>2240500</v>
      </c>
      <c r="W29" s="90"/>
      <c r="X29" s="90"/>
      <c r="Y29" s="86">
        <f ca="1">ROUND(SUMIF('Detail Summary'!$C$330:$C$342,$B29,'Detail Summary'!BV$330:BV$342),'Data Input sheet'!$D$22)</f>
        <v>0</v>
      </c>
      <c r="AB29" s="86">
        <f ca="1">ROUND(SUMIF('Detail Summary'!$C$330:$C$342,$B29,'Detail Summary'!BY$330:BY$342),'Data Input sheet'!$D$22)</f>
        <v>0</v>
      </c>
      <c r="AE29" s="86">
        <f ca="1">ROUND(SUMIF('Detail Summary'!$C$330:$C$342,$B29,'Detail Summary'!CB$330:CB$342),'Data Input sheet'!$D$22)</f>
        <v>0</v>
      </c>
      <c r="AH29" s="86">
        <f ca="1">ROUND(SUMIF('Detail Summary'!$C$330:$C$342,$B29,'Detail Summary'!CE$330:CE$342),'Data Input sheet'!$D$22)</f>
        <v>0</v>
      </c>
      <c r="AK29" s="86">
        <f ca="1">ROUND(SUMIF('Detail Summary'!$C$330:$C$342,$B29,'Detail Summary'!CH$330:CH$342),'Data Input sheet'!$D$22)</f>
        <v>0</v>
      </c>
    </row>
    <row r="30" spans="1:37" ht="22.5" customHeight="1" x14ac:dyDescent="0.35">
      <c r="A30" s="97"/>
      <c r="B30" s="1136">
        <v>11</v>
      </c>
      <c r="C30" s="11" t="s">
        <v>45</v>
      </c>
      <c r="D30" s="94"/>
      <c r="E30" s="86">
        <f t="shared" ca="1" si="0"/>
        <v>2832500</v>
      </c>
      <c r="F30" s="660">
        <f t="shared" ca="1" si="1"/>
        <v>6.1447298855599138E-2</v>
      </c>
      <c r="G30" s="86">
        <f>ROUND(SUMIF('Detail Summary'!$C$330:$C$342,$B30,'Detail Summary'!BD$330:BD$342),'Data Input sheet'!$D$22)</f>
        <v>25400</v>
      </c>
      <c r="H30" s="96"/>
      <c r="I30" s="95"/>
      <c r="J30" s="86">
        <f ca="1">ROUND(SUMIF('Detail Summary'!$C$330:$C$342,$B30,'Detail Summary'!BG$330:BG$342),'Data Input sheet'!$D$22)</f>
        <v>1100</v>
      </c>
      <c r="K30" s="96"/>
      <c r="L30" s="95"/>
      <c r="M30" s="86">
        <f ca="1">ROUND(SUMIF('Detail Summary'!$C$330:$C$342,$B30,'Detail Summary'!BJ$330:BJ$342),'Data Input sheet'!$D$22)</f>
        <v>26900</v>
      </c>
      <c r="N30" s="95"/>
      <c r="O30" s="95"/>
      <c r="P30" s="86">
        <f ca="1">ROUND(SUMIF('Detail Summary'!$C$330:$C$342,$B30,'Detail Summary'!BM$330:BM$342),'Data Input sheet'!$D$22)</f>
        <v>460700</v>
      </c>
      <c r="Q30" s="95"/>
      <c r="R30" s="95"/>
      <c r="S30" s="86">
        <f>ROUND(SUMIF('Detail Summary'!$C$330:$C$342,$B30,'Detail Summary'!BP$330:BP$342),'Data Input sheet'!$D$22)</f>
        <v>1660900</v>
      </c>
      <c r="T30" s="96"/>
      <c r="U30" s="96"/>
      <c r="V30" s="86">
        <f>ROUND(SUMIF('Detail Summary'!$C$330:$C$342,$B30,'Detail Summary'!BS$330:BS$342),'Data Input sheet'!$D$22)</f>
        <v>657500</v>
      </c>
      <c r="W30" s="90"/>
      <c r="X30" s="90"/>
      <c r="Y30" s="86">
        <f ca="1">ROUND(SUMIF('Detail Summary'!$C$330:$C$342,$B30,'Detail Summary'!BV$330:BV$342),'Data Input sheet'!$D$22)</f>
        <v>0</v>
      </c>
      <c r="AB30" s="86">
        <f ca="1">ROUND(SUMIF('Detail Summary'!$C$330:$C$342,$B30,'Detail Summary'!BY$330:BY$342),'Data Input sheet'!$D$22)</f>
        <v>0</v>
      </c>
      <c r="AE30" s="86">
        <f ca="1">ROUND(SUMIF('Detail Summary'!$C$330:$C$342,$B30,'Detail Summary'!CB$330:CB$342),'Data Input sheet'!$D$22)</f>
        <v>0</v>
      </c>
      <c r="AH30" s="86">
        <f ca="1">ROUND(SUMIF('Detail Summary'!$C$330:$C$342,$B30,'Detail Summary'!CE$330:CE$342),'Data Input sheet'!$D$22)</f>
        <v>0</v>
      </c>
      <c r="AK30" s="86">
        <f ca="1">ROUND(SUMIF('Detail Summary'!$C$330:$C$342,$B30,'Detail Summary'!CH$330:CH$342),'Data Input sheet'!$D$22)</f>
        <v>0</v>
      </c>
    </row>
    <row r="31" spans="1:37" ht="22.5" customHeight="1" thickBot="1" x14ac:dyDescent="0.4">
      <c r="A31" s="97"/>
      <c r="B31" s="1136">
        <v>12</v>
      </c>
      <c r="C31" s="11" t="s">
        <v>374</v>
      </c>
      <c r="D31" s="94"/>
      <c r="E31" s="86">
        <f t="shared" ca="1" si="0"/>
        <v>0</v>
      </c>
      <c r="F31" s="660">
        <f t="shared" ref="F31" ca="1" si="2">IFERROR(E31/$E$32,0)</f>
        <v>0</v>
      </c>
      <c r="G31" s="1146">
        <f>ROUND(SUMIF('Detail Summary'!$C$330:$C$342,$B31,'Detail Summary'!BD$330:BD$342),'Data Input sheet'!$D$22)</f>
        <v>0</v>
      </c>
      <c r="H31" s="96"/>
      <c r="I31" s="95"/>
      <c r="J31" s="1146">
        <f ca="1">ROUND(SUMIF('Detail Summary'!$C$330:$C$342,$B31,'Detail Summary'!BG$330:BG$342),'Data Input sheet'!$D$22)</f>
        <v>0</v>
      </c>
      <c r="K31" s="96"/>
      <c r="L31" s="95"/>
      <c r="M31" s="1146">
        <f ca="1">ROUND(SUMIF('Detail Summary'!$C$330:$C$342,$B31,'Detail Summary'!BJ$330:BJ$342),'Data Input sheet'!$D$22)</f>
        <v>0</v>
      </c>
      <c r="N31" s="95"/>
      <c r="O31" s="95"/>
      <c r="P31" s="1146">
        <f ca="1">ROUND(SUMIF('Detail Summary'!$C$330:$C$342,$B31,'Detail Summary'!BM$330:BM$342),'Data Input sheet'!$D$22)</f>
        <v>0</v>
      </c>
      <c r="Q31" s="95"/>
      <c r="R31" s="95"/>
      <c r="S31" s="1146">
        <f ca="1">ROUND(SUMIF('Detail Summary'!$C$330:$C$342,$B31,'Detail Summary'!BP$330:BP$342),'Data Input sheet'!$D$22)</f>
        <v>0</v>
      </c>
      <c r="T31" s="96"/>
      <c r="U31" s="96"/>
      <c r="V31" s="1146">
        <f ca="1">ROUND(SUMIF('Detail Summary'!$C$330:$C$342,$B31,'Detail Summary'!BS$330:BS$342),'Data Input sheet'!$D$22)</f>
        <v>0</v>
      </c>
      <c r="W31" s="90"/>
      <c r="X31" s="90"/>
      <c r="Y31" s="1146">
        <f ca="1">ROUND(SUMIF('Detail Summary'!$C$330:$C$342,$B31,'Detail Summary'!BV$330:BV$342),'Data Input sheet'!$D$22)</f>
        <v>0</v>
      </c>
      <c r="AB31" s="1146">
        <f ca="1">ROUND(SUMIF('Detail Summary'!$C$330:$C$342,$B31,'Detail Summary'!BY$330:BY$342),'Data Input sheet'!$D$22)</f>
        <v>0</v>
      </c>
      <c r="AE31" s="1146">
        <f ca="1">ROUND(SUMIF('Detail Summary'!$C$330:$C$342,$B31,'Detail Summary'!CB$330:CB$342),'Data Input sheet'!$D$22)</f>
        <v>0</v>
      </c>
      <c r="AH31" s="1146">
        <f ca="1">ROUND(SUMIF('Detail Summary'!$C$330:$C$342,$B31,'Detail Summary'!CE$330:CE$342),'Data Input sheet'!$D$22)</f>
        <v>0</v>
      </c>
      <c r="AK31" s="1146">
        <f ca="1">ROUND(SUMIF('Detail Summary'!$C$330:$C$342,$B31,'Detail Summary'!CH$330:CH$342),'Data Input sheet'!$D$22)</f>
        <v>0</v>
      </c>
    </row>
    <row r="32" spans="1:37" ht="22.5" customHeight="1" x14ac:dyDescent="0.35">
      <c r="A32" s="97"/>
      <c r="B32" s="1137"/>
      <c r="C32" s="98" t="s">
        <v>101</v>
      </c>
      <c r="D32" s="94"/>
      <c r="E32" s="101">
        <f ca="1">SUM(E20:E31)</f>
        <v>46096411.929454565</v>
      </c>
      <c r="F32" s="660">
        <f ca="1">SUM(F20:F31)</f>
        <v>1.0000000000000002</v>
      </c>
      <c r="G32" s="101">
        <f>SUM(G20:G31)</f>
        <v>376000</v>
      </c>
      <c r="H32" s="101"/>
      <c r="I32" s="102"/>
      <c r="J32" s="101">
        <f ca="1">SUM(J20:J31)</f>
        <v>5000.1100000000006</v>
      </c>
      <c r="K32" s="101"/>
      <c r="L32" s="102"/>
      <c r="M32" s="101">
        <f ca="1">SUM(M20:M31)</f>
        <v>34983</v>
      </c>
      <c r="N32" s="102"/>
      <c r="O32" s="102"/>
      <c r="P32" s="101">
        <f ca="1">SUM(P20:P31)</f>
        <v>14337423.524599999</v>
      </c>
      <c r="Q32" s="102"/>
      <c r="R32" s="102"/>
      <c r="S32" s="101">
        <f ca="1">SUM(S20:S31)</f>
        <v>23439702.9341764</v>
      </c>
      <c r="T32" s="103"/>
      <c r="U32" s="103"/>
      <c r="V32" s="101">
        <f ca="1">SUM(V20:V31)</f>
        <v>7903302.360678168</v>
      </c>
      <c r="W32" s="90"/>
      <c r="X32" s="90"/>
      <c r="Y32" s="101">
        <f ca="1">SUM(Y20:Y31)</f>
        <v>0</v>
      </c>
      <c r="AB32" s="101">
        <f ca="1">SUM(AB20:AB31)</f>
        <v>0</v>
      </c>
      <c r="AE32" s="101">
        <f ca="1">SUM(AE20:AE31)</f>
        <v>0</v>
      </c>
      <c r="AH32" s="101">
        <f ca="1">SUM(AH20:AH31)</f>
        <v>0</v>
      </c>
      <c r="AK32" s="101">
        <f ca="1">SUM(AK20:AK31)</f>
        <v>0</v>
      </c>
    </row>
    <row r="33" spans="1:37" ht="21.6" customHeight="1" x14ac:dyDescent="0.35">
      <c r="A33" s="97"/>
      <c r="B33" s="1137"/>
      <c r="C33" s="98"/>
      <c r="D33" s="94"/>
      <c r="E33" s="104"/>
      <c r="F33" s="105"/>
      <c r="G33" s="104"/>
      <c r="H33" s="104"/>
      <c r="I33" s="105"/>
      <c r="J33" s="104"/>
      <c r="K33" s="104"/>
      <c r="L33" s="105"/>
      <c r="M33" s="104"/>
      <c r="N33" s="105"/>
      <c r="O33" s="105"/>
      <c r="P33" s="104"/>
      <c r="Q33" s="105"/>
      <c r="R33" s="105"/>
      <c r="S33" s="104"/>
      <c r="T33" s="106"/>
      <c r="U33" s="106"/>
      <c r="V33" s="106"/>
      <c r="W33" s="42"/>
      <c r="X33" s="42"/>
      <c r="Y33" s="104"/>
    </row>
    <row r="34" spans="1:37" ht="15" customHeight="1" x14ac:dyDescent="0.25">
      <c r="A34" s="97"/>
      <c r="B34" s="1137"/>
      <c r="D34" s="77"/>
      <c r="F34" s="108"/>
      <c r="G34" s="107"/>
      <c r="H34" s="107"/>
      <c r="I34" s="109"/>
      <c r="J34" s="42"/>
      <c r="K34" s="42"/>
      <c r="L34" s="42"/>
      <c r="M34" s="42"/>
      <c r="N34" s="42"/>
      <c r="O34" s="42"/>
      <c r="P34" s="42"/>
      <c r="Q34" s="42"/>
      <c r="R34" s="42"/>
      <c r="S34" s="42"/>
      <c r="T34" s="42"/>
      <c r="U34" s="42"/>
      <c r="V34" s="42"/>
      <c r="W34" s="42"/>
      <c r="X34" s="42"/>
      <c r="Y34" s="42"/>
    </row>
    <row r="35" spans="1:37" ht="19.5" x14ac:dyDescent="0.35">
      <c r="A35" s="97"/>
      <c r="B35" s="1137"/>
      <c r="C35" s="110" t="s">
        <v>102</v>
      </c>
      <c r="D35" s="94"/>
      <c r="E35" s="111">
        <f>+'Data Input sheet'!G15</f>
        <v>-0.25</v>
      </c>
      <c r="F35" s="112" t="s">
        <v>103</v>
      </c>
      <c r="G35" s="113">
        <f>+'Data Input sheet'!J15</f>
        <v>0.5</v>
      </c>
      <c r="H35" s="113"/>
      <c r="I35" s="114"/>
      <c r="M35" s="115"/>
      <c r="N35" s="115"/>
      <c r="O35" s="115"/>
      <c r="P35" s="115"/>
      <c r="Q35" s="115"/>
      <c r="R35" s="115"/>
      <c r="S35" s="115"/>
      <c r="T35" s="115"/>
      <c r="U35" s="115"/>
      <c r="V35" s="115"/>
      <c r="W35" s="115"/>
      <c r="X35" s="115"/>
      <c r="Y35" s="115"/>
    </row>
    <row r="36" spans="1:37" ht="22.5" customHeight="1" x14ac:dyDescent="0.35">
      <c r="A36" s="97"/>
      <c r="B36" s="1137"/>
      <c r="C36" s="24"/>
      <c r="D36" s="77"/>
      <c r="E36" s="107">
        <f ca="1">ROUND(E32*(100%+E35),'Data Input sheet'!D23)</f>
        <v>34572000</v>
      </c>
      <c r="F36" s="108" t="s">
        <v>103</v>
      </c>
      <c r="G36" s="107">
        <f ca="1">ROUND(E32+(E32*G35),'Data Input sheet'!D23)</f>
        <v>69145000</v>
      </c>
      <c r="H36" s="107"/>
      <c r="I36" s="116"/>
      <c r="J36" s="115"/>
      <c r="K36" s="115"/>
      <c r="L36" s="117"/>
      <c r="M36" s="42"/>
      <c r="N36" s="117"/>
      <c r="O36" s="117"/>
      <c r="P36" s="117"/>
      <c r="Q36" s="117"/>
      <c r="R36" s="117"/>
      <c r="S36" s="117"/>
      <c r="T36" s="118"/>
      <c r="U36" s="118"/>
      <c r="V36" s="118"/>
      <c r="W36" s="118"/>
      <c r="X36" s="118"/>
      <c r="Y36" s="118"/>
    </row>
    <row r="37" spans="1:37" ht="22.5" customHeight="1" x14ac:dyDescent="0.35">
      <c r="A37" s="97"/>
      <c r="B37" s="1137"/>
      <c r="C37" s="24"/>
      <c r="D37" s="77"/>
      <c r="E37" s="107"/>
      <c r="F37" s="108"/>
      <c r="G37" s="107"/>
      <c r="H37" s="107"/>
      <c r="I37" s="116"/>
      <c r="J37" s="115"/>
      <c r="K37" s="115"/>
      <c r="L37" s="117"/>
      <c r="M37" s="42"/>
      <c r="N37" s="117"/>
      <c r="O37" s="117"/>
      <c r="P37" s="117"/>
      <c r="Q37" s="117"/>
      <c r="R37" s="117"/>
      <c r="S37" s="117"/>
      <c r="T37" s="118"/>
      <c r="U37" s="118"/>
      <c r="V37" s="118"/>
      <c r="W37" s="118"/>
      <c r="X37" s="118"/>
      <c r="Y37" s="118"/>
    </row>
    <row r="38" spans="1:37" ht="22.35" customHeight="1" x14ac:dyDescent="0.25">
      <c r="A38" s="657"/>
      <c r="B38" s="1138"/>
      <c r="C38" s="1139" t="str">
        <f ca="1" xml:space="preserve"> "NOTE: Risk / Contingency is " &amp; ROUND(IF(E27&gt;0,E27/(E32-E27),0)*100,1) &amp; "% of Project Costs (incl escal/indirects/AFUDC)"</f>
        <v>NOTE: Risk / Contingency is 14.4% of Project Costs (incl escal/indirects/AFUDC)</v>
      </c>
      <c r="D38" s="1140"/>
      <c r="E38" s="1140"/>
      <c r="F38" s="1140"/>
      <c r="G38" s="1140"/>
      <c r="H38" s="1140"/>
      <c r="I38" s="1140"/>
      <c r="J38" s="1125"/>
      <c r="K38" s="1125"/>
      <c r="L38" s="1125"/>
      <c r="M38" s="1125"/>
      <c r="N38" s="1125"/>
      <c r="O38" s="1125"/>
      <c r="P38" s="1125"/>
      <c r="Q38" s="1125"/>
      <c r="R38" s="1125"/>
      <c r="S38" s="1128"/>
      <c r="T38" s="1125"/>
      <c r="U38" s="1125"/>
      <c r="V38" s="1125"/>
      <c r="W38" s="1125"/>
      <c r="X38" s="1125"/>
      <c r="Y38" s="1140"/>
      <c r="Z38" s="1140"/>
      <c r="AA38" s="1140"/>
      <c r="AB38" s="1140"/>
      <c r="AC38" s="1140"/>
      <c r="AD38" s="1140"/>
      <c r="AE38" s="1140"/>
      <c r="AF38" s="1140"/>
      <c r="AG38" s="1140"/>
      <c r="AH38" s="1140"/>
      <c r="AI38" s="1140"/>
      <c r="AJ38" s="1140"/>
      <c r="AK38" s="1140"/>
    </row>
    <row r="39" spans="1:37" ht="12.75" customHeight="1" x14ac:dyDescent="0.25">
      <c r="A39" s="97"/>
      <c r="B39" s="122"/>
      <c r="C39" s="655"/>
      <c r="D39" s="51"/>
      <c r="E39" s="51"/>
      <c r="F39" s="51"/>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row>
    <row r="40" spans="1:37" ht="12.75" customHeight="1" x14ac:dyDescent="0.25">
      <c r="A40" s="46"/>
      <c r="B40" s="1131"/>
      <c r="C40" s="1163" t="s">
        <v>104</v>
      </c>
      <c r="D40" s="1133"/>
      <c r="E40" s="1133"/>
      <c r="F40" s="1115"/>
      <c r="G40" s="1115"/>
      <c r="H40" s="1115"/>
      <c r="I40" s="1115"/>
      <c r="J40" s="1115"/>
      <c r="K40" s="1115"/>
      <c r="L40" s="1115"/>
      <c r="M40" s="1115"/>
      <c r="N40" s="1115"/>
      <c r="O40" s="1115"/>
      <c r="P40" s="1114"/>
      <c r="Q40" s="1114"/>
      <c r="R40" s="1114"/>
      <c r="S40" s="1148"/>
      <c r="T40" s="1148"/>
      <c r="U40" s="1148"/>
      <c r="V40" s="1148"/>
      <c r="W40" s="1148"/>
      <c r="X40" s="1148"/>
      <c r="Y40" s="1114"/>
      <c r="Z40" s="1114"/>
      <c r="AA40" s="1114"/>
      <c r="AB40" s="1114"/>
      <c r="AC40" s="1114"/>
      <c r="AD40" s="1114"/>
      <c r="AE40" s="1114"/>
      <c r="AF40" s="1114"/>
      <c r="AG40" s="1114"/>
      <c r="AH40" s="1114"/>
      <c r="AI40" s="1114"/>
      <c r="AJ40" s="1114"/>
      <c r="AK40" s="1114"/>
    </row>
    <row r="41" spans="1:37" ht="15.75" customHeight="1" x14ac:dyDescent="0.25">
      <c r="A41" s="124"/>
      <c r="B41" s="1149"/>
      <c r="C41" s="125"/>
      <c r="D41" s="126"/>
      <c r="E41" s="126"/>
      <c r="F41" s="126"/>
      <c r="G41" s="126"/>
      <c r="H41" s="126"/>
      <c r="I41" s="126"/>
      <c r="J41" s="126"/>
      <c r="K41" s="126"/>
      <c r="L41" s="126"/>
      <c r="M41" s="126"/>
      <c r="N41" s="126"/>
      <c r="O41" s="126"/>
      <c r="P41" s="126"/>
      <c r="Q41" s="126"/>
      <c r="R41" s="126"/>
      <c r="S41" s="126"/>
      <c r="T41" s="126"/>
      <c r="U41" s="126"/>
      <c r="V41" s="126"/>
      <c r="W41" s="126"/>
      <c r="X41" s="126"/>
      <c r="Y41" s="126"/>
    </row>
    <row r="42" spans="1:37" ht="15.75" customHeight="1" x14ac:dyDescent="0.25">
      <c r="A42" s="128"/>
      <c r="B42" s="1151"/>
      <c r="C42" s="115" t="s">
        <v>105</v>
      </c>
      <c r="D42" s="126"/>
      <c r="E42" s="129"/>
      <c r="F42" s="126"/>
      <c r="G42" s="129"/>
      <c r="H42" s="129"/>
      <c r="I42" s="126"/>
      <c r="J42" s="129"/>
      <c r="K42" s="129"/>
      <c r="L42" s="126"/>
      <c r="M42" s="129"/>
      <c r="N42" s="126"/>
      <c r="O42" s="126"/>
      <c r="P42" s="129"/>
      <c r="Q42" s="126"/>
      <c r="R42" s="126"/>
      <c r="S42" s="129"/>
      <c r="T42" s="126"/>
      <c r="U42" s="126"/>
      <c r="V42" s="126"/>
      <c r="W42" s="126"/>
      <c r="X42" s="126"/>
      <c r="Y42" s="126"/>
    </row>
    <row r="43" spans="1:37" ht="15.75" customHeight="1" x14ac:dyDescent="0.35">
      <c r="A43" s="128"/>
      <c r="B43" s="1151"/>
      <c r="C43" s="126" t="s">
        <v>96</v>
      </c>
      <c r="D43" s="130"/>
      <c r="E43" s="131"/>
      <c r="F43" s="131"/>
      <c r="G43" s="131"/>
      <c r="H43" s="131"/>
      <c r="I43" s="131"/>
      <c r="J43" s="131"/>
      <c r="K43" s="131"/>
      <c r="L43" s="131"/>
      <c r="M43" s="131"/>
      <c r="N43" s="131"/>
      <c r="O43" s="131"/>
      <c r="P43" s="126"/>
      <c r="Q43" s="126"/>
      <c r="R43" s="126"/>
      <c r="S43" s="126"/>
      <c r="T43" s="126"/>
      <c r="U43" s="126"/>
      <c r="V43" s="126"/>
      <c r="W43" s="126"/>
      <c r="X43" s="126"/>
      <c r="Y43" s="126"/>
    </row>
    <row r="44" spans="1:37" ht="15.75" customHeight="1" x14ac:dyDescent="0.35">
      <c r="A44" s="128"/>
      <c r="B44" s="1151"/>
      <c r="C44" s="126"/>
      <c r="D44" s="130"/>
      <c r="E44" s="131"/>
      <c r="F44" s="131"/>
      <c r="G44" s="131"/>
      <c r="H44" s="131"/>
      <c r="I44" s="131"/>
      <c r="J44" s="131"/>
      <c r="K44" s="131"/>
      <c r="L44" s="131"/>
      <c r="M44" s="131"/>
      <c r="N44" s="131"/>
      <c r="O44" s="131"/>
      <c r="P44" s="126"/>
      <c r="Q44" s="126"/>
      <c r="R44" s="126"/>
      <c r="S44" s="126"/>
      <c r="T44" s="126"/>
      <c r="U44" s="126"/>
      <c r="V44" s="126"/>
      <c r="W44" s="126"/>
      <c r="X44" s="126"/>
      <c r="Y44" s="126"/>
    </row>
    <row r="45" spans="1:37" ht="15.75" customHeight="1" x14ac:dyDescent="0.35">
      <c r="A45" s="128"/>
      <c r="B45" s="1151"/>
      <c r="C45" s="126"/>
      <c r="D45" s="131"/>
      <c r="E45" s="131"/>
      <c r="F45" s="131"/>
      <c r="G45" s="131"/>
      <c r="H45" s="131"/>
      <c r="I45" s="131"/>
      <c r="J45" s="131"/>
      <c r="K45" s="131"/>
      <c r="L45" s="131"/>
      <c r="M45" s="131"/>
      <c r="N45" s="131"/>
      <c r="O45" s="131"/>
      <c r="P45" s="126"/>
      <c r="Q45" s="126"/>
      <c r="R45" s="126"/>
      <c r="S45" s="126"/>
      <c r="T45" s="126"/>
      <c r="U45" s="126"/>
      <c r="V45" s="126"/>
      <c r="W45" s="126"/>
      <c r="X45" s="126"/>
      <c r="Y45" s="126"/>
    </row>
    <row r="46" spans="1:37" ht="15.75" customHeight="1" x14ac:dyDescent="0.35">
      <c r="A46" s="128"/>
      <c r="B46" s="1151"/>
      <c r="C46" s="126"/>
      <c r="D46" s="131"/>
      <c r="E46" s="131"/>
      <c r="F46" s="131"/>
      <c r="G46" s="131"/>
      <c r="H46" s="131"/>
      <c r="I46" s="131"/>
      <c r="J46" s="131"/>
      <c r="K46" s="131"/>
      <c r="L46" s="131"/>
      <c r="M46" s="131"/>
      <c r="N46" s="131"/>
      <c r="O46" s="131"/>
      <c r="P46" s="126"/>
      <c r="Q46" s="126"/>
      <c r="R46" s="126"/>
      <c r="S46" s="126"/>
      <c r="T46" s="126"/>
      <c r="U46" s="126"/>
      <c r="V46" s="126"/>
      <c r="W46" s="126"/>
      <c r="X46" s="126"/>
      <c r="Y46" s="126"/>
    </row>
    <row r="47" spans="1:37" ht="15.75" customHeight="1" x14ac:dyDescent="0.35">
      <c r="A47" s="128"/>
      <c r="B47" s="1151"/>
      <c r="C47" s="126"/>
      <c r="D47" s="131"/>
      <c r="E47" s="131"/>
      <c r="F47" s="131"/>
      <c r="G47" s="131"/>
      <c r="H47" s="131"/>
      <c r="I47" s="131"/>
      <c r="J47" s="131"/>
      <c r="K47" s="131"/>
      <c r="L47" s="131"/>
      <c r="M47" s="131"/>
      <c r="N47" s="131"/>
      <c r="O47" s="131"/>
      <c r="P47" s="126"/>
      <c r="Q47" s="126"/>
      <c r="R47" s="126"/>
      <c r="S47" s="126"/>
      <c r="T47" s="126"/>
      <c r="U47" s="126"/>
      <c r="V47" s="126"/>
      <c r="W47" s="126"/>
      <c r="X47" s="126"/>
      <c r="Y47" s="126"/>
    </row>
    <row r="48" spans="1:37" ht="15.75" customHeight="1" x14ac:dyDescent="0.35">
      <c r="A48" s="128"/>
      <c r="B48" s="1151"/>
      <c r="C48" s="126"/>
      <c r="D48" s="131"/>
      <c r="E48" s="131"/>
      <c r="F48" s="131"/>
      <c r="G48" s="131"/>
      <c r="H48" s="131"/>
      <c r="I48" s="131"/>
      <c r="J48" s="131"/>
      <c r="K48" s="131"/>
      <c r="L48" s="131"/>
      <c r="M48" s="131"/>
      <c r="N48" s="131"/>
      <c r="O48" s="131"/>
      <c r="P48" s="126"/>
      <c r="Q48" s="126"/>
      <c r="R48" s="126"/>
      <c r="S48" s="126"/>
      <c r="T48" s="126"/>
      <c r="U48" s="126"/>
      <c r="V48" s="126"/>
      <c r="W48" s="126"/>
      <c r="X48" s="126"/>
      <c r="Y48" s="126"/>
    </row>
    <row r="49" spans="1:25" ht="15.75" customHeight="1" x14ac:dyDescent="0.35">
      <c r="A49" s="128"/>
      <c r="B49" s="1151"/>
      <c r="C49" s="126"/>
      <c r="D49" s="131"/>
      <c r="E49" s="131"/>
      <c r="F49" s="131"/>
      <c r="G49" s="131"/>
      <c r="H49" s="131"/>
      <c r="I49" s="131"/>
      <c r="J49" s="131"/>
      <c r="K49" s="131"/>
      <c r="L49" s="131"/>
      <c r="M49" s="131"/>
      <c r="N49" s="131"/>
      <c r="O49" s="131"/>
      <c r="P49" s="126"/>
      <c r="Q49" s="126"/>
      <c r="R49" s="126"/>
      <c r="S49" s="126"/>
      <c r="T49" s="126"/>
      <c r="U49" s="126"/>
      <c r="V49" s="126"/>
      <c r="W49" s="126"/>
      <c r="X49" s="126"/>
      <c r="Y49" s="126"/>
    </row>
    <row r="50" spans="1:25" ht="15.75" customHeight="1" x14ac:dyDescent="0.35">
      <c r="A50" s="128"/>
      <c r="B50" s="1151"/>
      <c r="C50" s="126"/>
      <c r="D50" s="131"/>
      <c r="E50" s="131"/>
      <c r="F50" s="131"/>
      <c r="G50" s="131"/>
      <c r="H50" s="131"/>
      <c r="I50" s="131"/>
      <c r="J50" s="131"/>
      <c r="K50" s="131"/>
      <c r="L50" s="131"/>
      <c r="M50" s="131"/>
      <c r="N50" s="131"/>
      <c r="O50" s="131"/>
      <c r="P50" s="126"/>
      <c r="Q50" s="126"/>
      <c r="R50" s="126"/>
      <c r="S50" s="126"/>
      <c r="T50" s="126"/>
      <c r="U50" s="126"/>
      <c r="V50" s="126"/>
      <c r="W50" s="126"/>
      <c r="X50" s="126"/>
      <c r="Y50" s="126"/>
    </row>
    <row r="51" spans="1:25" ht="15.75" customHeight="1" x14ac:dyDescent="0.35">
      <c r="A51" s="128"/>
      <c r="B51" s="1151"/>
      <c r="C51" s="126"/>
      <c r="D51" s="131"/>
      <c r="E51" s="131"/>
      <c r="F51" s="131"/>
      <c r="G51" s="131"/>
      <c r="H51" s="131"/>
      <c r="I51" s="131"/>
      <c r="J51" s="131"/>
      <c r="K51" s="131"/>
      <c r="L51" s="131"/>
      <c r="M51" s="131"/>
      <c r="N51" s="131"/>
      <c r="O51" s="131"/>
      <c r="P51" s="126"/>
      <c r="Q51" s="126"/>
      <c r="R51" s="126"/>
      <c r="S51" s="126"/>
      <c r="T51" s="126"/>
      <c r="U51" s="126"/>
      <c r="V51" s="126"/>
      <c r="W51" s="126"/>
      <c r="X51" s="126"/>
      <c r="Y51" s="126"/>
    </row>
    <row r="52" spans="1:25" ht="15.75" customHeight="1" x14ac:dyDescent="0.35">
      <c r="A52" s="128"/>
      <c r="B52" s="1151"/>
      <c r="C52" s="126"/>
      <c r="D52" s="131"/>
      <c r="E52" s="131"/>
      <c r="F52" s="131"/>
      <c r="G52" s="131"/>
      <c r="H52" s="131"/>
      <c r="I52" s="131"/>
      <c r="J52" s="131"/>
      <c r="K52" s="131"/>
      <c r="L52" s="131"/>
      <c r="M52" s="131"/>
      <c r="N52" s="131"/>
      <c r="O52" s="131"/>
      <c r="P52" s="126"/>
      <c r="Q52" s="126"/>
      <c r="R52" s="126"/>
      <c r="S52" s="126"/>
      <c r="T52" s="126"/>
      <c r="U52" s="126"/>
      <c r="V52" s="126"/>
      <c r="W52" s="126"/>
      <c r="X52" s="126"/>
      <c r="Y52" s="126"/>
    </row>
    <row r="53" spans="1:25" ht="15.75" customHeight="1" x14ac:dyDescent="0.35">
      <c r="A53" s="128"/>
      <c r="B53" s="1151"/>
      <c r="C53" s="126"/>
      <c r="D53" s="131"/>
      <c r="E53" s="131"/>
      <c r="F53" s="131"/>
      <c r="G53" s="131"/>
      <c r="H53" s="131"/>
      <c r="I53" s="131"/>
      <c r="J53" s="131"/>
      <c r="K53" s="131"/>
      <c r="L53" s="131"/>
      <c r="M53" s="131"/>
      <c r="N53" s="131"/>
      <c r="O53" s="131"/>
      <c r="P53" s="126"/>
      <c r="Q53" s="126"/>
      <c r="R53" s="126"/>
      <c r="S53" s="126"/>
      <c r="T53" s="126"/>
      <c r="U53" s="126"/>
      <c r="V53" s="126"/>
      <c r="W53" s="126"/>
      <c r="X53" s="126"/>
      <c r="Y53" s="126"/>
    </row>
    <row r="54" spans="1:25" ht="15.75" customHeight="1" x14ac:dyDescent="0.35">
      <c r="A54" s="128"/>
      <c r="B54" s="1151"/>
      <c r="C54" s="126"/>
      <c r="D54" s="131"/>
      <c r="E54" s="131"/>
      <c r="F54" s="131"/>
      <c r="G54" s="131"/>
      <c r="H54" s="131"/>
      <c r="I54" s="131"/>
      <c r="J54" s="131"/>
      <c r="K54" s="131"/>
      <c r="L54" s="131"/>
      <c r="M54" s="131"/>
      <c r="N54" s="131"/>
      <c r="O54" s="131"/>
      <c r="P54" s="126"/>
      <c r="Q54" s="126"/>
      <c r="R54" s="126"/>
      <c r="S54" s="126"/>
      <c r="T54" s="126"/>
      <c r="U54" s="126"/>
      <c r="V54" s="126"/>
      <c r="W54" s="126"/>
      <c r="X54" s="126"/>
      <c r="Y54" s="126"/>
    </row>
    <row r="55" spans="1:25" ht="15.75" customHeight="1" x14ac:dyDescent="0.35">
      <c r="A55" s="128"/>
      <c r="B55" s="1151"/>
      <c r="C55" s="126"/>
      <c r="D55" s="131"/>
      <c r="E55" s="131"/>
      <c r="F55" s="131"/>
      <c r="G55" s="131"/>
      <c r="H55" s="131"/>
      <c r="I55" s="131"/>
      <c r="J55" s="131"/>
      <c r="K55" s="131"/>
      <c r="L55" s="131"/>
      <c r="M55" s="131"/>
      <c r="N55" s="131"/>
      <c r="O55" s="131"/>
      <c r="P55" s="126"/>
      <c r="Q55" s="126"/>
      <c r="R55" s="126"/>
      <c r="S55" s="126"/>
      <c r="T55" s="126"/>
      <c r="U55" s="126"/>
      <c r="V55" s="126"/>
      <c r="W55" s="126"/>
      <c r="X55" s="126"/>
      <c r="Y55" s="126"/>
    </row>
    <row r="56" spans="1:25" ht="15.75" customHeight="1" x14ac:dyDescent="0.35">
      <c r="A56" s="128"/>
      <c r="B56" s="1151"/>
      <c r="C56" s="126"/>
      <c r="D56" s="131"/>
      <c r="E56" s="131"/>
      <c r="F56" s="131"/>
      <c r="G56" s="131"/>
      <c r="H56" s="131"/>
      <c r="I56" s="131"/>
      <c r="J56" s="131"/>
      <c r="K56" s="131"/>
      <c r="L56" s="131"/>
      <c r="M56" s="131"/>
      <c r="N56" s="131"/>
      <c r="O56" s="131"/>
      <c r="P56" s="126"/>
      <c r="Q56" s="126"/>
      <c r="R56" s="126"/>
      <c r="S56" s="126"/>
      <c r="T56" s="126"/>
      <c r="U56" s="126"/>
      <c r="V56" s="126"/>
      <c r="W56" s="126"/>
      <c r="X56" s="126"/>
      <c r="Y56" s="126"/>
    </row>
    <row r="57" spans="1:25" ht="15.75" customHeight="1" x14ac:dyDescent="0.35">
      <c r="A57" s="128"/>
      <c r="B57" s="1151"/>
      <c r="C57" s="126"/>
      <c r="D57" s="131"/>
      <c r="E57" s="131"/>
      <c r="F57" s="131"/>
      <c r="G57" s="131"/>
      <c r="H57" s="131"/>
      <c r="I57" s="131"/>
      <c r="J57" s="131"/>
      <c r="K57" s="131"/>
      <c r="L57" s="131"/>
      <c r="M57" s="131"/>
      <c r="N57" s="131"/>
      <c r="O57" s="131"/>
      <c r="P57" s="126"/>
      <c r="Q57" s="126"/>
      <c r="R57" s="126"/>
      <c r="S57" s="126"/>
      <c r="T57" s="126"/>
      <c r="U57" s="126"/>
      <c r="V57" s="126"/>
      <c r="W57" s="126"/>
      <c r="X57" s="126"/>
      <c r="Y57" s="126"/>
    </row>
    <row r="58" spans="1:25" ht="15.75" customHeight="1" x14ac:dyDescent="0.35">
      <c r="A58" s="128"/>
      <c r="B58" s="1151"/>
      <c r="C58" s="126"/>
      <c r="D58" s="131"/>
      <c r="E58" s="131"/>
      <c r="F58" s="131"/>
      <c r="G58" s="131"/>
      <c r="H58" s="131"/>
      <c r="I58" s="131"/>
      <c r="J58" s="131"/>
      <c r="K58" s="131"/>
      <c r="L58" s="131"/>
      <c r="M58" s="131"/>
      <c r="N58" s="131"/>
      <c r="O58" s="131"/>
      <c r="P58" s="126"/>
      <c r="Q58" s="126"/>
      <c r="R58" s="126"/>
      <c r="S58" s="126"/>
      <c r="T58" s="126"/>
      <c r="U58" s="126"/>
      <c r="V58" s="126"/>
      <c r="W58" s="126"/>
      <c r="X58" s="126"/>
      <c r="Y58" s="126"/>
    </row>
    <row r="59" spans="1:25" ht="15.75" customHeight="1" x14ac:dyDescent="0.35">
      <c r="A59" s="128"/>
      <c r="B59" s="1151"/>
      <c r="C59" s="126"/>
      <c r="D59" s="131"/>
      <c r="E59" s="131"/>
      <c r="F59" s="131"/>
      <c r="G59" s="131"/>
      <c r="H59" s="131"/>
      <c r="I59" s="131"/>
      <c r="J59" s="131"/>
      <c r="K59" s="131"/>
      <c r="L59" s="131"/>
      <c r="M59" s="131"/>
      <c r="N59" s="131"/>
      <c r="O59" s="131"/>
      <c r="P59" s="126"/>
      <c r="Q59" s="126"/>
      <c r="R59" s="126"/>
      <c r="S59" s="126"/>
      <c r="T59" s="126"/>
      <c r="U59" s="126"/>
      <c r="V59" s="126"/>
      <c r="W59" s="126"/>
      <c r="X59" s="126"/>
      <c r="Y59" s="126"/>
    </row>
    <row r="60" spans="1:25" ht="15.75" customHeight="1" x14ac:dyDescent="0.35">
      <c r="A60" s="128"/>
      <c r="B60" s="1151"/>
      <c r="C60" s="126"/>
      <c r="D60" s="131"/>
      <c r="E60" s="131"/>
      <c r="F60" s="131"/>
      <c r="G60" s="131"/>
      <c r="H60" s="131"/>
      <c r="I60" s="131"/>
      <c r="J60" s="131"/>
      <c r="K60" s="131"/>
      <c r="L60" s="131"/>
      <c r="M60" s="131"/>
      <c r="N60" s="131"/>
      <c r="O60" s="131"/>
      <c r="P60" s="126"/>
      <c r="Q60" s="126"/>
      <c r="R60" s="126"/>
      <c r="S60" s="126"/>
      <c r="T60" s="126"/>
      <c r="U60" s="126"/>
      <c r="V60" s="126"/>
      <c r="W60" s="126"/>
      <c r="X60" s="126"/>
      <c r="Y60" s="126"/>
    </row>
    <row r="61" spans="1:25" ht="15.75" customHeight="1" x14ac:dyDescent="0.35">
      <c r="A61" s="128"/>
      <c r="B61" s="1151"/>
      <c r="C61" s="126"/>
      <c r="D61" s="131"/>
      <c r="E61" s="131"/>
      <c r="F61" s="131"/>
      <c r="G61" s="131"/>
      <c r="H61" s="131"/>
      <c r="I61" s="131"/>
      <c r="J61" s="131"/>
      <c r="K61" s="131"/>
      <c r="L61" s="131"/>
      <c r="M61" s="131"/>
      <c r="N61" s="131"/>
      <c r="O61" s="131"/>
      <c r="P61" s="126"/>
      <c r="Q61" s="126"/>
      <c r="R61" s="126"/>
      <c r="S61" s="126"/>
      <c r="T61" s="126"/>
      <c r="U61" s="126"/>
      <c r="V61" s="126"/>
      <c r="W61" s="126"/>
      <c r="X61" s="126"/>
      <c r="Y61" s="126"/>
    </row>
    <row r="62" spans="1:25" ht="17.25" customHeight="1" x14ac:dyDescent="0.35">
      <c r="A62" s="128"/>
      <c r="B62" s="1151"/>
      <c r="C62" s="126"/>
      <c r="D62" s="131"/>
      <c r="E62" s="131"/>
      <c r="F62" s="131"/>
      <c r="G62" s="131"/>
      <c r="H62" s="131"/>
      <c r="I62" s="131"/>
      <c r="J62" s="131"/>
      <c r="K62" s="131"/>
      <c r="L62" s="131"/>
      <c r="M62" s="131"/>
      <c r="N62" s="131"/>
      <c r="O62" s="131"/>
      <c r="P62" s="126"/>
      <c r="Q62" s="126"/>
      <c r="R62" s="126"/>
      <c r="S62" s="126"/>
      <c r="T62" s="126"/>
      <c r="U62" s="126"/>
      <c r="V62" s="126"/>
      <c r="W62" s="126"/>
      <c r="X62" s="126"/>
      <c r="Y62" s="126"/>
    </row>
    <row r="63" spans="1:25" ht="20.25" thickBot="1" x14ac:dyDescent="0.4">
      <c r="A63" s="128"/>
      <c r="B63" s="1151"/>
      <c r="C63" s="1431" t="s">
        <v>1309</v>
      </c>
      <c r="D63" s="1432"/>
      <c r="E63" s="1432"/>
      <c r="F63" s="131"/>
      <c r="G63" s="131"/>
      <c r="H63" s="131"/>
      <c r="I63" s="131"/>
      <c r="J63" s="131"/>
      <c r="K63" s="131"/>
      <c r="L63" s="131"/>
      <c r="M63" s="131"/>
      <c r="N63" s="131"/>
      <c r="O63" s="131"/>
      <c r="P63" s="126"/>
      <c r="Q63" s="126"/>
      <c r="R63" s="126"/>
      <c r="S63" s="126"/>
      <c r="T63" s="126"/>
      <c r="U63" s="126"/>
      <c r="V63" s="126"/>
      <c r="W63" s="126"/>
      <c r="X63" s="126"/>
      <c r="Y63" s="126"/>
    </row>
    <row r="64" spans="1:25" ht="15.75" customHeight="1" x14ac:dyDescent="0.35">
      <c r="A64" s="128"/>
      <c r="B64" s="1151"/>
      <c r="C64" s="1430"/>
      <c r="D64" s="131"/>
      <c r="E64" s="131"/>
      <c r="F64" s="131"/>
      <c r="G64" s="131"/>
      <c r="H64" s="131"/>
      <c r="I64" s="131"/>
      <c r="J64" s="131"/>
      <c r="K64" s="131"/>
      <c r="L64" s="131"/>
      <c r="M64" s="131"/>
      <c r="N64" s="131"/>
      <c r="O64" s="131"/>
      <c r="P64" s="126"/>
      <c r="Q64" s="126"/>
      <c r="R64" s="126"/>
      <c r="S64" s="126"/>
      <c r="T64" s="126"/>
      <c r="U64" s="126"/>
      <c r="V64" s="126"/>
      <c r="W64" s="126"/>
      <c r="X64" s="126"/>
      <c r="Y64" s="126"/>
    </row>
    <row r="65" spans="1:25" ht="15.75" customHeight="1" x14ac:dyDescent="0.35">
      <c r="A65" s="128"/>
      <c r="B65" s="1151"/>
      <c r="C65" s="115" t="s">
        <v>1308</v>
      </c>
      <c r="D65" s="131"/>
      <c r="F65" s="131"/>
      <c r="G65" s="131"/>
      <c r="H65" s="131"/>
      <c r="I65" s="131"/>
      <c r="J65" s="131"/>
      <c r="K65" s="131"/>
      <c r="L65" s="131"/>
      <c r="M65" s="131"/>
      <c r="N65" s="131"/>
      <c r="O65" s="131"/>
      <c r="P65" s="126"/>
      <c r="Q65" s="126"/>
      <c r="R65" s="126"/>
      <c r="S65" s="126"/>
      <c r="T65" s="126"/>
      <c r="U65" s="126"/>
      <c r="V65" s="126"/>
      <c r="W65" s="126"/>
      <c r="X65" s="126"/>
      <c r="Y65" s="126"/>
    </row>
    <row r="66" spans="1:25" ht="15.75" customHeight="1" x14ac:dyDescent="0.35">
      <c r="A66" s="132"/>
      <c r="B66" s="1152"/>
      <c r="C66" s="126" t="s">
        <v>106</v>
      </c>
      <c r="D66" s="131"/>
      <c r="E66" s="131" t="str">
        <f>+'Data Input sheet'!D19&amp;" , "&amp;'Data Input sheet'!D20</f>
        <v>21D - EMA , Station work</v>
      </c>
      <c r="F66" s="131"/>
      <c r="G66" s="131"/>
      <c r="H66" s="131"/>
      <c r="I66" s="131"/>
      <c r="J66" s="131"/>
      <c r="K66" s="131"/>
      <c r="L66" s="131"/>
      <c r="M66" s="131"/>
      <c r="N66" s="131"/>
      <c r="O66" s="131"/>
      <c r="P66" s="126"/>
      <c r="Q66" s="126"/>
      <c r="R66" s="126"/>
      <c r="S66" s="126"/>
      <c r="T66" s="126"/>
      <c r="U66" s="126"/>
      <c r="V66" s="126"/>
      <c r="W66" s="126"/>
      <c r="X66" s="126"/>
      <c r="Y66" s="126"/>
    </row>
    <row r="67" spans="1:25" ht="15.75" customHeight="1" x14ac:dyDescent="0.25">
      <c r="A67" s="132"/>
      <c r="B67" s="1152"/>
      <c r="C67" s="126"/>
      <c r="D67" s="133"/>
      <c r="E67" s="126"/>
      <c r="F67" s="126"/>
      <c r="G67" s="126"/>
      <c r="H67" s="126"/>
      <c r="I67" s="126"/>
      <c r="J67" s="126"/>
      <c r="K67" s="126"/>
      <c r="L67" s="126"/>
      <c r="M67" s="899"/>
      <c r="N67" s="126"/>
      <c r="O67" s="126"/>
      <c r="P67" s="898"/>
      <c r="Q67" s="126"/>
      <c r="R67" s="126"/>
      <c r="S67" s="126"/>
      <c r="T67" s="126"/>
      <c r="U67" s="126"/>
      <c r="V67" s="126"/>
      <c r="W67" s="126"/>
      <c r="X67" s="126"/>
      <c r="Y67" s="898"/>
    </row>
    <row r="68" spans="1:25" ht="15.75" customHeight="1" x14ac:dyDescent="0.35">
      <c r="A68" s="134"/>
      <c r="B68" s="1153"/>
      <c r="C68" s="126"/>
      <c r="D68" s="131"/>
      <c r="E68" s="131"/>
      <c r="F68" s="131"/>
      <c r="G68" s="131"/>
      <c r="H68" s="131"/>
      <c r="I68" s="131"/>
      <c r="J68" s="131"/>
      <c r="K68" s="131"/>
      <c r="L68" s="131"/>
      <c r="M68" s="131"/>
      <c r="N68" s="131"/>
      <c r="O68" s="131"/>
      <c r="P68" s="131"/>
      <c r="Q68" s="131"/>
      <c r="R68" s="131"/>
      <c r="S68" s="131"/>
      <c r="T68" s="131"/>
      <c r="U68" s="131"/>
      <c r="V68" s="131"/>
      <c r="W68" s="131"/>
      <c r="X68" s="131"/>
      <c r="Y68" s="131"/>
    </row>
    <row r="69" spans="1:25" ht="15.75" customHeight="1" x14ac:dyDescent="0.35">
      <c r="A69" s="135"/>
      <c r="B69" s="1155"/>
      <c r="C69" s="126"/>
      <c r="D69" s="131"/>
      <c r="E69" s="131"/>
      <c r="F69" s="131"/>
      <c r="G69" s="131"/>
      <c r="H69" s="131"/>
      <c r="I69" s="131"/>
      <c r="J69" s="131"/>
      <c r="K69" s="131"/>
      <c r="L69" s="131"/>
      <c r="M69" s="131"/>
      <c r="N69" s="131"/>
      <c r="O69" s="131"/>
      <c r="P69" s="131"/>
      <c r="Q69" s="131"/>
      <c r="R69" s="131"/>
      <c r="S69" s="131"/>
      <c r="T69" s="131"/>
      <c r="U69" s="131"/>
      <c r="V69" s="131"/>
      <c r="W69" s="131"/>
      <c r="X69" s="131"/>
      <c r="Y69" s="131"/>
    </row>
    <row r="70" spans="1:25" ht="15.75" customHeight="1" x14ac:dyDescent="0.35">
      <c r="A70" s="135"/>
      <c r="B70" s="1155"/>
      <c r="C70" s="126"/>
      <c r="D70" s="131"/>
      <c r="E70" s="131"/>
      <c r="F70" s="131"/>
      <c r="G70" s="131"/>
      <c r="H70" s="131"/>
      <c r="I70" s="131"/>
      <c r="J70" s="131"/>
      <c r="K70" s="131"/>
      <c r="L70" s="131"/>
      <c r="M70" s="131"/>
      <c r="N70" s="131"/>
      <c r="O70" s="131"/>
      <c r="P70" s="131"/>
      <c r="Q70" s="131"/>
      <c r="R70" s="131"/>
      <c r="S70" s="131"/>
      <c r="T70" s="131"/>
      <c r="U70" s="131"/>
      <c r="V70" s="131"/>
      <c r="W70" s="131"/>
      <c r="X70" s="131"/>
      <c r="Y70" s="131"/>
    </row>
    <row r="71" spans="1:25" ht="15.75" customHeight="1" x14ac:dyDescent="0.35">
      <c r="A71" s="136"/>
      <c r="B71" s="1156"/>
      <c r="C71" s="126"/>
      <c r="D71" s="131"/>
      <c r="E71" s="131"/>
      <c r="F71" s="131"/>
      <c r="G71" s="131"/>
      <c r="H71" s="131"/>
      <c r="I71" s="131"/>
      <c r="J71" s="131"/>
      <c r="K71" s="131"/>
      <c r="L71" s="131"/>
      <c r="M71" s="131"/>
      <c r="N71" s="131"/>
      <c r="O71" s="131"/>
      <c r="P71" s="131"/>
      <c r="Q71" s="131"/>
      <c r="R71" s="131"/>
      <c r="S71" s="131"/>
      <c r="T71" s="131"/>
      <c r="U71" s="131"/>
      <c r="V71" s="131"/>
      <c r="W71" s="131"/>
      <c r="X71" s="131"/>
      <c r="Y71" s="131"/>
    </row>
    <row r="72" spans="1:25" ht="15.75" customHeight="1" x14ac:dyDescent="0.35">
      <c r="A72" s="136"/>
      <c r="B72" s="1156"/>
      <c r="C72" s="117"/>
      <c r="D72" s="130"/>
      <c r="E72" s="131"/>
      <c r="F72" s="131"/>
      <c r="G72" s="131"/>
      <c r="H72" s="131"/>
      <c r="I72" s="131"/>
      <c r="J72" s="131"/>
      <c r="K72" s="131"/>
      <c r="L72" s="131"/>
      <c r="M72" s="131"/>
      <c r="N72" s="131"/>
      <c r="O72" s="131"/>
      <c r="P72" s="131"/>
      <c r="Q72" s="131"/>
      <c r="R72" s="131"/>
      <c r="S72" s="131"/>
      <c r="T72" s="131"/>
      <c r="U72" s="131"/>
      <c r="V72" s="131"/>
      <c r="W72" s="131"/>
      <c r="X72" s="131"/>
      <c r="Y72" s="131"/>
    </row>
    <row r="73" spans="1:25" ht="15.75" customHeight="1" x14ac:dyDescent="0.35">
      <c r="A73" s="134"/>
      <c r="B73" s="1153"/>
      <c r="C73" s="126" t="s">
        <v>96</v>
      </c>
      <c r="D73" s="137"/>
      <c r="E73" s="131"/>
      <c r="F73" s="131"/>
      <c r="G73" s="131"/>
      <c r="H73" s="131"/>
      <c r="I73" s="131"/>
      <c r="J73" s="131"/>
      <c r="K73" s="131"/>
      <c r="L73" s="131"/>
      <c r="M73" s="131"/>
      <c r="N73" s="131"/>
      <c r="O73" s="131"/>
      <c r="P73" s="131"/>
      <c r="Q73" s="131"/>
      <c r="R73" s="131"/>
      <c r="S73" s="131"/>
      <c r="T73" s="131"/>
      <c r="U73" s="131"/>
      <c r="V73" s="131"/>
      <c r="W73" s="131"/>
      <c r="X73" s="131"/>
      <c r="Y73" s="131"/>
    </row>
    <row r="74" spans="1:25" ht="15.75" customHeight="1" x14ac:dyDescent="0.35">
      <c r="A74" s="134"/>
      <c r="B74" s="1153"/>
      <c r="C74" s="126" t="s">
        <v>96</v>
      </c>
      <c r="D74" s="130"/>
      <c r="E74" s="131"/>
      <c r="F74" s="131"/>
      <c r="G74" s="131"/>
      <c r="H74" s="131"/>
      <c r="I74" s="131"/>
      <c r="J74" s="131"/>
      <c r="K74" s="131"/>
      <c r="L74" s="131"/>
      <c r="M74" s="131"/>
      <c r="N74" s="131"/>
      <c r="O74" s="131"/>
      <c r="P74" s="131"/>
      <c r="Q74" s="131"/>
      <c r="R74" s="131"/>
      <c r="S74" s="131"/>
      <c r="T74" s="131"/>
      <c r="U74" s="131"/>
      <c r="V74" s="131"/>
      <c r="W74" s="131"/>
      <c r="X74" s="131"/>
      <c r="Y74" s="131"/>
    </row>
    <row r="75" spans="1:25" ht="15.75" customHeight="1" x14ac:dyDescent="0.35">
      <c r="A75" s="134"/>
      <c r="B75" s="1153"/>
      <c r="C75" s="126"/>
      <c r="D75" s="130"/>
      <c r="E75" s="131"/>
      <c r="F75" s="131"/>
      <c r="G75" s="131"/>
      <c r="H75" s="131"/>
      <c r="I75" s="131"/>
      <c r="J75" s="131"/>
      <c r="K75" s="131"/>
      <c r="L75" s="131"/>
      <c r="M75" s="131"/>
      <c r="N75" s="131"/>
      <c r="O75" s="131"/>
      <c r="P75" s="131"/>
      <c r="Q75" s="131"/>
      <c r="R75" s="131"/>
      <c r="S75" s="131"/>
      <c r="T75" s="131"/>
      <c r="U75" s="131"/>
      <c r="V75" s="131"/>
      <c r="W75" s="131"/>
      <c r="X75" s="131"/>
      <c r="Y75" s="131"/>
    </row>
    <row r="76" spans="1:25" ht="15.75" customHeight="1" x14ac:dyDescent="0.35">
      <c r="A76" s="134"/>
      <c r="B76" s="1153"/>
      <c r="C76" s="126"/>
      <c r="D76" s="130"/>
      <c r="E76" s="131"/>
      <c r="F76" s="131"/>
      <c r="G76" s="131"/>
      <c r="H76" s="131"/>
      <c r="I76" s="131"/>
      <c r="J76" s="131"/>
      <c r="K76" s="131"/>
      <c r="L76" s="131"/>
      <c r="M76" s="131"/>
      <c r="N76" s="131"/>
      <c r="O76" s="131"/>
      <c r="P76" s="131"/>
      <c r="Q76" s="131"/>
      <c r="R76" s="131"/>
      <c r="S76" s="131"/>
      <c r="T76" s="131"/>
      <c r="U76" s="131"/>
      <c r="V76" s="131"/>
      <c r="W76" s="131"/>
      <c r="X76" s="131"/>
      <c r="Y76" s="131"/>
    </row>
    <row r="77" spans="1:25" ht="15.75" customHeight="1" x14ac:dyDescent="0.35">
      <c r="A77" s="134"/>
      <c r="B77" s="1153"/>
      <c r="C77" s="126"/>
      <c r="D77" s="131"/>
      <c r="E77" s="131"/>
      <c r="F77" s="131"/>
      <c r="G77" s="131"/>
      <c r="H77" s="131"/>
      <c r="I77" s="131"/>
      <c r="J77" s="131"/>
      <c r="K77" s="131"/>
      <c r="L77" s="131"/>
      <c r="M77" s="131"/>
      <c r="N77" s="131"/>
      <c r="O77" s="131"/>
      <c r="P77" s="131"/>
      <c r="Q77" s="131"/>
      <c r="R77" s="131"/>
      <c r="S77" s="131"/>
      <c r="T77" s="131"/>
      <c r="U77" s="131"/>
      <c r="V77" s="131"/>
      <c r="W77" s="131"/>
      <c r="X77" s="131"/>
      <c r="Y77" s="131"/>
    </row>
    <row r="78" spans="1:25" ht="15.75" customHeight="1" x14ac:dyDescent="0.35">
      <c r="A78" s="134"/>
      <c r="B78" s="1153"/>
      <c r="C78" s="117" t="s">
        <v>107</v>
      </c>
      <c r="D78" s="131"/>
      <c r="E78" s="131"/>
      <c r="F78" s="131"/>
      <c r="G78" s="131"/>
      <c r="H78" s="131"/>
      <c r="I78" s="131"/>
      <c r="J78" s="131"/>
      <c r="K78" s="131"/>
      <c r="L78" s="131"/>
      <c r="M78" s="131"/>
      <c r="N78" s="131"/>
      <c r="O78" s="131"/>
      <c r="P78" s="131"/>
      <c r="Q78" s="131"/>
      <c r="R78" s="131"/>
      <c r="S78" s="131"/>
      <c r="T78" s="131"/>
      <c r="U78" s="131"/>
      <c r="V78" s="131"/>
      <c r="W78" s="131"/>
      <c r="X78" s="131"/>
      <c r="Y78" s="131"/>
    </row>
    <row r="79" spans="1:25" ht="15.75" customHeight="1" x14ac:dyDescent="0.35">
      <c r="A79" s="134"/>
      <c r="B79" s="1153"/>
      <c r="C79" s="126"/>
      <c r="D79" s="131"/>
      <c r="E79" s="131"/>
      <c r="F79" s="131"/>
      <c r="G79" s="131"/>
      <c r="H79" s="131"/>
      <c r="I79" s="131"/>
      <c r="J79" s="131"/>
      <c r="K79" s="131"/>
      <c r="L79" s="131"/>
      <c r="M79" s="131"/>
      <c r="N79" s="131"/>
      <c r="O79" s="131"/>
      <c r="P79" s="131"/>
      <c r="Q79" s="131"/>
      <c r="R79" s="131"/>
      <c r="S79" s="131"/>
      <c r="T79" s="131"/>
      <c r="U79" s="131"/>
      <c r="V79" s="131"/>
      <c r="W79" s="131"/>
      <c r="X79" s="131"/>
      <c r="Y79" s="131"/>
    </row>
    <row r="80" spans="1:25" ht="15.75" customHeight="1" x14ac:dyDescent="0.35">
      <c r="A80" s="134"/>
      <c r="B80" s="1153"/>
      <c r="C80" s="2815" t="str">
        <f>+'Estimated Risks'!B6</f>
        <v>Potential UG Obstructions</v>
      </c>
      <c r="D80" s="2815"/>
      <c r="E80" s="2815"/>
      <c r="F80" s="2815"/>
      <c r="G80" s="900">
        <f>IF(ISTEXT(C80),+'Estimated Risks'!E6,"  ")</f>
        <v>350000</v>
      </c>
      <c r="H80" s="900"/>
      <c r="I80" s="131"/>
      <c r="J80" s="131"/>
      <c r="K80" s="131"/>
      <c r="L80" s="131"/>
      <c r="M80" s="131"/>
      <c r="N80" s="131"/>
      <c r="O80" s="131"/>
      <c r="P80" s="131"/>
      <c r="Q80" s="131"/>
      <c r="R80" s="131"/>
      <c r="S80" s="131"/>
      <c r="T80" s="131"/>
      <c r="U80" s="131"/>
      <c r="V80" s="131"/>
      <c r="W80" s="131"/>
      <c r="X80" s="131"/>
      <c r="Y80" s="131"/>
    </row>
    <row r="81" spans="1:37" ht="15.75" customHeight="1" x14ac:dyDescent="0.35">
      <c r="A81" s="135"/>
      <c r="B81" s="1155"/>
      <c r="C81" s="2815" t="str">
        <f>+'Estimated Risks'!B7</f>
        <v>Severe Weather, Delays, OT</v>
      </c>
      <c r="D81" s="2815"/>
      <c r="E81" s="2815"/>
      <c r="F81" s="2815"/>
      <c r="G81" s="900">
        <f>IF(ISTEXT(C81),+'Estimated Risks'!E7,"  ")</f>
        <v>900000</v>
      </c>
      <c r="H81" s="900"/>
      <c r="I81" s="131"/>
      <c r="J81" s="131"/>
      <c r="K81" s="131"/>
      <c r="L81" s="131"/>
      <c r="M81" s="131"/>
      <c r="N81" s="131"/>
      <c r="O81" s="131"/>
      <c r="P81" s="131"/>
      <c r="Q81" s="131"/>
      <c r="R81" s="131"/>
      <c r="S81" s="131"/>
      <c r="T81" s="131"/>
      <c r="U81" s="131"/>
      <c r="V81" s="131"/>
      <c r="W81" s="131"/>
      <c r="X81" s="131"/>
      <c r="Y81" s="131"/>
    </row>
    <row r="82" spans="1:37" ht="15.75" customHeight="1" x14ac:dyDescent="0.35">
      <c r="A82" s="135"/>
      <c r="B82" s="1155"/>
      <c r="C82" s="2815" t="str">
        <f>+'Estimated Risks'!B8</f>
        <v>Design development</v>
      </c>
      <c r="D82" s="2815"/>
      <c r="E82" s="2815"/>
      <c r="F82" s="2815"/>
      <c r="G82" s="900">
        <f>IF(ISTEXT(C82),+'Estimated Risks'!E8,"  ")</f>
        <v>500000</v>
      </c>
      <c r="H82" s="900"/>
      <c r="I82" s="138"/>
      <c r="J82" s="138"/>
      <c r="K82" s="138"/>
      <c r="L82" s="138"/>
      <c r="M82" s="126"/>
      <c r="N82" s="138"/>
      <c r="O82" s="138"/>
      <c r="P82" s="126"/>
      <c r="Q82" s="139"/>
      <c r="R82" s="139"/>
      <c r="S82" s="140"/>
      <c r="T82" s="140"/>
      <c r="U82" s="140"/>
      <c r="V82" s="140"/>
      <c r="W82" s="140"/>
      <c r="X82" s="140"/>
      <c r="Y82" s="126"/>
    </row>
    <row r="83" spans="1:37" ht="15.75" customHeight="1" x14ac:dyDescent="0.35">
      <c r="A83" s="135"/>
      <c r="B83" s="1155"/>
      <c r="C83" s="2815" t="str">
        <f>+'Estimated Risks'!B9</f>
        <v>Additional outreach</v>
      </c>
      <c r="D83" s="2815"/>
      <c r="E83" s="2815"/>
      <c r="F83" s="2815"/>
      <c r="G83" s="900">
        <f>IF(ISTEXT(C83),+'Estimated Risks'!E9,"  ")</f>
        <v>700000</v>
      </c>
      <c r="H83" s="900"/>
      <c r="I83" s="131"/>
      <c r="J83" s="131"/>
      <c r="K83" s="131"/>
      <c r="L83" s="131"/>
      <c r="M83" s="131"/>
      <c r="N83" s="131"/>
      <c r="O83" s="131"/>
      <c r="P83" s="131"/>
      <c r="Q83" s="131"/>
      <c r="R83" s="131"/>
      <c r="S83" s="131"/>
      <c r="T83" s="131"/>
      <c r="U83" s="131"/>
      <c r="V83" s="131"/>
      <c r="W83" s="131"/>
      <c r="X83" s="131"/>
      <c r="Y83" s="131"/>
    </row>
    <row r="84" spans="1:37" ht="15.75" customHeight="1" x14ac:dyDescent="0.35">
      <c r="A84" s="135"/>
      <c r="B84" s="1155"/>
      <c r="C84" s="2815" t="str">
        <f>+'Estimated Risks'!B10</f>
        <v>Additional Siting costs</v>
      </c>
      <c r="D84" s="2815"/>
      <c r="E84" s="2815"/>
      <c r="F84" s="2815"/>
      <c r="G84" s="900">
        <f>IF(ISTEXT(C84),+'Estimated Risks'!E10,"  ")</f>
        <v>550000</v>
      </c>
      <c r="H84" s="900"/>
      <c r="I84" s="126"/>
      <c r="J84" s="117"/>
      <c r="K84" s="117"/>
      <c r="L84" s="117"/>
      <c r="M84" s="117"/>
      <c r="N84" s="2817"/>
      <c r="O84" s="2817"/>
      <c r="P84" s="2817"/>
      <c r="Q84" s="2817"/>
      <c r="R84" s="2817"/>
      <c r="S84" s="2817"/>
      <c r="T84" s="131"/>
      <c r="U84" s="131"/>
      <c r="V84" s="131"/>
      <c r="W84" s="131"/>
      <c r="X84" s="131"/>
      <c r="Y84" s="131"/>
    </row>
    <row r="85" spans="1:37" ht="15.75" customHeight="1" x14ac:dyDescent="0.35">
      <c r="A85" s="135"/>
      <c r="B85" s="1155"/>
      <c r="C85" s="2815" t="str">
        <f>+'Estimated Risks'!B11</f>
        <v>Additional Environmental costs</v>
      </c>
      <c r="D85" s="2815"/>
      <c r="E85" s="2815"/>
      <c r="F85" s="2815"/>
      <c r="G85" s="900">
        <f>IF(ISTEXT(C85),+'Estimated Risks'!E11,"  ")</f>
        <v>450000</v>
      </c>
      <c r="H85" s="900"/>
      <c r="I85" s="141"/>
      <c r="J85" s="141"/>
      <c r="K85" s="141"/>
      <c r="L85" s="126"/>
      <c r="M85" s="142"/>
      <c r="N85" s="141"/>
      <c r="O85" s="141"/>
      <c r="P85" s="141"/>
      <c r="Q85" s="141"/>
      <c r="R85" s="141"/>
      <c r="S85" s="141"/>
      <c r="T85" s="143"/>
      <c r="U85" s="143"/>
      <c r="V85" s="143"/>
      <c r="W85" s="143"/>
      <c r="X85" s="143"/>
      <c r="Y85" s="126"/>
    </row>
    <row r="86" spans="1:37" ht="15.75" customHeight="1" x14ac:dyDescent="0.35">
      <c r="A86" s="144"/>
      <c r="B86" s="1157"/>
      <c r="C86" s="2815" t="str">
        <f>+'Estimated Risks'!B12</f>
        <v>Contaminated soil removal</v>
      </c>
      <c r="D86" s="2815"/>
      <c r="E86" s="2815"/>
      <c r="F86" s="2815"/>
      <c r="G86" s="900">
        <f>IF(ISTEXT(C86),+'Estimated Risks'!E12,"  ")</f>
        <v>500000</v>
      </c>
      <c r="H86" s="900"/>
      <c r="I86" s="126"/>
      <c r="J86" s="126"/>
      <c r="K86" s="126"/>
      <c r="L86" s="126"/>
      <c r="M86" s="143"/>
      <c r="N86" s="143"/>
      <c r="O86" s="143"/>
      <c r="P86" s="143"/>
      <c r="Q86" s="126"/>
      <c r="R86" s="126"/>
      <c r="S86" s="126"/>
      <c r="T86" s="126"/>
      <c r="U86" s="126"/>
      <c r="V86" s="126"/>
      <c r="W86" s="126"/>
      <c r="X86" s="126"/>
      <c r="Y86" s="126"/>
    </row>
    <row r="87" spans="1:37" ht="21" customHeight="1" x14ac:dyDescent="0.35">
      <c r="A87" s="47"/>
      <c r="B87" s="1120"/>
      <c r="C87" s="2815">
        <f>+'Estimated Risks'!B13</f>
        <v>0</v>
      </c>
      <c r="D87" s="2815"/>
      <c r="E87" s="2815"/>
      <c r="F87" s="2815"/>
      <c r="G87" s="900" t="str">
        <f>IF(ISTEXT(C87),+'Estimated Risks'!E13,"  ")</f>
        <v xml:space="preserve">  </v>
      </c>
      <c r="H87" s="900"/>
      <c r="I87" s="126"/>
      <c r="J87" s="117"/>
      <c r="K87" s="117"/>
      <c r="L87" s="117"/>
      <c r="M87" s="117"/>
      <c r="N87" s="2817"/>
      <c r="O87" s="2817"/>
      <c r="P87" s="2817"/>
      <c r="Q87" s="2817"/>
      <c r="R87" s="2817"/>
      <c r="S87" s="2817"/>
      <c r="T87" s="145"/>
      <c r="U87" s="145"/>
      <c r="V87" s="145"/>
      <c r="W87" s="145"/>
      <c r="X87" s="145"/>
      <c r="Y87" s="142"/>
    </row>
    <row r="88" spans="1:37" ht="15.75" customHeight="1" x14ac:dyDescent="0.35">
      <c r="A88" s="47"/>
      <c r="B88" s="1120"/>
      <c r="C88" s="2815">
        <f>+'Estimated Risks'!B19</f>
        <v>0</v>
      </c>
      <c r="D88" s="2815"/>
      <c r="E88" s="2815"/>
      <c r="F88" s="2815"/>
      <c r="G88" s="900" t="str">
        <f>IF(ISTEXT(C88),+'Estimated Risks'!E19,"  ")</f>
        <v xml:space="preserve">  </v>
      </c>
      <c r="H88" s="900"/>
      <c r="I88" s="141"/>
      <c r="J88" s="141"/>
      <c r="K88" s="141"/>
      <c r="L88" s="126"/>
      <c r="M88" s="142"/>
      <c r="N88" s="141"/>
      <c r="O88" s="141"/>
      <c r="P88" s="141"/>
      <c r="Q88" s="141"/>
      <c r="R88" s="141"/>
      <c r="S88" s="141"/>
      <c r="T88" s="143"/>
      <c r="U88" s="143"/>
      <c r="V88" s="143"/>
      <c r="W88" s="143"/>
      <c r="X88" s="143"/>
      <c r="Y88" s="142"/>
    </row>
    <row r="89" spans="1:37" ht="15.75" customHeight="1" x14ac:dyDescent="0.35">
      <c r="A89" s="47"/>
      <c r="B89" s="1158"/>
      <c r="C89" s="2816">
        <f>+'Estimated Risks'!B20</f>
        <v>0</v>
      </c>
      <c r="D89" s="2816"/>
      <c r="E89" s="2816"/>
      <c r="F89" s="2816"/>
      <c r="G89" s="1159" t="str">
        <f>IF(ISTEXT(C89),+'Estimated Risks'!E20,"  ")</f>
        <v xml:space="preserve">  </v>
      </c>
      <c r="H89" s="1159"/>
      <c r="I89" s="1160"/>
      <c r="J89" s="1160"/>
      <c r="K89" s="1160"/>
      <c r="L89" s="1160"/>
      <c r="M89" s="1161"/>
      <c r="N89" s="1161"/>
      <c r="O89" s="1161"/>
      <c r="P89" s="1161"/>
      <c r="Q89" s="1160"/>
      <c r="R89" s="1160"/>
      <c r="S89" s="1160"/>
      <c r="T89" s="1161"/>
      <c r="U89" s="1161"/>
      <c r="V89" s="1161"/>
      <c r="W89" s="1161"/>
      <c r="X89" s="1161"/>
      <c r="Y89" s="1162"/>
      <c r="Z89" s="1161"/>
      <c r="AA89" s="1162"/>
      <c r="AB89" s="1161"/>
      <c r="AC89" s="1162"/>
      <c r="AD89" s="1161"/>
      <c r="AE89" s="1162"/>
      <c r="AF89" s="1161"/>
      <c r="AG89" s="1162"/>
      <c r="AH89" s="1161"/>
      <c r="AI89" s="1162"/>
      <c r="AJ89" s="1161"/>
      <c r="AK89" s="1162"/>
    </row>
  </sheetData>
  <sheetProtection algorithmName="SHA-512" hashValue="fRq9x3S2e5p8oP8RuGOEus+RGtQYbzI+iwx9dZ35YkwXN0bDdhwNSP4kbeQ7XGaj5YhHd05nmB9CH0M/yx2OCQ==" saltValue="qF5vUo6It8AyY9Q5LIU5Fg==" spinCount="100000" sheet="1" scenarios="1" formatCells="0" formatColumns="0" formatRows="0" autoFilter="0"/>
  <mergeCells count="14">
    <mergeCell ref="C83:F83"/>
    <mergeCell ref="C3:Y4"/>
    <mergeCell ref="C5:Y5"/>
    <mergeCell ref="C80:F80"/>
    <mergeCell ref="C81:F81"/>
    <mergeCell ref="C82:F82"/>
    <mergeCell ref="C88:F88"/>
    <mergeCell ref="C89:F89"/>
    <mergeCell ref="C84:F84"/>
    <mergeCell ref="N84:S84"/>
    <mergeCell ref="C85:F85"/>
    <mergeCell ref="C86:F86"/>
    <mergeCell ref="C87:F87"/>
    <mergeCell ref="N87:S87"/>
  </mergeCells>
  <printOptions horizontalCentered="1"/>
  <pageMargins left="0.25" right="0.25" top="0.17" bottom="0.32" header="0.17" footer="0.17"/>
  <pageSetup scale="43" fitToHeight="0" orientation="landscape" horizontalDpi="1200" verticalDpi="1200"/>
  <headerFooter alignWithMargins="0">
    <oddFooter>&amp;L&amp;8&amp;F&amp;A&amp;R&amp;D</oddFooter>
  </headerFooter>
  <rowBreaks count="1" manualBreakCount="1">
    <brk id="81" max="16" man="1"/>
  </rowBreak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3DD5A-34BC-4DBE-A37D-654E9A019970}">
  <sheetPr codeName="Sheet36">
    <tabColor rgb="FF0070C0"/>
    <pageSetUpPr fitToPage="1"/>
  </sheetPr>
  <dimension ref="A1:I40"/>
  <sheetViews>
    <sheetView workbookViewId="0">
      <selection activeCell="C24" sqref="C24"/>
    </sheetView>
  </sheetViews>
  <sheetFormatPr defaultColWidth="9.42578125" defaultRowHeight="15" outlineLevelCol="1" x14ac:dyDescent="0.25"/>
  <cols>
    <col min="1" max="1" width="45.42578125" style="2351" customWidth="1"/>
    <col min="2" max="2" width="14" style="2351" customWidth="1" outlineLevel="1"/>
    <col min="3" max="3" width="14.42578125" style="2351" customWidth="1" outlineLevel="1"/>
    <col min="4" max="4" width="6.42578125" style="2351" customWidth="1" outlineLevel="1"/>
    <col min="5" max="5" width="13.5703125" style="2351" customWidth="1"/>
    <col min="6" max="6" width="12.42578125" style="2351" customWidth="1"/>
    <col min="7" max="7" width="6.42578125" style="2351" customWidth="1"/>
    <col min="8" max="8" width="12.42578125" style="2351" customWidth="1"/>
    <col min="9" max="9" width="73" style="2351" customWidth="1"/>
    <col min="10" max="16384" width="9.42578125" style="2351"/>
  </cols>
  <sheetData>
    <row r="1" spans="1:9" x14ac:dyDescent="0.25">
      <c r="A1" s="2082"/>
      <c r="B1" s="2352" t="s">
        <v>2541</v>
      </c>
      <c r="C1" s="2353"/>
      <c r="D1" s="2084"/>
      <c r="E1" s="2352" t="s">
        <v>2541</v>
      </c>
      <c r="F1" s="2353"/>
      <c r="G1" s="2084"/>
      <c r="H1" s="2083"/>
      <c r="I1" s="2085"/>
    </row>
    <row r="2" spans="1:9" ht="15" customHeight="1" x14ac:dyDescent="0.25">
      <c r="A2" s="2821" t="s">
        <v>255</v>
      </c>
      <c r="B2" s="2822" t="s">
        <v>1918</v>
      </c>
      <c r="C2" s="2822" t="s">
        <v>1938</v>
      </c>
      <c r="D2" s="2084"/>
      <c r="E2" s="2822" t="s">
        <v>1940</v>
      </c>
      <c r="F2" s="2822" t="s">
        <v>1937</v>
      </c>
      <c r="G2" s="2084"/>
      <c r="H2" s="2820" t="s">
        <v>260</v>
      </c>
      <c r="I2" s="2085"/>
    </row>
    <row r="3" spans="1:9" ht="29.25" customHeight="1" x14ac:dyDescent="0.25">
      <c r="A3" s="2821"/>
      <c r="B3" s="2822"/>
      <c r="C3" s="2822"/>
      <c r="D3" s="2084"/>
      <c r="E3" s="2822"/>
      <c r="F3" s="2822"/>
      <c r="G3" s="2084"/>
      <c r="H3" s="2820"/>
      <c r="I3" s="2085" t="s">
        <v>1</v>
      </c>
    </row>
    <row r="4" spans="1:9" x14ac:dyDescent="0.25">
      <c r="A4" s="2086" t="s">
        <v>1919</v>
      </c>
      <c r="B4" s="2087"/>
      <c r="C4" s="2087"/>
      <c r="D4" s="2084"/>
      <c r="E4" s="2089"/>
      <c r="F4" s="2087"/>
      <c r="G4" s="2088"/>
      <c r="H4" s="2090"/>
      <c r="I4" s="2090"/>
    </row>
    <row r="5" spans="1:9" ht="15.75" thickBot="1" x14ac:dyDescent="0.3">
      <c r="A5" s="2102" t="s">
        <v>1920</v>
      </c>
      <c r="B5" s="2085"/>
      <c r="C5" s="2269">
        <v>4</v>
      </c>
      <c r="D5" s="2084"/>
      <c r="E5" s="2091"/>
      <c r="F5" s="2269">
        <v>1</v>
      </c>
      <c r="G5" s="2084"/>
      <c r="H5" s="2085"/>
      <c r="I5" s="2085"/>
    </row>
    <row r="6" spans="1:9" ht="15.75" thickBot="1" x14ac:dyDescent="0.3">
      <c r="A6" s="2096" t="s">
        <v>1921</v>
      </c>
      <c r="B6" s="2337"/>
      <c r="C6" s="2337">
        <f>IFERROR(B6/$C$5,0)</f>
        <v>0</v>
      </c>
      <c r="D6" s="2338"/>
      <c r="E6" s="2339">
        <f ca="1">'PAF Summary'!K5</f>
        <v>0</v>
      </c>
      <c r="F6" s="2339">
        <f ca="1">IFERROR(E6/$F$5,0)</f>
        <v>0</v>
      </c>
      <c r="G6" s="2338"/>
      <c r="H6" s="2340">
        <f ca="1">F6-C6</f>
        <v>0</v>
      </c>
      <c r="I6" s="2270"/>
    </row>
    <row r="7" spans="1:9" ht="15.75" thickBot="1" x14ac:dyDescent="0.3">
      <c r="A7" s="2097" t="s">
        <v>1922</v>
      </c>
      <c r="B7" s="2341"/>
      <c r="C7" s="2337">
        <f t="shared" ref="C7:C13" si="0">IFERROR(B7/$C$5,0)</f>
        <v>0</v>
      </c>
      <c r="D7" s="2342"/>
      <c r="E7" s="2339">
        <f ca="1">'PAF Summary'!K6</f>
        <v>325.34105</v>
      </c>
      <c r="F7" s="2339">
        <f t="shared" ref="F7:F29" ca="1" si="1">IFERROR(E7/$F$5,0)</f>
        <v>325.34105</v>
      </c>
      <c r="G7" s="2342"/>
      <c r="H7" s="2340">
        <f t="shared" ref="H7:H29" ca="1" si="2">F7-C7</f>
        <v>325.34105</v>
      </c>
      <c r="I7" s="2271"/>
    </row>
    <row r="8" spans="1:9" ht="15.75" thickBot="1" x14ac:dyDescent="0.3">
      <c r="A8" s="2097" t="s">
        <v>1923</v>
      </c>
      <c r="B8" s="2341"/>
      <c r="C8" s="2337">
        <f t="shared" si="0"/>
        <v>0</v>
      </c>
      <c r="D8" s="2342"/>
      <c r="E8" s="2339">
        <f ca="1">'PAF Summary'!K7</f>
        <v>329.93612000000002</v>
      </c>
      <c r="F8" s="2339">
        <f t="shared" ca="1" si="1"/>
        <v>329.93612000000002</v>
      </c>
      <c r="G8" s="2342"/>
      <c r="H8" s="2340">
        <f t="shared" ca="1" si="2"/>
        <v>329.93612000000002</v>
      </c>
      <c r="I8" s="2271"/>
    </row>
    <row r="9" spans="1:9" ht="15.75" thickBot="1" x14ac:dyDescent="0.3">
      <c r="A9" s="2097" t="s">
        <v>1924</v>
      </c>
      <c r="B9" s="2341"/>
      <c r="C9" s="2337">
        <f t="shared" si="0"/>
        <v>0</v>
      </c>
      <c r="D9" s="2342"/>
      <c r="E9" s="2339">
        <f ca="1">'PAF Summary'!K8</f>
        <v>302.63900000000001</v>
      </c>
      <c r="F9" s="2339">
        <f t="shared" ca="1" si="1"/>
        <v>302.63900000000001</v>
      </c>
      <c r="G9" s="2342"/>
      <c r="H9" s="2340">
        <f t="shared" ca="1" si="2"/>
        <v>302.63900000000001</v>
      </c>
      <c r="I9" s="2271"/>
    </row>
    <row r="10" spans="1:9" ht="15.75" thickBot="1" x14ac:dyDescent="0.3">
      <c r="A10" s="2097" t="s">
        <v>1925</v>
      </c>
      <c r="B10" s="2341"/>
      <c r="C10" s="2337">
        <f t="shared" si="0"/>
        <v>0</v>
      </c>
      <c r="D10" s="2342"/>
      <c r="E10" s="2339">
        <f ca="1">'PAF Summary'!K9</f>
        <v>831.99205999999992</v>
      </c>
      <c r="F10" s="2339">
        <f t="shared" ca="1" si="1"/>
        <v>831.99205999999992</v>
      </c>
      <c r="G10" s="2342"/>
      <c r="H10" s="2340">
        <f t="shared" ca="1" si="2"/>
        <v>831.99205999999992</v>
      </c>
      <c r="I10" s="2271"/>
    </row>
    <row r="11" spans="1:9" ht="15.75" thickBot="1" x14ac:dyDescent="0.3">
      <c r="A11" s="2097" t="s">
        <v>1926</v>
      </c>
      <c r="B11" s="2341"/>
      <c r="C11" s="2337">
        <f t="shared" si="0"/>
        <v>0</v>
      </c>
      <c r="D11" s="2342"/>
      <c r="E11" s="2339">
        <f ca="1">'PAF Summary'!K10</f>
        <v>19569.876956188</v>
      </c>
      <c r="F11" s="2339">
        <f t="shared" ca="1" si="1"/>
        <v>19569.876956188</v>
      </c>
      <c r="G11" s="2342"/>
      <c r="H11" s="2340">
        <f t="shared" ca="1" si="2"/>
        <v>19569.876956188</v>
      </c>
      <c r="I11" s="2272"/>
    </row>
    <row r="12" spans="1:9" ht="15.75" thickBot="1" x14ac:dyDescent="0.3">
      <c r="A12" s="2097" t="s">
        <v>1927</v>
      </c>
      <c r="B12" s="2341"/>
      <c r="C12" s="2337">
        <f t="shared" si="0"/>
        <v>0</v>
      </c>
      <c r="D12" s="2342"/>
      <c r="E12" s="2339">
        <f ca="1">'PAF Summary'!K11</f>
        <v>4571.7811125565695</v>
      </c>
      <c r="F12" s="2339">
        <f t="shared" ca="1" si="1"/>
        <v>4571.7811125565695</v>
      </c>
      <c r="G12" s="2342"/>
      <c r="H12" s="2340">
        <f t="shared" ca="1" si="2"/>
        <v>4571.7811125565695</v>
      </c>
      <c r="I12" s="2272"/>
    </row>
    <row r="13" spans="1:9" ht="15.75" thickBot="1" x14ac:dyDescent="0.3">
      <c r="A13" s="2097" t="s">
        <v>1928</v>
      </c>
      <c r="B13" s="2341"/>
      <c r="C13" s="2337">
        <f t="shared" si="0"/>
        <v>0</v>
      </c>
      <c r="D13" s="2342"/>
      <c r="E13" s="2339">
        <f ca="1">'PAF Summary'!K12</f>
        <v>1063.8340000000001</v>
      </c>
      <c r="F13" s="2339">
        <f t="shared" ca="1" si="1"/>
        <v>1063.8340000000001</v>
      </c>
      <c r="G13" s="2342"/>
      <c r="H13" s="2340">
        <f t="shared" ca="1" si="2"/>
        <v>1063.8340000000001</v>
      </c>
      <c r="I13" s="2271"/>
    </row>
    <row r="14" spans="1:9" ht="15.75" thickBot="1" x14ac:dyDescent="0.3">
      <c r="A14" s="2097" t="s">
        <v>1929</v>
      </c>
      <c r="B14" s="2341"/>
      <c r="C14" s="2341">
        <f t="shared" ref="C14:C29" si="3">IFERROR(B14/$C$5,0)</f>
        <v>0</v>
      </c>
      <c r="D14" s="2342"/>
      <c r="E14" s="2339">
        <f ca="1">'PAF Summary'!K13</f>
        <v>1058.38615</v>
      </c>
      <c r="F14" s="2339">
        <f t="shared" ca="1" si="1"/>
        <v>1058.38615</v>
      </c>
      <c r="G14" s="2342"/>
      <c r="H14" s="2340">
        <f t="shared" ca="1" si="2"/>
        <v>1058.38615</v>
      </c>
      <c r="I14" s="2271"/>
    </row>
    <row r="15" spans="1:9" ht="15.75" thickBot="1" x14ac:dyDescent="0.3">
      <c r="A15" s="2097" t="s">
        <v>1930</v>
      </c>
      <c r="B15" s="2341"/>
      <c r="C15" s="2341">
        <f t="shared" si="3"/>
        <v>0</v>
      </c>
      <c r="D15" s="2342"/>
      <c r="E15" s="2339">
        <f ca="1">'PAF Summary'!K14</f>
        <v>0</v>
      </c>
      <c r="F15" s="2339">
        <f t="shared" ca="1" si="1"/>
        <v>0</v>
      </c>
      <c r="G15" s="2342"/>
      <c r="H15" s="2340">
        <f t="shared" ca="1" si="2"/>
        <v>0</v>
      </c>
      <c r="I15" s="2271"/>
    </row>
    <row r="16" spans="1:9" ht="15.75" thickBot="1" x14ac:dyDescent="0.3">
      <c r="A16" s="2097" t="s">
        <v>1931</v>
      </c>
      <c r="B16" s="2341"/>
      <c r="C16" s="2341">
        <f t="shared" si="3"/>
        <v>0</v>
      </c>
      <c r="D16" s="2342"/>
      <c r="E16" s="2339">
        <f ca="1">'PAF Summary'!K15</f>
        <v>937.60401000000013</v>
      </c>
      <c r="F16" s="2339">
        <f t="shared" ca="1" si="1"/>
        <v>937.60401000000013</v>
      </c>
      <c r="G16" s="2342"/>
      <c r="H16" s="2340">
        <f t="shared" ca="1" si="2"/>
        <v>937.60401000000013</v>
      </c>
      <c r="I16" s="2271"/>
    </row>
    <row r="17" spans="1:9" ht="15.75" thickBot="1" x14ac:dyDescent="0.3">
      <c r="A17" s="2097" t="s">
        <v>1932</v>
      </c>
      <c r="B17" s="2341"/>
      <c r="C17" s="2341">
        <f t="shared" si="3"/>
        <v>0</v>
      </c>
      <c r="D17" s="2342"/>
      <c r="E17" s="2339">
        <f ca="1">'PAF Summary'!K16</f>
        <v>3950</v>
      </c>
      <c r="F17" s="2339">
        <f t="shared" ca="1" si="1"/>
        <v>3950</v>
      </c>
      <c r="G17" s="2342"/>
      <c r="H17" s="2340">
        <f t="shared" ca="1" si="2"/>
        <v>3950</v>
      </c>
      <c r="I17" s="2271"/>
    </row>
    <row r="18" spans="1:9" ht="15.75" thickBot="1" x14ac:dyDescent="0.3">
      <c r="A18" s="2098" t="s">
        <v>1496</v>
      </c>
      <c r="B18" s="2343"/>
      <c r="C18" s="2343">
        <f t="shared" si="3"/>
        <v>0</v>
      </c>
      <c r="D18" s="2342"/>
      <c r="E18" s="2339">
        <f ca="1">'PAF Summary'!K17</f>
        <v>32941.390458744565</v>
      </c>
      <c r="F18" s="2339">
        <f t="shared" ca="1" si="1"/>
        <v>32941.390458744565</v>
      </c>
      <c r="G18" s="2342"/>
      <c r="H18" s="2340">
        <f t="shared" ca="1" si="2"/>
        <v>32941.390458744565</v>
      </c>
      <c r="I18" s="2271"/>
    </row>
    <row r="19" spans="1:9" ht="16.5" thickTop="1" thickBot="1" x14ac:dyDescent="0.3">
      <c r="A19" s="2097" t="s">
        <v>1933</v>
      </c>
      <c r="B19" s="2341"/>
      <c r="C19" s="2341">
        <f t="shared" si="3"/>
        <v>0</v>
      </c>
      <c r="D19" s="2342"/>
      <c r="E19" s="2339">
        <f ca="1">'PAF Summary'!K18</f>
        <v>8480.6978099999997</v>
      </c>
      <c r="F19" s="2339">
        <f t="shared" ca="1" si="1"/>
        <v>8480.6978099999997</v>
      </c>
      <c r="G19" s="2342"/>
      <c r="H19" s="2340">
        <f t="shared" ca="1" si="2"/>
        <v>8480.6978099999997</v>
      </c>
      <c r="I19" s="2272"/>
    </row>
    <row r="20" spans="1:9" ht="15.75" thickBot="1" x14ac:dyDescent="0.3">
      <c r="A20" s="2097" t="s">
        <v>1934</v>
      </c>
      <c r="B20" s="2341"/>
      <c r="C20" s="2341">
        <f t="shared" si="3"/>
        <v>0</v>
      </c>
      <c r="D20" s="2342"/>
      <c r="E20" s="2339">
        <f ca="1">'PAF Summary'!K19</f>
        <v>2832.4803400000001</v>
      </c>
      <c r="F20" s="2339">
        <f t="shared" ca="1" si="1"/>
        <v>2832.4803400000001</v>
      </c>
      <c r="G20" s="2342"/>
      <c r="H20" s="2340">
        <f t="shared" ca="1" si="2"/>
        <v>2832.4803400000001</v>
      </c>
      <c r="I20" s="2272"/>
    </row>
    <row r="21" spans="1:9" ht="15.75" thickBot="1" x14ac:dyDescent="0.3">
      <c r="A21" s="2098" t="s">
        <v>1495</v>
      </c>
      <c r="B21" s="2343"/>
      <c r="C21" s="2343">
        <f t="shared" si="3"/>
        <v>0</v>
      </c>
      <c r="D21" s="2342"/>
      <c r="E21" s="2339">
        <f ca="1">'PAF Summary'!K20</f>
        <v>44254.568608744565</v>
      </c>
      <c r="F21" s="2339">
        <f t="shared" ca="1" si="1"/>
        <v>44254.568608744565</v>
      </c>
      <c r="G21" s="2342"/>
      <c r="H21" s="2340">
        <f t="shared" ca="1" si="2"/>
        <v>44254.568608744565</v>
      </c>
      <c r="I21" s="2271"/>
    </row>
    <row r="22" spans="1:9" ht="16.5" thickTop="1" thickBot="1" x14ac:dyDescent="0.3">
      <c r="A22" s="2097" t="s">
        <v>1935</v>
      </c>
      <c r="B22" s="2341"/>
      <c r="C22" s="2341">
        <f t="shared" si="3"/>
        <v>0</v>
      </c>
      <c r="D22" s="2342"/>
      <c r="E22" s="2339">
        <f ca="1">'PAF Summary'!K21</f>
        <v>1841.7913331330942</v>
      </c>
      <c r="F22" s="2339">
        <f t="shared" ca="1" si="1"/>
        <v>1841.7913331330942</v>
      </c>
      <c r="G22" s="2342"/>
      <c r="H22" s="2340">
        <f t="shared" ca="1" si="2"/>
        <v>1841.7913331330942</v>
      </c>
      <c r="I22" s="2271"/>
    </row>
    <row r="23" spans="1:9" ht="15.75" thickBot="1" x14ac:dyDescent="0.3">
      <c r="A23" s="2097" t="e">
        <v>#N/A</v>
      </c>
      <c r="B23" s="2341"/>
      <c r="C23" s="2341">
        <f t="shared" si="3"/>
        <v>0</v>
      </c>
      <c r="D23" s="2342"/>
      <c r="E23" s="2339">
        <f ca="1">'PAF Summary'!K22</f>
        <v>0</v>
      </c>
      <c r="F23" s="2339">
        <f t="shared" ca="1" si="1"/>
        <v>0</v>
      </c>
      <c r="G23" s="2342"/>
      <c r="H23" s="2340">
        <f t="shared" ca="1" si="2"/>
        <v>0</v>
      </c>
      <c r="I23" s="2271"/>
    </row>
    <row r="24" spans="1:9" ht="15.75" thickBot="1" x14ac:dyDescent="0.3">
      <c r="A24" s="2098" t="s">
        <v>1497</v>
      </c>
      <c r="B24" s="2343"/>
      <c r="C24" s="2343">
        <f t="shared" si="3"/>
        <v>0</v>
      </c>
      <c r="D24" s="2342"/>
      <c r="E24" s="2339">
        <f ca="1">'PAF Summary'!K23</f>
        <v>46096.359941877658</v>
      </c>
      <c r="F24" s="2339">
        <f t="shared" ca="1" si="1"/>
        <v>46096.359941877658</v>
      </c>
      <c r="G24" s="2342"/>
      <c r="H24" s="2340">
        <f t="shared" ca="1" si="2"/>
        <v>46096.359941877658</v>
      </c>
      <c r="I24" s="2271"/>
    </row>
    <row r="25" spans="1:9" ht="16.5" thickTop="1" thickBot="1" x14ac:dyDescent="0.3">
      <c r="A25" s="2097" t="s">
        <v>1936</v>
      </c>
      <c r="B25" s="2341"/>
      <c r="C25" s="2341">
        <f t="shared" si="3"/>
        <v>0</v>
      </c>
      <c r="D25" s="2342"/>
      <c r="E25" s="2339">
        <f ca="1">'PAF Summary'!K24</f>
        <v>0</v>
      </c>
      <c r="F25" s="2339">
        <f t="shared" ca="1" si="1"/>
        <v>0</v>
      </c>
      <c r="G25" s="2342"/>
      <c r="H25" s="2340">
        <f t="shared" ca="1" si="2"/>
        <v>0</v>
      </c>
      <c r="I25" s="2271"/>
    </row>
    <row r="26" spans="1:9" ht="15.75" thickBot="1" x14ac:dyDescent="0.3">
      <c r="A26" s="2097" t="e">
        <v>#N/A</v>
      </c>
      <c r="B26" s="2341"/>
      <c r="C26" s="2341">
        <f t="shared" si="3"/>
        <v>0</v>
      </c>
      <c r="D26" s="2342"/>
      <c r="E26" s="2339">
        <f ca="1">'PAF Summary'!K25</f>
        <v>0</v>
      </c>
      <c r="F26" s="2339">
        <f t="shared" ca="1" si="1"/>
        <v>0</v>
      </c>
      <c r="G26" s="2342"/>
      <c r="H26" s="2340">
        <f t="shared" ca="1" si="2"/>
        <v>0</v>
      </c>
      <c r="I26" s="2271"/>
    </row>
    <row r="27" spans="1:9" ht="15.75" thickBot="1" x14ac:dyDescent="0.3">
      <c r="A27" s="2098" t="s">
        <v>1499</v>
      </c>
      <c r="B27" s="2343"/>
      <c r="C27" s="2343">
        <f t="shared" si="3"/>
        <v>0</v>
      </c>
      <c r="D27" s="2342"/>
      <c r="E27" s="2339">
        <f ca="1">'PAF Summary'!K26</f>
        <v>46096.359941877658</v>
      </c>
      <c r="F27" s="2339">
        <f t="shared" ca="1" si="1"/>
        <v>46096.359941877658</v>
      </c>
      <c r="G27" s="2342"/>
      <c r="H27" s="2340">
        <f t="shared" ca="1" si="2"/>
        <v>46096.359941877658</v>
      </c>
      <c r="I27" s="2271"/>
    </row>
    <row r="28" spans="1:9" ht="16.5" thickTop="1" thickBot="1" x14ac:dyDescent="0.3">
      <c r="A28" s="2098" t="s">
        <v>1498</v>
      </c>
      <c r="B28" s="2343"/>
      <c r="C28" s="2343">
        <f t="shared" si="3"/>
        <v>0</v>
      </c>
      <c r="D28" s="2342"/>
      <c r="E28" s="2339">
        <f>'PAF Summary'!K27</f>
        <v>0</v>
      </c>
      <c r="F28" s="2339">
        <f t="shared" si="1"/>
        <v>0</v>
      </c>
      <c r="G28" s="2342"/>
      <c r="H28" s="2340">
        <f t="shared" si="2"/>
        <v>0</v>
      </c>
      <c r="I28" s="2271"/>
    </row>
    <row r="29" spans="1:9" ht="16.5" thickTop="1" thickBot="1" x14ac:dyDescent="0.3">
      <c r="A29" s="2098" t="s">
        <v>1489</v>
      </c>
      <c r="B29" s="2343"/>
      <c r="C29" s="2343">
        <f t="shared" si="3"/>
        <v>0</v>
      </c>
      <c r="D29" s="2342"/>
      <c r="E29" s="2339">
        <f ca="1">'PAF Summary'!K28</f>
        <v>46096.359941877658</v>
      </c>
      <c r="F29" s="2339">
        <f t="shared" ca="1" si="1"/>
        <v>46096.359941877658</v>
      </c>
      <c r="G29" s="2342"/>
      <c r="H29" s="2340">
        <f t="shared" ca="1" si="2"/>
        <v>46096.359941877658</v>
      </c>
      <c r="I29" s="2271"/>
    </row>
    <row r="30" spans="1:9" ht="15.75" thickTop="1" x14ac:dyDescent="0.25">
      <c r="A30" s="2099"/>
      <c r="B30" s="2344"/>
      <c r="C30" s="2344"/>
      <c r="D30" s="2342"/>
      <c r="E30" s="2342"/>
      <c r="F30" s="2342"/>
      <c r="G30" s="2342"/>
      <c r="H30" s="2342"/>
      <c r="I30" s="2273"/>
    </row>
    <row r="31" spans="1:9" ht="15.75" thickBot="1" x14ac:dyDescent="0.3">
      <c r="A31" s="2100" t="s">
        <v>1223</v>
      </c>
      <c r="B31" s="2345"/>
      <c r="C31" s="2345"/>
      <c r="D31" s="2342"/>
      <c r="E31" s="2342"/>
      <c r="F31" s="2342"/>
      <c r="G31" s="2342"/>
      <c r="H31" s="2342"/>
      <c r="I31" s="2273"/>
    </row>
    <row r="32" spans="1:9" ht="15.75" thickBot="1" x14ac:dyDescent="0.3">
      <c r="A32" s="2092" t="s">
        <v>1224</v>
      </c>
      <c r="B32" s="2346"/>
      <c r="C32" s="2347">
        <v>0</v>
      </c>
      <c r="D32" s="2342"/>
      <c r="E32" s="2339">
        <f ca="1">'PAF Summary'!K31</f>
        <v>788.78845000000013</v>
      </c>
      <c r="F32" s="2339">
        <f t="shared" ref="F32:F40" ca="1" si="4">IFERROR(E32/$F$5,0)</f>
        <v>788.78845000000013</v>
      </c>
      <c r="G32" s="2342"/>
      <c r="H32" s="2348">
        <f ca="1">F32-C32</f>
        <v>788.78845000000013</v>
      </c>
      <c r="I32" s="2271"/>
    </row>
    <row r="33" spans="1:9" ht="15.75" thickBot="1" x14ac:dyDescent="0.3">
      <c r="A33" s="2093" t="s">
        <v>1225</v>
      </c>
      <c r="B33" s="2341"/>
      <c r="C33" s="2347">
        <v>0</v>
      </c>
      <c r="D33" s="2342"/>
      <c r="E33" s="2339">
        <f ca="1">'PAF Summary'!K32</f>
        <v>0</v>
      </c>
      <c r="F33" s="2339">
        <f t="shared" ca="1" si="4"/>
        <v>0</v>
      </c>
      <c r="G33" s="2342"/>
      <c r="H33" s="2348">
        <f t="shared" ref="H33:H40" ca="1" si="5">F33-C33</f>
        <v>0</v>
      </c>
      <c r="I33" s="2271"/>
    </row>
    <row r="34" spans="1:9" ht="15.75" thickBot="1" x14ac:dyDescent="0.3">
      <c r="A34" s="2093" t="s">
        <v>1226</v>
      </c>
      <c r="B34" s="2341"/>
      <c r="C34" s="2347">
        <v>0</v>
      </c>
      <c r="D34" s="2342"/>
      <c r="E34" s="2339">
        <f ca="1">'PAF Summary'!K33</f>
        <v>7638.251822306569</v>
      </c>
      <c r="F34" s="2339">
        <f t="shared" ca="1" si="4"/>
        <v>7638.251822306569</v>
      </c>
      <c r="G34" s="2342"/>
      <c r="H34" s="2348">
        <f t="shared" ca="1" si="5"/>
        <v>7638.251822306569</v>
      </c>
      <c r="I34" s="2271"/>
    </row>
    <row r="35" spans="1:9" ht="29.25" thickBot="1" x14ac:dyDescent="0.3">
      <c r="A35" s="2093" t="s">
        <v>1295</v>
      </c>
      <c r="B35" s="2341"/>
      <c r="C35" s="2347">
        <v>0</v>
      </c>
      <c r="D35" s="2342"/>
      <c r="E35" s="2339">
        <f ca="1">'PAF Summary'!K34</f>
        <v>19591.732176437999</v>
      </c>
      <c r="F35" s="2339">
        <f t="shared" ca="1" si="4"/>
        <v>19591.732176437999</v>
      </c>
      <c r="G35" s="2342"/>
      <c r="H35" s="2348">
        <f t="shared" ca="1" si="5"/>
        <v>19591.732176437999</v>
      </c>
      <c r="I35" s="2271"/>
    </row>
    <row r="36" spans="1:9" ht="15.75" thickBot="1" x14ac:dyDescent="0.3">
      <c r="A36" s="2093" t="s">
        <v>393</v>
      </c>
      <c r="B36" s="2341"/>
      <c r="C36" s="2347">
        <v>0</v>
      </c>
      <c r="D36" s="2342"/>
      <c r="E36" s="2339">
        <f ca="1">'PAF Summary'!K35</f>
        <v>0</v>
      </c>
      <c r="F36" s="2339">
        <f t="shared" ca="1" si="4"/>
        <v>0</v>
      </c>
      <c r="G36" s="2342"/>
      <c r="H36" s="2348">
        <f t="shared" ca="1" si="5"/>
        <v>0</v>
      </c>
      <c r="I36" s="2271"/>
    </row>
    <row r="37" spans="1:9" ht="15.75" thickBot="1" x14ac:dyDescent="0.3">
      <c r="A37" s="2093" t="s">
        <v>39</v>
      </c>
      <c r="B37" s="2341"/>
      <c r="C37" s="2347">
        <v>0</v>
      </c>
      <c r="D37" s="2342"/>
      <c r="E37" s="2339">
        <f ca="1">'PAF Summary'!K36</f>
        <v>6764.4093431330948</v>
      </c>
      <c r="F37" s="2339">
        <f t="shared" ca="1" si="4"/>
        <v>6764.4093431330948</v>
      </c>
      <c r="G37" s="2342"/>
      <c r="H37" s="2348">
        <f t="shared" ca="1" si="5"/>
        <v>6764.4093431330948</v>
      </c>
      <c r="I37" s="2271"/>
    </row>
    <row r="38" spans="1:9" ht="15.75" thickBot="1" x14ac:dyDescent="0.3">
      <c r="A38" s="2093" t="s">
        <v>100</v>
      </c>
      <c r="B38" s="2341"/>
      <c r="C38" s="2347">
        <v>0</v>
      </c>
      <c r="D38" s="2342"/>
      <c r="E38" s="2339">
        <f ca="1">'PAF Summary'!K37</f>
        <v>8480.6978099999997</v>
      </c>
      <c r="F38" s="2339">
        <f t="shared" ca="1" si="4"/>
        <v>8480.6978099999997</v>
      </c>
      <c r="G38" s="2342"/>
      <c r="H38" s="2348">
        <f t="shared" ca="1" si="5"/>
        <v>8480.6978099999997</v>
      </c>
      <c r="I38" s="2271"/>
    </row>
    <row r="39" spans="1:9" ht="15.75" thickBot="1" x14ac:dyDescent="0.3">
      <c r="A39" s="2093" t="s">
        <v>45</v>
      </c>
      <c r="B39" s="2341"/>
      <c r="C39" s="2347">
        <v>0</v>
      </c>
      <c r="D39" s="2342"/>
      <c r="E39" s="2339">
        <f ca="1">'PAF Summary'!K38</f>
        <v>2832.4803400000001</v>
      </c>
      <c r="F39" s="2339">
        <f t="shared" ca="1" si="4"/>
        <v>2832.4803400000001</v>
      </c>
      <c r="G39" s="2342"/>
      <c r="H39" s="2348">
        <f t="shared" ca="1" si="5"/>
        <v>2832.4803400000001</v>
      </c>
      <c r="I39" s="2271"/>
    </row>
    <row r="40" spans="1:9" ht="30.75" thickBot="1" x14ac:dyDescent="0.3">
      <c r="A40" s="2101" t="s">
        <v>1472</v>
      </c>
      <c r="B40" s="2349"/>
      <c r="C40" s="2349">
        <v>0</v>
      </c>
      <c r="D40" s="2350"/>
      <c r="E40" s="2339">
        <f ca="1">'PAF Summary'!K39</f>
        <v>46096.359941877665</v>
      </c>
      <c r="F40" s="2339">
        <f t="shared" ca="1" si="4"/>
        <v>46096.359941877665</v>
      </c>
      <c r="G40" s="2350"/>
      <c r="H40" s="2348">
        <f t="shared" ca="1" si="5"/>
        <v>46096.359941877665</v>
      </c>
      <c r="I40" s="2274"/>
    </row>
  </sheetData>
  <sheetProtection algorithmName="SHA-512" hashValue="lDy7PWItlLUFrISQdqWht7EaUi8BYsqoQjc5/y8Rlga45+EwS8jI0K1FHxMzOGVc9sO5z5JIuOTC9KLNeUQHWQ==" saltValue="kdPyd4B97lD3ZoeAb24ejg==" spinCount="100000" sheet="1" scenarios="1" formatCells="0" formatColumns="0" formatRows="0" autoFilter="0"/>
  <mergeCells count="6">
    <mergeCell ref="H2:H3"/>
    <mergeCell ref="A2:A3"/>
    <mergeCell ref="B2:B3"/>
    <mergeCell ref="C2:C3"/>
    <mergeCell ref="E2:E3"/>
    <mergeCell ref="F2:F3"/>
  </mergeCells>
  <pageMargins left="0.2" right="0.2" top="1" bottom="0.5" header="0.3" footer="0.3"/>
  <pageSetup scale="69" orientation="landscape" horizontalDpi="4294967293" verticalDpi="429496729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EBC6B-A54D-49A0-8070-B943BFE6B2B0}">
  <sheetPr codeName="Sheet26">
    <tabColor theme="4"/>
  </sheetPr>
  <dimension ref="A1:M82"/>
  <sheetViews>
    <sheetView showGridLines="0" showZeros="0" workbookViewId="0"/>
  </sheetViews>
  <sheetFormatPr defaultColWidth="9.42578125" defaultRowHeight="13.35" customHeight="1" x14ac:dyDescent="0.25"/>
  <cols>
    <col min="1" max="1" width="2.5703125" customWidth="1"/>
    <col min="2" max="2" width="4.5703125" customWidth="1"/>
    <col min="3" max="3" width="9.5703125" customWidth="1"/>
    <col min="5" max="5" width="17.42578125" customWidth="1"/>
    <col min="9" max="9" width="9.42578125" customWidth="1"/>
    <col min="12" max="12" width="9.5703125" customWidth="1"/>
    <col min="13" max="13" width="12.5703125" customWidth="1"/>
    <col min="14" max="14" width="9.42578125" customWidth="1"/>
  </cols>
  <sheetData>
    <row r="1" spans="1:13" ht="15" x14ac:dyDescent="0.25">
      <c r="A1" s="1408"/>
      <c r="B1" s="40"/>
      <c r="C1" s="40"/>
      <c r="D1" s="40"/>
      <c r="E1" s="40"/>
      <c r="F1" s="40"/>
      <c r="G1" s="40"/>
      <c r="H1" s="40"/>
      <c r="I1" s="40"/>
      <c r="J1" s="40"/>
      <c r="K1" s="40"/>
      <c r="L1" s="41"/>
      <c r="M1" s="40"/>
    </row>
    <row r="2" spans="1:13" ht="15" x14ac:dyDescent="0.25">
      <c r="A2" s="1408"/>
      <c r="B2" s="2839" t="s">
        <v>1301</v>
      </c>
      <c r="C2" s="2840"/>
      <c r="D2" s="2840"/>
      <c r="E2" s="2840"/>
      <c r="F2" s="2840"/>
      <c r="G2" s="2840"/>
      <c r="H2" s="2840"/>
      <c r="I2" s="2840"/>
      <c r="J2" s="2840"/>
      <c r="K2" s="2840"/>
      <c r="L2" s="2840"/>
      <c r="M2" s="2841"/>
    </row>
    <row r="3" spans="1:13" ht="15.75" x14ac:dyDescent="0.25">
      <c r="A3" s="1408"/>
      <c r="B3" s="1120"/>
      <c r="C3" s="2292" t="str">
        <f>+'Data Input sheet'!$B$7&amp;" "&amp;'Data Input sheet'!$C$7</f>
        <v>Project Title: Battery Storage - Hyde Park</v>
      </c>
      <c r="D3" s="48"/>
      <c r="E3" s="49"/>
      <c r="F3" s="42"/>
      <c r="G3" s="42"/>
      <c r="H3" s="1408"/>
      <c r="I3" s="1408"/>
      <c r="J3" s="1408"/>
      <c r="K3" s="2292" t="str">
        <f>+'Data Input sheet'!$B$4&amp;" "&amp;'Data Input sheet'!$C$4</f>
        <v>Estimate #: E-23-373</v>
      </c>
      <c r="L3" s="55"/>
      <c r="M3" s="1121"/>
    </row>
    <row r="4" spans="1:13" ht="15.75" x14ac:dyDescent="0.25">
      <c r="A4" s="1408"/>
      <c r="B4" s="1120"/>
      <c r="C4" s="2292" t="str">
        <f>+'Data Input sheet'!$B$8&amp;" "&amp;'Data Input sheet'!$C$8</f>
        <v>Project Mgr/Lead: Michael Rosenburg</v>
      </c>
      <c r="D4" s="57"/>
      <c r="E4" s="53"/>
      <c r="F4" s="54"/>
      <c r="G4" s="54"/>
      <c r="H4" s="1408"/>
      <c r="I4" s="1408"/>
      <c r="J4" s="1408"/>
      <c r="K4" s="2292" t="str">
        <f>'Data Input sheet'!$B$11&amp;TEXT('Data Input sheet'!$C$11,"mm/dd/yyy")</f>
        <v>Date of Estimate:12/08/2023</v>
      </c>
      <c r="L4" s="897"/>
      <c r="M4" s="1121"/>
    </row>
    <row r="5" spans="1:13" ht="15.75" x14ac:dyDescent="0.25">
      <c r="A5" s="1408"/>
      <c r="B5" s="1120"/>
      <c r="C5" s="2292" t="str">
        <f>+'Data Input sheet'!$B$5&amp;" "&amp;'Data Input sheet'!$C$5</f>
        <v>Project Number: 21334</v>
      </c>
      <c r="D5" s="48"/>
      <c r="E5" s="53"/>
      <c r="F5" s="54"/>
      <c r="G5" s="54"/>
      <c r="H5" s="1408"/>
      <c r="I5" s="1408"/>
      <c r="J5" s="1408"/>
      <c r="K5" s="2292" t="str">
        <f>+'Data Input sheet'!$B$13&amp;" "&amp;'Data Input sheet'!$C$13</f>
        <v>Estimate done by: PAG</v>
      </c>
      <c r="L5" s="2276"/>
      <c r="M5" s="1122"/>
    </row>
    <row r="6" spans="1:13" ht="15" x14ac:dyDescent="0.25">
      <c r="A6" s="1408"/>
      <c r="B6" s="1120"/>
      <c r="C6" s="2292" t="str">
        <f>+'Data Input sheet'!$B$6&amp;" "&amp;'Data Input sheet'!$C$6</f>
        <v>WO &amp; Task #: 80089926</v>
      </c>
      <c r="D6" s="51"/>
      <c r="E6" s="51"/>
      <c r="F6" s="64"/>
      <c r="G6" s="64"/>
      <c r="H6" s="1408"/>
      <c r="I6" s="1408"/>
      <c r="J6" s="1408"/>
      <c r="K6" s="2292" t="str">
        <f>'Data Input sheet'!$B$10&amp;TEXT('Data Input sheet'!$C$10,"mm/dd/yyy")</f>
        <v>In Service date (ISD):12/23/2028</v>
      </c>
      <c r="L6" s="896"/>
      <c r="M6" s="1122"/>
    </row>
    <row r="7" spans="1:13" ht="15" x14ac:dyDescent="0.25">
      <c r="A7" s="1408"/>
      <c r="B7" s="1124"/>
      <c r="C7" s="2293" t="str">
        <f>+'Data Input sheet'!$B$12&amp;" "&amp;'Data Input sheet'!$C$12</f>
        <v>Estimate revision #: 00</v>
      </c>
      <c r="D7" s="1125"/>
      <c r="E7" s="1125"/>
      <c r="F7" s="1126"/>
      <c r="G7" s="1126"/>
      <c r="H7" s="1126"/>
      <c r="I7" s="1126"/>
      <c r="J7" s="1127"/>
      <c r="K7" s="2291"/>
      <c r="L7" s="1126" t="str">
        <f>+'Data Input sheet'!M2</f>
        <v>Template Revision # 01.92a</v>
      </c>
      <c r="M7" s="1129"/>
    </row>
    <row r="8" spans="1:13" ht="15" x14ac:dyDescent="0.25">
      <c r="A8" s="1408"/>
      <c r="B8" s="1408"/>
      <c r="D8" s="1408"/>
      <c r="E8" s="1408"/>
      <c r="F8" s="1408"/>
      <c r="G8" s="1408"/>
      <c r="H8" s="1408"/>
      <c r="I8" s="1408"/>
      <c r="J8" s="1408"/>
      <c r="K8" s="1408"/>
      <c r="L8" s="1408"/>
      <c r="M8" s="1408"/>
    </row>
    <row r="9" spans="1:13" ht="60.75" x14ac:dyDescent="0.25">
      <c r="A9" s="1408"/>
      <c r="B9" s="1409" t="s">
        <v>109</v>
      </c>
      <c r="C9" s="1410"/>
      <c r="D9" s="1410"/>
      <c r="E9" s="1410"/>
      <c r="F9" s="1411" t="s">
        <v>110</v>
      </c>
      <c r="G9" s="1411" t="s">
        <v>111</v>
      </c>
      <c r="H9" s="1411" t="s">
        <v>51</v>
      </c>
      <c r="I9" s="1412" t="s">
        <v>1</v>
      </c>
      <c r="J9" s="1413"/>
      <c r="K9" s="1413"/>
      <c r="L9" s="1413"/>
      <c r="M9" s="1414"/>
    </row>
    <row r="10" spans="1:13" ht="15" x14ac:dyDescent="0.25">
      <c r="A10" s="1408"/>
      <c r="B10" s="1415" t="s">
        <v>112</v>
      </c>
      <c r="C10" s="941"/>
      <c r="D10" s="941"/>
      <c r="E10" s="941"/>
      <c r="F10" s="1416"/>
      <c r="G10" s="1416"/>
      <c r="H10" s="1416"/>
      <c r="I10" s="2826"/>
      <c r="J10" s="2827"/>
      <c r="K10" s="2827"/>
      <c r="L10" s="2827"/>
      <c r="M10" s="2828"/>
    </row>
    <row r="11" spans="1:13" ht="15" x14ac:dyDescent="0.25">
      <c r="A11" s="1408"/>
      <c r="B11" s="1417"/>
      <c r="C11" s="1418"/>
      <c r="D11" s="1418"/>
      <c r="E11" s="1418"/>
      <c r="F11" s="1419"/>
      <c r="G11" s="1419"/>
      <c r="H11" s="1419"/>
      <c r="I11" s="2842"/>
      <c r="J11" s="2843"/>
      <c r="K11" s="2843"/>
      <c r="L11" s="2843"/>
      <c r="M11" s="2844"/>
    </row>
    <row r="12" spans="1:13" ht="15" x14ac:dyDescent="0.25">
      <c r="A12" s="1408"/>
      <c r="B12" s="1415" t="s">
        <v>113</v>
      </c>
      <c r="C12" s="941"/>
      <c r="D12" s="941"/>
      <c r="E12" s="941"/>
      <c r="F12" s="1416"/>
      <c r="G12" s="1416"/>
      <c r="H12" s="1416"/>
      <c r="I12" s="2826"/>
      <c r="J12" s="2827"/>
      <c r="K12" s="2827"/>
      <c r="L12" s="2827"/>
      <c r="M12" s="2828"/>
    </row>
    <row r="13" spans="1:13" ht="15" x14ac:dyDescent="0.25">
      <c r="A13" s="1408"/>
      <c r="B13" s="1420"/>
      <c r="C13" s="942" t="s">
        <v>114</v>
      </c>
      <c r="D13" s="942"/>
      <c r="E13" s="942"/>
      <c r="F13" s="1419"/>
      <c r="G13" s="1419"/>
      <c r="H13" s="1419"/>
      <c r="I13" s="2833"/>
      <c r="J13" s="2834"/>
      <c r="K13" s="2834"/>
      <c r="L13" s="2834"/>
      <c r="M13" s="2835"/>
    </row>
    <row r="14" spans="1:13" ht="15" x14ac:dyDescent="0.25">
      <c r="A14" s="1408"/>
      <c r="B14" s="1420"/>
      <c r="C14" s="942"/>
      <c r="D14" s="942" t="s">
        <v>115</v>
      </c>
      <c r="E14" s="942"/>
      <c r="F14" s="1419"/>
      <c r="G14" s="1419"/>
      <c r="H14" s="1419"/>
      <c r="I14" s="2833"/>
      <c r="J14" s="2834"/>
      <c r="K14" s="2834"/>
      <c r="L14" s="2834"/>
      <c r="M14" s="2835"/>
    </row>
    <row r="15" spans="1:13" ht="15" x14ac:dyDescent="0.25">
      <c r="A15" s="1408"/>
      <c r="B15" s="1420"/>
      <c r="C15" s="942"/>
      <c r="D15" s="942" t="s">
        <v>116</v>
      </c>
      <c r="E15" s="942"/>
      <c r="F15" s="1419"/>
      <c r="G15" s="1419"/>
      <c r="H15" s="1419"/>
      <c r="I15" s="2833"/>
      <c r="J15" s="2834"/>
      <c r="K15" s="2834"/>
      <c r="L15" s="2834"/>
      <c r="M15" s="2835"/>
    </row>
    <row r="16" spans="1:13" ht="15" x14ac:dyDescent="0.25">
      <c r="A16" s="1408"/>
      <c r="B16" s="1420"/>
      <c r="C16" s="942"/>
      <c r="D16" s="942" t="s">
        <v>117</v>
      </c>
      <c r="E16" s="942"/>
      <c r="F16" s="1419"/>
      <c r="G16" s="1419"/>
      <c r="H16" s="1419"/>
      <c r="I16" s="2833"/>
      <c r="J16" s="2834"/>
      <c r="K16" s="2834"/>
      <c r="L16" s="2834"/>
      <c r="M16" s="2835"/>
    </row>
    <row r="17" spans="1:13" ht="15" x14ac:dyDescent="0.25">
      <c r="A17" s="1408"/>
      <c r="B17" s="1420"/>
      <c r="C17" s="942"/>
      <c r="D17" s="942" t="s">
        <v>118</v>
      </c>
      <c r="E17" s="942"/>
      <c r="F17" s="1419"/>
      <c r="G17" s="1419"/>
      <c r="H17" s="1419"/>
      <c r="I17" s="2833"/>
      <c r="J17" s="2834"/>
      <c r="K17" s="2834"/>
      <c r="L17" s="2834"/>
      <c r="M17" s="2835"/>
    </row>
    <row r="18" spans="1:13" ht="15" x14ac:dyDescent="0.25">
      <c r="A18" s="1408"/>
      <c r="B18" s="1420"/>
      <c r="C18" s="942"/>
      <c r="D18" s="942" t="s">
        <v>119</v>
      </c>
      <c r="E18" s="942"/>
      <c r="F18" s="1419"/>
      <c r="G18" s="1419"/>
      <c r="H18" s="1419"/>
      <c r="I18" s="2833"/>
      <c r="J18" s="2834"/>
      <c r="K18" s="2834"/>
      <c r="L18" s="2834"/>
      <c r="M18" s="2835"/>
    </row>
    <row r="19" spans="1:13" ht="15" x14ac:dyDescent="0.25">
      <c r="A19" s="1408"/>
      <c r="B19" s="1420"/>
      <c r="C19" s="942"/>
      <c r="D19" s="942" t="s">
        <v>120</v>
      </c>
      <c r="E19" s="942"/>
      <c r="F19" s="1419"/>
      <c r="G19" s="1419"/>
      <c r="H19" s="1419"/>
      <c r="I19" s="2833"/>
      <c r="J19" s="2834"/>
      <c r="K19" s="2834"/>
      <c r="L19" s="2834"/>
      <c r="M19" s="2835"/>
    </row>
    <row r="20" spans="1:13" ht="15" x14ac:dyDescent="0.25">
      <c r="A20" s="1408"/>
      <c r="B20" s="1420"/>
      <c r="C20" s="942" t="s">
        <v>121</v>
      </c>
      <c r="D20" s="942"/>
      <c r="E20" s="942"/>
      <c r="F20" s="1419"/>
      <c r="G20" s="1419"/>
      <c r="H20" s="1419"/>
      <c r="I20" s="2833"/>
      <c r="J20" s="2834"/>
      <c r="K20" s="2834"/>
      <c r="L20" s="2834"/>
      <c r="M20" s="2835"/>
    </row>
    <row r="21" spans="1:13" ht="15" x14ac:dyDescent="0.25">
      <c r="A21" s="1408"/>
      <c r="B21" s="1420"/>
      <c r="C21" s="942"/>
      <c r="D21" s="942"/>
      <c r="E21" s="942"/>
      <c r="F21" s="1418"/>
      <c r="G21" s="1418"/>
      <c r="H21" s="1418"/>
      <c r="I21" s="1433"/>
      <c r="J21" s="1433"/>
      <c r="K21" s="1433"/>
      <c r="L21" s="1433"/>
      <c r="M21" s="1434"/>
    </row>
    <row r="22" spans="1:13" ht="15" x14ac:dyDescent="0.25">
      <c r="A22" s="1408"/>
      <c r="B22" s="1415" t="s">
        <v>122</v>
      </c>
      <c r="C22" s="941"/>
      <c r="D22" s="941"/>
      <c r="E22" s="941"/>
      <c r="F22" s="1416"/>
      <c r="G22" s="1416"/>
      <c r="H22" s="1416"/>
      <c r="I22" s="2826"/>
      <c r="J22" s="2827"/>
      <c r="K22" s="2827"/>
      <c r="L22" s="2827"/>
      <c r="M22" s="2828"/>
    </row>
    <row r="23" spans="1:13" ht="15" x14ac:dyDescent="0.25">
      <c r="A23" s="1408"/>
      <c r="B23" s="1420"/>
      <c r="C23" s="942" t="s">
        <v>123</v>
      </c>
      <c r="D23" s="942"/>
      <c r="E23" s="942"/>
      <c r="F23" s="1419"/>
      <c r="G23" s="1419"/>
      <c r="H23" s="1419"/>
      <c r="I23" s="2833"/>
      <c r="J23" s="2834"/>
      <c r="K23" s="2834"/>
      <c r="L23" s="2834"/>
      <c r="M23" s="2835"/>
    </row>
    <row r="24" spans="1:13" ht="15" x14ac:dyDescent="0.25">
      <c r="A24" s="1408"/>
      <c r="B24" s="1420"/>
      <c r="C24" s="942" t="s">
        <v>124</v>
      </c>
      <c r="D24" s="942"/>
      <c r="E24" s="942"/>
      <c r="F24" s="1419"/>
      <c r="G24" s="1419"/>
      <c r="H24" s="1419"/>
      <c r="I24" s="2833"/>
      <c r="J24" s="2834"/>
      <c r="K24" s="2834"/>
      <c r="L24" s="2834"/>
      <c r="M24" s="2835"/>
    </row>
    <row r="25" spans="1:13" ht="15" x14ac:dyDescent="0.25">
      <c r="A25" s="1408"/>
      <c r="B25" s="1420"/>
      <c r="C25" s="942" t="s">
        <v>125</v>
      </c>
      <c r="D25" s="942"/>
      <c r="E25" s="942"/>
      <c r="F25" s="1419"/>
      <c r="G25" s="1419"/>
      <c r="H25" s="1419"/>
      <c r="I25" s="2833"/>
      <c r="J25" s="2834"/>
      <c r="K25" s="2834"/>
      <c r="L25" s="2834"/>
      <c r="M25" s="2835"/>
    </row>
    <row r="26" spans="1:13" ht="15" x14ac:dyDescent="0.25">
      <c r="A26" s="1408"/>
      <c r="B26" s="1420"/>
      <c r="C26" s="942"/>
      <c r="D26" s="942"/>
      <c r="E26" s="942"/>
      <c r="F26" s="1418"/>
      <c r="G26" s="1418"/>
      <c r="H26" s="1418"/>
      <c r="I26" s="1433"/>
      <c r="J26" s="1433"/>
      <c r="K26" s="1433"/>
      <c r="L26" s="1433"/>
      <c r="M26" s="1434"/>
    </row>
    <row r="27" spans="1:13" ht="15" x14ac:dyDescent="0.25">
      <c r="A27" s="1408"/>
      <c r="B27" s="1415" t="s">
        <v>126</v>
      </c>
      <c r="C27" s="941"/>
      <c r="D27" s="941"/>
      <c r="E27" s="941"/>
      <c r="F27" s="1416"/>
      <c r="G27" s="1416"/>
      <c r="H27" s="1416"/>
      <c r="I27" s="2826"/>
      <c r="J27" s="2827"/>
      <c r="K27" s="2827"/>
      <c r="L27" s="2827"/>
      <c r="M27" s="2828"/>
    </row>
    <row r="28" spans="1:13" ht="26.25" x14ac:dyDescent="0.25">
      <c r="A28" s="1408"/>
      <c r="B28" s="1420"/>
      <c r="C28" s="2221" t="str">
        <f>+"Expected Siting requirements "&amp;'Detail Summary'!$AY$98</f>
        <v>Expected Siting requirements Siting - Chapter 40A</v>
      </c>
      <c r="D28" s="2222"/>
      <c r="E28" s="2222"/>
      <c r="F28" s="1419"/>
      <c r="G28" s="1419"/>
      <c r="H28" s="1419"/>
      <c r="I28" s="2833"/>
      <c r="J28" s="2834"/>
      <c r="K28" s="2834"/>
      <c r="L28" s="2834"/>
      <c r="M28" s="2835"/>
    </row>
    <row r="29" spans="1:13" ht="15" x14ac:dyDescent="0.25">
      <c r="A29" s="1408"/>
      <c r="B29" s="1420"/>
      <c r="C29" s="2221" t="str">
        <f>+"Outreaach - Project Services "&amp;'Detail Summary'!$AY$95</f>
        <v>Outreaach - Project Services SCS - Campaign</v>
      </c>
      <c r="D29" s="2222"/>
      <c r="E29" s="2222"/>
      <c r="F29" s="1419"/>
      <c r="G29" s="1419"/>
      <c r="H29" s="1419"/>
      <c r="I29" s="2833"/>
      <c r="J29" s="2834"/>
      <c r="K29" s="2834"/>
      <c r="L29" s="2834"/>
      <c r="M29" s="2835"/>
    </row>
    <row r="30" spans="1:13" ht="15" x14ac:dyDescent="0.25">
      <c r="A30" s="1408"/>
      <c r="B30" s="1415" t="s">
        <v>127</v>
      </c>
      <c r="C30" s="941"/>
      <c r="D30" s="941"/>
      <c r="E30" s="941"/>
      <c r="F30" s="1416"/>
      <c r="G30" s="1416"/>
      <c r="H30" s="1416"/>
      <c r="I30" s="2826"/>
      <c r="J30" s="2827"/>
      <c r="K30" s="2827"/>
      <c r="L30" s="2827"/>
      <c r="M30" s="2828"/>
    </row>
    <row r="31" spans="1:13" ht="15" x14ac:dyDescent="0.25">
      <c r="A31" s="1408"/>
      <c r="B31" s="1420"/>
      <c r="C31" s="942" t="s">
        <v>128</v>
      </c>
      <c r="D31" s="942"/>
      <c r="E31" s="942"/>
      <c r="F31" s="1419"/>
      <c r="G31" s="1419"/>
      <c r="H31" s="1419"/>
      <c r="I31" s="2833"/>
      <c r="J31" s="2834"/>
      <c r="K31" s="2834"/>
      <c r="L31" s="2834"/>
      <c r="M31" s="2835"/>
    </row>
    <row r="32" spans="1:13" ht="15" x14ac:dyDescent="0.25">
      <c r="A32" s="1408"/>
      <c r="B32" s="1420"/>
      <c r="C32" s="942" t="s">
        <v>129</v>
      </c>
      <c r="D32" s="942"/>
      <c r="E32" s="942"/>
      <c r="F32" s="1419"/>
      <c r="G32" s="1419"/>
      <c r="H32" s="1419"/>
      <c r="I32" s="2833"/>
      <c r="J32" s="2834"/>
      <c r="K32" s="2834"/>
      <c r="L32" s="2834"/>
      <c r="M32" s="2835"/>
    </row>
    <row r="33" spans="1:13" ht="15" x14ac:dyDescent="0.25">
      <c r="A33" s="1408"/>
      <c r="B33" s="1420"/>
      <c r="C33" s="942" t="s">
        <v>130</v>
      </c>
      <c r="D33" s="942"/>
      <c r="E33" s="942"/>
      <c r="F33" s="1419"/>
      <c r="G33" s="1419"/>
      <c r="H33" s="1419"/>
      <c r="I33" s="2833"/>
      <c r="J33" s="2834"/>
      <c r="K33" s="2834"/>
      <c r="L33" s="2834"/>
      <c r="M33" s="2835"/>
    </row>
    <row r="34" spans="1:13" ht="15" x14ac:dyDescent="0.25">
      <c r="A34" s="1408"/>
      <c r="B34" s="1420"/>
      <c r="C34" s="942"/>
      <c r="D34" s="942"/>
      <c r="E34" s="942"/>
      <c r="F34" s="1418"/>
      <c r="G34" s="1418"/>
      <c r="H34" s="1418"/>
      <c r="I34" s="1433"/>
      <c r="J34" s="1433"/>
      <c r="K34" s="1433"/>
      <c r="L34" s="1433"/>
      <c r="M34" s="1434"/>
    </row>
    <row r="35" spans="1:13" ht="15" x14ac:dyDescent="0.25">
      <c r="A35" s="1408"/>
      <c r="B35" s="1415" t="s">
        <v>131</v>
      </c>
      <c r="C35" s="941"/>
      <c r="D35" s="941"/>
      <c r="E35" s="941"/>
      <c r="F35" s="1416"/>
      <c r="G35" s="1416"/>
      <c r="H35" s="1416"/>
      <c r="I35" s="2826"/>
      <c r="J35" s="2827"/>
      <c r="K35" s="2827"/>
      <c r="L35" s="2827"/>
      <c r="M35" s="2828"/>
    </row>
    <row r="36" spans="1:13" ht="15" x14ac:dyDescent="0.25">
      <c r="A36" s="1408"/>
      <c r="B36" s="1420"/>
      <c r="C36" s="942" t="s">
        <v>132</v>
      </c>
      <c r="D36" s="942"/>
      <c r="E36" s="942"/>
      <c r="F36" s="1419"/>
      <c r="G36" s="1419"/>
      <c r="H36" s="1419"/>
      <c r="I36" s="2833"/>
      <c r="J36" s="2834"/>
      <c r="K36" s="2834"/>
      <c r="L36" s="2834"/>
      <c r="M36" s="2835"/>
    </row>
    <row r="37" spans="1:13" ht="15" x14ac:dyDescent="0.25">
      <c r="A37" s="1408"/>
      <c r="B37" s="1420"/>
      <c r="C37" s="942" t="s">
        <v>133</v>
      </c>
      <c r="D37" s="942"/>
      <c r="E37" s="942"/>
      <c r="F37" s="1419"/>
      <c r="G37" s="1419"/>
      <c r="H37" s="1419"/>
      <c r="I37" s="2833"/>
      <c r="J37" s="2834"/>
      <c r="K37" s="2834"/>
      <c r="L37" s="2834"/>
      <c r="M37" s="2835"/>
    </row>
    <row r="38" spans="1:13" ht="15" x14ac:dyDescent="0.25">
      <c r="A38" s="1408"/>
      <c r="B38" s="1420"/>
      <c r="C38" s="942" t="s">
        <v>134</v>
      </c>
      <c r="D38" s="942"/>
      <c r="E38" s="942"/>
      <c r="F38" s="1419"/>
      <c r="G38" s="1419"/>
      <c r="H38" s="1419"/>
      <c r="I38" s="2833"/>
      <c r="J38" s="2834"/>
      <c r="K38" s="2834"/>
      <c r="L38" s="2834"/>
      <c r="M38" s="2835"/>
    </row>
    <row r="39" spans="1:13" ht="15" x14ac:dyDescent="0.25">
      <c r="A39" s="1408"/>
      <c r="B39" s="1420"/>
      <c r="C39" s="942" t="s">
        <v>135</v>
      </c>
      <c r="D39" s="942"/>
      <c r="E39" s="942"/>
      <c r="F39" s="1419"/>
      <c r="G39" s="1419"/>
      <c r="H39" s="1419"/>
      <c r="I39" s="2833"/>
      <c r="J39" s="2834"/>
      <c r="K39" s="2834"/>
      <c r="L39" s="2834"/>
      <c r="M39" s="2835"/>
    </row>
    <row r="40" spans="1:13" ht="15" x14ac:dyDescent="0.25">
      <c r="A40" s="1408"/>
      <c r="B40" s="1420"/>
      <c r="C40" s="942" t="s">
        <v>136</v>
      </c>
      <c r="D40" s="942"/>
      <c r="E40" s="942"/>
      <c r="F40" s="1419"/>
      <c r="G40" s="1419"/>
      <c r="H40" s="1419"/>
      <c r="I40" s="2833"/>
      <c r="J40" s="2834"/>
      <c r="K40" s="2834"/>
      <c r="L40" s="2834"/>
      <c r="M40" s="2835"/>
    </row>
    <row r="41" spans="1:13" ht="15" x14ac:dyDescent="0.25">
      <c r="A41" s="1408"/>
      <c r="B41" s="1420"/>
      <c r="C41" s="942" t="s">
        <v>137</v>
      </c>
      <c r="D41" s="942"/>
      <c r="E41" s="942"/>
      <c r="F41" s="1419"/>
      <c r="G41" s="1419"/>
      <c r="H41" s="1419"/>
      <c r="I41" s="2833"/>
      <c r="J41" s="2834"/>
      <c r="K41" s="2834"/>
      <c r="L41" s="2834"/>
      <c r="M41" s="2835"/>
    </row>
    <row r="42" spans="1:13" ht="15" x14ac:dyDescent="0.25">
      <c r="A42" s="1408"/>
      <c r="B42" s="1420"/>
      <c r="C42" s="942" t="s">
        <v>138</v>
      </c>
      <c r="D42" s="942"/>
      <c r="E42" s="942"/>
      <c r="F42" s="1419"/>
      <c r="G42" s="1419"/>
      <c r="H42" s="1419"/>
      <c r="I42" s="2833"/>
      <c r="J42" s="2834"/>
      <c r="K42" s="2834"/>
      <c r="L42" s="2834"/>
      <c r="M42" s="2835"/>
    </row>
    <row r="43" spans="1:13" ht="15" x14ac:dyDescent="0.25">
      <c r="A43" s="1408"/>
      <c r="B43" s="1420"/>
      <c r="C43" s="942" t="s">
        <v>139</v>
      </c>
      <c r="D43" s="942"/>
      <c r="E43" s="942"/>
      <c r="F43" s="1419"/>
      <c r="G43" s="1419"/>
      <c r="H43" s="1419"/>
      <c r="I43" s="2833"/>
      <c r="J43" s="2834"/>
      <c r="K43" s="2834"/>
      <c r="L43" s="2834"/>
      <c r="M43" s="2835"/>
    </row>
    <row r="44" spans="1:13" ht="15" x14ac:dyDescent="0.25">
      <c r="A44" s="1408"/>
      <c r="B44" s="1420"/>
      <c r="C44" s="942" t="s">
        <v>140</v>
      </c>
      <c r="D44" s="942"/>
      <c r="E44" s="942"/>
      <c r="F44" s="1419"/>
      <c r="G44" s="1419"/>
      <c r="H44" s="1419"/>
      <c r="I44" s="2833"/>
      <c r="J44" s="2834"/>
      <c r="K44" s="2834"/>
      <c r="L44" s="2834"/>
      <c r="M44" s="2835"/>
    </row>
    <row r="45" spans="1:13" ht="15" x14ac:dyDescent="0.25">
      <c r="A45" s="1408"/>
      <c r="B45" s="1420"/>
      <c r="C45" s="942"/>
      <c r="D45" s="942"/>
      <c r="E45" s="942"/>
      <c r="F45" s="1418"/>
      <c r="G45" s="1418"/>
      <c r="H45" s="1418"/>
      <c r="I45" s="1433"/>
      <c r="J45" s="1433"/>
      <c r="K45" s="1433"/>
      <c r="L45" s="1433"/>
      <c r="M45" s="1434"/>
    </row>
    <row r="46" spans="1:13" ht="15" x14ac:dyDescent="0.25">
      <c r="A46" s="1408"/>
      <c r="B46" s="1415" t="s">
        <v>141</v>
      </c>
      <c r="C46" s="941"/>
      <c r="D46" s="941"/>
      <c r="E46" s="941"/>
      <c r="F46" s="1421"/>
      <c r="G46" s="1421"/>
      <c r="H46" s="1421"/>
      <c r="I46" s="2826"/>
      <c r="J46" s="2827"/>
      <c r="K46" s="2827"/>
      <c r="L46" s="2827"/>
      <c r="M46" s="2828"/>
    </row>
    <row r="47" spans="1:13" ht="15" x14ac:dyDescent="0.25">
      <c r="A47" s="1408"/>
      <c r="B47" s="1420"/>
      <c r="C47" s="942" t="s">
        <v>142</v>
      </c>
      <c r="D47" s="942"/>
      <c r="E47" s="942"/>
      <c r="F47" s="1422"/>
      <c r="G47" s="1422"/>
      <c r="H47" s="1422"/>
      <c r="I47" s="2833"/>
      <c r="J47" s="2834"/>
      <c r="K47" s="2834"/>
      <c r="L47" s="2834"/>
      <c r="M47" s="2835"/>
    </row>
    <row r="48" spans="1:13" ht="15" x14ac:dyDescent="0.25">
      <c r="A48" s="1408"/>
      <c r="B48" s="1420"/>
      <c r="C48" s="942" t="s">
        <v>143</v>
      </c>
      <c r="D48" s="942"/>
      <c r="E48" s="942"/>
      <c r="F48" s="1422"/>
      <c r="G48" s="1422"/>
      <c r="H48" s="1422"/>
      <c r="I48" s="2833"/>
      <c r="J48" s="2834"/>
      <c r="K48" s="2834"/>
      <c r="L48" s="2834"/>
      <c r="M48" s="2835"/>
    </row>
    <row r="49" spans="1:13" ht="15" x14ac:dyDescent="0.25">
      <c r="A49" s="1408"/>
      <c r="B49" s="1420"/>
      <c r="C49" s="942" t="s">
        <v>144</v>
      </c>
      <c r="D49" s="942"/>
      <c r="E49" s="942"/>
      <c r="F49" s="1422"/>
      <c r="G49" s="1422"/>
      <c r="H49" s="1422"/>
      <c r="I49" s="2833"/>
      <c r="J49" s="2834"/>
      <c r="K49" s="2834"/>
      <c r="L49" s="2834"/>
      <c r="M49" s="2835"/>
    </row>
    <row r="50" spans="1:13" ht="15" x14ac:dyDescent="0.25">
      <c r="A50" s="1408"/>
      <c r="B50" s="1420"/>
      <c r="C50" s="942" t="s">
        <v>145</v>
      </c>
      <c r="D50" s="942"/>
      <c r="E50" s="942"/>
      <c r="F50" s="1422"/>
      <c r="G50" s="1422"/>
      <c r="H50" s="1422"/>
      <c r="I50" s="2833"/>
      <c r="J50" s="2834"/>
      <c r="K50" s="2834"/>
      <c r="L50" s="2834"/>
      <c r="M50" s="2835"/>
    </row>
    <row r="51" spans="1:13" ht="15" x14ac:dyDescent="0.25">
      <c r="A51" s="1408"/>
      <c r="B51" s="1420"/>
      <c r="C51" s="942"/>
      <c r="D51" s="942"/>
      <c r="E51" s="942"/>
      <c r="F51" s="1423"/>
      <c r="G51" s="1423"/>
      <c r="H51" s="1423"/>
      <c r="I51" s="1435"/>
      <c r="J51" s="1435"/>
      <c r="K51" s="1435"/>
      <c r="L51" s="1435"/>
      <c r="M51" s="1436"/>
    </row>
    <row r="52" spans="1:13" ht="15" x14ac:dyDescent="0.25">
      <c r="A52" s="1408"/>
      <c r="B52" s="1415" t="s">
        <v>146</v>
      </c>
      <c r="C52" s="941"/>
      <c r="D52" s="941"/>
      <c r="E52" s="941"/>
      <c r="F52" s="1421"/>
      <c r="G52" s="1421"/>
      <c r="H52" s="1421"/>
      <c r="I52" s="2826"/>
      <c r="J52" s="2827"/>
      <c r="K52" s="2827"/>
      <c r="L52" s="2827"/>
      <c r="M52" s="2828"/>
    </row>
    <row r="53" spans="1:13" ht="15" x14ac:dyDescent="0.25">
      <c r="A53" s="1408"/>
      <c r="B53" s="1420"/>
      <c r="C53" s="942" t="s">
        <v>147</v>
      </c>
      <c r="D53" s="942"/>
      <c r="E53" s="942"/>
      <c r="F53" s="1422"/>
      <c r="G53" s="1422"/>
      <c r="H53" s="1422"/>
      <c r="I53" s="2833"/>
      <c r="J53" s="2834"/>
      <c r="K53" s="2834"/>
      <c r="L53" s="2834"/>
      <c r="M53" s="2835"/>
    </row>
    <row r="54" spans="1:13" ht="15" x14ac:dyDescent="0.25">
      <c r="A54" s="1408"/>
      <c r="B54" s="1420"/>
      <c r="C54" s="1424" t="s">
        <v>1303</v>
      </c>
      <c r="D54" s="942"/>
      <c r="E54" s="942"/>
      <c r="F54" s="1422"/>
      <c r="G54" s="1422"/>
      <c r="H54" s="1422"/>
      <c r="I54" s="2833"/>
      <c r="J54" s="2834"/>
      <c r="K54" s="2834"/>
      <c r="L54" s="2834"/>
      <c r="M54" s="2835"/>
    </row>
    <row r="55" spans="1:13" ht="15" x14ac:dyDescent="0.25">
      <c r="A55" s="1408"/>
      <c r="B55" s="1420"/>
      <c r="C55" s="1424" t="s">
        <v>1304</v>
      </c>
      <c r="D55" s="942"/>
      <c r="E55" s="942"/>
      <c r="F55" s="1422"/>
      <c r="G55" s="1422"/>
      <c r="H55" s="1422"/>
      <c r="I55" s="2833"/>
      <c r="J55" s="2834"/>
      <c r="K55" s="2834"/>
      <c r="L55" s="2834"/>
      <c r="M55" s="2835"/>
    </row>
    <row r="56" spans="1:13" ht="15" x14ac:dyDescent="0.25">
      <c r="A56" s="1408"/>
      <c r="B56" s="1420"/>
      <c r="C56" s="1424" t="s">
        <v>1305</v>
      </c>
      <c r="D56" s="942"/>
      <c r="E56" s="942"/>
      <c r="F56" s="1422"/>
      <c r="G56" s="1422"/>
      <c r="H56" s="1422"/>
      <c r="I56" s="2833"/>
      <c r="J56" s="2834"/>
      <c r="K56" s="2834"/>
      <c r="L56" s="2834"/>
      <c r="M56" s="2835"/>
    </row>
    <row r="57" spans="1:13" ht="15" x14ac:dyDescent="0.25">
      <c r="A57" s="1408"/>
      <c r="B57" s="1420"/>
      <c r="C57" s="1424" t="s">
        <v>1297</v>
      </c>
      <c r="D57" s="942"/>
      <c r="E57" s="942"/>
      <c r="F57" s="1422"/>
      <c r="G57" s="1422"/>
      <c r="H57" s="1422"/>
      <c r="I57" s="2833"/>
      <c r="J57" s="2834"/>
      <c r="K57" s="2834"/>
      <c r="L57" s="2834"/>
      <c r="M57" s="2835"/>
    </row>
    <row r="58" spans="1:13" ht="15" x14ac:dyDescent="0.25">
      <c r="A58" s="1408"/>
      <c r="B58" s="1420"/>
      <c r="C58" s="1425" t="s">
        <v>93</v>
      </c>
      <c r="D58" s="942"/>
      <c r="E58" s="942"/>
      <c r="F58" s="1422"/>
      <c r="G58" s="1422"/>
      <c r="H58" s="1422"/>
      <c r="I58" s="2833"/>
      <c r="J58" s="2834"/>
      <c r="K58" s="2834"/>
      <c r="L58" s="2834"/>
      <c r="M58" s="2835"/>
    </row>
    <row r="59" spans="1:13" ht="15" x14ac:dyDescent="0.25">
      <c r="A59" s="1408"/>
      <c r="B59" s="1420"/>
      <c r="C59" s="1424" t="s">
        <v>1298</v>
      </c>
      <c r="D59" s="942"/>
      <c r="E59" s="942"/>
      <c r="F59" s="1422"/>
      <c r="G59" s="1422"/>
      <c r="H59" s="1422"/>
      <c r="I59" s="2833"/>
      <c r="J59" s="2834"/>
      <c r="K59" s="2834"/>
      <c r="L59" s="2834"/>
      <c r="M59" s="2835"/>
    </row>
    <row r="60" spans="1:13" ht="15" x14ac:dyDescent="0.25">
      <c r="A60" s="1408"/>
      <c r="B60" s="1420"/>
      <c r="C60" s="1424" t="s">
        <v>1294</v>
      </c>
      <c r="D60" s="942"/>
      <c r="E60" s="942"/>
      <c r="F60" s="1422"/>
      <c r="G60" s="1422"/>
      <c r="H60" s="1422"/>
      <c r="I60" s="2833"/>
      <c r="J60" s="2834"/>
      <c r="K60" s="2834"/>
      <c r="L60" s="2834"/>
      <c r="M60" s="2835"/>
    </row>
    <row r="61" spans="1:13" ht="15" x14ac:dyDescent="0.25">
      <c r="A61" s="1408"/>
      <c r="B61" s="1420"/>
      <c r="C61" s="1424" t="s">
        <v>1299</v>
      </c>
      <c r="D61" s="942"/>
      <c r="E61" s="942"/>
      <c r="F61" s="1422"/>
      <c r="G61" s="1422"/>
      <c r="H61" s="1422"/>
      <c r="I61" s="2833"/>
      <c r="J61" s="2834"/>
      <c r="K61" s="2834"/>
      <c r="L61" s="2834"/>
      <c r="M61" s="2835"/>
    </row>
    <row r="62" spans="1:13" ht="15" x14ac:dyDescent="0.25">
      <c r="A62" s="1408"/>
      <c r="B62" s="1420"/>
      <c r="C62" s="1424" t="s">
        <v>1300</v>
      </c>
      <c r="D62" s="942"/>
      <c r="E62" s="942"/>
      <c r="F62" s="1422"/>
      <c r="G62" s="1422"/>
      <c r="H62" s="1422"/>
      <c r="I62" s="2833"/>
      <c r="J62" s="2834"/>
      <c r="K62" s="2834"/>
      <c r="L62" s="2834"/>
      <c r="M62" s="2835"/>
    </row>
    <row r="63" spans="1:13" ht="15" x14ac:dyDescent="0.25">
      <c r="A63" s="1408"/>
      <c r="B63" s="1420"/>
      <c r="C63" s="1424" t="s">
        <v>79</v>
      </c>
      <c r="D63" s="942"/>
      <c r="E63" s="942"/>
      <c r="F63" s="1422"/>
      <c r="G63" s="1422"/>
      <c r="H63" s="1422"/>
      <c r="I63" s="2833"/>
      <c r="J63" s="2834"/>
      <c r="K63" s="2834"/>
      <c r="L63" s="2834"/>
      <c r="M63" s="2835"/>
    </row>
    <row r="64" spans="1:13" ht="15" x14ac:dyDescent="0.25">
      <c r="A64" s="1408"/>
      <c r="B64" s="1420"/>
      <c r="C64" s="1425" t="s">
        <v>1310</v>
      </c>
      <c r="D64" s="942"/>
      <c r="E64" s="942"/>
      <c r="F64" s="1422"/>
      <c r="G64" s="1422"/>
      <c r="H64" s="1422"/>
      <c r="I64" s="2829"/>
      <c r="J64" s="2830"/>
      <c r="K64" s="2830"/>
      <c r="L64" s="2830"/>
      <c r="M64" s="2831"/>
    </row>
    <row r="65" spans="1:13" ht="15" x14ac:dyDescent="0.25">
      <c r="A65" s="1408"/>
      <c r="B65" s="1420"/>
      <c r="C65" s="1424" t="s">
        <v>342</v>
      </c>
      <c r="D65" s="942"/>
      <c r="E65" s="942"/>
      <c r="F65" s="1422"/>
      <c r="G65" s="1422"/>
      <c r="H65" s="1422"/>
      <c r="I65" s="2829"/>
      <c r="J65" s="2830"/>
      <c r="K65" s="2830"/>
      <c r="L65" s="2830"/>
      <c r="M65" s="2831"/>
    </row>
    <row r="66" spans="1:13" ht="15" x14ac:dyDescent="0.25">
      <c r="A66" s="1408"/>
      <c r="B66" s="1420"/>
      <c r="C66" s="1424" t="s">
        <v>1311</v>
      </c>
      <c r="D66" s="942"/>
      <c r="E66" s="942"/>
      <c r="F66" s="1422"/>
      <c r="G66" s="1422"/>
      <c r="H66" s="1422"/>
      <c r="I66" s="2829"/>
      <c r="J66" s="2830"/>
      <c r="K66" s="2830"/>
      <c r="L66" s="2830"/>
      <c r="M66" s="2831"/>
    </row>
    <row r="67" spans="1:13" ht="15" x14ac:dyDescent="0.25">
      <c r="A67" s="1408"/>
      <c r="B67" s="1420"/>
      <c r="C67" s="1424" t="s">
        <v>1312</v>
      </c>
      <c r="D67" s="942"/>
      <c r="E67" s="942"/>
      <c r="F67" s="1422"/>
      <c r="G67" s="1422"/>
      <c r="H67" s="1422"/>
      <c r="I67" s="2829"/>
      <c r="J67" s="2830"/>
      <c r="K67" s="2830"/>
      <c r="L67" s="2830"/>
      <c r="M67" s="2831"/>
    </row>
    <row r="68" spans="1:13" ht="15" x14ac:dyDescent="0.25">
      <c r="A68" s="1408"/>
      <c r="B68" s="1420"/>
      <c r="C68" s="1424" t="s">
        <v>39</v>
      </c>
      <c r="D68" s="942"/>
      <c r="E68" s="942"/>
      <c r="F68" s="1422"/>
      <c r="G68" s="1422"/>
      <c r="H68" s="1422"/>
      <c r="I68" s="2832"/>
      <c r="J68" s="2830"/>
      <c r="K68" s="2830"/>
      <c r="L68" s="2830"/>
      <c r="M68" s="2831"/>
    </row>
    <row r="69" spans="1:13" ht="15" x14ac:dyDescent="0.25">
      <c r="A69" s="1408"/>
      <c r="B69" s="1420"/>
      <c r="C69" s="1424" t="s">
        <v>39</v>
      </c>
      <c r="D69" s="942"/>
      <c r="E69" s="942"/>
      <c r="F69" s="1422"/>
      <c r="G69" s="1422"/>
      <c r="H69" s="1422"/>
      <c r="I69" s="2832"/>
      <c r="J69" s="2830"/>
      <c r="K69" s="2830"/>
      <c r="L69" s="2830"/>
      <c r="M69" s="2831"/>
    </row>
    <row r="70" spans="1:13" ht="15" x14ac:dyDescent="0.25">
      <c r="A70" s="1408"/>
      <c r="B70" s="1420"/>
      <c r="C70" s="1424" t="s">
        <v>39</v>
      </c>
      <c r="D70" s="942"/>
      <c r="E70" s="942"/>
      <c r="F70" s="1422"/>
      <c r="G70" s="1422"/>
      <c r="H70" s="1422"/>
      <c r="I70" s="2832"/>
      <c r="J70" s="2830"/>
      <c r="K70" s="2830"/>
      <c r="L70" s="2830"/>
      <c r="M70" s="2831"/>
    </row>
    <row r="71" spans="1:13" ht="15" x14ac:dyDescent="0.25">
      <c r="A71" s="1408"/>
      <c r="B71" s="1420"/>
      <c r="C71" s="1424"/>
      <c r="D71" s="942"/>
      <c r="E71" s="942"/>
      <c r="F71" s="1423"/>
      <c r="G71" s="1423"/>
      <c r="H71" s="1423"/>
      <c r="I71" s="1437"/>
      <c r="J71" s="1437"/>
      <c r="K71" s="1437"/>
      <c r="L71" s="1437"/>
      <c r="M71" s="1438"/>
    </row>
    <row r="72" spans="1:13" ht="15" x14ac:dyDescent="0.25">
      <c r="A72" s="1408"/>
      <c r="B72" s="1415" t="s">
        <v>148</v>
      </c>
      <c r="C72" s="941"/>
      <c r="D72" s="941"/>
      <c r="E72" s="941"/>
      <c r="F72" s="1421"/>
      <c r="G72" s="1421"/>
      <c r="H72" s="1421"/>
      <c r="I72" s="2826"/>
      <c r="J72" s="2827"/>
      <c r="K72" s="2827"/>
      <c r="L72" s="2827"/>
      <c r="M72" s="2828"/>
    </row>
    <row r="73" spans="1:13" ht="15" x14ac:dyDescent="0.25">
      <c r="A73" s="1408"/>
      <c r="B73" s="1420"/>
      <c r="C73" s="942" t="s">
        <v>69</v>
      </c>
      <c r="D73" s="942"/>
      <c r="E73" s="942"/>
      <c r="F73" s="1422"/>
      <c r="G73" s="1422"/>
      <c r="H73" s="1422"/>
      <c r="I73" s="2836"/>
      <c r="J73" s="2837"/>
      <c r="K73" s="2837"/>
      <c r="L73" s="2837"/>
      <c r="M73" s="2838"/>
    </row>
    <row r="74" spans="1:13" ht="15" x14ac:dyDescent="0.25">
      <c r="A74" s="1408"/>
      <c r="B74" s="1420"/>
      <c r="C74" s="942" t="s">
        <v>149</v>
      </c>
      <c r="D74" s="942"/>
      <c r="E74" s="942"/>
      <c r="F74" s="1422"/>
      <c r="G74" s="1422"/>
      <c r="H74" s="1422"/>
      <c r="I74" s="2833"/>
      <c r="J74" s="2834"/>
      <c r="K74" s="2834"/>
      <c r="L74" s="2834"/>
      <c r="M74" s="2835"/>
    </row>
    <row r="75" spans="1:13" ht="15" x14ac:dyDescent="0.25">
      <c r="A75" s="1408"/>
      <c r="B75" s="1420"/>
      <c r="C75" s="942" t="s">
        <v>38</v>
      </c>
      <c r="D75" s="942"/>
      <c r="E75" s="942"/>
      <c r="F75" s="1422"/>
      <c r="G75" s="1422"/>
      <c r="H75" s="1422"/>
      <c r="I75" s="2833"/>
      <c r="J75" s="2834"/>
      <c r="K75" s="2834"/>
      <c r="L75" s="2834"/>
      <c r="M75" s="2835"/>
    </row>
    <row r="76" spans="1:13" ht="15" x14ac:dyDescent="0.25">
      <c r="A76" s="1408"/>
      <c r="B76" s="1420"/>
      <c r="C76" s="942" t="s">
        <v>150</v>
      </c>
      <c r="D76" s="942"/>
      <c r="E76" s="942"/>
      <c r="F76" s="1422"/>
      <c r="G76" s="1422"/>
      <c r="H76" s="1422"/>
      <c r="I76" s="2833"/>
      <c r="J76" s="2834"/>
      <c r="K76" s="2834"/>
      <c r="L76" s="2834"/>
      <c r="M76" s="2835"/>
    </row>
    <row r="77" spans="1:13" ht="15" x14ac:dyDescent="0.25">
      <c r="A77" s="1408"/>
      <c r="B77" s="1420"/>
      <c r="C77" s="942"/>
      <c r="D77" s="942"/>
      <c r="E77" s="942"/>
      <c r="F77" s="1422"/>
      <c r="G77" s="1422"/>
      <c r="H77" s="1422"/>
      <c r="I77" s="2833"/>
      <c r="J77" s="2834"/>
      <c r="K77" s="2834"/>
      <c r="L77" s="2834"/>
      <c r="M77" s="2835"/>
    </row>
    <row r="78" spans="1:13" ht="15" x14ac:dyDescent="0.25">
      <c r="A78" s="1408"/>
      <c r="B78" s="1420" t="s">
        <v>39</v>
      </c>
      <c r="C78" s="942"/>
      <c r="D78" s="942"/>
      <c r="E78" s="942"/>
      <c r="F78" s="1422"/>
      <c r="G78" s="1422"/>
      <c r="H78" s="1422"/>
      <c r="I78" s="2833"/>
      <c r="J78" s="2834"/>
      <c r="K78" s="2834"/>
      <c r="L78" s="2834"/>
      <c r="M78" s="2835"/>
    </row>
    <row r="79" spans="1:13" ht="15" x14ac:dyDescent="0.25">
      <c r="A79" s="1408"/>
      <c r="B79" s="1420" t="s">
        <v>39</v>
      </c>
      <c r="C79" s="942"/>
      <c r="D79" s="942"/>
      <c r="E79" s="942"/>
      <c r="F79" s="1422"/>
      <c r="G79" s="1422"/>
      <c r="H79" s="1422"/>
      <c r="I79" s="2833"/>
      <c r="J79" s="2834"/>
      <c r="K79" s="2834"/>
      <c r="L79" s="2834"/>
      <c r="M79" s="2835"/>
    </row>
    <row r="80" spans="1:13" ht="15" x14ac:dyDescent="0.25">
      <c r="A80" s="1408"/>
      <c r="B80" s="1420" t="s">
        <v>39</v>
      </c>
      <c r="C80" s="942"/>
      <c r="D80" s="942"/>
      <c r="E80" s="942"/>
      <c r="F80" s="1422"/>
      <c r="G80" s="1422"/>
      <c r="H80" s="1422"/>
      <c r="I80" s="2833"/>
      <c r="J80" s="2834"/>
      <c r="K80" s="2834"/>
      <c r="L80" s="2834"/>
      <c r="M80" s="2835"/>
    </row>
    <row r="81" spans="1:13" ht="15" x14ac:dyDescent="0.25">
      <c r="A81" s="1408"/>
      <c r="B81" s="1426" t="s">
        <v>39</v>
      </c>
      <c r="C81" s="1427"/>
      <c r="D81" s="1427"/>
      <c r="E81" s="1427"/>
      <c r="F81" s="1428"/>
      <c r="G81" s="1428"/>
      <c r="H81" s="1428"/>
      <c r="I81" s="2823"/>
      <c r="J81" s="2824"/>
      <c r="K81" s="2824"/>
      <c r="L81" s="2824"/>
      <c r="M81" s="2825"/>
    </row>
    <row r="82" spans="1:13" ht="15" x14ac:dyDescent="0.25">
      <c r="A82" s="1408"/>
      <c r="B82" s="1408"/>
      <c r="C82" s="1408"/>
      <c r="D82" s="1408"/>
      <c r="E82" s="1408"/>
      <c r="F82" s="1408"/>
      <c r="G82" s="1408"/>
      <c r="H82" s="1408"/>
      <c r="I82" s="1408"/>
      <c r="J82" s="1408"/>
      <c r="K82" s="1408"/>
      <c r="L82" s="1408"/>
      <c r="M82" s="1408"/>
    </row>
  </sheetData>
  <sheetProtection algorithmName="SHA-512" hashValue="4xnipUq+nIgfvxUcT6oaEqIDuZ0ZBaDnumnk0Fmbju/gvghF/DrL9/0fB+LU8rOnw5wJShnWpTQdRhVx0ldubw==" saltValue="5qCoxY3dwuDpyBj45WYY2g==" spinCount="100000" sheet="1" scenarios="1" formatCells="0" formatColumns="0" formatRows="0" autoFilter="0"/>
  <mergeCells count="67">
    <mergeCell ref="B2:M2"/>
    <mergeCell ref="I11:M11"/>
    <mergeCell ref="I13:M13"/>
    <mergeCell ref="I14:M14"/>
    <mergeCell ref="I15:M15"/>
    <mergeCell ref="I16:M16"/>
    <mergeCell ref="I17:M17"/>
    <mergeCell ref="I18:M18"/>
    <mergeCell ref="I19:M19"/>
    <mergeCell ref="I20:M20"/>
    <mergeCell ref="I23:M23"/>
    <mergeCell ref="I24:M24"/>
    <mergeCell ref="I25:M25"/>
    <mergeCell ref="I28:M28"/>
    <mergeCell ref="I29:M29"/>
    <mergeCell ref="I31:M31"/>
    <mergeCell ref="I32:M32"/>
    <mergeCell ref="I33:M33"/>
    <mergeCell ref="I36:M36"/>
    <mergeCell ref="I37:M37"/>
    <mergeCell ref="I38:M38"/>
    <mergeCell ref="I39:M39"/>
    <mergeCell ref="I40:M40"/>
    <mergeCell ref="I41:M41"/>
    <mergeCell ref="I42:M42"/>
    <mergeCell ref="I43:M43"/>
    <mergeCell ref="I44:M44"/>
    <mergeCell ref="I47:M47"/>
    <mergeCell ref="I48:M48"/>
    <mergeCell ref="I49:M49"/>
    <mergeCell ref="I50:M50"/>
    <mergeCell ref="I53:M53"/>
    <mergeCell ref="I54:M54"/>
    <mergeCell ref="I55:M55"/>
    <mergeCell ref="I56:M56"/>
    <mergeCell ref="I57:M57"/>
    <mergeCell ref="I58:M58"/>
    <mergeCell ref="I59:M59"/>
    <mergeCell ref="I60:M60"/>
    <mergeCell ref="I61:M61"/>
    <mergeCell ref="I62:M62"/>
    <mergeCell ref="I63:M63"/>
    <mergeCell ref="I73:M73"/>
    <mergeCell ref="I74:M74"/>
    <mergeCell ref="I75:M75"/>
    <mergeCell ref="I70:M70"/>
    <mergeCell ref="I76:M76"/>
    <mergeCell ref="I77:M77"/>
    <mergeCell ref="I78:M78"/>
    <mergeCell ref="I79:M79"/>
    <mergeCell ref="I80:M80"/>
    <mergeCell ref="I81:M81"/>
    <mergeCell ref="I10:M10"/>
    <mergeCell ref="I12:M12"/>
    <mergeCell ref="I22:M22"/>
    <mergeCell ref="I27:M27"/>
    <mergeCell ref="I30:M30"/>
    <mergeCell ref="I35:M35"/>
    <mergeCell ref="I46:M46"/>
    <mergeCell ref="I52:M52"/>
    <mergeCell ref="I72:M72"/>
    <mergeCell ref="I64:M64"/>
    <mergeCell ref="I65:M65"/>
    <mergeCell ref="I66:M66"/>
    <mergeCell ref="I67:M67"/>
    <mergeCell ref="I68:M68"/>
    <mergeCell ref="I69:M69"/>
  </mergeCells>
  <pageMargins left="0.7" right="0.7" top="0.75" bottom="0.75" header="0.3" footer="0.3"/>
  <pageSetup orientation="landscape"/>
  <headerFooter>
    <oddHeader>&amp;C&amp;"-,Bold"ESTIMATE BASIS - LINES</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40961" r:id="rId3" name="Check Box 1">
              <controlPr defaultSize="0" autoFill="0" autoLine="0" autoPict="0">
                <anchor moveWithCells="1" sizeWithCells="1">
                  <from>
                    <xdr:col>5</xdr:col>
                    <xdr:colOff>219075</xdr:colOff>
                    <xdr:row>9</xdr:row>
                    <xdr:rowOff>28575</xdr:rowOff>
                  </from>
                  <to>
                    <xdr:col>5</xdr:col>
                    <xdr:colOff>447675</xdr:colOff>
                    <xdr:row>10</xdr:row>
                    <xdr:rowOff>0</xdr:rowOff>
                  </to>
                </anchor>
              </controlPr>
            </control>
          </mc:Choice>
        </mc:AlternateContent>
        <mc:AlternateContent xmlns:mc="http://schemas.openxmlformats.org/markup-compatibility/2006">
          <mc:Choice Requires="x14">
            <control shapeId="40962" r:id="rId4" name="Check Box 2">
              <controlPr defaultSize="0" autoFill="0" autoLine="0" autoPict="0">
                <anchor moveWithCells="1" sizeWithCells="1">
                  <from>
                    <xdr:col>6</xdr:col>
                    <xdr:colOff>190500</xdr:colOff>
                    <xdr:row>9</xdr:row>
                    <xdr:rowOff>28575</xdr:rowOff>
                  </from>
                  <to>
                    <xdr:col>6</xdr:col>
                    <xdr:colOff>419100</xdr:colOff>
                    <xdr:row>10</xdr:row>
                    <xdr:rowOff>0</xdr:rowOff>
                  </to>
                </anchor>
              </controlPr>
            </control>
          </mc:Choice>
        </mc:AlternateContent>
        <mc:AlternateContent xmlns:mc="http://schemas.openxmlformats.org/markup-compatibility/2006">
          <mc:Choice Requires="x14">
            <control shapeId="40963" r:id="rId5" name="Check Box 3">
              <controlPr defaultSize="0" autoFill="0" autoLine="0" autoPict="0">
                <anchor moveWithCells="1" sizeWithCells="1">
                  <from>
                    <xdr:col>7</xdr:col>
                    <xdr:colOff>190500</xdr:colOff>
                    <xdr:row>9</xdr:row>
                    <xdr:rowOff>28575</xdr:rowOff>
                  </from>
                  <to>
                    <xdr:col>7</xdr:col>
                    <xdr:colOff>419100</xdr:colOff>
                    <xdr:row>10</xdr:row>
                    <xdr:rowOff>0</xdr:rowOff>
                  </to>
                </anchor>
              </controlPr>
            </control>
          </mc:Choice>
        </mc:AlternateContent>
        <mc:AlternateContent xmlns:mc="http://schemas.openxmlformats.org/markup-compatibility/2006">
          <mc:Choice Requires="x14">
            <control shapeId="40964" r:id="rId6" name="Check Box 4">
              <controlPr defaultSize="0" autoFill="0" autoLine="0" autoPict="0">
                <anchor moveWithCells="1" sizeWithCells="1">
                  <from>
                    <xdr:col>5</xdr:col>
                    <xdr:colOff>219075</xdr:colOff>
                    <xdr:row>11</xdr:row>
                    <xdr:rowOff>28575</xdr:rowOff>
                  </from>
                  <to>
                    <xdr:col>5</xdr:col>
                    <xdr:colOff>447675</xdr:colOff>
                    <xdr:row>12</xdr:row>
                    <xdr:rowOff>0</xdr:rowOff>
                  </to>
                </anchor>
              </controlPr>
            </control>
          </mc:Choice>
        </mc:AlternateContent>
        <mc:AlternateContent xmlns:mc="http://schemas.openxmlformats.org/markup-compatibility/2006">
          <mc:Choice Requires="x14">
            <control shapeId="40965" r:id="rId7" name="Check Box 5">
              <controlPr defaultSize="0" autoFill="0" autoLine="0" autoPict="0">
                <anchor moveWithCells="1" sizeWithCells="1">
                  <from>
                    <xdr:col>6</xdr:col>
                    <xdr:colOff>190500</xdr:colOff>
                    <xdr:row>11</xdr:row>
                    <xdr:rowOff>28575</xdr:rowOff>
                  </from>
                  <to>
                    <xdr:col>6</xdr:col>
                    <xdr:colOff>419100</xdr:colOff>
                    <xdr:row>12</xdr:row>
                    <xdr:rowOff>0</xdr:rowOff>
                  </to>
                </anchor>
              </controlPr>
            </control>
          </mc:Choice>
        </mc:AlternateContent>
        <mc:AlternateContent xmlns:mc="http://schemas.openxmlformats.org/markup-compatibility/2006">
          <mc:Choice Requires="x14">
            <control shapeId="40966" r:id="rId8" name="Check Box 6">
              <controlPr defaultSize="0" autoFill="0" autoLine="0" autoPict="0">
                <anchor moveWithCells="1" sizeWithCells="1">
                  <from>
                    <xdr:col>7</xdr:col>
                    <xdr:colOff>190500</xdr:colOff>
                    <xdr:row>11</xdr:row>
                    <xdr:rowOff>28575</xdr:rowOff>
                  </from>
                  <to>
                    <xdr:col>7</xdr:col>
                    <xdr:colOff>419100</xdr:colOff>
                    <xdr:row>12</xdr:row>
                    <xdr:rowOff>0</xdr:rowOff>
                  </to>
                </anchor>
              </controlPr>
            </control>
          </mc:Choice>
        </mc:AlternateContent>
        <mc:AlternateContent xmlns:mc="http://schemas.openxmlformats.org/markup-compatibility/2006">
          <mc:Choice Requires="x14">
            <control shapeId="40967" r:id="rId9" name="Check Box 7">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0968" r:id="rId10" name="Check Box 8">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0969" r:id="rId11" name="Check Box 9">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0970" r:id="rId12" name="Check Box 10">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0971" r:id="rId13" name="Check Box 11">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0972" r:id="rId14" name="Check Box 12">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0973" r:id="rId15" name="Check Box 13">
              <controlPr defaultSize="0" autoFill="0" autoLine="0" autoPict="0">
                <anchor moveWithCells="1" sizeWithCells="1">
                  <from>
                    <xdr:col>5</xdr:col>
                    <xdr:colOff>219075</xdr:colOff>
                    <xdr:row>12</xdr:row>
                    <xdr:rowOff>28575</xdr:rowOff>
                  </from>
                  <to>
                    <xdr:col>5</xdr:col>
                    <xdr:colOff>447675</xdr:colOff>
                    <xdr:row>13</xdr:row>
                    <xdr:rowOff>0</xdr:rowOff>
                  </to>
                </anchor>
              </controlPr>
            </control>
          </mc:Choice>
        </mc:AlternateContent>
        <mc:AlternateContent xmlns:mc="http://schemas.openxmlformats.org/markup-compatibility/2006">
          <mc:Choice Requires="x14">
            <control shapeId="40974" r:id="rId16" name="Check Box 14">
              <controlPr defaultSize="0" autoFill="0" autoLine="0" autoPict="0">
                <anchor moveWithCells="1" sizeWithCells="1">
                  <from>
                    <xdr:col>6</xdr:col>
                    <xdr:colOff>190500</xdr:colOff>
                    <xdr:row>12</xdr:row>
                    <xdr:rowOff>28575</xdr:rowOff>
                  </from>
                  <to>
                    <xdr:col>6</xdr:col>
                    <xdr:colOff>419100</xdr:colOff>
                    <xdr:row>13</xdr:row>
                    <xdr:rowOff>0</xdr:rowOff>
                  </to>
                </anchor>
              </controlPr>
            </control>
          </mc:Choice>
        </mc:AlternateContent>
        <mc:AlternateContent xmlns:mc="http://schemas.openxmlformats.org/markup-compatibility/2006">
          <mc:Choice Requires="x14">
            <control shapeId="40975" r:id="rId17" name="Check Box 15">
              <controlPr defaultSize="0" autoFill="0" autoLine="0" autoPict="0">
                <anchor moveWithCells="1" sizeWithCells="1">
                  <from>
                    <xdr:col>7</xdr:col>
                    <xdr:colOff>190500</xdr:colOff>
                    <xdr:row>12</xdr:row>
                    <xdr:rowOff>28575</xdr:rowOff>
                  </from>
                  <to>
                    <xdr:col>7</xdr:col>
                    <xdr:colOff>419100</xdr:colOff>
                    <xdr:row>13</xdr:row>
                    <xdr:rowOff>0</xdr:rowOff>
                  </to>
                </anchor>
              </controlPr>
            </control>
          </mc:Choice>
        </mc:AlternateContent>
        <mc:AlternateContent xmlns:mc="http://schemas.openxmlformats.org/markup-compatibility/2006">
          <mc:Choice Requires="x14">
            <control shapeId="40976" r:id="rId18" name="Check Box 16">
              <controlPr defaultSize="0" autoFill="0" autoLine="0" autoPict="0">
                <anchor moveWithCells="1" sizeWithCells="1">
                  <from>
                    <xdr:col>5</xdr:col>
                    <xdr:colOff>219075</xdr:colOff>
                    <xdr:row>13</xdr:row>
                    <xdr:rowOff>28575</xdr:rowOff>
                  </from>
                  <to>
                    <xdr:col>5</xdr:col>
                    <xdr:colOff>447675</xdr:colOff>
                    <xdr:row>14</xdr:row>
                    <xdr:rowOff>0</xdr:rowOff>
                  </to>
                </anchor>
              </controlPr>
            </control>
          </mc:Choice>
        </mc:AlternateContent>
        <mc:AlternateContent xmlns:mc="http://schemas.openxmlformats.org/markup-compatibility/2006">
          <mc:Choice Requires="x14">
            <control shapeId="40977" r:id="rId19" name="Check Box 17">
              <controlPr defaultSize="0" autoFill="0" autoLine="0" autoPict="0">
                <anchor moveWithCells="1" sizeWithCells="1">
                  <from>
                    <xdr:col>6</xdr:col>
                    <xdr:colOff>190500</xdr:colOff>
                    <xdr:row>13</xdr:row>
                    <xdr:rowOff>28575</xdr:rowOff>
                  </from>
                  <to>
                    <xdr:col>6</xdr:col>
                    <xdr:colOff>419100</xdr:colOff>
                    <xdr:row>14</xdr:row>
                    <xdr:rowOff>0</xdr:rowOff>
                  </to>
                </anchor>
              </controlPr>
            </control>
          </mc:Choice>
        </mc:AlternateContent>
        <mc:AlternateContent xmlns:mc="http://schemas.openxmlformats.org/markup-compatibility/2006">
          <mc:Choice Requires="x14">
            <control shapeId="40978" r:id="rId20" name="Check Box 18">
              <controlPr defaultSize="0" autoFill="0" autoLine="0" autoPict="0">
                <anchor moveWithCells="1" sizeWithCells="1">
                  <from>
                    <xdr:col>7</xdr:col>
                    <xdr:colOff>190500</xdr:colOff>
                    <xdr:row>13</xdr:row>
                    <xdr:rowOff>28575</xdr:rowOff>
                  </from>
                  <to>
                    <xdr:col>7</xdr:col>
                    <xdr:colOff>419100</xdr:colOff>
                    <xdr:row>14</xdr:row>
                    <xdr:rowOff>0</xdr:rowOff>
                  </to>
                </anchor>
              </controlPr>
            </control>
          </mc:Choice>
        </mc:AlternateContent>
        <mc:AlternateContent xmlns:mc="http://schemas.openxmlformats.org/markup-compatibility/2006">
          <mc:Choice Requires="x14">
            <control shapeId="40979" r:id="rId21" name="Check Box 19">
              <controlPr defaultSize="0" autoFill="0" autoLine="0" autoPict="0">
                <anchor moveWithCells="1" sizeWithCells="1">
                  <from>
                    <xdr:col>5</xdr:col>
                    <xdr:colOff>219075</xdr:colOff>
                    <xdr:row>14</xdr:row>
                    <xdr:rowOff>28575</xdr:rowOff>
                  </from>
                  <to>
                    <xdr:col>5</xdr:col>
                    <xdr:colOff>447675</xdr:colOff>
                    <xdr:row>15</xdr:row>
                    <xdr:rowOff>0</xdr:rowOff>
                  </to>
                </anchor>
              </controlPr>
            </control>
          </mc:Choice>
        </mc:AlternateContent>
        <mc:AlternateContent xmlns:mc="http://schemas.openxmlformats.org/markup-compatibility/2006">
          <mc:Choice Requires="x14">
            <control shapeId="40980" r:id="rId22" name="Check Box 20">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0981" r:id="rId23" name="Check Box 21">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0982" r:id="rId24" name="Check Box 22">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0983" r:id="rId25" name="Check Box 23">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0984" r:id="rId26" name="Check Box 24">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0985" r:id="rId27" name="Check Box 25">
              <controlPr defaultSize="0" autoFill="0" autoLine="0" autoPict="0">
                <anchor moveWithCells="1" sizeWithCells="1">
                  <from>
                    <xdr:col>5</xdr:col>
                    <xdr:colOff>219075</xdr:colOff>
                    <xdr:row>16</xdr:row>
                    <xdr:rowOff>28575</xdr:rowOff>
                  </from>
                  <to>
                    <xdr:col>5</xdr:col>
                    <xdr:colOff>447675</xdr:colOff>
                    <xdr:row>17</xdr:row>
                    <xdr:rowOff>0</xdr:rowOff>
                  </to>
                </anchor>
              </controlPr>
            </control>
          </mc:Choice>
        </mc:AlternateContent>
        <mc:AlternateContent xmlns:mc="http://schemas.openxmlformats.org/markup-compatibility/2006">
          <mc:Choice Requires="x14">
            <control shapeId="40986" r:id="rId28" name="Check Box 26">
              <controlPr defaultSize="0" autoFill="0" autoLine="0" autoPict="0">
                <anchor moveWithCells="1" sizeWithCells="1">
                  <from>
                    <xdr:col>6</xdr:col>
                    <xdr:colOff>190500</xdr:colOff>
                    <xdr:row>16</xdr:row>
                    <xdr:rowOff>28575</xdr:rowOff>
                  </from>
                  <to>
                    <xdr:col>6</xdr:col>
                    <xdr:colOff>419100</xdr:colOff>
                    <xdr:row>17</xdr:row>
                    <xdr:rowOff>0</xdr:rowOff>
                  </to>
                </anchor>
              </controlPr>
            </control>
          </mc:Choice>
        </mc:AlternateContent>
        <mc:AlternateContent xmlns:mc="http://schemas.openxmlformats.org/markup-compatibility/2006">
          <mc:Choice Requires="x14">
            <control shapeId="40987" r:id="rId29" name="Check Box 27">
              <controlPr defaultSize="0" autoFill="0" autoLine="0" autoPict="0">
                <anchor moveWithCells="1" sizeWithCells="1">
                  <from>
                    <xdr:col>7</xdr:col>
                    <xdr:colOff>190500</xdr:colOff>
                    <xdr:row>16</xdr:row>
                    <xdr:rowOff>28575</xdr:rowOff>
                  </from>
                  <to>
                    <xdr:col>7</xdr:col>
                    <xdr:colOff>419100</xdr:colOff>
                    <xdr:row>17</xdr:row>
                    <xdr:rowOff>0</xdr:rowOff>
                  </to>
                </anchor>
              </controlPr>
            </control>
          </mc:Choice>
        </mc:AlternateContent>
        <mc:AlternateContent xmlns:mc="http://schemas.openxmlformats.org/markup-compatibility/2006">
          <mc:Choice Requires="x14">
            <control shapeId="40988" r:id="rId30" name="Check Box 28">
              <controlPr defaultSize="0" autoFill="0" autoLine="0" autoPict="0">
                <anchor moveWithCells="1" sizeWithCells="1">
                  <from>
                    <xdr:col>5</xdr:col>
                    <xdr:colOff>219075</xdr:colOff>
                    <xdr:row>17</xdr:row>
                    <xdr:rowOff>28575</xdr:rowOff>
                  </from>
                  <to>
                    <xdr:col>5</xdr:col>
                    <xdr:colOff>447675</xdr:colOff>
                    <xdr:row>18</xdr:row>
                    <xdr:rowOff>0</xdr:rowOff>
                  </to>
                </anchor>
              </controlPr>
            </control>
          </mc:Choice>
        </mc:AlternateContent>
        <mc:AlternateContent xmlns:mc="http://schemas.openxmlformats.org/markup-compatibility/2006">
          <mc:Choice Requires="x14">
            <control shapeId="40989" r:id="rId31" name="Check Box 29">
              <controlPr defaultSize="0" autoFill="0" autoLine="0" autoPict="0">
                <anchor moveWithCells="1" sizeWithCells="1">
                  <from>
                    <xdr:col>6</xdr:col>
                    <xdr:colOff>190500</xdr:colOff>
                    <xdr:row>17</xdr:row>
                    <xdr:rowOff>28575</xdr:rowOff>
                  </from>
                  <to>
                    <xdr:col>6</xdr:col>
                    <xdr:colOff>419100</xdr:colOff>
                    <xdr:row>18</xdr:row>
                    <xdr:rowOff>0</xdr:rowOff>
                  </to>
                </anchor>
              </controlPr>
            </control>
          </mc:Choice>
        </mc:AlternateContent>
        <mc:AlternateContent xmlns:mc="http://schemas.openxmlformats.org/markup-compatibility/2006">
          <mc:Choice Requires="x14">
            <control shapeId="40990" r:id="rId32" name="Check Box 30">
              <controlPr defaultSize="0" autoFill="0" autoLine="0" autoPict="0">
                <anchor moveWithCells="1" sizeWithCells="1">
                  <from>
                    <xdr:col>7</xdr:col>
                    <xdr:colOff>190500</xdr:colOff>
                    <xdr:row>17</xdr:row>
                    <xdr:rowOff>28575</xdr:rowOff>
                  </from>
                  <to>
                    <xdr:col>7</xdr:col>
                    <xdr:colOff>419100</xdr:colOff>
                    <xdr:row>18</xdr:row>
                    <xdr:rowOff>0</xdr:rowOff>
                  </to>
                </anchor>
              </controlPr>
            </control>
          </mc:Choice>
        </mc:AlternateContent>
        <mc:AlternateContent xmlns:mc="http://schemas.openxmlformats.org/markup-compatibility/2006">
          <mc:Choice Requires="x14">
            <control shapeId="40991" r:id="rId33" name="Check Box 31">
              <controlPr defaultSize="0" autoFill="0" autoLine="0" autoPict="0">
                <anchor moveWithCells="1" sizeWithCells="1">
                  <from>
                    <xdr:col>5</xdr:col>
                    <xdr:colOff>219075</xdr:colOff>
                    <xdr:row>18</xdr:row>
                    <xdr:rowOff>28575</xdr:rowOff>
                  </from>
                  <to>
                    <xdr:col>5</xdr:col>
                    <xdr:colOff>447675</xdr:colOff>
                    <xdr:row>19</xdr:row>
                    <xdr:rowOff>0</xdr:rowOff>
                  </to>
                </anchor>
              </controlPr>
            </control>
          </mc:Choice>
        </mc:AlternateContent>
        <mc:AlternateContent xmlns:mc="http://schemas.openxmlformats.org/markup-compatibility/2006">
          <mc:Choice Requires="x14">
            <control shapeId="40992" r:id="rId34" name="Check Box 32">
              <controlPr defaultSize="0" autoFill="0" autoLine="0" autoPict="0">
                <anchor moveWithCells="1" sizeWithCells="1">
                  <from>
                    <xdr:col>6</xdr:col>
                    <xdr:colOff>190500</xdr:colOff>
                    <xdr:row>18</xdr:row>
                    <xdr:rowOff>28575</xdr:rowOff>
                  </from>
                  <to>
                    <xdr:col>6</xdr:col>
                    <xdr:colOff>419100</xdr:colOff>
                    <xdr:row>19</xdr:row>
                    <xdr:rowOff>0</xdr:rowOff>
                  </to>
                </anchor>
              </controlPr>
            </control>
          </mc:Choice>
        </mc:AlternateContent>
        <mc:AlternateContent xmlns:mc="http://schemas.openxmlformats.org/markup-compatibility/2006">
          <mc:Choice Requires="x14">
            <control shapeId="40993" r:id="rId35" name="Check Box 33">
              <controlPr defaultSize="0" autoFill="0" autoLine="0" autoPict="0">
                <anchor moveWithCells="1" sizeWithCells="1">
                  <from>
                    <xdr:col>7</xdr:col>
                    <xdr:colOff>190500</xdr:colOff>
                    <xdr:row>18</xdr:row>
                    <xdr:rowOff>28575</xdr:rowOff>
                  </from>
                  <to>
                    <xdr:col>7</xdr:col>
                    <xdr:colOff>419100</xdr:colOff>
                    <xdr:row>19</xdr:row>
                    <xdr:rowOff>0</xdr:rowOff>
                  </to>
                </anchor>
              </controlPr>
            </control>
          </mc:Choice>
        </mc:AlternateContent>
        <mc:AlternateContent xmlns:mc="http://schemas.openxmlformats.org/markup-compatibility/2006">
          <mc:Choice Requires="x14">
            <control shapeId="40994" r:id="rId36" name="Check Box 34">
              <controlPr defaultSize="0" autoFill="0" autoLine="0" autoPict="0">
                <anchor moveWithCells="1" sizeWithCells="1">
                  <from>
                    <xdr:col>5</xdr:col>
                    <xdr:colOff>219075</xdr:colOff>
                    <xdr:row>19</xdr:row>
                    <xdr:rowOff>28575</xdr:rowOff>
                  </from>
                  <to>
                    <xdr:col>5</xdr:col>
                    <xdr:colOff>447675</xdr:colOff>
                    <xdr:row>20</xdr:row>
                    <xdr:rowOff>0</xdr:rowOff>
                  </to>
                </anchor>
              </controlPr>
            </control>
          </mc:Choice>
        </mc:AlternateContent>
        <mc:AlternateContent xmlns:mc="http://schemas.openxmlformats.org/markup-compatibility/2006">
          <mc:Choice Requires="x14">
            <control shapeId="40995" r:id="rId37" name="Check Box 35">
              <controlPr defaultSize="0" autoFill="0" autoLine="0" autoPict="0">
                <anchor moveWithCells="1" sizeWithCells="1">
                  <from>
                    <xdr:col>6</xdr:col>
                    <xdr:colOff>190500</xdr:colOff>
                    <xdr:row>19</xdr:row>
                    <xdr:rowOff>28575</xdr:rowOff>
                  </from>
                  <to>
                    <xdr:col>6</xdr:col>
                    <xdr:colOff>419100</xdr:colOff>
                    <xdr:row>20</xdr:row>
                    <xdr:rowOff>0</xdr:rowOff>
                  </to>
                </anchor>
              </controlPr>
            </control>
          </mc:Choice>
        </mc:AlternateContent>
        <mc:AlternateContent xmlns:mc="http://schemas.openxmlformats.org/markup-compatibility/2006">
          <mc:Choice Requires="x14">
            <control shapeId="40996" r:id="rId38" name="Check Box 36">
              <controlPr defaultSize="0" autoFill="0" autoLine="0" autoPict="0">
                <anchor moveWithCells="1" sizeWithCells="1">
                  <from>
                    <xdr:col>7</xdr:col>
                    <xdr:colOff>190500</xdr:colOff>
                    <xdr:row>19</xdr:row>
                    <xdr:rowOff>28575</xdr:rowOff>
                  </from>
                  <to>
                    <xdr:col>7</xdr:col>
                    <xdr:colOff>419100</xdr:colOff>
                    <xdr:row>20</xdr:row>
                    <xdr:rowOff>0</xdr:rowOff>
                  </to>
                </anchor>
              </controlPr>
            </control>
          </mc:Choice>
        </mc:AlternateContent>
        <mc:AlternateContent xmlns:mc="http://schemas.openxmlformats.org/markup-compatibility/2006">
          <mc:Choice Requires="x14">
            <control shapeId="40997" r:id="rId39" name="Check Box 37">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0998" r:id="rId40" name="Check Box 38">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0999" r:id="rId41" name="Check Box 39">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1000" r:id="rId42" name="Check Box 40">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1001" r:id="rId43" name="Check Box 41">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1002" r:id="rId44" name="Check Box 42">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1003" r:id="rId45" name="Check Box 43">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1004" r:id="rId46" name="Check Box 44">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1005" r:id="rId47" name="Check Box 45">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1006" r:id="rId48" name="Check Box 46">
              <controlPr defaultSize="0" autoFill="0" autoLine="0" autoPict="0">
                <anchor moveWithCells="1" sizeWithCells="1">
                  <from>
                    <xdr:col>5</xdr:col>
                    <xdr:colOff>219075</xdr:colOff>
                    <xdr:row>23</xdr:row>
                    <xdr:rowOff>28575</xdr:rowOff>
                  </from>
                  <to>
                    <xdr:col>5</xdr:col>
                    <xdr:colOff>447675</xdr:colOff>
                    <xdr:row>24</xdr:row>
                    <xdr:rowOff>0</xdr:rowOff>
                  </to>
                </anchor>
              </controlPr>
            </control>
          </mc:Choice>
        </mc:AlternateContent>
        <mc:AlternateContent xmlns:mc="http://schemas.openxmlformats.org/markup-compatibility/2006">
          <mc:Choice Requires="x14">
            <control shapeId="41007" r:id="rId49" name="Check Box 47">
              <controlPr defaultSize="0" autoFill="0" autoLine="0" autoPict="0">
                <anchor moveWithCells="1" sizeWithCells="1">
                  <from>
                    <xdr:col>6</xdr:col>
                    <xdr:colOff>190500</xdr:colOff>
                    <xdr:row>23</xdr:row>
                    <xdr:rowOff>28575</xdr:rowOff>
                  </from>
                  <to>
                    <xdr:col>6</xdr:col>
                    <xdr:colOff>419100</xdr:colOff>
                    <xdr:row>24</xdr:row>
                    <xdr:rowOff>0</xdr:rowOff>
                  </to>
                </anchor>
              </controlPr>
            </control>
          </mc:Choice>
        </mc:AlternateContent>
        <mc:AlternateContent xmlns:mc="http://schemas.openxmlformats.org/markup-compatibility/2006">
          <mc:Choice Requires="x14">
            <control shapeId="41008" r:id="rId50" name="Check Box 48">
              <controlPr defaultSize="0" autoFill="0" autoLine="0" autoPict="0">
                <anchor moveWithCells="1" sizeWithCells="1">
                  <from>
                    <xdr:col>7</xdr:col>
                    <xdr:colOff>190500</xdr:colOff>
                    <xdr:row>23</xdr:row>
                    <xdr:rowOff>28575</xdr:rowOff>
                  </from>
                  <to>
                    <xdr:col>7</xdr:col>
                    <xdr:colOff>419100</xdr:colOff>
                    <xdr:row>24</xdr:row>
                    <xdr:rowOff>0</xdr:rowOff>
                  </to>
                </anchor>
              </controlPr>
            </control>
          </mc:Choice>
        </mc:AlternateContent>
        <mc:AlternateContent xmlns:mc="http://schemas.openxmlformats.org/markup-compatibility/2006">
          <mc:Choice Requires="x14">
            <control shapeId="41009" r:id="rId51" name="Check Box 49">
              <controlPr defaultSize="0" autoFill="0" autoLine="0" autoPict="0">
                <anchor moveWithCells="1" sizeWithCells="1">
                  <from>
                    <xdr:col>5</xdr:col>
                    <xdr:colOff>219075</xdr:colOff>
                    <xdr:row>23</xdr:row>
                    <xdr:rowOff>28575</xdr:rowOff>
                  </from>
                  <to>
                    <xdr:col>5</xdr:col>
                    <xdr:colOff>447675</xdr:colOff>
                    <xdr:row>24</xdr:row>
                    <xdr:rowOff>0</xdr:rowOff>
                  </to>
                </anchor>
              </controlPr>
            </control>
          </mc:Choice>
        </mc:AlternateContent>
        <mc:AlternateContent xmlns:mc="http://schemas.openxmlformats.org/markup-compatibility/2006">
          <mc:Choice Requires="x14">
            <control shapeId="41010" r:id="rId52" name="Check Box 50">
              <controlPr defaultSize="0" autoFill="0" autoLine="0" autoPict="0">
                <anchor moveWithCells="1" sizeWithCells="1">
                  <from>
                    <xdr:col>6</xdr:col>
                    <xdr:colOff>190500</xdr:colOff>
                    <xdr:row>23</xdr:row>
                    <xdr:rowOff>28575</xdr:rowOff>
                  </from>
                  <to>
                    <xdr:col>6</xdr:col>
                    <xdr:colOff>419100</xdr:colOff>
                    <xdr:row>24</xdr:row>
                    <xdr:rowOff>0</xdr:rowOff>
                  </to>
                </anchor>
              </controlPr>
            </control>
          </mc:Choice>
        </mc:AlternateContent>
        <mc:AlternateContent xmlns:mc="http://schemas.openxmlformats.org/markup-compatibility/2006">
          <mc:Choice Requires="x14">
            <control shapeId="41011" r:id="rId53" name="Check Box 51">
              <controlPr defaultSize="0" autoFill="0" autoLine="0" autoPict="0">
                <anchor moveWithCells="1" sizeWithCells="1">
                  <from>
                    <xdr:col>7</xdr:col>
                    <xdr:colOff>190500</xdr:colOff>
                    <xdr:row>23</xdr:row>
                    <xdr:rowOff>28575</xdr:rowOff>
                  </from>
                  <to>
                    <xdr:col>7</xdr:col>
                    <xdr:colOff>419100</xdr:colOff>
                    <xdr:row>24</xdr:row>
                    <xdr:rowOff>0</xdr:rowOff>
                  </to>
                </anchor>
              </controlPr>
            </control>
          </mc:Choice>
        </mc:AlternateContent>
        <mc:AlternateContent xmlns:mc="http://schemas.openxmlformats.org/markup-compatibility/2006">
          <mc:Choice Requires="x14">
            <control shapeId="41012" r:id="rId54" name="Check Box 52">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1013" r:id="rId55" name="Check Box 53">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1014" r:id="rId56" name="Check Box 54">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1015" r:id="rId57" name="Check Box 55">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1016" r:id="rId58" name="Check Box 56">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1017" r:id="rId59" name="Check Box 57">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1018" r:id="rId60" name="Check Box 58">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019" r:id="rId61" name="Check Box 59">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020" r:id="rId62" name="Check Box 60">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021" r:id="rId63" name="Check Box 61">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022" r:id="rId64" name="Check Box 62">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023" r:id="rId65" name="Check Box 63">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024" r:id="rId66" name="Check Box 64">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1025" r:id="rId67" name="Check Box 65">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1026" r:id="rId68" name="Check Box 66">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1027" r:id="rId69" name="Check Box 67">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1028" r:id="rId70" name="Check Box 68">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1029" r:id="rId71" name="Check Box 69">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1030" r:id="rId72" name="Check Box 70">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1031" r:id="rId73" name="Check Box 71">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1032" r:id="rId74" name="Check Box 72">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1033" r:id="rId75" name="Check Box 73">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1034" r:id="rId76" name="Check Box 74">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1035" r:id="rId77" name="Check Box 75">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1036" r:id="rId78" name="Check Box 76">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1037" r:id="rId79" name="Check Box 77">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1038" r:id="rId80" name="Check Box 78">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1039" r:id="rId81" name="Check Box 79">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1040" r:id="rId82" name="Check Box 80">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1041" r:id="rId83" name="Check Box 81">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1042" r:id="rId84" name="Check Box 82">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1043" r:id="rId85" name="Check Box 83">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1044" r:id="rId86" name="Check Box 84">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1045" r:id="rId87" name="Check Box 85">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1046" r:id="rId88" name="Check Box 86">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1047" r:id="rId89" name="Check Box 87">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1048" r:id="rId90" name="Check Box 88">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1049" r:id="rId91" name="Check Box 89">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1050" r:id="rId92" name="Check Box 90">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1051" r:id="rId93" name="Check Box 91">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1052" r:id="rId94" name="Check Box 92">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1053" r:id="rId95" name="Check Box 93">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1054" r:id="rId96" name="Check Box 94">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1055" r:id="rId97" name="Check Box 95">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1056" r:id="rId98" name="Check Box 96">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1057" r:id="rId99" name="Check Box 97">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1058" r:id="rId100" name="Check Box 98">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1059" r:id="rId101" name="Check Box 99">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1060" r:id="rId102" name="Check Box 100">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1061" r:id="rId103" name="Check Box 101">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1062" r:id="rId104" name="Check Box 102">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1063" r:id="rId105" name="Check Box 103">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1064" r:id="rId106" name="Check Box 104">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1065" r:id="rId107" name="Check Box 105">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1066" r:id="rId108" name="Check Box 106">
              <controlPr defaultSize="0" autoFill="0" autoLine="0" autoPict="0">
                <anchor moveWithCells="1" sizeWithCells="1">
                  <from>
                    <xdr:col>5</xdr:col>
                    <xdr:colOff>219075</xdr:colOff>
                    <xdr:row>38</xdr:row>
                    <xdr:rowOff>28575</xdr:rowOff>
                  </from>
                  <to>
                    <xdr:col>5</xdr:col>
                    <xdr:colOff>447675</xdr:colOff>
                    <xdr:row>39</xdr:row>
                    <xdr:rowOff>0</xdr:rowOff>
                  </to>
                </anchor>
              </controlPr>
            </control>
          </mc:Choice>
        </mc:AlternateContent>
        <mc:AlternateContent xmlns:mc="http://schemas.openxmlformats.org/markup-compatibility/2006">
          <mc:Choice Requires="x14">
            <control shapeId="41067" r:id="rId109" name="Check Box 107">
              <controlPr defaultSize="0" autoFill="0" autoLine="0" autoPict="0">
                <anchor moveWithCells="1" sizeWithCells="1">
                  <from>
                    <xdr:col>6</xdr:col>
                    <xdr:colOff>190500</xdr:colOff>
                    <xdr:row>38</xdr:row>
                    <xdr:rowOff>28575</xdr:rowOff>
                  </from>
                  <to>
                    <xdr:col>6</xdr:col>
                    <xdr:colOff>419100</xdr:colOff>
                    <xdr:row>39</xdr:row>
                    <xdr:rowOff>0</xdr:rowOff>
                  </to>
                </anchor>
              </controlPr>
            </control>
          </mc:Choice>
        </mc:AlternateContent>
        <mc:AlternateContent xmlns:mc="http://schemas.openxmlformats.org/markup-compatibility/2006">
          <mc:Choice Requires="x14">
            <control shapeId="41068" r:id="rId110" name="Check Box 108">
              <controlPr defaultSize="0" autoFill="0" autoLine="0" autoPict="0">
                <anchor moveWithCells="1" sizeWithCells="1">
                  <from>
                    <xdr:col>7</xdr:col>
                    <xdr:colOff>190500</xdr:colOff>
                    <xdr:row>38</xdr:row>
                    <xdr:rowOff>28575</xdr:rowOff>
                  </from>
                  <to>
                    <xdr:col>7</xdr:col>
                    <xdr:colOff>419100</xdr:colOff>
                    <xdr:row>39</xdr:row>
                    <xdr:rowOff>0</xdr:rowOff>
                  </to>
                </anchor>
              </controlPr>
            </control>
          </mc:Choice>
        </mc:AlternateContent>
        <mc:AlternateContent xmlns:mc="http://schemas.openxmlformats.org/markup-compatibility/2006">
          <mc:Choice Requires="x14">
            <control shapeId="41069" r:id="rId111" name="Check Box 109">
              <controlPr defaultSize="0" autoFill="0" autoLine="0" autoPict="0">
                <anchor moveWithCells="1" sizeWithCells="1">
                  <from>
                    <xdr:col>5</xdr:col>
                    <xdr:colOff>219075</xdr:colOff>
                    <xdr:row>38</xdr:row>
                    <xdr:rowOff>28575</xdr:rowOff>
                  </from>
                  <to>
                    <xdr:col>5</xdr:col>
                    <xdr:colOff>447675</xdr:colOff>
                    <xdr:row>39</xdr:row>
                    <xdr:rowOff>0</xdr:rowOff>
                  </to>
                </anchor>
              </controlPr>
            </control>
          </mc:Choice>
        </mc:AlternateContent>
        <mc:AlternateContent xmlns:mc="http://schemas.openxmlformats.org/markup-compatibility/2006">
          <mc:Choice Requires="x14">
            <control shapeId="41070" r:id="rId112" name="Check Box 110">
              <controlPr defaultSize="0" autoFill="0" autoLine="0" autoPict="0">
                <anchor moveWithCells="1" sizeWithCells="1">
                  <from>
                    <xdr:col>6</xdr:col>
                    <xdr:colOff>190500</xdr:colOff>
                    <xdr:row>38</xdr:row>
                    <xdr:rowOff>28575</xdr:rowOff>
                  </from>
                  <to>
                    <xdr:col>6</xdr:col>
                    <xdr:colOff>419100</xdr:colOff>
                    <xdr:row>39</xdr:row>
                    <xdr:rowOff>0</xdr:rowOff>
                  </to>
                </anchor>
              </controlPr>
            </control>
          </mc:Choice>
        </mc:AlternateContent>
        <mc:AlternateContent xmlns:mc="http://schemas.openxmlformats.org/markup-compatibility/2006">
          <mc:Choice Requires="x14">
            <control shapeId="41071" r:id="rId113" name="Check Box 111">
              <controlPr defaultSize="0" autoFill="0" autoLine="0" autoPict="0">
                <anchor moveWithCells="1" sizeWithCells="1">
                  <from>
                    <xdr:col>7</xdr:col>
                    <xdr:colOff>190500</xdr:colOff>
                    <xdr:row>38</xdr:row>
                    <xdr:rowOff>28575</xdr:rowOff>
                  </from>
                  <to>
                    <xdr:col>7</xdr:col>
                    <xdr:colOff>419100</xdr:colOff>
                    <xdr:row>39</xdr:row>
                    <xdr:rowOff>0</xdr:rowOff>
                  </to>
                </anchor>
              </controlPr>
            </control>
          </mc:Choice>
        </mc:AlternateContent>
        <mc:AlternateContent xmlns:mc="http://schemas.openxmlformats.org/markup-compatibility/2006">
          <mc:Choice Requires="x14">
            <control shapeId="41072" r:id="rId114" name="Check Box 112">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1073" r:id="rId115" name="Check Box 113">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1074" r:id="rId116" name="Check Box 114">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1075" r:id="rId117" name="Check Box 115">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1076" r:id="rId118" name="Check Box 116">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1077" r:id="rId119" name="Check Box 117">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1078" r:id="rId120" name="Check Box 118">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1079" r:id="rId121" name="Check Box 119">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1080" r:id="rId122" name="Check Box 120">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1081" r:id="rId123" name="Check Box 121">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1082" r:id="rId124" name="Check Box 122">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1083" r:id="rId125" name="Check Box 123">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1084" r:id="rId126" name="Check Box 124">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1085" r:id="rId127" name="Check Box 125">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1086" r:id="rId128" name="Check Box 126">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1087" r:id="rId129" name="Check Box 127">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1088" r:id="rId130" name="Check Box 128">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1089" r:id="rId131" name="Check Box 129">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1090" r:id="rId132" name="Check Box 130">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1091" r:id="rId133" name="Check Box 131">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1092" r:id="rId134" name="Check Box 132">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1093" r:id="rId135" name="Check Box 133">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1094" r:id="rId136" name="Check Box 134">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1095" r:id="rId137" name="Check Box 135">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1096" r:id="rId138" name="Check Box 136">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1097" r:id="rId139" name="Check Box 137">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1098" r:id="rId140" name="Check Box 138">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1099" r:id="rId141" name="Check Box 139">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1100" r:id="rId142" name="Check Box 140">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1101" r:id="rId143" name="Check Box 141">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1102" r:id="rId144" name="Check Box 142">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1103" r:id="rId145" name="Check Box 143">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1104" r:id="rId146" name="Check Box 144">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1105" r:id="rId147" name="Check Box 145">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1106" r:id="rId148" name="Check Box 146">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1107" r:id="rId149" name="Check Box 147">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1108" r:id="rId150" name="Check Box 148">
              <controlPr defaultSize="0" autoFill="0" autoLine="0" autoPict="0">
                <anchor moveWithCells="1" sizeWithCells="1">
                  <from>
                    <xdr:col>5</xdr:col>
                    <xdr:colOff>219075</xdr:colOff>
                    <xdr:row>23</xdr:row>
                    <xdr:rowOff>28575</xdr:rowOff>
                  </from>
                  <to>
                    <xdr:col>5</xdr:col>
                    <xdr:colOff>447675</xdr:colOff>
                    <xdr:row>24</xdr:row>
                    <xdr:rowOff>0</xdr:rowOff>
                  </to>
                </anchor>
              </controlPr>
            </control>
          </mc:Choice>
        </mc:AlternateContent>
        <mc:AlternateContent xmlns:mc="http://schemas.openxmlformats.org/markup-compatibility/2006">
          <mc:Choice Requires="x14">
            <control shapeId="41109" r:id="rId151" name="Check Box 149">
              <controlPr defaultSize="0" autoFill="0" autoLine="0" autoPict="0">
                <anchor moveWithCells="1" sizeWithCells="1">
                  <from>
                    <xdr:col>6</xdr:col>
                    <xdr:colOff>190500</xdr:colOff>
                    <xdr:row>23</xdr:row>
                    <xdr:rowOff>28575</xdr:rowOff>
                  </from>
                  <to>
                    <xdr:col>6</xdr:col>
                    <xdr:colOff>419100</xdr:colOff>
                    <xdr:row>24</xdr:row>
                    <xdr:rowOff>0</xdr:rowOff>
                  </to>
                </anchor>
              </controlPr>
            </control>
          </mc:Choice>
        </mc:AlternateContent>
        <mc:AlternateContent xmlns:mc="http://schemas.openxmlformats.org/markup-compatibility/2006">
          <mc:Choice Requires="x14">
            <control shapeId="41110" r:id="rId152" name="Check Box 150">
              <controlPr defaultSize="0" autoFill="0" autoLine="0" autoPict="0">
                <anchor moveWithCells="1" sizeWithCells="1">
                  <from>
                    <xdr:col>7</xdr:col>
                    <xdr:colOff>190500</xdr:colOff>
                    <xdr:row>23</xdr:row>
                    <xdr:rowOff>28575</xdr:rowOff>
                  </from>
                  <to>
                    <xdr:col>7</xdr:col>
                    <xdr:colOff>419100</xdr:colOff>
                    <xdr:row>24</xdr:row>
                    <xdr:rowOff>0</xdr:rowOff>
                  </to>
                </anchor>
              </controlPr>
            </control>
          </mc:Choice>
        </mc:AlternateContent>
        <mc:AlternateContent xmlns:mc="http://schemas.openxmlformats.org/markup-compatibility/2006">
          <mc:Choice Requires="x14">
            <control shapeId="41111" r:id="rId153" name="Check Box 151">
              <controlPr defaultSize="0" autoFill="0" autoLine="0" autoPict="0">
                <anchor moveWithCells="1" sizeWithCells="1">
                  <from>
                    <xdr:col>5</xdr:col>
                    <xdr:colOff>219075</xdr:colOff>
                    <xdr:row>23</xdr:row>
                    <xdr:rowOff>28575</xdr:rowOff>
                  </from>
                  <to>
                    <xdr:col>5</xdr:col>
                    <xdr:colOff>447675</xdr:colOff>
                    <xdr:row>24</xdr:row>
                    <xdr:rowOff>0</xdr:rowOff>
                  </to>
                </anchor>
              </controlPr>
            </control>
          </mc:Choice>
        </mc:AlternateContent>
        <mc:AlternateContent xmlns:mc="http://schemas.openxmlformats.org/markup-compatibility/2006">
          <mc:Choice Requires="x14">
            <control shapeId="41112" r:id="rId154" name="Check Box 152">
              <controlPr defaultSize="0" autoFill="0" autoLine="0" autoPict="0">
                <anchor moveWithCells="1" sizeWithCells="1">
                  <from>
                    <xdr:col>6</xdr:col>
                    <xdr:colOff>190500</xdr:colOff>
                    <xdr:row>23</xdr:row>
                    <xdr:rowOff>28575</xdr:rowOff>
                  </from>
                  <to>
                    <xdr:col>6</xdr:col>
                    <xdr:colOff>419100</xdr:colOff>
                    <xdr:row>24</xdr:row>
                    <xdr:rowOff>0</xdr:rowOff>
                  </to>
                </anchor>
              </controlPr>
            </control>
          </mc:Choice>
        </mc:AlternateContent>
        <mc:AlternateContent xmlns:mc="http://schemas.openxmlformats.org/markup-compatibility/2006">
          <mc:Choice Requires="x14">
            <control shapeId="41113" r:id="rId155" name="Check Box 153">
              <controlPr defaultSize="0" autoFill="0" autoLine="0" autoPict="0">
                <anchor moveWithCells="1" sizeWithCells="1">
                  <from>
                    <xdr:col>7</xdr:col>
                    <xdr:colOff>190500</xdr:colOff>
                    <xdr:row>23</xdr:row>
                    <xdr:rowOff>28575</xdr:rowOff>
                  </from>
                  <to>
                    <xdr:col>7</xdr:col>
                    <xdr:colOff>419100</xdr:colOff>
                    <xdr:row>24</xdr:row>
                    <xdr:rowOff>0</xdr:rowOff>
                  </to>
                </anchor>
              </controlPr>
            </control>
          </mc:Choice>
        </mc:AlternateContent>
        <mc:AlternateContent xmlns:mc="http://schemas.openxmlformats.org/markup-compatibility/2006">
          <mc:Choice Requires="x14">
            <control shapeId="41114" r:id="rId156" name="Check Box 154">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1115" r:id="rId157" name="Check Box 155">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1116" r:id="rId158" name="Check Box 156">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1117" r:id="rId159" name="Check Box 157">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1118" r:id="rId160" name="Check Box 158">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1119" r:id="rId161" name="Check Box 159">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1120" r:id="rId162" name="Check Box 160">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121" r:id="rId163" name="Check Box 161">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122" r:id="rId164" name="Check Box 162">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123" r:id="rId165" name="Check Box 163">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124" r:id="rId166" name="Check Box 164">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125" r:id="rId167" name="Check Box 165">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126" r:id="rId168" name="Check Box 166">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1127" r:id="rId169" name="Check Box 167">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1128" r:id="rId170" name="Check Box 168">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1129" r:id="rId171" name="Check Box 169">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1130" r:id="rId172" name="Check Box 170">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1131" r:id="rId173" name="Check Box 171">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1132" r:id="rId174" name="Check Box 172">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1133" r:id="rId175" name="Check Box 173">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1134" r:id="rId176" name="Check Box 174">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1135" r:id="rId177" name="Check Box 175">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1136" r:id="rId178" name="Check Box 176">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1137" r:id="rId179" name="Check Box 177">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1138" r:id="rId180" name="Check Box 178">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1139" r:id="rId181" name="Check Box 179">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1140" r:id="rId182" name="Check Box 180">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1141" r:id="rId183" name="Check Box 181">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1142" r:id="rId184" name="Check Box 182">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1143" r:id="rId185" name="Check Box 183">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1144" r:id="rId186" name="Check Box 184">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1145" r:id="rId187" name="Check Box 185">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1146" r:id="rId188" name="Check Box 186">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1147" r:id="rId189" name="Check Box 187">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1148" r:id="rId190" name="Check Box 188">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1149" r:id="rId191" name="Check Box 189">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1150" r:id="rId192" name="Check Box 190">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1151" r:id="rId193" name="Check Box 191">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1152" r:id="rId194" name="Check Box 192">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1153" r:id="rId195" name="Check Box 193">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1154" r:id="rId196" name="Check Box 194">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1155" r:id="rId197" name="Check Box 195">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1156" r:id="rId198" name="Check Box 196">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1157" r:id="rId199" name="Check Box 197">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1158" r:id="rId200" name="Check Box 198">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1159" r:id="rId201" name="Check Box 199">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1160" r:id="rId202" name="Check Box 200">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1161" r:id="rId203" name="Check Box 201">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1162" r:id="rId204" name="Check Box 202">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1163" r:id="rId205" name="Check Box 203">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1164" r:id="rId206" name="Check Box 204">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1165" r:id="rId207" name="Check Box 205">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1166" r:id="rId208" name="Check Box 206">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1167" r:id="rId209" name="Check Box 207">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1168" r:id="rId210" name="Check Box 208">
              <controlPr defaultSize="0" autoFill="0" autoLine="0" autoPict="0">
                <anchor moveWithCells="1" sizeWithCells="1">
                  <from>
                    <xdr:col>5</xdr:col>
                    <xdr:colOff>219075</xdr:colOff>
                    <xdr:row>38</xdr:row>
                    <xdr:rowOff>28575</xdr:rowOff>
                  </from>
                  <to>
                    <xdr:col>5</xdr:col>
                    <xdr:colOff>447675</xdr:colOff>
                    <xdr:row>39</xdr:row>
                    <xdr:rowOff>0</xdr:rowOff>
                  </to>
                </anchor>
              </controlPr>
            </control>
          </mc:Choice>
        </mc:AlternateContent>
        <mc:AlternateContent xmlns:mc="http://schemas.openxmlformats.org/markup-compatibility/2006">
          <mc:Choice Requires="x14">
            <control shapeId="41169" r:id="rId211" name="Check Box 209">
              <controlPr defaultSize="0" autoFill="0" autoLine="0" autoPict="0">
                <anchor moveWithCells="1" sizeWithCells="1">
                  <from>
                    <xdr:col>6</xdr:col>
                    <xdr:colOff>190500</xdr:colOff>
                    <xdr:row>38</xdr:row>
                    <xdr:rowOff>28575</xdr:rowOff>
                  </from>
                  <to>
                    <xdr:col>6</xdr:col>
                    <xdr:colOff>419100</xdr:colOff>
                    <xdr:row>39</xdr:row>
                    <xdr:rowOff>0</xdr:rowOff>
                  </to>
                </anchor>
              </controlPr>
            </control>
          </mc:Choice>
        </mc:AlternateContent>
        <mc:AlternateContent xmlns:mc="http://schemas.openxmlformats.org/markup-compatibility/2006">
          <mc:Choice Requires="x14">
            <control shapeId="41170" r:id="rId212" name="Check Box 210">
              <controlPr defaultSize="0" autoFill="0" autoLine="0" autoPict="0">
                <anchor moveWithCells="1" sizeWithCells="1">
                  <from>
                    <xdr:col>7</xdr:col>
                    <xdr:colOff>190500</xdr:colOff>
                    <xdr:row>38</xdr:row>
                    <xdr:rowOff>28575</xdr:rowOff>
                  </from>
                  <to>
                    <xdr:col>7</xdr:col>
                    <xdr:colOff>419100</xdr:colOff>
                    <xdr:row>39</xdr:row>
                    <xdr:rowOff>0</xdr:rowOff>
                  </to>
                </anchor>
              </controlPr>
            </control>
          </mc:Choice>
        </mc:AlternateContent>
        <mc:AlternateContent xmlns:mc="http://schemas.openxmlformats.org/markup-compatibility/2006">
          <mc:Choice Requires="x14">
            <control shapeId="41171" r:id="rId213" name="Check Box 211">
              <controlPr defaultSize="0" autoFill="0" autoLine="0" autoPict="0">
                <anchor moveWithCells="1" sizeWithCells="1">
                  <from>
                    <xdr:col>5</xdr:col>
                    <xdr:colOff>219075</xdr:colOff>
                    <xdr:row>38</xdr:row>
                    <xdr:rowOff>28575</xdr:rowOff>
                  </from>
                  <to>
                    <xdr:col>5</xdr:col>
                    <xdr:colOff>447675</xdr:colOff>
                    <xdr:row>39</xdr:row>
                    <xdr:rowOff>0</xdr:rowOff>
                  </to>
                </anchor>
              </controlPr>
            </control>
          </mc:Choice>
        </mc:AlternateContent>
        <mc:AlternateContent xmlns:mc="http://schemas.openxmlformats.org/markup-compatibility/2006">
          <mc:Choice Requires="x14">
            <control shapeId="41172" r:id="rId214" name="Check Box 212">
              <controlPr defaultSize="0" autoFill="0" autoLine="0" autoPict="0">
                <anchor moveWithCells="1" sizeWithCells="1">
                  <from>
                    <xdr:col>6</xdr:col>
                    <xdr:colOff>190500</xdr:colOff>
                    <xdr:row>38</xdr:row>
                    <xdr:rowOff>28575</xdr:rowOff>
                  </from>
                  <to>
                    <xdr:col>6</xdr:col>
                    <xdr:colOff>419100</xdr:colOff>
                    <xdr:row>39</xdr:row>
                    <xdr:rowOff>0</xdr:rowOff>
                  </to>
                </anchor>
              </controlPr>
            </control>
          </mc:Choice>
        </mc:AlternateContent>
        <mc:AlternateContent xmlns:mc="http://schemas.openxmlformats.org/markup-compatibility/2006">
          <mc:Choice Requires="x14">
            <control shapeId="41173" r:id="rId215" name="Check Box 213">
              <controlPr defaultSize="0" autoFill="0" autoLine="0" autoPict="0">
                <anchor moveWithCells="1" sizeWithCells="1">
                  <from>
                    <xdr:col>7</xdr:col>
                    <xdr:colOff>190500</xdr:colOff>
                    <xdr:row>38</xdr:row>
                    <xdr:rowOff>28575</xdr:rowOff>
                  </from>
                  <to>
                    <xdr:col>7</xdr:col>
                    <xdr:colOff>419100</xdr:colOff>
                    <xdr:row>39</xdr:row>
                    <xdr:rowOff>0</xdr:rowOff>
                  </to>
                </anchor>
              </controlPr>
            </control>
          </mc:Choice>
        </mc:AlternateContent>
        <mc:AlternateContent xmlns:mc="http://schemas.openxmlformats.org/markup-compatibility/2006">
          <mc:Choice Requires="x14">
            <control shapeId="41174" r:id="rId216" name="Check Box 214">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1175" r:id="rId217" name="Check Box 215">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1176" r:id="rId218" name="Check Box 216">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1177" r:id="rId219" name="Check Box 217">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1178" r:id="rId220" name="Check Box 218">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1179" r:id="rId221" name="Check Box 219">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1180" r:id="rId222" name="Check Box 220">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1181" r:id="rId223" name="Check Box 221">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1182" r:id="rId224" name="Check Box 222">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1183" r:id="rId225" name="Check Box 223">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1184" r:id="rId226" name="Check Box 224">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1185" r:id="rId227" name="Check Box 225">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1186" r:id="rId228" name="Check Box 226">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1187" r:id="rId229" name="Check Box 227">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1188" r:id="rId230" name="Check Box 228">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1189" r:id="rId231" name="Check Box 229">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1190" r:id="rId232" name="Check Box 230">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1191" r:id="rId233" name="Check Box 231">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1192" r:id="rId234" name="Check Box 232">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1193" r:id="rId235" name="Check Box 233">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1194" r:id="rId236" name="Check Box 234">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1195" r:id="rId237" name="Check Box 235">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1196" r:id="rId238" name="Check Box 236">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1197" r:id="rId239" name="Check Box 237">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1198" r:id="rId240" name="Check Box 238">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1199" r:id="rId241" name="Check Box 239">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1200" r:id="rId242" name="Check Box 240">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1201" r:id="rId243" name="Check Box 241">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1202" r:id="rId244" name="Check Box 242">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1203" r:id="rId245" name="Check Box 243">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1204" r:id="rId246" name="Check Box 244">
              <controlPr defaultSize="0" autoFill="0" autoLine="0" autoPict="0">
                <anchor moveWithCells="1" sizeWithCells="1">
                  <from>
                    <xdr:col>5</xdr:col>
                    <xdr:colOff>219075</xdr:colOff>
                    <xdr:row>46</xdr:row>
                    <xdr:rowOff>28575</xdr:rowOff>
                  </from>
                  <to>
                    <xdr:col>5</xdr:col>
                    <xdr:colOff>447675</xdr:colOff>
                    <xdr:row>47</xdr:row>
                    <xdr:rowOff>0</xdr:rowOff>
                  </to>
                </anchor>
              </controlPr>
            </control>
          </mc:Choice>
        </mc:AlternateContent>
        <mc:AlternateContent xmlns:mc="http://schemas.openxmlformats.org/markup-compatibility/2006">
          <mc:Choice Requires="x14">
            <control shapeId="41205" r:id="rId247" name="Check Box 245">
              <controlPr defaultSize="0" autoFill="0" autoLine="0" autoPict="0">
                <anchor moveWithCells="1" sizeWithCells="1">
                  <from>
                    <xdr:col>6</xdr:col>
                    <xdr:colOff>190500</xdr:colOff>
                    <xdr:row>46</xdr:row>
                    <xdr:rowOff>28575</xdr:rowOff>
                  </from>
                  <to>
                    <xdr:col>6</xdr:col>
                    <xdr:colOff>419100</xdr:colOff>
                    <xdr:row>47</xdr:row>
                    <xdr:rowOff>0</xdr:rowOff>
                  </to>
                </anchor>
              </controlPr>
            </control>
          </mc:Choice>
        </mc:AlternateContent>
        <mc:AlternateContent xmlns:mc="http://schemas.openxmlformats.org/markup-compatibility/2006">
          <mc:Choice Requires="x14">
            <control shapeId="41206" r:id="rId248" name="Check Box 246">
              <controlPr defaultSize="0" autoFill="0" autoLine="0" autoPict="0">
                <anchor moveWithCells="1" sizeWithCells="1">
                  <from>
                    <xdr:col>7</xdr:col>
                    <xdr:colOff>190500</xdr:colOff>
                    <xdr:row>46</xdr:row>
                    <xdr:rowOff>28575</xdr:rowOff>
                  </from>
                  <to>
                    <xdr:col>7</xdr:col>
                    <xdr:colOff>419100</xdr:colOff>
                    <xdr:row>47</xdr:row>
                    <xdr:rowOff>0</xdr:rowOff>
                  </to>
                </anchor>
              </controlPr>
            </control>
          </mc:Choice>
        </mc:AlternateContent>
        <mc:AlternateContent xmlns:mc="http://schemas.openxmlformats.org/markup-compatibility/2006">
          <mc:Choice Requires="x14">
            <control shapeId="41207" r:id="rId249" name="Check Box 247">
              <controlPr defaultSize="0" autoFill="0" autoLine="0" autoPict="0">
                <anchor moveWithCells="1" sizeWithCells="1">
                  <from>
                    <xdr:col>5</xdr:col>
                    <xdr:colOff>219075</xdr:colOff>
                    <xdr:row>46</xdr:row>
                    <xdr:rowOff>28575</xdr:rowOff>
                  </from>
                  <to>
                    <xdr:col>5</xdr:col>
                    <xdr:colOff>447675</xdr:colOff>
                    <xdr:row>47</xdr:row>
                    <xdr:rowOff>0</xdr:rowOff>
                  </to>
                </anchor>
              </controlPr>
            </control>
          </mc:Choice>
        </mc:AlternateContent>
        <mc:AlternateContent xmlns:mc="http://schemas.openxmlformats.org/markup-compatibility/2006">
          <mc:Choice Requires="x14">
            <control shapeId="41208" r:id="rId250" name="Check Box 248">
              <controlPr defaultSize="0" autoFill="0" autoLine="0" autoPict="0">
                <anchor moveWithCells="1" sizeWithCells="1">
                  <from>
                    <xdr:col>6</xdr:col>
                    <xdr:colOff>190500</xdr:colOff>
                    <xdr:row>46</xdr:row>
                    <xdr:rowOff>28575</xdr:rowOff>
                  </from>
                  <to>
                    <xdr:col>6</xdr:col>
                    <xdr:colOff>419100</xdr:colOff>
                    <xdr:row>47</xdr:row>
                    <xdr:rowOff>0</xdr:rowOff>
                  </to>
                </anchor>
              </controlPr>
            </control>
          </mc:Choice>
        </mc:AlternateContent>
        <mc:AlternateContent xmlns:mc="http://schemas.openxmlformats.org/markup-compatibility/2006">
          <mc:Choice Requires="x14">
            <control shapeId="41209" r:id="rId251" name="Check Box 249">
              <controlPr defaultSize="0" autoFill="0" autoLine="0" autoPict="0">
                <anchor moveWithCells="1" sizeWithCells="1">
                  <from>
                    <xdr:col>7</xdr:col>
                    <xdr:colOff>190500</xdr:colOff>
                    <xdr:row>46</xdr:row>
                    <xdr:rowOff>28575</xdr:rowOff>
                  </from>
                  <to>
                    <xdr:col>7</xdr:col>
                    <xdr:colOff>419100</xdr:colOff>
                    <xdr:row>47</xdr:row>
                    <xdr:rowOff>0</xdr:rowOff>
                  </to>
                </anchor>
              </controlPr>
            </control>
          </mc:Choice>
        </mc:AlternateContent>
        <mc:AlternateContent xmlns:mc="http://schemas.openxmlformats.org/markup-compatibility/2006">
          <mc:Choice Requires="x14">
            <control shapeId="41210" r:id="rId252" name="Check Box 250">
              <controlPr defaultSize="0" autoFill="0" autoLine="0" autoPict="0">
                <anchor moveWithCells="1" sizeWithCells="1">
                  <from>
                    <xdr:col>5</xdr:col>
                    <xdr:colOff>219075</xdr:colOff>
                    <xdr:row>47</xdr:row>
                    <xdr:rowOff>28575</xdr:rowOff>
                  </from>
                  <to>
                    <xdr:col>5</xdr:col>
                    <xdr:colOff>447675</xdr:colOff>
                    <xdr:row>48</xdr:row>
                    <xdr:rowOff>0</xdr:rowOff>
                  </to>
                </anchor>
              </controlPr>
            </control>
          </mc:Choice>
        </mc:AlternateContent>
        <mc:AlternateContent xmlns:mc="http://schemas.openxmlformats.org/markup-compatibility/2006">
          <mc:Choice Requires="x14">
            <control shapeId="41211" r:id="rId253" name="Check Box 251">
              <controlPr defaultSize="0" autoFill="0" autoLine="0" autoPict="0">
                <anchor moveWithCells="1" sizeWithCells="1">
                  <from>
                    <xdr:col>6</xdr:col>
                    <xdr:colOff>190500</xdr:colOff>
                    <xdr:row>47</xdr:row>
                    <xdr:rowOff>28575</xdr:rowOff>
                  </from>
                  <to>
                    <xdr:col>6</xdr:col>
                    <xdr:colOff>419100</xdr:colOff>
                    <xdr:row>48</xdr:row>
                    <xdr:rowOff>0</xdr:rowOff>
                  </to>
                </anchor>
              </controlPr>
            </control>
          </mc:Choice>
        </mc:AlternateContent>
        <mc:AlternateContent xmlns:mc="http://schemas.openxmlformats.org/markup-compatibility/2006">
          <mc:Choice Requires="x14">
            <control shapeId="41212" r:id="rId254" name="Check Box 252">
              <controlPr defaultSize="0" autoFill="0" autoLine="0" autoPict="0">
                <anchor moveWithCells="1" sizeWithCells="1">
                  <from>
                    <xdr:col>7</xdr:col>
                    <xdr:colOff>190500</xdr:colOff>
                    <xdr:row>47</xdr:row>
                    <xdr:rowOff>28575</xdr:rowOff>
                  </from>
                  <to>
                    <xdr:col>7</xdr:col>
                    <xdr:colOff>419100</xdr:colOff>
                    <xdr:row>48</xdr:row>
                    <xdr:rowOff>0</xdr:rowOff>
                  </to>
                </anchor>
              </controlPr>
            </control>
          </mc:Choice>
        </mc:AlternateContent>
        <mc:AlternateContent xmlns:mc="http://schemas.openxmlformats.org/markup-compatibility/2006">
          <mc:Choice Requires="x14">
            <control shapeId="41213" r:id="rId255" name="Check Box 253">
              <controlPr defaultSize="0" autoFill="0" autoLine="0" autoPict="0">
                <anchor moveWithCells="1" sizeWithCells="1">
                  <from>
                    <xdr:col>5</xdr:col>
                    <xdr:colOff>219075</xdr:colOff>
                    <xdr:row>47</xdr:row>
                    <xdr:rowOff>28575</xdr:rowOff>
                  </from>
                  <to>
                    <xdr:col>5</xdr:col>
                    <xdr:colOff>447675</xdr:colOff>
                    <xdr:row>48</xdr:row>
                    <xdr:rowOff>0</xdr:rowOff>
                  </to>
                </anchor>
              </controlPr>
            </control>
          </mc:Choice>
        </mc:AlternateContent>
        <mc:AlternateContent xmlns:mc="http://schemas.openxmlformats.org/markup-compatibility/2006">
          <mc:Choice Requires="x14">
            <control shapeId="41214" r:id="rId256" name="Check Box 254">
              <controlPr defaultSize="0" autoFill="0" autoLine="0" autoPict="0">
                <anchor moveWithCells="1" sizeWithCells="1">
                  <from>
                    <xdr:col>6</xdr:col>
                    <xdr:colOff>190500</xdr:colOff>
                    <xdr:row>47</xdr:row>
                    <xdr:rowOff>28575</xdr:rowOff>
                  </from>
                  <to>
                    <xdr:col>6</xdr:col>
                    <xdr:colOff>419100</xdr:colOff>
                    <xdr:row>48</xdr:row>
                    <xdr:rowOff>0</xdr:rowOff>
                  </to>
                </anchor>
              </controlPr>
            </control>
          </mc:Choice>
        </mc:AlternateContent>
        <mc:AlternateContent xmlns:mc="http://schemas.openxmlformats.org/markup-compatibility/2006">
          <mc:Choice Requires="x14">
            <control shapeId="41215" r:id="rId257" name="Check Box 255">
              <controlPr defaultSize="0" autoFill="0" autoLine="0" autoPict="0">
                <anchor moveWithCells="1" sizeWithCells="1">
                  <from>
                    <xdr:col>7</xdr:col>
                    <xdr:colOff>190500</xdr:colOff>
                    <xdr:row>47</xdr:row>
                    <xdr:rowOff>28575</xdr:rowOff>
                  </from>
                  <to>
                    <xdr:col>7</xdr:col>
                    <xdr:colOff>419100</xdr:colOff>
                    <xdr:row>48</xdr:row>
                    <xdr:rowOff>0</xdr:rowOff>
                  </to>
                </anchor>
              </controlPr>
            </control>
          </mc:Choice>
        </mc:AlternateContent>
        <mc:AlternateContent xmlns:mc="http://schemas.openxmlformats.org/markup-compatibility/2006">
          <mc:Choice Requires="x14">
            <control shapeId="41216" r:id="rId258" name="Check Box 256">
              <controlPr defaultSize="0" autoFill="0" autoLine="0" autoPict="0">
                <anchor moveWithCells="1" sizeWithCells="1">
                  <from>
                    <xdr:col>5</xdr:col>
                    <xdr:colOff>219075</xdr:colOff>
                    <xdr:row>48</xdr:row>
                    <xdr:rowOff>28575</xdr:rowOff>
                  </from>
                  <to>
                    <xdr:col>5</xdr:col>
                    <xdr:colOff>447675</xdr:colOff>
                    <xdr:row>49</xdr:row>
                    <xdr:rowOff>0</xdr:rowOff>
                  </to>
                </anchor>
              </controlPr>
            </control>
          </mc:Choice>
        </mc:AlternateContent>
        <mc:AlternateContent xmlns:mc="http://schemas.openxmlformats.org/markup-compatibility/2006">
          <mc:Choice Requires="x14">
            <control shapeId="41217" r:id="rId259" name="Check Box 257">
              <controlPr defaultSize="0" autoFill="0" autoLine="0" autoPict="0">
                <anchor moveWithCells="1" sizeWithCells="1">
                  <from>
                    <xdr:col>6</xdr:col>
                    <xdr:colOff>190500</xdr:colOff>
                    <xdr:row>48</xdr:row>
                    <xdr:rowOff>28575</xdr:rowOff>
                  </from>
                  <to>
                    <xdr:col>6</xdr:col>
                    <xdr:colOff>419100</xdr:colOff>
                    <xdr:row>49</xdr:row>
                    <xdr:rowOff>0</xdr:rowOff>
                  </to>
                </anchor>
              </controlPr>
            </control>
          </mc:Choice>
        </mc:AlternateContent>
        <mc:AlternateContent xmlns:mc="http://schemas.openxmlformats.org/markup-compatibility/2006">
          <mc:Choice Requires="x14">
            <control shapeId="41218" r:id="rId260" name="Check Box 258">
              <controlPr defaultSize="0" autoFill="0" autoLine="0" autoPict="0">
                <anchor moveWithCells="1" sizeWithCells="1">
                  <from>
                    <xdr:col>7</xdr:col>
                    <xdr:colOff>190500</xdr:colOff>
                    <xdr:row>48</xdr:row>
                    <xdr:rowOff>28575</xdr:rowOff>
                  </from>
                  <to>
                    <xdr:col>7</xdr:col>
                    <xdr:colOff>419100</xdr:colOff>
                    <xdr:row>49</xdr:row>
                    <xdr:rowOff>0</xdr:rowOff>
                  </to>
                </anchor>
              </controlPr>
            </control>
          </mc:Choice>
        </mc:AlternateContent>
        <mc:AlternateContent xmlns:mc="http://schemas.openxmlformats.org/markup-compatibility/2006">
          <mc:Choice Requires="x14">
            <control shapeId="41219" r:id="rId261" name="Check Box 259">
              <controlPr defaultSize="0" autoFill="0" autoLine="0" autoPict="0">
                <anchor moveWithCells="1" sizeWithCells="1">
                  <from>
                    <xdr:col>5</xdr:col>
                    <xdr:colOff>219075</xdr:colOff>
                    <xdr:row>48</xdr:row>
                    <xdr:rowOff>28575</xdr:rowOff>
                  </from>
                  <to>
                    <xdr:col>5</xdr:col>
                    <xdr:colOff>447675</xdr:colOff>
                    <xdr:row>49</xdr:row>
                    <xdr:rowOff>0</xdr:rowOff>
                  </to>
                </anchor>
              </controlPr>
            </control>
          </mc:Choice>
        </mc:AlternateContent>
        <mc:AlternateContent xmlns:mc="http://schemas.openxmlformats.org/markup-compatibility/2006">
          <mc:Choice Requires="x14">
            <control shapeId="41220" r:id="rId262" name="Check Box 260">
              <controlPr defaultSize="0" autoFill="0" autoLine="0" autoPict="0">
                <anchor moveWithCells="1" sizeWithCells="1">
                  <from>
                    <xdr:col>6</xdr:col>
                    <xdr:colOff>190500</xdr:colOff>
                    <xdr:row>48</xdr:row>
                    <xdr:rowOff>28575</xdr:rowOff>
                  </from>
                  <to>
                    <xdr:col>6</xdr:col>
                    <xdr:colOff>419100</xdr:colOff>
                    <xdr:row>49</xdr:row>
                    <xdr:rowOff>0</xdr:rowOff>
                  </to>
                </anchor>
              </controlPr>
            </control>
          </mc:Choice>
        </mc:AlternateContent>
        <mc:AlternateContent xmlns:mc="http://schemas.openxmlformats.org/markup-compatibility/2006">
          <mc:Choice Requires="x14">
            <control shapeId="41221" r:id="rId263" name="Check Box 261">
              <controlPr defaultSize="0" autoFill="0" autoLine="0" autoPict="0">
                <anchor moveWithCells="1" sizeWithCells="1">
                  <from>
                    <xdr:col>7</xdr:col>
                    <xdr:colOff>190500</xdr:colOff>
                    <xdr:row>48</xdr:row>
                    <xdr:rowOff>28575</xdr:rowOff>
                  </from>
                  <to>
                    <xdr:col>7</xdr:col>
                    <xdr:colOff>419100</xdr:colOff>
                    <xdr:row>49</xdr:row>
                    <xdr:rowOff>0</xdr:rowOff>
                  </to>
                </anchor>
              </controlPr>
            </control>
          </mc:Choice>
        </mc:AlternateContent>
        <mc:AlternateContent xmlns:mc="http://schemas.openxmlformats.org/markup-compatibility/2006">
          <mc:Choice Requires="x14">
            <control shapeId="41222" r:id="rId264" name="Check Box 262">
              <controlPr defaultSize="0" autoFill="0" autoLine="0" autoPict="0">
                <anchor moveWithCells="1" sizeWithCells="1">
                  <from>
                    <xdr:col>5</xdr:col>
                    <xdr:colOff>219075</xdr:colOff>
                    <xdr:row>49</xdr:row>
                    <xdr:rowOff>28575</xdr:rowOff>
                  </from>
                  <to>
                    <xdr:col>5</xdr:col>
                    <xdr:colOff>447675</xdr:colOff>
                    <xdr:row>50</xdr:row>
                    <xdr:rowOff>0</xdr:rowOff>
                  </to>
                </anchor>
              </controlPr>
            </control>
          </mc:Choice>
        </mc:AlternateContent>
        <mc:AlternateContent xmlns:mc="http://schemas.openxmlformats.org/markup-compatibility/2006">
          <mc:Choice Requires="x14">
            <control shapeId="41223" r:id="rId265" name="Check Box 263">
              <controlPr defaultSize="0" autoFill="0" autoLine="0" autoPict="0">
                <anchor moveWithCells="1" sizeWithCells="1">
                  <from>
                    <xdr:col>6</xdr:col>
                    <xdr:colOff>190500</xdr:colOff>
                    <xdr:row>49</xdr:row>
                    <xdr:rowOff>28575</xdr:rowOff>
                  </from>
                  <to>
                    <xdr:col>6</xdr:col>
                    <xdr:colOff>419100</xdr:colOff>
                    <xdr:row>50</xdr:row>
                    <xdr:rowOff>0</xdr:rowOff>
                  </to>
                </anchor>
              </controlPr>
            </control>
          </mc:Choice>
        </mc:AlternateContent>
        <mc:AlternateContent xmlns:mc="http://schemas.openxmlformats.org/markup-compatibility/2006">
          <mc:Choice Requires="x14">
            <control shapeId="41224" r:id="rId266" name="Check Box 264">
              <controlPr defaultSize="0" autoFill="0" autoLine="0" autoPict="0">
                <anchor moveWithCells="1" sizeWithCells="1">
                  <from>
                    <xdr:col>7</xdr:col>
                    <xdr:colOff>190500</xdr:colOff>
                    <xdr:row>49</xdr:row>
                    <xdr:rowOff>28575</xdr:rowOff>
                  </from>
                  <to>
                    <xdr:col>7</xdr:col>
                    <xdr:colOff>419100</xdr:colOff>
                    <xdr:row>50</xdr:row>
                    <xdr:rowOff>0</xdr:rowOff>
                  </to>
                </anchor>
              </controlPr>
            </control>
          </mc:Choice>
        </mc:AlternateContent>
        <mc:AlternateContent xmlns:mc="http://schemas.openxmlformats.org/markup-compatibility/2006">
          <mc:Choice Requires="x14">
            <control shapeId="41225" r:id="rId267" name="Check Box 265">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1226" r:id="rId268" name="Check Box 266">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1227" r:id="rId269" name="Check Box 267">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1228" r:id="rId270" name="Check Box 268">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1229" r:id="rId271" name="Check Box 269">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1230" r:id="rId272" name="Check Box 270">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1231" r:id="rId273" name="Check Box 271">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1232" r:id="rId274" name="Check Box 272">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1233" r:id="rId275" name="Check Box 273">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1234" r:id="rId276" name="Check Box 274">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1235" r:id="rId277" name="Check Box 275">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1236" r:id="rId278" name="Check Box 276">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1237" r:id="rId279" name="Check Box 277">
              <controlPr defaultSize="0" autoFill="0" autoLine="0" autoPict="0">
                <anchor moveWithCells="1" sizeWithCells="1">
                  <from>
                    <xdr:col>5</xdr:col>
                    <xdr:colOff>219075</xdr:colOff>
                    <xdr:row>49</xdr:row>
                    <xdr:rowOff>28575</xdr:rowOff>
                  </from>
                  <to>
                    <xdr:col>5</xdr:col>
                    <xdr:colOff>447675</xdr:colOff>
                    <xdr:row>50</xdr:row>
                    <xdr:rowOff>0</xdr:rowOff>
                  </to>
                </anchor>
              </controlPr>
            </control>
          </mc:Choice>
        </mc:AlternateContent>
        <mc:AlternateContent xmlns:mc="http://schemas.openxmlformats.org/markup-compatibility/2006">
          <mc:Choice Requires="x14">
            <control shapeId="41238" r:id="rId280" name="Check Box 278">
              <controlPr defaultSize="0" autoFill="0" autoLine="0" autoPict="0">
                <anchor moveWithCells="1" sizeWithCells="1">
                  <from>
                    <xdr:col>6</xdr:col>
                    <xdr:colOff>190500</xdr:colOff>
                    <xdr:row>49</xdr:row>
                    <xdr:rowOff>28575</xdr:rowOff>
                  </from>
                  <to>
                    <xdr:col>6</xdr:col>
                    <xdr:colOff>419100</xdr:colOff>
                    <xdr:row>50</xdr:row>
                    <xdr:rowOff>0</xdr:rowOff>
                  </to>
                </anchor>
              </controlPr>
            </control>
          </mc:Choice>
        </mc:AlternateContent>
        <mc:AlternateContent xmlns:mc="http://schemas.openxmlformats.org/markup-compatibility/2006">
          <mc:Choice Requires="x14">
            <control shapeId="41239" r:id="rId281" name="Check Box 279">
              <controlPr defaultSize="0" autoFill="0" autoLine="0" autoPict="0">
                <anchor moveWithCells="1" sizeWithCells="1">
                  <from>
                    <xdr:col>7</xdr:col>
                    <xdr:colOff>190500</xdr:colOff>
                    <xdr:row>49</xdr:row>
                    <xdr:rowOff>28575</xdr:rowOff>
                  </from>
                  <to>
                    <xdr:col>7</xdr:col>
                    <xdr:colOff>419100</xdr:colOff>
                    <xdr:row>50</xdr:row>
                    <xdr:rowOff>0</xdr:rowOff>
                  </to>
                </anchor>
              </controlPr>
            </control>
          </mc:Choice>
        </mc:AlternateContent>
        <mc:AlternateContent xmlns:mc="http://schemas.openxmlformats.org/markup-compatibility/2006">
          <mc:Choice Requires="x14">
            <control shapeId="41240" r:id="rId282" name="Check Box 280">
              <controlPr defaultSize="0" autoFill="0" autoLine="0" autoPict="0">
                <anchor moveWithCells="1" sizeWithCells="1">
                  <from>
                    <xdr:col>5</xdr:col>
                    <xdr:colOff>219075</xdr:colOff>
                    <xdr:row>49</xdr:row>
                    <xdr:rowOff>28575</xdr:rowOff>
                  </from>
                  <to>
                    <xdr:col>5</xdr:col>
                    <xdr:colOff>447675</xdr:colOff>
                    <xdr:row>50</xdr:row>
                    <xdr:rowOff>0</xdr:rowOff>
                  </to>
                </anchor>
              </controlPr>
            </control>
          </mc:Choice>
        </mc:AlternateContent>
        <mc:AlternateContent xmlns:mc="http://schemas.openxmlformats.org/markup-compatibility/2006">
          <mc:Choice Requires="x14">
            <control shapeId="41241" r:id="rId283" name="Check Box 281">
              <controlPr defaultSize="0" autoFill="0" autoLine="0" autoPict="0">
                <anchor moveWithCells="1" sizeWithCells="1">
                  <from>
                    <xdr:col>6</xdr:col>
                    <xdr:colOff>190500</xdr:colOff>
                    <xdr:row>49</xdr:row>
                    <xdr:rowOff>28575</xdr:rowOff>
                  </from>
                  <to>
                    <xdr:col>6</xdr:col>
                    <xdr:colOff>419100</xdr:colOff>
                    <xdr:row>50</xdr:row>
                    <xdr:rowOff>0</xdr:rowOff>
                  </to>
                </anchor>
              </controlPr>
            </control>
          </mc:Choice>
        </mc:AlternateContent>
        <mc:AlternateContent xmlns:mc="http://schemas.openxmlformats.org/markup-compatibility/2006">
          <mc:Choice Requires="x14">
            <control shapeId="41242" r:id="rId284" name="Check Box 282">
              <controlPr defaultSize="0" autoFill="0" autoLine="0" autoPict="0">
                <anchor moveWithCells="1" sizeWithCells="1">
                  <from>
                    <xdr:col>7</xdr:col>
                    <xdr:colOff>190500</xdr:colOff>
                    <xdr:row>49</xdr:row>
                    <xdr:rowOff>28575</xdr:rowOff>
                  </from>
                  <to>
                    <xdr:col>7</xdr:col>
                    <xdr:colOff>419100</xdr:colOff>
                    <xdr:row>50</xdr:row>
                    <xdr:rowOff>0</xdr:rowOff>
                  </to>
                </anchor>
              </controlPr>
            </control>
          </mc:Choice>
        </mc:AlternateContent>
        <mc:AlternateContent xmlns:mc="http://schemas.openxmlformats.org/markup-compatibility/2006">
          <mc:Choice Requires="x14">
            <control shapeId="41243" r:id="rId285" name="Check Box 283">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1244" r:id="rId286" name="Check Box 284">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1245" r:id="rId287" name="Check Box 285">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1246" r:id="rId288" name="Check Box 286">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1247" r:id="rId289" name="Check Box 287">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1248" r:id="rId290" name="Check Box 288">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1249" r:id="rId291" name="Check Box 289">
              <controlPr defaultSize="0" autoFill="0" autoLine="0" autoPict="0">
                <anchor moveWithCells="1" sizeWithCells="1">
                  <from>
                    <xdr:col>5</xdr:col>
                    <xdr:colOff>219075</xdr:colOff>
                    <xdr:row>19</xdr:row>
                    <xdr:rowOff>28575</xdr:rowOff>
                  </from>
                  <to>
                    <xdr:col>5</xdr:col>
                    <xdr:colOff>447675</xdr:colOff>
                    <xdr:row>20</xdr:row>
                    <xdr:rowOff>0</xdr:rowOff>
                  </to>
                </anchor>
              </controlPr>
            </control>
          </mc:Choice>
        </mc:AlternateContent>
        <mc:AlternateContent xmlns:mc="http://schemas.openxmlformats.org/markup-compatibility/2006">
          <mc:Choice Requires="x14">
            <control shapeId="41250" r:id="rId292" name="Check Box 290">
              <controlPr defaultSize="0" autoFill="0" autoLine="0" autoPict="0">
                <anchor moveWithCells="1" sizeWithCells="1">
                  <from>
                    <xdr:col>6</xdr:col>
                    <xdr:colOff>190500</xdr:colOff>
                    <xdr:row>19</xdr:row>
                    <xdr:rowOff>28575</xdr:rowOff>
                  </from>
                  <to>
                    <xdr:col>6</xdr:col>
                    <xdr:colOff>419100</xdr:colOff>
                    <xdr:row>20</xdr:row>
                    <xdr:rowOff>0</xdr:rowOff>
                  </to>
                </anchor>
              </controlPr>
            </control>
          </mc:Choice>
        </mc:AlternateContent>
        <mc:AlternateContent xmlns:mc="http://schemas.openxmlformats.org/markup-compatibility/2006">
          <mc:Choice Requires="x14">
            <control shapeId="41251" r:id="rId293" name="Check Box 291">
              <controlPr defaultSize="0" autoFill="0" autoLine="0" autoPict="0">
                <anchor moveWithCells="1" sizeWithCells="1">
                  <from>
                    <xdr:col>7</xdr:col>
                    <xdr:colOff>190500</xdr:colOff>
                    <xdr:row>19</xdr:row>
                    <xdr:rowOff>28575</xdr:rowOff>
                  </from>
                  <to>
                    <xdr:col>7</xdr:col>
                    <xdr:colOff>419100</xdr:colOff>
                    <xdr:row>20</xdr:row>
                    <xdr:rowOff>0</xdr:rowOff>
                  </to>
                </anchor>
              </controlPr>
            </control>
          </mc:Choice>
        </mc:AlternateContent>
        <mc:AlternateContent xmlns:mc="http://schemas.openxmlformats.org/markup-compatibility/2006">
          <mc:Choice Requires="x14">
            <control shapeId="41252" r:id="rId294" name="Check Box 292">
              <controlPr defaultSize="0" autoFill="0" autoLine="0" autoPict="0">
                <anchor moveWithCells="1" sizeWithCells="1">
                  <from>
                    <xdr:col>5</xdr:col>
                    <xdr:colOff>219075</xdr:colOff>
                    <xdr:row>19</xdr:row>
                    <xdr:rowOff>28575</xdr:rowOff>
                  </from>
                  <to>
                    <xdr:col>5</xdr:col>
                    <xdr:colOff>447675</xdr:colOff>
                    <xdr:row>20</xdr:row>
                    <xdr:rowOff>0</xdr:rowOff>
                  </to>
                </anchor>
              </controlPr>
            </control>
          </mc:Choice>
        </mc:AlternateContent>
        <mc:AlternateContent xmlns:mc="http://schemas.openxmlformats.org/markup-compatibility/2006">
          <mc:Choice Requires="x14">
            <control shapeId="41253" r:id="rId295" name="Check Box 293">
              <controlPr defaultSize="0" autoFill="0" autoLine="0" autoPict="0">
                <anchor moveWithCells="1" sizeWithCells="1">
                  <from>
                    <xdr:col>6</xdr:col>
                    <xdr:colOff>190500</xdr:colOff>
                    <xdr:row>19</xdr:row>
                    <xdr:rowOff>28575</xdr:rowOff>
                  </from>
                  <to>
                    <xdr:col>6</xdr:col>
                    <xdr:colOff>419100</xdr:colOff>
                    <xdr:row>20</xdr:row>
                    <xdr:rowOff>0</xdr:rowOff>
                  </to>
                </anchor>
              </controlPr>
            </control>
          </mc:Choice>
        </mc:AlternateContent>
        <mc:AlternateContent xmlns:mc="http://schemas.openxmlformats.org/markup-compatibility/2006">
          <mc:Choice Requires="x14">
            <control shapeId="41254" r:id="rId296" name="Check Box 294">
              <controlPr defaultSize="0" autoFill="0" autoLine="0" autoPict="0">
                <anchor moveWithCells="1" sizeWithCells="1">
                  <from>
                    <xdr:col>7</xdr:col>
                    <xdr:colOff>190500</xdr:colOff>
                    <xdr:row>19</xdr:row>
                    <xdr:rowOff>28575</xdr:rowOff>
                  </from>
                  <to>
                    <xdr:col>7</xdr:col>
                    <xdr:colOff>419100</xdr:colOff>
                    <xdr:row>20</xdr:row>
                    <xdr:rowOff>0</xdr:rowOff>
                  </to>
                </anchor>
              </controlPr>
            </control>
          </mc:Choice>
        </mc:AlternateContent>
        <mc:AlternateContent xmlns:mc="http://schemas.openxmlformats.org/markup-compatibility/2006">
          <mc:Choice Requires="x14">
            <control shapeId="41255" r:id="rId297" name="Check Box 295">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1256" r:id="rId298" name="Check Box 296">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1257" r:id="rId299" name="Check Box 297">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1258" r:id="rId300" name="Check Box 298">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1259" r:id="rId301" name="Check Box 299">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1260" r:id="rId302" name="Check Box 300">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1261" r:id="rId303" name="Check Box 301">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1262" r:id="rId304" name="Check Box 302">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1263" r:id="rId305" name="Check Box 303">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1264" r:id="rId306" name="Check Box 304">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1265" r:id="rId307" name="Check Box 305">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1266" r:id="rId308" name="Check Box 306">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1267" r:id="rId309" name="Check Box 307">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1268" r:id="rId310" name="Check Box 308">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1269" r:id="rId311" name="Check Box 309">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1270" r:id="rId312" name="Check Box 310">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1271" r:id="rId313" name="Check Box 311">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1272" r:id="rId314" name="Check Box 312">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1273" r:id="rId315" name="Check Box 313">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1274" r:id="rId316" name="Check Box 314">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1275" r:id="rId317" name="Check Box 315">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1276" r:id="rId318" name="Check Box 316">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1277" r:id="rId319" name="Check Box 317">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1278" r:id="rId320" name="Check Box 318">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1279" r:id="rId321" name="Check Box 319">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1280" r:id="rId322" name="Check Box 320">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1281" r:id="rId323" name="Check Box 321">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1282" r:id="rId324" name="Check Box 322">
              <controlPr defaultSize="0" autoFill="0" autoLine="0" autoPict="0">
                <anchor moveWithCells="1" sizeWithCells="1">
                  <from>
                    <xdr:col>5</xdr:col>
                    <xdr:colOff>219075</xdr:colOff>
                    <xdr:row>53</xdr:row>
                    <xdr:rowOff>28575</xdr:rowOff>
                  </from>
                  <to>
                    <xdr:col>5</xdr:col>
                    <xdr:colOff>447675</xdr:colOff>
                    <xdr:row>54</xdr:row>
                    <xdr:rowOff>0</xdr:rowOff>
                  </to>
                </anchor>
              </controlPr>
            </control>
          </mc:Choice>
        </mc:AlternateContent>
        <mc:AlternateContent xmlns:mc="http://schemas.openxmlformats.org/markup-compatibility/2006">
          <mc:Choice Requires="x14">
            <control shapeId="41283" r:id="rId325" name="Check Box 323">
              <controlPr defaultSize="0" autoFill="0" autoLine="0" autoPict="0">
                <anchor moveWithCells="1" sizeWithCells="1">
                  <from>
                    <xdr:col>6</xdr:col>
                    <xdr:colOff>190500</xdr:colOff>
                    <xdr:row>53</xdr:row>
                    <xdr:rowOff>28575</xdr:rowOff>
                  </from>
                  <to>
                    <xdr:col>6</xdr:col>
                    <xdr:colOff>419100</xdr:colOff>
                    <xdr:row>54</xdr:row>
                    <xdr:rowOff>0</xdr:rowOff>
                  </to>
                </anchor>
              </controlPr>
            </control>
          </mc:Choice>
        </mc:AlternateContent>
        <mc:AlternateContent xmlns:mc="http://schemas.openxmlformats.org/markup-compatibility/2006">
          <mc:Choice Requires="x14">
            <control shapeId="41284" r:id="rId326" name="Check Box 324">
              <controlPr defaultSize="0" autoFill="0" autoLine="0" autoPict="0">
                <anchor moveWithCells="1" sizeWithCells="1">
                  <from>
                    <xdr:col>7</xdr:col>
                    <xdr:colOff>190500</xdr:colOff>
                    <xdr:row>53</xdr:row>
                    <xdr:rowOff>28575</xdr:rowOff>
                  </from>
                  <to>
                    <xdr:col>7</xdr:col>
                    <xdr:colOff>419100</xdr:colOff>
                    <xdr:row>54</xdr:row>
                    <xdr:rowOff>0</xdr:rowOff>
                  </to>
                </anchor>
              </controlPr>
            </control>
          </mc:Choice>
        </mc:AlternateContent>
        <mc:AlternateContent xmlns:mc="http://schemas.openxmlformats.org/markup-compatibility/2006">
          <mc:Choice Requires="x14">
            <control shapeId="41285" r:id="rId327" name="Check Box 325">
              <controlPr defaultSize="0" autoFill="0" autoLine="0" autoPict="0">
                <anchor moveWithCells="1" sizeWithCells="1">
                  <from>
                    <xdr:col>5</xdr:col>
                    <xdr:colOff>219075</xdr:colOff>
                    <xdr:row>53</xdr:row>
                    <xdr:rowOff>28575</xdr:rowOff>
                  </from>
                  <to>
                    <xdr:col>5</xdr:col>
                    <xdr:colOff>447675</xdr:colOff>
                    <xdr:row>54</xdr:row>
                    <xdr:rowOff>0</xdr:rowOff>
                  </to>
                </anchor>
              </controlPr>
            </control>
          </mc:Choice>
        </mc:AlternateContent>
        <mc:AlternateContent xmlns:mc="http://schemas.openxmlformats.org/markup-compatibility/2006">
          <mc:Choice Requires="x14">
            <control shapeId="41286" r:id="rId328" name="Check Box 326">
              <controlPr defaultSize="0" autoFill="0" autoLine="0" autoPict="0">
                <anchor moveWithCells="1" sizeWithCells="1">
                  <from>
                    <xdr:col>6</xdr:col>
                    <xdr:colOff>190500</xdr:colOff>
                    <xdr:row>53</xdr:row>
                    <xdr:rowOff>28575</xdr:rowOff>
                  </from>
                  <to>
                    <xdr:col>6</xdr:col>
                    <xdr:colOff>419100</xdr:colOff>
                    <xdr:row>54</xdr:row>
                    <xdr:rowOff>0</xdr:rowOff>
                  </to>
                </anchor>
              </controlPr>
            </control>
          </mc:Choice>
        </mc:AlternateContent>
        <mc:AlternateContent xmlns:mc="http://schemas.openxmlformats.org/markup-compatibility/2006">
          <mc:Choice Requires="x14">
            <control shapeId="41287" r:id="rId329" name="Check Box 327">
              <controlPr defaultSize="0" autoFill="0" autoLine="0" autoPict="0">
                <anchor moveWithCells="1" sizeWithCells="1">
                  <from>
                    <xdr:col>7</xdr:col>
                    <xdr:colOff>190500</xdr:colOff>
                    <xdr:row>53</xdr:row>
                    <xdr:rowOff>28575</xdr:rowOff>
                  </from>
                  <to>
                    <xdr:col>7</xdr:col>
                    <xdr:colOff>419100</xdr:colOff>
                    <xdr:row>54</xdr:row>
                    <xdr:rowOff>0</xdr:rowOff>
                  </to>
                </anchor>
              </controlPr>
            </control>
          </mc:Choice>
        </mc:AlternateContent>
        <mc:AlternateContent xmlns:mc="http://schemas.openxmlformats.org/markup-compatibility/2006">
          <mc:Choice Requires="x14">
            <control shapeId="41288" r:id="rId330" name="Check Box 328">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1289" r:id="rId331" name="Check Box 329">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1290" r:id="rId332" name="Check Box 330">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1291" r:id="rId333" name="Check Box 331">
              <controlPr defaultSize="0" autoFill="0" autoLine="0" autoPict="0">
                <anchor moveWithCells="1" sizeWithCells="1">
                  <from>
                    <xdr:col>5</xdr:col>
                    <xdr:colOff>219075</xdr:colOff>
                    <xdr:row>53</xdr:row>
                    <xdr:rowOff>28575</xdr:rowOff>
                  </from>
                  <to>
                    <xdr:col>5</xdr:col>
                    <xdr:colOff>447675</xdr:colOff>
                    <xdr:row>54</xdr:row>
                    <xdr:rowOff>0</xdr:rowOff>
                  </to>
                </anchor>
              </controlPr>
            </control>
          </mc:Choice>
        </mc:AlternateContent>
        <mc:AlternateContent xmlns:mc="http://schemas.openxmlformats.org/markup-compatibility/2006">
          <mc:Choice Requires="x14">
            <control shapeId="41292" r:id="rId334" name="Check Box 332">
              <controlPr defaultSize="0" autoFill="0" autoLine="0" autoPict="0">
                <anchor moveWithCells="1" sizeWithCells="1">
                  <from>
                    <xdr:col>6</xdr:col>
                    <xdr:colOff>190500</xdr:colOff>
                    <xdr:row>53</xdr:row>
                    <xdr:rowOff>28575</xdr:rowOff>
                  </from>
                  <to>
                    <xdr:col>6</xdr:col>
                    <xdr:colOff>419100</xdr:colOff>
                    <xdr:row>54</xdr:row>
                    <xdr:rowOff>0</xdr:rowOff>
                  </to>
                </anchor>
              </controlPr>
            </control>
          </mc:Choice>
        </mc:AlternateContent>
        <mc:AlternateContent xmlns:mc="http://schemas.openxmlformats.org/markup-compatibility/2006">
          <mc:Choice Requires="x14">
            <control shapeId="41293" r:id="rId335" name="Check Box 333">
              <controlPr defaultSize="0" autoFill="0" autoLine="0" autoPict="0">
                <anchor moveWithCells="1" sizeWithCells="1">
                  <from>
                    <xdr:col>7</xdr:col>
                    <xdr:colOff>190500</xdr:colOff>
                    <xdr:row>53</xdr:row>
                    <xdr:rowOff>28575</xdr:rowOff>
                  </from>
                  <to>
                    <xdr:col>7</xdr:col>
                    <xdr:colOff>419100</xdr:colOff>
                    <xdr:row>54</xdr:row>
                    <xdr:rowOff>0</xdr:rowOff>
                  </to>
                </anchor>
              </controlPr>
            </control>
          </mc:Choice>
        </mc:AlternateContent>
        <mc:AlternateContent xmlns:mc="http://schemas.openxmlformats.org/markup-compatibility/2006">
          <mc:Choice Requires="x14">
            <control shapeId="41294" r:id="rId336" name="Check Box 334">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1295" r:id="rId337" name="Check Box 335">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1296" r:id="rId338" name="Check Box 336">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1297" r:id="rId339" name="Check Box 337">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1298" r:id="rId340" name="Check Box 338">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1299" r:id="rId341" name="Check Box 339">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1300" r:id="rId342" name="Check Box 340">
              <controlPr defaultSize="0" autoFill="0" autoLine="0" autoPict="0">
                <anchor moveWithCells="1" sizeWithCells="1">
                  <from>
                    <xdr:col>5</xdr:col>
                    <xdr:colOff>219075</xdr:colOff>
                    <xdr:row>53</xdr:row>
                    <xdr:rowOff>28575</xdr:rowOff>
                  </from>
                  <to>
                    <xdr:col>5</xdr:col>
                    <xdr:colOff>447675</xdr:colOff>
                    <xdr:row>54</xdr:row>
                    <xdr:rowOff>0</xdr:rowOff>
                  </to>
                </anchor>
              </controlPr>
            </control>
          </mc:Choice>
        </mc:AlternateContent>
        <mc:AlternateContent xmlns:mc="http://schemas.openxmlformats.org/markup-compatibility/2006">
          <mc:Choice Requires="x14">
            <control shapeId="41301" r:id="rId343" name="Check Box 341">
              <controlPr defaultSize="0" autoFill="0" autoLine="0" autoPict="0">
                <anchor moveWithCells="1" sizeWithCells="1">
                  <from>
                    <xdr:col>6</xdr:col>
                    <xdr:colOff>190500</xdr:colOff>
                    <xdr:row>53</xdr:row>
                    <xdr:rowOff>28575</xdr:rowOff>
                  </from>
                  <to>
                    <xdr:col>6</xdr:col>
                    <xdr:colOff>419100</xdr:colOff>
                    <xdr:row>54</xdr:row>
                    <xdr:rowOff>0</xdr:rowOff>
                  </to>
                </anchor>
              </controlPr>
            </control>
          </mc:Choice>
        </mc:AlternateContent>
        <mc:AlternateContent xmlns:mc="http://schemas.openxmlformats.org/markup-compatibility/2006">
          <mc:Choice Requires="x14">
            <control shapeId="41302" r:id="rId344" name="Check Box 342">
              <controlPr defaultSize="0" autoFill="0" autoLine="0" autoPict="0">
                <anchor moveWithCells="1" sizeWithCells="1">
                  <from>
                    <xdr:col>7</xdr:col>
                    <xdr:colOff>190500</xdr:colOff>
                    <xdr:row>53</xdr:row>
                    <xdr:rowOff>28575</xdr:rowOff>
                  </from>
                  <to>
                    <xdr:col>7</xdr:col>
                    <xdr:colOff>419100</xdr:colOff>
                    <xdr:row>54</xdr:row>
                    <xdr:rowOff>0</xdr:rowOff>
                  </to>
                </anchor>
              </controlPr>
            </control>
          </mc:Choice>
        </mc:AlternateContent>
        <mc:AlternateContent xmlns:mc="http://schemas.openxmlformats.org/markup-compatibility/2006">
          <mc:Choice Requires="x14">
            <control shapeId="41303" r:id="rId345" name="Check Box 343">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1304" r:id="rId346" name="Check Box 344">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1305" r:id="rId347" name="Check Box 345">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1306" r:id="rId348" name="Check Box 346">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1307" r:id="rId349" name="Check Box 347">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1308" r:id="rId350" name="Check Box 348">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1309" r:id="rId351" name="Check Box 349">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1310" r:id="rId352" name="Check Box 350">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1311" r:id="rId353" name="Check Box 351">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1312" r:id="rId354" name="Check Box 352">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1313" r:id="rId355" name="Check Box 353">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1314" r:id="rId356" name="Check Box 354">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1315" r:id="rId357" name="Check Box 355">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1316" r:id="rId358" name="Check Box 356">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1317" r:id="rId359" name="Check Box 357">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1318" r:id="rId360" name="Check Box 358">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1319" r:id="rId361" name="Check Box 359">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1320" r:id="rId362" name="Check Box 360">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1321" r:id="rId363" name="Check Box 361">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1322" r:id="rId364" name="Check Box 362">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1323" r:id="rId365" name="Check Box 363">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1324" r:id="rId366" name="Check Box 364">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1325" r:id="rId367" name="Check Box 365">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1326" r:id="rId368" name="Check Box 366">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1327" r:id="rId369" name="Check Box 367">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1328" r:id="rId370" name="Check Box 368">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1329" r:id="rId371" name="Check Box 369">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1330" r:id="rId372" name="Check Box 370">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1331" r:id="rId373" name="Check Box 371">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1332" r:id="rId374" name="Check Box 372">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1333" r:id="rId375" name="Check Box 373">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1334" r:id="rId376" name="Check Box 374">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1335" r:id="rId377" name="Check Box 375">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1336" r:id="rId378" name="Check Box 376">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1337" r:id="rId379" name="Check Box 377">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1338" r:id="rId380" name="Check Box 378">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1339" r:id="rId381" name="Check Box 379">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1340" r:id="rId382" name="Check Box 380">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1341" r:id="rId383" name="Check Box 381">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1342" r:id="rId384" name="Check Box 382">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1343" r:id="rId385" name="Check Box 383">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1344" r:id="rId386" name="Check Box 384">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1345" r:id="rId387" name="Check Box 385">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1346" r:id="rId388" name="Check Box 386">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1347" r:id="rId389" name="Check Box 387">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1348" r:id="rId390" name="Check Box 388">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1349" r:id="rId391" name="Check Box 389">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1350" r:id="rId392" name="Check Box 390">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1351" r:id="rId393" name="Check Box 391">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1352" r:id="rId394" name="Check Box 392">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1353" r:id="rId395" name="Check Box 393">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1354" r:id="rId396" name="Check Box 394">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1355" r:id="rId397" name="Check Box 395">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1356" r:id="rId398" name="Check Box 396">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1357" r:id="rId399" name="Check Box 397">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1358" r:id="rId400" name="Check Box 398">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1359" r:id="rId401" name="Check Box 399">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1360" r:id="rId402" name="Check Box 400">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1361" r:id="rId403" name="Check Box 401">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1362" r:id="rId404" name="Check Box 402">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1363" r:id="rId405" name="Check Box 403">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1364" r:id="rId406" name="Check Box 404">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1365" r:id="rId407" name="Check Box 405">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1366" r:id="rId408" name="Check Box 406">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1367" r:id="rId409" name="Check Box 407">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1368" r:id="rId410" name="Check Box 408">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1369" r:id="rId411" name="Check Box 409">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1370" r:id="rId412" name="Check Box 410">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1371" r:id="rId413" name="Check Box 411">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1372" r:id="rId414" name="Check Box 412">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1373" r:id="rId415" name="Check Box 413">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1374" r:id="rId416" name="Check Box 414">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1375" r:id="rId417" name="Check Box 415">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1376" r:id="rId418" name="Check Box 416">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1377" r:id="rId419" name="Check Box 417">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1378" r:id="rId420" name="Check Box 418">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1379" r:id="rId421" name="Check Box 419">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1380" r:id="rId422" name="Check Box 420">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1381" r:id="rId423" name="Check Box 421">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1382" r:id="rId424" name="Check Box 422">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1383" r:id="rId425" name="Check Box 423">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1384" r:id="rId426" name="Check Box 424">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1385" r:id="rId427" name="Check Box 425">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1386" r:id="rId428" name="Check Box 426">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1387" r:id="rId429" name="Check Box 427">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1388" r:id="rId430" name="Check Box 428">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1389" r:id="rId431" name="Check Box 429">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1390" r:id="rId432" name="Check Box 430">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1391" r:id="rId433" name="Check Box 431">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1392" r:id="rId434" name="Check Box 432">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1393" r:id="rId435" name="Check Box 433">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1394" r:id="rId436" name="Check Box 434">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1395" r:id="rId437" name="Check Box 435">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1396" r:id="rId438" name="Check Box 436">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1397" r:id="rId439" name="Check Box 437">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1398" r:id="rId440" name="Check Box 438">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1399" r:id="rId441" name="Check Box 439">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00" r:id="rId442" name="Check Box 440">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01" r:id="rId443" name="Check Box 441">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02" r:id="rId444" name="Check Box 442">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03" r:id="rId445" name="Check Box 443">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04" r:id="rId446" name="Check Box 444">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05" r:id="rId447" name="Check Box 445">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06" r:id="rId448" name="Check Box 446">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07" r:id="rId449" name="Check Box 447">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08" r:id="rId450" name="Check Box 448">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09" r:id="rId451" name="Check Box 449">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10" r:id="rId452" name="Check Box 450">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11" r:id="rId453" name="Check Box 451">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12" r:id="rId454" name="Check Box 452">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13" r:id="rId455" name="Check Box 453">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14" r:id="rId456" name="Check Box 454">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15" r:id="rId457" name="Check Box 455">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16" r:id="rId458" name="Check Box 456">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17" r:id="rId459" name="Check Box 457">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18" r:id="rId460" name="Check Box 458">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19" r:id="rId461" name="Check Box 459">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20" r:id="rId462" name="Check Box 460">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21" r:id="rId463" name="Check Box 461">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22" r:id="rId464" name="Check Box 462">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23" r:id="rId465" name="Check Box 463">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24" r:id="rId466" name="Check Box 464">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25" r:id="rId467" name="Check Box 465">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26" r:id="rId468" name="Check Box 466">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27" r:id="rId469" name="Check Box 467">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28" r:id="rId470" name="Check Box 468">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29" r:id="rId471" name="Check Box 469">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30" r:id="rId472" name="Check Box 470">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31" r:id="rId473" name="Check Box 471">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32" r:id="rId474" name="Check Box 472">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33" r:id="rId475" name="Check Box 473">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34" r:id="rId476" name="Check Box 474">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35" r:id="rId477" name="Check Box 475">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36" r:id="rId478" name="Check Box 476">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37" r:id="rId479" name="Check Box 477">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38" r:id="rId480" name="Check Box 478">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39" r:id="rId481" name="Check Box 479">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40" r:id="rId482" name="Check Box 480">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41" r:id="rId483" name="Check Box 481">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42" r:id="rId484" name="Check Box 482">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43" r:id="rId485" name="Check Box 483">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44" r:id="rId486" name="Check Box 484">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45" r:id="rId487" name="Check Box 485">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46" r:id="rId488" name="Check Box 486">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47" r:id="rId489" name="Check Box 487">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48" r:id="rId490" name="Check Box 488">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49" r:id="rId491" name="Check Box 489">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50" r:id="rId492" name="Check Box 490">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51" r:id="rId493" name="Check Box 491">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52" r:id="rId494" name="Check Box 492">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53" r:id="rId495" name="Check Box 493">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54" r:id="rId496" name="Check Box 494">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55" r:id="rId497" name="Check Box 495">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56" r:id="rId498" name="Check Box 496">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57" r:id="rId499" name="Check Box 497">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58" r:id="rId500" name="Check Box 498">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59" r:id="rId501" name="Check Box 499">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60" r:id="rId502" name="Check Box 500">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61" r:id="rId503" name="Check Box 501">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62" r:id="rId504" name="Check Box 502">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63" r:id="rId505" name="Check Box 503">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64" r:id="rId506" name="Check Box 504">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65" r:id="rId507" name="Check Box 505">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66" r:id="rId508" name="Check Box 506">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67" r:id="rId509" name="Check Box 507">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68" r:id="rId510" name="Check Box 508">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69" r:id="rId511" name="Check Box 509">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70" r:id="rId512" name="Check Box 510">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71" r:id="rId513" name="Check Box 511">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72" r:id="rId514" name="Check Box 512">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73" r:id="rId515" name="Check Box 513">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74" r:id="rId516" name="Check Box 514">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75" r:id="rId517" name="Check Box 515">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76" r:id="rId518" name="Check Box 516">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77" r:id="rId519" name="Check Box 517">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78" r:id="rId520" name="Check Box 518">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79" r:id="rId521" name="Check Box 519">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80" r:id="rId522" name="Check Box 520">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81" r:id="rId523" name="Check Box 521">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82" r:id="rId524" name="Check Box 522">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83" r:id="rId525" name="Check Box 523">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84" r:id="rId526" name="Check Box 524">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85" r:id="rId527" name="Check Box 525">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86" r:id="rId528" name="Check Box 526">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87" r:id="rId529" name="Check Box 527">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88" r:id="rId530" name="Check Box 528">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89" r:id="rId531" name="Check Box 529">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90" r:id="rId532" name="Check Box 530">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91" r:id="rId533" name="Check Box 531">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92" r:id="rId534" name="Check Box 532">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93" r:id="rId535" name="Check Box 533">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94" r:id="rId536" name="Check Box 534">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95" r:id="rId537" name="Check Box 535">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96" r:id="rId538" name="Check Box 536">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97" r:id="rId539" name="Check Box 537">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98" r:id="rId540" name="Check Box 538">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499" r:id="rId541" name="Check Box 539">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00" r:id="rId542" name="Check Box 540">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01" r:id="rId543" name="Check Box 541">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02" r:id="rId544" name="Check Box 542">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03" r:id="rId545" name="Check Box 543">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04" r:id="rId546" name="Check Box 544">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505" r:id="rId547" name="Check Box 545">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506" r:id="rId548" name="Check Box 546">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507" r:id="rId549" name="Check Box 547">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08" r:id="rId550" name="Check Box 548">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09" r:id="rId551" name="Check Box 549">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10" r:id="rId552" name="Check Box 550">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11" r:id="rId553" name="Check Box 551">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12" r:id="rId554" name="Check Box 552">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13" r:id="rId555" name="Check Box 553">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14" r:id="rId556" name="Check Box 554">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15" r:id="rId557" name="Check Box 555">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16" r:id="rId558" name="Check Box 556">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17" r:id="rId559" name="Check Box 557">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18" r:id="rId560" name="Check Box 558">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19" r:id="rId561" name="Check Box 559">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20" r:id="rId562" name="Check Box 560">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21" r:id="rId563" name="Check Box 561">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22" r:id="rId564" name="Check Box 562">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23" r:id="rId565" name="Check Box 563">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24" r:id="rId566" name="Check Box 564">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25" r:id="rId567" name="Check Box 565">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26" r:id="rId568" name="Check Box 566">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27" r:id="rId569" name="Check Box 567">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28" r:id="rId570" name="Check Box 568">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29" r:id="rId571" name="Check Box 569">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30" r:id="rId572" name="Check Box 570">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31" r:id="rId573" name="Check Box 571">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32" r:id="rId574" name="Check Box 572">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33" r:id="rId575" name="Check Box 573">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34" r:id="rId576" name="Check Box 574">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35" r:id="rId577" name="Check Box 575">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36" r:id="rId578" name="Check Box 576">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37" r:id="rId579" name="Check Box 577">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38" r:id="rId580" name="Check Box 578">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39" r:id="rId581" name="Check Box 579">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40" r:id="rId582" name="Check Box 580">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41" r:id="rId583" name="Check Box 581">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42" r:id="rId584" name="Check Box 582">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43" r:id="rId585" name="Check Box 583">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44" r:id="rId586" name="Check Box 584">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45" r:id="rId587" name="Check Box 585">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46" r:id="rId588" name="Check Box 586">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47" r:id="rId589" name="Check Box 587">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48" r:id="rId590" name="Check Box 588">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49" r:id="rId591" name="Check Box 589">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50" r:id="rId592" name="Check Box 590">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51" r:id="rId593" name="Check Box 591">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52" r:id="rId594" name="Check Box 592">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53" r:id="rId595" name="Check Box 593">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54" r:id="rId596" name="Check Box 594">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55" r:id="rId597" name="Check Box 595">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56" r:id="rId598" name="Check Box 596">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57" r:id="rId599" name="Check Box 597">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58" r:id="rId600" name="Check Box 598">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59" r:id="rId601" name="Check Box 599">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60" r:id="rId602" name="Check Box 600">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61" r:id="rId603" name="Check Box 601">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62" r:id="rId604" name="Check Box 602">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63" r:id="rId605" name="Check Box 603">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64" r:id="rId606" name="Check Box 604">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65" r:id="rId607" name="Check Box 605">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66" r:id="rId608" name="Check Box 606">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67" r:id="rId609" name="Check Box 607">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68" r:id="rId610" name="Check Box 608">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69" r:id="rId611" name="Check Box 609">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70" r:id="rId612" name="Check Box 610">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71" r:id="rId613" name="Check Box 611">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72" r:id="rId614" name="Check Box 612">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73" r:id="rId615" name="Check Box 613">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74" r:id="rId616" name="Check Box 614">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75" r:id="rId617" name="Check Box 615">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76" r:id="rId618" name="Check Box 616">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77" r:id="rId619" name="Check Box 617">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78" r:id="rId620" name="Check Box 618">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79" r:id="rId621" name="Check Box 619">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80" r:id="rId622" name="Check Box 620">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81" r:id="rId623" name="Check Box 621">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82" r:id="rId624" name="Check Box 622">
              <controlPr defaultSize="0" autoFill="0" autoLine="0" autoPict="0">
                <anchor moveWithCells="1" sizeWithCells="1">
                  <from>
                    <xdr:col>5</xdr:col>
                    <xdr:colOff>219075</xdr:colOff>
                    <xdr:row>80</xdr:row>
                    <xdr:rowOff>28575</xdr:rowOff>
                  </from>
                  <to>
                    <xdr:col>5</xdr:col>
                    <xdr:colOff>447675</xdr:colOff>
                    <xdr:row>81</xdr:row>
                    <xdr:rowOff>0</xdr:rowOff>
                  </to>
                </anchor>
              </controlPr>
            </control>
          </mc:Choice>
        </mc:AlternateContent>
        <mc:AlternateContent xmlns:mc="http://schemas.openxmlformats.org/markup-compatibility/2006">
          <mc:Choice Requires="x14">
            <control shapeId="41583" r:id="rId625" name="Check Box 623">
              <controlPr defaultSize="0" autoFill="0" autoLine="0" autoPict="0">
                <anchor moveWithCells="1" sizeWithCells="1">
                  <from>
                    <xdr:col>6</xdr:col>
                    <xdr:colOff>190500</xdr:colOff>
                    <xdr:row>80</xdr:row>
                    <xdr:rowOff>28575</xdr:rowOff>
                  </from>
                  <to>
                    <xdr:col>6</xdr:col>
                    <xdr:colOff>419100</xdr:colOff>
                    <xdr:row>81</xdr:row>
                    <xdr:rowOff>0</xdr:rowOff>
                  </to>
                </anchor>
              </controlPr>
            </control>
          </mc:Choice>
        </mc:AlternateContent>
        <mc:AlternateContent xmlns:mc="http://schemas.openxmlformats.org/markup-compatibility/2006">
          <mc:Choice Requires="x14">
            <control shapeId="41584" r:id="rId626" name="Check Box 624">
              <controlPr defaultSize="0" autoFill="0" autoLine="0" autoPict="0">
                <anchor moveWithCells="1" sizeWithCells="1">
                  <from>
                    <xdr:col>7</xdr:col>
                    <xdr:colOff>190500</xdr:colOff>
                    <xdr:row>80</xdr:row>
                    <xdr:rowOff>28575</xdr:rowOff>
                  </from>
                  <to>
                    <xdr:col>7</xdr:col>
                    <xdr:colOff>419100</xdr:colOff>
                    <xdr:row>81</xdr:row>
                    <xdr:rowOff>0</xdr:rowOff>
                  </to>
                </anchor>
              </controlPr>
            </control>
          </mc:Choice>
        </mc:AlternateContent>
        <mc:AlternateContent xmlns:mc="http://schemas.openxmlformats.org/markup-compatibility/2006">
          <mc:Choice Requires="x14">
            <control shapeId="41585" r:id="rId627" name="Check Box 625">
              <controlPr defaultSize="0" autoFill="0" autoLine="0" autoPict="0">
                <anchor moveWithCells="1" sizeWithCells="1">
                  <from>
                    <xdr:col>5</xdr:col>
                    <xdr:colOff>219075</xdr:colOff>
                    <xdr:row>80</xdr:row>
                    <xdr:rowOff>28575</xdr:rowOff>
                  </from>
                  <to>
                    <xdr:col>5</xdr:col>
                    <xdr:colOff>447675</xdr:colOff>
                    <xdr:row>81</xdr:row>
                    <xdr:rowOff>0</xdr:rowOff>
                  </to>
                </anchor>
              </controlPr>
            </control>
          </mc:Choice>
        </mc:AlternateContent>
        <mc:AlternateContent xmlns:mc="http://schemas.openxmlformats.org/markup-compatibility/2006">
          <mc:Choice Requires="x14">
            <control shapeId="41586" r:id="rId628" name="Check Box 626">
              <controlPr defaultSize="0" autoFill="0" autoLine="0" autoPict="0">
                <anchor moveWithCells="1" sizeWithCells="1">
                  <from>
                    <xdr:col>6</xdr:col>
                    <xdr:colOff>190500</xdr:colOff>
                    <xdr:row>80</xdr:row>
                    <xdr:rowOff>28575</xdr:rowOff>
                  </from>
                  <to>
                    <xdr:col>6</xdr:col>
                    <xdr:colOff>419100</xdr:colOff>
                    <xdr:row>81</xdr:row>
                    <xdr:rowOff>0</xdr:rowOff>
                  </to>
                </anchor>
              </controlPr>
            </control>
          </mc:Choice>
        </mc:AlternateContent>
        <mc:AlternateContent xmlns:mc="http://schemas.openxmlformats.org/markup-compatibility/2006">
          <mc:Choice Requires="x14">
            <control shapeId="41587" r:id="rId629" name="Check Box 627">
              <controlPr defaultSize="0" autoFill="0" autoLine="0" autoPict="0">
                <anchor moveWithCells="1" sizeWithCells="1">
                  <from>
                    <xdr:col>7</xdr:col>
                    <xdr:colOff>190500</xdr:colOff>
                    <xdr:row>80</xdr:row>
                    <xdr:rowOff>28575</xdr:rowOff>
                  </from>
                  <to>
                    <xdr:col>7</xdr:col>
                    <xdr:colOff>419100</xdr:colOff>
                    <xdr:row>81</xdr:row>
                    <xdr:rowOff>0</xdr:rowOff>
                  </to>
                </anchor>
              </controlPr>
            </control>
          </mc:Choice>
        </mc:AlternateContent>
        <mc:AlternateContent xmlns:mc="http://schemas.openxmlformats.org/markup-compatibility/2006">
          <mc:Choice Requires="x14">
            <control shapeId="41588" r:id="rId630" name="Check Box 628">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89" r:id="rId631" name="Check Box 629">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90" r:id="rId632" name="Check Box 630">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91" r:id="rId633" name="Check Box 631">
              <controlPr defaultSize="0" autoFill="0" autoLine="0" autoPict="0">
                <anchor moveWithCells="1" sizeWithCells="1">
                  <from>
                    <xdr:col>5</xdr:col>
                    <xdr:colOff>219075</xdr:colOff>
                    <xdr:row>80</xdr:row>
                    <xdr:rowOff>28575</xdr:rowOff>
                  </from>
                  <to>
                    <xdr:col>5</xdr:col>
                    <xdr:colOff>447675</xdr:colOff>
                    <xdr:row>81</xdr:row>
                    <xdr:rowOff>0</xdr:rowOff>
                  </to>
                </anchor>
              </controlPr>
            </control>
          </mc:Choice>
        </mc:AlternateContent>
        <mc:AlternateContent xmlns:mc="http://schemas.openxmlformats.org/markup-compatibility/2006">
          <mc:Choice Requires="x14">
            <control shapeId="41592" r:id="rId634" name="Check Box 632">
              <controlPr defaultSize="0" autoFill="0" autoLine="0" autoPict="0">
                <anchor moveWithCells="1" sizeWithCells="1">
                  <from>
                    <xdr:col>6</xdr:col>
                    <xdr:colOff>190500</xdr:colOff>
                    <xdr:row>80</xdr:row>
                    <xdr:rowOff>28575</xdr:rowOff>
                  </from>
                  <to>
                    <xdr:col>6</xdr:col>
                    <xdr:colOff>419100</xdr:colOff>
                    <xdr:row>81</xdr:row>
                    <xdr:rowOff>0</xdr:rowOff>
                  </to>
                </anchor>
              </controlPr>
            </control>
          </mc:Choice>
        </mc:AlternateContent>
        <mc:AlternateContent xmlns:mc="http://schemas.openxmlformats.org/markup-compatibility/2006">
          <mc:Choice Requires="x14">
            <control shapeId="41593" r:id="rId635" name="Check Box 633">
              <controlPr defaultSize="0" autoFill="0" autoLine="0" autoPict="0">
                <anchor moveWithCells="1" sizeWithCells="1">
                  <from>
                    <xdr:col>7</xdr:col>
                    <xdr:colOff>190500</xdr:colOff>
                    <xdr:row>80</xdr:row>
                    <xdr:rowOff>28575</xdr:rowOff>
                  </from>
                  <to>
                    <xdr:col>7</xdr:col>
                    <xdr:colOff>419100</xdr:colOff>
                    <xdr:row>81</xdr:row>
                    <xdr:rowOff>0</xdr:rowOff>
                  </to>
                </anchor>
              </controlPr>
            </control>
          </mc:Choice>
        </mc:AlternateContent>
        <mc:AlternateContent xmlns:mc="http://schemas.openxmlformats.org/markup-compatibility/2006">
          <mc:Choice Requires="x14">
            <control shapeId="41594" r:id="rId636" name="Check Box 634">
              <controlPr defaultSize="0" autoFill="0" autoLine="0" autoPict="0">
                <anchor moveWithCells="1" sizeWithCells="1">
                  <from>
                    <xdr:col>5</xdr:col>
                    <xdr:colOff>219075</xdr:colOff>
                    <xdr:row>80</xdr:row>
                    <xdr:rowOff>28575</xdr:rowOff>
                  </from>
                  <to>
                    <xdr:col>5</xdr:col>
                    <xdr:colOff>447675</xdr:colOff>
                    <xdr:row>81</xdr:row>
                    <xdr:rowOff>0</xdr:rowOff>
                  </to>
                </anchor>
              </controlPr>
            </control>
          </mc:Choice>
        </mc:AlternateContent>
        <mc:AlternateContent xmlns:mc="http://schemas.openxmlformats.org/markup-compatibility/2006">
          <mc:Choice Requires="x14">
            <control shapeId="41595" r:id="rId637" name="Check Box 635">
              <controlPr defaultSize="0" autoFill="0" autoLine="0" autoPict="0">
                <anchor moveWithCells="1" sizeWithCells="1">
                  <from>
                    <xdr:col>6</xdr:col>
                    <xdr:colOff>190500</xdr:colOff>
                    <xdr:row>80</xdr:row>
                    <xdr:rowOff>28575</xdr:rowOff>
                  </from>
                  <to>
                    <xdr:col>6</xdr:col>
                    <xdr:colOff>419100</xdr:colOff>
                    <xdr:row>81</xdr:row>
                    <xdr:rowOff>0</xdr:rowOff>
                  </to>
                </anchor>
              </controlPr>
            </control>
          </mc:Choice>
        </mc:AlternateContent>
        <mc:AlternateContent xmlns:mc="http://schemas.openxmlformats.org/markup-compatibility/2006">
          <mc:Choice Requires="x14">
            <control shapeId="41596" r:id="rId638" name="Check Box 636">
              <controlPr defaultSize="0" autoFill="0" autoLine="0" autoPict="0">
                <anchor moveWithCells="1" sizeWithCells="1">
                  <from>
                    <xdr:col>7</xdr:col>
                    <xdr:colOff>190500</xdr:colOff>
                    <xdr:row>80</xdr:row>
                    <xdr:rowOff>28575</xdr:rowOff>
                  </from>
                  <to>
                    <xdr:col>7</xdr:col>
                    <xdr:colOff>419100</xdr:colOff>
                    <xdr:row>81</xdr:row>
                    <xdr:rowOff>0</xdr:rowOff>
                  </to>
                </anchor>
              </controlPr>
            </control>
          </mc:Choice>
        </mc:AlternateContent>
        <mc:AlternateContent xmlns:mc="http://schemas.openxmlformats.org/markup-compatibility/2006">
          <mc:Choice Requires="x14">
            <control shapeId="41597" r:id="rId639" name="Check Box 637">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1598" r:id="rId640" name="Check Box 638">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1599" r:id="rId641" name="Check Box 639">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1600" r:id="rId642" name="Check Box 640">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1601" r:id="rId643" name="Check Box 641">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1602" r:id="rId644" name="Check Box 642">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1603" r:id="rId645" name="Check Box 643">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1604" r:id="rId646" name="Check Box 644">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1605" r:id="rId647" name="Check Box 645">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1606" r:id="rId648" name="Check Box 646">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1607" r:id="rId649" name="Check Box 647">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1608" r:id="rId650" name="Check Box 648">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1609" r:id="rId651" name="Check Box 649">
              <controlPr defaultSize="0" autoFill="0" autoLine="0" autoPict="0">
                <anchor moveWithCells="1" sizeWithCells="1">
                  <from>
                    <xdr:col>5</xdr:col>
                    <xdr:colOff>219075</xdr:colOff>
                    <xdr:row>64</xdr:row>
                    <xdr:rowOff>28575</xdr:rowOff>
                  </from>
                  <to>
                    <xdr:col>5</xdr:col>
                    <xdr:colOff>447675</xdr:colOff>
                    <xdr:row>65</xdr:row>
                    <xdr:rowOff>0</xdr:rowOff>
                  </to>
                </anchor>
              </controlPr>
            </control>
          </mc:Choice>
        </mc:AlternateContent>
        <mc:AlternateContent xmlns:mc="http://schemas.openxmlformats.org/markup-compatibility/2006">
          <mc:Choice Requires="x14">
            <control shapeId="41610" r:id="rId652" name="Check Box 650">
              <controlPr defaultSize="0" autoFill="0" autoLine="0" autoPict="0">
                <anchor moveWithCells="1" sizeWithCells="1">
                  <from>
                    <xdr:col>6</xdr:col>
                    <xdr:colOff>190500</xdr:colOff>
                    <xdr:row>64</xdr:row>
                    <xdr:rowOff>28575</xdr:rowOff>
                  </from>
                  <to>
                    <xdr:col>6</xdr:col>
                    <xdr:colOff>419100</xdr:colOff>
                    <xdr:row>65</xdr:row>
                    <xdr:rowOff>0</xdr:rowOff>
                  </to>
                </anchor>
              </controlPr>
            </control>
          </mc:Choice>
        </mc:AlternateContent>
        <mc:AlternateContent xmlns:mc="http://schemas.openxmlformats.org/markup-compatibility/2006">
          <mc:Choice Requires="x14">
            <control shapeId="41611" r:id="rId653" name="Check Box 651">
              <controlPr defaultSize="0" autoFill="0" autoLine="0" autoPict="0">
                <anchor moveWithCells="1" sizeWithCells="1">
                  <from>
                    <xdr:col>7</xdr:col>
                    <xdr:colOff>190500</xdr:colOff>
                    <xdr:row>64</xdr:row>
                    <xdr:rowOff>28575</xdr:rowOff>
                  </from>
                  <to>
                    <xdr:col>7</xdr:col>
                    <xdr:colOff>419100</xdr:colOff>
                    <xdr:row>65</xdr:row>
                    <xdr:rowOff>0</xdr:rowOff>
                  </to>
                </anchor>
              </controlPr>
            </control>
          </mc:Choice>
        </mc:AlternateContent>
        <mc:AlternateContent xmlns:mc="http://schemas.openxmlformats.org/markup-compatibility/2006">
          <mc:Choice Requires="x14">
            <control shapeId="41612" r:id="rId654" name="Check Box 652">
              <controlPr defaultSize="0" autoFill="0" autoLine="0" autoPict="0">
                <anchor moveWithCells="1" sizeWithCells="1">
                  <from>
                    <xdr:col>5</xdr:col>
                    <xdr:colOff>219075</xdr:colOff>
                    <xdr:row>64</xdr:row>
                    <xdr:rowOff>28575</xdr:rowOff>
                  </from>
                  <to>
                    <xdr:col>5</xdr:col>
                    <xdr:colOff>447675</xdr:colOff>
                    <xdr:row>65</xdr:row>
                    <xdr:rowOff>0</xdr:rowOff>
                  </to>
                </anchor>
              </controlPr>
            </control>
          </mc:Choice>
        </mc:AlternateContent>
        <mc:AlternateContent xmlns:mc="http://schemas.openxmlformats.org/markup-compatibility/2006">
          <mc:Choice Requires="x14">
            <control shapeId="41613" r:id="rId655" name="Check Box 653">
              <controlPr defaultSize="0" autoFill="0" autoLine="0" autoPict="0">
                <anchor moveWithCells="1" sizeWithCells="1">
                  <from>
                    <xdr:col>6</xdr:col>
                    <xdr:colOff>190500</xdr:colOff>
                    <xdr:row>64</xdr:row>
                    <xdr:rowOff>28575</xdr:rowOff>
                  </from>
                  <to>
                    <xdr:col>6</xdr:col>
                    <xdr:colOff>419100</xdr:colOff>
                    <xdr:row>65</xdr:row>
                    <xdr:rowOff>0</xdr:rowOff>
                  </to>
                </anchor>
              </controlPr>
            </control>
          </mc:Choice>
        </mc:AlternateContent>
        <mc:AlternateContent xmlns:mc="http://schemas.openxmlformats.org/markup-compatibility/2006">
          <mc:Choice Requires="x14">
            <control shapeId="41614" r:id="rId656" name="Check Box 654">
              <controlPr defaultSize="0" autoFill="0" autoLine="0" autoPict="0">
                <anchor moveWithCells="1" sizeWithCells="1">
                  <from>
                    <xdr:col>7</xdr:col>
                    <xdr:colOff>190500</xdr:colOff>
                    <xdr:row>64</xdr:row>
                    <xdr:rowOff>28575</xdr:rowOff>
                  </from>
                  <to>
                    <xdr:col>7</xdr:col>
                    <xdr:colOff>419100</xdr:colOff>
                    <xdr:row>65</xdr:row>
                    <xdr:rowOff>0</xdr:rowOff>
                  </to>
                </anchor>
              </controlPr>
            </control>
          </mc:Choice>
        </mc:AlternateContent>
        <mc:AlternateContent xmlns:mc="http://schemas.openxmlformats.org/markup-compatibility/2006">
          <mc:Choice Requires="x14">
            <control shapeId="41615" r:id="rId657" name="Check Box 655">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1616" r:id="rId658" name="Check Box 656">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1617" r:id="rId659" name="Check Box 657">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1618" r:id="rId660" name="Check Box 658">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1619" r:id="rId661" name="Check Box 659">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1620" r:id="rId662" name="Check Box 660">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1621" r:id="rId663" name="Check Box 661">
              <controlPr defaultSize="0" autoFill="0" autoLine="0" autoPict="0">
                <anchor moveWithCells="1" sizeWithCells="1">
                  <from>
                    <xdr:col>5</xdr:col>
                    <xdr:colOff>219075</xdr:colOff>
                    <xdr:row>66</xdr:row>
                    <xdr:rowOff>28575</xdr:rowOff>
                  </from>
                  <to>
                    <xdr:col>5</xdr:col>
                    <xdr:colOff>447675</xdr:colOff>
                    <xdr:row>67</xdr:row>
                    <xdr:rowOff>0</xdr:rowOff>
                  </to>
                </anchor>
              </controlPr>
            </control>
          </mc:Choice>
        </mc:AlternateContent>
        <mc:AlternateContent xmlns:mc="http://schemas.openxmlformats.org/markup-compatibility/2006">
          <mc:Choice Requires="x14">
            <control shapeId="41622" r:id="rId664" name="Check Box 662">
              <controlPr defaultSize="0" autoFill="0" autoLine="0" autoPict="0">
                <anchor moveWithCells="1" sizeWithCells="1">
                  <from>
                    <xdr:col>6</xdr:col>
                    <xdr:colOff>190500</xdr:colOff>
                    <xdr:row>66</xdr:row>
                    <xdr:rowOff>28575</xdr:rowOff>
                  </from>
                  <to>
                    <xdr:col>6</xdr:col>
                    <xdr:colOff>419100</xdr:colOff>
                    <xdr:row>67</xdr:row>
                    <xdr:rowOff>0</xdr:rowOff>
                  </to>
                </anchor>
              </controlPr>
            </control>
          </mc:Choice>
        </mc:AlternateContent>
        <mc:AlternateContent xmlns:mc="http://schemas.openxmlformats.org/markup-compatibility/2006">
          <mc:Choice Requires="x14">
            <control shapeId="41623" r:id="rId665" name="Check Box 663">
              <controlPr defaultSize="0" autoFill="0" autoLine="0" autoPict="0">
                <anchor moveWithCells="1" sizeWithCells="1">
                  <from>
                    <xdr:col>7</xdr:col>
                    <xdr:colOff>190500</xdr:colOff>
                    <xdr:row>66</xdr:row>
                    <xdr:rowOff>28575</xdr:rowOff>
                  </from>
                  <to>
                    <xdr:col>7</xdr:col>
                    <xdr:colOff>419100</xdr:colOff>
                    <xdr:row>67</xdr:row>
                    <xdr:rowOff>0</xdr:rowOff>
                  </to>
                </anchor>
              </controlPr>
            </control>
          </mc:Choice>
        </mc:AlternateContent>
        <mc:AlternateContent xmlns:mc="http://schemas.openxmlformats.org/markup-compatibility/2006">
          <mc:Choice Requires="x14">
            <control shapeId="41624" r:id="rId666" name="Check Box 664">
              <controlPr defaultSize="0" autoFill="0" autoLine="0" autoPict="0">
                <anchor moveWithCells="1" sizeWithCells="1">
                  <from>
                    <xdr:col>5</xdr:col>
                    <xdr:colOff>219075</xdr:colOff>
                    <xdr:row>66</xdr:row>
                    <xdr:rowOff>28575</xdr:rowOff>
                  </from>
                  <to>
                    <xdr:col>5</xdr:col>
                    <xdr:colOff>447675</xdr:colOff>
                    <xdr:row>67</xdr:row>
                    <xdr:rowOff>0</xdr:rowOff>
                  </to>
                </anchor>
              </controlPr>
            </control>
          </mc:Choice>
        </mc:AlternateContent>
        <mc:AlternateContent xmlns:mc="http://schemas.openxmlformats.org/markup-compatibility/2006">
          <mc:Choice Requires="x14">
            <control shapeId="41625" r:id="rId667" name="Check Box 665">
              <controlPr defaultSize="0" autoFill="0" autoLine="0" autoPict="0">
                <anchor moveWithCells="1" sizeWithCells="1">
                  <from>
                    <xdr:col>6</xdr:col>
                    <xdr:colOff>190500</xdr:colOff>
                    <xdr:row>66</xdr:row>
                    <xdr:rowOff>28575</xdr:rowOff>
                  </from>
                  <to>
                    <xdr:col>6</xdr:col>
                    <xdr:colOff>419100</xdr:colOff>
                    <xdr:row>67</xdr:row>
                    <xdr:rowOff>0</xdr:rowOff>
                  </to>
                </anchor>
              </controlPr>
            </control>
          </mc:Choice>
        </mc:AlternateContent>
        <mc:AlternateContent xmlns:mc="http://schemas.openxmlformats.org/markup-compatibility/2006">
          <mc:Choice Requires="x14">
            <control shapeId="41626" r:id="rId668" name="Check Box 666">
              <controlPr defaultSize="0" autoFill="0" autoLine="0" autoPict="0">
                <anchor moveWithCells="1" sizeWithCells="1">
                  <from>
                    <xdr:col>7</xdr:col>
                    <xdr:colOff>190500</xdr:colOff>
                    <xdr:row>66</xdr:row>
                    <xdr:rowOff>28575</xdr:rowOff>
                  </from>
                  <to>
                    <xdr:col>7</xdr:col>
                    <xdr:colOff>419100</xdr:colOff>
                    <xdr:row>67</xdr:row>
                    <xdr:rowOff>0</xdr:rowOff>
                  </to>
                </anchor>
              </controlPr>
            </control>
          </mc:Choice>
        </mc:AlternateContent>
        <mc:AlternateContent xmlns:mc="http://schemas.openxmlformats.org/markup-compatibility/2006">
          <mc:Choice Requires="x14">
            <control shapeId="41627" r:id="rId669" name="Check Box 667">
              <controlPr defaultSize="0" autoFill="0" autoLine="0" autoPict="0">
                <anchor moveWithCells="1" sizeWithCells="1">
                  <from>
                    <xdr:col>5</xdr:col>
                    <xdr:colOff>219075</xdr:colOff>
                    <xdr:row>67</xdr:row>
                    <xdr:rowOff>28575</xdr:rowOff>
                  </from>
                  <to>
                    <xdr:col>5</xdr:col>
                    <xdr:colOff>447675</xdr:colOff>
                    <xdr:row>68</xdr:row>
                    <xdr:rowOff>0</xdr:rowOff>
                  </to>
                </anchor>
              </controlPr>
            </control>
          </mc:Choice>
        </mc:AlternateContent>
        <mc:AlternateContent xmlns:mc="http://schemas.openxmlformats.org/markup-compatibility/2006">
          <mc:Choice Requires="x14">
            <control shapeId="41628" r:id="rId670" name="Check Box 668">
              <controlPr defaultSize="0" autoFill="0" autoLine="0" autoPict="0">
                <anchor moveWithCells="1" sizeWithCells="1">
                  <from>
                    <xdr:col>6</xdr:col>
                    <xdr:colOff>190500</xdr:colOff>
                    <xdr:row>67</xdr:row>
                    <xdr:rowOff>28575</xdr:rowOff>
                  </from>
                  <to>
                    <xdr:col>6</xdr:col>
                    <xdr:colOff>419100</xdr:colOff>
                    <xdr:row>68</xdr:row>
                    <xdr:rowOff>0</xdr:rowOff>
                  </to>
                </anchor>
              </controlPr>
            </control>
          </mc:Choice>
        </mc:AlternateContent>
        <mc:AlternateContent xmlns:mc="http://schemas.openxmlformats.org/markup-compatibility/2006">
          <mc:Choice Requires="x14">
            <control shapeId="41629" r:id="rId671" name="Check Box 669">
              <controlPr defaultSize="0" autoFill="0" autoLine="0" autoPict="0">
                <anchor moveWithCells="1" sizeWithCells="1">
                  <from>
                    <xdr:col>7</xdr:col>
                    <xdr:colOff>190500</xdr:colOff>
                    <xdr:row>67</xdr:row>
                    <xdr:rowOff>28575</xdr:rowOff>
                  </from>
                  <to>
                    <xdr:col>7</xdr:col>
                    <xdr:colOff>419100</xdr:colOff>
                    <xdr:row>68</xdr:row>
                    <xdr:rowOff>0</xdr:rowOff>
                  </to>
                </anchor>
              </controlPr>
            </control>
          </mc:Choice>
        </mc:AlternateContent>
        <mc:AlternateContent xmlns:mc="http://schemas.openxmlformats.org/markup-compatibility/2006">
          <mc:Choice Requires="x14">
            <control shapeId="41630" r:id="rId672" name="Check Box 670">
              <controlPr defaultSize="0" autoFill="0" autoLine="0" autoPict="0">
                <anchor moveWithCells="1" sizeWithCells="1">
                  <from>
                    <xdr:col>5</xdr:col>
                    <xdr:colOff>219075</xdr:colOff>
                    <xdr:row>67</xdr:row>
                    <xdr:rowOff>28575</xdr:rowOff>
                  </from>
                  <to>
                    <xdr:col>5</xdr:col>
                    <xdr:colOff>447675</xdr:colOff>
                    <xdr:row>68</xdr:row>
                    <xdr:rowOff>0</xdr:rowOff>
                  </to>
                </anchor>
              </controlPr>
            </control>
          </mc:Choice>
        </mc:AlternateContent>
        <mc:AlternateContent xmlns:mc="http://schemas.openxmlformats.org/markup-compatibility/2006">
          <mc:Choice Requires="x14">
            <control shapeId="41631" r:id="rId673" name="Check Box 671">
              <controlPr defaultSize="0" autoFill="0" autoLine="0" autoPict="0">
                <anchor moveWithCells="1" sizeWithCells="1">
                  <from>
                    <xdr:col>6</xdr:col>
                    <xdr:colOff>190500</xdr:colOff>
                    <xdr:row>67</xdr:row>
                    <xdr:rowOff>28575</xdr:rowOff>
                  </from>
                  <to>
                    <xdr:col>6</xdr:col>
                    <xdr:colOff>419100</xdr:colOff>
                    <xdr:row>68</xdr:row>
                    <xdr:rowOff>0</xdr:rowOff>
                  </to>
                </anchor>
              </controlPr>
            </control>
          </mc:Choice>
        </mc:AlternateContent>
        <mc:AlternateContent xmlns:mc="http://schemas.openxmlformats.org/markup-compatibility/2006">
          <mc:Choice Requires="x14">
            <control shapeId="41632" r:id="rId674" name="Check Box 672">
              <controlPr defaultSize="0" autoFill="0" autoLine="0" autoPict="0">
                <anchor moveWithCells="1" sizeWithCells="1">
                  <from>
                    <xdr:col>7</xdr:col>
                    <xdr:colOff>190500</xdr:colOff>
                    <xdr:row>67</xdr:row>
                    <xdr:rowOff>28575</xdr:rowOff>
                  </from>
                  <to>
                    <xdr:col>7</xdr:col>
                    <xdr:colOff>419100</xdr:colOff>
                    <xdr:row>68</xdr:row>
                    <xdr:rowOff>0</xdr:rowOff>
                  </to>
                </anchor>
              </controlPr>
            </control>
          </mc:Choice>
        </mc:AlternateContent>
        <mc:AlternateContent xmlns:mc="http://schemas.openxmlformats.org/markup-compatibility/2006">
          <mc:Choice Requires="x14">
            <control shapeId="41633" r:id="rId675" name="Check Box 673">
              <controlPr defaultSize="0" autoFill="0" autoLine="0" autoPict="0">
                <anchor moveWithCells="1" sizeWithCells="1">
                  <from>
                    <xdr:col>5</xdr:col>
                    <xdr:colOff>219075</xdr:colOff>
                    <xdr:row>68</xdr:row>
                    <xdr:rowOff>28575</xdr:rowOff>
                  </from>
                  <to>
                    <xdr:col>5</xdr:col>
                    <xdr:colOff>447675</xdr:colOff>
                    <xdr:row>69</xdr:row>
                    <xdr:rowOff>0</xdr:rowOff>
                  </to>
                </anchor>
              </controlPr>
            </control>
          </mc:Choice>
        </mc:AlternateContent>
        <mc:AlternateContent xmlns:mc="http://schemas.openxmlformats.org/markup-compatibility/2006">
          <mc:Choice Requires="x14">
            <control shapeId="41634" r:id="rId676" name="Check Box 674">
              <controlPr defaultSize="0" autoFill="0" autoLine="0" autoPict="0">
                <anchor moveWithCells="1" sizeWithCells="1">
                  <from>
                    <xdr:col>6</xdr:col>
                    <xdr:colOff>190500</xdr:colOff>
                    <xdr:row>68</xdr:row>
                    <xdr:rowOff>28575</xdr:rowOff>
                  </from>
                  <to>
                    <xdr:col>6</xdr:col>
                    <xdr:colOff>419100</xdr:colOff>
                    <xdr:row>69</xdr:row>
                    <xdr:rowOff>0</xdr:rowOff>
                  </to>
                </anchor>
              </controlPr>
            </control>
          </mc:Choice>
        </mc:AlternateContent>
        <mc:AlternateContent xmlns:mc="http://schemas.openxmlformats.org/markup-compatibility/2006">
          <mc:Choice Requires="x14">
            <control shapeId="41635" r:id="rId677" name="Check Box 675">
              <controlPr defaultSize="0" autoFill="0" autoLine="0" autoPict="0">
                <anchor moveWithCells="1" sizeWithCells="1">
                  <from>
                    <xdr:col>7</xdr:col>
                    <xdr:colOff>190500</xdr:colOff>
                    <xdr:row>68</xdr:row>
                    <xdr:rowOff>28575</xdr:rowOff>
                  </from>
                  <to>
                    <xdr:col>7</xdr:col>
                    <xdr:colOff>419100</xdr:colOff>
                    <xdr:row>69</xdr:row>
                    <xdr:rowOff>0</xdr:rowOff>
                  </to>
                </anchor>
              </controlPr>
            </control>
          </mc:Choice>
        </mc:AlternateContent>
        <mc:AlternateContent xmlns:mc="http://schemas.openxmlformats.org/markup-compatibility/2006">
          <mc:Choice Requires="x14">
            <control shapeId="41636" r:id="rId678" name="Check Box 676">
              <controlPr defaultSize="0" autoFill="0" autoLine="0" autoPict="0">
                <anchor moveWithCells="1" sizeWithCells="1">
                  <from>
                    <xdr:col>5</xdr:col>
                    <xdr:colOff>219075</xdr:colOff>
                    <xdr:row>68</xdr:row>
                    <xdr:rowOff>28575</xdr:rowOff>
                  </from>
                  <to>
                    <xdr:col>5</xdr:col>
                    <xdr:colOff>447675</xdr:colOff>
                    <xdr:row>69</xdr:row>
                    <xdr:rowOff>0</xdr:rowOff>
                  </to>
                </anchor>
              </controlPr>
            </control>
          </mc:Choice>
        </mc:AlternateContent>
        <mc:AlternateContent xmlns:mc="http://schemas.openxmlformats.org/markup-compatibility/2006">
          <mc:Choice Requires="x14">
            <control shapeId="41637" r:id="rId679" name="Check Box 677">
              <controlPr defaultSize="0" autoFill="0" autoLine="0" autoPict="0">
                <anchor moveWithCells="1" sizeWithCells="1">
                  <from>
                    <xdr:col>6</xdr:col>
                    <xdr:colOff>190500</xdr:colOff>
                    <xdr:row>68</xdr:row>
                    <xdr:rowOff>28575</xdr:rowOff>
                  </from>
                  <to>
                    <xdr:col>6</xdr:col>
                    <xdr:colOff>419100</xdr:colOff>
                    <xdr:row>69</xdr:row>
                    <xdr:rowOff>0</xdr:rowOff>
                  </to>
                </anchor>
              </controlPr>
            </control>
          </mc:Choice>
        </mc:AlternateContent>
        <mc:AlternateContent xmlns:mc="http://schemas.openxmlformats.org/markup-compatibility/2006">
          <mc:Choice Requires="x14">
            <control shapeId="41638" r:id="rId680" name="Check Box 678">
              <controlPr defaultSize="0" autoFill="0" autoLine="0" autoPict="0">
                <anchor moveWithCells="1" sizeWithCells="1">
                  <from>
                    <xdr:col>7</xdr:col>
                    <xdr:colOff>190500</xdr:colOff>
                    <xdr:row>68</xdr:row>
                    <xdr:rowOff>28575</xdr:rowOff>
                  </from>
                  <to>
                    <xdr:col>7</xdr:col>
                    <xdr:colOff>419100</xdr:colOff>
                    <xdr:row>69</xdr:row>
                    <xdr:rowOff>0</xdr:rowOff>
                  </to>
                </anchor>
              </controlPr>
            </control>
          </mc:Choice>
        </mc:AlternateContent>
        <mc:AlternateContent xmlns:mc="http://schemas.openxmlformats.org/markup-compatibility/2006">
          <mc:Choice Requires="x14">
            <control shapeId="41639" r:id="rId681" name="Check Box 679">
              <controlPr defaultSize="0" autoFill="0" autoLine="0" autoPict="0">
                <anchor moveWithCells="1" sizeWithCells="1">
                  <from>
                    <xdr:col>5</xdr:col>
                    <xdr:colOff>219075</xdr:colOff>
                    <xdr:row>69</xdr:row>
                    <xdr:rowOff>28575</xdr:rowOff>
                  </from>
                  <to>
                    <xdr:col>5</xdr:col>
                    <xdr:colOff>447675</xdr:colOff>
                    <xdr:row>70</xdr:row>
                    <xdr:rowOff>0</xdr:rowOff>
                  </to>
                </anchor>
              </controlPr>
            </control>
          </mc:Choice>
        </mc:AlternateContent>
        <mc:AlternateContent xmlns:mc="http://schemas.openxmlformats.org/markup-compatibility/2006">
          <mc:Choice Requires="x14">
            <control shapeId="41640" r:id="rId682" name="Check Box 680">
              <controlPr defaultSize="0" autoFill="0" autoLine="0" autoPict="0">
                <anchor moveWithCells="1" sizeWithCells="1">
                  <from>
                    <xdr:col>6</xdr:col>
                    <xdr:colOff>190500</xdr:colOff>
                    <xdr:row>69</xdr:row>
                    <xdr:rowOff>28575</xdr:rowOff>
                  </from>
                  <to>
                    <xdr:col>6</xdr:col>
                    <xdr:colOff>419100</xdr:colOff>
                    <xdr:row>70</xdr:row>
                    <xdr:rowOff>0</xdr:rowOff>
                  </to>
                </anchor>
              </controlPr>
            </control>
          </mc:Choice>
        </mc:AlternateContent>
        <mc:AlternateContent xmlns:mc="http://schemas.openxmlformats.org/markup-compatibility/2006">
          <mc:Choice Requires="x14">
            <control shapeId="41641" r:id="rId683" name="Check Box 681">
              <controlPr defaultSize="0" autoFill="0" autoLine="0" autoPict="0">
                <anchor moveWithCells="1" sizeWithCells="1">
                  <from>
                    <xdr:col>7</xdr:col>
                    <xdr:colOff>190500</xdr:colOff>
                    <xdr:row>69</xdr:row>
                    <xdr:rowOff>28575</xdr:rowOff>
                  </from>
                  <to>
                    <xdr:col>7</xdr:col>
                    <xdr:colOff>419100</xdr:colOff>
                    <xdr:row>70</xdr:row>
                    <xdr:rowOff>0</xdr:rowOff>
                  </to>
                </anchor>
              </controlPr>
            </control>
          </mc:Choice>
        </mc:AlternateContent>
        <mc:AlternateContent xmlns:mc="http://schemas.openxmlformats.org/markup-compatibility/2006">
          <mc:Choice Requires="x14">
            <control shapeId="41642" r:id="rId684" name="Check Box 682">
              <controlPr defaultSize="0" autoFill="0" autoLine="0" autoPict="0">
                <anchor moveWithCells="1" sizeWithCells="1">
                  <from>
                    <xdr:col>5</xdr:col>
                    <xdr:colOff>219075</xdr:colOff>
                    <xdr:row>69</xdr:row>
                    <xdr:rowOff>28575</xdr:rowOff>
                  </from>
                  <to>
                    <xdr:col>5</xdr:col>
                    <xdr:colOff>447675</xdr:colOff>
                    <xdr:row>70</xdr:row>
                    <xdr:rowOff>0</xdr:rowOff>
                  </to>
                </anchor>
              </controlPr>
            </control>
          </mc:Choice>
        </mc:AlternateContent>
        <mc:AlternateContent xmlns:mc="http://schemas.openxmlformats.org/markup-compatibility/2006">
          <mc:Choice Requires="x14">
            <control shapeId="41643" r:id="rId685" name="Check Box 683">
              <controlPr defaultSize="0" autoFill="0" autoLine="0" autoPict="0">
                <anchor moveWithCells="1" sizeWithCells="1">
                  <from>
                    <xdr:col>6</xdr:col>
                    <xdr:colOff>190500</xdr:colOff>
                    <xdr:row>69</xdr:row>
                    <xdr:rowOff>28575</xdr:rowOff>
                  </from>
                  <to>
                    <xdr:col>6</xdr:col>
                    <xdr:colOff>419100</xdr:colOff>
                    <xdr:row>70</xdr:row>
                    <xdr:rowOff>0</xdr:rowOff>
                  </to>
                </anchor>
              </controlPr>
            </control>
          </mc:Choice>
        </mc:AlternateContent>
        <mc:AlternateContent xmlns:mc="http://schemas.openxmlformats.org/markup-compatibility/2006">
          <mc:Choice Requires="x14">
            <control shapeId="41644" r:id="rId686" name="Check Box 684">
              <controlPr defaultSize="0" autoFill="0" autoLine="0" autoPict="0">
                <anchor moveWithCells="1" sizeWithCells="1">
                  <from>
                    <xdr:col>7</xdr:col>
                    <xdr:colOff>190500</xdr:colOff>
                    <xdr:row>69</xdr:row>
                    <xdr:rowOff>28575</xdr:rowOff>
                  </from>
                  <to>
                    <xdr:col>7</xdr:col>
                    <xdr:colOff>419100</xdr:colOff>
                    <xdr:row>70</xdr:row>
                    <xdr:rowOff>0</xdr:rowOff>
                  </to>
                </anchor>
              </controlPr>
            </control>
          </mc:Choice>
        </mc:AlternateContent>
        <mc:AlternateContent xmlns:mc="http://schemas.openxmlformats.org/markup-compatibility/2006">
          <mc:Choice Requires="x14">
            <control shapeId="41657" r:id="rId687" name="Check Box 697">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658" r:id="rId688" name="Check Box 698">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659" r:id="rId689" name="Check Box 699">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660" r:id="rId690" name="Check Box 700">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661" r:id="rId691" name="Check Box 701">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662" r:id="rId692" name="Check Box 702">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663" r:id="rId693" name="Check Box 703">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664" r:id="rId694" name="Check Box 704">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665" r:id="rId695" name="Check Box 705">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666" r:id="rId696" name="Check Box 706">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667" r:id="rId697" name="Check Box 707">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668" r:id="rId698" name="Check Box 708">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06476-A40E-4B08-B1D1-2AEABB2419B7}">
  <sheetPr codeName="Sheet27">
    <tabColor theme="4"/>
  </sheetPr>
  <dimension ref="A1:M85"/>
  <sheetViews>
    <sheetView showGridLines="0" showZeros="0" topLeftCell="A4" workbookViewId="0">
      <selection activeCell="I34" sqref="I34:M34"/>
    </sheetView>
  </sheetViews>
  <sheetFormatPr defaultColWidth="9.42578125" defaultRowHeight="13.35" customHeight="1" x14ac:dyDescent="0.25"/>
  <cols>
    <col min="1" max="1" width="2.5703125" customWidth="1"/>
    <col min="2" max="2" width="4.42578125" customWidth="1"/>
    <col min="3" max="3" width="9.5703125" customWidth="1"/>
    <col min="4" max="4" width="10.42578125" customWidth="1"/>
    <col min="5" max="5" width="17.42578125" customWidth="1"/>
    <col min="9" max="9" width="9.42578125" customWidth="1"/>
    <col min="12" max="12" width="9.5703125" customWidth="1"/>
    <col min="13" max="13" width="12.5703125" customWidth="1"/>
    <col min="14" max="14" width="9.42578125" customWidth="1"/>
  </cols>
  <sheetData>
    <row r="1" spans="1:13" ht="15" x14ac:dyDescent="0.25">
      <c r="A1" s="1408"/>
      <c r="B1" s="40"/>
      <c r="C1" s="40"/>
      <c r="D1" s="40"/>
      <c r="E1" s="40"/>
      <c r="F1" s="40"/>
      <c r="G1" s="40"/>
      <c r="H1" s="40"/>
      <c r="I1" s="40"/>
      <c r="J1" s="40"/>
      <c r="K1" s="40"/>
      <c r="L1" s="41"/>
      <c r="M1" s="40"/>
    </row>
    <row r="2" spans="1:13" ht="15" x14ac:dyDescent="0.25">
      <c r="A2" s="1408"/>
      <c r="B2" s="2839" t="s">
        <v>1302</v>
      </c>
      <c r="C2" s="2840"/>
      <c r="D2" s="2840"/>
      <c r="E2" s="2840"/>
      <c r="F2" s="2840"/>
      <c r="G2" s="2840"/>
      <c r="H2" s="2840"/>
      <c r="I2" s="2840"/>
      <c r="J2" s="2840"/>
      <c r="K2" s="2840"/>
      <c r="L2" s="2840"/>
      <c r="M2" s="2841"/>
    </row>
    <row r="3" spans="1:13" ht="15.75" x14ac:dyDescent="0.25">
      <c r="A3" s="1408"/>
      <c r="B3" s="1120"/>
      <c r="C3" s="2292" t="str">
        <f>+'Data Input sheet'!$B$7&amp;" "&amp;'Data Input sheet'!$C$7</f>
        <v>Project Title: Battery Storage - Hyde Park</v>
      </c>
      <c r="D3" s="48"/>
      <c r="E3" s="49"/>
      <c r="F3" s="42"/>
      <c r="G3" s="42"/>
      <c r="H3" s="1408"/>
      <c r="I3" s="1408"/>
      <c r="J3" s="1408"/>
      <c r="K3" s="2292" t="str">
        <f>+'Data Input sheet'!$B$4&amp;" "&amp;'Data Input sheet'!$C$4</f>
        <v>Estimate #: E-23-373</v>
      </c>
      <c r="L3" s="55"/>
      <c r="M3" s="1121"/>
    </row>
    <row r="4" spans="1:13" ht="15.75" x14ac:dyDescent="0.25">
      <c r="A4" s="1408"/>
      <c r="B4" s="1120"/>
      <c r="C4" s="2292" t="str">
        <f>+'Data Input sheet'!$B$8&amp;" "&amp;'Data Input sheet'!$C$8</f>
        <v>Project Mgr/Lead: Michael Rosenburg</v>
      </c>
      <c r="D4" s="57"/>
      <c r="E4" s="53"/>
      <c r="F4" s="54"/>
      <c r="G4" s="54"/>
      <c r="H4" s="1408"/>
      <c r="I4" s="1408"/>
      <c r="J4" s="1408"/>
      <c r="K4" s="2292" t="str">
        <f>'Data Input sheet'!$B$11&amp;TEXT('Data Input sheet'!$C$11,"mm/dd/yyy")</f>
        <v>Date of Estimate:12/08/2023</v>
      </c>
      <c r="L4" s="897"/>
      <c r="M4" s="1121"/>
    </row>
    <row r="5" spans="1:13" ht="15.75" x14ac:dyDescent="0.25">
      <c r="A5" s="1408"/>
      <c r="B5" s="1120"/>
      <c r="C5" s="2292" t="str">
        <f>+'Data Input sheet'!$B$5&amp;" "&amp;'Data Input sheet'!$C$5</f>
        <v>Project Number: 21334</v>
      </c>
      <c r="D5" s="48"/>
      <c r="E5" s="53"/>
      <c r="F5" s="54"/>
      <c r="G5" s="54"/>
      <c r="H5" s="1408"/>
      <c r="I5" s="1408"/>
      <c r="J5" s="1408"/>
      <c r="K5" s="2292" t="str">
        <f>+'Data Input sheet'!$B$13&amp;" "&amp;'Data Input sheet'!$C$13</f>
        <v>Estimate done by: PAG</v>
      </c>
      <c r="L5" s="2276">
        <f>+'Data Input sheet'!$C$10</f>
        <v>47110</v>
      </c>
      <c r="M5" s="1122"/>
    </row>
    <row r="6" spans="1:13" ht="15" x14ac:dyDescent="0.25">
      <c r="A6" s="1408"/>
      <c r="B6" s="1120"/>
      <c r="C6" s="2292" t="str">
        <f>+'Data Input sheet'!$B$6&amp;" "&amp;'Data Input sheet'!$C$6</f>
        <v>WO &amp; Task #: 80089926</v>
      </c>
      <c r="D6" s="51"/>
      <c r="E6" s="51"/>
      <c r="F6" s="64"/>
      <c r="G6" s="64"/>
      <c r="H6" s="1408"/>
      <c r="I6" s="1408"/>
      <c r="J6" s="1408"/>
      <c r="K6" s="2292" t="str">
        <f>'Data Input sheet'!$B$10&amp;TEXT('Data Input sheet'!$C$10,"mm/dd/yyy")</f>
        <v>In Service date (ISD):12/23/2028</v>
      </c>
      <c r="L6" s="896"/>
      <c r="M6" s="1122"/>
    </row>
    <row r="7" spans="1:13" ht="15" x14ac:dyDescent="0.25">
      <c r="A7" s="1408"/>
      <c r="B7" s="1124"/>
      <c r="C7" s="2293" t="str">
        <f>+'Data Input sheet'!$B$12&amp;" "&amp;'Data Input sheet'!$C$12</f>
        <v>Estimate revision #: 00</v>
      </c>
      <c r="D7" s="1125"/>
      <c r="E7" s="1125"/>
      <c r="F7" s="1126"/>
      <c r="G7" s="1126"/>
      <c r="H7" s="1126"/>
      <c r="I7" s="1126"/>
      <c r="J7" s="1127"/>
      <c r="K7" s="2291"/>
      <c r="L7" s="1126" t="str">
        <f>+'Data Input sheet'!M2</f>
        <v>Template Revision # 01.92a</v>
      </c>
      <c r="M7" s="1129"/>
    </row>
    <row r="8" spans="1:13" ht="15" x14ac:dyDescent="0.25">
      <c r="A8" s="1408"/>
      <c r="B8" s="1408"/>
      <c r="C8" s="1408"/>
      <c r="D8" s="1408"/>
      <c r="E8" s="1408"/>
      <c r="F8" s="1408"/>
      <c r="G8" s="1408"/>
      <c r="H8" s="1408"/>
      <c r="I8" s="1408"/>
      <c r="J8" s="1408"/>
      <c r="K8" s="1408"/>
      <c r="L8" s="1408"/>
      <c r="M8" s="1408"/>
    </row>
    <row r="9" spans="1:13" ht="60.75" x14ac:dyDescent="0.25">
      <c r="A9" s="1408"/>
      <c r="B9" s="1409" t="s">
        <v>109</v>
      </c>
      <c r="C9" s="1410"/>
      <c r="D9" s="1410"/>
      <c r="E9" s="1410"/>
      <c r="F9" s="1411" t="s">
        <v>110</v>
      </c>
      <c r="G9" s="1411" t="s">
        <v>111</v>
      </c>
      <c r="H9" s="1411" t="s">
        <v>51</v>
      </c>
      <c r="I9" s="1412" t="s">
        <v>1</v>
      </c>
      <c r="J9" s="1413"/>
      <c r="K9" s="1413"/>
      <c r="L9" s="1413"/>
      <c r="M9" s="1414"/>
    </row>
    <row r="10" spans="1:13" ht="15" x14ac:dyDescent="0.25">
      <c r="A10" s="1408"/>
      <c r="B10" s="1415" t="s">
        <v>112</v>
      </c>
      <c r="C10" s="941"/>
      <c r="D10" s="941"/>
      <c r="E10" s="941"/>
      <c r="F10" s="1416"/>
      <c r="G10" s="1416"/>
      <c r="H10" s="1416"/>
      <c r="I10" s="2826"/>
      <c r="J10" s="2827"/>
      <c r="K10" s="2827"/>
      <c r="L10" s="2827"/>
      <c r="M10" s="2828"/>
    </row>
    <row r="11" spans="1:13" ht="15" x14ac:dyDescent="0.25">
      <c r="A11" s="1408"/>
      <c r="B11" s="1417"/>
      <c r="C11" s="1418"/>
      <c r="D11" s="1418"/>
      <c r="E11" s="1418"/>
      <c r="F11" s="1418"/>
      <c r="G11" s="1418"/>
      <c r="H11" s="1418"/>
      <c r="I11" s="2850"/>
      <c r="J11" s="2850"/>
      <c r="K11" s="2850"/>
      <c r="L11" s="2850"/>
      <c r="M11" s="2851"/>
    </row>
    <row r="12" spans="1:13" ht="15" x14ac:dyDescent="0.25">
      <c r="A12" s="1408"/>
      <c r="B12" s="1415" t="s">
        <v>113</v>
      </c>
      <c r="C12" s="941"/>
      <c r="D12" s="941"/>
      <c r="E12" s="941"/>
      <c r="F12" s="1416"/>
      <c r="G12" s="1416"/>
      <c r="H12" s="1416"/>
      <c r="I12" s="2826"/>
      <c r="J12" s="2827"/>
      <c r="K12" s="2827"/>
      <c r="L12" s="2827"/>
      <c r="M12" s="2828"/>
    </row>
    <row r="13" spans="1:13" ht="15" x14ac:dyDescent="0.25">
      <c r="A13" s="1408"/>
      <c r="B13" s="1429" t="s">
        <v>114</v>
      </c>
      <c r="C13" s="942"/>
      <c r="D13" s="942"/>
      <c r="E13" s="942"/>
      <c r="F13" s="1419"/>
      <c r="G13" s="1419"/>
      <c r="H13" s="1419"/>
      <c r="I13" s="2829"/>
      <c r="J13" s="2830"/>
      <c r="K13" s="2830"/>
      <c r="L13" s="2830"/>
      <c r="M13" s="2831"/>
    </row>
    <row r="14" spans="1:13" ht="15" x14ac:dyDescent="0.25">
      <c r="A14" s="1408"/>
      <c r="B14" s="1420"/>
      <c r="C14" s="942" t="s">
        <v>151</v>
      </c>
      <c r="D14" s="1408"/>
      <c r="E14" s="942"/>
      <c r="F14" s="1419"/>
      <c r="G14" s="1419"/>
      <c r="H14" s="1419"/>
      <c r="I14" s="2829"/>
      <c r="J14" s="2830"/>
      <c r="K14" s="2830"/>
      <c r="L14" s="2830"/>
      <c r="M14" s="2831"/>
    </row>
    <row r="15" spans="1:13" ht="15" x14ac:dyDescent="0.25">
      <c r="A15" s="1408"/>
      <c r="B15" s="1420"/>
      <c r="C15" s="942" t="s">
        <v>152</v>
      </c>
      <c r="D15" s="942"/>
      <c r="E15" s="942"/>
      <c r="F15" s="1419"/>
      <c r="G15" s="1419"/>
      <c r="H15" s="1419"/>
      <c r="I15" s="2829"/>
      <c r="J15" s="2830"/>
      <c r="K15" s="2830"/>
      <c r="L15" s="2830"/>
      <c r="M15" s="2831"/>
    </row>
    <row r="16" spans="1:13" ht="15" x14ac:dyDescent="0.25">
      <c r="A16" s="1408"/>
      <c r="B16" s="1420"/>
      <c r="C16" s="942" t="s">
        <v>121</v>
      </c>
      <c r="D16" s="942"/>
      <c r="E16" s="942"/>
      <c r="F16" s="1419"/>
      <c r="G16" s="1419"/>
      <c r="H16" s="1419"/>
      <c r="I16" s="2829"/>
      <c r="J16" s="2830"/>
      <c r="K16" s="2830"/>
      <c r="L16" s="2830"/>
      <c r="M16" s="2831"/>
    </row>
    <row r="17" spans="1:13" ht="15" x14ac:dyDescent="0.25">
      <c r="A17" s="1408"/>
      <c r="B17" s="1420"/>
      <c r="C17" s="942"/>
      <c r="D17" s="942"/>
      <c r="E17" s="942"/>
      <c r="F17" s="1418"/>
      <c r="G17" s="1418"/>
      <c r="H17" s="1418"/>
      <c r="I17" s="1437"/>
      <c r="J17" s="1437"/>
      <c r="K17" s="1437"/>
      <c r="L17" s="1437"/>
      <c r="M17" s="1438"/>
    </row>
    <row r="18" spans="1:13" ht="15" x14ac:dyDescent="0.25">
      <c r="A18" s="1408"/>
      <c r="B18" s="1415" t="s">
        <v>122</v>
      </c>
      <c r="C18" s="941"/>
      <c r="D18" s="941"/>
      <c r="E18" s="941"/>
      <c r="F18" s="1416"/>
      <c r="G18" s="1416"/>
      <c r="H18" s="1416"/>
      <c r="I18" s="2826"/>
      <c r="J18" s="2827"/>
      <c r="K18" s="2827"/>
      <c r="L18" s="2827"/>
      <c r="M18" s="2828"/>
    </row>
    <row r="19" spans="1:13" ht="15" x14ac:dyDescent="0.25">
      <c r="A19" s="1408"/>
      <c r="B19" s="1420"/>
      <c r="C19" s="942" t="s">
        <v>125</v>
      </c>
      <c r="D19" s="942"/>
      <c r="E19" s="942"/>
      <c r="F19" s="1419"/>
      <c r="G19" s="1419"/>
      <c r="H19" s="1419"/>
      <c r="I19" s="2829"/>
      <c r="J19" s="2830"/>
      <c r="K19" s="2830"/>
      <c r="L19" s="2830"/>
      <c r="M19" s="2831"/>
    </row>
    <row r="20" spans="1:13" ht="15" x14ac:dyDescent="0.25">
      <c r="A20" s="1408"/>
      <c r="B20" s="1420"/>
      <c r="C20" s="942"/>
      <c r="D20" s="942"/>
      <c r="E20" s="942"/>
      <c r="F20" s="1418"/>
      <c r="G20" s="1418"/>
      <c r="H20" s="1418"/>
      <c r="I20" s="1437"/>
      <c r="J20" s="1437"/>
      <c r="K20" s="1437"/>
      <c r="L20" s="1437"/>
      <c r="M20" s="1438"/>
    </row>
    <row r="21" spans="1:13" ht="15" x14ac:dyDescent="0.25">
      <c r="A21" s="1408"/>
      <c r="B21" s="1415" t="s">
        <v>126</v>
      </c>
      <c r="C21" s="941"/>
      <c r="D21" s="941"/>
      <c r="E21" s="941"/>
      <c r="F21" s="1416"/>
      <c r="G21" s="1416"/>
      <c r="H21" s="1416"/>
      <c r="I21" s="2826"/>
      <c r="J21" s="2827"/>
      <c r="K21" s="2827"/>
      <c r="L21" s="2827"/>
      <c r="M21" s="2828"/>
    </row>
    <row r="22" spans="1:13" ht="26.25" x14ac:dyDescent="0.25">
      <c r="A22" s="1408"/>
      <c r="B22" s="1420"/>
      <c r="C22" s="2221" t="str">
        <f>+"Expected Siting requirements "&amp;'Detail Summary'!$AY$98</f>
        <v>Expected Siting requirements Siting - Chapter 40A</v>
      </c>
      <c r="D22" s="2222"/>
      <c r="E22" s="2222"/>
      <c r="F22" s="1419"/>
      <c r="G22" s="1419"/>
      <c r="H22" s="1419"/>
      <c r="I22" s="2829"/>
      <c r="J22" s="2830"/>
      <c r="K22" s="2830"/>
      <c r="L22" s="2830"/>
      <c r="M22" s="2831"/>
    </row>
    <row r="23" spans="1:13" ht="15" x14ac:dyDescent="0.25">
      <c r="A23" s="1408"/>
      <c r="B23" s="1420"/>
      <c r="C23" s="2221" t="str">
        <f>+"Outreaach - Project Services "&amp;'Detail Summary'!$AY$95</f>
        <v>Outreaach - Project Services SCS - Campaign</v>
      </c>
      <c r="D23" s="2222"/>
      <c r="E23" s="2222"/>
      <c r="F23" s="1419"/>
      <c r="G23" s="1419"/>
      <c r="H23" s="1419"/>
      <c r="I23" s="2829"/>
      <c r="J23" s="2830"/>
      <c r="K23" s="2830"/>
      <c r="L23" s="2830"/>
      <c r="M23" s="2831"/>
    </row>
    <row r="24" spans="1:13" ht="15" x14ac:dyDescent="0.25">
      <c r="A24" s="1408"/>
      <c r="B24" s="1420"/>
      <c r="C24" s="942"/>
      <c r="D24" s="942"/>
      <c r="E24" s="942"/>
      <c r="F24" s="1418"/>
      <c r="G24" s="1418"/>
      <c r="H24" s="1418"/>
      <c r="I24" s="1437"/>
      <c r="J24" s="1437"/>
      <c r="K24" s="1437"/>
      <c r="L24" s="1437"/>
      <c r="M24" s="1438"/>
    </row>
    <row r="25" spans="1:13" ht="15" x14ac:dyDescent="0.25">
      <c r="A25" s="1408"/>
      <c r="B25" s="1415" t="s">
        <v>127</v>
      </c>
      <c r="C25" s="941"/>
      <c r="D25" s="941"/>
      <c r="E25" s="941"/>
      <c r="F25" s="1416"/>
      <c r="G25" s="1416"/>
      <c r="H25" s="1416"/>
      <c r="I25" s="2826"/>
      <c r="J25" s="2827"/>
      <c r="K25" s="2827"/>
      <c r="L25" s="2827"/>
      <c r="M25" s="2828"/>
    </row>
    <row r="26" spans="1:13" ht="15" x14ac:dyDescent="0.25">
      <c r="A26" s="1408"/>
      <c r="B26" s="1420"/>
      <c r="C26" s="942" t="s">
        <v>129</v>
      </c>
      <c r="D26" s="942"/>
      <c r="E26" s="942"/>
      <c r="F26" s="1419"/>
      <c r="G26" s="1419"/>
      <c r="H26" s="1419"/>
      <c r="I26" s="2829"/>
      <c r="J26" s="2830"/>
      <c r="K26" s="2830"/>
      <c r="L26" s="2830"/>
      <c r="M26" s="2831"/>
    </row>
    <row r="27" spans="1:13" ht="15" x14ac:dyDescent="0.25">
      <c r="A27" s="1408"/>
      <c r="B27" s="1420"/>
      <c r="C27" s="942" t="s">
        <v>130</v>
      </c>
      <c r="D27" s="942"/>
      <c r="E27" s="942"/>
      <c r="F27" s="1419"/>
      <c r="G27" s="1419"/>
      <c r="H27" s="1419"/>
      <c r="I27" s="2829"/>
      <c r="J27" s="2830"/>
      <c r="K27" s="2830"/>
      <c r="L27" s="2830"/>
      <c r="M27" s="2831"/>
    </row>
    <row r="28" spans="1:13" ht="15" x14ac:dyDescent="0.25">
      <c r="A28" s="1408"/>
      <c r="B28" s="1420"/>
      <c r="C28" s="942"/>
      <c r="D28" s="942"/>
      <c r="E28" s="942"/>
      <c r="F28" s="1418"/>
      <c r="G28" s="1418"/>
      <c r="H28" s="1418"/>
      <c r="I28" s="1437"/>
      <c r="J28" s="1437"/>
      <c r="K28" s="1437"/>
      <c r="L28" s="1437"/>
      <c r="M28" s="1438"/>
    </row>
    <row r="29" spans="1:13" ht="15" x14ac:dyDescent="0.25">
      <c r="A29" s="1408"/>
      <c r="B29" s="1415" t="s">
        <v>131</v>
      </c>
      <c r="C29" s="941"/>
      <c r="D29" s="941"/>
      <c r="E29" s="941"/>
      <c r="F29" s="1416"/>
      <c r="G29" s="1416"/>
      <c r="H29" s="1416"/>
      <c r="I29" s="2826"/>
      <c r="J29" s="2827"/>
      <c r="K29" s="2827"/>
      <c r="L29" s="2827"/>
      <c r="M29" s="2828"/>
    </row>
    <row r="30" spans="1:13" ht="15" x14ac:dyDescent="0.25">
      <c r="A30" s="1408"/>
      <c r="B30" s="1420"/>
      <c r="C30" s="942" t="s">
        <v>153</v>
      </c>
      <c r="D30" s="942"/>
      <c r="E30" s="942"/>
      <c r="F30" s="1419"/>
      <c r="G30" s="1419"/>
      <c r="H30" s="1419"/>
      <c r="I30" s="2849" t="s">
        <v>3723</v>
      </c>
      <c r="J30" s="2830"/>
      <c r="K30" s="2830"/>
      <c r="L30" s="2830"/>
      <c r="M30" s="2831"/>
    </row>
    <row r="31" spans="1:13" ht="15" x14ac:dyDescent="0.25">
      <c r="A31" s="1408"/>
      <c r="B31" s="1420"/>
      <c r="C31" s="942" t="s">
        <v>154</v>
      </c>
      <c r="D31" s="942"/>
      <c r="E31" s="942"/>
      <c r="F31" s="1419"/>
      <c r="G31" s="1419"/>
      <c r="H31" s="1419"/>
      <c r="I31" s="2829"/>
      <c r="J31" s="2830"/>
      <c r="K31" s="2830"/>
      <c r="L31" s="2830"/>
      <c r="M31" s="2831"/>
    </row>
    <row r="32" spans="1:13" ht="15" x14ac:dyDescent="0.25">
      <c r="A32" s="1408"/>
      <c r="B32" s="1420"/>
      <c r="C32" s="942" t="s">
        <v>155</v>
      </c>
      <c r="D32" s="942"/>
      <c r="E32" s="942"/>
      <c r="F32" s="1419"/>
      <c r="G32" s="1419"/>
      <c r="H32" s="1419"/>
      <c r="I32" s="2829"/>
      <c r="J32" s="2830"/>
      <c r="K32" s="2830"/>
      <c r="L32" s="2830"/>
      <c r="M32" s="2831"/>
    </row>
    <row r="33" spans="1:13" ht="15" x14ac:dyDescent="0.25">
      <c r="A33" s="1408"/>
      <c r="B33" s="1420"/>
      <c r="C33" s="942" t="s">
        <v>156</v>
      </c>
      <c r="D33" s="942"/>
      <c r="E33" s="942"/>
      <c r="F33" s="1419"/>
      <c r="G33" s="1419"/>
      <c r="H33" s="1419"/>
      <c r="I33" s="2829"/>
      <c r="J33" s="2830"/>
      <c r="K33" s="2830"/>
      <c r="L33" s="2830"/>
      <c r="M33" s="2831"/>
    </row>
    <row r="34" spans="1:13" ht="15" x14ac:dyDescent="0.25">
      <c r="A34" s="1408"/>
      <c r="B34" s="1420"/>
      <c r="C34" s="942" t="s">
        <v>157</v>
      </c>
      <c r="D34" s="942"/>
      <c r="E34" s="942"/>
      <c r="F34" s="1419"/>
      <c r="G34" s="1419"/>
      <c r="H34" s="1419"/>
      <c r="I34" s="2829"/>
      <c r="J34" s="2830"/>
      <c r="K34" s="2830"/>
      <c r="L34" s="2830"/>
      <c r="M34" s="2831"/>
    </row>
    <row r="35" spans="1:13" ht="15" x14ac:dyDescent="0.25">
      <c r="A35" s="1408"/>
      <c r="B35" s="1420"/>
      <c r="C35" s="942" t="s">
        <v>158</v>
      </c>
      <c r="D35" s="942"/>
      <c r="E35" s="942"/>
      <c r="F35" s="1419"/>
      <c r="G35" s="1419"/>
      <c r="H35" s="1419"/>
      <c r="I35" s="2829"/>
      <c r="J35" s="2830"/>
      <c r="K35" s="2830"/>
      <c r="L35" s="2830"/>
      <c r="M35" s="2831"/>
    </row>
    <row r="36" spans="1:13" ht="15" x14ac:dyDescent="0.25">
      <c r="A36" s="1408"/>
      <c r="B36" s="1420"/>
      <c r="C36" s="942" t="s">
        <v>159</v>
      </c>
      <c r="D36" s="942"/>
      <c r="E36" s="942"/>
      <c r="F36" s="1419"/>
      <c r="G36" s="1419"/>
      <c r="H36" s="1419"/>
      <c r="I36" s="2829"/>
      <c r="J36" s="2830"/>
      <c r="K36" s="2830"/>
      <c r="L36" s="2830"/>
      <c r="M36" s="2831"/>
    </row>
    <row r="37" spans="1:13" ht="15" x14ac:dyDescent="0.25">
      <c r="A37" s="1408"/>
      <c r="B37" s="1420"/>
      <c r="C37" s="942" t="s">
        <v>160</v>
      </c>
      <c r="D37" s="942"/>
      <c r="E37" s="942"/>
      <c r="F37" s="1419"/>
      <c r="G37" s="1419"/>
      <c r="H37" s="1419"/>
      <c r="I37" s="2829"/>
      <c r="J37" s="2830"/>
      <c r="K37" s="2830"/>
      <c r="L37" s="2830"/>
      <c r="M37" s="2831"/>
    </row>
    <row r="38" spans="1:13" ht="15" x14ac:dyDescent="0.25">
      <c r="A38" s="1408"/>
      <c r="B38" s="1420"/>
      <c r="C38" s="942" t="s">
        <v>161</v>
      </c>
      <c r="D38" s="942"/>
      <c r="E38" s="942"/>
      <c r="F38" s="1419"/>
      <c r="G38" s="1419"/>
      <c r="H38" s="1419"/>
      <c r="I38" s="2829"/>
      <c r="J38" s="2830"/>
      <c r="K38" s="2830"/>
      <c r="L38" s="2830"/>
      <c r="M38" s="2831"/>
    </row>
    <row r="39" spans="1:13" ht="15" x14ac:dyDescent="0.25">
      <c r="A39" s="1408"/>
      <c r="B39" s="1420"/>
      <c r="C39" s="942"/>
      <c r="D39" s="942"/>
      <c r="E39" s="942"/>
      <c r="F39" s="1418"/>
      <c r="G39" s="1418"/>
      <c r="H39" s="1418"/>
      <c r="I39" s="1437"/>
      <c r="J39" s="1437"/>
      <c r="K39" s="1437"/>
      <c r="L39" s="1437"/>
      <c r="M39" s="1438"/>
    </row>
    <row r="40" spans="1:13" ht="15" x14ac:dyDescent="0.25">
      <c r="A40" s="1408"/>
      <c r="B40" s="1415" t="s">
        <v>162</v>
      </c>
      <c r="C40" s="941"/>
      <c r="D40" s="941"/>
      <c r="E40" s="941"/>
      <c r="F40" s="1421"/>
      <c r="G40" s="1421"/>
      <c r="H40" s="1421"/>
      <c r="I40" s="2826"/>
      <c r="J40" s="2827"/>
      <c r="K40" s="2827"/>
      <c r="L40" s="2827"/>
      <c r="M40" s="2828"/>
    </row>
    <row r="41" spans="1:13" ht="15" x14ac:dyDescent="0.25">
      <c r="A41" s="1408"/>
      <c r="B41" s="1420"/>
      <c r="C41" s="942" t="s">
        <v>163</v>
      </c>
      <c r="D41" s="942"/>
      <c r="E41" s="942"/>
      <c r="F41" s="1422"/>
      <c r="G41" s="1422"/>
      <c r="H41" s="1422"/>
      <c r="I41" s="2829"/>
      <c r="J41" s="2830"/>
      <c r="K41" s="2830"/>
      <c r="L41" s="2830"/>
      <c r="M41" s="2831"/>
    </row>
    <row r="42" spans="1:13" ht="15" x14ac:dyDescent="0.25">
      <c r="A42" s="1408"/>
      <c r="B42" s="1420"/>
      <c r="C42" s="942" t="s">
        <v>164</v>
      </c>
      <c r="D42" s="942"/>
      <c r="E42" s="942"/>
      <c r="F42" s="1422"/>
      <c r="G42" s="1422"/>
      <c r="H42" s="1422"/>
      <c r="I42" s="2829"/>
      <c r="J42" s="2830"/>
      <c r="K42" s="2830"/>
      <c r="L42" s="2830"/>
      <c r="M42" s="2831"/>
    </row>
    <row r="43" spans="1:13" ht="15" x14ac:dyDescent="0.25">
      <c r="A43" s="1408"/>
      <c r="B43" s="1420"/>
      <c r="C43" s="942" t="s">
        <v>165</v>
      </c>
      <c r="D43" s="942"/>
      <c r="E43" s="942"/>
      <c r="F43" s="1422"/>
      <c r="G43" s="1422"/>
      <c r="H43" s="1422"/>
      <c r="I43" s="2829"/>
      <c r="J43" s="2830"/>
      <c r="K43" s="2830"/>
      <c r="L43" s="2830"/>
      <c r="M43" s="2831"/>
    </row>
    <row r="44" spans="1:13" ht="15" x14ac:dyDescent="0.25">
      <c r="A44" s="1408"/>
      <c r="B44" s="1420"/>
      <c r="C44" s="942" t="s">
        <v>166</v>
      </c>
      <c r="D44" s="942"/>
      <c r="E44" s="942"/>
      <c r="F44" s="1422"/>
      <c r="G44" s="1422"/>
      <c r="H44" s="1422"/>
      <c r="I44" s="2829"/>
      <c r="J44" s="2830"/>
      <c r="K44" s="2830"/>
      <c r="L44" s="2830"/>
      <c r="M44" s="2831"/>
    </row>
    <row r="45" spans="1:13" ht="15" x14ac:dyDescent="0.25">
      <c r="A45" s="1408"/>
      <c r="B45" s="1420"/>
      <c r="C45" s="942" t="s">
        <v>167</v>
      </c>
      <c r="D45" s="942"/>
      <c r="E45" s="942"/>
      <c r="F45" s="1422"/>
      <c r="G45" s="1422"/>
      <c r="H45" s="1422"/>
      <c r="I45" s="2829"/>
      <c r="J45" s="2830"/>
      <c r="K45" s="2830"/>
      <c r="L45" s="2830"/>
      <c r="M45" s="2831"/>
    </row>
    <row r="46" spans="1:13" ht="15" x14ac:dyDescent="0.25">
      <c r="A46" s="1408"/>
      <c r="B46" s="1420"/>
      <c r="C46" s="942" t="s">
        <v>168</v>
      </c>
      <c r="D46" s="942"/>
      <c r="E46" s="942"/>
      <c r="F46" s="1422"/>
      <c r="G46" s="1422"/>
      <c r="H46" s="1422"/>
      <c r="I46" s="2829"/>
      <c r="J46" s="2830"/>
      <c r="K46" s="2830"/>
      <c r="L46" s="2830"/>
      <c r="M46" s="2831"/>
    </row>
    <row r="47" spans="1:13" ht="15" x14ac:dyDescent="0.25">
      <c r="A47" s="1408"/>
      <c r="B47" s="1420"/>
      <c r="C47" s="942"/>
      <c r="D47" s="942"/>
      <c r="E47" s="942"/>
      <c r="F47" s="1418"/>
      <c r="G47" s="1418"/>
      <c r="H47" s="1418"/>
      <c r="I47" s="1437"/>
      <c r="J47" s="1437"/>
      <c r="K47" s="1437"/>
      <c r="L47" s="1437"/>
      <c r="M47" s="1438"/>
    </row>
    <row r="48" spans="1:13" ht="15" x14ac:dyDescent="0.25">
      <c r="A48" s="1408"/>
      <c r="B48" s="1415" t="s">
        <v>141</v>
      </c>
      <c r="C48" s="941"/>
      <c r="D48" s="941"/>
      <c r="E48" s="941"/>
      <c r="F48" s="1421"/>
      <c r="G48" s="1421"/>
      <c r="H48" s="1421"/>
      <c r="I48" s="2826"/>
      <c r="J48" s="2827"/>
      <c r="K48" s="2827"/>
      <c r="L48" s="2827"/>
      <c r="M48" s="2828"/>
    </row>
    <row r="49" spans="1:13" ht="15" x14ac:dyDescent="0.25">
      <c r="A49" s="1408"/>
      <c r="B49" s="1420"/>
      <c r="C49" s="942" t="s">
        <v>169</v>
      </c>
      <c r="D49" s="942"/>
      <c r="E49" s="942"/>
      <c r="F49" s="1422"/>
      <c r="G49" s="1422"/>
      <c r="H49" s="1422"/>
      <c r="I49" s="2829"/>
      <c r="J49" s="2830"/>
      <c r="K49" s="2830"/>
      <c r="L49" s="2830"/>
      <c r="M49" s="2831"/>
    </row>
    <row r="50" spans="1:13" ht="15" x14ac:dyDescent="0.25">
      <c r="A50" s="1408"/>
      <c r="B50" s="1420"/>
      <c r="C50" s="942" t="s">
        <v>170</v>
      </c>
      <c r="D50" s="942"/>
      <c r="E50" s="942"/>
      <c r="F50" s="1422"/>
      <c r="G50" s="1422"/>
      <c r="H50" s="1422"/>
      <c r="I50" s="2829"/>
      <c r="J50" s="2830"/>
      <c r="K50" s="2830"/>
      <c r="L50" s="2830"/>
      <c r="M50" s="2831"/>
    </row>
    <row r="51" spans="1:13" ht="15" x14ac:dyDescent="0.25">
      <c r="A51" s="1408"/>
      <c r="B51" s="1420"/>
      <c r="C51" s="942" t="s">
        <v>171</v>
      </c>
      <c r="D51" s="942"/>
      <c r="E51" s="942"/>
      <c r="F51" s="1422"/>
      <c r="G51" s="1422"/>
      <c r="H51" s="1422"/>
      <c r="I51" s="2829"/>
      <c r="J51" s="2830"/>
      <c r="K51" s="2830"/>
      <c r="L51" s="2830"/>
      <c r="M51" s="2831"/>
    </row>
    <row r="52" spans="1:13" ht="15" x14ac:dyDescent="0.25">
      <c r="A52" s="1408"/>
      <c r="B52" s="1420"/>
      <c r="C52" s="942" t="s">
        <v>172</v>
      </c>
      <c r="D52" s="942"/>
      <c r="E52" s="942"/>
      <c r="F52" s="1422"/>
      <c r="G52" s="1422"/>
      <c r="H52" s="1422"/>
      <c r="I52" s="2829"/>
      <c r="J52" s="2830"/>
      <c r="K52" s="2830"/>
      <c r="L52" s="2830"/>
      <c r="M52" s="2831"/>
    </row>
    <row r="53" spans="1:13" ht="15" x14ac:dyDescent="0.25">
      <c r="A53" s="1408"/>
      <c r="B53" s="1420"/>
      <c r="C53" s="942" t="s">
        <v>173</v>
      </c>
      <c r="D53" s="942"/>
      <c r="E53" s="942"/>
      <c r="F53" s="1422"/>
      <c r="G53" s="1422"/>
      <c r="H53" s="1422"/>
      <c r="I53" s="2829"/>
      <c r="J53" s="2830"/>
      <c r="K53" s="2830"/>
      <c r="L53" s="2830"/>
      <c r="M53" s="2831"/>
    </row>
    <row r="54" spans="1:13" ht="15" x14ac:dyDescent="0.25">
      <c r="A54" s="1408"/>
      <c r="B54" s="1420"/>
      <c r="C54" s="942"/>
      <c r="D54" s="942"/>
      <c r="E54" s="942"/>
      <c r="F54" s="1423"/>
      <c r="G54" s="1423"/>
      <c r="H54" s="1423"/>
      <c r="I54" s="1439"/>
      <c r="J54" s="1439"/>
      <c r="K54" s="1439"/>
      <c r="L54" s="1439"/>
      <c r="M54" s="1440"/>
    </row>
    <row r="55" spans="1:13" ht="15" x14ac:dyDescent="0.25">
      <c r="A55" s="1408"/>
      <c r="B55" s="1415" t="s">
        <v>146</v>
      </c>
      <c r="C55" s="941"/>
      <c r="D55" s="941"/>
      <c r="E55" s="941"/>
      <c r="F55" s="1421"/>
      <c r="G55" s="1421"/>
      <c r="H55" s="1421"/>
      <c r="I55" s="2826"/>
      <c r="J55" s="2827"/>
      <c r="K55" s="2827"/>
      <c r="L55" s="2827"/>
      <c r="M55" s="2828"/>
    </row>
    <row r="56" spans="1:13" ht="15" x14ac:dyDescent="0.25">
      <c r="A56" s="1408"/>
      <c r="B56" s="1420"/>
      <c r="C56" s="942" t="s">
        <v>147</v>
      </c>
      <c r="D56" s="942"/>
      <c r="E56" s="942"/>
      <c r="F56" s="1422"/>
      <c r="G56" s="1422"/>
      <c r="H56" s="1422"/>
      <c r="I56" s="2829"/>
      <c r="J56" s="2830"/>
      <c r="K56" s="2830"/>
      <c r="L56" s="2830"/>
      <c r="M56" s="2831"/>
    </row>
    <row r="57" spans="1:13" ht="15" x14ac:dyDescent="0.25">
      <c r="A57" s="1408"/>
      <c r="B57" s="1420"/>
      <c r="C57" s="1424" t="s">
        <v>1306</v>
      </c>
      <c r="D57" s="942"/>
      <c r="E57" s="942"/>
      <c r="F57" s="1422"/>
      <c r="G57" s="1422"/>
      <c r="H57" s="1422"/>
      <c r="I57" s="2829"/>
      <c r="J57" s="2830"/>
      <c r="K57" s="2830"/>
      <c r="L57" s="2830"/>
      <c r="M57" s="2831"/>
    </row>
    <row r="58" spans="1:13" ht="15" x14ac:dyDescent="0.25">
      <c r="A58" s="1408"/>
      <c r="B58" s="1420"/>
      <c r="C58" s="1424" t="s">
        <v>1307</v>
      </c>
      <c r="D58" s="942"/>
      <c r="E58" s="942"/>
      <c r="F58" s="1422"/>
      <c r="G58" s="1422"/>
      <c r="H58" s="1422"/>
      <c r="I58" s="2829"/>
      <c r="J58" s="2830"/>
      <c r="K58" s="2830"/>
      <c r="L58" s="2830"/>
      <c r="M58" s="2831"/>
    </row>
    <row r="59" spans="1:13" ht="15" x14ac:dyDescent="0.25">
      <c r="A59" s="1408"/>
      <c r="B59" s="1420"/>
      <c r="C59" s="1424" t="s">
        <v>1297</v>
      </c>
      <c r="D59" s="942"/>
      <c r="E59" s="942"/>
      <c r="F59" s="1422"/>
      <c r="G59" s="1422"/>
      <c r="H59" s="1422"/>
      <c r="I59" s="2829"/>
      <c r="J59" s="2830"/>
      <c r="K59" s="2830"/>
      <c r="L59" s="2830"/>
      <c r="M59" s="2831"/>
    </row>
    <row r="60" spans="1:13" ht="15" x14ac:dyDescent="0.25">
      <c r="A60" s="1408"/>
      <c r="B60" s="1420"/>
      <c r="C60" s="1425" t="s">
        <v>93</v>
      </c>
      <c r="D60" s="942"/>
      <c r="E60" s="942"/>
      <c r="F60" s="1422"/>
      <c r="G60" s="1422"/>
      <c r="H60" s="1422"/>
      <c r="I60" s="2829"/>
      <c r="J60" s="2830"/>
      <c r="K60" s="2830"/>
      <c r="L60" s="2830"/>
      <c r="M60" s="2831"/>
    </row>
    <row r="61" spans="1:13" ht="15" x14ac:dyDescent="0.25">
      <c r="A61" s="1408"/>
      <c r="B61" s="1420"/>
      <c r="C61" s="1424" t="s">
        <v>1298</v>
      </c>
      <c r="D61" s="942"/>
      <c r="E61" s="942"/>
      <c r="F61" s="1422"/>
      <c r="G61" s="1422"/>
      <c r="H61" s="1422"/>
      <c r="I61" s="2829"/>
      <c r="J61" s="2830"/>
      <c r="K61" s="2830"/>
      <c r="L61" s="2830"/>
      <c r="M61" s="2831"/>
    </row>
    <row r="62" spans="1:13" ht="24" customHeight="1" x14ac:dyDescent="0.25">
      <c r="A62" s="1408"/>
      <c r="B62" s="1420"/>
      <c r="C62" s="1457" t="s">
        <v>1294</v>
      </c>
      <c r="D62" s="942"/>
      <c r="E62" s="942"/>
      <c r="F62" s="1422"/>
      <c r="G62" s="1422"/>
      <c r="H62" s="1422"/>
      <c r="I62" s="2848"/>
      <c r="J62" s="2830"/>
      <c r="K62" s="2830"/>
      <c r="L62" s="2830"/>
      <c r="M62" s="2831"/>
    </row>
    <row r="63" spans="1:13" ht="15" x14ac:dyDescent="0.25">
      <c r="A63" s="1408"/>
      <c r="B63" s="1420"/>
      <c r="C63" s="1424" t="s">
        <v>1299</v>
      </c>
      <c r="D63" s="942"/>
      <c r="E63" s="942"/>
      <c r="F63" s="1422"/>
      <c r="G63" s="1422"/>
      <c r="H63" s="1422"/>
      <c r="I63" s="2829"/>
      <c r="J63" s="2830"/>
      <c r="K63" s="2830"/>
      <c r="L63" s="2830"/>
      <c r="M63" s="2831"/>
    </row>
    <row r="64" spans="1:13" ht="15" x14ac:dyDescent="0.25">
      <c r="A64" s="1408"/>
      <c r="B64" s="1420"/>
      <c r="C64" s="1424" t="s">
        <v>1300</v>
      </c>
      <c r="D64" s="942"/>
      <c r="E64" s="942"/>
      <c r="F64" s="1422"/>
      <c r="G64" s="1422"/>
      <c r="H64" s="1422"/>
      <c r="I64" s="2829"/>
      <c r="J64" s="2830"/>
      <c r="K64" s="2830"/>
      <c r="L64" s="2830"/>
      <c r="M64" s="2831"/>
    </row>
    <row r="65" spans="1:13" ht="15" x14ac:dyDescent="0.25">
      <c r="A65" s="1408"/>
      <c r="B65" s="1420"/>
      <c r="C65" s="1424" t="s">
        <v>79</v>
      </c>
      <c r="D65" s="942"/>
      <c r="E65" s="942"/>
      <c r="F65" s="1422"/>
      <c r="G65" s="1422"/>
      <c r="H65" s="1422"/>
      <c r="I65" s="2829"/>
      <c r="J65" s="2830"/>
      <c r="K65" s="2830"/>
      <c r="L65" s="2830"/>
      <c r="M65" s="2831"/>
    </row>
    <row r="66" spans="1:13" ht="15" x14ac:dyDescent="0.25">
      <c r="A66" s="1408"/>
      <c r="B66" s="1420"/>
      <c r="C66" s="1425" t="s">
        <v>1310</v>
      </c>
      <c r="D66" s="942"/>
      <c r="E66" s="942"/>
      <c r="F66" s="1422"/>
      <c r="G66" s="1422"/>
      <c r="H66" s="1422"/>
      <c r="I66" s="2829"/>
      <c r="J66" s="2830"/>
      <c r="K66" s="2830"/>
      <c r="L66" s="2830"/>
      <c r="M66" s="2831"/>
    </row>
    <row r="67" spans="1:13" ht="15" x14ac:dyDescent="0.25">
      <c r="A67" s="1408"/>
      <c r="B67" s="1420"/>
      <c r="C67" s="1424" t="s">
        <v>342</v>
      </c>
      <c r="D67" s="942"/>
      <c r="E67" s="942"/>
      <c r="F67" s="1422"/>
      <c r="G67" s="1422"/>
      <c r="H67" s="1422"/>
      <c r="I67" s="2829"/>
      <c r="J67" s="2830"/>
      <c r="K67" s="2830"/>
      <c r="L67" s="2830"/>
      <c r="M67" s="2831"/>
    </row>
    <row r="68" spans="1:13" ht="15" x14ac:dyDescent="0.25">
      <c r="A68" s="1408"/>
      <c r="B68" s="1420"/>
      <c r="C68" s="1424" t="s">
        <v>1311</v>
      </c>
      <c r="D68" s="942"/>
      <c r="E68" s="942"/>
      <c r="F68" s="1422"/>
      <c r="G68" s="1422"/>
      <c r="H68" s="1422"/>
      <c r="I68" s="2829"/>
      <c r="J68" s="2830"/>
      <c r="K68" s="2830"/>
      <c r="L68" s="2830"/>
      <c r="M68" s="2831"/>
    </row>
    <row r="69" spans="1:13" ht="15" x14ac:dyDescent="0.25">
      <c r="A69" s="1408"/>
      <c r="B69" s="1420"/>
      <c r="C69" s="1424" t="s">
        <v>1312</v>
      </c>
      <c r="D69" s="942"/>
      <c r="E69" s="942"/>
      <c r="F69" s="1422"/>
      <c r="G69" s="1422"/>
      <c r="H69" s="1422"/>
      <c r="I69" s="2829"/>
      <c r="J69" s="2830"/>
      <c r="K69" s="2830"/>
      <c r="L69" s="2830"/>
      <c r="M69" s="2831"/>
    </row>
    <row r="70" spans="1:13" ht="15" x14ac:dyDescent="0.25">
      <c r="A70" s="1408"/>
      <c r="B70" s="1420"/>
      <c r="C70" s="1424" t="s">
        <v>39</v>
      </c>
      <c r="D70" s="942"/>
      <c r="E70" s="942"/>
      <c r="F70" s="1422"/>
      <c r="G70" s="1422"/>
      <c r="H70" s="1422"/>
      <c r="I70" s="2832"/>
      <c r="J70" s="2830"/>
      <c r="K70" s="2830"/>
      <c r="L70" s="2830"/>
      <c r="M70" s="2831"/>
    </row>
    <row r="71" spans="1:13" ht="15" x14ac:dyDescent="0.25">
      <c r="A71" s="1408"/>
      <c r="B71" s="1420"/>
      <c r="C71" s="1424" t="s">
        <v>39</v>
      </c>
      <c r="D71" s="942"/>
      <c r="E71" s="942"/>
      <c r="F71" s="1422"/>
      <c r="G71" s="1422"/>
      <c r="H71" s="1422"/>
      <c r="I71" s="2832"/>
      <c r="J71" s="2830"/>
      <c r="K71" s="2830"/>
      <c r="L71" s="2830"/>
      <c r="M71" s="2831"/>
    </row>
    <row r="72" spans="1:13" ht="15" x14ac:dyDescent="0.25">
      <c r="A72" s="1408"/>
      <c r="B72" s="1420"/>
      <c r="C72" s="1424" t="s">
        <v>39</v>
      </c>
      <c r="D72" s="942"/>
      <c r="E72" s="942"/>
      <c r="F72" s="1422"/>
      <c r="G72" s="1422"/>
      <c r="H72" s="1422"/>
      <c r="I72" s="2832"/>
      <c r="J72" s="2830"/>
      <c r="K72" s="2830"/>
      <c r="L72" s="2830"/>
      <c r="M72" s="2831"/>
    </row>
    <row r="73" spans="1:13" ht="15" x14ac:dyDescent="0.25">
      <c r="A73" s="1408"/>
      <c r="B73" s="1420"/>
      <c r="C73" s="1424"/>
      <c r="D73" s="942"/>
      <c r="E73" s="942"/>
      <c r="F73" s="1423"/>
      <c r="G73" s="1423"/>
      <c r="H73" s="1423"/>
      <c r="I73" s="1437"/>
      <c r="J73" s="1437"/>
      <c r="K73" s="1437"/>
      <c r="L73" s="1437"/>
      <c r="M73" s="1438"/>
    </row>
    <row r="74" spans="1:13" ht="15" x14ac:dyDescent="0.25">
      <c r="A74" s="1408"/>
      <c r="B74" s="1415" t="s">
        <v>148</v>
      </c>
      <c r="C74" s="941"/>
      <c r="D74" s="941"/>
      <c r="E74" s="941"/>
      <c r="F74" s="1421"/>
      <c r="G74" s="1421"/>
      <c r="H74" s="1421"/>
      <c r="I74" s="2826"/>
      <c r="J74" s="2827"/>
      <c r="K74" s="2827"/>
      <c r="L74" s="2827"/>
      <c r="M74" s="2828"/>
    </row>
    <row r="75" spans="1:13" ht="15" x14ac:dyDescent="0.25">
      <c r="A75" s="1408"/>
      <c r="B75" s="1420"/>
      <c r="C75" s="942" t="s">
        <v>69</v>
      </c>
      <c r="D75" s="942"/>
      <c r="E75" s="942"/>
      <c r="F75" s="1422"/>
      <c r="G75" s="1422"/>
      <c r="H75" s="1422"/>
      <c r="I75" s="2829"/>
      <c r="J75" s="2830"/>
      <c r="K75" s="2830"/>
      <c r="L75" s="2830"/>
      <c r="M75" s="2831"/>
    </row>
    <row r="76" spans="1:13" ht="15" x14ac:dyDescent="0.25">
      <c r="A76" s="1408"/>
      <c r="B76" s="1420"/>
      <c r="C76" s="942" t="s">
        <v>149</v>
      </c>
      <c r="D76" s="942"/>
      <c r="E76" s="942"/>
      <c r="F76" s="1422"/>
      <c r="G76" s="1422"/>
      <c r="H76" s="1422"/>
      <c r="I76" s="2829"/>
      <c r="J76" s="2830"/>
      <c r="K76" s="2830"/>
      <c r="L76" s="2830"/>
      <c r="M76" s="2831"/>
    </row>
    <row r="77" spans="1:13" ht="15" x14ac:dyDescent="0.25">
      <c r="A77" s="1408"/>
      <c r="B77" s="1420"/>
      <c r="C77" s="942" t="s">
        <v>38</v>
      </c>
      <c r="D77" s="942"/>
      <c r="E77" s="942"/>
      <c r="F77" s="1422"/>
      <c r="G77" s="1422"/>
      <c r="H77" s="1422"/>
      <c r="I77" s="2829"/>
      <c r="J77" s="2830"/>
      <c r="K77" s="2830"/>
      <c r="L77" s="2830"/>
      <c r="M77" s="2831"/>
    </row>
    <row r="78" spans="1:13" ht="15" x14ac:dyDescent="0.25">
      <c r="A78" s="1408"/>
      <c r="B78" s="1420"/>
      <c r="C78" s="942" t="s">
        <v>150</v>
      </c>
      <c r="D78" s="942"/>
      <c r="E78" s="942"/>
      <c r="F78" s="1422"/>
      <c r="G78" s="1422"/>
      <c r="H78" s="1422"/>
      <c r="I78" s="2829"/>
      <c r="J78" s="2830"/>
      <c r="K78" s="2830"/>
      <c r="L78" s="2830"/>
      <c r="M78" s="2831"/>
    </row>
    <row r="79" spans="1:13" ht="15" x14ac:dyDescent="0.25">
      <c r="A79" s="1408"/>
      <c r="B79" s="1420"/>
      <c r="C79" s="942"/>
      <c r="D79" s="942"/>
      <c r="E79" s="942"/>
      <c r="F79" s="1423"/>
      <c r="G79" s="1423"/>
      <c r="H79" s="1423"/>
      <c r="I79" s="1439"/>
      <c r="J79" s="1439"/>
      <c r="K79" s="1439"/>
      <c r="L79" s="1439"/>
      <c r="M79" s="1440"/>
    </row>
    <row r="80" spans="1:13" ht="15" x14ac:dyDescent="0.25">
      <c r="A80" s="1408"/>
      <c r="B80" s="948" t="s">
        <v>174</v>
      </c>
      <c r="C80" s="941"/>
      <c r="D80" s="941"/>
      <c r="E80" s="941"/>
      <c r="F80" s="1421"/>
      <c r="G80" s="1421"/>
      <c r="H80" s="1421"/>
      <c r="I80" s="2826"/>
      <c r="J80" s="2827"/>
      <c r="K80" s="2827"/>
      <c r="L80" s="2827"/>
      <c r="M80" s="2828"/>
    </row>
    <row r="81" spans="1:13" ht="15" x14ac:dyDescent="0.25">
      <c r="A81" s="1408"/>
      <c r="B81" s="1420" t="s">
        <v>39</v>
      </c>
      <c r="C81" s="942"/>
      <c r="D81" s="942"/>
      <c r="E81" s="942"/>
      <c r="F81" s="1422"/>
      <c r="G81" s="1422"/>
      <c r="H81" s="1422"/>
      <c r="I81" s="2829"/>
      <c r="J81" s="2830"/>
      <c r="K81" s="2830"/>
      <c r="L81" s="2830"/>
      <c r="M81" s="2831"/>
    </row>
    <row r="82" spans="1:13" ht="15" x14ac:dyDescent="0.25">
      <c r="A82" s="1408"/>
      <c r="B82" s="1420" t="s">
        <v>39</v>
      </c>
      <c r="C82" s="942"/>
      <c r="D82" s="942"/>
      <c r="E82" s="942"/>
      <c r="F82" s="1422"/>
      <c r="G82" s="1422"/>
      <c r="H82" s="1422"/>
      <c r="I82" s="2829"/>
      <c r="J82" s="2830"/>
      <c r="K82" s="2830"/>
      <c r="L82" s="2830"/>
      <c r="M82" s="2831"/>
    </row>
    <row r="83" spans="1:13" ht="15" x14ac:dyDescent="0.25">
      <c r="A83" s="1408"/>
      <c r="B83" s="1420" t="s">
        <v>39</v>
      </c>
      <c r="C83" s="942"/>
      <c r="D83" s="942"/>
      <c r="E83" s="942"/>
      <c r="F83" s="1422"/>
      <c r="G83" s="1422"/>
      <c r="H83" s="1422"/>
      <c r="I83" s="2829"/>
      <c r="J83" s="2830"/>
      <c r="K83" s="2830"/>
      <c r="L83" s="2830"/>
      <c r="M83" s="2831"/>
    </row>
    <row r="84" spans="1:13" ht="15" x14ac:dyDescent="0.25">
      <c r="A84" s="1408"/>
      <c r="B84" s="1426" t="s">
        <v>39</v>
      </c>
      <c r="C84" s="1427"/>
      <c r="D84" s="1427"/>
      <c r="E84" s="1427"/>
      <c r="F84" s="1428"/>
      <c r="G84" s="1428"/>
      <c r="H84" s="1428"/>
      <c r="I84" s="2845"/>
      <c r="J84" s="2846"/>
      <c r="K84" s="2846"/>
      <c r="L84" s="2846"/>
      <c r="M84" s="2847"/>
    </row>
    <row r="85" spans="1:13" ht="15" x14ac:dyDescent="0.25">
      <c r="A85" s="1408"/>
      <c r="B85" s="1408"/>
      <c r="C85" s="1408"/>
      <c r="D85" s="1408"/>
      <c r="E85" s="1408"/>
      <c r="F85" s="1408"/>
      <c r="G85" s="1408"/>
      <c r="H85" s="1408"/>
      <c r="I85" s="1408"/>
      <c r="J85" s="1408"/>
      <c r="K85" s="1408"/>
      <c r="L85" s="1408"/>
      <c r="M85" s="1408"/>
    </row>
  </sheetData>
  <sheetProtection algorithmName="SHA-512" hashValue="/Xd8C3znxwsmVVgcOV/cOyUAR4IlTQa1rkvfpHhVyWmxBma6mCOIeJ1zXvvvFpEQfTnmOiH1UejbLlf4zmq0ow==" saltValue="CN/R3TaTW8aY9z66ylpUTg==" spinCount="100000" sheet="1" scenarios="1" formatCells="0" formatColumns="0" formatRows="0" autoFilter="0"/>
  <mergeCells count="67">
    <mergeCell ref="I26:M26"/>
    <mergeCell ref="B2:M2"/>
    <mergeCell ref="I11:M11"/>
    <mergeCell ref="I13:M13"/>
    <mergeCell ref="I14:M14"/>
    <mergeCell ref="I15:M15"/>
    <mergeCell ref="I10:M10"/>
    <mergeCell ref="I12:M12"/>
    <mergeCell ref="I18:M18"/>
    <mergeCell ref="I21:M21"/>
    <mergeCell ref="I25:M25"/>
    <mergeCell ref="I16:M16"/>
    <mergeCell ref="I19:M19"/>
    <mergeCell ref="I22:M22"/>
    <mergeCell ref="I23:M23"/>
    <mergeCell ref="I27:M27"/>
    <mergeCell ref="I30:M30"/>
    <mergeCell ref="I31:M31"/>
    <mergeCell ref="I32:M32"/>
    <mergeCell ref="I33:M33"/>
    <mergeCell ref="I29:M29"/>
    <mergeCell ref="I34:M34"/>
    <mergeCell ref="I35:M35"/>
    <mergeCell ref="I36:M36"/>
    <mergeCell ref="I37:M37"/>
    <mergeCell ref="I38:M38"/>
    <mergeCell ref="I49:M49"/>
    <mergeCell ref="I50:M50"/>
    <mergeCell ref="I51:M51"/>
    <mergeCell ref="I52:M52"/>
    <mergeCell ref="I41:M41"/>
    <mergeCell ref="I42:M42"/>
    <mergeCell ref="I43:M43"/>
    <mergeCell ref="I44:M44"/>
    <mergeCell ref="I45:M45"/>
    <mergeCell ref="I40:M40"/>
    <mergeCell ref="I48:M48"/>
    <mergeCell ref="I55:M55"/>
    <mergeCell ref="I74:M74"/>
    <mergeCell ref="I65:M65"/>
    <mergeCell ref="I60:M60"/>
    <mergeCell ref="I61:M61"/>
    <mergeCell ref="I62:M62"/>
    <mergeCell ref="I63:M63"/>
    <mergeCell ref="I64:M64"/>
    <mergeCell ref="I53:M53"/>
    <mergeCell ref="I56:M56"/>
    <mergeCell ref="I57:M57"/>
    <mergeCell ref="I58:M58"/>
    <mergeCell ref="I59:M59"/>
    <mergeCell ref="I46:M46"/>
    <mergeCell ref="I84:M84"/>
    <mergeCell ref="I66:M66"/>
    <mergeCell ref="I67:M67"/>
    <mergeCell ref="I68:M68"/>
    <mergeCell ref="I69:M69"/>
    <mergeCell ref="I70:M70"/>
    <mergeCell ref="I71:M71"/>
    <mergeCell ref="I72:M72"/>
    <mergeCell ref="I81:M81"/>
    <mergeCell ref="I82:M82"/>
    <mergeCell ref="I83:M83"/>
    <mergeCell ref="I80:M80"/>
    <mergeCell ref="I75:M75"/>
    <mergeCell ref="I76:M76"/>
    <mergeCell ref="I77:M77"/>
    <mergeCell ref="I78:M78"/>
  </mergeCells>
  <pageMargins left="0.7" right="0.7" top="0.75" bottom="0.75" header="0.3" footer="0.3"/>
  <pageSetup orientation="landscape"/>
  <headerFooter>
    <oddHeader>&amp;C&amp;"-,Bold"ESTIMATE BASIS - LINES</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41985" r:id="rId3" name="Check Box 1">
              <controlPr defaultSize="0" autoFill="0" autoLine="0" autoPict="0">
                <anchor moveWithCells="1" sizeWithCells="1">
                  <from>
                    <xdr:col>5</xdr:col>
                    <xdr:colOff>219075</xdr:colOff>
                    <xdr:row>9</xdr:row>
                    <xdr:rowOff>28575</xdr:rowOff>
                  </from>
                  <to>
                    <xdr:col>5</xdr:col>
                    <xdr:colOff>447675</xdr:colOff>
                    <xdr:row>10</xdr:row>
                    <xdr:rowOff>0</xdr:rowOff>
                  </to>
                </anchor>
              </controlPr>
            </control>
          </mc:Choice>
        </mc:AlternateContent>
        <mc:AlternateContent xmlns:mc="http://schemas.openxmlformats.org/markup-compatibility/2006">
          <mc:Choice Requires="x14">
            <control shapeId="41986" r:id="rId4" name="Check Box 2">
              <controlPr defaultSize="0" autoFill="0" autoLine="0" autoPict="0">
                <anchor moveWithCells="1" sizeWithCells="1">
                  <from>
                    <xdr:col>6</xdr:col>
                    <xdr:colOff>190500</xdr:colOff>
                    <xdr:row>9</xdr:row>
                    <xdr:rowOff>28575</xdr:rowOff>
                  </from>
                  <to>
                    <xdr:col>6</xdr:col>
                    <xdr:colOff>419100</xdr:colOff>
                    <xdr:row>10</xdr:row>
                    <xdr:rowOff>0</xdr:rowOff>
                  </to>
                </anchor>
              </controlPr>
            </control>
          </mc:Choice>
        </mc:AlternateContent>
        <mc:AlternateContent xmlns:mc="http://schemas.openxmlformats.org/markup-compatibility/2006">
          <mc:Choice Requires="x14">
            <control shapeId="41987" r:id="rId5" name="Check Box 3">
              <controlPr defaultSize="0" autoFill="0" autoLine="0" autoPict="0">
                <anchor moveWithCells="1" sizeWithCells="1">
                  <from>
                    <xdr:col>7</xdr:col>
                    <xdr:colOff>190500</xdr:colOff>
                    <xdr:row>9</xdr:row>
                    <xdr:rowOff>28575</xdr:rowOff>
                  </from>
                  <to>
                    <xdr:col>7</xdr:col>
                    <xdr:colOff>419100</xdr:colOff>
                    <xdr:row>10</xdr:row>
                    <xdr:rowOff>0</xdr:rowOff>
                  </to>
                </anchor>
              </controlPr>
            </control>
          </mc:Choice>
        </mc:AlternateContent>
        <mc:AlternateContent xmlns:mc="http://schemas.openxmlformats.org/markup-compatibility/2006">
          <mc:Choice Requires="x14">
            <control shapeId="41988" r:id="rId6" name="Check Box 4">
              <controlPr defaultSize="0" autoFill="0" autoLine="0" autoPict="0">
                <anchor moveWithCells="1" sizeWithCells="1">
                  <from>
                    <xdr:col>5</xdr:col>
                    <xdr:colOff>219075</xdr:colOff>
                    <xdr:row>11</xdr:row>
                    <xdr:rowOff>28575</xdr:rowOff>
                  </from>
                  <to>
                    <xdr:col>5</xdr:col>
                    <xdr:colOff>447675</xdr:colOff>
                    <xdr:row>12</xdr:row>
                    <xdr:rowOff>0</xdr:rowOff>
                  </to>
                </anchor>
              </controlPr>
            </control>
          </mc:Choice>
        </mc:AlternateContent>
        <mc:AlternateContent xmlns:mc="http://schemas.openxmlformats.org/markup-compatibility/2006">
          <mc:Choice Requires="x14">
            <control shapeId="41989" r:id="rId7" name="Check Box 5">
              <controlPr defaultSize="0" autoFill="0" autoLine="0" autoPict="0">
                <anchor moveWithCells="1" sizeWithCells="1">
                  <from>
                    <xdr:col>6</xdr:col>
                    <xdr:colOff>190500</xdr:colOff>
                    <xdr:row>11</xdr:row>
                    <xdr:rowOff>28575</xdr:rowOff>
                  </from>
                  <to>
                    <xdr:col>6</xdr:col>
                    <xdr:colOff>419100</xdr:colOff>
                    <xdr:row>12</xdr:row>
                    <xdr:rowOff>0</xdr:rowOff>
                  </to>
                </anchor>
              </controlPr>
            </control>
          </mc:Choice>
        </mc:AlternateContent>
        <mc:AlternateContent xmlns:mc="http://schemas.openxmlformats.org/markup-compatibility/2006">
          <mc:Choice Requires="x14">
            <control shapeId="41990" r:id="rId8" name="Check Box 6">
              <controlPr defaultSize="0" autoFill="0" autoLine="0" autoPict="0">
                <anchor moveWithCells="1" sizeWithCells="1">
                  <from>
                    <xdr:col>7</xdr:col>
                    <xdr:colOff>190500</xdr:colOff>
                    <xdr:row>11</xdr:row>
                    <xdr:rowOff>28575</xdr:rowOff>
                  </from>
                  <to>
                    <xdr:col>7</xdr:col>
                    <xdr:colOff>419100</xdr:colOff>
                    <xdr:row>12</xdr:row>
                    <xdr:rowOff>0</xdr:rowOff>
                  </to>
                </anchor>
              </controlPr>
            </control>
          </mc:Choice>
        </mc:AlternateContent>
        <mc:AlternateContent xmlns:mc="http://schemas.openxmlformats.org/markup-compatibility/2006">
          <mc:Choice Requires="x14">
            <control shapeId="41991" r:id="rId9" name="Check Box 7">
              <controlPr defaultSize="0" autoFill="0" autoLine="0" autoPict="0">
                <anchor moveWithCells="1" sizeWithCells="1">
                  <from>
                    <xdr:col>5</xdr:col>
                    <xdr:colOff>219075</xdr:colOff>
                    <xdr:row>17</xdr:row>
                    <xdr:rowOff>28575</xdr:rowOff>
                  </from>
                  <to>
                    <xdr:col>5</xdr:col>
                    <xdr:colOff>447675</xdr:colOff>
                    <xdr:row>18</xdr:row>
                    <xdr:rowOff>0</xdr:rowOff>
                  </to>
                </anchor>
              </controlPr>
            </control>
          </mc:Choice>
        </mc:AlternateContent>
        <mc:AlternateContent xmlns:mc="http://schemas.openxmlformats.org/markup-compatibility/2006">
          <mc:Choice Requires="x14">
            <control shapeId="41992" r:id="rId10" name="Check Box 8">
              <controlPr defaultSize="0" autoFill="0" autoLine="0" autoPict="0">
                <anchor moveWithCells="1" sizeWithCells="1">
                  <from>
                    <xdr:col>6</xdr:col>
                    <xdr:colOff>190500</xdr:colOff>
                    <xdr:row>17</xdr:row>
                    <xdr:rowOff>28575</xdr:rowOff>
                  </from>
                  <to>
                    <xdr:col>6</xdr:col>
                    <xdr:colOff>419100</xdr:colOff>
                    <xdr:row>18</xdr:row>
                    <xdr:rowOff>0</xdr:rowOff>
                  </to>
                </anchor>
              </controlPr>
            </control>
          </mc:Choice>
        </mc:AlternateContent>
        <mc:AlternateContent xmlns:mc="http://schemas.openxmlformats.org/markup-compatibility/2006">
          <mc:Choice Requires="x14">
            <control shapeId="41993" r:id="rId11" name="Check Box 9">
              <controlPr defaultSize="0" autoFill="0" autoLine="0" autoPict="0">
                <anchor moveWithCells="1" sizeWithCells="1">
                  <from>
                    <xdr:col>7</xdr:col>
                    <xdr:colOff>190500</xdr:colOff>
                    <xdr:row>17</xdr:row>
                    <xdr:rowOff>28575</xdr:rowOff>
                  </from>
                  <to>
                    <xdr:col>7</xdr:col>
                    <xdr:colOff>419100</xdr:colOff>
                    <xdr:row>18</xdr:row>
                    <xdr:rowOff>0</xdr:rowOff>
                  </to>
                </anchor>
              </controlPr>
            </control>
          </mc:Choice>
        </mc:AlternateContent>
        <mc:AlternateContent xmlns:mc="http://schemas.openxmlformats.org/markup-compatibility/2006">
          <mc:Choice Requires="x14">
            <control shapeId="41994" r:id="rId12" name="Check Box 10">
              <controlPr defaultSize="0" autoFill="0" autoLine="0" autoPict="0">
                <anchor moveWithCells="1" sizeWithCells="1">
                  <from>
                    <xdr:col>5</xdr:col>
                    <xdr:colOff>219075</xdr:colOff>
                    <xdr:row>20</xdr:row>
                    <xdr:rowOff>28575</xdr:rowOff>
                  </from>
                  <to>
                    <xdr:col>5</xdr:col>
                    <xdr:colOff>447675</xdr:colOff>
                    <xdr:row>21</xdr:row>
                    <xdr:rowOff>0</xdr:rowOff>
                  </to>
                </anchor>
              </controlPr>
            </control>
          </mc:Choice>
        </mc:AlternateContent>
        <mc:AlternateContent xmlns:mc="http://schemas.openxmlformats.org/markup-compatibility/2006">
          <mc:Choice Requires="x14">
            <control shapeId="41995" r:id="rId13" name="Check Box 11">
              <controlPr defaultSize="0" autoFill="0" autoLine="0" autoPict="0">
                <anchor moveWithCells="1" sizeWithCells="1">
                  <from>
                    <xdr:col>6</xdr:col>
                    <xdr:colOff>190500</xdr:colOff>
                    <xdr:row>20</xdr:row>
                    <xdr:rowOff>28575</xdr:rowOff>
                  </from>
                  <to>
                    <xdr:col>6</xdr:col>
                    <xdr:colOff>419100</xdr:colOff>
                    <xdr:row>21</xdr:row>
                    <xdr:rowOff>0</xdr:rowOff>
                  </to>
                </anchor>
              </controlPr>
            </control>
          </mc:Choice>
        </mc:AlternateContent>
        <mc:AlternateContent xmlns:mc="http://schemas.openxmlformats.org/markup-compatibility/2006">
          <mc:Choice Requires="x14">
            <control shapeId="41996" r:id="rId14" name="Check Box 12">
              <controlPr defaultSize="0" autoFill="0" autoLine="0" autoPict="0">
                <anchor moveWithCells="1" sizeWithCells="1">
                  <from>
                    <xdr:col>7</xdr:col>
                    <xdr:colOff>190500</xdr:colOff>
                    <xdr:row>20</xdr:row>
                    <xdr:rowOff>28575</xdr:rowOff>
                  </from>
                  <to>
                    <xdr:col>7</xdr:col>
                    <xdr:colOff>419100</xdr:colOff>
                    <xdr:row>21</xdr:row>
                    <xdr:rowOff>0</xdr:rowOff>
                  </to>
                </anchor>
              </controlPr>
            </control>
          </mc:Choice>
        </mc:AlternateContent>
        <mc:AlternateContent xmlns:mc="http://schemas.openxmlformats.org/markup-compatibility/2006">
          <mc:Choice Requires="x14">
            <control shapeId="41997" r:id="rId15" name="Check Box 13">
              <controlPr defaultSize="0" autoFill="0" autoLine="0" autoPict="0">
                <anchor moveWithCells="1" sizeWithCells="1">
                  <from>
                    <xdr:col>5</xdr:col>
                    <xdr:colOff>219075</xdr:colOff>
                    <xdr:row>12</xdr:row>
                    <xdr:rowOff>28575</xdr:rowOff>
                  </from>
                  <to>
                    <xdr:col>5</xdr:col>
                    <xdr:colOff>447675</xdr:colOff>
                    <xdr:row>13</xdr:row>
                    <xdr:rowOff>0</xdr:rowOff>
                  </to>
                </anchor>
              </controlPr>
            </control>
          </mc:Choice>
        </mc:AlternateContent>
        <mc:AlternateContent xmlns:mc="http://schemas.openxmlformats.org/markup-compatibility/2006">
          <mc:Choice Requires="x14">
            <control shapeId="41998" r:id="rId16" name="Check Box 14">
              <controlPr defaultSize="0" autoFill="0" autoLine="0" autoPict="0">
                <anchor moveWithCells="1" sizeWithCells="1">
                  <from>
                    <xdr:col>6</xdr:col>
                    <xdr:colOff>190500</xdr:colOff>
                    <xdr:row>12</xdr:row>
                    <xdr:rowOff>28575</xdr:rowOff>
                  </from>
                  <to>
                    <xdr:col>6</xdr:col>
                    <xdr:colOff>419100</xdr:colOff>
                    <xdr:row>13</xdr:row>
                    <xdr:rowOff>0</xdr:rowOff>
                  </to>
                </anchor>
              </controlPr>
            </control>
          </mc:Choice>
        </mc:AlternateContent>
        <mc:AlternateContent xmlns:mc="http://schemas.openxmlformats.org/markup-compatibility/2006">
          <mc:Choice Requires="x14">
            <control shapeId="41999" r:id="rId17" name="Check Box 15">
              <controlPr defaultSize="0" autoFill="0" autoLine="0" autoPict="0">
                <anchor moveWithCells="1" sizeWithCells="1">
                  <from>
                    <xdr:col>7</xdr:col>
                    <xdr:colOff>190500</xdr:colOff>
                    <xdr:row>12</xdr:row>
                    <xdr:rowOff>28575</xdr:rowOff>
                  </from>
                  <to>
                    <xdr:col>7</xdr:col>
                    <xdr:colOff>419100</xdr:colOff>
                    <xdr:row>13</xdr:row>
                    <xdr:rowOff>0</xdr:rowOff>
                  </to>
                </anchor>
              </controlPr>
            </control>
          </mc:Choice>
        </mc:AlternateContent>
        <mc:AlternateContent xmlns:mc="http://schemas.openxmlformats.org/markup-compatibility/2006">
          <mc:Choice Requires="x14">
            <control shapeId="42000" r:id="rId18" name="Check Box 16">
              <controlPr defaultSize="0" autoFill="0" autoLine="0" autoPict="0">
                <anchor moveWithCells="1" sizeWithCells="1">
                  <from>
                    <xdr:col>5</xdr:col>
                    <xdr:colOff>219075</xdr:colOff>
                    <xdr:row>13</xdr:row>
                    <xdr:rowOff>28575</xdr:rowOff>
                  </from>
                  <to>
                    <xdr:col>5</xdr:col>
                    <xdr:colOff>447675</xdr:colOff>
                    <xdr:row>14</xdr:row>
                    <xdr:rowOff>0</xdr:rowOff>
                  </to>
                </anchor>
              </controlPr>
            </control>
          </mc:Choice>
        </mc:AlternateContent>
        <mc:AlternateContent xmlns:mc="http://schemas.openxmlformats.org/markup-compatibility/2006">
          <mc:Choice Requires="x14">
            <control shapeId="42001" r:id="rId19" name="Check Box 17">
              <controlPr defaultSize="0" autoFill="0" autoLine="0" autoPict="0">
                <anchor moveWithCells="1" sizeWithCells="1">
                  <from>
                    <xdr:col>6</xdr:col>
                    <xdr:colOff>190500</xdr:colOff>
                    <xdr:row>13</xdr:row>
                    <xdr:rowOff>28575</xdr:rowOff>
                  </from>
                  <to>
                    <xdr:col>6</xdr:col>
                    <xdr:colOff>419100</xdr:colOff>
                    <xdr:row>14</xdr:row>
                    <xdr:rowOff>0</xdr:rowOff>
                  </to>
                </anchor>
              </controlPr>
            </control>
          </mc:Choice>
        </mc:AlternateContent>
        <mc:AlternateContent xmlns:mc="http://schemas.openxmlformats.org/markup-compatibility/2006">
          <mc:Choice Requires="x14">
            <control shapeId="42002" r:id="rId20" name="Check Box 18">
              <controlPr defaultSize="0" autoFill="0" autoLine="0" autoPict="0">
                <anchor moveWithCells="1" sizeWithCells="1">
                  <from>
                    <xdr:col>7</xdr:col>
                    <xdr:colOff>190500</xdr:colOff>
                    <xdr:row>13</xdr:row>
                    <xdr:rowOff>28575</xdr:rowOff>
                  </from>
                  <to>
                    <xdr:col>7</xdr:col>
                    <xdr:colOff>419100</xdr:colOff>
                    <xdr:row>14</xdr:row>
                    <xdr:rowOff>0</xdr:rowOff>
                  </to>
                </anchor>
              </controlPr>
            </control>
          </mc:Choice>
        </mc:AlternateContent>
        <mc:AlternateContent xmlns:mc="http://schemas.openxmlformats.org/markup-compatibility/2006">
          <mc:Choice Requires="x14">
            <control shapeId="42003" r:id="rId21" name="Check Box 19">
              <controlPr defaultSize="0" autoFill="0" autoLine="0" autoPict="0">
                <anchor moveWithCells="1" sizeWithCells="1">
                  <from>
                    <xdr:col>5</xdr:col>
                    <xdr:colOff>219075</xdr:colOff>
                    <xdr:row>14</xdr:row>
                    <xdr:rowOff>28575</xdr:rowOff>
                  </from>
                  <to>
                    <xdr:col>5</xdr:col>
                    <xdr:colOff>409575</xdr:colOff>
                    <xdr:row>14</xdr:row>
                    <xdr:rowOff>180975</xdr:rowOff>
                  </to>
                </anchor>
              </controlPr>
            </control>
          </mc:Choice>
        </mc:AlternateContent>
        <mc:AlternateContent xmlns:mc="http://schemas.openxmlformats.org/markup-compatibility/2006">
          <mc:Choice Requires="x14">
            <control shapeId="42004" r:id="rId22" name="Check Box 20">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2005" r:id="rId23" name="Check Box 21">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2015" r:id="rId24" name="Check Box 31">
              <controlPr defaultSize="0" autoFill="0" autoLine="0" autoPict="0">
                <anchor moveWithCells="1" sizeWithCells="1">
                  <from>
                    <xdr:col>5</xdr:col>
                    <xdr:colOff>219075</xdr:colOff>
                    <xdr:row>15</xdr:row>
                    <xdr:rowOff>0</xdr:rowOff>
                  </from>
                  <to>
                    <xdr:col>5</xdr:col>
                    <xdr:colOff>447675</xdr:colOff>
                    <xdr:row>15</xdr:row>
                    <xdr:rowOff>0</xdr:rowOff>
                  </to>
                </anchor>
              </controlPr>
            </control>
          </mc:Choice>
        </mc:AlternateContent>
        <mc:AlternateContent xmlns:mc="http://schemas.openxmlformats.org/markup-compatibility/2006">
          <mc:Choice Requires="x14">
            <control shapeId="42016" r:id="rId25" name="Check Box 32">
              <controlPr defaultSize="0" autoFill="0" autoLine="0" autoPict="0">
                <anchor moveWithCells="1" sizeWithCells="1">
                  <from>
                    <xdr:col>6</xdr:col>
                    <xdr:colOff>190500</xdr:colOff>
                    <xdr:row>15</xdr:row>
                    <xdr:rowOff>0</xdr:rowOff>
                  </from>
                  <to>
                    <xdr:col>6</xdr:col>
                    <xdr:colOff>419100</xdr:colOff>
                    <xdr:row>15</xdr:row>
                    <xdr:rowOff>0</xdr:rowOff>
                  </to>
                </anchor>
              </controlPr>
            </control>
          </mc:Choice>
        </mc:AlternateContent>
        <mc:AlternateContent xmlns:mc="http://schemas.openxmlformats.org/markup-compatibility/2006">
          <mc:Choice Requires="x14">
            <control shapeId="42017" r:id="rId26" name="Check Box 33">
              <controlPr defaultSize="0" autoFill="0" autoLine="0" autoPict="0">
                <anchor moveWithCells="1" sizeWithCells="1">
                  <from>
                    <xdr:col>7</xdr:col>
                    <xdr:colOff>190500</xdr:colOff>
                    <xdr:row>15</xdr:row>
                    <xdr:rowOff>0</xdr:rowOff>
                  </from>
                  <to>
                    <xdr:col>7</xdr:col>
                    <xdr:colOff>419100</xdr:colOff>
                    <xdr:row>15</xdr:row>
                    <xdr:rowOff>0</xdr:rowOff>
                  </to>
                </anchor>
              </controlPr>
            </control>
          </mc:Choice>
        </mc:AlternateContent>
        <mc:AlternateContent xmlns:mc="http://schemas.openxmlformats.org/markup-compatibility/2006">
          <mc:Choice Requires="x14">
            <control shapeId="42018" r:id="rId27" name="Check Box 34">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019" r:id="rId28" name="Check Box 35">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020" r:id="rId29" name="Check Box 36">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021" r:id="rId30" name="Check Box 37">
              <controlPr defaultSize="0" autoFill="0" autoLine="0" autoPict="0">
                <anchor moveWithCells="1" sizeWithCells="1">
                  <from>
                    <xdr:col>5</xdr:col>
                    <xdr:colOff>219075</xdr:colOff>
                    <xdr:row>17</xdr:row>
                    <xdr:rowOff>28575</xdr:rowOff>
                  </from>
                  <to>
                    <xdr:col>5</xdr:col>
                    <xdr:colOff>447675</xdr:colOff>
                    <xdr:row>18</xdr:row>
                    <xdr:rowOff>0</xdr:rowOff>
                  </to>
                </anchor>
              </controlPr>
            </control>
          </mc:Choice>
        </mc:AlternateContent>
        <mc:AlternateContent xmlns:mc="http://schemas.openxmlformats.org/markup-compatibility/2006">
          <mc:Choice Requires="x14">
            <control shapeId="42022" r:id="rId31" name="Check Box 38">
              <controlPr defaultSize="0" autoFill="0" autoLine="0" autoPict="0">
                <anchor moveWithCells="1" sizeWithCells="1">
                  <from>
                    <xdr:col>6</xdr:col>
                    <xdr:colOff>190500</xdr:colOff>
                    <xdr:row>17</xdr:row>
                    <xdr:rowOff>28575</xdr:rowOff>
                  </from>
                  <to>
                    <xdr:col>6</xdr:col>
                    <xdr:colOff>419100</xdr:colOff>
                    <xdr:row>18</xdr:row>
                    <xdr:rowOff>0</xdr:rowOff>
                  </to>
                </anchor>
              </controlPr>
            </control>
          </mc:Choice>
        </mc:AlternateContent>
        <mc:AlternateContent xmlns:mc="http://schemas.openxmlformats.org/markup-compatibility/2006">
          <mc:Choice Requires="x14">
            <control shapeId="42023" r:id="rId32" name="Check Box 39">
              <controlPr defaultSize="0" autoFill="0" autoLine="0" autoPict="0">
                <anchor moveWithCells="1" sizeWithCells="1">
                  <from>
                    <xdr:col>7</xdr:col>
                    <xdr:colOff>190500</xdr:colOff>
                    <xdr:row>17</xdr:row>
                    <xdr:rowOff>28575</xdr:rowOff>
                  </from>
                  <to>
                    <xdr:col>7</xdr:col>
                    <xdr:colOff>419100</xdr:colOff>
                    <xdr:row>18</xdr:row>
                    <xdr:rowOff>0</xdr:rowOff>
                  </to>
                </anchor>
              </controlPr>
            </control>
          </mc:Choice>
        </mc:AlternateContent>
        <mc:AlternateContent xmlns:mc="http://schemas.openxmlformats.org/markup-compatibility/2006">
          <mc:Choice Requires="x14">
            <control shapeId="42030" r:id="rId33" name="Check Box 46">
              <controlPr defaultSize="0" autoFill="0" autoLine="0" autoPict="0">
                <anchor moveWithCells="1" sizeWithCells="1">
                  <from>
                    <xdr:col>5</xdr:col>
                    <xdr:colOff>219075</xdr:colOff>
                    <xdr:row>18</xdr:row>
                    <xdr:rowOff>0</xdr:rowOff>
                  </from>
                  <to>
                    <xdr:col>5</xdr:col>
                    <xdr:colOff>447675</xdr:colOff>
                    <xdr:row>18</xdr:row>
                    <xdr:rowOff>0</xdr:rowOff>
                  </to>
                </anchor>
              </controlPr>
            </control>
          </mc:Choice>
        </mc:AlternateContent>
        <mc:AlternateContent xmlns:mc="http://schemas.openxmlformats.org/markup-compatibility/2006">
          <mc:Choice Requires="x14">
            <control shapeId="42031" r:id="rId34" name="Check Box 47">
              <controlPr defaultSize="0" autoFill="0" autoLine="0" autoPict="0">
                <anchor moveWithCells="1" sizeWithCells="1">
                  <from>
                    <xdr:col>6</xdr:col>
                    <xdr:colOff>190500</xdr:colOff>
                    <xdr:row>18</xdr:row>
                    <xdr:rowOff>0</xdr:rowOff>
                  </from>
                  <to>
                    <xdr:col>6</xdr:col>
                    <xdr:colOff>419100</xdr:colOff>
                    <xdr:row>18</xdr:row>
                    <xdr:rowOff>0</xdr:rowOff>
                  </to>
                </anchor>
              </controlPr>
            </control>
          </mc:Choice>
        </mc:AlternateContent>
        <mc:AlternateContent xmlns:mc="http://schemas.openxmlformats.org/markup-compatibility/2006">
          <mc:Choice Requires="x14">
            <control shapeId="42032" r:id="rId35" name="Check Box 48">
              <controlPr defaultSize="0" autoFill="0" autoLine="0" autoPict="0">
                <anchor moveWithCells="1" sizeWithCells="1">
                  <from>
                    <xdr:col>7</xdr:col>
                    <xdr:colOff>190500</xdr:colOff>
                    <xdr:row>18</xdr:row>
                    <xdr:rowOff>0</xdr:rowOff>
                  </from>
                  <to>
                    <xdr:col>7</xdr:col>
                    <xdr:colOff>419100</xdr:colOff>
                    <xdr:row>18</xdr:row>
                    <xdr:rowOff>0</xdr:rowOff>
                  </to>
                </anchor>
              </controlPr>
            </control>
          </mc:Choice>
        </mc:AlternateContent>
        <mc:AlternateContent xmlns:mc="http://schemas.openxmlformats.org/markup-compatibility/2006">
          <mc:Choice Requires="x14">
            <control shapeId="42033" r:id="rId36" name="Check Box 49">
              <controlPr defaultSize="0" autoFill="0" autoLine="0" autoPict="0">
                <anchor moveWithCells="1" sizeWithCells="1">
                  <from>
                    <xdr:col>5</xdr:col>
                    <xdr:colOff>219075</xdr:colOff>
                    <xdr:row>18</xdr:row>
                    <xdr:rowOff>0</xdr:rowOff>
                  </from>
                  <to>
                    <xdr:col>5</xdr:col>
                    <xdr:colOff>447675</xdr:colOff>
                    <xdr:row>18</xdr:row>
                    <xdr:rowOff>0</xdr:rowOff>
                  </to>
                </anchor>
              </controlPr>
            </control>
          </mc:Choice>
        </mc:AlternateContent>
        <mc:AlternateContent xmlns:mc="http://schemas.openxmlformats.org/markup-compatibility/2006">
          <mc:Choice Requires="x14">
            <control shapeId="42034" r:id="rId37" name="Check Box 50">
              <controlPr defaultSize="0" autoFill="0" autoLine="0" autoPict="0">
                <anchor moveWithCells="1" sizeWithCells="1">
                  <from>
                    <xdr:col>6</xdr:col>
                    <xdr:colOff>190500</xdr:colOff>
                    <xdr:row>18</xdr:row>
                    <xdr:rowOff>0</xdr:rowOff>
                  </from>
                  <to>
                    <xdr:col>6</xdr:col>
                    <xdr:colOff>419100</xdr:colOff>
                    <xdr:row>18</xdr:row>
                    <xdr:rowOff>0</xdr:rowOff>
                  </to>
                </anchor>
              </controlPr>
            </control>
          </mc:Choice>
        </mc:AlternateContent>
        <mc:AlternateContent xmlns:mc="http://schemas.openxmlformats.org/markup-compatibility/2006">
          <mc:Choice Requires="x14">
            <control shapeId="42035" r:id="rId38" name="Check Box 51">
              <controlPr defaultSize="0" autoFill="0" autoLine="0" autoPict="0">
                <anchor moveWithCells="1" sizeWithCells="1">
                  <from>
                    <xdr:col>7</xdr:col>
                    <xdr:colOff>190500</xdr:colOff>
                    <xdr:row>18</xdr:row>
                    <xdr:rowOff>0</xdr:rowOff>
                  </from>
                  <to>
                    <xdr:col>7</xdr:col>
                    <xdr:colOff>419100</xdr:colOff>
                    <xdr:row>18</xdr:row>
                    <xdr:rowOff>0</xdr:rowOff>
                  </to>
                </anchor>
              </controlPr>
            </control>
          </mc:Choice>
        </mc:AlternateContent>
        <mc:AlternateContent xmlns:mc="http://schemas.openxmlformats.org/markup-compatibility/2006">
          <mc:Choice Requires="x14">
            <control shapeId="42036" r:id="rId39" name="Check Box 52">
              <controlPr defaultSize="0" autoFill="0" autoLine="0" autoPict="0">
                <anchor moveWithCells="1" sizeWithCells="1">
                  <from>
                    <xdr:col>5</xdr:col>
                    <xdr:colOff>219075</xdr:colOff>
                    <xdr:row>18</xdr:row>
                    <xdr:rowOff>28575</xdr:rowOff>
                  </from>
                  <to>
                    <xdr:col>5</xdr:col>
                    <xdr:colOff>447675</xdr:colOff>
                    <xdr:row>19</xdr:row>
                    <xdr:rowOff>0</xdr:rowOff>
                  </to>
                </anchor>
              </controlPr>
            </control>
          </mc:Choice>
        </mc:AlternateContent>
        <mc:AlternateContent xmlns:mc="http://schemas.openxmlformats.org/markup-compatibility/2006">
          <mc:Choice Requires="x14">
            <control shapeId="42037" r:id="rId40" name="Check Box 53">
              <controlPr defaultSize="0" autoFill="0" autoLine="0" autoPict="0">
                <anchor moveWithCells="1" sizeWithCells="1">
                  <from>
                    <xdr:col>6</xdr:col>
                    <xdr:colOff>190500</xdr:colOff>
                    <xdr:row>18</xdr:row>
                    <xdr:rowOff>28575</xdr:rowOff>
                  </from>
                  <to>
                    <xdr:col>6</xdr:col>
                    <xdr:colOff>419100</xdr:colOff>
                    <xdr:row>19</xdr:row>
                    <xdr:rowOff>0</xdr:rowOff>
                  </to>
                </anchor>
              </controlPr>
            </control>
          </mc:Choice>
        </mc:AlternateContent>
        <mc:AlternateContent xmlns:mc="http://schemas.openxmlformats.org/markup-compatibility/2006">
          <mc:Choice Requires="x14">
            <control shapeId="42038" r:id="rId41" name="Check Box 54">
              <controlPr defaultSize="0" autoFill="0" autoLine="0" autoPict="0">
                <anchor moveWithCells="1" sizeWithCells="1">
                  <from>
                    <xdr:col>7</xdr:col>
                    <xdr:colOff>190500</xdr:colOff>
                    <xdr:row>18</xdr:row>
                    <xdr:rowOff>28575</xdr:rowOff>
                  </from>
                  <to>
                    <xdr:col>7</xdr:col>
                    <xdr:colOff>419100</xdr:colOff>
                    <xdr:row>19</xdr:row>
                    <xdr:rowOff>0</xdr:rowOff>
                  </to>
                </anchor>
              </controlPr>
            </control>
          </mc:Choice>
        </mc:AlternateContent>
        <mc:AlternateContent xmlns:mc="http://schemas.openxmlformats.org/markup-compatibility/2006">
          <mc:Choice Requires="x14">
            <control shapeId="42039" r:id="rId42" name="Check Box 55">
              <controlPr defaultSize="0" autoFill="0" autoLine="0" autoPict="0">
                <anchor moveWithCells="1" sizeWithCells="1">
                  <from>
                    <xdr:col>5</xdr:col>
                    <xdr:colOff>219075</xdr:colOff>
                    <xdr:row>20</xdr:row>
                    <xdr:rowOff>28575</xdr:rowOff>
                  </from>
                  <to>
                    <xdr:col>5</xdr:col>
                    <xdr:colOff>447675</xdr:colOff>
                    <xdr:row>21</xdr:row>
                    <xdr:rowOff>0</xdr:rowOff>
                  </to>
                </anchor>
              </controlPr>
            </control>
          </mc:Choice>
        </mc:AlternateContent>
        <mc:AlternateContent xmlns:mc="http://schemas.openxmlformats.org/markup-compatibility/2006">
          <mc:Choice Requires="x14">
            <control shapeId="42040" r:id="rId43" name="Check Box 56">
              <controlPr defaultSize="0" autoFill="0" autoLine="0" autoPict="0">
                <anchor moveWithCells="1" sizeWithCells="1">
                  <from>
                    <xdr:col>6</xdr:col>
                    <xdr:colOff>190500</xdr:colOff>
                    <xdr:row>20</xdr:row>
                    <xdr:rowOff>28575</xdr:rowOff>
                  </from>
                  <to>
                    <xdr:col>6</xdr:col>
                    <xdr:colOff>419100</xdr:colOff>
                    <xdr:row>21</xdr:row>
                    <xdr:rowOff>0</xdr:rowOff>
                  </to>
                </anchor>
              </controlPr>
            </control>
          </mc:Choice>
        </mc:AlternateContent>
        <mc:AlternateContent xmlns:mc="http://schemas.openxmlformats.org/markup-compatibility/2006">
          <mc:Choice Requires="x14">
            <control shapeId="42041" r:id="rId44" name="Check Box 57">
              <controlPr defaultSize="0" autoFill="0" autoLine="0" autoPict="0">
                <anchor moveWithCells="1" sizeWithCells="1">
                  <from>
                    <xdr:col>7</xdr:col>
                    <xdr:colOff>190500</xdr:colOff>
                    <xdr:row>20</xdr:row>
                    <xdr:rowOff>28575</xdr:rowOff>
                  </from>
                  <to>
                    <xdr:col>7</xdr:col>
                    <xdr:colOff>419100</xdr:colOff>
                    <xdr:row>21</xdr:row>
                    <xdr:rowOff>0</xdr:rowOff>
                  </to>
                </anchor>
              </controlPr>
            </control>
          </mc:Choice>
        </mc:AlternateContent>
        <mc:AlternateContent xmlns:mc="http://schemas.openxmlformats.org/markup-compatibility/2006">
          <mc:Choice Requires="x14">
            <control shapeId="42042" r:id="rId45" name="Check Box 58">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2043" r:id="rId46" name="Check Box 59">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2044" r:id="rId47" name="Check Box 60">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2045" r:id="rId48" name="Check Box 61">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2046" r:id="rId49" name="Check Box 62">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2047" r:id="rId50" name="Check Box 63">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2048" r:id="rId51" name="Check Box 64">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2049" r:id="rId52" name="Check Box 65">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2050" r:id="rId53" name="Check Box 66">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2051" r:id="rId54" name="Check Box 67">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2052" r:id="rId55" name="Check Box 68">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2053" r:id="rId56" name="Check Box 69">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2054" r:id="rId57" name="Check Box 70">
              <controlPr defaultSize="0" autoFill="0" autoLine="0" autoPict="0">
                <anchor moveWithCells="1" sizeWithCells="1">
                  <from>
                    <xdr:col>5</xdr:col>
                    <xdr:colOff>219075</xdr:colOff>
                    <xdr:row>25</xdr:row>
                    <xdr:rowOff>0</xdr:rowOff>
                  </from>
                  <to>
                    <xdr:col>5</xdr:col>
                    <xdr:colOff>447675</xdr:colOff>
                    <xdr:row>25</xdr:row>
                    <xdr:rowOff>0</xdr:rowOff>
                  </to>
                </anchor>
              </controlPr>
            </control>
          </mc:Choice>
        </mc:AlternateContent>
        <mc:AlternateContent xmlns:mc="http://schemas.openxmlformats.org/markup-compatibility/2006">
          <mc:Choice Requires="x14">
            <control shapeId="42055" r:id="rId58" name="Check Box 71">
              <controlPr defaultSize="0" autoFill="0" autoLine="0" autoPict="0">
                <anchor moveWithCells="1" sizeWithCells="1">
                  <from>
                    <xdr:col>6</xdr:col>
                    <xdr:colOff>190500</xdr:colOff>
                    <xdr:row>25</xdr:row>
                    <xdr:rowOff>0</xdr:rowOff>
                  </from>
                  <to>
                    <xdr:col>6</xdr:col>
                    <xdr:colOff>419100</xdr:colOff>
                    <xdr:row>25</xdr:row>
                    <xdr:rowOff>0</xdr:rowOff>
                  </to>
                </anchor>
              </controlPr>
            </control>
          </mc:Choice>
        </mc:AlternateContent>
        <mc:AlternateContent xmlns:mc="http://schemas.openxmlformats.org/markup-compatibility/2006">
          <mc:Choice Requires="x14">
            <control shapeId="42056" r:id="rId59" name="Check Box 72">
              <controlPr defaultSize="0" autoFill="0" autoLine="0" autoPict="0">
                <anchor moveWithCells="1" sizeWithCells="1">
                  <from>
                    <xdr:col>7</xdr:col>
                    <xdr:colOff>190500</xdr:colOff>
                    <xdr:row>25</xdr:row>
                    <xdr:rowOff>0</xdr:rowOff>
                  </from>
                  <to>
                    <xdr:col>7</xdr:col>
                    <xdr:colOff>419100</xdr:colOff>
                    <xdr:row>25</xdr:row>
                    <xdr:rowOff>0</xdr:rowOff>
                  </to>
                </anchor>
              </controlPr>
            </control>
          </mc:Choice>
        </mc:AlternateContent>
        <mc:AlternateContent xmlns:mc="http://schemas.openxmlformats.org/markup-compatibility/2006">
          <mc:Choice Requires="x14">
            <control shapeId="42057" r:id="rId60" name="Check Box 73">
              <controlPr defaultSize="0" autoFill="0" autoLine="0" autoPict="0">
                <anchor moveWithCells="1" sizeWithCells="1">
                  <from>
                    <xdr:col>5</xdr:col>
                    <xdr:colOff>219075</xdr:colOff>
                    <xdr:row>25</xdr:row>
                    <xdr:rowOff>0</xdr:rowOff>
                  </from>
                  <to>
                    <xdr:col>5</xdr:col>
                    <xdr:colOff>447675</xdr:colOff>
                    <xdr:row>25</xdr:row>
                    <xdr:rowOff>0</xdr:rowOff>
                  </to>
                </anchor>
              </controlPr>
            </control>
          </mc:Choice>
        </mc:AlternateContent>
        <mc:AlternateContent xmlns:mc="http://schemas.openxmlformats.org/markup-compatibility/2006">
          <mc:Choice Requires="x14">
            <control shapeId="42058" r:id="rId61" name="Check Box 74">
              <controlPr defaultSize="0" autoFill="0" autoLine="0" autoPict="0">
                <anchor moveWithCells="1" sizeWithCells="1">
                  <from>
                    <xdr:col>6</xdr:col>
                    <xdr:colOff>190500</xdr:colOff>
                    <xdr:row>25</xdr:row>
                    <xdr:rowOff>0</xdr:rowOff>
                  </from>
                  <to>
                    <xdr:col>6</xdr:col>
                    <xdr:colOff>419100</xdr:colOff>
                    <xdr:row>25</xdr:row>
                    <xdr:rowOff>0</xdr:rowOff>
                  </to>
                </anchor>
              </controlPr>
            </control>
          </mc:Choice>
        </mc:AlternateContent>
        <mc:AlternateContent xmlns:mc="http://schemas.openxmlformats.org/markup-compatibility/2006">
          <mc:Choice Requires="x14">
            <control shapeId="42059" r:id="rId62" name="Check Box 75">
              <controlPr defaultSize="0" autoFill="0" autoLine="0" autoPict="0">
                <anchor moveWithCells="1" sizeWithCells="1">
                  <from>
                    <xdr:col>7</xdr:col>
                    <xdr:colOff>190500</xdr:colOff>
                    <xdr:row>25</xdr:row>
                    <xdr:rowOff>0</xdr:rowOff>
                  </from>
                  <to>
                    <xdr:col>7</xdr:col>
                    <xdr:colOff>419100</xdr:colOff>
                    <xdr:row>25</xdr:row>
                    <xdr:rowOff>0</xdr:rowOff>
                  </to>
                </anchor>
              </controlPr>
            </control>
          </mc:Choice>
        </mc:AlternateContent>
        <mc:AlternateContent xmlns:mc="http://schemas.openxmlformats.org/markup-compatibility/2006">
          <mc:Choice Requires="x14">
            <control shapeId="42060" r:id="rId63" name="Check Box 76">
              <controlPr defaultSize="0" autoFill="0" autoLine="0" autoPict="0">
                <anchor moveWithCells="1" sizeWithCells="1">
                  <from>
                    <xdr:col>5</xdr:col>
                    <xdr:colOff>219075</xdr:colOff>
                    <xdr:row>25</xdr:row>
                    <xdr:rowOff>28575</xdr:rowOff>
                  </from>
                  <to>
                    <xdr:col>5</xdr:col>
                    <xdr:colOff>447675</xdr:colOff>
                    <xdr:row>26</xdr:row>
                    <xdr:rowOff>0</xdr:rowOff>
                  </to>
                </anchor>
              </controlPr>
            </control>
          </mc:Choice>
        </mc:AlternateContent>
        <mc:AlternateContent xmlns:mc="http://schemas.openxmlformats.org/markup-compatibility/2006">
          <mc:Choice Requires="x14">
            <control shapeId="42061" r:id="rId64" name="Check Box 77">
              <controlPr defaultSize="0" autoFill="0" autoLine="0" autoPict="0">
                <anchor moveWithCells="1" sizeWithCells="1">
                  <from>
                    <xdr:col>6</xdr:col>
                    <xdr:colOff>190500</xdr:colOff>
                    <xdr:row>25</xdr:row>
                    <xdr:rowOff>28575</xdr:rowOff>
                  </from>
                  <to>
                    <xdr:col>6</xdr:col>
                    <xdr:colOff>419100</xdr:colOff>
                    <xdr:row>26</xdr:row>
                    <xdr:rowOff>0</xdr:rowOff>
                  </to>
                </anchor>
              </controlPr>
            </control>
          </mc:Choice>
        </mc:AlternateContent>
        <mc:AlternateContent xmlns:mc="http://schemas.openxmlformats.org/markup-compatibility/2006">
          <mc:Choice Requires="x14">
            <control shapeId="42062" r:id="rId65" name="Check Box 78">
              <controlPr defaultSize="0" autoFill="0" autoLine="0" autoPict="0">
                <anchor moveWithCells="1" sizeWithCells="1">
                  <from>
                    <xdr:col>7</xdr:col>
                    <xdr:colOff>190500</xdr:colOff>
                    <xdr:row>25</xdr:row>
                    <xdr:rowOff>28575</xdr:rowOff>
                  </from>
                  <to>
                    <xdr:col>7</xdr:col>
                    <xdr:colOff>419100</xdr:colOff>
                    <xdr:row>26</xdr:row>
                    <xdr:rowOff>0</xdr:rowOff>
                  </to>
                </anchor>
              </controlPr>
            </control>
          </mc:Choice>
        </mc:AlternateContent>
        <mc:AlternateContent xmlns:mc="http://schemas.openxmlformats.org/markup-compatibility/2006">
          <mc:Choice Requires="x14">
            <control shapeId="42063" r:id="rId66" name="Check Box 79">
              <controlPr defaultSize="0" autoFill="0" autoLine="0" autoPict="0">
                <anchor moveWithCells="1" sizeWithCells="1">
                  <from>
                    <xdr:col>5</xdr:col>
                    <xdr:colOff>219075</xdr:colOff>
                    <xdr:row>25</xdr:row>
                    <xdr:rowOff>28575</xdr:rowOff>
                  </from>
                  <to>
                    <xdr:col>5</xdr:col>
                    <xdr:colOff>447675</xdr:colOff>
                    <xdr:row>26</xdr:row>
                    <xdr:rowOff>0</xdr:rowOff>
                  </to>
                </anchor>
              </controlPr>
            </control>
          </mc:Choice>
        </mc:AlternateContent>
        <mc:AlternateContent xmlns:mc="http://schemas.openxmlformats.org/markup-compatibility/2006">
          <mc:Choice Requires="x14">
            <control shapeId="42064" r:id="rId67" name="Check Box 80">
              <controlPr defaultSize="0" autoFill="0" autoLine="0" autoPict="0">
                <anchor moveWithCells="1" sizeWithCells="1">
                  <from>
                    <xdr:col>6</xdr:col>
                    <xdr:colOff>190500</xdr:colOff>
                    <xdr:row>25</xdr:row>
                    <xdr:rowOff>28575</xdr:rowOff>
                  </from>
                  <to>
                    <xdr:col>6</xdr:col>
                    <xdr:colOff>419100</xdr:colOff>
                    <xdr:row>26</xdr:row>
                    <xdr:rowOff>0</xdr:rowOff>
                  </to>
                </anchor>
              </controlPr>
            </control>
          </mc:Choice>
        </mc:AlternateContent>
        <mc:AlternateContent xmlns:mc="http://schemas.openxmlformats.org/markup-compatibility/2006">
          <mc:Choice Requires="x14">
            <control shapeId="42065" r:id="rId68" name="Check Box 81">
              <controlPr defaultSize="0" autoFill="0" autoLine="0" autoPict="0">
                <anchor moveWithCells="1" sizeWithCells="1">
                  <from>
                    <xdr:col>7</xdr:col>
                    <xdr:colOff>190500</xdr:colOff>
                    <xdr:row>25</xdr:row>
                    <xdr:rowOff>28575</xdr:rowOff>
                  </from>
                  <to>
                    <xdr:col>7</xdr:col>
                    <xdr:colOff>419100</xdr:colOff>
                    <xdr:row>26</xdr:row>
                    <xdr:rowOff>0</xdr:rowOff>
                  </to>
                </anchor>
              </controlPr>
            </control>
          </mc:Choice>
        </mc:AlternateContent>
        <mc:AlternateContent xmlns:mc="http://schemas.openxmlformats.org/markup-compatibility/2006">
          <mc:Choice Requires="x14">
            <control shapeId="42066" r:id="rId69" name="Check Box 82">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2067" r:id="rId70" name="Check Box 83">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2068" r:id="rId71" name="Check Box 84">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2069" r:id="rId72" name="Check Box 85">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2070" r:id="rId73" name="Check Box 86">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2071" r:id="rId74" name="Check Box 87">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2072" r:id="rId75" name="Check Box 88">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2073" r:id="rId76" name="Check Box 89">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2074" r:id="rId77" name="Check Box 90">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2075" r:id="rId78" name="Check Box 91">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2076" r:id="rId79" name="Check Box 92">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2077" r:id="rId80" name="Check Box 93">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2078" r:id="rId81" name="Check Box 94">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2079" r:id="rId82" name="Check Box 95">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2080" r:id="rId83" name="Check Box 96">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2081" r:id="rId84" name="Check Box 97">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2082" r:id="rId85" name="Check Box 98">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2083" r:id="rId86" name="Check Box 99">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2084" r:id="rId87" name="Check Box 100">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2085" r:id="rId88" name="Check Box 101">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2086" r:id="rId89" name="Check Box 102">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2087" r:id="rId90" name="Check Box 103">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2088" r:id="rId91" name="Check Box 104">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2089" r:id="rId92" name="Check Box 105">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2090" r:id="rId93" name="Check Box 106">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2091" r:id="rId94" name="Check Box 107">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2092" r:id="rId95" name="Check Box 108">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2093" r:id="rId96" name="Check Box 109">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2094" r:id="rId97" name="Check Box 110">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2095" r:id="rId98" name="Check Box 111">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2096" r:id="rId99" name="Check Box 112">
              <controlPr defaultSize="0" autoFill="0" autoLine="0" autoPict="0">
                <anchor moveWithCells="1" sizeWithCells="1">
                  <from>
                    <xdr:col>5</xdr:col>
                    <xdr:colOff>219075</xdr:colOff>
                    <xdr:row>33</xdr:row>
                    <xdr:rowOff>28575</xdr:rowOff>
                  </from>
                  <to>
                    <xdr:col>5</xdr:col>
                    <xdr:colOff>447675</xdr:colOff>
                    <xdr:row>34</xdr:row>
                    <xdr:rowOff>0</xdr:rowOff>
                  </to>
                </anchor>
              </controlPr>
            </control>
          </mc:Choice>
        </mc:AlternateContent>
        <mc:AlternateContent xmlns:mc="http://schemas.openxmlformats.org/markup-compatibility/2006">
          <mc:Choice Requires="x14">
            <control shapeId="42097" r:id="rId100" name="Check Box 113">
              <controlPr defaultSize="0" autoFill="0" autoLine="0" autoPict="0">
                <anchor moveWithCells="1" sizeWithCells="1">
                  <from>
                    <xdr:col>6</xdr:col>
                    <xdr:colOff>190500</xdr:colOff>
                    <xdr:row>33</xdr:row>
                    <xdr:rowOff>28575</xdr:rowOff>
                  </from>
                  <to>
                    <xdr:col>6</xdr:col>
                    <xdr:colOff>419100</xdr:colOff>
                    <xdr:row>34</xdr:row>
                    <xdr:rowOff>0</xdr:rowOff>
                  </to>
                </anchor>
              </controlPr>
            </control>
          </mc:Choice>
        </mc:AlternateContent>
        <mc:AlternateContent xmlns:mc="http://schemas.openxmlformats.org/markup-compatibility/2006">
          <mc:Choice Requires="x14">
            <control shapeId="42098" r:id="rId101" name="Check Box 114">
              <controlPr defaultSize="0" autoFill="0" autoLine="0" autoPict="0">
                <anchor moveWithCells="1" sizeWithCells="1">
                  <from>
                    <xdr:col>7</xdr:col>
                    <xdr:colOff>190500</xdr:colOff>
                    <xdr:row>33</xdr:row>
                    <xdr:rowOff>28575</xdr:rowOff>
                  </from>
                  <to>
                    <xdr:col>7</xdr:col>
                    <xdr:colOff>419100</xdr:colOff>
                    <xdr:row>34</xdr:row>
                    <xdr:rowOff>0</xdr:rowOff>
                  </to>
                </anchor>
              </controlPr>
            </control>
          </mc:Choice>
        </mc:AlternateContent>
        <mc:AlternateContent xmlns:mc="http://schemas.openxmlformats.org/markup-compatibility/2006">
          <mc:Choice Requires="x14">
            <control shapeId="42099" r:id="rId102" name="Check Box 115">
              <controlPr defaultSize="0" autoFill="0" autoLine="0" autoPict="0">
                <anchor moveWithCells="1" sizeWithCells="1">
                  <from>
                    <xdr:col>5</xdr:col>
                    <xdr:colOff>219075</xdr:colOff>
                    <xdr:row>33</xdr:row>
                    <xdr:rowOff>28575</xdr:rowOff>
                  </from>
                  <to>
                    <xdr:col>5</xdr:col>
                    <xdr:colOff>447675</xdr:colOff>
                    <xdr:row>34</xdr:row>
                    <xdr:rowOff>0</xdr:rowOff>
                  </to>
                </anchor>
              </controlPr>
            </control>
          </mc:Choice>
        </mc:AlternateContent>
        <mc:AlternateContent xmlns:mc="http://schemas.openxmlformats.org/markup-compatibility/2006">
          <mc:Choice Requires="x14">
            <control shapeId="42100" r:id="rId103" name="Check Box 116">
              <controlPr defaultSize="0" autoFill="0" autoLine="0" autoPict="0">
                <anchor moveWithCells="1" sizeWithCells="1">
                  <from>
                    <xdr:col>6</xdr:col>
                    <xdr:colOff>190500</xdr:colOff>
                    <xdr:row>33</xdr:row>
                    <xdr:rowOff>28575</xdr:rowOff>
                  </from>
                  <to>
                    <xdr:col>6</xdr:col>
                    <xdr:colOff>419100</xdr:colOff>
                    <xdr:row>34</xdr:row>
                    <xdr:rowOff>0</xdr:rowOff>
                  </to>
                </anchor>
              </controlPr>
            </control>
          </mc:Choice>
        </mc:AlternateContent>
        <mc:AlternateContent xmlns:mc="http://schemas.openxmlformats.org/markup-compatibility/2006">
          <mc:Choice Requires="x14">
            <control shapeId="42101" r:id="rId104" name="Check Box 117">
              <controlPr defaultSize="0" autoFill="0" autoLine="0" autoPict="0">
                <anchor moveWithCells="1" sizeWithCells="1">
                  <from>
                    <xdr:col>7</xdr:col>
                    <xdr:colOff>190500</xdr:colOff>
                    <xdr:row>33</xdr:row>
                    <xdr:rowOff>28575</xdr:rowOff>
                  </from>
                  <to>
                    <xdr:col>7</xdr:col>
                    <xdr:colOff>419100</xdr:colOff>
                    <xdr:row>34</xdr:row>
                    <xdr:rowOff>0</xdr:rowOff>
                  </to>
                </anchor>
              </controlPr>
            </control>
          </mc:Choice>
        </mc:AlternateContent>
        <mc:AlternateContent xmlns:mc="http://schemas.openxmlformats.org/markup-compatibility/2006">
          <mc:Choice Requires="x14">
            <control shapeId="42102" r:id="rId105" name="Check Box 118">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2103" r:id="rId106" name="Check Box 119">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2104" r:id="rId107" name="Check Box 120">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2105" r:id="rId108" name="Check Box 121">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2106" r:id="rId109" name="Check Box 122">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2107" r:id="rId110" name="Check Box 123">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2108" r:id="rId111" name="Check Box 124">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2109" r:id="rId112" name="Check Box 125">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2110" r:id="rId113" name="Check Box 126">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2111" r:id="rId114" name="Check Box 127">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2112" r:id="rId115" name="Check Box 128">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2113" r:id="rId116" name="Check Box 129">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2114" r:id="rId117" name="Check Box 130">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2115" r:id="rId118" name="Check Box 131">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2116" r:id="rId119" name="Check Box 132">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2117" r:id="rId120" name="Check Box 133">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2118" r:id="rId121" name="Check Box 134">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2119" r:id="rId122" name="Check Box 135">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2120" r:id="rId123" name="Check Box 136">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2121" r:id="rId124" name="Check Box 137">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2122" r:id="rId125" name="Check Box 138">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2123" r:id="rId126" name="Check Box 139">
              <controlPr defaultSize="0" autoFill="0" autoLine="0" autoPict="0">
                <anchor moveWithCells="1" sizeWithCells="1">
                  <from>
                    <xdr:col>5</xdr:col>
                    <xdr:colOff>219075</xdr:colOff>
                    <xdr:row>17</xdr:row>
                    <xdr:rowOff>28575</xdr:rowOff>
                  </from>
                  <to>
                    <xdr:col>5</xdr:col>
                    <xdr:colOff>447675</xdr:colOff>
                    <xdr:row>18</xdr:row>
                    <xdr:rowOff>0</xdr:rowOff>
                  </to>
                </anchor>
              </controlPr>
            </control>
          </mc:Choice>
        </mc:AlternateContent>
        <mc:AlternateContent xmlns:mc="http://schemas.openxmlformats.org/markup-compatibility/2006">
          <mc:Choice Requires="x14">
            <control shapeId="42124" r:id="rId127" name="Check Box 140">
              <controlPr defaultSize="0" autoFill="0" autoLine="0" autoPict="0">
                <anchor moveWithCells="1" sizeWithCells="1">
                  <from>
                    <xdr:col>6</xdr:col>
                    <xdr:colOff>190500</xdr:colOff>
                    <xdr:row>17</xdr:row>
                    <xdr:rowOff>28575</xdr:rowOff>
                  </from>
                  <to>
                    <xdr:col>6</xdr:col>
                    <xdr:colOff>419100</xdr:colOff>
                    <xdr:row>18</xdr:row>
                    <xdr:rowOff>0</xdr:rowOff>
                  </to>
                </anchor>
              </controlPr>
            </control>
          </mc:Choice>
        </mc:AlternateContent>
        <mc:AlternateContent xmlns:mc="http://schemas.openxmlformats.org/markup-compatibility/2006">
          <mc:Choice Requires="x14">
            <control shapeId="42125" r:id="rId128" name="Check Box 141">
              <controlPr defaultSize="0" autoFill="0" autoLine="0" autoPict="0">
                <anchor moveWithCells="1" sizeWithCells="1">
                  <from>
                    <xdr:col>7</xdr:col>
                    <xdr:colOff>190500</xdr:colOff>
                    <xdr:row>17</xdr:row>
                    <xdr:rowOff>28575</xdr:rowOff>
                  </from>
                  <to>
                    <xdr:col>7</xdr:col>
                    <xdr:colOff>419100</xdr:colOff>
                    <xdr:row>18</xdr:row>
                    <xdr:rowOff>0</xdr:rowOff>
                  </to>
                </anchor>
              </controlPr>
            </control>
          </mc:Choice>
        </mc:AlternateContent>
        <mc:AlternateContent xmlns:mc="http://schemas.openxmlformats.org/markup-compatibility/2006">
          <mc:Choice Requires="x14">
            <control shapeId="42132" r:id="rId129" name="Check Box 148">
              <controlPr defaultSize="0" autoFill="0" autoLine="0" autoPict="0">
                <anchor moveWithCells="1" sizeWithCells="1">
                  <from>
                    <xdr:col>5</xdr:col>
                    <xdr:colOff>219075</xdr:colOff>
                    <xdr:row>18</xdr:row>
                    <xdr:rowOff>0</xdr:rowOff>
                  </from>
                  <to>
                    <xdr:col>5</xdr:col>
                    <xdr:colOff>447675</xdr:colOff>
                    <xdr:row>18</xdr:row>
                    <xdr:rowOff>0</xdr:rowOff>
                  </to>
                </anchor>
              </controlPr>
            </control>
          </mc:Choice>
        </mc:AlternateContent>
        <mc:AlternateContent xmlns:mc="http://schemas.openxmlformats.org/markup-compatibility/2006">
          <mc:Choice Requires="x14">
            <control shapeId="42133" r:id="rId130" name="Check Box 149">
              <controlPr defaultSize="0" autoFill="0" autoLine="0" autoPict="0">
                <anchor moveWithCells="1" sizeWithCells="1">
                  <from>
                    <xdr:col>6</xdr:col>
                    <xdr:colOff>190500</xdr:colOff>
                    <xdr:row>18</xdr:row>
                    <xdr:rowOff>0</xdr:rowOff>
                  </from>
                  <to>
                    <xdr:col>6</xdr:col>
                    <xdr:colOff>419100</xdr:colOff>
                    <xdr:row>18</xdr:row>
                    <xdr:rowOff>0</xdr:rowOff>
                  </to>
                </anchor>
              </controlPr>
            </control>
          </mc:Choice>
        </mc:AlternateContent>
        <mc:AlternateContent xmlns:mc="http://schemas.openxmlformats.org/markup-compatibility/2006">
          <mc:Choice Requires="x14">
            <control shapeId="42134" r:id="rId131" name="Check Box 150">
              <controlPr defaultSize="0" autoFill="0" autoLine="0" autoPict="0">
                <anchor moveWithCells="1" sizeWithCells="1">
                  <from>
                    <xdr:col>7</xdr:col>
                    <xdr:colOff>190500</xdr:colOff>
                    <xdr:row>18</xdr:row>
                    <xdr:rowOff>0</xdr:rowOff>
                  </from>
                  <to>
                    <xdr:col>7</xdr:col>
                    <xdr:colOff>419100</xdr:colOff>
                    <xdr:row>18</xdr:row>
                    <xdr:rowOff>0</xdr:rowOff>
                  </to>
                </anchor>
              </controlPr>
            </control>
          </mc:Choice>
        </mc:AlternateContent>
        <mc:AlternateContent xmlns:mc="http://schemas.openxmlformats.org/markup-compatibility/2006">
          <mc:Choice Requires="x14">
            <control shapeId="42135" r:id="rId132" name="Check Box 151">
              <controlPr defaultSize="0" autoFill="0" autoLine="0" autoPict="0">
                <anchor moveWithCells="1" sizeWithCells="1">
                  <from>
                    <xdr:col>5</xdr:col>
                    <xdr:colOff>219075</xdr:colOff>
                    <xdr:row>18</xdr:row>
                    <xdr:rowOff>0</xdr:rowOff>
                  </from>
                  <to>
                    <xdr:col>5</xdr:col>
                    <xdr:colOff>447675</xdr:colOff>
                    <xdr:row>18</xdr:row>
                    <xdr:rowOff>0</xdr:rowOff>
                  </to>
                </anchor>
              </controlPr>
            </control>
          </mc:Choice>
        </mc:AlternateContent>
        <mc:AlternateContent xmlns:mc="http://schemas.openxmlformats.org/markup-compatibility/2006">
          <mc:Choice Requires="x14">
            <control shapeId="42136" r:id="rId133" name="Check Box 152">
              <controlPr defaultSize="0" autoFill="0" autoLine="0" autoPict="0">
                <anchor moveWithCells="1" sizeWithCells="1">
                  <from>
                    <xdr:col>6</xdr:col>
                    <xdr:colOff>190500</xdr:colOff>
                    <xdr:row>18</xdr:row>
                    <xdr:rowOff>0</xdr:rowOff>
                  </from>
                  <to>
                    <xdr:col>6</xdr:col>
                    <xdr:colOff>419100</xdr:colOff>
                    <xdr:row>18</xdr:row>
                    <xdr:rowOff>0</xdr:rowOff>
                  </to>
                </anchor>
              </controlPr>
            </control>
          </mc:Choice>
        </mc:AlternateContent>
        <mc:AlternateContent xmlns:mc="http://schemas.openxmlformats.org/markup-compatibility/2006">
          <mc:Choice Requires="x14">
            <control shapeId="42137" r:id="rId134" name="Check Box 153">
              <controlPr defaultSize="0" autoFill="0" autoLine="0" autoPict="0">
                <anchor moveWithCells="1" sizeWithCells="1">
                  <from>
                    <xdr:col>7</xdr:col>
                    <xdr:colOff>190500</xdr:colOff>
                    <xdr:row>18</xdr:row>
                    <xdr:rowOff>0</xdr:rowOff>
                  </from>
                  <to>
                    <xdr:col>7</xdr:col>
                    <xdr:colOff>419100</xdr:colOff>
                    <xdr:row>18</xdr:row>
                    <xdr:rowOff>0</xdr:rowOff>
                  </to>
                </anchor>
              </controlPr>
            </control>
          </mc:Choice>
        </mc:AlternateContent>
        <mc:AlternateContent xmlns:mc="http://schemas.openxmlformats.org/markup-compatibility/2006">
          <mc:Choice Requires="x14">
            <control shapeId="42138" r:id="rId135" name="Check Box 154">
              <controlPr defaultSize="0" autoFill="0" autoLine="0" autoPict="0">
                <anchor moveWithCells="1" sizeWithCells="1">
                  <from>
                    <xdr:col>5</xdr:col>
                    <xdr:colOff>219075</xdr:colOff>
                    <xdr:row>18</xdr:row>
                    <xdr:rowOff>28575</xdr:rowOff>
                  </from>
                  <to>
                    <xdr:col>5</xdr:col>
                    <xdr:colOff>447675</xdr:colOff>
                    <xdr:row>19</xdr:row>
                    <xdr:rowOff>0</xdr:rowOff>
                  </to>
                </anchor>
              </controlPr>
            </control>
          </mc:Choice>
        </mc:AlternateContent>
        <mc:AlternateContent xmlns:mc="http://schemas.openxmlformats.org/markup-compatibility/2006">
          <mc:Choice Requires="x14">
            <control shapeId="42139" r:id="rId136" name="Check Box 155">
              <controlPr defaultSize="0" autoFill="0" autoLine="0" autoPict="0">
                <anchor moveWithCells="1" sizeWithCells="1">
                  <from>
                    <xdr:col>6</xdr:col>
                    <xdr:colOff>190500</xdr:colOff>
                    <xdr:row>18</xdr:row>
                    <xdr:rowOff>28575</xdr:rowOff>
                  </from>
                  <to>
                    <xdr:col>6</xdr:col>
                    <xdr:colOff>419100</xdr:colOff>
                    <xdr:row>19</xdr:row>
                    <xdr:rowOff>0</xdr:rowOff>
                  </to>
                </anchor>
              </controlPr>
            </control>
          </mc:Choice>
        </mc:AlternateContent>
        <mc:AlternateContent xmlns:mc="http://schemas.openxmlformats.org/markup-compatibility/2006">
          <mc:Choice Requires="x14">
            <control shapeId="42140" r:id="rId137" name="Check Box 156">
              <controlPr defaultSize="0" autoFill="0" autoLine="0" autoPict="0">
                <anchor moveWithCells="1" sizeWithCells="1">
                  <from>
                    <xdr:col>7</xdr:col>
                    <xdr:colOff>190500</xdr:colOff>
                    <xdr:row>18</xdr:row>
                    <xdr:rowOff>28575</xdr:rowOff>
                  </from>
                  <to>
                    <xdr:col>7</xdr:col>
                    <xdr:colOff>419100</xdr:colOff>
                    <xdr:row>19</xdr:row>
                    <xdr:rowOff>0</xdr:rowOff>
                  </to>
                </anchor>
              </controlPr>
            </control>
          </mc:Choice>
        </mc:AlternateContent>
        <mc:AlternateContent xmlns:mc="http://schemas.openxmlformats.org/markup-compatibility/2006">
          <mc:Choice Requires="x14">
            <control shapeId="42141" r:id="rId138" name="Check Box 157">
              <controlPr defaultSize="0" autoFill="0" autoLine="0" autoPict="0">
                <anchor moveWithCells="1" sizeWithCells="1">
                  <from>
                    <xdr:col>5</xdr:col>
                    <xdr:colOff>219075</xdr:colOff>
                    <xdr:row>20</xdr:row>
                    <xdr:rowOff>28575</xdr:rowOff>
                  </from>
                  <to>
                    <xdr:col>5</xdr:col>
                    <xdr:colOff>447675</xdr:colOff>
                    <xdr:row>21</xdr:row>
                    <xdr:rowOff>0</xdr:rowOff>
                  </to>
                </anchor>
              </controlPr>
            </control>
          </mc:Choice>
        </mc:AlternateContent>
        <mc:AlternateContent xmlns:mc="http://schemas.openxmlformats.org/markup-compatibility/2006">
          <mc:Choice Requires="x14">
            <control shapeId="42142" r:id="rId139" name="Check Box 158">
              <controlPr defaultSize="0" autoFill="0" autoLine="0" autoPict="0">
                <anchor moveWithCells="1" sizeWithCells="1">
                  <from>
                    <xdr:col>6</xdr:col>
                    <xdr:colOff>190500</xdr:colOff>
                    <xdr:row>20</xdr:row>
                    <xdr:rowOff>28575</xdr:rowOff>
                  </from>
                  <to>
                    <xdr:col>6</xdr:col>
                    <xdr:colOff>419100</xdr:colOff>
                    <xdr:row>21</xdr:row>
                    <xdr:rowOff>0</xdr:rowOff>
                  </to>
                </anchor>
              </controlPr>
            </control>
          </mc:Choice>
        </mc:AlternateContent>
        <mc:AlternateContent xmlns:mc="http://schemas.openxmlformats.org/markup-compatibility/2006">
          <mc:Choice Requires="x14">
            <control shapeId="42143" r:id="rId140" name="Check Box 159">
              <controlPr defaultSize="0" autoFill="0" autoLine="0" autoPict="0">
                <anchor moveWithCells="1" sizeWithCells="1">
                  <from>
                    <xdr:col>7</xdr:col>
                    <xdr:colOff>190500</xdr:colOff>
                    <xdr:row>20</xdr:row>
                    <xdr:rowOff>28575</xdr:rowOff>
                  </from>
                  <to>
                    <xdr:col>7</xdr:col>
                    <xdr:colOff>419100</xdr:colOff>
                    <xdr:row>21</xdr:row>
                    <xdr:rowOff>0</xdr:rowOff>
                  </to>
                </anchor>
              </controlPr>
            </control>
          </mc:Choice>
        </mc:AlternateContent>
        <mc:AlternateContent xmlns:mc="http://schemas.openxmlformats.org/markup-compatibility/2006">
          <mc:Choice Requires="x14">
            <control shapeId="42144" r:id="rId141" name="Check Box 160">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2145" r:id="rId142" name="Check Box 161">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2146" r:id="rId143" name="Check Box 162">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2147" r:id="rId144" name="Check Box 163">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2148" r:id="rId145" name="Check Box 164">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2149" r:id="rId146" name="Check Box 165">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2150" r:id="rId147" name="Check Box 166">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2151" r:id="rId148" name="Check Box 167">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2152" r:id="rId149" name="Check Box 168">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2153" r:id="rId150" name="Check Box 169">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2154" r:id="rId151" name="Check Box 170">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2155" r:id="rId152" name="Check Box 171">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2156" r:id="rId153" name="Check Box 172">
              <controlPr defaultSize="0" autoFill="0" autoLine="0" autoPict="0">
                <anchor moveWithCells="1" sizeWithCells="1">
                  <from>
                    <xdr:col>5</xdr:col>
                    <xdr:colOff>219075</xdr:colOff>
                    <xdr:row>25</xdr:row>
                    <xdr:rowOff>0</xdr:rowOff>
                  </from>
                  <to>
                    <xdr:col>5</xdr:col>
                    <xdr:colOff>447675</xdr:colOff>
                    <xdr:row>25</xdr:row>
                    <xdr:rowOff>0</xdr:rowOff>
                  </to>
                </anchor>
              </controlPr>
            </control>
          </mc:Choice>
        </mc:AlternateContent>
        <mc:AlternateContent xmlns:mc="http://schemas.openxmlformats.org/markup-compatibility/2006">
          <mc:Choice Requires="x14">
            <control shapeId="42157" r:id="rId154" name="Check Box 173">
              <controlPr defaultSize="0" autoFill="0" autoLine="0" autoPict="0">
                <anchor moveWithCells="1" sizeWithCells="1">
                  <from>
                    <xdr:col>6</xdr:col>
                    <xdr:colOff>190500</xdr:colOff>
                    <xdr:row>25</xdr:row>
                    <xdr:rowOff>0</xdr:rowOff>
                  </from>
                  <to>
                    <xdr:col>6</xdr:col>
                    <xdr:colOff>419100</xdr:colOff>
                    <xdr:row>25</xdr:row>
                    <xdr:rowOff>0</xdr:rowOff>
                  </to>
                </anchor>
              </controlPr>
            </control>
          </mc:Choice>
        </mc:AlternateContent>
        <mc:AlternateContent xmlns:mc="http://schemas.openxmlformats.org/markup-compatibility/2006">
          <mc:Choice Requires="x14">
            <control shapeId="42158" r:id="rId155" name="Check Box 174">
              <controlPr defaultSize="0" autoFill="0" autoLine="0" autoPict="0">
                <anchor moveWithCells="1" sizeWithCells="1">
                  <from>
                    <xdr:col>7</xdr:col>
                    <xdr:colOff>190500</xdr:colOff>
                    <xdr:row>25</xdr:row>
                    <xdr:rowOff>0</xdr:rowOff>
                  </from>
                  <to>
                    <xdr:col>7</xdr:col>
                    <xdr:colOff>419100</xdr:colOff>
                    <xdr:row>25</xdr:row>
                    <xdr:rowOff>0</xdr:rowOff>
                  </to>
                </anchor>
              </controlPr>
            </control>
          </mc:Choice>
        </mc:AlternateContent>
        <mc:AlternateContent xmlns:mc="http://schemas.openxmlformats.org/markup-compatibility/2006">
          <mc:Choice Requires="x14">
            <control shapeId="42159" r:id="rId156" name="Check Box 175">
              <controlPr defaultSize="0" autoFill="0" autoLine="0" autoPict="0">
                <anchor moveWithCells="1" sizeWithCells="1">
                  <from>
                    <xdr:col>5</xdr:col>
                    <xdr:colOff>219075</xdr:colOff>
                    <xdr:row>25</xdr:row>
                    <xdr:rowOff>0</xdr:rowOff>
                  </from>
                  <to>
                    <xdr:col>5</xdr:col>
                    <xdr:colOff>447675</xdr:colOff>
                    <xdr:row>25</xdr:row>
                    <xdr:rowOff>0</xdr:rowOff>
                  </to>
                </anchor>
              </controlPr>
            </control>
          </mc:Choice>
        </mc:AlternateContent>
        <mc:AlternateContent xmlns:mc="http://schemas.openxmlformats.org/markup-compatibility/2006">
          <mc:Choice Requires="x14">
            <control shapeId="42160" r:id="rId157" name="Check Box 176">
              <controlPr defaultSize="0" autoFill="0" autoLine="0" autoPict="0">
                <anchor moveWithCells="1" sizeWithCells="1">
                  <from>
                    <xdr:col>6</xdr:col>
                    <xdr:colOff>190500</xdr:colOff>
                    <xdr:row>25</xdr:row>
                    <xdr:rowOff>0</xdr:rowOff>
                  </from>
                  <to>
                    <xdr:col>6</xdr:col>
                    <xdr:colOff>419100</xdr:colOff>
                    <xdr:row>25</xdr:row>
                    <xdr:rowOff>0</xdr:rowOff>
                  </to>
                </anchor>
              </controlPr>
            </control>
          </mc:Choice>
        </mc:AlternateContent>
        <mc:AlternateContent xmlns:mc="http://schemas.openxmlformats.org/markup-compatibility/2006">
          <mc:Choice Requires="x14">
            <control shapeId="42161" r:id="rId158" name="Check Box 177">
              <controlPr defaultSize="0" autoFill="0" autoLine="0" autoPict="0">
                <anchor moveWithCells="1" sizeWithCells="1">
                  <from>
                    <xdr:col>7</xdr:col>
                    <xdr:colOff>190500</xdr:colOff>
                    <xdr:row>25</xdr:row>
                    <xdr:rowOff>0</xdr:rowOff>
                  </from>
                  <to>
                    <xdr:col>7</xdr:col>
                    <xdr:colOff>419100</xdr:colOff>
                    <xdr:row>25</xdr:row>
                    <xdr:rowOff>0</xdr:rowOff>
                  </to>
                </anchor>
              </controlPr>
            </control>
          </mc:Choice>
        </mc:AlternateContent>
        <mc:AlternateContent xmlns:mc="http://schemas.openxmlformats.org/markup-compatibility/2006">
          <mc:Choice Requires="x14">
            <control shapeId="42162" r:id="rId159" name="Check Box 178">
              <controlPr defaultSize="0" autoFill="0" autoLine="0" autoPict="0">
                <anchor moveWithCells="1" sizeWithCells="1">
                  <from>
                    <xdr:col>5</xdr:col>
                    <xdr:colOff>219075</xdr:colOff>
                    <xdr:row>25</xdr:row>
                    <xdr:rowOff>28575</xdr:rowOff>
                  </from>
                  <to>
                    <xdr:col>5</xdr:col>
                    <xdr:colOff>447675</xdr:colOff>
                    <xdr:row>26</xdr:row>
                    <xdr:rowOff>0</xdr:rowOff>
                  </to>
                </anchor>
              </controlPr>
            </control>
          </mc:Choice>
        </mc:AlternateContent>
        <mc:AlternateContent xmlns:mc="http://schemas.openxmlformats.org/markup-compatibility/2006">
          <mc:Choice Requires="x14">
            <control shapeId="42163" r:id="rId160" name="Check Box 179">
              <controlPr defaultSize="0" autoFill="0" autoLine="0" autoPict="0">
                <anchor moveWithCells="1" sizeWithCells="1">
                  <from>
                    <xdr:col>6</xdr:col>
                    <xdr:colOff>190500</xdr:colOff>
                    <xdr:row>25</xdr:row>
                    <xdr:rowOff>28575</xdr:rowOff>
                  </from>
                  <to>
                    <xdr:col>6</xdr:col>
                    <xdr:colOff>419100</xdr:colOff>
                    <xdr:row>26</xdr:row>
                    <xdr:rowOff>0</xdr:rowOff>
                  </to>
                </anchor>
              </controlPr>
            </control>
          </mc:Choice>
        </mc:AlternateContent>
        <mc:AlternateContent xmlns:mc="http://schemas.openxmlformats.org/markup-compatibility/2006">
          <mc:Choice Requires="x14">
            <control shapeId="42164" r:id="rId161" name="Check Box 180">
              <controlPr defaultSize="0" autoFill="0" autoLine="0" autoPict="0">
                <anchor moveWithCells="1" sizeWithCells="1">
                  <from>
                    <xdr:col>7</xdr:col>
                    <xdr:colOff>190500</xdr:colOff>
                    <xdr:row>25</xdr:row>
                    <xdr:rowOff>28575</xdr:rowOff>
                  </from>
                  <to>
                    <xdr:col>7</xdr:col>
                    <xdr:colOff>419100</xdr:colOff>
                    <xdr:row>26</xdr:row>
                    <xdr:rowOff>0</xdr:rowOff>
                  </to>
                </anchor>
              </controlPr>
            </control>
          </mc:Choice>
        </mc:AlternateContent>
        <mc:AlternateContent xmlns:mc="http://schemas.openxmlformats.org/markup-compatibility/2006">
          <mc:Choice Requires="x14">
            <control shapeId="42165" r:id="rId162" name="Check Box 181">
              <controlPr defaultSize="0" autoFill="0" autoLine="0" autoPict="0">
                <anchor moveWithCells="1" sizeWithCells="1">
                  <from>
                    <xdr:col>5</xdr:col>
                    <xdr:colOff>219075</xdr:colOff>
                    <xdr:row>25</xdr:row>
                    <xdr:rowOff>28575</xdr:rowOff>
                  </from>
                  <to>
                    <xdr:col>5</xdr:col>
                    <xdr:colOff>447675</xdr:colOff>
                    <xdr:row>26</xdr:row>
                    <xdr:rowOff>0</xdr:rowOff>
                  </to>
                </anchor>
              </controlPr>
            </control>
          </mc:Choice>
        </mc:AlternateContent>
        <mc:AlternateContent xmlns:mc="http://schemas.openxmlformats.org/markup-compatibility/2006">
          <mc:Choice Requires="x14">
            <control shapeId="42166" r:id="rId163" name="Check Box 182">
              <controlPr defaultSize="0" autoFill="0" autoLine="0" autoPict="0">
                <anchor moveWithCells="1" sizeWithCells="1">
                  <from>
                    <xdr:col>6</xdr:col>
                    <xdr:colOff>190500</xdr:colOff>
                    <xdr:row>25</xdr:row>
                    <xdr:rowOff>28575</xdr:rowOff>
                  </from>
                  <to>
                    <xdr:col>6</xdr:col>
                    <xdr:colOff>419100</xdr:colOff>
                    <xdr:row>26</xdr:row>
                    <xdr:rowOff>0</xdr:rowOff>
                  </to>
                </anchor>
              </controlPr>
            </control>
          </mc:Choice>
        </mc:AlternateContent>
        <mc:AlternateContent xmlns:mc="http://schemas.openxmlformats.org/markup-compatibility/2006">
          <mc:Choice Requires="x14">
            <control shapeId="42167" r:id="rId164" name="Check Box 183">
              <controlPr defaultSize="0" autoFill="0" autoLine="0" autoPict="0">
                <anchor moveWithCells="1" sizeWithCells="1">
                  <from>
                    <xdr:col>7</xdr:col>
                    <xdr:colOff>190500</xdr:colOff>
                    <xdr:row>25</xdr:row>
                    <xdr:rowOff>28575</xdr:rowOff>
                  </from>
                  <to>
                    <xdr:col>7</xdr:col>
                    <xdr:colOff>419100</xdr:colOff>
                    <xdr:row>26</xdr:row>
                    <xdr:rowOff>0</xdr:rowOff>
                  </to>
                </anchor>
              </controlPr>
            </control>
          </mc:Choice>
        </mc:AlternateContent>
        <mc:AlternateContent xmlns:mc="http://schemas.openxmlformats.org/markup-compatibility/2006">
          <mc:Choice Requires="x14">
            <control shapeId="42168" r:id="rId165" name="Check Box 184">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2169" r:id="rId166" name="Check Box 185">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2170" r:id="rId167" name="Check Box 186">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2171" r:id="rId168" name="Check Box 187">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2172" r:id="rId169" name="Check Box 188">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2173" r:id="rId170" name="Check Box 189">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2174" r:id="rId171" name="Check Box 190">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2175" r:id="rId172" name="Check Box 191">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2176" r:id="rId173" name="Check Box 192">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2177" r:id="rId174" name="Check Box 193">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2178" r:id="rId175" name="Check Box 194">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2179" r:id="rId176" name="Check Box 195">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2180" r:id="rId177" name="Check Box 196">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2181" r:id="rId178" name="Check Box 197">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2182" r:id="rId179" name="Check Box 198">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2183" r:id="rId180" name="Check Box 199">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2184" r:id="rId181" name="Check Box 200">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2185" r:id="rId182" name="Check Box 201">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2186" r:id="rId183" name="Check Box 202">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2187" r:id="rId184" name="Check Box 203">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2188" r:id="rId185" name="Check Box 204">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2189" r:id="rId186" name="Check Box 205">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2190" r:id="rId187" name="Check Box 206">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2191" r:id="rId188" name="Check Box 207">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2192" r:id="rId189" name="Check Box 208">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2193" r:id="rId190" name="Check Box 209">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2194" r:id="rId191" name="Check Box 210">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2195" r:id="rId192" name="Check Box 211">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2196" r:id="rId193" name="Check Box 212">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2197" r:id="rId194" name="Check Box 213">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2198" r:id="rId195" name="Check Box 214">
              <controlPr defaultSize="0" autoFill="0" autoLine="0" autoPict="0">
                <anchor moveWithCells="1" sizeWithCells="1">
                  <from>
                    <xdr:col>5</xdr:col>
                    <xdr:colOff>219075</xdr:colOff>
                    <xdr:row>33</xdr:row>
                    <xdr:rowOff>28575</xdr:rowOff>
                  </from>
                  <to>
                    <xdr:col>5</xdr:col>
                    <xdr:colOff>447675</xdr:colOff>
                    <xdr:row>34</xdr:row>
                    <xdr:rowOff>0</xdr:rowOff>
                  </to>
                </anchor>
              </controlPr>
            </control>
          </mc:Choice>
        </mc:AlternateContent>
        <mc:AlternateContent xmlns:mc="http://schemas.openxmlformats.org/markup-compatibility/2006">
          <mc:Choice Requires="x14">
            <control shapeId="42199" r:id="rId196" name="Check Box 215">
              <controlPr defaultSize="0" autoFill="0" autoLine="0" autoPict="0">
                <anchor moveWithCells="1" sizeWithCells="1">
                  <from>
                    <xdr:col>6</xdr:col>
                    <xdr:colOff>190500</xdr:colOff>
                    <xdr:row>33</xdr:row>
                    <xdr:rowOff>28575</xdr:rowOff>
                  </from>
                  <to>
                    <xdr:col>6</xdr:col>
                    <xdr:colOff>419100</xdr:colOff>
                    <xdr:row>34</xdr:row>
                    <xdr:rowOff>0</xdr:rowOff>
                  </to>
                </anchor>
              </controlPr>
            </control>
          </mc:Choice>
        </mc:AlternateContent>
        <mc:AlternateContent xmlns:mc="http://schemas.openxmlformats.org/markup-compatibility/2006">
          <mc:Choice Requires="x14">
            <control shapeId="42200" r:id="rId197" name="Check Box 216">
              <controlPr defaultSize="0" autoFill="0" autoLine="0" autoPict="0">
                <anchor moveWithCells="1" sizeWithCells="1">
                  <from>
                    <xdr:col>7</xdr:col>
                    <xdr:colOff>190500</xdr:colOff>
                    <xdr:row>33</xdr:row>
                    <xdr:rowOff>28575</xdr:rowOff>
                  </from>
                  <to>
                    <xdr:col>7</xdr:col>
                    <xdr:colOff>419100</xdr:colOff>
                    <xdr:row>34</xdr:row>
                    <xdr:rowOff>0</xdr:rowOff>
                  </to>
                </anchor>
              </controlPr>
            </control>
          </mc:Choice>
        </mc:AlternateContent>
        <mc:AlternateContent xmlns:mc="http://schemas.openxmlformats.org/markup-compatibility/2006">
          <mc:Choice Requires="x14">
            <control shapeId="42201" r:id="rId198" name="Check Box 217">
              <controlPr defaultSize="0" autoFill="0" autoLine="0" autoPict="0">
                <anchor moveWithCells="1" sizeWithCells="1">
                  <from>
                    <xdr:col>5</xdr:col>
                    <xdr:colOff>219075</xdr:colOff>
                    <xdr:row>33</xdr:row>
                    <xdr:rowOff>28575</xdr:rowOff>
                  </from>
                  <to>
                    <xdr:col>5</xdr:col>
                    <xdr:colOff>447675</xdr:colOff>
                    <xdr:row>34</xdr:row>
                    <xdr:rowOff>0</xdr:rowOff>
                  </to>
                </anchor>
              </controlPr>
            </control>
          </mc:Choice>
        </mc:AlternateContent>
        <mc:AlternateContent xmlns:mc="http://schemas.openxmlformats.org/markup-compatibility/2006">
          <mc:Choice Requires="x14">
            <control shapeId="42202" r:id="rId199" name="Check Box 218">
              <controlPr defaultSize="0" autoFill="0" autoLine="0" autoPict="0">
                <anchor moveWithCells="1" sizeWithCells="1">
                  <from>
                    <xdr:col>6</xdr:col>
                    <xdr:colOff>190500</xdr:colOff>
                    <xdr:row>33</xdr:row>
                    <xdr:rowOff>28575</xdr:rowOff>
                  </from>
                  <to>
                    <xdr:col>6</xdr:col>
                    <xdr:colOff>419100</xdr:colOff>
                    <xdr:row>34</xdr:row>
                    <xdr:rowOff>0</xdr:rowOff>
                  </to>
                </anchor>
              </controlPr>
            </control>
          </mc:Choice>
        </mc:AlternateContent>
        <mc:AlternateContent xmlns:mc="http://schemas.openxmlformats.org/markup-compatibility/2006">
          <mc:Choice Requires="x14">
            <control shapeId="42203" r:id="rId200" name="Check Box 219">
              <controlPr defaultSize="0" autoFill="0" autoLine="0" autoPict="0">
                <anchor moveWithCells="1" sizeWithCells="1">
                  <from>
                    <xdr:col>7</xdr:col>
                    <xdr:colOff>190500</xdr:colOff>
                    <xdr:row>33</xdr:row>
                    <xdr:rowOff>28575</xdr:rowOff>
                  </from>
                  <to>
                    <xdr:col>7</xdr:col>
                    <xdr:colOff>419100</xdr:colOff>
                    <xdr:row>34</xdr:row>
                    <xdr:rowOff>0</xdr:rowOff>
                  </to>
                </anchor>
              </controlPr>
            </control>
          </mc:Choice>
        </mc:AlternateContent>
        <mc:AlternateContent xmlns:mc="http://schemas.openxmlformats.org/markup-compatibility/2006">
          <mc:Choice Requires="x14">
            <control shapeId="42204" r:id="rId201" name="Check Box 220">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2205" r:id="rId202" name="Check Box 221">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2206" r:id="rId203" name="Check Box 222">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2207" r:id="rId204" name="Check Box 223">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2208" r:id="rId205" name="Check Box 224">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2209" r:id="rId206" name="Check Box 225">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2210" r:id="rId207" name="Check Box 226">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2211" r:id="rId208" name="Check Box 227">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2212" r:id="rId209" name="Check Box 228">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2213" r:id="rId210" name="Check Box 229">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2214" r:id="rId211" name="Check Box 230">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2215" r:id="rId212" name="Check Box 231">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2216" r:id="rId213" name="Check Box 232">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2217" r:id="rId214" name="Check Box 233">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2218" r:id="rId215" name="Check Box 234">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2219" r:id="rId216" name="Check Box 235">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2220" r:id="rId217" name="Check Box 236">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2221" r:id="rId218" name="Check Box 237">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2222" r:id="rId219" name="Check Box 238">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2223" r:id="rId220" name="Check Box 239">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2224" r:id="rId221" name="Check Box 240">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2225" r:id="rId222" name="Check Box 241">
              <controlPr defaultSize="0" autoFill="0" autoLine="0" autoPict="0">
                <anchor moveWithCells="1" sizeWithCells="1">
                  <from>
                    <xdr:col>5</xdr:col>
                    <xdr:colOff>219075</xdr:colOff>
                    <xdr:row>47</xdr:row>
                    <xdr:rowOff>28575</xdr:rowOff>
                  </from>
                  <to>
                    <xdr:col>5</xdr:col>
                    <xdr:colOff>447675</xdr:colOff>
                    <xdr:row>48</xdr:row>
                    <xdr:rowOff>0</xdr:rowOff>
                  </to>
                </anchor>
              </controlPr>
            </control>
          </mc:Choice>
        </mc:AlternateContent>
        <mc:AlternateContent xmlns:mc="http://schemas.openxmlformats.org/markup-compatibility/2006">
          <mc:Choice Requires="x14">
            <control shapeId="42226" r:id="rId223" name="Check Box 242">
              <controlPr defaultSize="0" autoFill="0" autoLine="0" autoPict="0">
                <anchor moveWithCells="1" sizeWithCells="1">
                  <from>
                    <xdr:col>6</xdr:col>
                    <xdr:colOff>190500</xdr:colOff>
                    <xdr:row>47</xdr:row>
                    <xdr:rowOff>28575</xdr:rowOff>
                  </from>
                  <to>
                    <xdr:col>6</xdr:col>
                    <xdr:colOff>419100</xdr:colOff>
                    <xdr:row>48</xdr:row>
                    <xdr:rowOff>0</xdr:rowOff>
                  </to>
                </anchor>
              </controlPr>
            </control>
          </mc:Choice>
        </mc:AlternateContent>
        <mc:AlternateContent xmlns:mc="http://schemas.openxmlformats.org/markup-compatibility/2006">
          <mc:Choice Requires="x14">
            <control shapeId="42227" r:id="rId224" name="Check Box 243">
              <controlPr defaultSize="0" autoFill="0" autoLine="0" autoPict="0">
                <anchor moveWithCells="1" sizeWithCells="1">
                  <from>
                    <xdr:col>7</xdr:col>
                    <xdr:colOff>190500</xdr:colOff>
                    <xdr:row>47</xdr:row>
                    <xdr:rowOff>28575</xdr:rowOff>
                  </from>
                  <to>
                    <xdr:col>7</xdr:col>
                    <xdr:colOff>419100</xdr:colOff>
                    <xdr:row>48</xdr:row>
                    <xdr:rowOff>0</xdr:rowOff>
                  </to>
                </anchor>
              </controlPr>
            </control>
          </mc:Choice>
        </mc:AlternateContent>
        <mc:AlternateContent xmlns:mc="http://schemas.openxmlformats.org/markup-compatibility/2006">
          <mc:Choice Requires="x14">
            <control shapeId="42228" r:id="rId225" name="Check Box 244">
              <controlPr defaultSize="0" autoFill="0" autoLine="0" autoPict="0">
                <anchor moveWithCells="1" sizeWithCells="1">
                  <from>
                    <xdr:col>5</xdr:col>
                    <xdr:colOff>219075</xdr:colOff>
                    <xdr:row>48</xdr:row>
                    <xdr:rowOff>28575</xdr:rowOff>
                  </from>
                  <to>
                    <xdr:col>5</xdr:col>
                    <xdr:colOff>447675</xdr:colOff>
                    <xdr:row>49</xdr:row>
                    <xdr:rowOff>0</xdr:rowOff>
                  </to>
                </anchor>
              </controlPr>
            </control>
          </mc:Choice>
        </mc:AlternateContent>
        <mc:AlternateContent xmlns:mc="http://schemas.openxmlformats.org/markup-compatibility/2006">
          <mc:Choice Requires="x14">
            <control shapeId="42229" r:id="rId226" name="Check Box 245">
              <controlPr defaultSize="0" autoFill="0" autoLine="0" autoPict="0">
                <anchor moveWithCells="1" sizeWithCells="1">
                  <from>
                    <xdr:col>6</xdr:col>
                    <xdr:colOff>190500</xdr:colOff>
                    <xdr:row>48</xdr:row>
                    <xdr:rowOff>28575</xdr:rowOff>
                  </from>
                  <to>
                    <xdr:col>6</xdr:col>
                    <xdr:colOff>419100</xdr:colOff>
                    <xdr:row>49</xdr:row>
                    <xdr:rowOff>0</xdr:rowOff>
                  </to>
                </anchor>
              </controlPr>
            </control>
          </mc:Choice>
        </mc:AlternateContent>
        <mc:AlternateContent xmlns:mc="http://schemas.openxmlformats.org/markup-compatibility/2006">
          <mc:Choice Requires="x14">
            <control shapeId="42230" r:id="rId227" name="Check Box 246">
              <controlPr defaultSize="0" autoFill="0" autoLine="0" autoPict="0">
                <anchor moveWithCells="1" sizeWithCells="1">
                  <from>
                    <xdr:col>7</xdr:col>
                    <xdr:colOff>190500</xdr:colOff>
                    <xdr:row>48</xdr:row>
                    <xdr:rowOff>28575</xdr:rowOff>
                  </from>
                  <to>
                    <xdr:col>7</xdr:col>
                    <xdr:colOff>419100</xdr:colOff>
                    <xdr:row>49</xdr:row>
                    <xdr:rowOff>0</xdr:rowOff>
                  </to>
                </anchor>
              </controlPr>
            </control>
          </mc:Choice>
        </mc:AlternateContent>
        <mc:AlternateContent xmlns:mc="http://schemas.openxmlformats.org/markup-compatibility/2006">
          <mc:Choice Requires="x14">
            <control shapeId="42231" r:id="rId228" name="Check Box 247">
              <controlPr defaultSize="0" autoFill="0" autoLine="0" autoPict="0">
                <anchor moveWithCells="1" sizeWithCells="1">
                  <from>
                    <xdr:col>5</xdr:col>
                    <xdr:colOff>219075</xdr:colOff>
                    <xdr:row>48</xdr:row>
                    <xdr:rowOff>28575</xdr:rowOff>
                  </from>
                  <to>
                    <xdr:col>5</xdr:col>
                    <xdr:colOff>447675</xdr:colOff>
                    <xdr:row>49</xdr:row>
                    <xdr:rowOff>0</xdr:rowOff>
                  </to>
                </anchor>
              </controlPr>
            </control>
          </mc:Choice>
        </mc:AlternateContent>
        <mc:AlternateContent xmlns:mc="http://schemas.openxmlformats.org/markup-compatibility/2006">
          <mc:Choice Requires="x14">
            <control shapeId="42232" r:id="rId229" name="Check Box 248">
              <controlPr defaultSize="0" autoFill="0" autoLine="0" autoPict="0">
                <anchor moveWithCells="1" sizeWithCells="1">
                  <from>
                    <xdr:col>6</xdr:col>
                    <xdr:colOff>190500</xdr:colOff>
                    <xdr:row>48</xdr:row>
                    <xdr:rowOff>28575</xdr:rowOff>
                  </from>
                  <to>
                    <xdr:col>6</xdr:col>
                    <xdr:colOff>419100</xdr:colOff>
                    <xdr:row>49</xdr:row>
                    <xdr:rowOff>0</xdr:rowOff>
                  </to>
                </anchor>
              </controlPr>
            </control>
          </mc:Choice>
        </mc:AlternateContent>
        <mc:AlternateContent xmlns:mc="http://schemas.openxmlformats.org/markup-compatibility/2006">
          <mc:Choice Requires="x14">
            <control shapeId="42233" r:id="rId230" name="Check Box 249">
              <controlPr defaultSize="0" autoFill="0" autoLine="0" autoPict="0">
                <anchor moveWithCells="1" sizeWithCells="1">
                  <from>
                    <xdr:col>7</xdr:col>
                    <xdr:colOff>190500</xdr:colOff>
                    <xdr:row>48</xdr:row>
                    <xdr:rowOff>28575</xdr:rowOff>
                  </from>
                  <to>
                    <xdr:col>7</xdr:col>
                    <xdr:colOff>419100</xdr:colOff>
                    <xdr:row>49</xdr:row>
                    <xdr:rowOff>0</xdr:rowOff>
                  </to>
                </anchor>
              </controlPr>
            </control>
          </mc:Choice>
        </mc:AlternateContent>
        <mc:AlternateContent xmlns:mc="http://schemas.openxmlformats.org/markup-compatibility/2006">
          <mc:Choice Requires="x14">
            <control shapeId="42234" r:id="rId231" name="Check Box 250">
              <controlPr defaultSize="0" autoFill="0" autoLine="0" autoPict="0">
                <anchor moveWithCells="1" sizeWithCells="1">
                  <from>
                    <xdr:col>5</xdr:col>
                    <xdr:colOff>219075</xdr:colOff>
                    <xdr:row>49</xdr:row>
                    <xdr:rowOff>28575</xdr:rowOff>
                  </from>
                  <to>
                    <xdr:col>5</xdr:col>
                    <xdr:colOff>447675</xdr:colOff>
                    <xdr:row>50</xdr:row>
                    <xdr:rowOff>0</xdr:rowOff>
                  </to>
                </anchor>
              </controlPr>
            </control>
          </mc:Choice>
        </mc:AlternateContent>
        <mc:AlternateContent xmlns:mc="http://schemas.openxmlformats.org/markup-compatibility/2006">
          <mc:Choice Requires="x14">
            <control shapeId="42235" r:id="rId232" name="Check Box 251">
              <controlPr defaultSize="0" autoFill="0" autoLine="0" autoPict="0">
                <anchor moveWithCells="1" sizeWithCells="1">
                  <from>
                    <xdr:col>6</xdr:col>
                    <xdr:colOff>190500</xdr:colOff>
                    <xdr:row>49</xdr:row>
                    <xdr:rowOff>28575</xdr:rowOff>
                  </from>
                  <to>
                    <xdr:col>6</xdr:col>
                    <xdr:colOff>419100</xdr:colOff>
                    <xdr:row>50</xdr:row>
                    <xdr:rowOff>0</xdr:rowOff>
                  </to>
                </anchor>
              </controlPr>
            </control>
          </mc:Choice>
        </mc:AlternateContent>
        <mc:AlternateContent xmlns:mc="http://schemas.openxmlformats.org/markup-compatibility/2006">
          <mc:Choice Requires="x14">
            <control shapeId="42236" r:id="rId233" name="Check Box 252">
              <controlPr defaultSize="0" autoFill="0" autoLine="0" autoPict="0">
                <anchor moveWithCells="1" sizeWithCells="1">
                  <from>
                    <xdr:col>7</xdr:col>
                    <xdr:colOff>190500</xdr:colOff>
                    <xdr:row>49</xdr:row>
                    <xdr:rowOff>28575</xdr:rowOff>
                  </from>
                  <to>
                    <xdr:col>7</xdr:col>
                    <xdr:colOff>419100</xdr:colOff>
                    <xdr:row>50</xdr:row>
                    <xdr:rowOff>0</xdr:rowOff>
                  </to>
                </anchor>
              </controlPr>
            </control>
          </mc:Choice>
        </mc:AlternateContent>
        <mc:AlternateContent xmlns:mc="http://schemas.openxmlformats.org/markup-compatibility/2006">
          <mc:Choice Requires="x14">
            <control shapeId="42237" r:id="rId234" name="Check Box 253">
              <controlPr defaultSize="0" autoFill="0" autoLine="0" autoPict="0">
                <anchor moveWithCells="1" sizeWithCells="1">
                  <from>
                    <xdr:col>5</xdr:col>
                    <xdr:colOff>219075</xdr:colOff>
                    <xdr:row>49</xdr:row>
                    <xdr:rowOff>28575</xdr:rowOff>
                  </from>
                  <to>
                    <xdr:col>5</xdr:col>
                    <xdr:colOff>447675</xdr:colOff>
                    <xdr:row>50</xdr:row>
                    <xdr:rowOff>0</xdr:rowOff>
                  </to>
                </anchor>
              </controlPr>
            </control>
          </mc:Choice>
        </mc:AlternateContent>
        <mc:AlternateContent xmlns:mc="http://schemas.openxmlformats.org/markup-compatibility/2006">
          <mc:Choice Requires="x14">
            <control shapeId="42238" r:id="rId235" name="Check Box 254">
              <controlPr defaultSize="0" autoFill="0" autoLine="0" autoPict="0">
                <anchor moveWithCells="1" sizeWithCells="1">
                  <from>
                    <xdr:col>6</xdr:col>
                    <xdr:colOff>190500</xdr:colOff>
                    <xdr:row>49</xdr:row>
                    <xdr:rowOff>28575</xdr:rowOff>
                  </from>
                  <to>
                    <xdr:col>6</xdr:col>
                    <xdr:colOff>419100</xdr:colOff>
                    <xdr:row>50</xdr:row>
                    <xdr:rowOff>0</xdr:rowOff>
                  </to>
                </anchor>
              </controlPr>
            </control>
          </mc:Choice>
        </mc:AlternateContent>
        <mc:AlternateContent xmlns:mc="http://schemas.openxmlformats.org/markup-compatibility/2006">
          <mc:Choice Requires="x14">
            <control shapeId="42239" r:id="rId236" name="Check Box 255">
              <controlPr defaultSize="0" autoFill="0" autoLine="0" autoPict="0">
                <anchor moveWithCells="1" sizeWithCells="1">
                  <from>
                    <xdr:col>7</xdr:col>
                    <xdr:colOff>190500</xdr:colOff>
                    <xdr:row>49</xdr:row>
                    <xdr:rowOff>28575</xdr:rowOff>
                  </from>
                  <to>
                    <xdr:col>7</xdr:col>
                    <xdr:colOff>419100</xdr:colOff>
                    <xdr:row>50</xdr:row>
                    <xdr:rowOff>0</xdr:rowOff>
                  </to>
                </anchor>
              </controlPr>
            </control>
          </mc:Choice>
        </mc:AlternateContent>
        <mc:AlternateContent xmlns:mc="http://schemas.openxmlformats.org/markup-compatibility/2006">
          <mc:Choice Requires="x14">
            <control shapeId="42240" r:id="rId237" name="Check Box 256">
              <controlPr defaultSize="0" autoFill="0" autoLine="0" autoPict="0">
                <anchor moveWithCells="1" sizeWithCells="1">
                  <from>
                    <xdr:col>5</xdr:col>
                    <xdr:colOff>219075</xdr:colOff>
                    <xdr:row>50</xdr:row>
                    <xdr:rowOff>28575</xdr:rowOff>
                  </from>
                  <to>
                    <xdr:col>5</xdr:col>
                    <xdr:colOff>447675</xdr:colOff>
                    <xdr:row>51</xdr:row>
                    <xdr:rowOff>0</xdr:rowOff>
                  </to>
                </anchor>
              </controlPr>
            </control>
          </mc:Choice>
        </mc:AlternateContent>
        <mc:AlternateContent xmlns:mc="http://schemas.openxmlformats.org/markup-compatibility/2006">
          <mc:Choice Requires="x14">
            <control shapeId="42241" r:id="rId238" name="Check Box 257">
              <controlPr defaultSize="0" autoFill="0" autoLine="0" autoPict="0">
                <anchor moveWithCells="1" sizeWithCells="1">
                  <from>
                    <xdr:col>6</xdr:col>
                    <xdr:colOff>190500</xdr:colOff>
                    <xdr:row>50</xdr:row>
                    <xdr:rowOff>28575</xdr:rowOff>
                  </from>
                  <to>
                    <xdr:col>6</xdr:col>
                    <xdr:colOff>419100</xdr:colOff>
                    <xdr:row>51</xdr:row>
                    <xdr:rowOff>0</xdr:rowOff>
                  </to>
                </anchor>
              </controlPr>
            </control>
          </mc:Choice>
        </mc:AlternateContent>
        <mc:AlternateContent xmlns:mc="http://schemas.openxmlformats.org/markup-compatibility/2006">
          <mc:Choice Requires="x14">
            <control shapeId="42242" r:id="rId239" name="Check Box 258">
              <controlPr defaultSize="0" autoFill="0" autoLine="0" autoPict="0">
                <anchor moveWithCells="1" sizeWithCells="1">
                  <from>
                    <xdr:col>7</xdr:col>
                    <xdr:colOff>190500</xdr:colOff>
                    <xdr:row>50</xdr:row>
                    <xdr:rowOff>28575</xdr:rowOff>
                  </from>
                  <to>
                    <xdr:col>7</xdr:col>
                    <xdr:colOff>419100</xdr:colOff>
                    <xdr:row>51</xdr:row>
                    <xdr:rowOff>0</xdr:rowOff>
                  </to>
                </anchor>
              </controlPr>
            </control>
          </mc:Choice>
        </mc:AlternateContent>
        <mc:AlternateContent xmlns:mc="http://schemas.openxmlformats.org/markup-compatibility/2006">
          <mc:Choice Requires="x14">
            <control shapeId="42243" r:id="rId240" name="Check Box 259">
              <controlPr defaultSize="0" autoFill="0" autoLine="0" autoPict="0">
                <anchor moveWithCells="1" sizeWithCells="1">
                  <from>
                    <xdr:col>5</xdr:col>
                    <xdr:colOff>219075</xdr:colOff>
                    <xdr:row>50</xdr:row>
                    <xdr:rowOff>28575</xdr:rowOff>
                  </from>
                  <to>
                    <xdr:col>5</xdr:col>
                    <xdr:colOff>447675</xdr:colOff>
                    <xdr:row>51</xdr:row>
                    <xdr:rowOff>0</xdr:rowOff>
                  </to>
                </anchor>
              </controlPr>
            </control>
          </mc:Choice>
        </mc:AlternateContent>
        <mc:AlternateContent xmlns:mc="http://schemas.openxmlformats.org/markup-compatibility/2006">
          <mc:Choice Requires="x14">
            <control shapeId="42244" r:id="rId241" name="Check Box 260">
              <controlPr defaultSize="0" autoFill="0" autoLine="0" autoPict="0">
                <anchor moveWithCells="1" sizeWithCells="1">
                  <from>
                    <xdr:col>6</xdr:col>
                    <xdr:colOff>190500</xdr:colOff>
                    <xdr:row>50</xdr:row>
                    <xdr:rowOff>28575</xdr:rowOff>
                  </from>
                  <to>
                    <xdr:col>6</xdr:col>
                    <xdr:colOff>419100</xdr:colOff>
                    <xdr:row>51</xdr:row>
                    <xdr:rowOff>0</xdr:rowOff>
                  </to>
                </anchor>
              </controlPr>
            </control>
          </mc:Choice>
        </mc:AlternateContent>
        <mc:AlternateContent xmlns:mc="http://schemas.openxmlformats.org/markup-compatibility/2006">
          <mc:Choice Requires="x14">
            <control shapeId="42245" r:id="rId242" name="Check Box 261">
              <controlPr defaultSize="0" autoFill="0" autoLine="0" autoPict="0">
                <anchor moveWithCells="1" sizeWithCells="1">
                  <from>
                    <xdr:col>7</xdr:col>
                    <xdr:colOff>190500</xdr:colOff>
                    <xdr:row>50</xdr:row>
                    <xdr:rowOff>28575</xdr:rowOff>
                  </from>
                  <to>
                    <xdr:col>7</xdr:col>
                    <xdr:colOff>419100</xdr:colOff>
                    <xdr:row>51</xdr:row>
                    <xdr:rowOff>0</xdr:rowOff>
                  </to>
                </anchor>
              </controlPr>
            </control>
          </mc:Choice>
        </mc:AlternateContent>
        <mc:AlternateContent xmlns:mc="http://schemas.openxmlformats.org/markup-compatibility/2006">
          <mc:Choice Requires="x14">
            <control shapeId="42246" r:id="rId243" name="Check Box 262">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247" r:id="rId244" name="Check Box 263">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248" r:id="rId245" name="Check Box 264">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249" r:id="rId246" name="Check Box 265">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2250" r:id="rId247" name="Check Box 266">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2251" r:id="rId248" name="Check Box 267">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2252" r:id="rId249" name="Check Box 268">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2253" r:id="rId250" name="Check Box 269">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2254" r:id="rId251" name="Check Box 270">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2255" r:id="rId252" name="Check Box 271">
              <controlPr defaultSize="0" autoFill="0" autoLine="0" autoPict="0">
                <anchor moveWithCells="1" sizeWithCells="1">
                  <from>
                    <xdr:col>5</xdr:col>
                    <xdr:colOff>219075</xdr:colOff>
                    <xdr:row>47</xdr:row>
                    <xdr:rowOff>28575</xdr:rowOff>
                  </from>
                  <to>
                    <xdr:col>5</xdr:col>
                    <xdr:colOff>447675</xdr:colOff>
                    <xdr:row>48</xdr:row>
                    <xdr:rowOff>0</xdr:rowOff>
                  </to>
                </anchor>
              </controlPr>
            </control>
          </mc:Choice>
        </mc:AlternateContent>
        <mc:AlternateContent xmlns:mc="http://schemas.openxmlformats.org/markup-compatibility/2006">
          <mc:Choice Requires="x14">
            <control shapeId="42256" r:id="rId253" name="Check Box 272">
              <controlPr defaultSize="0" autoFill="0" autoLine="0" autoPict="0">
                <anchor moveWithCells="1" sizeWithCells="1">
                  <from>
                    <xdr:col>6</xdr:col>
                    <xdr:colOff>190500</xdr:colOff>
                    <xdr:row>47</xdr:row>
                    <xdr:rowOff>28575</xdr:rowOff>
                  </from>
                  <to>
                    <xdr:col>6</xdr:col>
                    <xdr:colOff>419100</xdr:colOff>
                    <xdr:row>48</xdr:row>
                    <xdr:rowOff>0</xdr:rowOff>
                  </to>
                </anchor>
              </controlPr>
            </control>
          </mc:Choice>
        </mc:AlternateContent>
        <mc:AlternateContent xmlns:mc="http://schemas.openxmlformats.org/markup-compatibility/2006">
          <mc:Choice Requires="x14">
            <control shapeId="42257" r:id="rId254" name="Check Box 273">
              <controlPr defaultSize="0" autoFill="0" autoLine="0" autoPict="0">
                <anchor moveWithCells="1" sizeWithCells="1">
                  <from>
                    <xdr:col>7</xdr:col>
                    <xdr:colOff>190500</xdr:colOff>
                    <xdr:row>47</xdr:row>
                    <xdr:rowOff>28575</xdr:rowOff>
                  </from>
                  <to>
                    <xdr:col>7</xdr:col>
                    <xdr:colOff>419100</xdr:colOff>
                    <xdr:row>48</xdr:row>
                    <xdr:rowOff>0</xdr:rowOff>
                  </to>
                </anchor>
              </controlPr>
            </control>
          </mc:Choice>
        </mc:AlternateContent>
        <mc:AlternateContent xmlns:mc="http://schemas.openxmlformats.org/markup-compatibility/2006">
          <mc:Choice Requires="x14">
            <control shapeId="42258" r:id="rId255" name="Check Box 274">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2259" r:id="rId256" name="Check Box 275">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2260" r:id="rId257" name="Check Box 276">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2261" r:id="rId258" name="Check Box 277">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262" r:id="rId259" name="Check Box 278">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263" r:id="rId260" name="Check Box 279">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264" r:id="rId261" name="Check Box 280">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265" r:id="rId262" name="Check Box 281">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266" r:id="rId263" name="Check Box 282">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267" r:id="rId264" name="Check Box 283">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2268" r:id="rId265" name="Check Box 284">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2269" r:id="rId266" name="Check Box 285">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2270" r:id="rId267" name="Check Box 286">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2271" r:id="rId268" name="Check Box 287">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2272" r:id="rId269" name="Check Box 288">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2273" r:id="rId270" name="Check Box 289">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274" r:id="rId271" name="Check Box 290">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275" r:id="rId272" name="Check Box 291">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276" r:id="rId273" name="Check Box 292">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277" r:id="rId274" name="Check Box 293">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278" r:id="rId275" name="Check Box 294">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279" r:id="rId276" name="Check Box 295">
              <controlPr defaultSize="0" autoFill="0" autoLine="0" autoPict="0">
                <anchor moveWithCells="1" sizeWithCells="1">
                  <from>
                    <xdr:col>5</xdr:col>
                    <xdr:colOff>219075</xdr:colOff>
                    <xdr:row>18</xdr:row>
                    <xdr:rowOff>28575</xdr:rowOff>
                  </from>
                  <to>
                    <xdr:col>5</xdr:col>
                    <xdr:colOff>447675</xdr:colOff>
                    <xdr:row>19</xdr:row>
                    <xdr:rowOff>0</xdr:rowOff>
                  </to>
                </anchor>
              </controlPr>
            </control>
          </mc:Choice>
        </mc:AlternateContent>
        <mc:AlternateContent xmlns:mc="http://schemas.openxmlformats.org/markup-compatibility/2006">
          <mc:Choice Requires="x14">
            <control shapeId="42280" r:id="rId277" name="Check Box 296">
              <controlPr defaultSize="0" autoFill="0" autoLine="0" autoPict="0">
                <anchor moveWithCells="1" sizeWithCells="1">
                  <from>
                    <xdr:col>6</xdr:col>
                    <xdr:colOff>190500</xdr:colOff>
                    <xdr:row>18</xdr:row>
                    <xdr:rowOff>28575</xdr:rowOff>
                  </from>
                  <to>
                    <xdr:col>6</xdr:col>
                    <xdr:colOff>419100</xdr:colOff>
                    <xdr:row>19</xdr:row>
                    <xdr:rowOff>0</xdr:rowOff>
                  </to>
                </anchor>
              </controlPr>
            </control>
          </mc:Choice>
        </mc:AlternateContent>
        <mc:AlternateContent xmlns:mc="http://schemas.openxmlformats.org/markup-compatibility/2006">
          <mc:Choice Requires="x14">
            <control shapeId="42281" r:id="rId278" name="Check Box 297">
              <controlPr defaultSize="0" autoFill="0" autoLine="0" autoPict="0">
                <anchor moveWithCells="1" sizeWithCells="1">
                  <from>
                    <xdr:col>7</xdr:col>
                    <xdr:colOff>190500</xdr:colOff>
                    <xdr:row>18</xdr:row>
                    <xdr:rowOff>28575</xdr:rowOff>
                  </from>
                  <to>
                    <xdr:col>7</xdr:col>
                    <xdr:colOff>419100</xdr:colOff>
                    <xdr:row>19</xdr:row>
                    <xdr:rowOff>0</xdr:rowOff>
                  </to>
                </anchor>
              </controlPr>
            </control>
          </mc:Choice>
        </mc:AlternateContent>
        <mc:AlternateContent xmlns:mc="http://schemas.openxmlformats.org/markup-compatibility/2006">
          <mc:Choice Requires="x14">
            <control shapeId="42282" r:id="rId279" name="Check Box 298">
              <controlPr defaultSize="0" autoFill="0" autoLine="0" autoPict="0">
                <anchor moveWithCells="1" sizeWithCells="1">
                  <from>
                    <xdr:col>5</xdr:col>
                    <xdr:colOff>219075</xdr:colOff>
                    <xdr:row>18</xdr:row>
                    <xdr:rowOff>28575</xdr:rowOff>
                  </from>
                  <to>
                    <xdr:col>5</xdr:col>
                    <xdr:colOff>447675</xdr:colOff>
                    <xdr:row>19</xdr:row>
                    <xdr:rowOff>0</xdr:rowOff>
                  </to>
                </anchor>
              </controlPr>
            </control>
          </mc:Choice>
        </mc:AlternateContent>
        <mc:AlternateContent xmlns:mc="http://schemas.openxmlformats.org/markup-compatibility/2006">
          <mc:Choice Requires="x14">
            <control shapeId="42283" r:id="rId280" name="Check Box 299">
              <controlPr defaultSize="0" autoFill="0" autoLine="0" autoPict="0">
                <anchor moveWithCells="1" sizeWithCells="1">
                  <from>
                    <xdr:col>6</xdr:col>
                    <xdr:colOff>190500</xdr:colOff>
                    <xdr:row>18</xdr:row>
                    <xdr:rowOff>28575</xdr:rowOff>
                  </from>
                  <to>
                    <xdr:col>6</xdr:col>
                    <xdr:colOff>419100</xdr:colOff>
                    <xdr:row>19</xdr:row>
                    <xdr:rowOff>0</xdr:rowOff>
                  </to>
                </anchor>
              </controlPr>
            </control>
          </mc:Choice>
        </mc:AlternateContent>
        <mc:AlternateContent xmlns:mc="http://schemas.openxmlformats.org/markup-compatibility/2006">
          <mc:Choice Requires="x14">
            <control shapeId="42284" r:id="rId281" name="Check Box 300">
              <controlPr defaultSize="0" autoFill="0" autoLine="0" autoPict="0">
                <anchor moveWithCells="1" sizeWithCells="1">
                  <from>
                    <xdr:col>7</xdr:col>
                    <xdr:colOff>190500</xdr:colOff>
                    <xdr:row>18</xdr:row>
                    <xdr:rowOff>28575</xdr:rowOff>
                  </from>
                  <to>
                    <xdr:col>7</xdr:col>
                    <xdr:colOff>419100</xdr:colOff>
                    <xdr:row>19</xdr:row>
                    <xdr:rowOff>0</xdr:rowOff>
                  </to>
                </anchor>
              </controlPr>
            </control>
          </mc:Choice>
        </mc:AlternateContent>
        <mc:AlternateContent xmlns:mc="http://schemas.openxmlformats.org/markup-compatibility/2006">
          <mc:Choice Requires="x14">
            <control shapeId="42285" r:id="rId282" name="Check Box 301">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2286" r:id="rId283" name="Check Box 302">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2287" r:id="rId284" name="Check Box 303">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2288" r:id="rId285" name="Check Box 304">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2289" r:id="rId286" name="Check Box 305">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2290" r:id="rId287" name="Check Box 306">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2291" r:id="rId288" name="Check Box 307">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2292" r:id="rId289" name="Check Box 308">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2293" r:id="rId290" name="Check Box 309">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2294" r:id="rId291" name="Check Box 310">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2295" r:id="rId292" name="Check Box 311">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2296" r:id="rId293" name="Check Box 312">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2297" r:id="rId294" name="Check Box 313">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2298" r:id="rId295" name="Check Box 314">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2299" r:id="rId296" name="Check Box 315">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2300" r:id="rId297" name="Check Box 316">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2301" r:id="rId298" name="Check Box 317">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2302" r:id="rId299" name="Check Box 318">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2303" r:id="rId300" name="Check Box 319">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2304" r:id="rId301" name="Check Box 320">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2305" r:id="rId302" name="Check Box 321">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2306" r:id="rId303" name="Check Box 322">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2307" r:id="rId304" name="Check Box 323">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2308" r:id="rId305" name="Check Box 324">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2309" r:id="rId306" name="Check Box 325">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2310" r:id="rId307" name="Check Box 326">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2311" r:id="rId308" name="Check Box 327">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2312" r:id="rId309" name="Check Box 328">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2313" r:id="rId310" name="Check Box 329">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2314" r:id="rId311" name="Check Box 330">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2315" r:id="rId312" name="Check Box 331">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2316" r:id="rId313" name="Check Box 332">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2317" r:id="rId314" name="Check Box 333">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2318" r:id="rId315" name="Check Box 334">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2319" r:id="rId316" name="Check Box 335">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2320" r:id="rId317" name="Check Box 336">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2321" r:id="rId318" name="Check Box 337">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2322" r:id="rId319" name="Check Box 338">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2323" r:id="rId320" name="Check Box 339">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2324" r:id="rId321" name="Check Box 340">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2325" r:id="rId322" name="Check Box 341">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2326" r:id="rId323" name="Check Box 342">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2327" r:id="rId324" name="Check Box 343">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2328" r:id="rId325" name="Check Box 344">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2329" r:id="rId326" name="Check Box 345">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2330" r:id="rId327" name="Check Box 346">
              <controlPr defaultSize="0" autoFill="0" autoLine="0" autoPict="0">
                <anchor moveWithCells="1" sizeWithCells="1">
                  <from>
                    <xdr:col>5</xdr:col>
                    <xdr:colOff>219075</xdr:colOff>
                    <xdr:row>58</xdr:row>
                    <xdr:rowOff>0</xdr:rowOff>
                  </from>
                  <to>
                    <xdr:col>5</xdr:col>
                    <xdr:colOff>447675</xdr:colOff>
                    <xdr:row>58</xdr:row>
                    <xdr:rowOff>0</xdr:rowOff>
                  </to>
                </anchor>
              </controlPr>
            </control>
          </mc:Choice>
        </mc:AlternateContent>
        <mc:AlternateContent xmlns:mc="http://schemas.openxmlformats.org/markup-compatibility/2006">
          <mc:Choice Requires="x14">
            <control shapeId="42331" r:id="rId328" name="Check Box 347">
              <controlPr defaultSize="0" autoFill="0" autoLine="0" autoPict="0">
                <anchor moveWithCells="1" sizeWithCells="1">
                  <from>
                    <xdr:col>6</xdr:col>
                    <xdr:colOff>190500</xdr:colOff>
                    <xdr:row>58</xdr:row>
                    <xdr:rowOff>0</xdr:rowOff>
                  </from>
                  <to>
                    <xdr:col>6</xdr:col>
                    <xdr:colOff>419100</xdr:colOff>
                    <xdr:row>58</xdr:row>
                    <xdr:rowOff>0</xdr:rowOff>
                  </to>
                </anchor>
              </controlPr>
            </control>
          </mc:Choice>
        </mc:AlternateContent>
        <mc:AlternateContent xmlns:mc="http://schemas.openxmlformats.org/markup-compatibility/2006">
          <mc:Choice Requires="x14">
            <control shapeId="42332" r:id="rId329" name="Check Box 348">
              <controlPr defaultSize="0" autoFill="0" autoLine="0" autoPict="0">
                <anchor moveWithCells="1" sizeWithCells="1">
                  <from>
                    <xdr:col>7</xdr:col>
                    <xdr:colOff>190500</xdr:colOff>
                    <xdr:row>58</xdr:row>
                    <xdr:rowOff>0</xdr:rowOff>
                  </from>
                  <to>
                    <xdr:col>7</xdr:col>
                    <xdr:colOff>419100</xdr:colOff>
                    <xdr:row>58</xdr:row>
                    <xdr:rowOff>0</xdr:rowOff>
                  </to>
                </anchor>
              </controlPr>
            </control>
          </mc:Choice>
        </mc:AlternateContent>
        <mc:AlternateContent xmlns:mc="http://schemas.openxmlformats.org/markup-compatibility/2006">
          <mc:Choice Requires="x14">
            <control shapeId="42333" r:id="rId330" name="Check Box 349">
              <controlPr defaultSize="0" autoFill="0" autoLine="0" autoPict="0">
                <anchor moveWithCells="1" sizeWithCells="1">
                  <from>
                    <xdr:col>5</xdr:col>
                    <xdr:colOff>219075</xdr:colOff>
                    <xdr:row>58</xdr:row>
                    <xdr:rowOff>0</xdr:rowOff>
                  </from>
                  <to>
                    <xdr:col>5</xdr:col>
                    <xdr:colOff>447675</xdr:colOff>
                    <xdr:row>58</xdr:row>
                    <xdr:rowOff>0</xdr:rowOff>
                  </to>
                </anchor>
              </controlPr>
            </control>
          </mc:Choice>
        </mc:AlternateContent>
        <mc:AlternateContent xmlns:mc="http://schemas.openxmlformats.org/markup-compatibility/2006">
          <mc:Choice Requires="x14">
            <control shapeId="42334" r:id="rId331" name="Check Box 350">
              <controlPr defaultSize="0" autoFill="0" autoLine="0" autoPict="0">
                <anchor moveWithCells="1" sizeWithCells="1">
                  <from>
                    <xdr:col>6</xdr:col>
                    <xdr:colOff>190500</xdr:colOff>
                    <xdr:row>58</xdr:row>
                    <xdr:rowOff>0</xdr:rowOff>
                  </from>
                  <to>
                    <xdr:col>6</xdr:col>
                    <xdr:colOff>419100</xdr:colOff>
                    <xdr:row>58</xdr:row>
                    <xdr:rowOff>0</xdr:rowOff>
                  </to>
                </anchor>
              </controlPr>
            </control>
          </mc:Choice>
        </mc:AlternateContent>
        <mc:AlternateContent xmlns:mc="http://schemas.openxmlformats.org/markup-compatibility/2006">
          <mc:Choice Requires="x14">
            <control shapeId="42335" r:id="rId332" name="Check Box 351">
              <controlPr defaultSize="0" autoFill="0" autoLine="0" autoPict="0">
                <anchor moveWithCells="1" sizeWithCells="1">
                  <from>
                    <xdr:col>7</xdr:col>
                    <xdr:colOff>190500</xdr:colOff>
                    <xdr:row>58</xdr:row>
                    <xdr:rowOff>0</xdr:rowOff>
                  </from>
                  <to>
                    <xdr:col>7</xdr:col>
                    <xdr:colOff>419100</xdr:colOff>
                    <xdr:row>58</xdr:row>
                    <xdr:rowOff>0</xdr:rowOff>
                  </to>
                </anchor>
              </controlPr>
            </control>
          </mc:Choice>
        </mc:AlternateContent>
        <mc:AlternateContent xmlns:mc="http://schemas.openxmlformats.org/markup-compatibility/2006">
          <mc:Choice Requires="x14">
            <control shapeId="42336" r:id="rId333" name="Check Box 352">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2337" r:id="rId334" name="Check Box 353">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2338" r:id="rId335" name="Check Box 354">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2339" r:id="rId336" name="Check Box 355">
              <controlPr defaultSize="0" autoFill="0" autoLine="0" autoPict="0">
                <anchor moveWithCells="1" sizeWithCells="1">
                  <from>
                    <xdr:col>5</xdr:col>
                    <xdr:colOff>219075</xdr:colOff>
                    <xdr:row>58</xdr:row>
                    <xdr:rowOff>0</xdr:rowOff>
                  </from>
                  <to>
                    <xdr:col>5</xdr:col>
                    <xdr:colOff>447675</xdr:colOff>
                    <xdr:row>58</xdr:row>
                    <xdr:rowOff>0</xdr:rowOff>
                  </to>
                </anchor>
              </controlPr>
            </control>
          </mc:Choice>
        </mc:AlternateContent>
        <mc:AlternateContent xmlns:mc="http://schemas.openxmlformats.org/markup-compatibility/2006">
          <mc:Choice Requires="x14">
            <control shapeId="42340" r:id="rId337" name="Check Box 356">
              <controlPr defaultSize="0" autoFill="0" autoLine="0" autoPict="0">
                <anchor moveWithCells="1" sizeWithCells="1">
                  <from>
                    <xdr:col>6</xdr:col>
                    <xdr:colOff>190500</xdr:colOff>
                    <xdr:row>58</xdr:row>
                    <xdr:rowOff>0</xdr:rowOff>
                  </from>
                  <to>
                    <xdr:col>6</xdr:col>
                    <xdr:colOff>419100</xdr:colOff>
                    <xdr:row>58</xdr:row>
                    <xdr:rowOff>0</xdr:rowOff>
                  </to>
                </anchor>
              </controlPr>
            </control>
          </mc:Choice>
        </mc:AlternateContent>
        <mc:AlternateContent xmlns:mc="http://schemas.openxmlformats.org/markup-compatibility/2006">
          <mc:Choice Requires="x14">
            <control shapeId="42341" r:id="rId338" name="Check Box 357">
              <controlPr defaultSize="0" autoFill="0" autoLine="0" autoPict="0">
                <anchor moveWithCells="1" sizeWithCells="1">
                  <from>
                    <xdr:col>7</xdr:col>
                    <xdr:colOff>190500</xdr:colOff>
                    <xdr:row>58</xdr:row>
                    <xdr:rowOff>0</xdr:rowOff>
                  </from>
                  <to>
                    <xdr:col>7</xdr:col>
                    <xdr:colOff>419100</xdr:colOff>
                    <xdr:row>58</xdr:row>
                    <xdr:rowOff>0</xdr:rowOff>
                  </to>
                </anchor>
              </controlPr>
            </control>
          </mc:Choice>
        </mc:AlternateContent>
        <mc:AlternateContent xmlns:mc="http://schemas.openxmlformats.org/markup-compatibility/2006">
          <mc:Choice Requires="x14">
            <control shapeId="42342" r:id="rId339" name="Check Box 358">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2343" r:id="rId340" name="Check Box 359">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2344" r:id="rId341" name="Check Box 360">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2345" r:id="rId342" name="Check Box 361">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2346" r:id="rId343" name="Check Box 362">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2347" r:id="rId344" name="Check Box 363">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2348" r:id="rId345" name="Check Box 364">
              <controlPr defaultSize="0" autoFill="0" autoLine="0" autoPict="0">
                <anchor moveWithCells="1" sizeWithCells="1">
                  <from>
                    <xdr:col>5</xdr:col>
                    <xdr:colOff>219075</xdr:colOff>
                    <xdr:row>58</xdr:row>
                    <xdr:rowOff>0</xdr:rowOff>
                  </from>
                  <to>
                    <xdr:col>5</xdr:col>
                    <xdr:colOff>447675</xdr:colOff>
                    <xdr:row>58</xdr:row>
                    <xdr:rowOff>0</xdr:rowOff>
                  </to>
                </anchor>
              </controlPr>
            </control>
          </mc:Choice>
        </mc:AlternateContent>
        <mc:AlternateContent xmlns:mc="http://schemas.openxmlformats.org/markup-compatibility/2006">
          <mc:Choice Requires="x14">
            <control shapeId="42349" r:id="rId346" name="Check Box 365">
              <controlPr defaultSize="0" autoFill="0" autoLine="0" autoPict="0">
                <anchor moveWithCells="1" sizeWithCells="1">
                  <from>
                    <xdr:col>6</xdr:col>
                    <xdr:colOff>190500</xdr:colOff>
                    <xdr:row>58</xdr:row>
                    <xdr:rowOff>0</xdr:rowOff>
                  </from>
                  <to>
                    <xdr:col>6</xdr:col>
                    <xdr:colOff>419100</xdr:colOff>
                    <xdr:row>58</xdr:row>
                    <xdr:rowOff>0</xdr:rowOff>
                  </to>
                </anchor>
              </controlPr>
            </control>
          </mc:Choice>
        </mc:AlternateContent>
        <mc:AlternateContent xmlns:mc="http://schemas.openxmlformats.org/markup-compatibility/2006">
          <mc:Choice Requires="x14">
            <control shapeId="42350" r:id="rId347" name="Check Box 366">
              <controlPr defaultSize="0" autoFill="0" autoLine="0" autoPict="0">
                <anchor moveWithCells="1" sizeWithCells="1">
                  <from>
                    <xdr:col>7</xdr:col>
                    <xdr:colOff>190500</xdr:colOff>
                    <xdr:row>58</xdr:row>
                    <xdr:rowOff>0</xdr:rowOff>
                  </from>
                  <to>
                    <xdr:col>7</xdr:col>
                    <xdr:colOff>419100</xdr:colOff>
                    <xdr:row>58</xdr:row>
                    <xdr:rowOff>0</xdr:rowOff>
                  </to>
                </anchor>
              </controlPr>
            </control>
          </mc:Choice>
        </mc:AlternateContent>
        <mc:AlternateContent xmlns:mc="http://schemas.openxmlformats.org/markup-compatibility/2006">
          <mc:Choice Requires="x14">
            <control shapeId="42351" r:id="rId348" name="Check Box 367">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2352" r:id="rId349" name="Check Box 368">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2353" r:id="rId350" name="Check Box 369">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2354" r:id="rId351" name="Check Box 370">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2355" r:id="rId352" name="Check Box 371">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2356" r:id="rId353" name="Check Box 372">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2357" r:id="rId354" name="Check Box 373">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2358" r:id="rId355" name="Check Box 374">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2359" r:id="rId356" name="Check Box 375">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2360" r:id="rId357" name="Check Box 376">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2361" r:id="rId358" name="Check Box 377">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2362" r:id="rId359" name="Check Box 378">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2363" r:id="rId360" name="Check Box 379">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2364" r:id="rId361" name="Check Box 380">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2365" r:id="rId362" name="Check Box 381">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2366" r:id="rId363" name="Check Box 382">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2367" r:id="rId364" name="Check Box 383">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2368" r:id="rId365" name="Check Box 384">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2369" r:id="rId366" name="Check Box 385">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2370" r:id="rId367" name="Check Box 386">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2371" r:id="rId368" name="Check Box 387">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2372" r:id="rId369" name="Check Box 388">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2373" r:id="rId370" name="Check Box 389">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2374" r:id="rId371" name="Check Box 390">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2375" r:id="rId372" name="Check Box 391">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2376" r:id="rId373" name="Check Box 392">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2377" r:id="rId374" name="Check Box 393">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2378" r:id="rId375" name="Check Box 394">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2379" r:id="rId376" name="Check Box 395">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2380" r:id="rId377" name="Check Box 396">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2381" r:id="rId378" name="Check Box 397">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2382" r:id="rId379" name="Check Box 398">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2383" r:id="rId380" name="Check Box 399">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2384" r:id="rId381" name="Check Box 400">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2385" r:id="rId382" name="Check Box 401">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2386" r:id="rId383" name="Check Box 402">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2387" r:id="rId384" name="Check Box 403">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2388" r:id="rId385" name="Check Box 404">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2389" r:id="rId386" name="Check Box 405">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2390" r:id="rId387" name="Check Box 406">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2391" r:id="rId388" name="Check Box 407">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2392" r:id="rId389" name="Check Box 408">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2393" r:id="rId390" name="Check Box 409">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2394" r:id="rId391" name="Check Box 410">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2395" r:id="rId392" name="Check Box 411">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2396" r:id="rId393" name="Check Box 412">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2397" r:id="rId394" name="Check Box 413">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2398" r:id="rId395" name="Check Box 414">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2399" r:id="rId396" name="Check Box 415">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2400" r:id="rId397" name="Check Box 416">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2401" r:id="rId398" name="Check Box 417">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2402" r:id="rId399" name="Check Box 418">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2403" r:id="rId400" name="Check Box 419">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2404" r:id="rId401" name="Check Box 420">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2405" r:id="rId402" name="Check Box 421">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2406" r:id="rId403" name="Check Box 422">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2407" r:id="rId404" name="Check Box 423">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2408" r:id="rId405" name="Check Box 424">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2409" r:id="rId406" name="Check Box 425">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2410" r:id="rId407" name="Check Box 426">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2411" r:id="rId408" name="Check Box 427">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2412" r:id="rId409" name="Check Box 428">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2413" r:id="rId410" name="Check Box 429">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2414" r:id="rId411" name="Check Box 430">
              <controlPr defaultSize="0" autoFill="0" autoLine="0" autoPict="0">
                <anchor moveWithCells="1" sizeWithCells="1">
                  <from>
                    <xdr:col>5</xdr:col>
                    <xdr:colOff>219075</xdr:colOff>
                    <xdr:row>64</xdr:row>
                    <xdr:rowOff>28575</xdr:rowOff>
                  </from>
                  <to>
                    <xdr:col>5</xdr:col>
                    <xdr:colOff>447675</xdr:colOff>
                    <xdr:row>65</xdr:row>
                    <xdr:rowOff>0</xdr:rowOff>
                  </to>
                </anchor>
              </controlPr>
            </control>
          </mc:Choice>
        </mc:AlternateContent>
        <mc:AlternateContent xmlns:mc="http://schemas.openxmlformats.org/markup-compatibility/2006">
          <mc:Choice Requires="x14">
            <control shapeId="42415" r:id="rId412" name="Check Box 431">
              <controlPr defaultSize="0" autoFill="0" autoLine="0" autoPict="0">
                <anchor moveWithCells="1" sizeWithCells="1">
                  <from>
                    <xdr:col>6</xdr:col>
                    <xdr:colOff>190500</xdr:colOff>
                    <xdr:row>64</xdr:row>
                    <xdr:rowOff>28575</xdr:rowOff>
                  </from>
                  <to>
                    <xdr:col>6</xdr:col>
                    <xdr:colOff>419100</xdr:colOff>
                    <xdr:row>65</xdr:row>
                    <xdr:rowOff>0</xdr:rowOff>
                  </to>
                </anchor>
              </controlPr>
            </control>
          </mc:Choice>
        </mc:AlternateContent>
        <mc:AlternateContent xmlns:mc="http://schemas.openxmlformats.org/markup-compatibility/2006">
          <mc:Choice Requires="x14">
            <control shapeId="42416" r:id="rId413" name="Check Box 432">
              <controlPr defaultSize="0" autoFill="0" autoLine="0" autoPict="0">
                <anchor moveWithCells="1" sizeWithCells="1">
                  <from>
                    <xdr:col>7</xdr:col>
                    <xdr:colOff>190500</xdr:colOff>
                    <xdr:row>64</xdr:row>
                    <xdr:rowOff>28575</xdr:rowOff>
                  </from>
                  <to>
                    <xdr:col>7</xdr:col>
                    <xdr:colOff>419100</xdr:colOff>
                    <xdr:row>65</xdr:row>
                    <xdr:rowOff>0</xdr:rowOff>
                  </to>
                </anchor>
              </controlPr>
            </control>
          </mc:Choice>
        </mc:AlternateContent>
        <mc:AlternateContent xmlns:mc="http://schemas.openxmlformats.org/markup-compatibility/2006">
          <mc:Choice Requires="x14">
            <control shapeId="42417" r:id="rId414" name="Check Box 433">
              <controlPr defaultSize="0" autoFill="0" autoLine="0" autoPict="0">
                <anchor moveWithCells="1" sizeWithCells="1">
                  <from>
                    <xdr:col>5</xdr:col>
                    <xdr:colOff>219075</xdr:colOff>
                    <xdr:row>64</xdr:row>
                    <xdr:rowOff>28575</xdr:rowOff>
                  </from>
                  <to>
                    <xdr:col>5</xdr:col>
                    <xdr:colOff>447675</xdr:colOff>
                    <xdr:row>65</xdr:row>
                    <xdr:rowOff>0</xdr:rowOff>
                  </to>
                </anchor>
              </controlPr>
            </control>
          </mc:Choice>
        </mc:AlternateContent>
        <mc:AlternateContent xmlns:mc="http://schemas.openxmlformats.org/markup-compatibility/2006">
          <mc:Choice Requires="x14">
            <control shapeId="42418" r:id="rId415" name="Check Box 434">
              <controlPr defaultSize="0" autoFill="0" autoLine="0" autoPict="0">
                <anchor moveWithCells="1" sizeWithCells="1">
                  <from>
                    <xdr:col>6</xdr:col>
                    <xdr:colOff>190500</xdr:colOff>
                    <xdr:row>64</xdr:row>
                    <xdr:rowOff>28575</xdr:rowOff>
                  </from>
                  <to>
                    <xdr:col>6</xdr:col>
                    <xdr:colOff>419100</xdr:colOff>
                    <xdr:row>65</xdr:row>
                    <xdr:rowOff>0</xdr:rowOff>
                  </to>
                </anchor>
              </controlPr>
            </control>
          </mc:Choice>
        </mc:AlternateContent>
        <mc:AlternateContent xmlns:mc="http://schemas.openxmlformats.org/markup-compatibility/2006">
          <mc:Choice Requires="x14">
            <control shapeId="42419" r:id="rId416" name="Check Box 435">
              <controlPr defaultSize="0" autoFill="0" autoLine="0" autoPict="0">
                <anchor moveWithCells="1" sizeWithCells="1">
                  <from>
                    <xdr:col>7</xdr:col>
                    <xdr:colOff>190500</xdr:colOff>
                    <xdr:row>64</xdr:row>
                    <xdr:rowOff>28575</xdr:rowOff>
                  </from>
                  <to>
                    <xdr:col>7</xdr:col>
                    <xdr:colOff>419100</xdr:colOff>
                    <xdr:row>65</xdr:row>
                    <xdr:rowOff>0</xdr:rowOff>
                  </to>
                </anchor>
              </controlPr>
            </control>
          </mc:Choice>
        </mc:AlternateContent>
        <mc:AlternateContent xmlns:mc="http://schemas.openxmlformats.org/markup-compatibility/2006">
          <mc:Choice Requires="x14">
            <control shapeId="42420" r:id="rId417" name="Check Box 436">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2421" r:id="rId418" name="Check Box 437">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2422" r:id="rId419" name="Check Box 438">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2423" r:id="rId420" name="Check Box 439">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24" r:id="rId421" name="Check Box 440">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25" r:id="rId422" name="Check Box 441">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26" r:id="rId423" name="Check Box 442">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27" r:id="rId424" name="Check Box 443">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28" r:id="rId425" name="Check Box 444">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29" r:id="rId426" name="Check Box 445">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30" r:id="rId427" name="Check Box 446">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31" r:id="rId428" name="Check Box 447">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32" r:id="rId429" name="Check Box 448">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33" r:id="rId430" name="Check Box 449">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34" r:id="rId431" name="Check Box 450">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35" r:id="rId432" name="Check Box 451">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36" r:id="rId433" name="Check Box 452">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37" r:id="rId434" name="Check Box 453">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38" r:id="rId435" name="Check Box 454">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39" r:id="rId436" name="Check Box 455">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40" r:id="rId437" name="Check Box 456">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41" r:id="rId438" name="Check Box 457">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42" r:id="rId439" name="Check Box 458">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43" r:id="rId440" name="Check Box 459">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44" r:id="rId441" name="Check Box 460">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45" r:id="rId442" name="Check Box 461">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46" r:id="rId443" name="Check Box 462">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47" r:id="rId444" name="Check Box 463">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48" r:id="rId445" name="Check Box 464">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49" r:id="rId446" name="Check Box 465">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50" r:id="rId447" name="Check Box 466">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51" r:id="rId448" name="Check Box 467">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52" r:id="rId449" name="Check Box 468">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53" r:id="rId450" name="Check Box 469">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54" r:id="rId451" name="Check Box 470">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55" r:id="rId452" name="Check Box 471">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56" r:id="rId453" name="Check Box 472">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57" r:id="rId454" name="Check Box 473">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58" r:id="rId455" name="Check Box 474">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59" r:id="rId456" name="Check Box 475">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60" r:id="rId457" name="Check Box 476">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61" r:id="rId458" name="Check Box 477">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62" r:id="rId459" name="Check Box 478">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63" r:id="rId460" name="Check Box 479">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64" r:id="rId461" name="Check Box 480">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65" r:id="rId462" name="Check Box 481">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66" r:id="rId463" name="Check Box 482">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67" r:id="rId464" name="Check Box 483">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68" r:id="rId465" name="Check Box 484">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69" r:id="rId466" name="Check Box 485">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70" r:id="rId467" name="Check Box 486">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71" r:id="rId468" name="Check Box 487">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72" r:id="rId469" name="Check Box 488">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73" r:id="rId470" name="Check Box 489">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74" r:id="rId471" name="Check Box 490">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75" r:id="rId472" name="Check Box 491">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76" r:id="rId473" name="Check Box 492">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77" r:id="rId474" name="Check Box 493">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78" r:id="rId475" name="Check Box 494">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79" r:id="rId476" name="Check Box 495">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80" r:id="rId477" name="Check Box 496">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81" r:id="rId478" name="Check Box 497">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482" r:id="rId479" name="Check Box 498">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483" r:id="rId480" name="Check Box 499">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84" r:id="rId481" name="Check Box 500">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485" r:id="rId482" name="Check Box 501">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486" r:id="rId483" name="Check Box 502">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87" r:id="rId484" name="Check Box 503">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88" r:id="rId485" name="Check Box 504">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89" r:id="rId486" name="Check Box 505">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90" r:id="rId487" name="Check Box 506">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491" r:id="rId488" name="Check Box 507">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492" r:id="rId489" name="Check Box 508">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93" r:id="rId490" name="Check Box 509">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494" r:id="rId491" name="Check Box 510">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495" r:id="rId492" name="Check Box 511">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96" r:id="rId493" name="Check Box 512">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497" r:id="rId494" name="Check Box 513">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498" r:id="rId495" name="Check Box 514">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99" r:id="rId496" name="Check Box 515">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500" r:id="rId497" name="Check Box 516">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501" r:id="rId498" name="Check Box 517">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02" r:id="rId499" name="Check Box 518">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03" r:id="rId500" name="Check Box 519">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04" r:id="rId501" name="Check Box 520">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05" r:id="rId502" name="Check Box 521">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06" r:id="rId503" name="Check Box 522">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07" r:id="rId504" name="Check Box 523">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508" r:id="rId505" name="Check Box 524">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509" r:id="rId506" name="Check Box 525">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510" r:id="rId507" name="Check Box 526">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11" r:id="rId508" name="Check Box 527">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12" r:id="rId509" name="Check Box 528">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13" r:id="rId510" name="Check Box 529">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14" r:id="rId511" name="Check Box 530">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15" r:id="rId512" name="Check Box 531">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16" r:id="rId513" name="Check Box 532">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17" r:id="rId514" name="Check Box 533">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18" r:id="rId515" name="Check Box 534">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19" r:id="rId516" name="Check Box 535">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20" r:id="rId517" name="Check Box 536">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21" r:id="rId518" name="Check Box 537">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28" r:id="rId519" name="Check Box 544">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29" r:id="rId520" name="Check Box 545">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30" r:id="rId521" name="Check Box 546">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45" r:id="rId522" name="Check Box 561">
              <controlPr defaultSize="0" autoFill="0" autoLine="0" autoPict="0">
                <anchor moveWithCells="1" sizeWithCells="1">
                  <from>
                    <xdr:col>7</xdr:col>
                    <xdr:colOff>190500</xdr:colOff>
                    <xdr:row>80</xdr:row>
                    <xdr:rowOff>28575</xdr:rowOff>
                  </from>
                  <to>
                    <xdr:col>7</xdr:col>
                    <xdr:colOff>419100</xdr:colOff>
                    <xdr:row>81</xdr:row>
                    <xdr:rowOff>0</xdr:rowOff>
                  </to>
                </anchor>
              </controlPr>
            </control>
          </mc:Choice>
        </mc:AlternateContent>
        <mc:AlternateContent xmlns:mc="http://schemas.openxmlformats.org/markup-compatibility/2006">
          <mc:Choice Requires="x14">
            <control shapeId="42564" r:id="rId523" name="Check Box 580">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65" r:id="rId524" name="Check Box 581">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66" r:id="rId525" name="Check Box 582">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67" r:id="rId526" name="Check Box 583">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68" r:id="rId527" name="Check Box 584">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69" r:id="rId528" name="Check Box 585">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73" r:id="rId529" name="Check Box 589">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74" r:id="rId530" name="Check Box 590">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75" r:id="rId531" name="Check Box 591">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76" r:id="rId532" name="Check Box 592">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77" r:id="rId533" name="Check Box 593">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78" r:id="rId534" name="Check Box 594">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79" r:id="rId535" name="Check Box 595">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80" r:id="rId536" name="Check Box 596">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81" r:id="rId537" name="Check Box 597">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82" r:id="rId538" name="Check Box 598">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83" r:id="rId539" name="Check Box 599">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84" r:id="rId540" name="Check Box 600">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85" r:id="rId541" name="Check Box 601">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586" r:id="rId542" name="Check Box 602">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587" r:id="rId543" name="Check Box 603">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588" r:id="rId544" name="Check Box 604">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589" r:id="rId545" name="Check Box 605">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590" r:id="rId546" name="Check Box 606">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591" r:id="rId547" name="Check Box 607">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92" r:id="rId548" name="Check Box 608">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93" r:id="rId549" name="Check Box 609">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94" r:id="rId550" name="Check Box 610">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595" r:id="rId551" name="Check Box 611">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596" r:id="rId552" name="Check Box 612">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597" r:id="rId553" name="Check Box 613">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598" r:id="rId554" name="Check Box 614">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599" r:id="rId555" name="Check Box 615">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600" r:id="rId556" name="Check Box 616">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601" r:id="rId557" name="Check Box 617">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602" r:id="rId558" name="Check Box 618">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603" r:id="rId559" name="Check Box 619">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604" r:id="rId560" name="Check Box 620">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605" r:id="rId561" name="Check Box 621">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606" r:id="rId562" name="Check Box 622">
              <controlPr defaultSize="0" autoFill="0" autoLine="0" autoPict="0">
                <anchor moveWithCells="1" sizeWithCells="1">
                  <from>
                    <xdr:col>5</xdr:col>
                    <xdr:colOff>219075</xdr:colOff>
                    <xdr:row>83</xdr:row>
                    <xdr:rowOff>28575</xdr:rowOff>
                  </from>
                  <to>
                    <xdr:col>5</xdr:col>
                    <xdr:colOff>447675</xdr:colOff>
                    <xdr:row>84</xdr:row>
                    <xdr:rowOff>0</xdr:rowOff>
                  </to>
                </anchor>
              </controlPr>
            </control>
          </mc:Choice>
        </mc:AlternateContent>
        <mc:AlternateContent xmlns:mc="http://schemas.openxmlformats.org/markup-compatibility/2006">
          <mc:Choice Requires="x14">
            <control shapeId="42607" r:id="rId563" name="Check Box 623">
              <controlPr defaultSize="0" autoFill="0" autoLine="0" autoPict="0">
                <anchor moveWithCells="1" sizeWithCells="1">
                  <from>
                    <xdr:col>6</xdr:col>
                    <xdr:colOff>190500</xdr:colOff>
                    <xdr:row>83</xdr:row>
                    <xdr:rowOff>28575</xdr:rowOff>
                  </from>
                  <to>
                    <xdr:col>6</xdr:col>
                    <xdr:colOff>419100</xdr:colOff>
                    <xdr:row>84</xdr:row>
                    <xdr:rowOff>0</xdr:rowOff>
                  </to>
                </anchor>
              </controlPr>
            </control>
          </mc:Choice>
        </mc:AlternateContent>
        <mc:AlternateContent xmlns:mc="http://schemas.openxmlformats.org/markup-compatibility/2006">
          <mc:Choice Requires="x14">
            <control shapeId="42608" r:id="rId564" name="Check Box 624">
              <controlPr defaultSize="0" autoFill="0" autoLine="0" autoPict="0">
                <anchor moveWithCells="1" sizeWithCells="1">
                  <from>
                    <xdr:col>7</xdr:col>
                    <xdr:colOff>190500</xdr:colOff>
                    <xdr:row>83</xdr:row>
                    <xdr:rowOff>28575</xdr:rowOff>
                  </from>
                  <to>
                    <xdr:col>7</xdr:col>
                    <xdr:colOff>419100</xdr:colOff>
                    <xdr:row>84</xdr:row>
                    <xdr:rowOff>0</xdr:rowOff>
                  </to>
                </anchor>
              </controlPr>
            </control>
          </mc:Choice>
        </mc:AlternateContent>
        <mc:AlternateContent xmlns:mc="http://schemas.openxmlformats.org/markup-compatibility/2006">
          <mc:Choice Requires="x14">
            <control shapeId="42609" r:id="rId565" name="Check Box 625">
              <controlPr defaultSize="0" autoFill="0" autoLine="0" autoPict="0">
                <anchor moveWithCells="1" sizeWithCells="1">
                  <from>
                    <xdr:col>5</xdr:col>
                    <xdr:colOff>219075</xdr:colOff>
                    <xdr:row>83</xdr:row>
                    <xdr:rowOff>28575</xdr:rowOff>
                  </from>
                  <to>
                    <xdr:col>5</xdr:col>
                    <xdr:colOff>447675</xdr:colOff>
                    <xdr:row>84</xdr:row>
                    <xdr:rowOff>0</xdr:rowOff>
                  </to>
                </anchor>
              </controlPr>
            </control>
          </mc:Choice>
        </mc:AlternateContent>
        <mc:AlternateContent xmlns:mc="http://schemas.openxmlformats.org/markup-compatibility/2006">
          <mc:Choice Requires="x14">
            <control shapeId="42610" r:id="rId566" name="Check Box 626">
              <controlPr defaultSize="0" autoFill="0" autoLine="0" autoPict="0">
                <anchor moveWithCells="1" sizeWithCells="1">
                  <from>
                    <xdr:col>6</xdr:col>
                    <xdr:colOff>190500</xdr:colOff>
                    <xdr:row>83</xdr:row>
                    <xdr:rowOff>28575</xdr:rowOff>
                  </from>
                  <to>
                    <xdr:col>6</xdr:col>
                    <xdr:colOff>419100</xdr:colOff>
                    <xdr:row>84</xdr:row>
                    <xdr:rowOff>0</xdr:rowOff>
                  </to>
                </anchor>
              </controlPr>
            </control>
          </mc:Choice>
        </mc:AlternateContent>
        <mc:AlternateContent xmlns:mc="http://schemas.openxmlformats.org/markup-compatibility/2006">
          <mc:Choice Requires="x14">
            <control shapeId="42611" r:id="rId567" name="Check Box 627">
              <controlPr defaultSize="0" autoFill="0" autoLine="0" autoPict="0">
                <anchor moveWithCells="1" sizeWithCells="1">
                  <from>
                    <xdr:col>7</xdr:col>
                    <xdr:colOff>190500</xdr:colOff>
                    <xdr:row>83</xdr:row>
                    <xdr:rowOff>28575</xdr:rowOff>
                  </from>
                  <to>
                    <xdr:col>7</xdr:col>
                    <xdr:colOff>419100</xdr:colOff>
                    <xdr:row>84</xdr:row>
                    <xdr:rowOff>0</xdr:rowOff>
                  </to>
                </anchor>
              </controlPr>
            </control>
          </mc:Choice>
        </mc:AlternateContent>
        <mc:AlternateContent xmlns:mc="http://schemas.openxmlformats.org/markup-compatibility/2006">
          <mc:Choice Requires="x14">
            <control shapeId="42612" r:id="rId568" name="Check Box 628">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613" r:id="rId569" name="Check Box 629">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614" r:id="rId570" name="Check Box 630">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615" r:id="rId571" name="Check Box 631">
              <controlPr defaultSize="0" autoFill="0" autoLine="0" autoPict="0">
                <anchor moveWithCells="1" sizeWithCells="1">
                  <from>
                    <xdr:col>5</xdr:col>
                    <xdr:colOff>219075</xdr:colOff>
                    <xdr:row>83</xdr:row>
                    <xdr:rowOff>28575</xdr:rowOff>
                  </from>
                  <to>
                    <xdr:col>5</xdr:col>
                    <xdr:colOff>447675</xdr:colOff>
                    <xdr:row>84</xdr:row>
                    <xdr:rowOff>0</xdr:rowOff>
                  </to>
                </anchor>
              </controlPr>
            </control>
          </mc:Choice>
        </mc:AlternateContent>
        <mc:AlternateContent xmlns:mc="http://schemas.openxmlformats.org/markup-compatibility/2006">
          <mc:Choice Requires="x14">
            <control shapeId="42616" r:id="rId572" name="Check Box 632">
              <controlPr defaultSize="0" autoFill="0" autoLine="0" autoPict="0">
                <anchor moveWithCells="1" sizeWithCells="1">
                  <from>
                    <xdr:col>6</xdr:col>
                    <xdr:colOff>190500</xdr:colOff>
                    <xdr:row>83</xdr:row>
                    <xdr:rowOff>28575</xdr:rowOff>
                  </from>
                  <to>
                    <xdr:col>6</xdr:col>
                    <xdr:colOff>419100</xdr:colOff>
                    <xdr:row>84</xdr:row>
                    <xdr:rowOff>0</xdr:rowOff>
                  </to>
                </anchor>
              </controlPr>
            </control>
          </mc:Choice>
        </mc:AlternateContent>
        <mc:AlternateContent xmlns:mc="http://schemas.openxmlformats.org/markup-compatibility/2006">
          <mc:Choice Requires="x14">
            <control shapeId="42617" r:id="rId573" name="Check Box 633">
              <controlPr defaultSize="0" autoFill="0" autoLine="0" autoPict="0">
                <anchor moveWithCells="1" sizeWithCells="1">
                  <from>
                    <xdr:col>7</xdr:col>
                    <xdr:colOff>190500</xdr:colOff>
                    <xdr:row>83</xdr:row>
                    <xdr:rowOff>28575</xdr:rowOff>
                  </from>
                  <to>
                    <xdr:col>7</xdr:col>
                    <xdr:colOff>419100</xdr:colOff>
                    <xdr:row>84</xdr:row>
                    <xdr:rowOff>0</xdr:rowOff>
                  </to>
                </anchor>
              </controlPr>
            </control>
          </mc:Choice>
        </mc:AlternateContent>
        <mc:AlternateContent xmlns:mc="http://schemas.openxmlformats.org/markup-compatibility/2006">
          <mc:Choice Requires="x14">
            <control shapeId="42618" r:id="rId574" name="Check Box 634">
              <controlPr defaultSize="0" autoFill="0" autoLine="0" autoPict="0">
                <anchor moveWithCells="1" sizeWithCells="1">
                  <from>
                    <xdr:col>5</xdr:col>
                    <xdr:colOff>219075</xdr:colOff>
                    <xdr:row>83</xdr:row>
                    <xdr:rowOff>28575</xdr:rowOff>
                  </from>
                  <to>
                    <xdr:col>5</xdr:col>
                    <xdr:colOff>447675</xdr:colOff>
                    <xdr:row>84</xdr:row>
                    <xdr:rowOff>0</xdr:rowOff>
                  </to>
                </anchor>
              </controlPr>
            </control>
          </mc:Choice>
        </mc:AlternateContent>
        <mc:AlternateContent xmlns:mc="http://schemas.openxmlformats.org/markup-compatibility/2006">
          <mc:Choice Requires="x14">
            <control shapeId="42619" r:id="rId575" name="Check Box 635">
              <controlPr defaultSize="0" autoFill="0" autoLine="0" autoPict="0">
                <anchor moveWithCells="1" sizeWithCells="1">
                  <from>
                    <xdr:col>6</xdr:col>
                    <xdr:colOff>190500</xdr:colOff>
                    <xdr:row>83</xdr:row>
                    <xdr:rowOff>28575</xdr:rowOff>
                  </from>
                  <to>
                    <xdr:col>6</xdr:col>
                    <xdr:colOff>419100</xdr:colOff>
                    <xdr:row>84</xdr:row>
                    <xdr:rowOff>0</xdr:rowOff>
                  </to>
                </anchor>
              </controlPr>
            </control>
          </mc:Choice>
        </mc:AlternateContent>
        <mc:AlternateContent xmlns:mc="http://schemas.openxmlformats.org/markup-compatibility/2006">
          <mc:Choice Requires="x14">
            <control shapeId="42620" r:id="rId576" name="Check Box 636">
              <controlPr defaultSize="0" autoFill="0" autoLine="0" autoPict="0">
                <anchor moveWithCells="1" sizeWithCells="1">
                  <from>
                    <xdr:col>7</xdr:col>
                    <xdr:colOff>190500</xdr:colOff>
                    <xdr:row>83</xdr:row>
                    <xdr:rowOff>28575</xdr:rowOff>
                  </from>
                  <to>
                    <xdr:col>7</xdr:col>
                    <xdr:colOff>419100</xdr:colOff>
                    <xdr:row>84</xdr:row>
                    <xdr:rowOff>0</xdr:rowOff>
                  </to>
                </anchor>
              </controlPr>
            </control>
          </mc:Choice>
        </mc:AlternateContent>
        <mc:AlternateContent xmlns:mc="http://schemas.openxmlformats.org/markup-compatibility/2006">
          <mc:Choice Requires="x14">
            <control shapeId="42621" r:id="rId577" name="Check Box 637">
              <controlPr defaultSize="0" autoFill="0" autoLine="0" autoPict="0">
                <anchor moveWithCells="1" sizeWithCells="1">
                  <from>
                    <xdr:col>5</xdr:col>
                    <xdr:colOff>219075</xdr:colOff>
                    <xdr:row>13</xdr:row>
                    <xdr:rowOff>28575</xdr:rowOff>
                  </from>
                  <to>
                    <xdr:col>5</xdr:col>
                    <xdr:colOff>447675</xdr:colOff>
                    <xdr:row>14</xdr:row>
                    <xdr:rowOff>0</xdr:rowOff>
                  </to>
                </anchor>
              </controlPr>
            </control>
          </mc:Choice>
        </mc:AlternateContent>
        <mc:AlternateContent xmlns:mc="http://schemas.openxmlformats.org/markup-compatibility/2006">
          <mc:Choice Requires="x14">
            <control shapeId="42622" r:id="rId578" name="Check Box 638">
              <controlPr defaultSize="0" autoFill="0" autoLine="0" autoPict="0">
                <anchor moveWithCells="1" sizeWithCells="1">
                  <from>
                    <xdr:col>6</xdr:col>
                    <xdr:colOff>190500</xdr:colOff>
                    <xdr:row>13</xdr:row>
                    <xdr:rowOff>28575</xdr:rowOff>
                  </from>
                  <to>
                    <xdr:col>6</xdr:col>
                    <xdr:colOff>419100</xdr:colOff>
                    <xdr:row>14</xdr:row>
                    <xdr:rowOff>0</xdr:rowOff>
                  </to>
                </anchor>
              </controlPr>
            </control>
          </mc:Choice>
        </mc:AlternateContent>
        <mc:AlternateContent xmlns:mc="http://schemas.openxmlformats.org/markup-compatibility/2006">
          <mc:Choice Requires="x14">
            <control shapeId="42623" r:id="rId579" name="Check Box 639">
              <controlPr defaultSize="0" autoFill="0" autoLine="0" autoPict="0">
                <anchor moveWithCells="1" sizeWithCells="1">
                  <from>
                    <xdr:col>7</xdr:col>
                    <xdr:colOff>190500</xdr:colOff>
                    <xdr:row>13</xdr:row>
                    <xdr:rowOff>28575</xdr:rowOff>
                  </from>
                  <to>
                    <xdr:col>7</xdr:col>
                    <xdr:colOff>419100</xdr:colOff>
                    <xdr:row>14</xdr:row>
                    <xdr:rowOff>0</xdr:rowOff>
                  </to>
                </anchor>
              </controlPr>
            </control>
          </mc:Choice>
        </mc:AlternateContent>
        <mc:AlternateContent xmlns:mc="http://schemas.openxmlformats.org/markup-compatibility/2006">
          <mc:Choice Requires="x14">
            <control shapeId="42624" r:id="rId580" name="Check Box 640">
              <controlPr defaultSize="0" autoFill="0" autoLine="0" autoPict="0">
                <anchor moveWithCells="1" sizeWithCells="1">
                  <from>
                    <xdr:col>5</xdr:col>
                    <xdr:colOff>219075</xdr:colOff>
                    <xdr:row>13</xdr:row>
                    <xdr:rowOff>28575</xdr:rowOff>
                  </from>
                  <to>
                    <xdr:col>5</xdr:col>
                    <xdr:colOff>447675</xdr:colOff>
                    <xdr:row>14</xdr:row>
                    <xdr:rowOff>0</xdr:rowOff>
                  </to>
                </anchor>
              </controlPr>
            </control>
          </mc:Choice>
        </mc:AlternateContent>
        <mc:AlternateContent xmlns:mc="http://schemas.openxmlformats.org/markup-compatibility/2006">
          <mc:Choice Requires="x14">
            <control shapeId="42625" r:id="rId581" name="Check Box 641">
              <controlPr defaultSize="0" autoFill="0" autoLine="0" autoPict="0">
                <anchor moveWithCells="1" sizeWithCells="1">
                  <from>
                    <xdr:col>6</xdr:col>
                    <xdr:colOff>190500</xdr:colOff>
                    <xdr:row>13</xdr:row>
                    <xdr:rowOff>28575</xdr:rowOff>
                  </from>
                  <to>
                    <xdr:col>6</xdr:col>
                    <xdr:colOff>419100</xdr:colOff>
                    <xdr:row>14</xdr:row>
                    <xdr:rowOff>0</xdr:rowOff>
                  </to>
                </anchor>
              </controlPr>
            </control>
          </mc:Choice>
        </mc:AlternateContent>
        <mc:AlternateContent xmlns:mc="http://schemas.openxmlformats.org/markup-compatibility/2006">
          <mc:Choice Requires="x14">
            <control shapeId="42626" r:id="rId582" name="Check Box 642">
              <controlPr defaultSize="0" autoFill="0" autoLine="0" autoPict="0">
                <anchor moveWithCells="1" sizeWithCells="1">
                  <from>
                    <xdr:col>7</xdr:col>
                    <xdr:colOff>190500</xdr:colOff>
                    <xdr:row>13</xdr:row>
                    <xdr:rowOff>28575</xdr:rowOff>
                  </from>
                  <to>
                    <xdr:col>7</xdr:col>
                    <xdr:colOff>419100</xdr:colOff>
                    <xdr:row>14</xdr:row>
                    <xdr:rowOff>0</xdr:rowOff>
                  </to>
                </anchor>
              </controlPr>
            </control>
          </mc:Choice>
        </mc:AlternateContent>
        <mc:AlternateContent xmlns:mc="http://schemas.openxmlformats.org/markup-compatibility/2006">
          <mc:Choice Requires="x14">
            <control shapeId="42627" r:id="rId583" name="Check Box 643">
              <controlPr defaultSize="0" autoFill="0" autoLine="0" autoPict="0">
                <anchor moveWithCells="1" sizeWithCells="1">
                  <from>
                    <xdr:col>5</xdr:col>
                    <xdr:colOff>219075</xdr:colOff>
                    <xdr:row>14</xdr:row>
                    <xdr:rowOff>28575</xdr:rowOff>
                  </from>
                  <to>
                    <xdr:col>5</xdr:col>
                    <xdr:colOff>447675</xdr:colOff>
                    <xdr:row>15</xdr:row>
                    <xdr:rowOff>0</xdr:rowOff>
                  </to>
                </anchor>
              </controlPr>
            </control>
          </mc:Choice>
        </mc:AlternateContent>
        <mc:AlternateContent xmlns:mc="http://schemas.openxmlformats.org/markup-compatibility/2006">
          <mc:Choice Requires="x14">
            <control shapeId="42628" r:id="rId584" name="Check Box 644">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2629" r:id="rId585" name="Check Box 645">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2630" r:id="rId586" name="Check Box 646">
              <controlPr defaultSize="0" autoFill="0" autoLine="0" autoPict="0">
                <anchor moveWithCells="1" sizeWithCells="1">
                  <from>
                    <xdr:col>5</xdr:col>
                    <xdr:colOff>219075</xdr:colOff>
                    <xdr:row>14</xdr:row>
                    <xdr:rowOff>28575</xdr:rowOff>
                  </from>
                  <to>
                    <xdr:col>5</xdr:col>
                    <xdr:colOff>447675</xdr:colOff>
                    <xdr:row>15</xdr:row>
                    <xdr:rowOff>0</xdr:rowOff>
                  </to>
                </anchor>
              </controlPr>
            </control>
          </mc:Choice>
        </mc:AlternateContent>
        <mc:AlternateContent xmlns:mc="http://schemas.openxmlformats.org/markup-compatibility/2006">
          <mc:Choice Requires="x14">
            <control shapeId="42631" r:id="rId587" name="Check Box 647">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2632" r:id="rId588" name="Check Box 648">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2633" r:id="rId589" name="Check Box 649">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634" r:id="rId590" name="Check Box 650">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635" r:id="rId591" name="Check Box 651">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636" r:id="rId592" name="Check Box 652">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637" r:id="rId593" name="Check Box 653">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638" r:id="rId594" name="Check Box 654">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639" r:id="rId595" name="Check Box 655">
              <controlPr defaultSize="0" autoFill="0" autoLine="0" autoPict="0">
                <anchor moveWithCells="1" sizeWithCells="1">
                  <from>
                    <xdr:col>5</xdr:col>
                    <xdr:colOff>219075</xdr:colOff>
                    <xdr:row>13</xdr:row>
                    <xdr:rowOff>28575</xdr:rowOff>
                  </from>
                  <to>
                    <xdr:col>5</xdr:col>
                    <xdr:colOff>447675</xdr:colOff>
                    <xdr:row>14</xdr:row>
                    <xdr:rowOff>0</xdr:rowOff>
                  </to>
                </anchor>
              </controlPr>
            </control>
          </mc:Choice>
        </mc:AlternateContent>
        <mc:AlternateContent xmlns:mc="http://schemas.openxmlformats.org/markup-compatibility/2006">
          <mc:Choice Requires="x14">
            <control shapeId="42640" r:id="rId596" name="Check Box 656">
              <controlPr defaultSize="0" autoFill="0" autoLine="0" autoPict="0">
                <anchor moveWithCells="1" sizeWithCells="1">
                  <from>
                    <xdr:col>6</xdr:col>
                    <xdr:colOff>190500</xdr:colOff>
                    <xdr:row>13</xdr:row>
                    <xdr:rowOff>28575</xdr:rowOff>
                  </from>
                  <to>
                    <xdr:col>6</xdr:col>
                    <xdr:colOff>419100</xdr:colOff>
                    <xdr:row>14</xdr:row>
                    <xdr:rowOff>0</xdr:rowOff>
                  </to>
                </anchor>
              </controlPr>
            </control>
          </mc:Choice>
        </mc:AlternateContent>
        <mc:AlternateContent xmlns:mc="http://schemas.openxmlformats.org/markup-compatibility/2006">
          <mc:Choice Requires="x14">
            <control shapeId="42641" r:id="rId597" name="Check Box 657">
              <controlPr defaultSize="0" autoFill="0" autoLine="0" autoPict="0">
                <anchor moveWithCells="1" sizeWithCells="1">
                  <from>
                    <xdr:col>7</xdr:col>
                    <xdr:colOff>190500</xdr:colOff>
                    <xdr:row>13</xdr:row>
                    <xdr:rowOff>28575</xdr:rowOff>
                  </from>
                  <to>
                    <xdr:col>7</xdr:col>
                    <xdr:colOff>419100</xdr:colOff>
                    <xdr:row>14</xdr:row>
                    <xdr:rowOff>0</xdr:rowOff>
                  </to>
                </anchor>
              </controlPr>
            </control>
          </mc:Choice>
        </mc:AlternateContent>
        <mc:AlternateContent xmlns:mc="http://schemas.openxmlformats.org/markup-compatibility/2006">
          <mc:Choice Requires="x14">
            <control shapeId="42642" r:id="rId598" name="Check Box 658">
              <controlPr defaultSize="0" autoFill="0" autoLine="0" autoPict="0">
                <anchor moveWithCells="1" sizeWithCells="1">
                  <from>
                    <xdr:col>5</xdr:col>
                    <xdr:colOff>219075</xdr:colOff>
                    <xdr:row>14</xdr:row>
                    <xdr:rowOff>28575</xdr:rowOff>
                  </from>
                  <to>
                    <xdr:col>5</xdr:col>
                    <xdr:colOff>447675</xdr:colOff>
                    <xdr:row>15</xdr:row>
                    <xdr:rowOff>0</xdr:rowOff>
                  </to>
                </anchor>
              </controlPr>
            </control>
          </mc:Choice>
        </mc:AlternateContent>
        <mc:AlternateContent xmlns:mc="http://schemas.openxmlformats.org/markup-compatibility/2006">
          <mc:Choice Requires="x14">
            <control shapeId="42643" r:id="rId599" name="Check Box 659">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2644" r:id="rId600" name="Check Box 660">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2645" r:id="rId601" name="Check Box 661">
              <controlPr defaultSize="0" autoFill="0" autoLine="0" autoPict="0">
                <anchor moveWithCells="1" sizeWithCells="1">
                  <from>
                    <xdr:col>5</xdr:col>
                    <xdr:colOff>219075</xdr:colOff>
                    <xdr:row>14</xdr:row>
                    <xdr:rowOff>28575</xdr:rowOff>
                  </from>
                  <to>
                    <xdr:col>5</xdr:col>
                    <xdr:colOff>447675</xdr:colOff>
                    <xdr:row>15</xdr:row>
                    <xdr:rowOff>0</xdr:rowOff>
                  </to>
                </anchor>
              </controlPr>
            </control>
          </mc:Choice>
        </mc:AlternateContent>
        <mc:AlternateContent xmlns:mc="http://schemas.openxmlformats.org/markup-compatibility/2006">
          <mc:Choice Requires="x14">
            <control shapeId="42646" r:id="rId602" name="Check Box 662">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2647" r:id="rId603" name="Check Box 663">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2648" r:id="rId604" name="Check Box 664">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649" r:id="rId605" name="Check Box 665">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650" r:id="rId606" name="Check Box 666">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651" r:id="rId607" name="Check Box 667">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652" r:id="rId608" name="Check Box 668">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653" r:id="rId609" name="Check Box 669">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654" r:id="rId610" name="Check Box 670">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2655" r:id="rId611" name="Check Box 671">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2656" r:id="rId612" name="Check Box 672">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2657" r:id="rId613" name="Check Box 673">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58" r:id="rId614" name="Check Box 674">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59" r:id="rId615" name="Check Box 675">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60" r:id="rId616" name="Check Box 676">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61" r:id="rId617" name="Check Box 677">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62" r:id="rId618" name="Check Box 678">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63" r:id="rId619" name="Check Box 679">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664" r:id="rId620" name="Check Box 680">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665" r:id="rId621" name="Check Box 681">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666" r:id="rId622" name="Check Box 682">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667" r:id="rId623" name="Check Box 683">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668" r:id="rId624" name="Check Box 684">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669" r:id="rId625" name="Check Box 685">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2670" r:id="rId626" name="Check Box 686">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2671" r:id="rId627" name="Check Box 687">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2672" r:id="rId628" name="Check Box 688">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2673" r:id="rId629" name="Check Box 689">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2674" r:id="rId630" name="Check Box 690">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2675" r:id="rId631" name="Check Box 691">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76" r:id="rId632" name="Check Box 692">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77" r:id="rId633" name="Check Box 693">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78" r:id="rId634" name="Check Box 694">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79" r:id="rId635" name="Check Box 695">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80" r:id="rId636" name="Check Box 696">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81" r:id="rId637" name="Check Box 697">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2682" r:id="rId638" name="Check Box 698">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2683" r:id="rId639" name="Check Box 699">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2684" r:id="rId640" name="Check Box 700">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85" r:id="rId641" name="Check Box 701">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86" r:id="rId642" name="Check Box 702">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87" r:id="rId643" name="Check Box 703">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688" r:id="rId644" name="Check Box 704">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689" r:id="rId645" name="Check Box 705">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690" r:id="rId646" name="Check Box 706">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691" r:id="rId647" name="Check Box 707">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692" r:id="rId648" name="Check Box 708">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693" r:id="rId649" name="Check Box 709">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94" r:id="rId650" name="Check Box 710">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95" r:id="rId651" name="Check Box 711">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96" r:id="rId652" name="Check Box 712">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97" r:id="rId653" name="Check Box 713">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98" r:id="rId654" name="Check Box 714">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99" r:id="rId655" name="Check Box 715">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00" r:id="rId656" name="Check Box 716">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01" r:id="rId657" name="Check Box 717">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02" r:id="rId658" name="Check Box 718">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03" r:id="rId659" name="Check Box 719">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04" r:id="rId660" name="Check Box 720">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05" r:id="rId661" name="Check Box 721">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706" r:id="rId662" name="Check Box 722">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707" r:id="rId663" name="Check Box 723">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708" r:id="rId664" name="Check Box 724">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09" r:id="rId665" name="Check Box 725">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10" r:id="rId666" name="Check Box 726">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11" r:id="rId667" name="Check Box 727">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12" r:id="rId668" name="Check Box 728">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13" r:id="rId669" name="Check Box 729">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14" r:id="rId670" name="Check Box 730">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15" r:id="rId671" name="Check Box 731">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16" r:id="rId672" name="Check Box 732">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17" r:id="rId673" name="Check Box 733">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18" r:id="rId674" name="Check Box 734">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19" r:id="rId675" name="Check Box 735">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20" r:id="rId676" name="Check Box 736">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21" r:id="rId677" name="Check Box 737">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22" r:id="rId678" name="Check Box 738">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23" r:id="rId679" name="Check Box 739">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24" r:id="rId680" name="Check Box 740">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25" r:id="rId681" name="Check Box 741">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26" r:id="rId682" name="Check Box 742">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27" r:id="rId683" name="Check Box 743">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28" r:id="rId684" name="Check Box 744">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29" r:id="rId685" name="Check Box 745">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30" r:id="rId686" name="Check Box 746">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31" r:id="rId687" name="Check Box 747">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32" r:id="rId688" name="Check Box 748">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33" r:id="rId689" name="Check Box 749">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34" r:id="rId690" name="Check Box 750">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35" r:id="rId691" name="Check Box 751">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36" r:id="rId692" name="Check Box 752">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37" r:id="rId693" name="Check Box 753">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38" r:id="rId694" name="Check Box 754">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39" r:id="rId695" name="Check Box 755">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40" r:id="rId696" name="Check Box 756">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41" r:id="rId697" name="Check Box 757">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42" r:id="rId698" name="Check Box 758">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43" r:id="rId699" name="Check Box 759">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44" r:id="rId700" name="Check Box 760">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45" r:id="rId701" name="Check Box 761">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46" r:id="rId702" name="Check Box 762">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47" r:id="rId703" name="Check Box 763">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48" r:id="rId704" name="Check Box 764">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49" r:id="rId705" name="Check Box 765">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50" r:id="rId706" name="Check Box 766">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51" r:id="rId707" name="Check Box 767">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52" r:id="rId708" name="Check Box 768">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53" r:id="rId709" name="Check Box 769">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54" r:id="rId710" name="Check Box 770">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55" r:id="rId711" name="Check Box 771">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56" r:id="rId712" name="Check Box 772">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57" r:id="rId713" name="Check Box 773">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58" r:id="rId714" name="Check Box 774">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59" r:id="rId715" name="Check Box 775">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60" r:id="rId716" name="Check Box 776">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61" r:id="rId717" name="Check Box 777">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62" r:id="rId718" name="Check Box 778">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63" r:id="rId719" name="Check Box 779">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64" r:id="rId720" name="Check Box 780">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65" r:id="rId721" name="Check Box 781">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66" r:id="rId722" name="Check Box 782">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67" r:id="rId723" name="Check Box 783">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68" r:id="rId724" name="Check Box 784">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69" r:id="rId725" name="Check Box 785">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70" r:id="rId726" name="Check Box 786">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71" r:id="rId727" name="Check Box 787">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72" r:id="rId728" name="Check Box 788">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73" r:id="rId729" name="Check Box 789">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74" r:id="rId730" name="Check Box 790">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75" r:id="rId731" name="Check Box 791">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76" r:id="rId732" name="Check Box 792">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77" r:id="rId733" name="Check Box 793">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78" r:id="rId734" name="Check Box 794">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79" r:id="rId735" name="Check Box 795">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80" r:id="rId736" name="Check Box 796">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81" r:id="rId737" name="Check Box 797">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82" r:id="rId738" name="Check Box 798">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83" r:id="rId739" name="Check Box 799">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784" r:id="rId740" name="Check Box 800">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785" r:id="rId741" name="Check Box 801">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786" r:id="rId742" name="Check Box 802">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787" r:id="rId743" name="Check Box 803">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788" r:id="rId744" name="Check Box 804">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789" r:id="rId745" name="Check Box 805">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90" r:id="rId746" name="Check Box 806">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91" r:id="rId747" name="Check Box 807">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92" r:id="rId748" name="Check Box 808">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93" r:id="rId749" name="Check Box 809">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94" r:id="rId750" name="Check Box 810">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95" r:id="rId751" name="Check Box 811">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796" r:id="rId752" name="Check Box 812">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797" r:id="rId753" name="Check Box 813">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798" r:id="rId754" name="Check Box 814">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799" r:id="rId755" name="Check Box 815">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00" r:id="rId756" name="Check Box 816">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01" r:id="rId757" name="Check Box 817">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802" r:id="rId758" name="Check Box 818">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803" r:id="rId759" name="Check Box 819">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804" r:id="rId760" name="Check Box 820">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05" r:id="rId761" name="Check Box 821">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06" r:id="rId762" name="Check Box 822">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07" r:id="rId763" name="Check Box 823">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08" r:id="rId764" name="Check Box 824">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09" r:id="rId765" name="Check Box 825">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10" r:id="rId766" name="Check Box 826">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11" r:id="rId767" name="Check Box 827">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12" r:id="rId768" name="Check Box 828">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13" r:id="rId769" name="Check Box 829">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14" r:id="rId770" name="Check Box 830">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15" r:id="rId771" name="Check Box 831">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16" r:id="rId772" name="Check Box 832">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17" r:id="rId773" name="Check Box 833">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18" r:id="rId774" name="Check Box 834">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19" r:id="rId775" name="Check Box 835">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20" r:id="rId776" name="Check Box 836">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21" r:id="rId777" name="Check Box 837">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22" r:id="rId778" name="Check Box 838">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23" r:id="rId779" name="Check Box 839">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24" r:id="rId780" name="Check Box 840">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25" r:id="rId781" name="Check Box 841">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26" r:id="rId782" name="Check Box 842">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27" r:id="rId783" name="Check Box 843">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28" r:id="rId784" name="Check Box 844">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29" r:id="rId785" name="Check Box 845">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30" r:id="rId786" name="Check Box 846">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31" r:id="rId787" name="Check Box 847">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32" r:id="rId788" name="Check Box 848">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33" r:id="rId789" name="Check Box 849">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34" r:id="rId790" name="Check Box 850">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35" r:id="rId791" name="Check Box 851">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36" r:id="rId792" name="Check Box 852">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37" r:id="rId793" name="Check Box 853">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38" r:id="rId794" name="Check Box 854">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39" r:id="rId795" name="Check Box 855">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40" r:id="rId796" name="Check Box 856">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41" r:id="rId797" name="Check Box 857">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42" r:id="rId798" name="Check Box 858">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43" r:id="rId799" name="Check Box 859">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44" r:id="rId800" name="Check Box 860">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45" r:id="rId801" name="Check Box 861">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46" r:id="rId802" name="Check Box 862">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47" r:id="rId803" name="Check Box 863">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48" r:id="rId804" name="Check Box 864">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49" r:id="rId805" name="Check Box 865">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50" r:id="rId806" name="Check Box 866">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51" r:id="rId807" name="Check Box 867">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52" r:id="rId808" name="Check Box 868">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853" r:id="rId809" name="Check Box 869">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854" r:id="rId810" name="Check Box 870">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855" r:id="rId811" name="Check Box 871">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856" r:id="rId812" name="Check Box 872">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857" r:id="rId813" name="Check Box 873">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864" r:id="rId814" name="Check Box 880">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865" r:id="rId815" name="Check Box 881">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866" r:id="rId816" name="Check Box 882">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2867" r:id="rId817" name="Check Box 883">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2868" r:id="rId818" name="Check Box 884">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2869" r:id="rId819" name="Check Box 885">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2870" r:id="rId820" name="Check Box 886">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2871" r:id="rId821" name="Check Box 887">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872" r:id="rId822" name="Check Box 888">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873" r:id="rId823" name="Check Box 889">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2874" r:id="rId824" name="Check Box 890">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2875" r:id="rId825" name="Check Box 891">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2876" r:id="rId826" name="Check Box 892">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2877" r:id="rId827" name="Check Box 893">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2878" r:id="rId828" name="Check Box 894">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879" r:id="rId829" name="Check Box 895">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880" r:id="rId830" name="Check Box 896">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2881" r:id="rId831" name="Check Box 897">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2882" r:id="rId832" name="Check Box 898">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2883" r:id="rId833" name="Check Box 899">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2884" r:id="rId834" name="Check Box 900">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2894" r:id="rId835" name="Check Box 910">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2895" r:id="rId836" name="Check Box 911">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2896" r:id="rId837" name="Check Box 912">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2897" r:id="rId838" name="Check Box 913">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2898" r:id="rId839" name="Check Box 914">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2899" r:id="rId840" name="Check Box 915">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00" r:id="rId841" name="Check Box 916">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01" r:id="rId842" name="Check Box 917">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02" r:id="rId843" name="Check Box 918">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03" r:id="rId844" name="Check Box 919">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04" r:id="rId845" name="Check Box 920">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2905" r:id="rId846" name="Check Box 921">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2906" r:id="rId847" name="Check Box 922">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2907" r:id="rId848" name="Check Box 923">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2908" r:id="rId849" name="Check Box 924">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2909" r:id="rId850" name="Check Box 925">
              <controlPr defaultSize="0" autoFill="0" autoLine="0" autoPict="0">
                <anchor moveWithCells="1" sizeWithCells="1">
                  <from>
                    <xdr:col>5</xdr:col>
                    <xdr:colOff>219075</xdr:colOff>
                    <xdr:row>80</xdr:row>
                    <xdr:rowOff>28575</xdr:rowOff>
                  </from>
                  <to>
                    <xdr:col>5</xdr:col>
                    <xdr:colOff>447675</xdr:colOff>
                    <xdr:row>81</xdr:row>
                    <xdr:rowOff>0</xdr:rowOff>
                  </to>
                </anchor>
              </controlPr>
            </control>
          </mc:Choice>
        </mc:AlternateContent>
        <mc:AlternateContent xmlns:mc="http://schemas.openxmlformats.org/markup-compatibility/2006">
          <mc:Choice Requires="x14">
            <control shapeId="42915" r:id="rId851" name="Check Box 931">
              <controlPr defaultSize="0" autoFill="0" autoLine="0" autoPict="0">
                <anchor moveWithCells="1" sizeWithCells="1">
                  <from>
                    <xdr:col>6</xdr:col>
                    <xdr:colOff>190500</xdr:colOff>
                    <xdr:row>80</xdr:row>
                    <xdr:rowOff>28575</xdr:rowOff>
                  </from>
                  <to>
                    <xdr:col>6</xdr:col>
                    <xdr:colOff>419100</xdr:colOff>
                    <xdr:row>81</xdr:row>
                    <xdr:rowOff>0</xdr:rowOff>
                  </to>
                </anchor>
              </controlPr>
            </control>
          </mc:Choice>
        </mc:AlternateContent>
        <mc:AlternateContent xmlns:mc="http://schemas.openxmlformats.org/markup-compatibility/2006">
          <mc:Choice Requires="x14">
            <control shapeId="42916" r:id="rId852" name="Check Box 932">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17" r:id="rId853" name="Check Box 933">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18" r:id="rId854" name="Check Box 934">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19" r:id="rId855" name="Check Box 935">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20" r:id="rId856" name="Check Box 936">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21" r:id="rId857" name="Check Box 937">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2922" r:id="rId858" name="Check Box 938">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2923" r:id="rId859" name="Check Box 939">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2924" r:id="rId860" name="Check Box 940">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2925" r:id="rId861" name="Check Box 941">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2926" r:id="rId862" name="Check Box 942">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2927" r:id="rId863" name="Check Box 943">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2928" r:id="rId864" name="Check Box 944">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2929" r:id="rId865" name="Check Box 945">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2930" r:id="rId866" name="Check Box 946">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2931" r:id="rId867" name="Check Box 947">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2932" r:id="rId868" name="Check Box 948">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2933" r:id="rId869" name="Check Box 949">
              <controlPr defaultSize="0" autoFill="0" autoLine="0" autoPict="0">
                <anchor moveWithCells="1" sizeWithCells="1">
                  <from>
                    <xdr:col>5</xdr:col>
                    <xdr:colOff>219075</xdr:colOff>
                    <xdr:row>66</xdr:row>
                    <xdr:rowOff>28575</xdr:rowOff>
                  </from>
                  <to>
                    <xdr:col>5</xdr:col>
                    <xdr:colOff>447675</xdr:colOff>
                    <xdr:row>67</xdr:row>
                    <xdr:rowOff>0</xdr:rowOff>
                  </to>
                </anchor>
              </controlPr>
            </control>
          </mc:Choice>
        </mc:AlternateContent>
        <mc:AlternateContent xmlns:mc="http://schemas.openxmlformats.org/markup-compatibility/2006">
          <mc:Choice Requires="x14">
            <control shapeId="42934" r:id="rId870" name="Check Box 950">
              <controlPr defaultSize="0" autoFill="0" autoLine="0" autoPict="0">
                <anchor moveWithCells="1" sizeWithCells="1">
                  <from>
                    <xdr:col>6</xdr:col>
                    <xdr:colOff>190500</xdr:colOff>
                    <xdr:row>66</xdr:row>
                    <xdr:rowOff>28575</xdr:rowOff>
                  </from>
                  <to>
                    <xdr:col>6</xdr:col>
                    <xdr:colOff>419100</xdr:colOff>
                    <xdr:row>67</xdr:row>
                    <xdr:rowOff>0</xdr:rowOff>
                  </to>
                </anchor>
              </controlPr>
            </control>
          </mc:Choice>
        </mc:AlternateContent>
        <mc:AlternateContent xmlns:mc="http://schemas.openxmlformats.org/markup-compatibility/2006">
          <mc:Choice Requires="x14">
            <control shapeId="42935" r:id="rId871" name="Check Box 951">
              <controlPr defaultSize="0" autoFill="0" autoLine="0" autoPict="0">
                <anchor moveWithCells="1" sizeWithCells="1">
                  <from>
                    <xdr:col>7</xdr:col>
                    <xdr:colOff>190500</xdr:colOff>
                    <xdr:row>66</xdr:row>
                    <xdr:rowOff>28575</xdr:rowOff>
                  </from>
                  <to>
                    <xdr:col>7</xdr:col>
                    <xdr:colOff>419100</xdr:colOff>
                    <xdr:row>67</xdr:row>
                    <xdr:rowOff>0</xdr:rowOff>
                  </to>
                </anchor>
              </controlPr>
            </control>
          </mc:Choice>
        </mc:AlternateContent>
        <mc:AlternateContent xmlns:mc="http://schemas.openxmlformats.org/markup-compatibility/2006">
          <mc:Choice Requires="x14">
            <control shapeId="42936" r:id="rId872" name="Check Box 952">
              <controlPr defaultSize="0" autoFill="0" autoLine="0" autoPict="0">
                <anchor moveWithCells="1" sizeWithCells="1">
                  <from>
                    <xdr:col>5</xdr:col>
                    <xdr:colOff>219075</xdr:colOff>
                    <xdr:row>66</xdr:row>
                    <xdr:rowOff>28575</xdr:rowOff>
                  </from>
                  <to>
                    <xdr:col>5</xdr:col>
                    <xdr:colOff>447675</xdr:colOff>
                    <xdr:row>67</xdr:row>
                    <xdr:rowOff>0</xdr:rowOff>
                  </to>
                </anchor>
              </controlPr>
            </control>
          </mc:Choice>
        </mc:AlternateContent>
        <mc:AlternateContent xmlns:mc="http://schemas.openxmlformats.org/markup-compatibility/2006">
          <mc:Choice Requires="x14">
            <control shapeId="42937" r:id="rId873" name="Check Box 953">
              <controlPr defaultSize="0" autoFill="0" autoLine="0" autoPict="0">
                <anchor moveWithCells="1" sizeWithCells="1">
                  <from>
                    <xdr:col>6</xdr:col>
                    <xdr:colOff>190500</xdr:colOff>
                    <xdr:row>66</xdr:row>
                    <xdr:rowOff>28575</xdr:rowOff>
                  </from>
                  <to>
                    <xdr:col>6</xdr:col>
                    <xdr:colOff>419100</xdr:colOff>
                    <xdr:row>67</xdr:row>
                    <xdr:rowOff>0</xdr:rowOff>
                  </to>
                </anchor>
              </controlPr>
            </control>
          </mc:Choice>
        </mc:AlternateContent>
        <mc:AlternateContent xmlns:mc="http://schemas.openxmlformats.org/markup-compatibility/2006">
          <mc:Choice Requires="x14">
            <control shapeId="42938" r:id="rId874" name="Check Box 954">
              <controlPr defaultSize="0" autoFill="0" autoLine="0" autoPict="0">
                <anchor moveWithCells="1" sizeWithCells="1">
                  <from>
                    <xdr:col>7</xdr:col>
                    <xdr:colOff>190500</xdr:colOff>
                    <xdr:row>66</xdr:row>
                    <xdr:rowOff>28575</xdr:rowOff>
                  </from>
                  <to>
                    <xdr:col>7</xdr:col>
                    <xdr:colOff>419100</xdr:colOff>
                    <xdr:row>67</xdr:row>
                    <xdr:rowOff>0</xdr:rowOff>
                  </to>
                </anchor>
              </controlPr>
            </control>
          </mc:Choice>
        </mc:AlternateContent>
        <mc:AlternateContent xmlns:mc="http://schemas.openxmlformats.org/markup-compatibility/2006">
          <mc:Choice Requires="x14">
            <control shapeId="42939" r:id="rId875" name="Check Box 955">
              <controlPr defaultSize="0" autoFill="0" autoLine="0" autoPict="0">
                <anchor moveWithCells="1" sizeWithCells="1">
                  <from>
                    <xdr:col>5</xdr:col>
                    <xdr:colOff>219075</xdr:colOff>
                    <xdr:row>67</xdr:row>
                    <xdr:rowOff>28575</xdr:rowOff>
                  </from>
                  <to>
                    <xdr:col>5</xdr:col>
                    <xdr:colOff>447675</xdr:colOff>
                    <xdr:row>68</xdr:row>
                    <xdr:rowOff>0</xdr:rowOff>
                  </to>
                </anchor>
              </controlPr>
            </control>
          </mc:Choice>
        </mc:AlternateContent>
        <mc:AlternateContent xmlns:mc="http://schemas.openxmlformats.org/markup-compatibility/2006">
          <mc:Choice Requires="x14">
            <control shapeId="42940" r:id="rId876" name="Check Box 956">
              <controlPr defaultSize="0" autoFill="0" autoLine="0" autoPict="0">
                <anchor moveWithCells="1" sizeWithCells="1">
                  <from>
                    <xdr:col>6</xdr:col>
                    <xdr:colOff>190500</xdr:colOff>
                    <xdr:row>67</xdr:row>
                    <xdr:rowOff>28575</xdr:rowOff>
                  </from>
                  <to>
                    <xdr:col>6</xdr:col>
                    <xdr:colOff>419100</xdr:colOff>
                    <xdr:row>68</xdr:row>
                    <xdr:rowOff>0</xdr:rowOff>
                  </to>
                </anchor>
              </controlPr>
            </control>
          </mc:Choice>
        </mc:AlternateContent>
        <mc:AlternateContent xmlns:mc="http://schemas.openxmlformats.org/markup-compatibility/2006">
          <mc:Choice Requires="x14">
            <control shapeId="42941" r:id="rId877" name="Check Box 957">
              <controlPr defaultSize="0" autoFill="0" autoLine="0" autoPict="0">
                <anchor moveWithCells="1" sizeWithCells="1">
                  <from>
                    <xdr:col>7</xdr:col>
                    <xdr:colOff>190500</xdr:colOff>
                    <xdr:row>67</xdr:row>
                    <xdr:rowOff>28575</xdr:rowOff>
                  </from>
                  <to>
                    <xdr:col>7</xdr:col>
                    <xdr:colOff>419100</xdr:colOff>
                    <xdr:row>68</xdr:row>
                    <xdr:rowOff>0</xdr:rowOff>
                  </to>
                </anchor>
              </controlPr>
            </control>
          </mc:Choice>
        </mc:AlternateContent>
        <mc:AlternateContent xmlns:mc="http://schemas.openxmlformats.org/markup-compatibility/2006">
          <mc:Choice Requires="x14">
            <control shapeId="42942" r:id="rId878" name="Check Box 958">
              <controlPr defaultSize="0" autoFill="0" autoLine="0" autoPict="0">
                <anchor moveWithCells="1" sizeWithCells="1">
                  <from>
                    <xdr:col>5</xdr:col>
                    <xdr:colOff>219075</xdr:colOff>
                    <xdr:row>67</xdr:row>
                    <xdr:rowOff>28575</xdr:rowOff>
                  </from>
                  <to>
                    <xdr:col>5</xdr:col>
                    <xdr:colOff>447675</xdr:colOff>
                    <xdr:row>68</xdr:row>
                    <xdr:rowOff>0</xdr:rowOff>
                  </to>
                </anchor>
              </controlPr>
            </control>
          </mc:Choice>
        </mc:AlternateContent>
        <mc:AlternateContent xmlns:mc="http://schemas.openxmlformats.org/markup-compatibility/2006">
          <mc:Choice Requires="x14">
            <control shapeId="42943" r:id="rId879" name="Check Box 959">
              <controlPr defaultSize="0" autoFill="0" autoLine="0" autoPict="0">
                <anchor moveWithCells="1" sizeWithCells="1">
                  <from>
                    <xdr:col>6</xdr:col>
                    <xdr:colOff>190500</xdr:colOff>
                    <xdr:row>67</xdr:row>
                    <xdr:rowOff>28575</xdr:rowOff>
                  </from>
                  <to>
                    <xdr:col>6</xdr:col>
                    <xdr:colOff>419100</xdr:colOff>
                    <xdr:row>68</xdr:row>
                    <xdr:rowOff>0</xdr:rowOff>
                  </to>
                </anchor>
              </controlPr>
            </control>
          </mc:Choice>
        </mc:AlternateContent>
        <mc:AlternateContent xmlns:mc="http://schemas.openxmlformats.org/markup-compatibility/2006">
          <mc:Choice Requires="x14">
            <control shapeId="42944" r:id="rId880" name="Check Box 960">
              <controlPr defaultSize="0" autoFill="0" autoLine="0" autoPict="0">
                <anchor moveWithCells="1" sizeWithCells="1">
                  <from>
                    <xdr:col>7</xdr:col>
                    <xdr:colOff>190500</xdr:colOff>
                    <xdr:row>67</xdr:row>
                    <xdr:rowOff>28575</xdr:rowOff>
                  </from>
                  <to>
                    <xdr:col>7</xdr:col>
                    <xdr:colOff>419100</xdr:colOff>
                    <xdr:row>68</xdr:row>
                    <xdr:rowOff>0</xdr:rowOff>
                  </to>
                </anchor>
              </controlPr>
            </control>
          </mc:Choice>
        </mc:AlternateContent>
        <mc:AlternateContent xmlns:mc="http://schemas.openxmlformats.org/markup-compatibility/2006">
          <mc:Choice Requires="x14">
            <control shapeId="42945" r:id="rId881" name="Check Box 961">
              <controlPr defaultSize="0" autoFill="0" autoLine="0" autoPict="0">
                <anchor moveWithCells="1" sizeWithCells="1">
                  <from>
                    <xdr:col>5</xdr:col>
                    <xdr:colOff>219075</xdr:colOff>
                    <xdr:row>68</xdr:row>
                    <xdr:rowOff>28575</xdr:rowOff>
                  </from>
                  <to>
                    <xdr:col>5</xdr:col>
                    <xdr:colOff>447675</xdr:colOff>
                    <xdr:row>69</xdr:row>
                    <xdr:rowOff>0</xdr:rowOff>
                  </to>
                </anchor>
              </controlPr>
            </control>
          </mc:Choice>
        </mc:AlternateContent>
        <mc:AlternateContent xmlns:mc="http://schemas.openxmlformats.org/markup-compatibility/2006">
          <mc:Choice Requires="x14">
            <control shapeId="42946" r:id="rId882" name="Check Box 962">
              <controlPr defaultSize="0" autoFill="0" autoLine="0" autoPict="0">
                <anchor moveWithCells="1" sizeWithCells="1">
                  <from>
                    <xdr:col>6</xdr:col>
                    <xdr:colOff>190500</xdr:colOff>
                    <xdr:row>68</xdr:row>
                    <xdr:rowOff>28575</xdr:rowOff>
                  </from>
                  <to>
                    <xdr:col>6</xdr:col>
                    <xdr:colOff>419100</xdr:colOff>
                    <xdr:row>69</xdr:row>
                    <xdr:rowOff>0</xdr:rowOff>
                  </to>
                </anchor>
              </controlPr>
            </control>
          </mc:Choice>
        </mc:AlternateContent>
        <mc:AlternateContent xmlns:mc="http://schemas.openxmlformats.org/markup-compatibility/2006">
          <mc:Choice Requires="x14">
            <control shapeId="42947" r:id="rId883" name="Check Box 963">
              <controlPr defaultSize="0" autoFill="0" autoLine="0" autoPict="0">
                <anchor moveWithCells="1" sizeWithCells="1">
                  <from>
                    <xdr:col>7</xdr:col>
                    <xdr:colOff>190500</xdr:colOff>
                    <xdr:row>68</xdr:row>
                    <xdr:rowOff>28575</xdr:rowOff>
                  </from>
                  <to>
                    <xdr:col>7</xdr:col>
                    <xdr:colOff>419100</xdr:colOff>
                    <xdr:row>69</xdr:row>
                    <xdr:rowOff>0</xdr:rowOff>
                  </to>
                </anchor>
              </controlPr>
            </control>
          </mc:Choice>
        </mc:AlternateContent>
        <mc:AlternateContent xmlns:mc="http://schemas.openxmlformats.org/markup-compatibility/2006">
          <mc:Choice Requires="x14">
            <control shapeId="42948" r:id="rId884" name="Check Box 964">
              <controlPr defaultSize="0" autoFill="0" autoLine="0" autoPict="0">
                <anchor moveWithCells="1" sizeWithCells="1">
                  <from>
                    <xdr:col>5</xdr:col>
                    <xdr:colOff>219075</xdr:colOff>
                    <xdr:row>68</xdr:row>
                    <xdr:rowOff>28575</xdr:rowOff>
                  </from>
                  <to>
                    <xdr:col>5</xdr:col>
                    <xdr:colOff>447675</xdr:colOff>
                    <xdr:row>69</xdr:row>
                    <xdr:rowOff>0</xdr:rowOff>
                  </to>
                </anchor>
              </controlPr>
            </control>
          </mc:Choice>
        </mc:AlternateContent>
        <mc:AlternateContent xmlns:mc="http://schemas.openxmlformats.org/markup-compatibility/2006">
          <mc:Choice Requires="x14">
            <control shapeId="42949" r:id="rId885" name="Check Box 965">
              <controlPr defaultSize="0" autoFill="0" autoLine="0" autoPict="0">
                <anchor moveWithCells="1" sizeWithCells="1">
                  <from>
                    <xdr:col>6</xdr:col>
                    <xdr:colOff>190500</xdr:colOff>
                    <xdr:row>68</xdr:row>
                    <xdr:rowOff>28575</xdr:rowOff>
                  </from>
                  <to>
                    <xdr:col>6</xdr:col>
                    <xdr:colOff>419100</xdr:colOff>
                    <xdr:row>69</xdr:row>
                    <xdr:rowOff>0</xdr:rowOff>
                  </to>
                </anchor>
              </controlPr>
            </control>
          </mc:Choice>
        </mc:AlternateContent>
        <mc:AlternateContent xmlns:mc="http://schemas.openxmlformats.org/markup-compatibility/2006">
          <mc:Choice Requires="x14">
            <control shapeId="42950" r:id="rId886" name="Check Box 966">
              <controlPr defaultSize="0" autoFill="0" autoLine="0" autoPict="0">
                <anchor moveWithCells="1" sizeWithCells="1">
                  <from>
                    <xdr:col>7</xdr:col>
                    <xdr:colOff>190500</xdr:colOff>
                    <xdr:row>68</xdr:row>
                    <xdr:rowOff>28575</xdr:rowOff>
                  </from>
                  <to>
                    <xdr:col>7</xdr:col>
                    <xdr:colOff>419100</xdr:colOff>
                    <xdr:row>69</xdr:row>
                    <xdr:rowOff>0</xdr:rowOff>
                  </to>
                </anchor>
              </controlPr>
            </control>
          </mc:Choice>
        </mc:AlternateContent>
        <mc:AlternateContent xmlns:mc="http://schemas.openxmlformats.org/markup-compatibility/2006">
          <mc:Choice Requires="x14">
            <control shapeId="42951" r:id="rId887" name="Check Box 967">
              <controlPr defaultSize="0" autoFill="0" autoLine="0" autoPict="0">
                <anchor moveWithCells="1" sizeWithCells="1">
                  <from>
                    <xdr:col>5</xdr:col>
                    <xdr:colOff>219075</xdr:colOff>
                    <xdr:row>69</xdr:row>
                    <xdr:rowOff>28575</xdr:rowOff>
                  </from>
                  <to>
                    <xdr:col>5</xdr:col>
                    <xdr:colOff>447675</xdr:colOff>
                    <xdr:row>70</xdr:row>
                    <xdr:rowOff>0</xdr:rowOff>
                  </to>
                </anchor>
              </controlPr>
            </control>
          </mc:Choice>
        </mc:AlternateContent>
        <mc:AlternateContent xmlns:mc="http://schemas.openxmlformats.org/markup-compatibility/2006">
          <mc:Choice Requires="x14">
            <control shapeId="42952" r:id="rId888" name="Check Box 968">
              <controlPr defaultSize="0" autoFill="0" autoLine="0" autoPict="0">
                <anchor moveWithCells="1" sizeWithCells="1">
                  <from>
                    <xdr:col>6</xdr:col>
                    <xdr:colOff>190500</xdr:colOff>
                    <xdr:row>69</xdr:row>
                    <xdr:rowOff>28575</xdr:rowOff>
                  </from>
                  <to>
                    <xdr:col>6</xdr:col>
                    <xdr:colOff>419100</xdr:colOff>
                    <xdr:row>70</xdr:row>
                    <xdr:rowOff>0</xdr:rowOff>
                  </to>
                </anchor>
              </controlPr>
            </control>
          </mc:Choice>
        </mc:AlternateContent>
        <mc:AlternateContent xmlns:mc="http://schemas.openxmlformats.org/markup-compatibility/2006">
          <mc:Choice Requires="x14">
            <control shapeId="42953" r:id="rId889" name="Check Box 969">
              <controlPr defaultSize="0" autoFill="0" autoLine="0" autoPict="0">
                <anchor moveWithCells="1" sizeWithCells="1">
                  <from>
                    <xdr:col>7</xdr:col>
                    <xdr:colOff>190500</xdr:colOff>
                    <xdr:row>69</xdr:row>
                    <xdr:rowOff>28575</xdr:rowOff>
                  </from>
                  <to>
                    <xdr:col>7</xdr:col>
                    <xdr:colOff>419100</xdr:colOff>
                    <xdr:row>70</xdr:row>
                    <xdr:rowOff>0</xdr:rowOff>
                  </to>
                </anchor>
              </controlPr>
            </control>
          </mc:Choice>
        </mc:AlternateContent>
        <mc:AlternateContent xmlns:mc="http://schemas.openxmlformats.org/markup-compatibility/2006">
          <mc:Choice Requires="x14">
            <control shapeId="42954" r:id="rId890" name="Check Box 970">
              <controlPr defaultSize="0" autoFill="0" autoLine="0" autoPict="0">
                <anchor moveWithCells="1" sizeWithCells="1">
                  <from>
                    <xdr:col>5</xdr:col>
                    <xdr:colOff>219075</xdr:colOff>
                    <xdr:row>69</xdr:row>
                    <xdr:rowOff>28575</xdr:rowOff>
                  </from>
                  <to>
                    <xdr:col>5</xdr:col>
                    <xdr:colOff>447675</xdr:colOff>
                    <xdr:row>70</xdr:row>
                    <xdr:rowOff>0</xdr:rowOff>
                  </to>
                </anchor>
              </controlPr>
            </control>
          </mc:Choice>
        </mc:AlternateContent>
        <mc:AlternateContent xmlns:mc="http://schemas.openxmlformats.org/markup-compatibility/2006">
          <mc:Choice Requires="x14">
            <control shapeId="42955" r:id="rId891" name="Check Box 971">
              <controlPr defaultSize="0" autoFill="0" autoLine="0" autoPict="0">
                <anchor moveWithCells="1" sizeWithCells="1">
                  <from>
                    <xdr:col>6</xdr:col>
                    <xdr:colOff>190500</xdr:colOff>
                    <xdr:row>69</xdr:row>
                    <xdr:rowOff>28575</xdr:rowOff>
                  </from>
                  <to>
                    <xdr:col>6</xdr:col>
                    <xdr:colOff>419100</xdr:colOff>
                    <xdr:row>70</xdr:row>
                    <xdr:rowOff>0</xdr:rowOff>
                  </to>
                </anchor>
              </controlPr>
            </control>
          </mc:Choice>
        </mc:AlternateContent>
        <mc:AlternateContent xmlns:mc="http://schemas.openxmlformats.org/markup-compatibility/2006">
          <mc:Choice Requires="x14">
            <control shapeId="42956" r:id="rId892" name="Check Box 972">
              <controlPr defaultSize="0" autoFill="0" autoLine="0" autoPict="0">
                <anchor moveWithCells="1" sizeWithCells="1">
                  <from>
                    <xdr:col>7</xdr:col>
                    <xdr:colOff>190500</xdr:colOff>
                    <xdr:row>69</xdr:row>
                    <xdr:rowOff>28575</xdr:rowOff>
                  </from>
                  <to>
                    <xdr:col>7</xdr:col>
                    <xdr:colOff>419100</xdr:colOff>
                    <xdr:row>70</xdr:row>
                    <xdr:rowOff>0</xdr:rowOff>
                  </to>
                </anchor>
              </controlPr>
            </control>
          </mc:Choice>
        </mc:AlternateContent>
        <mc:AlternateContent xmlns:mc="http://schemas.openxmlformats.org/markup-compatibility/2006">
          <mc:Choice Requires="x14">
            <control shapeId="42957" r:id="rId893" name="Check Box 973">
              <controlPr defaultSize="0" autoFill="0" autoLine="0" autoPict="0">
                <anchor moveWithCells="1" sizeWithCells="1">
                  <from>
                    <xdr:col>5</xdr:col>
                    <xdr:colOff>219075</xdr:colOff>
                    <xdr:row>70</xdr:row>
                    <xdr:rowOff>28575</xdr:rowOff>
                  </from>
                  <to>
                    <xdr:col>5</xdr:col>
                    <xdr:colOff>447675</xdr:colOff>
                    <xdr:row>71</xdr:row>
                    <xdr:rowOff>0</xdr:rowOff>
                  </to>
                </anchor>
              </controlPr>
            </control>
          </mc:Choice>
        </mc:AlternateContent>
        <mc:AlternateContent xmlns:mc="http://schemas.openxmlformats.org/markup-compatibility/2006">
          <mc:Choice Requires="x14">
            <control shapeId="42958" r:id="rId894" name="Check Box 974">
              <controlPr defaultSize="0" autoFill="0" autoLine="0" autoPict="0">
                <anchor moveWithCells="1" sizeWithCells="1">
                  <from>
                    <xdr:col>6</xdr:col>
                    <xdr:colOff>190500</xdr:colOff>
                    <xdr:row>70</xdr:row>
                    <xdr:rowOff>28575</xdr:rowOff>
                  </from>
                  <to>
                    <xdr:col>6</xdr:col>
                    <xdr:colOff>419100</xdr:colOff>
                    <xdr:row>71</xdr:row>
                    <xdr:rowOff>0</xdr:rowOff>
                  </to>
                </anchor>
              </controlPr>
            </control>
          </mc:Choice>
        </mc:AlternateContent>
        <mc:AlternateContent xmlns:mc="http://schemas.openxmlformats.org/markup-compatibility/2006">
          <mc:Choice Requires="x14">
            <control shapeId="42959" r:id="rId895" name="Check Box 975">
              <controlPr defaultSize="0" autoFill="0" autoLine="0" autoPict="0">
                <anchor moveWithCells="1" sizeWithCells="1">
                  <from>
                    <xdr:col>7</xdr:col>
                    <xdr:colOff>190500</xdr:colOff>
                    <xdr:row>70</xdr:row>
                    <xdr:rowOff>28575</xdr:rowOff>
                  </from>
                  <to>
                    <xdr:col>7</xdr:col>
                    <xdr:colOff>419100</xdr:colOff>
                    <xdr:row>71</xdr:row>
                    <xdr:rowOff>0</xdr:rowOff>
                  </to>
                </anchor>
              </controlPr>
            </control>
          </mc:Choice>
        </mc:AlternateContent>
        <mc:AlternateContent xmlns:mc="http://schemas.openxmlformats.org/markup-compatibility/2006">
          <mc:Choice Requires="x14">
            <control shapeId="42960" r:id="rId896" name="Check Box 976">
              <controlPr defaultSize="0" autoFill="0" autoLine="0" autoPict="0">
                <anchor moveWithCells="1" sizeWithCells="1">
                  <from>
                    <xdr:col>5</xdr:col>
                    <xdr:colOff>219075</xdr:colOff>
                    <xdr:row>70</xdr:row>
                    <xdr:rowOff>28575</xdr:rowOff>
                  </from>
                  <to>
                    <xdr:col>5</xdr:col>
                    <xdr:colOff>447675</xdr:colOff>
                    <xdr:row>71</xdr:row>
                    <xdr:rowOff>0</xdr:rowOff>
                  </to>
                </anchor>
              </controlPr>
            </control>
          </mc:Choice>
        </mc:AlternateContent>
        <mc:AlternateContent xmlns:mc="http://schemas.openxmlformats.org/markup-compatibility/2006">
          <mc:Choice Requires="x14">
            <control shapeId="42961" r:id="rId897" name="Check Box 977">
              <controlPr defaultSize="0" autoFill="0" autoLine="0" autoPict="0">
                <anchor moveWithCells="1" sizeWithCells="1">
                  <from>
                    <xdr:col>6</xdr:col>
                    <xdr:colOff>190500</xdr:colOff>
                    <xdr:row>70</xdr:row>
                    <xdr:rowOff>28575</xdr:rowOff>
                  </from>
                  <to>
                    <xdr:col>6</xdr:col>
                    <xdr:colOff>419100</xdr:colOff>
                    <xdr:row>71</xdr:row>
                    <xdr:rowOff>0</xdr:rowOff>
                  </to>
                </anchor>
              </controlPr>
            </control>
          </mc:Choice>
        </mc:AlternateContent>
        <mc:AlternateContent xmlns:mc="http://schemas.openxmlformats.org/markup-compatibility/2006">
          <mc:Choice Requires="x14">
            <control shapeId="42962" r:id="rId898" name="Check Box 978">
              <controlPr defaultSize="0" autoFill="0" autoLine="0" autoPict="0">
                <anchor moveWithCells="1" sizeWithCells="1">
                  <from>
                    <xdr:col>7</xdr:col>
                    <xdr:colOff>190500</xdr:colOff>
                    <xdr:row>70</xdr:row>
                    <xdr:rowOff>28575</xdr:rowOff>
                  </from>
                  <to>
                    <xdr:col>7</xdr:col>
                    <xdr:colOff>419100</xdr:colOff>
                    <xdr:row>71</xdr:row>
                    <xdr:rowOff>0</xdr:rowOff>
                  </to>
                </anchor>
              </controlPr>
            </control>
          </mc:Choice>
        </mc:AlternateContent>
        <mc:AlternateContent xmlns:mc="http://schemas.openxmlformats.org/markup-compatibility/2006">
          <mc:Choice Requires="x14">
            <control shapeId="42963" r:id="rId899" name="Check Box 979">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2964" r:id="rId900" name="Check Box 980">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2965" r:id="rId901" name="Check Box 981">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2966" r:id="rId902" name="Check Box 982">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2967" r:id="rId903" name="Check Box 983">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2968" r:id="rId904" name="Check Box 984">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CDE9B-E18D-4A7E-BB87-DFA5B03BFB59}">
  <sheetPr codeName="Sheet37">
    <tabColor theme="4"/>
  </sheetPr>
  <dimension ref="A1:F28"/>
  <sheetViews>
    <sheetView showGridLines="0" showZeros="0" workbookViewId="0">
      <selection activeCell="F7" sqref="F7"/>
    </sheetView>
  </sheetViews>
  <sheetFormatPr defaultColWidth="8.5703125" defaultRowHeight="12.6" customHeight="1" x14ac:dyDescent="0.25"/>
  <cols>
    <col min="1" max="1" width="5.42578125" customWidth="1"/>
    <col min="4" max="4" width="25.42578125" customWidth="1"/>
    <col min="5" max="5" width="5.42578125" customWidth="1"/>
    <col min="6" max="6" width="36.42578125" customWidth="1"/>
  </cols>
  <sheetData>
    <row r="1" spans="1:6" ht="15" x14ac:dyDescent="0.25">
      <c r="A1" s="950" t="s">
        <v>175</v>
      </c>
      <c r="B1" s="943"/>
      <c r="C1" s="943"/>
      <c r="D1" s="943"/>
      <c r="E1" s="943"/>
      <c r="F1" s="945"/>
    </row>
    <row r="2" spans="1:6" ht="54" customHeight="1" x14ac:dyDescent="0.25">
      <c r="A2" s="946" t="s">
        <v>109</v>
      </c>
      <c r="B2" s="940"/>
      <c r="C2" s="940"/>
      <c r="D2" s="940"/>
      <c r="E2" s="953" t="s">
        <v>176</v>
      </c>
      <c r="F2" s="947" t="s">
        <v>1</v>
      </c>
    </row>
    <row r="3" spans="1:6" ht="11.1" customHeight="1" x14ac:dyDescent="0.25">
      <c r="A3" s="948" t="s">
        <v>177</v>
      </c>
      <c r="B3" s="941"/>
      <c r="C3" s="941"/>
      <c r="D3" s="941"/>
      <c r="E3" s="156"/>
      <c r="F3" s="951"/>
    </row>
    <row r="4" spans="1:6" ht="11.1" customHeight="1" x14ac:dyDescent="0.25">
      <c r="A4" s="949"/>
      <c r="B4" s="942" t="s">
        <v>178</v>
      </c>
      <c r="C4" s="942"/>
      <c r="D4" s="942"/>
      <c r="E4" s="157"/>
      <c r="F4" s="955" t="s">
        <v>3720</v>
      </c>
    </row>
    <row r="5" spans="1:6" ht="11.1" customHeight="1" x14ac:dyDescent="0.25">
      <c r="A5" s="949"/>
      <c r="B5" s="942" t="s">
        <v>179</v>
      </c>
      <c r="C5" s="942"/>
      <c r="D5" s="942"/>
      <c r="E5" s="157"/>
      <c r="F5" s="955">
        <v>21334</v>
      </c>
    </row>
    <row r="6" spans="1:6" ht="11.1" customHeight="1" x14ac:dyDescent="0.25">
      <c r="A6" s="949"/>
      <c r="B6" s="942" t="s">
        <v>180</v>
      </c>
      <c r="C6" s="942"/>
      <c r="D6" s="942"/>
      <c r="E6" s="157"/>
      <c r="F6" s="955">
        <v>80363021</v>
      </c>
    </row>
    <row r="7" spans="1:6" ht="11.1" customHeight="1" x14ac:dyDescent="0.25">
      <c r="A7" s="949"/>
      <c r="B7" s="942" t="s">
        <v>181</v>
      </c>
      <c r="C7" s="942"/>
      <c r="D7" s="942"/>
      <c r="E7" s="157"/>
      <c r="F7" s="955" t="s">
        <v>3720</v>
      </c>
    </row>
    <row r="8" spans="1:6" ht="11.1" customHeight="1" x14ac:dyDescent="0.25">
      <c r="A8" s="949"/>
      <c r="B8" s="942" t="s">
        <v>182</v>
      </c>
      <c r="C8" s="942"/>
      <c r="D8" s="942"/>
      <c r="E8" s="157"/>
      <c r="F8" s="955" t="s">
        <v>3721</v>
      </c>
    </row>
    <row r="9" spans="1:6" ht="11.1" customHeight="1" x14ac:dyDescent="0.25">
      <c r="A9" s="949"/>
      <c r="B9" s="942"/>
      <c r="C9" s="942"/>
      <c r="D9" s="942"/>
      <c r="E9" s="157"/>
      <c r="F9" s="955"/>
    </row>
    <row r="10" spans="1:6" ht="11.1" customHeight="1" x14ac:dyDescent="0.25">
      <c r="A10" s="948" t="s">
        <v>183</v>
      </c>
      <c r="B10" s="941"/>
      <c r="C10" s="941"/>
      <c r="D10" s="941"/>
      <c r="E10" s="156"/>
      <c r="F10" s="954"/>
    </row>
    <row r="11" spans="1:6" ht="11.1" customHeight="1" x14ac:dyDescent="0.25">
      <c r="A11" s="949"/>
      <c r="B11" s="942" t="s">
        <v>184</v>
      </c>
      <c r="C11" s="942"/>
      <c r="D11" s="942"/>
      <c r="E11" s="157"/>
      <c r="F11" s="955" t="s">
        <v>3722</v>
      </c>
    </row>
    <row r="12" spans="1:6" ht="11.1" customHeight="1" x14ac:dyDescent="0.25">
      <c r="A12" s="949"/>
      <c r="B12" s="942" t="s">
        <v>185</v>
      </c>
      <c r="C12" s="942"/>
      <c r="D12" s="942"/>
      <c r="E12" s="157"/>
      <c r="F12" s="955"/>
    </row>
    <row r="13" spans="1:6" ht="11.1" customHeight="1" x14ac:dyDescent="0.25">
      <c r="A13" s="949"/>
      <c r="B13" s="942" t="s">
        <v>186</v>
      </c>
      <c r="C13" s="942"/>
      <c r="D13" s="942"/>
      <c r="E13" s="157"/>
      <c r="F13" s="955"/>
    </row>
    <row r="14" spans="1:6" ht="11.1" customHeight="1" x14ac:dyDescent="0.25">
      <c r="A14" s="949"/>
      <c r="B14" s="952" t="s">
        <v>187</v>
      </c>
      <c r="C14" s="942"/>
      <c r="D14" s="942"/>
      <c r="E14" s="157"/>
      <c r="F14" s="955"/>
    </row>
    <row r="15" spans="1:6" ht="11.1" customHeight="1" x14ac:dyDescent="0.25">
      <c r="A15" s="949"/>
      <c r="B15" s="952" t="s">
        <v>188</v>
      </c>
      <c r="C15" s="942"/>
      <c r="D15" s="942"/>
      <c r="E15" s="157"/>
      <c r="F15" s="955"/>
    </row>
    <row r="16" spans="1:6" ht="11.1" customHeight="1" x14ac:dyDescent="0.25">
      <c r="A16" s="949"/>
      <c r="B16" s="942"/>
      <c r="C16" s="942"/>
      <c r="D16" s="942"/>
      <c r="E16" s="157"/>
      <c r="F16" s="955"/>
    </row>
    <row r="17" spans="1:6" ht="11.1" customHeight="1" x14ac:dyDescent="0.25">
      <c r="A17" s="948" t="s">
        <v>189</v>
      </c>
      <c r="B17" s="941"/>
      <c r="C17" s="941"/>
      <c r="D17" s="941"/>
      <c r="E17" s="156"/>
      <c r="F17" s="954"/>
    </row>
    <row r="18" spans="1:6" ht="11.1" customHeight="1" x14ac:dyDescent="0.25">
      <c r="A18" s="949"/>
      <c r="B18" s="942" t="s">
        <v>190</v>
      </c>
      <c r="C18" s="942"/>
      <c r="D18" s="942"/>
      <c r="E18" s="157"/>
      <c r="F18" s="955"/>
    </row>
    <row r="19" spans="1:6" ht="11.1" customHeight="1" x14ac:dyDescent="0.25">
      <c r="A19" s="949"/>
      <c r="B19" s="942"/>
      <c r="C19" s="942"/>
      <c r="D19" s="942"/>
      <c r="E19" s="157"/>
      <c r="F19" s="955"/>
    </row>
    <row r="20" spans="1:6" ht="11.1" customHeight="1" x14ac:dyDescent="0.25">
      <c r="A20" s="948" t="s">
        <v>191</v>
      </c>
      <c r="B20" s="941"/>
      <c r="C20" s="941"/>
      <c r="D20" s="941"/>
      <c r="E20" s="156"/>
      <c r="F20" s="954"/>
    </row>
    <row r="21" spans="1:6" ht="11.1" customHeight="1" x14ac:dyDescent="0.25">
      <c r="A21" s="949"/>
      <c r="B21" s="942" t="s">
        <v>192</v>
      </c>
      <c r="C21" s="942"/>
      <c r="D21" s="942"/>
      <c r="E21" s="157"/>
      <c r="F21" s="955"/>
    </row>
    <row r="22" spans="1:6" ht="11.1" customHeight="1" x14ac:dyDescent="0.25">
      <c r="A22" s="949"/>
      <c r="B22" s="942" t="s">
        <v>193</v>
      </c>
      <c r="C22" s="942"/>
      <c r="D22" s="942"/>
      <c r="E22" s="157"/>
      <c r="F22" s="955"/>
    </row>
    <row r="23" spans="1:6" ht="11.1" customHeight="1" x14ac:dyDescent="0.25">
      <c r="A23" s="949"/>
      <c r="B23" s="942" t="s">
        <v>194</v>
      </c>
      <c r="C23" s="942"/>
      <c r="D23" s="942"/>
      <c r="E23" s="157"/>
      <c r="F23" s="955"/>
    </row>
    <row r="24" spans="1:6" ht="11.1" customHeight="1" x14ac:dyDescent="0.25">
      <c r="A24" s="949"/>
      <c r="B24" s="942" t="s">
        <v>195</v>
      </c>
      <c r="C24" s="942"/>
      <c r="D24" s="942"/>
      <c r="E24" s="157"/>
      <c r="F24" s="955"/>
    </row>
    <row r="25" spans="1:6" ht="11.1" customHeight="1" x14ac:dyDescent="0.25">
      <c r="A25" s="949"/>
      <c r="B25" s="942" t="s">
        <v>196</v>
      </c>
      <c r="C25" s="942"/>
      <c r="D25" s="942"/>
      <c r="E25" s="157"/>
      <c r="F25" s="955"/>
    </row>
    <row r="26" spans="1:6" ht="11.1" customHeight="1" x14ac:dyDescent="0.25">
      <c r="A26" s="944"/>
      <c r="B26" s="943"/>
      <c r="C26" s="943"/>
      <c r="D26" s="943"/>
      <c r="E26" s="157"/>
      <c r="F26" s="955"/>
    </row>
    <row r="27" spans="1:6" ht="11.1" customHeight="1" x14ac:dyDescent="0.25">
      <c r="A27" s="948" t="s">
        <v>197</v>
      </c>
      <c r="B27" s="941"/>
      <c r="C27" s="941"/>
      <c r="D27" s="941"/>
      <c r="F27" s="954" t="s">
        <v>2514</v>
      </c>
    </row>
    <row r="28" spans="1:6" ht="11.1" customHeight="1" x14ac:dyDescent="0.25">
      <c r="A28" s="155"/>
      <c r="B28" s="155"/>
      <c r="C28" s="155"/>
      <c r="D28" s="155"/>
      <c r="F28" s="155"/>
    </row>
  </sheetData>
  <sheetProtection algorithmName="SHA-512" hashValue="ZxgxmIj1AJYoDjgn+8BvYYe726UTHwT+LNODeRookKPm9bkyzZq6FDaD8cWI8mzrLMH3RXt/KeJjFyCyUiSDew==" saltValue="0eJ7ep/We6C+Gcn8gMDJkA==" spinCount="100000" sheet="1" scenarios="1" formatCells="0" formatColumns="0" formatRows="0" autoFilter="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Check Box 1">
              <controlPr defaultSize="0" autoFill="0" autoLine="0" autoPict="0">
                <anchor moveWithCells="1">
                  <from>
                    <xdr:col>4</xdr:col>
                    <xdr:colOff>104775</xdr:colOff>
                    <xdr:row>2</xdr:row>
                    <xdr:rowOff>142875</xdr:rowOff>
                  </from>
                  <to>
                    <xdr:col>5</xdr:col>
                    <xdr:colOff>0</xdr:colOff>
                    <xdr:row>4</xdr:row>
                    <xdr:rowOff>28575</xdr:rowOff>
                  </to>
                </anchor>
              </controlPr>
            </control>
          </mc:Choice>
        </mc:AlternateContent>
        <mc:AlternateContent xmlns:mc="http://schemas.openxmlformats.org/markup-compatibility/2006">
          <mc:Choice Requires="x14">
            <control shapeId="6146" r:id="rId4" name="Check Box 2">
              <controlPr defaultSize="0" autoFill="0" autoLine="0" autoPict="0">
                <anchor moveWithCells="1">
                  <from>
                    <xdr:col>4</xdr:col>
                    <xdr:colOff>104775</xdr:colOff>
                    <xdr:row>3</xdr:row>
                    <xdr:rowOff>142875</xdr:rowOff>
                  </from>
                  <to>
                    <xdr:col>5</xdr:col>
                    <xdr:colOff>0</xdr:colOff>
                    <xdr:row>5</xdr:row>
                    <xdr:rowOff>28575</xdr:rowOff>
                  </to>
                </anchor>
              </controlPr>
            </control>
          </mc:Choice>
        </mc:AlternateContent>
        <mc:AlternateContent xmlns:mc="http://schemas.openxmlformats.org/markup-compatibility/2006">
          <mc:Choice Requires="x14">
            <control shapeId="6147" r:id="rId5" name="Check Box 3">
              <controlPr defaultSize="0" autoFill="0" autoLine="0" autoPict="0">
                <anchor moveWithCells="1">
                  <from>
                    <xdr:col>4</xdr:col>
                    <xdr:colOff>104775</xdr:colOff>
                    <xdr:row>4</xdr:row>
                    <xdr:rowOff>142875</xdr:rowOff>
                  </from>
                  <to>
                    <xdr:col>5</xdr:col>
                    <xdr:colOff>0</xdr:colOff>
                    <xdr:row>6</xdr:row>
                    <xdr:rowOff>28575</xdr:rowOff>
                  </to>
                </anchor>
              </controlPr>
            </control>
          </mc:Choice>
        </mc:AlternateContent>
        <mc:AlternateContent xmlns:mc="http://schemas.openxmlformats.org/markup-compatibility/2006">
          <mc:Choice Requires="x14">
            <control shapeId="6148" r:id="rId6" name="Check Box 4">
              <controlPr defaultSize="0" autoFill="0" autoLine="0" autoPict="0">
                <anchor moveWithCells="1">
                  <from>
                    <xdr:col>4</xdr:col>
                    <xdr:colOff>104775</xdr:colOff>
                    <xdr:row>5</xdr:row>
                    <xdr:rowOff>142875</xdr:rowOff>
                  </from>
                  <to>
                    <xdr:col>5</xdr:col>
                    <xdr:colOff>0</xdr:colOff>
                    <xdr:row>7</xdr:row>
                    <xdr:rowOff>28575</xdr:rowOff>
                  </to>
                </anchor>
              </controlPr>
            </control>
          </mc:Choice>
        </mc:AlternateContent>
        <mc:AlternateContent xmlns:mc="http://schemas.openxmlformats.org/markup-compatibility/2006">
          <mc:Choice Requires="x14">
            <control shapeId="6149" r:id="rId7" name="Check Box 5">
              <controlPr defaultSize="0" autoFill="0" autoLine="0" autoPict="0">
                <anchor moveWithCells="1">
                  <from>
                    <xdr:col>4</xdr:col>
                    <xdr:colOff>104775</xdr:colOff>
                    <xdr:row>6</xdr:row>
                    <xdr:rowOff>142875</xdr:rowOff>
                  </from>
                  <to>
                    <xdr:col>5</xdr:col>
                    <xdr:colOff>0</xdr:colOff>
                    <xdr:row>8</xdr:row>
                    <xdr:rowOff>28575</xdr:rowOff>
                  </to>
                </anchor>
              </controlPr>
            </control>
          </mc:Choice>
        </mc:AlternateContent>
        <mc:AlternateContent xmlns:mc="http://schemas.openxmlformats.org/markup-compatibility/2006">
          <mc:Choice Requires="x14">
            <control shapeId="6150" r:id="rId8" name="Check Box 6">
              <controlPr defaultSize="0" autoFill="0" autoLine="0" autoPict="0">
                <anchor moveWithCells="1">
                  <from>
                    <xdr:col>4</xdr:col>
                    <xdr:colOff>104775</xdr:colOff>
                    <xdr:row>9</xdr:row>
                    <xdr:rowOff>142875</xdr:rowOff>
                  </from>
                  <to>
                    <xdr:col>5</xdr:col>
                    <xdr:colOff>0</xdr:colOff>
                    <xdr:row>11</xdr:row>
                    <xdr:rowOff>28575</xdr:rowOff>
                  </to>
                </anchor>
              </controlPr>
            </control>
          </mc:Choice>
        </mc:AlternateContent>
        <mc:AlternateContent xmlns:mc="http://schemas.openxmlformats.org/markup-compatibility/2006">
          <mc:Choice Requires="x14">
            <control shapeId="6151" r:id="rId9" name="Check Box 7">
              <controlPr defaultSize="0" autoFill="0" autoLine="0" autoPict="0">
                <anchor moveWithCells="1">
                  <from>
                    <xdr:col>4</xdr:col>
                    <xdr:colOff>104775</xdr:colOff>
                    <xdr:row>10</xdr:row>
                    <xdr:rowOff>142875</xdr:rowOff>
                  </from>
                  <to>
                    <xdr:col>5</xdr:col>
                    <xdr:colOff>0</xdr:colOff>
                    <xdr:row>12</xdr:row>
                    <xdr:rowOff>28575</xdr:rowOff>
                  </to>
                </anchor>
              </controlPr>
            </control>
          </mc:Choice>
        </mc:AlternateContent>
        <mc:AlternateContent xmlns:mc="http://schemas.openxmlformats.org/markup-compatibility/2006">
          <mc:Choice Requires="x14">
            <control shapeId="6152" r:id="rId10" name="Check Box 8">
              <controlPr defaultSize="0" autoFill="0" autoLine="0" autoPict="0">
                <anchor moveWithCells="1">
                  <from>
                    <xdr:col>4</xdr:col>
                    <xdr:colOff>104775</xdr:colOff>
                    <xdr:row>11</xdr:row>
                    <xdr:rowOff>142875</xdr:rowOff>
                  </from>
                  <to>
                    <xdr:col>5</xdr:col>
                    <xdr:colOff>0</xdr:colOff>
                    <xdr:row>13</xdr:row>
                    <xdr:rowOff>28575</xdr:rowOff>
                  </to>
                </anchor>
              </controlPr>
            </control>
          </mc:Choice>
        </mc:AlternateContent>
        <mc:AlternateContent xmlns:mc="http://schemas.openxmlformats.org/markup-compatibility/2006">
          <mc:Choice Requires="x14">
            <control shapeId="6153" r:id="rId11" name="Check Box 9">
              <controlPr defaultSize="0" autoFill="0" autoLine="0" autoPict="0">
                <anchor moveWithCells="1">
                  <from>
                    <xdr:col>4</xdr:col>
                    <xdr:colOff>104775</xdr:colOff>
                    <xdr:row>12</xdr:row>
                    <xdr:rowOff>142875</xdr:rowOff>
                  </from>
                  <to>
                    <xdr:col>5</xdr:col>
                    <xdr:colOff>0</xdr:colOff>
                    <xdr:row>14</xdr:row>
                    <xdr:rowOff>28575</xdr:rowOff>
                  </to>
                </anchor>
              </controlPr>
            </control>
          </mc:Choice>
        </mc:AlternateContent>
        <mc:AlternateContent xmlns:mc="http://schemas.openxmlformats.org/markup-compatibility/2006">
          <mc:Choice Requires="x14">
            <control shapeId="6154" r:id="rId12" name="Check Box 10">
              <controlPr defaultSize="0" autoFill="0" autoLine="0" autoPict="0">
                <anchor moveWithCells="1">
                  <from>
                    <xdr:col>4</xdr:col>
                    <xdr:colOff>104775</xdr:colOff>
                    <xdr:row>13</xdr:row>
                    <xdr:rowOff>142875</xdr:rowOff>
                  </from>
                  <to>
                    <xdr:col>5</xdr:col>
                    <xdr:colOff>0</xdr:colOff>
                    <xdr:row>15</xdr:row>
                    <xdr:rowOff>28575</xdr:rowOff>
                  </to>
                </anchor>
              </controlPr>
            </control>
          </mc:Choice>
        </mc:AlternateContent>
        <mc:AlternateContent xmlns:mc="http://schemas.openxmlformats.org/markup-compatibility/2006">
          <mc:Choice Requires="x14">
            <control shapeId="6155" r:id="rId13" name="Check Box 11">
              <controlPr defaultSize="0" autoFill="0" autoLine="0" autoPict="0">
                <anchor moveWithCells="1">
                  <from>
                    <xdr:col>4</xdr:col>
                    <xdr:colOff>104775</xdr:colOff>
                    <xdr:row>16</xdr:row>
                    <xdr:rowOff>142875</xdr:rowOff>
                  </from>
                  <to>
                    <xdr:col>5</xdr:col>
                    <xdr:colOff>0</xdr:colOff>
                    <xdr:row>18</xdr:row>
                    <xdr:rowOff>28575</xdr:rowOff>
                  </to>
                </anchor>
              </controlPr>
            </control>
          </mc:Choice>
        </mc:AlternateContent>
        <mc:AlternateContent xmlns:mc="http://schemas.openxmlformats.org/markup-compatibility/2006">
          <mc:Choice Requires="x14">
            <control shapeId="6156" r:id="rId14" name="Check Box 12">
              <controlPr defaultSize="0" autoFill="0" autoLine="0" autoPict="0">
                <anchor moveWithCells="1">
                  <from>
                    <xdr:col>4</xdr:col>
                    <xdr:colOff>104775</xdr:colOff>
                    <xdr:row>19</xdr:row>
                    <xdr:rowOff>142875</xdr:rowOff>
                  </from>
                  <to>
                    <xdr:col>5</xdr:col>
                    <xdr:colOff>0</xdr:colOff>
                    <xdr:row>21</xdr:row>
                    <xdr:rowOff>28575</xdr:rowOff>
                  </to>
                </anchor>
              </controlPr>
            </control>
          </mc:Choice>
        </mc:AlternateContent>
        <mc:AlternateContent xmlns:mc="http://schemas.openxmlformats.org/markup-compatibility/2006">
          <mc:Choice Requires="x14">
            <control shapeId="6157" r:id="rId15" name="Check Box 13">
              <controlPr defaultSize="0" autoFill="0" autoLine="0" autoPict="0">
                <anchor moveWithCells="1">
                  <from>
                    <xdr:col>4</xdr:col>
                    <xdr:colOff>104775</xdr:colOff>
                    <xdr:row>20</xdr:row>
                    <xdr:rowOff>142875</xdr:rowOff>
                  </from>
                  <to>
                    <xdr:col>5</xdr:col>
                    <xdr:colOff>0</xdr:colOff>
                    <xdr:row>22</xdr:row>
                    <xdr:rowOff>28575</xdr:rowOff>
                  </to>
                </anchor>
              </controlPr>
            </control>
          </mc:Choice>
        </mc:AlternateContent>
        <mc:AlternateContent xmlns:mc="http://schemas.openxmlformats.org/markup-compatibility/2006">
          <mc:Choice Requires="x14">
            <control shapeId="6158" r:id="rId16" name="Check Box 14">
              <controlPr defaultSize="0" autoFill="0" autoLine="0" autoPict="0">
                <anchor moveWithCells="1">
                  <from>
                    <xdr:col>4</xdr:col>
                    <xdr:colOff>104775</xdr:colOff>
                    <xdr:row>21</xdr:row>
                    <xdr:rowOff>142875</xdr:rowOff>
                  </from>
                  <to>
                    <xdr:col>5</xdr:col>
                    <xdr:colOff>0</xdr:colOff>
                    <xdr:row>23</xdr:row>
                    <xdr:rowOff>28575</xdr:rowOff>
                  </to>
                </anchor>
              </controlPr>
            </control>
          </mc:Choice>
        </mc:AlternateContent>
        <mc:AlternateContent xmlns:mc="http://schemas.openxmlformats.org/markup-compatibility/2006">
          <mc:Choice Requires="x14">
            <control shapeId="6159" r:id="rId17" name="Check Box 15">
              <controlPr defaultSize="0" autoFill="0" autoLine="0" autoPict="0">
                <anchor moveWithCells="1">
                  <from>
                    <xdr:col>4</xdr:col>
                    <xdr:colOff>104775</xdr:colOff>
                    <xdr:row>22</xdr:row>
                    <xdr:rowOff>142875</xdr:rowOff>
                  </from>
                  <to>
                    <xdr:col>5</xdr:col>
                    <xdr:colOff>0</xdr:colOff>
                    <xdr:row>24</xdr:row>
                    <xdr:rowOff>28575</xdr:rowOff>
                  </to>
                </anchor>
              </controlPr>
            </control>
          </mc:Choice>
        </mc:AlternateContent>
        <mc:AlternateContent xmlns:mc="http://schemas.openxmlformats.org/markup-compatibility/2006">
          <mc:Choice Requires="x14">
            <control shapeId="6160" r:id="rId18" name="Check Box 16">
              <controlPr defaultSize="0" autoFill="0" autoLine="0" autoPict="0">
                <anchor moveWithCells="1">
                  <from>
                    <xdr:col>4</xdr:col>
                    <xdr:colOff>104775</xdr:colOff>
                    <xdr:row>23</xdr:row>
                    <xdr:rowOff>142875</xdr:rowOff>
                  </from>
                  <to>
                    <xdr:col>5</xdr:col>
                    <xdr:colOff>0</xdr:colOff>
                    <xdr:row>25</xdr:row>
                    <xdr:rowOff>28575</xdr:rowOff>
                  </to>
                </anchor>
              </controlPr>
            </control>
          </mc:Choice>
        </mc:AlternateContent>
        <mc:AlternateContent xmlns:mc="http://schemas.openxmlformats.org/markup-compatibility/2006">
          <mc:Choice Requires="x14">
            <control shapeId="6161" r:id="rId19" name="Check Box 17">
              <controlPr defaultSize="0" autoFill="0" autoLine="0" autoPict="0">
                <anchor moveWithCells="1">
                  <from>
                    <xdr:col>4</xdr:col>
                    <xdr:colOff>104775</xdr:colOff>
                    <xdr:row>26</xdr:row>
                    <xdr:rowOff>142875</xdr:rowOff>
                  </from>
                  <to>
                    <xdr:col>5</xdr:col>
                    <xdr:colOff>0</xdr:colOff>
                    <xdr:row>28</xdr:row>
                    <xdr:rowOff>28575</xdr:rowOff>
                  </to>
                </anchor>
              </controlPr>
            </control>
          </mc:Choice>
        </mc:AlternateContent>
        <mc:AlternateContent xmlns:mc="http://schemas.openxmlformats.org/markup-compatibility/2006">
          <mc:Choice Requires="x14">
            <control shapeId="6162" r:id="rId20" name="Check Box 18">
              <controlPr defaultSize="0" autoFill="0" autoLine="0" autoPict="0">
                <anchor moveWithCells="1">
                  <from>
                    <xdr:col>4</xdr:col>
                    <xdr:colOff>104775</xdr:colOff>
                    <xdr:row>27</xdr:row>
                    <xdr:rowOff>0</xdr:rowOff>
                  </from>
                  <to>
                    <xdr:col>5</xdr:col>
                    <xdr:colOff>0</xdr:colOff>
                    <xdr:row>28</xdr:row>
                    <xdr:rowOff>28575</xdr:rowOff>
                  </to>
                </anchor>
              </controlPr>
            </control>
          </mc:Choice>
        </mc:AlternateContent>
        <mc:AlternateContent xmlns:mc="http://schemas.openxmlformats.org/markup-compatibility/2006">
          <mc:Choice Requires="x14">
            <control shapeId="6163" r:id="rId21" name="Check Box 19">
              <controlPr defaultSize="0" autoFill="0" autoLine="0" autoPict="0">
                <anchor moveWithCells="1">
                  <from>
                    <xdr:col>4</xdr:col>
                    <xdr:colOff>104775</xdr:colOff>
                    <xdr:row>27</xdr:row>
                    <xdr:rowOff>0</xdr:rowOff>
                  </from>
                  <to>
                    <xdr:col>5</xdr:col>
                    <xdr:colOff>0</xdr:colOff>
                    <xdr:row>28</xdr:row>
                    <xdr:rowOff>28575</xdr:rowOff>
                  </to>
                </anchor>
              </controlPr>
            </control>
          </mc:Choice>
        </mc:AlternateContent>
        <mc:AlternateContent xmlns:mc="http://schemas.openxmlformats.org/markup-compatibility/2006">
          <mc:Choice Requires="x14">
            <control shapeId="6165" r:id="rId22" name="Check Box 21">
              <controlPr defaultSize="0" autoFill="0" autoLine="0" autoPict="0">
                <anchor moveWithCells="1">
                  <from>
                    <xdr:col>4</xdr:col>
                    <xdr:colOff>104775</xdr:colOff>
                    <xdr:row>1</xdr:row>
                    <xdr:rowOff>676275</xdr:rowOff>
                  </from>
                  <to>
                    <xdr:col>5</xdr:col>
                    <xdr:colOff>0</xdr:colOff>
                    <xdr:row>3</xdr:row>
                    <xdr:rowOff>28575</xdr:rowOff>
                  </to>
                </anchor>
              </controlPr>
            </control>
          </mc:Choice>
        </mc:AlternateContent>
        <mc:AlternateContent xmlns:mc="http://schemas.openxmlformats.org/markup-compatibility/2006">
          <mc:Choice Requires="x14">
            <control shapeId="6166" r:id="rId23" name="Check Box 22">
              <controlPr defaultSize="0" autoFill="0" autoLine="0" autoPict="0">
                <anchor moveWithCells="1">
                  <from>
                    <xdr:col>4</xdr:col>
                    <xdr:colOff>104775</xdr:colOff>
                    <xdr:row>8</xdr:row>
                    <xdr:rowOff>142875</xdr:rowOff>
                  </from>
                  <to>
                    <xdr:col>5</xdr:col>
                    <xdr:colOff>0</xdr:colOff>
                    <xdr:row>10</xdr:row>
                    <xdr:rowOff>28575</xdr:rowOff>
                  </to>
                </anchor>
              </controlPr>
            </control>
          </mc:Choice>
        </mc:AlternateContent>
        <mc:AlternateContent xmlns:mc="http://schemas.openxmlformats.org/markup-compatibility/2006">
          <mc:Choice Requires="x14">
            <control shapeId="6167" r:id="rId24" name="Check Box 23">
              <controlPr defaultSize="0" autoFill="0" autoLine="0" autoPict="0">
                <anchor moveWithCells="1">
                  <from>
                    <xdr:col>4</xdr:col>
                    <xdr:colOff>76200</xdr:colOff>
                    <xdr:row>15</xdr:row>
                    <xdr:rowOff>142875</xdr:rowOff>
                  </from>
                  <to>
                    <xdr:col>5</xdr:col>
                    <xdr:colOff>0</xdr:colOff>
                    <xdr:row>17</xdr:row>
                    <xdr:rowOff>28575</xdr:rowOff>
                  </to>
                </anchor>
              </controlPr>
            </control>
          </mc:Choice>
        </mc:AlternateContent>
        <mc:AlternateContent xmlns:mc="http://schemas.openxmlformats.org/markup-compatibility/2006">
          <mc:Choice Requires="x14">
            <control shapeId="6168" r:id="rId25" name="Check Box 24">
              <controlPr defaultSize="0" autoFill="0" autoLine="0" autoPict="0">
                <anchor moveWithCells="1">
                  <from>
                    <xdr:col>4</xdr:col>
                    <xdr:colOff>104775</xdr:colOff>
                    <xdr:row>18</xdr:row>
                    <xdr:rowOff>142875</xdr:rowOff>
                  </from>
                  <to>
                    <xdr:col>5</xdr:col>
                    <xdr:colOff>0</xdr:colOff>
                    <xdr:row>20</xdr:row>
                    <xdr:rowOff>28575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A8E39-E18D-49DC-8459-862D8D7824BD}">
  <sheetPr codeName="Sheet9">
    <tabColor rgb="FF0070C0"/>
    <pageSetUpPr fitToPage="1"/>
  </sheetPr>
  <dimension ref="B1:N54"/>
  <sheetViews>
    <sheetView showZeros="0" workbookViewId="0">
      <selection activeCell="G24" sqref="G24"/>
    </sheetView>
  </sheetViews>
  <sheetFormatPr defaultRowHeight="12.6" customHeight="1" x14ac:dyDescent="0.25"/>
  <cols>
    <col min="7" max="7" width="15.42578125" customWidth="1"/>
    <col min="9" max="9" width="14" customWidth="1"/>
    <col min="14" max="14" width="10" bestFit="1" customWidth="1"/>
  </cols>
  <sheetData>
    <row r="1" spans="2:14" ht="15" x14ac:dyDescent="0.25">
      <c r="G1" s="372"/>
    </row>
    <row r="2" spans="2:14" ht="15" x14ac:dyDescent="0.25">
      <c r="G2" s="372"/>
    </row>
    <row r="3" spans="2:14" ht="15" x14ac:dyDescent="0.25">
      <c r="B3" s="11" t="s">
        <v>257</v>
      </c>
      <c r="G3" s="372"/>
    </row>
    <row r="4" spans="2:14" ht="15" x14ac:dyDescent="0.25">
      <c r="G4" s="372"/>
    </row>
    <row r="5" spans="2:14" ht="15" x14ac:dyDescent="0.25">
      <c r="C5" s="9" t="s">
        <v>258</v>
      </c>
      <c r="G5" s="372"/>
    </row>
    <row r="6" spans="2:14" ht="26.25" x14ac:dyDescent="0.25">
      <c r="G6" s="372"/>
      <c r="I6" s="24" t="s">
        <v>2560</v>
      </c>
      <c r="K6" s="9" t="s">
        <v>259</v>
      </c>
    </row>
    <row r="7" spans="2:14" ht="15" x14ac:dyDescent="0.25">
      <c r="D7" s="9" t="s">
        <v>1222</v>
      </c>
      <c r="G7" s="372">
        <f ca="1">+Cover!E46</f>
        <v>46096600</v>
      </c>
      <c r="I7" s="338">
        <f ca="1">+G7-$G$11</f>
        <v>240.05812232941389</v>
      </c>
      <c r="N7" s="338">
        <f ca="1">+G7-G8</f>
        <v>240.05812232941389</v>
      </c>
    </row>
    <row r="8" spans="2:14" ht="15" x14ac:dyDescent="0.25">
      <c r="D8" t="s">
        <v>260</v>
      </c>
      <c r="G8" s="372">
        <f ca="1">+Delta!E199</f>
        <v>46096359.941877671</v>
      </c>
      <c r="I8" s="338">
        <f ca="1">+G8-$G$11</f>
        <v>0</v>
      </c>
    </row>
    <row r="9" spans="2:14" ht="15" x14ac:dyDescent="0.25">
      <c r="D9" s="9" t="s">
        <v>261</v>
      </c>
      <c r="G9" s="372">
        <f ca="1">+'PAF Summary'!K26*1000</f>
        <v>46096359.941877656</v>
      </c>
      <c r="I9" s="338">
        <f ca="1">+G9-$G$11</f>
        <v>0</v>
      </c>
    </row>
    <row r="10" spans="2:14" ht="15" x14ac:dyDescent="0.25">
      <c r="D10" s="9" t="s">
        <v>2557</v>
      </c>
      <c r="G10" s="372">
        <f ca="1">+'PAF Summary (Full)'!O28*1000</f>
        <v>46096359.941877656</v>
      </c>
      <c r="I10" s="338">
        <f t="shared" ref="I10" ca="1" si="0">+G10-$G$11</f>
        <v>0</v>
      </c>
    </row>
    <row r="11" spans="2:14" ht="15" x14ac:dyDescent="0.25">
      <c r="D11" t="s">
        <v>1487</v>
      </c>
      <c r="G11" s="372">
        <f ca="1">+'Detail Summary'!AS201</f>
        <v>46096359.941877671</v>
      </c>
      <c r="I11" s="338">
        <f ca="1">+G11-$G$11</f>
        <v>0</v>
      </c>
    </row>
    <row r="12" spans="2:14" ht="15" x14ac:dyDescent="0.25">
      <c r="C12" s="16"/>
      <c r="D12" t="s">
        <v>2561</v>
      </c>
      <c r="G12" s="372">
        <f ca="1">+K12*1000</f>
        <v>46192822.860000007</v>
      </c>
      <c r="I12" s="338">
        <f ca="1">+G12-$G$11</f>
        <v>96462.918122336268</v>
      </c>
      <c r="K12" s="371">
        <f ca="1">'PP4 Estimate and Schedule'!E28</f>
        <v>46192.822860000007</v>
      </c>
    </row>
    <row r="13" spans="2:14" ht="15" x14ac:dyDescent="0.25">
      <c r="D13" s="9" t="s">
        <v>2562</v>
      </c>
      <c r="G13" s="372">
        <f ca="1">+'WBS by year'!AI24</f>
        <v>42674548.012423098</v>
      </c>
      <c r="I13" s="338">
        <f ca="1">+G13-$G$11</f>
        <v>-3421811.9294545725</v>
      </c>
      <c r="L13" t="s">
        <v>2559</v>
      </c>
    </row>
    <row r="14" spans="2:14" ht="15" x14ac:dyDescent="0.25">
      <c r="D14" t="s">
        <v>2563</v>
      </c>
      <c r="G14" s="372">
        <f ca="1">+'WBS by year'!AI50</f>
        <v>46096359.941877671</v>
      </c>
      <c r="I14" s="338">
        <f ca="1">+G14-$G$11</f>
        <v>0</v>
      </c>
    </row>
    <row r="15" spans="2:14" ht="15" x14ac:dyDescent="0.25">
      <c r="D15" t="s">
        <v>1293</v>
      </c>
      <c r="G15" s="372">
        <f ca="1">+'Summary-Scope'!K137</f>
        <v>42745956.341877662</v>
      </c>
      <c r="I15" s="338">
        <f ca="1">+G15-G11</f>
        <v>-3350403.6000000089</v>
      </c>
    </row>
    <row r="16" spans="2:14" ht="15" x14ac:dyDescent="0.25">
      <c r="C16" s="9" t="s">
        <v>1474</v>
      </c>
      <c r="D16" s="9" t="s">
        <v>1222</v>
      </c>
      <c r="G16" s="372">
        <f ca="1">+'Cover (old)'!E32</f>
        <v>46096411.929454565</v>
      </c>
      <c r="I16" s="338">
        <f ca="1">+G16-$G$11</f>
        <v>51.987576894462109</v>
      </c>
    </row>
    <row r="17" spans="3:11" ht="15" x14ac:dyDescent="0.25">
      <c r="C17" s="9" t="s">
        <v>1474</v>
      </c>
      <c r="D17" t="s">
        <v>262</v>
      </c>
      <c r="G17" s="372">
        <f ca="1">+K17*1000</f>
        <v>46096359.941877663</v>
      </c>
      <c r="I17" s="338">
        <f ca="1">+G17-$G$11</f>
        <v>0</v>
      </c>
      <c r="K17" s="371">
        <f ca="1">+'PAF Summary (non WBS)'!O12</f>
        <v>46096.359941877665</v>
      </c>
    </row>
    <row r="18" spans="3:11" ht="15" x14ac:dyDescent="0.25">
      <c r="C18" s="9" t="s">
        <v>1474</v>
      </c>
      <c r="D18" t="s">
        <v>263</v>
      </c>
      <c r="G18" s="372">
        <f ca="1">+K18*1000</f>
        <v>46096359.941877663</v>
      </c>
      <c r="I18" s="338">
        <f ca="1">+G18-$G$11</f>
        <v>0</v>
      </c>
      <c r="K18" s="371">
        <f ca="1">+'PAF Summary (non WBS)'!O28</f>
        <v>46096.359941877665</v>
      </c>
    </row>
    <row r="19" spans="3:11" ht="15" x14ac:dyDescent="0.25">
      <c r="G19" s="372"/>
    </row>
    <row r="20" spans="3:11" ht="15" x14ac:dyDescent="0.25">
      <c r="C20" s="9" t="s">
        <v>264</v>
      </c>
      <c r="G20" s="372"/>
    </row>
    <row r="21" spans="3:11" ht="15" x14ac:dyDescent="0.25">
      <c r="G21" s="372"/>
    </row>
    <row r="22" spans="3:11" ht="15" x14ac:dyDescent="0.25">
      <c r="D22" t="s">
        <v>265</v>
      </c>
      <c r="G22" s="373" t="s">
        <v>266</v>
      </c>
    </row>
    <row r="23" spans="3:11" ht="15" x14ac:dyDescent="0.25">
      <c r="D23" t="s">
        <v>267</v>
      </c>
      <c r="G23" s="374">
        <f>+'OH Constr'!AS261</f>
        <v>0</v>
      </c>
      <c r="I23" s="1392"/>
    </row>
    <row r="24" spans="3:11" ht="15" x14ac:dyDescent="0.25">
      <c r="D24" t="s">
        <v>268</v>
      </c>
      <c r="G24" s="374">
        <f>+'115 kV &amp; 345 kV HPFF'!AS79</f>
        <v>0</v>
      </c>
      <c r="I24" s="1392"/>
    </row>
    <row r="25" spans="3:11" ht="15" x14ac:dyDescent="0.25">
      <c r="D25" t="s">
        <v>269</v>
      </c>
      <c r="G25" s="374">
        <f>+'115 kV Und XLPE'!AS82</f>
        <v>0</v>
      </c>
      <c r="I25" s="1392"/>
    </row>
    <row r="26" spans="3:11" ht="15" x14ac:dyDescent="0.25">
      <c r="D26" t="s">
        <v>270</v>
      </c>
      <c r="G26" s="374">
        <f>+'345 kV Und XLPE'!AS82</f>
        <v>0</v>
      </c>
      <c r="I26" s="1392"/>
    </row>
    <row r="27" spans="3:11" ht="15" x14ac:dyDescent="0.25">
      <c r="D27" t="s">
        <v>271</v>
      </c>
      <c r="G27" s="374">
        <f>+'Substation Const'!AS621</f>
        <v>0</v>
      </c>
      <c r="I27" s="1392"/>
    </row>
    <row r="28" spans="3:11" ht="15" x14ac:dyDescent="0.25">
      <c r="D28" t="s">
        <v>272</v>
      </c>
      <c r="G28" s="374">
        <f ca="1">+Removals!AS153</f>
        <v>0</v>
      </c>
      <c r="I28" s="1392"/>
    </row>
    <row r="29" spans="3:11" ht="15" x14ac:dyDescent="0.25">
      <c r="D29" s="9" t="s">
        <v>2526</v>
      </c>
      <c r="G29" s="374">
        <f>+'Additional  Est Input'!AS153</f>
        <v>21728088.149999999</v>
      </c>
      <c r="I29" s="1392"/>
    </row>
    <row r="30" spans="3:11" ht="15" x14ac:dyDescent="0.25">
      <c r="G30" s="375"/>
    </row>
    <row r="31" spans="3:11" ht="15" x14ac:dyDescent="0.25">
      <c r="G31" s="375"/>
    </row>
    <row r="32" spans="3:11" ht="15" x14ac:dyDescent="0.25">
      <c r="G32" s="375"/>
    </row>
    <row r="33" spans="3:7" ht="15" x14ac:dyDescent="0.25">
      <c r="G33" s="375"/>
    </row>
    <row r="34" spans="3:7" ht="15" x14ac:dyDescent="0.25">
      <c r="G34" s="375"/>
    </row>
    <row r="35" spans="3:7" ht="15" x14ac:dyDescent="0.25">
      <c r="G35" s="375"/>
    </row>
    <row r="36" spans="3:7" ht="15" x14ac:dyDescent="0.25">
      <c r="G36" s="375"/>
    </row>
    <row r="37" spans="3:7" ht="15" x14ac:dyDescent="0.25">
      <c r="G37" s="375"/>
    </row>
    <row r="38" spans="3:7" ht="15" x14ac:dyDescent="0.25">
      <c r="G38" s="375"/>
    </row>
    <row r="39" spans="3:7" ht="15" x14ac:dyDescent="0.25">
      <c r="G39" s="375"/>
    </row>
    <row r="40" spans="3:7" ht="15" x14ac:dyDescent="0.25">
      <c r="D40" t="s">
        <v>273</v>
      </c>
      <c r="G40" s="375">
        <f ca="1">SUM(G23:G39)</f>
        <v>21728088.149999999</v>
      </c>
    </row>
    <row r="41" spans="3:7" ht="15" x14ac:dyDescent="0.25">
      <c r="G41" s="375"/>
    </row>
    <row r="42" spans="3:7" ht="15" x14ac:dyDescent="0.25">
      <c r="D42" t="s">
        <v>274</v>
      </c>
      <c r="G42" s="375">
        <f ca="1">+Escalation!M36+Escalation!M134+Escalation!M228</f>
        <v>21729588.149999999</v>
      </c>
    </row>
    <row r="43" spans="3:7" ht="15" x14ac:dyDescent="0.25">
      <c r="D43" t="s">
        <v>260</v>
      </c>
      <c r="G43" s="375">
        <f ca="1">+G40-G42</f>
        <v>-1500</v>
      </c>
    </row>
    <row r="44" spans="3:7" ht="15" x14ac:dyDescent="0.25">
      <c r="D44" s="9" t="s">
        <v>275</v>
      </c>
      <c r="G44" s="375">
        <f ca="1">+'Detail Summary'!CK12+'Detail Summary'!CK25+'Detail Summary'!CK78+'Detail Summary'!CK79+'Detail Summary'!CK136+'Detail Summary'!CK132</f>
        <v>21731946</v>
      </c>
    </row>
    <row r="45" spans="3:7" ht="15" x14ac:dyDescent="0.25">
      <c r="G45" s="375">
        <f ca="1">+G44-G40</f>
        <v>3857.8500000014901</v>
      </c>
    </row>
    <row r="46" spans="3:7" ht="15" x14ac:dyDescent="0.25">
      <c r="G46" s="372"/>
    </row>
    <row r="47" spans="3:7" ht="15" x14ac:dyDescent="0.25">
      <c r="C47" s="9" t="s">
        <v>276</v>
      </c>
      <c r="G47" s="372"/>
    </row>
    <row r="48" spans="3:7" ht="15" x14ac:dyDescent="0.25">
      <c r="G48" s="372"/>
    </row>
    <row r="49" spans="4:7" ht="15" x14ac:dyDescent="0.25">
      <c r="D49" s="9" t="s">
        <v>277</v>
      </c>
      <c r="G49" s="372">
        <f ca="1">+'Detail Summary'!CK201</f>
        <v>42674548.012423091</v>
      </c>
    </row>
    <row r="50" spans="4:7" ht="15" x14ac:dyDescent="0.25">
      <c r="D50" s="9" t="s">
        <v>278</v>
      </c>
      <c r="G50" s="372">
        <f ca="1">+'Detail Summary'!EA201</f>
        <v>3421811.9294545678</v>
      </c>
    </row>
    <row r="51" spans="4:7" ht="15" x14ac:dyDescent="0.25">
      <c r="G51" s="372">
        <f ca="1">+G49+G50</f>
        <v>46096359.941877656</v>
      </c>
    </row>
    <row r="52" spans="4:7" ht="15" x14ac:dyDescent="0.25">
      <c r="G52" s="372"/>
    </row>
    <row r="53" spans="4:7" ht="15" x14ac:dyDescent="0.25">
      <c r="D53" s="9" t="s">
        <v>279</v>
      </c>
      <c r="G53" s="372">
        <f ca="1">+'Detail Summary'!AS201</f>
        <v>46096359.941877671</v>
      </c>
    </row>
    <row r="54" spans="4:7" ht="15" x14ac:dyDescent="0.25">
      <c r="D54" s="9" t="s">
        <v>260</v>
      </c>
      <c r="G54" s="372">
        <f ca="1">+G53-G51</f>
        <v>0</v>
      </c>
    </row>
  </sheetData>
  <sheetProtection algorithmName="SHA-512" hashValue="ulKcgRVE2AFM5Q2DoYyobenzTmrbd3ZhLX1CrUWLsT2dw0aa4f7jQKtwNP6rx77ZecvJDbnE3nhkVmhhNbG/Jg==" saltValue="aYYmVrttGYMVP70gIKsxTg==" spinCount="100000" sheet="1" scenarios="1" formatCells="0" formatColumns="0" formatRows="0" autoFilter="0"/>
  <conditionalFormatting sqref="I7:I18">
    <cfRule type="expression" dxfId="221" priority="38">
      <formula>$I$8&lt;&gt;0</formula>
    </cfRule>
  </conditionalFormatting>
  <pageMargins left="0.7" right="0.7" top="0.75" bottom="0.75" header="0.3" footer="0.3"/>
  <pageSetup fitToHeight="0"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6956D-FAFD-4517-A846-B4D0A0395349}">
  <sheetPr codeName="Sheet13">
    <tabColor rgb="FF0070C0"/>
    <pageSetUpPr fitToPage="1"/>
  </sheetPr>
  <dimension ref="A1:J48"/>
  <sheetViews>
    <sheetView showZeros="0" topLeftCell="A19" zoomScale="90" zoomScaleNormal="90" workbookViewId="0">
      <selection activeCell="N38" sqref="N38"/>
    </sheetView>
  </sheetViews>
  <sheetFormatPr defaultColWidth="9.42578125" defaultRowHeight="14.25" x14ac:dyDescent="0.2"/>
  <cols>
    <col min="1" max="1" width="3.42578125" style="1049" customWidth="1"/>
    <col min="2" max="2" width="31.42578125" style="1049" customWidth="1"/>
    <col min="3" max="4" width="18.5703125" style="1049" customWidth="1"/>
    <col min="5" max="5" width="20.42578125" style="1049" customWidth="1"/>
    <col min="6" max="6" width="20.5703125" style="1049" customWidth="1"/>
    <col min="7" max="10" width="18.5703125" style="1049" customWidth="1"/>
    <col min="11" max="16384" width="9.42578125" style="1049"/>
  </cols>
  <sheetData>
    <row r="1" spans="1:10" s="1044" customFormat="1" ht="57.75" customHeight="1" x14ac:dyDescent="0.25">
      <c r="A1" s="2852" t="s">
        <v>396</v>
      </c>
      <c r="B1" s="2852"/>
      <c r="C1" s="2852"/>
      <c r="D1" s="2852"/>
      <c r="E1" s="2852"/>
      <c r="F1" s="2852"/>
      <c r="G1" s="2852"/>
      <c r="H1" s="2852"/>
      <c r="I1" s="2852"/>
      <c r="J1" s="2852"/>
    </row>
    <row r="3" spans="1:10" s="1046" customFormat="1" ht="21.75" customHeight="1" x14ac:dyDescent="0.25">
      <c r="A3" s="2853" t="s">
        <v>397</v>
      </c>
      <c r="B3" s="2853"/>
      <c r="C3" s="2854" t="s">
        <v>1210</v>
      </c>
      <c r="D3" s="2854"/>
      <c r="E3" s="2854"/>
      <c r="F3" s="1441"/>
      <c r="G3" s="2855" t="s">
        <v>2518</v>
      </c>
      <c r="H3" s="2855"/>
      <c r="I3" s="2855"/>
      <c r="J3" s="1045"/>
    </row>
    <row r="4" spans="1:10" s="1046" customFormat="1" ht="21.75" customHeight="1" x14ac:dyDescent="0.25">
      <c r="A4" s="2853" t="s">
        <v>398</v>
      </c>
      <c r="B4" s="2853"/>
      <c r="C4" s="2856" t="str">
        <f>+'Data Input sheet'!C7</f>
        <v>Battery Storage - Hyde Park</v>
      </c>
      <c r="D4" s="2854"/>
      <c r="E4" s="2854"/>
      <c r="F4" s="1441"/>
      <c r="G4" s="2857" t="str">
        <f>'Data Input sheet'!B10&amp;TEXT('Data Input sheet'!C10,"mm/dd/yyy")</f>
        <v>In Service date (ISD):12/23/2028</v>
      </c>
      <c r="H4" s="2855"/>
      <c r="I4" s="2855"/>
      <c r="J4" s="1045"/>
    </row>
    <row r="5" spans="1:10" s="1046" customFormat="1" ht="21.75" customHeight="1" x14ac:dyDescent="0.25">
      <c r="A5" s="2858" t="s">
        <v>399</v>
      </c>
      <c r="B5" s="2858"/>
      <c r="C5" s="2859" t="str">
        <f>RIGHT('Data Input sheet'!B15, LEN('Data Input sheet'!B15)-14)</f>
        <v xml:space="preserve"> Conceptual</v>
      </c>
      <c r="D5" s="2859"/>
      <c r="E5" s="2859"/>
      <c r="F5" s="1047"/>
      <c r="G5" s="1047"/>
      <c r="H5" s="1047"/>
      <c r="I5" s="1047"/>
      <c r="J5" s="1047"/>
    </row>
    <row r="6" spans="1:10" ht="20.25" x14ac:dyDescent="0.3">
      <c r="A6" s="1048" t="s">
        <v>400</v>
      </c>
    </row>
    <row r="7" spans="1:10" ht="18" x14ac:dyDescent="0.25">
      <c r="A7" s="1050"/>
    </row>
    <row r="8" spans="1:10" ht="18" x14ac:dyDescent="0.25">
      <c r="A8" s="1050"/>
      <c r="B8" s="2860"/>
      <c r="C8" s="2860"/>
      <c r="D8" s="2860"/>
      <c r="E8" s="2860"/>
      <c r="F8" s="2860"/>
      <c r="G8" s="2860"/>
      <c r="H8" s="2860"/>
      <c r="I8" s="2860"/>
    </row>
    <row r="9" spans="1:10" ht="18" x14ac:dyDescent="0.25">
      <c r="A9" s="1050"/>
      <c r="B9" s="2860"/>
      <c r="C9" s="2860"/>
      <c r="D9" s="2860"/>
      <c r="E9" s="2860"/>
      <c r="F9" s="2860"/>
      <c r="G9" s="2860"/>
      <c r="H9" s="2860"/>
      <c r="I9" s="2860"/>
    </row>
    <row r="10" spans="1:10" ht="18" x14ac:dyDescent="0.25">
      <c r="A10" s="1050"/>
      <c r="B10" s="2860"/>
      <c r="C10" s="2860"/>
      <c r="D10" s="2860"/>
      <c r="E10" s="2860"/>
      <c r="F10" s="2860"/>
      <c r="G10" s="2860"/>
      <c r="H10" s="2860"/>
      <c r="I10" s="2860"/>
    </row>
    <row r="11" spans="1:10" ht="18" x14ac:dyDescent="0.25">
      <c r="A11" s="1050"/>
      <c r="B11" s="2860"/>
      <c r="C11" s="2860"/>
      <c r="D11" s="2860"/>
      <c r="E11" s="2860"/>
      <c r="F11" s="2860"/>
      <c r="G11" s="2860"/>
      <c r="H11" s="2860"/>
      <c r="I11" s="2860"/>
    </row>
    <row r="12" spans="1:10" ht="18" x14ac:dyDescent="0.25">
      <c r="A12" s="1050"/>
      <c r="B12" s="2860"/>
      <c r="C12" s="2860"/>
      <c r="D12" s="2860"/>
      <c r="E12" s="2860"/>
      <c r="F12" s="2860"/>
      <c r="G12" s="2860"/>
      <c r="H12" s="2860"/>
      <c r="I12" s="2860"/>
    </row>
    <row r="13" spans="1:10" ht="18" x14ac:dyDescent="0.25">
      <c r="A13" s="1050"/>
      <c r="B13" s="2860"/>
      <c r="C13" s="2860"/>
      <c r="D13" s="2860"/>
      <c r="E13" s="2860"/>
      <c r="F13" s="2860"/>
      <c r="G13" s="2860"/>
      <c r="H13" s="2860"/>
      <c r="I13" s="2860"/>
    </row>
    <row r="14" spans="1:10" ht="18" x14ac:dyDescent="0.25">
      <c r="A14" s="1050"/>
      <c r="B14" s="2860"/>
      <c r="C14" s="2860"/>
      <c r="D14" s="2860"/>
      <c r="E14" s="2860"/>
      <c r="F14" s="2860"/>
      <c r="G14" s="2860"/>
      <c r="H14" s="2860"/>
      <c r="I14" s="2860"/>
    </row>
    <row r="15" spans="1:10" x14ac:dyDescent="0.2">
      <c r="A15" s="1051"/>
      <c r="B15" s="1051"/>
      <c r="C15" s="1051"/>
      <c r="D15" s="1051"/>
      <c r="E15" s="1051"/>
      <c r="F15" s="1051"/>
      <c r="G15" s="1051"/>
      <c r="H15" s="1051"/>
      <c r="I15" s="1051"/>
      <c r="J15" s="1051"/>
    </row>
    <row r="16" spans="1:10" ht="20.25" x14ac:dyDescent="0.3">
      <c r="A16" s="1048" t="s">
        <v>401</v>
      </c>
    </row>
    <row r="17" spans="1:5" s="1053" customFormat="1" ht="29.25" customHeight="1" x14ac:dyDescent="0.3">
      <c r="A17" s="1052" t="s">
        <v>402</v>
      </c>
    </row>
    <row r="18" spans="1:5" ht="15" thickBot="1" x14ac:dyDescent="0.25"/>
    <row r="19" spans="1:5" ht="30" customHeight="1" thickBot="1" x14ac:dyDescent="0.25">
      <c r="B19" s="2861" t="s">
        <v>403</v>
      </c>
      <c r="C19" s="2862"/>
      <c r="D19" s="2862"/>
      <c r="E19" s="2863"/>
    </row>
    <row r="20" spans="1:5" ht="30" customHeight="1" thickBot="1" x14ac:dyDescent="0.25">
      <c r="B20" s="1054"/>
      <c r="C20" s="1055" t="s">
        <v>404</v>
      </c>
      <c r="D20" s="1056" t="s">
        <v>405</v>
      </c>
      <c r="E20" s="1054" t="s">
        <v>216</v>
      </c>
    </row>
    <row r="21" spans="1:5" ht="38.25" customHeight="1" x14ac:dyDescent="0.2">
      <c r="B21" s="1057" t="s">
        <v>38</v>
      </c>
      <c r="C21" s="589">
        <f ca="1">C45</f>
        <v>20462.829593060036</v>
      </c>
      <c r="D21" s="590"/>
      <c r="E21" s="591">
        <f ca="1">C21+D21</f>
        <v>20462.829593060036</v>
      </c>
    </row>
    <row r="22" spans="1:5" ht="38.25" customHeight="1" x14ac:dyDescent="0.2">
      <c r="B22" s="1058" t="s">
        <v>406</v>
      </c>
      <c r="C22" s="592">
        <f ca="1">D45</f>
        <v>9029.985873301157</v>
      </c>
      <c r="D22" s="593"/>
      <c r="E22" s="591">
        <f t="shared" ref="E22:E27" ca="1" si="0">C22+D22</f>
        <v>9029.985873301157</v>
      </c>
    </row>
    <row r="23" spans="1:5" ht="38.25" customHeight="1" x14ac:dyDescent="0.2">
      <c r="B23" s="1058" t="s">
        <v>407</v>
      </c>
      <c r="C23" s="592">
        <f ca="1">E45</f>
        <v>0</v>
      </c>
      <c r="D23" s="593"/>
      <c r="E23" s="591">
        <f t="shared" ca="1" si="0"/>
        <v>0</v>
      </c>
    </row>
    <row r="24" spans="1:5" ht="38.25" customHeight="1" x14ac:dyDescent="0.2">
      <c r="B24" s="1059" t="s">
        <v>408</v>
      </c>
      <c r="C24" s="592">
        <f ca="1">F45</f>
        <v>4653.9073936388068</v>
      </c>
      <c r="D24" s="593"/>
      <c r="E24" s="591">
        <f t="shared" ca="1" si="0"/>
        <v>4653.9073936388068</v>
      </c>
    </row>
    <row r="25" spans="1:5" ht="38.25" customHeight="1" x14ac:dyDescent="0.2">
      <c r="B25" s="1058" t="s">
        <v>99</v>
      </c>
      <c r="C25" s="592">
        <f ca="1">G45</f>
        <v>3421.8</v>
      </c>
      <c r="D25" s="593"/>
      <c r="E25" s="591">
        <f t="shared" ca="1" si="0"/>
        <v>3421.8</v>
      </c>
    </row>
    <row r="26" spans="1:5" ht="38.25" customHeight="1" x14ac:dyDescent="0.2">
      <c r="B26" s="1058" t="s">
        <v>45</v>
      </c>
      <c r="C26" s="592">
        <f ca="1">H45</f>
        <v>2832.5</v>
      </c>
      <c r="D26" s="593"/>
      <c r="E26" s="591">
        <f t="shared" ca="1" si="0"/>
        <v>2832.5</v>
      </c>
    </row>
    <row r="27" spans="1:5" ht="38.25" customHeight="1" thickBot="1" x14ac:dyDescent="0.25">
      <c r="B27" s="1060" t="s">
        <v>310</v>
      </c>
      <c r="C27" s="594">
        <f ca="1">I45</f>
        <v>5791.8</v>
      </c>
      <c r="D27" s="595"/>
      <c r="E27" s="591">
        <f t="shared" ca="1" si="0"/>
        <v>5791.8</v>
      </c>
    </row>
    <row r="28" spans="1:5" ht="38.25" customHeight="1" thickBot="1" x14ac:dyDescent="0.25">
      <c r="B28" s="1061" t="s">
        <v>409</v>
      </c>
      <c r="C28" s="596">
        <f ca="1">SUM(C21:C27)</f>
        <v>46192.822860000007</v>
      </c>
      <c r="D28" s="597">
        <f>SUM(D21:D27)</f>
        <v>0</v>
      </c>
      <c r="E28" s="598">
        <f ca="1">SUM(E21:E27)</f>
        <v>46192.822860000007</v>
      </c>
    </row>
    <row r="34" spans="1:10" ht="28.5" customHeight="1" thickBot="1" x14ac:dyDescent="0.25">
      <c r="B34" s="2864" t="s">
        <v>410</v>
      </c>
      <c r="C34" s="2865"/>
      <c r="D34" s="2865"/>
      <c r="E34" s="2865"/>
      <c r="F34" s="2865"/>
      <c r="G34" s="2865"/>
      <c r="H34" s="2865"/>
      <c r="I34" s="2865"/>
      <c r="J34" s="2865"/>
    </row>
    <row r="35" spans="1:10" s="1044" customFormat="1" ht="55.5" customHeight="1" thickBot="1" x14ac:dyDescent="0.3">
      <c r="B35" s="1062"/>
      <c r="C35" s="1063" t="s">
        <v>38</v>
      </c>
      <c r="D35" s="1064" t="s">
        <v>411</v>
      </c>
      <c r="E35" s="1064" t="s">
        <v>407</v>
      </c>
      <c r="F35" s="1064" t="s">
        <v>412</v>
      </c>
      <c r="G35" s="1064" t="s">
        <v>99</v>
      </c>
      <c r="H35" s="1064" t="s">
        <v>45</v>
      </c>
      <c r="I35" s="1065" t="s">
        <v>310</v>
      </c>
      <c r="J35" s="1066" t="s">
        <v>216</v>
      </c>
    </row>
    <row r="36" spans="1:10" s="1044" customFormat="1" ht="28.5" customHeight="1" x14ac:dyDescent="0.25">
      <c r="B36" s="1067"/>
      <c r="C36" s="599">
        <f ca="1">'PP4 Est Backup'!B10</f>
        <v>20462.829593060036</v>
      </c>
      <c r="D36" s="600">
        <f ca="1">'PP4 Est Backup'!C10</f>
        <v>9029.985873301157</v>
      </c>
      <c r="E36" s="600">
        <f ca="1">'PP4 Est Backup'!D10</f>
        <v>0</v>
      </c>
      <c r="F36" s="600">
        <f ca="1">'PP4 Est Backup'!E10</f>
        <v>4653.9073936388068</v>
      </c>
      <c r="G36" s="600">
        <f ca="1">'PP4 Est Backup'!F10</f>
        <v>3421.8</v>
      </c>
      <c r="H36" s="600">
        <f ca="1">'PP4 Est Backup'!G10</f>
        <v>2832.5</v>
      </c>
      <c r="I36" s="600">
        <f ca="1">'PP4 Est Backup'!H10</f>
        <v>5791.8</v>
      </c>
      <c r="J36" s="601">
        <f ca="1">SUM(C36:I36)</f>
        <v>46192.822860000007</v>
      </c>
    </row>
    <row r="37" spans="1:10" s="1044" customFormat="1" ht="28.5" customHeight="1" x14ac:dyDescent="0.25">
      <c r="B37" s="1058"/>
      <c r="C37" s="602"/>
      <c r="D37" s="603"/>
      <c r="E37" s="603"/>
      <c r="F37" s="603"/>
      <c r="G37" s="603"/>
      <c r="H37" s="603"/>
      <c r="I37" s="604"/>
      <c r="J37" s="605"/>
    </row>
    <row r="38" spans="1:10" s="1044" customFormat="1" ht="28.5" customHeight="1" x14ac:dyDescent="0.25">
      <c r="B38" s="1058"/>
      <c r="C38" s="602"/>
      <c r="D38" s="603"/>
      <c r="E38" s="603"/>
      <c r="F38" s="603"/>
      <c r="G38" s="603"/>
      <c r="H38" s="603"/>
      <c r="I38" s="604"/>
      <c r="J38" s="605"/>
    </row>
    <row r="39" spans="1:10" s="1044" customFormat="1" ht="28.5" customHeight="1" x14ac:dyDescent="0.25">
      <c r="B39" s="1058"/>
      <c r="C39" s="602"/>
      <c r="D39" s="603"/>
      <c r="E39" s="603"/>
      <c r="F39" s="603"/>
      <c r="G39" s="603"/>
      <c r="H39" s="603"/>
      <c r="I39" s="604"/>
      <c r="J39" s="605"/>
    </row>
    <row r="40" spans="1:10" s="1044" customFormat="1" ht="28.5" customHeight="1" x14ac:dyDescent="0.25">
      <c r="B40" s="1058"/>
      <c r="C40" s="602"/>
      <c r="D40" s="603"/>
      <c r="E40" s="603"/>
      <c r="F40" s="603"/>
      <c r="G40" s="603"/>
      <c r="H40" s="603"/>
      <c r="I40" s="604"/>
      <c r="J40" s="605"/>
    </row>
    <row r="41" spans="1:10" s="1044" customFormat="1" ht="28.5" customHeight="1" x14ac:dyDescent="0.25">
      <c r="B41" s="1058"/>
      <c r="C41" s="602"/>
      <c r="D41" s="603"/>
      <c r="E41" s="603"/>
      <c r="F41" s="603"/>
      <c r="G41" s="603"/>
      <c r="H41" s="603"/>
      <c r="I41" s="604"/>
      <c r="J41" s="605"/>
    </row>
    <row r="42" spans="1:10" s="1044" customFormat="1" ht="28.5" customHeight="1" x14ac:dyDescent="0.25">
      <c r="B42" s="1058"/>
      <c r="C42" s="602"/>
      <c r="D42" s="603"/>
      <c r="E42" s="603"/>
      <c r="F42" s="603"/>
      <c r="G42" s="603"/>
      <c r="H42" s="603"/>
      <c r="I42" s="604"/>
      <c r="J42" s="605"/>
    </row>
    <row r="43" spans="1:10" s="1044" customFormat="1" ht="28.5" customHeight="1" x14ac:dyDescent="0.25">
      <c r="B43" s="1058"/>
      <c r="C43" s="602"/>
      <c r="D43" s="603"/>
      <c r="E43" s="603"/>
      <c r="F43" s="603"/>
      <c r="G43" s="603"/>
      <c r="H43" s="603"/>
      <c r="I43" s="604"/>
      <c r="J43" s="605"/>
    </row>
    <row r="44" spans="1:10" s="1044" customFormat="1" ht="28.5" customHeight="1" thickBot="1" x14ac:dyDescent="0.3">
      <c r="B44" s="1058"/>
      <c r="C44" s="606"/>
      <c r="D44" s="607"/>
      <c r="E44" s="607"/>
      <c r="F44" s="607"/>
      <c r="G44" s="607"/>
      <c r="H44" s="607"/>
      <c r="I44" s="608"/>
      <c r="J44" s="609"/>
    </row>
    <row r="45" spans="1:10" s="1068" customFormat="1" ht="28.5" customHeight="1" thickBot="1" x14ac:dyDescent="0.3">
      <c r="B45" s="1069" t="s">
        <v>216</v>
      </c>
      <c r="C45" s="610">
        <f t="shared" ref="C45:J45" ca="1" si="1">SUM(C36:C44)</f>
        <v>20462.829593060036</v>
      </c>
      <c r="D45" s="611">
        <f t="shared" ca="1" si="1"/>
        <v>9029.985873301157</v>
      </c>
      <c r="E45" s="611">
        <f t="shared" ca="1" si="1"/>
        <v>0</v>
      </c>
      <c r="F45" s="611">
        <f t="shared" ca="1" si="1"/>
        <v>4653.9073936388068</v>
      </c>
      <c r="G45" s="611">
        <f t="shared" ca="1" si="1"/>
        <v>3421.8</v>
      </c>
      <c r="H45" s="611">
        <f t="shared" ca="1" si="1"/>
        <v>2832.5</v>
      </c>
      <c r="I45" s="612">
        <f t="shared" ca="1" si="1"/>
        <v>5791.8</v>
      </c>
      <c r="J45" s="613">
        <f t="shared" ca="1" si="1"/>
        <v>46192.822860000007</v>
      </c>
    </row>
    <row r="46" spans="1:10" s="1070" customFormat="1" ht="21" customHeight="1" x14ac:dyDescent="0.25">
      <c r="B46" s="1070" t="s">
        <v>413</v>
      </c>
      <c r="C46" s="614"/>
      <c r="D46" s="614"/>
      <c r="E46" s="614"/>
      <c r="F46" s="614"/>
      <c r="G46" s="614"/>
      <c r="H46" s="614"/>
      <c r="I46" s="614"/>
      <c r="J46" s="614"/>
    </row>
    <row r="47" spans="1:10" x14ac:dyDescent="0.2">
      <c r="A47" s="1051"/>
      <c r="B47" s="1051"/>
      <c r="C47" s="1051"/>
      <c r="D47" s="1051"/>
      <c r="E47" s="1051"/>
      <c r="F47" s="1051"/>
      <c r="G47" s="1051"/>
      <c r="H47" s="1051"/>
      <c r="I47" s="1051"/>
      <c r="J47" s="1051"/>
    </row>
    <row r="48" spans="1:10" ht="20.25" x14ac:dyDescent="0.3">
      <c r="A48" s="1048" t="s">
        <v>414</v>
      </c>
    </row>
  </sheetData>
  <sheetProtection algorithmName="SHA-512" hashValue="EFfCNQlaQmFrkTn3AVIIwji12Koi96oYMYmSut1Vlmkz7V2F/JCOOua+gFP8yhtpPC6NjI+hhe9FYxyr4JVoaQ==" saltValue="4/BrZdekqrDW/fPsKQjzNg==" spinCount="100000" sheet="1" scenarios="1" formatCells="0" formatColumns="0" formatRows="0" autoFilter="0"/>
  <mergeCells count="12">
    <mergeCell ref="A5:B5"/>
    <mergeCell ref="C5:E5"/>
    <mergeCell ref="B8:I14"/>
    <mergeCell ref="B19:E19"/>
    <mergeCell ref="B34:J34"/>
    <mergeCell ref="A1:J1"/>
    <mergeCell ref="A3:B3"/>
    <mergeCell ref="C3:E3"/>
    <mergeCell ref="G3:I3"/>
    <mergeCell ref="A4:B4"/>
    <mergeCell ref="C4:E4"/>
    <mergeCell ref="G4:I4"/>
  </mergeCells>
  <pageMargins left="0.36" right="0.25" top="0.56000000000000005" bottom="0.75" header="0.3" footer="0.3"/>
  <pageSetup scale="43" orientation="portrait"/>
  <colBreaks count="1" manualBreakCount="1">
    <brk id="10" max="1048575" man="1"/>
  </colBreaks>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0E7E5-BDA5-4F85-9AD4-7C713668535F}">
  <sheetPr codeName="Sheet12">
    <tabColor rgb="FF0070C0"/>
    <pageSetUpPr fitToPage="1"/>
  </sheetPr>
  <dimension ref="B1:AI53"/>
  <sheetViews>
    <sheetView showZeros="0" topLeftCell="D10" workbookViewId="0"/>
  </sheetViews>
  <sheetFormatPr defaultRowHeight="12.6" customHeight="1" x14ac:dyDescent="0.25"/>
  <cols>
    <col min="2" max="2" width="5.42578125" customWidth="1"/>
    <col min="3" max="3" width="29" customWidth="1"/>
    <col min="4" max="4" width="13.5703125" customWidth="1"/>
    <col min="5" max="6" width="1.42578125" customWidth="1"/>
    <col min="7" max="7" width="13.5703125" customWidth="1"/>
    <col min="8" max="9" width="1.42578125" customWidth="1"/>
    <col min="10" max="10" width="13.5703125" customWidth="1"/>
    <col min="11" max="12" width="1.42578125" customWidth="1"/>
    <col min="13" max="13" width="13.5703125" customWidth="1"/>
    <col min="14" max="15" width="1.42578125" customWidth="1"/>
    <col min="16" max="16" width="13.5703125" customWidth="1"/>
    <col min="17" max="18" width="1.42578125" customWidth="1"/>
    <col min="19" max="19" width="13.5703125" customWidth="1"/>
    <col min="20" max="21" width="1.42578125" customWidth="1"/>
    <col min="22" max="22" width="13.5703125" customWidth="1"/>
    <col min="23" max="24" width="1.5703125" customWidth="1"/>
    <col min="25" max="25" width="13.5703125" customWidth="1"/>
    <col min="26" max="27" width="1.5703125" customWidth="1"/>
    <col min="28" max="28" width="13.5703125" customWidth="1"/>
    <col min="29" max="30" width="1.5703125" customWidth="1"/>
    <col min="31" max="31" width="13.5703125" customWidth="1"/>
    <col min="32" max="33" width="1.5703125" customWidth="1"/>
    <col min="34" max="35" width="13.5703125" customWidth="1"/>
    <col min="37" max="37" width="8.5703125" customWidth="1"/>
    <col min="39" max="39" width="8.5703125" customWidth="1"/>
  </cols>
  <sheetData>
    <row r="1" spans="2:35" ht="15" x14ac:dyDescent="0.25">
      <c r="B1" s="11" t="s">
        <v>211</v>
      </c>
    </row>
    <row r="3" spans="2:35" ht="15.75" thickBot="1" x14ac:dyDescent="0.3">
      <c r="B3" s="11" t="s">
        <v>212</v>
      </c>
      <c r="C3" s="11" t="s">
        <v>213</v>
      </c>
    </row>
    <row r="4" spans="2:35" ht="16.5" thickBot="1" x14ac:dyDescent="0.3">
      <c r="B4" s="316" t="s">
        <v>90</v>
      </c>
      <c r="C4" s="316" t="s">
        <v>214</v>
      </c>
      <c r="D4" s="317">
        <f>'Data Input sheet'!G7</f>
        <v>0</v>
      </c>
      <c r="E4" s="318"/>
      <c r="F4" s="318"/>
      <c r="G4" s="319"/>
      <c r="H4" s="318"/>
      <c r="I4" s="318"/>
      <c r="J4" s="320"/>
      <c r="K4" s="320"/>
      <c r="L4" s="320"/>
      <c r="M4" s="321"/>
      <c r="N4" s="321"/>
      <c r="O4" s="321"/>
      <c r="P4" s="322"/>
      <c r="Q4" s="322"/>
      <c r="R4" s="322"/>
      <c r="S4" s="323">
        <f>'Data Input sheet'!G4</f>
        <v>0</v>
      </c>
      <c r="T4" s="318"/>
      <c r="U4" s="318"/>
      <c r="V4" s="318"/>
      <c r="W4" s="318"/>
      <c r="X4" s="318"/>
      <c r="Y4" s="318"/>
      <c r="Z4" s="318"/>
      <c r="AA4" s="318"/>
      <c r="AB4" s="318"/>
      <c r="AC4" s="318"/>
      <c r="AD4" s="318"/>
      <c r="AE4" s="318"/>
      <c r="AF4" s="318"/>
      <c r="AG4" s="318"/>
      <c r="AH4" s="318"/>
      <c r="AI4" s="324"/>
    </row>
    <row r="5" spans="2:35" ht="15" x14ac:dyDescent="0.25">
      <c r="B5" s="325"/>
      <c r="C5" s="325"/>
      <c r="D5" s="326" t="s">
        <v>215</v>
      </c>
      <c r="E5" s="326"/>
      <c r="F5" s="326"/>
      <c r="G5" s="1841">
        <f>'Data Input sheet'!D100</f>
        <v>45292</v>
      </c>
      <c r="H5" s="1841"/>
      <c r="I5" s="1841"/>
      <c r="J5" s="1841">
        <f>'Data Input sheet'!G100</f>
        <v>45658</v>
      </c>
      <c r="K5" s="1841"/>
      <c r="L5" s="1841"/>
      <c r="M5" s="1841">
        <f>'Data Input sheet'!J100</f>
        <v>46023</v>
      </c>
      <c r="N5" s="1841"/>
      <c r="O5" s="1841"/>
      <c r="P5" s="1841">
        <f>'Data Input sheet'!M100</f>
        <v>46388</v>
      </c>
      <c r="Q5" s="1841"/>
      <c r="R5" s="1841"/>
      <c r="S5" s="1841">
        <f>'Data Input sheet'!P100</f>
        <v>46753</v>
      </c>
      <c r="T5" s="1841"/>
      <c r="U5" s="1841"/>
      <c r="V5" s="1841">
        <f>'Data Input sheet'!S100</f>
        <v>47119</v>
      </c>
      <c r="W5" s="2368"/>
      <c r="X5" s="2368"/>
      <c r="Y5" s="1841">
        <f>'Data Input sheet'!V100</f>
        <v>47484</v>
      </c>
      <c r="Z5" s="2368"/>
      <c r="AA5" s="2368"/>
      <c r="AB5" s="1841">
        <f>'Data Input sheet'!Y100</f>
        <v>47849</v>
      </c>
      <c r="AC5" s="2368"/>
      <c r="AD5" s="2368"/>
      <c r="AE5" s="1841">
        <f>'Data Input sheet'!AB100</f>
        <v>48214</v>
      </c>
      <c r="AF5" s="2368"/>
      <c r="AG5" s="2368"/>
      <c r="AH5" s="1841">
        <f>'Data Input sheet'!AE100</f>
        <v>48580</v>
      </c>
      <c r="AI5" s="327" t="s">
        <v>216</v>
      </c>
    </row>
    <row r="6" spans="2:35" ht="15" x14ac:dyDescent="0.25">
      <c r="B6" s="328">
        <f>+'Detail Summary'!E217</f>
        <v>1</v>
      </c>
      <c r="C6" s="328" t="str">
        <f>+'Detail Summary'!G217</f>
        <v>ROW / Easements / Land purchases</v>
      </c>
      <c r="D6" s="329">
        <f ca="1">SUMIF($B$6:$B$23,$B6,'Detail Summary'!BD$217:BD$233)</f>
        <v>0</v>
      </c>
      <c r="E6" s="329"/>
      <c r="F6" s="329"/>
      <c r="G6" s="329">
        <f ca="1">SUMIF($B$6:$B$23,$B6,'Detail Summary'!BG$217:BG$233)</f>
        <v>0</v>
      </c>
      <c r="H6" s="329"/>
      <c r="I6" s="329"/>
      <c r="J6" s="329">
        <f ca="1">SUMIF($B$6:$B$23,$B6,'Detail Summary'!BJ$217:BJ$233)</f>
        <v>0</v>
      </c>
      <c r="K6" s="329"/>
      <c r="L6" s="329"/>
      <c r="M6" s="329">
        <f ca="1">SUMIF($B$6:$B$23,$B6,'Detail Summary'!BM$217:BM$233)</f>
        <v>0</v>
      </c>
      <c r="N6" s="329"/>
      <c r="O6" s="329"/>
      <c r="P6" s="329">
        <f ca="1">SUMIF($B$6:$B$23,$B6,'Detail Summary'!BP$217:BP$233)</f>
        <v>0</v>
      </c>
      <c r="Q6" s="329"/>
      <c r="R6" s="329"/>
      <c r="S6" s="329">
        <f ca="1">SUMIF($B$6:$B$23,$B6,'Detail Summary'!BS$217:BS$233)</f>
        <v>0</v>
      </c>
      <c r="T6" s="329"/>
      <c r="U6" s="329"/>
      <c r="V6" s="329">
        <f ca="1">SUMIF($B$6:$B$23,$B6,'Detail Summary'!BV$217:BV$233)</f>
        <v>0</v>
      </c>
      <c r="W6" s="2369"/>
      <c r="X6" s="2369"/>
      <c r="Y6" s="329">
        <f ca="1">SUMIF($B$6:$B$23,$B6,'Detail Summary'!BY$217:BY$233)</f>
        <v>0</v>
      </c>
      <c r="Z6" s="2369"/>
      <c r="AA6" s="2369"/>
      <c r="AB6" s="329">
        <f ca="1">SUMIF($B$6:$B$23,$B6,'Detail Summary'!CB$217:CB$233)</f>
        <v>0</v>
      </c>
      <c r="AC6" s="2369"/>
      <c r="AD6" s="2369"/>
      <c r="AE6" s="329">
        <f ca="1">SUMIF($B$6:$B$23,$B6,'Detail Summary'!CE$217:CE$233)</f>
        <v>0</v>
      </c>
      <c r="AF6" s="2369"/>
      <c r="AG6" s="2369"/>
      <c r="AH6" s="329">
        <f ca="1">SUMIF($B$6:$B$23,$B6,'Detail Summary'!CH$217:CH$233)</f>
        <v>0</v>
      </c>
      <c r="AI6" s="330">
        <f ca="1">SUM(D6:AH6)</f>
        <v>0</v>
      </c>
    </row>
    <row r="7" spans="2:35" ht="15" x14ac:dyDescent="0.25">
      <c r="B7" s="328">
        <f>+'Detail Summary'!E218</f>
        <v>2</v>
      </c>
      <c r="C7" s="328" t="str">
        <f>+'Detail Summary'!G218</f>
        <v>Environmental Approvals / Permits</v>
      </c>
      <c r="D7" s="329">
        <f ca="1">SUMIF($B$6:$B$23,$B7,'Detail Summary'!BD$217:BD$233)</f>
        <v>5060.05</v>
      </c>
      <c r="E7" s="329"/>
      <c r="F7" s="329"/>
      <c r="G7" s="329">
        <f ca="1">SUMIF($B$6:$B$23,$B7,'Detail Summary'!BG$217:BG$233)</f>
        <v>0</v>
      </c>
      <c r="H7" s="329"/>
      <c r="I7" s="329"/>
      <c r="J7" s="329">
        <f ca="1">SUMIF($B$6:$B$23,$B7,'Detail Summary'!BJ$217:BJ$233)</f>
        <v>0</v>
      </c>
      <c r="K7" s="329"/>
      <c r="L7" s="329"/>
      <c r="M7" s="329">
        <f ca="1">SUMIF($B$6:$B$23,$B7,'Detail Summary'!BM$217:BM$233)</f>
        <v>71173</v>
      </c>
      <c r="N7" s="329"/>
      <c r="O7" s="329"/>
      <c r="P7" s="329">
        <f ca="1">SUMIF($B$6:$B$23,$B7,'Detail Summary'!BP$217:BP$233)</f>
        <v>142347</v>
      </c>
      <c r="Q7" s="329"/>
      <c r="R7" s="329"/>
      <c r="S7" s="329">
        <f ca="1">SUMIF($B$6:$B$23,$B7,'Detail Summary'!BS$217:BS$233)</f>
        <v>71173</v>
      </c>
      <c r="T7" s="329"/>
      <c r="U7" s="329"/>
      <c r="V7" s="329">
        <f ca="1">SUMIF($B$6:$B$23,$B7,'Detail Summary'!BV$217:BV$233)</f>
        <v>0</v>
      </c>
      <c r="W7" s="2369"/>
      <c r="X7" s="2369"/>
      <c r="Y7" s="329">
        <f ca="1">SUMIF($B$6:$B$23,$B7,'Detail Summary'!BY$217:BY$233)</f>
        <v>0</v>
      </c>
      <c r="Z7" s="2369"/>
      <c r="AA7" s="2369"/>
      <c r="AB7" s="329">
        <f ca="1">SUMIF($B$6:$B$23,$B7,'Detail Summary'!CB$217:CB$233)</f>
        <v>0</v>
      </c>
      <c r="AC7" s="2369"/>
      <c r="AD7" s="2369"/>
      <c r="AE7" s="329">
        <f ca="1">SUMIF($B$6:$B$23,$B7,'Detail Summary'!CE$217:CE$233)</f>
        <v>0</v>
      </c>
      <c r="AF7" s="2369"/>
      <c r="AG7" s="2369"/>
      <c r="AH7" s="329">
        <f ca="1">SUMIF($B$6:$B$23,$B7,'Detail Summary'!CH$217:CH$233)</f>
        <v>0</v>
      </c>
      <c r="AI7" s="330">
        <f t="shared" ref="AI7:AI23" ca="1" si="0">SUM(D7:AH7)</f>
        <v>289753.05</v>
      </c>
    </row>
    <row r="8" spans="2:35" ht="15" x14ac:dyDescent="0.25">
      <c r="B8" s="328">
        <f>+'Detail Summary'!E219</f>
        <v>3</v>
      </c>
      <c r="C8" s="328" t="str">
        <f>+'Detail Summary'!G219</f>
        <v>Outreach</v>
      </c>
      <c r="D8" s="329">
        <f ca="1">SUMIF($B$6:$B$23,$B8,'Detail Summary'!BD$217:BD$233)</f>
        <v>10968.12</v>
      </c>
      <c r="E8" s="329"/>
      <c r="F8" s="329"/>
      <c r="G8" s="329">
        <f ca="1">SUMIF($B$6:$B$23,$B8,'Detail Summary'!BG$217:BG$233)</f>
        <v>0</v>
      </c>
      <c r="H8" s="329"/>
      <c r="I8" s="329"/>
      <c r="J8" s="329">
        <f ca="1">SUMIF($B$6:$B$23,$B8,'Detail Summary'!BJ$217:BJ$233)</f>
        <v>0</v>
      </c>
      <c r="K8" s="329"/>
      <c r="L8" s="329"/>
      <c r="M8" s="329">
        <f ca="1">SUMIF($B$6:$B$23,$B8,'Detail Summary'!BM$217:BM$233)</f>
        <v>113363</v>
      </c>
      <c r="N8" s="329"/>
      <c r="O8" s="329"/>
      <c r="P8" s="329">
        <f ca="1">SUMIF($B$6:$B$23,$B8,'Detail Summary'!BP$217:BP$233)</f>
        <v>146013</v>
      </c>
      <c r="Q8" s="329"/>
      <c r="R8" s="329"/>
      <c r="S8" s="329">
        <f ca="1">SUMIF($B$6:$B$23,$B8,'Detail Summary'!BS$217:BS$233)</f>
        <v>26713</v>
      </c>
      <c r="T8" s="329"/>
      <c r="U8" s="329"/>
      <c r="V8" s="329">
        <f ca="1">SUMIF($B$6:$B$23,$B8,'Detail Summary'!BV$217:BV$233)</f>
        <v>0</v>
      </c>
      <c r="W8" s="2369"/>
      <c r="X8" s="2369"/>
      <c r="Y8" s="329">
        <f ca="1">SUMIF($B$6:$B$23,$B8,'Detail Summary'!BY$217:BY$233)</f>
        <v>0</v>
      </c>
      <c r="Z8" s="2369"/>
      <c r="AA8" s="2369"/>
      <c r="AB8" s="329">
        <f ca="1">SUMIF($B$6:$B$23,$B8,'Detail Summary'!CB$217:CB$233)</f>
        <v>0</v>
      </c>
      <c r="AC8" s="2369"/>
      <c r="AD8" s="2369"/>
      <c r="AE8" s="329">
        <f ca="1">SUMIF($B$6:$B$23,$B8,'Detail Summary'!CE$217:CE$233)</f>
        <v>0</v>
      </c>
      <c r="AF8" s="2369"/>
      <c r="AG8" s="2369"/>
      <c r="AH8" s="329">
        <f ca="1">SUMIF($B$6:$B$23,$B8,'Detail Summary'!CH$217:CH$233)</f>
        <v>0</v>
      </c>
      <c r="AI8" s="330">
        <f t="shared" ca="1" si="0"/>
        <v>297057.12</v>
      </c>
    </row>
    <row r="9" spans="2:35" ht="15" x14ac:dyDescent="0.25">
      <c r="B9" s="328">
        <f>+'Detail Summary'!E220</f>
        <v>4</v>
      </c>
      <c r="C9" s="328" t="str">
        <f>+'Detail Summary'!G220</f>
        <v>Siting Approvals / Permits</v>
      </c>
      <c r="D9" s="329">
        <f ca="1">SUMIF($B$6:$B$23,$B9,'Detail Summary'!BD$217:BD$233)</f>
        <v>10307</v>
      </c>
      <c r="E9" s="329"/>
      <c r="F9" s="329"/>
      <c r="G9" s="329">
        <f ca="1">SUMIF($B$6:$B$23,$B9,'Detail Summary'!BG$217:BG$233)</f>
        <v>0</v>
      </c>
      <c r="H9" s="329"/>
      <c r="I9" s="329"/>
      <c r="J9" s="329">
        <f ca="1">SUMIF($B$6:$B$23,$B9,'Detail Summary'!BJ$217:BJ$233)</f>
        <v>0</v>
      </c>
      <c r="K9" s="329"/>
      <c r="L9" s="329"/>
      <c r="M9" s="329">
        <f ca="1">SUMIF($B$6:$B$23,$B9,'Detail Summary'!BM$217:BM$233)</f>
        <v>103900</v>
      </c>
      <c r="N9" s="329"/>
      <c r="O9" s="329"/>
      <c r="P9" s="329">
        <f ca="1">SUMIF($B$6:$B$23,$B9,'Detail Summary'!BP$217:BP$233)</f>
        <v>133900</v>
      </c>
      <c r="Q9" s="329"/>
      <c r="R9" s="329"/>
      <c r="S9" s="329">
        <f ca="1">SUMIF($B$6:$B$23,$B9,'Detail Summary'!BS$217:BS$233)</f>
        <v>24400</v>
      </c>
      <c r="T9" s="329"/>
      <c r="U9" s="329"/>
      <c r="V9" s="329">
        <f ca="1">SUMIF($B$6:$B$23,$B9,'Detail Summary'!BV$217:BV$233)</f>
        <v>0</v>
      </c>
      <c r="W9" s="2369"/>
      <c r="X9" s="2369"/>
      <c r="Y9" s="329">
        <f ca="1">SUMIF($B$6:$B$23,$B9,'Detail Summary'!BY$217:BY$233)</f>
        <v>0</v>
      </c>
      <c r="Z9" s="2369"/>
      <c r="AA9" s="2369"/>
      <c r="AB9" s="329">
        <f ca="1">SUMIF($B$6:$B$23,$B9,'Detail Summary'!CB$217:CB$233)</f>
        <v>0</v>
      </c>
      <c r="AC9" s="2369"/>
      <c r="AD9" s="2369"/>
      <c r="AE9" s="329">
        <f ca="1">SUMIF($B$6:$B$23,$B9,'Detail Summary'!CE$217:CE$233)</f>
        <v>0</v>
      </c>
      <c r="AF9" s="2369"/>
      <c r="AG9" s="2369"/>
      <c r="AH9" s="329">
        <f ca="1">SUMIF($B$6:$B$23,$B9,'Detail Summary'!CH$217:CH$233)</f>
        <v>0</v>
      </c>
      <c r="AI9" s="330">
        <f t="shared" ca="1" si="0"/>
        <v>272507</v>
      </c>
    </row>
    <row r="10" spans="2:35" ht="15" x14ac:dyDescent="0.25">
      <c r="B10" s="328">
        <f>+'Detail Summary'!E221</f>
        <v>5</v>
      </c>
      <c r="C10" s="328" t="str">
        <f>+'Detail Summary'!G221</f>
        <v>Engineering / Design</v>
      </c>
      <c r="D10" s="329">
        <f ca="1">SUMIF($B$6:$B$23,$B10,'Detail Summary'!BD$217:BD$233)</f>
        <v>16424.059999999998</v>
      </c>
      <c r="E10" s="329"/>
      <c r="F10" s="329"/>
      <c r="G10" s="329">
        <f ca="1">SUMIF($B$6:$B$23,$B10,'Detail Summary'!BG$217:BG$233)</f>
        <v>0</v>
      </c>
      <c r="H10" s="329"/>
      <c r="I10" s="329"/>
      <c r="J10" s="329">
        <f ca="1">SUMIF($B$6:$B$23,$B10,'Detail Summary'!BJ$217:BJ$233)</f>
        <v>0</v>
      </c>
      <c r="K10" s="329"/>
      <c r="L10" s="329"/>
      <c r="M10" s="329">
        <f ca="1">SUMIF($B$6:$B$23,$B10,'Detail Summary'!BM$217:BM$233)</f>
        <v>360542</v>
      </c>
      <c r="N10" s="329"/>
      <c r="O10" s="329"/>
      <c r="P10" s="329">
        <f ca="1">SUMIF($B$6:$B$23,$B10,'Detail Summary'!BP$217:BP$233)</f>
        <v>341386</v>
      </c>
      <c r="Q10" s="329"/>
      <c r="R10" s="329"/>
      <c r="S10" s="329">
        <f ca="1">SUMIF($B$6:$B$23,$B10,'Detail Summary'!BS$217:BS$233)</f>
        <v>32699</v>
      </c>
      <c r="T10" s="329"/>
      <c r="U10" s="329"/>
      <c r="V10" s="329">
        <f ca="1">SUMIF($B$6:$B$23,$B10,'Detail Summary'!BV$217:BV$233)</f>
        <v>0</v>
      </c>
      <c r="W10" s="2369"/>
      <c r="X10" s="2369"/>
      <c r="Y10" s="329">
        <f ca="1">SUMIF($B$6:$B$23,$B10,'Detail Summary'!BY$217:BY$233)</f>
        <v>0</v>
      </c>
      <c r="Z10" s="2369"/>
      <c r="AA10" s="2369"/>
      <c r="AB10" s="329">
        <f ca="1">SUMIF($B$6:$B$23,$B10,'Detail Summary'!CB$217:CB$233)</f>
        <v>0</v>
      </c>
      <c r="AC10" s="2369"/>
      <c r="AD10" s="2369"/>
      <c r="AE10" s="329">
        <f ca="1">SUMIF($B$6:$B$23,$B10,'Detail Summary'!CE$217:CE$233)</f>
        <v>0</v>
      </c>
      <c r="AF10" s="2369"/>
      <c r="AG10" s="2369"/>
      <c r="AH10" s="329">
        <f ca="1">SUMIF($B$6:$B$23,$B10,'Detail Summary'!CH$217:CH$233)</f>
        <v>0</v>
      </c>
      <c r="AI10" s="330">
        <f t="shared" ca="1" si="0"/>
        <v>751051.06</v>
      </c>
    </row>
    <row r="11" spans="2:35" ht="15" x14ac:dyDescent="0.25">
      <c r="B11" s="328">
        <f>+'Detail Summary'!E222</f>
        <v>6</v>
      </c>
      <c r="C11" s="328" t="str">
        <f>+'Detail Summary'!G222</f>
        <v>Materials ( Eversource purchased)</v>
      </c>
      <c r="D11" s="329">
        <f ca="1">SUMIF($B$6:$B$23,$B11,'Detail Summary'!BD$217:BD$233)</f>
        <v>2358</v>
      </c>
      <c r="E11" s="329"/>
      <c r="F11" s="329"/>
      <c r="G11" s="329">
        <f ca="1">SUMIF($B$6:$B$23,$B11,'Detail Summary'!BG$217:BG$233)</f>
        <v>0</v>
      </c>
      <c r="H11" s="329"/>
      <c r="I11" s="329"/>
      <c r="J11" s="329">
        <f ca="1">SUMIF($B$6:$B$23,$B11,'Detail Summary'!BJ$217:BJ$233)</f>
        <v>0</v>
      </c>
      <c r="K11" s="329"/>
      <c r="L11" s="329"/>
      <c r="M11" s="329">
        <f ca="1">SUMIF($B$6:$B$23,$B11,'Detail Summary'!BM$217:BM$233)</f>
        <v>9085844</v>
      </c>
      <c r="N11" s="329"/>
      <c r="O11" s="329"/>
      <c r="P11" s="329">
        <f ca="1">SUMIF($B$6:$B$23,$B11,'Detail Summary'!BP$217:BP$233)</f>
        <v>9085844</v>
      </c>
      <c r="Q11" s="329"/>
      <c r="R11" s="329"/>
      <c r="S11" s="329">
        <f ca="1">SUMIF($B$6:$B$23,$B11,'Detail Summary'!BS$217:BS$233)</f>
        <v>0</v>
      </c>
      <c r="T11" s="329"/>
      <c r="U11" s="329"/>
      <c r="V11" s="329">
        <f ca="1">SUMIF($B$6:$B$23,$B11,'Detail Summary'!BV$217:BV$233)</f>
        <v>0</v>
      </c>
      <c r="W11" s="2369"/>
      <c r="X11" s="2369"/>
      <c r="Y11" s="329">
        <f ca="1">SUMIF($B$6:$B$23,$B11,'Detail Summary'!BY$217:BY$233)</f>
        <v>0</v>
      </c>
      <c r="Z11" s="2369"/>
      <c r="AA11" s="2369"/>
      <c r="AB11" s="329">
        <f ca="1">SUMIF($B$6:$B$23,$B11,'Detail Summary'!CB$217:CB$233)</f>
        <v>0</v>
      </c>
      <c r="AC11" s="2369"/>
      <c r="AD11" s="2369"/>
      <c r="AE11" s="329">
        <f ca="1">SUMIF($B$6:$B$23,$B11,'Detail Summary'!CE$217:CE$233)</f>
        <v>0</v>
      </c>
      <c r="AF11" s="2369"/>
      <c r="AG11" s="2369"/>
      <c r="AH11" s="329">
        <f ca="1">SUMIF($B$6:$B$23,$B11,'Detail Summary'!CH$217:CH$233)</f>
        <v>0</v>
      </c>
      <c r="AI11" s="330">
        <f t="shared" ca="1" si="0"/>
        <v>18174046</v>
      </c>
    </row>
    <row r="12" spans="2:35" ht="15" x14ac:dyDescent="0.25">
      <c r="B12" s="328">
        <f>+'Detail Summary'!E223</f>
        <v>7</v>
      </c>
      <c r="C12" s="328" t="str">
        <f>+'Detail Summary'!G223</f>
        <v>Construction  ( incl materials by contractors)</v>
      </c>
      <c r="D12" s="329">
        <f ca="1">SUMIF($B$6:$B$23,$B12,'Detail Summary'!BD$217:BD$233)</f>
        <v>10963.25</v>
      </c>
      <c r="E12" s="329"/>
      <c r="F12" s="329"/>
      <c r="G12" s="329">
        <f ca="1">SUMIF($B$6:$B$23,$B12,'Detail Summary'!BG$217:BG$233)</f>
        <v>0</v>
      </c>
      <c r="H12" s="329"/>
      <c r="I12" s="329"/>
      <c r="J12" s="329">
        <f ca="1">SUMIF($B$6:$B$23,$B12,'Detail Summary'!BJ$217:BJ$233)</f>
        <v>0</v>
      </c>
      <c r="K12" s="329"/>
      <c r="L12" s="329"/>
      <c r="M12" s="329">
        <f ca="1">SUMIF($B$6:$B$23,$B12,'Detail Summary'!BM$217:BM$233)</f>
        <v>750</v>
      </c>
      <c r="N12" s="329"/>
      <c r="O12" s="329"/>
      <c r="P12" s="329">
        <f ca="1">SUMIF($B$6:$B$23,$B12,'Detail Summary'!BP$217:BP$233)</f>
        <v>2463941</v>
      </c>
      <c r="Q12" s="329"/>
      <c r="R12" s="329"/>
      <c r="S12" s="329">
        <f ca="1">SUMIF($B$6:$B$23,$B12,'Detail Summary'!BS$217:BS$233)</f>
        <v>1543978</v>
      </c>
      <c r="T12" s="329"/>
      <c r="U12" s="329"/>
      <c r="V12" s="329">
        <f ca="1">SUMIF($B$6:$B$23,$B12,'Detail Summary'!BV$217:BV$233)</f>
        <v>0</v>
      </c>
      <c r="W12" s="2369"/>
      <c r="X12" s="2369"/>
      <c r="Y12" s="329">
        <f ca="1">SUMIF($B$6:$B$23,$B12,'Detail Summary'!BY$217:BY$233)</f>
        <v>0</v>
      </c>
      <c r="Z12" s="2369"/>
      <c r="AA12" s="2369"/>
      <c r="AB12" s="329">
        <f ca="1">SUMIF($B$6:$B$23,$B12,'Detail Summary'!CB$217:CB$233)</f>
        <v>0</v>
      </c>
      <c r="AC12" s="2369"/>
      <c r="AD12" s="2369"/>
      <c r="AE12" s="329">
        <f ca="1">SUMIF($B$6:$B$23,$B12,'Detail Summary'!CE$217:CE$233)</f>
        <v>0</v>
      </c>
      <c r="AF12" s="2369"/>
      <c r="AG12" s="2369"/>
      <c r="AH12" s="329">
        <f ca="1">SUMIF($B$6:$B$23,$B12,'Detail Summary'!CH$217:CH$233)</f>
        <v>0</v>
      </c>
      <c r="AI12" s="330">
        <f t="shared" ca="1" si="0"/>
        <v>4019632.25</v>
      </c>
    </row>
    <row r="13" spans="2:35" ht="15" x14ac:dyDescent="0.25">
      <c r="B13" s="328">
        <f>+'Detail Summary'!E224</f>
        <v>8</v>
      </c>
      <c r="C13" s="328" t="str">
        <f>+'Detail Summary'!G224</f>
        <v>Testing / Commissioning</v>
      </c>
      <c r="D13" s="329">
        <f ca="1">SUMIF($B$6:$B$23,$B13,'Detail Summary'!BD$217:BD$233)</f>
        <v>0</v>
      </c>
      <c r="E13" s="329"/>
      <c r="F13" s="329"/>
      <c r="G13" s="329">
        <f ca="1">SUMIF($B$6:$B$23,$B13,'Detail Summary'!BG$217:BG$233)</f>
        <v>0</v>
      </c>
      <c r="H13" s="329"/>
      <c r="I13" s="329"/>
      <c r="J13" s="329">
        <f ca="1">SUMIF($B$6:$B$23,$B13,'Detail Summary'!BJ$217:BJ$233)</f>
        <v>0</v>
      </c>
      <c r="K13" s="329"/>
      <c r="L13" s="329"/>
      <c r="M13" s="329">
        <f ca="1">SUMIF($B$6:$B$23,$B13,'Detail Summary'!BM$217:BM$233)</f>
        <v>0</v>
      </c>
      <c r="N13" s="329"/>
      <c r="O13" s="329"/>
      <c r="P13" s="329">
        <f ca="1">SUMIF($B$6:$B$23,$B13,'Detail Summary'!BP$217:BP$233)</f>
        <v>276950</v>
      </c>
      <c r="Q13" s="329"/>
      <c r="R13" s="329"/>
      <c r="S13" s="329">
        <f ca="1">SUMIF($B$6:$B$23,$B13,'Detail Summary'!BS$217:BS$233)</f>
        <v>649400</v>
      </c>
      <c r="T13" s="329"/>
      <c r="U13" s="329"/>
      <c r="V13" s="329">
        <f ca="1">SUMIF($B$6:$B$23,$B13,'Detail Summary'!BV$217:BV$233)</f>
        <v>0</v>
      </c>
      <c r="W13" s="2369"/>
      <c r="X13" s="2369"/>
      <c r="Y13" s="329">
        <f ca="1">SUMIF($B$6:$B$23,$B13,'Detail Summary'!BY$217:BY$233)</f>
        <v>0</v>
      </c>
      <c r="Z13" s="2369"/>
      <c r="AA13" s="2369"/>
      <c r="AB13" s="329">
        <f ca="1">SUMIF($B$6:$B$23,$B13,'Detail Summary'!CB$217:CB$233)</f>
        <v>0</v>
      </c>
      <c r="AC13" s="2369"/>
      <c r="AD13" s="2369"/>
      <c r="AE13" s="329">
        <f ca="1">SUMIF($B$6:$B$23,$B13,'Detail Summary'!CE$217:CE$233)</f>
        <v>0</v>
      </c>
      <c r="AF13" s="2369"/>
      <c r="AG13" s="2369"/>
      <c r="AH13" s="329">
        <f ca="1">SUMIF($B$6:$B$23,$B13,'Detail Summary'!CH$217:CH$233)</f>
        <v>0</v>
      </c>
      <c r="AI13" s="330">
        <f t="shared" ca="1" si="0"/>
        <v>926350</v>
      </c>
    </row>
    <row r="14" spans="2:35" ht="15" x14ac:dyDescent="0.25">
      <c r="B14" s="328">
        <f>+'Detail Summary'!E225</f>
        <v>9</v>
      </c>
      <c r="C14" s="328" t="str">
        <f>+'Detail Summary'!G225</f>
        <v>PMT Project Mgmt Team</v>
      </c>
      <c r="D14" s="329">
        <f ca="1">SUMIF($B$6:$B$23,$B14,'Detail Summary'!BD$217:BD$233)</f>
        <v>74262.149999999994</v>
      </c>
      <c r="E14" s="329"/>
      <c r="F14" s="329"/>
      <c r="G14" s="329">
        <f ca="1">SUMIF($B$6:$B$23,$B14,'Detail Summary'!BG$217:BG$233)</f>
        <v>0</v>
      </c>
      <c r="H14" s="329"/>
      <c r="I14" s="329"/>
      <c r="J14" s="329">
        <f ca="1">SUMIF($B$6:$B$23,$B14,'Detail Summary'!BJ$217:BJ$233)</f>
        <v>0</v>
      </c>
      <c r="K14" s="329"/>
      <c r="L14" s="329"/>
      <c r="M14" s="329">
        <f ca="1">SUMIF($B$6:$B$23,$B14,'Detail Summary'!BM$217:BM$233)</f>
        <v>176942</v>
      </c>
      <c r="N14" s="329"/>
      <c r="O14" s="329"/>
      <c r="P14" s="329">
        <f ca="1">SUMIF($B$6:$B$23,$B14,'Detail Summary'!BP$217:BP$233)</f>
        <v>361531.47</v>
      </c>
      <c r="Q14" s="329"/>
      <c r="R14" s="329"/>
      <c r="S14" s="329">
        <f ca="1">SUMIF($B$6:$B$23,$B14,'Detail Summary'!BS$217:BS$233)</f>
        <v>331693</v>
      </c>
      <c r="T14" s="329"/>
      <c r="U14" s="329"/>
      <c r="V14" s="329">
        <f ca="1">SUMIF($B$6:$B$23,$B14,'Detail Summary'!BV$217:BV$233)</f>
        <v>0</v>
      </c>
      <c r="W14" s="2369"/>
      <c r="X14" s="2369"/>
      <c r="Y14" s="329">
        <f ca="1">SUMIF($B$6:$B$23,$B14,'Detail Summary'!BY$217:BY$233)</f>
        <v>0</v>
      </c>
      <c r="Z14" s="2369"/>
      <c r="AA14" s="2369"/>
      <c r="AB14" s="329">
        <f ca="1">SUMIF($B$6:$B$23,$B14,'Detail Summary'!CB$217:CB$233)</f>
        <v>0</v>
      </c>
      <c r="AC14" s="2369"/>
      <c r="AD14" s="2369"/>
      <c r="AE14" s="329">
        <f ca="1">SUMIF($B$6:$B$23,$B14,'Detail Summary'!CE$217:CE$233)</f>
        <v>0</v>
      </c>
      <c r="AF14" s="2369"/>
      <c r="AG14" s="2369"/>
      <c r="AH14" s="329">
        <f ca="1">SUMIF($B$6:$B$23,$B14,'Detail Summary'!CH$217:CH$233)</f>
        <v>0</v>
      </c>
      <c r="AI14" s="330">
        <f t="shared" ca="1" si="0"/>
        <v>944428.62</v>
      </c>
    </row>
    <row r="15" spans="2:35" ht="15" x14ac:dyDescent="0.25">
      <c r="B15" s="328">
        <f>+'Detail Summary'!E226</f>
        <v>10</v>
      </c>
      <c r="C15" s="328" t="str">
        <f>+'Detail Summary'!G226</f>
        <v>Removals</v>
      </c>
      <c r="D15" s="329">
        <f ca="1">SUMIF($B$6:$B$23,$B15,'Detail Summary'!BD$217:BD$233)</f>
        <v>0</v>
      </c>
      <c r="E15" s="329"/>
      <c r="F15" s="329"/>
      <c r="G15" s="329">
        <f ca="1">SUMIF($B$6:$B$23,$B15,'Detail Summary'!BG$217:BG$233)</f>
        <v>0</v>
      </c>
      <c r="H15" s="329"/>
      <c r="I15" s="329"/>
      <c r="J15" s="329">
        <f ca="1">SUMIF($B$6:$B$23,$B15,'Detail Summary'!BJ$217:BJ$233)</f>
        <v>0</v>
      </c>
      <c r="K15" s="329"/>
      <c r="L15" s="329"/>
      <c r="M15" s="329">
        <f ca="1">SUMIF($B$6:$B$23,$B15,'Detail Summary'!BM$217:BM$233)</f>
        <v>0</v>
      </c>
      <c r="N15" s="329"/>
      <c r="O15" s="329"/>
      <c r="P15" s="329">
        <f ca="1">SUMIF($B$6:$B$23,$B15,'Detail Summary'!BP$217:BP$233)</f>
        <v>0</v>
      </c>
      <c r="Q15" s="329"/>
      <c r="R15" s="329"/>
      <c r="S15" s="329">
        <f ca="1">SUMIF($B$6:$B$23,$B15,'Detail Summary'!BS$217:BS$233)</f>
        <v>0</v>
      </c>
      <c r="T15" s="329"/>
      <c r="U15" s="329"/>
      <c r="V15" s="329">
        <f ca="1">SUMIF($B$6:$B$23,$B15,'Detail Summary'!BV$217:BV$233)</f>
        <v>0</v>
      </c>
      <c r="W15" s="2369"/>
      <c r="X15" s="2369"/>
      <c r="Y15" s="329">
        <f ca="1">SUMIF($B$6:$B$23,$B15,'Detail Summary'!BY$217:BY$233)</f>
        <v>0</v>
      </c>
      <c r="Z15" s="2369"/>
      <c r="AA15" s="2369"/>
      <c r="AB15" s="329">
        <f ca="1">SUMIF($B$6:$B$23,$B15,'Detail Summary'!CB$217:CB$233)</f>
        <v>0</v>
      </c>
      <c r="AC15" s="2369"/>
      <c r="AD15" s="2369"/>
      <c r="AE15" s="329">
        <f ca="1">SUMIF($B$6:$B$23,$B15,'Detail Summary'!CE$217:CE$233)</f>
        <v>0</v>
      </c>
      <c r="AF15" s="2369"/>
      <c r="AG15" s="2369"/>
      <c r="AH15" s="329">
        <f ca="1">SUMIF($B$6:$B$23,$B15,'Detail Summary'!CH$217:CH$233)</f>
        <v>0</v>
      </c>
      <c r="AI15" s="330">
        <f t="shared" ca="1" si="0"/>
        <v>0</v>
      </c>
    </row>
    <row r="16" spans="2:35" ht="15" x14ac:dyDescent="0.25">
      <c r="B16" s="328">
        <f>+'Detail Summary'!E227</f>
        <v>11</v>
      </c>
      <c r="C16" s="328" t="str">
        <f>+'Detail Summary'!G227</f>
        <v>Other ( property taxes and BAR)</v>
      </c>
      <c r="D16" s="329">
        <f ca="1">SUMIF($B$6:$B$23,$B16,'Detail Summary'!BD$217:BD$233)</f>
        <v>11094.01</v>
      </c>
      <c r="E16" s="329"/>
      <c r="F16" s="329"/>
      <c r="G16" s="329">
        <f ca="1">SUMIF($B$6:$B$23,$B16,'Detail Summary'!BG$217:BG$233)</f>
        <v>3917.23</v>
      </c>
      <c r="H16" s="329"/>
      <c r="I16" s="329"/>
      <c r="J16" s="329">
        <f ca="1">SUMIF($B$6:$B$23,$B16,'Detail Summary'!BJ$217:BJ$233)</f>
        <v>7600</v>
      </c>
      <c r="K16" s="329"/>
      <c r="L16" s="329"/>
      <c r="M16" s="329">
        <f ca="1">SUMIF($B$6:$B$23,$B16,'Detail Summary'!BM$217:BM$233)</f>
        <v>206600</v>
      </c>
      <c r="N16" s="329"/>
      <c r="O16" s="329"/>
      <c r="P16" s="329">
        <f ca="1">SUMIF($B$6:$B$23,$B16,'Detail Summary'!BP$217:BP$233)</f>
        <v>593257.08729000005</v>
      </c>
      <c r="Q16" s="329"/>
      <c r="R16" s="329"/>
      <c r="S16" s="329">
        <f ca="1">SUMIF($B$6:$B$23,$B16,'Detail Summary'!BS$217:BS$233)</f>
        <v>18760.392</v>
      </c>
      <c r="T16" s="329"/>
      <c r="U16" s="329"/>
      <c r="V16" s="329">
        <f ca="1">SUMIF($B$6:$B$23,$B16,'Detail Summary'!BV$217:BV$233)</f>
        <v>0</v>
      </c>
      <c r="W16" s="2369"/>
      <c r="X16" s="2369"/>
      <c r="Y16" s="329">
        <f ca="1">SUMIF($B$6:$B$23,$B16,'Detail Summary'!BY$217:BY$233)</f>
        <v>0</v>
      </c>
      <c r="Z16" s="2369"/>
      <c r="AA16" s="2369"/>
      <c r="AB16" s="329">
        <f ca="1">SUMIF($B$6:$B$23,$B16,'Detail Summary'!CB$217:CB$233)</f>
        <v>0</v>
      </c>
      <c r="AC16" s="2369"/>
      <c r="AD16" s="2369"/>
      <c r="AE16" s="329">
        <f ca="1">SUMIF($B$6:$B$23,$B16,'Detail Summary'!CE$217:CE$233)</f>
        <v>0</v>
      </c>
      <c r="AF16" s="2369"/>
      <c r="AG16" s="2369"/>
      <c r="AH16" s="329">
        <f ca="1">SUMIF($B$6:$B$23,$B16,'Detail Summary'!CH$217:CH$233)</f>
        <v>0</v>
      </c>
      <c r="AI16" s="330">
        <f t="shared" ca="1" si="0"/>
        <v>841228.71929000004</v>
      </c>
    </row>
    <row r="17" spans="2:35" ht="15" x14ac:dyDescent="0.25">
      <c r="B17" s="328">
        <f>+'Detail Summary'!E228</f>
        <v>12</v>
      </c>
      <c r="C17" s="328" t="str">
        <f>+'Detail Summary'!G228</f>
        <v>Risks</v>
      </c>
      <c r="D17" s="329">
        <f ca="1">SUMIF($B$6:$B$23,$B17,'Detail Summary'!BD$217:BD$233)</f>
        <v>0</v>
      </c>
      <c r="E17" s="329"/>
      <c r="F17" s="329"/>
      <c r="G17" s="329">
        <f ca="1">SUMIF($B$6:$B$23,$B17,'Detail Summary'!BG$217:BG$233)</f>
        <v>0</v>
      </c>
      <c r="H17" s="329"/>
      <c r="I17" s="329"/>
      <c r="J17" s="329">
        <f ca="1">SUMIF($B$6:$B$23,$B17,'Detail Summary'!BJ$217:BJ$233)</f>
        <v>0</v>
      </c>
      <c r="K17" s="329"/>
      <c r="L17" s="329"/>
      <c r="M17" s="329">
        <f ca="1">SUMIF($B$6:$B$23,$B17,'Detail Summary'!BM$217:BM$233)</f>
        <v>900000</v>
      </c>
      <c r="N17" s="329"/>
      <c r="O17" s="329"/>
      <c r="P17" s="329">
        <f ca="1">SUMIF($B$6:$B$23,$B17,'Detail Summary'!BP$217:BP$233)</f>
        <v>1650000</v>
      </c>
      <c r="Q17" s="329"/>
      <c r="R17" s="329"/>
      <c r="S17" s="329">
        <f ca="1">SUMIF($B$6:$B$23,$B17,'Detail Summary'!BS$217:BS$233)</f>
        <v>1400000</v>
      </c>
      <c r="T17" s="329"/>
      <c r="U17" s="329"/>
      <c r="V17" s="329">
        <f ca="1">SUMIF($B$6:$B$23,$B17,'Detail Summary'!BV$217:BV$233)</f>
        <v>0</v>
      </c>
      <c r="W17" s="2369"/>
      <c r="X17" s="2369"/>
      <c r="Y17" s="329">
        <f ca="1">SUMIF($B$6:$B$23,$B17,'Detail Summary'!BY$217:BY$233)</f>
        <v>0</v>
      </c>
      <c r="Z17" s="2369"/>
      <c r="AA17" s="2369"/>
      <c r="AB17" s="329">
        <f ca="1">SUMIF($B$6:$B$23,$B17,'Detail Summary'!CB$217:CB$233)</f>
        <v>0</v>
      </c>
      <c r="AC17" s="2369"/>
      <c r="AD17" s="2369"/>
      <c r="AE17" s="329">
        <f ca="1">SUMIF($B$6:$B$23,$B17,'Detail Summary'!CE$217:CE$233)</f>
        <v>0</v>
      </c>
      <c r="AF17" s="2369"/>
      <c r="AG17" s="2369"/>
      <c r="AH17" s="329">
        <f ca="1">SUMIF($B$6:$B$23,$B17,'Detail Summary'!CH$217:CH$233)</f>
        <v>0</v>
      </c>
      <c r="AI17" s="330">
        <f t="shared" ca="1" si="0"/>
        <v>3950000</v>
      </c>
    </row>
    <row r="18" spans="2:35" ht="15" x14ac:dyDescent="0.25">
      <c r="B18" s="328">
        <f>+'Detail Summary'!E229</f>
        <v>13</v>
      </c>
      <c r="C18" s="328" t="str">
        <f>+'Detail Summary'!G229</f>
        <v>Indirects/Overhead</v>
      </c>
      <c r="D18" s="329">
        <f ca="1">SUMIF($B$6:$B$23,$B18,'Detail Summary'!BD$217:BD$233)</f>
        <v>209080.81</v>
      </c>
      <c r="E18" s="329"/>
      <c r="F18" s="329"/>
      <c r="G18" s="329">
        <f ca="1">SUMIF($B$6:$B$23,$B18,'Detail Summary'!BG$217:BG$233)</f>
        <v>35</v>
      </c>
      <c r="H18" s="329"/>
      <c r="I18" s="329"/>
      <c r="J18" s="329">
        <f ca="1">SUMIF($B$6:$B$23,$B18,'Detail Summary'!BJ$217:BJ$233)</f>
        <v>68</v>
      </c>
      <c r="K18" s="329"/>
      <c r="L18" s="329"/>
      <c r="M18" s="329">
        <f ca="1">SUMIF($B$6:$B$23,$B18,'Detail Summary'!BM$217:BM$233)</f>
        <v>1312599.05</v>
      </c>
      <c r="N18" s="329"/>
      <c r="O18" s="329"/>
      <c r="P18" s="329">
        <f ca="1">SUMIF($B$6:$B$23,$B18,'Detail Summary'!BP$217:BP$233)</f>
        <v>3771894</v>
      </c>
      <c r="Q18" s="329"/>
      <c r="R18" s="329"/>
      <c r="S18" s="329">
        <f ca="1">SUMIF($B$6:$B$23,$B18,'Detail Summary'!BS$217:BS$233)</f>
        <v>2240546</v>
      </c>
      <c r="T18" s="329"/>
      <c r="U18" s="329"/>
      <c r="V18" s="329">
        <f ca="1">SUMIF($B$6:$B$23,$B18,'Detail Summary'!BV$217:BV$233)</f>
        <v>0</v>
      </c>
      <c r="W18" s="2369"/>
      <c r="X18" s="2369"/>
      <c r="Y18" s="329">
        <f ca="1">SUMIF($B$6:$B$23,$B18,'Detail Summary'!BY$217:BY$233)</f>
        <v>0</v>
      </c>
      <c r="Z18" s="2369"/>
      <c r="AA18" s="2369"/>
      <c r="AB18" s="329">
        <f ca="1">SUMIF($B$6:$B$23,$B18,'Detail Summary'!CB$217:CB$233)</f>
        <v>0</v>
      </c>
      <c r="AC18" s="2369"/>
      <c r="AD18" s="2369"/>
      <c r="AE18" s="329">
        <f ca="1">SUMIF($B$6:$B$23,$B18,'Detail Summary'!CE$217:CE$233)</f>
        <v>0</v>
      </c>
      <c r="AF18" s="2369"/>
      <c r="AG18" s="2369"/>
      <c r="AH18" s="329">
        <f ca="1">SUMIF($B$6:$B$23,$B18,'Detail Summary'!CH$217:CH$233)</f>
        <v>0</v>
      </c>
      <c r="AI18" s="330">
        <f t="shared" ca="1" si="0"/>
        <v>7534222.8600000003</v>
      </c>
    </row>
    <row r="19" spans="2:35" ht="15" x14ac:dyDescent="0.25">
      <c r="B19" s="328">
        <f>+'Detail Summary'!E230</f>
        <v>14</v>
      </c>
      <c r="C19" s="328" t="str">
        <f>+'Detail Summary'!G230</f>
        <v>AFUDC</v>
      </c>
      <c r="D19" s="329">
        <f ca="1">SUMIF($B$6:$B$23,$B19,'Detail Summary'!BD$217:BD$233)</f>
        <v>25374.34</v>
      </c>
      <c r="E19" s="329"/>
      <c r="F19" s="329"/>
      <c r="G19" s="329">
        <f ca="1">SUMIF($B$6:$B$23,$B19,'Detail Summary'!BG$217:BG$233)</f>
        <v>1076.6599999999999</v>
      </c>
      <c r="H19" s="329"/>
      <c r="I19" s="329"/>
      <c r="J19" s="329">
        <f ca="1">SUMIF($B$6:$B$23,$B19,'Detail Summary'!BJ$217:BJ$233)</f>
        <v>26933</v>
      </c>
      <c r="K19" s="329"/>
      <c r="L19" s="329"/>
      <c r="M19" s="329">
        <f ca="1">SUMIF($B$6:$B$23,$B19,'Detail Summary'!BM$217:BM$233)</f>
        <v>460696</v>
      </c>
      <c r="N19" s="329"/>
      <c r="O19" s="329"/>
      <c r="P19" s="329">
        <f ca="1">SUMIF($B$6:$B$23,$B19,'Detail Summary'!BP$217:BP$233)</f>
        <v>1660900</v>
      </c>
      <c r="Q19" s="329"/>
      <c r="R19" s="329"/>
      <c r="S19" s="329">
        <f ca="1">SUMIF($B$6:$B$23,$B19,'Detail Summary'!BS$217:BS$233)</f>
        <v>657500</v>
      </c>
      <c r="T19" s="329"/>
      <c r="U19" s="329"/>
      <c r="V19" s="329">
        <f ca="1">SUMIF($B$6:$B$23,$B19,'Detail Summary'!BV$217:BV$233)</f>
        <v>0</v>
      </c>
      <c r="W19" s="2369"/>
      <c r="X19" s="2369"/>
      <c r="Y19" s="329">
        <f ca="1">SUMIF($B$6:$B$23,$B19,'Detail Summary'!BY$217:BY$233)</f>
        <v>0</v>
      </c>
      <c r="Z19" s="2369"/>
      <c r="AA19" s="2369"/>
      <c r="AB19" s="329">
        <f ca="1">SUMIF($B$6:$B$23,$B19,'Detail Summary'!CB$217:CB$233)</f>
        <v>0</v>
      </c>
      <c r="AC19" s="2369"/>
      <c r="AD19" s="2369"/>
      <c r="AE19" s="329">
        <f ca="1">SUMIF($B$6:$B$23,$B19,'Detail Summary'!CE$217:CE$233)</f>
        <v>0</v>
      </c>
      <c r="AF19" s="2369"/>
      <c r="AG19" s="2369"/>
      <c r="AH19" s="329">
        <f ca="1">SUMIF($B$6:$B$23,$B19,'Detail Summary'!CH$217:CH$233)</f>
        <v>0</v>
      </c>
      <c r="AI19" s="330">
        <f t="shared" ca="1" si="0"/>
        <v>2832480</v>
      </c>
    </row>
    <row r="20" spans="2:35" ht="15" x14ac:dyDescent="0.25">
      <c r="B20" s="328">
        <f>+'Detail Summary'!E231</f>
        <v>15</v>
      </c>
      <c r="C20" s="328" t="str">
        <f>+'Detail Summary'!G231</f>
        <v>Contingency</v>
      </c>
      <c r="D20" s="329">
        <f ca="1">SUMIF($B$6:$B$23,$B20,'Detail Summary'!BD$217:BD$233)</f>
        <v>0</v>
      </c>
      <c r="E20" s="329"/>
      <c r="F20" s="329"/>
      <c r="G20" s="329">
        <f ca="1">SUMIF($B$6:$B$23,$B20,'Detail Summary'!BG$217:BG$233)</f>
        <v>0</v>
      </c>
      <c r="H20" s="329"/>
      <c r="I20" s="329"/>
      <c r="J20" s="329">
        <f ca="1">SUMIF($B$6:$B$23,$B20,'Detail Summary'!BJ$217:BJ$233)</f>
        <v>0</v>
      </c>
      <c r="K20" s="329"/>
      <c r="L20" s="329"/>
      <c r="M20" s="329">
        <f ca="1">SUMIF($B$6:$B$23,$B20,'Detail Summary'!BM$217:BM$233)</f>
        <v>775869.385116547</v>
      </c>
      <c r="N20" s="329"/>
      <c r="O20" s="329"/>
      <c r="P20" s="329">
        <f ca="1">SUMIF($B$6:$B$23,$B20,'Detail Summary'!BP$217:BP$233)</f>
        <v>942315.50801654707</v>
      </c>
      <c r="Q20" s="329"/>
      <c r="R20" s="329"/>
      <c r="S20" s="329">
        <f ca="1">SUMIF($B$6:$B$23,$B20,'Detail Summary'!BS$217:BS$233)</f>
        <v>123606.44</v>
      </c>
      <c r="T20" s="329"/>
      <c r="U20" s="329"/>
      <c r="V20" s="329">
        <f ca="1">SUMIF($B$6:$B$23,$B20,'Detail Summary'!BV$217:BV$233)</f>
        <v>0</v>
      </c>
      <c r="W20" s="2369"/>
      <c r="X20" s="2369"/>
      <c r="Y20" s="329">
        <f ca="1">SUMIF($B$6:$B$23,$B20,'Detail Summary'!BY$217:BY$233)</f>
        <v>0</v>
      </c>
      <c r="Z20" s="2369"/>
      <c r="AA20" s="2369"/>
      <c r="AB20" s="329">
        <f ca="1">SUMIF($B$6:$B$23,$B20,'Detail Summary'!CB$217:CB$233)</f>
        <v>0</v>
      </c>
      <c r="AC20" s="2369"/>
      <c r="AD20" s="2369"/>
      <c r="AE20" s="329">
        <f ca="1">SUMIF($B$6:$B$23,$B20,'Detail Summary'!CE$217:CE$233)</f>
        <v>0</v>
      </c>
      <c r="AF20" s="2369"/>
      <c r="AG20" s="2369"/>
      <c r="AH20" s="329">
        <f ca="1">SUMIF($B$6:$B$23,$B20,'Detail Summary'!CH$217:CH$233)</f>
        <v>0</v>
      </c>
      <c r="AI20" s="330">
        <f t="shared" ca="1" si="0"/>
        <v>1841791.333133094</v>
      </c>
    </row>
    <row r="21" spans="2:35" ht="15" x14ac:dyDescent="0.25">
      <c r="B21" s="328">
        <f>+'Detail Summary'!E232</f>
        <v>16</v>
      </c>
      <c r="C21" s="328" t="str">
        <f>+'Detail Summary'!G232</f>
        <v>Reimbursables/Customer Contribution</v>
      </c>
      <c r="D21" s="329">
        <f ca="1">SUMIF($B$6:$B$23,$B21,'Detail Summary'!BD$217:BD$233)</f>
        <v>0</v>
      </c>
      <c r="E21" s="329"/>
      <c r="F21" s="329"/>
      <c r="G21" s="329">
        <f ca="1">SUMIF($B$6:$B$23,$B21,'Detail Summary'!BG$217:BG$233)</f>
        <v>0</v>
      </c>
      <c r="H21" s="329"/>
      <c r="I21" s="329"/>
      <c r="J21" s="329">
        <f ca="1">SUMIF($B$6:$B$23,$B21,'Detail Summary'!BJ$217:BJ$233)</f>
        <v>0</v>
      </c>
      <c r="K21" s="329"/>
      <c r="L21" s="329"/>
      <c r="M21" s="329">
        <f ca="1">SUMIF($B$6:$B$23,$B21,'Detail Summary'!BM$217:BM$233)</f>
        <v>0</v>
      </c>
      <c r="N21" s="329"/>
      <c r="O21" s="329"/>
      <c r="P21" s="329">
        <f ca="1">SUMIF($B$6:$B$23,$B21,'Detail Summary'!BP$217:BP$233)</f>
        <v>0</v>
      </c>
      <c r="Q21" s="329"/>
      <c r="R21" s="329"/>
      <c r="S21" s="329">
        <f ca="1">SUMIF($B$6:$B$23,$B21,'Detail Summary'!BS$217:BS$233)</f>
        <v>0</v>
      </c>
      <c r="T21" s="329"/>
      <c r="U21" s="329"/>
      <c r="V21" s="329">
        <f ca="1">SUMIF($B$6:$B$23,$B21,'Detail Summary'!BV$217:BV$233)</f>
        <v>0</v>
      </c>
      <c r="W21" s="2369"/>
      <c r="X21" s="2369"/>
      <c r="Y21" s="329">
        <f ca="1">SUMIF($B$6:$B$23,$B21,'Detail Summary'!BY$217:BY$233)</f>
        <v>0</v>
      </c>
      <c r="Z21" s="2369"/>
      <c r="AA21" s="2369"/>
      <c r="AB21" s="329">
        <f ca="1">SUMIF($B$6:$B$23,$B21,'Detail Summary'!CB$217:CB$233)</f>
        <v>0</v>
      </c>
      <c r="AC21" s="2369"/>
      <c r="AD21" s="2369"/>
      <c r="AE21" s="329">
        <f ca="1">SUMIF($B$6:$B$23,$B21,'Detail Summary'!CE$217:CE$233)</f>
        <v>0</v>
      </c>
      <c r="AF21" s="2369"/>
      <c r="AG21" s="2369"/>
      <c r="AH21" s="329">
        <f ca="1">SUMIF($B$6:$B$23,$B21,'Detail Summary'!CH$217:CH$233)</f>
        <v>0</v>
      </c>
      <c r="AI21" s="330">
        <f t="shared" ca="1" si="0"/>
        <v>0</v>
      </c>
    </row>
    <row r="22" spans="2:35" ht="15" x14ac:dyDescent="0.25">
      <c r="B22" s="328">
        <f>+'Detail Summary'!E233</f>
        <v>17</v>
      </c>
      <c r="C22" s="328" t="str">
        <f>+'Detail Summary'!G233</f>
        <v>NA</v>
      </c>
      <c r="D22" s="329">
        <f ca="1">SUMIF($B$6:$B$23,$B22,'Detail Summary'!BD$217:BD$233)</f>
        <v>0</v>
      </c>
      <c r="E22" s="329"/>
      <c r="F22" s="329"/>
      <c r="G22" s="329">
        <f ca="1">SUMIF($B$6:$B$23,$B22,'Detail Summary'!BG$217:BG$233)</f>
        <v>0</v>
      </c>
      <c r="H22" s="329"/>
      <c r="I22" s="329"/>
      <c r="J22" s="329">
        <f ca="1">SUMIF($B$6:$B$23,$B22,'Detail Summary'!BJ$217:BJ$233)</f>
        <v>0</v>
      </c>
      <c r="K22" s="329"/>
      <c r="L22" s="329"/>
      <c r="M22" s="329">
        <f ca="1">SUMIF($B$6:$B$23,$B22,'Detail Summary'!BM$217:BM$233)</f>
        <v>0</v>
      </c>
      <c r="N22" s="329"/>
      <c r="O22" s="329"/>
      <c r="P22" s="329">
        <f ca="1">SUMIF($B$6:$B$23,$B22,'Detail Summary'!BP$217:BP$233)</f>
        <v>0</v>
      </c>
      <c r="Q22" s="329"/>
      <c r="R22" s="329"/>
      <c r="S22" s="329">
        <f ca="1">SUMIF($B$6:$B$23,$B22,'Detail Summary'!BS$217:BS$233)</f>
        <v>0</v>
      </c>
      <c r="T22" s="329"/>
      <c r="U22" s="329"/>
      <c r="V22" s="329">
        <f ca="1">SUMIF($B$6:$B$23,$B22,'Detail Summary'!BV$217:BV$233)</f>
        <v>0</v>
      </c>
      <c r="W22" s="2369"/>
      <c r="X22" s="2369"/>
      <c r="Y22" s="329">
        <f ca="1">SUMIF($B$6:$B$23,$B22,'Detail Summary'!BY$217:BY$233)</f>
        <v>0</v>
      </c>
      <c r="Z22" s="2369"/>
      <c r="AA22" s="2369"/>
      <c r="AB22" s="329">
        <f ca="1">SUMIF($B$6:$B$23,$B22,'Detail Summary'!CB$217:CB$233)</f>
        <v>0</v>
      </c>
      <c r="AC22" s="2369"/>
      <c r="AD22" s="2369"/>
      <c r="AE22" s="329">
        <f ca="1">SUMIF($B$6:$B$23,$B22,'Detail Summary'!CE$217:CE$233)</f>
        <v>0</v>
      </c>
      <c r="AF22" s="2369"/>
      <c r="AG22" s="2369"/>
      <c r="AH22" s="329">
        <f ca="1">SUMIF($B$6:$B$23,$B22,'Detail Summary'!CH$217:CH$233)</f>
        <v>0</v>
      </c>
      <c r="AI22" s="330">
        <f t="shared" ca="1" si="0"/>
        <v>0</v>
      </c>
    </row>
    <row r="23" spans="2:35" ht="15.75" thickBot="1" x14ac:dyDescent="0.3">
      <c r="B23" s="328">
        <f>+'Detail Summary'!E234</f>
        <v>18</v>
      </c>
      <c r="C23" s="328" t="str">
        <f>+'Detail Summary'!G234</f>
        <v>NA</v>
      </c>
      <c r="D23" s="329">
        <f ca="1">SUMIF($B$6:$B$23,$B23,'Detail Summary'!BD$217:BD$233)</f>
        <v>0</v>
      </c>
      <c r="E23" s="329"/>
      <c r="F23" s="329"/>
      <c r="G23" s="329">
        <f ca="1">SUMIF($B$6:$B$23,$B23,'Detail Summary'!BG$217:BG$233)</f>
        <v>0</v>
      </c>
      <c r="H23" s="329"/>
      <c r="I23" s="329"/>
      <c r="J23" s="329">
        <f ca="1">SUMIF($B$6:$B$23,$B23,'Detail Summary'!BJ$217:BJ$233)</f>
        <v>0</v>
      </c>
      <c r="K23" s="329"/>
      <c r="L23" s="329"/>
      <c r="M23" s="329">
        <f ca="1">SUMIF($B$6:$B$23,$B23,'Detail Summary'!BM$217:BM$233)</f>
        <v>0</v>
      </c>
      <c r="N23" s="329"/>
      <c r="O23" s="329"/>
      <c r="P23" s="329">
        <f ca="1">SUMIF($B$6:$B$23,$B23,'Detail Summary'!BP$217:BP$233)</f>
        <v>0</v>
      </c>
      <c r="Q23" s="329"/>
      <c r="R23" s="329"/>
      <c r="S23" s="329">
        <f ca="1">SUMIF($B$6:$B$23,$B23,'Detail Summary'!BS$217:BS$233)</f>
        <v>0</v>
      </c>
      <c r="T23" s="329"/>
      <c r="U23" s="329"/>
      <c r="V23" s="329">
        <f ca="1">SUMIF($B$6:$B$23,$B23,'Detail Summary'!BV$217:BV$233)</f>
        <v>0</v>
      </c>
      <c r="W23" s="2369"/>
      <c r="X23" s="2369"/>
      <c r="Y23" s="329">
        <f ca="1">SUMIF($B$6:$B$23,$B23,'Detail Summary'!BY$217:BY$233)</f>
        <v>0</v>
      </c>
      <c r="Z23" s="2369"/>
      <c r="AA23" s="2369"/>
      <c r="AB23" s="329">
        <f ca="1">SUMIF($B$6:$B$23,$B23,'Detail Summary'!CB$217:CB$233)</f>
        <v>0</v>
      </c>
      <c r="AC23" s="2369"/>
      <c r="AD23" s="2369"/>
      <c r="AE23" s="329">
        <f ca="1">SUMIF($B$6:$B$23,$B23,'Detail Summary'!CE$217:CE$233)</f>
        <v>0</v>
      </c>
      <c r="AF23" s="2369"/>
      <c r="AG23" s="2369"/>
      <c r="AH23" s="329">
        <f ca="1">SUMIF($B$6:$B$23,$B23,'Detail Summary'!CH$217:CH$233)</f>
        <v>0</v>
      </c>
      <c r="AI23" s="330">
        <f t="shared" ca="1" si="0"/>
        <v>0</v>
      </c>
    </row>
    <row r="24" spans="2:35" ht="15.75" thickBot="1" x14ac:dyDescent="0.3">
      <c r="B24" s="331"/>
      <c r="C24" s="331" t="s">
        <v>216</v>
      </c>
      <c r="D24" s="332">
        <f ca="1">SUM(D6:D23)</f>
        <v>375891.79</v>
      </c>
      <c r="E24" s="333"/>
      <c r="F24" s="333"/>
      <c r="G24" s="333">
        <f ca="1">SUM(G6:G23)</f>
        <v>5028.8899999999994</v>
      </c>
      <c r="H24" s="333"/>
      <c r="I24" s="333"/>
      <c r="J24" s="333">
        <f ca="1">SUM(J6:J23)</f>
        <v>34601</v>
      </c>
      <c r="K24" s="333"/>
      <c r="L24" s="333"/>
      <c r="M24" s="333">
        <f ca="1">SUM(M6:M23)</f>
        <v>13568278.435116548</v>
      </c>
      <c r="N24" s="333"/>
      <c r="O24" s="333"/>
      <c r="P24" s="333">
        <f ca="1">SUM(P6:P23)</f>
        <v>21570279.065306548</v>
      </c>
      <c r="Q24" s="333"/>
      <c r="R24" s="333"/>
      <c r="S24" s="333">
        <f ca="1">SUM(S6:S23)</f>
        <v>7120468.8320000004</v>
      </c>
      <c r="T24" s="333"/>
      <c r="U24" s="333"/>
      <c r="V24" s="333">
        <f ca="1">SUM(V6:V23)</f>
        <v>0</v>
      </c>
      <c r="W24" s="2370"/>
      <c r="X24" s="2370"/>
      <c r="Y24" s="333">
        <f ca="1">SUM(Y6:Y23)</f>
        <v>0</v>
      </c>
      <c r="Z24" s="2370"/>
      <c r="AA24" s="2370"/>
      <c r="AB24" s="333">
        <f ca="1">SUM(AB6:AB23)</f>
        <v>0</v>
      </c>
      <c r="AC24" s="2370"/>
      <c r="AD24" s="2370"/>
      <c r="AE24" s="333">
        <f ca="1">SUM(AE6:AE23)</f>
        <v>0</v>
      </c>
      <c r="AF24" s="2370"/>
      <c r="AG24" s="2370"/>
      <c r="AH24" s="333">
        <f ca="1">SUM(AH6:AH23)</f>
        <v>0</v>
      </c>
      <c r="AI24" s="334">
        <f ca="1">SUM(AI6:AI23)</f>
        <v>42674548.012423098</v>
      </c>
    </row>
    <row r="25" spans="2:35" ht="15" x14ac:dyDescent="0.25">
      <c r="E25" s="335"/>
      <c r="F25" s="335"/>
      <c r="G25" s="335"/>
      <c r="H25" s="335"/>
      <c r="I25" s="335"/>
      <c r="J25" s="335"/>
      <c r="K25" s="335"/>
      <c r="L25" s="335"/>
      <c r="M25" s="335"/>
      <c r="N25" s="335"/>
      <c r="O25" s="335"/>
      <c r="P25" s="335"/>
      <c r="Q25" s="335"/>
      <c r="R25" s="335"/>
      <c r="S25" s="335"/>
      <c r="T25" s="335"/>
      <c r="U25" s="335"/>
      <c r="V25" s="335"/>
      <c r="W25" s="335"/>
      <c r="X25" s="335"/>
      <c r="Y25" s="335"/>
      <c r="Z25" s="335"/>
      <c r="AA25" s="335"/>
      <c r="AB25" s="335"/>
      <c r="AC25" s="335"/>
      <c r="AD25" s="335"/>
      <c r="AE25" s="335"/>
      <c r="AF25" s="335"/>
      <c r="AG25" s="335"/>
      <c r="AH25" s="335"/>
      <c r="AI25" s="335"/>
    </row>
    <row r="26" spans="2:35" ht="15" x14ac:dyDescent="0.25">
      <c r="C26" s="9" t="s">
        <v>203</v>
      </c>
      <c r="D26" s="337">
        <f ca="1">+Cover!H46</f>
        <v>376100</v>
      </c>
      <c r="E26" s="336"/>
      <c r="F26" s="336"/>
      <c r="G26" s="337">
        <f ca="1">+Cover!K46</f>
        <v>5000</v>
      </c>
      <c r="H26" s="336"/>
      <c r="I26" s="336"/>
      <c r="J26" s="337">
        <f ca="1">+Cover!N46</f>
        <v>35000</v>
      </c>
      <c r="K26" s="336"/>
      <c r="L26" s="336"/>
      <c r="M26" s="337">
        <f ca="1">+Cover!Q46</f>
        <v>14337500</v>
      </c>
      <c r="N26" s="336"/>
      <c r="O26" s="336"/>
      <c r="P26" s="337">
        <f ca="1">+Cover!T46</f>
        <v>23439600</v>
      </c>
      <c r="Q26" s="336"/>
      <c r="R26" s="336"/>
      <c r="S26" s="337">
        <f ca="1">+Cover!W46</f>
        <v>7903400</v>
      </c>
      <c r="T26" s="336"/>
      <c r="U26" s="336"/>
      <c r="V26" s="337">
        <f ca="1">+Cover!Z46</f>
        <v>0</v>
      </c>
      <c r="W26" s="337"/>
      <c r="X26" s="337"/>
      <c r="Y26" s="337">
        <f ca="1">+Cover!AC46</f>
        <v>0</v>
      </c>
      <c r="Z26" s="337"/>
      <c r="AA26" s="337"/>
      <c r="AB26" s="337">
        <f ca="1">+Cover!AF46</f>
        <v>0</v>
      </c>
      <c r="AC26" s="337"/>
      <c r="AD26" s="337"/>
      <c r="AE26" s="337">
        <f ca="1">+Cover!AI46</f>
        <v>0</v>
      </c>
      <c r="AF26" s="337"/>
      <c r="AG26" s="337"/>
      <c r="AH26" s="337">
        <f ca="1">+Cover!AL46</f>
        <v>0</v>
      </c>
      <c r="AI26" s="335">
        <f ca="1">SUM(D26:AH26)</f>
        <v>46096600</v>
      </c>
    </row>
    <row r="27" spans="2:35" ht="15" x14ac:dyDescent="0.25">
      <c r="C27" t="s">
        <v>217</v>
      </c>
      <c r="E27" s="335"/>
      <c r="F27" s="335"/>
      <c r="G27" s="335">
        <f ca="1">G26-G24</f>
        <v>-28.889999999999418</v>
      </c>
      <c r="H27" s="335"/>
      <c r="I27" s="335"/>
      <c r="J27" s="335">
        <f ca="1">J26-J24</f>
        <v>399</v>
      </c>
      <c r="K27" s="335"/>
      <c r="L27" s="335"/>
      <c r="M27" s="335">
        <f ca="1">M26-M24</f>
        <v>769221.56488345191</v>
      </c>
      <c r="N27" s="335"/>
      <c r="O27" s="335"/>
      <c r="P27" s="335">
        <f ca="1">P26-P24</f>
        <v>1869320.934693452</v>
      </c>
      <c r="Q27" s="335"/>
      <c r="R27" s="335"/>
      <c r="S27" s="335">
        <f ca="1">S26-S24</f>
        <v>782931.1679999996</v>
      </c>
      <c r="T27" s="335"/>
      <c r="U27" s="335"/>
      <c r="V27" s="335">
        <f ca="1">V26-V24</f>
        <v>0</v>
      </c>
      <c r="W27" s="335"/>
      <c r="X27" s="335"/>
      <c r="Y27" s="335">
        <f ca="1">Y26-Y24</f>
        <v>0</v>
      </c>
      <c r="Z27" s="335"/>
      <c r="AA27" s="335"/>
      <c r="AB27" s="335">
        <f ca="1">AB26-AB24</f>
        <v>0</v>
      </c>
      <c r="AC27" s="335"/>
      <c r="AD27" s="335"/>
      <c r="AE27" s="335">
        <f ca="1">AE26-AE24</f>
        <v>0</v>
      </c>
      <c r="AF27" s="335"/>
      <c r="AG27" s="335"/>
      <c r="AH27" s="335">
        <f ca="1">AH26-AH24</f>
        <v>0</v>
      </c>
      <c r="AI27" s="335">
        <f ca="1">AI26-AI24</f>
        <v>3422051.9875769019</v>
      </c>
    </row>
    <row r="28" spans="2:35" ht="15" x14ac:dyDescent="0.25">
      <c r="E28" s="335"/>
      <c r="F28" s="335"/>
    </row>
    <row r="29" spans="2:35" ht="15.75" thickBot="1" x14ac:dyDescent="0.3">
      <c r="B29" s="11" t="s">
        <v>218</v>
      </c>
      <c r="C29" s="11" t="s">
        <v>219</v>
      </c>
    </row>
    <row r="30" spans="2:35" ht="16.5" thickBot="1" x14ac:dyDescent="0.3">
      <c r="B30" s="316" t="s">
        <v>90</v>
      </c>
      <c r="C30" s="316" t="s">
        <v>214</v>
      </c>
      <c r="D30" s="317">
        <f>+D4</f>
        <v>0</v>
      </c>
      <c r="E30" s="318"/>
      <c r="F30" s="318"/>
      <c r="G30" s="319"/>
      <c r="H30" s="318"/>
      <c r="I30" s="318"/>
      <c r="J30" s="320"/>
      <c r="K30" s="320"/>
      <c r="L30" s="320"/>
      <c r="M30" s="321"/>
      <c r="N30" s="321"/>
      <c r="O30" s="321"/>
      <c r="P30" s="322"/>
      <c r="Q30" s="322"/>
      <c r="R30" s="322"/>
      <c r="S30" s="323">
        <f>+S4</f>
        <v>0</v>
      </c>
      <c r="T30" s="318"/>
      <c r="U30" s="318"/>
      <c r="V30" s="318"/>
      <c r="W30" s="318"/>
      <c r="X30" s="318"/>
      <c r="Y30" s="318"/>
      <c r="Z30" s="318"/>
      <c r="AA30" s="318"/>
      <c r="AB30" s="318"/>
      <c r="AC30" s="318"/>
      <c r="AD30" s="318"/>
      <c r="AE30" s="318"/>
      <c r="AF30" s="318"/>
      <c r="AG30" s="318"/>
      <c r="AH30" s="318"/>
      <c r="AI30" s="324"/>
    </row>
    <row r="31" spans="2:35" ht="15" x14ac:dyDescent="0.25">
      <c r="B31" s="325"/>
      <c r="C31" s="325"/>
      <c r="D31" s="326" t="s">
        <v>215</v>
      </c>
      <c r="E31" s="326"/>
      <c r="F31" s="326"/>
      <c r="G31" s="1841">
        <f>+G5</f>
        <v>45292</v>
      </c>
      <c r="H31" s="1841"/>
      <c r="I31" s="1841"/>
      <c r="J31" s="1841">
        <f>+J5</f>
        <v>45658</v>
      </c>
      <c r="K31" s="1841"/>
      <c r="L31" s="1841">
        <f>+L5</f>
        <v>0</v>
      </c>
      <c r="M31" s="1841">
        <f>+M5</f>
        <v>46023</v>
      </c>
      <c r="N31" s="1841"/>
      <c r="O31" s="1841"/>
      <c r="P31" s="1841">
        <f>+P5</f>
        <v>46388</v>
      </c>
      <c r="Q31" s="1841"/>
      <c r="R31" s="1841"/>
      <c r="S31" s="1841">
        <f>+S5</f>
        <v>46753</v>
      </c>
      <c r="T31" s="1841"/>
      <c r="U31" s="1841"/>
      <c r="V31" s="1841">
        <f>+V5</f>
        <v>47119</v>
      </c>
      <c r="W31" s="2368"/>
      <c r="X31" s="2368"/>
      <c r="Y31" s="1841">
        <f>+Y5</f>
        <v>47484</v>
      </c>
      <c r="Z31" s="2368"/>
      <c r="AA31" s="2368"/>
      <c r="AB31" s="1841">
        <f>+AB5</f>
        <v>47849</v>
      </c>
      <c r="AC31" s="2368"/>
      <c r="AD31" s="2368"/>
      <c r="AE31" s="1841">
        <f>+AE5</f>
        <v>48214</v>
      </c>
      <c r="AF31" s="2368"/>
      <c r="AG31" s="2368"/>
      <c r="AH31" s="1841">
        <f>+AH5</f>
        <v>48580</v>
      </c>
      <c r="AI31" s="327" t="s">
        <v>216</v>
      </c>
    </row>
    <row r="32" spans="2:35" ht="15" x14ac:dyDescent="0.25">
      <c r="B32" s="328">
        <f t="shared" ref="B32:B49" si="1">+B6</f>
        <v>1</v>
      </c>
      <c r="C32" s="328" t="str">
        <f>VLOOKUP(B32,Parameters!$D$159:$E$301,2)</f>
        <v>ROW / Easements / Land purchases</v>
      </c>
      <c r="D32" s="329">
        <f ca="1">SUMIF($B$6:$B$23,$B32,'Detail Summary'!L$217:L$233)</f>
        <v>0</v>
      </c>
      <c r="E32" s="329"/>
      <c r="F32" s="329"/>
      <c r="G32" s="329">
        <f ca="1">SUMIF($B$6:$B$23,$B32,'Detail Summary'!O$217:O$233)</f>
        <v>0</v>
      </c>
      <c r="H32" s="329"/>
      <c r="I32" s="329"/>
      <c r="J32" s="329">
        <f ca="1">SUMIF($B$6:$B$23,$B32,'Detail Summary'!R$217:R$233)</f>
        <v>0</v>
      </c>
      <c r="K32" s="329"/>
      <c r="L32" s="329"/>
      <c r="M32" s="329">
        <f ca="1">SUMIF($B$6:$B$23,$B32,'Detail Summary'!U$217:U$233)</f>
        <v>0</v>
      </c>
      <c r="N32" s="329"/>
      <c r="O32" s="329"/>
      <c r="P32" s="329">
        <f ca="1">SUMIF($B$6:$B$23,$B32,'Detail Summary'!X$217:X$233)</f>
        <v>0</v>
      </c>
      <c r="Q32" s="329"/>
      <c r="R32" s="329"/>
      <c r="S32" s="329">
        <f ca="1">SUMIF($B$6:$B$23,$B32,'Detail Summary'!AA$217:AA$233)</f>
        <v>0</v>
      </c>
      <c r="T32" s="329"/>
      <c r="U32" s="329"/>
      <c r="V32" s="329">
        <f ca="1">SUMIF($B$6:$B$23,$B32,'Detail Summary'!AD$217:AD$233)</f>
        <v>0</v>
      </c>
      <c r="W32" s="2369"/>
      <c r="X32" s="2369"/>
      <c r="Y32" s="329">
        <f ca="1">SUMIF($B$6:$B$23,$B32,'Detail Summary'!AG$217:AG$233)</f>
        <v>0</v>
      </c>
      <c r="Z32" s="2369"/>
      <c r="AA32" s="2369"/>
      <c r="AB32" s="329">
        <f ca="1">SUMIF($B$6:$B$23,$B32,'Detail Summary'!AJ$217:AJ$233)</f>
        <v>0</v>
      </c>
      <c r="AC32" s="2369"/>
      <c r="AD32" s="2369"/>
      <c r="AE32" s="329">
        <f ca="1">SUMIF($B$6:$B$23,$B32,'Detail Summary'!AM$217:AM$233)</f>
        <v>0</v>
      </c>
      <c r="AF32" s="2369"/>
      <c r="AG32" s="2369"/>
      <c r="AH32" s="329">
        <f ca="1">SUMIF($B$6:$B$23,$B32,'Detail Summary'!AP$217:AP$233)</f>
        <v>0</v>
      </c>
      <c r="AI32" s="330">
        <f ca="1">SUM(D32:AH32)</f>
        <v>0</v>
      </c>
    </row>
    <row r="33" spans="2:35" ht="15" x14ac:dyDescent="0.25">
      <c r="B33" s="328">
        <f t="shared" si="1"/>
        <v>2</v>
      </c>
      <c r="C33" s="328" t="str">
        <f>VLOOKUP(B33,Parameters!$D$159:$E$301,2)</f>
        <v>Environmental Approvals / Permits</v>
      </c>
      <c r="D33" s="329">
        <f ca="1">SUMIF($B$6:$B$23,$B33,'Detail Summary'!L$217:L$233)</f>
        <v>5060.05</v>
      </c>
      <c r="E33" s="329"/>
      <c r="F33" s="329"/>
      <c r="G33" s="329">
        <f ca="1">SUMIF($B$6:$B$23,$B33,'Detail Summary'!O$217:O$233)</f>
        <v>0</v>
      </c>
      <c r="H33" s="329"/>
      <c r="I33" s="329"/>
      <c r="J33" s="329">
        <f ca="1">SUMIF($B$6:$B$23,$B33,'Detail Summary'!R$217:R$233)</f>
        <v>0</v>
      </c>
      <c r="K33" s="329"/>
      <c r="L33" s="329"/>
      <c r="M33" s="329">
        <f ca="1">SUMIF($B$6:$B$23,$B33,'Detail Summary'!U$217:U$233)</f>
        <v>77721</v>
      </c>
      <c r="N33" s="329"/>
      <c r="O33" s="329"/>
      <c r="P33" s="329">
        <f ca="1">SUMIF($B$6:$B$23,$B33,'Detail Summary'!X$217:X$233)</f>
        <v>160106</v>
      </c>
      <c r="Q33" s="329"/>
      <c r="R33" s="329"/>
      <c r="S33" s="329">
        <f ca="1">SUMIF($B$6:$B$23,$B33,'Detail Summary'!AA$217:AA$233)</f>
        <v>82454</v>
      </c>
      <c r="T33" s="329"/>
      <c r="U33" s="329"/>
      <c r="V33" s="329">
        <f ca="1">SUMIF($B$6:$B$23,$B33,'Detail Summary'!AD$217:AD$233)</f>
        <v>0</v>
      </c>
      <c r="W33" s="2369"/>
      <c r="X33" s="2369"/>
      <c r="Y33" s="329">
        <f ca="1">SUMIF($B$6:$B$23,$B33,'Detail Summary'!AG$217:AG$233)</f>
        <v>0</v>
      </c>
      <c r="Z33" s="2369"/>
      <c r="AA33" s="2369"/>
      <c r="AB33" s="329">
        <f ca="1">SUMIF($B$6:$B$23,$B33,'Detail Summary'!AJ$217:AJ$233)</f>
        <v>0</v>
      </c>
      <c r="AC33" s="2369"/>
      <c r="AD33" s="2369"/>
      <c r="AE33" s="329">
        <f ca="1">SUMIF($B$6:$B$23,$B33,'Detail Summary'!AM$217:AM$233)</f>
        <v>0</v>
      </c>
      <c r="AF33" s="2369"/>
      <c r="AG33" s="2369"/>
      <c r="AH33" s="329">
        <f ca="1">SUMIF($B$6:$B$23,$B33,'Detail Summary'!AP$217:AP$233)</f>
        <v>0</v>
      </c>
      <c r="AI33" s="330">
        <f t="shared" ref="AI33:AI49" ca="1" si="2">SUM(D33:AH33)</f>
        <v>325341.05</v>
      </c>
    </row>
    <row r="34" spans="2:35" ht="15" x14ac:dyDescent="0.25">
      <c r="B34" s="328">
        <f t="shared" si="1"/>
        <v>3</v>
      </c>
      <c r="C34" s="328" t="str">
        <f>VLOOKUP(B34,Parameters!$D$159:$E$301,2)</f>
        <v>Outreach</v>
      </c>
      <c r="D34" s="329">
        <f ca="1">SUMIF($B$6:$B$23,$B34,'Detail Summary'!L$217:L$233)</f>
        <v>10968.12</v>
      </c>
      <c r="E34" s="329"/>
      <c r="F34" s="329"/>
      <c r="G34" s="329">
        <f ca="1">SUMIF($B$6:$B$23,$B34,'Detail Summary'!O$217:O$233)</f>
        <v>0</v>
      </c>
      <c r="H34" s="329"/>
      <c r="I34" s="329"/>
      <c r="J34" s="329">
        <f ca="1">SUMIF($B$6:$B$23,$B34,'Detail Summary'!R$217:R$233)</f>
        <v>0</v>
      </c>
      <c r="K34" s="329"/>
      <c r="L34" s="329"/>
      <c r="M34" s="329">
        <f ca="1">SUMIF($B$6:$B$23,$B34,'Detail Summary'!U$217:U$233)</f>
        <v>123792</v>
      </c>
      <c r="N34" s="329"/>
      <c r="O34" s="329"/>
      <c r="P34" s="329">
        <f ca="1">SUMIF($B$6:$B$23,$B34,'Detail Summary'!X$217:X$233)</f>
        <v>164229</v>
      </c>
      <c r="Q34" s="329"/>
      <c r="R34" s="329"/>
      <c r="S34" s="329">
        <f ca="1">SUMIF($B$6:$B$23,$B34,'Detail Summary'!AA$217:AA$233)</f>
        <v>30947</v>
      </c>
      <c r="T34" s="329"/>
      <c r="U34" s="329"/>
      <c r="V34" s="329">
        <f ca="1">SUMIF($B$6:$B$23,$B34,'Detail Summary'!AD$217:AD$233)</f>
        <v>0</v>
      </c>
      <c r="W34" s="2369"/>
      <c r="X34" s="2369"/>
      <c r="Y34" s="329">
        <f ca="1">SUMIF($B$6:$B$23,$B34,'Detail Summary'!AG$217:AG$233)</f>
        <v>0</v>
      </c>
      <c r="Z34" s="2369"/>
      <c r="AA34" s="2369"/>
      <c r="AB34" s="329">
        <f ca="1">SUMIF($B$6:$B$23,$B34,'Detail Summary'!AJ$217:AJ$233)</f>
        <v>0</v>
      </c>
      <c r="AC34" s="2369"/>
      <c r="AD34" s="2369"/>
      <c r="AE34" s="329">
        <f ca="1">SUMIF($B$6:$B$23,$B34,'Detail Summary'!AM$217:AM$233)</f>
        <v>0</v>
      </c>
      <c r="AF34" s="2369"/>
      <c r="AG34" s="2369"/>
      <c r="AH34" s="329">
        <f ca="1">SUMIF($B$6:$B$23,$B34,'Detail Summary'!AP$217:AP$233)</f>
        <v>0</v>
      </c>
      <c r="AI34" s="330">
        <f t="shared" ca="1" si="2"/>
        <v>329936.12</v>
      </c>
    </row>
    <row r="35" spans="2:35" ht="15" x14ac:dyDescent="0.25">
      <c r="B35" s="328">
        <f t="shared" si="1"/>
        <v>4</v>
      </c>
      <c r="C35" s="328" t="str">
        <f>VLOOKUP(B35,Parameters!$D$159:$E$301,2)</f>
        <v>Siting Approvals / Permits</v>
      </c>
      <c r="D35" s="329">
        <f ca="1">SUMIF($B$6:$B$23,$B35,'Detail Summary'!L$217:L$233)</f>
        <v>10307</v>
      </c>
      <c r="E35" s="329"/>
      <c r="F35" s="329"/>
      <c r="G35" s="329">
        <f ca="1">SUMIF($B$6:$B$23,$B35,'Detail Summary'!O$217:O$233)</f>
        <v>0</v>
      </c>
      <c r="H35" s="329"/>
      <c r="I35" s="329"/>
      <c r="J35" s="329">
        <f ca="1">SUMIF($B$6:$B$23,$B35,'Detail Summary'!R$217:R$233)</f>
        <v>0</v>
      </c>
      <c r="K35" s="329"/>
      <c r="L35" s="329"/>
      <c r="M35" s="329">
        <f ca="1">SUMIF($B$6:$B$23,$B35,'Detail Summary'!U$217:U$233)</f>
        <v>113459</v>
      </c>
      <c r="N35" s="329"/>
      <c r="O35" s="329"/>
      <c r="P35" s="329">
        <f ca="1">SUMIF($B$6:$B$23,$B35,'Detail Summary'!X$217:X$233)</f>
        <v>150606</v>
      </c>
      <c r="Q35" s="329"/>
      <c r="R35" s="329"/>
      <c r="S35" s="329">
        <f ca="1">SUMIF($B$6:$B$23,$B35,'Detail Summary'!AA$217:AA$233)</f>
        <v>28267</v>
      </c>
      <c r="T35" s="329"/>
      <c r="U35" s="329"/>
      <c r="V35" s="329">
        <f ca="1">SUMIF($B$6:$B$23,$B35,'Detail Summary'!AD$217:AD$233)</f>
        <v>0</v>
      </c>
      <c r="W35" s="2369"/>
      <c r="X35" s="2369"/>
      <c r="Y35" s="329">
        <f ca="1">SUMIF($B$6:$B$23,$B35,'Detail Summary'!AG$217:AG$233)</f>
        <v>0</v>
      </c>
      <c r="Z35" s="2369"/>
      <c r="AA35" s="2369"/>
      <c r="AB35" s="329">
        <f ca="1">SUMIF($B$6:$B$23,$B35,'Detail Summary'!AJ$217:AJ$233)</f>
        <v>0</v>
      </c>
      <c r="AC35" s="2369"/>
      <c r="AD35" s="2369"/>
      <c r="AE35" s="329">
        <f ca="1">SUMIF($B$6:$B$23,$B35,'Detail Summary'!AM$217:AM$233)</f>
        <v>0</v>
      </c>
      <c r="AF35" s="2369"/>
      <c r="AG35" s="2369"/>
      <c r="AH35" s="329">
        <f ca="1">SUMIF($B$6:$B$23,$B35,'Detail Summary'!AP$217:AP$233)</f>
        <v>0</v>
      </c>
      <c r="AI35" s="330">
        <f t="shared" ca="1" si="2"/>
        <v>302639</v>
      </c>
    </row>
    <row r="36" spans="2:35" ht="15" x14ac:dyDescent="0.25">
      <c r="B36" s="328">
        <f t="shared" si="1"/>
        <v>5</v>
      </c>
      <c r="C36" s="328" t="str">
        <f>VLOOKUP(B36,Parameters!$D$159:$E$301,2)</f>
        <v>Engineering / Design</v>
      </c>
      <c r="D36" s="329">
        <f ca="1">SUMIF($B$6:$B$23,$B36,'Detail Summary'!L$217:L$233)</f>
        <v>16424.059999999998</v>
      </c>
      <c r="E36" s="329"/>
      <c r="F36" s="329"/>
      <c r="G36" s="329">
        <f ca="1">SUMIF($B$6:$B$23,$B36,'Detail Summary'!O$217:O$233)</f>
        <v>0</v>
      </c>
      <c r="H36" s="329"/>
      <c r="I36" s="329"/>
      <c r="J36" s="329">
        <f ca="1">SUMIF($B$6:$B$23,$B36,'Detail Summary'!R$217:R$233)</f>
        <v>0</v>
      </c>
      <c r="K36" s="329"/>
      <c r="L36" s="329"/>
      <c r="M36" s="329">
        <f ca="1">SUMIF($B$6:$B$23,$B36,'Detail Summary'!U$217:U$233)</f>
        <v>393710</v>
      </c>
      <c r="N36" s="329"/>
      <c r="O36" s="329"/>
      <c r="P36" s="329">
        <f ca="1">SUMIF($B$6:$B$23,$B36,'Detail Summary'!X$217:X$233)</f>
        <v>383976</v>
      </c>
      <c r="Q36" s="329"/>
      <c r="R36" s="329"/>
      <c r="S36" s="329">
        <f ca="1">SUMIF($B$6:$B$23,$B36,'Detail Summary'!AA$217:AA$233)</f>
        <v>37882</v>
      </c>
      <c r="T36" s="329"/>
      <c r="U36" s="329"/>
      <c r="V36" s="329">
        <f ca="1">SUMIF($B$6:$B$23,$B36,'Detail Summary'!AD$217:AD$233)</f>
        <v>0</v>
      </c>
      <c r="W36" s="2369"/>
      <c r="X36" s="2369"/>
      <c r="Y36" s="329">
        <f ca="1">SUMIF($B$6:$B$23,$B36,'Detail Summary'!AG$217:AG$233)</f>
        <v>0</v>
      </c>
      <c r="Z36" s="2369"/>
      <c r="AA36" s="2369"/>
      <c r="AB36" s="329">
        <f ca="1">SUMIF($B$6:$B$23,$B36,'Detail Summary'!AJ$217:AJ$233)</f>
        <v>0</v>
      </c>
      <c r="AC36" s="2369"/>
      <c r="AD36" s="2369"/>
      <c r="AE36" s="329">
        <f ca="1">SUMIF($B$6:$B$23,$B36,'Detail Summary'!AM$217:AM$233)</f>
        <v>0</v>
      </c>
      <c r="AF36" s="2369"/>
      <c r="AG36" s="2369"/>
      <c r="AH36" s="329">
        <f ca="1">SUMIF($B$6:$B$23,$B36,'Detail Summary'!AP$217:AP$233)</f>
        <v>0</v>
      </c>
      <c r="AI36" s="330">
        <f t="shared" ca="1" si="2"/>
        <v>831992.06</v>
      </c>
    </row>
    <row r="37" spans="2:35" ht="15" x14ac:dyDescent="0.25">
      <c r="B37" s="328">
        <f t="shared" si="1"/>
        <v>6</v>
      </c>
      <c r="C37" s="328" t="str">
        <f>VLOOKUP(B37,Parameters!$D$159:$E$301,2)</f>
        <v>Materials ( Eversource purchased)</v>
      </c>
      <c r="D37" s="329">
        <f ca="1">SUMIF($B$6:$B$23,$B37,'Detail Summary'!L$217:L$233)</f>
        <v>2358</v>
      </c>
      <c r="E37" s="329"/>
      <c r="F37" s="329"/>
      <c r="G37" s="329">
        <f ca="1">SUMIF($B$6:$B$23,$B37,'Detail Summary'!O$217:O$233)</f>
        <v>0</v>
      </c>
      <c r="H37" s="329"/>
      <c r="I37" s="329"/>
      <c r="J37" s="329">
        <f ca="1">SUMIF($B$6:$B$23,$B37,'Detail Summary'!R$217:R$233)</f>
        <v>0</v>
      </c>
      <c r="K37" s="329"/>
      <c r="L37" s="329"/>
      <c r="M37" s="329">
        <f ca="1">SUMIF($B$6:$B$23,$B37,'Detail Summary'!U$217:U$233)</f>
        <v>9639171.8995999992</v>
      </c>
      <c r="N37" s="329"/>
      <c r="O37" s="329"/>
      <c r="P37" s="329">
        <f ca="1">SUMIF($B$6:$B$23,$B37,'Detail Summary'!X$217:X$233)</f>
        <v>9928347.0565879997</v>
      </c>
      <c r="Q37" s="329"/>
      <c r="R37" s="329"/>
      <c r="S37" s="329">
        <f ca="1">SUMIF($B$6:$B$23,$B37,'Detail Summary'!AA$217:AA$233)</f>
        <v>0</v>
      </c>
      <c r="T37" s="329"/>
      <c r="U37" s="329"/>
      <c r="V37" s="329">
        <f ca="1">SUMIF($B$6:$B$23,$B37,'Detail Summary'!AD$217:AD$233)</f>
        <v>0</v>
      </c>
      <c r="W37" s="2369"/>
      <c r="X37" s="2369"/>
      <c r="Y37" s="329">
        <f ca="1">SUMIF($B$6:$B$23,$B37,'Detail Summary'!AG$217:AG$233)</f>
        <v>0</v>
      </c>
      <c r="Z37" s="2369"/>
      <c r="AA37" s="2369"/>
      <c r="AB37" s="329">
        <f ca="1">SUMIF($B$6:$B$23,$B37,'Detail Summary'!AJ$217:AJ$233)</f>
        <v>0</v>
      </c>
      <c r="AC37" s="2369"/>
      <c r="AD37" s="2369"/>
      <c r="AE37" s="329">
        <f ca="1">SUMIF($B$6:$B$23,$B37,'Detail Summary'!AM$217:AM$233)</f>
        <v>0</v>
      </c>
      <c r="AF37" s="2369"/>
      <c r="AG37" s="2369"/>
      <c r="AH37" s="329">
        <f ca="1">SUMIF($B$6:$B$23,$B37,'Detail Summary'!AP$217:AP$233)</f>
        <v>0</v>
      </c>
      <c r="AI37" s="330">
        <f t="shared" ca="1" si="2"/>
        <v>19569876.956188001</v>
      </c>
    </row>
    <row r="38" spans="2:35" ht="15" x14ac:dyDescent="0.25">
      <c r="B38" s="328">
        <f t="shared" si="1"/>
        <v>7</v>
      </c>
      <c r="C38" s="328" t="str">
        <f>VLOOKUP(B38,Parameters!$D$159:$E$301,2)</f>
        <v>Construction  ( incl materials by contractors)</v>
      </c>
      <c r="D38" s="329">
        <f ca="1">SUMIF($B$6:$B$23,$B38,'Detail Summary'!L$217:L$233)</f>
        <v>10963.25</v>
      </c>
      <c r="E38" s="329"/>
      <c r="F38" s="329"/>
      <c r="G38" s="329">
        <f ca="1">SUMIF($B$6:$B$23,$B38,'Detail Summary'!O$217:O$233)</f>
        <v>0</v>
      </c>
      <c r="H38" s="329"/>
      <c r="I38" s="329"/>
      <c r="J38" s="329">
        <f ca="1">SUMIF($B$6:$B$23,$B38,'Detail Summary'!R$217:R$233)</f>
        <v>0</v>
      </c>
      <c r="K38" s="329"/>
      <c r="L38" s="329"/>
      <c r="M38" s="329">
        <f ca="1">SUMIF($B$6:$B$23,$B38,'Detail Summary'!U$217:U$233)</f>
        <v>795.67499999999995</v>
      </c>
      <c r="N38" s="329"/>
      <c r="O38" s="329"/>
      <c r="P38" s="329">
        <f ca="1">SUMIF($B$6:$B$23,$B38,'Detail Summary'!X$217:X$233)</f>
        <v>2771318.4348784005</v>
      </c>
      <c r="Q38" s="329"/>
      <c r="R38" s="329"/>
      <c r="S38" s="329">
        <f ca="1">SUMIF($B$6:$B$23,$B38,'Detail Summary'!AA$217:AA$233)</f>
        <v>1788703.7526781682</v>
      </c>
      <c r="T38" s="329"/>
      <c r="U38" s="329"/>
      <c r="V38" s="329">
        <f ca="1">SUMIF($B$6:$B$23,$B38,'Detail Summary'!AD$217:AD$233)</f>
        <v>0</v>
      </c>
      <c r="W38" s="2369"/>
      <c r="X38" s="2369"/>
      <c r="Y38" s="329">
        <f ca="1">SUMIF($B$6:$B$23,$B38,'Detail Summary'!AG$217:AG$233)</f>
        <v>0</v>
      </c>
      <c r="Z38" s="2369"/>
      <c r="AA38" s="2369"/>
      <c r="AB38" s="329">
        <f ca="1">SUMIF($B$6:$B$23,$B38,'Detail Summary'!AJ$217:AJ$233)</f>
        <v>0</v>
      </c>
      <c r="AC38" s="2369"/>
      <c r="AD38" s="2369"/>
      <c r="AE38" s="329">
        <f ca="1">SUMIF($B$6:$B$23,$B38,'Detail Summary'!AM$217:AM$233)</f>
        <v>0</v>
      </c>
      <c r="AF38" s="2369"/>
      <c r="AG38" s="2369"/>
      <c r="AH38" s="329">
        <f ca="1">SUMIF($B$6:$B$23,$B38,'Detail Summary'!AP$217:AP$233)</f>
        <v>0</v>
      </c>
      <c r="AI38" s="330">
        <f t="shared" ca="1" si="2"/>
        <v>4571781.1125565683</v>
      </c>
    </row>
    <row r="39" spans="2:35" ht="15" x14ac:dyDescent="0.25">
      <c r="B39" s="328">
        <f t="shared" si="1"/>
        <v>8</v>
      </c>
      <c r="C39" s="328" t="str">
        <f>VLOOKUP(B39,Parameters!$D$159:$E$301,2)</f>
        <v>Testing / Commissioning</v>
      </c>
      <c r="D39" s="329">
        <f ca="1">SUMIF($B$6:$B$23,$B39,'Detail Summary'!L$217:L$233)</f>
        <v>0</v>
      </c>
      <c r="E39" s="329"/>
      <c r="F39" s="329"/>
      <c r="G39" s="329">
        <f ca="1">SUMIF($B$6:$B$23,$B39,'Detail Summary'!O$217:O$233)</f>
        <v>0</v>
      </c>
      <c r="H39" s="329"/>
      <c r="I39" s="329"/>
      <c r="J39" s="329">
        <f ca="1">SUMIF($B$6:$B$23,$B39,'Detail Summary'!R$217:R$233)</f>
        <v>0</v>
      </c>
      <c r="K39" s="329"/>
      <c r="L39" s="329"/>
      <c r="M39" s="329">
        <f ca="1">SUMIF($B$6:$B$23,$B39,'Detail Summary'!U$217:U$233)</f>
        <v>0</v>
      </c>
      <c r="N39" s="329"/>
      <c r="O39" s="329"/>
      <c r="P39" s="329">
        <f ca="1">SUMIF($B$6:$B$23,$B39,'Detail Summary'!X$217:X$233)</f>
        <v>311502</v>
      </c>
      <c r="Q39" s="329"/>
      <c r="R39" s="329"/>
      <c r="S39" s="329">
        <f ca="1">SUMIF($B$6:$B$23,$B39,'Detail Summary'!AA$217:AA$233)</f>
        <v>752332</v>
      </c>
      <c r="T39" s="329"/>
      <c r="U39" s="329"/>
      <c r="V39" s="329">
        <f ca="1">SUMIF($B$6:$B$23,$B39,'Detail Summary'!AD$217:AD$233)</f>
        <v>0</v>
      </c>
      <c r="W39" s="2369"/>
      <c r="X39" s="2369"/>
      <c r="Y39" s="329">
        <f ca="1">SUMIF($B$6:$B$23,$B39,'Detail Summary'!AG$217:AG$233)</f>
        <v>0</v>
      </c>
      <c r="Z39" s="2369"/>
      <c r="AA39" s="2369"/>
      <c r="AB39" s="329">
        <f ca="1">SUMIF($B$6:$B$23,$B39,'Detail Summary'!AJ$217:AJ$233)</f>
        <v>0</v>
      </c>
      <c r="AC39" s="2369"/>
      <c r="AD39" s="2369"/>
      <c r="AE39" s="329">
        <f ca="1">SUMIF($B$6:$B$23,$B39,'Detail Summary'!AM$217:AM$233)</f>
        <v>0</v>
      </c>
      <c r="AF39" s="2369"/>
      <c r="AG39" s="2369"/>
      <c r="AH39" s="329">
        <f ca="1">SUMIF($B$6:$B$23,$B39,'Detail Summary'!AP$217:AP$233)</f>
        <v>0</v>
      </c>
      <c r="AI39" s="330">
        <f t="shared" ca="1" si="2"/>
        <v>1063834</v>
      </c>
    </row>
    <row r="40" spans="2:35" ht="15" x14ac:dyDescent="0.25">
      <c r="B40" s="328">
        <f t="shared" si="1"/>
        <v>9</v>
      </c>
      <c r="C40" s="328" t="str">
        <f>VLOOKUP(B40,Parameters!$D$159:$E$301,2)</f>
        <v>PMT Project Mgmt Team</v>
      </c>
      <c r="D40" s="329">
        <f ca="1">SUMIF($B$6:$B$23,$B40,'Detail Summary'!L$217:L$233)</f>
        <v>74262.149999999994</v>
      </c>
      <c r="E40" s="329"/>
      <c r="F40" s="329"/>
      <c r="G40" s="329">
        <f ca="1">SUMIF($B$6:$B$23,$B40,'Detail Summary'!O$217:O$233)</f>
        <v>0</v>
      </c>
      <c r="H40" s="329"/>
      <c r="I40" s="329"/>
      <c r="J40" s="329">
        <f ca="1">SUMIF($B$6:$B$23,$B40,'Detail Summary'!R$217:R$233)</f>
        <v>0</v>
      </c>
      <c r="K40" s="329"/>
      <c r="L40" s="329"/>
      <c r="M40" s="329">
        <f ca="1">SUMIF($B$6:$B$23,$B40,'Detail Summary'!U$217:U$233)</f>
        <v>193221</v>
      </c>
      <c r="N40" s="329"/>
      <c r="O40" s="329"/>
      <c r="P40" s="329">
        <f ca="1">SUMIF($B$6:$B$23,$B40,'Detail Summary'!X$217:X$233)</f>
        <v>406636</v>
      </c>
      <c r="Q40" s="329"/>
      <c r="R40" s="329"/>
      <c r="S40" s="329">
        <f ca="1">SUMIF($B$6:$B$23,$B40,'Detail Summary'!AA$217:AA$233)</f>
        <v>384267</v>
      </c>
      <c r="T40" s="329"/>
      <c r="U40" s="329"/>
      <c r="V40" s="329">
        <f ca="1">SUMIF($B$6:$B$23,$B40,'Detail Summary'!AD$217:AD$233)</f>
        <v>0</v>
      </c>
      <c r="W40" s="2369"/>
      <c r="X40" s="2369"/>
      <c r="Y40" s="329">
        <f ca="1">SUMIF($B$6:$B$23,$B40,'Detail Summary'!AG$217:AG$233)</f>
        <v>0</v>
      </c>
      <c r="Z40" s="2369"/>
      <c r="AA40" s="2369"/>
      <c r="AB40" s="329">
        <f ca="1">SUMIF($B$6:$B$23,$B40,'Detail Summary'!AJ$217:AJ$233)</f>
        <v>0</v>
      </c>
      <c r="AC40" s="2369"/>
      <c r="AD40" s="2369"/>
      <c r="AE40" s="329">
        <f ca="1">SUMIF($B$6:$B$23,$B40,'Detail Summary'!AM$217:AM$233)</f>
        <v>0</v>
      </c>
      <c r="AF40" s="2369"/>
      <c r="AG40" s="2369"/>
      <c r="AH40" s="329">
        <f ca="1">SUMIF($B$6:$B$23,$B40,'Detail Summary'!AP$217:AP$233)</f>
        <v>0</v>
      </c>
      <c r="AI40" s="330">
        <f t="shared" ca="1" si="2"/>
        <v>1058386.1499999999</v>
      </c>
    </row>
    <row r="41" spans="2:35" ht="15" x14ac:dyDescent="0.25">
      <c r="B41" s="328">
        <f t="shared" si="1"/>
        <v>10</v>
      </c>
      <c r="C41" s="328" t="str">
        <f>VLOOKUP(B41,Parameters!$D$159:$E$301,2)</f>
        <v>Removals</v>
      </c>
      <c r="D41" s="329">
        <f ca="1">SUMIF($B$6:$B$23,$B41,'Detail Summary'!L$217:L$233)</f>
        <v>0</v>
      </c>
      <c r="E41" s="329"/>
      <c r="F41" s="329"/>
      <c r="G41" s="329">
        <f ca="1">SUMIF($B$6:$B$23,$B41,'Detail Summary'!O$217:O$233)</f>
        <v>0</v>
      </c>
      <c r="H41" s="329"/>
      <c r="I41" s="329"/>
      <c r="J41" s="329">
        <f ca="1">SUMIF($B$6:$B$23,$B41,'Detail Summary'!R$217:R$233)</f>
        <v>0</v>
      </c>
      <c r="K41" s="329"/>
      <c r="L41" s="329"/>
      <c r="M41" s="329">
        <f ca="1">SUMIF($B$6:$B$23,$B41,'Detail Summary'!U$217:U$233)</f>
        <v>0</v>
      </c>
      <c r="N41" s="329"/>
      <c r="O41" s="329"/>
      <c r="P41" s="329">
        <f ca="1">SUMIF($B$6:$B$23,$B41,'Detail Summary'!X$217:X$233)</f>
        <v>0</v>
      </c>
      <c r="Q41" s="329"/>
      <c r="R41" s="329"/>
      <c r="S41" s="329">
        <f ca="1">SUMIF($B$6:$B$23,$B41,'Detail Summary'!AA$217:AA$233)</f>
        <v>0</v>
      </c>
      <c r="T41" s="329"/>
      <c r="U41" s="329"/>
      <c r="V41" s="329">
        <f ca="1">SUMIF($B$6:$B$23,$B41,'Detail Summary'!AD$217:AD$233)</f>
        <v>0</v>
      </c>
      <c r="W41" s="2369"/>
      <c r="X41" s="2369"/>
      <c r="Y41" s="329">
        <f ca="1">SUMIF($B$6:$B$23,$B41,'Detail Summary'!AG$217:AG$233)</f>
        <v>0</v>
      </c>
      <c r="Z41" s="2369"/>
      <c r="AA41" s="2369"/>
      <c r="AB41" s="329">
        <f ca="1">SUMIF($B$6:$B$23,$B41,'Detail Summary'!AJ$217:AJ$233)</f>
        <v>0</v>
      </c>
      <c r="AC41" s="2369"/>
      <c r="AD41" s="2369"/>
      <c r="AE41" s="329">
        <f ca="1">SUMIF($B$6:$B$23,$B41,'Detail Summary'!AM$217:AM$233)</f>
        <v>0</v>
      </c>
      <c r="AF41" s="2369"/>
      <c r="AG41" s="2369"/>
      <c r="AH41" s="329">
        <f ca="1">SUMIF($B$6:$B$23,$B41,'Detail Summary'!AP$217:AP$233)</f>
        <v>0</v>
      </c>
      <c r="AI41" s="330">
        <f t="shared" ca="1" si="2"/>
        <v>0</v>
      </c>
    </row>
    <row r="42" spans="2:35" ht="15" x14ac:dyDescent="0.25">
      <c r="B42" s="328">
        <f t="shared" si="1"/>
        <v>11</v>
      </c>
      <c r="C42" s="328" t="str">
        <f>VLOOKUP(B42,Parameters!$D$159:$E$301,2)</f>
        <v>Other ( property taxes and BAR)</v>
      </c>
      <c r="D42" s="329">
        <f ca="1">SUMIF($B$6:$B$23,$B42,'Detail Summary'!L$217:L$233)</f>
        <v>11094.01</v>
      </c>
      <c r="E42" s="329"/>
      <c r="F42" s="329"/>
      <c r="G42" s="329">
        <f ca="1">SUMIF($B$6:$B$23,$B42,'Detail Summary'!O$217:O$233)</f>
        <v>3917</v>
      </c>
      <c r="H42" s="329"/>
      <c r="I42" s="329"/>
      <c r="J42" s="329">
        <f ca="1">SUMIF($B$6:$B$23,$B42,'Detail Summary'!R$217:R$233)</f>
        <v>7980</v>
      </c>
      <c r="K42" s="329"/>
      <c r="L42" s="329"/>
      <c r="M42" s="329">
        <f ca="1">SUMIF($B$6:$B$23,$B42,'Detail Summary'!U$217:U$233)</f>
        <v>225607</v>
      </c>
      <c r="N42" s="329"/>
      <c r="O42" s="329"/>
      <c r="P42" s="329">
        <f ca="1">SUMIF($B$6:$B$23,$B42,'Detail Summary'!X$217:X$233)</f>
        <v>667272</v>
      </c>
      <c r="Q42" s="329"/>
      <c r="R42" s="329"/>
      <c r="S42" s="329">
        <f ca="1">SUMIF($B$6:$B$23,$B42,'Detail Summary'!AA$217:AA$233)</f>
        <v>21734</v>
      </c>
      <c r="T42" s="329"/>
      <c r="U42" s="329"/>
      <c r="V42" s="329">
        <f ca="1">SUMIF($B$6:$B$23,$B42,'Detail Summary'!AD$217:AD$233)</f>
        <v>0</v>
      </c>
      <c r="W42" s="2369"/>
      <c r="X42" s="2369"/>
      <c r="Y42" s="329">
        <f ca="1">SUMIF($B$6:$B$23,$B42,'Detail Summary'!AG$217:AG$233)</f>
        <v>0</v>
      </c>
      <c r="Z42" s="2369"/>
      <c r="AA42" s="2369"/>
      <c r="AB42" s="329">
        <f ca="1">SUMIF($B$6:$B$23,$B42,'Detail Summary'!AJ$217:AJ$233)</f>
        <v>0</v>
      </c>
      <c r="AC42" s="2369"/>
      <c r="AD42" s="2369"/>
      <c r="AE42" s="329">
        <f ca="1">SUMIF($B$6:$B$23,$B42,'Detail Summary'!AM$217:AM$233)</f>
        <v>0</v>
      </c>
      <c r="AF42" s="2369"/>
      <c r="AG42" s="2369"/>
      <c r="AH42" s="329">
        <f ca="1">SUMIF($B$6:$B$23,$B42,'Detail Summary'!AP$217:AP$233)</f>
        <v>0</v>
      </c>
      <c r="AI42" s="330">
        <f t="shared" ca="1" si="2"/>
        <v>937604.01</v>
      </c>
    </row>
    <row r="43" spans="2:35" ht="15" x14ac:dyDescent="0.25">
      <c r="B43" s="328">
        <f t="shared" si="1"/>
        <v>12</v>
      </c>
      <c r="C43" s="328" t="str">
        <f>VLOOKUP(B43,Parameters!$D$159:$E$301,2)</f>
        <v>Risks</v>
      </c>
      <c r="D43" s="329">
        <f ca="1">SUMIF($B$6:$B$23,$B43,'Detail Summary'!L$217:L$233)</f>
        <v>0</v>
      </c>
      <c r="E43" s="329"/>
      <c r="F43" s="329"/>
      <c r="G43" s="329">
        <f ca="1">SUMIF($B$6:$B$23,$B43,'Detail Summary'!O$217:O$233)</f>
        <v>0</v>
      </c>
      <c r="H43" s="329"/>
      <c r="I43" s="329"/>
      <c r="J43" s="329">
        <f ca="1">SUMIF($B$6:$B$23,$B43,'Detail Summary'!R$217:R$233)</f>
        <v>0</v>
      </c>
      <c r="K43" s="329"/>
      <c r="L43" s="329"/>
      <c r="M43" s="329">
        <f ca="1">SUMIF($B$6:$B$23,$B43,'Detail Summary'!U$217:U$233)</f>
        <v>900000</v>
      </c>
      <c r="N43" s="329"/>
      <c r="O43" s="329"/>
      <c r="P43" s="329">
        <f ca="1">SUMIF($B$6:$B$23,$B43,'Detail Summary'!X$217:X$233)</f>
        <v>1650000</v>
      </c>
      <c r="Q43" s="329"/>
      <c r="R43" s="329"/>
      <c r="S43" s="329">
        <f ca="1">SUMIF($B$6:$B$23,$B43,'Detail Summary'!AA$217:AA$233)</f>
        <v>1400000</v>
      </c>
      <c r="T43" s="329"/>
      <c r="U43" s="329"/>
      <c r="V43" s="329">
        <f ca="1">SUMIF($B$6:$B$23,$B43,'Detail Summary'!AD$217:AD$233)</f>
        <v>0</v>
      </c>
      <c r="W43" s="2369"/>
      <c r="X43" s="2369"/>
      <c r="Y43" s="329">
        <f ca="1">SUMIF($B$6:$B$23,$B43,'Detail Summary'!AG$217:AG$233)</f>
        <v>0</v>
      </c>
      <c r="Z43" s="2369"/>
      <c r="AA43" s="2369"/>
      <c r="AB43" s="329">
        <f ca="1">SUMIF($B$6:$B$23,$B43,'Detail Summary'!AJ$217:AJ$233)</f>
        <v>0</v>
      </c>
      <c r="AC43" s="2369"/>
      <c r="AD43" s="2369"/>
      <c r="AE43" s="329">
        <f ca="1">SUMIF($B$6:$B$23,$B43,'Detail Summary'!AM$217:AM$233)</f>
        <v>0</v>
      </c>
      <c r="AF43" s="2369"/>
      <c r="AG43" s="2369"/>
      <c r="AH43" s="329">
        <f ca="1">SUMIF($B$6:$B$23,$B43,'Detail Summary'!AP$217:AP$233)</f>
        <v>0</v>
      </c>
      <c r="AI43" s="330">
        <f t="shared" ca="1" si="2"/>
        <v>3950000</v>
      </c>
    </row>
    <row r="44" spans="2:35" ht="15" x14ac:dyDescent="0.25">
      <c r="B44" s="328">
        <f t="shared" si="1"/>
        <v>13</v>
      </c>
      <c r="C44" s="328" t="str">
        <f>VLOOKUP(B44,Parameters!$D$159:$E$301,2)</f>
        <v>Indirects/Overhead</v>
      </c>
      <c r="D44" s="329">
        <f ca="1">SUMIF($B$6:$B$23,$B44,'Detail Summary'!L$217:L$233)</f>
        <v>209080.81</v>
      </c>
      <c r="E44" s="329"/>
      <c r="F44" s="329"/>
      <c r="G44" s="329">
        <f ca="1">SUMIF($B$6:$B$23,$B44,'Detail Summary'!O$217:O$233)</f>
        <v>35</v>
      </c>
      <c r="H44" s="329"/>
      <c r="I44" s="329"/>
      <c r="J44" s="329">
        <f ca="1">SUMIF($B$6:$B$23,$B44,'Detail Summary'!R$217:R$233)</f>
        <v>71</v>
      </c>
      <c r="K44" s="329"/>
      <c r="L44" s="329"/>
      <c r="M44" s="329">
        <f ca="1">SUMIF($B$6:$B$23,$B44,'Detail Summary'!U$217:U$233)</f>
        <v>1433359</v>
      </c>
      <c r="N44" s="329"/>
      <c r="O44" s="329"/>
      <c r="P44" s="329">
        <f ca="1">SUMIF($B$6:$B$23,$B44,'Detail Summary'!X$217:X$233)</f>
        <v>4242474</v>
      </c>
      <c r="Q44" s="329"/>
      <c r="R44" s="329"/>
      <c r="S44" s="329">
        <f ca="1">SUMIF($B$6:$B$23,$B44,'Detail Summary'!AA$217:AA$233)</f>
        <v>2595678</v>
      </c>
      <c r="T44" s="329"/>
      <c r="U44" s="329"/>
      <c r="V44" s="329">
        <f ca="1">SUMIF($B$6:$B$23,$B44,'Detail Summary'!AD$217:AD$233)</f>
        <v>0</v>
      </c>
      <c r="W44" s="2369"/>
      <c r="X44" s="2369"/>
      <c r="Y44" s="329">
        <f ca="1">SUMIF($B$6:$B$23,$B44,'Detail Summary'!AG$217:AG$233)</f>
        <v>0</v>
      </c>
      <c r="Z44" s="2369"/>
      <c r="AA44" s="2369"/>
      <c r="AB44" s="329">
        <f ca="1">SUMIF($B$6:$B$23,$B44,'Detail Summary'!AJ$217:AJ$233)</f>
        <v>0</v>
      </c>
      <c r="AC44" s="2369"/>
      <c r="AD44" s="2369"/>
      <c r="AE44" s="329">
        <f ca="1">SUMIF($B$6:$B$23,$B44,'Detail Summary'!AM$217:AM$233)</f>
        <v>0</v>
      </c>
      <c r="AF44" s="2369"/>
      <c r="AG44" s="2369"/>
      <c r="AH44" s="329">
        <f ca="1">SUMIF($B$6:$B$23,$B44,'Detail Summary'!AP$217:AP$233)</f>
        <v>0</v>
      </c>
      <c r="AI44" s="330">
        <f t="shared" ca="1" si="2"/>
        <v>8480697.8100000005</v>
      </c>
    </row>
    <row r="45" spans="2:35" ht="15" x14ac:dyDescent="0.25">
      <c r="B45" s="328">
        <f t="shared" si="1"/>
        <v>14</v>
      </c>
      <c r="C45" s="328" t="str">
        <f>VLOOKUP(B45,Parameters!$D$159:$E$301,2)</f>
        <v>AFUDC</v>
      </c>
      <c r="D45" s="329">
        <f ca="1">SUMIF($B$6:$B$23,$B45,'Detail Summary'!L$217:L$233)</f>
        <v>25374.34</v>
      </c>
      <c r="E45" s="329"/>
      <c r="F45" s="329"/>
      <c r="G45" s="329">
        <f ca="1">SUMIF($B$6:$B$23,$B45,'Detail Summary'!O$217:O$233)</f>
        <v>1077</v>
      </c>
      <c r="H45" s="329"/>
      <c r="I45" s="329"/>
      <c r="J45" s="329">
        <f ca="1">SUMIF($B$6:$B$23,$B45,'Detail Summary'!R$217:R$233)</f>
        <v>26933</v>
      </c>
      <c r="K45" s="329"/>
      <c r="L45" s="329"/>
      <c r="M45" s="329">
        <f ca="1">SUMIF($B$6:$B$23,$B45,'Detail Summary'!U$217:U$233)</f>
        <v>460696</v>
      </c>
      <c r="N45" s="329"/>
      <c r="O45" s="329"/>
      <c r="P45" s="329">
        <f ca="1">SUMIF($B$6:$B$23,$B45,'Detail Summary'!X$217:X$233)</f>
        <v>1660900</v>
      </c>
      <c r="Q45" s="329"/>
      <c r="R45" s="329"/>
      <c r="S45" s="329">
        <f ca="1">SUMIF($B$6:$B$23,$B45,'Detail Summary'!AA$217:AA$233)</f>
        <v>657500</v>
      </c>
      <c r="T45" s="329"/>
      <c r="U45" s="329"/>
      <c r="V45" s="329">
        <f ca="1">SUMIF($B$6:$B$23,$B45,'Detail Summary'!AD$217:AD$233)</f>
        <v>0</v>
      </c>
      <c r="W45" s="2369"/>
      <c r="X45" s="2369"/>
      <c r="Y45" s="329">
        <f ca="1">SUMIF($B$6:$B$23,$B45,'Detail Summary'!AG$217:AG$233)</f>
        <v>0</v>
      </c>
      <c r="Z45" s="2369"/>
      <c r="AA45" s="2369"/>
      <c r="AB45" s="329">
        <f ca="1">SUMIF($B$6:$B$23,$B45,'Detail Summary'!AJ$217:AJ$233)</f>
        <v>0</v>
      </c>
      <c r="AC45" s="2369"/>
      <c r="AD45" s="2369"/>
      <c r="AE45" s="329">
        <f ca="1">SUMIF($B$6:$B$23,$B45,'Detail Summary'!AM$217:AM$233)</f>
        <v>0</v>
      </c>
      <c r="AF45" s="2369"/>
      <c r="AG45" s="2369"/>
      <c r="AH45" s="329">
        <f ca="1">SUMIF($B$6:$B$23,$B45,'Detail Summary'!AP$217:AP$233)</f>
        <v>0</v>
      </c>
      <c r="AI45" s="330">
        <f t="shared" ca="1" si="2"/>
        <v>2832480.34</v>
      </c>
    </row>
    <row r="46" spans="2:35" ht="15" x14ac:dyDescent="0.25">
      <c r="B46" s="328">
        <f t="shared" si="1"/>
        <v>15</v>
      </c>
      <c r="C46" s="328" t="str">
        <f>VLOOKUP(B46,Parameters!$D$159:$E$301,2)</f>
        <v>Contingency</v>
      </c>
      <c r="D46" s="329">
        <f ca="1">SUMIF($B$6:$B$23,$B46,'Detail Summary'!L$217:L$233)</f>
        <v>0</v>
      </c>
      <c r="E46" s="329"/>
      <c r="F46" s="329"/>
      <c r="G46" s="329">
        <f ca="1">SUMIF($B$6:$B$23,$B46,'Detail Summary'!O$217:O$233)</f>
        <v>0</v>
      </c>
      <c r="H46" s="329"/>
      <c r="I46" s="329"/>
      <c r="J46" s="329">
        <f ca="1">SUMIF($B$6:$B$23,$B46,'Detail Summary'!R$217:R$233)</f>
        <v>0</v>
      </c>
      <c r="K46" s="329"/>
      <c r="L46" s="329"/>
      <c r="M46" s="329">
        <f ca="1">SUMIF($B$6:$B$23,$B46,'Detail Summary'!U$217:U$233)</f>
        <v>775869.385116547</v>
      </c>
      <c r="N46" s="329"/>
      <c r="O46" s="329"/>
      <c r="P46" s="329">
        <f ca="1">SUMIF($B$6:$B$23,$B46,'Detail Summary'!X$217:X$233)</f>
        <v>942315.50801654707</v>
      </c>
      <c r="Q46" s="329"/>
      <c r="R46" s="329"/>
      <c r="S46" s="329">
        <f ca="1">SUMIF($B$6:$B$23,$B46,'Detail Summary'!AA$217:AA$233)</f>
        <v>123606.44</v>
      </c>
      <c r="T46" s="329"/>
      <c r="U46" s="329"/>
      <c r="V46" s="329">
        <f ca="1">SUMIF($B$6:$B$23,$B46,'Detail Summary'!AD$217:AD$233)</f>
        <v>0</v>
      </c>
      <c r="W46" s="2369"/>
      <c r="X46" s="2369"/>
      <c r="Y46" s="329">
        <f ca="1">SUMIF($B$6:$B$23,$B46,'Detail Summary'!AG$217:AG$233)</f>
        <v>0</v>
      </c>
      <c r="Z46" s="2369"/>
      <c r="AA46" s="2369"/>
      <c r="AB46" s="329">
        <f ca="1">SUMIF($B$6:$B$23,$B46,'Detail Summary'!AJ$217:AJ$233)</f>
        <v>0</v>
      </c>
      <c r="AC46" s="2369"/>
      <c r="AD46" s="2369"/>
      <c r="AE46" s="329">
        <f ca="1">SUMIF($B$6:$B$23,$B46,'Detail Summary'!AM$217:AM$233)</f>
        <v>0</v>
      </c>
      <c r="AF46" s="2369"/>
      <c r="AG46" s="2369"/>
      <c r="AH46" s="329">
        <f ca="1">SUMIF($B$6:$B$23,$B46,'Detail Summary'!AP$217:AP$233)</f>
        <v>0</v>
      </c>
      <c r="AI46" s="330">
        <f t="shared" ca="1" si="2"/>
        <v>1841791.333133094</v>
      </c>
    </row>
    <row r="47" spans="2:35" ht="15" x14ac:dyDescent="0.25">
      <c r="B47" s="328">
        <f t="shared" si="1"/>
        <v>16</v>
      </c>
      <c r="C47" s="328" t="str">
        <f>VLOOKUP(B47,Parameters!$D$159:$E$301,2)</f>
        <v>Reimbursables/Customer Contribution</v>
      </c>
      <c r="D47" s="329">
        <f ca="1">SUMIF($B$6:$B$23,$B47,'Detail Summary'!L$217:L$233)</f>
        <v>0</v>
      </c>
      <c r="E47" s="329"/>
      <c r="F47" s="329"/>
      <c r="G47" s="329">
        <f ca="1">SUMIF($B$6:$B$23,$B47,'Detail Summary'!O$217:O$233)</f>
        <v>0</v>
      </c>
      <c r="H47" s="329"/>
      <c r="I47" s="329"/>
      <c r="J47" s="329">
        <f ca="1">SUMIF($B$6:$B$23,$B47,'Detail Summary'!R$217:R$233)</f>
        <v>0</v>
      </c>
      <c r="K47" s="329"/>
      <c r="L47" s="329"/>
      <c r="M47" s="329">
        <f ca="1">SUMIF($B$6:$B$23,$B47,'Detail Summary'!U$217:U$233)</f>
        <v>0</v>
      </c>
      <c r="N47" s="329"/>
      <c r="O47" s="329"/>
      <c r="P47" s="329">
        <f ca="1">SUMIF($B$6:$B$23,$B47,'Detail Summary'!X$217:X$233)</f>
        <v>0</v>
      </c>
      <c r="Q47" s="329"/>
      <c r="R47" s="329"/>
      <c r="S47" s="329">
        <f ca="1">SUMIF($B$6:$B$23,$B47,'Detail Summary'!AA$217:AA$233)</f>
        <v>0</v>
      </c>
      <c r="T47" s="329"/>
      <c r="U47" s="329"/>
      <c r="V47" s="329">
        <f ca="1">SUMIF($B$6:$B$23,$B47,'Detail Summary'!AD$217:AD$233)</f>
        <v>0</v>
      </c>
      <c r="W47" s="2369"/>
      <c r="X47" s="2369"/>
      <c r="Y47" s="329">
        <f ca="1">SUMIF($B$6:$B$23,$B47,'Detail Summary'!AG$217:AG$233)</f>
        <v>0</v>
      </c>
      <c r="Z47" s="2369"/>
      <c r="AA47" s="2369"/>
      <c r="AB47" s="329">
        <f ca="1">SUMIF($B$6:$B$23,$B47,'Detail Summary'!AJ$217:AJ$233)</f>
        <v>0</v>
      </c>
      <c r="AC47" s="2369"/>
      <c r="AD47" s="2369"/>
      <c r="AE47" s="329">
        <f ca="1">SUMIF($B$6:$B$23,$B47,'Detail Summary'!AM$217:AM$233)</f>
        <v>0</v>
      </c>
      <c r="AF47" s="2369"/>
      <c r="AG47" s="2369"/>
      <c r="AH47" s="329">
        <f ca="1">SUMIF($B$6:$B$23,$B47,'Detail Summary'!AP$217:AP$233)</f>
        <v>0</v>
      </c>
      <c r="AI47" s="330">
        <f t="shared" ca="1" si="2"/>
        <v>0</v>
      </c>
    </row>
    <row r="48" spans="2:35" ht="15" x14ac:dyDescent="0.25">
      <c r="B48" s="328">
        <f t="shared" si="1"/>
        <v>17</v>
      </c>
      <c r="C48" s="328" t="str">
        <f>VLOOKUP(B48,Parameters!$D$159:$E$301,2)</f>
        <v>NA</v>
      </c>
      <c r="D48" s="329">
        <f ca="1">SUMIF($B$6:$B$23,$B48,'Detail Summary'!L$217:L$233)</f>
        <v>0</v>
      </c>
      <c r="E48" s="329"/>
      <c r="F48" s="329"/>
      <c r="G48" s="329">
        <f ca="1">SUMIF($B$6:$B$23,$B48,'Detail Summary'!O$217:O$233)</f>
        <v>0</v>
      </c>
      <c r="H48" s="329"/>
      <c r="I48" s="329"/>
      <c r="J48" s="329">
        <f ca="1">SUMIF($B$6:$B$23,$B48,'Detail Summary'!R$217:R$233)</f>
        <v>0</v>
      </c>
      <c r="K48" s="329"/>
      <c r="L48" s="329"/>
      <c r="M48" s="329">
        <f ca="1">SUMIF($B$6:$B$23,$B48,'Detail Summary'!U$217:U$233)</f>
        <v>0</v>
      </c>
      <c r="N48" s="329"/>
      <c r="O48" s="329"/>
      <c r="P48" s="329">
        <f ca="1">SUMIF($B$6:$B$23,$B48,'Detail Summary'!X$217:X$233)</f>
        <v>0</v>
      </c>
      <c r="Q48" s="329"/>
      <c r="R48" s="329"/>
      <c r="S48" s="329">
        <f ca="1">SUMIF($B$6:$B$23,$B48,'Detail Summary'!AA$217:AA$233)</f>
        <v>0</v>
      </c>
      <c r="T48" s="329"/>
      <c r="U48" s="329"/>
      <c r="V48" s="329">
        <f ca="1">SUMIF($B$6:$B$23,$B48,'Detail Summary'!AD$217:AD$233)</f>
        <v>0</v>
      </c>
      <c r="W48" s="2369"/>
      <c r="X48" s="2369"/>
      <c r="Y48" s="329">
        <f ca="1">SUMIF($B$6:$B$23,$B48,'Detail Summary'!AG$217:AG$233)</f>
        <v>0</v>
      </c>
      <c r="Z48" s="2369"/>
      <c r="AA48" s="2369"/>
      <c r="AB48" s="329">
        <f ca="1">SUMIF($B$6:$B$23,$B48,'Detail Summary'!AJ$217:AJ$233)</f>
        <v>0</v>
      </c>
      <c r="AC48" s="2369"/>
      <c r="AD48" s="2369"/>
      <c r="AE48" s="329">
        <f ca="1">SUMIF($B$6:$B$23,$B48,'Detail Summary'!AM$217:AM$233)</f>
        <v>0</v>
      </c>
      <c r="AF48" s="2369"/>
      <c r="AG48" s="2369"/>
      <c r="AH48" s="329">
        <f ca="1">SUMIF($B$6:$B$23,$B48,'Detail Summary'!AP$217:AP$233)</f>
        <v>0</v>
      </c>
      <c r="AI48" s="330">
        <f t="shared" ca="1" si="2"/>
        <v>0</v>
      </c>
    </row>
    <row r="49" spans="2:35" ht="15.75" thickBot="1" x14ac:dyDescent="0.3">
      <c r="B49" s="328">
        <f t="shared" si="1"/>
        <v>18</v>
      </c>
      <c r="C49" s="328" t="str">
        <f>VLOOKUP(B49,Parameters!$D$159:$E$301,2)</f>
        <v>NA</v>
      </c>
      <c r="D49" s="329">
        <f ca="1">SUMIF($B$6:$B$23,$B49,'Detail Summary'!L$217:L$233)</f>
        <v>0</v>
      </c>
      <c r="E49" s="329"/>
      <c r="F49" s="329"/>
      <c r="G49" s="329">
        <f ca="1">SUMIF($B$6:$B$23,$B49,'Detail Summary'!O$217:O$233)</f>
        <v>0</v>
      </c>
      <c r="H49" s="329"/>
      <c r="I49" s="329"/>
      <c r="J49" s="329">
        <f ca="1">SUMIF($B$6:$B$23,$B49,'Detail Summary'!R$217:R$233)</f>
        <v>0</v>
      </c>
      <c r="K49" s="329"/>
      <c r="L49" s="329"/>
      <c r="M49" s="329">
        <f ca="1">SUMIF($B$6:$B$23,$B49,'Detail Summary'!U$217:U$233)</f>
        <v>0</v>
      </c>
      <c r="N49" s="329"/>
      <c r="O49" s="329"/>
      <c r="P49" s="329">
        <f ca="1">SUMIF($B$6:$B$23,$B49,'Detail Summary'!X$217:X$233)</f>
        <v>0</v>
      </c>
      <c r="Q49" s="329"/>
      <c r="R49" s="329"/>
      <c r="S49" s="329">
        <f ca="1">SUMIF($B$6:$B$23,$B49,'Detail Summary'!AA$217:AA$233)</f>
        <v>0</v>
      </c>
      <c r="T49" s="329"/>
      <c r="U49" s="329"/>
      <c r="V49" s="329">
        <f ca="1">SUMIF($B$6:$B$23,$B49,'Detail Summary'!AD$217:AD$233)</f>
        <v>0</v>
      </c>
      <c r="W49" s="2369"/>
      <c r="X49" s="2369"/>
      <c r="Y49" s="329">
        <f ca="1">SUMIF($B$6:$B$23,$B49,'Detail Summary'!AG$217:AG$233)</f>
        <v>0</v>
      </c>
      <c r="Z49" s="2369"/>
      <c r="AA49" s="2369"/>
      <c r="AB49" s="329">
        <f ca="1">SUMIF($B$6:$B$23,$B49,'Detail Summary'!AJ$217:AJ$233)</f>
        <v>0</v>
      </c>
      <c r="AC49" s="2369"/>
      <c r="AD49" s="2369"/>
      <c r="AE49" s="329">
        <f ca="1">SUMIF($B$6:$B$23,$B49,'Detail Summary'!AM$217:AM$233)</f>
        <v>0</v>
      </c>
      <c r="AF49" s="2369"/>
      <c r="AG49" s="2369"/>
      <c r="AH49" s="329">
        <f ca="1">SUMIF($B$6:$B$23,$B49,'Detail Summary'!AP$217:AP$233)</f>
        <v>0</v>
      </c>
      <c r="AI49" s="330">
        <f t="shared" ca="1" si="2"/>
        <v>0</v>
      </c>
    </row>
    <row r="50" spans="2:35" ht="15.75" thickBot="1" x14ac:dyDescent="0.3">
      <c r="B50" s="331"/>
      <c r="C50" s="331" t="s">
        <v>216</v>
      </c>
      <c r="D50" s="332">
        <f ca="1">SUM(D32:D49)</f>
        <v>375891.79</v>
      </c>
      <c r="E50" s="333"/>
      <c r="F50" s="333"/>
      <c r="G50" s="333">
        <f ca="1">SUM(G32:G49)</f>
        <v>5029</v>
      </c>
      <c r="H50" s="333"/>
      <c r="I50" s="333"/>
      <c r="J50" s="333">
        <f ca="1">SUM(J32:J49)</f>
        <v>34984</v>
      </c>
      <c r="K50" s="333"/>
      <c r="L50" s="333"/>
      <c r="M50" s="333">
        <f ca="1">SUM(M32:M49)</f>
        <v>14337401.959716547</v>
      </c>
      <c r="N50" s="333"/>
      <c r="O50" s="333"/>
      <c r="P50" s="333">
        <f ca="1">SUM(P32:P49)</f>
        <v>23439681.999482945</v>
      </c>
      <c r="Q50" s="333"/>
      <c r="R50" s="333"/>
      <c r="S50" s="333">
        <f ca="1">SUM(S32:S49)</f>
        <v>7903371.1926781684</v>
      </c>
      <c r="T50" s="333"/>
      <c r="U50" s="333"/>
      <c r="V50" s="333">
        <f ca="1">SUM(V32:V49)</f>
        <v>0</v>
      </c>
      <c r="W50" s="2370"/>
      <c r="X50" s="2370"/>
      <c r="Y50" s="333">
        <f ca="1">SUM(Y32:Y49)</f>
        <v>0</v>
      </c>
      <c r="Z50" s="2370"/>
      <c r="AA50" s="2370"/>
      <c r="AB50" s="333">
        <f ca="1">SUM(AB32:AB49)</f>
        <v>0</v>
      </c>
      <c r="AC50" s="2370"/>
      <c r="AD50" s="2370"/>
      <c r="AE50" s="333">
        <f ca="1">SUM(AE32:AE49)</f>
        <v>0</v>
      </c>
      <c r="AF50" s="2370"/>
      <c r="AG50" s="2370"/>
      <c r="AH50" s="333">
        <f ca="1">SUM(AH32:AH49)</f>
        <v>0</v>
      </c>
      <c r="AI50" s="334">
        <f ca="1">SUM(AI32:AI49)</f>
        <v>46096359.941877671</v>
      </c>
    </row>
    <row r="51" spans="2:35" ht="15" x14ac:dyDescent="0.25">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5"/>
      <c r="AI51" s="335"/>
    </row>
    <row r="52" spans="2:35" ht="15" x14ac:dyDescent="0.25">
      <c r="C52" s="9" t="s">
        <v>203</v>
      </c>
      <c r="D52" s="337">
        <f ca="1">+D26</f>
        <v>376100</v>
      </c>
      <c r="E52" s="337"/>
      <c r="F52" s="337"/>
      <c r="G52" s="337">
        <f ca="1">+G26</f>
        <v>5000</v>
      </c>
      <c r="H52" s="337"/>
      <c r="I52" s="337"/>
      <c r="J52" s="337">
        <f ca="1">+J26</f>
        <v>35000</v>
      </c>
      <c r="K52" s="337"/>
      <c r="L52" s="337"/>
      <c r="M52" s="337">
        <f ca="1">+M26</f>
        <v>14337500</v>
      </c>
      <c r="N52" s="337"/>
      <c r="O52" s="337"/>
      <c r="P52" s="337">
        <f ca="1">+P26</f>
        <v>23439600</v>
      </c>
      <c r="Q52" s="337"/>
      <c r="R52" s="337"/>
      <c r="S52" s="337">
        <f ca="1">+S26</f>
        <v>7903400</v>
      </c>
      <c r="T52" s="337"/>
      <c r="U52" s="337"/>
      <c r="V52" s="337">
        <f ca="1">+V26</f>
        <v>0</v>
      </c>
      <c r="W52" s="337"/>
      <c r="X52" s="337"/>
      <c r="Y52" s="337">
        <f ca="1">+Y26</f>
        <v>0</v>
      </c>
      <c r="Z52" s="337"/>
      <c r="AA52" s="337"/>
      <c r="AB52" s="337">
        <f ca="1">+AB26</f>
        <v>0</v>
      </c>
      <c r="AC52" s="337"/>
      <c r="AD52" s="337"/>
      <c r="AE52" s="337">
        <f ca="1">+AE26</f>
        <v>0</v>
      </c>
      <c r="AF52" s="337"/>
      <c r="AG52" s="337"/>
      <c r="AH52" s="337">
        <f ca="1">+AH26</f>
        <v>0</v>
      </c>
      <c r="AI52" s="338">
        <f ca="1">SUM(D52:AH52)</f>
        <v>46096600</v>
      </c>
    </row>
    <row r="53" spans="2:35" ht="15" x14ac:dyDescent="0.25">
      <c r="C53" t="s">
        <v>217</v>
      </c>
      <c r="E53" s="335"/>
      <c r="F53" s="335"/>
      <c r="G53" s="335">
        <f ca="1">G52-G50</f>
        <v>-29</v>
      </c>
      <c r="H53" s="335"/>
      <c r="I53" s="335"/>
      <c r="J53" s="335">
        <f ca="1">J52-J50</f>
        <v>16</v>
      </c>
      <c r="K53" s="335"/>
      <c r="L53" s="335"/>
      <c r="M53" s="335">
        <f ca="1">M52-M50</f>
        <v>98.04028345271945</v>
      </c>
      <c r="N53" s="335"/>
      <c r="O53" s="335"/>
      <c r="P53" s="335">
        <f ca="1">P52-P50</f>
        <v>-81.999482944607735</v>
      </c>
      <c r="Q53" s="335"/>
      <c r="R53" s="335"/>
      <c r="S53" s="335">
        <f ca="1">S52-S50</f>
        <v>28.807321831583977</v>
      </c>
      <c r="T53" s="335"/>
      <c r="U53" s="335"/>
      <c r="V53" s="335">
        <f ca="1">V52-V50</f>
        <v>0</v>
      </c>
      <c r="W53" s="335"/>
      <c r="X53" s="335"/>
      <c r="Y53" s="335">
        <f ca="1">Y52-Y50</f>
        <v>0</v>
      </c>
      <c r="Z53" s="335"/>
      <c r="AA53" s="335"/>
      <c r="AB53" s="335">
        <f ca="1">AB52-AB50</f>
        <v>0</v>
      </c>
      <c r="AC53" s="335"/>
      <c r="AD53" s="335"/>
      <c r="AE53" s="335">
        <f ca="1">AE52-AE50</f>
        <v>0</v>
      </c>
      <c r="AF53" s="335"/>
      <c r="AG53" s="335"/>
      <c r="AH53" s="335">
        <f ca="1">AH52-AH50</f>
        <v>0</v>
      </c>
      <c r="AI53" s="335">
        <f ca="1">AI52-AI50</f>
        <v>240.05812232941389</v>
      </c>
    </row>
  </sheetData>
  <sheetProtection algorithmName="SHA-512" hashValue="9hKv0xbo06fwQCnUAFE35Zox2dxTL7E6XGWA+sjJESeHuSoiTPkG+otbF4LDIrAPImutOlNGJ0ufkLU9ccL9Bw==" saltValue="BI9KNyBsQOo7k1RrKtPqAw==" spinCount="100000" sheet="1" scenarios="1" formatCells="0" formatColumns="0" formatRows="0" autoFilter="0"/>
  <pageMargins left="0.2" right="0.22" top="1" bottom="1" header="0.5" footer="0.5"/>
  <pageSetup scale="86" fitToHeight="0" orientation="landscape"/>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FB335-F9B0-4ED2-929F-E40181BA08F6}">
  <sheetPr codeName="Sheet10">
    <tabColor rgb="FFFFC000"/>
    <pageSetUpPr fitToPage="1"/>
  </sheetPr>
  <dimension ref="A1:EK396"/>
  <sheetViews>
    <sheetView showZeros="0" topLeftCell="F1" zoomScale="90" zoomScaleNormal="90" workbookViewId="0">
      <pane ySplit="10" topLeftCell="A92" activePane="bottomLeft" state="frozen"/>
      <selection pane="bottomLeft" activeCell="BJ168" sqref="BJ168"/>
    </sheetView>
  </sheetViews>
  <sheetFormatPr defaultColWidth="8.5703125" defaultRowHeight="12.6" customHeight="1" outlineLevelCol="1" x14ac:dyDescent="0.25"/>
  <cols>
    <col min="1" max="1" width="0.5703125" customWidth="1"/>
    <col min="2" max="2" width="5.42578125" customWidth="1"/>
    <col min="3" max="3" width="6.5703125" customWidth="1"/>
    <col min="4" max="5" width="7.42578125" customWidth="1"/>
    <col min="6" max="6" width="6.42578125" customWidth="1"/>
    <col min="7" max="7" width="37.5703125" hidden="1" customWidth="1" outlineLevel="1"/>
    <col min="8" max="8" width="4.42578125" hidden="1" customWidth="1" outlineLevel="1"/>
    <col min="9" max="9" width="8.42578125" hidden="1" customWidth="1" outlineLevel="1"/>
    <col min="10" max="10" width="0.5703125" hidden="1" customWidth="1" outlineLevel="1"/>
    <col min="11" max="11" width="9.5703125" hidden="1" customWidth="1" outlineLevel="1"/>
    <col min="12" max="12" width="11.42578125" hidden="1" customWidth="1" outlineLevel="1"/>
    <col min="13" max="13" width="0.5703125" hidden="1" customWidth="1" outlineLevel="1"/>
    <col min="14" max="14" width="9.5703125" hidden="1" customWidth="1" outlineLevel="1"/>
    <col min="15" max="15" width="13.42578125" hidden="1" customWidth="1" outlineLevel="1"/>
    <col min="16" max="16" width="0.5703125" hidden="1" customWidth="1" outlineLevel="1"/>
    <col min="17" max="17" width="11.5703125" hidden="1" customWidth="1" outlineLevel="1"/>
    <col min="18" max="18" width="12.5703125" hidden="1" customWidth="1" outlineLevel="1"/>
    <col min="19" max="19" width="0.5703125" hidden="1" customWidth="1" outlineLevel="1"/>
    <col min="20" max="20" width="10.5703125" hidden="1" customWidth="1" outlineLevel="1"/>
    <col min="21" max="21" width="12.5703125" hidden="1" customWidth="1" outlineLevel="1"/>
    <col min="22" max="22" width="0.5703125" hidden="1" customWidth="1" outlineLevel="1"/>
    <col min="23" max="23" width="10.5703125" hidden="1" customWidth="1" outlineLevel="1"/>
    <col min="24" max="24" width="11.42578125" hidden="1" customWidth="1" outlineLevel="1"/>
    <col min="25" max="25" width="0.5703125" hidden="1" customWidth="1" outlineLevel="1"/>
    <col min="26" max="26" width="10.5703125" hidden="1" customWidth="1" outlineLevel="1"/>
    <col min="27" max="27" width="12.5703125" hidden="1" customWidth="1" outlineLevel="1"/>
    <col min="28" max="28" width="0.5703125" hidden="1" customWidth="1" outlineLevel="1"/>
    <col min="29" max="29" width="10.5703125" hidden="1" customWidth="1" outlineLevel="1"/>
    <col min="30" max="30" width="12.5703125" hidden="1" customWidth="1" outlineLevel="1"/>
    <col min="31" max="31" width="2.42578125" hidden="1" customWidth="1" outlineLevel="1"/>
    <col min="32" max="33" width="12.5703125" hidden="1" customWidth="1" outlineLevel="1"/>
    <col min="34" max="34" width="1.42578125" hidden="1" customWidth="1" outlineLevel="1"/>
    <col min="35" max="36" width="12.5703125" hidden="1" customWidth="1" outlineLevel="1"/>
    <col min="37" max="37" width="1.42578125" hidden="1" customWidth="1" outlineLevel="1"/>
    <col min="38" max="39" width="12.5703125" hidden="1" customWidth="1" outlineLevel="1"/>
    <col min="40" max="40" width="1.42578125" hidden="1" customWidth="1" outlineLevel="1"/>
    <col min="41" max="42" width="12.5703125" hidden="1" customWidth="1" outlineLevel="1"/>
    <col min="43" max="43" width="0.5703125" hidden="1" customWidth="1" outlineLevel="1"/>
    <col min="44" max="44" width="10.5703125" hidden="1" customWidth="1" outlineLevel="1"/>
    <col min="45" max="45" width="14.42578125" hidden="1" customWidth="1" outlineLevel="1"/>
    <col min="46" max="46" width="0.5703125" hidden="1" customWidth="1" outlineLevel="1"/>
    <col min="47" max="47" width="5" hidden="1" customWidth="1" outlineLevel="1"/>
    <col min="48" max="48" width="15.42578125" hidden="1" customWidth="1" outlineLevel="1"/>
    <col min="49" max="49" width="5" customWidth="1" collapsed="1"/>
    <col min="50" max="50" width="3.42578125" customWidth="1"/>
    <col min="51" max="51" width="47.42578125" customWidth="1"/>
    <col min="52" max="52" width="5.42578125" customWidth="1"/>
    <col min="53" max="53" width="10.5703125" customWidth="1"/>
    <col min="54" max="54" width="0.5703125" customWidth="1"/>
    <col min="55" max="55" width="8.5703125" customWidth="1"/>
    <col min="56" max="56" width="12.42578125" bestFit="1" customWidth="1"/>
    <col min="57" max="57" width="0.5703125" customWidth="1"/>
    <col min="58" max="58" width="12.42578125" customWidth="1"/>
    <col min="59" max="59" width="14.42578125" customWidth="1"/>
    <col min="60" max="60" width="0.5703125" customWidth="1"/>
    <col min="61" max="61" width="12.42578125" customWidth="1"/>
    <col min="62" max="62" width="14.42578125" customWidth="1"/>
    <col min="63" max="63" width="0.5703125" customWidth="1"/>
    <col min="64" max="64" width="12.42578125" customWidth="1"/>
    <col min="65" max="65" width="14.42578125" customWidth="1"/>
    <col min="66" max="66" width="0.5703125" customWidth="1"/>
    <col min="67" max="67" width="12.42578125" customWidth="1"/>
    <col min="68" max="68" width="14.42578125" customWidth="1"/>
    <col min="69" max="69" width="0.5703125" customWidth="1"/>
    <col min="70" max="70" width="12.42578125" customWidth="1"/>
    <col min="71" max="71" width="14.42578125" customWidth="1"/>
    <col min="72" max="72" width="0.5703125" customWidth="1"/>
    <col min="73" max="73" width="15.42578125" hidden="1" customWidth="1"/>
    <col min="74" max="74" width="14.42578125" hidden="1" customWidth="1"/>
    <col min="75" max="75" width="2.5703125" hidden="1" customWidth="1"/>
    <col min="76" max="76" width="15.42578125" hidden="1" customWidth="1"/>
    <col min="77" max="77" width="14.42578125" hidden="1" customWidth="1"/>
    <col min="78" max="78" width="2.42578125" hidden="1" customWidth="1"/>
    <col min="79" max="79" width="15.42578125" hidden="1" customWidth="1"/>
    <col min="80" max="80" width="14.42578125" hidden="1" customWidth="1"/>
    <col min="81" max="81" width="2.5703125" hidden="1" customWidth="1"/>
    <col min="82" max="83" width="14.42578125" hidden="1" customWidth="1"/>
    <col min="84" max="84" width="2.42578125" hidden="1" customWidth="1"/>
    <col min="85" max="86" width="14.42578125" hidden="1" customWidth="1"/>
    <col min="87" max="87" width="0.5703125" customWidth="1"/>
    <col min="88" max="88" width="15.5703125" customWidth="1"/>
    <col min="89" max="89" width="21" customWidth="1"/>
    <col min="90" max="90" width="36.5703125" customWidth="1"/>
    <col min="91" max="91" width="4" customWidth="1"/>
    <col min="92" max="92" width="0.5703125" customWidth="1"/>
    <col min="93" max="93" width="37.42578125" customWidth="1" outlineLevel="1"/>
    <col min="94" max="94" width="4.5703125" customWidth="1" outlineLevel="1"/>
    <col min="95" max="95" width="8.42578125" customWidth="1" outlineLevel="1"/>
    <col min="96" max="96" width="0.5703125" customWidth="1" outlineLevel="1"/>
    <col min="97" max="97" width="8.5703125" customWidth="1" outlineLevel="1"/>
    <col min="98" max="98" width="13.42578125" customWidth="1" outlineLevel="1"/>
    <col min="99" max="99" width="0.5703125" customWidth="1" outlineLevel="1"/>
    <col min="100" max="100" width="8.5703125" customWidth="1" outlineLevel="1"/>
    <col min="101" max="101" width="10.42578125" customWidth="1" outlineLevel="1"/>
    <col min="102" max="102" width="0.5703125" customWidth="1" outlineLevel="1"/>
    <col min="103" max="103" width="8.5703125" customWidth="1" outlineLevel="1"/>
    <col min="104" max="104" width="13.42578125" customWidth="1" outlineLevel="1"/>
    <col min="105" max="105" width="0.5703125" customWidth="1" outlineLevel="1"/>
    <col min="106" max="106" width="8.5703125" customWidth="1" outlineLevel="1"/>
    <col min="107" max="107" width="13.42578125" customWidth="1" outlineLevel="1"/>
    <col min="108" max="108" width="0.5703125" customWidth="1" outlineLevel="1"/>
    <col min="109" max="109" width="8.5703125" customWidth="1" outlineLevel="1"/>
    <col min="110" max="110" width="13.42578125" customWidth="1" outlineLevel="1"/>
    <col min="111" max="111" width="0.5703125" customWidth="1" outlineLevel="1"/>
    <col min="112" max="112" width="8.5703125" customWidth="1" outlineLevel="1"/>
    <col min="113" max="113" width="11.5703125" customWidth="1" outlineLevel="1"/>
    <col min="114" max="114" width="0.5703125" customWidth="1" outlineLevel="1"/>
    <col min="115" max="115" width="8.5703125" customWidth="1" outlineLevel="1"/>
    <col min="116" max="116" width="11.5703125" customWidth="1" outlineLevel="1"/>
    <col min="117" max="117" width="1.5703125" customWidth="1" outlineLevel="1"/>
    <col min="118" max="119" width="11.5703125" customWidth="1" outlineLevel="1"/>
    <col min="120" max="120" width="2.42578125" customWidth="1" outlineLevel="1"/>
    <col min="121" max="122" width="11.5703125" customWidth="1" outlineLevel="1"/>
    <col min="123" max="123" width="2.42578125" customWidth="1" outlineLevel="1"/>
    <col min="124" max="125" width="11.5703125" customWidth="1" outlineLevel="1"/>
    <col min="126" max="126" width="1.5703125" customWidth="1" outlineLevel="1"/>
    <col min="127" max="128" width="11.5703125" customWidth="1" outlineLevel="1"/>
    <col min="129" max="129" width="0.5703125" customWidth="1" outlineLevel="1"/>
    <col min="130" max="130" width="8.5703125" customWidth="1" outlineLevel="1"/>
    <col min="131" max="131" width="13.42578125" customWidth="1" outlineLevel="1"/>
    <col min="132" max="132" width="12.5703125" bestFit="1" customWidth="1"/>
  </cols>
  <sheetData>
    <row r="1" spans="1:141" ht="15.75" x14ac:dyDescent="0.25">
      <c r="A1" s="170"/>
      <c r="B1" s="376"/>
      <c r="C1" s="376"/>
      <c r="D1" s="376"/>
      <c r="E1" s="170"/>
      <c r="F1" s="488"/>
      <c r="G1" s="1286">
        <f>'Cover (old)'!C10</f>
        <v>0</v>
      </c>
      <c r="H1" s="1287"/>
      <c r="I1" s="1288"/>
      <c r="J1" s="1287"/>
      <c r="K1" s="1288"/>
      <c r="L1" s="1287"/>
      <c r="M1" s="1287"/>
      <c r="N1" s="1288"/>
      <c r="O1" s="1289"/>
      <c r="P1" s="1287"/>
      <c r="Q1" s="1288"/>
      <c r="R1" s="1287"/>
      <c r="S1" s="1287"/>
      <c r="T1" s="1288"/>
      <c r="U1" s="1287"/>
      <c r="V1" s="1287"/>
      <c r="W1" s="1288"/>
      <c r="X1" s="1287"/>
      <c r="Y1" s="1287"/>
      <c r="Z1" s="1288"/>
      <c r="AA1" s="1287"/>
      <c r="AB1" s="1287"/>
      <c r="AC1" s="1288"/>
      <c r="AD1" s="1287"/>
      <c r="AE1" s="1287"/>
      <c r="AF1" s="1287"/>
      <c r="AG1" s="1287"/>
      <c r="AH1" s="1287"/>
      <c r="AI1" s="1287"/>
      <c r="AJ1" s="1287"/>
      <c r="AK1" s="1287"/>
      <c r="AL1" s="1287"/>
      <c r="AM1" s="1287"/>
      <c r="AN1" s="1287"/>
      <c r="AO1" s="1287"/>
      <c r="AP1" s="1287"/>
      <c r="AQ1" s="1287"/>
      <c r="AR1" s="1290"/>
      <c r="AS1" s="1287"/>
      <c r="AT1" s="1287"/>
      <c r="AU1" s="170"/>
      <c r="AV1" s="378"/>
      <c r="AW1" s="170"/>
      <c r="AX1" s="488"/>
      <c r="AY1" s="1230">
        <f>G1</f>
        <v>0</v>
      </c>
      <c r="AZ1" s="488"/>
      <c r="BA1" s="377"/>
      <c r="BB1" s="488"/>
      <c r="BC1" s="377"/>
      <c r="BD1" s="488"/>
      <c r="BE1" s="488"/>
      <c r="BF1" s="436"/>
      <c r="BG1" s="457"/>
      <c r="BH1" s="488"/>
      <c r="BI1" s="436"/>
      <c r="BJ1" s="488"/>
      <c r="BK1" s="488"/>
      <c r="BL1" s="436"/>
      <c r="BM1" s="488"/>
      <c r="BN1" s="488"/>
      <c r="BO1" s="436"/>
      <c r="BP1" s="488"/>
      <c r="BQ1" s="488"/>
      <c r="BR1" s="436"/>
      <c r="BS1" s="488"/>
      <c r="BT1" s="488"/>
      <c r="BU1" s="436"/>
      <c r="BV1" s="488"/>
      <c r="BW1" s="488"/>
      <c r="BX1" s="436"/>
      <c r="BY1" s="488"/>
      <c r="BZ1" s="488"/>
      <c r="CA1" s="436"/>
      <c r="CB1" s="488"/>
      <c r="CC1" s="488"/>
      <c r="CD1" s="488"/>
      <c r="CE1" s="488"/>
      <c r="CF1" s="488"/>
      <c r="CG1" s="488"/>
      <c r="CH1" s="488"/>
      <c r="CI1" s="488"/>
      <c r="CJ1" s="377"/>
      <c r="CK1" s="488"/>
      <c r="CL1" s="488"/>
      <c r="CM1" s="170"/>
      <c r="CN1" s="488"/>
      <c r="CO1" s="383">
        <f>G1</f>
        <v>0</v>
      </c>
      <c r="CP1" s="382"/>
      <c r="CQ1" s="384"/>
      <c r="CR1" s="382"/>
      <c r="CS1" s="384"/>
      <c r="CT1" s="382"/>
      <c r="CU1" s="382"/>
      <c r="CV1" s="384"/>
      <c r="CW1" s="385"/>
      <c r="CX1" s="382"/>
      <c r="CY1" s="384"/>
      <c r="CZ1" s="382"/>
      <c r="DA1" s="382"/>
      <c r="DB1" s="384"/>
      <c r="DC1" s="382"/>
      <c r="DD1" s="382"/>
      <c r="DE1" s="384"/>
      <c r="DF1" s="382"/>
      <c r="DG1" s="382"/>
      <c r="DH1" s="384"/>
      <c r="DI1" s="382"/>
      <c r="DJ1" s="382"/>
      <c r="DK1" s="384"/>
      <c r="DL1" s="382"/>
      <c r="DM1" s="382"/>
      <c r="DN1" s="382"/>
      <c r="DO1" s="382"/>
      <c r="DP1" s="382"/>
      <c r="DQ1" s="382"/>
      <c r="DR1" s="382"/>
      <c r="DS1" s="382"/>
      <c r="DT1" s="382"/>
      <c r="DU1" s="382"/>
      <c r="DV1" s="382"/>
      <c r="DW1" s="382"/>
      <c r="DX1" s="382"/>
      <c r="DY1" s="382"/>
      <c r="DZ1" s="384"/>
      <c r="EA1" s="382"/>
      <c r="EB1" s="170"/>
      <c r="EC1" s="170"/>
      <c r="ED1" s="170"/>
      <c r="EE1" s="170"/>
      <c r="EF1" s="170"/>
      <c r="EG1" s="170"/>
      <c r="EH1" s="170"/>
      <c r="EI1" s="170"/>
      <c r="EJ1" s="170"/>
      <c r="EK1" s="170"/>
    </row>
    <row r="2" spans="1:141" ht="15" x14ac:dyDescent="0.25">
      <c r="A2" s="170"/>
      <c r="B2" s="376"/>
      <c r="C2" s="376"/>
      <c r="D2" s="376"/>
      <c r="E2" s="170"/>
      <c r="F2" s="168"/>
      <c r="G2" s="1291" t="s">
        <v>96</v>
      </c>
      <c r="H2" s="1287"/>
      <c r="I2" s="1288"/>
      <c r="J2" s="1291"/>
      <c r="K2" s="1290"/>
      <c r="L2" s="1292"/>
      <c r="M2" s="1291"/>
      <c r="N2" s="1290" t="s">
        <v>96</v>
      </c>
      <c r="O2" s="1293" t="s">
        <v>96</v>
      </c>
      <c r="P2" s="1291"/>
      <c r="Q2" s="1290" t="s">
        <v>96</v>
      </c>
      <c r="R2" s="1292" t="s">
        <v>96</v>
      </c>
      <c r="S2" s="1291"/>
      <c r="T2" s="1290" t="s">
        <v>96</v>
      </c>
      <c r="U2" s="1292" t="s">
        <v>96</v>
      </c>
      <c r="V2" s="1291"/>
      <c r="W2" s="1290" t="s">
        <v>96</v>
      </c>
      <c r="X2" s="1292" t="s">
        <v>96</v>
      </c>
      <c r="Y2" s="1291"/>
      <c r="Z2" s="1290" t="s">
        <v>96</v>
      </c>
      <c r="AA2" s="1292" t="s">
        <v>96</v>
      </c>
      <c r="AB2" s="1291"/>
      <c r="AC2" s="1290" t="s">
        <v>96</v>
      </c>
      <c r="AD2" s="1292" t="s">
        <v>96</v>
      </c>
      <c r="AE2" s="1292"/>
      <c r="AF2" s="1292"/>
      <c r="AG2" s="1292"/>
      <c r="AH2" s="1292"/>
      <c r="AI2" s="1292"/>
      <c r="AJ2" s="1292"/>
      <c r="AK2" s="1292"/>
      <c r="AL2" s="1292"/>
      <c r="AM2" s="1292"/>
      <c r="AN2" s="1292"/>
      <c r="AO2" s="1292"/>
      <c r="AP2" s="1292"/>
      <c r="AQ2" s="1291"/>
      <c r="AR2" s="1290"/>
      <c r="AS2" s="1292" t="s">
        <v>96</v>
      </c>
      <c r="AT2" s="1291"/>
      <c r="AU2" s="168"/>
      <c r="AV2" s="386"/>
      <c r="AW2" s="168"/>
      <c r="AX2" s="168"/>
      <c r="AY2" s="168" t="s">
        <v>96</v>
      </c>
      <c r="AZ2" s="488"/>
      <c r="BA2" s="377"/>
      <c r="BB2" s="168"/>
      <c r="BC2" s="1231"/>
      <c r="BD2" s="1232"/>
      <c r="BE2" s="168"/>
      <c r="BF2" s="436"/>
      <c r="BG2" s="377"/>
      <c r="BH2" s="168"/>
      <c r="BI2" s="436"/>
      <c r="BJ2" s="1232" t="s">
        <v>96</v>
      </c>
      <c r="BK2" s="168"/>
      <c r="BL2" s="436" t="s">
        <v>96</v>
      </c>
      <c r="BM2" s="1232" t="s">
        <v>96</v>
      </c>
      <c r="BN2" s="168"/>
      <c r="BO2" s="436" t="s">
        <v>96</v>
      </c>
      <c r="BP2" s="1232" t="s">
        <v>96</v>
      </c>
      <c r="BQ2" s="168"/>
      <c r="BR2" s="436" t="s">
        <v>96</v>
      </c>
      <c r="BS2" s="1232" t="s">
        <v>96</v>
      </c>
      <c r="BT2" s="168"/>
      <c r="BU2" s="436" t="s">
        <v>96</v>
      </c>
      <c r="BV2" s="1232" t="s">
        <v>96</v>
      </c>
      <c r="BW2" s="1232"/>
      <c r="BX2" s="436" t="s">
        <v>96</v>
      </c>
      <c r="BY2" s="1232" t="s">
        <v>96</v>
      </c>
      <c r="BZ2" s="1232"/>
      <c r="CA2" s="436" t="s">
        <v>96</v>
      </c>
      <c r="CB2" s="1232" t="s">
        <v>96</v>
      </c>
      <c r="CC2" s="1232"/>
      <c r="CD2" s="1232"/>
      <c r="CE2" s="1232"/>
      <c r="CF2" s="1232"/>
      <c r="CG2" s="1232"/>
      <c r="CH2" s="1232"/>
      <c r="CI2" s="168"/>
      <c r="CJ2" s="1231" t="s">
        <v>96</v>
      </c>
      <c r="CK2" s="1232" t="s">
        <v>96</v>
      </c>
      <c r="CL2" s="1232"/>
      <c r="CM2" s="168"/>
      <c r="CN2" s="168"/>
      <c r="CO2" s="388" t="s">
        <v>96</v>
      </c>
      <c r="CP2" s="382"/>
      <c r="CQ2" s="384"/>
      <c r="CR2" s="388"/>
      <c r="CS2" s="389"/>
      <c r="CT2" s="390"/>
      <c r="CU2" s="388"/>
      <c r="CV2" s="389" t="s">
        <v>96</v>
      </c>
      <c r="CW2" s="391" t="s">
        <v>96</v>
      </c>
      <c r="CX2" s="388"/>
      <c r="CY2" s="389" t="s">
        <v>96</v>
      </c>
      <c r="CZ2" s="390" t="s">
        <v>96</v>
      </c>
      <c r="DA2" s="388"/>
      <c r="DB2" s="389" t="s">
        <v>96</v>
      </c>
      <c r="DC2" s="390" t="s">
        <v>96</v>
      </c>
      <c r="DD2" s="388"/>
      <c r="DE2" s="389" t="s">
        <v>96</v>
      </c>
      <c r="DF2" s="390" t="s">
        <v>96</v>
      </c>
      <c r="DG2" s="388"/>
      <c r="DH2" s="389" t="s">
        <v>96</v>
      </c>
      <c r="DI2" s="390" t="s">
        <v>96</v>
      </c>
      <c r="DJ2" s="388"/>
      <c r="DK2" s="389" t="s">
        <v>96</v>
      </c>
      <c r="DL2" s="390" t="s">
        <v>96</v>
      </c>
      <c r="DM2" s="390"/>
      <c r="DN2" s="390"/>
      <c r="DO2" s="390"/>
      <c r="DP2" s="390"/>
      <c r="DQ2" s="390"/>
      <c r="DR2" s="390"/>
      <c r="DS2" s="390"/>
      <c r="DT2" s="390"/>
      <c r="DU2" s="390"/>
      <c r="DV2" s="390"/>
      <c r="DW2" s="390"/>
      <c r="DX2" s="390"/>
      <c r="DY2" s="388"/>
      <c r="DZ2" s="389" t="s">
        <v>96</v>
      </c>
      <c r="EA2" s="390" t="s">
        <v>96</v>
      </c>
      <c r="EB2" s="170"/>
      <c r="EC2" s="170"/>
      <c r="ED2" s="170"/>
      <c r="EE2" s="170"/>
      <c r="EF2" s="170"/>
      <c r="EG2" s="170"/>
      <c r="EH2" s="170"/>
      <c r="EI2" s="170"/>
      <c r="EJ2" s="170"/>
      <c r="EK2" s="170"/>
    </row>
    <row r="3" spans="1:141" ht="15.75" x14ac:dyDescent="0.25">
      <c r="A3" s="170"/>
      <c r="B3" s="376"/>
      <c r="C3" s="376"/>
      <c r="D3" s="376"/>
      <c r="E3" s="170"/>
      <c r="F3" s="488"/>
      <c r="G3" s="1286">
        <f>'Cover (old)'!C6</f>
        <v>0</v>
      </c>
      <c r="H3" s="1287"/>
      <c r="I3" s="1288"/>
      <c r="J3" s="1287"/>
      <c r="K3" s="1288"/>
      <c r="L3" s="1291"/>
      <c r="M3" s="1287"/>
      <c r="N3" s="1288"/>
      <c r="O3" s="1289"/>
      <c r="P3" s="1287"/>
      <c r="Q3" s="1288"/>
      <c r="R3" s="1291"/>
      <c r="S3" s="1287"/>
      <c r="T3" s="1288"/>
      <c r="U3" s="1291"/>
      <c r="V3" s="1287"/>
      <c r="W3" s="1288"/>
      <c r="X3" s="1291"/>
      <c r="Y3" s="1287"/>
      <c r="Z3" s="1288"/>
      <c r="AA3" s="1291"/>
      <c r="AB3" s="1287"/>
      <c r="AC3" s="1288"/>
      <c r="AD3" s="1291"/>
      <c r="AE3" s="1291"/>
      <c r="AF3" s="1291"/>
      <c r="AG3" s="1291"/>
      <c r="AH3" s="1291"/>
      <c r="AI3" s="1291"/>
      <c r="AJ3" s="1291"/>
      <c r="AK3" s="1291"/>
      <c r="AL3" s="1291"/>
      <c r="AM3" s="1291"/>
      <c r="AN3" s="1291"/>
      <c r="AO3" s="1291"/>
      <c r="AP3" s="1291"/>
      <c r="AQ3" s="1287"/>
      <c r="AR3" s="1288"/>
      <c r="AS3" s="1291"/>
      <c r="AT3" s="1287"/>
      <c r="AU3" s="170"/>
      <c r="AV3" s="378"/>
      <c r="AW3" s="170"/>
      <c r="AX3" s="488"/>
      <c r="AY3" s="1230">
        <f>'Detail Summary'!G3</f>
        <v>0</v>
      </c>
      <c r="AZ3" s="488"/>
      <c r="BA3" s="377"/>
      <c r="BB3" s="488"/>
      <c r="BC3" s="377"/>
      <c r="BD3" s="168"/>
      <c r="BE3" s="488"/>
      <c r="BF3" s="436"/>
      <c r="BG3" s="457"/>
      <c r="BH3" s="488"/>
      <c r="BI3" s="436"/>
      <c r="BJ3" s="168"/>
      <c r="BK3" s="488"/>
      <c r="BL3" s="436"/>
      <c r="BM3" s="168"/>
      <c r="BN3" s="488"/>
      <c r="BO3" s="436"/>
      <c r="BP3" s="168"/>
      <c r="BQ3" s="488"/>
      <c r="BR3" s="436"/>
      <c r="BS3" s="168"/>
      <c r="BT3" s="488"/>
      <c r="BU3" s="436"/>
      <c r="BV3" s="168"/>
      <c r="BW3" s="168"/>
      <c r="BX3" s="436"/>
      <c r="BY3" s="168"/>
      <c r="BZ3" s="168"/>
      <c r="CA3" s="436"/>
      <c r="CB3" s="168"/>
      <c r="CC3" s="168"/>
      <c r="CD3" s="168"/>
      <c r="CE3" s="168"/>
      <c r="CF3" s="168"/>
      <c r="CG3" s="168"/>
      <c r="CH3" s="168"/>
      <c r="CI3" s="488"/>
      <c r="CJ3" s="377"/>
      <c r="CK3" s="168"/>
      <c r="CL3" s="168"/>
      <c r="CM3" s="170"/>
      <c r="CN3" s="488"/>
      <c r="CO3" s="383">
        <f>G3</f>
        <v>0</v>
      </c>
      <c r="CP3" s="382"/>
      <c r="CQ3" s="384"/>
      <c r="CR3" s="382"/>
      <c r="CS3" s="384"/>
      <c r="CT3" s="388"/>
      <c r="CU3" s="382"/>
      <c r="CV3" s="384"/>
      <c r="CW3" s="384"/>
      <c r="CX3" s="382"/>
      <c r="CY3" s="384"/>
      <c r="CZ3" s="388"/>
      <c r="DA3" s="382"/>
      <c r="DB3" s="384"/>
      <c r="DC3" s="388"/>
      <c r="DD3" s="382"/>
      <c r="DE3" s="384"/>
      <c r="DF3" s="388"/>
      <c r="DG3" s="382"/>
      <c r="DH3" s="384"/>
      <c r="DI3" s="388"/>
      <c r="DJ3" s="382"/>
      <c r="DK3" s="384"/>
      <c r="DL3" s="388"/>
      <c r="DM3" s="388"/>
      <c r="DN3" s="388"/>
      <c r="DO3" s="388"/>
      <c r="DP3" s="388"/>
      <c r="DQ3" s="388"/>
      <c r="DR3" s="388"/>
      <c r="DS3" s="388"/>
      <c r="DT3" s="388"/>
      <c r="DU3" s="388"/>
      <c r="DV3" s="388"/>
      <c r="DW3" s="388"/>
      <c r="DX3" s="388"/>
      <c r="DY3" s="382"/>
      <c r="DZ3" s="384"/>
      <c r="EA3" s="388"/>
      <c r="EB3" s="170"/>
      <c r="EC3" s="170"/>
      <c r="ED3" s="170"/>
      <c r="EE3" s="170"/>
      <c r="EF3" s="170"/>
      <c r="EG3" s="170"/>
      <c r="EH3" s="170"/>
      <c r="EI3" s="170"/>
      <c r="EJ3" s="170"/>
      <c r="EK3" s="170"/>
    </row>
    <row r="4" spans="1:141" ht="27" thickBot="1" x14ac:dyDescent="0.3">
      <c r="A4" s="170"/>
      <c r="B4" s="376"/>
      <c r="C4" s="376"/>
      <c r="D4" s="376"/>
      <c r="E4" s="170"/>
      <c r="F4" s="488"/>
      <c r="G4" s="1294"/>
      <c r="H4" s="1287"/>
      <c r="I4" s="1288"/>
      <c r="J4" s="1287"/>
      <c r="K4" s="1288"/>
      <c r="L4" s="2872" t="s">
        <v>280</v>
      </c>
      <c r="M4" s="2872"/>
      <c r="N4" s="2872"/>
      <c r="O4" s="2872"/>
      <c r="P4" s="2872"/>
      <c r="Q4" s="2872"/>
      <c r="R4" s="2872"/>
      <c r="S4" s="1287"/>
      <c r="T4" s="1288"/>
      <c r="U4" s="1291"/>
      <c r="V4" s="1287"/>
      <c r="W4" s="1288"/>
      <c r="X4" s="1291"/>
      <c r="Y4" s="1287"/>
      <c r="Z4" s="1288"/>
      <c r="AA4" s="1291"/>
      <c r="AB4" s="1287"/>
      <c r="AC4" s="1288"/>
      <c r="AD4" s="1291"/>
      <c r="AE4" s="1291"/>
      <c r="AF4" s="1291"/>
      <c r="AG4" s="1291"/>
      <c r="AH4" s="1291"/>
      <c r="AI4" s="1291"/>
      <c r="AJ4" s="1291"/>
      <c r="AK4" s="1291"/>
      <c r="AL4" s="1291"/>
      <c r="AM4" s="1291"/>
      <c r="AN4" s="1291"/>
      <c r="AO4" s="1291"/>
      <c r="AP4" s="1291"/>
      <c r="AQ4" s="1287"/>
      <c r="AR4" s="1290"/>
      <c r="AS4" s="1291"/>
      <c r="AT4" s="1287"/>
      <c r="AU4" s="170"/>
      <c r="AV4" s="378"/>
      <c r="AW4" s="170"/>
      <c r="AX4" s="488"/>
      <c r="AY4" s="1376" t="s">
        <v>1236</v>
      </c>
      <c r="AZ4" s="488"/>
      <c r="BA4" s="377"/>
      <c r="BB4" s="488"/>
      <c r="BC4" s="377"/>
      <c r="BD4" s="168"/>
      <c r="BE4" s="488"/>
      <c r="BF4" s="436"/>
      <c r="BG4" s="457"/>
      <c r="BH4" s="488"/>
      <c r="BI4" s="436"/>
      <c r="BJ4" s="168"/>
      <c r="BK4" s="488"/>
      <c r="BL4" s="436"/>
      <c r="BM4" s="168"/>
      <c r="BN4" s="488"/>
      <c r="BO4" s="436"/>
      <c r="BP4" s="168"/>
      <c r="BQ4" s="488"/>
      <c r="BR4" s="436"/>
      <c r="BS4" s="168"/>
      <c r="BT4" s="488"/>
      <c r="BU4" s="436"/>
      <c r="BV4" s="168"/>
      <c r="BW4" s="168"/>
      <c r="BX4" s="436"/>
      <c r="BY4" s="168"/>
      <c r="BZ4" s="168"/>
      <c r="CA4" s="436"/>
      <c r="CB4" s="168"/>
      <c r="CC4" s="168"/>
      <c r="CD4" s="168"/>
      <c r="CE4" s="168"/>
      <c r="CF4" s="168"/>
      <c r="CG4" s="168"/>
      <c r="CH4" s="168"/>
      <c r="CI4" s="488"/>
      <c r="CJ4" s="377"/>
      <c r="CK4" s="168"/>
      <c r="CL4" s="168"/>
      <c r="CM4" s="170"/>
      <c r="CN4" s="488"/>
      <c r="CO4" s="1377" t="s">
        <v>282</v>
      </c>
      <c r="CP4" s="382"/>
      <c r="CQ4" s="384"/>
      <c r="CR4" s="382"/>
      <c r="CS4" s="384"/>
      <c r="CT4" s="388"/>
      <c r="CU4" s="382"/>
      <c r="CV4" s="384"/>
      <c r="CW4" s="393">
        <f>+Escalation!AB8</f>
        <v>0</v>
      </c>
      <c r="CX4" s="398"/>
      <c r="CY4" s="393"/>
      <c r="CZ4" s="394">
        <f>+Escalation!AC8</f>
        <v>5.0000000000000044E-2</v>
      </c>
      <c r="DA4" s="398"/>
      <c r="DB4" s="393"/>
      <c r="DC4" s="394">
        <f>+Escalation!AD8</f>
        <v>9.2000000000000082E-2</v>
      </c>
      <c r="DD4" s="398"/>
      <c r="DE4" s="393"/>
      <c r="DF4" s="394">
        <f>+Escalation!AE8</f>
        <v>0.1247600000000002</v>
      </c>
      <c r="DG4" s="398"/>
      <c r="DH4" s="393"/>
      <c r="DI4" s="394">
        <f>+Escalation!AF8</f>
        <v>0.15850280000000017</v>
      </c>
      <c r="DJ4" s="398"/>
      <c r="DK4" s="393"/>
      <c r="DL4" s="394">
        <f>+Escalation!AG8</f>
        <v>0.1932578840000001</v>
      </c>
      <c r="DM4" s="394"/>
      <c r="DN4" s="394"/>
      <c r="DO4" s="394">
        <f>+Escalation!AH8</f>
        <v>0.22905562052000006</v>
      </c>
      <c r="DP4" s="394"/>
      <c r="DQ4" s="394"/>
      <c r="DR4" s="394">
        <f>+Escalation!AI8</f>
        <v>0.26592728913560015</v>
      </c>
      <c r="DS4" s="394"/>
      <c r="DT4" s="394"/>
      <c r="DU4" s="394">
        <f>+Escalation!AJ8</f>
        <v>0.30390510780966817</v>
      </c>
      <c r="DV4" s="394"/>
      <c r="DW4" s="394"/>
      <c r="DX4" s="394">
        <f>+Escalation!AK8</f>
        <v>0.34302226104395817</v>
      </c>
      <c r="DY4" s="382"/>
      <c r="DZ4" s="395" t="s">
        <v>281</v>
      </c>
      <c r="EA4" s="384"/>
      <c r="EB4" s="170"/>
      <c r="EC4" s="170"/>
      <c r="ED4" s="170"/>
      <c r="EE4" s="170"/>
      <c r="EF4" s="170"/>
      <c r="EG4" s="170"/>
      <c r="EH4" s="170"/>
      <c r="EI4" s="170"/>
      <c r="EJ4" s="170"/>
      <c r="EK4" s="170"/>
    </row>
    <row r="5" spans="1:141" ht="15.75" x14ac:dyDescent="0.25">
      <c r="A5" s="170"/>
      <c r="B5" s="376"/>
      <c r="C5" s="376"/>
      <c r="D5" s="376"/>
      <c r="E5" s="170"/>
      <c r="F5" s="493"/>
      <c r="G5" s="1295" t="str">
        <f>+'Data Input sheet'!$B$5&amp;" "&amp;'Data Input sheet'!$C$5</f>
        <v>Project Number: 21334</v>
      </c>
      <c r="H5" s="1287"/>
      <c r="I5" s="1288"/>
      <c r="J5" s="1287"/>
      <c r="K5" s="1288"/>
      <c r="L5" s="1291"/>
      <c r="M5" s="1287"/>
      <c r="N5" s="1288"/>
      <c r="O5" s="1288"/>
      <c r="P5" s="1287"/>
      <c r="Q5" s="1288"/>
      <c r="R5" s="1291"/>
      <c r="S5" s="1287"/>
      <c r="T5" s="1288"/>
      <c r="U5" s="1291"/>
      <c r="V5" s="1287"/>
      <c r="W5" s="1288"/>
      <c r="X5" s="1291"/>
      <c r="Y5" s="1287"/>
      <c r="Z5" s="1288"/>
      <c r="AA5" s="1291"/>
      <c r="AB5" s="1287"/>
      <c r="AC5" s="1288"/>
      <c r="AD5" s="1291"/>
      <c r="AE5" s="1291"/>
      <c r="AF5" s="1291"/>
      <c r="AG5" s="1291"/>
      <c r="AH5" s="1291"/>
      <c r="AI5" s="1291"/>
      <c r="AJ5" s="1291"/>
      <c r="AK5" s="1291"/>
      <c r="AL5" s="1291"/>
      <c r="AM5" s="1291"/>
      <c r="AN5" s="1291"/>
      <c r="AO5" s="1291"/>
      <c r="AP5" s="1291"/>
      <c r="AQ5" s="1287"/>
      <c r="AR5" s="1288"/>
      <c r="AS5" s="1291"/>
      <c r="AT5" s="1287"/>
      <c r="AU5" s="170"/>
      <c r="AV5" s="1753"/>
      <c r="AW5" s="170"/>
      <c r="AX5" s="488"/>
      <c r="AY5" s="2296" t="str">
        <f>+G5</f>
        <v>Project Number: 21334</v>
      </c>
      <c r="AZ5" s="488"/>
      <c r="BA5" s="377"/>
      <c r="BB5" s="488"/>
      <c r="BC5" s="377"/>
      <c r="BD5" s="168"/>
      <c r="BE5" s="488"/>
      <c r="BF5" s="436"/>
      <c r="BG5" s="457"/>
      <c r="BH5" s="488"/>
      <c r="BI5" s="436"/>
      <c r="BJ5" s="168"/>
      <c r="BK5" s="488"/>
      <c r="BL5" s="436"/>
      <c r="BM5" s="168"/>
      <c r="BN5" s="488"/>
      <c r="BO5" s="436"/>
      <c r="BP5" s="168"/>
      <c r="BQ5" s="488"/>
      <c r="BR5" s="436"/>
      <c r="BS5" s="168"/>
      <c r="BT5" s="488"/>
      <c r="BU5" s="436"/>
      <c r="BV5" s="168"/>
      <c r="BW5" s="168"/>
      <c r="BX5" s="436"/>
      <c r="BY5" s="168"/>
      <c r="BZ5" s="168"/>
      <c r="CA5" s="436"/>
      <c r="CB5" s="168"/>
      <c r="CC5" s="168"/>
      <c r="CD5" s="168"/>
      <c r="CE5" s="168"/>
      <c r="CF5" s="168"/>
      <c r="CG5" s="168"/>
      <c r="CH5" s="168"/>
      <c r="CI5" s="488"/>
      <c r="CJ5" s="377"/>
      <c r="CK5" s="168"/>
      <c r="CL5" s="168"/>
      <c r="CM5" s="170"/>
      <c r="CN5" s="488"/>
      <c r="CO5" s="396"/>
      <c r="CP5" s="382"/>
      <c r="CQ5" s="384"/>
      <c r="CR5" s="382"/>
      <c r="CS5" s="384"/>
      <c r="CT5" s="388"/>
      <c r="CU5" s="382"/>
      <c r="CV5" s="384"/>
      <c r="CW5" s="393">
        <f>+Escalation!AB9</f>
        <v>0</v>
      </c>
      <c r="CX5" s="398"/>
      <c r="CY5" s="393"/>
      <c r="CZ5" s="394">
        <f>+Escalation!AC9</f>
        <v>3.0000000000000027E-2</v>
      </c>
      <c r="DA5" s="398"/>
      <c r="DB5" s="393"/>
      <c r="DC5" s="394">
        <f>+Escalation!AD9</f>
        <v>6.0899999999999954E-2</v>
      </c>
      <c r="DD5" s="398"/>
      <c r="DE5" s="393"/>
      <c r="DF5" s="394">
        <f>+Escalation!AE9</f>
        <v>9.2727000000000004E-2</v>
      </c>
      <c r="DG5" s="398"/>
      <c r="DH5" s="393"/>
      <c r="DI5" s="394">
        <f>+Escalation!AF9</f>
        <v>0.12550881000000014</v>
      </c>
      <c r="DJ5" s="398"/>
      <c r="DK5" s="393"/>
      <c r="DL5" s="394">
        <f>+Escalation!AG9</f>
        <v>0.14801898620000009</v>
      </c>
      <c r="DM5" s="394"/>
      <c r="DN5" s="394"/>
      <c r="DO5" s="394">
        <f>+Escalation!AH9</f>
        <v>0.1709793659240002</v>
      </c>
      <c r="DP5" s="394"/>
      <c r="DQ5" s="394"/>
      <c r="DR5" s="394">
        <f>+Escalation!AI9</f>
        <v>0.19439895324248013</v>
      </c>
      <c r="DS5" s="394"/>
      <c r="DT5" s="394"/>
      <c r="DU5" s="394">
        <f>+Escalation!AJ9</f>
        <v>0.21828693230732976</v>
      </c>
      <c r="DV5" s="394"/>
      <c r="DW5" s="394"/>
      <c r="DX5" s="394">
        <f>+Escalation!AK9</f>
        <v>0.24265267095347642</v>
      </c>
      <c r="DY5" s="382"/>
      <c r="DZ5" s="395" t="s">
        <v>283</v>
      </c>
      <c r="EA5" s="384"/>
      <c r="EB5" s="170"/>
      <c r="EC5" s="170"/>
      <c r="ED5" s="170"/>
      <c r="EE5" s="170"/>
      <c r="EF5" s="170"/>
      <c r="EG5" s="170"/>
      <c r="EH5" s="170"/>
      <c r="EI5" s="170"/>
      <c r="EJ5" s="170"/>
      <c r="EK5" s="170"/>
    </row>
    <row r="6" spans="1:141" ht="15.75" x14ac:dyDescent="0.25">
      <c r="A6" s="170"/>
      <c r="B6" s="376"/>
      <c r="C6" s="376"/>
      <c r="D6" s="376"/>
      <c r="E6" s="170"/>
      <c r="F6" s="493"/>
      <c r="G6" s="1295" t="str">
        <f>'Data Input sheet'!$B$11&amp;TEXT('Data Input sheet'!$C$11,"mm/dd/yyy")</f>
        <v>Date of Estimate:12/08/2023</v>
      </c>
      <c r="H6" s="1287"/>
      <c r="I6" s="1288"/>
      <c r="J6" s="1287"/>
      <c r="K6" s="1288"/>
      <c r="L6" s="1291"/>
      <c r="M6" s="1287"/>
      <c r="N6" s="1288"/>
      <c r="O6" s="1288"/>
      <c r="P6" s="1287"/>
      <c r="Q6" s="1288"/>
      <c r="R6" s="1291"/>
      <c r="S6" s="1287"/>
      <c r="T6" s="1288"/>
      <c r="U6" s="1291"/>
      <c r="V6" s="1287"/>
      <c r="W6" s="1288"/>
      <c r="X6" s="1291"/>
      <c r="Y6" s="1287"/>
      <c r="Z6" s="1288"/>
      <c r="AA6" s="1291"/>
      <c r="AB6" s="1287"/>
      <c r="AC6" s="1288"/>
      <c r="AD6" s="1291"/>
      <c r="AE6" s="1291"/>
      <c r="AF6" s="1291"/>
      <c r="AG6" s="1291"/>
      <c r="AH6" s="1291"/>
      <c r="AI6" s="1291"/>
      <c r="AJ6" s="1291"/>
      <c r="AK6" s="1291"/>
      <c r="AL6" s="1291"/>
      <c r="AM6" s="1291"/>
      <c r="AN6" s="1291"/>
      <c r="AO6" s="1291"/>
      <c r="AP6" s="1291"/>
      <c r="AQ6" s="1287"/>
      <c r="AR6" s="1288"/>
      <c r="AS6" s="1291"/>
      <c r="AT6" s="1287"/>
      <c r="AU6" s="170"/>
      <c r="AV6" s="1754"/>
      <c r="AW6" s="170"/>
      <c r="AX6" s="488"/>
      <c r="AY6" s="2296" t="str">
        <f>+G6</f>
        <v>Date of Estimate:12/08/2023</v>
      </c>
      <c r="AZ6" s="488"/>
      <c r="BA6" s="377"/>
      <c r="BB6" s="488"/>
      <c r="BC6" s="377"/>
      <c r="BD6" s="168"/>
      <c r="BE6" s="488"/>
      <c r="BF6" s="436"/>
      <c r="BG6" s="457"/>
      <c r="BH6" s="488"/>
      <c r="BI6" s="436"/>
      <c r="BJ6" s="168"/>
      <c r="BK6" s="488"/>
      <c r="BL6" s="436"/>
      <c r="BM6" s="168"/>
      <c r="BN6" s="488"/>
      <c r="BO6" s="436"/>
      <c r="BP6" s="168"/>
      <c r="BQ6" s="488"/>
      <c r="BR6" s="436"/>
      <c r="BS6" s="168"/>
      <c r="BT6" s="488"/>
      <c r="BU6" s="436"/>
      <c r="BV6" s="168"/>
      <c r="BW6" s="168"/>
      <c r="BX6" s="436"/>
      <c r="BY6" s="168"/>
      <c r="BZ6" s="168"/>
      <c r="CA6" s="436"/>
      <c r="CB6" s="168"/>
      <c r="CC6" s="168"/>
      <c r="CD6" s="168"/>
      <c r="CE6" s="168"/>
      <c r="CF6" s="168"/>
      <c r="CG6" s="168"/>
      <c r="CH6" s="168"/>
      <c r="CI6" s="488"/>
      <c r="CJ6" s="377"/>
      <c r="CK6" s="168"/>
      <c r="CL6" s="168"/>
      <c r="CM6" s="170"/>
      <c r="CN6" s="488"/>
      <c r="CO6" s="392"/>
      <c r="CP6" s="382"/>
      <c r="CQ6" s="384"/>
      <c r="CR6" s="382"/>
      <c r="CS6" s="384"/>
      <c r="CT6" s="388"/>
      <c r="CU6" s="382"/>
      <c r="CV6" s="384"/>
      <c r="CW6" s="397">
        <f>+'Data Input sheet'!D66</f>
        <v>0</v>
      </c>
      <c r="CX6" s="398"/>
      <c r="CY6" s="397"/>
      <c r="CZ6" s="399">
        <f>+'Data Input sheet'!G66</f>
        <v>0.05</v>
      </c>
      <c r="DA6" s="400"/>
      <c r="DB6" s="399"/>
      <c r="DC6" s="399">
        <f>+'Data Input sheet'!J66</f>
        <v>0.04</v>
      </c>
      <c r="DD6" s="400"/>
      <c r="DE6" s="399"/>
      <c r="DF6" s="399">
        <f>+'Data Input sheet'!M66</f>
        <v>0.03</v>
      </c>
      <c r="DG6" s="400"/>
      <c r="DH6" s="399"/>
      <c r="DI6" s="399">
        <f>+'Data Input sheet'!P66</f>
        <v>0.03</v>
      </c>
      <c r="DJ6" s="400"/>
      <c r="DK6" s="399"/>
      <c r="DL6" s="399">
        <f>+'Data Input sheet'!S66</f>
        <v>0.03</v>
      </c>
      <c r="DM6" s="399"/>
      <c r="DN6" s="399"/>
      <c r="DO6" s="399">
        <f>+'Data Input sheet'!V66</f>
        <v>0.03</v>
      </c>
      <c r="DP6" s="399"/>
      <c r="DQ6" s="399"/>
      <c r="DR6" s="399">
        <f>+'Data Input sheet'!Y66</f>
        <v>0.03</v>
      </c>
      <c r="DS6" s="399"/>
      <c r="DT6" s="399"/>
      <c r="DU6" s="399">
        <f>+'Data Input sheet'!AB66</f>
        <v>0.03</v>
      </c>
      <c r="DV6" s="399"/>
      <c r="DW6" s="399"/>
      <c r="DX6" s="399">
        <f>+'Data Input sheet'!AE66</f>
        <v>0.03</v>
      </c>
      <c r="DY6" s="382"/>
      <c r="DZ6" s="395" t="s">
        <v>284</v>
      </c>
      <c r="EA6" s="388"/>
      <c r="EB6" s="170"/>
      <c r="EC6" s="170"/>
      <c r="ED6" s="170"/>
      <c r="EE6" s="170"/>
      <c r="EF6" s="170"/>
      <c r="EG6" s="170"/>
      <c r="EH6" s="170"/>
      <c r="EI6" s="170"/>
      <c r="EJ6" s="170"/>
      <c r="EK6" s="170"/>
    </row>
    <row r="7" spans="1:141" ht="15.75" x14ac:dyDescent="0.25">
      <c r="A7" s="170"/>
      <c r="B7" s="376"/>
      <c r="C7" s="376"/>
      <c r="D7" s="376"/>
      <c r="E7" s="170"/>
      <c r="F7" s="493"/>
      <c r="G7" s="1295" t="str">
        <f>+'Data Input sheet'!$B$12&amp;" "&amp;'Data Input sheet'!$C$12</f>
        <v>Estimate revision #: 00</v>
      </c>
      <c r="H7" s="1287"/>
      <c r="I7" s="1288"/>
      <c r="J7" s="1287"/>
      <c r="K7" s="1288"/>
      <c r="L7" s="1291"/>
      <c r="M7" s="1287"/>
      <c r="N7" s="1288"/>
      <c r="O7" s="1288"/>
      <c r="P7" s="1287"/>
      <c r="Q7" s="1288"/>
      <c r="R7" s="1291"/>
      <c r="S7" s="1287"/>
      <c r="T7" s="1288"/>
      <c r="U7" s="1291"/>
      <c r="V7" s="1287"/>
      <c r="W7" s="1288"/>
      <c r="X7" s="1291"/>
      <c r="Y7" s="1287"/>
      <c r="Z7" s="1288"/>
      <c r="AA7" s="1291"/>
      <c r="AB7" s="1287"/>
      <c r="AC7" s="1288"/>
      <c r="AD7" s="1291"/>
      <c r="AE7" s="1291"/>
      <c r="AF7" s="1291"/>
      <c r="AG7" s="1291"/>
      <c r="AH7" s="1291"/>
      <c r="AI7" s="1291"/>
      <c r="AJ7" s="1291"/>
      <c r="AK7" s="1291"/>
      <c r="AL7" s="1291"/>
      <c r="AM7" s="1291"/>
      <c r="AN7" s="1291"/>
      <c r="AO7" s="1291"/>
      <c r="AP7" s="1291"/>
      <c r="AQ7" s="1287"/>
      <c r="AR7" s="1288"/>
      <c r="AS7" s="1291"/>
      <c r="AT7" s="1287"/>
      <c r="AU7" s="170"/>
      <c r="AV7" s="1754"/>
      <c r="AW7" s="170"/>
      <c r="AX7" s="488"/>
      <c r="AY7" s="2296" t="str">
        <f>+G7</f>
        <v>Estimate revision #: 00</v>
      </c>
      <c r="AZ7" s="488"/>
      <c r="BA7" s="377"/>
      <c r="BB7" s="488"/>
      <c r="BC7" s="377"/>
      <c r="BD7" s="377"/>
      <c r="BE7" s="488"/>
      <c r="BF7" s="436"/>
      <c r="BG7" s="377"/>
      <c r="BH7" s="488"/>
      <c r="BI7" s="436"/>
      <c r="BJ7" s="377"/>
      <c r="BK7" s="488"/>
      <c r="BL7" s="436"/>
      <c r="BM7" s="377"/>
      <c r="BN7" s="488"/>
      <c r="BO7" s="436"/>
      <c r="BP7" s="377"/>
      <c r="BQ7" s="488"/>
      <c r="BR7" s="436"/>
      <c r="BS7" s="377"/>
      <c r="BT7" s="488"/>
      <c r="BU7" s="436"/>
      <c r="BV7" s="377"/>
      <c r="BW7" s="377"/>
      <c r="BX7" s="436"/>
      <c r="BY7" s="377"/>
      <c r="BZ7" s="377"/>
      <c r="CA7" s="436"/>
      <c r="CB7" s="377"/>
      <c r="CC7" s="377"/>
      <c r="CD7" s="377"/>
      <c r="CE7" s="377"/>
      <c r="CF7" s="377"/>
      <c r="CG7" s="377"/>
      <c r="CH7" s="377"/>
      <c r="CI7" s="488"/>
      <c r="CJ7" s="377"/>
      <c r="CK7" s="377"/>
      <c r="CL7" s="377"/>
      <c r="CM7" s="170"/>
      <c r="CN7" s="488"/>
      <c r="CO7" s="392"/>
      <c r="CP7" s="382"/>
      <c r="CQ7" s="384"/>
      <c r="CR7" s="382"/>
      <c r="CS7" s="384"/>
      <c r="CT7" s="384"/>
      <c r="CU7" s="382"/>
      <c r="CV7" s="384"/>
      <c r="CW7" s="385"/>
      <c r="CX7" s="382"/>
      <c r="CY7" s="385"/>
      <c r="CZ7" s="382"/>
      <c r="DA7" s="382"/>
      <c r="DB7" s="385"/>
      <c r="DC7" s="382"/>
      <c r="DD7" s="382"/>
      <c r="DE7" s="385"/>
      <c r="DF7" s="382"/>
      <c r="DG7" s="382"/>
      <c r="DH7" s="385"/>
      <c r="DI7" s="382"/>
      <c r="DJ7" s="382"/>
      <c r="DK7" s="385"/>
      <c r="DL7" s="382"/>
      <c r="DM7" s="382"/>
      <c r="DN7" s="382"/>
      <c r="DO7" s="382"/>
      <c r="DP7" s="382"/>
      <c r="DQ7" s="382"/>
      <c r="DR7" s="382"/>
      <c r="DS7" s="382"/>
      <c r="DT7" s="382"/>
      <c r="DU7" s="382"/>
      <c r="DV7" s="382"/>
      <c r="DW7" s="382"/>
      <c r="DX7" s="382"/>
      <c r="DY7" s="382"/>
      <c r="DZ7" s="385"/>
      <c r="EA7" s="382"/>
      <c r="EB7" s="170"/>
      <c r="EC7" s="170"/>
      <c r="ED7" s="170"/>
      <c r="EE7" s="170"/>
      <c r="EF7" s="170"/>
      <c r="EG7" s="170"/>
      <c r="EH7" s="170"/>
      <c r="EI7" s="170"/>
      <c r="EJ7" s="170"/>
      <c r="EK7" s="170"/>
    </row>
    <row r="8" spans="1:141" ht="15.75" thickBot="1" x14ac:dyDescent="0.3">
      <c r="A8" s="168"/>
      <c r="B8" s="377"/>
      <c r="C8" s="377"/>
      <c r="D8" s="377"/>
      <c r="E8" s="1724"/>
      <c r="F8" s="493"/>
      <c r="G8" s="1296" t="str">
        <f>+'Data Input sheet'!M2</f>
        <v>Template Revision # 01.92a</v>
      </c>
      <c r="H8" s="1297">
        <f>'Data Input sheet'!D66</f>
        <v>0</v>
      </c>
      <c r="I8" s="1298"/>
      <c r="J8" s="1299"/>
      <c r="K8" s="1298"/>
      <c r="L8" s="1300"/>
      <c r="M8" s="1299"/>
      <c r="N8" s="1289"/>
      <c r="O8" s="1289">
        <v>0</v>
      </c>
      <c r="P8" s="1299"/>
      <c r="Q8" s="1298"/>
      <c r="R8" s="1299">
        <v>1</v>
      </c>
      <c r="S8" s="1299"/>
      <c r="T8" s="1298"/>
      <c r="U8" s="1299">
        <v>2</v>
      </c>
      <c r="V8" s="1299"/>
      <c r="W8" s="1298"/>
      <c r="X8" s="1299">
        <v>3</v>
      </c>
      <c r="Y8" s="1299"/>
      <c r="Z8" s="1298"/>
      <c r="AA8" s="1299">
        <v>4</v>
      </c>
      <c r="AB8" s="1299"/>
      <c r="AC8" s="1298"/>
      <c r="AD8" s="1299">
        <v>5</v>
      </c>
      <c r="AE8" s="1299"/>
      <c r="AF8" s="1299"/>
      <c r="AG8" s="1299">
        <v>6</v>
      </c>
      <c r="AH8" s="1299"/>
      <c r="AI8" s="1299"/>
      <c r="AJ8" s="1299">
        <v>7</v>
      </c>
      <c r="AK8" s="1299"/>
      <c r="AL8" s="1299"/>
      <c r="AM8" s="1299">
        <v>8</v>
      </c>
      <c r="AN8" s="1299"/>
      <c r="AO8" s="1299"/>
      <c r="AP8" s="1299">
        <v>9</v>
      </c>
      <c r="AQ8" s="1299"/>
      <c r="AR8" s="1298"/>
      <c r="AS8" s="1299"/>
      <c r="AT8" s="1299"/>
      <c r="AU8" s="170"/>
      <c r="AV8" s="1755" t="s">
        <v>285</v>
      </c>
      <c r="AW8" s="170"/>
      <c r="AX8" s="1233"/>
      <c r="AY8" s="1234" t="s">
        <v>35</v>
      </c>
      <c r="AZ8" s="1235">
        <v>0</v>
      </c>
      <c r="BA8" s="1236"/>
      <c r="BB8" s="1233"/>
      <c r="BC8" s="1236" t="s">
        <v>286</v>
      </c>
      <c r="BD8" s="1237">
        <f>+'Data Input sheet'!$D$122</f>
        <v>57</v>
      </c>
      <c r="BE8" s="1233"/>
      <c r="BF8" s="436"/>
      <c r="BG8" s="377"/>
      <c r="BH8" s="1233"/>
      <c r="BI8" s="1481"/>
      <c r="BJ8" s="1233">
        <v>1</v>
      </c>
      <c r="BK8" s="1233"/>
      <c r="BL8" s="1481"/>
      <c r="BM8" s="1233">
        <v>2</v>
      </c>
      <c r="BN8" s="1233"/>
      <c r="BO8" s="1481"/>
      <c r="BP8" s="1233">
        <v>3</v>
      </c>
      <c r="BQ8" s="1233"/>
      <c r="BR8" s="1481"/>
      <c r="BS8" s="1233">
        <v>4</v>
      </c>
      <c r="BT8" s="1233"/>
      <c r="BU8" s="1481"/>
      <c r="BV8" s="1233">
        <v>5</v>
      </c>
      <c r="BW8" s="1233"/>
      <c r="BX8" s="1481"/>
      <c r="BY8" s="1233">
        <v>6</v>
      </c>
      <c r="BZ8" s="1233"/>
      <c r="CA8" s="1481"/>
      <c r="CB8" s="1233">
        <v>7</v>
      </c>
      <c r="CC8" s="1233"/>
      <c r="CD8" s="1233"/>
      <c r="CE8" s="1233">
        <v>8</v>
      </c>
      <c r="CF8" s="1233"/>
      <c r="CG8" s="1233"/>
      <c r="CH8" s="1233">
        <v>9</v>
      </c>
      <c r="CI8" s="1233"/>
      <c r="CJ8" s="1236"/>
      <c r="CK8" s="1233"/>
      <c r="CL8" s="1233"/>
      <c r="CM8" s="170"/>
      <c r="CN8" s="1233"/>
      <c r="CO8" s="402"/>
      <c r="CP8" s="403"/>
      <c r="CQ8" s="404"/>
      <c r="CR8" s="401"/>
      <c r="CS8" s="404"/>
      <c r="CT8" s="401"/>
      <c r="CU8" s="401"/>
      <c r="CV8" s="404"/>
      <c r="CW8" s="405"/>
      <c r="CX8" s="401"/>
      <c r="CY8" s="404"/>
      <c r="CZ8" s="401">
        <v>1</v>
      </c>
      <c r="DA8" s="401"/>
      <c r="DB8" s="404"/>
      <c r="DC8" s="401">
        <v>2</v>
      </c>
      <c r="DD8" s="401"/>
      <c r="DE8" s="404"/>
      <c r="DF8" s="401">
        <v>3</v>
      </c>
      <c r="DG8" s="401"/>
      <c r="DH8" s="404"/>
      <c r="DI8" s="401">
        <v>4</v>
      </c>
      <c r="DJ8" s="401"/>
      <c r="DK8" s="404"/>
      <c r="DL8" s="401">
        <v>5</v>
      </c>
      <c r="DM8" s="401"/>
      <c r="DN8" s="401"/>
      <c r="DO8" s="401">
        <v>6</v>
      </c>
      <c r="DP8" s="401"/>
      <c r="DQ8" s="401"/>
      <c r="DR8" s="401">
        <v>7</v>
      </c>
      <c r="DS8" s="401"/>
      <c r="DT8" s="401"/>
      <c r="DU8" s="401">
        <v>8</v>
      </c>
      <c r="DV8" s="401"/>
      <c r="DW8" s="401"/>
      <c r="DX8" s="401">
        <v>9</v>
      </c>
      <c r="DY8" s="401"/>
      <c r="DZ8" s="404"/>
      <c r="EA8" s="401"/>
      <c r="EB8" s="170"/>
      <c r="EC8" s="170"/>
      <c r="ED8" s="170"/>
      <c r="EE8" s="170"/>
      <c r="EF8" s="170"/>
      <c r="EG8" s="170"/>
      <c r="EH8" s="170"/>
      <c r="EI8" s="170"/>
      <c r="EJ8" s="170"/>
      <c r="EK8" s="170"/>
    </row>
    <row r="9" spans="1:141" ht="15" x14ac:dyDescent="0.25">
      <c r="A9" s="168"/>
      <c r="B9" s="1536"/>
      <c r="C9" s="1536"/>
      <c r="D9" s="1536"/>
      <c r="E9" s="1725"/>
      <c r="F9" s="169"/>
      <c r="G9" s="1291"/>
      <c r="H9" s="1291"/>
      <c r="I9" s="1288"/>
      <c r="J9" s="1682"/>
      <c r="K9" s="1678" t="s">
        <v>287</v>
      </c>
      <c r="L9" s="1301"/>
      <c r="M9" s="1682"/>
      <c r="N9" s="1844">
        <f>'Data Input sheet'!D100</f>
        <v>45292</v>
      </c>
      <c r="O9" s="1301"/>
      <c r="P9" s="1682"/>
      <c r="Q9" s="1844">
        <f>'Data Input sheet'!G100</f>
        <v>45658</v>
      </c>
      <c r="R9" s="1301"/>
      <c r="S9" s="1682"/>
      <c r="T9" s="1844">
        <f>'Data Input sheet'!J100</f>
        <v>46023</v>
      </c>
      <c r="U9" s="1301"/>
      <c r="V9" s="1682"/>
      <c r="W9" s="1844">
        <f>'Data Input sheet'!M100</f>
        <v>46388</v>
      </c>
      <c r="X9" s="1301"/>
      <c r="Y9" s="1682"/>
      <c r="Z9" s="1844">
        <f>'Data Input sheet'!P100</f>
        <v>46753</v>
      </c>
      <c r="AA9" s="1301"/>
      <c r="AB9" s="1682"/>
      <c r="AC9" s="1844">
        <f>'Data Input sheet'!S100</f>
        <v>47119</v>
      </c>
      <c r="AD9" s="1301"/>
      <c r="AE9" s="1682"/>
      <c r="AF9" s="1844">
        <f>'Data Input sheet'!V100</f>
        <v>47484</v>
      </c>
      <c r="AG9" s="1301"/>
      <c r="AH9" s="1682"/>
      <c r="AI9" s="1844">
        <f>'Data Input sheet'!Y100</f>
        <v>47849</v>
      </c>
      <c r="AJ9" s="1301"/>
      <c r="AK9" s="1682"/>
      <c r="AL9" s="1844">
        <f>'Data Input sheet'!AB100</f>
        <v>48214</v>
      </c>
      <c r="AM9" s="1301"/>
      <c r="AN9" s="1682"/>
      <c r="AO9" s="1844">
        <f>'Data Input sheet'!AE100</f>
        <v>48580</v>
      </c>
      <c r="AP9" s="1301"/>
      <c r="AQ9" s="1682"/>
      <c r="AR9" s="1678" t="s">
        <v>91</v>
      </c>
      <c r="AS9" s="1301"/>
      <c r="AT9" s="1682"/>
      <c r="AU9" s="168"/>
      <c r="AV9" s="1756"/>
      <c r="AW9" s="168"/>
      <c r="AX9" s="169"/>
      <c r="AY9" s="168"/>
      <c r="AZ9" s="168"/>
      <c r="BA9" s="377"/>
      <c r="BB9" s="1624"/>
      <c r="BC9" s="1623" t="s">
        <v>54</v>
      </c>
      <c r="BD9" s="406"/>
      <c r="BE9" s="1624"/>
      <c r="BF9" s="1842">
        <f>N9</f>
        <v>45292</v>
      </c>
      <c r="BG9" s="406"/>
      <c r="BH9" s="1624"/>
      <c r="BI9" s="1842">
        <f>Q9</f>
        <v>45658</v>
      </c>
      <c r="BJ9" s="406"/>
      <c r="BK9" s="1624"/>
      <c r="BL9" s="1842">
        <f>T9</f>
        <v>46023</v>
      </c>
      <c r="BM9" s="406"/>
      <c r="BN9" s="1624"/>
      <c r="BO9" s="1842">
        <f>W9</f>
        <v>46388</v>
      </c>
      <c r="BP9" s="406"/>
      <c r="BQ9" s="1624"/>
      <c r="BR9" s="1842">
        <f>Z9</f>
        <v>46753</v>
      </c>
      <c r="BS9" s="406"/>
      <c r="BT9" s="1624"/>
      <c r="BU9" s="1842">
        <f>AC9</f>
        <v>47119</v>
      </c>
      <c r="BV9" s="406"/>
      <c r="BW9" s="1624"/>
      <c r="BX9" s="1842">
        <f>AF9</f>
        <v>47484</v>
      </c>
      <c r="BY9" s="406"/>
      <c r="BZ9" s="1624"/>
      <c r="CA9" s="1842">
        <f>AI9</f>
        <v>47849</v>
      </c>
      <c r="CB9" s="406"/>
      <c r="CC9" s="1624"/>
      <c r="CD9" s="1842">
        <f>AL9</f>
        <v>48214</v>
      </c>
      <c r="CE9" s="406"/>
      <c r="CF9" s="1624"/>
      <c r="CG9" s="1842">
        <f>AO9</f>
        <v>48580</v>
      </c>
      <c r="CH9" s="406"/>
      <c r="CI9" s="1624"/>
      <c r="CJ9" s="1623" t="s">
        <v>91</v>
      </c>
      <c r="CK9" s="406"/>
      <c r="CL9" s="1238" t="s">
        <v>288</v>
      </c>
      <c r="CM9" s="170"/>
      <c r="CN9" s="169"/>
      <c r="CO9" s="388"/>
      <c r="CP9" s="388"/>
      <c r="CQ9" s="384"/>
      <c r="CR9" s="1700"/>
      <c r="CS9" s="1694" t="s">
        <v>54</v>
      </c>
      <c r="CT9" s="408"/>
      <c r="CU9" s="1700"/>
      <c r="CV9" s="2366">
        <f>N9</f>
        <v>45292</v>
      </c>
      <c r="CW9" s="408"/>
      <c r="CX9" s="407"/>
      <c r="CY9" s="2366">
        <f>Q9</f>
        <v>45658</v>
      </c>
      <c r="CZ9" s="407"/>
      <c r="DA9" s="1694"/>
      <c r="DB9" s="2366">
        <f>T9</f>
        <v>46023</v>
      </c>
      <c r="DC9" s="408"/>
      <c r="DD9" s="407"/>
      <c r="DE9" s="2366">
        <f>W9</f>
        <v>46388</v>
      </c>
      <c r="DF9" s="407"/>
      <c r="DG9" s="1694"/>
      <c r="DH9" s="2366">
        <f>Z9</f>
        <v>46753</v>
      </c>
      <c r="DI9" s="408"/>
      <c r="DJ9" s="1694">
        <f>AB9</f>
        <v>0</v>
      </c>
      <c r="DK9" s="2366">
        <f>AC9</f>
        <v>47119</v>
      </c>
      <c r="DL9" s="407"/>
      <c r="DM9" s="1694">
        <f>AE9</f>
        <v>0</v>
      </c>
      <c r="DN9" s="2366">
        <f>AF9</f>
        <v>47484</v>
      </c>
      <c r="DO9" s="407"/>
      <c r="DP9" s="1694">
        <f>AH9</f>
        <v>0</v>
      </c>
      <c r="DQ9" s="2366">
        <f>AI9</f>
        <v>47849</v>
      </c>
      <c r="DR9" s="407"/>
      <c r="DS9" s="1694">
        <f>AK9</f>
        <v>0</v>
      </c>
      <c r="DT9" s="2366">
        <f>AL9</f>
        <v>48214</v>
      </c>
      <c r="DU9" s="407"/>
      <c r="DV9" s="1694">
        <f>AN9</f>
        <v>0</v>
      </c>
      <c r="DW9" s="2366">
        <f>AO9</f>
        <v>48580</v>
      </c>
      <c r="DX9" s="407"/>
      <c r="DY9" s="1694"/>
      <c r="DZ9" s="1694" t="s">
        <v>91</v>
      </c>
      <c r="EA9" s="408"/>
      <c r="EB9" s="170"/>
      <c r="EC9" s="170"/>
      <c r="ED9" s="170"/>
      <c r="EE9" s="170"/>
      <c r="EF9" s="170"/>
      <c r="EG9" s="170"/>
      <c r="EH9" s="170"/>
      <c r="EI9" s="170"/>
      <c r="EJ9" s="170"/>
      <c r="EK9" s="170"/>
    </row>
    <row r="10" spans="1:141" ht="13.35" customHeight="1" x14ac:dyDescent="0.25">
      <c r="A10" s="168"/>
      <c r="B10" s="377"/>
      <c r="C10" s="377"/>
      <c r="D10" s="377"/>
      <c r="E10" s="168"/>
      <c r="F10" s="1239"/>
      <c r="G10" s="1291"/>
      <c r="H10" s="1291"/>
      <c r="I10" s="1288"/>
      <c r="J10" s="1683"/>
      <c r="K10" s="1288" t="s">
        <v>289</v>
      </c>
      <c r="L10" s="1288" t="s">
        <v>201</v>
      </c>
      <c r="M10" s="1683"/>
      <c r="N10" s="1288" t="s">
        <v>289</v>
      </c>
      <c r="O10" s="1288" t="s">
        <v>201</v>
      </c>
      <c r="P10" s="1683"/>
      <c r="Q10" s="1288" t="s">
        <v>289</v>
      </c>
      <c r="R10" s="1288" t="s">
        <v>201</v>
      </c>
      <c r="S10" s="1683"/>
      <c r="T10" s="1288" t="s">
        <v>289</v>
      </c>
      <c r="U10" s="1288" t="s">
        <v>201</v>
      </c>
      <c r="V10" s="1683"/>
      <c r="W10" s="1288" t="s">
        <v>289</v>
      </c>
      <c r="X10" s="1288" t="s">
        <v>201</v>
      </c>
      <c r="Y10" s="1683"/>
      <c r="Z10" s="1288" t="s">
        <v>289</v>
      </c>
      <c r="AA10" s="1288" t="s">
        <v>201</v>
      </c>
      <c r="AB10" s="1683"/>
      <c r="AC10" s="1288" t="s">
        <v>289</v>
      </c>
      <c r="AD10" s="1288" t="s">
        <v>201</v>
      </c>
      <c r="AE10" s="1683"/>
      <c r="AF10" s="1288" t="s">
        <v>289</v>
      </c>
      <c r="AG10" s="1288" t="s">
        <v>201</v>
      </c>
      <c r="AH10" s="1683"/>
      <c r="AI10" s="1288" t="s">
        <v>289</v>
      </c>
      <c r="AJ10" s="1288" t="s">
        <v>201</v>
      </c>
      <c r="AK10" s="1683"/>
      <c r="AL10" s="1288" t="s">
        <v>289</v>
      </c>
      <c r="AM10" s="1288" t="s">
        <v>201</v>
      </c>
      <c r="AN10" s="1683"/>
      <c r="AO10" s="1288" t="s">
        <v>289</v>
      </c>
      <c r="AP10" s="1288" t="s">
        <v>201</v>
      </c>
      <c r="AQ10" s="1683"/>
      <c r="AR10" s="1288" t="s">
        <v>289</v>
      </c>
      <c r="AS10" s="1288" t="s">
        <v>201</v>
      </c>
      <c r="AT10" s="1683"/>
      <c r="AU10" s="170"/>
      <c r="AV10" s="1754"/>
      <c r="AW10" s="170"/>
      <c r="AX10" s="1239"/>
      <c r="AY10" s="168"/>
      <c r="AZ10" s="168"/>
      <c r="BA10" s="377"/>
      <c r="BB10" s="1629"/>
      <c r="BC10" s="377" t="s">
        <v>289</v>
      </c>
      <c r="BD10" s="377" t="s">
        <v>201</v>
      </c>
      <c r="BE10" s="1629"/>
      <c r="BF10" s="436" t="s">
        <v>289</v>
      </c>
      <c r="BG10" s="377" t="s">
        <v>201</v>
      </c>
      <c r="BH10" s="1629"/>
      <c r="BI10" s="436" t="s">
        <v>289</v>
      </c>
      <c r="BJ10" s="377" t="s">
        <v>201</v>
      </c>
      <c r="BK10" s="1629"/>
      <c r="BL10" s="436" t="s">
        <v>289</v>
      </c>
      <c r="BM10" s="377" t="s">
        <v>201</v>
      </c>
      <c r="BN10" s="1629"/>
      <c r="BO10" s="436" t="s">
        <v>289</v>
      </c>
      <c r="BP10" s="377" t="s">
        <v>201</v>
      </c>
      <c r="BQ10" s="1629"/>
      <c r="BR10" s="436" t="s">
        <v>289</v>
      </c>
      <c r="BS10" s="377" t="s">
        <v>201</v>
      </c>
      <c r="BT10" s="1629"/>
      <c r="BU10" s="436" t="s">
        <v>289</v>
      </c>
      <c r="BV10" s="377" t="s">
        <v>201</v>
      </c>
      <c r="BW10" s="1629"/>
      <c r="BX10" s="436" t="s">
        <v>289</v>
      </c>
      <c r="BY10" s="377" t="s">
        <v>201</v>
      </c>
      <c r="BZ10" s="1629"/>
      <c r="CA10" s="436" t="s">
        <v>289</v>
      </c>
      <c r="CB10" s="377" t="s">
        <v>201</v>
      </c>
      <c r="CC10" s="1629"/>
      <c r="CD10" s="436" t="s">
        <v>289</v>
      </c>
      <c r="CE10" s="377" t="s">
        <v>201</v>
      </c>
      <c r="CF10" s="1629"/>
      <c r="CG10" s="436" t="s">
        <v>289</v>
      </c>
      <c r="CH10" s="377" t="s">
        <v>201</v>
      </c>
      <c r="CI10" s="1629"/>
      <c r="CJ10" s="377" t="s">
        <v>289</v>
      </c>
      <c r="CK10" s="1240" t="s">
        <v>201</v>
      </c>
      <c r="CL10" s="1726" t="s">
        <v>1</v>
      </c>
      <c r="CM10" s="170"/>
      <c r="CN10" s="1239"/>
      <c r="CO10" s="388"/>
      <c r="CP10" s="388"/>
      <c r="CQ10" s="384"/>
      <c r="CR10" s="1701"/>
      <c r="CS10" s="384" t="s">
        <v>289</v>
      </c>
      <c r="CT10" s="384" t="s">
        <v>201</v>
      </c>
      <c r="CU10" s="1701"/>
      <c r="CV10" s="384" t="s">
        <v>289</v>
      </c>
      <c r="CW10" s="384" t="s">
        <v>201</v>
      </c>
      <c r="CX10" s="1701"/>
      <c r="CY10" s="384" t="s">
        <v>289</v>
      </c>
      <c r="CZ10" s="384" t="s">
        <v>201</v>
      </c>
      <c r="DA10" s="1701"/>
      <c r="DB10" s="384" t="s">
        <v>289</v>
      </c>
      <c r="DC10" s="384" t="s">
        <v>201</v>
      </c>
      <c r="DD10" s="1701"/>
      <c r="DE10" s="384" t="s">
        <v>289</v>
      </c>
      <c r="DF10" s="384" t="s">
        <v>201</v>
      </c>
      <c r="DG10" s="1701"/>
      <c r="DH10" s="384" t="s">
        <v>289</v>
      </c>
      <c r="DI10" s="384" t="s">
        <v>201</v>
      </c>
      <c r="DJ10" s="384" t="s">
        <v>289</v>
      </c>
      <c r="DK10" s="384" t="s">
        <v>201</v>
      </c>
      <c r="DL10" s="384" t="s">
        <v>201</v>
      </c>
      <c r="DM10" s="384" t="s">
        <v>289</v>
      </c>
      <c r="DN10" s="384" t="s">
        <v>201</v>
      </c>
      <c r="DO10" s="384" t="s">
        <v>201</v>
      </c>
      <c r="DP10" s="384" t="s">
        <v>289</v>
      </c>
      <c r="DQ10" s="384" t="s">
        <v>201</v>
      </c>
      <c r="DR10" s="384" t="s">
        <v>201</v>
      </c>
      <c r="DS10" s="384" t="s">
        <v>289</v>
      </c>
      <c r="DT10" s="384" t="s">
        <v>201</v>
      </c>
      <c r="DU10" s="384" t="s">
        <v>201</v>
      </c>
      <c r="DV10" s="384" t="s">
        <v>289</v>
      </c>
      <c r="DW10" s="384" t="s">
        <v>201</v>
      </c>
      <c r="DX10" s="384" t="s">
        <v>201</v>
      </c>
      <c r="DY10" s="1701"/>
      <c r="DZ10" s="384" t="s">
        <v>289</v>
      </c>
      <c r="EA10" s="1741" t="s">
        <v>201</v>
      </c>
      <c r="EB10" s="170"/>
      <c r="EC10" s="170"/>
      <c r="ED10" s="170"/>
      <c r="EE10" s="170"/>
      <c r="EF10" s="170"/>
      <c r="EG10" s="170"/>
      <c r="EH10" s="170"/>
      <c r="EI10" s="170"/>
      <c r="EJ10" s="170"/>
      <c r="EK10" s="170"/>
    </row>
    <row r="11" spans="1:141" ht="38.25" x14ac:dyDescent="0.25">
      <c r="A11" s="168"/>
      <c r="B11" s="410" t="s">
        <v>1220</v>
      </c>
      <c r="C11" s="410" t="s">
        <v>1221</v>
      </c>
      <c r="D11" s="410" t="s">
        <v>1475</v>
      </c>
      <c r="E11" s="1096" t="s">
        <v>90</v>
      </c>
      <c r="F11" s="1096" t="s">
        <v>100</v>
      </c>
      <c r="G11" s="1302" t="s">
        <v>202</v>
      </c>
      <c r="H11" s="1303" t="s">
        <v>290</v>
      </c>
      <c r="I11" s="1303"/>
      <c r="J11" s="1684"/>
      <c r="K11" s="1304"/>
      <c r="L11" s="1305"/>
      <c r="M11" s="1684"/>
      <c r="N11" s="1304"/>
      <c r="O11" s="1306"/>
      <c r="P11" s="1684"/>
      <c r="Q11" s="1304"/>
      <c r="R11" s="1305"/>
      <c r="S11" s="1684"/>
      <c r="T11" s="1304"/>
      <c r="U11" s="1305"/>
      <c r="V11" s="1684"/>
      <c r="W11" s="1304"/>
      <c r="X11" s="1305"/>
      <c r="Y11" s="1684"/>
      <c r="Z11" s="1304"/>
      <c r="AA11" s="1305"/>
      <c r="AB11" s="1684"/>
      <c r="AC11" s="1304"/>
      <c r="AD11" s="1305"/>
      <c r="AE11" s="1684"/>
      <c r="AF11" s="1304"/>
      <c r="AG11" s="1305"/>
      <c r="AH11" s="1684"/>
      <c r="AI11" s="1304"/>
      <c r="AJ11" s="1305"/>
      <c r="AK11" s="1684"/>
      <c r="AL11" s="1304"/>
      <c r="AM11" s="1305"/>
      <c r="AN11" s="1684"/>
      <c r="AO11" s="1304"/>
      <c r="AP11" s="1305"/>
      <c r="AQ11" s="1684"/>
      <c r="AR11" s="1304"/>
      <c r="AS11" s="1307"/>
      <c r="AT11" s="1687"/>
      <c r="AU11" s="411"/>
      <c r="AV11" s="1757"/>
      <c r="AW11" s="411"/>
      <c r="AX11" s="493"/>
      <c r="AY11" s="1241" t="s">
        <v>202</v>
      </c>
      <c r="AZ11" s="1242" t="s">
        <v>290</v>
      </c>
      <c r="BA11" s="1242"/>
      <c r="BB11" s="1630"/>
      <c r="BC11" s="1243"/>
      <c r="BD11" s="1244"/>
      <c r="BE11" s="1630"/>
      <c r="BF11" s="1466"/>
      <c r="BG11" s="1245"/>
      <c r="BH11" s="1630"/>
      <c r="BI11" s="1466"/>
      <c r="BJ11" s="1245"/>
      <c r="BK11" s="1630"/>
      <c r="BL11" s="1466"/>
      <c r="BM11" s="1245"/>
      <c r="BN11" s="1630"/>
      <c r="BO11" s="1466"/>
      <c r="BP11" s="1245"/>
      <c r="BQ11" s="1630"/>
      <c r="BR11" s="1466"/>
      <c r="BS11" s="1245"/>
      <c r="BT11" s="1630"/>
      <c r="BU11" s="1466"/>
      <c r="BV11" s="1245"/>
      <c r="BW11" s="1630"/>
      <c r="BX11" s="1466"/>
      <c r="BY11" s="1245"/>
      <c r="BZ11" s="1630"/>
      <c r="CA11" s="1466"/>
      <c r="CB11" s="1245"/>
      <c r="CC11" s="1630"/>
      <c r="CD11" s="1466"/>
      <c r="CE11" s="1245"/>
      <c r="CF11" s="1630"/>
      <c r="CG11" s="1466"/>
      <c r="CH11" s="1245"/>
      <c r="CI11" s="1630"/>
      <c r="CJ11" s="1243"/>
      <c r="CK11" s="1246"/>
      <c r="CL11" s="1727"/>
      <c r="CM11" s="170"/>
      <c r="CN11" s="493"/>
      <c r="CO11" s="419" t="s">
        <v>202</v>
      </c>
      <c r="CP11" s="420" t="s">
        <v>290</v>
      </c>
      <c r="CQ11" s="420"/>
      <c r="CR11" s="1702"/>
      <c r="CS11" s="421"/>
      <c r="CT11" s="422"/>
      <c r="CU11" s="1702"/>
      <c r="CV11" s="421"/>
      <c r="CW11" s="423"/>
      <c r="CX11" s="1702"/>
      <c r="CY11" s="421"/>
      <c r="CZ11" s="422"/>
      <c r="DA11" s="1702"/>
      <c r="DB11" s="421"/>
      <c r="DC11" s="422"/>
      <c r="DD11" s="1702"/>
      <c r="DE11" s="421"/>
      <c r="DF11" s="422"/>
      <c r="DG11" s="1702"/>
      <c r="DH11" s="421"/>
      <c r="DI11" s="422"/>
      <c r="DJ11" s="421"/>
      <c r="DK11" s="422"/>
      <c r="DL11" s="422"/>
      <c r="DM11" s="421"/>
      <c r="DN11" s="422"/>
      <c r="DO11" s="422"/>
      <c r="DP11" s="421"/>
      <c r="DQ11" s="422"/>
      <c r="DR11" s="422"/>
      <c r="DS11" s="421"/>
      <c r="DT11" s="422"/>
      <c r="DU11" s="422"/>
      <c r="DV11" s="421"/>
      <c r="DW11" s="422"/>
      <c r="DX11" s="422"/>
      <c r="DY11" s="1702"/>
      <c r="DZ11" s="421"/>
      <c r="EA11" s="1742"/>
      <c r="EB11" s="170"/>
      <c r="EC11" s="170"/>
      <c r="ED11" s="170"/>
      <c r="EE11" s="170"/>
      <c r="EF11" s="170"/>
      <c r="EG11" s="170"/>
      <c r="EH11" s="170"/>
      <c r="EI11" s="170"/>
      <c r="EJ11" s="170"/>
      <c r="EK11" s="170"/>
    </row>
    <row r="12" spans="1:141" ht="15" x14ac:dyDescent="0.25">
      <c r="A12" s="168"/>
      <c r="B12" s="424">
        <v>1</v>
      </c>
      <c r="C12" s="424">
        <v>1</v>
      </c>
      <c r="D12" s="424">
        <v>1</v>
      </c>
      <c r="E12" s="425">
        <v>7</v>
      </c>
      <c r="F12" s="424" t="s">
        <v>3188</v>
      </c>
      <c r="G12" s="1308" t="str">
        <f t="shared" ref="G12:G20" si="0">+AY12</f>
        <v xml:space="preserve">Electrical Construction </v>
      </c>
      <c r="H12" s="1309" t="s">
        <v>291</v>
      </c>
      <c r="I12" s="1310">
        <f t="shared" ref="I12:I23" si="1">+BA12</f>
        <v>0</v>
      </c>
      <c r="J12" s="1685"/>
      <c r="K12" s="1311">
        <f t="shared" ref="K12:L20" si="2">+BC12</f>
        <v>0</v>
      </c>
      <c r="L12" s="1312">
        <f t="shared" si="2"/>
        <v>0</v>
      </c>
      <c r="M12" s="1685"/>
      <c r="N12" s="1313">
        <f t="shared" ref="N12:N20" si="3">+BF12</f>
        <v>0</v>
      </c>
      <c r="O12" s="1312">
        <f t="shared" ref="O12:O20" si="4">+BG12+CW12</f>
        <v>0</v>
      </c>
      <c r="P12" s="1685"/>
      <c r="Q12" s="1313">
        <f t="shared" ref="Q12:Q20" si="5">+BI12</f>
        <v>0</v>
      </c>
      <c r="R12" s="1312">
        <f t="shared" ref="R12:R20" si="6">+BJ12+CZ12</f>
        <v>0</v>
      </c>
      <c r="S12" s="1685"/>
      <c r="T12" s="1313">
        <f t="shared" ref="T12:T20" si="7">+BL12</f>
        <v>0</v>
      </c>
      <c r="U12" s="1312">
        <f t="shared" ref="U12:U20" si="8">+BM12+DC12</f>
        <v>0</v>
      </c>
      <c r="V12" s="1685"/>
      <c r="W12" s="1313">
        <f t="shared" ref="W12:W20" si="9">+BO12</f>
        <v>0</v>
      </c>
      <c r="X12" s="1312">
        <f t="shared" ref="X12:X20" si="10">+BP12+DF12</f>
        <v>0</v>
      </c>
      <c r="Y12" s="1685"/>
      <c r="Z12" s="1313">
        <f t="shared" ref="Z12:Z20" si="11">+BR12</f>
        <v>0</v>
      </c>
      <c r="AA12" s="1312">
        <f t="shared" ref="AA12:AA20" si="12">+BS12+DI12</f>
        <v>0</v>
      </c>
      <c r="AB12" s="1685"/>
      <c r="AC12" s="1313">
        <f t="shared" ref="AC12:AC20" si="13">+BU12</f>
        <v>0</v>
      </c>
      <c r="AD12" s="1312">
        <f t="shared" ref="AD12:AD20" si="14">+BV12+DL12</f>
        <v>0</v>
      </c>
      <c r="AE12" s="1685"/>
      <c r="AF12" s="1313">
        <f t="shared" ref="AF12:AF20" si="15">+BX12</f>
        <v>0</v>
      </c>
      <c r="AG12" s="1312">
        <f t="shared" ref="AG12:AG20" si="16">+BY12+DO12</f>
        <v>0</v>
      </c>
      <c r="AH12" s="1685"/>
      <c r="AI12" s="1313">
        <f t="shared" ref="AI12:AI20" si="17">+CA12</f>
        <v>0</v>
      </c>
      <c r="AJ12" s="1312">
        <f t="shared" ref="AJ12:AJ20" si="18">+CB12+DR12</f>
        <v>0</v>
      </c>
      <c r="AK12" s="1685"/>
      <c r="AL12" s="1313">
        <f t="shared" ref="AL12:AL20" si="19">+CD12</f>
        <v>0</v>
      </c>
      <c r="AM12" s="1312">
        <f t="shared" ref="AM12:AM20" si="20">+CE12+DU12</f>
        <v>0</v>
      </c>
      <c r="AN12" s="1685"/>
      <c r="AO12" s="1313">
        <f t="shared" ref="AO12:AO20" si="21">+CG12</f>
        <v>0</v>
      </c>
      <c r="AP12" s="1312">
        <f t="shared" ref="AP12:AP20" si="22">+CH12+DX12</f>
        <v>0</v>
      </c>
      <c r="AQ12" s="1685"/>
      <c r="AR12" s="1313">
        <f>+Z12+W12+T12+Q12+N12+K12+AC12+AF12+AI12+AL12+AO12</f>
        <v>0</v>
      </c>
      <c r="AS12" s="1312">
        <f>+AA12+X12+U12+R12+O12+L12+AD12+AG12+AJ12+AM12+AP12</f>
        <v>0</v>
      </c>
      <c r="AT12" s="1687"/>
      <c r="AU12" s="411"/>
      <c r="AV12" s="1757">
        <f t="shared" ref="AV12:AV44" si="23">+CK12+EA12</f>
        <v>0</v>
      </c>
      <c r="AW12" s="411"/>
      <c r="AX12" s="493"/>
      <c r="AY12" s="1566" t="s">
        <v>292</v>
      </c>
      <c r="AZ12" s="1567" t="s">
        <v>291</v>
      </c>
      <c r="BA12" s="1567"/>
      <c r="BB12" s="1579"/>
      <c r="BC12" s="1599">
        <v>0</v>
      </c>
      <c r="BD12" s="1600">
        <v>0</v>
      </c>
      <c r="BE12" s="1579"/>
      <c r="BF12" s="1469">
        <f>+Escalation!O38</f>
        <v>0</v>
      </c>
      <c r="BG12" s="1284">
        <f>+Escalation!AB38</f>
        <v>0</v>
      </c>
      <c r="BH12" s="1579"/>
      <c r="BI12" s="1469">
        <f>+Escalation!P38</f>
        <v>0</v>
      </c>
      <c r="BJ12" s="1284">
        <f>+Escalation!AC38</f>
        <v>0</v>
      </c>
      <c r="BK12" s="1666"/>
      <c r="BL12" s="1469">
        <f>+Escalation!Q38</f>
        <v>0</v>
      </c>
      <c r="BM12" s="1284">
        <f>+Escalation!AD38</f>
        <v>0</v>
      </c>
      <c r="BN12" s="1579"/>
      <c r="BO12" s="1469">
        <f>+Escalation!R38</f>
        <v>0</v>
      </c>
      <c r="BP12" s="1284">
        <f>+Escalation!AE38</f>
        <v>0</v>
      </c>
      <c r="BQ12" s="1579"/>
      <c r="BR12" s="1469">
        <f>+Escalation!S38</f>
        <v>0</v>
      </c>
      <c r="BS12" s="1284">
        <f>+Escalation!AF38</f>
        <v>0</v>
      </c>
      <c r="BT12" s="1579"/>
      <c r="BU12" s="1469">
        <f>+Escalation!T38</f>
        <v>0</v>
      </c>
      <c r="BV12" s="1284">
        <f>+Escalation!AG38</f>
        <v>0</v>
      </c>
      <c r="BW12" s="1579"/>
      <c r="BX12" s="1469">
        <f>+Escalation!U38</f>
        <v>0</v>
      </c>
      <c r="BY12" s="1284">
        <f>+Escalation!AH38</f>
        <v>0</v>
      </c>
      <c r="BZ12" s="1579"/>
      <c r="CA12" s="1469">
        <f>+Escalation!V38</f>
        <v>0</v>
      </c>
      <c r="CB12" s="1284">
        <f>+Escalation!AI38</f>
        <v>0</v>
      </c>
      <c r="CC12" s="1579"/>
      <c r="CD12" s="1469">
        <f>+Escalation!W38</f>
        <v>0</v>
      </c>
      <c r="CE12" s="1284">
        <f>+Escalation!AJ38</f>
        <v>0</v>
      </c>
      <c r="CF12" s="1579"/>
      <c r="CG12" s="1469">
        <f>+Escalation!X38</f>
        <v>0</v>
      </c>
      <c r="CH12" s="1284">
        <f>+Escalation!AK38</f>
        <v>0</v>
      </c>
      <c r="CI12" s="1579"/>
      <c r="CJ12" s="1257">
        <f>+BR12+BO12+BL12+BI12+BF12+BC12+BU12+BX12+CA12+CD12+CG12</f>
        <v>0</v>
      </c>
      <c r="CK12" s="1395">
        <f>+BS12+BP12+BM12+BJ12+BG12+BD12+BV12+BY12+CB12+CE12+CH12</f>
        <v>0</v>
      </c>
      <c r="CL12" s="427"/>
      <c r="CM12" s="170"/>
      <c r="CN12" s="493"/>
      <c r="CO12" s="428" t="str">
        <f t="shared" ref="CO12:CO20" si="24">+AY12</f>
        <v xml:space="preserve">Electrical Construction </v>
      </c>
      <c r="CP12" s="429" t="s">
        <v>291</v>
      </c>
      <c r="CQ12" s="429"/>
      <c r="CR12" s="443"/>
      <c r="CS12" s="430">
        <v>0</v>
      </c>
      <c r="CT12" s="431">
        <f t="shared" ref="CT12:CT20" si="25">L12-BD12</f>
        <v>0</v>
      </c>
      <c r="CU12" s="443"/>
      <c r="CV12" s="432"/>
      <c r="CW12" s="431">
        <f>+Escalation!AB64</f>
        <v>0</v>
      </c>
      <c r="CX12" s="443"/>
      <c r="CY12" s="432"/>
      <c r="CZ12" s="431">
        <f>+Escalation!AC64</f>
        <v>0</v>
      </c>
      <c r="DA12" s="443"/>
      <c r="DB12" s="432"/>
      <c r="DC12" s="431">
        <f>+Escalation!AD64</f>
        <v>0</v>
      </c>
      <c r="DD12" s="443"/>
      <c r="DE12" s="432"/>
      <c r="DF12" s="431">
        <f>+Escalation!AE64</f>
        <v>0</v>
      </c>
      <c r="DG12" s="443"/>
      <c r="DH12" s="432"/>
      <c r="DI12" s="431">
        <f>+Escalation!AF64</f>
        <v>0</v>
      </c>
      <c r="DJ12" s="443"/>
      <c r="DK12" s="432"/>
      <c r="DL12" s="431">
        <f>+Escalation!AG64</f>
        <v>0</v>
      </c>
      <c r="DM12" s="443"/>
      <c r="DN12" s="432"/>
      <c r="DO12" s="431">
        <f>+Escalation!AH64</f>
        <v>0</v>
      </c>
      <c r="DP12" s="443"/>
      <c r="DQ12" s="432"/>
      <c r="DR12" s="431">
        <f>+Escalation!AI64</f>
        <v>0</v>
      </c>
      <c r="DS12" s="443"/>
      <c r="DT12" s="432"/>
      <c r="DU12" s="431">
        <f>+Escalation!AJ64</f>
        <v>0</v>
      </c>
      <c r="DV12" s="443"/>
      <c r="DW12" s="432"/>
      <c r="DX12" s="431">
        <f>+Escalation!AK64</f>
        <v>0</v>
      </c>
      <c r="DY12" s="443"/>
      <c r="DZ12" s="432">
        <f>+DH12+DE12+DB12+CY12+CV12+CS12+DK12+DN12+DQ12+DT12+DW12</f>
        <v>0</v>
      </c>
      <c r="EA12" s="444">
        <f>+DI12+DF12+DC12+CZ12+CW12+CT12+DL12+DO12+DR12+DU12+DX12</f>
        <v>0</v>
      </c>
      <c r="EB12" s="433">
        <f>EA12+CK12-AS12</f>
        <v>0</v>
      </c>
      <c r="EC12" s="170"/>
      <c r="ED12" s="170"/>
      <c r="EE12" s="170"/>
      <c r="EF12" s="170"/>
      <c r="EG12" s="170"/>
      <c r="EH12" s="170"/>
      <c r="EI12" s="170"/>
      <c r="EJ12" s="170"/>
      <c r="EK12" s="170"/>
    </row>
    <row r="13" spans="1:141" ht="15" x14ac:dyDescent="0.25">
      <c r="A13" s="168"/>
      <c r="B13" s="424">
        <v>1</v>
      </c>
      <c r="C13" s="424">
        <v>1</v>
      </c>
      <c r="D13" s="424">
        <v>1</v>
      </c>
      <c r="E13" s="425">
        <v>7</v>
      </c>
      <c r="F13" s="424" t="s">
        <v>3188</v>
      </c>
      <c r="G13" s="1308" t="str">
        <f t="shared" si="0"/>
        <v xml:space="preserve">General Construction </v>
      </c>
      <c r="H13" s="1309" t="s">
        <v>291</v>
      </c>
      <c r="I13" s="1310">
        <f t="shared" ca="1" si="1"/>
        <v>46.7</v>
      </c>
      <c r="J13" s="1685"/>
      <c r="K13" s="1311">
        <f t="shared" si="2"/>
        <v>0</v>
      </c>
      <c r="L13" s="1312">
        <f t="shared" si="2"/>
        <v>10963.25</v>
      </c>
      <c r="M13" s="1685"/>
      <c r="N13" s="1313">
        <f t="shared" si="3"/>
        <v>0</v>
      </c>
      <c r="O13" s="1312">
        <f t="shared" ca="1" si="4"/>
        <v>0</v>
      </c>
      <c r="P13" s="1685"/>
      <c r="Q13" s="1313">
        <f t="shared" si="5"/>
        <v>0</v>
      </c>
      <c r="R13" s="1312">
        <f t="shared" ca="1" si="6"/>
        <v>0</v>
      </c>
      <c r="S13" s="1685"/>
      <c r="T13" s="1313">
        <f t="shared" si="7"/>
        <v>0</v>
      </c>
      <c r="U13" s="1312">
        <f t="shared" ca="1" si="8"/>
        <v>0</v>
      </c>
      <c r="V13" s="1685"/>
      <c r="W13" s="1313">
        <f t="shared" si="9"/>
        <v>0</v>
      </c>
      <c r="X13" s="1312">
        <f t="shared" ca="1" si="10"/>
        <v>0</v>
      </c>
      <c r="Y13" s="1685"/>
      <c r="Z13" s="1313">
        <f t="shared" si="11"/>
        <v>0</v>
      </c>
      <c r="AA13" s="1312">
        <f t="shared" ca="1" si="12"/>
        <v>0</v>
      </c>
      <c r="AB13" s="1685"/>
      <c r="AC13" s="1313">
        <f t="shared" si="13"/>
        <v>0</v>
      </c>
      <c r="AD13" s="1312">
        <f t="shared" ca="1" si="14"/>
        <v>0</v>
      </c>
      <c r="AE13" s="1685"/>
      <c r="AF13" s="1313">
        <f t="shared" si="15"/>
        <v>0</v>
      </c>
      <c r="AG13" s="1312">
        <f t="shared" ca="1" si="16"/>
        <v>0</v>
      </c>
      <c r="AH13" s="1685"/>
      <c r="AI13" s="1313">
        <f t="shared" si="17"/>
        <v>0</v>
      </c>
      <c r="AJ13" s="1312">
        <f t="shared" ca="1" si="18"/>
        <v>0</v>
      </c>
      <c r="AK13" s="1685"/>
      <c r="AL13" s="1313">
        <f t="shared" si="19"/>
        <v>0</v>
      </c>
      <c r="AM13" s="1312">
        <f t="shared" ca="1" si="20"/>
        <v>0</v>
      </c>
      <c r="AN13" s="1685"/>
      <c r="AO13" s="1313">
        <f t="shared" si="21"/>
        <v>0</v>
      </c>
      <c r="AP13" s="1312">
        <f t="shared" ca="1" si="22"/>
        <v>0</v>
      </c>
      <c r="AQ13" s="1685"/>
      <c r="AR13" s="1313">
        <f t="shared" ref="AR13:AR20" si="26">+Z13+W13+T13+Q13+N13+K13+AC13+AF13+AI13+AL13+AO13</f>
        <v>0</v>
      </c>
      <c r="AS13" s="1312">
        <f t="shared" ref="AS13:AS20" ca="1" si="27">+AA13+X13+U13+R13+O13+L13+AD13+AG13+AJ13+AM13+AP13</f>
        <v>10963.25</v>
      </c>
      <c r="AT13" s="1687"/>
      <c r="AU13" s="411"/>
      <c r="AV13" s="1757">
        <f t="shared" ca="1" si="23"/>
        <v>10963.25</v>
      </c>
      <c r="AW13" s="411"/>
      <c r="AX13" s="493"/>
      <c r="AY13" s="1566" t="s">
        <v>293</v>
      </c>
      <c r="AZ13" s="1567" t="s">
        <v>291</v>
      </c>
      <c r="BA13" s="2445">
        <f ca="1">+'Data Input sheet'!D129</f>
        <v>46.7</v>
      </c>
      <c r="BB13" s="1579"/>
      <c r="BC13" s="1599">
        <v>0</v>
      </c>
      <c r="BD13" s="1600">
        <v>10963.25</v>
      </c>
      <c r="BE13" s="1579"/>
      <c r="BF13" s="1605">
        <v>0</v>
      </c>
      <c r="BG13" s="426">
        <f ca="1">ROUND(+BF13*$BA$13,0)</f>
        <v>0</v>
      </c>
      <c r="BH13" s="1579"/>
      <c r="BI13" s="1605"/>
      <c r="BJ13" s="426">
        <f ca="1">ROUND(+BI13*$BA$13,0)</f>
        <v>0</v>
      </c>
      <c r="BK13" s="1666"/>
      <c r="BL13" s="1605"/>
      <c r="BM13" s="426">
        <f ca="1">ROUND(+BL13*$BA$13,0)</f>
        <v>0</v>
      </c>
      <c r="BN13" s="1579"/>
      <c r="BO13" s="1605"/>
      <c r="BP13" s="426">
        <f ca="1">ROUND(+BO13*$BA$13,0)</f>
        <v>0</v>
      </c>
      <c r="BQ13" s="1579"/>
      <c r="BR13" s="1605"/>
      <c r="BS13" s="426">
        <f ca="1">ROUND(+BR13*$BA$13,0)</f>
        <v>0</v>
      </c>
      <c r="BT13" s="1579"/>
      <c r="BU13" s="1605"/>
      <c r="BV13" s="426">
        <f ca="1">ROUND(+BU13*$BA$13,0)</f>
        <v>0</v>
      </c>
      <c r="BW13" s="1579"/>
      <c r="BX13" s="1605"/>
      <c r="BY13" s="426">
        <f ca="1">ROUND(+BX13*$BA$13,0)</f>
        <v>0</v>
      </c>
      <c r="BZ13" s="1579"/>
      <c r="CA13" s="1605"/>
      <c r="CB13" s="426">
        <f ca="1">ROUND(+CA13*$BA$13,0)</f>
        <v>0</v>
      </c>
      <c r="CC13" s="1579"/>
      <c r="CD13" s="1605"/>
      <c r="CE13" s="426">
        <f ca="1">ROUND(+CD13*$BA$13,0)</f>
        <v>0</v>
      </c>
      <c r="CF13" s="1579"/>
      <c r="CG13" s="1605"/>
      <c r="CH13" s="426">
        <f ca="1">ROUND(+CG13*$BA$13,0)</f>
        <v>0</v>
      </c>
      <c r="CI13" s="1579"/>
      <c r="CJ13" s="1257">
        <f t="shared" ref="CJ13:CJ20" si="28">+BR13+BO13+BL13+BI13+BF13+BC13+BU13+BX13+CA13+CD13+CG13</f>
        <v>0</v>
      </c>
      <c r="CK13" s="1395">
        <f t="shared" ref="CK13:CK20" ca="1" si="29">+BS13+BP13+BM13+BJ13+BG13+BD13+BV13+BY13+CB13+CE13+CH13</f>
        <v>10963.25</v>
      </c>
      <c r="CL13" s="427"/>
      <c r="CM13" s="170"/>
      <c r="CN13" s="493"/>
      <c r="CO13" s="428" t="str">
        <f t="shared" si="24"/>
        <v xml:space="preserve">General Construction </v>
      </c>
      <c r="CP13" s="429" t="s">
        <v>291</v>
      </c>
      <c r="CQ13" s="429"/>
      <c r="CR13" s="443"/>
      <c r="CS13" s="432">
        <v>0</v>
      </c>
      <c r="CT13" s="431">
        <f t="shared" si="25"/>
        <v>0</v>
      </c>
      <c r="CU13" s="443"/>
      <c r="CV13" s="432">
        <v>0</v>
      </c>
      <c r="CW13" s="434">
        <f t="shared" ref="CW13:CW20" ca="1" si="30">ROUND((+BG13*(1+CW$4)),0)-BG13</f>
        <v>0</v>
      </c>
      <c r="CX13" s="443"/>
      <c r="CY13" s="432">
        <v>0</v>
      </c>
      <c r="CZ13" s="434">
        <f t="shared" ref="CZ13:CZ20" ca="1" si="31">ROUND((+BJ13*(1+CZ$4)),0)-BJ13</f>
        <v>0</v>
      </c>
      <c r="DA13" s="443"/>
      <c r="DB13" s="432">
        <v>0</v>
      </c>
      <c r="DC13" s="434">
        <f t="shared" ref="DC13:DC20" ca="1" si="32">ROUND((+BM13*(1+DC$4)),0)-BM13</f>
        <v>0</v>
      </c>
      <c r="DD13" s="443"/>
      <c r="DE13" s="432">
        <v>0</v>
      </c>
      <c r="DF13" s="434">
        <f t="shared" ref="DF13:DF20" ca="1" si="33">ROUND((+BP13*(1+DF$4)),0)-BP13</f>
        <v>0</v>
      </c>
      <c r="DG13" s="443"/>
      <c r="DH13" s="432">
        <v>0</v>
      </c>
      <c r="DI13" s="434">
        <f t="shared" ref="DI13:DI20" ca="1" si="34">ROUND((+BS13*(1+DI$4)),0)-BS13</f>
        <v>0</v>
      </c>
      <c r="DJ13" s="443"/>
      <c r="DK13" s="432">
        <v>0</v>
      </c>
      <c r="DL13" s="434">
        <f t="shared" ref="DL13:DL20" ca="1" si="35">ROUND((+BV13*(1+DL$4)),0)-BV13</f>
        <v>0</v>
      </c>
      <c r="DM13" s="443"/>
      <c r="DN13" s="432">
        <v>0</v>
      </c>
      <c r="DO13" s="434">
        <f t="shared" ref="DO13:DO20" ca="1" si="36">ROUND((+BY13*(1+DO$4)),0)-BY13</f>
        <v>0</v>
      </c>
      <c r="DP13" s="443"/>
      <c r="DQ13" s="432">
        <v>0</v>
      </c>
      <c r="DR13" s="434">
        <f t="shared" ref="DR13:DR20" ca="1" si="37">ROUND((+CB13*(1+DR$4)),0)-CB13</f>
        <v>0</v>
      </c>
      <c r="DS13" s="443"/>
      <c r="DT13" s="432">
        <v>0</v>
      </c>
      <c r="DU13" s="434">
        <f t="shared" ref="DU13:DU20" ca="1" si="38">ROUND((+CE13*(1+DU$4)),0)-CE13</f>
        <v>0</v>
      </c>
      <c r="DV13" s="443"/>
      <c r="DW13" s="432">
        <v>0</v>
      </c>
      <c r="DX13" s="434">
        <f t="shared" ref="DX13:DX20" ca="1" si="39">ROUND((+CH13*(1+DX$4)),0)-CH13</f>
        <v>0</v>
      </c>
      <c r="DY13" s="443"/>
      <c r="DZ13" s="432">
        <f t="shared" ref="DZ13:DZ20" si="40">+DH13+DE13+DB13+CY13+CV13+CS13+DK13+DN13+DQ13+DT13+DW13</f>
        <v>0</v>
      </c>
      <c r="EA13" s="444">
        <f t="shared" ref="EA13:EA20" ca="1" si="41">+DI13+DF13+DC13+CZ13+CW13+CT13+DL13+DO13+DR13+DU13+DX13</f>
        <v>0</v>
      </c>
      <c r="EB13" s="433">
        <f ca="1">EA13+CK13-AS13</f>
        <v>0</v>
      </c>
      <c r="EC13" s="170"/>
      <c r="ED13" s="170"/>
      <c r="EE13" s="170"/>
      <c r="EF13" s="170"/>
      <c r="EG13" s="170"/>
      <c r="EH13" s="170"/>
      <c r="EI13" s="170"/>
      <c r="EJ13" s="170"/>
      <c r="EK13" s="170"/>
    </row>
    <row r="14" spans="1:141" ht="15" x14ac:dyDescent="0.25">
      <c r="A14" s="168"/>
      <c r="B14" s="424">
        <v>1</v>
      </c>
      <c r="C14" s="424">
        <v>1</v>
      </c>
      <c r="D14" s="424">
        <v>1</v>
      </c>
      <c r="E14" s="425">
        <v>7</v>
      </c>
      <c r="F14" s="424" t="s">
        <v>3188</v>
      </c>
      <c r="G14" s="1308" t="str">
        <f t="shared" si="0"/>
        <v>SCADA / Automation</v>
      </c>
      <c r="H14" s="1309" t="s">
        <v>291</v>
      </c>
      <c r="I14" s="1310">
        <f t="shared" ca="1" si="1"/>
        <v>62.6</v>
      </c>
      <c r="J14" s="1685"/>
      <c r="K14" s="1311">
        <f t="shared" si="2"/>
        <v>0</v>
      </c>
      <c r="L14" s="1312">
        <f t="shared" si="2"/>
        <v>0</v>
      </c>
      <c r="M14" s="1685"/>
      <c r="N14" s="1313">
        <f t="shared" si="3"/>
        <v>0</v>
      </c>
      <c r="O14" s="1312">
        <f t="shared" ca="1" si="4"/>
        <v>0</v>
      </c>
      <c r="P14" s="1685"/>
      <c r="Q14" s="1313">
        <f t="shared" si="5"/>
        <v>0</v>
      </c>
      <c r="R14" s="1312">
        <f t="shared" ca="1" si="6"/>
        <v>0</v>
      </c>
      <c r="S14" s="1685"/>
      <c r="T14" s="1313">
        <f t="shared" si="7"/>
        <v>0</v>
      </c>
      <c r="U14" s="1312">
        <f t="shared" ca="1" si="8"/>
        <v>0</v>
      </c>
      <c r="V14" s="1685"/>
      <c r="W14" s="1313">
        <f t="shared" si="9"/>
        <v>80</v>
      </c>
      <c r="X14" s="1312">
        <f t="shared" ca="1" si="10"/>
        <v>5633</v>
      </c>
      <c r="Y14" s="1685"/>
      <c r="Z14" s="1313">
        <f t="shared" si="11"/>
        <v>80</v>
      </c>
      <c r="AA14" s="1312">
        <f t="shared" ca="1" si="12"/>
        <v>5802</v>
      </c>
      <c r="AB14" s="1685"/>
      <c r="AC14" s="1313">
        <f t="shared" si="13"/>
        <v>0</v>
      </c>
      <c r="AD14" s="1312">
        <f t="shared" ca="1" si="14"/>
        <v>0</v>
      </c>
      <c r="AE14" s="1685"/>
      <c r="AF14" s="1313">
        <f t="shared" si="15"/>
        <v>0</v>
      </c>
      <c r="AG14" s="1312">
        <f t="shared" ca="1" si="16"/>
        <v>0</v>
      </c>
      <c r="AH14" s="1685"/>
      <c r="AI14" s="1313">
        <f t="shared" si="17"/>
        <v>0</v>
      </c>
      <c r="AJ14" s="1312">
        <f t="shared" ca="1" si="18"/>
        <v>0</v>
      </c>
      <c r="AK14" s="1685"/>
      <c r="AL14" s="1313">
        <f t="shared" si="19"/>
        <v>0</v>
      </c>
      <c r="AM14" s="1312">
        <f t="shared" ca="1" si="20"/>
        <v>0</v>
      </c>
      <c r="AN14" s="1685"/>
      <c r="AO14" s="1313">
        <f t="shared" si="21"/>
        <v>0</v>
      </c>
      <c r="AP14" s="1312">
        <f t="shared" ca="1" si="22"/>
        <v>0</v>
      </c>
      <c r="AQ14" s="1685"/>
      <c r="AR14" s="1313">
        <f t="shared" si="26"/>
        <v>160</v>
      </c>
      <c r="AS14" s="1312">
        <f t="shared" ca="1" si="27"/>
        <v>11435</v>
      </c>
      <c r="AT14" s="1687"/>
      <c r="AU14" s="411"/>
      <c r="AV14" s="1757">
        <f t="shared" ca="1" si="23"/>
        <v>11435</v>
      </c>
      <c r="AW14" s="411"/>
      <c r="AX14" s="493"/>
      <c r="AY14" s="1566" t="s">
        <v>1781</v>
      </c>
      <c r="AZ14" s="1567" t="s">
        <v>291</v>
      </c>
      <c r="BA14" s="2445">
        <f ca="1">+'Data Input sheet'!D130</f>
        <v>62.6</v>
      </c>
      <c r="BB14" s="1579"/>
      <c r="BC14" s="1602">
        <v>0</v>
      </c>
      <c r="BD14" s="1600">
        <f>+BC14*35</f>
        <v>0</v>
      </c>
      <c r="BE14" s="1579"/>
      <c r="BF14" s="1605">
        <v>0</v>
      </c>
      <c r="BG14" s="426">
        <f ca="1">ROUND(+BF14*$BA$14,0)</f>
        <v>0</v>
      </c>
      <c r="BH14" s="1579"/>
      <c r="BI14" s="1605">
        <v>0</v>
      </c>
      <c r="BJ14" s="426">
        <f ca="1">ROUND(+BI14*$BA$14,0)</f>
        <v>0</v>
      </c>
      <c r="BK14" s="1666"/>
      <c r="BL14" s="1605">
        <v>0</v>
      </c>
      <c r="BM14" s="426">
        <f ca="1">ROUND(+BL14*$BA$14,0)</f>
        <v>0</v>
      </c>
      <c r="BN14" s="1579"/>
      <c r="BO14" s="1605">
        <v>80</v>
      </c>
      <c r="BP14" s="426">
        <f ca="1">ROUND(+BO14*$BA$14,0)</f>
        <v>5008</v>
      </c>
      <c r="BQ14" s="1579"/>
      <c r="BR14" s="1605">
        <v>80</v>
      </c>
      <c r="BS14" s="426">
        <f ca="1">ROUND(+BR14*$BA$14,0)</f>
        <v>5008</v>
      </c>
      <c r="BT14" s="1579"/>
      <c r="BU14" s="1605">
        <v>0</v>
      </c>
      <c r="BV14" s="426">
        <f ca="1">ROUND(+BU14*$BA$14,0)</f>
        <v>0</v>
      </c>
      <c r="BW14" s="1579"/>
      <c r="BX14" s="1605">
        <v>0</v>
      </c>
      <c r="BY14" s="426">
        <f ca="1">ROUND(+BX14*$BA$14,0)</f>
        <v>0</v>
      </c>
      <c r="BZ14" s="1579"/>
      <c r="CA14" s="1605">
        <v>0</v>
      </c>
      <c r="CB14" s="426">
        <f ca="1">ROUND(+CA14*$BA$14,0)</f>
        <v>0</v>
      </c>
      <c r="CC14" s="1579"/>
      <c r="CD14" s="1605">
        <v>0</v>
      </c>
      <c r="CE14" s="426">
        <f ca="1">ROUND(+CD14*$BA$14,0)</f>
        <v>0</v>
      </c>
      <c r="CF14" s="1579"/>
      <c r="CG14" s="1605">
        <v>0</v>
      </c>
      <c r="CH14" s="426">
        <f ca="1">ROUND(+CG14*$BA$14,0)</f>
        <v>0</v>
      </c>
      <c r="CI14" s="1579"/>
      <c r="CJ14" s="1257">
        <f t="shared" si="28"/>
        <v>160</v>
      </c>
      <c r="CK14" s="1395">
        <f t="shared" ca="1" si="29"/>
        <v>10016</v>
      </c>
      <c r="CL14" s="427" t="s">
        <v>3752</v>
      </c>
      <c r="CM14" s="170"/>
      <c r="CN14" s="493"/>
      <c r="CO14" s="428" t="str">
        <f t="shared" si="24"/>
        <v>SCADA / Automation</v>
      </c>
      <c r="CP14" s="429" t="s">
        <v>291</v>
      </c>
      <c r="CQ14" s="429"/>
      <c r="CR14" s="443"/>
      <c r="CS14" s="432">
        <v>0</v>
      </c>
      <c r="CT14" s="431">
        <f t="shared" si="25"/>
        <v>0</v>
      </c>
      <c r="CU14" s="443"/>
      <c r="CV14" s="432">
        <v>0</v>
      </c>
      <c r="CW14" s="434">
        <f t="shared" ca="1" si="30"/>
        <v>0</v>
      </c>
      <c r="CX14" s="443"/>
      <c r="CY14" s="432">
        <v>0</v>
      </c>
      <c r="CZ14" s="434">
        <f t="shared" ca="1" si="31"/>
        <v>0</v>
      </c>
      <c r="DA14" s="443"/>
      <c r="DB14" s="432">
        <v>0</v>
      </c>
      <c r="DC14" s="434">
        <f t="shared" ca="1" si="32"/>
        <v>0</v>
      </c>
      <c r="DD14" s="443"/>
      <c r="DE14" s="432">
        <v>0</v>
      </c>
      <c r="DF14" s="434">
        <f t="shared" ca="1" si="33"/>
        <v>625</v>
      </c>
      <c r="DG14" s="443"/>
      <c r="DH14" s="432">
        <v>0</v>
      </c>
      <c r="DI14" s="434">
        <f t="shared" ca="1" si="34"/>
        <v>794</v>
      </c>
      <c r="DJ14" s="443"/>
      <c r="DK14" s="432">
        <v>0</v>
      </c>
      <c r="DL14" s="434">
        <f t="shared" ca="1" si="35"/>
        <v>0</v>
      </c>
      <c r="DM14" s="443"/>
      <c r="DN14" s="432">
        <v>0</v>
      </c>
      <c r="DO14" s="434">
        <f t="shared" ca="1" si="36"/>
        <v>0</v>
      </c>
      <c r="DP14" s="443"/>
      <c r="DQ14" s="432">
        <v>0</v>
      </c>
      <c r="DR14" s="434">
        <f t="shared" ca="1" si="37"/>
        <v>0</v>
      </c>
      <c r="DS14" s="443"/>
      <c r="DT14" s="432">
        <v>0</v>
      </c>
      <c r="DU14" s="434">
        <f t="shared" ca="1" si="38"/>
        <v>0</v>
      </c>
      <c r="DV14" s="443"/>
      <c r="DW14" s="432">
        <v>0</v>
      </c>
      <c r="DX14" s="434">
        <f t="shared" ca="1" si="39"/>
        <v>0</v>
      </c>
      <c r="DY14" s="443"/>
      <c r="DZ14" s="432">
        <f t="shared" si="40"/>
        <v>0</v>
      </c>
      <c r="EA14" s="444">
        <f t="shared" ca="1" si="41"/>
        <v>1419</v>
      </c>
      <c r="EB14" s="433">
        <f ca="1">EA14+CK14-AS14</f>
        <v>0</v>
      </c>
      <c r="EC14" s="170"/>
      <c r="ED14" s="170"/>
      <c r="EE14" s="170"/>
      <c r="EF14" s="170"/>
      <c r="EG14" s="170"/>
      <c r="EH14" s="170"/>
      <c r="EI14" s="170"/>
      <c r="EJ14" s="170"/>
      <c r="EK14" s="170"/>
    </row>
    <row r="15" spans="1:141" ht="15" x14ac:dyDescent="0.25">
      <c r="A15" s="168"/>
      <c r="B15" s="424">
        <v>1</v>
      </c>
      <c r="C15" s="424">
        <v>1</v>
      </c>
      <c r="D15" s="424">
        <v>1</v>
      </c>
      <c r="E15" s="425">
        <v>7</v>
      </c>
      <c r="F15" s="424" t="s">
        <v>3188</v>
      </c>
      <c r="G15" s="1308" t="str">
        <f t="shared" ref="G15" si="42">+AY15</f>
        <v>Other ( specify)</v>
      </c>
      <c r="H15" s="1309" t="s">
        <v>291</v>
      </c>
      <c r="I15" s="1310">
        <f t="shared" ref="I15" ca="1" si="43">+BA15</f>
        <v>0</v>
      </c>
      <c r="J15" s="1685"/>
      <c r="K15" s="1311">
        <f t="shared" ref="K15" si="44">+BC15</f>
        <v>0</v>
      </c>
      <c r="L15" s="1312">
        <f t="shared" ref="L15" si="45">+BD15</f>
        <v>0</v>
      </c>
      <c r="M15" s="1685"/>
      <c r="N15" s="1313">
        <f t="shared" ref="N15" si="46">+BF15</f>
        <v>0</v>
      </c>
      <c r="O15" s="1312">
        <f t="shared" ca="1" si="4"/>
        <v>0</v>
      </c>
      <c r="P15" s="1685"/>
      <c r="Q15" s="1313">
        <f t="shared" ref="Q15" si="47">+BI15</f>
        <v>0</v>
      </c>
      <c r="R15" s="1312">
        <f t="shared" ca="1" si="6"/>
        <v>0</v>
      </c>
      <c r="S15" s="1685"/>
      <c r="T15" s="1313">
        <f t="shared" ref="T15" si="48">+BL15</f>
        <v>0</v>
      </c>
      <c r="U15" s="1312">
        <f t="shared" ca="1" si="8"/>
        <v>0</v>
      </c>
      <c r="V15" s="1685"/>
      <c r="W15" s="1313">
        <f t="shared" ref="W15" si="49">+BO15</f>
        <v>0</v>
      </c>
      <c r="X15" s="1312">
        <f t="shared" ca="1" si="10"/>
        <v>0</v>
      </c>
      <c r="Y15" s="1685"/>
      <c r="Z15" s="1313">
        <f t="shared" ref="Z15" si="50">+BR15</f>
        <v>0</v>
      </c>
      <c r="AA15" s="1312">
        <f t="shared" ca="1" si="12"/>
        <v>0</v>
      </c>
      <c r="AB15" s="1685"/>
      <c r="AC15" s="1313">
        <f t="shared" ref="AC15" si="51">+BU15</f>
        <v>0</v>
      </c>
      <c r="AD15" s="1312">
        <f t="shared" ca="1" si="14"/>
        <v>0</v>
      </c>
      <c r="AE15" s="1685"/>
      <c r="AF15" s="1313">
        <f t="shared" si="15"/>
        <v>0</v>
      </c>
      <c r="AG15" s="1312">
        <f t="shared" ca="1" si="16"/>
        <v>0</v>
      </c>
      <c r="AH15" s="1685"/>
      <c r="AI15" s="1313">
        <f t="shared" si="17"/>
        <v>0</v>
      </c>
      <c r="AJ15" s="1312">
        <f t="shared" ca="1" si="18"/>
        <v>0</v>
      </c>
      <c r="AK15" s="1685"/>
      <c r="AL15" s="1313">
        <f t="shared" si="19"/>
        <v>0</v>
      </c>
      <c r="AM15" s="1312">
        <f t="shared" ca="1" si="20"/>
        <v>0</v>
      </c>
      <c r="AN15" s="1685"/>
      <c r="AO15" s="1313">
        <f t="shared" si="21"/>
        <v>0</v>
      </c>
      <c r="AP15" s="1312">
        <f t="shared" ca="1" si="22"/>
        <v>0</v>
      </c>
      <c r="AQ15" s="1685"/>
      <c r="AR15" s="1313">
        <f t="shared" si="26"/>
        <v>0</v>
      </c>
      <c r="AS15" s="1312">
        <f t="shared" ca="1" si="27"/>
        <v>0</v>
      </c>
      <c r="AT15" s="1687"/>
      <c r="AU15" s="411"/>
      <c r="AV15" s="1757">
        <f t="shared" ca="1" si="23"/>
        <v>0</v>
      </c>
      <c r="AW15" s="411"/>
      <c r="AX15" s="493"/>
      <c r="AY15" s="1566" t="s">
        <v>296</v>
      </c>
      <c r="AZ15" s="1567" t="s">
        <v>291</v>
      </c>
      <c r="BA15" s="2445">
        <f ca="1">+'Data Input sheet'!D134</f>
        <v>0</v>
      </c>
      <c r="BB15" s="1579"/>
      <c r="BC15" s="1602">
        <v>0</v>
      </c>
      <c r="BD15" s="1600">
        <f>+BC15*35</f>
        <v>0</v>
      </c>
      <c r="BE15" s="1579"/>
      <c r="BF15" s="1605">
        <v>0</v>
      </c>
      <c r="BG15" s="426">
        <f ca="1">ROUND(+BF15*$BA$15,0)</f>
        <v>0</v>
      </c>
      <c r="BH15" s="1579"/>
      <c r="BI15" s="1605">
        <v>0</v>
      </c>
      <c r="BJ15" s="426">
        <f ca="1">ROUND(+BI15*$BA$15,0)</f>
        <v>0</v>
      </c>
      <c r="BK15" s="1666"/>
      <c r="BL15" s="1605">
        <v>0</v>
      </c>
      <c r="BM15" s="426">
        <f ca="1">ROUND(+BL15*$BA$15,0)</f>
        <v>0</v>
      </c>
      <c r="BN15" s="1579"/>
      <c r="BO15" s="1605">
        <v>0</v>
      </c>
      <c r="BP15" s="426">
        <f ca="1">ROUND(+BO15*$BA$15,0)</f>
        <v>0</v>
      </c>
      <c r="BQ15" s="1579"/>
      <c r="BR15" s="1605">
        <v>0</v>
      </c>
      <c r="BS15" s="426">
        <f ca="1">ROUND(+BR15*$BA$15,0)</f>
        <v>0</v>
      </c>
      <c r="BT15" s="1579"/>
      <c r="BU15" s="1605">
        <v>0</v>
      </c>
      <c r="BV15" s="426">
        <f ca="1">ROUND(+BU15*$BA$15,0)</f>
        <v>0</v>
      </c>
      <c r="BW15" s="1579"/>
      <c r="BX15" s="1605">
        <v>0</v>
      </c>
      <c r="BY15" s="426">
        <f ca="1">ROUND(+BX15*$BA$15,0)</f>
        <v>0</v>
      </c>
      <c r="BZ15" s="1579"/>
      <c r="CA15" s="1605">
        <v>0</v>
      </c>
      <c r="CB15" s="426">
        <f ca="1">ROUND(+CA15*$BA$15,0)</f>
        <v>0</v>
      </c>
      <c r="CC15" s="1579"/>
      <c r="CD15" s="1605">
        <v>0</v>
      </c>
      <c r="CE15" s="426">
        <f ca="1">ROUND(+CD15*$BA$15,0)</f>
        <v>0</v>
      </c>
      <c r="CF15" s="1579"/>
      <c r="CG15" s="1605">
        <v>0</v>
      </c>
      <c r="CH15" s="426">
        <f ca="1">ROUND(+CG15*$BA$15,0)</f>
        <v>0</v>
      </c>
      <c r="CI15" s="1579"/>
      <c r="CJ15" s="1257">
        <f t="shared" si="28"/>
        <v>0</v>
      </c>
      <c r="CK15" s="1395">
        <f t="shared" ca="1" si="29"/>
        <v>0</v>
      </c>
      <c r="CL15" s="427"/>
      <c r="CM15" s="170"/>
      <c r="CN15" s="493"/>
      <c r="CO15" s="428" t="str">
        <f t="shared" si="24"/>
        <v>Other ( specify)</v>
      </c>
      <c r="CP15" s="429" t="s">
        <v>291</v>
      </c>
      <c r="CQ15" s="429"/>
      <c r="CR15" s="443"/>
      <c r="CS15" s="432">
        <v>0</v>
      </c>
      <c r="CT15" s="431">
        <f t="shared" si="25"/>
        <v>0</v>
      </c>
      <c r="CU15" s="443"/>
      <c r="CV15" s="432">
        <v>0</v>
      </c>
      <c r="CW15" s="434">
        <f t="shared" ca="1" si="30"/>
        <v>0</v>
      </c>
      <c r="CX15" s="443"/>
      <c r="CY15" s="432">
        <v>0</v>
      </c>
      <c r="CZ15" s="434">
        <f t="shared" ca="1" si="31"/>
        <v>0</v>
      </c>
      <c r="DA15" s="443"/>
      <c r="DB15" s="432">
        <v>0</v>
      </c>
      <c r="DC15" s="434">
        <f t="shared" ca="1" si="32"/>
        <v>0</v>
      </c>
      <c r="DD15" s="443"/>
      <c r="DE15" s="432">
        <v>0</v>
      </c>
      <c r="DF15" s="434">
        <f t="shared" ca="1" si="33"/>
        <v>0</v>
      </c>
      <c r="DG15" s="443"/>
      <c r="DH15" s="432">
        <v>0</v>
      </c>
      <c r="DI15" s="434">
        <f t="shared" ca="1" si="34"/>
        <v>0</v>
      </c>
      <c r="DJ15" s="443"/>
      <c r="DK15" s="432">
        <v>0</v>
      </c>
      <c r="DL15" s="434">
        <f t="shared" ca="1" si="35"/>
        <v>0</v>
      </c>
      <c r="DM15" s="443"/>
      <c r="DN15" s="432">
        <v>0</v>
      </c>
      <c r="DO15" s="434">
        <f t="shared" ca="1" si="36"/>
        <v>0</v>
      </c>
      <c r="DP15" s="443"/>
      <c r="DQ15" s="432">
        <v>0</v>
      </c>
      <c r="DR15" s="434">
        <f t="shared" ca="1" si="37"/>
        <v>0</v>
      </c>
      <c r="DS15" s="443"/>
      <c r="DT15" s="432">
        <v>0</v>
      </c>
      <c r="DU15" s="434">
        <f t="shared" ca="1" si="38"/>
        <v>0</v>
      </c>
      <c r="DV15" s="443"/>
      <c r="DW15" s="432">
        <v>0</v>
      </c>
      <c r="DX15" s="434">
        <f t="shared" ca="1" si="39"/>
        <v>0</v>
      </c>
      <c r="DY15" s="443"/>
      <c r="DZ15" s="432">
        <f t="shared" si="40"/>
        <v>0</v>
      </c>
      <c r="EA15" s="444">
        <f t="shared" ca="1" si="41"/>
        <v>0</v>
      </c>
      <c r="EB15" s="433">
        <f ca="1">EA15+CK15-AS15</f>
        <v>0</v>
      </c>
      <c r="EC15" s="170"/>
      <c r="ED15" s="170"/>
      <c r="EE15" s="170"/>
      <c r="EF15" s="170"/>
      <c r="EG15" s="170"/>
      <c r="EH15" s="170"/>
      <c r="EI15" s="170"/>
      <c r="EJ15" s="170"/>
      <c r="EK15" s="170"/>
    </row>
    <row r="16" spans="1:141" ht="15" x14ac:dyDescent="0.25">
      <c r="A16" s="168"/>
      <c r="B16" s="424">
        <v>1</v>
      </c>
      <c r="C16" s="424">
        <v>1</v>
      </c>
      <c r="D16" s="424">
        <v>1</v>
      </c>
      <c r="E16" s="425">
        <v>7</v>
      </c>
      <c r="F16" s="424" t="s">
        <v>3188</v>
      </c>
      <c r="G16" s="1308" t="str">
        <f t="shared" si="0"/>
        <v>Construction Reps ( internal)</v>
      </c>
      <c r="H16" s="1309" t="s">
        <v>291</v>
      </c>
      <c r="I16" s="1310">
        <f t="shared" ca="1" si="1"/>
        <v>59.4</v>
      </c>
      <c r="J16" s="1685"/>
      <c r="K16" s="1311">
        <f t="shared" si="2"/>
        <v>0</v>
      </c>
      <c r="L16" s="1312">
        <f t="shared" si="2"/>
        <v>0</v>
      </c>
      <c r="M16" s="1685"/>
      <c r="N16" s="1313">
        <f t="shared" si="3"/>
        <v>0</v>
      </c>
      <c r="O16" s="1312">
        <f t="shared" ca="1" si="4"/>
        <v>0</v>
      </c>
      <c r="P16" s="1685"/>
      <c r="Q16" s="1313">
        <f t="shared" si="5"/>
        <v>0</v>
      </c>
      <c r="R16" s="1312">
        <f t="shared" ca="1" si="6"/>
        <v>0</v>
      </c>
      <c r="S16" s="1685"/>
      <c r="T16" s="1313">
        <f t="shared" si="7"/>
        <v>0</v>
      </c>
      <c r="U16" s="1312">
        <f t="shared" ca="1" si="8"/>
        <v>0</v>
      </c>
      <c r="V16" s="1685"/>
      <c r="W16" s="1313">
        <f t="shared" si="9"/>
        <v>0</v>
      </c>
      <c r="X16" s="1312">
        <f t="shared" ca="1" si="10"/>
        <v>0</v>
      </c>
      <c r="Y16" s="1685"/>
      <c r="Z16" s="1313">
        <f t="shared" si="11"/>
        <v>0</v>
      </c>
      <c r="AA16" s="1312">
        <f t="shared" ca="1" si="12"/>
        <v>0</v>
      </c>
      <c r="AB16" s="1685"/>
      <c r="AC16" s="1313">
        <f t="shared" si="13"/>
        <v>0</v>
      </c>
      <c r="AD16" s="1312">
        <f t="shared" ca="1" si="14"/>
        <v>0</v>
      </c>
      <c r="AE16" s="1685"/>
      <c r="AF16" s="1313">
        <f t="shared" si="15"/>
        <v>0</v>
      </c>
      <c r="AG16" s="1312">
        <f t="shared" ca="1" si="16"/>
        <v>0</v>
      </c>
      <c r="AH16" s="1685"/>
      <c r="AI16" s="1313">
        <f t="shared" si="17"/>
        <v>0</v>
      </c>
      <c r="AJ16" s="1312">
        <f t="shared" ca="1" si="18"/>
        <v>0</v>
      </c>
      <c r="AK16" s="1685"/>
      <c r="AL16" s="1313">
        <f t="shared" si="19"/>
        <v>0</v>
      </c>
      <c r="AM16" s="1312">
        <f t="shared" ca="1" si="20"/>
        <v>0</v>
      </c>
      <c r="AN16" s="1685"/>
      <c r="AO16" s="1313">
        <f t="shared" si="21"/>
        <v>0</v>
      </c>
      <c r="AP16" s="1312">
        <f t="shared" ca="1" si="22"/>
        <v>0</v>
      </c>
      <c r="AQ16" s="1685"/>
      <c r="AR16" s="1313">
        <f t="shared" si="26"/>
        <v>0</v>
      </c>
      <c r="AS16" s="1312">
        <f t="shared" ca="1" si="27"/>
        <v>0</v>
      </c>
      <c r="AT16" s="1687"/>
      <c r="AU16" s="411"/>
      <c r="AV16" s="1757">
        <f t="shared" ca="1" si="23"/>
        <v>0</v>
      </c>
      <c r="AW16" s="411"/>
      <c r="AX16" s="493"/>
      <c r="AY16" s="1566" t="s">
        <v>294</v>
      </c>
      <c r="AZ16" s="1567" t="s">
        <v>291</v>
      </c>
      <c r="BA16" s="2445">
        <f ca="1">+'Data Input sheet'!D132</f>
        <v>59.4</v>
      </c>
      <c r="BB16" s="1579"/>
      <c r="BC16" s="1599">
        <v>0</v>
      </c>
      <c r="BD16" s="1600">
        <v>0</v>
      </c>
      <c r="BE16" s="1579"/>
      <c r="BF16" s="1605">
        <v>0</v>
      </c>
      <c r="BG16" s="426">
        <f ca="1">ROUND(+BF16*$BA$16,0)</f>
        <v>0</v>
      </c>
      <c r="BH16" s="1579"/>
      <c r="BI16" s="1605">
        <v>0</v>
      </c>
      <c r="BJ16" s="426">
        <f ca="1">ROUND(+BI16*$BA$16,0)</f>
        <v>0</v>
      </c>
      <c r="BK16" s="1666"/>
      <c r="BL16" s="1605">
        <v>0</v>
      </c>
      <c r="BM16" s="426">
        <f ca="1">ROUND(+BL16*$BA$16,0)</f>
        <v>0</v>
      </c>
      <c r="BN16" s="1579"/>
      <c r="BO16" s="1605"/>
      <c r="BP16" s="426">
        <f ca="1">ROUND(+BO16*$BA$16,0)</f>
        <v>0</v>
      </c>
      <c r="BQ16" s="1579"/>
      <c r="BR16" s="1605"/>
      <c r="BS16" s="426">
        <f ca="1">ROUND(+BR16*$BA$16,0)</f>
        <v>0</v>
      </c>
      <c r="BT16" s="1579"/>
      <c r="BU16" s="1605">
        <v>0</v>
      </c>
      <c r="BV16" s="426">
        <f ca="1">ROUND(+BU16*$BA$16,0)</f>
        <v>0</v>
      </c>
      <c r="BW16" s="1579"/>
      <c r="BX16" s="1605">
        <v>0</v>
      </c>
      <c r="BY16" s="426">
        <f ca="1">ROUND(+BX16*$BA$16,0)</f>
        <v>0</v>
      </c>
      <c r="BZ16" s="1579"/>
      <c r="CA16" s="1605">
        <v>0</v>
      </c>
      <c r="CB16" s="426">
        <f ca="1">ROUND(+CA16*$BA$16,0)</f>
        <v>0</v>
      </c>
      <c r="CC16" s="1579"/>
      <c r="CD16" s="1605">
        <v>0</v>
      </c>
      <c r="CE16" s="426">
        <f ca="1">ROUND(+CD16*$BA$16,0)</f>
        <v>0</v>
      </c>
      <c r="CF16" s="1579"/>
      <c r="CG16" s="1605">
        <v>0</v>
      </c>
      <c r="CH16" s="426">
        <f ca="1">ROUND(+CG16*$BA$16,0)</f>
        <v>0</v>
      </c>
      <c r="CI16" s="1579"/>
      <c r="CJ16" s="1257">
        <f t="shared" si="28"/>
        <v>0</v>
      </c>
      <c r="CK16" s="1395">
        <f t="shared" ca="1" si="29"/>
        <v>0</v>
      </c>
      <c r="CM16" s="170"/>
      <c r="CN16" s="493"/>
      <c r="CO16" s="428" t="str">
        <f t="shared" si="24"/>
        <v>Construction Reps ( internal)</v>
      </c>
      <c r="CP16" s="429" t="s">
        <v>291</v>
      </c>
      <c r="CQ16" s="429"/>
      <c r="CR16" s="443"/>
      <c r="CS16" s="432">
        <v>0</v>
      </c>
      <c r="CT16" s="431">
        <f t="shared" si="25"/>
        <v>0</v>
      </c>
      <c r="CU16" s="443"/>
      <c r="CV16" s="432">
        <v>0</v>
      </c>
      <c r="CW16" s="434">
        <f t="shared" ca="1" si="30"/>
        <v>0</v>
      </c>
      <c r="CX16" s="443"/>
      <c r="CY16" s="432">
        <v>0</v>
      </c>
      <c r="CZ16" s="434">
        <f t="shared" ca="1" si="31"/>
        <v>0</v>
      </c>
      <c r="DA16" s="443"/>
      <c r="DB16" s="432">
        <v>0</v>
      </c>
      <c r="DC16" s="434">
        <f t="shared" ca="1" si="32"/>
        <v>0</v>
      </c>
      <c r="DD16" s="443"/>
      <c r="DE16" s="432">
        <v>0</v>
      </c>
      <c r="DF16" s="434">
        <f t="shared" ca="1" si="33"/>
        <v>0</v>
      </c>
      <c r="DG16" s="443"/>
      <c r="DH16" s="432">
        <v>0</v>
      </c>
      <c r="DI16" s="434">
        <f t="shared" ca="1" si="34"/>
        <v>0</v>
      </c>
      <c r="DJ16" s="443"/>
      <c r="DK16" s="432">
        <v>0</v>
      </c>
      <c r="DL16" s="434">
        <f t="shared" ca="1" si="35"/>
        <v>0</v>
      </c>
      <c r="DM16" s="443"/>
      <c r="DN16" s="432">
        <v>0</v>
      </c>
      <c r="DO16" s="434">
        <f t="shared" ca="1" si="36"/>
        <v>0</v>
      </c>
      <c r="DP16" s="443"/>
      <c r="DQ16" s="432">
        <v>0</v>
      </c>
      <c r="DR16" s="434">
        <f t="shared" ca="1" si="37"/>
        <v>0</v>
      </c>
      <c r="DS16" s="443"/>
      <c r="DT16" s="432">
        <v>0</v>
      </c>
      <c r="DU16" s="434">
        <f t="shared" ca="1" si="38"/>
        <v>0</v>
      </c>
      <c r="DV16" s="443"/>
      <c r="DW16" s="432">
        <v>0</v>
      </c>
      <c r="DX16" s="434">
        <f t="shared" ca="1" si="39"/>
        <v>0</v>
      </c>
      <c r="DY16" s="443"/>
      <c r="DZ16" s="432">
        <f t="shared" si="40"/>
        <v>0</v>
      </c>
      <c r="EA16" s="444">
        <f t="shared" ca="1" si="41"/>
        <v>0</v>
      </c>
      <c r="EB16" s="433"/>
      <c r="EC16" s="170"/>
      <c r="ED16" s="170"/>
      <c r="EE16" s="170"/>
      <c r="EF16" s="170"/>
      <c r="EG16" s="170"/>
      <c r="EH16" s="170"/>
      <c r="EI16" s="170"/>
      <c r="EJ16" s="170"/>
      <c r="EK16" s="170"/>
    </row>
    <row r="17" spans="1:141" ht="15" x14ac:dyDescent="0.25">
      <c r="A17" s="168"/>
      <c r="B17" s="424">
        <v>1</v>
      </c>
      <c r="C17" s="424">
        <v>1</v>
      </c>
      <c r="D17" s="424">
        <v>1</v>
      </c>
      <c r="E17" s="425">
        <v>7</v>
      </c>
      <c r="F17" s="424" t="s">
        <v>3188</v>
      </c>
      <c r="G17" s="1308" t="str">
        <f t="shared" si="0"/>
        <v>Support Switch/Tag</v>
      </c>
      <c r="H17" s="1309" t="s">
        <v>291</v>
      </c>
      <c r="I17" s="1310">
        <f t="shared" ca="1" si="1"/>
        <v>63.03</v>
      </c>
      <c r="J17" s="1685"/>
      <c r="K17" s="1311">
        <f t="shared" si="2"/>
        <v>0</v>
      </c>
      <c r="L17" s="1312">
        <f t="shared" si="2"/>
        <v>0</v>
      </c>
      <c r="M17" s="1685"/>
      <c r="N17" s="1313">
        <f t="shared" si="3"/>
        <v>0</v>
      </c>
      <c r="O17" s="1312">
        <f t="shared" ca="1" si="4"/>
        <v>0</v>
      </c>
      <c r="P17" s="1685"/>
      <c r="Q17" s="1313">
        <f t="shared" si="5"/>
        <v>0</v>
      </c>
      <c r="R17" s="1312">
        <f t="shared" ca="1" si="6"/>
        <v>0</v>
      </c>
      <c r="S17" s="1685"/>
      <c r="T17" s="1313">
        <f t="shared" si="7"/>
        <v>0</v>
      </c>
      <c r="U17" s="1312">
        <f t="shared" ca="1" si="8"/>
        <v>0</v>
      </c>
      <c r="V17" s="1685"/>
      <c r="W17" s="1313">
        <f t="shared" si="9"/>
        <v>0</v>
      </c>
      <c r="X17" s="1312">
        <f t="shared" ca="1" si="10"/>
        <v>0</v>
      </c>
      <c r="Y17" s="1685"/>
      <c r="Z17" s="1313">
        <f t="shared" si="11"/>
        <v>40</v>
      </c>
      <c r="AA17" s="1312">
        <f t="shared" ca="1" si="12"/>
        <v>2921</v>
      </c>
      <c r="AB17" s="1685"/>
      <c r="AC17" s="1313">
        <f t="shared" si="13"/>
        <v>0</v>
      </c>
      <c r="AD17" s="1312">
        <f t="shared" ca="1" si="14"/>
        <v>0</v>
      </c>
      <c r="AE17" s="1685"/>
      <c r="AF17" s="1313">
        <f t="shared" si="15"/>
        <v>0</v>
      </c>
      <c r="AG17" s="1312">
        <f t="shared" ca="1" si="16"/>
        <v>0</v>
      </c>
      <c r="AH17" s="1685"/>
      <c r="AI17" s="1313">
        <f t="shared" si="17"/>
        <v>0</v>
      </c>
      <c r="AJ17" s="1312">
        <f t="shared" ca="1" si="18"/>
        <v>0</v>
      </c>
      <c r="AK17" s="1685"/>
      <c r="AL17" s="1313">
        <f t="shared" si="19"/>
        <v>0</v>
      </c>
      <c r="AM17" s="1312">
        <f t="shared" ca="1" si="20"/>
        <v>0</v>
      </c>
      <c r="AN17" s="1685"/>
      <c r="AO17" s="1313">
        <f t="shared" si="21"/>
        <v>0</v>
      </c>
      <c r="AP17" s="1312">
        <f t="shared" ca="1" si="22"/>
        <v>0</v>
      </c>
      <c r="AQ17" s="1685"/>
      <c r="AR17" s="1313">
        <f t="shared" si="26"/>
        <v>40</v>
      </c>
      <c r="AS17" s="1312">
        <f t="shared" ca="1" si="27"/>
        <v>2921</v>
      </c>
      <c r="AT17" s="1687"/>
      <c r="AU17" s="411"/>
      <c r="AV17" s="1757">
        <f t="shared" ca="1" si="23"/>
        <v>2921</v>
      </c>
      <c r="AW17" s="411"/>
      <c r="AX17" s="493"/>
      <c r="AY17" s="1566" t="s">
        <v>295</v>
      </c>
      <c r="AZ17" s="1567" t="s">
        <v>291</v>
      </c>
      <c r="BA17" s="2445">
        <f ca="1">+'Data Input sheet'!D133</f>
        <v>63.03</v>
      </c>
      <c r="BB17" s="1579"/>
      <c r="BC17" s="1599">
        <v>0</v>
      </c>
      <c r="BD17" s="1600">
        <v>0</v>
      </c>
      <c r="BE17" s="1579"/>
      <c r="BF17" s="1605">
        <v>0</v>
      </c>
      <c r="BG17" s="426">
        <f ca="1">ROUND(+BF17*$BA$17,0)</f>
        <v>0</v>
      </c>
      <c r="BH17" s="1579"/>
      <c r="BI17" s="1605">
        <v>0</v>
      </c>
      <c r="BJ17" s="426">
        <f ca="1">ROUND(+BI17*$BA$17,0)</f>
        <v>0</v>
      </c>
      <c r="BK17" s="1666"/>
      <c r="BL17" s="1605">
        <v>0</v>
      </c>
      <c r="BM17" s="426">
        <f ca="1">ROUND(+BL17*$BA$17,0)</f>
        <v>0</v>
      </c>
      <c r="BN17" s="1579"/>
      <c r="BO17" s="1605">
        <v>0</v>
      </c>
      <c r="BP17" s="426">
        <f ca="1">ROUND(+BO17*$BA$17,0)</f>
        <v>0</v>
      </c>
      <c r="BQ17" s="1579"/>
      <c r="BR17" s="1605">
        <v>40</v>
      </c>
      <c r="BS17" s="426">
        <f ca="1">ROUND(+BR17*$BA$17,0)</f>
        <v>2521</v>
      </c>
      <c r="BT17" s="1579"/>
      <c r="BU17" s="1605"/>
      <c r="BV17" s="426">
        <f ca="1">ROUND(+BU17*$BA$17,0)</f>
        <v>0</v>
      </c>
      <c r="BW17" s="1579"/>
      <c r="BX17" s="1605"/>
      <c r="BY17" s="426">
        <f ca="1">ROUND(+BX17*$BA$17,0)</f>
        <v>0</v>
      </c>
      <c r="BZ17" s="1579"/>
      <c r="CA17" s="1605"/>
      <c r="CB17" s="426">
        <f ca="1">ROUND(+CA17*$BA$17,0)</f>
        <v>0</v>
      </c>
      <c r="CC17" s="1579"/>
      <c r="CD17" s="1605"/>
      <c r="CE17" s="426">
        <f ca="1">ROUND(+CD17*$BA$17,0)</f>
        <v>0</v>
      </c>
      <c r="CF17" s="1579"/>
      <c r="CG17" s="1605"/>
      <c r="CH17" s="426">
        <f ca="1">ROUND(+CG17*$BA$17,0)</f>
        <v>0</v>
      </c>
      <c r="CI17" s="1579"/>
      <c r="CJ17" s="1257">
        <f t="shared" si="28"/>
        <v>40</v>
      </c>
      <c r="CK17" s="1395">
        <f t="shared" ca="1" si="29"/>
        <v>2521</v>
      </c>
      <c r="CL17" s="427" t="s">
        <v>3693</v>
      </c>
      <c r="CM17" s="170"/>
      <c r="CN17" s="493"/>
      <c r="CO17" s="428" t="str">
        <f t="shared" si="24"/>
        <v>Support Switch/Tag</v>
      </c>
      <c r="CP17" s="429" t="s">
        <v>291</v>
      </c>
      <c r="CQ17" s="429"/>
      <c r="CR17" s="443"/>
      <c r="CS17" s="432">
        <v>0</v>
      </c>
      <c r="CT17" s="431">
        <f t="shared" si="25"/>
        <v>0</v>
      </c>
      <c r="CU17" s="443"/>
      <c r="CV17" s="432">
        <v>0</v>
      </c>
      <c r="CW17" s="434">
        <f t="shared" ca="1" si="30"/>
        <v>0</v>
      </c>
      <c r="CX17" s="443"/>
      <c r="CY17" s="432">
        <v>0</v>
      </c>
      <c r="CZ17" s="434">
        <f t="shared" ca="1" si="31"/>
        <v>0</v>
      </c>
      <c r="DA17" s="443"/>
      <c r="DB17" s="432">
        <v>0</v>
      </c>
      <c r="DC17" s="434">
        <f t="shared" ca="1" si="32"/>
        <v>0</v>
      </c>
      <c r="DD17" s="443"/>
      <c r="DE17" s="432">
        <v>0</v>
      </c>
      <c r="DF17" s="434">
        <f t="shared" ca="1" si="33"/>
        <v>0</v>
      </c>
      <c r="DG17" s="443"/>
      <c r="DH17" s="432">
        <v>0</v>
      </c>
      <c r="DI17" s="434">
        <f t="shared" ca="1" si="34"/>
        <v>400</v>
      </c>
      <c r="DJ17" s="443"/>
      <c r="DK17" s="432">
        <v>0</v>
      </c>
      <c r="DL17" s="434">
        <f t="shared" ca="1" si="35"/>
        <v>0</v>
      </c>
      <c r="DM17" s="443"/>
      <c r="DN17" s="432">
        <v>0</v>
      </c>
      <c r="DO17" s="434">
        <f t="shared" ca="1" si="36"/>
        <v>0</v>
      </c>
      <c r="DP17" s="443"/>
      <c r="DQ17" s="432">
        <v>0</v>
      </c>
      <c r="DR17" s="434">
        <f t="shared" ca="1" si="37"/>
        <v>0</v>
      </c>
      <c r="DS17" s="443"/>
      <c r="DT17" s="432">
        <v>0</v>
      </c>
      <c r="DU17" s="434">
        <f t="shared" ca="1" si="38"/>
        <v>0</v>
      </c>
      <c r="DV17" s="443"/>
      <c r="DW17" s="432">
        <v>0</v>
      </c>
      <c r="DX17" s="434">
        <f t="shared" ca="1" si="39"/>
        <v>0</v>
      </c>
      <c r="DY17" s="443"/>
      <c r="DZ17" s="432">
        <f t="shared" si="40"/>
        <v>0</v>
      </c>
      <c r="EA17" s="444">
        <f t="shared" ca="1" si="41"/>
        <v>400</v>
      </c>
      <c r="EB17" s="433"/>
      <c r="EC17" s="170"/>
      <c r="ED17" s="170"/>
      <c r="EE17" s="170"/>
      <c r="EF17" s="170"/>
      <c r="EG17" s="170"/>
      <c r="EH17" s="170"/>
      <c r="EI17" s="170"/>
      <c r="EJ17" s="170"/>
      <c r="EK17" s="170"/>
    </row>
    <row r="18" spans="1:141" ht="15" x14ac:dyDescent="0.25">
      <c r="A18" s="168"/>
      <c r="B18" s="424">
        <v>1</v>
      </c>
      <c r="C18" s="424">
        <v>1</v>
      </c>
      <c r="D18" s="424">
        <v>1</v>
      </c>
      <c r="E18" s="425">
        <v>7</v>
      </c>
      <c r="F18" s="424" t="s">
        <v>3188</v>
      </c>
      <c r="G18" s="1308" t="str">
        <f t="shared" si="0"/>
        <v>Other ( specify)</v>
      </c>
      <c r="H18" s="1309" t="s">
        <v>291</v>
      </c>
      <c r="I18" s="1310">
        <f t="shared" ca="1" si="1"/>
        <v>0</v>
      </c>
      <c r="J18" s="1685"/>
      <c r="K18" s="1311">
        <f t="shared" si="2"/>
        <v>0</v>
      </c>
      <c r="L18" s="1312">
        <f t="shared" si="2"/>
        <v>0</v>
      </c>
      <c r="M18" s="1685"/>
      <c r="N18" s="1313">
        <f t="shared" si="3"/>
        <v>0</v>
      </c>
      <c r="O18" s="1312">
        <f t="shared" ca="1" si="4"/>
        <v>0</v>
      </c>
      <c r="P18" s="1685"/>
      <c r="Q18" s="1313">
        <f t="shared" si="5"/>
        <v>0</v>
      </c>
      <c r="R18" s="1312">
        <f t="shared" ca="1" si="6"/>
        <v>0</v>
      </c>
      <c r="S18" s="1685"/>
      <c r="T18" s="1313">
        <f t="shared" si="7"/>
        <v>0</v>
      </c>
      <c r="U18" s="1312">
        <f t="shared" ca="1" si="8"/>
        <v>0</v>
      </c>
      <c r="V18" s="1685"/>
      <c r="W18" s="1313">
        <f t="shared" si="9"/>
        <v>0</v>
      </c>
      <c r="X18" s="1312">
        <f t="shared" ca="1" si="10"/>
        <v>0</v>
      </c>
      <c r="Y18" s="1685"/>
      <c r="Z18" s="1313">
        <f t="shared" si="11"/>
        <v>0</v>
      </c>
      <c r="AA18" s="1312">
        <f t="shared" ca="1" si="12"/>
        <v>0</v>
      </c>
      <c r="AB18" s="1685"/>
      <c r="AC18" s="1313">
        <f t="shared" si="13"/>
        <v>0</v>
      </c>
      <c r="AD18" s="1312">
        <f t="shared" ca="1" si="14"/>
        <v>0</v>
      </c>
      <c r="AE18" s="1685"/>
      <c r="AF18" s="1313">
        <f t="shared" si="15"/>
        <v>0</v>
      </c>
      <c r="AG18" s="1312">
        <f t="shared" ca="1" si="16"/>
        <v>0</v>
      </c>
      <c r="AH18" s="1685"/>
      <c r="AI18" s="1313">
        <f t="shared" si="17"/>
        <v>0</v>
      </c>
      <c r="AJ18" s="1312">
        <f t="shared" ca="1" si="18"/>
        <v>0</v>
      </c>
      <c r="AK18" s="1685"/>
      <c r="AL18" s="1313">
        <f t="shared" si="19"/>
        <v>0</v>
      </c>
      <c r="AM18" s="1312">
        <f t="shared" ca="1" si="20"/>
        <v>0</v>
      </c>
      <c r="AN18" s="1685"/>
      <c r="AO18" s="1313">
        <f t="shared" si="21"/>
        <v>0</v>
      </c>
      <c r="AP18" s="1312">
        <f t="shared" ca="1" si="22"/>
        <v>0</v>
      </c>
      <c r="AQ18" s="1685"/>
      <c r="AR18" s="1313">
        <f t="shared" si="26"/>
        <v>0</v>
      </c>
      <c r="AS18" s="1312">
        <f t="shared" ca="1" si="27"/>
        <v>0</v>
      </c>
      <c r="AT18" s="1687"/>
      <c r="AU18" s="411"/>
      <c r="AV18" s="1757">
        <f t="shared" ca="1" si="23"/>
        <v>0</v>
      </c>
      <c r="AW18" s="411"/>
      <c r="AX18" s="493"/>
      <c r="AY18" s="1566" t="s">
        <v>296</v>
      </c>
      <c r="AZ18" s="1567" t="s">
        <v>291</v>
      </c>
      <c r="BA18" s="2445">
        <f ca="1">+'Data Input sheet'!D134</f>
        <v>0</v>
      </c>
      <c r="BB18" s="1579"/>
      <c r="BC18" s="1599">
        <v>0</v>
      </c>
      <c r="BD18" s="1600">
        <v>0</v>
      </c>
      <c r="BE18" s="1579"/>
      <c r="BF18" s="1605">
        <v>0</v>
      </c>
      <c r="BG18" s="426">
        <f ca="1">ROUND(+BF18*$BA$18,0)</f>
        <v>0</v>
      </c>
      <c r="BH18" s="1579"/>
      <c r="BI18" s="1605">
        <v>0</v>
      </c>
      <c r="BJ18" s="426">
        <f ca="1">ROUND(+BI18*$BA$18,0)</f>
        <v>0</v>
      </c>
      <c r="BK18" s="1666"/>
      <c r="BL18" s="1605">
        <v>0</v>
      </c>
      <c r="BM18" s="426">
        <f ca="1">ROUND(+BL18*$BA$18,0)</f>
        <v>0</v>
      </c>
      <c r="BN18" s="1579"/>
      <c r="BO18" s="1605">
        <v>0</v>
      </c>
      <c r="BP18" s="426">
        <f ca="1">ROUND(+BO18*$BA$18,0)</f>
        <v>0</v>
      </c>
      <c r="BQ18" s="1579"/>
      <c r="BR18" s="1605">
        <v>0</v>
      </c>
      <c r="BS18" s="426">
        <f ca="1">ROUND(+BR18*$BA$18,0)</f>
        <v>0</v>
      </c>
      <c r="BT18" s="1579"/>
      <c r="BU18" s="1605"/>
      <c r="BV18" s="426">
        <f ca="1">ROUND(+BU18*$BA$18,0)</f>
        <v>0</v>
      </c>
      <c r="BW18" s="1579"/>
      <c r="BX18" s="1605"/>
      <c r="BY18" s="426">
        <f ca="1">ROUND(+BX18*$BA$18,0)</f>
        <v>0</v>
      </c>
      <c r="BZ18" s="1579"/>
      <c r="CA18" s="1605"/>
      <c r="CB18" s="426">
        <f ca="1">ROUND(+CA18*$BA$18,0)</f>
        <v>0</v>
      </c>
      <c r="CC18" s="1579"/>
      <c r="CD18" s="1605"/>
      <c r="CE18" s="426">
        <f ca="1">ROUND(+CD18*$BA$18,0)</f>
        <v>0</v>
      </c>
      <c r="CF18" s="1579"/>
      <c r="CG18" s="1605"/>
      <c r="CH18" s="426">
        <f ca="1">ROUND(+CG18*$BA$18,0)</f>
        <v>0</v>
      </c>
      <c r="CI18" s="1579"/>
      <c r="CJ18" s="1257">
        <f t="shared" si="28"/>
        <v>0</v>
      </c>
      <c r="CK18" s="1395">
        <f t="shared" ca="1" si="29"/>
        <v>0</v>
      </c>
      <c r="CL18" s="427"/>
      <c r="CM18" s="170"/>
      <c r="CN18" s="493"/>
      <c r="CO18" s="428" t="str">
        <f t="shared" si="24"/>
        <v>Other ( specify)</v>
      </c>
      <c r="CP18" s="429" t="s">
        <v>291</v>
      </c>
      <c r="CQ18" s="429"/>
      <c r="CR18" s="443"/>
      <c r="CS18" s="432">
        <v>0</v>
      </c>
      <c r="CT18" s="431">
        <f t="shared" si="25"/>
        <v>0</v>
      </c>
      <c r="CU18" s="443"/>
      <c r="CV18" s="432">
        <v>0</v>
      </c>
      <c r="CW18" s="434">
        <f t="shared" ca="1" si="30"/>
        <v>0</v>
      </c>
      <c r="CX18" s="443"/>
      <c r="CY18" s="432">
        <v>0</v>
      </c>
      <c r="CZ18" s="434">
        <f t="shared" ca="1" si="31"/>
        <v>0</v>
      </c>
      <c r="DA18" s="443"/>
      <c r="DB18" s="432">
        <v>0</v>
      </c>
      <c r="DC18" s="434">
        <f t="shared" ca="1" si="32"/>
        <v>0</v>
      </c>
      <c r="DD18" s="443"/>
      <c r="DE18" s="432">
        <v>0</v>
      </c>
      <c r="DF18" s="434">
        <f t="shared" ca="1" si="33"/>
        <v>0</v>
      </c>
      <c r="DG18" s="443"/>
      <c r="DH18" s="432">
        <v>0</v>
      </c>
      <c r="DI18" s="434">
        <f t="shared" ca="1" si="34"/>
        <v>0</v>
      </c>
      <c r="DJ18" s="443"/>
      <c r="DK18" s="432">
        <v>0</v>
      </c>
      <c r="DL18" s="434">
        <f t="shared" ca="1" si="35"/>
        <v>0</v>
      </c>
      <c r="DM18" s="443"/>
      <c r="DN18" s="432">
        <v>0</v>
      </c>
      <c r="DO18" s="434">
        <f t="shared" ca="1" si="36"/>
        <v>0</v>
      </c>
      <c r="DP18" s="443"/>
      <c r="DQ18" s="432">
        <v>0</v>
      </c>
      <c r="DR18" s="434">
        <f t="shared" ca="1" si="37"/>
        <v>0</v>
      </c>
      <c r="DS18" s="443"/>
      <c r="DT18" s="432">
        <v>0</v>
      </c>
      <c r="DU18" s="434">
        <f t="shared" ca="1" si="38"/>
        <v>0</v>
      </c>
      <c r="DV18" s="443"/>
      <c r="DW18" s="432">
        <v>0</v>
      </c>
      <c r="DX18" s="434">
        <f t="shared" ca="1" si="39"/>
        <v>0</v>
      </c>
      <c r="DY18" s="443"/>
      <c r="DZ18" s="432">
        <f t="shared" si="40"/>
        <v>0</v>
      </c>
      <c r="EA18" s="444">
        <f t="shared" ca="1" si="41"/>
        <v>0</v>
      </c>
      <c r="EB18" s="433"/>
      <c r="EC18" s="170"/>
      <c r="ED18" s="170"/>
      <c r="EE18" s="170"/>
      <c r="EF18" s="170"/>
      <c r="EG18" s="170"/>
      <c r="EH18" s="170"/>
      <c r="EI18" s="170"/>
      <c r="EJ18" s="170"/>
      <c r="EK18" s="170"/>
    </row>
    <row r="19" spans="1:141" ht="15" x14ac:dyDescent="0.25">
      <c r="A19" s="168"/>
      <c r="B19" s="424">
        <v>1</v>
      </c>
      <c r="C19" s="424">
        <v>1</v>
      </c>
      <c r="D19" s="424">
        <v>1</v>
      </c>
      <c r="E19" s="425">
        <v>7</v>
      </c>
      <c r="F19" s="424" t="s">
        <v>3188</v>
      </c>
      <c r="G19" s="1308" t="str">
        <f t="shared" si="0"/>
        <v>Other ( specify)</v>
      </c>
      <c r="H19" s="1309" t="s">
        <v>291</v>
      </c>
      <c r="I19" s="1310">
        <f t="shared" ca="1" si="1"/>
        <v>0</v>
      </c>
      <c r="J19" s="1685"/>
      <c r="K19" s="1311">
        <f t="shared" si="2"/>
        <v>0</v>
      </c>
      <c r="L19" s="1312">
        <f t="shared" si="2"/>
        <v>0</v>
      </c>
      <c r="M19" s="1685"/>
      <c r="N19" s="1313">
        <f t="shared" si="3"/>
        <v>0</v>
      </c>
      <c r="O19" s="1312">
        <f t="shared" ca="1" si="4"/>
        <v>0</v>
      </c>
      <c r="P19" s="1685"/>
      <c r="Q19" s="1313">
        <f t="shared" si="5"/>
        <v>0</v>
      </c>
      <c r="R19" s="1312">
        <f t="shared" ca="1" si="6"/>
        <v>0</v>
      </c>
      <c r="S19" s="1685"/>
      <c r="T19" s="1313">
        <f t="shared" si="7"/>
        <v>0</v>
      </c>
      <c r="U19" s="1312">
        <f t="shared" ca="1" si="8"/>
        <v>0</v>
      </c>
      <c r="V19" s="1685"/>
      <c r="W19" s="1313">
        <f t="shared" si="9"/>
        <v>0</v>
      </c>
      <c r="X19" s="1312">
        <f t="shared" ca="1" si="10"/>
        <v>0</v>
      </c>
      <c r="Y19" s="1685"/>
      <c r="Z19" s="1313">
        <f t="shared" si="11"/>
        <v>0</v>
      </c>
      <c r="AA19" s="1312">
        <f t="shared" ca="1" si="12"/>
        <v>0</v>
      </c>
      <c r="AB19" s="1685"/>
      <c r="AC19" s="1313">
        <f t="shared" si="13"/>
        <v>0</v>
      </c>
      <c r="AD19" s="1312">
        <f t="shared" ca="1" si="14"/>
        <v>0</v>
      </c>
      <c r="AE19" s="1685"/>
      <c r="AF19" s="1313">
        <f t="shared" si="15"/>
        <v>0</v>
      </c>
      <c r="AG19" s="1312">
        <f t="shared" ca="1" si="16"/>
        <v>0</v>
      </c>
      <c r="AH19" s="1685"/>
      <c r="AI19" s="1313">
        <f t="shared" si="17"/>
        <v>0</v>
      </c>
      <c r="AJ19" s="1312">
        <f t="shared" ca="1" si="18"/>
        <v>0</v>
      </c>
      <c r="AK19" s="1685"/>
      <c r="AL19" s="1313">
        <f t="shared" si="19"/>
        <v>0</v>
      </c>
      <c r="AM19" s="1312">
        <f t="shared" ca="1" si="20"/>
        <v>0</v>
      </c>
      <c r="AN19" s="1685"/>
      <c r="AO19" s="1313">
        <f t="shared" si="21"/>
        <v>0</v>
      </c>
      <c r="AP19" s="1312">
        <f t="shared" ca="1" si="22"/>
        <v>0</v>
      </c>
      <c r="AQ19" s="1685"/>
      <c r="AR19" s="1313">
        <f t="shared" si="26"/>
        <v>0</v>
      </c>
      <c r="AS19" s="1312">
        <f t="shared" ca="1" si="27"/>
        <v>0</v>
      </c>
      <c r="AT19" s="1687"/>
      <c r="AU19" s="411"/>
      <c r="AV19" s="1757">
        <f t="shared" ca="1" si="23"/>
        <v>0</v>
      </c>
      <c r="AW19" s="411"/>
      <c r="AX19" s="493"/>
      <c r="AY19" s="1566" t="s">
        <v>296</v>
      </c>
      <c r="AZ19" s="1567" t="s">
        <v>291</v>
      </c>
      <c r="BA19" s="2445">
        <f ca="1">+'Data Input sheet'!D135</f>
        <v>0</v>
      </c>
      <c r="BB19" s="1579"/>
      <c r="BC19" s="1599">
        <v>0</v>
      </c>
      <c r="BD19" s="1600">
        <v>0</v>
      </c>
      <c r="BE19" s="1579"/>
      <c r="BF19" s="1605">
        <v>0</v>
      </c>
      <c r="BG19" s="426">
        <f ca="1">ROUND(+BF19*$BA$19,0)</f>
        <v>0</v>
      </c>
      <c r="BH19" s="1579"/>
      <c r="BI19" s="1605">
        <v>0</v>
      </c>
      <c r="BJ19" s="426">
        <f ca="1">ROUND(+BI19*$BA$19,0)</f>
        <v>0</v>
      </c>
      <c r="BK19" s="1666"/>
      <c r="BL19" s="1605">
        <v>0</v>
      </c>
      <c r="BM19" s="426">
        <f ca="1">ROUND(+BL19*$BA$19,0)</f>
        <v>0</v>
      </c>
      <c r="BN19" s="1579"/>
      <c r="BO19" s="1605">
        <v>0</v>
      </c>
      <c r="BP19" s="426">
        <f ca="1">ROUND(+BO19*$BA$19,0)</f>
        <v>0</v>
      </c>
      <c r="BQ19" s="1579"/>
      <c r="BR19" s="1605">
        <v>0</v>
      </c>
      <c r="BS19" s="426">
        <f ca="1">ROUND(+BR19*$BA$19,0)</f>
        <v>0</v>
      </c>
      <c r="BT19" s="1579"/>
      <c r="BU19" s="1605"/>
      <c r="BV19" s="426">
        <f ca="1">ROUND(+BU19*$BA$19,0)</f>
        <v>0</v>
      </c>
      <c r="BW19" s="1579"/>
      <c r="BX19" s="1605"/>
      <c r="BY19" s="426">
        <f ca="1">ROUND(+BX19*$BA$19,0)</f>
        <v>0</v>
      </c>
      <c r="BZ19" s="1579"/>
      <c r="CA19" s="1605"/>
      <c r="CB19" s="426">
        <f ca="1">ROUND(+CA19*$BA$19,0)</f>
        <v>0</v>
      </c>
      <c r="CC19" s="1579"/>
      <c r="CD19" s="1605"/>
      <c r="CE19" s="426">
        <f ca="1">ROUND(+CD19*$BA$19,0)</f>
        <v>0</v>
      </c>
      <c r="CF19" s="1579"/>
      <c r="CG19" s="1605"/>
      <c r="CH19" s="426">
        <f ca="1">ROUND(+CG19*$BA$19,0)</f>
        <v>0</v>
      </c>
      <c r="CI19" s="1579"/>
      <c r="CJ19" s="1257">
        <f t="shared" si="28"/>
        <v>0</v>
      </c>
      <c r="CK19" s="1395">
        <f t="shared" ca="1" si="29"/>
        <v>0</v>
      </c>
      <c r="CL19" s="427"/>
      <c r="CM19" s="170"/>
      <c r="CN19" s="493"/>
      <c r="CO19" s="428" t="str">
        <f t="shared" si="24"/>
        <v>Other ( specify)</v>
      </c>
      <c r="CP19" s="429" t="s">
        <v>291</v>
      </c>
      <c r="CQ19" s="429"/>
      <c r="CR19" s="443"/>
      <c r="CS19" s="432">
        <v>0</v>
      </c>
      <c r="CT19" s="431">
        <f t="shared" si="25"/>
        <v>0</v>
      </c>
      <c r="CU19" s="443"/>
      <c r="CV19" s="432">
        <v>0</v>
      </c>
      <c r="CW19" s="434">
        <f t="shared" ca="1" si="30"/>
        <v>0</v>
      </c>
      <c r="CX19" s="443"/>
      <c r="CY19" s="432">
        <v>0</v>
      </c>
      <c r="CZ19" s="434">
        <f t="shared" ca="1" si="31"/>
        <v>0</v>
      </c>
      <c r="DA19" s="443"/>
      <c r="DB19" s="432">
        <v>0</v>
      </c>
      <c r="DC19" s="434">
        <f t="shared" ca="1" si="32"/>
        <v>0</v>
      </c>
      <c r="DD19" s="443"/>
      <c r="DE19" s="432">
        <v>0</v>
      </c>
      <c r="DF19" s="434">
        <f t="shared" ca="1" si="33"/>
        <v>0</v>
      </c>
      <c r="DG19" s="443"/>
      <c r="DH19" s="432">
        <v>0</v>
      </c>
      <c r="DI19" s="434">
        <f t="shared" ca="1" si="34"/>
        <v>0</v>
      </c>
      <c r="DJ19" s="443"/>
      <c r="DK19" s="432">
        <v>0</v>
      </c>
      <c r="DL19" s="434">
        <f t="shared" ca="1" si="35"/>
        <v>0</v>
      </c>
      <c r="DM19" s="443"/>
      <c r="DN19" s="432">
        <v>0</v>
      </c>
      <c r="DO19" s="434">
        <f t="shared" ca="1" si="36"/>
        <v>0</v>
      </c>
      <c r="DP19" s="443"/>
      <c r="DQ19" s="432">
        <v>0</v>
      </c>
      <c r="DR19" s="434">
        <f t="shared" ca="1" si="37"/>
        <v>0</v>
      </c>
      <c r="DS19" s="443"/>
      <c r="DT19" s="432">
        <v>0</v>
      </c>
      <c r="DU19" s="434">
        <f t="shared" ca="1" si="38"/>
        <v>0</v>
      </c>
      <c r="DV19" s="443"/>
      <c r="DW19" s="432">
        <v>0</v>
      </c>
      <c r="DX19" s="434">
        <f t="shared" ca="1" si="39"/>
        <v>0</v>
      </c>
      <c r="DY19" s="443"/>
      <c r="DZ19" s="432">
        <f t="shared" si="40"/>
        <v>0</v>
      </c>
      <c r="EA19" s="444">
        <f t="shared" ca="1" si="41"/>
        <v>0</v>
      </c>
      <c r="EB19" s="433"/>
      <c r="EC19" s="170"/>
      <c r="ED19" s="170"/>
      <c r="EE19" s="170"/>
      <c r="EF19" s="170"/>
      <c r="EG19" s="170"/>
      <c r="EH19" s="170"/>
      <c r="EI19" s="170"/>
      <c r="EJ19" s="170"/>
      <c r="EK19" s="170"/>
    </row>
    <row r="20" spans="1:141" ht="15.75" thickBot="1" x14ac:dyDescent="0.3">
      <c r="A20" s="168"/>
      <c r="B20" s="424">
        <v>1</v>
      </c>
      <c r="C20" s="424">
        <v>1</v>
      </c>
      <c r="D20" s="424">
        <v>1</v>
      </c>
      <c r="E20" s="425">
        <v>7</v>
      </c>
      <c r="F20" s="424" t="s">
        <v>3188</v>
      </c>
      <c r="G20" s="1308" t="str">
        <f t="shared" si="0"/>
        <v>Other ( specify)</v>
      </c>
      <c r="H20" s="1309" t="s">
        <v>291</v>
      </c>
      <c r="I20" s="1310">
        <f t="shared" ca="1" si="1"/>
        <v>0</v>
      </c>
      <c r="J20" s="1685"/>
      <c r="K20" s="1311">
        <f t="shared" si="2"/>
        <v>0</v>
      </c>
      <c r="L20" s="1312">
        <f t="shared" si="2"/>
        <v>0</v>
      </c>
      <c r="M20" s="1685"/>
      <c r="N20" s="1313">
        <f t="shared" si="3"/>
        <v>0</v>
      </c>
      <c r="O20" s="1312">
        <f t="shared" ca="1" si="4"/>
        <v>0</v>
      </c>
      <c r="P20" s="1685"/>
      <c r="Q20" s="1313">
        <f t="shared" si="5"/>
        <v>0</v>
      </c>
      <c r="R20" s="1312">
        <f t="shared" ca="1" si="6"/>
        <v>0</v>
      </c>
      <c r="S20" s="1685"/>
      <c r="T20" s="1313">
        <f t="shared" si="7"/>
        <v>0</v>
      </c>
      <c r="U20" s="1312">
        <f t="shared" ca="1" si="8"/>
        <v>0</v>
      </c>
      <c r="V20" s="1685"/>
      <c r="W20" s="1313">
        <f t="shared" si="9"/>
        <v>0</v>
      </c>
      <c r="X20" s="1312">
        <f t="shared" ca="1" si="10"/>
        <v>0</v>
      </c>
      <c r="Y20" s="1685"/>
      <c r="Z20" s="1313">
        <f t="shared" si="11"/>
        <v>0</v>
      </c>
      <c r="AA20" s="1312">
        <f t="shared" ca="1" si="12"/>
        <v>0</v>
      </c>
      <c r="AB20" s="1685"/>
      <c r="AC20" s="1313">
        <f t="shared" si="13"/>
        <v>0</v>
      </c>
      <c r="AD20" s="1312">
        <f t="shared" ca="1" si="14"/>
        <v>0</v>
      </c>
      <c r="AE20" s="1685"/>
      <c r="AF20" s="1313">
        <f t="shared" si="15"/>
        <v>0</v>
      </c>
      <c r="AG20" s="1312">
        <f t="shared" ca="1" si="16"/>
        <v>0</v>
      </c>
      <c r="AH20" s="1685"/>
      <c r="AI20" s="1313">
        <f t="shared" si="17"/>
        <v>0</v>
      </c>
      <c r="AJ20" s="1312">
        <f t="shared" ca="1" si="18"/>
        <v>0</v>
      </c>
      <c r="AK20" s="1685"/>
      <c r="AL20" s="1313">
        <f t="shared" si="19"/>
        <v>0</v>
      </c>
      <c r="AM20" s="1312">
        <f t="shared" ca="1" si="20"/>
        <v>0</v>
      </c>
      <c r="AN20" s="1685"/>
      <c r="AO20" s="1313">
        <f t="shared" si="21"/>
        <v>0</v>
      </c>
      <c r="AP20" s="1312">
        <f t="shared" ca="1" si="22"/>
        <v>0</v>
      </c>
      <c r="AQ20" s="1685"/>
      <c r="AR20" s="1313">
        <f t="shared" si="26"/>
        <v>0</v>
      </c>
      <c r="AS20" s="1312">
        <f t="shared" ca="1" si="27"/>
        <v>0</v>
      </c>
      <c r="AT20" s="1687"/>
      <c r="AU20" s="411"/>
      <c r="AV20" s="1757">
        <f t="shared" ca="1" si="23"/>
        <v>0</v>
      </c>
      <c r="AW20" s="411"/>
      <c r="AX20" s="493"/>
      <c r="AY20" s="1566" t="s">
        <v>296</v>
      </c>
      <c r="AZ20" s="1567" t="s">
        <v>291</v>
      </c>
      <c r="BA20" s="2445">
        <f ca="1">+'Data Input sheet'!D136</f>
        <v>0</v>
      </c>
      <c r="BB20" s="1579"/>
      <c r="BC20" s="1599">
        <v>0</v>
      </c>
      <c r="BD20" s="1600">
        <v>0</v>
      </c>
      <c r="BE20" s="1579"/>
      <c r="BF20" s="1605"/>
      <c r="BG20" s="426">
        <f ca="1">ROUND(+BF20*$BA$20,0)</f>
        <v>0</v>
      </c>
      <c r="BH20" s="1579"/>
      <c r="BI20" s="1605">
        <v>0</v>
      </c>
      <c r="BJ20" s="426">
        <f ca="1">ROUND(+BI20*$BA$20,0)</f>
        <v>0</v>
      </c>
      <c r="BK20" s="1666"/>
      <c r="BL20" s="1605">
        <v>0</v>
      </c>
      <c r="BM20" s="426">
        <f ca="1">ROUND(+BL20*$BA$20,0)</f>
        <v>0</v>
      </c>
      <c r="BN20" s="1579"/>
      <c r="BO20" s="1605">
        <v>0</v>
      </c>
      <c r="BP20" s="426">
        <f ca="1">ROUND(+BO20*$BA$20,0)</f>
        <v>0</v>
      </c>
      <c r="BQ20" s="1579"/>
      <c r="BR20" s="1605">
        <v>0</v>
      </c>
      <c r="BS20" s="426">
        <f ca="1">ROUND(+BR20*$BA$20,0)</f>
        <v>0</v>
      </c>
      <c r="BT20" s="1579"/>
      <c r="BU20" s="1605"/>
      <c r="BV20" s="426">
        <f ca="1">ROUND(+BU20*$BA$20,0)</f>
        <v>0</v>
      </c>
      <c r="BW20" s="1579"/>
      <c r="BX20" s="1605"/>
      <c r="BY20" s="426">
        <f ca="1">ROUND(+BX20*$BA$20,0)</f>
        <v>0</v>
      </c>
      <c r="BZ20" s="1579"/>
      <c r="CA20" s="1605"/>
      <c r="CB20" s="426">
        <f ca="1">ROUND(+CA20*$BA$20,0)</f>
        <v>0</v>
      </c>
      <c r="CC20" s="1579"/>
      <c r="CD20" s="1605"/>
      <c r="CE20" s="426">
        <f ca="1">ROUND(+CD20*$BA$20,0)</f>
        <v>0</v>
      </c>
      <c r="CF20" s="1579"/>
      <c r="CG20" s="1605"/>
      <c r="CH20" s="426">
        <f ca="1">ROUND(+CG20*$BA$20,0)</f>
        <v>0</v>
      </c>
      <c r="CI20" s="1579"/>
      <c r="CJ20" s="1257">
        <f t="shared" si="28"/>
        <v>0</v>
      </c>
      <c r="CK20" s="1395">
        <f t="shared" ca="1" si="29"/>
        <v>0</v>
      </c>
      <c r="CL20" s="427"/>
      <c r="CM20" s="170"/>
      <c r="CN20" s="493"/>
      <c r="CO20" s="428" t="str">
        <f t="shared" si="24"/>
        <v>Other ( specify)</v>
      </c>
      <c r="CP20" s="429" t="s">
        <v>291</v>
      </c>
      <c r="CQ20" s="429"/>
      <c r="CR20" s="443"/>
      <c r="CS20" s="435">
        <v>0</v>
      </c>
      <c r="CT20" s="431">
        <f t="shared" si="25"/>
        <v>0</v>
      </c>
      <c r="CU20" s="443"/>
      <c r="CV20" s="435">
        <v>0</v>
      </c>
      <c r="CW20" s="434">
        <f t="shared" ca="1" si="30"/>
        <v>0</v>
      </c>
      <c r="CX20" s="443"/>
      <c r="CY20" s="432">
        <v>0</v>
      </c>
      <c r="CZ20" s="434">
        <f t="shared" ca="1" si="31"/>
        <v>0</v>
      </c>
      <c r="DA20" s="443"/>
      <c r="DB20" s="432">
        <v>0</v>
      </c>
      <c r="DC20" s="434">
        <f t="shared" ca="1" si="32"/>
        <v>0</v>
      </c>
      <c r="DD20" s="443"/>
      <c r="DE20" s="432">
        <v>0</v>
      </c>
      <c r="DF20" s="434">
        <f t="shared" ca="1" si="33"/>
        <v>0</v>
      </c>
      <c r="DG20" s="443"/>
      <c r="DH20" s="432">
        <v>0</v>
      </c>
      <c r="DI20" s="434">
        <f t="shared" ca="1" si="34"/>
        <v>0</v>
      </c>
      <c r="DJ20" s="443"/>
      <c r="DK20" s="432">
        <v>0</v>
      </c>
      <c r="DL20" s="434">
        <f t="shared" ca="1" si="35"/>
        <v>0</v>
      </c>
      <c r="DM20" s="443"/>
      <c r="DN20" s="432">
        <v>0</v>
      </c>
      <c r="DO20" s="434">
        <f t="shared" ca="1" si="36"/>
        <v>0</v>
      </c>
      <c r="DP20" s="443"/>
      <c r="DQ20" s="432">
        <v>0</v>
      </c>
      <c r="DR20" s="434">
        <f t="shared" ca="1" si="37"/>
        <v>0</v>
      </c>
      <c r="DS20" s="443"/>
      <c r="DT20" s="432">
        <v>0</v>
      </c>
      <c r="DU20" s="434">
        <f t="shared" ca="1" si="38"/>
        <v>0</v>
      </c>
      <c r="DV20" s="443"/>
      <c r="DW20" s="432">
        <v>0</v>
      </c>
      <c r="DX20" s="434">
        <f t="shared" ca="1" si="39"/>
        <v>0</v>
      </c>
      <c r="DY20" s="443"/>
      <c r="DZ20" s="435">
        <f t="shared" si="40"/>
        <v>0</v>
      </c>
      <c r="EA20" s="444">
        <f t="shared" ca="1" si="41"/>
        <v>0</v>
      </c>
      <c r="EB20" s="433"/>
      <c r="EC20" s="170"/>
      <c r="ED20" s="170"/>
      <c r="EE20" s="170"/>
      <c r="EF20" s="170"/>
      <c r="EG20" s="170"/>
      <c r="EH20" s="170"/>
      <c r="EI20" s="170"/>
      <c r="EJ20" s="170"/>
      <c r="EK20" s="170"/>
    </row>
    <row r="21" spans="1:141" ht="15" x14ac:dyDescent="0.25">
      <c r="A21" s="168"/>
      <c r="B21" s="436"/>
      <c r="C21" s="436"/>
      <c r="D21" s="436"/>
      <c r="E21" s="437"/>
      <c r="F21" s="493"/>
      <c r="G21" s="1314" t="s">
        <v>297</v>
      </c>
      <c r="H21" s="1309"/>
      <c r="I21" s="1310">
        <f t="shared" si="1"/>
        <v>0</v>
      </c>
      <c r="J21" s="1685"/>
      <c r="K21" s="1679">
        <f>SUM(K12:K20)</f>
        <v>0</v>
      </c>
      <c r="L21" s="1315">
        <f>SUM(L12:L20)</f>
        <v>10963.25</v>
      </c>
      <c r="M21" s="1685"/>
      <c r="N21" s="1679">
        <f>SUM(N12:N20)</f>
        <v>0</v>
      </c>
      <c r="O21" s="1315">
        <f ca="1">SUM(O12:O20)</f>
        <v>0</v>
      </c>
      <c r="P21" s="1685"/>
      <c r="Q21" s="1679">
        <f>SUM(Q12:Q20)</f>
        <v>0</v>
      </c>
      <c r="R21" s="1315">
        <f ca="1">SUM(R12:R20)</f>
        <v>0</v>
      </c>
      <c r="S21" s="1685"/>
      <c r="T21" s="1679">
        <f>SUM(T12:T20)</f>
        <v>0</v>
      </c>
      <c r="U21" s="1315">
        <f ca="1">SUM(U12:U20)</f>
        <v>0</v>
      </c>
      <c r="V21" s="1685"/>
      <c r="W21" s="1679">
        <f>SUM(W12:W20)</f>
        <v>80</v>
      </c>
      <c r="X21" s="1315">
        <f ca="1">SUM(X12:X20)</f>
        <v>5633</v>
      </c>
      <c r="Y21" s="1685"/>
      <c r="Z21" s="1679">
        <f>SUM(Z12:Z20)</f>
        <v>120</v>
      </c>
      <c r="AA21" s="1315">
        <f ca="1">SUM(AA12:AA20)</f>
        <v>8723</v>
      </c>
      <c r="AB21" s="1685"/>
      <c r="AC21" s="1679">
        <f>SUM(AC12:AC20)</f>
        <v>0</v>
      </c>
      <c r="AD21" s="1315">
        <f ca="1">SUM(AD12:AD20)</f>
        <v>0</v>
      </c>
      <c r="AE21" s="1685"/>
      <c r="AF21" s="1679">
        <f>SUM(AF12:AF20)</f>
        <v>0</v>
      </c>
      <c r="AG21" s="1315">
        <f ca="1">SUM(AG12:AG20)</f>
        <v>0</v>
      </c>
      <c r="AH21" s="1685"/>
      <c r="AI21" s="1679">
        <f>SUM(AI12:AI20)</f>
        <v>0</v>
      </c>
      <c r="AJ21" s="1315">
        <f ca="1">SUM(AJ12:AJ20)</f>
        <v>0</v>
      </c>
      <c r="AK21" s="1685"/>
      <c r="AL21" s="1679">
        <f>SUM(AL12:AL20)</f>
        <v>0</v>
      </c>
      <c r="AM21" s="1315">
        <f ca="1">SUM(AM12:AM20)</f>
        <v>0</v>
      </c>
      <c r="AN21" s="1685"/>
      <c r="AO21" s="1679">
        <f>SUM(AO12:AO20)</f>
        <v>0</v>
      </c>
      <c r="AP21" s="1315">
        <f ca="1">SUM(AP12:AP20)</f>
        <v>0</v>
      </c>
      <c r="AQ21" s="1685"/>
      <c r="AR21" s="1679">
        <f>SUM(AR12:AR20)</f>
        <v>200</v>
      </c>
      <c r="AS21" s="1315">
        <f ca="1">SUM(AS12:AS20)</f>
        <v>25319.25</v>
      </c>
      <c r="AT21" s="1687"/>
      <c r="AU21" s="411"/>
      <c r="AV21" s="1757">
        <f t="shared" ca="1" si="23"/>
        <v>25319.25</v>
      </c>
      <c r="AW21" s="411"/>
      <c r="AX21" s="493"/>
      <c r="AY21" s="517" t="s">
        <v>297</v>
      </c>
      <c r="AZ21" s="447"/>
      <c r="BA21" s="447"/>
      <c r="BB21" s="1579"/>
      <c r="BC21" s="1625">
        <f>SUM(BC12:BC20)</f>
        <v>0</v>
      </c>
      <c r="BD21" s="1249">
        <f>SUM(BD12:BD20)</f>
        <v>10963.25</v>
      </c>
      <c r="BE21" s="1579"/>
      <c r="BF21" s="1644">
        <f>SUM(BF12:BF20)</f>
        <v>0</v>
      </c>
      <c r="BG21" s="1249">
        <f ca="1">SUM(BG12:BG20)</f>
        <v>0</v>
      </c>
      <c r="BH21" s="1579"/>
      <c r="BI21" s="1644">
        <f>SUM(BI12:BI20)</f>
        <v>0</v>
      </c>
      <c r="BJ21" s="1249">
        <f ca="1">SUM(BJ12:BJ20)</f>
        <v>0</v>
      </c>
      <c r="BK21" s="1579"/>
      <c r="BL21" s="1644">
        <f>SUM(BL12:BL20)</f>
        <v>0</v>
      </c>
      <c r="BM21" s="1249">
        <f ca="1">SUM(BM12:BM20)</f>
        <v>0</v>
      </c>
      <c r="BN21" s="1579"/>
      <c r="BO21" s="1644">
        <f>SUM(BO12:BO20)</f>
        <v>80</v>
      </c>
      <c r="BP21" s="1249">
        <f ca="1">SUM(BP12:BP20)</f>
        <v>5008</v>
      </c>
      <c r="BQ21" s="1579"/>
      <c r="BR21" s="1644">
        <f>SUM(BR12:BR20)</f>
        <v>120</v>
      </c>
      <c r="BS21" s="1249">
        <f ca="1">SUM(BS12:BS20)</f>
        <v>7529</v>
      </c>
      <c r="BT21" s="1579"/>
      <c r="BU21" s="1644">
        <f>SUM(BU12:BU20)</f>
        <v>0</v>
      </c>
      <c r="BV21" s="1249">
        <f ca="1">SUM(BV12:BV20)</f>
        <v>0</v>
      </c>
      <c r="BW21" s="1579"/>
      <c r="BX21" s="1644">
        <f>SUM(BX12:BX20)</f>
        <v>0</v>
      </c>
      <c r="BY21" s="1249">
        <f ca="1">SUM(BY12:BY20)</f>
        <v>0</v>
      </c>
      <c r="BZ21" s="1579"/>
      <c r="CA21" s="1644">
        <f>SUM(CA12:CA20)</f>
        <v>0</v>
      </c>
      <c r="CB21" s="1249">
        <f ca="1">SUM(CB12:CB20)</f>
        <v>0</v>
      </c>
      <c r="CC21" s="1579"/>
      <c r="CD21" s="1644">
        <f>SUM(CD12:CD20)</f>
        <v>0</v>
      </c>
      <c r="CE21" s="1249">
        <f ca="1">SUM(CE12:CE20)</f>
        <v>0</v>
      </c>
      <c r="CF21" s="1579"/>
      <c r="CG21" s="1644">
        <f>SUM(CG12:CG20)</f>
        <v>0</v>
      </c>
      <c r="CH21" s="1249">
        <f ca="1">SUM(CH12:CH20)</f>
        <v>0</v>
      </c>
      <c r="CI21" s="1579"/>
      <c r="CJ21" s="1625">
        <f>SUM(CJ12:CJ20)</f>
        <v>200</v>
      </c>
      <c r="CK21" s="1250">
        <f ca="1">SUM(CK12:CK20)</f>
        <v>23500.25</v>
      </c>
      <c r="CL21" s="1728"/>
      <c r="CM21" s="170"/>
      <c r="CN21" s="493"/>
      <c r="CO21" s="438" t="s">
        <v>297</v>
      </c>
      <c r="CP21" s="429"/>
      <c r="CQ21" s="429"/>
      <c r="CR21" s="443"/>
      <c r="CS21" s="1695">
        <f>SUM(CS12:CS20)</f>
        <v>0</v>
      </c>
      <c r="CT21" s="439">
        <f>SUM(CT12:CT20)</f>
        <v>0</v>
      </c>
      <c r="CU21" s="443"/>
      <c r="CV21" s="1695">
        <f>SUM(CV12:CV20)</f>
        <v>0</v>
      </c>
      <c r="CW21" s="439">
        <f ca="1">SUM(CW12:CW20)</f>
        <v>0</v>
      </c>
      <c r="CX21" s="443"/>
      <c r="CY21" s="1695">
        <f>SUM(CY12:CY20)</f>
        <v>0</v>
      </c>
      <c r="CZ21" s="439">
        <f ca="1">SUM(CZ12:CZ20)</f>
        <v>0</v>
      </c>
      <c r="DA21" s="443"/>
      <c r="DB21" s="1695">
        <f>SUM(DB12:DB20)</f>
        <v>0</v>
      </c>
      <c r="DC21" s="439">
        <f ca="1">SUM(DC12:DC20)</f>
        <v>0</v>
      </c>
      <c r="DD21" s="443"/>
      <c r="DE21" s="1695">
        <f>SUM(DE12:DE20)</f>
        <v>0</v>
      </c>
      <c r="DF21" s="439">
        <f ca="1">SUM(DF12:DF20)</f>
        <v>625</v>
      </c>
      <c r="DG21" s="443"/>
      <c r="DH21" s="1695">
        <f>SUM(DH12:DH20)</f>
        <v>0</v>
      </c>
      <c r="DI21" s="439">
        <f ca="1">SUM(DI12:DI20)</f>
        <v>1194</v>
      </c>
      <c r="DJ21" s="443"/>
      <c r="DK21" s="1695">
        <f>SUM(DK12:DK20)</f>
        <v>0</v>
      </c>
      <c r="DL21" s="439">
        <f ca="1">SUM(DL12:DL20)</f>
        <v>0</v>
      </c>
      <c r="DM21" s="443"/>
      <c r="DN21" s="1695">
        <f>SUM(DN12:DN20)</f>
        <v>0</v>
      </c>
      <c r="DO21" s="439">
        <f ca="1">SUM(DO12:DO20)</f>
        <v>0</v>
      </c>
      <c r="DP21" s="443"/>
      <c r="DQ21" s="1695">
        <f>SUM(DQ12:DQ20)</f>
        <v>0</v>
      </c>
      <c r="DR21" s="439">
        <f ca="1">SUM(DR12:DR20)</f>
        <v>0</v>
      </c>
      <c r="DS21" s="443"/>
      <c r="DT21" s="1695">
        <f>SUM(DT12:DT20)</f>
        <v>0</v>
      </c>
      <c r="DU21" s="439">
        <f ca="1">SUM(DU12:DU20)</f>
        <v>0</v>
      </c>
      <c r="DV21" s="443"/>
      <c r="DW21" s="1695">
        <f>SUM(DW12:DW20)</f>
        <v>0</v>
      </c>
      <c r="DX21" s="439">
        <f ca="1">SUM(DX12:DX20)</f>
        <v>0</v>
      </c>
      <c r="DY21" s="443"/>
      <c r="DZ21" s="1695">
        <f>SUM(DZ12:DZ20)</f>
        <v>0</v>
      </c>
      <c r="EA21" s="439">
        <f ca="1">SUM(EA12:EA20)</f>
        <v>1819</v>
      </c>
      <c r="EB21" s="433"/>
      <c r="EC21" s="170"/>
      <c r="ED21" s="170"/>
      <c r="EE21" s="170"/>
      <c r="EF21" s="170"/>
      <c r="EG21" s="170"/>
      <c r="EH21" s="170"/>
      <c r="EI21" s="170"/>
      <c r="EJ21" s="170"/>
      <c r="EK21" s="170"/>
    </row>
    <row r="22" spans="1:141" ht="15" x14ac:dyDescent="0.25">
      <c r="A22" s="168"/>
      <c r="B22" s="424">
        <v>5</v>
      </c>
      <c r="C22" s="424">
        <v>1</v>
      </c>
      <c r="D22" s="424">
        <v>6</v>
      </c>
      <c r="E22" s="425">
        <v>7</v>
      </c>
      <c r="F22" s="493"/>
      <c r="G22" s="1308" t="str">
        <f t="shared" ref="G22:G30" si="52">+AY22</f>
        <v xml:space="preserve">Employee Expenses </v>
      </c>
      <c r="H22" s="1309" t="s">
        <v>298</v>
      </c>
      <c r="I22" s="1310">
        <f t="shared" si="1"/>
        <v>0.05</v>
      </c>
      <c r="J22" s="1685"/>
      <c r="K22" s="1311">
        <f t="shared" ref="K22:L30" si="53">+BC22</f>
        <v>0</v>
      </c>
      <c r="L22" s="1312">
        <f t="shared" si="53"/>
        <v>0</v>
      </c>
      <c r="M22" s="1685"/>
      <c r="N22" s="1316"/>
      <c r="O22" s="1312">
        <f ca="1">+BG22+CW22</f>
        <v>0</v>
      </c>
      <c r="P22" s="1685"/>
      <c r="Q22" s="1316"/>
      <c r="R22" s="1312">
        <f ca="1">+BJ22+CZ22</f>
        <v>0</v>
      </c>
      <c r="S22" s="1685"/>
      <c r="T22" s="1316"/>
      <c r="U22" s="1312">
        <f ca="1">+BM22+DC22</f>
        <v>0</v>
      </c>
      <c r="V22" s="1685"/>
      <c r="W22" s="1316"/>
      <c r="X22" s="1312">
        <f ca="1">+BP22+DF22</f>
        <v>281</v>
      </c>
      <c r="Y22" s="1685"/>
      <c r="Z22" s="1316"/>
      <c r="AA22" s="1312">
        <f ca="1">+BS22+DI22</f>
        <v>436</v>
      </c>
      <c r="AB22" s="1685"/>
      <c r="AC22" s="1316"/>
      <c r="AD22" s="1312">
        <f ca="1">+BV22+DL22</f>
        <v>0</v>
      </c>
      <c r="AE22" s="1685"/>
      <c r="AF22" s="1316"/>
      <c r="AG22" s="1312">
        <f ca="1">+BY22+DO22</f>
        <v>0</v>
      </c>
      <c r="AH22" s="1685"/>
      <c r="AI22" s="1316"/>
      <c r="AJ22" s="1312">
        <f ca="1">+CB22+DR22</f>
        <v>0</v>
      </c>
      <c r="AK22" s="1685"/>
      <c r="AL22" s="1316"/>
      <c r="AM22" s="1312">
        <f ca="1">+CE22+DU22</f>
        <v>0</v>
      </c>
      <c r="AN22" s="1685"/>
      <c r="AO22" s="1316"/>
      <c r="AP22" s="1312">
        <f ca="1">+CH22+DX22</f>
        <v>0</v>
      </c>
      <c r="AQ22" s="1685"/>
      <c r="AR22" s="1316">
        <f t="shared" ref="AR22:AR30" si="54">+Z22+W22+T22+Q22+N22+K22+AC22+AF22+AI22+AL22+AO22</f>
        <v>0</v>
      </c>
      <c r="AS22" s="1312">
        <f t="shared" ref="AS22:AS30" ca="1" si="55">+AA22+X22+U22+R22+O22+L22+AD22+AG22+AJ22+AM22+AP22</f>
        <v>717</v>
      </c>
      <c r="AT22" s="1687"/>
      <c r="AU22" s="411"/>
      <c r="AV22" s="1757">
        <f t="shared" ca="1" si="23"/>
        <v>717</v>
      </c>
      <c r="AW22" s="411"/>
      <c r="AX22" s="493"/>
      <c r="AY22" s="1566" t="s">
        <v>299</v>
      </c>
      <c r="AZ22" s="1567" t="s">
        <v>298</v>
      </c>
      <c r="BA22" s="2700">
        <v>0.05</v>
      </c>
      <c r="BB22" s="1579"/>
      <c r="BC22" s="1599">
        <v>0</v>
      </c>
      <c r="BD22" s="1600">
        <v>0</v>
      </c>
      <c r="BE22" s="1579"/>
      <c r="BF22" s="1469"/>
      <c r="BG22" s="1284">
        <f ca="1">ROUND((BG21*$BA22),0)</f>
        <v>0</v>
      </c>
      <c r="BH22" s="1579"/>
      <c r="BI22" s="1469"/>
      <c r="BJ22" s="1284">
        <f ca="1">ROUND((BJ21*$BA22),0)</f>
        <v>0</v>
      </c>
      <c r="BK22" s="1666"/>
      <c r="BL22" s="1469"/>
      <c r="BM22" s="1284">
        <f ca="1">ROUND((BM21*$BA22),0)</f>
        <v>0</v>
      </c>
      <c r="BN22" s="1579"/>
      <c r="BO22" s="1469"/>
      <c r="BP22" s="1284">
        <f ca="1">ROUND((BP21*$BA22),0)</f>
        <v>250</v>
      </c>
      <c r="BQ22" s="1579"/>
      <c r="BR22" s="1469"/>
      <c r="BS22" s="1284">
        <f ca="1">ROUND((BS21*$BA22),0)</f>
        <v>376</v>
      </c>
      <c r="BT22" s="1579"/>
      <c r="BU22" s="1469"/>
      <c r="BV22" s="1284">
        <f ca="1">ROUND((BV21*$BA22),0)</f>
        <v>0</v>
      </c>
      <c r="BW22" s="1579"/>
      <c r="BX22" s="1469"/>
      <c r="BY22" s="1284">
        <f ca="1">ROUND((BY21*$BA22),0)</f>
        <v>0</v>
      </c>
      <c r="BZ22" s="1579"/>
      <c r="CA22" s="1469"/>
      <c r="CB22" s="1284">
        <f ca="1">ROUND((CB21*$BA22),0)</f>
        <v>0</v>
      </c>
      <c r="CC22" s="1579"/>
      <c r="CD22" s="1469"/>
      <c r="CE22" s="1284">
        <f ca="1">ROUND((CE21*$BA22),0)</f>
        <v>0</v>
      </c>
      <c r="CF22" s="1579"/>
      <c r="CG22" s="1469"/>
      <c r="CH22" s="1284">
        <f ca="1">ROUND((CH21*$BA22),0)</f>
        <v>0</v>
      </c>
      <c r="CI22" s="1579"/>
      <c r="CJ22" s="1257">
        <f t="shared" ref="CJ22:CJ30" si="56">+BR22+BO22+BL22+BI22+BF22+BC22+BU22+BX22+CA22+CD22+CG22</f>
        <v>0</v>
      </c>
      <c r="CK22" s="1395">
        <f t="shared" ref="CK22:CK30" ca="1" si="57">+BS22+BP22+BM22+BJ22+BG22+BD22+BV22+BY22+CB22+CE22+CH22</f>
        <v>626</v>
      </c>
      <c r="CL22" s="427"/>
      <c r="CM22" s="170"/>
      <c r="CN22" s="493"/>
      <c r="CO22" s="428" t="str">
        <f t="shared" ref="CO22:CO30" si="58">+AY22</f>
        <v xml:space="preserve">Employee Expenses </v>
      </c>
      <c r="CP22" s="429" t="s">
        <v>298</v>
      </c>
      <c r="CQ22" s="441"/>
      <c r="CR22" s="443"/>
      <c r="CS22" s="432"/>
      <c r="CT22" s="431">
        <f t="shared" ref="CT22:CT30" si="59">L22-BD22</f>
        <v>0</v>
      </c>
      <c r="CU22" s="443"/>
      <c r="CV22" s="432"/>
      <c r="CW22" s="434">
        <f ca="1">ROUND((+BG22*(1+CW$4)),0)-BG22</f>
        <v>0</v>
      </c>
      <c r="CX22" s="443"/>
      <c r="CY22" s="432"/>
      <c r="CZ22" s="434">
        <f ca="1">ROUND((+BJ22*(1+CZ$4)),0)-BJ22</f>
        <v>0</v>
      </c>
      <c r="DA22" s="443"/>
      <c r="DB22" s="432"/>
      <c r="DC22" s="434">
        <f ca="1">ROUND((+BM22*(1+DC$4)),0)-BM22</f>
        <v>0</v>
      </c>
      <c r="DD22" s="443"/>
      <c r="DE22" s="432">
        <v>0</v>
      </c>
      <c r="DF22" s="434">
        <f ca="1">ROUND((+BP22*(1+DF$4)),0)-BP22</f>
        <v>31</v>
      </c>
      <c r="DG22" s="443"/>
      <c r="DH22" s="432">
        <v>0</v>
      </c>
      <c r="DI22" s="434">
        <f ca="1">ROUND((+BS22*(1+DI$4)),0)-BS22</f>
        <v>60</v>
      </c>
      <c r="DJ22" s="443"/>
      <c r="DK22" s="432">
        <v>0</v>
      </c>
      <c r="DL22" s="434">
        <f ca="1">ROUND((+BV22*(1+DL$4)),0)-BV22</f>
        <v>0</v>
      </c>
      <c r="DM22" s="443"/>
      <c r="DN22" s="432">
        <v>0</v>
      </c>
      <c r="DO22" s="434">
        <f ca="1">ROUND((+BY22*(1+DO$4)),0)-BY22</f>
        <v>0</v>
      </c>
      <c r="DP22" s="443"/>
      <c r="DQ22" s="432">
        <v>0</v>
      </c>
      <c r="DR22" s="434">
        <f ca="1">ROUND((+CB22*(1+DR$4)),0)-CB22</f>
        <v>0</v>
      </c>
      <c r="DS22" s="443"/>
      <c r="DT22" s="432">
        <v>0</v>
      </c>
      <c r="DU22" s="434">
        <f ca="1">ROUND((+CE22*(1+DU$4)),0)-CE22</f>
        <v>0</v>
      </c>
      <c r="DV22" s="443"/>
      <c r="DW22" s="432">
        <v>0</v>
      </c>
      <c r="DX22" s="434">
        <f ca="1">ROUND((+CH22*(1+DX$4)),0)-CH22</f>
        <v>0</v>
      </c>
      <c r="DY22" s="443"/>
      <c r="DZ22" s="432">
        <f t="shared" ref="DZ22:DZ30" si="60">+DH22+DE22+DB22+CY22+CV22+CS22+DK22+DN22+DQ22+DT22+DW22</f>
        <v>0</v>
      </c>
      <c r="EA22" s="444">
        <f t="shared" ref="EA22:EA30" ca="1" si="61">+DI22+DF22+DC22+CZ22+CW22+CT22+DL22+DO22+DR22+DU22+DX22</f>
        <v>91</v>
      </c>
      <c r="EB22" s="433"/>
      <c r="EC22" s="170"/>
      <c r="ED22" s="170"/>
      <c r="EE22" s="170"/>
      <c r="EF22" s="170"/>
      <c r="EG22" s="170"/>
      <c r="EH22" s="170"/>
      <c r="EI22" s="170"/>
      <c r="EJ22" s="170"/>
      <c r="EK22" s="170"/>
    </row>
    <row r="23" spans="1:141" ht="15" x14ac:dyDescent="0.25">
      <c r="A23" s="168"/>
      <c r="B23" s="424">
        <v>4</v>
      </c>
      <c r="C23" s="424">
        <v>4</v>
      </c>
      <c r="D23" s="424">
        <v>4</v>
      </c>
      <c r="E23" s="425">
        <v>6</v>
      </c>
      <c r="F23" s="493"/>
      <c r="G23" s="1308" t="str">
        <f t="shared" si="52"/>
        <v>Constr. Purchased Mat'l (Eversource)</v>
      </c>
      <c r="H23" s="1309" t="s">
        <v>300</v>
      </c>
      <c r="I23" s="1310">
        <f t="shared" si="1"/>
        <v>0.01</v>
      </c>
      <c r="J23" s="1718">
        <f>IF('Data Input sheet'!D19=1,'Data Input sheet'!G28,IF('Data Input sheet'!D19='Data Input sheet'!D19,'Data Input sheet'!G29,IF('Data Input sheet'!D19=3,'Data Input sheet'!G30)))</f>
        <v>0</v>
      </c>
      <c r="K23" s="1311">
        <f t="shared" si="53"/>
        <v>0</v>
      </c>
      <c r="L23" s="1312">
        <f t="shared" si="53"/>
        <v>0</v>
      </c>
      <c r="M23" s="1685"/>
      <c r="N23" s="1316"/>
      <c r="O23" s="1312">
        <f ca="1">+BG23+CW23</f>
        <v>0</v>
      </c>
      <c r="P23" s="1685"/>
      <c r="Q23" s="1316"/>
      <c r="R23" s="1312">
        <f ca="1">+BJ23+CZ23</f>
        <v>0</v>
      </c>
      <c r="S23" s="1685"/>
      <c r="T23" s="1316"/>
      <c r="U23" s="1312">
        <f ca="1">+BM23+DC23</f>
        <v>0</v>
      </c>
      <c r="V23" s="1685"/>
      <c r="W23" s="1316"/>
      <c r="X23" s="1312">
        <f ca="1">+BP23+DF23</f>
        <v>0</v>
      </c>
      <c r="Y23" s="1685"/>
      <c r="Z23" s="1316"/>
      <c r="AA23" s="1312">
        <f ca="1">+BS23+DI23</f>
        <v>0</v>
      </c>
      <c r="AB23" s="1685"/>
      <c r="AC23" s="1316"/>
      <c r="AD23" s="1312">
        <f ca="1">+BV23+DL23</f>
        <v>0</v>
      </c>
      <c r="AE23" s="1685"/>
      <c r="AF23" s="1316"/>
      <c r="AG23" s="1312">
        <f ca="1">+BY23+DO23</f>
        <v>0</v>
      </c>
      <c r="AH23" s="1685"/>
      <c r="AI23" s="1316"/>
      <c r="AJ23" s="1312">
        <f ca="1">+CB23+DR23</f>
        <v>0</v>
      </c>
      <c r="AK23" s="1685"/>
      <c r="AL23" s="1316"/>
      <c r="AM23" s="1312">
        <f ca="1">+CE23+DU23</f>
        <v>0</v>
      </c>
      <c r="AN23" s="1685"/>
      <c r="AO23" s="1316"/>
      <c r="AP23" s="1312">
        <f ca="1">+CH23+DX23</f>
        <v>0</v>
      </c>
      <c r="AQ23" s="1685"/>
      <c r="AR23" s="1316">
        <f t="shared" si="54"/>
        <v>0</v>
      </c>
      <c r="AS23" s="1312">
        <f t="shared" ca="1" si="55"/>
        <v>0</v>
      </c>
      <c r="AT23" s="1687"/>
      <c r="AU23" s="411"/>
      <c r="AV23" s="1757">
        <f t="shared" ca="1" si="23"/>
        <v>0</v>
      </c>
      <c r="AW23" s="411"/>
      <c r="AX23" s="493"/>
      <c r="AY23" s="1566" t="s">
        <v>3486</v>
      </c>
      <c r="AZ23" s="1567" t="s">
        <v>300</v>
      </c>
      <c r="BA23" s="2700">
        <v>0.01</v>
      </c>
      <c r="BB23" s="1579"/>
      <c r="BC23" s="1599">
        <v>0</v>
      </c>
      <c r="BD23" s="1600">
        <v>0</v>
      </c>
      <c r="BE23" s="1579"/>
      <c r="BF23" s="1469"/>
      <c r="BG23" s="1284">
        <f ca="1">ROUND((BG12+BG13)*$BA$23,0)</f>
        <v>0</v>
      </c>
      <c r="BH23" s="1579"/>
      <c r="BI23" s="1469"/>
      <c r="BJ23" s="1284">
        <f ca="1">ROUND((BJ12+BJ13)*$BA$23,0)</f>
        <v>0</v>
      </c>
      <c r="BK23" s="1666"/>
      <c r="BL23" s="1469"/>
      <c r="BM23" s="1284">
        <f ca="1">ROUND((BM12+BM13)*$BA$23,0)</f>
        <v>0</v>
      </c>
      <c r="BN23" s="1579"/>
      <c r="BO23" s="1469"/>
      <c r="BP23" s="1284">
        <f ca="1">ROUND((BP12+BP13)*$BA$23,0)</f>
        <v>0</v>
      </c>
      <c r="BQ23" s="1579"/>
      <c r="BR23" s="1469"/>
      <c r="BS23" s="1284">
        <f ca="1">ROUND((BS12+BS13)*$BA$23,0)</f>
        <v>0</v>
      </c>
      <c r="BT23" s="1579"/>
      <c r="BU23" s="1469"/>
      <c r="BV23" s="1284">
        <f ca="1">ROUND((BV12+BV13)*$BA$23,0)</f>
        <v>0</v>
      </c>
      <c r="BW23" s="1579"/>
      <c r="BX23" s="1469"/>
      <c r="BY23" s="1284">
        <f ca="1">ROUND((BY12+BY13)*$BA$23,0)</f>
        <v>0</v>
      </c>
      <c r="BZ23" s="1579"/>
      <c r="CA23" s="1469"/>
      <c r="CB23" s="1284">
        <f ca="1">ROUND((CB12+CB13)*$BA$23,0)</f>
        <v>0</v>
      </c>
      <c r="CC23" s="1579"/>
      <c r="CD23" s="1469"/>
      <c r="CE23" s="1284">
        <f ca="1">ROUND((CE12+CE13)*$BA$23,0)</f>
        <v>0</v>
      </c>
      <c r="CF23" s="1579"/>
      <c r="CG23" s="1469"/>
      <c r="CH23" s="1284">
        <f ca="1">ROUND((CH12+CH13)*$BA$23,0)</f>
        <v>0</v>
      </c>
      <c r="CI23" s="1579"/>
      <c r="CJ23" s="1257">
        <f t="shared" si="56"/>
        <v>0</v>
      </c>
      <c r="CK23" s="1395">
        <f t="shared" ca="1" si="57"/>
        <v>0</v>
      </c>
      <c r="CL23" s="427"/>
      <c r="CM23" s="170"/>
      <c r="CN23" s="493"/>
      <c r="CO23" s="428" t="str">
        <f t="shared" si="58"/>
        <v>Constr. Purchased Mat'l (Eversource)</v>
      </c>
      <c r="CP23" s="429" t="s">
        <v>300</v>
      </c>
      <c r="CQ23" s="441"/>
      <c r="CR23" s="443"/>
      <c r="CS23" s="432"/>
      <c r="CT23" s="431">
        <f t="shared" si="59"/>
        <v>0</v>
      </c>
      <c r="CU23" s="443"/>
      <c r="CV23" s="432"/>
      <c r="CW23" s="434">
        <f ca="1">ROUND((+BG23*(1+CW$4)),0)-BG23</f>
        <v>0</v>
      </c>
      <c r="CX23" s="443"/>
      <c r="CY23" s="432"/>
      <c r="CZ23" s="434">
        <f ca="1">ROUND((+BJ23*(1+CZ$4)),0)-BJ23</f>
        <v>0</v>
      </c>
      <c r="DA23" s="443"/>
      <c r="DB23" s="432"/>
      <c r="DC23" s="434">
        <f ca="1">ROUND((+BM23*(1+DC$4)),0)-BM23</f>
        <v>0</v>
      </c>
      <c r="DD23" s="443"/>
      <c r="DE23" s="432">
        <v>0</v>
      </c>
      <c r="DF23" s="434">
        <f ca="1">ROUND((+BP23*(1+DF$4)),0)-BP23</f>
        <v>0</v>
      </c>
      <c r="DG23" s="443"/>
      <c r="DH23" s="432">
        <v>0</v>
      </c>
      <c r="DI23" s="434">
        <f ca="1">ROUND((+BS23*(1+DI$4)),0)-BS23</f>
        <v>0</v>
      </c>
      <c r="DJ23" s="443"/>
      <c r="DK23" s="432">
        <v>0</v>
      </c>
      <c r="DL23" s="434">
        <f ca="1">ROUND((+BV23*(1+DL$4)),0)-BV23</f>
        <v>0</v>
      </c>
      <c r="DM23" s="443"/>
      <c r="DN23" s="432">
        <v>0</v>
      </c>
      <c r="DO23" s="434">
        <f ca="1">ROUND((+BY23*(1+DO$4)),0)-BY23</f>
        <v>0</v>
      </c>
      <c r="DP23" s="443"/>
      <c r="DQ23" s="432">
        <v>0</v>
      </c>
      <c r="DR23" s="434">
        <f ca="1">ROUND((+CB23*(1+DR$4)),0)-CB23</f>
        <v>0</v>
      </c>
      <c r="DS23" s="443"/>
      <c r="DT23" s="432">
        <v>0</v>
      </c>
      <c r="DU23" s="434">
        <f ca="1">ROUND((+CE23*(1+DU$4)),0)-CE23</f>
        <v>0</v>
      </c>
      <c r="DV23" s="443"/>
      <c r="DW23" s="432">
        <v>0</v>
      </c>
      <c r="DX23" s="434">
        <f ca="1">ROUND((+CH23*(1+DX$4)),0)-CH23</f>
        <v>0</v>
      </c>
      <c r="DY23" s="443"/>
      <c r="DZ23" s="432">
        <f t="shared" si="60"/>
        <v>0</v>
      </c>
      <c r="EA23" s="444">
        <f t="shared" ca="1" si="61"/>
        <v>0</v>
      </c>
      <c r="EB23" s="433"/>
      <c r="EC23" s="170"/>
      <c r="ED23" s="170"/>
      <c r="EE23" s="170"/>
      <c r="EF23" s="170"/>
      <c r="EG23" s="170"/>
      <c r="EH23" s="170"/>
      <c r="EI23" s="170"/>
      <c r="EJ23" s="170"/>
      <c r="EK23" s="170"/>
    </row>
    <row r="24" spans="1:141" ht="15" x14ac:dyDescent="0.25">
      <c r="A24" s="168"/>
      <c r="B24" s="424">
        <v>4</v>
      </c>
      <c r="C24" s="424">
        <v>4</v>
      </c>
      <c r="D24" s="424">
        <v>4</v>
      </c>
      <c r="E24" s="425">
        <v>7</v>
      </c>
      <c r="F24" s="493"/>
      <c r="G24" s="1308" t="str">
        <f t="shared" ref="G24" si="62">+AY24</f>
        <v>Constr. Purchased Mat'l (contracted)</v>
      </c>
      <c r="H24" s="1309" t="s">
        <v>300</v>
      </c>
      <c r="I24" s="1310">
        <f t="shared" ref="I24" si="63">+BA24</f>
        <v>5.0000000000000001E-3</v>
      </c>
      <c r="J24" s="1718">
        <f>IF('Data Input sheet'!D20=1,'Data Input sheet'!G29,IF('Data Input sheet'!D20='Data Input sheet'!D20,'Data Input sheet'!G30,IF('Data Input sheet'!D20=3,'Data Input sheet'!G31)))</f>
        <v>0</v>
      </c>
      <c r="K24" s="1311">
        <f t="shared" ref="K24" si="64">+BC24</f>
        <v>0</v>
      </c>
      <c r="L24" s="1312">
        <f t="shared" ref="L24" si="65">+BD24</f>
        <v>0</v>
      </c>
      <c r="M24" s="1685"/>
      <c r="N24" s="1316"/>
      <c r="O24" s="1312">
        <f>+BG24+CW24</f>
        <v>0</v>
      </c>
      <c r="P24" s="1685"/>
      <c r="Q24" s="1316"/>
      <c r="R24" s="1312">
        <f>+BJ24+CZ24</f>
        <v>0</v>
      </c>
      <c r="S24" s="1685"/>
      <c r="T24" s="1316"/>
      <c r="U24" s="1312">
        <f>+BM24+DC24</f>
        <v>0</v>
      </c>
      <c r="V24" s="1685"/>
      <c r="W24" s="1316"/>
      <c r="X24" s="1312">
        <f>+BP24+DF24</f>
        <v>12000</v>
      </c>
      <c r="Y24" s="1685"/>
      <c r="Z24" s="1316"/>
      <c r="AA24" s="1312">
        <f>+BS24+DI24</f>
        <v>8240</v>
      </c>
      <c r="AB24" s="1685"/>
      <c r="AC24" s="1316"/>
      <c r="AD24" s="1312">
        <f>+BV24+DL24</f>
        <v>0</v>
      </c>
      <c r="AE24" s="1685"/>
      <c r="AF24" s="1316"/>
      <c r="AG24" s="1312">
        <f>+BY24+DO24</f>
        <v>0</v>
      </c>
      <c r="AH24" s="1685"/>
      <c r="AI24" s="1316"/>
      <c r="AJ24" s="1312">
        <f>+CB24+DR24</f>
        <v>0</v>
      </c>
      <c r="AK24" s="1685"/>
      <c r="AL24" s="1316"/>
      <c r="AM24" s="1312">
        <f>+CE24+DU24</f>
        <v>0</v>
      </c>
      <c r="AN24" s="1685"/>
      <c r="AO24" s="1316"/>
      <c r="AP24" s="1312">
        <f>+CH24+DX24</f>
        <v>0</v>
      </c>
      <c r="AQ24" s="1685"/>
      <c r="AR24" s="1316">
        <f t="shared" ref="AR24" si="66">+Z24+W24+T24+Q24+N24+K24+AC24+AF24+AI24+AL24+AO24</f>
        <v>0</v>
      </c>
      <c r="AS24" s="1312">
        <f t="shared" ref="AS24" si="67">+AA24+X24+U24+R24+O24+L24+AD24+AG24+AJ24+AM24+AP24</f>
        <v>20240</v>
      </c>
      <c r="AT24" s="1687"/>
      <c r="AU24" s="411"/>
      <c r="AV24" s="1757">
        <f t="shared" ref="AV24" si="68">+CK24+EA24</f>
        <v>20240</v>
      </c>
      <c r="AW24" s="411"/>
      <c r="AX24" s="493"/>
      <c r="AY24" s="1566" t="s">
        <v>3487</v>
      </c>
      <c r="AZ24" s="1567" t="s">
        <v>300</v>
      </c>
      <c r="BA24" s="2700">
        <v>5.0000000000000001E-3</v>
      </c>
      <c r="BB24" s="1579"/>
      <c r="BC24" s="1599">
        <v>0</v>
      </c>
      <c r="BD24" s="1600">
        <v>0</v>
      </c>
      <c r="BE24" s="1579"/>
      <c r="BF24" s="1469"/>
      <c r="BG24" s="1284">
        <f>ROUND((+BG25)*$BA$24,0)</f>
        <v>0</v>
      </c>
      <c r="BH24" s="1579"/>
      <c r="BI24" s="1469"/>
      <c r="BJ24" s="1284">
        <f>ROUND((+BJ25)*$BA$24,0)</f>
        <v>0</v>
      </c>
      <c r="BK24" s="1666"/>
      <c r="BL24" s="1469"/>
      <c r="BM24" s="1284">
        <f>ROUND((+BM25)*$BA$24,0)</f>
        <v>0</v>
      </c>
      <c r="BN24" s="1579"/>
      <c r="BO24" s="1469"/>
      <c r="BP24" s="1284">
        <f>ROUND((+BP25)*$BA$24,0)</f>
        <v>10669</v>
      </c>
      <c r="BQ24" s="1579"/>
      <c r="BR24" s="1469"/>
      <c r="BS24" s="1284">
        <f>ROUND((+BS25)*$BA$24,0)</f>
        <v>7113</v>
      </c>
      <c r="BT24" s="1579"/>
      <c r="BU24" s="1469"/>
      <c r="BV24" s="1284">
        <f>ROUND((+BV25)*$BA$24,0)</f>
        <v>0</v>
      </c>
      <c r="BW24" s="1579"/>
      <c r="BX24" s="1469"/>
      <c r="BY24" s="1284">
        <f>ROUND((+BY25)*$BA$24,0)</f>
        <v>0</v>
      </c>
      <c r="BZ24" s="1579"/>
      <c r="CA24" s="1469"/>
      <c r="CB24" s="1284">
        <f>ROUND((+CB25)*$BA$24,0)</f>
        <v>0</v>
      </c>
      <c r="CC24" s="1579"/>
      <c r="CD24" s="1469"/>
      <c r="CE24" s="1284">
        <f>ROUND((+CE25)*$BA$24,0)</f>
        <v>0</v>
      </c>
      <c r="CF24" s="1579"/>
      <c r="CG24" s="1469"/>
      <c r="CH24" s="1284">
        <f>ROUND((+CH25)*$BA$24,0)</f>
        <v>0</v>
      </c>
      <c r="CI24" s="1579"/>
      <c r="CJ24" s="1257">
        <f t="shared" ref="CJ24" si="69">+BR24+BO24+BL24+BI24+BF24+BC24+BU24+BX24+CA24+CD24+CG24</f>
        <v>0</v>
      </c>
      <c r="CK24" s="1395">
        <f t="shared" ref="CK24" si="70">+BS24+BP24+BM24+BJ24+BG24+BD24+BV24+BY24+CB24+CE24+CH24</f>
        <v>17782</v>
      </c>
      <c r="CL24" s="427"/>
      <c r="CM24" s="170"/>
      <c r="CN24" s="493"/>
      <c r="CO24" s="428" t="str">
        <f t="shared" ref="CO24" si="71">+AY24</f>
        <v>Constr. Purchased Mat'l (contracted)</v>
      </c>
      <c r="CP24" s="429" t="s">
        <v>300</v>
      </c>
      <c r="CQ24" s="441"/>
      <c r="CR24" s="443"/>
      <c r="CS24" s="432"/>
      <c r="CT24" s="431">
        <f t="shared" ref="CT24" si="72">L24-BD24</f>
        <v>0</v>
      </c>
      <c r="CU24" s="443"/>
      <c r="CV24" s="432"/>
      <c r="CW24" s="434">
        <f>ROUND((+BG24*(1+CW$4)),0)-BG24</f>
        <v>0</v>
      </c>
      <c r="CX24" s="443"/>
      <c r="CY24" s="432"/>
      <c r="CZ24" s="434">
        <f>ROUND((+BJ24*(1+CZ$4)),0)-BJ24</f>
        <v>0</v>
      </c>
      <c r="DA24" s="443"/>
      <c r="DB24" s="432"/>
      <c r="DC24" s="434">
        <f>ROUND((+BM24*(1+DC$4)),0)-BM24</f>
        <v>0</v>
      </c>
      <c r="DD24" s="443"/>
      <c r="DE24" s="432">
        <v>0</v>
      </c>
      <c r="DF24" s="434">
        <f>ROUND((+BP24*(1+DF$4)),0)-BP24</f>
        <v>1331</v>
      </c>
      <c r="DG24" s="443"/>
      <c r="DH24" s="432">
        <v>0</v>
      </c>
      <c r="DI24" s="434">
        <f>ROUND((+BS24*(1+DI$4)),0)-BS24</f>
        <v>1127</v>
      </c>
      <c r="DJ24" s="443"/>
      <c r="DK24" s="432">
        <v>0</v>
      </c>
      <c r="DL24" s="434">
        <f>ROUND((+BV24*(1+DL$4)),0)-BV24</f>
        <v>0</v>
      </c>
      <c r="DM24" s="443"/>
      <c r="DN24" s="432">
        <v>0</v>
      </c>
      <c r="DO24" s="434">
        <f>ROUND((+BY24*(1+DO$4)),0)-BY24</f>
        <v>0</v>
      </c>
      <c r="DP24" s="443"/>
      <c r="DQ24" s="432">
        <v>0</v>
      </c>
      <c r="DR24" s="434">
        <f>ROUND((+CB24*(1+DR$4)),0)-CB24</f>
        <v>0</v>
      </c>
      <c r="DS24" s="443"/>
      <c r="DT24" s="432">
        <v>0</v>
      </c>
      <c r="DU24" s="434">
        <f>ROUND((+CE24*(1+DU$4)),0)-CE24</f>
        <v>0</v>
      </c>
      <c r="DV24" s="443"/>
      <c r="DW24" s="432">
        <v>0</v>
      </c>
      <c r="DX24" s="434">
        <f>ROUND((+CH24*(1+DX$4)),0)-CH24</f>
        <v>0</v>
      </c>
      <c r="DY24" s="443"/>
      <c r="DZ24" s="432">
        <f t="shared" ref="DZ24" si="73">+DH24+DE24+DB24+CY24+CV24+CS24+DK24+DN24+DQ24+DT24+DW24</f>
        <v>0</v>
      </c>
      <c r="EA24" s="444">
        <f t="shared" ref="EA24" si="74">+DI24+DF24+DC24+CZ24+CW24+CT24+DL24+DO24+DR24+DU24+DX24</f>
        <v>2458</v>
      </c>
      <c r="EB24" s="433"/>
      <c r="EC24" s="170"/>
      <c r="ED24" s="170"/>
      <c r="EE24" s="170"/>
      <c r="EF24" s="170"/>
      <c r="EG24" s="170"/>
      <c r="EH24" s="170"/>
      <c r="EI24" s="170"/>
      <c r="EJ24" s="170"/>
      <c r="EK24" s="170"/>
    </row>
    <row r="25" spans="1:141" ht="25.5" x14ac:dyDescent="0.25">
      <c r="A25" s="168"/>
      <c r="B25" s="424">
        <v>3</v>
      </c>
      <c r="C25" s="424">
        <v>1</v>
      </c>
      <c r="D25" s="424">
        <v>3</v>
      </c>
      <c r="E25" s="425">
        <v>7</v>
      </c>
      <c r="F25" s="493" t="s">
        <v>605</v>
      </c>
      <c r="G25" s="1308" t="str">
        <f t="shared" si="52"/>
        <v>Outside Construction Vendor</v>
      </c>
      <c r="H25" s="1309" t="s">
        <v>301</v>
      </c>
      <c r="I25" s="1289"/>
      <c r="J25" s="1685"/>
      <c r="K25" s="1311">
        <f t="shared" si="53"/>
        <v>0</v>
      </c>
      <c r="L25" s="1312">
        <f t="shared" si="53"/>
        <v>0</v>
      </c>
      <c r="M25" s="1685"/>
      <c r="N25" s="1313">
        <f>+BF25</f>
        <v>0</v>
      </c>
      <c r="O25" s="1312">
        <f>+BG25+CW25</f>
        <v>0</v>
      </c>
      <c r="P25" s="1685"/>
      <c r="Q25" s="1313">
        <f>+BI25</f>
        <v>0</v>
      </c>
      <c r="R25" s="1312">
        <f>+BJ25+CZ25</f>
        <v>0</v>
      </c>
      <c r="S25" s="1685"/>
      <c r="T25" s="1313">
        <f>+BL25</f>
        <v>0</v>
      </c>
      <c r="U25" s="1312">
        <f>+BM25+DC25</f>
        <v>0</v>
      </c>
      <c r="V25" s="1685"/>
      <c r="W25" s="1313">
        <f>+BO25</f>
        <v>10563.064903225806</v>
      </c>
      <c r="X25" s="1312">
        <f>+BP25+DF25</f>
        <v>2400057.8896284006</v>
      </c>
      <c r="Y25" s="1685"/>
      <c r="Z25" s="1313">
        <f>+BR25</f>
        <v>7042.0432688172059</v>
      </c>
      <c r="AA25" s="1312">
        <f>+BS25+DI25</f>
        <v>1648039.7526781682</v>
      </c>
      <c r="AB25" s="1685"/>
      <c r="AC25" s="1313">
        <f>+BU25</f>
        <v>0</v>
      </c>
      <c r="AD25" s="1312">
        <f>+BV25+DL25</f>
        <v>0</v>
      </c>
      <c r="AE25" s="1685"/>
      <c r="AF25" s="1313">
        <f>+BX25</f>
        <v>0</v>
      </c>
      <c r="AG25" s="1312">
        <f>+BY25+DO25</f>
        <v>0</v>
      </c>
      <c r="AH25" s="1685"/>
      <c r="AI25" s="1313">
        <f>+CA25</f>
        <v>0</v>
      </c>
      <c r="AJ25" s="1312">
        <f>+CB25+DR25</f>
        <v>0</v>
      </c>
      <c r="AK25" s="1685"/>
      <c r="AL25" s="1313">
        <f>+CD25</f>
        <v>0</v>
      </c>
      <c r="AM25" s="1312">
        <f>+CE25+DU25</f>
        <v>0</v>
      </c>
      <c r="AN25" s="1685"/>
      <c r="AO25" s="1313">
        <f>+CG25</f>
        <v>0</v>
      </c>
      <c r="AP25" s="1312">
        <f>+CH25+DX25</f>
        <v>0</v>
      </c>
      <c r="AQ25" s="1685"/>
      <c r="AR25" s="1316">
        <f t="shared" si="54"/>
        <v>17605.108172043012</v>
      </c>
      <c r="AS25" s="1312">
        <f t="shared" si="55"/>
        <v>4048097.642306569</v>
      </c>
      <c r="AT25" s="1687"/>
      <c r="AU25" s="411"/>
      <c r="AV25" s="1757">
        <f t="shared" si="23"/>
        <v>4048097.6423065686</v>
      </c>
      <c r="AW25" s="411"/>
      <c r="AX25" s="493"/>
      <c r="AY25" s="1566" t="s">
        <v>302</v>
      </c>
      <c r="AZ25" s="1567" t="s">
        <v>301</v>
      </c>
      <c r="BA25" s="376"/>
      <c r="BB25" s="1579"/>
      <c r="BC25" s="1599">
        <v>0</v>
      </c>
      <c r="BD25" s="1600">
        <v>0</v>
      </c>
      <c r="BE25" s="1579"/>
      <c r="BF25" s="1469">
        <f>+Escalation!O39</f>
        <v>0</v>
      </c>
      <c r="BG25" s="1284">
        <f>ROUND(+Escalation!AB39,0)</f>
        <v>0</v>
      </c>
      <c r="BH25" s="1579"/>
      <c r="BI25" s="1469">
        <f>+Escalation!P39</f>
        <v>0</v>
      </c>
      <c r="BJ25" s="1284">
        <f>ROUND(+Escalation!AC39,0)</f>
        <v>0</v>
      </c>
      <c r="BK25" s="1666"/>
      <c r="BL25" s="1469">
        <f>+Escalation!Q39</f>
        <v>0</v>
      </c>
      <c r="BM25" s="1284">
        <f>ROUND(+Escalation!AD39,0)</f>
        <v>0</v>
      </c>
      <c r="BN25" s="1579"/>
      <c r="BO25" s="1469">
        <f>+Escalation!R39</f>
        <v>10563.064903225806</v>
      </c>
      <c r="BP25" s="1284">
        <f>ROUND(+Escalation!AE39,0)</f>
        <v>2133840</v>
      </c>
      <c r="BQ25" s="1579"/>
      <c r="BR25" s="1469">
        <f>+Escalation!S39</f>
        <v>7042.0432688172059</v>
      </c>
      <c r="BS25" s="1284">
        <f>ROUND(+Escalation!AF39,0)</f>
        <v>1422560</v>
      </c>
      <c r="BT25" s="1579"/>
      <c r="BU25" s="1469">
        <f>+Escalation!T39</f>
        <v>0</v>
      </c>
      <c r="BV25" s="1284">
        <f>ROUND(+Escalation!AG39,0)</f>
        <v>0</v>
      </c>
      <c r="BW25" s="1579"/>
      <c r="BX25" s="1469">
        <f>+Escalation!U39</f>
        <v>0</v>
      </c>
      <c r="BY25" s="1284">
        <f>ROUND(+Escalation!AH39,0)</f>
        <v>0</v>
      </c>
      <c r="BZ25" s="1579"/>
      <c r="CA25" s="1469">
        <f>+Escalation!V39</f>
        <v>0</v>
      </c>
      <c r="CB25" s="1284">
        <f>ROUND(+Escalation!AI39,0)</f>
        <v>0</v>
      </c>
      <c r="CC25" s="1579"/>
      <c r="CD25" s="1469">
        <f>+Escalation!W39</f>
        <v>0</v>
      </c>
      <c r="CE25" s="1284">
        <f>ROUND(+Escalation!AJ39,0)</f>
        <v>0</v>
      </c>
      <c r="CF25" s="1579"/>
      <c r="CG25" s="1469">
        <f>+Escalation!X39</f>
        <v>0</v>
      </c>
      <c r="CH25" s="1284">
        <f>ROUND(+Escalation!AK39,0)</f>
        <v>0</v>
      </c>
      <c r="CI25" s="1579"/>
      <c r="CJ25" s="1257">
        <f t="shared" si="56"/>
        <v>17605.108172043012</v>
      </c>
      <c r="CK25" s="1395">
        <f t="shared" si="57"/>
        <v>3556400</v>
      </c>
      <c r="CL25" s="427" t="s">
        <v>3694</v>
      </c>
      <c r="CM25" s="170"/>
      <c r="CN25" s="493"/>
      <c r="CO25" s="428" t="str">
        <f t="shared" si="58"/>
        <v>Outside Construction Vendor</v>
      </c>
      <c r="CP25" s="429" t="s">
        <v>301</v>
      </c>
      <c r="CQ25" s="429"/>
      <c r="CR25" s="443"/>
      <c r="CS25" s="432"/>
      <c r="CT25" s="431">
        <f t="shared" si="59"/>
        <v>0</v>
      </c>
      <c r="CU25" s="443"/>
      <c r="CV25" s="432"/>
      <c r="CW25" s="431">
        <f>+Escalation!AB65</f>
        <v>0</v>
      </c>
      <c r="CX25" s="443"/>
      <c r="CY25" s="432"/>
      <c r="CZ25" s="431">
        <f>+Escalation!AC65</f>
        <v>0</v>
      </c>
      <c r="DA25" s="443"/>
      <c r="DB25" s="432"/>
      <c r="DC25" s="431">
        <f>+Escalation!AD65</f>
        <v>0</v>
      </c>
      <c r="DD25" s="443"/>
      <c r="DE25" s="432"/>
      <c r="DF25" s="431">
        <f>+Escalation!AE65</f>
        <v>266217.88962840044</v>
      </c>
      <c r="DG25" s="443"/>
      <c r="DH25" s="432"/>
      <c r="DI25" s="431">
        <f>+Escalation!AF65</f>
        <v>225479.75267816824</v>
      </c>
      <c r="DJ25" s="443"/>
      <c r="DK25" s="432"/>
      <c r="DL25" s="431">
        <f>+Escalation!AG65</f>
        <v>0</v>
      </c>
      <c r="DM25" s="443"/>
      <c r="DN25" s="432"/>
      <c r="DO25" s="431">
        <f>+Escalation!AH65</f>
        <v>0</v>
      </c>
      <c r="DP25" s="443"/>
      <c r="DQ25" s="432"/>
      <c r="DR25" s="431">
        <f>+Escalation!AI65</f>
        <v>0</v>
      </c>
      <c r="DS25" s="443"/>
      <c r="DT25" s="432"/>
      <c r="DU25" s="431">
        <f>+Escalation!AJ65</f>
        <v>0</v>
      </c>
      <c r="DV25" s="443"/>
      <c r="DW25" s="432"/>
      <c r="DX25" s="431">
        <f>+Escalation!AK65</f>
        <v>0</v>
      </c>
      <c r="DY25" s="443"/>
      <c r="DZ25" s="432">
        <f t="shared" si="60"/>
        <v>0</v>
      </c>
      <c r="EA25" s="444">
        <f t="shared" si="61"/>
        <v>491697.64230656868</v>
      </c>
      <c r="EB25" s="433"/>
      <c r="EC25" s="170"/>
      <c r="ED25" s="170"/>
      <c r="EE25" s="170"/>
      <c r="EF25" s="170"/>
      <c r="EG25" s="170"/>
      <c r="EH25" s="170"/>
      <c r="EI25" s="170"/>
      <c r="EJ25" s="170"/>
      <c r="EK25" s="170"/>
    </row>
    <row r="26" spans="1:141" ht="15" x14ac:dyDescent="0.25">
      <c r="A26" s="168"/>
      <c r="B26" s="424">
        <v>5</v>
      </c>
      <c r="C26" s="424">
        <v>1</v>
      </c>
      <c r="D26" s="424">
        <v>6</v>
      </c>
      <c r="E26" s="425">
        <v>7</v>
      </c>
      <c r="F26" s="493"/>
      <c r="G26" s="1308" t="str">
        <f t="shared" si="52"/>
        <v>Sales tax on Constr. Vendor</v>
      </c>
      <c r="H26" s="1309"/>
      <c r="I26" s="1317">
        <f>+BA26</f>
        <v>0</v>
      </c>
      <c r="J26" s="1685"/>
      <c r="K26" s="1311">
        <f t="shared" si="53"/>
        <v>0</v>
      </c>
      <c r="L26" s="1312">
        <f t="shared" si="53"/>
        <v>0</v>
      </c>
      <c r="M26" s="1685"/>
      <c r="N26" s="1316"/>
      <c r="O26" s="1312">
        <f>+BG26+CW26</f>
        <v>0</v>
      </c>
      <c r="P26" s="1685"/>
      <c r="Q26" s="1316"/>
      <c r="R26" s="1312">
        <f>+BJ26+CZ26</f>
        <v>0</v>
      </c>
      <c r="S26" s="1685"/>
      <c r="T26" s="1316"/>
      <c r="U26" s="1312">
        <f>+BM26+DC26</f>
        <v>0</v>
      </c>
      <c r="V26" s="1685"/>
      <c r="W26" s="1316"/>
      <c r="X26" s="1312">
        <f>+BP26+DF26</f>
        <v>0</v>
      </c>
      <c r="Y26" s="1685"/>
      <c r="Z26" s="1316"/>
      <c r="AA26" s="1312">
        <f>+BS26+DI26</f>
        <v>0</v>
      </c>
      <c r="AB26" s="1685"/>
      <c r="AC26" s="1316"/>
      <c r="AD26" s="1312">
        <f>+BV26+DL26</f>
        <v>0</v>
      </c>
      <c r="AE26" s="1685"/>
      <c r="AF26" s="1316"/>
      <c r="AG26" s="1312">
        <f>+BY26+DO26</f>
        <v>0</v>
      </c>
      <c r="AH26" s="1685"/>
      <c r="AI26" s="1316"/>
      <c r="AJ26" s="1312">
        <f>+CB26+DR26</f>
        <v>0</v>
      </c>
      <c r="AK26" s="1685"/>
      <c r="AL26" s="1316"/>
      <c r="AM26" s="1312">
        <f>+CE26+DU26</f>
        <v>0</v>
      </c>
      <c r="AN26" s="1685"/>
      <c r="AO26" s="1316"/>
      <c r="AP26" s="1312">
        <f>+CH26+DX26</f>
        <v>0</v>
      </c>
      <c r="AQ26" s="1685"/>
      <c r="AR26" s="1316">
        <f t="shared" si="54"/>
        <v>0</v>
      </c>
      <c r="AS26" s="1312">
        <f t="shared" si="55"/>
        <v>0</v>
      </c>
      <c r="AT26" s="1687"/>
      <c r="AU26" s="411"/>
      <c r="AV26" s="1757">
        <f t="shared" si="23"/>
        <v>0</v>
      </c>
      <c r="AW26" s="411"/>
      <c r="AX26" s="493"/>
      <c r="AY26" s="1566" t="s">
        <v>303</v>
      </c>
      <c r="AZ26" s="1567"/>
      <c r="BA26" s="442">
        <f>+'Data Input sheet'!D36</f>
        <v>0</v>
      </c>
      <c r="BB26" s="1579"/>
      <c r="BC26" s="1599">
        <v>0</v>
      </c>
      <c r="BD26" s="1600">
        <v>0</v>
      </c>
      <c r="BE26" s="1579"/>
      <c r="BF26" s="1469"/>
      <c r="BG26" s="1284">
        <f>ROUND(+BG25*$BA$26,0)</f>
        <v>0</v>
      </c>
      <c r="BH26" s="1579"/>
      <c r="BI26" s="1469"/>
      <c r="BJ26" s="1284">
        <f>ROUND(+BJ25*$BA$26,0)</f>
        <v>0</v>
      </c>
      <c r="BK26" s="1666"/>
      <c r="BL26" s="1469"/>
      <c r="BM26" s="1284">
        <f>ROUND(+BM25*$BA$26,0)</f>
        <v>0</v>
      </c>
      <c r="BN26" s="1579"/>
      <c r="BO26" s="1469"/>
      <c r="BP26" s="1284">
        <f>ROUND(+BP25*$BA$26,0)</f>
        <v>0</v>
      </c>
      <c r="BQ26" s="1579"/>
      <c r="BR26" s="1469"/>
      <c r="BS26" s="1284">
        <f>ROUND(+BS25*$BA$26,0)</f>
        <v>0</v>
      </c>
      <c r="BT26" s="1579"/>
      <c r="BU26" s="1469"/>
      <c r="BV26" s="1284">
        <f>ROUND(+BV25*$BA$26,0)</f>
        <v>0</v>
      </c>
      <c r="BW26" s="1579"/>
      <c r="BX26" s="1469"/>
      <c r="BY26" s="1284">
        <f>ROUND(+BY25*$BA$26,0)</f>
        <v>0</v>
      </c>
      <c r="BZ26" s="1579"/>
      <c r="CA26" s="1469"/>
      <c r="CB26" s="1284">
        <f>ROUND(+CB25*$BA$26,0)</f>
        <v>0</v>
      </c>
      <c r="CC26" s="1579"/>
      <c r="CD26" s="1469"/>
      <c r="CE26" s="1284">
        <f>ROUND(+CE25*$BA$26,0)</f>
        <v>0</v>
      </c>
      <c r="CF26" s="1579"/>
      <c r="CG26" s="1469"/>
      <c r="CH26" s="1284">
        <f>ROUND(+CH25*$BA$26,0)</f>
        <v>0</v>
      </c>
      <c r="CI26" s="1579"/>
      <c r="CJ26" s="1257">
        <f t="shared" si="56"/>
        <v>0</v>
      </c>
      <c r="CK26" s="1395">
        <f t="shared" si="57"/>
        <v>0</v>
      </c>
      <c r="CL26" s="427"/>
      <c r="CM26" s="170"/>
      <c r="CN26" s="493"/>
      <c r="CO26" s="428" t="str">
        <f t="shared" si="58"/>
        <v>Sales tax on Constr. Vendor</v>
      </c>
      <c r="CP26" s="429"/>
      <c r="CQ26" s="429"/>
      <c r="CR26" s="443"/>
      <c r="CS26" s="432"/>
      <c r="CT26" s="444">
        <f t="shared" si="59"/>
        <v>0</v>
      </c>
      <c r="CU26" s="1714"/>
      <c r="CV26" s="432"/>
      <c r="CW26" s="434">
        <f>ROUND((+BG26*(1+CW$4)),0)-BG26</f>
        <v>0</v>
      </c>
      <c r="CX26" s="443"/>
      <c r="CY26" s="432"/>
      <c r="CZ26" s="434">
        <f>ROUND((+BJ26*(1+CZ$4)),0)-BJ26</f>
        <v>0</v>
      </c>
      <c r="DA26" s="443"/>
      <c r="DB26" s="432"/>
      <c r="DC26" s="434">
        <f>ROUND((+BM26*(1+DC$4)),0)-BM26</f>
        <v>0</v>
      </c>
      <c r="DD26" s="443"/>
      <c r="DE26" s="432">
        <v>0</v>
      </c>
      <c r="DF26" s="434">
        <f>ROUND((+BP26*(1+DF$4)),0)-BP26</f>
        <v>0</v>
      </c>
      <c r="DG26" s="443"/>
      <c r="DH26" s="432">
        <v>0</v>
      </c>
      <c r="DI26" s="434">
        <f>ROUND((+BS26*(1+DI$4)),0)-BS26</f>
        <v>0</v>
      </c>
      <c r="DJ26" s="443"/>
      <c r="DK26" s="432">
        <v>0</v>
      </c>
      <c r="DL26" s="434">
        <f>ROUND((+BV26*(1+DL$4)),0)-BV26</f>
        <v>0</v>
      </c>
      <c r="DM26" s="443"/>
      <c r="DN26" s="432">
        <v>0</v>
      </c>
      <c r="DO26" s="434">
        <f>ROUND((+BY26*(1+DO$4)),0)-BY26</f>
        <v>0</v>
      </c>
      <c r="DP26" s="443"/>
      <c r="DQ26" s="432">
        <v>0</v>
      </c>
      <c r="DR26" s="434">
        <f>ROUND((+CB26*(1+DR$4)),0)-CB26</f>
        <v>0</v>
      </c>
      <c r="DS26" s="443"/>
      <c r="DT26" s="432">
        <v>0</v>
      </c>
      <c r="DU26" s="434">
        <f>ROUND((+CE26*(1+DU$4)),0)-CE26</f>
        <v>0</v>
      </c>
      <c r="DV26" s="443"/>
      <c r="DW26" s="432">
        <v>0</v>
      </c>
      <c r="DX26" s="434">
        <f>ROUND((+CH26*(1+DX$4)),0)-CH26</f>
        <v>0</v>
      </c>
      <c r="DY26" s="443"/>
      <c r="DZ26" s="432">
        <f t="shared" si="60"/>
        <v>0</v>
      </c>
      <c r="EA26" s="444">
        <f t="shared" si="61"/>
        <v>0</v>
      </c>
      <c r="EB26" s="433"/>
      <c r="EC26" s="170"/>
      <c r="ED26" s="170"/>
      <c r="EE26" s="170"/>
      <c r="EF26" s="170"/>
      <c r="EG26" s="170"/>
      <c r="EH26" s="170"/>
      <c r="EI26" s="170"/>
      <c r="EJ26" s="170"/>
      <c r="EK26" s="170"/>
    </row>
    <row r="27" spans="1:141" ht="15" x14ac:dyDescent="0.25">
      <c r="A27" s="168"/>
      <c r="B27" s="424">
        <v>5</v>
      </c>
      <c r="C27" s="424">
        <v>1</v>
      </c>
      <c r="D27" s="424">
        <v>6</v>
      </c>
      <c r="E27" s="425">
        <v>7</v>
      </c>
      <c r="F27" s="493"/>
      <c r="G27" s="1308" t="str">
        <f t="shared" si="52"/>
        <v>Vehicles ( now in indirects section)</v>
      </c>
      <c r="H27" s="1309" t="s">
        <v>304</v>
      </c>
      <c r="I27" s="1310">
        <f>+BA27</f>
        <v>0</v>
      </c>
      <c r="J27" s="1685"/>
      <c r="K27" s="1311">
        <f t="shared" si="53"/>
        <v>0</v>
      </c>
      <c r="L27" s="1312">
        <f t="shared" si="53"/>
        <v>0</v>
      </c>
      <c r="M27" s="1685"/>
      <c r="N27" s="1316"/>
      <c r="O27" s="1318">
        <f ca="1">ROUND(((SUM(O12:O20))*$I27),0)</f>
        <v>0</v>
      </c>
      <c r="P27" s="1686"/>
      <c r="Q27" s="1316"/>
      <c r="R27" s="1318">
        <f ca="1">ROUND(((SUM(R12:R20))*$I27),0)</f>
        <v>0</v>
      </c>
      <c r="S27" s="1685"/>
      <c r="T27" s="1316"/>
      <c r="U27" s="1318">
        <f ca="1">ROUND(((SUM(U12:U20))*$I27),0)</f>
        <v>0</v>
      </c>
      <c r="V27" s="1685"/>
      <c r="W27" s="1316"/>
      <c r="X27" s="1318">
        <f ca="1">ROUND(((SUM(X12:X20))*$I27),0)</f>
        <v>0</v>
      </c>
      <c r="Y27" s="1685"/>
      <c r="Z27" s="1316"/>
      <c r="AA27" s="1318">
        <f ca="1">ROUND(((SUM(AA12:AA20))*$I27),0)</f>
        <v>0</v>
      </c>
      <c r="AB27" s="1685"/>
      <c r="AC27" s="1316"/>
      <c r="AD27" s="1318">
        <f ca="1">ROUND(((SUM(AD12:AD20))*$I27),0)</f>
        <v>0</v>
      </c>
      <c r="AE27" s="1685"/>
      <c r="AF27" s="1316"/>
      <c r="AG27" s="1318">
        <f ca="1">ROUND(((SUM(AG12:AG20))*$I27),0)</f>
        <v>0</v>
      </c>
      <c r="AH27" s="1685"/>
      <c r="AI27" s="1316"/>
      <c r="AJ27" s="1318">
        <f ca="1">ROUND(((SUM(AJ12:AJ20))*$I27),0)</f>
        <v>0</v>
      </c>
      <c r="AK27" s="1685"/>
      <c r="AL27" s="1316"/>
      <c r="AM27" s="1318">
        <f ca="1">ROUND(((SUM(AM12:AM20))*$I27),0)</f>
        <v>0</v>
      </c>
      <c r="AN27" s="1685"/>
      <c r="AO27" s="1316"/>
      <c r="AP27" s="1318">
        <f ca="1">ROUND(((SUM(AP12:AP20))*$I27),0)</f>
        <v>0</v>
      </c>
      <c r="AQ27" s="1685"/>
      <c r="AR27" s="1316">
        <f t="shared" si="54"/>
        <v>0</v>
      </c>
      <c r="AS27" s="1318">
        <f t="shared" ca="1" si="55"/>
        <v>0</v>
      </c>
      <c r="AT27" s="1687"/>
      <c r="AU27" s="411"/>
      <c r="AV27" s="1757">
        <f t="shared" ca="1" si="23"/>
        <v>0</v>
      </c>
      <c r="AW27" s="411"/>
      <c r="AX27" s="493"/>
      <c r="AY27" s="1566" t="s">
        <v>305</v>
      </c>
      <c r="AZ27" s="1567" t="s">
        <v>304</v>
      </c>
      <c r="BA27" s="446">
        <v>0</v>
      </c>
      <c r="BB27" s="1579"/>
      <c r="BC27" s="1599">
        <v>0</v>
      </c>
      <c r="BD27" s="1600">
        <v>0</v>
      </c>
      <c r="BE27" s="1579"/>
      <c r="BF27" s="1469"/>
      <c r="BG27" s="1395">
        <f ca="1">ROUND(((SUM(BG12:BG20))*$BA27),0)</f>
        <v>0</v>
      </c>
      <c r="BH27" s="1660"/>
      <c r="BI27" s="1469"/>
      <c r="BJ27" s="1395">
        <f ca="1">ROUND(((SUM(BJ12:BJ20))*$BA27),0)</f>
        <v>0</v>
      </c>
      <c r="BK27" s="1666"/>
      <c r="BL27" s="1469"/>
      <c r="BM27" s="1395">
        <f ca="1">ROUND(((SUM(BM12:BM20))*$BA27),0)</f>
        <v>0</v>
      </c>
      <c r="BN27" s="1579"/>
      <c r="BO27" s="1469"/>
      <c r="BP27" s="1395">
        <f ca="1">ROUND(((SUM(BP12:BP20))*$BA27),0)</f>
        <v>0</v>
      </c>
      <c r="BQ27" s="1579"/>
      <c r="BR27" s="1469"/>
      <c r="BS27" s="1395">
        <f ca="1">ROUND(((SUM(BS12:BS20))*$BA27),0)</f>
        <v>0</v>
      </c>
      <c r="BT27" s="1579"/>
      <c r="BU27" s="1469"/>
      <c r="BV27" s="1395">
        <f ca="1">ROUND(((SUM(BV12:BV20))*$BA27),0)</f>
        <v>0</v>
      </c>
      <c r="BW27" s="1579"/>
      <c r="BX27" s="1469"/>
      <c r="BY27" s="1395">
        <f ca="1">ROUND(((SUM(BY12:BY20))*$BA27),0)</f>
        <v>0</v>
      </c>
      <c r="BZ27" s="1579"/>
      <c r="CA27" s="1469"/>
      <c r="CB27" s="1395">
        <f ca="1">ROUND(((SUM(CB12:CB20))*$BA27),0)</f>
        <v>0</v>
      </c>
      <c r="CC27" s="1579"/>
      <c r="CD27" s="1469"/>
      <c r="CE27" s="1395">
        <f ca="1">ROUND(((SUM(CE12:CE20))*$BA27),0)</f>
        <v>0</v>
      </c>
      <c r="CF27" s="1579"/>
      <c r="CG27" s="1469"/>
      <c r="CH27" s="1395">
        <f ca="1">ROUND(((SUM(CH12:CH20))*$BA27),0)</f>
        <v>0</v>
      </c>
      <c r="CI27" s="1579"/>
      <c r="CJ27" s="1257">
        <f t="shared" si="56"/>
        <v>0</v>
      </c>
      <c r="CK27" s="1395">
        <f t="shared" ca="1" si="57"/>
        <v>0</v>
      </c>
      <c r="CL27" s="427"/>
      <c r="CM27" s="170"/>
      <c r="CN27" s="493"/>
      <c r="CO27" s="428" t="str">
        <f t="shared" si="58"/>
        <v>Vehicles ( now in indirects section)</v>
      </c>
      <c r="CP27" s="429" t="s">
        <v>304</v>
      </c>
      <c r="CQ27" s="441"/>
      <c r="CR27" s="443"/>
      <c r="CS27" s="432"/>
      <c r="CT27" s="444">
        <f t="shared" si="59"/>
        <v>0</v>
      </c>
      <c r="CU27" s="1714"/>
      <c r="CV27" s="432"/>
      <c r="CW27" s="434">
        <f ca="1">ROUND((+BG27*(1+CW$4)),0)-BG27</f>
        <v>0</v>
      </c>
      <c r="CX27" s="443"/>
      <c r="CY27" s="432"/>
      <c r="CZ27" s="434">
        <f ca="1">ROUND((+BJ27*(1+CZ$4)),0)-BJ27</f>
        <v>0</v>
      </c>
      <c r="DA27" s="443"/>
      <c r="DB27" s="432"/>
      <c r="DC27" s="434">
        <f ca="1">ROUND((+BM27*(1+DC$4)),0)-BM27</f>
        <v>0</v>
      </c>
      <c r="DD27" s="443"/>
      <c r="DE27" s="432">
        <v>0</v>
      </c>
      <c r="DF27" s="434">
        <f ca="1">ROUND((+BP27*(1+DF$4)),0)-BP27</f>
        <v>0</v>
      </c>
      <c r="DG27" s="443"/>
      <c r="DH27" s="432">
        <v>0</v>
      </c>
      <c r="DI27" s="434">
        <f ca="1">ROUND((+BS27*(1+DI$4)),0)-BS27</f>
        <v>0</v>
      </c>
      <c r="DJ27" s="443"/>
      <c r="DK27" s="432">
        <v>0</v>
      </c>
      <c r="DL27" s="434">
        <f ca="1">ROUND((+BV27*(1+DL$4)),0)-BV27</f>
        <v>0</v>
      </c>
      <c r="DM27" s="443"/>
      <c r="DN27" s="432">
        <v>0</v>
      </c>
      <c r="DO27" s="434">
        <f ca="1">ROUND((+BY27*(1+DO$4)),0)-BY27</f>
        <v>0</v>
      </c>
      <c r="DP27" s="443"/>
      <c r="DQ27" s="432">
        <v>0</v>
      </c>
      <c r="DR27" s="434">
        <f ca="1">ROUND((+CB27*(1+DR$4)),0)-CB27</f>
        <v>0</v>
      </c>
      <c r="DS27" s="443"/>
      <c r="DT27" s="432">
        <v>0</v>
      </c>
      <c r="DU27" s="434">
        <f ca="1">ROUND((+CE27*(1+DU$4)),0)-CE27</f>
        <v>0</v>
      </c>
      <c r="DV27" s="443"/>
      <c r="DW27" s="432">
        <v>0</v>
      </c>
      <c r="DX27" s="434">
        <f ca="1">ROUND((+CH27*(1+DX$4)),0)-CH27</f>
        <v>0</v>
      </c>
      <c r="DY27" s="443"/>
      <c r="DZ27" s="432">
        <f t="shared" si="60"/>
        <v>0</v>
      </c>
      <c r="EA27" s="444">
        <f t="shared" ca="1" si="61"/>
        <v>0</v>
      </c>
      <c r="EB27" s="433"/>
      <c r="EC27" s="170"/>
      <c r="ED27" s="170"/>
      <c r="EE27" s="170"/>
      <c r="EF27" s="170"/>
      <c r="EG27" s="170"/>
      <c r="EH27" s="170"/>
      <c r="EI27" s="170"/>
      <c r="EJ27" s="170"/>
      <c r="EK27" s="170"/>
    </row>
    <row r="28" spans="1:141" ht="15" x14ac:dyDescent="0.25">
      <c r="A28" s="168"/>
      <c r="B28" s="424">
        <v>3</v>
      </c>
      <c r="C28" s="424">
        <v>1</v>
      </c>
      <c r="D28" s="424">
        <v>3</v>
      </c>
      <c r="E28" s="425">
        <v>7</v>
      </c>
      <c r="F28" s="493" t="s">
        <v>605</v>
      </c>
      <c r="G28" s="1308" t="str">
        <f t="shared" ref="G28" si="75">+AY28</f>
        <v>Inspection services ( Outside Vendor)</v>
      </c>
      <c r="H28" s="1309" t="s">
        <v>301</v>
      </c>
      <c r="I28" s="1309"/>
      <c r="J28" s="1685"/>
      <c r="K28" s="1311">
        <f t="shared" ref="K28" si="76">+BC28</f>
        <v>0</v>
      </c>
      <c r="L28" s="1312">
        <f t="shared" ref="L28" si="77">+BD28</f>
        <v>0</v>
      </c>
      <c r="M28" s="1685"/>
      <c r="N28" s="1316">
        <f>+BF28</f>
        <v>0</v>
      </c>
      <c r="O28" s="1312">
        <f>+BG28+CW28</f>
        <v>0</v>
      </c>
      <c r="P28" s="1685"/>
      <c r="Q28" s="1316">
        <f>+BI28</f>
        <v>0</v>
      </c>
      <c r="R28" s="1312">
        <f>+BJ28+CZ28</f>
        <v>0</v>
      </c>
      <c r="S28" s="1685"/>
      <c r="T28" s="1316">
        <f>+BL28</f>
        <v>0</v>
      </c>
      <c r="U28" s="1312">
        <f>+BM28+DC28</f>
        <v>0</v>
      </c>
      <c r="V28" s="1685"/>
      <c r="W28" s="1316">
        <f>+BO28</f>
        <v>0</v>
      </c>
      <c r="X28" s="1312">
        <f>+BP28+DF28</f>
        <v>0</v>
      </c>
      <c r="Y28" s="1685"/>
      <c r="Z28" s="1316">
        <f>+BR28</f>
        <v>0</v>
      </c>
      <c r="AA28" s="1312">
        <f>+BS28+DI28</f>
        <v>0</v>
      </c>
      <c r="AB28" s="1685"/>
      <c r="AC28" s="1316">
        <f>+BU28</f>
        <v>0</v>
      </c>
      <c r="AD28" s="1312">
        <f>+BV28+DL28</f>
        <v>0</v>
      </c>
      <c r="AE28" s="1685"/>
      <c r="AF28" s="1316">
        <f>+BX28</f>
        <v>0</v>
      </c>
      <c r="AG28" s="1312">
        <f>+BY28+DO28</f>
        <v>0</v>
      </c>
      <c r="AH28" s="1685"/>
      <c r="AI28" s="1316">
        <f>+CA28</f>
        <v>0</v>
      </c>
      <c r="AJ28" s="1312">
        <f>+CB28+DR28</f>
        <v>0</v>
      </c>
      <c r="AK28" s="1685"/>
      <c r="AL28" s="1316">
        <f>+CD28</f>
        <v>0</v>
      </c>
      <c r="AM28" s="1312">
        <f>+CE28+DU28</f>
        <v>0</v>
      </c>
      <c r="AN28" s="1685"/>
      <c r="AO28" s="1316">
        <f>+CG28</f>
        <v>0</v>
      </c>
      <c r="AP28" s="1312">
        <f>+CH28+DX28</f>
        <v>0</v>
      </c>
      <c r="AQ28" s="1685"/>
      <c r="AR28" s="1316">
        <f t="shared" si="54"/>
        <v>0</v>
      </c>
      <c r="AS28" s="1312">
        <f t="shared" si="55"/>
        <v>0</v>
      </c>
      <c r="AT28" s="1687"/>
      <c r="AU28" s="411"/>
      <c r="AV28" s="1757">
        <f t="shared" si="23"/>
        <v>0</v>
      </c>
      <c r="AW28" s="411"/>
      <c r="AX28" s="493"/>
      <c r="AY28" s="1568" t="s">
        <v>1892</v>
      </c>
      <c r="AZ28" s="1567" t="s">
        <v>301</v>
      </c>
      <c r="BA28" s="2445">
        <f>+'Data Input sheet'!$D$120</f>
        <v>152</v>
      </c>
      <c r="BB28" s="1631"/>
      <c r="BC28" s="1599">
        <v>0</v>
      </c>
      <c r="BD28" s="1600">
        <v>0</v>
      </c>
      <c r="BE28" s="1579"/>
      <c r="BF28" s="1760">
        <v>0</v>
      </c>
      <c r="BG28" s="426">
        <f>ROUND(+BF28*$BA$28,0)</f>
        <v>0</v>
      </c>
      <c r="BH28" s="1579"/>
      <c r="BI28" s="1760">
        <v>0</v>
      </c>
      <c r="BJ28" s="426">
        <f>ROUND(+BI28*$BA$28,0)</f>
        <v>0</v>
      </c>
      <c r="BK28" s="1666"/>
      <c r="BL28" s="1760">
        <v>0</v>
      </c>
      <c r="BM28" s="426">
        <f>ROUND(+BL28*$BA$28,0)</f>
        <v>0</v>
      </c>
      <c r="BN28" s="1579"/>
      <c r="BO28" s="1760">
        <v>0</v>
      </c>
      <c r="BP28" s="426">
        <f>ROUND(+BO28*$BA$28,0)</f>
        <v>0</v>
      </c>
      <c r="BQ28" s="1579"/>
      <c r="BR28" s="1760">
        <v>0</v>
      </c>
      <c r="BS28" s="426">
        <f>ROUND(+BR28*$BA$28,0)</f>
        <v>0</v>
      </c>
      <c r="BT28" s="1579"/>
      <c r="BU28" s="1760">
        <v>0</v>
      </c>
      <c r="BV28" s="426">
        <f>ROUND(+BU28*$BA$28,0)</f>
        <v>0</v>
      </c>
      <c r="BW28" s="1579"/>
      <c r="BX28" s="1760">
        <v>0</v>
      </c>
      <c r="BY28" s="426">
        <f>ROUND(+BX28*$BA$28,0)</f>
        <v>0</v>
      </c>
      <c r="BZ28" s="1579"/>
      <c r="CA28" s="1760">
        <v>0</v>
      </c>
      <c r="CB28" s="426">
        <f>ROUND(+CA28*$BA$28,0)</f>
        <v>0</v>
      </c>
      <c r="CC28" s="1579"/>
      <c r="CD28" s="1760">
        <v>0</v>
      </c>
      <c r="CE28" s="426">
        <f>ROUND(+CD28*$BA$28,0)</f>
        <v>0</v>
      </c>
      <c r="CF28" s="1579"/>
      <c r="CG28" s="1760">
        <v>0</v>
      </c>
      <c r="CH28" s="426">
        <f>ROUND(+CG28*$BA$28,0)</f>
        <v>0</v>
      </c>
      <c r="CI28" s="1579"/>
      <c r="CJ28" s="1257">
        <f t="shared" si="56"/>
        <v>0</v>
      </c>
      <c r="CK28" s="1395">
        <f t="shared" si="57"/>
        <v>0</v>
      </c>
      <c r="CL28" s="427"/>
      <c r="CM28" s="170"/>
      <c r="CN28" s="493"/>
      <c r="CO28" s="428" t="str">
        <f t="shared" si="58"/>
        <v>Inspection services ( Outside Vendor)</v>
      </c>
      <c r="CP28" s="429" t="s">
        <v>301</v>
      </c>
      <c r="CQ28" s="429"/>
      <c r="CR28" s="443"/>
      <c r="CS28" s="432"/>
      <c r="CT28" s="431">
        <f t="shared" si="59"/>
        <v>0</v>
      </c>
      <c r="CU28" s="443"/>
      <c r="CV28" s="432"/>
      <c r="CW28" s="434">
        <f>ROUND((+BG28*(1+CW$4)),0)-BG28</f>
        <v>0</v>
      </c>
      <c r="CX28" s="443"/>
      <c r="CY28" s="432"/>
      <c r="CZ28" s="434">
        <f>ROUND((+BJ28*(1+CZ$4)),0)-BJ28</f>
        <v>0</v>
      </c>
      <c r="DA28" s="443"/>
      <c r="DB28" s="432"/>
      <c r="DC28" s="434">
        <f>ROUND((+BM28*(1+DC$4)),0)-BM28</f>
        <v>0</v>
      </c>
      <c r="DD28" s="443"/>
      <c r="DE28" s="432">
        <v>0</v>
      </c>
      <c r="DF28" s="434">
        <f>ROUND((+BP28*(1+DF$4)),0)-BP28</f>
        <v>0</v>
      </c>
      <c r="DG28" s="443"/>
      <c r="DH28" s="432">
        <v>0</v>
      </c>
      <c r="DI28" s="434">
        <f>ROUND((+BS28*(1+DI$4)),0)-BS28</f>
        <v>0</v>
      </c>
      <c r="DJ28" s="443"/>
      <c r="DK28" s="432">
        <v>0</v>
      </c>
      <c r="DL28" s="434">
        <f>ROUND((+BV28*(1+DL$4)),0)-BV28</f>
        <v>0</v>
      </c>
      <c r="DM28" s="443"/>
      <c r="DN28" s="432">
        <v>0</v>
      </c>
      <c r="DO28" s="434">
        <f>ROUND((+BY28*(1+DO$4)),0)-BY28</f>
        <v>0</v>
      </c>
      <c r="DP28" s="443"/>
      <c r="DQ28" s="432">
        <v>0</v>
      </c>
      <c r="DR28" s="434">
        <f>ROUND((+CB28*(1+DR$4)),0)-CB28</f>
        <v>0</v>
      </c>
      <c r="DS28" s="443"/>
      <c r="DT28" s="432">
        <v>0</v>
      </c>
      <c r="DU28" s="434">
        <f>ROUND((+CE28*(1+DU$4)),0)-CE28</f>
        <v>0</v>
      </c>
      <c r="DV28" s="443"/>
      <c r="DW28" s="432">
        <v>0</v>
      </c>
      <c r="DX28" s="434">
        <f>ROUND((+CH28*(1+DX$4)),0)-CH28</f>
        <v>0</v>
      </c>
      <c r="DY28" s="443"/>
      <c r="DZ28" s="432">
        <f t="shared" si="60"/>
        <v>0</v>
      </c>
      <c r="EA28" s="444">
        <f t="shared" si="61"/>
        <v>0</v>
      </c>
      <c r="EB28" s="433"/>
      <c r="EC28" s="170"/>
      <c r="ED28" s="170"/>
      <c r="EE28" s="170"/>
      <c r="EF28" s="170"/>
      <c r="EG28" s="170"/>
      <c r="EH28" s="170"/>
      <c r="EI28" s="170"/>
      <c r="EJ28" s="170"/>
      <c r="EK28" s="170"/>
    </row>
    <row r="29" spans="1:141" ht="15" x14ac:dyDescent="0.25">
      <c r="A29" s="168"/>
      <c r="B29" s="424">
        <v>3</v>
      </c>
      <c r="C29" s="424">
        <v>1</v>
      </c>
      <c r="D29" s="424">
        <v>3</v>
      </c>
      <c r="E29" s="425">
        <v>7</v>
      </c>
      <c r="F29" s="493" t="s">
        <v>605</v>
      </c>
      <c r="G29" s="1308" t="str">
        <f t="shared" si="52"/>
        <v>Construction Rep (Outside vendor)</v>
      </c>
      <c r="H29" s="1309" t="s">
        <v>301</v>
      </c>
      <c r="I29" s="1309"/>
      <c r="J29" s="1685"/>
      <c r="K29" s="1311">
        <f t="shared" si="53"/>
        <v>0</v>
      </c>
      <c r="L29" s="1312">
        <f t="shared" si="53"/>
        <v>0</v>
      </c>
      <c r="M29" s="1685"/>
      <c r="N29" s="1316">
        <f>+BF29</f>
        <v>0</v>
      </c>
      <c r="O29" s="1312">
        <f>+BG29+CW29</f>
        <v>0</v>
      </c>
      <c r="P29" s="1685"/>
      <c r="Q29" s="1316">
        <f>+BI29</f>
        <v>0</v>
      </c>
      <c r="R29" s="1312">
        <f>+BJ29+CZ29</f>
        <v>0</v>
      </c>
      <c r="S29" s="1685"/>
      <c r="T29" s="1316">
        <f>+BL29</f>
        <v>0</v>
      </c>
      <c r="U29" s="1312">
        <f>+BM29+DC29</f>
        <v>0</v>
      </c>
      <c r="V29" s="1685"/>
      <c r="W29" s="1316">
        <f>+BO29</f>
        <v>2062</v>
      </c>
      <c r="X29" s="1312">
        <f>+BP29+DF29</f>
        <v>352527</v>
      </c>
      <c r="Y29" s="1685"/>
      <c r="Z29" s="1316">
        <f>+BR29</f>
        <v>700</v>
      </c>
      <c r="AA29" s="1312">
        <f>+BS29+DI29</f>
        <v>123265</v>
      </c>
      <c r="AB29" s="1685"/>
      <c r="AC29" s="1316">
        <f>+BU29</f>
        <v>0</v>
      </c>
      <c r="AD29" s="1312">
        <f>+BV29+DL29</f>
        <v>0</v>
      </c>
      <c r="AE29" s="1685"/>
      <c r="AF29" s="1316">
        <f>+BX29</f>
        <v>0</v>
      </c>
      <c r="AG29" s="1312">
        <f>+BY29+DO29</f>
        <v>0</v>
      </c>
      <c r="AH29" s="1685"/>
      <c r="AI29" s="1316">
        <f>+CA29</f>
        <v>0</v>
      </c>
      <c r="AJ29" s="1312">
        <f>+CB29+DR29</f>
        <v>0</v>
      </c>
      <c r="AK29" s="1685"/>
      <c r="AL29" s="1316">
        <f>+CD29</f>
        <v>0</v>
      </c>
      <c r="AM29" s="1312">
        <f>+CE29+DU29</f>
        <v>0</v>
      </c>
      <c r="AN29" s="1685"/>
      <c r="AO29" s="1316">
        <f>+CG29</f>
        <v>0</v>
      </c>
      <c r="AP29" s="1312">
        <f>+CH29+DX29</f>
        <v>0</v>
      </c>
      <c r="AQ29" s="1685"/>
      <c r="AR29" s="1316">
        <f t="shared" si="54"/>
        <v>2762</v>
      </c>
      <c r="AS29" s="1312">
        <f t="shared" si="55"/>
        <v>475792</v>
      </c>
      <c r="AT29" s="1687"/>
      <c r="AU29" s="411"/>
      <c r="AV29" s="1757">
        <f t="shared" si="23"/>
        <v>475792</v>
      </c>
      <c r="AW29" s="411"/>
      <c r="AX29" s="493"/>
      <c r="AY29" s="1568" t="s">
        <v>1780</v>
      </c>
      <c r="AZ29" s="1567" t="s">
        <v>301</v>
      </c>
      <c r="BA29" s="2445">
        <f>+'Data Input sheet'!$D$120</f>
        <v>152</v>
      </c>
      <c r="BB29" s="1631"/>
      <c r="BC29" s="1599">
        <v>0</v>
      </c>
      <c r="BD29" s="1600">
        <v>0</v>
      </c>
      <c r="BE29" s="1579"/>
      <c r="BF29" s="1760">
        <v>0</v>
      </c>
      <c r="BG29" s="426">
        <f>ROUND(+BF29*$BA$29,0)</f>
        <v>0</v>
      </c>
      <c r="BH29" s="1579"/>
      <c r="BI29" s="1760">
        <v>0</v>
      </c>
      <c r="BJ29" s="426">
        <f>ROUND(+BI29*$BA$29,0)</f>
        <v>0</v>
      </c>
      <c r="BK29" s="1666"/>
      <c r="BL29" s="1760">
        <v>0</v>
      </c>
      <c r="BM29" s="426">
        <f>ROUND(+BL29*$BA$29,0)</f>
        <v>0</v>
      </c>
      <c r="BN29" s="1579"/>
      <c r="BO29" s="1760">
        <v>2062</v>
      </c>
      <c r="BP29" s="426">
        <f>ROUND(+BO29*$BA$29,0)</f>
        <v>313424</v>
      </c>
      <c r="BQ29" s="1579"/>
      <c r="BR29" s="1760">
        <v>700</v>
      </c>
      <c r="BS29" s="426">
        <f>ROUND(+BR29*$BA$29,0)</f>
        <v>106400</v>
      </c>
      <c r="BT29" s="1579"/>
      <c r="BU29" s="1760">
        <v>0</v>
      </c>
      <c r="BV29" s="426">
        <f>ROUND(+BU29*$BA$29,0)</f>
        <v>0</v>
      </c>
      <c r="BW29" s="1579"/>
      <c r="BX29" s="1760">
        <v>0</v>
      </c>
      <c r="BY29" s="426">
        <f>ROUND(+BX29*$BA$29,0)</f>
        <v>0</v>
      </c>
      <c r="BZ29" s="1579"/>
      <c r="CA29" s="1760">
        <v>0</v>
      </c>
      <c r="CB29" s="426">
        <f>ROUND(+CA29*$BA$29,0)</f>
        <v>0</v>
      </c>
      <c r="CC29" s="1579"/>
      <c r="CD29" s="1760">
        <v>0</v>
      </c>
      <c r="CE29" s="426">
        <f>ROUND(+CD29*$BA$29,0)</f>
        <v>0</v>
      </c>
      <c r="CF29" s="1579"/>
      <c r="CG29" s="1760">
        <v>0</v>
      </c>
      <c r="CH29" s="426">
        <f>ROUND(+CG29*$BA$29,0)</f>
        <v>0</v>
      </c>
      <c r="CI29" s="1579"/>
      <c r="CJ29" s="1257">
        <f t="shared" si="56"/>
        <v>2762</v>
      </c>
      <c r="CK29" s="1395">
        <f t="shared" si="57"/>
        <v>419824</v>
      </c>
      <c r="CL29" s="427" t="s">
        <v>3719</v>
      </c>
      <c r="CM29" s="170"/>
      <c r="CN29" s="493"/>
      <c r="CO29" s="428" t="str">
        <f t="shared" si="58"/>
        <v>Construction Rep (Outside vendor)</v>
      </c>
      <c r="CP29" s="429" t="s">
        <v>301</v>
      </c>
      <c r="CQ29" s="429"/>
      <c r="CR29" s="443"/>
      <c r="CS29" s="432"/>
      <c r="CT29" s="431">
        <f t="shared" si="59"/>
        <v>0</v>
      </c>
      <c r="CU29" s="443"/>
      <c r="CV29" s="432"/>
      <c r="CW29" s="434">
        <f>ROUND((+BG29*(1+CW$4)),0)-BG29</f>
        <v>0</v>
      </c>
      <c r="CX29" s="443"/>
      <c r="CY29" s="432"/>
      <c r="CZ29" s="434">
        <f>ROUND((+BJ29*(1+CZ$4)),0)-BJ29</f>
        <v>0</v>
      </c>
      <c r="DA29" s="443"/>
      <c r="DB29" s="432"/>
      <c r="DC29" s="434">
        <f>ROUND((+BM29*(1+DC$4)),0)-BM29</f>
        <v>0</v>
      </c>
      <c r="DD29" s="443"/>
      <c r="DE29" s="432">
        <v>0</v>
      </c>
      <c r="DF29" s="434">
        <f>ROUND((+BP29*(1+DF$4)),0)-BP29</f>
        <v>39103</v>
      </c>
      <c r="DG29" s="443"/>
      <c r="DH29" s="432">
        <v>0</v>
      </c>
      <c r="DI29" s="434">
        <f>ROUND((+BS29*(1+DI$4)),0)-BS29</f>
        <v>16865</v>
      </c>
      <c r="DJ29" s="443"/>
      <c r="DK29" s="432">
        <v>0</v>
      </c>
      <c r="DL29" s="434">
        <f>ROUND((+BV29*(1+DL$4)),0)-BV29</f>
        <v>0</v>
      </c>
      <c r="DM29" s="443"/>
      <c r="DN29" s="432">
        <v>0</v>
      </c>
      <c r="DO29" s="434">
        <f>ROUND((+BY29*(1+DO$4)),0)-BY29</f>
        <v>0</v>
      </c>
      <c r="DP29" s="443"/>
      <c r="DQ29" s="432">
        <v>0</v>
      </c>
      <c r="DR29" s="434">
        <f>ROUND((+CB29*(1+DR$4)),0)-CB29</f>
        <v>0</v>
      </c>
      <c r="DS29" s="443"/>
      <c r="DT29" s="432">
        <v>0</v>
      </c>
      <c r="DU29" s="434">
        <f>ROUND((+CE29*(1+DU$4)),0)-CE29</f>
        <v>0</v>
      </c>
      <c r="DV29" s="443"/>
      <c r="DW29" s="432">
        <v>0</v>
      </c>
      <c r="DX29" s="434">
        <f>ROUND((+CH29*(1+DX$4)),0)-CH29</f>
        <v>0</v>
      </c>
      <c r="DY29" s="443"/>
      <c r="DZ29" s="432">
        <f t="shared" si="60"/>
        <v>0</v>
      </c>
      <c r="EA29" s="444">
        <f t="shared" si="61"/>
        <v>55968</v>
      </c>
      <c r="EB29" s="433"/>
      <c r="EC29" s="170"/>
      <c r="ED29" s="170"/>
      <c r="EE29" s="170"/>
      <c r="EF29" s="170"/>
      <c r="EG29" s="170"/>
      <c r="EH29" s="170"/>
      <c r="EI29" s="170"/>
      <c r="EJ29" s="170"/>
      <c r="EK29" s="170"/>
    </row>
    <row r="30" spans="1:141" ht="15.75" thickBot="1" x14ac:dyDescent="0.3">
      <c r="A30" s="168"/>
      <c r="B30" s="424">
        <v>5</v>
      </c>
      <c r="C30" s="424">
        <v>1</v>
      </c>
      <c r="D30" s="424">
        <v>6</v>
      </c>
      <c r="E30" s="425">
        <v>7</v>
      </c>
      <c r="F30" s="493"/>
      <c r="G30" s="1308" t="str">
        <f t="shared" si="52"/>
        <v>Rents and Leases</v>
      </c>
      <c r="H30" s="1309" t="s">
        <v>306</v>
      </c>
      <c r="I30" s="1319"/>
      <c r="J30" s="1687"/>
      <c r="K30" s="1311">
        <f t="shared" si="53"/>
        <v>0</v>
      </c>
      <c r="L30" s="1312">
        <f t="shared" si="53"/>
        <v>0</v>
      </c>
      <c r="M30" s="1687"/>
      <c r="N30" s="1304"/>
      <c r="O30" s="1320">
        <f>+BG30+CW30</f>
        <v>0</v>
      </c>
      <c r="P30" s="1687"/>
      <c r="Q30" s="1304"/>
      <c r="R30" s="1320">
        <f>+BJ30+CZ30</f>
        <v>0</v>
      </c>
      <c r="S30" s="1687"/>
      <c r="T30" s="1304"/>
      <c r="U30" s="1320">
        <f>+BM30+DC30</f>
        <v>0</v>
      </c>
      <c r="V30" s="1687"/>
      <c r="W30" s="1304"/>
      <c r="X30" s="1320">
        <f>+BP30+DF30</f>
        <v>0</v>
      </c>
      <c r="Y30" s="1687"/>
      <c r="Z30" s="1304"/>
      <c r="AA30" s="1320">
        <f>+BS30+DI30</f>
        <v>0</v>
      </c>
      <c r="AB30" s="1687"/>
      <c r="AC30" s="1304"/>
      <c r="AD30" s="1320">
        <f>+BV30+DL30</f>
        <v>0</v>
      </c>
      <c r="AE30" s="1687"/>
      <c r="AF30" s="1304"/>
      <c r="AG30" s="1320">
        <f>+BY30+DO30</f>
        <v>0</v>
      </c>
      <c r="AH30" s="1687"/>
      <c r="AI30" s="1304"/>
      <c r="AJ30" s="1320">
        <f>+CB30+DR30</f>
        <v>0</v>
      </c>
      <c r="AK30" s="1687"/>
      <c r="AL30" s="1304"/>
      <c r="AM30" s="1320">
        <f>+CE30+DU30</f>
        <v>0</v>
      </c>
      <c r="AN30" s="1687"/>
      <c r="AO30" s="1304"/>
      <c r="AP30" s="1320">
        <f>+CH30+DX30</f>
        <v>0</v>
      </c>
      <c r="AQ30" s="1687"/>
      <c r="AR30" s="1304">
        <f t="shared" si="54"/>
        <v>0</v>
      </c>
      <c r="AS30" s="1320">
        <f t="shared" si="55"/>
        <v>0</v>
      </c>
      <c r="AT30" s="1687"/>
      <c r="AU30" s="411"/>
      <c r="AV30" s="1757">
        <f t="shared" si="23"/>
        <v>0</v>
      </c>
      <c r="AW30" s="411"/>
      <c r="AX30" s="493"/>
      <c r="AY30" s="1566" t="s">
        <v>307</v>
      </c>
      <c r="AZ30" s="1567" t="s">
        <v>306</v>
      </c>
      <c r="BA30" s="449"/>
      <c r="BB30" s="1632"/>
      <c r="BC30" s="1599">
        <v>0</v>
      </c>
      <c r="BD30" s="1600">
        <v>0</v>
      </c>
      <c r="BE30" s="1632"/>
      <c r="BF30" s="1645"/>
      <c r="BG30" s="1604">
        <v>0</v>
      </c>
      <c r="BH30" s="1632"/>
      <c r="BI30" s="1645"/>
      <c r="BJ30" s="1604">
        <v>0</v>
      </c>
      <c r="BK30" s="1667"/>
      <c r="BL30" s="1645"/>
      <c r="BM30" s="1604">
        <v>0</v>
      </c>
      <c r="BN30" s="1632"/>
      <c r="BO30" s="1645"/>
      <c r="BP30" s="1604">
        <v>0</v>
      </c>
      <c r="BQ30" s="1632"/>
      <c r="BR30" s="1645"/>
      <c r="BS30" s="1604">
        <v>0</v>
      </c>
      <c r="BT30" s="1632"/>
      <c r="BU30" s="1645"/>
      <c r="BV30" s="1604">
        <v>0</v>
      </c>
      <c r="BW30" s="1632"/>
      <c r="BX30" s="1645"/>
      <c r="BY30" s="1604">
        <v>0</v>
      </c>
      <c r="BZ30" s="1632"/>
      <c r="CA30" s="1645"/>
      <c r="CB30" s="1604">
        <v>0</v>
      </c>
      <c r="CC30" s="1632"/>
      <c r="CD30" s="1645"/>
      <c r="CE30" s="1604">
        <v>0</v>
      </c>
      <c r="CF30" s="1632"/>
      <c r="CG30" s="1645"/>
      <c r="CH30" s="1604">
        <v>0</v>
      </c>
      <c r="CI30" s="1632"/>
      <c r="CJ30" s="1654">
        <f t="shared" si="56"/>
        <v>0</v>
      </c>
      <c r="CK30" s="2367">
        <f t="shared" si="57"/>
        <v>0</v>
      </c>
      <c r="CL30" s="450"/>
      <c r="CM30" s="170"/>
      <c r="CN30" s="493"/>
      <c r="CO30" s="428" t="str">
        <f t="shared" si="58"/>
        <v>Rents and Leases</v>
      </c>
      <c r="CP30" s="429" t="s">
        <v>306</v>
      </c>
      <c r="CQ30" s="451"/>
      <c r="CR30" s="1703"/>
      <c r="CS30" s="421"/>
      <c r="CT30" s="452">
        <f t="shared" si="59"/>
        <v>0</v>
      </c>
      <c r="CU30" s="1703"/>
      <c r="CV30" s="421"/>
      <c r="CW30" s="453">
        <f>ROUND((+BG30*(1+CW$4)),0)-BG30</f>
        <v>0</v>
      </c>
      <c r="CX30" s="443"/>
      <c r="CY30" s="454"/>
      <c r="CZ30" s="453">
        <f>ROUND((+BJ30*(1+CZ$4)),0)-BJ30</f>
        <v>0</v>
      </c>
      <c r="DA30" s="443"/>
      <c r="DB30" s="454"/>
      <c r="DC30" s="453">
        <f>ROUND((+BM30*(1+DC$4)),0)-BM30</f>
        <v>0</v>
      </c>
      <c r="DD30" s="443"/>
      <c r="DE30" s="454">
        <v>0</v>
      </c>
      <c r="DF30" s="453">
        <f>ROUND((+BP30*(1+DF$4)),0)-BP30</f>
        <v>0</v>
      </c>
      <c r="DG30" s="443"/>
      <c r="DH30" s="454">
        <v>0</v>
      </c>
      <c r="DI30" s="453">
        <f>ROUND((+BS30*(1+DI$4)),0)-BS30</f>
        <v>0</v>
      </c>
      <c r="DJ30" s="443"/>
      <c r="DK30" s="421">
        <v>0</v>
      </c>
      <c r="DL30" s="455">
        <f>ROUND((+BV30*(1+DL$4)),0)-BV30</f>
        <v>0</v>
      </c>
      <c r="DM30" s="443"/>
      <c r="DN30" s="421">
        <v>0</v>
      </c>
      <c r="DO30" s="455">
        <f>ROUND((+BY30*(1+DO$4)),0)-BY30</f>
        <v>0</v>
      </c>
      <c r="DP30" s="443"/>
      <c r="DQ30" s="421">
        <v>0</v>
      </c>
      <c r="DR30" s="455">
        <f>ROUND((+CB30*(1+DR$4)),0)-CB30</f>
        <v>0</v>
      </c>
      <c r="DS30" s="443"/>
      <c r="DT30" s="421">
        <v>0</v>
      </c>
      <c r="DU30" s="455">
        <f>ROUND((+CE30*(1+DU$4)),0)-CE30</f>
        <v>0</v>
      </c>
      <c r="DV30" s="443"/>
      <c r="DW30" s="421">
        <v>0</v>
      </c>
      <c r="DX30" s="455">
        <f>ROUND((+CH30*(1+DX$4)),0)-CH30</f>
        <v>0</v>
      </c>
      <c r="DY30" s="1703"/>
      <c r="DZ30" s="421">
        <f t="shared" si="60"/>
        <v>0</v>
      </c>
      <c r="EA30" s="508">
        <f t="shared" si="61"/>
        <v>0</v>
      </c>
      <c r="EB30" s="433"/>
      <c r="EC30" s="170"/>
      <c r="ED30" s="170"/>
      <c r="EE30" s="170"/>
      <c r="EF30" s="170"/>
      <c r="EG30" s="170"/>
      <c r="EH30" s="170"/>
      <c r="EI30" s="170"/>
      <c r="EJ30" s="170"/>
      <c r="EK30" s="170"/>
    </row>
    <row r="31" spans="1:141" ht="15" x14ac:dyDescent="0.25">
      <c r="A31" s="168"/>
      <c r="B31" s="436"/>
      <c r="C31" s="436"/>
      <c r="D31" s="436"/>
      <c r="E31" s="437"/>
      <c r="F31" s="493"/>
      <c r="G31" s="1321" t="s">
        <v>308</v>
      </c>
      <c r="H31" s="1309"/>
      <c r="I31" s="1309"/>
      <c r="J31" s="1685"/>
      <c r="K31" s="1316"/>
      <c r="L31" s="1312">
        <f>SUM(L12:L30)-L21</f>
        <v>10963.25</v>
      </c>
      <c r="M31" s="1685"/>
      <c r="N31" s="1316"/>
      <c r="O31" s="1312">
        <f ca="1">SUM(O12:O30)-O21</f>
        <v>0</v>
      </c>
      <c r="P31" s="1685"/>
      <c r="Q31" s="1316"/>
      <c r="R31" s="1312">
        <f ca="1">SUM(R12:R30)-R21</f>
        <v>0</v>
      </c>
      <c r="S31" s="1685"/>
      <c r="T31" s="1316"/>
      <c r="U31" s="1312">
        <f ca="1">SUM(U12:U30)-U21</f>
        <v>0</v>
      </c>
      <c r="V31" s="1685"/>
      <c r="W31" s="1316"/>
      <c r="X31" s="1312">
        <f ca="1">SUM(X12:X30)-X21</f>
        <v>2770498.8896284006</v>
      </c>
      <c r="Y31" s="1685"/>
      <c r="Z31" s="1316"/>
      <c r="AA31" s="1312">
        <f ca="1">SUM(AA12:AA30)-AA21</f>
        <v>1788703.7526781682</v>
      </c>
      <c r="AB31" s="1685"/>
      <c r="AC31" s="1316"/>
      <c r="AD31" s="1312">
        <f ca="1">SUM(AD12:AD30)-AD21</f>
        <v>0</v>
      </c>
      <c r="AE31" s="1685"/>
      <c r="AF31" s="1316"/>
      <c r="AG31" s="1312">
        <f ca="1">SUM(AG12:AG30)-AG21</f>
        <v>0</v>
      </c>
      <c r="AH31" s="1685"/>
      <c r="AI31" s="1316"/>
      <c r="AJ31" s="1312">
        <f ca="1">SUM(AJ12:AJ30)-AJ21</f>
        <v>0</v>
      </c>
      <c r="AK31" s="1685"/>
      <c r="AL31" s="1316"/>
      <c r="AM31" s="1312">
        <f ca="1">SUM(AM12:AM30)-AM21</f>
        <v>0</v>
      </c>
      <c r="AN31" s="1685"/>
      <c r="AO31" s="1316"/>
      <c r="AP31" s="1312">
        <f ca="1">SUM(AP12:AP30)-AP21</f>
        <v>0</v>
      </c>
      <c r="AQ31" s="1685"/>
      <c r="AR31" s="1316"/>
      <c r="AS31" s="1312">
        <f ca="1">SUM(AS12:AS30)-AS21</f>
        <v>4570165.892306569</v>
      </c>
      <c r="AT31" s="1687"/>
      <c r="AU31" s="411"/>
      <c r="AV31" s="1757">
        <f t="shared" ca="1" si="23"/>
        <v>4570165.892306569</v>
      </c>
      <c r="AW31" s="411"/>
      <c r="AX31" s="493"/>
      <c r="AY31" s="517" t="s">
        <v>308</v>
      </c>
      <c r="AZ31" s="447"/>
      <c r="BA31" s="447"/>
      <c r="BB31" s="1579"/>
      <c r="BC31" s="1257"/>
      <c r="BD31" s="1284">
        <f>SUM(BD12:BD30)-BD21</f>
        <v>10963.25</v>
      </c>
      <c r="BE31" s="1579"/>
      <c r="BF31" s="1469"/>
      <c r="BG31" s="1284">
        <f ca="1">SUM(BG21:BG30)</f>
        <v>0</v>
      </c>
      <c r="BH31" s="1579"/>
      <c r="BI31" s="1469"/>
      <c r="BJ31" s="1284">
        <f ca="1">SUM(BJ12:BJ30)-BJ21</f>
        <v>0</v>
      </c>
      <c r="BK31" s="1579"/>
      <c r="BL31" s="1469"/>
      <c r="BM31" s="1284">
        <f ca="1">SUM(BM12:BM30)-BM21</f>
        <v>0</v>
      </c>
      <c r="BN31" s="1579"/>
      <c r="BO31" s="1469"/>
      <c r="BP31" s="1284">
        <f ca="1">SUM(BP12:BP30)-BP21</f>
        <v>2463191</v>
      </c>
      <c r="BQ31" s="1579"/>
      <c r="BR31" s="1469"/>
      <c r="BS31" s="1284">
        <f ca="1">SUM(BS12:BS30)-BS21</f>
        <v>1543978</v>
      </c>
      <c r="BT31" s="1579"/>
      <c r="BU31" s="1469"/>
      <c r="BV31" s="1284">
        <f ca="1">SUM(BV12:BV30)-BV21</f>
        <v>0</v>
      </c>
      <c r="BW31" s="1579"/>
      <c r="BX31" s="1469"/>
      <c r="BY31" s="1284">
        <f ca="1">SUM(BY12:BY30)-BY21</f>
        <v>0</v>
      </c>
      <c r="BZ31" s="1579"/>
      <c r="CA31" s="1469"/>
      <c r="CB31" s="1284">
        <f ca="1">SUM(CB12:CB30)-CB21</f>
        <v>0</v>
      </c>
      <c r="CC31" s="1579"/>
      <c r="CD31" s="1469"/>
      <c r="CE31" s="1284">
        <f ca="1">SUM(CE12:CE30)-CE21</f>
        <v>0</v>
      </c>
      <c r="CF31" s="1579"/>
      <c r="CG31" s="1469"/>
      <c r="CH31" s="1284">
        <f ca="1">SUM(CH12:CH30)-CH21</f>
        <v>0</v>
      </c>
      <c r="CI31" s="1579"/>
      <c r="CJ31" s="1469"/>
      <c r="CK31" s="1284">
        <f ca="1">SUM(CK12:CK30)-CK21</f>
        <v>4018132.25</v>
      </c>
      <c r="CL31" s="1729"/>
      <c r="CM31" s="170"/>
      <c r="CN31" s="493"/>
      <c r="CO31" s="456" t="s">
        <v>308</v>
      </c>
      <c r="CP31" s="429"/>
      <c r="CQ31" s="429"/>
      <c r="CR31" s="443"/>
      <c r="CS31" s="432"/>
      <c r="CT31" s="431">
        <f>SUM(CT12:CT30)-CT21</f>
        <v>0</v>
      </c>
      <c r="CU31" s="443"/>
      <c r="CV31" s="432"/>
      <c r="CW31" s="431">
        <f ca="1">SUM(CW12:CW30)-CW21</f>
        <v>0</v>
      </c>
      <c r="CX31" s="443"/>
      <c r="CY31" s="432"/>
      <c r="CZ31" s="431">
        <f ca="1">SUM(CZ12:CZ30)-CZ21</f>
        <v>0</v>
      </c>
      <c r="DA31" s="443"/>
      <c r="DB31" s="432"/>
      <c r="DC31" s="431">
        <f ca="1">SUM(DC12:DC30)-DC21</f>
        <v>0</v>
      </c>
      <c r="DD31" s="443"/>
      <c r="DE31" s="432"/>
      <c r="DF31" s="431">
        <f ca="1">SUM(DF12:DF30)-DF21</f>
        <v>307307.88962840044</v>
      </c>
      <c r="DG31" s="443"/>
      <c r="DH31" s="432"/>
      <c r="DI31" s="431">
        <f ca="1">SUM(DI12:DI30)-DI21</f>
        <v>244725.75267816824</v>
      </c>
      <c r="DJ31" s="443"/>
      <c r="DK31" s="432"/>
      <c r="DL31" s="431">
        <f ca="1">SUM(DL12:DL30)-DL21</f>
        <v>0</v>
      </c>
      <c r="DM31" s="443"/>
      <c r="DN31" s="432"/>
      <c r="DO31" s="431">
        <f ca="1">SUM(DO12:DO30)-DO21</f>
        <v>0</v>
      </c>
      <c r="DP31" s="443"/>
      <c r="DQ31" s="432"/>
      <c r="DR31" s="431">
        <f ca="1">SUM(DR12:DR30)-DR21</f>
        <v>0</v>
      </c>
      <c r="DS31" s="443"/>
      <c r="DT31" s="432"/>
      <c r="DU31" s="431">
        <f ca="1">SUM(DU12:DU30)-DU21</f>
        <v>0</v>
      </c>
      <c r="DV31" s="443"/>
      <c r="DW31" s="432"/>
      <c r="DX31" s="431">
        <f ca="1">SUM(DX12:DX30)-DX21</f>
        <v>0</v>
      </c>
      <c r="DY31" s="443"/>
      <c r="DZ31" s="432"/>
      <c r="EA31" s="444">
        <f ca="1">SUM(EA12:EA30)-EA21</f>
        <v>552033.64230656868</v>
      </c>
      <c r="EB31" s="433"/>
      <c r="EC31" s="170"/>
      <c r="ED31" s="170"/>
      <c r="EE31" s="170"/>
      <c r="EF31" s="170"/>
      <c r="EG31" s="170"/>
      <c r="EH31" s="170"/>
      <c r="EI31" s="170"/>
      <c r="EJ31" s="170"/>
      <c r="EK31" s="170"/>
    </row>
    <row r="32" spans="1:141" ht="15" customHeight="1" x14ac:dyDescent="0.25">
      <c r="A32" s="168"/>
      <c r="B32" s="424"/>
      <c r="C32" s="424">
        <v>9</v>
      </c>
      <c r="D32" s="424"/>
      <c r="E32" s="425">
        <v>99</v>
      </c>
      <c r="F32" s="493"/>
      <c r="G32" s="1308" t="str">
        <f>+AY32</f>
        <v>Escalation</v>
      </c>
      <c r="H32" s="1322"/>
      <c r="I32" s="1322"/>
      <c r="J32" s="1687"/>
      <c r="K32" s="1311">
        <f>+BC32</f>
        <v>0</v>
      </c>
      <c r="L32" s="1312">
        <f>+BD32</f>
        <v>0</v>
      </c>
      <c r="M32" s="1687"/>
      <c r="N32" s="1323"/>
      <c r="O32" s="1324">
        <v>0</v>
      </c>
      <c r="P32" s="1687"/>
      <c r="Q32" s="1323"/>
      <c r="R32" s="1324">
        <v>0</v>
      </c>
      <c r="S32" s="1687"/>
      <c r="T32" s="1323"/>
      <c r="U32" s="1324">
        <v>0</v>
      </c>
      <c r="V32" s="1687"/>
      <c r="W32" s="1323"/>
      <c r="X32" s="1324">
        <v>0</v>
      </c>
      <c r="Y32" s="1687"/>
      <c r="Z32" s="1323"/>
      <c r="AA32" s="1324">
        <v>0</v>
      </c>
      <c r="AB32" s="1687"/>
      <c r="AC32" s="1323"/>
      <c r="AD32" s="1324">
        <v>0</v>
      </c>
      <c r="AE32" s="1687"/>
      <c r="AF32" s="1323"/>
      <c r="AG32" s="1324">
        <v>0</v>
      </c>
      <c r="AH32" s="1687"/>
      <c r="AI32" s="1323"/>
      <c r="AJ32" s="1324">
        <v>0</v>
      </c>
      <c r="AK32" s="1687"/>
      <c r="AL32" s="1323"/>
      <c r="AM32" s="1324">
        <v>0</v>
      </c>
      <c r="AN32" s="1687"/>
      <c r="AO32" s="1323"/>
      <c r="AP32" s="1324">
        <v>0</v>
      </c>
      <c r="AQ32" s="1687"/>
      <c r="AR32" s="1323">
        <f t="shared" ref="AR32:AR33" si="78">+Z32+W32+T32+Q32+N32+K32+AC32+AF32+AI32+AL32+AO32</f>
        <v>0</v>
      </c>
      <c r="AS32" s="1324">
        <f t="shared" ref="AS32:AS33" si="79">+AA32+X32+U32+R32+O32+L32+AD32+AG32+AJ32+AM32+AP32</f>
        <v>0</v>
      </c>
      <c r="AT32" s="1687"/>
      <c r="AU32" s="411"/>
      <c r="AV32" s="1757">
        <f t="shared" si="23"/>
        <v>0</v>
      </c>
      <c r="AW32" s="411"/>
      <c r="AX32" s="493"/>
      <c r="AY32" s="1561" t="s">
        <v>99</v>
      </c>
      <c r="AZ32" s="1569"/>
      <c r="BA32" s="1569"/>
      <c r="BB32" s="1632"/>
      <c r="BC32" s="1599">
        <v>0</v>
      </c>
      <c r="BD32" s="1600">
        <v>0</v>
      </c>
      <c r="BE32" s="1632"/>
      <c r="BF32" s="1564"/>
      <c r="BG32" s="1597"/>
      <c r="BH32" s="1632"/>
      <c r="BI32" s="1564"/>
      <c r="BJ32" s="1597"/>
      <c r="BK32" s="1667"/>
      <c r="BL32" s="1564"/>
      <c r="BM32" s="1597"/>
      <c r="BN32" s="1632"/>
      <c r="BO32" s="1564"/>
      <c r="BP32" s="1597"/>
      <c r="BQ32" s="1632"/>
      <c r="BR32" s="1564"/>
      <c r="BS32" s="1597"/>
      <c r="BT32" s="1632"/>
      <c r="BU32" s="1564"/>
      <c r="BV32" s="1597"/>
      <c r="BW32" s="1632"/>
      <c r="BX32" s="1564"/>
      <c r="BY32" s="1597"/>
      <c r="BZ32" s="1632"/>
      <c r="CA32" s="1564"/>
      <c r="CB32" s="1597"/>
      <c r="CC32" s="1632"/>
      <c r="CD32" s="1564"/>
      <c r="CE32" s="1597"/>
      <c r="CF32" s="1632"/>
      <c r="CG32" s="1564"/>
      <c r="CH32" s="1597"/>
      <c r="CI32" s="1632"/>
      <c r="CJ32" s="1257">
        <f t="shared" ref="CJ32:CJ33" si="80">+BR32+BO32+BL32+BI32+BF32+BC32+BU32+BX32+CA32+CD32+CG32</f>
        <v>0</v>
      </c>
      <c r="CK32" s="1395">
        <f t="shared" ref="CK32:CK33" si="81">+BS32+BP32+BM32+BJ32+BG32+BD32+BV32+BY32+CB32+CE32+CH32</f>
        <v>0</v>
      </c>
      <c r="CL32" s="427"/>
      <c r="CM32" s="170"/>
      <c r="CN32" s="493"/>
      <c r="CO32" s="428" t="str">
        <f>+AY32</f>
        <v>Escalation</v>
      </c>
      <c r="CP32" s="459"/>
      <c r="CQ32" s="459"/>
      <c r="CR32" s="1703"/>
      <c r="CS32" s="435"/>
      <c r="CT32" s="431">
        <f>L32-BD32</f>
        <v>0</v>
      </c>
      <c r="CU32" s="1703"/>
      <c r="CV32" s="435"/>
      <c r="CW32" s="431"/>
      <c r="CX32" s="1703"/>
      <c r="CY32" s="435"/>
      <c r="CZ32" s="431"/>
      <c r="DA32" s="1703"/>
      <c r="DB32" s="435"/>
      <c r="DC32" s="431"/>
      <c r="DD32" s="1703"/>
      <c r="DE32" s="435"/>
      <c r="DF32" s="431"/>
      <c r="DG32" s="1703"/>
      <c r="DH32" s="435"/>
      <c r="DI32" s="431"/>
      <c r="DJ32" s="1703"/>
      <c r="DK32" s="435"/>
      <c r="DL32" s="431"/>
      <c r="DM32" s="1703"/>
      <c r="DN32" s="435"/>
      <c r="DO32" s="431"/>
      <c r="DP32" s="1703"/>
      <c r="DQ32" s="435"/>
      <c r="DR32" s="431"/>
      <c r="DS32" s="1703"/>
      <c r="DT32" s="435"/>
      <c r="DU32" s="431"/>
      <c r="DV32" s="1703"/>
      <c r="DW32" s="435"/>
      <c r="DX32" s="431"/>
      <c r="DY32" s="1703"/>
      <c r="DZ32" s="435">
        <f t="shared" ref="DZ32:DZ33" si="82">+DH32+DE32+DB32+CY32+CV32+CS32+DK32+DN32+DQ32+DT32+DW32</f>
        <v>0</v>
      </c>
      <c r="EA32" s="444">
        <f t="shared" ref="EA32:EA33" si="83">+DI32+DF32+DC32+CZ32+CW32+CT32+DL32+DO32+DR32+DU32+DX32</f>
        <v>0</v>
      </c>
      <c r="EB32" s="433"/>
      <c r="EC32" s="170"/>
      <c r="ED32" s="170"/>
      <c r="EE32" s="170"/>
      <c r="EF32" s="170"/>
      <c r="EG32" s="170"/>
      <c r="EH32" s="170"/>
      <c r="EI32" s="170"/>
      <c r="EJ32" s="170"/>
      <c r="EK32" s="170"/>
    </row>
    <row r="33" spans="1:141" ht="15" x14ac:dyDescent="0.25">
      <c r="A33" s="168"/>
      <c r="B33" s="424">
        <v>5</v>
      </c>
      <c r="C33" s="424">
        <v>8</v>
      </c>
      <c r="D33" s="424">
        <v>6</v>
      </c>
      <c r="E33" s="425">
        <v>11</v>
      </c>
      <c r="F33" s="493"/>
      <c r="G33" s="1308">
        <f>+AY33</f>
        <v>0</v>
      </c>
      <c r="H33" s="1322" t="s">
        <v>309</v>
      </c>
      <c r="I33" s="1310">
        <f>+BA33</f>
        <v>0</v>
      </c>
      <c r="J33" s="1687"/>
      <c r="K33" s="1311">
        <f>+BC33</f>
        <v>0</v>
      </c>
      <c r="L33" s="1312">
        <f>+BD33</f>
        <v>0</v>
      </c>
      <c r="M33" s="1687"/>
      <c r="N33" s="1325"/>
      <c r="O33" s="1312">
        <f ca="1">+BG33+CW33</f>
        <v>0</v>
      </c>
      <c r="P33" s="1685"/>
      <c r="Q33" s="1316">
        <f>+BI33</f>
        <v>0</v>
      </c>
      <c r="R33" s="1312">
        <f ca="1">+BJ33+CZ33</f>
        <v>0</v>
      </c>
      <c r="S33" s="1685"/>
      <c r="T33" s="1316">
        <f>+BL33</f>
        <v>0</v>
      </c>
      <c r="U33" s="1312">
        <f ca="1">+BM33+DC33</f>
        <v>0</v>
      </c>
      <c r="V33" s="1685"/>
      <c r="W33" s="1316">
        <f>+BO33</f>
        <v>0</v>
      </c>
      <c r="X33" s="1312">
        <f ca="1">+BP33+DF33</f>
        <v>0</v>
      </c>
      <c r="Y33" s="1685"/>
      <c r="Z33" s="1316">
        <f>+BR33</f>
        <v>0</v>
      </c>
      <c r="AA33" s="1312">
        <f ca="1">+BS33+DI33</f>
        <v>0</v>
      </c>
      <c r="AB33" s="1685"/>
      <c r="AC33" s="1316">
        <f>+BU33</f>
        <v>0</v>
      </c>
      <c r="AD33" s="1312">
        <f ca="1">+BV33+DL33</f>
        <v>0</v>
      </c>
      <c r="AE33" s="1685"/>
      <c r="AF33" s="1316">
        <f>+BX33</f>
        <v>0</v>
      </c>
      <c r="AG33" s="1312">
        <f ca="1">+BY33+DO33</f>
        <v>0</v>
      </c>
      <c r="AH33" s="1685"/>
      <c r="AI33" s="1316">
        <f>+CA33</f>
        <v>0</v>
      </c>
      <c r="AJ33" s="1312">
        <f ca="1">+CB33+DR33</f>
        <v>0</v>
      </c>
      <c r="AK33" s="1685"/>
      <c r="AL33" s="1316">
        <f>+CD33</f>
        <v>0</v>
      </c>
      <c r="AM33" s="1312">
        <f ca="1">+CE33+DU33</f>
        <v>0</v>
      </c>
      <c r="AN33" s="1685"/>
      <c r="AO33" s="1316">
        <f>+CG33</f>
        <v>0</v>
      </c>
      <c r="AP33" s="1312">
        <f ca="1">+CH33+DX33</f>
        <v>0</v>
      </c>
      <c r="AQ33" s="1687"/>
      <c r="AR33" s="1325">
        <f t="shared" si="78"/>
        <v>0</v>
      </c>
      <c r="AS33" s="1326">
        <f t="shared" ca="1" si="79"/>
        <v>0</v>
      </c>
      <c r="AT33" s="1687"/>
      <c r="AU33" s="411"/>
      <c r="AV33" s="1757">
        <f t="shared" ca="1" si="23"/>
        <v>0</v>
      </c>
      <c r="AW33" s="411"/>
      <c r="AX33" s="493"/>
      <c r="AY33" s="1561"/>
      <c r="AZ33" s="1569"/>
      <c r="BA33" s="1581">
        <v>0</v>
      </c>
      <c r="BB33" s="1632"/>
      <c r="BC33" s="1599">
        <v>0</v>
      </c>
      <c r="BD33" s="1600">
        <v>0</v>
      </c>
      <c r="BE33" s="1656"/>
      <c r="BF33" s="2275"/>
      <c r="BG33" s="1607">
        <f ca="1">ROUND((+BG31+BG32)*$BA$33,0)+'Estimated Risks'!G22*0</f>
        <v>0</v>
      </c>
      <c r="BH33" s="1579"/>
      <c r="BI33" s="1606"/>
      <c r="BJ33" s="1607">
        <f ca="1">ROUND((+BJ31+BJ32)*$BA$33,0)+'Estimated Risks'!H22*0</f>
        <v>0</v>
      </c>
      <c r="BK33" s="1666"/>
      <c r="BL33" s="1606"/>
      <c r="BM33" s="1607">
        <f ca="1">ROUND((+BM31+BM32)*$BA$33,0)+'Estimated Risks'!I22*0</f>
        <v>0</v>
      </c>
      <c r="BN33" s="1579"/>
      <c r="BO33" s="1606"/>
      <c r="BP33" s="1607">
        <f ca="1">ROUND((+BP31+BP32)*$BA$33,0)+'Estimated Risks'!J22*0</f>
        <v>0</v>
      </c>
      <c r="BQ33" s="1579"/>
      <c r="BR33" s="1606"/>
      <c r="BS33" s="1607">
        <f ca="1">ROUND((+BS31+BS32)*$BA$33,0)+'Estimated Risks'!K22*0</f>
        <v>0</v>
      </c>
      <c r="BT33" s="1656"/>
      <c r="BU33" s="1606"/>
      <c r="BV33" s="1607">
        <f ca="1">ROUND((+BV31+BV32)*$BA$33,0)+'Estimated Risks'!L22*0</f>
        <v>0</v>
      </c>
      <c r="BW33" s="1656"/>
      <c r="BX33" s="1606"/>
      <c r="BY33" s="1607">
        <f ca="1">ROUND((+BY31+BY32)*$BA$33,0)+'Estimated Risks'!O22*0</f>
        <v>0</v>
      </c>
      <c r="BZ33" s="1656"/>
      <c r="CA33" s="1606"/>
      <c r="CB33" s="1607">
        <f ca="1">ROUND((+CB31+CB32)*$BA$33,0)+'Estimated Risks'!R22*0</f>
        <v>0</v>
      </c>
      <c r="CC33" s="1656"/>
      <c r="CD33" s="1606"/>
      <c r="CE33" s="1607">
        <f ca="1">ROUND((+CE31+CE32)*$BA$33,0)+'Estimated Risks'!U22*0</f>
        <v>0</v>
      </c>
      <c r="CF33" s="1656"/>
      <c r="CG33" s="1606"/>
      <c r="CH33" s="1607">
        <f ca="1">ROUND((+CH31+CH32)*$BA$33,0)+'Estimated Risks'!X22*0</f>
        <v>0</v>
      </c>
      <c r="CI33" s="1656"/>
      <c r="CJ33" s="1257">
        <f t="shared" si="80"/>
        <v>0</v>
      </c>
      <c r="CK33" s="1395">
        <f t="shared" ca="1" si="81"/>
        <v>0</v>
      </c>
      <c r="CL33" s="1730"/>
      <c r="CM33" s="170"/>
      <c r="CN33" s="493"/>
      <c r="CO33" s="428">
        <f>+AY33</f>
        <v>0</v>
      </c>
      <c r="CP33" s="459" t="s">
        <v>309</v>
      </c>
      <c r="CQ33" s="461"/>
      <c r="CR33" s="1703"/>
      <c r="CS33" s="462"/>
      <c r="CT33" s="463">
        <f>L33-BD33</f>
        <v>0</v>
      </c>
      <c r="CU33" s="1703"/>
      <c r="CV33" s="462"/>
      <c r="CW33" s="434">
        <f ca="1">(ROUND((+BG33*(1+CW$4)),0)-BG33)*'Data Input sheet'!$D$70</f>
        <v>0</v>
      </c>
      <c r="CX33" s="443"/>
      <c r="CY33" s="432"/>
      <c r="CZ33" s="434">
        <f ca="1">(ROUND((+BJ33*(1+CZ$4)),0)-BJ33)*'Data Input sheet'!$D$70</f>
        <v>0</v>
      </c>
      <c r="DA33" s="443"/>
      <c r="DB33" s="432"/>
      <c r="DC33" s="434">
        <f ca="1">(ROUND((+BM33*(1+DC$4)),0)-BM33)*'Data Input sheet'!$D$70</f>
        <v>0</v>
      </c>
      <c r="DD33" s="443"/>
      <c r="DE33" s="432">
        <v>0</v>
      </c>
      <c r="DF33" s="434">
        <f ca="1">(ROUND((+BP33*(1+DF$4)),0)-BP33)*'Data Input sheet'!$D$70</f>
        <v>0</v>
      </c>
      <c r="DG33" s="443"/>
      <c r="DH33" s="432">
        <v>0</v>
      </c>
      <c r="DI33" s="434">
        <f ca="1">(ROUND((+BS33*(1+DI$4)),0)-BS33)*'Data Input sheet'!$D$70</f>
        <v>0</v>
      </c>
      <c r="DJ33" s="443"/>
      <c r="DK33" s="432">
        <v>0</v>
      </c>
      <c r="DL33" s="434">
        <f ca="1">(ROUND((+BV33*(1+DL$4)),0)-BV33)*'Data Input sheet'!$D$70</f>
        <v>0</v>
      </c>
      <c r="DM33" s="443"/>
      <c r="DN33" s="432">
        <v>0</v>
      </c>
      <c r="DO33" s="434">
        <f ca="1">(ROUND((+BY33*(1+DO$4)),0)-BY33)*'Data Input sheet'!$D$70</f>
        <v>0</v>
      </c>
      <c r="DP33" s="443"/>
      <c r="DQ33" s="432">
        <v>0</v>
      </c>
      <c r="DR33" s="434">
        <f ca="1">(ROUND((+CB33*(1+DR$4)),0)-CB33)*'Data Input sheet'!$D$70</f>
        <v>0</v>
      </c>
      <c r="DS33" s="443"/>
      <c r="DT33" s="432">
        <v>0</v>
      </c>
      <c r="DU33" s="434">
        <f ca="1">(ROUND((+CE33*(1+DU$4)),0)-CE33)*'Data Input sheet'!$D$70</f>
        <v>0</v>
      </c>
      <c r="DV33" s="443"/>
      <c r="DW33" s="432">
        <v>0</v>
      </c>
      <c r="DX33" s="434">
        <f ca="1">(ROUND((+CH33*(1+DX$4)),0)-CH33)*'Data Input sheet'!$D$70</f>
        <v>0</v>
      </c>
      <c r="DY33" s="1703"/>
      <c r="DZ33" s="435">
        <f t="shared" si="82"/>
        <v>0</v>
      </c>
      <c r="EA33" s="1743">
        <f t="shared" ca="1" si="83"/>
        <v>0</v>
      </c>
      <c r="EB33" s="433"/>
      <c r="EC33" s="170"/>
      <c r="ED33" s="170"/>
      <c r="EE33" s="170"/>
      <c r="EF33" s="170"/>
      <c r="EG33" s="170"/>
      <c r="EH33" s="170"/>
      <c r="EI33" s="170"/>
      <c r="EJ33" s="170"/>
      <c r="EK33" s="170"/>
    </row>
    <row r="34" spans="1:141" ht="15.75" thickBot="1" x14ac:dyDescent="0.3">
      <c r="A34" s="168"/>
      <c r="B34" s="436"/>
      <c r="C34" s="436"/>
      <c r="D34" s="436"/>
      <c r="E34" s="437"/>
      <c r="F34" s="493"/>
      <c r="G34" s="1327" t="s">
        <v>311</v>
      </c>
      <c r="H34" s="1328"/>
      <c r="I34" s="1329"/>
      <c r="J34" s="1687"/>
      <c r="K34" s="1330">
        <f>SUM(K12:K33)-K21</f>
        <v>0</v>
      </c>
      <c r="L34" s="1331">
        <f>+L33+L32+L31</f>
        <v>10963.25</v>
      </c>
      <c r="M34" s="1687"/>
      <c r="N34" s="1330">
        <f>SUM(N12:N33)-N21</f>
        <v>0</v>
      </c>
      <c r="O34" s="1331">
        <f ca="1">+O33+O32+O31</f>
        <v>0</v>
      </c>
      <c r="P34" s="1687"/>
      <c r="Q34" s="1330">
        <f>SUM(Q12:Q33)-Q21</f>
        <v>0</v>
      </c>
      <c r="R34" s="1331">
        <f ca="1">+R33+R32+R31</f>
        <v>0</v>
      </c>
      <c r="S34" s="1687"/>
      <c r="T34" s="1330">
        <f>SUM(T12:T33)-T21</f>
        <v>0</v>
      </c>
      <c r="U34" s="1331">
        <f ca="1">+U33+U32+U31</f>
        <v>0</v>
      </c>
      <c r="V34" s="1687"/>
      <c r="W34" s="1330">
        <f>SUM(W12:W33)-W21</f>
        <v>12705.064903225806</v>
      </c>
      <c r="X34" s="1331">
        <f ca="1">+X33+X32+X31</f>
        <v>2770498.8896284006</v>
      </c>
      <c r="Y34" s="1687"/>
      <c r="Z34" s="1330">
        <f>SUM(Z12:Z33)-Z21</f>
        <v>7862.0432688172059</v>
      </c>
      <c r="AA34" s="1331">
        <f ca="1">+AA33+AA32+AA31</f>
        <v>1788703.7526781682</v>
      </c>
      <c r="AB34" s="1687"/>
      <c r="AC34" s="1330">
        <f>SUM(AC12:AC33)-AC21</f>
        <v>0</v>
      </c>
      <c r="AD34" s="1331">
        <f ca="1">+AD33+AD32+AD31</f>
        <v>0</v>
      </c>
      <c r="AE34" s="1687"/>
      <c r="AF34" s="1330">
        <f>SUM(AF12:AF33)-AF21</f>
        <v>0</v>
      </c>
      <c r="AG34" s="1331">
        <f ca="1">+AG33+AG32+AG31</f>
        <v>0</v>
      </c>
      <c r="AH34" s="1687"/>
      <c r="AI34" s="1330">
        <f>SUM(AI12:AI33)-AI21</f>
        <v>0</v>
      </c>
      <c r="AJ34" s="1331">
        <f ca="1">+AJ33+AJ32+AJ31</f>
        <v>0</v>
      </c>
      <c r="AK34" s="1687"/>
      <c r="AL34" s="1330">
        <f>SUM(AL12:AL33)-AL21</f>
        <v>0</v>
      </c>
      <c r="AM34" s="1331">
        <f ca="1">+AM33+AM32+AM31</f>
        <v>0</v>
      </c>
      <c r="AN34" s="1687"/>
      <c r="AO34" s="1330">
        <f>SUM(AO12:AO33)-AO21</f>
        <v>0</v>
      </c>
      <c r="AP34" s="1331">
        <f ca="1">+AP33+AP32+AP31</f>
        <v>0</v>
      </c>
      <c r="AQ34" s="1687"/>
      <c r="AR34" s="1330">
        <f t="shared" ref="AR34:AR35" si="84">+Z34+W34+T34+Q34+N34+K34+AC34</f>
        <v>20567.108172043012</v>
      </c>
      <c r="AS34" s="1331">
        <f ca="1">+AS33+AS32+AS31</f>
        <v>4570165.892306569</v>
      </c>
      <c r="AT34" s="1687"/>
      <c r="AU34" s="411"/>
      <c r="AV34" s="1757">
        <f t="shared" ca="1" si="23"/>
        <v>4570165.892306569</v>
      </c>
      <c r="AW34" s="411"/>
      <c r="AX34" s="493"/>
      <c r="AY34" s="1252" t="s">
        <v>311</v>
      </c>
      <c r="AZ34" s="1251"/>
      <c r="BA34" s="1252"/>
      <c r="BB34" s="1632"/>
      <c r="BC34" s="1253">
        <f>SUM(BC12:BC33)-BC21</f>
        <v>0</v>
      </c>
      <c r="BD34" s="1254">
        <f>+BD33+BD32+BD31</f>
        <v>10963.25</v>
      </c>
      <c r="BE34" s="1632"/>
      <c r="BF34" s="1468">
        <f>SUM(BF12:BF33)-BF21</f>
        <v>0</v>
      </c>
      <c r="BG34" s="1254">
        <f ca="1">+BG33+BG32+BG31</f>
        <v>0</v>
      </c>
      <c r="BH34" s="1632"/>
      <c r="BI34" s="1468">
        <f>SUM(BI12:BI33)-BI21</f>
        <v>0</v>
      </c>
      <c r="BJ34" s="1254">
        <f ca="1">+BJ33+BJ32+BJ31</f>
        <v>0</v>
      </c>
      <c r="BK34" s="1632"/>
      <c r="BL34" s="1468">
        <f>SUM(BL12:BL33)-BL21</f>
        <v>0</v>
      </c>
      <c r="BM34" s="1254">
        <f ca="1">+BM33+BM32+BM31</f>
        <v>0</v>
      </c>
      <c r="BN34" s="1632"/>
      <c r="BO34" s="1468">
        <f>SUM(BO12:BO33)-BO21</f>
        <v>12705.064903225806</v>
      </c>
      <c r="BP34" s="1254">
        <f ca="1">+BP33+BP32+BP31</f>
        <v>2463191</v>
      </c>
      <c r="BQ34" s="1632"/>
      <c r="BR34" s="1468">
        <f>SUM(BR12:BR33)-BR21</f>
        <v>7862.0432688172059</v>
      </c>
      <c r="BS34" s="1254">
        <f ca="1">+BS33+BS32+BS31</f>
        <v>1543978</v>
      </c>
      <c r="BT34" s="1632"/>
      <c r="BU34" s="1468">
        <f>SUM(BU12:BU33)-BU21</f>
        <v>0</v>
      </c>
      <c r="BV34" s="1254">
        <f ca="1">+BV33+BV32+BV31</f>
        <v>0</v>
      </c>
      <c r="BW34" s="1632"/>
      <c r="BX34" s="1468">
        <f>SUM(BX12:BX33)-BX21</f>
        <v>0</v>
      </c>
      <c r="BY34" s="1254">
        <f ca="1">+BY33+BY32+BY31</f>
        <v>0</v>
      </c>
      <c r="BZ34" s="1632"/>
      <c r="CA34" s="1468">
        <f>SUM(CA12:CA33)-CA21</f>
        <v>0</v>
      </c>
      <c r="CB34" s="1254">
        <f ca="1">+CB33+CB32+CB31</f>
        <v>0</v>
      </c>
      <c r="CC34" s="1632"/>
      <c r="CD34" s="1468">
        <f>SUM(CD12:CD33)-CD21</f>
        <v>0</v>
      </c>
      <c r="CE34" s="1254">
        <f ca="1">+CE33+CE32+CE31</f>
        <v>0</v>
      </c>
      <c r="CF34" s="1632"/>
      <c r="CG34" s="1468">
        <f>SUM(CG12:CG33)-CG21</f>
        <v>0</v>
      </c>
      <c r="CH34" s="1254">
        <f ca="1">+CH33+CH32+CH31</f>
        <v>0</v>
      </c>
      <c r="CI34" s="1632"/>
      <c r="CJ34" s="1253">
        <f t="shared" ref="CJ34:CJ35" si="85">+BR34+BO34+BL34+BI34+BF34+BC34+BU34</f>
        <v>20567.108172043012</v>
      </c>
      <c r="CK34" s="1254">
        <f ca="1">+CK33+CK32+CK31</f>
        <v>4018132.25</v>
      </c>
      <c r="CL34" s="1731"/>
      <c r="CM34" s="170"/>
      <c r="CN34" s="493"/>
      <c r="CO34" s="464" t="s">
        <v>311</v>
      </c>
      <c r="CP34" s="465"/>
      <c r="CQ34" s="466"/>
      <c r="CR34" s="1703"/>
      <c r="CS34" s="467">
        <f>SUM(CS12:CS33)-CS21</f>
        <v>0</v>
      </c>
      <c r="CT34" s="468">
        <f>CT31+CT33</f>
        <v>0</v>
      </c>
      <c r="CU34" s="1703"/>
      <c r="CV34" s="467">
        <f>SUM(CV12:CV33)-CV21</f>
        <v>0</v>
      </c>
      <c r="CW34" s="468">
        <f ca="1">CW31+CW33</f>
        <v>0</v>
      </c>
      <c r="CX34" s="1703"/>
      <c r="CY34" s="467">
        <f>SUM(CY12:CY33)-CY21</f>
        <v>0</v>
      </c>
      <c r="CZ34" s="468">
        <f ca="1">CZ31+CZ33</f>
        <v>0</v>
      </c>
      <c r="DA34" s="1703"/>
      <c r="DB34" s="467">
        <f>SUM(DB12:DB33)-DB21</f>
        <v>0</v>
      </c>
      <c r="DC34" s="468">
        <f ca="1">DC31+DC33</f>
        <v>0</v>
      </c>
      <c r="DD34" s="1703"/>
      <c r="DE34" s="467">
        <f>SUM(DE12:DE33)-DE21</f>
        <v>0</v>
      </c>
      <c r="DF34" s="468">
        <f ca="1">DF31+DF33</f>
        <v>307307.88962840044</v>
      </c>
      <c r="DG34" s="1703"/>
      <c r="DH34" s="467">
        <f>SUM(DH12:DH33)-DH21</f>
        <v>0</v>
      </c>
      <c r="DI34" s="468">
        <f ca="1">DI31+DI33</f>
        <v>244725.75267816824</v>
      </c>
      <c r="DJ34" s="1703"/>
      <c r="DK34" s="467">
        <f>SUM(DK12:DK33)-DK21</f>
        <v>0</v>
      </c>
      <c r="DL34" s="468">
        <f ca="1">DL31+DL33</f>
        <v>0</v>
      </c>
      <c r="DM34" s="1703"/>
      <c r="DN34" s="467">
        <f>SUM(DN12:DN33)-DN21</f>
        <v>0</v>
      </c>
      <c r="DO34" s="468">
        <f ca="1">DO31+DO33</f>
        <v>0</v>
      </c>
      <c r="DP34" s="1703"/>
      <c r="DQ34" s="467">
        <f>SUM(DQ12:DQ33)-DQ21</f>
        <v>0</v>
      </c>
      <c r="DR34" s="468">
        <f ca="1">DR31+DR33</f>
        <v>0</v>
      </c>
      <c r="DS34" s="1703"/>
      <c r="DT34" s="467">
        <f>SUM(DT12:DT33)-DT21</f>
        <v>0</v>
      </c>
      <c r="DU34" s="468">
        <f ca="1">DU31+DU33</f>
        <v>0</v>
      </c>
      <c r="DV34" s="1703"/>
      <c r="DW34" s="467">
        <f>SUM(DW12:DW33)-DW21</f>
        <v>0</v>
      </c>
      <c r="DX34" s="468">
        <f ca="1">DX31+DX33</f>
        <v>0</v>
      </c>
      <c r="DY34" s="1703"/>
      <c r="DZ34" s="467">
        <f t="shared" ref="DZ34:DZ35" si="86">+DH34+DE34+DB34+CY34+CV34+CS34+DK34</f>
        <v>0</v>
      </c>
      <c r="EA34" s="1744">
        <f ca="1">+EA33+EA32+EA31</f>
        <v>552033.64230656868</v>
      </c>
      <c r="EB34" s="433"/>
      <c r="EC34" s="170"/>
      <c r="ED34" s="170"/>
      <c r="EE34" s="170"/>
      <c r="EF34" s="170"/>
      <c r="EG34" s="170"/>
      <c r="EH34" s="170"/>
      <c r="EI34" s="170"/>
      <c r="EJ34" s="170"/>
      <c r="EK34" s="170"/>
    </row>
    <row r="35" spans="1:141" ht="15" x14ac:dyDescent="0.25">
      <c r="A35" s="168"/>
      <c r="B35" s="436"/>
      <c r="C35" s="436"/>
      <c r="D35" s="436"/>
      <c r="E35" s="437"/>
      <c r="F35" s="493"/>
      <c r="G35" s="1291" t="s">
        <v>312</v>
      </c>
      <c r="H35" s="1291"/>
      <c r="I35" s="1288"/>
      <c r="J35" s="1687"/>
      <c r="K35" s="1325"/>
      <c r="L35" s="1332"/>
      <c r="M35" s="1687"/>
      <c r="N35" s="1325"/>
      <c r="O35" s="1332"/>
      <c r="P35" s="1687"/>
      <c r="Q35" s="1325"/>
      <c r="R35" s="1332"/>
      <c r="S35" s="1687"/>
      <c r="T35" s="1325"/>
      <c r="U35" s="1332"/>
      <c r="V35" s="1687"/>
      <c r="W35" s="1325"/>
      <c r="X35" s="1332"/>
      <c r="Y35" s="1687"/>
      <c r="Z35" s="1325"/>
      <c r="AA35" s="1332"/>
      <c r="AB35" s="1687"/>
      <c r="AC35" s="1325"/>
      <c r="AD35" s="1332"/>
      <c r="AE35" s="1687"/>
      <c r="AF35" s="1325"/>
      <c r="AG35" s="1332"/>
      <c r="AH35" s="1687"/>
      <c r="AI35" s="1325"/>
      <c r="AJ35" s="1332"/>
      <c r="AK35" s="1687"/>
      <c r="AL35" s="1325"/>
      <c r="AM35" s="1332"/>
      <c r="AN35" s="1687"/>
      <c r="AO35" s="1325"/>
      <c r="AP35" s="1332"/>
      <c r="AQ35" s="1687"/>
      <c r="AR35" s="1325">
        <f t="shared" si="84"/>
        <v>0</v>
      </c>
      <c r="AS35" s="1332">
        <f t="shared" ref="AS35" si="87">+AA35+X35+U35+R35+O35+L35+AD35</f>
        <v>0</v>
      </c>
      <c r="AT35" s="1687"/>
      <c r="AU35" s="411"/>
      <c r="AV35" s="1757">
        <f t="shared" si="23"/>
        <v>0</v>
      </c>
      <c r="AW35" s="411"/>
      <c r="AX35" s="493"/>
      <c r="AY35" s="168" t="s">
        <v>312</v>
      </c>
      <c r="AZ35" s="168"/>
      <c r="BA35" s="377"/>
      <c r="BB35" s="1632"/>
      <c r="BC35" s="511"/>
      <c r="BD35" s="1260"/>
      <c r="BE35" s="1632"/>
      <c r="BF35" s="1470"/>
      <c r="BG35" s="1269"/>
      <c r="BH35" s="1632"/>
      <c r="BI35" s="1470"/>
      <c r="BJ35" s="1269"/>
      <c r="BK35" s="1632"/>
      <c r="BL35" s="1470"/>
      <c r="BM35" s="1269"/>
      <c r="BN35" s="1632"/>
      <c r="BO35" s="1470"/>
      <c r="BP35" s="1269"/>
      <c r="BQ35" s="1632"/>
      <c r="BR35" s="1470"/>
      <c r="BS35" s="1269"/>
      <c r="BT35" s="1632"/>
      <c r="BU35" s="1470"/>
      <c r="BV35" s="1269"/>
      <c r="BW35" s="1632"/>
      <c r="BX35" s="1470"/>
      <c r="BY35" s="1269"/>
      <c r="BZ35" s="1632"/>
      <c r="CA35" s="1470"/>
      <c r="CB35" s="1269"/>
      <c r="CC35" s="1632"/>
      <c r="CD35" s="1470"/>
      <c r="CE35" s="1269"/>
      <c r="CF35" s="1632"/>
      <c r="CG35" s="1470"/>
      <c r="CH35" s="1269"/>
      <c r="CI35" s="1632"/>
      <c r="CJ35" s="491">
        <f t="shared" si="85"/>
        <v>0</v>
      </c>
      <c r="CK35" s="1262">
        <f t="shared" ref="CK35" si="88">+BS35+BP35+BM35+BJ35+BG35+BD35+BV35</f>
        <v>0</v>
      </c>
      <c r="CL35" s="1732"/>
      <c r="CM35" s="170"/>
      <c r="CN35" s="493"/>
      <c r="CO35" s="388" t="s">
        <v>312</v>
      </c>
      <c r="CP35" s="388"/>
      <c r="CQ35" s="384"/>
      <c r="CR35" s="1703"/>
      <c r="CS35" s="462"/>
      <c r="CT35" s="463"/>
      <c r="CU35" s="1703"/>
      <c r="CV35" s="462"/>
      <c r="CW35" s="463"/>
      <c r="CX35" s="1703"/>
      <c r="CY35" s="462"/>
      <c r="CZ35" s="463"/>
      <c r="DA35" s="1703"/>
      <c r="DB35" s="462"/>
      <c r="DC35" s="463"/>
      <c r="DD35" s="1703"/>
      <c r="DE35" s="462"/>
      <c r="DF35" s="463"/>
      <c r="DG35" s="1703"/>
      <c r="DH35" s="462"/>
      <c r="DI35" s="463"/>
      <c r="DJ35" s="1703"/>
      <c r="DK35" s="462"/>
      <c r="DL35" s="463"/>
      <c r="DM35" s="1703"/>
      <c r="DN35" s="462"/>
      <c r="DO35" s="463"/>
      <c r="DP35" s="1703"/>
      <c r="DQ35" s="462"/>
      <c r="DR35" s="463"/>
      <c r="DS35" s="1703"/>
      <c r="DT35" s="462"/>
      <c r="DU35" s="463"/>
      <c r="DV35" s="1703"/>
      <c r="DW35" s="462"/>
      <c r="DX35" s="463"/>
      <c r="DY35" s="1703"/>
      <c r="DZ35" s="435">
        <f t="shared" si="86"/>
        <v>0</v>
      </c>
      <c r="EA35" s="1745">
        <f t="shared" ref="EA35" si="89">+DI35+DF35+DC35+CZ35+CW35+CT35+DL35</f>
        <v>0</v>
      </c>
      <c r="EB35" s="433"/>
      <c r="EC35" s="170"/>
      <c r="ED35" s="170"/>
      <c r="EE35" s="170"/>
      <c r="EF35" s="170"/>
      <c r="EG35" s="170"/>
      <c r="EH35" s="170"/>
      <c r="EI35" s="170"/>
      <c r="EJ35" s="170"/>
      <c r="EK35" s="170"/>
    </row>
    <row r="36" spans="1:141" ht="15" x14ac:dyDescent="0.25">
      <c r="A36" s="168"/>
      <c r="B36" s="424">
        <v>1</v>
      </c>
      <c r="C36" s="424">
        <v>2</v>
      </c>
      <c r="D36" s="424">
        <v>1</v>
      </c>
      <c r="E36" s="425">
        <v>5</v>
      </c>
      <c r="F36" s="493" t="s">
        <v>3188</v>
      </c>
      <c r="G36" s="1308" t="str">
        <f t="shared" ref="G36:G47" si="90">+AY36</f>
        <v>Project Services/Drafting</v>
      </c>
      <c r="H36" s="1309" t="s">
        <v>291</v>
      </c>
      <c r="I36" s="1310">
        <f t="shared" ref="I36:I116" ca="1" si="91">+BA36</f>
        <v>63.7</v>
      </c>
      <c r="J36" s="1685"/>
      <c r="K36" s="1311">
        <f t="shared" ref="K36:L47" si="92">+BC36</f>
        <v>0</v>
      </c>
      <c r="L36" s="1312">
        <f t="shared" si="92"/>
        <v>0</v>
      </c>
      <c r="M36" s="1685"/>
      <c r="N36" s="1313">
        <f t="shared" ref="N36:N47" si="93">+BF36</f>
        <v>0</v>
      </c>
      <c r="O36" s="1312">
        <f t="shared" ref="O36:O47" ca="1" si="94">+BG36+CW36</f>
        <v>0</v>
      </c>
      <c r="P36" s="1685"/>
      <c r="Q36" s="1313">
        <f t="shared" ref="Q36:Q47" si="95">+BI36</f>
        <v>0</v>
      </c>
      <c r="R36" s="1312">
        <f t="shared" ref="R36:R47" ca="1" si="96">+BJ36+CZ36</f>
        <v>0</v>
      </c>
      <c r="S36" s="1685"/>
      <c r="T36" s="1313">
        <f t="shared" ref="T36:T47" si="97">+BL36</f>
        <v>150</v>
      </c>
      <c r="U36" s="1312">
        <f t="shared" ref="U36:U47" ca="1" si="98">+BM36+DC36</f>
        <v>10434</v>
      </c>
      <c r="V36" s="1685"/>
      <c r="W36" s="1313">
        <f t="shared" ref="W36:W47" si="99">+BO36</f>
        <v>130</v>
      </c>
      <c r="X36" s="1312">
        <f t="shared" ref="X36:X47" ca="1" si="100">+BP36+DF36</f>
        <v>9314</v>
      </c>
      <c r="Y36" s="1685"/>
      <c r="Z36" s="1313">
        <f t="shared" ref="Z36:Z47" si="101">+BR36</f>
        <v>100</v>
      </c>
      <c r="AA36" s="1312">
        <f t="shared" ref="AA36:AA47" ca="1" si="102">+BS36+DI36</f>
        <v>7380</v>
      </c>
      <c r="AB36" s="1685"/>
      <c r="AC36" s="1313">
        <f t="shared" ref="AC36:AC47" si="103">+BU36</f>
        <v>0</v>
      </c>
      <c r="AD36" s="1312">
        <f t="shared" ref="AD36:AD47" ca="1" si="104">+BV36+DL36</f>
        <v>0</v>
      </c>
      <c r="AE36" s="1685"/>
      <c r="AF36" s="1313">
        <f t="shared" ref="AF36:AF47" si="105">+BX36</f>
        <v>0</v>
      </c>
      <c r="AG36" s="1312">
        <f t="shared" ref="AG36:AG47" ca="1" si="106">+BY36+DO36</f>
        <v>0</v>
      </c>
      <c r="AH36" s="1685"/>
      <c r="AI36" s="1313">
        <f t="shared" ref="AI36:AI47" si="107">+CA36</f>
        <v>0</v>
      </c>
      <c r="AJ36" s="1312">
        <f t="shared" ref="AJ36:AJ47" ca="1" si="108">+CB36+DR36</f>
        <v>0</v>
      </c>
      <c r="AK36" s="1685"/>
      <c r="AL36" s="1313">
        <f t="shared" ref="AL36:AL47" si="109">+CD36</f>
        <v>0</v>
      </c>
      <c r="AM36" s="1312">
        <f t="shared" ref="AM36:AM47" ca="1" si="110">+CE36+DU36</f>
        <v>0</v>
      </c>
      <c r="AN36" s="1685"/>
      <c r="AO36" s="1313">
        <f t="shared" ref="AO36:AO47" si="111">+CG36</f>
        <v>0</v>
      </c>
      <c r="AP36" s="1312">
        <f t="shared" ref="AP36:AP47" ca="1" si="112">+CH36+DX36</f>
        <v>0</v>
      </c>
      <c r="AQ36" s="1685"/>
      <c r="AR36" s="1313">
        <f t="shared" ref="AR36:AR47" si="113">+Z36+W36+T36+Q36+N36+K36+AC36+AF36+AI36+AL36+AO36</f>
        <v>380</v>
      </c>
      <c r="AS36" s="1312">
        <f t="shared" ref="AS36:AS47" ca="1" si="114">+AA36+X36+U36+R36+O36+L36+AD36+AG36+AJ36+AM36+AP36</f>
        <v>27128</v>
      </c>
      <c r="AT36" s="1687"/>
      <c r="AU36" s="411"/>
      <c r="AV36" s="1757">
        <f t="shared" ca="1" si="23"/>
        <v>27128</v>
      </c>
      <c r="AW36" s="411"/>
      <c r="AX36" s="493"/>
      <c r="AY36" s="1566" t="s">
        <v>313</v>
      </c>
      <c r="AZ36" s="1567" t="s">
        <v>291</v>
      </c>
      <c r="BA36" s="2445">
        <f ca="1">+'Data Input sheet'!D138</f>
        <v>63.7</v>
      </c>
      <c r="BB36" s="1579"/>
      <c r="BC36" s="1599">
        <v>0</v>
      </c>
      <c r="BD36" s="1600">
        <v>0</v>
      </c>
      <c r="BE36" s="1579"/>
      <c r="BF36" s="1612"/>
      <c r="BG36" s="426">
        <f ca="1">ROUND(+BF36*$BA$36,0)</f>
        <v>0</v>
      </c>
      <c r="BH36" s="1579"/>
      <c r="BI36" s="1612">
        <v>0</v>
      </c>
      <c r="BJ36" s="426">
        <f ca="1">ROUND(+BI36*$BA$36,0)</f>
        <v>0</v>
      </c>
      <c r="BK36" s="1666"/>
      <c r="BL36" s="1612">
        <v>150</v>
      </c>
      <c r="BM36" s="426">
        <f ca="1">ROUND(+BL36*$BA$36,0)</f>
        <v>9555</v>
      </c>
      <c r="BN36" s="1579"/>
      <c r="BO36" s="1612">
        <v>130</v>
      </c>
      <c r="BP36" s="426">
        <f ca="1">ROUND(+BO36*$BA$36,0)</f>
        <v>8281</v>
      </c>
      <c r="BQ36" s="1579"/>
      <c r="BR36" s="1612">
        <v>100</v>
      </c>
      <c r="BS36" s="426">
        <f ca="1">ROUND(+BR36*$BA$36,0)</f>
        <v>6370</v>
      </c>
      <c r="BT36" s="1579"/>
      <c r="BU36" s="1612">
        <v>0</v>
      </c>
      <c r="BV36" s="426">
        <f ca="1">ROUND(+BU36*$BA$36,0)</f>
        <v>0</v>
      </c>
      <c r="BW36" s="1579"/>
      <c r="BX36" s="1612">
        <v>0</v>
      </c>
      <c r="BY36" s="426">
        <f ca="1">ROUND(+BX36*$BA$36,0)</f>
        <v>0</v>
      </c>
      <c r="BZ36" s="1579"/>
      <c r="CA36" s="1612">
        <v>0</v>
      </c>
      <c r="CB36" s="426">
        <f ca="1">ROUND(+CA36*$BA$36,0)</f>
        <v>0</v>
      </c>
      <c r="CC36" s="1579"/>
      <c r="CD36" s="1612">
        <v>0</v>
      </c>
      <c r="CE36" s="426">
        <f ca="1">ROUND(+CD36*$BA$36,0)</f>
        <v>0</v>
      </c>
      <c r="CF36" s="1579"/>
      <c r="CG36" s="1612">
        <v>0</v>
      </c>
      <c r="CH36" s="426">
        <f ca="1">ROUND(+CG36*$BA$36,0)</f>
        <v>0</v>
      </c>
      <c r="CI36" s="1579"/>
      <c r="CJ36" s="1257">
        <f t="shared" ref="CJ36:CJ47" si="115">+BR36+BO36+BL36+BI36+BF36+BC36+BU36+BX36+CA36+CD36+CG36</f>
        <v>380</v>
      </c>
      <c r="CK36" s="1395">
        <f t="shared" ref="CK36:CK47" ca="1" si="116">+BS36+BP36+BM36+BJ36+BG36+BD36+BV36+BY36+CB36+CE36+CH36</f>
        <v>24206</v>
      </c>
      <c r="CL36" s="427"/>
      <c r="CM36" s="170"/>
      <c r="CN36" s="493"/>
      <c r="CO36" s="428" t="str">
        <f t="shared" ref="CO36:CO47" si="117">+AY36</f>
        <v>Project Services/Drafting</v>
      </c>
      <c r="CP36" s="429" t="s">
        <v>291</v>
      </c>
      <c r="CQ36" s="429"/>
      <c r="CR36" s="443"/>
      <c r="CS36" s="435">
        <v>0</v>
      </c>
      <c r="CT36" s="431">
        <f t="shared" ref="CT36:CT47" si="118">L36-BD36</f>
        <v>0</v>
      </c>
      <c r="CU36" s="443"/>
      <c r="CV36" s="435">
        <v>0</v>
      </c>
      <c r="CW36" s="434">
        <f t="shared" ref="CW36:CW47" ca="1" si="119">ROUND((+BG36*(1+CW$4)),0)-BG36</f>
        <v>0</v>
      </c>
      <c r="CX36" s="443"/>
      <c r="CY36" s="432">
        <v>0</v>
      </c>
      <c r="CZ36" s="434">
        <f t="shared" ref="CZ36:CZ47" ca="1" si="120">ROUND((+BJ36*(1+CZ$4)),0)-BJ36</f>
        <v>0</v>
      </c>
      <c r="DA36" s="443"/>
      <c r="DB36" s="432">
        <v>0</v>
      </c>
      <c r="DC36" s="434">
        <f t="shared" ref="DC36:DC47" ca="1" si="121">ROUND((+BM36*(1+DC$4)),0)-BM36</f>
        <v>879</v>
      </c>
      <c r="DD36" s="443"/>
      <c r="DE36" s="432">
        <v>0</v>
      </c>
      <c r="DF36" s="434">
        <f t="shared" ref="DF36:DF47" ca="1" si="122">ROUND((+BP36*(1+DF$4)),0)-BP36</f>
        <v>1033</v>
      </c>
      <c r="DG36" s="443"/>
      <c r="DH36" s="432">
        <v>0</v>
      </c>
      <c r="DI36" s="434">
        <f t="shared" ref="DI36:DI47" ca="1" si="123">ROUND((+BS36*(1+DI$4)),0)-BS36</f>
        <v>1010</v>
      </c>
      <c r="DJ36" s="443"/>
      <c r="DK36" s="432">
        <v>0</v>
      </c>
      <c r="DL36" s="434">
        <f t="shared" ref="DL36:DL47" ca="1" si="124">ROUND((+BV36*(1+DL$4)),0)-BV36</f>
        <v>0</v>
      </c>
      <c r="DM36" s="443"/>
      <c r="DN36" s="432">
        <v>0</v>
      </c>
      <c r="DO36" s="434">
        <f t="shared" ref="DO36:DO47" ca="1" si="125">ROUND((+BY36*(1+DO$4)),0)-BY36</f>
        <v>0</v>
      </c>
      <c r="DP36" s="443"/>
      <c r="DQ36" s="432">
        <v>0</v>
      </c>
      <c r="DR36" s="434">
        <f t="shared" ref="DR36:DR47" ca="1" si="126">ROUND((+CB36*(1+DR$4)),0)-CB36</f>
        <v>0</v>
      </c>
      <c r="DS36" s="443"/>
      <c r="DT36" s="432">
        <v>0</v>
      </c>
      <c r="DU36" s="434">
        <f t="shared" ref="DU36:DU47" ca="1" si="127">ROUND((+CE36*(1+DU$4)),0)-CE36</f>
        <v>0</v>
      </c>
      <c r="DV36" s="443"/>
      <c r="DW36" s="432">
        <v>0</v>
      </c>
      <c r="DX36" s="434">
        <f t="shared" ref="DX36:DX47" ca="1" si="128">ROUND((+CH36*(1+DX$4)),0)-CH36</f>
        <v>0</v>
      </c>
      <c r="DY36" s="443"/>
      <c r="DZ36" s="435">
        <f t="shared" ref="DZ36:DZ47" si="129">+DH36+DE36+DB36+CY36+CV36+CS36+DK36+DN36+DQ36+DT36+DW36</f>
        <v>0</v>
      </c>
      <c r="EA36" s="444">
        <f t="shared" ref="EA36:EA47" ca="1" si="130">+DI36+DF36+DC36+CZ36+CW36+CT36+DL36+DO36+DR36+DU36+DX36</f>
        <v>2922</v>
      </c>
      <c r="EB36" s="433"/>
      <c r="EC36" s="170"/>
      <c r="ED36" s="170"/>
      <c r="EE36" s="170"/>
      <c r="EF36" s="170"/>
      <c r="EG36" s="170"/>
      <c r="EH36" s="170"/>
      <c r="EI36" s="170"/>
      <c r="EJ36" s="170"/>
      <c r="EK36" s="170"/>
    </row>
    <row r="37" spans="1:141" ht="15" x14ac:dyDescent="0.25">
      <c r="A37" s="168"/>
      <c r="B37" s="424">
        <v>1</v>
      </c>
      <c r="C37" s="424">
        <v>2</v>
      </c>
      <c r="D37" s="424">
        <v>1</v>
      </c>
      <c r="E37" s="425">
        <v>5</v>
      </c>
      <c r="F37" s="493" t="s">
        <v>3188</v>
      </c>
      <c r="G37" s="1308" t="str">
        <f t="shared" si="90"/>
        <v>T- Line Engineering/Design</v>
      </c>
      <c r="H37" s="1333" t="s">
        <v>291</v>
      </c>
      <c r="I37" s="1310">
        <f t="shared" ca="1" si="91"/>
        <v>63.7</v>
      </c>
      <c r="J37" s="1687"/>
      <c r="K37" s="1311">
        <f t="shared" si="92"/>
        <v>0</v>
      </c>
      <c r="L37" s="1312">
        <f t="shared" si="92"/>
        <v>0</v>
      </c>
      <c r="M37" s="1687"/>
      <c r="N37" s="1313">
        <f t="shared" si="93"/>
        <v>0</v>
      </c>
      <c r="O37" s="1312">
        <f t="shared" ca="1" si="94"/>
        <v>0</v>
      </c>
      <c r="P37" s="1685"/>
      <c r="Q37" s="1313">
        <f t="shared" si="95"/>
        <v>0</v>
      </c>
      <c r="R37" s="1312">
        <f t="shared" ca="1" si="96"/>
        <v>0</v>
      </c>
      <c r="S37" s="1685"/>
      <c r="T37" s="1313">
        <f t="shared" si="97"/>
        <v>0</v>
      </c>
      <c r="U37" s="1312">
        <f t="shared" ca="1" si="98"/>
        <v>0</v>
      </c>
      <c r="V37" s="1685"/>
      <c r="W37" s="1313">
        <f t="shared" si="99"/>
        <v>0</v>
      </c>
      <c r="X37" s="1312">
        <f t="shared" ca="1" si="100"/>
        <v>0</v>
      </c>
      <c r="Y37" s="1685"/>
      <c r="Z37" s="1313">
        <f t="shared" si="101"/>
        <v>0</v>
      </c>
      <c r="AA37" s="1312">
        <f t="shared" ca="1" si="102"/>
        <v>0</v>
      </c>
      <c r="AB37" s="1685"/>
      <c r="AC37" s="1313">
        <f t="shared" si="103"/>
        <v>0</v>
      </c>
      <c r="AD37" s="1312">
        <f t="shared" ca="1" si="104"/>
        <v>0</v>
      </c>
      <c r="AE37" s="1685"/>
      <c r="AF37" s="1313">
        <f t="shared" si="105"/>
        <v>0</v>
      </c>
      <c r="AG37" s="1312">
        <f t="shared" ca="1" si="106"/>
        <v>0</v>
      </c>
      <c r="AH37" s="1685"/>
      <c r="AI37" s="1313">
        <f t="shared" si="107"/>
        <v>0</v>
      </c>
      <c r="AJ37" s="1312">
        <f t="shared" ca="1" si="108"/>
        <v>0</v>
      </c>
      <c r="AK37" s="1685"/>
      <c r="AL37" s="1313">
        <f t="shared" si="109"/>
        <v>0</v>
      </c>
      <c r="AM37" s="1312">
        <f t="shared" ca="1" si="110"/>
        <v>0</v>
      </c>
      <c r="AN37" s="1685"/>
      <c r="AO37" s="1313">
        <f t="shared" si="111"/>
        <v>0</v>
      </c>
      <c r="AP37" s="1312">
        <f t="shared" ca="1" si="112"/>
        <v>0</v>
      </c>
      <c r="AQ37" s="1685"/>
      <c r="AR37" s="1313">
        <f t="shared" si="113"/>
        <v>0</v>
      </c>
      <c r="AS37" s="1312">
        <f t="shared" ca="1" si="114"/>
        <v>0</v>
      </c>
      <c r="AT37" s="1687"/>
      <c r="AU37" s="411"/>
      <c r="AV37" s="1757">
        <f t="shared" ca="1" si="23"/>
        <v>0</v>
      </c>
      <c r="AW37" s="411"/>
      <c r="AX37" s="493"/>
      <c r="AY37" s="1562" t="s">
        <v>1770</v>
      </c>
      <c r="AZ37" s="1573" t="s">
        <v>291</v>
      </c>
      <c r="BA37" s="2445">
        <f ca="1">+'Data Input sheet'!D139</f>
        <v>63.7</v>
      </c>
      <c r="BB37" s="1633"/>
      <c r="BC37" s="1599">
        <v>0</v>
      </c>
      <c r="BD37" s="1600"/>
      <c r="BE37" s="1579"/>
      <c r="BF37" s="1612">
        <v>0</v>
      </c>
      <c r="BG37" s="426">
        <f ca="1">ROUND(+BF37*$BA$37,0)</f>
        <v>0</v>
      </c>
      <c r="BH37" s="1579"/>
      <c r="BI37" s="1612">
        <v>0</v>
      </c>
      <c r="BJ37" s="426">
        <f ca="1">ROUND(+BI37*$BA$37,0)</f>
        <v>0</v>
      </c>
      <c r="BK37" s="1666"/>
      <c r="BL37" s="1612">
        <v>0</v>
      </c>
      <c r="BM37" s="426">
        <f ca="1">ROUND(+BL37*$BA$37,0)</f>
        <v>0</v>
      </c>
      <c r="BN37" s="1579"/>
      <c r="BO37" s="1612">
        <v>0</v>
      </c>
      <c r="BP37" s="426">
        <f ca="1">ROUND(+BO37*$BA$37,0)</f>
        <v>0</v>
      </c>
      <c r="BQ37" s="1579"/>
      <c r="BR37" s="1612">
        <v>0</v>
      </c>
      <c r="BS37" s="426">
        <f ca="1">ROUND(+BR37*$BA$37,0)</f>
        <v>0</v>
      </c>
      <c r="BT37" s="1579"/>
      <c r="BU37" s="1612">
        <v>0</v>
      </c>
      <c r="BV37" s="426">
        <f ca="1">ROUND(+BU37*$BA$37,0)</f>
        <v>0</v>
      </c>
      <c r="BW37" s="1579"/>
      <c r="BX37" s="1612">
        <v>0</v>
      </c>
      <c r="BY37" s="426">
        <f ca="1">ROUND(+BX37*$BA$37,0)</f>
        <v>0</v>
      </c>
      <c r="BZ37" s="1579"/>
      <c r="CA37" s="1612">
        <v>0</v>
      </c>
      <c r="CB37" s="426">
        <f ca="1">ROUND(+CA37*$BA$37,0)</f>
        <v>0</v>
      </c>
      <c r="CC37" s="1579"/>
      <c r="CD37" s="1612">
        <v>0</v>
      </c>
      <c r="CE37" s="426">
        <f ca="1">ROUND(+CD37*$BA$37,0)</f>
        <v>0</v>
      </c>
      <c r="CF37" s="1579"/>
      <c r="CG37" s="1612">
        <v>0</v>
      </c>
      <c r="CH37" s="426">
        <f ca="1">ROUND(+CG37*$BA$37,0)</f>
        <v>0</v>
      </c>
      <c r="CI37" s="1632"/>
      <c r="CJ37" s="1257">
        <f t="shared" si="115"/>
        <v>0</v>
      </c>
      <c r="CK37" s="1395">
        <f t="shared" ca="1" si="116"/>
        <v>0</v>
      </c>
      <c r="CL37" s="427"/>
      <c r="CM37" s="170"/>
      <c r="CN37" s="493"/>
      <c r="CO37" s="428" t="str">
        <f t="shared" si="117"/>
        <v>T- Line Engineering/Design</v>
      </c>
      <c r="CP37" s="469" t="s">
        <v>291</v>
      </c>
      <c r="CQ37" s="469"/>
      <c r="CR37" s="1704"/>
      <c r="CS37" s="435">
        <v>0</v>
      </c>
      <c r="CT37" s="431">
        <f t="shared" si="118"/>
        <v>0</v>
      </c>
      <c r="CU37" s="443"/>
      <c r="CV37" s="435">
        <v>0</v>
      </c>
      <c r="CW37" s="434">
        <f t="shared" ca="1" si="119"/>
        <v>0</v>
      </c>
      <c r="CX37" s="443"/>
      <c r="CY37" s="432">
        <v>0</v>
      </c>
      <c r="CZ37" s="434">
        <f t="shared" ca="1" si="120"/>
        <v>0</v>
      </c>
      <c r="DA37" s="443"/>
      <c r="DB37" s="432">
        <v>0</v>
      </c>
      <c r="DC37" s="434">
        <f t="shared" ca="1" si="121"/>
        <v>0</v>
      </c>
      <c r="DD37" s="443"/>
      <c r="DE37" s="432">
        <v>0</v>
      </c>
      <c r="DF37" s="434">
        <f t="shared" ca="1" si="122"/>
        <v>0</v>
      </c>
      <c r="DG37" s="443"/>
      <c r="DH37" s="432">
        <v>0</v>
      </c>
      <c r="DI37" s="434">
        <f t="shared" ca="1" si="123"/>
        <v>0</v>
      </c>
      <c r="DJ37" s="443"/>
      <c r="DK37" s="432">
        <v>0</v>
      </c>
      <c r="DL37" s="434">
        <f t="shared" ca="1" si="124"/>
        <v>0</v>
      </c>
      <c r="DM37" s="443"/>
      <c r="DN37" s="432">
        <v>0</v>
      </c>
      <c r="DO37" s="434">
        <f t="shared" ca="1" si="125"/>
        <v>0</v>
      </c>
      <c r="DP37" s="443"/>
      <c r="DQ37" s="432">
        <v>0</v>
      </c>
      <c r="DR37" s="434">
        <f t="shared" ca="1" si="126"/>
        <v>0</v>
      </c>
      <c r="DS37" s="443"/>
      <c r="DT37" s="432">
        <v>0</v>
      </c>
      <c r="DU37" s="434">
        <f t="shared" ca="1" si="127"/>
        <v>0</v>
      </c>
      <c r="DV37" s="443"/>
      <c r="DW37" s="432">
        <v>0</v>
      </c>
      <c r="DX37" s="434">
        <f t="shared" ca="1" si="128"/>
        <v>0</v>
      </c>
      <c r="DY37" s="443"/>
      <c r="DZ37" s="435">
        <f t="shared" si="129"/>
        <v>0</v>
      </c>
      <c r="EA37" s="444">
        <f t="shared" ca="1" si="130"/>
        <v>0</v>
      </c>
      <c r="EB37" s="433"/>
      <c r="EC37" s="170"/>
      <c r="ED37" s="170"/>
      <c r="EE37" s="170"/>
      <c r="EF37" s="170"/>
      <c r="EG37" s="170"/>
      <c r="EH37" s="170"/>
      <c r="EI37" s="170"/>
      <c r="EJ37" s="170"/>
      <c r="EK37" s="170"/>
    </row>
    <row r="38" spans="1:141" ht="15" x14ac:dyDescent="0.25">
      <c r="A38" s="168"/>
      <c r="B38" s="424">
        <v>1</v>
      </c>
      <c r="C38" s="424">
        <v>2</v>
      </c>
      <c r="D38" s="424">
        <v>1</v>
      </c>
      <c r="E38" s="425">
        <v>5</v>
      </c>
      <c r="F38" s="493" t="s">
        <v>3188</v>
      </c>
      <c r="G38" s="1308" t="str">
        <f t="shared" ref="G38" si="131">+AY38</f>
        <v>D- Street Engineering/Design</v>
      </c>
      <c r="H38" s="1333" t="s">
        <v>291</v>
      </c>
      <c r="I38" s="1310">
        <f t="shared" ref="I38" ca="1" si="132">+BA38</f>
        <v>63.7</v>
      </c>
      <c r="J38" s="1687"/>
      <c r="K38" s="1311">
        <f t="shared" ref="K38" si="133">+BC38</f>
        <v>0</v>
      </c>
      <c r="L38" s="1312">
        <f t="shared" ref="L38" si="134">+BD38</f>
        <v>0</v>
      </c>
      <c r="M38" s="1687"/>
      <c r="N38" s="1313">
        <f t="shared" ref="N38" si="135">+BF38</f>
        <v>0</v>
      </c>
      <c r="O38" s="1312">
        <f t="shared" ca="1" si="94"/>
        <v>0</v>
      </c>
      <c r="P38" s="1685"/>
      <c r="Q38" s="1313">
        <f t="shared" ref="Q38" si="136">+BI38</f>
        <v>0</v>
      </c>
      <c r="R38" s="1312">
        <f t="shared" ca="1" si="96"/>
        <v>0</v>
      </c>
      <c r="S38" s="1685"/>
      <c r="T38" s="1313">
        <f t="shared" ref="T38" si="137">+BL38</f>
        <v>0</v>
      </c>
      <c r="U38" s="1312">
        <f t="shared" ca="1" si="98"/>
        <v>0</v>
      </c>
      <c r="V38" s="1685"/>
      <c r="W38" s="1313">
        <f t="shared" ref="W38" si="138">+BO38</f>
        <v>0</v>
      </c>
      <c r="X38" s="1312">
        <f t="shared" ca="1" si="100"/>
        <v>0</v>
      </c>
      <c r="Y38" s="1685"/>
      <c r="Z38" s="1313">
        <f t="shared" ref="Z38" si="139">+BR38</f>
        <v>0</v>
      </c>
      <c r="AA38" s="1312">
        <f t="shared" ca="1" si="102"/>
        <v>0</v>
      </c>
      <c r="AB38" s="1685"/>
      <c r="AC38" s="1313">
        <f t="shared" ref="AC38" si="140">+BU38</f>
        <v>0</v>
      </c>
      <c r="AD38" s="1312">
        <f t="shared" ca="1" si="104"/>
        <v>0</v>
      </c>
      <c r="AE38" s="1685"/>
      <c r="AF38" s="1313">
        <f t="shared" si="105"/>
        <v>0</v>
      </c>
      <c r="AG38" s="1312">
        <f t="shared" ca="1" si="106"/>
        <v>0</v>
      </c>
      <c r="AH38" s="1685"/>
      <c r="AI38" s="1313">
        <f t="shared" si="107"/>
        <v>0</v>
      </c>
      <c r="AJ38" s="1312">
        <f t="shared" ca="1" si="108"/>
        <v>0</v>
      </c>
      <c r="AK38" s="1685"/>
      <c r="AL38" s="1313">
        <f t="shared" si="109"/>
        <v>0</v>
      </c>
      <c r="AM38" s="1312">
        <f t="shared" ca="1" si="110"/>
        <v>0</v>
      </c>
      <c r="AN38" s="1685"/>
      <c r="AO38" s="1313">
        <f t="shared" si="111"/>
        <v>0</v>
      </c>
      <c r="AP38" s="1312">
        <f t="shared" ca="1" si="112"/>
        <v>0</v>
      </c>
      <c r="AQ38" s="1685"/>
      <c r="AR38" s="1313">
        <f t="shared" si="113"/>
        <v>0</v>
      </c>
      <c r="AS38" s="1312">
        <f t="shared" ca="1" si="114"/>
        <v>0</v>
      </c>
      <c r="AT38" s="1687"/>
      <c r="AU38" s="411"/>
      <c r="AV38" s="1757">
        <f t="shared" ca="1" si="23"/>
        <v>0</v>
      </c>
      <c r="AW38" s="411"/>
      <c r="AX38" s="493"/>
      <c r="AY38" s="1562" t="s">
        <v>1771</v>
      </c>
      <c r="AZ38" s="1573" t="s">
        <v>291</v>
      </c>
      <c r="BA38" s="2445">
        <f ca="1">+'Data Input sheet'!D140</f>
        <v>63.7</v>
      </c>
      <c r="BB38" s="1633"/>
      <c r="BC38" s="1599">
        <v>0</v>
      </c>
      <c r="BD38" s="1600">
        <v>0</v>
      </c>
      <c r="BE38" s="1579"/>
      <c r="BF38" s="1612">
        <v>0</v>
      </c>
      <c r="BG38" s="426">
        <f ca="1">ROUND(+BF38*$BA$38,0)</f>
        <v>0</v>
      </c>
      <c r="BH38" s="1579"/>
      <c r="BI38" s="1612">
        <v>0</v>
      </c>
      <c r="BJ38" s="426">
        <f ca="1">ROUND(+BI38*$BA$38,0)</f>
        <v>0</v>
      </c>
      <c r="BK38" s="1666"/>
      <c r="BL38" s="1612">
        <v>0</v>
      </c>
      <c r="BM38" s="426">
        <f ca="1">ROUND(+BL38*$BA$38,0)</f>
        <v>0</v>
      </c>
      <c r="BN38" s="1579"/>
      <c r="BO38" s="1612">
        <v>0</v>
      </c>
      <c r="BP38" s="426">
        <f ca="1">ROUND(+BO38*$BA$38,0)</f>
        <v>0</v>
      </c>
      <c r="BQ38" s="1579"/>
      <c r="BR38" s="1612">
        <v>0</v>
      </c>
      <c r="BS38" s="426">
        <f ca="1">ROUND(+BR38*$BA$38,0)</f>
        <v>0</v>
      </c>
      <c r="BT38" s="1579"/>
      <c r="BU38" s="1612">
        <v>0</v>
      </c>
      <c r="BV38" s="426">
        <f ca="1">ROUND(+BU38*$BA$38,0)</f>
        <v>0</v>
      </c>
      <c r="BW38" s="1579"/>
      <c r="BX38" s="1612">
        <v>0</v>
      </c>
      <c r="BY38" s="426">
        <f ca="1">ROUND(+BX38*$BA$38,0)</f>
        <v>0</v>
      </c>
      <c r="BZ38" s="1579"/>
      <c r="CA38" s="1612">
        <v>0</v>
      </c>
      <c r="CB38" s="426">
        <f ca="1">ROUND(+CA38*$BA$38,0)</f>
        <v>0</v>
      </c>
      <c r="CC38" s="1579"/>
      <c r="CD38" s="1612">
        <v>0</v>
      </c>
      <c r="CE38" s="426">
        <f ca="1">ROUND(+CD38*$BA$38,0)</f>
        <v>0</v>
      </c>
      <c r="CF38" s="1579"/>
      <c r="CG38" s="1612">
        <v>0</v>
      </c>
      <c r="CH38" s="426">
        <f ca="1">ROUND(+CG38*$BA$38,0)</f>
        <v>0</v>
      </c>
      <c r="CI38" s="1632"/>
      <c r="CJ38" s="1257">
        <f t="shared" si="115"/>
        <v>0</v>
      </c>
      <c r="CK38" s="1395">
        <f t="shared" ca="1" si="116"/>
        <v>0</v>
      </c>
      <c r="CL38" s="427"/>
      <c r="CM38" s="170"/>
      <c r="CN38" s="493"/>
      <c r="CO38" s="428" t="str">
        <f t="shared" si="117"/>
        <v>D- Street Engineering/Design</v>
      </c>
      <c r="CP38" s="469" t="s">
        <v>291</v>
      </c>
      <c r="CQ38" s="469"/>
      <c r="CR38" s="1704"/>
      <c r="CS38" s="435">
        <v>0</v>
      </c>
      <c r="CT38" s="431">
        <f t="shared" si="118"/>
        <v>0</v>
      </c>
      <c r="CU38" s="443"/>
      <c r="CV38" s="435">
        <v>0</v>
      </c>
      <c r="CW38" s="434">
        <f t="shared" ca="1" si="119"/>
        <v>0</v>
      </c>
      <c r="CX38" s="443"/>
      <c r="CY38" s="432">
        <v>0</v>
      </c>
      <c r="CZ38" s="434">
        <f t="shared" ca="1" si="120"/>
        <v>0</v>
      </c>
      <c r="DA38" s="443"/>
      <c r="DB38" s="432">
        <v>0</v>
      </c>
      <c r="DC38" s="434">
        <f t="shared" ca="1" si="121"/>
        <v>0</v>
      </c>
      <c r="DD38" s="443"/>
      <c r="DE38" s="432">
        <v>0</v>
      </c>
      <c r="DF38" s="434">
        <f t="shared" ca="1" si="122"/>
        <v>0</v>
      </c>
      <c r="DG38" s="443"/>
      <c r="DH38" s="432">
        <v>0</v>
      </c>
      <c r="DI38" s="434">
        <f t="shared" ca="1" si="123"/>
        <v>0</v>
      </c>
      <c r="DJ38" s="443"/>
      <c r="DK38" s="432">
        <v>0</v>
      </c>
      <c r="DL38" s="434">
        <f t="shared" ca="1" si="124"/>
        <v>0</v>
      </c>
      <c r="DM38" s="443"/>
      <c r="DN38" s="432">
        <v>0</v>
      </c>
      <c r="DO38" s="434">
        <f t="shared" ca="1" si="125"/>
        <v>0</v>
      </c>
      <c r="DP38" s="443"/>
      <c r="DQ38" s="432">
        <v>0</v>
      </c>
      <c r="DR38" s="434">
        <f t="shared" ca="1" si="126"/>
        <v>0</v>
      </c>
      <c r="DS38" s="443"/>
      <c r="DT38" s="432">
        <v>0</v>
      </c>
      <c r="DU38" s="434">
        <f t="shared" ca="1" si="127"/>
        <v>0</v>
      </c>
      <c r="DV38" s="443"/>
      <c r="DW38" s="432">
        <v>0</v>
      </c>
      <c r="DX38" s="434">
        <f t="shared" ca="1" si="128"/>
        <v>0</v>
      </c>
      <c r="DY38" s="443"/>
      <c r="DZ38" s="435">
        <f t="shared" si="129"/>
        <v>0</v>
      </c>
      <c r="EA38" s="444">
        <f t="shared" ca="1" si="130"/>
        <v>0</v>
      </c>
      <c r="EB38" s="433"/>
      <c r="EC38" s="170"/>
      <c r="ED38" s="170"/>
      <c r="EE38" s="170"/>
      <c r="EF38" s="170"/>
      <c r="EG38" s="170"/>
      <c r="EH38" s="170"/>
      <c r="EI38" s="170"/>
      <c r="EJ38" s="170"/>
      <c r="EK38" s="170"/>
    </row>
    <row r="39" spans="1:141" ht="15" x14ac:dyDescent="0.25">
      <c r="A39" s="168"/>
      <c r="B39" s="424">
        <v>1</v>
      </c>
      <c r="C39" s="424">
        <v>2</v>
      </c>
      <c r="D39" s="424">
        <v>1</v>
      </c>
      <c r="E39" s="425">
        <v>5</v>
      </c>
      <c r="F39" s="493" t="s">
        <v>3188</v>
      </c>
      <c r="G39" s="1308" t="str">
        <f t="shared" si="90"/>
        <v xml:space="preserve">Civil Engineering/Design </v>
      </c>
      <c r="H39" s="1309" t="s">
        <v>291</v>
      </c>
      <c r="I39" s="1310">
        <f t="shared" ca="1" si="91"/>
        <v>63.7</v>
      </c>
      <c r="J39" s="1685"/>
      <c r="K39" s="1311">
        <f t="shared" si="92"/>
        <v>0</v>
      </c>
      <c r="L39" s="1312">
        <f t="shared" si="92"/>
        <v>0</v>
      </c>
      <c r="M39" s="1685"/>
      <c r="N39" s="1313">
        <f t="shared" si="93"/>
        <v>0</v>
      </c>
      <c r="O39" s="1312">
        <f t="shared" ca="1" si="94"/>
        <v>0</v>
      </c>
      <c r="P39" s="1685"/>
      <c r="Q39" s="1313">
        <f t="shared" si="95"/>
        <v>0</v>
      </c>
      <c r="R39" s="1312">
        <f t="shared" ca="1" si="96"/>
        <v>0</v>
      </c>
      <c r="S39" s="1685"/>
      <c r="T39" s="1313">
        <f t="shared" si="97"/>
        <v>80</v>
      </c>
      <c r="U39" s="1312">
        <f t="shared" ca="1" si="98"/>
        <v>5565</v>
      </c>
      <c r="V39" s="1685"/>
      <c r="W39" s="1313">
        <f t="shared" si="99"/>
        <v>40</v>
      </c>
      <c r="X39" s="1312">
        <f t="shared" ca="1" si="100"/>
        <v>2866</v>
      </c>
      <c r="Y39" s="1685"/>
      <c r="Z39" s="1313">
        <f t="shared" si="101"/>
        <v>0</v>
      </c>
      <c r="AA39" s="1312">
        <f t="shared" ca="1" si="102"/>
        <v>0</v>
      </c>
      <c r="AB39" s="1685"/>
      <c r="AC39" s="1313">
        <f t="shared" si="103"/>
        <v>0</v>
      </c>
      <c r="AD39" s="1312">
        <f t="shared" ca="1" si="104"/>
        <v>0</v>
      </c>
      <c r="AE39" s="1685"/>
      <c r="AF39" s="1313">
        <f t="shared" si="105"/>
        <v>0</v>
      </c>
      <c r="AG39" s="1312">
        <f t="shared" ca="1" si="106"/>
        <v>0</v>
      </c>
      <c r="AH39" s="1685"/>
      <c r="AI39" s="1313">
        <f t="shared" si="107"/>
        <v>0</v>
      </c>
      <c r="AJ39" s="1312">
        <f t="shared" ca="1" si="108"/>
        <v>0</v>
      </c>
      <c r="AK39" s="1685"/>
      <c r="AL39" s="1313">
        <f t="shared" si="109"/>
        <v>0</v>
      </c>
      <c r="AM39" s="1312">
        <f t="shared" ca="1" si="110"/>
        <v>0</v>
      </c>
      <c r="AN39" s="1685"/>
      <c r="AO39" s="1313">
        <f t="shared" si="111"/>
        <v>0</v>
      </c>
      <c r="AP39" s="1312">
        <f t="shared" ca="1" si="112"/>
        <v>0</v>
      </c>
      <c r="AQ39" s="1685"/>
      <c r="AR39" s="1313">
        <f t="shared" si="113"/>
        <v>120</v>
      </c>
      <c r="AS39" s="1312">
        <f t="shared" ca="1" si="114"/>
        <v>8431</v>
      </c>
      <c r="AT39" s="1687"/>
      <c r="AU39" s="411"/>
      <c r="AV39" s="1757">
        <f t="shared" ca="1" si="23"/>
        <v>8431</v>
      </c>
      <c r="AW39" s="411"/>
      <c r="AX39" s="493"/>
      <c r="AY39" s="1566" t="s">
        <v>314</v>
      </c>
      <c r="AZ39" s="1567" t="s">
        <v>291</v>
      </c>
      <c r="BA39" s="2445">
        <f ca="1">+'Data Input sheet'!D141</f>
        <v>63.7</v>
      </c>
      <c r="BB39" s="1579"/>
      <c r="BC39" s="1599">
        <v>0</v>
      </c>
      <c r="BD39" s="1600">
        <v>0</v>
      </c>
      <c r="BE39" s="1579"/>
      <c r="BF39" s="1612"/>
      <c r="BG39" s="426">
        <f ca="1">ROUND(+BF39*$BA$39,0)</f>
        <v>0</v>
      </c>
      <c r="BH39" s="1579"/>
      <c r="BI39" s="1612"/>
      <c r="BJ39" s="426">
        <f ca="1">ROUND(+BI39*$BA$39,0)</f>
        <v>0</v>
      </c>
      <c r="BK39" s="1666"/>
      <c r="BL39" s="1612">
        <v>80</v>
      </c>
      <c r="BM39" s="426">
        <f ca="1">ROUND(+BL39*$BA$39,0)</f>
        <v>5096</v>
      </c>
      <c r="BN39" s="1579"/>
      <c r="BO39" s="1612">
        <v>40</v>
      </c>
      <c r="BP39" s="426">
        <f ca="1">ROUND(+BO39*$BA$39,0)</f>
        <v>2548</v>
      </c>
      <c r="BQ39" s="1579"/>
      <c r="BR39" s="1612">
        <v>0</v>
      </c>
      <c r="BS39" s="426">
        <f ca="1">ROUND(+BR39*$BA$39,0)</f>
        <v>0</v>
      </c>
      <c r="BT39" s="1579"/>
      <c r="BU39" s="1612"/>
      <c r="BV39" s="426">
        <f ca="1">ROUND(+BU39*$BA$39,0)</f>
        <v>0</v>
      </c>
      <c r="BW39" s="1579"/>
      <c r="BX39" s="1612"/>
      <c r="BY39" s="426">
        <f ca="1">ROUND(+BX39*$BA$39,0)</f>
        <v>0</v>
      </c>
      <c r="BZ39" s="1579"/>
      <c r="CA39" s="1612"/>
      <c r="CB39" s="426">
        <f ca="1">ROUND(+CA39*$BA$39,0)</f>
        <v>0</v>
      </c>
      <c r="CC39" s="1579"/>
      <c r="CD39" s="1612"/>
      <c r="CE39" s="426">
        <f ca="1">ROUND(+CD39*$BA$39,0)</f>
        <v>0</v>
      </c>
      <c r="CF39" s="1579"/>
      <c r="CG39" s="1612">
        <v>0</v>
      </c>
      <c r="CH39" s="426">
        <f ca="1">ROUND(+CG39*$BA$39,0)</f>
        <v>0</v>
      </c>
      <c r="CI39" s="1579"/>
      <c r="CJ39" s="1257">
        <f t="shared" si="115"/>
        <v>120</v>
      </c>
      <c r="CK39" s="1395">
        <f t="shared" ca="1" si="116"/>
        <v>7644</v>
      </c>
      <c r="CL39" s="427" t="s">
        <v>3768</v>
      </c>
      <c r="CM39" s="170"/>
      <c r="CN39" s="493"/>
      <c r="CO39" s="428" t="str">
        <f t="shared" si="117"/>
        <v xml:space="preserve">Civil Engineering/Design </v>
      </c>
      <c r="CP39" s="429" t="s">
        <v>291</v>
      </c>
      <c r="CQ39" s="429"/>
      <c r="CR39" s="443"/>
      <c r="CS39" s="435">
        <v>0</v>
      </c>
      <c r="CT39" s="431">
        <f t="shared" si="118"/>
        <v>0</v>
      </c>
      <c r="CU39" s="443"/>
      <c r="CV39" s="435">
        <v>0</v>
      </c>
      <c r="CW39" s="434">
        <f t="shared" ca="1" si="119"/>
        <v>0</v>
      </c>
      <c r="CX39" s="443"/>
      <c r="CY39" s="432">
        <v>0</v>
      </c>
      <c r="CZ39" s="434">
        <f t="shared" ca="1" si="120"/>
        <v>0</v>
      </c>
      <c r="DA39" s="443"/>
      <c r="DB39" s="432">
        <v>0</v>
      </c>
      <c r="DC39" s="434">
        <f t="shared" ca="1" si="121"/>
        <v>469</v>
      </c>
      <c r="DD39" s="443"/>
      <c r="DE39" s="432">
        <v>0</v>
      </c>
      <c r="DF39" s="434">
        <f t="shared" ca="1" si="122"/>
        <v>318</v>
      </c>
      <c r="DG39" s="443"/>
      <c r="DH39" s="432">
        <v>0</v>
      </c>
      <c r="DI39" s="434">
        <f t="shared" ca="1" si="123"/>
        <v>0</v>
      </c>
      <c r="DJ39" s="443"/>
      <c r="DK39" s="432">
        <v>0</v>
      </c>
      <c r="DL39" s="434">
        <f t="shared" ca="1" si="124"/>
        <v>0</v>
      </c>
      <c r="DM39" s="443"/>
      <c r="DN39" s="432">
        <v>0</v>
      </c>
      <c r="DO39" s="434">
        <f t="shared" ca="1" si="125"/>
        <v>0</v>
      </c>
      <c r="DP39" s="443"/>
      <c r="DQ39" s="432">
        <v>0</v>
      </c>
      <c r="DR39" s="434">
        <f t="shared" ca="1" si="126"/>
        <v>0</v>
      </c>
      <c r="DS39" s="443"/>
      <c r="DT39" s="432">
        <v>0</v>
      </c>
      <c r="DU39" s="434">
        <f t="shared" ca="1" si="127"/>
        <v>0</v>
      </c>
      <c r="DV39" s="443"/>
      <c r="DW39" s="432">
        <v>0</v>
      </c>
      <c r="DX39" s="434">
        <f t="shared" ca="1" si="128"/>
        <v>0</v>
      </c>
      <c r="DY39" s="443"/>
      <c r="DZ39" s="435">
        <f t="shared" si="129"/>
        <v>0</v>
      </c>
      <c r="EA39" s="444">
        <f t="shared" ca="1" si="130"/>
        <v>787</v>
      </c>
      <c r="EB39" s="433"/>
      <c r="EC39" s="170"/>
      <c r="ED39" s="170"/>
      <c r="EE39" s="170"/>
      <c r="EF39" s="170"/>
      <c r="EG39" s="170"/>
      <c r="EH39" s="170"/>
      <c r="EI39" s="170"/>
      <c r="EJ39" s="170"/>
      <c r="EK39" s="170"/>
    </row>
    <row r="40" spans="1:141" ht="15" x14ac:dyDescent="0.25">
      <c r="A40" s="168"/>
      <c r="B40" s="424">
        <v>1</v>
      </c>
      <c r="C40" s="424">
        <v>2</v>
      </c>
      <c r="D40" s="424">
        <v>1</v>
      </c>
      <c r="E40" s="425">
        <v>5</v>
      </c>
      <c r="F40" s="493" t="s">
        <v>3188</v>
      </c>
      <c r="G40" s="1308" t="str">
        <f t="shared" si="90"/>
        <v xml:space="preserve">Substation (T) Engineering/Design </v>
      </c>
      <c r="H40" s="1309" t="s">
        <v>291</v>
      </c>
      <c r="I40" s="1310">
        <f t="shared" ca="1" si="91"/>
        <v>61.5</v>
      </c>
      <c r="J40" s="1685"/>
      <c r="K40" s="1311">
        <f t="shared" si="92"/>
        <v>0</v>
      </c>
      <c r="L40" s="1312">
        <f t="shared" si="92"/>
        <v>5269</v>
      </c>
      <c r="M40" s="1685"/>
      <c r="N40" s="1313">
        <f t="shared" si="93"/>
        <v>0</v>
      </c>
      <c r="O40" s="1312">
        <f t="shared" ca="1" si="94"/>
        <v>0</v>
      </c>
      <c r="P40" s="1685"/>
      <c r="Q40" s="1313">
        <f t="shared" si="95"/>
        <v>0</v>
      </c>
      <c r="R40" s="1312">
        <f t="shared" si="96"/>
        <v>0</v>
      </c>
      <c r="S40" s="1685"/>
      <c r="T40" s="1313">
        <f t="shared" si="97"/>
        <v>160</v>
      </c>
      <c r="U40" s="1312">
        <f t="shared" ca="1" si="98"/>
        <v>10745</v>
      </c>
      <c r="V40" s="1685"/>
      <c r="W40" s="1313">
        <f t="shared" si="99"/>
        <v>120</v>
      </c>
      <c r="X40" s="1312">
        <f t="shared" ca="1" si="100"/>
        <v>8301</v>
      </c>
      <c r="Y40" s="1685"/>
      <c r="Z40" s="1313">
        <f t="shared" si="101"/>
        <v>80</v>
      </c>
      <c r="AA40" s="1312">
        <f t="shared" ca="1" si="102"/>
        <v>5700</v>
      </c>
      <c r="AB40" s="1685"/>
      <c r="AC40" s="1313">
        <f t="shared" si="103"/>
        <v>0</v>
      </c>
      <c r="AD40" s="1312">
        <f t="shared" ca="1" si="104"/>
        <v>0</v>
      </c>
      <c r="AE40" s="1685"/>
      <c r="AF40" s="1313">
        <f t="shared" si="105"/>
        <v>0</v>
      </c>
      <c r="AG40" s="1312">
        <f t="shared" ca="1" si="106"/>
        <v>0</v>
      </c>
      <c r="AH40" s="1685"/>
      <c r="AI40" s="1313">
        <f t="shared" si="107"/>
        <v>0</v>
      </c>
      <c r="AJ40" s="1312">
        <f t="shared" ca="1" si="108"/>
        <v>0</v>
      </c>
      <c r="AK40" s="1685"/>
      <c r="AL40" s="1313">
        <f t="shared" si="109"/>
        <v>0</v>
      </c>
      <c r="AM40" s="1312">
        <f t="shared" ca="1" si="110"/>
        <v>0</v>
      </c>
      <c r="AN40" s="1685"/>
      <c r="AO40" s="1313">
        <f t="shared" si="111"/>
        <v>0</v>
      </c>
      <c r="AP40" s="1312">
        <f t="shared" ca="1" si="112"/>
        <v>0</v>
      </c>
      <c r="AQ40" s="1685"/>
      <c r="AR40" s="1313">
        <f t="shared" si="113"/>
        <v>360</v>
      </c>
      <c r="AS40" s="1312">
        <f t="shared" ca="1" si="114"/>
        <v>30015</v>
      </c>
      <c r="AT40" s="1687"/>
      <c r="AU40" s="411"/>
      <c r="AV40" s="1757">
        <f t="shared" ca="1" si="23"/>
        <v>30015</v>
      </c>
      <c r="AW40" s="411"/>
      <c r="AX40" s="493"/>
      <c r="AY40" s="1566" t="s">
        <v>1772</v>
      </c>
      <c r="AZ40" s="1567" t="s">
        <v>291</v>
      </c>
      <c r="BA40" s="2445">
        <f ca="1">+'Data Input sheet'!D142</f>
        <v>61.5</v>
      </c>
      <c r="BB40" s="1579"/>
      <c r="BC40" s="1599">
        <v>0</v>
      </c>
      <c r="BD40" s="1600">
        <v>5269</v>
      </c>
      <c r="BE40" s="1579"/>
      <c r="BF40" s="1612">
        <v>0</v>
      </c>
      <c r="BG40" s="426">
        <f ca="1">ROUND(+BF40*$BA$40,0)</f>
        <v>0</v>
      </c>
      <c r="BH40" s="1579"/>
      <c r="BI40" s="1612"/>
      <c r="BJ40" s="426"/>
      <c r="BK40" s="1666"/>
      <c r="BL40" s="1612">
        <v>160</v>
      </c>
      <c r="BM40" s="426">
        <f ca="1">ROUND(+BL40*$BA$40,0)</f>
        <v>9840</v>
      </c>
      <c r="BN40" s="1579"/>
      <c r="BO40" s="1612">
        <v>120</v>
      </c>
      <c r="BP40" s="426">
        <f ca="1">ROUND(+BO40*$BA$40,0)</f>
        <v>7380</v>
      </c>
      <c r="BQ40" s="1579"/>
      <c r="BR40" s="1612">
        <v>80</v>
      </c>
      <c r="BS40" s="426">
        <f ca="1">ROUND(+BR40*$BA$40,0)</f>
        <v>4920</v>
      </c>
      <c r="BT40" s="1579"/>
      <c r="BU40" s="1612">
        <v>0</v>
      </c>
      <c r="BV40" s="426">
        <f ca="1">ROUND(+BU40*$BA$40,0)</f>
        <v>0</v>
      </c>
      <c r="BW40" s="1579"/>
      <c r="BX40" s="1612">
        <v>0</v>
      </c>
      <c r="BY40" s="426">
        <f ca="1">ROUND(+BX40*$BA$40,0)</f>
        <v>0</v>
      </c>
      <c r="BZ40" s="1579"/>
      <c r="CA40" s="1612">
        <v>0</v>
      </c>
      <c r="CB40" s="426">
        <f ca="1">ROUND(+CA40*$BA$40,0)</f>
        <v>0</v>
      </c>
      <c r="CC40" s="1579"/>
      <c r="CD40" s="1612">
        <v>0</v>
      </c>
      <c r="CE40" s="426">
        <f ca="1">ROUND(+CD40*$BA$40,0)</f>
        <v>0</v>
      </c>
      <c r="CF40" s="1579"/>
      <c r="CG40" s="1612">
        <v>0</v>
      </c>
      <c r="CH40" s="426">
        <f ca="1">ROUND(+CG40*$BA$40,0)</f>
        <v>0</v>
      </c>
      <c r="CI40" s="1579"/>
      <c r="CJ40" s="1257">
        <f t="shared" si="115"/>
        <v>360</v>
      </c>
      <c r="CK40" s="1395">
        <f ca="1">+BS40+BP40+BM40+BJ40+BG40+BD40+BV40+BY40+CB40+CE40+CH40</f>
        <v>27409</v>
      </c>
      <c r="CL40" s="427" t="s">
        <v>3763</v>
      </c>
      <c r="CM40" s="170"/>
      <c r="CN40" s="493"/>
      <c r="CO40" s="428" t="str">
        <f t="shared" si="117"/>
        <v xml:space="preserve">Substation (T) Engineering/Design </v>
      </c>
      <c r="CP40" s="429" t="s">
        <v>291</v>
      </c>
      <c r="CQ40" s="429"/>
      <c r="CR40" s="443"/>
      <c r="CS40" s="435">
        <v>0</v>
      </c>
      <c r="CT40" s="431">
        <f t="shared" si="118"/>
        <v>0</v>
      </c>
      <c r="CU40" s="443"/>
      <c r="CV40" s="435">
        <v>0</v>
      </c>
      <c r="CW40" s="434">
        <f t="shared" ca="1" si="119"/>
        <v>0</v>
      </c>
      <c r="CX40" s="443"/>
      <c r="CY40" s="432">
        <v>0</v>
      </c>
      <c r="CZ40" s="434">
        <f t="shared" si="120"/>
        <v>0</v>
      </c>
      <c r="DA40" s="443"/>
      <c r="DB40" s="432">
        <v>0</v>
      </c>
      <c r="DC40" s="434">
        <f t="shared" ca="1" si="121"/>
        <v>905</v>
      </c>
      <c r="DD40" s="443"/>
      <c r="DE40" s="432">
        <v>0</v>
      </c>
      <c r="DF40" s="434">
        <f t="shared" ca="1" si="122"/>
        <v>921</v>
      </c>
      <c r="DG40" s="443"/>
      <c r="DH40" s="432">
        <v>0</v>
      </c>
      <c r="DI40" s="434">
        <f t="shared" ca="1" si="123"/>
        <v>780</v>
      </c>
      <c r="DJ40" s="443"/>
      <c r="DK40" s="432">
        <v>0</v>
      </c>
      <c r="DL40" s="434">
        <f t="shared" ca="1" si="124"/>
        <v>0</v>
      </c>
      <c r="DM40" s="443"/>
      <c r="DN40" s="432">
        <v>0</v>
      </c>
      <c r="DO40" s="434">
        <f t="shared" ca="1" si="125"/>
        <v>0</v>
      </c>
      <c r="DP40" s="443"/>
      <c r="DQ40" s="432">
        <v>0</v>
      </c>
      <c r="DR40" s="434">
        <f t="shared" ca="1" si="126"/>
        <v>0</v>
      </c>
      <c r="DS40" s="443"/>
      <c r="DT40" s="432">
        <v>0</v>
      </c>
      <c r="DU40" s="434">
        <f t="shared" ca="1" si="127"/>
        <v>0</v>
      </c>
      <c r="DV40" s="443"/>
      <c r="DW40" s="432">
        <v>0</v>
      </c>
      <c r="DX40" s="434">
        <f t="shared" ca="1" si="128"/>
        <v>0</v>
      </c>
      <c r="DY40" s="443"/>
      <c r="DZ40" s="435">
        <f t="shared" si="129"/>
        <v>0</v>
      </c>
      <c r="EA40" s="444">
        <f t="shared" ca="1" si="130"/>
        <v>2606</v>
      </c>
      <c r="EB40" s="433"/>
      <c r="EC40" s="170"/>
      <c r="ED40" s="170"/>
      <c r="EE40" s="170"/>
      <c r="EF40" s="170"/>
      <c r="EG40" s="170"/>
      <c r="EH40" s="170"/>
      <c r="EI40" s="170"/>
      <c r="EJ40" s="170"/>
      <c r="EK40" s="170"/>
    </row>
    <row r="41" spans="1:141" ht="15" x14ac:dyDescent="0.25">
      <c r="A41" s="168"/>
      <c r="B41" s="424">
        <v>1</v>
      </c>
      <c r="C41" s="424">
        <v>2</v>
      </c>
      <c r="D41" s="424">
        <v>1</v>
      </c>
      <c r="E41" s="425">
        <v>5</v>
      </c>
      <c r="F41" s="493" t="s">
        <v>3188</v>
      </c>
      <c r="G41" s="1308" t="str">
        <f t="shared" si="90"/>
        <v>Substation (D) Engineering/Design</v>
      </c>
      <c r="H41" s="1309" t="s">
        <v>291</v>
      </c>
      <c r="I41" s="1310">
        <f t="shared" ca="1" si="91"/>
        <v>61.5</v>
      </c>
      <c r="J41" s="1685"/>
      <c r="K41" s="1311">
        <f t="shared" si="92"/>
        <v>0</v>
      </c>
      <c r="L41" s="1312">
        <f t="shared" si="92"/>
        <v>0</v>
      </c>
      <c r="M41" s="1685"/>
      <c r="N41" s="1313">
        <f t="shared" si="93"/>
        <v>0</v>
      </c>
      <c r="O41" s="1312">
        <f t="shared" ca="1" si="94"/>
        <v>0</v>
      </c>
      <c r="P41" s="1685"/>
      <c r="Q41" s="1313">
        <f t="shared" si="95"/>
        <v>0</v>
      </c>
      <c r="R41" s="1312">
        <f t="shared" ca="1" si="96"/>
        <v>0</v>
      </c>
      <c r="S41" s="1685"/>
      <c r="T41" s="1313">
        <f t="shared" si="97"/>
        <v>0</v>
      </c>
      <c r="U41" s="1312">
        <f t="shared" ca="1" si="98"/>
        <v>0</v>
      </c>
      <c r="V41" s="1685"/>
      <c r="W41" s="1313">
        <f t="shared" si="99"/>
        <v>0</v>
      </c>
      <c r="X41" s="1312">
        <f t="shared" ca="1" si="100"/>
        <v>0</v>
      </c>
      <c r="Y41" s="1685"/>
      <c r="Z41" s="1313">
        <f t="shared" si="101"/>
        <v>0</v>
      </c>
      <c r="AA41" s="1312">
        <f t="shared" ca="1" si="102"/>
        <v>0</v>
      </c>
      <c r="AB41" s="1685"/>
      <c r="AC41" s="1313">
        <f t="shared" si="103"/>
        <v>0</v>
      </c>
      <c r="AD41" s="1312">
        <f t="shared" ca="1" si="104"/>
        <v>0</v>
      </c>
      <c r="AE41" s="1685"/>
      <c r="AF41" s="1313">
        <f t="shared" si="105"/>
        <v>0</v>
      </c>
      <c r="AG41" s="1312">
        <f t="shared" ca="1" si="106"/>
        <v>0</v>
      </c>
      <c r="AH41" s="1685"/>
      <c r="AI41" s="1313">
        <f t="shared" si="107"/>
        <v>0</v>
      </c>
      <c r="AJ41" s="1312">
        <f t="shared" ca="1" si="108"/>
        <v>0</v>
      </c>
      <c r="AK41" s="1685"/>
      <c r="AL41" s="1313">
        <f t="shared" si="109"/>
        <v>0</v>
      </c>
      <c r="AM41" s="1312">
        <f t="shared" ca="1" si="110"/>
        <v>0</v>
      </c>
      <c r="AN41" s="1685"/>
      <c r="AO41" s="1313">
        <f t="shared" si="111"/>
        <v>0</v>
      </c>
      <c r="AP41" s="1312">
        <f t="shared" ca="1" si="112"/>
        <v>0</v>
      </c>
      <c r="AQ41" s="1685"/>
      <c r="AR41" s="1313">
        <f t="shared" si="113"/>
        <v>0</v>
      </c>
      <c r="AS41" s="1312">
        <f t="shared" ca="1" si="114"/>
        <v>0</v>
      </c>
      <c r="AT41" s="1687"/>
      <c r="AU41" s="411"/>
      <c r="AV41" s="1757">
        <f t="shared" ca="1" si="23"/>
        <v>0</v>
      </c>
      <c r="AW41" s="411"/>
      <c r="AX41" s="493"/>
      <c r="AY41" s="1566" t="s">
        <v>1773</v>
      </c>
      <c r="AZ41" s="1567" t="s">
        <v>291</v>
      </c>
      <c r="BA41" s="2445">
        <f ca="1">+'Data Input sheet'!D142</f>
        <v>61.5</v>
      </c>
      <c r="BB41" s="1579"/>
      <c r="BC41" s="1599">
        <v>0</v>
      </c>
      <c r="BD41" s="1600"/>
      <c r="BE41" s="1579"/>
      <c r="BF41" s="1612">
        <v>0</v>
      </c>
      <c r="BG41" s="426">
        <f ca="1">ROUND(+BF41*$BA$41,0)</f>
        <v>0</v>
      </c>
      <c r="BH41" s="1579"/>
      <c r="BI41" s="1612">
        <v>0</v>
      </c>
      <c r="BJ41" s="426">
        <f ca="1">ROUND(+BI41*$BA$41,0)</f>
        <v>0</v>
      </c>
      <c r="BK41" s="1666"/>
      <c r="BL41" s="1612">
        <v>0</v>
      </c>
      <c r="BM41" s="426">
        <f ca="1">ROUND(+BL41*$BA$41,0)</f>
        <v>0</v>
      </c>
      <c r="BN41" s="1579"/>
      <c r="BO41" s="1612">
        <v>0</v>
      </c>
      <c r="BP41" s="426">
        <f ca="1">ROUND(+BO41*$BA$41,0)</f>
        <v>0</v>
      </c>
      <c r="BQ41" s="1579"/>
      <c r="BR41" s="1612">
        <v>0</v>
      </c>
      <c r="BS41" s="426">
        <f ca="1">ROUND(+BR41*$BA$41,0)</f>
        <v>0</v>
      </c>
      <c r="BT41" s="1579"/>
      <c r="BU41" s="1612">
        <v>0</v>
      </c>
      <c r="BV41" s="426">
        <f ca="1">ROUND(+BU41*$BA$41,0)</f>
        <v>0</v>
      </c>
      <c r="BW41" s="1579"/>
      <c r="BX41" s="1612">
        <v>0</v>
      </c>
      <c r="BY41" s="426">
        <f ca="1">ROUND(+BX41*$BA$41,0)</f>
        <v>0</v>
      </c>
      <c r="BZ41" s="1579"/>
      <c r="CA41" s="1612">
        <v>0</v>
      </c>
      <c r="CB41" s="426">
        <f ca="1">ROUND(+CA41*$BA$41,0)</f>
        <v>0</v>
      </c>
      <c r="CC41" s="1579"/>
      <c r="CD41" s="1612">
        <v>0</v>
      </c>
      <c r="CE41" s="426">
        <f ca="1">ROUND(+CD41*$BA$41,0)</f>
        <v>0</v>
      </c>
      <c r="CF41" s="1579"/>
      <c r="CG41" s="1612">
        <v>0</v>
      </c>
      <c r="CH41" s="426">
        <f ca="1">ROUND(+CG41*$BA$41,0)</f>
        <v>0</v>
      </c>
      <c r="CI41" s="1579"/>
      <c r="CJ41" s="1257">
        <f t="shared" si="115"/>
        <v>0</v>
      </c>
      <c r="CK41" s="1395">
        <f t="shared" ca="1" si="116"/>
        <v>0</v>
      </c>
      <c r="CL41" s="427"/>
      <c r="CM41" s="170"/>
      <c r="CN41" s="493"/>
      <c r="CO41" s="428" t="str">
        <f t="shared" si="117"/>
        <v>Substation (D) Engineering/Design</v>
      </c>
      <c r="CP41" s="429" t="s">
        <v>291</v>
      </c>
      <c r="CQ41" s="429"/>
      <c r="CR41" s="443"/>
      <c r="CS41" s="435">
        <v>0</v>
      </c>
      <c r="CT41" s="431">
        <f t="shared" si="118"/>
        <v>0</v>
      </c>
      <c r="CU41" s="443"/>
      <c r="CV41" s="435">
        <v>0</v>
      </c>
      <c r="CW41" s="434">
        <f t="shared" ca="1" si="119"/>
        <v>0</v>
      </c>
      <c r="CX41" s="443"/>
      <c r="CY41" s="432">
        <v>0</v>
      </c>
      <c r="CZ41" s="434">
        <f t="shared" ca="1" si="120"/>
        <v>0</v>
      </c>
      <c r="DA41" s="443"/>
      <c r="DB41" s="432">
        <v>0</v>
      </c>
      <c r="DC41" s="434">
        <f t="shared" ca="1" si="121"/>
        <v>0</v>
      </c>
      <c r="DD41" s="443"/>
      <c r="DE41" s="432">
        <v>0</v>
      </c>
      <c r="DF41" s="434">
        <f t="shared" ca="1" si="122"/>
        <v>0</v>
      </c>
      <c r="DG41" s="443"/>
      <c r="DH41" s="432">
        <v>0</v>
      </c>
      <c r="DI41" s="434">
        <f t="shared" ca="1" si="123"/>
        <v>0</v>
      </c>
      <c r="DJ41" s="443"/>
      <c r="DK41" s="432">
        <v>0</v>
      </c>
      <c r="DL41" s="434">
        <f t="shared" ca="1" si="124"/>
        <v>0</v>
      </c>
      <c r="DM41" s="443"/>
      <c r="DN41" s="432">
        <v>0</v>
      </c>
      <c r="DO41" s="434">
        <f t="shared" ca="1" si="125"/>
        <v>0</v>
      </c>
      <c r="DP41" s="443"/>
      <c r="DQ41" s="432">
        <v>0</v>
      </c>
      <c r="DR41" s="434">
        <f t="shared" ca="1" si="126"/>
        <v>0</v>
      </c>
      <c r="DS41" s="443"/>
      <c r="DT41" s="432">
        <v>0</v>
      </c>
      <c r="DU41" s="434">
        <f t="shared" ca="1" si="127"/>
        <v>0</v>
      </c>
      <c r="DV41" s="443"/>
      <c r="DW41" s="432">
        <v>0</v>
      </c>
      <c r="DX41" s="434">
        <f t="shared" ca="1" si="128"/>
        <v>0</v>
      </c>
      <c r="DY41" s="443"/>
      <c r="DZ41" s="435">
        <f t="shared" si="129"/>
        <v>0</v>
      </c>
      <c r="EA41" s="444">
        <f t="shared" ca="1" si="130"/>
        <v>0</v>
      </c>
      <c r="EB41" s="433"/>
      <c r="EC41" s="170"/>
      <c r="ED41" s="170"/>
      <c r="EE41" s="170"/>
      <c r="EF41" s="170"/>
      <c r="EG41" s="170"/>
      <c r="EH41" s="170"/>
      <c r="EI41" s="170"/>
      <c r="EJ41" s="170"/>
      <c r="EK41" s="170"/>
    </row>
    <row r="42" spans="1:141" ht="25.5" x14ac:dyDescent="0.25">
      <c r="A42" s="168"/>
      <c r="B42" s="424">
        <v>1</v>
      </c>
      <c r="C42" s="424">
        <v>2</v>
      </c>
      <c r="D42" s="424">
        <v>1</v>
      </c>
      <c r="E42" s="425">
        <v>5</v>
      </c>
      <c r="F42" s="493" t="s">
        <v>3188</v>
      </c>
      <c r="G42" s="1308" t="str">
        <f t="shared" si="90"/>
        <v xml:space="preserve">Protection &amp; Controls Engineering </v>
      </c>
      <c r="H42" s="1309" t="s">
        <v>291</v>
      </c>
      <c r="I42" s="1310">
        <f t="shared" ca="1" si="91"/>
        <v>61.5</v>
      </c>
      <c r="J42" s="1685"/>
      <c r="K42" s="1311">
        <f t="shared" si="92"/>
        <v>0</v>
      </c>
      <c r="L42" s="1312">
        <f t="shared" si="92"/>
        <v>0</v>
      </c>
      <c r="M42" s="1685"/>
      <c r="N42" s="1313">
        <f t="shared" si="93"/>
        <v>0</v>
      </c>
      <c r="O42" s="1312">
        <f t="shared" ca="1" si="94"/>
        <v>0</v>
      </c>
      <c r="P42" s="1685"/>
      <c r="Q42" s="1313">
        <f t="shared" si="95"/>
        <v>0</v>
      </c>
      <c r="R42" s="1312">
        <f t="shared" ca="1" si="96"/>
        <v>0</v>
      </c>
      <c r="S42" s="1685"/>
      <c r="T42" s="1313">
        <f t="shared" si="97"/>
        <v>300</v>
      </c>
      <c r="U42" s="1312">
        <f t="shared" ca="1" si="98"/>
        <v>20147</v>
      </c>
      <c r="V42" s="1685"/>
      <c r="W42" s="1313">
        <f t="shared" si="99"/>
        <v>300</v>
      </c>
      <c r="X42" s="1312">
        <f t="shared" ca="1" si="100"/>
        <v>20752</v>
      </c>
      <c r="Y42" s="1685"/>
      <c r="Z42" s="1313">
        <f t="shared" si="101"/>
        <v>280</v>
      </c>
      <c r="AA42" s="1312">
        <f t="shared" ca="1" si="102"/>
        <v>19949</v>
      </c>
      <c r="AB42" s="1685"/>
      <c r="AC42" s="1313">
        <f t="shared" si="103"/>
        <v>0</v>
      </c>
      <c r="AD42" s="1312">
        <f t="shared" ca="1" si="104"/>
        <v>0</v>
      </c>
      <c r="AE42" s="1685"/>
      <c r="AF42" s="1313">
        <f t="shared" si="105"/>
        <v>0</v>
      </c>
      <c r="AG42" s="1312">
        <f t="shared" ca="1" si="106"/>
        <v>0</v>
      </c>
      <c r="AH42" s="1685"/>
      <c r="AI42" s="1313">
        <f t="shared" si="107"/>
        <v>0</v>
      </c>
      <c r="AJ42" s="1312">
        <f t="shared" ca="1" si="108"/>
        <v>0</v>
      </c>
      <c r="AK42" s="1685"/>
      <c r="AL42" s="1313">
        <f t="shared" si="109"/>
        <v>0</v>
      </c>
      <c r="AM42" s="1312">
        <f t="shared" ca="1" si="110"/>
        <v>0</v>
      </c>
      <c r="AN42" s="1685"/>
      <c r="AO42" s="1313">
        <f t="shared" si="111"/>
        <v>0</v>
      </c>
      <c r="AP42" s="1312">
        <f t="shared" ca="1" si="112"/>
        <v>0</v>
      </c>
      <c r="AQ42" s="1685"/>
      <c r="AR42" s="1313">
        <f t="shared" si="113"/>
        <v>880</v>
      </c>
      <c r="AS42" s="1312">
        <f t="shared" ca="1" si="114"/>
        <v>60848</v>
      </c>
      <c r="AT42" s="1687"/>
      <c r="AU42" s="411"/>
      <c r="AV42" s="1757">
        <f t="shared" ca="1" si="23"/>
        <v>60848</v>
      </c>
      <c r="AW42" s="411"/>
      <c r="AX42" s="493"/>
      <c r="AY42" s="1566" t="s">
        <v>315</v>
      </c>
      <c r="AZ42" s="1567" t="s">
        <v>291</v>
      </c>
      <c r="BA42" s="2445">
        <f ca="1">+'Data Input sheet'!D143</f>
        <v>61.5</v>
      </c>
      <c r="BB42" s="1579"/>
      <c r="BC42" s="1599">
        <v>0</v>
      </c>
      <c r="BD42" s="1600">
        <v>0</v>
      </c>
      <c r="BE42" s="1579"/>
      <c r="BF42" s="1612"/>
      <c r="BG42" s="426">
        <f ca="1">ROUND(+BF42*$BA$42,0)</f>
        <v>0</v>
      </c>
      <c r="BH42" s="1579"/>
      <c r="BI42" s="1612"/>
      <c r="BJ42" s="426">
        <f ca="1">ROUND(+BI42*$BA$42,0)</f>
        <v>0</v>
      </c>
      <c r="BK42" s="1666"/>
      <c r="BL42" s="1612">
        <v>300</v>
      </c>
      <c r="BM42" s="426">
        <f ca="1">ROUND(+BL42*$BA$42,0)</f>
        <v>18450</v>
      </c>
      <c r="BN42" s="1579"/>
      <c r="BO42" s="1612">
        <v>300</v>
      </c>
      <c r="BP42" s="426">
        <f ca="1">ROUND(+BO42*$BA$42,0)</f>
        <v>18450</v>
      </c>
      <c r="BQ42" s="1579"/>
      <c r="BR42" s="1612">
        <v>280</v>
      </c>
      <c r="BS42" s="426">
        <f ca="1">ROUND(+BR42*$BA$42,0)</f>
        <v>17220</v>
      </c>
      <c r="BT42" s="1579"/>
      <c r="BU42" s="1612">
        <v>0</v>
      </c>
      <c r="BV42" s="426">
        <f ca="1">ROUND(+BU42*$BA$42,0)</f>
        <v>0</v>
      </c>
      <c r="BW42" s="1579"/>
      <c r="BX42" s="1612">
        <v>0</v>
      </c>
      <c r="BY42" s="426">
        <f ca="1">ROUND(+BX42*$BA$42,0)</f>
        <v>0</v>
      </c>
      <c r="BZ42" s="1579"/>
      <c r="CA42" s="1612">
        <v>0</v>
      </c>
      <c r="CB42" s="426">
        <f ca="1">ROUND(+CA42*$BA$42,0)</f>
        <v>0</v>
      </c>
      <c r="CC42" s="1579"/>
      <c r="CD42" s="1612">
        <v>0</v>
      </c>
      <c r="CE42" s="426">
        <f ca="1">ROUND(+CD42*$BA$42,0)</f>
        <v>0</v>
      </c>
      <c r="CF42" s="1579"/>
      <c r="CG42" s="1612">
        <v>0</v>
      </c>
      <c r="CH42" s="426">
        <f ca="1">ROUND(+CG42*$BA$42,0)</f>
        <v>0</v>
      </c>
      <c r="CI42" s="1579"/>
      <c r="CJ42" s="1257">
        <f t="shared" si="115"/>
        <v>880</v>
      </c>
      <c r="CK42" s="1395">
        <f t="shared" ca="1" si="116"/>
        <v>54120</v>
      </c>
      <c r="CL42" s="427" t="s">
        <v>3737</v>
      </c>
      <c r="CM42" s="170"/>
      <c r="CN42" s="493"/>
      <c r="CO42" s="428" t="str">
        <f t="shared" si="117"/>
        <v xml:space="preserve">Protection &amp; Controls Engineering </v>
      </c>
      <c r="CP42" s="429" t="s">
        <v>291</v>
      </c>
      <c r="CQ42" s="429"/>
      <c r="CR42" s="443"/>
      <c r="CS42" s="435">
        <v>0</v>
      </c>
      <c r="CT42" s="431">
        <f t="shared" si="118"/>
        <v>0</v>
      </c>
      <c r="CU42" s="443"/>
      <c r="CV42" s="435">
        <v>0</v>
      </c>
      <c r="CW42" s="434">
        <f t="shared" ca="1" si="119"/>
        <v>0</v>
      </c>
      <c r="CX42" s="443"/>
      <c r="CY42" s="432">
        <v>0</v>
      </c>
      <c r="CZ42" s="434">
        <f t="shared" ca="1" si="120"/>
        <v>0</v>
      </c>
      <c r="DA42" s="443"/>
      <c r="DB42" s="432">
        <v>0</v>
      </c>
      <c r="DC42" s="434">
        <f t="shared" ca="1" si="121"/>
        <v>1697</v>
      </c>
      <c r="DD42" s="443"/>
      <c r="DE42" s="432">
        <v>0</v>
      </c>
      <c r="DF42" s="434">
        <f t="shared" ca="1" si="122"/>
        <v>2302</v>
      </c>
      <c r="DG42" s="443"/>
      <c r="DH42" s="432">
        <v>0</v>
      </c>
      <c r="DI42" s="434">
        <f t="shared" ca="1" si="123"/>
        <v>2729</v>
      </c>
      <c r="DJ42" s="443"/>
      <c r="DK42" s="432">
        <v>0</v>
      </c>
      <c r="DL42" s="434">
        <f t="shared" ca="1" si="124"/>
        <v>0</v>
      </c>
      <c r="DM42" s="443"/>
      <c r="DN42" s="432">
        <v>0</v>
      </c>
      <c r="DO42" s="434">
        <f t="shared" ca="1" si="125"/>
        <v>0</v>
      </c>
      <c r="DP42" s="443"/>
      <c r="DQ42" s="432">
        <v>0</v>
      </c>
      <c r="DR42" s="434">
        <f t="shared" ca="1" si="126"/>
        <v>0</v>
      </c>
      <c r="DS42" s="443"/>
      <c r="DT42" s="432">
        <v>0</v>
      </c>
      <c r="DU42" s="434">
        <f t="shared" ca="1" si="127"/>
        <v>0</v>
      </c>
      <c r="DV42" s="443"/>
      <c r="DW42" s="432">
        <v>0</v>
      </c>
      <c r="DX42" s="434">
        <f t="shared" ca="1" si="128"/>
        <v>0</v>
      </c>
      <c r="DY42" s="443"/>
      <c r="DZ42" s="435">
        <f t="shared" si="129"/>
        <v>0</v>
      </c>
      <c r="EA42" s="444">
        <f t="shared" ca="1" si="130"/>
        <v>6728</v>
      </c>
      <c r="EB42" s="433"/>
      <c r="EC42" s="170"/>
      <c r="ED42" s="170"/>
      <c r="EE42" s="170"/>
      <c r="EF42" s="170"/>
      <c r="EG42" s="170"/>
      <c r="EH42" s="170"/>
      <c r="EI42" s="170"/>
      <c r="EJ42" s="170"/>
      <c r="EK42" s="170"/>
    </row>
    <row r="43" spans="1:141" ht="15" x14ac:dyDescent="0.25">
      <c r="A43" s="168"/>
      <c r="B43" s="424">
        <v>1</v>
      </c>
      <c r="C43" s="424">
        <v>2</v>
      </c>
      <c r="D43" s="424">
        <v>1</v>
      </c>
      <c r="E43" s="425">
        <v>5</v>
      </c>
      <c r="F43" s="493" t="s">
        <v>3188</v>
      </c>
      <c r="G43" s="1308" t="str">
        <f t="shared" si="90"/>
        <v>Survey Engineering</v>
      </c>
      <c r="H43" s="1309" t="s">
        <v>291</v>
      </c>
      <c r="I43" s="1310">
        <f t="shared" si="91"/>
        <v>0</v>
      </c>
      <c r="J43" s="1685"/>
      <c r="K43" s="1311">
        <f t="shared" si="92"/>
        <v>0</v>
      </c>
      <c r="L43" s="1312">
        <f t="shared" si="92"/>
        <v>0</v>
      </c>
      <c r="M43" s="1685"/>
      <c r="N43" s="1313">
        <f t="shared" si="93"/>
        <v>0</v>
      </c>
      <c r="O43" s="1312">
        <f t="shared" si="94"/>
        <v>0</v>
      </c>
      <c r="P43" s="1685"/>
      <c r="Q43" s="1313">
        <f t="shared" si="95"/>
        <v>0</v>
      </c>
      <c r="R43" s="1312">
        <f t="shared" si="96"/>
        <v>0</v>
      </c>
      <c r="S43" s="1685"/>
      <c r="T43" s="1313">
        <f t="shared" si="97"/>
        <v>0</v>
      </c>
      <c r="U43" s="1312">
        <f t="shared" si="98"/>
        <v>0</v>
      </c>
      <c r="V43" s="1685"/>
      <c r="W43" s="1313">
        <f t="shared" si="99"/>
        <v>0</v>
      </c>
      <c r="X43" s="1312">
        <f t="shared" si="100"/>
        <v>0</v>
      </c>
      <c r="Y43" s="1685"/>
      <c r="Z43" s="1313">
        <f t="shared" si="101"/>
        <v>0</v>
      </c>
      <c r="AA43" s="1312">
        <f t="shared" si="102"/>
        <v>0</v>
      </c>
      <c r="AB43" s="1685"/>
      <c r="AC43" s="1313">
        <f t="shared" si="103"/>
        <v>0</v>
      </c>
      <c r="AD43" s="1312">
        <f t="shared" si="104"/>
        <v>0</v>
      </c>
      <c r="AE43" s="1685"/>
      <c r="AF43" s="1313">
        <f t="shared" si="105"/>
        <v>0</v>
      </c>
      <c r="AG43" s="1312">
        <f t="shared" si="106"/>
        <v>0</v>
      </c>
      <c r="AH43" s="1685"/>
      <c r="AI43" s="1313">
        <f t="shared" si="107"/>
        <v>0</v>
      </c>
      <c r="AJ43" s="1312">
        <f t="shared" si="108"/>
        <v>0</v>
      </c>
      <c r="AK43" s="1685"/>
      <c r="AL43" s="1313">
        <f t="shared" si="109"/>
        <v>0</v>
      </c>
      <c r="AM43" s="1312">
        <f t="shared" si="110"/>
        <v>0</v>
      </c>
      <c r="AN43" s="1685"/>
      <c r="AO43" s="1313">
        <f t="shared" si="111"/>
        <v>0</v>
      </c>
      <c r="AP43" s="1312">
        <f t="shared" si="112"/>
        <v>0</v>
      </c>
      <c r="AQ43" s="1685"/>
      <c r="AR43" s="1313">
        <f t="shared" si="113"/>
        <v>0</v>
      </c>
      <c r="AS43" s="1312">
        <f t="shared" si="114"/>
        <v>0</v>
      </c>
      <c r="AT43" s="1687"/>
      <c r="AU43" s="411"/>
      <c r="AV43" s="1757">
        <f t="shared" si="23"/>
        <v>0</v>
      </c>
      <c r="AW43" s="411"/>
      <c r="AX43" s="493"/>
      <c r="AY43" s="1566" t="s">
        <v>316</v>
      </c>
      <c r="AZ43" s="1567" t="s">
        <v>291</v>
      </c>
      <c r="BA43" s="2445"/>
      <c r="BB43" s="1579"/>
      <c r="BC43" s="1599">
        <v>0</v>
      </c>
      <c r="BD43" s="1600">
        <v>0</v>
      </c>
      <c r="BE43" s="1579"/>
      <c r="BF43" s="1469">
        <f>+Escalation!O338</f>
        <v>0</v>
      </c>
      <c r="BG43" s="1284">
        <f>ROUND(+Escalation!AB313,0)</f>
        <v>0</v>
      </c>
      <c r="BH43" s="1579"/>
      <c r="BI43" s="1469">
        <f>+Escalation!P338</f>
        <v>0</v>
      </c>
      <c r="BJ43" s="1284">
        <f>ROUND(+Escalation!AC313,0)</f>
        <v>0</v>
      </c>
      <c r="BK43" s="1666"/>
      <c r="BL43" s="1469">
        <f>+Escalation!Q338</f>
        <v>0</v>
      </c>
      <c r="BM43" s="1284">
        <f>ROUND(+Escalation!AD313,0)</f>
        <v>0</v>
      </c>
      <c r="BN43" s="1579"/>
      <c r="BO43" s="1469">
        <f>+Escalation!R338</f>
        <v>0</v>
      </c>
      <c r="BP43" s="1284">
        <f>ROUND(+Escalation!AE313,0)</f>
        <v>0</v>
      </c>
      <c r="BQ43" s="1579"/>
      <c r="BR43" s="1469">
        <f>+Escalation!S338</f>
        <v>0</v>
      </c>
      <c r="BS43" s="1284">
        <f>ROUND(+Escalation!AF313,0)</f>
        <v>0</v>
      </c>
      <c r="BT43" s="1579"/>
      <c r="BU43" s="1469">
        <f>+Escalation!T338</f>
        <v>0</v>
      </c>
      <c r="BV43" s="1284">
        <f>ROUND(+Escalation!AG313,0)</f>
        <v>0</v>
      </c>
      <c r="BW43" s="1579"/>
      <c r="BX43" s="1469">
        <f>+Escalation!U338</f>
        <v>0</v>
      </c>
      <c r="BY43" s="1284">
        <f>ROUND(+Escalation!AH313,0)</f>
        <v>0</v>
      </c>
      <c r="BZ43" s="1579"/>
      <c r="CA43" s="1469">
        <f>+Escalation!V338</f>
        <v>0</v>
      </c>
      <c r="CB43" s="1284">
        <f>ROUND(+Escalation!AI313,0)</f>
        <v>0</v>
      </c>
      <c r="CC43" s="1579"/>
      <c r="CD43" s="1469">
        <f>+Escalation!W338</f>
        <v>0</v>
      </c>
      <c r="CE43" s="1284">
        <f>ROUND(+Escalation!AJ313,0)</f>
        <v>0</v>
      </c>
      <c r="CF43" s="1579"/>
      <c r="CG43" s="1469">
        <f>+Escalation!X338</f>
        <v>0</v>
      </c>
      <c r="CH43" s="1284">
        <f>ROUND(+Escalation!AK313,0)</f>
        <v>0</v>
      </c>
      <c r="CI43" s="1579"/>
      <c r="CJ43" s="1257">
        <f t="shared" ref="CJ43" si="141">+BR43+BO43+BL43+BI43+BF43+BC43+BU43+BX43+CA43+CD43+CG43</f>
        <v>0</v>
      </c>
      <c r="CK43" s="1395">
        <f t="shared" ref="CK43" si="142">+BS43+BP43+BM43+BJ43+BG43+BD43+BV43+BY43+CB43+CE43+CH43</f>
        <v>0</v>
      </c>
      <c r="CL43" s="427"/>
      <c r="CM43" s="170"/>
      <c r="CN43" s="493"/>
      <c r="CO43" s="428" t="str">
        <f t="shared" si="117"/>
        <v>Survey Engineering</v>
      </c>
      <c r="CP43" s="429" t="s">
        <v>291</v>
      </c>
      <c r="CQ43" s="429"/>
      <c r="CR43" s="443"/>
      <c r="CS43" s="435">
        <v>0</v>
      </c>
      <c r="CT43" s="431">
        <f t="shared" si="118"/>
        <v>0</v>
      </c>
      <c r="CU43" s="443"/>
      <c r="CV43" s="435">
        <v>0</v>
      </c>
      <c r="CW43" s="434">
        <f t="shared" si="119"/>
        <v>0</v>
      </c>
      <c r="CX43" s="443"/>
      <c r="CY43" s="432">
        <v>0</v>
      </c>
      <c r="CZ43" s="434">
        <f t="shared" si="120"/>
        <v>0</v>
      </c>
      <c r="DA43" s="443"/>
      <c r="DB43" s="432">
        <v>0</v>
      </c>
      <c r="DC43" s="434">
        <f t="shared" si="121"/>
        <v>0</v>
      </c>
      <c r="DD43" s="443"/>
      <c r="DE43" s="432">
        <v>0</v>
      </c>
      <c r="DF43" s="434">
        <f t="shared" si="122"/>
        <v>0</v>
      </c>
      <c r="DG43" s="443"/>
      <c r="DH43" s="432">
        <v>0</v>
      </c>
      <c r="DI43" s="434">
        <f t="shared" si="123"/>
        <v>0</v>
      </c>
      <c r="DJ43" s="443"/>
      <c r="DK43" s="432">
        <v>0</v>
      </c>
      <c r="DL43" s="434">
        <f t="shared" si="124"/>
        <v>0</v>
      </c>
      <c r="DM43" s="443"/>
      <c r="DN43" s="432">
        <v>0</v>
      </c>
      <c r="DO43" s="434">
        <f t="shared" si="125"/>
        <v>0</v>
      </c>
      <c r="DP43" s="443"/>
      <c r="DQ43" s="432">
        <v>0</v>
      </c>
      <c r="DR43" s="434">
        <f t="shared" si="126"/>
        <v>0</v>
      </c>
      <c r="DS43" s="443"/>
      <c r="DT43" s="432">
        <v>0</v>
      </c>
      <c r="DU43" s="434">
        <f t="shared" si="127"/>
        <v>0</v>
      </c>
      <c r="DV43" s="443"/>
      <c r="DW43" s="432">
        <v>0</v>
      </c>
      <c r="DX43" s="434">
        <f t="shared" si="128"/>
        <v>0</v>
      </c>
      <c r="DY43" s="443"/>
      <c r="DZ43" s="435">
        <f t="shared" si="129"/>
        <v>0</v>
      </c>
      <c r="EA43" s="444">
        <f t="shared" si="130"/>
        <v>0</v>
      </c>
      <c r="EB43" s="433"/>
      <c r="EC43" s="170"/>
      <c r="ED43" s="170"/>
      <c r="EE43" s="170"/>
      <c r="EF43" s="170"/>
      <c r="EG43" s="170"/>
      <c r="EH43" s="170"/>
      <c r="EI43" s="170"/>
      <c r="EJ43" s="170"/>
      <c r="EK43" s="170"/>
    </row>
    <row r="44" spans="1:141" ht="15" x14ac:dyDescent="0.25">
      <c r="A44" s="168"/>
      <c r="B44" s="424">
        <v>1</v>
      </c>
      <c r="C44" s="424">
        <v>2</v>
      </c>
      <c r="D44" s="424">
        <v>1</v>
      </c>
      <c r="E44" s="425">
        <v>5</v>
      </c>
      <c r="F44" s="493" t="s">
        <v>3188</v>
      </c>
      <c r="G44" s="1308" t="str">
        <f t="shared" ref="G44:G46" si="143">+AY44</f>
        <v>SCADA / Automation Engineering</v>
      </c>
      <c r="H44" s="1309" t="s">
        <v>291</v>
      </c>
      <c r="I44" s="1310">
        <f t="shared" ref="I44:I46" ca="1" si="144">+BA44</f>
        <v>65.8</v>
      </c>
      <c r="J44" s="1685"/>
      <c r="K44" s="1311">
        <f t="shared" ref="K44:K46" si="145">+BC44</f>
        <v>0</v>
      </c>
      <c r="L44" s="1312">
        <f t="shared" ref="L44:L46" si="146">+BD44</f>
        <v>0</v>
      </c>
      <c r="M44" s="1685"/>
      <c r="N44" s="1313">
        <f t="shared" ref="N44:N46" si="147">+BF44</f>
        <v>0</v>
      </c>
      <c r="O44" s="1312">
        <f t="shared" ca="1" si="94"/>
        <v>0</v>
      </c>
      <c r="P44" s="1685"/>
      <c r="Q44" s="1313">
        <f t="shared" ref="Q44:Q46" si="148">+BI44</f>
        <v>0</v>
      </c>
      <c r="R44" s="1312">
        <f t="shared" ca="1" si="96"/>
        <v>0</v>
      </c>
      <c r="S44" s="1685"/>
      <c r="T44" s="1313">
        <f t="shared" ref="T44:T46" si="149">+BL44</f>
        <v>120</v>
      </c>
      <c r="U44" s="1312">
        <f t="shared" ca="1" si="98"/>
        <v>8622</v>
      </c>
      <c r="V44" s="1685"/>
      <c r="W44" s="1313">
        <f t="shared" ref="W44:W46" si="150">+BO44</f>
        <v>120</v>
      </c>
      <c r="X44" s="1312">
        <f t="shared" ca="1" si="100"/>
        <v>8881</v>
      </c>
      <c r="Y44" s="1685"/>
      <c r="Z44" s="1313">
        <f t="shared" ref="Z44:Z46" si="151">+BR44</f>
        <v>40</v>
      </c>
      <c r="AA44" s="1312">
        <f t="shared" ca="1" si="102"/>
        <v>3049</v>
      </c>
      <c r="AB44" s="1685"/>
      <c r="AC44" s="1313">
        <f t="shared" ref="AC44:AC46" si="152">+BU44</f>
        <v>0</v>
      </c>
      <c r="AD44" s="1312">
        <f t="shared" ca="1" si="104"/>
        <v>0</v>
      </c>
      <c r="AE44" s="1685"/>
      <c r="AF44" s="1313">
        <f t="shared" si="105"/>
        <v>0</v>
      </c>
      <c r="AG44" s="1312">
        <f t="shared" ca="1" si="106"/>
        <v>0</v>
      </c>
      <c r="AH44" s="1685"/>
      <c r="AI44" s="1313">
        <f t="shared" si="107"/>
        <v>0</v>
      </c>
      <c r="AJ44" s="1312">
        <f t="shared" ca="1" si="108"/>
        <v>0</v>
      </c>
      <c r="AK44" s="1685"/>
      <c r="AL44" s="1313">
        <f t="shared" si="109"/>
        <v>0</v>
      </c>
      <c r="AM44" s="1312">
        <f t="shared" ca="1" si="110"/>
        <v>0</v>
      </c>
      <c r="AN44" s="1685"/>
      <c r="AO44" s="1313">
        <f t="shared" si="111"/>
        <v>0</v>
      </c>
      <c r="AP44" s="1312">
        <f t="shared" ca="1" si="112"/>
        <v>0</v>
      </c>
      <c r="AQ44" s="1685"/>
      <c r="AR44" s="1313">
        <f t="shared" si="113"/>
        <v>280</v>
      </c>
      <c r="AS44" s="1312">
        <f t="shared" ca="1" si="114"/>
        <v>20552</v>
      </c>
      <c r="AT44" s="1687"/>
      <c r="AU44" s="411"/>
      <c r="AV44" s="1757">
        <f t="shared" ca="1" si="23"/>
        <v>20552</v>
      </c>
      <c r="AW44" s="411"/>
      <c r="AX44" s="493"/>
      <c r="AY44" s="1566" t="s">
        <v>1776</v>
      </c>
      <c r="AZ44" s="1567" t="s">
        <v>291</v>
      </c>
      <c r="BA44" s="2445">
        <f ca="1">+'Data Input sheet'!D145</f>
        <v>65.8</v>
      </c>
      <c r="BB44" s="1579"/>
      <c r="BC44" s="1599">
        <v>0</v>
      </c>
      <c r="BD44" s="1600">
        <v>0</v>
      </c>
      <c r="BE44" s="1579"/>
      <c r="BF44" s="1612">
        <v>0</v>
      </c>
      <c r="BG44" s="426">
        <f ca="1">ROUND(+BF44*$BA$44,0)</f>
        <v>0</v>
      </c>
      <c r="BH44" s="1579"/>
      <c r="BI44" s="1612"/>
      <c r="BJ44" s="426">
        <f ca="1">ROUND(+BI44*$BA$44,0)</f>
        <v>0</v>
      </c>
      <c r="BK44" s="1666"/>
      <c r="BL44" s="1612">
        <v>120</v>
      </c>
      <c r="BM44" s="426">
        <f ca="1">ROUND(+BL44*$BA$44,0)</f>
        <v>7896</v>
      </c>
      <c r="BN44" s="1579"/>
      <c r="BO44" s="1612">
        <v>120</v>
      </c>
      <c r="BP44" s="426">
        <f ca="1">ROUND(+BO44*$BA$44,0)</f>
        <v>7896</v>
      </c>
      <c r="BQ44" s="1579"/>
      <c r="BR44" s="1612">
        <v>40</v>
      </c>
      <c r="BS44" s="426">
        <f ca="1">ROUND(+BR44*$BA$44,0)</f>
        <v>2632</v>
      </c>
      <c r="BT44" s="1579"/>
      <c r="BU44" s="1612">
        <v>0</v>
      </c>
      <c r="BV44" s="426">
        <f ca="1">ROUND(+BU44*$BA$44,0)</f>
        <v>0</v>
      </c>
      <c r="BW44" s="1579"/>
      <c r="BX44" s="1612">
        <v>0</v>
      </c>
      <c r="BY44" s="426">
        <f ca="1">ROUND(+BX44*$BA$44,0)</f>
        <v>0</v>
      </c>
      <c r="BZ44" s="1579"/>
      <c r="CA44" s="1612">
        <v>0</v>
      </c>
      <c r="CB44" s="426">
        <f ca="1">ROUND(+CA44*$BA$44,0)</f>
        <v>0</v>
      </c>
      <c r="CC44" s="1579"/>
      <c r="CD44" s="1612">
        <v>0</v>
      </c>
      <c r="CE44" s="426">
        <f ca="1">ROUND(+CD44*$BA$44,0)</f>
        <v>0</v>
      </c>
      <c r="CF44" s="1579"/>
      <c r="CG44" s="1612">
        <v>0</v>
      </c>
      <c r="CH44" s="426">
        <f ca="1">ROUND(+CG44*$BA$44,0)</f>
        <v>0</v>
      </c>
      <c r="CI44" s="1579"/>
      <c r="CJ44" s="1257">
        <f t="shared" si="115"/>
        <v>280</v>
      </c>
      <c r="CK44" s="1395">
        <f t="shared" ca="1" si="116"/>
        <v>18424</v>
      </c>
      <c r="CL44" s="427" t="s">
        <v>3738</v>
      </c>
      <c r="CM44" s="170"/>
      <c r="CN44" s="493"/>
      <c r="CO44" s="428" t="str">
        <f t="shared" si="117"/>
        <v>SCADA / Automation Engineering</v>
      </c>
      <c r="CP44" s="429" t="s">
        <v>291</v>
      </c>
      <c r="CQ44" s="429"/>
      <c r="CR44" s="443"/>
      <c r="CS44" s="435">
        <v>0</v>
      </c>
      <c r="CT44" s="431">
        <f t="shared" si="118"/>
        <v>0</v>
      </c>
      <c r="CU44" s="443"/>
      <c r="CV44" s="435">
        <v>0</v>
      </c>
      <c r="CW44" s="434">
        <f t="shared" ca="1" si="119"/>
        <v>0</v>
      </c>
      <c r="CX44" s="443"/>
      <c r="CY44" s="432">
        <v>0</v>
      </c>
      <c r="CZ44" s="434">
        <f t="shared" ca="1" si="120"/>
        <v>0</v>
      </c>
      <c r="DA44" s="443"/>
      <c r="DB44" s="432">
        <v>0</v>
      </c>
      <c r="DC44" s="434">
        <f t="shared" ca="1" si="121"/>
        <v>726</v>
      </c>
      <c r="DD44" s="443"/>
      <c r="DE44" s="432">
        <v>0</v>
      </c>
      <c r="DF44" s="434">
        <f t="shared" ca="1" si="122"/>
        <v>985</v>
      </c>
      <c r="DG44" s="443"/>
      <c r="DH44" s="432">
        <v>0</v>
      </c>
      <c r="DI44" s="434">
        <f t="shared" ca="1" si="123"/>
        <v>417</v>
      </c>
      <c r="DJ44" s="443"/>
      <c r="DK44" s="432">
        <v>0</v>
      </c>
      <c r="DL44" s="434">
        <f t="shared" ca="1" si="124"/>
        <v>0</v>
      </c>
      <c r="DM44" s="443"/>
      <c r="DN44" s="432">
        <v>0</v>
      </c>
      <c r="DO44" s="434">
        <f t="shared" ca="1" si="125"/>
        <v>0</v>
      </c>
      <c r="DP44" s="443"/>
      <c r="DQ44" s="432">
        <v>0</v>
      </c>
      <c r="DR44" s="434">
        <f t="shared" ca="1" si="126"/>
        <v>0</v>
      </c>
      <c r="DS44" s="443"/>
      <c r="DT44" s="432">
        <v>0</v>
      </c>
      <c r="DU44" s="434">
        <f t="shared" ca="1" si="127"/>
        <v>0</v>
      </c>
      <c r="DV44" s="443"/>
      <c r="DW44" s="432">
        <v>0</v>
      </c>
      <c r="DX44" s="434">
        <f t="shared" ca="1" si="128"/>
        <v>0</v>
      </c>
      <c r="DY44" s="443"/>
      <c r="DZ44" s="435">
        <f t="shared" si="129"/>
        <v>0</v>
      </c>
      <c r="EA44" s="444">
        <f t="shared" ca="1" si="130"/>
        <v>2128</v>
      </c>
      <c r="EB44" s="433"/>
      <c r="EC44" s="170"/>
      <c r="ED44" s="170"/>
      <c r="EE44" s="170"/>
      <c r="EF44" s="170"/>
      <c r="EG44" s="170"/>
      <c r="EH44" s="170"/>
      <c r="EI44" s="170"/>
      <c r="EJ44" s="170"/>
      <c r="EK44" s="170"/>
    </row>
    <row r="45" spans="1:141" ht="15" x14ac:dyDescent="0.25">
      <c r="A45" s="168"/>
      <c r="B45" s="424">
        <v>1</v>
      </c>
      <c r="C45" s="424">
        <v>2</v>
      </c>
      <c r="D45" s="424">
        <v>1</v>
      </c>
      <c r="E45" s="425">
        <v>5</v>
      </c>
      <c r="F45" s="493" t="s">
        <v>3188</v>
      </c>
      <c r="G45" s="1308" t="str">
        <f t="shared" si="143"/>
        <v>Telecom Engineering</v>
      </c>
      <c r="H45" s="1309" t="s">
        <v>291</v>
      </c>
      <c r="I45" s="1310">
        <f t="shared" ca="1" si="144"/>
        <v>65.8</v>
      </c>
      <c r="J45" s="1685"/>
      <c r="K45" s="1311">
        <f t="shared" si="145"/>
        <v>0</v>
      </c>
      <c r="L45" s="1312">
        <f t="shared" si="146"/>
        <v>0</v>
      </c>
      <c r="M45" s="1685"/>
      <c r="N45" s="1313">
        <f t="shared" si="147"/>
        <v>0</v>
      </c>
      <c r="O45" s="1312">
        <f t="shared" ca="1" si="94"/>
        <v>0</v>
      </c>
      <c r="P45" s="1685"/>
      <c r="Q45" s="1313">
        <f t="shared" si="148"/>
        <v>0</v>
      </c>
      <c r="R45" s="1312">
        <f t="shared" ca="1" si="96"/>
        <v>0</v>
      </c>
      <c r="S45" s="1685"/>
      <c r="T45" s="1313">
        <f t="shared" si="149"/>
        <v>40</v>
      </c>
      <c r="U45" s="1312">
        <f t="shared" ca="1" si="98"/>
        <v>2874</v>
      </c>
      <c r="V45" s="1685"/>
      <c r="W45" s="1313">
        <f t="shared" si="150"/>
        <v>40</v>
      </c>
      <c r="X45" s="1312">
        <f t="shared" ca="1" si="100"/>
        <v>2960</v>
      </c>
      <c r="Y45" s="1685"/>
      <c r="Z45" s="1313">
        <f t="shared" si="151"/>
        <v>0</v>
      </c>
      <c r="AA45" s="1312">
        <f t="shared" ca="1" si="102"/>
        <v>0</v>
      </c>
      <c r="AB45" s="1685"/>
      <c r="AC45" s="1313">
        <f t="shared" si="152"/>
        <v>0</v>
      </c>
      <c r="AD45" s="1312">
        <f t="shared" ca="1" si="104"/>
        <v>0</v>
      </c>
      <c r="AE45" s="1685"/>
      <c r="AF45" s="1313">
        <f t="shared" si="105"/>
        <v>0</v>
      </c>
      <c r="AG45" s="1312">
        <f t="shared" ca="1" si="106"/>
        <v>0</v>
      </c>
      <c r="AH45" s="1685"/>
      <c r="AI45" s="1313">
        <f t="shared" si="107"/>
        <v>0</v>
      </c>
      <c r="AJ45" s="1312">
        <f t="shared" ca="1" si="108"/>
        <v>0</v>
      </c>
      <c r="AK45" s="1685"/>
      <c r="AL45" s="1313">
        <f t="shared" si="109"/>
        <v>0</v>
      </c>
      <c r="AM45" s="1312">
        <f t="shared" ca="1" si="110"/>
        <v>0</v>
      </c>
      <c r="AN45" s="1685"/>
      <c r="AO45" s="1313">
        <f t="shared" si="111"/>
        <v>0</v>
      </c>
      <c r="AP45" s="1312">
        <f t="shared" ca="1" si="112"/>
        <v>0</v>
      </c>
      <c r="AQ45" s="1685"/>
      <c r="AR45" s="1313">
        <f t="shared" si="113"/>
        <v>80</v>
      </c>
      <c r="AS45" s="1312">
        <f t="shared" ca="1" si="114"/>
        <v>5834</v>
      </c>
      <c r="AT45" s="1687"/>
      <c r="AU45" s="411"/>
      <c r="AV45" s="1757">
        <f t="shared" ref="AV45:AV77" ca="1" si="153">+CK45+EA45</f>
        <v>5834</v>
      </c>
      <c r="AW45" s="411"/>
      <c r="AX45" s="493"/>
      <c r="AY45" s="1566" t="s">
        <v>317</v>
      </c>
      <c r="AZ45" s="1567" t="s">
        <v>291</v>
      </c>
      <c r="BA45" s="2445">
        <f ca="1">+'Data Input sheet'!D146</f>
        <v>65.8</v>
      </c>
      <c r="BB45" s="1579"/>
      <c r="BC45" s="1599">
        <v>0</v>
      </c>
      <c r="BD45" s="1600">
        <v>0</v>
      </c>
      <c r="BE45" s="1579"/>
      <c r="BF45" s="1612">
        <v>0</v>
      </c>
      <c r="BG45" s="426">
        <f ca="1">ROUND(+BF45*$BA$45,0)</f>
        <v>0</v>
      </c>
      <c r="BH45" s="1579"/>
      <c r="BI45" s="1612"/>
      <c r="BJ45" s="426">
        <f ca="1">ROUND(+BI45*$BA$45,0)</f>
        <v>0</v>
      </c>
      <c r="BK45" s="1666"/>
      <c r="BL45" s="1612">
        <v>40</v>
      </c>
      <c r="BM45" s="426">
        <f ca="1">ROUND(+BL45*$BA$45,0)</f>
        <v>2632</v>
      </c>
      <c r="BN45" s="1579"/>
      <c r="BO45" s="1612">
        <v>40</v>
      </c>
      <c r="BP45" s="426">
        <f ca="1">ROUND(+BO45*$BA$45,0)</f>
        <v>2632</v>
      </c>
      <c r="BQ45" s="1579"/>
      <c r="BR45" s="1612">
        <v>0</v>
      </c>
      <c r="BS45" s="426">
        <f ca="1">ROUND(+BR45*$BA$45,0)</f>
        <v>0</v>
      </c>
      <c r="BT45" s="1579"/>
      <c r="BU45" s="1612">
        <v>0</v>
      </c>
      <c r="BV45" s="426">
        <f ca="1">ROUND(+BU45*$BA$45,0)</f>
        <v>0</v>
      </c>
      <c r="BW45" s="1579"/>
      <c r="BX45" s="1612">
        <v>0</v>
      </c>
      <c r="BY45" s="426">
        <f ca="1">ROUND(+BX45*$BA$45,0)</f>
        <v>0</v>
      </c>
      <c r="BZ45" s="1579"/>
      <c r="CA45" s="1612">
        <v>0</v>
      </c>
      <c r="CB45" s="426">
        <f ca="1">ROUND(+CA45*$BA$45,0)</f>
        <v>0</v>
      </c>
      <c r="CC45" s="1579"/>
      <c r="CD45" s="1612">
        <v>0</v>
      </c>
      <c r="CE45" s="426">
        <f ca="1">ROUND(+CD45*$BA$45,0)</f>
        <v>0</v>
      </c>
      <c r="CF45" s="1579"/>
      <c r="CG45" s="1612">
        <v>0</v>
      </c>
      <c r="CH45" s="426">
        <f ca="1">ROUND(+CG45*$BA$45,0)</f>
        <v>0</v>
      </c>
      <c r="CI45" s="1579"/>
      <c r="CJ45" s="1257">
        <f t="shared" si="115"/>
        <v>80</v>
      </c>
      <c r="CK45" s="1395">
        <f t="shared" ca="1" si="116"/>
        <v>5264</v>
      </c>
      <c r="CL45" s="427"/>
      <c r="CM45" s="170"/>
      <c r="CN45" s="493"/>
      <c r="CO45" s="428" t="str">
        <f t="shared" si="117"/>
        <v>Telecom Engineering</v>
      </c>
      <c r="CP45" s="429" t="s">
        <v>291</v>
      </c>
      <c r="CQ45" s="429"/>
      <c r="CR45" s="443"/>
      <c r="CS45" s="435">
        <v>0</v>
      </c>
      <c r="CT45" s="431">
        <f t="shared" si="118"/>
        <v>0</v>
      </c>
      <c r="CU45" s="443"/>
      <c r="CV45" s="435">
        <v>0</v>
      </c>
      <c r="CW45" s="434">
        <f t="shared" ca="1" si="119"/>
        <v>0</v>
      </c>
      <c r="CX45" s="443"/>
      <c r="CY45" s="432">
        <v>0</v>
      </c>
      <c r="CZ45" s="434">
        <f t="shared" ca="1" si="120"/>
        <v>0</v>
      </c>
      <c r="DA45" s="443"/>
      <c r="DB45" s="432">
        <v>0</v>
      </c>
      <c r="DC45" s="434">
        <f t="shared" ca="1" si="121"/>
        <v>242</v>
      </c>
      <c r="DD45" s="443"/>
      <c r="DE45" s="432">
        <v>0</v>
      </c>
      <c r="DF45" s="434">
        <f t="shared" ca="1" si="122"/>
        <v>328</v>
      </c>
      <c r="DG45" s="443"/>
      <c r="DH45" s="432">
        <v>0</v>
      </c>
      <c r="DI45" s="434">
        <f t="shared" ca="1" si="123"/>
        <v>0</v>
      </c>
      <c r="DJ45" s="443"/>
      <c r="DK45" s="432">
        <v>0</v>
      </c>
      <c r="DL45" s="434">
        <f t="shared" ca="1" si="124"/>
        <v>0</v>
      </c>
      <c r="DM45" s="443"/>
      <c r="DN45" s="432">
        <v>0</v>
      </c>
      <c r="DO45" s="434">
        <f t="shared" ca="1" si="125"/>
        <v>0</v>
      </c>
      <c r="DP45" s="443"/>
      <c r="DQ45" s="432">
        <v>0</v>
      </c>
      <c r="DR45" s="434">
        <f t="shared" ca="1" si="126"/>
        <v>0</v>
      </c>
      <c r="DS45" s="443"/>
      <c r="DT45" s="432">
        <v>0</v>
      </c>
      <c r="DU45" s="434">
        <f t="shared" ca="1" si="127"/>
        <v>0</v>
      </c>
      <c r="DV45" s="443"/>
      <c r="DW45" s="432">
        <v>0</v>
      </c>
      <c r="DX45" s="434">
        <f t="shared" ca="1" si="128"/>
        <v>0</v>
      </c>
      <c r="DY45" s="443"/>
      <c r="DZ45" s="435">
        <f t="shared" si="129"/>
        <v>0</v>
      </c>
      <c r="EA45" s="444">
        <f t="shared" ca="1" si="130"/>
        <v>570</v>
      </c>
      <c r="EB45" s="433"/>
      <c r="EC45" s="170"/>
      <c r="ED45" s="170"/>
      <c r="EE45" s="170"/>
      <c r="EF45" s="170"/>
      <c r="EG45" s="170"/>
      <c r="EH45" s="170"/>
      <c r="EI45" s="170"/>
      <c r="EJ45" s="170"/>
      <c r="EK45" s="170"/>
    </row>
    <row r="46" spans="1:141" ht="15" x14ac:dyDescent="0.25">
      <c r="A46" s="168"/>
      <c r="B46" s="424">
        <v>1</v>
      </c>
      <c r="C46" s="424">
        <v>2</v>
      </c>
      <c r="D46" s="424">
        <v>1</v>
      </c>
      <c r="E46" s="425">
        <v>5</v>
      </c>
      <c r="F46" s="493" t="s">
        <v>3188</v>
      </c>
      <c r="G46" s="1308" t="str">
        <f t="shared" si="143"/>
        <v>Other - specify</v>
      </c>
      <c r="H46" s="1309" t="s">
        <v>291</v>
      </c>
      <c r="I46" s="1310">
        <f t="shared" ca="1" si="144"/>
        <v>0</v>
      </c>
      <c r="J46" s="1685"/>
      <c r="K46" s="1311">
        <f t="shared" si="145"/>
        <v>0</v>
      </c>
      <c r="L46" s="1312">
        <f t="shared" si="146"/>
        <v>0</v>
      </c>
      <c r="M46" s="1685"/>
      <c r="N46" s="1313">
        <f t="shared" si="147"/>
        <v>0</v>
      </c>
      <c r="O46" s="1312">
        <f t="shared" ca="1" si="94"/>
        <v>0</v>
      </c>
      <c r="P46" s="1685"/>
      <c r="Q46" s="1313">
        <f t="shared" si="148"/>
        <v>0</v>
      </c>
      <c r="R46" s="1312">
        <f t="shared" ca="1" si="96"/>
        <v>0</v>
      </c>
      <c r="S46" s="1685"/>
      <c r="T46" s="1313">
        <f t="shared" si="149"/>
        <v>0</v>
      </c>
      <c r="U46" s="1312">
        <f t="shared" ca="1" si="98"/>
        <v>0</v>
      </c>
      <c r="V46" s="1685"/>
      <c r="W46" s="1313">
        <f t="shared" si="150"/>
        <v>0</v>
      </c>
      <c r="X46" s="1312">
        <f t="shared" ca="1" si="100"/>
        <v>0</v>
      </c>
      <c r="Y46" s="1685"/>
      <c r="Z46" s="1313">
        <f t="shared" si="151"/>
        <v>0</v>
      </c>
      <c r="AA46" s="1312">
        <f t="shared" ca="1" si="102"/>
        <v>0</v>
      </c>
      <c r="AB46" s="1685"/>
      <c r="AC46" s="1313">
        <f t="shared" si="152"/>
        <v>0</v>
      </c>
      <c r="AD46" s="1312">
        <f t="shared" ca="1" si="104"/>
        <v>0</v>
      </c>
      <c r="AE46" s="1685"/>
      <c r="AF46" s="1313">
        <f t="shared" si="105"/>
        <v>0</v>
      </c>
      <c r="AG46" s="1312">
        <f t="shared" ca="1" si="106"/>
        <v>0</v>
      </c>
      <c r="AH46" s="1685"/>
      <c r="AI46" s="1313">
        <f t="shared" si="107"/>
        <v>0</v>
      </c>
      <c r="AJ46" s="1312">
        <f t="shared" ca="1" si="108"/>
        <v>0</v>
      </c>
      <c r="AK46" s="1685"/>
      <c r="AL46" s="1313">
        <f t="shared" si="109"/>
        <v>0</v>
      </c>
      <c r="AM46" s="1312">
        <f t="shared" ca="1" si="110"/>
        <v>0</v>
      </c>
      <c r="AN46" s="1685"/>
      <c r="AO46" s="1313">
        <f t="shared" si="111"/>
        <v>0</v>
      </c>
      <c r="AP46" s="1312">
        <f t="shared" ca="1" si="112"/>
        <v>0</v>
      </c>
      <c r="AQ46" s="1685"/>
      <c r="AR46" s="1313">
        <f t="shared" si="113"/>
        <v>0</v>
      </c>
      <c r="AS46" s="1312">
        <f t="shared" ca="1" si="114"/>
        <v>0</v>
      </c>
      <c r="AT46" s="1687"/>
      <c r="AU46" s="411"/>
      <c r="AV46" s="1757">
        <f t="shared" ca="1" si="153"/>
        <v>0</v>
      </c>
      <c r="AW46" s="411"/>
      <c r="AX46" s="493"/>
      <c r="AY46" s="1566" t="s">
        <v>1779</v>
      </c>
      <c r="AZ46" s="1567" t="s">
        <v>291</v>
      </c>
      <c r="BA46" s="2445">
        <f ca="1">+'Data Input sheet'!D147</f>
        <v>0</v>
      </c>
      <c r="BB46" s="1579"/>
      <c r="BC46" s="1599">
        <v>0</v>
      </c>
      <c r="BD46" s="1600">
        <v>0</v>
      </c>
      <c r="BE46" s="1579"/>
      <c r="BF46" s="1612">
        <v>0</v>
      </c>
      <c r="BG46" s="426">
        <f ca="1">ROUND(+BF46*$BA$46,0)</f>
        <v>0</v>
      </c>
      <c r="BH46" s="1579"/>
      <c r="BI46" s="1612">
        <v>0</v>
      </c>
      <c r="BJ46" s="426">
        <f ca="1">ROUND(+BI46*$BA$46,0)</f>
        <v>0</v>
      </c>
      <c r="BK46" s="1666"/>
      <c r="BL46" s="1612">
        <v>0</v>
      </c>
      <c r="BM46" s="426">
        <f ca="1">ROUND(+BL46*$BA$46,0)</f>
        <v>0</v>
      </c>
      <c r="BN46" s="1579"/>
      <c r="BO46" s="1612">
        <v>0</v>
      </c>
      <c r="BP46" s="426">
        <f ca="1">ROUND(+BO46*$BA$46,0)</f>
        <v>0</v>
      </c>
      <c r="BQ46" s="1579"/>
      <c r="BR46" s="1612">
        <v>0</v>
      </c>
      <c r="BS46" s="426">
        <f ca="1">ROUND(+BR46*$BA$46,0)</f>
        <v>0</v>
      </c>
      <c r="BT46" s="1579"/>
      <c r="BU46" s="1612">
        <v>0</v>
      </c>
      <c r="BV46" s="426">
        <f ca="1">ROUND(+BU46*$BA$46,0)</f>
        <v>0</v>
      </c>
      <c r="BW46" s="1579"/>
      <c r="BX46" s="1612">
        <v>0</v>
      </c>
      <c r="BY46" s="426">
        <f ca="1">ROUND(+BX46*$BA$46,0)</f>
        <v>0</v>
      </c>
      <c r="BZ46" s="1579"/>
      <c r="CA46" s="1612">
        <v>0</v>
      </c>
      <c r="CB46" s="426">
        <f ca="1">ROUND(+CA46*$BA$46,0)</f>
        <v>0</v>
      </c>
      <c r="CC46" s="1579"/>
      <c r="CD46" s="1612">
        <v>0</v>
      </c>
      <c r="CE46" s="426">
        <f ca="1">ROUND(+CD46*$BA$46,0)</f>
        <v>0</v>
      </c>
      <c r="CF46" s="1579"/>
      <c r="CG46" s="1612">
        <v>0</v>
      </c>
      <c r="CH46" s="426">
        <f ca="1">ROUND(+CG46*$BA$46,0)</f>
        <v>0</v>
      </c>
      <c r="CI46" s="1579"/>
      <c r="CJ46" s="1257">
        <f t="shared" si="115"/>
        <v>0</v>
      </c>
      <c r="CK46" s="1395">
        <f t="shared" ca="1" si="116"/>
        <v>0</v>
      </c>
      <c r="CL46" s="427"/>
      <c r="CM46" s="170"/>
      <c r="CN46" s="493"/>
      <c r="CO46" s="428" t="str">
        <f t="shared" si="117"/>
        <v>Other - specify</v>
      </c>
      <c r="CP46" s="429" t="s">
        <v>291</v>
      </c>
      <c r="CQ46" s="429"/>
      <c r="CR46" s="443"/>
      <c r="CS46" s="435">
        <v>0</v>
      </c>
      <c r="CT46" s="431">
        <f t="shared" si="118"/>
        <v>0</v>
      </c>
      <c r="CU46" s="443"/>
      <c r="CV46" s="435">
        <v>0</v>
      </c>
      <c r="CW46" s="434">
        <f t="shared" ca="1" si="119"/>
        <v>0</v>
      </c>
      <c r="CX46" s="443"/>
      <c r="CY46" s="432">
        <v>0</v>
      </c>
      <c r="CZ46" s="434">
        <f t="shared" ca="1" si="120"/>
        <v>0</v>
      </c>
      <c r="DA46" s="443"/>
      <c r="DB46" s="432">
        <v>0</v>
      </c>
      <c r="DC46" s="434">
        <f t="shared" ca="1" si="121"/>
        <v>0</v>
      </c>
      <c r="DD46" s="443"/>
      <c r="DE46" s="432">
        <v>0</v>
      </c>
      <c r="DF46" s="434">
        <f t="shared" ca="1" si="122"/>
        <v>0</v>
      </c>
      <c r="DG46" s="443"/>
      <c r="DH46" s="432">
        <v>0</v>
      </c>
      <c r="DI46" s="434">
        <f t="shared" ca="1" si="123"/>
        <v>0</v>
      </c>
      <c r="DJ46" s="443"/>
      <c r="DK46" s="432">
        <v>0</v>
      </c>
      <c r="DL46" s="434">
        <f t="shared" ca="1" si="124"/>
        <v>0</v>
      </c>
      <c r="DM46" s="443"/>
      <c r="DN46" s="432">
        <v>0</v>
      </c>
      <c r="DO46" s="434">
        <f t="shared" ca="1" si="125"/>
        <v>0</v>
      </c>
      <c r="DP46" s="443"/>
      <c r="DQ46" s="432">
        <v>0</v>
      </c>
      <c r="DR46" s="434">
        <f t="shared" ca="1" si="126"/>
        <v>0</v>
      </c>
      <c r="DS46" s="443"/>
      <c r="DT46" s="432">
        <v>0</v>
      </c>
      <c r="DU46" s="434">
        <f t="shared" ca="1" si="127"/>
        <v>0</v>
      </c>
      <c r="DV46" s="443"/>
      <c r="DW46" s="432">
        <v>0</v>
      </c>
      <c r="DX46" s="434">
        <f t="shared" ca="1" si="128"/>
        <v>0</v>
      </c>
      <c r="DY46" s="443"/>
      <c r="DZ46" s="435">
        <f t="shared" si="129"/>
        <v>0</v>
      </c>
      <c r="EA46" s="444">
        <f t="shared" ca="1" si="130"/>
        <v>0</v>
      </c>
      <c r="EB46" s="433"/>
      <c r="EC46" s="170"/>
      <c r="ED46" s="170"/>
      <c r="EE46" s="170"/>
      <c r="EF46" s="170"/>
      <c r="EG46" s="170"/>
      <c r="EH46" s="170"/>
      <c r="EI46" s="170"/>
      <c r="EJ46" s="170"/>
      <c r="EK46" s="170"/>
    </row>
    <row r="47" spans="1:141" ht="15.75" thickBot="1" x14ac:dyDescent="0.3">
      <c r="A47" s="168"/>
      <c r="B47" s="424">
        <v>1</v>
      </c>
      <c r="C47" s="424">
        <v>2</v>
      </c>
      <c r="D47" s="424">
        <v>1</v>
      </c>
      <c r="E47" s="425">
        <v>5</v>
      </c>
      <c r="F47" s="493" t="s">
        <v>3188</v>
      </c>
      <c r="G47" s="1308" t="str">
        <f t="shared" si="90"/>
        <v>Other - specify</v>
      </c>
      <c r="H47" s="1309" t="s">
        <v>291</v>
      </c>
      <c r="I47" s="1310">
        <f t="shared" ca="1" si="91"/>
        <v>0</v>
      </c>
      <c r="J47" s="1685"/>
      <c r="K47" s="1311">
        <f t="shared" si="92"/>
        <v>0</v>
      </c>
      <c r="L47" s="1312">
        <f t="shared" si="92"/>
        <v>0</v>
      </c>
      <c r="M47" s="1685"/>
      <c r="N47" s="1313">
        <f t="shared" si="93"/>
        <v>0</v>
      </c>
      <c r="O47" s="1312">
        <f t="shared" ca="1" si="94"/>
        <v>0</v>
      </c>
      <c r="P47" s="1685"/>
      <c r="Q47" s="1313">
        <f t="shared" si="95"/>
        <v>0</v>
      </c>
      <c r="R47" s="1312">
        <f t="shared" ca="1" si="96"/>
        <v>0</v>
      </c>
      <c r="S47" s="1685"/>
      <c r="T47" s="1313">
        <f t="shared" si="97"/>
        <v>0</v>
      </c>
      <c r="U47" s="1312">
        <f t="shared" ca="1" si="98"/>
        <v>0</v>
      </c>
      <c r="V47" s="1685"/>
      <c r="W47" s="1313">
        <f t="shared" si="99"/>
        <v>0</v>
      </c>
      <c r="X47" s="1312">
        <f t="shared" ca="1" si="100"/>
        <v>0</v>
      </c>
      <c r="Y47" s="1685"/>
      <c r="Z47" s="1313">
        <f t="shared" si="101"/>
        <v>0</v>
      </c>
      <c r="AA47" s="1312">
        <f t="shared" ca="1" si="102"/>
        <v>0</v>
      </c>
      <c r="AB47" s="1685"/>
      <c r="AC47" s="1313">
        <f t="shared" si="103"/>
        <v>0</v>
      </c>
      <c r="AD47" s="1312">
        <f t="shared" ca="1" si="104"/>
        <v>0</v>
      </c>
      <c r="AE47" s="1685"/>
      <c r="AF47" s="1313">
        <f t="shared" si="105"/>
        <v>0</v>
      </c>
      <c r="AG47" s="1312">
        <f t="shared" ca="1" si="106"/>
        <v>0</v>
      </c>
      <c r="AH47" s="1685"/>
      <c r="AI47" s="1313">
        <f t="shared" si="107"/>
        <v>0</v>
      </c>
      <c r="AJ47" s="1312">
        <f t="shared" ca="1" si="108"/>
        <v>0</v>
      </c>
      <c r="AK47" s="1685"/>
      <c r="AL47" s="1313">
        <f t="shared" si="109"/>
        <v>0</v>
      </c>
      <c r="AM47" s="1312">
        <f t="shared" ca="1" si="110"/>
        <v>0</v>
      </c>
      <c r="AN47" s="1685"/>
      <c r="AO47" s="1313">
        <f t="shared" si="111"/>
        <v>0</v>
      </c>
      <c r="AP47" s="1312">
        <f t="shared" ca="1" si="112"/>
        <v>0</v>
      </c>
      <c r="AQ47" s="1685"/>
      <c r="AR47" s="1313">
        <f t="shared" si="113"/>
        <v>0</v>
      </c>
      <c r="AS47" s="1312">
        <f t="shared" ca="1" si="114"/>
        <v>0</v>
      </c>
      <c r="AT47" s="1687"/>
      <c r="AU47" s="411"/>
      <c r="AV47" s="1757">
        <f t="shared" ca="1" si="153"/>
        <v>0</v>
      </c>
      <c r="AW47" s="411"/>
      <c r="AX47" s="493"/>
      <c r="AY47" s="1566" t="s">
        <v>1779</v>
      </c>
      <c r="AZ47" s="1567" t="s">
        <v>291</v>
      </c>
      <c r="BA47" s="2445">
        <f ca="1">+'Data Input sheet'!D148</f>
        <v>0</v>
      </c>
      <c r="BB47" s="1579"/>
      <c r="BC47" s="1599">
        <v>0</v>
      </c>
      <c r="BD47" s="1600">
        <v>0</v>
      </c>
      <c r="BE47" s="1579"/>
      <c r="BF47" s="1612">
        <v>0</v>
      </c>
      <c r="BG47" s="426">
        <f ca="1">ROUND(+BF47*$BA$47,0)</f>
        <v>0</v>
      </c>
      <c r="BH47" s="1579"/>
      <c r="BI47" s="1612">
        <v>0</v>
      </c>
      <c r="BJ47" s="426">
        <f ca="1">ROUND(+BI47*$BA$47,0)</f>
        <v>0</v>
      </c>
      <c r="BK47" s="1666"/>
      <c r="BL47" s="1612">
        <v>0</v>
      </c>
      <c r="BM47" s="426">
        <f ca="1">ROUND(+BL47*$BA$47,0)</f>
        <v>0</v>
      </c>
      <c r="BN47" s="1579"/>
      <c r="BO47" s="1612">
        <v>0</v>
      </c>
      <c r="BP47" s="426">
        <f ca="1">ROUND(+BO47*$BA$47,0)</f>
        <v>0</v>
      </c>
      <c r="BQ47" s="1579"/>
      <c r="BR47" s="1612">
        <v>0</v>
      </c>
      <c r="BS47" s="426">
        <f ca="1">ROUND(+BR47*$BA$47,0)</f>
        <v>0</v>
      </c>
      <c r="BT47" s="1579"/>
      <c r="BU47" s="1612">
        <v>0</v>
      </c>
      <c r="BV47" s="426">
        <f ca="1">ROUND(+BU47*$BA$47,0)</f>
        <v>0</v>
      </c>
      <c r="BW47" s="1579"/>
      <c r="BX47" s="1612">
        <v>0</v>
      </c>
      <c r="BY47" s="426">
        <f ca="1">ROUND(+BX47*$BA$47,0)</f>
        <v>0</v>
      </c>
      <c r="BZ47" s="1579"/>
      <c r="CA47" s="1612">
        <v>0</v>
      </c>
      <c r="CB47" s="426">
        <f ca="1">ROUND(+CA47*$BA$47,0)</f>
        <v>0</v>
      </c>
      <c r="CC47" s="1579"/>
      <c r="CD47" s="1612">
        <v>0</v>
      </c>
      <c r="CE47" s="426">
        <f ca="1">ROUND(+CD47*$BA$47,0)</f>
        <v>0</v>
      </c>
      <c r="CF47" s="1579"/>
      <c r="CG47" s="1612">
        <v>0</v>
      </c>
      <c r="CH47" s="426">
        <f ca="1">ROUND(+CG47*$BA$47,0)</f>
        <v>0</v>
      </c>
      <c r="CI47" s="1579"/>
      <c r="CJ47" s="1257">
        <f t="shared" si="115"/>
        <v>0</v>
      </c>
      <c r="CK47" s="1395">
        <f t="shared" ca="1" si="116"/>
        <v>0</v>
      </c>
      <c r="CL47" s="427"/>
      <c r="CM47" s="170"/>
      <c r="CN47" s="493"/>
      <c r="CO47" s="428" t="str">
        <f t="shared" si="117"/>
        <v>Other - specify</v>
      </c>
      <c r="CP47" s="429" t="s">
        <v>291</v>
      </c>
      <c r="CQ47" s="429"/>
      <c r="CR47" s="443"/>
      <c r="CS47" s="435">
        <v>0</v>
      </c>
      <c r="CT47" s="431">
        <f t="shared" si="118"/>
        <v>0</v>
      </c>
      <c r="CU47" s="443"/>
      <c r="CV47" s="435">
        <v>0</v>
      </c>
      <c r="CW47" s="434">
        <f t="shared" ca="1" si="119"/>
        <v>0</v>
      </c>
      <c r="CX47" s="443"/>
      <c r="CY47" s="432">
        <v>0</v>
      </c>
      <c r="CZ47" s="434">
        <f t="shared" ca="1" si="120"/>
        <v>0</v>
      </c>
      <c r="DA47" s="443"/>
      <c r="DB47" s="432">
        <v>0</v>
      </c>
      <c r="DC47" s="434">
        <f t="shared" ca="1" si="121"/>
        <v>0</v>
      </c>
      <c r="DD47" s="443"/>
      <c r="DE47" s="432">
        <v>0</v>
      </c>
      <c r="DF47" s="434">
        <f t="shared" ca="1" si="122"/>
        <v>0</v>
      </c>
      <c r="DG47" s="443"/>
      <c r="DH47" s="432">
        <v>0</v>
      </c>
      <c r="DI47" s="434">
        <f t="shared" ca="1" si="123"/>
        <v>0</v>
      </c>
      <c r="DJ47" s="443"/>
      <c r="DK47" s="432">
        <v>0</v>
      </c>
      <c r="DL47" s="434">
        <f t="shared" ca="1" si="124"/>
        <v>0</v>
      </c>
      <c r="DM47" s="443"/>
      <c r="DN47" s="432">
        <v>0</v>
      </c>
      <c r="DO47" s="434">
        <f t="shared" ca="1" si="125"/>
        <v>0</v>
      </c>
      <c r="DP47" s="443"/>
      <c r="DQ47" s="432">
        <v>0</v>
      </c>
      <c r="DR47" s="434">
        <f t="shared" ca="1" si="126"/>
        <v>0</v>
      </c>
      <c r="DS47" s="443"/>
      <c r="DT47" s="432">
        <v>0</v>
      </c>
      <c r="DU47" s="434">
        <f t="shared" ca="1" si="127"/>
        <v>0</v>
      </c>
      <c r="DV47" s="443"/>
      <c r="DW47" s="432">
        <v>0</v>
      </c>
      <c r="DX47" s="434">
        <f t="shared" ca="1" si="128"/>
        <v>0</v>
      </c>
      <c r="DY47" s="443"/>
      <c r="DZ47" s="435">
        <f t="shared" si="129"/>
        <v>0</v>
      </c>
      <c r="EA47" s="444">
        <f t="shared" ca="1" si="130"/>
        <v>0</v>
      </c>
      <c r="EB47" s="433"/>
      <c r="EC47" s="170"/>
      <c r="ED47" s="170"/>
      <c r="EE47" s="170"/>
      <c r="EF47" s="170"/>
      <c r="EG47" s="170"/>
      <c r="EH47" s="170"/>
      <c r="EI47" s="170"/>
      <c r="EJ47" s="170"/>
      <c r="EK47" s="170"/>
    </row>
    <row r="48" spans="1:141" ht="15" x14ac:dyDescent="0.25">
      <c r="A48" s="168"/>
      <c r="B48" s="436"/>
      <c r="C48" s="436"/>
      <c r="D48" s="436"/>
      <c r="E48" s="437"/>
      <c r="F48" s="493"/>
      <c r="G48" s="1314" t="s">
        <v>297</v>
      </c>
      <c r="H48" s="1309"/>
      <c r="I48" s="1310">
        <f t="shared" si="91"/>
        <v>0</v>
      </c>
      <c r="J48" s="1685"/>
      <c r="K48" s="1680">
        <f>SUM(K36:K47)</f>
        <v>0</v>
      </c>
      <c r="L48" s="1315">
        <f>SUM(L36:L47)</f>
        <v>5269</v>
      </c>
      <c r="M48" s="1685"/>
      <c r="N48" s="1680">
        <f>SUM(N36:N47)</f>
        <v>0</v>
      </c>
      <c r="O48" s="1315">
        <f ca="1">SUM(O36:O47)</f>
        <v>0</v>
      </c>
      <c r="P48" s="1685"/>
      <c r="Q48" s="1680">
        <f>SUM(Q36:Q47)</f>
        <v>0</v>
      </c>
      <c r="R48" s="1315">
        <f ca="1">SUM(R36:R47)</f>
        <v>0</v>
      </c>
      <c r="S48" s="1685"/>
      <c r="T48" s="1680">
        <f>SUM(T36:T47)</f>
        <v>850</v>
      </c>
      <c r="U48" s="1315">
        <f ca="1">SUM(U36:U47)</f>
        <v>58387</v>
      </c>
      <c r="V48" s="1685"/>
      <c r="W48" s="1680">
        <f>SUM(W36:W47)</f>
        <v>750</v>
      </c>
      <c r="X48" s="1315">
        <f ca="1">SUM(X36:X47)</f>
        <v>53074</v>
      </c>
      <c r="Y48" s="1685"/>
      <c r="Z48" s="1680">
        <f>SUM(Z36:Z47)</f>
        <v>500</v>
      </c>
      <c r="AA48" s="1315">
        <f ca="1">SUM(AA36:AA47)</f>
        <v>36078</v>
      </c>
      <c r="AB48" s="1685"/>
      <c r="AC48" s="1680">
        <f>SUM(AC36:AC47)</f>
        <v>0</v>
      </c>
      <c r="AD48" s="1315">
        <f ca="1">SUM(AD36:AD47)</f>
        <v>0</v>
      </c>
      <c r="AE48" s="1685"/>
      <c r="AF48" s="1680">
        <f>SUM(AF36:AF47)</f>
        <v>0</v>
      </c>
      <c r="AG48" s="1315">
        <f ca="1">SUM(AG36:AG47)</f>
        <v>0</v>
      </c>
      <c r="AH48" s="1685"/>
      <c r="AI48" s="1680">
        <f>SUM(AI36:AI47)</f>
        <v>0</v>
      </c>
      <c r="AJ48" s="1315">
        <f ca="1">SUM(AJ36:AJ47)</f>
        <v>0</v>
      </c>
      <c r="AK48" s="1685"/>
      <c r="AL48" s="1680">
        <f>SUM(AL36:AL47)</f>
        <v>0</v>
      </c>
      <c r="AM48" s="1315">
        <f ca="1">SUM(AM36:AM47)</f>
        <v>0</v>
      </c>
      <c r="AN48" s="1685"/>
      <c r="AO48" s="1680">
        <f>SUM(AO36:AO47)</f>
        <v>0</v>
      </c>
      <c r="AP48" s="1315">
        <f ca="1">SUM(AP36:AP47)</f>
        <v>0</v>
      </c>
      <c r="AQ48" s="1685"/>
      <c r="AR48" s="1680">
        <f>SUM(AR36:AR47)</f>
        <v>2100</v>
      </c>
      <c r="AS48" s="1315">
        <f ca="1">SUM(AS36:AS47)</f>
        <v>152808</v>
      </c>
      <c r="AT48" s="1687"/>
      <c r="AU48" s="411"/>
      <c r="AV48" s="1757">
        <f t="shared" ca="1" si="153"/>
        <v>152808</v>
      </c>
      <c r="AW48" s="411"/>
      <c r="AX48" s="493"/>
      <c r="AY48" s="1248" t="s">
        <v>297</v>
      </c>
      <c r="AZ48" s="447"/>
      <c r="BA48" s="447"/>
      <c r="BB48" s="1579"/>
      <c r="BC48" s="1625">
        <f>SUM(BC36:BC47)</f>
        <v>0</v>
      </c>
      <c r="BD48" s="1249">
        <f>SUM(BD36:BD47)</f>
        <v>5269</v>
      </c>
      <c r="BE48" s="1579"/>
      <c r="BF48" s="1644">
        <f>SUM(BF36:BF47)</f>
        <v>0</v>
      </c>
      <c r="BG48" s="1249">
        <f ca="1">SUM(BG36:BG47)</f>
        <v>0</v>
      </c>
      <c r="BH48" s="1579"/>
      <c r="BI48" s="1644">
        <f>SUM(BI36:BI47)</f>
        <v>0</v>
      </c>
      <c r="BJ48" s="1249">
        <f ca="1">SUM(BJ36:BJ47)</f>
        <v>0</v>
      </c>
      <c r="BK48" s="1579"/>
      <c r="BL48" s="1644">
        <f>SUM(BL36:BL47)</f>
        <v>850</v>
      </c>
      <c r="BM48" s="1249">
        <f ca="1">SUM(BM36:BM47)</f>
        <v>53469</v>
      </c>
      <c r="BN48" s="1579"/>
      <c r="BO48" s="1644">
        <f>SUM(BO36:BO47)</f>
        <v>750</v>
      </c>
      <c r="BP48" s="1249">
        <f ca="1">SUM(BP36:BP47)</f>
        <v>47187</v>
      </c>
      <c r="BQ48" s="1579"/>
      <c r="BR48" s="1644">
        <f>SUM(BR36:BR47)</f>
        <v>500</v>
      </c>
      <c r="BS48" s="1249">
        <f ca="1">SUM(BS36:BS47)</f>
        <v>31142</v>
      </c>
      <c r="BT48" s="1579"/>
      <c r="BU48" s="1644">
        <f>SUM(BU36:BU47)</f>
        <v>0</v>
      </c>
      <c r="BV48" s="1249">
        <f ca="1">SUM(BV36:BV47)</f>
        <v>0</v>
      </c>
      <c r="BW48" s="1579"/>
      <c r="BX48" s="1644">
        <f>SUM(BX36:BX47)</f>
        <v>0</v>
      </c>
      <c r="BY48" s="1249">
        <f ca="1">SUM(BY36:BY47)</f>
        <v>0</v>
      </c>
      <c r="BZ48" s="1579"/>
      <c r="CA48" s="1644">
        <f>SUM(CA36:CA47)</f>
        <v>0</v>
      </c>
      <c r="CB48" s="1249">
        <f ca="1">SUM(CB36:CB47)</f>
        <v>0</v>
      </c>
      <c r="CC48" s="1579"/>
      <c r="CD48" s="1644">
        <f>SUM(CD36:CD47)</f>
        <v>0</v>
      </c>
      <c r="CE48" s="1249">
        <f ca="1">SUM(CE36:CE47)</f>
        <v>0</v>
      </c>
      <c r="CF48" s="1579"/>
      <c r="CG48" s="1644">
        <f>SUM(CG36:CG47)</f>
        <v>0</v>
      </c>
      <c r="CH48" s="1249">
        <f ca="1">SUM(CH36:CH47)</f>
        <v>0</v>
      </c>
      <c r="CI48" s="1579"/>
      <c r="CJ48" s="1644">
        <f>SUM(CJ36:CJ47)</f>
        <v>2100</v>
      </c>
      <c r="CK48" s="1249">
        <f ca="1">SUM(CK36:CK47)</f>
        <v>137067</v>
      </c>
      <c r="CL48" s="1728"/>
      <c r="CM48" s="170"/>
      <c r="CN48" s="493"/>
      <c r="CO48" s="438" t="s">
        <v>297</v>
      </c>
      <c r="CP48" s="429"/>
      <c r="CQ48" s="429"/>
      <c r="CR48" s="443"/>
      <c r="CS48" s="1696">
        <f>SUM(CS36:CS47)</f>
        <v>0</v>
      </c>
      <c r="CT48" s="439">
        <f>SUM(CT36:CT47)</f>
        <v>0</v>
      </c>
      <c r="CU48" s="443"/>
      <c r="CV48" s="1696">
        <f>SUM(CV36:CV47)</f>
        <v>0</v>
      </c>
      <c r="CW48" s="439">
        <f ca="1">SUM(CW36:CW47)</f>
        <v>0</v>
      </c>
      <c r="CX48" s="443"/>
      <c r="CY48" s="1696">
        <f>SUM(CY36:CY47)</f>
        <v>0</v>
      </c>
      <c r="CZ48" s="439">
        <f ca="1">SUM(CZ36:CZ47)</f>
        <v>0</v>
      </c>
      <c r="DA48" s="443"/>
      <c r="DB48" s="1696">
        <f>SUM(DB36:DB47)</f>
        <v>0</v>
      </c>
      <c r="DC48" s="439">
        <f ca="1">SUM(DC36:DC47)</f>
        <v>4918</v>
      </c>
      <c r="DD48" s="443"/>
      <c r="DE48" s="1696">
        <f>SUM(DE36:DE47)</f>
        <v>0</v>
      </c>
      <c r="DF48" s="439">
        <f ca="1">SUM(DF36:DF47)</f>
        <v>5887</v>
      </c>
      <c r="DG48" s="443"/>
      <c r="DH48" s="1696">
        <f>SUM(DH36:DH47)</f>
        <v>0</v>
      </c>
      <c r="DI48" s="439">
        <f ca="1">SUM(DI36:DI47)</f>
        <v>4936</v>
      </c>
      <c r="DJ48" s="443"/>
      <c r="DK48" s="1696">
        <f>SUM(DK36:DK47)</f>
        <v>0</v>
      </c>
      <c r="DL48" s="439">
        <f ca="1">SUM(DL36:DL47)</f>
        <v>0</v>
      </c>
      <c r="DM48" s="443"/>
      <c r="DN48" s="1696">
        <f>SUM(DN36:DN47)</f>
        <v>0</v>
      </c>
      <c r="DO48" s="439">
        <f ca="1">SUM(DO36:DO47)</f>
        <v>0</v>
      </c>
      <c r="DP48" s="443"/>
      <c r="DQ48" s="1696">
        <f>SUM(DQ36:DQ47)</f>
        <v>0</v>
      </c>
      <c r="DR48" s="439">
        <f ca="1">SUM(DR36:DR47)</f>
        <v>0</v>
      </c>
      <c r="DS48" s="443"/>
      <c r="DT48" s="1696">
        <f>SUM(DT36:DT47)</f>
        <v>0</v>
      </c>
      <c r="DU48" s="439">
        <f ca="1">SUM(DU36:DU47)</f>
        <v>0</v>
      </c>
      <c r="DV48" s="443"/>
      <c r="DW48" s="1696">
        <f>SUM(DW36:DW47)</f>
        <v>0</v>
      </c>
      <c r="DX48" s="439">
        <f ca="1">SUM(DX36:DX47)</f>
        <v>0</v>
      </c>
      <c r="DY48" s="443"/>
      <c r="DZ48" s="1696">
        <f>SUM(DZ36:DZ47)</f>
        <v>0</v>
      </c>
      <c r="EA48" s="439">
        <f ca="1">SUM(EA36:EA47)</f>
        <v>15741</v>
      </c>
      <c r="EB48" s="433"/>
      <c r="EC48" s="170"/>
      <c r="ED48" s="170"/>
      <c r="EE48" s="170"/>
      <c r="EF48" s="170"/>
      <c r="EG48" s="170"/>
      <c r="EH48" s="170"/>
      <c r="EI48" s="170"/>
      <c r="EJ48" s="170"/>
      <c r="EK48" s="170"/>
    </row>
    <row r="49" spans="1:141" ht="15" x14ac:dyDescent="0.25">
      <c r="A49" s="168"/>
      <c r="B49" s="424">
        <v>5</v>
      </c>
      <c r="C49" s="424">
        <v>2</v>
      </c>
      <c r="D49" s="424">
        <v>6</v>
      </c>
      <c r="E49" s="425">
        <v>5</v>
      </c>
      <c r="F49" s="493"/>
      <c r="G49" s="1308" t="str">
        <f t="shared" ref="G49:G61" si="154">+AY49</f>
        <v xml:space="preserve">Employee Expenses </v>
      </c>
      <c r="H49" s="1309" t="s">
        <v>298</v>
      </c>
      <c r="I49" s="1310">
        <f t="shared" si="91"/>
        <v>0.05</v>
      </c>
      <c r="J49" s="1685"/>
      <c r="K49" s="1311">
        <f t="shared" ref="K49:L61" si="155">+BC49</f>
        <v>0</v>
      </c>
      <c r="L49" s="1312">
        <f t="shared" si="155"/>
        <v>0</v>
      </c>
      <c r="M49" s="1685"/>
      <c r="N49" s="1313">
        <f t="shared" ref="N49:N61" si="156">+BF49</f>
        <v>0</v>
      </c>
      <c r="O49" s="1312">
        <f t="shared" ref="O49:O61" ca="1" si="157">+BG49+CW49</f>
        <v>0</v>
      </c>
      <c r="P49" s="1685"/>
      <c r="Q49" s="1313">
        <f t="shared" ref="Q49:Q61" si="158">+BI49</f>
        <v>0</v>
      </c>
      <c r="R49" s="1312">
        <f t="shared" ref="R49:R61" ca="1" si="159">+BJ49+CZ49</f>
        <v>0</v>
      </c>
      <c r="S49" s="1685"/>
      <c r="T49" s="1313">
        <f t="shared" ref="T49:T61" si="160">+BL49</f>
        <v>0</v>
      </c>
      <c r="U49" s="1312">
        <f t="shared" ref="U49:U61" ca="1" si="161">+BM49+DC49</f>
        <v>2919</v>
      </c>
      <c r="V49" s="1685"/>
      <c r="W49" s="1313">
        <f t="shared" ref="W49:W61" si="162">+BO49</f>
        <v>0</v>
      </c>
      <c r="X49" s="1312">
        <f t="shared" ref="X49:X61" ca="1" si="163">+BP49+DF49</f>
        <v>2653</v>
      </c>
      <c r="Y49" s="1685"/>
      <c r="Z49" s="1313">
        <f t="shared" ref="Z49:Z61" si="164">+BR49</f>
        <v>0</v>
      </c>
      <c r="AA49" s="1312">
        <f t="shared" ref="AA49:AA61" ca="1" si="165">+BS49+DI49</f>
        <v>1804</v>
      </c>
      <c r="AB49" s="1685"/>
      <c r="AC49" s="1313">
        <f t="shared" ref="AC49:AC61" si="166">+BU49</f>
        <v>0</v>
      </c>
      <c r="AD49" s="1312">
        <f t="shared" ref="AD49:AD61" ca="1" si="167">+BV49+DL49</f>
        <v>0</v>
      </c>
      <c r="AE49" s="1685"/>
      <c r="AF49" s="1313">
        <f t="shared" ref="AF49:AF61" si="168">+BX49</f>
        <v>0</v>
      </c>
      <c r="AG49" s="1312">
        <f t="shared" ref="AG49:AG61" ca="1" si="169">+BY49+DO49</f>
        <v>0</v>
      </c>
      <c r="AH49" s="1685"/>
      <c r="AI49" s="1313">
        <f t="shared" ref="AI49:AI61" si="170">+CA49</f>
        <v>0</v>
      </c>
      <c r="AJ49" s="1312">
        <f t="shared" ref="AJ49:AJ61" ca="1" si="171">+CB49+DR49</f>
        <v>0</v>
      </c>
      <c r="AK49" s="1685"/>
      <c r="AL49" s="1313">
        <f t="shared" ref="AL49:AL61" si="172">+CD49</f>
        <v>0</v>
      </c>
      <c r="AM49" s="1312">
        <f t="shared" ref="AM49:AM61" ca="1" si="173">+CE49+DU49</f>
        <v>0</v>
      </c>
      <c r="AN49" s="1685"/>
      <c r="AO49" s="1313">
        <f t="shared" ref="AO49:AO61" si="174">+CG49</f>
        <v>0</v>
      </c>
      <c r="AP49" s="1312">
        <f t="shared" ref="AP49:AP61" ca="1" si="175">+CH49+DX49</f>
        <v>0</v>
      </c>
      <c r="AQ49" s="1685"/>
      <c r="AR49" s="1313">
        <f t="shared" ref="AR49:AR61" si="176">+Z49+W49+T49+Q49+N49+K49+AC49+AF49+AI49+AL49+AO49</f>
        <v>0</v>
      </c>
      <c r="AS49" s="1312">
        <f t="shared" ref="AS49:AS61" ca="1" si="177">+AA49+X49+U49+R49+O49+L49+AD49+AG49+AJ49+AM49+AP49</f>
        <v>7376</v>
      </c>
      <c r="AT49" s="1687"/>
      <c r="AU49" s="411"/>
      <c r="AV49" s="1757">
        <f t="shared" ca="1" si="153"/>
        <v>7376</v>
      </c>
      <c r="AW49" s="411"/>
      <c r="AX49" s="493"/>
      <c r="AY49" s="1566" t="s">
        <v>299</v>
      </c>
      <c r="AZ49" s="1567" t="s">
        <v>298</v>
      </c>
      <c r="BA49" s="1572">
        <v>0.05</v>
      </c>
      <c r="BB49" s="1579"/>
      <c r="BC49" s="1599">
        <v>0</v>
      </c>
      <c r="BD49" s="1600">
        <v>0</v>
      </c>
      <c r="BE49" s="1579"/>
      <c r="BF49" s="1469"/>
      <c r="BG49" s="1284">
        <f ca="1">ROUND((BG48*$BA49),0)</f>
        <v>0</v>
      </c>
      <c r="BH49" s="1579"/>
      <c r="BI49" s="1469"/>
      <c r="BJ49" s="1284">
        <f ca="1">ROUND((BJ48*$BA49),0)</f>
        <v>0</v>
      </c>
      <c r="BK49" s="1666"/>
      <c r="BL49" s="1469"/>
      <c r="BM49" s="1284">
        <f ca="1">ROUND((BM48*$BA49),0)</f>
        <v>2673</v>
      </c>
      <c r="BN49" s="1579"/>
      <c r="BO49" s="1469"/>
      <c r="BP49" s="1284">
        <f ca="1">ROUND((BP48*$BA49),0)</f>
        <v>2359</v>
      </c>
      <c r="BQ49" s="1579"/>
      <c r="BR49" s="1469"/>
      <c r="BS49" s="1284">
        <f ca="1">ROUND((BS48*$BA49),0)</f>
        <v>1557</v>
      </c>
      <c r="BT49" s="1579"/>
      <c r="BU49" s="1469"/>
      <c r="BV49" s="1284">
        <f ca="1">ROUND((BV48*$BA49),0)</f>
        <v>0</v>
      </c>
      <c r="BW49" s="1579"/>
      <c r="BX49" s="1469"/>
      <c r="BY49" s="1284">
        <f ca="1">ROUND((BY48*$BA49),0)</f>
        <v>0</v>
      </c>
      <c r="BZ49" s="1579"/>
      <c r="CA49" s="1469"/>
      <c r="CB49" s="1284">
        <f ca="1">ROUND((CB48*$BA49),0)</f>
        <v>0</v>
      </c>
      <c r="CC49" s="1579"/>
      <c r="CD49" s="1469"/>
      <c r="CE49" s="1284">
        <f ca="1">ROUND((CE48*$BA49),0)</f>
        <v>0</v>
      </c>
      <c r="CF49" s="1579"/>
      <c r="CG49" s="1469"/>
      <c r="CH49" s="1284">
        <f ca="1">ROUND((CH48*$BA49),0)</f>
        <v>0</v>
      </c>
      <c r="CI49" s="1579"/>
      <c r="CJ49" s="1257">
        <f t="shared" ref="CJ49:CJ61" si="178">+BR49+BO49+BL49+BI49+BF49+BC49+BU49+BX49+CA49+CD49+CG49</f>
        <v>0</v>
      </c>
      <c r="CK49" s="1395">
        <f t="shared" ref="CK49:CK61" ca="1" si="179">+BS49+BP49+BM49+BJ49+BG49+BD49+BV49+BY49+CB49+CE49+CH49</f>
        <v>6589</v>
      </c>
      <c r="CL49" s="427"/>
      <c r="CM49" s="170"/>
      <c r="CN49" s="493"/>
      <c r="CO49" s="428" t="str">
        <f t="shared" ref="CO49:CO61" si="180">+AY49</f>
        <v xml:space="preserve">Employee Expenses </v>
      </c>
      <c r="CP49" s="429" t="s">
        <v>298</v>
      </c>
      <c r="CQ49" s="441"/>
      <c r="CR49" s="443"/>
      <c r="CS49" s="432"/>
      <c r="CT49" s="431">
        <f t="shared" ref="CT49:CT61" si="181">L49-BD49</f>
        <v>0</v>
      </c>
      <c r="CU49" s="443"/>
      <c r="CV49" s="432"/>
      <c r="CW49" s="434">
        <f t="shared" ref="CW49:CW61" ca="1" si="182">ROUND((+BG49*(1+CW$4)),0)-BG49</f>
        <v>0</v>
      </c>
      <c r="CX49" s="443"/>
      <c r="CY49" s="432"/>
      <c r="CZ49" s="434">
        <f t="shared" ref="CZ49:CZ61" ca="1" si="183">ROUND((+BJ49*(1+CZ$4)),0)-BJ49</f>
        <v>0</v>
      </c>
      <c r="DA49" s="443"/>
      <c r="DB49" s="432"/>
      <c r="DC49" s="434">
        <f t="shared" ref="DC49:DC61" ca="1" si="184">ROUND((+BM49*(1+DC$4)),0)-BM49</f>
        <v>246</v>
      </c>
      <c r="DD49" s="443"/>
      <c r="DE49" s="432">
        <v>0</v>
      </c>
      <c r="DF49" s="434">
        <f t="shared" ref="DF49:DF61" ca="1" si="185">ROUND((+BP49*(1+DF$4)),0)-BP49</f>
        <v>294</v>
      </c>
      <c r="DG49" s="443"/>
      <c r="DH49" s="432">
        <v>0</v>
      </c>
      <c r="DI49" s="434">
        <f t="shared" ref="DI49:DI61" ca="1" si="186">ROUND((+BS49*(1+DI$4)),0)-BS49</f>
        <v>247</v>
      </c>
      <c r="DJ49" s="443"/>
      <c r="DK49" s="432">
        <v>0</v>
      </c>
      <c r="DL49" s="434">
        <f t="shared" ref="DL49:DL61" ca="1" si="187">ROUND((+BV49*(1+DL$4)),0)-BV49</f>
        <v>0</v>
      </c>
      <c r="DM49" s="443"/>
      <c r="DN49" s="432">
        <v>0</v>
      </c>
      <c r="DO49" s="434">
        <f t="shared" ref="DO49:DO61" ca="1" si="188">ROUND((+BY49*(1+DO$4)),0)-BY49</f>
        <v>0</v>
      </c>
      <c r="DP49" s="443"/>
      <c r="DQ49" s="432">
        <v>0</v>
      </c>
      <c r="DR49" s="434">
        <f t="shared" ref="DR49:DR61" ca="1" si="189">ROUND((+CB49*(1+DR$4)),0)-CB49</f>
        <v>0</v>
      </c>
      <c r="DS49" s="443"/>
      <c r="DT49" s="432">
        <v>0</v>
      </c>
      <c r="DU49" s="434">
        <f t="shared" ref="DU49:DU61" ca="1" si="190">ROUND((+CE49*(1+DU$4)),0)-CE49</f>
        <v>0</v>
      </c>
      <c r="DV49" s="443"/>
      <c r="DW49" s="432">
        <v>0</v>
      </c>
      <c r="DX49" s="434">
        <f t="shared" ref="DX49:DX61" ca="1" si="191">ROUND((+CH49*(1+DX$4)),0)-CH49</f>
        <v>0</v>
      </c>
      <c r="DY49" s="443"/>
      <c r="DZ49" s="432">
        <f t="shared" ref="DZ49:DZ61" si="192">+DH49+DE49+DB49+CY49+CV49+CS49+DK49+DN49+DQ49+DT49+DW49</f>
        <v>0</v>
      </c>
      <c r="EA49" s="444">
        <f t="shared" ref="EA49:EA61" ca="1" si="193">+DI49+DF49+DC49+CZ49+CW49+CT49+DL49+DO49+DR49+DU49+DX49</f>
        <v>787</v>
      </c>
      <c r="EB49" s="433"/>
      <c r="EC49" s="170"/>
      <c r="ED49" s="170"/>
      <c r="EE49" s="170"/>
      <c r="EF49" s="170"/>
      <c r="EG49" s="170"/>
      <c r="EH49" s="170"/>
      <c r="EI49" s="170"/>
      <c r="EJ49" s="170"/>
      <c r="EK49" s="170"/>
    </row>
    <row r="50" spans="1:141" ht="15" x14ac:dyDescent="0.25">
      <c r="A50" s="168"/>
      <c r="B50" s="424">
        <v>3</v>
      </c>
      <c r="C50" s="424">
        <v>2</v>
      </c>
      <c r="D50" s="424">
        <v>3</v>
      </c>
      <c r="E50" s="425">
        <v>5</v>
      </c>
      <c r="F50" s="493" t="s">
        <v>605</v>
      </c>
      <c r="G50" s="1308" t="str">
        <f t="shared" si="154"/>
        <v>Contractor Engineering  - T-Lines</v>
      </c>
      <c r="H50" s="1309" t="s">
        <v>301</v>
      </c>
      <c r="I50" s="1310">
        <f t="shared" si="91"/>
        <v>161</v>
      </c>
      <c r="J50" s="1685"/>
      <c r="K50" s="1311">
        <f t="shared" si="155"/>
        <v>0</v>
      </c>
      <c r="L50" s="1312">
        <f t="shared" si="155"/>
        <v>0</v>
      </c>
      <c r="M50" s="1685"/>
      <c r="N50" s="1313">
        <f t="shared" si="156"/>
        <v>0</v>
      </c>
      <c r="O50" s="1312">
        <f t="shared" si="157"/>
        <v>0</v>
      </c>
      <c r="P50" s="1685"/>
      <c r="Q50" s="1313">
        <f t="shared" si="158"/>
        <v>0</v>
      </c>
      <c r="R50" s="1312">
        <f t="shared" si="159"/>
        <v>0</v>
      </c>
      <c r="S50" s="1685"/>
      <c r="T50" s="1313">
        <f t="shared" si="160"/>
        <v>0</v>
      </c>
      <c r="U50" s="1312">
        <f t="shared" si="161"/>
        <v>0</v>
      </c>
      <c r="V50" s="1685"/>
      <c r="W50" s="1313">
        <f t="shared" si="162"/>
        <v>0</v>
      </c>
      <c r="X50" s="1312">
        <f t="shared" si="163"/>
        <v>0</v>
      </c>
      <c r="Y50" s="1685"/>
      <c r="Z50" s="1313">
        <f t="shared" si="164"/>
        <v>0</v>
      </c>
      <c r="AA50" s="1312">
        <f t="shared" si="165"/>
        <v>0</v>
      </c>
      <c r="AB50" s="1685"/>
      <c r="AC50" s="1313">
        <f t="shared" si="166"/>
        <v>0</v>
      </c>
      <c r="AD50" s="1312">
        <f t="shared" si="167"/>
        <v>0</v>
      </c>
      <c r="AE50" s="1685"/>
      <c r="AF50" s="1313">
        <f t="shared" si="168"/>
        <v>0</v>
      </c>
      <c r="AG50" s="1312">
        <f t="shared" si="169"/>
        <v>0</v>
      </c>
      <c r="AH50" s="1685"/>
      <c r="AI50" s="1313">
        <f t="shared" si="170"/>
        <v>0</v>
      </c>
      <c r="AJ50" s="1312">
        <f t="shared" si="171"/>
        <v>0</v>
      </c>
      <c r="AK50" s="1685"/>
      <c r="AL50" s="1313">
        <f t="shared" si="172"/>
        <v>0</v>
      </c>
      <c r="AM50" s="1312">
        <f t="shared" si="173"/>
        <v>0</v>
      </c>
      <c r="AN50" s="1685"/>
      <c r="AO50" s="1313">
        <f t="shared" si="174"/>
        <v>0</v>
      </c>
      <c r="AP50" s="1312">
        <f t="shared" si="175"/>
        <v>0</v>
      </c>
      <c r="AQ50" s="1685"/>
      <c r="AR50" s="1313">
        <f t="shared" si="176"/>
        <v>0</v>
      </c>
      <c r="AS50" s="1312">
        <f t="shared" si="177"/>
        <v>0</v>
      </c>
      <c r="AT50" s="1687"/>
      <c r="AU50" s="411"/>
      <c r="AV50" s="1757">
        <f t="shared" si="153"/>
        <v>0</v>
      </c>
      <c r="AW50" s="411"/>
      <c r="AX50" s="493"/>
      <c r="AY50" s="1566" t="s">
        <v>318</v>
      </c>
      <c r="AZ50" s="1567" t="s">
        <v>301</v>
      </c>
      <c r="BA50" s="2445">
        <f>+'Data Input sheet'!$D$177</f>
        <v>161</v>
      </c>
      <c r="BB50" s="1579"/>
      <c r="BC50" s="1599">
        <v>0</v>
      </c>
      <c r="BD50" s="1600">
        <v>0</v>
      </c>
      <c r="BE50" s="1579"/>
      <c r="BF50" s="1612">
        <f>+'OH Constr'!AS261*'Structure replacements'!J93/'Data Input sheet'!D119</f>
        <v>0</v>
      </c>
      <c r="BG50" s="426">
        <f>ROUND(+BF50*$BA$50,0)</f>
        <v>0</v>
      </c>
      <c r="BH50" s="1579"/>
      <c r="BI50" s="1612"/>
      <c r="BJ50" s="426">
        <f>ROUND(+BI50*$BA$50,0)</f>
        <v>0</v>
      </c>
      <c r="BK50" s="1666"/>
      <c r="BL50" s="1612"/>
      <c r="BM50" s="426">
        <f>ROUND(+BL50*$BA$50,0)</f>
        <v>0</v>
      </c>
      <c r="BN50" s="1579"/>
      <c r="BO50" s="1612"/>
      <c r="BP50" s="426">
        <f>ROUND(+BO50*$BA$50,0)</f>
        <v>0</v>
      </c>
      <c r="BQ50" s="1579"/>
      <c r="BR50" s="1612">
        <v>0</v>
      </c>
      <c r="BS50" s="426">
        <f>ROUND(+BR50*$BA$50,0)</f>
        <v>0</v>
      </c>
      <c r="BT50" s="1579"/>
      <c r="BU50" s="1612">
        <v>0</v>
      </c>
      <c r="BV50" s="426">
        <f>ROUND(+BU50*$BA$50,0)</f>
        <v>0</v>
      </c>
      <c r="BW50" s="1579"/>
      <c r="BX50" s="1612">
        <v>0</v>
      </c>
      <c r="BY50" s="426">
        <f>ROUND(+BX50*$BA$50,0)</f>
        <v>0</v>
      </c>
      <c r="BZ50" s="1579"/>
      <c r="CA50" s="1612">
        <v>0</v>
      </c>
      <c r="CB50" s="426">
        <f>ROUND(+CA50*$BA$50,0)</f>
        <v>0</v>
      </c>
      <c r="CC50" s="1579"/>
      <c r="CD50" s="1612">
        <v>0</v>
      </c>
      <c r="CE50" s="426">
        <f>ROUND(+CD50*$BA$50,0)</f>
        <v>0</v>
      </c>
      <c r="CF50" s="1579"/>
      <c r="CG50" s="1612">
        <v>0</v>
      </c>
      <c r="CH50" s="426">
        <f>ROUND(+CG50*$BA$50,0)</f>
        <v>0</v>
      </c>
      <c r="CI50" s="1579"/>
      <c r="CJ50" s="1257">
        <f t="shared" si="178"/>
        <v>0</v>
      </c>
      <c r="CK50" s="1395">
        <f t="shared" si="179"/>
        <v>0</v>
      </c>
      <c r="CL50" s="427"/>
      <c r="CM50" s="170"/>
      <c r="CN50" s="493"/>
      <c r="CO50" s="428" t="str">
        <f t="shared" si="180"/>
        <v>Contractor Engineering  - T-Lines</v>
      </c>
      <c r="CP50" s="429" t="s">
        <v>301</v>
      </c>
      <c r="CQ50" s="429"/>
      <c r="CR50" s="443"/>
      <c r="CS50" s="432"/>
      <c r="CT50" s="431">
        <f t="shared" si="181"/>
        <v>0</v>
      </c>
      <c r="CU50" s="443"/>
      <c r="CV50" s="432"/>
      <c r="CW50" s="434">
        <f t="shared" si="182"/>
        <v>0</v>
      </c>
      <c r="CX50" s="443"/>
      <c r="CY50" s="432"/>
      <c r="CZ50" s="434">
        <f t="shared" si="183"/>
        <v>0</v>
      </c>
      <c r="DA50" s="443"/>
      <c r="DB50" s="432"/>
      <c r="DC50" s="434">
        <f t="shared" si="184"/>
        <v>0</v>
      </c>
      <c r="DD50" s="443"/>
      <c r="DE50" s="432">
        <v>0</v>
      </c>
      <c r="DF50" s="434">
        <f t="shared" si="185"/>
        <v>0</v>
      </c>
      <c r="DG50" s="443"/>
      <c r="DH50" s="432">
        <v>0</v>
      </c>
      <c r="DI50" s="434">
        <f t="shared" si="186"/>
        <v>0</v>
      </c>
      <c r="DJ50" s="443"/>
      <c r="DK50" s="432">
        <v>0</v>
      </c>
      <c r="DL50" s="434">
        <f t="shared" si="187"/>
        <v>0</v>
      </c>
      <c r="DM50" s="443"/>
      <c r="DN50" s="432">
        <v>0</v>
      </c>
      <c r="DO50" s="434">
        <f t="shared" si="188"/>
        <v>0</v>
      </c>
      <c r="DP50" s="443"/>
      <c r="DQ50" s="432">
        <v>0</v>
      </c>
      <c r="DR50" s="434">
        <f t="shared" si="189"/>
        <v>0</v>
      </c>
      <c r="DS50" s="443"/>
      <c r="DT50" s="432">
        <v>0</v>
      </c>
      <c r="DU50" s="434">
        <f t="shared" si="190"/>
        <v>0</v>
      </c>
      <c r="DV50" s="443"/>
      <c r="DW50" s="432">
        <v>0</v>
      </c>
      <c r="DX50" s="434">
        <f t="shared" si="191"/>
        <v>0</v>
      </c>
      <c r="DY50" s="443"/>
      <c r="DZ50" s="432">
        <f t="shared" si="192"/>
        <v>0</v>
      </c>
      <c r="EA50" s="444">
        <f t="shared" si="193"/>
        <v>0</v>
      </c>
      <c r="EB50" s="433"/>
      <c r="EC50" s="170"/>
      <c r="ED50" s="170"/>
      <c r="EE50" s="170"/>
      <c r="EF50" s="170"/>
      <c r="EG50" s="170"/>
      <c r="EH50" s="170"/>
      <c r="EI50" s="170"/>
      <c r="EJ50" s="170"/>
      <c r="EK50" s="170"/>
    </row>
    <row r="51" spans="1:141" ht="15" x14ac:dyDescent="0.25">
      <c r="A51" s="168"/>
      <c r="B51" s="424">
        <v>3</v>
      </c>
      <c r="C51" s="424">
        <v>2</v>
      </c>
      <c r="D51" s="424">
        <v>3</v>
      </c>
      <c r="E51" s="425">
        <v>5</v>
      </c>
      <c r="F51" s="493" t="s">
        <v>605</v>
      </c>
      <c r="G51" s="1308" t="str">
        <f t="shared" ref="G51" si="194">+AY51</f>
        <v>Contractor Engineering  - D-Street</v>
      </c>
      <c r="H51" s="1309" t="s">
        <v>301</v>
      </c>
      <c r="I51" s="1310">
        <f t="shared" ref="I51" si="195">+BA51</f>
        <v>161</v>
      </c>
      <c r="J51" s="1685"/>
      <c r="K51" s="1311">
        <f t="shared" ref="K51" si="196">+BC51</f>
        <v>0</v>
      </c>
      <c r="L51" s="1312">
        <f t="shared" ref="L51" si="197">+BD51</f>
        <v>0</v>
      </c>
      <c r="M51" s="1685"/>
      <c r="N51" s="1313">
        <f t="shared" ref="N51" si="198">+BF51</f>
        <v>0</v>
      </c>
      <c r="O51" s="1312">
        <f t="shared" si="157"/>
        <v>0</v>
      </c>
      <c r="P51" s="1685"/>
      <c r="Q51" s="1313">
        <f t="shared" ref="Q51" si="199">+BI51</f>
        <v>0</v>
      </c>
      <c r="R51" s="1312">
        <f t="shared" si="159"/>
        <v>0</v>
      </c>
      <c r="S51" s="1685"/>
      <c r="T51" s="1313">
        <f t="shared" ref="T51" si="200">+BL51</f>
        <v>0</v>
      </c>
      <c r="U51" s="1312">
        <f t="shared" si="161"/>
        <v>0</v>
      </c>
      <c r="V51" s="1685"/>
      <c r="W51" s="1313">
        <f t="shared" ref="W51" si="201">+BO51</f>
        <v>0</v>
      </c>
      <c r="X51" s="1312">
        <f t="shared" si="163"/>
        <v>0</v>
      </c>
      <c r="Y51" s="1685"/>
      <c r="Z51" s="1313">
        <f t="shared" ref="Z51" si="202">+BR51</f>
        <v>0</v>
      </c>
      <c r="AA51" s="1312">
        <f t="shared" si="165"/>
        <v>0</v>
      </c>
      <c r="AB51" s="1685"/>
      <c r="AC51" s="1313">
        <f t="shared" ref="AC51" si="203">+BU51</f>
        <v>0</v>
      </c>
      <c r="AD51" s="1312">
        <f t="shared" si="167"/>
        <v>0</v>
      </c>
      <c r="AE51" s="1685"/>
      <c r="AF51" s="1313">
        <f t="shared" si="168"/>
        <v>0</v>
      </c>
      <c r="AG51" s="1312">
        <f t="shared" si="169"/>
        <v>0</v>
      </c>
      <c r="AH51" s="1685"/>
      <c r="AI51" s="1313">
        <f t="shared" si="170"/>
        <v>0</v>
      </c>
      <c r="AJ51" s="1312">
        <f t="shared" si="171"/>
        <v>0</v>
      </c>
      <c r="AK51" s="1685"/>
      <c r="AL51" s="1313">
        <f t="shared" si="172"/>
        <v>0</v>
      </c>
      <c r="AM51" s="1312">
        <f t="shared" si="173"/>
        <v>0</v>
      </c>
      <c r="AN51" s="1685"/>
      <c r="AO51" s="1313">
        <f t="shared" si="174"/>
        <v>0</v>
      </c>
      <c r="AP51" s="1312">
        <f t="shared" si="175"/>
        <v>0</v>
      </c>
      <c r="AQ51" s="1685"/>
      <c r="AR51" s="1313">
        <f t="shared" si="176"/>
        <v>0</v>
      </c>
      <c r="AS51" s="1312">
        <f t="shared" si="177"/>
        <v>0</v>
      </c>
      <c r="AT51" s="1687"/>
      <c r="AU51" s="411"/>
      <c r="AV51" s="1757">
        <f t="shared" si="153"/>
        <v>0</v>
      </c>
      <c r="AW51" s="411"/>
      <c r="AX51" s="493"/>
      <c r="AY51" s="1566" t="s">
        <v>1774</v>
      </c>
      <c r="AZ51" s="1567" t="s">
        <v>301</v>
      </c>
      <c r="BA51" s="2445">
        <f>+'Data Input sheet'!$D$177</f>
        <v>161</v>
      </c>
      <c r="BB51" s="1579"/>
      <c r="BC51" s="1599">
        <v>0</v>
      </c>
      <c r="BD51" s="1600">
        <v>0</v>
      </c>
      <c r="BE51" s="1579"/>
      <c r="BF51" s="1612">
        <v>0</v>
      </c>
      <c r="BG51" s="426">
        <f>ROUND(+BF51*$BA$51,0)</f>
        <v>0</v>
      </c>
      <c r="BH51" s="1579"/>
      <c r="BI51" s="1612"/>
      <c r="BJ51" s="426">
        <f>ROUND(+BI51*$BA$51,0)</f>
        <v>0</v>
      </c>
      <c r="BK51" s="1666"/>
      <c r="BL51" s="1612"/>
      <c r="BM51" s="426">
        <f>ROUND(+BL51*$BA$51,0)</f>
        <v>0</v>
      </c>
      <c r="BN51" s="1579"/>
      <c r="BO51" s="1612"/>
      <c r="BP51" s="426">
        <f>ROUND(+BO51*$BA$51,0)</f>
        <v>0</v>
      </c>
      <c r="BQ51" s="1579"/>
      <c r="BR51" s="1612">
        <v>0</v>
      </c>
      <c r="BS51" s="426">
        <f>ROUND(+BR51*$BA$51,0)</f>
        <v>0</v>
      </c>
      <c r="BT51" s="1579"/>
      <c r="BU51" s="1612">
        <v>0</v>
      </c>
      <c r="BV51" s="426">
        <f>ROUND(+BU51*$BA$51,0)</f>
        <v>0</v>
      </c>
      <c r="BW51" s="1579"/>
      <c r="BX51" s="1612">
        <v>0</v>
      </c>
      <c r="BY51" s="426">
        <f>ROUND(+BX51*$BA$51,0)</f>
        <v>0</v>
      </c>
      <c r="BZ51" s="1579"/>
      <c r="CA51" s="1612">
        <v>0</v>
      </c>
      <c r="CB51" s="426">
        <f>ROUND(+CA51*$BA$51,0)</f>
        <v>0</v>
      </c>
      <c r="CC51" s="1579"/>
      <c r="CD51" s="1612">
        <v>0</v>
      </c>
      <c r="CE51" s="426">
        <f>ROUND(+CD51*$BA$51,0)</f>
        <v>0</v>
      </c>
      <c r="CF51" s="1579"/>
      <c r="CG51" s="1612">
        <v>0</v>
      </c>
      <c r="CH51" s="426">
        <f>ROUND(+CG51*$BA$51,0)</f>
        <v>0</v>
      </c>
      <c r="CI51" s="1579"/>
      <c r="CJ51" s="1257">
        <f t="shared" si="178"/>
        <v>0</v>
      </c>
      <c r="CK51" s="1395">
        <f t="shared" si="179"/>
        <v>0</v>
      </c>
      <c r="CL51" s="427"/>
      <c r="CM51" s="170"/>
      <c r="CN51" s="493"/>
      <c r="CO51" s="428" t="str">
        <f t="shared" si="180"/>
        <v>Contractor Engineering  - D-Street</v>
      </c>
      <c r="CP51" s="429" t="s">
        <v>301</v>
      </c>
      <c r="CQ51" s="429"/>
      <c r="CR51" s="443"/>
      <c r="CS51" s="432"/>
      <c r="CT51" s="431">
        <f t="shared" si="181"/>
        <v>0</v>
      </c>
      <c r="CU51" s="443"/>
      <c r="CV51" s="432"/>
      <c r="CW51" s="434">
        <f t="shared" si="182"/>
        <v>0</v>
      </c>
      <c r="CX51" s="443"/>
      <c r="CY51" s="432"/>
      <c r="CZ51" s="434">
        <f t="shared" si="183"/>
        <v>0</v>
      </c>
      <c r="DA51" s="443"/>
      <c r="DB51" s="432"/>
      <c r="DC51" s="434">
        <f t="shared" si="184"/>
        <v>0</v>
      </c>
      <c r="DD51" s="443"/>
      <c r="DE51" s="432">
        <v>0</v>
      </c>
      <c r="DF51" s="434">
        <f t="shared" si="185"/>
        <v>0</v>
      </c>
      <c r="DG51" s="443"/>
      <c r="DH51" s="432">
        <v>0</v>
      </c>
      <c r="DI51" s="434">
        <f t="shared" si="186"/>
        <v>0</v>
      </c>
      <c r="DJ51" s="443"/>
      <c r="DK51" s="432">
        <v>0</v>
      </c>
      <c r="DL51" s="434">
        <f t="shared" si="187"/>
        <v>0</v>
      </c>
      <c r="DM51" s="443"/>
      <c r="DN51" s="432">
        <v>0</v>
      </c>
      <c r="DO51" s="434">
        <f t="shared" si="188"/>
        <v>0</v>
      </c>
      <c r="DP51" s="443"/>
      <c r="DQ51" s="432">
        <v>0</v>
      </c>
      <c r="DR51" s="434">
        <f t="shared" si="189"/>
        <v>0</v>
      </c>
      <c r="DS51" s="443"/>
      <c r="DT51" s="432">
        <v>0</v>
      </c>
      <c r="DU51" s="434">
        <f t="shared" si="190"/>
        <v>0</v>
      </c>
      <c r="DV51" s="443"/>
      <c r="DW51" s="432">
        <v>0</v>
      </c>
      <c r="DX51" s="434">
        <f t="shared" si="191"/>
        <v>0</v>
      </c>
      <c r="DY51" s="443"/>
      <c r="DZ51" s="432">
        <f t="shared" si="192"/>
        <v>0</v>
      </c>
      <c r="EA51" s="444">
        <f t="shared" si="193"/>
        <v>0</v>
      </c>
      <c r="EB51" s="433"/>
      <c r="EC51" s="170"/>
      <c r="ED51" s="170"/>
      <c r="EE51" s="170"/>
      <c r="EF51" s="170"/>
      <c r="EG51" s="170"/>
      <c r="EH51" s="170"/>
      <c r="EI51" s="170"/>
      <c r="EJ51" s="170"/>
      <c r="EK51" s="170"/>
    </row>
    <row r="52" spans="1:141" ht="25.5" x14ac:dyDescent="0.25">
      <c r="A52" s="168"/>
      <c r="B52" s="424">
        <v>3</v>
      </c>
      <c r="C52" s="424">
        <v>2</v>
      </c>
      <c r="D52" s="424">
        <v>3</v>
      </c>
      <c r="E52" s="425">
        <v>5</v>
      </c>
      <c r="F52" s="493" t="s">
        <v>605</v>
      </c>
      <c r="G52" s="1308" t="str">
        <f t="shared" si="154"/>
        <v>Contractor Engineering  - T -Station</v>
      </c>
      <c r="H52" s="1309" t="s">
        <v>301</v>
      </c>
      <c r="I52" s="1310">
        <f t="shared" si="91"/>
        <v>162</v>
      </c>
      <c r="J52" s="1685"/>
      <c r="K52" s="1311">
        <f t="shared" si="155"/>
        <v>0</v>
      </c>
      <c r="L52" s="1312">
        <f t="shared" si="155"/>
        <v>0</v>
      </c>
      <c r="M52" s="1685"/>
      <c r="N52" s="1313">
        <f t="shared" si="156"/>
        <v>0</v>
      </c>
      <c r="O52" s="1312">
        <f t="shared" si="157"/>
        <v>0</v>
      </c>
      <c r="P52" s="1685"/>
      <c r="Q52" s="1313">
        <f t="shared" si="158"/>
        <v>0</v>
      </c>
      <c r="R52" s="1312">
        <f t="shared" si="159"/>
        <v>0</v>
      </c>
      <c r="S52" s="1685"/>
      <c r="T52" s="1313">
        <f t="shared" si="160"/>
        <v>960</v>
      </c>
      <c r="U52" s="1312">
        <f t="shared" si="161"/>
        <v>169828</v>
      </c>
      <c r="V52" s="1685"/>
      <c r="W52" s="1313">
        <f t="shared" si="162"/>
        <v>720</v>
      </c>
      <c r="X52" s="1312">
        <f t="shared" si="163"/>
        <v>131192</v>
      </c>
      <c r="Y52" s="1685"/>
      <c r="Z52" s="1313">
        <f t="shared" si="164"/>
        <v>0</v>
      </c>
      <c r="AA52" s="1312">
        <f t="shared" si="165"/>
        <v>0</v>
      </c>
      <c r="AB52" s="1685"/>
      <c r="AC52" s="1313">
        <f t="shared" si="166"/>
        <v>0</v>
      </c>
      <c r="AD52" s="1312">
        <f t="shared" si="167"/>
        <v>0</v>
      </c>
      <c r="AE52" s="1685"/>
      <c r="AF52" s="1313">
        <f t="shared" si="168"/>
        <v>0</v>
      </c>
      <c r="AG52" s="1312">
        <f t="shared" si="169"/>
        <v>0</v>
      </c>
      <c r="AH52" s="1685"/>
      <c r="AI52" s="1313">
        <f t="shared" si="170"/>
        <v>0</v>
      </c>
      <c r="AJ52" s="1312">
        <f t="shared" si="171"/>
        <v>0</v>
      </c>
      <c r="AK52" s="1685"/>
      <c r="AL52" s="1313">
        <f t="shared" si="172"/>
        <v>0</v>
      </c>
      <c r="AM52" s="1312">
        <f t="shared" si="173"/>
        <v>0</v>
      </c>
      <c r="AN52" s="1685"/>
      <c r="AO52" s="1313">
        <f t="shared" si="174"/>
        <v>0</v>
      </c>
      <c r="AP52" s="1312">
        <f t="shared" si="175"/>
        <v>0</v>
      </c>
      <c r="AQ52" s="1685"/>
      <c r="AR52" s="1313">
        <f t="shared" si="176"/>
        <v>1680</v>
      </c>
      <c r="AS52" s="1312">
        <f t="shared" si="177"/>
        <v>301020</v>
      </c>
      <c r="AT52" s="1687"/>
      <c r="AU52" s="411"/>
      <c r="AV52" s="1757">
        <f t="shared" si="153"/>
        <v>301020</v>
      </c>
      <c r="AW52" s="411"/>
      <c r="AX52" s="493"/>
      <c r="AY52" s="1566" t="s">
        <v>319</v>
      </c>
      <c r="AZ52" s="1567" t="s">
        <v>301</v>
      </c>
      <c r="BA52" s="2445">
        <f>+'Data Input sheet'!$D$178</f>
        <v>162</v>
      </c>
      <c r="BB52" s="1579"/>
      <c r="BC52" s="1599">
        <v>0</v>
      </c>
      <c r="BD52" s="1600">
        <v>0</v>
      </c>
      <c r="BE52" s="1579"/>
      <c r="BF52" s="1612">
        <v>0</v>
      </c>
      <c r="BG52" s="426">
        <f>ROUND(+BF52*$BA$52,0)</f>
        <v>0</v>
      </c>
      <c r="BH52" s="1579"/>
      <c r="BI52" s="1612"/>
      <c r="BJ52" s="426">
        <f>ROUND(+BI52*$BA$52,0)</f>
        <v>0</v>
      </c>
      <c r="BK52" s="1666"/>
      <c r="BL52" s="1612">
        <v>960</v>
      </c>
      <c r="BM52" s="426">
        <f>ROUND(+BL52*$BA$52,0)</f>
        <v>155520</v>
      </c>
      <c r="BN52" s="1579"/>
      <c r="BO52" s="1612">
        <v>720</v>
      </c>
      <c r="BP52" s="426">
        <f>ROUND(+BO52*$BA$52,0)</f>
        <v>116640</v>
      </c>
      <c r="BQ52" s="1579"/>
      <c r="BR52" s="1612">
        <v>0</v>
      </c>
      <c r="BS52" s="426">
        <f>ROUND(+BR52*$BA$52,0)</f>
        <v>0</v>
      </c>
      <c r="BT52" s="1579"/>
      <c r="BU52" s="1612">
        <v>0</v>
      </c>
      <c r="BV52" s="426">
        <f>ROUND(+BU52*$BA$52,0)</f>
        <v>0</v>
      </c>
      <c r="BW52" s="1579"/>
      <c r="BX52" s="1612">
        <v>0</v>
      </c>
      <c r="BY52" s="426">
        <f>ROUND(+BX52*$BA$52,0)</f>
        <v>0</v>
      </c>
      <c r="BZ52" s="1579"/>
      <c r="CA52" s="1612">
        <v>0</v>
      </c>
      <c r="CB52" s="426">
        <f>ROUND(+CA52*$BA$52,0)</f>
        <v>0</v>
      </c>
      <c r="CC52" s="1579"/>
      <c r="CD52" s="1612">
        <v>0</v>
      </c>
      <c r="CE52" s="426">
        <f>ROUND(+CD52*$BA$52,0)</f>
        <v>0</v>
      </c>
      <c r="CF52" s="1579"/>
      <c r="CG52" s="1612">
        <v>0</v>
      </c>
      <c r="CH52" s="426">
        <f>ROUND(+CG52*$BA$52,0)</f>
        <v>0</v>
      </c>
      <c r="CI52" s="1579"/>
      <c r="CJ52" s="1257">
        <f t="shared" si="178"/>
        <v>1680</v>
      </c>
      <c r="CK52" s="1395">
        <f t="shared" si="179"/>
        <v>272160</v>
      </c>
      <c r="CL52" s="427" t="s">
        <v>3767</v>
      </c>
      <c r="CM52" s="170"/>
      <c r="CN52" s="493"/>
      <c r="CO52" s="428" t="str">
        <f t="shared" si="180"/>
        <v>Contractor Engineering  - T -Station</v>
      </c>
      <c r="CP52" s="429" t="s">
        <v>301</v>
      </c>
      <c r="CQ52" s="429"/>
      <c r="CR52" s="443"/>
      <c r="CS52" s="432"/>
      <c r="CT52" s="431">
        <f t="shared" si="181"/>
        <v>0</v>
      </c>
      <c r="CU52" s="443"/>
      <c r="CV52" s="432"/>
      <c r="CW52" s="434">
        <f t="shared" si="182"/>
        <v>0</v>
      </c>
      <c r="CX52" s="443"/>
      <c r="CY52" s="432"/>
      <c r="CZ52" s="434">
        <f t="shared" si="183"/>
        <v>0</v>
      </c>
      <c r="DA52" s="443"/>
      <c r="DB52" s="432"/>
      <c r="DC52" s="434">
        <f t="shared" si="184"/>
        <v>14308</v>
      </c>
      <c r="DD52" s="443"/>
      <c r="DE52" s="432">
        <v>0</v>
      </c>
      <c r="DF52" s="434">
        <f t="shared" si="185"/>
        <v>14552</v>
      </c>
      <c r="DG52" s="443"/>
      <c r="DH52" s="432">
        <v>0</v>
      </c>
      <c r="DI52" s="434">
        <f t="shared" si="186"/>
        <v>0</v>
      </c>
      <c r="DJ52" s="443"/>
      <c r="DK52" s="432">
        <v>0</v>
      </c>
      <c r="DL52" s="434">
        <f t="shared" si="187"/>
        <v>0</v>
      </c>
      <c r="DM52" s="443"/>
      <c r="DN52" s="432">
        <v>0</v>
      </c>
      <c r="DO52" s="434">
        <f t="shared" si="188"/>
        <v>0</v>
      </c>
      <c r="DP52" s="443"/>
      <c r="DQ52" s="432">
        <v>0</v>
      </c>
      <c r="DR52" s="434">
        <f t="shared" si="189"/>
        <v>0</v>
      </c>
      <c r="DS52" s="443"/>
      <c r="DT52" s="432">
        <v>0</v>
      </c>
      <c r="DU52" s="434">
        <f t="shared" si="190"/>
        <v>0</v>
      </c>
      <c r="DV52" s="443"/>
      <c r="DW52" s="432">
        <v>0</v>
      </c>
      <c r="DX52" s="434">
        <f t="shared" si="191"/>
        <v>0</v>
      </c>
      <c r="DY52" s="443"/>
      <c r="DZ52" s="432">
        <f t="shared" si="192"/>
        <v>0</v>
      </c>
      <c r="EA52" s="444">
        <f t="shared" si="193"/>
        <v>28860</v>
      </c>
      <c r="EB52" s="433"/>
      <c r="EC52" s="170"/>
      <c r="ED52" s="170"/>
      <c r="EE52" s="170"/>
      <c r="EF52" s="170"/>
      <c r="EG52" s="170"/>
      <c r="EH52" s="170"/>
      <c r="EI52" s="170"/>
      <c r="EJ52" s="170"/>
      <c r="EK52" s="170"/>
    </row>
    <row r="53" spans="1:141" ht="15" x14ac:dyDescent="0.25">
      <c r="A53" s="168"/>
      <c r="B53" s="424">
        <v>3</v>
      </c>
      <c r="C53" s="424">
        <v>2</v>
      </c>
      <c r="D53" s="424">
        <v>3</v>
      </c>
      <c r="E53" s="425">
        <v>5</v>
      </c>
      <c r="F53" s="493" t="s">
        <v>605</v>
      </c>
      <c r="G53" s="1308" t="str">
        <f t="shared" ref="G53" si="204">+AY53</f>
        <v>Contractor Engineering  - D-Station</v>
      </c>
      <c r="H53" s="1309" t="s">
        <v>301</v>
      </c>
      <c r="I53" s="1310">
        <f t="shared" ref="I53" si="205">+BA53</f>
        <v>162</v>
      </c>
      <c r="J53" s="1685"/>
      <c r="K53" s="1311">
        <f t="shared" ref="K53" si="206">+BC53</f>
        <v>0</v>
      </c>
      <c r="L53" s="1312">
        <f t="shared" ref="L53" si="207">+BD53</f>
        <v>11155.06</v>
      </c>
      <c r="M53" s="1685"/>
      <c r="N53" s="1313">
        <f t="shared" ref="N53" si="208">+BF53</f>
        <v>0</v>
      </c>
      <c r="O53" s="1312">
        <f t="shared" si="157"/>
        <v>0</v>
      </c>
      <c r="P53" s="1685"/>
      <c r="Q53" s="1313">
        <f t="shared" ref="Q53" si="209">+BI53</f>
        <v>0</v>
      </c>
      <c r="R53" s="1312">
        <f t="shared" si="159"/>
        <v>0</v>
      </c>
      <c r="S53" s="1685"/>
      <c r="T53" s="1313">
        <f t="shared" ref="T53" si="210">+BL53</f>
        <v>120</v>
      </c>
      <c r="U53" s="1312">
        <f t="shared" si="161"/>
        <v>21228</v>
      </c>
      <c r="V53" s="1685"/>
      <c r="W53" s="1313">
        <f t="shared" ref="W53" si="211">+BO53</f>
        <v>120</v>
      </c>
      <c r="X53" s="1312">
        <f t="shared" si="163"/>
        <v>21865</v>
      </c>
      <c r="Y53" s="1685"/>
      <c r="Z53" s="1313">
        <f t="shared" ref="Z53" si="212">+BR53</f>
        <v>0</v>
      </c>
      <c r="AA53" s="1312">
        <f t="shared" si="165"/>
        <v>0</v>
      </c>
      <c r="AB53" s="1685"/>
      <c r="AC53" s="1313">
        <f t="shared" ref="AC53" si="213">+BU53</f>
        <v>0</v>
      </c>
      <c r="AD53" s="1312">
        <f t="shared" si="167"/>
        <v>0</v>
      </c>
      <c r="AE53" s="1685"/>
      <c r="AF53" s="1313">
        <f t="shared" si="168"/>
        <v>0</v>
      </c>
      <c r="AG53" s="1312">
        <f t="shared" si="169"/>
        <v>0</v>
      </c>
      <c r="AH53" s="1685"/>
      <c r="AI53" s="1313">
        <f t="shared" si="170"/>
        <v>0</v>
      </c>
      <c r="AJ53" s="1312">
        <f t="shared" si="171"/>
        <v>0</v>
      </c>
      <c r="AK53" s="1685"/>
      <c r="AL53" s="1313">
        <f t="shared" si="172"/>
        <v>0</v>
      </c>
      <c r="AM53" s="1312">
        <f t="shared" si="173"/>
        <v>0</v>
      </c>
      <c r="AN53" s="1685"/>
      <c r="AO53" s="1313">
        <f t="shared" si="174"/>
        <v>0</v>
      </c>
      <c r="AP53" s="1312">
        <f t="shared" si="175"/>
        <v>0</v>
      </c>
      <c r="AQ53" s="1685"/>
      <c r="AR53" s="1313">
        <f t="shared" si="176"/>
        <v>240</v>
      </c>
      <c r="AS53" s="1312">
        <f t="shared" si="177"/>
        <v>54248.06</v>
      </c>
      <c r="AT53" s="1687"/>
      <c r="AU53" s="411"/>
      <c r="AV53" s="1757">
        <f t="shared" si="153"/>
        <v>54248.06</v>
      </c>
      <c r="AW53" s="411"/>
      <c r="AX53" s="493"/>
      <c r="AY53" s="1566" t="s">
        <v>1775</v>
      </c>
      <c r="AZ53" s="1567" t="s">
        <v>301</v>
      </c>
      <c r="BA53" s="2445">
        <f>+'Data Input sheet'!$D$178</f>
        <v>162</v>
      </c>
      <c r="BB53" s="1579"/>
      <c r="BC53" s="1599">
        <v>0</v>
      </c>
      <c r="BD53" s="1600">
        <v>11155.06</v>
      </c>
      <c r="BE53" s="1579"/>
      <c r="BF53" s="1612">
        <v>0</v>
      </c>
      <c r="BG53" s="426">
        <f>ROUND(+BF53*$BA$53,0)</f>
        <v>0</v>
      </c>
      <c r="BH53" s="1579"/>
      <c r="BI53" s="1612"/>
      <c r="BJ53" s="426"/>
      <c r="BK53" s="1666"/>
      <c r="BL53" s="1612">
        <v>120</v>
      </c>
      <c r="BM53" s="426">
        <f>ROUND(+BL53*$BA$53,0)</f>
        <v>19440</v>
      </c>
      <c r="BN53" s="1579"/>
      <c r="BO53" s="1612">
        <v>120</v>
      </c>
      <c r="BP53" s="426">
        <f>ROUND(+BO53*$BA$53,0)</f>
        <v>19440</v>
      </c>
      <c r="BQ53" s="1579"/>
      <c r="BR53" s="1612">
        <v>0</v>
      </c>
      <c r="BS53" s="426">
        <f>ROUND(+BR53*$BA$53,0)</f>
        <v>0</v>
      </c>
      <c r="BT53" s="1579"/>
      <c r="BU53" s="1612">
        <v>0</v>
      </c>
      <c r="BV53" s="426">
        <f>ROUND(+BU53*$BA$53,0)</f>
        <v>0</v>
      </c>
      <c r="BW53" s="1579"/>
      <c r="BX53" s="1612">
        <v>0</v>
      </c>
      <c r="BY53" s="426">
        <f>ROUND(+BX53*$BA$53,0)</f>
        <v>0</v>
      </c>
      <c r="BZ53" s="1579"/>
      <c r="CA53" s="1612">
        <v>0</v>
      </c>
      <c r="CB53" s="426">
        <f>ROUND(+CA53*$BA$53,0)</f>
        <v>0</v>
      </c>
      <c r="CC53" s="1579"/>
      <c r="CD53" s="1612">
        <v>0</v>
      </c>
      <c r="CE53" s="426">
        <f>ROUND(+CD53*$BA$53,0)</f>
        <v>0</v>
      </c>
      <c r="CF53" s="1579"/>
      <c r="CG53" s="1612">
        <v>0</v>
      </c>
      <c r="CH53" s="426">
        <f>ROUND(+CG53*$BA$53,0)</f>
        <v>0</v>
      </c>
      <c r="CI53" s="1579"/>
      <c r="CJ53" s="1257">
        <f t="shared" si="178"/>
        <v>240</v>
      </c>
      <c r="CK53" s="1395">
        <f>+BS53+BP53+BM53+BJ53+BG53+BD53+BV53+BY53+CB53+CE53+CH53</f>
        <v>50035.06</v>
      </c>
      <c r="CL53" s="427" t="s">
        <v>3763</v>
      </c>
      <c r="CM53" s="170"/>
      <c r="CN53" s="493"/>
      <c r="CO53" s="428" t="str">
        <f t="shared" si="180"/>
        <v>Contractor Engineering  - D-Station</v>
      </c>
      <c r="CP53" s="429" t="s">
        <v>301</v>
      </c>
      <c r="CQ53" s="429"/>
      <c r="CR53" s="443"/>
      <c r="CS53" s="432"/>
      <c r="CT53" s="431">
        <f t="shared" si="181"/>
        <v>0</v>
      </c>
      <c r="CU53" s="443"/>
      <c r="CV53" s="432"/>
      <c r="CW53" s="434">
        <f t="shared" si="182"/>
        <v>0</v>
      </c>
      <c r="CX53" s="443"/>
      <c r="CY53" s="432"/>
      <c r="CZ53" s="434">
        <f t="shared" si="183"/>
        <v>0</v>
      </c>
      <c r="DA53" s="443"/>
      <c r="DB53" s="432"/>
      <c r="DC53" s="434">
        <f t="shared" si="184"/>
        <v>1788</v>
      </c>
      <c r="DD53" s="443"/>
      <c r="DE53" s="432">
        <v>0</v>
      </c>
      <c r="DF53" s="434">
        <f t="shared" si="185"/>
        <v>2425</v>
      </c>
      <c r="DG53" s="443"/>
      <c r="DH53" s="432">
        <v>0</v>
      </c>
      <c r="DI53" s="434">
        <f t="shared" si="186"/>
        <v>0</v>
      </c>
      <c r="DJ53" s="443"/>
      <c r="DK53" s="432">
        <v>0</v>
      </c>
      <c r="DL53" s="434">
        <f t="shared" si="187"/>
        <v>0</v>
      </c>
      <c r="DM53" s="443"/>
      <c r="DN53" s="432">
        <v>0</v>
      </c>
      <c r="DO53" s="434">
        <f t="shared" si="188"/>
        <v>0</v>
      </c>
      <c r="DP53" s="443"/>
      <c r="DQ53" s="432">
        <v>0</v>
      </c>
      <c r="DR53" s="434">
        <f t="shared" si="189"/>
        <v>0</v>
      </c>
      <c r="DS53" s="443"/>
      <c r="DT53" s="432">
        <v>0</v>
      </c>
      <c r="DU53" s="434">
        <f t="shared" si="190"/>
        <v>0</v>
      </c>
      <c r="DV53" s="443"/>
      <c r="DW53" s="432">
        <v>0</v>
      </c>
      <c r="DX53" s="434">
        <f t="shared" si="191"/>
        <v>0</v>
      </c>
      <c r="DY53" s="443"/>
      <c r="DZ53" s="432">
        <f t="shared" si="192"/>
        <v>0</v>
      </c>
      <c r="EA53" s="444">
        <f t="shared" si="193"/>
        <v>4213</v>
      </c>
      <c r="EB53" s="433"/>
      <c r="EC53" s="170"/>
      <c r="ED53" s="170"/>
      <c r="EE53" s="170"/>
      <c r="EF53" s="170"/>
      <c r="EG53" s="170"/>
      <c r="EH53" s="170"/>
      <c r="EI53" s="170"/>
      <c r="EJ53" s="170"/>
      <c r="EK53" s="170"/>
    </row>
    <row r="54" spans="1:141" ht="25.5" x14ac:dyDescent="0.25">
      <c r="A54" s="168"/>
      <c r="B54" s="424">
        <v>3</v>
      </c>
      <c r="C54" s="424">
        <v>2</v>
      </c>
      <c r="D54" s="424">
        <v>3</v>
      </c>
      <c r="E54" s="425">
        <v>5</v>
      </c>
      <c r="F54" s="493" t="s">
        <v>605</v>
      </c>
      <c r="G54" s="1308" t="str">
        <f t="shared" si="154"/>
        <v>Contractor Engineering  - P&amp;C</v>
      </c>
      <c r="H54" s="1309" t="s">
        <v>301</v>
      </c>
      <c r="I54" s="1310">
        <f t="shared" si="91"/>
        <v>163</v>
      </c>
      <c r="J54" s="1685"/>
      <c r="K54" s="1311">
        <f t="shared" si="155"/>
        <v>0</v>
      </c>
      <c r="L54" s="1312">
        <f t="shared" si="155"/>
        <v>0</v>
      </c>
      <c r="M54" s="1685"/>
      <c r="N54" s="1313">
        <f t="shared" si="156"/>
        <v>0</v>
      </c>
      <c r="O54" s="1312">
        <f t="shared" si="157"/>
        <v>0</v>
      </c>
      <c r="P54" s="1685"/>
      <c r="Q54" s="1313">
        <f t="shared" si="158"/>
        <v>0</v>
      </c>
      <c r="R54" s="1312">
        <f t="shared" si="159"/>
        <v>0</v>
      </c>
      <c r="S54" s="1685"/>
      <c r="T54" s="1313">
        <f t="shared" si="160"/>
        <v>480</v>
      </c>
      <c r="U54" s="1312">
        <f t="shared" si="161"/>
        <v>85438</v>
      </c>
      <c r="V54" s="1685"/>
      <c r="W54" s="1313">
        <f t="shared" si="162"/>
        <v>720</v>
      </c>
      <c r="X54" s="1312">
        <f t="shared" si="163"/>
        <v>132002</v>
      </c>
      <c r="Y54" s="1685"/>
      <c r="Z54" s="1313">
        <f t="shared" si="164"/>
        <v>0</v>
      </c>
      <c r="AA54" s="1312">
        <f t="shared" si="165"/>
        <v>0</v>
      </c>
      <c r="AB54" s="1685"/>
      <c r="AC54" s="1313">
        <f t="shared" si="166"/>
        <v>0</v>
      </c>
      <c r="AD54" s="1312">
        <f t="shared" si="167"/>
        <v>0</v>
      </c>
      <c r="AE54" s="1685"/>
      <c r="AF54" s="1313">
        <f t="shared" si="168"/>
        <v>0</v>
      </c>
      <c r="AG54" s="1312">
        <f t="shared" si="169"/>
        <v>0</v>
      </c>
      <c r="AH54" s="1685"/>
      <c r="AI54" s="1313">
        <f t="shared" si="170"/>
        <v>0</v>
      </c>
      <c r="AJ54" s="1312">
        <f t="shared" si="171"/>
        <v>0</v>
      </c>
      <c r="AK54" s="1685"/>
      <c r="AL54" s="1313">
        <f t="shared" si="172"/>
        <v>0</v>
      </c>
      <c r="AM54" s="1312">
        <f t="shared" si="173"/>
        <v>0</v>
      </c>
      <c r="AN54" s="1685"/>
      <c r="AO54" s="1313">
        <f t="shared" si="174"/>
        <v>0</v>
      </c>
      <c r="AP54" s="1312">
        <f t="shared" si="175"/>
        <v>0</v>
      </c>
      <c r="AQ54" s="1685"/>
      <c r="AR54" s="1313">
        <f t="shared" si="176"/>
        <v>1200</v>
      </c>
      <c r="AS54" s="1312">
        <f t="shared" si="177"/>
        <v>217440</v>
      </c>
      <c r="AT54" s="1687"/>
      <c r="AU54" s="411"/>
      <c r="AV54" s="1757">
        <f t="shared" si="153"/>
        <v>217440</v>
      </c>
      <c r="AW54" s="411"/>
      <c r="AX54" s="493"/>
      <c r="AY54" s="1566" t="s">
        <v>320</v>
      </c>
      <c r="AZ54" s="1567" t="s">
        <v>301</v>
      </c>
      <c r="BA54" s="2445">
        <f>+'Data Input sheet'!$D$179</f>
        <v>163</v>
      </c>
      <c r="BB54" s="1579"/>
      <c r="BC54" s="1599">
        <v>0</v>
      </c>
      <c r="BD54" s="1600"/>
      <c r="BE54" s="1579"/>
      <c r="BF54" s="1612">
        <v>0</v>
      </c>
      <c r="BG54" s="426">
        <f>ROUND(+BF54*$BA$54,0)</f>
        <v>0</v>
      </c>
      <c r="BH54" s="1579"/>
      <c r="BI54" s="1612"/>
      <c r="BJ54" s="426">
        <f>ROUND(+BI54*$BA$54,0)</f>
        <v>0</v>
      </c>
      <c r="BK54" s="1666"/>
      <c r="BL54" s="1612">
        <v>480</v>
      </c>
      <c r="BM54" s="426">
        <f>ROUND(+BL54*$BA$54,0)</f>
        <v>78240</v>
      </c>
      <c r="BN54" s="1579"/>
      <c r="BO54" s="1612">
        <v>720</v>
      </c>
      <c r="BP54" s="426">
        <f>ROUND(+BO54*$BA$54,0)</f>
        <v>117360</v>
      </c>
      <c r="BQ54" s="1579"/>
      <c r="BR54" s="1612">
        <v>0</v>
      </c>
      <c r="BS54" s="426">
        <f>ROUND(+BR54*$BA$54,0)</f>
        <v>0</v>
      </c>
      <c r="BT54" s="1579"/>
      <c r="BU54" s="1612">
        <v>0</v>
      </c>
      <c r="BV54" s="426">
        <f>ROUND(+BU54*$BA$54,0)</f>
        <v>0</v>
      </c>
      <c r="BW54" s="1579"/>
      <c r="BX54" s="1612">
        <v>0</v>
      </c>
      <c r="BY54" s="426">
        <f>ROUND(+BX54*$BA$54,0)</f>
        <v>0</v>
      </c>
      <c r="BZ54" s="1579"/>
      <c r="CA54" s="1612">
        <v>0</v>
      </c>
      <c r="CB54" s="426">
        <f>ROUND(+CA54*$BA$54,0)</f>
        <v>0</v>
      </c>
      <c r="CC54" s="1579"/>
      <c r="CD54" s="1612">
        <v>0</v>
      </c>
      <c r="CE54" s="426">
        <f>ROUND(+CD54*$BA$54,0)</f>
        <v>0</v>
      </c>
      <c r="CF54" s="1579"/>
      <c r="CG54" s="1612">
        <v>0</v>
      </c>
      <c r="CH54" s="426">
        <f>ROUND(+CG54*$BA$54,0)</f>
        <v>0</v>
      </c>
      <c r="CI54" s="1579"/>
      <c r="CJ54" s="1257">
        <f t="shared" si="178"/>
        <v>1200</v>
      </c>
      <c r="CK54" s="1395">
        <f>+BS54+BP54+BM54+BJ54+BG54+BD54+BV54+BY54+CB54+CE54+CH54</f>
        <v>195600</v>
      </c>
      <c r="CL54" s="427" t="s">
        <v>3766</v>
      </c>
      <c r="CM54" s="170"/>
      <c r="CN54" s="493"/>
      <c r="CO54" s="428" t="str">
        <f t="shared" si="180"/>
        <v>Contractor Engineering  - P&amp;C</v>
      </c>
      <c r="CP54" s="429" t="s">
        <v>301</v>
      </c>
      <c r="CQ54" s="429"/>
      <c r="CR54" s="443"/>
      <c r="CS54" s="432"/>
      <c r="CT54" s="431">
        <f t="shared" si="181"/>
        <v>0</v>
      </c>
      <c r="CU54" s="443"/>
      <c r="CV54" s="432"/>
      <c r="CW54" s="434">
        <f t="shared" si="182"/>
        <v>0</v>
      </c>
      <c r="CX54" s="443"/>
      <c r="CY54" s="432"/>
      <c r="CZ54" s="434">
        <f t="shared" si="183"/>
        <v>0</v>
      </c>
      <c r="DA54" s="443"/>
      <c r="DB54" s="432"/>
      <c r="DC54" s="434">
        <f t="shared" si="184"/>
        <v>7198</v>
      </c>
      <c r="DD54" s="443"/>
      <c r="DE54" s="432">
        <v>0</v>
      </c>
      <c r="DF54" s="434">
        <f t="shared" si="185"/>
        <v>14642</v>
      </c>
      <c r="DG54" s="443"/>
      <c r="DH54" s="432">
        <v>0</v>
      </c>
      <c r="DI54" s="434">
        <f t="shared" si="186"/>
        <v>0</v>
      </c>
      <c r="DJ54" s="443"/>
      <c r="DK54" s="432">
        <v>0</v>
      </c>
      <c r="DL54" s="434">
        <f t="shared" si="187"/>
        <v>0</v>
      </c>
      <c r="DM54" s="443"/>
      <c r="DN54" s="432">
        <v>0</v>
      </c>
      <c r="DO54" s="434">
        <f t="shared" si="188"/>
        <v>0</v>
      </c>
      <c r="DP54" s="443"/>
      <c r="DQ54" s="432">
        <v>0</v>
      </c>
      <c r="DR54" s="434">
        <f t="shared" si="189"/>
        <v>0</v>
      </c>
      <c r="DS54" s="443"/>
      <c r="DT54" s="432">
        <v>0</v>
      </c>
      <c r="DU54" s="434">
        <f t="shared" si="190"/>
        <v>0</v>
      </c>
      <c r="DV54" s="443"/>
      <c r="DW54" s="432">
        <v>0</v>
      </c>
      <c r="DX54" s="434">
        <f t="shared" si="191"/>
        <v>0</v>
      </c>
      <c r="DY54" s="443"/>
      <c r="DZ54" s="432">
        <f t="shared" si="192"/>
        <v>0</v>
      </c>
      <c r="EA54" s="444">
        <f t="shared" si="193"/>
        <v>21840</v>
      </c>
      <c r="EB54" s="433"/>
      <c r="EC54" s="170"/>
      <c r="ED54" s="170"/>
      <c r="EE54" s="170"/>
      <c r="EF54" s="170"/>
      <c r="EG54" s="170"/>
      <c r="EH54" s="170"/>
      <c r="EI54" s="170"/>
      <c r="EJ54" s="170"/>
      <c r="EK54" s="170"/>
    </row>
    <row r="55" spans="1:141" ht="15" x14ac:dyDescent="0.25">
      <c r="A55" s="168"/>
      <c r="B55" s="424">
        <v>3</v>
      </c>
      <c r="C55" s="424">
        <v>2</v>
      </c>
      <c r="D55" s="424">
        <v>3</v>
      </c>
      <c r="E55" s="425">
        <v>5</v>
      </c>
      <c r="F55" s="493" t="s">
        <v>605</v>
      </c>
      <c r="G55" s="1308" t="str">
        <f t="shared" si="154"/>
        <v>Contractor Engineering  - Survey</v>
      </c>
      <c r="H55" s="1309" t="s">
        <v>301</v>
      </c>
      <c r="I55" s="1310">
        <f t="shared" si="91"/>
        <v>0</v>
      </c>
      <c r="J55" s="1685"/>
      <c r="K55" s="1311">
        <f t="shared" si="155"/>
        <v>0</v>
      </c>
      <c r="L55" s="1312">
        <f t="shared" si="155"/>
        <v>0</v>
      </c>
      <c r="M55" s="1685"/>
      <c r="N55" s="1313">
        <f t="shared" si="156"/>
        <v>0</v>
      </c>
      <c r="O55" s="1312">
        <f t="shared" si="157"/>
        <v>0</v>
      </c>
      <c r="P55" s="1685"/>
      <c r="Q55" s="1313">
        <f t="shared" si="158"/>
        <v>0</v>
      </c>
      <c r="R55" s="1312">
        <f t="shared" si="159"/>
        <v>0</v>
      </c>
      <c r="S55" s="1685"/>
      <c r="T55" s="1313">
        <f t="shared" si="160"/>
        <v>0</v>
      </c>
      <c r="U55" s="1312">
        <f t="shared" si="161"/>
        <v>0</v>
      </c>
      <c r="V55" s="1685"/>
      <c r="W55" s="1313">
        <f t="shared" si="162"/>
        <v>0</v>
      </c>
      <c r="X55" s="1312">
        <f t="shared" si="163"/>
        <v>0</v>
      </c>
      <c r="Y55" s="1685"/>
      <c r="Z55" s="1313">
        <f t="shared" si="164"/>
        <v>0</v>
      </c>
      <c r="AA55" s="1312">
        <f t="shared" si="165"/>
        <v>0</v>
      </c>
      <c r="AB55" s="1685"/>
      <c r="AC55" s="1313">
        <f t="shared" si="166"/>
        <v>0</v>
      </c>
      <c r="AD55" s="1312">
        <f t="shared" si="167"/>
        <v>0</v>
      </c>
      <c r="AE55" s="1685"/>
      <c r="AF55" s="1313">
        <f t="shared" si="168"/>
        <v>0</v>
      </c>
      <c r="AG55" s="1312">
        <f t="shared" si="169"/>
        <v>0</v>
      </c>
      <c r="AH55" s="1685"/>
      <c r="AI55" s="1313">
        <f t="shared" si="170"/>
        <v>0</v>
      </c>
      <c r="AJ55" s="1312">
        <f t="shared" si="171"/>
        <v>0</v>
      </c>
      <c r="AK55" s="1685"/>
      <c r="AL55" s="1313">
        <f t="shared" si="172"/>
        <v>0</v>
      </c>
      <c r="AM55" s="1312">
        <f t="shared" si="173"/>
        <v>0</v>
      </c>
      <c r="AN55" s="1685"/>
      <c r="AO55" s="1313">
        <f t="shared" si="174"/>
        <v>0</v>
      </c>
      <c r="AP55" s="1312">
        <f t="shared" si="175"/>
        <v>0</v>
      </c>
      <c r="AQ55" s="1685"/>
      <c r="AR55" s="1313">
        <f t="shared" si="176"/>
        <v>0</v>
      </c>
      <c r="AS55" s="1312">
        <f t="shared" si="177"/>
        <v>0</v>
      </c>
      <c r="AT55" s="1687"/>
      <c r="AU55" s="411"/>
      <c r="AV55" s="1757">
        <f t="shared" si="153"/>
        <v>0</v>
      </c>
      <c r="AW55" s="411"/>
      <c r="AX55" s="493"/>
      <c r="AY55" s="1566" t="s">
        <v>321</v>
      </c>
      <c r="AZ55" s="1567" t="s">
        <v>301</v>
      </c>
      <c r="BA55" s="470"/>
      <c r="BB55" s="1579"/>
      <c r="BC55" s="1599">
        <v>0</v>
      </c>
      <c r="BD55" s="1600">
        <v>0</v>
      </c>
      <c r="BE55" s="1579"/>
      <c r="BF55" s="1611">
        <f>+Escalation!O346</f>
        <v>0</v>
      </c>
      <c r="BG55" s="1284">
        <f>ROUND(+Escalation!AB321,0)</f>
        <v>0</v>
      </c>
      <c r="BH55" s="1579"/>
      <c r="BI55" s="1611">
        <f>+Escalation!P346</f>
        <v>0</v>
      </c>
      <c r="BJ55" s="1284">
        <f>ROUND(+Escalation!AC321,0)</f>
        <v>0</v>
      </c>
      <c r="BK55" s="1666"/>
      <c r="BL55" s="1611">
        <f>+Escalation!Q346</f>
        <v>0</v>
      </c>
      <c r="BM55" s="1284">
        <f>ROUND(+Escalation!AD321,0)</f>
        <v>0</v>
      </c>
      <c r="BN55" s="1579"/>
      <c r="BO55" s="1611">
        <f>+Escalation!R346</f>
        <v>0</v>
      </c>
      <c r="BP55" s="1284">
        <f>ROUND(+Escalation!AE321,0)</f>
        <v>0</v>
      </c>
      <c r="BQ55" s="1579"/>
      <c r="BR55" s="1611">
        <f>+Escalation!S346</f>
        <v>0</v>
      </c>
      <c r="BS55" s="1284">
        <f>ROUND(+Escalation!AF321,0)</f>
        <v>0</v>
      </c>
      <c r="BT55" s="1579"/>
      <c r="BU55" s="1611">
        <f>+Escalation!T346</f>
        <v>0</v>
      </c>
      <c r="BV55" s="1284">
        <f>ROUND(+Escalation!AG321,0)</f>
        <v>0</v>
      </c>
      <c r="BW55" s="1579"/>
      <c r="BX55" s="1611">
        <f>+Escalation!U346</f>
        <v>0</v>
      </c>
      <c r="BY55" s="1284">
        <f>ROUND(+Escalation!AH321,0)</f>
        <v>0</v>
      </c>
      <c r="BZ55" s="1579"/>
      <c r="CA55" s="1611">
        <f>+Escalation!V346</f>
        <v>0</v>
      </c>
      <c r="CB55" s="1284">
        <f>ROUND(+Escalation!AI321,0)</f>
        <v>0</v>
      </c>
      <c r="CC55" s="1579"/>
      <c r="CD55" s="1611">
        <f>+Escalation!W346</f>
        <v>0</v>
      </c>
      <c r="CE55" s="1284">
        <f>ROUND(+Escalation!AJ321,0)</f>
        <v>0</v>
      </c>
      <c r="CF55" s="1579"/>
      <c r="CG55" s="1611">
        <f>+Escalation!X346</f>
        <v>0</v>
      </c>
      <c r="CH55" s="1284">
        <f>ROUND(+Escalation!AK321,0)</f>
        <v>0</v>
      </c>
      <c r="CI55" s="1579"/>
      <c r="CJ55" s="1257">
        <f t="shared" si="178"/>
        <v>0</v>
      </c>
      <c r="CK55" s="1395">
        <f t="shared" si="179"/>
        <v>0</v>
      </c>
      <c r="CL55" s="427"/>
      <c r="CM55" s="170"/>
      <c r="CN55" s="493"/>
      <c r="CO55" s="428" t="str">
        <f t="shared" si="180"/>
        <v>Contractor Engineering  - Survey</v>
      </c>
      <c r="CP55" s="429" t="s">
        <v>301</v>
      </c>
      <c r="CQ55" s="429"/>
      <c r="CR55" s="443"/>
      <c r="CS55" s="432"/>
      <c r="CT55" s="431">
        <f t="shared" si="181"/>
        <v>0</v>
      </c>
      <c r="CU55" s="443"/>
      <c r="CV55" s="432"/>
      <c r="CW55" s="434">
        <f t="shared" si="182"/>
        <v>0</v>
      </c>
      <c r="CX55" s="443"/>
      <c r="CY55" s="432"/>
      <c r="CZ55" s="434">
        <f t="shared" si="183"/>
        <v>0</v>
      </c>
      <c r="DA55" s="443"/>
      <c r="DB55" s="432"/>
      <c r="DC55" s="434">
        <f t="shared" si="184"/>
        <v>0</v>
      </c>
      <c r="DD55" s="443"/>
      <c r="DE55" s="432">
        <v>0</v>
      </c>
      <c r="DF55" s="434">
        <f t="shared" si="185"/>
        <v>0</v>
      </c>
      <c r="DG55" s="443"/>
      <c r="DH55" s="432">
        <v>0</v>
      </c>
      <c r="DI55" s="434">
        <f t="shared" si="186"/>
        <v>0</v>
      </c>
      <c r="DJ55" s="443"/>
      <c r="DK55" s="432">
        <v>0</v>
      </c>
      <c r="DL55" s="434">
        <f t="shared" si="187"/>
        <v>0</v>
      </c>
      <c r="DM55" s="443"/>
      <c r="DN55" s="432">
        <v>0</v>
      </c>
      <c r="DO55" s="434">
        <f t="shared" si="188"/>
        <v>0</v>
      </c>
      <c r="DP55" s="443"/>
      <c r="DQ55" s="432">
        <v>0</v>
      </c>
      <c r="DR55" s="434">
        <f t="shared" si="189"/>
        <v>0</v>
      </c>
      <c r="DS55" s="443"/>
      <c r="DT55" s="432">
        <v>0</v>
      </c>
      <c r="DU55" s="434">
        <f t="shared" si="190"/>
        <v>0</v>
      </c>
      <c r="DV55" s="443"/>
      <c r="DW55" s="432">
        <v>0</v>
      </c>
      <c r="DX55" s="434">
        <f t="shared" si="191"/>
        <v>0</v>
      </c>
      <c r="DY55" s="443"/>
      <c r="DZ55" s="432">
        <f t="shared" si="192"/>
        <v>0</v>
      </c>
      <c r="EA55" s="444">
        <f t="shared" si="193"/>
        <v>0</v>
      </c>
      <c r="EB55" s="433"/>
      <c r="EC55" s="170"/>
      <c r="ED55" s="170"/>
      <c r="EE55" s="170"/>
      <c r="EF55" s="170"/>
      <c r="EG55" s="170"/>
      <c r="EH55" s="170"/>
      <c r="EI55" s="170"/>
      <c r="EJ55" s="170"/>
      <c r="EK55" s="170"/>
    </row>
    <row r="56" spans="1:141" ht="15" x14ac:dyDescent="0.25">
      <c r="A56" s="168"/>
      <c r="B56" s="424">
        <v>3</v>
      </c>
      <c r="C56" s="424">
        <v>2</v>
      </c>
      <c r="D56" s="424">
        <v>3</v>
      </c>
      <c r="E56" s="425">
        <v>5</v>
      </c>
      <c r="F56" s="493" t="s">
        <v>605</v>
      </c>
      <c r="G56" s="1308" t="str">
        <f t="shared" ref="G56:G57" si="214">+AY56</f>
        <v>Contractor Engineering  - SCADA / Automation</v>
      </c>
      <c r="H56" s="1309" t="s">
        <v>301</v>
      </c>
      <c r="I56" s="1310">
        <f t="shared" ref="I56:I57" si="215">+BA56</f>
        <v>160</v>
      </c>
      <c r="J56" s="1685"/>
      <c r="K56" s="1311">
        <f t="shared" ref="K56:K57" si="216">+BC56</f>
        <v>0</v>
      </c>
      <c r="L56" s="1312">
        <f t="shared" ref="L56:L57" si="217">+BD56</f>
        <v>0</v>
      </c>
      <c r="M56" s="1685"/>
      <c r="N56" s="1313">
        <f t="shared" ref="N56:N57" si="218">+BF56</f>
        <v>0</v>
      </c>
      <c r="O56" s="1312">
        <f t="shared" si="157"/>
        <v>0</v>
      </c>
      <c r="P56" s="1685"/>
      <c r="Q56" s="1313">
        <f t="shared" ref="Q56:Q57" si="219">+BI56</f>
        <v>0</v>
      </c>
      <c r="R56" s="1312">
        <f t="shared" si="159"/>
        <v>0</v>
      </c>
      <c r="S56" s="1685"/>
      <c r="T56" s="1313">
        <f t="shared" ref="T56:T57" si="220">+BL56</f>
        <v>200</v>
      </c>
      <c r="U56" s="1312">
        <f t="shared" si="161"/>
        <v>34944</v>
      </c>
      <c r="V56" s="1685"/>
      <c r="W56" s="1313">
        <f t="shared" ref="W56:W57" si="221">+BO56</f>
        <v>120</v>
      </c>
      <c r="X56" s="1312">
        <f t="shared" si="163"/>
        <v>21595</v>
      </c>
      <c r="Y56" s="1685"/>
      <c r="Z56" s="1313">
        <f t="shared" ref="Z56:Z57" si="222">+BR56</f>
        <v>0</v>
      </c>
      <c r="AA56" s="1312">
        <f t="shared" si="165"/>
        <v>0</v>
      </c>
      <c r="AB56" s="1685"/>
      <c r="AC56" s="1313">
        <f t="shared" ref="AC56:AC57" si="223">+BU56</f>
        <v>0</v>
      </c>
      <c r="AD56" s="1312">
        <f t="shared" si="167"/>
        <v>0</v>
      </c>
      <c r="AE56" s="1685"/>
      <c r="AF56" s="1313">
        <f t="shared" si="168"/>
        <v>0</v>
      </c>
      <c r="AG56" s="1312">
        <f t="shared" si="169"/>
        <v>0</v>
      </c>
      <c r="AH56" s="1685"/>
      <c r="AI56" s="1313">
        <f t="shared" si="170"/>
        <v>0</v>
      </c>
      <c r="AJ56" s="1312">
        <f t="shared" si="171"/>
        <v>0</v>
      </c>
      <c r="AK56" s="1685"/>
      <c r="AL56" s="1313">
        <f t="shared" si="172"/>
        <v>0</v>
      </c>
      <c r="AM56" s="1312">
        <f t="shared" si="173"/>
        <v>0</v>
      </c>
      <c r="AN56" s="1685"/>
      <c r="AO56" s="1313">
        <f t="shared" si="174"/>
        <v>0</v>
      </c>
      <c r="AP56" s="1312">
        <f t="shared" si="175"/>
        <v>0</v>
      </c>
      <c r="AQ56" s="1685"/>
      <c r="AR56" s="1313">
        <f t="shared" si="176"/>
        <v>320</v>
      </c>
      <c r="AS56" s="1312">
        <f t="shared" si="177"/>
        <v>56539</v>
      </c>
      <c r="AT56" s="1687"/>
      <c r="AU56" s="411"/>
      <c r="AV56" s="1757">
        <f t="shared" si="153"/>
        <v>56539</v>
      </c>
      <c r="AW56" s="411"/>
      <c r="AX56" s="493"/>
      <c r="AY56" s="1566" t="s">
        <v>1777</v>
      </c>
      <c r="AZ56" s="1567" t="s">
        <v>301</v>
      </c>
      <c r="BA56" s="2445">
        <f>+'Data Input sheet'!$D$176</f>
        <v>160</v>
      </c>
      <c r="BB56" s="1579"/>
      <c r="BC56" s="1599">
        <v>0</v>
      </c>
      <c r="BD56" s="1600">
        <v>0</v>
      </c>
      <c r="BE56" s="1579"/>
      <c r="BF56" s="1612">
        <v>0</v>
      </c>
      <c r="BG56" s="426">
        <f>ROUND(+BF56*$BA$56,0)</f>
        <v>0</v>
      </c>
      <c r="BH56" s="1579"/>
      <c r="BI56" s="1612"/>
      <c r="BJ56" s="426">
        <f>ROUND(+BI56*$BA$56,0)</f>
        <v>0</v>
      </c>
      <c r="BK56" s="1666"/>
      <c r="BL56" s="1612">
        <v>200</v>
      </c>
      <c r="BM56" s="426">
        <f>ROUND(+BL56*$BA$56,0)</f>
        <v>32000</v>
      </c>
      <c r="BN56" s="1579"/>
      <c r="BO56" s="1612">
        <v>120</v>
      </c>
      <c r="BP56" s="426">
        <f>ROUND(+BO56*$BA$56,0)</f>
        <v>19200</v>
      </c>
      <c r="BQ56" s="1579"/>
      <c r="BR56" s="1612">
        <v>0</v>
      </c>
      <c r="BS56" s="426">
        <f>ROUND(+BR56*$BA$56,0)</f>
        <v>0</v>
      </c>
      <c r="BT56" s="1579"/>
      <c r="BU56" s="1612">
        <v>0</v>
      </c>
      <c r="BV56" s="426">
        <f>ROUND(+BU56*$BA$56,0)</f>
        <v>0</v>
      </c>
      <c r="BW56" s="1579"/>
      <c r="BX56" s="1612">
        <v>0</v>
      </c>
      <c r="BY56" s="426">
        <f>ROUND(+BX56*$BA$56,0)</f>
        <v>0</v>
      </c>
      <c r="BZ56" s="1579"/>
      <c r="CA56" s="1612">
        <v>0</v>
      </c>
      <c r="CB56" s="426">
        <f>ROUND(+CA56*$BA$56,0)</f>
        <v>0</v>
      </c>
      <c r="CC56" s="1579"/>
      <c r="CD56" s="1612">
        <v>0</v>
      </c>
      <c r="CE56" s="426">
        <f>ROUND(+CD56*$BA$56,0)</f>
        <v>0</v>
      </c>
      <c r="CF56" s="1579"/>
      <c r="CG56" s="1612">
        <v>0</v>
      </c>
      <c r="CH56" s="426">
        <f>ROUND(+CG56*$BA$56,0)</f>
        <v>0</v>
      </c>
      <c r="CI56" s="1579"/>
      <c r="CJ56" s="1257">
        <f t="shared" si="178"/>
        <v>320</v>
      </c>
      <c r="CK56" s="1395">
        <f t="shared" si="179"/>
        <v>51200</v>
      </c>
      <c r="CL56" s="427" t="s">
        <v>3764</v>
      </c>
      <c r="CM56" s="170"/>
      <c r="CN56" s="493"/>
      <c r="CO56" s="428" t="str">
        <f t="shared" si="180"/>
        <v>Contractor Engineering  - SCADA / Automation</v>
      </c>
      <c r="CP56" s="429" t="s">
        <v>301</v>
      </c>
      <c r="CQ56" s="429"/>
      <c r="CR56" s="443"/>
      <c r="CS56" s="432"/>
      <c r="CT56" s="431">
        <f t="shared" si="181"/>
        <v>0</v>
      </c>
      <c r="CU56" s="443"/>
      <c r="CV56" s="432"/>
      <c r="CW56" s="434">
        <f t="shared" si="182"/>
        <v>0</v>
      </c>
      <c r="CX56" s="443"/>
      <c r="CY56" s="432"/>
      <c r="CZ56" s="434">
        <f t="shared" si="183"/>
        <v>0</v>
      </c>
      <c r="DA56" s="443"/>
      <c r="DB56" s="432"/>
      <c r="DC56" s="434">
        <f t="shared" si="184"/>
        <v>2944</v>
      </c>
      <c r="DD56" s="443"/>
      <c r="DE56" s="432">
        <v>0</v>
      </c>
      <c r="DF56" s="434">
        <f t="shared" si="185"/>
        <v>2395</v>
      </c>
      <c r="DG56" s="443"/>
      <c r="DH56" s="432">
        <v>0</v>
      </c>
      <c r="DI56" s="434">
        <f t="shared" si="186"/>
        <v>0</v>
      </c>
      <c r="DJ56" s="443"/>
      <c r="DK56" s="432">
        <v>0</v>
      </c>
      <c r="DL56" s="434">
        <f t="shared" si="187"/>
        <v>0</v>
      </c>
      <c r="DM56" s="443"/>
      <c r="DN56" s="432">
        <v>0</v>
      </c>
      <c r="DO56" s="434">
        <f t="shared" si="188"/>
        <v>0</v>
      </c>
      <c r="DP56" s="443"/>
      <c r="DQ56" s="432">
        <v>0</v>
      </c>
      <c r="DR56" s="434">
        <f t="shared" si="189"/>
        <v>0</v>
      </c>
      <c r="DS56" s="443"/>
      <c r="DT56" s="432">
        <v>0</v>
      </c>
      <c r="DU56" s="434">
        <f t="shared" si="190"/>
        <v>0</v>
      </c>
      <c r="DV56" s="443"/>
      <c r="DW56" s="432">
        <v>0</v>
      </c>
      <c r="DX56" s="434">
        <f t="shared" si="191"/>
        <v>0</v>
      </c>
      <c r="DY56" s="443"/>
      <c r="DZ56" s="432">
        <f t="shared" si="192"/>
        <v>0</v>
      </c>
      <c r="EA56" s="444">
        <f t="shared" si="193"/>
        <v>5339</v>
      </c>
      <c r="EB56" s="433"/>
      <c r="EC56" s="170"/>
      <c r="ED56" s="170"/>
      <c r="EE56" s="170"/>
      <c r="EF56" s="170"/>
      <c r="EG56" s="170"/>
      <c r="EH56" s="170"/>
      <c r="EI56" s="170"/>
      <c r="EJ56" s="170"/>
      <c r="EK56" s="170"/>
    </row>
    <row r="57" spans="1:141" ht="25.5" x14ac:dyDescent="0.25">
      <c r="A57" s="168"/>
      <c r="B57" s="424">
        <v>3</v>
      </c>
      <c r="C57" s="424">
        <v>2</v>
      </c>
      <c r="D57" s="424">
        <v>3</v>
      </c>
      <c r="E57" s="425">
        <v>5</v>
      </c>
      <c r="F57" s="493" t="s">
        <v>605</v>
      </c>
      <c r="G57" s="1308" t="str">
        <f t="shared" si="214"/>
        <v>Contractor Engineering  - Telecom</v>
      </c>
      <c r="H57" s="1309" t="s">
        <v>301</v>
      </c>
      <c r="I57" s="1310">
        <f t="shared" si="215"/>
        <v>160</v>
      </c>
      <c r="J57" s="1685"/>
      <c r="K57" s="1311">
        <f t="shared" si="216"/>
        <v>0</v>
      </c>
      <c r="L57" s="1312">
        <f t="shared" si="217"/>
        <v>0</v>
      </c>
      <c r="M57" s="1685"/>
      <c r="N57" s="1313">
        <f t="shared" si="218"/>
        <v>0</v>
      </c>
      <c r="O57" s="1312">
        <f t="shared" si="157"/>
        <v>0</v>
      </c>
      <c r="P57" s="1685"/>
      <c r="Q57" s="1313">
        <f t="shared" si="219"/>
        <v>0</v>
      </c>
      <c r="R57" s="1312">
        <f t="shared" si="159"/>
        <v>0</v>
      </c>
      <c r="S57" s="1685"/>
      <c r="T57" s="1313">
        <f t="shared" si="220"/>
        <v>120</v>
      </c>
      <c r="U57" s="1312">
        <f t="shared" si="161"/>
        <v>20966</v>
      </c>
      <c r="V57" s="1685"/>
      <c r="W57" s="1313">
        <f t="shared" si="221"/>
        <v>120</v>
      </c>
      <c r="X57" s="1312">
        <f t="shared" si="163"/>
        <v>21595</v>
      </c>
      <c r="Y57" s="1685"/>
      <c r="Z57" s="1313">
        <f t="shared" si="222"/>
        <v>0</v>
      </c>
      <c r="AA57" s="1312">
        <f t="shared" si="165"/>
        <v>0</v>
      </c>
      <c r="AB57" s="1685"/>
      <c r="AC57" s="1313">
        <f t="shared" si="223"/>
        <v>0</v>
      </c>
      <c r="AD57" s="1312">
        <f t="shared" si="167"/>
        <v>0</v>
      </c>
      <c r="AE57" s="1685"/>
      <c r="AF57" s="1313">
        <f t="shared" si="168"/>
        <v>0</v>
      </c>
      <c r="AG57" s="1312">
        <f t="shared" si="169"/>
        <v>0</v>
      </c>
      <c r="AH57" s="1685"/>
      <c r="AI57" s="1313">
        <f t="shared" si="170"/>
        <v>0</v>
      </c>
      <c r="AJ57" s="1312">
        <f t="shared" si="171"/>
        <v>0</v>
      </c>
      <c r="AK57" s="1685"/>
      <c r="AL57" s="1313">
        <f t="shared" si="172"/>
        <v>0</v>
      </c>
      <c r="AM57" s="1312">
        <f t="shared" si="173"/>
        <v>0</v>
      </c>
      <c r="AN57" s="1685"/>
      <c r="AO57" s="1313">
        <f t="shared" si="174"/>
        <v>0</v>
      </c>
      <c r="AP57" s="1312">
        <f t="shared" si="175"/>
        <v>0</v>
      </c>
      <c r="AQ57" s="1685"/>
      <c r="AR57" s="1313">
        <f t="shared" si="176"/>
        <v>240</v>
      </c>
      <c r="AS57" s="1312">
        <f t="shared" si="177"/>
        <v>42561</v>
      </c>
      <c r="AT57" s="1687"/>
      <c r="AU57" s="411"/>
      <c r="AV57" s="1757">
        <f t="shared" si="153"/>
        <v>42561</v>
      </c>
      <c r="AW57" s="411"/>
      <c r="AX57" s="493"/>
      <c r="AY57" s="1566" t="s">
        <v>1778</v>
      </c>
      <c r="AZ57" s="1567" t="s">
        <v>301</v>
      </c>
      <c r="BA57" s="2445">
        <f>+'Data Input sheet'!$D$176</f>
        <v>160</v>
      </c>
      <c r="BB57" s="1579"/>
      <c r="BC57" s="1599">
        <v>0</v>
      </c>
      <c r="BD57" s="1600">
        <v>0</v>
      </c>
      <c r="BE57" s="1579"/>
      <c r="BF57" s="1612">
        <v>0</v>
      </c>
      <c r="BG57" s="426">
        <f>ROUND(+BF57*$BA$57,0)</f>
        <v>0</v>
      </c>
      <c r="BH57" s="1579"/>
      <c r="BI57" s="1612"/>
      <c r="BJ57" s="426">
        <f>ROUND(+BI57*$BA$57,0)</f>
        <v>0</v>
      </c>
      <c r="BK57" s="1666"/>
      <c r="BL57" s="1612">
        <v>120</v>
      </c>
      <c r="BM57" s="426">
        <f>ROUND(+BL57*$BA$57,0)</f>
        <v>19200</v>
      </c>
      <c r="BN57" s="1579"/>
      <c r="BO57" s="1612">
        <v>120</v>
      </c>
      <c r="BP57" s="426">
        <f>ROUND(+BO57*$BA$57,0)</f>
        <v>19200</v>
      </c>
      <c r="BQ57" s="1579"/>
      <c r="BR57" s="1612">
        <v>0</v>
      </c>
      <c r="BS57" s="426">
        <f>ROUND(+BR57*$BA$57,0)</f>
        <v>0</v>
      </c>
      <c r="BT57" s="1579"/>
      <c r="BU57" s="1612">
        <v>0</v>
      </c>
      <c r="BV57" s="426">
        <f>ROUND(+BU57*$BA$57,0)</f>
        <v>0</v>
      </c>
      <c r="BW57" s="1579"/>
      <c r="BX57" s="1612">
        <v>0</v>
      </c>
      <c r="BY57" s="426">
        <f>ROUND(+BX57*$BA$57,0)</f>
        <v>0</v>
      </c>
      <c r="BZ57" s="1579"/>
      <c r="CA57" s="1612">
        <v>0</v>
      </c>
      <c r="CB57" s="426">
        <f>ROUND(+CA57*$BA$57,0)</f>
        <v>0</v>
      </c>
      <c r="CC57" s="1579"/>
      <c r="CD57" s="1612">
        <v>0</v>
      </c>
      <c r="CE57" s="426">
        <f>ROUND(+CD57*$BA$57,0)</f>
        <v>0</v>
      </c>
      <c r="CF57" s="1579"/>
      <c r="CG57" s="1612">
        <v>0</v>
      </c>
      <c r="CH57" s="426">
        <f>ROUND(+CG57*$BA$57,0)</f>
        <v>0</v>
      </c>
      <c r="CI57" s="1579"/>
      <c r="CJ57" s="1257">
        <f t="shared" si="178"/>
        <v>240</v>
      </c>
      <c r="CK57" s="1395">
        <f t="shared" si="179"/>
        <v>38400</v>
      </c>
      <c r="CL57" s="427" t="s">
        <v>3765</v>
      </c>
      <c r="CM57" s="170"/>
      <c r="CN57" s="493"/>
      <c r="CO57" s="428" t="str">
        <f t="shared" si="180"/>
        <v>Contractor Engineering  - Telecom</v>
      </c>
      <c r="CP57" s="429" t="s">
        <v>301</v>
      </c>
      <c r="CQ57" s="429"/>
      <c r="CR57" s="443"/>
      <c r="CS57" s="432"/>
      <c r="CT57" s="431">
        <f t="shared" si="181"/>
        <v>0</v>
      </c>
      <c r="CU57" s="443"/>
      <c r="CV57" s="432"/>
      <c r="CW57" s="434">
        <f t="shared" si="182"/>
        <v>0</v>
      </c>
      <c r="CX57" s="443"/>
      <c r="CY57" s="432"/>
      <c r="CZ57" s="434">
        <f t="shared" si="183"/>
        <v>0</v>
      </c>
      <c r="DA57" s="443"/>
      <c r="DB57" s="432"/>
      <c r="DC57" s="434">
        <f t="shared" si="184"/>
        <v>1766</v>
      </c>
      <c r="DD57" s="443"/>
      <c r="DE57" s="432">
        <v>0</v>
      </c>
      <c r="DF57" s="434">
        <f t="shared" si="185"/>
        <v>2395</v>
      </c>
      <c r="DG57" s="443"/>
      <c r="DH57" s="432">
        <v>0</v>
      </c>
      <c r="DI57" s="434">
        <f t="shared" si="186"/>
        <v>0</v>
      </c>
      <c r="DJ57" s="443"/>
      <c r="DK57" s="432">
        <v>0</v>
      </c>
      <c r="DL57" s="434">
        <f t="shared" si="187"/>
        <v>0</v>
      </c>
      <c r="DM57" s="443"/>
      <c r="DN57" s="432">
        <v>0</v>
      </c>
      <c r="DO57" s="434">
        <f t="shared" si="188"/>
        <v>0</v>
      </c>
      <c r="DP57" s="443"/>
      <c r="DQ57" s="432">
        <v>0</v>
      </c>
      <c r="DR57" s="434">
        <f t="shared" si="189"/>
        <v>0</v>
      </c>
      <c r="DS57" s="443"/>
      <c r="DT57" s="432">
        <v>0</v>
      </c>
      <c r="DU57" s="434">
        <f t="shared" si="190"/>
        <v>0</v>
      </c>
      <c r="DV57" s="443"/>
      <c r="DW57" s="432">
        <v>0</v>
      </c>
      <c r="DX57" s="434">
        <f t="shared" si="191"/>
        <v>0</v>
      </c>
      <c r="DY57" s="443"/>
      <c r="DZ57" s="432">
        <f t="shared" si="192"/>
        <v>0</v>
      </c>
      <c r="EA57" s="444">
        <f t="shared" si="193"/>
        <v>4161</v>
      </c>
      <c r="EB57" s="433"/>
      <c r="EC57" s="170"/>
      <c r="ED57" s="170"/>
      <c r="EE57" s="170"/>
      <c r="EF57" s="170"/>
      <c r="EG57" s="170"/>
      <c r="EH57" s="170"/>
      <c r="EI57" s="170"/>
      <c r="EJ57" s="170"/>
      <c r="EK57" s="170"/>
    </row>
    <row r="58" spans="1:141" ht="15" x14ac:dyDescent="0.25">
      <c r="A58" s="168"/>
      <c r="B58" s="424">
        <v>3</v>
      </c>
      <c r="C58" s="424">
        <v>2</v>
      </c>
      <c r="D58" s="424">
        <v>3</v>
      </c>
      <c r="E58" s="425">
        <v>5</v>
      </c>
      <c r="F58" s="493" t="s">
        <v>605</v>
      </c>
      <c r="G58" s="1308" t="str">
        <f t="shared" si="154"/>
        <v>Contractor Engineering  - Specify</v>
      </c>
      <c r="H58" s="1309" t="s">
        <v>301</v>
      </c>
      <c r="I58" s="1310">
        <f t="shared" si="91"/>
        <v>160</v>
      </c>
      <c r="J58" s="1685"/>
      <c r="K58" s="1311">
        <f t="shared" si="155"/>
        <v>0</v>
      </c>
      <c r="L58" s="1312">
        <f t="shared" si="155"/>
        <v>0</v>
      </c>
      <c r="M58" s="1685"/>
      <c r="N58" s="1313">
        <f t="shared" si="156"/>
        <v>0</v>
      </c>
      <c r="O58" s="1312">
        <f t="shared" si="157"/>
        <v>0</v>
      </c>
      <c r="P58" s="1685"/>
      <c r="Q58" s="1313">
        <f t="shared" si="158"/>
        <v>0</v>
      </c>
      <c r="R58" s="1312">
        <f t="shared" si="159"/>
        <v>0</v>
      </c>
      <c r="S58" s="1685"/>
      <c r="T58" s="1313">
        <f t="shared" si="160"/>
        <v>0</v>
      </c>
      <c r="U58" s="1312">
        <f t="shared" si="161"/>
        <v>0</v>
      </c>
      <c r="V58" s="1685"/>
      <c r="W58" s="1313">
        <f t="shared" si="162"/>
        <v>0</v>
      </c>
      <c r="X58" s="1312">
        <f t="shared" si="163"/>
        <v>0</v>
      </c>
      <c r="Y58" s="1685"/>
      <c r="Z58" s="1313">
        <f t="shared" si="164"/>
        <v>0</v>
      </c>
      <c r="AA58" s="1312">
        <f t="shared" si="165"/>
        <v>0</v>
      </c>
      <c r="AB58" s="1685"/>
      <c r="AC58" s="1313">
        <f t="shared" si="166"/>
        <v>0</v>
      </c>
      <c r="AD58" s="1312">
        <f t="shared" si="167"/>
        <v>0</v>
      </c>
      <c r="AE58" s="1685"/>
      <c r="AF58" s="1313">
        <f t="shared" si="168"/>
        <v>0</v>
      </c>
      <c r="AG58" s="1312">
        <f t="shared" si="169"/>
        <v>0</v>
      </c>
      <c r="AH58" s="1685"/>
      <c r="AI58" s="1313">
        <f t="shared" si="170"/>
        <v>0</v>
      </c>
      <c r="AJ58" s="1312">
        <f t="shared" si="171"/>
        <v>0</v>
      </c>
      <c r="AK58" s="1685"/>
      <c r="AL58" s="1313">
        <f t="shared" si="172"/>
        <v>0</v>
      </c>
      <c r="AM58" s="1312">
        <f t="shared" si="173"/>
        <v>0</v>
      </c>
      <c r="AN58" s="1685"/>
      <c r="AO58" s="1313">
        <f t="shared" si="174"/>
        <v>0</v>
      </c>
      <c r="AP58" s="1312">
        <f t="shared" si="175"/>
        <v>0</v>
      </c>
      <c r="AQ58" s="1685"/>
      <c r="AR58" s="1313">
        <f t="shared" si="176"/>
        <v>0</v>
      </c>
      <c r="AS58" s="1312">
        <f t="shared" si="177"/>
        <v>0</v>
      </c>
      <c r="AT58" s="1687"/>
      <c r="AU58" s="411"/>
      <c r="AV58" s="1757">
        <f t="shared" si="153"/>
        <v>0</v>
      </c>
      <c r="AW58" s="411"/>
      <c r="AX58" s="493"/>
      <c r="AY58" s="1566" t="s">
        <v>322</v>
      </c>
      <c r="AZ58" s="1567" t="s">
        <v>301</v>
      </c>
      <c r="BA58" s="2445">
        <f>+'Data Input sheet'!$D$176</f>
        <v>160</v>
      </c>
      <c r="BB58" s="1579"/>
      <c r="BC58" s="1599">
        <v>0</v>
      </c>
      <c r="BD58" s="1600"/>
      <c r="BE58" s="1579"/>
      <c r="BF58" s="1612">
        <v>0</v>
      </c>
      <c r="BG58" s="426">
        <f>ROUND(+BF58*$BA$58,0)</f>
        <v>0</v>
      </c>
      <c r="BH58" s="1579"/>
      <c r="BI58" s="1612">
        <v>0</v>
      </c>
      <c r="BJ58" s="426">
        <f>ROUND(+BI58*$BA$58,0)</f>
        <v>0</v>
      </c>
      <c r="BK58" s="1666"/>
      <c r="BL58" s="1612">
        <v>0</v>
      </c>
      <c r="BM58" s="426">
        <f>ROUND(+BL58*$BA$58,0)</f>
        <v>0</v>
      </c>
      <c r="BN58" s="1579"/>
      <c r="BO58" s="1612">
        <v>0</v>
      </c>
      <c r="BP58" s="426">
        <f>ROUND(+BO58*$BA$58,0)</f>
        <v>0</v>
      </c>
      <c r="BQ58" s="1579"/>
      <c r="BR58" s="1612">
        <v>0</v>
      </c>
      <c r="BS58" s="426">
        <f>ROUND(+BR58*$BA$58,0)</f>
        <v>0</v>
      </c>
      <c r="BT58" s="1579"/>
      <c r="BU58" s="1612">
        <v>0</v>
      </c>
      <c r="BV58" s="426">
        <f>ROUND(+BU58*$BA$58,0)</f>
        <v>0</v>
      </c>
      <c r="BW58" s="1579"/>
      <c r="BX58" s="1612">
        <v>0</v>
      </c>
      <c r="BY58" s="426">
        <f>ROUND(+BX58*$BA$58,0)</f>
        <v>0</v>
      </c>
      <c r="BZ58" s="1579"/>
      <c r="CA58" s="1612">
        <v>0</v>
      </c>
      <c r="CB58" s="426">
        <f>ROUND(+CA58*$BA$58,0)</f>
        <v>0</v>
      </c>
      <c r="CC58" s="1579"/>
      <c r="CD58" s="1612">
        <v>0</v>
      </c>
      <c r="CE58" s="426">
        <f>ROUND(+CD58*$BA$58,0)</f>
        <v>0</v>
      </c>
      <c r="CF58" s="1579"/>
      <c r="CG58" s="1612">
        <v>0</v>
      </c>
      <c r="CH58" s="426">
        <f>ROUND(+CG58*$BA$58,0)</f>
        <v>0</v>
      </c>
      <c r="CI58" s="1579"/>
      <c r="CJ58" s="1257">
        <f t="shared" si="178"/>
        <v>0</v>
      </c>
      <c r="CK58" s="1395">
        <f t="shared" si="179"/>
        <v>0</v>
      </c>
      <c r="CL58" s="427"/>
      <c r="CM58" s="170"/>
      <c r="CN58" s="493"/>
      <c r="CO58" s="428" t="str">
        <f t="shared" si="180"/>
        <v>Contractor Engineering  - Specify</v>
      </c>
      <c r="CP58" s="429" t="s">
        <v>301</v>
      </c>
      <c r="CQ58" s="429"/>
      <c r="CR58" s="443"/>
      <c r="CS58" s="432"/>
      <c r="CT58" s="431">
        <f t="shared" si="181"/>
        <v>0</v>
      </c>
      <c r="CU58" s="443"/>
      <c r="CV58" s="432"/>
      <c r="CW58" s="434">
        <f t="shared" si="182"/>
        <v>0</v>
      </c>
      <c r="CX58" s="443"/>
      <c r="CY58" s="432"/>
      <c r="CZ58" s="434">
        <f t="shared" si="183"/>
        <v>0</v>
      </c>
      <c r="DA58" s="443"/>
      <c r="DB58" s="432"/>
      <c r="DC58" s="434">
        <f t="shared" si="184"/>
        <v>0</v>
      </c>
      <c r="DD58" s="443"/>
      <c r="DE58" s="432">
        <v>0</v>
      </c>
      <c r="DF58" s="434">
        <f t="shared" si="185"/>
        <v>0</v>
      </c>
      <c r="DG58" s="443"/>
      <c r="DH58" s="432">
        <v>0</v>
      </c>
      <c r="DI58" s="434">
        <f t="shared" si="186"/>
        <v>0</v>
      </c>
      <c r="DJ58" s="443"/>
      <c r="DK58" s="432">
        <v>0</v>
      </c>
      <c r="DL58" s="434">
        <f t="shared" si="187"/>
        <v>0</v>
      </c>
      <c r="DM58" s="443"/>
      <c r="DN58" s="432">
        <v>0</v>
      </c>
      <c r="DO58" s="434">
        <f t="shared" si="188"/>
        <v>0</v>
      </c>
      <c r="DP58" s="443"/>
      <c r="DQ58" s="432">
        <v>0</v>
      </c>
      <c r="DR58" s="434">
        <f t="shared" si="189"/>
        <v>0</v>
      </c>
      <c r="DS58" s="443"/>
      <c r="DT58" s="432">
        <v>0</v>
      </c>
      <c r="DU58" s="434">
        <f t="shared" si="190"/>
        <v>0</v>
      </c>
      <c r="DV58" s="443"/>
      <c r="DW58" s="432">
        <v>0</v>
      </c>
      <c r="DX58" s="434">
        <f t="shared" si="191"/>
        <v>0</v>
      </c>
      <c r="DY58" s="443"/>
      <c r="DZ58" s="432">
        <f t="shared" si="192"/>
        <v>0</v>
      </c>
      <c r="EA58" s="444">
        <f t="shared" si="193"/>
        <v>0</v>
      </c>
      <c r="EB58" s="433"/>
      <c r="EC58" s="170"/>
      <c r="ED58" s="170"/>
      <c r="EE58" s="170"/>
      <c r="EF58" s="170"/>
      <c r="EG58" s="170"/>
      <c r="EH58" s="170"/>
      <c r="EI58" s="170"/>
      <c r="EJ58" s="170"/>
      <c r="EK58" s="170"/>
    </row>
    <row r="59" spans="1:141" ht="15" x14ac:dyDescent="0.25">
      <c r="A59" s="168"/>
      <c r="B59" s="424">
        <v>3</v>
      </c>
      <c r="C59" s="424">
        <v>2</v>
      </c>
      <c r="D59" s="424">
        <v>3</v>
      </c>
      <c r="E59" s="425">
        <v>5</v>
      </c>
      <c r="F59" s="493" t="s">
        <v>605</v>
      </c>
      <c r="G59" s="1308" t="str">
        <f t="shared" si="154"/>
        <v>Contractor Engineering  - Specify</v>
      </c>
      <c r="H59" s="1309" t="s">
        <v>301</v>
      </c>
      <c r="I59" s="1310">
        <f t="shared" si="91"/>
        <v>160</v>
      </c>
      <c r="J59" s="1685"/>
      <c r="K59" s="1311">
        <f t="shared" si="155"/>
        <v>0</v>
      </c>
      <c r="L59" s="1312">
        <f t="shared" si="155"/>
        <v>0</v>
      </c>
      <c r="M59" s="1685"/>
      <c r="N59" s="1313">
        <f t="shared" si="156"/>
        <v>0</v>
      </c>
      <c r="O59" s="1312">
        <f t="shared" si="157"/>
        <v>0</v>
      </c>
      <c r="P59" s="1685"/>
      <c r="Q59" s="1313">
        <f t="shared" si="158"/>
        <v>0</v>
      </c>
      <c r="R59" s="1312">
        <f t="shared" si="159"/>
        <v>0</v>
      </c>
      <c r="S59" s="1685"/>
      <c r="T59" s="1313">
        <f t="shared" si="160"/>
        <v>0</v>
      </c>
      <c r="U59" s="1312">
        <f t="shared" si="161"/>
        <v>0</v>
      </c>
      <c r="V59" s="1685"/>
      <c r="W59" s="1313">
        <f t="shared" si="162"/>
        <v>0</v>
      </c>
      <c r="X59" s="1312">
        <f t="shared" si="163"/>
        <v>0</v>
      </c>
      <c r="Y59" s="1685"/>
      <c r="Z59" s="1313">
        <f t="shared" si="164"/>
        <v>0</v>
      </c>
      <c r="AA59" s="1312">
        <f t="shared" si="165"/>
        <v>0</v>
      </c>
      <c r="AB59" s="1685"/>
      <c r="AC59" s="1313">
        <f t="shared" si="166"/>
        <v>0</v>
      </c>
      <c r="AD59" s="1312">
        <f t="shared" si="167"/>
        <v>0</v>
      </c>
      <c r="AE59" s="1685"/>
      <c r="AF59" s="1313">
        <f t="shared" si="168"/>
        <v>0</v>
      </c>
      <c r="AG59" s="1312">
        <f t="shared" si="169"/>
        <v>0</v>
      </c>
      <c r="AH59" s="1685"/>
      <c r="AI59" s="1313">
        <f t="shared" si="170"/>
        <v>0</v>
      </c>
      <c r="AJ59" s="1312">
        <f t="shared" si="171"/>
        <v>0</v>
      </c>
      <c r="AK59" s="1685"/>
      <c r="AL59" s="1313">
        <f t="shared" si="172"/>
        <v>0</v>
      </c>
      <c r="AM59" s="1312">
        <f t="shared" si="173"/>
        <v>0</v>
      </c>
      <c r="AN59" s="1685"/>
      <c r="AO59" s="1313">
        <f t="shared" si="174"/>
        <v>0</v>
      </c>
      <c r="AP59" s="1312">
        <f t="shared" si="175"/>
        <v>0</v>
      </c>
      <c r="AQ59" s="1685"/>
      <c r="AR59" s="1313">
        <f t="shared" si="176"/>
        <v>0</v>
      </c>
      <c r="AS59" s="1312">
        <f t="shared" si="177"/>
        <v>0</v>
      </c>
      <c r="AT59" s="1687"/>
      <c r="AU59" s="411"/>
      <c r="AV59" s="1757">
        <f t="shared" si="153"/>
        <v>0</v>
      </c>
      <c r="AW59" s="411"/>
      <c r="AX59" s="493"/>
      <c r="AY59" s="1566" t="s">
        <v>322</v>
      </c>
      <c r="AZ59" s="1567" t="s">
        <v>301</v>
      </c>
      <c r="BA59" s="2445">
        <f>+'Data Input sheet'!$D$176</f>
        <v>160</v>
      </c>
      <c r="BB59" s="1579"/>
      <c r="BC59" s="1599">
        <v>0</v>
      </c>
      <c r="BD59" s="1600">
        <v>0</v>
      </c>
      <c r="BE59" s="1579"/>
      <c r="BF59" s="1612">
        <v>0</v>
      </c>
      <c r="BG59" s="426">
        <f>ROUND(+BF59*$BA$59,0)</f>
        <v>0</v>
      </c>
      <c r="BH59" s="1579"/>
      <c r="BI59" s="1612">
        <v>0</v>
      </c>
      <c r="BJ59" s="426">
        <f>ROUND(+BI59*$BA$59,0)</f>
        <v>0</v>
      </c>
      <c r="BK59" s="1666"/>
      <c r="BL59" s="1612">
        <v>0</v>
      </c>
      <c r="BM59" s="426">
        <f>ROUND(+BL59*$BA$59,0)</f>
        <v>0</v>
      </c>
      <c r="BN59" s="1579"/>
      <c r="BO59" s="1612">
        <v>0</v>
      </c>
      <c r="BP59" s="426">
        <f>ROUND(+BO59*$BA$59,0)</f>
        <v>0</v>
      </c>
      <c r="BQ59" s="1579"/>
      <c r="BR59" s="1612">
        <v>0</v>
      </c>
      <c r="BS59" s="426">
        <f>ROUND(+BR59*$BA$59,0)</f>
        <v>0</v>
      </c>
      <c r="BT59" s="1579"/>
      <c r="BU59" s="1612">
        <v>0</v>
      </c>
      <c r="BV59" s="426">
        <f>ROUND(+BU59*$BA$59,0)</f>
        <v>0</v>
      </c>
      <c r="BW59" s="1579"/>
      <c r="BX59" s="1612">
        <v>0</v>
      </c>
      <c r="BY59" s="426">
        <f>ROUND(+BX59*$BA$59,0)</f>
        <v>0</v>
      </c>
      <c r="BZ59" s="1579"/>
      <c r="CA59" s="1612">
        <v>0</v>
      </c>
      <c r="CB59" s="426">
        <f>ROUND(+CA59*$BA$59,0)</f>
        <v>0</v>
      </c>
      <c r="CC59" s="1579"/>
      <c r="CD59" s="1612">
        <v>0</v>
      </c>
      <c r="CE59" s="426">
        <f>ROUND(+CD59*$BA$59,0)</f>
        <v>0</v>
      </c>
      <c r="CF59" s="1579"/>
      <c r="CG59" s="1612">
        <v>0</v>
      </c>
      <c r="CH59" s="426">
        <f>ROUND(+CG59*$BA$59,0)</f>
        <v>0</v>
      </c>
      <c r="CI59" s="1579"/>
      <c r="CJ59" s="1257">
        <f t="shared" si="178"/>
        <v>0</v>
      </c>
      <c r="CK59" s="1395">
        <f t="shared" si="179"/>
        <v>0</v>
      </c>
      <c r="CL59" s="427"/>
      <c r="CM59" s="170"/>
      <c r="CN59" s="493"/>
      <c r="CO59" s="428" t="str">
        <f t="shared" si="180"/>
        <v>Contractor Engineering  - Specify</v>
      </c>
      <c r="CP59" s="429" t="s">
        <v>301</v>
      </c>
      <c r="CQ59" s="429"/>
      <c r="CR59" s="443"/>
      <c r="CS59" s="432"/>
      <c r="CT59" s="431">
        <f t="shared" si="181"/>
        <v>0</v>
      </c>
      <c r="CU59" s="443"/>
      <c r="CV59" s="432"/>
      <c r="CW59" s="434">
        <f t="shared" si="182"/>
        <v>0</v>
      </c>
      <c r="CX59" s="443"/>
      <c r="CY59" s="432"/>
      <c r="CZ59" s="434">
        <f t="shared" si="183"/>
        <v>0</v>
      </c>
      <c r="DA59" s="443"/>
      <c r="DB59" s="432"/>
      <c r="DC59" s="434">
        <f t="shared" si="184"/>
        <v>0</v>
      </c>
      <c r="DD59" s="443"/>
      <c r="DE59" s="432">
        <v>0</v>
      </c>
      <c r="DF59" s="434">
        <f t="shared" si="185"/>
        <v>0</v>
      </c>
      <c r="DG59" s="443"/>
      <c r="DH59" s="432">
        <v>0</v>
      </c>
      <c r="DI59" s="434">
        <f t="shared" si="186"/>
        <v>0</v>
      </c>
      <c r="DJ59" s="443"/>
      <c r="DK59" s="432">
        <v>0</v>
      </c>
      <c r="DL59" s="434">
        <f t="shared" si="187"/>
        <v>0</v>
      </c>
      <c r="DM59" s="443"/>
      <c r="DN59" s="432">
        <v>0</v>
      </c>
      <c r="DO59" s="434">
        <f t="shared" si="188"/>
        <v>0</v>
      </c>
      <c r="DP59" s="443"/>
      <c r="DQ59" s="432">
        <v>0</v>
      </c>
      <c r="DR59" s="434">
        <f t="shared" si="189"/>
        <v>0</v>
      </c>
      <c r="DS59" s="443"/>
      <c r="DT59" s="432">
        <v>0</v>
      </c>
      <c r="DU59" s="434">
        <f t="shared" si="190"/>
        <v>0</v>
      </c>
      <c r="DV59" s="443"/>
      <c r="DW59" s="432">
        <v>0</v>
      </c>
      <c r="DX59" s="434">
        <f t="shared" si="191"/>
        <v>0</v>
      </c>
      <c r="DY59" s="443"/>
      <c r="DZ59" s="432">
        <f t="shared" si="192"/>
        <v>0</v>
      </c>
      <c r="EA59" s="444">
        <f t="shared" si="193"/>
        <v>0</v>
      </c>
      <c r="EB59" s="433"/>
      <c r="EC59" s="170"/>
      <c r="ED59" s="170"/>
      <c r="EE59" s="170"/>
      <c r="EF59" s="170"/>
      <c r="EG59" s="170"/>
      <c r="EH59" s="170"/>
      <c r="EI59" s="170"/>
      <c r="EJ59" s="170"/>
      <c r="EK59" s="170"/>
    </row>
    <row r="60" spans="1:141" ht="15" x14ac:dyDescent="0.25">
      <c r="A60" s="168"/>
      <c r="B60" s="424">
        <v>3</v>
      </c>
      <c r="C60" s="424">
        <v>2</v>
      </c>
      <c r="D60" s="424">
        <v>3</v>
      </c>
      <c r="E60" s="425">
        <v>5</v>
      </c>
      <c r="F60" s="493" t="s">
        <v>605</v>
      </c>
      <c r="G60" s="1308" t="str">
        <f t="shared" ref="G60" si="224">+AY60</f>
        <v>Contractor Engineering  - Specify</v>
      </c>
      <c r="H60" s="1309" t="s">
        <v>301</v>
      </c>
      <c r="I60" s="1310">
        <f t="shared" ref="I60" si="225">+BA60</f>
        <v>160</v>
      </c>
      <c r="J60" s="1685"/>
      <c r="K60" s="1311">
        <f t="shared" si="155"/>
        <v>0</v>
      </c>
      <c r="L60" s="1312">
        <f t="shared" si="155"/>
        <v>0</v>
      </c>
      <c r="M60" s="1685"/>
      <c r="N60" s="1313">
        <f t="shared" ref="N60" si="226">+BF60</f>
        <v>0</v>
      </c>
      <c r="O60" s="1312">
        <f t="shared" si="157"/>
        <v>0</v>
      </c>
      <c r="P60" s="1685"/>
      <c r="Q60" s="1313">
        <f t="shared" ref="Q60" si="227">+BI60</f>
        <v>0</v>
      </c>
      <c r="R60" s="1312">
        <f t="shared" si="159"/>
        <v>0</v>
      </c>
      <c r="S60" s="1685"/>
      <c r="T60" s="1313">
        <f t="shared" ref="T60" si="228">+BL60</f>
        <v>0</v>
      </c>
      <c r="U60" s="1312">
        <f t="shared" si="161"/>
        <v>0</v>
      </c>
      <c r="V60" s="1685"/>
      <c r="W60" s="1313">
        <f t="shared" ref="W60" si="229">+BO60</f>
        <v>0</v>
      </c>
      <c r="X60" s="1312">
        <f t="shared" si="163"/>
        <v>0</v>
      </c>
      <c r="Y60" s="1685"/>
      <c r="Z60" s="1313">
        <f t="shared" ref="Z60" si="230">+BR60</f>
        <v>0</v>
      </c>
      <c r="AA60" s="1312">
        <f t="shared" si="165"/>
        <v>0</v>
      </c>
      <c r="AB60" s="1685"/>
      <c r="AC60" s="1313">
        <f t="shared" ref="AC60" si="231">+BU60</f>
        <v>0</v>
      </c>
      <c r="AD60" s="1312">
        <f t="shared" si="167"/>
        <v>0</v>
      </c>
      <c r="AE60" s="1685"/>
      <c r="AF60" s="1313">
        <f t="shared" si="168"/>
        <v>0</v>
      </c>
      <c r="AG60" s="1312">
        <f t="shared" si="169"/>
        <v>0</v>
      </c>
      <c r="AH60" s="1685"/>
      <c r="AI60" s="1313">
        <f t="shared" si="170"/>
        <v>0</v>
      </c>
      <c r="AJ60" s="1312">
        <f t="shared" si="171"/>
        <v>0</v>
      </c>
      <c r="AK60" s="1685"/>
      <c r="AL60" s="1313">
        <f t="shared" si="172"/>
        <v>0</v>
      </c>
      <c r="AM60" s="1312">
        <f t="shared" si="173"/>
        <v>0</v>
      </c>
      <c r="AN60" s="1685"/>
      <c r="AO60" s="1313">
        <f t="shared" si="174"/>
        <v>0</v>
      </c>
      <c r="AP60" s="1312">
        <f t="shared" si="175"/>
        <v>0</v>
      </c>
      <c r="AQ60" s="1685"/>
      <c r="AR60" s="1313">
        <f t="shared" si="176"/>
        <v>0</v>
      </c>
      <c r="AS60" s="1312">
        <f t="shared" si="177"/>
        <v>0</v>
      </c>
      <c r="AT60" s="1687"/>
      <c r="AU60" s="411"/>
      <c r="AV60" s="1757">
        <f t="shared" si="153"/>
        <v>0</v>
      </c>
      <c r="AW60" s="411"/>
      <c r="AX60" s="493"/>
      <c r="AY60" s="1566" t="s">
        <v>322</v>
      </c>
      <c r="AZ60" s="1567" t="s">
        <v>301</v>
      </c>
      <c r="BA60" s="2445">
        <f>+'Data Input sheet'!$D$176</f>
        <v>160</v>
      </c>
      <c r="BB60" s="1579"/>
      <c r="BC60" s="1599">
        <v>0</v>
      </c>
      <c r="BD60" s="1600">
        <v>0</v>
      </c>
      <c r="BE60" s="1579"/>
      <c r="BF60" s="1612">
        <v>0</v>
      </c>
      <c r="BG60" s="426">
        <f>ROUND(+BF60*$BA$60,0)</f>
        <v>0</v>
      </c>
      <c r="BH60" s="1579"/>
      <c r="BI60" s="1612">
        <v>0</v>
      </c>
      <c r="BJ60" s="426">
        <f>ROUND(+BI60*$BA$60,0)</f>
        <v>0</v>
      </c>
      <c r="BK60" s="1666"/>
      <c r="BL60" s="1612">
        <v>0</v>
      </c>
      <c r="BM60" s="426">
        <f>ROUND(+BL60*$BA$60,0)</f>
        <v>0</v>
      </c>
      <c r="BN60" s="1579"/>
      <c r="BO60" s="1612">
        <v>0</v>
      </c>
      <c r="BP60" s="426">
        <f>ROUND(+BO60*$BA$60,0)</f>
        <v>0</v>
      </c>
      <c r="BQ60" s="1579"/>
      <c r="BR60" s="1612">
        <v>0</v>
      </c>
      <c r="BS60" s="426">
        <f>ROUND(+BR60*$BA$60,0)</f>
        <v>0</v>
      </c>
      <c r="BT60" s="1579"/>
      <c r="BU60" s="1612">
        <v>0</v>
      </c>
      <c r="BV60" s="426">
        <f>ROUND(+BU60*$BA$60,0)</f>
        <v>0</v>
      </c>
      <c r="BW60" s="1579"/>
      <c r="BX60" s="1612">
        <v>0</v>
      </c>
      <c r="BY60" s="426">
        <f>ROUND(+BX60*$BA$60,0)</f>
        <v>0</v>
      </c>
      <c r="BZ60" s="1579"/>
      <c r="CA60" s="1612">
        <v>0</v>
      </c>
      <c r="CB60" s="426">
        <f>ROUND(+CA60*$BA$60,0)</f>
        <v>0</v>
      </c>
      <c r="CC60" s="1579"/>
      <c r="CD60" s="1612">
        <v>0</v>
      </c>
      <c r="CE60" s="426">
        <f>ROUND(+CD60*$BA$60,0)</f>
        <v>0</v>
      </c>
      <c r="CF60" s="1579"/>
      <c r="CG60" s="1612">
        <v>0</v>
      </c>
      <c r="CH60" s="426">
        <f>ROUND(+CG60*$BA$60,0)</f>
        <v>0</v>
      </c>
      <c r="CI60" s="1579"/>
      <c r="CJ60" s="1257">
        <f t="shared" si="178"/>
        <v>0</v>
      </c>
      <c r="CK60" s="1395">
        <f t="shared" si="179"/>
        <v>0</v>
      </c>
      <c r="CL60" s="427"/>
      <c r="CM60" s="170"/>
      <c r="CN60" s="493"/>
      <c r="CO60" s="428" t="str">
        <f t="shared" si="180"/>
        <v>Contractor Engineering  - Specify</v>
      </c>
      <c r="CP60" s="429" t="s">
        <v>301</v>
      </c>
      <c r="CQ60" s="429"/>
      <c r="CR60" s="443"/>
      <c r="CS60" s="432"/>
      <c r="CT60" s="431">
        <f t="shared" si="181"/>
        <v>0</v>
      </c>
      <c r="CU60" s="443"/>
      <c r="CV60" s="432"/>
      <c r="CW60" s="434">
        <f t="shared" si="182"/>
        <v>0</v>
      </c>
      <c r="CX60" s="443"/>
      <c r="CY60" s="432"/>
      <c r="CZ60" s="434">
        <f t="shared" si="183"/>
        <v>0</v>
      </c>
      <c r="DA60" s="443"/>
      <c r="DB60" s="432"/>
      <c r="DC60" s="434">
        <f t="shared" si="184"/>
        <v>0</v>
      </c>
      <c r="DD60" s="443"/>
      <c r="DE60" s="432">
        <v>0</v>
      </c>
      <c r="DF60" s="434">
        <f t="shared" si="185"/>
        <v>0</v>
      </c>
      <c r="DG60" s="443"/>
      <c r="DH60" s="432">
        <v>0</v>
      </c>
      <c r="DI60" s="434">
        <f t="shared" si="186"/>
        <v>0</v>
      </c>
      <c r="DJ60" s="443"/>
      <c r="DK60" s="432">
        <v>0</v>
      </c>
      <c r="DL60" s="434">
        <f t="shared" si="187"/>
        <v>0</v>
      </c>
      <c r="DM60" s="443"/>
      <c r="DN60" s="432">
        <v>0</v>
      </c>
      <c r="DO60" s="434">
        <f t="shared" si="188"/>
        <v>0</v>
      </c>
      <c r="DP60" s="443"/>
      <c r="DQ60" s="432">
        <v>0</v>
      </c>
      <c r="DR60" s="434">
        <f t="shared" si="189"/>
        <v>0</v>
      </c>
      <c r="DS60" s="443"/>
      <c r="DT60" s="432">
        <v>0</v>
      </c>
      <c r="DU60" s="434">
        <f t="shared" si="190"/>
        <v>0</v>
      </c>
      <c r="DV60" s="443"/>
      <c r="DW60" s="432">
        <v>0</v>
      </c>
      <c r="DX60" s="434">
        <f t="shared" si="191"/>
        <v>0</v>
      </c>
      <c r="DY60" s="443"/>
      <c r="DZ60" s="432">
        <f t="shared" si="192"/>
        <v>0</v>
      </c>
      <c r="EA60" s="444">
        <f t="shared" si="193"/>
        <v>0</v>
      </c>
      <c r="EB60" s="433"/>
      <c r="EC60" s="170"/>
      <c r="ED60" s="170"/>
      <c r="EE60" s="170"/>
      <c r="EF60" s="170"/>
      <c r="EG60" s="170"/>
      <c r="EH60" s="170"/>
      <c r="EI60" s="170"/>
      <c r="EJ60" s="170"/>
      <c r="EK60" s="170"/>
    </row>
    <row r="61" spans="1:141" ht="15" x14ac:dyDescent="0.25">
      <c r="A61" s="168"/>
      <c r="B61" s="424">
        <v>5</v>
      </c>
      <c r="C61" s="424">
        <v>2</v>
      </c>
      <c r="D61" s="424">
        <v>3</v>
      </c>
      <c r="E61" s="425">
        <v>5</v>
      </c>
      <c r="F61" s="493"/>
      <c r="G61" s="1308" t="str">
        <f t="shared" si="154"/>
        <v>Vehicles ( now in indirects section)</v>
      </c>
      <c r="H61" s="1309" t="s">
        <v>304</v>
      </c>
      <c r="I61" s="1310">
        <f t="shared" si="91"/>
        <v>0</v>
      </c>
      <c r="J61" s="1687"/>
      <c r="K61" s="1311">
        <f t="shared" si="155"/>
        <v>0</v>
      </c>
      <c r="L61" s="1312">
        <f>+BD61</f>
        <v>0</v>
      </c>
      <c r="M61" s="1687"/>
      <c r="N61" s="1313">
        <f t="shared" si="156"/>
        <v>0</v>
      </c>
      <c r="O61" s="1312">
        <f t="shared" ca="1" si="157"/>
        <v>0</v>
      </c>
      <c r="P61" s="1685"/>
      <c r="Q61" s="1313">
        <f t="shared" si="158"/>
        <v>0</v>
      </c>
      <c r="R61" s="1312">
        <f t="shared" ca="1" si="159"/>
        <v>0</v>
      </c>
      <c r="S61" s="1685"/>
      <c r="T61" s="1313">
        <f t="shared" si="160"/>
        <v>0</v>
      </c>
      <c r="U61" s="1312">
        <f t="shared" ca="1" si="161"/>
        <v>0</v>
      </c>
      <c r="V61" s="1685"/>
      <c r="W61" s="1313">
        <f t="shared" si="162"/>
        <v>0</v>
      </c>
      <c r="X61" s="1312">
        <f t="shared" ca="1" si="163"/>
        <v>0</v>
      </c>
      <c r="Y61" s="1685"/>
      <c r="Z61" s="1313">
        <f t="shared" si="164"/>
        <v>0</v>
      </c>
      <c r="AA61" s="1312">
        <f t="shared" ca="1" si="165"/>
        <v>0</v>
      </c>
      <c r="AB61" s="1685"/>
      <c r="AC61" s="1313">
        <f t="shared" si="166"/>
        <v>0</v>
      </c>
      <c r="AD61" s="1312">
        <f t="shared" ca="1" si="167"/>
        <v>0</v>
      </c>
      <c r="AE61" s="1685"/>
      <c r="AF61" s="1313">
        <f t="shared" si="168"/>
        <v>0</v>
      </c>
      <c r="AG61" s="1312">
        <f t="shared" ca="1" si="169"/>
        <v>0</v>
      </c>
      <c r="AH61" s="1685"/>
      <c r="AI61" s="1313">
        <f t="shared" si="170"/>
        <v>0</v>
      </c>
      <c r="AJ61" s="1312">
        <f t="shared" ca="1" si="171"/>
        <v>0</v>
      </c>
      <c r="AK61" s="1685"/>
      <c r="AL61" s="1313">
        <f t="shared" si="172"/>
        <v>0</v>
      </c>
      <c r="AM61" s="1312">
        <f t="shared" ca="1" si="173"/>
        <v>0</v>
      </c>
      <c r="AN61" s="1685"/>
      <c r="AO61" s="1313">
        <f t="shared" si="174"/>
        <v>0</v>
      </c>
      <c r="AP61" s="1312">
        <f t="shared" ca="1" si="175"/>
        <v>0</v>
      </c>
      <c r="AQ61" s="1685"/>
      <c r="AR61" s="1313">
        <f t="shared" si="176"/>
        <v>0</v>
      </c>
      <c r="AS61" s="1312">
        <f t="shared" ca="1" si="177"/>
        <v>0</v>
      </c>
      <c r="AT61" s="1687"/>
      <c r="AU61" s="411"/>
      <c r="AV61" s="1757">
        <f t="shared" ca="1" si="153"/>
        <v>0</v>
      </c>
      <c r="AW61" s="411"/>
      <c r="AX61" s="493"/>
      <c r="AY61" s="1566" t="s">
        <v>305</v>
      </c>
      <c r="AZ61" s="1567" t="s">
        <v>304</v>
      </c>
      <c r="BA61" s="2445"/>
      <c r="BB61" s="1632"/>
      <c r="BC61" s="1599">
        <v>0</v>
      </c>
      <c r="BD61" s="1600">
        <v>0</v>
      </c>
      <c r="BE61" s="1632"/>
      <c r="BF61" s="1645"/>
      <c r="BG61" s="1608">
        <f ca="1">ROUND((BG48*$BA61),0)</f>
        <v>0</v>
      </c>
      <c r="BH61" s="1579"/>
      <c r="BI61" s="1645"/>
      <c r="BJ61" s="1608">
        <f ca="1">ROUND((BJ48*$BA61),0)</f>
        <v>0</v>
      </c>
      <c r="BK61" s="1666"/>
      <c r="BL61" s="1645"/>
      <c r="BM61" s="1608">
        <f ca="1">ROUND((BM48*$BA61),0)</f>
        <v>0</v>
      </c>
      <c r="BN61" s="1579"/>
      <c r="BO61" s="1645"/>
      <c r="BP61" s="1608">
        <f ca="1">ROUND((BP48*$BA61),0)</f>
        <v>0</v>
      </c>
      <c r="BQ61" s="1579"/>
      <c r="BR61" s="1645"/>
      <c r="BS61" s="1608">
        <f ca="1">ROUND((BS48*$BA61),0)</f>
        <v>0</v>
      </c>
      <c r="BT61" s="1579"/>
      <c r="BU61" s="1645"/>
      <c r="BV61" s="1608">
        <f ca="1">ROUND((BV48*$BA61),0)</f>
        <v>0</v>
      </c>
      <c r="BW61" s="1579"/>
      <c r="BX61" s="1645"/>
      <c r="BY61" s="1608">
        <f ca="1">ROUND((BY48*$BA61),0)</f>
        <v>0</v>
      </c>
      <c r="BZ61" s="1579"/>
      <c r="CA61" s="1645"/>
      <c r="CB61" s="1608">
        <f ca="1">ROUND((CB48*$BA61),0)</f>
        <v>0</v>
      </c>
      <c r="CC61" s="1579"/>
      <c r="CD61" s="1645"/>
      <c r="CE61" s="1608">
        <f ca="1">ROUND((CE48*$BA61),0)</f>
        <v>0</v>
      </c>
      <c r="CF61" s="1579"/>
      <c r="CG61" s="1645"/>
      <c r="CH61" s="1608">
        <f ca="1">ROUND((CH48*$BA61),0)</f>
        <v>0</v>
      </c>
      <c r="CI61" s="1579"/>
      <c r="CJ61" s="1257">
        <f t="shared" si="178"/>
        <v>0</v>
      </c>
      <c r="CK61" s="1395">
        <f t="shared" ca="1" si="179"/>
        <v>0</v>
      </c>
      <c r="CL61" s="427"/>
      <c r="CM61" s="170"/>
      <c r="CN61" s="493"/>
      <c r="CO61" s="428" t="str">
        <f t="shared" si="180"/>
        <v>Vehicles ( now in indirects section)</v>
      </c>
      <c r="CP61" s="429" t="s">
        <v>298</v>
      </c>
      <c r="CQ61" s="441"/>
      <c r="CR61" s="443"/>
      <c r="CS61" s="432"/>
      <c r="CT61" s="431">
        <f t="shared" si="181"/>
        <v>0</v>
      </c>
      <c r="CU61" s="443"/>
      <c r="CV61" s="432"/>
      <c r="CW61" s="434">
        <f t="shared" ca="1" si="182"/>
        <v>0</v>
      </c>
      <c r="CX61" s="443"/>
      <c r="CY61" s="432"/>
      <c r="CZ61" s="434">
        <f t="shared" ca="1" si="183"/>
        <v>0</v>
      </c>
      <c r="DA61" s="443"/>
      <c r="DB61" s="432"/>
      <c r="DC61" s="434">
        <f t="shared" ca="1" si="184"/>
        <v>0</v>
      </c>
      <c r="DD61" s="443"/>
      <c r="DE61" s="432">
        <v>0</v>
      </c>
      <c r="DF61" s="434">
        <f t="shared" ca="1" si="185"/>
        <v>0</v>
      </c>
      <c r="DG61" s="443"/>
      <c r="DH61" s="432">
        <v>0</v>
      </c>
      <c r="DI61" s="434">
        <f t="shared" ca="1" si="186"/>
        <v>0</v>
      </c>
      <c r="DJ61" s="443"/>
      <c r="DK61" s="432">
        <v>0</v>
      </c>
      <c r="DL61" s="434">
        <f t="shared" ca="1" si="187"/>
        <v>0</v>
      </c>
      <c r="DM61" s="443"/>
      <c r="DN61" s="432">
        <v>0</v>
      </c>
      <c r="DO61" s="434">
        <f t="shared" ca="1" si="188"/>
        <v>0</v>
      </c>
      <c r="DP61" s="443"/>
      <c r="DQ61" s="432">
        <v>0</v>
      </c>
      <c r="DR61" s="434">
        <f t="shared" ca="1" si="189"/>
        <v>0</v>
      </c>
      <c r="DS61" s="443"/>
      <c r="DT61" s="432">
        <v>0</v>
      </c>
      <c r="DU61" s="434">
        <f t="shared" ca="1" si="190"/>
        <v>0</v>
      </c>
      <c r="DV61" s="443"/>
      <c r="DW61" s="432">
        <v>0</v>
      </c>
      <c r="DX61" s="434">
        <f t="shared" ca="1" si="191"/>
        <v>0</v>
      </c>
      <c r="DY61" s="443"/>
      <c r="DZ61" s="432">
        <f t="shared" si="192"/>
        <v>0</v>
      </c>
      <c r="EA61" s="444">
        <f t="shared" ca="1" si="193"/>
        <v>0</v>
      </c>
      <c r="EB61" s="433"/>
      <c r="EC61" s="170"/>
      <c r="ED61" s="170"/>
      <c r="EE61" s="170"/>
      <c r="EF61" s="170"/>
      <c r="EG61" s="170"/>
      <c r="EH61" s="170"/>
      <c r="EI61" s="170"/>
      <c r="EJ61" s="170"/>
      <c r="EK61" s="170"/>
    </row>
    <row r="62" spans="1:141" ht="15" x14ac:dyDescent="0.25">
      <c r="A62" s="168"/>
      <c r="B62" s="436"/>
      <c r="C62" s="436"/>
      <c r="D62" s="436"/>
      <c r="E62" s="437"/>
      <c r="F62" s="493"/>
      <c r="G62" s="1321" t="s">
        <v>323</v>
      </c>
      <c r="H62" s="1308"/>
      <c r="I62" s="1310">
        <f t="shared" si="91"/>
        <v>0</v>
      </c>
      <c r="J62" s="1685"/>
      <c r="K62" s="1334">
        <f>SUM(K36:K61)-K48</f>
        <v>0</v>
      </c>
      <c r="L62" s="1312">
        <f>SUM(L48:L61)</f>
        <v>16424.059999999998</v>
      </c>
      <c r="M62" s="1685"/>
      <c r="N62" s="1334">
        <f>SUM(N36:N61)-N48</f>
        <v>0</v>
      </c>
      <c r="O62" s="1312">
        <f ca="1">SUM(O48:O61)</f>
        <v>0</v>
      </c>
      <c r="P62" s="1685"/>
      <c r="Q62" s="1334">
        <f>SUM(Q36:Q61)-Q48</f>
        <v>0</v>
      </c>
      <c r="R62" s="1312">
        <f ca="1">SUM(R48:R61)</f>
        <v>0</v>
      </c>
      <c r="S62" s="1685"/>
      <c r="T62" s="1334">
        <f>SUM(T36:T61)-T48</f>
        <v>2730</v>
      </c>
      <c r="U62" s="1312">
        <f ca="1">SUM(U48:U61)</f>
        <v>393710</v>
      </c>
      <c r="V62" s="1685"/>
      <c r="W62" s="1334">
        <f>SUM(W36:W61)-W48</f>
        <v>2550</v>
      </c>
      <c r="X62" s="1312">
        <f ca="1">SUM(X48:X61)</f>
        <v>383976</v>
      </c>
      <c r="Y62" s="1685"/>
      <c r="Z62" s="1334">
        <f>SUM(Z36:Z61)-Z48</f>
        <v>500</v>
      </c>
      <c r="AA62" s="1312">
        <f ca="1">SUM(AA48:AA61)</f>
        <v>37882</v>
      </c>
      <c r="AB62" s="1685"/>
      <c r="AC62" s="1334">
        <f>SUM(AC36:AC61)-AC48</f>
        <v>0</v>
      </c>
      <c r="AD62" s="1312">
        <f ca="1">SUM(AD48:AD61)</f>
        <v>0</v>
      </c>
      <c r="AE62" s="1685"/>
      <c r="AF62" s="1334">
        <f>SUM(AF36:AF61)-AF48</f>
        <v>0</v>
      </c>
      <c r="AG62" s="1312">
        <f ca="1">SUM(AG48:AG61)</f>
        <v>0</v>
      </c>
      <c r="AH62" s="1685"/>
      <c r="AI62" s="1334">
        <f>SUM(AI36:AI61)-AI48</f>
        <v>0</v>
      </c>
      <c r="AJ62" s="1312">
        <f ca="1">SUM(AJ48:AJ61)</f>
        <v>0</v>
      </c>
      <c r="AK62" s="1685"/>
      <c r="AL62" s="1334">
        <f>SUM(AL36:AL61)-AL48</f>
        <v>0</v>
      </c>
      <c r="AM62" s="1312">
        <f ca="1">SUM(AM48:AM61)</f>
        <v>0</v>
      </c>
      <c r="AN62" s="1685"/>
      <c r="AO62" s="1334">
        <f>SUM(AO36:AO61)-AO48</f>
        <v>0</v>
      </c>
      <c r="AP62" s="1312">
        <f ca="1">SUM(AP48:AP61)</f>
        <v>0</v>
      </c>
      <c r="AQ62" s="1685"/>
      <c r="AR62" s="1316"/>
      <c r="AS62" s="1312">
        <f ca="1">SUM(AS48:AS61)</f>
        <v>831992.06</v>
      </c>
      <c r="AT62" s="1687"/>
      <c r="AU62" s="411"/>
      <c r="AV62" s="1757">
        <f t="shared" ca="1" si="153"/>
        <v>831992.06</v>
      </c>
      <c r="AW62" s="411"/>
      <c r="AX62" s="493"/>
      <c r="AY62" s="517" t="s">
        <v>323</v>
      </c>
      <c r="AZ62" s="1256"/>
      <c r="BA62" s="447"/>
      <c r="BB62" s="1579"/>
      <c r="BC62" s="1257"/>
      <c r="BD62" s="1284">
        <f>SUM(BD48:BD61)</f>
        <v>16424.059999999998</v>
      </c>
      <c r="BE62" s="1579"/>
      <c r="BF62" s="1469"/>
      <c r="BG62" s="1284">
        <f ca="1">SUM(BG48:BG61)</f>
        <v>0</v>
      </c>
      <c r="BH62" s="1579"/>
      <c r="BI62" s="1469"/>
      <c r="BJ62" s="1284">
        <f ca="1">SUM(BJ48:BJ61)</f>
        <v>0</v>
      </c>
      <c r="BK62" s="1579"/>
      <c r="BL62" s="1469"/>
      <c r="BM62" s="1284">
        <f ca="1">SUM(BM48:BM61)</f>
        <v>360542</v>
      </c>
      <c r="BN62" s="1579"/>
      <c r="BO62" s="1469"/>
      <c r="BP62" s="1284">
        <f ca="1">SUM(BP48:BP61)</f>
        <v>341386</v>
      </c>
      <c r="BQ62" s="1579"/>
      <c r="BR62" s="1469"/>
      <c r="BS62" s="1284">
        <f ca="1">SUM(BS48:BS61)</f>
        <v>32699</v>
      </c>
      <c r="BT62" s="1579"/>
      <c r="BU62" s="1469"/>
      <c r="BV62" s="1284">
        <f ca="1">SUM(BV48:BV61)</f>
        <v>0</v>
      </c>
      <c r="BW62" s="1579"/>
      <c r="BX62" s="1469"/>
      <c r="BY62" s="1284">
        <f ca="1">SUM(BY48:BY61)</f>
        <v>0</v>
      </c>
      <c r="BZ62" s="1579"/>
      <c r="CA62" s="1469"/>
      <c r="CB62" s="1284">
        <f ca="1">SUM(CB48:CB61)</f>
        <v>0</v>
      </c>
      <c r="CC62" s="1579"/>
      <c r="CD62" s="1469"/>
      <c r="CE62" s="1284">
        <f ca="1">SUM(CE48:CE61)</f>
        <v>0</v>
      </c>
      <c r="CF62" s="1579"/>
      <c r="CG62" s="1469"/>
      <c r="CH62" s="1284">
        <f ca="1">SUM(CH48:CH61)</f>
        <v>0</v>
      </c>
      <c r="CI62" s="1579"/>
      <c r="CJ62" s="1469"/>
      <c r="CK62" s="1284">
        <f ca="1">SUM(CK48:CK61)</f>
        <v>751051.06</v>
      </c>
      <c r="CL62" s="427"/>
      <c r="CM62" s="170"/>
      <c r="CN62" s="493"/>
      <c r="CO62" s="456" t="s">
        <v>323</v>
      </c>
      <c r="CP62" s="428"/>
      <c r="CQ62" s="429"/>
      <c r="CR62" s="443"/>
      <c r="CS62" s="432"/>
      <c r="CT62" s="431">
        <f>SUM(CT48:CT61)</f>
        <v>0</v>
      </c>
      <c r="CU62" s="443"/>
      <c r="CV62" s="432"/>
      <c r="CW62" s="431">
        <f ca="1">SUM(CW48:CW61)</f>
        <v>0</v>
      </c>
      <c r="CX62" s="443"/>
      <c r="CY62" s="432"/>
      <c r="CZ62" s="431">
        <f ca="1">SUM(CZ48:CZ61)</f>
        <v>0</v>
      </c>
      <c r="DA62" s="443"/>
      <c r="DB62" s="432"/>
      <c r="DC62" s="431">
        <f ca="1">SUM(DC48:DC61)</f>
        <v>33168</v>
      </c>
      <c r="DD62" s="443"/>
      <c r="DE62" s="432"/>
      <c r="DF62" s="431">
        <f ca="1">SUM(DF48:DF61)</f>
        <v>42590</v>
      </c>
      <c r="DG62" s="443"/>
      <c r="DH62" s="432"/>
      <c r="DI62" s="431">
        <f ca="1">SUM(DI48:DI61)</f>
        <v>5183</v>
      </c>
      <c r="DJ62" s="443"/>
      <c r="DK62" s="432"/>
      <c r="DL62" s="431">
        <f ca="1">SUM(DL48:DL61)</f>
        <v>0</v>
      </c>
      <c r="DM62" s="443"/>
      <c r="DN62" s="432"/>
      <c r="DO62" s="431">
        <f ca="1">SUM(DO48:DO61)</f>
        <v>0</v>
      </c>
      <c r="DP62" s="443"/>
      <c r="DQ62" s="432"/>
      <c r="DR62" s="431">
        <f ca="1">SUM(DR48:DR61)</f>
        <v>0</v>
      </c>
      <c r="DS62" s="443"/>
      <c r="DT62" s="432"/>
      <c r="DU62" s="431">
        <f ca="1">SUM(DU48:DU61)</f>
        <v>0</v>
      </c>
      <c r="DV62" s="443"/>
      <c r="DW62" s="432"/>
      <c r="DX62" s="431">
        <f ca="1">SUM(DX48:DX61)</f>
        <v>0</v>
      </c>
      <c r="DY62" s="443"/>
      <c r="DZ62" s="432"/>
      <c r="EA62" s="444">
        <f ca="1">SUM(EA48:EA61)</f>
        <v>80941</v>
      </c>
      <c r="EB62" s="433"/>
      <c r="EC62" s="170"/>
      <c r="ED62" s="170"/>
      <c r="EE62" s="170"/>
      <c r="EF62" s="170"/>
      <c r="EG62" s="170"/>
      <c r="EH62" s="170"/>
      <c r="EI62" s="170"/>
      <c r="EJ62" s="170"/>
      <c r="EK62" s="170"/>
    </row>
    <row r="63" spans="1:141" ht="15" x14ac:dyDescent="0.25">
      <c r="A63" s="168"/>
      <c r="B63" s="424"/>
      <c r="C63" s="424">
        <v>9</v>
      </c>
      <c r="D63" s="424"/>
      <c r="E63" s="425">
        <v>99</v>
      </c>
      <c r="F63" s="493"/>
      <c r="G63" s="1308" t="str">
        <f>+AY63</f>
        <v>Escalation</v>
      </c>
      <c r="H63" s="1322"/>
      <c r="I63" s="1310">
        <f t="shared" si="91"/>
        <v>0</v>
      </c>
      <c r="J63" s="1687"/>
      <c r="K63" s="1311">
        <f>+BC63</f>
        <v>0</v>
      </c>
      <c r="L63" s="1312">
        <f>+BD63</f>
        <v>0</v>
      </c>
      <c r="M63" s="1687"/>
      <c r="N63" s="1313">
        <f>+BF63</f>
        <v>0</v>
      </c>
      <c r="O63" s="1312">
        <f>+BG63+CW63</f>
        <v>0</v>
      </c>
      <c r="P63" s="1685"/>
      <c r="Q63" s="1313">
        <f>+BI63</f>
        <v>0</v>
      </c>
      <c r="R63" s="1312">
        <f>+BJ63+CZ63</f>
        <v>0</v>
      </c>
      <c r="S63" s="1685"/>
      <c r="T63" s="1313">
        <f>+BL63</f>
        <v>0</v>
      </c>
      <c r="U63" s="1312">
        <f>+BM63+DC63</f>
        <v>0</v>
      </c>
      <c r="V63" s="1685"/>
      <c r="W63" s="1313">
        <f>+BO63</f>
        <v>0</v>
      </c>
      <c r="X63" s="1312">
        <f>+BP63+DF63</f>
        <v>0</v>
      </c>
      <c r="Y63" s="1685"/>
      <c r="Z63" s="1313">
        <f>+BR63</f>
        <v>0</v>
      </c>
      <c r="AA63" s="1312">
        <f>+BS63+DI63</f>
        <v>0</v>
      </c>
      <c r="AB63" s="1685"/>
      <c r="AC63" s="1313">
        <f>+BU63</f>
        <v>0</v>
      </c>
      <c r="AD63" s="1312">
        <f>+BV63+DL63</f>
        <v>0</v>
      </c>
      <c r="AE63" s="1685"/>
      <c r="AF63" s="1313">
        <f>+BX63</f>
        <v>0</v>
      </c>
      <c r="AG63" s="1312">
        <f>+BY63+DO63</f>
        <v>0</v>
      </c>
      <c r="AH63" s="1685"/>
      <c r="AI63" s="1313">
        <f>+CA63</f>
        <v>0</v>
      </c>
      <c r="AJ63" s="1312">
        <f>+CB63+DR63</f>
        <v>0</v>
      </c>
      <c r="AK63" s="1685"/>
      <c r="AL63" s="1313">
        <f>+CD63</f>
        <v>0</v>
      </c>
      <c r="AM63" s="1312">
        <f>+CE63+DU63</f>
        <v>0</v>
      </c>
      <c r="AN63" s="1685"/>
      <c r="AO63" s="1313">
        <f>+CG63</f>
        <v>0</v>
      </c>
      <c r="AP63" s="1312">
        <f>+CH63+DX63</f>
        <v>0</v>
      </c>
      <c r="AQ63" s="1685"/>
      <c r="AR63" s="1313">
        <f t="shared" ref="AR63:AR64" si="232">+Z63+W63+T63+Q63+N63+K63+AC63+AF63+AI63+AL63+AO63</f>
        <v>0</v>
      </c>
      <c r="AS63" s="1312">
        <f t="shared" ref="AS63:AS64" si="233">+AA63+X63+U63+R63+O63+L63+AD63+AG63+AJ63+AM63+AP63</f>
        <v>0</v>
      </c>
      <c r="AT63" s="1687"/>
      <c r="AU63" s="411"/>
      <c r="AV63" s="1757">
        <f t="shared" si="153"/>
        <v>0</v>
      </c>
      <c r="AW63" s="411"/>
      <c r="AX63" s="493"/>
      <c r="AY63" s="1561" t="s">
        <v>99</v>
      </c>
      <c r="AZ63" s="1569"/>
      <c r="BA63" s="457"/>
      <c r="BB63" s="1632"/>
      <c r="BC63" s="1599">
        <v>0</v>
      </c>
      <c r="BD63" s="1600">
        <v>0</v>
      </c>
      <c r="BE63" s="1632"/>
      <c r="BF63" s="1564"/>
      <c r="BG63" s="1597"/>
      <c r="BH63" s="1632"/>
      <c r="BI63" s="1564"/>
      <c r="BJ63" s="1597"/>
      <c r="BK63" s="1667"/>
      <c r="BL63" s="1564"/>
      <c r="BM63" s="1597"/>
      <c r="BN63" s="1632"/>
      <c r="BO63" s="1564"/>
      <c r="BP63" s="1597"/>
      <c r="BQ63" s="1632"/>
      <c r="BR63" s="1564"/>
      <c r="BS63" s="1597"/>
      <c r="BT63" s="1632"/>
      <c r="BU63" s="1564"/>
      <c r="BV63" s="1597"/>
      <c r="BW63" s="1632"/>
      <c r="BX63" s="1564"/>
      <c r="BY63" s="1597"/>
      <c r="BZ63" s="1632"/>
      <c r="CA63" s="1564"/>
      <c r="CB63" s="1597"/>
      <c r="CC63" s="1632"/>
      <c r="CD63" s="1564"/>
      <c r="CE63" s="1597"/>
      <c r="CF63" s="1632"/>
      <c r="CG63" s="1564"/>
      <c r="CH63" s="1597"/>
      <c r="CI63" s="1632"/>
      <c r="CJ63" s="1257">
        <f t="shared" ref="CJ63:CJ64" si="234">+BR63+BO63+BL63+BI63+BF63+BC63+BU63+BX63+CA63+CD63+CG63</f>
        <v>0</v>
      </c>
      <c r="CK63" s="1395">
        <f t="shared" ref="CK63:CK64" si="235">+BS63+BP63+BM63+BJ63+BG63+BD63+BV63+BY63+CB63+CE63+CH63</f>
        <v>0</v>
      </c>
      <c r="CL63" s="427"/>
      <c r="CM63" s="170"/>
      <c r="CN63" s="493"/>
      <c r="CO63" s="428" t="str">
        <f>+AY63</f>
        <v>Escalation</v>
      </c>
      <c r="CP63" s="382"/>
      <c r="CQ63" s="459"/>
      <c r="CR63" s="1703"/>
      <c r="CS63" s="435"/>
      <c r="CT63" s="431">
        <f>L63-BD63</f>
        <v>0</v>
      </c>
      <c r="CU63" s="1703"/>
      <c r="CV63" s="435"/>
      <c r="CW63" s="434">
        <f>ROUND((+BG63*(1+CW$4)),0)-BG63</f>
        <v>0</v>
      </c>
      <c r="CX63" s="443"/>
      <c r="CY63" s="432"/>
      <c r="CZ63" s="434">
        <f>ROUND((+BJ63*(1+CZ$4)),0)-BJ63</f>
        <v>0</v>
      </c>
      <c r="DA63" s="443"/>
      <c r="DB63" s="432"/>
      <c r="DC63" s="434">
        <f>ROUND((+BM63*(1+DC$4)),0)-BM63</f>
        <v>0</v>
      </c>
      <c r="DD63" s="443"/>
      <c r="DE63" s="432">
        <v>0</v>
      </c>
      <c r="DF63" s="434">
        <f>ROUND((+BP63*(1+DF$4)),0)-BP63</f>
        <v>0</v>
      </c>
      <c r="DG63" s="443"/>
      <c r="DH63" s="432">
        <v>0</v>
      </c>
      <c r="DI63" s="434">
        <f>ROUND((+BS63*(1+DI$4)),0)-BS63</f>
        <v>0</v>
      </c>
      <c r="DJ63" s="443"/>
      <c r="DK63" s="432">
        <v>0</v>
      </c>
      <c r="DL63" s="434">
        <f>ROUND((+BV63*(1+DL$4)),0)-BV63</f>
        <v>0</v>
      </c>
      <c r="DM63" s="443"/>
      <c r="DN63" s="432">
        <v>0</v>
      </c>
      <c r="DO63" s="434">
        <f>ROUND((+BY63*(1+DO$4)),0)-BY63</f>
        <v>0</v>
      </c>
      <c r="DP63" s="443"/>
      <c r="DQ63" s="432">
        <v>0</v>
      </c>
      <c r="DR63" s="434">
        <f>ROUND((+CB63*(1+DR$4)),0)-CB63</f>
        <v>0</v>
      </c>
      <c r="DS63" s="443"/>
      <c r="DT63" s="432">
        <v>0</v>
      </c>
      <c r="DU63" s="434">
        <f>ROUND((+CE63*(1+DU$4)),0)-CE63</f>
        <v>0</v>
      </c>
      <c r="DV63" s="443"/>
      <c r="DW63" s="432">
        <v>0</v>
      </c>
      <c r="DX63" s="434">
        <f>ROUND((+CH63*(1+DX$4)),0)-CH63</f>
        <v>0</v>
      </c>
      <c r="DY63" s="443"/>
      <c r="DZ63" s="432">
        <f t="shared" ref="DZ63:DZ64" si="236">+DH63+DE63+DB63+CY63+CV63+CS63+DK63+DN63+DQ63+DT63+DW63</f>
        <v>0</v>
      </c>
      <c r="EA63" s="444">
        <f t="shared" ref="EA63:EA64" si="237">+DI63+DF63+DC63+CZ63+CW63+CT63+DL63+DO63+DR63+DU63+DX63</f>
        <v>0</v>
      </c>
      <c r="EB63" s="433"/>
      <c r="EC63" s="170"/>
      <c r="ED63" s="170"/>
      <c r="EE63" s="170"/>
      <c r="EF63" s="170"/>
      <c r="EG63" s="170"/>
      <c r="EH63" s="170"/>
      <c r="EI63" s="170"/>
      <c r="EJ63" s="170"/>
      <c r="EK63" s="170"/>
    </row>
    <row r="64" spans="1:141" ht="15" x14ac:dyDescent="0.25">
      <c r="A64" s="168"/>
      <c r="B64" s="424">
        <v>5</v>
      </c>
      <c r="C64" s="424">
        <v>8</v>
      </c>
      <c r="D64" s="424">
        <v>6</v>
      </c>
      <c r="E64" s="425">
        <v>11</v>
      </c>
      <c r="F64" s="493"/>
      <c r="G64" s="1308" t="str">
        <f>+AY64</f>
        <v>other</v>
      </c>
      <c r="H64" s="1322" t="s">
        <v>309</v>
      </c>
      <c r="I64" s="1310">
        <f t="shared" si="91"/>
        <v>0</v>
      </c>
      <c r="J64" s="1687"/>
      <c r="K64" s="1311">
        <f>+BC64</f>
        <v>0</v>
      </c>
      <c r="L64" s="1312">
        <f>+BD64</f>
        <v>7511.24</v>
      </c>
      <c r="M64" s="1687"/>
      <c r="N64" s="1313">
        <f>+BF64</f>
        <v>0</v>
      </c>
      <c r="O64" s="1312">
        <f ca="1">+BG64+CW64</f>
        <v>0</v>
      </c>
      <c r="P64" s="1685"/>
      <c r="Q64" s="1313">
        <f>+BI64</f>
        <v>0</v>
      </c>
      <c r="R64" s="1312">
        <f>+BJ64+CZ64</f>
        <v>0</v>
      </c>
      <c r="S64" s="1685"/>
      <c r="T64" s="1313">
        <f>+BL64</f>
        <v>0</v>
      </c>
      <c r="U64" s="1312">
        <f ca="1">+BM64+DC64</f>
        <v>0</v>
      </c>
      <c r="V64" s="1685"/>
      <c r="W64" s="1313">
        <f>+BO64</f>
        <v>0</v>
      </c>
      <c r="X64" s="1312">
        <f ca="1">+BP64+DF64</f>
        <v>0</v>
      </c>
      <c r="Y64" s="1685"/>
      <c r="Z64" s="1313">
        <f>+BR64</f>
        <v>0</v>
      </c>
      <c r="AA64" s="1312">
        <f ca="1">+BS64+DI64</f>
        <v>0</v>
      </c>
      <c r="AB64" s="1685"/>
      <c r="AC64" s="1313">
        <f>+BU64</f>
        <v>0</v>
      </c>
      <c r="AD64" s="1312">
        <f ca="1">+BV64+DL64</f>
        <v>0</v>
      </c>
      <c r="AE64" s="1685"/>
      <c r="AF64" s="1313">
        <f>+BX64</f>
        <v>0</v>
      </c>
      <c r="AG64" s="1312">
        <f ca="1">+BY64+DO64</f>
        <v>0</v>
      </c>
      <c r="AH64" s="1685"/>
      <c r="AI64" s="1313">
        <f>+CA64</f>
        <v>0</v>
      </c>
      <c r="AJ64" s="1312">
        <f ca="1">+CB64+DR64</f>
        <v>0</v>
      </c>
      <c r="AK64" s="1685"/>
      <c r="AL64" s="1313">
        <f>+CD64</f>
        <v>0</v>
      </c>
      <c r="AM64" s="1312">
        <f ca="1">+CE64+DU64</f>
        <v>0</v>
      </c>
      <c r="AN64" s="1685"/>
      <c r="AO64" s="1313">
        <f>+CG64</f>
        <v>0</v>
      </c>
      <c r="AP64" s="1312">
        <f ca="1">+CH64+DX64</f>
        <v>0</v>
      </c>
      <c r="AQ64" s="1685"/>
      <c r="AR64" s="1313">
        <f t="shared" si="232"/>
        <v>0</v>
      </c>
      <c r="AS64" s="1312">
        <f t="shared" ca="1" si="233"/>
        <v>7511.24</v>
      </c>
      <c r="AT64" s="1687"/>
      <c r="AU64" s="411"/>
      <c r="AV64" s="1757">
        <f t="shared" ca="1" si="153"/>
        <v>7511.24</v>
      </c>
      <c r="AW64" s="411"/>
      <c r="AX64" s="493"/>
      <c r="AY64" s="1561" t="s">
        <v>3783</v>
      </c>
      <c r="AZ64" s="1569"/>
      <c r="BA64" s="460">
        <v>0</v>
      </c>
      <c r="BB64" s="1632"/>
      <c r="BC64" s="1599">
        <v>0</v>
      </c>
      <c r="BD64" s="1600">
        <v>7511.24</v>
      </c>
      <c r="BE64" s="1656"/>
      <c r="BF64" s="1606"/>
      <c r="BG64" s="1607">
        <f ca="1">ROUND((+BG62+BG63)*$BA$64,0)*0</f>
        <v>0</v>
      </c>
      <c r="BH64" s="1660"/>
      <c r="BI64" s="1606"/>
      <c r="BJ64" s="1607"/>
      <c r="BK64" s="1666"/>
      <c r="BL64" s="1606"/>
      <c r="BM64" s="1607">
        <f ca="1">ROUND((+BM62+BM63)*$BA$64,0)*0</f>
        <v>0</v>
      </c>
      <c r="BN64" s="1579"/>
      <c r="BO64" s="1606"/>
      <c r="BP64" s="1607">
        <f ca="1">ROUND((+BP62+BP63)*$BA$64,0)*0</f>
        <v>0</v>
      </c>
      <c r="BQ64" s="1579"/>
      <c r="BR64" s="1606"/>
      <c r="BS64" s="1607">
        <f ca="1">ROUND((+BS62+BS63)*$BA$64,0)*0</f>
        <v>0</v>
      </c>
      <c r="BT64" s="1656"/>
      <c r="BU64" s="1606"/>
      <c r="BV64" s="1607">
        <f ca="1">ROUND((+BV62+BV63)*$BA$64,0)*0</f>
        <v>0</v>
      </c>
      <c r="BW64" s="1656"/>
      <c r="BX64" s="1606"/>
      <c r="BY64" s="1607">
        <f ca="1">ROUND((+BY62+BY63)*$BA$64,0)*0</f>
        <v>0</v>
      </c>
      <c r="BZ64" s="1656"/>
      <c r="CA64" s="1606"/>
      <c r="CB64" s="1607">
        <f ca="1">ROUND((+CB62+CB63)*$BA$64,0)*0</f>
        <v>0</v>
      </c>
      <c r="CC64" s="1656"/>
      <c r="CD64" s="1606"/>
      <c r="CE64" s="1607">
        <f ca="1">ROUND((+CE62+CE63)*$BA$64,0)*0</f>
        <v>0</v>
      </c>
      <c r="CF64" s="1656"/>
      <c r="CG64" s="1606"/>
      <c r="CH64" s="1607">
        <f ca="1">ROUND((+CH62+CH63)*$BA$64,0)*0</f>
        <v>0</v>
      </c>
      <c r="CI64" s="1656"/>
      <c r="CJ64" s="1257">
        <f t="shared" si="234"/>
        <v>0</v>
      </c>
      <c r="CK64" s="1395">
        <f t="shared" ca="1" si="235"/>
        <v>7511.24</v>
      </c>
      <c r="CL64" s="1730"/>
      <c r="CM64" s="170"/>
      <c r="CN64" s="493"/>
      <c r="CO64" s="428" t="str">
        <f>+AY64</f>
        <v>other</v>
      </c>
      <c r="CP64" s="459" t="s">
        <v>309</v>
      </c>
      <c r="CQ64" s="461"/>
      <c r="CR64" s="1703"/>
      <c r="CS64" s="462"/>
      <c r="CT64" s="431">
        <f>L64-BD64</f>
        <v>0</v>
      </c>
      <c r="CU64" s="1703"/>
      <c r="CV64" s="462"/>
      <c r="CW64" s="434">
        <f ca="1">(ROUND((+BG64*(1+CW$4)),0)-BG64)*'Data Input sheet'!$D$70</f>
        <v>0</v>
      </c>
      <c r="CX64" s="443"/>
      <c r="CY64" s="432"/>
      <c r="CZ64" s="434">
        <f>(ROUND((+BJ64*(1+CZ$4)),0)-BJ64)*'Data Input sheet'!$D$70</f>
        <v>0</v>
      </c>
      <c r="DA64" s="443"/>
      <c r="DB64" s="432"/>
      <c r="DC64" s="434">
        <f ca="1">(ROUND((+BM64*(1+DC$4)),0)-BM64)*'Data Input sheet'!$D$70</f>
        <v>0</v>
      </c>
      <c r="DD64" s="443"/>
      <c r="DE64" s="432">
        <v>0</v>
      </c>
      <c r="DF64" s="434">
        <f ca="1">(ROUND((+BP64*(1+DF$4)),0)-BP64)*'Data Input sheet'!$D$70</f>
        <v>0</v>
      </c>
      <c r="DG64" s="443"/>
      <c r="DH64" s="432">
        <v>0</v>
      </c>
      <c r="DI64" s="434">
        <f ca="1">(ROUND((+BS64*(1+DI$4)),0)-BS64)*'Data Input sheet'!$D$70</f>
        <v>0</v>
      </c>
      <c r="DJ64" s="443"/>
      <c r="DK64" s="432">
        <v>0</v>
      </c>
      <c r="DL64" s="434">
        <f ca="1">(ROUND((+BV64*(1+DL$4)),0)-BV64)*'Data Input sheet'!$D$70</f>
        <v>0</v>
      </c>
      <c r="DM64" s="443"/>
      <c r="DN64" s="432">
        <v>0</v>
      </c>
      <c r="DO64" s="434">
        <f ca="1">(ROUND((+BY64*(1+DO$4)),0)-BY64)*'Data Input sheet'!$D$70</f>
        <v>0</v>
      </c>
      <c r="DP64" s="443"/>
      <c r="DQ64" s="432">
        <v>0</v>
      </c>
      <c r="DR64" s="434">
        <f ca="1">(ROUND((+CB64*(1+DR$4)),0)-CB64)*'Data Input sheet'!$D$70</f>
        <v>0</v>
      </c>
      <c r="DS64" s="443"/>
      <c r="DT64" s="432">
        <v>0</v>
      </c>
      <c r="DU64" s="434">
        <f ca="1">(ROUND((+CE64*(1+DU$4)),0)-CE64)*'Data Input sheet'!$D$70</f>
        <v>0</v>
      </c>
      <c r="DV64" s="443"/>
      <c r="DW64" s="432">
        <v>0</v>
      </c>
      <c r="DX64" s="434">
        <f ca="1">(ROUND((+CH64*(1+DX$4)),0)-CH64)*'Data Input sheet'!$D$70</f>
        <v>0</v>
      </c>
      <c r="DY64" s="1703"/>
      <c r="DZ64" s="435">
        <f t="shared" si="236"/>
        <v>0</v>
      </c>
      <c r="EA64" s="1743">
        <f t="shared" ca="1" si="237"/>
        <v>0</v>
      </c>
      <c r="EB64" s="433"/>
      <c r="EC64" s="170"/>
      <c r="ED64" s="170"/>
      <c r="EE64" s="170"/>
      <c r="EF64" s="170"/>
      <c r="EG64" s="170"/>
      <c r="EH64" s="170"/>
      <c r="EI64" s="170"/>
      <c r="EJ64" s="170"/>
      <c r="EK64" s="170"/>
    </row>
    <row r="65" spans="1:141" ht="15.75" thickBot="1" x14ac:dyDescent="0.3">
      <c r="A65" s="168"/>
      <c r="B65" s="436"/>
      <c r="C65" s="436"/>
      <c r="D65" s="436"/>
      <c r="E65" s="437"/>
      <c r="F65" s="493"/>
      <c r="G65" s="1327" t="s">
        <v>324</v>
      </c>
      <c r="H65" s="1328"/>
      <c r="I65" s="1310">
        <f t="shared" si="91"/>
        <v>0</v>
      </c>
      <c r="J65" s="1687"/>
      <c r="K65" s="1335">
        <f>+K64+K63+K62</f>
        <v>0</v>
      </c>
      <c r="L65" s="1331">
        <f>+L64+L63+L62</f>
        <v>23935.299999999996</v>
      </c>
      <c r="M65" s="1687"/>
      <c r="N65" s="1335">
        <f>+N64+N63+N62</f>
        <v>0</v>
      </c>
      <c r="O65" s="1331">
        <f ca="1">+O64+O63+O62</f>
        <v>0</v>
      </c>
      <c r="P65" s="1687"/>
      <c r="Q65" s="1335">
        <f>+Q64+Q63+Q62</f>
        <v>0</v>
      </c>
      <c r="R65" s="1331">
        <f ca="1">+R64+R63+R62</f>
        <v>0</v>
      </c>
      <c r="S65" s="1687"/>
      <c r="T65" s="1335">
        <f>+T64+T63+T62</f>
        <v>2730</v>
      </c>
      <c r="U65" s="1331">
        <f ca="1">+U64+U63+U62</f>
        <v>393710</v>
      </c>
      <c r="V65" s="1687"/>
      <c r="W65" s="1335">
        <f>+W64+W63+W62</f>
        <v>2550</v>
      </c>
      <c r="X65" s="1331">
        <f ca="1">+X64+X63+X62</f>
        <v>383976</v>
      </c>
      <c r="Y65" s="1687"/>
      <c r="Z65" s="1335">
        <f>+Z64+Z63+Z62</f>
        <v>500</v>
      </c>
      <c r="AA65" s="1331">
        <f ca="1">+AA64+AA63+AA62</f>
        <v>37882</v>
      </c>
      <c r="AB65" s="1687"/>
      <c r="AC65" s="1335">
        <f>+AC64+AC63+AC62</f>
        <v>0</v>
      </c>
      <c r="AD65" s="1331">
        <f ca="1">+AD64+AD63+AD62</f>
        <v>0</v>
      </c>
      <c r="AE65" s="1687"/>
      <c r="AF65" s="1335">
        <f>+AF64+AF63+AF62</f>
        <v>0</v>
      </c>
      <c r="AG65" s="1331">
        <f ca="1">+AG64+AG63+AG62</f>
        <v>0</v>
      </c>
      <c r="AH65" s="1687"/>
      <c r="AI65" s="1335">
        <f>+AI64+AI63+AI62</f>
        <v>0</v>
      </c>
      <c r="AJ65" s="1331">
        <f ca="1">+AJ64+AJ63+AJ62</f>
        <v>0</v>
      </c>
      <c r="AK65" s="1687"/>
      <c r="AL65" s="1335">
        <f>+AL64+AL63+AL62</f>
        <v>0</v>
      </c>
      <c r="AM65" s="1331">
        <f ca="1">+AM64+AM63+AM62</f>
        <v>0</v>
      </c>
      <c r="AN65" s="1687"/>
      <c r="AO65" s="1335">
        <f>+AO64+AO63+AO62</f>
        <v>0</v>
      </c>
      <c r="AP65" s="1331">
        <f ca="1">+AP64+AP63+AP62</f>
        <v>0</v>
      </c>
      <c r="AQ65" s="1687"/>
      <c r="AR65" s="1330">
        <f>SUM(AR36:AR64)-AR48</f>
        <v>5780</v>
      </c>
      <c r="AS65" s="1331">
        <f ca="1">+AS64+AS63+AS62</f>
        <v>839503.3</v>
      </c>
      <c r="AT65" s="1687"/>
      <c r="AU65" s="411"/>
      <c r="AV65" s="1757">
        <f t="shared" ca="1" si="153"/>
        <v>839503.3</v>
      </c>
      <c r="AW65" s="411"/>
      <c r="AX65" s="493"/>
      <c r="AY65" s="1252" t="s">
        <v>324</v>
      </c>
      <c r="AZ65" s="1251"/>
      <c r="BA65" s="1252"/>
      <c r="BB65" s="1632"/>
      <c r="BC65" s="1253">
        <f>SUM(BC36:BC64)-BC48</f>
        <v>0</v>
      </c>
      <c r="BD65" s="1254">
        <f>+BD64+BD63+BD62</f>
        <v>23935.299999999996</v>
      </c>
      <c r="BE65" s="1632"/>
      <c r="BF65" s="1468">
        <f>SUM(BF36:BF64)-BF48</f>
        <v>0</v>
      </c>
      <c r="BG65" s="1254">
        <f ca="1">+BG64+BG63+BG62</f>
        <v>0</v>
      </c>
      <c r="BH65" s="1632"/>
      <c r="BI65" s="1468">
        <f>SUM(BI36:BI64)-BI48</f>
        <v>0</v>
      </c>
      <c r="BJ65" s="1254">
        <f ca="1">+BJ64+BJ63+BJ62</f>
        <v>0</v>
      </c>
      <c r="BK65" s="1632"/>
      <c r="BL65" s="1468">
        <f>SUM(BL36:BL64)-BL48</f>
        <v>2730</v>
      </c>
      <c r="BM65" s="1254">
        <f ca="1">+BM64+BM63+BM62</f>
        <v>360542</v>
      </c>
      <c r="BN65" s="1632"/>
      <c r="BO65" s="1468">
        <f>SUM(BO36:BO64)-BO48</f>
        <v>2550</v>
      </c>
      <c r="BP65" s="1254">
        <f ca="1">+BP64+BP63+BP62</f>
        <v>341386</v>
      </c>
      <c r="BQ65" s="1632"/>
      <c r="BR65" s="1468">
        <f>SUM(BR36:BR64)-BR48</f>
        <v>500</v>
      </c>
      <c r="BS65" s="1254">
        <f ca="1">+BS64+BS63+BS62</f>
        <v>32699</v>
      </c>
      <c r="BT65" s="1632"/>
      <c r="BU65" s="1468">
        <f>SUM(BU36:BU64)-BU48</f>
        <v>0</v>
      </c>
      <c r="BV65" s="1254">
        <f ca="1">+BV64+BV63+BV62</f>
        <v>0</v>
      </c>
      <c r="BW65" s="1632"/>
      <c r="BX65" s="1468">
        <f>SUM(BX36:BX64)-BX48</f>
        <v>0</v>
      </c>
      <c r="BY65" s="1254">
        <f ca="1">+BY64+BY63+BY62</f>
        <v>0</v>
      </c>
      <c r="BZ65" s="1632"/>
      <c r="CA65" s="1468">
        <f>SUM(CA36:CA64)-CA48</f>
        <v>0</v>
      </c>
      <c r="CB65" s="1254">
        <f ca="1">+CB64+CB63+CB62</f>
        <v>0</v>
      </c>
      <c r="CC65" s="1632"/>
      <c r="CD65" s="1468">
        <f>SUM(CD36:CD64)-CD48</f>
        <v>0</v>
      </c>
      <c r="CE65" s="1254">
        <f ca="1">+CE64+CE63+CE62</f>
        <v>0</v>
      </c>
      <c r="CF65" s="1632"/>
      <c r="CG65" s="1468">
        <f>SUM(CG36:CG64)-CG48</f>
        <v>0</v>
      </c>
      <c r="CH65" s="1254">
        <f ca="1">+CH64+CH63+CH62</f>
        <v>0</v>
      </c>
      <c r="CI65" s="1632"/>
      <c r="CJ65" s="1468">
        <f>SUM(CJ36:CJ64)-CJ48</f>
        <v>5780</v>
      </c>
      <c r="CK65" s="1254">
        <f ca="1">+CK64+CK63+CK62</f>
        <v>758562.3</v>
      </c>
      <c r="CL65" s="1731"/>
      <c r="CM65" s="170"/>
      <c r="CN65" s="493"/>
      <c r="CO65" s="464" t="s">
        <v>324</v>
      </c>
      <c r="CP65" s="465"/>
      <c r="CQ65" s="466"/>
      <c r="CR65" s="1703"/>
      <c r="CS65" s="467">
        <f>SUM(CS36:CS64)-CS42</f>
        <v>0</v>
      </c>
      <c r="CT65" s="468">
        <f>CT62+CT64</f>
        <v>0</v>
      </c>
      <c r="CU65" s="1703"/>
      <c r="CV65" s="467">
        <f>SUM(CV36:CV64)-CV42</f>
        <v>0</v>
      </c>
      <c r="CW65" s="468">
        <f ca="1">CW62+CW64</f>
        <v>0</v>
      </c>
      <c r="CX65" s="1703"/>
      <c r="CY65" s="467">
        <f>SUM(CY36:CY64)-CY42</f>
        <v>0</v>
      </c>
      <c r="CZ65" s="468">
        <f ca="1">CZ62+CZ64</f>
        <v>0</v>
      </c>
      <c r="DA65" s="1703"/>
      <c r="DB65" s="467">
        <f>SUM(DB36:DB64)-DB42</f>
        <v>0</v>
      </c>
      <c r="DC65" s="468">
        <f ca="1">DC62+DC64</f>
        <v>33168</v>
      </c>
      <c r="DD65" s="1703"/>
      <c r="DE65" s="467">
        <f>SUM(DE36:DE64)-DE42</f>
        <v>0</v>
      </c>
      <c r="DF65" s="468">
        <f ca="1">DF62+DF64</f>
        <v>42590</v>
      </c>
      <c r="DG65" s="1703"/>
      <c r="DH65" s="467">
        <f>SUM(DH36:DH64)-DH42</f>
        <v>0</v>
      </c>
      <c r="DI65" s="468">
        <f ca="1">DI62+DI64</f>
        <v>5183</v>
      </c>
      <c r="DJ65" s="1703"/>
      <c r="DK65" s="467">
        <f>SUM(DK36:DK64)-DK42</f>
        <v>0</v>
      </c>
      <c r="DL65" s="468">
        <f ca="1">DL62+DL64</f>
        <v>0</v>
      </c>
      <c r="DM65" s="1703"/>
      <c r="DN65" s="467">
        <f>SUM(DN36:DN64)-DN42</f>
        <v>0</v>
      </c>
      <c r="DO65" s="468">
        <f ca="1">DO62+DO64</f>
        <v>0</v>
      </c>
      <c r="DP65" s="1703"/>
      <c r="DQ65" s="467">
        <f>SUM(DQ36:DQ64)-DQ42</f>
        <v>0</v>
      </c>
      <c r="DR65" s="468">
        <f ca="1">DR62+DR64</f>
        <v>0</v>
      </c>
      <c r="DS65" s="1703"/>
      <c r="DT65" s="467">
        <f>SUM(DT36:DT64)-DT42</f>
        <v>0</v>
      </c>
      <c r="DU65" s="468">
        <f ca="1">DU62+DU64</f>
        <v>0</v>
      </c>
      <c r="DV65" s="1703"/>
      <c r="DW65" s="467">
        <f>SUM(DW36:DW64)-DW42</f>
        <v>0</v>
      </c>
      <c r="DX65" s="468">
        <f ca="1">DX62+DX64</f>
        <v>0</v>
      </c>
      <c r="DY65" s="1703"/>
      <c r="DZ65" s="467">
        <f>SUM(DZ36:DZ64)-DZ48</f>
        <v>0</v>
      </c>
      <c r="EA65" s="1744">
        <f ca="1">+EA64+EA63+EA62</f>
        <v>80941</v>
      </c>
      <c r="EB65" s="433"/>
      <c r="EC65" s="170"/>
      <c r="ED65" s="170"/>
      <c r="EE65" s="170"/>
      <c r="EF65" s="170"/>
      <c r="EG65" s="170"/>
      <c r="EH65" s="170"/>
      <c r="EI65" s="170"/>
      <c r="EJ65" s="170"/>
      <c r="EK65" s="170"/>
    </row>
    <row r="66" spans="1:141" ht="15" x14ac:dyDescent="0.25">
      <c r="A66" s="170"/>
      <c r="B66" s="472"/>
      <c r="C66" s="472"/>
      <c r="D66" s="472"/>
      <c r="E66" s="473"/>
      <c r="F66" s="1239"/>
      <c r="G66" s="1291" t="s">
        <v>325</v>
      </c>
      <c r="H66" s="1291"/>
      <c r="I66" s="1310">
        <f t="shared" si="91"/>
        <v>0</v>
      </c>
      <c r="J66" s="1683"/>
      <c r="K66" s="1289"/>
      <c r="L66" s="1287"/>
      <c r="M66" s="1683"/>
      <c r="N66" s="1289"/>
      <c r="O66" s="1287"/>
      <c r="P66" s="1683"/>
      <c r="Q66" s="1289"/>
      <c r="R66" s="1287"/>
      <c r="S66" s="1683"/>
      <c r="T66" s="1289"/>
      <c r="U66" s="1287"/>
      <c r="V66" s="1683"/>
      <c r="W66" s="1289"/>
      <c r="X66" s="1287"/>
      <c r="Y66" s="1683"/>
      <c r="Z66" s="1289"/>
      <c r="AA66" s="1287"/>
      <c r="AB66" s="1683"/>
      <c r="AC66" s="1289"/>
      <c r="AD66" s="1287"/>
      <c r="AE66" s="1683"/>
      <c r="AF66" s="1289"/>
      <c r="AG66" s="1287"/>
      <c r="AH66" s="1683"/>
      <c r="AI66" s="1289"/>
      <c r="AJ66" s="1287"/>
      <c r="AK66" s="1683"/>
      <c r="AL66" s="1289"/>
      <c r="AM66" s="1287"/>
      <c r="AN66" s="1683"/>
      <c r="AO66" s="1289"/>
      <c r="AP66" s="1287"/>
      <c r="AQ66" s="1683"/>
      <c r="AR66" s="1289">
        <f t="shared" ref="AR66" si="238">+Z66+W66+T66+Q66+N66+K66+AC66</f>
        <v>0</v>
      </c>
      <c r="AS66" s="1287">
        <f t="shared" ref="AS66" si="239">+AA66+X66+U66+R66+O66+L66+AD66</f>
        <v>0</v>
      </c>
      <c r="AT66" s="1683"/>
      <c r="AU66" s="411"/>
      <c r="AV66" s="1757">
        <f t="shared" si="153"/>
        <v>0</v>
      </c>
      <c r="AW66" s="170"/>
      <c r="AX66" s="1239"/>
      <c r="AY66" s="168" t="s">
        <v>325</v>
      </c>
      <c r="AZ66" s="168"/>
      <c r="BA66" s="377"/>
      <c r="BB66" s="1629"/>
      <c r="BC66" s="457"/>
      <c r="BD66" s="488"/>
      <c r="BE66" s="1629"/>
      <c r="BF66" s="489"/>
      <c r="BG66" s="457"/>
      <c r="BH66" s="1629"/>
      <c r="BI66" s="489"/>
      <c r="BJ66" s="457"/>
      <c r="BK66" s="1629"/>
      <c r="BL66" s="489"/>
      <c r="BM66" s="457"/>
      <c r="BN66" s="1629"/>
      <c r="BO66" s="489"/>
      <c r="BP66" s="457"/>
      <c r="BQ66" s="1629"/>
      <c r="BR66" s="489"/>
      <c r="BS66" s="457"/>
      <c r="BT66" s="1629"/>
      <c r="BU66" s="489"/>
      <c r="BV66" s="457"/>
      <c r="BW66" s="1629"/>
      <c r="BX66" s="489"/>
      <c r="BY66" s="457"/>
      <c r="BZ66" s="1629"/>
      <c r="CA66" s="489"/>
      <c r="CB66" s="457"/>
      <c r="CC66" s="1629"/>
      <c r="CD66" s="489"/>
      <c r="CE66" s="457"/>
      <c r="CF66" s="1629"/>
      <c r="CG66" s="489"/>
      <c r="CH66" s="457"/>
      <c r="CI66" s="1629"/>
      <c r="CJ66" s="457">
        <f t="shared" ref="CJ66:CJ88" si="240">+BR66+BO66+BL66+BI66+BF66+BC66+BU66</f>
        <v>0</v>
      </c>
      <c r="CK66" s="1575">
        <f t="shared" ref="CK66" si="241">+BS66+BP66+BM66+BJ66+BG66+BD66+BV66</f>
        <v>0</v>
      </c>
      <c r="CL66" s="1733"/>
      <c r="CM66" s="170"/>
      <c r="CN66" s="1239"/>
      <c r="CO66" s="388" t="s">
        <v>325</v>
      </c>
      <c r="CP66" s="388"/>
      <c r="CQ66" s="384"/>
      <c r="CR66" s="1701"/>
      <c r="CS66" s="385"/>
      <c r="CT66" s="385"/>
      <c r="CU66" s="1701"/>
      <c r="CV66" s="385"/>
      <c r="CW66" s="385"/>
      <c r="CX66" s="1701"/>
      <c r="CY66" s="385"/>
      <c r="CZ66" s="385"/>
      <c r="DA66" s="1701"/>
      <c r="DB66" s="385"/>
      <c r="DC66" s="385"/>
      <c r="DD66" s="1701"/>
      <c r="DE66" s="385"/>
      <c r="DF66" s="385"/>
      <c r="DG66" s="1701"/>
      <c r="DH66" s="385"/>
      <c r="DI66" s="385"/>
      <c r="DJ66" s="1701"/>
      <c r="DK66" s="385"/>
      <c r="DL66" s="385"/>
      <c r="DM66" s="1701"/>
      <c r="DN66" s="385"/>
      <c r="DO66" s="385"/>
      <c r="DP66" s="1701"/>
      <c r="DQ66" s="385"/>
      <c r="DR66" s="385"/>
      <c r="DS66" s="1701"/>
      <c r="DT66" s="385"/>
      <c r="DU66" s="385"/>
      <c r="DV66" s="1701"/>
      <c r="DW66" s="385"/>
      <c r="DX66" s="385"/>
      <c r="DY66" s="1701"/>
      <c r="DZ66" s="385">
        <f t="shared" ref="DZ66" si="242">+DH66+DE66+DB66+CY66+CV66+CS66+DK66</f>
        <v>0</v>
      </c>
      <c r="EA66" s="1746">
        <f t="shared" ref="EA66" si="243">+DI66+DF66+DC66+CZ66+CW66+CT66+DL66</f>
        <v>0</v>
      </c>
      <c r="EB66" s="433"/>
      <c r="EC66" s="170"/>
      <c r="ED66" s="170"/>
      <c r="EE66" s="170"/>
      <c r="EF66" s="170"/>
      <c r="EG66" s="170"/>
      <c r="EH66" s="170"/>
      <c r="EI66" s="170"/>
      <c r="EJ66" s="170"/>
      <c r="EK66" s="170"/>
    </row>
    <row r="67" spans="1:141" ht="15" x14ac:dyDescent="0.25">
      <c r="A67" s="170"/>
      <c r="B67" s="424">
        <v>1</v>
      </c>
      <c r="C67" s="424">
        <v>3</v>
      </c>
      <c r="D67" s="424">
        <v>1</v>
      </c>
      <c r="E67" s="425">
        <v>1</v>
      </c>
      <c r="F67" s="493" t="s">
        <v>3182</v>
      </c>
      <c r="G67" s="1308" t="str">
        <f t="shared" ref="G67:G72" si="244">+AY67</f>
        <v>Real Estate</v>
      </c>
      <c r="H67" s="1336" t="s">
        <v>291</v>
      </c>
      <c r="I67" s="1310">
        <f t="shared" ca="1" si="91"/>
        <v>64.7</v>
      </c>
      <c r="J67" s="1685"/>
      <c r="K67" s="1311">
        <f t="shared" ref="K67:L72" si="245">+BC67</f>
        <v>0</v>
      </c>
      <c r="L67" s="1312">
        <f t="shared" si="245"/>
        <v>0</v>
      </c>
      <c r="M67" s="1685"/>
      <c r="N67" s="1313">
        <f>+BF67</f>
        <v>0</v>
      </c>
      <c r="O67" s="1312">
        <f t="shared" ref="O67:O72" ca="1" si="246">+BG67+CW67</f>
        <v>0</v>
      </c>
      <c r="P67" s="1685"/>
      <c r="Q67" s="1313">
        <f t="shared" ref="Q67:Q72" si="247">+BI67</f>
        <v>0</v>
      </c>
      <c r="R67" s="1312">
        <f t="shared" ref="R67:R72" ca="1" si="248">+BJ67+CZ67</f>
        <v>0</v>
      </c>
      <c r="S67" s="1685"/>
      <c r="T67" s="1313">
        <f t="shared" ref="T67:T72" si="249">+BL67</f>
        <v>0</v>
      </c>
      <c r="U67" s="1312">
        <f t="shared" ref="U67:U72" ca="1" si="250">+BM67+DC67</f>
        <v>0</v>
      </c>
      <c r="V67" s="1685"/>
      <c r="W67" s="1313">
        <f t="shared" ref="W67:W72" si="251">+BO67</f>
        <v>0</v>
      </c>
      <c r="X67" s="1312">
        <f t="shared" ref="X67:X72" ca="1" si="252">+BP67+DF67</f>
        <v>0</v>
      </c>
      <c r="Y67" s="1685"/>
      <c r="Z67" s="1313">
        <f t="shared" ref="Z67:Z72" si="253">+BR67</f>
        <v>0</v>
      </c>
      <c r="AA67" s="1312">
        <f t="shared" ref="AA67:AA72" ca="1" si="254">+BS67+DI67</f>
        <v>0</v>
      </c>
      <c r="AB67" s="1685"/>
      <c r="AC67" s="1313">
        <f t="shared" ref="AC67:AC72" si="255">+BU67</f>
        <v>0</v>
      </c>
      <c r="AD67" s="1312">
        <f t="shared" ref="AD67:AD72" ca="1" si="256">+BV67+DL67</f>
        <v>0</v>
      </c>
      <c r="AE67" s="1685"/>
      <c r="AF67" s="1313">
        <f t="shared" ref="AF67:AF72" si="257">+BX67</f>
        <v>0</v>
      </c>
      <c r="AG67" s="1312">
        <f t="shared" ref="AG67:AG72" ca="1" si="258">+BY67+DO67</f>
        <v>0</v>
      </c>
      <c r="AH67" s="1685"/>
      <c r="AI67" s="1313">
        <f t="shared" ref="AI67:AI72" si="259">+CA67</f>
        <v>0</v>
      </c>
      <c r="AJ67" s="1312">
        <f t="shared" ref="AJ67:AJ72" ca="1" si="260">+CB67+DR67</f>
        <v>0</v>
      </c>
      <c r="AK67" s="1685"/>
      <c r="AL67" s="1313">
        <f t="shared" ref="AL67:AL72" si="261">+CD67</f>
        <v>0</v>
      </c>
      <c r="AM67" s="1312">
        <f t="shared" ref="AM67:AM72" ca="1" si="262">+CE67+DU67</f>
        <v>0</v>
      </c>
      <c r="AN67" s="1685"/>
      <c r="AO67" s="1313">
        <f t="shared" ref="AO67:AO72" si="263">+CG67</f>
        <v>0</v>
      </c>
      <c r="AP67" s="1312">
        <f t="shared" ref="AP67:AP72" ca="1" si="264">+CH67+DX67</f>
        <v>0</v>
      </c>
      <c r="AQ67" s="1685"/>
      <c r="AR67" s="1313">
        <f t="shared" ref="AR67:AR72" si="265">+Z67+W67+T67+Q67+N67+K67+AC67+AF67+AI67+AL67+AO67</f>
        <v>0</v>
      </c>
      <c r="AS67" s="1312">
        <f t="shared" ref="AS67:AS72" ca="1" si="266">+AA67+X67+U67+R67+O67+L67+AD67+AG67+AJ67+AM67+AP67</f>
        <v>0</v>
      </c>
      <c r="AT67" s="1687"/>
      <c r="AU67" s="411"/>
      <c r="AV67" s="1757">
        <f t="shared" ca="1" si="153"/>
        <v>0</v>
      </c>
      <c r="AW67" s="411"/>
      <c r="AX67" s="493"/>
      <c r="AY67" s="1566" t="s">
        <v>326</v>
      </c>
      <c r="AZ67" s="1567" t="s">
        <v>291</v>
      </c>
      <c r="BA67" s="2445">
        <f ca="1">+'Data Input sheet'!D150</f>
        <v>64.7</v>
      </c>
      <c r="BB67" s="1579"/>
      <c r="BC67" s="1599">
        <v>0</v>
      </c>
      <c r="BD67" s="1600">
        <v>0</v>
      </c>
      <c r="BE67" s="1579"/>
      <c r="BF67" s="1605">
        <v>0</v>
      </c>
      <c r="BG67" s="426">
        <f ca="1">ROUND(+BF67*$BA$67,0)</f>
        <v>0</v>
      </c>
      <c r="BH67" s="1579"/>
      <c r="BI67" s="1605">
        <v>0</v>
      </c>
      <c r="BJ67" s="426">
        <f ca="1">ROUND(+BI67*$BA$67,0)</f>
        <v>0</v>
      </c>
      <c r="BK67" s="1666"/>
      <c r="BL67" s="1605">
        <v>0</v>
      </c>
      <c r="BM67" s="426">
        <f ca="1">ROUND(+BL67*$BA$67,0)</f>
        <v>0</v>
      </c>
      <c r="BN67" s="1579"/>
      <c r="BO67" s="1605">
        <v>0</v>
      </c>
      <c r="BP67" s="426">
        <f ca="1">ROUND(+BO67*$BA$67,0)</f>
        <v>0</v>
      </c>
      <c r="BQ67" s="1579"/>
      <c r="BR67" s="1605">
        <v>0</v>
      </c>
      <c r="BS67" s="426">
        <f ca="1">ROUND(+BR67*$BA$67,0)</f>
        <v>0</v>
      </c>
      <c r="BT67" s="1579"/>
      <c r="BU67" s="1605">
        <v>0</v>
      </c>
      <c r="BV67" s="426">
        <f ca="1">ROUND(+BU67*$BA$67,0)</f>
        <v>0</v>
      </c>
      <c r="BW67" s="1579"/>
      <c r="BX67" s="1605">
        <v>0</v>
      </c>
      <c r="BY67" s="426">
        <f ca="1">ROUND(+BX67*$BA$67,0)</f>
        <v>0</v>
      </c>
      <c r="BZ67" s="1579"/>
      <c r="CA67" s="1605">
        <v>0</v>
      </c>
      <c r="CB67" s="426">
        <f ca="1">ROUND(+CA67*$BA$67,0)</f>
        <v>0</v>
      </c>
      <c r="CC67" s="1579"/>
      <c r="CD67" s="1605">
        <v>0</v>
      </c>
      <c r="CE67" s="426">
        <f ca="1">ROUND(+CD67*$BA$67,0)</f>
        <v>0</v>
      </c>
      <c r="CF67" s="1579"/>
      <c r="CG67" s="1605">
        <v>0</v>
      </c>
      <c r="CH67" s="426">
        <f ca="1">ROUND(+CG67*$BA$67,0)</f>
        <v>0</v>
      </c>
      <c r="CI67" s="1579"/>
      <c r="CJ67" s="1257">
        <f t="shared" ref="CJ67:CJ72" si="267">+BR67+BO67+BL67+BI67+BF67+BC67+BU67+BX67+CA67+CD67+CG67</f>
        <v>0</v>
      </c>
      <c r="CK67" s="1395">
        <f t="shared" ref="CK67:CK72" ca="1" si="268">+BS67+BP67+BM67+BJ67+BG67+BD67+BV67+BY67+CB67+CE67+CH67</f>
        <v>0</v>
      </c>
      <c r="CL67" s="427"/>
      <c r="CM67" s="170"/>
      <c r="CN67" s="493"/>
      <c r="CO67" s="428" t="str">
        <f t="shared" ref="CO67:CO72" si="269">+AY67</f>
        <v>Real Estate</v>
      </c>
      <c r="CP67" s="475" t="s">
        <v>291</v>
      </c>
      <c r="CQ67" s="475"/>
      <c r="CR67" s="443"/>
      <c r="CS67" s="435">
        <v>0</v>
      </c>
      <c r="CT67" s="431">
        <f t="shared" ref="CT67:CT72" si="270">L67-BD67</f>
        <v>0</v>
      </c>
      <c r="CU67" s="443"/>
      <c r="CV67" s="435">
        <v>0</v>
      </c>
      <c r="CW67" s="434">
        <f t="shared" ref="CW67:CW72" ca="1" si="271">ROUND((+BG67*(1+CW$5)),0)-BG67</f>
        <v>0</v>
      </c>
      <c r="CX67" s="443"/>
      <c r="CY67" s="432">
        <v>0</v>
      </c>
      <c r="CZ67" s="434">
        <f t="shared" ref="CZ67:CZ72" ca="1" si="272">ROUND((+BJ67*(1+CZ$5)),0)-BJ67</f>
        <v>0</v>
      </c>
      <c r="DA67" s="443"/>
      <c r="DB67" s="432">
        <v>0</v>
      </c>
      <c r="DC67" s="434">
        <f t="shared" ref="DC67:DC72" ca="1" si="273">ROUND((+BM67*(1+DC$5)),0)-BM67</f>
        <v>0</v>
      </c>
      <c r="DD67" s="443"/>
      <c r="DE67" s="432">
        <v>0</v>
      </c>
      <c r="DF67" s="434">
        <f t="shared" ref="DF67:DF72" ca="1" si="274">ROUND((+BP67*(1+DF$5)),0)-BP67</f>
        <v>0</v>
      </c>
      <c r="DG67" s="443"/>
      <c r="DH67" s="432">
        <v>0</v>
      </c>
      <c r="DI67" s="434">
        <f t="shared" ref="DI67:DI72" ca="1" si="275">ROUND((+BS67*(1+DI$5)),0)-BS67</f>
        <v>0</v>
      </c>
      <c r="DJ67" s="443"/>
      <c r="DK67" s="432">
        <v>0</v>
      </c>
      <c r="DL67" s="434">
        <f t="shared" ref="DL67:DL72" ca="1" si="276">ROUND((+BV67*(1+DL$5)),0)-BV67</f>
        <v>0</v>
      </c>
      <c r="DM67" s="443"/>
      <c r="DN67" s="432">
        <v>0</v>
      </c>
      <c r="DO67" s="434">
        <f t="shared" ref="DO67:DO72" ca="1" si="277">ROUND((+BY67*(1+DO$5)),0)-BY67</f>
        <v>0</v>
      </c>
      <c r="DP67" s="443"/>
      <c r="DQ67" s="432">
        <v>0</v>
      </c>
      <c r="DR67" s="434">
        <f t="shared" ref="DR67:DR72" ca="1" si="278">ROUND((+CB67*(1+DR$5)),0)-CB67</f>
        <v>0</v>
      </c>
      <c r="DS67" s="443"/>
      <c r="DT67" s="432">
        <v>0</v>
      </c>
      <c r="DU67" s="434">
        <f t="shared" ref="DU67:DU72" ca="1" si="279">ROUND((+CE67*(1+DU$5)),0)-CE67</f>
        <v>0</v>
      </c>
      <c r="DV67" s="443"/>
      <c r="DW67" s="432">
        <v>0</v>
      </c>
      <c r="DX67" s="434">
        <f t="shared" ref="DX67:DX72" ca="1" si="280">ROUND((+CH67*(1+DX$5)),0)-CH67</f>
        <v>0</v>
      </c>
      <c r="DY67" s="443"/>
      <c r="DZ67" s="432">
        <f t="shared" ref="DZ67:DZ72" si="281">+DH67+DE67+DB67+CY67+CV67+CS67+DK67+DN67+DQ67+DT67+DW67</f>
        <v>0</v>
      </c>
      <c r="EA67" s="444">
        <f t="shared" ref="EA67:EA72" ca="1" si="282">+DI67+DF67+DC67+CZ67+CW67+CT67+DL67+DO67+DR67+DU67+DX67</f>
        <v>0</v>
      </c>
      <c r="EB67" s="433"/>
      <c r="EC67" s="170"/>
      <c r="ED67" s="170"/>
      <c r="EE67" s="170"/>
      <c r="EF67" s="170"/>
      <c r="EG67" s="170"/>
      <c r="EH67" s="170"/>
      <c r="EI67" s="170"/>
      <c r="EJ67" s="170"/>
      <c r="EK67" s="170"/>
    </row>
    <row r="68" spans="1:141" ht="15" x14ac:dyDescent="0.25">
      <c r="A68" s="170"/>
      <c r="B68" s="424">
        <v>5</v>
      </c>
      <c r="C68" s="424">
        <v>3</v>
      </c>
      <c r="D68" s="424">
        <v>6</v>
      </c>
      <c r="E68" s="425">
        <v>1</v>
      </c>
      <c r="F68" s="493"/>
      <c r="G68" s="1308" t="str">
        <f t="shared" si="244"/>
        <v xml:space="preserve">Employee Expenses </v>
      </c>
      <c r="H68" s="1309" t="s">
        <v>298</v>
      </c>
      <c r="I68" s="1310">
        <f t="shared" si="91"/>
        <v>0.05</v>
      </c>
      <c r="J68" s="1685"/>
      <c r="K68" s="1311">
        <f t="shared" si="245"/>
        <v>0</v>
      </c>
      <c r="L68" s="1312">
        <f t="shared" si="245"/>
        <v>0</v>
      </c>
      <c r="M68" s="1685"/>
      <c r="N68" s="1313">
        <f>+BF68</f>
        <v>0</v>
      </c>
      <c r="O68" s="1312">
        <f t="shared" ca="1" si="246"/>
        <v>0</v>
      </c>
      <c r="P68" s="1685"/>
      <c r="Q68" s="1313">
        <f t="shared" si="247"/>
        <v>0</v>
      </c>
      <c r="R68" s="1312">
        <f t="shared" ca="1" si="248"/>
        <v>0</v>
      </c>
      <c r="S68" s="1685"/>
      <c r="T68" s="1313">
        <f t="shared" si="249"/>
        <v>0</v>
      </c>
      <c r="U68" s="1312">
        <f t="shared" ca="1" si="250"/>
        <v>0</v>
      </c>
      <c r="V68" s="1685"/>
      <c r="W68" s="1313">
        <f t="shared" si="251"/>
        <v>0</v>
      </c>
      <c r="X68" s="1312">
        <f t="shared" ca="1" si="252"/>
        <v>0</v>
      </c>
      <c r="Y68" s="1685"/>
      <c r="Z68" s="1313">
        <f t="shared" si="253"/>
        <v>0</v>
      </c>
      <c r="AA68" s="1312">
        <f t="shared" ca="1" si="254"/>
        <v>0</v>
      </c>
      <c r="AB68" s="1685"/>
      <c r="AC68" s="1313">
        <f t="shared" si="255"/>
        <v>0</v>
      </c>
      <c r="AD68" s="1312">
        <f t="shared" ca="1" si="256"/>
        <v>0</v>
      </c>
      <c r="AE68" s="1685"/>
      <c r="AF68" s="1313">
        <f t="shared" si="257"/>
        <v>0</v>
      </c>
      <c r="AG68" s="1312">
        <f t="shared" ca="1" si="258"/>
        <v>0</v>
      </c>
      <c r="AH68" s="1685"/>
      <c r="AI68" s="1313">
        <f t="shared" si="259"/>
        <v>0</v>
      </c>
      <c r="AJ68" s="1312">
        <f t="shared" ca="1" si="260"/>
        <v>0</v>
      </c>
      <c r="AK68" s="1685"/>
      <c r="AL68" s="1313">
        <f t="shared" si="261"/>
        <v>0</v>
      </c>
      <c r="AM68" s="1312">
        <f t="shared" ca="1" si="262"/>
        <v>0</v>
      </c>
      <c r="AN68" s="1685"/>
      <c r="AO68" s="1313">
        <f t="shared" si="263"/>
        <v>0</v>
      </c>
      <c r="AP68" s="1312">
        <f t="shared" ca="1" si="264"/>
        <v>0</v>
      </c>
      <c r="AQ68" s="1685"/>
      <c r="AR68" s="1313">
        <f t="shared" si="265"/>
        <v>0</v>
      </c>
      <c r="AS68" s="1312">
        <f t="shared" ca="1" si="266"/>
        <v>0</v>
      </c>
      <c r="AT68" s="1687"/>
      <c r="AU68" s="411"/>
      <c r="AV68" s="1757">
        <f t="shared" ca="1" si="153"/>
        <v>0</v>
      </c>
      <c r="AW68" s="411"/>
      <c r="AX68" s="493"/>
      <c r="AY68" s="1566" t="s">
        <v>299</v>
      </c>
      <c r="AZ68" s="1567" t="s">
        <v>298</v>
      </c>
      <c r="BA68" s="440">
        <v>0.05</v>
      </c>
      <c r="BB68" s="1579"/>
      <c r="BC68" s="1599">
        <v>0</v>
      </c>
      <c r="BD68" s="1600">
        <v>0</v>
      </c>
      <c r="BE68" s="1579"/>
      <c r="BF68" s="1469"/>
      <c r="BG68" s="426">
        <f ca="1">ROUND(((BG67)*$BA68),0)</f>
        <v>0</v>
      </c>
      <c r="BH68" s="1579"/>
      <c r="BI68" s="1469"/>
      <c r="BJ68" s="426">
        <f ca="1">ROUND(((BJ67)*$BA68),0)</f>
        <v>0</v>
      </c>
      <c r="BK68" s="1666"/>
      <c r="BL68" s="1469"/>
      <c r="BM68" s="426">
        <f ca="1">ROUND(((BM67)*$BA68),0)</f>
        <v>0</v>
      </c>
      <c r="BN68" s="1579"/>
      <c r="BO68" s="1469"/>
      <c r="BP68" s="426">
        <f ca="1">ROUND(((BP67)*$BA68),0)</f>
        <v>0</v>
      </c>
      <c r="BQ68" s="1579"/>
      <c r="BR68" s="1469"/>
      <c r="BS68" s="426">
        <f ca="1">ROUND(((BS67)*$BA68),0)</f>
        <v>0</v>
      </c>
      <c r="BT68" s="1579"/>
      <c r="BU68" s="1469"/>
      <c r="BV68" s="426">
        <f ca="1">ROUND(((BV67)*$BA68),0)</f>
        <v>0</v>
      </c>
      <c r="BW68" s="1579"/>
      <c r="BX68" s="1469"/>
      <c r="BY68" s="426">
        <f ca="1">ROUND(((BY67)*$BA68),0)</f>
        <v>0</v>
      </c>
      <c r="BZ68" s="1579"/>
      <c r="CA68" s="1469"/>
      <c r="CB68" s="426">
        <f ca="1">ROUND(((CB67)*$BA68),0)</f>
        <v>0</v>
      </c>
      <c r="CC68" s="1579"/>
      <c r="CD68" s="1469"/>
      <c r="CE68" s="426">
        <f ca="1">ROUND(((CE67)*$BA68),0)</f>
        <v>0</v>
      </c>
      <c r="CF68" s="1579"/>
      <c r="CG68" s="1469"/>
      <c r="CH68" s="426">
        <f ca="1">ROUND(((CH67)*$BA68),0)</f>
        <v>0</v>
      </c>
      <c r="CI68" s="1579"/>
      <c r="CJ68" s="1257">
        <f t="shared" si="267"/>
        <v>0</v>
      </c>
      <c r="CK68" s="1395">
        <f t="shared" ca="1" si="268"/>
        <v>0</v>
      </c>
      <c r="CL68" s="427"/>
      <c r="CM68" s="170"/>
      <c r="CN68" s="493"/>
      <c r="CO68" s="428" t="str">
        <f t="shared" si="269"/>
        <v xml:space="preserve">Employee Expenses </v>
      </c>
      <c r="CP68" s="429" t="s">
        <v>298</v>
      </c>
      <c r="CQ68" s="441"/>
      <c r="CR68" s="443"/>
      <c r="CS68" s="430"/>
      <c r="CT68" s="431">
        <f t="shared" si="270"/>
        <v>0</v>
      </c>
      <c r="CU68" s="443"/>
      <c r="CV68" s="430"/>
      <c r="CW68" s="434">
        <f t="shared" ca="1" si="271"/>
        <v>0</v>
      </c>
      <c r="CX68" s="443"/>
      <c r="CY68" s="432">
        <v>0</v>
      </c>
      <c r="CZ68" s="434">
        <f t="shared" ca="1" si="272"/>
        <v>0</v>
      </c>
      <c r="DA68" s="443"/>
      <c r="DB68" s="432">
        <v>0</v>
      </c>
      <c r="DC68" s="434">
        <f t="shared" ca="1" si="273"/>
        <v>0</v>
      </c>
      <c r="DD68" s="443"/>
      <c r="DE68" s="432">
        <v>0</v>
      </c>
      <c r="DF68" s="434">
        <f t="shared" ca="1" si="274"/>
        <v>0</v>
      </c>
      <c r="DG68" s="443"/>
      <c r="DH68" s="432">
        <v>0</v>
      </c>
      <c r="DI68" s="434">
        <f t="shared" ca="1" si="275"/>
        <v>0</v>
      </c>
      <c r="DJ68" s="443"/>
      <c r="DK68" s="432">
        <v>0</v>
      </c>
      <c r="DL68" s="434">
        <f t="shared" ca="1" si="276"/>
        <v>0</v>
      </c>
      <c r="DM68" s="443"/>
      <c r="DN68" s="432">
        <v>0</v>
      </c>
      <c r="DO68" s="434">
        <f t="shared" ca="1" si="277"/>
        <v>0</v>
      </c>
      <c r="DP68" s="443"/>
      <c r="DQ68" s="432">
        <v>0</v>
      </c>
      <c r="DR68" s="434">
        <f t="shared" ca="1" si="278"/>
        <v>0</v>
      </c>
      <c r="DS68" s="443"/>
      <c r="DT68" s="432">
        <v>0</v>
      </c>
      <c r="DU68" s="434">
        <f t="shared" ca="1" si="279"/>
        <v>0</v>
      </c>
      <c r="DV68" s="443"/>
      <c r="DW68" s="432">
        <v>0</v>
      </c>
      <c r="DX68" s="434">
        <f t="shared" ca="1" si="280"/>
        <v>0</v>
      </c>
      <c r="DY68" s="443"/>
      <c r="DZ68" s="432">
        <f t="shared" si="281"/>
        <v>0</v>
      </c>
      <c r="EA68" s="444">
        <f t="shared" ca="1" si="282"/>
        <v>0</v>
      </c>
      <c r="EB68" s="433"/>
      <c r="EC68" s="170"/>
      <c r="ED68" s="170"/>
      <c r="EE68" s="170"/>
      <c r="EF68" s="170"/>
      <c r="EG68" s="170"/>
      <c r="EH68" s="170"/>
      <c r="EI68" s="170"/>
      <c r="EJ68" s="170"/>
      <c r="EK68" s="170"/>
    </row>
    <row r="69" spans="1:141" ht="15" x14ac:dyDescent="0.25">
      <c r="A69" s="433"/>
      <c r="B69" s="424">
        <v>4</v>
      </c>
      <c r="C69" s="424">
        <v>3</v>
      </c>
      <c r="D69" s="424">
        <v>4</v>
      </c>
      <c r="E69" s="425">
        <v>1</v>
      </c>
      <c r="F69" s="1576" t="s">
        <v>3426</v>
      </c>
      <c r="G69" s="1308" t="str">
        <f t="shared" si="244"/>
        <v>Purchase Land</v>
      </c>
      <c r="H69" s="1336" t="s">
        <v>300</v>
      </c>
      <c r="I69" s="1310">
        <f t="shared" si="91"/>
        <v>0</v>
      </c>
      <c r="J69" s="1719"/>
      <c r="K69" s="1311">
        <f t="shared" si="245"/>
        <v>0</v>
      </c>
      <c r="L69" s="1312">
        <f t="shared" si="245"/>
        <v>0</v>
      </c>
      <c r="M69" s="1719"/>
      <c r="N69" s="1313">
        <f>+BF69</f>
        <v>0</v>
      </c>
      <c r="O69" s="1312">
        <f t="shared" si="246"/>
        <v>0</v>
      </c>
      <c r="P69" s="1685"/>
      <c r="Q69" s="1313">
        <f t="shared" si="247"/>
        <v>0</v>
      </c>
      <c r="R69" s="1312">
        <f t="shared" si="248"/>
        <v>0</v>
      </c>
      <c r="S69" s="1685"/>
      <c r="T69" s="1313">
        <f t="shared" si="249"/>
        <v>0</v>
      </c>
      <c r="U69" s="1312">
        <f t="shared" si="250"/>
        <v>0</v>
      </c>
      <c r="V69" s="1685"/>
      <c r="W69" s="1313">
        <f t="shared" si="251"/>
        <v>0</v>
      </c>
      <c r="X69" s="1312">
        <f t="shared" si="252"/>
        <v>0</v>
      </c>
      <c r="Y69" s="1685"/>
      <c r="Z69" s="1313">
        <f t="shared" si="253"/>
        <v>0</v>
      </c>
      <c r="AA69" s="1312">
        <f t="shared" si="254"/>
        <v>0</v>
      </c>
      <c r="AB69" s="1685"/>
      <c r="AC69" s="1313">
        <f t="shared" si="255"/>
        <v>0</v>
      </c>
      <c r="AD69" s="1312">
        <f t="shared" si="256"/>
        <v>0</v>
      </c>
      <c r="AE69" s="1685"/>
      <c r="AF69" s="1313">
        <f t="shared" si="257"/>
        <v>0</v>
      </c>
      <c r="AG69" s="1312">
        <f t="shared" si="258"/>
        <v>0</v>
      </c>
      <c r="AH69" s="1685"/>
      <c r="AI69" s="1313">
        <f t="shared" si="259"/>
        <v>0</v>
      </c>
      <c r="AJ69" s="1312">
        <f t="shared" si="260"/>
        <v>0</v>
      </c>
      <c r="AK69" s="1685"/>
      <c r="AL69" s="1313">
        <f t="shared" si="261"/>
        <v>0</v>
      </c>
      <c r="AM69" s="1312">
        <f t="shared" si="262"/>
        <v>0</v>
      </c>
      <c r="AN69" s="1685"/>
      <c r="AO69" s="1313">
        <f t="shared" si="263"/>
        <v>0</v>
      </c>
      <c r="AP69" s="1312">
        <f t="shared" si="264"/>
        <v>0</v>
      </c>
      <c r="AQ69" s="1685"/>
      <c r="AR69" s="1313">
        <f t="shared" si="265"/>
        <v>0</v>
      </c>
      <c r="AS69" s="1312">
        <f t="shared" si="266"/>
        <v>0</v>
      </c>
      <c r="AT69" s="1687"/>
      <c r="AU69" s="411"/>
      <c r="AV69" s="1757">
        <f t="shared" si="153"/>
        <v>0</v>
      </c>
      <c r="AW69" s="433"/>
      <c r="AX69" s="1576"/>
      <c r="AY69" s="1566" t="s">
        <v>327</v>
      </c>
      <c r="AZ69" s="1567" t="s">
        <v>300</v>
      </c>
      <c r="BA69" s="476"/>
      <c r="BB69" s="1634"/>
      <c r="BC69" s="1599">
        <v>0</v>
      </c>
      <c r="BD69" s="1600">
        <v>0</v>
      </c>
      <c r="BE69" s="1579"/>
      <c r="BF69" s="1609"/>
      <c r="BG69" s="1600">
        <v>0</v>
      </c>
      <c r="BH69" s="1579"/>
      <c r="BI69" s="1609"/>
      <c r="BJ69" s="1600">
        <v>0</v>
      </c>
      <c r="BK69" s="1666"/>
      <c r="BL69" s="1609"/>
      <c r="BM69" s="1600">
        <v>0</v>
      </c>
      <c r="BN69" s="1579"/>
      <c r="BO69" s="1609"/>
      <c r="BP69" s="1600">
        <v>0</v>
      </c>
      <c r="BQ69" s="1579"/>
      <c r="BR69" s="1609"/>
      <c r="BS69" s="1600">
        <v>0</v>
      </c>
      <c r="BT69" s="1634"/>
      <c r="BU69" s="1609"/>
      <c r="BV69" s="1600">
        <v>0</v>
      </c>
      <c r="BW69" s="1634"/>
      <c r="BX69" s="1609"/>
      <c r="BY69" s="1600">
        <v>0</v>
      </c>
      <c r="BZ69" s="1634"/>
      <c r="CA69" s="1609"/>
      <c r="CB69" s="1600">
        <v>0</v>
      </c>
      <c r="CC69" s="1634"/>
      <c r="CD69" s="1609"/>
      <c r="CE69" s="1600">
        <v>0</v>
      </c>
      <c r="CF69" s="1634"/>
      <c r="CG69" s="1609"/>
      <c r="CH69" s="1600">
        <v>0</v>
      </c>
      <c r="CI69" s="1634"/>
      <c r="CJ69" s="1257">
        <f t="shared" si="267"/>
        <v>0</v>
      </c>
      <c r="CK69" s="1395">
        <f t="shared" si="268"/>
        <v>0</v>
      </c>
      <c r="CL69" s="427"/>
      <c r="CM69" s="170"/>
      <c r="CN69" s="1576"/>
      <c r="CO69" s="428" t="str">
        <f t="shared" si="269"/>
        <v>Purchase Land</v>
      </c>
      <c r="CP69" s="475" t="s">
        <v>300</v>
      </c>
      <c r="CQ69" s="477"/>
      <c r="CR69" s="1705"/>
      <c r="CS69" s="478"/>
      <c r="CT69" s="478">
        <f t="shared" si="270"/>
        <v>0</v>
      </c>
      <c r="CU69" s="1705"/>
      <c r="CV69" s="478"/>
      <c r="CW69" s="434">
        <f t="shared" si="271"/>
        <v>0</v>
      </c>
      <c r="CX69" s="443"/>
      <c r="CY69" s="432">
        <v>0</v>
      </c>
      <c r="CZ69" s="434">
        <f t="shared" si="272"/>
        <v>0</v>
      </c>
      <c r="DA69" s="443"/>
      <c r="DB69" s="432">
        <v>0</v>
      </c>
      <c r="DC69" s="434">
        <f t="shared" si="273"/>
        <v>0</v>
      </c>
      <c r="DD69" s="443"/>
      <c r="DE69" s="432">
        <v>0</v>
      </c>
      <c r="DF69" s="434">
        <f t="shared" si="274"/>
        <v>0</v>
      </c>
      <c r="DG69" s="443"/>
      <c r="DH69" s="432">
        <v>0</v>
      </c>
      <c r="DI69" s="434">
        <f t="shared" si="275"/>
        <v>0</v>
      </c>
      <c r="DJ69" s="443"/>
      <c r="DK69" s="432">
        <v>0</v>
      </c>
      <c r="DL69" s="434">
        <f t="shared" si="276"/>
        <v>0</v>
      </c>
      <c r="DM69" s="443"/>
      <c r="DN69" s="432">
        <v>0</v>
      </c>
      <c r="DO69" s="434">
        <f t="shared" si="277"/>
        <v>0</v>
      </c>
      <c r="DP69" s="443"/>
      <c r="DQ69" s="432">
        <v>0</v>
      </c>
      <c r="DR69" s="434">
        <f t="shared" si="278"/>
        <v>0</v>
      </c>
      <c r="DS69" s="443"/>
      <c r="DT69" s="432">
        <v>0</v>
      </c>
      <c r="DU69" s="434">
        <f t="shared" si="279"/>
        <v>0</v>
      </c>
      <c r="DV69" s="443"/>
      <c r="DW69" s="432">
        <v>0</v>
      </c>
      <c r="DX69" s="434">
        <f t="shared" si="280"/>
        <v>0</v>
      </c>
      <c r="DY69" s="443"/>
      <c r="DZ69" s="432">
        <f t="shared" si="281"/>
        <v>0</v>
      </c>
      <c r="EA69" s="444">
        <f t="shared" si="282"/>
        <v>0</v>
      </c>
      <c r="EB69" s="433"/>
      <c r="EC69" s="433"/>
      <c r="ED69" s="170"/>
      <c r="EE69" s="170"/>
      <c r="EF69" s="170"/>
      <c r="EG69" s="170"/>
      <c r="EH69" s="170"/>
      <c r="EI69" s="170"/>
      <c r="EJ69" s="170"/>
      <c r="EK69" s="170"/>
    </row>
    <row r="70" spans="1:141" ht="15" x14ac:dyDescent="0.25">
      <c r="A70" s="433"/>
      <c r="B70" s="424">
        <v>4</v>
      </c>
      <c r="C70" s="424">
        <v>3</v>
      </c>
      <c r="D70" s="424">
        <v>4</v>
      </c>
      <c r="E70" s="425">
        <v>1</v>
      </c>
      <c r="F70" s="1576" t="s">
        <v>3426</v>
      </c>
      <c r="G70" s="1308" t="str">
        <f t="shared" si="244"/>
        <v>Easements</v>
      </c>
      <c r="H70" s="1336" t="s">
        <v>300</v>
      </c>
      <c r="I70" s="1310">
        <f t="shared" ref="I70" si="283">+BA70</f>
        <v>0</v>
      </c>
      <c r="J70" s="1719"/>
      <c r="K70" s="1311">
        <f t="shared" ref="K70" si="284">+BC70</f>
        <v>0</v>
      </c>
      <c r="L70" s="1312">
        <f t="shared" ref="L70" si="285">+BD70</f>
        <v>0</v>
      </c>
      <c r="M70" s="1719"/>
      <c r="N70" s="1313">
        <f>+BF70</f>
        <v>0</v>
      </c>
      <c r="O70" s="1312">
        <f t="shared" si="246"/>
        <v>0</v>
      </c>
      <c r="P70" s="1685"/>
      <c r="Q70" s="1313">
        <f t="shared" si="247"/>
        <v>0</v>
      </c>
      <c r="R70" s="1312">
        <f t="shared" si="248"/>
        <v>0</v>
      </c>
      <c r="S70" s="1685"/>
      <c r="T70" s="1313">
        <f t="shared" si="249"/>
        <v>0</v>
      </c>
      <c r="U70" s="1312">
        <f t="shared" si="250"/>
        <v>0</v>
      </c>
      <c r="V70" s="1685"/>
      <c r="W70" s="1313">
        <f t="shared" si="251"/>
        <v>0</v>
      </c>
      <c r="X70" s="1312">
        <f t="shared" si="252"/>
        <v>0</v>
      </c>
      <c r="Y70" s="1685"/>
      <c r="Z70" s="1313">
        <f t="shared" si="253"/>
        <v>0</v>
      </c>
      <c r="AA70" s="1312">
        <f t="shared" si="254"/>
        <v>0</v>
      </c>
      <c r="AB70" s="1685"/>
      <c r="AC70" s="1313">
        <f t="shared" si="255"/>
        <v>0</v>
      </c>
      <c r="AD70" s="1312">
        <f t="shared" si="256"/>
        <v>0</v>
      </c>
      <c r="AE70" s="1685"/>
      <c r="AF70" s="1313">
        <f t="shared" si="257"/>
        <v>0</v>
      </c>
      <c r="AG70" s="1312">
        <f t="shared" si="258"/>
        <v>0</v>
      </c>
      <c r="AH70" s="1685"/>
      <c r="AI70" s="1313">
        <f t="shared" si="259"/>
        <v>0</v>
      </c>
      <c r="AJ70" s="1312">
        <f t="shared" si="260"/>
        <v>0</v>
      </c>
      <c r="AK70" s="1685"/>
      <c r="AL70" s="1313">
        <f t="shared" si="261"/>
        <v>0</v>
      </c>
      <c r="AM70" s="1312">
        <f t="shared" si="262"/>
        <v>0</v>
      </c>
      <c r="AN70" s="1685"/>
      <c r="AO70" s="1313">
        <f t="shared" si="263"/>
        <v>0</v>
      </c>
      <c r="AP70" s="1312">
        <f t="shared" si="264"/>
        <v>0</v>
      </c>
      <c r="AQ70" s="1685"/>
      <c r="AR70" s="1313">
        <f t="shared" ref="AR70" si="286">+Z70+W70+T70+Q70+N70+K70+AC70+AF70+AI70+AL70+AO70</f>
        <v>0</v>
      </c>
      <c r="AS70" s="1312">
        <f t="shared" ref="AS70" si="287">+AA70+X70+U70+R70+O70+L70+AD70+AG70+AJ70+AM70+AP70</f>
        <v>0</v>
      </c>
      <c r="AT70" s="1687"/>
      <c r="AU70" s="411"/>
      <c r="AV70" s="1757">
        <f t="shared" ref="AV70" si="288">+CK70+EA70</f>
        <v>0</v>
      </c>
      <c r="AW70" s="433"/>
      <c r="AX70" s="1576"/>
      <c r="AY70" s="1566" t="s">
        <v>3096</v>
      </c>
      <c r="AZ70" s="1567" t="s">
        <v>300</v>
      </c>
      <c r="BA70" s="476"/>
      <c r="BB70" s="1634"/>
      <c r="BC70" s="1599">
        <v>0</v>
      </c>
      <c r="BD70" s="1600">
        <v>0</v>
      </c>
      <c r="BE70" s="1579"/>
      <c r="BF70" s="1609"/>
      <c r="BG70" s="1600">
        <v>0</v>
      </c>
      <c r="BH70" s="1579"/>
      <c r="BI70" s="1609"/>
      <c r="BJ70" s="1600">
        <v>0</v>
      </c>
      <c r="BK70" s="1666"/>
      <c r="BL70" s="1609"/>
      <c r="BM70" s="1600">
        <v>0</v>
      </c>
      <c r="BN70" s="1579"/>
      <c r="BO70" s="1609"/>
      <c r="BP70" s="1600">
        <v>0</v>
      </c>
      <c r="BQ70" s="1579"/>
      <c r="BR70" s="1609"/>
      <c r="BS70" s="1600">
        <v>0</v>
      </c>
      <c r="BT70" s="1634"/>
      <c r="BU70" s="1609"/>
      <c r="BV70" s="1600">
        <v>0</v>
      </c>
      <c r="BW70" s="1634"/>
      <c r="BX70" s="1609"/>
      <c r="BY70" s="1600">
        <v>0</v>
      </c>
      <c r="BZ70" s="1634"/>
      <c r="CA70" s="1609"/>
      <c r="CB70" s="1600">
        <v>0</v>
      </c>
      <c r="CC70" s="1634"/>
      <c r="CD70" s="1609"/>
      <c r="CE70" s="1600">
        <v>0</v>
      </c>
      <c r="CF70" s="1634"/>
      <c r="CG70" s="1609"/>
      <c r="CH70" s="1600">
        <v>0</v>
      </c>
      <c r="CI70" s="1634"/>
      <c r="CJ70" s="1257">
        <f t="shared" ref="CJ70" si="289">+BR70+BO70+BL70+BI70+BF70+BC70+BU70+BX70+CA70+CD70+CG70</f>
        <v>0</v>
      </c>
      <c r="CK70" s="1395">
        <f t="shared" ref="CK70" si="290">+BS70+BP70+BM70+BJ70+BG70+BD70+BV70+BY70+CB70+CE70+CH70</f>
        <v>0</v>
      </c>
      <c r="CL70" s="427"/>
      <c r="CM70" s="170"/>
      <c r="CN70" s="1576"/>
      <c r="CO70" s="428" t="str">
        <f t="shared" si="269"/>
        <v>Easements</v>
      </c>
      <c r="CP70" s="475" t="s">
        <v>300</v>
      </c>
      <c r="CQ70" s="477"/>
      <c r="CR70" s="1705"/>
      <c r="CS70" s="478"/>
      <c r="CT70" s="478">
        <f t="shared" si="270"/>
        <v>0</v>
      </c>
      <c r="CU70" s="1705"/>
      <c r="CV70" s="478"/>
      <c r="CW70" s="434">
        <f t="shared" si="271"/>
        <v>0</v>
      </c>
      <c r="CX70" s="443"/>
      <c r="CY70" s="432">
        <v>0</v>
      </c>
      <c r="CZ70" s="434">
        <f t="shared" si="272"/>
        <v>0</v>
      </c>
      <c r="DA70" s="443"/>
      <c r="DB70" s="432">
        <v>0</v>
      </c>
      <c r="DC70" s="434">
        <f t="shared" si="273"/>
        <v>0</v>
      </c>
      <c r="DD70" s="443"/>
      <c r="DE70" s="432">
        <v>0</v>
      </c>
      <c r="DF70" s="434">
        <f t="shared" si="274"/>
        <v>0</v>
      </c>
      <c r="DG70" s="443"/>
      <c r="DH70" s="432">
        <v>0</v>
      </c>
      <c r="DI70" s="434">
        <f t="shared" si="275"/>
        <v>0</v>
      </c>
      <c r="DJ70" s="443"/>
      <c r="DK70" s="432">
        <v>0</v>
      </c>
      <c r="DL70" s="434">
        <f t="shared" si="276"/>
        <v>0</v>
      </c>
      <c r="DM70" s="443"/>
      <c r="DN70" s="432">
        <v>0</v>
      </c>
      <c r="DO70" s="434">
        <f t="shared" si="277"/>
        <v>0</v>
      </c>
      <c r="DP70" s="443"/>
      <c r="DQ70" s="432">
        <v>0</v>
      </c>
      <c r="DR70" s="434">
        <f t="shared" si="278"/>
        <v>0</v>
      </c>
      <c r="DS70" s="443"/>
      <c r="DT70" s="432">
        <v>0</v>
      </c>
      <c r="DU70" s="434">
        <f t="shared" si="279"/>
        <v>0</v>
      </c>
      <c r="DV70" s="443"/>
      <c r="DW70" s="432">
        <v>0</v>
      </c>
      <c r="DX70" s="434">
        <f t="shared" si="280"/>
        <v>0</v>
      </c>
      <c r="DY70" s="443"/>
      <c r="DZ70" s="432">
        <f t="shared" ref="DZ70" si="291">+DH70+DE70+DB70+CY70+CV70+CS70+DK70+DN70+DQ70+DT70+DW70</f>
        <v>0</v>
      </c>
      <c r="EA70" s="444">
        <f t="shared" ref="EA70" si="292">+DI70+DF70+DC70+CZ70+CW70+CT70+DL70+DO70+DR70+DU70+DX70</f>
        <v>0</v>
      </c>
      <c r="EB70" s="433"/>
      <c r="EC70" s="433"/>
      <c r="ED70" s="170"/>
      <c r="EE70" s="170"/>
      <c r="EF70" s="170"/>
      <c r="EG70" s="170"/>
      <c r="EH70" s="170"/>
      <c r="EI70" s="170"/>
      <c r="EJ70" s="170"/>
      <c r="EK70" s="170"/>
    </row>
    <row r="71" spans="1:141" ht="15" x14ac:dyDescent="0.25">
      <c r="A71" s="170"/>
      <c r="B71" s="424">
        <v>5</v>
      </c>
      <c r="C71" s="424">
        <v>3</v>
      </c>
      <c r="D71" s="424">
        <v>6</v>
      </c>
      <c r="E71" s="425">
        <v>1</v>
      </c>
      <c r="F71" s="493"/>
      <c r="G71" s="1308" t="str">
        <f t="shared" si="244"/>
        <v>Vehicles ( now in indirects section)</v>
      </c>
      <c r="H71" s="1309" t="s">
        <v>304</v>
      </c>
      <c r="I71" s="1310">
        <f t="shared" si="91"/>
        <v>0</v>
      </c>
      <c r="J71" s="1685"/>
      <c r="K71" s="1311">
        <f t="shared" si="245"/>
        <v>0</v>
      </c>
      <c r="L71" s="1312">
        <f t="shared" si="245"/>
        <v>0</v>
      </c>
      <c r="M71" s="1685"/>
      <c r="N71" s="1311"/>
      <c r="O71" s="1312">
        <f t="shared" ca="1" si="246"/>
        <v>0</v>
      </c>
      <c r="P71" s="1685"/>
      <c r="Q71" s="1313">
        <f t="shared" si="247"/>
        <v>0</v>
      </c>
      <c r="R71" s="1312">
        <f t="shared" ca="1" si="248"/>
        <v>0</v>
      </c>
      <c r="S71" s="1685"/>
      <c r="T71" s="1313">
        <f t="shared" si="249"/>
        <v>0</v>
      </c>
      <c r="U71" s="1312">
        <f t="shared" ca="1" si="250"/>
        <v>0</v>
      </c>
      <c r="V71" s="1685"/>
      <c r="W71" s="1313">
        <f t="shared" si="251"/>
        <v>0</v>
      </c>
      <c r="X71" s="1312">
        <f t="shared" ca="1" si="252"/>
        <v>0</v>
      </c>
      <c r="Y71" s="1685"/>
      <c r="Z71" s="1313">
        <f t="shared" si="253"/>
        <v>0</v>
      </c>
      <c r="AA71" s="1312">
        <f t="shared" ca="1" si="254"/>
        <v>0</v>
      </c>
      <c r="AB71" s="1685"/>
      <c r="AC71" s="1313">
        <f t="shared" si="255"/>
        <v>0</v>
      </c>
      <c r="AD71" s="1312">
        <f t="shared" ca="1" si="256"/>
        <v>0</v>
      </c>
      <c r="AE71" s="1685"/>
      <c r="AF71" s="1313">
        <f t="shared" si="257"/>
        <v>0</v>
      </c>
      <c r="AG71" s="1312">
        <f t="shared" ca="1" si="258"/>
        <v>0</v>
      </c>
      <c r="AH71" s="1685"/>
      <c r="AI71" s="1313">
        <f t="shared" si="259"/>
        <v>0</v>
      </c>
      <c r="AJ71" s="1312">
        <f t="shared" ca="1" si="260"/>
        <v>0</v>
      </c>
      <c r="AK71" s="1685"/>
      <c r="AL71" s="1313">
        <f t="shared" si="261"/>
        <v>0</v>
      </c>
      <c r="AM71" s="1312">
        <f t="shared" ca="1" si="262"/>
        <v>0</v>
      </c>
      <c r="AN71" s="1685"/>
      <c r="AO71" s="1313">
        <f t="shared" si="263"/>
        <v>0</v>
      </c>
      <c r="AP71" s="1312">
        <f t="shared" ca="1" si="264"/>
        <v>0</v>
      </c>
      <c r="AQ71" s="1685"/>
      <c r="AR71" s="1313">
        <f t="shared" si="265"/>
        <v>0</v>
      </c>
      <c r="AS71" s="1312">
        <f t="shared" ca="1" si="266"/>
        <v>0</v>
      </c>
      <c r="AT71" s="1687"/>
      <c r="AU71" s="411"/>
      <c r="AV71" s="1757">
        <f t="shared" ca="1" si="153"/>
        <v>0</v>
      </c>
      <c r="AW71" s="411"/>
      <c r="AX71" s="493"/>
      <c r="AY71" s="1566" t="s">
        <v>305</v>
      </c>
      <c r="AZ71" s="1567" t="s">
        <v>304</v>
      </c>
      <c r="BA71" s="446">
        <v>0</v>
      </c>
      <c r="BB71" s="1579"/>
      <c r="BC71" s="1599">
        <v>0</v>
      </c>
      <c r="BD71" s="1600">
        <v>0</v>
      </c>
      <c r="BE71" s="1579"/>
      <c r="BF71" s="1469"/>
      <c r="BG71" s="445">
        <f ca="1">ROUND(SUM(BG67)*$BA71,0)</f>
        <v>0</v>
      </c>
      <c r="BH71" s="1579"/>
      <c r="BI71" s="1469"/>
      <c r="BJ71" s="445">
        <f ca="1">ROUND(SUM(BJ67)*$BA71,0)</f>
        <v>0</v>
      </c>
      <c r="BK71" s="1666"/>
      <c r="BL71" s="1469"/>
      <c r="BM71" s="445">
        <f ca="1">ROUND(SUM(BM67)*$BA71,0)</f>
        <v>0</v>
      </c>
      <c r="BN71" s="1579"/>
      <c r="BO71" s="1469"/>
      <c r="BP71" s="445">
        <f ca="1">ROUND(SUM(BP67)*$BA71,0)</f>
        <v>0</v>
      </c>
      <c r="BQ71" s="1579"/>
      <c r="BR71" s="1469"/>
      <c r="BS71" s="445">
        <f ca="1">ROUND(SUM(BS67)*$BA71,0)</f>
        <v>0</v>
      </c>
      <c r="BT71" s="1579"/>
      <c r="BU71" s="1469"/>
      <c r="BV71" s="445">
        <f ca="1">ROUND(SUM(BV67)*$BA71,0)</f>
        <v>0</v>
      </c>
      <c r="BW71" s="1579"/>
      <c r="BX71" s="1469"/>
      <c r="BY71" s="445">
        <f ca="1">ROUND(SUM(BY67)*$BA71,0)</f>
        <v>0</v>
      </c>
      <c r="BZ71" s="1579"/>
      <c r="CA71" s="1469"/>
      <c r="CB71" s="445">
        <f ca="1">ROUND(SUM(CB67)*$BA71,0)</f>
        <v>0</v>
      </c>
      <c r="CC71" s="1579"/>
      <c r="CD71" s="1469"/>
      <c r="CE71" s="445">
        <f ca="1">ROUND(SUM(CE67)*$BA71,0)</f>
        <v>0</v>
      </c>
      <c r="CF71" s="1579"/>
      <c r="CG71" s="1469"/>
      <c r="CH71" s="445">
        <f ca="1">ROUND(SUM(CH67)*$BA71,0)</f>
        <v>0</v>
      </c>
      <c r="CI71" s="1579"/>
      <c r="CJ71" s="1257">
        <f t="shared" si="267"/>
        <v>0</v>
      </c>
      <c r="CK71" s="1395">
        <f t="shared" ca="1" si="268"/>
        <v>0</v>
      </c>
      <c r="CL71" s="427"/>
      <c r="CM71" s="170"/>
      <c r="CN71" s="493"/>
      <c r="CO71" s="428" t="str">
        <f t="shared" si="269"/>
        <v>Vehicles ( now in indirects section)</v>
      </c>
      <c r="CP71" s="429" t="s">
        <v>304</v>
      </c>
      <c r="CQ71" s="441"/>
      <c r="CR71" s="443"/>
      <c r="CS71" s="430"/>
      <c r="CT71" s="444">
        <f t="shared" si="270"/>
        <v>0</v>
      </c>
      <c r="CU71" s="443"/>
      <c r="CV71" s="435">
        <v>0</v>
      </c>
      <c r="CW71" s="434">
        <f t="shared" ca="1" si="271"/>
        <v>0</v>
      </c>
      <c r="CX71" s="443"/>
      <c r="CY71" s="432">
        <v>0</v>
      </c>
      <c r="CZ71" s="434">
        <f t="shared" ca="1" si="272"/>
        <v>0</v>
      </c>
      <c r="DA71" s="443"/>
      <c r="DB71" s="432">
        <v>0</v>
      </c>
      <c r="DC71" s="434">
        <f t="shared" ca="1" si="273"/>
        <v>0</v>
      </c>
      <c r="DD71" s="443"/>
      <c r="DE71" s="432">
        <v>0</v>
      </c>
      <c r="DF71" s="434">
        <f t="shared" ca="1" si="274"/>
        <v>0</v>
      </c>
      <c r="DG71" s="443"/>
      <c r="DH71" s="432">
        <v>0</v>
      </c>
      <c r="DI71" s="434">
        <f t="shared" ca="1" si="275"/>
        <v>0</v>
      </c>
      <c r="DJ71" s="443"/>
      <c r="DK71" s="432">
        <v>0</v>
      </c>
      <c r="DL71" s="434">
        <f t="shared" ca="1" si="276"/>
        <v>0</v>
      </c>
      <c r="DM71" s="443"/>
      <c r="DN71" s="432">
        <v>0</v>
      </c>
      <c r="DO71" s="434">
        <f t="shared" ca="1" si="277"/>
        <v>0</v>
      </c>
      <c r="DP71" s="443"/>
      <c r="DQ71" s="432">
        <v>0</v>
      </c>
      <c r="DR71" s="434">
        <f t="shared" ca="1" si="278"/>
        <v>0</v>
      </c>
      <c r="DS71" s="443"/>
      <c r="DT71" s="432">
        <v>0</v>
      </c>
      <c r="DU71" s="434">
        <f t="shared" ca="1" si="279"/>
        <v>0</v>
      </c>
      <c r="DV71" s="443"/>
      <c r="DW71" s="432">
        <v>0</v>
      </c>
      <c r="DX71" s="434">
        <f t="shared" ca="1" si="280"/>
        <v>0</v>
      </c>
      <c r="DY71" s="443"/>
      <c r="DZ71" s="432">
        <f t="shared" si="281"/>
        <v>0</v>
      </c>
      <c r="EA71" s="444">
        <f t="shared" ca="1" si="282"/>
        <v>0</v>
      </c>
      <c r="EB71" s="433"/>
      <c r="EC71" s="170"/>
      <c r="ED71" s="170"/>
      <c r="EE71" s="170"/>
      <c r="EF71" s="170"/>
      <c r="EG71" s="170"/>
      <c r="EH71" s="170"/>
      <c r="EI71" s="170"/>
      <c r="EJ71" s="170"/>
      <c r="EK71" s="170"/>
    </row>
    <row r="72" spans="1:141" ht="15" x14ac:dyDescent="0.25">
      <c r="A72" s="170"/>
      <c r="B72" s="424">
        <v>5</v>
      </c>
      <c r="C72" s="424">
        <v>3</v>
      </c>
      <c r="D72" s="424">
        <v>6</v>
      </c>
      <c r="E72" s="425">
        <v>1</v>
      </c>
      <c r="F72" s="493"/>
      <c r="G72" s="1308" t="str">
        <f t="shared" si="244"/>
        <v>Fees and Payments</v>
      </c>
      <c r="H72" s="1309" t="s">
        <v>328</v>
      </c>
      <c r="I72" s="1310">
        <f t="shared" si="91"/>
        <v>0</v>
      </c>
      <c r="J72" s="1687"/>
      <c r="K72" s="1311">
        <f t="shared" si="245"/>
        <v>0</v>
      </c>
      <c r="L72" s="1312">
        <f t="shared" si="245"/>
        <v>0</v>
      </c>
      <c r="M72" s="1687"/>
      <c r="N72" s="1304"/>
      <c r="O72" s="1312">
        <f t="shared" si="246"/>
        <v>0</v>
      </c>
      <c r="P72" s="1685"/>
      <c r="Q72" s="1313">
        <f t="shared" si="247"/>
        <v>0</v>
      </c>
      <c r="R72" s="1312">
        <f t="shared" si="248"/>
        <v>0</v>
      </c>
      <c r="S72" s="1685"/>
      <c r="T72" s="1313">
        <f t="shared" si="249"/>
        <v>0</v>
      </c>
      <c r="U72" s="1312">
        <f t="shared" si="250"/>
        <v>0</v>
      </c>
      <c r="V72" s="1685"/>
      <c r="W72" s="1313">
        <f t="shared" si="251"/>
        <v>0</v>
      </c>
      <c r="X72" s="1312">
        <f t="shared" si="252"/>
        <v>0</v>
      </c>
      <c r="Y72" s="1685"/>
      <c r="Z72" s="1313">
        <f t="shared" si="253"/>
        <v>0</v>
      </c>
      <c r="AA72" s="1312">
        <f t="shared" si="254"/>
        <v>0</v>
      </c>
      <c r="AB72" s="1685"/>
      <c r="AC72" s="1313">
        <f t="shared" si="255"/>
        <v>0</v>
      </c>
      <c r="AD72" s="1312">
        <f t="shared" si="256"/>
        <v>0</v>
      </c>
      <c r="AE72" s="1685"/>
      <c r="AF72" s="1313">
        <f t="shared" si="257"/>
        <v>0</v>
      </c>
      <c r="AG72" s="1312">
        <f t="shared" si="258"/>
        <v>0</v>
      </c>
      <c r="AH72" s="1685"/>
      <c r="AI72" s="1313">
        <f t="shared" si="259"/>
        <v>0</v>
      </c>
      <c r="AJ72" s="1312">
        <f t="shared" si="260"/>
        <v>0</v>
      </c>
      <c r="AK72" s="1685"/>
      <c r="AL72" s="1313">
        <f t="shared" si="261"/>
        <v>0</v>
      </c>
      <c r="AM72" s="1312">
        <f t="shared" si="262"/>
        <v>0</v>
      </c>
      <c r="AN72" s="1685"/>
      <c r="AO72" s="1313">
        <f t="shared" si="263"/>
        <v>0</v>
      </c>
      <c r="AP72" s="1312">
        <f t="shared" si="264"/>
        <v>0</v>
      </c>
      <c r="AQ72" s="1685"/>
      <c r="AR72" s="1313">
        <f t="shared" si="265"/>
        <v>0</v>
      </c>
      <c r="AS72" s="1312">
        <f t="shared" si="266"/>
        <v>0</v>
      </c>
      <c r="AT72" s="1687"/>
      <c r="AU72" s="411"/>
      <c r="AV72" s="1757">
        <f t="shared" si="153"/>
        <v>0</v>
      </c>
      <c r="AW72" s="411"/>
      <c r="AX72" s="493"/>
      <c r="AY72" s="1566" t="s">
        <v>329</v>
      </c>
      <c r="AZ72" s="1567" t="s">
        <v>328</v>
      </c>
      <c r="BA72" s="479"/>
      <c r="BB72" s="1632"/>
      <c r="BC72" s="1599">
        <v>0</v>
      </c>
      <c r="BD72" s="1600">
        <v>0</v>
      </c>
      <c r="BE72" s="1632"/>
      <c r="BF72" s="1645"/>
      <c r="BG72" s="1600"/>
      <c r="BH72" s="1632"/>
      <c r="BI72" s="1645"/>
      <c r="BJ72" s="1600"/>
      <c r="BK72" s="1667"/>
      <c r="BL72" s="1645"/>
      <c r="BM72" s="1600"/>
      <c r="BN72" s="1632"/>
      <c r="BO72" s="1645"/>
      <c r="BP72" s="1600"/>
      <c r="BQ72" s="1632"/>
      <c r="BR72" s="1645"/>
      <c r="BS72" s="1600"/>
      <c r="BT72" s="1632"/>
      <c r="BU72" s="1645"/>
      <c r="BV72" s="1600"/>
      <c r="BW72" s="1632"/>
      <c r="BX72" s="1645"/>
      <c r="BY72" s="1600"/>
      <c r="BZ72" s="1632"/>
      <c r="CA72" s="1645"/>
      <c r="CB72" s="1600"/>
      <c r="CC72" s="1632"/>
      <c r="CD72" s="1645"/>
      <c r="CE72" s="1600"/>
      <c r="CF72" s="1632"/>
      <c r="CG72" s="1645"/>
      <c r="CH72" s="1600"/>
      <c r="CI72" s="1632"/>
      <c r="CJ72" s="1257">
        <f t="shared" si="267"/>
        <v>0</v>
      </c>
      <c r="CK72" s="1395">
        <f t="shared" si="268"/>
        <v>0</v>
      </c>
      <c r="CL72" s="450"/>
      <c r="CM72" s="170"/>
      <c r="CN72" s="493"/>
      <c r="CO72" s="428" t="str">
        <f t="shared" si="269"/>
        <v>Fees and Payments</v>
      </c>
      <c r="CP72" s="429" t="s">
        <v>328</v>
      </c>
      <c r="CQ72" s="480"/>
      <c r="CR72" s="1703"/>
      <c r="CS72" s="1697"/>
      <c r="CT72" s="452">
        <f t="shared" si="270"/>
        <v>0</v>
      </c>
      <c r="CU72" s="1703"/>
      <c r="CV72" s="1697"/>
      <c r="CW72" s="434">
        <f t="shared" si="271"/>
        <v>0</v>
      </c>
      <c r="CX72" s="443"/>
      <c r="CY72" s="432">
        <v>0</v>
      </c>
      <c r="CZ72" s="434">
        <f t="shared" si="272"/>
        <v>0</v>
      </c>
      <c r="DA72" s="443"/>
      <c r="DB72" s="432">
        <v>0</v>
      </c>
      <c r="DC72" s="434">
        <f t="shared" si="273"/>
        <v>0</v>
      </c>
      <c r="DD72" s="443"/>
      <c r="DE72" s="432">
        <v>0</v>
      </c>
      <c r="DF72" s="434">
        <f t="shared" si="274"/>
        <v>0</v>
      </c>
      <c r="DG72" s="443"/>
      <c r="DH72" s="432">
        <v>0</v>
      </c>
      <c r="DI72" s="434">
        <f t="shared" si="275"/>
        <v>0</v>
      </c>
      <c r="DJ72" s="443"/>
      <c r="DK72" s="432">
        <v>0</v>
      </c>
      <c r="DL72" s="434">
        <f t="shared" si="276"/>
        <v>0</v>
      </c>
      <c r="DM72" s="443"/>
      <c r="DN72" s="432">
        <v>0</v>
      </c>
      <c r="DO72" s="434">
        <f t="shared" si="277"/>
        <v>0</v>
      </c>
      <c r="DP72" s="443"/>
      <c r="DQ72" s="432">
        <v>0</v>
      </c>
      <c r="DR72" s="434">
        <f t="shared" si="278"/>
        <v>0</v>
      </c>
      <c r="DS72" s="443"/>
      <c r="DT72" s="432">
        <v>0</v>
      </c>
      <c r="DU72" s="434">
        <f t="shared" si="279"/>
        <v>0</v>
      </c>
      <c r="DV72" s="443"/>
      <c r="DW72" s="432">
        <v>0</v>
      </c>
      <c r="DX72" s="434">
        <f t="shared" si="280"/>
        <v>0</v>
      </c>
      <c r="DY72" s="443"/>
      <c r="DZ72" s="432">
        <f t="shared" si="281"/>
        <v>0</v>
      </c>
      <c r="EA72" s="444">
        <f t="shared" si="282"/>
        <v>0</v>
      </c>
      <c r="EB72" s="433"/>
      <c r="EC72" s="170"/>
      <c r="ED72" s="170"/>
      <c r="EE72" s="170"/>
      <c r="EF72" s="170"/>
      <c r="EG72" s="170"/>
      <c r="EH72" s="170"/>
      <c r="EI72" s="170"/>
      <c r="EJ72" s="170"/>
      <c r="EK72" s="170"/>
    </row>
    <row r="73" spans="1:141" ht="15" x14ac:dyDescent="0.25">
      <c r="A73" s="170"/>
      <c r="B73" s="472"/>
      <c r="C73" s="472"/>
      <c r="D73" s="472"/>
      <c r="E73" s="473"/>
      <c r="F73" s="493"/>
      <c r="G73" s="1321" t="s">
        <v>330</v>
      </c>
      <c r="H73" s="1308"/>
      <c r="I73" s="1310">
        <f t="shared" si="91"/>
        <v>0</v>
      </c>
      <c r="J73" s="1685"/>
      <c r="K73" s="1334">
        <f>SUM(K67:K72)</f>
        <v>0</v>
      </c>
      <c r="L73" s="1312">
        <f>SUM(L67:L72)</f>
        <v>0</v>
      </c>
      <c r="M73" s="1685"/>
      <c r="N73" s="1334">
        <f>SUM(N67:N72)</f>
        <v>0</v>
      </c>
      <c r="O73" s="1312">
        <f ca="1">SUM(O67:O72)</f>
        <v>0</v>
      </c>
      <c r="P73" s="1685"/>
      <c r="Q73" s="1334">
        <f>SUM(Q67:Q72)</f>
        <v>0</v>
      </c>
      <c r="R73" s="1312">
        <f ca="1">SUM(R67:R72)</f>
        <v>0</v>
      </c>
      <c r="S73" s="1685"/>
      <c r="T73" s="1334">
        <f>SUM(T67:T72)</f>
        <v>0</v>
      </c>
      <c r="U73" s="1312">
        <f ca="1">SUM(U67:U72)</f>
        <v>0</v>
      </c>
      <c r="V73" s="1685"/>
      <c r="W73" s="1334">
        <f>SUM(W67:W72)</f>
        <v>0</v>
      </c>
      <c r="X73" s="1312">
        <f ca="1">SUM(X67:X72)</f>
        <v>0</v>
      </c>
      <c r="Y73" s="1685"/>
      <c r="Z73" s="1334">
        <f>SUM(Z67:Z72)</f>
        <v>0</v>
      </c>
      <c r="AA73" s="1312">
        <f ca="1">SUM(AA67:AA72)</f>
        <v>0</v>
      </c>
      <c r="AB73" s="1685"/>
      <c r="AC73" s="1334">
        <f>SUM(AC67:AC72)</f>
        <v>0</v>
      </c>
      <c r="AD73" s="1312">
        <f ca="1">SUM(AD67:AD72)</f>
        <v>0</v>
      </c>
      <c r="AE73" s="1685"/>
      <c r="AF73" s="1334">
        <f>SUM(AF67:AF72)</f>
        <v>0</v>
      </c>
      <c r="AG73" s="1312">
        <f ca="1">SUM(AG67:AG72)</f>
        <v>0</v>
      </c>
      <c r="AH73" s="1685"/>
      <c r="AI73" s="1334">
        <f>SUM(AI67:AI72)</f>
        <v>0</v>
      </c>
      <c r="AJ73" s="1312">
        <f ca="1">SUM(AJ67:AJ72)</f>
        <v>0</v>
      </c>
      <c r="AK73" s="1685"/>
      <c r="AL73" s="1334">
        <f>SUM(AL67:AL72)</f>
        <v>0</v>
      </c>
      <c r="AM73" s="1312">
        <f ca="1">SUM(AM67:AM72)</f>
        <v>0</v>
      </c>
      <c r="AN73" s="1685"/>
      <c r="AO73" s="1334">
        <f>SUM(AO67:AO72)</f>
        <v>0</v>
      </c>
      <c r="AP73" s="1312">
        <f ca="1">SUM(AP67:AP72)</f>
        <v>0</v>
      </c>
      <c r="AQ73" s="1685"/>
      <c r="AR73" s="1334"/>
      <c r="AS73" s="1312">
        <f ca="1">SUM(AS67:AS72)</f>
        <v>0</v>
      </c>
      <c r="AT73" s="1687"/>
      <c r="AU73" s="411"/>
      <c r="AV73" s="1757">
        <f t="shared" ca="1" si="153"/>
        <v>0</v>
      </c>
      <c r="AW73" s="411"/>
      <c r="AX73" s="493"/>
      <c r="AY73" s="517" t="s">
        <v>330</v>
      </c>
      <c r="AZ73" s="1256"/>
      <c r="BA73" s="1570"/>
      <c r="BB73" s="1579"/>
      <c r="BC73" s="1257"/>
      <c r="BD73" s="1284">
        <f>SUM(BD67:BD72)</f>
        <v>0</v>
      </c>
      <c r="BE73" s="1579"/>
      <c r="BF73" s="1469"/>
      <c r="BG73" s="1284">
        <f ca="1">SUM(BG67:BG72)</f>
        <v>0</v>
      </c>
      <c r="BH73" s="1579"/>
      <c r="BI73" s="1469"/>
      <c r="BJ73" s="1284">
        <f ca="1">SUM(BJ67:BJ72)</f>
        <v>0</v>
      </c>
      <c r="BK73" s="1579"/>
      <c r="BL73" s="1469"/>
      <c r="BM73" s="1284">
        <f ca="1">SUM(BM67:BM72)</f>
        <v>0</v>
      </c>
      <c r="BN73" s="1579"/>
      <c r="BO73" s="1469"/>
      <c r="BP73" s="1284">
        <f ca="1">SUM(BP67:BP72)</f>
        <v>0</v>
      </c>
      <c r="BQ73" s="1579"/>
      <c r="BR73" s="1469"/>
      <c r="BS73" s="1284">
        <f ca="1">SUM(BS67:BS72)</f>
        <v>0</v>
      </c>
      <c r="BT73" s="1579"/>
      <c r="BU73" s="1469"/>
      <c r="BV73" s="1284">
        <f ca="1">SUM(BV67:BV72)</f>
        <v>0</v>
      </c>
      <c r="BW73" s="1579"/>
      <c r="BX73" s="1469"/>
      <c r="BY73" s="1284">
        <f ca="1">SUM(BY67:BY72)</f>
        <v>0</v>
      </c>
      <c r="BZ73" s="1579"/>
      <c r="CA73" s="1469"/>
      <c r="CB73" s="1284">
        <f ca="1">SUM(CB67:CB72)</f>
        <v>0</v>
      </c>
      <c r="CC73" s="1579"/>
      <c r="CD73" s="1469"/>
      <c r="CE73" s="1284">
        <f ca="1">SUM(CE67:CE72)</f>
        <v>0</v>
      </c>
      <c r="CF73" s="1579"/>
      <c r="CG73" s="1469"/>
      <c r="CH73" s="1284">
        <f ca="1">SUM(CH67:CH72)</f>
        <v>0</v>
      </c>
      <c r="CI73" s="1579"/>
      <c r="CJ73" s="1469"/>
      <c r="CK73" s="1284">
        <f ca="1">SUM(CK67:CK72)</f>
        <v>0</v>
      </c>
      <c r="CL73" s="427"/>
      <c r="CM73" s="170"/>
      <c r="CN73" s="493"/>
      <c r="CO73" s="456" t="s">
        <v>330</v>
      </c>
      <c r="CP73" s="428"/>
      <c r="CQ73" s="475"/>
      <c r="CR73" s="443"/>
      <c r="CS73" s="430"/>
      <c r="CT73" s="431">
        <f>SUM(CT67:CT72)</f>
        <v>0</v>
      </c>
      <c r="CU73" s="443"/>
      <c r="CV73" s="430"/>
      <c r="CW73" s="431">
        <f ca="1">SUM(CW67:CW72)</f>
        <v>0</v>
      </c>
      <c r="CX73" s="443"/>
      <c r="CY73" s="430"/>
      <c r="CZ73" s="431">
        <f ca="1">SUM(CZ67:CZ72)</f>
        <v>0</v>
      </c>
      <c r="DA73" s="443"/>
      <c r="DB73" s="430"/>
      <c r="DC73" s="431">
        <f ca="1">SUM(DC67:DC72)</f>
        <v>0</v>
      </c>
      <c r="DD73" s="443"/>
      <c r="DE73" s="430"/>
      <c r="DF73" s="431">
        <f ca="1">SUM(DF67:DF72)</f>
        <v>0</v>
      </c>
      <c r="DG73" s="443"/>
      <c r="DH73" s="430"/>
      <c r="DI73" s="431">
        <f ca="1">SUM(DI67:DI72)</f>
        <v>0</v>
      </c>
      <c r="DJ73" s="443"/>
      <c r="DK73" s="430"/>
      <c r="DL73" s="431">
        <f ca="1">SUM(DL67:DL72)</f>
        <v>0</v>
      </c>
      <c r="DM73" s="443"/>
      <c r="DN73" s="430"/>
      <c r="DO73" s="431">
        <f ca="1">SUM(DO67:DO72)</f>
        <v>0</v>
      </c>
      <c r="DP73" s="443"/>
      <c r="DQ73" s="430"/>
      <c r="DR73" s="431">
        <f ca="1">SUM(DR67:DR72)</f>
        <v>0</v>
      </c>
      <c r="DS73" s="443"/>
      <c r="DT73" s="430"/>
      <c r="DU73" s="431">
        <f ca="1">SUM(DU67:DU72)</f>
        <v>0</v>
      </c>
      <c r="DV73" s="443"/>
      <c r="DW73" s="430"/>
      <c r="DX73" s="431">
        <f ca="1">SUM(DX67:DX72)</f>
        <v>0</v>
      </c>
      <c r="DY73" s="443"/>
      <c r="DZ73" s="430"/>
      <c r="EA73" s="444">
        <f ca="1">SUM(EA67:EA72)</f>
        <v>0</v>
      </c>
      <c r="EB73" s="433"/>
      <c r="EC73" s="170"/>
      <c r="ED73" s="170"/>
      <c r="EE73" s="170"/>
      <c r="EF73" s="170"/>
      <c r="EG73" s="170"/>
      <c r="EH73" s="170"/>
      <c r="EI73" s="170"/>
      <c r="EJ73" s="170"/>
      <c r="EK73" s="170"/>
    </row>
    <row r="74" spans="1:141" ht="15" x14ac:dyDescent="0.25">
      <c r="A74" s="170"/>
      <c r="B74" s="424"/>
      <c r="C74" s="424">
        <v>9</v>
      </c>
      <c r="D74" s="424"/>
      <c r="E74" s="425">
        <v>99</v>
      </c>
      <c r="F74" s="493"/>
      <c r="G74" s="1308" t="str">
        <f>+AY74</f>
        <v>Escalation</v>
      </c>
      <c r="H74" s="1322"/>
      <c r="I74" s="1310">
        <f t="shared" si="91"/>
        <v>0</v>
      </c>
      <c r="J74" s="1687"/>
      <c r="K74" s="1311">
        <f>+BC74</f>
        <v>0</v>
      </c>
      <c r="L74" s="1312">
        <f>+BD74</f>
        <v>0</v>
      </c>
      <c r="M74" s="1687"/>
      <c r="N74" s="1323"/>
      <c r="O74" s="1312">
        <f>+BG74+CW74</f>
        <v>0</v>
      </c>
      <c r="P74" s="1685"/>
      <c r="Q74" s="1313">
        <f>+BI74</f>
        <v>0</v>
      </c>
      <c r="R74" s="1312">
        <f>+BJ74+CZ74</f>
        <v>0</v>
      </c>
      <c r="S74" s="1685"/>
      <c r="T74" s="1313">
        <f>+BL74</f>
        <v>0</v>
      </c>
      <c r="U74" s="1312">
        <f>+BM74+DC74</f>
        <v>0</v>
      </c>
      <c r="V74" s="1685"/>
      <c r="W74" s="1313">
        <f>+BO74</f>
        <v>0</v>
      </c>
      <c r="X74" s="1312">
        <f>+BP74+DF74</f>
        <v>0</v>
      </c>
      <c r="Y74" s="1685"/>
      <c r="Z74" s="1313">
        <f>+BR74</f>
        <v>0</v>
      </c>
      <c r="AA74" s="1312">
        <f>+BS74+DI74</f>
        <v>0</v>
      </c>
      <c r="AB74" s="1685"/>
      <c r="AC74" s="1313">
        <f>+BU74</f>
        <v>0</v>
      </c>
      <c r="AD74" s="1312">
        <f>+BV74+DL74</f>
        <v>0</v>
      </c>
      <c r="AE74" s="1685"/>
      <c r="AF74" s="1313">
        <f>+BX74</f>
        <v>0</v>
      </c>
      <c r="AG74" s="1312">
        <f>+BY74+DO74</f>
        <v>0</v>
      </c>
      <c r="AH74" s="1685"/>
      <c r="AI74" s="1313">
        <f>+CA74</f>
        <v>0</v>
      </c>
      <c r="AJ74" s="1312">
        <f>+CB74+DR74</f>
        <v>0</v>
      </c>
      <c r="AK74" s="1685"/>
      <c r="AL74" s="1313">
        <f>+CD74</f>
        <v>0</v>
      </c>
      <c r="AM74" s="1312">
        <f>+CE74+DU74</f>
        <v>0</v>
      </c>
      <c r="AN74" s="1685"/>
      <c r="AO74" s="1313">
        <f>+CG74</f>
        <v>0</v>
      </c>
      <c r="AP74" s="1312">
        <f>+CH74+DX74</f>
        <v>0</v>
      </c>
      <c r="AQ74" s="1685"/>
      <c r="AR74" s="1313">
        <f t="shared" ref="AR74:AR75" si="293">+Z74+W74+T74+Q74+N74+K74+AC74+AF74+AI74+AL74+AO74</f>
        <v>0</v>
      </c>
      <c r="AS74" s="1312">
        <f t="shared" ref="AS74:AS75" si="294">+AA74+X74+U74+R74+O74+L74+AD74+AG74+AJ74+AM74+AP74</f>
        <v>0</v>
      </c>
      <c r="AT74" s="1687"/>
      <c r="AU74" s="411"/>
      <c r="AV74" s="1757">
        <f t="shared" si="153"/>
        <v>0</v>
      </c>
      <c r="AW74" s="411"/>
      <c r="AX74" s="493"/>
      <c r="AY74" s="1561" t="s">
        <v>99</v>
      </c>
      <c r="AZ74" s="1561"/>
      <c r="BA74" s="1582"/>
      <c r="BB74" s="1632"/>
      <c r="BC74" s="1599">
        <v>0</v>
      </c>
      <c r="BD74" s="1600">
        <v>0</v>
      </c>
      <c r="BE74" s="1579"/>
      <c r="BF74" s="1609"/>
      <c r="BG74" s="1600"/>
      <c r="BH74" s="1579"/>
      <c r="BI74" s="1609"/>
      <c r="BJ74" s="1600"/>
      <c r="BK74" s="1666"/>
      <c r="BL74" s="1609"/>
      <c r="BM74" s="1600"/>
      <c r="BN74" s="1579"/>
      <c r="BO74" s="1609"/>
      <c r="BP74" s="1600"/>
      <c r="BQ74" s="1579"/>
      <c r="BR74" s="1609"/>
      <c r="BS74" s="1600"/>
      <c r="BT74" s="1579"/>
      <c r="BU74" s="1609"/>
      <c r="BV74" s="1600"/>
      <c r="BW74" s="1579"/>
      <c r="BX74" s="1609"/>
      <c r="BY74" s="1600"/>
      <c r="BZ74" s="1579"/>
      <c r="CA74" s="1609"/>
      <c r="CB74" s="1600"/>
      <c r="CC74" s="1579"/>
      <c r="CD74" s="1609"/>
      <c r="CE74" s="1600"/>
      <c r="CF74" s="1579"/>
      <c r="CG74" s="1609"/>
      <c r="CH74" s="1600"/>
      <c r="CI74" s="1579"/>
      <c r="CJ74" s="1257">
        <f t="shared" ref="CJ74:CJ75" si="295">+BR74+BO74+BL74+BI74+BF74+BC74+BU74+BX74+CA74+CD74+CG74</f>
        <v>0</v>
      </c>
      <c r="CK74" s="1395">
        <f t="shared" ref="CK74:CK75" si="296">+BS74+BP74+BM74+BJ74+BG74+BD74+BV74+BY74+CB74+CE74+CH74</f>
        <v>0</v>
      </c>
      <c r="CL74" s="427"/>
      <c r="CM74" s="170"/>
      <c r="CN74" s="493"/>
      <c r="CO74" s="428" t="str">
        <f>+AY74</f>
        <v>Escalation</v>
      </c>
      <c r="CP74" s="382"/>
      <c r="CQ74" s="385"/>
      <c r="CR74" s="1703"/>
      <c r="CS74" s="481"/>
      <c r="CT74" s="444">
        <f>L74-BD74</f>
        <v>0</v>
      </c>
      <c r="CU74" s="1703"/>
      <c r="CV74" s="481"/>
      <c r="CW74" s="444"/>
      <c r="CX74" s="1703"/>
      <c r="CY74" s="481"/>
      <c r="CZ74" s="444"/>
      <c r="DA74" s="1703"/>
      <c r="DB74" s="481"/>
      <c r="DC74" s="444"/>
      <c r="DD74" s="1703"/>
      <c r="DE74" s="481"/>
      <c r="DF74" s="444"/>
      <c r="DG74" s="1703"/>
      <c r="DH74" s="481"/>
      <c r="DI74" s="444"/>
      <c r="DJ74" s="1703"/>
      <c r="DK74" s="481"/>
      <c r="DL74" s="444"/>
      <c r="DM74" s="1703"/>
      <c r="DN74" s="481"/>
      <c r="DO74" s="444"/>
      <c r="DP74" s="1703"/>
      <c r="DQ74" s="481"/>
      <c r="DR74" s="444"/>
      <c r="DS74" s="1703"/>
      <c r="DT74" s="481"/>
      <c r="DU74" s="444"/>
      <c r="DV74" s="1703"/>
      <c r="DW74" s="481"/>
      <c r="DX74" s="444"/>
      <c r="DY74" s="1703"/>
      <c r="DZ74" s="481">
        <f t="shared" ref="DZ74:DZ75" si="297">+DH74+DE74+DB74+CY74+CV74+CS74+DK74+DN74+DQ74+DT74+DW74</f>
        <v>0</v>
      </c>
      <c r="EA74" s="444">
        <f t="shared" ref="EA74:EA75" si="298">+DI74+DF74+DC74+CZ74+CW74+CT74+DL74+DO74+DR74+DU74+DX74</f>
        <v>0</v>
      </c>
      <c r="EB74" s="433"/>
      <c r="EC74" s="170"/>
      <c r="ED74" s="170"/>
      <c r="EE74" s="170"/>
      <c r="EF74" s="170"/>
      <c r="EG74" s="170"/>
      <c r="EH74" s="170"/>
      <c r="EI74" s="170"/>
      <c r="EJ74" s="170"/>
      <c r="EK74" s="170"/>
    </row>
    <row r="75" spans="1:141" ht="15" x14ac:dyDescent="0.25">
      <c r="A75" s="170"/>
      <c r="B75" s="424">
        <v>5</v>
      </c>
      <c r="C75" s="424">
        <v>8</v>
      </c>
      <c r="D75" s="424">
        <v>6</v>
      </c>
      <c r="E75" s="425">
        <v>11</v>
      </c>
      <c r="F75" s="493"/>
      <c r="G75" s="1308">
        <f>+AY75</f>
        <v>0</v>
      </c>
      <c r="H75" s="1337" t="s">
        <v>309</v>
      </c>
      <c r="I75" s="1310">
        <f t="shared" si="91"/>
        <v>0</v>
      </c>
      <c r="J75" s="1684"/>
      <c r="K75" s="1311">
        <f>+BC75</f>
        <v>0</v>
      </c>
      <c r="L75" s="1312">
        <f>+BD75</f>
        <v>0</v>
      </c>
      <c r="M75" s="1684"/>
      <c r="N75" s="1304"/>
      <c r="O75" s="1312">
        <f ca="1">+BG75+CW75</f>
        <v>0</v>
      </c>
      <c r="P75" s="1685"/>
      <c r="Q75" s="1313">
        <f>+BI75</f>
        <v>0</v>
      </c>
      <c r="R75" s="1312">
        <f ca="1">+BJ75+CZ75</f>
        <v>0</v>
      </c>
      <c r="S75" s="1685"/>
      <c r="T75" s="1313">
        <f>+BL75</f>
        <v>0</v>
      </c>
      <c r="U75" s="1312">
        <f ca="1">+BM75+DC75</f>
        <v>0</v>
      </c>
      <c r="V75" s="1685"/>
      <c r="W75" s="1313">
        <f>+BO75</f>
        <v>0</v>
      </c>
      <c r="X75" s="1312">
        <f ca="1">+BP75+DF75</f>
        <v>0</v>
      </c>
      <c r="Y75" s="1685"/>
      <c r="Z75" s="1313">
        <f>+BR75</f>
        <v>0</v>
      </c>
      <c r="AA75" s="1312">
        <f ca="1">+BS75+DI75</f>
        <v>0</v>
      </c>
      <c r="AB75" s="1685"/>
      <c r="AC75" s="1313">
        <f>+BU75</f>
        <v>0</v>
      </c>
      <c r="AD75" s="1312">
        <f ca="1">+BV75+DL75</f>
        <v>0</v>
      </c>
      <c r="AE75" s="1685"/>
      <c r="AF75" s="1313">
        <f>+BX75</f>
        <v>0</v>
      </c>
      <c r="AG75" s="1312">
        <f ca="1">+BY75+DO75</f>
        <v>0</v>
      </c>
      <c r="AH75" s="1685"/>
      <c r="AI75" s="1313">
        <f>+CA75</f>
        <v>0</v>
      </c>
      <c r="AJ75" s="1312">
        <f ca="1">+CB75+DR75</f>
        <v>0</v>
      </c>
      <c r="AK75" s="1685"/>
      <c r="AL75" s="1313">
        <f>+CD75</f>
        <v>0</v>
      </c>
      <c r="AM75" s="1312">
        <f ca="1">+CE75+DU75</f>
        <v>0</v>
      </c>
      <c r="AN75" s="1685"/>
      <c r="AO75" s="1313">
        <f>+CG75</f>
        <v>0</v>
      </c>
      <c r="AP75" s="1312">
        <f ca="1">+CH75+DX75</f>
        <v>0</v>
      </c>
      <c r="AQ75" s="1685"/>
      <c r="AR75" s="1313">
        <f t="shared" si="293"/>
        <v>0</v>
      </c>
      <c r="AS75" s="1312">
        <f t="shared" ca="1" si="294"/>
        <v>0</v>
      </c>
      <c r="AT75" s="1687"/>
      <c r="AU75" s="411"/>
      <c r="AV75" s="1757">
        <f t="shared" ca="1" si="153"/>
        <v>0</v>
      </c>
      <c r="AW75" s="411"/>
      <c r="AX75" s="493"/>
      <c r="AY75" s="1583"/>
      <c r="AZ75" s="1584"/>
      <c r="BA75" s="482">
        <v>0</v>
      </c>
      <c r="BB75" s="1630"/>
      <c r="BC75" s="1599">
        <v>0</v>
      </c>
      <c r="BD75" s="1600">
        <v>0</v>
      </c>
      <c r="BE75" s="1656"/>
      <c r="BF75" s="1606"/>
      <c r="BG75" s="1607">
        <f ca="1">ROUND((+BG73+BG74)*$BA$75,0)*0</f>
        <v>0</v>
      </c>
      <c r="BH75" s="1660"/>
      <c r="BI75" s="1606"/>
      <c r="BJ75" s="1607">
        <f ca="1">ROUND((+BJ73+BJ74)*$BA$75,0)*0</f>
        <v>0</v>
      </c>
      <c r="BK75" s="1666"/>
      <c r="BL75" s="1606"/>
      <c r="BM75" s="1607">
        <f ca="1">ROUND((+BM73+BM74)*$BA$75,0)*0</f>
        <v>0</v>
      </c>
      <c r="BN75" s="1579"/>
      <c r="BO75" s="1606"/>
      <c r="BP75" s="1607">
        <f ca="1">ROUND((+BP73+BP74)*$BA$75,0)*0</f>
        <v>0</v>
      </c>
      <c r="BQ75" s="1579"/>
      <c r="BR75" s="1606"/>
      <c r="BS75" s="1607">
        <f ca="1">ROUND((+BS73+BS74)*$BA$75,0)*0</f>
        <v>0</v>
      </c>
      <c r="BT75" s="1656"/>
      <c r="BU75" s="1606"/>
      <c r="BV75" s="1607">
        <f ca="1">ROUND((+BV73+BV74)*$BA$75,0)*0</f>
        <v>0</v>
      </c>
      <c r="BW75" s="1656"/>
      <c r="BX75" s="1606"/>
      <c r="BY75" s="1607">
        <f ca="1">ROUND((+BY73+BY74)*$BA$75,0)*0</f>
        <v>0</v>
      </c>
      <c r="BZ75" s="1656"/>
      <c r="CA75" s="1606"/>
      <c r="CB75" s="1607">
        <f ca="1">ROUND((+CB73+CB74)*$BA$75,0)*0</f>
        <v>0</v>
      </c>
      <c r="CC75" s="1656"/>
      <c r="CD75" s="1606"/>
      <c r="CE75" s="1607">
        <f ca="1">ROUND((+CE73+CE74)*$BA$75,0)*0</f>
        <v>0</v>
      </c>
      <c r="CF75" s="1656"/>
      <c r="CG75" s="1606"/>
      <c r="CH75" s="1607">
        <f ca="1">ROUND((+CH73+CH74)*$BA$75,0)*0</f>
        <v>0</v>
      </c>
      <c r="CI75" s="1656"/>
      <c r="CJ75" s="1257">
        <f t="shared" si="295"/>
        <v>0</v>
      </c>
      <c r="CK75" s="1395">
        <f t="shared" ca="1" si="296"/>
        <v>0</v>
      </c>
      <c r="CL75" s="1730"/>
      <c r="CM75" s="170"/>
      <c r="CN75" s="493"/>
      <c r="CO75" s="428">
        <f>+AY75</f>
        <v>0</v>
      </c>
      <c r="CP75" s="483" t="s">
        <v>309</v>
      </c>
      <c r="CQ75" s="484"/>
      <c r="CR75" s="1702"/>
      <c r="CS75" s="421"/>
      <c r="CT75" s="431">
        <f>L75-BD75</f>
        <v>0</v>
      </c>
      <c r="CU75" s="1702"/>
      <c r="CV75" s="435">
        <v>0</v>
      </c>
      <c r="CW75" s="434">
        <f ca="1">(ROUND((+BG75*(1+CW$4)),0)-BG75)*'Data Input sheet'!$D$70</f>
        <v>0</v>
      </c>
      <c r="CX75" s="443"/>
      <c r="CY75" s="432"/>
      <c r="CZ75" s="434">
        <f ca="1">(ROUND((+BJ75*(1+CZ$4)),0)-BJ75)*'Data Input sheet'!$D$70</f>
        <v>0</v>
      </c>
      <c r="DA75" s="443"/>
      <c r="DB75" s="432"/>
      <c r="DC75" s="434">
        <f ca="1">(ROUND((+BM75*(1+DC$4)),0)-BM75)*'Data Input sheet'!$D$70</f>
        <v>0</v>
      </c>
      <c r="DD75" s="443"/>
      <c r="DE75" s="432">
        <v>0</v>
      </c>
      <c r="DF75" s="434">
        <f ca="1">(ROUND((+BP75*(1+DF$4)),0)-BP75)*'Data Input sheet'!$D$70</f>
        <v>0</v>
      </c>
      <c r="DG75" s="443"/>
      <c r="DH75" s="432">
        <v>0</v>
      </c>
      <c r="DI75" s="434">
        <f ca="1">(ROUND((+BS75*(1+DI$4)),0)-BS75)*'Data Input sheet'!$D$70</f>
        <v>0</v>
      </c>
      <c r="DJ75" s="443"/>
      <c r="DK75" s="432">
        <v>0</v>
      </c>
      <c r="DL75" s="434">
        <f ca="1">(ROUND((+BV75*(1+DL$4)),0)-BV75)*'Data Input sheet'!$D$70</f>
        <v>0</v>
      </c>
      <c r="DM75" s="443"/>
      <c r="DN75" s="432">
        <v>0</v>
      </c>
      <c r="DO75" s="434">
        <f ca="1">(ROUND((+BY75*(1+DO$4)),0)-BY75)*'Data Input sheet'!$D$70</f>
        <v>0</v>
      </c>
      <c r="DP75" s="443"/>
      <c r="DQ75" s="432">
        <v>0</v>
      </c>
      <c r="DR75" s="434">
        <f ca="1">(ROUND((+CB75*(1+DR$4)),0)-CB75)*'Data Input sheet'!$D$70</f>
        <v>0</v>
      </c>
      <c r="DS75" s="443"/>
      <c r="DT75" s="432">
        <v>0</v>
      </c>
      <c r="DU75" s="434">
        <f ca="1">(ROUND((+CE75*(1+DU$4)),0)-CE75)*'Data Input sheet'!$D$70</f>
        <v>0</v>
      </c>
      <c r="DV75" s="443"/>
      <c r="DW75" s="432">
        <v>0</v>
      </c>
      <c r="DX75" s="434">
        <f ca="1">(ROUND((+CH75*(1+DX$4)),0)-CH75)*'Data Input sheet'!$D$70</f>
        <v>0</v>
      </c>
      <c r="DY75" s="443"/>
      <c r="DZ75" s="432">
        <f t="shared" si="297"/>
        <v>0</v>
      </c>
      <c r="EA75" s="444">
        <f t="shared" ca="1" si="298"/>
        <v>0</v>
      </c>
      <c r="EB75" s="433"/>
      <c r="EC75" s="170"/>
      <c r="ED75" s="170"/>
      <c r="EE75" s="170"/>
      <c r="EF75" s="170"/>
      <c r="EG75" s="170"/>
      <c r="EH75" s="170"/>
      <c r="EI75" s="170"/>
      <c r="EJ75" s="170"/>
      <c r="EK75" s="170"/>
    </row>
    <row r="76" spans="1:141" ht="15.75" thickBot="1" x14ac:dyDescent="0.3">
      <c r="A76" s="170"/>
      <c r="B76" s="472"/>
      <c r="C76" s="472"/>
      <c r="D76" s="472"/>
      <c r="E76" s="473"/>
      <c r="F76" s="493"/>
      <c r="G76" s="1327" t="s">
        <v>331</v>
      </c>
      <c r="H76" s="1338"/>
      <c r="I76" s="1310">
        <f t="shared" si="91"/>
        <v>0</v>
      </c>
      <c r="J76" s="1688"/>
      <c r="K76" s="1335">
        <f>+K75+K74+K73</f>
        <v>0</v>
      </c>
      <c r="L76" s="1331">
        <f>+L75+L74+L73</f>
        <v>0</v>
      </c>
      <c r="M76" s="1688"/>
      <c r="N76" s="1335">
        <f>+N75+N74+N73</f>
        <v>0</v>
      </c>
      <c r="O76" s="1331">
        <f ca="1">+O75+O74+O73</f>
        <v>0</v>
      </c>
      <c r="P76" s="1688"/>
      <c r="Q76" s="1335">
        <f>+Q75+Q74+Q73</f>
        <v>0</v>
      </c>
      <c r="R76" s="1331">
        <f ca="1">+R75+R74+R73</f>
        <v>0</v>
      </c>
      <c r="S76" s="1688"/>
      <c r="T76" s="1335">
        <f>+T75+T74+T73</f>
        <v>0</v>
      </c>
      <c r="U76" s="1331">
        <f ca="1">+U75+U74+U73</f>
        <v>0</v>
      </c>
      <c r="V76" s="1688"/>
      <c r="W76" s="1335">
        <f>+W75+W74+W73</f>
        <v>0</v>
      </c>
      <c r="X76" s="1331">
        <f ca="1">+X75+X74+X73</f>
        <v>0</v>
      </c>
      <c r="Y76" s="1688"/>
      <c r="Z76" s="1335">
        <f>+Z75+Z74+Z73</f>
        <v>0</v>
      </c>
      <c r="AA76" s="1331">
        <f ca="1">+AA75+AA74+AA73</f>
        <v>0</v>
      </c>
      <c r="AB76" s="1688"/>
      <c r="AC76" s="1335">
        <f>+AC75+AC74+AC73</f>
        <v>0</v>
      </c>
      <c r="AD76" s="1331">
        <f ca="1">+AD75+AD74+AD73</f>
        <v>0</v>
      </c>
      <c r="AE76" s="1688"/>
      <c r="AF76" s="1335">
        <f>+AF75+AF74+AF73</f>
        <v>0</v>
      </c>
      <c r="AG76" s="1331">
        <f ca="1">+AG75+AG74+AG73</f>
        <v>0</v>
      </c>
      <c r="AH76" s="1688"/>
      <c r="AI76" s="1335">
        <f>+AI75+AI74+AI73</f>
        <v>0</v>
      </c>
      <c r="AJ76" s="1331">
        <f ca="1">+AJ75+AJ74+AJ73</f>
        <v>0</v>
      </c>
      <c r="AK76" s="1688"/>
      <c r="AL76" s="1335">
        <f>+AL75+AL74+AL73</f>
        <v>0</v>
      </c>
      <c r="AM76" s="1331">
        <f ca="1">+AM75+AM74+AM73</f>
        <v>0</v>
      </c>
      <c r="AN76" s="1688"/>
      <c r="AO76" s="1335">
        <f>+AO75+AO74+AO73</f>
        <v>0</v>
      </c>
      <c r="AP76" s="1331">
        <f ca="1">+AP75+AP74+AP73</f>
        <v>0</v>
      </c>
      <c r="AQ76" s="1688"/>
      <c r="AR76" s="1335">
        <f>SUM(AR67:AR75)</f>
        <v>0</v>
      </c>
      <c r="AS76" s="1331">
        <f ca="1">+AS75+AS74+AS73</f>
        <v>0</v>
      </c>
      <c r="AT76" s="1687"/>
      <c r="AU76" s="411"/>
      <c r="AV76" s="1757">
        <f t="shared" ca="1" si="153"/>
        <v>0</v>
      </c>
      <c r="AW76" s="411"/>
      <c r="AX76" s="493"/>
      <c r="AY76" s="1252" t="s">
        <v>331</v>
      </c>
      <c r="AZ76" s="1251"/>
      <c r="BA76" s="1255"/>
      <c r="BB76" s="1635"/>
      <c r="BC76" s="1253">
        <f>SUM(BC67:BC75)</f>
        <v>0</v>
      </c>
      <c r="BD76" s="1254">
        <f>+BD75+BD74+BD73</f>
        <v>0</v>
      </c>
      <c r="BE76" s="1635"/>
      <c r="BF76" s="1468">
        <f>SUM(BF67:BF75)</f>
        <v>0</v>
      </c>
      <c r="BG76" s="1254">
        <f ca="1">+BG75+BG74+BG73</f>
        <v>0</v>
      </c>
      <c r="BH76" s="1635"/>
      <c r="BI76" s="1468">
        <f>SUM(BI67:BI75)</f>
        <v>0</v>
      </c>
      <c r="BJ76" s="1254">
        <f ca="1">+BJ75+BJ74+BJ73</f>
        <v>0</v>
      </c>
      <c r="BK76" s="1635"/>
      <c r="BL76" s="1468">
        <f>SUM(BL67:BL75)</f>
        <v>0</v>
      </c>
      <c r="BM76" s="1254">
        <f ca="1">+BM75+BM74+BM73</f>
        <v>0</v>
      </c>
      <c r="BN76" s="1635"/>
      <c r="BO76" s="1468">
        <f>SUM(BO67:BO75)</f>
        <v>0</v>
      </c>
      <c r="BP76" s="1254">
        <f ca="1">+BP75+BP74+BP73</f>
        <v>0</v>
      </c>
      <c r="BQ76" s="1635"/>
      <c r="BR76" s="1468">
        <f>SUM(BR67:BR75)</f>
        <v>0</v>
      </c>
      <c r="BS76" s="1254">
        <f ca="1">+BS75+BS74+BS73</f>
        <v>0</v>
      </c>
      <c r="BT76" s="1635"/>
      <c r="BU76" s="1468">
        <f>SUM(BU67:BU75)</f>
        <v>0</v>
      </c>
      <c r="BV76" s="1254">
        <f ca="1">+BV75+BV74+BV73</f>
        <v>0</v>
      </c>
      <c r="BW76" s="1635"/>
      <c r="BX76" s="1468">
        <f>SUM(BX67:BX75)</f>
        <v>0</v>
      </c>
      <c r="BY76" s="1254">
        <f ca="1">+BY75+BY74+BY73</f>
        <v>0</v>
      </c>
      <c r="BZ76" s="1635"/>
      <c r="CA76" s="1468">
        <f>SUM(CA67:CA75)</f>
        <v>0</v>
      </c>
      <c r="CB76" s="1254">
        <f ca="1">+CB75+CB74+CB73</f>
        <v>0</v>
      </c>
      <c r="CC76" s="1635"/>
      <c r="CD76" s="1468">
        <f>SUM(CD67:CD75)</f>
        <v>0</v>
      </c>
      <c r="CE76" s="1254">
        <f ca="1">+CE75+CE74+CE73</f>
        <v>0</v>
      </c>
      <c r="CF76" s="1635"/>
      <c r="CG76" s="1468">
        <f>SUM(CG67:CG75)</f>
        <v>0</v>
      </c>
      <c r="CH76" s="1254">
        <f ca="1">+CH75+CH74+CH73</f>
        <v>0</v>
      </c>
      <c r="CI76" s="1635"/>
      <c r="CJ76" s="1468">
        <f>SUM(CJ67:CJ75)</f>
        <v>0</v>
      </c>
      <c r="CK76" s="1254">
        <f ca="1">+CK75+CK74+CK73</f>
        <v>0</v>
      </c>
      <c r="CL76" s="1731"/>
      <c r="CM76" s="170"/>
      <c r="CN76" s="493"/>
      <c r="CO76" s="464" t="s">
        <v>331</v>
      </c>
      <c r="CP76" s="486"/>
      <c r="CQ76" s="487"/>
      <c r="CR76" s="1706"/>
      <c r="CS76" s="467">
        <f>SUM(CS58:CS75)-CS65</f>
        <v>0</v>
      </c>
      <c r="CT76" s="468">
        <f>CT73+CT75</f>
        <v>0</v>
      </c>
      <c r="CU76" s="1703"/>
      <c r="CV76" s="467">
        <f>SUM(CV58:CV75)-CV65</f>
        <v>0</v>
      </c>
      <c r="CW76" s="468">
        <f ca="1">CW73+CW75</f>
        <v>0</v>
      </c>
      <c r="CX76" s="1703"/>
      <c r="CY76" s="467">
        <f>SUM(CY58:CY75)-CY65</f>
        <v>0</v>
      </c>
      <c r="CZ76" s="468">
        <f ca="1">CZ73+CZ75</f>
        <v>0</v>
      </c>
      <c r="DA76" s="1703"/>
      <c r="DB76" s="467">
        <f>SUM(DB58:DB75)-DB65</f>
        <v>0</v>
      </c>
      <c r="DC76" s="468">
        <f ca="1">DC73+DC75</f>
        <v>0</v>
      </c>
      <c r="DD76" s="1703"/>
      <c r="DE76" s="467">
        <f>SUM(DE58:DE75)-DE65</f>
        <v>0</v>
      </c>
      <c r="DF76" s="468">
        <f ca="1">DF73+DF75</f>
        <v>0</v>
      </c>
      <c r="DG76" s="1703"/>
      <c r="DH76" s="467">
        <f>SUM(DH58:DH75)-DH65</f>
        <v>0</v>
      </c>
      <c r="DI76" s="468">
        <f ca="1">DI73+DI75</f>
        <v>0</v>
      </c>
      <c r="DJ76" s="1703"/>
      <c r="DK76" s="467">
        <f>SUM(DK58:DK75)-DK65</f>
        <v>0</v>
      </c>
      <c r="DL76" s="468">
        <f ca="1">DL73+DL75</f>
        <v>0</v>
      </c>
      <c r="DM76" s="1703"/>
      <c r="DN76" s="467">
        <f>SUM(DN58:DN75)-DN65</f>
        <v>0</v>
      </c>
      <c r="DO76" s="468">
        <f ca="1">DO73+DO75</f>
        <v>0</v>
      </c>
      <c r="DP76" s="1703"/>
      <c r="DQ76" s="467">
        <f>SUM(DQ58:DQ75)-DQ65</f>
        <v>0</v>
      </c>
      <c r="DR76" s="468">
        <f ca="1">DR73+DR75</f>
        <v>0</v>
      </c>
      <c r="DS76" s="1703"/>
      <c r="DT76" s="467">
        <f>SUM(DT58:DT75)-DT65</f>
        <v>0</v>
      </c>
      <c r="DU76" s="468">
        <f ca="1">DU73+DU75</f>
        <v>0</v>
      </c>
      <c r="DV76" s="1703"/>
      <c r="DW76" s="467">
        <f>SUM(DW58:DW75)-DW65</f>
        <v>0</v>
      </c>
      <c r="DX76" s="468">
        <f ca="1">DX73+DX75</f>
        <v>0</v>
      </c>
      <c r="DY76" s="1703"/>
      <c r="DZ76" s="467">
        <f>SUM(DZ67:DZ75)</f>
        <v>0</v>
      </c>
      <c r="EA76" s="1744">
        <f ca="1">+EA75+EA74+EA73</f>
        <v>0</v>
      </c>
      <c r="EB76" s="433"/>
      <c r="EC76" s="170"/>
      <c r="ED76" s="170"/>
      <c r="EE76" s="170"/>
      <c r="EF76" s="170"/>
      <c r="EG76" s="170"/>
      <c r="EH76" s="170"/>
      <c r="EI76" s="170"/>
      <c r="EJ76" s="170"/>
      <c r="EK76" s="170"/>
    </row>
    <row r="77" spans="1:141" ht="15" x14ac:dyDescent="0.25">
      <c r="A77" s="488"/>
      <c r="B77" s="489"/>
      <c r="C77" s="489"/>
      <c r="D77" s="489"/>
      <c r="E77" s="490"/>
      <c r="F77" s="493"/>
      <c r="G77" s="1291" t="s">
        <v>332</v>
      </c>
      <c r="H77" s="1339"/>
      <c r="I77" s="1310">
        <f t="shared" si="91"/>
        <v>0</v>
      </c>
      <c r="J77" s="1689"/>
      <c r="K77" s="1340"/>
      <c r="L77" s="1341"/>
      <c r="M77" s="1689"/>
      <c r="N77" s="1340"/>
      <c r="O77" s="1341"/>
      <c r="P77" s="1689"/>
      <c r="Q77" s="1340"/>
      <c r="R77" s="1341"/>
      <c r="S77" s="1689"/>
      <c r="T77" s="1340"/>
      <c r="U77" s="1341"/>
      <c r="V77" s="1689"/>
      <c r="W77" s="1340"/>
      <c r="X77" s="1341"/>
      <c r="Y77" s="1689"/>
      <c r="Z77" s="1340"/>
      <c r="AA77" s="1341"/>
      <c r="AB77" s="1689"/>
      <c r="AC77" s="1340"/>
      <c r="AD77" s="1341"/>
      <c r="AE77" s="1689"/>
      <c r="AF77" s="1340"/>
      <c r="AG77" s="1341"/>
      <c r="AH77" s="1689"/>
      <c r="AI77" s="1340"/>
      <c r="AJ77" s="1341"/>
      <c r="AK77" s="1689"/>
      <c r="AL77" s="1340"/>
      <c r="AM77" s="1341"/>
      <c r="AN77" s="1689"/>
      <c r="AO77" s="1340"/>
      <c r="AP77" s="1341"/>
      <c r="AQ77" s="1689"/>
      <c r="AR77" s="1340">
        <f t="shared" ref="AR77" si="299">+Z77+W77+T77+Q77+N77+K77+AC77</f>
        <v>0</v>
      </c>
      <c r="AS77" s="1341">
        <f t="shared" ref="AS77" si="300">+AA77+X77+U77+R77+O77+L77+AD77</f>
        <v>0</v>
      </c>
      <c r="AT77" s="1689"/>
      <c r="AU77" s="411"/>
      <c r="AV77" s="1757">
        <f t="shared" si="153"/>
        <v>0</v>
      </c>
      <c r="AW77" s="492"/>
      <c r="AX77" s="493"/>
      <c r="AY77" s="168" t="s">
        <v>332</v>
      </c>
      <c r="AZ77" s="488"/>
      <c r="BA77" s="457"/>
      <c r="BB77" s="1632"/>
      <c r="BC77" s="491"/>
      <c r="BD77" s="1247"/>
      <c r="BE77" s="1632"/>
      <c r="BF77" s="1471"/>
      <c r="BG77" s="1527"/>
      <c r="BH77" s="1632"/>
      <c r="BI77" s="1471"/>
      <c r="BJ77" s="1527"/>
      <c r="BK77" s="1632"/>
      <c r="BL77" s="1471"/>
      <c r="BM77" s="1527"/>
      <c r="BN77" s="1632"/>
      <c r="BO77" s="1471"/>
      <c r="BP77" s="1527"/>
      <c r="BQ77" s="1632"/>
      <c r="BR77" s="1471"/>
      <c r="BS77" s="1527"/>
      <c r="BT77" s="1632"/>
      <c r="BU77" s="1471"/>
      <c r="BV77" s="1527"/>
      <c r="BW77" s="1632"/>
      <c r="BX77" s="1471"/>
      <c r="BY77" s="1527"/>
      <c r="BZ77" s="1632"/>
      <c r="CA77" s="1471"/>
      <c r="CB77" s="1527"/>
      <c r="CC77" s="1632"/>
      <c r="CD77" s="1471"/>
      <c r="CE77" s="1527"/>
      <c r="CF77" s="1632"/>
      <c r="CG77" s="1471"/>
      <c r="CH77" s="1527"/>
      <c r="CI77" s="1632"/>
      <c r="CJ77" s="491">
        <f t="shared" si="240"/>
        <v>0</v>
      </c>
      <c r="CK77" s="1262">
        <f t="shared" ref="CK77" si="301">+BS77+BP77+BM77+BJ77+BG77+BD77+BV77</f>
        <v>0</v>
      </c>
      <c r="CL77" s="1732"/>
      <c r="CM77" s="170"/>
      <c r="CN77" s="493"/>
      <c r="CO77" s="388" t="s">
        <v>332</v>
      </c>
      <c r="CP77" s="494"/>
      <c r="CQ77" s="459"/>
      <c r="CR77" s="1707"/>
      <c r="CS77" s="481"/>
      <c r="CT77" s="495"/>
      <c r="CU77" s="1707"/>
      <c r="CV77" s="481"/>
      <c r="CW77" s="495"/>
      <c r="CX77" s="1707"/>
      <c r="CY77" s="481"/>
      <c r="CZ77" s="495"/>
      <c r="DA77" s="1707"/>
      <c r="DB77" s="481"/>
      <c r="DC77" s="495"/>
      <c r="DD77" s="1707"/>
      <c r="DE77" s="481"/>
      <c r="DF77" s="495"/>
      <c r="DG77" s="1707"/>
      <c r="DH77" s="481"/>
      <c r="DI77" s="495"/>
      <c r="DJ77" s="1707"/>
      <c r="DK77" s="481"/>
      <c r="DL77" s="495"/>
      <c r="DM77" s="1707"/>
      <c r="DN77" s="481"/>
      <c r="DO77" s="495"/>
      <c r="DP77" s="1707"/>
      <c r="DQ77" s="481"/>
      <c r="DR77" s="495"/>
      <c r="DS77" s="1707"/>
      <c r="DT77" s="481"/>
      <c r="DU77" s="495"/>
      <c r="DV77" s="1707"/>
      <c r="DW77" s="481"/>
      <c r="DX77" s="495"/>
      <c r="DY77" s="1707"/>
      <c r="DZ77" s="481">
        <f t="shared" ref="DZ77" si="302">+DH77+DE77+DB77+CY77+CV77+CS77+DK77</f>
        <v>0</v>
      </c>
      <c r="EA77" s="1747">
        <f t="shared" ref="EA77" si="303">+DI77+DF77+DC77+CZ77+CW77+CT77+DL77</f>
        <v>0</v>
      </c>
      <c r="EB77" s="433"/>
      <c r="EC77" s="488"/>
      <c r="ED77" s="488"/>
      <c r="EE77" s="488"/>
      <c r="EF77" s="488"/>
      <c r="EG77" s="488"/>
      <c r="EH77" s="488"/>
      <c r="EI77" s="488"/>
      <c r="EJ77" s="488"/>
      <c r="EK77" s="488"/>
    </row>
    <row r="78" spans="1:141" ht="15" x14ac:dyDescent="0.25">
      <c r="A78" s="170"/>
      <c r="B78" s="424">
        <v>4</v>
      </c>
      <c r="C78" s="424">
        <v>4</v>
      </c>
      <c r="D78" s="424">
        <v>4</v>
      </c>
      <c r="E78" s="425">
        <v>6</v>
      </c>
      <c r="F78" s="493"/>
      <c r="G78" s="1308" t="str">
        <f t="shared" ref="G78:G84" si="304">+AY78</f>
        <v>Eversource</v>
      </c>
      <c r="H78" s="1342" t="s">
        <v>300</v>
      </c>
      <c r="I78" s="1310">
        <f t="shared" si="91"/>
        <v>0</v>
      </c>
      <c r="J78" s="1685"/>
      <c r="K78" s="1311">
        <f t="shared" ref="K78:L84" si="305">+BC78</f>
        <v>0</v>
      </c>
      <c r="L78" s="1312">
        <f t="shared" si="305"/>
        <v>2358</v>
      </c>
      <c r="M78" s="1685"/>
      <c r="N78" s="1313">
        <f t="shared" ref="N78:N84" si="306">+BF78</f>
        <v>0</v>
      </c>
      <c r="O78" s="1312">
        <f t="shared" ref="O78:O84" si="307">+BG78+CW78</f>
        <v>0</v>
      </c>
      <c r="P78" s="1685"/>
      <c r="Q78" s="1313">
        <f t="shared" ref="Q78:Q84" si="308">+BI78</f>
        <v>0</v>
      </c>
      <c r="R78" s="1312">
        <f t="shared" ref="R78:R84" si="309">+BJ78+CZ78</f>
        <v>0</v>
      </c>
      <c r="S78" s="1685"/>
      <c r="T78" s="1313">
        <f t="shared" ref="T78:T84" si="310">+BL78</f>
        <v>0</v>
      </c>
      <c r="U78" s="1312">
        <f t="shared" ref="U78:U84" si="311">+BM78+DC78</f>
        <v>9639171.8995999992</v>
      </c>
      <c r="V78" s="1685"/>
      <c r="W78" s="1313">
        <f t="shared" ref="W78:W84" si="312">+BO78</f>
        <v>0</v>
      </c>
      <c r="X78" s="1312">
        <f t="shared" ref="X78:X84" si="313">+BP78+DF78</f>
        <v>9928347.0565879997</v>
      </c>
      <c r="Y78" s="1685"/>
      <c r="Z78" s="1313">
        <f t="shared" ref="Z78:Z84" si="314">+BR78</f>
        <v>0</v>
      </c>
      <c r="AA78" s="1312">
        <f t="shared" ref="AA78:AA84" si="315">+BS78+DI78</f>
        <v>0</v>
      </c>
      <c r="AB78" s="1685"/>
      <c r="AC78" s="1313">
        <f t="shared" ref="AC78:AC84" si="316">+BU78</f>
        <v>0</v>
      </c>
      <c r="AD78" s="1312">
        <f t="shared" ref="AD78:AD84" si="317">+BV78+DL78</f>
        <v>0</v>
      </c>
      <c r="AE78" s="1685"/>
      <c r="AF78" s="1313">
        <f t="shared" ref="AF78:AF84" si="318">+BX78</f>
        <v>0</v>
      </c>
      <c r="AG78" s="1312">
        <f t="shared" ref="AG78:AG84" si="319">+BY78+DO78</f>
        <v>0</v>
      </c>
      <c r="AH78" s="1685"/>
      <c r="AI78" s="1313">
        <f t="shared" ref="AI78:AI84" si="320">+CA78</f>
        <v>0</v>
      </c>
      <c r="AJ78" s="1312">
        <f t="shared" ref="AJ78:AJ84" si="321">+CB78+DR78</f>
        <v>0</v>
      </c>
      <c r="AK78" s="1685"/>
      <c r="AL78" s="1313">
        <f t="shared" ref="AL78:AL84" si="322">+CD78</f>
        <v>0</v>
      </c>
      <c r="AM78" s="1312">
        <f t="shared" ref="AM78:AM84" si="323">+CE78+DU78</f>
        <v>0</v>
      </c>
      <c r="AN78" s="1685"/>
      <c r="AO78" s="1313">
        <f t="shared" ref="AO78:AO84" si="324">+CG78</f>
        <v>0</v>
      </c>
      <c r="AP78" s="1312">
        <f t="shared" ref="AP78:AP84" si="325">+CH78+DX78</f>
        <v>0</v>
      </c>
      <c r="AQ78" s="1685"/>
      <c r="AR78" s="1313">
        <f t="shared" ref="AR78:AR84" si="326">+Z78+W78+T78+Q78+N78+K78+AC78+AF78+AI78+AL78+AO78</f>
        <v>0</v>
      </c>
      <c r="AS78" s="1312">
        <f t="shared" ref="AS78:AS84" si="327">+AA78+X78+U78+R78+O78+L78+AD78+AG78+AJ78+AM78+AP78</f>
        <v>19569876.956188001</v>
      </c>
      <c r="AT78" s="1687"/>
      <c r="AU78" s="411"/>
      <c r="AV78" s="1757">
        <f t="shared" ref="AV78:AV110" si="328">+CK78+EA78</f>
        <v>19569876.956188001</v>
      </c>
      <c r="AW78" s="411"/>
      <c r="AX78" s="493"/>
      <c r="AY78" s="1566" t="s">
        <v>333</v>
      </c>
      <c r="AZ78" s="1566" t="s">
        <v>300</v>
      </c>
      <c r="BA78" s="1574"/>
      <c r="BB78" s="1579"/>
      <c r="BC78" s="1599">
        <v>0</v>
      </c>
      <c r="BD78" s="1600">
        <v>2358</v>
      </c>
      <c r="BE78" s="1579"/>
      <c r="BF78" s="1469"/>
      <c r="BG78" s="1284">
        <f>+Escalation!AB136</f>
        <v>0</v>
      </c>
      <c r="BH78" s="1579"/>
      <c r="BI78" s="1469"/>
      <c r="BJ78" s="1284"/>
      <c r="BK78" s="1666"/>
      <c r="BL78" s="1469"/>
      <c r="BM78" s="1284">
        <f>+Escalation!AD136</f>
        <v>9085844</v>
      </c>
      <c r="BN78" s="1579"/>
      <c r="BO78" s="1469"/>
      <c r="BP78" s="1284">
        <f>+Escalation!AE136</f>
        <v>9085844</v>
      </c>
      <c r="BQ78" s="1579"/>
      <c r="BR78" s="1469"/>
      <c r="BS78" s="1284">
        <f>+Escalation!AF136</f>
        <v>0</v>
      </c>
      <c r="BT78" s="1579"/>
      <c r="BU78" s="1469"/>
      <c r="BV78" s="1284">
        <f>+Escalation!AG136</f>
        <v>0</v>
      </c>
      <c r="BW78" s="1579"/>
      <c r="BX78" s="1469"/>
      <c r="BY78" s="1284">
        <f>+Escalation!AH136</f>
        <v>0</v>
      </c>
      <c r="BZ78" s="1579"/>
      <c r="CA78" s="1469"/>
      <c r="CB78" s="1284">
        <f>+Escalation!AI136</f>
        <v>0</v>
      </c>
      <c r="CC78" s="1579"/>
      <c r="CD78" s="1469"/>
      <c r="CE78" s="1284">
        <f>+Escalation!AJ136</f>
        <v>0</v>
      </c>
      <c r="CF78" s="1579"/>
      <c r="CG78" s="1469"/>
      <c r="CH78" s="1284">
        <f>+Escalation!AK136</f>
        <v>0</v>
      </c>
      <c r="CI78" s="1579"/>
      <c r="CJ78" s="1257">
        <f t="shared" ref="CJ78:CJ87" si="329">+BR78+BO78+BL78+BI78+BF78+BC78+BU78+BX78+CA78+CD78+CG78</f>
        <v>0</v>
      </c>
      <c r="CK78" s="1395">
        <f t="shared" ref="CK78:CK87" si="330">+BS78+BP78+BM78+BJ78+BG78+BD78+BV78+BY78+CB78+CE78+CH78</f>
        <v>18174046</v>
      </c>
      <c r="CL78" s="427"/>
      <c r="CM78" s="170"/>
      <c r="CN78" s="493"/>
      <c r="CO78" s="428" t="str">
        <f t="shared" ref="CO78:CO84" si="331">+AY78</f>
        <v>Eversource</v>
      </c>
      <c r="CP78" s="496" t="s">
        <v>300</v>
      </c>
      <c r="CQ78" s="456"/>
      <c r="CR78" s="443"/>
      <c r="CS78" s="432"/>
      <c r="CT78" s="431">
        <f t="shared" ref="CT78:CT84" si="332">L78-BD78</f>
        <v>0</v>
      </c>
      <c r="CU78" s="443"/>
      <c r="CV78" s="432"/>
      <c r="CW78" s="431">
        <f>+Escalation!AB172</f>
        <v>0</v>
      </c>
      <c r="CX78" s="443"/>
      <c r="CY78" s="432"/>
      <c r="CZ78" s="431">
        <f>+Escalation!AC172</f>
        <v>0</v>
      </c>
      <c r="DA78" s="443"/>
      <c r="DB78" s="432"/>
      <c r="DC78" s="431">
        <f>+Escalation!AD172</f>
        <v>553327.89959999954</v>
      </c>
      <c r="DD78" s="443"/>
      <c r="DE78" s="432"/>
      <c r="DF78" s="431">
        <f>+Escalation!AE172</f>
        <v>842503.05658800004</v>
      </c>
      <c r="DG78" s="443"/>
      <c r="DH78" s="432"/>
      <c r="DI78" s="431">
        <f>+Escalation!AF172</f>
        <v>0</v>
      </c>
      <c r="DJ78" s="443"/>
      <c r="DK78" s="432"/>
      <c r="DL78" s="431">
        <f>+Escalation!AG172</f>
        <v>0</v>
      </c>
      <c r="DM78" s="443"/>
      <c r="DN78" s="432"/>
      <c r="DO78" s="431">
        <f>+Escalation!AH172</f>
        <v>0</v>
      </c>
      <c r="DP78" s="443"/>
      <c r="DQ78" s="432"/>
      <c r="DR78" s="431">
        <f>+Escalation!AI172</f>
        <v>0</v>
      </c>
      <c r="DS78" s="443"/>
      <c r="DT78" s="432"/>
      <c r="DU78" s="431">
        <f>+Escalation!AJ172</f>
        <v>0</v>
      </c>
      <c r="DV78" s="443"/>
      <c r="DW78" s="432"/>
      <c r="DX78" s="431">
        <f>+Escalation!AK172</f>
        <v>0</v>
      </c>
      <c r="DY78" s="443"/>
      <c r="DZ78" s="432">
        <f t="shared" ref="DZ78:DZ84" si="333">+DH78+DE78+DB78+CY78+CV78+CS78+DK78+DN78+DQ78+DT78+DW78</f>
        <v>0</v>
      </c>
      <c r="EA78" s="444">
        <f t="shared" ref="EA78:EA84" si="334">+DI78+DF78+DC78+CZ78+CW78+CT78+DL78+DO78+DR78+DU78+DX78</f>
        <v>1395830.9561879996</v>
      </c>
      <c r="EB78" s="433"/>
      <c r="EC78" s="170"/>
      <c r="ED78" s="170"/>
      <c r="EE78" s="170"/>
      <c r="EF78" s="170"/>
      <c r="EG78" s="170"/>
      <c r="EH78" s="170"/>
      <c r="EI78" s="170"/>
      <c r="EJ78" s="170"/>
      <c r="EK78" s="170"/>
    </row>
    <row r="79" spans="1:141" ht="15" x14ac:dyDescent="0.25">
      <c r="A79" s="170"/>
      <c r="B79" s="424">
        <v>4</v>
      </c>
      <c r="C79" s="424">
        <v>4</v>
      </c>
      <c r="D79" s="424">
        <v>4</v>
      </c>
      <c r="E79" s="425">
        <v>7</v>
      </c>
      <c r="F79" s="493"/>
      <c r="G79" s="1308" t="str">
        <f t="shared" si="304"/>
        <v>Outside Services</v>
      </c>
      <c r="H79" s="1342" t="s">
        <v>300</v>
      </c>
      <c r="I79" s="1310">
        <f t="shared" si="91"/>
        <v>0</v>
      </c>
      <c r="J79" s="1685"/>
      <c r="K79" s="1311">
        <f t="shared" si="305"/>
        <v>0</v>
      </c>
      <c r="L79" s="1312">
        <f t="shared" si="305"/>
        <v>0</v>
      </c>
      <c r="M79" s="1685"/>
      <c r="N79" s="1313">
        <f t="shared" si="306"/>
        <v>0</v>
      </c>
      <c r="O79" s="1312">
        <f t="shared" si="307"/>
        <v>0</v>
      </c>
      <c r="P79" s="1685"/>
      <c r="Q79" s="1313">
        <f t="shared" si="308"/>
        <v>0</v>
      </c>
      <c r="R79" s="1312">
        <f t="shared" si="309"/>
        <v>0</v>
      </c>
      <c r="S79" s="1685"/>
      <c r="T79" s="1313">
        <f t="shared" si="310"/>
        <v>0</v>
      </c>
      <c r="U79" s="1312">
        <f t="shared" si="311"/>
        <v>795.67499999999995</v>
      </c>
      <c r="V79" s="1685"/>
      <c r="W79" s="1313">
        <f t="shared" si="312"/>
        <v>0</v>
      </c>
      <c r="X79" s="1312">
        <f t="shared" si="313"/>
        <v>819.54525000000001</v>
      </c>
      <c r="Y79" s="1685"/>
      <c r="Z79" s="1313">
        <f t="shared" si="314"/>
        <v>0</v>
      </c>
      <c r="AA79" s="1312">
        <f t="shared" si="315"/>
        <v>0</v>
      </c>
      <c r="AB79" s="1685"/>
      <c r="AC79" s="1313">
        <f t="shared" si="316"/>
        <v>0</v>
      </c>
      <c r="AD79" s="1312">
        <f t="shared" si="317"/>
        <v>0</v>
      </c>
      <c r="AE79" s="1685"/>
      <c r="AF79" s="1313">
        <f t="shared" si="318"/>
        <v>0</v>
      </c>
      <c r="AG79" s="1312">
        <f t="shared" si="319"/>
        <v>0</v>
      </c>
      <c r="AH79" s="1685"/>
      <c r="AI79" s="1313">
        <f t="shared" si="320"/>
        <v>0</v>
      </c>
      <c r="AJ79" s="1312">
        <f t="shared" si="321"/>
        <v>0</v>
      </c>
      <c r="AK79" s="1685"/>
      <c r="AL79" s="1313">
        <f t="shared" si="322"/>
        <v>0</v>
      </c>
      <c r="AM79" s="1312">
        <f t="shared" si="323"/>
        <v>0</v>
      </c>
      <c r="AN79" s="1685"/>
      <c r="AO79" s="1313">
        <f t="shared" si="324"/>
        <v>0</v>
      </c>
      <c r="AP79" s="1312">
        <f t="shared" si="325"/>
        <v>0</v>
      </c>
      <c r="AQ79" s="1685"/>
      <c r="AR79" s="1313">
        <f t="shared" si="326"/>
        <v>0</v>
      </c>
      <c r="AS79" s="1312">
        <f t="shared" si="327"/>
        <v>1615.2202499999999</v>
      </c>
      <c r="AT79" s="1687"/>
      <c r="AU79" s="411"/>
      <c r="AV79" s="1757">
        <f t="shared" si="328"/>
        <v>1615.2202500000001</v>
      </c>
      <c r="AW79" s="411"/>
      <c r="AX79" s="493"/>
      <c r="AY79" s="1562" t="s">
        <v>242</v>
      </c>
      <c r="AZ79" s="1566" t="s">
        <v>300</v>
      </c>
      <c r="BA79" s="1574"/>
      <c r="BB79" s="1579"/>
      <c r="BC79" s="1599">
        <v>0</v>
      </c>
      <c r="BD79" s="1600"/>
      <c r="BE79" s="1579"/>
      <c r="BF79" s="1469"/>
      <c r="BG79" s="1284">
        <f>+Escalation!AB137</f>
        <v>0</v>
      </c>
      <c r="BH79" s="1579"/>
      <c r="BI79" s="1469"/>
      <c r="BJ79" s="1284">
        <f>+Escalation!AC137</f>
        <v>0</v>
      </c>
      <c r="BK79" s="1666"/>
      <c r="BL79" s="1469"/>
      <c r="BM79" s="1284">
        <f>+Escalation!AD137</f>
        <v>750</v>
      </c>
      <c r="BN79" s="1579"/>
      <c r="BO79" s="1469"/>
      <c r="BP79" s="1284">
        <f>+Escalation!AE137</f>
        <v>750</v>
      </c>
      <c r="BQ79" s="1579"/>
      <c r="BR79" s="1469"/>
      <c r="BS79" s="1284">
        <f>+Escalation!AF137</f>
        <v>0</v>
      </c>
      <c r="BT79" s="1579"/>
      <c r="BU79" s="1469"/>
      <c r="BV79" s="1284">
        <f>+Escalation!AG137</f>
        <v>0</v>
      </c>
      <c r="BW79" s="1579"/>
      <c r="BX79" s="1469"/>
      <c r="BY79" s="1284">
        <f>+Escalation!AH137</f>
        <v>0</v>
      </c>
      <c r="BZ79" s="1579"/>
      <c r="CA79" s="1469"/>
      <c r="CB79" s="1284">
        <f>+Escalation!AI137</f>
        <v>0</v>
      </c>
      <c r="CC79" s="1579"/>
      <c r="CD79" s="1469"/>
      <c r="CE79" s="1284">
        <f>+Escalation!AJ137</f>
        <v>0</v>
      </c>
      <c r="CF79" s="1579"/>
      <c r="CG79" s="1469"/>
      <c r="CH79" s="1284">
        <f>+Escalation!AK137</f>
        <v>0</v>
      </c>
      <c r="CI79" s="1579"/>
      <c r="CJ79" s="1257">
        <f t="shared" si="329"/>
        <v>0</v>
      </c>
      <c r="CK79" s="1395">
        <f>+BS79+BP79+BM79+BJ79+BG79+BD79+BV79+BY79+CB79+CE79+CH79</f>
        <v>1500</v>
      </c>
      <c r="CL79" s="427"/>
      <c r="CM79" s="170"/>
      <c r="CN79" s="493"/>
      <c r="CO79" s="428" t="str">
        <f t="shared" si="331"/>
        <v>Outside Services</v>
      </c>
      <c r="CP79" s="496" t="s">
        <v>300</v>
      </c>
      <c r="CQ79" s="456"/>
      <c r="CR79" s="443"/>
      <c r="CS79" s="432"/>
      <c r="CT79" s="431">
        <f t="shared" si="332"/>
        <v>0</v>
      </c>
      <c r="CU79" s="443"/>
      <c r="CV79" s="432"/>
      <c r="CW79" s="431">
        <f>+Escalation!AB173</f>
        <v>0</v>
      </c>
      <c r="CX79" s="443"/>
      <c r="CY79" s="432"/>
      <c r="CZ79" s="431">
        <f>+Escalation!AC173</f>
        <v>0</v>
      </c>
      <c r="DA79" s="443"/>
      <c r="DB79" s="432"/>
      <c r="DC79" s="431">
        <f>+Escalation!AD173</f>
        <v>45.674999999999969</v>
      </c>
      <c r="DD79" s="443"/>
      <c r="DE79" s="432"/>
      <c r="DF79" s="431">
        <f>+Escalation!AE173</f>
        <v>69.54525000000001</v>
      </c>
      <c r="DG79" s="443"/>
      <c r="DH79" s="432"/>
      <c r="DI79" s="431">
        <f>+Escalation!AF173</f>
        <v>0</v>
      </c>
      <c r="DJ79" s="443"/>
      <c r="DK79" s="432"/>
      <c r="DL79" s="431">
        <f>+Escalation!AG173</f>
        <v>0</v>
      </c>
      <c r="DM79" s="443"/>
      <c r="DN79" s="432"/>
      <c r="DO79" s="431">
        <f>+Escalation!AH173</f>
        <v>0</v>
      </c>
      <c r="DP79" s="443"/>
      <c r="DQ79" s="432"/>
      <c r="DR79" s="431">
        <f>+Escalation!AI173</f>
        <v>0</v>
      </c>
      <c r="DS79" s="443"/>
      <c r="DT79" s="432"/>
      <c r="DU79" s="431">
        <f>+Escalation!AJ173</f>
        <v>0</v>
      </c>
      <c r="DV79" s="443"/>
      <c r="DW79" s="432"/>
      <c r="DX79" s="431">
        <f>+Escalation!AK173</f>
        <v>0</v>
      </c>
      <c r="DY79" s="443"/>
      <c r="DZ79" s="432">
        <f t="shared" si="333"/>
        <v>0</v>
      </c>
      <c r="EA79" s="444">
        <f t="shared" si="334"/>
        <v>115.22024999999998</v>
      </c>
      <c r="EB79" s="433"/>
      <c r="EC79" s="170"/>
      <c r="ED79" s="170"/>
      <c r="EE79" s="170"/>
      <c r="EF79" s="170"/>
      <c r="EG79" s="170"/>
      <c r="EH79" s="170"/>
      <c r="EI79" s="170"/>
      <c r="EJ79" s="170"/>
      <c r="EK79" s="170"/>
    </row>
    <row r="80" spans="1:141" ht="15" x14ac:dyDescent="0.25">
      <c r="A80" s="170"/>
      <c r="B80" s="497">
        <v>4</v>
      </c>
      <c r="C80" s="497">
        <v>4</v>
      </c>
      <c r="D80" s="497">
        <v>4</v>
      </c>
      <c r="E80" s="498"/>
      <c r="F80" s="493"/>
      <c r="G80" s="1308" t="str">
        <f t="shared" si="304"/>
        <v xml:space="preserve"> </v>
      </c>
      <c r="H80" s="1342" t="s">
        <v>300</v>
      </c>
      <c r="I80" s="1310">
        <f t="shared" si="91"/>
        <v>0</v>
      </c>
      <c r="J80" s="1685"/>
      <c r="K80" s="1311">
        <f t="shared" si="305"/>
        <v>0</v>
      </c>
      <c r="L80" s="1312">
        <f t="shared" si="305"/>
        <v>0</v>
      </c>
      <c r="M80" s="1685"/>
      <c r="N80" s="1313">
        <f t="shared" si="306"/>
        <v>0</v>
      </c>
      <c r="O80" s="1312">
        <f t="shared" si="307"/>
        <v>0</v>
      </c>
      <c r="P80" s="1685"/>
      <c r="Q80" s="1313">
        <f t="shared" si="308"/>
        <v>0</v>
      </c>
      <c r="R80" s="1312">
        <f t="shared" si="309"/>
        <v>0</v>
      </c>
      <c r="S80" s="1685"/>
      <c r="T80" s="1313">
        <f t="shared" si="310"/>
        <v>0</v>
      </c>
      <c r="U80" s="1312">
        <f t="shared" si="311"/>
        <v>0</v>
      </c>
      <c r="V80" s="1685"/>
      <c r="W80" s="1313">
        <f t="shared" si="312"/>
        <v>0</v>
      </c>
      <c r="X80" s="1312">
        <f t="shared" si="313"/>
        <v>0</v>
      </c>
      <c r="Y80" s="1685"/>
      <c r="Z80" s="1313">
        <f t="shared" si="314"/>
        <v>0</v>
      </c>
      <c r="AA80" s="1312">
        <f t="shared" si="315"/>
        <v>0</v>
      </c>
      <c r="AB80" s="1685"/>
      <c r="AC80" s="1313">
        <f t="shared" si="316"/>
        <v>0</v>
      </c>
      <c r="AD80" s="1312">
        <f t="shared" si="317"/>
        <v>0</v>
      </c>
      <c r="AE80" s="1685"/>
      <c r="AF80" s="1313">
        <f t="shared" si="318"/>
        <v>0</v>
      </c>
      <c r="AG80" s="1312">
        <f t="shared" si="319"/>
        <v>0</v>
      </c>
      <c r="AH80" s="1685"/>
      <c r="AI80" s="1313">
        <f t="shared" si="320"/>
        <v>0</v>
      </c>
      <c r="AJ80" s="1312">
        <f t="shared" si="321"/>
        <v>0</v>
      </c>
      <c r="AK80" s="1685"/>
      <c r="AL80" s="1313">
        <f t="shared" si="322"/>
        <v>0</v>
      </c>
      <c r="AM80" s="1312">
        <f t="shared" si="323"/>
        <v>0</v>
      </c>
      <c r="AN80" s="1685"/>
      <c r="AO80" s="1313">
        <f t="shared" si="324"/>
        <v>0</v>
      </c>
      <c r="AP80" s="1312">
        <f t="shared" si="325"/>
        <v>0</v>
      </c>
      <c r="AQ80" s="1685"/>
      <c r="AR80" s="1313">
        <f t="shared" si="326"/>
        <v>0</v>
      </c>
      <c r="AS80" s="1312">
        <f t="shared" si="327"/>
        <v>0</v>
      </c>
      <c r="AT80" s="1687"/>
      <c r="AU80" s="411"/>
      <c r="AV80" s="1757">
        <f t="shared" si="328"/>
        <v>0</v>
      </c>
      <c r="AW80" s="411"/>
      <c r="AX80" s="493"/>
      <c r="AY80" s="1566" t="s">
        <v>96</v>
      </c>
      <c r="AZ80" s="1566" t="s">
        <v>300</v>
      </c>
      <c r="BA80" s="1574"/>
      <c r="BB80" s="1579"/>
      <c r="BC80" s="1599">
        <v>0</v>
      </c>
      <c r="BD80" s="1600">
        <v>0</v>
      </c>
      <c r="BE80" s="1579"/>
      <c r="BF80" s="1609"/>
      <c r="BG80" s="1608"/>
      <c r="BH80" s="1579"/>
      <c r="BI80" s="1609"/>
      <c r="BJ80" s="1608"/>
      <c r="BK80" s="1666"/>
      <c r="BL80" s="1609"/>
      <c r="BM80" s="1608"/>
      <c r="BN80" s="1579"/>
      <c r="BO80" s="1609"/>
      <c r="BP80" s="1608"/>
      <c r="BQ80" s="1579"/>
      <c r="BR80" s="1609"/>
      <c r="BS80" s="1608"/>
      <c r="BT80" s="1579"/>
      <c r="BU80" s="1609"/>
      <c r="BV80" s="1608"/>
      <c r="BW80" s="1579"/>
      <c r="BX80" s="1609"/>
      <c r="BY80" s="1608"/>
      <c r="BZ80" s="1579"/>
      <c r="CA80" s="1609"/>
      <c r="CB80" s="1608"/>
      <c r="CC80" s="1579"/>
      <c r="CD80" s="1609"/>
      <c r="CE80" s="1608"/>
      <c r="CF80" s="1579"/>
      <c r="CG80" s="1609"/>
      <c r="CH80" s="1608"/>
      <c r="CI80" s="1579"/>
      <c r="CJ80" s="1257">
        <f t="shared" si="329"/>
        <v>0</v>
      </c>
      <c r="CK80" s="1395">
        <f t="shared" si="330"/>
        <v>0</v>
      </c>
      <c r="CL80" s="427"/>
      <c r="CM80" s="170"/>
      <c r="CN80" s="493"/>
      <c r="CO80" s="428" t="str">
        <f t="shared" si="331"/>
        <v xml:space="preserve"> </v>
      </c>
      <c r="CP80" s="496" t="s">
        <v>300</v>
      </c>
      <c r="CQ80" s="456"/>
      <c r="CR80" s="443"/>
      <c r="CS80" s="432"/>
      <c r="CT80" s="431">
        <f t="shared" si="332"/>
        <v>0</v>
      </c>
      <c r="CU80" s="443"/>
      <c r="CV80" s="432"/>
      <c r="CW80" s="434">
        <f>ROUND((+BG80*(1+CW$5)),0)-BG80</f>
        <v>0</v>
      </c>
      <c r="CX80" s="443"/>
      <c r="CY80" s="432">
        <v>0</v>
      </c>
      <c r="CZ80" s="434">
        <f>ROUND((+BJ80*(1+CZ$5)),0)-BJ80</f>
        <v>0</v>
      </c>
      <c r="DA80" s="443"/>
      <c r="DB80" s="432">
        <v>0</v>
      </c>
      <c r="DC80" s="434">
        <f>ROUND((+BM80*(1+DC$5)),0)-BM80</f>
        <v>0</v>
      </c>
      <c r="DD80" s="443"/>
      <c r="DE80" s="432">
        <v>0</v>
      </c>
      <c r="DF80" s="434">
        <f>ROUND((+BP80*(1+DF$5)),0)-BP80</f>
        <v>0</v>
      </c>
      <c r="DG80" s="443"/>
      <c r="DH80" s="432">
        <v>0</v>
      </c>
      <c r="DI80" s="434">
        <f>ROUND((+BS80*(1+DI$5)),0)-BS80</f>
        <v>0</v>
      </c>
      <c r="DJ80" s="443"/>
      <c r="DK80" s="432">
        <v>0</v>
      </c>
      <c r="DL80" s="434">
        <f>ROUND((+BV80*(1+DL$5)),0)-BV80</f>
        <v>0</v>
      </c>
      <c r="DM80" s="443"/>
      <c r="DN80" s="432">
        <v>0</v>
      </c>
      <c r="DO80" s="434">
        <f>ROUND((+BY80*(1+DO$5)),0)-BY80</f>
        <v>0</v>
      </c>
      <c r="DP80" s="443"/>
      <c r="DQ80" s="432">
        <v>0</v>
      </c>
      <c r="DR80" s="434">
        <f>ROUND((+CB80*(1+DR$5)),0)-CB80</f>
        <v>0</v>
      </c>
      <c r="DS80" s="443"/>
      <c r="DT80" s="432">
        <v>0</v>
      </c>
      <c r="DU80" s="434">
        <f>ROUND((+CE80*(1+DU$5)),0)-CE80</f>
        <v>0</v>
      </c>
      <c r="DV80" s="443"/>
      <c r="DW80" s="432">
        <v>0</v>
      </c>
      <c r="DX80" s="434">
        <f>ROUND((+CH80*(1+DX$5)),0)-CH80</f>
        <v>0</v>
      </c>
      <c r="DY80" s="443"/>
      <c r="DZ80" s="432">
        <f t="shared" si="333"/>
        <v>0</v>
      </c>
      <c r="EA80" s="444">
        <f t="shared" si="334"/>
        <v>0</v>
      </c>
      <c r="EB80" s="433"/>
      <c r="EC80" s="170"/>
      <c r="ED80" s="170"/>
      <c r="EE80" s="170"/>
      <c r="EF80" s="170"/>
      <c r="EG80" s="170"/>
      <c r="EH80" s="170"/>
      <c r="EI80" s="170"/>
      <c r="EJ80" s="170"/>
      <c r="EK80" s="170"/>
    </row>
    <row r="81" spans="1:141" ht="15" x14ac:dyDescent="0.25">
      <c r="A81" s="170"/>
      <c r="B81" s="424">
        <v>5</v>
      </c>
      <c r="C81" s="424">
        <v>4</v>
      </c>
      <c r="D81" s="424">
        <v>4</v>
      </c>
      <c r="E81" s="425">
        <v>6</v>
      </c>
      <c r="F81" s="493"/>
      <c r="G81" s="1308" t="str">
        <f t="shared" si="304"/>
        <v>Freight</v>
      </c>
      <c r="H81" s="1343"/>
      <c r="I81" s="1310">
        <f t="shared" si="91"/>
        <v>0</v>
      </c>
      <c r="J81" s="1720"/>
      <c r="K81" s="1311">
        <f t="shared" si="305"/>
        <v>0</v>
      </c>
      <c r="L81" s="1312">
        <f t="shared" si="305"/>
        <v>0</v>
      </c>
      <c r="M81" s="1720"/>
      <c r="N81" s="1313">
        <f t="shared" si="306"/>
        <v>0</v>
      </c>
      <c r="O81" s="1312">
        <f t="shared" si="307"/>
        <v>0</v>
      </c>
      <c r="P81" s="1685"/>
      <c r="Q81" s="1313">
        <f t="shared" si="308"/>
        <v>0</v>
      </c>
      <c r="R81" s="1312">
        <f t="shared" si="309"/>
        <v>0</v>
      </c>
      <c r="S81" s="1685"/>
      <c r="T81" s="1313">
        <f t="shared" si="310"/>
        <v>0</v>
      </c>
      <c r="U81" s="1312">
        <f t="shared" si="311"/>
        <v>0</v>
      </c>
      <c r="V81" s="1685"/>
      <c r="W81" s="1313">
        <f t="shared" si="312"/>
        <v>0</v>
      </c>
      <c r="X81" s="1312">
        <f t="shared" si="313"/>
        <v>0</v>
      </c>
      <c r="Y81" s="1685"/>
      <c r="Z81" s="1313">
        <f t="shared" si="314"/>
        <v>0</v>
      </c>
      <c r="AA81" s="1312">
        <f t="shared" si="315"/>
        <v>0</v>
      </c>
      <c r="AB81" s="1685"/>
      <c r="AC81" s="1313">
        <f t="shared" si="316"/>
        <v>0</v>
      </c>
      <c r="AD81" s="1312">
        <f t="shared" si="317"/>
        <v>0</v>
      </c>
      <c r="AE81" s="1685"/>
      <c r="AF81" s="1313">
        <f t="shared" si="318"/>
        <v>0</v>
      </c>
      <c r="AG81" s="1312">
        <f t="shared" si="319"/>
        <v>0</v>
      </c>
      <c r="AH81" s="1685"/>
      <c r="AI81" s="1313">
        <f t="shared" si="320"/>
        <v>0</v>
      </c>
      <c r="AJ81" s="1312">
        <f t="shared" si="321"/>
        <v>0</v>
      </c>
      <c r="AK81" s="1685"/>
      <c r="AL81" s="1313">
        <f t="shared" si="322"/>
        <v>0</v>
      </c>
      <c r="AM81" s="1312">
        <f t="shared" si="323"/>
        <v>0</v>
      </c>
      <c r="AN81" s="1685"/>
      <c r="AO81" s="1313">
        <f t="shared" si="324"/>
        <v>0</v>
      </c>
      <c r="AP81" s="1312">
        <f t="shared" si="325"/>
        <v>0</v>
      </c>
      <c r="AQ81" s="1685"/>
      <c r="AR81" s="1313">
        <f t="shared" si="326"/>
        <v>0</v>
      </c>
      <c r="AS81" s="1312">
        <f t="shared" si="327"/>
        <v>0</v>
      </c>
      <c r="AT81" s="1687"/>
      <c r="AU81" s="411"/>
      <c r="AV81" s="1757">
        <f t="shared" si="328"/>
        <v>0</v>
      </c>
      <c r="AW81" s="411"/>
      <c r="AX81" s="493"/>
      <c r="AY81" s="1566" t="s">
        <v>334</v>
      </c>
      <c r="AZ81" s="1585"/>
      <c r="BA81" s="1586">
        <v>0</v>
      </c>
      <c r="BB81" s="1579"/>
      <c r="BC81" s="1599">
        <v>0</v>
      </c>
      <c r="BD81" s="1600">
        <v>0</v>
      </c>
      <c r="BE81" s="1633"/>
      <c r="BF81" s="1646"/>
      <c r="BG81" s="1608"/>
      <c r="BH81" s="1633"/>
      <c r="BI81" s="1646"/>
      <c r="BJ81" s="1608"/>
      <c r="BK81" s="1668"/>
      <c r="BL81" s="1646"/>
      <c r="BM81" s="1608"/>
      <c r="BN81" s="1633"/>
      <c r="BO81" s="1646"/>
      <c r="BP81" s="1608"/>
      <c r="BQ81" s="1633"/>
      <c r="BR81" s="1646"/>
      <c r="BS81" s="1608"/>
      <c r="BT81" s="1633"/>
      <c r="BU81" s="1646"/>
      <c r="BV81" s="1608"/>
      <c r="BW81" s="1633"/>
      <c r="BX81" s="1646"/>
      <c r="BY81" s="1608"/>
      <c r="BZ81" s="1633"/>
      <c r="CA81" s="1646"/>
      <c r="CB81" s="1608"/>
      <c r="CC81" s="1633"/>
      <c r="CD81" s="1646"/>
      <c r="CE81" s="1608"/>
      <c r="CF81" s="1633"/>
      <c r="CG81" s="1646"/>
      <c r="CH81" s="1608"/>
      <c r="CI81" s="1633"/>
      <c r="CJ81" s="1257">
        <f t="shared" si="329"/>
        <v>0</v>
      </c>
      <c r="CK81" s="1395">
        <f t="shared" si="330"/>
        <v>0</v>
      </c>
      <c r="CL81" s="1734"/>
      <c r="CM81" s="170"/>
      <c r="CN81" s="493"/>
      <c r="CO81" s="428" t="str">
        <f t="shared" si="331"/>
        <v>Freight</v>
      </c>
      <c r="CP81" s="500"/>
      <c r="CQ81" s="501"/>
      <c r="CR81" s="443"/>
      <c r="CS81" s="502"/>
      <c r="CT81" s="503">
        <f t="shared" si="332"/>
        <v>0</v>
      </c>
      <c r="CU81" s="1704"/>
      <c r="CV81" s="502"/>
      <c r="CW81" s="434">
        <f>ROUND((+BG81*(1+CW$5)),0)-BG81</f>
        <v>0</v>
      </c>
      <c r="CX81" s="443"/>
      <c r="CY81" s="432">
        <v>0</v>
      </c>
      <c r="CZ81" s="434">
        <f>ROUND((+BJ81*(1+CZ$5)),0)-BJ81</f>
        <v>0</v>
      </c>
      <c r="DA81" s="443"/>
      <c r="DB81" s="432">
        <v>0</v>
      </c>
      <c r="DC81" s="434">
        <f>ROUND((+BM81*(1+DC$5)),0)-BM81</f>
        <v>0</v>
      </c>
      <c r="DD81" s="443"/>
      <c r="DE81" s="432">
        <v>0</v>
      </c>
      <c r="DF81" s="434">
        <f>ROUND((+BP81*(1+DF$5)),0)-BP81</f>
        <v>0</v>
      </c>
      <c r="DG81" s="443"/>
      <c r="DH81" s="432">
        <v>0</v>
      </c>
      <c r="DI81" s="434">
        <f>ROUND((+BS81*(1+DI$5)),0)-BS81</f>
        <v>0</v>
      </c>
      <c r="DJ81" s="443"/>
      <c r="DK81" s="432">
        <v>0</v>
      </c>
      <c r="DL81" s="434">
        <f>ROUND((+BV81*(1+DL$5)),0)-BV81</f>
        <v>0</v>
      </c>
      <c r="DM81" s="443"/>
      <c r="DN81" s="432">
        <v>0</v>
      </c>
      <c r="DO81" s="434">
        <f>ROUND((+BY81*(1+DO$5)),0)-BY81</f>
        <v>0</v>
      </c>
      <c r="DP81" s="443"/>
      <c r="DQ81" s="432">
        <v>0</v>
      </c>
      <c r="DR81" s="434">
        <f>ROUND((+CB81*(1+DR$5)),0)-CB81</f>
        <v>0</v>
      </c>
      <c r="DS81" s="443"/>
      <c r="DT81" s="432">
        <v>0</v>
      </c>
      <c r="DU81" s="434">
        <f>ROUND((+CE81*(1+DU$5)),0)-CE81</f>
        <v>0</v>
      </c>
      <c r="DV81" s="443"/>
      <c r="DW81" s="432">
        <v>0</v>
      </c>
      <c r="DX81" s="434">
        <f>ROUND((+CH81*(1+DX$5)),0)-CH81</f>
        <v>0</v>
      </c>
      <c r="DY81" s="443"/>
      <c r="DZ81" s="432">
        <f t="shared" si="333"/>
        <v>0</v>
      </c>
      <c r="EA81" s="444">
        <f t="shared" si="334"/>
        <v>0</v>
      </c>
      <c r="EB81" s="433"/>
      <c r="EC81" s="170"/>
      <c r="ED81" s="170"/>
      <c r="EE81" s="170"/>
      <c r="EF81" s="170"/>
      <c r="EG81" s="170"/>
      <c r="EH81" s="170"/>
      <c r="EI81" s="170"/>
      <c r="EJ81" s="170"/>
      <c r="EK81" s="170"/>
    </row>
    <row r="82" spans="1:141" ht="15" x14ac:dyDescent="0.25">
      <c r="A82" s="170"/>
      <c r="B82" s="424">
        <v>4</v>
      </c>
      <c r="C82" s="424">
        <v>4</v>
      </c>
      <c r="D82" s="424">
        <v>4</v>
      </c>
      <c r="E82" s="425">
        <v>6</v>
      </c>
      <c r="F82" s="493"/>
      <c r="G82" s="1308" t="str">
        <f t="shared" si="304"/>
        <v>Sales Tax (Eversouce)</v>
      </c>
      <c r="H82" s="1343"/>
      <c r="I82" s="1310">
        <f>+BA83</f>
        <v>6.25E-2</v>
      </c>
      <c r="J82" s="1720"/>
      <c r="K82" s="1311">
        <f t="shared" si="305"/>
        <v>0</v>
      </c>
      <c r="L82" s="1312">
        <f t="shared" si="305"/>
        <v>0</v>
      </c>
      <c r="M82" s="1720"/>
      <c r="N82" s="1313">
        <f t="shared" si="306"/>
        <v>0</v>
      </c>
      <c r="O82" s="1312">
        <f t="shared" si="307"/>
        <v>0</v>
      </c>
      <c r="P82" s="1685"/>
      <c r="Q82" s="1313">
        <f t="shared" si="308"/>
        <v>0</v>
      </c>
      <c r="R82" s="1312">
        <f t="shared" si="309"/>
        <v>0</v>
      </c>
      <c r="S82" s="1685"/>
      <c r="T82" s="1313">
        <f t="shared" si="310"/>
        <v>0</v>
      </c>
      <c r="U82" s="1312">
        <f t="shared" si="311"/>
        <v>0</v>
      </c>
      <c r="V82" s="1685"/>
      <c r="W82" s="1313">
        <f t="shared" si="312"/>
        <v>0</v>
      </c>
      <c r="X82" s="1312">
        <f t="shared" si="313"/>
        <v>0</v>
      </c>
      <c r="Y82" s="1685"/>
      <c r="Z82" s="1313">
        <f t="shared" si="314"/>
        <v>0</v>
      </c>
      <c r="AA82" s="1312">
        <f t="shared" si="315"/>
        <v>0</v>
      </c>
      <c r="AB82" s="1685"/>
      <c r="AC82" s="1313">
        <f t="shared" si="316"/>
        <v>0</v>
      </c>
      <c r="AD82" s="1312">
        <f t="shared" si="317"/>
        <v>0</v>
      </c>
      <c r="AE82" s="1685"/>
      <c r="AF82" s="1313">
        <f t="shared" si="318"/>
        <v>0</v>
      </c>
      <c r="AG82" s="1312">
        <f t="shared" si="319"/>
        <v>0</v>
      </c>
      <c r="AH82" s="1685"/>
      <c r="AI82" s="1313">
        <f t="shared" si="320"/>
        <v>0</v>
      </c>
      <c r="AJ82" s="1312">
        <f t="shared" si="321"/>
        <v>0</v>
      </c>
      <c r="AK82" s="1685"/>
      <c r="AL82" s="1313">
        <f t="shared" si="322"/>
        <v>0</v>
      </c>
      <c r="AM82" s="1312">
        <f t="shared" si="323"/>
        <v>0</v>
      </c>
      <c r="AN82" s="1685"/>
      <c r="AO82" s="1313">
        <f t="shared" si="324"/>
        <v>0</v>
      </c>
      <c r="AP82" s="1312">
        <f t="shared" si="325"/>
        <v>0</v>
      </c>
      <c r="AQ82" s="1685"/>
      <c r="AR82" s="1313">
        <f t="shared" si="326"/>
        <v>0</v>
      </c>
      <c r="AS82" s="1312">
        <f t="shared" si="327"/>
        <v>0</v>
      </c>
      <c r="AT82" s="1687"/>
      <c r="AU82" s="411"/>
      <c r="AV82" s="1757">
        <f t="shared" si="328"/>
        <v>0</v>
      </c>
      <c r="AW82" s="411"/>
      <c r="AX82" s="493"/>
      <c r="AY82" s="1566" t="s">
        <v>3483</v>
      </c>
      <c r="BA82" s="442">
        <f>+'Data Input sheet'!G36</f>
        <v>0</v>
      </c>
      <c r="BB82" s="1632"/>
      <c r="BC82" s="1599">
        <v>0</v>
      </c>
      <c r="BD82" s="1600">
        <v>0</v>
      </c>
      <c r="BE82" s="1633"/>
      <c r="BF82" s="1647"/>
      <c r="BG82" s="504">
        <f>ROUND(SUM(BG78,BG80)*$BA82,-2)</f>
        <v>0</v>
      </c>
      <c r="BH82" s="1633"/>
      <c r="BI82" s="1647"/>
      <c r="BJ82" s="504">
        <f>ROUND(SUM(BJ78,BJ80)*$BA82,-2)</f>
        <v>0</v>
      </c>
      <c r="BK82" s="1668"/>
      <c r="BL82" s="1647"/>
      <c r="BM82" s="504">
        <f>ROUND(SUM(BM78,BM80)*$BA82,-2)</f>
        <v>0</v>
      </c>
      <c r="BN82" s="1633"/>
      <c r="BO82" s="1647"/>
      <c r="BP82" s="504">
        <f>ROUND(SUM(BP78,BP80)*$BA82,-2)</f>
        <v>0</v>
      </c>
      <c r="BQ82" s="1633"/>
      <c r="BR82" s="1647"/>
      <c r="BS82" s="504">
        <f>ROUND(SUM(BS78,BS80)*$BA82,-2)</f>
        <v>0</v>
      </c>
      <c r="BT82" s="1633"/>
      <c r="BU82" s="1647"/>
      <c r="BV82" s="504">
        <f>ROUND(SUM(BV78,BV80)*$BA82,-2)</f>
        <v>0</v>
      </c>
      <c r="BW82" s="1633"/>
      <c r="BX82" s="1647"/>
      <c r="BY82" s="504">
        <f>ROUND(SUM(BY78,BY80)*$BA82,-2)</f>
        <v>0</v>
      </c>
      <c r="BZ82" s="1633"/>
      <c r="CA82" s="1647"/>
      <c r="CB82" s="504">
        <f>ROUND(SUM(CB78,CB80)*$BA82,-2)</f>
        <v>0</v>
      </c>
      <c r="CC82" s="1633"/>
      <c r="CD82" s="1647"/>
      <c r="CE82" s="504">
        <f>ROUND(SUM(CE78,CE80)*$BA82,-2)</f>
        <v>0</v>
      </c>
      <c r="CF82" s="1633"/>
      <c r="CG82" s="1647"/>
      <c r="CH82" s="504">
        <f>ROUND(SUM(CH78,CH80)*$BA82,-2)</f>
        <v>0</v>
      </c>
      <c r="CI82" s="1633"/>
      <c r="CJ82" s="1257">
        <f t="shared" si="329"/>
        <v>0</v>
      </c>
      <c r="CK82" s="1395">
        <f t="shared" si="330"/>
        <v>0</v>
      </c>
      <c r="CL82" s="1734"/>
      <c r="CM82" s="170"/>
      <c r="CN82" s="493"/>
      <c r="CO82" s="428" t="str">
        <f t="shared" si="331"/>
        <v>Sales Tax (Eversouce)</v>
      </c>
      <c r="CP82" s="500"/>
      <c r="CQ82" s="505"/>
      <c r="CR82" s="1703"/>
      <c r="CS82" s="502"/>
      <c r="CT82" s="503">
        <f t="shared" si="332"/>
        <v>0</v>
      </c>
      <c r="CU82" s="1704"/>
      <c r="CV82" s="502"/>
      <c r="CW82" s="434">
        <f>ROUND((+BG82*(1+CW$5)),0)-BG82</f>
        <v>0</v>
      </c>
      <c r="CX82" s="443"/>
      <c r="CY82" s="432">
        <v>0</v>
      </c>
      <c r="CZ82" s="434">
        <f>ROUND((+BJ82*(1+CZ$5)),0)-BJ82</f>
        <v>0</v>
      </c>
      <c r="DA82" s="443"/>
      <c r="DB82" s="432">
        <v>0</v>
      </c>
      <c r="DC82" s="434">
        <f>ROUND((+BM82*(1+DC$5)),0)-BM82</f>
        <v>0</v>
      </c>
      <c r="DD82" s="443"/>
      <c r="DE82" s="432">
        <v>0</v>
      </c>
      <c r="DF82" s="434">
        <f>ROUND((+BP82*(1+DF$5)),0)-BP82</f>
        <v>0</v>
      </c>
      <c r="DG82" s="443"/>
      <c r="DH82" s="432">
        <v>0</v>
      </c>
      <c r="DI82" s="434">
        <f>ROUND((+BS82*(1+DI$5)),0)-BS82</f>
        <v>0</v>
      </c>
      <c r="DJ82" s="443"/>
      <c r="DK82" s="432">
        <v>0</v>
      </c>
      <c r="DL82" s="434">
        <f>ROUND((+BV82*(1+DL$5)),0)-BV82</f>
        <v>0</v>
      </c>
      <c r="DM82" s="443"/>
      <c r="DN82" s="432">
        <v>0</v>
      </c>
      <c r="DO82" s="434">
        <f>ROUND((+BY82*(1+DO$5)),0)-BY82</f>
        <v>0</v>
      </c>
      <c r="DP82" s="443"/>
      <c r="DQ82" s="432">
        <v>0</v>
      </c>
      <c r="DR82" s="434">
        <f>ROUND((+CB82*(1+DR$5)),0)-CB82</f>
        <v>0</v>
      </c>
      <c r="DS82" s="443"/>
      <c r="DT82" s="432">
        <v>0</v>
      </c>
      <c r="DU82" s="434">
        <f>ROUND((+CE82*(1+DU$5)),0)-CE82</f>
        <v>0</v>
      </c>
      <c r="DV82" s="443"/>
      <c r="DW82" s="432">
        <v>0</v>
      </c>
      <c r="DX82" s="434">
        <f>ROUND((+CH82*(1+DX$5)),0)-CH82</f>
        <v>0</v>
      </c>
      <c r="DY82" s="443"/>
      <c r="DZ82" s="432">
        <f t="shared" si="333"/>
        <v>0</v>
      </c>
      <c r="EA82" s="444">
        <f t="shared" si="334"/>
        <v>0</v>
      </c>
      <c r="EB82" s="433"/>
      <c r="EC82" s="170"/>
      <c r="ED82" s="170"/>
      <c r="EE82" s="170"/>
      <c r="EF82" s="170"/>
      <c r="EG82" s="170"/>
      <c r="EH82" s="170"/>
      <c r="EI82" s="170"/>
      <c r="EJ82" s="170"/>
      <c r="EK82" s="170"/>
    </row>
    <row r="83" spans="1:141" ht="15" x14ac:dyDescent="0.25">
      <c r="A83" s="170"/>
      <c r="B83" s="424">
        <v>4</v>
      </c>
      <c r="C83" s="424">
        <v>4</v>
      </c>
      <c r="D83" s="424">
        <v>4</v>
      </c>
      <c r="E83" s="425">
        <v>7</v>
      </c>
      <c r="F83" s="493"/>
      <c r="G83" s="1308" t="str">
        <f t="shared" ref="G83" si="335">+AY83</f>
        <v>Sales Tax (outside services)</v>
      </c>
      <c r="H83" s="1343"/>
      <c r="I83" s="1310" t="e">
        <f>+#REF!</f>
        <v>#REF!</v>
      </c>
      <c r="J83" s="1720"/>
      <c r="K83" s="1311">
        <f t="shared" ref="K83" si="336">+BC83</f>
        <v>0</v>
      </c>
      <c r="L83" s="1312">
        <f t="shared" ref="L83" si="337">+BD83</f>
        <v>0</v>
      </c>
      <c r="M83" s="1720"/>
      <c r="N83" s="1313">
        <f t="shared" ref="N83" si="338">+BF83</f>
        <v>0</v>
      </c>
      <c r="O83" s="1312">
        <f t="shared" ref="O83" si="339">+BG83+CW83</f>
        <v>0</v>
      </c>
      <c r="P83" s="1685"/>
      <c r="Q83" s="1313">
        <f t="shared" ref="Q83" si="340">+BI83</f>
        <v>0</v>
      </c>
      <c r="R83" s="1312">
        <f t="shared" ref="R83" si="341">+BJ83+CZ83</f>
        <v>0</v>
      </c>
      <c r="S83" s="1685"/>
      <c r="T83" s="1313">
        <f t="shared" ref="T83" si="342">+BL83</f>
        <v>0</v>
      </c>
      <c r="U83" s="1312">
        <f t="shared" ref="U83" si="343">+BM83+DC83</f>
        <v>0</v>
      </c>
      <c r="V83" s="1685"/>
      <c r="W83" s="1313">
        <f t="shared" ref="W83" si="344">+BO83</f>
        <v>0</v>
      </c>
      <c r="X83" s="1312">
        <f t="shared" ref="X83" si="345">+BP83+DF83</f>
        <v>0</v>
      </c>
      <c r="Y83" s="1685"/>
      <c r="Z83" s="1313">
        <f t="shared" ref="Z83" si="346">+BR83</f>
        <v>0</v>
      </c>
      <c r="AA83" s="1312">
        <f t="shared" ref="AA83" si="347">+BS83+DI83</f>
        <v>0</v>
      </c>
      <c r="AB83" s="1685"/>
      <c r="AC83" s="1313">
        <f t="shared" ref="AC83" si="348">+BU83</f>
        <v>0</v>
      </c>
      <c r="AD83" s="1312">
        <f t="shared" ref="AD83" si="349">+BV83+DL83</f>
        <v>0</v>
      </c>
      <c r="AE83" s="1685"/>
      <c r="AF83" s="1313">
        <f t="shared" ref="AF83" si="350">+BX83</f>
        <v>0</v>
      </c>
      <c r="AG83" s="1312">
        <f t="shared" ref="AG83" si="351">+BY83+DO83</f>
        <v>0</v>
      </c>
      <c r="AH83" s="1685"/>
      <c r="AI83" s="1313">
        <f t="shared" ref="AI83" si="352">+CA83</f>
        <v>0</v>
      </c>
      <c r="AJ83" s="1312">
        <f t="shared" ref="AJ83" si="353">+CB83+DR83</f>
        <v>0</v>
      </c>
      <c r="AK83" s="1685"/>
      <c r="AL83" s="1313">
        <f t="shared" ref="AL83" si="354">+CD83</f>
        <v>0</v>
      </c>
      <c r="AM83" s="1312">
        <f t="shared" ref="AM83" si="355">+CE83+DU83</f>
        <v>0</v>
      </c>
      <c r="AN83" s="1685"/>
      <c r="AO83" s="1313">
        <f t="shared" ref="AO83" si="356">+CG83</f>
        <v>0</v>
      </c>
      <c r="AP83" s="1312">
        <f t="shared" ref="AP83" si="357">+CH83+DX83</f>
        <v>0</v>
      </c>
      <c r="AQ83" s="1685"/>
      <c r="AR83" s="1313">
        <f t="shared" ref="AR83" si="358">+Z83+W83+T83+Q83+N83+K83+AC83+AF83+AI83+AL83+AO83</f>
        <v>0</v>
      </c>
      <c r="AS83" s="1312">
        <f t="shared" ref="AS83" si="359">+AA83+X83+U83+R83+O83+L83+AD83+AG83+AJ83+AM83+AP83</f>
        <v>0</v>
      </c>
      <c r="AT83" s="1687"/>
      <c r="AU83" s="411"/>
      <c r="AV83" s="1757">
        <f t="shared" ref="AV83" si="360">+CK83+EA83</f>
        <v>0</v>
      </c>
      <c r="AW83" s="411"/>
      <c r="AX83" s="493"/>
      <c r="AY83" s="1566" t="s">
        <v>3484</v>
      </c>
      <c r="AZ83" s="442"/>
      <c r="BA83" s="442">
        <f>+'Data Input sheet'!J36</f>
        <v>6.25E-2</v>
      </c>
      <c r="BB83" s="1632"/>
      <c r="BC83" s="1599">
        <v>0</v>
      </c>
      <c r="BD83" s="1600">
        <v>0</v>
      </c>
      <c r="BE83" s="1633"/>
      <c r="BF83" s="1647"/>
      <c r="BG83" s="504">
        <f>ROUND((BG79*$BA$83),-2)</f>
        <v>0</v>
      </c>
      <c r="BH83" s="1633"/>
      <c r="BI83" s="1647"/>
      <c r="BJ83" s="504">
        <f>ROUND((BJ79*$BA$83),-2)</f>
        <v>0</v>
      </c>
      <c r="BK83" s="1668"/>
      <c r="BL83" s="1647"/>
      <c r="BM83" s="504">
        <f>ROUND((BM79*$BA$83),-2)</f>
        <v>0</v>
      </c>
      <c r="BN83" s="1633"/>
      <c r="BO83" s="1647"/>
      <c r="BP83" s="504">
        <f>ROUND((BP79*$BA$83),-2)</f>
        <v>0</v>
      </c>
      <c r="BQ83" s="1633"/>
      <c r="BR83" s="1647"/>
      <c r="BS83" s="504">
        <f>ROUND((BS79*$BA$83),-2)</f>
        <v>0</v>
      </c>
      <c r="BT83" s="1633"/>
      <c r="BU83" s="1647"/>
      <c r="BV83" s="504">
        <f>ROUND((BV79*$BA$83),-2)</f>
        <v>0</v>
      </c>
      <c r="BW83" s="1633"/>
      <c r="BX83" s="1647"/>
      <c r="BY83" s="504">
        <f>ROUND((BY79*$BA$83),-2)</f>
        <v>0</v>
      </c>
      <c r="BZ83" s="1633"/>
      <c r="CA83" s="1647"/>
      <c r="CB83" s="504">
        <f>ROUND((CB79*$BA$83),-2)</f>
        <v>0</v>
      </c>
      <c r="CC83" s="1633"/>
      <c r="CD83" s="1647"/>
      <c r="CE83" s="504">
        <f>ROUND((CE79*$BA$83),-2)</f>
        <v>0</v>
      </c>
      <c r="CF83" s="1633"/>
      <c r="CG83" s="1647"/>
      <c r="CH83" s="504">
        <f>ROUND((CH79*$BA$83),-2)</f>
        <v>0</v>
      </c>
      <c r="CI83" s="1633"/>
      <c r="CJ83" s="1257">
        <f t="shared" ref="CJ83" si="361">+BR83+BO83+BL83+BI83+BF83+BC83+BU83+BX83+CA83+CD83+CG83</f>
        <v>0</v>
      </c>
      <c r="CK83" s="1395">
        <f t="shared" ref="CK83" si="362">+BS83+BP83+BM83+BJ83+BG83+BD83+BV83+BY83+CB83+CE83+CH83</f>
        <v>0</v>
      </c>
      <c r="CL83" s="1734"/>
      <c r="CM83" s="170"/>
      <c r="CN83" s="493"/>
      <c r="CO83" s="428" t="str">
        <f t="shared" ref="CO83" si="363">+AY83</f>
        <v>Sales Tax (outside services)</v>
      </c>
      <c r="CP83" s="500"/>
      <c r="CQ83" s="505"/>
      <c r="CR83" s="1703"/>
      <c r="CS83" s="502"/>
      <c r="CT83" s="503">
        <f t="shared" ref="CT83" si="364">L83-BD83</f>
        <v>0</v>
      </c>
      <c r="CU83" s="1704"/>
      <c r="CV83" s="502"/>
      <c r="CW83" s="434">
        <f>ROUND((+BG83*(1+CW$5)),0)-BG83</f>
        <v>0</v>
      </c>
      <c r="CX83" s="443"/>
      <c r="CY83" s="432">
        <v>0</v>
      </c>
      <c r="CZ83" s="434">
        <f>ROUND((+BJ83*(1+CZ$5)),0)-BJ83</f>
        <v>0</v>
      </c>
      <c r="DA83" s="443"/>
      <c r="DB83" s="432">
        <v>0</v>
      </c>
      <c r="DC83" s="434">
        <f>ROUND((+BM83*(1+DC$5)),0)-BM83</f>
        <v>0</v>
      </c>
      <c r="DD83" s="443"/>
      <c r="DE83" s="432">
        <v>0</v>
      </c>
      <c r="DF83" s="434">
        <f>ROUND((+BP83*(1+DF$5)),0)-BP83</f>
        <v>0</v>
      </c>
      <c r="DG83" s="443"/>
      <c r="DH83" s="432">
        <v>0</v>
      </c>
      <c r="DI83" s="434">
        <f>ROUND((+BS83*(1+DI$5)),0)-BS83</f>
        <v>0</v>
      </c>
      <c r="DJ83" s="443"/>
      <c r="DK83" s="432">
        <v>0</v>
      </c>
      <c r="DL83" s="434">
        <f>ROUND((+BV83*(1+DL$5)),0)-BV83</f>
        <v>0</v>
      </c>
      <c r="DM83" s="443"/>
      <c r="DN83" s="432">
        <v>0</v>
      </c>
      <c r="DO83" s="434">
        <f>ROUND((+BY83*(1+DO$5)),0)-BY83</f>
        <v>0</v>
      </c>
      <c r="DP83" s="443"/>
      <c r="DQ83" s="432">
        <v>0</v>
      </c>
      <c r="DR83" s="434">
        <f>ROUND((+CB83*(1+DR$5)),0)-CB83</f>
        <v>0</v>
      </c>
      <c r="DS83" s="443"/>
      <c r="DT83" s="432">
        <v>0</v>
      </c>
      <c r="DU83" s="434">
        <f>ROUND((+CE83*(1+DU$5)),0)-CE83</f>
        <v>0</v>
      </c>
      <c r="DV83" s="443"/>
      <c r="DW83" s="432">
        <v>0</v>
      </c>
      <c r="DX83" s="434">
        <f>ROUND((+CH83*(1+DX$5)),0)-CH83</f>
        <v>0</v>
      </c>
      <c r="DY83" s="443"/>
      <c r="DZ83" s="432">
        <f t="shared" ref="DZ83" si="365">+DH83+DE83+DB83+CY83+CV83+CS83+DK83+DN83+DQ83+DT83+DW83</f>
        <v>0</v>
      </c>
      <c r="EA83" s="444">
        <f t="shared" ref="EA83" si="366">+DI83+DF83+DC83+CZ83+CW83+CT83+DL83+DO83+DR83+DU83+DX83</f>
        <v>0</v>
      </c>
      <c r="EB83" s="433"/>
      <c r="EC83" s="170"/>
      <c r="ED83" s="170"/>
      <c r="EE83" s="170"/>
      <c r="EF83" s="170"/>
      <c r="EG83" s="170"/>
      <c r="EH83" s="170"/>
      <c r="EI83" s="170"/>
      <c r="EJ83" s="170"/>
      <c r="EK83" s="170"/>
    </row>
    <row r="84" spans="1:141" ht="15" x14ac:dyDescent="0.25">
      <c r="A84" s="170"/>
      <c r="B84" s="424">
        <v>5</v>
      </c>
      <c r="C84" s="424">
        <v>4</v>
      </c>
      <c r="D84" s="424">
        <v>4</v>
      </c>
      <c r="E84" s="425">
        <v>6</v>
      </c>
      <c r="F84" s="493"/>
      <c r="G84" s="1308" t="str">
        <f t="shared" si="304"/>
        <v>Other</v>
      </c>
      <c r="H84" s="1343"/>
      <c r="I84" s="1310">
        <f t="shared" si="91"/>
        <v>0</v>
      </c>
      <c r="J84" s="1721"/>
      <c r="K84" s="1311">
        <f t="shared" si="305"/>
        <v>0</v>
      </c>
      <c r="L84" s="1312">
        <f t="shared" si="305"/>
        <v>0</v>
      </c>
      <c r="M84" s="1721"/>
      <c r="N84" s="1313">
        <f t="shared" si="306"/>
        <v>0</v>
      </c>
      <c r="O84" s="1312">
        <f t="shared" si="307"/>
        <v>0</v>
      </c>
      <c r="P84" s="1685"/>
      <c r="Q84" s="1313">
        <f t="shared" si="308"/>
        <v>0</v>
      </c>
      <c r="R84" s="1312">
        <f t="shared" si="309"/>
        <v>0</v>
      </c>
      <c r="S84" s="1685"/>
      <c r="T84" s="1313">
        <f t="shared" si="310"/>
        <v>0</v>
      </c>
      <c r="U84" s="1312">
        <f t="shared" si="311"/>
        <v>0</v>
      </c>
      <c r="V84" s="1685"/>
      <c r="W84" s="1313">
        <f t="shared" si="312"/>
        <v>0</v>
      </c>
      <c r="X84" s="1312">
        <f t="shared" si="313"/>
        <v>0</v>
      </c>
      <c r="Y84" s="1685"/>
      <c r="Z84" s="1313">
        <f t="shared" si="314"/>
        <v>0</v>
      </c>
      <c r="AA84" s="1312">
        <f t="shared" si="315"/>
        <v>0</v>
      </c>
      <c r="AB84" s="1685"/>
      <c r="AC84" s="1313">
        <f t="shared" si="316"/>
        <v>0</v>
      </c>
      <c r="AD84" s="1312">
        <f t="shared" si="317"/>
        <v>0</v>
      </c>
      <c r="AE84" s="1685"/>
      <c r="AF84" s="1313">
        <f t="shared" si="318"/>
        <v>0</v>
      </c>
      <c r="AG84" s="1312">
        <f t="shared" si="319"/>
        <v>0</v>
      </c>
      <c r="AH84" s="1685"/>
      <c r="AI84" s="1313">
        <f t="shared" si="320"/>
        <v>0</v>
      </c>
      <c r="AJ84" s="1312">
        <f t="shared" si="321"/>
        <v>0</v>
      </c>
      <c r="AK84" s="1685"/>
      <c r="AL84" s="1313">
        <f t="shared" si="322"/>
        <v>0</v>
      </c>
      <c r="AM84" s="1312">
        <f t="shared" si="323"/>
        <v>0</v>
      </c>
      <c r="AN84" s="1685"/>
      <c r="AO84" s="1313">
        <f t="shared" si="324"/>
        <v>0</v>
      </c>
      <c r="AP84" s="1312">
        <f t="shared" si="325"/>
        <v>0</v>
      </c>
      <c r="AQ84" s="1685"/>
      <c r="AR84" s="1313">
        <f t="shared" si="326"/>
        <v>0</v>
      </c>
      <c r="AS84" s="1312">
        <f t="shared" si="327"/>
        <v>0</v>
      </c>
      <c r="AT84" s="1687"/>
      <c r="AU84" s="411"/>
      <c r="AV84" s="1757">
        <f t="shared" si="328"/>
        <v>0</v>
      </c>
      <c r="AW84" s="411"/>
      <c r="AX84" s="493"/>
      <c r="AY84" s="1562" t="s">
        <v>39</v>
      </c>
      <c r="AZ84" s="1585"/>
      <c r="BA84" s="506">
        <v>0</v>
      </c>
      <c r="BB84" s="1632"/>
      <c r="BC84" s="1599">
        <v>0</v>
      </c>
      <c r="BD84" s="1600">
        <v>0</v>
      </c>
      <c r="BE84" s="1636"/>
      <c r="BF84" s="1648"/>
      <c r="BG84" s="507">
        <f>ROUND(SUM(BG77:BG80)*$BA84,-2)</f>
        <v>0</v>
      </c>
      <c r="BH84" s="1636"/>
      <c r="BI84" s="1648"/>
      <c r="BJ84" s="507">
        <f>ROUND(SUM(BJ77:BJ80)*$BA84,-2)</f>
        <v>0</v>
      </c>
      <c r="BK84" s="1669"/>
      <c r="BL84" s="1648"/>
      <c r="BM84" s="507">
        <f>ROUND(SUM(BM77:BM80)*$BA84,-2)</f>
        <v>0</v>
      </c>
      <c r="BN84" s="1636"/>
      <c r="BO84" s="1648"/>
      <c r="BP84" s="507">
        <f>ROUND(SUM(BP77:BP80)*$BA84,-2)</f>
        <v>0</v>
      </c>
      <c r="BQ84" s="1636"/>
      <c r="BR84" s="1648"/>
      <c r="BS84" s="507">
        <f>ROUND(SUM(BS77:BS80)*$BA84,-2)</f>
        <v>0</v>
      </c>
      <c r="BT84" s="1636"/>
      <c r="BU84" s="1648"/>
      <c r="BV84" s="507">
        <f>ROUND(SUM(BV77:BV80)*$BA84,-2)</f>
        <v>0</v>
      </c>
      <c r="BW84" s="1636"/>
      <c r="BX84" s="1648"/>
      <c r="BY84" s="507">
        <f>ROUND(SUM(BY77:BY80)*$BA84,-2)</f>
        <v>0</v>
      </c>
      <c r="BZ84" s="1636"/>
      <c r="CA84" s="1648"/>
      <c r="CB84" s="507">
        <f>ROUND(SUM(CB77:CB80)*$BA84,-2)</f>
        <v>0</v>
      </c>
      <c r="CC84" s="1636"/>
      <c r="CD84" s="1648"/>
      <c r="CE84" s="507">
        <f>ROUND(SUM(CE77:CE80)*$BA84,-2)</f>
        <v>0</v>
      </c>
      <c r="CF84" s="1636"/>
      <c r="CG84" s="1648"/>
      <c r="CH84" s="507">
        <f>ROUND(SUM(CH77:CH80)*$BA84,-2)</f>
        <v>0</v>
      </c>
      <c r="CI84" s="1636"/>
      <c r="CJ84" s="1257">
        <f t="shared" si="329"/>
        <v>0</v>
      </c>
      <c r="CK84" s="1395">
        <f t="shared" si="330"/>
        <v>0</v>
      </c>
      <c r="CL84" s="1735"/>
      <c r="CM84" s="170"/>
      <c r="CN84" s="493"/>
      <c r="CO84" s="428" t="str">
        <f t="shared" si="331"/>
        <v>Other</v>
      </c>
      <c r="CP84" s="500"/>
      <c r="CQ84" s="505"/>
      <c r="CR84" s="1703"/>
      <c r="CS84" s="522"/>
      <c r="CT84" s="508">
        <f t="shared" si="332"/>
        <v>0</v>
      </c>
      <c r="CU84" s="1709"/>
      <c r="CV84" s="522"/>
      <c r="CW84" s="434">
        <f>ROUND((+BG84*(1+CW$5)),0)-BG84</f>
        <v>0</v>
      </c>
      <c r="CX84" s="443"/>
      <c r="CY84" s="432">
        <v>0</v>
      </c>
      <c r="CZ84" s="434">
        <f>ROUND((+BJ84*(1+CZ$5)),0)-BJ84</f>
        <v>0</v>
      </c>
      <c r="DA84" s="443"/>
      <c r="DB84" s="432">
        <v>0</v>
      </c>
      <c r="DC84" s="434">
        <f>ROUND((+BM84*(1+DC$5)),0)-BM84</f>
        <v>0</v>
      </c>
      <c r="DD84" s="443"/>
      <c r="DE84" s="432">
        <v>0</v>
      </c>
      <c r="DF84" s="434">
        <f>ROUND((+BP84*(1+DF$5)),0)-BP84</f>
        <v>0</v>
      </c>
      <c r="DG84" s="443"/>
      <c r="DH84" s="432">
        <v>0</v>
      </c>
      <c r="DI84" s="434">
        <f>ROUND((+BS84*(1+DI$5)),0)-BS84</f>
        <v>0</v>
      </c>
      <c r="DJ84" s="443"/>
      <c r="DK84" s="432">
        <v>0</v>
      </c>
      <c r="DL84" s="434">
        <f>ROUND((+BV84*(1+DL$5)),0)-BV84</f>
        <v>0</v>
      </c>
      <c r="DM84" s="443"/>
      <c r="DN84" s="432">
        <v>0</v>
      </c>
      <c r="DO84" s="434">
        <f>ROUND((+BY84*(1+DO$5)),0)-BY84</f>
        <v>0</v>
      </c>
      <c r="DP84" s="443"/>
      <c r="DQ84" s="432">
        <v>0</v>
      </c>
      <c r="DR84" s="434">
        <f>ROUND((+CB84*(1+DR$5)),0)-CB84</f>
        <v>0</v>
      </c>
      <c r="DS84" s="443"/>
      <c r="DT84" s="432">
        <v>0</v>
      </c>
      <c r="DU84" s="434">
        <f>ROUND((+CE84*(1+DU$5)),0)-CE84</f>
        <v>0</v>
      </c>
      <c r="DV84" s="443"/>
      <c r="DW84" s="432">
        <v>0</v>
      </c>
      <c r="DX84" s="434">
        <f>ROUND((+CH84*(1+DX$5)),0)-CH84</f>
        <v>0</v>
      </c>
      <c r="DY84" s="443"/>
      <c r="DZ84" s="432">
        <f t="shared" si="333"/>
        <v>0</v>
      </c>
      <c r="EA84" s="444">
        <f t="shared" si="334"/>
        <v>0</v>
      </c>
      <c r="EB84" s="433"/>
      <c r="EC84" s="170"/>
      <c r="ED84" s="170"/>
      <c r="EE84" s="170"/>
      <c r="EF84" s="170"/>
      <c r="EG84" s="170"/>
      <c r="EH84" s="170"/>
      <c r="EI84" s="170"/>
      <c r="EJ84" s="170"/>
      <c r="EK84" s="170"/>
    </row>
    <row r="85" spans="1:141" ht="15" x14ac:dyDescent="0.25">
      <c r="A85" s="170"/>
      <c r="B85" s="472"/>
      <c r="C85" s="472"/>
      <c r="D85" s="472"/>
      <c r="E85" s="473"/>
      <c r="F85" s="493"/>
      <c r="G85" s="1321" t="s">
        <v>335</v>
      </c>
      <c r="H85" s="1343"/>
      <c r="I85" s="1310">
        <f t="shared" si="91"/>
        <v>0</v>
      </c>
      <c r="J85" s="1685"/>
      <c r="K85" s="1316"/>
      <c r="L85" s="1312">
        <f>SUM(L78:L84)</f>
        <v>2358</v>
      </c>
      <c r="M85" s="1685"/>
      <c r="N85" s="1316"/>
      <c r="O85" s="1312">
        <f>SUM(O78:O84)</f>
        <v>0</v>
      </c>
      <c r="P85" s="1685"/>
      <c r="Q85" s="1316"/>
      <c r="R85" s="1312">
        <f>SUM(R78:R84)</f>
        <v>0</v>
      </c>
      <c r="S85" s="1685"/>
      <c r="T85" s="1316"/>
      <c r="U85" s="1312">
        <f>SUM(U78:U84)</f>
        <v>9639967.5745999999</v>
      </c>
      <c r="V85" s="1685"/>
      <c r="W85" s="1316"/>
      <c r="X85" s="1312">
        <f>SUM(X78:X84)</f>
        <v>9929166.6018380001</v>
      </c>
      <c r="Y85" s="1685"/>
      <c r="Z85" s="1316"/>
      <c r="AA85" s="1312">
        <f>SUM(AA78:AA84)</f>
        <v>0</v>
      </c>
      <c r="AB85" s="1685"/>
      <c r="AC85" s="1316"/>
      <c r="AD85" s="1312">
        <f>SUM(AD78:AD84)</f>
        <v>0</v>
      </c>
      <c r="AE85" s="1685"/>
      <c r="AF85" s="1316"/>
      <c r="AG85" s="1312">
        <f>SUM(AG78:AG84)</f>
        <v>0</v>
      </c>
      <c r="AH85" s="1685"/>
      <c r="AI85" s="1316"/>
      <c r="AJ85" s="1312">
        <f>SUM(AJ78:AJ84)</f>
        <v>0</v>
      </c>
      <c r="AK85" s="1685"/>
      <c r="AL85" s="1316"/>
      <c r="AM85" s="1312">
        <f>SUM(AM78:AM84)</f>
        <v>0</v>
      </c>
      <c r="AN85" s="1685"/>
      <c r="AO85" s="1316"/>
      <c r="AP85" s="1312">
        <f>SUM(AP78:AP84)</f>
        <v>0</v>
      </c>
      <c r="AQ85" s="1685"/>
      <c r="AR85" s="1316"/>
      <c r="AS85" s="1312">
        <f>SUM(AS78:AS84)</f>
        <v>19571492.176438</v>
      </c>
      <c r="AT85" s="1687"/>
      <c r="AU85" s="411"/>
      <c r="AV85" s="1757">
        <f t="shared" si="328"/>
        <v>19571492.176438</v>
      </c>
      <c r="AW85" s="411"/>
      <c r="AX85" s="493"/>
      <c r="AY85" s="517" t="s">
        <v>335</v>
      </c>
      <c r="AZ85" s="1571"/>
      <c r="BA85" s="1570"/>
      <c r="BB85" s="1579"/>
      <c r="BC85" s="1257"/>
      <c r="BD85" s="1284">
        <f>SUM(BD78:BD84)</f>
        <v>2358</v>
      </c>
      <c r="BE85" s="1579"/>
      <c r="BF85" s="1469"/>
      <c r="BG85" s="1284">
        <f>SUM(BG78:BG84)</f>
        <v>0</v>
      </c>
      <c r="BH85" s="1579"/>
      <c r="BI85" s="1469"/>
      <c r="BJ85" s="1284">
        <f>SUM(BJ78:BJ84)</f>
        <v>0</v>
      </c>
      <c r="BK85" s="1579"/>
      <c r="BL85" s="1469"/>
      <c r="BM85" s="1284">
        <f>SUM(BM78:BM84)</f>
        <v>9086594</v>
      </c>
      <c r="BN85" s="1579"/>
      <c r="BO85" s="1469"/>
      <c r="BP85" s="1284">
        <f>SUM(BP78:BP84)</f>
        <v>9086594</v>
      </c>
      <c r="BQ85" s="1579"/>
      <c r="BR85" s="1469"/>
      <c r="BS85" s="1284">
        <f>SUM(BS78:BS84)</f>
        <v>0</v>
      </c>
      <c r="BT85" s="1579"/>
      <c r="BU85" s="1469"/>
      <c r="BV85" s="1284">
        <f>SUM(BV78:BV84)</f>
        <v>0</v>
      </c>
      <c r="BW85" s="1579"/>
      <c r="BX85" s="1469"/>
      <c r="BY85" s="1284">
        <f>SUM(BY78:BY84)</f>
        <v>0</v>
      </c>
      <c r="BZ85" s="1579"/>
      <c r="CA85" s="1469"/>
      <c r="CB85" s="1284">
        <f>SUM(CB78:CB84)</f>
        <v>0</v>
      </c>
      <c r="CC85" s="1579"/>
      <c r="CD85" s="1469"/>
      <c r="CE85" s="1284">
        <f>SUM(CE78:CE84)</f>
        <v>0</v>
      </c>
      <c r="CF85" s="1579"/>
      <c r="CG85" s="1469"/>
      <c r="CH85" s="1284">
        <f>SUM(CH78:CH84)</f>
        <v>0</v>
      </c>
      <c r="CI85" s="1579"/>
      <c r="CJ85" s="1469"/>
      <c r="CK85" s="1284">
        <f>SUM(CK78:CK84)</f>
        <v>18175546</v>
      </c>
      <c r="CL85" s="1729"/>
      <c r="CM85" s="170"/>
      <c r="CN85" s="493"/>
      <c r="CO85" s="456" t="s">
        <v>335</v>
      </c>
      <c r="CP85" s="500"/>
      <c r="CQ85" s="501"/>
      <c r="CR85" s="443"/>
      <c r="CS85" s="432"/>
      <c r="CT85" s="431">
        <f>SUM(CT78:CT84)</f>
        <v>0</v>
      </c>
      <c r="CU85" s="443"/>
      <c r="CV85" s="432"/>
      <c r="CW85" s="431">
        <f>SUM(CW78:CW84)</f>
        <v>0</v>
      </c>
      <c r="CX85" s="443"/>
      <c r="CY85" s="432"/>
      <c r="CZ85" s="431">
        <f>SUM(CZ78:CZ84)</f>
        <v>0</v>
      </c>
      <c r="DA85" s="443"/>
      <c r="DB85" s="432"/>
      <c r="DC85" s="431">
        <f>SUM(DC78:DC84)</f>
        <v>553373.57459999959</v>
      </c>
      <c r="DD85" s="443"/>
      <c r="DE85" s="432"/>
      <c r="DF85" s="431">
        <f>SUM(DF78:DF84)</f>
        <v>842572.601838</v>
      </c>
      <c r="DG85" s="443"/>
      <c r="DH85" s="432"/>
      <c r="DI85" s="431">
        <f>SUM(DI78:DI84)</f>
        <v>0</v>
      </c>
      <c r="DJ85" s="443"/>
      <c r="DK85" s="432"/>
      <c r="DL85" s="431">
        <f>SUM(DL78:DL84)</f>
        <v>0</v>
      </c>
      <c r="DM85" s="443"/>
      <c r="DN85" s="432"/>
      <c r="DO85" s="431">
        <f>SUM(DO78:DO84)</f>
        <v>0</v>
      </c>
      <c r="DP85" s="443"/>
      <c r="DQ85" s="432"/>
      <c r="DR85" s="431">
        <f>SUM(DR78:DR84)</f>
        <v>0</v>
      </c>
      <c r="DS85" s="443"/>
      <c r="DT85" s="432"/>
      <c r="DU85" s="431">
        <f>SUM(DU78:DU84)</f>
        <v>0</v>
      </c>
      <c r="DV85" s="443"/>
      <c r="DW85" s="432"/>
      <c r="DX85" s="431">
        <f>SUM(DX78:DX84)</f>
        <v>0</v>
      </c>
      <c r="DY85" s="443"/>
      <c r="DZ85" s="432"/>
      <c r="EA85" s="444">
        <f>SUM(EA78:EA84)</f>
        <v>1395946.1764379996</v>
      </c>
      <c r="EB85" s="433"/>
      <c r="EC85" s="170"/>
      <c r="ED85" s="170"/>
      <c r="EE85" s="170"/>
      <c r="EF85" s="170"/>
      <c r="EG85" s="170"/>
      <c r="EH85" s="170"/>
      <c r="EI85" s="170"/>
      <c r="EJ85" s="170"/>
      <c r="EK85" s="170"/>
    </row>
    <row r="86" spans="1:141" ht="15" x14ac:dyDescent="0.25">
      <c r="A86" s="170"/>
      <c r="B86" s="424"/>
      <c r="C86" s="424">
        <v>9</v>
      </c>
      <c r="D86" s="424"/>
      <c r="E86" s="425">
        <v>99</v>
      </c>
      <c r="F86" s="493"/>
      <c r="G86" s="1308" t="str">
        <f>+AY86</f>
        <v>Escalation</v>
      </c>
      <c r="H86" s="1322"/>
      <c r="I86" s="1310">
        <f t="shared" si="91"/>
        <v>0</v>
      </c>
      <c r="J86" s="1687"/>
      <c r="K86" s="1311">
        <f>+BC86</f>
        <v>0</v>
      </c>
      <c r="L86" s="1312">
        <f>+BD86</f>
        <v>0</v>
      </c>
      <c r="M86" s="1687"/>
      <c r="N86" s="1323"/>
      <c r="O86" s="1312">
        <f>+BG86+CW86</f>
        <v>0</v>
      </c>
      <c r="P86" s="1685"/>
      <c r="Q86" s="1313">
        <f>+BI86</f>
        <v>0</v>
      </c>
      <c r="R86" s="1312">
        <f>+BJ86+CZ86</f>
        <v>0</v>
      </c>
      <c r="S86" s="1685"/>
      <c r="T86" s="1313">
        <f>+BL86</f>
        <v>0</v>
      </c>
      <c r="U86" s="1312">
        <f>+BM86+DC86</f>
        <v>0</v>
      </c>
      <c r="V86" s="1685"/>
      <c r="W86" s="1313">
        <f>+BO86</f>
        <v>0</v>
      </c>
      <c r="X86" s="1312">
        <f>+BP86+DF86</f>
        <v>0</v>
      </c>
      <c r="Y86" s="1685"/>
      <c r="Z86" s="1313">
        <f>+BR86</f>
        <v>0</v>
      </c>
      <c r="AA86" s="1312">
        <f>+BS86+DI86</f>
        <v>0</v>
      </c>
      <c r="AB86" s="1685"/>
      <c r="AC86" s="1313">
        <f>+BU86</f>
        <v>0</v>
      </c>
      <c r="AD86" s="1312">
        <f>+BV86+DL86</f>
        <v>0</v>
      </c>
      <c r="AE86" s="1685"/>
      <c r="AF86" s="1313">
        <f>+BX86</f>
        <v>0</v>
      </c>
      <c r="AG86" s="1312">
        <f>+BY86+DO86</f>
        <v>0</v>
      </c>
      <c r="AH86" s="1685"/>
      <c r="AI86" s="1313">
        <f>+CA86</f>
        <v>0</v>
      </c>
      <c r="AJ86" s="1312">
        <f>+CB86+DR86</f>
        <v>0</v>
      </c>
      <c r="AK86" s="1685"/>
      <c r="AL86" s="1313">
        <f>+CD86</f>
        <v>0</v>
      </c>
      <c r="AM86" s="1312">
        <f>+CE86+DU86</f>
        <v>0</v>
      </c>
      <c r="AN86" s="1685"/>
      <c r="AO86" s="1313">
        <f>+CG86</f>
        <v>0</v>
      </c>
      <c r="AP86" s="1312">
        <f>+CH86+DX86</f>
        <v>0</v>
      </c>
      <c r="AQ86" s="1685"/>
      <c r="AR86" s="1313">
        <f t="shared" ref="AR86:AR87" si="367">+Z86+W86+T86+Q86+N86+K86+AC86+AF86+AI86+AL86+AO86</f>
        <v>0</v>
      </c>
      <c r="AS86" s="1312">
        <f t="shared" ref="AS86:AS87" si="368">+AA86+X86+U86+R86+O86+L86+AD86+AG86+AJ86+AM86+AP86</f>
        <v>0</v>
      </c>
      <c r="AT86" s="1687"/>
      <c r="AU86" s="411"/>
      <c r="AV86" s="1757">
        <f t="shared" si="328"/>
        <v>0</v>
      </c>
      <c r="AW86" s="411"/>
      <c r="AX86" s="493"/>
      <c r="AY86" s="1561" t="s">
        <v>99</v>
      </c>
      <c r="AZ86" s="1587"/>
      <c r="BA86" s="1582"/>
      <c r="BB86" s="1632"/>
      <c r="BC86" s="1599">
        <v>0</v>
      </c>
      <c r="BD86" s="1600">
        <v>0</v>
      </c>
      <c r="BE86" s="1632"/>
      <c r="BF86" s="1564"/>
      <c r="BG86" s="1608"/>
      <c r="BH86" s="1579"/>
      <c r="BI86" s="1564"/>
      <c r="BJ86" s="1608"/>
      <c r="BK86" s="1666"/>
      <c r="BL86" s="1564"/>
      <c r="BM86" s="1608"/>
      <c r="BN86" s="1579"/>
      <c r="BO86" s="1564"/>
      <c r="BP86" s="1608"/>
      <c r="BQ86" s="1579"/>
      <c r="BR86" s="1564"/>
      <c r="BS86" s="1608"/>
      <c r="BT86" s="1579"/>
      <c r="BU86" s="1564"/>
      <c r="BV86" s="1608"/>
      <c r="BW86" s="1579"/>
      <c r="BX86" s="1564"/>
      <c r="BY86" s="1608"/>
      <c r="BZ86" s="1579"/>
      <c r="CA86" s="1564"/>
      <c r="CB86" s="1608"/>
      <c r="CC86" s="1579"/>
      <c r="CD86" s="1564"/>
      <c r="CE86" s="1608"/>
      <c r="CF86" s="1579"/>
      <c r="CG86" s="1564"/>
      <c r="CH86" s="1608"/>
      <c r="CI86" s="1579"/>
      <c r="CJ86" s="1257">
        <f t="shared" si="329"/>
        <v>0</v>
      </c>
      <c r="CK86" s="1395">
        <f t="shared" si="330"/>
        <v>0</v>
      </c>
      <c r="CL86" s="427"/>
      <c r="CM86" s="170"/>
      <c r="CN86" s="493"/>
      <c r="CO86" s="384"/>
      <c r="CP86" s="388"/>
      <c r="CQ86" s="509"/>
      <c r="CR86" s="1703"/>
      <c r="CS86" s="435"/>
      <c r="CT86" s="510">
        <f>L86-BD86</f>
        <v>0</v>
      </c>
      <c r="CU86" s="1703"/>
      <c r="CV86" s="435"/>
      <c r="CW86" s="510"/>
      <c r="CX86" s="1703"/>
      <c r="CY86" s="435"/>
      <c r="CZ86" s="510"/>
      <c r="DA86" s="1703"/>
      <c r="DB86" s="435"/>
      <c r="DC86" s="510"/>
      <c r="DD86" s="1703"/>
      <c r="DE86" s="435"/>
      <c r="DF86" s="510"/>
      <c r="DG86" s="1703"/>
      <c r="DH86" s="435"/>
      <c r="DI86" s="510"/>
      <c r="DJ86" s="1703"/>
      <c r="DK86" s="435"/>
      <c r="DL86" s="510"/>
      <c r="DM86" s="1703"/>
      <c r="DN86" s="435"/>
      <c r="DO86" s="510"/>
      <c r="DP86" s="1703"/>
      <c r="DQ86" s="435"/>
      <c r="DR86" s="510"/>
      <c r="DS86" s="1703"/>
      <c r="DT86" s="435"/>
      <c r="DU86" s="510"/>
      <c r="DV86" s="1703"/>
      <c r="DW86" s="435"/>
      <c r="DX86" s="510"/>
      <c r="DY86" s="1703"/>
      <c r="DZ86" s="435">
        <f t="shared" ref="DZ86:DZ87" si="369">+DH86+DE86+DB86+CY86+CV86+CS86+DK86+DN86+DQ86+DT86+DW86</f>
        <v>0</v>
      </c>
      <c r="EA86" s="444">
        <f t="shared" ref="EA86:EA87" si="370">+DI86+DF86+DC86+CZ86+CW86+CT86+DL86+DO86+DR86+DU86+DX86</f>
        <v>0</v>
      </c>
      <c r="EB86" s="433"/>
      <c r="EC86" s="170"/>
      <c r="ED86" s="170"/>
      <c r="EE86" s="170"/>
      <c r="EF86" s="170"/>
      <c r="EG86" s="170"/>
      <c r="EH86" s="170"/>
      <c r="EI86" s="170"/>
      <c r="EJ86" s="170"/>
      <c r="EK86" s="170"/>
    </row>
    <row r="87" spans="1:141" ht="15" x14ac:dyDescent="0.25">
      <c r="A87" s="170"/>
      <c r="B87" s="424">
        <v>5</v>
      </c>
      <c r="C87" s="424">
        <v>8</v>
      </c>
      <c r="D87" s="424">
        <v>6</v>
      </c>
      <c r="E87" s="425">
        <v>11</v>
      </c>
      <c r="F87" s="493"/>
      <c r="G87" s="1308">
        <f>+AY87</f>
        <v>0</v>
      </c>
      <c r="H87" s="1322" t="s">
        <v>309</v>
      </c>
      <c r="I87" s="1310">
        <f t="shared" si="91"/>
        <v>0</v>
      </c>
      <c r="J87" s="1687"/>
      <c r="K87" s="1311">
        <f>+BC87</f>
        <v>0</v>
      </c>
      <c r="L87" s="1312">
        <f>+BD87</f>
        <v>0</v>
      </c>
      <c r="M87" s="1687"/>
      <c r="N87" s="1325"/>
      <c r="O87" s="1312">
        <f>+BG87+CW87</f>
        <v>0</v>
      </c>
      <c r="P87" s="1685"/>
      <c r="Q87" s="1313">
        <f>+BI87</f>
        <v>0</v>
      </c>
      <c r="R87" s="1312">
        <f>+BJ87+CZ87</f>
        <v>0</v>
      </c>
      <c r="S87" s="1685"/>
      <c r="T87" s="1313">
        <f>+BL87</f>
        <v>0</v>
      </c>
      <c r="U87" s="1312">
        <f>+BM87+DC87</f>
        <v>0</v>
      </c>
      <c r="V87" s="1685"/>
      <c r="W87" s="1313">
        <f>+BO87</f>
        <v>0</v>
      </c>
      <c r="X87" s="1312">
        <f>+BP87+DF87</f>
        <v>0</v>
      </c>
      <c r="Y87" s="1685"/>
      <c r="Z87" s="1313">
        <f>+BR87</f>
        <v>0</v>
      </c>
      <c r="AA87" s="1312">
        <f>+BS87+DI87</f>
        <v>0</v>
      </c>
      <c r="AB87" s="1685"/>
      <c r="AC87" s="1313">
        <f>+BU87</f>
        <v>0</v>
      </c>
      <c r="AD87" s="1312">
        <f>+BV87+DL87</f>
        <v>0</v>
      </c>
      <c r="AE87" s="1685"/>
      <c r="AF87" s="1313">
        <f>+BX87</f>
        <v>0</v>
      </c>
      <c r="AG87" s="1312">
        <f>+BY87+DO87</f>
        <v>0</v>
      </c>
      <c r="AH87" s="1685"/>
      <c r="AI87" s="1313">
        <f>+CA87</f>
        <v>0</v>
      </c>
      <c r="AJ87" s="1312">
        <f>+CB87+DR87</f>
        <v>0</v>
      </c>
      <c r="AK87" s="1685"/>
      <c r="AL87" s="1313">
        <f>+CD87</f>
        <v>0</v>
      </c>
      <c r="AM87" s="1312">
        <f>+CE87+DU87</f>
        <v>0</v>
      </c>
      <c r="AN87" s="1685"/>
      <c r="AO87" s="1313">
        <f>+CG87</f>
        <v>0</v>
      </c>
      <c r="AP87" s="1312">
        <f>+CH87+DX87</f>
        <v>0</v>
      </c>
      <c r="AQ87" s="1685"/>
      <c r="AR87" s="1313">
        <f t="shared" si="367"/>
        <v>0</v>
      </c>
      <c r="AS87" s="1312">
        <f t="shared" si="368"/>
        <v>0</v>
      </c>
      <c r="AT87" s="1687"/>
      <c r="AU87" s="411"/>
      <c r="AV87" s="1757">
        <f t="shared" si="328"/>
        <v>0</v>
      </c>
      <c r="AW87" s="411"/>
      <c r="AX87" s="493"/>
      <c r="AY87" s="1561"/>
      <c r="AZ87" s="1569"/>
      <c r="BA87" s="1581">
        <v>0</v>
      </c>
      <c r="BB87" s="1632"/>
      <c r="BC87" s="1599">
        <v>0</v>
      </c>
      <c r="BD87" s="1600">
        <v>0</v>
      </c>
      <c r="BE87" s="1656"/>
      <c r="BF87" s="1606"/>
      <c r="BG87" s="1607">
        <f>ROUND((+BG85+BG86)*$BA$87,0)*0</f>
        <v>0</v>
      </c>
      <c r="BH87" s="1660"/>
      <c r="BI87" s="1606"/>
      <c r="BJ87" s="1607">
        <f>ROUND((+BJ85+BJ86)*$BA$87,0)*0</f>
        <v>0</v>
      </c>
      <c r="BK87" s="1666"/>
      <c r="BL87" s="1606"/>
      <c r="BM87" s="1607">
        <f>ROUND((+BM85+BM86)*$BA$87,0)*0</f>
        <v>0</v>
      </c>
      <c r="BN87" s="1579"/>
      <c r="BO87" s="1606"/>
      <c r="BP87" s="1607">
        <f>ROUND((+BP85+BP86)*$BA$87,0)*0</f>
        <v>0</v>
      </c>
      <c r="BQ87" s="1579"/>
      <c r="BR87" s="1606"/>
      <c r="BS87" s="1607">
        <f>ROUND((+BS85+BS86)*$BA$87,0)*0</f>
        <v>0</v>
      </c>
      <c r="BT87" s="1656"/>
      <c r="BU87" s="1606"/>
      <c r="BV87" s="1607">
        <f>ROUND((+BV85+BV86)*$BA$87,0)*0</f>
        <v>0</v>
      </c>
      <c r="BW87" s="1656"/>
      <c r="BX87" s="1606"/>
      <c r="BY87" s="1607">
        <f>ROUND((+BY85+BY86)*$BA$87,0)*0</f>
        <v>0</v>
      </c>
      <c r="BZ87" s="1656"/>
      <c r="CA87" s="1606"/>
      <c r="CB87" s="1607">
        <f>ROUND((+CB85+CB86)*$BA$87,0)*0</f>
        <v>0</v>
      </c>
      <c r="CC87" s="1656"/>
      <c r="CD87" s="1606"/>
      <c r="CE87" s="1607">
        <f>ROUND((+CE85+CE86)*$BA$87,0)*0</f>
        <v>0</v>
      </c>
      <c r="CF87" s="1656"/>
      <c r="CG87" s="1606"/>
      <c r="CH87" s="1607">
        <f>ROUND((+CH85+CH86)*$BA$87,0)*0</f>
        <v>0</v>
      </c>
      <c r="CI87" s="1656"/>
      <c r="CJ87" s="1257">
        <f t="shared" si="329"/>
        <v>0</v>
      </c>
      <c r="CK87" s="1395">
        <f t="shared" si="330"/>
        <v>0</v>
      </c>
      <c r="CL87" s="1730"/>
      <c r="CM87" s="170"/>
      <c r="CN87" s="493"/>
      <c r="CO87" s="428">
        <f>+AY87</f>
        <v>0</v>
      </c>
      <c r="CP87" s="459" t="s">
        <v>309</v>
      </c>
      <c r="CQ87" s="461"/>
      <c r="CR87" s="1703"/>
      <c r="CS87" s="462"/>
      <c r="CT87" s="463">
        <f>L87-BD87</f>
        <v>0</v>
      </c>
      <c r="CU87" s="1703"/>
      <c r="CV87" s="462"/>
      <c r="CW87" s="434">
        <f>(ROUND((+BG87*(1+CW$4)),0)-BG87)*'Data Input sheet'!$D$70</f>
        <v>0</v>
      </c>
      <c r="CX87" s="443"/>
      <c r="CY87" s="432"/>
      <c r="CZ87" s="434">
        <f>(ROUND((+BJ87*(1+CZ$4)),0)-BJ87)*'Data Input sheet'!$D$70</f>
        <v>0</v>
      </c>
      <c r="DA87" s="443"/>
      <c r="DB87" s="432"/>
      <c r="DC87" s="434">
        <f>(ROUND((+BM87*(1+DC$4)),0)-BM87)*'Data Input sheet'!$D$70</f>
        <v>0</v>
      </c>
      <c r="DD87" s="443"/>
      <c r="DE87" s="432">
        <v>0</v>
      </c>
      <c r="DF87" s="434">
        <f>(ROUND((+BP87*(1+DF$4)),0)-BP87)*'Data Input sheet'!$D$70</f>
        <v>0</v>
      </c>
      <c r="DG87" s="443"/>
      <c r="DH87" s="432">
        <v>0</v>
      </c>
      <c r="DI87" s="434">
        <f>(ROUND((+BS87*(1+DI$4)),0)-BS87)*'Data Input sheet'!$D$70</f>
        <v>0</v>
      </c>
      <c r="DJ87" s="443"/>
      <c r="DK87" s="432">
        <v>0</v>
      </c>
      <c r="DL87" s="434">
        <f>(ROUND((+BV87*(1+DL$4)),0)-BV87)*'Data Input sheet'!$D$70</f>
        <v>0</v>
      </c>
      <c r="DM87" s="443"/>
      <c r="DN87" s="432">
        <v>0</v>
      </c>
      <c r="DO87" s="434">
        <f>(ROUND((+BY87*(1+DO$4)),0)-BY87)*'Data Input sheet'!$D$70</f>
        <v>0</v>
      </c>
      <c r="DP87" s="443"/>
      <c r="DQ87" s="432">
        <v>0</v>
      </c>
      <c r="DR87" s="434">
        <f>(ROUND((+CB87*(1+DR$4)),0)-CB87)*'Data Input sheet'!$D$70</f>
        <v>0</v>
      </c>
      <c r="DS87" s="443"/>
      <c r="DT87" s="432">
        <v>0</v>
      </c>
      <c r="DU87" s="434">
        <f>(ROUND((+CE87*(1+DU$4)),0)-CE87)*'Data Input sheet'!$D$70</f>
        <v>0</v>
      </c>
      <c r="DV87" s="443"/>
      <c r="DW87" s="432">
        <v>0</v>
      </c>
      <c r="DX87" s="434">
        <f>(ROUND((+CH87*(1+DX$4)),0)-CH87)*'Data Input sheet'!$D$70</f>
        <v>0</v>
      </c>
      <c r="DY87" s="443"/>
      <c r="DZ87" s="432">
        <f t="shared" si="369"/>
        <v>0</v>
      </c>
      <c r="EA87" s="444">
        <f t="shared" si="370"/>
        <v>0</v>
      </c>
      <c r="EB87" s="433"/>
      <c r="EC87" s="170"/>
      <c r="ED87" s="170"/>
      <c r="EE87" s="170"/>
      <c r="EF87" s="170"/>
      <c r="EG87" s="170"/>
      <c r="EH87" s="170"/>
      <c r="EI87" s="170"/>
      <c r="EJ87" s="170"/>
      <c r="EK87" s="170"/>
    </row>
    <row r="88" spans="1:141" ht="15.75" thickBot="1" x14ac:dyDescent="0.3">
      <c r="A88" s="170"/>
      <c r="B88" s="472"/>
      <c r="C88" s="472"/>
      <c r="D88" s="472"/>
      <c r="E88" s="473"/>
      <c r="F88" s="493"/>
      <c r="G88" s="1327" t="s">
        <v>336</v>
      </c>
      <c r="H88" s="1328"/>
      <c r="I88" s="1310">
        <f t="shared" si="91"/>
        <v>0</v>
      </c>
      <c r="J88" s="1687"/>
      <c r="K88" s="1330"/>
      <c r="L88" s="1331">
        <f>+L87+L86+L85</f>
        <v>2358</v>
      </c>
      <c r="M88" s="1687"/>
      <c r="N88" s="1330"/>
      <c r="O88" s="1331">
        <f>+O87+O86+O85</f>
        <v>0</v>
      </c>
      <c r="P88" s="1687"/>
      <c r="Q88" s="1330"/>
      <c r="R88" s="1331">
        <f>+R87+R86+R85</f>
        <v>0</v>
      </c>
      <c r="S88" s="1687"/>
      <c r="T88" s="1330"/>
      <c r="U88" s="1331">
        <f>+U87+U86+U85</f>
        <v>9639967.5745999999</v>
      </c>
      <c r="V88" s="1687"/>
      <c r="W88" s="1330"/>
      <c r="X88" s="1331">
        <f>+X87+X86+X85</f>
        <v>9929166.6018380001</v>
      </c>
      <c r="Y88" s="1687"/>
      <c r="Z88" s="1330"/>
      <c r="AA88" s="1331">
        <f>+AA87+AA86+AA85</f>
        <v>0</v>
      </c>
      <c r="AB88" s="1687"/>
      <c r="AC88" s="1330"/>
      <c r="AD88" s="1331">
        <f>+AD87+AD86+AD85</f>
        <v>0</v>
      </c>
      <c r="AE88" s="1687"/>
      <c r="AF88" s="1330"/>
      <c r="AG88" s="1331">
        <f>+AG87+AG86+AG85</f>
        <v>0</v>
      </c>
      <c r="AH88" s="1687"/>
      <c r="AI88" s="1330"/>
      <c r="AJ88" s="1331">
        <f>+AJ87+AJ86+AJ85</f>
        <v>0</v>
      </c>
      <c r="AK88" s="1687"/>
      <c r="AL88" s="1330"/>
      <c r="AM88" s="1331">
        <f>+AM87+AM86+AM85</f>
        <v>0</v>
      </c>
      <c r="AN88" s="1687"/>
      <c r="AO88" s="1330"/>
      <c r="AP88" s="1331">
        <f>+AP87+AP86+AP85</f>
        <v>0</v>
      </c>
      <c r="AQ88" s="1687"/>
      <c r="AR88" s="1330">
        <f t="shared" ref="AR88" si="371">+Z88+W88+T88+Q88+N88+K88+AC88</f>
        <v>0</v>
      </c>
      <c r="AS88" s="1331">
        <f>+AS87+AS86+AS85</f>
        <v>19571492.176438</v>
      </c>
      <c r="AT88" s="1687"/>
      <c r="AU88" s="411"/>
      <c r="AV88" s="1757">
        <f t="shared" si="328"/>
        <v>19571492.176438</v>
      </c>
      <c r="AW88" s="411"/>
      <c r="AX88" s="493"/>
      <c r="AY88" s="485" t="s">
        <v>336</v>
      </c>
      <c r="AZ88" s="1251"/>
      <c r="BA88" s="1252"/>
      <c r="BB88" s="1632"/>
      <c r="BC88" s="1253"/>
      <c r="BD88" s="1254">
        <f>+BD87+BD86+BD85</f>
        <v>2358</v>
      </c>
      <c r="BE88" s="1632"/>
      <c r="BF88" s="1468"/>
      <c r="BG88" s="1254">
        <f>+BG87+BG86+BG85</f>
        <v>0</v>
      </c>
      <c r="BH88" s="1632"/>
      <c r="BI88" s="1468"/>
      <c r="BJ88" s="1254">
        <f>+BJ87+BJ86+BJ85</f>
        <v>0</v>
      </c>
      <c r="BK88" s="1632"/>
      <c r="BL88" s="1468"/>
      <c r="BM88" s="1254">
        <f>+BM87+BM86+BM85</f>
        <v>9086594</v>
      </c>
      <c r="BN88" s="1632"/>
      <c r="BO88" s="1468"/>
      <c r="BP88" s="1254">
        <f>+BP87+BP86+BP85</f>
        <v>9086594</v>
      </c>
      <c r="BQ88" s="1632"/>
      <c r="BR88" s="1468"/>
      <c r="BS88" s="1254">
        <f>+BS87+BS86+BS85</f>
        <v>0</v>
      </c>
      <c r="BT88" s="1632"/>
      <c r="BU88" s="1468"/>
      <c r="BV88" s="1254">
        <f>+BV87+BV86+BV85</f>
        <v>0</v>
      </c>
      <c r="BW88" s="1632"/>
      <c r="BX88" s="1468"/>
      <c r="BY88" s="1254">
        <f>+BY87+BY86+BY85</f>
        <v>0</v>
      </c>
      <c r="BZ88" s="1632"/>
      <c r="CA88" s="1468"/>
      <c r="CB88" s="1254">
        <f>+CB87+CB86+CB85</f>
        <v>0</v>
      </c>
      <c r="CC88" s="1632"/>
      <c r="CD88" s="1468"/>
      <c r="CE88" s="1254">
        <f>+CE87+CE86+CE85</f>
        <v>0</v>
      </c>
      <c r="CF88" s="1632"/>
      <c r="CG88" s="1468"/>
      <c r="CH88" s="1254">
        <f>+CH87+CH86+CH85</f>
        <v>0</v>
      </c>
      <c r="CI88" s="1632"/>
      <c r="CJ88" s="1253">
        <f t="shared" si="240"/>
        <v>0</v>
      </c>
      <c r="CK88" s="1254">
        <f>+CK87+CK86+CK85</f>
        <v>18175546</v>
      </c>
      <c r="CL88" s="1731"/>
      <c r="CM88" s="170"/>
      <c r="CN88" s="493"/>
      <c r="CO88" s="464" t="s">
        <v>336</v>
      </c>
      <c r="CP88" s="465"/>
      <c r="CQ88" s="466"/>
      <c r="CR88" s="1703"/>
      <c r="CS88" s="467">
        <f>SUM(CS72:CS87)-CS77</f>
        <v>0</v>
      </c>
      <c r="CT88" s="468">
        <f>CT85+CT87</f>
        <v>0</v>
      </c>
      <c r="CU88" s="1703"/>
      <c r="CV88" s="467">
        <f>SUM(CV72:CV87)-CV77</f>
        <v>0</v>
      </c>
      <c r="CW88" s="468">
        <f>CW85+CW87</f>
        <v>0</v>
      </c>
      <c r="CX88" s="1703"/>
      <c r="CY88" s="467">
        <f>SUM(CY72:CY87)-CY77</f>
        <v>0</v>
      </c>
      <c r="CZ88" s="468">
        <f>CZ85+CZ87</f>
        <v>0</v>
      </c>
      <c r="DA88" s="1703"/>
      <c r="DB88" s="467">
        <f>SUM(DB72:DB87)-DB77</f>
        <v>0</v>
      </c>
      <c r="DC88" s="468">
        <f>DC85+DC87</f>
        <v>553373.57459999959</v>
      </c>
      <c r="DD88" s="1703"/>
      <c r="DE88" s="467">
        <f>SUM(DE72:DE87)-DE77</f>
        <v>0</v>
      </c>
      <c r="DF88" s="468">
        <f>DF85+DF87</f>
        <v>842572.601838</v>
      </c>
      <c r="DG88" s="1703"/>
      <c r="DH88" s="467">
        <f>SUM(DH72:DH87)-DH77</f>
        <v>0</v>
      </c>
      <c r="DI88" s="468">
        <f>DI85+DI87</f>
        <v>0</v>
      </c>
      <c r="DJ88" s="1703"/>
      <c r="DK88" s="467">
        <f>SUM(DK72:DK87)-DK77</f>
        <v>0</v>
      </c>
      <c r="DL88" s="468">
        <f>DL85+DL87</f>
        <v>0</v>
      </c>
      <c r="DM88" s="1703"/>
      <c r="DN88" s="467">
        <f>SUM(DN72:DN87)-DN77</f>
        <v>0</v>
      </c>
      <c r="DO88" s="468">
        <f>DO85+DO87</f>
        <v>0</v>
      </c>
      <c r="DP88" s="1703"/>
      <c r="DQ88" s="467">
        <f>SUM(DQ72:DQ87)-DQ77</f>
        <v>0</v>
      </c>
      <c r="DR88" s="468">
        <f>DR85+DR87</f>
        <v>0</v>
      </c>
      <c r="DS88" s="1703"/>
      <c r="DT88" s="467">
        <f>SUM(DT72:DT87)-DT77</f>
        <v>0</v>
      </c>
      <c r="DU88" s="468">
        <f>DU85+DU87</f>
        <v>0</v>
      </c>
      <c r="DV88" s="1703"/>
      <c r="DW88" s="467">
        <f>SUM(DW72:DW87)-DW77</f>
        <v>0</v>
      </c>
      <c r="DX88" s="468">
        <f>DX85+DX87</f>
        <v>0</v>
      </c>
      <c r="DY88" s="1703"/>
      <c r="DZ88" s="467">
        <f t="shared" ref="DZ88" si="372">+DH88+DE88+DB88+CY88+CV88+CS88+DK88</f>
        <v>0</v>
      </c>
      <c r="EA88" s="1744">
        <f>+EA87+EA86+EA85</f>
        <v>1395946.1764379996</v>
      </c>
      <c r="EB88" s="433"/>
      <c r="EC88" s="170"/>
      <c r="ED88" s="170"/>
      <c r="EE88" s="170"/>
      <c r="EF88" s="170"/>
      <c r="EG88" s="170"/>
      <c r="EH88" s="170"/>
      <c r="EI88" s="170"/>
      <c r="EJ88" s="170"/>
      <c r="EK88" s="170"/>
    </row>
    <row r="89" spans="1:141" ht="15" x14ac:dyDescent="0.25">
      <c r="A89" s="170"/>
      <c r="B89" s="472"/>
      <c r="C89" s="472"/>
      <c r="D89" s="472"/>
      <c r="E89" s="473"/>
      <c r="F89" s="493"/>
      <c r="G89" s="1291" t="s">
        <v>337</v>
      </c>
      <c r="H89" s="1291"/>
      <c r="I89" s="1310">
        <f t="shared" si="91"/>
        <v>0</v>
      </c>
      <c r="J89" s="1687"/>
      <c r="K89" s="1344"/>
      <c r="L89" s="1345"/>
      <c r="M89" s="1687"/>
      <c r="N89" s="1344" t="s">
        <v>96</v>
      </c>
      <c r="O89" s="1345" t="s">
        <v>96</v>
      </c>
      <c r="P89" s="1687"/>
      <c r="Q89" s="1344" t="s">
        <v>96</v>
      </c>
      <c r="R89" s="1345" t="s">
        <v>96</v>
      </c>
      <c r="S89" s="1687"/>
      <c r="T89" s="1344" t="s">
        <v>96</v>
      </c>
      <c r="U89" s="1345" t="s">
        <v>96</v>
      </c>
      <c r="V89" s="1687"/>
      <c r="W89" s="1344" t="s">
        <v>96</v>
      </c>
      <c r="X89" s="1345" t="s">
        <v>96</v>
      </c>
      <c r="Y89" s="1687"/>
      <c r="Z89" s="1344" t="s">
        <v>96</v>
      </c>
      <c r="AA89" s="1345" t="s">
        <v>96</v>
      </c>
      <c r="AB89" s="1687"/>
      <c r="AC89" s="1344" t="s">
        <v>96</v>
      </c>
      <c r="AD89" s="1345" t="s">
        <v>96</v>
      </c>
      <c r="AE89" s="1687"/>
      <c r="AF89" s="1344" t="s">
        <v>96</v>
      </c>
      <c r="AG89" s="1345" t="s">
        <v>96</v>
      </c>
      <c r="AH89" s="1687"/>
      <c r="AI89" s="1344" t="s">
        <v>96</v>
      </c>
      <c r="AJ89" s="1345" t="s">
        <v>96</v>
      </c>
      <c r="AK89" s="1687"/>
      <c r="AL89" s="1344" t="s">
        <v>96</v>
      </c>
      <c r="AM89" s="1345" t="s">
        <v>96</v>
      </c>
      <c r="AN89" s="1687"/>
      <c r="AO89" s="1344" t="s">
        <v>96</v>
      </c>
      <c r="AP89" s="1345" t="s">
        <v>96</v>
      </c>
      <c r="AQ89" s="1687"/>
      <c r="AR89" s="1344"/>
      <c r="AS89" s="1345"/>
      <c r="AT89" s="1687"/>
      <c r="AU89" s="411"/>
      <c r="AV89" s="1757"/>
      <c r="AW89" s="411"/>
      <c r="AX89" s="493"/>
      <c r="AY89" s="168" t="s">
        <v>337</v>
      </c>
      <c r="AZ89" s="168"/>
      <c r="BA89" s="457"/>
      <c r="BB89" s="1632"/>
      <c r="BC89" s="511"/>
      <c r="BD89" s="1260"/>
      <c r="BE89" s="1632"/>
      <c r="BF89" s="1470" t="str">
        <f>N89</f>
        <v xml:space="preserve"> </v>
      </c>
      <c r="BG89" s="1269"/>
      <c r="BH89" s="1632"/>
      <c r="BI89" s="1470" t="str">
        <f>Q89</f>
        <v xml:space="preserve"> </v>
      </c>
      <c r="BJ89" s="1269"/>
      <c r="BK89" s="1632"/>
      <c r="BL89" s="1470" t="str">
        <f>T89</f>
        <v xml:space="preserve"> </v>
      </c>
      <c r="BM89" s="1269"/>
      <c r="BN89" s="1632"/>
      <c r="BO89" s="1470" t="str">
        <f>W89</f>
        <v xml:space="preserve"> </v>
      </c>
      <c r="BP89" s="1269"/>
      <c r="BQ89" s="1632"/>
      <c r="BR89" s="1470" t="str">
        <f>Z89</f>
        <v xml:space="preserve"> </v>
      </c>
      <c r="BS89" s="1269"/>
      <c r="BT89" s="1632"/>
      <c r="BU89" s="1470" t="str">
        <f>AC89</f>
        <v xml:space="preserve"> </v>
      </c>
      <c r="BV89" s="1269"/>
      <c r="BW89" s="1632"/>
      <c r="BX89" s="1470" t="str">
        <f>AF89</f>
        <v xml:space="preserve"> </v>
      </c>
      <c r="BY89" s="1269"/>
      <c r="BZ89" s="1632"/>
      <c r="CA89" s="1470" t="str">
        <f>AI89</f>
        <v xml:space="preserve"> </v>
      </c>
      <c r="CB89" s="1269"/>
      <c r="CC89" s="1632"/>
      <c r="CD89" s="1470" t="str">
        <f>AL89</f>
        <v xml:space="preserve"> </v>
      </c>
      <c r="CE89" s="1269"/>
      <c r="CF89" s="1632"/>
      <c r="CG89" s="1470" t="str">
        <f>AO89</f>
        <v xml:space="preserve"> </v>
      </c>
      <c r="CH89" s="1269"/>
      <c r="CI89" s="1632"/>
      <c r="CJ89" s="491"/>
      <c r="CK89" s="1262">
        <f t="shared" ref="CK89" si="373">+BS89+BP89+BM89+BJ89+BG89+BD89+BV89</f>
        <v>0</v>
      </c>
      <c r="CL89" s="1732"/>
      <c r="CM89" s="170"/>
      <c r="CN89" s="493"/>
      <c r="CO89" s="388" t="s">
        <v>337</v>
      </c>
      <c r="CP89" s="388"/>
      <c r="CQ89" s="385"/>
      <c r="CR89" s="1703"/>
      <c r="CS89" s="512"/>
      <c r="CT89" s="513" t="s">
        <v>96</v>
      </c>
      <c r="CU89" s="1703"/>
      <c r="CV89" s="512" t="s">
        <v>96</v>
      </c>
      <c r="CW89" s="513" t="s">
        <v>96</v>
      </c>
      <c r="CX89" s="1703"/>
      <c r="CY89" s="512" t="s">
        <v>96</v>
      </c>
      <c r="CZ89" s="513" t="s">
        <v>96</v>
      </c>
      <c r="DA89" s="1703"/>
      <c r="DB89" s="512" t="s">
        <v>96</v>
      </c>
      <c r="DC89" s="513" t="s">
        <v>96</v>
      </c>
      <c r="DD89" s="1703"/>
      <c r="DE89" s="512" t="s">
        <v>96</v>
      </c>
      <c r="DF89" s="513" t="s">
        <v>96</v>
      </c>
      <c r="DG89" s="1703"/>
      <c r="DH89" s="512" t="s">
        <v>96</v>
      </c>
      <c r="DI89" s="513" t="s">
        <v>96</v>
      </c>
      <c r="DJ89" s="1703"/>
      <c r="DK89" s="512" t="s">
        <v>96</v>
      </c>
      <c r="DL89" s="513" t="s">
        <v>96</v>
      </c>
      <c r="DM89" s="1703"/>
      <c r="DN89" s="512" t="s">
        <v>96</v>
      </c>
      <c r="DO89" s="513" t="s">
        <v>96</v>
      </c>
      <c r="DP89" s="1703"/>
      <c r="DQ89" s="512" t="s">
        <v>96</v>
      </c>
      <c r="DR89" s="513" t="s">
        <v>96</v>
      </c>
      <c r="DS89" s="1703"/>
      <c r="DT89" s="512" t="s">
        <v>96</v>
      </c>
      <c r="DU89" s="513" t="s">
        <v>96</v>
      </c>
      <c r="DV89" s="1703"/>
      <c r="DW89" s="512" t="s">
        <v>96</v>
      </c>
      <c r="DX89" s="513" t="s">
        <v>96</v>
      </c>
      <c r="DY89" s="1703"/>
      <c r="DZ89" s="481"/>
      <c r="EA89" s="1747"/>
      <c r="EB89" s="433"/>
      <c r="EC89" s="170"/>
      <c r="ED89" s="170"/>
      <c r="EE89" s="170"/>
      <c r="EF89" s="170"/>
      <c r="EG89" s="170"/>
      <c r="EH89" s="170"/>
      <c r="EI89" s="170"/>
      <c r="EJ89" s="170"/>
      <c r="EK89" s="170"/>
    </row>
    <row r="90" spans="1:141" ht="38.25" x14ac:dyDescent="0.25">
      <c r="A90" s="170"/>
      <c r="B90" s="424">
        <v>1</v>
      </c>
      <c r="C90" s="424">
        <v>5</v>
      </c>
      <c r="D90" s="424">
        <v>1</v>
      </c>
      <c r="E90" s="425">
        <v>9</v>
      </c>
      <c r="F90" s="493" t="s">
        <v>3182</v>
      </c>
      <c r="G90" s="1308" t="str">
        <f>+AY90</f>
        <v>Project Management (PM)</v>
      </c>
      <c r="H90" s="1308" t="str">
        <f>+AZ90</f>
        <v>LT</v>
      </c>
      <c r="I90" s="1310">
        <f t="shared" ca="1" si="91"/>
        <v>63.7</v>
      </c>
      <c r="J90" s="1685"/>
      <c r="K90" s="1311">
        <f t="shared" ref="K90:L103" si="374">+BC90</f>
        <v>0</v>
      </c>
      <c r="L90" s="1312">
        <f t="shared" si="374"/>
        <v>53954.53</v>
      </c>
      <c r="M90" s="1685"/>
      <c r="N90" s="1313">
        <f t="shared" ref="N90:N103" si="375">+BF90</f>
        <v>0</v>
      </c>
      <c r="O90" s="1312">
        <f t="shared" ref="O90:O103" ca="1" si="376">+BG90+CW90</f>
        <v>0</v>
      </c>
      <c r="P90" s="1685"/>
      <c r="Q90" s="1313">
        <f t="shared" ref="Q90:Q103" si="377">+BI90</f>
        <v>0</v>
      </c>
      <c r="R90" s="1312">
        <f t="shared" ref="R90:R103" ca="1" si="378">+BJ90+CZ90</f>
        <v>0</v>
      </c>
      <c r="S90" s="1685"/>
      <c r="T90" s="1313">
        <f t="shared" ref="T90:T95" si="379">+BL90</f>
        <v>656</v>
      </c>
      <c r="U90" s="1312">
        <f t="shared" ref="U90:U103" ca="1" si="380">+BM90+DC90</f>
        <v>45631</v>
      </c>
      <c r="V90" s="1685"/>
      <c r="W90" s="1313">
        <f t="shared" ref="W90:W103" si="381">+BO90</f>
        <v>1248</v>
      </c>
      <c r="X90" s="1312">
        <f t="shared" ref="X90:X103" ca="1" si="382">+BP90+DF90</f>
        <v>28730</v>
      </c>
      <c r="Y90" s="1685"/>
      <c r="Z90" s="1313">
        <f t="shared" ref="Z90:Z103" si="383">+BR90</f>
        <v>984</v>
      </c>
      <c r="AA90" s="1312">
        <f t="shared" ref="AA90:AA103" ca="1" si="384">+BS90+DI90</f>
        <v>72616</v>
      </c>
      <c r="AB90" s="1685"/>
      <c r="AC90" s="1313">
        <f t="shared" ref="AC90:AC103" si="385">+BU90</f>
        <v>0</v>
      </c>
      <c r="AD90" s="1312">
        <f t="shared" ref="AD90:AD103" ca="1" si="386">+BV90+DL90</f>
        <v>0</v>
      </c>
      <c r="AE90" s="1685"/>
      <c r="AF90" s="1313">
        <f t="shared" ref="AF90:AF103" si="387">+BX90</f>
        <v>0</v>
      </c>
      <c r="AG90" s="1312">
        <f t="shared" ref="AG90:AG103" ca="1" si="388">+BY90+DO90</f>
        <v>0</v>
      </c>
      <c r="AH90" s="1685"/>
      <c r="AI90" s="1313">
        <f t="shared" ref="AI90:AI103" si="389">+CA90</f>
        <v>0</v>
      </c>
      <c r="AJ90" s="1312">
        <f t="shared" ref="AJ90:AJ103" ca="1" si="390">+CB90+DR90</f>
        <v>0</v>
      </c>
      <c r="AK90" s="1685"/>
      <c r="AL90" s="1313">
        <f t="shared" ref="AL90:AL103" si="391">+CD90</f>
        <v>0</v>
      </c>
      <c r="AM90" s="1312">
        <f t="shared" ref="AM90:AM103" ca="1" si="392">+CE90+DU90</f>
        <v>0</v>
      </c>
      <c r="AN90" s="1685"/>
      <c r="AO90" s="1313">
        <f t="shared" ref="AO90:AO103" si="393">+CG90</f>
        <v>0</v>
      </c>
      <c r="AP90" s="1312">
        <f t="shared" ref="AP90:AP103" ca="1" si="394">+CH90+DX90</f>
        <v>0</v>
      </c>
      <c r="AQ90" s="1685"/>
      <c r="AR90" s="1313">
        <f t="shared" ref="AR90:AR103" si="395">+Z90+W90+T90+Q90+N90+K90+AC90+AF90+AI90+AL90+AO90</f>
        <v>2888</v>
      </c>
      <c r="AS90" s="1312">
        <f t="shared" ref="AS90:AS103" ca="1" si="396">+AA90+X90+U90+R90+O90+L90+AD90+AG90+AJ90+AM90+AP90</f>
        <v>200931.53</v>
      </c>
      <c r="AT90" s="1687"/>
      <c r="AU90" s="411"/>
      <c r="AV90" s="1757">
        <f t="shared" ca="1" si="328"/>
        <v>200931.53</v>
      </c>
      <c r="AW90" s="411"/>
      <c r="AX90" s="493"/>
      <c r="AY90" s="1566" t="s">
        <v>338</v>
      </c>
      <c r="AZ90" s="1567" t="s">
        <v>291</v>
      </c>
      <c r="BA90" s="2445">
        <f ca="1">+'Data Input sheet'!D152</f>
        <v>63.7</v>
      </c>
      <c r="BB90" s="1579"/>
      <c r="BC90" s="1599">
        <v>0</v>
      </c>
      <c r="BD90" s="1600">
        <v>53954.53</v>
      </c>
      <c r="BE90" s="1579"/>
      <c r="BF90" s="1605"/>
      <c r="BG90" s="426">
        <f ca="1">ROUND(+BF90*$BA$90,0)</f>
        <v>0</v>
      </c>
      <c r="BH90" s="1579"/>
      <c r="BI90" s="1605"/>
      <c r="BJ90" s="426">
        <f ca="1">ROUND(+BI90*$BA$90,0)</f>
        <v>0</v>
      </c>
      <c r="BK90" s="1666"/>
      <c r="BL90" s="1605">
        <v>656</v>
      </c>
      <c r="BM90" s="426">
        <f ca="1">ROUND(+BL90*$BA$90,0)</f>
        <v>41787</v>
      </c>
      <c r="BN90" s="1579"/>
      <c r="BO90" s="1605">
        <v>1248</v>
      </c>
      <c r="BP90" s="426">
        <f ca="1">ROUND(+BO90*$BA$90,0)-BD90</f>
        <v>25543.47</v>
      </c>
      <c r="BQ90" s="1579"/>
      <c r="BR90" s="1605">
        <v>984</v>
      </c>
      <c r="BS90" s="426">
        <f ca="1">ROUND(+BR90*$BA$90,0)</f>
        <v>62681</v>
      </c>
      <c r="BT90" s="1579"/>
      <c r="BU90" s="1605">
        <v>0</v>
      </c>
      <c r="BV90" s="426">
        <f ca="1">ROUND(+BU90*$BA$90,0)</f>
        <v>0</v>
      </c>
      <c r="BW90" s="1579"/>
      <c r="BX90" s="1605">
        <v>0</v>
      </c>
      <c r="BY90" s="426">
        <f ca="1">ROUND(+BX90*$BA$90,0)</f>
        <v>0</v>
      </c>
      <c r="BZ90" s="1579"/>
      <c r="CA90" s="1605">
        <v>0</v>
      </c>
      <c r="CB90" s="426">
        <f ca="1">ROUND(+CA90*$BA$90,0)</f>
        <v>0</v>
      </c>
      <c r="CC90" s="1579"/>
      <c r="CD90" s="1605">
        <v>0</v>
      </c>
      <c r="CE90" s="426">
        <f ca="1">ROUND(+CD90*$BA$90,0)</f>
        <v>0</v>
      </c>
      <c r="CF90" s="1579"/>
      <c r="CG90" s="1605">
        <v>0</v>
      </c>
      <c r="CH90" s="426">
        <f ca="1">ROUND(+CG90*$BA$90,0)</f>
        <v>0</v>
      </c>
      <c r="CI90" s="1579"/>
      <c r="CJ90" s="1257">
        <f t="shared" ref="CJ90:CJ103" si="397">+BR90+BO90+BL90+BI90+BF90+BC90+BU90+BX90+CA90+CD90+CG90</f>
        <v>2888</v>
      </c>
      <c r="CK90" s="1395">
        <f ca="1">+BS90+BP90+BM90+BJ90+BG90+BD90+BV90+BY90+CB90+CE90+CH90</f>
        <v>183966</v>
      </c>
      <c r="CL90" s="427" t="s">
        <v>3762</v>
      </c>
      <c r="CM90" s="170"/>
      <c r="CN90" s="493"/>
      <c r="CO90" s="428" t="str">
        <f t="shared" ref="CO90:CO97" si="398">+AY90</f>
        <v>Project Management (PM)</v>
      </c>
      <c r="CP90" s="429" t="s">
        <v>291</v>
      </c>
      <c r="CQ90" s="475"/>
      <c r="CR90" s="443"/>
      <c r="CS90" s="435">
        <v>0</v>
      </c>
      <c r="CT90" s="431">
        <f t="shared" ref="CT90:CT100" si="399">L90-BD90</f>
        <v>0</v>
      </c>
      <c r="CU90" s="443"/>
      <c r="CV90" s="435">
        <v>0</v>
      </c>
      <c r="CW90" s="434">
        <f t="shared" ref="CW90:CW103" ca="1" si="400">ROUND((+BG90*(1+CW$4)),0)-BG90</f>
        <v>0</v>
      </c>
      <c r="CX90" s="443"/>
      <c r="CY90" s="432">
        <v>0</v>
      </c>
      <c r="CZ90" s="434">
        <f t="shared" ref="CZ90:CZ100" ca="1" si="401">ROUND((+BJ90*(1+CZ$4)),0)-BJ90</f>
        <v>0</v>
      </c>
      <c r="DA90" s="443"/>
      <c r="DB90" s="432">
        <v>0</v>
      </c>
      <c r="DC90" s="434">
        <f t="shared" ref="DC90:DC100" ca="1" si="402">ROUND((+BM90*(1+DC$4)),0)-BM90</f>
        <v>3844</v>
      </c>
      <c r="DD90" s="443"/>
      <c r="DE90" s="432">
        <v>0</v>
      </c>
      <c r="DF90" s="434">
        <f t="shared" ref="DF90:DF100" ca="1" si="403">ROUND((+BP90*(1+DF$4)),0)-BP90</f>
        <v>3186.5299999999988</v>
      </c>
      <c r="DG90" s="443"/>
      <c r="DH90" s="432">
        <v>0</v>
      </c>
      <c r="DI90" s="434">
        <f t="shared" ref="DI90:DI100" ca="1" si="404">ROUND((+BS90*(1+DI$4)),0)-BS90</f>
        <v>9935</v>
      </c>
      <c r="DJ90" s="443"/>
      <c r="DK90" s="432">
        <v>0</v>
      </c>
      <c r="DL90" s="434">
        <f t="shared" ref="DL90:DL100" ca="1" si="405">ROUND((+BV90*(1+DL$4)),0)-BV90</f>
        <v>0</v>
      </c>
      <c r="DM90" s="443"/>
      <c r="DN90" s="432">
        <v>0</v>
      </c>
      <c r="DO90" s="434">
        <f t="shared" ref="DO90:DO100" ca="1" si="406">ROUND((+BY90*(1+DO$4)),0)-BY90</f>
        <v>0</v>
      </c>
      <c r="DP90" s="443"/>
      <c r="DQ90" s="432">
        <v>0</v>
      </c>
      <c r="DR90" s="434">
        <f t="shared" ref="DR90:DR100" ca="1" si="407">ROUND((+CB90*(1+DR$4)),0)-CB90</f>
        <v>0</v>
      </c>
      <c r="DS90" s="443"/>
      <c r="DT90" s="432">
        <v>0</v>
      </c>
      <c r="DU90" s="434">
        <f t="shared" ref="DU90:DU100" ca="1" si="408">ROUND((+CE90*(1+DU$4)),0)-CE90</f>
        <v>0</v>
      </c>
      <c r="DV90" s="443"/>
      <c r="DW90" s="432">
        <v>0</v>
      </c>
      <c r="DX90" s="434">
        <f t="shared" ref="DX90:DX100" ca="1" si="409">ROUND((+CH90*(1+DX$4)),0)-CH90</f>
        <v>0</v>
      </c>
      <c r="DY90" s="443"/>
      <c r="DZ90" s="432">
        <f t="shared" ref="DZ90:DZ103" si="410">+DH90+DE90+DB90+CY90+CV90+CS90+DK90+DN90+DQ90+DT90+DW90</f>
        <v>0</v>
      </c>
      <c r="EA90" s="444">
        <f t="shared" ref="EA90:EA103" ca="1" si="411">+DI90+DF90+DC90+CZ90+CW90+CT90+DL90+DO90+DR90+DU90+DX90</f>
        <v>16965.53</v>
      </c>
      <c r="EB90" s="433"/>
      <c r="EC90" s="170"/>
      <c r="ED90" s="170"/>
      <c r="EE90" s="170"/>
      <c r="EF90" s="170"/>
      <c r="EG90" s="170"/>
      <c r="EH90" s="170"/>
      <c r="EI90" s="170"/>
      <c r="EJ90" s="170"/>
      <c r="EK90" s="170"/>
    </row>
    <row r="91" spans="1:141" ht="15" x14ac:dyDescent="0.25">
      <c r="A91" s="170"/>
      <c r="B91" s="424">
        <v>1</v>
      </c>
      <c r="C91" s="424">
        <v>5</v>
      </c>
      <c r="D91" s="424">
        <v>1</v>
      </c>
      <c r="E91" s="425">
        <v>9</v>
      </c>
      <c r="F91" s="493" t="s">
        <v>3182</v>
      </c>
      <c r="G91" s="1308" t="str">
        <f t="shared" ref="G91:G103" si="412">+AY91</f>
        <v>Project Planning/Cost (IP)</v>
      </c>
      <c r="H91" s="1308" t="str">
        <f t="shared" ref="H91:H103" si="413">+AZ91</f>
        <v>LT</v>
      </c>
      <c r="I91" s="1310">
        <f t="shared" ca="1" si="91"/>
        <v>46.7</v>
      </c>
      <c r="J91" s="1685"/>
      <c r="K91" s="1311">
        <f t="shared" si="374"/>
        <v>0</v>
      </c>
      <c r="L91" s="1312">
        <f t="shared" si="374"/>
        <v>0</v>
      </c>
      <c r="M91" s="1685"/>
      <c r="N91" s="1313">
        <f t="shared" si="375"/>
        <v>0</v>
      </c>
      <c r="O91" s="1312">
        <f t="shared" ca="1" si="376"/>
        <v>0</v>
      </c>
      <c r="P91" s="1685"/>
      <c r="Q91" s="1313">
        <f t="shared" si="377"/>
        <v>0</v>
      </c>
      <c r="R91" s="1312">
        <f t="shared" ca="1" si="378"/>
        <v>0</v>
      </c>
      <c r="S91" s="1685"/>
      <c r="T91" s="1313">
        <f t="shared" si="379"/>
        <v>120</v>
      </c>
      <c r="U91" s="1312">
        <f t="shared" ca="1" si="380"/>
        <v>6120</v>
      </c>
      <c r="V91" s="1685"/>
      <c r="W91" s="1313">
        <f t="shared" si="381"/>
        <v>0</v>
      </c>
      <c r="X91" s="1312">
        <f t="shared" ca="1" si="382"/>
        <v>0</v>
      </c>
      <c r="Y91" s="1685"/>
      <c r="Z91" s="1313">
        <f t="shared" si="383"/>
        <v>0</v>
      </c>
      <c r="AA91" s="1312">
        <f t="shared" ca="1" si="384"/>
        <v>0</v>
      </c>
      <c r="AB91" s="1685"/>
      <c r="AC91" s="1313">
        <f t="shared" si="385"/>
        <v>0</v>
      </c>
      <c r="AD91" s="1312">
        <f t="shared" ca="1" si="386"/>
        <v>0</v>
      </c>
      <c r="AE91" s="1685"/>
      <c r="AF91" s="1313">
        <f t="shared" si="387"/>
        <v>0</v>
      </c>
      <c r="AG91" s="1312">
        <f t="shared" ca="1" si="388"/>
        <v>0</v>
      </c>
      <c r="AH91" s="1685"/>
      <c r="AI91" s="1313">
        <f t="shared" si="389"/>
        <v>0</v>
      </c>
      <c r="AJ91" s="1312">
        <f t="shared" ca="1" si="390"/>
        <v>0</v>
      </c>
      <c r="AK91" s="1685"/>
      <c r="AL91" s="1313">
        <f t="shared" si="391"/>
        <v>0</v>
      </c>
      <c r="AM91" s="1312">
        <f t="shared" ca="1" si="392"/>
        <v>0</v>
      </c>
      <c r="AN91" s="1685"/>
      <c r="AO91" s="1313">
        <f t="shared" si="393"/>
        <v>0</v>
      </c>
      <c r="AP91" s="1312">
        <f t="shared" ca="1" si="394"/>
        <v>0</v>
      </c>
      <c r="AQ91" s="1685"/>
      <c r="AR91" s="1313">
        <f t="shared" si="395"/>
        <v>120</v>
      </c>
      <c r="AS91" s="1312">
        <f t="shared" ca="1" si="396"/>
        <v>6120</v>
      </c>
      <c r="AT91" s="1687"/>
      <c r="AU91" s="411"/>
      <c r="AV91" s="1757">
        <f t="shared" ca="1" si="328"/>
        <v>6120</v>
      </c>
      <c r="AW91" s="411"/>
      <c r="AX91" s="493"/>
      <c r="AY91" s="1566" t="s">
        <v>339</v>
      </c>
      <c r="AZ91" s="1567" t="s">
        <v>291</v>
      </c>
      <c r="BA91" s="2445">
        <f ca="1">+'Data Input sheet'!D153</f>
        <v>46.7</v>
      </c>
      <c r="BB91" s="1579"/>
      <c r="BC91" s="1599">
        <v>0</v>
      </c>
      <c r="BD91" s="1600">
        <v>0</v>
      </c>
      <c r="BE91" s="1579"/>
      <c r="BF91" s="1605">
        <v>0</v>
      </c>
      <c r="BG91" s="426">
        <f ca="1">ROUND(+BF91*$BA$91,0)</f>
        <v>0</v>
      </c>
      <c r="BH91" s="1579"/>
      <c r="BI91" s="1605"/>
      <c r="BJ91" s="426">
        <f ca="1">ROUND(+BI91*$BA$91,0)</f>
        <v>0</v>
      </c>
      <c r="BK91" s="1666"/>
      <c r="BL91" s="1605">
        <v>120</v>
      </c>
      <c r="BM91" s="426">
        <f ca="1">ROUND(+BL91*$BA$91,0)</f>
        <v>5604</v>
      </c>
      <c r="BN91" s="1579"/>
      <c r="BO91" s="1605">
        <v>0</v>
      </c>
      <c r="BP91" s="426">
        <f ca="1">ROUND(+BO91*$BA$91,0)</f>
        <v>0</v>
      </c>
      <c r="BQ91" s="1579"/>
      <c r="BR91" s="1605">
        <v>0</v>
      </c>
      <c r="BS91" s="426">
        <f ca="1">ROUND(+BR91*$BA$91,0)</f>
        <v>0</v>
      </c>
      <c r="BT91" s="1579"/>
      <c r="BU91" s="1605">
        <v>0</v>
      </c>
      <c r="BV91" s="426">
        <f ca="1">ROUND(+BU91*$BA$91,0)</f>
        <v>0</v>
      </c>
      <c r="BW91" s="1579"/>
      <c r="BX91" s="1605">
        <v>0</v>
      </c>
      <c r="BY91" s="426">
        <f ca="1">ROUND(+BX91*$BA$91,0)</f>
        <v>0</v>
      </c>
      <c r="BZ91" s="1579"/>
      <c r="CA91" s="1605">
        <v>0</v>
      </c>
      <c r="CB91" s="426">
        <f ca="1">ROUND(+CA91*$BA$91,0)</f>
        <v>0</v>
      </c>
      <c r="CC91" s="1579"/>
      <c r="CD91" s="1605">
        <v>0</v>
      </c>
      <c r="CE91" s="426">
        <f ca="1">ROUND(+CD91*$BA$91,0)</f>
        <v>0</v>
      </c>
      <c r="CF91" s="1579"/>
      <c r="CG91" s="1605">
        <v>0</v>
      </c>
      <c r="CH91" s="426">
        <f ca="1">ROUND(+CG91*$BA$91,0)</f>
        <v>0</v>
      </c>
      <c r="CI91" s="1579"/>
      <c r="CJ91" s="1257">
        <f t="shared" si="397"/>
        <v>120</v>
      </c>
      <c r="CK91" s="1395">
        <f t="shared" ref="CK91:CK103" ca="1" si="414">+BS91+BP91+BM91+BJ91+BG91+BD91+BV91+BY91+CB91+CE91+CH91</f>
        <v>5604</v>
      </c>
      <c r="CL91" s="427"/>
      <c r="CM91" s="170"/>
      <c r="CN91" s="493"/>
      <c r="CO91" s="428" t="str">
        <f t="shared" si="398"/>
        <v>Project Planning/Cost (IP)</v>
      </c>
      <c r="CP91" s="429" t="s">
        <v>291</v>
      </c>
      <c r="CQ91" s="475"/>
      <c r="CR91" s="443"/>
      <c r="CS91" s="435">
        <v>0</v>
      </c>
      <c r="CT91" s="431">
        <f t="shared" si="399"/>
        <v>0</v>
      </c>
      <c r="CU91" s="443"/>
      <c r="CV91" s="435">
        <v>0</v>
      </c>
      <c r="CW91" s="434">
        <f t="shared" ca="1" si="400"/>
        <v>0</v>
      </c>
      <c r="CX91" s="443"/>
      <c r="CY91" s="432">
        <v>0</v>
      </c>
      <c r="CZ91" s="434">
        <f t="shared" ca="1" si="401"/>
        <v>0</v>
      </c>
      <c r="DA91" s="443"/>
      <c r="DB91" s="432">
        <v>0</v>
      </c>
      <c r="DC91" s="434">
        <f t="shared" ca="1" si="402"/>
        <v>516</v>
      </c>
      <c r="DD91" s="443"/>
      <c r="DE91" s="432">
        <v>0</v>
      </c>
      <c r="DF91" s="434">
        <f t="shared" ca="1" si="403"/>
        <v>0</v>
      </c>
      <c r="DG91" s="443"/>
      <c r="DH91" s="432">
        <v>0</v>
      </c>
      <c r="DI91" s="434">
        <f t="shared" ca="1" si="404"/>
        <v>0</v>
      </c>
      <c r="DJ91" s="443"/>
      <c r="DK91" s="432">
        <v>0</v>
      </c>
      <c r="DL91" s="434">
        <f t="shared" ca="1" si="405"/>
        <v>0</v>
      </c>
      <c r="DM91" s="443"/>
      <c r="DN91" s="432">
        <v>0</v>
      </c>
      <c r="DO91" s="434">
        <f t="shared" ca="1" si="406"/>
        <v>0</v>
      </c>
      <c r="DP91" s="443"/>
      <c r="DQ91" s="432">
        <v>0</v>
      </c>
      <c r="DR91" s="434">
        <f t="shared" ca="1" si="407"/>
        <v>0</v>
      </c>
      <c r="DS91" s="443"/>
      <c r="DT91" s="432">
        <v>0</v>
      </c>
      <c r="DU91" s="434">
        <f t="shared" ca="1" si="408"/>
        <v>0</v>
      </c>
      <c r="DV91" s="443"/>
      <c r="DW91" s="432">
        <v>0</v>
      </c>
      <c r="DX91" s="434">
        <f t="shared" ca="1" si="409"/>
        <v>0</v>
      </c>
      <c r="DY91" s="443"/>
      <c r="DZ91" s="432">
        <f t="shared" si="410"/>
        <v>0</v>
      </c>
      <c r="EA91" s="444">
        <f t="shared" ca="1" si="411"/>
        <v>516</v>
      </c>
      <c r="EB91" s="433"/>
      <c r="EC91" s="170"/>
      <c r="ED91" s="170"/>
      <c r="EE91" s="170"/>
      <c r="EF91" s="170"/>
      <c r="EG91" s="170"/>
      <c r="EH91" s="170"/>
      <c r="EI91" s="170"/>
      <c r="EJ91" s="170"/>
      <c r="EK91" s="170"/>
    </row>
    <row r="92" spans="1:141" ht="15" x14ac:dyDescent="0.25">
      <c r="A92" s="170"/>
      <c r="B92" s="424">
        <v>1</v>
      </c>
      <c r="C92" s="424">
        <v>5</v>
      </c>
      <c r="D92" s="424">
        <v>1</v>
      </c>
      <c r="E92" s="425">
        <v>9</v>
      </c>
      <c r="F92" s="493" t="s">
        <v>3182</v>
      </c>
      <c r="G92" s="1308" t="str">
        <f t="shared" si="412"/>
        <v>Contracts/Purchasing (C/P)</v>
      </c>
      <c r="H92" s="1308" t="str">
        <f t="shared" si="413"/>
        <v>LT</v>
      </c>
      <c r="I92" s="1310">
        <f t="shared" ca="1" si="91"/>
        <v>65.8</v>
      </c>
      <c r="J92" s="1685"/>
      <c r="K92" s="1311">
        <f t="shared" si="374"/>
        <v>0</v>
      </c>
      <c r="L92" s="1312">
        <f t="shared" si="374"/>
        <v>0</v>
      </c>
      <c r="M92" s="1685"/>
      <c r="N92" s="1313">
        <f t="shared" si="375"/>
        <v>0</v>
      </c>
      <c r="O92" s="1312">
        <f t="shared" ca="1" si="376"/>
        <v>0</v>
      </c>
      <c r="P92" s="1685"/>
      <c r="Q92" s="1313">
        <f t="shared" si="377"/>
        <v>0</v>
      </c>
      <c r="R92" s="1312">
        <f t="shared" ca="1" si="378"/>
        <v>0</v>
      </c>
      <c r="S92" s="1685"/>
      <c r="T92" s="1313">
        <f t="shared" si="379"/>
        <v>120</v>
      </c>
      <c r="U92" s="1312">
        <f t="shared" ca="1" si="380"/>
        <v>8622</v>
      </c>
      <c r="V92" s="1685"/>
      <c r="W92" s="1313">
        <f t="shared" si="381"/>
        <v>0</v>
      </c>
      <c r="X92" s="1312">
        <f t="shared" ca="1" si="382"/>
        <v>0</v>
      </c>
      <c r="Y92" s="1685"/>
      <c r="Z92" s="1313">
        <f t="shared" si="383"/>
        <v>0</v>
      </c>
      <c r="AA92" s="1312">
        <f t="shared" ca="1" si="384"/>
        <v>0</v>
      </c>
      <c r="AB92" s="1685"/>
      <c r="AC92" s="1313">
        <f t="shared" si="385"/>
        <v>0</v>
      </c>
      <c r="AD92" s="1312">
        <f t="shared" ca="1" si="386"/>
        <v>0</v>
      </c>
      <c r="AE92" s="1685"/>
      <c r="AF92" s="1313">
        <f t="shared" si="387"/>
        <v>0</v>
      </c>
      <c r="AG92" s="1312">
        <f t="shared" ca="1" si="388"/>
        <v>0</v>
      </c>
      <c r="AH92" s="1685"/>
      <c r="AI92" s="1313">
        <f t="shared" si="389"/>
        <v>0</v>
      </c>
      <c r="AJ92" s="1312">
        <f t="shared" ca="1" si="390"/>
        <v>0</v>
      </c>
      <c r="AK92" s="1685"/>
      <c r="AL92" s="1313">
        <f t="shared" si="391"/>
        <v>0</v>
      </c>
      <c r="AM92" s="1312">
        <f t="shared" ca="1" si="392"/>
        <v>0</v>
      </c>
      <c r="AN92" s="1685"/>
      <c r="AO92" s="1313">
        <f t="shared" si="393"/>
        <v>0</v>
      </c>
      <c r="AP92" s="1312">
        <f t="shared" ca="1" si="394"/>
        <v>0</v>
      </c>
      <c r="AQ92" s="1685"/>
      <c r="AR92" s="1313">
        <f t="shared" si="395"/>
        <v>120</v>
      </c>
      <c r="AS92" s="1312">
        <f t="shared" ca="1" si="396"/>
        <v>8622</v>
      </c>
      <c r="AT92" s="1687"/>
      <c r="AU92" s="411"/>
      <c r="AV92" s="1757">
        <f t="shared" ca="1" si="328"/>
        <v>8622</v>
      </c>
      <c r="AW92" s="411"/>
      <c r="AX92" s="493"/>
      <c r="AY92" s="1566" t="s">
        <v>340</v>
      </c>
      <c r="AZ92" s="1567" t="s">
        <v>291</v>
      </c>
      <c r="BA92" s="2445">
        <f ca="1">+'Data Input sheet'!D154</f>
        <v>65.8</v>
      </c>
      <c r="BB92" s="1579"/>
      <c r="BC92" s="1599">
        <v>0</v>
      </c>
      <c r="BD92" s="1600"/>
      <c r="BE92" s="1579"/>
      <c r="BF92" s="1605">
        <v>0</v>
      </c>
      <c r="BG92" s="426">
        <f ca="1">ROUND(+BF92*$BA$92,0)</f>
        <v>0</v>
      </c>
      <c r="BH92" s="1579"/>
      <c r="BI92" s="1605"/>
      <c r="BJ92" s="426">
        <f ca="1">ROUND(+BI92*$BA$92,0)</f>
        <v>0</v>
      </c>
      <c r="BK92" s="1666"/>
      <c r="BL92" s="1605">
        <v>120</v>
      </c>
      <c r="BM92" s="426">
        <f ca="1">ROUND(+BL92*$BA$92,0)</f>
        <v>7896</v>
      </c>
      <c r="BN92" s="1579"/>
      <c r="BO92" s="1605"/>
      <c r="BP92" s="426">
        <f ca="1">ROUND(+BO92*$BA$92,0)</f>
        <v>0</v>
      </c>
      <c r="BQ92" s="1579"/>
      <c r="BR92" s="1605">
        <v>0</v>
      </c>
      <c r="BS92" s="426">
        <f ca="1">ROUND(+BR92*$BA$92,0)</f>
        <v>0</v>
      </c>
      <c r="BT92" s="1579"/>
      <c r="BU92" s="1605">
        <v>0</v>
      </c>
      <c r="BV92" s="426">
        <f ca="1">ROUND(+BU92*$BA$92,0)</f>
        <v>0</v>
      </c>
      <c r="BW92" s="1579"/>
      <c r="BX92" s="1605">
        <v>0</v>
      </c>
      <c r="BY92" s="426">
        <f ca="1">ROUND(+BX92*$BA$92,0)</f>
        <v>0</v>
      </c>
      <c r="BZ92" s="1579"/>
      <c r="CA92" s="1605">
        <v>0</v>
      </c>
      <c r="CB92" s="426">
        <f ca="1">ROUND(+CA92*$BA$92,0)</f>
        <v>0</v>
      </c>
      <c r="CC92" s="1579"/>
      <c r="CD92" s="1605">
        <v>0</v>
      </c>
      <c r="CE92" s="426">
        <f ca="1">ROUND(+CD92*$BA$92,0)</f>
        <v>0</v>
      </c>
      <c r="CF92" s="1579"/>
      <c r="CG92" s="1605">
        <v>0</v>
      </c>
      <c r="CH92" s="426">
        <f ca="1">ROUND(+CG92*$BA$92,0)</f>
        <v>0</v>
      </c>
      <c r="CI92" s="1579"/>
      <c r="CJ92" s="1257">
        <f t="shared" si="397"/>
        <v>120</v>
      </c>
      <c r="CK92" s="1395">
        <f t="shared" ca="1" si="414"/>
        <v>7896</v>
      </c>
      <c r="CL92" s="427"/>
      <c r="CM92" s="170"/>
      <c r="CN92" s="493"/>
      <c r="CO92" s="428" t="str">
        <f t="shared" si="398"/>
        <v>Contracts/Purchasing (C/P)</v>
      </c>
      <c r="CP92" s="429" t="s">
        <v>291</v>
      </c>
      <c r="CQ92" s="475"/>
      <c r="CR92" s="443"/>
      <c r="CS92" s="435">
        <v>0</v>
      </c>
      <c r="CT92" s="431">
        <f t="shared" si="399"/>
        <v>0</v>
      </c>
      <c r="CU92" s="443"/>
      <c r="CV92" s="435">
        <v>0</v>
      </c>
      <c r="CW92" s="434">
        <f t="shared" ca="1" si="400"/>
        <v>0</v>
      </c>
      <c r="CX92" s="443"/>
      <c r="CY92" s="432">
        <v>0</v>
      </c>
      <c r="CZ92" s="434">
        <f t="shared" ca="1" si="401"/>
        <v>0</v>
      </c>
      <c r="DA92" s="443"/>
      <c r="DB92" s="432">
        <v>0</v>
      </c>
      <c r="DC92" s="434">
        <f t="shared" ca="1" si="402"/>
        <v>726</v>
      </c>
      <c r="DD92" s="443"/>
      <c r="DE92" s="432">
        <v>0</v>
      </c>
      <c r="DF92" s="434">
        <f t="shared" ca="1" si="403"/>
        <v>0</v>
      </c>
      <c r="DG92" s="443"/>
      <c r="DH92" s="432">
        <v>0</v>
      </c>
      <c r="DI92" s="434">
        <f t="shared" ca="1" si="404"/>
        <v>0</v>
      </c>
      <c r="DJ92" s="443"/>
      <c r="DK92" s="432">
        <v>0</v>
      </c>
      <c r="DL92" s="434">
        <f t="shared" ca="1" si="405"/>
        <v>0</v>
      </c>
      <c r="DM92" s="443"/>
      <c r="DN92" s="432">
        <v>0</v>
      </c>
      <c r="DO92" s="434">
        <f t="shared" ca="1" si="406"/>
        <v>0</v>
      </c>
      <c r="DP92" s="443"/>
      <c r="DQ92" s="432">
        <v>0</v>
      </c>
      <c r="DR92" s="434">
        <f t="shared" ca="1" si="407"/>
        <v>0</v>
      </c>
      <c r="DS92" s="443"/>
      <c r="DT92" s="432">
        <v>0</v>
      </c>
      <c r="DU92" s="434">
        <f t="shared" ca="1" si="408"/>
        <v>0</v>
      </c>
      <c r="DV92" s="443"/>
      <c r="DW92" s="432">
        <v>0</v>
      </c>
      <c r="DX92" s="434">
        <f t="shared" ca="1" si="409"/>
        <v>0</v>
      </c>
      <c r="DY92" s="443"/>
      <c r="DZ92" s="432">
        <f t="shared" si="410"/>
        <v>0</v>
      </c>
      <c r="EA92" s="444">
        <f t="shared" ca="1" si="411"/>
        <v>726</v>
      </c>
      <c r="EB92" s="433"/>
      <c r="EC92" s="170"/>
      <c r="ED92" s="170"/>
      <c r="EE92" s="170"/>
      <c r="EF92" s="170"/>
      <c r="EG92" s="170"/>
      <c r="EH92" s="170"/>
      <c r="EI92" s="170"/>
      <c r="EJ92" s="170"/>
      <c r="EK92" s="170"/>
    </row>
    <row r="93" spans="1:141" ht="15" x14ac:dyDescent="0.25">
      <c r="A93" s="170"/>
      <c r="B93" s="424">
        <v>1</v>
      </c>
      <c r="C93" s="424">
        <v>5</v>
      </c>
      <c r="D93" s="424">
        <v>1</v>
      </c>
      <c r="E93" s="425">
        <v>9</v>
      </c>
      <c r="F93" s="493" t="s">
        <v>3182</v>
      </c>
      <c r="G93" s="1308" t="str">
        <f t="shared" si="412"/>
        <v>System Planning</v>
      </c>
      <c r="H93" s="1308" t="str">
        <f t="shared" si="413"/>
        <v>LT</v>
      </c>
      <c r="I93" s="1310">
        <f t="shared" ca="1" si="91"/>
        <v>70</v>
      </c>
      <c r="J93" s="1685"/>
      <c r="K93" s="1311">
        <f t="shared" si="374"/>
        <v>0</v>
      </c>
      <c r="L93" s="1312">
        <f t="shared" si="374"/>
        <v>0</v>
      </c>
      <c r="M93" s="1685"/>
      <c r="N93" s="1313">
        <f t="shared" si="375"/>
        <v>0</v>
      </c>
      <c r="O93" s="1312">
        <f t="shared" ca="1" si="376"/>
        <v>0</v>
      </c>
      <c r="P93" s="1685"/>
      <c r="Q93" s="1313">
        <f t="shared" si="377"/>
        <v>0</v>
      </c>
      <c r="R93" s="1312">
        <f t="shared" ca="1" si="378"/>
        <v>0</v>
      </c>
      <c r="S93" s="1685"/>
      <c r="T93" s="1313">
        <f t="shared" si="379"/>
        <v>40</v>
      </c>
      <c r="U93" s="1312">
        <f t="shared" ca="1" si="380"/>
        <v>3058</v>
      </c>
      <c r="V93" s="1685"/>
      <c r="W93" s="1313">
        <f t="shared" si="381"/>
        <v>0</v>
      </c>
      <c r="X93" s="1312">
        <f t="shared" ca="1" si="382"/>
        <v>0</v>
      </c>
      <c r="Y93" s="1685"/>
      <c r="Z93" s="1313">
        <f t="shared" si="383"/>
        <v>0</v>
      </c>
      <c r="AA93" s="1312">
        <f t="shared" ca="1" si="384"/>
        <v>0</v>
      </c>
      <c r="AB93" s="1685"/>
      <c r="AC93" s="1313">
        <f t="shared" si="385"/>
        <v>0</v>
      </c>
      <c r="AD93" s="1312">
        <f t="shared" ca="1" si="386"/>
        <v>0</v>
      </c>
      <c r="AE93" s="1685"/>
      <c r="AF93" s="1313">
        <f t="shared" si="387"/>
        <v>0</v>
      </c>
      <c r="AG93" s="1312">
        <f t="shared" ca="1" si="388"/>
        <v>0</v>
      </c>
      <c r="AH93" s="1685"/>
      <c r="AI93" s="1313">
        <f t="shared" si="389"/>
        <v>0</v>
      </c>
      <c r="AJ93" s="1312">
        <f t="shared" ca="1" si="390"/>
        <v>0</v>
      </c>
      <c r="AK93" s="1685"/>
      <c r="AL93" s="1313">
        <f t="shared" si="391"/>
        <v>0</v>
      </c>
      <c r="AM93" s="1312">
        <f t="shared" ca="1" si="392"/>
        <v>0</v>
      </c>
      <c r="AN93" s="1685"/>
      <c r="AO93" s="1313">
        <f t="shared" si="393"/>
        <v>0</v>
      </c>
      <c r="AP93" s="1312">
        <f t="shared" ca="1" si="394"/>
        <v>0</v>
      </c>
      <c r="AQ93" s="1685"/>
      <c r="AR93" s="1313">
        <f t="shared" si="395"/>
        <v>40</v>
      </c>
      <c r="AS93" s="1312">
        <f t="shared" ca="1" si="396"/>
        <v>3058</v>
      </c>
      <c r="AT93" s="1687"/>
      <c r="AU93" s="411"/>
      <c r="AV93" s="1757">
        <f t="shared" ca="1" si="328"/>
        <v>3058</v>
      </c>
      <c r="AW93" s="411"/>
      <c r="AX93" s="493"/>
      <c r="AY93" s="1566" t="s">
        <v>341</v>
      </c>
      <c r="AZ93" s="1567" t="s">
        <v>291</v>
      </c>
      <c r="BA93" s="2445">
        <f ca="1">+'Data Input sheet'!D155</f>
        <v>70</v>
      </c>
      <c r="BB93" s="1579"/>
      <c r="BC93" s="1599">
        <v>0</v>
      </c>
      <c r="BD93" s="1600"/>
      <c r="BE93" s="1579"/>
      <c r="BF93" s="1605"/>
      <c r="BG93" s="426">
        <f ca="1">ROUND(+BF93*$BA$93,0)</f>
        <v>0</v>
      </c>
      <c r="BH93" s="1579"/>
      <c r="BI93" s="1605"/>
      <c r="BJ93" s="426">
        <f ca="1">ROUND(+BI93*$BA$93,0)</f>
        <v>0</v>
      </c>
      <c r="BK93" s="1666"/>
      <c r="BL93" s="1605">
        <v>40</v>
      </c>
      <c r="BM93" s="426">
        <f ca="1">ROUND(+BL93*$BA$93,0)</f>
        <v>2800</v>
      </c>
      <c r="BN93" s="1579"/>
      <c r="BO93" s="1605"/>
      <c r="BP93" s="426">
        <f ca="1">ROUND(+BO93*$BA$93,0)</f>
        <v>0</v>
      </c>
      <c r="BQ93" s="1579"/>
      <c r="BR93" s="1605">
        <v>0</v>
      </c>
      <c r="BS93" s="426">
        <f ca="1">ROUND(+BR93*$BA$93,0)</f>
        <v>0</v>
      </c>
      <c r="BT93" s="1579"/>
      <c r="BU93" s="1605">
        <v>0</v>
      </c>
      <c r="BV93" s="426">
        <f ca="1">ROUND(+BU93*$BA$93,0)</f>
        <v>0</v>
      </c>
      <c r="BW93" s="1579"/>
      <c r="BX93" s="1605">
        <v>0</v>
      </c>
      <c r="BY93" s="426">
        <f ca="1">ROUND(+BX93*$BA$93,0)</f>
        <v>0</v>
      </c>
      <c r="BZ93" s="1579"/>
      <c r="CA93" s="1605">
        <v>0</v>
      </c>
      <c r="CB93" s="426">
        <f ca="1">ROUND(+CA93*$BA$93,0)</f>
        <v>0</v>
      </c>
      <c r="CC93" s="1579"/>
      <c r="CD93" s="1605">
        <v>0</v>
      </c>
      <c r="CE93" s="426">
        <f ca="1">ROUND(+CD93*$BA$93,0)</f>
        <v>0</v>
      </c>
      <c r="CF93" s="1579"/>
      <c r="CG93" s="1605">
        <v>0</v>
      </c>
      <c r="CH93" s="426">
        <f ca="1">ROUND(+CG93*$BA$93,0)</f>
        <v>0</v>
      </c>
      <c r="CI93" s="1579"/>
      <c r="CJ93" s="1257">
        <f t="shared" si="397"/>
        <v>40</v>
      </c>
      <c r="CK93" s="1395">
        <f t="shared" ca="1" si="414"/>
        <v>2800</v>
      </c>
      <c r="CL93" s="427"/>
      <c r="CM93" s="170"/>
      <c r="CN93" s="493"/>
      <c r="CO93" s="428" t="str">
        <f t="shared" si="398"/>
        <v>System Planning</v>
      </c>
      <c r="CP93" s="429" t="s">
        <v>291</v>
      </c>
      <c r="CQ93" s="475"/>
      <c r="CR93" s="443"/>
      <c r="CS93" s="435">
        <v>0</v>
      </c>
      <c r="CT93" s="431">
        <f t="shared" si="399"/>
        <v>0</v>
      </c>
      <c r="CU93" s="443"/>
      <c r="CV93" s="435">
        <v>0</v>
      </c>
      <c r="CW93" s="434">
        <f t="shared" ca="1" si="400"/>
        <v>0</v>
      </c>
      <c r="CX93" s="443"/>
      <c r="CY93" s="432">
        <v>0</v>
      </c>
      <c r="CZ93" s="434">
        <f t="shared" ca="1" si="401"/>
        <v>0</v>
      </c>
      <c r="DA93" s="443"/>
      <c r="DB93" s="432">
        <v>0</v>
      </c>
      <c r="DC93" s="434">
        <f t="shared" ca="1" si="402"/>
        <v>258</v>
      </c>
      <c r="DD93" s="443"/>
      <c r="DE93" s="432">
        <v>0</v>
      </c>
      <c r="DF93" s="434">
        <f t="shared" ca="1" si="403"/>
        <v>0</v>
      </c>
      <c r="DG93" s="443"/>
      <c r="DH93" s="432">
        <v>0</v>
      </c>
      <c r="DI93" s="434">
        <f t="shared" ca="1" si="404"/>
        <v>0</v>
      </c>
      <c r="DJ93" s="443"/>
      <c r="DK93" s="432">
        <v>0</v>
      </c>
      <c r="DL93" s="434">
        <f t="shared" ca="1" si="405"/>
        <v>0</v>
      </c>
      <c r="DM93" s="443"/>
      <c r="DN93" s="432">
        <v>0</v>
      </c>
      <c r="DO93" s="434">
        <f t="shared" ca="1" si="406"/>
        <v>0</v>
      </c>
      <c r="DP93" s="443"/>
      <c r="DQ93" s="432">
        <v>0</v>
      </c>
      <c r="DR93" s="434">
        <f t="shared" ca="1" si="407"/>
        <v>0</v>
      </c>
      <c r="DS93" s="443"/>
      <c r="DT93" s="432">
        <v>0</v>
      </c>
      <c r="DU93" s="434">
        <f t="shared" ca="1" si="408"/>
        <v>0</v>
      </c>
      <c r="DV93" s="443"/>
      <c r="DW93" s="432">
        <v>0</v>
      </c>
      <c r="DX93" s="434">
        <f t="shared" ca="1" si="409"/>
        <v>0</v>
      </c>
      <c r="DY93" s="443"/>
      <c r="DZ93" s="432">
        <f t="shared" si="410"/>
        <v>0</v>
      </c>
      <c r="EA93" s="444">
        <f t="shared" ca="1" si="411"/>
        <v>258</v>
      </c>
      <c r="EB93" s="433"/>
      <c r="EC93" s="170"/>
      <c r="ED93" s="170"/>
      <c r="EE93" s="170"/>
      <c r="EF93" s="170"/>
      <c r="EG93" s="170"/>
      <c r="EH93" s="170"/>
      <c r="EI93" s="170"/>
      <c r="EJ93" s="170"/>
      <c r="EK93" s="170"/>
    </row>
    <row r="94" spans="1:141" ht="15" x14ac:dyDescent="0.25">
      <c r="A94" s="170"/>
      <c r="B94" s="424">
        <v>1</v>
      </c>
      <c r="C94" s="424">
        <v>5</v>
      </c>
      <c r="D94" s="424">
        <v>1</v>
      </c>
      <c r="E94" s="425">
        <v>2</v>
      </c>
      <c r="F94" s="493" t="s">
        <v>3182</v>
      </c>
      <c r="G94" s="1308" t="str">
        <f t="shared" si="412"/>
        <v>Environmental</v>
      </c>
      <c r="H94" s="1309" t="s">
        <v>291</v>
      </c>
      <c r="I94" s="1310">
        <f t="shared" si="91"/>
        <v>0</v>
      </c>
      <c r="J94" s="1685"/>
      <c r="K94" s="1311">
        <f t="shared" si="374"/>
        <v>0</v>
      </c>
      <c r="L94" s="1312">
        <f t="shared" si="374"/>
        <v>5060.05</v>
      </c>
      <c r="M94" s="1685"/>
      <c r="N94" s="1313">
        <f t="shared" si="375"/>
        <v>0</v>
      </c>
      <c r="O94" s="1312">
        <f t="shared" si="376"/>
        <v>0</v>
      </c>
      <c r="P94" s="1685"/>
      <c r="Q94" s="1313">
        <f t="shared" si="377"/>
        <v>0</v>
      </c>
      <c r="R94" s="1312">
        <f t="shared" si="378"/>
        <v>0</v>
      </c>
      <c r="S94" s="1685"/>
      <c r="T94" s="1313">
        <f t="shared" si="379"/>
        <v>80</v>
      </c>
      <c r="U94" s="1312">
        <f t="shared" si="380"/>
        <v>67497</v>
      </c>
      <c r="V94" s="1685"/>
      <c r="W94" s="1313">
        <f t="shared" si="381"/>
        <v>160</v>
      </c>
      <c r="X94" s="1312">
        <f t="shared" si="382"/>
        <v>139043</v>
      </c>
      <c r="Y94" s="1685"/>
      <c r="Z94" s="1313">
        <f t="shared" si="383"/>
        <v>80</v>
      </c>
      <c r="AA94" s="1312">
        <f t="shared" si="384"/>
        <v>71607</v>
      </c>
      <c r="AB94" s="1685"/>
      <c r="AC94" s="1313">
        <f t="shared" si="385"/>
        <v>0</v>
      </c>
      <c r="AD94" s="1312">
        <f t="shared" si="386"/>
        <v>0</v>
      </c>
      <c r="AE94" s="1685"/>
      <c r="AF94" s="1313">
        <f t="shared" si="387"/>
        <v>0</v>
      </c>
      <c r="AG94" s="1312">
        <f t="shared" si="388"/>
        <v>0</v>
      </c>
      <c r="AH94" s="1685"/>
      <c r="AI94" s="1313">
        <f t="shared" si="389"/>
        <v>0</v>
      </c>
      <c r="AJ94" s="1312">
        <f t="shared" si="390"/>
        <v>0</v>
      </c>
      <c r="AK94" s="1685"/>
      <c r="AL94" s="1313">
        <f t="shared" si="391"/>
        <v>0</v>
      </c>
      <c r="AM94" s="1312">
        <f t="shared" si="392"/>
        <v>0</v>
      </c>
      <c r="AN94" s="1685"/>
      <c r="AO94" s="1313">
        <f t="shared" si="393"/>
        <v>0</v>
      </c>
      <c r="AP94" s="1312">
        <f t="shared" si="394"/>
        <v>0</v>
      </c>
      <c r="AQ94" s="1685"/>
      <c r="AR94" s="1313">
        <f t="shared" si="395"/>
        <v>320</v>
      </c>
      <c r="AS94" s="1312">
        <f t="shared" si="396"/>
        <v>283207.05</v>
      </c>
      <c r="AT94" s="1687"/>
      <c r="AU94" s="411"/>
      <c r="AV94" s="1757">
        <f t="shared" si="328"/>
        <v>283207.05</v>
      </c>
      <c r="AW94" s="411"/>
      <c r="AX94" s="493"/>
      <c r="AY94" s="1566" t="s">
        <v>342</v>
      </c>
      <c r="AZ94" s="1567" t="s">
        <v>291</v>
      </c>
      <c r="BA94" s="2445"/>
      <c r="BB94" s="1579"/>
      <c r="BC94" s="1599">
        <v>0</v>
      </c>
      <c r="BD94" s="1600">
        <v>5060.05</v>
      </c>
      <c r="BE94" s="1579"/>
      <c r="BF94" s="1469">
        <f>+Escalation!O339</f>
        <v>0</v>
      </c>
      <c r="BG94" s="1229"/>
      <c r="BH94" s="1661"/>
      <c r="BI94" s="1469">
        <f>+Escalation!P339</f>
        <v>0</v>
      </c>
      <c r="BJ94" s="1229">
        <f>ROUND(+Escalation!AC314,0)</f>
        <v>0</v>
      </c>
      <c r="BK94" s="1670"/>
      <c r="BL94" s="1469">
        <f>+Escalation!Q339</f>
        <v>80</v>
      </c>
      <c r="BM94" s="1229">
        <f>ROUND(+Escalation!AD314,0)</f>
        <v>61810</v>
      </c>
      <c r="BN94" s="1661"/>
      <c r="BO94" s="1469">
        <f>+Escalation!R339</f>
        <v>160</v>
      </c>
      <c r="BP94" s="1229">
        <f>ROUND(+Escalation!AE314,0)</f>
        <v>123620</v>
      </c>
      <c r="BQ94" s="1661"/>
      <c r="BR94" s="1469">
        <f>+Escalation!S339</f>
        <v>80</v>
      </c>
      <c r="BS94" s="1229">
        <f>ROUND(+Escalation!AF314,0)</f>
        <v>61810</v>
      </c>
      <c r="BT94" s="1661"/>
      <c r="BU94" s="1469">
        <f>+Escalation!T339</f>
        <v>0</v>
      </c>
      <c r="BV94" s="1229">
        <f>ROUND(+Escalation!AG314,0)</f>
        <v>0</v>
      </c>
      <c r="BW94" s="1661"/>
      <c r="BX94" s="1469">
        <f>+Escalation!U339</f>
        <v>0</v>
      </c>
      <c r="BY94" s="1229">
        <f>ROUND(+Escalation!AH314,0)</f>
        <v>0</v>
      </c>
      <c r="BZ94" s="1661"/>
      <c r="CA94" s="1469">
        <f>+Escalation!V339</f>
        <v>0</v>
      </c>
      <c r="CB94" s="1229">
        <f>ROUND(+Escalation!AI314,0)</f>
        <v>0</v>
      </c>
      <c r="CC94" s="1661"/>
      <c r="CD94" s="1469">
        <f>+Escalation!W339</f>
        <v>0</v>
      </c>
      <c r="CE94" s="1229">
        <f>ROUND(+Escalation!AJ314,0)</f>
        <v>0</v>
      </c>
      <c r="CF94" s="1661"/>
      <c r="CG94" s="1469">
        <f>+Escalation!X339</f>
        <v>0</v>
      </c>
      <c r="CH94" s="1229">
        <f>ROUND(+Escalation!AK314,0)</f>
        <v>0</v>
      </c>
      <c r="CI94" s="1579"/>
      <c r="CJ94" s="1257">
        <f t="shared" si="397"/>
        <v>320</v>
      </c>
      <c r="CK94" s="1395">
        <f>+BS94+BP94+BM94+BJ94+BG94+BD94+BV94+BY94+CB94+CE94+CH94</f>
        <v>252300.05</v>
      </c>
      <c r="CL94" s="427"/>
      <c r="CM94" s="170"/>
      <c r="CN94" s="493"/>
      <c r="CO94" s="428" t="str">
        <f t="shared" si="398"/>
        <v>Environmental</v>
      </c>
      <c r="CP94" s="429" t="s">
        <v>291</v>
      </c>
      <c r="CQ94" s="475"/>
      <c r="CR94" s="443"/>
      <c r="CS94" s="435">
        <v>0</v>
      </c>
      <c r="CT94" s="431">
        <f t="shared" si="399"/>
        <v>0</v>
      </c>
      <c r="CU94" s="443"/>
      <c r="CV94" s="435">
        <v>0</v>
      </c>
      <c r="CW94" s="434">
        <f t="shared" si="400"/>
        <v>0</v>
      </c>
      <c r="CX94" s="443"/>
      <c r="CY94" s="432">
        <v>0</v>
      </c>
      <c r="CZ94" s="434">
        <f t="shared" si="401"/>
        <v>0</v>
      </c>
      <c r="DA94" s="443"/>
      <c r="DB94" s="432">
        <v>0</v>
      </c>
      <c r="DC94" s="434">
        <f t="shared" si="402"/>
        <v>5687</v>
      </c>
      <c r="DD94" s="443"/>
      <c r="DE94" s="432">
        <v>0</v>
      </c>
      <c r="DF94" s="434">
        <f t="shared" si="403"/>
        <v>15423</v>
      </c>
      <c r="DG94" s="443"/>
      <c r="DH94" s="432">
        <v>0</v>
      </c>
      <c r="DI94" s="434">
        <f t="shared" si="404"/>
        <v>9797</v>
      </c>
      <c r="DJ94" s="443"/>
      <c r="DK94" s="432">
        <v>0</v>
      </c>
      <c r="DL94" s="434">
        <f t="shared" si="405"/>
        <v>0</v>
      </c>
      <c r="DM94" s="443"/>
      <c r="DN94" s="432">
        <v>0</v>
      </c>
      <c r="DO94" s="434">
        <f t="shared" si="406"/>
        <v>0</v>
      </c>
      <c r="DP94" s="443"/>
      <c r="DQ94" s="432">
        <v>0</v>
      </c>
      <c r="DR94" s="434">
        <f t="shared" si="407"/>
        <v>0</v>
      </c>
      <c r="DS94" s="443"/>
      <c r="DT94" s="432">
        <v>0</v>
      </c>
      <c r="DU94" s="434">
        <f t="shared" si="408"/>
        <v>0</v>
      </c>
      <c r="DV94" s="443"/>
      <c r="DW94" s="432">
        <v>0</v>
      </c>
      <c r="DX94" s="434">
        <f t="shared" si="409"/>
        <v>0</v>
      </c>
      <c r="DY94" s="443"/>
      <c r="DZ94" s="432">
        <f t="shared" si="410"/>
        <v>0</v>
      </c>
      <c r="EA94" s="444">
        <f t="shared" si="411"/>
        <v>30907</v>
      </c>
      <c r="EB94" s="433"/>
      <c r="EC94" s="170"/>
      <c r="ED94" s="170"/>
      <c r="EE94" s="170"/>
      <c r="EF94" s="170"/>
      <c r="EG94" s="170"/>
      <c r="EH94" s="170"/>
      <c r="EI94" s="170"/>
      <c r="EJ94" s="170"/>
      <c r="EK94" s="170"/>
    </row>
    <row r="95" spans="1:141" ht="15" x14ac:dyDescent="0.25">
      <c r="A95" s="170"/>
      <c r="B95" s="424">
        <v>1</v>
      </c>
      <c r="C95" s="424">
        <v>5</v>
      </c>
      <c r="D95" s="424">
        <v>1</v>
      </c>
      <c r="E95" s="425">
        <v>3</v>
      </c>
      <c r="F95" s="493" t="s">
        <v>3182</v>
      </c>
      <c r="G95" s="1308" t="str">
        <f t="shared" si="412"/>
        <v>SCS - Campaign</v>
      </c>
      <c r="H95" s="1308" t="str">
        <f t="shared" si="413"/>
        <v>LT</v>
      </c>
      <c r="I95" s="1310">
        <f t="shared" si="91"/>
        <v>0</v>
      </c>
      <c r="J95" s="1685"/>
      <c r="K95" s="1311">
        <f t="shared" si="374"/>
        <v>0</v>
      </c>
      <c r="L95" s="1312">
        <f t="shared" si="374"/>
        <v>8335.6200000000008</v>
      </c>
      <c r="M95" s="1685"/>
      <c r="N95" s="1313">
        <f t="shared" si="375"/>
        <v>0</v>
      </c>
      <c r="O95" s="1312">
        <f t="shared" ca="1" si="376"/>
        <v>0</v>
      </c>
      <c r="P95" s="1685"/>
      <c r="Q95" s="1313">
        <f t="shared" si="377"/>
        <v>0</v>
      </c>
      <c r="R95" s="1312">
        <f t="shared" si="378"/>
        <v>0</v>
      </c>
      <c r="S95" s="1685"/>
      <c r="T95" s="1313">
        <f t="shared" si="379"/>
        <v>0</v>
      </c>
      <c r="U95" s="1312">
        <f t="shared" ca="1" si="380"/>
        <v>24759</v>
      </c>
      <c r="V95" s="1685"/>
      <c r="W95" s="1313">
        <f t="shared" si="381"/>
        <v>0</v>
      </c>
      <c r="X95" s="1312">
        <f t="shared" ca="1" si="382"/>
        <v>32846</v>
      </c>
      <c r="Y95" s="1685"/>
      <c r="Z95" s="1313">
        <f t="shared" si="383"/>
        <v>0</v>
      </c>
      <c r="AA95" s="1312">
        <f t="shared" ca="1" si="384"/>
        <v>6190</v>
      </c>
      <c r="AB95" s="1685"/>
      <c r="AC95" s="1313">
        <f t="shared" si="385"/>
        <v>0</v>
      </c>
      <c r="AD95" s="1312">
        <f t="shared" ca="1" si="386"/>
        <v>0</v>
      </c>
      <c r="AE95" s="1685"/>
      <c r="AF95" s="1313">
        <f t="shared" si="387"/>
        <v>0</v>
      </c>
      <c r="AG95" s="1312">
        <f t="shared" ca="1" si="388"/>
        <v>0</v>
      </c>
      <c r="AH95" s="1685"/>
      <c r="AI95" s="1313">
        <f t="shared" si="389"/>
        <v>0</v>
      </c>
      <c r="AJ95" s="1312">
        <f t="shared" ca="1" si="390"/>
        <v>0</v>
      </c>
      <c r="AK95" s="1685"/>
      <c r="AL95" s="1313">
        <f t="shared" si="391"/>
        <v>0</v>
      </c>
      <c r="AM95" s="1312">
        <f t="shared" ca="1" si="392"/>
        <v>0</v>
      </c>
      <c r="AN95" s="1685"/>
      <c r="AO95" s="1313">
        <f t="shared" si="393"/>
        <v>0</v>
      </c>
      <c r="AP95" s="1312">
        <f t="shared" ca="1" si="394"/>
        <v>0</v>
      </c>
      <c r="AQ95" s="1685"/>
      <c r="AR95" s="1313">
        <f t="shared" si="395"/>
        <v>0</v>
      </c>
      <c r="AS95" s="1312">
        <f t="shared" ca="1" si="396"/>
        <v>72130.62</v>
      </c>
      <c r="AT95" s="1687"/>
      <c r="AU95" s="411"/>
      <c r="AV95" s="1757">
        <f t="shared" ca="1" si="328"/>
        <v>72130.62</v>
      </c>
      <c r="AW95" s="411"/>
      <c r="AX95" s="493"/>
      <c r="AY95" s="2094" t="s">
        <v>1420</v>
      </c>
      <c r="AZ95" s="1567" t="s">
        <v>291</v>
      </c>
      <c r="BA95" s="2445"/>
      <c r="BB95" s="1579"/>
      <c r="BC95" s="1599">
        <v>0</v>
      </c>
      <c r="BD95" s="1600">
        <v>8335.6200000000008</v>
      </c>
      <c r="BE95" s="1579"/>
      <c r="BF95" s="1603"/>
      <c r="BG95" s="1229">
        <f ca="1">ROUND(SUMIF('SCS &amp; Siting Info'!$C$8:$C$11,$AY95,'SCS &amp; Siting Info'!$D$8:$D$11)*SUMIF('SCS &amp; Siting Info'!$C$8:$C$11,$AY95,'SCS &amp; Siting Info'!$E$8:$E$11)*SUM(BG$88,BG$76,BG$34,BG$65,BG$142,BG$155),0)</f>
        <v>0</v>
      </c>
      <c r="BH95" s="1662"/>
      <c r="BI95" s="1603">
        <v>0</v>
      </c>
      <c r="BJ95" s="1229"/>
      <c r="BK95" s="1670"/>
      <c r="BL95" s="1603">
        <v>0</v>
      </c>
      <c r="BM95" s="1229">
        <f ca="1">ROUND(SUMIF('SCS &amp; Siting Info'!$C$8:$C$11,$AY95,'SCS &amp; Siting Info'!$D$8:$D$11)*SUMIF('SCS &amp; Siting Info'!$C$8:$C$11,$AY95,'SCS &amp; Siting Info'!$E$8:$E$11)*SUM(BM$88,BM$76,BM$34,BM$65,BM$142,BM$155),0)</f>
        <v>22673</v>
      </c>
      <c r="BN95" s="1661"/>
      <c r="BO95" s="1603">
        <v>0</v>
      </c>
      <c r="BP95" s="1229">
        <f ca="1">ROUND(SUMIF('SCS &amp; Siting Info'!$C$8:$C$11,$AY95,'SCS &amp; Siting Info'!$D$8:$D$11)*SUMIF('SCS &amp; Siting Info'!$C$8:$C$11,$AY95,'SCS &amp; Siting Info'!$E$8:$E$11)*SUM(BP$88,BP$76,BP$34,BP$65,BP$142,BP$155),0)</f>
        <v>29203</v>
      </c>
      <c r="BQ95" s="1661"/>
      <c r="BR95" s="1603">
        <v>0</v>
      </c>
      <c r="BS95" s="1229">
        <f ca="1">ROUND(SUMIF('SCS &amp; Siting Info'!$C$8:$C$11,$AY95,'SCS &amp; Siting Info'!$D$8:$D$11)*SUMIF('SCS &amp; Siting Info'!$C$8:$C$11,$AY95,'SCS &amp; Siting Info'!$E$8:$E$11)*SUM(BS$88,BS$76,BS$34,BS$65,BS$142,BS$155),0)</f>
        <v>5343</v>
      </c>
      <c r="BT95" s="1661"/>
      <c r="BU95" s="1603">
        <v>0</v>
      </c>
      <c r="BV95" s="1229">
        <f ca="1">ROUND(SUMIF('SCS &amp; Siting Info'!$C$8:$C$11,$AY95,'SCS &amp; Siting Info'!$D$8:$D$11)*SUMIF('SCS &amp; Siting Info'!$C$8:$C$11,$AY95,'SCS &amp; Siting Info'!$E$8:$E$11)*SUM(BV$88,BV$76,BV$34,BV$65,BV$142,BV$155),0)</f>
        <v>0</v>
      </c>
      <c r="BW95" s="1661"/>
      <c r="BX95" s="1603">
        <v>0</v>
      </c>
      <c r="BY95" s="1229">
        <f ca="1">ROUND(SUMIF('SCS &amp; Siting Info'!$C$8:$C$11,$AY95,'SCS &amp; Siting Info'!$D$8:$D$11)*SUMIF('SCS &amp; Siting Info'!$C$8:$C$11,$AY95,'SCS &amp; Siting Info'!$E$8:$E$11)*SUM(BY$88,BY$76,BY$34,BY$65,BY$142,BY$155),0)</f>
        <v>0</v>
      </c>
      <c r="BZ95" s="1661"/>
      <c r="CA95" s="1603">
        <v>0</v>
      </c>
      <c r="CB95" s="1229">
        <f ca="1">ROUND(SUMIF('SCS &amp; Siting Info'!$C$8:$C$11,$AY95,'SCS &amp; Siting Info'!$D$8:$D$11)*SUMIF('SCS &amp; Siting Info'!$C$8:$C$11,$AY95,'SCS &amp; Siting Info'!$E$8:$E$11)*SUM(CB$88,CB$76,CB$34,CB$65,CB$142,CB$155),0)</f>
        <v>0</v>
      </c>
      <c r="CC95" s="1661"/>
      <c r="CD95" s="1603">
        <v>0</v>
      </c>
      <c r="CE95" s="1229">
        <f ca="1">ROUND(SUMIF('SCS &amp; Siting Info'!$C$8:$C$11,$AY95,'SCS &amp; Siting Info'!$D$8:$D$11)*SUMIF('SCS &amp; Siting Info'!$C$8:$C$11,$AY95,'SCS &amp; Siting Info'!$E$8:$E$11)*SUM(CE$88,CE$76,CE$34,CE$65,CE$142,CE$155),0)</f>
        <v>0</v>
      </c>
      <c r="CF95" s="1661"/>
      <c r="CG95" s="1603">
        <v>0</v>
      </c>
      <c r="CH95" s="1229">
        <f ca="1">ROUND(SUMIF('SCS &amp; Siting Info'!$C$8:$C$11,$AY95,'SCS &amp; Siting Info'!$D$8:$D$11)*SUMIF('SCS &amp; Siting Info'!$C$8:$C$11,$AY95,'SCS &amp; Siting Info'!$E$8:$E$11)*SUM(CH$88,CH$76,CH$34,CH$65,CH$142,CH$155),0)</f>
        <v>0</v>
      </c>
      <c r="CI95" s="1579"/>
      <c r="CJ95" s="1257">
        <f t="shared" si="397"/>
        <v>0</v>
      </c>
      <c r="CK95" s="1395">
        <f ca="1">+BS95+BP95+BM95+BJ95+BG95+BD95+BV95+BY95+CB95+CE95+CH95</f>
        <v>65554.62</v>
      </c>
      <c r="CL95" s="427" t="s">
        <v>3696</v>
      </c>
      <c r="CM95" s="170"/>
      <c r="CN95" s="493"/>
      <c r="CO95" s="428" t="str">
        <f t="shared" si="398"/>
        <v>SCS - Campaign</v>
      </c>
      <c r="CP95" s="429" t="s">
        <v>291</v>
      </c>
      <c r="CQ95" s="475"/>
      <c r="CR95" s="443"/>
      <c r="CS95" s="435">
        <v>0</v>
      </c>
      <c r="CT95" s="431">
        <f t="shared" si="399"/>
        <v>0</v>
      </c>
      <c r="CU95" s="443"/>
      <c r="CV95" s="435">
        <v>0</v>
      </c>
      <c r="CW95" s="434">
        <f t="shared" ca="1" si="400"/>
        <v>0</v>
      </c>
      <c r="CX95" s="443"/>
      <c r="CY95" s="432">
        <v>0</v>
      </c>
      <c r="CZ95" s="434">
        <f t="shared" si="401"/>
        <v>0</v>
      </c>
      <c r="DA95" s="443"/>
      <c r="DB95" s="432">
        <v>0</v>
      </c>
      <c r="DC95" s="434">
        <f t="shared" ca="1" si="402"/>
        <v>2086</v>
      </c>
      <c r="DD95" s="443"/>
      <c r="DE95" s="432">
        <v>0</v>
      </c>
      <c r="DF95" s="434">
        <f t="shared" ca="1" si="403"/>
        <v>3643</v>
      </c>
      <c r="DG95" s="443"/>
      <c r="DH95" s="432">
        <v>0</v>
      </c>
      <c r="DI95" s="434">
        <f t="shared" ca="1" si="404"/>
        <v>847</v>
      </c>
      <c r="DJ95" s="443"/>
      <c r="DK95" s="432">
        <v>0</v>
      </c>
      <c r="DL95" s="434">
        <f t="shared" ca="1" si="405"/>
        <v>0</v>
      </c>
      <c r="DM95" s="443"/>
      <c r="DN95" s="432">
        <v>0</v>
      </c>
      <c r="DO95" s="434">
        <f t="shared" ca="1" si="406"/>
        <v>0</v>
      </c>
      <c r="DP95" s="443"/>
      <c r="DQ95" s="432">
        <v>0</v>
      </c>
      <c r="DR95" s="434">
        <f t="shared" ca="1" si="407"/>
        <v>0</v>
      </c>
      <c r="DS95" s="443"/>
      <c r="DT95" s="432">
        <v>0</v>
      </c>
      <c r="DU95" s="434">
        <f t="shared" ca="1" si="408"/>
        <v>0</v>
      </c>
      <c r="DV95" s="443"/>
      <c r="DW95" s="432">
        <v>0</v>
      </c>
      <c r="DX95" s="434">
        <f t="shared" ca="1" si="409"/>
        <v>0</v>
      </c>
      <c r="DY95" s="443"/>
      <c r="DZ95" s="432">
        <f t="shared" si="410"/>
        <v>0</v>
      </c>
      <c r="EA95" s="444">
        <f t="shared" ca="1" si="411"/>
        <v>6576</v>
      </c>
      <c r="EB95" s="433"/>
      <c r="EC95" s="170"/>
      <c r="ED95" s="170"/>
      <c r="EE95" s="170"/>
      <c r="EF95" s="170"/>
      <c r="EG95" s="170"/>
      <c r="EH95" s="170"/>
      <c r="EI95" s="170"/>
      <c r="EJ95" s="170"/>
      <c r="EK95" s="170"/>
    </row>
    <row r="96" spans="1:141" ht="15" x14ac:dyDescent="0.25">
      <c r="A96" s="170"/>
      <c r="B96" s="424">
        <v>1</v>
      </c>
      <c r="C96" s="424">
        <v>5</v>
      </c>
      <c r="D96" s="424">
        <v>1</v>
      </c>
      <c r="E96" s="425">
        <v>9</v>
      </c>
      <c r="F96" s="493" t="s">
        <v>3182</v>
      </c>
      <c r="G96" s="1308" t="str">
        <f t="shared" si="412"/>
        <v>Legal</v>
      </c>
      <c r="H96" s="1308" t="str">
        <f t="shared" si="413"/>
        <v>LT</v>
      </c>
      <c r="I96" s="1310">
        <f t="shared" si="91"/>
        <v>98.7</v>
      </c>
      <c r="J96" s="1685"/>
      <c r="K96" s="1311">
        <f t="shared" ref="K96:K102" si="415">+BC96</f>
        <v>0</v>
      </c>
      <c r="L96" s="1312">
        <f t="shared" ref="L96:L102" si="416">+BD96</f>
        <v>0</v>
      </c>
      <c r="M96" s="1685"/>
      <c r="N96" s="1313">
        <f t="shared" ref="N96:N102" si="417">+BF96</f>
        <v>0</v>
      </c>
      <c r="O96" s="1312">
        <f t="shared" si="376"/>
        <v>0</v>
      </c>
      <c r="P96" s="1685"/>
      <c r="Q96" s="1313">
        <f t="shared" ref="Q96:Q102" si="418">+BI96</f>
        <v>0</v>
      </c>
      <c r="R96" s="1312">
        <f t="shared" si="378"/>
        <v>0</v>
      </c>
      <c r="S96" s="1685"/>
      <c r="T96" s="1313">
        <f t="shared" ref="T96:T102" si="419">+BL96</f>
        <v>0</v>
      </c>
      <c r="U96" s="1312">
        <f t="shared" si="380"/>
        <v>0</v>
      </c>
      <c r="V96" s="1685"/>
      <c r="W96" s="1313">
        <f t="shared" ref="W96:W102" si="420">+BO96</f>
        <v>0</v>
      </c>
      <c r="X96" s="1312">
        <f t="shared" si="382"/>
        <v>0</v>
      </c>
      <c r="Y96" s="1685"/>
      <c r="Z96" s="1313">
        <f t="shared" ref="Z96:Z102" si="421">+BR96</f>
        <v>0</v>
      </c>
      <c r="AA96" s="1312">
        <f t="shared" si="384"/>
        <v>0</v>
      </c>
      <c r="AB96" s="1685"/>
      <c r="AC96" s="1313">
        <f t="shared" ref="AC96:AC102" si="422">+BU96</f>
        <v>0</v>
      </c>
      <c r="AD96" s="1312">
        <f t="shared" si="386"/>
        <v>0</v>
      </c>
      <c r="AE96" s="1685"/>
      <c r="AF96" s="1313">
        <f t="shared" si="387"/>
        <v>0</v>
      </c>
      <c r="AG96" s="1312">
        <f t="shared" si="388"/>
        <v>0</v>
      </c>
      <c r="AH96" s="1685"/>
      <c r="AI96" s="1313">
        <f t="shared" si="389"/>
        <v>0</v>
      </c>
      <c r="AJ96" s="1312">
        <f t="shared" si="390"/>
        <v>0</v>
      </c>
      <c r="AK96" s="1685"/>
      <c r="AL96" s="1313">
        <f t="shared" si="391"/>
        <v>0</v>
      </c>
      <c r="AM96" s="1312">
        <f t="shared" si="392"/>
        <v>0</v>
      </c>
      <c r="AN96" s="1685"/>
      <c r="AO96" s="1313">
        <f t="shared" si="393"/>
        <v>0</v>
      </c>
      <c r="AP96" s="1312">
        <f t="shared" si="394"/>
        <v>0</v>
      </c>
      <c r="AQ96" s="1685"/>
      <c r="AR96" s="1313">
        <f t="shared" si="395"/>
        <v>0</v>
      </c>
      <c r="AS96" s="1312">
        <f t="shared" si="396"/>
        <v>0</v>
      </c>
      <c r="AT96" s="1687"/>
      <c r="AU96" s="411"/>
      <c r="AV96" s="1757">
        <f t="shared" si="328"/>
        <v>0</v>
      </c>
      <c r="AW96" s="411"/>
      <c r="AX96" s="493"/>
      <c r="AY96" s="1566" t="s">
        <v>343</v>
      </c>
      <c r="AZ96" s="1567" t="s">
        <v>291</v>
      </c>
      <c r="BA96" s="2445">
        <f>+'Data Input sheet'!D158</f>
        <v>98.7</v>
      </c>
      <c r="BB96" s="1579"/>
      <c r="BC96" s="1599">
        <v>0</v>
      </c>
      <c r="BD96" s="1600"/>
      <c r="BE96" s="1579"/>
      <c r="BF96" s="1605"/>
      <c r="BG96" s="426">
        <f>ROUND(+BF96*$BA$96,0)</f>
        <v>0</v>
      </c>
      <c r="BH96" s="1579"/>
      <c r="BI96" s="1605">
        <v>0</v>
      </c>
      <c r="BJ96" s="426">
        <f>ROUND(+BI96*$BA$96,0)</f>
        <v>0</v>
      </c>
      <c r="BK96" s="1666"/>
      <c r="BL96" s="1605">
        <v>0</v>
      </c>
      <c r="BM96" s="426">
        <f>ROUND(+BL96*$BA$96,0)</f>
        <v>0</v>
      </c>
      <c r="BN96" s="1579"/>
      <c r="BO96" s="1605">
        <v>0</v>
      </c>
      <c r="BP96" s="426">
        <f>ROUND(+BO96*$BA$96,0)</f>
        <v>0</v>
      </c>
      <c r="BQ96" s="1579"/>
      <c r="BR96" s="1605">
        <v>0</v>
      </c>
      <c r="BS96" s="426">
        <f>ROUND(+BR96*$BA$96,0)</f>
        <v>0</v>
      </c>
      <c r="BT96" s="1579"/>
      <c r="BU96" s="1605">
        <v>0</v>
      </c>
      <c r="BV96" s="426">
        <f>ROUND(+BU96*$BA$96,0)</f>
        <v>0</v>
      </c>
      <c r="BW96" s="1579"/>
      <c r="BX96" s="1605">
        <v>0</v>
      </c>
      <c r="BY96" s="426">
        <f>ROUND(+BX96*$BA$96,0)</f>
        <v>0</v>
      </c>
      <c r="BZ96" s="1579"/>
      <c r="CA96" s="1605">
        <v>0</v>
      </c>
      <c r="CB96" s="426">
        <f>ROUND(+CA96*$BA$96,0)</f>
        <v>0</v>
      </c>
      <c r="CC96" s="1579"/>
      <c r="CD96" s="1605">
        <v>0</v>
      </c>
      <c r="CE96" s="426">
        <f>ROUND(+CD96*$BA$96,0)</f>
        <v>0</v>
      </c>
      <c r="CF96" s="1579"/>
      <c r="CG96" s="1605">
        <v>0</v>
      </c>
      <c r="CH96" s="426">
        <f>ROUND(+CG96*$BA$96,0)</f>
        <v>0</v>
      </c>
      <c r="CI96" s="1579"/>
      <c r="CJ96" s="1257">
        <f t="shared" si="397"/>
        <v>0</v>
      </c>
      <c r="CK96" s="1395">
        <f t="shared" si="414"/>
        <v>0</v>
      </c>
      <c r="CL96" s="427"/>
      <c r="CM96" s="170"/>
      <c r="CN96" s="493"/>
      <c r="CO96" s="428" t="str">
        <f t="shared" si="398"/>
        <v>Legal</v>
      </c>
      <c r="CP96" s="429" t="s">
        <v>291</v>
      </c>
      <c r="CQ96" s="475"/>
      <c r="CR96" s="443"/>
      <c r="CS96" s="435">
        <v>0</v>
      </c>
      <c r="CT96" s="431">
        <f t="shared" si="399"/>
        <v>0</v>
      </c>
      <c r="CU96" s="443"/>
      <c r="CV96" s="435">
        <v>0</v>
      </c>
      <c r="CW96" s="434">
        <f t="shared" si="400"/>
        <v>0</v>
      </c>
      <c r="CX96" s="443"/>
      <c r="CY96" s="432">
        <v>0</v>
      </c>
      <c r="CZ96" s="434">
        <f t="shared" si="401"/>
        <v>0</v>
      </c>
      <c r="DA96" s="443"/>
      <c r="DB96" s="432">
        <v>0</v>
      </c>
      <c r="DC96" s="434">
        <f t="shared" si="402"/>
        <v>0</v>
      </c>
      <c r="DD96" s="443"/>
      <c r="DE96" s="432">
        <v>0</v>
      </c>
      <c r="DF96" s="434">
        <f t="shared" si="403"/>
        <v>0</v>
      </c>
      <c r="DG96" s="443"/>
      <c r="DH96" s="432">
        <v>0</v>
      </c>
      <c r="DI96" s="434">
        <f t="shared" si="404"/>
        <v>0</v>
      </c>
      <c r="DJ96" s="443"/>
      <c r="DK96" s="432">
        <v>0</v>
      </c>
      <c r="DL96" s="434">
        <f t="shared" si="405"/>
        <v>0</v>
      </c>
      <c r="DM96" s="443"/>
      <c r="DN96" s="432">
        <v>0</v>
      </c>
      <c r="DO96" s="434">
        <f t="shared" si="406"/>
        <v>0</v>
      </c>
      <c r="DP96" s="443"/>
      <c r="DQ96" s="432">
        <v>0</v>
      </c>
      <c r="DR96" s="434">
        <f t="shared" si="407"/>
        <v>0</v>
      </c>
      <c r="DS96" s="443"/>
      <c r="DT96" s="432">
        <v>0</v>
      </c>
      <c r="DU96" s="434">
        <f t="shared" si="408"/>
        <v>0</v>
      </c>
      <c r="DV96" s="443"/>
      <c r="DW96" s="432">
        <v>0</v>
      </c>
      <c r="DX96" s="434">
        <f t="shared" si="409"/>
        <v>0</v>
      </c>
      <c r="DY96" s="443"/>
      <c r="DZ96" s="432">
        <f t="shared" si="410"/>
        <v>0</v>
      </c>
      <c r="EA96" s="444">
        <f t="shared" si="411"/>
        <v>0</v>
      </c>
      <c r="EB96" s="433"/>
      <c r="EC96" s="170"/>
      <c r="ED96" s="170"/>
      <c r="EE96" s="170"/>
      <c r="EF96" s="170"/>
      <c r="EG96" s="170"/>
      <c r="EH96" s="170"/>
      <c r="EI96" s="170"/>
      <c r="EJ96" s="170"/>
      <c r="EK96" s="170"/>
    </row>
    <row r="97" spans="1:141" ht="15" x14ac:dyDescent="0.25">
      <c r="A97" s="170"/>
      <c r="B97" s="424">
        <v>1</v>
      </c>
      <c r="C97" s="424">
        <v>5</v>
      </c>
      <c r="D97" s="424">
        <v>1</v>
      </c>
      <c r="E97" s="425">
        <v>9</v>
      </c>
      <c r="F97" s="493" t="s">
        <v>3182</v>
      </c>
      <c r="G97" s="1308" t="str">
        <f t="shared" si="412"/>
        <v>Estimating</v>
      </c>
      <c r="H97" s="1308" t="str">
        <f t="shared" si="413"/>
        <v>LT</v>
      </c>
      <c r="I97" s="1310">
        <f t="shared" si="91"/>
        <v>61</v>
      </c>
      <c r="J97" s="1685"/>
      <c r="K97" s="1311">
        <f t="shared" si="415"/>
        <v>0</v>
      </c>
      <c r="L97" s="1312">
        <f t="shared" si="416"/>
        <v>4880</v>
      </c>
      <c r="M97" s="1685"/>
      <c r="N97" s="1313">
        <f t="shared" si="417"/>
        <v>0</v>
      </c>
      <c r="O97" s="1312">
        <f t="shared" si="376"/>
        <v>0</v>
      </c>
      <c r="P97" s="1685"/>
      <c r="Q97" s="1313">
        <f t="shared" si="418"/>
        <v>0</v>
      </c>
      <c r="R97" s="1312">
        <f t="shared" si="378"/>
        <v>0</v>
      </c>
      <c r="S97" s="1685"/>
      <c r="T97" s="1313">
        <f t="shared" si="419"/>
        <v>0</v>
      </c>
      <c r="U97" s="1312">
        <f t="shared" si="380"/>
        <v>0</v>
      </c>
      <c r="V97" s="1685"/>
      <c r="W97" s="1313">
        <f t="shared" si="420"/>
        <v>0</v>
      </c>
      <c r="X97" s="1312">
        <f t="shared" si="382"/>
        <v>0</v>
      </c>
      <c r="Y97" s="1685"/>
      <c r="Z97" s="1313">
        <f t="shared" si="421"/>
        <v>0</v>
      </c>
      <c r="AA97" s="1312">
        <f t="shared" si="384"/>
        <v>0</v>
      </c>
      <c r="AB97" s="1685"/>
      <c r="AC97" s="1313">
        <f t="shared" si="422"/>
        <v>0</v>
      </c>
      <c r="AD97" s="1312">
        <f t="shared" si="386"/>
        <v>0</v>
      </c>
      <c r="AE97" s="1685"/>
      <c r="AF97" s="1313">
        <f t="shared" si="387"/>
        <v>0</v>
      </c>
      <c r="AG97" s="1312">
        <f t="shared" si="388"/>
        <v>0</v>
      </c>
      <c r="AH97" s="1685"/>
      <c r="AI97" s="1313">
        <f t="shared" si="389"/>
        <v>0</v>
      </c>
      <c r="AJ97" s="1312">
        <f t="shared" si="390"/>
        <v>0</v>
      </c>
      <c r="AK97" s="1685"/>
      <c r="AL97" s="1313">
        <f t="shared" si="391"/>
        <v>0</v>
      </c>
      <c r="AM97" s="1312">
        <f t="shared" si="392"/>
        <v>0</v>
      </c>
      <c r="AN97" s="1685"/>
      <c r="AO97" s="1313">
        <f t="shared" si="393"/>
        <v>0</v>
      </c>
      <c r="AP97" s="1312">
        <f t="shared" si="394"/>
        <v>0</v>
      </c>
      <c r="AQ97" s="1685"/>
      <c r="AR97" s="1313">
        <f t="shared" si="395"/>
        <v>0</v>
      </c>
      <c r="AS97" s="1312">
        <f t="shared" si="396"/>
        <v>4880</v>
      </c>
      <c r="AT97" s="1687"/>
      <c r="AU97" s="411"/>
      <c r="AV97" s="1757">
        <f t="shared" si="328"/>
        <v>4880</v>
      </c>
      <c r="AW97" s="411"/>
      <c r="AX97" s="493"/>
      <c r="AY97" s="1566" t="s">
        <v>344</v>
      </c>
      <c r="AZ97" s="1567" t="s">
        <v>291</v>
      </c>
      <c r="BA97" s="2445">
        <f>+'Data Input sheet'!D159</f>
        <v>61</v>
      </c>
      <c r="BB97" s="1579"/>
      <c r="BC97" s="1599">
        <v>0</v>
      </c>
      <c r="BD97" s="1600">
        <v>4880</v>
      </c>
      <c r="BE97" s="1579"/>
      <c r="BF97" s="1605"/>
      <c r="BG97" s="426">
        <f>ROUND(+BF97*$BA$97,0)</f>
        <v>0</v>
      </c>
      <c r="BH97" s="1663"/>
      <c r="BI97" s="1605"/>
      <c r="BJ97" s="426">
        <f>ROUND(+BI97*$BA$97,0)</f>
        <v>0</v>
      </c>
      <c r="BK97" s="1671"/>
      <c r="BL97" s="1605"/>
      <c r="BM97" s="426">
        <f>ROUND(+BL97*$BA$97,0)</f>
        <v>0</v>
      </c>
      <c r="BN97" s="1663"/>
      <c r="BO97" s="1605">
        <v>0</v>
      </c>
      <c r="BP97" s="426">
        <f>ROUND(+BO97*$BA$97,0)</f>
        <v>0</v>
      </c>
      <c r="BQ97" s="1663"/>
      <c r="BR97" s="1605">
        <v>0</v>
      </c>
      <c r="BS97" s="426">
        <f>ROUND(+BR97*$BA$97,0)</f>
        <v>0</v>
      </c>
      <c r="BT97" s="1663"/>
      <c r="BU97" s="1605"/>
      <c r="BV97" s="426">
        <f>ROUND(+BU97*$BA$97,0)</f>
        <v>0</v>
      </c>
      <c r="BW97" s="1663"/>
      <c r="BX97" s="1605">
        <v>0</v>
      </c>
      <c r="BY97" s="426">
        <f>ROUND(+BX97*$BA$97,0)</f>
        <v>0</v>
      </c>
      <c r="BZ97" s="1663"/>
      <c r="CA97" s="1605">
        <v>0</v>
      </c>
      <c r="CB97" s="426">
        <f>ROUND(+CA97*$BA$97,0)</f>
        <v>0</v>
      </c>
      <c r="CC97" s="1663"/>
      <c r="CD97" s="1605">
        <v>0</v>
      </c>
      <c r="CE97" s="426">
        <f>ROUND(+CD97*$BA$97,0)</f>
        <v>0</v>
      </c>
      <c r="CF97" s="1663"/>
      <c r="CG97" s="1605">
        <v>0</v>
      </c>
      <c r="CH97" s="426">
        <f>ROUND(+CG97*$BA$97,0)</f>
        <v>0</v>
      </c>
      <c r="CI97" s="1579"/>
      <c r="CJ97" s="1257">
        <f t="shared" si="397"/>
        <v>0</v>
      </c>
      <c r="CK97" s="1395">
        <f t="shared" si="414"/>
        <v>4880</v>
      </c>
      <c r="CL97" s="427"/>
      <c r="CM97" s="170"/>
      <c r="CN97" s="493"/>
      <c r="CO97" s="428" t="str">
        <f t="shared" si="398"/>
        <v>Estimating</v>
      </c>
      <c r="CP97" s="429" t="s">
        <v>291</v>
      </c>
      <c r="CQ97" s="475"/>
      <c r="CR97" s="443"/>
      <c r="CS97" s="435">
        <v>0</v>
      </c>
      <c r="CT97" s="431">
        <f t="shared" si="399"/>
        <v>0</v>
      </c>
      <c r="CU97" s="443"/>
      <c r="CV97" s="435">
        <v>0</v>
      </c>
      <c r="CW97" s="434">
        <f t="shared" si="400"/>
        <v>0</v>
      </c>
      <c r="CX97" s="443"/>
      <c r="CY97" s="432">
        <v>0</v>
      </c>
      <c r="CZ97" s="434">
        <f t="shared" si="401"/>
        <v>0</v>
      </c>
      <c r="DA97" s="443"/>
      <c r="DB97" s="432">
        <v>0</v>
      </c>
      <c r="DC97" s="434">
        <f t="shared" si="402"/>
        <v>0</v>
      </c>
      <c r="DD97" s="443"/>
      <c r="DE97" s="432">
        <v>0</v>
      </c>
      <c r="DF97" s="434">
        <f t="shared" si="403"/>
        <v>0</v>
      </c>
      <c r="DG97" s="443"/>
      <c r="DH97" s="432">
        <v>0</v>
      </c>
      <c r="DI97" s="434">
        <f t="shared" si="404"/>
        <v>0</v>
      </c>
      <c r="DJ97" s="443"/>
      <c r="DK97" s="432">
        <v>0</v>
      </c>
      <c r="DL97" s="434">
        <f t="shared" si="405"/>
        <v>0</v>
      </c>
      <c r="DM97" s="443"/>
      <c r="DN97" s="432">
        <v>0</v>
      </c>
      <c r="DO97" s="434">
        <f t="shared" si="406"/>
        <v>0</v>
      </c>
      <c r="DP97" s="443"/>
      <c r="DQ97" s="432">
        <v>0</v>
      </c>
      <c r="DR97" s="434">
        <f t="shared" si="407"/>
        <v>0</v>
      </c>
      <c r="DS97" s="443"/>
      <c r="DT97" s="432">
        <v>0</v>
      </c>
      <c r="DU97" s="434">
        <f t="shared" si="408"/>
        <v>0</v>
      </c>
      <c r="DV97" s="443"/>
      <c r="DW97" s="432">
        <v>0</v>
      </c>
      <c r="DX97" s="434">
        <f t="shared" si="409"/>
        <v>0</v>
      </c>
      <c r="DY97" s="443"/>
      <c r="DZ97" s="432">
        <f t="shared" si="410"/>
        <v>0</v>
      </c>
      <c r="EA97" s="444">
        <f t="shared" si="411"/>
        <v>0</v>
      </c>
      <c r="EB97" s="433"/>
      <c r="EC97" s="170"/>
      <c r="ED97" s="170"/>
      <c r="EE97" s="170"/>
      <c r="EF97" s="170"/>
      <c r="EG97" s="170"/>
      <c r="EH97" s="170"/>
      <c r="EI97" s="170"/>
      <c r="EJ97" s="170"/>
      <c r="EK97" s="170"/>
    </row>
    <row r="98" spans="1:141" ht="15" x14ac:dyDescent="0.25">
      <c r="A98" s="170"/>
      <c r="B98" s="424">
        <v>1</v>
      </c>
      <c r="C98" s="424">
        <v>5</v>
      </c>
      <c r="D98" s="424">
        <v>1</v>
      </c>
      <c r="E98" s="425">
        <v>4</v>
      </c>
      <c r="F98" s="493" t="s">
        <v>3182</v>
      </c>
      <c r="G98" s="1308" t="str">
        <f t="shared" si="412"/>
        <v>Siting - Chapter 40A</v>
      </c>
      <c r="H98" s="1308" t="str">
        <f t="shared" si="413"/>
        <v>LT</v>
      </c>
      <c r="I98" s="1310">
        <f t="shared" si="91"/>
        <v>0</v>
      </c>
      <c r="J98" s="1685"/>
      <c r="K98" s="1311">
        <f t="shared" si="415"/>
        <v>0</v>
      </c>
      <c r="L98" s="1312">
        <f t="shared" si="416"/>
        <v>0</v>
      </c>
      <c r="M98" s="1685"/>
      <c r="N98" s="1313">
        <f t="shared" si="417"/>
        <v>0</v>
      </c>
      <c r="O98" s="1312">
        <f t="shared" ca="1" si="376"/>
        <v>0</v>
      </c>
      <c r="P98" s="1685"/>
      <c r="Q98" s="1313">
        <f t="shared" si="418"/>
        <v>0</v>
      </c>
      <c r="R98" s="1312">
        <f t="shared" ca="1" si="378"/>
        <v>0</v>
      </c>
      <c r="S98" s="1685"/>
      <c r="T98" s="1313">
        <f t="shared" si="419"/>
        <v>0</v>
      </c>
      <c r="U98" s="1312">
        <f t="shared" ca="1" si="380"/>
        <v>11357</v>
      </c>
      <c r="V98" s="1685"/>
      <c r="W98" s="1313">
        <f t="shared" si="420"/>
        <v>0</v>
      </c>
      <c r="X98" s="1312">
        <f t="shared" ca="1" si="382"/>
        <v>15072</v>
      </c>
      <c r="Y98" s="1685"/>
      <c r="Z98" s="1313">
        <f t="shared" si="421"/>
        <v>0</v>
      </c>
      <c r="AA98" s="1312">
        <f t="shared" ca="1" si="384"/>
        <v>2780</v>
      </c>
      <c r="AB98" s="1685"/>
      <c r="AC98" s="1313">
        <f t="shared" si="422"/>
        <v>0</v>
      </c>
      <c r="AD98" s="1312">
        <f t="shared" ca="1" si="386"/>
        <v>0</v>
      </c>
      <c r="AE98" s="1685"/>
      <c r="AF98" s="1313">
        <f t="shared" si="387"/>
        <v>0</v>
      </c>
      <c r="AG98" s="1312">
        <f t="shared" ca="1" si="388"/>
        <v>0</v>
      </c>
      <c r="AH98" s="1685"/>
      <c r="AI98" s="1313">
        <f t="shared" si="389"/>
        <v>0</v>
      </c>
      <c r="AJ98" s="1312">
        <f t="shared" ca="1" si="390"/>
        <v>0</v>
      </c>
      <c r="AK98" s="1685"/>
      <c r="AL98" s="1313">
        <f t="shared" si="391"/>
        <v>0</v>
      </c>
      <c r="AM98" s="1312">
        <f t="shared" ca="1" si="392"/>
        <v>0</v>
      </c>
      <c r="AN98" s="1685"/>
      <c r="AO98" s="1313">
        <f t="shared" si="393"/>
        <v>0</v>
      </c>
      <c r="AP98" s="1312">
        <f t="shared" ca="1" si="394"/>
        <v>0</v>
      </c>
      <c r="AQ98" s="1685"/>
      <c r="AR98" s="1313">
        <f t="shared" si="395"/>
        <v>0</v>
      </c>
      <c r="AS98" s="1312">
        <f t="shared" ca="1" si="396"/>
        <v>29209</v>
      </c>
      <c r="AT98" s="1687"/>
      <c r="AU98" s="411"/>
      <c r="AV98" s="1757">
        <f t="shared" ca="1" si="328"/>
        <v>29209</v>
      </c>
      <c r="AW98" s="411"/>
      <c r="AX98" s="493"/>
      <c r="AY98" s="2094" t="s">
        <v>1439</v>
      </c>
      <c r="AZ98" s="1567" t="s">
        <v>291</v>
      </c>
      <c r="BA98" s="2445"/>
      <c r="BB98" s="1579"/>
      <c r="BC98" s="1599">
        <v>0</v>
      </c>
      <c r="BD98" s="1600"/>
      <c r="BE98" s="1579"/>
      <c r="BF98" s="1603"/>
      <c r="BG98" s="1229">
        <f ca="1">ROUND(SUMIF('SCS &amp; Siting Info'!$C$18:$C$29,$AY$98,'SCS &amp; Siting Info'!$D$18:$D$29)*SUMIF('SCS &amp; Siting Info'!$C$18:$C$29,$AY$98,'SCS &amp; Siting Info'!$E$18:$E$29)*SUM(BG$88,BG$76,BG$34,BG$65,BG$142,BG$155),-2)</f>
        <v>0</v>
      </c>
      <c r="BH98" s="1664"/>
      <c r="BI98" s="1603">
        <v>0</v>
      </c>
      <c r="BJ98" s="1229">
        <f ca="1">ROUND(SUMIF('SCS &amp; Siting Info'!$C$18:$C$29,$AY$98,'SCS &amp; Siting Info'!$D$18:$D$29)*SUMIF('SCS &amp; Siting Info'!$C$18:$C$29,$AY$98,'SCS &amp; Siting Info'!$E$18:$E$29)*SUM(BJ$88,BJ$76,BJ$34,BJ$65,BJ$142,BJ$155),-2)</f>
        <v>0</v>
      </c>
      <c r="BK98" s="1672"/>
      <c r="BL98" s="1603">
        <v>0</v>
      </c>
      <c r="BM98" s="1229">
        <f ca="1">ROUND(SUMIF('SCS &amp; Siting Info'!$C$18:$C$29,$AY$98,'SCS &amp; Siting Info'!$D$18:$D$29)*SUMIF('SCS &amp; Siting Info'!$C$18:$C$29,$AY$98,'SCS &amp; Siting Info'!$E$18:$E$29)*SUM(BM$88,BM$76,BM$34,BM$65,BM$142,BM$155),-2)</f>
        <v>10400</v>
      </c>
      <c r="BN98" s="1665"/>
      <c r="BO98" s="1603">
        <v>0</v>
      </c>
      <c r="BP98" s="1229">
        <f ca="1">ROUND(SUMIF('SCS &amp; Siting Info'!$C$18:$C$29,$AY$98,'SCS &amp; Siting Info'!$D$18:$D$29)*SUMIF('SCS &amp; Siting Info'!$C$18:$C$29,$AY$98,'SCS &amp; Siting Info'!$E$18:$E$29)*SUM(BP$88,BP$76,BP$34,BP$65,BP$142,BP$155),-2)</f>
        <v>13400</v>
      </c>
      <c r="BQ98" s="1665"/>
      <c r="BR98" s="1603">
        <v>0</v>
      </c>
      <c r="BS98" s="1229">
        <f ca="1">ROUND(SUMIF('SCS &amp; Siting Info'!$C$18:$C$29,$AY$98,'SCS &amp; Siting Info'!$D$18:$D$29)*SUMIF('SCS &amp; Siting Info'!$C$18:$C$29,$AY$98,'SCS &amp; Siting Info'!$E$18:$E$29)*SUM(BS$88,BS$76,BS$34,BS$65,BS$142,BS$155),-2)</f>
        <v>2400</v>
      </c>
      <c r="BT98" s="1665"/>
      <c r="BU98" s="1603">
        <v>0</v>
      </c>
      <c r="BV98" s="1229">
        <f ca="1">ROUND(SUMIF('SCS &amp; Siting Info'!$C$18:$C$29,$AY$98,'SCS &amp; Siting Info'!$D$18:$D$29)*SUMIF('SCS &amp; Siting Info'!$C$18:$C$29,$AY$98,'SCS &amp; Siting Info'!$E$18:$E$29)*SUM(BV$88,BV$76,BV$34,BV$65,BV$142,BV$155),-2)</f>
        <v>0</v>
      </c>
      <c r="BW98" s="1665"/>
      <c r="BX98" s="1603">
        <v>0</v>
      </c>
      <c r="BY98" s="1229">
        <f ca="1">ROUND(SUMIF('SCS &amp; Siting Info'!$C$18:$C$29,$AY$98,'SCS &amp; Siting Info'!$D$18:$D$29)*SUMIF('SCS &amp; Siting Info'!$C$18:$C$29,$AY$98,'SCS &amp; Siting Info'!$E$18:$E$29)*SUM(BY$88,BY$76,BY$34,BY$65,BY$142,BY$155),-2)</f>
        <v>0</v>
      </c>
      <c r="BZ98" s="1665"/>
      <c r="CA98" s="1603">
        <v>0</v>
      </c>
      <c r="CB98" s="1229">
        <f ca="1">ROUND(SUMIF('SCS &amp; Siting Info'!$C$18:$C$29,$AY$98,'SCS &amp; Siting Info'!$D$18:$D$29)*SUMIF('SCS &amp; Siting Info'!$C$18:$C$29,$AY$98,'SCS &amp; Siting Info'!$E$18:$E$29)*SUM(CB$88,CB$76,CB$34,CB$65,CB$142,CB$155),-2)</f>
        <v>0</v>
      </c>
      <c r="CC98" s="1665"/>
      <c r="CD98" s="1603">
        <v>0</v>
      </c>
      <c r="CE98" s="1229">
        <f ca="1">ROUND(SUMIF('SCS &amp; Siting Info'!$C$18:$C$29,$AY$98,'SCS &amp; Siting Info'!$D$18:$D$29)*SUMIF('SCS &amp; Siting Info'!$C$18:$C$29,$AY$98,'SCS &amp; Siting Info'!$E$18:$E$29)*SUM(CE$88,CE$76,CE$34,CE$65,CE$142,CE$155),-2)</f>
        <v>0</v>
      </c>
      <c r="CF98" s="1665"/>
      <c r="CG98" s="1603">
        <v>0</v>
      </c>
      <c r="CH98" s="1229">
        <f ca="1">ROUND(SUMIF('SCS &amp; Siting Info'!$C$18:$C$29,$AY$98,'SCS &amp; Siting Info'!$D$18:$D$29)*SUMIF('SCS &amp; Siting Info'!$C$18:$C$29,$AY$98,'SCS &amp; Siting Info'!$E$18:$E$29)*SUM(CH$88,CH$76,CH$34,CH$65,CH$142,CH$155),-2)</f>
        <v>0</v>
      </c>
      <c r="CI98" s="1579"/>
      <c r="CJ98" s="1257">
        <f t="shared" si="397"/>
        <v>0</v>
      </c>
      <c r="CK98" s="1395">
        <f ca="1">+BS98+BP98+BM98+BJ98+BG98+BD98+BV98+BY98+CB98+CE98+CH98</f>
        <v>26200</v>
      </c>
      <c r="CL98" s="427" t="s">
        <v>3696</v>
      </c>
      <c r="CM98" s="170"/>
      <c r="CN98" s="493"/>
      <c r="CO98" s="428" t="str">
        <f>+AY100</f>
        <v>Veg. Mgmt</v>
      </c>
      <c r="CP98" s="429" t="s">
        <v>291</v>
      </c>
      <c r="CQ98" s="475"/>
      <c r="CR98" s="443"/>
      <c r="CS98" s="435">
        <v>0</v>
      </c>
      <c r="CT98" s="431">
        <f t="shared" si="399"/>
        <v>0</v>
      </c>
      <c r="CU98" s="443"/>
      <c r="CV98" s="435">
        <v>0</v>
      </c>
      <c r="CW98" s="434">
        <f t="shared" ca="1" si="400"/>
        <v>0</v>
      </c>
      <c r="CX98" s="443"/>
      <c r="CY98" s="432">
        <v>0</v>
      </c>
      <c r="CZ98" s="434">
        <f t="shared" ca="1" si="401"/>
        <v>0</v>
      </c>
      <c r="DA98" s="443"/>
      <c r="DB98" s="432">
        <v>0</v>
      </c>
      <c r="DC98" s="434">
        <f t="shared" ca="1" si="402"/>
        <v>957</v>
      </c>
      <c r="DD98" s="443"/>
      <c r="DE98" s="432">
        <v>0</v>
      </c>
      <c r="DF98" s="434">
        <f t="shared" ca="1" si="403"/>
        <v>1672</v>
      </c>
      <c r="DG98" s="443"/>
      <c r="DH98" s="432">
        <v>0</v>
      </c>
      <c r="DI98" s="434">
        <f t="shared" ca="1" si="404"/>
        <v>380</v>
      </c>
      <c r="DJ98" s="443"/>
      <c r="DK98" s="432">
        <v>0</v>
      </c>
      <c r="DL98" s="434">
        <f t="shared" ca="1" si="405"/>
        <v>0</v>
      </c>
      <c r="DM98" s="443"/>
      <c r="DN98" s="432">
        <v>0</v>
      </c>
      <c r="DO98" s="434">
        <f t="shared" ca="1" si="406"/>
        <v>0</v>
      </c>
      <c r="DP98" s="443"/>
      <c r="DQ98" s="432">
        <v>0</v>
      </c>
      <c r="DR98" s="434">
        <f t="shared" ca="1" si="407"/>
        <v>0</v>
      </c>
      <c r="DS98" s="443"/>
      <c r="DT98" s="432">
        <v>0</v>
      </c>
      <c r="DU98" s="434">
        <f t="shared" ca="1" si="408"/>
        <v>0</v>
      </c>
      <c r="DV98" s="443"/>
      <c r="DW98" s="432">
        <v>0</v>
      </c>
      <c r="DX98" s="434">
        <f t="shared" ca="1" si="409"/>
        <v>0</v>
      </c>
      <c r="DY98" s="443"/>
      <c r="DZ98" s="432">
        <f t="shared" si="410"/>
        <v>0</v>
      </c>
      <c r="EA98" s="444">
        <f t="shared" ca="1" si="411"/>
        <v>3009</v>
      </c>
      <c r="EB98" s="433"/>
      <c r="EC98" s="170"/>
      <c r="ED98" s="170"/>
      <c r="EE98" s="170"/>
      <c r="EF98" s="170"/>
      <c r="EG98" s="170"/>
      <c r="EH98" s="170"/>
      <c r="EI98" s="170"/>
      <c r="EJ98" s="170"/>
      <c r="EK98" s="170"/>
    </row>
    <row r="99" spans="1:141" ht="15" x14ac:dyDescent="0.25">
      <c r="A99" s="170"/>
      <c r="B99" s="424">
        <v>1</v>
      </c>
      <c r="C99" s="424">
        <v>5</v>
      </c>
      <c r="D99" s="424">
        <v>1</v>
      </c>
      <c r="E99" s="425">
        <v>9</v>
      </c>
      <c r="F99" s="493" t="s">
        <v>3182</v>
      </c>
      <c r="G99" s="1308" t="str">
        <f t="shared" si="412"/>
        <v>Asset Management</v>
      </c>
      <c r="H99" s="1308" t="str">
        <f t="shared" si="413"/>
        <v>LT</v>
      </c>
      <c r="I99" s="1310"/>
      <c r="J99" s="1685"/>
      <c r="K99" s="1311">
        <f t="shared" si="415"/>
        <v>0</v>
      </c>
      <c r="L99" s="1312">
        <f t="shared" si="416"/>
        <v>0</v>
      </c>
      <c r="M99" s="1685"/>
      <c r="N99" s="1313">
        <f t="shared" si="417"/>
        <v>0</v>
      </c>
      <c r="O99" s="1312">
        <f t="shared" ca="1" si="376"/>
        <v>0</v>
      </c>
      <c r="P99" s="1685"/>
      <c r="Q99" s="1313">
        <f t="shared" si="418"/>
        <v>0</v>
      </c>
      <c r="R99" s="1312">
        <f t="shared" ca="1" si="378"/>
        <v>0</v>
      </c>
      <c r="S99" s="1685"/>
      <c r="T99" s="1313">
        <f t="shared" si="419"/>
        <v>40</v>
      </c>
      <c r="U99" s="1312">
        <f t="shared" ca="1" si="380"/>
        <v>2503</v>
      </c>
      <c r="V99" s="1685"/>
      <c r="W99" s="1313">
        <f t="shared" si="420"/>
        <v>0</v>
      </c>
      <c r="X99" s="1312">
        <f t="shared" ca="1" si="382"/>
        <v>0</v>
      </c>
      <c r="Y99" s="1685"/>
      <c r="Z99" s="1313">
        <f t="shared" si="421"/>
        <v>0</v>
      </c>
      <c r="AA99" s="1312">
        <f t="shared" ca="1" si="384"/>
        <v>0</v>
      </c>
      <c r="AB99" s="1685"/>
      <c r="AC99" s="1313">
        <f t="shared" si="422"/>
        <v>0</v>
      </c>
      <c r="AD99" s="1312">
        <f t="shared" ca="1" si="386"/>
        <v>0</v>
      </c>
      <c r="AE99" s="1685"/>
      <c r="AF99" s="1313">
        <f t="shared" si="387"/>
        <v>0</v>
      </c>
      <c r="AG99" s="1312">
        <f t="shared" ca="1" si="388"/>
        <v>0</v>
      </c>
      <c r="AH99" s="1685"/>
      <c r="AI99" s="1313">
        <f t="shared" si="389"/>
        <v>0</v>
      </c>
      <c r="AJ99" s="1312">
        <f t="shared" ca="1" si="390"/>
        <v>0</v>
      </c>
      <c r="AK99" s="1685"/>
      <c r="AL99" s="1313">
        <f t="shared" si="391"/>
        <v>0</v>
      </c>
      <c r="AM99" s="1312">
        <f t="shared" ca="1" si="392"/>
        <v>0</v>
      </c>
      <c r="AN99" s="1685"/>
      <c r="AO99" s="1313">
        <f t="shared" si="393"/>
        <v>0</v>
      </c>
      <c r="AP99" s="1312">
        <f t="shared" ca="1" si="394"/>
        <v>0</v>
      </c>
      <c r="AQ99" s="1685"/>
      <c r="AR99" s="1313">
        <f t="shared" si="395"/>
        <v>40</v>
      </c>
      <c r="AS99" s="1312">
        <f t="shared" ca="1" si="396"/>
        <v>2503</v>
      </c>
      <c r="AT99" s="1687"/>
      <c r="AU99" s="411"/>
      <c r="AV99" s="1757">
        <f t="shared" ca="1" si="328"/>
        <v>2503</v>
      </c>
      <c r="AW99" s="411"/>
      <c r="AX99" s="493"/>
      <c r="AY99" s="1566" t="s">
        <v>1132</v>
      </c>
      <c r="AZ99" s="1567" t="s">
        <v>291</v>
      </c>
      <c r="BA99" s="2445">
        <f ca="1">+'Data Input sheet'!D161</f>
        <v>57.3</v>
      </c>
      <c r="BB99" s="1579"/>
      <c r="BC99" s="1599">
        <v>0</v>
      </c>
      <c r="BD99" s="1600"/>
      <c r="BE99" s="1579"/>
      <c r="BF99" s="1605"/>
      <c r="BG99" s="426">
        <f ca="1">ROUND(+BF99*$BA$99,0)</f>
        <v>0</v>
      </c>
      <c r="BH99" s="1663"/>
      <c r="BI99" s="1605"/>
      <c r="BJ99" s="426">
        <f ca="1">ROUND(+BI99*$BA$99,0)</f>
        <v>0</v>
      </c>
      <c r="BK99" s="1671"/>
      <c r="BL99" s="1605">
        <v>40</v>
      </c>
      <c r="BM99" s="426">
        <f ca="1">ROUND(+BL99*$BA$99,0)</f>
        <v>2292</v>
      </c>
      <c r="BN99" s="1663"/>
      <c r="BO99" s="1605"/>
      <c r="BP99" s="426">
        <f ca="1">ROUND(+BO99*$BA$99,0)</f>
        <v>0</v>
      </c>
      <c r="BQ99" s="1663"/>
      <c r="BR99" s="1605"/>
      <c r="BS99" s="426">
        <f ca="1">ROUND(+BR99*$BA$99,0)</f>
        <v>0</v>
      </c>
      <c r="BT99" s="1663"/>
      <c r="BU99" s="1605"/>
      <c r="BV99" s="426">
        <f ca="1">ROUND(+BU99*$BA$99,0)</f>
        <v>0</v>
      </c>
      <c r="BW99" s="1663"/>
      <c r="BX99" s="1605"/>
      <c r="BY99" s="426">
        <f ca="1">ROUND(+BX99*$BA$99,0)</f>
        <v>0</v>
      </c>
      <c r="BZ99" s="1663"/>
      <c r="CA99" s="1605"/>
      <c r="CB99" s="426">
        <f ca="1">ROUND(+CA99*$BA$99,0)</f>
        <v>0</v>
      </c>
      <c r="CC99" s="1663"/>
      <c r="CD99" s="1605"/>
      <c r="CE99" s="426">
        <f ca="1">ROUND(+CD99*$BA$99,0)</f>
        <v>0</v>
      </c>
      <c r="CF99" s="1663"/>
      <c r="CG99" s="1605"/>
      <c r="CH99" s="426">
        <f ca="1">ROUND(+CG99*$BA$99,0)</f>
        <v>0</v>
      </c>
      <c r="CI99" s="1579"/>
      <c r="CJ99" s="1257">
        <f t="shared" si="397"/>
        <v>40</v>
      </c>
      <c r="CK99" s="1395">
        <f t="shared" ca="1" si="414"/>
        <v>2292</v>
      </c>
      <c r="CL99" s="427"/>
      <c r="CM99" s="170"/>
      <c r="CN99" s="493"/>
      <c r="CO99" s="428" t="str">
        <f>+AY102</f>
        <v xml:space="preserve">Other - </v>
      </c>
      <c r="CP99" s="429" t="s">
        <v>291</v>
      </c>
      <c r="CQ99" s="475"/>
      <c r="CR99" s="443"/>
      <c r="CS99" s="435"/>
      <c r="CT99" s="431">
        <f t="shared" si="399"/>
        <v>0</v>
      </c>
      <c r="CU99" s="443"/>
      <c r="CV99" s="435"/>
      <c r="CW99" s="434">
        <f t="shared" ca="1" si="400"/>
        <v>0</v>
      </c>
      <c r="CX99" s="443"/>
      <c r="CY99" s="432"/>
      <c r="CZ99" s="434">
        <f t="shared" ca="1" si="401"/>
        <v>0</v>
      </c>
      <c r="DA99" s="443"/>
      <c r="DB99" s="432"/>
      <c r="DC99" s="434">
        <f t="shared" ca="1" si="402"/>
        <v>211</v>
      </c>
      <c r="DD99" s="443"/>
      <c r="DE99" s="432"/>
      <c r="DF99" s="434">
        <f t="shared" ca="1" si="403"/>
        <v>0</v>
      </c>
      <c r="DG99" s="443"/>
      <c r="DH99" s="432"/>
      <c r="DI99" s="434">
        <f t="shared" ca="1" si="404"/>
        <v>0</v>
      </c>
      <c r="DJ99" s="443"/>
      <c r="DK99" s="432"/>
      <c r="DL99" s="434">
        <f t="shared" ca="1" si="405"/>
        <v>0</v>
      </c>
      <c r="DM99" s="443"/>
      <c r="DN99" s="432"/>
      <c r="DO99" s="434">
        <f t="shared" ca="1" si="406"/>
        <v>0</v>
      </c>
      <c r="DP99" s="443"/>
      <c r="DQ99" s="432"/>
      <c r="DR99" s="434">
        <f t="shared" ca="1" si="407"/>
        <v>0</v>
      </c>
      <c r="DS99" s="443"/>
      <c r="DT99" s="432"/>
      <c r="DU99" s="434">
        <f t="shared" ca="1" si="408"/>
        <v>0</v>
      </c>
      <c r="DV99" s="443"/>
      <c r="DW99" s="432"/>
      <c r="DX99" s="434">
        <f t="shared" ca="1" si="409"/>
        <v>0</v>
      </c>
      <c r="DY99" s="443"/>
      <c r="DZ99" s="432">
        <f t="shared" si="410"/>
        <v>0</v>
      </c>
      <c r="EA99" s="444">
        <f t="shared" ca="1" si="411"/>
        <v>211</v>
      </c>
      <c r="EB99" s="433"/>
      <c r="EC99" s="170"/>
      <c r="ED99" s="170"/>
      <c r="EE99" s="170"/>
      <c r="EF99" s="170"/>
      <c r="EG99" s="170"/>
      <c r="EH99" s="170"/>
      <c r="EI99" s="170"/>
      <c r="EJ99" s="170"/>
      <c r="EK99" s="170"/>
    </row>
    <row r="100" spans="1:141" ht="15" x14ac:dyDescent="0.25">
      <c r="A100" s="170"/>
      <c r="B100" s="424">
        <v>1</v>
      </c>
      <c r="C100" s="424">
        <v>5</v>
      </c>
      <c r="D100" s="424">
        <v>1</v>
      </c>
      <c r="E100" s="425">
        <v>9</v>
      </c>
      <c r="F100" s="493" t="s">
        <v>3182</v>
      </c>
      <c r="G100" s="1308" t="str">
        <f t="shared" si="412"/>
        <v>Veg. Mgmt</v>
      </c>
      <c r="H100" s="1308" t="str">
        <f t="shared" si="413"/>
        <v>LT</v>
      </c>
      <c r="I100" s="1310"/>
      <c r="J100" s="1685"/>
      <c r="K100" s="1311">
        <f t="shared" si="415"/>
        <v>0</v>
      </c>
      <c r="L100" s="1312">
        <f t="shared" si="416"/>
        <v>0</v>
      </c>
      <c r="M100" s="1685"/>
      <c r="N100" s="1313">
        <f t="shared" si="417"/>
        <v>0</v>
      </c>
      <c r="O100" s="1312">
        <f t="shared" ca="1" si="376"/>
        <v>0</v>
      </c>
      <c r="P100" s="1685"/>
      <c r="Q100" s="1313">
        <f t="shared" si="418"/>
        <v>0</v>
      </c>
      <c r="R100" s="1312">
        <f t="shared" ca="1" si="378"/>
        <v>0</v>
      </c>
      <c r="S100" s="1685"/>
      <c r="T100" s="1313">
        <f t="shared" si="419"/>
        <v>0</v>
      </c>
      <c r="U100" s="1312">
        <f t="shared" ca="1" si="380"/>
        <v>0</v>
      </c>
      <c r="V100" s="1685"/>
      <c r="W100" s="1313">
        <f t="shared" si="420"/>
        <v>0</v>
      </c>
      <c r="X100" s="1312">
        <f t="shared" ca="1" si="382"/>
        <v>0</v>
      </c>
      <c r="Y100" s="1685"/>
      <c r="Z100" s="1313">
        <f t="shared" si="421"/>
        <v>0</v>
      </c>
      <c r="AA100" s="1312">
        <f t="shared" ca="1" si="384"/>
        <v>0</v>
      </c>
      <c r="AB100" s="1685"/>
      <c r="AC100" s="1313">
        <f t="shared" si="422"/>
        <v>0</v>
      </c>
      <c r="AD100" s="1312">
        <f t="shared" ca="1" si="386"/>
        <v>0</v>
      </c>
      <c r="AE100" s="1685"/>
      <c r="AF100" s="1313">
        <f t="shared" si="387"/>
        <v>0</v>
      </c>
      <c r="AG100" s="1312">
        <f t="shared" ca="1" si="388"/>
        <v>0</v>
      </c>
      <c r="AH100" s="1685"/>
      <c r="AI100" s="1313">
        <f t="shared" si="389"/>
        <v>0</v>
      </c>
      <c r="AJ100" s="1312">
        <f t="shared" ca="1" si="390"/>
        <v>0</v>
      </c>
      <c r="AK100" s="1685"/>
      <c r="AL100" s="1313">
        <f t="shared" si="391"/>
        <v>0</v>
      </c>
      <c r="AM100" s="1312">
        <f t="shared" ca="1" si="392"/>
        <v>0</v>
      </c>
      <c r="AN100" s="1685"/>
      <c r="AO100" s="1313">
        <f t="shared" si="393"/>
        <v>0</v>
      </c>
      <c r="AP100" s="1312">
        <f t="shared" ca="1" si="394"/>
        <v>0</v>
      </c>
      <c r="AQ100" s="1685"/>
      <c r="AR100" s="1313">
        <f t="shared" si="395"/>
        <v>0</v>
      </c>
      <c r="AS100" s="1312">
        <f t="shared" ca="1" si="396"/>
        <v>0</v>
      </c>
      <c r="AT100" s="1687"/>
      <c r="AU100" s="411"/>
      <c r="AV100" s="1757">
        <f t="shared" ca="1" si="328"/>
        <v>0</v>
      </c>
      <c r="AW100" s="411"/>
      <c r="AX100" s="493"/>
      <c r="AY100" s="2095" t="s">
        <v>3494</v>
      </c>
      <c r="AZ100" s="1567" t="s">
        <v>291</v>
      </c>
      <c r="BA100" s="2445">
        <f ca="1">+'Data Input sheet'!D162</f>
        <v>61.5</v>
      </c>
      <c r="BB100" s="1579"/>
      <c r="BC100" s="1599">
        <v>0</v>
      </c>
      <c r="BD100" s="1600"/>
      <c r="BE100" s="1579"/>
      <c r="BF100" s="1605"/>
      <c r="BG100" s="426">
        <f ca="1">ROUND(+BF100*$BA$100,0)</f>
        <v>0</v>
      </c>
      <c r="BH100" s="1663"/>
      <c r="BI100" s="1605"/>
      <c r="BJ100" s="426">
        <f ca="1">ROUND(+BI100*$BA$100,0)</f>
        <v>0</v>
      </c>
      <c r="BK100" s="1671"/>
      <c r="BL100" s="1605"/>
      <c r="BM100" s="426">
        <f ca="1">ROUND(+BL100*$BA$100,0)</f>
        <v>0</v>
      </c>
      <c r="BN100" s="1663"/>
      <c r="BO100" s="1605"/>
      <c r="BP100" s="426">
        <f ca="1">ROUND(+BO100*$BA$100,0)</f>
        <v>0</v>
      </c>
      <c r="BQ100" s="1663"/>
      <c r="BR100" s="1605"/>
      <c r="BS100" s="426">
        <f ca="1">ROUND(+BR100*$BA$100,0)</f>
        <v>0</v>
      </c>
      <c r="BT100" s="1663"/>
      <c r="BU100" s="1605"/>
      <c r="BV100" s="426">
        <f ca="1">ROUND(+BU100*$BA$100,0)</f>
        <v>0</v>
      </c>
      <c r="BW100" s="1663"/>
      <c r="BX100" s="1605"/>
      <c r="BY100" s="426">
        <f ca="1">ROUND(+BX100*$BA$100,0)</f>
        <v>0</v>
      </c>
      <c r="BZ100" s="1663"/>
      <c r="CA100" s="1605"/>
      <c r="CB100" s="426">
        <f ca="1">ROUND(+CA100*$BA$100,0)</f>
        <v>0</v>
      </c>
      <c r="CC100" s="1663"/>
      <c r="CD100" s="1605"/>
      <c r="CE100" s="426">
        <f ca="1">ROUND(+CD100*$BA$100,0)</f>
        <v>0</v>
      </c>
      <c r="CF100" s="1663"/>
      <c r="CG100" s="1605"/>
      <c r="CH100" s="426">
        <f ca="1">ROUND(+CG100*$BA$100,0)</f>
        <v>0</v>
      </c>
      <c r="CI100" s="1579"/>
      <c r="CJ100" s="1257">
        <f t="shared" si="397"/>
        <v>0</v>
      </c>
      <c r="CK100" s="1395">
        <f t="shared" ca="1" si="414"/>
        <v>0</v>
      </c>
      <c r="CL100" s="427"/>
      <c r="CM100" s="170"/>
      <c r="CN100" s="493"/>
      <c r="CO100" s="428" t="str">
        <f>+AY103</f>
        <v xml:space="preserve">Other - </v>
      </c>
      <c r="CP100" s="429" t="s">
        <v>291</v>
      </c>
      <c r="CQ100" s="475"/>
      <c r="CR100" s="443"/>
      <c r="CS100" s="435"/>
      <c r="CT100" s="431">
        <f t="shared" si="399"/>
        <v>0</v>
      </c>
      <c r="CU100" s="443"/>
      <c r="CV100" s="435"/>
      <c r="CW100" s="434">
        <f t="shared" ca="1" si="400"/>
        <v>0</v>
      </c>
      <c r="CX100" s="443"/>
      <c r="CY100" s="432"/>
      <c r="CZ100" s="434">
        <f t="shared" ca="1" si="401"/>
        <v>0</v>
      </c>
      <c r="DA100" s="443"/>
      <c r="DB100" s="432"/>
      <c r="DC100" s="434">
        <f t="shared" ca="1" si="402"/>
        <v>0</v>
      </c>
      <c r="DD100" s="443"/>
      <c r="DE100" s="432"/>
      <c r="DF100" s="434">
        <f t="shared" ca="1" si="403"/>
        <v>0</v>
      </c>
      <c r="DG100" s="443"/>
      <c r="DH100" s="432"/>
      <c r="DI100" s="434">
        <f t="shared" ca="1" si="404"/>
        <v>0</v>
      </c>
      <c r="DJ100" s="443"/>
      <c r="DK100" s="432"/>
      <c r="DL100" s="434">
        <f t="shared" ca="1" si="405"/>
        <v>0</v>
      </c>
      <c r="DM100" s="443"/>
      <c r="DN100" s="432"/>
      <c r="DO100" s="434">
        <f t="shared" ca="1" si="406"/>
        <v>0</v>
      </c>
      <c r="DP100" s="443"/>
      <c r="DQ100" s="432"/>
      <c r="DR100" s="434">
        <f t="shared" ca="1" si="407"/>
        <v>0</v>
      </c>
      <c r="DS100" s="443"/>
      <c r="DT100" s="432"/>
      <c r="DU100" s="434">
        <f t="shared" ca="1" si="408"/>
        <v>0</v>
      </c>
      <c r="DV100" s="443"/>
      <c r="DW100" s="432"/>
      <c r="DX100" s="434">
        <f t="shared" ca="1" si="409"/>
        <v>0</v>
      </c>
      <c r="DY100" s="443"/>
      <c r="DZ100" s="432">
        <f t="shared" si="410"/>
        <v>0</v>
      </c>
      <c r="EA100" s="444">
        <f t="shared" ca="1" si="411"/>
        <v>0</v>
      </c>
      <c r="EB100" s="433"/>
      <c r="EC100" s="170"/>
      <c r="ED100" s="170"/>
      <c r="EE100" s="170"/>
      <c r="EF100" s="170"/>
      <c r="EG100" s="170"/>
      <c r="EH100" s="170"/>
      <c r="EI100" s="170"/>
      <c r="EJ100" s="170"/>
      <c r="EK100" s="170"/>
    </row>
    <row r="101" spans="1:141" ht="15" x14ac:dyDescent="0.25">
      <c r="A101" s="170"/>
      <c r="B101" s="424">
        <v>1</v>
      </c>
      <c r="C101" s="424">
        <v>5</v>
      </c>
      <c r="D101" s="424">
        <v>1</v>
      </c>
      <c r="E101" s="425">
        <v>9</v>
      </c>
      <c r="F101" s="493" t="s">
        <v>3182</v>
      </c>
      <c r="G101" s="1308" t="str">
        <f t="shared" si="412"/>
        <v xml:space="preserve">Other - </v>
      </c>
      <c r="H101" s="1308" t="str">
        <f t="shared" si="413"/>
        <v>LT</v>
      </c>
      <c r="I101" s="1310"/>
      <c r="J101" s="1685"/>
      <c r="K101" s="1311">
        <f t="shared" si="415"/>
        <v>0</v>
      </c>
      <c r="L101" s="1312">
        <f t="shared" si="416"/>
        <v>0</v>
      </c>
      <c r="M101" s="1685"/>
      <c r="N101" s="1313">
        <f t="shared" si="417"/>
        <v>0</v>
      </c>
      <c r="O101" s="1312">
        <f t="shared" si="376"/>
        <v>0</v>
      </c>
      <c r="P101" s="1685"/>
      <c r="Q101" s="1313">
        <f t="shared" si="418"/>
        <v>0</v>
      </c>
      <c r="R101" s="1312">
        <f t="shared" si="378"/>
        <v>0</v>
      </c>
      <c r="S101" s="1685"/>
      <c r="T101" s="1313">
        <f t="shared" si="419"/>
        <v>0</v>
      </c>
      <c r="U101" s="1312">
        <f t="shared" si="380"/>
        <v>0</v>
      </c>
      <c r="V101" s="1685"/>
      <c r="W101" s="1313">
        <f t="shared" si="420"/>
        <v>0</v>
      </c>
      <c r="X101" s="1312">
        <f t="shared" si="382"/>
        <v>0</v>
      </c>
      <c r="Y101" s="1685"/>
      <c r="Z101" s="1313">
        <f t="shared" si="421"/>
        <v>0</v>
      </c>
      <c r="AA101" s="1312">
        <f t="shared" si="384"/>
        <v>0</v>
      </c>
      <c r="AB101" s="1685"/>
      <c r="AC101" s="1313">
        <f t="shared" si="422"/>
        <v>0</v>
      </c>
      <c r="AD101" s="1312">
        <f t="shared" si="386"/>
        <v>0</v>
      </c>
      <c r="AE101" s="1685"/>
      <c r="AF101" s="1313">
        <f t="shared" si="387"/>
        <v>0</v>
      </c>
      <c r="AG101" s="1312">
        <f t="shared" si="388"/>
        <v>0</v>
      </c>
      <c r="AH101" s="1685"/>
      <c r="AI101" s="1313">
        <f t="shared" si="389"/>
        <v>0</v>
      </c>
      <c r="AJ101" s="1312">
        <f t="shared" si="390"/>
        <v>0</v>
      </c>
      <c r="AK101" s="1685"/>
      <c r="AL101" s="1313">
        <f t="shared" si="391"/>
        <v>0</v>
      </c>
      <c r="AM101" s="1312">
        <f t="shared" si="392"/>
        <v>0</v>
      </c>
      <c r="AN101" s="1685"/>
      <c r="AO101" s="1313">
        <f t="shared" si="393"/>
        <v>0</v>
      </c>
      <c r="AP101" s="1312">
        <f t="shared" si="394"/>
        <v>0</v>
      </c>
      <c r="AQ101" s="1685"/>
      <c r="AR101" s="1313">
        <f t="shared" si="395"/>
        <v>0</v>
      </c>
      <c r="AS101" s="1312">
        <f t="shared" si="396"/>
        <v>0</v>
      </c>
      <c r="AT101" s="1687"/>
      <c r="AU101" s="411"/>
      <c r="AV101" s="1757">
        <f t="shared" si="328"/>
        <v>0</v>
      </c>
      <c r="AW101" s="411"/>
      <c r="AX101" s="493"/>
      <c r="AY101" s="2095" t="s">
        <v>345</v>
      </c>
      <c r="AZ101" s="1567" t="s">
        <v>291</v>
      </c>
      <c r="BA101" s="2445">
        <f>+'Data Input sheet'!D163</f>
        <v>0</v>
      </c>
      <c r="BB101" s="1579"/>
      <c r="BC101" s="1599"/>
      <c r="BD101" s="1600"/>
      <c r="BE101" s="1579"/>
      <c r="BF101" s="1605"/>
      <c r="BG101" s="426">
        <f>ROUND(+BF101*$BA$101,0)</f>
        <v>0</v>
      </c>
      <c r="BH101" s="1663"/>
      <c r="BI101" s="1605"/>
      <c r="BJ101" s="426">
        <f>ROUND(+BI101*$BA$101,0)</f>
        <v>0</v>
      </c>
      <c r="BK101" s="1671"/>
      <c r="BL101" s="1605"/>
      <c r="BM101" s="426">
        <f>ROUND(+BL101*$BA$101,0)</f>
        <v>0</v>
      </c>
      <c r="BN101" s="1663"/>
      <c r="BO101" s="1605"/>
      <c r="BP101" s="426">
        <f>ROUND(+BO101*$BA$101,0)</f>
        <v>0</v>
      </c>
      <c r="BQ101" s="1663"/>
      <c r="BR101" s="1605"/>
      <c r="BS101" s="426">
        <f>ROUND(+BR101*$BA$101,0)</f>
        <v>0</v>
      </c>
      <c r="BT101" s="1663"/>
      <c r="BU101" s="1605"/>
      <c r="BV101" s="426">
        <f>ROUND(+BU101*$BA$101,0)</f>
        <v>0</v>
      </c>
      <c r="BW101" s="1663"/>
      <c r="BX101" s="1605"/>
      <c r="BY101" s="426">
        <f>ROUND(+BX101*$BA$101,0)</f>
        <v>0</v>
      </c>
      <c r="BZ101" s="1663"/>
      <c r="CA101" s="1605"/>
      <c r="CB101" s="426">
        <f>ROUND(+CA101*$BA$101,0)</f>
        <v>0</v>
      </c>
      <c r="CC101" s="1663"/>
      <c r="CD101" s="1605"/>
      <c r="CE101" s="426">
        <f>ROUND(+CD101*$BA$101,0)</f>
        <v>0</v>
      </c>
      <c r="CF101" s="1663"/>
      <c r="CG101" s="1605"/>
      <c r="CH101" s="426">
        <f>ROUND(+CG101*$BA$101,0)</f>
        <v>0</v>
      </c>
      <c r="CI101" s="1579"/>
      <c r="CJ101" s="1257">
        <f t="shared" si="397"/>
        <v>0</v>
      </c>
      <c r="CK101" s="1395">
        <f t="shared" si="414"/>
        <v>0</v>
      </c>
      <c r="CL101" s="427"/>
      <c r="CM101" s="170"/>
      <c r="CN101" s="493"/>
      <c r="CO101" s="428"/>
      <c r="CP101" s="429"/>
      <c r="CQ101" s="475"/>
      <c r="CR101" s="443"/>
      <c r="CS101" s="435"/>
      <c r="CT101" s="431"/>
      <c r="CU101" s="443"/>
      <c r="CV101" s="435"/>
      <c r="CW101" s="434">
        <f t="shared" si="400"/>
        <v>0</v>
      </c>
      <c r="CX101" s="443"/>
      <c r="CY101" s="432"/>
      <c r="CZ101" s="434"/>
      <c r="DA101" s="443"/>
      <c r="DB101" s="432"/>
      <c r="DC101" s="434"/>
      <c r="DD101" s="443"/>
      <c r="DE101" s="432"/>
      <c r="DF101" s="434"/>
      <c r="DG101" s="443"/>
      <c r="DH101" s="432"/>
      <c r="DI101" s="434"/>
      <c r="DJ101" s="443"/>
      <c r="DK101" s="432"/>
      <c r="DL101" s="434"/>
      <c r="DM101" s="443"/>
      <c r="DN101" s="432"/>
      <c r="DO101" s="434"/>
      <c r="DP101" s="443"/>
      <c r="DQ101" s="432"/>
      <c r="DR101" s="434"/>
      <c r="DS101" s="443"/>
      <c r="DT101" s="432"/>
      <c r="DU101" s="434"/>
      <c r="DV101" s="443"/>
      <c r="DW101" s="432"/>
      <c r="DX101" s="434"/>
      <c r="DY101" s="443"/>
      <c r="DZ101" s="432">
        <f t="shared" si="410"/>
        <v>0</v>
      </c>
      <c r="EA101" s="444">
        <f t="shared" si="411"/>
        <v>0</v>
      </c>
      <c r="EB101" s="433"/>
      <c r="EC101" s="170"/>
      <c r="ED101" s="170"/>
      <c r="EE101" s="170"/>
      <c r="EF101" s="170"/>
      <c r="EG101" s="170"/>
      <c r="EH101" s="170"/>
      <c r="EI101" s="170"/>
      <c r="EJ101" s="170"/>
      <c r="EK101" s="170"/>
    </row>
    <row r="102" spans="1:141" ht="15" x14ac:dyDescent="0.25">
      <c r="A102" s="170"/>
      <c r="B102" s="424">
        <v>1</v>
      </c>
      <c r="C102" s="424">
        <v>5</v>
      </c>
      <c r="D102" s="424">
        <v>1</v>
      </c>
      <c r="E102" s="425">
        <v>9</v>
      </c>
      <c r="F102" s="493" t="s">
        <v>3182</v>
      </c>
      <c r="G102" s="1308" t="str">
        <f t="shared" si="412"/>
        <v xml:space="preserve">Other - </v>
      </c>
      <c r="H102" s="1308" t="str">
        <f t="shared" si="413"/>
        <v>LT</v>
      </c>
      <c r="I102" s="1310"/>
      <c r="J102" s="1685"/>
      <c r="K102" s="1311">
        <f t="shared" si="415"/>
        <v>0</v>
      </c>
      <c r="L102" s="1312">
        <f t="shared" si="416"/>
        <v>0</v>
      </c>
      <c r="M102" s="1685"/>
      <c r="N102" s="1313">
        <f t="shared" si="417"/>
        <v>0</v>
      </c>
      <c r="O102" s="1312">
        <f t="shared" si="376"/>
        <v>0</v>
      </c>
      <c r="P102" s="1685"/>
      <c r="Q102" s="1313">
        <f t="shared" si="418"/>
        <v>0</v>
      </c>
      <c r="R102" s="1312">
        <f t="shared" si="378"/>
        <v>0</v>
      </c>
      <c r="S102" s="1685"/>
      <c r="T102" s="1313">
        <f t="shared" si="419"/>
        <v>0</v>
      </c>
      <c r="U102" s="1312">
        <f t="shared" si="380"/>
        <v>0</v>
      </c>
      <c r="V102" s="1685"/>
      <c r="W102" s="1313">
        <f t="shared" si="420"/>
        <v>0</v>
      </c>
      <c r="X102" s="1312">
        <f t="shared" si="382"/>
        <v>0</v>
      </c>
      <c r="Y102" s="1685"/>
      <c r="Z102" s="1313">
        <f t="shared" si="421"/>
        <v>0</v>
      </c>
      <c r="AA102" s="1312">
        <f t="shared" si="384"/>
        <v>0</v>
      </c>
      <c r="AB102" s="1685"/>
      <c r="AC102" s="1313">
        <f t="shared" si="422"/>
        <v>0</v>
      </c>
      <c r="AD102" s="1312">
        <f t="shared" si="386"/>
        <v>0</v>
      </c>
      <c r="AE102" s="1685"/>
      <c r="AF102" s="1313">
        <f t="shared" si="387"/>
        <v>0</v>
      </c>
      <c r="AG102" s="1312">
        <f t="shared" si="388"/>
        <v>0</v>
      </c>
      <c r="AH102" s="1685"/>
      <c r="AI102" s="1313">
        <f t="shared" si="389"/>
        <v>0</v>
      </c>
      <c r="AJ102" s="1312">
        <f t="shared" si="390"/>
        <v>0</v>
      </c>
      <c r="AK102" s="1685"/>
      <c r="AL102" s="1313">
        <f t="shared" si="391"/>
        <v>0</v>
      </c>
      <c r="AM102" s="1312">
        <f t="shared" si="392"/>
        <v>0</v>
      </c>
      <c r="AN102" s="1685"/>
      <c r="AO102" s="1313">
        <f t="shared" si="393"/>
        <v>0</v>
      </c>
      <c r="AP102" s="1312">
        <f t="shared" si="394"/>
        <v>0</v>
      </c>
      <c r="AQ102" s="1685"/>
      <c r="AR102" s="1313">
        <f t="shared" si="395"/>
        <v>0</v>
      </c>
      <c r="AS102" s="1312">
        <f t="shared" si="396"/>
        <v>0</v>
      </c>
      <c r="AT102" s="1687"/>
      <c r="AU102" s="411"/>
      <c r="AV102" s="1757">
        <f t="shared" si="328"/>
        <v>0</v>
      </c>
      <c r="AW102" s="411"/>
      <c r="AX102" s="493"/>
      <c r="AY102" s="2095" t="s">
        <v>345</v>
      </c>
      <c r="AZ102" s="1567" t="s">
        <v>291</v>
      </c>
      <c r="BA102" s="2445">
        <f>+'Data Input sheet'!D164</f>
        <v>0</v>
      </c>
      <c r="BB102" s="1579"/>
      <c r="BC102" s="1599">
        <v>0</v>
      </c>
      <c r="BD102" s="1600"/>
      <c r="BE102" s="1579"/>
      <c r="BF102" s="1605"/>
      <c r="BG102" s="426">
        <f>ROUND(+BF102*$BA$102,0)</f>
        <v>0</v>
      </c>
      <c r="BH102" s="1663"/>
      <c r="BI102" s="1605"/>
      <c r="BJ102" s="426">
        <f>ROUND(+BI102*$BA$102,0)</f>
        <v>0</v>
      </c>
      <c r="BK102" s="1671"/>
      <c r="BL102" s="1605"/>
      <c r="BM102" s="426">
        <f>ROUND(+BL102*$BA$102,0)</f>
        <v>0</v>
      </c>
      <c r="BN102" s="1663"/>
      <c r="BO102" s="1605"/>
      <c r="BP102" s="426">
        <f>ROUND(+BO102*$BA$102,0)</f>
        <v>0</v>
      </c>
      <c r="BQ102" s="1663"/>
      <c r="BR102" s="1605"/>
      <c r="BS102" s="426">
        <f>ROUND(+BR102*$BA$102,0)</f>
        <v>0</v>
      </c>
      <c r="BT102" s="1663"/>
      <c r="BU102" s="1605"/>
      <c r="BV102" s="426">
        <f>ROUND(+BU102*$BA$102,0)</f>
        <v>0</v>
      </c>
      <c r="BW102" s="1663"/>
      <c r="BX102" s="1605"/>
      <c r="BY102" s="426">
        <f>ROUND(+BX102*$BA$102,0)</f>
        <v>0</v>
      </c>
      <c r="BZ102" s="1663"/>
      <c r="CA102" s="1605"/>
      <c r="CB102" s="426">
        <f>ROUND(+CA102*$BA$102,0)</f>
        <v>0</v>
      </c>
      <c r="CC102" s="1663"/>
      <c r="CD102" s="1605"/>
      <c r="CE102" s="426">
        <f>ROUND(+CD102*$BA$102,0)</f>
        <v>0</v>
      </c>
      <c r="CF102" s="1663"/>
      <c r="CG102" s="1605"/>
      <c r="CH102" s="426">
        <f>ROUND(+CG102*$BA$102,0)</f>
        <v>0</v>
      </c>
      <c r="CI102" s="1579"/>
      <c r="CJ102" s="1257">
        <f t="shared" si="397"/>
        <v>0</v>
      </c>
      <c r="CK102" s="1395">
        <f t="shared" si="414"/>
        <v>0</v>
      </c>
      <c r="CL102" s="427"/>
      <c r="CM102" s="170"/>
      <c r="CN102" s="493"/>
      <c r="CO102" s="428" t="str">
        <f>+AY104</f>
        <v>LT Total</v>
      </c>
      <c r="CP102" s="429" t="s">
        <v>291</v>
      </c>
      <c r="CQ102" s="475"/>
      <c r="CR102" s="443"/>
      <c r="CS102" s="435"/>
      <c r="CT102" s="431">
        <f>L102-BD102</f>
        <v>0</v>
      </c>
      <c r="CU102" s="443"/>
      <c r="CV102" s="435"/>
      <c r="CW102" s="434">
        <f t="shared" si="400"/>
        <v>0</v>
      </c>
      <c r="CX102" s="443"/>
      <c r="CY102" s="432"/>
      <c r="CZ102" s="434">
        <f>ROUND((+BJ102*(1+CZ$4)),0)-BJ102</f>
        <v>0</v>
      </c>
      <c r="DA102" s="443"/>
      <c r="DB102" s="432"/>
      <c r="DC102" s="434">
        <f>ROUND((+BM102*(1+DC$4)),0)-BM102</f>
        <v>0</v>
      </c>
      <c r="DD102" s="443"/>
      <c r="DE102" s="432"/>
      <c r="DF102" s="434">
        <f>ROUND((+BP102*(1+DF$4)),0)-BP102</f>
        <v>0</v>
      </c>
      <c r="DG102" s="443"/>
      <c r="DH102" s="432"/>
      <c r="DI102" s="434">
        <f>ROUND((+BS102*(1+DI$4)),0)-BS102</f>
        <v>0</v>
      </c>
      <c r="DJ102" s="443"/>
      <c r="DK102" s="432"/>
      <c r="DL102" s="434">
        <f>ROUND((+BV102*(1+DL$4)),0)-BV102</f>
        <v>0</v>
      </c>
      <c r="DM102" s="443"/>
      <c r="DN102" s="432"/>
      <c r="DO102" s="434">
        <f>ROUND((+BY102*(1+DO$4)),0)-BY102</f>
        <v>0</v>
      </c>
      <c r="DP102" s="443"/>
      <c r="DQ102" s="432"/>
      <c r="DR102" s="434">
        <f>ROUND((+CB102*(1+DR$4)),0)-CB102</f>
        <v>0</v>
      </c>
      <c r="DS102" s="443"/>
      <c r="DT102" s="432"/>
      <c r="DU102" s="434">
        <f>ROUND((+CE102*(1+DU$4)),0)-CE102</f>
        <v>0</v>
      </c>
      <c r="DV102" s="443"/>
      <c r="DW102" s="432"/>
      <c r="DX102" s="434">
        <f>ROUND((+CH102*(1+DX$4)),0)-CH102</f>
        <v>0</v>
      </c>
      <c r="DY102" s="443"/>
      <c r="DZ102" s="432">
        <f t="shared" si="410"/>
        <v>0</v>
      </c>
      <c r="EA102" s="444">
        <f t="shared" si="411"/>
        <v>0</v>
      </c>
      <c r="EB102" s="433"/>
      <c r="EC102" s="170"/>
      <c r="ED102" s="170"/>
      <c r="EE102" s="170"/>
      <c r="EF102" s="170"/>
      <c r="EG102" s="170"/>
      <c r="EH102" s="170"/>
      <c r="EI102" s="170"/>
      <c r="EJ102" s="170"/>
      <c r="EK102" s="170"/>
    </row>
    <row r="103" spans="1:141" ht="15.75" thickBot="1" x14ac:dyDescent="0.3">
      <c r="A103" s="170"/>
      <c r="B103" s="424">
        <v>1</v>
      </c>
      <c r="C103" s="424">
        <v>5</v>
      </c>
      <c r="D103" s="424">
        <v>1</v>
      </c>
      <c r="E103" s="425">
        <v>9</v>
      </c>
      <c r="F103" s="493" t="s">
        <v>3182</v>
      </c>
      <c r="G103" s="1308" t="str">
        <f t="shared" si="412"/>
        <v xml:space="preserve">Other - </v>
      </c>
      <c r="H103" s="1308" t="str">
        <f t="shared" si="413"/>
        <v>LT</v>
      </c>
      <c r="I103" s="1310">
        <f t="shared" si="91"/>
        <v>0</v>
      </c>
      <c r="J103" s="1685"/>
      <c r="K103" s="1311">
        <f t="shared" si="374"/>
        <v>0</v>
      </c>
      <c r="L103" s="1312">
        <f t="shared" si="374"/>
        <v>0</v>
      </c>
      <c r="M103" s="1685"/>
      <c r="N103" s="1313">
        <f t="shared" si="375"/>
        <v>0</v>
      </c>
      <c r="O103" s="1312">
        <f t="shared" si="376"/>
        <v>0</v>
      </c>
      <c r="P103" s="1685"/>
      <c r="Q103" s="1313">
        <f t="shared" si="377"/>
        <v>0</v>
      </c>
      <c r="R103" s="1312">
        <f t="shared" si="378"/>
        <v>0</v>
      </c>
      <c r="S103" s="1685"/>
      <c r="T103" s="1313">
        <f t="shared" ref="T103" si="423">+BL103</f>
        <v>0</v>
      </c>
      <c r="U103" s="1312">
        <f t="shared" si="380"/>
        <v>0</v>
      </c>
      <c r="V103" s="1685"/>
      <c r="W103" s="1313">
        <f t="shared" si="381"/>
        <v>0</v>
      </c>
      <c r="X103" s="1312">
        <f t="shared" si="382"/>
        <v>0</v>
      </c>
      <c r="Y103" s="1685"/>
      <c r="Z103" s="1313">
        <f t="shared" si="383"/>
        <v>0</v>
      </c>
      <c r="AA103" s="1312">
        <f t="shared" si="384"/>
        <v>0</v>
      </c>
      <c r="AB103" s="1685"/>
      <c r="AC103" s="1313">
        <f t="shared" si="385"/>
        <v>0</v>
      </c>
      <c r="AD103" s="1312">
        <f t="shared" si="386"/>
        <v>0</v>
      </c>
      <c r="AE103" s="1685"/>
      <c r="AF103" s="1313">
        <f t="shared" si="387"/>
        <v>0</v>
      </c>
      <c r="AG103" s="1312">
        <f t="shared" si="388"/>
        <v>0</v>
      </c>
      <c r="AH103" s="1685"/>
      <c r="AI103" s="1313">
        <f t="shared" si="389"/>
        <v>0</v>
      </c>
      <c r="AJ103" s="1312">
        <f t="shared" si="390"/>
        <v>0</v>
      </c>
      <c r="AK103" s="1685"/>
      <c r="AL103" s="1313">
        <f t="shared" si="391"/>
        <v>0</v>
      </c>
      <c r="AM103" s="1312">
        <f t="shared" si="392"/>
        <v>0</v>
      </c>
      <c r="AN103" s="1685"/>
      <c r="AO103" s="1313">
        <f t="shared" si="393"/>
        <v>0</v>
      </c>
      <c r="AP103" s="1312">
        <f t="shared" si="394"/>
        <v>0</v>
      </c>
      <c r="AQ103" s="1685"/>
      <c r="AR103" s="1313">
        <f t="shared" si="395"/>
        <v>0</v>
      </c>
      <c r="AS103" s="1312">
        <f t="shared" si="396"/>
        <v>0</v>
      </c>
      <c r="AT103" s="1687"/>
      <c r="AU103" s="411"/>
      <c r="AV103" s="1757">
        <f t="shared" si="328"/>
        <v>0</v>
      </c>
      <c r="AW103" s="411"/>
      <c r="AX103" s="493"/>
      <c r="AY103" s="2095" t="s">
        <v>345</v>
      </c>
      <c r="AZ103" s="1567" t="s">
        <v>291</v>
      </c>
      <c r="BA103" s="2445">
        <f>+'Data Input sheet'!D165</f>
        <v>0</v>
      </c>
      <c r="BB103" s="1579"/>
      <c r="BC103" s="1599">
        <v>0</v>
      </c>
      <c r="BD103" s="1600"/>
      <c r="BE103" s="1579"/>
      <c r="BF103" s="1605"/>
      <c r="BG103" s="426">
        <f>ROUND(+BF103*$BA$103,0)</f>
        <v>0</v>
      </c>
      <c r="BH103" s="1663"/>
      <c r="BI103" s="1605"/>
      <c r="BJ103" s="426">
        <f>ROUND(+BI103*$BA$103,0)</f>
        <v>0</v>
      </c>
      <c r="BK103" s="1671"/>
      <c r="BL103" s="1605"/>
      <c r="BM103" s="426">
        <f>ROUND(+BL103*$BA$103,0)</f>
        <v>0</v>
      </c>
      <c r="BN103" s="1663"/>
      <c r="BO103" s="1605"/>
      <c r="BP103" s="426">
        <f>ROUND(+BO103*$BA$103,0)</f>
        <v>0</v>
      </c>
      <c r="BQ103" s="1663"/>
      <c r="BR103" s="1605"/>
      <c r="BS103" s="426">
        <f>ROUND(+BR103*$BA$103,0)</f>
        <v>0</v>
      </c>
      <c r="BT103" s="1663"/>
      <c r="BU103" s="1605"/>
      <c r="BV103" s="426">
        <f>ROUND(+BU103*$BA$103,0)</f>
        <v>0</v>
      </c>
      <c r="BW103" s="1663"/>
      <c r="BX103" s="1605"/>
      <c r="BY103" s="426">
        <f>ROUND(+BX103*$BA$103,0)</f>
        <v>0</v>
      </c>
      <c r="BZ103" s="1663"/>
      <c r="CA103" s="1605"/>
      <c r="CB103" s="426">
        <f>ROUND(+CA103*$BA$103,0)</f>
        <v>0</v>
      </c>
      <c r="CC103" s="1663"/>
      <c r="CD103" s="1605"/>
      <c r="CE103" s="426">
        <f>ROUND(+CD103*$BA$103,0)</f>
        <v>0</v>
      </c>
      <c r="CF103" s="1663"/>
      <c r="CG103" s="1605"/>
      <c r="CH103" s="426">
        <f>ROUND(+CG103*$BA$103,0)</f>
        <v>0</v>
      </c>
      <c r="CI103" s="1579"/>
      <c r="CJ103" s="1257">
        <f t="shared" si="397"/>
        <v>0</v>
      </c>
      <c r="CK103" s="1395">
        <f t="shared" si="414"/>
        <v>0</v>
      </c>
      <c r="CL103" s="427"/>
      <c r="CM103" s="170"/>
      <c r="CN103" s="493"/>
      <c r="CO103" s="428" t="str">
        <f>+AY103</f>
        <v xml:space="preserve">Other - </v>
      </c>
      <c r="CP103" s="429" t="s">
        <v>291</v>
      </c>
      <c r="CQ103" s="475"/>
      <c r="CR103" s="443"/>
      <c r="CS103" s="435"/>
      <c r="CT103" s="431">
        <f>L103-BD103</f>
        <v>0</v>
      </c>
      <c r="CU103" s="443"/>
      <c r="CV103" s="435">
        <v>0</v>
      </c>
      <c r="CW103" s="434">
        <f t="shared" si="400"/>
        <v>0</v>
      </c>
      <c r="CX103" s="443"/>
      <c r="CY103" s="432">
        <v>0</v>
      </c>
      <c r="CZ103" s="434">
        <f>ROUND((+BJ103*(1+CZ$4)),0)-BJ103</f>
        <v>0</v>
      </c>
      <c r="DA103" s="443"/>
      <c r="DB103" s="432">
        <v>0</v>
      </c>
      <c r="DC103" s="434">
        <f>ROUND((+BM103*(1+DC$4)),0)-BM103</f>
        <v>0</v>
      </c>
      <c r="DD103" s="443"/>
      <c r="DE103" s="432">
        <v>0</v>
      </c>
      <c r="DF103" s="434">
        <f>ROUND((+BP103*(1+DF$4)),0)-BP103</f>
        <v>0</v>
      </c>
      <c r="DG103" s="443"/>
      <c r="DH103" s="432">
        <v>0</v>
      </c>
      <c r="DI103" s="434">
        <f>ROUND((+BS103*(1+DI$4)),0)-BS103</f>
        <v>0</v>
      </c>
      <c r="DJ103" s="443"/>
      <c r="DK103" s="432">
        <v>0</v>
      </c>
      <c r="DL103" s="434">
        <f>ROUND((+BV103*(1+DL$4)),0)-BV103</f>
        <v>0</v>
      </c>
      <c r="DM103" s="443"/>
      <c r="DN103" s="432">
        <v>0</v>
      </c>
      <c r="DO103" s="434">
        <f>ROUND((+BY103*(1+DO$4)),0)-BY103</f>
        <v>0</v>
      </c>
      <c r="DP103" s="443"/>
      <c r="DQ103" s="432">
        <v>0</v>
      </c>
      <c r="DR103" s="434">
        <f>ROUND((+CB103*(1+DR$4)),0)-CB103</f>
        <v>0</v>
      </c>
      <c r="DS103" s="443"/>
      <c r="DT103" s="432">
        <v>0</v>
      </c>
      <c r="DU103" s="434">
        <f>ROUND((+CE103*(1+DU$4)),0)-CE103</f>
        <v>0</v>
      </c>
      <c r="DV103" s="443"/>
      <c r="DW103" s="432">
        <v>0</v>
      </c>
      <c r="DX103" s="434">
        <f>ROUND((+CH103*(1+DX$4)),0)-CH103</f>
        <v>0</v>
      </c>
      <c r="DY103" s="443"/>
      <c r="DZ103" s="432">
        <f t="shared" si="410"/>
        <v>0</v>
      </c>
      <c r="EA103" s="444">
        <f t="shared" si="411"/>
        <v>0</v>
      </c>
      <c r="EB103" s="433"/>
      <c r="EC103" s="170"/>
      <c r="ED103" s="170"/>
      <c r="EE103" s="170"/>
      <c r="EF103" s="170"/>
      <c r="EG103" s="170"/>
      <c r="EH103" s="170"/>
      <c r="EI103" s="170"/>
      <c r="EJ103" s="170"/>
      <c r="EK103" s="170"/>
    </row>
    <row r="104" spans="1:141" ht="15" x14ac:dyDescent="0.25">
      <c r="A104" s="170"/>
      <c r="B104" s="472"/>
      <c r="C104" s="472"/>
      <c r="D104" s="472"/>
      <c r="E104" s="473"/>
      <c r="F104" s="493"/>
      <c r="G104" s="1314" t="s">
        <v>297</v>
      </c>
      <c r="H104" s="1309"/>
      <c r="I104" s="1310">
        <f t="shared" si="91"/>
        <v>0</v>
      </c>
      <c r="J104" s="1685"/>
      <c r="K104" s="1680"/>
      <c r="L104" s="1315">
        <f>SUM(L90:L103)</f>
        <v>72230.2</v>
      </c>
      <c r="M104" s="1685"/>
      <c r="N104" s="1680">
        <f>SUM(N90:N103)</f>
        <v>0</v>
      </c>
      <c r="O104" s="1315">
        <f ca="1">SUM(O90:O103)</f>
        <v>0</v>
      </c>
      <c r="P104" s="1685"/>
      <c r="Q104" s="1680">
        <f>SUM(Q90:Q103)</f>
        <v>0</v>
      </c>
      <c r="R104" s="1315">
        <f ca="1">SUM(R90:R103)</f>
        <v>0</v>
      </c>
      <c r="S104" s="1685"/>
      <c r="T104" s="1680">
        <f>SUM(T90:T103)</f>
        <v>1056</v>
      </c>
      <c r="U104" s="1315">
        <f ca="1">SUM(U90:U103)</f>
        <v>169547</v>
      </c>
      <c r="V104" s="1685"/>
      <c r="W104" s="1680">
        <f>SUM(W90:W103)</f>
        <v>1408</v>
      </c>
      <c r="X104" s="1315">
        <f ca="1">SUM(X90:X103)</f>
        <v>215691</v>
      </c>
      <c r="Y104" s="1685"/>
      <c r="Z104" s="1680">
        <f>SUM(Z90:Z103)</f>
        <v>1064</v>
      </c>
      <c r="AA104" s="1315">
        <f ca="1">SUM(AA90:AA103)</f>
        <v>153193</v>
      </c>
      <c r="AB104" s="1685"/>
      <c r="AC104" s="1680">
        <f>SUM(AC90:AC103)</f>
        <v>0</v>
      </c>
      <c r="AD104" s="1315">
        <f ca="1">SUM(AD90:AD103)</f>
        <v>0</v>
      </c>
      <c r="AE104" s="1685"/>
      <c r="AF104" s="1680">
        <f>SUM(AF90:AF103)</f>
        <v>0</v>
      </c>
      <c r="AG104" s="1315">
        <f ca="1">SUM(AG90:AG103)</f>
        <v>0</v>
      </c>
      <c r="AH104" s="1685"/>
      <c r="AI104" s="1680">
        <f>SUM(AI90:AI103)</f>
        <v>0</v>
      </c>
      <c r="AJ104" s="1315">
        <f ca="1">SUM(AJ90:AJ103)</f>
        <v>0</v>
      </c>
      <c r="AK104" s="1685"/>
      <c r="AL104" s="1680">
        <f>SUM(AL90:AL103)</f>
        <v>0</v>
      </c>
      <c r="AM104" s="1315">
        <f ca="1">SUM(AM90:AM103)</f>
        <v>0</v>
      </c>
      <c r="AN104" s="1685"/>
      <c r="AO104" s="1680">
        <f>SUM(AO90:AO103)</f>
        <v>0</v>
      </c>
      <c r="AP104" s="1315">
        <f ca="1">SUM(AP90:AP103)</f>
        <v>0</v>
      </c>
      <c r="AQ104" s="1685"/>
      <c r="AR104" s="1680">
        <f>SUM(AR90:AR103)</f>
        <v>3528</v>
      </c>
      <c r="AS104" s="1315">
        <f ca="1">SUM(AS90:AS103)</f>
        <v>610661.19999999995</v>
      </c>
      <c r="AT104" s="1687"/>
      <c r="AU104" s="411"/>
      <c r="AV104" s="1757">
        <f t="shared" ca="1" si="328"/>
        <v>610661.19999999995</v>
      </c>
      <c r="AW104" s="411"/>
      <c r="AX104" s="493"/>
      <c r="AY104" s="1248" t="s">
        <v>297</v>
      </c>
      <c r="AZ104" s="447"/>
      <c r="BA104" s="447"/>
      <c r="BB104" s="1579"/>
      <c r="BC104" s="1625"/>
      <c r="BD104" s="1249">
        <f>SUM(BD90:BD103)</f>
        <v>72230.2</v>
      </c>
      <c r="BE104" s="1579"/>
      <c r="BF104" s="1644">
        <f>SUM(BF90:BF103)</f>
        <v>0</v>
      </c>
      <c r="BG104" s="1525">
        <f ca="1">SUM(BG90:BG103)</f>
        <v>0</v>
      </c>
      <c r="BH104" s="1665"/>
      <c r="BI104" s="1644">
        <f>SUM(BI90:BI103)</f>
        <v>0</v>
      </c>
      <c r="BJ104" s="1525">
        <f ca="1">SUM(BJ90:BJ103)</f>
        <v>0</v>
      </c>
      <c r="BK104" s="1665"/>
      <c r="BL104" s="1644">
        <f>SUM(BL90:BL103)</f>
        <v>1056</v>
      </c>
      <c r="BM104" s="1525">
        <f ca="1">SUM(BM90:BM103)</f>
        <v>155262</v>
      </c>
      <c r="BN104" s="1665"/>
      <c r="BO104" s="1644">
        <f>SUM(BO90:BO103)</f>
        <v>1408</v>
      </c>
      <c r="BP104" s="1525">
        <f ca="1">SUM(BP90:BP103)</f>
        <v>191766.47</v>
      </c>
      <c r="BQ104" s="1665"/>
      <c r="BR104" s="1644">
        <f>SUM(BR90:BR103)</f>
        <v>1064</v>
      </c>
      <c r="BS104" s="1525">
        <f ca="1">SUM(BS90:BS103)</f>
        <v>132234</v>
      </c>
      <c r="BT104" s="1665"/>
      <c r="BU104" s="1644">
        <f>SUM(BU90:BU103)</f>
        <v>0</v>
      </c>
      <c r="BV104" s="1525">
        <f ca="1">SUM(BV90:BV103)</f>
        <v>0</v>
      </c>
      <c r="BW104" s="1665"/>
      <c r="BX104" s="1644">
        <f>SUM(BX90:BX103)</f>
        <v>0</v>
      </c>
      <c r="BY104" s="1525">
        <f ca="1">SUM(BY90:BY103)</f>
        <v>0</v>
      </c>
      <c r="BZ104" s="1665"/>
      <c r="CA104" s="1644">
        <f>SUM(CA90:CA103)</f>
        <v>0</v>
      </c>
      <c r="CB104" s="1525">
        <f ca="1">SUM(CB90:CB103)</f>
        <v>0</v>
      </c>
      <c r="CC104" s="1665"/>
      <c r="CD104" s="1644">
        <f>SUM(CD90:CD103)</f>
        <v>0</v>
      </c>
      <c r="CE104" s="1525">
        <f ca="1">SUM(CE90:CE103)</f>
        <v>0</v>
      </c>
      <c r="CF104" s="1665"/>
      <c r="CG104" s="1644">
        <f>SUM(CG90:CG103)</f>
        <v>0</v>
      </c>
      <c r="CH104" s="1525">
        <f ca="1">SUM(CH90:CH103)</f>
        <v>0</v>
      </c>
      <c r="CI104" s="1579"/>
      <c r="CJ104" s="1644">
        <f>SUM(CJ90:CJ103)</f>
        <v>3528</v>
      </c>
      <c r="CK104" s="1525">
        <f ca="1">SUM(CK90:CK103)</f>
        <v>551492.66999999993</v>
      </c>
      <c r="CL104" s="1736"/>
      <c r="CM104" s="170"/>
      <c r="CN104" s="493"/>
      <c r="CO104" s="438" t="s">
        <v>297</v>
      </c>
      <c r="CP104" s="429"/>
      <c r="CQ104" s="475"/>
      <c r="CR104" s="443"/>
      <c r="CS104" s="1696"/>
      <c r="CT104" s="439">
        <f>SUM(CT90:CT103)</f>
        <v>0</v>
      </c>
      <c r="CU104" s="443"/>
      <c r="CV104" s="1696">
        <f>SUM(CV90:CV103)</f>
        <v>0</v>
      </c>
      <c r="CW104" s="439">
        <f ca="1">SUM(CW90:CW103)</f>
        <v>0</v>
      </c>
      <c r="CX104" s="443"/>
      <c r="CY104" s="1696">
        <f>SUM(CY90:CY103)</f>
        <v>0</v>
      </c>
      <c r="CZ104" s="439">
        <f ca="1">SUM(CZ90:CZ103)</f>
        <v>0</v>
      </c>
      <c r="DA104" s="443"/>
      <c r="DB104" s="1696">
        <f>SUM(DB90:DB103)</f>
        <v>0</v>
      </c>
      <c r="DC104" s="439">
        <f ca="1">SUM(DC90:DC103)</f>
        <v>14285</v>
      </c>
      <c r="DD104" s="443"/>
      <c r="DE104" s="1696">
        <f>SUM(DE90:DE103)</f>
        <v>0</v>
      </c>
      <c r="DF104" s="439">
        <f ca="1">SUM(DF90:DF103)</f>
        <v>23924.53</v>
      </c>
      <c r="DG104" s="443"/>
      <c r="DH104" s="1696">
        <f>SUM(DH90:DH103)</f>
        <v>0</v>
      </c>
      <c r="DI104" s="439">
        <f ca="1">SUM(DI90:DI103)</f>
        <v>20959</v>
      </c>
      <c r="DJ104" s="443"/>
      <c r="DK104" s="1696">
        <f>SUM(DK90:DK103)</f>
        <v>0</v>
      </c>
      <c r="DL104" s="439">
        <f ca="1">SUM(DL90:DL103)</f>
        <v>0</v>
      </c>
      <c r="DM104" s="443"/>
      <c r="DN104" s="1696">
        <f>SUM(DN90:DN103)</f>
        <v>0</v>
      </c>
      <c r="DO104" s="439">
        <f ca="1">SUM(DO90:DO103)</f>
        <v>0</v>
      </c>
      <c r="DP104" s="443"/>
      <c r="DQ104" s="1696">
        <f>SUM(DQ90:DQ103)</f>
        <v>0</v>
      </c>
      <c r="DR104" s="439">
        <f ca="1">SUM(DR90:DR103)</f>
        <v>0</v>
      </c>
      <c r="DS104" s="443"/>
      <c r="DT104" s="1696">
        <f>SUM(DT90:DT103)</f>
        <v>0</v>
      </c>
      <c r="DU104" s="439">
        <f ca="1">SUM(DU90:DU103)</f>
        <v>0</v>
      </c>
      <c r="DV104" s="443"/>
      <c r="DW104" s="1696">
        <f>SUM(DW90:DW103)</f>
        <v>0</v>
      </c>
      <c r="DX104" s="439">
        <f ca="1">SUM(DX90:DX103)</f>
        <v>0</v>
      </c>
      <c r="DY104" s="443"/>
      <c r="DZ104" s="1696">
        <f>SUM(DZ90:DZ103)</f>
        <v>0</v>
      </c>
      <c r="EA104" s="439">
        <f ca="1">SUM(EA90:EA103)</f>
        <v>59168.53</v>
      </c>
      <c r="EB104" s="433"/>
      <c r="EC104" s="170"/>
      <c r="ED104" s="170"/>
      <c r="EE104" s="170"/>
      <c r="EF104" s="170"/>
      <c r="EG104" s="170"/>
      <c r="EH104" s="170"/>
      <c r="EI104" s="170"/>
      <c r="EJ104" s="170"/>
      <c r="EK104" s="170"/>
    </row>
    <row r="105" spans="1:141" ht="15" x14ac:dyDescent="0.25">
      <c r="A105" s="170"/>
      <c r="B105" s="424">
        <v>5</v>
      </c>
      <c r="C105" s="424">
        <v>5</v>
      </c>
      <c r="D105" s="424">
        <v>6</v>
      </c>
      <c r="E105" s="425">
        <v>9</v>
      </c>
      <c r="F105" s="493"/>
      <c r="G105" s="1308" t="str">
        <f>+AY105</f>
        <v xml:space="preserve">Employee Expenses </v>
      </c>
      <c r="H105" s="1308" t="str">
        <f>+AZ105</f>
        <v>AE</v>
      </c>
      <c r="I105" s="1310">
        <f t="shared" si="91"/>
        <v>0.05</v>
      </c>
      <c r="J105" s="1685"/>
      <c r="K105" s="1311">
        <f t="shared" ref="K105:L125" si="424">+BC105</f>
        <v>0</v>
      </c>
      <c r="L105" s="1312">
        <f t="shared" si="424"/>
        <v>0</v>
      </c>
      <c r="M105" s="1685"/>
      <c r="N105" s="1311"/>
      <c r="O105" s="1312">
        <f t="shared" ref="O105:O125" ca="1" si="425">+BG105+CW105</f>
        <v>0</v>
      </c>
      <c r="P105" s="1685"/>
      <c r="Q105" s="1313">
        <f>+BI105</f>
        <v>0</v>
      </c>
      <c r="R105" s="1312">
        <f t="shared" ref="R105:R125" ca="1" si="426">+BJ105+CZ105</f>
        <v>0</v>
      </c>
      <c r="S105" s="1685"/>
      <c r="T105" s="1313">
        <f>+BL105</f>
        <v>0</v>
      </c>
      <c r="U105" s="1312">
        <f t="shared" ref="U105:U125" ca="1" si="427">+BM105+DC105</f>
        <v>8477</v>
      </c>
      <c r="V105" s="1685"/>
      <c r="W105" s="1313">
        <f>+BO105</f>
        <v>0</v>
      </c>
      <c r="X105" s="1312">
        <f t="shared" ref="X105:X125" ca="1" si="428">+BP105+DF105</f>
        <v>10784</v>
      </c>
      <c r="Y105" s="1685"/>
      <c r="Z105" s="1313">
        <f>+BR105</f>
        <v>0</v>
      </c>
      <c r="AA105" s="1312">
        <f t="shared" ref="AA105:AA125" ca="1" si="429">+BS105+DI105</f>
        <v>7660</v>
      </c>
      <c r="AB105" s="1685"/>
      <c r="AC105" s="1313">
        <f>+BU105</f>
        <v>0</v>
      </c>
      <c r="AD105" s="1312">
        <f t="shared" ref="AD105:AD125" ca="1" si="430">+BV105+DL105</f>
        <v>0</v>
      </c>
      <c r="AE105" s="1685"/>
      <c r="AF105" s="1313">
        <f>+BX105</f>
        <v>0</v>
      </c>
      <c r="AG105" s="1312">
        <f t="shared" ref="AG105:AG125" ca="1" si="431">+BY105+DO105</f>
        <v>0</v>
      </c>
      <c r="AH105" s="1685"/>
      <c r="AI105" s="1313">
        <f>+CA105</f>
        <v>0</v>
      </c>
      <c r="AJ105" s="1312">
        <f t="shared" ref="AJ105:AJ125" ca="1" si="432">+CB105+DR105</f>
        <v>0</v>
      </c>
      <c r="AK105" s="1685"/>
      <c r="AL105" s="1313">
        <f>+CD105</f>
        <v>0</v>
      </c>
      <c r="AM105" s="1312">
        <f t="shared" ref="AM105:AM125" ca="1" si="433">+CE105+DU105</f>
        <v>0</v>
      </c>
      <c r="AN105" s="1685"/>
      <c r="AO105" s="1313">
        <f>+CG105</f>
        <v>0</v>
      </c>
      <c r="AP105" s="1312">
        <f t="shared" ref="AP105:AP125" ca="1" si="434">+CH105+DX105</f>
        <v>0</v>
      </c>
      <c r="AQ105" s="1685"/>
      <c r="AR105" s="1313">
        <f t="shared" ref="AR105:AR125" si="435">+Z105+W105+T105+Q105+N105+K105+AC105+AF105+AI105+AL105+AO105</f>
        <v>0</v>
      </c>
      <c r="AS105" s="1312">
        <f t="shared" ref="AS105:AS125" ca="1" si="436">+AA105+X105+U105+R105+O105+L105+AD105+AG105+AJ105+AM105+AP105</f>
        <v>26921</v>
      </c>
      <c r="AT105" s="1687"/>
      <c r="AU105" s="411"/>
      <c r="AV105" s="1757">
        <f t="shared" ca="1" si="328"/>
        <v>26921</v>
      </c>
      <c r="AW105" s="411"/>
      <c r="AX105" s="493"/>
      <c r="AY105" s="1566" t="s">
        <v>299</v>
      </c>
      <c r="AZ105" s="1567" t="s">
        <v>298</v>
      </c>
      <c r="BA105" s="440">
        <v>0.05</v>
      </c>
      <c r="BB105" s="1579"/>
      <c r="BC105" s="1599">
        <v>0</v>
      </c>
      <c r="BD105" s="1600">
        <v>0</v>
      </c>
      <c r="BE105" s="1579"/>
      <c r="BF105" s="1469"/>
      <c r="BG105" s="1526">
        <f ca="1">ROUND(((BG104)*$BA105),0)</f>
        <v>0</v>
      </c>
      <c r="BH105" s="1665"/>
      <c r="BI105" s="1469">
        <v>0</v>
      </c>
      <c r="BJ105" s="1526">
        <f ca="1">ROUND(((BJ104)*$BA105),0)</f>
        <v>0</v>
      </c>
      <c r="BK105" s="1672"/>
      <c r="BL105" s="1469">
        <v>0</v>
      </c>
      <c r="BM105" s="1526">
        <f ca="1">ROUND(((BM104)*$BA105),0)</f>
        <v>7763</v>
      </c>
      <c r="BN105" s="1665"/>
      <c r="BO105" s="1469">
        <v>0</v>
      </c>
      <c r="BP105" s="1526">
        <f ca="1">ROUND(((BP104)*$BA105),0)</f>
        <v>9588</v>
      </c>
      <c r="BQ105" s="1665"/>
      <c r="BR105" s="1469">
        <v>0</v>
      </c>
      <c r="BS105" s="1526">
        <f ca="1">ROUND(((BS104)*$BA105),0)</f>
        <v>6612</v>
      </c>
      <c r="BT105" s="1665"/>
      <c r="BU105" s="1469">
        <v>0</v>
      </c>
      <c r="BV105" s="1526">
        <f ca="1">ROUND(((BV104)*$BA105),0)</f>
        <v>0</v>
      </c>
      <c r="BW105" s="1665"/>
      <c r="BX105" s="1469">
        <v>0</v>
      </c>
      <c r="BY105" s="1526">
        <f ca="1">ROUND(((BY104)*$BA105),0)</f>
        <v>0</v>
      </c>
      <c r="BZ105" s="1665"/>
      <c r="CA105" s="1469">
        <v>0</v>
      </c>
      <c r="CB105" s="1526">
        <f ca="1">ROUND(((CB104)*$BA105),0)</f>
        <v>0</v>
      </c>
      <c r="CC105" s="1665"/>
      <c r="CD105" s="1469">
        <v>0</v>
      </c>
      <c r="CE105" s="1526">
        <f ca="1">ROUND(((CE104)*$BA105),0)</f>
        <v>0</v>
      </c>
      <c r="CF105" s="1665"/>
      <c r="CG105" s="1469">
        <v>0</v>
      </c>
      <c r="CH105" s="1526">
        <f ca="1">ROUND(((CH104)*$BA105),0)</f>
        <v>0</v>
      </c>
      <c r="CI105" s="1579"/>
      <c r="CJ105" s="1257">
        <f t="shared" ref="CJ105:CJ125" si="437">+BR105+BO105+BL105+BI105+BF105+BC105+BU105+BX105+CA105+CD105+CG105</f>
        <v>0</v>
      </c>
      <c r="CK105" s="1395">
        <f t="shared" ref="CK105:CK125" ca="1" si="438">+BS105+BP105+BM105+BJ105+BG105+BD105+BV105+BY105+CB105+CE105+CH105</f>
        <v>23963</v>
      </c>
      <c r="CL105" s="427"/>
      <c r="CM105" s="170"/>
      <c r="CN105" s="493"/>
      <c r="CO105" s="428" t="str">
        <f t="shared" ref="CO105:CO125" si="439">+AY105</f>
        <v xml:space="preserve">Employee Expenses </v>
      </c>
      <c r="CP105" s="429" t="s">
        <v>298</v>
      </c>
      <c r="CQ105" s="441"/>
      <c r="CR105" s="443"/>
      <c r="CS105" s="430"/>
      <c r="CT105" s="431">
        <f t="shared" ref="CT105:CT125" si="440">L105-BD105</f>
        <v>0</v>
      </c>
      <c r="CU105" s="443"/>
      <c r="CV105" s="430"/>
      <c r="CW105" s="434">
        <f t="shared" ref="CW105:CW125" ca="1" si="441">ROUND((+BG105*(1+CW$4)),0)-BG105</f>
        <v>0</v>
      </c>
      <c r="CX105" s="443"/>
      <c r="CY105" s="432">
        <v>0</v>
      </c>
      <c r="CZ105" s="434">
        <f t="shared" ref="CZ105:CZ125" ca="1" si="442">ROUND((+BJ105*(1+CZ$4)),0)-BJ105</f>
        <v>0</v>
      </c>
      <c r="DA105" s="443"/>
      <c r="DB105" s="432">
        <v>0</v>
      </c>
      <c r="DC105" s="434">
        <f t="shared" ref="DC105:DC125" ca="1" si="443">ROUND((+BM105*(1+DC$4)),0)-BM105</f>
        <v>714</v>
      </c>
      <c r="DD105" s="443"/>
      <c r="DE105" s="432">
        <v>0</v>
      </c>
      <c r="DF105" s="434">
        <f t="shared" ref="DF105:DF125" ca="1" si="444">ROUND((+BP105*(1+DF$4)),0)-BP105</f>
        <v>1196</v>
      </c>
      <c r="DG105" s="443"/>
      <c r="DH105" s="432">
        <v>0</v>
      </c>
      <c r="DI105" s="434">
        <f t="shared" ref="DI105:DI125" ca="1" si="445">ROUND((+BS105*(1+DI$4)),0)-BS105</f>
        <v>1048</v>
      </c>
      <c r="DJ105" s="443"/>
      <c r="DK105" s="432">
        <v>0</v>
      </c>
      <c r="DL105" s="434">
        <f t="shared" ref="DL105:DL125" ca="1" si="446">ROUND((+BV105*(1+DL$4)),0)-BV105</f>
        <v>0</v>
      </c>
      <c r="DM105" s="443"/>
      <c r="DN105" s="432">
        <v>0</v>
      </c>
      <c r="DO105" s="434">
        <f t="shared" ref="DO105:DO125" ca="1" si="447">ROUND((+BY105*(1+DO$4)),0)-BY105</f>
        <v>0</v>
      </c>
      <c r="DP105" s="443"/>
      <c r="DQ105" s="432">
        <v>0</v>
      </c>
      <c r="DR105" s="434">
        <f t="shared" ref="DR105:DR125" ca="1" si="448">ROUND((+CB105*(1+DR$4)),0)-CB105</f>
        <v>0</v>
      </c>
      <c r="DS105" s="443"/>
      <c r="DT105" s="432">
        <v>0</v>
      </c>
      <c r="DU105" s="434">
        <f t="shared" ref="DU105:DU125" ca="1" si="449">ROUND((+CE105*(1+DU$4)),0)-CE105</f>
        <v>0</v>
      </c>
      <c r="DV105" s="443"/>
      <c r="DW105" s="432">
        <v>0</v>
      </c>
      <c r="DX105" s="434">
        <f t="shared" ref="DX105:DX125" ca="1" si="450">ROUND((+CH105*(1+DX$4)),0)-CH105</f>
        <v>0</v>
      </c>
      <c r="DY105" s="443"/>
      <c r="DZ105" s="432">
        <f t="shared" ref="DZ105:DZ125" si="451">+DH105+DE105+DB105+CY105+CV105+CS105+DK105+DN105+DQ105+DT105+DW105</f>
        <v>0</v>
      </c>
      <c r="EA105" s="444">
        <f t="shared" ref="EA105:EA125" ca="1" si="452">+DI105+DF105+DC105+CZ105+CW105+CT105+DL105+DO105+DR105+DU105+DX105</f>
        <v>2958</v>
      </c>
      <c r="EB105" s="433"/>
      <c r="EC105" s="170"/>
      <c r="ED105" s="170"/>
      <c r="EE105" s="170"/>
      <c r="EF105" s="170"/>
      <c r="EG105" s="170"/>
      <c r="EH105" s="170"/>
      <c r="EI105" s="170"/>
      <c r="EJ105" s="170"/>
      <c r="EK105" s="170"/>
    </row>
    <row r="106" spans="1:141" ht="15" x14ac:dyDescent="0.25">
      <c r="A106" s="168"/>
      <c r="B106" s="424">
        <v>3</v>
      </c>
      <c r="C106" s="424">
        <v>5</v>
      </c>
      <c r="D106" s="424">
        <v>3</v>
      </c>
      <c r="E106" s="425">
        <v>9</v>
      </c>
      <c r="F106" s="493" t="s">
        <v>605</v>
      </c>
      <c r="G106" s="1308" t="str">
        <f t="shared" ref="G106:G125" si="453">+AY106</f>
        <v>Project Support Vendor - PM</v>
      </c>
      <c r="H106" s="1308" t="str">
        <f t="shared" ref="H106:H125" si="454">+AZ106</f>
        <v>AQ</v>
      </c>
      <c r="I106" s="1310">
        <f t="shared" si="91"/>
        <v>160</v>
      </c>
      <c r="J106" s="1685"/>
      <c r="K106" s="1311">
        <f t="shared" si="424"/>
        <v>0</v>
      </c>
      <c r="L106" s="1312">
        <f t="shared" si="424"/>
        <v>15427.62</v>
      </c>
      <c r="M106" s="1685"/>
      <c r="N106" s="1334">
        <f t="shared" ref="N106:N119" si="455">+BF106+CV106</f>
        <v>0</v>
      </c>
      <c r="O106" s="1312">
        <f t="shared" si="425"/>
        <v>0</v>
      </c>
      <c r="P106" s="1685"/>
      <c r="Q106" s="1334">
        <f t="shared" ref="Q106:Q119" si="456">+BI106+CY106</f>
        <v>0</v>
      </c>
      <c r="R106" s="1312">
        <f t="shared" si="426"/>
        <v>0</v>
      </c>
      <c r="S106" s="1685"/>
      <c r="T106" s="1334">
        <f t="shared" ref="T106:T119" si="457">+BL106+DB106</f>
        <v>680</v>
      </c>
      <c r="U106" s="1312">
        <f t="shared" si="427"/>
        <v>118810</v>
      </c>
      <c r="V106" s="1685"/>
      <c r="W106" s="1334">
        <f t="shared" ref="W106:W119" si="458">+BO106+DE106</f>
        <v>2040</v>
      </c>
      <c r="X106" s="1312">
        <f t="shared" si="428"/>
        <v>367122</v>
      </c>
      <c r="Y106" s="1685"/>
      <c r="Z106" s="1334">
        <f t="shared" ref="Z106:Z119" si="459">+BR106+DH106</f>
        <v>1640</v>
      </c>
      <c r="AA106" s="1312">
        <f t="shared" si="429"/>
        <v>303991</v>
      </c>
      <c r="AB106" s="1685"/>
      <c r="AC106" s="1334">
        <f t="shared" ref="AC106:AC119" si="460">+BU106+DK106</f>
        <v>0</v>
      </c>
      <c r="AD106" s="1312">
        <f t="shared" si="430"/>
        <v>0</v>
      </c>
      <c r="AE106" s="1685"/>
      <c r="AF106" s="1334">
        <f t="shared" ref="AF106:AF119" si="461">+BX106+DN106</f>
        <v>0</v>
      </c>
      <c r="AG106" s="1312">
        <f t="shared" si="431"/>
        <v>0</v>
      </c>
      <c r="AH106" s="1685"/>
      <c r="AI106" s="1334">
        <f t="shared" ref="AI106:AI119" si="462">+CA106+DQ106</f>
        <v>0</v>
      </c>
      <c r="AJ106" s="1312">
        <f t="shared" si="432"/>
        <v>0</v>
      </c>
      <c r="AK106" s="1685"/>
      <c r="AL106" s="1334">
        <f t="shared" ref="AL106:AL119" si="463">+CD106+DT106</f>
        <v>0</v>
      </c>
      <c r="AM106" s="1312">
        <f t="shared" si="433"/>
        <v>0</v>
      </c>
      <c r="AN106" s="1685"/>
      <c r="AO106" s="1334">
        <f t="shared" ref="AO106:AO119" si="464">+CG106+DW106</f>
        <v>0</v>
      </c>
      <c r="AP106" s="1312">
        <f t="shared" si="434"/>
        <v>0</v>
      </c>
      <c r="AQ106" s="1685"/>
      <c r="AR106" s="1334">
        <f t="shared" si="435"/>
        <v>4360</v>
      </c>
      <c r="AS106" s="1312">
        <f t="shared" si="436"/>
        <v>805350.62</v>
      </c>
      <c r="AT106" s="1687"/>
      <c r="AU106" s="411"/>
      <c r="AV106" s="1757">
        <f t="shared" si="328"/>
        <v>805350.62</v>
      </c>
      <c r="AW106" s="411"/>
      <c r="AX106" s="493"/>
      <c r="AY106" s="1566" t="s">
        <v>346</v>
      </c>
      <c r="AZ106" s="1567" t="s">
        <v>301</v>
      </c>
      <c r="BA106" s="2445">
        <f>+'Data Input sheet'!$D$176</f>
        <v>160</v>
      </c>
      <c r="BB106" s="1579"/>
      <c r="BC106" s="1599">
        <v>0</v>
      </c>
      <c r="BD106" s="1600">
        <v>15427.62</v>
      </c>
      <c r="BE106" s="1579"/>
      <c r="BF106" s="1605">
        <v>0</v>
      </c>
      <c r="BG106" s="426">
        <f>ROUND(+BF106*$BA$106,0)</f>
        <v>0</v>
      </c>
      <c r="BH106" s="1663"/>
      <c r="BI106" s="1605"/>
      <c r="BJ106" s="426"/>
      <c r="BK106" s="1671"/>
      <c r="BL106" s="1605">
        <v>680</v>
      </c>
      <c r="BM106" s="426">
        <f>ROUND(+BL106*$BA$106,0)</f>
        <v>108800</v>
      </c>
      <c r="BN106" s="1663"/>
      <c r="BO106" s="1605">
        <v>2040</v>
      </c>
      <c r="BP106" s="426">
        <f>ROUND(+BO106*$BA$106,0)</f>
        <v>326400</v>
      </c>
      <c r="BQ106" s="1663"/>
      <c r="BR106" s="1605">
        <v>1640</v>
      </c>
      <c r="BS106" s="426">
        <f>ROUND(+BR106*$BA$106,0)</f>
        <v>262400</v>
      </c>
      <c r="BT106" s="1663"/>
      <c r="BU106" s="1605">
        <v>0</v>
      </c>
      <c r="BV106" s="426">
        <f>ROUND(+BU106*$BA$106,0)</f>
        <v>0</v>
      </c>
      <c r="BW106" s="1663"/>
      <c r="BX106" s="1605">
        <v>0</v>
      </c>
      <c r="BY106" s="426">
        <f>ROUND(+BX106*$BA$106,0)</f>
        <v>0</v>
      </c>
      <c r="BZ106" s="1663"/>
      <c r="CA106" s="1605">
        <v>0</v>
      </c>
      <c r="CB106" s="426">
        <f>ROUND(+CA106*$BA$106,0)</f>
        <v>0</v>
      </c>
      <c r="CC106" s="1663"/>
      <c r="CD106" s="1605">
        <v>0</v>
      </c>
      <c r="CE106" s="426">
        <f>ROUND(+CD106*$BA$106,0)</f>
        <v>0</v>
      </c>
      <c r="CF106" s="1663"/>
      <c r="CG106" s="1605">
        <v>0</v>
      </c>
      <c r="CH106" s="426">
        <f>ROUND(+CG106*$BA$106,0)</f>
        <v>0</v>
      </c>
      <c r="CI106" s="1579"/>
      <c r="CJ106" s="1257">
        <f t="shared" si="437"/>
        <v>4360</v>
      </c>
      <c r="CK106" s="1395">
        <f>+BS106+BP106+BM106+BJ106+BG106+BD106+BV106+BY106+CB106+CE106+CH106</f>
        <v>713027.62</v>
      </c>
      <c r="CL106" s="427" t="s">
        <v>3695</v>
      </c>
      <c r="CM106" s="170"/>
      <c r="CN106" s="493"/>
      <c r="CO106" s="428" t="str">
        <f t="shared" si="439"/>
        <v>Project Support Vendor - PM</v>
      </c>
      <c r="CP106" s="429" t="s">
        <v>301</v>
      </c>
      <c r="CQ106" s="429"/>
      <c r="CR106" s="443"/>
      <c r="CS106" s="432"/>
      <c r="CT106" s="431">
        <f t="shared" si="440"/>
        <v>0</v>
      </c>
      <c r="CU106" s="443"/>
      <c r="CV106" s="432"/>
      <c r="CW106" s="434">
        <f t="shared" si="441"/>
        <v>0</v>
      </c>
      <c r="CX106" s="443"/>
      <c r="CY106" s="432">
        <v>0</v>
      </c>
      <c r="CZ106" s="434">
        <f t="shared" si="442"/>
        <v>0</v>
      </c>
      <c r="DA106" s="443"/>
      <c r="DB106" s="432">
        <v>0</v>
      </c>
      <c r="DC106" s="434">
        <f t="shared" si="443"/>
        <v>10010</v>
      </c>
      <c r="DD106" s="443"/>
      <c r="DE106" s="432">
        <v>0</v>
      </c>
      <c r="DF106" s="434">
        <f t="shared" si="444"/>
        <v>40722</v>
      </c>
      <c r="DG106" s="443"/>
      <c r="DH106" s="432">
        <v>0</v>
      </c>
      <c r="DI106" s="434">
        <f t="shared" si="445"/>
        <v>41591</v>
      </c>
      <c r="DJ106" s="443"/>
      <c r="DK106" s="432">
        <v>0</v>
      </c>
      <c r="DL106" s="434">
        <f t="shared" si="446"/>
        <v>0</v>
      </c>
      <c r="DM106" s="443"/>
      <c r="DN106" s="432">
        <v>0</v>
      </c>
      <c r="DO106" s="434">
        <f t="shared" si="447"/>
        <v>0</v>
      </c>
      <c r="DP106" s="443"/>
      <c r="DQ106" s="432">
        <v>0</v>
      </c>
      <c r="DR106" s="434">
        <f t="shared" si="448"/>
        <v>0</v>
      </c>
      <c r="DS106" s="443"/>
      <c r="DT106" s="432">
        <v>0</v>
      </c>
      <c r="DU106" s="434">
        <f t="shared" si="449"/>
        <v>0</v>
      </c>
      <c r="DV106" s="443"/>
      <c r="DW106" s="432">
        <v>0</v>
      </c>
      <c r="DX106" s="434">
        <f t="shared" si="450"/>
        <v>0</v>
      </c>
      <c r="DY106" s="443"/>
      <c r="DZ106" s="432">
        <f t="shared" si="451"/>
        <v>0</v>
      </c>
      <c r="EA106" s="444">
        <f t="shared" si="452"/>
        <v>92323</v>
      </c>
      <c r="EB106" s="433"/>
      <c r="EC106" s="170"/>
      <c r="ED106" s="170"/>
      <c r="EE106" s="170"/>
      <c r="EF106" s="170"/>
      <c r="EG106" s="170"/>
      <c r="EH106" s="170"/>
      <c r="EI106" s="170"/>
      <c r="EJ106" s="170"/>
      <c r="EK106" s="170"/>
    </row>
    <row r="107" spans="1:141" ht="15" x14ac:dyDescent="0.25">
      <c r="A107" s="168"/>
      <c r="B107" s="424">
        <v>3</v>
      </c>
      <c r="C107" s="424">
        <v>5</v>
      </c>
      <c r="D107" s="424">
        <v>3</v>
      </c>
      <c r="E107" s="425">
        <v>9</v>
      </c>
      <c r="F107" s="493" t="s">
        <v>605</v>
      </c>
      <c r="G107" s="1308" t="str">
        <f t="shared" si="453"/>
        <v>Project Support Vendor - IP</v>
      </c>
      <c r="H107" s="1308" t="str">
        <f t="shared" si="454"/>
        <v>AQ</v>
      </c>
      <c r="I107" s="1310">
        <f t="shared" si="91"/>
        <v>160</v>
      </c>
      <c r="J107" s="1685"/>
      <c r="K107" s="1311">
        <f t="shared" si="424"/>
        <v>0</v>
      </c>
      <c r="L107" s="1312">
        <f t="shared" si="424"/>
        <v>0</v>
      </c>
      <c r="M107" s="1685"/>
      <c r="N107" s="1334">
        <f t="shared" si="455"/>
        <v>0</v>
      </c>
      <c r="O107" s="1312">
        <f t="shared" si="425"/>
        <v>0</v>
      </c>
      <c r="P107" s="1685"/>
      <c r="Q107" s="1334">
        <f t="shared" si="456"/>
        <v>0</v>
      </c>
      <c r="R107" s="1312">
        <f t="shared" si="426"/>
        <v>0</v>
      </c>
      <c r="S107" s="1685"/>
      <c r="T107" s="1334">
        <f t="shared" si="457"/>
        <v>0</v>
      </c>
      <c r="U107" s="1312">
        <f t="shared" si="427"/>
        <v>0</v>
      </c>
      <c r="V107" s="1685"/>
      <c r="W107" s="1334">
        <f t="shared" si="458"/>
        <v>0</v>
      </c>
      <c r="X107" s="1312">
        <f t="shared" si="428"/>
        <v>0</v>
      </c>
      <c r="Y107" s="1685"/>
      <c r="Z107" s="1334">
        <f t="shared" si="459"/>
        <v>0</v>
      </c>
      <c r="AA107" s="1312">
        <f t="shared" si="429"/>
        <v>0</v>
      </c>
      <c r="AB107" s="1685"/>
      <c r="AC107" s="1334">
        <f t="shared" si="460"/>
        <v>0</v>
      </c>
      <c r="AD107" s="1312">
        <f t="shared" si="430"/>
        <v>0</v>
      </c>
      <c r="AE107" s="1685"/>
      <c r="AF107" s="1334">
        <f t="shared" si="461"/>
        <v>0</v>
      </c>
      <c r="AG107" s="1312">
        <f t="shared" si="431"/>
        <v>0</v>
      </c>
      <c r="AH107" s="1685"/>
      <c r="AI107" s="1334">
        <f t="shared" si="462"/>
        <v>0</v>
      </c>
      <c r="AJ107" s="1312">
        <f t="shared" si="432"/>
        <v>0</v>
      </c>
      <c r="AK107" s="1685"/>
      <c r="AL107" s="1334">
        <f t="shared" si="463"/>
        <v>0</v>
      </c>
      <c r="AM107" s="1312">
        <f t="shared" si="433"/>
        <v>0</v>
      </c>
      <c r="AN107" s="1685"/>
      <c r="AO107" s="1334">
        <f t="shared" si="464"/>
        <v>0</v>
      </c>
      <c r="AP107" s="1312">
        <f t="shared" si="434"/>
        <v>0</v>
      </c>
      <c r="AQ107" s="1685"/>
      <c r="AR107" s="1334">
        <f t="shared" si="435"/>
        <v>0</v>
      </c>
      <c r="AS107" s="1312">
        <f t="shared" si="436"/>
        <v>0</v>
      </c>
      <c r="AT107" s="1687"/>
      <c r="AU107" s="411"/>
      <c r="AV107" s="1757">
        <f t="shared" si="328"/>
        <v>0</v>
      </c>
      <c r="AW107" s="411"/>
      <c r="AX107" s="493"/>
      <c r="AY107" s="1566" t="s">
        <v>347</v>
      </c>
      <c r="AZ107" s="1567" t="s">
        <v>301</v>
      </c>
      <c r="BA107" s="2445">
        <f>+'Data Input sheet'!$D$176</f>
        <v>160</v>
      </c>
      <c r="BB107" s="1579"/>
      <c r="BC107" s="1599">
        <v>0</v>
      </c>
      <c r="BD107" s="1600"/>
      <c r="BE107" s="1579"/>
      <c r="BF107" s="1605">
        <v>0</v>
      </c>
      <c r="BG107" s="426">
        <f>ROUND(+BF107*$BA$107,0)</f>
        <v>0</v>
      </c>
      <c r="BH107" s="1663"/>
      <c r="BI107" s="1605">
        <v>0</v>
      </c>
      <c r="BJ107" s="426">
        <f>ROUND(+BI107*$BA$107,0)</f>
        <v>0</v>
      </c>
      <c r="BK107" s="1671"/>
      <c r="BL107" s="1605"/>
      <c r="BM107" s="426">
        <f>ROUND(+BL107*$BA$107,0)</f>
        <v>0</v>
      </c>
      <c r="BN107" s="1663"/>
      <c r="BO107" s="1605">
        <v>0</v>
      </c>
      <c r="BP107" s="426">
        <f>ROUND(+BO107*$BA$107,0)</f>
        <v>0</v>
      </c>
      <c r="BQ107" s="1663"/>
      <c r="BR107" s="1605">
        <v>0</v>
      </c>
      <c r="BS107" s="426">
        <f>ROUND(+BR107*$BA$107,0)</f>
        <v>0</v>
      </c>
      <c r="BT107" s="1663"/>
      <c r="BU107" s="1605">
        <v>0</v>
      </c>
      <c r="BV107" s="426">
        <f>ROUND(+BU107*$BA$107,0)</f>
        <v>0</v>
      </c>
      <c r="BW107" s="1663"/>
      <c r="BX107" s="1605">
        <v>0</v>
      </c>
      <c r="BY107" s="426">
        <f>ROUND(+BX107*$BA$107,0)</f>
        <v>0</v>
      </c>
      <c r="BZ107" s="1663"/>
      <c r="CA107" s="1605">
        <v>0</v>
      </c>
      <c r="CB107" s="426">
        <f>ROUND(+CA107*$BA$107,0)</f>
        <v>0</v>
      </c>
      <c r="CC107" s="1663"/>
      <c r="CD107" s="1605">
        <v>0</v>
      </c>
      <c r="CE107" s="426">
        <f>ROUND(+CD107*$BA$107,0)</f>
        <v>0</v>
      </c>
      <c r="CF107" s="1663"/>
      <c r="CG107" s="1605">
        <v>0</v>
      </c>
      <c r="CH107" s="426">
        <f>ROUND(+CG107*$BA$107,0)</f>
        <v>0</v>
      </c>
      <c r="CI107" s="1579"/>
      <c r="CJ107" s="1257">
        <f t="shared" si="437"/>
        <v>0</v>
      </c>
      <c r="CK107" s="1395">
        <f t="shared" si="438"/>
        <v>0</v>
      </c>
      <c r="CL107" s="427"/>
      <c r="CM107" s="170"/>
      <c r="CN107" s="493"/>
      <c r="CO107" s="428" t="str">
        <f t="shared" si="439"/>
        <v>Project Support Vendor - IP</v>
      </c>
      <c r="CP107" s="429" t="s">
        <v>301</v>
      </c>
      <c r="CQ107" s="429"/>
      <c r="CR107" s="443"/>
      <c r="CS107" s="432"/>
      <c r="CT107" s="431">
        <f t="shared" si="440"/>
        <v>0</v>
      </c>
      <c r="CU107" s="443"/>
      <c r="CV107" s="432"/>
      <c r="CW107" s="434">
        <f t="shared" si="441"/>
        <v>0</v>
      </c>
      <c r="CX107" s="443"/>
      <c r="CY107" s="432">
        <v>0</v>
      </c>
      <c r="CZ107" s="434">
        <f t="shared" si="442"/>
        <v>0</v>
      </c>
      <c r="DA107" s="443"/>
      <c r="DB107" s="432">
        <v>0</v>
      </c>
      <c r="DC107" s="434">
        <f t="shared" si="443"/>
        <v>0</v>
      </c>
      <c r="DD107" s="443"/>
      <c r="DE107" s="432">
        <v>0</v>
      </c>
      <c r="DF107" s="434">
        <f t="shared" si="444"/>
        <v>0</v>
      </c>
      <c r="DG107" s="443"/>
      <c r="DH107" s="432">
        <v>0</v>
      </c>
      <c r="DI107" s="434">
        <f t="shared" si="445"/>
        <v>0</v>
      </c>
      <c r="DJ107" s="443"/>
      <c r="DK107" s="432">
        <v>0</v>
      </c>
      <c r="DL107" s="434">
        <f t="shared" si="446"/>
        <v>0</v>
      </c>
      <c r="DM107" s="443"/>
      <c r="DN107" s="432">
        <v>0</v>
      </c>
      <c r="DO107" s="434">
        <f t="shared" si="447"/>
        <v>0</v>
      </c>
      <c r="DP107" s="443"/>
      <c r="DQ107" s="432">
        <v>0</v>
      </c>
      <c r="DR107" s="434">
        <f t="shared" si="448"/>
        <v>0</v>
      </c>
      <c r="DS107" s="443"/>
      <c r="DT107" s="432">
        <v>0</v>
      </c>
      <c r="DU107" s="434">
        <f t="shared" si="449"/>
        <v>0</v>
      </c>
      <c r="DV107" s="443"/>
      <c r="DW107" s="432">
        <v>0</v>
      </c>
      <c r="DX107" s="434">
        <f t="shared" si="450"/>
        <v>0</v>
      </c>
      <c r="DY107" s="443"/>
      <c r="DZ107" s="432">
        <f t="shared" si="451"/>
        <v>0</v>
      </c>
      <c r="EA107" s="444">
        <f t="shared" si="452"/>
        <v>0</v>
      </c>
      <c r="EB107" s="433"/>
      <c r="EC107" s="170"/>
      <c r="ED107" s="170"/>
      <c r="EE107" s="170"/>
      <c r="EF107" s="170"/>
      <c r="EG107" s="170"/>
      <c r="EH107" s="170"/>
      <c r="EI107" s="170"/>
      <c r="EJ107" s="170"/>
      <c r="EK107" s="170"/>
    </row>
    <row r="108" spans="1:141" ht="15" x14ac:dyDescent="0.25">
      <c r="A108" s="168"/>
      <c r="B108" s="424">
        <v>3</v>
      </c>
      <c r="C108" s="424">
        <v>5</v>
      </c>
      <c r="D108" s="424">
        <v>3</v>
      </c>
      <c r="E108" s="425">
        <v>9</v>
      </c>
      <c r="F108" s="493" t="s">
        <v>605</v>
      </c>
      <c r="G108" s="1308" t="str">
        <f t="shared" si="453"/>
        <v>Project Support Vendor - C/P</v>
      </c>
      <c r="H108" s="1308" t="str">
        <f t="shared" si="454"/>
        <v>AQ</v>
      </c>
      <c r="I108" s="1310">
        <f>+BA108</f>
        <v>160</v>
      </c>
      <c r="J108" s="1685"/>
      <c r="K108" s="1311">
        <f t="shared" ref="K108:L110" si="465">+BC108</f>
        <v>0</v>
      </c>
      <c r="L108" s="1312">
        <f t="shared" si="465"/>
        <v>0</v>
      </c>
      <c r="M108" s="1685"/>
      <c r="N108" s="1334">
        <f t="shared" si="455"/>
        <v>0</v>
      </c>
      <c r="O108" s="1312">
        <f t="shared" si="425"/>
        <v>0</v>
      </c>
      <c r="P108" s="1685"/>
      <c r="Q108" s="1334">
        <f t="shared" si="456"/>
        <v>0</v>
      </c>
      <c r="R108" s="1312">
        <f t="shared" si="426"/>
        <v>0</v>
      </c>
      <c r="S108" s="1685"/>
      <c r="T108" s="1334">
        <f t="shared" si="457"/>
        <v>0</v>
      </c>
      <c r="U108" s="1312">
        <f t="shared" si="427"/>
        <v>0</v>
      </c>
      <c r="V108" s="1685"/>
      <c r="W108" s="1334">
        <f t="shared" si="458"/>
        <v>0</v>
      </c>
      <c r="X108" s="1312">
        <f t="shared" si="428"/>
        <v>0</v>
      </c>
      <c r="Y108" s="1685"/>
      <c r="Z108" s="1334">
        <f t="shared" si="459"/>
        <v>0</v>
      </c>
      <c r="AA108" s="1312">
        <f t="shared" si="429"/>
        <v>0</v>
      </c>
      <c r="AB108" s="1685"/>
      <c r="AC108" s="1334">
        <f t="shared" si="460"/>
        <v>0</v>
      </c>
      <c r="AD108" s="1312">
        <f t="shared" si="430"/>
        <v>0</v>
      </c>
      <c r="AE108" s="1685"/>
      <c r="AF108" s="1334">
        <f t="shared" si="461"/>
        <v>0</v>
      </c>
      <c r="AG108" s="1312">
        <f t="shared" si="431"/>
        <v>0</v>
      </c>
      <c r="AH108" s="1685"/>
      <c r="AI108" s="1334">
        <f t="shared" si="462"/>
        <v>0</v>
      </c>
      <c r="AJ108" s="1312">
        <f t="shared" si="432"/>
        <v>0</v>
      </c>
      <c r="AK108" s="1685"/>
      <c r="AL108" s="1334">
        <f t="shared" si="463"/>
        <v>0</v>
      </c>
      <c r="AM108" s="1312">
        <f t="shared" si="433"/>
        <v>0</v>
      </c>
      <c r="AN108" s="1685"/>
      <c r="AO108" s="1334">
        <f t="shared" si="464"/>
        <v>0</v>
      </c>
      <c r="AP108" s="1312">
        <f t="shared" si="434"/>
        <v>0</v>
      </c>
      <c r="AQ108" s="1685"/>
      <c r="AR108" s="1334">
        <f t="shared" si="435"/>
        <v>0</v>
      </c>
      <c r="AS108" s="1312">
        <f t="shared" si="436"/>
        <v>0</v>
      </c>
      <c r="AT108" s="1687"/>
      <c r="AU108" s="411"/>
      <c r="AV108" s="1757">
        <f t="shared" si="328"/>
        <v>0</v>
      </c>
      <c r="AW108" s="411"/>
      <c r="AX108" s="493"/>
      <c r="AY108" s="1566" t="s">
        <v>1134</v>
      </c>
      <c r="AZ108" s="1567" t="s">
        <v>301</v>
      </c>
      <c r="BA108" s="2445">
        <f>+'Data Input sheet'!$D$176</f>
        <v>160</v>
      </c>
      <c r="BB108" s="1579"/>
      <c r="BC108" s="1599">
        <v>0</v>
      </c>
      <c r="BD108" s="1600"/>
      <c r="BE108" s="1579"/>
      <c r="BF108" s="1605">
        <v>0</v>
      </c>
      <c r="BG108" s="426">
        <f>ROUND(+BF108*$BA$108,0)</f>
        <v>0</v>
      </c>
      <c r="BH108" s="1579"/>
      <c r="BI108" s="1605">
        <v>0</v>
      </c>
      <c r="BJ108" s="426">
        <f>ROUND(+BI108*$BA$108,0)</f>
        <v>0</v>
      </c>
      <c r="BK108" s="1666"/>
      <c r="BL108" s="1605"/>
      <c r="BM108" s="426">
        <f>ROUND(+BL108*$BA$108,0)</f>
        <v>0</v>
      </c>
      <c r="BN108" s="1579"/>
      <c r="BO108" s="1605">
        <v>0</v>
      </c>
      <c r="BP108" s="426">
        <f>ROUND(+BO108*$BA$108,0)</f>
        <v>0</v>
      </c>
      <c r="BQ108" s="1579"/>
      <c r="BR108" s="1605">
        <v>0</v>
      </c>
      <c r="BS108" s="426">
        <f>ROUND(+BR108*$BA$108,0)</f>
        <v>0</v>
      </c>
      <c r="BT108" s="1579"/>
      <c r="BU108" s="1605">
        <v>0</v>
      </c>
      <c r="BV108" s="426">
        <f>ROUND(+BU108*$BA$108,0)</f>
        <v>0</v>
      </c>
      <c r="BW108" s="1579"/>
      <c r="BX108" s="1605">
        <v>0</v>
      </c>
      <c r="BY108" s="426">
        <f>ROUND(+BX108*$BA$108,0)</f>
        <v>0</v>
      </c>
      <c r="BZ108" s="1579"/>
      <c r="CA108" s="1605">
        <v>0</v>
      </c>
      <c r="CB108" s="426">
        <f>ROUND(+CA108*$BA$108,0)</f>
        <v>0</v>
      </c>
      <c r="CC108" s="1579"/>
      <c r="CD108" s="1605">
        <v>0</v>
      </c>
      <c r="CE108" s="426">
        <f>ROUND(+CD108*$BA$108,0)</f>
        <v>0</v>
      </c>
      <c r="CF108" s="1579"/>
      <c r="CG108" s="1605">
        <v>0</v>
      </c>
      <c r="CH108" s="426">
        <f>ROUND(+CG108*$BA$108,0)</f>
        <v>0</v>
      </c>
      <c r="CI108" s="1579"/>
      <c r="CJ108" s="1257">
        <f t="shared" si="437"/>
        <v>0</v>
      </c>
      <c r="CK108" s="1395">
        <f t="shared" si="438"/>
        <v>0</v>
      </c>
      <c r="CL108" s="427"/>
      <c r="CM108" s="170"/>
      <c r="CN108" s="493"/>
      <c r="CO108" s="428" t="str">
        <f t="shared" si="439"/>
        <v>Project Support Vendor - C/P</v>
      </c>
      <c r="CP108" s="429" t="s">
        <v>301</v>
      </c>
      <c r="CQ108" s="429"/>
      <c r="CR108" s="443"/>
      <c r="CS108" s="432"/>
      <c r="CT108" s="431">
        <f t="shared" si="440"/>
        <v>0</v>
      </c>
      <c r="CU108" s="443"/>
      <c r="CV108" s="432"/>
      <c r="CW108" s="434">
        <f t="shared" si="441"/>
        <v>0</v>
      </c>
      <c r="CX108" s="443"/>
      <c r="CY108" s="432">
        <v>0</v>
      </c>
      <c r="CZ108" s="434">
        <f t="shared" si="442"/>
        <v>0</v>
      </c>
      <c r="DA108" s="443"/>
      <c r="DB108" s="432"/>
      <c r="DC108" s="434">
        <f t="shared" si="443"/>
        <v>0</v>
      </c>
      <c r="DD108" s="443"/>
      <c r="DE108" s="432"/>
      <c r="DF108" s="434">
        <f t="shared" si="444"/>
        <v>0</v>
      </c>
      <c r="DG108" s="443"/>
      <c r="DH108" s="432"/>
      <c r="DI108" s="434">
        <f t="shared" si="445"/>
        <v>0</v>
      </c>
      <c r="DJ108" s="443"/>
      <c r="DK108" s="432"/>
      <c r="DL108" s="434">
        <f t="shared" si="446"/>
        <v>0</v>
      </c>
      <c r="DM108" s="443"/>
      <c r="DN108" s="432"/>
      <c r="DO108" s="434">
        <f t="shared" si="447"/>
        <v>0</v>
      </c>
      <c r="DP108" s="443"/>
      <c r="DQ108" s="432"/>
      <c r="DR108" s="434">
        <f t="shared" si="448"/>
        <v>0</v>
      </c>
      <c r="DS108" s="443"/>
      <c r="DT108" s="432"/>
      <c r="DU108" s="434">
        <f t="shared" si="449"/>
        <v>0</v>
      </c>
      <c r="DV108" s="443"/>
      <c r="DW108" s="432"/>
      <c r="DX108" s="434">
        <f t="shared" si="450"/>
        <v>0</v>
      </c>
      <c r="DY108" s="443"/>
      <c r="DZ108" s="432">
        <f t="shared" si="451"/>
        <v>0</v>
      </c>
      <c r="EA108" s="444">
        <f t="shared" si="452"/>
        <v>0</v>
      </c>
      <c r="EB108" s="433"/>
      <c r="EC108" s="170"/>
      <c r="ED108" s="170"/>
      <c r="EE108" s="170"/>
      <c r="EF108" s="170"/>
      <c r="EG108" s="170"/>
      <c r="EH108" s="170"/>
      <c r="EI108" s="170"/>
      <c r="EJ108" s="170"/>
      <c r="EK108" s="170"/>
    </row>
    <row r="109" spans="1:141" ht="15" x14ac:dyDescent="0.25">
      <c r="A109" s="168"/>
      <c r="B109" s="424">
        <v>3</v>
      </c>
      <c r="C109" s="424">
        <v>5</v>
      </c>
      <c r="D109" s="424">
        <v>3</v>
      </c>
      <c r="E109" s="425">
        <v>9</v>
      </c>
      <c r="F109" s="493" t="s">
        <v>605</v>
      </c>
      <c r="G109" s="1308" t="str">
        <f t="shared" si="453"/>
        <v>Project Support Vendor - System Planning</v>
      </c>
      <c r="H109" s="1308" t="str">
        <f t="shared" si="454"/>
        <v>AQ</v>
      </c>
      <c r="I109" s="1310">
        <f>+BA109</f>
        <v>160</v>
      </c>
      <c r="J109" s="1685"/>
      <c r="K109" s="1311">
        <f t="shared" si="465"/>
        <v>0</v>
      </c>
      <c r="L109" s="1312">
        <f t="shared" si="465"/>
        <v>0</v>
      </c>
      <c r="M109" s="1685"/>
      <c r="N109" s="1334">
        <f t="shared" si="455"/>
        <v>0</v>
      </c>
      <c r="O109" s="1312">
        <f t="shared" si="425"/>
        <v>0</v>
      </c>
      <c r="P109" s="1685"/>
      <c r="Q109" s="1334">
        <f t="shared" si="456"/>
        <v>0</v>
      </c>
      <c r="R109" s="1312">
        <f t="shared" si="426"/>
        <v>0</v>
      </c>
      <c r="S109" s="1685"/>
      <c r="T109" s="1334">
        <f t="shared" si="457"/>
        <v>0</v>
      </c>
      <c r="U109" s="1312">
        <f t="shared" si="427"/>
        <v>0</v>
      </c>
      <c r="V109" s="1685"/>
      <c r="W109" s="1334">
        <f t="shared" si="458"/>
        <v>0</v>
      </c>
      <c r="X109" s="1312">
        <f t="shared" si="428"/>
        <v>0</v>
      </c>
      <c r="Y109" s="1685"/>
      <c r="Z109" s="1334">
        <f t="shared" si="459"/>
        <v>0</v>
      </c>
      <c r="AA109" s="1312">
        <f t="shared" si="429"/>
        <v>0</v>
      </c>
      <c r="AB109" s="1685"/>
      <c r="AC109" s="1334">
        <f t="shared" si="460"/>
        <v>0</v>
      </c>
      <c r="AD109" s="1312">
        <f t="shared" si="430"/>
        <v>0</v>
      </c>
      <c r="AE109" s="1685"/>
      <c r="AF109" s="1334">
        <f t="shared" si="461"/>
        <v>0</v>
      </c>
      <c r="AG109" s="1312">
        <f t="shared" si="431"/>
        <v>0</v>
      </c>
      <c r="AH109" s="1685"/>
      <c r="AI109" s="1334">
        <f t="shared" si="462"/>
        <v>0</v>
      </c>
      <c r="AJ109" s="1312">
        <f t="shared" si="432"/>
        <v>0</v>
      </c>
      <c r="AK109" s="1685"/>
      <c r="AL109" s="1334">
        <f t="shared" si="463"/>
        <v>0</v>
      </c>
      <c r="AM109" s="1312">
        <f t="shared" si="433"/>
        <v>0</v>
      </c>
      <c r="AN109" s="1685"/>
      <c r="AO109" s="1334">
        <f t="shared" si="464"/>
        <v>0</v>
      </c>
      <c r="AP109" s="1312">
        <f t="shared" si="434"/>
        <v>0</v>
      </c>
      <c r="AQ109" s="1685"/>
      <c r="AR109" s="1334">
        <f t="shared" si="435"/>
        <v>0</v>
      </c>
      <c r="AS109" s="1312">
        <f t="shared" si="436"/>
        <v>0</v>
      </c>
      <c r="AT109" s="1687"/>
      <c r="AU109" s="411"/>
      <c r="AV109" s="1757">
        <f t="shared" si="328"/>
        <v>0</v>
      </c>
      <c r="AW109" s="411"/>
      <c r="AX109" s="493"/>
      <c r="AY109" s="1566" t="s">
        <v>1135</v>
      </c>
      <c r="AZ109" s="1567" t="s">
        <v>301</v>
      </c>
      <c r="BA109" s="2445">
        <f>+'Data Input sheet'!$D$176</f>
        <v>160</v>
      </c>
      <c r="BB109" s="1579"/>
      <c r="BC109" s="1599">
        <v>0</v>
      </c>
      <c r="BD109" s="1600"/>
      <c r="BE109" s="1579"/>
      <c r="BF109" s="1605">
        <v>0</v>
      </c>
      <c r="BG109" s="426">
        <f>ROUND(+BF109*$BA$109,0)</f>
        <v>0</v>
      </c>
      <c r="BH109" s="1579"/>
      <c r="BI109" s="1605"/>
      <c r="BJ109" s="426">
        <f>ROUND(+BI109*$BA$109,0)</f>
        <v>0</v>
      </c>
      <c r="BK109" s="1666"/>
      <c r="BL109" s="1605"/>
      <c r="BM109" s="426">
        <f>ROUND(+BL109*$BA$109,0)</f>
        <v>0</v>
      </c>
      <c r="BN109" s="1579"/>
      <c r="BO109" s="1605">
        <v>0</v>
      </c>
      <c r="BP109" s="426">
        <f>ROUND(+BO109*$BA$109,0)</f>
        <v>0</v>
      </c>
      <c r="BQ109" s="1579"/>
      <c r="BR109" s="1605">
        <v>0</v>
      </c>
      <c r="BS109" s="426">
        <f>ROUND(+BR109*$BA$109,0)</f>
        <v>0</v>
      </c>
      <c r="BT109" s="1579"/>
      <c r="BU109" s="1605">
        <v>0</v>
      </c>
      <c r="BV109" s="426">
        <f>ROUND(+BU109*$BA$109,0)</f>
        <v>0</v>
      </c>
      <c r="BW109" s="1579"/>
      <c r="BX109" s="1605">
        <v>0</v>
      </c>
      <c r="BY109" s="426">
        <f>ROUND(+BX109*$BA$109,0)</f>
        <v>0</v>
      </c>
      <c r="BZ109" s="1579"/>
      <c r="CA109" s="1605">
        <v>0</v>
      </c>
      <c r="CB109" s="426">
        <f>ROUND(+CA109*$BA$109,0)</f>
        <v>0</v>
      </c>
      <c r="CC109" s="1579"/>
      <c r="CD109" s="1605">
        <v>0</v>
      </c>
      <c r="CE109" s="426">
        <f>ROUND(+CD109*$BA$109,0)</f>
        <v>0</v>
      </c>
      <c r="CF109" s="1579"/>
      <c r="CG109" s="1605">
        <v>0</v>
      </c>
      <c r="CH109" s="426">
        <f>ROUND(+CG109*$BA$109,0)</f>
        <v>0</v>
      </c>
      <c r="CI109" s="1579"/>
      <c r="CJ109" s="1257">
        <f t="shared" si="437"/>
        <v>0</v>
      </c>
      <c r="CK109" s="1395">
        <f t="shared" si="438"/>
        <v>0</v>
      </c>
      <c r="CL109" s="427"/>
      <c r="CM109" s="170"/>
      <c r="CN109" s="493"/>
      <c r="CO109" s="428" t="str">
        <f t="shared" si="439"/>
        <v>Project Support Vendor - System Planning</v>
      </c>
      <c r="CP109" s="429" t="s">
        <v>301</v>
      </c>
      <c r="CQ109" s="429"/>
      <c r="CR109" s="443"/>
      <c r="CS109" s="432"/>
      <c r="CT109" s="431">
        <f t="shared" si="440"/>
        <v>0</v>
      </c>
      <c r="CU109" s="443"/>
      <c r="CV109" s="432"/>
      <c r="CW109" s="434">
        <f t="shared" si="441"/>
        <v>0</v>
      </c>
      <c r="CX109" s="443"/>
      <c r="CY109" s="432">
        <v>0</v>
      </c>
      <c r="CZ109" s="434">
        <f t="shared" si="442"/>
        <v>0</v>
      </c>
      <c r="DA109" s="443"/>
      <c r="DB109" s="432"/>
      <c r="DC109" s="434">
        <f t="shared" si="443"/>
        <v>0</v>
      </c>
      <c r="DD109" s="443"/>
      <c r="DE109" s="432"/>
      <c r="DF109" s="434">
        <f t="shared" si="444"/>
        <v>0</v>
      </c>
      <c r="DG109" s="443"/>
      <c r="DH109" s="432"/>
      <c r="DI109" s="434">
        <f t="shared" si="445"/>
        <v>0</v>
      </c>
      <c r="DJ109" s="443"/>
      <c r="DK109" s="432"/>
      <c r="DL109" s="434">
        <f t="shared" si="446"/>
        <v>0</v>
      </c>
      <c r="DM109" s="443"/>
      <c r="DN109" s="432"/>
      <c r="DO109" s="434">
        <f t="shared" si="447"/>
        <v>0</v>
      </c>
      <c r="DP109" s="443"/>
      <c r="DQ109" s="432"/>
      <c r="DR109" s="434">
        <f t="shared" si="448"/>
        <v>0</v>
      </c>
      <c r="DS109" s="443"/>
      <c r="DT109" s="432"/>
      <c r="DU109" s="434">
        <f t="shared" si="449"/>
        <v>0</v>
      </c>
      <c r="DV109" s="443"/>
      <c r="DW109" s="432"/>
      <c r="DX109" s="434">
        <f t="shared" si="450"/>
        <v>0</v>
      </c>
      <c r="DY109" s="443"/>
      <c r="DZ109" s="432">
        <f t="shared" si="451"/>
        <v>0</v>
      </c>
      <c r="EA109" s="444">
        <f t="shared" si="452"/>
        <v>0</v>
      </c>
      <c r="EB109" s="433"/>
      <c r="EC109" s="170"/>
      <c r="ED109" s="170"/>
      <c r="EE109" s="170"/>
      <c r="EF109" s="170"/>
      <c r="EG109" s="170"/>
      <c r="EH109" s="170"/>
      <c r="EI109" s="170"/>
      <c r="EJ109" s="170"/>
      <c r="EK109" s="170"/>
    </row>
    <row r="110" spans="1:141" ht="15" x14ac:dyDescent="0.25">
      <c r="A110" s="168"/>
      <c r="B110" s="424">
        <v>3</v>
      </c>
      <c r="C110" s="424">
        <v>5</v>
      </c>
      <c r="D110" s="424">
        <v>3</v>
      </c>
      <c r="E110" s="425">
        <v>2</v>
      </c>
      <c r="F110" s="493" t="s">
        <v>605</v>
      </c>
      <c r="G110" s="1308" t="str">
        <f t="shared" si="453"/>
        <v>Project Support Vendor - Enviromental</v>
      </c>
      <c r="H110" s="1309" t="s">
        <v>301</v>
      </c>
      <c r="I110" s="1310">
        <f>+BA110</f>
        <v>0</v>
      </c>
      <c r="J110" s="1685"/>
      <c r="K110" s="1311">
        <f t="shared" si="465"/>
        <v>0</v>
      </c>
      <c r="L110" s="1312">
        <f t="shared" si="465"/>
        <v>0</v>
      </c>
      <c r="M110" s="1685"/>
      <c r="N110" s="1334">
        <f t="shared" si="455"/>
        <v>0</v>
      </c>
      <c r="O110" s="1312">
        <f t="shared" si="425"/>
        <v>0</v>
      </c>
      <c r="P110" s="1685"/>
      <c r="Q110" s="1334">
        <f t="shared" si="456"/>
        <v>0</v>
      </c>
      <c r="R110" s="1312">
        <f t="shared" si="426"/>
        <v>0</v>
      </c>
      <c r="S110" s="1685"/>
      <c r="T110" s="1334">
        <f t="shared" si="457"/>
        <v>56</v>
      </c>
      <c r="U110" s="1312">
        <f t="shared" si="427"/>
        <v>10224</v>
      </c>
      <c r="V110" s="1685"/>
      <c r="W110" s="1334">
        <f t="shared" si="458"/>
        <v>0</v>
      </c>
      <c r="X110" s="1312">
        <f t="shared" si="428"/>
        <v>21063</v>
      </c>
      <c r="Y110" s="1685"/>
      <c r="Z110" s="1334">
        <f t="shared" si="459"/>
        <v>56</v>
      </c>
      <c r="AA110" s="1312">
        <f t="shared" si="429"/>
        <v>10847</v>
      </c>
      <c r="AB110" s="1685"/>
      <c r="AC110" s="1334">
        <f t="shared" si="460"/>
        <v>0</v>
      </c>
      <c r="AD110" s="1312">
        <f t="shared" si="430"/>
        <v>0</v>
      </c>
      <c r="AE110" s="1685"/>
      <c r="AF110" s="1334">
        <f t="shared" si="461"/>
        <v>0</v>
      </c>
      <c r="AG110" s="1312">
        <f t="shared" si="431"/>
        <v>0</v>
      </c>
      <c r="AH110" s="1685"/>
      <c r="AI110" s="1334">
        <f t="shared" si="462"/>
        <v>0</v>
      </c>
      <c r="AJ110" s="1312">
        <f t="shared" si="432"/>
        <v>0</v>
      </c>
      <c r="AK110" s="1685"/>
      <c r="AL110" s="1334">
        <f t="shared" si="463"/>
        <v>0</v>
      </c>
      <c r="AM110" s="1312">
        <f t="shared" si="433"/>
        <v>0</v>
      </c>
      <c r="AN110" s="1685"/>
      <c r="AO110" s="1334">
        <f t="shared" si="464"/>
        <v>0</v>
      </c>
      <c r="AP110" s="1312">
        <f t="shared" si="434"/>
        <v>0</v>
      </c>
      <c r="AQ110" s="1685"/>
      <c r="AR110" s="1334">
        <f t="shared" si="435"/>
        <v>112</v>
      </c>
      <c r="AS110" s="1312">
        <f t="shared" si="436"/>
        <v>42134</v>
      </c>
      <c r="AT110" s="1687"/>
      <c r="AU110" s="411"/>
      <c r="AV110" s="1757">
        <f t="shared" si="328"/>
        <v>42134</v>
      </c>
      <c r="AW110" s="411"/>
      <c r="AX110" s="493"/>
      <c r="AY110" s="1566" t="s">
        <v>348</v>
      </c>
      <c r="AZ110" s="1567" t="s">
        <v>301</v>
      </c>
      <c r="BA110" s="470">
        <v>0</v>
      </c>
      <c r="BB110" s="1579"/>
      <c r="BC110" s="1599">
        <v>0</v>
      </c>
      <c r="BD110" s="1600"/>
      <c r="BE110" s="1579"/>
      <c r="BF110" s="1469">
        <f>+Escalation!O347</f>
        <v>0</v>
      </c>
      <c r="BG110" s="1229">
        <f>ROUND(+Escalation!AB322,0)</f>
        <v>0</v>
      </c>
      <c r="BH110" s="1661"/>
      <c r="BI110" s="1469">
        <f>+Escalation!P347</f>
        <v>0</v>
      </c>
      <c r="BJ110" s="1229">
        <f>ROUND(+Escalation!AC322,0)</f>
        <v>0</v>
      </c>
      <c r="BK110" s="1670"/>
      <c r="BL110" s="1469">
        <f>+Escalation!Q347</f>
        <v>56</v>
      </c>
      <c r="BM110" s="1229">
        <f>ROUND(+Escalation!AD322,0)</f>
        <v>9363</v>
      </c>
      <c r="BN110" s="1661"/>
      <c r="BO110" s="1469">
        <v>0</v>
      </c>
      <c r="BP110" s="1229">
        <f>ROUND(+Escalation!AE322,0)</f>
        <v>18727</v>
      </c>
      <c r="BQ110" s="1661"/>
      <c r="BR110" s="1469">
        <f>+Escalation!S347</f>
        <v>56</v>
      </c>
      <c r="BS110" s="1229">
        <f>ROUND(+Escalation!AF322,0)</f>
        <v>9363</v>
      </c>
      <c r="BT110" s="1661"/>
      <c r="BU110" s="1469">
        <f>+Escalation!T347</f>
        <v>0</v>
      </c>
      <c r="BV110" s="1229">
        <f>ROUND(+Escalation!AG322,0)</f>
        <v>0</v>
      </c>
      <c r="BW110" s="1661"/>
      <c r="BX110" s="1469">
        <f>+Escalation!U347</f>
        <v>0</v>
      </c>
      <c r="BY110" s="1229">
        <f>ROUND(+Escalation!AH322,0)</f>
        <v>0</v>
      </c>
      <c r="BZ110" s="1661"/>
      <c r="CA110" s="1469">
        <f>+Escalation!V347</f>
        <v>0</v>
      </c>
      <c r="CB110" s="1229">
        <f>ROUND(+Escalation!AI322,0)</f>
        <v>0</v>
      </c>
      <c r="CC110" s="1661"/>
      <c r="CD110" s="1469">
        <f>+Escalation!W347</f>
        <v>0</v>
      </c>
      <c r="CE110" s="1229">
        <f>ROUND(+Escalation!AJ322,0)</f>
        <v>0</v>
      </c>
      <c r="CF110" s="1661"/>
      <c r="CG110" s="1469">
        <f>+Escalation!X347</f>
        <v>0</v>
      </c>
      <c r="CH110" s="1229">
        <f>ROUND(+Escalation!AK322,0)</f>
        <v>0</v>
      </c>
      <c r="CI110" s="1579"/>
      <c r="CJ110" s="1257">
        <f t="shared" si="437"/>
        <v>112</v>
      </c>
      <c r="CK110" s="1395">
        <f t="shared" si="438"/>
        <v>37453</v>
      </c>
      <c r="CL110" s="427"/>
      <c r="CM110" s="170"/>
      <c r="CN110" s="493"/>
      <c r="CO110" s="428" t="str">
        <f t="shared" si="439"/>
        <v>Project Support Vendor - Enviromental</v>
      </c>
      <c r="CP110" s="429" t="s">
        <v>301</v>
      </c>
      <c r="CQ110" s="429"/>
      <c r="CR110" s="443"/>
      <c r="CS110" s="432"/>
      <c r="CT110" s="431">
        <f t="shared" si="440"/>
        <v>0</v>
      </c>
      <c r="CU110" s="443"/>
      <c r="CV110" s="432"/>
      <c r="CW110" s="434">
        <f t="shared" si="441"/>
        <v>0</v>
      </c>
      <c r="CX110" s="443"/>
      <c r="CY110" s="432">
        <v>0</v>
      </c>
      <c r="CZ110" s="434">
        <f t="shared" si="442"/>
        <v>0</v>
      </c>
      <c r="DA110" s="443"/>
      <c r="DB110" s="432">
        <v>0</v>
      </c>
      <c r="DC110" s="434">
        <f t="shared" si="443"/>
        <v>861</v>
      </c>
      <c r="DD110" s="443"/>
      <c r="DE110" s="432">
        <v>0</v>
      </c>
      <c r="DF110" s="434">
        <f t="shared" si="444"/>
        <v>2336</v>
      </c>
      <c r="DG110" s="443"/>
      <c r="DH110" s="432">
        <v>0</v>
      </c>
      <c r="DI110" s="434">
        <f t="shared" si="445"/>
        <v>1484</v>
      </c>
      <c r="DJ110" s="443"/>
      <c r="DK110" s="432">
        <v>0</v>
      </c>
      <c r="DL110" s="434">
        <f t="shared" si="446"/>
        <v>0</v>
      </c>
      <c r="DM110" s="443"/>
      <c r="DN110" s="432">
        <v>0</v>
      </c>
      <c r="DO110" s="434">
        <f t="shared" si="447"/>
        <v>0</v>
      </c>
      <c r="DP110" s="443"/>
      <c r="DQ110" s="432">
        <v>0</v>
      </c>
      <c r="DR110" s="434">
        <f t="shared" si="448"/>
        <v>0</v>
      </c>
      <c r="DS110" s="443"/>
      <c r="DT110" s="432">
        <v>0</v>
      </c>
      <c r="DU110" s="434">
        <f t="shared" si="449"/>
        <v>0</v>
      </c>
      <c r="DV110" s="443"/>
      <c r="DW110" s="432">
        <v>0</v>
      </c>
      <c r="DX110" s="434">
        <f t="shared" si="450"/>
        <v>0</v>
      </c>
      <c r="DY110" s="443"/>
      <c r="DZ110" s="432">
        <f t="shared" si="451"/>
        <v>0</v>
      </c>
      <c r="EA110" s="444">
        <f t="shared" si="452"/>
        <v>4681</v>
      </c>
      <c r="EB110" s="433"/>
      <c r="EC110" s="170"/>
      <c r="ED110" s="170"/>
      <c r="EE110" s="170"/>
      <c r="EF110" s="170"/>
      <c r="EG110" s="170"/>
      <c r="EH110" s="170"/>
      <c r="EI110" s="170"/>
      <c r="EJ110" s="170"/>
      <c r="EK110" s="170"/>
    </row>
    <row r="111" spans="1:141" ht="15" x14ac:dyDescent="0.25">
      <c r="A111" s="168"/>
      <c r="B111" s="424">
        <v>3</v>
      </c>
      <c r="C111" s="424">
        <v>5</v>
      </c>
      <c r="D111" s="424">
        <v>3</v>
      </c>
      <c r="E111" s="425">
        <v>3</v>
      </c>
      <c r="F111" s="493" t="s">
        <v>605</v>
      </c>
      <c r="G111" s="1308" t="str">
        <f t="shared" si="453"/>
        <v>Project Support Vendor - SCS - Campaign</v>
      </c>
      <c r="H111" s="1308" t="str">
        <f t="shared" si="454"/>
        <v>AQ</v>
      </c>
      <c r="I111" s="1310">
        <f t="shared" si="91"/>
        <v>0</v>
      </c>
      <c r="J111" s="1685"/>
      <c r="K111" s="1311">
        <f t="shared" si="424"/>
        <v>0</v>
      </c>
      <c r="L111" s="1312">
        <f t="shared" si="424"/>
        <v>2632.5</v>
      </c>
      <c r="M111" s="1685"/>
      <c r="N111" s="1334">
        <f t="shared" si="455"/>
        <v>0</v>
      </c>
      <c r="O111" s="1312">
        <f t="shared" ca="1" si="425"/>
        <v>0</v>
      </c>
      <c r="P111" s="1685"/>
      <c r="Q111" s="1334">
        <f t="shared" si="456"/>
        <v>0</v>
      </c>
      <c r="R111" s="1312">
        <f t="shared" si="426"/>
        <v>0</v>
      </c>
      <c r="S111" s="1685"/>
      <c r="T111" s="1334">
        <f t="shared" si="457"/>
        <v>0</v>
      </c>
      <c r="U111" s="1312">
        <f t="shared" ca="1" si="427"/>
        <v>99033</v>
      </c>
      <c r="V111" s="1685"/>
      <c r="W111" s="1334">
        <f t="shared" si="458"/>
        <v>0</v>
      </c>
      <c r="X111" s="1312">
        <f t="shared" ca="1" si="428"/>
        <v>131383</v>
      </c>
      <c r="Y111" s="1685"/>
      <c r="Z111" s="1334">
        <f t="shared" si="459"/>
        <v>0</v>
      </c>
      <c r="AA111" s="1312">
        <f t="shared" ca="1" si="429"/>
        <v>24757</v>
      </c>
      <c r="AB111" s="1685"/>
      <c r="AC111" s="1334">
        <f t="shared" si="460"/>
        <v>0</v>
      </c>
      <c r="AD111" s="1312">
        <f t="shared" ca="1" si="430"/>
        <v>0</v>
      </c>
      <c r="AE111" s="1685"/>
      <c r="AF111" s="1334">
        <f t="shared" si="461"/>
        <v>0</v>
      </c>
      <c r="AG111" s="1312">
        <f t="shared" ca="1" si="431"/>
        <v>0</v>
      </c>
      <c r="AH111" s="1685"/>
      <c r="AI111" s="1334">
        <f t="shared" si="462"/>
        <v>0</v>
      </c>
      <c r="AJ111" s="1312">
        <f t="shared" ca="1" si="432"/>
        <v>0</v>
      </c>
      <c r="AK111" s="1685"/>
      <c r="AL111" s="1334">
        <f t="shared" si="463"/>
        <v>0</v>
      </c>
      <c r="AM111" s="1312">
        <f t="shared" ca="1" si="433"/>
        <v>0</v>
      </c>
      <c r="AN111" s="1685"/>
      <c r="AO111" s="1334">
        <f t="shared" si="464"/>
        <v>0</v>
      </c>
      <c r="AP111" s="1312">
        <f t="shared" ca="1" si="434"/>
        <v>0</v>
      </c>
      <c r="AQ111" s="1685"/>
      <c r="AR111" s="1334">
        <f t="shared" si="435"/>
        <v>0</v>
      </c>
      <c r="AS111" s="1312">
        <f t="shared" ca="1" si="436"/>
        <v>257805.5</v>
      </c>
      <c r="AT111" s="1687"/>
      <c r="AU111" s="411"/>
      <c r="AV111" s="1757">
        <f t="shared" ref="AV111:AV142" ca="1" si="466">+CK111+EA111</f>
        <v>257805.5</v>
      </c>
      <c r="AW111" s="411"/>
      <c r="AX111" s="493"/>
      <c r="AY111" s="1566" t="str">
        <f>"Project Support Vendor - " &amp; AY95</f>
        <v>Project Support Vendor - SCS - Campaign</v>
      </c>
      <c r="AZ111" s="1567" t="s">
        <v>301</v>
      </c>
      <c r="BA111" s="470">
        <v>0</v>
      </c>
      <c r="BB111" s="1579"/>
      <c r="BC111" s="1599">
        <v>0</v>
      </c>
      <c r="BD111" s="1600">
        <v>2632.5</v>
      </c>
      <c r="BE111" s="1579"/>
      <c r="BF111" s="1603">
        <v>0</v>
      </c>
      <c r="BG111" s="1229">
        <f ca="1">ROUND(SUMIF('SCS &amp; Siting Info'!$C$8:$C$11,$AY$95,'SCS &amp; Siting Info'!$D$8:$D$11)*SUMIF('SCS &amp; Siting Info'!$C$8:$C$11,$AY$95,'SCS &amp; Siting Info'!$F$8:$F$11)*SUM(BG$88,BG$76,BG$34,BG$65,BG$142,BG$155),-1)</f>
        <v>0</v>
      </c>
      <c r="BH111" s="1661" t="s">
        <v>1421</v>
      </c>
      <c r="BI111" s="1603">
        <v>0</v>
      </c>
      <c r="BJ111" s="1229"/>
      <c r="BK111" s="1670"/>
      <c r="BL111" s="1603">
        <v>0</v>
      </c>
      <c r="BM111" s="1229">
        <f ca="1">ROUND(SUMIF('SCS &amp; Siting Info'!$C$8:$C$11,$AY$95,'SCS &amp; Siting Info'!$D$8:$D$11)*SUMIF('SCS &amp; Siting Info'!$C$8:$C$11,$AY$95,'SCS &amp; Siting Info'!$F$8:$F$11)*SUM(BM$88,BM$76,BM$34,BM$65,BM$142,BM$155),-1)</f>
        <v>90690</v>
      </c>
      <c r="BN111" s="1661"/>
      <c r="BO111" s="1603">
        <v>0</v>
      </c>
      <c r="BP111" s="1229">
        <f ca="1">ROUND(SUMIF('SCS &amp; Siting Info'!$C$8:$C$11,$AY$95,'SCS &amp; Siting Info'!$D$8:$D$11)*SUMIF('SCS &amp; Siting Info'!$C$8:$C$11,$AY$95,'SCS &amp; Siting Info'!$F$8:$F$11)*SUM(BP$88,BP$76,BP$34,BP$65,BP$142,BP$155),-1)</f>
        <v>116810</v>
      </c>
      <c r="BQ111" s="1661"/>
      <c r="BR111" s="1603">
        <v>0</v>
      </c>
      <c r="BS111" s="1229">
        <f ca="1">ROUND(SUMIF('SCS &amp; Siting Info'!$C$8:$C$11,$AY$95,'SCS &amp; Siting Info'!$D$8:$D$11)*SUMIF('SCS &amp; Siting Info'!$C$8:$C$11,$AY$95,'SCS &amp; Siting Info'!$F$8:$F$11)*SUM(BS$88,BS$76,BS$34,BS$65,BS$142,BS$155),-1)</f>
        <v>21370</v>
      </c>
      <c r="BT111" s="1661"/>
      <c r="BU111" s="1603">
        <v>0</v>
      </c>
      <c r="BV111" s="1229">
        <f ca="1">ROUND(SUMIF('SCS &amp; Siting Info'!$C$8:$C$11,$AY$95,'SCS &amp; Siting Info'!$D$8:$D$11)*SUMIF('SCS &amp; Siting Info'!$C$8:$C$11,$AY$95,'SCS &amp; Siting Info'!$F$8:$F$11)*SUM(BV$88,BV$76,BV$34,BV$65,BV$142,BV$155),-1)</f>
        <v>0</v>
      </c>
      <c r="BW111" s="1661"/>
      <c r="BX111" s="1603">
        <v>0</v>
      </c>
      <c r="BY111" s="1229">
        <f ca="1">ROUND(SUMIF('SCS &amp; Siting Info'!$C$8:$C$11,$AY$95,'SCS &amp; Siting Info'!$D$8:$D$11)*SUMIF('SCS &amp; Siting Info'!$C$8:$C$11,$AY$95,'SCS &amp; Siting Info'!$F$8:$F$11)*SUM(BY$88,BY$76,BY$34,BY$65,BY$142,BY$155),-1)</f>
        <v>0</v>
      </c>
      <c r="BZ111" s="1661"/>
      <c r="CA111" s="1603">
        <v>0</v>
      </c>
      <c r="CB111" s="1229">
        <f ca="1">ROUND(SUMIF('SCS &amp; Siting Info'!$C$8:$C$11,$AY$95,'SCS &amp; Siting Info'!$D$8:$D$11)*SUMIF('SCS &amp; Siting Info'!$C$8:$C$11,$AY$95,'SCS &amp; Siting Info'!$F$8:$F$11)*SUM(CB$88,CB$76,CB$34,CB$65,CB$142,CB$155),-1)</f>
        <v>0</v>
      </c>
      <c r="CC111" s="1661"/>
      <c r="CD111" s="1603">
        <v>0</v>
      </c>
      <c r="CE111" s="1229">
        <f ca="1">ROUND(SUMIF('SCS &amp; Siting Info'!$C$8:$C$11,$AY$95,'SCS &amp; Siting Info'!$D$8:$D$11)*SUMIF('SCS &amp; Siting Info'!$C$8:$C$11,$AY$95,'SCS &amp; Siting Info'!$F$8:$F$11)*SUM(CE$88,CE$76,CE$34,CE$65,CE$142,CE$155),-1)</f>
        <v>0</v>
      </c>
      <c r="CF111" s="1661"/>
      <c r="CG111" s="1603">
        <v>0</v>
      </c>
      <c r="CH111" s="1229">
        <f ca="1">ROUND(SUMIF('SCS &amp; Siting Info'!$C$8:$C$11,$AY$95,'SCS &amp; Siting Info'!$D$8:$D$11)*SUMIF('SCS &amp; Siting Info'!$C$8:$C$11,$AY$95,'SCS &amp; Siting Info'!$F$8:$F$11)*SUM(CH$88,CH$76,CH$34,CH$65,CH$142,CH$155),-1)</f>
        <v>0</v>
      </c>
      <c r="CI111" s="1579"/>
      <c r="CJ111" s="1257">
        <f t="shared" si="437"/>
        <v>0</v>
      </c>
      <c r="CK111" s="1395">
        <f ca="1">+BS111+BP111+BM111+BJ111+BG111+BD111+BV111+BY111+CB111+CE111+CH111</f>
        <v>231502.5</v>
      </c>
      <c r="CL111" s="427"/>
      <c r="CM111" s="170"/>
      <c r="CN111" s="493"/>
      <c r="CO111" s="428" t="str">
        <f t="shared" si="439"/>
        <v>Project Support Vendor - SCS - Campaign</v>
      </c>
      <c r="CP111" s="429" t="s">
        <v>301</v>
      </c>
      <c r="CQ111" s="429"/>
      <c r="CR111" s="443"/>
      <c r="CS111" s="432"/>
      <c r="CT111" s="431">
        <f t="shared" si="440"/>
        <v>0</v>
      </c>
      <c r="CU111" s="443"/>
      <c r="CV111" s="432"/>
      <c r="CW111" s="434">
        <f t="shared" ca="1" si="441"/>
        <v>0</v>
      </c>
      <c r="CX111" s="443"/>
      <c r="CY111" s="432">
        <v>0</v>
      </c>
      <c r="CZ111" s="434">
        <f t="shared" si="442"/>
        <v>0</v>
      </c>
      <c r="DA111" s="443"/>
      <c r="DB111" s="432">
        <v>0</v>
      </c>
      <c r="DC111" s="434">
        <f t="shared" ca="1" si="443"/>
        <v>8343</v>
      </c>
      <c r="DD111" s="443"/>
      <c r="DE111" s="432">
        <v>0</v>
      </c>
      <c r="DF111" s="434">
        <f t="shared" ca="1" si="444"/>
        <v>14573</v>
      </c>
      <c r="DG111" s="443"/>
      <c r="DH111" s="432">
        <v>0</v>
      </c>
      <c r="DI111" s="434">
        <f t="shared" ca="1" si="445"/>
        <v>3387</v>
      </c>
      <c r="DJ111" s="443"/>
      <c r="DK111" s="432">
        <v>0</v>
      </c>
      <c r="DL111" s="434">
        <f t="shared" ca="1" si="446"/>
        <v>0</v>
      </c>
      <c r="DM111" s="443"/>
      <c r="DN111" s="432">
        <v>0</v>
      </c>
      <c r="DO111" s="434">
        <f t="shared" ca="1" si="447"/>
        <v>0</v>
      </c>
      <c r="DP111" s="443"/>
      <c r="DQ111" s="432">
        <v>0</v>
      </c>
      <c r="DR111" s="434">
        <f t="shared" ca="1" si="448"/>
        <v>0</v>
      </c>
      <c r="DS111" s="443"/>
      <c r="DT111" s="432">
        <v>0</v>
      </c>
      <c r="DU111" s="434">
        <f t="shared" ca="1" si="449"/>
        <v>0</v>
      </c>
      <c r="DV111" s="443"/>
      <c r="DW111" s="432">
        <v>0</v>
      </c>
      <c r="DX111" s="434">
        <f t="shared" ca="1" si="450"/>
        <v>0</v>
      </c>
      <c r="DY111" s="443"/>
      <c r="DZ111" s="432">
        <f t="shared" si="451"/>
        <v>0</v>
      </c>
      <c r="EA111" s="444">
        <f t="shared" ca="1" si="452"/>
        <v>26303</v>
      </c>
      <c r="EB111" s="433"/>
      <c r="EC111" s="170"/>
      <c r="ED111" s="170"/>
      <c r="EE111" s="170"/>
      <c r="EF111" s="170"/>
      <c r="EG111" s="170"/>
      <c r="EH111" s="170"/>
      <c r="EI111" s="170"/>
      <c r="EJ111" s="170"/>
      <c r="EK111" s="170"/>
    </row>
    <row r="112" spans="1:141" ht="15" x14ac:dyDescent="0.25">
      <c r="A112" s="168"/>
      <c r="B112" s="424">
        <v>3</v>
      </c>
      <c r="C112" s="424">
        <v>5</v>
      </c>
      <c r="D112" s="424">
        <v>3</v>
      </c>
      <c r="E112" s="425">
        <v>9</v>
      </c>
      <c r="F112" s="493" t="s">
        <v>605</v>
      </c>
      <c r="G112" s="1308" t="str">
        <f t="shared" si="453"/>
        <v>Project Support Vendor - Legal</v>
      </c>
      <c r="H112" s="1308" t="str">
        <f t="shared" si="454"/>
        <v>AQ</v>
      </c>
      <c r="I112" s="1310">
        <f t="shared" si="91"/>
        <v>160</v>
      </c>
      <c r="J112" s="1685"/>
      <c r="K112" s="1311">
        <f t="shared" si="424"/>
        <v>0</v>
      </c>
      <c r="L112" s="1312">
        <f t="shared" si="424"/>
        <v>0</v>
      </c>
      <c r="M112" s="1685"/>
      <c r="N112" s="1334">
        <f t="shared" si="455"/>
        <v>0</v>
      </c>
      <c r="O112" s="1312">
        <f t="shared" si="425"/>
        <v>0</v>
      </c>
      <c r="P112" s="1685"/>
      <c r="Q112" s="1334">
        <f t="shared" si="456"/>
        <v>0</v>
      </c>
      <c r="R112" s="1312">
        <f t="shared" si="426"/>
        <v>0</v>
      </c>
      <c r="S112" s="1685"/>
      <c r="T112" s="1334">
        <f t="shared" si="457"/>
        <v>0</v>
      </c>
      <c r="U112" s="1312">
        <f t="shared" si="427"/>
        <v>0</v>
      </c>
      <c r="V112" s="1685"/>
      <c r="W112" s="1334">
        <f t="shared" si="458"/>
        <v>0</v>
      </c>
      <c r="X112" s="1312">
        <f t="shared" si="428"/>
        <v>0</v>
      </c>
      <c r="Y112" s="1685"/>
      <c r="Z112" s="1334">
        <f t="shared" si="459"/>
        <v>0</v>
      </c>
      <c r="AA112" s="1312">
        <f t="shared" si="429"/>
        <v>0</v>
      </c>
      <c r="AB112" s="1685"/>
      <c r="AC112" s="1334">
        <f t="shared" si="460"/>
        <v>0</v>
      </c>
      <c r="AD112" s="1312">
        <f t="shared" si="430"/>
        <v>0</v>
      </c>
      <c r="AE112" s="1685"/>
      <c r="AF112" s="1334">
        <f t="shared" si="461"/>
        <v>0</v>
      </c>
      <c r="AG112" s="1312">
        <f t="shared" si="431"/>
        <v>0</v>
      </c>
      <c r="AH112" s="1685"/>
      <c r="AI112" s="1334">
        <f t="shared" si="462"/>
        <v>0</v>
      </c>
      <c r="AJ112" s="1312">
        <f t="shared" si="432"/>
        <v>0</v>
      </c>
      <c r="AK112" s="1685"/>
      <c r="AL112" s="1334">
        <f t="shared" si="463"/>
        <v>0</v>
      </c>
      <c r="AM112" s="1312">
        <f t="shared" si="433"/>
        <v>0</v>
      </c>
      <c r="AN112" s="1685"/>
      <c r="AO112" s="1334">
        <f t="shared" si="464"/>
        <v>0</v>
      </c>
      <c r="AP112" s="1312">
        <f t="shared" si="434"/>
        <v>0</v>
      </c>
      <c r="AQ112" s="1685"/>
      <c r="AR112" s="1334">
        <f t="shared" si="435"/>
        <v>0</v>
      </c>
      <c r="AS112" s="1312">
        <f t="shared" si="436"/>
        <v>0</v>
      </c>
      <c r="AT112" s="1687"/>
      <c r="AU112" s="411"/>
      <c r="AV112" s="1757">
        <f t="shared" si="466"/>
        <v>0</v>
      </c>
      <c r="AW112" s="411"/>
      <c r="AX112" s="493"/>
      <c r="AY112" s="1566" t="s">
        <v>349</v>
      </c>
      <c r="AZ112" s="1567" t="s">
        <v>301</v>
      </c>
      <c r="BA112" s="2445">
        <f>+'Data Input sheet'!$D$176</f>
        <v>160</v>
      </c>
      <c r="BB112" s="1579"/>
      <c r="BC112" s="1599">
        <v>0</v>
      </c>
      <c r="BD112" s="1600"/>
      <c r="BE112" s="1579"/>
      <c r="BF112" s="1605">
        <v>0</v>
      </c>
      <c r="BG112" s="426">
        <f>ROUND(+BF112*$BA$112,0)</f>
        <v>0</v>
      </c>
      <c r="BH112" s="1579"/>
      <c r="BI112" s="1605">
        <v>0</v>
      </c>
      <c r="BJ112" s="426">
        <f>ROUND(+BI112*$BA$112,0)</f>
        <v>0</v>
      </c>
      <c r="BK112" s="1666"/>
      <c r="BL112" s="1605"/>
      <c r="BM112" s="426">
        <f>ROUND(+BL112*$BA$112,0)</f>
        <v>0</v>
      </c>
      <c r="BN112" s="1579"/>
      <c r="BO112" s="1605">
        <v>0</v>
      </c>
      <c r="BP112" s="426">
        <f>ROUND(+BO112*$BA$112,0)</f>
        <v>0</v>
      </c>
      <c r="BQ112" s="1579"/>
      <c r="BR112" s="1605">
        <v>0</v>
      </c>
      <c r="BS112" s="426">
        <f>ROUND(+BR112*$BA$112,0)</f>
        <v>0</v>
      </c>
      <c r="BT112" s="1579"/>
      <c r="BU112" s="1605">
        <v>0</v>
      </c>
      <c r="BV112" s="426">
        <f>ROUND(+BU112*$BA$112,0)</f>
        <v>0</v>
      </c>
      <c r="BW112" s="1579"/>
      <c r="BX112" s="1605">
        <v>0</v>
      </c>
      <c r="BY112" s="426">
        <f>ROUND(+BX112*$BA$112,0)</f>
        <v>0</v>
      </c>
      <c r="BZ112" s="1579"/>
      <c r="CA112" s="1605">
        <v>0</v>
      </c>
      <c r="CB112" s="426">
        <f>ROUND(+CA112*$BA$112,0)</f>
        <v>0</v>
      </c>
      <c r="CC112" s="1579"/>
      <c r="CD112" s="1605">
        <v>0</v>
      </c>
      <c r="CE112" s="426">
        <f>ROUND(+CD112*$BA$112,0)</f>
        <v>0</v>
      </c>
      <c r="CF112" s="1579"/>
      <c r="CG112" s="1605">
        <v>0</v>
      </c>
      <c r="CH112" s="426">
        <f>ROUND(+CG112*$BA$112,0)</f>
        <v>0</v>
      </c>
      <c r="CI112" s="1579"/>
      <c r="CJ112" s="1257">
        <f t="shared" si="437"/>
        <v>0</v>
      </c>
      <c r="CK112" s="1395">
        <f t="shared" si="438"/>
        <v>0</v>
      </c>
      <c r="CL112" s="427"/>
      <c r="CM112" s="170"/>
      <c r="CN112" s="493"/>
      <c r="CO112" s="428" t="str">
        <f t="shared" si="439"/>
        <v>Project Support Vendor - Legal</v>
      </c>
      <c r="CP112" s="429" t="s">
        <v>301</v>
      </c>
      <c r="CQ112" s="429"/>
      <c r="CR112" s="443"/>
      <c r="CS112" s="432"/>
      <c r="CT112" s="431">
        <f t="shared" si="440"/>
        <v>0</v>
      </c>
      <c r="CU112" s="443"/>
      <c r="CV112" s="432"/>
      <c r="CW112" s="434">
        <f t="shared" si="441"/>
        <v>0</v>
      </c>
      <c r="CX112" s="443"/>
      <c r="CY112" s="432">
        <v>0</v>
      </c>
      <c r="CZ112" s="434">
        <f t="shared" si="442"/>
        <v>0</v>
      </c>
      <c r="DA112" s="443"/>
      <c r="DB112" s="432">
        <v>0</v>
      </c>
      <c r="DC112" s="434">
        <f t="shared" si="443"/>
        <v>0</v>
      </c>
      <c r="DD112" s="443"/>
      <c r="DE112" s="432">
        <v>0</v>
      </c>
      <c r="DF112" s="434">
        <f t="shared" si="444"/>
        <v>0</v>
      </c>
      <c r="DG112" s="443"/>
      <c r="DH112" s="432">
        <v>0</v>
      </c>
      <c r="DI112" s="434">
        <f t="shared" si="445"/>
        <v>0</v>
      </c>
      <c r="DJ112" s="443"/>
      <c r="DK112" s="432">
        <v>0</v>
      </c>
      <c r="DL112" s="434">
        <f t="shared" si="446"/>
        <v>0</v>
      </c>
      <c r="DM112" s="443"/>
      <c r="DN112" s="432">
        <v>0</v>
      </c>
      <c r="DO112" s="434">
        <f t="shared" si="447"/>
        <v>0</v>
      </c>
      <c r="DP112" s="443"/>
      <c r="DQ112" s="432">
        <v>0</v>
      </c>
      <c r="DR112" s="434">
        <f t="shared" si="448"/>
        <v>0</v>
      </c>
      <c r="DS112" s="443"/>
      <c r="DT112" s="432">
        <v>0</v>
      </c>
      <c r="DU112" s="434">
        <f t="shared" si="449"/>
        <v>0</v>
      </c>
      <c r="DV112" s="443"/>
      <c r="DW112" s="432">
        <v>0</v>
      </c>
      <c r="DX112" s="434">
        <f t="shared" si="450"/>
        <v>0</v>
      </c>
      <c r="DY112" s="443"/>
      <c r="DZ112" s="432">
        <f t="shared" si="451"/>
        <v>0</v>
      </c>
      <c r="EA112" s="444">
        <f t="shared" si="452"/>
        <v>0</v>
      </c>
      <c r="EB112" s="433"/>
      <c r="EC112" s="170"/>
      <c r="ED112" s="170"/>
      <c r="EE112" s="170"/>
      <c r="EF112" s="170"/>
      <c r="EG112" s="170"/>
      <c r="EH112" s="170"/>
      <c r="EI112" s="170"/>
      <c r="EJ112" s="170"/>
      <c r="EK112" s="170"/>
    </row>
    <row r="113" spans="1:141" ht="15" x14ac:dyDescent="0.25">
      <c r="A113" s="168"/>
      <c r="B113" s="424">
        <v>3</v>
      </c>
      <c r="C113" s="424">
        <v>5</v>
      </c>
      <c r="D113" s="424">
        <v>3</v>
      </c>
      <c r="E113" s="425">
        <v>9</v>
      </c>
      <c r="F113" s="493" t="s">
        <v>605</v>
      </c>
      <c r="G113" s="1308" t="str">
        <f t="shared" si="453"/>
        <v>Project Support Vendor - Estimating</v>
      </c>
      <c r="H113" s="1308" t="str">
        <f t="shared" si="454"/>
        <v>AQ</v>
      </c>
      <c r="I113" s="1310">
        <f t="shared" si="91"/>
        <v>160</v>
      </c>
      <c r="J113" s="1685"/>
      <c r="K113" s="1311">
        <f t="shared" si="424"/>
        <v>0</v>
      </c>
      <c r="L113" s="1312">
        <f t="shared" si="424"/>
        <v>0</v>
      </c>
      <c r="M113" s="1685"/>
      <c r="N113" s="1334">
        <f t="shared" si="455"/>
        <v>0</v>
      </c>
      <c r="O113" s="1312">
        <f t="shared" si="425"/>
        <v>0</v>
      </c>
      <c r="P113" s="1685"/>
      <c r="Q113" s="1334">
        <f t="shared" si="456"/>
        <v>0</v>
      </c>
      <c r="R113" s="1312">
        <f t="shared" si="426"/>
        <v>0</v>
      </c>
      <c r="S113" s="1685"/>
      <c r="T113" s="1334">
        <f t="shared" si="457"/>
        <v>0</v>
      </c>
      <c r="U113" s="1312">
        <f t="shared" si="427"/>
        <v>0</v>
      </c>
      <c r="V113" s="1685"/>
      <c r="W113" s="1334">
        <f t="shared" si="458"/>
        <v>0</v>
      </c>
      <c r="X113" s="1312">
        <f t="shared" si="428"/>
        <v>0</v>
      </c>
      <c r="Y113" s="1685"/>
      <c r="Z113" s="1334">
        <f t="shared" si="459"/>
        <v>0</v>
      </c>
      <c r="AA113" s="1312">
        <f t="shared" si="429"/>
        <v>0</v>
      </c>
      <c r="AB113" s="1685"/>
      <c r="AC113" s="1334">
        <f t="shared" si="460"/>
        <v>0</v>
      </c>
      <c r="AD113" s="1312">
        <f t="shared" si="430"/>
        <v>0</v>
      </c>
      <c r="AE113" s="1685"/>
      <c r="AF113" s="1334">
        <f t="shared" si="461"/>
        <v>0</v>
      </c>
      <c r="AG113" s="1312">
        <f t="shared" si="431"/>
        <v>0</v>
      </c>
      <c r="AH113" s="1685"/>
      <c r="AI113" s="1334">
        <f t="shared" si="462"/>
        <v>0</v>
      </c>
      <c r="AJ113" s="1312">
        <f t="shared" si="432"/>
        <v>0</v>
      </c>
      <c r="AK113" s="1685"/>
      <c r="AL113" s="1334">
        <f t="shared" si="463"/>
        <v>0</v>
      </c>
      <c r="AM113" s="1312">
        <f t="shared" si="433"/>
        <v>0</v>
      </c>
      <c r="AN113" s="1685"/>
      <c r="AO113" s="1334">
        <f t="shared" si="464"/>
        <v>0</v>
      </c>
      <c r="AP113" s="1312">
        <f t="shared" si="434"/>
        <v>0</v>
      </c>
      <c r="AQ113" s="1685"/>
      <c r="AR113" s="1334">
        <f t="shared" si="435"/>
        <v>0</v>
      </c>
      <c r="AS113" s="1312">
        <f t="shared" si="436"/>
        <v>0</v>
      </c>
      <c r="AT113" s="1687"/>
      <c r="AU113" s="411"/>
      <c r="AV113" s="1757">
        <f t="shared" si="466"/>
        <v>0</v>
      </c>
      <c r="AW113" s="411"/>
      <c r="AX113" s="493"/>
      <c r="AY113" s="1566" t="s">
        <v>350</v>
      </c>
      <c r="AZ113" s="1567" t="s">
        <v>301</v>
      </c>
      <c r="BA113" s="2445">
        <f>+'Data Input sheet'!$D$176</f>
        <v>160</v>
      </c>
      <c r="BB113" s="1579"/>
      <c r="BC113" s="1599">
        <v>0</v>
      </c>
      <c r="BD113" s="1600"/>
      <c r="BE113" s="1579"/>
      <c r="BF113" s="1605">
        <v>0</v>
      </c>
      <c r="BG113" s="426">
        <f>ROUND(+BF113*$BA$113,0)</f>
        <v>0</v>
      </c>
      <c r="BH113" s="1579"/>
      <c r="BI113" s="1605">
        <v>0</v>
      </c>
      <c r="BJ113" s="426">
        <f>ROUND(+BI113*$BA$113,0)</f>
        <v>0</v>
      </c>
      <c r="BK113" s="1666"/>
      <c r="BL113" s="1605"/>
      <c r="BM113" s="426">
        <f>ROUND(+BL113*$BA$113,0)</f>
        <v>0</v>
      </c>
      <c r="BN113" s="1579"/>
      <c r="BO113" s="1605">
        <v>0</v>
      </c>
      <c r="BP113" s="426">
        <f>ROUND(+BO113*$BA$113,0)</f>
        <v>0</v>
      </c>
      <c r="BQ113" s="1579"/>
      <c r="BR113" s="1605">
        <v>0</v>
      </c>
      <c r="BS113" s="426">
        <f>ROUND(+BR113*$BA$113,0)</f>
        <v>0</v>
      </c>
      <c r="BT113" s="1579"/>
      <c r="BU113" s="1605">
        <v>0</v>
      </c>
      <c r="BV113" s="426">
        <f>ROUND(+BU113*$BA$113,0)</f>
        <v>0</v>
      </c>
      <c r="BW113" s="1579"/>
      <c r="BX113" s="1605">
        <v>0</v>
      </c>
      <c r="BY113" s="426">
        <f>ROUND(+BX113*$BA$113,0)</f>
        <v>0</v>
      </c>
      <c r="BZ113" s="1579"/>
      <c r="CA113" s="1605">
        <v>0</v>
      </c>
      <c r="CB113" s="426">
        <f>ROUND(+CA113*$BA$113,0)</f>
        <v>0</v>
      </c>
      <c r="CC113" s="1579"/>
      <c r="CD113" s="1605">
        <v>0</v>
      </c>
      <c r="CE113" s="426">
        <f>ROUND(+CD113*$BA$113,0)</f>
        <v>0</v>
      </c>
      <c r="CF113" s="1579"/>
      <c r="CG113" s="1605">
        <v>0</v>
      </c>
      <c r="CH113" s="426">
        <f>ROUND(+CG113*$BA$113,0)</f>
        <v>0</v>
      </c>
      <c r="CI113" s="1579"/>
      <c r="CJ113" s="1257">
        <f t="shared" si="437"/>
        <v>0</v>
      </c>
      <c r="CK113" s="1395">
        <f t="shared" si="438"/>
        <v>0</v>
      </c>
      <c r="CL113" s="427"/>
      <c r="CM113" s="170"/>
      <c r="CN113" s="493"/>
      <c r="CO113" s="428" t="str">
        <f t="shared" si="439"/>
        <v>Project Support Vendor - Estimating</v>
      </c>
      <c r="CP113" s="429" t="s">
        <v>301</v>
      </c>
      <c r="CQ113" s="429"/>
      <c r="CR113" s="443"/>
      <c r="CS113" s="432"/>
      <c r="CT113" s="431">
        <f t="shared" si="440"/>
        <v>0</v>
      </c>
      <c r="CU113" s="443"/>
      <c r="CV113" s="432"/>
      <c r="CW113" s="434">
        <f t="shared" si="441"/>
        <v>0</v>
      </c>
      <c r="CX113" s="443"/>
      <c r="CY113" s="432">
        <v>0</v>
      </c>
      <c r="CZ113" s="434">
        <f t="shared" si="442"/>
        <v>0</v>
      </c>
      <c r="DA113" s="443"/>
      <c r="DB113" s="432">
        <v>0</v>
      </c>
      <c r="DC113" s="434">
        <f t="shared" si="443"/>
        <v>0</v>
      </c>
      <c r="DD113" s="443"/>
      <c r="DE113" s="432">
        <v>0</v>
      </c>
      <c r="DF113" s="434">
        <f t="shared" si="444"/>
        <v>0</v>
      </c>
      <c r="DG113" s="443"/>
      <c r="DH113" s="432">
        <v>0</v>
      </c>
      <c r="DI113" s="434">
        <f t="shared" si="445"/>
        <v>0</v>
      </c>
      <c r="DJ113" s="443"/>
      <c r="DK113" s="432">
        <v>0</v>
      </c>
      <c r="DL113" s="434">
        <f t="shared" si="446"/>
        <v>0</v>
      </c>
      <c r="DM113" s="443"/>
      <c r="DN113" s="432">
        <v>0</v>
      </c>
      <c r="DO113" s="434">
        <f t="shared" si="447"/>
        <v>0</v>
      </c>
      <c r="DP113" s="443"/>
      <c r="DQ113" s="432">
        <v>0</v>
      </c>
      <c r="DR113" s="434">
        <f t="shared" si="448"/>
        <v>0</v>
      </c>
      <c r="DS113" s="443"/>
      <c r="DT113" s="432">
        <v>0</v>
      </c>
      <c r="DU113" s="434">
        <f t="shared" si="449"/>
        <v>0</v>
      </c>
      <c r="DV113" s="443"/>
      <c r="DW113" s="432">
        <v>0</v>
      </c>
      <c r="DX113" s="434">
        <f t="shared" si="450"/>
        <v>0</v>
      </c>
      <c r="DY113" s="443"/>
      <c r="DZ113" s="432">
        <f t="shared" si="451"/>
        <v>0</v>
      </c>
      <c r="EA113" s="444">
        <f t="shared" si="452"/>
        <v>0</v>
      </c>
      <c r="EB113" s="433"/>
      <c r="EC113" s="170"/>
      <c r="ED113" s="170"/>
      <c r="EE113" s="170"/>
      <c r="EF113" s="170"/>
      <c r="EG113" s="170"/>
      <c r="EH113" s="170"/>
      <c r="EI113" s="170"/>
      <c r="EJ113" s="170"/>
      <c r="EK113" s="170"/>
    </row>
    <row r="114" spans="1:141" ht="15" x14ac:dyDescent="0.25">
      <c r="A114" s="168"/>
      <c r="B114" s="424">
        <v>3</v>
      </c>
      <c r="C114" s="424">
        <v>5</v>
      </c>
      <c r="D114" s="424">
        <v>3</v>
      </c>
      <c r="E114" s="425">
        <v>4</v>
      </c>
      <c r="F114" s="493" t="s">
        <v>605</v>
      </c>
      <c r="G114" s="1308" t="str">
        <f t="shared" si="453"/>
        <v>Project Support Vendor - Siting - Chapter 40A</v>
      </c>
      <c r="H114" s="1308" t="str">
        <f t="shared" si="454"/>
        <v>AQ</v>
      </c>
      <c r="I114" s="1310">
        <f t="shared" si="91"/>
        <v>0</v>
      </c>
      <c r="J114" s="1685"/>
      <c r="K114" s="1311">
        <f t="shared" si="424"/>
        <v>0</v>
      </c>
      <c r="L114" s="1312">
        <f t="shared" si="424"/>
        <v>10307</v>
      </c>
      <c r="M114" s="1685"/>
      <c r="N114" s="1334">
        <f t="shared" si="455"/>
        <v>0</v>
      </c>
      <c r="O114" s="1312">
        <f t="shared" ca="1" si="425"/>
        <v>0</v>
      </c>
      <c r="P114" s="1685"/>
      <c r="Q114" s="1334">
        <f t="shared" si="456"/>
        <v>0</v>
      </c>
      <c r="R114" s="1312">
        <f t="shared" si="426"/>
        <v>0</v>
      </c>
      <c r="S114" s="1685"/>
      <c r="T114" s="1334">
        <f t="shared" si="457"/>
        <v>0</v>
      </c>
      <c r="U114" s="1312">
        <f t="shared" ca="1" si="427"/>
        <v>102102</v>
      </c>
      <c r="V114" s="1685"/>
      <c r="W114" s="1334">
        <f t="shared" si="458"/>
        <v>0</v>
      </c>
      <c r="X114" s="1312">
        <f t="shared" ca="1" si="428"/>
        <v>135534</v>
      </c>
      <c r="Y114" s="1685"/>
      <c r="Z114" s="1334">
        <f t="shared" si="459"/>
        <v>0</v>
      </c>
      <c r="AA114" s="1312">
        <f t="shared" ca="1" si="429"/>
        <v>25487</v>
      </c>
      <c r="AB114" s="1685"/>
      <c r="AC114" s="1334">
        <f t="shared" si="460"/>
        <v>0</v>
      </c>
      <c r="AD114" s="1312">
        <f t="shared" ca="1" si="430"/>
        <v>0</v>
      </c>
      <c r="AE114" s="1685"/>
      <c r="AF114" s="1334">
        <f t="shared" si="461"/>
        <v>0</v>
      </c>
      <c r="AG114" s="1312">
        <f t="shared" ca="1" si="431"/>
        <v>0</v>
      </c>
      <c r="AH114" s="1685"/>
      <c r="AI114" s="1334">
        <f t="shared" si="462"/>
        <v>0</v>
      </c>
      <c r="AJ114" s="1312">
        <f t="shared" ca="1" si="432"/>
        <v>0</v>
      </c>
      <c r="AK114" s="1685"/>
      <c r="AL114" s="1334">
        <f t="shared" si="463"/>
        <v>0</v>
      </c>
      <c r="AM114" s="1312">
        <f t="shared" ca="1" si="433"/>
        <v>0</v>
      </c>
      <c r="AN114" s="1685"/>
      <c r="AO114" s="1334">
        <f t="shared" si="464"/>
        <v>0</v>
      </c>
      <c r="AP114" s="1312">
        <f t="shared" ca="1" si="434"/>
        <v>0</v>
      </c>
      <c r="AQ114" s="1685"/>
      <c r="AR114" s="1334">
        <f t="shared" si="435"/>
        <v>0</v>
      </c>
      <c r="AS114" s="1312">
        <f t="shared" ca="1" si="436"/>
        <v>273430</v>
      </c>
      <c r="AT114" s="1687"/>
      <c r="AU114" s="411"/>
      <c r="AV114" s="1757">
        <f t="shared" ca="1" si="466"/>
        <v>273430</v>
      </c>
      <c r="AW114" s="411"/>
      <c r="AX114" s="493"/>
      <c r="AY114" s="1566" t="str">
        <f>"Project Support Vendor - " &amp; AY98</f>
        <v>Project Support Vendor - Siting - Chapter 40A</v>
      </c>
      <c r="AZ114" s="1567" t="s">
        <v>301</v>
      </c>
      <c r="BA114" s="470">
        <v>0</v>
      </c>
      <c r="BB114" s="1579"/>
      <c r="BC114" s="1599">
        <v>0</v>
      </c>
      <c r="BD114" s="1600">
        <v>10307</v>
      </c>
      <c r="BE114" s="1579"/>
      <c r="BF114" s="1603">
        <v>0</v>
      </c>
      <c r="BG114" s="1229">
        <f ca="1">ROUND(SUMIF('SCS &amp; Siting Info'!$C$18:$C$29,$AY$98,'SCS &amp; Siting Info'!$D$18:$D$29)*SUMIF('SCS &amp; Siting Info'!$C$18:$C$29,$AY$98,'SCS &amp; Siting Info'!$F$18:$F$29)*SUM(BG$88,BG$76,BG$34,BG$65,BG$142,BG$155),-2)</f>
        <v>0</v>
      </c>
      <c r="BH114" s="1579"/>
      <c r="BI114" s="1603">
        <v>0</v>
      </c>
      <c r="BJ114" s="1229"/>
      <c r="BK114" s="1666"/>
      <c r="BL114" s="1603">
        <v>0</v>
      </c>
      <c r="BM114" s="1229">
        <f ca="1">ROUND(SUMIF('SCS &amp; Siting Info'!$C$18:$C$29,$AY$98,'SCS &amp; Siting Info'!$D$18:$D$29)*SUMIF('SCS &amp; Siting Info'!$C$18:$C$29,$AY$98,'SCS &amp; Siting Info'!$F$18:$F$29)*SUM(BM$88,BM$76,BM$34,BM$65,BM$142,BM$155),-2)</f>
        <v>93500</v>
      </c>
      <c r="BN114" s="1579"/>
      <c r="BO114" s="1603">
        <v>0</v>
      </c>
      <c r="BP114" s="1229">
        <f ca="1">ROUND(SUMIF('SCS &amp; Siting Info'!$C$18:$C$29,$AY$98,'SCS &amp; Siting Info'!$D$18:$D$29)*SUMIF('SCS &amp; Siting Info'!$C$18:$C$29,$AY$98,'SCS &amp; Siting Info'!$F$18:$F$29)*SUM(BP$88,BP$76,BP$34,BP$65,BP$142,BP$155),-2)</f>
        <v>120500</v>
      </c>
      <c r="BQ114" s="1579"/>
      <c r="BR114" s="1603">
        <v>0</v>
      </c>
      <c r="BS114" s="1229">
        <f ca="1">ROUND(SUMIF('SCS &amp; Siting Info'!$C$18:$C$29,$AY$98,'SCS &amp; Siting Info'!$D$18:$D$29)*SUMIF('SCS &amp; Siting Info'!$C$18:$C$29,$AY$98,'SCS &amp; Siting Info'!$F$18:$F$29)*SUM(BS$88,BS$76,BS$34,BS$65,BS$142,BS$155),-2)</f>
        <v>22000</v>
      </c>
      <c r="BT114" s="1579"/>
      <c r="BU114" s="1603">
        <v>0</v>
      </c>
      <c r="BV114" s="1229">
        <f ca="1">ROUND(SUMIF('SCS &amp; Siting Info'!$C$18:$C$29,$AY$98,'SCS &amp; Siting Info'!$D$18:$D$29)*SUMIF('SCS &amp; Siting Info'!$C$18:$C$29,$AY$98,'SCS &amp; Siting Info'!$F$18:$F$29)*SUM(BV$88,BV$76,BV$34,BV$65,BV$142,BV$155),-2)</f>
        <v>0</v>
      </c>
      <c r="BW114" s="1579"/>
      <c r="BX114" s="1603">
        <v>0</v>
      </c>
      <c r="BY114" s="1229">
        <f ca="1">ROUND(SUMIF('SCS &amp; Siting Info'!$C$18:$C$29,$AY$98,'SCS &amp; Siting Info'!$D$18:$D$29)*SUMIF('SCS &amp; Siting Info'!$C$18:$C$29,$AY$98,'SCS &amp; Siting Info'!$F$18:$F$29)*SUM(BY$88,BY$76,BY$34,BY$65,BY$142,BY$155),-2)</f>
        <v>0</v>
      </c>
      <c r="BZ114" s="1579"/>
      <c r="CA114" s="1603">
        <v>0</v>
      </c>
      <c r="CB114" s="1229">
        <f ca="1">ROUND(SUMIF('SCS &amp; Siting Info'!$C$18:$C$29,$AY$98,'SCS &amp; Siting Info'!$D$18:$D$29)*SUMIF('SCS &amp; Siting Info'!$C$18:$C$29,$AY$98,'SCS &amp; Siting Info'!$F$18:$F$29)*SUM(CB$88,CB$76,CB$34,CB$65,CB$142,CB$155),-2)</f>
        <v>0</v>
      </c>
      <c r="CC114" s="1579"/>
      <c r="CD114" s="1603">
        <v>0</v>
      </c>
      <c r="CE114" s="1229">
        <f ca="1">ROUND(SUMIF('SCS &amp; Siting Info'!$C$18:$C$29,$AY$98,'SCS &amp; Siting Info'!$D$18:$D$29)*SUMIF('SCS &amp; Siting Info'!$C$18:$C$29,$AY$98,'SCS &amp; Siting Info'!$F$18:$F$29)*SUM(CE$88,CE$76,CE$34,CE$65,CE$142,CE$155),-2)</f>
        <v>0</v>
      </c>
      <c r="CF114" s="1579"/>
      <c r="CG114" s="1603">
        <v>0</v>
      </c>
      <c r="CH114" s="1229">
        <f ca="1">ROUND(SUMIF('SCS &amp; Siting Info'!$C$18:$C$29,$AY$98,'SCS &amp; Siting Info'!$D$18:$D$29)*SUMIF('SCS &amp; Siting Info'!$C$18:$C$29,$AY$98,'SCS &amp; Siting Info'!$F$18:$F$29)*SUM(CH$88,CH$76,CH$34,CH$65,CH$142,CH$155),-2)</f>
        <v>0</v>
      </c>
      <c r="CI114" s="1579"/>
      <c r="CJ114" s="1257">
        <f t="shared" si="437"/>
        <v>0</v>
      </c>
      <c r="CK114" s="1395">
        <f t="shared" ca="1" si="438"/>
        <v>246307</v>
      </c>
      <c r="CL114" s="427"/>
      <c r="CM114" s="170"/>
      <c r="CN114" s="493"/>
      <c r="CO114" s="428" t="str">
        <f t="shared" si="439"/>
        <v>Project Support Vendor - Siting - Chapter 40A</v>
      </c>
      <c r="CP114" s="429" t="s">
        <v>301</v>
      </c>
      <c r="CQ114" s="429"/>
      <c r="CR114" s="443"/>
      <c r="CS114" s="432"/>
      <c r="CT114" s="431">
        <f t="shared" si="440"/>
        <v>0</v>
      </c>
      <c r="CU114" s="443"/>
      <c r="CV114" s="432"/>
      <c r="CW114" s="434">
        <f t="shared" ca="1" si="441"/>
        <v>0</v>
      </c>
      <c r="CX114" s="443"/>
      <c r="CY114" s="432">
        <v>0</v>
      </c>
      <c r="CZ114" s="434">
        <f t="shared" si="442"/>
        <v>0</v>
      </c>
      <c r="DA114" s="443"/>
      <c r="DB114" s="432">
        <v>0</v>
      </c>
      <c r="DC114" s="434">
        <f t="shared" ca="1" si="443"/>
        <v>8602</v>
      </c>
      <c r="DD114" s="443"/>
      <c r="DE114" s="432">
        <v>0</v>
      </c>
      <c r="DF114" s="434">
        <f t="shared" ca="1" si="444"/>
        <v>15034</v>
      </c>
      <c r="DG114" s="443"/>
      <c r="DH114" s="432">
        <v>0</v>
      </c>
      <c r="DI114" s="434">
        <f t="shared" ca="1" si="445"/>
        <v>3487</v>
      </c>
      <c r="DJ114" s="443"/>
      <c r="DK114" s="432">
        <v>0</v>
      </c>
      <c r="DL114" s="434">
        <f t="shared" ca="1" si="446"/>
        <v>0</v>
      </c>
      <c r="DM114" s="443"/>
      <c r="DN114" s="432">
        <v>0</v>
      </c>
      <c r="DO114" s="434">
        <f t="shared" ca="1" si="447"/>
        <v>0</v>
      </c>
      <c r="DP114" s="443"/>
      <c r="DQ114" s="432">
        <v>0</v>
      </c>
      <c r="DR114" s="434">
        <f t="shared" ca="1" si="448"/>
        <v>0</v>
      </c>
      <c r="DS114" s="443"/>
      <c r="DT114" s="432">
        <v>0</v>
      </c>
      <c r="DU114" s="434">
        <f t="shared" ca="1" si="449"/>
        <v>0</v>
      </c>
      <c r="DV114" s="443"/>
      <c r="DW114" s="432">
        <v>0</v>
      </c>
      <c r="DX114" s="434">
        <f t="shared" ca="1" si="450"/>
        <v>0</v>
      </c>
      <c r="DY114" s="443"/>
      <c r="DZ114" s="432">
        <f t="shared" si="451"/>
        <v>0</v>
      </c>
      <c r="EA114" s="444">
        <f t="shared" ca="1" si="452"/>
        <v>27123</v>
      </c>
      <c r="EB114" s="433"/>
      <c r="EC114" s="170"/>
      <c r="ED114" s="170"/>
      <c r="EE114" s="170"/>
      <c r="EF114" s="170"/>
      <c r="EG114" s="170"/>
      <c r="EH114" s="170"/>
      <c r="EI114" s="170"/>
      <c r="EJ114" s="170"/>
      <c r="EK114" s="170"/>
    </row>
    <row r="115" spans="1:141" ht="15" x14ac:dyDescent="0.25">
      <c r="A115" s="168"/>
      <c r="B115" s="424">
        <v>3</v>
      </c>
      <c r="C115" s="424">
        <v>5</v>
      </c>
      <c r="D115" s="424">
        <v>3</v>
      </c>
      <c r="E115" s="425">
        <v>9</v>
      </c>
      <c r="F115" s="493" t="s">
        <v>605</v>
      </c>
      <c r="G115" s="1308" t="str">
        <f t="shared" si="453"/>
        <v>Project Support Vendor - Asset Management</v>
      </c>
      <c r="H115" s="1308" t="str">
        <f t="shared" si="454"/>
        <v>AQ</v>
      </c>
      <c r="I115" s="1310">
        <f t="shared" si="91"/>
        <v>160</v>
      </c>
      <c r="J115" s="1685"/>
      <c r="K115" s="1311">
        <f t="shared" si="424"/>
        <v>0</v>
      </c>
      <c r="L115" s="1312">
        <f t="shared" si="424"/>
        <v>0</v>
      </c>
      <c r="M115" s="1685"/>
      <c r="N115" s="1334">
        <f t="shared" si="455"/>
        <v>0</v>
      </c>
      <c r="O115" s="1312">
        <f t="shared" si="425"/>
        <v>0</v>
      </c>
      <c r="P115" s="1685"/>
      <c r="Q115" s="1334">
        <f t="shared" si="456"/>
        <v>0</v>
      </c>
      <c r="R115" s="1312">
        <f t="shared" si="426"/>
        <v>0</v>
      </c>
      <c r="S115" s="1685"/>
      <c r="T115" s="1334">
        <f t="shared" si="457"/>
        <v>0</v>
      </c>
      <c r="U115" s="1312">
        <f t="shared" si="427"/>
        <v>0</v>
      </c>
      <c r="V115" s="1685"/>
      <c r="W115" s="1334">
        <f t="shared" si="458"/>
        <v>0</v>
      </c>
      <c r="X115" s="1312">
        <f t="shared" si="428"/>
        <v>0</v>
      </c>
      <c r="Y115" s="1685"/>
      <c r="Z115" s="1334">
        <f t="shared" si="459"/>
        <v>0</v>
      </c>
      <c r="AA115" s="1312">
        <f t="shared" si="429"/>
        <v>0</v>
      </c>
      <c r="AB115" s="1685"/>
      <c r="AC115" s="1334">
        <f t="shared" si="460"/>
        <v>0</v>
      </c>
      <c r="AD115" s="1312">
        <f t="shared" si="430"/>
        <v>0</v>
      </c>
      <c r="AE115" s="1685"/>
      <c r="AF115" s="1334">
        <f t="shared" si="461"/>
        <v>0</v>
      </c>
      <c r="AG115" s="1312">
        <f t="shared" si="431"/>
        <v>0</v>
      </c>
      <c r="AH115" s="1685"/>
      <c r="AI115" s="1334">
        <f t="shared" si="462"/>
        <v>0</v>
      </c>
      <c r="AJ115" s="1312">
        <f t="shared" si="432"/>
        <v>0</v>
      </c>
      <c r="AK115" s="1685"/>
      <c r="AL115" s="1334">
        <f t="shared" si="463"/>
        <v>0</v>
      </c>
      <c r="AM115" s="1312">
        <f t="shared" si="433"/>
        <v>0</v>
      </c>
      <c r="AN115" s="1685"/>
      <c r="AO115" s="1334">
        <f t="shared" si="464"/>
        <v>0</v>
      </c>
      <c r="AP115" s="1312">
        <f t="shared" si="434"/>
        <v>0</v>
      </c>
      <c r="AQ115" s="1685"/>
      <c r="AR115" s="1334">
        <f t="shared" si="435"/>
        <v>0</v>
      </c>
      <c r="AS115" s="1312">
        <f t="shared" si="436"/>
        <v>0</v>
      </c>
      <c r="AT115" s="1687"/>
      <c r="AU115" s="411"/>
      <c r="AV115" s="1757">
        <f t="shared" si="466"/>
        <v>0</v>
      </c>
      <c r="AW115" s="411"/>
      <c r="AX115" s="493"/>
      <c r="AY115" s="1566" t="s">
        <v>1133</v>
      </c>
      <c r="AZ115" s="1567" t="s">
        <v>301</v>
      </c>
      <c r="BA115" s="2445">
        <f>+'Data Input sheet'!$D$176</f>
        <v>160</v>
      </c>
      <c r="BB115" s="1579"/>
      <c r="BC115" s="1599">
        <v>0</v>
      </c>
      <c r="BD115" s="1600"/>
      <c r="BE115" s="1579"/>
      <c r="BF115" s="1605">
        <v>0</v>
      </c>
      <c r="BG115" s="426">
        <f>ROUND(+BF115*$BA$115,0)</f>
        <v>0</v>
      </c>
      <c r="BH115" s="1579"/>
      <c r="BI115" s="1605">
        <v>0</v>
      </c>
      <c r="BJ115" s="426">
        <f>ROUND(+BI115*$BA$115,0)</f>
        <v>0</v>
      </c>
      <c r="BK115" s="1666"/>
      <c r="BL115" s="1605"/>
      <c r="BM115" s="426">
        <f>ROUND(+BL115*$BA$115,0)</f>
        <v>0</v>
      </c>
      <c r="BN115" s="1579"/>
      <c r="BO115" s="1605">
        <v>0</v>
      </c>
      <c r="BP115" s="426">
        <f>ROUND(+BO115*$BA$115,0)</f>
        <v>0</v>
      </c>
      <c r="BQ115" s="1579"/>
      <c r="BR115" s="1605">
        <v>0</v>
      </c>
      <c r="BS115" s="426">
        <f>ROUND(+BR115*$BA$115,0)</f>
        <v>0</v>
      </c>
      <c r="BT115" s="1579"/>
      <c r="BU115" s="1605">
        <v>0</v>
      </c>
      <c r="BV115" s="426">
        <f>ROUND(+BU115*$BA$115,0)</f>
        <v>0</v>
      </c>
      <c r="BW115" s="1579"/>
      <c r="BX115" s="1605">
        <v>0</v>
      </c>
      <c r="BY115" s="426">
        <f>ROUND(+BX115*$BA$115,0)</f>
        <v>0</v>
      </c>
      <c r="BZ115" s="1579"/>
      <c r="CA115" s="1605">
        <v>0</v>
      </c>
      <c r="CB115" s="426">
        <f>ROUND(+CA115*$BA$115,0)</f>
        <v>0</v>
      </c>
      <c r="CC115" s="1579"/>
      <c r="CD115" s="1605">
        <v>0</v>
      </c>
      <c r="CE115" s="426">
        <f>ROUND(+CD115*$BA$115,0)</f>
        <v>0</v>
      </c>
      <c r="CF115" s="1579"/>
      <c r="CG115" s="1605">
        <v>0</v>
      </c>
      <c r="CH115" s="426">
        <f>ROUND(+CG115*$BA$115,0)</f>
        <v>0</v>
      </c>
      <c r="CI115" s="1579"/>
      <c r="CJ115" s="1257">
        <f t="shared" si="437"/>
        <v>0</v>
      </c>
      <c r="CK115" s="1395">
        <f t="shared" si="438"/>
        <v>0</v>
      </c>
      <c r="CL115" s="427"/>
      <c r="CM115" s="170"/>
      <c r="CN115" s="493"/>
      <c r="CO115" s="428" t="str">
        <f t="shared" si="439"/>
        <v>Project Support Vendor - Asset Management</v>
      </c>
      <c r="CP115" s="429" t="s">
        <v>301</v>
      </c>
      <c r="CQ115" s="429"/>
      <c r="CR115" s="443"/>
      <c r="CS115" s="432"/>
      <c r="CT115" s="431">
        <f t="shared" si="440"/>
        <v>0</v>
      </c>
      <c r="CU115" s="443"/>
      <c r="CV115" s="432"/>
      <c r="CW115" s="434">
        <f t="shared" si="441"/>
        <v>0</v>
      </c>
      <c r="CX115" s="443"/>
      <c r="CY115" s="432">
        <v>0</v>
      </c>
      <c r="CZ115" s="434">
        <f t="shared" si="442"/>
        <v>0</v>
      </c>
      <c r="DA115" s="443"/>
      <c r="DB115" s="432">
        <v>0</v>
      </c>
      <c r="DC115" s="434">
        <f t="shared" si="443"/>
        <v>0</v>
      </c>
      <c r="DD115" s="443"/>
      <c r="DE115" s="432">
        <v>0</v>
      </c>
      <c r="DF115" s="434">
        <f t="shared" si="444"/>
        <v>0</v>
      </c>
      <c r="DG115" s="443"/>
      <c r="DH115" s="432">
        <v>0</v>
      </c>
      <c r="DI115" s="434">
        <f t="shared" si="445"/>
        <v>0</v>
      </c>
      <c r="DJ115" s="443"/>
      <c r="DK115" s="432">
        <v>0</v>
      </c>
      <c r="DL115" s="434">
        <f t="shared" si="446"/>
        <v>0</v>
      </c>
      <c r="DM115" s="443"/>
      <c r="DN115" s="432">
        <v>0</v>
      </c>
      <c r="DO115" s="434">
        <f t="shared" si="447"/>
        <v>0</v>
      </c>
      <c r="DP115" s="443"/>
      <c r="DQ115" s="432">
        <v>0</v>
      </c>
      <c r="DR115" s="434">
        <f t="shared" si="448"/>
        <v>0</v>
      </c>
      <c r="DS115" s="443"/>
      <c r="DT115" s="432">
        <v>0</v>
      </c>
      <c r="DU115" s="434">
        <f t="shared" si="449"/>
        <v>0</v>
      </c>
      <c r="DV115" s="443"/>
      <c r="DW115" s="432">
        <v>0</v>
      </c>
      <c r="DX115" s="434">
        <f t="shared" si="450"/>
        <v>0</v>
      </c>
      <c r="DY115" s="443"/>
      <c r="DZ115" s="432">
        <f t="shared" si="451"/>
        <v>0</v>
      </c>
      <c r="EA115" s="444">
        <f t="shared" si="452"/>
        <v>0</v>
      </c>
      <c r="EB115" s="433"/>
      <c r="EC115" s="170"/>
      <c r="ED115" s="170"/>
      <c r="EE115" s="170"/>
      <c r="EF115" s="170"/>
      <c r="EG115" s="170"/>
      <c r="EH115" s="170"/>
      <c r="EI115" s="170"/>
      <c r="EJ115" s="170"/>
      <c r="EK115" s="170"/>
    </row>
    <row r="116" spans="1:141" ht="15" x14ac:dyDescent="0.25">
      <c r="A116" s="168"/>
      <c r="B116" s="424">
        <v>3</v>
      </c>
      <c r="C116" s="424">
        <v>5</v>
      </c>
      <c r="D116" s="424">
        <v>3</v>
      </c>
      <c r="E116" s="425">
        <v>9</v>
      </c>
      <c r="F116" s="493" t="s">
        <v>605</v>
      </c>
      <c r="G116" s="1308" t="str">
        <f t="shared" si="453"/>
        <v>Project Support Vendor - Veg. Mgmt.</v>
      </c>
      <c r="H116" s="1308" t="str">
        <f t="shared" si="454"/>
        <v>AQ</v>
      </c>
      <c r="I116" s="1310">
        <f t="shared" si="91"/>
        <v>160</v>
      </c>
      <c r="J116" s="1685"/>
      <c r="K116" s="1311">
        <f t="shared" si="424"/>
        <v>0</v>
      </c>
      <c r="L116" s="1312">
        <f t="shared" si="424"/>
        <v>0</v>
      </c>
      <c r="M116" s="1685"/>
      <c r="N116" s="1334">
        <f t="shared" si="455"/>
        <v>0</v>
      </c>
      <c r="O116" s="1312">
        <f t="shared" si="425"/>
        <v>0</v>
      </c>
      <c r="P116" s="1685"/>
      <c r="Q116" s="1334">
        <f t="shared" si="456"/>
        <v>0</v>
      </c>
      <c r="R116" s="1312">
        <f t="shared" si="426"/>
        <v>0</v>
      </c>
      <c r="S116" s="1685"/>
      <c r="T116" s="1334">
        <f t="shared" si="457"/>
        <v>0</v>
      </c>
      <c r="U116" s="1312">
        <f t="shared" si="427"/>
        <v>0</v>
      </c>
      <c r="V116" s="1685"/>
      <c r="W116" s="1334">
        <f t="shared" si="458"/>
        <v>0</v>
      </c>
      <c r="X116" s="1312">
        <f t="shared" si="428"/>
        <v>0</v>
      </c>
      <c r="Y116" s="1685"/>
      <c r="Z116" s="1334">
        <f t="shared" si="459"/>
        <v>0</v>
      </c>
      <c r="AA116" s="1312">
        <f t="shared" si="429"/>
        <v>0</v>
      </c>
      <c r="AB116" s="1685"/>
      <c r="AC116" s="1334">
        <f t="shared" si="460"/>
        <v>0</v>
      </c>
      <c r="AD116" s="1312">
        <f t="shared" si="430"/>
        <v>0</v>
      </c>
      <c r="AE116" s="1685"/>
      <c r="AF116" s="1334">
        <f t="shared" si="461"/>
        <v>0</v>
      </c>
      <c r="AG116" s="1312">
        <f t="shared" si="431"/>
        <v>0</v>
      </c>
      <c r="AH116" s="1685"/>
      <c r="AI116" s="1334">
        <f t="shared" si="462"/>
        <v>0</v>
      </c>
      <c r="AJ116" s="1312">
        <f t="shared" si="432"/>
        <v>0</v>
      </c>
      <c r="AK116" s="1685"/>
      <c r="AL116" s="1334">
        <f t="shared" si="463"/>
        <v>0</v>
      </c>
      <c r="AM116" s="1312">
        <f t="shared" si="433"/>
        <v>0</v>
      </c>
      <c r="AN116" s="1685"/>
      <c r="AO116" s="1334">
        <f t="shared" si="464"/>
        <v>0</v>
      </c>
      <c r="AP116" s="1312">
        <f t="shared" si="434"/>
        <v>0</v>
      </c>
      <c r="AQ116" s="1685"/>
      <c r="AR116" s="1334">
        <f t="shared" si="435"/>
        <v>0</v>
      </c>
      <c r="AS116" s="1312">
        <f t="shared" si="436"/>
        <v>0</v>
      </c>
      <c r="AT116" s="1687"/>
      <c r="AU116" s="411"/>
      <c r="AV116" s="1757">
        <f t="shared" si="466"/>
        <v>0</v>
      </c>
      <c r="AW116" s="411"/>
      <c r="AX116" s="493"/>
      <c r="AY116" s="1566" t="s">
        <v>3495</v>
      </c>
      <c r="AZ116" s="1567" t="s">
        <v>301</v>
      </c>
      <c r="BA116" s="2445">
        <f>+'Data Input sheet'!$D$176</f>
        <v>160</v>
      </c>
      <c r="BB116" s="1579"/>
      <c r="BC116" s="1599">
        <v>0</v>
      </c>
      <c r="BD116" s="1600"/>
      <c r="BE116" s="1579"/>
      <c r="BF116" s="1605">
        <v>0</v>
      </c>
      <c r="BG116" s="426">
        <f>ROUND(+BF116*$BA$116,0)</f>
        <v>0</v>
      </c>
      <c r="BH116" s="1579"/>
      <c r="BI116" s="1605">
        <v>0</v>
      </c>
      <c r="BJ116" s="426">
        <f>ROUND(+BI116*$BA$116,0)</f>
        <v>0</v>
      </c>
      <c r="BK116" s="1666"/>
      <c r="BL116" s="1605"/>
      <c r="BM116" s="426">
        <f>ROUND(+BL116*$BA$116,0)</f>
        <v>0</v>
      </c>
      <c r="BN116" s="1579"/>
      <c r="BO116" s="1605">
        <v>0</v>
      </c>
      <c r="BP116" s="426">
        <f>ROUND(+BO116*$BA$116,0)</f>
        <v>0</v>
      </c>
      <c r="BQ116" s="1579"/>
      <c r="BR116" s="1605">
        <v>0</v>
      </c>
      <c r="BS116" s="426">
        <f>ROUND(+BR116*$BA$116,0)</f>
        <v>0</v>
      </c>
      <c r="BT116" s="1579"/>
      <c r="BU116" s="1605">
        <v>0</v>
      </c>
      <c r="BV116" s="426">
        <f>ROUND(+BU116*$BA$116,0)</f>
        <v>0</v>
      </c>
      <c r="BW116" s="1579"/>
      <c r="BX116" s="1605">
        <v>0</v>
      </c>
      <c r="BY116" s="426">
        <f>ROUND(+BX116*$BA$116,0)</f>
        <v>0</v>
      </c>
      <c r="BZ116" s="1579"/>
      <c r="CA116" s="1605">
        <v>0</v>
      </c>
      <c r="CB116" s="426">
        <f>ROUND(+CA116*$BA$116,0)</f>
        <v>0</v>
      </c>
      <c r="CC116" s="1579"/>
      <c r="CD116" s="1605">
        <v>0</v>
      </c>
      <c r="CE116" s="426">
        <f>ROUND(+CD116*$BA$116,0)</f>
        <v>0</v>
      </c>
      <c r="CF116" s="1579"/>
      <c r="CG116" s="1605">
        <v>0</v>
      </c>
      <c r="CH116" s="426">
        <f>ROUND(+CG116*$BA$116,0)</f>
        <v>0</v>
      </c>
      <c r="CI116" s="1579"/>
      <c r="CJ116" s="1257">
        <f t="shared" si="437"/>
        <v>0</v>
      </c>
      <c r="CK116" s="1395">
        <f t="shared" si="438"/>
        <v>0</v>
      </c>
      <c r="CL116" s="427"/>
      <c r="CM116" s="170"/>
      <c r="CN116" s="493"/>
      <c r="CO116" s="428" t="str">
        <f t="shared" si="439"/>
        <v>Project Support Vendor - Veg. Mgmt.</v>
      </c>
      <c r="CP116" s="429" t="s">
        <v>301</v>
      </c>
      <c r="CQ116" s="429"/>
      <c r="CR116" s="443"/>
      <c r="CS116" s="432"/>
      <c r="CT116" s="431">
        <f t="shared" si="440"/>
        <v>0</v>
      </c>
      <c r="CU116" s="443"/>
      <c r="CV116" s="432"/>
      <c r="CW116" s="434">
        <f t="shared" si="441"/>
        <v>0</v>
      </c>
      <c r="CX116" s="443"/>
      <c r="CY116" s="432">
        <v>0</v>
      </c>
      <c r="CZ116" s="434">
        <f t="shared" si="442"/>
        <v>0</v>
      </c>
      <c r="DA116" s="443"/>
      <c r="DB116" s="432">
        <v>0</v>
      </c>
      <c r="DC116" s="434">
        <f t="shared" si="443"/>
        <v>0</v>
      </c>
      <c r="DD116" s="443"/>
      <c r="DE116" s="432">
        <v>0</v>
      </c>
      <c r="DF116" s="434">
        <f t="shared" si="444"/>
        <v>0</v>
      </c>
      <c r="DG116" s="443"/>
      <c r="DH116" s="432">
        <v>0</v>
      </c>
      <c r="DI116" s="434">
        <f t="shared" si="445"/>
        <v>0</v>
      </c>
      <c r="DJ116" s="443"/>
      <c r="DK116" s="432">
        <v>0</v>
      </c>
      <c r="DL116" s="434">
        <f t="shared" si="446"/>
        <v>0</v>
      </c>
      <c r="DM116" s="443"/>
      <c r="DN116" s="432">
        <v>0</v>
      </c>
      <c r="DO116" s="434">
        <f t="shared" si="447"/>
        <v>0</v>
      </c>
      <c r="DP116" s="443"/>
      <c r="DQ116" s="432">
        <v>0</v>
      </c>
      <c r="DR116" s="434">
        <f t="shared" si="448"/>
        <v>0</v>
      </c>
      <c r="DS116" s="443"/>
      <c r="DT116" s="432">
        <v>0</v>
      </c>
      <c r="DU116" s="434">
        <f t="shared" si="449"/>
        <v>0</v>
      </c>
      <c r="DV116" s="443"/>
      <c r="DW116" s="432">
        <v>0</v>
      </c>
      <c r="DX116" s="434">
        <f t="shared" si="450"/>
        <v>0</v>
      </c>
      <c r="DY116" s="443"/>
      <c r="DZ116" s="432">
        <f t="shared" si="451"/>
        <v>0</v>
      </c>
      <c r="EA116" s="444">
        <f t="shared" si="452"/>
        <v>0</v>
      </c>
      <c r="EB116" s="433"/>
      <c r="EC116" s="170"/>
      <c r="ED116" s="170"/>
      <c r="EE116" s="170"/>
      <c r="EF116" s="170"/>
      <c r="EG116" s="170"/>
      <c r="EH116" s="170"/>
      <c r="EI116" s="170"/>
      <c r="EJ116" s="170"/>
      <c r="EK116" s="170"/>
    </row>
    <row r="117" spans="1:141" ht="15" x14ac:dyDescent="0.25">
      <c r="A117" s="168"/>
      <c r="B117" s="424">
        <v>3</v>
      </c>
      <c r="C117" s="424">
        <v>5</v>
      </c>
      <c r="D117" s="424">
        <v>3</v>
      </c>
      <c r="E117" s="425">
        <v>9</v>
      </c>
      <c r="F117" s="493" t="s">
        <v>605</v>
      </c>
      <c r="G117" s="1308" t="str">
        <f t="shared" ref="G117:I119" si="467">+AY117</f>
        <v>Project Support Vendor - Other</v>
      </c>
      <c r="H117" s="1308" t="str">
        <f t="shared" si="467"/>
        <v>AQ</v>
      </c>
      <c r="I117" s="1310">
        <f t="shared" si="467"/>
        <v>160</v>
      </c>
      <c r="J117" s="1685"/>
      <c r="K117" s="1311">
        <f t="shared" ref="K117:L119" si="468">+BC117</f>
        <v>0</v>
      </c>
      <c r="L117" s="1312">
        <f t="shared" si="468"/>
        <v>0</v>
      </c>
      <c r="M117" s="1685"/>
      <c r="N117" s="1334">
        <f t="shared" si="455"/>
        <v>0</v>
      </c>
      <c r="O117" s="1312">
        <f t="shared" si="425"/>
        <v>0</v>
      </c>
      <c r="P117" s="1685"/>
      <c r="Q117" s="1334">
        <f t="shared" si="456"/>
        <v>0</v>
      </c>
      <c r="R117" s="1312">
        <f t="shared" si="426"/>
        <v>0</v>
      </c>
      <c r="S117" s="1685"/>
      <c r="T117" s="1334">
        <f t="shared" si="457"/>
        <v>0</v>
      </c>
      <c r="U117" s="1312">
        <f t="shared" si="427"/>
        <v>0</v>
      </c>
      <c r="V117" s="1685"/>
      <c r="W117" s="1334">
        <f t="shared" si="458"/>
        <v>0</v>
      </c>
      <c r="X117" s="1312">
        <f t="shared" si="428"/>
        <v>0</v>
      </c>
      <c r="Y117" s="1685"/>
      <c r="Z117" s="1334">
        <f t="shared" si="459"/>
        <v>0</v>
      </c>
      <c r="AA117" s="1312">
        <f t="shared" si="429"/>
        <v>0</v>
      </c>
      <c r="AB117" s="1685"/>
      <c r="AC117" s="1334">
        <f t="shared" si="460"/>
        <v>0</v>
      </c>
      <c r="AD117" s="1312">
        <f t="shared" si="430"/>
        <v>0</v>
      </c>
      <c r="AE117" s="1685"/>
      <c r="AF117" s="1334">
        <f t="shared" si="461"/>
        <v>0</v>
      </c>
      <c r="AG117" s="1312">
        <f t="shared" si="431"/>
        <v>0</v>
      </c>
      <c r="AH117" s="1685"/>
      <c r="AI117" s="1334">
        <f t="shared" si="462"/>
        <v>0</v>
      </c>
      <c r="AJ117" s="1312">
        <f t="shared" si="432"/>
        <v>0</v>
      </c>
      <c r="AK117" s="1685"/>
      <c r="AL117" s="1334">
        <f t="shared" si="463"/>
        <v>0</v>
      </c>
      <c r="AM117" s="1312">
        <f t="shared" si="433"/>
        <v>0</v>
      </c>
      <c r="AN117" s="1685"/>
      <c r="AO117" s="1334">
        <f t="shared" si="464"/>
        <v>0</v>
      </c>
      <c r="AP117" s="1312">
        <f t="shared" si="434"/>
        <v>0</v>
      </c>
      <c r="AQ117" s="1685"/>
      <c r="AR117" s="1334">
        <f t="shared" si="435"/>
        <v>0</v>
      </c>
      <c r="AS117" s="1312">
        <f t="shared" si="436"/>
        <v>0</v>
      </c>
      <c r="AT117" s="1687"/>
      <c r="AU117" s="411"/>
      <c r="AV117" s="1757">
        <f t="shared" si="466"/>
        <v>0</v>
      </c>
      <c r="AW117" s="411"/>
      <c r="AX117" s="493"/>
      <c r="AY117" s="1566" t="s">
        <v>351</v>
      </c>
      <c r="AZ117" s="1567" t="s">
        <v>301</v>
      </c>
      <c r="BA117" s="2445">
        <f>+'Data Input sheet'!$D$176</f>
        <v>160</v>
      </c>
      <c r="BB117" s="1579"/>
      <c r="BC117" s="1599">
        <v>0</v>
      </c>
      <c r="BD117" s="1600"/>
      <c r="BE117" s="1579"/>
      <c r="BF117" s="1605">
        <v>0</v>
      </c>
      <c r="BG117" s="426">
        <f>ROUND(+BF117*$BA$117,0)</f>
        <v>0</v>
      </c>
      <c r="BH117" s="1579"/>
      <c r="BI117" s="1605">
        <v>0</v>
      </c>
      <c r="BJ117" s="426">
        <f>ROUND(+BI117*$BA$117,0)</f>
        <v>0</v>
      </c>
      <c r="BK117" s="1666"/>
      <c r="BL117" s="1605"/>
      <c r="BM117" s="426">
        <f>ROUND(+BL117*$BA$117,0)</f>
        <v>0</v>
      </c>
      <c r="BN117" s="1579"/>
      <c r="BO117" s="1605">
        <v>0</v>
      </c>
      <c r="BP117" s="426">
        <f>ROUND(+BO117*$BA$117,0)</f>
        <v>0</v>
      </c>
      <c r="BQ117" s="1579"/>
      <c r="BR117" s="1605">
        <v>0</v>
      </c>
      <c r="BS117" s="426">
        <f>ROUND(+BR117*$BA$117,0)</f>
        <v>0</v>
      </c>
      <c r="BT117" s="1579"/>
      <c r="BU117" s="1605">
        <v>0</v>
      </c>
      <c r="BV117" s="426">
        <f>ROUND(+BU117*$BA$117,0)</f>
        <v>0</v>
      </c>
      <c r="BW117" s="1579"/>
      <c r="BX117" s="1605">
        <v>0</v>
      </c>
      <c r="BY117" s="426">
        <f>ROUND(+BX117*$BA$117,0)</f>
        <v>0</v>
      </c>
      <c r="BZ117" s="1579"/>
      <c r="CA117" s="1605">
        <v>0</v>
      </c>
      <c r="CB117" s="426">
        <f>ROUND(+CA117*$BA$117,0)</f>
        <v>0</v>
      </c>
      <c r="CC117" s="1579"/>
      <c r="CD117" s="1605">
        <v>0</v>
      </c>
      <c r="CE117" s="426">
        <f>ROUND(+CD117*$BA$117,0)</f>
        <v>0</v>
      </c>
      <c r="CF117" s="1579"/>
      <c r="CG117" s="1605">
        <v>0</v>
      </c>
      <c r="CH117" s="426">
        <f>ROUND(+CG117*$BA$117,0)</f>
        <v>0</v>
      </c>
      <c r="CI117" s="1579"/>
      <c r="CJ117" s="1257">
        <f t="shared" si="437"/>
        <v>0</v>
      </c>
      <c r="CK117" s="1395">
        <f t="shared" si="438"/>
        <v>0</v>
      </c>
      <c r="CL117" s="427"/>
      <c r="CM117" s="170"/>
      <c r="CN117" s="493"/>
      <c r="CO117" s="428" t="str">
        <f t="shared" si="439"/>
        <v>Project Support Vendor - Other</v>
      </c>
      <c r="CP117" s="429" t="s">
        <v>301</v>
      </c>
      <c r="CQ117" s="429"/>
      <c r="CR117" s="443"/>
      <c r="CS117" s="432"/>
      <c r="CT117" s="431">
        <f t="shared" si="440"/>
        <v>0</v>
      </c>
      <c r="CU117" s="443"/>
      <c r="CV117" s="432"/>
      <c r="CW117" s="434">
        <f t="shared" si="441"/>
        <v>0</v>
      </c>
      <c r="CX117" s="443"/>
      <c r="CY117" s="432">
        <v>0</v>
      </c>
      <c r="CZ117" s="434">
        <f t="shared" si="442"/>
        <v>0</v>
      </c>
      <c r="DA117" s="443"/>
      <c r="DB117" s="432">
        <v>0</v>
      </c>
      <c r="DC117" s="434">
        <f t="shared" si="443"/>
        <v>0</v>
      </c>
      <c r="DD117" s="443"/>
      <c r="DE117" s="432">
        <v>0</v>
      </c>
      <c r="DF117" s="434">
        <f t="shared" si="444"/>
        <v>0</v>
      </c>
      <c r="DG117" s="443"/>
      <c r="DH117" s="432">
        <v>0</v>
      </c>
      <c r="DI117" s="434">
        <f t="shared" si="445"/>
        <v>0</v>
      </c>
      <c r="DJ117" s="443"/>
      <c r="DK117" s="432">
        <v>0</v>
      </c>
      <c r="DL117" s="434">
        <f t="shared" si="446"/>
        <v>0</v>
      </c>
      <c r="DM117" s="443"/>
      <c r="DN117" s="432">
        <v>0</v>
      </c>
      <c r="DO117" s="434">
        <f t="shared" si="447"/>
        <v>0</v>
      </c>
      <c r="DP117" s="443"/>
      <c r="DQ117" s="432">
        <v>0</v>
      </c>
      <c r="DR117" s="434">
        <f t="shared" si="448"/>
        <v>0</v>
      </c>
      <c r="DS117" s="443"/>
      <c r="DT117" s="432">
        <v>0</v>
      </c>
      <c r="DU117" s="434">
        <f t="shared" si="449"/>
        <v>0</v>
      </c>
      <c r="DV117" s="443"/>
      <c r="DW117" s="432">
        <v>0</v>
      </c>
      <c r="DX117" s="434">
        <f t="shared" si="450"/>
        <v>0</v>
      </c>
      <c r="DY117" s="443"/>
      <c r="DZ117" s="432">
        <f t="shared" si="451"/>
        <v>0</v>
      </c>
      <c r="EA117" s="444">
        <f t="shared" si="452"/>
        <v>0</v>
      </c>
      <c r="EB117" s="433"/>
      <c r="EC117" s="170"/>
      <c r="ED117" s="170"/>
      <c r="EE117" s="170"/>
      <c r="EF117" s="170"/>
      <c r="EG117" s="170"/>
      <c r="EH117" s="170"/>
      <c r="EI117" s="170"/>
      <c r="EJ117" s="170"/>
      <c r="EK117" s="170"/>
    </row>
    <row r="118" spans="1:141" ht="15" x14ac:dyDescent="0.25">
      <c r="A118" s="168"/>
      <c r="B118" s="424">
        <v>3</v>
      </c>
      <c r="C118" s="424">
        <v>5</v>
      </c>
      <c r="D118" s="424">
        <v>3</v>
      </c>
      <c r="E118" s="425">
        <v>9</v>
      </c>
      <c r="F118" s="493" t="s">
        <v>605</v>
      </c>
      <c r="G118" s="1308" t="str">
        <f t="shared" si="467"/>
        <v>Project Support Vendor - Other</v>
      </c>
      <c r="H118" s="1308" t="str">
        <f t="shared" si="467"/>
        <v>AQ</v>
      </c>
      <c r="I118" s="1310">
        <f t="shared" si="467"/>
        <v>160</v>
      </c>
      <c r="J118" s="1685"/>
      <c r="K118" s="1311">
        <f t="shared" si="468"/>
        <v>0</v>
      </c>
      <c r="L118" s="1312">
        <f t="shared" si="468"/>
        <v>0</v>
      </c>
      <c r="M118" s="1685"/>
      <c r="N118" s="1334">
        <f t="shared" si="455"/>
        <v>0</v>
      </c>
      <c r="O118" s="1312">
        <f t="shared" si="425"/>
        <v>0</v>
      </c>
      <c r="P118" s="1685"/>
      <c r="Q118" s="1334">
        <f t="shared" si="456"/>
        <v>0</v>
      </c>
      <c r="R118" s="1312">
        <f t="shared" si="426"/>
        <v>0</v>
      </c>
      <c r="S118" s="1685"/>
      <c r="T118" s="1334">
        <f t="shared" si="457"/>
        <v>0</v>
      </c>
      <c r="U118" s="1312">
        <f t="shared" si="427"/>
        <v>0</v>
      </c>
      <c r="V118" s="1685"/>
      <c r="W118" s="1334">
        <f t="shared" si="458"/>
        <v>0</v>
      </c>
      <c r="X118" s="1312">
        <f t="shared" si="428"/>
        <v>0</v>
      </c>
      <c r="Y118" s="1685"/>
      <c r="Z118" s="1334">
        <f t="shared" si="459"/>
        <v>0</v>
      </c>
      <c r="AA118" s="1312">
        <f t="shared" si="429"/>
        <v>0</v>
      </c>
      <c r="AB118" s="1685"/>
      <c r="AC118" s="1334">
        <f t="shared" si="460"/>
        <v>0</v>
      </c>
      <c r="AD118" s="1312">
        <f t="shared" si="430"/>
        <v>0</v>
      </c>
      <c r="AE118" s="1685"/>
      <c r="AF118" s="1334">
        <f t="shared" si="461"/>
        <v>0</v>
      </c>
      <c r="AG118" s="1312">
        <f t="shared" si="431"/>
        <v>0</v>
      </c>
      <c r="AH118" s="1685"/>
      <c r="AI118" s="1334">
        <f t="shared" si="462"/>
        <v>0</v>
      </c>
      <c r="AJ118" s="1312">
        <f t="shared" si="432"/>
        <v>0</v>
      </c>
      <c r="AK118" s="1685"/>
      <c r="AL118" s="1334">
        <f t="shared" si="463"/>
        <v>0</v>
      </c>
      <c r="AM118" s="1312">
        <f t="shared" si="433"/>
        <v>0</v>
      </c>
      <c r="AN118" s="1685"/>
      <c r="AO118" s="1334">
        <f t="shared" si="464"/>
        <v>0</v>
      </c>
      <c r="AP118" s="1312">
        <f t="shared" si="434"/>
        <v>0</v>
      </c>
      <c r="AQ118" s="1685"/>
      <c r="AR118" s="1334">
        <f t="shared" si="435"/>
        <v>0</v>
      </c>
      <c r="AS118" s="1312">
        <f t="shared" si="436"/>
        <v>0</v>
      </c>
      <c r="AT118" s="1687"/>
      <c r="AU118" s="411"/>
      <c r="AV118" s="1757">
        <f t="shared" si="466"/>
        <v>0</v>
      </c>
      <c r="AW118" s="411"/>
      <c r="AX118" s="493"/>
      <c r="AY118" s="1566" t="s">
        <v>351</v>
      </c>
      <c r="AZ118" s="1567" t="s">
        <v>301</v>
      </c>
      <c r="BA118" s="2445">
        <f>+'Data Input sheet'!$D$176</f>
        <v>160</v>
      </c>
      <c r="BB118" s="1579"/>
      <c r="BC118" s="1599">
        <v>0</v>
      </c>
      <c r="BD118" s="1600"/>
      <c r="BE118" s="1579"/>
      <c r="BF118" s="1605">
        <v>0</v>
      </c>
      <c r="BG118" s="426">
        <f>ROUND(+BF118*$BA$118,0)</f>
        <v>0</v>
      </c>
      <c r="BH118" s="1579"/>
      <c r="BI118" s="1605">
        <v>0</v>
      </c>
      <c r="BJ118" s="426">
        <f>ROUND(+BI118*$BA$118,0)</f>
        <v>0</v>
      </c>
      <c r="BK118" s="1666"/>
      <c r="BL118" s="1605"/>
      <c r="BM118" s="426">
        <f>ROUND(+BL118*$BA$118,0)</f>
        <v>0</v>
      </c>
      <c r="BN118" s="1579"/>
      <c r="BO118" s="1605">
        <v>0</v>
      </c>
      <c r="BP118" s="426">
        <f>ROUND(+BO118*$BA$118,0)</f>
        <v>0</v>
      </c>
      <c r="BQ118" s="1579"/>
      <c r="BR118" s="1605">
        <v>0</v>
      </c>
      <c r="BS118" s="426">
        <f>ROUND(+BR118*$BA$118,0)</f>
        <v>0</v>
      </c>
      <c r="BT118" s="1579"/>
      <c r="BU118" s="1605">
        <v>0</v>
      </c>
      <c r="BV118" s="426">
        <f>ROUND(+BU118*$BA$118,0)</f>
        <v>0</v>
      </c>
      <c r="BW118" s="1579"/>
      <c r="BX118" s="1605">
        <v>0</v>
      </c>
      <c r="BY118" s="426">
        <f>ROUND(+BX118*$BA$118,0)</f>
        <v>0</v>
      </c>
      <c r="BZ118" s="1579"/>
      <c r="CA118" s="1605">
        <v>0</v>
      </c>
      <c r="CB118" s="426">
        <f>ROUND(+CA118*$BA$118,0)</f>
        <v>0</v>
      </c>
      <c r="CC118" s="1579"/>
      <c r="CD118" s="1605">
        <v>0</v>
      </c>
      <c r="CE118" s="426">
        <f>ROUND(+CD118*$BA$118,0)</f>
        <v>0</v>
      </c>
      <c r="CF118" s="1579"/>
      <c r="CG118" s="1605">
        <v>0</v>
      </c>
      <c r="CH118" s="426">
        <f>ROUND(+CG118*$BA$118,0)</f>
        <v>0</v>
      </c>
      <c r="CI118" s="1579"/>
      <c r="CJ118" s="1257">
        <f t="shared" si="437"/>
        <v>0</v>
      </c>
      <c r="CK118" s="1395">
        <f t="shared" si="438"/>
        <v>0</v>
      </c>
      <c r="CL118" s="427"/>
      <c r="CM118" s="170"/>
      <c r="CN118" s="493"/>
      <c r="CO118" s="428" t="str">
        <f t="shared" si="439"/>
        <v>Project Support Vendor - Other</v>
      </c>
      <c r="CP118" s="429" t="s">
        <v>301</v>
      </c>
      <c r="CQ118" s="429"/>
      <c r="CR118" s="443"/>
      <c r="CS118" s="432"/>
      <c r="CT118" s="431">
        <f t="shared" si="440"/>
        <v>0</v>
      </c>
      <c r="CU118" s="443"/>
      <c r="CV118" s="432"/>
      <c r="CW118" s="434">
        <f t="shared" si="441"/>
        <v>0</v>
      </c>
      <c r="CX118" s="443"/>
      <c r="CY118" s="432">
        <v>0</v>
      </c>
      <c r="CZ118" s="434">
        <f t="shared" si="442"/>
        <v>0</v>
      </c>
      <c r="DA118" s="443"/>
      <c r="DB118" s="432">
        <v>0</v>
      </c>
      <c r="DC118" s="434">
        <f t="shared" si="443"/>
        <v>0</v>
      </c>
      <c r="DD118" s="443"/>
      <c r="DE118" s="432">
        <v>0</v>
      </c>
      <c r="DF118" s="434">
        <f t="shared" si="444"/>
        <v>0</v>
      </c>
      <c r="DG118" s="443"/>
      <c r="DH118" s="432">
        <v>0</v>
      </c>
      <c r="DI118" s="434">
        <f t="shared" si="445"/>
        <v>0</v>
      </c>
      <c r="DJ118" s="443"/>
      <c r="DK118" s="432">
        <v>0</v>
      </c>
      <c r="DL118" s="434">
        <f t="shared" si="446"/>
        <v>0</v>
      </c>
      <c r="DM118" s="443"/>
      <c r="DN118" s="432">
        <v>0</v>
      </c>
      <c r="DO118" s="434">
        <f t="shared" si="447"/>
        <v>0</v>
      </c>
      <c r="DP118" s="443"/>
      <c r="DQ118" s="432">
        <v>0</v>
      </c>
      <c r="DR118" s="434">
        <f t="shared" si="448"/>
        <v>0</v>
      </c>
      <c r="DS118" s="443"/>
      <c r="DT118" s="432">
        <v>0</v>
      </c>
      <c r="DU118" s="434">
        <f t="shared" si="449"/>
        <v>0</v>
      </c>
      <c r="DV118" s="443"/>
      <c r="DW118" s="432">
        <v>0</v>
      </c>
      <c r="DX118" s="434">
        <f t="shared" si="450"/>
        <v>0</v>
      </c>
      <c r="DY118" s="443"/>
      <c r="DZ118" s="432">
        <f t="shared" si="451"/>
        <v>0</v>
      </c>
      <c r="EA118" s="444">
        <f t="shared" si="452"/>
        <v>0</v>
      </c>
      <c r="EB118" s="433"/>
      <c r="EC118" s="170"/>
      <c r="ED118" s="170"/>
      <c r="EE118" s="170"/>
      <c r="EF118" s="170"/>
      <c r="EG118" s="170"/>
      <c r="EH118" s="170"/>
      <c r="EI118" s="170"/>
      <c r="EJ118" s="170"/>
      <c r="EK118" s="170"/>
    </row>
    <row r="119" spans="1:141" ht="15" x14ac:dyDescent="0.25">
      <c r="A119" s="168"/>
      <c r="B119" s="424">
        <v>3</v>
      </c>
      <c r="C119" s="424">
        <v>5</v>
      </c>
      <c r="D119" s="424">
        <v>3</v>
      </c>
      <c r="E119" s="425">
        <v>9</v>
      </c>
      <c r="F119" s="493" t="s">
        <v>605</v>
      </c>
      <c r="G119" s="1308" t="str">
        <f t="shared" si="467"/>
        <v>Project Support Vendor - Other</v>
      </c>
      <c r="H119" s="1308" t="str">
        <f t="shared" si="467"/>
        <v>AQ</v>
      </c>
      <c r="I119" s="1310">
        <f t="shared" si="467"/>
        <v>160</v>
      </c>
      <c r="J119" s="1685"/>
      <c r="K119" s="1311">
        <f t="shared" si="468"/>
        <v>0</v>
      </c>
      <c r="L119" s="1312">
        <f t="shared" si="468"/>
        <v>0</v>
      </c>
      <c r="M119" s="1685"/>
      <c r="N119" s="1334">
        <f t="shared" si="455"/>
        <v>0</v>
      </c>
      <c r="O119" s="1312">
        <f t="shared" si="425"/>
        <v>0</v>
      </c>
      <c r="P119" s="1685"/>
      <c r="Q119" s="1334">
        <f t="shared" si="456"/>
        <v>0</v>
      </c>
      <c r="R119" s="1312">
        <f t="shared" si="426"/>
        <v>0</v>
      </c>
      <c r="S119" s="1685"/>
      <c r="T119" s="1334">
        <f t="shared" si="457"/>
        <v>0</v>
      </c>
      <c r="U119" s="1312">
        <f t="shared" si="427"/>
        <v>0</v>
      </c>
      <c r="V119" s="1685"/>
      <c r="W119" s="1334">
        <f t="shared" si="458"/>
        <v>0</v>
      </c>
      <c r="X119" s="1312">
        <f t="shared" si="428"/>
        <v>0</v>
      </c>
      <c r="Y119" s="1685"/>
      <c r="Z119" s="1334">
        <f t="shared" si="459"/>
        <v>0</v>
      </c>
      <c r="AA119" s="1312">
        <f t="shared" si="429"/>
        <v>0</v>
      </c>
      <c r="AB119" s="1685"/>
      <c r="AC119" s="1334">
        <f t="shared" si="460"/>
        <v>0</v>
      </c>
      <c r="AD119" s="1312">
        <f t="shared" si="430"/>
        <v>0</v>
      </c>
      <c r="AE119" s="1685"/>
      <c r="AF119" s="1334">
        <f t="shared" si="461"/>
        <v>0</v>
      </c>
      <c r="AG119" s="1312">
        <f t="shared" si="431"/>
        <v>0</v>
      </c>
      <c r="AH119" s="1685"/>
      <c r="AI119" s="1334">
        <f t="shared" si="462"/>
        <v>0</v>
      </c>
      <c r="AJ119" s="1312">
        <f t="shared" si="432"/>
        <v>0</v>
      </c>
      <c r="AK119" s="1685"/>
      <c r="AL119" s="1334">
        <f t="shared" si="463"/>
        <v>0</v>
      </c>
      <c r="AM119" s="1312">
        <f t="shared" si="433"/>
        <v>0</v>
      </c>
      <c r="AN119" s="1685"/>
      <c r="AO119" s="1334">
        <f t="shared" si="464"/>
        <v>0</v>
      </c>
      <c r="AP119" s="1312">
        <f t="shared" si="434"/>
        <v>0</v>
      </c>
      <c r="AQ119" s="1685"/>
      <c r="AR119" s="1334">
        <f t="shared" si="435"/>
        <v>0</v>
      </c>
      <c r="AS119" s="1312">
        <f t="shared" si="436"/>
        <v>0</v>
      </c>
      <c r="AT119" s="1687"/>
      <c r="AU119" s="411"/>
      <c r="AV119" s="1757">
        <f t="shared" si="466"/>
        <v>0</v>
      </c>
      <c r="AW119" s="411"/>
      <c r="AX119" s="493"/>
      <c r="AY119" s="1566" t="s">
        <v>351</v>
      </c>
      <c r="AZ119" s="1567" t="s">
        <v>301</v>
      </c>
      <c r="BA119" s="2445">
        <f>+'Data Input sheet'!$D$176</f>
        <v>160</v>
      </c>
      <c r="BB119" s="1579"/>
      <c r="BC119" s="1599">
        <v>0</v>
      </c>
      <c r="BD119" s="1600"/>
      <c r="BE119" s="1579"/>
      <c r="BF119" s="1605">
        <v>0</v>
      </c>
      <c r="BG119" s="426">
        <f>ROUND(+BF119*$BA$119,0)</f>
        <v>0</v>
      </c>
      <c r="BH119" s="1579"/>
      <c r="BI119" s="1605">
        <v>0</v>
      </c>
      <c r="BJ119" s="426">
        <f>ROUND(+BI119*$BA$119,0)</f>
        <v>0</v>
      </c>
      <c r="BK119" s="1666"/>
      <c r="BL119" s="1605"/>
      <c r="BM119" s="426">
        <f>ROUND(+BL119*$BA$119,0)</f>
        <v>0</v>
      </c>
      <c r="BN119" s="1579"/>
      <c r="BO119" s="1605">
        <v>0</v>
      </c>
      <c r="BP119" s="426">
        <f>ROUND(+BO119*$BA$119,0)</f>
        <v>0</v>
      </c>
      <c r="BQ119" s="1579"/>
      <c r="BR119" s="1605">
        <v>0</v>
      </c>
      <c r="BS119" s="426">
        <f>ROUND(+BR119*$BA$119,0)</f>
        <v>0</v>
      </c>
      <c r="BT119" s="1579"/>
      <c r="BU119" s="1605">
        <v>0</v>
      </c>
      <c r="BV119" s="426">
        <f>ROUND(+BU119*$BA$119,0)</f>
        <v>0</v>
      </c>
      <c r="BW119" s="1579"/>
      <c r="BX119" s="1605">
        <v>0</v>
      </c>
      <c r="BY119" s="426">
        <f>ROUND(+BX119*$BA$119,0)</f>
        <v>0</v>
      </c>
      <c r="BZ119" s="1579"/>
      <c r="CA119" s="1605">
        <v>0</v>
      </c>
      <c r="CB119" s="426">
        <f>ROUND(+CA119*$BA$119,0)</f>
        <v>0</v>
      </c>
      <c r="CC119" s="1579"/>
      <c r="CD119" s="1605">
        <v>0</v>
      </c>
      <c r="CE119" s="426">
        <f>ROUND(+CD119*$BA$119,0)</f>
        <v>0</v>
      </c>
      <c r="CF119" s="1579"/>
      <c r="CG119" s="1605">
        <v>0</v>
      </c>
      <c r="CH119" s="426">
        <f>ROUND(+CG119*$BA$119,0)</f>
        <v>0</v>
      </c>
      <c r="CI119" s="1579"/>
      <c r="CJ119" s="1257">
        <f t="shared" si="437"/>
        <v>0</v>
      </c>
      <c r="CK119" s="1395">
        <f t="shared" si="438"/>
        <v>0</v>
      </c>
      <c r="CL119" s="427"/>
      <c r="CM119" s="170"/>
      <c r="CN119" s="493"/>
      <c r="CO119" s="428" t="str">
        <f t="shared" si="439"/>
        <v>Project Support Vendor - Other</v>
      </c>
      <c r="CP119" s="429" t="s">
        <v>301</v>
      </c>
      <c r="CQ119" s="429"/>
      <c r="CR119" s="443"/>
      <c r="CS119" s="432"/>
      <c r="CT119" s="431">
        <f t="shared" si="440"/>
        <v>0</v>
      </c>
      <c r="CU119" s="443"/>
      <c r="CV119" s="432"/>
      <c r="CW119" s="434">
        <f t="shared" si="441"/>
        <v>0</v>
      </c>
      <c r="CX119" s="443"/>
      <c r="CY119" s="432">
        <v>0</v>
      </c>
      <c r="CZ119" s="434">
        <f t="shared" si="442"/>
        <v>0</v>
      </c>
      <c r="DA119" s="443"/>
      <c r="DB119" s="432">
        <v>0</v>
      </c>
      <c r="DC119" s="434">
        <f t="shared" si="443"/>
        <v>0</v>
      </c>
      <c r="DD119" s="443"/>
      <c r="DE119" s="432">
        <v>0</v>
      </c>
      <c r="DF119" s="434">
        <f t="shared" si="444"/>
        <v>0</v>
      </c>
      <c r="DG119" s="443"/>
      <c r="DH119" s="432">
        <v>0</v>
      </c>
      <c r="DI119" s="434">
        <f t="shared" si="445"/>
        <v>0</v>
      </c>
      <c r="DJ119" s="443"/>
      <c r="DK119" s="432">
        <v>0</v>
      </c>
      <c r="DL119" s="434">
        <f t="shared" si="446"/>
        <v>0</v>
      </c>
      <c r="DM119" s="443"/>
      <c r="DN119" s="432">
        <v>0</v>
      </c>
      <c r="DO119" s="434">
        <f t="shared" si="447"/>
        <v>0</v>
      </c>
      <c r="DP119" s="443"/>
      <c r="DQ119" s="432">
        <v>0</v>
      </c>
      <c r="DR119" s="434">
        <f t="shared" si="448"/>
        <v>0</v>
      </c>
      <c r="DS119" s="443"/>
      <c r="DT119" s="432">
        <v>0</v>
      </c>
      <c r="DU119" s="434">
        <f t="shared" si="449"/>
        <v>0</v>
      </c>
      <c r="DV119" s="443"/>
      <c r="DW119" s="432">
        <v>0</v>
      </c>
      <c r="DX119" s="434">
        <f t="shared" si="450"/>
        <v>0</v>
      </c>
      <c r="DY119" s="443"/>
      <c r="DZ119" s="432">
        <f t="shared" si="451"/>
        <v>0</v>
      </c>
      <c r="EA119" s="444">
        <f t="shared" si="452"/>
        <v>0</v>
      </c>
      <c r="EB119" s="433"/>
      <c r="EC119" s="170"/>
      <c r="ED119" s="170"/>
      <c r="EE119" s="170"/>
      <c r="EF119" s="170"/>
      <c r="EG119" s="170"/>
      <c r="EH119" s="170"/>
      <c r="EI119" s="170"/>
      <c r="EJ119" s="170"/>
      <c r="EK119" s="170"/>
    </row>
    <row r="120" spans="1:141" ht="15" x14ac:dyDescent="0.25">
      <c r="A120" s="170"/>
      <c r="B120" s="424">
        <v>5</v>
      </c>
      <c r="C120" s="424">
        <v>5</v>
      </c>
      <c r="D120" s="424">
        <v>6</v>
      </c>
      <c r="E120" s="425">
        <v>9</v>
      </c>
      <c r="F120" s="493"/>
      <c r="G120" s="1308" t="str">
        <f t="shared" si="453"/>
        <v>Vehicles ( now in indirects section)</v>
      </c>
      <c r="H120" s="1308" t="str">
        <f t="shared" si="454"/>
        <v>AV</v>
      </c>
      <c r="I120" s="1310">
        <f t="shared" ref="I120:I200" si="469">+BA120</f>
        <v>0</v>
      </c>
      <c r="J120" s="1685"/>
      <c r="K120" s="1311">
        <f t="shared" si="424"/>
        <v>0</v>
      </c>
      <c r="L120" s="1312">
        <f t="shared" si="424"/>
        <v>0</v>
      </c>
      <c r="M120" s="1685"/>
      <c r="N120" s="1311"/>
      <c r="O120" s="1312">
        <f t="shared" ca="1" si="425"/>
        <v>0</v>
      </c>
      <c r="P120" s="1685"/>
      <c r="Q120" s="1313">
        <f t="shared" ref="Q120:Q125" si="470">+BI120</f>
        <v>0</v>
      </c>
      <c r="R120" s="1312">
        <f t="shared" ca="1" si="426"/>
        <v>0</v>
      </c>
      <c r="S120" s="1685"/>
      <c r="T120" s="1313">
        <f t="shared" ref="T120:T125" si="471">+BL120</f>
        <v>0</v>
      </c>
      <c r="U120" s="1312">
        <f t="shared" ca="1" si="427"/>
        <v>0</v>
      </c>
      <c r="V120" s="1685"/>
      <c r="W120" s="1313">
        <f t="shared" ref="W120:W125" si="472">+BO120</f>
        <v>0</v>
      </c>
      <c r="X120" s="1312">
        <f t="shared" ca="1" si="428"/>
        <v>0</v>
      </c>
      <c r="Y120" s="1685"/>
      <c r="Z120" s="1313">
        <f t="shared" ref="Z120:Z125" si="473">+BR120</f>
        <v>0</v>
      </c>
      <c r="AA120" s="1312">
        <f t="shared" ca="1" si="429"/>
        <v>0</v>
      </c>
      <c r="AB120" s="1685"/>
      <c r="AC120" s="1313">
        <f t="shared" ref="AC120:AC125" si="474">+BU120</f>
        <v>0</v>
      </c>
      <c r="AD120" s="1312">
        <f t="shared" ca="1" si="430"/>
        <v>0</v>
      </c>
      <c r="AE120" s="1685"/>
      <c r="AF120" s="1313">
        <f t="shared" ref="AF120:AF125" si="475">+BX120</f>
        <v>0</v>
      </c>
      <c r="AG120" s="1312">
        <f t="shared" ca="1" si="431"/>
        <v>0</v>
      </c>
      <c r="AH120" s="1685"/>
      <c r="AI120" s="1313">
        <f t="shared" ref="AI120:AI125" si="476">+CA120</f>
        <v>0</v>
      </c>
      <c r="AJ120" s="1312">
        <f t="shared" ca="1" si="432"/>
        <v>0</v>
      </c>
      <c r="AK120" s="1685"/>
      <c r="AL120" s="1313">
        <f t="shared" ref="AL120:AL125" si="477">+CD120</f>
        <v>0</v>
      </c>
      <c r="AM120" s="1312">
        <f t="shared" ca="1" si="433"/>
        <v>0</v>
      </c>
      <c r="AN120" s="1685"/>
      <c r="AO120" s="1313">
        <f t="shared" ref="AO120:AO125" si="478">+CG120</f>
        <v>0</v>
      </c>
      <c r="AP120" s="1312">
        <f t="shared" ca="1" si="434"/>
        <v>0</v>
      </c>
      <c r="AQ120" s="1685"/>
      <c r="AR120" s="1313">
        <f t="shared" si="435"/>
        <v>0</v>
      </c>
      <c r="AS120" s="1312">
        <f t="shared" ca="1" si="436"/>
        <v>0</v>
      </c>
      <c r="AT120" s="1687"/>
      <c r="AU120" s="411"/>
      <c r="AV120" s="1757">
        <f t="shared" ca="1" si="466"/>
        <v>0</v>
      </c>
      <c r="AW120" s="411"/>
      <c r="AX120" s="493"/>
      <c r="AY120" s="1566" t="s">
        <v>305</v>
      </c>
      <c r="AZ120" s="1567" t="s">
        <v>304</v>
      </c>
      <c r="BA120" s="446">
        <v>0</v>
      </c>
      <c r="BB120" s="1579"/>
      <c r="BC120" s="1599">
        <v>0</v>
      </c>
      <c r="BD120" s="1600"/>
      <c r="BE120" s="1579"/>
      <c r="BF120" s="1605">
        <v>0</v>
      </c>
      <c r="BG120" s="1393">
        <f ca="1">ROUND(SUM(BG90:BG103)*$BA120,0)</f>
        <v>0</v>
      </c>
      <c r="BH120" s="1579"/>
      <c r="BI120" s="1605">
        <v>0</v>
      </c>
      <c r="BJ120" s="1393">
        <f ca="1">ROUND(SUM(BJ90:BJ103)*$BA120,0)</f>
        <v>0</v>
      </c>
      <c r="BK120" s="1666"/>
      <c r="BL120" s="1605"/>
      <c r="BM120" s="1393">
        <f ca="1">ROUND(SUM(BM90:BM103)*$BA120,0)</f>
        <v>0</v>
      </c>
      <c r="BN120" s="1579"/>
      <c r="BO120" s="1605">
        <v>0</v>
      </c>
      <c r="BP120" s="1393">
        <f ca="1">ROUND(SUM(BP90:BP103)*$BA120,0)</f>
        <v>0</v>
      </c>
      <c r="BQ120" s="1579"/>
      <c r="BR120" s="1605">
        <v>0</v>
      </c>
      <c r="BS120" s="1393">
        <f ca="1">ROUND(SUM(BS90:BS103)*$BA120,0)</f>
        <v>0</v>
      </c>
      <c r="BT120" s="1579"/>
      <c r="BU120" s="1605">
        <v>0</v>
      </c>
      <c r="BV120" s="1393">
        <f ca="1">ROUND(SUM(BV90:BV103)*$BA120,0)</f>
        <v>0</v>
      </c>
      <c r="BW120" s="1579"/>
      <c r="BX120" s="1605">
        <v>0</v>
      </c>
      <c r="BY120" s="1393">
        <f ca="1">ROUND(SUM(BY90:BY103)*$BA120,0)</f>
        <v>0</v>
      </c>
      <c r="BZ120" s="1579"/>
      <c r="CA120" s="1605">
        <v>0</v>
      </c>
      <c r="CB120" s="1393">
        <f ca="1">ROUND(SUM(CB90:CB103)*$BA120,0)</f>
        <v>0</v>
      </c>
      <c r="CC120" s="1579"/>
      <c r="CD120" s="1605">
        <v>0</v>
      </c>
      <c r="CE120" s="1393">
        <f ca="1">ROUND(SUM(CE90:CE103)*$BA120,0)</f>
        <v>0</v>
      </c>
      <c r="CF120" s="1579"/>
      <c r="CG120" s="1605">
        <v>0</v>
      </c>
      <c r="CH120" s="1393">
        <f ca="1">ROUND(SUM(CH90:CH103)*$BA120,0)</f>
        <v>0</v>
      </c>
      <c r="CI120" s="1579"/>
      <c r="CJ120" s="1257">
        <f t="shared" si="437"/>
        <v>0</v>
      </c>
      <c r="CK120" s="1395">
        <f t="shared" ca="1" si="438"/>
        <v>0</v>
      </c>
      <c r="CL120" s="427"/>
      <c r="CM120" s="170"/>
      <c r="CN120" s="493"/>
      <c r="CO120" s="428" t="str">
        <f t="shared" si="439"/>
        <v>Vehicles ( now in indirects section)</v>
      </c>
      <c r="CP120" s="429" t="s">
        <v>304</v>
      </c>
      <c r="CQ120" s="441"/>
      <c r="CR120" s="443"/>
      <c r="CS120" s="430"/>
      <c r="CT120" s="444">
        <f t="shared" si="440"/>
        <v>0</v>
      </c>
      <c r="CU120" s="443"/>
      <c r="CV120" s="430"/>
      <c r="CW120" s="434">
        <f t="shared" ca="1" si="441"/>
        <v>0</v>
      </c>
      <c r="CX120" s="443"/>
      <c r="CY120" s="432">
        <v>0</v>
      </c>
      <c r="CZ120" s="434">
        <f t="shared" ca="1" si="442"/>
        <v>0</v>
      </c>
      <c r="DA120" s="443"/>
      <c r="DB120" s="432">
        <v>0</v>
      </c>
      <c r="DC120" s="434">
        <f t="shared" ca="1" si="443"/>
        <v>0</v>
      </c>
      <c r="DD120" s="443"/>
      <c r="DE120" s="432">
        <v>0</v>
      </c>
      <c r="DF120" s="434">
        <f t="shared" ca="1" si="444"/>
        <v>0</v>
      </c>
      <c r="DG120" s="443"/>
      <c r="DH120" s="432">
        <v>0</v>
      </c>
      <c r="DI120" s="434">
        <f t="shared" ca="1" si="445"/>
        <v>0</v>
      </c>
      <c r="DJ120" s="443"/>
      <c r="DK120" s="432">
        <v>0</v>
      </c>
      <c r="DL120" s="434">
        <f t="shared" ca="1" si="446"/>
        <v>0</v>
      </c>
      <c r="DM120" s="443"/>
      <c r="DN120" s="432">
        <v>0</v>
      </c>
      <c r="DO120" s="434">
        <f t="shared" ca="1" si="447"/>
        <v>0</v>
      </c>
      <c r="DP120" s="443"/>
      <c r="DQ120" s="432">
        <v>0</v>
      </c>
      <c r="DR120" s="434">
        <f t="shared" ca="1" si="448"/>
        <v>0</v>
      </c>
      <c r="DS120" s="443"/>
      <c r="DT120" s="432">
        <v>0</v>
      </c>
      <c r="DU120" s="434">
        <f t="shared" ca="1" si="449"/>
        <v>0</v>
      </c>
      <c r="DV120" s="443"/>
      <c r="DW120" s="432">
        <v>0</v>
      </c>
      <c r="DX120" s="434">
        <f t="shared" ca="1" si="450"/>
        <v>0</v>
      </c>
      <c r="DY120" s="443"/>
      <c r="DZ120" s="432">
        <f t="shared" si="451"/>
        <v>0</v>
      </c>
      <c r="EA120" s="444">
        <f t="shared" ca="1" si="452"/>
        <v>0</v>
      </c>
      <c r="EB120" s="433"/>
      <c r="EC120" s="170"/>
      <c r="ED120" s="170"/>
      <c r="EE120" s="170"/>
      <c r="EF120" s="170"/>
      <c r="EG120" s="170"/>
      <c r="EH120" s="170"/>
      <c r="EI120" s="170"/>
      <c r="EJ120" s="170"/>
      <c r="EK120" s="170"/>
    </row>
    <row r="121" spans="1:141" ht="15" x14ac:dyDescent="0.25">
      <c r="A121" s="170"/>
      <c r="B121" s="424">
        <v>5</v>
      </c>
      <c r="C121" s="424">
        <v>5</v>
      </c>
      <c r="D121" s="424">
        <v>6</v>
      </c>
      <c r="E121" s="425">
        <v>11</v>
      </c>
      <c r="F121" s="493"/>
      <c r="G121" s="1308" t="str">
        <f t="shared" si="453"/>
        <v>Property or CWIP tax large proj. allowance</v>
      </c>
      <c r="H121" s="1308" t="str">
        <f t="shared" si="454"/>
        <v>BR</v>
      </c>
      <c r="I121" s="1310">
        <f t="shared" si="469"/>
        <v>0</v>
      </c>
      <c r="J121" s="1685"/>
      <c r="K121" s="1311">
        <f t="shared" si="424"/>
        <v>0</v>
      </c>
      <c r="L121" s="1312">
        <f t="shared" si="424"/>
        <v>3582.77</v>
      </c>
      <c r="M121" s="1687"/>
      <c r="N121" s="1340"/>
      <c r="O121" s="1312">
        <f t="shared" ca="1" si="425"/>
        <v>3917</v>
      </c>
      <c r="P121" s="1685"/>
      <c r="Q121" s="1313">
        <f t="shared" si="470"/>
        <v>0</v>
      </c>
      <c r="R121" s="1312">
        <f t="shared" ca="1" si="426"/>
        <v>7980</v>
      </c>
      <c r="S121" s="1685"/>
      <c r="T121" s="1313">
        <f t="shared" si="471"/>
        <v>0</v>
      </c>
      <c r="U121" s="1312">
        <f t="shared" ca="1" si="427"/>
        <v>225607</v>
      </c>
      <c r="V121" s="1685"/>
      <c r="W121" s="1313">
        <f t="shared" si="472"/>
        <v>0</v>
      </c>
      <c r="X121" s="1312">
        <f t="shared" si="428"/>
        <v>561368</v>
      </c>
      <c r="Y121" s="1685"/>
      <c r="Z121" s="1313">
        <f t="shared" si="473"/>
        <v>0</v>
      </c>
      <c r="AA121" s="1312">
        <f t="shared" ca="1" si="429"/>
        <v>0</v>
      </c>
      <c r="AB121" s="1685"/>
      <c r="AC121" s="1313">
        <f t="shared" si="474"/>
        <v>0</v>
      </c>
      <c r="AD121" s="1312">
        <f t="shared" ca="1" si="430"/>
        <v>0</v>
      </c>
      <c r="AE121" s="1685"/>
      <c r="AF121" s="1313">
        <f t="shared" si="475"/>
        <v>0</v>
      </c>
      <c r="AG121" s="1312">
        <f t="shared" ca="1" si="431"/>
        <v>0</v>
      </c>
      <c r="AH121" s="1685"/>
      <c r="AI121" s="1313">
        <f t="shared" si="476"/>
        <v>0</v>
      </c>
      <c r="AJ121" s="1312">
        <f t="shared" ca="1" si="432"/>
        <v>0</v>
      </c>
      <c r="AK121" s="1685"/>
      <c r="AL121" s="1313">
        <f t="shared" si="477"/>
        <v>0</v>
      </c>
      <c r="AM121" s="1312">
        <f t="shared" ca="1" si="433"/>
        <v>0</v>
      </c>
      <c r="AN121" s="1685"/>
      <c r="AO121" s="1313">
        <f t="shared" si="478"/>
        <v>0</v>
      </c>
      <c r="AP121" s="1312">
        <f t="shared" ca="1" si="434"/>
        <v>0</v>
      </c>
      <c r="AQ121" s="1685"/>
      <c r="AR121" s="1313">
        <f t="shared" si="435"/>
        <v>0</v>
      </c>
      <c r="AS121" s="1312">
        <f t="shared" ca="1" si="436"/>
        <v>802454.77</v>
      </c>
      <c r="AT121" s="1687"/>
      <c r="AU121" s="411"/>
      <c r="AV121" s="1757">
        <f t="shared" ca="1" si="466"/>
        <v>802454.77</v>
      </c>
      <c r="AW121" s="411"/>
      <c r="AX121" s="493"/>
      <c r="AY121" s="1566" t="s">
        <v>1467</v>
      </c>
      <c r="AZ121" s="1567" t="s">
        <v>306</v>
      </c>
      <c r="BA121" s="474"/>
      <c r="BB121" s="1579"/>
      <c r="BC121" s="1599">
        <v>0</v>
      </c>
      <c r="BD121" s="1600">
        <v>3582.77</v>
      </c>
      <c r="BE121" s="1579"/>
      <c r="BF121" s="1605"/>
      <c r="BG121" s="1394">
        <f ca="1">ROUND((+BD201+BG34+BG65+BG76+BG88+BG104+SUM(BG105:BG120))*'Data Input sheet'!D54,-2)-BD121</f>
        <v>3917.23</v>
      </c>
      <c r="BH121" s="1579"/>
      <c r="BI121" s="1605">
        <v>0</v>
      </c>
      <c r="BJ121" s="1394">
        <f ca="1">ROUND((+BD201+BG201+BJ34+BJ65+BJ76+BJ88+BJ104+SUM(BJ105:BJ120))*'Data Input sheet'!G54,-2)</f>
        <v>7600</v>
      </c>
      <c r="BK121" s="1666"/>
      <c r="BL121" s="1605"/>
      <c r="BM121" s="1394">
        <f ca="1">ROUND((+BD201+BG201+BJ201+BM34+BM65+BM76+BM88+BM104+SUM(BM105:BM120))*'Data Input sheet'!J54,-2)</f>
        <v>206600</v>
      </c>
      <c r="BN121" s="1579"/>
      <c r="BO121" s="1605">
        <v>0</v>
      </c>
      <c r="BP121" s="1394">
        <v>499100</v>
      </c>
      <c r="BQ121" s="1579"/>
      <c r="BR121" s="1605">
        <v>0</v>
      </c>
      <c r="BS121" s="1394">
        <f ca="1">ROUND((+BD201+BG201+BJ201+BM201+BP201+BS34+BS65+BS76+BS88+BS104+SUM(BS105:BS120))*'Data Input sheet'!P54,-2)</f>
        <v>0</v>
      </c>
      <c r="BT121" s="1579"/>
      <c r="BU121" s="1605">
        <v>0</v>
      </c>
      <c r="BV121" s="1394">
        <f ca="1">ROUND((+BD201+BG201+BJ201+BM201+BP201+BS201+BV34+BV65+BV76+BV88+BV104+SUM(BV105:BV120))*'Data Input sheet'!S54,-2)</f>
        <v>0</v>
      </c>
      <c r="BW121" s="1579"/>
      <c r="BX121" s="1605">
        <v>0</v>
      </c>
      <c r="BY121" s="1394">
        <f ca="1">ROUND((+BG201+BJ201+BM201+BP201+BS201+BV201+BY34+BY65+BY76+BY88+BY104+SUM(BY105:BY120))*'Data Input sheet'!V54,-2)</f>
        <v>0</v>
      </c>
      <c r="BZ121" s="1579"/>
      <c r="CA121" s="1605">
        <v>0</v>
      </c>
      <c r="CB121" s="1394">
        <f ca="1">ROUND((+BJ201+BM201+BP201+BS201+BV201+BY201+CB34+CB65+CB76+CB88+CB104+SUM(CB105:CB120))*'Data Input sheet'!Y54,-2)</f>
        <v>0</v>
      </c>
      <c r="CC121" s="1579"/>
      <c r="CD121" s="1605">
        <v>0</v>
      </c>
      <c r="CE121" s="1394">
        <f ca="1">ROUND((+BM201+BP201+BS201+BV201+BY201+CB201+CE34+CE65+CE76+CE88+CE104+SUM(CE105:CE120))*'Data Input sheet'!AB54,-2)</f>
        <v>0</v>
      </c>
      <c r="CF121" s="1579"/>
      <c r="CG121" s="1605">
        <v>0</v>
      </c>
      <c r="CH121" s="1394">
        <f ca="1">ROUND((+BP201+BS201+BV201+BY201+CB201+CE201+CH34+CH65+CH76+CH88+CH104+SUM(CH105:CH120))*'Data Input sheet'!AE54,-2)</f>
        <v>0</v>
      </c>
      <c r="CI121" s="1579"/>
      <c r="CJ121" s="1257">
        <f t="shared" si="437"/>
        <v>0</v>
      </c>
      <c r="CK121" s="1395">
        <f ca="1">+BS121+BP121+BM121+BJ121+BG121+BD121+BV121+BY121+CB121+CE121+CH121</f>
        <v>720800</v>
      </c>
      <c r="CL121" s="427"/>
      <c r="CM121" s="170"/>
      <c r="CN121" s="493"/>
      <c r="CO121" s="428" t="str">
        <f t="shared" si="439"/>
        <v>Property or CWIP tax large proj. allowance</v>
      </c>
      <c r="CP121" s="429" t="s">
        <v>306</v>
      </c>
      <c r="CQ121" s="475"/>
      <c r="CR121" s="443"/>
      <c r="CS121" s="430"/>
      <c r="CT121" s="431">
        <f t="shared" si="440"/>
        <v>0</v>
      </c>
      <c r="CU121" s="443"/>
      <c r="CV121" s="430"/>
      <c r="CW121" s="434">
        <f t="shared" ca="1" si="441"/>
        <v>-0.23000000000001819</v>
      </c>
      <c r="CX121" s="443"/>
      <c r="CY121" s="432">
        <v>0</v>
      </c>
      <c r="CZ121" s="434">
        <f t="shared" ca="1" si="442"/>
        <v>380</v>
      </c>
      <c r="DA121" s="443"/>
      <c r="DB121" s="432">
        <v>0</v>
      </c>
      <c r="DC121" s="434">
        <f t="shared" ca="1" si="443"/>
        <v>19007</v>
      </c>
      <c r="DD121" s="443"/>
      <c r="DE121" s="432">
        <v>0</v>
      </c>
      <c r="DF121" s="434">
        <f t="shared" si="444"/>
        <v>62268</v>
      </c>
      <c r="DG121" s="443"/>
      <c r="DH121" s="432">
        <v>0</v>
      </c>
      <c r="DI121" s="434">
        <f t="shared" ca="1" si="445"/>
        <v>0</v>
      </c>
      <c r="DJ121" s="443"/>
      <c r="DK121" s="432">
        <v>0</v>
      </c>
      <c r="DL121" s="434">
        <f t="shared" ca="1" si="446"/>
        <v>0</v>
      </c>
      <c r="DM121" s="443"/>
      <c r="DN121" s="432">
        <v>0</v>
      </c>
      <c r="DO121" s="434">
        <f t="shared" ca="1" si="447"/>
        <v>0</v>
      </c>
      <c r="DP121" s="443"/>
      <c r="DQ121" s="432">
        <v>0</v>
      </c>
      <c r="DR121" s="434">
        <f t="shared" ca="1" si="448"/>
        <v>0</v>
      </c>
      <c r="DS121" s="443"/>
      <c r="DT121" s="432">
        <v>0</v>
      </c>
      <c r="DU121" s="434">
        <f t="shared" ca="1" si="449"/>
        <v>0</v>
      </c>
      <c r="DV121" s="443"/>
      <c r="DW121" s="432">
        <v>0</v>
      </c>
      <c r="DX121" s="434">
        <f t="shared" ca="1" si="450"/>
        <v>0</v>
      </c>
      <c r="DY121" s="443"/>
      <c r="DZ121" s="432">
        <f t="shared" si="451"/>
        <v>0</v>
      </c>
      <c r="EA121" s="444">
        <f t="shared" ca="1" si="452"/>
        <v>81654.77</v>
      </c>
      <c r="EB121" s="433"/>
      <c r="EC121" s="170"/>
      <c r="ED121" s="170"/>
      <c r="EE121" s="170"/>
      <c r="EF121" s="170"/>
      <c r="EG121" s="170"/>
      <c r="EH121" s="170"/>
      <c r="EI121" s="170"/>
      <c r="EJ121" s="170"/>
      <c r="EK121" s="170"/>
    </row>
    <row r="122" spans="1:141" ht="25.5" x14ac:dyDescent="0.25">
      <c r="A122" s="170"/>
      <c r="B122" s="424">
        <v>5</v>
      </c>
      <c r="C122" s="424">
        <v>5</v>
      </c>
      <c r="D122" s="424">
        <v>6</v>
      </c>
      <c r="E122" s="425">
        <v>11</v>
      </c>
      <c r="F122" s="493"/>
      <c r="G122" s="1308" t="str">
        <f t="shared" ref="G122" si="479">+AY122</f>
        <v>Builder All risk insurance excluding deductables( if project is over $50m)</v>
      </c>
      <c r="H122" s="1308" t="str">
        <f t="shared" ref="H122" si="480">+AZ122</f>
        <v>BR</v>
      </c>
      <c r="I122" s="1310">
        <f t="shared" ref="I122" si="481">+BA122</f>
        <v>7.0000000000000001E-3</v>
      </c>
      <c r="J122" s="1685"/>
      <c r="K122" s="1311">
        <f t="shared" ref="K122" si="482">+BC122</f>
        <v>0</v>
      </c>
      <c r="L122" s="1312">
        <f t="shared" ref="L122" si="483">+BD122</f>
        <v>0</v>
      </c>
      <c r="M122" s="1687"/>
      <c r="N122" s="1340"/>
      <c r="O122" s="1312">
        <f t="shared" ca="1" si="425"/>
        <v>0</v>
      </c>
      <c r="P122" s="1685"/>
      <c r="Q122" s="1313">
        <f t="shared" si="470"/>
        <v>0</v>
      </c>
      <c r="R122" s="1312">
        <f t="shared" ca="1" si="426"/>
        <v>0</v>
      </c>
      <c r="S122" s="1685"/>
      <c r="T122" s="1313">
        <f t="shared" si="471"/>
        <v>0</v>
      </c>
      <c r="U122" s="1312">
        <f t="shared" ca="1" si="427"/>
        <v>0</v>
      </c>
      <c r="V122" s="1685"/>
      <c r="W122" s="1313">
        <f t="shared" si="472"/>
        <v>0</v>
      </c>
      <c r="X122" s="1312">
        <f t="shared" ca="1" si="428"/>
        <v>105904</v>
      </c>
      <c r="Y122" s="1685"/>
      <c r="Z122" s="1313">
        <f t="shared" si="473"/>
        <v>0</v>
      </c>
      <c r="AA122" s="1312">
        <f t="shared" ca="1" si="429"/>
        <v>21734</v>
      </c>
      <c r="AB122" s="1685"/>
      <c r="AC122" s="1313">
        <f t="shared" si="474"/>
        <v>0</v>
      </c>
      <c r="AD122" s="1312">
        <f t="shared" ca="1" si="430"/>
        <v>0</v>
      </c>
      <c r="AE122" s="1685"/>
      <c r="AF122" s="1313">
        <f t="shared" si="475"/>
        <v>0</v>
      </c>
      <c r="AG122" s="1312">
        <f t="shared" ca="1" si="431"/>
        <v>0</v>
      </c>
      <c r="AH122" s="1685"/>
      <c r="AI122" s="1313">
        <f t="shared" si="476"/>
        <v>0</v>
      </c>
      <c r="AJ122" s="1312">
        <f t="shared" ca="1" si="432"/>
        <v>0</v>
      </c>
      <c r="AK122" s="1685"/>
      <c r="AL122" s="1313">
        <f t="shared" si="477"/>
        <v>0</v>
      </c>
      <c r="AM122" s="1312">
        <f t="shared" ca="1" si="433"/>
        <v>0</v>
      </c>
      <c r="AN122" s="1685"/>
      <c r="AO122" s="1313">
        <f t="shared" si="478"/>
        <v>0</v>
      </c>
      <c r="AP122" s="1312">
        <f t="shared" ca="1" si="434"/>
        <v>0</v>
      </c>
      <c r="AQ122" s="1685"/>
      <c r="AR122" s="1313">
        <f t="shared" si="435"/>
        <v>0</v>
      </c>
      <c r="AS122" s="1312">
        <f t="shared" ca="1" si="436"/>
        <v>127638</v>
      </c>
      <c r="AT122" s="1687"/>
      <c r="AU122" s="411"/>
      <c r="AV122" s="1757">
        <f t="shared" ca="1" si="466"/>
        <v>127638</v>
      </c>
      <c r="AW122" s="411"/>
      <c r="AX122" s="493"/>
      <c r="AY122" s="2432" t="s">
        <v>2598</v>
      </c>
      <c r="AZ122" s="1567" t="s">
        <v>306</v>
      </c>
      <c r="BA122" s="2709">
        <f>BAR_Rate</f>
        <v>7.0000000000000001E-3</v>
      </c>
      <c r="BB122" s="1579"/>
      <c r="BC122" s="1599">
        <v>0</v>
      </c>
      <c r="BD122" s="1600"/>
      <c r="BE122" s="1579"/>
      <c r="BF122" s="1603"/>
      <c r="BG122" s="2699">
        <f ca="1">IF(BG34&gt;0,BAR_Rate*SUM(BG34,BG65,BG76,BG88,BG104,BG105:BG121,BG142,BG155),0)</f>
        <v>0</v>
      </c>
      <c r="BH122" s="1579"/>
      <c r="BI122" s="1603">
        <v>0</v>
      </c>
      <c r="BJ122" s="2699">
        <f ca="1">IF(BJ34&gt;0,BAR_Rate*SUM(BJ34,BJ65,BJ76,BJ88,BJ104,BJ105:BJ121,BJ142,BJ155),0)</f>
        <v>0</v>
      </c>
      <c r="BK122" s="1666"/>
      <c r="BL122" s="1603"/>
      <c r="BM122" s="2699">
        <f ca="1">IF(BM34&gt;0,BAR_Rate*SUM(BM34,BM65,BM76,BM88,BM104,BM105:BM121,BM142,BM155),0)</f>
        <v>0</v>
      </c>
      <c r="BN122" s="1579"/>
      <c r="BO122" s="1603">
        <v>0</v>
      </c>
      <c r="BP122" s="2699">
        <f ca="1">IF(BP34&gt;0,BAR_Rate*SUM(BP34,BP65,BP76,BP88,BP104,BP105:BP121,BP142,BP155),0)</f>
        <v>94157.08729000001</v>
      </c>
      <c r="BQ122" s="1579"/>
      <c r="BR122" s="1603">
        <v>0</v>
      </c>
      <c r="BS122" s="2699">
        <f ca="1">IF(BS34&gt;0,BAR_Rate*SUM(BS34,BS65,BS76,BS88,BS104,BS105:BS121,BS142,BS155),0)</f>
        <v>18760.392</v>
      </c>
      <c r="BT122" s="1579"/>
      <c r="BU122" s="1603">
        <v>0</v>
      </c>
      <c r="BV122" s="2699">
        <f ca="1">IF(BV34&gt;0,BAR_Rate*SUM(BV34,BV65,BV76,BV88,BV104,BV105:BV121,BV142,BV155),0)</f>
        <v>0</v>
      </c>
      <c r="BW122" s="1579"/>
      <c r="BX122" s="1603">
        <v>0</v>
      </c>
      <c r="BY122" s="2699">
        <f ca="1">IF(BY34&gt;0,BAR_Rate*SUM(BY34,BY65,BY76,BY88,BY104,BY105:BY121,BY142,BY155),0)</f>
        <v>0</v>
      </c>
      <c r="BZ122" s="1579"/>
      <c r="CA122" s="1603">
        <v>0</v>
      </c>
      <c r="CB122" s="2699">
        <f ca="1">IF(CB34&gt;0,BAR_Rate*SUM(CB34,CB65,CB76,CB88,CB104,CB105:CB121,CB142,CB155),0)</f>
        <v>0</v>
      </c>
      <c r="CC122" s="1579"/>
      <c r="CD122" s="1603">
        <v>0</v>
      </c>
      <c r="CE122" s="2699">
        <f ca="1">IF(CE34&gt;0,BAR_Rate*SUM(CE34,CE65,CE76,CE88,CE104,CE105:CE121,CE142,CE155),0)</f>
        <v>0</v>
      </c>
      <c r="CF122" s="1579"/>
      <c r="CG122" s="1603">
        <v>0</v>
      </c>
      <c r="CH122" s="2699">
        <f ca="1">IF(CH34&gt;0,BAR_Rate*SUM(CH34,CH65,CH76,CH88,CH104,CH105:CH121,CH142,CH155),0)</f>
        <v>0</v>
      </c>
      <c r="CI122" s="1579"/>
      <c r="CJ122" s="1257">
        <f t="shared" si="437"/>
        <v>0</v>
      </c>
      <c r="CK122" s="1395">
        <f t="shared" ca="1" si="438"/>
        <v>112917.47929000002</v>
      </c>
      <c r="CL122" s="427"/>
      <c r="CM122" s="170"/>
      <c r="CN122" s="493"/>
      <c r="CO122" s="428" t="str">
        <f t="shared" si="439"/>
        <v>Builder All risk insurance excluding deductables( if project is over $50m)</v>
      </c>
      <c r="CP122" s="429" t="s">
        <v>306</v>
      </c>
      <c r="CQ122" s="475"/>
      <c r="CR122" s="443"/>
      <c r="CS122" s="430"/>
      <c r="CT122" s="431">
        <f t="shared" si="440"/>
        <v>0</v>
      </c>
      <c r="CU122" s="443"/>
      <c r="CV122" s="430"/>
      <c r="CW122" s="434">
        <f t="shared" ca="1" si="441"/>
        <v>0</v>
      </c>
      <c r="CX122" s="443"/>
      <c r="CY122" s="432">
        <v>0</v>
      </c>
      <c r="CZ122" s="434">
        <f t="shared" ca="1" si="442"/>
        <v>0</v>
      </c>
      <c r="DA122" s="443"/>
      <c r="DB122" s="432">
        <v>0</v>
      </c>
      <c r="DC122" s="434">
        <f t="shared" ca="1" si="443"/>
        <v>0</v>
      </c>
      <c r="DD122" s="443"/>
      <c r="DE122" s="432">
        <v>0</v>
      </c>
      <c r="DF122" s="434">
        <f t="shared" ca="1" si="444"/>
        <v>11746.91270999999</v>
      </c>
      <c r="DG122" s="443"/>
      <c r="DH122" s="432">
        <v>0</v>
      </c>
      <c r="DI122" s="434">
        <f t="shared" ca="1" si="445"/>
        <v>2973.6080000000002</v>
      </c>
      <c r="DJ122" s="443"/>
      <c r="DK122" s="432">
        <v>0</v>
      </c>
      <c r="DL122" s="434">
        <f t="shared" ca="1" si="446"/>
        <v>0</v>
      </c>
      <c r="DM122" s="443"/>
      <c r="DN122" s="432">
        <v>0</v>
      </c>
      <c r="DO122" s="434">
        <f t="shared" ca="1" si="447"/>
        <v>0</v>
      </c>
      <c r="DP122" s="443"/>
      <c r="DQ122" s="432">
        <v>0</v>
      </c>
      <c r="DR122" s="434">
        <f t="shared" ca="1" si="448"/>
        <v>0</v>
      </c>
      <c r="DS122" s="443"/>
      <c r="DT122" s="432">
        <v>0</v>
      </c>
      <c r="DU122" s="434">
        <f t="shared" ca="1" si="449"/>
        <v>0</v>
      </c>
      <c r="DV122" s="443"/>
      <c r="DW122" s="432">
        <v>0</v>
      </c>
      <c r="DX122" s="434">
        <f t="shared" ca="1" si="450"/>
        <v>0</v>
      </c>
      <c r="DY122" s="443"/>
      <c r="DZ122" s="432">
        <f t="shared" si="451"/>
        <v>0</v>
      </c>
      <c r="EA122" s="444">
        <f t="shared" ca="1" si="452"/>
        <v>14720.52070999999</v>
      </c>
      <c r="EB122" s="433"/>
      <c r="EC122" s="170"/>
      <c r="ED122" s="170"/>
      <c r="EE122" s="170"/>
      <c r="EF122" s="170"/>
      <c r="EG122" s="170"/>
      <c r="EH122" s="170"/>
      <c r="EI122" s="170"/>
      <c r="EJ122" s="170"/>
      <c r="EK122" s="170"/>
    </row>
    <row r="123" spans="1:141" ht="15" x14ac:dyDescent="0.25">
      <c r="A123" s="170"/>
      <c r="B123" s="424">
        <v>5</v>
      </c>
      <c r="C123" s="424">
        <v>5</v>
      </c>
      <c r="D123" s="424">
        <v>6</v>
      </c>
      <c r="E123" s="425">
        <v>2</v>
      </c>
      <c r="F123" s="493"/>
      <c r="G123" s="1308" t="str">
        <f t="shared" si="453"/>
        <v>Fees and Payments - Enviromental</v>
      </c>
      <c r="H123" s="1308" t="str">
        <f t="shared" si="454"/>
        <v>BF</v>
      </c>
      <c r="I123" s="1310">
        <f t="shared" si="469"/>
        <v>0</v>
      </c>
      <c r="J123" s="1687"/>
      <c r="K123" s="1311">
        <f t="shared" si="424"/>
        <v>0</v>
      </c>
      <c r="L123" s="1312">
        <f t="shared" si="424"/>
        <v>0</v>
      </c>
      <c r="M123" s="1723"/>
      <c r="N123" s="1715"/>
      <c r="O123" s="1312">
        <f t="shared" si="425"/>
        <v>0</v>
      </c>
      <c r="P123" s="1685"/>
      <c r="Q123" s="1313">
        <f t="shared" si="470"/>
        <v>0</v>
      </c>
      <c r="R123" s="1312">
        <f t="shared" si="426"/>
        <v>0</v>
      </c>
      <c r="S123" s="1685"/>
      <c r="T123" s="1313">
        <f t="shared" si="471"/>
        <v>0</v>
      </c>
      <c r="U123" s="1312">
        <f t="shared" si="427"/>
        <v>0</v>
      </c>
      <c r="V123" s="1685"/>
      <c r="W123" s="1313">
        <f t="shared" si="472"/>
        <v>0</v>
      </c>
      <c r="X123" s="1312">
        <f t="shared" si="428"/>
        <v>0</v>
      </c>
      <c r="Y123" s="1685"/>
      <c r="Z123" s="1313">
        <f t="shared" si="473"/>
        <v>0</v>
      </c>
      <c r="AA123" s="1312">
        <f t="shared" si="429"/>
        <v>0</v>
      </c>
      <c r="AB123" s="1685"/>
      <c r="AC123" s="1313">
        <f t="shared" si="474"/>
        <v>0</v>
      </c>
      <c r="AD123" s="1312">
        <f t="shared" si="430"/>
        <v>0</v>
      </c>
      <c r="AE123" s="1685"/>
      <c r="AF123" s="1313">
        <f t="shared" si="475"/>
        <v>0</v>
      </c>
      <c r="AG123" s="1312">
        <f t="shared" si="431"/>
        <v>0</v>
      </c>
      <c r="AH123" s="1685"/>
      <c r="AI123" s="1313">
        <f t="shared" si="476"/>
        <v>0</v>
      </c>
      <c r="AJ123" s="1312">
        <f t="shared" si="432"/>
        <v>0</v>
      </c>
      <c r="AK123" s="1685"/>
      <c r="AL123" s="1313">
        <f t="shared" si="477"/>
        <v>0</v>
      </c>
      <c r="AM123" s="1312">
        <f t="shared" si="433"/>
        <v>0</v>
      </c>
      <c r="AN123" s="1685"/>
      <c r="AO123" s="1313">
        <f t="shared" si="478"/>
        <v>0</v>
      </c>
      <c r="AP123" s="1312">
        <f t="shared" si="434"/>
        <v>0</v>
      </c>
      <c r="AQ123" s="1685"/>
      <c r="AR123" s="1313">
        <f t="shared" si="435"/>
        <v>0</v>
      </c>
      <c r="AS123" s="1312">
        <f t="shared" si="436"/>
        <v>0</v>
      </c>
      <c r="AT123" s="1687"/>
      <c r="AU123" s="411"/>
      <c r="AV123" s="1757">
        <f t="shared" si="466"/>
        <v>0</v>
      </c>
      <c r="AW123" s="411"/>
      <c r="AX123" s="493"/>
      <c r="AY123" s="1566" t="s">
        <v>352</v>
      </c>
      <c r="AZ123" s="1567" t="s">
        <v>328</v>
      </c>
      <c r="BA123" s="479"/>
      <c r="BB123" s="1632"/>
      <c r="BC123" s="1599">
        <v>0</v>
      </c>
      <c r="BD123" s="1600"/>
      <c r="BE123" s="1579"/>
      <c r="BF123" s="1605">
        <v>0</v>
      </c>
      <c r="BG123" s="1394">
        <v>0</v>
      </c>
      <c r="BH123" s="1579"/>
      <c r="BI123" s="1605">
        <v>0</v>
      </c>
      <c r="BJ123" s="1394">
        <v>0</v>
      </c>
      <c r="BK123" s="1666"/>
      <c r="BL123" s="1605"/>
      <c r="BM123" s="1394">
        <v>0</v>
      </c>
      <c r="BN123" s="1579"/>
      <c r="BO123" s="1605">
        <v>0</v>
      </c>
      <c r="BP123" s="1394">
        <v>0</v>
      </c>
      <c r="BQ123" s="1579"/>
      <c r="BR123" s="1605">
        <v>0</v>
      </c>
      <c r="BS123" s="1394">
        <v>0</v>
      </c>
      <c r="BT123" s="1579"/>
      <c r="BU123" s="1605">
        <v>0</v>
      </c>
      <c r="BV123" s="1394">
        <v>0</v>
      </c>
      <c r="BW123" s="1579"/>
      <c r="BX123" s="1605">
        <v>0</v>
      </c>
      <c r="BY123" s="1394">
        <v>0</v>
      </c>
      <c r="BZ123" s="1579"/>
      <c r="CA123" s="1605">
        <v>0</v>
      </c>
      <c r="CB123" s="1394">
        <v>0</v>
      </c>
      <c r="CC123" s="1579"/>
      <c r="CD123" s="1605">
        <v>0</v>
      </c>
      <c r="CE123" s="1394">
        <v>0</v>
      </c>
      <c r="CF123" s="1579"/>
      <c r="CG123" s="1605">
        <v>0</v>
      </c>
      <c r="CH123" s="1394">
        <v>0</v>
      </c>
      <c r="CI123" s="1579"/>
      <c r="CJ123" s="1257">
        <f t="shared" si="437"/>
        <v>0</v>
      </c>
      <c r="CK123" s="1395">
        <f t="shared" si="438"/>
        <v>0</v>
      </c>
      <c r="CL123" s="427"/>
      <c r="CM123" s="170"/>
      <c r="CN123" s="493"/>
      <c r="CO123" s="428" t="str">
        <f t="shared" si="439"/>
        <v>Fees and Payments - Enviromental</v>
      </c>
      <c r="CP123" s="429" t="s">
        <v>328</v>
      </c>
      <c r="CQ123" s="480"/>
      <c r="CR123" s="1703"/>
      <c r="CS123" s="1697"/>
      <c r="CT123" s="452">
        <f t="shared" si="440"/>
        <v>0</v>
      </c>
      <c r="CU123" s="1703"/>
      <c r="CV123" s="1697"/>
      <c r="CW123" s="434">
        <f t="shared" si="441"/>
        <v>0</v>
      </c>
      <c r="CX123" s="443"/>
      <c r="CY123" s="432">
        <v>0</v>
      </c>
      <c r="CZ123" s="434">
        <f t="shared" si="442"/>
        <v>0</v>
      </c>
      <c r="DA123" s="443"/>
      <c r="DB123" s="432">
        <v>0</v>
      </c>
      <c r="DC123" s="434">
        <f t="shared" si="443"/>
        <v>0</v>
      </c>
      <c r="DD123" s="443"/>
      <c r="DE123" s="432">
        <v>0</v>
      </c>
      <c r="DF123" s="434">
        <f t="shared" si="444"/>
        <v>0</v>
      </c>
      <c r="DG123" s="443"/>
      <c r="DH123" s="432">
        <v>0</v>
      </c>
      <c r="DI123" s="434">
        <f t="shared" si="445"/>
        <v>0</v>
      </c>
      <c r="DJ123" s="443"/>
      <c r="DK123" s="432">
        <v>0</v>
      </c>
      <c r="DL123" s="434">
        <f t="shared" si="446"/>
        <v>0</v>
      </c>
      <c r="DM123" s="443"/>
      <c r="DN123" s="432">
        <v>0</v>
      </c>
      <c r="DO123" s="434">
        <f t="shared" si="447"/>
        <v>0</v>
      </c>
      <c r="DP123" s="443"/>
      <c r="DQ123" s="432">
        <v>0</v>
      </c>
      <c r="DR123" s="434">
        <f t="shared" si="448"/>
        <v>0</v>
      </c>
      <c r="DS123" s="443"/>
      <c r="DT123" s="432">
        <v>0</v>
      </c>
      <c r="DU123" s="434">
        <f t="shared" si="449"/>
        <v>0</v>
      </c>
      <c r="DV123" s="443"/>
      <c r="DW123" s="432">
        <v>0</v>
      </c>
      <c r="DX123" s="434">
        <f t="shared" si="450"/>
        <v>0</v>
      </c>
      <c r="DY123" s="443"/>
      <c r="DZ123" s="432">
        <f t="shared" si="451"/>
        <v>0</v>
      </c>
      <c r="EA123" s="444">
        <f t="shared" si="452"/>
        <v>0</v>
      </c>
      <c r="EB123" s="433"/>
      <c r="EC123" s="170"/>
      <c r="ED123" s="170"/>
      <c r="EE123" s="170"/>
      <c r="EF123" s="170"/>
      <c r="EG123" s="170"/>
      <c r="EH123" s="170"/>
      <c r="EI123" s="170"/>
      <c r="EJ123" s="170"/>
      <c r="EK123" s="170"/>
    </row>
    <row r="124" spans="1:141" ht="15" x14ac:dyDescent="0.25">
      <c r="A124" s="170"/>
      <c r="B124" s="424">
        <v>5</v>
      </c>
      <c r="C124" s="424">
        <v>5</v>
      </c>
      <c r="D124" s="424">
        <v>6</v>
      </c>
      <c r="E124" s="425">
        <v>4</v>
      </c>
      <c r="F124" s="493"/>
      <c r="G124" s="1308" t="str">
        <f t="shared" si="453"/>
        <v>Fees and Payments - Siting</v>
      </c>
      <c r="H124" s="1308" t="str">
        <f t="shared" si="454"/>
        <v>BF</v>
      </c>
      <c r="I124" s="1310">
        <f t="shared" si="469"/>
        <v>0</v>
      </c>
      <c r="J124" s="1687"/>
      <c r="K124" s="1311">
        <f t="shared" si="424"/>
        <v>0</v>
      </c>
      <c r="L124" s="1312">
        <f t="shared" si="424"/>
        <v>0</v>
      </c>
      <c r="M124" s="1723"/>
      <c r="N124" s="1715"/>
      <c r="O124" s="1312">
        <f t="shared" si="425"/>
        <v>0</v>
      </c>
      <c r="P124" s="1685"/>
      <c r="Q124" s="1313">
        <f t="shared" si="470"/>
        <v>0</v>
      </c>
      <c r="R124" s="1312">
        <f t="shared" si="426"/>
        <v>0</v>
      </c>
      <c r="S124" s="1685"/>
      <c r="T124" s="1313">
        <f t="shared" si="471"/>
        <v>0</v>
      </c>
      <c r="U124" s="1312">
        <f t="shared" si="427"/>
        <v>0</v>
      </c>
      <c r="V124" s="1685"/>
      <c r="W124" s="1313">
        <f t="shared" si="472"/>
        <v>0</v>
      </c>
      <c r="X124" s="1312">
        <f t="shared" si="428"/>
        <v>0</v>
      </c>
      <c r="Y124" s="1685"/>
      <c r="Z124" s="1313">
        <f t="shared" si="473"/>
        <v>0</v>
      </c>
      <c r="AA124" s="1312">
        <f t="shared" si="429"/>
        <v>0</v>
      </c>
      <c r="AB124" s="1685"/>
      <c r="AC124" s="1313">
        <f t="shared" si="474"/>
        <v>0</v>
      </c>
      <c r="AD124" s="1312">
        <f t="shared" si="430"/>
        <v>0</v>
      </c>
      <c r="AE124" s="1685"/>
      <c r="AF124" s="1313">
        <f t="shared" si="475"/>
        <v>0</v>
      </c>
      <c r="AG124" s="1312">
        <f t="shared" si="431"/>
        <v>0</v>
      </c>
      <c r="AH124" s="1685"/>
      <c r="AI124" s="1313">
        <f t="shared" si="476"/>
        <v>0</v>
      </c>
      <c r="AJ124" s="1312">
        <f t="shared" si="432"/>
        <v>0</v>
      </c>
      <c r="AK124" s="1685"/>
      <c r="AL124" s="1313">
        <f t="shared" si="477"/>
        <v>0</v>
      </c>
      <c r="AM124" s="1312">
        <f t="shared" si="433"/>
        <v>0</v>
      </c>
      <c r="AN124" s="1685"/>
      <c r="AO124" s="1313">
        <f t="shared" si="478"/>
        <v>0</v>
      </c>
      <c r="AP124" s="1312">
        <f t="shared" si="434"/>
        <v>0</v>
      </c>
      <c r="AQ124" s="1685"/>
      <c r="AR124" s="1313">
        <f t="shared" si="435"/>
        <v>0</v>
      </c>
      <c r="AS124" s="1312">
        <f t="shared" si="436"/>
        <v>0</v>
      </c>
      <c r="AT124" s="1687"/>
      <c r="AU124" s="411"/>
      <c r="AV124" s="1757">
        <f t="shared" si="466"/>
        <v>0</v>
      </c>
      <c r="AW124" s="411"/>
      <c r="AX124" s="493"/>
      <c r="AY124" s="1566" t="s">
        <v>353</v>
      </c>
      <c r="AZ124" s="1567" t="s">
        <v>328</v>
      </c>
      <c r="BA124" s="479"/>
      <c r="BB124" s="1632"/>
      <c r="BC124" s="1599">
        <v>0</v>
      </c>
      <c r="BD124" s="1600">
        <v>0</v>
      </c>
      <c r="BE124" s="1579"/>
      <c r="BF124" s="1605">
        <v>0</v>
      </c>
      <c r="BG124" s="1394">
        <v>0</v>
      </c>
      <c r="BH124" s="1579"/>
      <c r="BI124" s="1605">
        <v>0</v>
      </c>
      <c r="BJ124" s="1394">
        <v>0</v>
      </c>
      <c r="BK124" s="1666"/>
      <c r="BL124" s="1605"/>
      <c r="BM124" s="1394">
        <v>0</v>
      </c>
      <c r="BN124" s="1579"/>
      <c r="BO124" s="1605">
        <v>0</v>
      </c>
      <c r="BP124" s="1394">
        <v>0</v>
      </c>
      <c r="BQ124" s="1579"/>
      <c r="BR124" s="1605">
        <v>0</v>
      </c>
      <c r="BS124" s="1394">
        <v>0</v>
      </c>
      <c r="BT124" s="1579"/>
      <c r="BU124" s="1605">
        <v>0</v>
      </c>
      <c r="BV124" s="1394">
        <v>0</v>
      </c>
      <c r="BW124" s="1579"/>
      <c r="BX124" s="1605">
        <v>0</v>
      </c>
      <c r="BY124" s="1394">
        <v>0</v>
      </c>
      <c r="BZ124" s="1579"/>
      <c r="CA124" s="1605">
        <v>0</v>
      </c>
      <c r="CB124" s="1394">
        <v>0</v>
      </c>
      <c r="CC124" s="1579"/>
      <c r="CD124" s="1605">
        <v>0</v>
      </c>
      <c r="CE124" s="1394">
        <v>0</v>
      </c>
      <c r="CF124" s="1579"/>
      <c r="CG124" s="1605">
        <v>0</v>
      </c>
      <c r="CH124" s="1394">
        <v>0</v>
      </c>
      <c r="CI124" s="1579"/>
      <c r="CJ124" s="1257">
        <f t="shared" si="437"/>
        <v>0</v>
      </c>
      <c r="CK124" s="1395">
        <f t="shared" si="438"/>
        <v>0</v>
      </c>
      <c r="CL124" s="427"/>
      <c r="CM124" s="170"/>
      <c r="CN124" s="493"/>
      <c r="CO124" s="428" t="str">
        <f t="shared" si="439"/>
        <v>Fees and Payments - Siting</v>
      </c>
      <c r="CP124" s="429" t="s">
        <v>328</v>
      </c>
      <c r="CQ124" s="480"/>
      <c r="CR124" s="1703"/>
      <c r="CS124" s="1697"/>
      <c r="CT124" s="452">
        <f t="shared" si="440"/>
        <v>0</v>
      </c>
      <c r="CU124" s="1703"/>
      <c r="CV124" s="1697"/>
      <c r="CW124" s="434">
        <f t="shared" si="441"/>
        <v>0</v>
      </c>
      <c r="CX124" s="443"/>
      <c r="CY124" s="432">
        <v>0</v>
      </c>
      <c r="CZ124" s="434">
        <f t="shared" si="442"/>
        <v>0</v>
      </c>
      <c r="DA124" s="443"/>
      <c r="DB124" s="432">
        <v>0</v>
      </c>
      <c r="DC124" s="434">
        <f t="shared" si="443"/>
        <v>0</v>
      </c>
      <c r="DD124" s="443"/>
      <c r="DE124" s="432">
        <v>0</v>
      </c>
      <c r="DF124" s="434">
        <f t="shared" si="444"/>
        <v>0</v>
      </c>
      <c r="DG124" s="443"/>
      <c r="DH124" s="432">
        <v>0</v>
      </c>
      <c r="DI124" s="434">
        <f t="shared" si="445"/>
        <v>0</v>
      </c>
      <c r="DJ124" s="443"/>
      <c r="DK124" s="432">
        <v>0</v>
      </c>
      <c r="DL124" s="434">
        <f t="shared" si="446"/>
        <v>0</v>
      </c>
      <c r="DM124" s="443"/>
      <c r="DN124" s="432">
        <v>0</v>
      </c>
      <c r="DO124" s="434">
        <f t="shared" si="447"/>
        <v>0</v>
      </c>
      <c r="DP124" s="443"/>
      <c r="DQ124" s="432">
        <v>0</v>
      </c>
      <c r="DR124" s="434">
        <f t="shared" si="448"/>
        <v>0</v>
      </c>
      <c r="DS124" s="443"/>
      <c r="DT124" s="432">
        <v>0</v>
      </c>
      <c r="DU124" s="434">
        <f t="shared" si="449"/>
        <v>0</v>
      </c>
      <c r="DV124" s="443"/>
      <c r="DW124" s="432">
        <v>0</v>
      </c>
      <c r="DX124" s="434">
        <f t="shared" si="450"/>
        <v>0</v>
      </c>
      <c r="DY124" s="443"/>
      <c r="DZ124" s="432">
        <f t="shared" si="451"/>
        <v>0</v>
      </c>
      <c r="EA124" s="444">
        <f t="shared" si="452"/>
        <v>0</v>
      </c>
      <c r="EB124" s="433"/>
      <c r="EC124" s="170"/>
      <c r="ED124" s="170"/>
      <c r="EE124" s="170"/>
      <c r="EF124" s="170"/>
      <c r="EG124" s="170"/>
      <c r="EH124" s="170"/>
      <c r="EI124" s="170"/>
      <c r="EJ124" s="170"/>
      <c r="EK124" s="170"/>
    </row>
    <row r="125" spans="1:141" ht="15" x14ac:dyDescent="0.25">
      <c r="A125" s="170"/>
      <c r="B125" s="424">
        <v>5</v>
      </c>
      <c r="C125" s="424">
        <v>5</v>
      </c>
      <c r="D125" s="424">
        <v>6</v>
      </c>
      <c r="E125" s="425">
        <v>9</v>
      </c>
      <c r="F125" s="493"/>
      <c r="G125" s="1308" t="str">
        <f t="shared" si="453"/>
        <v>Fees and Payments - Other</v>
      </c>
      <c r="H125" s="1308" t="str">
        <f t="shared" si="454"/>
        <v>BF</v>
      </c>
      <c r="I125" s="1310">
        <f t="shared" si="469"/>
        <v>0</v>
      </c>
      <c r="J125" s="1687"/>
      <c r="K125" s="1311">
        <f t="shared" si="424"/>
        <v>0</v>
      </c>
      <c r="L125" s="1312">
        <f t="shared" si="424"/>
        <v>0</v>
      </c>
      <c r="M125" s="1723"/>
      <c r="N125" s="1715"/>
      <c r="O125" s="1312">
        <f t="shared" si="425"/>
        <v>0</v>
      </c>
      <c r="P125" s="1685"/>
      <c r="Q125" s="1313">
        <f t="shared" si="470"/>
        <v>0</v>
      </c>
      <c r="R125" s="1312">
        <f t="shared" si="426"/>
        <v>0</v>
      </c>
      <c r="S125" s="1685"/>
      <c r="T125" s="1313">
        <f t="shared" si="471"/>
        <v>0</v>
      </c>
      <c r="U125" s="1312">
        <f t="shared" si="427"/>
        <v>0</v>
      </c>
      <c r="V125" s="1685"/>
      <c r="W125" s="1313">
        <f t="shared" si="472"/>
        <v>0</v>
      </c>
      <c r="X125" s="1312">
        <f t="shared" si="428"/>
        <v>0</v>
      </c>
      <c r="Y125" s="1685"/>
      <c r="Z125" s="1313">
        <f t="shared" si="473"/>
        <v>0</v>
      </c>
      <c r="AA125" s="1312">
        <f t="shared" si="429"/>
        <v>0</v>
      </c>
      <c r="AB125" s="1685"/>
      <c r="AC125" s="1313">
        <f t="shared" si="474"/>
        <v>0</v>
      </c>
      <c r="AD125" s="1312">
        <f t="shared" si="430"/>
        <v>0</v>
      </c>
      <c r="AE125" s="1685"/>
      <c r="AF125" s="1313">
        <f t="shared" si="475"/>
        <v>0</v>
      </c>
      <c r="AG125" s="1312">
        <f t="shared" si="431"/>
        <v>0</v>
      </c>
      <c r="AH125" s="1685"/>
      <c r="AI125" s="1313">
        <f t="shared" si="476"/>
        <v>0</v>
      </c>
      <c r="AJ125" s="1312">
        <f t="shared" si="432"/>
        <v>0</v>
      </c>
      <c r="AK125" s="1685"/>
      <c r="AL125" s="1313">
        <f t="shared" si="477"/>
        <v>0</v>
      </c>
      <c r="AM125" s="1312">
        <f t="shared" si="433"/>
        <v>0</v>
      </c>
      <c r="AN125" s="1685"/>
      <c r="AO125" s="1313">
        <f t="shared" si="478"/>
        <v>0</v>
      </c>
      <c r="AP125" s="1312">
        <f t="shared" si="434"/>
        <v>0</v>
      </c>
      <c r="AQ125" s="1685"/>
      <c r="AR125" s="1313">
        <f t="shared" si="435"/>
        <v>0</v>
      </c>
      <c r="AS125" s="1312">
        <f t="shared" si="436"/>
        <v>0</v>
      </c>
      <c r="AT125" s="1687"/>
      <c r="AU125" s="411"/>
      <c r="AV125" s="1757">
        <f t="shared" si="466"/>
        <v>0</v>
      </c>
      <c r="AW125" s="411"/>
      <c r="AX125" s="493"/>
      <c r="AY125" s="1566" t="s">
        <v>354</v>
      </c>
      <c r="AZ125" s="1567" t="s">
        <v>328</v>
      </c>
      <c r="BA125" s="479"/>
      <c r="BB125" s="1632"/>
      <c r="BC125" s="1599">
        <v>0</v>
      </c>
      <c r="BD125" s="1600">
        <v>0</v>
      </c>
      <c r="BE125" s="1579"/>
      <c r="BF125" s="1605">
        <v>0</v>
      </c>
      <c r="BG125" s="1394">
        <v>0</v>
      </c>
      <c r="BH125" s="1579"/>
      <c r="BI125" s="1605">
        <v>0</v>
      </c>
      <c r="BJ125" s="1394">
        <v>0</v>
      </c>
      <c r="BK125" s="1666"/>
      <c r="BL125" s="1605"/>
      <c r="BM125" s="1394">
        <v>0</v>
      </c>
      <c r="BN125" s="1579"/>
      <c r="BO125" s="1605">
        <v>0</v>
      </c>
      <c r="BP125" s="1394">
        <v>0</v>
      </c>
      <c r="BQ125" s="1579"/>
      <c r="BR125" s="1605">
        <v>0</v>
      </c>
      <c r="BS125" s="1394">
        <v>0</v>
      </c>
      <c r="BT125" s="1579"/>
      <c r="BU125" s="1605">
        <v>0</v>
      </c>
      <c r="BV125" s="1394">
        <v>0</v>
      </c>
      <c r="BW125" s="1579"/>
      <c r="BX125" s="1605">
        <v>0</v>
      </c>
      <c r="BY125" s="1394">
        <v>0</v>
      </c>
      <c r="BZ125" s="1579"/>
      <c r="CA125" s="1605">
        <v>0</v>
      </c>
      <c r="CB125" s="1394">
        <v>0</v>
      </c>
      <c r="CC125" s="1579"/>
      <c r="CD125" s="1605">
        <v>0</v>
      </c>
      <c r="CE125" s="1394">
        <v>0</v>
      </c>
      <c r="CF125" s="1579"/>
      <c r="CG125" s="1605">
        <v>0</v>
      </c>
      <c r="CH125" s="1394">
        <v>0</v>
      </c>
      <c r="CI125" s="1579"/>
      <c r="CJ125" s="1257">
        <f t="shared" si="437"/>
        <v>0</v>
      </c>
      <c r="CK125" s="1395">
        <f t="shared" si="438"/>
        <v>0</v>
      </c>
      <c r="CL125" s="427"/>
      <c r="CM125" s="170"/>
      <c r="CN125" s="493"/>
      <c r="CO125" s="428" t="str">
        <f t="shared" si="439"/>
        <v>Fees and Payments - Other</v>
      </c>
      <c r="CP125" s="429" t="s">
        <v>328</v>
      </c>
      <c r="CQ125" s="480"/>
      <c r="CR125" s="1703"/>
      <c r="CS125" s="1697"/>
      <c r="CT125" s="452">
        <f t="shared" si="440"/>
        <v>0</v>
      </c>
      <c r="CU125" s="1703"/>
      <c r="CV125" s="1697"/>
      <c r="CW125" s="434">
        <f t="shared" si="441"/>
        <v>0</v>
      </c>
      <c r="CX125" s="443"/>
      <c r="CY125" s="432">
        <v>0</v>
      </c>
      <c r="CZ125" s="434">
        <f t="shared" si="442"/>
        <v>0</v>
      </c>
      <c r="DA125" s="443"/>
      <c r="DB125" s="432">
        <v>0</v>
      </c>
      <c r="DC125" s="434">
        <f t="shared" si="443"/>
        <v>0</v>
      </c>
      <c r="DD125" s="443"/>
      <c r="DE125" s="432">
        <v>0</v>
      </c>
      <c r="DF125" s="434">
        <f t="shared" si="444"/>
        <v>0</v>
      </c>
      <c r="DG125" s="443"/>
      <c r="DH125" s="432">
        <v>0</v>
      </c>
      <c r="DI125" s="434">
        <f t="shared" si="445"/>
        <v>0</v>
      </c>
      <c r="DJ125" s="443"/>
      <c r="DK125" s="432">
        <v>0</v>
      </c>
      <c r="DL125" s="434">
        <f t="shared" si="446"/>
        <v>0</v>
      </c>
      <c r="DM125" s="443"/>
      <c r="DN125" s="432">
        <v>0</v>
      </c>
      <c r="DO125" s="434">
        <f t="shared" si="447"/>
        <v>0</v>
      </c>
      <c r="DP125" s="443"/>
      <c r="DQ125" s="432">
        <v>0</v>
      </c>
      <c r="DR125" s="434">
        <f t="shared" si="448"/>
        <v>0</v>
      </c>
      <c r="DS125" s="443"/>
      <c r="DT125" s="432">
        <v>0</v>
      </c>
      <c r="DU125" s="434">
        <f t="shared" si="449"/>
        <v>0</v>
      </c>
      <c r="DV125" s="443"/>
      <c r="DW125" s="432">
        <v>0</v>
      </c>
      <c r="DX125" s="434">
        <f t="shared" si="450"/>
        <v>0</v>
      </c>
      <c r="DY125" s="443"/>
      <c r="DZ125" s="432">
        <f t="shared" si="451"/>
        <v>0</v>
      </c>
      <c r="EA125" s="444">
        <f t="shared" si="452"/>
        <v>0</v>
      </c>
      <c r="EB125" s="433"/>
      <c r="EC125" s="170"/>
      <c r="ED125" s="170"/>
      <c r="EE125" s="170"/>
      <c r="EF125" s="170"/>
      <c r="EG125" s="170"/>
      <c r="EH125" s="170"/>
      <c r="EI125" s="170"/>
      <c r="EJ125" s="170"/>
      <c r="EK125" s="170"/>
    </row>
    <row r="126" spans="1:141" ht="15" x14ac:dyDescent="0.25">
      <c r="A126" s="170"/>
      <c r="B126" s="472"/>
      <c r="C126" s="472"/>
      <c r="D126" s="472"/>
      <c r="E126" s="473"/>
      <c r="F126" s="493"/>
      <c r="G126" s="1321" t="s">
        <v>355</v>
      </c>
      <c r="H126" s="1308"/>
      <c r="I126" s="1310">
        <f t="shared" si="469"/>
        <v>0</v>
      </c>
      <c r="J126" s="1685"/>
      <c r="K126" s="1346">
        <f>SUM(K90:K125)-K104</f>
        <v>0</v>
      </c>
      <c r="L126" s="1312">
        <f>SUM(L104:L125)</f>
        <v>104180.09</v>
      </c>
      <c r="M126" s="1685"/>
      <c r="N126" s="1334">
        <f>SUM(N90:N125)-N104</f>
        <v>0</v>
      </c>
      <c r="O126" s="1312">
        <f ca="1">SUM(O104:O125)</f>
        <v>3917</v>
      </c>
      <c r="P126" s="1685"/>
      <c r="Q126" s="1334">
        <f>SUM(Q90:Q125)-Q104</f>
        <v>0</v>
      </c>
      <c r="R126" s="1312">
        <f ca="1">SUM(R104:R125)</f>
        <v>7980</v>
      </c>
      <c r="S126" s="1685"/>
      <c r="T126" s="1334">
        <f>SUM(T90:T125)-T104</f>
        <v>1792</v>
      </c>
      <c r="U126" s="1312">
        <f ca="1">SUM(U104:U125)</f>
        <v>733800</v>
      </c>
      <c r="V126" s="1685"/>
      <c r="W126" s="1334">
        <f>SUM(W90:W125)-W104</f>
        <v>3448</v>
      </c>
      <c r="X126" s="1312">
        <f ca="1">SUM(X104:X125)</f>
        <v>1548849</v>
      </c>
      <c r="Y126" s="1685"/>
      <c r="Z126" s="1334">
        <f>SUM(Z90:Z125)-Z104</f>
        <v>2760</v>
      </c>
      <c r="AA126" s="1312">
        <f ca="1">SUM(AA104:AA125)</f>
        <v>547669</v>
      </c>
      <c r="AB126" s="1685"/>
      <c r="AC126" s="1334">
        <f>SUM(AC90:AC125)-AC104</f>
        <v>0</v>
      </c>
      <c r="AD126" s="1312">
        <f ca="1">SUM(AD104:AD125)</f>
        <v>0</v>
      </c>
      <c r="AE126" s="1685"/>
      <c r="AF126" s="1334">
        <f>SUM(AF90:AF125)-AF104</f>
        <v>0</v>
      </c>
      <c r="AG126" s="1312">
        <f ca="1">SUM(AG104:AG125)</f>
        <v>0</v>
      </c>
      <c r="AH126" s="1685"/>
      <c r="AI126" s="1334">
        <f>SUM(AI90:AI125)-AI104</f>
        <v>0</v>
      </c>
      <c r="AJ126" s="1312">
        <f ca="1">SUM(AJ104:AJ125)</f>
        <v>0</v>
      </c>
      <c r="AK126" s="1685"/>
      <c r="AL126" s="1334">
        <f>SUM(AL90:AL125)-AL104</f>
        <v>0</v>
      </c>
      <c r="AM126" s="1312">
        <f ca="1">SUM(AM104:AM125)</f>
        <v>0</v>
      </c>
      <c r="AN126" s="1685"/>
      <c r="AO126" s="1334">
        <f>SUM(AO90:AO125)-AO104</f>
        <v>0</v>
      </c>
      <c r="AP126" s="1312">
        <f ca="1">SUM(AP104:AP125)</f>
        <v>0</v>
      </c>
      <c r="AQ126" s="1685"/>
      <c r="AR126" s="1334"/>
      <c r="AS126" s="1312">
        <f ca="1">SUM(AS90:AS125)-AS104</f>
        <v>2946395.09</v>
      </c>
      <c r="AT126" s="1687"/>
      <c r="AU126" s="411"/>
      <c r="AV126" s="1757">
        <f t="shared" ca="1" si="466"/>
        <v>2946395.0900000003</v>
      </c>
      <c r="AW126" s="411"/>
      <c r="AX126" s="493"/>
      <c r="AY126" s="517" t="s">
        <v>355</v>
      </c>
      <c r="AZ126" s="1256"/>
      <c r="BA126" s="474"/>
      <c r="BB126" s="1579"/>
      <c r="BC126" s="1257"/>
      <c r="BD126" s="1229">
        <f>SUM(BD104:BD125)</f>
        <v>104180.09</v>
      </c>
      <c r="BE126" s="1579"/>
      <c r="BF126" s="1469"/>
      <c r="BG126" s="1229">
        <f ca="1">SUM(BG104:BG125)</f>
        <v>3917.23</v>
      </c>
      <c r="BH126" s="1579"/>
      <c r="BI126" s="1469"/>
      <c r="BJ126" s="1229">
        <f ca="1">SUM(BJ104:BJ125)</f>
        <v>7600</v>
      </c>
      <c r="BK126" s="1579"/>
      <c r="BL126" s="1469"/>
      <c r="BM126" s="1229">
        <f ca="1">SUM(BM104:BM125)</f>
        <v>671978</v>
      </c>
      <c r="BN126" s="1579"/>
      <c r="BO126" s="1469"/>
      <c r="BP126" s="1229">
        <f ca="1">SUM(BP104:BP125)</f>
        <v>1377048.5572899999</v>
      </c>
      <c r="BQ126" s="1579"/>
      <c r="BR126" s="1469"/>
      <c r="BS126" s="1229">
        <f ca="1">SUM(BS104:BS125)</f>
        <v>472739.39199999999</v>
      </c>
      <c r="BT126" s="1579"/>
      <c r="BU126" s="1469"/>
      <c r="BV126" s="1229">
        <f ca="1">SUM(BV104:BV125)</f>
        <v>0</v>
      </c>
      <c r="BW126" s="1579"/>
      <c r="BX126" s="1469"/>
      <c r="BY126" s="1229">
        <f ca="1">SUM(BY104:BY125)</f>
        <v>0</v>
      </c>
      <c r="BZ126" s="1579"/>
      <c r="CA126" s="1469"/>
      <c r="CB126" s="1229">
        <f ca="1">SUM(CB104:CB125)</f>
        <v>0</v>
      </c>
      <c r="CC126" s="1579"/>
      <c r="CD126" s="1469"/>
      <c r="CE126" s="1229">
        <f ca="1">SUM(CE104:CE125)</f>
        <v>0</v>
      </c>
      <c r="CF126" s="1579"/>
      <c r="CG126" s="1469"/>
      <c r="CH126" s="1229">
        <f ca="1">SUM(CH104:CH125)</f>
        <v>0</v>
      </c>
      <c r="CI126" s="1579"/>
      <c r="CJ126" s="1257"/>
      <c r="CK126" s="1258">
        <f ca="1">SUM(CK90:CK125)-CK104</f>
        <v>2637463.2692900002</v>
      </c>
      <c r="CL126" s="427"/>
      <c r="CM126" s="170"/>
      <c r="CN126" s="493"/>
      <c r="CO126" s="456" t="s">
        <v>355</v>
      </c>
      <c r="CP126" s="428"/>
      <c r="CQ126" s="475"/>
      <c r="CR126" s="443"/>
      <c r="CS126" s="430"/>
      <c r="CT126" s="431">
        <f>SUM(CT104:CT125)</f>
        <v>0</v>
      </c>
      <c r="CU126" s="443"/>
      <c r="CV126" s="430"/>
      <c r="CW126" s="431">
        <f ca="1">SUM(CW104:CW125)</f>
        <v>-0.23000000000001819</v>
      </c>
      <c r="CX126" s="443"/>
      <c r="CY126" s="430"/>
      <c r="CZ126" s="431">
        <f ca="1">SUM(CZ104:CZ125)</f>
        <v>380</v>
      </c>
      <c r="DA126" s="443"/>
      <c r="DB126" s="430"/>
      <c r="DC126" s="431">
        <f ca="1">SUM(DC104:DC125)</f>
        <v>61822</v>
      </c>
      <c r="DD126" s="443"/>
      <c r="DE126" s="430"/>
      <c r="DF126" s="431">
        <f ca="1">SUM(DF104:DF125)</f>
        <v>171800.44270999997</v>
      </c>
      <c r="DG126" s="443"/>
      <c r="DH126" s="430"/>
      <c r="DI126" s="431">
        <f ca="1">SUM(DI104:DI125)</f>
        <v>74929.608000000007</v>
      </c>
      <c r="DJ126" s="443"/>
      <c r="DK126" s="430"/>
      <c r="DL126" s="431">
        <f ca="1">SUM(DL104:DL125)</f>
        <v>0</v>
      </c>
      <c r="DM126" s="443"/>
      <c r="DN126" s="430"/>
      <c r="DO126" s="431">
        <f ca="1">SUM(DO104:DO125)</f>
        <v>0</v>
      </c>
      <c r="DP126" s="443"/>
      <c r="DQ126" s="430"/>
      <c r="DR126" s="431">
        <f ca="1">SUM(DR104:DR125)</f>
        <v>0</v>
      </c>
      <c r="DS126" s="443"/>
      <c r="DT126" s="430"/>
      <c r="DU126" s="431">
        <f ca="1">SUM(DU104:DU125)</f>
        <v>0</v>
      </c>
      <c r="DV126" s="443"/>
      <c r="DW126" s="430"/>
      <c r="DX126" s="431">
        <f ca="1">SUM(DX104:DX125)</f>
        <v>0</v>
      </c>
      <c r="DY126" s="443"/>
      <c r="DZ126" s="430"/>
      <c r="EA126" s="444">
        <f ca="1">SUM(EA90:EA125)-EA104</f>
        <v>308931.82071</v>
      </c>
      <c r="EB126" s="433"/>
      <c r="EC126" s="170"/>
      <c r="ED126" s="170"/>
      <c r="EE126" s="170"/>
      <c r="EF126" s="170"/>
      <c r="EG126" s="170"/>
      <c r="EH126" s="170"/>
      <c r="EI126" s="170"/>
      <c r="EJ126" s="170"/>
      <c r="EK126" s="170"/>
    </row>
    <row r="127" spans="1:141" ht="15" x14ac:dyDescent="0.25">
      <c r="A127" s="170"/>
      <c r="B127" s="424"/>
      <c r="C127" s="424">
        <v>9</v>
      </c>
      <c r="D127" s="424"/>
      <c r="E127" s="425">
        <v>99</v>
      </c>
      <c r="F127" s="493"/>
      <c r="G127" s="1308" t="str">
        <f>+AY127</f>
        <v>Escalation</v>
      </c>
      <c r="H127" s="1322"/>
      <c r="I127" s="1310">
        <f t="shared" si="469"/>
        <v>0</v>
      </c>
      <c r="J127" s="1687"/>
      <c r="K127" s="1311">
        <f>+BC127</f>
        <v>0</v>
      </c>
      <c r="L127" s="1312">
        <f>+BD127</f>
        <v>0</v>
      </c>
      <c r="M127" s="1687"/>
      <c r="N127" s="1323"/>
      <c r="O127" s="1312">
        <f>+BG127+CW127</f>
        <v>0</v>
      </c>
      <c r="P127" s="1685"/>
      <c r="Q127" s="1313">
        <f>+BI127</f>
        <v>0</v>
      </c>
      <c r="R127" s="1312">
        <f>+BJ127+CZ127</f>
        <v>0</v>
      </c>
      <c r="S127" s="1685"/>
      <c r="T127" s="1313">
        <f>+BL127</f>
        <v>0</v>
      </c>
      <c r="U127" s="1312">
        <f>+BM127+DC127</f>
        <v>0</v>
      </c>
      <c r="V127" s="1685"/>
      <c r="W127" s="1313">
        <f>+BO127</f>
        <v>0</v>
      </c>
      <c r="X127" s="1312">
        <f>+BP127+DF127</f>
        <v>0</v>
      </c>
      <c r="Y127" s="1685"/>
      <c r="Z127" s="1313">
        <f>+BR127</f>
        <v>0</v>
      </c>
      <c r="AA127" s="1312">
        <f>+BS127+DI127</f>
        <v>0</v>
      </c>
      <c r="AB127" s="1685"/>
      <c r="AC127" s="1313">
        <f>+BU127</f>
        <v>0</v>
      </c>
      <c r="AD127" s="1312">
        <f>+BV127+DL127</f>
        <v>0</v>
      </c>
      <c r="AE127" s="1685"/>
      <c r="AF127" s="1313">
        <f>+BX127</f>
        <v>0</v>
      </c>
      <c r="AG127" s="1312">
        <f>+BY127+DO127</f>
        <v>0</v>
      </c>
      <c r="AH127" s="1685"/>
      <c r="AI127" s="1313">
        <f>+CA127</f>
        <v>0</v>
      </c>
      <c r="AJ127" s="1312">
        <f>+CB127+DR127</f>
        <v>0</v>
      </c>
      <c r="AK127" s="1685"/>
      <c r="AL127" s="1313">
        <f>+CD127</f>
        <v>0</v>
      </c>
      <c r="AM127" s="1312">
        <f>+CE127+DU127</f>
        <v>0</v>
      </c>
      <c r="AN127" s="1685"/>
      <c r="AO127" s="1313">
        <f>+CG127</f>
        <v>0</v>
      </c>
      <c r="AP127" s="1312">
        <f>+CH127+DX127</f>
        <v>0</v>
      </c>
      <c r="AQ127" s="1685"/>
      <c r="AR127" s="1313">
        <f t="shared" ref="AR127:AR128" si="484">+Z127+W127+T127+Q127+N127+K127+AC127+AF127+AI127+AL127+AO127</f>
        <v>0</v>
      </c>
      <c r="AS127" s="1312">
        <f t="shared" ref="AS127:AS128" si="485">+AA127+X127+U127+R127+O127+L127+AD127+AG127+AJ127+AM127+AP127</f>
        <v>0</v>
      </c>
      <c r="AT127" s="1687"/>
      <c r="AU127" s="411"/>
      <c r="AV127" s="1757">
        <f t="shared" si="466"/>
        <v>0</v>
      </c>
      <c r="AW127" s="411"/>
      <c r="AX127" s="493"/>
      <c r="AY127" s="1561" t="s">
        <v>99</v>
      </c>
      <c r="AZ127" s="1587"/>
      <c r="BA127" s="1582"/>
      <c r="BB127" s="1632"/>
      <c r="BC127" s="1599">
        <v>0</v>
      </c>
      <c r="BD127" s="1600">
        <v>0</v>
      </c>
      <c r="BE127" s="1632"/>
      <c r="BF127" s="1564"/>
      <c r="BG127" s="1565"/>
      <c r="BH127" s="1579"/>
      <c r="BI127" s="1564"/>
      <c r="BJ127" s="1565"/>
      <c r="BK127" s="1666"/>
      <c r="BL127" s="1564"/>
      <c r="BM127" s="1565"/>
      <c r="BN127" s="1579"/>
      <c r="BO127" s="1564"/>
      <c r="BP127" s="1565"/>
      <c r="BQ127" s="1579"/>
      <c r="BR127" s="1564"/>
      <c r="BS127" s="1565"/>
      <c r="BT127" s="1579"/>
      <c r="BU127" s="1564"/>
      <c r="BV127" s="1565"/>
      <c r="BW127" s="1579"/>
      <c r="BX127" s="1564"/>
      <c r="BY127" s="1565"/>
      <c r="BZ127" s="1579"/>
      <c r="CA127" s="1564"/>
      <c r="CB127" s="1565"/>
      <c r="CC127" s="1579"/>
      <c r="CD127" s="1564"/>
      <c r="CE127" s="1565"/>
      <c r="CF127" s="1579"/>
      <c r="CG127" s="1564"/>
      <c r="CH127" s="1565"/>
      <c r="CI127" s="1579"/>
      <c r="CJ127" s="1257">
        <f t="shared" ref="CJ127:CJ128" si="486">+BR127+BO127+BL127+BI127+BF127+BC127+BU127+BX127+CA127+CD127+CG127</f>
        <v>0</v>
      </c>
      <c r="CK127" s="1395">
        <f t="shared" ref="CK127:CK128" si="487">+BS127+BP127+BM127+BJ127+BG127+BD127+BV127+BY127+CB127+CE127+CH127</f>
        <v>0</v>
      </c>
      <c r="CL127" s="427"/>
      <c r="CM127" s="170"/>
      <c r="CN127" s="493"/>
      <c r="CO127" s="428" t="str">
        <f>+AY127</f>
        <v>Escalation</v>
      </c>
      <c r="CP127" s="382"/>
      <c r="CQ127" s="385"/>
      <c r="CR127" s="1703"/>
      <c r="CS127" s="481"/>
      <c r="CT127" s="510">
        <f>L127-BD127</f>
        <v>0</v>
      </c>
      <c r="CU127" s="1703"/>
      <c r="CV127" s="481"/>
      <c r="CW127" s="434">
        <f>ROUND((+BG127*(1+CW$4)),0)-BG127</f>
        <v>0</v>
      </c>
      <c r="CX127" s="443"/>
      <c r="CY127" s="432">
        <v>0</v>
      </c>
      <c r="CZ127" s="434">
        <f>ROUND((+BJ127*(1+CZ$4)),0)-BJ127</f>
        <v>0</v>
      </c>
      <c r="DA127" s="443"/>
      <c r="DB127" s="432">
        <v>0</v>
      </c>
      <c r="DC127" s="434">
        <f>ROUND((+BM127*(1+DC$4)),0)-BM127</f>
        <v>0</v>
      </c>
      <c r="DD127" s="443"/>
      <c r="DE127" s="432">
        <v>0</v>
      </c>
      <c r="DF127" s="434">
        <f>ROUND((+BP127*(1+DF$4)),0)-BP127</f>
        <v>0</v>
      </c>
      <c r="DG127" s="443"/>
      <c r="DH127" s="432">
        <v>0</v>
      </c>
      <c r="DI127" s="434">
        <f>ROUND((+BS127*(1+DI$4)),0)-BS127</f>
        <v>0</v>
      </c>
      <c r="DJ127" s="443"/>
      <c r="DK127" s="432">
        <v>0</v>
      </c>
      <c r="DL127" s="434">
        <f>ROUND((+BV127*(1+DL$4)),0)-BV127</f>
        <v>0</v>
      </c>
      <c r="DM127" s="443"/>
      <c r="DN127" s="432">
        <v>0</v>
      </c>
      <c r="DO127" s="434">
        <f>ROUND((+BY127*(1+DO$4)),0)-BY127</f>
        <v>0</v>
      </c>
      <c r="DP127" s="443"/>
      <c r="DQ127" s="432">
        <v>0</v>
      </c>
      <c r="DR127" s="434">
        <f>ROUND((+CB127*(1+DR$4)),0)-CB127</f>
        <v>0</v>
      </c>
      <c r="DS127" s="443"/>
      <c r="DT127" s="432">
        <v>0</v>
      </c>
      <c r="DU127" s="434">
        <f>ROUND((+CE127*(1+DU$4)),0)-CE127</f>
        <v>0</v>
      </c>
      <c r="DV127" s="443"/>
      <c r="DW127" s="432">
        <v>0</v>
      </c>
      <c r="DX127" s="434">
        <f>ROUND((+CH127*(1+DX$4)),0)-CH127</f>
        <v>0</v>
      </c>
      <c r="DY127" s="443"/>
      <c r="DZ127" s="432">
        <f t="shared" ref="DZ127:DZ128" si="488">+DH127+DE127+DB127+CY127+CV127+CS127+DK127+DN127+DQ127+DT127+DW127</f>
        <v>0</v>
      </c>
      <c r="EA127" s="444">
        <f t="shared" ref="EA127:EA128" si="489">+DI127+DF127+DC127+CZ127+CW127+CT127+DL127+DO127+DR127+DU127+DX127</f>
        <v>0</v>
      </c>
      <c r="EB127" s="433"/>
      <c r="EC127" s="170"/>
      <c r="ED127" s="170"/>
      <c r="EE127" s="170"/>
      <c r="EF127" s="170"/>
      <c r="EG127" s="170"/>
      <c r="EH127" s="170"/>
      <c r="EI127" s="170"/>
      <c r="EJ127" s="170"/>
      <c r="EK127" s="170"/>
    </row>
    <row r="128" spans="1:141" ht="15" x14ac:dyDescent="0.25">
      <c r="A128" s="170"/>
      <c r="B128" s="424">
        <v>5</v>
      </c>
      <c r="C128" s="424">
        <v>8</v>
      </c>
      <c r="D128" s="424">
        <v>6</v>
      </c>
      <c r="E128" s="425">
        <v>11</v>
      </c>
      <c r="F128" s="493"/>
      <c r="G128" s="1308" t="str">
        <f>+AY128</f>
        <v>journal entry adj</v>
      </c>
      <c r="H128" s="1337" t="s">
        <v>309</v>
      </c>
      <c r="I128" s="1310">
        <f t="shared" si="469"/>
        <v>0</v>
      </c>
      <c r="J128" s="1684"/>
      <c r="K128" s="1311">
        <f>+BC128</f>
        <v>0</v>
      </c>
      <c r="L128" s="1312">
        <f>+BD128</f>
        <v>0</v>
      </c>
      <c r="M128" s="1684"/>
      <c r="N128" s="1323"/>
      <c r="O128" s="1312">
        <f ca="1">+BG128+CW128</f>
        <v>0</v>
      </c>
      <c r="P128" s="1685"/>
      <c r="Q128" s="1313">
        <f>+BI128</f>
        <v>0</v>
      </c>
      <c r="R128" s="1312">
        <f ca="1">+BJ128+CZ128</f>
        <v>0</v>
      </c>
      <c r="S128" s="1685"/>
      <c r="T128" s="1313">
        <f>+BL128</f>
        <v>0</v>
      </c>
      <c r="U128" s="1312">
        <f ca="1">+BM128+DC128</f>
        <v>0</v>
      </c>
      <c r="V128" s="1685"/>
      <c r="W128" s="1313">
        <f>+BO128</f>
        <v>0</v>
      </c>
      <c r="X128" s="1312">
        <f ca="1">+BP128+DF128</f>
        <v>0</v>
      </c>
      <c r="Y128" s="1685"/>
      <c r="Z128" s="1313">
        <f>+BR128</f>
        <v>0</v>
      </c>
      <c r="AA128" s="1312">
        <f ca="1">+BS128+DI128</f>
        <v>0</v>
      </c>
      <c r="AB128" s="1685"/>
      <c r="AC128" s="1313">
        <f>+BU128</f>
        <v>0</v>
      </c>
      <c r="AD128" s="1312">
        <f ca="1">+BV128+DL128</f>
        <v>0</v>
      </c>
      <c r="AE128" s="1685"/>
      <c r="AF128" s="1313">
        <f>+BX128</f>
        <v>0</v>
      </c>
      <c r="AG128" s="1312">
        <f ca="1">+BY128+DO128</f>
        <v>0</v>
      </c>
      <c r="AH128" s="1685"/>
      <c r="AI128" s="1313">
        <f>+CA128</f>
        <v>0</v>
      </c>
      <c r="AJ128" s="1312">
        <f ca="1">+CB128+DR128</f>
        <v>0</v>
      </c>
      <c r="AK128" s="1685"/>
      <c r="AL128" s="1313">
        <f>+CD128</f>
        <v>0</v>
      </c>
      <c r="AM128" s="1312">
        <f ca="1">+CE128+DU128</f>
        <v>0</v>
      </c>
      <c r="AN128" s="1685"/>
      <c r="AO128" s="1313">
        <f>+CG128</f>
        <v>0</v>
      </c>
      <c r="AP128" s="1312">
        <f ca="1">+CH128+DX128</f>
        <v>0</v>
      </c>
      <c r="AQ128" s="1685"/>
      <c r="AR128" s="1313">
        <f t="shared" si="484"/>
        <v>0</v>
      </c>
      <c r="AS128" s="1312">
        <f t="shared" ca="1" si="485"/>
        <v>0</v>
      </c>
      <c r="AT128" s="1687"/>
      <c r="AU128" s="411"/>
      <c r="AV128" s="1757">
        <f t="shared" ca="1" si="466"/>
        <v>0</v>
      </c>
      <c r="AW128" s="411"/>
      <c r="AX128" s="493"/>
      <c r="AY128" s="1583" t="s">
        <v>3782</v>
      </c>
      <c r="AZ128" s="1584"/>
      <c r="BA128" s="482">
        <v>0</v>
      </c>
      <c r="BB128" s="1630"/>
      <c r="BC128" s="1599">
        <v>0</v>
      </c>
      <c r="BD128" s="1600"/>
      <c r="BE128" s="1656"/>
      <c r="BF128" s="1606"/>
      <c r="BG128" s="1607">
        <f ca="1">ROUND((+BG126+BG127)*$BA$128,0)*0</f>
        <v>0</v>
      </c>
      <c r="BH128" s="1579"/>
      <c r="BI128" s="1606"/>
      <c r="BJ128" s="1607">
        <f ca="1">ROUND((+BJ126+BJ127)*$BA$128,0)*0</f>
        <v>0</v>
      </c>
      <c r="BK128" s="1666"/>
      <c r="BL128" s="1606"/>
      <c r="BM128" s="1607">
        <f ca="1">ROUND((+BM126+BM127)*$BA$128,0)*0</f>
        <v>0</v>
      </c>
      <c r="BN128" s="1579"/>
      <c r="BO128" s="1606"/>
      <c r="BP128" s="1607">
        <f ca="1">ROUND((+BP126+BP127)*$BA$128,0)*0</f>
        <v>0</v>
      </c>
      <c r="BQ128" s="1579"/>
      <c r="BR128" s="1606"/>
      <c r="BS128" s="1607">
        <f ca="1">ROUND((+BS126+BS127)*$BA$128,0)*0</f>
        <v>0</v>
      </c>
      <c r="BT128" s="1656"/>
      <c r="BU128" s="1606"/>
      <c r="BV128" s="1607">
        <f ca="1">ROUND((+BV126+BV127)*$BA$128,0)*0</f>
        <v>0</v>
      </c>
      <c r="BW128" s="1656"/>
      <c r="BX128" s="1606"/>
      <c r="BY128" s="1607">
        <f ca="1">ROUND((+BY126+BY127)*$BA$128,0)*0</f>
        <v>0</v>
      </c>
      <c r="BZ128" s="1656"/>
      <c r="CA128" s="1606"/>
      <c r="CB128" s="1607">
        <f ca="1">ROUND((+CB126+CB127)*$BA$128,0)*0</f>
        <v>0</v>
      </c>
      <c r="CC128" s="1656"/>
      <c r="CD128" s="1606"/>
      <c r="CE128" s="1607">
        <f ca="1">ROUND((+CE126+CE127)*$BA$128,0)*0</f>
        <v>0</v>
      </c>
      <c r="CF128" s="1656"/>
      <c r="CG128" s="1606"/>
      <c r="CH128" s="1607">
        <f ca="1">ROUND((+CH126+CH127)*$BA$128,0)*0</f>
        <v>0</v>
      </c>
      <c r="CI128" s="1656"/>
      <c r="CJ128" s="1257">
        <f t="shared" si="486"/>
        <v>0</v>
      </c>
      <c r="CK128" s="1395">
        <f t="shared" ca="1" si="487"/>
        <v>0</v>
      </c>
      <c r="CL128" s="1730"/>
      <c r="CM128" s="170"/>
      <c r="CN128" s="493"/>
      <c r="CO128" s="428" t="str">
        <f>+AY128</f>
        <v>journal entry adj</v>
      </c>
      <c r="CP128" s="483" t="s">
        <v>309</v>
      </c>
      <c r="CQ128" s="484"/>
      <c r="CR128" s="1702"/>
      <c r="CS128" s="421"/>
      <c r="CT128" s="463">
        <f>L128-BD128</f>
        <v>0</v>
      </c>
      <c r="CU128" s="1702"/>
      <c r="CV128" s="421"/>
      <c r="CW128" s="434">
        <f ca="1">(ROUND((+BG128*(1+CW$4)),0)-BG128)*'Data Input sheet'!$D$70</f>
        <v>0</v>
      </c>
      <c r="CX128" s="443"/>
      <c r="CY128" s="432"/>
      <c r="CZ128" s="434">
        <f ca="1">(ROUND((+BJ128*(1+CZ$4)),0)-BJ128)*'Data Input sheet'!$D$70</f>
        <v>0</v>
      </c>
      <c r="DA128" s="443"/>
      <c r="DB128" s="432"/>
      <c r="DC128" s="434">
        <f ca="1">(ROUND((+BM128*(1+DC$4)),0)-BM128)*'Data Input sheet'!$D$70</f>
        <v>0</v>
      </c>
      <c r="DD128" s="443"/>
      <c r="DE128" s="432">
        <v>0</v>
      </c>
      <c r="DF128" s="434">
        <f ca="1">(ROUND((+BP128*(1+DF$4)),0)-BP128)*'Data Input sheet'!$D$70</f>
        <v>0</v>
      </c>
      <c r="DG128" s="443"/>
      <c r="DH128" s="432">
        <v>0</v>
      </c>
      <c r="DI128" s="434">
        <f ca="1">(ROUND((+BS128*(1+DI$4)),0)-BS128)*'Data Input sheet'!$D$70</f>
        <v>0</v>
      </c>
      <c r="DJ128" s="443"/>
      <c r="DK128" s="432">
        <v>0</v>
      </c>
      <c r="DL128" s="434">
        <f ca="1">(ROUND((+BV128*(1+DL$4)),0)-BV128)*'Data Input sheet'!$D$70</f>
        <v>0</v>
      </c>
      <c r="DM128" s="443"/>
      <c r="DN128" s="432">
        <v>0</v>
      </c>
      <c r="DO128" s="434">
        <f ca="1">(ROUND((+BY128*(1+DO$4)),0)-BY128)*'Data Input sheet'!$D$70</f>
        <v>0</v>
      </c>
      <c r="DP128" s="443"/>
      <c r="DQ128" s="432">
        <v>0</v>
      </c>
      <c r="DR128" s="434">
        <f ca="1">(ROUND((+CB128*(1+DR$4)),0)-CB128)*'Data Input sheet'!$D$70</f>
        <v>0</v>
      </c>
      <c r="DS128" s="443"/>
      <c r="DT128" s="432">
        <v>0</v>
      </c>
      <c r="DU128" s="434">
        <f ca="1">(ROUND((+CE128*(1+DU$4)),0)-CE128)*'Data Input sheet'!$D$70</f>
        <v>0</v>
      </c>
      <c r="DV128" s="443"/>
      <c r="DW128" s="432">
        <v>0</v>
      </c>
      <c r="DX128" s="434">
        <f ca="1">(ROUND((+CH128*(1+DX$4)),0)-CH128)*'Data Input sheet'!$D$70</f>
        <v>0</v>
      </c>
      <c r="DY128" s="443"/>
      <c r="DZ128" s="432">
        <f t="shared" si="488"/>
        <v>0</v>
      </c>
      <c r="EA128" s="444">
        <f t="shared" ca="1" si="489"/>
        <v>0</v>
      </c>
      <c r="EB128" s="433"/>
      <c r="EC128" s="170"/>
      <c r="ED128" s="170"/>
      <c r="EE128" s="170"/>
      <c r="EF128" s="170"/>
      <c r="EG128" s="170"/>
      <c r="EH128" s="170"/>
      <c r="EI128" s="170"/>
      <c r="EJ128" s="170"/>
      <c r="EK128" s="170"/>
    </row>
    <row r="129" spans="1:141" ht="15.75" thickBot="1" x14ac:dyDescent="0.3">
      <c r="A129" s="170"/>
      <c r="B129" s="472"/>
      <c r="C129" s="472"/>
      <c r="D129" s="472"/>
      <c r="E129" s="473"/>
      <c r="F129" s="493"/>
      <c r="G129" s="1327" t="s">
        <v>356</v>
      </c>
      <c r="H129" s="1338"/>
      <c r="I129" s="1310">
        <f t="shared" si="469"/>
        <v>0</v>
      </c>
      <c r="J129" s="1688"/>
      <c r="K129" s="1335">
        <f>+K128+K127+K126</f>
        <v>0</v>
      </c>
      <c r="L129" s="1331">
        <f>+L128+L127+L126</f>
        <v>104180.09</v>
      </c>
      <c r="M129" s="1688"/>
      <c r="N129" s="1335">
        <f>+N128+N127+N126</f>
        <v>0</v>
      </c>
      <c r="O129" s="1331">
        <f ca="1">+O128+O127+O126</f>
        <v>3917</v>
      </c>
      <c r="P129" s="1688"/>
      <c r="Q129" s="1335">
        <f>+Q128+Q127+Q126</f>
        <v>0</v>
      </c>
      <c r="R129" s="1331">
        <f ca="1">+R128+R127+R126</f>
        <v>7980</v>
      </c>
      <c r="S129" s="1688"/>
      <c r="T129" s="1335">
        <f>+T128+T127+T126</f>
        <v>1792</v>
      </c>
      <c r="U129" s="1331">
        <f ca="1">+U128+U127+U126</f>
        <v>733800</v>
      </c>
      <c r="V129" s="1688"/>
      <c r="W129" s="1335">
        <f>+W128+W127+W126</f>
        <v>3448</v>
      </c>
      <c r="X129" s="1331">
        <f ca="1">+X128+X127+X126</f>
        <v>1548849</v>
      </c>
      <c r="Y129" s="1688"/>
      <c r="Z129" s="1335">
        <f>+Z128+Z127+Z126</f>
        <v>2760</v>
      </c>
      <c r="AA129" s="1331">
        <f ca="1">+AA128+AA127+AA126</f>
        <v>547669</v>
      </c>
      <c r="AB129" s="1688"/>
      <c r="AC129" s="1335">
        <f>+AC128+AC127+AC126</f>
        <v>0</v>
      </c>
      <c r="AD129" s="1331">
        <f ca="1">+AD128+AD127+AD126</f>
        <v>0</v>
      </c>
      <c r="AE129" s="1688"/>
      <c r="AF129" s="1335">
        <f>+AF128+AF127+AF126</f>
        <v>0</v>
      </c>
      <c r="AG129" s="1331">
        <f ca="1">+AG128+AG127+AG126</f>
        <v>0</v>
      </c>
      <c r="AH129" s="1688"/>
      <c r="AI129" s="1335">
        <f>+AI128+AI127+AI126</f>
        <v>0</v>
      </c>
      <c r="AJ129" s="1331">
        <f ca="1">+AJ128+AJ127+AJ126</f>
        <v>0</v>
      </c>
      <c r="AK129" s="1688"/>
      <c r="AL129" s="1335">
        <f>+AL128+AL127+AL126</f>
        <v>0</v>
      </c>
      <c r="AM129" s="1331">
        <f ca="1">+AM128+AM127+AM126</f>
        <v>0</v>
      </c>
      <c r="AN129" s="1688"/>
      <c r="AO129" s="1335">
        <f>+AO128+AO127+AO126</f>
        <v>0</v>
      </c>
      <c r="AP129" s="1331">
        <f ca="1">+AP128+AP127+AP126</f>
        <v>0</v>
      </c>
      <c r="AQ129" s="1688"/>
      <c r="AR129" s="1335">
        <f t="shared" ref="AR129:AR130" si="490">+Z129+W129+T129+Q129+N129+K129+AC129</f>
        <v>8000</v>
      </c>
      <c r="AS129" s="1331">
        <f ca="1">+AS128+AS127+AS126</f>
        <v>2946395.09</v>
      </c>
      <c r="AT129" s="1687"/>
      <c r="AU129" s="411"/>
      <c r="AV129" s="1757">
        <f t="shared" ca="1" si="466"/>
        <v>2946395.0900000003</v>
      </c>
      <c r="AW129" s="411"/>
      <c r="AX129" s="493"/>
      <c r="AY129" s="485" t="s">
        <v>356</v>
      </c>
      <c r="AZ129" s="1251"/>
      <c r="BA129" s="1255"/>
      <c r="BB129" s="1635"/>
      <c r="BC129" s="1253"/>
      <c r="BD129" s="1254">
        <f>+BD128+BD127+BD126</f>
        <v>104180.09</v>
      </c>
      <c r="BE129" s="1635"/>
      <c r="BF129" s="1468">
        <f>SUM(BF90:BF128)-BF104</f>
        <v>0</v>
      </c>
      <c r="BG129" s="1259">
        <f ca="1">+BG128+BG127+BG126</f>
        <v>3917.23</v>
      </c>
      <c r="BH129" s="1635"/>
      <c r="BI129" s="1468">
        <f>SUM(BI90:BI128)-BI104</f>
        <v>0</v>
      </c>
      <c r="BJ129" s="1259">
        <f ca="1">+BJ128+BJ127+BJ126</f>
        <v>7600</v>
      </c>
      <c r="BK129" s="1635"/>
      <c r="BL129" s="1468">
        <f>SUM(BL90:BL128)-BL104</f>
        <v>1792</v>
      </c>
      <c r="BM129" s="1259">
        <f ca="1">+BM128+BM127+BM126</f>
        <v>671978</v>
      </c>
      <c r="BN129" s="1635"/>
      <c r="BO129" s="1468">
        <f>SUM(BO90:BO128)-BO104</f>
        <v>3448</v>
      </c>
      <c r="BP129" s="1259">
        <f ca="1">+BP128+BP127+BP126</f>
        <v>1377048.5572899999</v>
      </c>
      <c r="BQ129" s="1635"/>
      <c r="BR129" s="1468">
        <f>SUM(BR90:BR128)-BR104</f>
        <v>2760</v>
      </c>
      <c r="BS129" s="1259">
        <f ca="1">+BS128+BS127+BS126</f>
        <v>472739.39199999999</v>
      </c>
      <c r="BT129" s="1635"/>
      <c r="BU129" s="1468">
        <f>SUM(BU90:BU128)-BU104</f>
        <v>0</v>
      </c>
      <c r="BV129" s="1259">
        <f ca="1">+BV128+BV127+BV126</f>
        <v>0</v>
      </c>
      <c r="BW129" s="1635"/>
      <c r="BX129" s="1468">
        <f>SUM(BX90:BX128)-BX104</f>
        <v>0</v>
      </c>
      <c r="BY129" s="1259">
        <f ca="1">+BY128+BY127+BY126</f>
        <v>0</v>
      </c>
      <c r="BZ129" s="1635"/>
      <c r="CA129" s="1468">
        <f>SUM(CA90:CA128)-CA104</f>
        <v>0</v>
      </c>
      <c r="CB129" s="1259">
        <f ca="1">+CB128+CB127+CB126</f>
        <v>0</v>
      </c>
      <c r="CC129" s="1635"/>
      <c r="CD129" s="1468">
        <f>SUM(CD90:CD128)-CD104</f>
        <v>0</v>
      </c>
      <c r="CE129" s="1259">
        <f ca="1">+CE128+CE127+CE126</f>
        <v>0</v>
      </c>
      <c r="CF129" s="1635"/>
      <c r="CG129" s="1468">
        <f>SUM(CG90:CG128)-CG104</f>
        <v>0</v>
      </c>
      <c r="CH129" s="1259">
        <f ca="1">+CH128+CH127+CH126</f>
        <v>0</v>
      </c>
      <c r="CI129" s="1635"/>
      <c r="CJ129" s="1253">
        <f t="shared" ref="CJ129:CJ130" si="491">+BR129+BO129+BL129+BI129+BF129+BC129+BU129</f>
        <v>8000</v>
      </c>
      <c r="CK129" s="1254">
        <f ca="1">+CK128+CK127+CK126</f>
        <v>2637463.2692900002</v>
      </c>
      <c r="CL129" s="1731"/>
      <c r="CM129" s="170"/>
      <c r="CN129" s="493"/>
      <c r="CO129" s="464" t="s">
        <v>356</v>
      </c>
      <c r="CP129" s="486"/>
      <c r="CQ129" s="487"/>
      <c r="CR129" s="1706"/>
      <c r="CS129" s="467">
        <f>SUM(CS88:CS128)-CS93</f>
        <v>0</v>
      </c>
      <c r="CT129" s="468">
        <f>CT126+CT128</f>
        <v>0</v>
      </c>
      <c r="CU129" s="1703"/>
      <c r="CV129" s="467">
        <f>SUM(CV88:CV128)-CV93</f>
        <v>0</v>
      </c>
      <c r="CW129" s="468">
        <f ca="1">CW126+CW128</f>
        <v>-0.23000000000001819</v>
      </c>
      <c r="CX129" s="1703"/>
      <c r="CY129" s="467">
        <f>SUM(CY88:CY128)-CY93</f>
        <v>0</v>
      </c>
      <c r="CZ129" s="468">
        <f ca="1">CZ126+CZ128</f>
        <v>380</v>
      </c>
      <c r="DA129" s="1703"/>
      <c r="DB129" s="467">
        <f>SUM(DB88:DB128)-DB93</f>
        <v>0</v>
      </c>
      <c r="DC129" s="468">
        <f ca="1">DC126+DC128</f>
        <v>61822</v>
      </c>
      <c r="DD129" s="1703"/>
      <c r="DE129" s="467">
        <f>SUM(DE88:DE128)-DE93</f>
        <v>0</v>
      </c>
      <c r="DF129" s="468">
        <f ca="1">DF126+DF128</f>
        <v>171800.44270999997</v>
      </c>
      <c r="DG129" s="1703"/>
      <c r="DH129" s="467">
        <f>SUM(DH88:DH128)-DH93</f>
        <v>0</v>
      </c>
      <c r="DI129" s="468">
        <f ca="1">DI126+DI128</f>
        <v>74929.608000000007</v>
      </c>
      <c r="DJ129" s="1703"/>
      <c r="DK129" s="467">
        <f>SUM(DK88:DK128)-DK93</f>
        <v>0</v>
      </c>
      <c r="DL129" s="468">
        <f ca="1">DL126+DL128</f>
        <v>0</v>
      </c>
      <c r="DM129" s="1703"/>
      <c r="DN129" s="467">
        <f>SUM(DN88:DN128)-DN93</f>
        <v>0</v>
      </c>
      <c r="DO129" s="468">
        <f ca="1">DO126+DO128</f>
        <v>0</v>
      </c>
      <c r="DP129" s="1703"/>
      <c r="DQ129" s="467">
        <f>SUM(DQ88:DQ128)-DQ93</f>
        <v>0</v>
      </c>
      <c r="DR129" s="468">
        <f ca="1">DR126+DR128</f>
        <v>0</v>
      </c>
      <c r="DS129" s="1703"/>
      <c r="DT129" s="467">
        <f>SUM(DT88:DT128)-DT93</f>
        <v>0</v>
      </c>
      <c r="DU129" s="468">
        <f ca="1">DU126+DU128</f>
        <v>0</v>
      </c>
      <c r="DV129" s="1703"/>
      <c r="DW129" s="467">
        <f>SUM(DW88:DW128)-DW93</f>
        <v>0</v>
      </c>
      <c r="DX129" s="468">
        <f ca="1">DX126+DX128</f>
        <v>0</v>
      </c>
      <c r="DY129" s="1703"/>
      <c r="DZ129" s="467">
        <f t="shared" ref="DZ129:DZ130" si="492">+DH129+DE129+DB129+CY129+CV129+CS129+DK129</f>
        <v>0</v>
      </c>
      <c r="EA129" s="1744">
        <f ca="1">+EA128+EA127+EA126</f>
        <v>308931.82071</v>
      </c>
      <c r="EB129" s="433"/>
      <c r="EC129" s="170"/>
      <c r="ED129" s="170"/>
      <c r="EE129" s="170"/>
      <c r="EF129" s="170"/>
      <c r="EG129" s="170"/>
      <c r="EH129" s="170"/>
      <c r="EI129" s="170"/>
      <c r="EJ129" s="170"/>
      <c r="EK129" s="170"/>
    </row>
    <row r="130" spans="1:141" ht="15" x14ac:dyDescent="0.25">
      <c r="A130" s="170"/>
      <c r="B130" s="472"/>
      <c r="C130" s="472"/>
      <c r="D130" s="472"/>
      <c r="E130" s="473"/>
      <c r="F130" s="493"/>
      <c r="G130" s="1291" t="s">
        <v>357</v>
      </c>
      <c r="H130" s="1291"/>
      <c r="I130" s="1310">
        <f t="shared" si="469"/>
        <v>0</v>
      </c>
      <c r="J130" s="1687"/>
      <c r="K130" s="1325"/>
      <c r="L130" s="1332"/>
      <c r="M130" s="1687"/>
      <c r="N130" s="1325"/>
      <c r="O130" s="1332"/>
      <c r="P130" s="1687"/>
      <c r="Q130" s="1325"/>
      <c r="R130" s="1332"/>
      <c r="S130" s="1687"/>
      <c r="T130" s="1325"/>
      <c r="U130" s="1332"/>
      <c r="V130" s="1687"/>
      <c r="W130" s="1325"/>
      <c r="X130" s="1332"/>
      <c r="Y130" s="1687"/>
      <c r="Z130" s="1325"/>
      <c r="AA130" s="1332"/>
      <c r="AB130" s="1687"/>
      <c r="AC130" s="1325"/>
      <c r="AD130" s="1332"/>
      <c r="AE130" s="1687"/>
      <c r="AF130" s="1325"/>
      <c r="AG130" s="1332"/>
      <c r="AH130" s="1687"/>
      <c r="AI130" s="1325"/>
      <c r="AJ130" s="1332"/>
      <c r="AK130" s="1687"/>
      <c r="AL130" s="1325"/>
      <c r="AM130" s="1332"/>
      <c r="AN130" s="1687"/>
      <c r="AO130" s="1325"/>
      <c r="AP130" s="1332"/>
      <c r="AQ130" s="1687"/>
      <c r="AR130" s="1325">
        <f t="shared" si="490"/>
        <v>0</v>
      </c>
      <c r="AS130" s="1332">
        <f>+AA130+X130+U130+R130+O130+L130+AD130</f>
        <v>0</v>
      </c>
      <c r="AT130" s="1687"/>
      <c r="AU130" s="411"/>
      <c r="AV130" s="1757">
        <f t="shared" si="466"/>
        <v>0</v>
      </c>
      <c r="AW130" s="411"/>
      <c r="AX130" s="493"/>
      <c r="AY130" s="168" t="s">
        <v>357</v>
      </c>
      <c r="AZ130" s="168"/>
      <c r="BA130" s="377"/>
      <c r="BB130" s="1632"/>
      <c r="BC130" s="511"/>
      <c r="BD130" s="1260"/>
      <c r="BE130" s="1632"/>
      <c r="BF130" s="1470"/>
      <c r="BG130" s="1261"/>
      <c r="BH130" s="1632"/>
      <c r="BI130" s="1470"/>
      <c r="BJ130" s="1261"/>
      <c r="BK130" s="1632"/>
      <c r="BL130" s="1470"/>
      <c r="BM130" s="1261"/>
      <c r="BN130" s="1632"/>
      <c r="BO130" s="1470"/>
      <c r="BP130" s="1261"/>
      <c r="BQ130" s="1632"/>
      <c r="BR130" s="1470"/>
      <c r="BS130" s="1261"/>
      <c r="BT130" s="1632"/>
      <c r="BU130" s="1470"/>
      <c r="BV130" s="1261"/>
      <c r="BW130" s="1632"/>
      <c r="BX130" s="1470"/>
      <c r="BY130" s="1261"/>
      <c r="BZ130" s="1632"/>
      <c r="CA130" s="1470"/>
      <c r="CB130" s="1261"/>
      <c r="CC130" s="1632"/>
      <c r="CD130" s="1470"/>
      <c r="CE130" s="1261"/>
      <c r="CF130" s="1632"/>
      <c r="CG130" s="1470"/>
      <c r="CH130" s="1261"/>
      <c r="CI130" s="1632"/>
      <c r="CJ130" s="491">
        <f t="shared" si="491"/>
        <v>0</v>
      </c>
      <c r="CK130" s="1262">
        <f>+BS130+BP130+BM130+BJ130+BG130+BD130+BV130</f>
        <v>0</v>
      </c>
      <c r="CL130" s="1737"/>
      <c r="CM130" s="170"/>
      <c r="CN130" s="493"/>
      <c r="CO130" s="388" t="s">
        <v>357</v>
      </c>
      <c r="CP130" s="388"/>
      <c r="CQ130" s="384"/>
      <c r="CR130" s="1703"/>
      <c r="CS130" s="462"/>
      <c r="CT130" s="463"/>
      <c r="CU130" s="1703"/>
      <c r="CV130" s="462"/>
      <c r="CW130" s="463"/>
      <c r="CX130" s="1703"/>
      <c r="CY130" s="462"/>
      <c r="CZ130" s="463"/>
      <c r="DA130" s="1703"/>
      <c r="DB130" s="462"/>
      <c r="DC130" s="463"/>
      <c r="DD130" s="1703"/>
      <c r="DE130" s="462"/>
      <c r="DF130" s="463"/>
      <c r="DG130" s="1703"/>
      <c r="DH130" s="462"/>
      <c r="DI130" s="463"/>
      <c r="DJ130" s="1703"/>
      <c r="DK130" s="462"/>
      <c r="DL130" s="463"/>
      <c r="DM130" s="1703"/>
      <c r="DN130" s="462"/>
      <c r="DO130" s="463"/>
      <c r="DP130" s="1703"/>
      <c r="DQ130" s="462"/>
      <c r="DR130" s="463"/>
      <c r="DS130" s="1703"/>
      <c r="DT130" s="462"/>
      <c r="DU130" s="463"/>
      <c r="DV130" s="1703"/>
      <c r="DW130" s="462"/>
      <c r="DX130" s="463"/>
      <c r="DY130" s="1703"/>
      <c r="DZ130" s="435">
        <f t="shared" si="492"/>
        <v>0</v>
      </c>
      <c r="EA130" s="1745">
        <f>+DI130+DF130+DC130+CZ130+CW130+CT130+DL130</f>
        <v>0</v>
      </c>
      <c r="EB130" s="433"/>
      <c r="EC130" s="170"/>
      <c r="ED130" s="170"/>
      <c r="EE130" s="170"/>
      <c r="EF130" s="170"/>
      <c r="EG130" s="170"/>
      <c r="EH130" s="170"/>
      <c r="EI130" s="170"/>
      <c r="EJ130" s="170"/>
      <c r="EK130" s="170"/>
    </row>
    <row r="131" spans="1:141" ht="15" x14ac:dyDescent="0.25">
      <c r="A131" s="170"/>
      <c r="B131" s="424">
        <v>1</v>
      </c>
      <c r="C131" s="424">
        <v>6</v>
      </c>
      <c r="D131" s="424">
        <v>5</v>
      </c>
      <c r="E131" s="425">
        <v>10</v>
      </c>
      <c r="F131" s="493" t="s">
        <v>3188</v>
      </c>
      <c r="G131" s="1308" t="str">
        <f>+AY131</f>
        <v>Engineering/Design</v>
      </c>
      <c r="H131" s="1309" t="s">
        <v>291</v>
      </c>
      <c r="I131" s="1310">
        <f t="shared" ca="1" si="469"/>
        <v>57.3</v>
      </c>
      <c r="J131" s="1685"/>
      <c r="K131" s="1311">
        <f>+BC131</f>
        <v>0</v>
      </c>
      <c r="L131" s="1312">
        <f>+BD131</f>
        <v>0</v>
      </c>
      <c r="M131" s="1685"/>
      <c r="N131" s="1313">
        <f>+BF131</f>
        <v>0</v>
      </c>
      <c r="O131" s="1312">
        <f ca="1">+BG131+CW131</f>
        <v>0</v>
      </c>
      <c r="P131" s="1685"/>
      <c r="Q131" s="1313">
        <f>+BI131</f>
        <v>0</v>
      </c>
      <c r="R131" s="1312">
        <f ca="1">+BJ131+CZ131</f>
        <v>0</v>
      </c>
      <c r="S131" s="1685"/>
      <c r="T131" s="1313">
        <f>+BL131</f>
        <v>0</v>
      </c>
      <c r="U131" s="1312">
        <f ca="1">+BM131+DC131</f>
        <v>0</v>
      </c>
      <c r="V131" s="1685"/>
      <c r="W131" s="1313">
        <f>+BO131</f>
        <v>0</v>
      </c>
      <c r="X131" s="1312">
        <f ca="1">+BP131+DF131</f>
        <v>0</v>
      </c>
      <c r="Y131" s="1685"/>
      <c r="Z131" s="1313">
        <f>+BR131</f>
        <v>0</v>
      </c>
      <c r="AA131" s="1312">
        <f ca="1">+BS131+DI131</f>
        <v>0</v>
      </c>
      <c r="AB131" s="1685"/>
      <c r="AC131" s="1313">
        <f>+BU131</f>
        <v>0</v>
      </c>
      <c r="AD131" s="1312">
        <f ca="1">+BV131+DL131</f>
        <v>0</v>
      </c>
      <c r="AE131" s="1685"/>
      <c r="AF131" s="1313">
        <f>+BX131</f>
        <v>0</v>
      </c>
      <c r="AG131" s="1312">
        <f ca="1">+BY131+DO131</f>
        <v>0</v>
      </c>
      <c r="AH131" s="1685"/>
      <c r="AI131" s="1313">
        <f>+CA131</f>
        <v>0</v>
      </c>
      <c r="AJ131" s="1312">
        <f ca="1">+CB131+DR131</f>
        <v>0</v>
      </c>
      <c r="AK131" s="1685"/>
      <c r="AL131" s="1313">
        <f>+CD131</f>
        <v>0</v>
      </c>
      <c r="AM131" s="1312">
        <f ca="1">+CE131+DU131</f>
        <v>0</v>
      </c>
      <c r="AN131" s="1685"/>
      <c r="AO131" s="1313">
        <f>+CG131</f>
        <v>0</v>
      </c>
      <c r="AP131" s="1312">
        <f ca="1">+CH131+DX131</f>
        <v>0</v>
      </c>
      <c r="AQ131" s="1685"/>
      <c r="AR131" s="1313">
        <f t="shared" ref="AR131:AR132" si="493">+Z131+W131+T131+Q131+N131+K131+AC131+AF131+AI131+AL131+AO131</f>
        <v>0</v>
      </c>
      <c r="AS131" s="1312">
        <f t="shared" ref="AS131:AS132" ca="1" si="494">+AA131+X131+U131+R131+O131+L131+AD131+AG131+AJ131+AM131+AP131</f>
        <v>0</v>
      </c>
      <c r="AT131" s="1687"/>
      <c r="AU131" s="411"/>
      <c r="AV131" s="1757">
        <f t="shared" ca="1" si="466"/>
        <v>0</v>
      </c>
      <c r="AW131" s="411"/>
      <c r="AX131" s="493"/>
      <c r="AY131" s="1566" t="s">
        <v>358</v>
      </c>
      <c r="AZ131" s="1567" t="s">
        <v>291</v>
      </c>
      <c r="BA131" s="2445">
        <f ca="1">+'Data Input sheet'!D128</f>
        <v>57.3</v>
      </c>
      <c r="BB131" s="1579"/>
      <c r="BC131" s="1599">
        <v>0</v>
      </c>
      <c r="BD131" s="1600"/>
      <c r="BE131" s="1579"/>
      <c r="BF131" s="1605">
        <v>0</v>
      </c>
      <c r="BG131" s="426">
        <f ca="1">ROUND(+BF131*$BA$131,0)</f>
        <v>0</v>
      </c>
      <c r="BH131" s="1579"/>
      <c r="BI131" s="1605">
        <v>0</v>
      </c>
      <c r="BJ131" s="426">
        <f ca="1">ROUND(+BI131*$BA$131,0)</f>
        <v>0</v>
      </c>
      <c r="BK131" s="1666"/>
      <c r="BL131" s="1605"/>
      <c r="BM131" s="426">
        <f ca="1">ROUND(+BL131*$BA$131,0)</f>
        <v>0</v>
      </c>
      <c r="BN131" s="1579"/>
      <c r="BO131" s="1605"/>
      <c r="BP131" s="426">
        <f ca="1">ROUND(+BO131*$BA$131,0)</f>
        <v>0</v>
      </c>
      <c r="BQ131" s="1579"/>
      <c r="BR131" s="1605">
        <v>0</v>
      </c>
      <c r="BS131" s="426">
        <f ca="1">ROUND(+BR131*$BA$131,0)</f>
        <v>0</v>
      </c>
      <c r="BT131" s="1579"/>
      <c r="BU131" s="1605"/>
      <c r="BV131" s="426">
        <f ca="1">ROUND(+BU131*$BA$131,0)</f>
        <v>0</v>
      </c>
      <c r="BW131" s="1579"/>
      <c r="BX131" s="1605"/>
      <c r="BY131" s="426">
        <f ca="1">ROUND(+BX131*$BA$131,0)</f>
        <v>0</v>
      </c>
      <c r="BZ131" s="1579"/>
      <c r="CA131" s="1605"/>
      <c r="CB131" s="426">
        <f ca="1">ROUND(+CA131*$BA$131,0)</f>
        <v>0</v>
      </c>
      <c r="CC131" s="1579"/>
      <c r="CD131" s="1605"/>
      <c r="CE131" s="426">
        <f ca="1">ROUND(+CD131*$BA$131,0)</f>
        <v>0</v>
      </c>
      <c r="CF131" s="1579"/>
      <c r="CG131" s="1605"/>
      <c r="CH131" s="426">
        <f ca="1">ROUND(+CG131*$BA$131,0)</f>
        <v>0</v>
      </c>
      <c r="CI131" s="1579"/>
      <c r="CJ131" s="1257">
        <f t="shared" ref="CJ131:CJ132" si="495">+BR131+BO131+BL131+BI131+BF131+BC131+BU131+BX131+CA131+CD131+CG131</f>
        <v>0</v>
      </c>
      <c r="CK131" s="1395">
        <f t="shared" ref="CK131:CK132" ca="1" si="496">+BS131+BP131+BM131+BJ131+BG131+BD131+BV131+BY131+CB131+CE131+CH131</f>
        <v>0</v>
      </c>
      <c r="CL131" s="427"/>
      <c r="CM131" s="170"/>
      <c r="CN131" s="493"/>
      <c r="CO131" s="428" t="str">
        <f>+AY131</f>
        <v>Engineering/Design</v>
      </c>
      <c r="CP131" s="429" t="s">
        <v>291</v>
      </c>
      <c r="CQ131" s="456"/>
      <c r="CR131" s="443"/>
      <c r="CS131" s="435">
        <v>0</v>
      </c>
      <c r="CT131" s="431">
        <f>L131-BD131</f>
        <v>0</v>
      </c>
      <c r="CU131" s="443"/>
      <c r="CV131" s="435">
        <v>0</v>
      </c>
      <c r="CW131" s="434">
        <f ca="1">ROUND((+BG131*(1+CW$4)),0)-BG131</f>
        <v>0</v>
      </c>
      <c r="CX131" s="443"/>
      <c r="CY131" s="432">
        <v>0</v>
      </c>
      <c r="CZ131" s="434">
        <f ca="1">ROUND((+BJ131*(1+CZ$4)),0)-BJ131</f>
        <v>0</v>
      </c>
      <c r="DA131" s="443"/>
      <c r="DB131" s="432">
        <v>0</v>
      </c>
      <c r="DC131" s="434">
        <f ca="1">ROUND((+BM131*(1+DC$4)),0)-BM131</f>
        <v>0</v>
      </c>
      <c r="DD131" s="443"/>
      <c r="DE131" s="432">
        <v>0</v>
      </c>
      <c r="DF131" s="434">
        <f ca="1">ROUND((+BP131*(1+DF$4)),0)-BP131</f>
        <v>0</v>
      </c>
      <c r="DG131" s="443"/>
      <c r="DH131" s="432">
        <v>0</v>
      </c>
      <c r="DI131" s="434">
        <f ca="1">ROUND((+BS131*(1+DI$4)),0)-BS131</f>
        <v>0</v>
      </c>
      <c r="DJ131" s="443"/>
      <c r="DK131" s="432">
        <v>0</v>
      </c>
      <c r="DL131" s="434">
        <f ca="1">ROUND((+BV131*(1+DL$4)),0)-BV131</f>
        <v>0</v>
      </c>
      <c r="DM131" s="443"/>
      <c r="DN131" s="432">
        <v>0</v>
      </c>
      <c r="DO131" s="434">
        <f ca="1">ROUND((+BY131*(1+DO$4)),0)-BY131</f>
        <v>0</v>
      </c>
      <c r="DP131" s="443"/>
      <c r="DQ131" s="432">
        <v>0</v>
      </c>
      <c r="DR131" s="434">
        <f ca="1">ROUND((+CB131*(1+DR$4)),0)-CB131</f>
        <v>0</v>
      </c>
      <c r="DS131" s="443"/>
      <c r="DT131" s="432">
        <v>0</v>
      </c>
      <c r="DU131" s="434">
        <f ca="1">ROUND((+CE131*(1+DU$4)),0)-CE131</f>
        <v>0</v>
      </c>
      <c r="DV131" s="443"/>
      <c r="DW131" s="432">
        <v>0</v>
      </c>
      <c r="DX131" s="434">
        <f ca="1">ROUND((+CH131*(1+DX$4)),0)-CH131</f>
        <v>0</v>
      </c>
      <c r="DY131" s="443"/>
      <c r="DZ131" s="432">
        <f t="shared" ref="DZ131:DZ132" si="497">+DH131+DE131+DB131+CY131+CV131+CS131+DK131+DN131+DQ131+DT131+DW131</f>
        <v>0</v>
      </c>
      <c r="EA131" s="444">
        <f t="shared" ref="EA131:EA132" ca="1" si="498">+DI131+DF131+DC131+CZ131+CW131+CT131+DL131+DO131+DR131+DU131+DX131</f>
        <v>0</v>
      </c>
      <c r="EB131" s="433"/>
      <c r="EC131" s="170"/>
      <c r="ED131" s="170"/>
      <c r="EE131" s="170"/>
      <c r="EF131" s="170"/>
      <c r="EG131" s="170"/>
      <c r="EH131" s="170"/>
      <c r="EI131" s="170"/>
      <c r="EJ131" s="170"/>
      <c r="EK131" s="170"/>
    </row>
    <row r="132" spans="1:141" ht="15.75" thickBot="1" x14ac:dyDescent="0.3">
      <c r="A132" s="168"/>
      <c r="B132" s="424">
        <v>1</v>
      </c>
      <c r="C132" s="424">
        <v>6</v>
      </c>
      <c r="D132" s="424">
        <v>5</v>
      </c>
      <c r="E132" s="425">
        <v>10</v>
      </c>
      <c r="F132" s="493" t="s">
        <v>3188</v>
      </c>
      <c r="G132" s="1308" t="str">
        <f>+AY132</f>
        <v xml:space="preserve">Internal Construction </v>
      </c>
      <c r="H132" s="1309" t="s">
        <v>291</v>
      </c>
      <c r="I132" s="1310">
        <f t="shared" si="469"/>
        <v>0</v>
      </c>
      <c r="J132" s="1685"/>
      <c r="K132" s="1311">
        <f>+BC132</f>
        <v>0</v>
      </c>
      <c r="L132" s="1312">
        <f>+BD132</f>
        <v>0</v>
      </c>
      <c r="M132" s="1685"/>
      <c r="N132" s="1313">
        <f>+BF132</f>
        <v>0</v>
      </c>
      <c r="O132" s="1312">
        <f>+BG132+CW132</f>
        <v>0</v>
      </c>
      <c r="P132" s="1685"/>
      <c r="Q132" s="1313">
        <f>+BI132</f>
        <v>0</v>
      </c>
      <c r="R132" s="1312">
        <f>+BJ132+CZ132</f>
        <v>0</v>
      </c>
      <c r="S132" s="1685"/>
      <c r="T132" s="1313">
        <f>+BL132</f>
        <v>0</v>
      </c>
      <c r="U132" s="1312">
        <f>+BM132+DC132</f>
        <v>0</v>
      </c>
      <c r="V132" s="1685"/>
      <c r="W132" s="1313">
        <f>+BO132</f>
        <v>0</v>
      </c>
      <c r="X132" s="1312">
        <f>+BP132+DF132</f>
        <v>0</v>
      </c>
      <c r="Y132" s="1685"/>
      <c r="Z132" s="1313">
        <f>+BR132</f>
        <v>0</v>
      </c>
      <c r="AA132" s="1312">
        <f>+BS132+DI132</f>
        <v>0</v>
      </c>
      <c r="AB132" s="1685"/>
      <c r="AC132" s="1313">
        <f>+BU132</f>
        <v>0</v>
      </c>
      <c r="AD132" s="1312">
        <f>+BV132+DL132</f>
        <v>0</v>
      </c>
      <c r="AE132" s="1685"/>
      <c r="AF132" s="1313">
        <f>+BX132</f>
        <v>0</v>
      </c>
      <c r="AG132" s="1312">
        <f>+BY132+DO132</f>
        <v>0</v>
      </c>
      <c r="AH132" s="1685"/>
      <c r="AI132" s="1313">
        <f>+CA132</f>
        <v>0</v>
      </c>
      <c r="AJ132" s="1312">
        <f>+CB132+DR132</f>
        <v>0</v>
      </c>
      <c r="AK132" s="1685"/>
      <c r="AL132" s="1313">
        <f>+CD132</f>
        <v>0</v>
      </c>
      <c r="AM132" s="1312">
        <f>+CE132+DU132</f>
        <v>0</v>
      </c>
      <c r="AN132" s="1685"/>
      <c r="AO132" s="1313">
        <f>+CG132</f>
        <v>0</v>
      </c>
      <c r="AP132" s="1312">
        <f>+CH132+DX132</f>
        <v>0</v>
      </c>
      <c r="AQ132" s="1685"/>
      <c r="AR132" s="1313">
        <f t="shared" si="493"/>
        <v>0</v>
      </c>
      <c r="AS132" s="1312">
        <f t="shared" si="494"/>
        <v>0</v>
      </c>
      <c r="AT132" s="1687"/>
      <c r="AU132" s="411"/>
      <c r="AV132" s="1757">
        <f t="shared" si="466"/>
        <v>0</v>
      </c>
      <c r="AW132" s="411"/>
      <c r="AX132" s="493"/>
      <c r="AY132" s="1566" t="s">
        <v>359</v>
      </c>
      <c r="AZ132" s="1567" t="s">
        <v>291</v>
      </c>
      <c r="BA132" s="1574"/>
      <c r="BB132" s="1579"/>
      <c r="BC132" s="1599">
        <v>0</v>
      </c>
      <c r="BD132" s="1600"/>
      <c r="BE132" s="1579"/>
      <c r="BF132" s="1469">
        <f>+Escalation!O248</f>
        <v>0</v>
      </c>
      <c r="BG132" s="1284">
        <f>+Escalation!AB226</f>
        <v>0</v>
      </c>
      <c r="BH132" s="1579"/>
      <c r="BI132" s="1469">
        <f>+Escalation!P248</f>
        <v>0</v>
      </c>
      <c r="BJ132" s="1284">
        <f>+Escalation!AC226</f>
        <v>0</v>
      </c>
      <c r="BK132" s="1666"/>
      <c r="BL132" s="1469">
        <f>+Escalation!Q248</f>
        <v>0</v>
      </c>
      <c r="BM132" s="1284">
        <f>+Escalation!AD226</f>
        <v>0</v>
      </c>
      <c r="BN132" s="1579"/>
      <c r="BO132" s="1469">
        <f>+Escalation!R248</f>
        <v>0</v>
      </c>
      <c r="BP132" s="1284">
        <f>+Escalation!AE226</f>
        <v>0</v>
      </c>
      <c r="BQ132" s="1579"/>
      <c r="BR132" s="1469">
        <f>+Escalation!S248</f>
        <v>0</v>
      </c>
      <c r="BS132" s="1284">
        <f>+Escalation!AF226</f>
        <v>0</v>
      </c>
      <c r="BT132" s="1579"/>
      <c r="BU132" s="1469">
        <f>+Escalation!T248</f>
        <v>0</v>
      </c>
      <c r="BV132" s="1284">
        <f>+Escalation!AG226</f>
        <v>0</v>
      </c>
      <c r="BW132" s="1579"/>
      <c r="BX132" s="1469">
        <f>+Escalation!U248</f>
        <v>0</v>
      </c>
      <c r="BY132" s="1284">
        <f>+Escalation!AH226</f>
        <v>0</v>
      </c>
      <c r="BZ132" s="1579"/>
      <c r="CA132" s="1469">
        <f>+Escalation!V248</f>
        <v>0</v>
      </c>
      <c r="CB132" s="1284">
        <f>+Escalation!AI226</f>
        <v>0</v>
      </c>
      <c r="CC132" s="1579"/>
      <c r="CD132" s="1469">
        <f>+Escalation!W248</f>
        <v>0</v>
      </c>
      <c r="CE132" s="1284">
        <f>+Escalation!AJ226</f>
        <v>0</v>
      </c>
      <c r="CF132" s="1579"/>
      <c r="CG132" s="1469">
        <f>+Escalation!X248</f>
        <v>0</v>
      </c>
      <c r="CH132" s="1284">
        <f>+Escalation!AK226</f>
        <v>0</v>
      </c>
      <c r="CI132" s="1579"/>
      <c r="CJ132" s="1257">
        <f t="shared" si="495"/>
        <v>0</v>
      </c>
      <c r="CK132" s="1395">
        <f t="shared" si="496"/>
        <v>0</v>
      </c>
      <c r="CL132" s="427"/>
      <c r="CM132" s="170"/>
      <c r="CN132" s="493"/>
      <c r="CO132" s="428" t="str">
        <f>+AY132</f>
        <v xml:space="preserve">Internal Construction </v>
      </c>
      <c r="CP132" s="514" t="s">
        <v>291</v>
      </c>
      <c r="CQ132" s="514"/>
      <c r="CR132" s="1708"/>
      <c r="CS132" s="435">
        <v>0</v>
      </c>
      <c r="CT132" s="431">
        <f>L132-BD132</f>
        <v>0</v>
      </c>
      <c r="CU132" s="443"/>
      <c r="CV132" s="435">
        <v>0</v>
      </c>
      <c r="CW132" s="434">
        <f>+Escalation!AB272</f>
        <v>0</v>
      </c>
      <c r="CX132" s="443"/>
      <c r="CY132" s="432">
        <v>0</v>
      </c>
      <c r="CZ132" s="434">
        <f>+Escalation!AC272</f>
        <v>0</v>
      </c>
      <c r="DA132" s="443"/>
      <c r="DB132" s="432">
        <v>0</v>
      </c>
      <c r="DC132" s="434">
        <f>+Escalation!AD272</f>
        <v>0</v>
      </c>
      <c r="DD132" s="443"/>
      <c r="DE132" s="432">
        <v>0</v>
      </c>
      <c r="DF132" s="434">
        <f>+Escalation!AE272</f>
        <v>0</v>
      </c>
      <c r="DG132" s="443"/>
      <c r="DH132" s="432">
        <v>0</v>
      </c>
      <c r="DI132" s="434">
        <f>+Escalation!AF272</f>
        <v>0</v>
      </c>
      <c r="DJ132" s="443"/>
      <c r="DK132" s="432">
        <v>0</v>
      </c>
      <c r="DL132" s="434">
        <f>+Escalation!AG272</f>
        <v>0</v>
      </c>
      <c r="DM132" s="443"/>
      <c r="DN132" s="432">
        <v>0</v>
      </c>
      <c r="DO132" s="434">
        <f>+Escalation!AH272</f>
        <v>0</v>
      </c>
      <c r="DP132" s="443"/>
      <c r="DQ132" s="432">
        <v>0</v>
      </c>
      <c r="DR132" s="434">
        <f>+Escalation!AI272</f>
        <v>0</v>
      </c>
      <c r="DS132" s="443"/>
      <c r="DT132" s="432">
        <v>0</v>
      </c>
      <c r="DU132" s="434">
        <f>+Escalation!AJ272</f>
        <v>0</v>
      </c>
      <c r="DV132" s="443"/>
      <c r="DW132" s="432">
        <v>0</v>
      </c>
      <c r="DX132" s="434">
        <f>+Escalation!AK272</f>
        <v>0</v>
      </c>
      <c r="DY132" s="443"/>
      <c r="DZ132" s="432">
        <f t="shared" si="497"/>
        <v>0</v>
      </c>
      <c r="EA132" s="444">
        <f t="shared" si="498"/>
        <v>0</v>
      </c>
      <c r="EB132" s="433"/>
      <c r="EC132" s="170"/>
      <c r="ED132" s="170"/>
      <c r="EE132" s="170"/>
      <c r="EF132" s="170"/>
      <c r="EG132" s="170"/>
      <c r="EH132" s="170"/>
      <c r="EI132" s="170"/>
      <c r="EJ132" s="170"/>
      <c r="EK132" s="170"/>
    </row>
    <row r="133" spans="1:141" ht="15" x14ac:dyDescent="0.25">
      <c r="A133" s="168"/>
      <c r="B133" s="436"/>
      <c r="C133" s="436"/>
      <c r="D133" s="436"/>
      <c r="E133" s="437"/>
      <c r="F133" s="493"/>
      <c r="G133" s="1314" t="s">
        <v>297</v>
      </c>
      <c r="H133" s="1309"/>
      <c r="I133" s="1310">
        <f t="shared" si="469"/>
        <v>0</v>
      </c>
      <c r="J133" s="1685"/>
      <c r="K133" s="1679">
        <f>SUM(K131:K132)</f>
        <v>0</v>
      </c>
      <c r="L133" s="1315">
        <f>SUM(L131:L132)</f>
        <v>0</v>
      </c>
      <c r="M133" s="1685"/>
      <c r="N133" s="1679">
        <f>SUM(N131:N132)</f>
        <v>0</v>
      </c>
      <c r="O133" s="1315">
        <f ca="1">SUM(O131:O132)</f>
        <v>0</v>
      </c>
      <c r="P133" s="1685"/>
      <c r="Q133" s="1679">
        <f>SUM(Q131:Q132)</f>
        <v>0</v>
      </c>
      <c r="R133" s="1315">
        <f ca="1">SUM(R131:R132)</f>
        <v>0</v>
      </c>
      <c r="S133" s="1685"/>
      <c r="T133" s="1679">
        <f>SUM(T131:T132)</f>
        <v>0</v>
      </c>
      <c r="U133" s="1315">
        <f ca="1">SUM(U131:U132)</f>
        <v>0</v>
      </c>
      <c r="V133" s="1685"/>
      <c r="W133" s="1679">
        <f>SUM(W131:W132)</f>
        <v>0</v>
      </c>
      <c r="X133" s="1315">
        <f ca="1">SUM(X131:X132)</f>
        <v>0</v>
      </c>
      <c r="Y133" s="1685"/>
      <c r="Z133" s="1679">
        <f>SUM(Z131:Z132)</f>
        <v>0</v>
      </c>
      <c r="AA133" s="1315">
        <f ca="1">SUM(AA131:AA132)</f>
        <v>0</v>
      </c>
      <c r="AB133" s="1685"/>
      <c r="AC133" s="1679">
        <f>SUM(AC131:AC132)</f>
        <v>0</v>
      </c>
      <c r="AD133" s="1315">
        <f ca="1">SUM(AD131:AD132)</f>
        <v>0</v>
      </c>
      <c r="AE133" s="1685"/>
      <c r="AF133" s="1679">
        <f>SUM(AF131:AF132)</f>
        <v>0</v>
      </c>
      <c r="AG133" s="1315">
        <f ca="1">SUM(AG131:AG132)</f>
        <v>0</v>
      </c>
      <c r="AH133" s="1685"/>
      <c r="AI133" s="1679">
        <f>SUM(AI131:AI132)</f>
        <v>0</v>
      </c>
      <c r="AJ133" s="1315">
        <f ca="1">SUM(AJ131:AJ132)</f>
        <v>0</v>
      </c>
      <c r="AK133" s="1685"/>
      <c r="AL133" s="1679">
        <f>SUM(AL131:AL132)</f>
        <v>0</v>
      </c>
      <c r="AM133" s="1315">
        <f ca="1">SUM(AM131:AM132)</f>
        <v>0</v>
      </c>
      <c r="AN133" s="1685"/>
      <c r="AO133" s="1679">
        <f>SUM(AO131:AO132)</f>
        <v>0</v>
      </c>
      <c r="AP133" s="1315">
        <f ca="1">SUM(AP131:AP132)</f>
        <v>0</v>
      </c>
      <c r="AQ133" s="1685"/>
      <c r="AR133" s="1679"/>
      <c r="AS133" s="1315">
        <f ca="1">SUM(AS131:AS132)</f>
        <v>0</v>
      </c>
      <c r="AT133" s="1687"/>
      <c r="AU133" s="411"/>
      <c r="AV133" s="1757">
        <f t="shared" ca="1" si="466"/>
        <v>0</v>
      </c>
      <c r="AW133" s="411"/>
      <c r="AX133" s="493"/>
      <c r="AY133" s="1248" t="s">
        <v>297</v>
      </c>
      <c r="AZ133" s="447"/>
      <c r="BA133" s="447"/>
      <c r="BB133" s="1579"/>
      <c r="BC133" s="1257">
        <f>SUM(BC131:BC132)</f>
        <v>0</v>
      </c>
      <c r="BD133" s="1284">
        <f>SUM(BD131:BD132)</f>
        <v>0</v>
      </c>
      <c r="BE133" s="1579"/>
      <c r="BF133" s="1469"/>
      <c r="BG133" s="1284">
        <f ca="1">SUM(BG131:BG132)</f>
        <v>0</v>
      </c>
      <c r="BH133" s="1579"/>
      <c r="BI133" s="1469"/>
      <c r="BJ133" s="1284">
        <f ca="1">SUM(BJ131:BJ132)</f>
        <v>0</v>
      </c>
      <c r="BK133" s="1579"/>
      <c r="BL133" s="1469"/>
      <c r="BM133" s="1284">
        <f ca="1">SUM(BM131:BM132)</f>
        <v>0</v>
      </c>
      <c r="BN133" s="1579"/>
      <c r="BO133" s="1469"/>
      <c r="BP133" s="1284">
        <f ca="1">SUM(BP131:BP132)</f>
        <v>0</v>
      </c>
      <c r="BQ133" s="1579"/>
      <c r="BR133" s="1469"/>
      <c r="BS133" s="1284">
        <f ca="1">SUM(BS131:BS132)</f>
        <v>0</v>
      </c>
      <c r="BT133" s="1579"/>
      <c r="BU133" s="1469"/>
      <c r="BV133" s="1284">
        <f ca="1">SUM(BV131:BV132)</f>
        <v>0</v>
      </c>
      <c r="BW133" s="1579"/>
      <c r="BX133" s="1469"/>
      <c r="BY133" s="1284">
        <f ca="1">SUM(BY131:BY132)</f>
        <v>0</v>
      </c>
      <c r="BZ133" s="1579"/>
      <c r="CA133" s="1469"/>
      <c r="CB133" s="1284">
        <f ca="1">SUM(CB131:CB132)</f>
        <v>0</v>
      </c>
      <c r="CC133" s="1579"/>
      <c r="CD133" s="1469"/>
      <c r="CE133" s="1284">
        <f ca="1">SUM(CE131:CE132)</f>
        <v>0</v>
      </c>
      <c r="CF133" s="1579"/>
      <c r="CG133" s="1469"/>
      <c r="CH133" s="1284">
        <f ca="1">SUM(CH131:CH132)</f>
        <v>0</v>
      </c>
      <c r="CI133" s="1579"/>
      <c r="CJ133" s="1469"/>
      <c r="CK133" s="1284">
        <f ca="1">SUM(CK131:CK132)</f>
        <v>0</v>
      </c>
      <c r="CL133" s="1729"/>
      <c r="CM133" s="170"/>
      <c r="CN133" s="493"/>
      <c r="CO133" s="438" t="s">
        <v>297</v>
      </c>
      <c r="CP133" s="429"/>
      <c r="CQ133" s="429"/>
      <c r="CR133" s="443"/>
      <c r="CS133" s="434">
        <f>SUM(CS131:CS132)</f>
        <v>0</v>
      </c>
      <c r="CT133" s="434">
        <f>SUM(CT131:CT132)</f>
        <v>0</v>
      </c>
      <c r="CU133" s="443"/>
      <c r="CV133" s="434">
        <f>SUM(CV131:CV132)</f>
        <v>0</v>
      </c>
      <c r="CW133" s="434">
        <f ca="1">SUM(CW131:CW132)</f>
        <v>0</v>
      </c>
      <c r="CX133" s="443"/>
      <c r="CY133" s="434">
        <f>SUM(CY131:CY132)</f>
        <v>0</v>
      </c>
      <c r="CZ133" s="434">
        <f ca="1">SUM(CZ131:CZ132)</f>
        <v>0</v>
      </c>
      <c r="DA133" s="443"/>
      <c r="DB133" s="434">
        <f>SUM(DB131:DB132)</f>
        <v>0</v>
      </c>
      <c r="DC133" s="434">
        <f ca="1">SUM(DC131:DC132)</f>
        <v>0</v>
      </c>
      <c r="DD133" s="443"/>
      <c r="DE133" s="434">
        <f>SUM(DE131:DE132)</f>
        <v>0</v>
      </c>
      <c r="DF133" s="434">
        <f ca="1">SUM(DF131:DF132)</f>
        <v>0</v>
      </c>
      <c r="DG133" s="443"/>
      <c r="DH133" s="434">
        <f>SUM(DH131:DH132)</f>
        <v>0</v>
      </c>
      <c r="DI133" s="434">
        <f ca="1">SUM(DI131:DI132)</f>
        <v>0</v>
      </c>
      <c r="DJ133" s="443"/>
      <c r="DK133" s="434">
        <f>SUM(DK131:DK132)</f>
        <v>0</v>
      </c>
      <c r="DL133" s="434">
        <f ca="1">SUM(DL131:DL132)</f>
        <v>0</v>
      </c>
      <c r="DM133" s="443"/>
      <c r="DN133" s="434">
        <f>SUM(DN131:DN132)</f>
        <v>0</v>
      </c>
      <c r="DO133" s="434">
        <f ca="1">SUM(DO131:DO132)</f>
        <v>0</v>
      </c>
      <c r="DP133" s="443"/>
      <c r="DQ133" s="434">
        <f>SUM(DQ131:DQ132)</f>
        <v>0</v>
      </c>
      <c r="DR133" s="434">
        <f ca="1">SUM(DR131:DR132)</f>
        <v>0</v>
      </c>
      <c r="DS133" s="443"/>
      <c r="DT133" s="434">
        <f>SUM(DT131:DT132)</f>
        <v>0</v>
      </c>
      <c r="DU133" s="434">
        <f ca="1">SUM(DU131:DU132)</f>
        <v>0</v>
      </c>
      <c r="DV133" s="443"/>
      <c r="DW133" s="434">
        <f>SUM(DW131:DW132)</f>
        <v>0</v>
      </c>
      <c r="DX133" s="434">
        <f ca="1">SUM(DX131:DX132)</f>
        <v>0</v>
      </c>
      <c r="DY133" s="443"/>
      <c r="DZ133" s="434"/>
      <c r="EA133" s="1748">
        <f ca="1">SUM(EA131:EA132)</f>
        <v>0</v>
      </c>
      <c r="EB133" s="433"/>
      <c r="EC133" s="170"/>
      <c r="ED133" s="170"/>
      <c r="EE133" s="170"/>
      <c r="EF133" s="170"/>
      <c r="EG133" s="170"/>
      <c r="EH133" s="170"/>
      <c r="EI133" s="170"/>
      <c r="EJ133" s="170"/>
      <c r="EK133" s="170"/>
    </row>
    <row r="134" spans="1:141" ht="15" x14ac:dyDescent="0.25">
      <c r="A134" s="170"/>
      <c r="B134" s="424">
        <v>5</v>
      </c>
      <c r="C134" s="424">
        <v>6</v>
      </c>
      <c r="D134" s="424">
        <v>5</v>
      </c>
      <c r="E134" s="425">
        <v>10</v>
      </c>
      <c r="F134" s="493"/>
      <c r="G134" s="1308" t="str">
        <f>+AY134</f>
        <v xml:space="preserve">Employee Expenses </v>
      </c>
      <c r="H134" s="1309" t="s">
        <v>298</v>
      </c>
      <c r="I134" s="1310">
        <f t="shared" si="469"/>
        <v>0.15</v>
      </c>
      <c r="J134" s="1685"/>
      <c r="K134" s="1311">
        <f t="shared" ref="K134:L138" si="499">+BC134</f>
        <v>0</v>
      </c>
      <c r="L134" s="1312">
        <f t="shared" si="499"/>
        <v>0</v>
      </c>
      <c r="M134" s="1685"/>
      <c r="N134" s="1316"/>
      <c r="O134" s="1312">
        <f ca="1">ROUND(((O133)*$BA134),0)</f>
        <v>0</v>
      </c>
      <c r="P134" s="1685"/>
      <c r="Q134" s="1316"/>
      <c r="R134" s="1312">
        <f ca="1">ROUND(((R133)*$BA134),0)</f>
        <v>0</v>
      </c>
      <c r="S134" s="1685"/>
      <c r="T134" s="1316"/>
      <c r="U134" s="1312">
        <f ca="1">ROUND(((U133)*$BA134),0)</f>
        <v>0</v>
      </c>
      <c r="V134" s="1685"/>
      <c r="W134" s="1316"/>
      <c r="X134" s="1312">
        <f ca="1">ROUND(((X133)*$BA134),0)</f>
        <v>0</v>
      </c>
      <c r="Y134" s="1685"/>
      <c r="Z134" s="1316"/>
      <c r="AA134" s="1312">
        <f ca="1">ROUND(((AA133)*$BA134),0)</f>
        <v>0</v>
      </c>
      <c r="AB134" s="1685"/>
      <c r="AC134" s="1316"/>
      <c r="AD134" s="1312">
        <f ca="1">ROUND(((AD133)*$BA134),0)</f>
        <v>0</v>
      </c>
      <c r="AE134" s="1685"/>
      <c r="AF134" s="1316"/>
      <c r="AG134" s="1312">
        <f ca="1">ROUND(((AG133)*$BA134),0)</f>
        <v>0</v>
      </c>
      <c r="AH134" s="1685"/>
      <c r="AI134" s="1316"/>
      <c r="AJ134" s="1312">
        <f ca="1">ROUND(((AJ133)*$BA134),0)</f>
        <v>0</v>
      </c>
      <c r="AK134" s="1685"/>
      <c r="AL134" s="1316"/>
      <c r="AM134" s="1312">
        <f ca="1">ROUND(((AM133)*$BA134),0)</f>
        <v>0</v>
      </c>
      <c r="AN134" s="1685"/>
      <c r="AO134" s="1316"/>
      <c r="AP134" s="1312">
        <f ca="1">ROUND(((AP133)*$BA134),0)</f>
        <v>0</v>
      </c>
      <c r="AQ134" s="1685"/>
      <c r="AR134" s="1316">
        <f t="shared" ref="AR134:AR138" si="500">+Z134+W134+T134+Q134+N134+K134+AC134+AF134+AI134+AL134+AO134</f>
        <v>0</v>
      </c>
      <c r="AS134" s="1312">
        <f t="shared" ref="AS134:AS138" ca="1" si="501">+AA134+X134+U134+R134+O134+L134+AD134+AG134+AJ134+AM134+AP134</f>
        <v>0</v>
      </c>
      <c r="AT134" s="1687"/>
      <c r="AU134" s="411"/>
      <c r="AV134" s="1757">
        <f t="shared" ca="1" si="466"/>
        <v>0</v>
      </c>
      <c r="AW134" s="411"/>
      <c r="AX134" s="493"/>
      <c r="AY134" s="1566" t="s">
        <v>299</v>
      </c>
      <c r="AZ134" s="1567" t="s">
        <v>298</v>
      </c>
      <c r="BA134" s="440">
        <v>0.15</v>
      </c>
      <c r="BB134" s="1579"/>
      <c r="BC134" s="1599">
        <v>0</v>
      </c>
      <c r="BD134" s="1600">
        <v>0</v>
      </c>
      <c r="BE134" s="1579"/>
      <c r="BF134" s="1609"/>
      <c r="BG134" s="1284">
        <f ca="1">ROUND(((BG133)*$BA134),0)</f>
        <v>0</v>
      </c>
      <c r="BH134" s="1579"/>
      <c r="BI134" s="1609"/>
      <c r="BJ134" s="1284">
        <f ca="1">ROUND(((BJ133)*$BA134),0)</f>
        <v>0</v>
      </c>
      <c r="BK134" s="1666"/>
      <c r="BL134" s="1609"/>
      <c r="BM134" s="1284">
        <f ca="1">ROUND(((BM133)*$BA134),0)</f>
        <v>0</v>
      </c>
      <c r="BN134" s="1579"/>
      <c r="BO134" s="1609"/>
      <c r="BP134" s="1284">
        <f ca="1">ROUND(((BP133)*$BA134),0)</f>
        <v>0</v>
      </c>
      <c r="BQ134" s="1579"/>
      <c r="BR134" s="1609"/>
      <c r="BS134" s="1284">
        <f ca="1">ROUND(((BS133)*$BA134),0)</f>
        <v>0</v>
      </c>
      <c r="BT134" s="1579"/>
      <c r="BU134" s="1609"/>
      <c r="BV134" s="1284">
        <f ca="1">ROUND(((BV133)*$BA134),0)</f>
        <v>0</v>
      </c>
      <c r="BW134" s="1579"/>
      <c r="BX134" s="1609"/>
      <c r="BY134" s="1284">
        <f ca="1">ROUND(((BY133)*$BA134),0)</f>
        <v>0</v>
      </c>
      <c r="BZ134" s="1579"/>
      <c r="CA134" s="1609"/>
      <c r="CB134" s="1284">
        <f ca="1">ROUND(((CB133)*$BA134),0)</f>
        <v>0</v>
      </c>
      <c r="CC134" s="1579"/>
      <c r="CD134" s="1609"/>
      <c r="CE134" s="1284">
        <f ca="1">ROUND(((CE133)*$BA134),0)</f>
        <v>0</v>
      </c>
      <c r="CF134" s="1579"/>
      <c r="CG134" s="1609"/>
      <c r="CH134" s="1284">
        <f ca="1">ROUND(((CH133)*$BA134),0)</f>
        <v>0</v>
      </c>
      <c r="CI134" s="1579"/>
      <c r="CJ134" s="1257">
        <f t="shared" ref="CJ134:CJ138" si="502">+BR134+BO134+BL134+BI134+BF134+BC134+BU134+BX134+CA134+CD134+CG134</f>
        <v>0</v>
      </c>
      <c r="CK134" s="1395">
        <f t="shared" ref="CK134:CK138" ca="1" si="503">+BS134+BP134+BM134+BJ134+BG134+BD134+BV134+BY134+CB134+CE134+CH134</f>
        <v>0</v>
      </c>
      <c r="CL134" s="427"/>
      <c r="CM134" s="170"/>
      <c r="CN134" s="493"/>
      <c r="CO134" s="428" t="str">
        <f>+AY134</f>
        <v xml:space="preserve">Employee Expenses </v>
      </c>
      <c r="CP134" s="429" t="s">
        <v>298</v>
      </c>
      <c r="CQ134" s="441"/>
      <c r="CR134" s="443"/>
      <c r="CS134" s="432"/>
      <c r="CT134" s="431">
        <f>L134-BD134</f>
        <v>0</v>
      </c>
      <c r="CU134" s="443"/>
      <c r="CV134" s="432"/>
      <c r="CW134" s="434">
        <f ca="1">ROUND((+BG134*(1+CW$4)),0)-BG134</f>
        <v>0</v>
      </c>
      <c r="CX134" s="443"/>
      <c r="CY134" s="432">
        <v>0</v>
      </c>
      <c r="CZ134" s="434">
        <f ca="1">ROUND((+BJ134*(1+CZ$4)),0)-BJ134</f>
        <v>0</v>
      </c>
      <c r="DA134" s="443"/>
      <c r="DB134" s="432">
        <v>0</v>
      </c>
      <c r="DC134" s="434">
        <f ca="1">ROUND((+BM134*(1+DC$4)),0)-BM134</f>
        <v>0</v>
      </c>
      <c r="DD134" s="443"/>
      <c r="DE134" s="432">
        <v>0</v>
      </c>
      <c r="DF134" s="434">
        <f ca="1">ROUND((+BP134*(1+DF$4)),0)-BP134</f>
        <v>0</v>
      </c>
      <c r="DG134" s="443"/>
      <c r="DH134" s="432">
        <v>0</v>
      </c>
      <c r="DI134" s="434">
        <f ca="1">ROUND((+BS134*(1+DI$4)),0)-BS134</f>
        <v>0</v>
      </c>
      <c r="DJ134" s="443"/>
      <c r="DK134" s="432">
        <v>0</v>
      </c>
      <c r="DL134" s="434">
        <f ca="1">ROUND((+BV134*(1+DL$4)),0)-BV134</f>
        <v>0</v>
      </c>
      <c r="DM134" s="443"/>
      <c r="DN134" s="432">
        <v>0</v>
      </c>
      <c r="DO134" s="434">
        <f ca="1">ROUND((+BY134*(1+DO$4)),0)-BY134</f>
        <v>0</v>
      </c>
      <c r="DP134" s="443"/>
      <c r="DQ134" s="432">
        <v>0</v>
      </c>
      <c r="DR134" s="434">
        <f ca="1">ROUND((+CB134*(1+DR$4)),0)-CB134</f>
        <v>0</v>
      </c>
      <c r="DS134" s="443"/>
      <c r="DT134" s="432">
        <v>0</v>
      </c>
      <c r="DU134" s="434">
        <f ca="1">ROUND((+CE134*(1+DU$4)),0)-CE134</f>
        <v>0</v>
      </c>
      <c r="DV134" s="443"/>
      <c r="DW134" s="432">
        <v>0</v>
      </c>
      <c r="DX134" s="434">
        <f ca="1">ROUND((+CH134*(1+DX$4)),0)-CH134</f>
        <v>0</v>
      </c>
      <c r="DY134" s="443"/>
      <c r="DZ134" s="432">
        <f t="shared" ref="DZ134:DZ138" si="504">+DH134+DE134+DB134+CY134+CV134+CS134+DK134+DN134+DQ134+DT134+DW134</f>
        <v>0</v>
      </c>
      <c r="EA134" s="444">
        <f t="shared" ref="EA134:EA138" ca="1" si="505">+DI134+DF134+DC134+CZ134+CW134+CT134+DL134+DO134+DR134+DU134+DX134</f>
        <v>0</v>
      </c>
      <c r="EB134" s="433"/>
      <c r="EC134" s="170"/>
      <c r="ED134" s="170"/>
      <c r="EE134" s="170"/>
      <c r="EF134" s="170"/>
      <c r="EG134" s="170"/>
      <c r="EH134" s="170"/>
      <c r="EI134" s="170"/>
      <c r="EJ134" s="170"/>
      <c r="EK134" s="170"/>
    </row>
    <row r="135" spans="1:141" ht="15" x14ac:dyDescent="0.25">
      <c r="A135" s="170"/>
      <c r="B135" s="424">
        <v>3</v>
      </c>
      <c r="C135" s="424">
        <v>6</v>
      </c>
      <c r="D135" s="424">
        <v>5</v>
      </c>
      <c r="E135" s="425">
        <v>10</v>
      </c>
      <c r="F135" s="493" t="s">
        <v>605</v>
      </c>
      <c r="G135" s="1308" t="str">
        <f>+AY135</f>
        <v>Outside Services</v>
      </c>
      <c r="H135" s="1309" t="s">
        <v>360</v>
      </c>
      <c r="I135" s="1310">
        <f t="shared" si="469"/>
        <v>0</v>
      </c>
      <c r="J135" s="1685"/>
      <c r="K135" s="1311">
        <f t="shared" si="499"/>
        <v>0</v>
      </c>
      <c r="L135" s="1312">
        <f t="shared" si="499"/>
        <v>0</v>
      </c>
      <c r="M135" s="1685"/>
      <c r="N135" s="1323"/>
      <c r="O135" s="1312">
        <f>+BG135+CW135</f>
        <v>0</v>
      </c>
      <c r="P135" s="1685"/>
      <c r="Q135" s="1313">
        <f>+BI135</f>
        <v>0</v>
      </c>
      <c r="R135" s="1312">
        <f>+BJ135+CZ135</f>
        <v>0</v>
      </c>
      <c r="S135" s="1685"/>
      <c r="T135" s="1313">
        <f>+BL135</f>
        <v>0</v>
      </c>
      <c r="U135" s="1312">
        <f>+BM135+DC135</f>
        <v>0</v>
      </c>
      <c r="V135" s="1685"/>
      <c r="W135" s="1313">
        <f>+BO135</f>
        <v>0</v>
      </c>
      <c r="X135" s="1312">
        <f>+BP135+DF135</f>
        <v>0</v>
      </c>
      <c r="Y135" s="1685"/>
      <c r="Z135" s="1313">
        <f>+BR135</f>
        <v>0</v>
      </c>
      <c r="AA135" s="1312">
        <f>+BS135+DI135</f>
        <v>0</v>
      </c>
      <c r="AB135" s="1685"/>
      <c r="AC135" s="1313">
        <f>+BU135</f>
        <v>0</v>
      </c>
      <c r="AD135" s="1312">
        <f>+BV135+DL135</f>
        <v>0</v>
      </c>
      <c r="AE135" s="1685"/>
      <c r="AF135" s="1313">
        <f>+BX135</f>
        <v>0</v>
      </c>
      <c r="AG135" s="1312">
        <f>+BY135+DO135</f>
        <v>0</v>
      </c>
      <c r="AH135" s="1685"/>
      <c r="AI135" s="1313">
        <f>+CA135</f>
        <v>0</v>
      </c>
      <c r="AJ135" s="1312">
        <f>+CB135+DR135</f>
        <v>0</v>
      </c>
      <c r="AK135" s="1685"/>
      <c r="AL135" s="1313">
        <f>+CD135</f>
        <v>0</v>
      </c>
      <c r="AM135" s="1312">
        <f>+CE135+DU135</f>
        <v>0</v>
      </c>
      <c r="AN135" s="1685"/>
      <c r="AO135" s="1313">
        <f>+CG135</f>
        <v>0</v>
      </c>
      <c r="AP135" s="1312">
        <f>+CH135+DX135</f>
        <v>0</v>
      </c>
      <c r="AQ135" s="1685"/>
      <c r="AR135" s="1313">
        <f t="shared" si="500"/>
        <v>0</v>
      </c>
      <c r="AS135" s="1312">
        <f t="shared" si="501"/>
        <v>0</v>
      </c>
      <c r="AT135" s="1687"/>
      <c r="AU135" s="411"/>
      <c r="AV135" s="1757">
        <f t="shared" si="466"/>
        <v>0</v>
      </c>
      <c r="AW135" s="411"/>
      <c r="AX135" s="493"/>
      <c r="AY135" s="1566" t="s">
        <v>242</v>
      </c>
      <c r="AZ135" s="1567" t="s">
        <v>360</v>
      </c>
      <c r="BA135" s="470">
        <v>0</v>
      </c>
      <c r="BB135" s="1579"/>
      <c r="BC135" s="1599">
        <v>0</v>
      </c>
      <c r="BD135" s="1600"/>
      <c r="BE135" s="1579"/>
      <c r="BF135" s="1609"/>
      <c r="BG135" s="471">
        <v>0</v>
      </c>
      <c r="BH135" s="1579"/>
      <c r="BI135" s="1609"/>
      <c r="BJ135" s="471">
        <v>0</v>
      </c>
      <c r="BK135" s="1666"/>
      <c r="BL135" s="1609"/>
      <c r="BM135" s="471">
        <v>0</v>
      </c>
      <c r="BN135" s="1579"/>
      <c r="BO135" s="1609"/>
      <c r="BP135" s="471">
        <v>0</v>
      </c>
      <c r="BQ135" s="1579"/>
      <c r="BR135" s="1609"/>
      <c r="BS135" s="471">
        <v>0</v>
      </c>
      <c r="BT135" s="1579"/>
      <c r="BU135" s="1609"/>
      <c r="BV135" s="471">
        <v>0</v>
      </c>
      <c r="BW135" s="1579"/>
      <c r="BX135" s="1609"/>
      <c r="BY135" s="471">
        <v>0</v>
      </c>
      <c r="BZ135" s="1579"/>
      <c r="CA135" s="1609"/>
      <c r="CB135" s="471">
        <v>0</v>
      </c>
      <c r="CC135" s="1579"/>
      <c r="CD135" s="1609"/>
      <c r="CE135" s="471">
        <v>0</v>
      </c>
      <c r="CF135" s="1579"/>
      <c r="CG135" s="1609"/>
      <c r="CH135" s="471">
        <v>0</v>
      </c>
      <c r="CI135" s="1579"/>
      <c r="CJ135" s="1257">
        <f t="shared" si="502"/>
        <v>0</v>
      </c>
      <c r="CK135" s="1395">
        <f t="shared" si="503"/>
        <v>0</v>
      </c>
      <c r="CL135" s="427"/>
      <c r="CM135" s="170"/>
      <c r="CN135" s="493"/>
      <c r="CO135" s="428" t="str">
        <f>+AY135</f>
        <v>Outside Services</v>
      </c>
      <c r="CP135" s="429" t="s">
        <v>360</v>
      </c>
      <c r="CQ135" s="456"/>
      <c r="CR135" s="443"/>
      <c r="CS135" s="432"/>
      <c r="CT135" s="431">
        <f>L135-BD135</f>
        <v>0</v>
      </c>
      <c r="CU135" s="443"/>
      <c r="CV135" s="432"/>
      <c r="CW135" s="434">
        <f>ROUND((+BG135*(1+CW$4)),0)-BG135</f>
        <v>0</v>
      </c>
      <c r="CX135" s="443"/>
      <c r="CY135" s="432">
        <v>0</v>
      </c>
      <c r="CZ135" s="434">
        <f>ROUND((+BJ135*(1+CZ$4)),0)-BJ135</f>
        <v>0</v>
      </c>
      <c r="DA135" s="443"/>
      <c r="DB135" s="432">
        <v>0</v>
      </c>
      <c r="DC135" s="434">
        <f>ROUND((+BM135*(1+DC$4)),0)-BM135</f>
        <v>0</v>
      </c>
      <c r="DD135" s="443"/>
      <c r="DE135" s="432">
        <v>0</v>
      </c>
      <c r="DF135" s="434">
        <f>ROUND((+BP135*(1+DF$4)),0)-BP135</f>
        <v>0</v>
      </c>
      <c r="DG135" s="443"/>
      <c r="DH135" s="432">
        <v>0</v>
      </c>
      <c r="DI135" s="434">
        <f>ROUND((+BS135*(1+DI$4)),0)-BS135</f>
        <v>0</v>
      </c>
      <c r="DJ135" s="443"/>
      <c r="DK135" s="432">
        <v>0</v>
      </c>
      <c r="DL135" s="434">
        <f>ROUND((+BV135*(1+DL$4)),0)-BV135</f>
        <v>0</v>
      </c>
      <c r="DM135" s="443"/>
      <c r="DN135" s="432">
        <v>0</v>
      </c>
      <c r="DO135" s="434">
        <f>ROUND((+BY135*(1+DO$4)),0)-BY135</f>
        <v>0</v>
      </c>
      <c r="DP135" s="443"/>
      <c r="DQ135" s="432">
        <v>0</v>
      </c>
      <c r="DR135" s="434">
        <f>ROUND((+CB135*(1+DR$4)),0)-CB135</f>
        <v>0</v>
      </c>
      <c r="DS135" s="443"/>
      <c r="DT135" s="432">
        <v>0</v>
      </c>
      <c r="DU135" s="434">
        <f>ROUND((+CE135*(1+DU$4)),0)-CE135</f>
        <v>0</v>
      </c>
      <c r="DV135" s="443"/>
      <c r="DW135" s="432">
        <v>0</v>
      </c>
      <c r="DX135" s="434">
        <f>ROUND((+CH135*(1+DX$4)),0)-CH135</f>
        <v>0</v>
      </c>
      <c r="DY135" s="443"/>
      <c r="DZ135" s="432">
        <f t="shared" si="504"/>
        <v>0</v>
      </c>
      <c r="EA135" s="444">
        <f t="shared" si="505"/>
        <v>0</v>
      </c>
      <c r="EB135" s="433"/>
      <c r="EC135" s="170"/>
      <c r="ED135" s="170"/>
      <c r="EE135" s="170"/>
      <c r="EF135" s="170"/>
      <c r="EG135" s="170"/>
      <c r="EH135" s="170"/>
      <c r="EI135" s="170"/>
      <c r="EJ135" s="170"/>
      <c r="EK135" s="170"/>
    </row>
    <row r="136" spans="1:141" ht="15" x14ac:dyDescent="0.25">
      <c r="A136" s="170"/>
      <c r="B136" s="424">
        <v>3</v>
      </c>
      <c r="C136" s="424">
        <v>6</v>
      </c>
      <c r="D136" s="424">
        <v>5</v>
      </c>
      <c r="E136" s="425">
        <v>10</v>
      </c>
      <c r="F136" s="493" t="s">
        <v>605</v>
      </c>
      <c r="G136" s="1308" t="str">
        <f>+AY136</f>
        <v>Contractor Labor</v>
      </c>
      <c r="H136" s="1309" t="s">
        <v>301</v>
      </c>
      <c r="I136" s="1310">
        <f t="shared" si="469"/>
        <v>0</v>
      </c>
      <c r="J136" s="1685"/>
      <c r="K136" s="1311">
        <f t="shared" si="499"/>
        <v>0</v>
      </c>
      <c r="L136" s="1312">
        <f t="shared" si="499"/>
        <v>0</v>
      </c>
      <c r="M136" s="1685"/>
      <c r="N136" s="1316"/>
      <c r="O136" s="1312">
        <f ca="1">+BG136+CW136</f>
        <v>0</v>
      </c>
      <c r="P136" s="1685"/>
      <c r="Q136" s="1313">
        <f ca="1">+BI136</f>
        <v>0</v>
      </c>
      <c r="R136" s="1312">
        <f ca="1">+BJ136+CZ136</f>
        <v>0</v>
      </c>
      <c r="S136" s="1685"/>
      <c r="T136" s="1313">
        <f ca="1">+BL136</f>
        <v>0</v>
      </c>
      <c r="U136" s="1312">
        <f ca="1">+BM136+DC136</f>
        <v>0</v>
      </c>
      <c r="V136" s="1685"/>
      <c r="W136" s="1313">
        <f ca="1">+BO136</f>
        <v>0</v>
      </c>
      <c r="X136" s="1312">
        <f ca="1">+BP136+DF136</f>
        <v>0</v>
      </c>
      <c r="Y136" s="1685"/>
      <c r="Z136" s="1313">
        <f ca="1">+BR136</f>
        <v>0</v>
      </c>
      <c r="AA136" s="1312">
        <f ca="1">+BS136+DI136</f>
        <v>0</v>
      </c>
      <c r="AB136" s="1685"/>
      <c r="AC136" s="1313">
        <f ca="1">+BU136</f>
        <v>0</v>
      </c>
      <c r="AD136" s="1312">
        <f ca="1">+BV136+DL136</f>
        <v>0</v>
      </c>
      <c r="AE136" s="1685"/>
      <c r="AF136" s="1313">
        <f ca="1">+BX136</f>
        <v>0</v>
      </c>
      <c r="AG136" s="1312">
        <f ca="1">+BY136+DO136</f>
        <v>0</v>
      </c>
      <c r="AH136" s="1685"/>
      <c r="AI136" s="1313">
        <f ca="1">+CA136</f>
        <v>0</v>
      </c>
      <c r="AJ136" s="1312">
        <f ca="1">+CB136+DR136</f>
        <v>0</v>
      </c>
      <c r="AK136" s="1685"/>
      <c r="AL136" s="1313">
        <f ca="1">+CD136</f>
        <v>0</v>
      </c>
      <c r="AM136" s="1312">
        <f ca="1">+CE136+DU136</f>
        <v>0</v>
      </c>
      <c r="AN136" s="1685"/>
      <c r="AO136" s="1313">
        <f ca="1">+CG136</f>
        <v>0</v>
      </c>
      <c r="AP136" s="1312">
        <f ca="1">+CH136+DX136</f>
        <v>0</v>
      </c>
      <c r="AQ136" s="1685"/>
      <c r="AR136" s="1313">
        <f t="shared" ca="1" si="500"/>
        <v>0</v>
      </c>
      <c r="AS136" s="1312">
        <f t="shared" ca="1" si="501"/>
        <v>0</v>
      </c>
      <c r="AT136" s="1687"/>
      <c r="AU136" s="411"/>
      <c r="AV136" s="1757">
        <f t="shared" ca="1" si="466"/>
        <v>0</v>
      </c>
      <c r="AW136" s="411"/>
      <c r="AX136" s="493"/>
      <c r="AY136" s="1566" t="s">
        <v>361</v>
      </c>
      <c r="AZ136" s="1567" t="s">
        <v>301</v>
      </c>
      <c r="BA136" s="470">
        <v>0</v>
      </c>
      <c r="BB136" s="1579"/>
      <c r="BC136" s="1599">
        <v>0</v>
      </c>
      <c r="BD136" s="1600">
        <v>0</v>
      </c>
      <c r="BE136" s="1579"/>
      <c r="BF136" s="1469">
        <f ca="1">+Escalation!O249</f>
        <v>0</v>
      </c>
      <c r="BG136" s="1284">
        <f ca="1">+Escalation!AB228</f>
        <v>0</v>
      </c>
      <c r="BH136" s="1579"/>
      <c r="BI136" s="1469">
        <f ca="1">+Escalation!P249</f>
        <v>0</v>
      </c>
      <c r="BJ136" s="1284">
        <f ca="1">+Escalation!AC228</f>
        <v>0</v>
      </c>
      <c r="BK136" s="1666"/>
      <c r="BL136" s="1469">
        <f ca="1">+Escalation!Q249</f>
        <v>0</v>
      </c>
      <c r="BM136" s="1284">
        <f ca="1">+Escalation!AD228</f>
        <v>0</v>
      </c>
      <c r="BN136" s="1579"/>
      <c r="BO136" s="1469">
        <f ca="1">+Escalation!R249</f>
        <v>0</v>
      </c>
      <c r="BP136" s="1284">
        <f ca="1">+Escalation!AE228</f>
        <v>0</v>
      </c>
      <c r="BQ136" s="1579"/>
      <c r="BR136" s="1469">
        <f ca="1">+Escalation!S249</f>
        <v>0</v>
      </c>
      <c r="BS136" s="1284">
        <f ca="1">+Escalation!AF228</f>
        <v>0</v>
      </c>
      <c r="BT136" s="1579"/>
      <c r="BU136" s="1469">
        <f ca="1">+Escalation!T249</f>
        <v>0</v>
      </c>
      <c r="BV136" s="1284">
        <f ca="1">+Escalation!AG228</f>
        <v>0</v>
      </c>
      <c r="BW136" s="1579"/>
      <c r="BX136" s="1469">
        <f ca="1">+Escalation!U249</f>
        <v>0</v>
      </c>
      <c r="BY136" s="1284">
        <f ca="1">+Escalation!AH228</f>
        <v>0</v>
      </c>
      <c r="BZ136" s="1579"/>
      <c r="CA136" s="1469">
        <f ca="1">+Escalation!V249</f>
        <v>0</v>
      </c>
      <c r="CB136" s="1284">
        <f ca="1">+Escalation!AI228</f>
        <v>0</v>
      </c>
      <c r="CC136" s="1579"/>
      <c r="CD136" s="1469">
        <f ca="1">+Escalation!W249</f>
        <v>0</v>
      </c>
      <c r="CE136" s="1284">
        <f ca="1">+Escalation!AJ228</f>
        <v>0</v>
      </c>
      <c r="CF136" s="1579"/>
      <c r="CG136" s="1469">
        <f ca="1">+Escalation!X249</f>
        <v>0</v>
      </c>
      <c r="CH136" s="1284">
        <f ca="1">+Escalation!AK228</f>
        <v>0</v>
      </c>
      <c r="CI136" s="1579"/>
      <c r="CJ136" s="1257">
        <f t="shared" ca="1" si="502"/>
        <v>0</v>
      </c>
      <c r="CK136" s="1395">
        <f t="shared" ca="1" si="503"/>
        <v>0</v>
      </c>
      <c r="CL136" s="427"/>
      <c r="CM136" s="170"/>
      <c r="CN136" s="493"/>
      <c r="CO136" s="428" t="str">
        <f>+AY136</f>
        <v>Contractor Labor</v>
      </c>
      <c r="CP136" s="429" t="s">
        <v>301</v>
      </c>
      <c r="CQ136" s="456"/>
      <c r="CR136" s="443"/>
      <c r="CS136" s="432"/>
      <c r="CT136" s="431">
        <f>L136-BD136</f>
        <v>0</v>
      </c>
      <c r="CU136" s="443"/>
      <c r="CV136" s="432"/>
      <c r="CW136" s="434">
        <f ca="1">+Escalation!AB273</f>
        <v>0</v>
      </c>
      <c r="CX136" s="443"/>
      <c r="CY136" s="432">
        <v>0</v>
      </c>
      <c r="CZ136" s="434">
        <f ca="1">+Escalation!AC273</f>
        <v>0</v>
      </c>
      <c r="DA136" s="443"/>
      <c r="DB136" s="432">
        <v>0</v>
      </c>
      <c r="DC136" s="434">
        <f ca="1">+Escalation!AD273</f>
        <v>0</v>
      </c>
      <c r="DD136" s="443"/>
      <c r="DE136" s="432">
        <v>0</v>
      </c>
      <c r="DF136" s="434">
        <f ca="1">+Escalation!AE273</f>
        <v>0</v>
      </c>
      <c r="DG136" s="443"/>
      <c r="DH136" s="432">
        <v>0</v>
      </c>
      <c r="DI136" s="434">
        <f ca="1">+Escalation!AF273</f>
        <v>0</v>
      </c>
      <c r="DJ136" s="443"/>
      <c r="DK136" s="432">
        <v>0</v>
      </c>
      <c r="DL136" s="434">
        <f ca="1">+Escalation!AG273</f>
        <v>0</v>
      </c>
      <c r="DM136" s="443"/>
      <c r="DN136" s="432">
        <v>0</v>
      </c>
      <c r="DO136" s="434">
        <f ca="1">+Escalation!AH273</f>
        <v>0</v>
      </c>
      <c r="DP136" s="443"/>
      <c r="DQ136" s="432">
        <v>0</v>
      </c>
      <c r="DR136" s="434">
        <f ca="1">+Escalation!AI273</f>
        <v>0</v>
      </c>
      <c r="DS136" s="443"/>
      <c r="DT136" s="432">
        <v>0</v>
      </c>
      <c r="DU136" s="434">
        <f ca="1">+Escalation!AJ273</f>
        <v>0</v>
      </c>
      <c r="DV136" s="443"/>
      <c r="DW136" s="432">
        <v>0</v>
      </c>
      <c r="DX136" s="434">
        <f ca="1">+Escalation!AK273</f>
        <v>0</v>
      </c>
      <c r="DY136" s="443"/>
      <c r="DZ136" s="432">
        <f t="shared" si="504"/>
        <v>0</v>
      </c>
      <c r="EA136" s="444">
        <f t="shared" ca="1" si="505"/>
        <v>0</v>
      </c>
      <c r="EB136" s="433"/>
      <c r="EC136" s="170"/>
      <c r="ED136" s="170"/>
      <c r="EE136" s="170"/>
      <c r="EF136" s="170"/>
      <c r="EG136" s="170"/>
      <c r="EH136" s="170"/>
      <c r="EI136" s="170"/>
      <c r="EJ136" s="170"/>
      <c r="EK136" s="170"/>
    </row>
    <row r="137" spans="1:141" ht="15" x14ac:dyDescent="0.25">
      <c r="A137" s="170"/>
      <c r="B137" s="424">
        <v>5</v>
      </c>
      <c r="C137" s="424">
        <v>6</v>
      </c>
      <c r="D137" s="424">
        <v>5</v>
      </c>
      <c r="E137" s="425">
        <v>10</v>
      </c>
      <c r="F137" s="493"/>
      <c r="G137" s="1308" t="str">
        <f>+AY137</f>
        <v>Vehicles ( now in indirects section)</v>
      </c>
      <c r="H137" s="1309" t="s">
        <v>304</v>
      </c>
      <c r="I137" s="1310">
        <f t="shared" si="469"/>
        <v>0</v>
      </c>
      <c r="J137" s="1687"/>
      <c r="K137" s="1311">
        <f t="shared" si="499"/>
        <v>0</v>
      </c>
      <c r="L137" s="1312">
        <f t="shared" si="499"/>
        <v>0</v>
      </c>
      <c r="M137" s="1687"/>
      <c r="N137" s="1716"/>
      <c r="O137" s="1312">
        <f ca="1">+BG137+CW137</f>
        <v>0</v>
      </c>
      <c r="P137" s="1685"/>
      <c r="Q137" s="1313">
        <f>+BI137</f>
        <v>0</v>
      </c>
      <c r="R137" s="1312">
        <f ca="1">+BJ137+CZ137</f>
        <v>0</v>
      </c>
      <c r="S137" s="1685"/>
      <c r="T137" s="1313">
        <f>+BL137</f>
        <v>0</v>
      </c>
      <c r="U137" s="1312">
        <f ca="1">+BM137+DC137</f>
        <v>0</v>
      </c>
      <c r="V137" s="1685"/>
      <c r="W137" s="1313">
        <f>+BO137</f>
        <v>0</v>
      </c>
      <c r="X137" s="1312">
        <f ca="1">+BP137+DF137</f>
        <v>0</v>
      </c>
      <c r="Y137" s="1685"/>
      <c r="Z137" s="1313">
        <f>+BR137</f>
        <v>0</v>
      </c>
      <c r="AA137" s="1312">
        <f ca="1">+BS137+DI137</f>
        <v>0</v>
      </c>
      <c r="AB137" s="1685"/>
      <c r="AC137" s="1313">
        <f>+BU137</f>
        <v>0</v>
      </c>
      <c r="AD137" s="1312">
        <f ca="1">+BV137+DL137</f>
        <v>0</v>
      </c>
      <c r="AE137" s="1685"/>
      <c r="AF137" s="1313">
        <f>+BX137</f>
        <v>0</v>
      </c>
      <c r="AG137" s="1312">
        <f ca="1">+BY137+DO137</f>
        <v>0</v>
      </c>
      <c r="AH137" s="1685"/>
      <c r="AI137" s="1313">
        <f>+CA137</f>
        <v>0</v>
      </c>
      <c r="AJ137" s="1312">
        <f ca="1">+CB137+DR137</f>
        <v>0</v>
      </c>
      <c r="AK137" s="1685"/>
      <c r="AL137" s="1313">
        <f>+CD137</f>
        <v>0</v>
      </c>
      <c r="AM137" s="1312">
        <f ca="1">+CE137+DU137</f>
        <v>0</v>
      </c>
      <c r="AN137" s="1685"/>
      <c r="AO137" s="1313">
        <f>+CG137</f>
        <v>0</v>
      </c>
      <c r="AP137" s="1312">
        <f ca="1">+CH137+DX137</f>
        <v>0</v>
      </c>
      <c r="AQ137" s="1685"/>
      <c r="AR137" s="1313">
        <f t="shared" si="500"/>
        <v>0</v>
      </c>
      <c r="AS137" s="1312">
        <f t="shared" ca="1" si="501"/>
        <v>0</v>
      </c>
      <c r="AT137" s="1687"/>
      <c r="AU137" s="411"/>
      <c r="AV137" s="1757">
        <f t="shared" ca="1" si="466"/>
        <v>0</v>
      </c>
      <c r="AW137" s="411"/>
      <c r="AX137" s="493"/>
      <c r="AY137" s="1566" t="s">
        <v>305</v>
      </c>
      <c r="AZ137" s="1567" t="s">
        <v>304</v>
      </c>
      <c r="BA137" s="446">
        <v>0</v>
      </c>
      <c r="BB137" s="1632"/>
      <c r="BC137" s="1599">
        <v>0</v>
      </c>
      <c r="BD137" s="1600">
        <v>0</v>
      </c>
      <c r="BE137" s="1632"/>
      <c r="BF137" s="1646"/>
      <c r="BG137" s="515">
        <f ca="1">ROUND(SUM(BG133)*$BA137,0)</f>
        <v>0</v>
      </c>
      <c r="BH137" s="1632"/>
      <c r="BI137" s="1646"/>
      <c r="BJ137" s="515">
        <f ca="1">ROUND(SUM(BJ133)*$BA137,0)</f>
        <v>0</v>
      </c>
      <c r="BK137" s="1667"/>
      <c r="BL137" s="1646"/>
      <c r="BM137" s="515">
        <f ca="1">ROUND(SUM(BM133)*$BA137,0)</f>
        <v>0</v>
      </c>
      <c r="BN137" s="1632"/>
      <c r="BO137" s="1646"/>
      <c r="BP137" s="515">
        <f ca="1">ROUND(SUM(BP133)*$BA137,0)</f>
        <v>0</v>
      </c>
      <c r="BQ137" s="1632"/>
      <c r="BR137" s="1646"/>
      <c r="BS137" s="515">
        <f ca="1">ROUND(SUM(BS133)*$BA137,0)</f>
        <v>0</v>
      </c>
      <c r="BT137" s="1632"/>
      <c r="BU137" s="1646"/>
      <c r="BV137" s="515">
        <f ca="1">ROUND(SUM(BV133)*$BA137,0)</f>
        <v>0</v>
      </c>
      <c r="BW137" s="1632"/>
      <c r="BX137" s="1646"/>
      <c r="BY137" s="515">
        <f ca="1">ROUND(SUM(BY133)*$BA137,0)</f>
        <v>0</v>
      </c>
      <c r="BZ137" s="1632"/>
      <c r="CA137" s="1646"/>
      <c r="CB137" s="515">
        <f ca="1">ROUND(SUM(CB133)*$BA137,0)</f>
        <v>0</v>
      </c>
      <c r="CC137" s="1632"/>
      <c r="CD137" s="1646"/>
      <c r="CE137" s="515">
        <f ca="1">ROUND(SUM(CE133)*$BA137,0)</f>
        <v>0</v>
      </c>
      <c r="CF137" s="1632"/>
      <c r="CG137" s="1646"/>
      <c r="CH137" s="515">
        <f ca="1">ROUND(SUM(CH133)*$BA137,0)</f>
        <v>0</v>
      </c>
      <c r="CI137" s="1632"/>
      <c r="CJ137" s="1257">
        <f t="shared" si="502"/>
        <v>0</v>
      </c>
      <c r="CK137" s="1395">
        <f t="shared" ca="1" si="503"/>
        <v>0</v>
      </c>
      <c r="CL137" s="1734"/>
      <c r="CM137" s="170"/>
      <c r="CN137" s="493"/>
      <c r="CO137" s="428" t="str">
        <f>+AY137</f>
        <v>Vehicles ( now in indirects section)</v>
      </c>
      <c r="CP137" s="429" t="s">
        <v>304</v>
      </c>
      <c r="CQ137" s="441"/>
      <c r="CR137" s="1703"/>
      <c r="CS137" s="502"/>
      <c r="CT137" s="516">
        <f>L137-BD137</f>
        <v>0</v>
      </c>
      <c r="CU137" s="1703"/>
      <c r="CV137" s="502"/>
      <c r="CW137" s="434">
        <f ca="1">ROUND((+BG137*(1+CW$4)),0)-BG137</f>
        <v>0</v>
      </c>
      <c r="CX137" s="443"/>
      <c r="CY137" s="432">
        <v>0</v>
      </c>
      <c r="CZ137" s="434">
        <f ca="1">ROUND((+BJ137*(1+CZ$4)),0)-BJ137</f>
        <v>0</v>
      </c>
      <c r="DA137" s="443"/>
      <c r="DB137" s="432">
        <v>0</v>
      </c>
      <c r="DC137" s="434">
        <f ca="1">ROUND((+BM137*(1+DC$4)),0)-BM137</f>
        <v>0</v>
      </c>
      <c r="DD137" s="443"/>
      <c r="DE137" s="432">
        <v>0</v>
      </c>
      <c r="DF137" s="434">
        <f ca="1">ROUND((+BP137*(1+DF$4)),0)-BP137</f>
        <v>0</v>
      </c>
      <c r="DG137" s="443"/>
      <c r="DH137" s="432">
        <v>0</v>
      </c>
      <c r="DI137" s="434">
        <f ca="1">ROUND((+BS137*(1+DI$4)),0)-BS137</f>
        <v>0</v>
      </c>
      <c r="DJ137" s="443"/>
      <c r="DK137" s="432">
        <v>0</v>
      </c>
      <c r="DL137" s="434">
        <f ca="1">ROUND((+BV137*(1+DL$4)),0)-BV137</f>
        <v>0</v>
      </c>
      <c r="DM137" s="443"/>
      <c r="DN137" s="432">
        <v>0</v>
      </c>
      <c r="DO137" s="434">
        <f ca="1">ROUND((+BY137*(1+DO$4)),0)-BY137</f>
        <v>0</v>
      </c>
      <c r="DP137" s="443"/>
      <c r="DQ137" s="432">
        <v>0</v>
      </c>
      <c r="DR137" s="434">
        <f ca="1">ROUND((+CB137*(1+DR$4)),0)-CB137</f>
        <v>0</v>
      </c>
      <c r="DS137" s="443"/>
      <c r="DT137" s="432">
        <v>0</v>
      </c>
      <c r="DU137" s="434">
        <f ca="1">ROUND((+CE137*(1+DU$4)),0)-CE137</f>
        <v>0</v>
      </c>
      <c r="DV137" s="443"/>
      <c r="DW137" s="432">
        <v>0</v>
      </c>
      <c r="DX137" s="434">
        <f ca="1">ROUND((+CH137*(1+DX$4)),0)-CH137</f>
        <v>0</v>
      </c>
      <c r="DY137" s="443"/>
      <c r="DZ137" s="432">
        <f t="shared" si="504"/>
        <v>0</v>
      </c>
      <c r="EA137" s="444">
        <f t="shared" ca="1" si="505"/>
        <v>0</v>
      </c>
      <c r="EB137" s="433"/>
      <c r="EC137" s="170"/>
      <c r="ED137" s="170"/>
      <c r="EE137" s="170"/>
      <c r="EF137" s="170"/>
      <c r="EG137" s="170"/>
      <c r="EH137" s="170"/>
      <c r="EI137" s="170"/>
      <c r="EJ137" s="170"/>
      <c r="EK137" s="170"/>
    </row>
    <row r="138" spans="1:141" ht="15" x14ac:dyDescent="0.25">
      <c r="A138" s="170"/>
      <c r="B138" s="424">
        <v>5</v>
      </c>
      <c r="C138" s="424">
        <v>6</v>
      </c>
      <c r="D138" s="424">
        <v>5</v>
      </c>
      <c r="E138" s="425">
        <v>10</v>
      </c>
      <c r="F138" s="493"/>
      <c r="G138" s="1308" t="str">
        <f>+AY138</f>
        <v>Rents and Leases</v>
      </c>
      <c r="H138" s="1309" t="s">
        <v>306</v>
      </c>
      <c r="I138" s="1310">
        <f t="shared" si="469"/>
        <v>0</v>
      </c>
      <c r="J138" s="1685"/>
      <c r="K138" s="1311">
        <f t="shared" si="499"/>
        <v>0</v>
      </c>
      <c r="L138" s="1312">
        <f t="shared" si="499"/>
        <v>0</v>
      </c>
      <c r="M138" s="1687"/>
      <c r="N138" s="1717"/>
      <c r="O138" s="1312">
        <f>+BG138+CW138</f>
        <v>0</v>
      </c>
      <c r="P138" s="1685"/>
      <c r="Q138" s="1313">
        <f>+BI138</f>
        <v>0</v>
      </c>
      <c r="R138" s="1312">
        <f>+BJ138+CZ138</f>
        <v>0</v>
      </c>
      <c r="S138" s="1685"/>
      <c r="T138" s="1313">
        <f>+BL138</f>
        <v>0</v>
      </c>
      <c r="U138" s="1312">
        <f>+BM138+DC138</f>
        <v>0</v>
      </c>
      <c r="V138" s="1685"/>
      <c r="W138" s="1313">
        <f>+BO138</f>
        <v>0</v>
      </c>
      <c r="X138" s="1312">
        <f>+BP138+DF138</f>
        <v>0</v>
      </c>
      <c r="Y138" s="1685"/>
      <c r="Z138" s="1313">
        <f>+BR138</f>
        <v>0</v>
      </c>
      <c r="AA138" s="1312">
        <f>+BS138+DI138</f>
        <v>0</v>
      </c>
      <c r="AB138" s="1685"/>
      <c r="AC138" s="1313">
        <f>+BU138</f>
        <v>0</v>
      </c>
      <c r="AD138" s="1312">
        <f>+BV138+DL138</f>
        <v>0</v>
      </c>
      <c r="AE138" s="1685"/>
      <c r="AF138" s="1313">
        <f>+BX138</f>
        <v>0</v>
      </c>
      <c r="AG138" s="1312">
        <f>+BY138+DO138</f>
        <v>0</v>
      </c>
      <c r="AH138" s="1685"/>
      <c r="AI138" s="1313">
        <f>+CA138</f>
        <v>0</v>
      </c>
      <c r="AJ138" s="1312">
        <f>+CB138+DR138</f>
        <v>0</v>
      </c>
      <c r="AK138" s="1685"/>
      <c r="AL138" s="1313">
        <f>+CD138</f>
        <v>0</v>
      </c>
      <c r="AM138" s="1312">
        <f>+CE138+DU138</f>
        <v>0</v>
      </c>
      <c r="AN138" s="1685"/>
      <c r="AO138" s="1313">
        <f>+CG138</f>
        <v>0</v>
      </c>
      <c r="AP138" s="1312">
        <f>+CH138+DX138</f>
        <v>0</v>
      </c>
      <c r="AQ138" s="1685"/>
      <c r="AR138" s="1313">
        <f t="shared" si="500"/>
        <v>0</v>
      </c>
      <c r="AS138" s="1312">
        <f t="shared" si="501"/>
        <v>0</v>
      </c>
      <c r="AT138" s="1687"/>
      <c r="AU138" s="411"/>
      <c r="AV138" s="1757">
        <f t="shared" si="466"/>
        <v>0</v>
      </c>
      <c r="AW138" s="411"/>
      <c r="AX138" s="493"/>
      <c r="AY138" s="1566" t="s">
        <v>307</v>
      </c>
      <c r="AZ138" s="1567" t="s">
        <v>306</v>
      </c>
      <c r="BA138" s="474"/>
      <c r="BB138" s="1579"/>
      <c r="BC138" s="1599">
        <v>0</v>
      </c>
      <c r="BD138" s="1600">
        <v>0</v>
      </c>
      <c r="BE138" s="1632"/>
      <c r="BF138" s="1645"/>
      <c r="BG138" s="1608"/>
      <c r="BH138" s="1632"/>
      <c r="BI138" s="1645"/>
      <c r="BJ138" s="1608"/>
      <c r="BK138" s="1667"/>
      <c r="BL138" s="1645"/>
      <c r="BM138" s="1608"/>
      <c r="BN138" s="1632"/>
      <c r="BO138" s="1645"/>
      <c r="BP138" s="1608"/>
      <c r="BQ138" s="1632"/>
      <c r="BR138" s="1645"/>
      <c r="BS138" s="1608"/>
      <c r="BT138" s="1632"/>
      <c r="BU138" s="1645"/>
      <c r="BV138" s="1608"/>
      <c r="BW138" s="1632"/>
      <c r="BX138" s="1645"/>
      <c r="BY138" s="1608"/>
      <c r="BZ138" s="1632"/>
      <c r="CA138" s="1645"/>
      <c r="CB138" s="1608"/>
      <c r="CC138" s="1632"/>
      <c r="CD138" s="1645"/>
      <c r="CE138" s="1608"/>
      <c r="CF138" s="1632"/>
      <c r="CG138" s="1645"/>
      <c r="CH138" s="1608"/>
      <c r="CI138" s="1632"/>
      <c r="CJ138" s="1257">
        <f t="shared" si="502"/>
        <v>0</v>
      </c>
      <c r="CK138" s="1395">
        <f t="shared" si="503"/>
        <v>0</v>
      </c>
      <c r="CL138" s="450"/>
      <c r="CM138" s="170"/>
      <c r="CN138" s="493"/>
      <c r="CO138" s="428" t="str">
        <f>+AY138</f>
        <v>Rents and Leases</v>
      </c>
      <c r="CP138" s="429" t="s">
        <v>306</v>
      </c>
      <c r="CQ138" s="475"/>
      <c r="CR138" s="443"/>
      <c r="CS138" s="430"/>
      <c r="CT138" s="431">
        <f>L138-BD138</f>
        <v>0</v>
      </c>
      <c r="CU138" s="443"/>
      <c r="CV138" s="430"/>
      <c r="CW138" s="434">
        <f>ROUND((+BG138*(1+CW$4)),0)-BG138</f>
        <v>0</v>
      </c>
      <c r="CX138" s="443"/>
      <c r="CY138" s="432">
        <v>0</v>
      </c>
      <c r="CZ138" s="434">
        <f>ROUND((+BJ138*(1+CZ$4)),0)-BJ138</f>
        <v>0</v>
      </c>
      <c r="DA138" s="443"/>
      <c r="DB138" s="432">
        <v>0</v>
      </c>
      <c r="DC138" s="434">
        <f>ROUND((+BM138*(1+DC$4)),0)-BM138</f>
        <v>0</v>
      </c>
      <c r="DD138" s="443"/>
      <c r="DE138" s="432">
        <v>0</v>
      </c>
      <c r="DF138" s="434">
        <f>ROUND((+BP138*(1+DF$4)),0)-BP138</f>
        <v>0</v>
      </c>
      <c r="DG138" s="443"/>
      <c r="DH138" s="432">
        <v>0</v>
      </c>
      <c r="DI138" s="434">
        <f>ROUND((+BS138*(1+DI$4)),0)-BS138</f>
        <v>0</v>
      </c>
      <c r="DJ138" s="443"/>
      <c r="DK138" s="432">
        <v>0</v>
      </c>
      <c r="DL138" s="434">
        <f>ROUND((+BV138*(1+DL$4)),0)-BV138</f>
        <v>0</v>
      </c>
      <c r="DM138" s="443"/>
      <c r="DN138" s="432">
        <v>0</v>
      </c>
      <c r="DO138" s="434">
        <f>ROUND((+BY138*(1+DO$4)),0)-BY138</f>
        <v>0</v>
      </c>
      <c r="DP138" s="443"/>
      <c r="DQ138" s="432">
        <v>0</v>
      </c>
      <c r="DR138" s="434">
        <f>ROUND((+CB138*(1+DR$4)),0)-CB138</f>
        <v>0</v>
      </c>
      <c r="DS138" s="443"/>
      <c r="DT138" s="432">
        <v>0</v>
      </c>
      <c r="DU138" s="434">
        <f>ROUND((+CE138*(1+DU$4)),0)-CE138</f>
        <v>0</v>
      </c>
      <c r="DV138" s="443"/>
      <c r="DW138" s="432">
        <v>0</v>
      </c>
      <c r="DX138" s="434">
        <f>ROUND((+CH138*(1+DX$4)),0)-CH138</f>
        <v>0</v>
      </c>
      <c r="DY138" s="443"/>
      <c r="DZ138" s="432">
        <f t="shared" si="504"/>
        <v>0</v>
      </c>
      <c r="EA138" s="444">
        <f t="shared" si="505"/>
        <v>0</v>
      </c>
      <c r="EB138" s="433"/>
      <c r="EC138" s="170"/>
      <c r="ED138" s="170"/>
      <c r="EE138" s="170"/>
      <c r="EF138" s="170"/>
      <c r="EG138" s="170"/>
      <c r="EH138" s="170"/>
      <c r="EI138" s="170"/>
      <c r="EJ138" s="170"/>
      <c r="EK138" s="170"/>
    </row>
    <row r="139" spans="1:141" ht="15" x14ac:dyDescent="0.25">
      <c r="A139" s="170"/>
      <c r="B139" s="472"/>
      <c r="C139" s="472"/>
      <c r="D139" s="472"/>
      <c r="E139" s="473"/>
      <c r="F139" s="493"/>
      <c r="G139" s="1321" t="s">
        <v>362</v>
      </c>
      <c r="H139" s="1342"/>
      <c r="I139" s="1310">
        <f t="shared" si="469"/>
        <v>0</v>
      </c>
      <c r="J139" s="1685"/>
      <c r="K139" s="1334">
        <f>SUM(K133:K138)</f>
        <v>0</v>
      </c>
      <c r="L139" s="1312">
        <f>SUM(L133:L138)</f>
        <v>0</v>
      </c>
      <c r="M139" s="1685"/>
      <c r="N139" s="1334">
        <f>SUM(N133:N138)</f>
        <v>0</v>
      </c>
      <c r="O139" s="1312">
        <f ca="1">SUM(O133:O138)</f>
        <v>0</v>
      </c>
      <c r="P139" s="1685"/>
      <c r="Q139" s="1334">
        <f ca="1">SUM(Q133:Q138)</f>
        <v>0</v>
      </c>
      <c r="R139" s="1312">
        <f ca="1">SUM(R133:R138)</f>
        <v>0</v>
      </c>
      <c r="S139" s="1685"/>
      <c r="T139" s="1334">
        <f ca="1">SUM(T133:T138)</f>
        <v>0</v>
      </c>
      <c r="U139" s="1312">
        <f ca="1">SUM(U133:U138)</f>
        <v>0</v>
      </c>
      <c r="V139" s="1685"/>
      <c r="W139" s="1334">
        <f ca="1">SUM(W133:W138)</f>
        <v>0</v>
      </c>
      <c r="X139" s="1312">
        <f ca="1">SUM(X133:X138)</f>
        <v>0</v>
      </c>
      <c r="Y139" s="1685"/>
      <c r="Z139" s="1334">
        <f ca="1">SUM(Z133:Z138)</f>
        <v>0</v>
      </c>
      <c r="AA139" s="1312">
        <f ca="1">SUM(AA133:AA138)</f>
        <v>0</v>
      </c>
      <c r="AB139" s="1685"/>
      <c r="AC139" s="1334">
        <f ca="1">SUM(AC133:AC138)</f>
        <v>0</v>
      </c>
      <c r="AD139" s="1312">
        <f ca="1">SUM(AD133:AD138)</f>
        <v>0</v>
      </c>
      <c r="AE139" s="1685"/>
      <c r="AF139" s="1334">
        <f ca="1">SUM(AF133:AF138)</f>
        <v>0</v>
      </c>
      <c r="AG139" s="1312">
        <f ca="1">SUM(AG133:AG138)</f>
        <v>0</v>
      </c>
      <c r="AH139" s="1685"/>
      <c r="AI139" s="1334">
        <f ca="1">SUM(AI133:AI138)</f>
        <v>0</v>
      </c>
      <c r="AJ139" s="1312">
        <f ca="1">SUM(AJ133:AJ138)</f>
        <v>0</v>
      </c>
      <c r="AK139" s="1685"/>
      <c r="AL139" s="1334">
        <f ca="1">SUM(AL133:AL138)</f>
        <v>0</v>
      </c>
      <c r="AM139" s="1312">
        <f ca="1">SUM(AM133:AM138)</f>
        <v>0</v>
      </c>
      <c r="AN139" s="1685"/>
      <c r="AO139" s="1334">
        <f ca="1">SUM(AO133:AO138)</f>
        <v>0</v>
      </c>
      <c r="AP139" s="1312">
        <f ca="1">SUM(AP133:AP138)</f>
        <v>0</v>
      </c>
      <c r="AQ139" s="1685"/>
      <c r="AR139" s="1334">
        <f ca="1">SUM(AR133:AR138)</f>
        <v>0</v>
      </c>
      <c r="AS139" s="1312">
        <f ca="1">SUM(AS133:AS138)</f>
        <v>0</v>
      </c>
      <c r="AT139" s="1687"/>
      <c r="AU139" s="411"/>
      <c r="AV139" s="1757">
        <f t="shared" ca="1" si="466"/>
        <v>0</v>
      </c>
      <c r="AW139" s="411"/>
      <c r="AX139" s="493"/>
      <c r="AY139" s="517" t="s">
        <v>362</v>
      </c>
      <c r="AZ139" s="1256"/>
      <c r="BA139" s="1570"/>
      <c r="BB139" s="1579"/>
      <c r="BC139" s="1257"/>
      <c r="BD139" s="1284">
        <f>SUM(BD133:BD138)</f>
        <v>0</v>
      </c>
      <c r="BE139" s="1579"/>
      <c r="BF139" s="1469"/>
      <c r="BG139" s="1284">
        <f ca="1">SUM(BG133:BG138)</f>
        <v>0</v>
      </c>
      <c r="BH139" s="1579"/>
      <c r="BI139" s="1469"/>
      <c r="BJ139" s="1284">
        <f ca="1">SUM(BJ133:BJ138)</f>
        <v>0</v>
      </c>
      <c r="BK139" s="1579"/>
      <c r="BL139" s="1469"/>
      <c r="BM139" s="1284">
        <f ca="1">SUM(BM133:BM138)</f>
        <v>0</v>
      </c>
      <c r="BN139" s="1579"/>
      <c r="BO139" s="1469"/>
      <c r="BP139" s="1284">
        <f ca="1">SUM(BP133:BP138)</f>
        <v>0</v>
      </c>
      <c r="BQ139" s="1579"/>
      <c r="BR139" s="1469"/>
      <c r="BS139" s="1284">
        <f ca="1">SUM(BS133:BS138)</f>
        <v>0</v>
      </c>
      <c r="BT139" s="1579"/>
      <c r="BU139" s="1469"/>
      <c r="BV139" s="1284">
        <f ca="1">SUM(BV133:BV138)</f>
        <v>0</v>
      </c>
      <c r="BW139" s="1579"/>
      <c r="BX139" s="1469"/>
      <c r="BY139" s="1284">
        <f ca="1">SUM(BY133:BY138)</f>
        <v>0</v>
      </c>
      <c r="BZ139" s="1579"/>
      <c r="CA139" s="1469"/>
      <c r="CB139" s="1284">
        <f ca="1">SUM(CB133:CB138)</f>
        <v>0</v>
      </c>
      <c r="CC139" s="1579"/>
      <c r="CD139" s="1469"/>
      <c r="CE139" s="1284">
        <f ca="1">SUM(CE133:CE138)</f>
        <v>0</v>
      </c>
      <c r="CF139" s="1579"/>
      <c r="CG139" s="1469"/>
      <c r="CH139" s="1284">
        <f ca="1">SUM(CH133:CH138)</f>
        <v>0</v>
      </c>
      <c r="CI139" s="1579"/>
      <c r="CJ139" s="1284">
        <f ca="1">SUM(CJ133:CJ138)</f>
        <v>0</v>
      </c>
      <c r="CK139" s="1284">
        <f ca="1">SUM(CK133:CK138)</f>
        <v>0</v>
      </c>
      <c r="CL139" s="427"/>
      <c r="CM139" s="170"/>
      <c r="CN139" s="493"/>
      <c r="CO139" s="456" t="s">
        <v>362</v>
      </c>
      <c r="CP139" s="496"/>
      <c r="CQ139" s="429"/>
      <c r="CR139" s="443"/>
      <c r="CS139" s="430"/>
      <c r="CT139" s="434">
        <f>SUM(CT133:CT138)</f>
        <v>0</v>
      </c>
      <c r="CU139" s="443"/>
      <c r="CV139" s="430"/>
      <c r="CW139" s="434">
        <f ca="1">SUM(CW133:CW138)</f>
        <v>0</v>
      </c>
      <c r="CX139" s="443"/>
      <c r="CY139" s="430"/>
      <c r="CZ139" s="434">
        <f ca="1">SUM(CZ133:CZ138)</f>
        <v>0</v>
      </c>
      <c r="DA139" s="443"/>
      <c r="DB139" s="430"/>
      <c r="DC139" s="434">
        <f ca="1">SUM(DC133:DC138)</f>
        <v>0</v>
      </c>
      <c r="DD139" s="443"/>
      <c r="DE139" s="430"/>
      <c r="DF139" s="434">
        <f ca="1">SUM(DF133:DF138)</f>
        <v>0</v>
      </c>
      <c r="DG139" s="443"/>
      <c r="DH139" s="430"/>
      <c r="DI139" s="434">
        <f ca="1">SUM(DI133:DI138)</f>
        <v>0</v>
      </c>
      <c r="DJ139" s="443"/>
      <c r="DK139" s="430"/>
      <c r="DL139" s="434">
        <f ca="1">SUM(DL133:DL138)</f>
        <v>0</v>
      </c>
      <c r="DM139" s="443"/>
      <c r="DN139" s="430"/>
      <c r="DO139" s="434">
        <f ca="1">SUM(DO133:DO138)</f>
        <v>0</v>
      </c>
      <c r="DP139" s="443"/>
      <c r="DQ139" s="430"/>
      <c r="DR139" s="434">
        <f ca="1">SUM(DR133:DR138)</f>
        <v>0</v>
      </c>
      <c r="DS139" s="443"/>
      <c r="DT139" s="430"/>
      <c r="DU139" s="434">
        <f ca="1">SUM(DU133:DU138)</f>
        <v>0</v>
      </c>
      <c r="DV139" s="443"/>
      <c r="DW139" s="430"/>
      <c r="DX139" s="434">
        <f ca="1">SUM(DX133:DX138)</f>
        <v>0</v>
      </c>
      <c r="DY139" s="443"/>
      <c r="DZ139" s="430">
        <f>SUM(DZ133:DZ138)</f>
        <v>0</v>
      </c>
      <c r="EA139" s="1748">
        <f ca="1">SUM(EA133:EA138)</f>
        <v>0</v>
      </c>
      <c r="EB139" s="433"/>
      <c r="EC139" s="170"/>
      <c r="ED139" s="170"/>
      <c r="EE139" s="170"/>
      <c r="EF139" s="170"/>
      <c r="EG139" s="170"/>
      <c r="EH139" s="170"/>
      <c r="EI139" s="170"/>
      <c r="EJ139" s="170"/>
      <c r="EK139" s="170"/>
    </row>
    <row r="140" spans="1:141" ht="15" x14ac:dyDescent="0.25">
      <c r="A140" s="170"/>
      <c r="B140" s="424"/>
      <c r="C140" s="424">
        <v>9</v>
      </c>
      <c r="D140" s="424"/>
      <c r="E140" s="425">
        <v>99</v>
      </c>
      <c r="F140" s="493"/>
      <c r="G140" s="1308" t="str">
        <f>+AY140</f>
        <v>Escalation</v>
      </c>
      <c r="H140" s="1322"/>
      <c r="I140" s="1310">
        <f t="shared" si="469"/>
        <v>0</v>
      </c>
      <c r="J140" s="1687"/>
      <c r="K140" s="1311">
        <f>+BC140</f>
        <v>0</v>
      </c>
      <c r="L140" s="1312">
        <f>+BD140</f>
        <v>0</v>
      </c>
      <c r="M140" s="1687"/>
      <c r="N140" s="1717"/>
      <c r="O140" s="1312">
        <f>+BG140+CW140</f>
        <v>0</v>
      </c>
      <c r="P140" s="1685"/>
      <c r="Q140" s="1313">
        <f>+BI140</f>
        <v>0</v>
      </c>
      <c r="R140" s="1312">
        <f>+BJ140+CZ140</f>
        <v>0</v>
      </c>
      <c r="S140" s="1685"/>
      <c r="T140" s="1313">
        <f>+BL140</f>
        <v>0</v>
      </c>
      <c r="U140" s="1312">
        <f>+BM140+DC140</f>
        <v>0</v>
      </c>
      <c r="V140" s="1685"/>
      <c r="W140" s="1313">
        <f>+BO140</f>
        <v>0</v>
      </c>
      <c r="X140" s="1312">
        <f>+BP140+DF140</f>
        <v>0</v>
      </c>
      <c r="Y140" s="1685"/>
      <c r="Z140" s="1313">
        <f>+BR140</f>
        <v>0</v>
      </c>
      <c r="AA140" s="1312">
        <f>+BS140+DI140</f>
        <v>0</v>
      </c>
      <c r="AB140" s="1685"/>
      <c r="AC140" s="1313">
        <f>+BU140</f>
        <v>0</v>
      </c>
      <c r="AD140" s="1312">
        <f>+BV140+DL140</f>
        <v>0</v>
      </c>
      <c r="AE140" s="1685"/>
      <c r="AF140" s="1313">
        <f>+BX140</f>
        <v>0</v>
      </c>
      <c r="AG140" s="1312">
        <f>+BY140+DO140</f>
        <v>0</v>
      </c>
      <c r="AH140" s="1685"/>
      <c r="AI140" s="1313">
        <f>+CA140</f>
        <v>0</v>
      </c>
      <c r="AJ140" s="1312">
        <f>+CB140+DR140</f>
        <v>0</v>
      </c>
      <c r="AK140" s="1685"/>
      <c r="AL140" s="1313">
        <f>+CD140</f>
        <v>0</v>
      </c>
      <c r="AM140" s="1312">
        <f>+CE140+DU140</f>
        <v>0</v>
      </c>
      <c r="AN140" s="1685"/>
      <c r="AO140" s="1313">
        <f>+CG140</f>
        <v>0</v>
      </c>
      <c r="AP140" s="1312">
        <f>+CH140+DX140</f>
        <v>0</v>
      </c>
      <c r="AQ140" s="1685"/>
      <c r="AR140" s="1313">
        <f t="shared" ref="AR140:AR143" si="506">+Z140+W140+T140+Q140+N140+K140+AC140</f>
        <v>0</v>
      </c>
      <c r="AS140" s="1312">
        <f>+AA140+X140+U140+R140+O140+L140+AD140</f>
        <v>0</v>
      </c>
      <c r="AT140" s="1687"/>
      <c r="AU140" s="411"/>
      <c r="AV140" s="1757">
        <f t="shared" si="466"/>
        <v>0</v>
      </c>
      <c r="AW140" s="411"/>
      <c r="AX140" s="493"/>
      <c r="AY140" s="1561" t="s">
        <v>99</v>
      </c>
      <c r="AZ140" s="1561"/>
      <c r="BA140" s="1582"/>
      <c r="BB140" s="1632"/>
      <c r="BC140" s="1599">
        <v>0</v>
      </c>
      <c r="BD140" s="1600">
        <v>0</v>
      </c>
      <c r="BE140" s="1579"/>
      <c r="BF140" s="1564"/>
      <c r="BG140" s="1608"/>
      <c r="BH140" s="1579"/>
      <c r="BI140" s="1564"/>
      <c r="BJ140" s="1608"/>
      <c r="BK140" s="1666"/>
      <c r="BL140" s="1564"/>
      <c r="BM140" s="1608"/>
      <c r="BN140" s="1579"/>
      <c r="BO140" s="1564"/>
      <c r="BP140" s="1608"/>
      <c r="BQ140" s="1579"/>
      <c r="BR140" s="1564"/>
      <c r="BS140" s="1608"/>
      <c r="BT140" s="1579"/>
      <c r="BU140" s="1564"/>
      <c r="BV140" s="1608"/>
      <c r="BW140" s="1579"/>
      <c r="BX140" s="1564"/>
      <c r="BY140" s="1608"/>
      <c r="BZ140" s="1579"/>
      <c r="CA140" s="1564"/>
      <c r="CB140" s="1608"/>
      <c r="CC140" s="1579"/>
      <c r="CD140" s="1564"/>
      <c r="CE140" s="1608"/>
      <c r="CF140" s="1579"/>
      <c r="CG140" s="1564"/>
      <c r="CH140" s="1608"/>
      <c r="CI140" s="1579"/>
      <c r="CJ140" s="1257">
        <f t="shared" ref="CJ140:CJ155" si="507">+BR140+BO140+BL140+BI140+BF140+BC140+BU140</f>
        <v>0</v>
      </c>
      <c r="CK140" s="1258">
        <f>+BS140+BP140+BM140+BJ140+BG140+BD140+BV140</f>
        <v>0</v>
      </c>
      <c r="CL140" s="427"/>
      <c r="CM140" s="170"/>
      <c r="CN140" s="493"/>
      <c r="CO140" s="428" t="str">
        <f>+AY140</f>
        <v>Escalation</v>
      </c>
      <c r="CP140" s="494"/>
      <c r="CQ140" s="459"/>
      <c r="CR140" s="1703"/>
      <c r="CS140" s="481"/>
      <c r="CT140" s="495">
        <f>L140-BD140</f>
        <v>0</v>
      </c>
      <c r="CU140" s="443"/>
      <c r="CV140" s="481"/>
      <c r="CW140" s="434">
        <f>ROUND((+BG140*(1+CW$4)),0)-BG140</f>
        <v>0</v>
      </c>
      <c r="CX140" s="443"/>
      <c r="CY140" s="432">
        <v>0</v>
      </c>
      <c r="CZ140" s="434">
        <f>ROUND((+BJ140*(1+CZ$4)),0)-BJ140</f>
        <v>0</v>
      </c>
      <c r="DA140" s="443"/>
      <c r="DB140" s="432">
        <v>0</v>
      </c>
      <c r="DC140" s="434">
        <f>ROUND((+BM140*(1+DC$4)),0)-BM140</f>
        <v>0</v>
      </c>
      <c r="DD140" s="443"/>
      <c r="DE140" s="432">
        <v>0</v>
      </c>
      <c r="DF140" s="434">
        <f>ROUND((+BP140*(1+DF$4)),0)-BP140</f>
        <v>0</v>
      </c>
      <c r="DG140" s="443"/>
      <c r="DH140" s="432">
        <v>0</v>
      </c>
      <c r="DI140" s="434">
        <f>ROUND((+BS140*(1+DI$4)),0)-BS140</f>
        <v>0</v>
      </c>
      <c r="DJ140" s="443"/>
      <c r="DK140" s="432">
        <v>0</v>
      </c>
      <c r="DL140" s="434">
        <f>ROUND((+BV140*(1+DL$4)),0)-BV140</f>
        <v>0</v>
      </c>
      <c r="DM140" s="443"/>
      <c r="DN140" s="432">
        <v>0</v>
      </c>
      <c r="DO140" s="434">
        <f>ROUND((+BY140*(1+DO$4)),0)-BY140</f>
        <v>0</v>
      </c>
      <c r="DP140" s="443"/>
      <c r="DQ140" s="432">
        <v>0</v>
      </c>
      <c r="DR140" s="434">
        <f>ROUND((+CB140*(1+DR$4)),0)-CB140</f>
        <v>0</v>
      </c>
      <c r="DS140" s="443"/>
      <c r="DT140" s="432">
        <v>0</v>
      </c>
      <c r="DU140" s="434">
        <f>ROUND((+CE140*(1+DU$4)),0)-CE140</f>
        <v>0</v>
      </c>
      <c r="DV140" s="443"/>
      <c r="DW140" s="432">
        <v>0</v>
      </c>
      <c r="DX140" s="434">
        <f>ROUND((+CH140*(1+DX$4)),0)-CH140</f>
        <v>0</v>
      </c>
      <c r="DY140" s="443"/>
      <c r="DZ140" s="432">
        <f t="shared" ref="DZ140:DZ143" si="508">+DH140+DE140+DB140+CY140+CV140+CS140+DK140</f>
        <v>0</v>
      </c>
      <c r="EA140" s="444">
        <f>+DI140+DF140+DC140+CZ140+CW140+CT140+DL140</f>
        <v>0</v>
      </c>
      <c r="EB140" s="433"/>
      <c r="EC140" s="170"/>
      <c r="ED140" s="170"/>
      <c r="EE140" s="170"/>
      <c r="EF140" s="170"/>
      <c r="EG140" s="170"/>
      <c r="EH140" s="170"/>
      <c r="EI140" s="170"/>
      <c r="EJ140" s="170"/>
      <c r="EK140" s="170"/>
    </row>
    <row r="141" spans="1:141" ht="15" x14ac:dyDescent="0.25">
      <c r="A141" s="170"/>
      <c r="B141" s="424">
        <v>5</v>
      </c>
      <c r="C141" s="424">
        <v>8</v>
      </c>
      <c r="D141" s="424">
        <v>6</v>
      </c>
      <c r="E141" s="425">
        <v>11</v>
      </c>
      <c r="F141" s="493"/>
      <c r="G141" s="1308">
        <f>+AY141</f>
        <v>0</v>
      </c>
      <c r="H141" s="1337" t="s">
        <v>309</v>
      </c>
      <c r="I141" s="1310">
        <f t="shared" si="469"/>
        <v>0</v>
      </c>
      <c r="J141" s="1684"/>
      <c r="K141" s="1311">
        <f>+BC141</f>
        <v>0</v>
      </c>
      <c r="L141" s="1312">
        <f>+BD141</f>
        <v>0</v>
      </c>
      <c r="M141" s="1684"/>
      <c r="N141" s="1717"/>
      <c r="O141" s="1312">
        <f ca="1">+BG141+CW141</f>
        <v>0</v>
      </c>
      <c r="P141" s="1685"/>
      <c r="Q141" s="1313">
        <f>+BI141</f>
        <v>0</v>
      </c>
      <c r="R141" s="1312">
        <f ca="1">+BJ141+CZ141</f>
        <v>0</v>
      </c>
      <c r="S141" s="1685"/>
      <c r="T141" s="1313">
        <f>+BL141</f>
        <v>0</v>
      </c>
      <c r="U141" s="1312">
        <f ca="1">+BM141+DC141</f>
        <v>0</v>
      </c>
      <c r="V141" s="1685"/>
      <c r="W141" s="1313">
        <f>+BO141</f>
        <v>0</v>
      </c>
      <c r="X141" s="1312">
        <f ca="1">+BP141+DF141</f>
        <v>0</v>
      </c>
      <c r="Y141" s="1685"/>
      <c r="Z141" s="1313">
        <f>+BR141</f>
        <v>0</v>
      </c>
      <c r="AA141" s="1312">
        <f ca="1">+BS141+DI141</f>
        <v>0</v>
      </c>
      <c r="AB141" s="1685"/>
      <c r="AC141" s="1313">
        <f>+BU141</f>
        <v>0</v>
      </c>
      <c r="AD141" s="1312">
        <f ca="1">+BV141+DL141</f>
        <v>0</v>
      </c>
      <c r="AE141" s="1685"/>
      <c r="AF141" s="1313">
        <f>+BX141</f>
        <v>0</v>
      </c>
      <c r="AG141" s="1312">
        <f ca="1">+BY141+DO141</f>
        <v>0</v>
      </c>
      <c r="AH141" s="1685"/>
      <c r="AI141" s="1313">
        <f>+CA141</f>
        <v>0</v>
      </c>
      <c r="AJ141" s="1312">
        <f ca="1">+CB141+DR141</f>
        <v>0</v>
      </c>
      <c r="AK141" s="1685"/>
      <c r="AL141" s="1313">
        <f>+CD141</f>
        <v>0</v>
      </c>
      <c r="AM141" s="1312">
        <f ca="1">+CE141+DU141</f>
        <v>0</v>
      </c>
      <c r="AN141" s="1685"/>
      <c r="AO141" s="1313">
        <f>+CG141</f>
        <v>0</v>
      </c>
      <c r="AP141" s="1312">
        <f ca="1">+CH141+DX141</f>
        <v>0</v>
      </c>
      <c r="AQ141" s="1685"/>
      <c r="AR141" s="1313">
        <f t="shared" si="506"/>
        <v>0</v>
      </c>
      <c r="AS141" s="1312">
        <f ca="1">+AA141+X141+U141+R141+O141+L141+AD141</f>
        <v>0</v>
      </c>
      <c r="AT141" s="1687"/>
      <c r="AU141" s="411"/>
      <c r="AV141" s="1757">
        <f t="shared" ca="1" si="466"/>
        <v>0</v>
      </c>
      <c r="AW141" s="411"/>
      <c r="AX141" s="493"/>
      <c r="AY141" s="1583"/>
      <c r="AZ141" s="1584"/>
      <c r="BA141" s="518">
        <v>0</v>
      </c>
      <c r="BB141" s="1630"/>
      <c r="BC141" s="1599">
        <v>0</v>
      </c>
      <c r="BD141" s="1600">
        <v>0</v>
      </c>
      <c r="BE141" s="1656"/>
      <c r="BF141" s="1606"/>
      <c r="BG141" s="1607">
        <f ca="1">ROUND((+BG139+BG140)*$BA$141,0)*0</f>
        <v>0</v>
      </c>
      <c r="BH141" s="1579"/>
      <c r="BI141" s="1606"/>
      <c r="BJ141" s="1607">
        <f ca="1">ROUND((+BJ139+BJ140)*$BA$141,0)*0</f>
        <v>0</v>
      </c>
      <c r="BK141" s="1666"/>
      <c r="BL141" s="1606"/>
      <c r="BM141" s="1607">
        <f ca="1">ROUND((+BM139+BM140)*$BA$141,0)*0</f>
        <v>0</v>
      </c>
      <c r="BN141" s="1579"/>
      <c r="BO141" s="1606"/>
      <c r="BP141" s="1607">
        <f ca="1">ROUND((+BP139+BP140)*$BA$141,0)*0</f>
        <v>0</v>
      </c>
      <c r="BQ141" s="1579"/>
      <c r="BR141" s="1606"/>
      <c r="BS141" s="1607">
        <f ca="1">ROUND((+BS139+BS140)*$BA$141,0)*0</f>
        <v>0</v>
      </c>
      <c r="BT141" s="1656"/>
      <c r="BU141" s="1606"/>
      <c r="BV141" s="1607">
        <f ca="1">ROUND((+BV139+BV140)*$BA$141,0)*0</f>
        <v>0</v>
      </c>
      <c r="BW141" s="1656"/>
      <c r="BX141" s="1606"/>
      <c r="BY141" s="1607">
        <f ca="1">ROUND((+BY139+BY140)*$BA$141,0)*0</f>
        <v>0</v>
      </c>
      <c r="BZ141" s="1656"/>
      <c r="CA141" s="1606"/>
      <c r="CB141" s="1607">
        <f ca="1">ROUND((+CB139+CB140)*$BA$141,0)*0</f>
        <v>0</v>
      </c>
      <c r="CC141" s="1656"/>
      <c r="CD141" s="1606"/>
      <c r="CE141" s="1607">
        <f ca="1">ROUND((+CE139+CE140)*$BA$141,0)*0</f>
        <v>0</v>
      </c>
      <c r="CF141" s="1656"/>
      <c r="CG141" s="1606"/>
      <c r="CH141" s="1607">
        <f ca="1">ROUND((+CH139+CH140)*$BA$141,0)*0</f>
        <v>0</v>
      </c>
      <c r="CI141" s="1656"/>
      <c r="CJ141" s="1613">
        <f t="shared" si="507"/>
        <v>0</v>
      </c>
      <c r="CK141" s="1610">
        <f ca="1">+BS141+BP141+BM141+BJ141+BG141+BD141+BV141</f>
        <v>0</v>
      </c>
      <c r="CL141" s="1730"/>
      <c r="CM141" s="170"/>
      <c r="CN141" s="493"/>
      <c r="CO141" s="428">
        <f>+AY141</f>
        <v>0</v>
      </c>
      <c r="CP141" s="483" t="s">
        <v>309</v>
      </c>
      <c r="CQ141" s="484"/>
      <c r="CR141" s="1702"/>
      <c r="CS141" s="421"/>
      <c r="CT141" s="463">
        <f>L141-BD141</f>
        <v>0</v>
      </c>
      <c r="CU141" s="1702"/>
      <c r="CV141" s="421"/>
      <c r="CW141" s="434">
        <f ca="1">(ROUND((+BG141*(1+CW$4)),0)-BG141)*'Data Input sheet'!$D$70</f>
        <v>0</v>
      </c>
      <c r="CX141" s="443"/>
      <c r="CY141" s="432"/>
      <c r="CZ141" s="434">
        <f ca="1">(ROUND((+BJ141*(1+CZ$4)),0)-BJ141)*'Data Input sheet'!$D$70</f>
        <v>0</v>
      </c>
      <c r="DA141" s="443"/>
      <c r="DB141" s="432"/>
      <c r="DC141" s="434">
        <f ca="1">(ROUND((+BM141*(1+DC$4)),0)-BM141)*'Data Input sheet'!$D$70</f>
        <v>0</v>
      </c>
      <c r="DD141" s="443"/>
      <c r="DE141" s="432">
        <v>0</v>
      </c>
      <c r="DF141" s="434">
        <f ca="1">(ROUND((+BP141*(1+DF$4)),0)-BP141)*'Data Input sheet'!$D$70</f>
        <v>0</v>
      </c>
      <c r="DG141" s="443"/>
      <c r="DH141" s="432">
        <v>0</v>
      </c>
      <c r="DI141" s="434">
        <f ca="1">(ROUND((+BS141*(1+DI$4)),0)-BS141)*'Data Input sheet'!$D$70</f>
        <v>0</v>
      </c>
      <c r="DJ141" s="443"/>
      <c r="DK141" s="432">
        <v>0</v>
      </c>
      <c r="DL141" s="434">
        <f ca="1">(ROUND((+BV141*(1+DL$4)),0)-BV141)*'Data Input sheet'!$D$70</f>
        <v>0</v>
      </c>
      <c r="DM141" s="443"/>
      <c r="DN141" s="432">
        <v>0</v>
      </c>
      <c r="DO141" s="434">
        <f ca="1">(ROUND((+BY141*(1+DO$4)),0)-BY141)*'Data Input sheet'!$D$70</f>
        <v>0</v>
      </c>
      <c r="DP141" s="443"/>
      <c r="DQ141" s="432">
        <v>0</v>
      </c>
      <c r="DR141" s="434">
        <f ca="1">(ROUND((+CB141*(1+DR$4)),0)-CB141)*'Data Input sheet'!$D$70</f>
        <v>0</v>
      </c>
      <c r="DS141" s="443"/>
      <c r="DT141" s="432">
        <v>0</v>
      </c>
      <c r="DU141" s="434">
        <f ca="1">(ROUND((+CE141*(1+DU$4)),0)-CE141)*'Data Input sheet'!$D$70</f>
        <v>0</v>
      </c>
      <c r="DV141" s="443"/>
      <c r="DW141" s="432">
        <v>0</v>
      </c>
      <c r="DX141" s="434">
        <f ca="1">(ROUND((+CH141*(1+DX$4)),0)-CH141)*'Data Input sheet'!$D$70</f>
        <v>0</v>
      </c>
      <c r="DY141" s="443"/>
      <c r="DZ141" s="432">
        <f t="shared" si="508"/>
        <v>0</v>
      </c>
      <c r="EA141" s="444">
        <f ca="1">+DI141+DF141+DC141+CZ141+CW141+CT141+DL141</f>
        <v>0</v>
      </c>
      <c r="EB141" s="433"/>
      <c r="EC141" s="170"/>
      <c r="ED141" s="170"/>
      <c r="EE141" s="170"/>
      <c r="EF141" s="170"/>
      <c r="EG141" s="170"/>
      <c r="EH141" s="170"/>
      <c r="EI141" s="170"/>
      <c r="EJ141" s="170"/>
      <c r="EK141" s="170"/>
    </row>
    <row r="142" spans="1:141" ht="15.75" thickBot="1" x14ac:dyDescent="0.3">
      <c r="A142" s="170"/>
      <c r="B142" s="472"/>
      <c r="C142" s="472"/>
      <c r="D142" s="472"/>
      <c r="E142" s="473"/>
      <c r="F142" s="493"/>
      <c r="G142" s="1327" t="s">
        <v>363</v>
      </c>
      <c r="H142" s="1338"/>
      <c r="I142" s="1310">
        <f t="shared" si="469"/>
        <v>0</v>
      </c>
      <c r="J142" s="1688"/>
      <c r="K142" s="1335">
        <f>+K141+K140+K139</f>
        <v>0</v>
      </c>
      <c r="L142" s="1331">
        <f>+L141+L140+L139</f>
        <v>0</v>
      </c>
      <c r="M142" s="1688"/>
      <c r="N142" s="1335">
        <f>+N141+N140+N139</f>
        <v>0</v>
      </c>
      <c r="O142" s="1331">
        <f ca="1">+O141+O140+O139</f>
        <v>0</v>
      </c>
      <c r="P142" s="1688"/>
      <c r="Q142" s="1335">
        <f ca="1">+Q141+Q140+Q139</f>
        <v>0</v>
      </c>
      <c r="R142" s="1331">
        <f ca="1">+R141+R140+R139</f>
        <v>0</v>
      </c>
      <c r="S142" s="1688"/>
      <c r="T142" s="1335">
        <f ca="1">+T141+T140+T139</f>
        <v>0</v>
      </c>
      <c r="U142" s="1331">
        <f ca="1">+U141+U140+U139</f>
        <v>0</v>
      </c>
      <c r="V142" s="1688"/>
      <c r="W142" s="1335">
        <f ca="1">+W141+W140+W139</f>
        <v>0</v>
      </c>
      <c r="X142" s="1331">
        <f ca="1">+X141+X140+X139</f>
        <v>0</v>
      </c>
      <c r="Y142" s="1688"/>
      <c r="Z142" s="1335">
        <f ca="1">+Z141+Z140+Z139</f>
        <v>0</v>
      </c>
      <c r="AA142" s="1331">
        <f ca="1">+AA141+AA140+AA139</f>
        <v>0</v>
      </c>
      <c r="AB142" s="1688"/>
      <c r="AC142" s="1335">
        <f ca="1">+AC141+AC140+AC139</f>
        <v>0</v>
      </c>
      <c r="AD142" s="1331">
        <f ca="1">+AD141+AD140+AD139</f>
        <v>0</v>
      </c>
      <c r="AE142" s="1688"/>
      <c r="AF142" s="1335">
        <f ca="1">+AF141+AF140+AF139</f>
        <v>0</v>
      </c>
      <c r="AG142" s="1331">
        <f ca="1">+AG141+AG140+AG139</f>
        <v>0</v>
      </c>
      <c r="AH142" s="1688"/>
      <c r="AI142" s="1335">
        <f ca="1">+AI141+AI140+AI139</f>
        <v>0</v>
      </c>
      <c r="AJ142" s="1331">
        <f ca="1">+AJ141+AJ140+AJ139</f>
        <v>0</v>
      </c>
      <c r="AK142" s="1688"/>
      <c r="AL142" s="1335">
        <f ca="1">+AL141+AL140+AL139</f>
        <v>0</v>
      </c>
      <c r="AM142" s="1331">
        <f ca="1">+AM141+AM140+AM139</f>
        <v>0</v>
      </c>
      <c r="AN142" s="1688"/>
      <c r="AO142" s="1335">
        <f ca="1">+AO141+AO140+AO139</f>
        <v>0</v>
      </c>
      <c r="AP142" s="1331">
        <f ca="1">+AP141+AP140+AP139</f>
        <v>0</v>
      </c>
      <c r="AQ142" s="1688"/>
      <c r="AR142" s="1335">
        <f t="shared" ca="1" si="506"/>
        <v>0</v>
      </c>
      <c r="AS142" s="1331">
        <f ca="1">+AS141+AS140+AS139</f>
        <v>0</v>
      </c>
      <c r="AT142" s="1687"/>
      <c r="AU142" s="411"/>
      <c r="AV142" s="1757">
        <f t="shared" ca="1" si="466"/>
        <v>0</v>
      </c>
      <c r="AW142" s="411"/>
      <c r="AX142" s="493"/>
      <c r="AY142" s="485" t="s">
        <v>363</v>
      </c>
      <c r="AZ142" s="1251"/>
      <c r="BA142" s="1255"/>
      <c r="BB142" s="1635"/>
      <c r="BC142" s="1253"/>
      <c r="BD142" s="1254">
        <f>+BD141+BD140+BD139</f>
        <v>0</v>
      </c>
      <c r="BE142" s="1635"/>
      <c r="BF142" s="1468">
        <f ca="1">SUM(BF131:BF141)</f>
        <v>0</v>
      </c>
      <c r="BG142" s="1259">
        <f ca="1">+BG141+BG140+BG139</f>
        <v>0</v>
      </c>
      <c r="BH142" s="1635"/>
      <c r="BI142" s="1468">
        <f ca="1">SUM(BI131:BI141)</f>
        <v>0</v>
      </c>
      <c r="BJ142" s="1259">
        <f ca="1">+BJ141+BJ140+BJ139</f>
        <v>0</v>
      </c>
      <c r="BK142" s="1635"/>
      <c r="BL142" s="1468">
        <f ca="1">SUM(BL131:BL141)</f>
        <v>0</v>
      </c>
      <c r="BM142" s="1259">
        <f ca="1">+BM141+BM140+BM139</f>
        <v>0</v>
      </c>
      <c r="BN142" s="1635"/>
      <c r="BO142" s="1468">
        <f ca="1">SUM(BO131:BO141)</f>
        <v>0</v>
      </c>
      <c r="BP142" s="1259">
        <f ca="1">+BP141+BP140+BP139</f>
        <v>0</v>
      </c>
      <c r="BQ142" s="1635"/>
      <c r="BR142" s="1468">
        <f ca="1">SUM(BR131:BR141)</f>
        <v>0</v>
      </c>
      <c r="BS142" s="1259">
        <f ca="1">+BS141+BS140+BS139</f>
        <v>0</v>
      </c>
      <c r="BT142" s="1635"/>
      <c r="BU142" s="1468">
        <f ca="1">SUM(BU131:BU141)</f>
        <v>0</v>
      </c>
      <c r="BV142" s="1259">
        <f ca="1">+BV141+BV140+BV139</f>
        <v>0</v>
      </c>
      <c r="BW142" s="1635"/>
      <c r="BX142" s="1468">
        <f ca="1">SUM(BX131:BX141)</f>
        <v>0</v>
      </c>
      <c r="BY142" s="1259">
        <f ca="1">+BY141+BY140+BY139</f>
        <v>0</v>
      </c>
      <c r="BZ142" s="1635"/>
      <c r="CA142" s="1468">
        <f ca="1">SUM(CA131:CA141)</f>
        <v>0</v>
      </c>
      <c r="CB142" s="1259">
        <f ca="1">+CB141+CB140+CB139</f>
        <v>0</v>
      </c>
      <c r="CC142" s="1635"/>
      <c r="CD142" s="1468">
        <f ca="1">SUM(CD131:CD141)</f>
        <v>0</v>
      </c>
      <c r="CE142" s="1259">
        <f ca="1">+CE141+CE140+CE139</f>
        <v>0</v>
      </c>
      <c r="CF142" s="1635"/>
      <c r="CG142" s="1468">
        <f ca="1">SUM(CG131:CG141)</f>
        <v>0</v>
      </c>
      <c r="CH142" s="1259">
        <f ca="1">+CH141+CH140+CH139</f>
        <v>0</v>
      </c>
      <c r="CI142" s="1635"/>
      <c r="CJ142" s="1253">
        <f t="shared" ca="1" si="507"/>
        <v>0</v>
      </c>
      <c r="CK142" s="1254">
        <f ca="1">+CK141+CK140+CK139</f>
        <v>0</v>
      </c>
      <c r="CL142" s="1731"/>
      <c r="CM142" s="170"/>
      <c r="CN142" s="493"/>
      <c r="CO142" s="464" t="s">
        <v>363</v>
      </c>
      <c r="CP142" s="486"/>
      <c r="CQ142" s="487"/>
      <c r="CR142" s="1706"/>
      <c r="CS142" s="467">
        <f>SUM(CS125:CS141)-CS130</f>
        <v>0</v>
      </c>
      <c r="CT142" s="468">
        <f>+CT141+CT139</f>
        <v>0</v>
      </c>
      <c r="CU142" s="1703"/>
      <c r="CV142" s="467">
        <f>SUM(CV125:CV141)-CV130</f>
        <v>0</v>
      </c>
      <c r="CW142" s="468">
        <f ca="1">+CW141+CW139</f>
        <v>0</v>
      </c>
      <c r="CX142" s="1703"/>
      <c r="CY142" s="467">
        <f>SUM(CY125:CY141)-CY130</f>
        <v>0</v>
      </c>
      <c r="CZ142" s="468">
        <f ca="1">+CZ141+CZ139</f>
        <v>0</v>
      </c>
      <c r="DA142" s="1703"/>
      <c r="DB142" s="467">
        <f>SUM(DB125:DB141)-DB130</f>
        <v>0</v>
      </c>
      <c r="DC142" s="468">
        <f ca="1">+DC141+DC139</f>
        <v>0</v>
      </c>
      <c r="DD142" s="1703"/>
      <c r="DE142" s="467">
        <f>SUM(DE125:DE141)-DE130</f>
        <v>0</v>
      </c>
      <c r="DF142" s="468">
        <f ca="1">+DF141+DF139</f>
        <v>0</v>
      </c>
      <c r="DG142" s="1703"/>
      <c r="DH142" s="467">
        <f>SUM(DH125:DH141)-DH130</f>
        <v>0</v>
      </c>
      <c r="DI142" s="468">
        <f ca="1">+DI141+DI139</f>
        <v>0</v>
      </c>
      <c r="DJ142" s="1703"/>
      <c r="DK142" s="467">
        <f>SUM(DK125:DK141)-DK130</f>
        <v>0</v>
      </c>
      <c r="DL142" s="468">
        <f ca="1">+DL141+DL139</f>
        <v>0</v>
      </c>
      <c r="DM142" s="1703"/>
      <c r="DN142" s="467">
        <f>SUM(DN125:DN141)-DN130</f>
        <v>0</v>
      </c>
      <c r="DO142" s="468">
        <f ca="1">+DO141+DO139</f>
        <v>0</v>
      </c>
      <c r="DP142" s="1703"/>
      <c r="DQ142" s="467">
        <f>SUM(DQ125:DQ141)-DQ130</f>
        <v>0</v>
      </c>
      <c r="DR142" s="468">
        <f ca="1">+DR141+DR139</f>
        <v>0</v>
      </c>
      <c r="DS142" s="1703"/>
      <c r="DT142" s="467">
        <f>SUM(DT125:DT141)-DT130</f>
        <v>0</v>
      </c>
      <c r="DU142" s="468">
        <f ca="1">+DU141+DU139</f>
        <v>0</v>
      </c>
      <c r="DV142" s="1703"/>
      <c r="DW142" s="467">
        <f>SUM(DW125:DW141)-DW130</f>
        <v>0</v>
      </c>
      <c r="DX142" s="468">
        <f ca="1">+DX141+DX139</f>
        <v>0</v>
      </c>
      <c r="DY142" s="1703"/>
      <c r="DZ142" s="467">
        <f t="shared" si="508"/>
        <v>0</v>
      </c>
      <c r="EA142" s="1744">
        <f ca="1">+EA141+EA140+EA139</f>
        <v>0</v>
      </c>
      <c r="EB142" s="433"/>
      <c r="EC142" s="170"/>
      <c r="ED142" s="170"/>
      <c r="EE142" s="170"/>
      <c r="EF142" s="170"/>
      <c r="EG142" s="170"/>
      <c r="EH142" s="170"/>
      <c r="EI142" s="170"/>
      <c r="EJ142" s="170"/>
      <c r="EK142" s="170"/>
    </row>
    <row r="143" spans="1:141" ht="15" x14ac:dyDescent="0.25">
      <c r="A143" s="170"/>
      <c r="B143" s="472"/>
      <c r="C143" s="472"/>
      <c r="D143" s="472"/>
      <c r="E143" s="473"/>
      <c r="F143" s="493"/>
      <c r="G143" s="1347" t="s">
        <v>364</v>
      </c>
      <c r="H143" s="1291"/>
      <c r="I143" s="1310">
        <f t="shared" si="469"/>
        <v>0</v>
      </c>
      <c r="J143" s="1687"/>
      <c r="K143" s="1323"/>
      <c r="L143" s="1348"/>
      <c r="M143" s="1687"/>
      <c r="N143" s="1323"/>
      <c r="O143" s="1348"/>
      <c r="P143" s="1687"/>
      <c r="Q143" s="1323"/>
      <c r="R143" s="1348"/>
      <c r="S143" s="1687"/>
      <c r="T143" s="1323"/>
      <c r="U143" s="1348"/>
      <c r="V143" s="1687"/>
      <c r="W143" s="1323"/>
      <c r="X143" s="1348"/>
      <c r="Y143" s="1687"/>
      <c r="Z143" s="1323"/>
      <c r="AA143" s="1348"/>
      <c r="AB143" s="1687"/>
      <c r="AC143" s="1323"/>
      <c r="AD143" s="1348"/>
      <c r="AE143" s="1687"/>
      <c r="AF143" s="1323"/>
      <c r="AG143" s="1348"/>
      <c r="AH143" s="1687"/>
      <c r="AI143" s="1323"/>
      <c r="AJ143" s="1348"/>
      <c r="AK143" s="1687"/>
      <c r="AL143" s="1323"/>
      <c r="AM143" s="1348"/>
      <c r="AN143" s="1687"/>
      <c r="AO143" s="1323"/>
      <c r="AP143" s="1348"/>
      <c r="AQ143" s="1687"/>
      <c r="AR143" s="1323">
        <f t="shared" si="506"/>
        <v>0</v>
      </c>
      <c r="AS143" s="1348">
        <f t="shared" ref="AS143" si="509">+AA143+X143+U143+R143+O143+L143+AD143</f>
        <v>0</v>
      </c>
      <c r="AT143" s="1687"/>
      <c r="AU143" s="411"/>
      <c r="AV143" s="1757">
        <f t="shared" ref="AV143:AV181" si="510">+CK143+EA143</f>
        <v>0</v>
      </c>
      <c r="AW143" s="411"/>
      <c r="AX143" s="493"/>
      <c r="AY143" s="1263" t="s">
        <v>364</v>
      </c>
      <c r="AZ143" s="168"/>
      <c r="BA143" s="1264"/>
      <c r="BB143" s="1632"/>
      <c r="BC143" s="491"/>
      <c r="BD143" s="1247"/>
      <c r="BE143" s="1632"/>
      <c r="BF143" s="1471"/>
      <c r="BG143" s="1265"/>
      <c r="BH143" s="1632"/>
      <c r="BI143" s="1471"/>
      <c r="BJ143" s="1265"/>
      <c r="BK143" s="1632"/>
      <c r="BL143" s="1471"/>
      <c r="BM143" s="1265"/>
      <c r="BN143" s="1632"/>
      <c r="BO143" s="1471"/>
      <c r="BP143" s="1265"/>
      <c r="BQ143" s="1632"/>
      <c r="BR143" s="1471"/>
      <c r="BS143" s="1265"/>
      <c r="BT143" s="1632"/>
      <c r="BU143" s="1471"/>
      <c r="BV143" s="1265"/>
      <c r="BW143" s="1632"/>
      <c r="BX143" s="1471"/>
      <c r="BY143" s="1265"/>
      <c r="BZ143" s="1632"/>
      <c r="CA143" s="1471"/>
      <c r="CB143" s="1265"/>
      <c r="CC143" s="1632"/>
      <c r="CD143" s="1471"/>
      <c r="CE143" s="1265"/>
      <c r="CF143" s="1632"/>
      <c r="CG143" s="1471"/>
      <c r="CH143" s="1265"/>
      <c r="CI143" s="1632"/>
      <c r="CJ143" s="491">
        <f t="shared" si="507"/>
        <v>0</v>
      </c>
      <c r="CK143" s="1262">
        <f t="shared" ref="CK143" si="511">+BS143+BP143+BM143+BJ143+BG143+BD143+BV143</f>
        <v>0</v>
      </c>
      <c r="CL143" s="1737"/>
      <c r="CM143" s="170"/>
      <c r="CN143" s="493"/>
      <c r="CO143" s="395" t="s">
        <v>364</v>
      </c>
      <c r="CP143" s="388"/>
      <c r="CQ143" s="509"/>
      <c r="CR143" s="1703"/>
      <c r="CS143" s="435"/>
      <c r="CT143" s="510"/>
      <c r="CU143" s="1703"/>
      <c r="CV143" s="435"/>
      <c r="CW143" s="510"/>
      <c r="CX143" s="1703"/>
      <c r="CY143" s="435"/>
      <c r="CZ143" s="510"/>
      <c r="DA143" s="1703"/>
      <c r="DB143" s="435"/>
      <c r="DC143" s="510"/>
      <c r="DD143" s="1703"/>
      <c r="DE143" s="435"/>
      <c r="DF143" s="510"/>
      <c r="DG143" s="1703"/>
      <c r="DH143" s="435"/>
      <c r="DI143" s="510"/>
      <c r="DJ143" s="1703"/>
      <c r="DK143" s="435"/>
      <c r="DL143" s="510"/>
      <c r="DM143" s="1703"/>
      <c r="DN143" s="435"/>
      <c r="DO143" s="510"/>
      <c r="DP143" s="1703"/>
      <c r="DQ143" s="435"/>
      <c r="DR143" s="510"/>
      <c r="DS143" s="1703"/>
      <c r="DT143" s="435"/>
      <c r="DU143" s="510"/>
      <c r="DV143" s="1703"/>
      <c r="DW143" s="435"/>
      <c r="DX143" s="510"/>
      <c r="DY143" s="1703"/>
      <c r="DZ143" s="435">
        <f t="shared" si="508"/>
        <v>0</v>
      </c>
      <c r="EA143" s="1745">
        <f t="shared" ref="EA143" si="512">+DI143+DF143+DC143+CZ143+CW143+CT143+DL143</f>
        <v>0</v>
      </c>
      <c r="EB143" s="433"/>
      <c r="EC143" s="170"/>
      <c r="ED143" s="170"/>
      <c r="EE143" s="170"/>
      <c r="EF143" s="170"/>
      <c r="EG143" s="170"/>
      <c r="EH143" s="170"/>
      <c r="EI143" s="170"/>
      <c r="EJ143" s="170"/>
      <c r="EK143" s="170"/>
    </row>
    <row r="144" spans="1:141" ht="15" x14ac:dyDescent="0.25">
      <c r="A144" s="170"/>
      <c r="B144" s="424">
        <v>1</v>
      </c>
      <c r="C144" s="424">
        <v>7</v>
      </c>
      <c r="D144" s="424">
        <v>1</v>
      </c>
      <c r="E144" s="425">
        <v>8</v>
      </c>
      <c r="F144" s="493" t="s">
        <v>3188</v>
      </c>
      <c r="G144" s="1308" t="str">
        <f t="shared" ref="G144:G151" si="513">+AY144</f>
        <v>Test / Field Engr. Labor (In House)</v>
      </c>
      <c r="H144" s="1309" t="s">
        <v>291</v>
      </c>
      <c r="I144" s="1310">
        <f t="shared" si="469"/>
        <v>64</v>
      </c>
      <c r="J144" s="1685"/>
      <c r="K144" s="1311">
        <f t="shared" ref="K144:L151" si="514">+BC144</f>
        <v>0</v>
      </c>
      <c r="L144" s="1312">
        <f t="shared" si="514"/>
        <v>0</v>
      </c>
      <c r="M144" s="1685"/>
      <c r="N144" s="1717">
        <f>BF144</f>
        <v>0</v>
      </c>
      <c r="O144" s="1312">
        <f t="shared" ref="O144:O151" si="515">+BG144+CW144</f>
        <v>0</v>
      </c>
      <c r="P144" s="1685"/>
      <c r="Q144" s="1313">
        <f t="shared" ref="Q144:Q151" si="516">+BI144</f>
        <v>0</v>
      </c>
      <c r="R144" s="1312">
        <f t="shared" ref="R144:R151" si="517">+BJ144+CZ144</f>
        <v>0</v>
      </c>
      <c r="S144" s="1685"/>
      <c r="T144" s="1313">
        <f t="shared" ref="T144:T151" si="518">+BL144</f>
        <v>0</v>
      </c>
      <c r="U144" s="1312">
        <f t="shared" ref="U144:U151" si="519">+BM144+DC144</f>
        <v>0</v>
      </c>
      <c r="V144" s="1685"/>
      <c r="W144" s="1313">
        <f t="shared" ref="W144:W151" si="520">+BO144</f>
        <v>0</v>
      </c>
      <c r="X144" s="1312">
        <f t="shared" ref="X144:X151" si="521">+BP144+DF144</f>
        <v>0</v>
      </c>
      <c r="Y144" s="1685"/>
      <c r="Z144" s="1313">
        <f t="shared" ref="Z144:Z151" si="522">+BR144</f>
        <v>0</v>
      </c>
      <c r="AA144" s="1312">
        <f t="shared" ref="AA144:AA151" si="523">+BS144+DI144</f>
        <v>0</v>
      </c>
      <c r="AB144" s="1685"/>
      <c r="AC144" s="1313">
        <f t="shared" ref="AC144:AC151" si="524">+BU144</f>
        <v>0</v>
      </c>
      <c r="AD144" s="1312">
        <f t="shared" ref="AD144:AD151" si="525">+BV144+DL144</f>
        <v>0</v>
      </c>
      <c r="AE144" s="1685"/>
      <c r="AF144" s="1313">
        <f t="shared" ref="AF144:AF151" si="526">+BX144</f>
        <v>0</v>
      </c>
      <c r="AG144" s="1312">
        <f t="shared" ref="AG144:AG151" si="527">+BY144+DO144</f>
        <v>0</v>
      </c>
      <c r="AH144" s="1685"/>
      <c r="AI144" s="1313">
        <f t="shared" ref="AI144:AI151" si="528">+CA144</f>
        <v>0</v>
      </c>
      <c r="AJ144" s="1312">
        <f t="shared" ref="AJ144:AJ151" si="529">+CB144+DR144</f>
        <v>0</v>
      </c>
      <c r="AK144" s="1685"/>
      <c r="AL144" s="1313">
        <f t="shared" ref="AL144:AL151" si="530">+CD144</f>
        <v>0</v>
      </c>
      <c r="AM144" s="1312">
        <f t="shared" ref="AM144:AM151" si="531">+CE144+DU144</f>
        <v>0</v>
      </c>
      <c r="AN144" s="1685"/>
      <c r="AO144" s="1313">
        <f t="shared" ref="AO144:AO151" si="532">+CG144</f>
        <v>0</v>
      </c>
      <c r="AP144" s="1312">
        <f t="shared" ref="AP144:AP151" si="533">+CH144+DX144</f>
        <v>0</v>
      </c>
      <c r="AQ144" s="1685"/>
      <c r="AR144" s="1313">
        <f t="shared" ref="AR144:AR146" si="534">+Z144+W144+T144+Q144+N144+K144+AC144+AF144+AI144+AL144+AO144</f>
        <v>0</v>
      </c>
      <c r="AS144" s="1312">
        <f t="shared" ref="AS144:AS146" si="535">+AA144+X144+U144+R144+O144+L144+AD144+AG144+AJ144+AM144+AP144</f>
        <v>0</v>
      </c>
      <c r="AT144" s="1687"/>
      <c r="AU144" s="411"/>
      <c r="AV144" s="1757">
        <f t="shared" si="510"/>
        <v>0</v>
      </c>
      <c r="AW144" s="411"/>
      <c r="AX144" s="493"/>
      <c r="AY144" s="1588" t="s">
        <v>1202</v>
      </c>
      <c r="AZ144" s="1567" t="s">
        <v>291</v>
      </c>
      <c r="BA144" s="2445">
        <f>+'Data Input sheet'!$D$167</f>
        <v>64</v>
      </c>
      <c r="BB144" s="1579"/>
      <c r="BC144" s="1599"/>
      <c r="BD144" s="1600">
        <v>0</v>
      </c>
      <c r="BE144" s="1579"/>
      <c r="BF144" s="1605">
        <v>0</v>
      </c>
      <c r="BG144" s="426">
        <f>ROUND(+BF144*$BA$144,0)</f>
        <v>0</v>
      </c>
      <c r="BH144" s="1579"/>
      <c r="BI144" s="1605">
        <v>0</v>
      </c>
      <c r="BJ144" s="426">
        <f>ROUND(+BI144*$BA$144,0)</f>
        <v>0</v>
      </c>
      <c r="BK144" s="1666"/>
      <c r="BL144" s="1605">
        <v>0</v>
      </c>
      <c r="BM144" s="426">
        <f>ROUND(+BL144*$BA$144,0)</f>
        <v>0</v>
      </c>
      <c r="BN144" s="1579"/>
      <c r="BO144" s="1605">
        <v>0</v>
      </c>
      <c r="BP144" s="426">
        <f>ROUND(+BO144*$BA$144,0)</f>
        <v>0</v>
      </c>
      <c r="BQ144" s="1579"/>
      <c r="BR144" s="1605">
        <v>0</v>
      </c>
      <c r="BS144" s="426">
        <f>ROUND(+BR144*$BA$144,0)</f>
        <v>0</v>
      </c>
      <c r="BT144" s="1579"/>
      <c r="BU144" s="1605">
        <v>0</v>
      </c>
      <c r="BV144" s="426">
        <f>ROUND(+BU144*$BA$144,0)</f>
        <v>0</v>
      </c>
      <c r="BW144" s="1579"/>
      <c r="BX144" s="1605">
        <v>0</v>
      </c>
      <c r="BY144" s="426">
        <f>ROUND(+BX144*$BA$144,0)</f>
        <v>0</v>
      </c>
      <c r="BZ144" s="1579"/>
      <c r="CA144" s="1605">
        <v>0</v>
      </c>
      <c r="CB144" s="426">
        <f>ROUND(+CA144*$BA$144,0)</f>
        <v>0</v>
      </c>
      <c r="CC144" s="1579"/>
      <c r="CD144" s="1605">
        <v>0</v>
      </c>
      <c r="CE144" s="426">
        <f>ROUND(+CD144*$BA$144,0)</f>
        <v>0</v>
      </c>
      <c r="CF144" s="1579"/>
      <c r="CG144" s="1605">
        <v>0</v>
      </c>
      <c r="CH144" s="426">
        <f>ROUND(+CG144*$BA$144,0)</f>
        <v>0</v>
      </c>
      <c r="CI144" s="1579"/>
      <c r="CJ144" s="1257">
        <f t="shared" ref="CJ144:CJ146" si="536">+BR144+BO144+BL144+BI144+BF144+BC144+BU144+BX144+CA144+CD144+CG144</f>
        <v>0</v>
      </c>
      <c r="CK144" s="1395">
        <f t="shared" ref="CK144:CK146" si="537">+BS144+BP144+BM144+BJ144+BG144+BD144+BV144+BY144+CB144+CE144+CH144</f>
        <v>0</v>
      </c>
      <c r="CL144" s="427"/>
      <c r="CM144" s="170"/>
      <c r="CN144" s="493"/>
      <c r="CO144" s="428" t="str">
        <f t="shared" ref="CO144:CO151" si="538">+AY144</f>
        <v>Test / Field Engr. Labor (In House)</v>
      </c>
      <c r="CP144" s="429" t="s">
        <v>291</v>
      </c>
      <c r="CQ144" s="501"/>
      <c r="CR144" s="443"/>
      <c r="CS144" s="435">
        <v>0</v>
      </c>
      <c r="CT144" s="431">
        <f t="shared" ref="CT144:CT151" si="539">L144-BD144</f>
        <v>0</v>
      </c>
      <c r="CU144" s="443"/>
      <c r="CV144" s="435">
        <v>0</v>
      </c>
      <c r="CW144" s="434">
        <f t="shared" ref="CW144:CW151" si="540">ROUND((+BG144*(1+CW$4)),0)-BG144</f>
        <v>0</v>
      </c>
      <c r="CX144" s="443"/>
      <c r="CY144" s="432">
        <v>0</v>
      </c>
      <c r="CZ144" s="434">
        <f t="shared" ref="CZ144:CZ151" si="541">ROUND((+BJ144*(1+CZ$4)),0)-BJ144</f>
        <v>0</v>
      </c>
      <c r="DA144" s="443"/>
      <c r="DB144" s="432">
        <v>0</v>
      </c>
      <c r="DC144" s="434">
        <f t="shared" ref="DC144:DC151" si="542">ROUND((+BM144*(1+DC$4)),0)-BM144</f>
        <v>0</v>
      </c>
      <c r="DD144" s="443"/>
      <c r="DE144" s="432">
        <v>0</v>
      </c>
      <c r="DF144" s="434">
        <f t="shared" ref="DF144:DF151" si="543">ROUND((+BP144*(1+DF$4)),0)-BP144</f>
        <v>0</v>
      </c>
      <c r="DG144" s="443"/>
      <c r="DH144" s="432">
        <v>0</v>
      </c>
      <c r="DI144" s="434">
        <f t="shared" ref="DI144:DI151" si="544">ROUND((+BS144*(1+DI$4)),0)-BS144</f>
        <v>0</v>
      </c>
      <c r="DJ144" s="443"/>
      <c r="DK144" s="432">
        <v>0</v>
      </c>
      <c r="DL144" s="434">
        <f t="shared" ref="DL144:DL151" si="545">ROUND((+BV144*(1+DL$4)),0)-BV144</f>
        <v>0</v>
      </c>
      <c r="DM144" s="443"/>
      <c r="DN144" s="432">
        <v>0</v>
      </c>
      <c r="DO144" s="434">
        <f t="shared" ref="DO144:DO151" si="546">ROUND((+BY144*(1+DO$4)),0)-BY144</f>
        <v>0</v>
      </c>
      <c r="DP144" s="443"/>
      <c r="DQ144" s="432">
        <v>0</v>
      </c>
      <c r="DR144" s="434">
        <f t="shared" ref="DR144:DR151" si="547">ROUND((+CB144*(1+DR$4)),0)-CB144</f>
        <v>0</v>
      </c>
      <c r="DS144" s="443"/>
      <c r="DT144" s="432">
        <v>0</v>
      </c>
      <c r="DU144" s="434">
        <f t="shared" ref="DU144:DU151" si="548">ROUND((+CE144*(1+DU$4)),0)-CE144</f>
        <v>0</v>
      </c>
      <c r="DV144" s="443"/>
      <c r="DW144" s="432">
        <v>0</v>
      </c>
      <c r="DX144" s="434">
        <f t="shared" ref="DX144:DX151" si="549">ROUND((+CH144*(1+DX$4)),0)-CH144</f>
        <v>0</v>
      </c>
      <c r="DY144" s="443"/>
      <c r="DZ144" s="432">
        <f t="shared" ref="DZ144:DZ146" si="550">+DH144+DE144+DB144+CY144+CV144+CS144+DK144+DN144+DQ144+DT144+DW144</f>
        <v>0</v>
      </c>
      <c r="EA144" s="444">
        <f t="shared" ref="EA144:EA146" si="551">+DI144+DF144+DC144+CZ144+CW144+CT144+DL144+DO144+DR144+DU144+DX144</f>
        <v>0</v>
      </c>
      <c r="EB144" s="433"/>
      <c r="EC144" s="170"/>
      <c r="ED144" s="170"/>
      <c r="EE144" s="170"/>
      <c r="EF144" s="170"/>
      <c r="EG144" s="170"/>
      <c r="EH144" s="170"/>
      <c r="EI144" s="170"/>
      <c r="EJ144" s="170"/>
      <c r="EK144" s="170"/>
    </row>
    <row r="145" spans="1:141" ht="15" x14ac:dyDescent="0.25">
      <c r="A145" s="170"/>
      <c r="B145" s="424">
        <v>1</v>
      </c>
      <c r="C145" s="424">
        <v>7</v>
      </c>
      <c r="D145" s="424">
        <v>1</v>
      </c>
      <c r="E145" s="425">
        <v>8</v>
      </c>
      <c r="F145" s="493" t="s">
        <v>3188</v>
      </c>
      <c r="G145" s="1308" t="str">
        <f t="shared" ref="G145" si="552">+AY145</f>
        <v>Test / Comm. Engr. Labor (In House)</v>
      </c>
      <c r="H145" s="1309" t="s">
        <v>291</v>
      </c>
      <c r="I145" s="1310">
        <f t="shared" ref="I145" ca="1" si="553">+BA145</f>
        <v>52</v>
      </c>
      <c r="J145" s="1685"/>
      <c r="K145" s="1311">
        <f t="shared" ref="K145" si="554">+BC145</f>
        <v>0</v>
      </c>
      <c r="L145" s="1312">
        <f t="shared" ref="L145" si="555">+BD145</f>
        <v>0</v>
      </c>
      <c r="M145" s="1685"/>
      <c r="N145" s="1717">
        <f>BF145</f>
        <v>0</v>
      </c>
      <c r="O145" s="1312">
        <f t="shared" ref="O145" si="556">+BG145+CW145</f>
        <v>0</v>
      </c>
      <c r="P145" s="1685"/>
      <c r="Q145" s="1313">
        <f t="shared" ref="Q145" si="557">+BI145</f>
        <v>0</v>
      </c>
      <c r="R145" s="1312">
        <f t="shared" ref="R145" si="558">+BJ145+CZ145</f>
        <v>0</v>
      </c>
      <c r="S145" s="1685"/>
      <c r="T145" s="1313">
        <f t="shared" ref="T145" si="559">+BL145</f>
        <v>0</v>
      </c>
      <c r="U145" s="1312">
        <f t="shared" ref="U145" si="560">+BM145+DC145</f>
        <v>0</v>
      </c>
      <c r="V145" s="1685"/>
      <c r="W145" s="1313">
        <f t="shared" ref="W145" si="561">+BO145</f>
        <v>0</v>
      </c>
      <c r="X145" s="1312">
        <f t="shared" ref="X145" si="562">+BP145+DF145</f>
        <v>0</v>
      </c>
      <c r="Y145" s="1685"/>
      <c r="Z145" s="1313">
        <f t="shared" ref="Z145" si="563">+BR145</f>
        <v>0</v>
      </c>
      <c r="AA145" s="1312">
        <f t="shared" ref="AA145" si="564">+BS145+DI145</f>
        <v>0</v>
      </c>
      <c r="AB145" s="1685"/>
      <c r="AC145" s="1313">
        <f t="shared" ref="AC145" si="565">+BU145</f>
        <v>0</v>
      </c>
      <c r="AD145" s="1312">
        <f t="shared" ref="AD145" si="566">+BV145+DL145</f>
        <v>0</v>
      </c>
      <c r="AE145" s="1685"/>
      <c r="AF145" s="1313">
        <f t="shared" ref="AF145" si="567">+BX145</f>
        <v>0</v>
      </c>
      <c r="AG145" s="1312">
        <f t="shared" ref="AG145" si="568">+BY145+DO145</f>
        <v>0</v>
      </c>
      <c r="AH145" s="1685"/>
      <c r="AI145" s="1313">
        <f t="shared" ref="AI145" si="569">+CA145</f>
        <v>0</v>
      </c>
      <c r="AJ145" s="1312">
        <f t="shared" ref="AJ145" si="570">+CB145+DR145</f>
        <v>0</v>
      </c>
      <c r="AK145" s="1685"/>
      <c r="AL145" s="1313">
        <f t="shared" ref="AL145" si="571">+CD145</f>
        <v>0</v>
      </c>
      <c r="AM145" s="1312">
        <f t="shared" ref="AM145" si="572">+CE145+DU145</f>
        <v>0</v>
      </c>
      <c r="AN145" s="1685"/>
      <c r="AO145" s="1313">
        <f t="shared" ref="AO145" si="573">+CG145</f>
        <v>0</v>
      </c>
      <c r="AP145" s="1312">
        <f t="shared" ref="AP145" si="574">+CH145+DX145</f>
        <v>0</v>
      </c>
      <c r="AQ145" s="1685"/>
      <c r="AR145" s="1313">
        <f t="shared" ref="AR145" si="575">+Z145+W145+T145+Q145+N145+K145+AC145+AF145+AI145+AL145+AO145</f>
        <v>0</v>
      </c>
      <c r="AS145" s="1312">
        <f t="shared" ref="AS145" si="576">+AA145+X145+U145+R145+O145+L145+AD145+AG145+AJ145+AM145+AP145</f>
        <v>0</v>
      </c>
      <c r="AT145" s="1687"/>
      <c r="AU145" s="411"/>
      <c r="AV145" s="1757">
        <f t="shared" ref="AV145" si="577">+CK145+EA145</f>
        <v>0</v>
      </c>
      <c r="AW145" s="411"/>
      <c r="AX145" s="493"/>
      <c r="AY145" s="1588" t="s">
        <v>3430</v>
      </c>
      <c r="AZ145" s="1567" t="s">
        <v>291</v>
      </c>
      <c r="BA145" s="2445">
        <f ca="1">+'Data Input sheet'!$D$131</f>
        <v>52</v>
      </c>
      <c r="BB145" s="1579"/>
      <c r="BC145" s="1599"/>
      <c r="BD145" s="1600">
        <v>0</v>
      </c>
      <c r="BE145" s="1579"/>
      <c r="BF145" s="1605">
        <v>0</v>
      </c>
      <c r="BG145" s="426">
        <f>ROUND(+BF145*$BA$144,0)</f>
        <v>0</v>
      </c>
      <c r="BH145" s="1579"/>
      <c r="BI145" s="1605">
        <v>0</v>
      </c>
      <c r="BJ145" s="426">
        <f>ROUND(+BI145*$BA$144,0)</f>
        <v>0</v>
      </c>
      <c r="BK145" s="1666"/>
      <c r="BL145" s="1605">
        <v>0</v>
      </c>
      <c r="BM145" s="426">
        <f>ROUND(+BL145*$BA$144,0)</f>
        <v>0</v>
      </c>
      <c r="BN145" s="1579"/>
      <c r="BO145" s="1605">
        <v>0</v>
      </c>
      <c r="BP145" s="426">
        <f>ROUND(+BO145*$BA$144,0)</f>
        <v>0</v>
      </c>
      <c r="BQ145" s="1579"/>
      <c r="BR145" s="1605">
        <v>0</v>
      </c>
      <c r="BS145" s="426">
        <f>ROUND(+BR145*$BA$144,0)</f>
        <v>0</v>
      </c>
      <c r="BT145" s="1579"/>
      <c r="BU145" s="1605">
        <v>0</v>
      </c>
      <c r="BV145" s="426">
        <f>ROUND(+BU145*$BA$144,0)</f>
        <v>0</v>
      </c>
      <c r="BW145" s="1579"/>
      <c r="BX145" s="1605">
        <v>0</v>
      </c>
      <c r="BY145" s="426">
        <f>ROUND(+BX145*$BA$144,0)</f>
        <v>0</v>
      </c>
      <c r="BZ145" s="1579"/>
      <c r="CA145" s="1605">
        <v>0</v>
      </c>
      <c r="CB145" s="426">
        <f>ROUND(+CA145*$BA$144,0)</f>
        <v>0</v>
      </c>
      <c r="CC145" s="1579"/>
      <c r="CD145" s="1605">
        <v>0</v>
      </c>
      <c r="CE145" s="426">
        <f>ROUND(+CD145*$BA$144,0)</f>
        <v>0</v>
      </c>
      <c r="CF145" s="1579"/>
      <c r="CG145" s="1605">
        <v>0</v>
      </c>
      <c r="CH145" s="426">
        <f>ROUND(+CG145*$BA$144,0)</f>
        <v>0</v>
      </c>
      <c r="CI145" s="1579"/>
      <c r="CJ145" s="1257">
        <f t="shared" ref="CJ145" si="578">+BR145+BO145+BL145+BI145+BF145+BC145+BU145+BX145+CA145+CD145+CG145</f>
        <v>0</v>
      </c>
      <c r="CK145" s="1395">
        <f t="shared" ref="CK145" si="579">+BS145+BP145+BM145+BJ145+BG145+BD145+BV145+BY145+CB145+CE145+CH145</f>
        <v>0</v>
      </c>
      <c r="CL145" s="427"/>
      <c r="CM145" s="170"/>
      <c r="CN145" s="493"/>
      <c r="CO145" s="428" t="str">
        <f t="shared" ref="CO145" si="580">+AY145</f>
        <v>Test / Comm. Engr. Labor (In House)</v>
      </c>
      <c r="CP145" s="429" t="s">
        <v>291</v>
      </c>
      <c r="CQ145" s="501"/>
      <c r="CR145" s="443"/>
      <c r="CS145" s="435">
        <v>0</v>
      </c>
      <c r="CT145" s="431">
        <f t="shared" ref="CT145" si="581">L145-BD145</f>
        <v>0</v>
      </c>
      <c r="CU145" s="443"/>
      <c r="CV145" s="435">
        <v>0</v>
      </c>
      <c r="CW145" s="434">
        <f t="shared" ref="CW145" si="582">ROUND((+BG145*(1+CW$4)),0)-BG145</f>
        <v>0</v>
      </c>
      <c r="CX145" s="443"/>
      <c r="CY145" s="432">
        <v>0</v>
      </c>
      <c r="CZ145" s="434">
        <f t="shared" ref="CZ145" si="583">ROUND((+BJ145*(1+CZ$4)),0)-BJ145</f>
        <v>0</v>
      </c>
      <c r="DA145" s="443"/>
      <c r="DB145" s="432">
        <v>0</v>
      </c>
      <c r="DC145" s="434">
        <f t="shared" ref="DC145" si="584">ROUND((+BM145*(1+DC$4)),0)-BM145</f>
        <v>0</v>
      </c>
      <c r="DD145" s="443"/>
      <c r="DE145" s="432">
        <v>0</v>
      </c>
      <c r="DF145" s="434">
        <f t="shared" ref="DF145" si="585">ROUND((+BP145*(1+DF$4)),0)-BP145</f>
        <v>0</v>
      </c>
      <c r="DG145" s="443"/>
      <c r="DH145" s="432">
        <v>0</v>
      </c>
      <c r="DI145" s="434">
        <f t="shared" ref="DI145" si="586">ROUND((+BS145*(1+DI$4)),0)-BS145</f>
        <v>0</v>
      </c>
      <c r="DJ145" s="443"/>
      <c r="DK145" s="432">
        <v>0</v>
      </c>
      <c r="DL145" s="434">
        <f t="shared" ref="DL145" si="587">ROUND((+BV145*(1+DL$4)),0)-BV145</f>
        <v>0</v>
      </c>
      <c r="DM145" s="443"/>
      <c r="DN145" s="432">
        <v>0</v>
      </c>
      <c r="DO145" s="434">
        <f t="shared" ref="DO145" si="588">ROUND((+BY145*(1+DO$4)),0)-BY145</f>
        <v>0</v>
      </c>
      <c r="DP145" s="443"/>
      <c r="DQ145" s="432">
        <v>0</v>
      </c>
      <c r="DR145" s="434">
        <f t="shared" ref="DR145" si="589">ROUND((+CB145*(1+DR$4)),0)-CB145</f>
        <v>0</v>
      </c>
      <c r="DS145" s="443"/>
      <c r="DT145" s="432">
        <v>0</v>
      </c>
      <c r="DU145" s="434">
        <f t="shared" ref="DU145" si="590">ROUND((+CE145*(1+DU$4)),0)-CE145</f>
        <v>0</v>
      </c>
      <c r="DV145" s="443"/>
      <c r="DW145" s="432">
        <v>0</v>
      </c>
      <c r="DX145" s="434">
        <f t="shared" ref="DX145" si="591">ROUND((+CH145*(1+DX$4)),0)-CH145</f>
        <v>0</v>
      </c>
      <c r="DY145" s="443"/>
      <c r="DZ145" s="432">
        <f t="shared" ref="DZ145" si="592">+DH145+DE145+DB145+CY145+CV145+CS145+DK145+DN145+DQ145+DT145+DW145</f>
        <v>0</v>
      </c>
      <c r="EA145" s="444">
        <f t="shared" ref="EA145" si="593">+DI145+DF145+DC145+CZ145+CW145+CT145+DL145+DO145+DR145+DU145+DX145</f>
        <v>0</v>
      </c>
      <c r="EB145" s="433"/>
      <c r="EC145" s="170"/>
      <c r="ED145" s="170"/>
      <c r="EE145" s="170"/>
      <c r="EF145" s="170"/>
      <c r="EG145" s="170"/>
      <c r="EH145" s="170"/>
      <c r="EI145" s="170"/>
      <c r="EJ145" s="170"/>
      <c r="EK145" s="170"/>
    </row>
    <row r="146" spans="1:141" ht="15" x14ac:dyDescent="0.25">
      <c r="A146" s="170"/>
      <c r="B146" s="424">
        <v>3</v>
      </c>
      <c r="C146" s="424">
        <v>7</v>
      </c>
      <c r="D146" s="424">
        <v>3</v>
      </c>
      <c r="E146" s="425">
        <v>8</v>
      </c>
      <c r="F146" s="493" t="s">
        <v>3188</v>
      </c>
      <c r="G146" s="1308" t="str">
        <f t="shared" si="513"/>
        <v>Lead Commissioning Engr. (LCE) ( internal)</v>
      </c>
      <c r="H146" s="1309" t="s">
        <v>301</v>
      </c>
      <c r="I146" s="1310">
        <f>+BA146</f>
        <v>64</v>
      </c>
      <c r="J146" s="1685"/>
      <c r="K146" s="1311">
        <f>+BC146</f>
        <v>0</v>
      </c>
      <c r="L146" s="1312">
        <f>+BD146</f>
        <v>0</v>
      </c>
      <c r="M146" s="1687"/>
      <c r="N146" s="1717">
        <f t="shared" ref="N146:N154" si="594">BF146</f>
        <v>0</v>
      </c>
      <c r="O146" s="1312">
        <f t="shared" si="515"/>
        <v>0</v>
      </c>
      <c r="P146" s="1685"/>
      <c r="Q146" s="1313">
        <f t="shared" si="516"/>
        <v>0</v>
      </c>
      <c r="R146" s="1312">
        <f t="shared" si="517"/>
        <v>0</v>
      </c>
      <c r="S146" s="1685"/>
      <c r="T146" s="1313">
        <f t="shared" si="518"/>
        <v>0</v>
      </c>
      <c r="U146" s="1312">
        <f t="shared" si="519"/>
        <v>0</v>
      </c>
      <c r="V146" s="1685"/>
      <c r="W146" s="1313">
        <f t="shared" si="520"/>
        <v>0</v>
      </c>
      <c r="X146" s="1312">
        <f t="shared" si="521"/>
        <v>0</v>
      </c>
      <c r="Y146" s="1685"/>
      <c r="Z146" s="1313">
        <f t="shared" si="522"/>
        <v>0</v>
      </c>
      <c r="AA146" s="1312">
        <f t="shared" si="523"/>
        <v>0</v>
      </c>
      <c r="AB146" s="1685"/>
      <c r="AC146" s="1313">
        <f t="shared" si="524"/>
        <v>0</v>
      </c>
      <c r="AD146" s="1312">
        <f t="shared" si="525"/>
        <v>0</v>
      </c>
      <c r="AE146" s="1685"/>
      <c r="AF146" s="1313">
        <f t="shared" si="526"/>
        <v>0</v>
      </c>
      <c r="AG146" s="1312">
        <f t="shared" si="527"/>
        <v>0</v>
      </c>
      <c r="AH146" s="1685"/>
      <c r="AI146" s="1313">
        <f t="shared" si="528"/>
        <v>0</v>
      </c>
      <c r="AJ146" s="1312">
        <f t="shared" si="529"/>
        <v>0</v>
      </c>
      <c r="AK146" s="1685"/>
      <c r="AL146" s="1313">
        <f t="shared" si="530"/>
        <v>0</v>
      </c>
      <c r="AM146" s="1312">
        <f t="shared" si="531"/>
        <v>0</v>
      </c>
      <c r="AN146" s="1685"/>
      <c r="AO146" s="1313">
        <f t="shared" si="532"/>
        <v>0</v>
      </c>
      <c r="AP146" s="1312">
        <f t="shared" si="533"/>
        <v>0</v>
      </c>
      <c r="AQ146" s="1685"/>
      <c r="AR146" s="1313">
        <f t="shared" si="534"/>
        <v>0</v>
      </c>
      <c r="AS146" s="1312">
        <f t="shared" si="535"/>
        <v>0</v>
      </c>
      <c r="AT146" s="1687"/>
      <c r="AU146" s="411"/>
      <c r="AV146" s="1757">
        <f t="shared" si="510"/>
        <v>0</v>
      </c>
      <c r="AW146" s="411"/>
      <c r="AX146" s="493"/>
      <c r="AY146" s="1566" t="s">
        <v>1204</v>
      </c>
      <c r="AZ146" s="1567" t="s">
        <v>291</v>
      </c>
      <c r="BA146" s="2445">
        <f>+'Data Input sheet'!$D$168</f>
        <v>64</v>
      </c>
      <c r="BB146" s="1579"/>
      <c r="BC146" s="1599"/>
      <c r="BD146" s="1600">
        <v>0</v>
      </c>
      <c r="BE146" s="1579"/>
      <c r="BF146" s="1605">
        <v>0</v>
      </c>
      <c r="BG146" s="426">
        <f>ROUND(+BF146*$BA$146,0)</f>
        <v>0</v>
      </c>
      <c r="BH146" s="1579"/>
      <c r="BI146" s="1605">
        <v>0</v>
      </c>
      <c r="BJ146" s="426">
        <f>ROUND(+BI146*$BA$146,0)</f>
        <v>0</v>
      </c>
      <c r="BK146" s="1666"/>
      <c r="BL146" s="1605">
        <v>0</v>
      </c>
      <c r="BM146" s="426">
        <f>ROUND(+BL146*$BA$146,0)</f>
        <v>0</v>
      </c>
      <c r="BN146" s="1579"/>
      <c r="BO146" s="1605">
        <v>0</v>
      </c>
      <c r="BP146" s="426">
        <f>ROUND(+BO146*$BA$146,0)</f>
        <v>0</v>
      </c>
      <c r="BQ146" s="1579"/>
      <c r="BR146" s="1605">
        <v>0</v>
      </c>
      <c r="BS146" s="426">
        <f>ROUND(+BR146*$BA$146,0)</f>
        <v>0</v>
      </c>
      <c r="BT146" s="1579"/>
      <c r="BU146" s="1605">
        <v>0</v>
      </c>
      <c r="BV146" s="426">
        <f>ROUND(+BU146*$BA$146,0)</f>
        <v>0</v>
      </c>
      <c r="BW146" s="1579"/>
      <c r="BX146" s="1605">
        <v>0</v>
      </c>
      <c r="BY146" s="426">
        <f>ROUND(+BX146*$BA$146,0)</f>
        <v>0</v>
      </c>
      <c r="BZ146" s="1579"/>
      <c r="CA146" s="1605">
        <v>0</v>
      </c>
      <c r="CB146" s="426">
        <f>ROUND(+CA146*$BA$146,0)</f>
        <v>0</v>
      </c>
      <c r="CC146" s="1579"/>
      <c r="CD146" s="1605">
        <v>0</v>
      </c>
      <c r="CE146" s="426">
        <f>ROUND(+CD146*$BA$146,0)</f>
        <v>0</v>
      </c>
      <c r="CF146" s="1579"/>
      <c r="CG146" s="1605">
        <v>0</v>
      </c>
      <c r="CH146" s="426">
        <f>ROUND(+CG146*$BA$146,0)</f>
        <v>0</v>
      </c>
      <c r="CI146" s="1579"/>
      <c r="CJ146" s="1257">
        <f t="shared" si="536"/>
        <v>0</v>
      </c>
      <c r="CK146" s="1395">
        <f t="shared" si="537"/>
        <v>0</v>
      </c>
      <c r="CL146" s="427"/>
      <c r="CM146" s="170"/>
      <c r="CN146" s="493"/>
      <c r="CO146" s="428" t="str">
        <f t="shared" si="538"/>
        <v>Lead Commissioning Engr. (LCE) ( internal)</v>
      </c>
      <c r="CP146" s="429" t="s">
        <v>301</v>
      </c>
      <c r="CQ146" s="441"/>
      <c r="CR146" s="443"/>
      <c r="CS146" s="430"/>
      <c r="CT146" s="444">
        <f t="shared" si="539"/>
        <v>0</v>
      </c>
      <c r="CU146" s="443"/>
      <c r="CV146" s="430"/>
      <c r="CW146" s="434">
        <f t="shared" si="540"/>
        <v>0</v>
      </c>
      <c r="CX146" s="443"/>
      <c r="CY146" s="432">
        <v>0</v>
      </c>
      <c r="CZ146" s="434">
        <f t="shared" si="541"/>
        <v>0</v>
      </c>
      <c r="DA146" s="443"/>
      <c r="DB146" s="432">
        <v>0</v>
      </c>
      <c r="DC146" s="434">
        <f t="shared" si="542"/>
        <v>0</v>
      </c>
      <c r="DD146" s="443"/>
      <c r="DE146" s="432">
        <v>0</v>
      </c>
      <c r="DF146" s="434">
        <f t="shared" si="543"/>
        <v>0</v>
      </c>
      <c r="DG146" s="443"/>
      <c r="DH146" s="432">
        <v>0</v>
      </c>
      <c r="DI146" s="434">
        <f t="shared" si="544"/>
        <v>0</v>
      </c>
      <c r="DJ146" s="443"/>
      <c r="DK146" s="432">
        <v>0</v>
      </c>
      <c r="DL146" s="434">
        <f t="shared" si="545"/>
        <v>0</v>
      </c>
      <c r="DM146" s="443"/>
      <c r="DN146" s="432">
        <v>0</v>
      </c>
      <c r="DO146" s="434">
        <f t="shared" si="546"/>
        <v>0</v>
      </c>
      <c r="DP146" s="443"/>
      <c r="DQ146" s="432">
        <v>0</v>
      </c>
      <c r="DR146" s="434">
        <f t="shared" si="547"/>
        <v>0</v>
      </c>
      <c r="DS146" s="443"/>
      <c r="DT146" s="432">
        <v>0</v>
      </c>
      <c r="DU146" s="434">
        <f t="shared" si="548"/>
        <v>0</v>
      </c>
      <c r="DV146" s="443"/>
      <c r="DW146" s="432">
        <v>0</v>
      </c>
      <c r="DX146" s="434">
        <f t="shared" si="549"/>
        <v>0</v>
      </c>
      <c r="DY146" s="443"/>
      <c r="DZ146" s="432">
        <f t="shared" si="550"/>
        <v>0</v>
      </c>
      <c r="EA146" s="444">
        <f t="shared" si="551"/>
        <v>0</v>
      </c>
      <c r="EB146" s="433"/>
      <c r="EC146" s="170"/>
      <c r="ED146" s="170"/>
      <c r="EE146" s="170"/>
      <c r="EF146" s="170"/>
      <c r="EG146" s="170"/>
      <c r="EH146" s="170"/>
      <c r="EI146" s="170"/>
      <c r="EJ146" s="170"/>
      <c r="EK146" s="170"/>
    </row>
    <row r="147" spans="1:141" ht="15" x14ac:dyDescent="0.25">
      <c r="A147" s="170"/>
      <c r="B147" s="424">
        <v>5</v>
      </c>
      <c r="C147" s="424">
        <v>7</v>
      </c>
      <c r="D147" s="424">
        <v>6</v>
      </c>
      <c r="E147" s="425">
        <v>8</v>
      </c>
      <c r="F147" s="493"/>
      <c r="G147" s="1308" t="str">
        <f t="shared" si="513"/>
        <v xml:space="preserve">Employee Expense </v>
      </c>
      <c r="H147" s="1309" t="s">
        <v>298</v>
      </c>
      <c r="I147" s="1310">
        <f t="shared" si="469"/>
        <v>0.1</v>
      </c>
      <c r="J147" s="1685"/>
      <c r="K147" s="1311">
        <f t="shared" si="514"/>
        <v>0</v>
      </c>
      <c r="L147" s="1312">
        <f t="shared" si="514"/>
        <v>0</v>
      </c>
      <c r="M147" s="1685"/>
      <c r="N147" s="1717">
        <f t="shared" si="594"/>
        <v>0</v>
      </c>
      <c r="O147" s="1312">
        <f t="shared" si="515"/>
        <v>0</v>
      </c>
      <c r="P147" s="1685"/>
      <c r="Q147" s="1313">
        <f t="shared" si="516"/>
        <v>0</v>
      </c>
      <c r="R147" s="1312">
        <f t="shared" si="517"/>
        <v>0</v>
      </c>
      <c r="S147" s="1685"/>
      <c r="T147" s="1313">
        <f t="shared" si="518"/>
        <v>0</v>
      </c>
      <c r="U147" s="1312">
        <f t="shared" si="519"/>
        <v>0</v>
      </c>
      <c r="V147" s="1685"/>
      <c r="W147" s="1313">
        <f t="shared" si="520"/>
        <v>0</v>
      </c>
      <c r="X147" s="1312">
        <f t="shared" si="521"/>
        <v>0</v>
      </c>
      <c r="Y147" s="1685"/>
      <c r="Z147" s="1313">
        <f t="shared" si="522"/>
        <v>0</v>
      </c>
      <c r="AA147" s="1312">
        <f t="shared" si="523"/>
        <v>0</v>
      </c>
      <c r="AB147" s="1685"/>
      <c r="AC147" s="1313">
        <f t="shared" si="524"/>
        <v>0</v>
      </c>
      <c r="AD147" s="1312">
        <f t="shared" si="525"/>
        <v>0</v>
      </c>
      <c r="AE147" s="1685"/>
      <c r="AF147" s="1313">
        <f t="shared" si="526"/>
        <v>0</v>
      </c>
      <c r="AG147" s="1312">
        <f t="shared" si="527"/>
        <v>0</v>
      </c>
      <c r="AH147" s="1685"/>
      <c r="AI147" s="1313">
        <f t="shared" si="528"/>
        <v>0</v>
      </c>
      <c r="AJ147" s="1312">
        <f t="shared" si="529"/>
        <v>0</v>
      </c>
      <c r="AK147" s="1685"/>
      <c r="AL147" s="1313">
        <f t="shared" si="530"/>
        <v>0</v>
      </c>
      <c r="AM147" s="1312">
        <f t="shared" si="531"/>
        <v>0</v>
      </c>
      <c r="AN147" s="1685"/>
      <c r="AO147" s="1313">
        <f t="shared" si="532"/>
        <v>0</v>
      </c>
      <c r="AP147" s="1312">
        <f t="shared" si="533"/>
        <v>0</v>
      </c>
      <c r="AQ147" s="1685"/>
      <c r="AR147" s="1313"/>
      <c r="AS147" s="1312">
        <f>ROUND(((AS144+AS146)*$BA147),0)</f>
        <v>0</v>
      </c>
      <c r="AT147" s="1687"/>
      <c r="AU147" s="411"/>
      <c r="AV147" s="1757">
        <f t="shared" si="510"/>
        <v>0</v>
      </c>
      <c r="AW147" s="411"/>
      <c r="AX147" s="493"/>
      <c r="AY147" s="1588" t="s">
        <v>365</v>
      </c>
      <c r="AZ147" s="1567" t="s">
        <v>298</v>
      </c>
      <c r="BA147" s="499">
        <v>0.1</v>
      </c>
      <c r="BB147" s="1579"/>
      <c r="BC147" s="1599"/>
      <c r="BD147" s="1600">
        <v>0</v>
      </c>
      <c r="BE147" s="1579"/>
      <c r="BF147" s="1469"/>
      <c r="BG147" s="1229">
        <f>ROUND(((BG144+BG146)*$BA147),0)</f>
        <v>0</v>
      </c>
      <c r="BH147" s="1579"/>
      <c r="BI147" s="1469"/>
      <c r="BJ147" s="1229">
        <f>ROUND(((BJ144+BJ146)*$BA147),0)</f>
        <v>0</v>
      </c>
      <c r="BK147" s="1666"/>
      <c r="BL147" s="1469"/>
      <c r="BM147" s="1229">
        <f>ROUND(((BM144+BM146)*$BA147),0)</f>
        <v>0</v>
      </c>
      <c r="BN147" s="1579"/>
      <c r="BO147" s="1469"/>
      <c r="BP147" s="1229">
        <f>ROUND(((BP144+BP146)*$BA147),0)</f>
        <v>0</v>
      </c>
      <c r="BQ147" s="1579"/>
      <c r="BR147" s="1469"/>
      <c r="BS147" s="1229">
        <f>ROUND(((BS144+BS146)*$BA147),0)</f>
        <v>0</v>
      </c>
      <c r="BT147" s="1579"/>
      <c r="BU147" s="1469"/>
      <c r="BV147" s="1229">
        <f>ROUND(((BV144+BV146)*$BA147),0)</f>
        <v>0</v>
      </c>
      <c r="BW147" s="1579"/>
      <c r="BX147" s="1469"/>
      <c r="BY147" s="1229">
        <f>ROUND(((BY144+BY146)*$BA147),0)</f>
        <v>0</v>
      </c>
      <c r="BZ147" s="1579"/>
      <c r="CA147" s="1469"/>
      <c r="CB147" s="1229">
        <f>ROUND(((CB144+CB146)*$BA147),0)</f>
        <v>0</v>
      </c>
      <c r="CC147" s="1579"/>
      <c r="CD147" s="1469"/>
      <c r="CE147" s="1229">
        <f>ROUND(((CE144+CE146)*$BA147),0)</f>
        <v>0</v>
      </c>
      <c r="CF147" s="1579"/>
      <c r="CG147" s="1469"/>
      <c r="CH147" s="1229">
        <f>ROUND(((CH144+CH146)*$BA147),0)</f>
        <v>0</v>
      </c>
      <c r="CI147" s="1579"/>
      <c r="CJ147" s="1469"/>
      <c r="CK147" s="1229">
        <f>ROUND(((CK144+CK146)*$BA147),0)</f>
        <v>0</v>
      </c>
      <c r="CL147" s="427"/>
      <c r="CM147" s="170"/>
      <c r="CN147" s="493"/>
      <c r="CO147" s="428" t="str">
        <f t="shared" si="538"/>
        <v xml:space="preserve">Employee Expense </v>
      </c>
      <c r="CP147" s="429" t="s">
        <v>298</v>
      </c>
      <c r="CQ147" s="501"/>
      <c r="CR147" s="443"/>
      <c r="CS147" s="432"/>
      <c r="CT147" s="431">
        <f t="shared" si="539"/>
        <v>0</v>
      </c>
      <c r="CU147" s="443"/>
      <c r="CV147" s="432"/>
      <c r="CW147" s="434">
        <f t="shared" si="540"/>
        <v>0</v>
      </c>
      <c r="CX147" s="443"/>
      <c r="CY147" s="432">
        <v>0</v>
      </c>
      <c r="CZ147" s="434">
        <f t="shared" si="541"/>
        <v>0</v>
      </c>
      <c r="DA147" s="443"/>
      <c r="DB147" s="432">
        <v>0</v>
      </c>
      <c r="DC147" s="434">
        <f t="shared" si="542"/>
        <v>0</v>
      </c>
      <c r="DD147" s="443"/>
      <c r="DE147" s="432">
        <v>0</v>
      </c>
      <c r="DF147" s="434">
        <f t="shared" si="543"/>
        <v>0</v>
      </c>
      <c r="DG147" s="443"/>
      <c r="DH147" s="432">
        <v>0</v>
      </c>
      <c r="DI147" s="434">
        <f t="shared" si="544"/>
        <v>0</v>
      </c>
      <c r="DJ147" s="443"/>
      <c r="DK147" s="432">
        <v>0</v>
      </c>
      <c r="DL147" s="434">
        <f t="shared" si="545"/>
        <v>0</v>
      </c>
      <c r="DM147" s="443"/>
      <c r="DN147" s="432">
        <v>0</v>
      </c>
      <c r="DO147" s="434">
        <f t="shared" si="546"/>
        <v>0</v>
      </c>
      <c r="DP147" s="443"/>
      <c r="DQ147" s="432">
        <v>0</v>
      </c>
      <c r="DR147" s="434">
        <f t="shared" si="547"/>
        <v>0</v>
      </c>
      <c r="DS147" s="443"/>
      <c r="DT147" s="432">
        <v>0</v>
      </c>
      <c r="DU147" s="434">
        <f t="shared" si="548"/>
        <v>0</v>
      </c>
      <c r="DV147" s="443"/>
      <c r="DW147" s="432">
        <v>0</v>
      </c>
      <c r="DX147" s="434">
        <f t="shared" si="549"/>
        <v>0</v>
      </c>
      <c r="DY147" s="443"/>
      <c r="DZ147" s="432"/>
      <c r="EA147" s="444">
        <f>ROUND(((EA144+EA146)*$BA147),0)</f>
        <v>0</v>
      </c>
      <c r="EB147" s="433"/>
      <c r="EC147" s="170"/>
      <c r="ED147" s="170"/>
      <c r="EE147" s="170"/>
      <c r="EF147" s="170"/>
      <c r="EG147" s="170"/>
      <c r="EH147" s="170"/>
      <c r="EI147" s="170"/>
      <c r="EJ147" s="170"/>
      <c r="EK147" s="170"/>
    </row>
    <row r="148" spans="1:141" ht="25.5" x14ac:dyDescent="0.25">
      <c r="A148" s="170"/>
      <c r="B148" s="424">
        <v>3</v>
      </c>
      <c r="C148" s="424">
        <v>7</v>
      </c>
      <c r="D148" s="424">
        <v>3</v>
      </c>
      <c r="E148" s="425">
        <v>8</v>
      </c>
      <c r="F148" s="493" t="s">
        <v>605</v>
      </c>
      <c r="G148" s="1308" t="str">
        <f t="shared" si="513"/>
        <v>Test / Field Engr. Labor (contractor)</v>
      </c>
      <c r="H148" s="1309" t="s">
        <v>301</v>
      </c>
      <c r="I148" s="1310">
        <f t="shared" si="469"/>
        <v>191</v>
      </c>
      <c r="J148" s="1685"/>
      <c r="K148" s="1311">
        <f t="shared" si="514"/>
        <v>0</v>
      </c>
      <c r="L148" s="1312">
        <f t="shared" si="514"/>
        <v>0</v>
      </c>
      <c r="M148" s="1687"/>
      <c r="N148" s="1717">
        <f t="shared" si="594"/>
        <v>0</v>
      </c>
      <c r="O148" s="1312">
        <f t="shared" si="515"/>
        <v>0</v>
      </c>
      <c r="P148" s="1685"/>
      <c r="Q148" s="1313">
        <f t="shared" si="516"/>
        <v>0</v>
      </c>
      <c r="R148" s="1312">
        <f t="shared" si="517"/>
        <v>0</v>
      </c>
      <c r="S148" s="1685"/>
      <c r="T148" s="1313">
        <f t="shared" si="518"/>
        <v>0</v>
      </c>
      <c r="U148" s="1312">
        <f t="shared" si="519"/>
        <v>0</v>
      </c>
      <c r="V148" s="1685"/>
      <c r="W148" s="1313">
        <f t="shared" si="520"/>
        <v>1000</v>
      </c>
      <c r="X148" s="1312">
        <f t="shared" si="521"/>
        <v>214829</v>
      </c>
      <c r="Y148" s="1685"/>
      <c r="Z148" s="1313">
        <f t="shared" si="522"/>
        <v>2200</v>
      </c>
      <c r="AA148" s="1312">
        <f t="shared" si="523"/>
        <v>486803</v>
      </c>
      <c r="AB148" s="1685"/>
      <c r="AC148" s="1313">
        <f t="shared" si="524"/>
        <v>0</v>
      </c>
      <c r="AD148" s="1312">
        <f t="shared" si="525"/>
        <v>0</v>
      </c>
      <c r="AE148" s="1685"/>
      <c r="AF148" s="1313">
        <f t="shared" si="526"/>
        <v>0</v>
      </c>
      <c r="AG148" s="1312">
        <f t="shared" si="527"/>
        <v>0</v>
      </c>
      <c r="AH148" s="1685"/>
      <c r="AI148" s="1313">
        <f t="shared" si="528"/>
        <v>0</v>
      </c>
      <c r="AJ148" s="1312">
        <f t="shared" si="529"/>
        <v>0</v>
      </c>
      <c r="AK148" s="1685"/>
      <c r="AL148" s="1313">
        <f t="shared" si="530"/>
        <v>0</v>
      </c>
      <c r="AM148" s="1312">
        <f t="shared" si="531"/>
        <v>0</v>
      </c>
      <c r="AN148" s="1685"/>
      <c r="AO148" s="1313">
        <f t="shared" si="532"/>
        <v>0</v>
      </c>
      <c r="AP148" s="1312">
        <f t="shared" si="533"/>
        <v>0</v>
      </c>
      <c r="AQ148" s="1685"/>
      <c r="AR148" s="1313">
        <f t="shared" ref="AR148:AR151" si="595">+Z148+W148+T148+Q148+N148+K148+AC148+AF148+AI148+AL148+AO148</f>
        <v>3200</v>
      </c>
      <c r="AS148" s="1312">
        <f t="shared" ref="AS148:AS151" si="596">+AA148+X148+U148+R148+O148+L148+AD148+AG148+AJ148+AM148+AP148</f>
        <v>701632</v>
      </c>
      <c r="AT148" s="1687"/>
      <c r="AU148" s="411"/>
      <c r="AV148" s="1757">
        <f t="shared" si="510"/>
        <v>701632</v>
      </c>
      <c r="AW148" s="411"/>
      <c r="AX148" s="493"/>
      <c r="AY148" s="1588" t="s">
        <v>1203</v>
      </c>
      <c r="AZ148" s="1567" t="s">
        <v>301</v>
      </c>
      <c r="BA148" s="2445">
        <f>+'Data Input sheet'!$D$174</f>
        <v>191</v>
      </c>
      <c r="BB148" s="1579"/>
      <c r="BC148" s="1599"/>
      <c r="BD148" s="1600">
        <v>0</v>
      </c>
      <c r="BE148" s="1579"/>
      <c r="BF148" s="1605">
        <v>0</v>
      </c>
      <c r="BG148" s="426">
        <f>ROUND(+BF148*$BA$148,0)</f>
        <v>0</v>
      </c>
      <c r="BH148" s="1579"/>
      <c r="BI148" s="1605">
        <v>0</v>
      </c>
      <c r="BJ148" s="426">
        <f>ROUND(+BI148*$BA$148,0)</f>
        <v>0</v>
      </c>
      <c r="BK148" s="1666"/>
      <c r="BL148" s="1605">
        <v>0</v>
      </c>
      <c r="BM148" s="426">
        <f>ROUND(+BL148*$BA$148,0)</f>
        <v>0</v>
      </c>
      <c r="BN148" s="1579"/>
      <c r="BO148" s="1605">
        <v>1000</v>
      </c>
      <c r="BP148" s="426">
        <f>ROUND(+BO148*$BA$148,0)</f>
        <v>191000</v>
      </c>
      <c r="BQ148" s="1579"/>
      <c r="BR148" s="1605">
        <v>2200</v>
      </c>
      <c r="BS148" s="426">
        <f>ROUND(+BR148*$BA$148,0)</f>
        <v>420200</v>
      </c>
      <c r="BT148" s="1579"/>
      <c r="BU148" s="1605">
        <v>0</v>
      </c>
      <c r="BV148" s="426">
        <f>ROUND(+BU148*$BA$148,0)</f>
        <v>0</v>
      </c>
      <c r="BW148" s="1579"/>
      <c r="BX148" s="1605">
        <v>0</v>
      </c>
      <c r="BY148" s="426">
        <f>ROUND(+BX148*$BA$148,0)</f>
        <v>0</v>
      </c>
      <c r="BZ148" s="1579"/>
      <c r="CA148" s="1605">
        <v>0</v>
      </c>
      <c r="CB148" s="426">
        <f>ROUND(+CA148*$BA$148,0)</f>
        <v>0</v>
      </c>
      <c r="CC148" s="1579"/>
      <c r="CD148" s="1605">
        <v>0</v>
      </c>
      <c r="CE148" s="426">
        <f>ROUND(+CD148*$BA$148,0)</f>
        <v>0</v>
      </c>
      <c r="CF148" s="1579"/>
      <c r="CG148" s="1605">
        <v>0</v>
      </c>
      <c r="CH148" s="426">
        <f>ROUND(+CG148*$BA$148,0)</f>
        <v>0</v>
      </c>
      <c r="CI148" s="1579"/>
      <c r="CJ148" s="1257">
        <f t="shared" ref="CJ148:CJ151" si="597">+BR148+BO148+BL148+BI148+BF148+BC148+BU148+BX148+CA148+CD148+CG148</f>
        <v>3200</v>
      </c>
      <c r="CK148" s="1395">
        <f t="shared" ref="CK148:CK151" si="598">+BS148+BP148+BM148+BJ148+BG148+BD148+BV148+BY148+CB148+CE148+CH148</f>
        <v>611200</v>
      </c>
      <c r="CL148" s="427" t="s">
        <v>3697</v>
      </c>
      <c r="CM148" s="170"/>
      <c r="CN148" s="493"/>
      <c r="CO148" s="428" t="str">
        <f t="shared" si="538"/>
        <v>Test / Field Engr. Labor (contractor)</v>
      </c>
      <c r="CP148" s="429" t="s">
        <v>301</v>
      </c>
      <c r="CQ148" s="441"/>
      <c r="CR148" s="443"/>
      <c r="CS148" s="430"/>
      <c r="CT148" s="444">
        <f t="shared" si="539"/>
        <v>0</v>
      </c>
      <c r="CU148" s="443"/>
      <c r="CV148" s="430"/>
      <c r="CW148" s="434">
        <f t="shared" si="540"/>
        <v>0</v>
      </c>
      <c r="CX148" s="443"/>
      <c r="CY148" s="432">
        <v>0</v>
      </c>
      <c r="CZ148" s="434">
        <f t="shared" si="541"/>
        <v>0</v>
      </c>
      <c r="DA148" s="443"/>
      <c r="DB148" s="432">
        <v>0</v>
      </c>
      <c r="DC148" s="434">
        <f t="shared" si="542"/>
        <v>0</v>
      </c>
      <c r="DD148" s="443"/>
      <c r="DE148" s="432">
        <v>0</v>
      </c>
      <c r="DF148" s="434">
        <f t="shared" si="543"/>
        <v>23829</v>
      </c>
      <c r="DG148" s="443"/>
      <c r="DH148" s="432">
        <v>0</v>
      </c>
      <c r="DI148" s="434">
        <f t="shared" si="544"/>
        <v>66603</v>
      </c>
      <c r="DJ148" s="443"/>
      <c r="DK148" s="432">
        <v>0</v>
      </c>
      <c r="DL148" s="434">
        <f t="shared" si="545"/>
        <v>0</v>
      </c>
      <c r="DM148" s="443"/>
      <c r="DN148" s="432">
        <v>0</v>
      </c>
      <c r="DO148" s="434">
        <f t="shared" si="546"/>
        <v>0</v>
      </c>
      <c r="DP148" s="443"/>
      <c r="DQ148" s="432">
        <v>0</v>
      </c>
      <c r="DR148" s="434">
        <f t="shared" si="547"/>
        <v>0</v>
      </c>
      <c r="DS148" s="443"/>
      <c r="DT148" s="432">
        <v>0</v>
      </c>
      <c r="DU148" s="434">
        <f t="shared" si="548"/>
        <v>0</v>
      </c>
      <c r="DV148" s="443"/>
      <c r="DW148" s="432">
        <v>0</v>
      </c>
      <c r="DX148" s="434">
        <f t="shared" si="549"/>
        <v>0</v>
      </c>
      <c r="DY148" s="443"/>
      <c r="DZ148" s="432">
        <f t="shared" ref="DZ148:DZ151" si="599">+DH148+DE148+DB148+CY148+CV148+CS148+DK148+DN148+DQ148+DT148+DW148</f>
        <v>0</v>
      </c>
      <c r="EA148" s="444">
        <f t="shared" ref="EA148:EA151" si="600">+DI148+DF148+DC148+CZ148+CW148+CT148+DL148+DO148+DR148+DU148+DX148</f>
        <v>90432</v>
      </c>
      <c r="EB148" s="433"/>
      <c r="EC148" s="170"/>
      <c r="ED148" s="170"/>
      <c r="EE148" s="170"/>
      <c r="EF148" s="170"/>
      <c r="EG148" s="170"/>
      <c r="EH148" s="170"/>
      <c r="EI148" s="170"/>
      <c r="EJ148" s="170"/>
      <c r="EK148" s="170"/>
    </row>
    <row r="149" spans="1:141" ht="15" x14ac:dyDescent="0.25">
      <c r="A149" s="170"/>
      <c r="B149" s="424">
        <v>3</v>
      </c>
      <c r="C149" s="424">
        <v>7</v>
      </c>
      <c r="D149" s="424">
        <v>3</v>
      </c>
      <c r="E149" s="425">
        <v>8</v>
      </c>
      <c r="F149" s="493" t="s">
        <v>605</v>
      </c>
      <c r="G149" s="1308" t="str">
        <f t="shared" ref="G149" si="601">+AY149</f>
        <v>Test / Comm. Engr. Labor (contractor)</v>
      </c>
      <c r="H149" s="1309" t="s">
        <v>301</v>
      </c>
      <c r="I149" s="1310">
        <f t="shared" ref="I149" si="602">+BA149</f>
        <v>191</v>
      </c>
      <c r="J149" s="1685"/>
      <c r="K149" s="1311">
        <f t="shared" ref="K149" si="603">+BC149</f>
        <v>0</v>
      </c>
      <c r="L149" s="1312">
        <f t="shared" ref="L149" si="604">+BD149</f>
        <v>0</v>
      </c>
      <c r="M149" s="1687"/>
      <c r="N149" s="1717">
        <f t="shared" ref="N149" si="605">BF149</f>
        <v>0</v>
      </c>
      <c r="O149" s="1312">
        <f t="shared" ref="O149" si="606">+BG149+CW149</f>
        <v>0</v>
      </c>
      <c r="P149" s="1685"/>
      <c r="Q149" s="1313">
        <f t="shared" ref="Q149" si="607">+BI149</f>
        <v>0</v>
      </c>
      <c r="R149" s="1312">
        <f t="shared" ref="R149" si="608">+BJ149+CZ149</f>
        <v>0</v>
      </c>
      <c r="S149" s="1685"/>
      <c r="T149" s="1313">
        <f t="shared" ref="T149" si="609">+BL149</f>
        <v>0</v>
      </c>
      <c r="U149" s="1312">
        <f t="shared" ref="U149" si="610">+BM149+DC149</f>
        <v>0</v>
      </c>
      <c r="V149" s="1685"/>
      <c r="W149" s="1313">
        <f t="shared" ref="W149" si="611">+BO149</f>
        <v>450</v>
      </c>
      <c r="X149" s="1312">
        <f t="shared" ref="X149" si="612">+BP149+DF149</f>
        <v>96673</v>
      </c>
      <c r="Y149" s="1685"/>
      <c r="Z149" s="1313">
        <f t="shared" ref="Z149" si="613">+BR149</f>
        <v>1200</v>
      </c>
      <c r="AA149" s="1312">
        <f t="shared" ref="AA149" si="614">+BS149+DI149</f>
        <v>265529</v>
      </c>
      <c r="AB149" s="1685"/>
      <c r="AC149" s="1313">
        <f t="shared" ref="AC149" si="615">+BU149</f>
        <v>0</v>
      </c>
      <c r="AD149" s="1312">
        <f t="shared" ref="AD149" si="616">+BV149+DL149</f>
        <v>0</v>
      </c>
      <c r="AE149" s="1685"/>
      <c r="AF149" s="1313">
        <f t="shared" ref="AF149" si="617">+BX149</f>
        <v>0</v>
      </c>
      <c r="AG149" s="1312">
        <f t="shared" ref="AG149" si="618">+BY149+DO149</f>
        <v>0</v>
      </c>
      <c r="AH149" s="1685"/>
      <c r="AI149" s="1313">
        <f t="shared" ref="AI149" si="619">+CA149</f>
        <v>0</v>
      </c>
      <c r="AJ149" s="1312">
        <f t="shared" ref="AJ149" si="620">+CB149+DR149</f>
        <v>0</v>
      </c>
      <c r="AK149" s="1685"/>
      <c r="AL149" s="1313">
        <f t="shared" ref="AL149" si="621">+CD149</f>
        <v>0</v>
      </c>
      <c r="AM149" s="1312">
        <f t="shared" ref="AM149" si="622">+CE149+DU149</f>
        <v>0</v>
      </c>
      <c r="AN149" s="1685"/>
      <c r="AO149" s="1313">
        <f t="shared" ref="AO149" si="623">+CG149</f>
        <v>0</v>
      </c>
      <c r="AP149" s="1312">
        <f t="shared" ref="AP149" si="624">+CH149+DX149</f>
        <v>0</v>
      </c>
      <c r="AQ149" s="1685"/>
      <c r="AR149" s="1313">
        <f t="shared" ref="AR149" si="625">+Z149+W149+T149+Q149+N149+K149+AC149+AF149+AI149+AL149+AO149</f>
        <v>1650</v>
      </c>
      <c r="AS149" s="1312">
        <f t="shared" ref="AS149" si="626">+AA149+X149+U149+R149+O149+L149+AD149+AG149+AJ149+AM149+AP149</f>
        <v>362202</v>
      </c>
      <c r="AT149" s="1687"/>
      <c r="AU149" s="411"/>
      <c r="AV149" s="1757">
        <f t="shared" ref="AV149" si="627">+CK149+EA149</f>
        <v>362202</v>
      </c>
      <c r="AW149" s="411"/>
      <c r="AX149" s="493"/>
      <c r="AY149" s="1588" t="s">
        <v>3431</v>
      </c>
      <c r="AZ149" s="1567" t="s">
        <v>301</v>
      </c>
      <c r="BA149" s="2445">
        <f>+'Data Input sheet'!$D$174</f>
        <v>191</v>
      </c>
      <c r="BB149" s="1579"/>
      <c r="BC149" s="1599"/>
      <c r="BD149" s="1600">
        <v>0</v>
      </c>
      <c r="BE149" s="1579"/>
      <c r="BF149" s="1605">
        <v>0</v>
      </c>
      <c r="BG149" s="426">
        <f>ROUND(+BF149*$BA$148,0)</f>
        <v>0</v>
      </c>
      <c r="BH149" s="1579"/>
      <c r="BI149" s="1605">
        <v>0</v>
      </c>
      <c r="BJ149" s="426">
        <f>ROUND(+BI149*$BA$148,0)</f>
        <v>0</v>
      </c>
      <c r="BK149" s="1666"/>
      <c r="BL149" s="1605">
        <v>0</v>
      </c>
      <c r="BM149" s="426">
        <f>ROUND(+BL149*$BA$148,0)</f>
        <v>0</v>
      </c>
      <c r="BN149" s="1579"/>
      <c r="BO149" s="1605">
        <v>450</v>
      </c>
      <c r="BP149" s="426">
        <f>ROUND(+BO149*$BA$148,0)</f>
        <v>85950</v>
      </c>
      <c r="BQ149" s="1579"/>
      <c r="BR149" s="1605">
        <v>1200</v>
      </c>
      <c r="BS149" s="426">
        <f>ROUND(+BR149*$BA$148,0)</f>
        <v>229200</v>
      </c>
      <c r="BT149" s="1579"/>
      <c r="BU149" s="1605">
        <v>0</v>
      </c>
      <c r="BV149" s="426">
        <f>ROUND(+BU149*$BA$148,0)</f>
        <v>0</v>
      </c>
      <c r="BW149" s="1579"/>
      <c r="BX149" s="1605">
        <v>0</v>
      </c>
      <c r="BY149" s="426">
        <f>ROUND(+BX149*$BA$148,0)</f>
        <v>0</v>
      </c>
      <c r="BZ149" s="1579"/>
      <c r="CA149" s="1605">
        <v>0</v>
      </c>
      <c r="CB149" s="426">
        <f>ROUND(+CA149*$BA$148,0)</f>
        <v>0</v>
      </c>
      <c r="CC149" s="1579"/>
      <c r="CD149" s="1605">
        <v>0</v>
      </c>
      <c r="CE149" s="426">
        <f>ROUND(+CD149*$BA$148,0)</f>
        <v>0</v>
      </c>
      <c r="CF149" s="1579"/>
      <c r="CG149" s="1605">
        <v>0</v>
      </c>
      <c r="CH149" s="426">
        <f>ROUND(+CG149*$BA$148,0)</f>
        <v>0</v>
      </c>
      <c r="CI149" s="1579"/>
      <c r="CJ149" s="1257">
        <f t="shared" ref="CJ149" si="628">+BR149+BO149+BL149+BI149+BF149+BC149+BU149+BX149+CA149+CD149+CG149</f>
        <v>1650</v>
      </c>
      <c r="CK149" s="1395">
        <f t="shared" ref="CK149" si="629">+BS149+BP149+BM149+BJ149+BG149+BD149+BV149+BY149+CB149+CE149+CH149</f>
        <v>315150</v>
      </c>
      <c r="CL149" s="427" t="s">
        <v>3761</v>
      </c>
      <c r="CM149" s="170"/>
      <c r="CN149" s="493"/>
      <c r="CO149" s="428" t="str">
        <f t="shared" ref="CO149" si="630">+AY149</f>
        <v>Test / Comm. Engr. Labor (contractor)</v>
      </c>
      <c r="CP149" s="429" t="s">
        <v>301</v>
      </c>
      <c r="CQ149" s="441"/>
      <c r="CR149" s="443"/>
      <c r="CS149" s="430"/>
      <c r="CT149" s="444">
        <f t="shared" ref="CT149" si="631">L149-BD149</f>
        <v>0</v>
      </c>
      <c r="CU149" s="443"/>
      <c r="CV149" s="430"/>
      <c r="CW149" s="434">
        <f t="shared" ref="CW149" si="632">ROUND((+BG149*(1+CW$4)),0)-BG149</f>
        <v>0</v>
      </c>
      <c r="CX149" s="443"/>
      <c r="CY149" s="432">
        <v>0</v>
      </c>
      <c r="CZ149" s="434">
        <f t="shared" ref="CZ149" si="633">ROUND((+BJ149*(1+CZ$4)),0)-BJ149</f>
        <v>0</v>
      </c>
      <c r="DA149" s="443"/>
      <c r="DB149" s="432">
        <v>0</v>
      </c>
      <c r="DC149" s="434">
        <f t="shared" ref="DC149" si="634">ROUND((+BM149*(1+DC$4)),0)-BM149</f>
        <v>0</v>
      </c>
      <c r="DD149" s="443"/>
      <c r="DE149" s="432">
        <v>0</v>
      </c>
      <c r="DF149" s="434">
        <f t="shared" ref="DF149" si="635">ROUND((+BP149*(1+DF$4)),0)-BP149</f>
        <v>10723</v>
      </c>
      <c r="DG149" s="443"/>
      <c r="DH149" s="432">
        <v>0</v>
      </c>
      <c r="DI149" s="434">
        <f t="shared" ref="DI149" si="636">ROUND((+BS149*(1+DI$4)),0)-BS149</f>
        <v>36329</v>
      </c>
      <c r="DJ149" s="443"/>
      <c r="DK149" s="432">
        <v>0</v>
      </c>
      <c r="DL149" s="434">
        <f t="shared" ref="DL149" si="637">ROUND((+BV149*(1+DL$4)),0)-BV149</f>
        <v>0</v>
      </c>
      <c r="DM149" s="443"/>
      <c r="DN149" s="432">
        <v>0</v>
      </c>
      <c r="DO149" s="434">
        <f t="shared" ref="DO149" si="638">ROUND((+BY149*(1+DO$4)),0)-BY149</f>
        <v>0</v>
      </c>
      <c r="DP149" s="443"/>
      <c r="DQ149" s="432">
        <v>0</v>
      </c>
      <c r="DR149" s="434">
        <f t="shared" ref="DR149" si="639">ROUND((+CB149*(1+DR$4)),0)-CB149</f>
        <v>0</v>
      </c>
      <c r="DS149" s="443"/>
      <c r="DT149" s="432">
        <v>0</v>
      </c>
      <c r="DU149" s="434">
        <f t="shared" ref="DU149" si="640">ROUND((+CE149*(1+DU$4)),0)-CE149</f>
        <v>0</v>
      </c>
      <c r="DV149" s="443"/>
      <c r="DW149" s="432">
        <v>0</v>
      </c>
      <c r="DX149" s="434">
        <f t="shared" ref="DX149" si="641">ROUND((+CH149*(1+DX$4)),0)-CH149</f>
        <v>0</v>
      </c>
      <c r="DY149" s="443"/>
      <c r="DZ149" s="432">
        <f t="shared" ref="DZ149" si="642">+DH149+DE149+DB149+CY149+CV149+CS149+DK149+DN149+DQ149+DT149+DW149</f>
        <v>0</v>
      </c>
      <c r="EA149" s="444">
        <f t="shared" ref="EA149" si="643">+DI149+DF149+DC149+CZ149+CW149+CT149+DL149+DO149+DR149+DU149+DX149</f>
        <v>47052</v>
      </c>
      <c r="EB149" s="433"/>
      <c r="EC149" s="170"/>
      <c r="ED149" s="170"/>
      <c r="EE149" s="170"/>
      <c r="EF149" s="170"/>
      <c r="EG149" s="170"/>
      <c r="EH149" s="170"/>
      <c r="EI149" s="170"/>
      <c r="EJ149" s="170"/>
      <c r="EK149" s="170"/>
    </row>
    <row r="150" spans="1:141" ht="15" x14ac:dyDescent="0.25">
      <c r="A150" s="170"/>
      <c r="B150" s="424">
        <v>3</v>
      </c>
      <c r="C150" s="424">
        <v>7</v>
      </c>
      <c r="D150" s="424">
        <v>3</v>
      </c>
      <c r="E150" s="425">
        <v>8</v>
      </c>
      <c r="F150" s="493" t="s">
        <v>605</v>
      </c>
      <c r="G150" s="1308" t="str">
        <f t="shared" si="513"/>
        <v>Lead Commissioning Engr. (LCE) (contactor)</v>
      </c>
      <c r="H150" s="1309" t="s">
        <v>301</v>
      </c>
      <c r="I150" s="1310">
        <f t="shared" si="469"/>
        <v>220</v>
      </c>
      <c r="J150" s="1685"/>
      <c r="K150" s="1311">
        <f t="shared" si="514"/>
        <v>0</v>
      </c>
      <c r="L150" s="1312">
        <f t="shared" si="514"/>
        <v>0</v>
      </c>
      <c r="M150" s="1687"/>
      <c r="N150" s="1717">
        <f t="shared" si="594"/>
        <v>0</v>
      </c>
      <c r="O150" s="1312">
        <f t="shared" si="515"/>
        <v>0</v>
      </c>
      <c r="P150" s="1685"/>
      <c r="Q150" s="1313">
        <f t="shared" si="516"/>
        <v>0</v>
      </c>
      <c r="R150" s="1312">
        <f t="shared" si="517"/>
        <v>0</v>
      </c>
      <c r="S150" s="1685"/>
      <c r="T150" s="1313">
        <f t="shared" si="518"/>
        <v>0</v>
      </c>
      <c r="U150" s="1312">
        <f t="shared" si="519"/>
        <v>0</v>
      </c>
      <c r="V150" s="1685"/>
      <c r="W150" s="1313">
        <f t="shared" si="520"/>
        <v>0</v>
      </c>
      <c r="X150" s="1312">
        <f t="shared" si="521"/>
        <v>0</v>
      </c>
      <c r="Y150" s="1685"/>
      <c r="Z150" s="1313">
        <f t="shared" si="522"/>
        <v>0</v>
      </c>
      <c r="AA150" s="1312">
        <f t="shared" si="523"/>
        <v>0</v>
      </c>
      <c r="AB150" s="1685"/>
      <c r="AC150" s="1313">
        <f t="shared" si="524"/>
        <v>0</v>
      </c>
      <c r="AD150" s="1312">
        <f t="shared" si="525"/>
        <v>0</v>
      </c>
      <c r="AE150" s="1685"/>
      <c r="AF150" s="1313">
        <f t="shared" si="526"/>
        <v>0</v>
      </c>
      <c r="AG150" s="1312">
        <f t="shared" si="527"/>
        <v>0</v>
      </c>
      <c r="AH150" s="1685"/>
      <c r="AI150" s="1313">
        <f t="shared" si="528"/>
        <v>0</v>
      </c>
      <c r="AJ150" s="1312">
        <f t="shared" si="529"/>
        <v>0</v>
      </c>
      <c r="AK150" s="1685"/>
      <c r="AL150" s="1313">
        <f t="shared" si="530"/>
        <v>0</v>
      </c>
      <c r="AM150" s="1312">
        <f t="shared" si="531"/>
        <v>0</v>
      </c>
      <c r="AN150" s="1685"/>
      <c r="AO150" s="1313">
        <f t="shared" si="532"/>
        <v>0</v>
      </c>
      <c r="AP150" s="1312">
        <f t="shared" si="533"/>
        <v>0</v>
      </c>
      <c r="AQ150" s="1685"/>
      <c r="AR150" s="1313">
        <f t="shared" si="595"/>
        <v>0</v>
      </c>
      <c r="AS150" s="1312">
        <f t="shared" si="596"/>
        <v>0</v>
      </c>
      <c r="AT150" s="1687"/>
      <c r="AU150" s="411"/>
      <c r="AV150" s="1757">
        <f t="shared" si="510"/>
        <v>0</v>
      </c>
      <c r="AW150" s="411"/>
      <c r="AX150" s="493"/>
      <c r="AY150" s="1566" t="s">
        <v>1205</v>
      </c>
      <c r="AZ150" s="1567" t="s">
        <v>301</v>
      </c>
      <c r="BA150" s="2445">
        <f>+'Data Input sheet'!$D$173</f>
        <v>220</v>
      </c>
      <c r="BB150" s="1579"/>
      <c r="BC150" s="1599"/>
      <c r="BD150" s="1600">
        <v>0</v>
      </c>
      <c r="BE150" s="1579"/>
      <c r="BF150" s="1605">
        <v>0</v>
      </c>
      <c r="BG150" s="426">
        <f>ROUND(+BF150*$BA$150,0)</f>
        <v>0</v>
      </c>
      <c r="BH150" s="1579"/>
      <c r="BI150" s="1605">
        <v>0</v>
      </c>
      <c r="BJ150" s="426">
        <f>ROUND(+BI150*$BA$150,0)</f>
        <v>0</v>
      </c>
      <c r="BK150" s="1666"/>
      <c r="BL150" s="1605">
        <v>0</v>
      </c>
      <c r="BM150" s="426">
        <f>ROUND(+BL150*$BA$150,0)</f>
        <v>0</v>
      </c>
      <c r="BN150" s="1579"/>
      <c r="BO150" s="1605">
        <v>0</v>
      </c>
      <c r="BP150" s="426">
        <f>ROUND(+BO150*$BA$150,0)</f>
        <v>0</v>
      </c>
      <c r="BQ150" s="1579"/>
      <c r="BR150" s="1605">
        <v>0</v>
      </c>
      <c r="BS150" s="426">
        <f>ROUND(+BR150*$BA$150,0)</f>
        <v>0</v>
      </c>
      <c r="BT150" s="1579"/>
      <c r="BU150" s="1605">
        <v>0</v>
      </c>
      <c r="BV150" s="426">
        <f>ROUND(+BU150*$BA$150,0)</f>
        <v>0</v>
      </c>
      <c r="BW150" s="1579"/>
      <c r="BX150" s="1605">
        <v>0</v>
      </c>
      <c r="BY150" s="426">
        <f>ROUND(+BX150*$BA$150,0)</f>
        <v>0</v>
      </c>
      <c r="BZ150" s="1579"/>
      <c r="CA150" s="1605">
        <v>0</v>
      </c>
      <c r="CB150" s="426">
        <f>ROUND(+CA150*$BA$150,0)</f>
        <v>0</v>
      </c>
      <c r="CC150" s="1579"/>
      <c r="CD150" s="1605">
        <v>0</v>
      </c>
      <c r="CE150" s="426">
        <f>ROUND(+CD150*$BA$150,0)</f>
        <v>0</v>
      </c>
      <c r="CF150" s="1579"/>
      <c r="CG150" s="1605">
        <v>0</v>
      </c>
      <c r="CH150" s="426">
        <f>ROUND(+CG150*$BA$150,0)</f>
        <v>0</v>
      </c>
      <c r="CI150" s="1579"/>
      <c r="CJ150" s="1257">
        <f t="shared" si="597"/>
        <v>0</v>
      </c>
      <c r="CK150" s="1395">
        <f t="shared" si="598"/>
        <v>0</v>
      </c>
      <c r="CL150" s="427"/>
      <c r="CM150" s="170"/>
      <c r="CN150" s="493"/>
      <c r="CO150" s="428" t="str">
        <f t="shared" si="538"/>
        <v>Lead Commissioning Engr. (LCE) (contactor)</v>
      </c>
      <c r="CP150" s="429" t="s">
        <v>301</v>
      </c>
      <c r="CQ150" s="441"/>
      <c r="CR150" s="443"/>
      <c r="CS150" s="430"/>
      <c r="CT150" s="444">
        <f t="shared" si="539"/>
        <v>0</v>
      </c>
      <c r="CU150" s="443"/>
      <c r="CV150" s="430"/>
      <c r="CW150" s="434">
        <f t="shared" si="540"/>
        <v>0</v>
      </c>
      <c r="CX150" s="443"/>
      <c r="CY150" s="432">
        <v>0</v>
      </c>
      <c r="CZ150" s="434">
        <f t="shared" si="541"/>
        <v>0</v>
      </c>
      <c r="DA150" s="443"/>
      <c r="DB150" s="432">
        <v>0</v>
      </c>
      <c r="DC150" s="434">
        <f t="shared" si="542"/>
        <v>0</v>
      </c>
      <c r="DD150" s="443"/>
      <c r="DE150" s="432">
        <v>0</v>
      </c>
      <c r="DF150" s="434">
        <f t="shared" si="543"/>
        <v>0</v>
      </c>
      <c r="DG150" s="443"/>
      <c r="DH150" s="432">
        <v>0</v>
      </c>
      <c r="DI150" s="434">
        <f t="shared" si="544"/>
        <v>0</v>
      </c>
      <c r="DJ150" s="443"/>
      <c r="DK150" s="432">
        <v>0</v>
      </c>
      <c r="DL150" s="434">
        <f t="shared" si="545"/>
        <v>0</v>
      </c>
      <c r="DM150" s="443"/>
      <c r="DN150" s="432">
        <v>0</v>
      </c>
      <c r="DO150" s="434">
        <f t="shared" si="546"/>
        <v>0</v>
      </c>
      <c r="DP150" s="443"/>
      <c r="DQ150" s="432">
        <v>0</v>
      </c>
      <c r="DR150" s="434">
        <f t="shared" si="547"/>
        <v>0</v>
      </c>
      <c r="DS150" s="443"/>
      <c r="DT150" s="432">
        <v>0</v>
      </c>
      <c r="DU150" s="434">
        <f t="shared" si="548"/>
        <v>0</v>
      </c>
      <c r="DV150" s="443"/>
      <c r="DW150" s="432">
        <v>0</v>
      </c>
      <c r="DX150" s="434">
        <f t="shared" si="549"/>
        <v>0</v>
      </c>
      <c r="DY150" s="443"/>
      <c r="DZ150" s="432">
        <f t="shared" si="599"/>
        <v>0</v>
      </c>
      <c r="EA150" s="444">
        <f t="shared" si="600"/>
        <v>0</v>
      </c>
      <c r="EB150" s="433"/>
      <c r="EC150" s="170"/>
      <c r="ED150" s="170"/>
      <c r="EE150" s="170"/>
      <c r="EF150" s="170"/>
      <c r="EG150" s="170"/>
      <c r="EH150" s="170"/>
      <c r="EI150" s="170"/>
      <c r="EJ150" s="170"/>
      <c r="EK150" s="170"/>
    </row>
    <row r="151" spans="1:141" ht="15" x14ac:dyDescent="0.25">
      <c r="A151" s="170"/>
      <c r="B151" s="424">
        <v>5</v>
      </c>
      <c r="C151" s="424">
        <v>7</v>
      </c>
      <c r="D151" s="424">
        <v>6</v>
      </c>
      <c r="E151" s="425">
        <v>8</v>
      </c>
      <c r="F151" s="493"/>
      <c r="G151" s="1308" t="str">
        <f t="shared" si="513"/>
        <v>Vehicles ( now in indirects section)</v>
      </c>
      <c r="H151" s="1309" t="s">
        <v>304</v>
      </c>
      <c r="I151" s="1310">
        <f t="shared" si="469"/>
        <v>0</v>
      </c>
      <c r="J151" s="1687"/>
      <c r="K151" s="1311">
        <f t="shared" si="514"/>
        <v>0</v>
      </c>
      <c r="L151" s="1312">
        <f t="shared" si="514"/>
        <v>0</v>
      </c>
      <c r="M151" s="1687"/>
      <c r="N151" s="1717">
        <f t="shared" si="594"/>
        <v>0</v>
      </c>
      <c r="O151" s="1312">
        <f t="shared" si="515"/>
        <v>0</v>
      </c>
      <c r="P151" s="1685"/>
      <c r="Q151" s="1313">
        <f t="shared" si="516"/>
        <v>0</v>
      </c>
      <c r="R151" s="1312">
        <f t="shared" si="517"/>
        <v>0</v>
      </c>
      <c r="S151" s="1685"/>
      <c r="T151" s="1313">
        <f t="shared" si="518"/>
        <v>0</v>
      </c>
      <c r="U151" s="1312">
        <f t="shared" si="519"/>
        <v>0</v>
      </c>
      <c r="V151" s="1685"/>
      <c r="W151" s="1313">
        <f t="shared" si="520"/>
        <v>0</v>
      </c>
      <c r="X151" s="1312">
        <f t="shared" si="521"/>
        <v>0</v>
      </c>
      <c r="Y151" s="1685"/>
      <c r="Z151" s="1313">
        <f t="shared" si="522"/>
        <v>0</v>
      </c>
      <c r="AA151" s="1312">
        <f t="shared" si="523"/>
        <v>0</v>
      </c>
      <c r="AB151" s="1685"/>
      <c r="AC151" s="1313">
        <f t="shared" si="524"/>
        <v>0</v>
      </c>
      <c r="AD151" s="1312">
        <f t="shared" si="525"/>
        <v>0</v>
      </c>
      <c r="AE151" s="1685"/>
      <c r="AF151" s="1313">
        <f t="shared" si="526"/>
        <v>0</v>
      </c>
      <c r="AG151" s="1312">
        <f t="shared" si="527"/>
        <v>0</v>
      </c>
      <c r="AH151" s="1685"/>
      <c r="AI151" s="1313">
        <f t="shared" si="528"/>
        <v>0</v>
      </c>
      <c r="AJ151" s="1312">
        <f t="shared" si="529"/>
        <v>0</v>
      </c>
      <c r="AK151" s="1685"/>
      <c r="AL151" s="1313">
        <f t="shared" si="530"/>
        <v>0</v>
      </c>
      <c r="AM151" s="1312">
        <f t="shared" si="531"/>
        <v>0</v>
      </c>
      <c r="AN151" s="1685"/>
      <c r="AO151" s="1313">
        <f t="shared" si="532"/>
        <v>0</v>
      </c>
      <c r="AP151" s="1312">
        <f t="shared" si="533"/>
        <v>0</v>
      </c>
      <c r="AQ151" s="1685"/>
      <c r="AR151" s="1313">
        <f t="shared" si="595"/>
        <v>0</v>
      </c>
      <c r="AS151" s="1312">
        <f t="shared" si="596"/>
        <v>0</v>
      </c>
      <c r="AT151" s="1687"/>
      <c r="AU151" s="411"/>
      <c r="AV151" s="1757">
        <f t="shared" si="510"/>
        <v>0</v>
      </c>
      <c r="AW151" s="411"/>
      <c r="AX151" s="493"/>
      <c r="AY151" s="1566" t="s">
        <v>305</v>
      </c>
      <c r="AZ151" s="1567" t="s">
        <v>304</v>
      </c>
      <c r="BA151" s="446">
        <v>0</v>
      </c>
      <c r="BB151" s="1632"/>
      <c r="BC151" s="1599">
        <v>0</v>
      </c>
      <c r="BD151" s="1600">
        <v>0</v>
      </c>
      <c r="BE151" s="1632"/>
      <c r="BF151" s="1466"/>
      <c r="BG151" s="448">
        <f>ROUND(SUM(BG144)*$BA151,0)</f>
        <v>0</v>
      </c>
      <c r="BH151" s="1632"/>
      <c r="BI151" s="1466"/>
      <c r="BJ151" s="448">
        <f>ROUND(SUM(BJ144)*$BA151,0)</f>
        <v>0</v>
      </c>
      <c r="BK151" s="1667"/>
      <c r="BL151" s="1466"/>
      <c r="BM151" s="448">
        <f>ROUND(SUM(BM144)*$BA151,0)</f>
        <v>0</v>
      </c>
      <c r="BN151" s="1632"/>
      <c r="BO151" s="1466"/>
      <c r="BP151" s="448">
        <f>ROUND(SUM(BP144)*$BA151,0)</f>
        <v>0</v>
      </c>
      <c r="BQ151" s="1632"/>
      <c r="BR151" s="1466"/>
      <c r="BS151" s="448">
        <f>ROUND(SUM(BS144)*$BA151,0)</f>
        <v>0</v>
      </c>
      <c r="BT151" s="1632"/>
      <c r="BU151" s="1466"/>
      <c r="BV151" s="448">
        <f>ROUND(SUM(BV144)*$BA151,0)</f>
        <v>0</v>
      </c>
      <c r="BW151" s="1632"/>
      <c r="BX151" s="1466"/>
      <c r="BY151" s="448">
        <f>ROUND(SUM(BY144)*$BA151,0)</f>
        <v>0</v>
      </c>
      <c r="BZ151" s="1632"/>
      <c r="CA151" s="1466"/>
      <c r="CB151" s="448">
        <f>ROUND(SUM(CB144)*$BA151,0)</f>
        <v>0</v>
      </c>
      <c r="CC151" s="1632"/>
      <c r="CD151" s="1466"/>
      <c r="CE151" s="448">
        <f>ROUND(SUM(CE144)*$BA151,0)</f>
        <v>0</v>
      </c>
      <c r="CF151" s="1632"/>
      <c r="CG151" s="1466"/>
      <c r="CH151" s="448">
        <f>ROUND(SUM(CH144)*$BA151,0)</f>
        <v>0</v>
      </c>
      <c r="CI151" s="1632"/>
      <c r="CJ151" s="1257">
        <f t="shared" si="597"/>
        <v>0</v>
      </c>
      <c r="CK151" s="1395">
        <f t="shared" si="598"/>
        <v>0</v>
      </c>
      <c r="CL151" s="450"/>
      <c r="CM151" s="170"/>
      <c r="CN151" s="493"/>
      <c r="CO151" s="428" t="str">
        <f t="shared" si="538"/>
        <v>Vehicles ( now in indirects section)</v>
      </c>
      <c r="CP151" s="429" t="s">
        <v>304</v>
      </c>
      <c r="CQ151" s="480"/>
      <c r="CR151" s="1703"/>
      <c r="CS151" s="1697"/>
      <c r="CT151" s="452">
        <f t="shared" si="539"/>
        <v>0</v>
      </c>
      <c r="CU151" s="1703"/>
      <c r="CV151" s="1697"/>
      <c r="CW151" s="434">
        <f t="shared" si="540"/>
        <v>0</v>
      </c>
      <c r="CX151" s="443"/>
      <c r="CY151" s="432">
        <v>0</v>
      </c>
      <c r="CZ151" s="434">
        <f t="shared" si="541"/>
        <v>0</v>
      </c>
      <c r="DA151" s="443"/>
      <c r="DB151" s="432">
        <v>0</v>
      </c>
      <c r="DC151" s="434">
        <f t="shared" si="542"/>
        <v>0</v>
      </c>
      <c r="DD151" s="443"/>
      <c r="DE151" s="432">
        <v>0</v>
      </c>
      <c r="DF151" s="434">
        <f t="shared" si="543"/>
        <v>0</v>
      </c>
      <c r="DG151" s="443"/>
      <c r="DH151" s="432">
        <v>0</v>
      </c>
      <c r="DI151" s="434">
        <f t="shared" si="544"/>
        <v>0</v>
      </c>
      <c r="DJ151" s="443"/>
      <c r="DK151" s="432">
        <v>0</v>
      </c>
      <c r="DL151" s="434">
        <f t="shared" si="545"/>
        <v>0</v>
      </c>
      <c r="DM151" s="443"/>
      <c r="DN151" s="432">
        <v>0</v>
      </c>
      <c r="DO151" s="434">
        <f t="shared" si="546"/>
        <v>0</v>
      </c>
      <c r="DP151" s="443"/>
      <c r="DQ151" s="432">
        <v>0</v>
      </c>
      <c r="DR151" s="434">
        <f t="shared" si="547"/>
        <v>0</v>
      </c>
      <c r="DS151" s="443"/>
      <c r="DT151" s="432">
        <v>0</v>
      </c>
      <c r="DU151" s="434">
        <f t="shared" si="548"/>
        <v>0</v>
      </c>
      <c r="DV151" s="443"/>
      <c r="DW151" s="432">
        <v>0</v>
      </c>
      <c r="DX151" s="434">
        <f t="shared" si="549"/>
        <v>0</v>
      </c>
      <c r="DY151" s="443"/>
      <c r="DZ151" s="432">
        <f t="shared" si="599"/>
        <v>0</v>
      </c>
      <c r="EA151" s="444">
        <f t="shared" si="600"/>
        <v>0</v>
      </c>
      <c r="EB151" s="433"/>
      <c r="EC151" s="170"/>
      <c r="ED151" s="170"/>
      <c r="EE151" s="170"/>
      <c r="EF151" s="170"/>
      <c r="EG151" s="170"/>
      <c r="EH151" s="170"/>
      <c r="EI151" s="170"/>
      <c r="EJ151" s="170"/>
      <c r="EK151" s="170"/>
    </row>
    <row r="152" spans="1:141" ht="15" x14ac:dyDescent="0.25">
      <c r="A152" s="170"/>
      <c r="B152" s="472"/>
      <c r="C152" s="472"/>
      <c r="D152" s="472"/>
      <c r="E152" s="473"/>
      <c r="F152" s="493"/>
      <c r="G152" s="1321" t="s">
        <v>366</v>
      </c>
      <c r="H152" s="1343"/>
      <c r="I152" s="1310">
        <f t="shared" si="469"/>
        <v>0</v>
      </c>
      <c r="J152" s="1685"/>
      <c r="K152" s="1316"/>
      <c r="L152" s="1312">
        <f>SUM(L144:L151)</f>
        <v>0</v>
      </c>
      <c r="M152" s="1685"/>
      <c r="N152" s="1717">
        <f t="shared" si="594"/>
        <v>0</v>
      </c>
      <c r="O152" s="1312">
        <f>SUM(O144:O151)</f>
        <v>0</v>
      </c>
      <c r="P152" s="1685"/>
      <c r="Q152" s="1316"/>
      <c r="R152" s="1312">
        <f>SUM(R144:R151)</f>
        <v>0</v>
      </c>
      <c r="S152" s="1685"/>
      <c r="T152" s="1316"/>
      <c r="U152" s="1312">
        <f>SUM(U144:U151)</f>
        <v>0</v>
      </c>
      <c r="V152" s="1685"/>
      <c r="W152" s="1316"/>
      <c r="X152" s="1312">
        <f>SUM(X144:X151)</f>
        <v>311502</v>
      </c>
      <c r="Y152" s="1685"/>
      <c r="Z152" s="1316"/>
      <c r="AA152" s="1312">
        <f>SUM(AA144:AA151)</f>
        <v>752332</v>
      </c>
      <c r="AB152" s="1685"/>
      <c r="AC152" s="1316"/>
      <c r="AD152" s="1312">
        <f>SUM(AD144:AD151)</f>
        <v>0</v>
      </c>
      <c r="AE152" s="1685"/>
      <c r="AF152" s="1316"/>
      <c r="AG152" s="1312">
        <f>SUM(AG144:AG151)</f>
        <v>0</v>
      </c>
      <c r="AH152" s="1685"/>
      <c r="AI152" s="1316"/>
      <c r="AJ152" s="1312">
        <f>SUM(AJ144:AJ151)</f>
        <v>0</v>
      </c>
      <c r="AK152" s="1685"/>
      <c r="AL152" s="1316"/>
      <c r="AM152" s="1312">
        <f>SUM(AM144:AM151)</f>
        <v>0</v>
      </c>
      <c r="AN152" s="1685"/>
      <c r="AO152" s="1316"/>
      <c r="AP152" s="1312">
        <f>SUM(AP144:AP151)</f>
        <v>0</v>
      </c>
      <c r="AQ152" s="1685"/>
      <c r="AR152" s="1316"/>
      <c r="AS152" s="1312">
        <f>SUM(AS144:AS151)</f>
        <v>1063834</v>
      </c>
      <c r="AT152" s="1687"/>
      <c r="AU152" s="411"/>
      <c r="AV152" s="1757">
        <f t="shared" si="510"/>
        <v>1063834</v>
      </c>
      <c r="AW152" s="411"/>
      <c r="AX152" s="493"/>
      <c r="AY152" s="517" t="s">
        <v>366</v>
      </c>
      <c r="AZ152" s="1571"/>
      <c r="BA152" s="1570"/>
      <c r="BB152" s="1579"/>
      <c r="BC152" s="1257"/>
      <c r="BD152" s="1284">
        <f>SUM(BD144:BD151)</f>
        <v>0</v>
      </c>
      <c r="BE152" s="1579"/>
      <c r="BF152" s="1469"/>
      <c r="BG152" s="1229">
        <f>SUM(BG144:BG151)</f>
        <v>0</v>
      </c>
      <c r="BH152" s="1579"/>
      <c r="BI152" s="1469"/>
      <c r="BJ152" s="1229">
        <f>SUM(BJ144:BJ151)</f>
        <v>0</v>
      </c>
      <c r="BK152" s="1579"/>
      <c r="BL152" s="1469"/>
      <c r="BM152" s="1229">
        <f>SUM(BM144:BM151)</f>
        <v>0</v>
      </c>
      <c r="BN152" s="1579"/>
      <c r="BO152" s="1469"/>
      <c r="BP152" s="1229">
        <f>SUM(BP144:BP151)</f>
        <v>276950</v>
      </c>
      <c r="BQ152" s="1579"/>
      <c r="BR152" s="1469"/>
      <c r="BS152" s="1229">
        <f>SUM(BS144:BS151)</f>
        <v>649400</v>
      </c>
      <c r="BT152" s="1579"/>
      <c r="BU152" s="1469"/>
      <c r="BV152" s="1229">
        <f>SUM(BV144:BV151)</f>
        <v>0</v>
      </c>
      <c r="BW152" s="1579"/>
      <c r="BX152" s="1469"/>
      <c r="BY152" s="1229">
        <f>SUM(BY144:BY151)</f>
        <v>0</v>
      </c>
      <c r="BZ152" s="1579"/>
      <c r="CA152" s="1469"/>
      <c r="CB152" s="1229">
        <f>SUM(CB144:CB151)</f>
        <v>0</v>
      </c>
      <c r="CC152" s="1579"/>
      <c r="CD152" s="1469"/>
      <c r="CE152" s="1229">
        <f>SUM(CE144:CE151)</f>
        <v>0</v>
      </c>
      <c r="CF152" s="1579"/>
      <c r="CG152" s="1469"/>
      <c r="CH152" s="1229">
        <f>SUM(CH144:CH151)</f>
        <v>0</v>
      </c>
      <c r="CI152" s="1579"/>
      <c r="CJ152" s="1469"/>
      <c r="CK152" s="1229">
        <f>SUM(CK144:CK151)</f>
        <v>926350</v>
      </c>
      <c r="CL152" s="427"/>
      <c r="CM152" s="170"/>
      <c r="CN152" s="493"/>
      <c r="CO152" s="456" t="s">
        <v>366</v>
      </c>
      <c r="CP152" s="500"/>
      <c r="CQ152" s="501"/>
      <c r="CR152" s="443"/>
      <c r="CS152" s="432"/>
      <c r="CT152" s="431">
        <f>SUM(CT144:CT151)</f>
        <v>0</v>
      </c>
      <c r="CU152" s="443"/>
      <c r="CV152" s="432"/>
      <c r="CW152" s="431">
        <f>SUM(CW144:CW151)</f>
        <v>0</v>
      </c>
      <c r="CX152" s="443"/>
      <c r="CY152" s="432"/>
      <c r="CZ152" s="431">
        <f>SUM(CZ144:CZ151)</f>
        <v>0</v>
      </c>
      <c r="DA152" s="443"/>
      <c r="DB152" s="432"/>
      <c r="DC152" s="431">
        <f>SUM(DC144:DC151)</f>
        <v>0</v>
      </c>
      <c r="DD152" s="443"/>
      <c r="DE152" s="432"/>
      <c r="DF152" s="431">
        <f>SUM(DF144:DF151)</f>
        <v>34552</v>
      </c>
      <c r="DG152" s="443"/>
      <c r="DH152" s="432"/>
      <c r="DI152" s="431">
        <f>SUM(DI144:DI151)</f>
        <v>102932</v>
      </c>
      <c r="DJ152" s="443"/>
      <c r="DK152" s="432"/>
      <c r="DL152" s="431">
        <f>SUM(DL144:DL151)</f>
        <v>0</v>
      </c>
      <c r="DM152" s="443"/>
      <c r="DN152" s="432"/>
      <c r="DO152" s="431">
        <f>SUM(DO144:DO151)</f>
        <v>0</v>
      </c>
      <c r="DP152" s="443"/>
      <c r="DQ152" s="432"/>
      <c r="DR152" s="431">
        <f>SUM(DR144:DR151)</f>
        <v>0</v>
      </c>
      <c r="DS152" s="443"/>
      <c r="DT152" s="432"/>
      <c r="DU152" s="431">
        <f>SUM(DU144:DU151)</f>
        <v>0</v>
      </c>
      <c r="DV152" s="443"/>
      <c r="DW152" s="432"/>
      <c r="DX152" s="431">
        <f>SUM(DX144:DX151)</f>
        <v>0</v>
      </c>
      <c r="DY152" s="443"/>
      <c r="DZ152" s="432"/>
      <c r="EA152" s="444">
        <f>SUM(EA144:EA151)</f>
        <v>137484</v>
      </c>
      <c r="EB152" s="433"/>
      <c r="EC152" s="170"/>
      <c r="ED152" s="170"/>
      <c r="EE152" s="170"/>
      <c r="EF152" s="170"/>
      <c r="EG152" s="170"/>
      <c r="EH152" s="170"/>
      <c r="EI152" s="170"/>
      <c r="EJ152" s="170"/>
      <c r="EK152" s="170"/>
    </row>
    <row r="153" spans="1:141" ht="15" x14ac:dyDescent="0.25">
      <c r="A153" s="170"/>
      <c r="B153" s="424"/>
      <c r="C153" s="424">
        <v>9</v>
      </c>
      <c r="D153" s="424"/>
      <c r="E153" s="425">
        <v>99</v>
      </c>
      <c r="F153" s="493"/>
      <c r="G153" s="1308" t="str">
        <f>+AY153</f>
        <v>Escalation</v>
      </c>
      <c r="H153" s="1322"/>
      <c r="I153" s="1310">
        <f t="shared" si="469"/>
        <v>0</v>
      </c>
      <c r="J153" s="1687"/>
      <c r="K153" s="1311">
        <f>+BC153</f>
        <v>0</v>
      </c>
      <c r="L153" s="1312">
        <f>+BD153</f>
        <v>0</v>
      </c>
      <c r="M153" s="1687"/>
      <c r="N153" s="1717">
        <f t="shared" si="594"/>
        <v>0</v>
      </c>
      <c r="O153" s="1312">
        <f>+BG153+CW153</f>
        <v>0</v>
      </c>
      <c r="P153" s="1685"/>
      <c r="Q153" s="1313">
        <f>+BI153</f>
        <v>0</v>
      </c>
      <c r="R153" s="1312">
        <f>+BJ153+CZ153</f>
        <v>0</v>
      </c>
      <c r="S153" s="1685"/>
      <c r="T153" s="1313">
        <f>+BL153</f>
        <v>0</v>
      </c>
      <c r="U153" s="1312">
        <f>+BM153+DC153</f>
        <v>0</v>
      </c>
      <c r="V153" s="1685"/>
      <c r="W153" s="1313">
        <f>+BO153</f>
        <v>0</v>
      </c>
      <c r="X153" s="1312">
        <f>+BP153+DF153</f>
        <v>0</v>
      </c>
      <c r="Y153" s="1685"/>
      <c r="Z153" s="1313">
        <f>+BR153</f>
        <v>0</v>
      </c>
      <c r="AA153" s="1312">
        <f>+BS153+DI153</f>
        <v>0</v>
      </c>
      <c r="AB153" s="1685"/>
      <c r="AC153" s="1313">
        <f>+BU153</f>
        <v>0</v>
      </c>
      <c r="AD153" s="1312">
        <f>+BV153+DL153</f>
        <v>0</v>
      </c>
      <c r="AE153" s="1685"/>
      <c r="AF153" s="1313">
        <f>+BX153</f>
        <v>0</v>
      </c>
      <c r="AG153" s="1312">
        <f>+BY153+DO153</f>
        <v>0</v>
      </c>
      <c r="AH153" s="1685"/>
      <c r="AI153" s="1313">
        <f>+CA153</f>
        <v>0</v>
      </c>
      <c r="AJ153" s="1312">
        <f>+CB153+DR153</f>
        <v>0</v>
      </c>
      <c r="AK153" s="1685"/>
      <c r="AL153" s="1313">
        <f>+CD153</f>
        <v>0</v>
      </c>
      <c r="AM153" s="1312">
        <f>+CE153+DU153</f>
        <v>0</v>
      </c>
      <c r="AN153" s="1685"/>
      <c r="AO153" s="1313">
        <f>+CG153</f>
        <v>0</v>
      </c>
      <c r="AP153" s="1312">
        <f>+CH153+DX153</f>
        <v>0</v>
      </c>
      <c r="AQ153" s="1685"/>
      <c r="AR153" s="1313">
        <f t="shared" ref="AR153:AR154" si="644">+Z153+W153+T153+Q153+N153+K153+AC153+AF153+AI153+AL153+AO153</f>
        <v>0</v>
      </c>
      <c r="AS153" s="1312">
        <f t="shared" ref="AS153:AS154" si="645">+AA153+X153+U153+R153+O153+L153+AD153+AG153+AJ153+AM153+AP153</f>
        <v>0</v>
      </c>
      <c r="AT153" s="1687"/>
      <c r="AU153" s="411"/>
      <c r="AV153" s="1757">
        <f t="shared" si="510"/>
        <v>0</v>
      </c>
      <c r="AW153" s="411"/>
      <c r="AX153" s="493"/>
      <c r="AY153" s="1561" t="s">
        <v>99</v>
      </c>
      <c r="AZ153" s="1587"/>
      <c r="BA153" s="1582"/>
      <c r="BB153" s="1632"/>
      <c r="BC153" s="1599">
        <v>0</v>
      </c>
      <c r="BD153" s="1600">
        <v>0</v>
      </c>
      <c r="BE153" s="1579"/>
      <c r="BF153" s="1564"/>
      <c r="BG153" s="1565"/>
      <c r="BH153" s="1579"/>
      <c r="BI153" s="1564"/>
      <c r="BJ153" s="1565"/>
      <c r="BK153" s="1666"/>
      <c r="BL153" s="1564"/>
      <c r="BM153" s="1565"/>
      <c r="BN153" s="1579"/>
      <c r="BO153" s="1564"/>
      <c r="BP153" s="1565"/>
      <c r="BQ153" s="1579"/>
      <c r="BR153" s="1564"/>
      <c r="BS153" s="1565"/>
      <c r="BT153" s="1579"/>
      <c r="BU153" s="1564"/>
      <c r="BV153" s="1565"/>
      <c r="BW153" s="1579"/>
      <c r="BX153" s="1564"/>
      <c r="BY153" s="1565"/>
      <c r="BZ153" s="1579"/>
      <c r="CA153" s="1564"/>
      <c r="CB153" s="1565"/>
      <c r="CC153" s="1579"/>
      <c r="CD153" s="1564"/>
      <c r="CE153" s="1565"/>
      <c r="CF153" s="1579"/>
      <c r="CG153" s="1564"/>
      <c r="CH153" s="1565"/>
      <c r="CI153" s="1579"/>
      <c r="CJ153" s="1257">
        <f t="shared" ref="CJ153:CJ154" si="646">+BR153+BO153+BL153+BI153+BF153+BC153+BU153+BX153+CA153+CD153+CG153</f>
        <v>0</v>
      </c>
      <c r="CK153" s="1395">
        <f t="shared" ref="CK153:CK154" si="647">+BS153+BP153+BM153+BJ153+BG153+BD153+BV153+BY153+CB153+CE153+CH153</f>
        <v>0</v>
      </c>
      <c r="CL153" s="427"/>
      <c r="CM153" s="170"/>
      <c r="CN153" s="493"/>
      <c r="CO153" s="428" t="str">
        <f>+AY153</f>
        <v>Escalation</v>
      </c>
      <c r="CP153" s="388"/>
      <c r="CQ153" s="509"/>
      <c r="CR153" s="1703"/>
      <c r="CS153" s="435"/>
      <c r="CT153" s="510">
        <f>L153-BD153</f>
        <v>0</v>
      </c>
      <c r="CU153" s="443"/>
      <c r="CV153" s="435"/>
      <c r="CW153" s="434">
        <f>ROUND((+BG153*(1+CW$4)),0)-BG153</f>
        <v>0</v>
      </c>
      <c r="CX153" s="443"/>
      <c r="CY153" s="432">
        <v>0</v>
      </c>
      <c r="CZ153" s="434">
        <f>ROUND((+BJ153*(1+CZ$4)),0)-BJ153</f>
        <v>0</v>
      </c>
      <c r="DA153" s="443"/>
      <c r="DB153" s="432">
        <v>0</v>
      </c>
      <c r="DC153" s="434">
        <f>ROUND((+BM153*(1+DC$4)),0)-BM153</f>
        <v>0</v>
      </c>
      <c r="DD153" s="443"/>
      <c r="DE153" s="432">
        <v>0</v>
      </c>
      <c r="DF153" s="434">
        <f>ROUND((+BP153*(1+DF$4)),0)-BP153</f>
        <v>0</v>
      </c>
      <c r="DG153" s="443"/>
      <c r="DH153" s="432">
        <v>0</v>
      </c>
      <c r="DI153" s="434">
        <f>ROUND((+BS153*(1+DI$4)),0)-BS153</f>
        <v>0</v>
      </c>
      <c r="DJ153" s="443"/>
      <c r="DK153" s="432">
        <v>0</v>
      </c>
      <c r="DL153" s="434">
        <f>ROUND((+BV153*(1+DL$4)),0)-BV153</f>
        <v>0</v>
      </c>
      <c r="DM153" s="443"/>
      <c r="DN153" s="432">
        <v>0</v>
      </c>
      <c r="DO153" s="434">
        <f>ROUND((+BY153*(1+DO$4)),0)-BY153</f>
        <v>0</v>
      </c>
      <c r="DP153" s="443"/>
      <c r="DQ153" s="432">
        <v>0</v>
      </c>
      <c r="DR153" s="434">
        <f>ROUND((+CB153*(1+DR$4)),0)-CB153</f>
        <v>0</v>
      </c>
      <c r="DS153" s="443"/>
      <c r="DT153" s="432">
        <v>0</v>
      </c>
      <c r="DU153" s="434">
        <f>ROUND((+CE153*(1+DU$4)),0)-CE153</f>
        <v>0</v>
      </c>
      <c r="DV153" s="443"/>
      <c r="DW153" s="432">
        <v>0</v>
      </c>
      <c r="DX153" s="434">
        <f>ROUND((+CH153*(1+DX$4)),0)-CH153</f>
        <v>0</v>
      </c>
      <c r="DY153" s="443"/>
      <c r="DZ153" s="432">
        <f t="shared" ref="DZ153:DZ154" si="648">+DH153+DE153+DB153+CY153+CV153+CS153+DK153+DN153+DQ153+DT153+DW153</f>
        <v>0</v>
      </c>
      <c r="EA153" s="444">
        <f t="shared" ref="EA153:EA154" si="649">+DI153+DF153+DC153+CZ153+CW153+CT153+DL153+DO153+DR153+DU153+DX153</f>
        <v>0</v>
      </c>
      <c r="EB153" s="433"/>
      <c r="EC153" s="170"/>
      <c r="ED153" s="170"/>
      <c r="EE153" s="170"/>
      <c r="EF153" s="170"/>
      <c r="EG153" s="170"/>
      <c r="EH153" s="170"/>
      <c r="EI153" s="170"/>
      <c r="EJ153" s="170"/>
      <c r="EK153" s="170"/>
    </row>
    <row r="154" spans="1:141" ht="15" x14ac:dyDescent="0.25">
      <c r="A154" s="170"/>
      <c r="B154" s="424">
        <v>5</v>
      </c>
      <c r="C154" s="424">
        <v>8</v>
      </c>
      <c r="D154" s="424">
        <v>6</v>
      </c>
      <c r="E154" s="425">
        <v>11</v>
      </c>
      <c r="F154" s="493"/>
      <c r="G154" s="1308">
        <f>+AY154</f>
        <v>0</v>
      </c>
      <c r="H154" s="1349" t="s">
        <v>309</v>
      </c>
      <c r="I154" s="1310">
        <f t="shared" si="469"/>
        <v>0</v>
      </c>
      <c r="J154" s="1685"/>
      <c r="K154" s="1311">
        <f>+BC154</f>
        <v>0</v>
      </c>
      <c r="L154" s="1312">
        <f>+BD154</f>
        <v>0</v>
      </c>
      <c r="M154" s="1685"/>
      <c r="N154" s="1717">
        <f t="shared" si="594"/>
        <v>0</v>
      </c>
      <c r="O154" s="1312">
        <f>+BG154+CW154</f>
        <v>0</v>
      </c>
      <c r="P154" s="1685"/>
      <c r="Q154" s="1313">
        <f>+BI154</f>
        <v>0</v>
      </c>
      <c r="R154" s="1312">
        <f>+BJ154+CZ154</f>
        <v>0</v>
      </c>
      <c r="S154" s="1685"/>
      <c r="T154" s="1313">
        <f>+BL154</f>
        <v>0</v>
      </c>
      <c r="U154" s="1312">
        <f>+BM154+DC154</f>
        <v>0</v>
      </c>
      <c r="V154" s="1685"/>
      <c r="W154" s="1313">
        <f>+BO154</f>
        <v>0</v>
      </c>
      <c r="X154" s="1312">
        <f>+BP154+DF154</f>
        <v>0</v>
      </c>
      <c r="Y154" s="1685"/>
      <c r="Z154" s="1313">
        <f>+BR154</f>
        <v>0</v>
      </c>
      <c r="AA154" s="1312">
        <f>+BS154+DI154</f>
        <v>0</v>
      </c>
      <c r="AB154" s="1685"/>
      <c r="AC154" s="1313">
        <f>+BU154</f>
        <v>0</v>
      </c>
      <c r="AD154" s="1312">
        <f>+BV154+DL154</f>
        <v>0</v>
      </c>
      <c r="AE154" s="1685"/>
      <c r="AF154" s="1313">
        <f>+BX154</f>
        <v>0</v>
      </c>
      <c r="AG154" s="1312">
        <f>+BY154+DO154</f>
        <v>0</v>
      </c>
      <c r="AH154" s="1685"/>
      <c r="AI154" s="1313">
        <f>+CA154</f>
        <v>0</v>
      </c>
      <c r="AJ154" s="1312">
        <f>+CB154+DR154</f>
        <v>0</v>
      </c>
      <c r="AK154" s="1685"/>
      <c r="AL154" s="1313">
        <f>+CD154</f>
        <v>0</v>
      </c>
      <c r="AM154" s="1312">
        <f>+CE154+DU154</f>
        <v>0</v>
      </c>
      <c r="AN154" s="1685"/>
      <c r="AO154" s="1313">
        <f>+CG154</f>
        <v>0</v>
      </c>
      <c r="AP154" s="1312">
        <f>+CH154+DX154</f>
        <v>0</v>
      </c>
      <c r="AQ154" s="1685"/>
      <c r="AR154" s="1313">
        <f t="shared" si="644"/>
        <v>0</v>
      </c>
      <c r="AS154" s="1312">
        <f t="shared" si="645"/>
        <v>0</v>
      </c>
      <c r="AT154" s="1687"/>
      <c r="AU154" s="411"/>
      <c r="AV154" s="1757">
        <f t="shared" si="510"/>
        <v>0</v>
      </c>
      <c r="AW154" s="411"/>
      <c r="AX154" s="493"/>
      <c r="AY154" s="1563"/>
      <c r="AZ154" s="1589"/>
      <c r="BA154" s="519">
        <v>0</v>
      </c>
      <c r="BB154" s="1636"/>
      <c r="BC154" s="1599">
        <v>0</v>
      </c>
      <c r="BD154" s="1600">
        <v>0</v>
      </c>
      <c r="BE154" s="1656"/>
      <c r="BF154" s="1606"/>
      <c r="BG154" s="1607">
        <f>ROUND((+BG152+BG153)*$BA$154,0)*0</f>
        <v>0</v>
      </c>
      <c r="BH154" s="1660"/>
      <c r="BI154" s="1606"/>
      <c r="BJ154" s="1607">
        <f>ROUND((+BJ152+BJ153)*$BA$154,0)*0</f>
        <v>0</v>
      </c>
      <c r="BK154" s="1666"/>
      <c r="BL154" s="1606"/>
      <c r="BM154" s="1607">
        <f>ROUND((+BM152+BM153)*$BA$154,0)*0</f>
        <v>0</v>
      </c>
      <c r="BN154" s="1579"/>
      <c r="BO154" s="1606"/>
      <c r="BP154" s="1607">
        <f>ROUND((+BP152+BP153)*$BA$154,0)*0</f>
        <v>0</v>
      </c>
      <c r="BQ154" s="1579"/>
      <c r="BR154" s="1606"/>
      <c r="BS154" s="1607">
        <f>ROUND((+BS152+BS153)*$BA$154,0)*0</f>
        <v>0</v>
      </c>
      <c r="BT154" s="1656"/>
      <c r="BU154" s="1606"/>
      <c r="BV154" s="1607">
        <f>ROUND((+BV152+BV153)*$BA$154,0)*0</f>
        <v>0</v>
      </c>
      <c r="BW154" s="1656"/>
      <c r="BX154" s="1606"/>
      <c r="BY154" s="1607">
        <f>ROUND((+BY152+BY153)*$BA$154,0)*0</f>
        <v>0</v>
      </c>
      <c r="BZ154" s="1656"/>
      <c r="CA154" s="1606"/>
      <c r="CB154" s="1607">
        <f>ROUND((+CB152+CB153)*$BA$154,0)*0</f>
        <v>0</v>
      </c>
      <c r="CC154" s="1656"/>
      <c r="CD154" s="1606"/>
      <c r="CE154" s="1607">
        <f>ROUND((+CE152+CE153)*$BA$154,0)*0</f>
        <v>0</v>
      </c>
      <c r="CF154" s="1656"/>
      <c r="CG154" s="1606"/>
      <c r="CH154" s="1607">
        <f>ROUND((+CH152+CH153)*$BA$154,0)*0</f>
        <v>0</v>
      </c>
      <c r="CI154" s="1656"/>
      <c r="CJ154" s="1257">
        <f t="shared" si="646"/>
        <v>0</v>
      </c>
      <c r="CK154" s="1395">
        <f t="shared" si="647"/>
        <v>0</v>
      </c>
      <c r="CL154" s="1730"/>
      <c r="CM154" s="170"/>
      <c r="CN154" s="493"/>
      <c r="CO154" s="428">
        <f>+AY154</f>
        <v>0</v>
      </c>
      <c r="CP154" s="520" t="s">
        <v>309</v>
      </c>
      <c r="CQ154" s="521"/>
      <c r="CR154" s="1709"/>
      <c r="CS154" s="522"/>
      <c r="CT154" s="508">
        <f>L154-BD154</f>
        <v>0</v>
      </c>
      <c r="CU154" s="443"/>
      <c r="CV154" s="522"/>
      <c r="CW154" s="434">
        <f>(ROUND((+BG154*(1+CW$4)),0)-BG154)*'Data Input sheet'!$D$70</f>
        <v>0</v>
      </c>
      <c r="CX154" s="443"/>
      <c r="CY154" s="432"/>
      <c r="CZ154" s="434">
        <f>(ROUND((+BJ154*(1+CZ$4)),0)-BJ154)*'Data Input sheet'!$D$70</f>
        <v>0</v>
      </c>
      <c r="DA154" s="443"/>
      <c r="DB154" s="432"/>
      <c r="DC154" s="434">
        <f>(ROUND((+BM154*(1+DC$4)),0)-BM154)*'Data Input sheet'!$D$70</f>
        <v>0</v>
      </c>
      <c r="DD154" s="443"/>
      <c r="DE154" s="432">
        <v>0</v>
      </c>
      <c r="DF154" s="434">
        <f>(ROUND((+BP154*(1+DF$4)),0)-BP154)*'Data Input sheet'!$D$70</f>
        <v>0</v>
      </c>
      <c r="DG154" s="443"/>
      <c r="DH154" s="432">
        <v>0</v>
      </c>
      <c r="DI154" s="434">
        <f>(ROUND((+BS154*(1+DI$4)),0)-BS154)*'Data Input sheet'!$D$70</f>
        <v>0</v>
      </c>
      <c r="DJ154" s="443"/>
      <c r="DK154" s="432">
        <v>0</v>
      </c>
      <c r="DL154" s="434">
        <f>(ROUND((+BV154*(1+DL$4)),0)-BV154)*'Data Input sheet'!$D$70</f>
        <v>0</v>
      </c>
      <c r="DM154" s="443"/>
      <c r="DN154" s="432">
        <v>0</v>
      </c>
      <c r="DO154" s="434">
        <f>(ROUND((+BY154*(1+DO$4)),0)-BY154)*'Data Input sheet'!$D$70</f>
        <v>0</v>
      </c>
      <c r="DP154" s="443"/>
      <c r="DQ154" s="432">
        <v>0</v>
      </c>
      <c r="DR154" s="434">
        <f>(ROUND((+CB154*(1+DR$4)),0)-CB154)*'Data Input sheet'!$D$70</f>
        <v>0</v>
      </c>
      <c r="DS154" s="443"/>
      <c r="DT154" s="432">
        <v>0</v>
      </c>
      <c r="DU154" s="434">
        <f>(ROUND((+CE154*(1+DU$4)),0)-CE154)*'Data Input sheet'!$D$70</f>
        <v>0</v>
      </c>
      <c r="DV154" s="443"/>
      <c r="DW154" s="432">
        <v>0</v>
      </c>
      <c r="DX154" s="434">
        <f>(ROUND((+CH154*(1+DX$4)),0)-CH154)*'Data Input sheet'!$D$70</f>
        <v>0</v>
      </c>
      <c r="DY154" s="443"/>
      <c r="DZ154" s="432">
        <f t="shared" si="648"/>
        <v>0</v>
      </c>
      <c r="EA154" s="444">
        <f t="shared" si="649"/>
        <v>0</v>
      </c>
      <c r="EB154" s="433"/>
      <c r="EC154" s="170"/>
      <c r="ED154" s="170"/>
      <c r="EE154" s="170"/>
      <c r="EF154" s="170"/>
      <c r="EG154" s="170"/>
      <c r="EH154" s="170"/>
      <c r="EI154" s="170"/>
      <c r="EJ154" s="170"/>
      <c r="EK154" s="170"/>
    </row>
    <row r="155" spans="1:141" ht="15.75" thickBot="1" x14ac:dyDescent="0.3">
      <c r="A155" s="170"/>
      <c r="B155" s="472"/>
      <c r="C155" s="472"/>
      <c r="D155" s="472"/>
      <c r="E155" s="473"/>
      <c r="F155" s="493"/>
      <c r="G155" s="1327" t="s">
        <v>367</v>
      </c>
      <c r="H155" s="1338"/>
      <c r="I155" s="1310">
        <f t="shared" si="469"/>
        <v>0</v>
      </c>
      <c r="J155" s="1688"/>
      <c r="K155" s="1350"/>
      <c r="L155" s="1331">
        <f>+L154+L153+L152</f>
        <v>0</v>
      </c>
      <c r="M155" s="1688"/>
      <c r="N155" s="1350">
        <f>SUM(N144:N154)</f>
        <v>0</v>
      </c>
      <c r="O155" s="1331">
        <f>+O154+O153+O152</f>
        <v>0</v>
      </c>
      <c r="P155" s="1688"/>
      <c r="Q155" s="1350">
        <f>SUM(Q144:Q154)</f>
        <v>0</v>
      </c>
      <c r="R155" s="1331">
        <f>+R154+R153+R152</f>
        <v>0</v>
      </c>
      <c r="S155" s="1688"/>
      <c r="T155" s="1350">
        <f>SUM(T144:T154)</f>
        <v>0</v>
      </c>
      <c r="U155" s="1331">
        <f>+U154+U153+U152</f>
        <v>0</v>
      </c>
      <c r="V155" s="1688"/>
      <c r="W155" s="1350">
        <f>SUM(W144:W154)</f>
        <v>1450</v>
      </c>
      <c r="X155" s="1331">
        <f>+X154+X153+X152</f>
        <v>311502</v>
      </c>
      <c r="Y155" s="1688"/>
      <c r="Z155" s="1350">
        <f>SUM(Z144:Z154)</f>
        <v>3400</v>
      </c>
      <c r="AA155" s="1331">
        <f>+AA154+AA153+AA152</f>
        <v>752332</v>
      </c>
      <c r="AB155" s="1688"/>
      <c r="AC155" s="1350">
        <f>SUM(AC144:AC154)</f>
        <v>0</v>
      </c>
      <c r="AD155" s="1331">
        <f>+AD154+AD153+AD152</f>
        <v>0</v>
      </c>
      <c r="AE155" s="1688"/>
      <c r="AF155" s="1350">
        <f>SUM(AF144:AF154)</f>
        <v>0</v>
      </c>
      <c r="AG155" s="1331">
        <f>+AG154+AG153+AG152</f>
        <v>0</v>
      </c>
      <c r="AH155" s="1688"/>
      <c r="AI155" s="1350">
        <f>SUM(AI144:AI154)</f>
        <v>0</v>
      </c>
      <c r="AJ155" s="1331">
        <f>+AJ154+AJ153+AJ152</f>
        <v>0</v>
      </c>
      <c r="AK155" s="1688"/>
      <c r="AL155" s="1350">
        <f>SUM(AL144:AL154)</f>
        <v>0</v>
      </c>
      <c r="AM155" s="1331">
        <f>+AM154+AM153+AM152</f>
        <v>0</v>
      </c>
      <c r="AN155" s="1688"/>
      <c r="AO155" s="1350">
        <f>SUM(AO144:AO154)</f>
        <v>0</v>
      </c>
      <c r="AP155" s="1331">
        <f>+AP154+AP153+AP152</f>
        <v>0</v>
      </c>
      <c r="AQ155" s="1688"/>
      <c r="AR155" s="1350">
        <f t="shared" ref="AR155" si="650">+Z155+W155+T155+Q155+N155+K155+AC155</f>
        <v>4850</v>
      </c>
      <c r="AS155" s="1331">
        <f>+AS154+AS153+AS152</f>
        <v>1063834</v>
      </c>
      <c r="AT155" s="1687"/>
      <c r="AU155" s="411"/>
      <c r="AV155" s="1757">
        <f t="shared" si="510"/>
        <v>1063834</v>
      </c>
      <c r="AW155" s="411"/>
      <c r="AX155" s="493"/>
      <c r="AY155" s="485" t="s">
        <v>367</v>
      </c>
      <c r="AZ155" s="1251"/>
      <c r="BA155" s="1255"/>
      <c r="BB155" s="1635"/>
      <c r="BC155" s="1253"/>
      <c r="BD155" s="1254">
        <f>+BD154+BD153+BD152</f>
        <v>0</v>
      </c>
      <c r="BE155" s="1635"/>
      <c r="BF155" s="1468">
        <f>SUM(BF144:BF154)</f>
        <v>0</v>
      </c>
      <c r="BG155" s="1259">
        <f>+BG154+BG153+BG152</f>
        <v>0</v>
      </c>
      <c r="BH155" s="1635"/>
      <c r="BI155" s="1468">
        <f>SUM(BI144:BI154)</f>
        <v>0</v>
      </c>
      <c r="BJ155" s="1259">
        <f>+BJ154+BJ153+BJ152</f>
        <v>0</v>
      </c>
      <c r="BK155" s="1635"/>
      <c r="BL155" s="1468">
        <f>SUM(BL144:BL154)</f>
        <v>0</v>
      </c>
      <c r="BM155" s="1259">
        <f>+BM154+BM153+BM152</f>
        <v>0</v>
      </c>
      <c r="BN155" s="1635"/>
      <c r="BO155" s="1468">
        <f>SUM(BO144:BO154)</f>
        <v>1450</v>
      </c>
      <c r="BP155" s="1259">
        <f>+BP154+BP153+BP152</f>
        <v>276950</v>
      </c>
      <c r="BQ155" s="1635"/>
      <c r="BR155" s="1468">
        <f>SUM(BR144:BR154)</f>
        <v>3400</v>
      </c>
      <c r="BS155" s="1259">
        <f>+BS154+BS153+BS152</f>
        <v>649400</v>
      </c>
      <c r="BT155" s="1635"/>
      <c r="BU155" s="1468">
        <f>SUM(BU144:BU154)</f>
        <v>0</v>
      </c>
      <c r="BV155" s="1259">
        <f>+BV154+BV153+BV152</f>
        <v>0</v>
      </c>
      <c r="BW155" s="1635"/>
      <c r="BX155" s="1468">
        <f>SUM(BX144:BX154)</f>
        <v>0</v>
      </c>
      <c r="BY155" s="1259">
        <f>+BY154+BY153+BY152</f>
        <v>0</v>
      </c>
      <c r="BZ155" s="1635"/>
      <c r="CA155" s="1468">
        <f>SUM(CA144:CA154)</f>
        <v>0</v>
      </c>
      <c r="CB155" s="1259">
        <f>+CB154+CB153+CB152</f>
        <v>0</v>
      </c>
      <c r="CC155" s="1635"/>
      <c r="CD155" s="1468">
        <f>SUM(CD144:CD154)</f>
        <v>0</v>
      </c>
      <c r="CE155" s="1259">
        <f>+CE154+CE153+CE152</f>
        <v>0</v>
      </c>
      <c r="CF155" s="1635"/>
      <c r="CG155" s="1468">
        <f>SUM(CG144:CG154)</f>
        <v>0</v>
      </c>
      <c r="CH155" s="1259">
        <f>+CH154+CH153+CH152</f>
        <v>0</v>
      </c>
      <c r="CI155" s="1635"/>
      <c r="CJ155" s="1253">
        <f t="shared" si="507"/>
        <v>4850</v>
      </c>
      <c r="CK155" s="1254">
        <f>+CK154+CK153+CK152</f>
        <v>926350</v>
      </c>
      <c r="CL155" s="1731"/>
      <c r="CM155" s="170"/>
      <c r="CN155" s="493"/>
      <c r="CO155" s="464" t="s">
        <v>367</v>
      </c>
      <c r="CP155" s="486"/>
      <c r="CQ155" s="487"/>
      <c r="CR155" s="1706"/>
      <c r="CS155" s="467">
        <f>SUM(CS136:CS154)-CS141</f>
        <v>0</v>
      </c>
      <c r="CT155" s="468">
        <f>CT152+CT154</f>
        <v>0</v>
      </c>
      <c r="CU155" s="1703"/>
      <c r="CV155" s="467">
        <f>SUM(CV136:CV154)-CV141</f>
        <v>0</v>
      </c>
      <c r="CW155" s="468">
        <f>CW152+CW154</f>
        <v>0</v>
      </c>
      <c r="CX155" s="1703"/>
      <c r="CY155" s="467">
        <f>SUM(CY136:CY154)-CY141</f>
        <v>0</v>
      </c>
      <c r="CZ155" s="468">
        <f>CZ152+CZ154</f>
        <v>0</v>
      </c>
      <c r="DA155" s="1703"/>
      <c r="DB155" s="467">
        <f>SUM(DB136:DB154)-DB141</f>
        <v>0</v>
      </c>
      <c r="DC155" s="468">
        <f>DC152+DC154</f>
        <v>0</v>
      </c>
      <c r="DD155" s="1703"/>
      <c r="DE155" s="467">
        <f>SUM(DE136:DE154)-DE141</f>
        <v>0</v>
      </c>
      <c r="DF155" s="468">
        <f>DF152+DF154</f>
        <v>34552</v>
      </c>
      <c r="DG155" s="1703"/>
      <c r="DH155" s="467">
        <f>SUM(DH136:DH154)-DH141</f>
        <v>0</v>
      </c>
      <c r="DI155" s="468">
        <f>DI152+DI154</f>
        <v>102932</v>
      </c>
      <c r="DJ155" s="1703"/>
      <c r="DK155" s="467">
        <f>SUM(DK136:DK154)-DK141</f>
        <v>0</v>
      </c>
      <c r="DL155" s="468">
        <f>DL152+DL154</f>
        <v>0</v>
      </c>
      <c r="DM155" s="1703"/>
      <c r="DN155" s="467">
        <f>SUM(DN136:DN154)-DN141</f>
        <v>0</v>
      </c>
      <c r="DO155" s="468">
        <f>DO152+DO154</f>
        <v>0</v>
      </c>
      <c r="DP155" s="1703"/>
      <c r="DQ155" s="467">
        <f>SUM(DQ136:DQ154)-DQ141</f>
        <v>0</v>
      </c>
      <c r="DR155" s="468">
        <f>DR152+DR154</f>
        <v>0</v>
      </c>
      <c r="DS155" s="1703"/>
      <c r="DT155" s="467">
        <f>SUM(DT136:DT154)-DT141</f>
        <v>0</v>
      </c>
      <c r="DU155" s="468">
        <f>DU152+DU154</f>
        <v>0</v>
      </c>
      <c r="DV155" s="1703"/>
      <c r="DW155" s="467">
        <f>SUM(DW136:DW154)-DW141</f>
        <v>0</v>
      </c>
      <c r="DX155" s="468">
        <f>DX152+DX154</f>
        <v>0</v>
      </c>
      <c r="DY155" s="1703"/>
      <c r="DZ155" s="467">
        <f t="shared" ref="DZ155" si="651">+DH155+DE155+DB155+CY155+CV155+CS155+DK155</f>
        <v>0</v>
      </c>
      <c r="EA155" s="1744">
        <f>+EA154+EA153+EA152</f>
        <v>137484</v>
      </c>
      <c r="EB155" s="433"/>
      <c r="EC155" s="170"/>
      <c r="ED155" s="170"/>
      <c r="EE155" s="170"/>
      <c r="EF155" s="170"/>
      <c r="EG155" s="170"/>
      <c r="EH155" s="170"/>
      <c r="EI155" s="170"/>
      <c r="EJ155" s="170"/>
      <c r="EK155" s="170"/>
    </row>
    <row r="156" spans="1:141" ht="15" x14ac:dyDescent="0.25">
      <c r="A156" s="170"/>
      <c r="B156" s="472"/>
      <c r="C156" s="472"/>
      <c r="D156" s="472"/>
      <c r="E156" s="473"/>
      <c r="F156" s="524"/>
      <c r="G156" s="1291" t="s">
        <v>1234</v>
      </c>
      <c r="H156" s="1291"/>
      <c r="I156" s="1310">
        <f t="shared" si="469"/>
        <v>0</v>
      </c>
      <c r="J156" s="1690"/>
      <c r="K156" s="1351">
        <f>K155+K142+K129+K88+K76+K65+K34</f>
        <v>0</v>
      </c>
      <c r="L156" s="1352">
        <f>L155+L142+L129+L88+L76+L65+L34</f>
        <v>141436.63999999998</v>
      </c>
      <c r="M156" s="1690"/>
      <c r="N156" s="1351">
        <f>N155+N142+N129+N88+N76+N65+N34</f>
        <v>0</v>
      </c>
      <c r="O156" s="1352">
        <f ca="1">O155+O142+O129+O88+O76+O65+O34</f>
        <v>3917</v>
      </c>
      <c r="P156" s="1690"/>
      <c r="Q156" s="1351">
        <f ca="1">Q155+Q142+Q129+Q88+Q76+Q65+Q34</f>
        <v>0</v>
      </c>
      <c r="R156" s="1352">
        <f ca="1">R155+R142+R129+R88+R76+R65+R34</f>
        <v>7980</v>
      </c>
      <c r="S156" s="1690"/>
      <c r="T156" s="1351">
        <f ca="1">T155+T142+T129+T88+T76+T65+T34</f>
        <v>4522</v>
      </c>
      <c r="U156" s="1352">
        <f ca="1">U155+U142+U129+U88+U76+U65+U34</f>
        <v>10767477.5746</v>
      </c>
      <c r="V156" s="1690"/>
      <c r="W156" s="1351">
        <f ca="1">W155+W142+W129+W88+W76+W65+W34</f>
        <v>20153.064903225808</v>
      </c>
      <c r="X156" s="1352">
        <f ca="1">X155+X142+X129+X88+X76+X65+X34</f>
        <v>14943992.491466401</v>
      </c>
      <c r="Y156" s="1690"/>
      <c r="Z156" s="1351">
        <f ca="1">Z155+Z142+Z129+Z88+Z76+Z65+Z34</f>
        <v>14522.043268817206</v>
      </c>
      <c r="AA156" s="1352">
        <f ca="1">AA155+AA142+AA129+AA88+AA76+AA65+AA34</f>
        <v>3126586.752678168</v>
      </c>
      <c r="AB156" s="1690"/>
      <c r="AC156" s="1351">
        <f ca="1">AC155+AC142+AC129+AC88+AC76+AC65+AC34</f>
        <v>0</v>
      </c>
      <c r="AD156" s="1352">
        <f ca="1">AD155+AD142+AD129+AD88+AD76+AD65+AD34</f>
        <v>0</v>
      </c>
      <c r="AE156" s="1690"/>
      <c r="AF156" s="1351">
        <f ca="1">AF155+AF142+AF129+AF88+AF76+AF65+AF34</f>
        <v>0</v>
      </c>
      <c r="AG156" s="1352">
        <f ca="1">AG155+AG142+AG129+AG88+AG76+AG65+AG34</f>
        <v>0</v>
      </c>
      <c r="AH156" s="1690"/>
      <c r="AI156" s="1351">
        <f ca="1">AI155+AI142+AI129+AI88+AI76+AI65+AI34</f>
        <v>0</v>
      </c>
      <c r="AJ156" s="1352">
        <f ca="1">AJ155+AJ142+AJ129+AJ88+AJ76+AJ65+AJ34</f>
        <v>0</v>
      </c>
      <c r="AK156" s="1690"/>
      <c r="AL156" s="1351">
        <f ca="1">AL155+AL142+AL129+AL88+AL76+AL65+AL34</f>
        <v>0</v>
      </c>
      <c r="AM156" s="1352">
        <f ca="1">AM155+AM142+AM129+AM88+AM76+AM65+AM34</f>
        <v>0</v>
      </c>
      <c r="AN156" s="1690"/>
      <c r="AO156" s="1351">
        <f ca="1">AO155+AO142+AO129+AO88+AO76+AO65+AO34</f>
        <v>0</v>
      </c>
      <c r="AP156" s="1352">
        <f ca="1">AP155+AP142+AP129+AP88+AP76+AP65+AP34</f>
        <v>0</v>
      </c>
      <c r="AQ156" s="1690"/>
      <c r="AR156" s="1351">
        <f ca="1">AR155+AR142+AR129+AR88+AR76+AR65+AR34</f>
        <v>39197.108172043008</v>
      </c>
      <c r="AS156" s="1352">
        <f ca="1">AS155+AS142+AS129+AS88+AS76+AS65+AS34</f>
        <v>28991390.458744571</v>
      </c>
      <c r="AT156" s="1690"/>
      <c r="AU156" s="411"/>
      <c r="AV156" s="1757">
        <f t="shared" ca="1" si="510"/>
        <v>28991390.458744571</v>
      </c>
      <c r="AW156" s="523"/>
      <c r="AX156" s="524"/>
      <c r="AY156" s="168" t="s">
        <v>1234</v>
      </c>
      <c r="AZ156" s="168"/>
      <c r="BA156" s="377"/>
      <c r="BB156" s="1637"/>
      <c r="BC156" s="1266">
        <f>BC155+BC142+BC129+BC88+BC76+BC65+BC34</f>
        <v>0</v>
      </c>
      <c r="BD156" s="1267">
        <f>BD155+BD142+BD129+BD88+BD76+BD65+BD34</f>
        <v>141436.63999999998</v>
      </c>
      <c r="BE156" s="1637"/>
      <c r="BF156" s="1472">
        <f ca="1">BF155+BF142+BF129+BF88+BF76+BF65+BF34</f>
        <v>0</v>
      </c>
      <c r="BG156" s="1267">
        <f ca="1">BG155+BG142+BG129+BG88+BG76+BG65+BG34</f>
        <v>3917.23</v>
      </c>
      <c r="BH156" s="1637"/>
      <c r="BI156" s="1472"/>
      <c r="BJ156" s="1267">
        <f ca="1">BJ155+BJ142+BJ129+BJ88+BJ76+BJ65+BJ34</f>
        <v>7600</v>
      </c>
      <c r="BK156" s="1637"/>
      <c r="BL156" s="1472">
        <f ca="1">BL155+BL142+BL129+BL88+BL76+BL65+BL34</f>
        <v>4522</v>
      </c>
      <c r="BM156" s="1267">
        <f ca="1">BM155+BM142+BM129+BM88+BM76+BM65+BM34</f>
        <v>10119114</v>
      </c>
      <c r="BN156" s="1637"/>
      <c r="BO156" s="1472">
        <f ca="1">BO155+BO142+BO129+BO88+BO76+BO65+BO34</f>
        <v>20153.064903225808</v>
      </c>
      <c r="BP156" s="1267">
        <f ca="1">BP155+BP142+BP129+BP88+BP76+BP65+BP34</f>
        <v>13545169.557289999</v>
      </c>
      <c r="BQ156" s="1637"/>
      <c r="BR156" s="1472">
        <f ca="1">BR155+BR142+BR129+BR88+BR76+BR65+BR34</f>
        <v>14522.043268817206</v>
      </c>
      <c r="BS156" s="1267">
        <f ca="1">BS155+BS142+BS129+BS88+BS76+BS65+BS34</f>
        <v>2698816.392</v>
      </c>
      <c r="BT156" s="1637"/>
      <c r="BU156" s="1472">
        <f ca="1">BU155+BU142+BU129+BU88+BU76+BU65+BU34</f>
        <v>0</v>
      </c>
      <c r="BV156" s="1267">
        <f ca="1">BV155+BV142+BV129+BV88+BV76+BV65+BV34</f>
        <v>0</v>
      </c>
      <c r="BW156" s="1637"/>
      <c r="BX156" s="1472">
        <f ca="1">BX155+BX142+BX129+BX88+BX76+BX65+BX34</f>
        <v>0</v>
      </c>
      <c r="BY156" s="1267">
        <f ca="1">BY155+BY142+BY129+BY88+BY76+BY65+BY34</f>
        <v>0</v>
      </c>
      <c r="BZ156" s="1637"/>
      <c r="CA156" s="1472">
        <f ca="1">CA155+CA142+CA129+CA88+CA76+CA65+CA34</f>
        <v>0</v>
      </c>
      <c r="CB156" s="1267">
        <f ca="1">CB155+CB142+CB129+CB88+CB76+CB65+CB34</f>
        <v>0</v>
      </c>
      <c r="CC156" s="1637"/>
      <c r="CD156" s="1472">
        <f ca="1">CD155+CD142+CD129+CD88+CD76+CD65+CD34</f>
        <v>0</v>
      </c>
      <c r="CE156" s="1267">
        <f ca="1">CE155+CE142+CE129+CE88+CE76+CE65+CE34</f>
        <v>0</v>
      </c>
      <c r="CF156" s="1637"/>
      <c r="CG156" s="1472">
        <f ca="1">CG155+CG142+CG129+CG88+CG76+CG65+CG34</f>
        <v>0</v>
      </c>
      <c r="CH156" s="1267">
        <f ca="1">CH155+CH142+CH129+CH88+CH76+CH65+CH34</f>
        <v>0</v>
      </c>
      <c r="CI156" s="1637"/>
      <c r="CJ156" s="1266">
        <f ca="1">CJ155+CJ142+CJ129+CJ88+CJ76+CJ65+CJ34</f>
        <v>39197.108172043008</v>
      </c>
      <c r="CK156" s="1268">
        <f ca="1">CK155+CK142+CK129+CK88+CK76+CK65+CK34</f>
        <v>26516053.819290001</v>
      </c>
      <c r="CL156" s="1738"/>
      <c r="CM156" s="170"/>
      <c r="CN156" s="524"/>
      <c r="CO156" s="388" t="s">
        <v>1234</v>
      </c>
      <c r="CP156" s="388"/>
      <c r="CQ156" s="384"/>
      <c r="CR156" s="1710"/>
      <c r="CS156" s="525">
        <f>CS155+CS142+CS129+CS88+CS76+CS65+CS34</f>
        <v>0</v>
      </c>
      <c r="CT156" s="526">
        <f>CT155+CT142+CT129+CT88+CT76+CT65+CT34</f>
        <v>0</v>
      </c>
      <c r="CU156" s="1710"/>
      <c r="CV156" s="525">
        <f>CV155+CV142+CV129+CV88+CV76+CV65+CV34</f>
        <v>0</v>
      </c>
      <c r="CW156" s="526">
        <f ca="1">CW155+CW142+CW129+CW88+CW76+CW65+CW34</f>
        <v>-0.23000000000001819</v>
      </c>
      <c r="CX156" s="1710"/>
      <c r="CY156" s="525">
        <f>CY155+CY142+CY129+CY88+CY76+CY65+CY34</f>
        <v>0</v>
      </c>
      <c r="CZ156" s="526">
        <f ca="1">CZ155+CZ142+CZ129+CZ88+CZ76+CZ65+CZ34</f>
        <v>380</v>
      </c>
      <c r="DA156" s="1710"/>
      <c r="DB156" s="525">
        <f>DB155+DB142+DB129+DB88+DB76+DB65+DB34</f>
        <v>0</v>
      </c>
      <c r="DC156" s="526">
        <f ca="1">DC155+DC142+DC129+DC88+DC76+DC65+DC34</f>
        <v>648363.57459999959</v>
      </c>
      <c r="DD156" s="1710"/>
      <c r="DE156" s="525">
        <f>DE155+DE142+DE129+DE88+DE76+DE65+DE34</f>
        <v>0</v>
      </c>
      <c r="DF156" s="526">
        <f ca="1">DF155+DF142+DF129+DF88+DF76+DF65+DF34</f>
        <v>1398822.9341764003</v>
      </c>
      <c r="DG156" s="1710"/>
      <c r="DH156" s="525">
        <f>DH155+DH142+DH129+DH88+DH76+DH65+DH34</f>
        <v>0</v>
      </c>
      <c r="DI156" s="526">
        <f ca="1">DI155+DI142+DI129+DI88+DI76+DI65+DI34</f>
        <v>427770.36067816825</v>
      </c>
      <c r="DJ156" s="1710"/>
      <c r="DK156" s="525">
        <f>DK155+DK142+DK129+DK88+DK76+DK65+DK34</f>
        <v>0</v>
      </c>
      <c r="DL156" s="526">
        <f ca="1">DL155+DL142+DL129+DL88+DL76+DL65+DL34</f>
        <v>0</v>
      </c>
      <c r="DM156" s="1710"/>
      <c r="DN156" s="525">
        <f>DN155+DN142+DN129+DN88+DN76+DN65+DN34</f>
        <v>0</v>
      </c>
      <c r="DO156" s="526">
        <f ca="1">DO155+DO142+DO129+DO88+DO76+DO65+DO34</f>
        <v>0</v>
      </c>
      <c r="DP156" s="1710"/>
      <c r="DQ156" s="525">
        <f>DQ155+DQ142+DQ129+DQ88+DQ76+DQ65+DQ34</f>
        <v>0</v>
      </c>
      <c r="DR156" s="526">
        <f ca="1">DR155+DR142+DR129+DR88+DR76+DR65+DR34</f>
        <v>0</v>
      </c>
      <c r="DS156" s="1710"/>
      <c r="DT156" s="525">
        <f>DT155+DT142+DT129+DT88+DT76+DT65+DT34</f>
        <v>0</v>
      </c>
      <c r="DU156" s="526">
        <f ca="1">DU155+DU142+DU129+DU88+DU76+DU65+DU34</f>
        <v>0</v>
      </c>
      <c r="DV156" s="1710"/>
      <c r="DW156" s="525">
        <f>DW155+DW142+DW129+DW88+DW76+DW65+DW34</f>
        <v>0</v>
      </c>
      <c r="DX156" s="526">
        <f ca="1">DX155+DX142+DX129+DX88+DX76+DX65+DX34</f>
        <v>0</v>
      </c>
      <c r="DY156" s="1710"/>
      <c r="DZ156" s="1749">
        <f>DZ155+DZ142+DZ129+DZ88+DZ76+DZ65+DZ34</f>
        <v>0</v>
      </c>
      <c r="EA156" s="1750">
        <f ca="1">EA155+EA142+EA129+EA88+EA76+EA65+EA34</f>
        <v>2475336.6394545683</v>
      </c>
      <c r="EB156" s="433"/>
      <c r="EC156" s="170"/>
      <c r="ED156" s="170"/>
      <c r="EE156" s="170"/>
      <c r="EF156" s="170"/>
      <c r="EG156" s="170"/>
      <c r="EH156" s="170"/>
      <c r="EI156" s="170"/>
      <c r="EJ156" s="170"/>
      <c r="EK156" s="170"/>
    </row>
    <row r="157" spans="1:141" ht="15" x14ac:dyDescent="0.25">
      <c r="A157" s="170"/>
      <c r="B157" s="472"/>
      <c r="C157" s="472"/>
      <c r="D157" s="472"/>
      <c r="E157" s="473"/>
      <c r="F157" s="493"/>
      <c r="G157" s="1287"/>
      <c r="H157" s="1287"/>
      <c r="I157" s="1310">
        <f t="shared" si="469"/>
        <v>0</v>
      </c>
      <c r="J157" s="1687"/>
      <c r="K157" s="1325"/>
      <c r="L157" s="1332"/>
      <c r="M157" s="1687"/>
      <c r="N157" s="1325"/>
      <c r="O157" s="1332"/>
      <c r="P157" s="1687"/>
      <c r="Q157" s="1325"/>
      <c r="R157" s="1332"/>
      <c r="S157" s="1687"/>
      <c r="T157" s="1325"/>
      <c r="U157" s="1332"/>
      <c r="V157" s="1687"/>
      <c r="W157" s="1325"/>
      <c r="X157" s="1332"/>
      <c r="Y157" s="1687"/>
      <c r="Z157" s="1325"/>
      <c r="AA157" s="1332"/>
      <c r="AB157" s="1687"/>
      <c r="AC157" s="1325"/>
      <c r="AD157" s="1332"/>
      <c r="AE157" s="1687"/>
      <c r="AF157" s="1325"/>
      <c r="AG157" s="1332"/>
      <c r="AH157" s="1687"/>
      <c r="AI157" s="1325"/>
      <c r="AJ157" s="1332"/>
      <c r="AK157" s="1687"/>
      <c r="AL157" s="1325"/>
      <c r="AM157" s="1332"/>
      <c r="AN157" s="1687"/>
      <c r="AO157" s="1325"/>
      <c r="AP157" s="1332"/>
      <c r="AQ157" s="1687"/>
      <c r="AR157" s="1325">
        <f>+Z157+W157+T157+Q157+N157+K157+AC157</f>
        <v>0</v>
      </c>
      <c r="AS157" s="1332">
        <f>+AA157+X157+U157+R157+O157+L157+AD157</f>
        <v>0</v>
      </c>
      <c r="AT157" s="1687"/>
      <c r="AU157" s="411"/>
      <c r="AV157" s="1757">
        <f t="shared" si="510"/>
        <v>0</v>
      </c>
      <c r="AW157" s="411"/>
      <c r="AX157" s="493"/>
      <c r="AY157" s="488"/>
      <c r="AZ157" s="488"/>
      <c r="BA157" s="457"/>
      <c r="BB157" s="1632"/>
      <c r="BC157" s="511"/>
      <c r="BD157" s="1260"/>
      <c r="BE157" s="1632"/>
      <c r="BF157" s="1470"/>
      <c r="BG157" s="1269"/>
      <c r="BH157" s="1632"/>
      <c r="BI157" s="1470"/>
      <c r="BJ157" s="1269"/>
      <c r="BK157" s="1632"/>
      <c r="BL157" s="1470"/>
      <c r="BM157" s="1269"/>
      <c r="BN157" s="1632"/>
      <c r="BO157" s="1470"/>
      <c r="BP157" s="1269"/>
      <c r="BQ157" s="1632"/>
      <c r="BR157" s="1470"/>
      <c r="BS157" s="1269"/>
      <c r="BT157" s="1632"/>
      <c r="BU157" s="1470"/>
      <c r="BV157" s="1269"/>
      <c r="BW157" s="1632"/>
      <c r="BX157" s="1470"/>
      <c r="BY157" s="1269"/>
      <c r="BZ157" s="1632"/>
      <c r="CA157" s="1470"/>
      <c r="CB157" s="1269"/>
      <c r="CC157" s="1632"/>
      <c r="CD157" s="1470"/>
      <c r="CE157" s="1269"/>
      <c r="CF157" s="1632"/>
      <c r="CG157" s="1470"/>
      <c r="CH157" s="1269"/>
      <c r="CI157" s="1632"/>
      <c r="CJ157" s="491">
        <f>+BR157+BO157+BL157+BI157+BF157+BC157+BU157</f>
        <v>0</v>
      </c>
      <c r="CK157" s="1262">
        <f>+BS157+BP157+BM157+BJ157+BG157+BD157+BV157</f>
        <v>0</v>
      </c>
      <c r="CL157" s="1737"/>
      <c r="CM157" s="170"/>
      <c r="CN157" s="493"/>
      <c r="CO157" s="382"/>
      <c r="CP157" s="382"/>
      <c r="CQ157" s="385"/>
      <c r="CR157" s="1703"/>
      <c r="CS157" s="462"/>
      <c r="CT157" s="463"/>
      <c r="CU157" s="1703"/>
      <c r="CV157" s="462"/>
      <c r="CW157" s="463"/>
      <c r="CX157" s="1703"/>
      <c r="CY157" s="462"/>
      <c r="CZ157" s="463"/>
      <c r="DA157" s="1703"/>
      <c r="DB157" s="462"/>
      <c r="DC157" s="463"/>
      <c r="DD157" s="1703"/>
      <c r="DE157" s="462"/>
      <c r="DF157" s="463"/>
      <c r="DG157" s="1703"/>
      <c r="DH157" s="462"/>
      <c r="DI157" s="463"/>
      <c r="DJ157" s="1703"/>
      <c r="DK157" s="462"/>
      <c r="DL157" s="463"/>
      <c r="DM157" s="1703"/>
      <c r="DN157" s="462"/>
      <c r="DO157" s="463"/>
      <c r="DP157" s="1703"/>
      <c r="DQ157" s="462"/>
      <c r="DR157" s="463"/>
      <c r="DS157" s="1703"/>
      <c r="DT157" s="462"/>
      <c r="DU157" s="463"/>
      <c r="DV157" s="1703"/>
      <c r="DW157" s="462"/>
      <c r="DX157" s="463"/>
      <c r="DY157" s="1703"/>
      <c r="DZ157" s="435">
        <f>+DH157+DE157+DB157+CY157+CV157+CS157+DK157</f>
        <v>0</v>
      </c>
      <c r="EA157" s="1745">
        <f>+DI157+DF157+DC157+CZ157+CW157+CT157+DL157</f>
        <v>0</v>
      </c>
      <c r="EB157" s="433"/>
      <c r="EC157" s="170"/>
      <c r="ED157" s="170"/>
      <c r="EE157" s="170"/>
      <c r="EF157" s="170"/>
      <c r="EG157" s="170"/>
      <c r="EH157" s="170"/>
      <c r="EI157" s="170"/>
      <c r="EJ157" s="170"/>
      <c r="EK157" s="170"/>
    </row>
    <row r="158" spans="1:141" ht="15" x14ac:dyDescent="0.25">
      <c r="A158" s="170"/>
      <c r="B158" s="472"/>
      <c r="C158" s="472"/>
      <c r="D158" s="472"/>
      <c r="E158" s="473"/>
      <c r="F158" s="493"/>
      <c r="G158" s="1291" t="str">
        <f>+AY158</f>
        <v>Risk</v>
      </c>
      <c r="H158" s="1287"/>
      <c r="I158" s="1310"/>
      <c r="J158" s="1687"/>
      <c r="K158" s="1325"/>
      <c r="L158" s="1332"/>
      <c r="M158" s="1687"/>
      <c r="N158" s="1325"/>
      <c r="O158" s="1332"/>
      <c r="P158" s="1687"/>
      <c r="Q158" s="1325"/>
      <c r="R158" s="1332"/>
      <c r="S158" s="1687"/>
      <c r="T158" s="1325"/>
      <c r="U158" s="1332"/>
      <c r="V158" s="1687"/>
      <c r="W158" s="1325"/>
      <c r="X158" s="1332"/>
      <c r="Y158" s="1687"/>
      <c r="Z158" s="1325"/>
      <c r="AA158" s="1332"/>
      <c r="AB158" s="1687"/>
      <c r="AC158" s="1325"/>
      <c r="AD158" s="1332"/>
      <c r="AE158" s="1687"/>
      <c r="AF158" s="1325"/>
      <c r="AG158" s="1332"/>
      <c r="AH158" s="1687"/>
      <c r="AI158" s="1325"/>
      <c r="AJ158" s="1332"/>
      <c r="AK158" s="1687"/>
      <c r="AL158" s="1325"/>
      <c r="AM158" s="1332"/>
      <c r="AN158" s="1687"/>
      <c r="AO158" s="1325"/>
      <c r="AP158" s="1332"/>
      <c r="AQ158" s="1687"/>
      <c r="AR158" s="1325"/>
      <c r="AS158" s="1332"/>
      <c r="AT158" s="1687"/>
      <c r="AU158" s="411"/>
      <c r="AV158" s="1757">
        <f t="shared" si="510"/>
        <v>0</v>
      </c>
      <c r="AW158" s="411"/>
      <c r="AX158" s="493"/>
      <c r="AY158" s="168" t="s">
        <v>1233</v>
      </c>
      <c r="AZ158" s="488"/>
      <c r="BA158" s="457"/>
      <c r="BB158" s="1632"/>
      <c r="BC158" s="511"/>
      <c r="BD158" s="1260"/>
      <c r="BE158" s="1632"/>
      <c r="BF158" s="1470"/>
      <c r="BG158" s="1269"/>
      <c r="BH158" s="1632"/>
      <c r="BI158" s="1470"/>
      <c r="BJ158" s="1269"/>
      <c r="BK158" s="1632"/>
      <c r="BL158" s="1470"/>
      <c r="BM158" s="1269"/>
      <c r="BN158" s="1632"/>
      <c r="BO158" s="1470"/>
      <c r="BP158" s="1269"/>
      <c r="BQ158" s="1632"/>
      <c r="BR158" s="1470"/>
      <c r="BS158" s="1269"/>
      <c r="BT158" s="1632"/>
      <c r="BU158" s="1470"/>
      <c r="BV158" s="1269"/>
      <c r="BW158" s="1632"/>
      <c r="BX158" s="1470"/>
      <c r="BY158" s="1269"/>
      <c r="BZ158" s="1632"/>
      <c r="CA158" s="1470"/>
      <c r="CB158" s="1269"/>
      <c r="CC158" s="1632"/>
      <c r="CD158" s="1470"/>
      <c r="CE158" s="1269"/>
      <c r="CF158" s="1632"/>
      <c r="CG158" s="1470"/>
      <c r="CH158" s="1269"/>
      <c r="CI158" s="1632"/>
      <c r="CJ158" s="491"/>
      <c r="CK158" s="1262"/>
      <c r="CL158" s="1737"/>
      <c r="CM158" s="170"/>
      <c r="CN158" s="493"/>
      <c r="CO158" s="382" t="str">
        <f>+AY158</f>
        <v>Risk</v>
      </c>
      <c r="CP158" s="382"/>
      <c r="CQ158" s="385"/>
      <c r="CR158" s="1703"/>
      <c r="CS158" s="462"/>
      <c r="CT158" s="463"/>
      <c r="CU158" s="1703"/>
      <c r="CV158" s="462"/>
      <c r="CW158" s="463"/>
      <c r="CX158" s="1703"/>
      <c r="CY158" s="462"/>
      <c r="CZ158" s="463"/>
      <c r="DA158" s="1703"/>
      <c r="DB158" s="462"/>
      <c r="DC158" s="463"/>
      <c r="DD158" s="1703"/>
      <c r="DE158" s="462"/>
      <c r="DF158" s="463"/>
      <c r="DG158" s="1703"/>
      <c r="DH158" s="462"/>
      <c r="DI158" s="463"/>
      <c r="DJ158" s="1703"/>
      <c r="DK158" s="462"/>
      <c r="DL158" s="463"/>
      <c r="DM158" s="1703"/>
      <c r="DN158" s="462"/>
      <c r="DO158" s="463"/>
      <c r="DP158" s="1703"/>
      <c r="DQ158" s="462"/>
      <c r="DR158" s="463"/>
      <c r="DS158" s="1703"/>
      <c r="DT158" s="462"/>
      <c r="DU158" s="463"/>
      <c r="DV158" s="1703"/>
      <c r="DW158" s="462"/>
      <c r="DX158" s="463"/>
      <c r="DY158" s="1703"/>
      <c r="DZ158" s="435"/>
      <c r="EA158" s="1745"/>
      <c r="EB158" s="433"/>
      <c r="EC158" s="170"/>
      <c r="ED158" s="170"/>
      <c r="EE158" s="170"/>
      <c r="EF158" s="170"/>
      <c r="EG158" s="170"/>
      <c r="EH158" s="170"/>
      <c r="EI158" s="170"/>
      <c r="EJ158" s="170"/>
      <c r="EK158" s="170"/>
    </row>
    <row r="159" spans="1:141" ht="15" x14ac:dyDescent="0.25">
      <c r="A159" s="170"/>
      <c r="B159" s="424">
        <v>5</v>
      </c>
      <c r="C159" s="424">
        <v>8</v>
      </c>
      <c r="D159" s="424">
        <v>6</v>
      </c>
      <c r="E159" s="425">
        <v>12</v>
      </c>
      <c r="F159" s="493"/>
      <c r="G159" s="1287" t="str">
        <f>+AY159</f>
        <v xml:space="preserve">   Risk</v>
      </c>
      <c r="H159" s="1287"/>
      <c r="I159" s="1310"/>
      <c r="J159" s="1687"/>
      <c r="K159" s="1311">
        <f t="shared" ref="K159:L161" si="652">+BC159</f>
        <v>0</v>
      </c>
      <c r="L159" s="1312">
        <f t="shared" si="652"/>
        <v>0</v>
      </c>
      <c r="M159" s="1685"/>
      <c r="N159" s="1717"/>
      <c r="O159" s="1312">
        <f>+BG159+CW159</f>
        <v>0</v>
      </c>
      <c r="P159" s="1685"/>
      <c r="Q159" s="1313">
        <f>+BI159</f>
        <v>0</v>
      </c>
      <c r="R159" s="1312">
        <f>+BJ159+CZ159</f>
        <v>0</v>
      </c>
      <c r="S159" s="1685"/>
      <c r="T159" s="1313">
        <f>+BL159</f>
        <v>0</v>
      </c>
      <c r="U159" s="1312">
        <f>+BM159+DC159</f>
        <v>900000</v>
      </c>
      <c r="V159" s="1685"/>
      <c r="W159" s="1313">
        <f>+BO159</f>
        <v>0</v>
      </c>
      <c r="X159" s="1312">
        <f>+BP159+DF159</f>
        <v>1650000</v>
      </c>
      <c r="Y159" s="1685"/>
      <c r="Z159" s="1313">
        <f>+BR159</f>
        <v>0</v>
      </c>
      <c r="AA159" s="1312">
        <f>+BS159+DI159</f>
        <v>1400000</v>
      </c>
      <c r="AB159" s="1685"/>
      <c r="AC159" s="1313">
        <f>+BU159</f>
        <v>0</v>
      </c>
      <c r="AD159" s="1312">
        <f>+BV159+DL159</f>
        <v>0</v>
      </c>
      <c r="AE159" s="1685"/>
      <c r="AF159" s="1313">
        <f>+BX159</f>
        <v>0</v>
      </c>
      <c r="AG159" s="1312">
        <f>+BY159+DO159</f>
        <v>0</v>
      </c>
      <c r="AH159" s="1685"/>
      <c r="AI159" s="1313">
        <f>+CA159</f>
        <v>0</v>
      </c>
      <c r="AJ159" s="1312">
        <f>+CB159+DR159</f>
        <v>0</v>
      </c>
      <c r="AK159" s="1685"/>
      <c r="AL159" s="1313">
        <f>+CD159</f>
        <v>0</v>
      </c>
      <c r="AM159" s="1312">
        <f>+CE159+DU159</f>
        <v>0</v>
      </c>
      <c r="AN159" s="1685"/>
      <c r="AO159" s="1313">
        <f>+CG159</f>
        <v>0</v>
      </c>
      <c r="AP159" s="1312">
        <f>+CH159+DX159</f>
        <v>0</v>
      </c>
      <c r="AQ159" s="1685"/>
      <c r="AR159" s="1313">
        <f t="shared" ref="AR159:AR161" si="653">+Z159+W159+T159+Q159+N159+K159+AC159+AF159+AI159+AL159+AO159</f>
        <v>0</v>
      </c>
      <c r="AS159" s="1312">
        <f t="shared" ref="AS159:AS161" si="654">+AA159+X159+U159+R159+O159+L159+AD159+AG159+AJ159+AM159+AP159</f>
        <v>3950000</v>
      </c>
      <c r="AT159" s="1687"/>
      <c r="AU159" s="411"/>
      <c r="AV159" s="1757">
        <f t="shared" si="510"/>
        <v>3950000</v>
      </c>
      <c r="AW159" s="411"/>
      <c r="AX159" s="493"/>
      <c r="AY159" s="488" t="s">
        <v>1460</v>
      </c>
      <c r="AZ159" s="488"/>
      <c r="BA159" s="457"/>
      <c r="BB159" s="1632"/>
      <c r="BC159" s="1592"/>
      <c r="BD159" s="1593"/>
      <c r="BE159" s="1632"/>
      <c r="BF159" s="1470"/>
      <c r="BG159" s="1269">
        <f>+'Estimated Risks'!G22</f>
        <v>0</v>
      </c>
      <c r="BH159" s="1632"/>
      <c r="BI159" s="1470"/>
      <c r="BJ159" s="1269">
        <f>+'Estimated Risks'!H22</f>
        <v>0</v>
      </c>
      <c r="BK159" s="1632"/>
      <c r="BL159" s="1470"/>
      <c r="BM159" s="1269">
        <f>+'Estimated Risks'!I22</f>
        <v>900000</v>
      </c>
      <c r="BN159" s="1632"/>
      <c r="BO159" s="1470"/>
      <c r="BP159" s="1269">
        <f>+'Estimated Risks'!J22</f>
        <v>1650000</v>
      </c>
      <c r="BQ159" s="1632"/>
      <c r="BR159" s="1470"/>
      <c r="BS159" s="1269">
        <f>+'Estimated Risks'!K22</f>
        <v>1400000</v>
      </c>
      <c r="BT159" s="1632"/>
      <c r="BU159" s="1470"/>
      <c r="BV159" s="1269">
        <f>+'Estimated Risks'!L22</f>
        <v>0</v>
      </c>
      <c r="BW159" s="1632"/>
      <c r="BX159" s="1470"/>
      <c r="BY159" s="1269">
        <f>+'Estimated Risks'!M22</f>
        <v>0</v>
      </c>
      <c r="BZ159" s="1632"/>
      <c r="CA159" s="1470"/>
      <c r="CB159" s="1269">
        <f>+'Estimated Risks'!N22</f>
        <v>0</v>
      </c>
      <c r="CC159" s="1632"/>
      <c r="CD159" s="1470"/>
      <c r="CE159" s="1269">
        <f>+'Estimated Risks'!O22</f>
        <v>0</v>
      </c>
      <c r="CF159" s="1632"/>
      <c r="CG159" s="1470"/>
      <c r="CH159" s="1269">
        <f>+'Estimated Risks'!P22</f>
        <v>0</v>
      </c>
      <c r="CI159" s="1632"/>
      <c r="CJ159" s="1257">
        <f t="shared" ref="CJ159:CJ161" si="655">+BR159+BO159+BL159+BI159+BF159+BC159+BU159+BX159+CA159+CD159+CG159</f>
        <v>0</v>
      </c>
      <c r="CK159" s="1395">
        <f t="shared" ref="CK159:CK161" si="656">+BS159+BP159+BM159+BJ159+BG159+BD159+BV159+BY159+CB159+CE159+CH159</f>
        <v>3950000</v>
      </c>
      <c r="CL159" s="1737" t="s">
        <v>1235</v>
      </c>
      <c r="CM159" s="170"/>
      <c r="CN159" s="493"/>
      <c r="CO159" s="382" t="str">
        <f>+AY159</f>
        <v xml:space="preserve">   Risk</v>
      </c>
      <c r="CP159" s="382"/>
      <c r="CQ159" s="385"/>
      <c r="CR159" s="1703"/>
      <c r="CS159" s="462"/>
      <c r="CT159" s="463"/>
      <c r="CU159" s="1703"/>
      <c r="CV159" s="462"/>
      <c r="CW159" s="463"/>
      <c r="CX159" s="1703"/>
      <c r="CY159" s="462"/>
      <c r="CZ159" s="463"/>
      <c r="DA159" s="1703"/>
      <c r="DB159" s="462"/>
      <c r="DC159" s="463"/>
      <c r="DD159" s="1703"/>
      <c r="DE159" s="462"/>
      <c r="DF159" s="463"/>
      <c r="DG159" s="1703"/>
      <c r="DH159" s="462"/>
      <c r="DI159" s="463"/>
      <c r="DJ159" s="1703"/>
      <c r="DK159" s="462"/>
      <c r="DL159" s="463"/>
      <c r="DM159" s="1703"/>
      <c r="DN159" s="462"/>
      <c r="DO159" s="463"/>
      <c r="DP159" s="1703"/>
      <c r="DQ159" s="462"/>
      <c r="DR159" s="463"/>
      <c r="DS159" s="1703"/>
      <c r="DT159" s="462"/>
      <c r="DU159" s="463"/>
      <c r="DV159" s="1703"/>
      <c r="DW159" s="462"/>
      <c r="DX159" s="463"/>
      <c r="DY159" s="1703"/>
      <c r="DZ159" s="432">
        <f t="shared" ref="DZ159:DZ161" si="657">+DH159+DE159+DB159+CY159+CV159+CS159+DK159+DN159+DQ159+DT159+DW159</f>
        <v>0</v>
      </c>
      <c r="EA159" s="444">
        <f t="shared" ref="EA159:EA161" si="658">+DI159+DF159+DC159+CZ159+CW159+CT159+DL159+DO159+DR159+DU159+DX159</f>
        <v>0</v>
      </c>
      <c r="EB159" s="433"/>
      <c r="EC159" s="170"/>
      <c r="ED159" s="170"/>
      <c r="EE159" s="170"/>
      <c r="EF159" s="170"/>
      <c r="EG159" s="170"/>
      <c r="EH159" s="170"/>
      <c r="EI159" s="170"/>
      <c r="EJ159" s="170"/>
      <c r="EK159" s="170"/>
    </row>
    <row r="160" spans="1:141" ht="15" x14ac:dyDescent="0.25">
      <c r="A160" s="170"/>
      <c r="B160" s="424">
        <v>5</v>
      </c>
      <c r="C160" s="424">
        <v>8</v>
      </c>
      <c r="D160" s="424">
        <v>6</v>
      </c>
      <c r="E160" s="425">
        <v>12</v>
      </c>
      <c r="F160" s="493"/>
      <c r="G160" s="1287">
        <f>+AY160</f>
        <v>0</v>
      </c>
      <c r="H160" s="1287"/>
      <c r="I160" s="1310"/>
      <c r="J160" s="1687"/>
      <c r="K160" s="1311">
        <f t="shared" si="652"/>
        <v>0</v>
      </c>
      <c r="L160" s="1312">
        <f t="shared" si="652"/>
        <v>0</v>
      </c>
      <c r="M160" s="1685"/>
      <c r="N160" s="1717"/>
      <c r="O160" s="1312">
        <f>+BG160+CW160</f>
        <v>0</v>
      </c>
      <c r="P160" s="1685"/>
      <c r="Q160" s="1313">
        <f>+BI160</f>
        <v>0</v>
      </c>
      <c r="R160" s="1312">
        <f>+BJ160+CZ160</f>
        <v>0</v>
      </c>
      <c r="S160" s="1685"/>
      <c r="T160" s="1313">
        <f>+BL160</f>
        <v>0</v>
      </c>
      <c r="U160" s="1312">
        <f>+BM160+DC160</f>
        <v>0</v>
      </c>
      <c r="V160" s="1685"/>
      <c r="W160" s="1313">
        <f>+BO160</f>
        <v>0</v>
      </c>
      <c r="X160" s="1312">
        <f>+BP160+DF160</f>
        <v>0</v>
      </c>
      <c r="Y160" s="1685"/>
      <c r="Z160" s="1313">
        <f>+BR160</f>
        <v>0</v>
      </c>
      <c r="AA160" s="1312">
        <f>+BS160+DI160</f>
        <v>0</v>
      </c>
      <c r="AB160" s="1685"/>
      <c r="AC160" s="1313">
        <f>+BU160</f>
        <v>0</v>
      </c>
      <c r="AD160" s="1312">
        <f>+BV160+DL160</f>
        <v>0</v>
      </c>
      <c r="AE160" s="1685"/>
      <c r="AF160" s="1313">
        <f>+BX160</f>
        <v>0</v>
      </c>
      <c r="AG160" s="1312">
        <f>+BY160+DO160</f>
        <v>0</v>
      </c>
      <c r="AH160" s="1685"/>
      <c r="AI160" s="1313">
        <f>+CA160</f>
        <v>0</v>
      </c>
      <c r="AJ160" s="1312">
        <f>+CB160+DR160</f>
        <v>0</v>
      </c>
      <c r="AK160" s="1685"/>
      <c r="AL160" s="1313">
        <f>+CD160</f>
        <v>0</v>
      </c>
      <c r="AM160" s="1312">
        <f>+CE160+DU160</f>
        <v>0</v>
      </c>
      <c r="AN160" s="1685"/>
      <c r="AO160" s="1313">
        <f>+CG160</f>
        <v>0</v>
      </c>
      <c r="AP160" s="1312">
        <f>+CH160+DX160</f>
        <v>0</v>
      </c>
      <c r="AQ160" s="1685"/>
      <c r="AR160" s="1313">
        <f t="shared" si="653"/>
        <v>0</v>
      </c>
      <c r="AS160" s="1312">
        <f t="shared" si="654"/>
        <v>0</v>
      </c>
      <c r="AT160" s="1687"/>
      <c r="AU160" s="411"/>
      <c r="AV160" s="1757">
        <f t="shared" si="510"/>
        <v>0</v>
      </c>
      <c r="AW160" s="411"/>
      <c r="AX160" s="493"/>
      <c r="AY160" s="1563"/>
      <c r="AZ160" s="488"/>
      <c r="BA160" s="457"/>
      <c r="BB160" s="1632"/>
      <c r="BC160" s="1592"/>
      <c r="BD160" s="1593"/>
      <c r="BE160" s="1632"/>
      <c r="BF160" s="1564">
        <v>0</v>
      </c>
      <c r="BG160" s="1565">
        <v>0</v>
      </c>
      <c r="BH160" s="1632"/>
      <c r="BI160" s="1564">
        <v>0</v>
      </c>
      <c r="BJ160" s="1565">
        <v>0</v>
      </c>
      <c r="BK160" s="1632"/>
      <c r="BL160" s="1564">
        <v>0</v>
      </c>
      <c r="BM160" s="1565">
        <v>0</v>
      </c>
      <c r="BN160" s="1632"/>
      <c r="BO160" s="1564">
        <v>0</v>
      </c>
      <c r="BP160" s="1565">
        <v>0</v>
      </c>
      <c r="BQ160" s="1632"/>
      <c r="BR160" s="1564">
        <v>0</v>
      </c>
      <c r="BS160" s="1565">
        <v>0</v>
      </c>
      <c r="BT160" s="1632"/>
      <c r="BU160" s="1564">
        <v>0</v>
      </c>
      <c r="BV160" s="1565">
        <v>0</v>
      </c>
      <c r="BW160" s="1632"/>
      <c r="BX160" s="1564">
        <v>0</v>
      </c>
      <c r="BY160" s="1565">
        <v>0</v>
      </c>
      <c r="BZ160" s="1632"/>
      <c r="CA160" s="1564">
        <v>0</v>
      </c>
      <c r="CB160" s="1565">
        <v>0</v>
      </c>
      <c r="CC160" s="1632"/>
      <c r="CD160" s="1564">
        <v>0</v>
      </c>
      <c r="CE160" s="1565">
        <v>0</v>
      </c>
      <c r="CF160" s="1632"/>
      <c r="CG160" s="1564">
        <v>0</v>
      </c>
      <c r="CH160" s="1565">
        <v>0</v>
      </c>
      <c r="CI160" s="1632"/>
      <c r="CJ160" s="1257">
        <f t="shared" si="655"/>
        <v>0</v>
      </c>
      <c r="CK160" s="1395">
        <f t="shared" si="656"/>
        <v>0</v>
      </c>
      <c r="CL160" s="1737" t="s">
        <v>1235</v>
      </c>
      <c r="CM160" s="170"/>
      <c r="CN160" s="493"/>
      <c r="CO160" s="382">
        <f>+AY160</f>
        <v>0</v>
      </c>
      <c r="CP160" s="382"/>
      <c r="CQ160" s="385"/>
      <c r="CR160" s="1703"/>
      <c r="CS160" s="462"/>
      <c r="CT160" s="463"/>
      <c r="CU160" s="1703"/>
      <c r="CV160" s="462"/>
      <c r="CW160" s="463"/>
      <c r="CX160" s="1703"/>
      <c r="CY160" s="462"/>
      <c r="CZ160" s="463"/>
      <c r="DA160" s="1703"/>
      <c r="DB160" s="462"/>
      <c r="DC160" s="463"/>
      <c r="DD160" s="1703"/>
      <c r="DE160" s="462"/>
      <c r="DF160" s="463"/>
      <c r="DG160" s="1703"/>
      <c r="DH160" s="462"/>
      <c r="DI160" s="463"/>
      <c r="DJ160" s="1703"/>
      <c r="DK160" s="462"/>
      <c r="DL160" s="463"/>
      <c r="DM160" s="1703"/>
      <c r="DN160" s="462"/>
      <c r="DO160" s="463"/>
      <c r="DP160" s="1703"/>
      <c r="DQ160" s="462"/>
      <c r="DR160" s="463"/>
      <c r="DS160" s="1703"/>
      <c r="DT160" s="462"/>
      <c r="DU160" s="463"/>
      <c r="DV160" s="1703"/>
      <c r="DW160" s="462"/>
      <c r="DX160" s="463"/>
      <c r="DY160" s="1703"/>
      <c r="DZ160" s="432">
        <f t="shared" si="657"/>
        <v>0</v>
      </c>
      <c r="EA160" s="444">
        <f t="shared" si="658"/>
        <v>0</v>
      </c>
      <c r="EB160" s="433"/>
      <c r="EC160" s="170"/>
      <c r="ED160" s="170"/>
      <c r="EE160" s="170"/>
      <c r="EF160" s="170"/>
      <c r="EG160" s="170"/>
      <c r="EH160" s="170"/>
      <c r="EI160" s="170"/>
      <c r="EJ160" s="170"/>
      <c r="EK160" s="170"/>
    </row>
    <row r="161" spans="1:141" ht="15" x14ac:dyDescent="0.25">
      <c r="A161" s="170"/>
      <c r="B161" s="424">
        <v>5</v>
      </c>
      <c r="C161" s="424">
        <v>8</v>
      </c>
      <c r="D161" s="424">
        <v>6</v>
      </c>
      <c r="E161" s="425">
        <v>12</v>
      </c>
      <c r="F161" s="493"/>
      <c r="G161" s="1287"/>
      <c r="H161" s="1287"/>
      <c r="I161" s="1310"/>
      <c r="J161" s="1687"/>
      <c r="K161" s="1311">
        <f t="shared" si="652"/>
        <v>0</v>
      </c>
      <c r="L161" s="1312">
        <f t="shared" si="652"/>
        <v>0</v>
      </c>
      <c r="M161" s="1685"/>
      <c r="N161" s="1717"/>
      <c r="O161" s="1312">
        <f>+BG161+CW161</f>
        <v>0</v>
      </c>
      <c r="P161" s="1685"/>
      <c r="Q161" s="1313">
        <f>+BI161</f>
        <v>0</v>
      </c>
      <c r="R161" s="1312">
        <f>+BJ161+CZ161</f>
        <v>0</v>
      </c>
      <c r="S161" s="1685"/>
      <c r="T161" s="1313">
        <f>+BL161</f>
        <v>0</v>
      </c>
      <c r="U161" s="1312">
        <f>+BM161+DC161</f>
        <v>0</v>
      </c>
      <c r="V161" s="1685"/>
      <c r="W161" s="1313">
        <f>+BO161</f>
        <v>0</v>
      </c>
      <c r="X161" s="1312">
        <f>+BP161+DF161</f>
        <v>0</v>
      </c>
      <c r="Y161" s="1685"/>
      <c r="Z161" s="1313">
        <f>+BR161</f>
        <v>0</v>
      </c>
      <c r="AA161" s="1312">
        <f>+BS161+DI161</f>
        <v>0</v>
      </c>
      <c r="AB161" s="1685"/>
      <c r="AC161" s="1313">
        <f>+BU161</f>
        <v>0</v>
      </c>
      <c r="AD161" s="1312">
        <f>+BV161+DL161</f>
        <v>0</v>
      </c>
      <c r="AE161" s="1685"/>
      <c r="AF161" s="1313">
        <f>+BX161</f>
        <v>0</v>
      </c>
      <c r="AG161" s="1312">
        <f>+BY161+DO161</f>
        <v>0</v>
      </c>
      <c r="AH161" s="1685"/>
      <c r="AI161" s="1313">
        <f>+CA161</f>
        <v>0</v>
      </c>
      <c r="AJ161" s="1312">
        <f>+CB161+DR161</f>
        <v>0</v>
      </c>
      <c r="AK161" s="1685"/>
      <c r="AL161" s="1313">
        <f>+CD161</f>
        <v>0</v>
      </c>
      <c r="AM161" s="1312">
        <f>+CE161+DU161</f>
        <v>0</v>
      </c>
      <c r="AN161" s="1685"/>
      <c r="AO161" s="1313">
        <f>+CG161</f>
        <v>0</v>
      </c>
      <c r="AP161" s="1312">
        <f>+CH161+DX161</f>
        <v>0</v>
      </c>
      <c r="AQ161" s="1685"/>
      <c r="AR161" s="1313">
        <f t="shared" si="653"/>
        <v>0</v>
      </c>
      <c r="AS161" s="1312">
        <f t="shared" si="654"/>
        <v>0</v>
      </c>
      <c r="AT161" s="1687"/>
      <c r="AU161" s="411"/>
      <c r="AV161" s="1757">
        <f t="shared" si="510"/>
        <v>0</v>
      </c>
      <c r="AW161" s="411"/>
      <c r="AX161" s="493"/>
      <c r="AY161" s="1563"/>
      <c r="AZ161" s="488"/>
      <c r="BA161" s="457"/>
      <c r="BB161" s="1632"/>
      <c r="BC161" s="1594"/>
      <c r="BD161" s="1595"/>
      <c r="BE161" s="1632"/>
      <c r="BF161" s="1564">
        <v>0</v>
      </c>
      <c r="BG161" s="1565">
        <v>0</v>
      </c>
      <c r="BH161" s="1632"/>
      <c r="BI161" s="1564">
        <v>0</v>
      </c>
      <c r="BJ161" s="1565">
        <v>0</v>
      </c>
      <c r="BK161" s="1632"/>
      <c r="BL161" s="1564">
        <v>0</v>
      </c>
      <c r="BM161" s="1565">
        <v>0</v>
      </c>
      <c r="BN161" s="1632"/>
      <c r="BO161" s="1564">
        <v>0</v>
      </c>
      <c r="BP161" s="1565">
        <v>0</v>
      </c>
      <c r="BQ161" s="1632"/>
      <c r="BR161" s="1564">
        <v>0</v>
      </c>
      <c r="BS161" s="1565">
        <v>0</v>
      </c>
      <c r="BT161" s="1632"/>
      <c r="BU161" s="1564">
        <v>0</v>
      </c>
      <c r="BV161" s="1565">
        <v>0</v>
      </c>
      <c r="BW161" s="1632"/>
      <c r="BX161" s="1564">
        <v>0</v>
      </c>
      <c r="BY161" s="1565">
        <v>0</v>
      </c>
      <c r="BZ161" s="1632"/>
      <c r="CA161" s="1564">
        <v>0</v>
      </c>
      <c r="CB161" s="1565">
        <v>0</v>
      </c>
      <c r="CC161" s="1632"/>
      <c r="CD161" s="1564">
        <v>0</v>
      </c>
      <c r="CE161" s="1565">
        <v>0</v>
      </c>
      <c r="CF161" s="1632"/>
      <c r="CG161" s="1564">
        <v>0</v>
      </c>
      <c r="CH161" s="1565">
        <v>0</v>
      </c>
      <c r="CI161" s="1632"/>
      <c r="CJ161" s="1257">
        <f t="shared" si="655"/>
        <v>0</v>
      </c>
      <c r="CK161" s="1395">
        <f t="shared" si="656"/>
        <v>0</v>
      </c>
      <c r="CL161" s="1737"/>
      <c r="CM161" s="170"/>
      <c r="CN161" s="493"/>
      <c r="CO161" s="382"/>
      <c r="CP161" s="382"/>
      <c r="CQ161" s="385"/>
      <c r="CR161" s="1703"/>
      <c r="CS161" s="462"/>
      <c r="CT161" s="463"/>
      <c r="CU161" s="1703"/>
      <c r="CV161" s="462"/>
      <c r="CW161" s="463"/>
      <c r="CX161" s="1703"/>
      <c r="CY161" s="462"/>
      <c r="CZ161" s="463"/>
      <c r="DA161" s="1703"/>
      <c r="DB161" s="462"/>
      <c r="DC161" s="463"/>
      <c r="DD161" s="1703"/>
      <c r="DE161" s="462"/>
      <c r="DF161" s="463"/>
      <c r="DG161" s="1703"/>
      <c r="DH161" s="462"/>
      <c r="DI161" s="463"/>
      <c r="DJ161" s="1703"/>
      <c r="DK161" s="462"/>
      <c r="DL161" s="463"/>
      <c r="DM161" s="1703"/>
      <c r="DN161" s="462"/>
      <c r="DO161" s="463"/>
      <c r="DP161" s="1703"/>
      <c r="DQ161" s="462"/>
      <c r="DR161" s="463"/>
      <c r="DS161" s="1703"/>
      <c r="DT161" s="462"/>
      <c r="DU161" s="463"/>
      <c r="DV161" s="1703"/>
      <c r="DW161" s="462"/>
      <c r="DX161" s="463"/>
      <c r="DY161" s="1703"/>
      <c r="DZ161" s="432">
        <f t="shared" si="657"/>
        <v>0</v>
      </c>
      <c r="EA161" s="444">
        <f t="shared" si="658"/>
        <v>0</v>
      </c>
      <c r="EB161" s="433"/>
      <c r="EC161" s="170"/>
      <c r="ED161" s="170"/>
      <c r="EE161" s="170"/>
      <c r="EF161" s="170"/>
      <c r="EG161" s="170"/>
      <c r="EH161" s="170"/>
      <c r="EI161" s="170"/>
      <c r="EJ161" s="170"/>
      <c r="EK161" s="170"/>
    </row>
    <row r="162" spans="1:141" ht="15.75" thickBot="1" x14ac:dyDescent="0.3">
      <c r="A162" s="170"/>
      <c r="B162" s="472"/>
      <c r="C162" s="472"/>
      <c r="D162" s="472"/>
      <c r="E162" s="473"/>
      <c r="F162" s="493"/>
      <c r="G162" s="1327" t="str">
        <f>+AY162</f>
        <v>Risk  Total</v>
      </c>
      <c r="H162" s="1338"/>
      <c r="I162" s="1310">
        <f>+BA162</f>
        <v>0</v>
      </c>
      <c r="J162" s="1688"/>
      <c r="K162" s="1350"/>
      <c r="L162" s="1331">
        <f>+L161+L160+L159</f>
        <v>0</v>
      </c>
      <c r="M162" s="1688"/>
      <c r="N162" s="1350"/>
      <c r="O162" s="1331">
        <f>+O161+O160+O159</f>
        <v>0</v>
      </c>
      <c r="P162" s="1688"/>
      <c r="Q162" s="1350"/>
      <c r="R162" s="1331">
        <f>+R161+R160+R159</f>
        <v>0</v>
      </c>
      <c r="S162" s="1688"/>
      <c r="T162" s="1350"/>
      <c r="U162" s="1331">
        <f>+U161+U160+U159</f>
        <v>900000</v>
      </c>
      <c r="V162" s="1688"/>
      <c r="W162" s="1350"/>
      <c r="X162" s="1331">
        <f>+X161+X160+X159</f>
        <v>1650000</v>
      </c>
      <c r="Y162" s="1688"/>
      <c r="Z162" s="1350"/>
      <c r="AA162" s="1331">
        <f>+AA161+AA160+AA159</f>
        <v>1400000</v>
      </c>
      <c r="AB162" s="1688"/>
      <c r="AC162" s="1350"/>
      <c r="AD162" s="1331">
        <f>+AD161+AD160+AD159</f>
        <v>0</v>
      </c>
      <c r="AE162" s="1688"/>
      <c r="AF162" s="1350"/>
      <c r="AG162" s="1331">
        <f>+AG161+AG160+AG159</f>
        <v>0</v>
      </c>
      <c r="AH162" s="1688"/>
      <c r="AI162" s="1350"/>
      <c r="AJ162" s="1331">
        <f>+AJ161+AJ160+AJ159</f>
        <v>0</v>
      </c>
      <c r="AK162" s="1688"/>
      <c r="AL162" s="1350"/>
      <c r="AM162" s="1331">
        <f>+AM161+AM160+AM159</f>
        <v>0</v>
      </c>
      <c r="AN162" s="1688"/>
      <c r="AO162" s="1350"/>
      <c r="AP162" s="1331">
        <f>+AP161+AP160+AP159</f>
        <v>0</v>
      </c>
      <c r="AQ162" s="1688"/>
      <c r="AR162" s="1350"/>
      <c r="AS162" s="1331">
        <f>+AS161+AS160+AS159</f>
        <v>3950000</v>
      </c>
      <c r="AT162" s="1687"/>
      <c r="AU162" s="411"/>
      <c r="AV162" s="1757">
        <f t="shared" si="510"/>
        <v>3950000</v>
      </c>
      <c r="AW162" s="411"/>
      <c r="AX162" s="493"/>
      <c r="AY162" s="1252" t="s">
        <v>1459</v>
      </c>
      <c r="AZ162" s="1251"/>
      <c r="BA162" s="1255"/>
      <c r="BB162" s="1635"/>
      <c r="BC162" s="1253"/>
      <c r="BD162" s="1254">
        <f>+BD161+BD160+BD159</f>
        <v>0</v>
      </c>
      <c r="BE162" s="1635"/>
      <c r="BF162" s="1468"/>
      <c r="BG162" s="1259">
        <f>+BG161+BG160+BG159</f>
        <v>0</v>
      </c>
      <c r="BH162" s="1635"/>
      <c r="BI162" s="1468"/>
      <c r="BJ162" s="1259">
        <f>+BJ161+BJ160+BJ159</f>
        <v>0</v>
      </c>
      <c r="BK162" s="1635"/>
      <c r="BL162" s="1468"/>
      <c r="BM162" s="1259">
        <f>+BM161+BM160+BM159</f>
        <v>900000</v>
      </c>
      <c r="BN162" s="1635"/>
      <c r="BO162" s="1468"/>
      <c r="BP162" s="1259">
        <f>+BP161+BP160+BP159</f>
        <v>1650000</v>
      </c>
      <c r="BQ162" s="1635"/>
      <c r="BR162" s="1468"/>
      <c r="BS162" s="1259">
        <f>+BS161+BS160+BS159</f>
        <v>1400000</v>
      </c>
      <c r="BT162" s="1635"/>
      <c r="BU162" s="1468"/>
      <c r="BV162" s="1259">
        <f>+BV161+BV160+BV159</f>
        <v>0</v>
      </c>
      <c r="BW162" s="1635"/>
      <c r="BX162" s="1468"/>
      <c r="BY162" s="1259">
        <f>+BY161+BY160+BY159</f>
        <v>0</v>
      </c>
      <c r="BZ162" s="1635"/>
      <c r="CA162" s="1468"/>
      <c r="CB162" s="1259">
        <f>+CB161+CB160+CB159</f>
        <v>0</v>
      </c>
      <c r="CC162" s="1635"/>
      <c r="CD162" s="1468"/>
      <c r="CE162" s="1259">
        <f>+CE161+CE160+CE159</f>
        <v>0</v>
      </c>
      <c r="CF162" s="1635"/>
      <c r="CG162" s="1468"/>
      <c r="CH162" s="1259">
        <f>+CH161+CH160+CH159</f>
        <v>0</v>
      </c>
      <c r="CI162" s="1635"/>
      <c r="CJ162" s="1253"/>
      <c r="CK162" s="1259">
        <f>+CK161+CK160+CK159</f>
        <v>3950000</v>
      </c>
      <c r="CL162" s="1731"/>
      <c r="CM162" s="170"/>
      <c r="CN162" s="493"/>
      <c r="CO162" s="464" t="str">
        <f>+AY162</f>
        <v>Risk  Total</v>
      </c>
      <c r="CP162" s="486"/>
      <c r="CQ162" s="468">
        <f>+CQ159+CQ160+CQ161</f>
        <v>0</v>
      </c>
      <c r="CR162" s="1706"/>
      <c r="CS162" s="467"/>
      <c r="CT162" s="468">
        <f>+CT159+CT160+CT161</f>
        <v>0</v>
      </c>
      <c r="CU162" s="1703"/>
      <c r="CV162" s="467"/>
      <c r="CW162" s="468">
        <f>+CW159+CW160+CW161</f>
        <v>0</v>
      </c>
      <c r="CX162" s="1703"/>
      <c r="CY162" s="467"/>
      <c r="CZ162" s="468">
        <f>+CZ159+CZ160+CZ161</f>
        <v>0</v>
      </c>
      <c r="DA162" s="1703"/>
      <c r="DB162" s="467"/>
      <c r="DC162" s="468">
        <f>+DC159+DC160+DC161</f>
        <v>0</v>
      </c>
      <c r="DD162" s="1703"/>
      <c r="DE162" s="467"/>
      <c r="DF162" s="468">
        <f>+DF159+DF160+DF161</f>
        <v>0</v>
      </c>
      <c r="DG162" s="1703"/>
      <c r="DH162" s="467"/>
      <c r="DI162" s="468">
        <f>+DI159+DI160+DI161</f>
        <v>0</v>
      </c>
      <c r="DJ162" s="1703"/>
      <c r="DK162" s="467"/>
      <c r="DL162" s="468">
        <f>+DL159+DL160+DL161</f>
        <v>0</v>
      </c>
      <c r="DM162" s="1703"/>
      <c r="DN162" s="467"/>
      <c r="DO162" s="468">
        <f>+DO159+DO160+DO161</f>
        <v>0</v>
      </c>
      <c r="DP162" s="1703"/>
      <c r="DQ162" s="467"/>
      <c r="DR162" s="468">
        <f>+DR159+DR160+DR161</f>
        <v>0</v>
      </c>
      <c r="DS162" s="1703"/>
      <c r="DT162" s="467"/>
      <c r="DU162" s="468">
        <f>+DU159+DU160+DU161</f>
        <v>0</v>
      </c>
      <c r="DV162" s="1703"/>
      <c r="DW162" s="467"/>
      <c r="DX162" s="468">
        <f>+DX159+DX160+DX161</f>
        <v>0</v>
      </c>
      <c r="DY162" s="1703"/>
      <c r="DZ162" s="467"/>
      <c r="EA162" s="1744">
        <f>+EA161+EA160+EA159</f>
        <v>0</v>
      </c>
      <c r="EB162" s="433"/>
      <c r="EC162" s="170"/>
      <c r="ED162" s="170"/>
      <c r="EE162" s="170"/>
      <c r="EF162" s="170"/>
      <c r="EG162" s="170"/>
      <c r="EH162" s="170"/>
      <c r="EI162" s="170"/>
      <c r="EJ162" s="170"/>
      <c r="EK162" s="170"/>
    </row>
    <row r="163" spans="1:141" ht="15.75" thickTop="1" x14ac:dyDescent="0.25">
      <c r="A163" s="170"/>
      <c r="B163" s="472"/>
      <c r="C163" s="472"/>
      <c r="D163" s="472"/>
      <c r="E163" s="473"/>
      <c r="F163" s="1278"/>
      <c r="G163" s="1353" t="s">
        <v>368</v>
      </c>
      <c r="H163" s="1353"/>
      <c r="I163" s="1354">
        <f>+BA163</f>
        <v>0</v>
      </c>
      <c r="J163" s="1691"/>
      <c r="K163" s="1355">
        <f>+K156+K162</f>
        <v>0</v>
      </c>
      <c r="L163" s="1356">
        <f>+L156+L162</f>
        <v>141436.63999999998</v>
      </c>
      <c r="M163" s="1691"/>
      <c r="N163" s="1355">
        <f>+N156+N162</f>
        <v>0</v>
      </c>
      <c r="O163" s="1356">
        <f ca="1">+O156+O162</f>
        <v>3917</v>
      </c>
      <c r="P163" s="1691"/>
      <c r="Q163" s="1355">
        <f ca="1">+Q156+Q162</f>
        <v>0</v>
      </c>
      <c r="R163" s="1356">
        <f ca="1">+R156+R162</f>
        <v>7980</v>
      </c>
      <c r="S163" s="1691"/>
      <c r="T163" s="1355">
        <f ca="1">+T156+T162</f>
        <v>4522</v>
      </c>
      <c r="U163" s="1356">
        <f ca="1">+U156+U162</f>
        <v>11667477.5746</v>
      </c>
      <c r="V163" s="1691"/>
      <c r="W163" s="1355">
        <f ca="1">+W156+W162</f>
        <v>20153.064903225808</v>
      </c>
      <c r="X163" s="1356">
        <f ca="1">+X156+X162</f>
        <v>16593992.491466401</v>
      </c>
      <c r="Y163" s="1691"/>
      <c r="Z163" s="1355">
        <f ca="1">+Z156+Z162</f>
        <v>14522.043268817206</v>
      </c>
      <c r="AA163" s="1356">
        <f ca="1">+AA156+AA162</f>
        <v>4526586.752678168</v>
      </c>
      <c r="AB163" s="1691"/>
      <c r="AC163" s="1355">
        <f ca="1">+AC156+AC162</f>
        <v>0</v>
      </c>
      <c r="AD163" s="1356">
        <f ca="1">+AD156+AD162</f>
        <v>0</v>
      </c>
      <c r="AE163" s="1691"/>
      <c r="AF163" s="1355">
        <f ca="1">+AF156+AF162</f>
        <v>0</v>
      </c>
      <c r="AG163" s="1356">
        <f ca="1">+AG156+AG162</f>
        <v>0</v>
      </c>
      <c r="AH163" s="1691"/>
      <c r="AI163" s="1355">
        <f ca="1">+AI156+AI162</f>
        <v>0</v>
      </c>
      <c r="AJ163" s="1356">
        <f ca="1">+AJ156+AJ162</f>
        <v>0</v>
      </c>
      <c r="AK163" s="1691"/>
      <c r="AL163" s="1355">
        <f ca="1">+AL156+AL162</f>
        <v>0</v>
      </c>
      <c r="AM163" s="1356">
        <f ca="1">+AM156+AM162</f>
        <v>0</v>
      </c>
      <c r="AN163" s="1691"/>
      <c r="AO163" s="1355">
        <f ca="1">+AO156+AO162</f>
        <v>0</v>
      </c>
      <c r="AP163" s="1356">
        <f ca="1">+AP156+AP162</f>
        <v>0</v>
      </c>
      <c r="AQ163" s="1691"/>
      <c r="AR163" s="1355">
        <f ca="1">+AR156+AR162</f>
        <v>39197.108172043008</v>
      </c>
      <c r="AS163" s="1356">
        <f ca="1">+AS156+AS162</f>
        <v>32941390.458744571</v>
      </c>
      <c r="AT163" s="1691"/>
      <c r="AU163" s="411"/>
      <c r="AV163" s="1757">
        <f t="shared" ca="1" si="510"/>
        <v>32941390.458744571</v>
      </c>
      <c r="AW163" s="1277"/>
      <c r="AX163" s="1278"/>
      <c r="AY163" s="547" t="s">
        <v>1449</v>
      </c>
      <c r="AZ163" s="547"/>
      <c r="BA163" s="1279"/>
      <c r="BB163" s="1638"/>
      <c r="BC163" s="1280">
        <f>+BC156+BC162</f>
        <v>0</v>
      </c>
      <c r="BD163" s="1281">
        <f>+BD156+BD162</f>
        <v>141436.63999999998</v>
      </c>
      <c r="BE163" s="1638"/>
      <c r="BF163" s="1473">
        <f ca="1">+BF156+BF162</f>
        <v>0</v>
      </c>
      <c r="BG163" s="1281">
        <f ca="1">+BG156+BG162</f>
        <v>3917.23</v>
      </c>
      <c r="BH163" s="1638"/>
      <c r="BI163" s="1473">
        <f>+BI156+BI162</f>
        <v>0</v>
      </c>
      <c r="BJ163" s="1281">
        <f ca="1">+BJ156+BJ162</f>
        <v>7600</v>
      </c>
      <c r="BK163" s="1638"/>
      <c r="BL163" s="1473">
        <f ca="1">+BL156+BL162</f>
        <v>4522</v>
      </c>
      <c r="BM163" s="1281">
        <f ca="1">+BM156+BM162</f>
        <v>11019114</v>
      </c>
      <c r="BN163" s="1638"/>
      <c r="BO163" s="1473">
        <f ca="1">+BO156+BO162</f>
        <v>20153.064903225808</v>
      </c>
      <c r="BP163" s="1281">
        <f ca="1">+BP156+BP162</f>
        <v>15195169.557289999</v>
      </c>
      <c r="BQ163" s="1638"/>
      <c r="BR163" s="1473">
        <f ca="1">+BR156+BR162</f>
        <v>14522.043268817206</v>
      </c>
      <c r="BS163" s="1281">
        <f ca="1">+BS156+BS162</f>
        <v>4098816.392</v>
      </c>
      <c r="BT163" s="1638"/>
      <c r="BU163" s="1473">
        <f ca="1">+BU156+BU162</f>
        <v>0</v>
      </c>
      <c r="BV163" s="1281">
        <f ca="1">+BV156+BV162</f>
        <v>0</v>
      </c>
      <c r="BW163" s="1638"/>
      <c r="BX163" s="1473">
        <f ca="1">+BX156+BX162</f>
        <v>0</v>
      </c>
      <c r="BY163" s="1281">
        <f ca="1">+BY156+BY162</f>
        <v>0</v>
      </c>
      <c r="BZ163" s="1638"/>
      <c r="CA163" s="1473">
        <f ca="1">+CA156+CA162</f>
        <v>0</v>
      </c>
      <c r="CB163" s="1281">
        <f ca="1">+CB156+CB162</f>
        <v>0</v>
      </c>
      <c r="CC163" s="1638"/>
      <c r="CD163" s="1473">
        <f ca="1">+CD156+CD162</f>
        <v>0</v>
      </c>
      <c r="CE163" s="1281">
        <f ca="1">+CE156+CE162</f>
        <v>0</v>
      </c>
      <c r="CF163" s="1638"/>
      <c r="CG163" s="1473">
        <f ca="1">+CG156+CG162</f>
        <v>0</v>
      </c>
      <c r="CH163" s="1281">
        <f ca="1">+CH156+CH162</f>
        <v>0</v>
      </c>
      <c r="CI163" s="1638"/>
      <c r="CJ163" s="1280">
        <f ca="1">+CJ156+CJ162</f>
        <v>39197.108172043008</v>
      </c>
      <c r="CK163" s="1281">
        <f ca="1">+CK156+CK162</f>
        <v>30466053.819290001</v>
      </c>
      <c r="CL163" s="1739"/>
      <c r="CM163" s="170"/>
      <c r="CN163" s="1278"/>
      <c r="CO163" s="553" t="s">
        <v>368</v>
      </c>
      <c r="CP163" s="553"/>
      <c r="CQ163" s="554"/>
      <c r="CR163" s="1711"/>
      <c r="CS163" s="1282">
        <f>+CS156+CS162</f>
        <v>0</v>
      </c>
      <c r="CT163" s="1283">
        <f>+CT156+CT162</f>
        <v>0</v>
      </c>
      <c r="CU163" s="1711"/>
      <c r="CV163" s="1282">
        <f>+CV156+CV162</f>
        <v>0</v>
      </c>
      <c r="CW163" s="1283">
        <f ca="1">+CW156+CW162</f>
        <v>-0.23000000000001819</v>
      </c>
      <c r="CX163" s="1711"/>
      <c r="CY163" s="1282">
        <f>+CY156+CY162</f>
        <v>0</v>
      </c>
      <c r="CZ163" s="1283">
        <f ca="1">+CZ156+CZ162</f>
        <v>380</v>
      </c>
      <c r="DA163" s="1711"/>
      <c r="DB163" s="1282">
        <f>+DB156+DB162</f>
        <v>0</v>
      </c>
      <c r="DC163" s="1283">
        <f ca="1">+DC156+DC162</f>
        <v>648363.57459999959</v>
      </c>
      <c r="DD163" s="1711"/>
      <c r="DE163" s="1282">
        <f>+DE156+DE162</f>
        <v>0</v>
      </c>
      <c r="DF163" s="1283">
        <f ca="1">+DF156+DF162</f>
        <v>1398822.9341764003</v>
      </c>
      <c r="DG163" s="1711"/>
      <c r="DH163" s="1282">
        <f>+DH156+DH162</f>
        <v>0</v>
      </c>
      <c r="DI163" s="1283">
        <f ca="1">+DI156+DI162</f>
        <v>427770.36067816825</v>
      </c>
      <c r="DJ163" s="1711"/>
      <c r="DK163" s="1282">
        <f>+DK156+DK162</f>
        <v>0</v>
      </c>
      <c r="DL163" s="1283">
        <f ca="1">+DL156+DL162</f>
        <v>0</v>
      </c>
      <c r="DM163" s="1711"/>
      <c r="DN163" s="1282">
        <f>+DN156+DN162</f>
        <v>0</v>
      </c>
      <c r="DO163" s="1283">
        <f ca="1">+DO156+DO162</f>
        <v>0</v>
      </c>
      <c r="DP163" s="1711"/>
      <c r="DQ163" s="1282">
        <f>+DQ156+DQ162</f>
        <v>0</v>
      </c>
      <c r="DR163" s="1283">
        <f ca="1">+DR156+DR162</f>
        <v>0</v>
      </c>
      <c r="DS163" s="1711"/>
      <c r="DT163" s="1282">
        <f>+DT156+DT162</f>
        <v>0</v>
      </c>
      <c r="DU163" s="1283">
        <f ca="1">+DU156+DU162</f>
        <v>0</v>
      </c>
      <c r="DV163" s="1711"/>
      <c r="DW163" s="1282">
        <f>+DW156+DW162</f>
        <v>0</v>
      </c>
      <c r="DX163" s="1283">
        <f ca="1">+DX156+DX162</f>
        <v>0</v>
      </c>
      <c r="DY163" s="1711"/>
      <c r="DZ163" s="1282">
        <f>+DZ156+DZ162</f>
        <v>0</v>
      </c>
      <c r="EA163" s="1751">
        <f ca="1">+EA156+EA162</f>
        <v>2475336.6394545683</v>
      </c>
      <c r="EB163" s="433"/>
      <c r="EC163" s="170"/>
      <c r="ED163" s="170"/>
      <c r="EE163" s="170"/>
      <c r="EF163" s="170"/>
      <c r="EG163" s="170"/>
      <c r="EH163" s="170"/>
      <c r="EI163" s="170"/>
      <c r="EJ163" s="170"/>
      <c r="EK163" s="170"/>
    </row>
    <row r="164" spans="1:141" ht="15" x14ac:dyDescent="0.25">
      <c r="A164" s="170"/>
      <c r="B164" s="472"/>
      <c r="C164" s="472"/>
      <c r="D164" s="472"/>
      <c r="E164" s="473"/>
      <c r="F164" s="493"/>
      <c r="G164" s="1287"/>
      <c r="H164" s="1287"/>
      <c r="I164" s="1310"/>
      <c r="J164" s="1687"/>
      <c r="K164" s="1325"/>
      <c r="L164" s="1332"/>
      <c r="M164" s="1687"/>
      <c r="N164" s="1325"/>
      <c r="O164" s="1332"/>
      <c r="P164" s="1687"/>
      <c r="Q164" s="1325"/>
      <c r="R164" s="1332"/>
      <c r="S164" s="1687"/>
      <c r="T164" s="1325"/>
      <c r="U164" s="1332"/>
      <c r="V164" s="1687"/>
      <c r="W164" s="1325"/>
      <c r="X164" s="1332"/>
      <c r="Y164" s="1687"/>
      <c r="Z164" s="1325"/>
      <c r="AA164" s="1332"/>
      <c r="AB164" s="1687"/>
      <c r="AC164" s="1325"/>
      <c r="AD164" s="1332"/>
      <c r="AE164" s="1687"/>
      <c r="AF164" s="1325"/>
      <c r="AG164" s="1332"/>
      <c r="AH164" s="1687"/>
      <c r="AI164" s="1325"/>
      <c r="AJ164" s="1332"/>
      <c r="AK164" s="1687"/>
      <c r="AL164" s="1325"/>
      <c r="AM164" s="1332"/>
      <c r="AN164" s="1687"/>
      <c r="AO164" s="1325"/>
      <c r="AP164" s="1332"/>
      <c r="AQ164" s="1687"/>
      <c r="AR164" s="1325"/>
      <c r="AS164" s="1332"/>
      <c r="AT164" s="1687"/>
      <c r="AU164" s="411"/>
      <c r="AV164" s="1757">
        <f t="shared" si="510"/>
        <v>0</v>
      </c>
      <c r="AW164" s="411"/>
      <c r="AX164" s="493"/>
      <c r="AY164" s="488"/>
      <c r="AZ164" s="488"/>
      <c r="BA164" s="457"/>
      <c r="BB164" s="1632"/>
      <c r="BC164" s="511"/>
      <c r="BD164" s="1260"/>
      <c r="BE164" s="1632"/>
      <c r="BF164" s="1470"/>
      <c r="BG164" s="1269"/>
      <c r="BH164" s="1632"/>
      <c r="BI164" s="1470"/>
      <c r="BJ164" s="1269"/>
      <c r="BK164" s="1632"/>
      <c r="BL164" s="1470"/>
      <c r="BM164" s="1269"/>
      <c r="BN164" s="1632"/>
      <c r="BO164" s="1470"/>
      <c r="BP164" s="1269"/>
      <c r="BQ164" s="1632"/>
      <c r="BR164" s="1470"/>
      <c r="BS164" s="1269"/>
      <c r="BT164" s="1632"/>
      <c r="BU164" s="1470"/>
      <c r="BV164" s="1269"/>
      <c r="BW164" s="1632"/>
      <c r="BX164" s="1470"/>
      <c r="BY164" s="1269"/>
      <c r="BZ164" s="1632"/>
      <c r="CA164" s="1470"/>
      <c r="CB164" s="1269"/>
      <c r="CC164" s="1632"/>
      <c r="CD164" s="1470"/>
      <c r="CE164" s="1269"/>
      <c r="CF164" s="1632"/>
      <c r="CG164" s="1470"/>
      <c r="CH164" s="1269"/>
      <c r="CI164" s="1632"/>
      <c r="CJ164" s="491"/>
      <c r="CK164" s="1262"/>
      <c r="CL164" s="1737"/>
      <c r="CM164" s="170"/>
      <c r="CN164" s="493"/>
      <c r="CO164" s="382"/>
      <c r="CP164" s="382"/>
      <c r="CQ164" s="385"/>
      <c r="CR164" s="1703"/>
      <c r="CS164" s="462"/>
      <c r="CT164" s="463"/>
      <c r="CU164" s="1703"/>
      <c r="CV164" s="462"/>
      <c r="CW164" s="463"/>
      <c r="CX164" s="1703"/>
      <c r="CY164" s="462"/>
      <c r="CZ164" s="463"/>
      <c r="DA164" s="1703"/>
      <c r="DB164" s="462"/>
      <c r="DC164" s="463"/>
      <c r="DD164" s="1703"/>
      <c r="DE164" s="462"/>
      <c r="DF164" s="463"/>
      <c r="DG164" s="1703"/>
      <c r="DH164" s="462"/>
      <c r="DI164" s="463"/>
      <c r="DJ164" s="1703"/>
      <c r="DK164" s="462"/>
      <c r="DL164" s="463"/>
      <c r="DM164" s="1703"/>
      <c r="DN164" s="462"/>
      <c r="DO164" s="463"/>
      <c r="DP164" s="1703"/>
      <c r="DQ164" s="462"/>
      <c r="DR164" s="463"/>
      <c r="DS164" s="1703"/>
      <c r="DT164" s="462"/>
      <c r="DU164" s="463"/>
      <c r="DV164" s="1703"/>
      <c r="DW164" s="462"/>
      <c r="DX164" s="463"/>
      <c r="DY164" s="1703"/>
      <c r="DZ164" s="435"/>
      <c r="EA164" s="1745"/>
      <c r="EB164" s="433"/>
      <c r="EC164" s="170"/>
      <c r="ED164" s="170"/>
      <c r="EE164" s="170"/>
      <c r="EF164" s="170"/>
      <c r="EG164" s="170"/>
      <c r="EH164" s="170"/>
      <c r="EI164" s="170"/>
      <c r="EJ164" s="170"/>
      <c r="EK164" s="170"/>
    </row>
    <row r="165" spans="1:141" ht="15" x14ac:dyDescent="0.25">
      <c r="A165" s="170"/>
      <c r="B165" s="472"/>
      <c r="C165" s="472"/>
      <c r="D165" s="472"/>
      <c r="E165" s="473"/>
      <c r="F165" s="493"/>
      <c r="G165" s="1291" t="s">
        <v>42</v>
      </c>
      <c r="H165" s="1291"/>
      <c r="I165" s="1310">
        <f t="shared" si="469"/>
        <v>0</v>
      </c>
      <c r="J165" s="1687"/>
      <c r="K165" s="1325"/>
      <c r="L165" s="1345"/>
      <c r="M165" s="1687"/>
      <c r="N165" s="1325"/>
      <c r="O165" s="1345"/>
      <c r="P165" s="1687"/>
      <c r="Q165" s="1325"/>
      <c r="R165" s="1345"/>
      <c r="S165" s="1687"/>
      <c r="T165" s="1325"/>
      <c r="U165" s="1345"/>
      <c r="V165" s="1687"/>
      <c r="W165" s="1325"/>
      <c r="X165" s="1345"/>
      <c r="Y165" s="1687"/>
      <c r="Z165" s="1325"/>
      <c r="AA165" s="1345"/>
      <c r="AB165" s="1687"/>
      <c r="AC165" s="1325"/>
      <c r="AD165" s="1345"/>
      <c r="AE165" s="1687"/>
      <c r="AF165" s="1325"/>
      <c r="AG165" s="1345"/>
      <c r="AH165" s="1687"/>
      <c r="AI165" s="1325"/>
      <c r="AJ165" s="1345"/>
      <c r="AK165" s="1687"/>
      <c r="AL165" s="1325"/>
      <c r="AM165" s="1345"/>
      <c r="AN165" s="1687"/>
      <c r="AO165" s="1325"/>
      <c r="AP165" s="1345"/>
      <c r="AQ165" s="1687"/>
      <c r="AR165" s="1325"/>
      <c r="AS165" s="1345"/>
      <c r="AT165" s="1687"/>
      <c r="AU165" s="411"/>
      <c r="AV165" s="1757">
        <f t="shared" si="510"/>
        <v>0</v>
      </c>
      <c r="AW165" s="411"/>
      <c r="AX165" s="493"/>
      <c r="AY165" s="168" t="s">
        <v>42</v>
      </c>
      <c r="AZ165" s="168"/>
      <c r="BA165" s="457"/>
      <c r="BB165" s="1632"/>
      <c r="BC165" s="511"/>
      <c r="BD165" s="1260"/>
      <c r="BE165" s="1632"/>
      <c r="BF165" s="1470"/>
      <c r="BG165" s="1269" t="s">
        <v>96</v>
      </c>
      <c r="BH165" s="1632"/>
      <c r="BI165" s="1470"/>
      <c r="BJ165" s="1269" t="s">
        <v>96</v>
      </c>
      <c r="BK165" s="1632"/>
      <c r="BL165" s="1470"/>
      <c r="BM165" s="1269" t="s">
        <v>96</v>
      </c>
      <c r="BN165" s="1632"/>
      <c r="BO165" s="1470"/>
      <c r="BP165" s="1269" t="s">
        <v>96</v>
      </c>
      <c r="BQ165" s="1632"/>
      <c r="BR165" s="1470"/>
      <c r="BS165" s="1269" t="s">
        <v>96</v>
      </c>
      <c r="BT165" s="1632"/>
      <c r="BU165" s="1470"/>
      <c r="BV165" s="1269" t="s">
        <v>96</v>
      </c>
      <c r="BW165" s="1632"/>
      <c r="BX165" s="1470"/>
      <c r="BY165" s="1269" t="s">
        <v>96</v>
      </c>
      <c r="BZ165" s="1632"/>
      <c r="CA165" s="1470"/>
      <c r="CB165" s="1269" t="s">
        <v>96</v>
      </c>
      <c r="CC165" s="1632"/>
      <c r="CD165" s="1470"/>
      <c r="CE165" s="1269" t="s">
        <v>96</v>
      </c>
      <c r="CF165" s="1632"/>
      <c r="CG165" s="1470"/>
      <c r="CH165" s="1269" t="s">
        <v>96</v>
      </c>
      <c r="CI165" s="1632"/>
      <c r="CJ165" s="1257"/>
      <c r="CK165" s="1395"/>
      <c r="CL165" s="1737"/>
      <c r="CM165" s="170"/>
      <c r="CN165" s="493"/>
      <c r="CO165" s="388" t="s">
        <v>42</v>
      </c>
      <c r="CP165" s="388"/>
      <c r="CQ165" s="385"/>
      <c r="CR165" s="1703"/>
      <c r="CS165" s="462"/>
      <c r="CT165" s="513" t="s">
        <v>96</v>
      </c>
      <c r="CU165" s="1703"/>
      <c r="CV165" s="462"/>
      <c r="CW165" s="513" t="s">
        <v>96</v>
      </c>
      <c r="CX165" s="1703"/>
      <c r="CY165" s="462"/>
      <c r="CZ165" s="513" t="s">
        <v>96</v>
      </c>
      <c r="DA165" s="1703"/>
      <c r="DB165" s="462"/>
      <c r="DC165" s="513" t="s">
        <v>96</v>
      </c>
      <c r="DD165" s="1703"/>
      <c r="DE165" s="462"/>
      <c r="DF165" s="513" t="s">
        <v>96</v>
      </c>
      <c r="DG165" s="1703"/>
      <c r="DH165" s="462"/>
      <c r="DI165" s="513" t="s">
        <v>96</v>
      </c>
      <c r="DJ165" s="1703"/>
      <c r="DK165" s="462"/>
      <c r="DL165" s="513" t="s">
        <v>96</v>
      </c>
      <c r="DM165" s="1703"/>
      <c r="DN165" s="462"/>
      <c r="DO165" s="513" t="s">
        <v>96</v>
      </c>
      <c r="DP165" s="1703"/>
      <c r="DQ165" s="462"/>
      <c r="DR165" s="513" t="s">
        <v>96</v>
      </c>
      <c r="DS165" s="1703"/>
      <c r="DT165" s="462"/>
      <c r="DU165" s="513" t="s">
        <v>96</v>
      </c>
      <c r="DV165" s="1703"/>
      <c r="DW165" s="462"/>
      <c r="DX165" s="513" t="s">
        <v>96</v>
      </c>
      <c r="DY165" s="1703"/>
      <c r="DZ165" s="435"/>
      <c r="EA165" s="1747"/>
      <c r="EB165" s="433"/>
      <c r="EC165" s="170"/>
      <c r="ED165" s="170"/>
      <c r="EE165" s="170"/>
      <c r="EF165" s="170"/>
      <c r="EG165" s="170"/>
      <c r="EH165" s="170"/>
      <c r="EI165" s="170"/>
      <c r="EJ165" s="170"/>
      <c r="EK165" s="170"/>
    </row>
    <row r="166" spans="1:141" ht="15" x14ac:dyDescent="0.25">
      <c r="A166" s="170"/>
      <c r="B166" s="424">
        <v>6</v>
      </c>
      <c r="C166" s="424">
        <v>10</v>
      </c>
      <c r="D166" s="424">
        <v>7</v>
      </c>
      <c r="E166" s="425">
        <v>13</v>
      </c>
      <c r="F166" s="493"/>
      <c r="G166" s="1308" t="str">
        <f t="shared" ref="G166:G200" si="659">+AY166</f>
        <v xml:space="preserve">   Non-Productive Time Allocation (ZNP)</v>
      </c>
      <c r="H166" s="1339">
        <v>58</v>
      </c>
      <c r="I166" s="1317">
        <f t="shared" si="469"/>
        <v>0.19</v>
      </c>
      <c r="J166" s="1689"/>
      <c r="K166" s="1311">
        <f t="shared" ref="K166:L175" si="660">+BC166</f>
        <v>0</v>
      </c>
      <c r="L166" s="1312">
        <f t="shared" si="660"/>
        <v>16810.89</v>
      </c>
      <c r="M166" s="1689"/>
      <c r="N166" s="1357"/>
      <c r="O166" s="1312">
        <f t="shared" ref="O166:O175" ca="1" si="661">+BG166+CW166</f>
        <v>0</v>
      </c>
      <c r="P166" s="1685"/>
      <c r="Q166" s="1313">
        <f t="shared" ref="Q166:Q175" si="662">+BI166</f>
        <v>0</v>
      </c>
      <c r="R166" s="1312">
        <f t="shared" ref="R166:R175" ca="1" si="663">+BJ166+CZ166</f>
        <v>0</v>
      </c>
      <c r="S166" s="1685"/>
      <c r="T166" s="1313">
        <f t="shared" ref="T166:T175" si="664">+BL166</f>
        <v>0</v>
      </c>
      <c r="U166" s="1312">
        <f t="shared" ref="U166:U175" ca="1" si="665">+BM166+DC166</f>
        <v>24950</v>
      </c>
      <c r="V166" s="1685"/>
      <c r="W166" s="1313">
        <f t="shared" ref="W166:W175" si="666">+BO166</f>
        <v>0</v>
      </c>
      <c r="X166" s="1312">
        <f t="shared" ref="X166:X175" ca="1" si="667">+BP166+DF166</f>
        <v>52136</v>
      </c>
      <c r="Y166" s="1685"/>
      <c r="Z166" s="1313">
        <f t="shared" ref="Z166:Z175" si="668">+BR166</f>
        <v>0</v>
      </c>
      <c r="AA166" s="1312">
        <f t="shared" ref="AA166:AA175" ca="1" si="669">+BS166+DI166</f>
        <v>37619</v>
      </c>
      <c r="AB166" s="1685"/>
      <c r="AC166" s="1313">
        <f t="shared" ref="AC166:AC175" si="670">+BU166</f>
        <v>0</v>
      </c>
      <c r="AD166" s="1312">
        <f t="shared" ref="AD166:AD175" ca="1" si="671">+BV166+DL166</f>
        <v>0</v>
      </c>
      <c r="AE166" s="1685"/>
      <c r="AF166" s="1313">
        <f t="shared" ref="AF166:AF175" si="672">+BX166</f>
        <v>0</v>
      </c>
      <c r="AG166" s="1312">
        <f t="shared" ref="AG166:AG175" ca="1" si="673">+BY166+DO166</f>
        <v>0</v>
      </c>
      <c r="AH166" s="1685"/>
      <c r="AI166" s="1313">
        <f t="shared" ref="AI166:AI175" si="674">+CA166</f>
        <v>0</v>
      </c>
      <c r="AJ166" s="1312">
        <f t="shared" ref="AJ166:AJ175" ca="1" si="675">+CB166+DR166</f>
        <v>0</v>
      </c>
      <c r="AK166" s="1685"/>
      <c r="AL166" s="1313">
        <f t="shared" ref="AL166:AL175" si="676">+CD166</f>
        <v>0</v>
      </c>
      <c r="AM166" s="1312">
        <f t="shared" ref="AM166:AM175" ca="1" si="677">+CE166+DU166</f>
        <v>0</v>
      </c>
      <c r="AN166" s="1685"/>
      <c r="AO166" s="1313">
        <f t="shared" ref="AO166:AO175" si="678">+CG166</f>
        <v>0</v>
      </c>
      <c r="AP166" s="1312">
        <f t="shared" ref="AP166:AP175" ca="1" si="679">+CH166+DX166</f>
        <v>0</v>
      </c>
      <c r="AQ166" s="1685"/>
      <c r="AR166" s="1313"/>
      <c r="AS166" s="1312">
        <f t="shared" ref="AS166:AS175" ca="1" si="680">+AA166+X166+U166+R166+O166+L166+AD166+AG166+AJ166+AM166+AP166</f>
        <v>131515.89000000001</v>
      </c>
      <c r="AT166" s="1687"/>
      <c r="AU166" s="411"/>
      <c r="AV166" s="1757">
        <f t="shared" ca="1" si="510"/>
        <v>131515.89000000001</v>
      </c>
      <c r="AW166" s="411"/>
      <c r="AX166" s="493"/>
      <c r="AY166" s="1561" t="s">
        <v>2379</v>
      </c>
      <c r="AZ166" s="1561"/>
      <c r="BA166" s="527">
        <f>'Data Input sheet'!D82</f>
        <v>0.19</v>
      </c>
      <c r="BB166" s="1632"/>
      <c r="BC166" s="1599">
        <v>0</v>
      </c>
      <c r="BD166" s="1600">
        <v>16810.89</v>
      </c>
      <c r="BE166" s="1632"/>
      <c r="BF166" s="1474"/>
      <c r="BG166" s="528">
        <f ca="1">+ROUND((BG359+BG360)*$BA166,0)</f>
        <v>0</v>
      </c>
      <c r="BH166" s="1632"/>
      <c r="BI166" s="1474"/>
      <c r="BJ166" s="528">
        <f ca="1">+ROUND((BJ359+BJ360)*$BA166,0)</f>
        <v>0</v>
      </c>
      <c r="BK166" s="1632"/>
      <c r="BL166" s="1474"/>
      <c r="BM166" s="528">
        <f ca="1">+ROUND((BM359+BM360)*$BA166,0)-BD166</f>
        <v>22848.11</v>
      </c>
      <c r="BN166" s="1632"/>
      <c r="BO166" s="1474"/>
      <c r="BP166" s="528">
        <f ca="1">+ROUND((BP359+BP360)*$BA166,0)</f>
        <v>46353</v>
      </c>
      <c r="BQ166" s="1632"/>
      <c r="BR166" s="1474"/>
      <c r="BS166" s="528">
        <f ca="1">+ROUND((BS359+BS360)*$BA166,0)</f>
        <v>32472</v>
      </c>
      <c r="BT166" s="1632"/>
      <c r="BU166" s="1474"/>
      <c r="BV166" s="528">
        <f ca="1">+ROUND((BV359+BV360)*$BA166,0)</f>
        <v>0</v>
      </c>
      <c r="BW166" s="1632"/>
      <c r="BX166" s="1474"/>
      <c r="BY166" s="528">
        <f ca="1">+ROUND((BY359+BY360)*$BA166,0)</f>
        <v>0</v>
      </c>
      <c r="BZ166" s="1632"/>
      <c r="CA166" s="1474"/>
      <c r="CB166" s="528">
        <f ca="1">+ROUND((CB359+CB360)*$BA166,0)</f>
        <v>0</v>
      </c>
      <c r="CC166" s="1632"/>
      <c r="CD166" s="1474"/>
      <c r="CE166" s="528">
        <f ca="1">+ROUND((CE359+CE360)*$BA166,0)</f>
        <v>0</v>
      </c>
      <c r="CF166" s="1632"/>
      <c r="CG166" s="1474"/>
      <c r="CH166" s="528">
        <f ca="1">+ROUND((CH359+CH360)*$BA166,0)</f>
        <v>0</v>
      </c>
      <c r="CI166" s="1632"/>
      <c r="CJ166" s="1257"/>
      <c r="CK166" s="1395">
        <f ca="1">+BS166+BP166+BM166+BJ166+BG166+BD166+BV166+BY166+CB166+CE166+CH166</f>
        <v>118484</v>
      </c>
      <c r="CL166" s="1740"/>
      <c r="CM166" s="170"/>
      <c r="CN166" s="493"/>
      <c r="CO166" s="428" t="str">
        <f t="shared" ref="CO166:CO175" si="681">+AY166</f>
        <v xml:space="preserve">   Non-Productive Time Allocation (ZNP)</v>
      </c>
      <c r="CP166" s="494"/>
      <c r="CQ166" s="529"/>
      <c r="CR166" s="1703"/>
      <c r="CS166" s="481"/>
      <c r="CT166" s="495">
        <f t="shared" ref="CT166:CT175" si="682">L166-BD166</f>
        <v>0</v>
      </c>
      <c r="CU166" s="1707"/>
      <c r="CV166" s="530"/>
      <c r="CW166" s="434">
        <f t="shared" ref="CW166:CW175" ca="1" si="683">ROUND((+BG166*(1+CW$4)),0)-BG166</f>
        <v>0</v>
      </c>
      <c r="CX166" s="443"/>
      <c r="CY166" s="432">
        <v>0</v>
      </c>
      <c r="CZ166" s="434">
        <f t="shared" ref="CZ166:CZ175" ca="1" si="684">ROUND((+BJ166*(1+CZ$4)),0)-BJ166</f>
        <v>0</v>
      </c>
      <c r="DA166" s="443"/>
      <c r="DB166" s="432">
        <v>0</v>
      </c>
      <c r="DC166" s="434">
        <f t="shared" ref="DC166:DC175" ca="1" si="685">ROUND((+BM166*(1+DC$4)),0)-BM166</f>
        <v>2101.8899999999994</v>
      </c>
      <c r="DD166" s="443"/>
      <c r="DE166" s="432">
        <v>0</v>
      </c>
      <c r="DF166" s="434">
        <f t="shared" ref="DF166:DF175" ca="1" si="686">ROUND((+BP166*(1+DF$4)),0)-BP166</f>
        <v>5783</v>
      </c>
      <c r="DG166" s="443"/>
      <c r="DH166" s="432">
        <v>0</v>
      </c>
      <c r="DI166" s="434">
        <f t="shared" ref="DI166:DI175" ca="1" si="687">ROUND((+BS166*(1+DI$4)),0)-BS166</f>
        <v>5147</v>
      </c>
      <c r="DJ166" s="443"/>
      <c r="DK166" s="432">
        <v>0</v>
      </c>
      <c r="DL166" s="434">
        <f t="shared" ref="DL166:DL175" ca="1" si="688">ROUND((+BV166*(1+DL$4)),0)-BV166</f>
        <v>0</v>
      </c>
      <c r="DM166" s="443"/>
      <c r="DN166" s="432">
        <v>0</v>
      </c>
      <c r="DO166" s="434">
        <f t="shared" ref="DO166:DO175" ca="1" si="689">ROUND((+BY166*(1+DO$4)),0)-BY166</f>
        <v>0</v>
      </c>
      <c r="DP166" s="443"/>
      <c r="DQ166" s="432">
        <v>0</v>
      </c>
      <c r="DR166" s="434">
        <f t="shared" ref="DR166:DR175" ca="1" si="690">ROUND((+CB166*(1+DR$4)),0)-CB166</f>
        <v>0</v>
      </c>
      <c r="DS166" s="443"/>
      <c r="DT166" s="432">
        <v>0</v>
      </c>
      <c r="DU166" s="434">
        <f t="shared" ref="DU166:DU175" ca="1" si="691">ROUND((+CE166*(1+DU$4)),0)-CE166</f>
        <v>0</v>
      </c>
      <c r="DV166" s="443"/>
      <c r="DW166" s="432">
        <v>0</v>
      </c>
      <c r="DX166" s="434">
        <f t="shared" ref="DX166:DX175" ca="1" si="692">ROUND((+CH166*(1+DX$4)),0)-CH166</f>
        <v>0</v>
      </c>
      <c r="DY166" s="443"/>
      <c r="DZ166" s="432"/>
      <c r="EA166" s="444">
        <f t="shared" ref="EA166:EA175" ca="1" si="693">+DI166+DF166+DC166+CZ166+CW166+CT166+DL166+DO166+DR166+DU166+DX166</f>
        <v>13031.89</v>
      </c>
      <c r="EB166" s="433"/>
      <c r="EC166" s="170"/>
      <c r="ED166" s="170"/>
      <c r="EE166" s="170"/>
      <c r="EF166" s="170"/>
      <c r="EG166" s="170"/>
      <c r="EH166" s="170"/>
      <c r="EI166" s="170"/>
      <c r="EJ166" s="170"/>
      <c r="EK166" s="170"/>
    </row>
    <row r="167" spans="1:141" ht="15" x14ac:dyDescent="0.25">
      <c r="A167" s="170"/>
      <c r="B167" s="424">
        <v>6</v>
      </c>
      <c r="C167" s="424">
        <v>10</v>
      </c>
      <c r="D167" s="424">
        <v>7</v>
      </c>
      <c r="E167" s="425">
        <v>13</v>
      </c>
      <c r="F167" s="493"/>
      <c r="G167" s="1308" t="str">
        <f t="shared" si="659"/>
        <v xml:space="preserve">   Payroll Benefits Allocation (ZPB) incl NPT</v>
      </c>
      <c r="H167" s="1339">
        <v>59</v>
      </c>
      <c r="I167" s="1317">
        <f t="shared" si="469"/>
        <v>0.08</v>
      </c>
      <c r="J167" s="1689"/>
      <c r="K167" s="1311">
        <f t="shared" si="660"/>
        <v>0</v>
      </c>
      <c r="L167" s="1312">
        <f t="shared" si="660"/>
        <v>4.8099999999999996</v>
      </c>
      <c r="M167" s="1689"/>
      <c r="N167" s="1357"/>
      <c r="O167" s="1312">
        <f t="shared" ca="1" si="661"/>
        <v>0</v>
      </c>
      <c r="P167" s="1685"/>
      <c r="Q167" s="1313">
        <f t="shared" si="662"/>
        <v>0</v>
      </c>
      <c r="R167" s="1312">
        <f t="shared" ca="1" si="663"/>
        <v>0</v>
      </c>
      <c r="S167" s="1685"/>
      <c r="T167" s="1313">
        <f t="shared" si="664"/>
        <v>0</v>
      </c>
      <c r="U167" s="1312">
        <f t="shared" ca="1" si="665"/>
        <v>5558</v>
      </c>
      <c r="V167" s="1685"/>
      <c r="W167" s="1313">
        <f t="shared" si="666"/>
        <v>0</v>
      </c>
      <c r="X167" s="1312">
        <f t="shared" ca="1" si="667"/>
        <v>5589</v>
      </c>
      <c r="Y167" s="1685"/>
      <c r="Z167" s="1313">
        <f t="shared" si="668"/>
        <v>0</v>
      </c>
      <c r="AA167" s="1312">
        <f t="shared" ca="1" si="669"/>
        <v>4264</v>
      </c>
      <c r="AB167" s="1685"/>
      <c r="AC167" s="1313">
        <f t="shared" si="670"/>
        <v>0</v>
      </c>
      <c r="AD167" s="1312">
        <f t="shared" ca="1" si="671"/>
        <v>0</v>
      </c>
      <c r="AE167" s="1685"/>
      <c r="AF167" s="1313">
        <f t="shared" si="672"/>
        <v>0</v>
      </c>
      <c r="AG167" s="1312">
        <f t="shared" ca="1" si="673"/>
        <v>0</v>
      </c>
      <c r="AH167" s="1685"/>
      <c r="AI167" s="1313">
        <f t="shared" si="674"/>
        <v>0</v>
      </c>
      <c r="AJ167" s="1312">
        <f t="shared" ca="1" si="675"/>
        <v>0</v>
      </c>
      <c r="AK167" s="1685"/>
      <c r="AL167" s="1313">
        <f t="shared" si="676"/>
        <v>0</v>
      </c>
      <c r="AM167" s="1312">
        <f t="shared" ca="1" si="677"/>
        <v>0</v>
      </c>
      <c r="AN167" s="1685"/>
      <c r="AO167" s="1313">
        <f t="shared" si="678"/>
        <v>0</v>
      </c>
      <c r="AP167" s="1312">
        <f t="shared" ca="1" si="679"/>
        <v>0</v>
      </c>
      <c r="AQ167" s="1685"/>
      <c r="AR167" s="1313"/>
      <c r="AS167" s="1312">
        <f t="shared" ca="1" si="680"/>
        <v>15415.81</v>
      </c>
      <c r="AT167" s="1687"/>
      <c r="AU167" s="411"/>
      <c r="AV167" s="1757">
        <f t="shared" ca="1" si="510"/>
        <v>15415.81</v>
      </c>
      <c r="AW167" s="411"/>
      <c r="AX167" s="493"/>
      <c r="AY167" s="1561" t="s">
        <v>2380</v>
      </c>
      <c r="AZ167" s="1561"/>
      <c r="BA167" s="527">
        <f>'Data Input sheet'!D83</f>
        <v>0.08</v>
      </c>
      <c r="BB167" s="1632"/>
      <c r="BC167" s="1599">
        <v>0</v>
      </c>
      <c r="BD167" s="1600">
        <v>4.8099999999999996</v>
      </c>
      <c r="BE167" s="1632"/>
      <c r="BF167" s="1474"/>
      <c r="BG167" s="531">
        <f ca="1">+ROUND(((BG360)*($BA166+1))*$BA167,0)</f>
        <v>0</v>
      </c>
      <c r="BH167" s="1632"/>
      <c r="BI167" s="1474"/>
      <c r="BJ167" s="531">
        <f ca="1">+ROUND(((BJ360)*($BA166+1))*$BA167,0)</f>
        <v>0</v>
      </c>
      <c r="BK167" s="1632"/>
      <c r="BL167" s="1474"/>
      <c r="BM167" s="531">
        <f ca="1">+ROUND(((BM360)*($BA166+1))*$BA167,0)</f>
        <v>5090</v>
      </c>
      <c r="BN167" s="1632"/>
      <c r="BO167" s="1474"/>
      <c r="BP167" s="531">
        <f ca="1">+ROUND(((BP360)*($BA166+1))*$BA167,0)</f>
        <v>4969</v>
      </c>
      <c r="BQ167" s="1632"/>
      <c r="BR167" s="1474"/>
      <c r="BS167" s="531">
        <f ca="1">+ROUND(((BS360)*($BA166+1))*$BA167,0)</f>
        <v>3681</v>
      </c>
      <c r="BT167" s="1632"/>
      <c r="BU167" s="1474"/>
      <c r="BV167" s="531">
        <f ca="1">+ROUND(((BV360)*($BA166+1))*$BA167,0)</f>
        <v>0</v>
      </c>
      <c r="BW167" s="1632"/>
      <c r="BX167" s="1474"/>
      <c r="BY167" s="531">
        <f ca="1">+ROUND(((BY360)*($BA166+1))*$BA167,0)</f>
        <v>0</v>
      </c>
      <c r="BZ167" s="1632"/>
      <c r="CA167" s="1474"/>
      <c r="CB167" s="531">
        <f ca="1">+ROUND(((CB360)*($BA166+1))*$BA167,0)</f>
        <v>0</v>
      </c>
      <c r="CC167" s="1632"/>
      <c r="CD167" s="1474"/>
      <c r="CE167" s="531">
        <f ca="1">+ROUND(((CE360)*($BA166+1))*$BA167,0)</f>
        <v>0</v>
      </c>
      <c r="CF167" s="1632"/>
      <c r="CG167" s="1474"/>
      <c r="CH167" s="531">
        <f ca="1">+ROUND(((CH360)*($BA166+1))*$BA167,0)</f>
        <v>0</v>
      </c>
      <c r="CI167" s="1632"/>
      <c r="CJ167" s="1257"/>
      <c r="CK167" s="1395">
        <f ca="1">+BS167+BP167+BM167+BJ167+BG167+BD167+BV167+BY167+CB167+CE167+CH167</f>
        <v>13744.81</v>
      </c>
      <c r="CL167" s="1740"/>
      <c r="CM167" s="170"/>
      <c r="CN167" s="493"/>
      <c r="CO167" s="428" t="str">
        <f t="shared" si="681"/>
        <v xml:space="preserve">   Payroll Benefits Allocation (ZPB) incl NPT</v>
      </c>
      <c r="CP167" s="494">
        <f t="shared" ref="CP167:CP175" si="694">+AZ167</f>
        <v>0</v>
      </c>
      <c r="CQ167" s="529"/>
      <c r="CR167" s="1703"/>
      <c r="CS167" s="481"/>
      <c r="CT167" s="495">
        <f t="shared" si="682"/>
        <v>0</v>
      </c>
      <c r="CU167" s="1707"/>
      <c r="CV167" s="530"/>
      <c r="CW167" s="434">
        <f t="shared" ca="1" si="683"/>
        <v>0</v>
      </c>
      <c r="CX167" s="443"/>
      <c r="CY167" s="432">
        <v>0</v>
      </c>
      <c r="CZ167" s="434">
        <f t="shared" ca="1" si="684"/>
        <v>0</v>
      </c>
      <c r="DA167" s="443"/>
      <c r="DB167" s="432">
        <v>0</v>
      </c>
      <c r="DC167" s="434">
        <f t="shared" ca="1" si="685"/>
        <v>468</v>
      </c>
      <c r="DD167" s="443"/>
      <c r="DE167" s="432">
        <v>0</v>
      </c>
      <c r="DF167" s="434">
        <f t="shared" ca="1" si="686"/>
        <v>620</v>
      </c>
      <c r="DG167" s="443"/>
      <c r="DH167" s="432">
        <v>0</v>
      </c>
      <c r="DI167" s="434">
        <f t="shared" ca="1" si="687"/>
        <v>583</v>
      </c>
      <c r="DJ167" s="443"/>
      <c r="DK167" s="432">
        <v>0</v>
      </c>
      <c r="DL167" s="434">
        <f t="shared" ca="1" si="688"/>
        <v>0</v>
      </c>
      <c r="DM167" s="443"/>
      <c r="DN167" s="432">
        <v>0</v>
      </c>
      <c r="DO167" s="434">
        <f t="shared" ca="1" si="689"/>
        <v>0</v>
      </c>
      <c r="DP167" s="443"/>
      <c r="DQ167" s="432">
        <v>0</v>
      </c>
      <c r="DR167" s="434">
        <f t="shared" ca="1" si="690"/>
        <v>0</v>
      </c>
      <c r="DS167" s="443"/>
      <c r="DT167" s="432">
        <v>0</v>
      </c>
      <c r="DU167" s="434">
        <f t="shared" ca="1" si="691"/>
        <v>0</v>
      </c>
      <c r="DV167" s="443"/>
      <c r="DW167" s="432">
        <v>0</v>
      </c>
      <c r="DX167" s="434">
        <f t="shared" ca="1" si="692"/>
        <v>0</v>
      </c>
      <c r="DY167" s="443"/>
      <c r="DZ167" s="432"/>
      <c r="EA167" s="444">
        <f t="shared" ca="1" si="693"/>
        <v>1671</v>
      </c>
      <c r="EB167" s="433"/>
      <c r="EC167" s="170"/>
      <c r="ED167" s="170"/>
      <c r="EE167" s="170"/>
      <c r="EF167" s="170"/>
      <c r="EG167" s="170"/>
      <c r="EH167" s="170"/>
      <c r="EI167" s="170"/>
      <c r="EJ167" s="170"/>
      <c r="EK167" s="170"/>
    </row>
    <row r="168" spans="1:141" ht="15" x14ac:dyDescent="0.25">
      <c r="A168" s="170"/>
      <c r="B168" s="424">
        <v>6</v>
      </c>
      <c r="C168" s="424">
        <v>10</v>
      </c>
      <c r="D168" s="424">
        <v>7</v>
      </c>
      <c r="E168" s="425">
        <v>13</v>
      </c>
      <c r="F168" s="493"/>
      <c r="G168" s="1308" t="str">
        <f t="shared" si="659"/>
        <v xml:space="preserve">   Gen SVC CO Overhead (ZGS) incl NPT</v>
      </c>
      <c r="H168" s="1339">
        <v>60</v>
      </c>
      <c r="I168" s="1317">
        <f t="shared" si="469"/>
        <v>0.7</v>
      </c>
      <c r="J168" s="1689"/>
      <c r="K168" s="1311">
        <f t="shared" si="660"/>
        <v>0</v>
      </c>
      <c r="L168" s="1312">
        <f t="shared" si="660"/>
        <v>79696.06</v>
      </c>
      <c r="M168" s="1689"/>
      <c r="N168" s="1357" t="s">
        <v>96</v>
      </c>
      <c r="O168" s="1312">
        <f t="shared" ca="1" si="661"/>
        <v>0</v>
      </c>
      <c r="P168" s="1685"/>
      <c r="Q168" s="1313">
        <f t="shared" si="662"/>
        <v>0</v>
      </c>
      <c r="R168" s="1312">
        <f t="shared" ca="1" si="663"/>
        <v>0</v>
      </c>
      <c r="S168" s="1685"/>
      <c r="T168" s="1313">
        <f t="shared" si="664"/>
        <v>0</v>
      </c>
      <c r="U168" s="1312">
        <f t="shared" ca="1" si="665"/>
        <v>54204</v>
      </c>
      <c r="V168" s="1685"/>
      <c r="W168" s="1313">
        <f t="shared" si="666"/>
        <v>0</v>
      </c>
      <c r="X168" s="1312">
        <f t="shared" ca="1" si="667"/>
        <v>179670</v>
      </c>
      <c r="Y168" s="1685"/>
      <c r="Z168" s="1313">
        <f t="shared" si="668"/>
        <v>0</v>
      </c>
      <c r="AA168" s="1312">
        <f t="shared" ca="1" si="669"/>
        <v>127610</v>
      </c>
      <c r="AB168" s="1685"/>
      <c r="AC168" s="1313">
        <f t="shared" si="670"/>
        <v>0</v>
      </c>
      <c r="AD168" s="1312">
        <f t="shared" ca="1" si="671"/>
        <v>0</v>
      </c>
      <c r="AE168" s="1685"/>
      <c r="AF168" s="1313">
        <f t="shared" si="672"/>
        <v>0</v>
      </c>
      <c r="AG168" s="1312">
        <f t="shared" ca="1" si="673"/>
        <v>0</v>
      </c>
      <c r="AH168" s="1685"/>
      <c r="AI168" s="1313">
        <f t="shared" si="674"/>
        <v>0</v>
      </c>
      <c r="AJ168" s="1312">
        <f t="shared" ca="1" si="675"/>
        <v>0</v>
      </c>
      <c r="AK168" s="1685"/>
      <c r="AL168" s="1313">
        <f t="shared" si="676"/>
        <v>0</v>
      </c>
      <c r="AM168" s="1312">
        <f t="shared" ca="1" si="677"/>
        <v>0</v>
      </c>
      <c r="AN168" s="1685"/>
      <c r="AO168" s="1313">
        <f t="shared" si="678"/>
        <v>0</v>
      </c>
      <c r="AP168" s="1312">
        <f t="shared" ca="1" si="679"/>
        <v>0</v>
      </c>
      <c r="AQ168" s="1685"/>
      <c r="AR168" s="1313"/>
      <c r="AS168" s="1312">
        <f t="shared" ca="1" si="680"/>
        <v>441180.06</v>
      </c>
      <c r="AT168" s="1687"/>
      <c r="AU168" s="411"/>
      <c r="AV168" s="1757">
        <f t="shared" ca="1" si="510"/>
        <v>441180.06</v>
      </c>
      <c r="AW168" s="411"/>
      <c r="AX168" s="493"/>
      <c r="AY168" s="1561" t="s">
        <v>2384</v>
      </c>
      <c r="AZ168" s="1561"/>
      <c r="BA168" s="527">
        <f>'Data Input sheet'!D79</f>
        <v>0.7</v>
      </c>
      <c r="BB168" s="1632"/>
      <c r="BC168" s="1599">
        <v>0</v>
      </c>
      <c r="BD168" s="1600">
        <v>79696.06</v>
      </c>
      <c r="BE168" s="1632"/>
      <c r="BF168" s="1474" t="s">
        <v>96</v>
      </c>
      <c r="BG168" s="531">
        <f ca="1">+ROUND(((BG359)*($BA166+1))*$BA168,0)</f>
        <v>0</v>
      </c>
      <c r="BH168" s="1632"/>
      <c r="BI168" s="1474"/>
      <c r="BJ168" s="531">
        <f ca="1">+ROUND(((BJ359)*($BA166+1))*$BA168,0)</f>
        <v>0</v>
      </c>
      <c r="BK168" s="1632"/>
      <c r="BL168" s="1474"/>
      <c r="BM168" s="531">
        <f ca="1">+ROUND(((BM359)*($BA166+1))*$BA168,0)-BD168</f>
        <v>49636.94</v>
      </c>
      <c r="BN168" s="1632"/>
      <c r="BO168" s="1474"/>
      <c r="BP168" s="531">
        <f ca="1">+ROUND(((BP359)*($BA166+1))*$BA168,0)</f>
        <v>159741</v>
      </c>
      <c r="BQ168" s="1632"/>
      <c r="BR168" s="1474"/>
      <c r="BS168" s="531">
        <f ca="1">+ROUND(((BS359)*($BA166+1))*$BA168,0)</f>
        <v>110151</v>
      </c>
      <c r="BT168" s="1632"/>
      <c r="BU168" s="1474"/>
      <c r="BV168" s="531">
        <f ca="1">+ROUND(((BV359)*($BA166+1))*$BA168,0)</f>
        <v>0</v>
      </c>
      <c r="BW168" s="1632"/>
      <c r="BX168" s="1474"/>
      <c r="BY168" s="531">
        <f ca="1">+ROUND(((BY359)*($BA166+1))*$BA168,0)</f>
        <v>0</v>
      </c>
      <c r="BZ168" s="1632"/>
      <c r="CA168" s="1474"/>
      <c r="CB168" s="531">
        <f ca="1">+ROUND(((CB359)*($BA166+1))*$BA168,0)</f>
        <v>0</v>
      </c>
      <c r="CC168" s="1632"/>
      <c r="CD168" s="1474"/>
      <c r="CE168" s="531">
        <f ca="1">+ROUND(((CE359)*($BA166+1))*$BA168,0)</f>
        <v>0</v>
      </c>
      <c r="CF168" s="1632"/>
      <c r="CG168" s="1474"/>
      <c r="CH168" s="531">
        <f ca="1">+ROUND(((CH359)*($BA166+1))*$BA168,0)</f>
        <v>0</v>
      </c>
      <c r="CI168" s="1632"/>
      <c r="CJ168" s="1257"/>
      <c r="CK168" s="1395">
        <f t="shared" ref="CK168:CK175" ca="1" si="695">+BS168+BP168+BM168+BJ168+BG168+BD168+BV168+BY168+CB168+CE168+CH168</f>
        <v>399225</v>
      </c>
      <c r="CL168" s="1740"/>
      <c r="CM168" s="170"/>
      <c r="CN168" s="493"/>
      <c r="CO168" s="428" t="str">
        <f t="shared" si="681"/>
        <v xml:space="preserve">   Gen SVC CO Overhead (ZGS) incl NPT</v>
      </c>
      <c r="CP168" s="494">
        <f t="shared" si="694"/>
        <v>0</v>
      </c>
      <c r="CQ168" s="529"/>
      <c r="CR168" s="1703"/>
      <c r="CS168" s="481"/>
      <c r="CT168" s="495">
        <f t="shared" si="682"/>
        <v>0</v>
      </c>
      <c r="CU168" s="1707"/>
      <c r="CV168" s="530" t="s">
        <v>96</v>
      </c>
      <c r="CW168" s="434">
        <f t="shared" ca="1" si="683"/>
        <v>0</v>
      </c>
      <c r="CX168" s="443"/>
      <c r="CY168" s="432">
        <v>0</v>
      </c>
      <c r="CZ168" s="434">
        <f t="shared" ca="1" si="684"/>
        <v>0</v>
      </c>
      <c r="DA168" s="443"/>
      <c r="DB168" s="432">
        <v>0</v>
      </c>
      <c r="DC168" s="434">
        <f t="shared" ca="1" si="685"/>
        <v>4567.0599999999977</v>
      </c>
      <c r="DD168" s="443"/>
      <c r="DE168" s="432">
        <v>0</v>
      </c>
      <c r="DF168" s="434">
        <f t="shared" ca="1" si="686"/>
        <v>19929</v>
      </c>
      <c r="DG168" s="443"/>
      <c r="DH168" s="432">
        <v>0</v>
      </c>
      <c r="DI168" s="434">
        <f t="shared" ca="1" si="687"/>
        <v>17459</v>
      </c>
      <c r="DJ168" s="443"/>
      <c r="DK168" s="432">
        <v>0</v>
      </c>
      <c r="DL168" s="434">
        <f t="shared" ca="1" si="688"/>
        <v>0</v>
      </c>
      <c r="DM168" s="443"/>
      <c r="DN168" s="432">
        <v>0</v>
      </c>
      <c r="DO168" s="434">
        <f t="shared" ca="1" si="689"/>
        <v>0</v>
      </c>
      <c r="DP168" s="443"/>
      <c r="DQ168" s="432">
        <v>0</v>
      </c>
      <c r="DR168" s="434">
        <f t="shared" ca="1" si="690"/>
        <v>0</v>
      </c>
      <c r="DS168" s="443"/>
      <c r="DT168" s="432">
        <v>0</v>
      </c>
      <c r="DU168" s="434">
        <f t="shared" ca="1" si="691"/>
        <v>0</v>
      </c>
      <c r="DV168" s="443"/>
      <c r="DW168" s="432">
        <v>0</v>
      </c>
      <c r="DX168" s="434">
        <f t="shared" ca="1" si="692"/>
        <v>0</v>
      </c>
      <c r="DY168" s="443"/>
      <c r="DZ168" s="432"/>
      <c r="EA168" s="444">
        <f t="shared" ca="1" si="693"/>
        <v>41955.06</v>
      </c>
      <c r="EB168" s="433"/>
      <c r="EC168" s="170"/>
      <c r="ED168" s="170"/>
      <c r="EE168" s="170"/>
      <c r="EF168" s="170"/>
      <c r="EG168" s="170"/>
      <c r="EH168" s="170"/>
      <c r="EI168" s="170"/>
      <c r="EJ168" s="170"/>
      <c r="EK168" s="170"/>
    </row>
    <row r="169" spans="1:141" ht="15" x14ac:dyDescent="0.25">
      <c r="A169" s="170"/>
      <c r="B169" s="424">
        <v>6</v>
      </c>
      <c r="C169" s="424">
        <v>10</v>
      </c>
      <c r="D169" s="424">
        <v>7</v>
      </c>
      <c r="E169" s="425">
        <v>13</v>
      </c>
      <c r="F169" s="493"/>
      <c r="G169" s="1308" t="str">
        <f t="shared" si="659"/>
        <v xml:space="preserve">   E&amp;S Allocations (ZEB,ZEL,ZES)</v>
      </c>
      <c r="H169" s="1339">
        <v>61</v>
      </c>
      <c r="I169" s="1317">
        <f t="shared" si="469"/>
        <v>0.65</v>
      </c>
      <c r="J169" s="1687"/>
      <c r="K169" s="1311">
        <f t="shared" si="660"/>
        <v>0</v>
      </c>
      <c r="L169" s="1312">
        <f t="shared" si="660"/>
        <v>95961.95</v>
      </c>
      <c r="M169" s="1687"/>
      <c r="N169" s="1325"/>
      <c r="O169" s="1312">
        <f t="shared" ca="1" si="661"/>
        <v>0</v>
      </c>
      <c r="P169" s="1685"/>
      <c r="Q169" s="1313">
        <f t="shared" si="662"/>
        <v>0</v>
      </c>
      <c r="R169" s="1312">
        <f t="shared" ca="1" si="663"/>
        <v>0</v>
      </c>
      <c r="S169" s="1685"/>
      <c r="T169" s="1313">
        <f t="shared" si="664"/>
        <v>0</v>
      </c>
      <c r="U169" s="1312">
        <f t="shared" ca="1" si="665"/>
        <v>633893</v>
      </c>
      <c r="V169" s="1685"/>
      <c r="W169" s="1313">
        <f t="shared" si="666"/>
        <v>0</v>
      </c>
      <c r="X169" s="1312">
        <f t="shared" ca="1" si="667"/>
        <v>2963501</v>
      </c>
      <c r="Y169" s="1685"/>
      <c r="Z169" s="1313">
        <f t="shared" si="668"/>
        <v>0</v>
      </c>
      <c r="AA169" s="1312">
        <f t="shared" ca="1" si="669"/>
        <v>2116534</v>
      </c>
      <c r="AB169" s="1685"/>
      <c r="AC169" s="1313">
        <f t="shared" si="670"/>
        <v>0</v>
      </c>
      <c r="AD169" s="1312">
        <f t="shared" ca="1" si="671"/>
        <v>0</v>
      </c>
      <c r="AE169" s="1685"/>
      <c r="AF169" s="1313">
        <f t="shared" si="672"/>
        <v>0</v>
      </c>
      <c r="AG169" s="1312">
        <f t="shared" ca="1" si="673"/>
        <v>0</v>
      </c>
      <c r="AH169" s="1685"/>
      <c r="AI169" s="1313">
        <f t="shared" si="674"/>
        <v>0</v>
      </c>
      <c r="AJ169" s="1312">
        <f t="shared" ca="1" si="675"/>
        <v>0</v>
      </c>
      <c r="AK169" s="1685"/>
      <c r="AL169" s="1313">
        <f t="shared" si="676"/>
        <v>0</v>
      </c>
      <c r="AM169" s="1312">
        <f t="shared" ca="1" si="677"/>
        <v>0</v>
      </c>
      <c r="AN169" s="1685"/>
      <c r="AO169" s="1313">
        <f t="shared" si="678"/>
        <v>0</v>
      </c>
      <c r="AP169" s="1312">
        <f t="shared" ca="1" si="679"/>
        <v>0</v>
      </c>
      <c r="AQ169" s="1685"/>
      <c r="AR169" s="1313"/>
      <c r="AS169" s="1312">
        <f t="shared" ca="1" si="680"/>
        <v>5809889.9500000002</v>
      </c>
      <c r="AT169" s="1687"/>
      <c r="AU169" s="411"/>
      <c r="AV169" s="1757">
        <f t="shared" ca="1" si="510"/>
        <v>5809889.9500000002</v>
      </c>
      <c r="AW169" s="411"/>
      <c r="AX169" s="493"/>
      <c r="AY169" s="1561" t="s">
        <v>2381</v>
      </c>
      <c r="AZ169" s="1561"/>
      <c r="BA169" s="527">
        <f>'Data Input sheet'!D78</f>
        <v>0.65</v>
      </c>
      <c r="BB169" s="1632"/>
      <c r="BC169" s="1599">
        <v>0</v>
      </c>
      <c r="BD169" s="1600">
        <v>95961.95</v>
      </c>
      <c r="BE169" s="1632"/>
      <c r="BF169" s="1470"/>
      <c r="BG169" s="531">
        <f ca="1">ROUND(+(BG359+BG360+BG361+BG167+BG166+BG168)*$BA$169,0)</f>
        <v>0</v>
      </c>
      <c r="BH169" s="1632"/>
      <c r="BI169" s="1470"/>
      <c r="BJ169" s="531">
        <f ca="1">ROUND(+(BJ359+BJ360+BJ361+BJ167+BJ166+BJ168)*$BA$169,0)</f>
        <v>0</v>
      </c>
      <c r="BK169" s="1632"/>
      <c r="BL169" s="1470"/>
      <c r="BM169" s="531">
        <f ca="1">ROUND(+(BM359+BM360+BM361+BM167+BM166+BM168)*$BA$169,0)</f>
        <v>580488</v>
      </c>
      <c r="BN169" s="1632"/>
      <c r="BO169" s="1470"/>
      <c r="BP169" s="531">
        <f ca="1">ROUND(+(BP359+BP360+BP361+BP167+BP166+BP168)*$BA$169,0)</f>
        <v>2634785</v>
      </c>
      <c r="BQ169" s="1632"/>
      <c r="BR169" s="1470"/>
      <c r="BS169" s="531">
        <f ca="1">ROUND(+(BS359+BS360+BS361+BS167+BS166+BS168)*$BA$169,0)</f>
        <v>1826956</v>
      </c>
      <c r="BT169" s="1632"/>
      <c r="BU169" s="1470"/>
      <c r="BV169" s="531">
        <f ca="1">ROUND(+(BV359+BV360+BV361+BV167+BV166+BV168)*$BA$169,0)</f>
        <v>0</v>
      </c>
      <c r="BW169" s="1632"/>
      <c r="BX169" s="1470"/>
      <c r="BY169" s="531">
        <f ca="1">ROUND(+(BY359+BY360+BY361+BY167+BY166+BY168)*$BA$169,0)</f>
        <v>0</v>
      </c>
      <c r="BZ169" s="1632"/>
      <c r="CA169" s="1470"/>
      <c r="CB169" s="531">
        <f ca="1">ROUND(+(CB359+CB360+CB361+CB167+CB166+CB168)*$BA$169,0)</f>
        <v>0</v>
      </c>
      <c r="CC169" s="1632"/>
      <c r="CD169" s="1470"/>
      <c r="CE169" s="531">
        <f ca="1">ROUND(+(CE359+CE360+CE361+CE167+CE166+CE168)*$BA$169,0)</f>
        <v>0</v>
      </c>
      <c r="CF169" s="1632"/>
      <c r="CG169" s="1470"/>
      <c r="CH169" s="531">
        <f ca="1">ROUND(+(CH359+CH360+CH361+CH167+CH166+CH168)*$BA$169,0)</f>
        <v>0</v>
      </c>
      <c r="CI169" s="1632"/>
      <c r="CJ169" s="1257"/>
      <c r="CK169" s="1395">
        <f ca="1">+BS169+BP169+BM169+BJ169+BG169+BD169+BV169+BY169+CB169+CE169+CH169</f>
        <v>5138190.95</v>
      </c>
      <c r="CL169" s="1740"/>
      <c r="CM169" s="170"/>
      <c r="CN169" s="493"/>
      <c r="CO169" s="428" t="str">
        <f t="shared" si="681"/>
        <v xml:space="preserve">   E&amp;S Allocations (ZEB,ZEL,ZES)</v>
      </c>
      <c r="CP169" s="494">
        <f t="shared" si="694"/>
        <v>0</v>
      </c>
      <c r="CQ169" s="529"/>
      <c r="CR169" s="1703"/>
      <c r="CS169" s="435"/>
      <c r="CT169" s="495">
        <f t="shared" si="682"/>
        <v>0</v>
      </c>
      <c r="CU169" s="1703"/>
      <c r="CV169" s="462"/>
      <c r="CW169" s="434">
        <f t="shared" ca="1" si="683"/>
        <v>0</v>
      </c>
      <c r="CX169" s="443"/>
      <c r="CY169" s="432">
        <v>0</v>
      </c>
      <c r="CZ169" s="434">
        <f t="shared" ca="1" si="684"/>
        <v>0</v>
      </c>
      <c r="DA169" s="443"/>
      <c r="DB169" s="432">
        <v>0</v>
      </c>
      <c r="DC169" s="434">
        <f t="shared" ca="1" si="685"/>
        <v>53405</v>
      </c>
      <c r="DD169" s="443"/>
      <c r="DE169" s="432">
        <v>0</v>
      </c>
      <c r="DF169" s="434">
        <f t="shared" ca="1" si="686"/>
        <v>328716</v>
      </c>
      <c r="DG169" s="443"/>
      <c r="DH169" s="432">
        <v>0</v>
      </c>
      <c r="DI169" s="434">
        <f t="shared" ca="1" si="687"/>
        <v>289578</v>
      </c>
      <c r="DJ169" s="443"/>
      <c r="DK169" s="432">
        <v>0</v>
      </c>
      <c r="DL169" s="434">
        <f t="shared" ca="1" si="688"/>
        <v>0</v>
      </c>
      <c r="DM169" s="443"/>
      <c r="DN169" s="432">
        <v>0</v>
      </c>
      <c r="DO169" s="434">
        <f t="shared" ca="1" si="689"/>
        <v>0</v>
      </c>
      <c r="DP169" s="443"/>
      <c r="DQ169" s="432">
        <v>0</v>
      </c>
      <c r="DR169" s="434">
        <f t="shared" ca="1" si="690"/>
        <v>0</v>
      </c>
      <c r="DS169" s="443"/>
      <c r="DT169" s="432">
        <v>0</v>
      </c>
      <c r="DU169" s="434">
        <f t="shared" ca="1" si="691"/>
        <v>0</v>
      </c>
      <c r="DV169" s="443"/>
      <c r="DW169" s="432">
        <v>0</v>
      </c>
      <c r="DX169" s="434">
        <f t="shared" ca="1" si="692"/>
        <v>0</v>
      </c>
      <c r="DY169" s="443"/>
      <c r="DZ169" s="432"/>
      <c r="EA169" s="444">
        <f t="shared" ca="1" si="693"/>
        <v>671699</v>
      </c>
      <c r="EB169" s="433"/>
      <c r="EC169" s="170"/>
      <c r="ED169" s="170"/>
      <c r="EE169" s="170"/>
      <c r="EF169" s="170"/>
      <c r="EG169" s="170"/>
      <c r="EH169" s="170"/>
      <c r="EI169" s="170"/>
      <c r="EJ169" s="170"/>
      <c r="EK169" s="170"/>
    </row>
    <row r="170" spans="1:141" ht="15" x14ac:dyDescent="0.25">
      <c r="A170" s="170"/>
      <c r="B170" s="424">
        <v>6</v>
      </c>
      <c r="C170" s="424">
        <v>10</v>
      </c>
      <c r="D170" s="424">
        <v>7</v>
      </c>
      <c r="E170" s="425">
        <v>13</v>
      </c>
      <c r="F170" s="493"/>
      <c r="G170" s="1308" t="str">
        <f t="shared" si="659"/>
        <v xml:space="preserve">   AS&amp;E Allocations (ZAS)</v>
      </c>
      <c r="H170" s="1339">
        <v>62</v>
      </c>
      <c r="I170" s="1317">
        <f t="shared" si="469"/>
        <v>8.9999999999999993E-3</v>
      </c>
      <c r="J170" s="1687"/>
      <c r="K170" s="1311">
        <f t="shared" si="660"/>
        <v>0</v>
      </c>
      <c r="L170" s="1312">
        <f t="shared" si="660"/>
        <v>2925.42</v>
      </c>
      <c r="M170" s="1687"/>
      <c r="N170" s="1325"/>
      <c r="O170" s="1312">
        <f t="shared" ca="1" si="661"/>
        <v>35</v>
      </c>
      <c r="P170" s="1685"/>
      <c r="Q170" s="1313">
        <f t="shared" si="662"/>
        <v>0</v>
      </c>
      <c r="R170" s="1312">
        <f t="shared" ca="1" si="663"/>
        <v>71</v>
      </c>
      <c r="S170" s="1685"/>
      <c r="T170" s="1313">
        <f t="shared" si="664"/>
        <v>0</v>
      </c>
      <c r="U170" s="1312">
        <f t="shared" ca="1" si="665"/>
        <v>105919</v>
      </c>
      <c r="V170" s="1685"/>
      <c r="W170" s="1313">
        <f t="shared" si="666"/>
        <v>0</v>
      </c>
      <c r="X170" s="1312">
        <f t="shared" ca="1" si="667"/>
        <v>165923</v>
      </c>
      <c r="Y170" s="1685"/>
      <c r="Z170" s="1313">
        <f t="shared" si="668"/>
        <v>0</v>
      </c>
      <c r="AA170" s="1312">
        <f t="shared" ca="1" si="669"/>
        <v>48714</v>
      </c>
      <c r="AB170" s="1685"/>
      <c r="AC170" s="1313">
        <f t="shared" si="670"/>
        <v>0</v>
      </c>
      <c r="AD170" s="1312">
        <f t="shared" ca="1" si="671"/>
        <v>0</v>
      </c>
      <c r="AE170" s="1685"/>
      <c r="AF170" s="1313">
        <f t="shared" si="672"/>
        <v>0</v>
      </c>
      <c r="AG170" s="1312">
        <f t="shared" ca="1" si="673"/>
        <v>0</v>
      </c>
      <c r="AH170" s="1685"/>
      <c r="AI170" s="1313">
        <f t="shared" si="674"/>
        <v>0</v>
      </c>
      <c r="AJ170" s="1312">
        <f t="shared" ca="1" si="675"/>
        <v>0</v>
      </c>
      <c r="AK170" s="1685"/>
      <c r="AL170" s="1313">
        <f t="shared" si="676"/>
        <v>0</v>
      </c>
      <c r="AM170" s="1312">
        <f t="shared" ca="1" si="677"/>
        <v>0</v>
      </c>
      <c r="AN170" s="1685"/>
      <c r="AO170" s="1313">
        <f t="shared" si="678"/>
        <v>0</v>
      </c>
      <c r="AP170" s="1312">
        <f t="shared" ca="1" si="679"/>
        <v>0</v>
      </c>
      <c r="AQ170" s="1685"/>
      <c r="AR170" s="1313"/>
      <c r="AS170" s="1312">
        <f t="shared" ca="1" si="680"/>
        <v>323587.42</v>
      </c>
      <c r="AT170" s="1687"/>
      <c r="AU170" s="411"/>
      <c r="AV170" s="1757">
        <f t="shared" ca="1" si="510"/>
        <v>323587.42</v>
      </c>
      <c r="AW170" s="411"/>
      <c r="AX170" s="493"/>
      <c r="AY170" s="1561" t="s">
        <v>2382</v>
      </c>
      <c r="AZ170" s="1561"/>
      <c r="BA170" s="527">
        <f>+'Data Input sheet'!D77</f>
        <v>8.9999999999999993E-3</v>
      </c>
      <c r="BB170" s="1632"/>
      <c r="BC170" s="1599">
        <v>0</v>
      </c>
      <c r="BD170" s="1600">
        <v>2925.42</v>
      </c>
      <c r="BE170" s="1632"/>
      <c r="BF170" s="1470"/>
      <c r="BG170" s="532">
        <f ca="1">ROUND((BG156+SUM(BG166:BG169))*$BA170,0)</f>
        <v>35</v>
      </c>
      <c r="BH170" s="1632"/>
      <c r="BI170" s="1470"/>
      <c r="BJ170" s="532">
        <f ca="1">ROUND((BJ156+SUM(BJ166:BJ169))*$BA170,0)</f>
        <v>68</v>
      </c>
      <c r="BK170" s="1632"/>
      <c r="BL170" s="1470"/>
      <c r="BM170" s="532">
        <f ca="1">ROUND((BM156+SUM(BM166:BM169))*$BA170,0)</f>
        <v>96995</v>
      </c>
      <c r="BN170" s="1632"/>
      <c r="BO170" s="1470"/>
      <c r="BP170" s="532">
        <f ca="1">ROUND((BP156+SUM(BP166:BP169))*$BA170,0)</f>
        <v>147519</v>
      </c>
      <c r="BQ170" s="1632"/>
      <c r="BR170" s="1470"/>
      <c r="BS170" s="532">
        <f ca="1">ROUND((BS156+SUM(BS166:BS169))*$BA170,0)</f>
        <v>42049</v>
      </c>
      <c r="BT170" s="1632"/>
      <c r="BU170" s="1470"/>
      <c r="BV170" s="532">
        <f ca="1">ROUND((BV156+SUM(BV166:BV169))*$BA170,0)</f>
        <v>0</v>
      </c>
      <c r="BW170" s="1632"/>
      <c r="BX170" s="1470"/>
      <c r="BY170" s="532">
        <f ca="1">ROUND((BY156+SUM(BY166:BY169))*$BA170,0)</f>
        <v>0</v>
      </c>
      <c r="BZ170" s="1632"/>
      <c r="CA170" s="1470"/>
      <c r="CB170" s="532">
        <f ca="1">ROUND((CB156+SUM(CB166:CB169))*$BA170,0)</f>
        <v>0</v>
      </c>
      <c r="CC170" s="1632"/>
      <c r="CD170" s="1470"/>
      <c r="CE170" s="532">
        <f ca="1">ROUND((CE156+SUM(CE166:CE169))*$BA170,0)</f>
        <v>0</v>
      </c>
      <c r="CF170" s="1632"/>
      <c r="CG170" s="1470"/>
      <c r="CH170" s="532">
        <f ca="1">ROUND((CH156+SUM(CH166:CH169))*$BA170,0)</f>
        <v>0</v>
      </c>
      <c r="CI170" s="1632"/>
      <c r="CJ170" s="1257"/>
      <c r="CK170" s="1395">
        <f ca="1">+BS170+BP170+BM170+BJ170+BG170+BD170+BV170+BY170+CB170+CE170+CH170</f>
        <v>289591.42</v>
      </c>
      <c r="CL170" s="1740"/>
      <c r="CM170" s="170"/>
      <c r="CN170" s="493"/>
      <c r="CO170" s="428" t="str">
        <f t="shared" si="681"/>
        <v xml:space="preserve">   AS&amp;E Allocations (ZAS)</v>
      </c>
      <c r="CP170" s="494">
        <f t="shared" si="694"/>
        <v>0</v>
      </c>
      <c r="CQ170" s="529"/>
      <c r="CR170" s="1703"/>
      <c r="CS170" s="435"/>
      <c r="CT170" s="510">
        <f t="shared" si="682"/>
        <v>0</v>
      </c>
      <c r="CU170" s="1703"/>
      <c r="CV170" s="462"/>
      <c r="CW170" s="434">
        <f t="shared" ca="1" si="683"/>
        <v>0</v>
      </c>
      <c r="CX170" s="443"/>
      <c r="CY170" s="432">
        <v>0</v>
      </c>
      <c r="CZ170" s="434">
        <f t="shared" ca="1" si="684"/>
        <v>3</v>
      </c>
      <c r="DA170" s="443"/>
      <c r="DB170" s="432">
        <v>0</v>
      </c>
      <c r="DC170" s="434">
        <f t="shared" ca="1" si="685"/>
        <v>8924</v>
      </c>
      <c r="DD170" s="443"/>
      <c r="DE170" s="432">
        <v>0</v>
      </c>
      <c r="DF170" s="434">
        <f t="shared" ca="1" si="686"/>
        <v>18404</v>
      </c>
      <c r="DG170" s="443"/>
      <c r="DH170" s="432">
        <v>0</v>
      </c>
      <c r="DI170" s="434">
        <f t="shared" ca="1" si="687"/>
        <v>6665</v>
      </c>
      <c r="DJ170" s="443"/>
      <c r="DK170" s="432">
        <v>0</v>
      </c>
      <c r="DL170" s="434">
        <f t="shared" ca="1" si="688"/>
        <v>0</v>
      </c>
      <c r="DM170" s="443"/>
      <c r="DN170" s="432">
        <v>0</v>
      </c>
      <c r="DO170" s="434">
        <f t="shared" ca="1" si="689"/>
        <v>0</v>
      </c>
      <c r="DP170" s="443"/>
      <c r="DQ170" s="432">
        <v>0</v>
      </c>
      <c r="DR170" s="434">
        <f t="shared" ca="1" si="690"/>
        <v>0</v>
      </c>
      <c r="DS170" s="443"/>
      <c r="DT170" s="432">
        <v>0</v>
      </c>
      <c r="DU170" s="434">
        <f t="shared" ca="1" si="691"/>
        <v>0</v>
      </c>
      <c r="DV170" s="443"/>
      <c r="DW170" s="432">
        <v>0</v>
      </c>
      <c r="DX170" s="434">
        <f t="shared" ca="1" si="692"/>
        <v>0</v>
      </c>
      <c r="DY170" s="443"/>
      <c r="DZ170" s="432"/>
      <c r="EA170" s="444">
        <f t="shared" ca="1" si="693"/>
        <v>33996</v>
      </c>
      <c r="EB170" s="433"/>
      <c r="EC170" s="170"/>
      <c r="ED170" s="170"/>
      <c r="EE170" s="170"/>
      <c r="EF170" s="170"/>
      <c r="EG170" s="170"/>
      <c r="EH170" s="170"/>
      <c r="EI170" s="170"/>
      <c r="EJ170" s="170"/>
      <c r="EK170" s="170"/>
    </row>
    <row r="171" spans="1:141" ht="15" x14ac:dyDescent="0.25">
      <c r="A171" s="170"/>
      <c r="B171" s="424">
        <v>6</v>
      </c>
      <c r="C171" s="424">
        <v>10</v>
      </c>
      <c r="D171" s="424">
        <v>7</v>
      </c>
      <c r="E171" s="425">
        <v>13</v>
      </c>
      <c r="F171" s="493"/>
      <c r="G171" s="1308" t="str">
        <f t="shared" si="659"/>
        <v xml:space="preserve">   Stores Expense Allocation (ZST) </v>
      </c>
      <c r="H171" s="1339">
        <v>62</v>
      </c>
      <c r="I171" s="1317">
        <f t="shared" si="469"/>
        <v>0.05</v>
      </c>
      <c r="J171" s="1687"/>
      <c r="K171" s="1311">
        <f t="shared" si="660"/>
        <v>0</v>
      </c>
      <c r="L171" s="1312">
        <f t="shared" si="660"/>
        <v>0</v>
      </c>
      <c r="M171" s="1687"/>
      <c r="N171" s="1325"/>
      <c r="O171" s="1312">
        <f t="shared" si="661"/>
        <v>0</v>
      </c>
      <c r="P171" s="1685"/>
      <c r="Q171" s="1313">
        <f t="shared" si="662"/>
        <v>0</v>
      </c>
      <c r="R171" s="1312">
        <f t="shared" si="663"/>
        <v>0</v>
      </c>
      <c r="S171" s="1685"/>
      <c r="T171" s="1313">
        <f t="shared" si="664"/>
        <v>0</v>
      </c>
      <c r="U171" s="1312">
        <f t="shared" si="665"/>
        <v>496087</v>
      </c>
      <c r="V171" s="1685"/>
      <c r="W171" s="1313">
        <f t="shared" si="666"/>
        <v>0</v>
      </c>
      <c r="X171" s="1312">
        <f t="shared" si="667"/>
        <v>510969</v>
      </c>
      <c r="Y171" s="1685"/>
      <c r="Z171" s="1313">
        <f t="shared" si="668"/>
        <v>0</v>
      </c>
      <c r="AA171" s="1312">
        <f t="shared" si="669"/>
        <v>0</v>
      </c>
      <c r="AB171" s="1685"/>
      <c r="AC171" s="1313">
        <f t="shared" si="670"/>
        <v>0</v>
      </c>
      <c r="AD171" s="1312">
        <f t="shared" si="671"/>
        <v>0</v>
      </c>
      <c r="AE171" s="1685"/>
      <c r="AF171" s="1313">
        <f t="shared" si="672"/>
        <v>0</v>
      </c>
      <c r="AG171" s="1312">
        <f t="shared" si="673"/>
        <v>0</v>
      </c>
      <c r="AH171" s="1685"/>
      <c r="AI171" s="1313">
        <f t="shared" si="674"/>
        <v>0</v>
      </c>
      <c r="AJ171" s="1312">
        <f t="shared" si="675"/>
        <v>0</v>
      </c>
      <c r="AK171" s="1685"/>
      <c r="AL171" s="1313">
        <f t="shared" si="676"/>
        <v>0</v>
      </c>
      <c r="AM171" s="1312">
        <f t="shared" si="677"/>
        <v>0</v>
      </c>
      <c r="AN171" s="1685"/>
      <c r="AO171" s="1313">
        <f t="shared" si="678"/>
        <v>0</v>
      </c>
      <c r="AP171" s="1312">
        <f t="shared" si="679"/>
        <v>0</v>
      </c>
      <c r="AQ171" s="1685"/>
      <c r="AR171" s="1313"/>
      <c r="AS171" s="1312">
        <f t="shared" si="680"/>
        <v>1007056</v>
      </c>
      <c r="AT171" s="1687"/>
      <c r="AU171" s="411"/>
      <c r="AV171" s="1757">
        <f t="shared" si="510"/>
        <v>1007056</v>
      </c>
      <c r="AW171" s="411"/>
      <c r="AX171" s="493"/>
      <c r="AY171" s="1590" t="s">
        <v>2383</v>
      </c>
      <c r="AZ171" s="1561"/>
      <c r="BA171" s="527">
        <f>+'Data Input sheet'!D84</f>
        <v>0.05</v>
      </c>
      <c r="BB171" s="1632"/>
      <c r="BC171" s="1599">
        <v>0</v>
      </c>
      <c r="BD171" s="1600">
        <v>0</v>
      </c>
      <c r="BE171" s="1632"/>
      <c r="BF171" s="1470"/>
      <c r="BG171" s="532">
        <f>ROUND($BA$171*BG78,0)</f>
        <v>0</v>
      </c>
      <c r="BH171" s="1632"/>
      <c r="BI171" s="1470"/>
      <c r="BJ171" s="532">
        <f>ROUND($BA$171*BJ78,0)</f>
        <v>0</v>
      </c>
      <c r="BK171" s="1632"/>
      <c r="BL171" s="1470"/>
      <c r="BM171" s="532">
        <f>ROUND($BA$171*BM78,0)</f>
        <v>454292</v>
      </c>
      <c r="BN171" s="1632"/>
      <c r="BO171" s="1470"/>
      <c r="BP171" s="532">
        <f>ROUND($BA$171*BP78,0)</f>
        <v>454292</v>
      </c>
      <c r="BQ171" s="1632"/>
      <c r="BR171" s="1470"/>
      <c r="BS171" s="532">
        <f>ROUND($BA$171*BS78,0)</f>
        <v>0</v>
      </c>
      <c r="BT171" s="1632"/>
      <c r="BU171" s="1470"/>
      <c r="BV171" s="532">
        <f>ROUND($BA$171*BV78,0)</f>
        <v>0</v>
      </c>
      <c r="BW171" s="1632"/>
      <c r="BX171" s="1470"/>
      <c r="BY171" s="532">
        <f>ROUND($BA$171*BY78,0)</f>
        <v>0</v>
      </c>
      <c r="BZ171" s="1632"/>
      <c r="CA171" s="1470"/>
      <c r="CB171" s="532">
        <f>ROUND($BA$171*CB78,0)</f>
        <v>0</v>
      </c>
      <c r="CC171" s="1632"/>
      <c r="CD171" s="1470"/>
      <c r="CE171" s="532">
        <f>ROUND($BA$171*CE78,0)</f>
        <v>0</v>
      </c>
      <c r="CF171" s="1632"/>
      <c r="CG171" s="1470"/>
      <c r="CH171" s="532">
        <f>ROUND($BA$171*CH78,0)</f>
        <v>0</v>
      </c>
      <c r="CI171" s="1632"/>
      <c r="CJ171" s="1257"/>
      <c r="CK171" s="1395">
        <f t="shared" si="695"/>
        <v>908584</v>
      </c>
      <c r="CL171" s="1740"/>
      <c r="CM171" s="170"/>
      <c r="CN171" s="493"/>
      <c r="CO171" s="428" t="str">
        <f t="shared" si="681"/>
        <v xml:space="preserve">   Stores Expense Allocation (ZST) </v>
      </c>
      <c r="CP171" s="494">
        <f t="shared" si="694"/>
        <v>0</v>
      </c>
      <c r="CQ171" s="529"/>
      <c r="CR171" s="1703"/>
      <c r="CS171" s="435"/>
      <c r="CT171" s="510">
        <f t="shared" si="682"/>
        <v>0</v>
      </c>
      <c r="CU171" s="1703"/>
      <c r="CV171" s="462"/>
      <c r="CW171" s="434">
        <f t="shared" si="683"/>
        <v>0</v>
      </c>
      <c r="CX171" s="443"/>
      <c r="CY171" s="432">
        <v>0</v>
      </c>
      <c r="CZ171" s="434">
        <f t="shared" si="684"/>
        <v>0</v>
      </c>
      <c r="DA171" s="443"/>
      <c r="DB171" s="432">
        <v>0</v>
      </c>
      <c r="DC171" s="434">
        <f t="shared" si="685"/>
        <v>41795</v>
      </c>
      <c r="DD171" s="443"/>
      <c r="DE171" s="432">
        <v>0</v>
      </c>
      <c r="DF171" s="434">
        <f t="shared" si="686"/>
        <v>56677</v>
      </c>
      <c r="DG171" s="443"/>
      <c r="DH171" s="432">
        <v>0</v>
      </c>
      <c r="DI171" s="434">
        <f t="shared" si="687"/>
        <v>0</v>
      </c>
      <c r="DJ171" s="443"/>
      <c r="DK171" s="432">
        <v>0</v>
      </c>
      <c r="DL171" s="434">
        <f t="shared" si="688"/>
        <v>0</v>
      </c>
      <c r="DM171" s="443"/>
      <c r="DN171" s="432">
        <v>0</v>
      </c>
      <c r="DO171" s="434">
        <f t="shared" si="689"/>
        <v>0</v>
      </c>
      <c r="DP171" s="443"/>
      <c r="DQ171" s="432">
        <v>0</v>
      </c>
      <c r="DR171" s="434">
        <f t="shared" si="690"/>
        <v>0</v>
      </c>
      <c r="DS171" s="443"/>
      <c r="DT171" s="432">
        <v>0</v>
      </c>
      <c r="DU171" s="434">
        <f t="shared" si="691"/>
        <v>0</v>
      </c>
      <c r="DV171" s="443"/>
      <c r="DW171" s="432">
        <v>0</v>
      </c>
      <c r="DX171" s="434">
        <f t="shared" si="692"/>
        <v>0</v>
      </c>
      <c r="DY171" s="443"/>
      <c r="DZ171" s="432"/>
      <c r="EA171" s="444">
        <f t="shared" si="693"/>
        <v>98472</v>
      </c>
      <c r="EB171" s="433"/>
      <c r="EC171" s="170"/>
      <c r="ED171" s="170"/>
      <c r="EE171" s="170"/>
      <c r="EF171" s="170"/>
      <c r="EG171" s="170"/>
      <c r="EH171" s="170"/>
      <c r="EI171" s="170"/>
      <c r="EJ171" s="170"/>
      <c r="EK171" s="170"/>
    </row>
    <row r="172" spans="1:141" ht="15" x14ac:dyDescent="0.25">
      <c r="A172" s="170"/>
      <c r="B172" s="424">
        <v>6</v>
      </c>
      <c r="C172" s="424">
        <v>10</v>
      </c>
      <c r="D172" s="424">
        <v>7</v>
      </c>
      <c r="E172" s="425">
        <v>13</v>
      </c>
      <c r="F172" s="493"/>
      <c r="G172" s="1308" t="str">
        <f t="shared" si="659"/>
        <v xml:space="preserve">   Lobby Stock</v>
      </c>
      <c r="H172" s="1339"/>
      <c r="I172" s="1317">
        <f t="shared" si="469"/>
        <v>0</v>
      </c>
      <c r="J172" s="1687"/>
      <c r="K172" s="1311">
        <f t="shared" si="660"/>
        <v>0</v>
      </c>
      <c r="L172" s="1312">
        <f t="shared" si="660"/>
        <v>0</v>
      </c>
      <c r="M172" s="1687"/>
      <c r="N172" s="1325"/>
      <c r="O172" s="1312">
        <f t="shared" si="661"/>
        <v>0</v>
      </c>
      <c r="P172" s="1685"/>
      <c r="Q172" s="1313">
        <f t="shared" si="662"/>
        <v>0</v>
      </c>
      <c r="R172" s="1312">
        <f t="shared" si="663"/>
        <v>0</v>
      </c>
      <c r="S172" s="1685"/>
      <c r="T172" s="1313">
        <f t="shared" si="664"/>
        <v>0</v>
      </c>
      <c r="U172" s="1312">
        <f t="shared" si="665"/>
        <v>0</v>
      </c>
      <c r="V172" s="1685"/>
      <c r="W172" s="1313">
        <f t="shared" si="666"/>
        <v>0</v>
      </c>
      <c r="X172" s="1312">
        <f t="shared" si="667"/>
        <v>0</v>
      </c>
      <c r="Y172" s="1685"/>
      <c r="Z172" s="1313">
        <f t="shared" si="668"/>
        <v>0</v>
      </c>
      <c r="AA172" s="1312">
        <f t="shared" si="669"/>
        <v>0</v>
      </c>
      <c r="AB172" s="1685"/>
      <c r="AC172" s="1313">
        <f t="shared" si="670"/>
        <v>0</v>
      </c>
      <c r="AD172" s="1312">
        <f t="shared" si="671"/>
        <v>0</v>
      </c>
      <c r="AE172" s="1685"/>
      <c r="AF172" s="1313">
        <f t="shared" si="672"/>
        <v>0</v>
      </c>
      <c r="AG172" s="1312">
        <f t="shared" si="673"/>
        <v>0</v>
      </c>
      <c r="AH172" s="1685"/>
      <c r="AI172" s="1313">
        <f t="shared" si="674"/>
        <v>0</v>
      </c>
      <c r="AJ172" s="1312">
        <f t="shared" si="675"/>
        <v>0</v>
      </c>
      <c r="AK172" s="1685"/>
      <c r="AL172" s="1313">
        <f t="shared" si="676"/>
        <v>0</v>
      </c>
      <c r="AM172" s="1312">
        <f t="shared" si="677"/>
        <v>0</v>
      </c>
      <c r="AN172" s="1685"/>
      <c r="AO172" s="1313">
        <f t="shared" si="678"/>
        <v>0</v>
      </c>
      <c r="AP172" s="1312">
        <f t="shared" si="679"/>
        <v>0</v>
      </c>
      <c r="AQ172" s="1685"/>
      <c r="AR172" s="1313"/>
      <c r="AS172" s="1312">
        <f t="shared" si="680"/>
        <v>0</v>
      </c>
      <c r="AT172" s="1687"/>
      <c r="AU172" s="411"/>
      <c r="AV172" s="1757">
        <f t="shared" si="510"/>
        <v>0</v>
      </c>
      <c r="AW172" s="411"/>
      <c r="AX172" s="493"/>
      <c r="AY172" s="1561" t="s">
        <v>1461</v>
      </c>
      <c r="AZ172" s="1561"/>
      <c r="BA172" s="527">
        <f>+'Data Input sheet'!D80</f>
        <v>0</v>
      </c>
      <c r="BB172" s="1632"/>
      <c r="BC172" s="1599">
        <v>0</v>
      </c>
      <c r="BD172" s="1600">
        <v>0</v>
      </c>
      <c r="BE172" s="1632"/>
      <c r="BF172" s="1470"/>
      <c r="BG172" s="532">
        <f>ROUND((BG78)*$BA172,0)</f>
        <v>0</v>
      </c>
      <c r="BH172" s="1632"/>
      <c r="BI172" s="1470"/>
      <c r="BJ172" s="532">
        <f>ROUND((BJ78)*$BA172,0)</f>
        <v>0</v>
      </c>
      <c r="BK172" s="1632"/>
      <c r="BL172" s="1470"/>
      <c r="BM172" s="532">
        <f>ROUND((BM78)*$BA172,0)</f>
        <v>0</v>
      </c>
      <c r="BN172" s="1632"/>
      <c r="BO172" s="1470"/>
      <c r="BP172" s="532">
        <f>ROUND((BP78)*$BA172,0)</f>
        <v>0</v>
      </c>
      <c r="BQ172" s="1632"/>
      <c r="BR172" s="1470"/>
      <c r="BS172" s="532">
        <f>ROUND((BS78)*$BA172,0)</f>
        <v>0</v>
      </c>
      <c r="BT172" s="1632"/>
      <c r="BU172" s="1470"/>
      <c r="BV172" s="532">
        <f>ROUND((BV78)*$BA172,0)</f>
        <v>0</v>
      </c>
      <c r="BW172" s="1632"/>
      <c r="BX172" s="1470"/>
      <c r="BY172" s="532">
        <f>ROUND((BY78)*$BA172,0)</f>
        <v>0</v>
      </c>
      <c r="BZ172" s="1632"/>
      <c r="CA172" s="1470"/>
      <c r="CB172" s="532">
        <f>ROUND((CB78)*$BA172,0)</f>
        <v>0</v>
      </c>
      <c r="CC172" s="1632"/>
      <c r="CD172" s="1470"/>
      <c r="CE172" s="532">
        <f>ROUND((CE78)*$BA172,0)</f>
        <v>0</v>
      </c>
      <c r="CF172" s="1632"/>
      <c r="CG172" s="1470"/>
      <c r="CH172" s="532">
        <f>ROUND((CH78)*$BA172,0)</f>
        <v>0</v>
      </c>
      <c r="CI172" s="1632"/>
      <c r="CJ172" s="1257"/>
      <c r="CK172" s="1395">
        <f t="shared" si="695"/>
        <v>0</v>
      </c>
      <c r="CL172" s="1740"/>
      <c r="CM172" s="170"/>
      <c r="CN172" s="493"/>
      <c r="CO172" s="428" t="str">
        <f t="shared" si="681"/>
        <v xml:space="preserve">   Lobby Stock</v>
      </c>
      <c r="CP172" s="494">
        <f t="shared" si="694"/>
        <v>0</v>
      </c>
      <c r="CQ172" s="529"/>
      <c r="CR172" s="1703"/>
      <c r="CS172" s="435"/>
      <c r="CT172" s="510">
        <f t="shared" si="682"/>
        <v>0</v>
      </c>
      <c r="CU172" s="1703"/>
      <c r="CV172" s="462"/>
      <c r="CW172" s="434">
        <f t="shared" si="683"/>
        <v>0</v>
      </c>
      <c r="CX172" s="443"/>
      <c r="CY172" s="432">
        <v>0</v>
      </c>
      <c r="CZ172" s="434">
        <f t="shared" si="684"/>
        <v>0</v>
      </c>
      <c r="DA172" s="443"/>
      <c r="DB172" s="432">
        <v>0</v>
      </c>
      <c r="DC172" s="434">
        <f t="shared" si="685"/>
        <v>0</v>
      </c>
      <c r="DD172" s="443"/>
      <c r="DE172" s="432">
        <v>0</v>
      </c>
      <c r="DF172" s="434">
        <f t="shared" si="686"/>
        <v>0</v>
      </c>
      <c r="DG172" s="443"/>
      <c r="DH172" s="432">
        <v>0</v>
      </c>
      <c r="DI172" s="434">
        <f t="shared" si="687"/>
        <v>0</v>
      </c>
      <c r="DJ172" s="443"/>
      <c r="DK172" s="432">
        <v>0</v>
      </c>
      <c r="DL172" s="434">
        <f t="shared" si="688"/>
        <v>0</v>
      </c>
      <c r="DM172" s="443"/>
      <c r="DN172" s="432">
        <v>0</v>
      </c>
      <c r="DO172" s="434">
        <f t="shared" si="689"/>
        <v>0</v>
      </c>
      <c r="DP172" s="443"/>
      <c r="DQ172" s="432">
        <v>0</v>
      </c>
      <c r="DR172" s="434">
        <f t="shared" si="690"/>
        <v>0</v>
      </c>
      <c r="DS172" s="443"/>
      <c r="DT172" s="432">
        <v>0</v>
      </c>
      <c r="DU172" s="434">
        <f t="shared" si="691"/>
        <v>0</v>
      </c>
      <c r="DV172" s="443"/>
      <c r="DW172" s="432">
        <v>0</v>
      </c>
      <c r="DX172" s="434">
        <f t="shared" si="692"/>
        <v>0</v>
      </c>
      <c r="DY172" s="443"/>
      <c r="DZ172" s="432"/>
      <c r="EA172" s="444">
        <f t="shared" si="693"/>
        <v>0</v>
      </c>
      <c r="EB172" s="433"/>
      <c r="EC172" s="170"/>
      <c r="ED172" s="170"/>
      <c r="EE172" s="170"/>
      <c r="EF172" s="170"/>
      <c r="EG172" s="170"/>
      <c r="EH172" s="170"/>
      <c r="EI172" s="170"/>
      <c r="EJ172" s="170"/>
      <c r="EK172" s="170"/>
    </row>
    <row r="173" spans="1:141" ht="15" x14ac:dyDescent="0.25">
      <c r="A173" s="170"/>
      <c r="B173" s="424">
        <v>6</v>
      </c>
      <c r="C173" s="424">
        <v>10</v>
      </c>
      <c r="D173" s="424">
        <v>7</v>
      </c>
      <c r="E173" s="425">
        <v>13</v>
      </c>
      <c r="F173" s="493"/>
      <c r="G173" s="1308" t="str">
        <f t="shared" si="659"/>
        <v xml:space="preserve">   MDEC (ZMI)</v>
      </c>
      <c r="H173" s="1339"/>
      <c r="I173" s="1317">
        <f t="shared" si="469"/>
        <v>7.0000000000000007E-2</v>
      </c>
      <c r="J173" s="1687"/>
      <c r="K173" s="1311">
        <f t="shared" si="660"/>
        <v>0</v>
      </c>
      <c r="L173" s="1312">
        <f t="shared" si="660"/>
        <v>12844.6</v>
      </c>
      <c r="M173" s="1687"/>
      <c r="N173" s="1325"/>
      <c r="O173" s="1312">
        <f t="shared" ca="1" si="661"/>
        <v>0</v>
      </c>
      <c r="P173" s="1685"/>
      <c r="Q173" s="1313">
        <f t="shared" si="662"/>
        <v>0</v>
      </c>
      <c r="R173" s="1312">
        <f t="shared" ca="1" si="663"/>
        <v>0</v>
      </c>
      <c r="S173" s="1685"/>
      <c r="T173" s="1313">
        <f t="shared" si="664"/>
        <v>0</v>
      </c>
      <c r="U173" s="1312">
        <f t="shared" ca="1" si="665"/>
        <v>64472</v>
      </c>
      <c r="V173" s="1685"/>
      <c r="W173" s="1313">
        <f t="shared" si="666"/>
        <v>0</v>
      </c>
      <c r="X173" s="1312">
        <f t="shared" ca="1" si="667"/>
        <v>306569</v>
      </c>
      <c r="Y173" s="1685"/>
      <c r="Z173" s="1313">
        <f t="shared" si="668"/>
        <v>0</v>
      </c>
      <c r="AA173" s="1312">
        <f t="shared" ca="1" si="669"/>
        <v>219002</v>
      </c>
      <c r="AB173" s="1685"/>
      <c r="AC173" s="1313">
        <f t="shared" si="670"/>
        <v>0</v>
      </c>
      <c r="AD173" s="1312">
        <f t="shared" ca="1" si="671"/>
        <v>0</v>
      </c>
      <c r="AE173" s="1685"/>
      <c r="AF173" s="1313">
        <f t="shared" si="672"/>
        <v>0</v>
      </c>
      <c r="AG173" s="1312">
        <f t="shared" ca="1" si="673"/>
        <v>0</v>
      </c>
      <c r="AH173" s="1685"/>
      <c r="AI173" s="1313">
        <f t="shared" si="674"/>
        <v>0</v>
      </c>
      <c r="AJ173" s="1312">
        <f t="shared" ca="1" si="675"/>
        <v>0</v>
      </c>
      <c r="AK173" s="1685"/>
      <c r="AL173" s="1313">
        <f t="shared" si="676"/>
        <v>0</v>
      </c>
      <c r="AM173" s="1312">
        <f t="shared" ca="1" si="677"/>
        <v>0</v>
      </c>
      <c r="AN173" s="1685"/>
      <c r="AO173" s="1313">
        <f t="shared" si="678"/>
        <v>0</v>
      </c>
      <c r="AP173" s="1312">
        <f t="shared" ca="1" si="679"/>
        <v>0</v>
      </c>
      <c r="AQ173" s="1685"/>
      <c r="AR173" s="1313"/>
      <c r="AS173" s="1312">
        <f t="shared" ca="1" si="680"/>
        <v>602887.6</v>
      </c>
      <c r="AT173" s="1687"/>
      <c r="AU173" s="411"/>
      <c r="AV173" s="1757">
        <f t="shared" ca="1" si="510"/>
        <v>602887.6</v>
      </c>
      <c r="AW173" s="411"/>
      <c r="AX173" s="493"/>
      <c r="AY173" s="1561" t="s">
        <v>2389</v>
      </c>
      <c r="AZ173" s="1561"/>
      <c r="BA173" s="527">
        <f>+'Data Input sheet'!D81</f>
        <v>7.0000000000000007E-2</v>
      </c>
      <c r="BB173" s="1632"/>
      <c r="BC173" s="1599">
        <v>0</v>
      </c>
      <c r="BD173" s="1600">
        <v>12844.6</v>
      </c>
      <c r="BE173" s="1632"/>
      <c r="BF173" s="1470"/>
      <c r="BG173" s="532">
        <f ca="1">ROUND((BG359+BG360+BG361++BG166+BG167)*$BA173,0)</f>
        <v>0</v>
      </c>
      <c r="BH173" s="1632"/>
      <c r="BI173" s="1470"/>
      <c r="BJ173" s="532">
        <f ca="1">ROUND((BJ359+BJ360+BJ361++BJ166+BJ167)*$BA173,0)</f>
        <v>0</v>
      </c>
      <c r="BK173" s="1632"/>
      <c r="BL173" s="1470"/>
      <c r="BM173" s="532">
        <f ca="1">ROUND((BM359+BM360+BM361++BM166+BM167)*$BA173,0)</f>
        <v>59040</v>
      </c>
      <c r="BN173" s="1632"/>
      <c r="BO173" s="1470"/>
      <c r="BP173" s="532">
        <f ca="1">ROUND((BP359+BP360+BP361++BP166+BP167)*$BA173,0)</f>
        <v>272564</v>
      </c>
      <c r="BQ173" s="1632"/>
      <c r="BR173" s="1470"/>
      <c r="BS173" s="532">
        <f ca="1">ROUND((BS359+BS360+BS361++BS166+BS167)*$BA173,0)</f>
        <v>189039</v>
      </c>
      <c r="BT173" s="1632"/>
      <c r="BU173" s="1470"/>
      <c r="BV173" s="532">
        <f ca="1">ROUND((BV359+BV360+BV361++BV166+BV167)*$BA173,0)</f>
        <v>0</v>
      </c>
      <c r="BW173" s="1632"/>
      <c r="BX173" s="1470"/>
      <c r="BY173" s="532">
        <f ca="1">ROUND((BY359+BY360+BY361++BY166+BY167)*$BA173,0)</f>
        <v>0</v>
      </c>
      <c r="BZ173" s="1632"/>
      <c r="CA173" s="1470"/>
      <c r="CB173" s="532">
        <f ca="1">ROUND((CB359+CB360+CB361++CB166+CB167)*$BA173,0)</f>
        <v>0</v>
      </c>
      <c r="CC173" s="1632"/>
      <c r="CD173" s="1470"/>
      <c r="CE173" s="532">
        <f ca="1">ROUND((CE359+CE360+CE361++CE166+CE167)*$BA173,0)</f>
        <v>0</v>
      </c>
      <c r="CF173" s="1632"/>
      <c r="CG173" s="1470"/>
      <c r="CH173" s="532">
        <f ca="1">ROUND((CH359+CH360+CH361++CH166+CH167)*$BA173,0)</f>
        <v>0</v>
      </c>
      <c r="CI173" s="1632"/>
      <c r="CJ173" s="1257"/>
      <c r="CK173" s="1395">
        <f ca="1">+BS173+BP173+BM173+BJ173+BG173+BD173+BV173+BY173+CB173+CE173+CH173</f>
        <v>533487.6</v>
      </c>
      <c r="CL173" s="1740"/>
      <c r="CM173" s="170"/>
      <c r="CN173" s="493"/>
      <c r="CO173" s="428" t="str">
        <f t="shared" si="681"/>
        <v xml:space="preserve">   MDEC (ZMI)</v>
      </c>
      <c r="CP173" s="494">
        <f t="shared" si="694"/>
        <v>0</v>
      </c>
      <c r="CQ173" s="529"/>
      <c r="CR173" s="1703"/>
      <c r="CS173" s="435"/>
      <c r="CT173" s="510">
        <f t="shared" si="682"/>
        <v>0</v>
      </c>
      <c r="CU173" s="1703"/>
      <c r="CV173" s="462"/>
      <c r="CW173" s="434">
        <f t="shared" ca="1" si="683"/>
        <v>0</v>
      </c>
      <c r="CX173" s="443"/>
      <c r="CY173" s="432">
        <v>0</v>
      </c>
      <c r="CZ173" s="434">
        <f t="shared" ca="1" si="684"/>
        <v>0</v>
      </c>
      <c r="DA173" s="443"/>
      <c r="DB173" s="432">
        <v>0</v>
      </c>
      <c r="DC173" s="434">
        <f t="shared" ca="1" si="685"/>
        <v>5432</v>
      </c>
      <c r="DD173" s="443"/>
      <c r="DE173" s="432">
        <v>0</v>
      </c>
      <c r="DF173" s="434">
        <f t="shared" ca="1" si="686"/>
        <v>34005</v>
      </c>
      <c r="DG173" s="443"/>
      <c r="DH173" s="432">
        <v>0</v>
      </c>
      <c r="DI173" s="434">
        <f t="shared" ca="1" si="687"/>
        <v>29963</v>
      </c>
      <c r="DJ173" s="443"/>
      <c r="DK173" s="432">
        <v>0</v>
      </c>
      <c r="DL173" s="434">
        <f t="shared" ca="1" si="688"/>
        <v>0</v>
      </c>
      <c r="DM173" s="443"/>
      <c r="DN173" s="432">
        <v>0</v>
      </c>
      <c r="DO173" s="434">
        <f t="shared" ca="1" si="689"/>
        <v>0</v>
      </c>
      <c r="DP173" s="443"/>
      <c r="DQ173" s="432">
        <v>0</v>
      </c>
      <c r="DR173" s="434">
        <f t="shared" ca="1" si="690"/>
        <v>0</v>
      </c>
      <c r="DS173" s="443"/>
      <c r="DT173" s="432">
        <v>0</v>
      </c>
      <c r="DU173" s="434">
        <f t="shared" ca="1" si="691"/>
        <v>0</v>
      </c>
      <c r="DV173" s="443"/>
      <c r="DW173" s="432">
        <v>0</v>
      </c>
      <c r="DX173" s="434">
        <f t="shared" ca="1" si="692"/>
        <v>0</v>
      </c>
      <c r="DY173" s="443"/>
      <c r="DZ173" s="432"/>
      <c r="EA173" s="444">
        <f t="shared" ca="1" si="693"/>
        <v>69400</v>
      </c>
      <c r="EB173" s="433"/>
      <c r="EC173" s="170"/>
      <c r="ED173" s="170"/>
      <c r="EE173" s="170"/>
      <c r="EF173" s="170"/>
      <c r="EG173" s="170"/>
      <c r="EH173" s="170"/>
      <c r="EI173" s="170"/>
      <c r="EJ173" s="170"/>
      <c r="EK173" s="170"/>
    </row>
    <row r="174" spans="1:141" ht="15" x14ac:dyDescent="0.25">
      <c r="A174" s="170"/>
      <c r="B174" s="424">
        <v>6</v>
      </c>
      <c r="C174" s="424">
        <v>10</v>
      </c>
      <c r="D174" s="424">
        <v>7</v>
      </c>
      <c r="E174" s="425">
        <v>13</v>
      </c>
      <c r="F174" s="493"/>
      <c r="G174" s="1308" t="str">
        <f t="shared" si="659"/>
        <v xml:space="preserve">   Vehicles (ZVE)</v>
      </c>
      <c r="H174" s="1339"/>
      <c r="I174" s="1317">
        <f t="shared" si="469"/>
        <v>0.21179999999999999</v>
      </c>
      <c r="J174" s="1687"/>
      <c r="K174" s="1311">
        <f t="shared" si="660"/>
        <v>0</v>
      </c>
      <c r="L174" s="1312">
        <f t="shared" si="660"/>
        <v>837.08</v>
      </c>
      <c r="M174" s="1687"/>
      <c r="N174" s="1325"/>
      <c r="O174" s="1312">
        <f t="shared" ca="1" si="661"/>
        <v>0</v>
      </c>
      <c r="P174" s="1685"/>
      <c r="Q174" s="1313">
        <f t="shared" si="662"/>
        <v>0</v>
      </c>
      <c r="R174" s="1312">
        <f t="shared" ca="1" si="663"/>
        <v>0</v>
      </c>
      <c r="S174" s="1685"/>
      <c r="T174" s="1313">
        <f t="shared" si="664"/>
        <v>0</v>
      </c>
      <c r="U174" s="1312">
        <f t="shared" ca="1" si="665"/>
        <v>48276</v>
      </c>
      <c r="V174" s="1685"/>
      <c r="W174" s="1313">
        <f t="shared" si="666"/>
        <v>0</v>
      </c>
      <c r="X174" s="1312">
        <f t="shared" ca="1" si="667"/>
        <v>58117</v>
      </c>
      <c r="Y174" s="1685"/>
      <c r="Z174" s="1313">
        <f t="shared" si="668"/>
        <v>0</v>
      </c>
      <c r="AA174" s="1312">
        <f t="shared" ca="1" si="669"/>
        <v>41935</v>
      </c>
      <c r="AB174" s="1685"/>
      <c r="AC174" s="1313">
        <f t="shared" si="670"/>
        <v>0</v>
      </c>
      <c r="AD174" s="1312">
        <f t="shared" ca="1" si="671"/>
        <v>0</v>
      </c>
      <c r="AE174" s="1685"/>
      <c r="AF174" s="1313">
        <f t="shared" si="672"/>
        <v>0</v>
      </c>
      <c r="AG174" s="1312">
        <f t="shared" ca="1" si="673"/>
        <v>0</v>
      </c>
      <c r="AH174" s="1685"/>
      <c r="AI174" s="1313">
        <f t="shared" si="674"/>
        <v>0</v>
      </c>
      <c r="AJ174" s="1312">
        <f t="shared" ca="1" si="675"/>
        <v>0</v>
      </c>
      <c r="AK174" s="1685"/>
      <c r="AL174" s="1313">
        <f t="shared" si="676"/>
        <v>0</v>
      </c>
      <c r="AM174" s="1312">
        <f t="shared" ca="1" si="677"/>
        <v>0</v>
      </c>
      <c r="AN174" s="1685"/>
      <c r="AO174" s="1313">
        <f t="shared" si="678"/>
        <v>0</v>
      </c>
      <c r="AP174" s="1312">
        <f t="shared" ca="1" si="679"/>
        <v>0</v>
      </c>
      <c r="AQ174" s="1685"/>
      <c r="AR174" s="1313"/>
      <c r="AS174" s="1312">
        <f t="shared" ca="1" si="680"/>
        <v>149165.07999999999</v>
      </c>
      <c r="AT174" s="1687"/>
      <c r="AU174" s="411"/>
      <c r="AV174" s="1757">
        <f t="shared" ca="1" si="510"/>
        <v>149165.07999999999</v>
      </c>
      <c r="AW174" s="411"/>
      <c r="AX174" s="493"/>
      <c r="AY174" s="1561" t="s">
        <v>2390</v>
      </c>
      <c r="AZ174" s="1561"/>
      <c r="BA174" s="527">
        <f>+'Data Input sheet'!D85</f>
        <v>0.21179999999999999</v>
      </c>
      <c r="BB174" s="1632"/>
      <c r="BC174" s="1599">
        <v>0</v>
      </c>
      <c r="BD174" s="1600">
        <v>837.08</v>
      </c>
      <c r="BE174" s="1632"/>
      <c r="BF174" s="1470"/>
      <c r="BG174" s="532">
        <f ca="1">ROUND((BG359+BG360)*$BA174,0)</f>
        <v>0</v>
      </c>
      <c r="BH174" s="1632"/>
      <c r="BI174" s="1470"/>
      <c r="BJ174" s="532">
        <f ca="1">ROUND((BJ359+BJ360)*$BA174,0)</f>
        <v>0</v>
      </c>
      <c r="BK174" s="1632"/>
      <c r="BL174" s="1470"/>
      <c r="BM174" s="532">
        <f ca="1">ROUND((BM359+BM360)*$BA174,0)</f>
        <v>44209</v>
      </c>
      <c r="BN174" s="1632"/>
      <c r="BO174" s="1470"/>
      <c r="BP174" s="532">
        <f ca="1">ROUND((BP359+BP360)*$BA174,0)</f>
        <v>51671</v>
      </c>
      <c r="BQ174" s="1632"/>
      <c r="BR174" s="1470"/>
      <c r="BS174" s="532">
        <f ca="1">ROUND((BS359+BS360)*$BA174,0)</f>
        <v>36198</v>
      </c>
      <c r="BT174" s="1632"/>
      <c r="BU174" s="1470"/>
      <c r="BV174" s="532">
        <f ca="1">ROUND((BV359+BV360)*$BA174,0)</f>
        <v>0</v>
      </c>
      <c r="BW174" s="1632"/>
      <c r="BX174" s="1470"/>
      <c r="BY174" s="532">
        <f ca="1">ROUND((BY359+BY360)*$BA174,0)</f>
        <v>0</v>
      </c>
      <c r="BZ174" s="1632"/>
      <c r="CA174" s="1470"/>
      <c r="CB174" s="532">
        <f ca="1">ROUND((CB359+CB360)*$BA174,0)</f>
        <v>0</v>
      </c>
      <c r="CC174" s="1632"/>
      <c r="CD174" s="1470"/>
      <c r="CE174" s="532">
        <f ca="1">ROUND((CE359+CE360)*$BA174,0)</f>
        <v>0</v>
      </c>
      <c r="CF174" s="1632"/>
      <c r="CG174" s="1470"/>
      <c r="CH174" s="532">
        <f ca="1">ROUND((CH359+CH360)*$BA174,0)</f>
        <v>0</v>
      </c>
      <c r="CI174" s="1632"/>
      <c r="CJ174" s="1257"/>
      <c r="CK174" s="1395">
        <f ca="1">+BS174+BP174+BM174+BJ174+BG174+BD174+BV174+BY174+CB174+CE174+CH174</f>
        <v>132915.07999999999</v>
      </c>
      <c r="CL174" s="1740"/>
      <c r="CM174" s="170"/>
      <c r="CN174" s="493"/>
      <c r="CO174" s="428" t="str">
        <f t="shared" si="681"/>
        <v xml:space="preserve">   Vehicles (ZVE)</v>
      </c>
      <c r="CP174" s="494">
        <f t="shared" si="694"/>
        <v>0</v>
      </c>
      <c r="CQ174" s="529"/>
      <c r="CR174" s="1703"/>
      <c r="CS174" s="435"/>
      <c r="CT174" s="510">
        <f t="shared" si="682"/>
        <v>0</v>
      </c>
      <c r="CU174" s="1703"/>
      <c r="CV174" s="462"/>
      <c r="CW174" s="434">
        <f t="shared" ca="1" si="683"/>
        <v>0</v>
      </c>
      <c r="CX174" s="443"/>
      <c r="CY174" s="432">
        <v>0</v>
      </c>
      <c r="CZ174" s="434">
        <f t="shared" ca="1" si="684"/>
        <v>0</v>
      </c>
      <c r="DA174" s="443"/>
      <c r="DB174" s="432">
        <v>0</v>
      </c>
      <c r="DC174" s="434">
        <f t="shared" ca="1" si="685"/>
        <v>4067</v>
      </c>
      <c r="DD174" s="443"/>
      <c r="DE174" s="432">
        <v>0</v>
      </c>
      <c r="DF174" s="434">
        <f t="shared" ca="1" si="686"/>
        <v>6446</v>
      </c>
      <c r="DG174" s="443"/>
      <c r="DH174" s="432">
        <v>0</v>
      </c>
      <c r="DI174" s="434">
        <f t="shared" ca="1" si="687"/>
        <v>5737</v>
      </c>
      <c r="DJ174" s="443"/>
      <c r="DK174" s="432">
        <v>0</v>
      </c>
      <c r="DL174" s="434">
        <f t="shared" ca="1" si="688"/>
        <v>0</v>
      </c>
      <c r="DM174" s="443"/>
      <c r="DN174" s="432">
        <v>0</v>
      </c>
      <c r="DO174" s="434">
        <f t="shared" ca="1" si="689"/>
        <v>0</v>
      </c>
      <c r="DP174" s="443"/>
      <c r="DQ174" s="432">
        <v>0</v>
      </c>
      <c r="DR174" s="434">
        <f t="shared" ca="1" si="690"/>
        <v>0</v>
      </c>
      <c r="DS174" s="443"/>
      <c r="DT174" s="432">
        <v>0</v>
      </c>
      <c r="DU174" s="434">
        <f t="shared" ca="1" si="691"/>
        <v>0</v>
      </c>
      <c r="DV174" s="443"/>
      <c r="DW174" s="432">
        <v>0</v>
      </c>
      <c r="DX174" s="434">
        <f t="shared" ca="1" si="692"/>
        <v>0</v>
      </c>
      <c r="DY174" s="443"/>
      <c r="DZ174" s="432"/>
      <c r="EA174" s="444">
        <f t="shared" ca="1" si="693"/>
        <v>16250</v>
      </c>
      <c r="EB174" s="433"/>
      <c r="EC174" s="170"/>
      <c r="ED174" s="170"/>
      <c r="EE174" s="170"/>
      <c r="EF174" s="170"/>
      <c r="EG174" s="170"/>
      <c r="EH174" s="170"/>
      <c r="EI174" s="170"/>
      <c r="EJ174" s="170"/>
      <c r="EK174" s="170"/>
    </row>
    <row r="175" spans="1:141" ht="15" x14ac:dyDescent="0.25">
      <c r="A175" s="170"/>
      <c r="B175" s="424">
        <v>7</v>
      </c>
      <c r="C175" s="424">
        <v>11</v>
      </c>
      <c r="D175" s="424">
        <v>7</v>
      </c>
      <c r="E175" s="425">
        <v>13</v>
      </c>
      <c r="F175" s="493"/>
      <c r="G175" s="1308">
        <f t="shared" si="659"/>
        <v>0</v>
      </c>
      <c r="H175" s="1358">
        <v>63</v>
      </c>
      <c r="I175" s="1317">
        <f t="shared" si="469"/>
        <v>0</v>
      </c>
      <c r="J175" s="1684"/>
      <c r="K175" s="1311">
        <f t="shared" si="660"/>
        <v>0</v>
      </c>
      <c r="L175" s="1312">
        <f t="shared" si="660"/>
        <v>0</v>
      </c>
      <c r="M175" s="1684"/>
      <c r="N175" s="1304"/>
      <c r="O175" s="1312">
        <f t="shared" si="661"/>
        <v>0</v>
      </c>
      <c r="P175" s="1685"/>
      <c r="Q175" s="1313">
        <f t="shared" si="662"/>
        <v>0</v>
      </c>
      <c r="R175" s="1312">
        <f t="shared" si="663"/>
        <v>0</v>
      </c>
      <c r="S175" s="1685"/>
      <c r="T175" s="1313">
        <f t="shared" si="664"/>
        <v>0</v>
      </c>
      <c r="U175" s="1312">
        <f t="shared" si="665"/>
        <v>0</v>
      </c>
      <c r="V175" s="1685"/>
      <c r="W175" s="1313">
        <f t="shared" si="666"/>
        <v>0</v>
      </c>
      <c r="X175" s="1312">
        <f t="shared" si="667"/>
        <v>0</v>
      </c>
      <c r="Y175" s="1685"/>
      <c r="Z175" s="1313">
        <f t="shared" si="668"/>
        <v>0</v>
      </c>
      <c r="AA175" s="1312">
        <f t="shared" si="669"/>
        <v>0</v>
      </c>
      <c r="AB175" s="1685"/>
      <c r="AC175" s="1313">
        <f t="shared" si="670"/>
        <v>0</v>
      </c>
      <c r="AD175" s="1312">
        <f t="shared" si="671"/>
        <v>0</v>
      </c>
      <c r="AE175" s="1685"/>
      <c r="AF175" s="1313">
        <f t="shared" si="672"/>
        <v>0</v>
      </c>
      <c r="AG175" s="1312">
        <f t="shared" si="673"/>
        <v>0</v>
      </c>
      <c r="AH175" s="1685"/>
      <c r="AI175" s="1313">
        <f t="shared" si="674"/>
        <v>0</v>
      </c>
      <c r="AJ175" s="1312">
        <f t="shared" si="675"/>
        <v>0</v>
      </c>
      <c r="AK175" s="1685"/>
      <c r="AL175" s="1313">
        <f t="shared" si="676"/>
        <v>0</v>
      </c>
      <c r="AM175" s="1312">
        <f t="shared" si="677"/>
        <v>0</v>
      </c>
      <c r="AN175" s="1685"/>
      <c r="AO175" s="1313">
        <f t="shared" si="678"/>
        <v>0</v>
      </c>
      <c r="AP175" s="1312">
        <f t="shared" si="679"/>
        <v>0</v>
      </c>
      <c r="AQ175" s="1685"/>
      <c r="AR175" s="1313"/>
      <c r="AS175" s="1312">
        <f t="shared" si="680"/>
        <v>0</v>
      </c>
      <c r="AT175" s="1687"/>
      <c r="AU175" s="411"/>
      <c r="AV175" s="1757">
        <f t="shared" si="510"/>
        <v>0</v>
      </c>
      <c r="AW175" s="411"/>
      <c r="AX175" s="493"/>
      <c r="AY175" s="2873"/>
      <c r="AZ175" s="2873"/>
      <c r="BA175" s="1557">
        <f>'Data Input sheet'!D91*0</f>
        <v>0</v>
      </c>
      <c r="BB175" s="1632"/>
      <c r="BC175" s="1591">
        <v>0</v>
      </c>
      <c r="BD175" s="1601">
        <v>0</v>
      </c>
      <c r="BE175" s="1632"/>
      <c r="BF175" s="1627"/>
      <c r="BG175" s="1598"/>
      <c r="BH175" s="1632"/>
      <c r="BI175" s="1627">
        <v>0</v>
      </c>
      <c r="BJ175" s="1598"/>
      <c r="BK175" s="1630"/>
      <c r="BL175" s="1627">
        <v>0</v>
      </c>
      <c r="BM175" s="1598"/>
      <c r="BN175" s="1630"/>
      <c r="BO175" s="1627">
        <v>0</v>
      </c>
      <c r="BP175" s="1598"/>
      <c r="BQ175" s="1630"/>
      <c r="BR175" s="1627">
        <v>0</v>
      </c>
      <c r="BS175" s="1598"/>
      <c r="BT175" s="1630"/>
      <c r="BU175" s="1627">
        <v>0</v>
      </c>
      <c r="BV175" s="1598"/>
      <c r="BW175" s="1630"/>
      <c r="BX175" s="1627">
        <v>0</v>
      </c>
      <c r="BY175" s="1598"/>
      <c r="BZ175" s="1630"/>
      <c r="CA175" s="1627">
        <v>0</v>
      </c>
      <c r="CB175" s="1598"/>
      <c r="CC175" s="1630"/>
      <c r="CD175" s="1627">
        <v>0</v>
      </c>
      <c r="CE175" s="1598"/>
      <c r="CF175" s="1630"/>
      <c r="CG175" s="1627">
        <v>0</v>
      </c>
      <c r="CH175" s="1598"/>
      <c r="CI175" s="1630"/>
      <c r="CJ175" s="1257"/>
      <c r="CK175" s="1395">
        <f t="shared" si="695"/>
        <v>0</v>
      </c>
      <c r="CL175" s="450"/>
      <c r="CM175" s="170"/>
      <c r="CN175" s="493"/>
      <c r="CO175" s="428">
        <f t="shared" si="681"/>
        <v>0</v>
      </c>
      <c r="CP175" s="494">
        <f t="shared" si="694"/>
        <v>0</v>
      </c>
      <c r="CQ175" s="529"/>
      <c r="CR175" s="1703"/>
      <c r="CS175" s="421"/>
      <c r="CT175" s="423">
        <f t="shared" si="682"/>
        <v>0</v>
      </c>
      <c r="CU175" s="1702"/>
      <c r="CV175" s="421"/>
      <c r="CW175" s="434">
        <f t="shared" si="683"/>
        <v>0</v>
      </c>
      <c r="CX175" s="443"/>
      <c r="CY175" s="432">
        <v>0</v>
      </c>
      <c r="CZ175" s="434">
        <f t="shared" si="684"/>
        <v>0</v>
      </c>
      <c r="DA175" s="443"/>
      <c r="DB175" s="432">
        <v>0</v>
      </c>
      <c r="DC175" s="434">
        <f t="shared" si="685"/>
        <v>0</v>
      </c>
      <c r="DD175" s="443"/>
      <c r="DE175" s="432">
        <v>0</v>
      </c>
      <c r="DF175" s="434">
        <f t="shared" si="686"/>
        <v>0</v>
      </c>
      <c r="DG175" s="443"/>
      <c r="DH175" s="432">
        <v>0</v>
      </c>
      <c r="DI175" s="434">
        <f t="shared" si="687"/>
        <v>0</v>
      </c>
      <c r="DJ175" s="443"/>
      <c r="DK175" s="432">
        <v>0</v>
      </c>
      <c r="DL175" s="434">
        <f t="shared" si="688"/>
        <v>0</v>
      </c>
      <c r="DM175" s="443"/>
      <c r="DN175" s="432">
        <v>0</v>
      </c>
      <c r="DO175" s="434">
        <f t="shared" si="689"/>
        <v>0</v>
      </c>
      <c r="DP175" s="443"/>
      <c r="DQ175" s="432">
        <v>0</v>
      </c>
      <c r="DR175" s="434">
        <f t="shared" si="690"/>
        <v>0</v>
      </c>
      <c r="DS175" s="443"/>
      <c r="DT175" s="432">
        <v>0</v>
      </c>
      <c r="DU175" s="434">
        <f t="shared" si="691"/>
        <v>0</v>
      </c>
      <c r="DV175" s="443"/>
      <c r="DW175" s="432">
        <v>0</v>
      </c>
      <c r="DX175" s="434">
        <f t="shared" si="692"/>
        <v>0</v>
      </c>
      <c r="DY175" s="443"/>
      <c r="DZ175" s="432"/>
      <c r="EA175" s="444">
        <f t="shared" si="693"/>
        <v>0</v>
      </c>
      <c r="EB175" s="433"/>
      <c r="EC175" s="170"/>
      <c r="ED175" s="170"/>
      <c r="EE175" s="170"/>
      <c r="EF175" s="170"/>
      <c r="EG175" s="170"/>
      <c r="EH175" s="170"/>
      <c r="EI175" s="170"/>
      <c r="EJ175" s="170"/>
      <c r="EK175" s="170"/>
    </row>
    <row r="176" spans="1:141" ht="15.75" thickBot="1" x14ac:dyDescent="0.3">
      <c r="A176" s="170"/>
      <c r="B176" s="472"/>
      <c r="C176" s="472"/>
      <c r="D176" s="472"/>
      <c r="E176" s="170"/>
      <c r="F176" s="493"/>
      <c r="G176" s="1558" t="s">
        <v>373</v>
      </c>
      <c r="H176" s="1251"/>
      <c r="I176" s="1310">
        <f t="shared" si="469"/>
        <v>0</v>
      </c>
      <c r="J176" s="1687"/>
      <c r="K176" s="1323"/>
      <c r="L176" s="1359">
        <f>SUM(L166:L175)</f>
        <v>209080.81</v>
      </c>
      <c r="M176" s="1687"/>
      <c r="N176" s="1323"/>
      <c r="O176" s="1359">
        <f ca="1">SUM(O166:O175)</f>
        <v>35</v>
      </c>
      <c r="P176" s="1687"/>
      <c r="Q176" s="1323"/>
      <c r="R176" s="1359">
        <f ca="1">SUM(R166:R175)</f>
        <v>71</v>
      </c>
      <c r="S176" s="1687"/>
      <c r="T176" s="1323"/>
      <c r="U176" s="1359">
        <f ca="1">SUM(U166:U175)</f>
        <v>1433359</v>
      </c>
      <c r="V176" s="1687"/>
      <c r="W176" s="1323"/>
      <c r="X176" s="1359">
        <f ca="1">SUM(X166:X175)</f>
        <v>4242474</v>
      </c>
      <c r="Y176" s="1687"/>
      <c r="Z176" s="1323"/>
      <c r="AA176" s="1359">
        <f ca="1">SUM(AA166:AA175)</f>
        <v>2595678</v>
      </c>
      <c r="AB176" s="1687"/>
      <c r="AC176" s="1323"/>
      <c r="AD176" s="1359">
        <f ca="1">SUM(AD166:AD175)</f>
        <v>0</v>
      </c>
      <c r="AE176" s="1687"/>
      <c r="AF176" s="1323"/>
      <c r="AG176" s="1359">
        <f ca="1">SUM(AG166:AG175)</f>
        <v>0</v>
      </c>
      <c r="AH176" s="1687"/>
      <c r="AI176" s="1323"/>
      <c r="AJ176" s="1359">
        <f ca="1">SUM(AJ166:AJ175)</f>
        <v>0</v>
      </c>
      <c r="AK176" s="1687"/>
      <c r="AL176" s="1323"/>
      <c r="AM176" s="1359">
        <f ca="1">SUM(AM166:AM175)</f>
        <v>0</v>
      </c>
      <c r="AN176" s="1687"/>
      <c r="AO176" s="1323"/>
      <c r="AP176" s="1359">
        <f ca="1">SUM(AP166:AP175)</f>
        <v>0</v>
      </c>
      <c r="AQ176" s="1687"/>
      <c r="AR176" s="1323">
        <f t="shared" ref="AR176" si="696">+Z176+W176+T176+Q176+N176+K176+AC176</f>
        <v>0</v>
      </c>
      <c r="AS176" s="1359">
        <f ca="1">SUM(AS166:AS175)</f>
        <v>8480697.8099999987</v>
      </c>
      <c r="AT176" s="1687"/>
      <c r="AU176" s="411"/>
      <c r="AV176" s="1757">
        <f t="shared" ca="1" si="510"/>
        <v>8480697.8099999987</v>
      </c>
      <c r="AW176" s="411"/>
      <c r="AX176" s="493"/>
      <c r="AY176" s="1558" t="s">
        <v>373</v>
      </c>
      <c r="AZ176" s="1251"/>
      <c r="BA176" s="1559"/>
      <c r="BB176" s="1635"/>
      <c r="BC176" s="1253"/>
      <c r="BD176" s="1533">
        <f>SUM(BD166:BD175)</f>
        <v>209080.81</v>
      </c>
      <c r="BE176" s="1635"/>
      <c r="BF176" s="1468"/>
      <c r="BG176" s="1533">
        <f ca="1">SUM(BG166:BG175)</f>
        <v>35</v>
      </c>
      <c r="BH176" s="1635"/>
      <c r="BI176" s="1468"/>
      <c r="BJ176" s="1533">
        <f ca="1">SUM(BJ166:BJ175)</f>
        <v>68</v>
      </c>
      <c r="BK176" s="1632"/>
      <c r="BL176" s="1468"/>
      <c r="BM176" s="1533">
        <f ca="1">SUM(BM166:BM175)</f>
        <v>1312599.05</v>
      </c>
      <c r="BN176" s="1632"/>
      <c r="BO176" s="1468"/>
      <c r="BP176" s="1533">
        <f ca="1">SUM(BP166:BP175)</f>
        <v>3771894</v>
      </c>
      <c r="BQ176" s="1632"/>
      <c r="BR176" s="1468"/>
      <c r="BS176" s="1533">
        <f ca="1">SUM(BS166:BS175)</f>
        <v>2240546</v>
      </c>
      <c r="BT176" s="1632"/>
      <c r="BU176" s="1468"/>
      <c r="BV176" s="1533">
        <f ca="1">SUM(BV166:BV175)</f>
        <v>0</v>
      </c>
      <c r="BW176" s="1632"/>
      <c r="BX176" s="1468"/>
      <c r="BY176" s="1533">
        <f ca="1">SUM(BY166:BY175)</f>
        <v>0</v>
      </c>
      <c r="BZ176" s="1632"/>
      <c r="CA176" s="1468"/>
      <c r="CB176" s="1533">
        <f ca="1">SUM(CB166:CB175)</f>
        <v>0</v>
      </c>
      <c r="CC176" s="1632"/>
      <c r="CD176" s="1468"/>
      <c r="CE176" s="1533">
        <f ca="1">SUM(CE166:CE175)</f>
        <v>0</v>
      </c>
      <c r="CF176" s="1632"/>
      <c r="CG176" s="1468"/>
      <c r="CH176" s="1533">
        <f ca="1">SUM(CH166:CH175)</f>
        <v>0</v>
      </c>
      <c r="CI176" s="1632"/>
      <c r="CJ176" s="491">
        <f t="shared" ref="CJ176" si="697">+BR176+BO176+BL176+BI176+BF176+BC176+BU176</f>
        <v>0</v>
      </c>
      <c r="CK176" s="1533">
        <f ca="1">SUM(CK166:CK175)</f>
        <v>7534222.8599999994</v>
      </c>
      <c r="CL176" s="1740"/>
      <c r="CM176" s="170"/>
      <c r="CN176" s="493"/>
      <c r="CO176" s="1614" t="s">
        <v>373</v>
      </c>
      <c r="CP176" s="465"/>
      <c r="CQ176" s="533"/>
      <c r="CR176" s="1703"/>
      <c r="CS176" s="435"/>
      <c r="CT176" s="534">
        <f>SUM(CT166:CT175)</f>
        <v>0</v>
      </c>
      <c r="CU176" s="1703"/>
      <c r="CV176" s="435"/>
      <c r="CW176" s="534">
        <f ca="1">SUM(CW166:CW175)</f>
        <v>0</v>
      </c>
      <c r="CX176" s="1703"/>
      <c r="CY176" s="435"/>
      <c r="CZ176" s="534">
        <f ca="1">SUM(CZ166:CZ175)</f>
        <v>3</v>
      </c>
      <c r="DA176" s="1703"/>
      <c r="DB176" s="435"/>
      <c r="DC176" s="534">
        <f ca="1">SUM(DC166:DC175)</f>
        <v>120759.95</v>
      </c>
      <c r="DD176" s="1703"/>
      <c r="DE176" s="435"/>
      <c r="DF176" s="534">
        <f ca="1">SUM(DF166:DF175)</f>
        <v>470580</v>
      </c>
      <c r="DG176" s="1703"/>
      <c r="DH176" s="435"/>
      <c r="DI176" s="534">
        <f ca="1">SUM(DI166:DI175)</f>
        <v>355132</v>
      </c>
      <c r="DJ176" s="1703"/>
      <c r="DK176" s="435"/>
      <c r="DL176" s="534">
        <f ca="1">SUM(DL166:DL175)</f>
        <v>0</v>
      </c>
      <c r="DM176" s="1703"/>
      <c r="DN176" s="435"/>
      <c r="DO176" s="534">
        <f ca="1">SUM(DO166:DO175)</f>
        <v>0</v>
      </c>
      <c r="DP176" s="1703"/>
      <c r="DQ176" s="435"/>
      <c r="DR176" s="534">
        <f ca="1">SUM(DR166:DR175)</f>
        <v>0</v>
      </c>
      <c r="DS176" s="1703"/>
      <c r="DT176" s="435"/>
      <c r="DU176" s="534">
        <f ca="1">SUM(DU166:DU175)</f>
        <v>0</v>
      </c>
      <c r="DV176" s="1703"/>
      <c r="DW176" s="435"/>
      <c r="DX176" s="534">
        <f ca="1">SUM(DX166:DX175)</f>
        <v>0</v>
      </c>
      <c r="DY176" s="1703"/>
      <c r="DZ176" s="435">
        <f t="shared" ref="DZ176" si="698">+DH176+DE176+DB176+CY176+CV176+CS176+DK176</f>
        <v>0</v>
      </c>
      <c r="EA176" s="534">
        <f ca="1">SUM(EA166:EA175)</f>
        <v>946474.95</v>
      </c>
      <c r="EB176" s="433"/>
      <c r="EC176" s="170"/>
      <c r="ED176" s="170"/>
      <c r="EE176" s="170"/>
      <c r="EF176" s="170"/>
      <c r="EG176" s="170"/>
      <c r="EH176" s="170"/>
      <c r="EI176" s="170"/>
      <c r="EJ176" s="170"/>
      <c r="EK176" s="170"/>
    </row>
    <row r="177" spans="1:141" ht="15" x14ac:dyDescent="0.25">
      <c r="A177" s="170"/>
      <c r="B177" s="472"/>
      <c r="C177" s="472"/>
      <c r="D177" s="472"/>
      <c r="E177" s="170"/>
      <c r="F177" s="493"/>
      <c r="G177" s="1534" t="str">
        <f t="shared" si="659"/>
        <v>TOTAL PROJECT COST -    Direct &amp; Indirect ( excl AFUDC )</v>
      </c>
      <c r="H177" s="1535"/>
      <c r="I177" s="1310"/>
      <c r="J177" s="1687"/>
      <c r="K177" s="1626"/>
      <c r="L177" s="1537">
        <f>+L176+L163</f>
        <v>350517.44999999995</v>
      </c>
      <c r="M177" s="1657"/>
      <c r="N177" s="1649"/>
      <c r="O177" s="1537">
        <f ca="1">+O176+O163</f>
        <v>3952</v>
      </c>
      <c r="P177" s="1639"/>
      <c r="Q177" s="1649"/>
      <c r="R177" s="1537">
        <f ca="1">+R176+R163</f>
        <v>8051</v>
      </c>
      <c r="S177" s="1632"/>
      <c r="T177" s="1649"/>
      <c r="U177" s="1537">
        <f ca="1">+U176+U163</f>
        <v>13100836.5746</v>
      </c>
      <c r="V177" s="1632"/>
      <c r="W177" s="1649"/>
      <c r="X177" s="1537">
        <f ca="1">+X176+X163</f>
        <v>20836466.491466403</v>
      </c>
      <c r="Y177" s="1632"/>
      <c r="Z177" s="1649"/>
      <c r="AA177" s="1537">
        <f ca="1">+AA176+AA163</f>
        <v>7122264.752678168</v>
      </c>
      <c r="AB177" s="1632"/>
      <c r="AC177" s="1649"/>
      <c r="AD177" s="1537">
        <f ca="1">+AD176+AD163</f>
        <v>0</v>
      </c>
      <c r="AE177" s="1632"/>
      <c r="AF177" s="1649"/>
      <c r="AG177" s="1537">
        <f ca="1">+AG176+AG163</f>
        <v>0</v>
      </c>
      <c r="AH177" s="1632"/>
      <c r="AI177" s="1649"/>
      <c r="AJ177" s="1537">
        <f ca="1">+AJ176+AJ163</f>
        <v>0</v>
      </c>
      <c r="AK177" s="1632"/>
      <c r="AL177" s="1649"/>
      <c r="AM177" s="1537">
        <f ca="1">+AM176+AM163</f>
        <v>0</v>
      </c>
      <c r="AN177" s="1632"/>
      <c r="AO177" s="1649"/>
      <c r="AP177" s="1537">
        <f ca="1">+AP176+AP163</f>
        <v>0</v>
      </c>
      <c r="AQ177" s="1632"/>
      <c r="AR177" s="491"/>
      <c r="AS177" s="1537">
        <f ca="1">+AS176+AS163</f>
        <v>41422088.268744573</v>
      </c>
      <c r="AT177" s="1687"/>
      <c r="AU177" s="411"/>
      <c r="AV177" s="1757">
        <f t="shared" ca="1" si="510"/>
        <v>41422088.268744566</v>
      </c>
      <c r="AW177" s="411"/>
      <c r="AX177" s="493"/>
      <c r="AY177" s="1534" t="s">
        <v>1450</v>
      </c>
      <c r="AZ177" s="1535"/>
      <c r="BA177" s="1536"/>
      <c r="BB177" s="1639"/>
      <c r="BC177" s="1626"/>
      <c r="BD177" s="1537">
        <f>+BD176+BD163</f>
        <v>350517.44999999995</v>
      </c>
      <c r="BE177" s="1657"/>
      <c r="BF177" s="1649"/>
      <c r="BG177" s="1537">
        <f ca="1">+BG176+BG163</f>
        <v>3952.23</v>
      </c>
      <c r="BH177" s="1639"/>
      <c r="BI177" s="1649"/>
      <c r="BJ177" s="1537">
        <f ca="1">+BJ176+BJ163</f>
        <v>7668</v>
      </c>
      <c r="BK177" s="1632"/>
      <c r="BL177" s="1649"/>
      <c r="BM177" s="1537">
        <f ca="1">+BM176+BM163</f>
        <v>12331713.050000001</v>
      </c>
      <c r="BN177" s="1632"/>
      <c r="BO177" s="1649"/>
      <c r="BP177" s="1537">
        <f ca="1">+BP176+BP163</f>
        <v>18967063.557289999</v>
      </c>
      <c r="BQ177" s="1632"/>
      <c r="BR177" s="1649"/>
      <c r="BS177" s="1537">
        <f ca="1">+BS176+BS163</f>
        <v>6339362.392</v>
      </c>
      <c r="BT177" s="1632"/>
      <c r="BU177" s="1649"/>
      <c r="BV177" s="1537">
        <f ca="1">+BV176+BV163</f>
        <v>0</v>
      </c>
      <c r="BW177" s="1632"/>
      <c r="BX177" s="1649"/>
      <c r="BY177" s="1537">
        <f ca="1">+BY176+BY163</f>
        <v>0</v>
      </c>
      <c r="BZ177" s="1632"/>
      <c r="CA177" s="1649"/>
      <c r="CB177" s="1537">
        <f ca="1">+CB176+CB163</f>
        <v>0</v>
      </c>
      <c r="CC177" s="1632"/>
      <c r="CD177" s="1649"/>
      <c r="CE177" s="1537">
        <f ca="1">+CE176+CE163</f>
        <v>0</v>
      </c>
      <c r="CF177" s="1632"/>
      <c r="CG177" s="1649"/>
      <c r="CH177" s="1537">
        <f ca="1">+CH176+CH163</f>
        <v>0</v>
      </c>
      <c r="CI177" s="1632"/>
      <c r="CJ177" s="491"/>
      <c r="CK177" s="1537">
        <f ca="1">+CK176+CK163</f>
        <v>38000276.679289997</v>
      </c>
      <c r="CL177" s="1740"/>
      <c r="CM177" s="170"/>
      <c r="CN177" s="493"/>
      <c r="CO177" s="1615" t="str">
        <f>+AY177</f>
        <v>TOTAL PROJECT COST -    Direct &amp; Indirect ( excl AFUDC )</v>
      </c>
      <c r="CP177" s="1616"/>
      <c r="CQ177" s="533"/>
      <c r="CR177" s="1703"/>
      <c r="CS177" s="435"/>
      <c r="CT177" s="1537">
        <f>+CT176+CT163</f>
        <v>0</v>
      </c>
      <c r="CU177" s="1703"/>
      <c r="CV177" s="435"/>
      <c r="CW177" s="1537">
        <f ca="1">+CW176+CW163</f>
        <v>-0.23000000000001819</v>
      </c>
      <c r="CX177" s="1703"/>
      <c r="CY177" s="435"/>
      <c r="CZ177" s="1537">
        <f ca="1">+CZ176+CZ163</f>
        <v>383</v>
      </c>
      <c r="DA177" s="1703"/>
      <c r="DB177" s="435"/>
      <c r="DC177" s="1537">
        <f ca="1">+DC176+DC163</f>
        <v>769123.52459999954</v>
      </c>
      <c r="DD177" s="1703"/>
      <c r="DE177" s="435"/>
      <c r="DF177" s="1537">
        <f ca="1">+DF176+DF163</f>
        <v>1869402.9341764003</v>
      </c>
      <c r="DG177" s="1703"/>
      <c r="DH177" s="435"/>
      <c r="DI177" s="1537">
        <f ca="1">+DI176+DI163</f>
        <v>782902.36067816825</v>
      </c>
      <c r="DJ177" s="1703"/>
      <c r="DK177" s="435"/>
      <c r="DL177" s="1537">
        <f ca="1">+DL176+DL163</f>
        <v>0</v>
      </c>
      <c r="DM177" s="1703"/>
      <c r="DN177" s="435"/>
      <c r="DO177" s="1537">
        <f ca="1">+DO176+DO163</f>
        <v>0</v>
      </c>
      <c r="DP177" s="1703"/>
      <c r="DQ177" s="435"/>
      <c r="DR177" s="1537">
        <f ca="1">+DR176+DR163</f>
        <v>0</v>
      </c>
      <c r="DS177" s="1703"/>
      <c r="DT177" s="435"/>
      <c r="DU177" s="1537">
        <f ca="1">+DU176+DU163</f>
        <v>0</v>
      </c>
      <c r="DV177" s="1703"/>
      <c r="DW177" s="435"/>
      <c r="DX177" s="1537">
        <f ca="1">+DX176+DX163</f>
        <v>0</v>
      </c>
      <c r="DY177" s="1703"/>
      <c r="DZ177" s="435"/>
      <c r="EA177" s="1537">
        <f ca="1">+EA176+EA163</f>
        <v>3421811.589454568</v>
      </c>
      <c r="EB177" s="433"/>
      <c r="EC177" s="170"/>
      <c r="ED177" s="170"/>
      <c r="EE177" s="170"/>
      <c r="EF177" s="170"/>
      <c r="EG177" s="170"/>
      <c r="EH177" s="170"/>
      <c r="EI177" s="170"/>
      <c r="EJ177" s="170"/>
      <c r="EK177" s="170"/>
    </row>
    <row r="178" spans="1:141" ht="15" x14ac:dyDescent="0.25">
      <c r="A178" s="170"/>
      <c r="B178" s="472"/>
      <c r="C178" s="472"/>
      <c r="D178" s="472"/>
      <c r="E178" s="170"/>
      <c r="F178" s="493"/>
      <c r="G178" s="377">
        <f t="shared" si="659"/>
        <v>0</v>
      </c>
      <c r="H178" s="488"/>
      <c r="I178" s="1310"/>
      <c r="J178" s="1687"/>
      <c r="K178" s="1311">
        <f t="shared" ref="K178:K184" si="699">+BC178</f>
        <v>0</v>
      </c>
      <c r="L178" s="1312">
        <f t="shared" ref="L178:L184" si="700">+BD178</f>
        <v>0</v>
      </c>
      <c r="M178" s="1687"/>
      <c r="N178" s="1325"/>
      <c r="O178" s="1312">
        <f>+BG178+CW178</f>
        <v>0</v>
      </c>
      <c r="P178" s="1685"/>
      <c r="Q178" s="1313">
        <f t="shared" ref="Q178:Q184" si="701">+BI178</f>
        <v>0</v>
      </c>
      <c r="R178" s="1312">
        <f>+BJ178+CZ178</f>
        <v>0</v>
      </c>
      <c r="S178" s="1685"/>
      <c r="T178" s="1313">
        <f t="shared" ref="T178:T184" si="702">+BL178</f>
        <v>0</v>
      </c>
      <c r="U178" s="1312">
        <f>+BM178+DC178</f>
        <v>0</v>
      </c>
      <c r="V178" s="1685"/>
      <c r="W178" s="1313">
        <f t="shared" ref="W178:W184" si="703">+BO178</f>
        <v>0</v>
      </c>
      <c r="X178" s="1312">
        <f>+BP178+DF178</f>
        <v>0</v>
      </c>
      <c r="Y178" s="1685"/>
      <c r="Z178" s="1313">
        <f t="shared" ref="Z178:Z184" si="704">+BR178</f>
        <v>0</v>
      </c>
      <c r="AA178" s="1312">
        <f>+BS178+DI178</f>
        <v>0</v>
      </c>
      <c r="AB178" s="1685"/>
      <c r="AC178" s="1313">
        <f t="shared" ref="AC178:AC184" si="705">+BU178</f>
        <v>0</v>
      </c>
      <c r="AD178" s="1312">
        <f>+BV178+DL178</f>
        <v>0</v>
      </c>
      <c r="AE178" s="1685"/>
      <c r="AF178" s="1313">
        <f t="shared" ref="AF178:AF181" si="706">+BX178</f>
        <v>0</v>
      </c>
      <c r="AG178" s="1312">
        <f>+BY178+DO178</f>
        <v>0</v>
      </c>
      <c r="AH178" s="1685"/>
      <c r="AI178" s="1313">
        <f t="shared" ref="AI178:AI181" si="707">+CA178</f>
        <v>0</v>
      </c>
      <c r="AJ178" s="1312">
        <f>+CB178+DR178</f>
        <v>0</v>
      </c>
      <c r="AK178" s="1685"/>
      <c r="AL178" s="1313">
        <f t="shared" ref="AL178:AL181" si="708">+CD178</f>
        <v>0</v>
      </c>
      <c r="AM178" s="1312">
        <f>+CE178+DU178</f>
        <v>0</v>
      </c>
      <c r="AN178" s="1685"/>
      <c r="AO178" s="1313">
        <f t="shared" ref="AO178:AO181" si="709">+CG178</f>
        <v>0</v>
      </c>
      <c r="AP178" s="1312">
        <f>+CH178+DX178</f>
        <v>0</v>
      </c>
      <c r="AQ178" s="1685"/>
      <c r="AR178" s="1313"/>
      <c r="AS178" s="1312"/>
      <c r="AT178" s="1687"/>
      <c r="AU178" s="411"/>
      <c r="AV178" s="1757">
        <f t="shared" si="510"/>
        <v>0</v>
      </c>
      <c r="AW178" s="411"/>
      <c r="AX178" s="493"/>
      <c r="AY178" s="377"/>
      <c r="AZ178" s="488"/>
      <c r="BA178" s="1270"/>
      <c r="BB178" s="1632"/>
      <c r="BC178" s="491"/>
      <c r="BD178" s="1527"/>
      <c r="BE178" s="1632"/>
      <c r="BF178" s="1471"/>
      <c r="BG178" s="1527"/>
      <c r="BH178" s="1632"/>
      <c r="BI178" s="1471"/>
      <c r="BJ178" s="1527"/>
      <c r="BK178" s="1632"/>
      <c r="BL178" s="1471"/>
      <c r="BM178" s="1527"/>
      <c r="BN178" s="1632"/>
      <c r="BO178" s="1471"/>
      <c r="BP178" s="1527"/>
      <c r="BQ178" s="1632"/>
      <c r="BR178" s="1471"/>
      <c r="BS178" s="1527"/>
      <c r="BT178" s="1632"/>
      <c r="BU178" s="1471"/>
      <c r="BV178" s="1527"/>
      <c r="BW178" s="1632"/>
      <c r="BX178" s="1471"/>
      <c r="BY178" s="1527"/>
      <c r="BZ178" s="1632"/>
      <c r="CA178" s="1471"/>
      <c r="CB178" s="1527"/>
      <c r="CC178" s="1632"/>
      <c r="CD178" s="1471"/>
      <c r="CE178" s="1527"/>
      <c r="CF178" s="1632"/>
      <c r="CG178" s="1471"/>
      <c r="CH178" s="1527"/>
      <c r="CI178" s="1632"/>
      <c r="CJ178" s="491"/>
      <c r="CK178" s="1271"/>
      <c r="CL178" s="1740"/>
      <c r="CM178" s="170"/>
      <c r="CN178" s="493"/>
      <c r="CO178" s="384">
        <f>+AY178</f>
        <v>0</v>
      </c>
      <c r="CP178" s="494"/>
      <c r="CQ178" s="533"/>
      <c r="CR178" s="1703"/>
      <c r="CS178" s="435"/>
      <c r="CT178" s="1271"/>
      <c r="CU178" s="1703"/>
      <c r="CV178" s="435"/>
      <c r="CW178" s="434">
        <f>ROUND((+BG178*(1+CW$4)),0)-BG178</f>
        <v>0</v>
      </c>
      <c r="CX178" s="443"/>
      <c r="CY178" s="432">
        <v>0</v>
      </c>
      <c r="CZ178" s="434">
        <f>ROUND((+BJ178*(1+CZ$4)),0)-BJ178</f>
        <v>0</v>
      </c>
      <c r="DA178" s="443"/>
      <c r="DB178" s="432">
        <v>0</v>
      </c>
      <c r="DC178" s="434">
        <f>ROUND((+BM178*(1+DC$4)),0)-BM178</f>
        <v>0</v>
      </c>
      <c r="DD178" s="443"/>
      <c r="DE178" s="432">
        <v>0</v>
      </c>
      <c r="DF178" s="434">
        <f>ROUND((+BP178*(1+DF$4)),0)-BP178</f>
        <v>0</v>
      </c>
      <c r="DG178" s="443"/>
      <c r="DH178" s="432">
        <v>0</v>
      </c>
      <c r="DI178" s="434">
        <f>ROUND((+BS178*(1+DI$4)),0)-BS178</f>
        <v>0</v>
      </c>
      <c r="DJ178" s="443"/>
      <c r="DK178" s="432">
        <v>0</v>
      </c>
      <c r="DL178" s="434">
        <f>ROUND((+BV178*(1+DL$4)),0)-BV178</f>
        <v>0</v>
      </c>
      <c r="DM178" s="443"/>
      <c r="DN178" s="432">
        <v>0</v>
      </c>
      <c r="DO178" s="434">
        <f>ROUND((+BY178*(1+DO$4)),0)-BY178</f>
        <v>0</v>
      </c>
      <c r="DP178" s="443"/>
      <c r="DQ178" s="432">
        <v>0</v>
      </c>
      <c r="DR178" s="434">
        <f>ROUND((+CB178*(1+DR$4)),0)-CB178</f>
        <v>0</v>
      </c>
      <c r="DS178" s="443"/>
      <c r="DT178" s="432">
        <v>0</v>
      </c>
      <c r="DU178" s="434">
        <f>ROUND((+CE178*(1+DU$4)),0)-CE178</f>
        <v>0</v>
      </c>
      <c r="DV178" s="443"/>
      <c r="DW178" s="432">
        <v>0</v>
      </c>
      <c r="DX178" s="434">
        <f>ROUND((+CH178*(1+DX$4)),0)-CH178</f>
        <v>0</v>
      </c>
      <c r="DY178" s="443"/>
      <c r="DZ178" s="432"/>
      <c r="EA178" s="444"/>
      <c r="EB178" s="433"/>
      <c r="EC178" s="170"/>
      <c r="ED178" s="170"/>
      <c r="EE178" s="170"/>
      <c r="EF178" s="170"/>
      <c r="EG178" s="170"/>
      <c r="EH178" s="170"/>
      <c r="EI178" s="170"/>
      <c r="EJ178" s="170"/>
      <c r="EK178" s="170"/>
    </row>
    <row r="179" spans="1:141" ht="15" x14ac:dyDescent="0.25">
      <c r="A179" s="170"/>
      <c r="B179" s="472"/>
      <c r="C179" s="472"/>
      <c r="D179" s="472"/>
      <c r="E179" s="170"/>
      <c r="F179" s="493"/>
      <c r="G179" s="1263" t="str">
        <f t="shared" si="659"/>
        <v>AFUDC</v>
      </c>
      <c r="H179" s="488"/>
      <c r="I179" s="1310"/>
      <c r="J179" s="1687"/>
      <c r="K179" s="1311">
        <f t="shared" si="699"/>
        <v>0</v>
      </c>
      <c r="L179" s="1312">
        <f t="shared" si="700"/>
        <v>0</v>
      </c>
      <c r="M179" s="1687"/>
      <c r="N179" s="1325"/>
      <c r="O179" s="1312">
        <f>+BG179+CW179</f>
        <v>0</v>
      </c>
      <c r="P179" s="1685"/>
      <c r="Q179" s="1313">
        <f t="shared" si="701"/>
        <v>0</v>
      </c>
      <c r="R179" s="1312">
        <f>+BJ179+CZ179</f>
        <v>0</v>
      </c>
      <c r="S179" s="1685"/>
      <c r="T179" s="1313">
        <f t="shared" si="702"/>
        <v>0</v>
      </c>
      <c r="U179" s="1312">
        <f>+BM179+DC179</f>
        <v>0</v>
      </c>
      <c r="V179" s="1685"/>
      <c r="W179" s="1313">
        <f t="shared" si="703"/>
        <v>0</v>
      </c>
      <c r="X179" s="1312">
        <f>+BP179+DF179</f>
        <v>0</v>
      </c>
      <c r="Y179" s="1685"/>
      <c r="Z179" s="1313">
        <f t="shared" si="704"/>
        <v>0</v>
      </c>
      <c r="AA179" s="1312">
        <f>+BS179+DI179</f>
        <v>0</v>
      </c>
      <c r="AB179" s="1685"/>
      <c r="AC179" s="1313">
        <f t="shared" si="705"/>
        <v>0</v>
      </c>
      <c r="AD179" s="1312">
        <f>+BV179+DL179</f>
        <v>0</v>
      </c>
      <c r="AE179" s="1685"/>
      <c r="AF179" s="1313">
        <f t="shared" si="706"/>
        <v>0</v>
      </c>
      <c r="AG179" s="1312">
        <f>+BY179+DO179</f>
        <v>0</v>
      </c>
      <c r="AH179" s="1685"/>
      <c r="AI179" s="1313">
        <f t="shared" si="707"/>
        <v>0</v>
      </c>
      <c r="AJ179" s="1312">
        <f>+CB179+DR179</f>
        <v>0</v>
      </c>
      <c r="AK179" s="1685"/>
      <c r="AL179" s="1313">
        <f t="shared" si="708"/>
        <v>0</v>
      </c>
      <c r="AM179" s="1312">
        <f>+CE179+DU179</f>
        <v>0</v>
      </c>
      <c r="AN179" s="1685"/>
      <c r="AO179" s="1313">
        <f t="shared" si="709"/>
        <v>0</v>
      </c>
      <c r="AP179" s="1312">
        <f>+CH179+DX179</f>
        <v>0</v>
      </c>
      <c r="AQ179" s="1685"/>
      <c r="AR179" s="1313"/>
      <c r="AS179" s="1312">
        <f>+AA179+X179+U179+R179+O179+L179+AD179</f>
        <v>0</v>
      </c>
      <c r="AT179" s="1687"/>
      <c r="AU179" s="411"/>
      <c r="AV179" s="1757">
        <f t="shared" si="510"/>
        <v>0</v>
      </c>
      <c r="AW179" s="411"/>
      <c r="AX179" s="493"/>
      <c r="AY179" s="1263" t="s">
        <v>45</v>
      </c>
      <c r="AZ179" s="488"/>
      <c r="BA179" s="1270"/>
      <c r="BB179" s="1632"/>
      <c r="BC179" s="491"/>
      <c r="BD179" s="1527"/>
      <c r="BE179" s="1632"/>
      <c r="BF179" s="1471"/>
      <c r="BG179" s="1527"/>
      <c r="BH179" s="1632"/>
      <c r="BI179" s="1471"/>
      <c r="BJ179" s="1527"/>
      <c r="BK179" s="1632"/>
      <c r="BL179" s="1471"/>
      <c r="BM179" s="1527"/>
      <c r="BN179" s="1632"/>
      <c r="BO179" s="1471"/>
      <c r="BP179" s="1527"/>
      <c r="BQ179" s="1632"/>
      <c r="BR179" s="1471"/>
      <c r="BS179" s="1527"/>
      <c r="BT179" s="1632"/>
      <c r="BU179" s="1471"/>
      <c r="BV179" s="1527"/>
      <c r="BW179" s="1632"/>
      <c r="BX179" s="1471"/>
      <c r="BY179" s="1527"/>
      <c r="BZ179" s="1632"/>
      <c r="CA179" s="1471"/>
      <c r="CB179" s="1527"/>
      <c r="CC179" s="1632"/>
      <c r="CD179" s="1471"/>
      <c r="CE179" s="1527"/>
      <c r="CF179" s="1632"/>
      <c r="CG179" s="1471"/>
      <c r="CH179" s="1527"/>
      <c r="CI179" s="1632"/>
      <c r="CJ179" s="491"/>
      <c r="CK179" s="1258">
        <f>+BS179+BP179+BM179+BJ179+BG179+BD179+BV179</f>
        <v>0</v>
      </c>
      <c r="CL179" s="1740"/>
      <c r="CM179" s="170"/>
      <c r="CN179" s="493"/>
      <c r="CO179" s="395" t="str">
        <f>+AY179</f>
        <v>AFUDC</v>
      </c>
      <c r="CP179" s="494"/>
      <c r="CQ179" s="533"/>
      <c r="CR179" s="1703"/>
      <c r="CS179" s="435"/>
      <c r="CT179" s="510">
        <f>L179-BD179</f>
        <v>0</v>
      </c>
      <c r="CU179" s="1703"/>
      <c r="CV179" s="435"/>
      <c r="CW179" s="434">
        <f>ROUND((+BG179*(1+CW$4)),0)-BG179</f>
        <v>0</v>
      </c>
      <c r="CX179" s="443"/>
      <c r="CY179" s="432">
        <v>0</v>
      </c>
      <c r="CZ179" s="434">
        <f>ROUND((+BJ179*(1+CZ$4)),0)-BJ179</f>
        <v>0</v>
      </c>
      <c r="DA179" s="443"/>
      <c r="DB179" s="432">
        <v>0</v>
      </c>
      <c r="DC179" s="434">
        <f>ROUND((+BM179*(1+DC$4)),0)-BM179</f>
        <v>0</v>
      </c>
      <c r="DD179" s="443"/>
      <c r="DE179" s="432">
        <v>0</v>
      </c>
      <c r="DF179" s="434">
        <f>ROUND((+BP179*(1+DF$4)),0)-BP179</f>
        <v>0</v>
      </c>
      <c r="DG179" s="443"/>
      <c r="DH179" s="432">
        <v>0</v>
      </c>
      <c r="DI179" s="434">
        <f>ROUND((+BS179*(1+DI$4)),0)-BS179</f>
        <v>0</v>
      </c>
      <c r="DJ179" s="443"/>
      <c r="DK179" s="432">
        <v>0</v>
      </c>
      <c r="DL179" s="434">
        <f>ROUND((+BV179*(1+DL$4)),0)-BV179</f>
        <v>0</v>
      </c>
      <c r="DM179" s="443"/>
      <c r="DN179" s="432">
        <v>0</v>
      </c>
      <c r="DO179" s="434">
        <f>ROUND((+BY179*(1+DO$4)),0)-BY179</f>
        <v>0</v>
      </c>
      <c r="DP179" s="443"/>
      <c r="DQ179" s="432">
        <v>0</v>
      </c>
      <c r="DR179" s="434">
        <f>ROUND((+CB179*(1+DR$4)),0)-CB179</f>
        <v>0</v>
      </c>
      <c r="DS179" s="443"/>
      <c r="DT179" s="432">
        <v>0</v>
      </c>
      <c r="DU179" s="434">
        <f>ROUND((+CE179*(1+DU$4)),0)-CE179</f>
        <v>0</v>
      </c>
      <c r="DV179" s="443"/>
      <c r="DW179" s="432">
        <v>0</v>
      </c>
      <c r="DX179" s="434">
        <f>ROUND((+CH179*(1+DX$4)),0)-CH179</f>
        <v>0</v>
      </c>
      <c r="DY179" s="443"/>
      <c r="DZ179" s="432"/>
      <c r="EA179" s="444">
        <f>+DI179+DF179+DC179+CZ179+CW179+CT179+DL179</f>
        <v>0</v>
      </c>
      <c r="EB179" s="433"/>
      <c r="EC179" s="170"/>
      <c r="ED179" s="170"/>
      <c r="EE179" s="170"/>
      <c r="EF179" s="170"/>
      <c r="EG179" s="170"/>
      <c r="EH179" s="170"/>
      <c r="EI179" s="170"/>
      <c r="EJ179" s="170"/>
      <c r="EK179" s="170"/>
    </row>
    <row r="180" spans="1:141" ht="15" x14ac:dyDescent="0.25">
      <c r="A180" s="170"/>
      <c r="B180" s="424">
        <v>7</v>
      </c>
      <c r="C180" s="424">
        <v>11</v>
      </c>
      <c r="D180" s="424">
        <v>8</v>
      </c>
      <c r="E180" s="425">
        <v>14</v>
      </c>
      <c r="F180" s="493"/>
      <c r="G180" s="457">
        <f t="shared" si="659"/>
        <v>0</v>
      </c>
      <c r="H180" s="488"/>
      <c r="I180" s="1310"/>
      <c r="J180" s="1687"/>
      <c r="K180" s="1311">
        <f t="shared" si="699"/>
        <v>0</v>
      </c>
      <c r="L180" s="1312">
        <f t="shared" si="700"/>
        <v>0</v>
      </c>
      <c r="M180" s="1687"/>
      <c r="N180" s="1325"/>
      <c r="O180" s="1312">
        <f>+BG180+CW180</f>
        <v>0</v>
      </c>
      <c r="P180" s="1685"/>
      <c r="Q180" s="1313">
        <f t="shared" si="701"/>
        <v>0</v>
      </c>
      <c r="R180" s="1312">
        <f>+BJ180+CZ180</f>
        <v>0</v>
      </c>
      <c r="S180" s="1685"/>
      <c r="T180" s="1313">
        <f t="shared" si="702"/>
        <v>0</v>
      </c>
      <c r="U180" s="1312">
        <f>+BM180+DC180</f>
        <v>0</v>
      </c>
      <c r="V180" s="1685"/>
      <c r="W180" s="1313">
        <f t="shared" si="703"/>
        <v>0</v>
      </c>
      <c r="X180" s="1312">
        <f>+BP180+DF180</f>
        <v>0</v>
      </c>
      <c r="Y180" s="1685"/>
      <c r="Z180" s="1313">
        <f t="shared" si="704"/>
        <v>0</v>
      </c>
      <c r="AA180" s="1312">
        <f>+BS180+DI180</f>
        <v>0</v>
      </c>
      <c r="AB180" s="1685"/>
      <c r="AC180" s="1313">
        <f t="shared" si="705"/>
        <v>0</v>
      </c>
      <c r="AD180" s="1312">
        <f>+BV180+DL180</f>
        <v>0</v>
      </c>
      <c r="AE180" s="1685"/>
      <c r="AF180" s="1313">
        <f t="shared" si="706"/>
        <v>0</v>
      </c>
      <c r="AG180" s="1312">
        <f>+BY180+DO180</f>
        <v>0</v>
      </c>
      <c r="AH180" s="1685"/>
      <c r="AI180" s="1313">
        <f t="shared" si="707"/>
        <v>0</v>
      </c>
      <c r="AJ180" s="1312">
        <f>+CB180+DR180</f>
        <v>0</v>
      </c>
      <c r="AK180" s="1685"/>
      <c r="AL180" s="1313">
        <f t="shared" si="708"/>
        <v>0</v>
      </c>
      <c r="AM180" s="1312">
        <f>+CE180+DU180</f>
        <v>0</v>
      </c>
      <c r="AN180" s="1685"/>
      <c r="AO180" s="1313">
        <f t="shared" si="709"/>
        <v>0</v>
      </c>
      <c r="AP180" s="1312">
        <f>+CH180+DX180</f>
        <v>0</v>
      </c>
      <c r="AQ180" s="1685"/>
      <c r="AR180" s="1313"/>
      <c r="AS180" s="1312">
        <f>+AA180+X180+U180+R180+O180+L180+AD180</f>
        <v>0</v>
      </c>
      <c r="AT180" s="1687"/>
      <c r="AU180" s="411"/>
      <c r="AV180" s="1757">
        <f t="shared" si="510"/>
        <v>0</v>
      </c>
      <c r="AW180" s="411"/>
      <c r="AX180" s="493"/>
      <c r="AY180" s="457"/>
      <c r="AZ180" s="488"/>
      <c r="BA180" s="1270"/>
      <c r="BB180" s="1632"/>
      <c r="BC180" s="1596"/>
      <c r="BD180" s="1597"/>
      <c r="BE180" s="1632"/>
      <c r="BF180" s="1471"/>
      <c r="BG180" s="1527"/>
      <c r="BH180" s="1632"/>
      <c r="BI180" s="1471"/>
      <c r="BJ180" s="1527"/>
      <c r="BK180" s="1632"/>
      <c r="BL180" s="1471"/>
      <c r="BM180" s="1527"/>
      <c r="BN180" s="1632"/>
      <c r="BO180" s="1471"/>
      <c r="BP180" s="1527"/>
      <c r="BQ180" s="1632"/>
      <c r="BR180" s="1471"/>
      <c r="BS180" s="1527"/>
      <c r="BT180" s="1632"/>
      <c r="BU180" s="1471"/>
      <c r="BV180" s="1527"/>
      <c r="BW180" s="1632"/>
      <c r="BX180" s="1471"/>
      <c r="BY180" s="1527"/>
      <c r="BZ180" s="1632"/>
      <c r="CA180" s="1471"/>
      <c r="CB180" s="1527"/>
      <c r="CC180" s="1632"/>
      <c r="CD180" s="1471"/>
      <c r="CE180" s="1527"/>
      <c r="CF180" s="1632"/>
      <c r="CG180" s="1471"/>
      <c r="CH180" s="1527"/>
      <c r="CI180" s="1632"/>
      <c r="CJ180" s="491"/>
      <c r="CK180" s="1258">
        <f>+BS180+BP180+BM180+BJ180+BG180+BD180+BV180</f>
        <v>0</v>
      </c>
      <c r="CL180" s="1740"/>
      <c r="CM180" s="170"/>
      <c r="CN180" s="493"/>
      <c r="CO180" s="459">
        <f>+AY180</f>
        <v>0</v>
      </c>
      <c r="CP180" s="494"/>
      <c r="CQ180" s="533"/>
      <c r="CR180" s="1703"/>
      <c r="CS180" s="435"/>
      <c r="CT180" s="510">
        <f>L180-BD180</f>
        <v>0</v>
      </c>
      <c r="CU180" s="1703"/>
      <c r="CV180" s="435"/>
      <c r="CW180" s="434">
        <f>ROUND((+BG180*(1+CW$4)),0)-BG180</f>
        <v>0</v>
      </c>
      <c r="CX180" s="443"/>
      <c r="CY180" s="432">
        <v>0</v>
      </c>
      <c r="CZ180" s="434">
        <f>ROUND((+BJ180*(1+CZ$4)),0)-BJ180</f>
        <v>0</v>
      </c>
      <c r="DA180" s="443"/>
      <c r="DB180" s="432">
        <v>0</v>
      </c>
      <c r="DC180" s="434">
        <f>ROUND((+BM180*(1+DC$4)),0)-BM180</f>
        <v>0</v>
      </c>
      <c r="DD180" s="443"/>
      <c r="DE180" s="432">
        <v>0</v>
      </c>
      <c r="DF180" s="434">
        <f>ROUND((+BP180*(1+DF$4)),0)-BP180</f>
        <v>0</v>
      </c>
      <c r="DG180" s="443"/>
      <c r="DH180" s="432">
        <v>0</v>
      </c>
      <c r="DI180" s="434">
        <f>ROUND((+BS180*(1+DI$4)),0)-BS180</f>
        <v>0</v>
      </c>
      <c r="DJ180" s="443"/>
      <c r="DK180" s="432">
        <v>0</v>
      </c>
      <c r="DL180" s="434">
        <f>ROUND((+BV180*(1+DL$4)),0)-BV180</f>
        <v>0</v>
      </c>
      <c r="DM180" s="443"/>
      <c r="DN180" s="432">
        <v>0</v>
      </c>
      <c r="DO180" s="434">
        <f>ROUND((+BY180*(1+DO$4)),0)-BY180</f>
        <v>0</v>
      </c>
      <c r="DP180" s="443"/>
      <c r="DQ180" s="432">
        <v>0</v>
      </c>
      <c r="DR180" s="434">
        <f>ROUND((+CB180*(1+DR$4)),0)-CB180</f>
        <v>0</v>
      </c>
      <c r="DS180" s="443"/>
      <c r="DT180" s="432">
        <v>0</v>
      </c>
      <c r="DU180" s="434">
        <f>ROUND((+CE180*(1+DU$4)),0)-CE180</f>
        <v>0</v>
      </c>
      <c r="DV180" s="443"/>
      <c r="DW180" s="432">
        <v>0</v>
      </c>
      <c r="DX180" s="434">
        <f>ROUND((+CH180*(1+DX$4)),0)-CH180</f>
        <v>0</v>
      </c>
      <c r="DY180" s="443"/>
      <c r="DZ180" s="432"/>
      <c r="EA180" s="444">
        <f>+DI180+DF180+DC180+CZ180+CW180+CT180+DL180</f>
        <v>0</v>
      </c>
      <c r="EB180" s="433"/>
      <c r="EC180" s="170"/>
      <c r="ED180" s="170"/>
      <c r="EE180" s="170"/>
      <c r="EF180" s="170"/>
      <c r="EG180" s="170"/>
      <c r="EH180" s="170"/>
      <c r="EI180" s="170"/>
      <c r="EJ180" s="170"/>
      <c r="EK180" s="170"/>
    </row>
    <row r="181" spans="1:141" ht="15" x14ac:dyDescent="0.25">
      <c r="A181" s="170"/>
      <c r="B181" s="424">
        <v>7</v>
      </c>
      <c r="C181" s="424">
        <v>11</v>
      </c>
      <c r="D181" s="424">
        <v>8</v>
      </c>
      <c r="E181" s="425">
        <v>14</v>
      </c>
      <c r="F181" s="493"/>
      <c r="G181" s="2874" t="str">
        <f t="shared" si="659"/>
        <v xml:space="preserve">  AFUDC (ZK) </v>
      </c>
      <c r="H181" s="2873"/>
      <c r="I181" s="1310"/>
      <c r="J181" s="1687"/>
      <c r="K181" s="1311">
        <f t="shared" si="699"/>
        <v>0</v>
      </c>
      <c r="L181" s="1312">
        <f t="shared" si="700"/>
        <v>25374.34</v>
      </c>
      <c r="M181" s="1687"/>
      <c r="N181" s="1313">
        <f t="shared" ref="N181" si="710">+BF181</f>
        <v>7.0000000000000007E-2</v>
      </c>
      <c r="O181" s="1312">
        <f ca="1">+BG181+CW181</f>
        <v>1077</v>
      </c>
      <c r="P181" s="1685"/>
      <c r="Q181" s="1313">
        <f t="shared" si="701"/>
        <v>7.0000000000000007E-2</v>
      </c>
      <c r="R181" s="1312">
        <f ca="1">+BJ181+CZ181</f>
        <v>26933</v>
      </c>
      <c r="S181" s="1685"/>
      <c r="T181" s="1313">
        <f t="shared" si="702"/>
        <v>7.0000000000000007E-2</v>
      </c>
      <c r="U181" s="1312">
        <f ca="1">+BM181+DC181</f>
        <v>460696</v>
      </c>
      <c r="V181" s="1685"/>
      <c r="W181" s="1313">
        <f t="shared" si="703"/>
        <v>7.0000000000000007E-2</v>
      </c>
      <c r="X181" s="1312">
        <f>+BP181+DF181</f>
        <v>1660900</v>
      </c>
      <c r="Y181" s="1685"/>
      <c r="Z181" s="1313">
        <f t="shared" si="704"/>
        <v>7.0000000000000007E-2</v>
      </c>
      <c r="AA181" s="1312">
        <f>+BS181+DI181</f>
        <v>657500</v>
      </c>
      <c r="AB181" s="1685"/>
      <c r="AC181" s="1313">
        <f t="shared" si="705"/>
        <v>7.0000000000000007E-2</v>
      </c>
      <c r="AD181" s="1312">
        <f ca="1">+BV181+DL181</f>
        <v>0</v>
      </c>
      <c r="AE181" s="1685"/>
      <c r="AF181" s="1313">
        <f t="shared" si="706"/>
        <v>7.0000000000000007E-2</v>
      </c>
      <c r="AG181" s="1312">
        <f ca="1">+BY181+DO181</f>
        <v>0</v>
      </c>
      <c r="AH181" s="1685"/>
      <c r="AI181" s="1313">
        <f t="shared" si="707"/>
        <v>7.0000000000000007E-2</v>
      </c>
      <c r="AJ181" s="1312">
        <f ca="1">+CB181+DR181</f>
        <v>0</v>
      </c>
      <c r="AK181" s="1685"/>
      <c r="AL181" s="1313">
        <f t="shared" si="708"/>
        <v>7.0000000000000007E-2</v>
      </c>
      <c r="AM181" s="1312">
        <f ca="1">+CE181+DU181</f>
        <v>0</v>
      </c>
      <c r="AN181" s="1685"/>
      <c r="AO181" s="1313">
        <f t="shared" si="709"/>
        <v>7.0000000000000007E-2</v>
      </c>
      <c r="AP181" s="1312">
        <f ca="1">+CH181+DX181</f>
        <v>0</v>
      </c>
      <c r="AQ181" s="1685"/>
      <c r="AR181" s="1313">
        <f t="shared" ref="AR181" si="711">+Z181+W181+T181+Q181+N181+K181+AC181+AF181+AI181+AL181+AO181</f>
        <v>0.70000000000000018</v>
      </c>
      <c r="AS181" s="1312">
        <f t="shared" ref="AS181" ca="1" si="712">+AA181+X181+U181+R181+O181+L181+AD181+AG181+AJ181+AM181+AP181</f>
        <v>2832480.34</v>
      </c>
      <c r="AT181" s="1687"/>
      <c r="AU181" s="411"/>
      <c r="AV181" s="1757">
        <f t="shared" ca="1" si="510"/>
        <v>2832480.34</v>
      </c>
      <c r="AW181" s="411"/>
      <c r="AX181" s="493"/>
      <c r="AY181" s="2874" t="s">
        <v>1446</v>
      </c>
      <c r="AZ181" s="2873"/>
      <c r="BA181" s="1270"/>
      <c r="BB181" s="1632"/>
      <c r="BC181" s="1592"/>
      <c r="BD181" s="1593">
        <v>25374.34</v>
      </c>
      <c r="BE181" s="1632"/>
      <c r="BF181" s="1650">
        <f>+'Data Input sheet'!D91</f>
        <v>7.0000000000000007E-2</v>
      </c>
      <c r="BG181" s="532">
        <f ca="1">IF('Data Input sheet'!D105="Y",ROUND(((SUM($BD$201:BD201)-(BF182/2)-((BF183-BF182)/1)+(BG177/2))*(BF181/12*'Data Input sheet'!D106)),0),0)-BD181</f>
        <v>1076.6599999999999</v>
      </c>
      <c r="BH181" s="1632"/>
      <c r="BI181" s="1650">
        <f>+'Data Input sheet'!G91</f>
        <v>7.0000000000000007E-2</v>
      </c>
      <c r="BJ181" s="532">
        <f ca="1">IF('Data Input sheet'!G105="Y",ROUND(((SUM($BD$201:BG201)-(BI182/2)-((BI183-BI182)/1)+(BJ177/2))*(BI181/12*'Data Input sheet'!G106)),0),0)</f>
        <v>26933</v>
      </c>
      <c r="BK181" s="1632"/>
      <c r="BL181" s="1650">
        <f>+'Data Input sheet'!J91</f>
        <v>7.0000000000000007E-2</v>
      </c>
      <c r="BM181" s="532">
        <f ca="1">IF('Data Input sheet'!J105="Y",ROUND(((SUM($BD$201:BJ201)-(BL182/2)-((BL183-BL182)/1)+(BM177/2))*(BL181/12*'Data Input sheet'!J106)),0),0)</f>
        <v>460696</v>
      </c>
      <c r="BN181" s="1632"/>
      <c r="BO181" s="1650">
        <f>+'Data Input sheet'!M91</f>
        <v>7.0000000000000007E-2</v>
      </c>
      <c r="BP181" s="532">
        <v>1660900</v>
      </c>
      <c r="BQ181" s="1632"/>
      <c r="BR181" s="1650">
        <f>+'Data Input sheet'!P91</f>
        <v>7.0000000000000007E-2</v>
      </c>
      <c r="BS181" s="532">
        <v>657500</v>
      </c>
      <c r="BT181" s="1632"/>
      <c r="BU181" s="1650">
        <f>+'Data Input sheet'!S91</f>
        <v>7.0000000000000007E-2</v>
      </c>
      <c r="BV181" s="532">
        <f ca="1">IF('Data Input sheet'!S105="Y",ROUND(((SUM($BD$201:BS201)-(BU182/2)-((BU183-BU182)/1)+(BV177/2))*(BU181/12*'Data Input sheet'!S106)),0),0)</f>
        <v>0</v>
      </c>
      <c r="BW181" s="1632"/>
      <c r="BX181" s="1650">
        <f>+'Data Input sheet'!V91</f>
        <v>7.0000000000000007E-2</v>
      </c>
      <c r="BY181" s="532">
        <f ca="1">IF('Data Input sheet'!V105="Y",ROUND(((SUM($BD$201:BV201)-(BX182/2)-((BX183-BX182)/1)+(BY177/2))*(BX181/12*'Data Input sheet'!V106)),0),0)</f>
        <v>0</v>
      </c>
      <c r="BZ181" s="1632"/>
      <c r="CA181" s="1650">
        <f>+'Data Input sheet'!Y91</f>
        <v>7.0000000000000007E-2</v>
      </c>
      <c r="CB181" s="532">
        <f ca="1">IF('Data Input sheet'!Y105="Y",ROUND(((SUM($BD$201:BY201)-(CA182/2)-((CA183-CA182)/1)+(CB177/2))*(CA181/12*'Data Input sheet'!Y106)),0),0)</f>
        <v>0</v>
      </c>
      <c r="CC181" s="1632"/>
      <c r="CD181" s="1650">
        <f>+'Data Input sheet'!AB91</f>
        <v>7.0000000000000007E-2</v>
      </c>
      <c r="CE181" s="532">
        <f ca="1">IF('Data Input sheet'!AB105="Y",ROUND(((SUM($BD$201:CB201)-(CD182/2)-((CD183-CD182)/1)+(CE177/2))*(CD181/12*'Data Input sheet'!AB106)),0),0)</f>
        <v>0</v>
      </c>
      <c r="CF181" s="1632"/>
      <c r="CG181" s="1650">
        <f>+'Data Input sheet'!AE91</f>
        <v>7.0000000000000007E-2</v>
      </c>
      <c r="CH181" s="532">
        <f ca="1">IF('Data Input sheet'!AE105="Y",ROUND(((SUM($BD$201:CE201)-(CG182/2)-((CG183-CG182)/1)+(CH177/2))*(CG181/12*'Data Input sheet'!AE106)),0),0)</f>
        <v>0</v>
      </c>
      <c r="CI181" s="1632"/>
      <c r="CJ181" s="1257">
        <f t="shared" ref="CJ181" si="713">+BR181+BO181+BL181+BI181+BF181+BC181+BU181+BX181+CA181+CD181+CG181</f>
        <v>0.70000000000000018</v>
      </c>
      <c r="CK181" s="1395">
        <f ca="1">+BS181+BP181+BM181+BJ181+BG181+BD181+BV181+BY181+CB181+CE181+CH181</f>
        <v>2832480</v>
      </c>
      <c r="CL181" s="1740"/>
      <c r="CM181" s="170"/>
      <c r="CN181" s="493"/>
      <c r="CO181" s="2868" t="str">
        <f>+AY181</f>
        <v xml:space="preserve">  AFUDC (ZK) </v>
      </c>
      <c r="CP181" s="2869"/>
      <c r="CQ181" s="533"/>
      <c r="CR181" s="1703"/>
      <c r="CS181" s="435"/>
      <c r="CT181" s="510">
        <f>L181-BD181</f>
        <v>0</v>
      </c>
      <c r="CU181" s="1703"/>
      <c r="CV181" s="435"/>
      <c r="CW181" s="434">
        <f ca="1">ROUND((+BG181*(1+CW$4)),0)-BG181</f>
        <v>0.34000000000014552</v>
      </c>
      <c r="CX181" s="443"/>
      <c r="CY181" s="432">
        <v>0</v>
      </c>
      <c r="CZ181" s="434">
        <v>0</v>
      </c>
      <c r="DA181" s="443"/>
      <c r="DB181" s="432">
        <v>0</v>
      </c>
      <c r="DC181" s="434">
        <v>0</v>
      </c>
      <c r="DD181" s="443"/>
      <c r="DE181" s="432">
        <v>0</v>
      </c>
      <c r="DF181" s="434">
        <v>0</v>
      </c>
      <c r="DG181" s="443"/>
      <c r="DH181" s="432">
        <v>0</v>
      </c>
      <c r="DI181" s="434">
        <v>0</v>
      </c>
      <c r="DJ181" s="443"/>
      <c r="DK181" s="432">
        <v>0</v>
      </c>
      <c r="DL181" s="434">
        <v>0</v>
      </c>
      <c r="DM181" s="443"/>
      <c r="DN181" s="432">
        <v>0</v>
      </c>
      <c r="DO181" s="434">
        <v>0</v>
      </c>
      <c r="DP181" s="443"/>
      <c r="DQ181" s="432">
        <v>0</v>
      </c>
      <c r="DR181" s="434">
        <v>0</v>
      </c>
      <c r="DS181" s="443"/>
      <c r="DT181" s="432">
        <v>0</v>
      </c>
      <c r="DU181" s="434">
        <v>0</v>
      </c>
      <c r="DV181" s="443"/>
      <c r="DW181" s="432">
        <v>0</v>
      </c>
      <c r="DX181" s="434">
        <v>0</v>
      </c>
      <c r="DY181" s="443"/>
      <c r="DZ181" s="432">
        <f t="shared" ref="DZ181" si="714">+DH181+DE181+DB181+CY181+CV181+CS181+DK181+DN181+DQ181+DT181+DW181</f>
        <v>0</v>
      </c>
      <c r="EA181" s="444">
        <f t="shared" ref="EA181" ca="1" si="715">+DI181+DF181+DC181+CZ181+CW181+CT181+DL181+DO181+DR181+DU181+DX181</f>
        <v>0.34000000000014552</v>
      </c>
      <c r="EB181" s="433"/>
      <c r="EC181" s="170"/>
      <c r="ED181" s="170"/>
      <c r="EE181" s="170"/>
      <c r="EF181" s="170"/>
      <c r="EG181" s="170"/>
      <c r="EH181" s="170"/>
      <c r="EI181" s="170"/>
      <c r="EJ181" s="170"/>
      <c r="EK181" s="170"/>
    </row>
    <row r="182" spans="1:141" ht="15" x14ac:dyDescent="0.25">
      <c r="A182" s="170"/>
      <c r="B182" s="424"/>
      <c r="C182" s="424"/>
      <c r="D182" s="424"/>
      <c r="E182" s="425"/>
      <c r="F182" s="493"/>
      <c r="G182" s="2873" t="str">
        <f t="shared" si="659"/>
        <v>In Service Dollars / Land costs</v>
      </c>
      <c r="H182" s="2873"/>
      <c r="I182" s="1310"/>
      <c r="J182" s="1687"/>
      <c r="K182" s="1311"/>
      <c r="L182" s="1312"/>
      <c r="M182" s="1687"/>
      <c r="N182" s="1313"/>
      <c r="O182" s="1312"/>
      <c r="P182" s="1685"/>
      <c r="Q182" s="1313"/>
      <c r="R182" s="1312"/>
      <c r="S182" s="1685"/>
      <c r="T182" s="1313"/>
      <c r="U182" s="1312"/>
      <c r="V182" s="1685"/>
      <c r="W182" s="1313"/>
      <c r="X182" s="1312"/>
      <c r="Y182" s="1685"/>
      <c r="Z182" s="1313"/>
      <c r="AA182" s="1312"/>
      <c r="AB182" s="1685"/>
      <c r="AC182" s="1313"/>
      <c r="AD182" s="1312"/>
      <c r="AE182" s="1685"/>
      <c r="AF182" s="1313"/>
      <c r="AG182" s="1312"/>
      <c r="AH182" s="1685"/>
      <c r="AI182" s="1313"/>
      <c r="AJ182" s="1312"/>
      <c r="AK182" s="1685"/>
      <c r="AL182" s="1313"/>
      <c r="AM182" s="1312"/>
      <c r="AN182" s="1685"/>
      <c r="AO182" s="1313"/>
      <c r="AP182" s="1312"/>
      <c r="AQ182" s="1685"/>
      <c r="AR182" s="1313">
        <f t="shared" ref="AR182:AR184" si="716">+Z182+W182+T182+Q182+N182+K182+AC182+AF182+AI182+AL182+AO182</f>
        <v>0</v>
      </c>
      <c r="AS182" s="1312">
        <f t="shared" ref="AS182:AS184" si="717">+AA182+X182+U182+R182+O182+L182+AD182+AG182+AJ182+AM182+AP182</f>
        <v>0</v>
      </c>
      <c r="AT182" s="1687"/>
      <c r="AU182" s="411"/>
      <c r="AV182" s="1757"/>
      <c r="AW182" s="411"/>
      <c r="AX182" s="493"/>
      <c r="AY182" s="1561" t="s">
        <v>3428</v>
      </c>
      <c r="AZ182" s="1561"/>
      <c r="BA182" s="1270"/>
      <c r="BB182" s="1632"/>
      <c r="BC182" s="1592"/>
      <c r="BE182" s="1632"/>
      <c r="BF182" s="1593">
        <f>+BG362</f>
        <v>0</v>
      </c>
      <c r="BH182" s="1632"/>
      <c r="BI182" s="1593">
        <f>+BJ362</f>
        <v>0</v>
      </c>
      <c r="BK182" s="1632"/>
      <c r="BL182" s="1593">
        <f>+BM362</f>
        <v>0</v>
      </c>
      <c r="BN182" s="1632"/>
      <c r="BO182" s="1593">
        <f>+BP362</f>
        <v>0</v>
      </c>
      <c r="BQ182" s="1632"/>
      <c r="BR182" s="1593">
        <f>+BS362</f>
        <v>0</v>
      </c>
      <c r="BT182" s="1632"/>
      <c r="BU182" s="1593">
        <f>+BV362</f>
        <v>0</v>
      </c>
      <c r="BW182" s="1632"/>
      <c r="BX182" s="1593">
        <f>+BY362</f>
        <v>0</v>
      </c>
      <c r="BZ182" s="1632"/>
      <c r="CA182" s="1593">
        <f>+CB362</f>
        <v>0</v>
      </c>
      <c r="CC182" s="1632"/>
      <c r="CD182" s="1593">
        <f>+CE362</f>
        <v>0</v>
      </c>
      <c r="CF182" s="1632"/>
      <c r="CG182" s="1593">
        <f>+CH362</f>
        <v>0</v>
      </c>
      <c r="CI182" s="1632"/>
      <c r="CJ182" s="1257">
        <f t="shared" ref="CJ182:CJ184" si="718">+BR182+BO182+BL182+BI182+BF182+BC182+BU182+BX182+CA182+CD182+CG182</f>
        <v>0</v>
      </c>
      <c r="CK182" s="1395">
        <f t="shared" ref="CK182:CK184" si="719">+BS182+BP182+BM182+BJ182+BG182+BD182+BV182+BY182+CB182+CE182+CH182</f>
        <v>0</v>
      </c>
      <c r="CL182" s="1740"/>
      <c r="CM182" s="170"/>
      <c r="CN182" s="493"/>
      <c r="CO182" s="494"/>
      <c r="CP182" s="494"/>
      <c r="CQ182" s="533"/>
      <c r="CR182" s="1703"/>
      <c r="CS182" s="435"/>
      <c r="CT182" s="510"/>
      <c r="CU182" s="1703"/>
      <c r="CV182" s="435"/>
      <c r="CW182" s="434"/>
      <c r="CX182" s="443"/>
      <c r="CY182" s="432"/>
      <c r="CZ182" s="434"/>
      <c r="DA182" s="443"/>
      <c r="DB182" s="432"/>
      <c r="DC182" s="434"/>
      <c r="DD182" s="443"/>
      <c r="DE182" s="432"/>
      <c r="DF182" s="434"/>
      <c r="DG182" s="443"/>
      <c r="DH182" s="432"/>
      <c r="DI182" s="434"/>
      <c r="DJ182" s="443"/>
      <c r="DK182" s="432"/>
      <c r="DL182" s="434"/>
      <c r="DM182" s="443"/>
      <c r="DN182" s="432"/>
      <c r="DO182" s="434"/>
      <c r="DP182" s="443"/>
      <c r="DQ182" s="432"/>
      <c r="DR182" s="434"/>
      <c r="DS182" s="443"/>
      <c r="DT182" s="432"/>
      <c r="DU182" s="434"/>
      <c r="DV182" s="443"/>
      <c r="DW182" s="432"/>
      <c r="DX182" s="434"/>
      <c r="DY182" s="443"/>
      <c r="DZ182" s="432">
        <f t="shared" ref="DZ182:DZ184" si="720">+DH182+DE182+DB182+CY182+CV182+CS182+DK182+DN182+DQ182+DT182+DW182</f>
        <v>0</v>
      </c>
      <c r="EA182" s="444">
        <f t="shared" ref="EA182:EA184" si="721">+DI182+DF182+DC182+CZ182+CW182+CT182+DL182+DO182+DR182+DU182+DX182</f>
        <v>0</v>
      </c>
      <c r="EB182" s="433"/>
      <c r="EC182" s="170"/>
      <c r="ED182" s="170"/>
      <c r="EE182" s="170"/>
      <c r="EF182" s="170"/>
      <c r="EG182" s="170"/>
      <c r="EH182" s="170"/>
      <c r="EI182" s="170"/>
      <c r="EJ182" s="170"/>
      <c r="EK182" s="170"/>
    </row>
    <row r="183" spans="1:141" ht="15" x14ac:dyDescent="0.25">
      <c r="A183" s="170"/>
      <c r="B183" s="424">
        <v>7</v>
      </c>
      <c r="C183" s="424">
        <v>11</v>
      </c>
      <c r="D183" s="424">
        <v>8</v>
      </c>
      <c r="E183" s="425">
        <v>14</v>
      </c>
      <c r="F183" s="493"/>
      <c r="G183" s="2874" t="str">
        <f t="shared" si="659"/>
        <v>Cumulative IS$ &amp; Land Costs</v>
      </c>
      <c r="H183" s="2873"/>
      <c r="I183" s="1310"/>
      <c r="J183" s="1687"/>
      <c r="K183" s="1311">
        <f t="shared" ref="K183:L183" si="722">+BC183</f>
        <v>0</v>
      </c>
      <c r="L183" s="1312">
        <f t="shared" si="722"/>
        <v>0</v>
      </c>
      <c r="M183" s="1687"/>
      <c r="N183" s="1313">
        <f t="shared" ref="N183" si="723">+BF183</f>
        <v>0</v>
      </c>
      <c r="O183" s="1312">
        <f>+BG183+CW183</f>
        <v>0</v>
      </c>
      <c r="P183" s="1685"/>
      <c r="Q183" s="1313">
        <f t="shared" ref="Q183" si="724">+BI183</f>
        <v>0</v>
      </c>
      <c r="R183" s="1312">
        <f>+BJ183+CZ183</f>
        <v>0</v>
      </c>
      <c r="S183" s="1685"/>
      <c r="T183" s="1313">
        <f t="shared" ref="T183" si="725">+BL183</f>
        <v>0</v>
      </c>
      <c r="U183" s="1312">
        <f>+BM183+DC183</f>
        <v>0</v>
      </c>
      <c r="V183" s="1685"/>
      <c r="W183" s="1313">
        <f t="shared" ref="W183" si="726">+BO183</f>
        <v>0</v>
      </c>
      <c r="X183" s="1312">
        <f>+BP183+DF183</f>
        <v>0</v>
      </c>
      <c r="Y183" s="1685"/>
      <c r="Z183" s="1313">
        <f t="shared" ref="Z183" si="727">+BR183</f>
        <v>0</v>
      </c>
      <c r="AA183" s="1312">
        <f>+BS183+DI183</f>
        <v>0</v>
      </c>
      <c r="AB183" s="1685"/>
      <c r="AC183" s="1313">
        <f t="shared" ref="AC183" si="728">+BU183</f>
        <v>0</v>
      </c>
      <c r="AD183" s="1312">
        <f>+BV183+DL183</f>
        <v>0</v>
      </c>
      <c r="AE183" s="1685"/>
      <c r="AF183" s="1313">
        <f t="shared" ref="AF183:AF184" si="729">+BX183</f>
        <v>0</v>
      </c>
      <c r="AG183" s="1312">
        <f>+BY183+DO183</f>
        <v>0</v>
      </c>
      <c r="AH183" s="1685"/>
      <c r="AI183" s="1313">
        <f t="shared" ref="AI183:AI184" si="730">+CA183</f>
        <v>0</v>
      </c>
      <c r="AJ183" s="1312">
        <f>+CB183+DR183</f>
        <v>0</v>
      </c>
      <c r="AK183" s="1685"/>
      <c r="AL183" s="1313">
        <f t="shared" ref="AL183:AL184" si="731">+CD183</f>
        <v>0</v>
      </c>
      <c r="AM183" s="1312">
        <f>+CE183+DU183</f>
        <v>0</v>
      </c>
      <c r="AN183" s="1685"/>
      <c r="AO183" s="1313">
        <f t="shared" ref="AO183:AO184" si="732">+CG183</f>
        <v>0</v>
      </c>
      <c r="AP183" s="1312">
        <f>+CH183+DX183</f>
        <v>0</v>
      </c>
      <c r="AQ183" s="1685"/>
      <c r="AR183" s="1313">
        <f t="shared" si="716"/>
        <v>0</v>
      </c>
      <c r="AS183" s="1312">
        <f t="shared" si="717"/>
        <v>0</v>
      </c>
      <c r="AT183" s="1687"/>
      <c r="AU183" s="411"/>
      <c r="AV183" s="1757"/>
      <c r="AW183" s="411"/>
      <c r="AX183" s="493"/>
      <c r="AY183" s="2874" t="s">
        <v>3429</v>
      </c>
      <c r="AZ183" s="2873"/>
      <c r="BA183" s="1270"/>
      <c r="BB183" s="1632"/>
      <c r="BC183" s="1627"/>
      <c r="BE183" s="1632"/>
      <c r="BF183" s="1528">
        <f>BD183+BF182</f>
        <v>0</v>
      </c>
      <c r="BH183" s="1632"/>
      <c r="BI183" s="1528">
        <f>BF183+BI182</f>
        <v>0</v>
      </c>
      <c r="BJ183" s="1544"/>
      <c r="BK183" s="1632"/>
      <c r="BL183" s="1528">
        <f>BI183+BL182</f>
        <v>0</v>
      </c>
      <c r="BM183" s="1544"/>
      <c r="BN183" s="1632"/>
      <c r="BO183" s="1528">
        <f>BL183+BO182</f>
        <v>0</v>
      </c>
      <c r="BP183" s="1544"/>
      <c r="BQ183" s="1632"/>
      <c r="BR183" s="1528">
        <f>BO183+BR182</f>
        <v>0</v>
      </c>
      <c r="BS183" s="1544"/>
      <c r="BT183" s="1632"/>
      <c r="BU183" s="1528">
        <f>BR183+BU182</f>
        <v>0</v>
      </c>
      <c r="BV183" s="1544"/>
      <c r="BW183" s="1632"/>
      <c r="BX183" s="1528">
        <f>BU183+BX182</f>
        <v>0</v>
      </c>
      <c r="BY183" s="1544"/>
      <c r="BZ183" s="1632"/>
      <c r="CA183" s="1528">
        <f>BX183+CA182</f>
        <v>0</v>
      </c>
      <c r="CB183" s="1544"/>
      <c r="CC183" s="1632"/>
      <c r="CD183" s="1528">
        <f>CA183+CD182</f>
        <v>0</v>
      </c>
      <c r="CE183" s="1544"/>
      <c r="CF183" s="1632"/>
      <c r="CG183" s="1528">
        <f>CD183+CG182</f>
        <v>0</v>
      </c>
      <c r="CH183" s="1544"/>
      <c r="CI183" s="1632"/>
      <c r="CJ183" s="1257">
        <f t="shared" si="718"/>
        <v>0</v>
      </c>
      <c r="CK183" s="1395">
        <f t="shared" si="719"/>
        <v>0</v>
      </c>
      <c r="CL183" s="1740"/>
      <c r="CM183" s="170"/>
      <c r="CN183" s="493"/>
      <c r="CO183" s="2868" t="str">
        <f t="shared" ref="CO183:CO200" si="733">+AY183</f>
        <v>Cumulative IS$ &amp; Land Costs</v>
      </c>
      <c r="CP183" s="2869"/>
      <c r="CQ183" s="533"/>
      <c r="CR183" s="1703"/>
      <c r="CS183" s="435"/>
      <c r="CT183" s="510">
        <f>L183-BD183</f>
        <v>0</v>
      </c>
      <c r="CU183" s="1703"/>
      <c r="CV183" s="435"/>
      <c r="CW183" s="434">
        <f>ROUND((+BF183*(1+CW$4)),0)-BF183</f>
        <v>0</v>
      </c>
      <c r="CX183" s="443"/>
      <c r="CY183" s="432">
        <v>0</v>
      </c>
      <c r="CZ183" s="434">
        <f>ROUND((+BJ183*(1+CZ$4)),0)-BJ183</f>
        <v>0</v>
      </c>
      <c r="DA183" s="443"/>
      <c r="DB183" s="432">
        <v>0</v>
      </c>
      <c r="DC183" s="434">
        <f>ROUND((+BM183*(1+DC$4)),0)-BM183</f>
        <v>0</v>
      </c>
      <c r="DD183" s="443"/>
      <c r="DE183" s="432">
        <v>0</v>
      </c>
      <c r="DF183" s="434">
        <f>ROUND((+BP183*(1+DF$4)),0)-BP183</f>
        <v>0</v>
      </c>
      <c r="DG183" s="443"/>
      <c r="DH183" s="432">
        <v>0</v>
      </c>
      <c r="DI183" s="434">
        <f>ROUND((+BS183*(1+DI$4)),0)-BS183</f>
        <v>0</v>
      </c>
      <c r="DJ183" s="443"/>
      <c r="DK183" s="432">
        <v>0</v>
      </c>
      <c r="DL183" s="434">
        <f>ROUND((+BV183*(1+DL$4)),0)-BV183</f>
        <v>0</v>
      </c>
      <c r="DM183" s="443"/>
      <c r="DN183" s="432">
        <v>0</v>
      </c>
      <c r="DO183" s="434">
        <f>ROUND((+BY183*(1+DO$4)),0)-BY183</f>
        <v>0</v>
      </c>
      <c r="DP183" s="443"/>
      <c r="DQ183" s="432">
        <v>0</v>
      </c>
      <c r="DR183" s="434">
        <f>ROUND((+CB183*(1+DR$4)),0)-CB183</f>
        <v>0</v>
      </c>
      <c r="DS183" s="443"/>
      <c r="DT183" s="432">
        <v>0</v>
      </c>
      <c r="DU183" s="434">
        <f>ROUND((+CE183*(1+DU$4)),0)-CE183</f>
        <v>0</v>
      </c>
      <c r="DV183" s="443"/>
      <c r="DW183" s="432">
        <v>0</v>
      </c>
      <c r="DX183" s="434">
        <f>ROUND((+CH183*(1+DX$4)),0)-CH183</f>
        <v>0</v>
      </c>
      <c r="DY183" s="443"/>
      <c r="DZ183" s="432">
        <f t="shared" si="720"/>
        <v>0</v>
      </c>
      <c r="EA183" s="444">
        <f t="shared" si="721"/>
        <v>0</v>
      </c>
      <c r="EB183" s="433"/>
      <c r="EC183" s="170"/>
      <c r="ED183" s="170"/>
      <c r="EE183" s="170"/>
      <c r="EF183" s="170"/>
      <c r="EG183" s="170"/>
      <c r="EH183" s="170"/>
      <c r="EI183" s="170"/>
      <c r="EJ183" s="170"/>
      <c r="EK183" s="170"/>
    </row>
    <row r="184" spans="1:141" ht="15" x14ac:dyDescent="0.25">
      <c r="A184" s="170"/>
      <c r="B184" s="424">
        <v>7</v>
      </c>
      <c r="C184" s="424">
        <v>11</v>
      </c>
      <c r="D184" s="424">
        <v>8</v>
      </c>
      <c r="E184" s="425">
        <v>14</v>
      </c>
      <c r="F184" s="493"/>
      <c r="G184" s="2866">
        <f t="shared" si="659"/>
        <v>0</v>
      </c>
      <c r="H184" s="2867"/>
      <c r="I184" s="1310"/>
      <c r="J184" s="1687"/>
      <c r="K184" s="1311">
        <f t="shared" si="699"/>
        <v>0</v>
      </c>
      <c r="L184" s="1312">
        <f t="shared" si="700"/>
        <v>0</v>
      </c>
      <c r="M184" s="1687"/>
      <c r="N184" s="1325"/>
      <c r="O184" s="1312">
        <f>+BG184+CW184</f>
        <v>0</v>
      </c>
      <c r="P184" s="1685"/>
      <c r="Q184" s="1313">
        <f t="shared" si="701"/>
        <v>0</v>
      </c>
      <c r="R184" s="1312">
        <f>+BJ184+CZ184</f>
        <v>0</v>
      </c>
      <c r="S184" s="1685"/>
      <c r="T184" s="1313">
        <f t="shared" si="702"/>
        <v>0</v>
      </c>
      <c r="U184" s="1312">
        <f>+BM184+DC184</f>
        <v>0</v>
      </c>
      <c r="V184" s="1685"/>
      <c r="W184" s="1313">
        <f t="shared" si="703"/>
        <v>0</v>
      </c>
      <c r="X184" s="1312">
        <f>+BP184+DF184</f>
        <v>0</v>
      </c>
      <c r="Y184" s="1685"/>
      <c r="Z184" s="1313">
        <f t="shared" si="704"/>
        <v>0</v>
      </c>
      <c r="AA184" s="1312">
        <f>+BS184+DI184</f>
        <v>0</v>
      </c>
      <c r="AB184" s="1685"/>
      <c r="AC184" s="1313">
        <f t="shared" si="705"/>
        <v>0</v>
      </c>
      <c r="AD184" s="1312">
        <f>+BV184+DL184</f>
        <v>0</v>
      </c>
      <c r="AE184" s="1685"/>
      <c r="AF184" s="1313">
        <f t="shared" si="729"/>
        <v>0</v>
      </c>
      <c r="AG184" s="1312">
        <f>+BY184+DO184</f>
        <v>0</v>
      </c>
      <c r="AH184" s="1685"/>
      <c r="AI184" s="1313">
        <f t="shared" si="730"/>
        <v>0</v>
      </c>
      <c r="AJ184" s="1312">
        <f>+CB184+DR184</f>
        <v>0</v>
      </c>
      <c r="AK184" s="1685"/>
      <c r="AL184" s="1313">
        <f t="shared" si="731"/>
        <v>0</v>
      </c>
      <c r="AM184" s="1312">
        <f>+CE184+DU184</f>
        <v>0</v>
      </c>
      <c r="AN184" s="1685"/>
      <c r="AO184" s="1313">
        <f t="shared" si="732"/>
        <v>0</v>
      </c>
      <c r="AP184" s="1312">
        <f>+CH184+DX184</f>
        <v>0</v>
      </c>
      <c r="AQ184" s="1685"/>
      <c r="AR184" s="1313">
        <f t="shared" si="716"/>
        <v>0</v>
      </c>
      <c r="AS184" s="1312">
        <f t="shared" si="717"/>
        <v>0</v>
      </c>
      <c r="AT184" s="1687"/>
      <c r="AU184" s="411"/>
      <c r="AV184" s="1757">
        <f t="shared" ref="AV184:AV201" si="734">+CK184+EA184</f>
        <v>0</v>
      </c>
      <c r="AW184" s="411"/>
      <c r="AX184" s="493"/>
      <c r="AY184" s="2866"/>
      <c r="AZ184" s="2867"/>
      <c r="BA184" s="1270"/>
      <c r="BB184" s="1632"/>
      <c r="BC184" s="1627"/>
      <c r="BD184" s="1598"/>
      <c r="BE184" s="1632"/>
      <c r="BF184" s="1650"/>
      <c r="BG184" s="1544"/>
      <c r="BH184" s="1632"/>
      <c r="BI184" s="1650"/>
      <c r="BJ184" s="1544"/>
      <c r="BK184" s="1632"/>
      <c r="BL184" s="1650"/>
      <c r="BM184" s="1544"/>
      <c r="BN184" s="1632"/>
      <c r="BO184" s="1650"/>
      <c r="BP184" s="1544"/>
      <c r="BQ184" s="1632"/>
      <c r="BR184" s="1650"/>
      <c r="BS184" s="1544"/>
      <c r="BT184" s="1632"/>
      <c r="BU184" s="1650"/>
      <c r="BV184" s="1544"/>
      <c r="BW184" s="1632"/>
      <c r="BX184" s="1650"/>
      <c r="BY184" s="1544"/>
      <c r="BZ184" s="1632"/>
      <c r="CA184" s="1650"/>
      <c r="CB184" s="1544"/>
      <c r="CC184" s="1632"/>
      <c r="CD184" s="1650"/>
      <c r="CE184" s="1544"/>
      <c r="CF184" s="1632"/>
      <c r="CG184" s="1650"/>
      <c r="CH184" s="1544"/>
      <c r="CI184" s="1632"/>
      <c r="CJ184" s="1257">
        <f t="shared" si="718"/>
        <v>0</v>
      </c>
      <c r="CK184" s="1395">
        <f t="shared" si="719"/>
        <v>0</v>
      </c>
      <c r="CL184" s="1740"/>
      <c r="CM184" s="170"/>
      <c r="CN184" s="493"/>
      <c r="CO184" s="2870">
        <f t="shared" si="733"/>
        <v>0</v>
      </c>
      <c r="CP184" s="2871"/>
      <c r="CQ184" s="533"/>
      <c r="CR184" s="1703"/>
      <c r="CS184" s="435"/>
      <c r="CT184" s="510">
        <f>L184-BD184</f>
        <v>0</v>
      </c>
      <c r="CU184" s="1703"/>
      <c r="CV184" s="435"/>
      <c r="CW184" s="434">
        <f>ROUND((+BG184*(1+CW$4)),0)-BG184</f>
        <v>0</v>
      </c>
      <c r="CX184" s="443"/>
      <c r="CY184" s="432">
        <v>0</v>
      </c>
      <c r="CZ184" s="434">
        <f>ROUND((+BJ184*(1+CZ$4)),0)-BJ184</f>
        <v>0</v>
      </c>
      <c r="DA184" s="443"/>
      <c r="DB184" s="432">
        <v>0</v>
      </c>
      <c r="DC184" s="434">
        <f>ROUND((+BM184*(1+DC$4)),0)-BM184</f>
        <v>0</v>
      </c>
      <c r="DD184" s="443"/>
      <c r="DE184" s="432">
        <v>0</v>
      </c>
      <c r="DF184" s="434">
        <f>ROUND((+BP184*(1+DF$4)),0)-BP184</f>
        <v>0</v>
      </c>
      <c r="DG184" s="443"/>
      <c r="DH184" s="432">
        <v>0</v>
      </c>
      <c r="DI184" s="434">
        <f>ROUND((+BS184*(1+DI$4)),0)-BS184</f>
        <v>0</v>
      </c>
      <c r="DJ184" s="443"/>
      <c r="DK184" s="432">
        <v>0</v>
      </c>
      <c r="DL184" s="434">
        <f>ROUND((+BV184*(1+DL$4)),0)-BV184</f>
        <v>0</v>
      </c>
      <c r="DM184" s="443"/>
      <c r="DN184" s="432">
        <v>0</v>
      </c>
      <c r="DO184" s="434">
        <f>ROUND((+BY184*(1+DO$4)),0)-BY184</f>
        <v>0</v>
      </c>
      <c r="DP184" s="443"/>
      <c r="DQ184" s="432">
        <v>0</v>
      </c>
      <c r="DR184" s="434">
        <f>ROUND((+CB184*(1+DR$4)),0)-CB184</f>
        <v>0</v>
      </c>
      <c r="DS184" s="443"/>
      <c r="DT184" s="432">
        <v>0</v>
      </c>
      <c r="DU184" s="434">
        <f>ROUND((+CE184*(1+DU$4)),0)-CE184</f>
        <v>0</v>
      </c>
      <c r="DV184" s="443"/>
      <c r="DW184" s="432">
        <v>0</v>
      </c>
      <c r="DX184" s="434">
        <f>ROUND((+CH184*(1+DX$4)),0)-CH184</f>
        <v>0</v>
      </c>
      <c r="DY184" s="443"/>
      <c r="DZ184" s="432">
        <f t="shared" si="720"/>
        <v>0</v>
      </c>
      <c r="EA184" s="444">
        <f t="shared" si="721"/>
        <v>0</v>
      </c>
      <c r="EB184" s="433"/>
      <c r="EC184" s="170"/>
      <c r="ED184" s="170"/>
      <c r="EE184" s="170"/>
      <c r="EF184" s="170"/>
      <c r="EG184" s="170"/>
      <c r="EH184" s="170"/>
      <c r="EI184" s="170"/>
      <c r="EJ184" s="170"/>
      <c r="EK184" s="170"/>
    </row>
    <row r="185" spans="1:141" ht="15" x14ac:dyDescent="0.25">
      <c r="A185" s="170"/>
      <c r="B185" s="472"/>
      <c r="C185" s="472"/>
      <c r="D185" s="472"/>
      <c r="E185" s="170"/>
      <c r="F185" s="493"/>
      <c r="G185" s="1545" t="s">
        <v>1447</v>
      </c>
      <c r="H185" s="1546"/>
      <c r="I185" s="1547"/>
      <c r="J185" s="1640"/>
      <c r="K185" s="1548"/>
      <c r="L185" s="1549">
        <f>SUM(L180:L184)</f>
        <v>25374.34</v>
      </c>
      <c r="M185" s="1640"/>
      <c r="N185" s="1550"/>
      <c r="O185" s="1549">
        <f ca="1">SUM(O180:O184)</f>
        <v>1077</v>
      </c>
      <c r="P185" s="1640"/>
      <c r="Q185" s="1550"/>
      <c r="R185" s="1549">
        <f ca="1">SUM(R180:R184)</f>
        <v>26933</v>
      </c>
      <c r="S185" s="1632"/>
      <c r="T185" s="1550"/>
      <c r="U185" s="1549">
        <f ca="1">SUM(U180:U184)</f>
        <v>460696</v>
      </c>
      <c r="V185" s="1632"/>
      <c r="W185" s="1550"/>
      <c r="X185" s="1549">
        <f>SUM(X180:X184)</f>
        <v>1660900</v>
      </c>
      <c r="Y185" s="1632"/>
      <c r="Z185" s="1550"/>
      <c r="AA185" s="1549">
        <f>SUM(AA180:AA184)</f>
        <v>657500</v>
      </c>
      <c r="AB185" s="1632"/>
      <c r="AC185" s="1550"/>
      <c r="AD185" s="1549">
        <f ca="1">SUM(AD180:AD184)</f>
        <v>0</v>
      </c>
      <c r="AE185" s="1632"/>
      <c r="AF185" s="1550"/>
      <c r="AG185" s="1549">
        <f ca="1">SUM(AG180:AG184)</f>
        <v>0</v>
      </c>
      <c r="AH185" s="1632"/>
      <c r="AI185" s="1550"/>
      <c r="AJ185" s="1549">
        <f ca="1">SUM(AJ180:AJ184)</f>
        <v>0</v>
      </c>
      <c r="AK185" s="1632"/>
      <c r="AL185" s="1550"/>
      <c r="AM185" s="1549">
        <f ca="1">SUM(AM180:AM184)</f>
        <v>0</v>
      </c>
      <c r="AN185" s="1632"/>
      <c r="AO185" s="1550"/>
      <c r="AP185" s="1549">
        <f ca="1">SUM(AP180:AP184)</f>
        <v>0</v>
      </c>
      <c r="AQ185" s="1632"/>
      <c r="AR185" s="491"/>
      <c r="AS185" s="1549">
        <f ca="1">SUM(AS180:AS184)</f>
        <v>2832480.34</v>
      </c>
      <c r="AT185" s="1549">
        <f>SUM(AT180:AT184)</f>
        <v>0</v>
      </c>
      <c r="AU185" s="411"/>
      <c r="AV185" s="1757">
        <f t="shared" ca="1" si="734"/>
        <v>2832480.34</v>
      </c>
      <c r="AW185" s="1549">
        <f>SUM(AW180:AW184)</f>
        <v>0</v>
      </c>
      <c r="AX185" s="493"/>
      <c r="AY185" s="1545" t="s">
        <v>1447</v>
      </c>
      <c r="AZ185" s="1546"/>
      <c r="BA185" s="1547"/>
      <c r="BB185" s="1640"/>
      <c r="BC185" s="1548"/>
      <c r="BD185" s="1549">
        <f>SUM(BD180:BD184)</f>
        <v>25374.34</v>
      </c>
      <c r="BE185" s="1640"/>
      <c r="BF185" s="1550"/>
      <c r="BG185" s="1549">
        <f ca="1">SUM(BG180:BG184)</f>
        <v>1076.6599999999999</v>
      </c>
      <c r="BH185" s="1640"/>
      <c r="BI185" s="1550"/>
      <c r="BJ185" s="1549">
        <f ca="1">SUM(BJ180:BJ184)</f>
        <v>26933</v>
      </c>
      <c r="BK185" s="1632"/>
      <c r="BL185" s="1550"/>
      <c r="BM185" s="1549">
        <f ca="1">SUM(BM180:BM184)</f>
        <v>460696</v>
      </c>
      <c r="BN185" s="1632"/>
      <c r="BO185" s="1550"/>
      <c r="BP185" s="1549">
        <f>SUM(BP180:BP184)</f>
        <v>1660900</v>
      </c>
      <c r="BQ185" s="1632"/>
      <c r="BR185" s="1550"/>
      <c r="BS185" s="1549">
        <f>SUM(BS180:BS184)</f>
        <v>657500</v>
      </c>
      <c r="BT185" s="1632"/>
      <c r="BU185" s="1550"/>
      <c r="BV185" s="1549">
        <f ca="1">SUM(BV180:BV184)</f>
        <v>0</v>
      </c>
      <c r="BW185" s="1632"/>
      <c r="BX185" s="1550"/>
      <c r="BY185" s="1549">
        <f ca="1">SUM(BY180:BY184)</f>
        <v>0</v>
      </c>
      <c r="BZ185" s="1632"/>
      <c r="CA185" s="1550"/>
      <c r="CB185" s="1549">
        <f ca="1">SUM(CB180:CB184)</f>
        <v>0</v>
      </c>
      <c r="CC185" s="1632"/>
      <c r="CD185" s="1550"/>
      <c r="CE185" s="1549">
        <f ca="1">SUM(CE180:CE184)</f>
        <v>0</v>
      </c>
      <c r="CF185" s="1632"/>
      <c r="CG185" s="1550"/>
      <c r="CH185" s="1549">
        <f ca="1">SUM(CH180:CH184)</f>
        <v>0</v>
      </c>
      <c r="CI185" s="1632"/>
      <c r="CJ185" s="491"/>
      <c r="CK185" s="1549">
        <f ca="1">SUM(CK180:CK184)</f>
        <v>2832480</v>
      </c>
      <c r="CL185" s="1740"/>
      <c r="CM185" s="170"/>
      <c r="CN185" s="493"/>
      <c r="CO185" s="1617" t="str">
        <f t="shared" si="733"/>
        <v>AFUDC Subtotal</v>
      </c>
      <c r="CP185" s="1618"/>
      <c r="CQ185" s="533"/>
      <c r="CR185" s="1703"/>
      <c r="CS185" s="435"/>
      <c r="CT185" s="1549">
        <f>SUM(CT180:CT184)</f>
        <v>0</v>
      </c>
      <c r="CU185" s="1703"/>
      <c r="CV185" s="435"/>
      <c r="CW185" s="1549">
        <f ca="1">SUM(CW180:CW184)</f>
        <v>0.34000000000014552</v>
      </c>
      <c r="CX185" s="1703"/>
      <c r="CY185" s="435"/>
      <c r="CZ185" s="1549">
        <f>SUM(CZ180:CZ184)</f>
        <v>0</v>
      </c>
      <c r="DA185" s="1703"/>
      <c r="DB185" s="435"/>
      <c r="DC185" s="1549">
        <f>SUM(DC180:DC184)</f>
        <v>0</v>
      </c>
      <c r="DD185" s="1703"/>
      <c r="DE185" s="435"/>
      <c r="DF185" s="1549">
        <f>SUM(DF180:DF184)</f>
        <v>0</v>
      </c>
      <c r="DG185" s="1703"/>
      <c r="DH185" s="435"/>
      <c r="DI185" s="1549">
        <f>SUM(DI180:DI184)</f>
        <v>0</v>
      </c>
      <c r="DJ185" s="1703"/>
      <c r="DK185" s="435"/>
      <c r="DL185" s="1549">
        <f>SUM(DL180:DL184)</f>
        <v>0</v>
      </c>
      <c r="DM185" s="1703"/>
      <c r="DN185" s="435"/>
      <c r="DO185" s="1549">
        <f>SUM(DO180:DO184)</f>
        <v>0</v>
      </c>
      <c r="DP185" s="1703"/>
      <c r="DQ185" s="435"/>
      <c r="DR185" s="1549">
        <f>SUM(DR180:DR184)</f>
        <v>0</v>
      </c>
      <c r="DS185" s="1703"/>
      <c r="DT185" s="435"/>
      <c r="DU185" s="1549">
        <f>SUM(DU180:DU184)</f>
        <v>0</v>
      </c>
      <c r="DV185" s="1703"/>
      <c r="DW185" s="435"/>
      <c r="DX185" s="1549">
        <f>SUM(DX180:DX184)</f>
        <v>0</v>
      </c>
      <c r="DY185" s="1703"/>
      <c r="DZ185" s="435"/>
      <c r="EA185" s="1551">
        <f ca="1">SUM(EA180:EA184)</f>
        <v>0.34000000000014552</v>
      </c>
      <c r="EB185" s="433"/>
      <c r="EC185" s="170"/>
      <c r="ED185" s="170"/>
      <c r="EE185" s="170"/>
      <c r="EF185" s="170"/>
      <c r="EG185" s="170"/>
      <c r="EH185" s="170"/>
      <c r="EI185" s="170"/>
      <c r="EJ185" s="170"/>
      <c r="EK185" s="170"/>
    </row>
    <row r="186" spans="1:141" ht="15" x14ac:dyDescent="0.25">
      <c r="A186" s="170"/>
      <c r="B186" s="472"/>
      <c r="C186" s="472"/>
      <c r="D186" s="472"/>
      <c r="E186" s="170"/>
      <c r="F186" s="493"/>
      <c r="G186" s="377"/>
      <c r="H186" s="488"/>
      <c r="I186" s="1270"/>
      <c r="J186" s="1632"/>
      <c r="K186" s="491"/>
      <c r="L186" s="1527"/>
      <c r="M186" s="1632"/>
      <c r="N186" s="1471"/>
      <c r="O186" s="1527"/>
      <c r="P186" s="1632"/>
      <c r="Q186" s="1471"/>
      <c r="R186" s="1527"/>
      <c r="S186" s="1632"/>
      <c r="T186" s="1471"/>
      <c r="U186" s="1527"/>
      <c r="V186" s="1632"/>
      <c r="W186" s="1471"/>
      <c r="X186" s="1527"/>
      <c r="Y186" s="1632"/>
      <c r="Z186" s="1471"/>
      <c r="AA186" s="1527"/>
      <c r="AB186" s="1632"/>
      <c r="AC186" s="1471"/>
      <c r="AD186" s="1527"/>
      <c r="AE186" s="1632"/>
      <c r="AF186" s="1471"/>
      <c r="AG186" s="1527"/>
      <c r="AH186" s="1632"/>
      <c r="AI186" s="1471"/>
      <c r="AJ186" s="1527"/>
      <c r="AK186" s="1632"/>
      <c r="AL186" s="1471"/>
      <c r="AM186" s="1527"/>
      <c r="AN186" s="1632"/>
      <c r="AO186" s="1471"/>
      <c r="AP186" s="1527"/>
      <c r="AQ186" s="1632"/>
      <c r="AR186" s="491"/>
      <c r="AS186" s="1271"/>
      <c r="AT186" s="1527"/>
      <c r="AU186" s="411"/>
      <c r="AV186" s="1757">
        <f t="shared" si="734"/>
        <v>0</v>
      </c>
      <c r="AW186" s="1271"/>
      <c r="AX186" s="493"/>
      <c r="AY186" s="377"/>
      <c r="AZ186" s="488"/>
      <c r="BA186" s="1270"/>
      <c r="BB186" s="1632"/>
      <c r="BC186" s="491"/>
      <c r="BD186" s="1527"/>
      <c r="BE186" s="1632"/>
      <c r="BF186" s="1471"/>
      <c r="BG186" s="1527"/>
      <c r="BH186" s="1632"/>
      <c r="BI186" s="1471"/>
      <c r="BJ186" s="1527"/>
      <c r="BK186" s="1632"/>
      <c r="BL186" s="1471"/>
      <c r="BM186" s="1527"/>
      <c r="BN186" s="1632"/>
      <c r="BO186" s="1471"/>
      <c r="BP186" s="1527"/>
      <c r="BQ186" s="1632"/>
      <c r="BR186" s="1471"/>
      <c r="BS186" s="1527"/>
      <c r="BT186" s="1632"/>
      <c r="BU186" s="1471"/>
      <c r="BV186" s="1527"/>
      <c r="BW186" s="1632"/>
      <c r="BX186" s="1471"/>
      <c r="BY186" s="1527"/>
      <c r="BZ186" s="1632"/>
      <c r="CA186" s="1471"/>
      <c r="CB186" s="1527"/>
      <c r="CC186" s="1632"/>
      <c r="CD186" s="1471"/>
      <c r="CE186" s="1527"/>
      <c r="CF186" s="1632"/>
      <c r="CG186" s="1471"/>
      <c r="CH186" s="1527"/>
      <c r="CI186" s="1632"/>
      <c r="CJ186" s="491"/>
      <c r="CK186" s="1271"/>
      <c r="CL186" s="1740"/>
      <c r="CM186" s="170"/>
      <c r="CN186" s="493"/>
      <c r="CO186" s="384">
        <f t="shared" si="733"/>
        <v>0</v>
      </c>
      <c r="CP186" s="494"/>
      <c r="CQ186" s="533"/>
      <c r="CR186" s="1703"/>
      <c r="CS186" s="435"/>
      <c r="CT186" s="1271"/>
      <c r="CU186" s="1703"/>
      <c r="CV186" s="435"/>
      <c r="CW186" s="1271"/>
      <c r="CX186" s="1703"/>
      <c r="CY186" s="435"/>
      <c r="CZ186" s="1271"/>
      <c r="DA186" s="1703"/>
      <c r="DB186" s="435"/>
      <c r="DC186" s="1271"/>
      <c r="DD186" s="1703"/>
      <c r="DE186" s="435"/>
      <c r="DF186" s="1271"/>
      <c r="DG186" s="1703"/>
      <c r="DH186" s="435"/>
      <c r="DI186" s="1271"/>
      <c r="DJ186" s="1703"/>
      <c r="DK186" s="435"/>
      <c r="DL186" s="1271"/>
      <c r="DM186" s="1703"/>
      <c r="DN186" s="435"/>
      <c r="DO186" s="1271"/>
      <c r="DP186" s="1703"/>
      <c r="DQ186" s="435"/>
      <c r="DR186" s="1271"/>
      <c r="DS186" s="1703"/>
      <c r="DT186" s="435"/>
      <c r="DU186" s="1271"/>
      <c r="DV186" s="1703"/>
      <c r="DW186" s="435"/>
      <c r="DX186" s="1271"/>
      <c r="DY186" s="1703"/>
      <c r="DZ186" s="435"/>
      <c r="EA186" s="1752"/>
      <c r="EB186" s="433"/>
      <c r="EC186" s="170"/>
      <c r="ED186" s="170"/>
      <c r="EE186" s="170"/>
      <c r="EF186" s="170"/>
      <c r="EG186" s="170"/>
      <c r="EH186" s="170"/>
      <c r="EI186" s="170"/>
      <c r="EJ186" s="170"/>
      <c r="EK186" s="170"/>
    </row>
    <row r="187" spans="1:141" ht="15.75" thickBot="1" x14ac:dyDescent="0.3">
      <c r="A187" s="170"/>
      <c r="B187" s="472"/>
      <c r="C187" s="472"/>
      <c r="D187" s="472"/>
      <c r="E187" s="170"/>
      <c r="F187" s="493"/>
      <c r="G187" s="377"/>
      <c r="H187" s="488"/>
      <c r="I187" s="1270"/>
      <c r="J187" s="1632"/>
      <c r="K187" s="491"/>
      <c r="L187" s="1527"/>
      <c r="M187" s="1632"/>
      <c r="N187" s="1471"/>
      <c r="O187" s="1527"/>
      <c r="P187" s="1632"/>
      <c r="Q187" s="1471"/>
      <c r="R187" s="1527"/>
      <c r="S187" s="1632"/>
      <c r="T187" s="1471"/>
      <c r="U187" s="1527"/>
      <c r="V187" s="1632"/>
      <c r="W187" s="1471"/>
      <c r="X187" s="1527"/>
      <c r="Y187" s="1632"/>
      <c r="Z187" s="1471"/>
      <c r="AA187" s="1527"/>
      <c r="AB187" s="1632"/>
      <c r="AC187" s="1471"/>
      <c r="AD187" s="1527"/>
      <c r="AE187" s="1632"/>
      <c r="AF187" s="1471"/>
      <c r="AG187" s="1527"/>
      <c r="AH187" s="1632"/>
      <c r="AI187" s="1471"/>
      <c r="AJ187" s="1527"/>
      <c r="AK187" s="1632"/>
      <c r="AL187" s="1471"/>
      <c r="AM187" s="1527"/>
      <c r="AN187" s="1632"/>
      <c r="AO187" s="1471"/>
      <c r="AP187" s="1527"/>
      <c r="AQ187" s="1632"/>
      <c r="AR187" s="491"/>
      <c r="AS187" s="1271"/>
      <c r="AT187" s="1527"/>
      <c r="AU187" s="411"/>
      <c r="AV187" s="1757">
        <f t="shared" si="734"/>
        <v>0</v>
      </c>
      <c r="AW187" s="1271"/>
      <c r="AX187" s="493"/>
      <c r="AY187" s="377"/>
      <c r="AZ187" s="488"/>
      <c r="BA187" s="1270"/>
      <c r="BB187" s="1632"/>
      <c r="BC187" s="491"/>
      <c r="BD187" s="1527"/>
      <c r="BE187" s="1632"/>
      <c r="BF187" s="1471"/>
      <c r="BG187" s="1527"/>
      <c r="BH187" s="1632"/>
      <c r="BI187" s="1471"/>
      <c r="BJ187" s="1527"/>
      <c r="BK187" s="1632"/>
      <c r="BL187" s="1471"/>
      <c r="BM187" s="1527"/>
      <c r="BN187" s="1632"/>
      <c r="BO187" s="1471"/>
      <c r="BP187" s="1527"/>
      <c r="BQ187" s="1632"/>
      <c r="BR187" s="1471"/>
      <c r="BS187" s="1527"/>
      <c r="BT187" s="1632"/>
      <c r="BU187" s="1471"/>
      <c r="BV187" s="1527"/>
      <c r="BW187" s="1632"/>
      <c r="BX187" s="1471"/>
      <c r="BY187" s="1527"/>
      <c r="BZ187" s="1632"/>
      <c r="CA187" s="1471"/>
      <c r="CB187" s="1527"/>
      <c r="CC187" s="1632"/>
      <c r="CD187" s="1471"/>
      <c r="CE187" s="1527"/>
      <c r="CF187" s="1632"/>
      <c r="CG187" s="1471"/>
      <c r="CH187" s="1527"/>
      <c r="CI187" s="1632"/>
      <c r="CJ187" s="491"/>
      <c r="CK187" s="1271"/>
      <c r="CL187" s="1740"/>
      <c r="CM187" s="170"/>
      <c r="CN187" s="493"/>
      <c r="CO187" s="384">
        <f t="shared" si="733"/>
        <v>0</v>
      </c>
      <c r="CP187" s="494"/>
      <c r="CQ187" s="533"/>
      <c r="CR187" s="1703"/>
      <c r="CS187" s="435"/>
      <c r="CT187" s="1271"/>
      <c r="CU187" s="1703"/>
      <c r="CV187" s="435"/>
      <c r="CW187" s="1271"/>
      <c r="CX187" s="1703"/>
      <c r="CY187" s="435"/>
      <c r="CZ187" s="1271"/>
      <c r="DA187" s="1703"/>
      <c r="DB187" s="435"/>
      <c r="DC187" s="1271"/>
      <c r="DD187" s="1703"/>
      <c r="DE187" s="435"/>
      <c r="DF187" s="1271"/>
      <c r="DG187" s="1703"/>
      <c r="DH187" s="435"/>
      <c r="DI187" s="1271"/>
      <c r="DJ187" s="1703"/>
      <c r="DK187" s="435"/>
      <c r="DL187" s="1271"/>
      <c r="DM187" s="1703"/>
      <c r="DN187" s="435"/>
      <c r="DO187" s="1271"/>
      <c r="DP187" s="1703"/>
      <c r="DQ187" s="435"/>
      <c r="DR187" s="1271"/>
      <c r="DS187" s="1703"/>
      <c r="DT187" s="435"/>
      <c r="DU187" s="1271"/>
      <c r="DV187" s="1703"/>
      <c r="DW187" s="435"/>
      <c r="DX187" s="1271"/>
      <c r="DY187" s="1703"/>
      <c r="DZ187" s="435"/>
      <c r="EA187" s="1752"/>
      <c r="EB187" s="433"/>
      <c r="EC187" s="170"/>
      <c r="ED187" s="170"/>
      <c r="EE187" s="170"/>
      <c r="EF187" s="170"/>
      <c r="EG187" s="170"/>
      <c r="EH187" s="170"/>
      <c r="EI187" s="170"/>
      <c r="EJ187" s="170"/>
      <c r="EK187" s="170"/>
    </row>
    <row r="188" spans="1:141" ht="15" x14ac:dyDescent="0.25">
      <c r="A188" s="170"/>
      <c r="B188" s="472"/>
      <c r="C188" s="472"/>
      <c r="D188" s="472"/>
      <c r="E188" s="170"/>
      <c r="F188" s="493"/>
      <c r="G188" s="1534" t="s">
        <v>1451</v>
      </c>
      <c r="H188" s="1535"/>
      <c r="I188" s="1536"/>
      <c r="J188" s="1639"/>
      <c r="K188" s="1626"/>
      <c r="L188" s="1537">
        <f>+L177+L185</f>
        <v>375891.79</v>
      </c>
      <c r="M188" s="1657"/>
      <c r="N188" s="1649"/>
      <c r="O188" s="1537">
        <f ca="1">+O177+O185</f>
        <v>5029</v>
      </c>
      <c r="P188" s="1639"/>
      <c r="Q188" s="1649"/>
      <c r="R188" s="1537">
        <f ca="1">+R177+R185</f>
        <v>34984</v>
      </c>
      <c r="S188" s="1632"/>
      <c r="T188" s="1649"/>
      <c r="U188" s="1537">
        <f ca="1">+U177+U185</f>
        <v>13561532.5746</v>
      </c>
      <c r="V188" s="1632"/>
      <c r="W188" s="1649"/>
      <c r="X188" s="1537">
        <f ca="1">+X177+X185</f>
        <v>22497366.491466403</v>
      </c>
      <c r="Y188" s="1632"/>
      <c r="Z188" s="1649"/>
      <c r="AA188" s="1537">
        <f ca="1">+AA177+AA185</f>
        <v>7779764.752678168</v>
      </c>
      <c r="AB188" s="1632"/>
      <c r="AC188" s="1649"/>
      <c r="AD188" s="1537">
        <f ca="1">+AD177+AD185</f>
        <v>0</v>
      </c>
      <c r="AE188" s="1632"/>
      <c r="AF188" s="1649"/>
      <c r="AG188" s="1537">
        <f ca="1">+AG177+AG185</f>
        <v>0</v>
      </c>
      <c r="AH188" s="1632"/>
      <c r="AI188" s="1649"/>
      <c r="AJ188" s="1537">
        <f ca="1">+AJ177+AJ185</f>
        <v>0</v>
      </c>
      <c r="AK188" s="1632"/>
      <c r="AL188" s="1649"/>
      <c r="AM188" s="1537">
        <f ca="1">+AM177+AM185</f>
        <v>0</v>
      </c>
      <c r="AN188" s="1632"/>
      <c r="AO188" s="1649"/>
      <c r="AP188" s="1537">
        <f ca="1">+AP177+AP185</f>
        <v>0</v>
      </c>
      <c r="AQ188" s="1632"/>
      <c r="AR188" s="491"/>
      <c r="AS188" s="1537">
        <f ca="1">+AS177+AS185</f>
        <v>44254568.608744577</v>
      </c>
      <c r="AT188" s="1693">
        <f>+AT177+AT185</f>
        <v>0</v>
      </c>
      <c r="AU188" s="411"/>
      <c r="AV188" s="1757">
        <f t="shared" ca="1" si="734"/>
        <v>44254568.608744562</v>
      </c>
      <c r="AW188" s="1537">
        <f>+AW177+AW185</f>
        <v>0</v>
      </c>
      <c r="AX188" s="493"/>
      <c r="AY188" s="1534" t="s">
        <v>1451</v>
      </c>
      <c r="AZ188" s="1535"/>
      <c r="BA188" s="1536"/>
      <c r="BB188" s="1639"/>
      <c r="BC188" s="1626"/>
      <c r="BD188" s="1537">
        <f>+BD177+BD185</f>
        <v>375891.79</v>
      </c>
      <c r="BE188" s="1657"/>
      <c r="BF188" s="1649"/>
      <c r="BG188" s="1537">
        <f ca="1">+BG177+BG185</f>
        <v>5028.8899999999994</v>
      </c>
      <c r="BH188" s="1639"/>
      <c r="BI188" s="1649"/>
      <c r="BJ188" s="1537">
        <f ca="1">+BJ177+BJ185</f>
        <v>34601</v>
      </c>
      <c r="BK188" s="1632"/>
      <c r="BL188" s="1649"/>
      <c r="BM188" s="1537">
        <f ca="1">+BM177+BM185</f>
        <v>12792409.050000001</v>
      </c>
      <c r="BN188" s="1632"/>
      <c r="BO188" s="1649"/>
      <c r="BP188" s="1537">
        <f ca="1">+BP177+BP185</f>
        <v>20627963.557289999</v>
      </c>
      <c r="BQ188" s="1632"/>
      <c r="BR188" s="1649"/>
      <c r="BS188" s="1537">
        <f ca="1">+BS177+BS185</f>
        <v>6996862.392</v>
      </c>
      <c r="BT188" s="1632"/>
      <c r="BU188" s="1649"/>
      <c r="BV188" s="1537">
        <f ca="1">+BV177+BV185</f>
        <v>0</v>
      </c>
      <c r="BW188" s="1632"/>
      <c r="BX188" s="1649"/>
      <c r="BY188" s="1537">
        <f ca="1">+BY177+BY185</f>
        <v>0</v>
      </c>
      <c r="BZ188" s="1632"/>
      <c r="CA188" s="1649"/>
      <c r="CB188" s="1537">
        <f ca="1">+CB177+CB185</f>
        <v>0</v>
      </c>
      <c r="CC188" s="1632"/>
      <c r="CD188" s="1649"/>
      <c r="CE188" s="1537">
        <f ca="1">+CE177+CE185</f>
        <v>0</v>
      </c>
      <c r="CF188" s="1632"/>
      <c r="CG188" s="1649"/>
      <c r="CH188" s="1537">
        <f ca="1">+CH177+CH185</f>
        <v>0</v>
      </c>
      <c r="CI188" s="1632"/>
      <c r="CJ188" s="491"/>
      <c r="CK188" s="1537">
        <f ca="1">+CK177+CK185</f>
        <v>40832756.679289997</v>
      </c>
      <c r="CL188" s="1740"/>
      <c r="CM188" s="170"/>
      <c r="CN188" s="493"/>
      <c r="CO188" s="1615" t="str">
        <f t="shared" si="733"/>
        <v>TOTAL PROJECT COST -  Baseline Budget</v>
      </c>
      <c r="CP188" s="1616"/>
      <c r="CQ188" s="533"/>
      <c r="CR188" s="1703"/>
      <c r="CS188" s="435"/>
      <c r="CT188" s="1537">
        <f>+CT177+CT185</f>
        <v>0</v>
      </c>
      <c r="CU188" s="1703"/>
      <c r="CV188" s="435"/>
      <c r="CW188" s="1537">
        <f ca="1">+CW177+CW185</f>
        <v>0.11000000000012733</v>
      </c>
      <c r="CX188" s="1703"/>
      <c r="CY188" s="435"/>
      <c r="CZ188" s="1537">
        <f ca="1">+CZ177+CZ185</f>
        <v>383</v>
      </c>
      <c r="DA188" s="1703"/>
      <c r="DB188" s="435"/>
      <c r="DC188" s="1537">
        <f ca="1">+DC177+DC185</f>
        <v>769123.52459999954</v>
      </c>
      <c r="DD188" s="1703"/>
      <c r="DE188" s="435"/>
      <c r="DF188" s="1537">
        <f ca="1">+DF177+DF185</f>
        <v>1869402.9341764003</v>
      </c>
      <c r="DG188" s="1703"/>
      <c r="DH188" s="435"/>
      <c r="DI188" s="1537">
        <f ca="1">+DI177+DI185</f>
        <v>782902.36067816825</v>
      </c>
      <c r="DJ188" s="1703"/>
      <c r="DK188" s="435"/>
      <c r="DL188" s="1537">
        <f ca="1">+DL177+DL185</f>
        <v>0</v>
      </c>
      <c r="DM188" s="1703"/>
      <c r="DN188" s="435"/>
      <c r="DO188" s="1537">
        <f ca="1">+DO177+DO185</f>
        <v>0</v>
      </c>
      <c r="DP188" s="1703"/>
      <c r="DQ188" s="435"/>
      <c r="DR188" s="1537">
        <f ca="1">+DR177+DR185</f>
        <v>0</v>
      </c>
      <c r="DS188" s="1703"/>
      <c r="DT188" s="435"/>
      <c r="DU188" s="1537">
        <f ca="1">+DU177+DU185</f>
        <v>0</v>
      </c>
      <c r="DV188" s="1703"/>
      <c r="DW188" s="435"/>
      <c r="DX188" s="1537">
        <f ca="1">+DX177+DX185</f>
        <v>0</v>
      </c>
      <c r="DY188" s="1703"/>
      <c r="DZ188" s="435"/>
      <c r="EA188" s="1537">
        <f ca="1">+EA177+EA185</f>
        <v>3421811.9294545678</v>
      </c>
      <c r="EB188" s="433"/>
      <c r="EC188" s="170"/>
      <c r="ED188" s="170"/>
      <c r="EE188" s="170"/>
      <c r="EF188" s="170"/>
      <c r="EG188" s="170"/>
      <c r="EH188" s="170"/>
      <c r="EI188" s="170"/>
      <c r="EJ188" s="170"/>
      <c r="EK188" s="170"/>
    </row>
    <row r="189" spans="1:141" ht="15" x14ac:dyDescent="0.25">
      <c r="A189" s="170"/>
      <c r="B189" s="472"/>
      <c r="C189" s="472"/>
      <c r="D189" s="472"/>
      <c r="E189" s="170"/>
      <c r="F189" s="493"/>
      <c r="G189" s="377">
        <f t="shared" si="659"/>
        <v>0</v>
      </c>
      <c r="H189" s="488"/>
      <c r="I189" s="1310"/>
      <c r="J189" s="1687"/>
      <c r="K189" s="1311">
        <f t="shared" ref="K189:K193" si="735">+BC189</f>
        <v>0</v>
      </c>
      <c r="L189" s="1312">
        <f t="shared" ref="L189:L193" si="736">+BD189</f>
        <v>0</v>
      </c>
      <c r="M189" s="1687"/>
      <c r="N189" s="1325"/>
      <c r="O189" s="1312">
        <f>+BG189+CW189</f>
        <v>0</v>
      </c>
      <c r="P189" s="1685"/>
      <c r="Q189" s="1313">
        <f t="shared" ref="Q189:Q193" si="737">+BI189</f>
        <v>0</v>
      </c>
      <c r="R189" s="1312">
        <f>+BJ189+CZ189</f>
        <v>0</v>
      </c>
      <c r="S189" s="1685"/>
      <c r="T189" s="1313">
        <f t="shared" ref="T189:T193" si="738">+BL189</f>
        <v>0</v>
      </c>
      <c r="U189" s="1312">
        <f>+BM189+DC189</f>
        <v>0</v>
      </c>
      <c r="V189" s="1685"/>
      <c r="W189" s="1313">
        <f t="shared" ref="W189:W193" si="739">+BO189</f>
        <v>0</v>
      </c>
      <c r="X189" s="1312">
        <f>+BP189+DF189</f>
        <v>0</v>
      </c>
      <c r="Y189" s="1685"/>
      <c r="Z189" s="1313">
        <f t="shared" ref="Z189:Z193" si="740">+BR189</f>
        <v>0</v>
      </c>
      <c r="AA189" s="1312">
        <f>+BS189+DI189</f>
        <v>0</v>
      </c>
      <c r="AB189" s="1685"/>
      <c r="AC189" s="1313">
        <f t="shared" ref="AC189:AC193" si="741">+BU189</f>
        <v>0</v>
      </c>
      <c r="AD189" s="1312">
        <f>+BV189+DL189</f>
        <v>0</v>
      </c>
      <c r="AE189" s="1685"/>
      <c r="AF189" s="1313">
        <f t="shared" ref="AF189:AF193" si="742">+BX189</f>
        <v>0</v>
      </c>
      <c r="AG189" s="1312">
        <f>+BY189+DO189</f>
        <v>0</v>
      </c>
      <c r="AH189" s="1685"/>
      <c r="AI189" s="1313">
        <f t="shared" ref="AI189:AI193" si="743">+CA189</f>
        <v>0</v>
      </c>
      <c r="AJ189" s="1312">
        <f>+CB189+DR189</f>
        <v>0</v>
      </c>
      <c r="AK189" s="1685"/>
      <c r="AL189" s="1313">
        <f t="shared" ref="AL189:AL193" si="744">+CD189</f>
        <v>0</v>
      </c>
      <c r="AM189" s="1312">
        <f>+CE189+DU189</f>
        <v>0</v>
      </c>
      <c r="AN189" s="1685"/>
      <c r="AO189" s="1313">
        <f t="shared" ref="AO189:AO193" si="745">+CG189</f>
        <v>0</v>
      </c>
      <c r="AP189" s="1312">
        <f>+CH189+DX189</f>
        <v>0</v>
      </c>
      <c r="AQ189" s="1685"/>
      <c r="AR189" s="1313"/>
      <c r="AS189" s="1312"/>
      <c r="AT189" s="1687"/>
      <c r="AU189" s="411"/>
      <c r="AV189" s="1757">
        <f t="shared" si="734"/>
        <v>0</v>
      </c>
      <c r="AW189" s="411"/>
      <c r="AX189" s="493"/>
      <c r="AY189" s="377"/>
      <c r="AZ189" s="488"/>
      <c r="BA189" s="1270"/>
      <c r="BB189" s="1630"/>
      <c r="BC189" s="491"/>
      <c r="BD189" s="1527"/>
      <c r="BE189" s="1632"/>
      <c r="BF189" s="1528"/>
      <c r="BG189" s="1527"/>
      <c r="BH189" s="1632"/>
      <c r="BI189" s="1528"/>
      <c r="BJ189" s="1527"/>
      <c r="BK189" s="1632"/>
      <c r="BL189" s="1528"/>
      <c r="BM189" s="1527"/>
      <c r="BN189" s="1632"/>
      <c r="BO189" s="1528"/>
      <c r="BP189" s="1527"/>
      <c r="BQ189" s="1632"/>
      <c r="BR189" s="1528"/>
      <c r="BS189" s="1527"/>
      <c r="BT189" s="1632"/>
      <c r="BU189" s="1528"/>
      <c r="BV189" s="1527"/>
      <c r="BW189" s="1632"/>
      <c r="BX189" s="1528"/>
      <c r="BY189" s="1527"/>
      <c r="BZ189" s="1632"/>
      <c r="CA189" s="1528"/>
      <c r="CB189" s="1527"/>
      <c r="CC189" s="1632"/>
      <c r="CD189" s="1528"/>
      <c r="CE189" s="1527"/>
      <c r="CF189" s="1632"/>
      <c r="CG189" s="1528"/>
      <c r="CH189" s="1527"/>
      <c r="CI189" s="1632"/>
      <c r="CJ189" s="491"/>
      <c r="CK189" s="1271"/>
      <c r="CL189" s="1740"/>
      <c r="CM189" s="170"/>
      <c r="CN189" s="493"/>
      <c r="CO189" s="384">
        <f t="shared" si="733"/>
        <v>0</v>
      </c>
      <c r="CP189" s="494"/>
      <c r="CQ189" s="533"/>
      <c r="CR189" s="1703"/>
      <c r="CS189" s="435"/>
      <c r="CT189" s="1271"/>
      <c r="CU189" s="1703"/>
      <c r="CV189" s="435"/>
      <c r="CW189" s="1271"/>
      <c r="CX189" s="1703"/>
      <c r="CY189" s="435"/>
      <c r="CZ189" s="1271"/>
      <c r="DA189" s="1703"/>
      <c r="DB189" s="435"/>
      <c r="DC189" s="1271"/>
      <c r="DD189" s="1703"/>
      <c r="DE189" s="435"/>
      <c r="DF189" s="1271"/>
      <c r="DG189" s="1703"/>
      <c r="DH189" s="435"/>
      <c r="DI189" s="1271"/>
      <c r="DJ189" s="1703"/>
      <c r="DK189" s="435"/>
      <c r="DL189" s="1271"/>
      <c r="DM189" s="1703"/>
      <c r="DN189" s="435"/>
      <c r="DO189" s="1271"/>
      <c r="DP189" s="1703"/>
      <c r="DQ189" s="435"/>
      <c r="DR189" s="1271"/>
      <c r="DS189" s="1703"/>
      <c r="DT189" s="435"/>
      <c r="DU189" s="1271"/>
      <c r="DV189" s="1703"/>
      <c r="DW189" s="435"/>
      <c r="DX189" s="1271"/>
      <c r="DY189" s="1703"/>
      <c r="DZ189" s="435"/>
      <c r="EA189" s="1752"/>
      <c r="EB189" s="433"/>
      <c r="EC189" s="170"/>
      <c r="ED189" s="170"/>
      <c r="EE189" s="170"/>
      <c r="EF189" s="170"/>
      <c r="EG189" s="170"/>
      <c r="EH189" s="170"/>
      <c r="EI189" s="170"/>
      <c r="EJ189" s="170"/>
      <c r="EK189" s="170"/>
    </row>
    <row r="190" spans="1:141" ht="15" x14ac:dyDescent="0.25">
      <c r="A190" s="170"/>
      <c r="B190" s="472"/>
      <c r="C190" s="472"/>
      <c r="D190" s="472"/>
      <c r="E190" s="170"/>
      <c r="F190" s="493"/>
      <c r="G190" s="168" t="str">
        <f t="shared" si="659"/>
        <v>Contingecy</v>
      </c>
      <c r="H190" s="488"/>
      <c r="I190" s="1310"/>
      <c r="J190" s="1687"/>
      <c r="K190" s="1311">
        <f t="shared" si="735"/>
        <v>0</v>
      </c>
      <c r="L190" s="1312">
        <f t="shared" si="736"/>
        <v>0</v>
      </c>
      <c r="M190" s="1687"/>
      <c r="N190" s="1325"/>
      <c r="O190" s="1312">
        <f>+BG190+CW190</f>
        <v>0</v>
      </c>
      <c r="P190" s="1685"/>
      <c r="Q190" s="1313">
        <f t="shared" si="737"/>
        <v>0</v>
      </c>
      <c r="R190" s="1312">
        <f>+BJ190+CZ190</f>
        <v>0</v>
      </c>
      <c r="S190" s="1685"/>
      <c r="T190" s="1313">
        <f t="shared" si="738"/>
        <v>0</v>
      </c>
      <c r="U190" s="1312">
        <f>+BM190+DC190</f>
        <v>0</v>
      </c>
      <c r="V190" s="1685"/>
      <c r="W190" s="1313">
        <f t="shared" si="739"/>
        <v>0</v>
      </c>
      <c r="X190" s="1312">
        <f>+BP190+DF190</f>
        <v>0</v>
      </c>
      <c r="Y190" s="1685"/>
      <c r="Z190" s="1313">
        <f t="shared" si="740"/>
        <v>0</v>
      </c>
      <c r="AA190" s="1312">
        <f>+BS190+DI190</f>
        <v>0</v>
      </c>
      <c r="AB190" s="1685"/>
      <c r="AC190" s="1313">
        <f t="shared" si="741"/>
        <v>0</v>
      </c>
      <c r="AD190" s="1312">
        <f>+BV190+DL190</f>
        <v>0</v>
      </c>
      <c r="AE190" s="1685"/>
      <c r="AF190" s="1313">
        <f t="shared" si="742"/>
        <v>0</v>
      </c>
      <c r="AG190" s="1312">
        <f>+BY190+DO190</f>
        <v>0</v>
      </c>
      <c r="AH190" s="1685"/>
      <c r="AI190" s="1313">
        <f t="shared" si="743"/>
        <v>0</v>
      </c>
      <c r="AJ190" s="1312">
        <f>+CB190+DR190</f>
        <v>0</v>
      </c>
      <c r="AK190" s="1685"/>
      <c r="AL190" s="1313">
        <f t="shared" si="744"/>
        <v>0</v>
      </c>
      <c r="AM190" s="1312">
        <f>+CE190+DU190</f>
        <v>0</v>
      </c>
      <c r="AN190" s="1685"/>
      <c r="AO190" s="1313">
        <f t="shared" si="745"/>
        <v>0</v>
      </c>
      <c r="AP190" s="1312">
        <f>+CH190+DX190</f>
        <v>0</v>
      </c>
      <c r="AQ190" s="1685"/>
      <c r="AR190" s="1313"/>
      <c r="AS190" s="1312">
        <f>+AA190+X190+U190+R190+O190+L190+AD190</f>
        <v>0</v>
      </c>
      <c r="AT190" s="1687"/>
      <c r="AU190" s="411"/>
      <c r="AV190" s="1757">
        <f t="shared" si="734"/>
        <v>0</v>
      </c>
      <c r="AW190" s="411"/>
      <c r="AX190" s="493"/>
      <c r="AY190" s="168" t="s">
        <v>1452</v>
      </c>
      <c r="AZ190" s="488"/>
      <c r="BA190" s="457"/>
      <c r="BB190" s="1630"/>
      <c r="BC190" s="511"/>
      <c r="BD190" s="1260"/>
      <c r="BE190" s="1632"/>
      <c r="BF190" s="1529"/>
      <c r="BG190" s="1269"/>
      <c r="BH190" s="1632"/>
      <c r="BI190" s="1529"/>
      <c r="BJ190" s="1269"/>
      <c r="BK190" s="1632"/>
      <c r="BL190" s="1529"/>
      <c r="BM190" s="1269"/>
      <c r="BN190" s="1632"/>
      <c r="BO190" s="1529"/>
      <c r="BP190" s="1269"/>
      <c r="BQ190" s="1632"/>
      <c r="BR190" s="1529"/>
      <c r="BS190" s="1269"/>
      <c r="BT190" s="1632"/>
      <c r="BU190" s="1529"/>
      <c r="BV190" s="1269"/>
      <c r="BW190" s="1632"/>
      <c r="BX190" s="1529"/>
      <c r="BY190" s="1269"/>
      <c r="BZ190" s="1632"/>
      <c r="CA190" s="1529"/>
      <c r="CB190" s="1269"/>
      <c r="CC190" s="1632"/>
      <c r="CD190" s="1529"/>
      <c r="CE190" s="1269"/>
      <c r="CF190" s="1632"/>
      <c r="CG190" s="1529"/>
      <c r="CH190" s="1269"/>
      <c r="CI190" s="1632"/>
      <c r="CJ190" s="491"/>
      <c r="CK190" s="1258">
        <f>+BS190+BP190+BM190+BJ190+BG190+BD190+BV190</f>
        <v>0</v>
      </c>
      <c r="CL190" s="1740"/>
      <c r="CM190" s="170"/>
      <c r="CN190" s="493"/>
      <c r="CO190" s="388" t="str">
        <f t="shared" si="733"/>
        <v>Contingecy</v>
      </c>
      <c r="CP190" s="494"/>
      <c r="CQ190" s="533"/>
      <c r="CR190" s="1703"/>
      <c r="CS190" s="435"/>
      <c r="CT190" s="510">
        <f>L190-BD190</f>
        <v>0</v>
      </c>
      <c r="CU190" s="1703"/>
      <c r="CV190" s="435"/>
      <c r="CW190" s="434">
        <f>ROUND((+BG190*(1+CW$4)),0)-BG190</f>
        <v>0</v>
      </c>
      <c r="CX190" s="443"/>
      <c r="CY190" s="432">
        <v>0</v>
      </c>
      <c r="CZ190" s="434">
        <f>ROUND((+BJ190*(1+CZ$4)),0)-BJ190</f>
        <v>0</v>
      </c>
      <c r="DA190" s="443"/>
      <c r="DB190" s="432">
        <v>0</v>
      </c>
      <c r="DC190" s="434">
        <f>ROUND((+BM190*(1+DC$4)),0)-BM190</f>
        <v>0</v>
      </c>
      <c r="DD190" s="443"/>
      <c r="DE190" s="432">
        <v>0</v>
      </c>
      <c r="DF190" s="434">
        <f>ROUND((+BP190*(1+DF$4)),0)-BP190</f>
        <v>0</v>
      </c>
      <c r="DG190" s="443"/>
      <c r="DH190" s="432">
        <v>0</v>
      </c>
      <c r="DI190" s="434">
        <f>ROUND((+BS190*(1+DI$4)),0)-BS190</f>
        <v>0</v>
      </c>
      <c r="DJ190" s="443"/>
      <c r="DK190" s="432">
        <v>0</v>
      </c>
      <c r="DL190" s="434">
        <f>ROUND((+BV190*(1+DL$4)),0)-BV190</f>
        <v>0</v>
      </c>
      <c r="DM190" s="443"/>
      <c r="DN190" s="432">
        <v>0</v>
      </c>
      <c r="DO190" s="434">
        <f>ROUND((+BY190*(1+DO$4)),0)-BY190</f>
        <v>0</v>
      </c>
      <c r="DP190" s="443"/>
      <c r="DQ190" s="432">
        <v>0</v>
      </c>
      <c r="DR190" s="434">
        <f>ROUND((+CB190*(1+DR$4)),0)-CB190</f>
        <v>0</v>
      </c>
      <c r="DS190" s="443"/>
      <c r="DT190" s="432">
        <v>0</v>
      </c>
      <c r="DU190" s="434">
        <f>ROUND((+CE190*(1+DU$4)),0)-CE190</f>
        <v>0</v>
      </c>
      <c r="DV190" s="443"/>
      <c r="DW190" s="432">
        <v>0</v>
      </c>
      <c r="DX190" s="434">
        <f>ROUND((+CH190*(1+DX$4)),0)-CH190</f>
        <v>0</v>
      </c>
      <c r="DY190" s="443"/>
      <c r="DZ190" s="432"/>
      <c r="EA190" s="444">
        <f>+DI190+DF190+DC190+CZ190+CW190+CT190+DL190</f>
        <v>0</v>
      </c>
      <c r="EB190" s="433"/>
      <c r="EC190" s="170"/>
      <c r="ED190" s="170"/>
      <c r="EE190" s="170"/>
      <c r="EF190" s="170"/>
      <c r="EG190" s="170"/>
      <c r="EH190" s="170"/>
      <c r="EI190" s="170"/>
      <c r="EJ190" s="170"/>
      <c r="EK190" s="170"/>
    </row>
    <row r="191" spans="1:141" ht="15" x14ac:dyDescent="0.25">
      <c r="A191" s="170"/>
      <c r="B191" s="424">
        <v>5</v>
      </c>
      <c r="C191" s="424">
        <v>8</v>
      </c>
      <c r="D191" s="424">
        <v>6</v>
      </c>
      <c r="E191" s="564">
        <v>15</v>
      </c>
      <c r="F191" s="493"/>
      <c r="G191" s="488" t="str">
        <f t="shared" si="659"/>
        <v xml:space="preserve">   Contingency</v>
      </c>
      <c r="H191" s="488"/>
      <c r="I191" s="1310"/>
      <c r="J191" s="1687"/>
      <c r="K191" s="1311">
        <f t="shared" si="735"/>
        <v>0</v>
      </c>
      <c r="L191" s="1312">
        <f t="shared" si="736"/>
        <v>0</v>
      </c>
      <c r="M191" s="1687"/>
      <c r="N191" s="1325"/>
      <c r="O191" s="1312">
        <f ca="1">+BG191+CW191</f>
        <v>0</v>
      </c>
      <c r="P191" s="1685"/>
      <c r="Q191" s="1313">
        <f t="shared" si="737"/>
        <v>0</v>
      </c>
      <c r="R191" s="1312">
        <f ca="1">+BJ191+CZ191</f>
        <v>0</v>
      </c>
      <c r="S191" s="1685"/>
      <c r="T191" s="1313">
        <f t="shared" si="738"/>
        <v>0</v>
      </c>
      <c r="U191" s="1312">
        <f ca="1">+BM191+DC191</f>
        <v>775869.385116547</v>
      </c>
      <c r="V191" s="1685"/>
      <c r="W191" s="1313">
        <f t="shared" si="739"/>
        <v>0</v>
      </c>
      <c r="X191" s="1312">
        <f ca="1">+BP191+DF191</f>
        <v>942315.50801654707</v>
      </c>
      <c r="Y191" s="1685"/>
      <c r="Z191" s="1313">
        <f t="shared" si="740"/>
        <v>0</v>
      </c>
      <c r="AA191" s="1312">
        <f ca="1">+BS191+DI191</f>
        <v>123606.44</v>
      </c>
      <c r="AB191" s="1685"/>
      <c r="AC191" s="1313">
        <f t="shared" si="741"/>
        <v>0</v>
      </c>
      <c r="AD191" s="1312">
        <f ca="1">+BV191+DL191</f>
        <v>0</v>
      </c>
      <c r="AE191" s="1685"/>
      <c r="AF191" s="1313">
        <f t="shared" si="742"/>
        <v>0</v>
      </c>
      <c r="AG191" s="1312">
        <f ca="1">+BY191+DO191</f>
        <v>0</v>
      </c>
      <c r="AH191" s="1685"/>
      <c r="AI191" s="1313">
        <f t="shared" si="743"/>
        <v>0</v>
      </c>
      <c r="AJ191" s="1312">
        <f ca="1">+CB191+DR191</f>
        <v>0</v>
      </c>
      <c r="AK191" s="1685"/>
      <c r="AL191" s="1313">
        <f t="shared" si="744"/>
        <v>0</v>
      </c>
      <c r="AM191" s="1312">
        <f ca="1">+CE191+DU191</f>
        <v>0</v>
      </c>
      <c r="AN191" s="1685"/>
      <c r="AO191" s="1313">
        <f t="shared" si="745"/>
        <v>0</v>
      </c>
      <c r="AP191" s="1312">
        <f ca="1">+CH191+DX191</f>
        <v>0</v>
      </c>
      <c r="AQ191" s="1685"/>
      <c r="AR191" s="1313"/>
      <c r="AS191" s="1312">
        <f ca="1">+AA191+X191+U191+R191+O191+L191+AD191+AG191+AJ191+AM191+AP191</f>
        <v>1841791.333133094</v>
      </c>
      <c r="AT191" s="1687"/>
      <c r="AU191" s="411"/>
      <c r="AV191" s="1757">
        <f t="shared" ca="1" si="734"/>
        <v>1841791.333133094</v>
      </c>
      <c r="AW191" s="411"/>
      <c r="AX191" s="493"/>
      <c r="AY191" s="488" t="s">
        <v>1453</v>
      </c>
      <c r="AZ191" s="488"/>
      <c r="BA191" s="457"/>
      <c r="BB191" s="1630"/>
      <c r="BC191" s="1592"/>
      <c r="BD191" s="1593">
        <v>0</v>
      </c>
      <c r="BE191" s="1632"/>
      <c r="BF191" s="1529"/>
      <c r="BG191" s="1269">
        <f ca="1">+Contingency!BA34</f>
        <v>0</v>
      </c>
      <c r="BH191" s="1632"/>
      <c r="BI191" s="1529"/>
      <c r="BJ191" s="1269">
        <f ca="1">+Contingency!BD34</f>
        <v>0</v>
      </c>
      <c r="BK191" s="1632"/>
      <c r="BL191" s="1529"/>
      <c r="BM191" s="1269">
        <f ca="1">+Contingency!BG34</f>
        <v>775869.385116547</v>
      </c>
      <c r="BN191" s="1632"/>
      <c r="BO191" s="1529"/>
      <c r="BP191" s="1269">
        <f ca="1">+Contingency!BJ34</f>
        <v>942315.50801654707</v>
      </c>
      <c r="BQ191" s="1632"/>
      <c r="BR191" s="1529"/>
      <c r="BS191" s="1269">
        <f ca="1">+Contingency!BM34</f>
        <v>123606.44</v>
      </c>
      <c r="BT191" s="1632"/>
      <c r="BU191" s="1529"/>
      <c r="BV191" s="1269">
        <f ca="1">+Contingency!BP34</f>
        <v>0</v>
      </c>
      <c r="BW191" s="1632"/>
      <c r="BX191" s="1529"/>
      <c r="BY191" s="1269">
        <f ca="1">+Contingency!BS34</f>
        <v>0</v>
      </c>
      <c r="BZ191" s="1632"/>
      <c r="CA191" s="1529"/>
      <c r="CB191" s="1269">
        <f ca="1">+Contingency!BV34</f>
        <v>0</v>
      </c>
      <c r="CC191" s="1632"/>
      <c r="CD191" s="1529"/>
      <c r="CE191" s="1269">
        <f ca="1">+Contingency!BY34</f>
        <v>0</v>
      </c>
      <c r="CF191" s="1632"/>
      <c r="CG191" s="1529"/>
      <c r="CH191" s="1269">
        <f ca="1">+Contingency!CB34</f>
        <v>0</v>
      </c>
      <c r="CI191" s="1632"/>
      <c r="CJ191" s="491"/>
      <c r="CK191" s="1258">
        <f ca="1">+BS191+BP191+BM191+BJ191+BG191+BD191+BV191+BY191+CB191+CE191+CH191</f>
        <v>1841791.333133094</v>
      </c>
      <c r="CL191" s="1740"/>
      <c r="CM191" s="170"/>
      <c r="CN191" s="493"/>
      <c r="CO191" s="494" t="str">
        <f t="shared" si="733"/>
        <v xml:space="preserve">   Contingency</v>
      </c>
      <c r="CP191" s="494"/>
      <c r="CQ191" s="533"/>
      <c r="CR191" s="1703"/>
      <c r="CS191" s="435"/>
      <c r="CT191" s="510">
        <f>L191-BD191</f>
        <v>0</v>
      </c>
      <c r="CU191" s="1703"/>
      <c r="CV191" s="435"/>
      <c r="CW191" s="434">
        <f ca="1">ROUND((+BG191*(1+CW$4)),0)-BG191</f>
        <v>0</v>
      </c>
      <c r="CX191" s="443"/>
      <c r="CY191" s="432">
        <v>0</v>
      </c>
      <c r="CZ191" s="434">
        <v>0</v>
      </c>
      <c r="DA191" s="443"/>
      <c r="DB191" s="432">
        <v>0</v>
      </c>
      <c r="DC191" s="434">
        <v>0</v>
      </c>
      <c r="DD191" s="443"/>
      <c r="DE191" s="432">
        <v>0</v>
      </c>
      <c r="DF191" s="434">
        <v>0</v>
      </c>
      <c r="DG191" s="443"/>
      <c r="DH191" s="432">
        <v>0</v>
      </c>
      <c r="DI191" s="434">
        <v>0</v>
      </c>
      <c r="DJ191" s="443"/>
      <c r="DK191" s="432">
        <v>0</v>
      </c>
      <c r="DL191" s="434">
        <v>0</v>
      </c>
      <c r="DM191" s="443"/>
      <c r="DN191" s="432">
        <v>0</v>
      </c>
      <c r="DO191" s="434">
        <v>0</v>
      </c>
      <c r="DP191" s="443"/>
      <c r="DQ191" s="432">
        <v>0</v>
      </c>
      <c r="DR191" s="434">
        <v>0</v>
      </c>
      <c r="DS191" s="443"/>
      <c r="DT191" s="432">
        <v>0</v>
      </c>
      <c r="DU191" s="434">
        <v>0</v>
      </c>
      <c r="DV191" s="443"/>
      <c r="DW191" s="432">
        <v>0</v>
      </c>
      <c r="DX191" s="434">
        <v>0</v>
      </c>
      <c r="DY191" s="443"/>
      <c r="DZ191" s="432"/>
      <c r="EA191" s="444">
        <f ca="1">+DI191+DF191+DC191+CZ191+CW191+CT191+DL191+DO191+DR191+DU191+DX191</f>
        <v>0</v>
      </c>
      <c r="EB191" s="433"/>
      <c r="EC191" s="170"/>
      <c r="ED191" s="170"/>
      <c r="EE191" s="170"/>
      <c r="EF191" s="170"/>
      <c r="EG191" s="170"/>
      <c r="EH191" s="170"/>
      <c r="EI191" s="170"/>
      <c r="EJ191" s="170"/>
      <c r="EK191" s="170"/>
    </row>
    <row r="192" spans="1:141" ht="15" x14ac:dyDescent="0.25">
      <c r="A192" s="170"/>
      <c r="B192" s="424">
        <v>5</v>
      </c>
      <c r="C192" s="424">
        <v>8</v>
      </c>
      <c r="D192" s="424">
        <v>6</v>
      </c>
      <c r="E192" s="564">
        <v>15</v>
      </c>
      <c r="F192" s="493"/>
      <c r="G192" s="1561" t="str">
        <f t="shared" si="659"/>
        <v xml:space="preserve">   Other</v>
      </c>
      <c r="H192" s="488"/>
      <c r="I192" s="1310"/>
      <c r="J192" s="1687"/>
      <c r="K192" s="1311">
        <f t="shared" si="735"/>
        <v>0</v>
      </c>
      <c r="L192" s="1312">
        <f t="shared" si="736"/>
        <v>0</v>
      </c>
      <c r="M192" s="1687"/>
      <c r="N192" s="1325"/>
      <c r="O192" s="1312">
        <f>+BG192+CW192</f>
        <v>0</v>
      </c>
      <c r="P192" s="1685"/>
      <c r="Q192" s="1313">
        <f t="shared" si="737"/>
        <v>0</v>
      </c>
      <c r="R192" s="1312">
        <f>+BJ192+CZ192</f>
        <v>0</v>
      </c>
      <c r="S192" s="1685"/>
      <c r="T192" s="1313">
        <f t="shared" si="738"/>
        <v>0</v>
      </c>
      <c r="U192" s="1312">
        <f>+BM192+DC192</f>
        <v>0</v>
      </c>
      <c r="V192" s="1685"/>
      <c r="W192" s="1313">
        <f t="shared" si="739"/>
        <v>0</v>
      </c>
      <c r="X192" s="1312">
        <f>+BP192+DF192</f>
        <v>0</v>
      </c>
      <c r="Y192" s="1685"/>
      <c r="Z192" s="1313">
        <f t="shared" si="740"/>
        <v>0</v>
      </c>
      <c r="AA192" s="1312">
        <f>+BS192+DI192</f>
        <v>0</v>
      </c>
      <c r="AB192" s="1685"/>
      <c r="AC192" s="1313">
        <f t="shared" si="741"/>
        <v>0</v>
      </c>
      <c r="AD192" s="1312">
        <f>+BV192+DL192</f>
        <v>0</v>
      </c>
      <c r="AE192" s="1685"/>
      <c r="AF192" s="1313">
        <f t="shared" si="742"/>
        <v>0</v>
      </c>
      <c r="AG192" s="1312">
        <f>+BY192+DO192</f>
        <v>0</v>
      </c>
      <c r="AH192" s="1685"/>
      <c r="AI192" s="1313">
        <f t="shared" si="743"/>
        <v>0</v>
      </c>
      <c r="AJ192" s="1312">
        <f>+CB192+DR192</f>
        <v>0</v>
      </c>
      <c r="AK192" s="1685"/>
      <c r="AL192" s="1313">
        <f t="shared" si="744"/>
        <v>0</v>
      </c>
      <c r="AM192" s="1312">
        <f>+CE192+DU192</f>
        <v>0</v>
      </c>
      <c r="AN192" s="1685"/>
      <c r="AO192" s="1313">
        <f t="shared" si="745"/>
        <v>0</v>
      </c>
      <c r="AP192" s="1312">
        <f>+CH192+DX192</f>
        <v>0</v>
      </c>
      <c r="AQ192" s="1685"/>
      <c r="AR192" s="1313"/>
      <c r="AS192" s="1312">
        <f t="shared" ref="AS192" si="746">+AA192+X192+U192+R192+O192+L192+AD192</f>
        <v>0</v>
      </c>
      <c r="AT192" s="1687"/>
      <c r="AU192" s="411"/>
      <c r="AV192" s="1757">
        <f t="shared" si="734"/>
        <v>0</v>
      </c>
      <c r="AW192" s="411"/>
      <c r="AX192" s="493"/>
      <c r="AY192" s="1561" t="s">
        <v>1454</v>
      </c>
      <c r="AZ192" s="488"/>
      <c r="BA192" s="457"/>
      <c r="BB192" s="1630"/>
      <c r="BC192" s="1592"/>
      <c r="BD192" s="1531">
        <v>0</v>
      </c>
      <c r="BE192" s="1632"/>
      <c r="BF192" s="1528"/>
      <c r="BG192" s="1531">
        <v>0</v>
      </c>
      <c r="BH192" s="1632"/>
      <c r="BI192" s="1528"/>
      <c r="BJ192" s="1531">
        <v>0</v>
      </c>
      <c r="BK192" s="1632"/>
      <c r="BL192" s="1528"/>
      <c r="BM192" s="1531">
        <v>0</v>
      </c>
      <c r="BN192" s="1632"/>
      <c r="BO192" s="1528"/>
      <c r="BP192" s="1531">
        <v>0</v>
      </c>
      <c r="BQ192" s="1632"/>
      <c r="BR192" s="1528"/>
      <c r="BS192" s="1531">
        <v>0</v>
      </c>
      <c r="BT192" s="1632"/>
      <c r="BU192" s="1528"/>
      <c r="BV192" s="1531">
        <v>0</v>
      </c>
      <c r="BW192" s="1632"/>
      <c r="BX192" s="1528"/>
      <c r="BY192" s="1531">
        <v>0</v>
      </c>
      <c r="BZ192" s="1632"/>
      <c r="CA192" s="1528"/>
      <c r="CB192" s="1531">
        <v>0</v>
      </c>
      <c r="CC192" s="1632"/>
      <c r="CD192" s="1528"/>
      <c r="CE192" s="1531">
        <v>0</v>
      </c>
      <c r="CF192" s="1632"/>
      <c r="CG192" s="1528"/>
      <c r="CH192" s="1531">
        <v>0</v>
      </c>
      <c r="CI192" s="1632"/>
      <c r="CJ192" s="491"/>
      <c r="CK192" s="1258">
        <f t="shared" ref="CK192" si="747">+BS192+BP192+BM192+BJ192+BG192+BD192+BV192</f>
        <v>0</v>
      </c>
      <c r="CL192" s="1740"/>
      <c r="CM192" s="170"/>
      <c r="CN192" s="493"/>
      <c r="CO192" s="494" t="str">
        <f t="shared" si="733"/>
        <v xml:space="preserve">   Other</v>
      </c>
      <c r="CP192" s="494"/>
      <c r="CQ192" s="533"/>
      <c r="CR192" s="1703"/>
      <c r="CS192" s="435"/>
      <c r="CT192" s="510">
        <f>L192-BD192</f>
        <v>0</v>
      </c>
      <c r="CU192" s="1703"/>
      <c r="CV192" s="435"/>
      <c r="CW192" s="434">
        <f>ROUND((+BG192*(1+CW$4)),0)-BG192</f>
        <v>0</v>
      </c>
      <c r="CX192" s="443"/>
      <c r="CY192" s="432">
        <v>0</v>
      </c>
      <c r="CZ192" s="434">
        <v>0</v>
      </c>
      <c r="DA192" s="443"/>
      <c r="DB192" s="432">
        <v>0</v>
      </c>
      <c r="DC192" s="434">
        <v>0</v>
      </c>
      <c r="DD192" s="443"/>
      <c r="DE192" s="432">
        <v>0</v>
      </c>
      <c r="DF192" s="434">
        <v>0</v>
      </c>
      <c r="DG192" s="443"/>
      <c r="DH192" s="432">
        <v>0</v>
      </c>
      <c r="DI192" s="434">
        <v>0</v>
      </c>
      <c r="DJ192" s="443"/>
      <c r="DK192" s="432">
        <v>0</v>
      </c>
      <c r="DL192" s="434">
        <v>0</v>
      </c>
      <c r="DM192" s="443"/>
      <c r="DN192" s="432">
        <v>0</v>
      </c>
      <c r="DO192" s="434">
        <v>0</v>
      </c>
      <c r="DP192" s="443"/>
      <c r="DQ192" s="432">
        <v>0</v>
      </c>
      <c r="DR192" s="434">
        <v>0</v>
      </c>
      <c r="DS192" s="443"/>
      <c r="DT192" s="432">
        <v>0</v>
      </c>
      <c r="DU192" s="434">
        <v>0</v>
      </c>
      <c r="DV192" s="443"/>
      <c r="DW192" s="432">
        <v>0</v>
      </c>
      <c r="DX192" s="434">
        <v>0</v>
      </c>
      <c r="DY192" s="443"/>
      <c r="DZ192" s="432"/>
      <c r="EA192" s="444">
        <f t="shared" ref="EA192" si="748">+DI192+DF192+DC192+CZ192+CW192+CT192+DL192</f>
        <v>0</v>
      </c>
      <c r="EB192" s="433"/>
      <c r="EC192" s="170"/>
      <c r="ED192" s="170"/>
      <c r="EE192" s="170"/>
      <c r="EF192" s="170"/>
      <c r="EG192" s="170"/>
      <c r="EH192" s="170"/>
      <c r="EI192" s="170"/>
      <c r="EJ192" s="170"/>
      <c r="EK192" s="170"/>
    </row>
    <row r="193" spans="1:141" ht="15.75" thickBot="1" x14ac:dyDescent="0.3">
      <c r="A193" s="170"/>
      <c r="B193" s="424">
        <v>5</v>
      </c>
      <c r="C193" s="424">
        <v>8</v>
      </c>
      <c r="D193" s="424">
        <v>6</v>
      </c>
      <c r="E193" s="564">
        <v>15</v>
      </c>
      <c r="F193" s="493"/>
      <c r="G193" s="488">
        <f t="shared" si="659"/>
        <v>0</v>
      </c>
      <c r="H193" s="488"/>
      <c r="I193" s="1310"/>
      <c r="J193" s="1687"/>
      <c r="K193" s="1311">
        <f t="shared" si="735"/>
        <v>0</v>
      </c>
      <c r="L193" s="1312">
        <f t="shared" si="736"/>
        <v>0</v>
      </c>
      <c r="M193" s="1687"/>
      <c r="N193" s="1325"/>
      <c r="O193" s="1312">
        <f>+BG193+CW193</f>
        <v>0</v>
      </c>
      <c r="P193" s="1685"/>
      <c r="Q193" s="1313">
        <f t="shared" si="737"/>
        <v>0</v>
      </c>
      <c r="R193" s="1312">
        <f>+BJ193+CZ193</f>
        <v>0</v>
      </c>
      <c r="S193" s="1685"/>
      <c r="T193" s="1313">
        <f t="shared" si="738"/>
        <v>0</v>
      </c>
      <c r="U193" s="1312">
        <f>+BM193+DC193</f>
        <v>0</v>
      </c>
      <c r="V193" s="1685"/>
      <c r="W193" s="1313">
        <f t="shared" si="739"/>
        <v>0</v>
      </c>
      <c r="X193" s="1312">
        <f>+BP193+DF193</f>
        <v>0</v>
      </c>
      <c r="Y193" s="1685"/>
      <c r="Z193" s="1313">
        <f t="shared" si="740"/>
        <v>0</v>
      </c>
      <c r="AA193" s="1312">
        <f>+BS193+DI193</f>
        <v>0</v>
      </c>
      <c r="AB193" s="1685"/>
      <c r="AC193" s="1313">
        <f t="shared" si="741"/>
        <v>0</v>
      </c>
      <c r="AD193" s="1312">
        <f>+BV193+DL193</f>
        <v>0</v>
      </c>
      <c r="AE193" s="1685"/>
      <c r="AF193" s="1313">
        <f t="shared" si="742"/>
        <v>0</v>
      </c>
      <c r="AG193" s="1312">
        <f>+BY193+DO193</f>
        <v>0</v>
      </c>
      <c r="AH193" s="1685"/>
      <c r="AI193" s="1313">
        <f t="shared" si="743"/>
        <v>0</v>
      </c>
      <c r="AJ193" s="1312">
        <f>+CB193+DR193</f>
        <v>0</v>
      </c>
      <c r="AK193" s="1685"/>
      <c r="AL193" s="1313">
        <f t="shared" si="744"/>
        <v>0</v>
      </c>
      <c r="AM193" s="1312">
        <f>+CE193+DU193</f>
        <v>0</v>
      </c>
      <c r="AN193" s="1685"/>
      <c r="AO193" s="1313">
        <f t="shared" si="745"/>
        <v>0</v>
      </c>
      <c r="AP193" s="1312">
        <f>+CH193+DX193</f>
        <v>0</v>
      </c>
      <c r="AQ193" s="1685"/>
      <c r="AR193" s="1313"/>
      <c r="AS193" s="1312">
        <f>+AA193+X193+U193+R193+O193+L193+AD193</f>
        <v>0</v>
      </c>
      <c r="AT193" s="1687"/>
      <c r="AU193" s="411"/>
      <c r="AV193" s="1757">
        <f t="shared" si="734"/>
        <v>0</v>
      </c>
      <c r="AW193" s="411"/>
      <c r="AX193" s="493"/>
      <c r="AY193" s="488"/>
      <c r="AZ193" s="488"/>
      <c r="BA193" s="457"/>
      <c r="BB193" s="1632"/>
      <c r="BC193" s="1594"/>
      <c r="BD193" s="1595"/>
      <c r="BE193" s="1632"/>
      <c r="BF193" s="1529"/>
      <c r="BG193" s="1269"/>
      <c r="BH193" s="1632"/>
      <c r="BI193" s="1529"/>
      <c r="BJ193" s="1269"/>
      <c r="BK193" s="1632"/>
      <c r="BL193" s="1529"/>
      <c r="BM193" s="1269"/>
      <c r="BN193" s="1632"/>
      <c r="BO193" s="1529"/>
      <c r="BP193" s="1269"/>
      <c r="BQ193" s="1632"/>
      <c r="BR193" s="1529"/>
      <c r="BS193" s="1269"/>
      <c r="BT193" s="1632"/>
      <c r="BU193" s="1529"/>
      <c r="BV193" s="1269"/>
      <c r="BW193" s="1632"/>
      <c r="BX193" s="1529"/>
      <c r="BY193" s="1269"/>
      <c r="BZ193" s="1632"/>
      <c r="CA193" s="1529"/>
      <c r="CB193" s="1269"/>
      <c r="CC193" s="1632"/>
      <c r="CD193" s="1529"/>
      <c r="CE193" s="1269"/>
      <c r="CF193" s="1632"/>
      <c r="CG193" s="1529"/>
      <c r="CH193" s="1269"/>
      <c r="CI193" s="1632"/>
      <c r="CJ193" s="491"/>
      <c r="CK193" s="1258">
        <f>+BS193+BP193+BM193+BJ193+BG193+BD193+BV193</f>
        <v>0</v>
      </c>
      <c r="CL193" s="1740"/>
      <c r="CM193" s="170"/>
      <c r="CN193" s="493"/>
      <c r="CO193" s="494">
        <f t="shared" si="733"/>
        <v>0</v>
      </c>
      <c r="CP193" s="494"/>
      <c r="CQ193" s="533"/>
      <c r="CR193" s="1703"/>
      <c r="CS193" s="435"/>
      <c r="CT193" s="510">
        <f>L193-BD193</f>
        <v>0</v>
      </c>
      <c r="CU193" s="1703"/>
      <c r="CV193" s="435"/>
      <c r="CW193" s="434">
        <f>ROUND((+BG193*(1+CW$4)),0)-BG193</f>
        <v>0</v>
      </c>
      <c r="CX193" s="443"/>
      <c r="CY193" s="432">
        <v>0</v>
      </c>
      <c r="CZ193" s="434">
        <f>ROUND((+BJ193*(1+CZ$4)),0)-BJ193</f>
        <v>0</v>
      </c>
      <c r="DA193" s="443"/>
      <c r="DB193" s="432">
        <v>0</v>
      </c>
      <c r="DC193" s="434">
        <f>ROUND((+BM193*(1+DC$4)),0)-BM193</f>
        <v>0</v>
      </c>
      <c r="DD193" s="443"/>
      <c r="DE193" s="432">
        <v>0</v>
      </c>
      <c r="DF193" s="434">
        <f>ROUND((+BP193*(1+DF$4)),0)-BP193</f>
        <v>0</v>
      </c>
      <c r="DG193" s="443"/>
      <c r="DH193" s="432">
        <v>0</v>
      </c>
      <c r="DI193" s="434">
        <f>ROUND((+BS193*(1+DI$4)),0)-BS193</f>
        <v>0</v>
      </c>
      <c r="DJ193" s="443"/>
      <c r="DK193" s="432">
        <v>0</v>
      </c>
      <c r="DL193" s="434">
        <f>ROUND((+BV193*(1+DL$4)),0)-BV193</f>
        <v>0</v>
      </c>
      <c r="DM193" s="443"/>
      <c r="DN193" s="432">
        <v>0</v>
      </c>
      <c r="DO193" s="434">
        <f>ROUND((+BY193*(1+DO$4)),0)-BY193</f>
        <v>0</v>
      </c>
      <c r="DP193" s="443"/>
      <c r="DQ193" s="432">
        <v>0</v>
      </c>
      <c r="DR193" s="434">
        <f>ROUND((+CB193*(1+DR$4)),0)-CB193</f>
        <v>0</v>
      </c>
      <c r="DS193" s="443"/>
      <c r="DT193" s="432">
        <v>0</v>
      </c>
      <c r="DU193" s="434">
        <f>ROUND((+CE193*(1+DU$4)),0)-CE193</f>
        <v>0</v>
      </c>
      <c r="DV193" s="443"/>
      <c r="DW193" s="432">
        <v>0</v>
      </c>
      <c r="DX193" s="434">
        <f>ROUND((+CH193*(1+DX$4)),0)-CH193</f>
        <v>0</v>
      </c>
      <c r="DY193" s="443"/>
      <c r="DZ193" s="432"/>
      <c r="EA193" s="444">
        <f>+DI193+DF193+DC193+CZ193+CW193+CT193+DL193</f>
        <v>0</v>
      </c>
      <c r="EB193" s="433"/>
      <c r="EC193" s="170"/>
      <c r="ED193" s="170"/>
      <c r="EE193" s="170"/>
      <c r="EF193" s="170"/>
      <c r="EG193" s="170"/>
      <c r="EH193" s="170"/>
      <c r="EI193" s="170"/>
      <c r="EJ193" s="170"/>
      <c r="EK193" s="170"/>
    </row>
    <row r="194" spans="1:141" ht="15" x14ac:dyDescent="0.25">
      <c r="A194" s="170"/>
      <c r="B194" s="472"/>
      <c r="C194" s="472"/>
      <c r="D194" s="472"/>
      <c r="E194" s="170"/>
      <c r="F194" s="493"/>
      <c r="G194" s="1560" t="str">
        <f t="shared" si="659"/>
        <v>Contingency SubTotal</v>
      </c>
      <c r="H194" s="1546"/>
      <c r="I194" s="1310"/>
      <c r="J194" s="1687"/>
      <c r="K194" s="1548"/>
      <c r="L194" s="1537">
        <f>SUM(L191:L193)</f>
        <v>0</v>
      </c>
      <c r="M194" s="1640"/>
      <c r="N194" s="1553"/>
      <c r="O194" s="1537">
        <f ca="1">SUM(O191:O193)</f>
        <v>0</v>
      </c>
      <c r="P194" s="1640"/>
      <c r="Q194" s="1553"/>
      <c r="R194" s="1537">
        <f ca="1">SUM(R191:R193)</f>
        <v>0</v>
      </c>
      <c r="S194" s="1632"/>
      <c r="T194" s="1553"/>
      <c r="U194" s="1537">
        <f ca="1">SUM(U191:U193)</f>
        <v>775869.385116547</v>
      </c>
      <c r="V194" s="1632"/>
      <c r="W194" s="1553"/>
      <c r="X194" s="1537">
        <f ca="1">SUM(X191:X193)</f>
        <v>942315.50801654707</v>
      </c>
      <c r="Y194" s="1632"/>
      <c r="Z194" s="1553"/>
      <c r="AA194" s="1537">
        <f ca="1">SUM(AA191:AA193)</f>
        <v>123606.44</v>
      </c>
      <c r="AB194" s="1632"/>
      <c r="AC194" s="1553"/>
      <c r="AD194" s="1537">
        <f ca="1">SUM(AD191:AD193)</f>
        <v>0</v>
      </c>
      <c r="AE194" s="1632"/>
      <c r="AF194" s="1553"/>
      <c r="AG194" s="1537">
        <f ca="1">SUM(AG191:AG193)</f>
        <v>0</v>
      </c>
      <c r="AH194" s="1632"/>
      <c r="AI194" s="1553"/>
      <c r="AJ194" s="1537">
        <f ca="1">SUM(AJ191:AJ193)</f>
        <v>0</v>
      </c>
      <c r="AK194" s="1632"/>
      <c r="AL194" s="1553"/>
      <c r="AM194" s="1537">
        <f ca="1">SUM(AM191:AM193)</f>
        <v>0</v>
      </c>
      <c r="AN194" s="1632"/>
      <c r="AO194" s="1553"/>
      <c r="AP194" s="1537">
        <f ca="1">SUM(AP191:AP193)</f>
        <v>0</v>
      </c>
      <c r="AQ194" s="1632"/>
      <c r="AR194" s="491"/>
      <c r="AS194" s="1537">
        <f ca="1">SUM(AS191:AS193)</f>
        <v>1841791.333133094</v>
      </c>
      <c r="AT194" s="1687"/>
      <c r="AU194" s="411"/>
      <c r="AV194" s="1757">
        <f t="shared" ca="1" si="734"/>
        <v>1841791.333133094</v>
      </c>
      <c r="AW194" s="411"/>
      <c r="AX194" s="493"/>
      <c r="AY194" s="1560" t="s">
        <v>1455</v>
      </c>
      <c r="AZ194" s="1546"/>
      <c r="BA194" s="1552"/>
      <c r="BB194" s="1640"/>
      <c r="BC194" s="1548"/>
      <c r="BD194" s="1549">
        <f>SUM(BD191:BD193)</f>
        <v>0</v>
      </c>
      <c r="BE194" s="1640"/>
      <c r="BF194" s="1553"/>
      <c r="BG194" s="1551">
        <f ca="1">SUM(BG191:BG193)</f>
        <v>0</v>
      </c>
      <c r="BH194" s="1640"/>
      <c r="BI194" s="1553"/>
      <c r="BJ194" s="1551">
        <f ca="1">SUM(BJ191:BJ193)</f>
        <v>0</v>
      </c>
      <c r="BK194" s="1632"/>
      <c r="BL194" s="1553"/>
      <c r="BM194" s="1551">
        <f ca="1">SUM(BM191:BM193)</f>
        <v>775869.385116547</v>
      </c>
      <c r="BN194" s="1632"/>
      <c r="BO194" s="1553"/>
      <c r="BP194" s="1551">
        <f ca="1">SUM(BP191:BP193)</f>
        <v>942315.50801654707</v>
      </c>
      <c r="BQ194" s="1632"/>
      <c r="BR194" s="1553"/>
      <c r="BS194" s="1551">
        <f ca="1">SUM(BS191:BS193)</f>
        <v>123606.44</v>
      </c>
      <c r="BT194" s="1632"/>
      <c r="BU194" s="1553"/>
      <c r="BV194" s="1551">
        <f ca="1">SUM(BV191:BV193)</f>
        <v>0</v>
      </c>
      <c r="BW194" s="1632"/>
      <c r="BX194" s="1553"/>
      <c r="BY194" s="1551">
        <f ca="1">SUM(BY191:BY193)</f>
        <v>0</v>
      </c>
      <c r="BZ194" s="1632"/>
      <c r="CA194" s="1553"/>
      <c r="CB194" s="1551">
        <f ca="1">SUM(CB191:CB193)</f>
        <v>0</v>
      </c>
      <c r="CC194" s="1632"/>
      <c r="CD194" s="1553"/>
      <c r="CE194" s="1551">
        <f ca="1">SUM(CE191:CE193)</f>
        <v>0</v>
      </c>
      <c r="CF194" s="1632"/>
      <c r="CG194" s="1553"/>
      <c r="CH194" s="1551">
        <f ca="1">SUM(CH191:CH193)</f>
        <v>0</v>
      </c>
      <c r="CI194" s="1632"/>
      <c r="CJ194" s="491"/>
      <c r="CK194" s="1551">
        <f ca="1">SUM(CK191:CK193)</f>
        <v>1841791.333133094</v>
      </c>
      <c r="CL194" s="1740"/>
      <c r="CM194" s="170"/>
      <c r="CN194" s="493"/>
      <c r="CO194" s="1619" t="str">
        <f t="shared" si="733"/>
        <v>Contingency SubTotal</v>
      </c>
      <c r="CP194" s="1618"/>
      <c r="CQ194" s="533"/>
      <c r="CR194" s="1703"/>
      <c r="CS194" s="435"/>
      <c r="CT194" s="1551">
        <f>SUM(CT191:CT193)</f>
        <v>0</v>
      </c>
      <c r="CU194" s="1703"/>
      <c r="CV194" s="435"/>
      <c r="CW194" s="1551">
        <f ca="1">SUM(CW191:CW193)</f>
        <v>0</v>
      </c>
      <c r="CX194" s="1703"/>
      <c r="CY194" s="435"/>
      <c r="CZ194" s="1551">
        <f>SUM(CZ191:CZ193)</f>
        <v>0</v>
      </c>
      <c r="DA194" s="1703"/>
      <c r="DB194" s="435"/>
      <c r="DC194" s="1551">
        <f>SUM(DC191:DC193)</f>
        <v>0</v>
      </c>
      <c r="DD194" s="1703"/>
      <c r="DE194" s="435"/>
      <c r="DF194" s="1551">
        <f>SUM(DF191:DF193)</f>
        <v>0</v>
      </c>
      <c r="DG194" s="1703"/>
      <c r="DH194" s="435"/>
      <c r="DI194" s="1551">
        <f>SUM(DI191:DI193)</f>
        <v>0</v>
      </c>
      <c r="DJ194" s="1703"/>
      <c r="DK194" s="435"/>
      <c r="DL194" s="1551">
        <f>SUM(DL191:DL193)</f>
        <v>0</v>
      </c>
      <c r="DM194" s="1703"/>
      <c r="DN194" s="435"/>
      <c r="DO194" s="1551">
        <f>SUM(DO191:DO193)</f>
        <v>0</v>
      </c>
      <c r="DP194" s="1703"/>
      <c r="DQ194" s="435"/>
      <c r="DR194" s="1551">
        <f>SUM(DR191:DR193)</f>
        <v>0</v>
      </c>
      <c r="DS194" s="1703"/>
      <c r="DT194" s="435"/>
      <c r="DU194" s="1551">
        <f>SUM(DU191:DU193)</f>
        <v>0</v>
      </c>
      <c r="DV194" s="1703"/>
      <c r="DW194" s="435"/>
      <c r="DX194" s="1551">
        <f>SUM(DX191:DX193)</f>
        <v>0</v>
      </c>
      <c r="DY194" s="1703"/>
      <c r="DZ194" s="435"/>
      <c r="EA194" s="1551">
        <f ca="1">SUM(EA191:EA193)</f>
        <v>0</v>
      </c>
      <c r="EB194" s="433"/>
      <c r="EC194" s="170"/>
      <c r="ED194" s="170"/>
      <c r="EE194" s="170"/>
      <c r="EF194" s="170"/>
      <c r="EG194" s="170"/>
      <c r="EH194" s="170"/>
      <c r="EI194" s="170"/>
      <c r="EJ194" s="170"/>
      <c r="EK194" s="170"/>
    </row>
    <row r="195" spans="1:141" ht="15.75" thickBot="1" x14ac:dyDescent="0.3">
      <c r="A195" s="170"/>
      <c r="B195" s="472"/>
      <c r="C195" s="472"/>
      <c r="D195" s="472"/>
      <c r="E195" s="170"/>
      <c r="F195" s="493"/>
      <c r="G195" s="1380">
        <f t="shared" si="659"/>
        <v>0</v>
      </c>
      <c r="H195" s="488"/>
      <c r="I195" s="1310"/>
      <c r="J195" s="1687"/>
      <c r="K195" s="491"/>
      <c r="L195" s="1527"/>
      <c r="M195" s="1632"/>
      <c r="N195" s="1528"/>
      <c r="O195" s="1530"/>
      <c r="P195" s="1632"/>
      <c r="Q195" s="1528"/>
      <c r="R195" s="1530"/>
      <c r="S195" s="1632"/>
      <c r="T195" s="1528"/>
      <c r="U195" s="1530"/>
      <c r="V195" s="1632"/>
      <c r="W195" s="1528"/>
      <c r="X195" s="1530"/>
      <c r="Y195" s="1632"/>
      <c r="Z195" s="1528"/>
      <c r="AA195" s="1530"/>
      <c r="AB195" s="1632"/>
      <c r="AC195" s="1528"/>
      <c r="AD195" s="1530"/>
      <c r="AE195" s="1632"/>
      <c r="AF195" s="1528"/>
      <c r="AG195" s="1530"/>
      <c r="AH195" s="1632"/>
      <c r="AI195" s="1528"/>
      <c r="AJ195" s="1530"/>
      <c r="AK195" s="1632"/>
      <c r="AL195" s="1528"/>
      <c r="AM195" s="1530"/>
      <c r="AN195" s="1632"/>
      <c r="AO195" s="1528"/>
      <c r="AP195" s="1530"/>
      <c r="AQ195" s="1632"/>
      <c r="AR195" s="491"/>
      <c r="AS195" s="1271"/>
      <c r="AT195" s="1687"/>
      <c r="AU195" s="411"/>
      <c r="AV195" s="1757">
        <f t="shared" si="734"/>
        <v>0</v>
      </c>
      <c r="AW195" s="411"/>
      <c r="AX195" s="493"/>
      <c r="AY195" s="1380"/>
      <c r="AZ195" s="488"/>
      <c r="BA195" s="457"/>
      <c r="BB195" s="1632"/>
      <c r="BC195" s="491"/>
      <c r="BD195" s="1527"/>
      <c r="BE195" s="1632"/>
      <c r="BF195" s="1528"/>
      <c r="BG195" s="1530"/>
      <c r="BH195" s="1632"/>
      <c r="BI195" s="1528"/>
      <c r="BJ195" s="1530"/>
      <c r="BK195" s="1632"/>
      <c r="BL195" s="1528"/>
      <c r="BM195" s="1530"/>
      <c r="BN195" s="1632"/>
      <c r="BO195" s="1528"/>
      <c r="BP195" s="1530"/>
      <c r="BQ195" s="1632"/>
      <c r="BR195" s="1528"/>
      <c r="BS195" s="1530"/>
      <c r="BT195" s="1632"/>
      <c r="BU195" s="1528"/>
      <c r="BV195" s="1530"/>
      <c r="BW195" s="1632"/>
      <c r="BX195" s="1528"/>
      <c r="BY195" s="1530"/>
      <c r="BZ195" s="1632"/>
      <c r="CA195" s="1528"/>
      <c r="CB195" s="1530"/>
      <c r="CC195" s="1632"/>
      <c r="CD195" s="1528"/>
      <c r="CE195" s="1530"/>
      <c r="CF195" s="1632"/>
      <c r="CG195" s="1528"/>
      <c r="CH195" s="1530"/>
      <c r="CI195" s="1632"/>
      <c r="CJ195" s="491"/>
      <c r="CK195" s="1271"/>
      <c r="CL195" s="1740"/>
      <c r="CM195" s="170"/>
      <c r="CN195" s="493"/>
      <c r="CO195" s="1620">
        <f t="shared" si="733"/>
        <v>0</v>
      </c>
      <c r="CP195" s="494"/>
      <c r="CQ195" s="533"/>
      <c r="CR195" s="1703"/>
      <c r="CS195" s="435"/>
      <c r="CT195" s="1271"/>
      <c r="CU195" s="1703"/>
      <c r="CV195" s="435"/>
      <c r="CW195" s="1271"/>
      <c r="CX195" s="1703"/>
      <c r="CY195" s="435"/>
      <c r="CZ195" s="1271"/>
      <c r="DA195" s="1703"/>
      <c r="DB195" s="435"/>
      <c r="DC195" s="1271"/>
      <c r="DD195" s="1703"/>
      <c r="DE195" s="435"/>
      <c r="DF195" s="1271"/>
      <c r="DG195" s="1703"/>
      <c r="DH195" s="435"/>
      <c r="DI195" s="1271"/>
      <c r="DJ195" s="1703"/>
      <c r="DK195" s="435"/>
      <c r="DL195" s="1271"/>
      <c r="DM195" s="1703"/>
      <c r="DN195" s="435"/>
      <c r="DO195" s="1271"/>
      <c r="DP195" s="1703"/>
      <c r="DQ195" s="435"/>
      <c r="DR195" s="1271"/>
      <c r="DS195" s="1703"/>
      <c r="DT195" s="435"/>
      <c r="DU195" s="1271"/>
      <c r="DV195" s="1703"/>
      <c r="DW195" s="435"/>
      <c r="DX195" s="1271"/>
      <c r="DY195" s="1703"/>
      <c r="DZ195" s="435"/>
      <c r="EA195" s="1752"/>
      <c r="EB195" s="433"/>
      <c r="EC195" s="170"/>
      <c r="ED195" s="170"/>
      <c r="EE195" s="170"/>
      <c r="EF195" s="170"/>
      <c r="EG195" s="170"/>
      <c r="EH195" s="170"/>
      <c r="EI195" s="170"/>
      <c r="EJ195" s="170"/>
      <c r="EK195" s="170"/>
    </row>
    <row r="196" spans="1:141" ht="15" x14ac:dyDescent="0.25">
      <c r="A196" s="170"/>
      <c r="B196" s="472"/>
      <c r="C196" s="472"/>
      <c r="D196" s="472"/>
      <c r="E196" s="170"/>
      <c r="F196" s="493"/>
      <c r="G196" s="1534" t="str">
        <f t="shared" si="659"/>
        <v>TOTAL PROJECT COST -  Approved Funding</v>
      </c>
      <c r="H196" s="1535"/>
      <c r="I196" s="1310"/>
      <c r="J196" s="1687"/>
      <c r="K196" s="1311">
        <f t="shared" ref="K196:K200" si="749">+BC196</f>
        <v>0</v>
      </c>
      <c r="L196" s="1312">
        <f t="shared" ref="L196:L200" si="750">+BD196</f>
        <v>375891.79</v>
      </c>
      <c r="M196" s="1687"/>
      <c r="N196" s="1325"/>
      <c r="O196" s="1537">
        <f ca="1">+O188+O194</f>
        <v>5029</v>
      </c>
      <c r="P196" s="1685"/>
      <c r="Q196" s="1313">
        <f t="shared" ref="Q196:Q200" si="751">+BI196</f>
        <v>0</v>
      </c>
      <c r="R196" s="1537">
        <f ca="1">+R188+R194</f>
        <v>34984</v>
      </c>
      <c r="S196" s="1685"/>
      <c r="T196" s="1313">
        <f t="shared" ref="T196:T200" si="752">+BL196</f>
        <v>0</v>
      </c>
      <c r="U196" s="1537">
        <f ca="1">+U188+U194</f>
        <v>14337401.959716547</v>
      </c>
      <c r="V196" s="1685"/>
      <c r="W196" s="1313">
        <f t="shared" ref="W196:W200" si="753">+BO196</f>
        <v>0</v>
      </c>
      <c r="X196" s="1537">
        <f ca="1">+X188+X194</f>
        <v>23439681.999482948</v>
      </c>
      <c r="Y196" s="1685"/>
      <c r="Z196" s="1313">
        <f t="shared" ref="Z196:Z200" si="754">+BR196</f>
        <v>0</v>
      </c>
      <c r="AA196" s="1537">
        <f ca="1">+AA188+AA194</f>
        <v>7903371.1926781684</v>
      </c>
      <c r="AB196" s="1685"/>
      <c r="AC196" s="1313">
        <f t="shared" ref="AC196:AC200" si="755">+BU196</f>
        <v>0</v>
      </c>
      <c r="AD196" s="1537">
        <f ca="1">+AD188+AD194</f>
        <v>0</v>
      </c>
      <c r="AE196" s="1685"/>
      <c r="AF196" s="1313">
        <f t="shared" ref="AF196:AF200" si="756">+BX196</f>
        <v>0</v>
      </c>
      <c r="AG196" s="1537">
        <f ca="1">+AG188+AG194</f>
        <v>0</v>
      </c>
      <c r="AH196" s="1685"/>
      <c r="AI196" s="1313">
        <f t="shared" ref="AI196:AI200" si="757">+CA196</f>
        <v>0</v>
      </c>
      <c r="AJ196" s="1537">
        <f ca="1">+AJ188+AJ194</f>
        <v>0</v>
      </c>
      <c r="AK196" s="1685"/>
      <c r="AL196" s="1313">
        <f t="shared" ref="AL196:AL200" si="758">+CD196</f>
        <v>0</v>
      </c>
      <c r="AM196" s="1537">
        <f ca="1">+AM188+AM194</f>
        <v>0</v>
      </c>
      <c r="AN196" s="1685"/>
      <c r="AO196" s="1313">
        <f t="shared" ref="AO196:AO200" si="759">+CG196</f>
        <v>0</v>
      </c>
      <c r="AP196" s="1537">
        <f ca="1">+AP188+AP194</f>
        <v>0</v>
      </c>
      <c r="AQ196" s="1685"/>
      <c r="AR196" s="1313"/>
      <c r="AS196" s="1537">
        <f ca="1">+AS188+AS194</f>
        <v>46096359.941877671</v>
      </c>
      <c r="AT196" s="1687"/>
      <c r="AU196" s="411"/>
      <c r="AV196" s="1757">
        <f t="shared" ca="1" si="734"/>
        <v>46096359.941877656</v>
      </c>
      <c r="AW196" s="411"/>
      <c r="AX196" s="493"/>
      <c r="AY196" s="1534" t="s">
        <v>1456</v>
      </c>
      <c r="AZ196" s="1535"/>
      <c r="BA196" s="1536"/>
      <c r="BB196" s="1639"/>
      <c r="BC196" s="1626"/>
      <c r="BD196" s="1537">
        <f>+BD188+BD194</f>
        <v>375891.79</v>
      </c>
      <c r="BE196" s="1657"/>
      <c r="BF196" s="1649"/>
      <c r="BG196" s="1537">
        <f ca="1">+BG188+BG194</f>
        <v>5028.8899999999994</v>
      </c>
      <c r="BH196" s="1639"/>
      <c r="BI196" s="1649"/>
      <c r="BJ196" s="1537">
        <f ca="1">+BJ188+BJ194</f>
        <v>34601</v>
      </c>
      <c r="BK196" s="1632"/>
      <c r="BL196" s="1649"/>
      <c r="BM196" s="1537">
        <f ca="1">+BM188+BM194</f>
        <v>13568278.435116548</v>
      </c>
      <c r="BN196" s="1632"/>
      <c r="BO196" s="1649"/>
      <c r="BP196" s="1537">
        <f ca="1">+BP188+BP194</f>
        <v>21570279.065306544</v>
      </c>
      <c r="BQ196" s="1632"/>
      <c r="BR196" s="1649"/>
      <c r="BS196" s="1537">
        <f ca="1">+BS188+BS194</f>
        <v>7120468.8320000004</v>
      </c>
      <c r="BT196" s="1632"/>
      <c r="BU196" s="1649"/>
      <c r="BV196" s="1537">
        <f ca="1">+BV188+BV194</f>
        <v>0</v>
      </c>
      <c r="BW196" s="1632"/>
      <c r="BX196" s="1649"/>
      <c r="BY196" s="1537">
        <f ca="1">+BY188+BY194</f>
        <v>0</v>
      </c>
      <c r="BZ196" s="1632"/>
      <c r="CA196" s="1649"/>
      <c r="CB196" s="1537">
        <f ca="1">+CB188+CB194</f>
        <v>0</v>
      </c>
      <c r="CC196" s="1632"/>
      <c r="CD196" s="1649"/>
      <c r="CE196" s="1537">
        <f ca="1">+CE188+CE194</f>
        <v>0</v>
      </c>
      <c r="CF196" s="1632"/>
      <c r="CG196" s="1649"/>
      <c r="CH196" s="1537">
        <f ca="1">+CH188+CH194</f>
        <v>0</v>
      </c>
      <c r="CI196" s="1632"/>
      <c r="CJ196" s="491"/>
      <c r="CK196" s="1537">
        <f ca="1">+CK188+CK194</f>
        <v>42674548.012423091</v>
      </c>
      <c r="CL196" s="1740"/>
      <c r="CM196" s="170"/>
      <c r="CN196" s="493"/>
      <c r="CO196" s="1615" t="str">
        <f t="shared" si="733"/>
        <v>TOTAL PROJECT COST -  Approved Funding</v>
      </c>
      <c r="CP196" s="1616"/>
      <c r="CQ196" s="533"/>
      <c r="CR196" s="1703"/>
      <c r="CS196" s="435"/>
      <c r="CT196" s="1537">
        <f>+CT188+CT194</f>
        <v>0</v>
      </c>
      <c r="CU196" s="1703"/>
      <c r="CV196" s="435"/>
      <c r="CW196" s="1537">
        <f ca="1">+CW188+CW194</f>
        <v>0.11000000000012733</v>
      </c>
      <c r="CX196" s="1703"/>
      <c r="CY196" s="435"/>
      <c r="CZ196" s="1537">
        <f ca="1">+CZ188+CZ194</f>
        <v>383</v>
      </c>
      <c r="DA196" s="1703"/>
      <c r="DB196" s="435"/>
      <c r="DC196" s="1537">
        <f ca="1">+DC188+DC194</f>
        <v>769123.52459999954</v>
      </c>
      <c r="DD196" s="1703"/>
      <c r="DE196" s="435"/>
      <c r="DF196" s="1537">
        <f ca="1">+DF188+DF194</f>
        <v>1869402.9341764003</v>
      </c>
      <c r="DG196" s="1703"/>
      <c r="DH196" s="435"/>
      <c r="DI196" s="1537">
        <f ca="1">+DI188+DI194</f>
        <v>782902.36067816825</v>
      </c>
      <c r="DJ196" s="1703"/>
      <c r="DK196" s="435"/>
      <c r="DL196" s="1537">
        <f ca="1">+DL188+DL194</f>
        <v>0</v>
      </c>
      <c r="DM196" s="1703"/>
      <c r="DN196" s="435"/>
      <c r="DO196" s="1537">
        <f ca="1">+DO188+DO194</f>
        <v>0</v>
      </c>
      <c r="DP196" s="1703"/>
      <c r="DQ196" s="435"/>
      <c r="DR196" s="1537">
        <f ca="1">+DR188+DR194</f>
        <v>0</v>
      </c>
      <c r="DS196" s="1703"/>
      <c r="DT196" s="435"/>
      <c r="DU196" s="1537">
        <f ca="1">+DU188+DU194</f>
        <v>0</v>
      </c>
      <c r="DV196" s="1703"/>
      <c r="DW196" s="435"/>
      <c r="DX196" s="1537">
        <f ca="1">+DX188+DX194</f>
        <v>0</v>
      </c>
      <c r="DY196" s="1703"/>
      <c r="DZ196" s="435"/>
      <c r="EA196" s="1537">
        <f ca="1">+EA188+EA194</f>
        <v>3421811.9294545678</v>
      </c>
      <c r="EB196" s="433"/>
      <c r="EC196" s="170"/>
      <c r="ED196" s="170"/>
      <c r="EE196" s="170"/>
      <c r="EF196" s="170"/>
      <c r="EG196" s="170"/>
      <c r="EH196" s="170"/>
      <c r="EI196" s="170"/>
      <c r="EJ196" s="170"/>
      <c r="EK196" s="170"/>
    </row>
    <row r="197" spans="1:141" ht="15" x14ac:dyDescent="0.25">
      <c r="A197" s="170"/>
      <c r="B197" s="472"/>
      <c r="C197" s="472"/>
      <c r="D197" s="472"/>
      <c r="E197" s="170"/>
      <c r="F197" s="493"/>
      <c r="G197" s="1263">
        <f t="shared" si="659"/>
        <v>0</v>
      </c>
      <c r="H197" s="168"/>
      <c r="I197" s="1310"/>
      <c r="J197" s="1687"/>
      <c r="K197" s="1311">
        <f t="shared" si="749"/>
        <v>0</v>
      </c>
      <c r="L197" s="1312">
        <f t="shared" si="750"/>
        <v>0</v>
      </c>
      <c r="M197" s="1687"/>
      <c r="N197" s="1325"/>
      <c r="O197" s="1312">
        <f>+BG197+CW197</f>
        <v>0</v>
      </c>
      <c r="P197" s="1685"/>
      <c r="Q197" s="1313">
        <f t="shared" si="751"/>
        <v>0</v>
      </c>
      <c r="R197" s="1312">
        <f>+BJ197+CZ197</f>
        <v>0</v>
      </c>
      <c r="S197" s="1685"/>
      <c r="T197" s="1313">
        <f t="shared" si="752"/>
        <v>0</v>
      </c>
      <c r="U197" s="1312">
        <f>+BM197+DC197</f>
        <v>0</v>
      </c>
      <c r="V197" s="1685"/>
      <c r="W197" s="1313">
        <f t="shared" si="753"/>
        <v>0</v>
      </c>
      <c r="X197" s="1312">
        <f>+BP197+DF197</f>
        <v>0</v>
      </c>
      <c r="Y197" s="1685"/>
      <c r="Z197" s="1313">
        <f t="shared" si="754"/>
        <v>0</v>
      </c>
      <c r="AA197" s="1312">
        <f>+BS197+DI197</f>
        <v>0</v>
      </c>
      <c r="AB197" s="1685"/>
      <c r="AC197" s="1313">
        <f t="shared" si="755"/>
        <v>0</v>
      </c>
      <c r="AD197" s="1312">
        <f>+BV197+DL197</f>
        <v>0</v>
      </c>
      <c r="AE197" s="1685"/>
      <c r="AF197" s="1313">
        <f t="shared" si="756"/>
        <v>0</v>
      </c>
      <c r="AG197" s="1312">
        <f>+BY197+DO197</f>
        <v>0</v>
      </c>
      <c r="AH197" s="1685"/>
      <c r="AI197" s="1313">
        <f t="shared" si="757"/>
        <v>0</v>
      </c>
      <c r="AJ197" s="1312">
        <f>+CB197+DR197</f>
        <v>0</v>
      </c>
      <c r="AK197" s="1685"/>
      <c r="AL197" s="1313">
        <f t="shared" si="758"/>
        <v>0</v>
      </c>
      <c r="AM197" s="1312">
        <f>+CE197+DU197</f>
        <v>0</v>
      </c>
      <c r="AN197" s="1685"/>
      <c r="AO197" s="1313">
        <f t="shared" si="759"/>
        <v>0</v>
      </c>
      <c r="AP197" s="1312">
        <f>+CH197+DX197</f>
        <v>0</v>
      </c>
      <c r="AQ197" s="1685"/>
      <c r="AR197" s="1313"/>
      <c r="AS197" s="1312"/>
      <c r="AT197" s="1687"/>
      <c r="AU197" s="411"/>
      <c r="AV197" s="1757">
        <f t="shared" si="734"/>
        <v>0</v>
      </c>
      <c r="AW197" s="411"/>
      <c r="AX197" s="493"/>
      <c r="AY197" s="1263"/>
      <c r="AZ197" s="168"/>
      <c r="BA197" s="377"/>
      <c r="BB197" s="1632"/>
      <c r="BC197" s="1554"/>
      <c r="BD197" s="1555"/>
      <c r="BE197" s="1637"/>
      <c r="BF197" s="1556"/>
      <c r="BG197" s="1555"/>
      <c r="BH197" s="1632"/>
      <c r="BI197" s="1556"/>
      <c r="BJ197" s="1555"/>
      <c r="BK197" s="1632"/>
      <c r="BL197" s="1556"/>
      <c r="BM197" s="1555"/>
      <c r="BN197" s="1632"/>
      <c r="BO197" s="1556"/>
      <c r="BP197" s="1555"/>
      <c r="BQ197" s="1632"/>
      <c r="BR197" s="1556"/>
      <c r="BS197" s="1555"/>
      <c r="BT197" s="1632"/>
      <c r="BU197" s="1556"/>
      <c r="BV197" s="1555"/>
      <c r="BW197" s="1632"/>
      <c r="BX197" s="1556"/>
      <c r="BY197" s="1555"/>
      <c r="BZ197" s="1632"/>
      <c r="CA197" s="1556"/>
      <c r="CB197" s="1555"/>
      <c r="CC197" s="1632"/>
      <c r="CD197" s="1556"/>
      <c r="CE197" s="1555"/>
      <c r="CF197" s="1632"/>
      <c r="CG197" s="1556"/>
      <c r="CH197" s="1555"/>
      <c r="CI197" s="1632"/>
      <c r="CJ197" s="491"/>
      <c r="CK197" s="1271"/>
      <c r="CL197" s="1740"/>
      <c r="CM197" s="170"/>
      <c r="CN197" s="493"/>
      <c r="CO197" s="395">
        <f t="shared" si="733"/>
        <v>0</v>
      </c>
      <c r="CP197" s="388"/>
      <c r="CQ197" s="533"/>
      <c r="CR197" s="1703"/>
      <c r="CS197" s="435"/>
      <c r="CT197" s="1271"/>
      <c r="CU197" s="1703"/>
      <c r="CV197" s="435"/>
      <c r="CW197" s="1271"/>
      <c r="CX197" s="1703"/>
      <c r="CY197" s="435"/>
      <c r="CZ197" s="1271"/>
      <c r="DA197" s="1703"/>
      <c r="DB197" s="435"/>
      <c r="DC197" s="1271"/>
      <c r="DD197" s="1703"/>
      <c r="DE197" s="435"/>
      <c r="DF197" s="1271"/>
      <c r="DG197" s="1703"/>
      <c r="DH197" s="435"/>
      <c r="DI197" s="1271"/>
      <c r="DJ197" s="1703"/>
      <c r="DK197" s="435"/>
      <c r="DL197" s="1271"/>
      <c r="DM197" s="1703"/>
      <c r="DN197" s="435"/>
      <c r="DO197" s="1271"/>
      <c r="DP197" s="1703"/>
      <c r="DQ197" s="435"/>
      <c r="DR197" s="1271"/>
      <c r="DS197" s="1703"/>
      <c r="DT197" s="435"/>
      <c r="DU197" s="1271"/>
      <c r="DV197" s="1703"/>
      <c r="DW197" s="435"/>
      <c r="DX197" s="1271"/>
      <c r="DY197" s="1703"/>
      <c r="DZ197" s="435"/>
      <c r="EA197" s="1752"/>
      <c r="EB197" s="433"/>
      <c r="EC197" s="170"/>
      <c r="ED197" s="170"/>
      <c r="EE197" s="170"/>
      <c r="EF197" s="170"/>
      <c r="EG197" s="170"/>
      <c r="EH197" s="170"/>
      <c r="EI197" s="170"/>
      <c r="EJ197" s="170"/>
      <c r="EK197" s="170"/>
    </row>
    <row r="198" spans="1:141" ht="15" x14ac:dyDescent="0.25">
      <c r="A198" s="170"/>
      <c r="B198" s="424">
        <v>8</v>
      </c>
      <c r="C198" s="424">
        <v>12</v>
      </c>
      <c r="D198" s="424">
        <v>16</v>
      </c>
      <c r="E198" s="425">
        <v>16</v>
      </c>
      <c r="F198" s="493"/>
      <c r="G198" s="1263" t="str">
        <f t="shared" si="659"/>
        <v xml:space="preserve">   Reimbursables / Customer Contribution</v>
      </c>
      <c r="H198" s="488"/>
      <c r="I198" s="1310"/>
      <c r="J198" s="1687"/>
      <c r="K198" s="1311">
        <f t="shared" si="749"/>
        <v>0</v>
      </c>
      <c r="L198" s="1312">
        <f t="shared" si="750"/>
        <v>0</v>
      </c>
      <c r="M198" s="1687"/>
      <c r="N198" s="1325"/>
      <c r="O198" s="1312">
        <f>+BG198+CW198</f>
        <v>0</v>
      </c>
      <c r="P198" s="1685"/>
      <c r="Q198" s="1313">
        <f t="shared" si="751"/>
        <v>0</v>
      </c>
      <c r="R198" s="1312">
        <f>+BJ198+CZ198</f>
        <v>0</v>
      </c>
      <c r="S198" s="1685"/>
      <c r="T198" s="1313">
        <f t="shared" si="752"/>
        <v>0</v>
      </c>
      <c r="U198" s="1312">
        <f>+BM198+DC198</f>
        <v>0</v>
      </c>
      <c r="V198" s="1685"/>
      <c r="W198" s="1313">
        <f t="shared" si="753"/>
        <v>0</v>
      </c>
      <c r="X198" s="1312">
        <f>+BP198+DF198</f>
        <v>0</v>
      </c>
      <c r="Y198" s="1685"/>
      <c r="Z198" s="1313">
        <f t="shared" si="754"/>
        <v>0</v>
      </c>
      <c r="AA198" s="1312">
        <f>+BS198+DI198</f>
        <v>0</v>
      </c>
      <c r="AB198" s="1685"/>
      <c r="AC198" s="1313">
        <f t="shared" si="755"/>
        <v>0</v>
      </c>
      <c r="AD198" s="1312">
        <f>+BV198+DL198</f>
        <v>0</v>
      </c>
      <c r="AE198" s="1685"/>
      <c r="AF198" s="1313">
        <f t="shared" si="756"/>
        <v>0</v>
      </c>
      <c r="AG198" s="1312">
        <f>+BY198+DO198</f>
        <v>0</v>
      </c>
      <c r="AH198" s="1685"/>
      <c r="AI198" s="1313">
        <f t="shared" si="757"/>
        <v>0</v>
      </c>
      <c r="AJ198" s="1312">
        <f>+CB198+DR198</f>
        <v>0</v>
      </c>
      <c r="AK198" s="1685"/>
      <c r="AL198" s="1313">
        <f t="shared" si="758"/>
        <v>0</v>
      </c>
      <c r="AM198" s="1312">
        <f>+CE198+DU198</f>
        <v>0</v>
      </c>
      <c r="AN198" s="1685"/>
      <c r="AO198" s="1313">
        <f t="shared" si="759"/>
        <v>0</v>
      </c>
      <c r="AP198" s="1312">
        <f>+CH198+DX198</f>
        <v>0</v>
      </c>
      <c r="AQ198" s="1685"/>
      <c r="AR198" s="1313"/>
      <c r="AS198" s="1312">
        <f t="shared" ref="AS198:AS199" si="760">+AA198+X198+U198+R198+O198+L198+AD198</f>
        <v>0</v>
      </c>
      <c r="AT198" s="1687"/>
      <c r="AU198" s="411"/>
      <c r="AV198" s="1757">
        <f t="shared" si="734"/>
        <v>0</v>
      </c>
      <c r="AW198" s="411"/>
      <c r="AX198" s="493"/>
      <c r="AY198" s="1263" t="s">
        <v>1457</v>
      </c>
      <c r="AZ198" s="488"/>
      <c r="BA198" s="457"/>
      <c r="BB198" s="1630"/>
      <c r="BC198" s="491"/>
      <c r="BD198" s="1527"/>
      <c r="BE198" s="1632"/>
      <c r="BF198" s="1528"/>
      <c r="BG198" s="1530"/>
      <c r="BH198" s="1632"/>
      <c r="BI198" s="1528"/>
      <c r="BJ198" s="1530"/>
      <c r="BK198" s="1632"/>
      <c r="BL198" s="1528"/>
      <c r="BM198" s="1530"/>
      <c r="BN198" s="1632"/>
      <c r="BO198" s="1528"/>
      <c r="BP198" s="1530"/>
      <c r="BQ198" s="1632"/>
      <c r="BR198" s="1528"/>
      <c r="BS198" s="1530"/>
      <c r="BT198" s="1632"/>
      <c r="BU198" s="1528"/>
      <c r="BV198" s="1530"/>
      <c r="BW198" s="1632"/>
      <c r="BX198" s="1528"/>
      <c r="BY198" s="1530"/>
      <c r="BZ198" s="1632"/>
      <c r="CA198" s="1528"/>
      <c r="CB198" s="1530"/>
      <c r="CC198" s="1632"/>
      <c r="CD198" s="1528"/>
      <c r="CE198" s="1530"/>
      <c r="CF198" s="1632"/>
      <c r="CG198" s="1528"/>
      <c r="CH198" s="1530"/>
      <c r="CI198" s="1632"/>
      <c r="CJ198" s="491"/>
      <c r="CK198" s="1258">
        <f t="shared" ref="CK198:CK199" si="761">+BS198+BP198+BM198+BJ198+BG198+BD198+BV198</f>
        <v>0</v>
      </c>
      <c r="CL198" s="1740"/>
      <c r="CM198" s="170"/>
      <c r="CN198" s="493"/>
      <c r="CO198" s="395" t="str">
        <f t="shared" si="733"/>
        <v xml:space="preserve">   Reimbursables / Customer Contribution</v>
      </c>
      <c r="CP198" s="494"/>
      <c r="CQ198" s="533"/>
      <c r="CR198" s="1703"/>
      <c r="CS198" s="435"/>
      <c r="CT198" s="510">
        <f>L198-BD198</f>
        <v>0</v>
      </c>
      <c r="CU198" s="1703"/>
      <c r="CV198" s="435"/>
      <c r="CW198" s="434">
        <f>ROUND((+BG198*(1+CW$4)),0)-BG198</f>
        <v>0</v>
      </c>
      <c r="CX198" s="443"/>
      <c r="CY198" s="432">
        <v>0</v>
      </c>
      <c r="CZ198" s="434">
        <f>ROUND((+BJ198*(1+CZ$4)),0)-BJ198</f>
        <v>0</v>
      </c>
      <c r="DA198" s="443"/>
      <c r="DB198" s="432">
        <v>0</v>
      </c>
      <c r="DC198" s="434">
        <f>ROUND((+BM198*(1+DC$4)),0)-BM198</f>
        <v>0</v>
      </c>
      <c r="DD198" s="443"/>
      <c r="DE198" s="432">
        <v>0</v>
      </c>
      <c r="DF198" s="434">
        <f>ROUND((+BP198*(1+DF$4)),0)-BP198</f>
        <v>0</v>
      </c>
      <c r="DG198" s="443"/>
      <c r="DH198" s="432">
        <v>0</v>
      </c>
      <c r="DI198" s="434">
        <f>ROUND((+BS198*(1+DI$4)),0)-BS198</f>
        <v>0</v>
      </c>
      <c r="DJ198" s="443"/>
      <c r="DK198" s="432">
        <v>0</v>
      </c>
      <c r="DL198" s="434">
        <f>ROUND((+BV198*(1+DL$4)),0)-BV198</f>
        <v>0</v>
      </c>
      <c r="DM198" s="443"/>
      <c r="DN198" s="432">
        <v>0</v>
      </c>
      <c r="DO198" s="434">
        <f>ROUND((+BY198*(1+DO$4)),0)-BY198</f>
        <v>0</v>
      </c>
      <c r="DP198" s="443"/>
      <c r="DQ198" s="432">
        <v>0</v>
      </c>
      <c r="DR198" s="434">
        <f>ROUND((+CB198*(1+DR$4)),0)-CB198</f>
        <v>0</v>
      </c>
      <c r="DS198" s="443"/>
      <c r="DT198" s="432">
        <v>0</v>
      </c>
      <c r="DU198" s="434">
        <f>ROUND((+CE198*(1+DU$4)),0)-CE198</f>
        <v>0</v>
      </c>
      <c r="DV198" s="443"/>
      <c r="DW198" s="432">
        <v>0</v>
      </c>
      <c r="DX198" s="434">
        <f>ROUND((+CH198*(1+DX$4)),0)-CH198</f>
        <v>0</v>
      </c>
      <c r="DY198" s="443"/>
      <c r="DZ198" s="432"/>
      <c r="EA198" s="444">
        <f t="shared" ref="EA198" si="762">+DI198+DF198+DC198+CZ198+CW198+CT198+DL198</f>
        <v>0</v>
      </c>
      <c r="EB198" s="433"/>
      <c r="EC198" s="170"/>
      <c r="ED198" s="170"/>
      <c r="EE198" s="170"/>
      <c r="EF198" s="170"/>
      <c r="EG198" s="170"/>
      <c r="EH198" s="170"/>
      <c r="EI198" s="170"/>
      <c r="EJ198" s="170"/>
      <c r="EK198" s="170"/>
    </row>
    <row r="199" spans="1:141" ht="15" x14ac:dyDescent="0.25">
      <c r="A199" s="170"/>
      <c r="B199" s="424">
        <v>8</v>
      </c>
      <c r="C199" s="424">
        <v>12</v>
      </c>
      <c r="D199" s="424">
        <v>16</v>
      </c>
      <c r="E199" s="425">
        <v>16</v>
      </c>
      <c r="F199" s="493"/>
      <c r="G199" s="1561" t="str">
        <f t="shared" si="659"/>
        <v xml:space="preserve">   Reimbursables / Customer Contribution ( enter as negative)</v>
      </c>
      <c r="H199" s="488"/>
      <c r="I199" s="1310"/>
      <c r="J199" s="1687"/>
      <c r="K199" s="1311">
        <f t="shared" si="749"/>
        <v>0</v>
      </c>
      <c r="L199" s="1312">
        <f t="shared" si="750"/>
        <v>0</v>
      </c>
      <c r="M199" s="1687"/>
      <c r="N199" s="1325"/>
      <c r="O199" s="1312">
        <f ca="1">+BG199+CW199</f>
        <v>0</v>
      </c>
      <c r="P199" s="1685"/>
      <c r="Q199" s="1313">
        <f t="shared" si="751"/>
        <v>0</v>
      </c>
      <c r="R199" s="1312">
        <f ca="1">+BJ199+CZ199</f>
        <v>0</v>
      </c>
      <c r="S199" s="1685"/>
      <c r="T199" s="1313">
        <f t="shared" si="752"/>
        <v>0</v>
      </c>
      <c r="U199" s="1312">
        <f ca="1">+BM199+DC199</f>
        <v>0</v>
      </c>
      <c r="V199" s="1685"/>
      <c r="W199" s="1313">
        <f t="shared" si="753"/>
        <v>0</v>
      </c>
      <c r="X199" s="1312">
        <f ca="1">+BP199+DF199</f>
        <v>0</v>
      </c>
      <c r="Y199" s="1685"/>
      <c r="Z199" s="1313">
        <f t="shared" si="754"/>
        <v>0</v>
      </c>
      <c r="AA199" s="1312">
        <f ca="1">+BS199+DI199</f>
        <v>0</v>
      </c>
      <c r="AB199" s="1685"/>
      <c r="AC199" s="1313">
        <f t="shared" si="755"/>
        <v>0</v>
      </c>
      <c r="AD199" s="1312">
        <f ca="1">+BV199+DL199</f>
        <v>0</v>
      </c>
      <c r="AE199" s="1685"/>
      <c r="AF199" s="1313">
        <f t="shared" si="756"/>
        <v>0</v>
      </c>
      <c r="AG199" s="1312">
        <f ca="1">+BY199+DO199</f>
        <v>0</v>
      </c>
      <c r="AH199" s="1685"/>
      <c r="AI199" s="1313">
        <f t="shared" si="757"/>
        <v>0</v>
      </c>
      <c r="AJ199" s="1312">
        <f ca="1">+CB199+DR199</f>
        <v>0</v>
      </c>
      <c r="AK199" s="1685"/>
      <c r="AL199" s="1313">
        <f t="shared" si="758"/>
        <v>0</v>
      </c>
      <c r="AM199" s="1312">
        <f ca="1">+CE199+DU199</f>
        <v>0</v>
      </c>
      <c r="AN199" s="1685"/>
      <c r="AO199" s="1313">
        <f t="shared" si="759"/>
        <v>0</v>
      </c>
      <c r="AP199" s="1312">
        <f ca="1">+CH199+DX199</f>
        <v>0</v>
      </c>
      <c r="AQ199" s="1685"/>
      <c r="AR199" s="1313"/>
      <c r="AS199" s="1312">
        <f t="shared" ca="1" si="760"/>
        <v>0</v>
      </c>
      <c r="AT199" s="1687"/>
      <c r="AU199" s="411"/>
      <c r="AV199" s="1757">
        <f t="shared" ca="1" si="734"/>
        <v>0</v>
      </c>
      <c r="AW199" s="411"/>
      <c r="AX199" s="493"/>
      <c r="AY199" s="1561" t="s">
        <v>1458</v>
      </c>
      <c r="AZ199" s="488"/>
      <c r="BA199" s="1270"/>
      <c r="BB199" s="1630"/>
      <c r="BC199" s="1591"/>
      <c r="BD199" s="1531">
        <f>-1*'Data Input sheet'!$C$88*'Detail Summary'!BD196</f>
        <v>0</v>
      </c>
      <c r="BE199" s="1632"/>
      <c r="BF199" s="1528"/>
      <c r="BG199" s="1531">
        <f ca="1">-1*'Data Input sheet'!$C$88*'Detail Summary'!BG196</f>
        <v>0</v>
      </c>
      <c r="BH199" s="1632"/>
      <c r="BI199" s="1528"/>
      <c r="BJ199" s="1531">
        <f ca="1">-1*'Data Input sheet'!$C$88*'Detail Summary'!BJ196</f>
        <v>0</v>
      </c>
      <c r="BK199" s="1632"/>
      <c r="BL199" s="1528"/>
      <c r="BM199" s="1531">
        <f ca="1">-1*'Data Input sheet'!$C$88*'Detail Summary'!BM196</f>
        <v>0</v>
      </c>
      <c r="BN199" s="1632"/>
      <c r="BO199" s="1528"/>
      <c r="BP199" s="1531">
        <f ca="1">-1*'Data Input sheet'!$C$88*'Detail Summary'!BP196</f>
        <v>0</v>
      </c>
      <c r="BQ199" s="1632"/>
      <c r="BR199" s="1528"/>
      <c r="BS199" s="1531">
        <f ca="1">-1*'Data Input sheet'!$C$88*'Detail Summary'!BS196</f>
        <v>0</v>
      </c>
      <c r="BT199" s="1632"/>
      <c r="BU199" s="1528"/>
      <c r="BV199" s="1531">
        <f ca="1">-1*'Data Input sheet'!$C$88*'Detail Summary'!BV196</f>
        <v>0</v>
      </c>
      <c r="BW199" s="1632"/>
      <c r="BX199" s="1528"/>
      <c r="BY199" s="1531">
        <f ca="1">-1*'Data Input sheet'!$C$88*'Detail Summary'!BY196</f>
        <v>0</v>
      </c>
      <c r="BZ199" s="1632"/>
      <c r="CA199" s="1528"/>
      <c r="CB199" s="1531">
        <f ca="1">-1*'Data Input sheet'!$C$88*'Detail Summary'!CB196</f>
        <v>0</v>
      </c>
      <c r="CC199" s="1632"/>
      <c r="CD199" s="1528"/>
      <c r="CE199" s="1531">
        <f ca="1">-1*'Data Input sheet'!$C$88*'Detail Summary'!CE196</f>
        <v>0</v>
      </c>
      <c r="CF199" s="1632"/>
      <c r="CG199" s="1528"/>
      <c r="CH199" s="1531">
        <f ca="1">-1*'Data Input sheet'!$C$88*'Detail Summary'!CH196</f>
        <v>0</v>
      </c>
      <c r="CI199" s="1632"/>
      <c r="CJ199" s="491"/>
      <c r="CK199" s="1258">
        <f t="shared" ca="1" si="761"/>
        <v>0</v>
      </c>
      <c r="CL199" s="1740"/>
      <c r="CM199" s="170"/>
      <c r="CN199" s="493"/>
      <c r="CO199" s="494" t="str">
        <f t="shared" si="733"/>
        <v xml:space="preserve">   Reimbursables / Customer Contribution ( enter as negative)</v>
      </c>
      <c r="CP199" s="494"/>
      <c r="CQ199" s="533"/>
      <c r="CR199" s="1703"/>
      <c r="CS199" s="435"/>
      <c r="CT199" s="510">
        <f>L199-BD199</f>
        <v>0</v>
      </c>
      <c r="CU199" s="1703"/>
      <c r="CV199" s="435"/>
      <c r="CW199" s="434">
        <f ca="1">-1*'Data Input sheet'!$C$88*'Detail Summary'!CW196</f>
        <v>0</v>
      </c>
      <c r="CX199" s="443"/>
      <c r="CY199" s="432">
        <v>0</v>
      </c>
      <c r="CZ199" s="434">
        <f ca="1">-1*'Data Input sheet'!$C$88*'Detail Summary'!CZ196</f>
        <v>0</v>
      </c>
      <c r="DA199" s="443"/>
      <c r="DB199" s="432">
        <v>0</v>
      </c>
      <c r="DC199" s="434">
        <f ca="1">-1*'Data Input sheet'!$C$88*'Detail Summary'!DC196</f>
        <v>0</v>
      </c>
      <c r="DD199" s="443"/>
      <c r="DE199" s="432">
        <v>0</v>
      </c>
      <c r="DF199" s="434">
        <f ca="1">-1*'Data Input sheet'!$C$88*'Detail Summary'!DF196</f>
        <v>0</v>
      </c>
      <c r="DG199" s="443"/>
      <c r="DH199" s="432">
        <v>0</v>
      </c>
      <c r="DI199" s="434">
        <f ca="1">-1*'Data Input sheet'!$C$88*'Detail Summary'!DI196</f>
        <v>0</v>
      </c>
      <c r="DJ199" s="443"/>
      <c r="DK199" s="432">
        <v>0</v>
      </c>
      <c r="DL199" s="434">
        <f ca="1">-1*'Data Input sheet'!$C$88*'Detail Summary'!DL196</f>
        <v>0</v>
      </c>
      <c r="DM199" s="443"/>
      <c r="DN199" s="432">
        <v>0</v>
      </c>
      <c r="DO199" s="434">
        <f ca="1">-1*'Data Input sheet'!$C$88*'Detail Summary'!DO196</f>
        <v>0</v>
      </c>
      <c r="DP199" s="443"/>
      <c r="DQ199" s="432">
        <v>0</v>
      </c>
      <c r="DR199" s="434">
        <f ca="1">-1*'Data Input sheet'!$C$88*'Detail Summary'!DR196</f>
        <v>0</v>
      </c>
      <c r="DS199" s="443"/>
      <c r="DT199" s="432">
        <v>0</v>
      </c>
      <c r="DU199" s="434">
        <f ca="1">-1*'Data Input sheet'!$C$88*'Detail Summary'!DU196</f>
        <v>0</v>
      </c>
      <c r="DV199" s="443"/>
      <c r="DW199" s="432">
        <v>0</v>
      </c>
      <c r="DX199" s="434">
        <f ca="1">-1*'Data Input sheet'!$C$88*'Detail Summary'!DX196</f>
        <v>0</v>
      </c>
      <c r="DY199" s="443"/>
      <c r="DZ199" s="432">
        <f>+DH199+DE199+DB199+CY199+CV199+CS199+DK199</f>
        <v>0</v>
      </c>
      <c r="EA199" s="444">
        <f ca="1">+DI199+DF199+DC199+CZ199+CW199+CT199+DL199+DO199+DR199+DU199+DX199</f>
        <v>0</v>
      </c>
      <c r="EB199" s="433"/>
      <c r="EC199" s="170"/>
      <c r="ED199" s="170"/>
      <c r="EE199" s="170"/>
      <c r="EF199" s="170"/>
      <c r="EG199" s="170"/>
      <c r="EH199" s="170"/>
      <c r="EI199" s="170"/>
      <c r="EJ199" s="170"/>
      <c r="EK199" s="170"/>
    </row>
    <row r="200" spans="1:141" ht="15.75" thickBot="1" x14ac:dyDescent="0.3">
      <c r="A200" s="170"/>
      <c r="B200" s="424">
        <v>8</v>
      </c>
      <c r="C200" s="424">
        <v>12</v>
      </c>
      <c r="D200" s="424">
        <v>16</v>
      </c>
      <c r="E200" s="425">
        <v>16</v>
      </c>
      <c r="F200" s="493"/>
      <c r="G200" s="1561">
        <f t="shared" si="659"/>
        <v>0</v>
      </c>
      <c r="H200" s="488">
        <v>59</v>
      </c>
      <c r="I200" s="1310">
        <f t="shared" si="469"/>
        <v>0</v>
      </c>
      <c r="J200" s="1689"/>
      <c r="K200" s="1311">
        <f t="shared" si="749"/>
        <v>0</v>
      </c>
      <c r="L200" s="1312">
        <f t="shared" si="750"/>
        <v>0</v>
      </c>
      <c r="M200" s="1687"/>
      <c r="N200" s="1325"/>
      <c r="O200" s="1312">
        <f>+BG200+CW200</f>
        <v>0</v>
      </c>
      <c r="P200" s="1685"/>
      <c r="Q200" s="1313">
        <f t="shared" si="751"/>
        <v>0</v>
      </c>
      <c r="R200" s="1312">
        <f>+BJ200+CZ200</f>
        <v>0</v>
      </c>
      <c r="S200" s="1685"/>
      <c r="T200" s="1313">
        <f t="shared" si="752"/>
        <v>0</v>
      </c>
      <c r="U200" s="1312">
        <f>+BM200+DC200</f>
        <v>0</v>
      </c>
      <c r="V200" s="1685"/>
      <c r="W200" s="1313">
        <f t="shared" si="753"/>
        <v>0</v>
      </c>
      <c r="X200" s="1312">
        <f>+BP200+DF200</f>
        <v>0</v>
      </c>
      <c r="Y200" s="1685"/>
      <c r="Z200" s="1313">
        <f t="shared" si="754"/>
        <v>0</v>
      </c>
      <c r="AA200" s="1312">
        <f>+BS200+DI200</f>
        <v>0</v>
      </c>
      <c r="AB200" s="1685"/>
      <c r="AC200" s="1313">
        <f t="shared" si="755"/>
        <v>0</v>
      </c>
      <c r="AD200" s="1312">
        <f>+BV200+DL200</f>
        <v>0</v>
      </c>
      <c r="AE200" s="1685"/>
      <c r="AF200" s="1313">
        <f t="shared" si="756"/>
        <v>0</v>
      </c>
      <c r="AG200" s="1312">
        <f>+BY200+DO200</f>
        <v>0</v>
      </c>
      <c r="AH200" s="1685"/>
      <c r="AI200" s="1313">
        <f t="shared" si="757"/>
        <v>0</v>
      </c>
      <c r="AJ200" s="1312">
        <f>+CB200+DR200</f>
        <v>0</v>
      </c>
      <c r="AK200" s="1685"/>
      <c r="AL200" s="1313">
        <f t="shared" si="758"/>
        <v>0</v>
      </c>
      <c r="AM200" s="1312">
        <f>+CE200+DU200</f>
        <v>0</v>
      </c>
      <c r="AN200" s="1685"/>
      <c r="AO200" s="1313">
        <f t="shared" si="759"/>
        <v>0</v>
      </c>
      <c r="AP200" s="1312">
        <f>+CH200+DX200</f>
        <v>0</v>
      </c>
      <c r="AQ200" s="1685"/>
      <c r="AR200" s="1313">
        <f>+Z200+W200+T200+Q200+N200+K200+AC200</f>
        <v>0</v>
      </c>
      <c r="AS200" s="1312">
        <f>+AA200+X200+U200+R200+O200+L200+AD200</f>
        <v>0</v>
      </c>
      <c r="AT200" s="1687"/>
      <c r="AU200" s="411"/>
      <c r="AV200" s="1757">
        <f t="shared" si="734"/>
        <v>0</v>
      </c>
      <c r="AW200" s="411"/>
      <c r="AX200" s="493"/>
      <c r="AY200" s="1561"/>
      <c r="AZ200" s="488"/>
      <c r="BA200" s="1272">
        <f>'Data Input sheet'!D95</f>
        <v>0</v>
      </c>
      <c r="BB200" s="1632"/>
      <c r="BC200" s="1538"/>
      <c r="BD200" s="1539">
        <v>0</v>
      </c>
      <c r="BE200" s="1632"/>
      <c r="BF200" s="1532"/>
      <c r="BG200" s="1273">
        <v>0</v>
      </c>
      <c r="BH200" s="1632"/>
      <c r="BI200" s="1532"/>
      <c r="BJ200" s="1273">
        <v>0</v>
      </c>
      <c r="BK200" s="1632"/>
      <c r="BL200" s="1532"/>
      <c r="BM200" s="1273">
        <v>0</v>
      </c>
      <c r="BN200" s="1632"/>
      <c r="BO200" s="1532"/>
      <c r="BP200" s="1273">
        <v>0</v>
      </c>
      <c r="BQ200" s="1632"/>
      <c r="BR200" s="1532"/>
      <c r="BS200" s="1273">
        <v>0</v>
      </c>
      <c r="BT200" s="1632"/>
      <c r="BU200" s="1532"/>
      <c r="BV200" s="1273">
        <v>0</v>
      </c>
      <c r="BW200" s="1632"/>
      <c r="BX200" s="1532"/>
      <c r="BY200" s="1273">
        <v>0</v>
      </c>
      <c r="BZ200" s="1632"/>
      <c r="CA200" s="1532"/>
      <c r="CB200" s="1273">
        <v>0</v>
      </c>
      <c r="CC200" s="1632"/>
      <c r="CD200" s="1532"/>
      <c r="CE200" s="1273">
        <v>0</v>
      </c>
      <c r="CF200" s="1632"/>
      <c r="CG200" s="1532"/>
      <c r="CH200" s="1273">
        <v>0</v>
      </c>
      <c r="CI200" s="1632"/>
      <c r="CJ200" s="491">
        <f>+BR200+BO200+BL200+BI200+BF200+BC200+BU200</f>
        <v>0</v>
      </c>
      <c r="CK200" s="1258">
        <f>+BS200+BP200+BM200+BJ200+BG200+BD200+BV200</f>
        <v>0</v>
      </c>
      <c r="CL200" s="1740"/>
      <c r="CM200" s="170"/>
      <c r="CN200" s="493"/>
      <c r="CO200" s="494">
        <f t="shared" si="733"/>
        <v>0</v>
      </c>
      <c r="CP200" s="494">
        <f>+AZ200</f>
        <v>0</v>
      </c>
      <c r="CQ200" s="529"/>
      <c r="CR200" s="1703"/>
      <c r="CS200" s="481"/>
      <c r="CT200" s="510">
        <f>L200-BD200</f>
        <v>0</v>
      </c>
      <c r="CU200" s="1707"/>
      <c r="CV200" s="530"/>
      <c r="CW200" s="434">
        <f>ROUND((+BG200*(1+CW$4)),0)-BG200</f>
        <v>0</v>
      </c>
      <c r="CX200" s="443"/>
      <c r="CY200" s="432">
        <v>0</v>
      </c>
      <c r="CZ200" s="434">
        <f>ROUND((+BJ200*(1+CZ$4)),0)-BJ200</f>
        <v>0</v>
      </c>
      <c r="DA200" s="443"/>
      <c r="DB200" s="432">
        <v>0</v>
      </c>
      <c r="DC200" s="434">
        <f>ROUND((+BM200*(1+DC$4)),0)-BM200</f>
        <v>0</v>
      </c>
      <c r="DD200" s="443"/>
      <c r="DE200" s="432">
        <v>0</v>
      </c>
      <c r="DF200" s="434">
        <f>ROUND((+BP200*(1+DF$4)),0)-BP200</f>
        <v>0</v>
      </c>
      <c r="DG200" s="443"/>
      <c r="DH200" s="432">
        <v>0</v>
      </c>
      <c r="DI200" s="434">
        <f>ROUND((+BS200*(1+DI$4)),0)-BS200</f>
        <v>0</v>
      </c>
      <c r="DJ200" s="443"/>
      <c r="DK200" s="432">
        <v>0</v>
      </c>
      <c r="DL200" s="434">
        <f>ROUND((+BV200*(1+DL$4)),0)-BV200</f>
        <v>0</v>
      </c>
      <c r="DM200" s="443"/>
      <c r="DN200" s="432">
        <v>0</v>
      </c>
      <c r="DO200" s="434">
        <f>ROUND((+BY200*(1+DO$4)),0)-BY200</f>
        <v>0</v>
      </c>
      <c r="DP200" s="443"/>
      <c r="DQ200" s="432">
        <v>0</v>
      </c>
      <c r="DR200" s="434">
        <f>ROUND((+CB200*(1+DR$4)),0)-CB200</f>
        <v>0</v>
      </c>
      <c r="DS200" s="443"/>
      <c r="DT200" s="432">
        <v>0</v>
      </c>
      <c r="DU200" s="434">
        <f>ROUND((+CE200*(1+DU$4)),0)-CE200</f>
        <v>0</v>
      </c>
      <c r="DV200" s="443"/>
      <c r="DW200" s="432">
        <v>0</v>
      </c>
      <c r="DX200" s="434">
        <f>ROUND((+CH200*(1+DX$4)),0)-CH200</f>
        <v>0</v>
      </c>
      <c r="DY200" s="443"/>
      <c r="DZ200" s="432">
        <f>+DH200+DE200+DB200+CY200+CV200+CS200+DK200</f>
        <v>0</v>
      </c>
      <c r="EA200" s="444">
        <f>+DI200+DF200+DC200+CZ200+CW200+CT200+DL200</f>
        <v>0</v>
      </c>
      <c r="EB200" s="433"/>
      <c r="EC200" s="170"/>
      <c r="ED200" s="170"/>
      <c r="EE200" s="170"/>
      <c r="EF200" s="170"/>
      <c r="EG200" s="170"/>
      <c r="EH200" s="170"/>
      <c r="EI200" s="170"/>
      <c r="EJ200" s="170"/>
      <c r="EK200" s="170"/>
    </row>
    <row r="201" spans="1:141" ht="15.75" thickBot="1" x14ac:dyDescent="0.3">
      <c r="A201" s="170"/>
      <c r="B201" s="472"/>
      <c r="C201" s="472"/>
      <c r="D201" s="472"/>
      <c r="E201" s="170"/>
      <c r="F201" s="524"/>
      <c r="G201" s="1543" t="s">
        <v>375</v>
      </c>
      <c r="H201" s="1540"/>
      <c r="I201" s="1541"/>
      <c r="J201" s="1641"/>
      <c r="K201" s="1628"/>
      <c r="L201" s="1542">
        <f>+L196+L199+L200</f>
        <v>375891.79</v>
      </c>
      <c r="M201" s="1658"/>
      <c r="N201" s="1651"/>
      <c r="O201" s="1542">
        <f ca="1">+O196+O199+O200</f>
        <v>5029</v>
      </c>
      <c r="P201" s="1637"/>
      <c r="Q201" s="1651"/>
      <c r="R201" s="1542">
        <f ca="1">+R196+R199+R200</f>
        <v>34984</v>
      </c>
      <c r="S201" s="1637"/>
      <c r="T201" s="1651"/>
      <c r="U201" s="1542">
        <f ca="1">+U196+U199+U200</f>
        <v>14337401.959716547</v>
      </c>
      <c r="V201" s="1637"/>
      <c r="W201" s="1651"/>
      <c r="X201" s="1542">
        <f ca="1">+X196+X199+X200</f>
        <v>23439681.999482948</v>
      </c>
      <c r="Y201" s="1637"/>
      <c r="Z201" s="1651"/>
      <c r="AA201" s="1542">
        <f ca="1">+AA196+AA199+AA200</f>
        <v>7903371.1926781684</v>
      </c>
      <c r="AB201" s="1637"/>
      <c r="AC201" s="1651"/>
      <c r="AD201" s="1542">
        <f ca="1">+AD196+AD199+AD200</f>
        <v>0</v>
      </c>
      <c r="AE201" s="1637"/>
      <c r="AF201" s="1651"/>
      <c r="AG201" s="1542">
        <f ca="1">+AG196+AG199+AG200</f>
        <v>0</v>
      </c>
      <c r="AH201" s="1637"/>
      <c r="AI201" s="1651"/>
      <c r="AJ201" s="1542">
        <f ca="1">+AJ196+AJ199+AJ200</f>
        <v>0</v>
      </c>
      <c r="AK201" s="1637"/>
      <c r="AL201" s="1651"/>
      <c r="AM201" s="1542">
        <f ca="1">+AM196+AM199+AM200</f>
        <v>0</v>
      </c>
      <c r="AN201" s="1637"/>
      <c r="AO201" s="1651"/>
      <c r="AP201" s="1542">
        <f ca="1">+AP196+AP199+AP200</f>
        <v>0</v>
      </c>
      <c r="AQ201" s="1637"/>
      <c r="AR201" s="1655">
        <f>+Z201+W201+T201+Q201+N201+K201+AC201</f>
        <v>0</v>
      </c>
      <c r="AS201" s="1542">
        <f ca="1">+AS196+AS199+AS200</f>
        <v>46096359.941877671</v>
      </c>
      <c r="AT201" s="1274">
        <f>+AB201+Y201+V201+S201+P201+M201+AQ201</f>
        <v>0</v>
      </c>
      <c r="AU201" s="411"/>
      <c r="AV201" s="1758">
        <f t="shared" ca="1" si="734"/>
        <v>46096359.941877656</v>
      </c>
      <c r="AW201" s="523"/>
      <c r="AX201" s="524"/>
      <c r="AY201" s="1543" t="s">
        <v>375</v>
      </c>
      <c r="AZ201" s="1540"/>
      <c r="BA201" s="1541"/>
      <c r="BB201" s="1641"/>
      <c r="BC201" s="1628"/>
      <c r="BD201" s="1542">
        <f>+BD196+BD199+BD200</f>
        <v>375891.79</v>
      </c>
      <c r="BE201" s="1658"/>
      <c r="BF201" s="1651"/>
      <c r="BG201" s="1542">
        <f ca="1">+BG196+BG199+BG200</f>
        <v>5028.8899999999994</v>
      </c>
      <c r="BH201" s="1637"/>
      <c r="BI201" s="1651"/>
      <c r="BJ201" s="1542">
        <f ca="1">+BJ196+BJ199+BJ200</f>
        <v>34601</v>
      </c>
      <c r="BK201" s="1637"/>
      <c r="BL201" s="1651"/>
      <c r="BM201" s="1542">
        <f ca="1">+BM196+BM199+BM200</f>
        <v>13568278.435116548</v>
      </c>
      <c r="BN201" s="1637"/>
      <c r="BO201" s="1651"/>
      <c r="BP201" s="1542">
        <f ca="1">+BP196+BP199+BP200</f>
        <v>21570279.065306544</v>
      </c>
      <c r="BQ201" s="1637"/>
      <c r="BR201" s="1651"/>
      <c r="BS201" s="1542">
        <f ca="1">+BS196+BS199+BS200</f>
        <v>7120468.8320000004</v>
      </c>
      <c r="BT201" s="1637"/>
      <c r="BU201" s="1651"/>
      <c r="BV201" s="1542">
        <f ca="1">+BV196+BV199+BV200</f>
        <v>0</v>
      </c>
      <c r="BW201" s="1637"/>
      <c r="BX201" s="1651"/>
      <c r="BY201" s="1542">
        <f ca="1">+BY196+BY199+BY200</f>
        <v>0</v>
      </c>
      <c r="BZ201" s="1637"/>
      <c r="CA201" s="1651"/>
      <c r="CB201" s="1542">
        <f ca="1">+CB196+CB199+CB200</f>
        <v>0</v>
      </c>
      <c r="CC201" s="1637"/>
      <c r="CD201" s="1651"/>
      <c r="CE201" s="1542">
        <f ca="1">+CE196+CE199+CE200</f>
        <v>0</v>
      </c>
      <c r="CF201" s="1637"/>
      <c r="CG201" s="1651"/>
      <c r="CH201" s="1542">
        <f ca="1">+CH196+CH199+CH200</f>
        <v>0</v>
      </c>
      <c r="CI201" s="1637"/>
      <c r="CJ201" s="1655">
        <f>+BR201+BO201+BL201+BI201+BF201+BC201+BU201</f>
        <v>0</v>
      </c>
      <c r="CK201" s="1542">
        <f ca="1">+CK196+CK199+CK200</f>
        <v>42674548.012423091</v>
      </c>
      <c r="CL201" s="538"/>
      <c r="CM201" s="170"/>
      <c r="CN201" s="524"/>
      <c r="CO201" s="1621" t="s">
        <v>375</v>
      </c>
      <c r="CP201" s="1622"/>
      <c r="CQ201" s="540"/>
      <c r="CR201" s="1710"/>
      <c r="CS201" s="1698"/>
      <c r="CT201" s="1542">
        <f>+CT196+CT199+CT200</f>
        <v>0</v>
      </c>
      <c r="CU201" s="1710"/>
      <c r="CV201" s="1698"/>
      <c r="CW201" s="1542">
        <f ca="1">+CW196+CW199+CW200</f>
        <v>0.11000000000012733</v>
      </c>
      <c r="CX201" s="1710"/>
      <c r="CY201" s="1698"/>
      <c r="CZ201" s="1542">
        <f ca="1">+CZ196+CZ199+CZ200</f>
        <v>383</v>
      </c>
      <c r="DA201" s="1710"/>
      <c r="DB201" s="1698"/>
      <c r="DC201" s="1542">
        <f ca="1">+DC196+DC199+DC200</f>
        <v>769123.52459999954</v>
      </c>
      <c r="DD201" s="1710"/>
      <c r="DE201" s="1698"/>
      <c r="DF201" s="1542">
        <f ca="1">+DF196+DF199+DF200</f>
        <v>1869402.9341764003</v>
      </c>
      <c r="DG201" s="1710"/>
      <c r="DH201" s="1698"/>
      <c r="DI201" s="1542">
        <f ca="1">+DI196+DI199+DI200</f>
        <v>782902.36067816825</v>
      </c>
      <c r="DJ201" s="1710"/>
      <c r="DK201" s="1698"/>
      <c r="DL201" s="1542">
        <f ca="1">+DL196+DL199+DL200</f>
        <v>0</v>
      </c>
      <c r="DM201" s="1710"/>
      <c r="DN201" s="1698"/>
      <c r="DO201" s="1542">
        <f ca="1">+DO196+DO199+DO200</f>
        <v>0</v>
      </c>
      <c r="DP201" s="1710"/>
      <c r="DQ201" s="1698"/>
      <c r="DR201" s="1542">
        <f ca="1">+DR196+DR199+DR200</f>
        <v>0</v>
      </c>
      <c r="DS201" s="1710"/>
      <c r="DT201" s="1698"/>
      <c r="DU201" s="1542">
        <f ca="1">+DU196+DU199+DU200</f>
        <v>0</v>
      </c>
      <c r="DV201" s="1710"/>
      <c r="DW201" s="1698"/>
      <c r="DX201" s="1542">
        <f ca="1">+DX196+DX199+DX200</f>
        <v>0</v>
      </c>
      <c r="DY201" s="1710"/>
      <c r="DZ201" s="1698">
        <f>+DH201+DE201+DB201+CY201+CV201+CS201+DK201</f>
        <v>0</v>
      </c>
      <c r="EA201" s="1542">
        <f ca="1">+EA196+EA199+EA200</f>
        <v>3421811.9294545678</v>
      </c>
      <c r="EB201" s="433">
        <f ca="1">+EA201+CK201</f>
        <v>46096359.941877656</v>
      </c>
      <c r="EC201" s="170"/>
      <c r="ED201" s="170"/>
      <c r="EE201" s="170"/>
      <c r="EF201" s="170"/>
      <c r="EG201" s="170"/>
      <c r="EH201" s="170"/>
      <c r="EI201" s="170"/>
      <c r="EJ201" s="170"/>
      <c r="EK201" s="170"/>
    </row>
    <row r="202" spans="1:141" ht="15.75" thickBot="1" x14ac:dyDescent="0.3">
      <c r="A202" s="170"/>
      <c r="B202" s="472"/>
      <c r="C202" s="472"/>
      <c r="D202" s="472"/>
      <c r="E202" s="170"/>
      <c r="F202" s="488"/>
      <c r="G202" s="1287"/>
      <c r="H202" s="1287"/>
      <c r="I202" s="1289"/>
      <c r="J202" s="1692"/>
      <c r="K202" s="1325"/>
      <c r="L202" s="1363"/>
      <c r="M202" s="1692"/>
      <c r="N202" s="1325"/>
      <c r="O202" s="1325"/>
      <c r="P202" s="1692"/>
      <c r="Q202" s="1325"/>
      <c r="R202" s="1363"/>
      <c r="S202" s="1692"/>
      <c r="T202" s="1325"/>
      <c r="U202" s="1363"/>
      <c r="V202" s="1692"/>
      <c r="W202" s="1325"/>
      <c r="X202" s="1363"/>
      <c r="Y202" s="1692"/>
      <c r="Z202" s="1325"/>
      <c r="AA202" s="1363"/>
      <c r="AB202" s="1692"/>
      <c r="AC202" s="1325"/>
      <c r="AD202" s="1363"/>
      <c r="AE202" s="1692"/>
      <c r="AF202" s="1325"/>
      <c r="AG202" s="1363"/>
      <c r="AH202" s="1692"/>
      <c r="AI202" s="1325"/>
      <c r="AJ202" s="1363"/>
      <c r="AK202" s="1692"/>
      <c r="AL202" s="1325"/>
      <c r="AM202" s="1363"/>
      <c r="AN202" s="1692"/>
      <c r="AO202" s="1325"/>
      <c r="AP202" s="1363"/>
      <c r="AQ202" s="1692"/>
      <c r="AR202" s="1325"/>
      <c r="AS202" s="1363"/>
      <c r="AT202" s="1692"/>
      <c r="AU202" s="411"/>
      <c r="AV202" s="170"/>
      <c r="AW202" s="411"/>
      <c r="AX202" s="488"/>
      <c r="AY202" s="488"/>
      <c r="AZ202" s="488"/>
      <c r="BA202" s="457"/>
      <c r="BB202" s="457"/>
      <c r="BC202" s="511"/>
      <c r="BD202" s="1276"/>
      <c r="BE202" s="1659"/>
      <c r="BF202" s="1470"/>
      <c r="BG202" s="511"/>
      <c r="BH202" s="491"/>
      <c r="BI202" s="1470"/>
      <c r="BJ202" s="1276"/>
      <c r="BK202" s="1659"/>
      <c r="BL202" s="1470"/>
      <c r="BM202" s="1276"/>
      <c r="BN202" s="1641"/>
      <c r="BO202" s="1470"/>
      <c r="BP202" s="1276"/>
      <c r="BQ202" s="1641"/>
      <c r="BR202" s="1470"/>
      <c r="BS202" s="1276"/>
      <c r="BT202" s="1641"/>
      <c r="BU202" s="1470"/>
      <c r="BV202" s="1276"/>
      <c r="BW202" s="1641"/>
      <c r="BX202" s="1470"/>
      <c r="BY202" s="1276"/>
      <c r="BZ202" s="1641"/>
      <c r="CA202" s="1470"/>
      <c r="CB202" s="1276"/>
      <c r="CC202" s="1641"/>
      <c r="CD202" s="1470"/>
      <c r="CE202" s="1276"/>
      <c r="CF202" s="1641"/>
      <c r="CG202" s="1470"/>
      <c r="CH202" s="1276"/>
      <c r="CI202" s="1641"/>
      <c r="CJ202" s="511"/>
      <c r="CK202" s="1276"/>
      <c r="CL202" s="542"/>
      <c r="CM202" s="170"/>
      <c r="CN202" s="488"/>
      <c r="CO202" s="382"/>
      <c r="CP202" s="382"/>
      <c r="CQ202" s="385"/>
      <c r="CR202" s="1712"/>
      <c r="CS202" s="462"/>
      <c r="CT202" s="543"/>
      <c r="CU202" s="1712"/>
      <c r="CV202" s="462"/>
      <c r="CW202" s="462"/>
      <c r="CX202" s="1712"/>
      <c r="CY202" s="462"/>
      <c r="CZ202" s="543"/>
      <c r="DA202" s="1712"/>
      <c r="DB202" s="462"/>
      <c r="DC202" s="543"/>
      <c r="DD202" s="1712"/>
      <c r="DE202" s="462"/>
      <c r="DF202" s="543"/>
      <c r="DG202" s="1712"/>
      <c r="DH202" s="462"/>
      <c r="DI202" s="543"/>
      <c r="DJ202" s="1712"/>
      <c r="DK202" s="462"/>
      <c r="DL202" s="543"/>
      <c r="DM202" s="1712"/>
      <c r="DN202" s="462"/>
      <c r="DO202" s="543"/>
      <c r="DP202" s="1712"/>
      <c r="DQ202" s="462"/>
      <c r="DR202" s="543"/>
      <c r="DS202" s="1712"/>
      <c r="DT202" s="462"/>
      <c r="DU202" s="543"/>
      <c r="DV202" s="1712"/>
      <c r="DW202" s="462"/>
      <c r="DX202" s="543"/>
      <c r="DY202" s="1712"/>
      <c r="DZ202" s="462"/>
      <c r="EA202" s="543"/>
      <c r="EB202" s="433"/>
      <c r="EC202" s="170"/>
      <c r="ED202" s="170"/>
      <c r="EE202" s="170"/>
      <c r="EF202" s="170"/>
      <c r="EG202" s="170"/>
      <c r="EH202" s="170"/>
      <c r="EI202" s="170"/>
      <c r="EJ202" s="170"/>
      <c r="EK202" s="170"/>
    </row>
    <row r="203" spans="1:141" ht="15" x14ac:dyDescent="0.25">
      <c r="A203" s="170"/>
      <c r="B203" s="472"/>
      <c r="C203" s="472"/>
      <c r="D203" s="472"/>
      <c r="E203" s="170"/>
      <c r="F203" s="170"/>
      <c r="G203" s="1364"/>
      <c r="H203" s="1364"/>
      <c r="I203" s="1364"/>
      <c r="J203" s="1364"/>
      <c r="K203" s="1364"/>
      <c r="L203" s="1364"/>
      <c r="M203" s="1364"/>
      <c r="N203" s="1364"/>
      <c r="O203" s="1364">
        <f ca="1">+Cover!K46</f>
        <v>5000</v>
      </c>
      <c r="P203" s="1364"/>
      <c r="Q203" s="1364"/>
      <c r="R203" s="1364">
        <f ca="1">+Cover!N46</f>
        <v>35000</v>
      </c>
      <c r="S203" s="1364"/>
      <c r="T203" s="1364"/>
      <c r="U203" s="1364">
        <f ca="1">+Cover!Q46</f>
        <v>14337500</v>
      </c>
      <c r="V203" s="1364"/>
      <c r="W203" s="1364"/>
      <c r="X203" s="1364">
        <f ca="1">+Cover!T46</f>
        <v>23439600</v>
      </c>
      <c r="Y203" s="1364"/>
      <c r="Z203" s="1364"/>
      <c r="AA203" s="1364">
        <f ca="1">+Cover!W46</f>
        <v>7903400</v>
      </c>
      <c r="AB203" s="1364"/>
      <c r="AC203" s="1364"/>
      <c r="AD203" s="1364">
        <f ca="1">+Cover!Z46</f>
        <v>0</v>
      </c>
      <c r="AE203" s="1364"/>
      <c r="AF203" s="1364"/>
      <c r="AG203" s="1364">
        <f ca="1">+Cover!AC46</f>
        <v>0</v>
      </c>
      <c r="AH203" s="1364"/>
      <c r="AI203" s="1364"/>
      <c r="AJ203" s="1364">
        <f ca="1">+Cover!AF46</f>
        <v>0</v>
      </c>
      <c r="AK203" s="1364"/>
      <c r="AL203" s="1364"/>
      <c r="AM203" s="1364">
        <f ca="1">+Cover!AI46</f>
        <v>0</v>
      </c>
      <c r="AN203" s="1364"/>
      <c r="AO203" s="1364"/>
      <c r="AP203" s="1364">
        <f ca="1">+Cover!AL46</f>
        <v>0</v>
      </c>
      <c r="AQ203" s="1364"/>
      <c r="AR203" s="1364">
        <f ca="1">SUM(J203:AP203)</f>
        <v>45720500</v>
      </c>
      <c r="AS203" s="1364"/>
      <c r="AT203" s="1287"/>
      <c r="AU203" s="411"/>
      <c r="AV203" s="170"/>
      <c r="AW203" s="170"/>
      <c r="AX203" s="170"/>
      <c r="AY203" s="170"/>
      <c r="AZ203" s="170"/>
      <c r="BA203" s="376"/>
      <c r="BB203" s="170"/>
      <c r="BC203" s="376"/>
      <c r="BD203" s="170"/>
      <c r="BE203" s="170"/>
      <c r="BF203" s="472"/>
      <c r="BG203" s="376"/>
      <c r="BH203" s="170"/>
      <c r="BI203" s="472"/>
      <c r="BJ203" s="170"/>
      <c r="BK203" s="170"/>
      <c r="BL203" s="472"/>
      <c r="BM203" s="170"/>
      <c r="BN203" s="170"/>
      <c r="BO203" s="472"/>
      <c r="BP203" s="170"/>
      <c r="BQ203" s="170"/>
      <c r="BR203" s="472"/>
      <c r="BS203" s="170"/>
      <c r="BT203" s="170"/>
      <c r="BU203" s="472"/>
      <c r="BV203" s="170"/>
      <c r="BW203" s="170"/>
      <c r="BX203" s="472"/>
      <c r="BY203" s="170"/>
      <c r="BZ203" s="170"/>
      <c r="CA203" s="472"/>
      <c r="CB203" s="170"/>
      <c r="CC203" s="170"/>
      <c r="CD203" s="472"/>
      <c r="CE203" s="170"/>
      <c r="CF203" s="170"/>
      <c r="CG203" s="472"/>
      <c r="CH203" s="170"/>
      <c r="CI203" s="170"/>
      <c r="CJ203" s="376"/>
      <c r="CK203" s="170"/>
      <c r="CL203" s="170"/>
      <c r="CM203" s="170"/>
      <c r="CN203" s="170"/>
      <c r="CO203" s="170"/>
      <c r="CP203" s="170"/>
      <c r="CQ203" s="376"/>
      <c r="CR203" s="170"/>
      <c r="CS203" s="376"/>
      <c r="CT203" s="170"/>
      <c r="CU203" s="170"/>
      <c r="CV203" s="376"/>
      <c r="CW203" s="376"/>
      <c r="CX203" s="170"/>
      <c r="CY203" s="376"/>
      <c r="CZ203" s="170"/>
      <c r="DA203" s="170"/>
      <c r="DB203" s="376"/>
      <c r="DC203" s="170"/>
      <c r="DD203" s="170"/>
      <c r="DE203" s="376"/>
      <c r="DF203" s="170"/>
      <c r="DG203" s="170"/>
      <c r="DH203" s="376"/>
      <c r="DI203" s="170"/>
      <c r="DJ203" s="170"/>
      <c r="DK203" s="376"/>
      <c r="DL203" s="170"/>
      <c r="DM203" s="170"/>
      <c r="DN203" s="376"/>
      <c r="DO203" s="170"/>
      <c r="DP203" s="170"/>
      <c r="DQ203" s="376"/>
      <c r="DR203" s="170"/>
      <c r="DS203" s="170"/>
      <c r="DT203" s="376"/>
      <c r="DU203" s="170"/>
      <c r="DV203" s="170"/>
      <c r="DW203" s="376"/>
      <c r="DX203" s="170"/>
      <c r="DY203" s="170"/>
      <c r="DZ203" s="376"/>
      <c r="EA203" s="170"/>
      <c r="EB203" s="170"/>
      <c r="EC203" s="170"/>
      <c r="ED203" s="170"/>
      <c r="EE203" s="170"/>
      <c r="EF203" s="170"/>
      <c r="EG203" s="170"/>
      <c r="EH203" s="170"/>
      <c r="EI203" s="170"/>
      <c r="EJ203" s="170"/>
      <c r="EK203" s="170"/>
    </row>
    <row r="204" spans="1:141" ht="15" x14ac:dyDescent="0.25">
      <c r="A204" s="170"/>
      <c r="B204" s="472"/>
      <c r="C204" s="472"/>
      <c r="D204" s="472"/>
      <c r="E204" s="170"/>
      <c r="F204" s="170"/>
      <c r="G204" s="1287"/>
      <c r="H204" s="1287"/>
      <c r="I204" s="1289"/>
      <c r="J204" s="1287"/>
      <c r="K204" s="1289"/>
      <c r="L204" s="1289"/>
      <c r="M204" s="1289"/>
      <c r="N204" s="1289"/>
      <c r="O204" s="2375">
        <f ca="1">+O203-O201</f>
        <v>-29</v>
      </c>
      <c r="P204" s="1289"/>
      <c r="Q204" s="1289"/>
      <c r="R204" s="2375">
        <f ca="1">+R203-R201</f>
        <v>16</v>
      </c>
      <c r="S204" s="1289"/>
      <c r="T204" s="1289"/>
      <c r="U204" s="2375">
        <f ca="1">+U203-U201</f>
        <v>98.04028345271945</v>
      </c>
      <c r="V204" s="1289"/>
      <c r="W204" s="1289"/>
      <c r="X204" s="2375">
        <f ca="1">+X203-X201</f>
        <v>-81.999482948333025</v>
      </c>
      <c r="Y204" s="1289"/>
      <c r="Z204" s="1289"/>
      <c r="AA204" s="2375">
        <f ca="1">+AA203-AA201</f>
        <v>28.807321831583977</v>
      </c>
      <c r="AB204" s="1289"/>
      <c r="AC204" s="1289"/>
      <c r="AD204" s="2375">
        <f ca="1">+AD203-AD201</f>
        <v>0</v>
      </c>
      <c r="AE204" s="1289"/>
      <c r="AF204" s="1289"/>
      <c r="AG204" s="2375">
        <f ca="1">+AG203-AG201</f>
        <v>0</v>
      </c>
      <c r="AH204" s="1289"/>
      <c r="AI204" s="1289"/>
      <c r="AJ204" s="2375">
        <f ca="1">+AJ203-AJ201</f>
        <v>0</v>
      </c>
      <c r="AK204" s="1289"/>
      <c r="AL204" s="1289"/>
      <c r="AM204" s="2375">
        <f ca="1">+AM203-AM201</f>
        <v>0</v>
      </c>
      <c r="AN204" s="1289"/>
      <c r="AO204" s="1289"/>
      <c r="AP204" s="2375">
        <f ca="1">+AP203-AP201</f>
        <v>0</v>
      </c>
      <c r="AQ204" s="1289"/>
      <c r="AR204" s="1322" t="s">
        <v>1237</v>
      </c>
      <c r="AS204" s="1365">
        <f ca="1">+AS176+AS155+AS142+AS129+AS88+AS76+AS65+AS34+AS162+AS185+AS194+AS197+AS198+AS199+AS200</f>
        <v>46096359.941877656</v>
      </c>
      <c r="AT204" s="1289"/>
      <c r="AU204" s="411"/>
      <c r="AV204" s="376"/>
      <c r="AW204" s="376"/>
      <c r="AX204" s="170"/>
      <c r="AY204" s="170"/>
      <c r="AZ204" s="170"/>
      <c r="BA204" s="376"/>
      <c r="BB204" s="170"/>
      <c r="BC204" s="376"/>
      <c r="BD204" s="170"/>
      <c r="BE204" s="170"/>
      <c r="BF204" s="472"/>
      <c r="BG204" s="376"/>
      <c r="BH204" s="170"/>
      <c r="BI204" s="472"/>
      <c r="BJ204" s="170"/>
      <c r="BK204" s="170"/>
      <c r="BL204" s="472"/>
      <c r="BM204" s="170"/>
      <c r="BN204" s="170"/>
      <c r="BO204" s="472"/>
      <c r="BP204" s="170"/>
      <c r="BQ204" s="170"/>
      <c r="BR204" s="472"/>
      <c r="BS204" s="170"/>
      <c r="BT204" s="170"/>
      <c r="BU204" s="472"/>
      <c r="BV204" s="170"/>
      <c r="BW204" s="170"/>
      <c r="BX204" s="472"/>
      <c r="BY204" s="170"/>
      <c r="BZ204" s="170"/>
      <c r="CA204" s="472"/>
      <c r="CB204" s="170"/>
      <c r="CC204" s="170"/>
      <c r="CD204" s="472"/>
      <c r="CE204" s="170"/>
      <c r="CF204" s="170"/>
      <c r="CG204" s="472"/>
      <c r="CH204" s="170"/>
      <c r="CI204" s="170"/>
      <c r="CJ204" s="376"/>
      <c r="CK204" s="170"/>
      <c r="CL204" s="170"/>
      <c r="CM204" s="170"/>
      <c r="CN204" s="170"/>
      <c r="CO204" s="170"/>
      <c r="CP204" s="170"/>
      <c r="CQ204" s="376"/>
      <c r="CR204" s="170"/>
      <c r="CS204" s="376"/>
      <c r="CT204" s="170"/>
      <c r="CU204" s="170"/>
      <c r="CV204" s="376"/>
      <c r="CW204" s="376"/>
      <c r="CX204" s="170"/>
      <c r="CY204" s="376"/>
      <c r="CZ204" s="170"/>
      <c r="DA204" s="170"/>
      <c r="DB204" s="376"/>
      <c r="DC204" s="170"/>
      <c r="DD204" s="170"/>
      <c r="DE204" s="376"/>
      <c r="DF204" s="170"/>
      <c r="DG204" s="170"/>
      <c r="DH204" s="376"/>
      <c r="DI204" s="170"/>
      <c r="DJ204" s="170"/>
      <c r="DK204" s="376"/>
      <c r="DL204" s="170"/>
      <c r="DM204" s="170"/>
      <c r="DN204" s="376"/>
      <c r="DO204" s="170"/>
      <c r="DP204" s="170"/>
      <c r="DQ204" s="376"/>
      <c r="DR204" s="170"/>
      <c r="DS204" s="170"/>
      <c r="DT204" s="376"/>
      <c r="DU204" s="170"/>
      <c r="DV204" s="170"/>
      <c r="DW204" s="376"/>
      <c r="DX204" s="170"/>
      <c r="DY204" s="170"/>
      <c r="DZ204" s="376"/>
      <c r="EA204" s="170"/>
      <c r="EB204" s="170"/>
      <c r="EC204" s="170"/>
      <c r="ED204" s="170"/>
      <c r="EE204" s="170"/>
      <c r="EF204" s="170"/>
      <c r="EG204" s="170"/>
      <c r="EH204" s="170"/>
      <c r="EI204" s="170"/>
      <c r="EJ204" s="170"/>
      <c r="EK204" s="170"/>
    </row>
    <row r="205" spans="1:141" ht="15" x14ac:dyDescent="0.25">
      <c r="A205" s="170"/>
      <c r="B205" s="472"/>
      <c r="C205" s="472"/>
      <c r="D205" s="472"/>
      <c r="E205" s="170"/>
      <c r="F205" s="170"/>
      <c r="G205" s="1287"/>
      <c r="H205" s="1287"/>
      <c r="I205" s="1289"/>
      <c r="J205" s="1287"/>
      <c r="K205" s="1289"/>
      <c r="L205" s="1287"/>
      <c r="M205" s="1287"/>
      <c r="N205" s="1289"/>
      <c r="O205" s="1289"/>
      <c r="P205" s="1287"/>
      <c r="Q205" s="1289"/>
      <c r="R205" s="1287"/>
      <c r="S205" s="1287"/>
      <c r="T205" s="1289"/>
      <c r="U205" s="1287"/>
      <c r="V205" s="1287"/>
      <c r="W205" s="1289"/>
      <c r="X205" s="1287"/>
      <c r="Y205" s="1287"/>
      <c r="Z205" s="1289"/>
      <c r="AA205" s="1287"/>
      <c r="AB205" s="1287"/>
      <c r="AC205" s="1289"/>
      <c r="AD205" s="1287"/>
      <c r="AE205" s="1287"/>
      <c r="AF205" s="1289"/>
      <c r="AG205" s="1287"/>
      <c r="AH205" s="1287"/>
      <c r="AI205" s="1289"/>
      <c r="AJ205" s="1287"/>
      <c r="AK205" s="1287"/>
      <c r="AL205" s="1289"/>
      <c r="AM205" s="1287"/>
      <c r="AN205" s="1287"/>
      <c r="AO205" s="1289"/>
      <c r="AP205" s="1287"/>
      <c r="AQ205" s="1287"/>
      <c r="AR205" s="1289"/>
      <c r="AS205" s="1287"/>
      <c r="AT205" s="1287"/>
      <c r="AU205" s="411"/>
      <c r="AV205" s="170"/>
      <c r="AW205" s="170"/>
      <c r="AX205" s="170"/>
      <c r="AY205" s="170"/>
      <c r="AZ205" s="170"/>
      <c r="BA205" s="376"/>
      <c r="BB205" s="170"/>
      <c r="BC205" s="376"/>
      <c r="BD205" s="170"/>
      <c r="BE205" s="170"/>
      <c r="BF205" s="472"/>
      <c r="BG205" s="376"/>
      <c r="BH205" s="170"/>
      <c r="BI205" s="472"/>
      <c r="BJ205" s="170"/>
      <c r="BK205" s="170"/>
      <c r="BL205" s="472"/>
      <c r="BM205" s="170"/>
      <c r="BN205" s="170"/>
      <c r="BO205" s="472"/>
      <c r="BP205" s="170"/>
      <c r="BQ205" s="170"/>
      <c r="BR205" s="472"/>
      <c r="BS205" s="170"/>
      <c r="BT205" s="170"/>
      <c r="BU205" s="472"/>
      <c r="BV205" s="170"/>
      <c r="BW205" s="170"/>
      <c r="BX205" s="472"/>
      <c r="BY205" s="170"/>
      <c r="BZ205" s="170"/>
      <c r="CA205" s="472"/>
      <c r="CB205" s="170"/>
      <c r="CC205" s="170"/>
      <c r="CD205" s="472"/>
      <c r="CE205" s="170"/>
      <c r="CF205" s="170"/>
      <c r="CG205" s="472"/>
      <c r="CH205" s="170"/>
      <c r="CI205" s="170"/>
      <c r="CJ205" s="376"/>
      <c r="CK205" s="170"/>
      <c r="CL205" s="170"/>
      <c r="CM205" s="170"/>
      <c r="CN205" s="170"/>
      <c r="CO205" s="170"/>
      <c r="CP205" s="170"/>
      <c r="CQ205" s="376"/>
      <c r="CR205" s="170"/>
      <c r="CS205" s="376"/>
      <c r="CT205" s="170"/>
      <c r="CU205" s="170"/>
      <c r="CV205" s="376"/>
      <c r="CW205" s="376"/>
      <c r="CX205" s="170"/>
      <c r="CY205" s="376"/>
      <c r="CZ205" s="170"/>
      <c r="DA205" s="170"/>
      <c r="DB205" s="376"/>
      <c r="DC205" s="170"/>
      <c r="DD205" s="170"/>
      <c r="DE205" s="376"/>
      <c r="DF205" s="170"/>
      <c r="DG205" s="170"/>
      <c r="DH205" s="376"/>
      <c r="DI205" s="170"/>
      <c r="DJ205" s="170"/>
      <c r="DK205" s="376"/>
      <c r="DL205" s="170"/>
      <c r="DM205" s="170"/>
      <c r="DN205" s="376"/>
      <c r="DO205" s="170"/>
      <c r="DP205" s="170"/>
      <c r="DQ205" s="376"/>
      <c r="DR205" s="170"/>
      <c r="DS205" s="170"/>
      <c r="DT205" s="376"/>
      <c r="DU205" s="170"/>
      <c r="DV205" s="170"/>
      <c r="DW205" s="376"/>
      <c r="DX205" s="170"/>
      <c r="DY205" s="170"/>
      <c r="DZ205" s="376"/>
      <c r="EA205" s="170"/>
      <c r="EB205" s="170"/>
      <c r="EC205" s="170"/>
      <c r="ED205" s="170"/>
      <c r="EE205" s="170"/>
      <c r="EF205" s="170"/>
      <c r="EG205" s="170"/>
      <c r="EH205" s="170"/>
      <c r="EI205" s="170"/>
      <c r="EJ205" s="170"/>
      <c r="EK205" s="170"/>
    </row>
    <row r="206" spans="1:141" ht="15" x14ac:dyDescent="0.25">
      <c r="A206" s="170"/>
      <c r="B206" s="472"/>
      <c r="C206" s="472"/>
      <c r="D206" s="472"/>
      <c r="E206" s="170"/>
      <c r="F206" s="170"/>
      <c r="G206" s="1287"/>
      <c r="H206" s="1287"/>
      <c r="I206" s="1289"/>
      <c r="J206" s="1287"/>
      <c r="K206" s="1289"/>
      <c r="L206" s="1287"/>
      <c r="M206" s="1287"/>
      <c r="N206" s="1289"/>
      <c r="O206" s="1289"/>
      <c r="P206" s="1287"/>
      <c r="Q206" s="1289"/>
      <c r="R206" s="1287"/>
      <c r="S206" s="1287"/>
      <c r="T206" s="1289"/>
      <c r="U206" s="1287"/>
      <c r="V206" s="1287"/>
      <c r="W206" s="1289"/>
      <c r="X206" s="1287"/>
      <c r="Y206" s="1287"/>
      <c r="Z206" s="1289"/>
      <c r="AA206" s="1287"/>
      <c r="AB206" s="1287"/>
      <c r="AC206" s="1289"/>
      <c r="AD206" s="1287"/>
      <c r="AE206" s="1287"/>
      <c r="AF206" s="1289"/>
      <c r="AG206" s="1287"/>
      <c r="AH206" s="1287"/>
      <c r="AI206" s="1289"/>
      <c r="AJ206" s="1287"/>
      <c r="AK206" s="1287"/>
      <c r="AL206" s="1289"/>
      <c r="AM206" s="1287"/>
      <c r="AN206" s="1287"/>
      <c r="AO206" s="1289"/>
      <c r="AP206" s="1287"/>
      <c r="AQ206" s="1287"/>
      <c r="AR206" s="2375">
        <f ca="1">+AR203-AS201</f>
        <v>-375859.94187767059</v>
      </c>
      <c r="AS206" s="1287"/>
      <c r="AT206" s="1287"/>
      <c r="AU206" s="411"/>
      <c r="AV206" s="170"/>
      <c r="AW206" s="170"/>
      <c r="AX206" s="170"/>
      <c r="AY206" s="170"/>
      <c r="AZ206" s="170"/>
      <c r="BA206" s="376"/>
      <c r="BB206" s="170"/>
      <c r="BC206" s="376"/>
      <c r="BD206" s="170"/>
      <c r="BE206" s="170"/>
      <c r="BF206" s="472"/>
      <c r="BG206" s="376"/>
      <c r="BH206" s="170"/>
      <c r="BI206" s="472"/>
      <c r="BJ206" s="170"/>
      <c r="BK206" s="170"/>
      <c r="BL206" s="472"/>
      <c r="BM206" s="170"/>
      <c r="BN206" s="170"/>
      <c r="BO206" s="472"/>
      <c r="BP206" s="170"/>
      <c r="BQ206" s="170"/>
      <c r="BR206" s="472"/>
      <c r="BS206" s="170"/>
      <c r="BT206" s="170"/>
      <c r="BU206" s="472"/>
      <c r="BV206" s="170"/>
      <c r="BW206" s="170"/>
      <c r="BX206" s="472"/>
      <c r="BY206" s="170"/>
      <c r="BZ206" s="170"/>
      <c r="CA206" s="472"/>
      <c r="CB206" s="170"/>
      <c r="CC206" s="170"/>
      <c r="CD206" s="472"/>
      <c r="CE206" s="170"/>
      <c r="CF206" s="170"/>
      <c r="CG206" s="472"/>
      <c r="CH206" s="170"/>
      <c r="CI206" s="170"/>
      <c r="CJ206" s="376"/>
      <c r="CK206" s="170"/>
      <c r="CL206" s="170"/>
      <c r="CM206" s="170"/>
      <c r="CN206" s="170"/>
      <c r="CO206" s="170"/>
      <c r="CP206" s="170"/>
      <c r="CQ206" s="376"/>
      <c r="CR206" s="170"/>
      <c r="CS206" s="376"/>
      <c r="CT206" s="170"/>
      <c r="CU206" s="170"/>
      <c r="CV206" s="376"/>
      <c r="CW206" s="376"/>
      <c r="CX206" s="170"/>
      <c r="CY206" s="376"/>
      <c r="CZ206" s="170"/>
      <c r="DA206" s="170"/>
      <c r="DB206" s="376"/>
      <c r="DC206" s="170"/>
      <c r="DD206" s="170"/>
      <c r="DE206" s="376"/>
      <c r="DF206" s="170"/>
      <c r="DG206" s="170"/>
      <c r="DH206" s="376"/>
      <c r="DI206" s="170"/>
      <c r="DJ206" s="170"/>
      <c r="DK206" s="376"/>
      <c r="DL206" s="170"/>
      <c r="DM206" s="170"/>
      <c r="DN206" s="376"/>
      <c r="DO206" s="170"/>
      <c r="DP206" s="170"/>
      <c r="DQ206" s="376"/>
      <c r="DR206" s="170"/>
      <c r="DS206" s="170"/>
      <c r="DT206" s="376"/>
      <c r="DU206" s="170"/>
      <c r="DV206" s="170"/>
      <c r="DW206" s="376"/>
      <c r="DX206" s="170"/>
      <c r="DY206" s="170"/>
      <c r="DZ206" s="376"/>
      <c r="EA206" s="170"/>
      <c r="EB206" s="170"/>
      <c r="EC206" s="170"/>
      <c r="ED206" s="170"/>
      <c r="EE206" s="170"/>
      <c r="EF206" s="170"/>
      <c r="EG206" s="170"/>
      <c r="EH206" s="170"/>
      <c r="EI206" s="170"/>
      <c r="EJ206" s="170"/>
      <c r="EK206" s="170"/>
    </row>
    <row r="207" spans="1:141" ht="15" x14ac:dyDescent="0.25">
      <c r="A207" s="170"/>
      <c r="B207" s="472"/>
      <c r="C207" s="472"/>
      <c r="D207" s="472"/>
      <c r="E207" s="170"/>
      <c r="F207" s="170"/>
      <c r="G207" s="1287"/>
      <c r="H207" s="1287"/>
      <c r="I207" s="1289"/>
      <c r="J207" s="1287"/>
      <c r="K207" s="1289"/>
      <c r="L207" s="1287"/>
      <c r="M207" s="1287"/>
      <c r="N207" s="1289"/>
      <c r="O207" s="1289"/>
      <c r="P207" s="1287"/>
      <c r="Q207" s="1289"/>
      <c r="R207" s="1287"/>
      <c r="S207" s="1287"/>
      <c r="T207" s="1289"/>
      <c r="U207" s="1287"/>
      <c r="V207" s="1287"/>
      <c r="W207" s="1289"/>
      <c r="X207" s="1287"/>
      <c r="Y207" s="1287"/>
      <c r="Z207" s="1289"/>
      <c r="AA207" s="1287"/>
      <c r="AB207" s="1287"/>
      <c r="AC207" s="1289"/>
      <c r="AD207" s="1287"/>
      <c r="AE207" s="1287"/>
      <c r="AF207" s="1289"/>
      <c r="AG207" s="1287"/>
      <c r="AH207" s="1287"/>
      <c r="AI207" s="1289"/>
      <c r="AJ207" s="1287"/>
      <c r="AK207" s="1287"/>
      <c r="AL207" s="1289"/>
      <c r="AM207" s="1287"/>
      <c r="AN207" s="1287"/>
      <c r="AO207" s="1289"/>
      <c r="AP207" s="1287"/>
      <c r="AQ207" s="1287"/>
      <c r="AR207" s="1289"/>
      <c r="AS207" s="1287"/>
      <c r="AT207" s="1287"/>
      <c r="AU207" s="411"/>
      <c r="AV207" s="170"/>
      <c r="AW207" s="170"/>
      <c r="AX207" s="170"/>
      <c r="AY207" s="170"/>
      <c r="AZ207" s="170"/>
      <c r="BA207" s="376"/>
      <c r="BB207" s="170"/>
      <c r="BC207" s="376"/>
      <c r="BD207" s="170"/>
      <c r="BE207" s="170"/>
      <c r="BF207" s="472"/>
      <c r="BG207" s="376"/>
      <c r="BH207" s="170"/>
      <c r="BI207" s="472"/>
      <c r="BJ207" s="170"/>
      <c r="BK207" s="170"/>
      <c r="BL207" s="472"/>
      <c r="BM207" s="170"/>
      <c r="BN207" s="170"/>
      <c r="BO207" s="472"/>
      <c r="BP207" s="170"/>
      <c r="BQ207" s="170"/>
      <c r="BR207" s="472"/>
      <c r="BS207" s="170"/>
      <c r="BT207" s="170"/>
      <c r="BU207" s="472"/>
      <c r="BV207" s="170"/>
      <c r="BW207" s="170"/>
      <c r="BX207" s="472"/>
      <c r="BY207" s="170"/>
      <c r="BZ207" s="170"/>
      <c r="CA207" s="472"/>
      <c r="CB207" s="170"/>
      <c r="CC207" s="170"/>
      <c r="CD207" s="472"/>
      <c r="CE207" s="170"/>
      <c r="CF207" s="170"/>
      <c r="CG207" s="472"/>
      <c r="CH207" s="170"/>
      <c r="CI207" s="170"/>
      <c r="CJ207" s="376"/>
      <c r="CK207" s="170"/>
      <c r="CL207" s="170"/>
      <c r="CM207" s="170"/>
      <c r="CN207" s="170"/>
      <c r="CO207" s="170"/>
      <c r="CP207" s="170"/>
      <c r="CQ207" s="376"/>
      <c r="CR207" s="170"/>
      <c r="CS207" s="376"/>
      <c r="CT207" s="170"/>
      <c r="CU207" s="170"/>
      <c r="CV207" s="376"/>
      <c r="CW207" s="376"/>
      <c r="CX207" s="170"/>
      <c r="CY207" s="376"/>
      <c r="CZ207" s="170"/>
      <c r="DA207" s="170"/>
      <c r="DB207" s="376"/>
      <c r="DC207" s="170"/>
      <c r="DD207" s="170"/>
      <c r="DE207" s="376"/>
      <c r="DF207" s="170"/>
      <c r="DG207" s="170"/>
      <c r="DH207" s="376"/>
      <c r="DI207" s="170"/>
      <c r="DJ207" s="170"/>
      <c r="DK207" s="376"/>
      <c r="DL207" s="170"/>
      <c r="DM207" s="170"/>
      <c r="DN207" s="376"/>
      <c r="DO207" s="170"/>
      <c r="DP207" s="170"/>
      <c r="DQ207" s="376"/>
      <c r="DR207" s="170"/>
      <c r="DS207" s="170"/>
      <c r="DT207" s="376"/>
      <c r="DU207" s="170"/>
      <c r="DV207" s="170"/>
      <c r="DW207" s="376"/>
      <c r="DX207" s="170"/>
      <c r="DY207" s="170"/>
      <c r="DZ207" s="376"/>
      <c r="EA207" s="170"/>
      <c r="EB207" s="170"/>
      <c r="EC207" s="170"/>
      <c r="ED207" s="170"/>
      <c r="EE207" s="170"/>
      <c r="EF207" s="170"/>
      <c r="EG207" s="170"/>
      <c r="EH207" s="170"/>
      <c r="EI207" s="170"/>
      <c r="EJ207" s="170"/>
      <c r="EK207" s="170"/>
    </row>
    <row r="208" spans="1:141" ht="15" x14ac:dyDescent="0.25">
      <c r="A208" s="170"/>
      <c r="B208" s="472"/>
      <c r="C208" s="472"/>
      <c r="D208" s="472"/>
      <c r="E208" s="170"/>
      <c r="F208" s="170"/>
      <c r="G208" s="1287"/>
      <c r="H208" s="1287"/>
      <c r="I208" s="1289"/>
      <c r="J208" s="1287"/>
      <c r="K208" s="1289"/>
      <c r="L208" s="1287"/>
      <c r="M208" s="1287"/>
      <c r="N208" s="1289"/>
      <c r="O208" s="1289"/>
      <c r="P208" s="1287"/>
      <c r="Q208" s="1289"/>
      <c r="R208" s="1287"/>
      <c r="S208" s="1287"/>
      <c r="T208" s="1289"/>
      <c r="U208" s="1287"/>
      <c r="V208" s="1287"/>
      <c r="W208" s="1289"/>
      <c r="X208" s="1287"/>
      <c r="Y208" s="1287"/>
      <c r="Z208" s="1289"/>
      <c r="AA208" s="1287"/>
      <c r="AB208" s="1287"/>
      <c r="AC208" s="1289"/>
      <c r="AD208" s="1287"/>
      <c r="AE208" s="1287"/>
      <c r="AF208" s="1289"/>
      <c r="AG208" s="1287"/>
      <c r="AH208" s="1287"/>
      <c r="AI208" s="1289"/>
      <c r="AJ208" s="1287"/>
      <c r="AK208" s="1287"/>
      <c r="AL208" s="1289"/>
      <c r="AM208" s="1287"/>
      <c r="AN208" s="1287"/>
      <c r="AO208" s="1289"/>
      <c r="AP208" s="1287"/>
      <c r="AQ208" s="1287"/>
      <c r="AR208" s="1289"/>
      <c r="AS208" s="1287"/>
      <c r="AT208" s="1287"/>
      <c r="AU208" s="411"/>
      <c r="AV208" s="170"/>
      <c r="AW208" s="170"/>
      <c r="AX208" s="170"/>
      <c r="AY208" s="170"/>
      <c r="AZ208" s="170"/>
      <c r="BA208" s="376"/>
      <c r="BB208" s="170"/>
      <c r="BC208" s="376"/>
      <c r="BD208" s="170"/>
      <c r="BE208" s="170"/>
      <c r="BF208" s="472"/>
      <c r="BG208" s="376"/>
      <c r="BH208" s="170"/>
      <c r="BI208" s="472"/>
      <c r="BJ208" s="170"/>
      <c r="BK208" s="170"/>
      <c r="BL208" s="472"/>
      <c r="BM208" s="170"/>
      <c r="BN208" s="170"/>
      <c r="BO208" s="472"/>
      <c r="BP208" s="170"/>
      <c r="BQ208" s="170"/>
      <c r="BR208" s="472"/>
      <c r="BS208" s="170"/>
      <c r="BT208" s="170"/>
      <c r="BU208" s="472"/>
      <c r="BV208" s="170"/>
      <c r="BW208" s="170"/>
      <c r="BX208" s="472"/>
      <c r="BY208" s="170"/>
      <c r="BZ208" s="170"/>
      <c r="CA208" s="472"/>
      <c r="CB208" s="170"/>
      <c r="CC208" s="170"/>
      <c r="CD208" s="472"/>
      <c r="CE208" s="170"/>
      <c r="CF208" s="170"/>
      <c r="CG208" s="472"/>
      <c r="CH208" s="170"/>
      <c r="CI208" s="170"/>
      <c r="CJ208" s="376"/>
      <c r="CK208" s="170"/>
      <c r="CL208" s="170"/>
      <c r="CM208" s="170"/>
      <c r="CN208" s="170"/>
      <c r="CO208" s="170"/>
      <c r="CP208" s="170"/>
      <c r="CQ208" s="376"/>
      <c r="CR208" s="170"/>
      <c r="CS208" s="376"/>
      <c r="CT208" s="170"/>
      <c r="CU208" s="170"/>
      <c r="CV208" s="376"/>
      <c r="CW208" s="376"/>
      <c r="CX208" s="170"/>
      <c r="CY208" s="376"/>
      <c r="CZ208" s="170"/>
      <c r="DA208" s="170"/>
      <c r="DB208" s="376"/>
      <c r="DC208" s="170"/>
      <c r="DD208" s="170"/>
      <c r="DE208" s="376"/>
      <c r="DF208" s="170"/>
      <c r="DG208" s="170"/>
      <c r="DH208" s="376"/>
      <c r="DI208" s="170"/>
      <c r="DJ208" s="170"/>
      <c r="DK208" s="376"/>
      <c r="DL208" s="170"/>
      <c r="DM208" s="170"/>
      <c r="DN208" s="376"/>
      <c r="DO208" s="170"/>
      <c r="DP208" s="170"/>
      <c r="DQ208" s="376"/>
      <c r="DR208" s="170"/>
      <c r="DS208" s="170"/>
      <c r="DT208" s="376"/>
      <c r="DU208" s="170"/>
      <c r="DV208" s="170"/>
      <c r="DW208" s="376"/>
      <c r="DX208" s="170"/>
      <c r="DY208" s="170"/>
      <c r="DZ208" s="376"/>
      <c r="EA208" s="170"/>
      <c r="EB208" s="170"/>
      <c r="EC208" s="170"/>
      <c r="ED208" s="170"/>
      <c r="EE208" s="170"/>
      <c r="EF208" s="170"/>
      <c r="EG208" s="170"/>
      <c r="EH208" s="170"/>
      <c r="EI208" s="170"/>
      <c r="EJ208" s="170"/>
      <c r="EK208" s="170"/>
    </row>
    <row r="209" spans="1:141" ht="15" x14ac:dyDescent="0.25">
      <c r="A209" s="170"/>
      <c r="B209" s="472"/>
      <c r="C209" s="472"/>
      <c r="D209" s="472"/>
      <c r="E209" s="170"/>
      <c r="F209" s="170"/>
      <c r="G209" s="1287"/>
      <c r="H209" s="1287"/>
      <c r="I209" s="1289"/>
      <c r="J209" s="1287"/>
      <c r="K209" s="1289"/>
      <c r="L209" s="1287"/>
      <c r="M209" s="1287"/>
      <c r="N209" s="1289"/>
      <c r="O209" s="1289"/>
      <c r="P209" s="1287"/>
      <c r="Q209" s="1289"/>
      <c r="R209" s="1287"/>
      <c r="S209" s="1287"/>
      <c r="T209" s="1289"/>
      <c r="U209" s="1287"/>
      <c r="V209" s="1287"/>
      <c r="W209" s="1289"/>
      <c r="X209" s="1287"/>
      <c r="Y209" s="1287"/>
      <c r="Z209" s="1289"/>
      <c r="AA209" s="1287"/>
      <c r="AB209" s="1287"/>
      <c r="AC209" s="1289"/>
      <c r="AD209" s="1287"/>
      <c r="AE209" s="1287"/>
      <c r="AF209" s="1289"/>
      <c r="AG209" s="1287"/>
      <c r="AH209" s="1287"/>
      <c r="AI209" s="1289"/>
      <c r="AJ209" s="1287"/>
      <c r="AK209" s="1287"/>
      <c r="AL209" s="1289"/>
      <c r="AM209" s="1287"/>
      <c r="AN209" s="1287"/>
      <c r="AO209" s="1289"/>
      <c r="AP209" s="1287"/>
      <c r="AQ209" s="1287"/>
      <c r="AR209" s="1289"/>
      <c r="AS209" s="1287"/>
      <c r="AT209" s="1287"/>
      <c r="AU209" s="411"/>
      <c r="AV209" s="170"/>
      <c r="AW209" s="170"/>
      <c r="AX209" s="170"/>
      <c r="AY209" s="170"/>
      <c r="AZ209" s="170"/>
      <c r="BA209" s="376"/>
      <c r="BB209" s="170"/>
      <c r="BC209" s="376"/>
      <c r="BD209" s="170"/>
      <c r="BE209" s="170"/>
      <c r="BF209" s="472"/>
      <c r="BG209" s="376"/>
      <c r="BH209" s="170"/>
      <c r="BI209" s="472"/>
      <c r="BJ209" s="170"/>
      <c r="BK209" s="170"/>
      <c r="BL209" s="472"/>
      <c r="BM209" s="170"/>
      <c r="BN209" s="170"/>
      <c r="BO209" s="472"/>
      <c r="BP209" s="170"/>
      <c r="BQ209" s="170"/>
      <c r="BR209" s="472"/>
      <c r="BS209" s="170"/>
      <c r="BT209" s="170"/>
      <c r="BU209" s="472"/>
      <c r="BV209" s="170"/>
      <c r="BW209" s="170"/>
      <c r="BX209" s="472"/>
      <c r="BY209" s="170"/>
      <c r="BZ209" s="170"/>
      <c r="CA209" s="472"/>
      <c r="CB209" s="170"/>
      <c r="CC209" s="170"/>
      <c r="CD209" s="472"/>
      <c r="CE209" s="170"/>
      <c r="CF209" s="170"/>
      <c r="CG209" s="472"/>
      <c r="CH209" s="170"/>
      <c r="CI209" s="170"/>
      <c r="CJ209" s="376"/>
      <c r="CK209" s="170"/>
      <c r="CL209" s="170"/>
      <c r="CM209" s="170"/>
      <c r="CN209" s="170"/>
      <c r="CO209" s="170"/>
      <c r="CP209" s="170"/>
      <c r="CQ209" s="376"/>
      <c r="CR209" s="170"/>
      <c r="CS209" s="376"/>
      <c r="CT209" s="170"/>
      <c r="CU209" s="170"/>
      <c r="CV209" s="376"/>
      <c r="CW209" s="376"/>
      <c r="CX209" s="170"/>
      <c r="CY209" s="376"/>
      <c r="CZ209" s="170"/>
      <c r="DA209" s="170"/>
      <c r="DB209" s="376"/>
      <c r="DC209" s="170"/>
      <c r="DD209" s="170"/>
      <c r="DE209" s="376"/>
      <c r="DF209" s="170"/>
      <c r="DG209" s="170"/>
      <c r="DH209" s="376"/>
      <c r="DI209" s="170"/>
      <c r="DJ209" s="170"/>
      <c r="DK209" s="376"/>
      <c r="DL209" s="170"/>
      <c r="DM209" s="170"/>
      <c r="DN209" s="376"/>
      <c r="DO209" s="170"/>
      <c r="DP209" s="170"/>
      <c r="DQ209" s="376"/>
      <c r="DR209" s="170"/>
      <c r="DS209" s="170"/>
      <c r="DT209" s="376"/>
      <c r="DU209" s="170"/>
      <c r="DV209" s="170"/>
      <c r="DW209" s="376"/>
      <c r="DX209" s="170"/>
      <c r="DY209" s="170"/>
      <c r="DZ209" s="376"/>
      <c r="EA209" s="170"/>
      <c r="EB209" s="170"/>
      <c r="EC209" s="170"/>
      <c r="ED209" s="170"/>
      <c r="EE209" s="170"/>
      <c r="EF209" s="170"/>
      <c r="EG209" s="170"/>
      <c r="EH209" s="170"/>
      <c r="EI209" s="170"/>
      <c r="EJ209" s="170"/>
      <c r="EK209" s="170"/>
    </row>
    <row r="210" spans="1:141" ht="15" x14ac:dyDescent="0.25">
      <c r="A210" s="170"/>
      <c r="B210" s="472"/>
      <c r="C210" s="472"/>
      <c r="D210" s="472"/>
      <c r="E210" s="170"/>
      <c r="F210" s="170"/>
      <c r="G210" s="1287"/>
      <c r="H210" s="1287"/>
      <c r="I210" s="1289"/>
      <c r="J210" s="1287"/>
      <c r="K210" s="1289"/>
      <c r="L210" s="1287"/>
      <c r="M210" s="1287"/>
      <c r="N210" s="1289"/>
      <c r="O210" s="1289"/>
      <c r="P210" s="1287"/>
      <c r="Q210" s="1289"/>
      <c r="R210" s="1287"/>
      <c r="S210" s="1287"/>
      <c r="T210" s="1289"/>
      <c r="U210" s="1287"/>
      <c r="V210" s="1287"/>
      <c r="W210" s="1289"/>
      <c r="X210" s="1287"/>
      <c r="Y210" s="1287"/>
      <c r="Z210" s="1289"/>
      <c r="AA210" s="1287"/>
      <c r="AB210" s="1287"/>
      <c r="AC210" s="1289"/>
      <c r="AD210" s="1287"/>
      <c r="AE210" s="1287"/>
      <c r="AF210" s="1289"/>
      <c r="AG210" s="1287"/>
      <c r="AH210" s="1287"/>
      <c r="AI210" s="1289"/>
      <c r="AJ210" s="1287"/>
      <c r="AK210" s="1287"/>
      <c r="AL210" s="1289"/>
      <c r="AM210" s="1287"/>
      <c r="AN210" s="1287"/>
      <c r="AO210" s="1289"/>
      <c r="AP210" s="1287"/>
      <c r="AQ210" s="1287"/>
      <c r="AR210" s="1289"/>
      <c r="AS210" s="1287"/>
      <c r="AT210" s="1287"/>
      <c r="AU210" s="411"/>
      <c r="AV210" s="170"/>
      <c r="AW210" s="170"/>
      <c r="AX210" s="170"/>
      <c r="AY210" s="544" t="s">
        <v>204</v>
      </c>
      <c r="AZ210" s="544"/>
      <c r="BA210" s="544"/>
      <c r="BB210" s="376"/>
      <c r="BC210" s="376"/>
      <c r="BD210" s="170"/>
      <c r="BE210" s="170"/>
      <c r="BF210" s="472"/>
      <c r="BG210" s="376"/>
      <c r="BH210" s="170"/>
      <c r="BI210" s="472"/>
      <c r="BJ210" s="170"/>
      <c r="BK210" s="170"/>
      <c r="BL210" s="472"/>
      <c r="BM210" s="170"/>
      <c r="BN210" s="170"/>
      <c r="BO210" s="472"/>
      <c r="BP210" s="170"/>
      <c r="BQ210" s="170"/>
      <c r="BR210" s="472"/>
      <c r="BS210" s="170"/>
      <c r="BT210" s="170"/>
      <c r="BU210" s="472"/>
      <c r="BV210" s="170"/>
      <c r="BW210" s="170"/>
      <c r="BX210" s="472"/>
      <c r="BY210" s="170"/>
      <c r="BZ210" s="170"/>
      <c r="CA210" s="472"/>
      <c r="CB210" s="170"/>
      <c r="CC210" s="170"/>
      <c r="CD210" s="472"/>
      <c r="CE210" s="170"/>
      <c r="CF210" s="170"/>
      <c r="CG210" s="472"/>
      <c r="CH210" s="170"/>
      <c r="CI210" s="170"/>
      <c r="CJ210" s="376"/>
      <c r="CK210" s="170"/>
      <c r="CL210" s="170"/>
      <c r="CM210" s="170"/>
      <c r="CN210" s="170"/>
      <c r="CO210" s="170"/>
      <c r="CP210" s="170"/>
      <c r="CQ210" s="376"/>
      <c r="CR210" s="170"/>
      <c r="CS210" s="376"/>
      <c r="CT210" s="170"/>
      <c r="CU210" s="170"/>
      <c r="CV210" s="376"/>
      <c r="CW210" s="376"/>
      <c r="CX210" s="170"/>
      <c r="CY210" s="376"/>
      <c r="CZ210" s="170"/>
      <c r="DA210" s="170"/>
      <c r="DB210" s="376"/>
      <c r="DC210" s="170"/>
      <c r="DD210" s="170"/>
      <c r="DE210" s="376"/>
      <c r="DF210" s="170"/>
      <c r="DG210" s="170"/>
      <c r="DH210" s="376"/>
      <c r="DI210" s="170"/>
      <c r="DJ210" s="170"/>
      <c r="DK210" s="376"/>
      <c r="DL210" s="170"/>
      <c r="DM210" s="170"/>
      <c r="DN210" s="376"/>
      <c r="DO210" s="170"/>
      <c r="DP210" s="170"/>
      <c r="DQ210" s="376"/>
      <c r="DR210" s="170"/>
      <c r="DS210" s="170"/>
      <c r="DT210" s="376"/>
      <c r="DU210" s="170"/>
      <c r="DV210" s="170"/>
      <c r="DW210" s="376"/>
      <c r="DX210" s="170"/>
      <c r="DY210" s="170"/>
      <c r="DZ210" s="376"/>
      <c r="EA210" s="170"/>
      <c r="EB210" s="170"/>
      <c r="EC210" s="170"/>
      <c r="ED210" s="170"/>
      <c r="EE210" s="170"/>
      <c r="EF210" s="170"/>
      <c r="EG210" s="170"/>
      <c r="EH210" s="170"/>
      <c r="EI210" s="170"/>
      <c r="EJ210" s="170"/>
      <c r="EK210" s="170"/>
    </row>
    <row r="211" spans="1:141" ht="15" x14ac:dyDescent="0.25">
      <c r="A211" s="170"/>
      <c r="B211" s="472"/>
      <c r="C211" s="472"/>
      <c r="D211" s="472"/>
      <c r="E211" s="170"/>
      <c r="F211" s="170"/>
      <c r="G211" s="1287"/>
      <c r="H211" s="1287"/>
      <c r="I211" s="1289"/>
      <c r="J211" s="1287"/>
      <c r="K211" s="1289"/>
      <c r="L211" s="1287"/>
      <c r="M211" s="1287"/>
      <c r="N211" s="1289"/>
      <c r="O211" s="1289"/>
      <c r="P211" s="1287"/>
      <c r="Q211" s="1289"/>
      <c r="R211" s="1287"/>
      <c r="S211" s="1287"/>
      <c r="T211" s="1289"/>
      <c r="U211" s="1287"/>
      <c r="V211" s="1287"/>
      <c r="W211" s="1289"/>
      <c r="X211" s="1287"/>
      <c r="Y211" s="1287"/>
      <c r="Z211" s="1289"/>
      <c r="AA211" s="1287"/>
      <c r="AB211" s="1287"/>
      <c r="AC211" s="1289"/>
      <c r="AD211" s="1287"/>
      <c r="AE211" s="1287"/>
      <c r="AF211" s="1289"/>
      <c r="AG211" s="1287"/>
      <c r="AH211" s="1287"/>
      <c r="AI211" s="1289"/>
      <c r="AJ211" s="1287"/>
      <c r="AK211" s="1287"/>
      <c r="AL211" s="1289"/>
      <c r="AM211" s="1287"/>
      <c r="AN211" s="1287"/>
      <c r="AO211" s="1289"/>
      <c r="AP211" s="1287"/>
      <c r="AQ211" s="1287"/>
      <c r="AR211" s="1289"/>
      <c r="AS211" s="1287"/>
      <c r="AT211" s="1287"/>
      <c r="AU211" s="411"/>
      <c r="AV211" s="170"/>
      <c r="AW211" s="170"/>
      <c r="AX211" s="170"/>
      <c r="AY211" s="544" t="s">
        <v>205</v>
      </c>
      <c r="AZ211" s="544" t="s">
        <v>309</v>
      </c>
      <c r="BA211" s="544"/>
      <c r="BB211" s="376"/>
      <c r="BC211" s="376"/>
      <c r="BD211" s="170"/>
      <c r="BE211" s="170"/>
      <c r="BF211" s="472"/>
      <c r="BG211" s="376"/>
      <c r="BH211" s="170"/>
      <c r="BI211" s="472"/>
      <c r="BJ211" s="170"/>
      <c r="BK211" s="170"/>
      <c r="BL211" s="472"/>
      <c r="BM211" s="170"/>
      <c r="BN211" s="170"/>
      <c r="BO211" s="472"/>
      <c r="BP211" s="170"/>
      <c r="BQ211" s="170"/>
      <c r="BR211" s="472"/>
      <c r="BS211" s="170"/>
      <c r="BT211" s="170"/>
      <c r="BU211" s="472"/>
      <c r="BV211" s="170"/>
      <c r="BW211" s="170"/>
      <c r="BX211" s="472"/>
      <c r="BY211" s="170"/>
      <c r="BZ211" s="170"/>
      <c r="CA211" s="472"/>
      <c r="CB211" s="170"/>
      <c r="CC211" s="170"/>
      <c r="CD211" s="472"/>
      <c r="CE211" s="170"/>
      <c r="CF211" s="170"/>
      <c r="CG211" s="472"/>
      <c r="CH211" s="170"/>
      <c r="CI211" s="170"/>
      <c r="CJ211" s="376"/>
      <c r="CK211" s="170"/>
      <c r="CL211" s="170"/>
      <c r="CM211" s="170"/>
      <c r="CN211" s="170"/>
      <c r="CO211" s="170"/>
      <c r="CP211" s="170"/>
      <c r="CQ211" s="376"/>
      <c r="CR211" s="170"/>
      <c r="CS211" s="376"/>
      <c r="CT211" s="170"/>
      <c r="CU211" s="170"/>
      <c r="CV211" s="376"/>
      <c r="CW211" s="376"/>
      <c r="CX211" s="170"/>
      <c r="CY211" s="376"/>
      <c r="CZ211" s="170"/>
      <c r="DA211" s="170"/>
      <c r="DB211" s="376"/>
      <c r="DC211" s="170"/>
      <c r="DD211" s="170"/>
      <c r="DE211" s="376"/>
      <c r="DF211" s="170"/>
      <c r="DG211" s="170"/>
      <c r="DH211" s="376"/>
      <c r="DI211" s="170"/>
      <c r="DJ211" s="170"/>
      <c r="DK211" s="376"/>
      <c r="DL211" s="170"/>
      <c r="DM211" s="170"/>
      <c r="DN211" s="376"/>
      <c r="DO211" s="170"/>
      <c r="DP211" s="170"/>
      <c r="DQ211" s="376"/>
      <c r="DR211" s="170"/>
      <c r="DS211" s="170"/>
      <c r="DT211" s="376"/>
      <c r="DU211" s="170"/>
      <c r="DV211" s="170"/>
      <c r="DW211" s="376"/>
      <c r="DX211" s="170"/>
      <c r="DY211" s="170"/>
      <c r="DZ211" s="376"/>
      <c r="EA211" s="170"/>
      <c r="EB211" s="170"/>
      <c r="EC211" s="170"/>
      <c r="ED211" s="170"/>
      <c r="EE211" s="170"/>
      <c r="EF211" s="170"/>
      <c r="EG211" s="170"/>
      <c r="EH211" s="170"/>
      <c r="EI211" s="170"/>
      <c r="EJ211" s="170"/>
      <c r="EK211" s="170"/>
    </row>
    <row r="212" spans="1:141" ht="15.75" thickBot="1" x14ac:dyDescent="0.3">
      <c r="A212" s="170"/>
      <c r="B212" s="472"/>
      <c r="C212" s="472"/>
      <c r="D212" s="472"/>
      <c r="E212" s="170"/>
      <c r="F212" s="170"/>
      <c r="G212" s="1287"/>
      <c r="H212" s="1287"/>
      <c r="I212" s="1289"/>
      <c r="J212" s="1287"/>
      <c r="K212" s="1289"/>
      <c r="L212" s="1287"/>
      <c r="M212" s="1287"/>
      <c r="N212" s="1289"/>
      <c r="O212" s="1289"/>
      <c r="P212" s="1287"/>
      <c r="Q212" s="1289"/>
      <c r="R212" s="1287"/>
      <c r="S212" s="1287"/>
      <c r="T212" s="1289"/>
      <c r="U212" s="1287"/>
      <c r="V212" s="1287"/>
      <c r="W212" s="1289"/>
      <c r="X212" s="1287"/>
      <c r="Y212" s="1287"/>
      <c r="Z212" s="1289"/>
      <c r="AA212" s="1287"/>
      <c r="AB212" s="1287"/>
      <c r="AC212" s="1289"/>
      <c r="AD212" s="1287"/>
      <c r="AE212" s="1287"/>
      <c r="AF212" s="1289"/>
      <c r="AG212" s="1287"/>
      <c r="AH212" s="1287"/>
      <c r="AI212" s="1289"/>
      <c r="AJ212" s="1287"/>
      <c r="AK212" s="1287"/>
      <c r="AL212" s="1289"/>
      <c r="AM212" s="1287"/>
      <c r="AN212" s="1287"/>
      <c r="AO212" s="1289"/>
      <c r="AP212" s="1287"/>
      <c r="AQ212" s="1287"/>
      <c r="AR212" s="1289"/>
      <c r="AS212" s="1287"/>
      <c r="AT212" s="1287"/>
      <c r="AU212" s="411"/>
      <c r="AV212" s="170"/>
      <c r="AW212" s="170"/>
      <c r="AX212" s="170"/>
      <c r="AY212" s="170"/>
      <c r="AZ212" s="170"/>
      <c r="BA212" s="376"/>
      <c r="BB212" s="170"/>
      <c r="BC212" s="376"/>
      <c r="BD212" s="170"/>
      <c r="BE212" s="170"/>
      <c r="BF212" s="472"/>
      <c r="BG212" s="376"/>
      <c r="BH212" s="170"/>
      <c r="BI212" s="472"/>
      <c r="BJ212" s="170"/>
      <c r="BK212" s="170"/>
      <c r="BL212" s="472"/>
      <c r="BM212" s="170"/>
      <c r="BN212" s="170"/>
      <c r="BO212" s="472"/>
      <c r="BP212" s="170"/>
      <c r="BQ212" s="170"/>
      <c r="BR212" s="472"/>
      <c r="BS212" s="170"/>
      <c r="BT212" s="170"/>
      <c r="BU212" s="472"/>
      <c r="BV212" s="170"/>
      <c r="BW212" s="170"/>
      <c r="BX212" s="472"/>
      <c r="BY212" s="170"/>
      <c r="BZ212" s="170"/>
      <c r="CA212" s="472"/>
      <c r="CB212" s="170"/>
      <c r="CC212" s="170"/>
      <c r="CD212" s="472"/>
      <c r="CE212" s="170"/>
      <c r="CF212" s="170"/>
      <c r="CG212" s="472"/>
      <c r="CH212" s="170"/>
      <c r="CI212" s="170"/>
      <c r="CJ212" s="376"/>
      <c r="CK212" s="170"/>
      <c r="CL212" s="170"/>
      <c r="CM212" s="170"/>
      <c r="CN212" s="170"/>
      <c r="CO212" s="170"/>
      <c r="CP212" s="170"/>
      <c r="CQ212" s="376"/>
      <c r="CR212" s="170"/>
      <c r="CS212" s="376"/>
      <c r="CT212" s="170"/>
      <c r="CU212" s="170"/>
      <c r="CV212" s="376"/>
      <c r="CW212" s="376"/>
      <c r="CX212" s="170"/>
      <c r="CY212" s="376"/>
      <c r="CZ212" s="170"/>
      <c r="DA212" s="170"/>
      <c r="DB212" s="376"/>
      <c r="DC212" s="170"/>
      <c r="DD212" s="170"/>
      <c r="DE212" s="376"/>
      <c r="DF212" s="170"/>
      <c r="DG212" s="170"/>
      <c r="DH212" s="376"/>
      <c r="DI212" s="170"/>
      <c r="DJ212" s="170"/>
      <c r="DK212" s="376"/>
      <c r="DL212" s="170"/>
      <c r="DM212" s="170"/>
      <c r="DN212" s="376"/>
      <c r="DO212" s="170"/>
      <c r="DP212" s="170"/>
      <c r="DQ212" s="376"/>
      <c r="DR212" s="170"/>
      <c r="DS212" s="170"/>
      <c r="DT212" s="376"/>
      <c r="DU212" s="170"/>
      <c r="DV212" s="170"/>
      <c r="DW212" s="376"/>
      <c r="DX212" s="170"/>
      <c r="DY212" s="170"/>
      <c r="DZ212" s="376"/>
      <c r="EA212" s="170"/>
      <c r="EB212" s="170"/>
      <c r="EC212" s="170"/>
      <c r="ED212" s="170"/>
      <c r="EE212" s="170"/>
      <c r="EF212" s="170"/>
      <c r="EG212" s="170"/>
      <c r="EH212" s="170"/>
      <c r="EI212" s="170"/>
      <c r="EJ212" s="170"/>
      <c r="EK212" s="170"/>
    </row>
    <row r="213" spans="1:141" ht="15.75" thickTop="1" x14ac:dyDescent="0.25">
      <c r="A213" s="545"/>
      <c r="B213" s="546"/>
      <c r="C213" s="546"/>
      <c r="D213" s="546"/>
      <c r="E213" s="547"/>
      <c r="F213" s="1577"/>
      <c r="G213" s="1353"/>
      <c r="H213" s="1353"/>
      <c r="I213" s="1366"/>
      <c r="J213" s="1722"/>
      <c r="K213" s="1681" t="str">
        <f>+K9</f>
        <v>Prior actuals to date</v>
      </c>
      <c r="L213" s="1367"/>
      <c r="M213" s="1368"/>
      <c r="N213" s="1845">
        <f>+N9</f>
        <v>45292</v>
      </c>
      <c r="O213" s="1367"/>
      <c r="P213" s="1368"/>
      <c r="Q213" s="1845">
        <f>+Q9</f>
        <v>45658</v>
      </c>
      <c r="R213" s="1367"/>
      <c r="S213" s="1368"/>
      <c r="T213" s="1845">
        <f>+T9</f>
        <v>46023</v>
      </c>
      <c r="U213" s="1367"/>
      <c r="V213" s="1368"/>
      <c r="W213" s="1845">
        <f>+W9</f>
        <v>46388</v>
      </c>
      <c r="X213" s="1367"/>
      <c r="Y213" s="1368"/>
      <c r="Z213" s="1845">
        <f>+Z9</f>
        <v>46753</v>
      </c>
      <c r="AA213" s="1367"/>
      <c r="AB213" s="1368"/>
      <c r="AC213" s="1845">
        <f>+AC9</f>
        <v>47119</v>
      </c>
      <c r="AD213" s="1367"/>
      <c r="AE213" s="1368"/>
      <c r="AF213" s="1845">
        <f>+AF9</f>
        <v>47484</v>
      </c>
      <c r="AG213" s="1367"/>
      <c r="AH213" s="1368"/>
      <c r="AI213" s="1845">
        <f>+AI9</f>
        <v>47849</v>
      </c>
      <c r="AJ213" s="1367"/>
      <c r="AK213" s="1368"/>
      <c r="AL213" s="1845">
        <f>+AL9</f>
        <v>48214</v>
      </c>
      <c r="AM213" s="1367"/>
      <c r="AN213" s="1368"/>
      <c r="AO213" s="1845">
        <f>+AO9</f>
        <v>48580</v>
      </c>
      <c r="AP213" s="1367"/>
      <c r="AQ213" s="1368"/>
      <c r="AR213" s="1681" t="str">
        <f>+AR9</f>
        <v>TOTAL</v>
      </c>
      <c r="AS213" s="1367"/>
      <c r="AT213" s="1368"/>
      <c r="AU213" s="411"/>
      <c r="AV213" s="548"/>
      <c r="AW213" s="548"/>
      <c r="AX213" s="1577"/>
      <c r="AY213" s="549"/>
      <c r="AZ213" s="549"/>
      <c r="BA213" s="550"/>
      <c r="BB213" s="1643"/>
      <c r="BC213" s="552" t="str">
        <f>+BC9</f>
        <v>Prior</v>
      </c>
      <c r="BD213" s="551"/>
      <c r="BE213" s="1643"/>
      <c r="BF213" s="1843">
        <f>+BF9</f>
        <v>45292</v>
      </c>
      <c r="BG213" s="551"/>
      <c r="BH213" s="1643"/>
      <c r="BI213" s="1843">
        <f>+BI9</f>
        <v>45658</v>
      </c>
      <c r="BJ213" s="551"/>
      <c r="BK213" s="1673"/>
      <c r="BL213" s="1843">
        <f>+BL9</f>
        <v>46023</v>
      </c>
      <c r="BM213" s="551"/>
      <c r="BN213" s="1643"/>
      <c r="BO213" s="1843">
        <f>+BO9</f>
        <v>46388</v>
      </c>
      <c r="BP213" s="551"/>
      <c r="BQ213" s="1643"/>
      <c r="BR213" s="1843">
        <f>+BR9</f>
        <v>46753</v>
      </c>
      <c r="BS213" s="551"/>
      <c r="BT213" s="1643"/>
      <c r="BU213" s="1843">
        <f>+BU9</f>
        <v>47119</v>
      </c>
      <c r="BV213" s="551"/>
      <c r="BW213" s="1643"/>
      <c r="BX213" s="1843">
        <f>+BX9</f>
        <v>47484</v>
      </c>
      <c r="BY213" s="551"/>
      <c r="BZ213" s="1643"/>
      <c r="CA213" s="1843">
        <f>+CA9</f>
        <v>47849</v>
      </c>
      <c r="CB213" s="551"/>
      <c r="CC213" s="1643"/>
      <c r="CD213" s="1843">
        <f>+CD9</f>
        <v>48214</v>
      </c>
      <c r="CE213" s="551"/>
      <c r="CF213" s="1643"/>
      <c r="CG213" s="1843">
        <f>+CG9</f>
        <v>48580</v>
      </c>
      <c r="CH213" s="551"/>
      <c r="CI213" s="1643"/>
      <c r="CJ213" s="552" t="str">
        <f>+CJ9</f>
        <v>TOTAL</v>
      </c>
      <c r="CK213" s="551"/>
      <c r="CL213" s="552"/>
      <c r="CM213" s="170"/>
      <c r="CN213" s="1577"/>
      <c r="CO213" s="553"/>
      <c r="CP213" s="553"/>
      <c r="CQ213" s="554"/>
      <c r="CR213" s="1713"/>
      <c r="CS213" s="1699" t="str">
        <f>+CS9</f>
        <v>Prior</v>
      </c>
      <c r="CT213" s="555"/>
      <c r="CU213" s="1713"/>
      <c r="CV213" s="1699">
        <f>+CV9</f>
        <v>45292</v>
      </c>
      <c r="CW213" s="555"/>
      <c r="CX213" s="1713"/>
      <c r="CY213" s="1699">
        <f>+CY9</f>
        <v>45658</v>
      </c>
      <c r="CZ213" s="555"/>
      <c r="DA213" s="1713"/>
      <c r="DB213" s="1699">
        <f>+DB9</f>
        <v>46023</v>
      </c>
      <c r="DC213" s="555"/>
      <c r="DD213" s="1713"/>
      <c r="DE213" s="1699">
        <f>+DE9</f>
        <v>46388</v>
      </c>
      <c r="DF213" s="555"/>
      <c r="DG213" s="1713"/>
      <c r="DH213" s="1699">
        <f>+DH9</f>
        <v>46753</v>
      </c>
      <c r="DI213" s="555"/>
      <c r="DJ213" s="1713"/>
      <c r="DK213" s="1699">
        <f>+DK9</f>
        <v>47119</v>
      </c>
      <c r="DL213" s="555"/>
      <c r="DM213" s="1713"/>
      <c r="DN213" s="1699">
        <f>+DN9</f>
        <v>47484</v>
      </c>
      <c r="DO213" s="555"/>
      <c r="DP213" s="1713"/>
      <c r="DQ213" s="1699">
        <f>+DQ9</f>
        <v>47849</v>
      </c>
      <c r="DR213" s="555"/>
      <c r="DS213" s="1713"/>
      <c r="DT213" s="1699">
        <f>+DT9</f>
        <v>48214</v>
      </c>
      <c r="DU213" s="555"/>
      <c r="DV213" s="1713"/>
      <c r="DW213" s="1699">
        <f>+DW9</f>
        <v>48580</v>
      </c>
      <c r="DX213" s="555"/>
      <c r="DY213" s="1713"/>
      <c r="DZ213" s="1699" t="str">
        <f>+DZ9</f>
        <v>TOTAL</v>
      </c>
      <c r="EA213" s="556"/>
      <c r="EB213" s="170"/>
      <c r="EC213" s="170"/>
      <c r="ED213" s="170"/>
      <c r="EE213" s="170"/>
      <c r="EF213" s="170"/>
      <c r="EG213" s="170"/>
      <c r="EH213" s="170"/>
      <c r="EI213" s="170"/>
      <c r="EJ213" s="170"/>
      <c r="EK213" s="170"/>
    </row>
    <row r="214" spans="1:141" ht="26.25" x14ac:dyDescent="0.25">
      <c r="A214" s="557"/>
      <c r="B214" s="472"/>
      <c r="C214" s="472"/>
      <c r="D214" s="472"/>
      <c r="E214" s="558" t="s">
        <v>376</v>
      </c>
      <c r="F214" s="1239"/>
      <c r="G214" s="1287"/>
      <c r="H214" s="1287"/>
      <c r="I214" s="1289"/>
      <c r="J214" s="1287"/>
      <c r="K214" s="1288" t="s">
        <v>289</v>
      </c>
      <c r="L214" s="1288" t="s">
        <v>201</v>
      </c>
      <c r="M214" s="1287"/>
      <c r="N214" s="1288" t="s">
        <v>289</v>
      </c>
      <c r="O214" s="1288" t="s">
        <v>201</v>
      </c>
      <c r="P214" s="1287"/>
      <c r="Q214" s="1288" t="s">
        <v>289</v>
      </c>
      <c r="R214" s="1288" t="s">
        <v>201</v>
      </c>
      <c r="S214" s="1287"/>
      <c r="T214" s="1288" t="s">
        <v>289</v>
      </c>
      <c r="U214" s="1288" t="s">
        <v>201</v>
      </c>
      <c r="V214" s="1287"/>
      <c r="W214" s="1288" t="s">
        <v>289</v>
      </c>
      <c r="X214" s="1288" t="s">
        <v>201</v>
      </c>
      <c r="Y214" s="1287"/>
      <c r="Z214" s="1288" t="s">
        <v>289</v>
      </c>
      <c r="AA214" s="1288" t="s">
        <v>201</v>
      </c>
      <c r="AB214" s="1287"/>
      <c r="AC214" s="1288" t="s">
        <v>289</v>
      </c>
      <c r="AD214" s="1288" t="s">
        <v>201</v>
      </c>
      <c r="AE214" s="1287"/>
      <c r="AF214" s="1288" t="s">
        <v>289</v>
      </c>
      <c r="AG214" s="1288" t="s">
        <v>201</v>
      </c>
      <c r="AH214" s="1287"/>
      <c r="AI214" s="1288" t="s">
        <v>289</v>
      </c>
      <c r="AJ214" s="1288" t="s">
        <v>201</v>
      </c>
      <c r="AK214" s="1287"/>
      <c r="AL214" s="1288" t="s">
        <v>289</v>
      </c>
      <c r="AM214" s="1288" t="s">
        <v>201</v>
      </c>
      <c r="AN214" s="1287"/>
      <c r="AO214" s="1288" t="s">
        <v>289</v>
      </c>
      <c r="AP214" s="1288" t="s">
        <v>201</v>
      </c>
      <c r="AQ214" s="1287"/>
      <c r="AR214" s="1288" t="s">
        <v>289</v>
      </c>
      <c r="AS214" s="1288" t="s">
        <v>201</v>
      </c>
      <c r="AT214" s="1287"/>
      <c r="AU214" s="411"/>
      <c r="AV214" s="170"/>
      <c r="AW214" s="170"/>
      <c r="AX214" s="1239"/>
      <c r="AY214" s="387" t="s">
        <v>376</v>
      </c>
      <c r="AZ214" s="387"/>
      <c r="BA214" s="380"/>
      <c r="BB214" s="1629"/>
      <c r="BC214" s="380" t="s">
        <v>289</v>
      </c>
      <c r="BD214" s="380" t="s">
        <v>201</v>
      </c>
      <c r="BE214" s="1629"/>
      <c r="BF214" s="1475" t="s">
        <v>289</v>
      </c>
      <c r="BG214" s="380" t="s">
        <v>201</v>
      </c>
      <c r="BH214" s="1629"/>
      <c r="BI214" s="1475" t="s">
        <v>289</v>
      </c>
      <c r="BJ214" s="380" t="s">
        <v>201</v>
      </c>
      <c r="BK214" s="1674"/>
      <c r="BL214" s="1475" t="s">
        <v>289</v>
      </c>
      <c r="BM214" s="380" t="s">
        <v>201</v>
      </c>
      <c r="BN214" s="1629"/>
      <c r="BO214" s="1475" t="s">
        <v>289</v>
      </c>
      <c r="BP214" s="380" t="s">
        <v>201</v>
      </c>
      <c r="BQ214" s="1629"/>
      <c r="BR214" s="1475" t="s">
        <v>289</v>
      </c>
      <c r="BS214" s="380" t="s">
        <v>201</v>
      </c>
      <c r="BT214" s="1629"/>
      <c r="BU214" s="1475" t="s">
        <v>289</v>
      </c>
      <c r="BV214" s="380" t="s">
        <v>201</v>
      </c>
      <c r="BW214" s="1629"/>
      <c r="BX214" s="1475" t="s">
        <v>289</v>
      </c>
      <c r="BY214" s="380" t="s">
        <v>201</v>
      </c>
      <c r="BZ214" s="1629"/>
      <c r="CA214" s="1475" t="s">
        <v>289</v>
      </c>
      <c r="CB214" s="380" t="s">
        <v>201</v>
      </c>
      <c r="CC214" s="1629"/>
      <c r="CD214" s="1475" t="s">
        <v>289</v>
      </c>
      <c r="CE214" s="380" t="s">
        <v>201</v>
      </c>
      <c r="CF214" s="1629"/>
      <c r="CG214" s="1475" t="s">
        <v>289</v>
      </c>
      <c r="CH214" s="380" t="s">
        <v>201</v>
      </c>
      <c r="CI214" s="1629"/>
      <c r="CJ214" s="380" t="s">
        <v>289</v>
      </c>
      <c r="CK214" s="409" t="s">
        <v>201</v>
      </c>
      <c r="CL214" s="380"/>
      <c r="CM214" s="170"/>
      <c r="CN214" s="1239"/>
      <c r="CO214" s="388" t="s">
        <v>376</v>
      </c>
      <c r="CP214" s="388"/>
      <c r="CQ214" s="384"/>
      <c r="CR214" s="1701"/>
      <c r="CS214" s="384" t="s">
        <v>289</v>
      </c>
      <c r="CT214" s="384" t="s">
        <v>201</v>
      </c>
      <c r="CU214" s="1701"/>
      <c r="CV214" s="384" t="s">
        <v>289</v>
      </c>
      <c r="CW214" s="384" t="s">
        <v>201</v>
      </c>
      <c r="CX214" s="1701"/>
      <c r="CY214" s="384" t="s">
        <v>289</v>
      </c>
      <c r="CZ214" s="384" t="s">
        <v>201</v>
      </c>
      <c r="DA214" s="1701"/>
      <c r="DB214" s="384" t="s">
        <v>289</v>
      </c>
      <c r="DC214" s="384" t="s">
        <v>201</v>
      </c>
      <c r="DD214" s="1701"/>
      <c r="DE214" s="384" t="s">
        <v>289</v>
      </c>
      <c r="DF214" s="384" t="s">
        <v>201</v>
      </c>
      <c r="DG214" s="1701"/>
      <c r="DH214" s="384" t="s">
        <v>289</v>
      </c>
      <c r="DI214" s="384" t="s">
        <v>201</v>
      </c>
      <c r="DJ214" s="1701"/>
      <c r="DK214" s="384" t="s">
        <v>289</v>
      </c>
      <c r="DL214" s="384" t="s">
        <v>201</v>
      </c>
      <c r="DM214" s="1701"/>
      <c r="DN214" s="384" t="s">
        <v>289</v>
      </c>
      <c r="DO214" s="384" t="s">
        <v>201</v>
      </c>
      <c r="DP214" s="1701"/>
      <c r="DQ214" s="384" t="s">
        <v>289</v>
      </c>
      <c r="DR214" s="384" t="s">
        <v>201</v>
      </c>
      <c r="DS214" s="1701"/>
      <c r="DT214" s="384" t="s">
        <v>289</v>
      </c>
      <c r="DU214" s="384" t="s">
        <v>201</v>
      </c>
      <c r="DV214" s="1701"/>
      <c r="DW214" s="384" t="s">
        <v>289</v>
      </c>
      <c r="DX214" s="384" t="s">
        <v>201</v>
      </c>
      <c r="DY214" s="1701"/>
      <c r="DZ214" s="384" t="s">
        <v>289</v>
      </c>
      <c r="EA214" s="559" t="s">
        <v>201</v>
      </c>
      <c r="EB214" s="170"/>
      <c r="EC214" s="170"/>
      <c r="ED214" s="170"/>
      <c r="EE214" s="170"/>
      <c r="EF214" s="170"/>
      <c r="EG214" s="170"/>
      <c r="EH214" s="170"/>
      <c r="EI214" s="170"/>
      <c r="EJ214" s="170"/>
      <c r="EK214" s="170"/>
    </row>
    <row r="215" spans="1:141" ht="15" x14ac:dyDescent="0.25">
      <c r="A215" s="557"/>
      <c r="B215" s="472"/>
      <c r="C215" s="472"/>
      <c r="D215" s="472"/>
      <c r="E215" s="170"/>
      <c r="F215" s="493"/>
      <c r="G215" s="1287"/>
      <c r="H215" s="1287"/>
      <c r="I215" s="1289"/>
      <c r="J215" s="1287"/>
      <c r="K215" s="1289"/>
      <c r="L215" s="1287"/>
      <c r="M215" s="1287"/>
      <c r="N215" s="1289"/>
      <c r="O215" s="1289"/>
      <c r="P215" s="1287"/>
      <c r="Q215" s="1289"/>
      <c r="R215" s="1287"/>
      <c r="S215" s="1287"/>
      <c r="T215" s="1289"/>
      <c r="U215" s="1287"/>
      <c r="V215" s="1287"/>
      <c r="W215" s="1289"/>
      <c r="X215" s="1287"/>
      <c r="Y215" s="1287"/>
      <c r="Z215" s="1289"/>
      <c r="AA215" s="1287"/>
      <c r="AB215" s="1287"/>
      <c r="AC215" s="1289"/>
      <c r="AD215" s="1287"/>
      <c r="AE215" s="1287"/>
      <c r="AF215" s="1289"/>
      <c r="AG215" s="1287"/>
      <c r="AH215" s="1287"/>
      <c r="AI215" s="1289"/>
      <c r="AJ215" s="1287"/>
      <c r="AK215" s="1287"/>
      <c r="AL215" s="1289"/>
      <c r="AM215" s="1287"/>
      <c r="AN215" s="1287"/>
      <c r="AO215" s="1289"/>
      <c r="AP215" s="1287"/>
      <c r="AQ215" s="1287"/>
      <c r="AR215" s="1289"/>
      <c r="AS215" s="1287"/>
      <c r="AT215" s="1287"/>
      <c r="AU215" s="411"/>
      <c r="AV215" s="170"/>
      <c r="AW215" s="170"/>
      <c r="AX215" s="493"/>
      <c r="AY215" s="412"/>
      <c r="AZ215" s="413"/>
      <c r="BA215" s="413"/>
      <c r="BB215" s="1630"/>
      <c r="BC215" s="414"/>
      <c r="BD215" s="415"/>
      <c r="BE215" s="1630"/>
      <c r="BF215" s="1476"/>
      <c r="BG215" s="416"/>
      <c r="BH215" s="1630"/>
      <c r="BI215" s="1476"/>
      <c r="BJ215" s="415"/>
      <c r="BK215" s="1675"/>
      <c r="BL215" s="1476"/>
      <c r="BM215" s="415"/>
      <c r="BN215" s="1630"/>
      <c r="BO215" s="1476"/>
      <c r="BP215" s="415"/>
      <c r="BQ215" s="1630"/>
      <c r="BR215" s="1476"/>
      <c r="BS215" s="415"/>
      <c r="BT215" s="1630"/>
      <c r="BU215" s="1476"/>
      <c r="BV215" s="415"/>
      <c r="BW215" s="1630"/>
      <c r="BX215" s="1476"/>
      <c r="BY215" s="415"/>
      <c r="BZ215" s="1630"/>
      <c r="CA215" s="1476"/>
      <c r="CB215" s="415"/>
      <c r="CC215" s="1630"/>
      <c r="CD215" s="1476"/>
      <c r="CE215" s="415"/>
      <c r="CF215" s="1630"/>
      <c r="CG215" s="1476"/>
      <c r="CH215" s="415"/>
      <c r="CI215" s="1630"/>
      <c r="CJ215" s="414"/>
      <c r="CK215" s="417"/>
      <c r="CL215" s="418"/>
      <c r="CM215" s="170"/>
      <c r="CN215" s="493"/>
      <c r="CO215" s="419"/>
      <c r="CP215" s="420"/>
      <c r="CQ215" s="420"/>
      <c r="CR215" s="1702"/>
      <c r="CS215" s="421"/>
      <c r="CT215" s="422"/>
      <c r="CU215" s="1702"/>
      <c r="CV215" s="421"/>
      <c r="CW215" s="423"/>
      <c r="CX215" s="1702"/>
      <c r="CY215" s="421"/>
      <c r="CZ215" s="422"/>
      <c r="DA215" s="1702"/>
      <c r="DB215" s="421"/>
      <c r="DC215" s="422"/>
      <c r="DD215" s="1702"/>
      <c r="DE215" s="421"/>
      <c r="DF215" s="422"/>
      <c r="DG215" s="1702"/>
      <c r="DH215" s="421"/>
      <c r="DI215" s="422"/>
      <c r="DJ215" s="1702"/>
      <c r="DK215" s="421"/>
      <c r="DL215" s="422"/>
      <c r="DM215" s="1702"/>
      <c r="DN215" s="421"/>
      <c r="DO215" s="422"/>
      <c r="DP215" s="1702"/>
      <c r="DQ215" s="421"/>
      <c r="DR215" s="422"/>
      <c r="DS215" s="1702"/>
      <c r="DT215" s="421"/>
      <c r="DU215" s="422"/>
      <c r="DV215" s="1702"/>
      <c r="DW215" s="421"/>
      <c r="DX215" s="422"/>
      <c r="DY215" s="1702"/>
      <c r="DZ215" s="421"/>
      <c r="EA215" s="560"/>
      <c r="EB215" s="170"/>
      <c r="EC215" s="170"/>
      <c r="ED215" s="170"/>
      <c r="EE215" s="170"/>
      <c r="EF215" s="170"/>
      <c r="EG215" s="170"/>
      <c r="EH215" s="170"/>
      <c r="EI215" s="170"/>
      <c r="EJ215" s="170"/>
      <c r="EK215" s="170"/>
    </row>
    <row r="216" spans="1:141" ht="15" x14ac:dyDescent="0.25">
      <c r="A216" s="557"/>
      <c r="B216" s="472"/>
      <c r="C216" s="472"/>
      <c r="D216" s="472"/>
      <c r="E216" s="170"/>
      <c r="F216" s="170"/>
      <c r="G216" s="1287"/>
      <c r="H216" s="1287"/>
      <c r="I216" s="1289"/>
      <c r="J216" s="1287"/>
      <c r="K216" s="1289"/>
      <c r="L216" s="1287"/>
      <c r="M216" s="1287"/>
      <c r="N216" s="1289"/>
      <c r="O216" s="1289"/>
      <c r="P216" s="1287"/>
      <c r="Q216" s="1289"/>
      <c r="R216" s="1287"/>
      <c r="S216" s="1287"/>
      <c r="T216" s="1289"/>
      <c r="U216" s="1287"/>
      <c r="V216" s="1287"/>
      <c r="W216" s="1289"/>
      <c r="X216" s="1287"/>
      <c r="Y216" s="1287"/>
      <c r="Z216" s="1289"/>
      <c r="AA216" s="1287"/>
      <c r="AB216" s="1287"/>
      <c r="AC216" s="1289"/>
      <c r="AD216" s="1287"/>
      <c r="AE216" s="1287"/>
      <c r="AF216" s="1289"/>
      <c r="AG216" s="1287"/>
      <c r="AH216" s="1287"/>
      <c r="AI216" s="1289"/>
      <c r="AJ216" s="1287"/>
      <c r="AK216" s="1287"/>
      <c r="AL216" s="1289"/>
      <c r="AM216" s="1287"/>
      <c r="AN216" s="1287"/>
      <c r="AO216" s="1289"/>
      <c r="AP216" s="1287"/>
      <c r="AQ216" s="1287"/>
      <c r="AR216" s="1289"/>
      <c r="AS216" s="1287"/>
      <c r="AT216" s="1287"/>
      <c r="AU216" s="411"/>
      <c r="AV216" s="170"/>
      <c r="AW216" s="170"/>
      <c r="AX216" s="170"/>
      <c r="AY216" s="561"/>
      <c r="AZ216" s="561"/>
      <c r="BA216" s="562"/>
      <c r="BB216" s="170"/>
      <c r="BC216" s="562"/>
      <c r="BD216" s="561"/>
      <c r="BE216" s="170"/>
      <c r="BF216" s="1477"/>
      <c r="BG216" s="562"/>
      <c r="BH216" s="170"/>
      <c r="BI216" s="1477"/>
      <c r="BJ216" s="561"/>
      <c r="BK216" s="561"/>
      <c r="BL216" s="1477"/>
      <c r="BM216" s="561"/>
      <c r="BN216" s="170"/>
      <c r="BO216" s="1477"/>
      <c r="BP216" s="561"/>
      <c r="BQ216" s="170"/>
      <c r="BR216" s="1477"/>
      <c r="BS216" s="561"/>
      <c r="BT216" s="170"/>
      <c r="BU216" s="1477"/>
      <c r="BV216" s="561"/>
      <c r="BW216" s="170"/>
      <c r="BX216" s="1477"/>
      <c r="BY216" s="561"/>
      <c r="BZ216" s="170"/>
      <c r="CA216" s="1477"/>
      <c r="CB216" s="561"/>
      <c r="CC216" s="170"/>
      <c r="CD216" s="1477"/>
      <c r="CE216" s="561"/>
      <c r="CF216" s="170"/>
      <c r="CG216" s="1477"/>
      <c r="CH216" s="561"/>
      <c r="CI216" s="170"/>
      <c r="CJ216" s="562"/>
      <c r="CK216" s="561"/>
      <c r="CL216" s="561"/>
      <c r="CM216" s="170"/>
      <c r="CN216" s="170"/>
      <c r="CO216" s="382"/>
      <c r="CP216" s="382"/>
      <c r="CQ216" s="385"/>
      <c r="CR216" s="382"/>
      <c r="CS216" s="385"/>
      <c r="CT216" s="382"/>
      <c r="CU216" s="382"/>
      <c r="CV216" s="385"/>
      <c r="CW216" s="385"/>
      <c r="CX216" s="382"/>
      <c r="CY216" s="385"/>
      <c r="CZ216" s="382"/>
      <c r="DA216" s="382"/>
      <c r="DB216" s="385"/>
      <c r="DC216" s="382"/>
      <c r="DD216" s="382"/>
      <c r="DE216" s="385"/>
      <c r="DF216" s="382"/>
      <c r="DG216" s="382"/>
      <c r="DH216" s="385"/>
      <c r="DI216" s="382"/>
      <c r="DJ216" s="382"/>
      <c r="DK216" s="385"/>
      <c r="DL216" s="382"/>
      <c r="DM216" s="382"/>
      <c r="DN216" s="385"/>
      <c r="DO216" s="382"/>
      <c r="DP216" s="382"/>
      <c r="DQ216" s="385"/>
      <c r="DR216" s="382"/>
      <c r="DS216" s="382"/>
      <c r="DT216" s="385"/>
      <c r="DU216" s="382"/>
      <c r="DV216" s="382"/>
      <c r="DW216" s="385"/>
      <c r="DX216" s="382"/>
      <c r="DY216" s="382"/>
      <c r="DZ216" s="385"/>
      <c r="EA216" s="563"/>
      <c r="EB216" s="170"/>
      <c r="EC216" s="170"/>
      <c r="ED216" s="170"/>
      <c r="EE216" s="170"/>
      <c r="EF216" s="170"/>
      <c r="EG216" s="170"/>
      <c r="EH216" s="170"/>
      <c r="EI216" s="170"/>
      <c r="EJ216" s="170"/>
      <c r="EK216" s="170"/>
    </row>
    <row r="217" spans="1:141" ht="15" x14ac:dyDescent="0.25">
      <c r="A217" s="557"/>
      <c r="B217" s="472"/>
      <c r="C217" s="472"/>
      <c r="D217" s="472"/>
      <c r="E217" s="564">
        <v>1</v>
      </c>
      <c r="F217" s="170"/>
      <c r="G217" s="1339" t="str">
        <f>VLOOKUP(E217,Parameters!$D$159:$E$301,2)</f>
        <v>ROW / Easements / Land purchases</v>
      </c>
      <c r="H217" s="1287"/>
      <c r="I217" s="1289"/>
      <c r="J217" s="1287"/>
      <c r="K217" s="1289"/>
      <c r="L217" s="1369">
        <f t="shared" ref="L217:L248" si="763">SUMIF($E$12:$E$201,$E217,L$12:L$201)</f>
        <v>0</v>
      </c>
      <c r="M217" s="1287"/>
      <c r="N217" s="1289"/>
      <c r="O217" s="1369">
        <f t="shared" ref="O217:O248" ca="1" si="764">SUMIF($E$12:$E$201,$E217,O$12:O$201)</f>
        <v>0</v>
      </c>
      <c r="P217" s="1287"/>
      <c r="Q217" s="1289"/>
      <c r="R217" s="1369">
        <f t="shared" ref="R217:R248" ca="1" si="765">SUMIF($E$12:$E$201,$E217,R$12:R$201)</f>
        <v>0</v>
      </c>
      <c r="S217" s="1287"/>
      <c r="T217" s="1289"/>
      <c r="U217" s="1369">
        <f t="shared" ref="U217:U248" ca="1" si="766">SUMIF($E$12:$E$201,$E217,U$12:U$201)</f>
        <v>0</v>
      </c>
      <c r="V217" s="1287"/>
      <c r="W217" s="1289"/>
      <c r="X217" s="1369">
        <f t="shared" ref="X217:X248" ca="1" si="767">SUMIF($E$12:$E$201,$E217,X$12:X$201)</f>
        <v>0</v>
      </c>
      <c r="Y217" s="1287"/>
      <c r="Z217" s="1289"/>
      <c r="AA217" s="1369">
        <f t="shared" ref="AA217:AA248" ca="1" si="768">SUMIF($E$12:$E$201,$E217,AA$12:AA$201)</f>
        <v>0</v>
      </c>
      <c r="AB217" s="1287"/>
      <c r="AC217" s="1289"/>
      <c r="AD217" s="1369">
        <f t="shared" ref="AD217:AD248" ca="1" si="769">SUMIF($E$12:$E$201,$E217,AD$12:AD$201)</f>
        <v>0</v>
      </c>
      <c r="AE217" s="1287"/>
      <c r="AF217" s="1289"/>
      <c r="AG217" s="1369">
        <f t="shared" ref="AG217:AG248" ca="1" si="770">SUMIF($E$12:$E$201,$E217,AG$12:AG$201)</f>
        <v>0</v>
      </c>
      <c r="AH217" s="1287"/>
      <c r="AI217" s="1289"/>
      <c r="AJ217" s="1369">
        <f t="shared" ref="AJ217:AJ248" ca="1" si="771">SUMIF($E$12:$E$201,$E217,AJ$12:AJ$201)</f>
        <v>0</v>
      </c>
      <c r="AK217" s="1287"/>
      <c r="AL217" s="1289"/>
      <c r="AM217" s="1369">
        <f t="shared" ref="AM217:AM248" ca="1" si="772">SUMIF($E$12:$E$201,$E217,AM$12:AM$201)</f>
        <v>0</v>
      </c>
      <c r="AN217" s="1287"/>
      <c r="AO217" s="1289"/>
      <c r="AP217" s="1369">
        <f t="shared" ref="AP217:AP248" ca="1" si="773">SUMIF($E$12:$E$201,$E217,AP$12:AP$201)</f>
        <v>0</v>
      </c>
      <c r="AQ217" s="1287"/>
      <c r="AR217" s="1289"/>
      <c r="AS217" s="1369">
        <f t="shared" ref="AS217:AS248" ca="1" si="774">SUMIF($E$12:$E$201,$E217,AS$12:AS$201)</f>
        <v>0</v>
      </c>
      <c r="AT217" s="1287"/>
      <c r="AU217" s="411"/>
      <c r="AV217" s="170"/>
      <c r="AW217" s="170"/>
      <c r="AX217" s="170"/>
      <c r="AY217" s="561" t="str">
        <f t="shared" ref="AY217:AY248" si="775">+G217</f>
        <v>ROW / Easements / Land purchases</v>
      </c>
      <c r="AZ217" s="561"/>
      <c r="BA217" s="562"/>
      <c r="BB217" s="170"/>
      <c r="BC217" s="562"/>
      <c r="BD217" s="566">
        <f t="shared" ref="BD217:BD248" si="776">SUMIF($E$12:$E$201,$E217,BD$12:BD$201)</f>
        <v>0</v>
      </c>
      <c r="BE217" s="170"/>
      <c r="BF217" s="1477"/>
      <c r="BG217" s="566">
        <f t="shared" ref="BG217:BG248" ca="1" si="777">SUMIF($E$12:$E$201,$E217,BG$12:BG$201)</f>
        <v>0</v>
      </c>
      <c r="BH217" s="170"/>
      <c r="BI217" s="1477"/>
      <c r="BJ217" s="566">
        <f t="shared" ref="BJ217:BJ248" ca="1" si="778">SUMIF($E$12:$E$201,$E217,BJ$12:BJ$201)</f>
        <v>0</v>
      </c>
      <c r="BK217" s="561"/>
      <c r="BL217" s="1477"/>
      <c r="BM217" s="566">
        <f t="shared" ref="BM217:BM248" ca="1" si="779">SUMIF($E$12:$E$201,$E217,BM$12:BM$201)</f>
        <v>0</v>
      </c>
      <c r="BN217" s="170"/>
      <c r="BO217" s="1477"/>
      <c r="BP217" s="566">
        <f t="shared" ref="BP217:BP248" ca="1" si="780">SUMIF($E$12:$E$201,$E217,BP$12:BP$201)</f>
        <v>0</v>
      </c>
      <c r="BQ217" s="170"/>
      <c r="BR217" s="1477"/>
      <c r="BS217" s="566">
        <f t="shared" ref="BS217:BS248" ca="1" si="781">SUMIF($E$12:$E$201,$E217,BS$12:BS$201)</f>
        <v>0</v>
      </c>
      <c r="BT217" s="170"/>
      <c r="BU217" s="1477"/>
      <c r="BV217" s="566">
        <f t="shared" ref="BV217:BV248" ca="1" si="782">SUMIF($E$12:$E$201,$E217,BV$12:BV$201)</f>
        <v>0</v>
      </c>
      <c r="BW217" s="170"/>
      <c r="BX217" s="1477"/>
      <c r="BY217" s="566">
        <f t="shared" ref="BY217:BY248" ca="1" si="783">SUMIF($E$12:$E$201,$E217,BY$12:BY$201)</f>
        <v>0</v>
      </c>
      <c r="BZ217" s="170"/>
      <c r="CA217" s="1477"/>
      <c r="CB217" s="566">
        <f t="shared" ref="CB217:CB248" ca="1" si="784">SUMIF($E$12:$E$201,$E217,CB$12:CB$201)</f>
        <v>0</v>
      </c>
      <c r="CC217" s="170"/>
      <c r="CD217" s="1477"/>
      <c r="CE217" s="566">
        <f t="shared" ref="CE217:CE248" ca="1" si="785">SUMIF($E$12:$E$201,$E217,CE$12:CE$201)</f>
        <v>0</v>
      </c>
      <c r="CF217" s="170"/>
      <c r="CG217" s="1477"/>
      <c r="CH217" s="566">
        <f t="shared" ref="CH217:CH248" ca="1" si="786">SUMIF($E$12:$E$201,$E217,CH$12:CH$201)</f>
        <v>0</v>
      </c>
      <c r="CI217" s="170"/>
      <c r="CJ217" s="562"/>
      <c r="CK217" s="566">
        <f t="shared" ref="CK217:CK248" ca="1" si="787">SUMIF($E$12:$E$201,$E217,CK$12:CK$201)</f>
        <v>0</v>
      </c>
      <c r="CL217" s="566"/>
      <c r="CM217" s="170"/>
      <c r="CN217" s="170"/>
      <c r="CO217" s="382" t="str">
        <f t="shared" ref="CO217:CO248" si="788">+G217</f>
        <v>ROW / Easements / Land purchases</v>
      </c>
      <c r="CP217" s="382"/>
      <c r="CQ217" s="385"/>
      <c r="CR217" s="382"/>
      <c r="CS217" s="385"/>
      <c r="CT217" s="567">
        <f t="shared" ref="CT217:CT248" si="789">SUMIF($E$12:$E$201,$E217,CT$12:CT$201)</f>
        <v>0</v>
      </c>
      <c r="CU217" s="382"/>
      <c r="CV217" s="385"/>
      <c r="CW217" s="567">
        <f t="shared" ref="CW217:CW248" ca="1" si="790">SUMIF($E$12:$E$201,$E217,CW$12:CW$201)</f>
        <v>0</v>
      </c>
      <c r="CX217" s="382"/>
      <c r="CY217" s="385"/>
      <c r="CZ217" s="567">
        <f t="shared" ref="CZ217:CZ248" ca="1" si="791">SUMIF($E$12:$E$201,$E217,CZ$12:CZ$201)</f>
        <v>0</v>
      </c>
      <c r="DA217" s="382"/>
      <c r="DB217" s="385"/>
      <c r="DC217" s="567">
        <f t="shared" ref="DC217:DC248" ca="1" si="792">SUMIF($E$12:$E$201,$E217,DC$12:DC$201)</f>
        <v>0</v>
      </c>
      <c r="DD217" s="382"/>
      <c r="DE217" s="385"/>
      <c r="DF217" s="567">
        <f t="shared" ref="DF217:DF248" ca="1" si="793">SUMIF($E$12:$E$201,$E217,DF$12:DF$201)</f>
        <v>0</v>
      </c>
      <c r="DG217" s="382"/>
      <c r="DH217" s="385"/>
      <c r="DI217" s="567">
        <f t="shared" ref="DI217:DI248" ca="1" si="794">SUMIF($E$12:$E$201,$E217,DI$12:DI$201)</f>
        <v>0</v>
      </c>
      <c r="DJ217" s="382"/>
      <c r="DK217" s="385"/>
      <c r="DL217" s="567">
        <f t="shared" ref="DL217:DL248" ca="1" si="795">SUMIF($E$12:$E$201,$E217,DL$12:DL$201)</f>
        <v>0</v>
      </c>
      <c r="DM217" s="382"/>
      <c r="DN217" s="385"/>
      <c r="DO217" s="567">
        <f t="shared" ref="DO217:DO248" ca="1" si="796">SUMIF($E$12:$E$201,$E217,DO$12:DO$201)</f>
        <v>0</v>
      </c>
      <c r="DP217" s="382"/>
      <c r="DQ217" s="385"/>
      <c r="DR217" s="567">
        <f t="shared" ref="DR217:DR248" ca="1" si="797">SUMIF($E$12:$E$201,$E217,DR$12:DR$201)</f>
        <v>0</v>
      </c>
      <c r="DS217" s="382"/>
      <c r="DT217" s="385"/>
      <c r="DU217" s="567">
        <f t="shared" ref="DU217:DU248" ca="1" si="798">SUMIF($E$12:$E$201,$E217,DU$12:DU$201)</f>
        <v>0</v>
      </c>
      <c r="DV217" s="382"/>
      <c r="DW217" s="385"/>
      <c r="DX217" s="567">
        <f t="shared" ref="DX217:DX248" ca="1" si="799">SUMIF($E$12:$E$201,$E217,DX$12:DX$201)</f>
        <v>0</v>
      </c>
      <c r="DY217" s="382"/>
      <c r="DZ217" s="385"/>
      <c r="EA217" s="568">
        <f t="shared" ref="EA217:EA248" ca="1" si="800">SUMIF($E$12:$E$201,$E217,EA$12:EA$201)</f>
        <v>0</v>
      </c>
      <c r="EB217" s="170"/>
      <c r="EC217" s="170"/>
      <c r="ED217" s="170"/>
      <c r="EE217" s="170"/>
      <c r="EF217" s="170"/>
      <c r="EG217" s="170"/>
      <c r="EH217" s="170"/>
      <c r="EI217" s="170"/>
      <c r="EJ217" s="170"/>
      <c r="EK217" s="170"/>
    </row>
    <row r="218" spans="1:141" ht="15" x14ac:dyDescent="0.25">
      <c r="A218" s="557"/>
      <c r="B218" s="472"/>
      <c r="C218" s="472"/>
      <c r="D218" s="472"/>
      <c r="E218" s="564">
        <v>2</v>
      </c>
      <c r="F218" s="170"/>
      <c r="G218" s="1339" t="str">
        <f>VLOOKUP(E218,Parameters!$D$159:$E$301,2)</f>
        <v>Environmental Approvals / Permits</v>
      </c>
      <c r="H218" s="1287"/>
      <c r="I218" s="1289"/>
      <c r="J218" s="1287"/>
      <c r="K218" s="1289"/>
      <c r="L218" s="1369">
        <f t="shared" si="763"/>
        <v>5060.05</v>
      </c>
      <c r="M218" s="1287"/>
      <c r="N218" s="1289"/>
      <c r="O218" s="1369">
        <f t="shared" si="764"/>
        <v>0</v>
      </c>
      <c r="P218" s="1287"/>
      <c r="Q218" s="1289"/>
      <c r="R218" s="1369">
        <f t="shared" si="765"/>
        <v>0</v>
      </c>
      <c r="S218" s="1287"/>
      <c r="T218" s="1289"/>
      <c r="U218" s="1369">
        <f t="shared" si="766"/>
        <v>77721</v>
      </c>
      <c r="V218" s="1287"/>
      <c r="W218" s="1289"/>
      <c r="X218" s="1369">
        <f t="shared" si="767"/>
        <v>160106</v>
      </c>
      <c r="Y218" s="1287"/>
      <c r="Z218" s="1289"/>
      <c r="AA218" s="1369">
        <f t="shared" si="768"/>
        <v>82454</v>
      </c>
      <c r="AB218" s="1287"/>
      <c r="AC218" s="1289"/>
      <c r="AD218" s="1369">
        <f t="shared" si="769"/>
        <v>0</v>
      </c>
      <c r="AE218" s="1287"/>
      <c r="AF218" s="1289"/>
      <c r="AG218" s="1369">
        <f t="shared" si="770"/>
        <v>0</v>
      </c>
      <c r="AH218" s="1287"/>
      <c r="AI218" s="1289"/>
      <c r="AJ218" s="1369">
        <f t="shared" si="771"/>
        <v>0</v>
      </c>
      <c r="AK218" s="1287"/>
      <c r="AL218" s="1289"/>
      <c r="AM218" s="1369">
        <f t="shared" si="772"/>
        <v>0</v>
      </c>
      <c r="AN218" s="1287"/>
      <c r="AO218" s="1289"/>
      <c r="AP218" s="1369">
        <f t="shared" si="773"/>
        <v>0</v>
      </c>
      <c r="AQ218" s="1287"/>
      <c r="AR218" s="1289"/>
      <c r="AS218" s="1369">
        <f t="shared" si="774"/>
        <v>325341.05</v>
      </c>
      <c r="AT218" s="1287"/>
      <c r="AU218" s="411"/>
      <c r="AV218" s="170"/>
      <c r="AW218" s="170"/>
      <c r="AX218" s="170"/>
      <c r="AY218" s="561" t="str">
        <f t="shared" si="775"/>
        <v>Environmental Approvals / Permits</v>
      </c>
      <c r="AZ218" s="561"/>
      <c r="BA218" s="562"/>
      <c r="BB218" s="170"/>
      <c r="BC218" s="562"/>
      <c r="BD218" s="566">
        <f t="shared" si="776"/>
        <v>5060.05</v>
      </c>
      <c r="BE218" s="170"/>
      <c r="BF218" s="1477"/>
      <c r="BG218" s="566">
        <f t="shared" si="777"/>
        <v>0</v>
      </c>
      <c r="BH218" s="170"/>
      <c r="BI218" s="1477"/>
      <c r="BJ218" s="566">
        <f t="shared" si="778"/>
        <v>0</v>
      </c>
      <c r="BK218" s="561"/>
      <c r="BL218" s="1477"/>
      <c r="BM218" s="566">
        <f t="shared" si="779"/>
        <v>71173</v>
      </c>
      <c r="BN218" s="170"/>
      <c r="BO218" s="1477"/>
      <c r="BP218" s="566">
        <f t="shared" si="780"/>
        <v>142347</v>
      </c>
      <c r="BQ218" s="170"/>
      <c r="BR218" s="1477"/>
      <c r="BS218" s="566">
        <f t="shared" si="781"/>
        <v>71173</v>
      </c>
      <c r="BT218" s="170"/>
      <c r="BU218" s="1477"/>
      <c r="BV218" s="566">
        <f t="shared" si="782"/>
        <v>0</v>
      </c>
      <c r="BW218" s="170"/>
      <c r="BX218" s="1477"/>
      <c r="BY218" s="566">
        <f t="shared" si="783"/>
        <v>0</v>
      </c>
      <c r="BZ218" s="170"/>
      <c r="CA218" s="1477"/>
      <c r="CB218" s="566">
        <f t="shared" si="784"/>
        <v>0</v>
      </c>
      <c r="CC218" s="170"/>
      <c r="CD218" s="1477"/>
      <c r="CE218" s="566">
        <f t="shared" si="785"/>
        <v>0</v>
      </c>
      <c r="CF218" s="170"/>
      <c r="CG218" s="1477"/>
      <c r="CH218" s="566">
        <f t="shared" si="786"/>
        <v>0</v>
      </c>
      <c r="CI218" s="170"/>
      <c r="CJ218" s="562"/>
      <c r="CK218" s="566">
        <f t="shared" si="787"/>
        <v>289753.05</v>
      </c>
      <c r="CL218" s="566"/>
      <c r="CM218" s="170"/>
      <c r="CN218" s="170"/>
      <c r="CO218" s="382" t="str">
        <f t="shared" si="788"/>
        <v>Environmental Approvals / Permits</v>
      </c>
      <c r="CP218" s="382"/>
      <c r="CQ218" s="385"/>
      <c r="CR218" s="382"/>
      <c r="CS218" s="385"/>
      <c r="CT218" s="567">
        <f t="shared" si="789"/>
        <v>0</v>
      </c>
      <c r="CU218" s="382"/>
      <c r="CV218" s="385"/>
      <c r="CW218" s="567">
        <f t="shared" si="790"/>
        <v>0</v>
      </c>
      <c r="CX218" s="382"/>
      <c r="CY218" s="385"/>
      <c r="CZ218" s="567">
        <f t="shared" si="791"/>
        <v>0</v>
      </c>
      <c r="DA218" s="382"/>
      <c r="DB218" s="385"/>
      <c r="DC218" s="567">
        <f t="shared" si="792"/>
        <v>6548</v>
      </c>
      <c r="DD218" s="382"/>
      <c r="DE218" s="385"/>
      <c r="DF218" s="567">
        <f t="shared" si="793"/>
        <v>17759</v>
      </c>
      <c r="DG218" s="382"/>
      <c r="DH218" s="385"/>
      <c r="DI218" s="567">
        <f t="shared" si="794"/>
        <v>11281</v>
      </c>
      <c r="DJ218" s="382"/>
      <c r="DK218" s="385"/>
      <c r="DL218" s="567">
        <f t="shared" si="795"/>
        <v>0</v>
      </c>
      <c r="DM218" s="382"/>
      <c r="DN218" s="385"/>
      <c r="DO218" s="567">
        <f t="shared" si="796"/>
        <v>0</v>
      </c>
      <c r="DP218" s="382"/>
      <c r="DQ218" s="385"/>
      <c r="DR218" s="567">
        <f t="shared" si="797"/>
        <v>0</v>
      </c>
      <c r="DS218" s="382"/>
      <c r="DT218" s="385"/>
      <c r="DU218" s="567">
        <f t="shared" si="798"/>
        <v>0</v>
      </c>
      <c r="DV218" s="382"/>
      <c r="DW218" s="385"/>
      <c r="DX218" s="567">
        <f t="shared" si="799"/>
        <v>0</v>
      </c>
      <c r="DY218" s="382"/>
      <c r="DZ218" s="385"/>
      <c r="EA218" s="568">
        <f t="shared" si="800"/>
        <v>35588</v>
      </c>
      <c r="EB218" s="170"/>
      <c r="EC218" s="170"/>
      <c r="ED218" s="170"/>
      <c r="EE218" s="170"/>
      <c r="EF218" s="170"/>
      <c r="EG218" s="170"/>
      <c r="EH218" s="170"/>
      <c r="EI218" s="170"/>
      <c r="EJ218" s="170"/>
      <c r="EK218" s="170"/>
    </row>
    <row r="219" spans="1:141" ht="15" x14ac:dyDescent="0.25">
      <c r="A219" s="557"/>
      <c r="B219" s="472"/>
      <c r="C219" s="472"/>
      <c r="D219" s="472"/>
      <c r="E219" s="564">
        <v>3</v>
      </c>
      <c r="F219" s="170"/>
      <c r="G219" s="1339" t="str">
        <f>VLOOKUP(E219,Parameters!$D$159:$E$301,2)</f>
        <v>Outreach</v>
      </c>
      <c r="H219" s="1287"/>
      <c r="I219" s="1289"/>
      <c r="J219" s="1287"/>
      <c r="K219" s="1289"/>
      <c r="L219" s="1369">
        <f t="shared" si="763"/>
        <v>10968.12</v>
      </c>
      <c r="M219" s="1287"/>
      <c r="N219" s="1322" t="s">
        <v>377</v>
      </c>
      <c r="O219" s="1369">
        <f t="shared" ca="1" si="764"/>
        <v>0</v>
      </c>
      <c r="P219" s="1287"/>
      <c r="Q219" s="1289"/>
      <c r="R219" s="1369">
        <f t="shared" si="765"/>
        <v>0</v>
      </c>
      <c r="S219" s="1287"/>
      <c r="T219" s="1289"/>
      <c r="U219" s="1369">
        <f t="shared" ca="1" si="766"/>
        <v>123792</v>
      </c>
      <c r="V219" s="1287"/>
      <c r="W219" s="1289"/>
      <c r="X219" s="1369">
        <f t="shared" ca="1" si="767"/>
        <v>164229</v>
      </c>
      <c r="Y219" s="1287"/>
      <c r="Z219" s="1289"/>
      <c r="AA219" s="1369">
        <f t="shared" ca="1" si="768"/>
        <v>30947</v>
      </c>
      <c r="AB219" s="1287"/>
      <c r="AC219" s="1289"/>
      <c r="AD219" s="1369">
        <f t="shared" ca="1" si="769"/>
        <v>0</v>
      </c>
      <c r="AE219" s="1287"/>
      <c r="AF219" s="1289"/>
      <c r="AG219" s="1369">
        <f t="shared" ca="1" si="770"/>
        <v>0</v>
      </c>
      <c r="AH219" s="1287"/>
      <c r="AI219" s="1289"/>
      <c r="AJ219" s="1369">
        <f t="shared" ca="1" si="771"/>
        <v>0</v>
      </c>
      <c r="AK219" s="1287"/>
      <c r="AL219" s="1289"/>
      <c r="AM219" s="1369">
        <f t="shared" ca="1" si="772"/>
        <v>0</v>
      </c>
      <c r="AN219" s="1287"/>
      <c r="AO219" s="1289"/>
      <c r="AP219" s="1369">
        <f t="shared" ca="1" si="773"/>
        <v>0</v>
      </c>
      <c r="AQ219" s="1287"/>
      <c r="AR219" s="1289"/>
      <c r="AS219" s="1369">
        <f t="shared" ca="1" si="774"/>
        <v>329936.12</v>
      </c>
      <c r="AT219" s="1287"/>
      <c r="AU219" s="411"/>
      <c r="AV219" s="170"/>
      <c r="AW219" s="170"/>
      <c r="AX219" s="170"/>
      <c r="AY219" s="561" t="str">
        <f t="shared" si="775"/>
        <v>Outreach</v>
      </c>
      <c r="AZ219" s="561"/>
      <c r="BA219" s="562"/>
      <c r="BB219" s="170"/>
      <c r="BC219" s="562"/>
      <c r="BD219" s="566">
        <f t="shared" si="776"/>
        <v>10968.12</v>
      </c>
      <c r="BE219" s="170"/>
      <c r="BF219" s="1477"/>
      <c r="BG219" s="566">
        <f t="shared" ca="1" si="777"/>
        <v>0</v>
      </c>
      <c r="BH219" s="170"/>
      <c r="BI219" s="1477"/>
      <c r="BJ219" s="566">
        <f t="shared" si="778"/>
        <v>0</v>
      </c>
      <c r="BK219" s="561"/>
      <c r="BL219" s="1477"/>
      <c r="BM219" s="566">
        <f t="shared" ca="1" si="779"/>
        <v>113363</v>
      </c>
      <c r="BN219" s="170"/>
      <c r="BO219" s="1477"/>
      <c r="BP219" s="566">
        <f t="shared" ca="1" si="780"/>
        <v>146013</v>
      </c>
      <c r="BQ219" s="170"/>
      <c r="BR219" s="1477"/>
      <c r="BS219" s="566">
        <f t="shared" ca="1" si="781"/>
        <v>26713</v>
      </c>
      <c r="BT219" s="170"/>
      <c r="BU219" s="1477"/>
      <c r="BV219" s="566">
        <f t="shared" ca="1" si="782"/>
        <v>0</v>
      </c>
      <c r="BW219" s="170"/>
      <c r="BX219" s="1477"/>
      <c r="BY219" s="566">
        <f t="shared" ca="1" si="783"/>
        <v>0</v>
      </c>
      <c r="BZ219" s="170"/>
      <c r="CA219" s="1477"/>
      <c r="CB219" s="566">
        <f t="shared" ca="1" si="784"/>
        <v>0</v>
      </c>
      <c r="CC219" s="170"/>
      <c r="CD219" s="1477"/>
      <c r="CE219" s="566">
        <f t="shared" ca="1" si="785"/>
        <v>0</v>
      </c>
      <c r="CF219" s="170"/>
      <c r="CG219" s="1477"/>
      <c r="CH219" s="566">
        <f t="shared" ca="1" si="786"/>
        <v>0</v>
      </c>
      <c r="CI219" s="170"/>
      <c r="CJ219" s="562"/>
      <c r="CK219" s="566">
        <f t="shared" ca="1" si="787"/>
        <v>297057.12</v>
      </c>
      <c r="CL219" s="566"/>
      <c r="CM219" s="170"/>
      <c r="CN219" s="170"/>
      <c r="CO219" s="382" t="str">
        <f t="shared" si="788"/>
        <v>Outreach</v>
      </c>
      <c r="CP219" s="382"/>
      <c r="CQ219" s="385"/>
      <c r="CR219" s="382"/>
      <c r="CS219" s="385"/>
      <c r="CT219" s="567">
        <f t="shared" si="789"/>
        <v>0</v>
      </c>
      <c r="CU219" s="382"/>
      <c r="CV219" s="385"/>
      <c r="CW219" s="567">
        <f t="shared" ca="1" si="790"/>
        <v>0</v>
      </c>
      <c r="CX219" s="382"/>
      <c r="CY219" s="385"/>
      <c r="CZ219" s="567">
        <f t="shared" si="791"/>
        <v>0</v>
      </c>
      <c r="DA219" s="382"/>
      <c r="DB219" s="385"/>
      <c r="DC219" s="567">
        <f t="shared" ca="1" si="792"/>
        <v>10429</v>
      </c>
      <c r="DD219" s="382"/>
      <c r="DE219" s="385"/>
      <c r="DF219" s="567">
        <f t="shared" ca="1" si="793"/>
        <v>18216</v>
      </c>
      <c r="DG219" s="382"/>
      <c r="DH219" s="385"/>
      <c r="DI219" s="567">
        <f t="shared" ca="1" si="794"/>
        <v>4234</v>
      </c>
      <c r="DJ219" s="382"/>
      <c r="DK219" s="385"/>
      <c r="DL219" s="567">
        <f t="shared" ca="1" si="795"/>
        <v>0</v>
      </c>
      <c r="DM219" s="382"/>
      <c r="DN219" s="385"/>
      <c r="DO219" s="567">
        <f t="shared" ca="1" si="796"/>
        <v>0</v>
      </c>
      <c r="DP219" s="382"/>
      <c r="DQ219" s="385"/>
      <c r="DR219" s="567">
        <f t="shared" ca="1" si="797"/>
        <v>0</v>
      </c>
      <c r="DS219" s="382"/>
      <c r="DT219" s="385"/>
      <c r="DU219" s="567">
        <f t="shared" ca="1" si="798"/>
        <v>0</v>
      </c>
      <c r="DV219" s="382"/>
      <c r="DW219" s="385"/>
      <c r="DX219" s="567">
        <f t="shared" ca="1" si="799"/>
        <v>0</v>
      </c>
      <c r="DY219" s="382"/>
      <c r="DZ219" s="385"/>
      <c r="EA219" s="568">
        <f t="shared" ca="1" si="800"/>
        <v>32879</v>
      </c>
      <c r="EB219" s="170"/>
      <c r="EC219" s="170"/>
      <c r="ED219" s="170"/>
      <c r="EE219" s="170"/>
      <c r="EF219" s="170"/>
      <c r="EG219" s="170"/>
      <c r="EH219" s="170"/>
      <c r="EI219" s="170"/>
      <c r="EJ219" s="170"/>
      <c r="EK219" s="170"/>
    </row>
    <row r="220" spans="1:141" ht="15" x14ac:dyDescent="0.25">
      <c r="A220" s="557"/>
      <c r="B220" s="472"/>
      <c r="C220" s="472"/>
      <c r="D220" s="472"/>
      <c r="E220" s="564">
        <v>4</v>
      </c>
      <c r="F220" s="170"/>
      <c r="G220" s="1339" t="str">
        <f>VLOOKUP(E220,Parameters!$D$159:$E$301,2)</f>
        <v>Siting Approvals / Permits</v>
      </c>
      <c r="H220" s="1287"/>
      <c r="I220" s="1289"/>
      <c r="J220" s="1287"/>
      <c r="K220" s="1289"/>
      <c r="L220" s="1369">
        <f t="shared" si="763"/>
        <v>10307</v>
      </c>
      <c r="M220" s="1287"/>
      <c r="N220" s="1289"/>
      <c r="O220" s="1369">
        <f t="shared" ca="1" si="764"/>
        <v>0</v>
      </c>
      <c r="P220" s="1287"/>
      <c r="Q220" s="1289"/>
      <c r="R220" s="1369">
        <f t="shared" ca="1" si="765"/>
        <v>0</v>
      </c>
      <c r="S220" s="1287"/>
      <c r="T220" s="1289"/>
      <c r="U220" s="1369">
        <f t="shared" ca="1" si="766"/>
        <v>113459</v>
      </c>
      <c r="V220" s="1287"/>
      <c r="W220" s="1289"/>
      <c r="X220" s="1369">
        <f t="shared" ca="1" si="767"/>
        <v>150606</v>
      </c>
      <c r="Y220" s="1287"/>
      <c r="Z220" s="1289"/>
      <c r="AA220" s="1369">
        <f t="shared" ca="1" si="768"/>
        <v>28267</v>
      </c>
      <c r="AB220" s="1287"/>
      <c r="AC220" s="1289"/>
      <c r="AD220" s="1369">
        <f t="shared" ca="1" si="769"/>
        <v>0</v>
      </c>
      <c r="AE220" s="1287"/>
      <c r="AF220" s="1289"/>
      <c r="AG220" s="1369">
        <f t="shared" ca="1" si="770"/>
        <v>0</v>
      </c>
      <c r="AH220" s="1287"/>
      <c r="AI220" s="1289"/>
      <c r="AJ220" s="1369">
        <f t="shared" ca="1" si="771"/>
        <v>0</v>
      </c>
      <c r="AK220" s="1287"/>
      <c r="AL220" s="1289"/>
      <c r="AM220" s="1369">
        <f t="shared" ca="1" si="772"/>
        <v>0</v>
      </c>
      <c r="AN220" s="1287"/>
      <c r="AO220" s="1289"/>
      <c r="AP220" s="1369">
        <f t="shared" ca="1" si="773"/>
        <v>0</v>
      </c>
      <c r="AQ220" s="1287"/>
      <c r="AR220" s="1289"/>
      <c r="AS220" s="1369">
        <f t="shared" ca="1" si="774"/>
        <v>302639</v>
      </c>
      <c r="AT220" s="1287"/>
      <c r="AU220" s="411"/>
      <c r="AV220" s="170"/>
      <c r="AW220" s="170"/>
      <c r="AX220" s="170"/>
      <c r="AY220" s="561" t="str">
        <f t="shared" si="775"/>
        <v>Siting Approvals / Permits</v>
      </c>
      <c r="AZ220" s="561"/>
      <c r="BA220" s="562"/>
      <c r="BB220" s="170"/>
      <c r="BC220" s="562"/>
      <c r="BD220" s="566">
        <f t="shared" si="776"/>
        <v>10307</v>
      </c>
      <c r="BE220" s="170"/>
      <c r="BF220" s="1477"/>
      <c r="BG220" s="566">
        <f t="shared" ca="1" si="777"/>
        <v>0</v>
      </c>
      <c r="BH220" s="170"/>
      <c r="BI220" s="1477"/>
      <c r="BJ220" s="566">
        <f t="shared" ca="1" si="778"/>
        <v>0</v>
      </c>
      <c r="BK220" s="561"/>
      <c r="BL220" s="1477"/>
      <c r="BM220" s="566">
        <f t="shared" ca="1" si="779"/>
        <v>103900</v>
      </c>
      <c r="BN220" s="170"/>
      <c r="BO220" s="1477"/>
      <c r="BP220" s="566">
        <f t="shared" ca="1" si="780"/>
        <v>133900</v>
      </c>
      <c r="BQ220" s="170"/>
      <c r="BR220" s="1477"/>
      <c r="BS220" s="566">
        <f t="shared" ca="1" si="781"/>
        <v>24400</v>
      </c>
      <c r="BT220" s="170"/>
      <c r="BU220" s="1477"/>
      <c r="BV220" s="566">
        <f t="shared" ca="1" si="782"/>
        <v>0</v>
      </c>
      <c r="BW220" s="170"/>
      <c r="BX220" s="1477"/>
      <c r="BY220" s="566">
        <f t="shared" ca="1" si="783"/>
        <v>0</v>
      </c>
      <c r="BZ220" s="170"/>
      <c r="CA220" s="1477"/>
      <c r="CB220" s="566">
        <f t="shared" ca="1" si="784"/>
        <v>0</v>
      </c>
      <c r="CC220" s="170"/>
      <c r="CD220" s="1477"/>
      <c r="CE220" s="566">
        <f t="shared" ca="1" si="785"/>
        <v>0</v>
      </c>
      <c r="CF220" s="170"/>
      <c r="CG220" s="1477"/>
      <c r="CH220" s="566">
        <f t="shared" ca="1" si="786"/>
        <v>0</v>
      </c>
      <c r="CI220" s="170"/>
      <c r="CJ220" s="562"/>
      <c r="CK220" s="566">
        <f t="shared" ca="1" si="787"/>
        <v>272507</v>
      </c>
      <c r="CL220" s="566"/>
      <c r="CM220" s="170"/>
      <c r="CN220" s="170"/>
      <c r="CO220" s="382" t="str">
        <f t="shared" si="788"/>
        <v>Siting Approvals / Permits</v>
      </c>
      <c r="CP220" s="382"/>
      <c r="CQ220" s="385"/>
      <c r="CR220" s="382"/>
      <c r="CS220" s="385"/>
      <c r="CT220" s="567">
        <f t="shared" si="789"/>
        <v>0</v>
      </c>
      <c r="CU220" s="382"/>
      <c r="CV220" s="385"/>
      <c r="CW220" s="567">
        <f t="shared" ca="1" si="790"/>
        <v>0</v>
      </c>
      <c r="CX220" s="382"/>
      <c r="CY220" s="385"/>
      <c r="CZ220" s="567">
        <f t="shared" ca="1" si="791"/>
        <v>0</v>
      </c>
      <c r="DA220" s="382"/>
      <c r="DB220" s="385"/>
      <c r="DC220" s="567">
        <f t="shared" ca="1" si="792"/>
        <v>9559</v>
      </c>
      <c r="DD220" s="382"/>
      <c r="DE220" s="385"/>
      <c r="DF220" s="567">
        <f t="shared" ca="1" si="793"/>
        <v>16706</v>
      </c>
      <c r="DG220" s="382"/>
      <c r="DH220" s="385"/>
      <c r="DI220" s="567">
        <f t="shared" ca="1" si="794"/>
        <v>3867</v>
      </c>
      <c r="DJ220" s="382"/>
      <c r="DK220" s="385"/>
      <c r="DL220" s="567">
        <f t="shared" ca="1" si="795"/>
        <v>0</v>
      </c>
      <c r="DM220" s="382"/>
      <c r="DN220" s="385"/>
      <c r="DO220" s="567">
        <f t="shared" ca="1" si="796"/>
        <v>0</v>
      </c>
      <c r="DP220" s="382"/>
      <c r="DQ220" s="385"/>
      <c r="DR220" s="567">
        <f t="shared" ca="1" si="797"/>
        <v>0</v>
      </c>
      <c r="DS220" s="382"/>
      <c r="DT220" s="385"/>
      <c r="DU220" s="567">
        <f t="shared" ca="1" si="798"/>
        <v>0</v>
      </c>
      <c r="DV220" s="382"/>
      <c r="DW220" s="385"/>
      <c r="DX220" s="567">
        <f t="shared" ca="1" si="799"/>
        <v>0</v>
      </c>
      <c r="DY220" s="382"/>
      <c r="DZ220" s="385"/>
      <c r="EA220" s="568">
        <f t="shared" ca="1" si="800"/>
        <v>30132</v>
      </c>
      <c r="EB220" s="170"/>
      <c r="EC220" s="170"/>
      <c r="ED220" s="170"/>
      <c r="EE220" s="170"/>
      <c r="EF220" s="170"/>
      <c r="EG220" s="170"/>
      <c r="EH220" s="170"/>
      <c r="EI220" s="170"/>
      <c r="EJ220" s="170"/>
      <c r="EK220" s="170"/>
    </row>
    <row r="221" spans="1:141" ht="15" x14ac:dyDescent="0.25">
      <c r="A221" s="557"/>
      <c r="B221" s="472"/>
      <c r="C221" s="472"/>
      <c r="D221" s="472"/>
      <c r="E221" s="564">
        <v>5</v>
      </c>
      <c r="F221" s="170"/>
      <c r="G221" s="1339" t="str">
        <f>VLOOKUP(E221,Parameters!$D$159:$E$301,2)</f>
        <v>Engineering / Design</v>
      </c>
      <c r="H221" s="1287"/>
      <c r="I221" s="1289"/>
      <c r="J221" s="1287"/>
      <c r="K221" s="1289"/>
      <c r="L221" s="1369">
        <f t="shared" si="763"/>
        <v>16424.059999999998</v>
      </c>
      <c r="M221" s="1287"/>
      <c r="N221" s="1289"/>
      <c r="O221" s="1369">
        <f t="shared" ca="1" si="764"/>
        <v>0</v>
      </c>
      <c r="P221" s="1287"/>
      <c r="Q221" s="1289"/>
      <c r="R221" s="1369">
        <f t="shared" ca="1" si="765"/>
        <v>0</v>
      </c>
      <c r="S221" s="1287"/>
      <c r="T221" s="1289"/>
      <c r="U221" s="1369">
        <f t="shared" ca="1" si="766"/>
        <v>393710</v>
      </c>
      <c r="V221" s="1287"/>
      <c r="W221" s="1289"/>
      <c r="X221" s="1369">
        <f t="shared" ca="1" si="767"/>
        <v>383976</v>
      </c>
      <c r="Y221" s="1287"/>
      <c r="Z221" s="1289"/>
      <c r="AA221" s="1369">
        <f t="shared" ca="1" si="768"/>
        <v>37882</v>
      </c>
      <c r="AB221" s="1287"/>
      <c r="AC221" s="1289"/>
      <c r="AD221" s="1369">
        <f t="shared" ca="1" si="769"/>
        <v>0</v>
      </c>
      <c r="AE221" s="1287"/>
      <c r="AF221" s="1289"/>
      <c r="AG221" s="1369">
        <f t="shared" ca="1" si="770"/>
        <v>0</v>
      </c>
      <c r="AH221" s="1287"/>
      <c r="AI221" s="1289"/>
      <c r="AJ221" s="1369">
        <f t="shared" ca="1" si="771"/>
        <v>0</v>
      </c>
      <c r="AK221" s="1287"/>
      <c r="AL221" s="1289"/>
      <c r="AM221" s="1369">
        <f t="shared" ca="1" si="772"/>
        <v>0</v>
      </c>
      <c r="AN221" s="1287"/>
      <c r="AO221" s="1289"/>
      <c r="AP221" s="1369">
        <f t="shared" ca="1" si="773"/>
        <v>0</v>
      </c>
      <c r="AQ221" s="1287"/>
      <c r="AR221" s="1289"/>
      <c r="AS221" s="1369">
        <f t="shared" ca="1" si="774"/>
        <v>831992.06</v>
      </c>
      <c r="AT221" s="1287"/>
      <c r="AU221" s="411"/>
      <c r="AV221" s="170"/>
      <c r="AW221" s="170"/>
      <c r="AX221" s="170"/>
      <c r="AY221" s="561" t="str">
        <f t="shared" si="775"/>
        <v>Engineering / Design</v>
      </c>
      <c r="AZ221" s="561"/>
      <c r="BA221" s="562"/>
      <c r="BB221" s="170"/>
      <c r="BC221" s="562"/>
      <c r="BD221" s="566">
        <f t="shared" si="776"/>
        <v>16424.059999999998</v>
      </c>
      <c r="BE221" s="170"/>
      <c r="BF221" s="1477"/>
      <c r="BG221" s="566">
        <f t="shared" ca="1" si="777"/>
        <v>0</v>
      </c>
      <c r="BH221" s="170"/>
      <c r="BI221" s="1477"/>
      <c r="BJ221" s="566">
        <f t="shared" ca="1" si="778"/>
        <v>0</v>
      </c>
      <c r="BK221" s="561"/>
      <c r="BL221" s="1477"/>
      <c r="BM221" s="566">
        <f t="shared" ca="1" si="779"/>
        <v>360542</v>
      </c>
      <c r="BN221" s="170"/>
      <c r="BO221" s="1477"/>
      <c r="BP221" s="566">
        <f t="shared" ca="1" si="780"/>
        <v>341386</v>
      </c>
      <c r="BQ221" s="170"/>
      <c r="BR221" s="1477"/>
      <c r="BS221" s="566">
        <f t="shared" ca="1" si="781"/>
        <v>32699</v>
      </c>
      <c r="BT221" s="170"/>
      <c r="BU221" s="1477"/>
      <c r="BV221" s="566">
        <f t="shared" ca="1" si="782"/>
        <v>0</v>
      </c>
      <c r="BW221" s="170"/>
      <c r="BX221" s="1477"/>
      <c r="BY221" s="566">
        <f t="shared" ca="1" si="783"/>
        <v>0</v>
      </c>
      <c r="BZ221" s="170"/>
      <c r="CA221" s="1477"/>
      <c r="CB221" s="566">
        <f t="shared" ca="1" si="784"/>
        <v>0</v>
      </c>
      <c r="CC221" s="170"/>
      <c r="CD221" s="1477"/>
      <c r="CE221" s="566">
        <f t="shared" ca="1" si="785"/>
        <v>0</v>
      </c>
      <c r="CF221" s="170"/>
      <c r="CG221" s="1477"/>
      <c r="CH221" s="566">
        <f t="shared" ca="1" si="786"/>
        <v>0</v>
      </c>
      <c r="CI221" s="170"/>
      <c r="CJ221" s="562"/>
      <c r="CK221" s="566">
        <f t="shared" ca="1" si="787"/>
        <v>751051.06</v>
      </c>
      <c r="CL221" s="566"/>
      <c r="CM221" s="170"/>
      <c r="CN221" s="170"/>
      <c r="CO221" s="382" t="str">
        <f t="shared" si="788"/>
        <v>Engineering / Design</v>
      </c>
      <c r="CP221" s="382"/>
      <c r="CQ221" s="385"/>
      <c r="CR221" s="382"/>
      <c r="CS221" s="385"/>
      <c r="CT221" s="567">
        <f t="shared" si="789"/>
        <v>0</v>
      </c>
      <c r="CU221" s="382"/>
      <c r="CV221" s="385"/>
      <c r="CW221" s="567">
        <f t="shared" ca="1" si="790"/>
        <v>0</v>
      </c>
      <c r="CX221" s="382"/>
      <c r="CY221" s="385"/>
      <c r="CZ221" s="567">
        <f t="shared" ca="1" si="791"/>
        <v>0</v>
      </c>
      <c r="DA221" s="382"/>
      <c r="DB221" s="385"/>
      <c r="DC221" s="567">
        <f t="shared" ca="1" si="792"/>
        <v>33168</v>
      </c>
      <c r="DD221" s="382"/>
      <c r="DE221" s="385"/>
      <c r="DF221" s="567">
        <f t="shared" ca="1" si="793"/>
        <v>42590</v>
      </c>
      <c r="DG221" s="382"/>
      <c r="DH221" s="385"/>
      <c r="DI221" s="567">
        <f t="shared" ca="1" si="794"/>
        <v>5183</v>
      </c>
      <c r="DJ221" s="382"/>
      <c r="DK221" s="385"/>
      <c r="DL221" s="567">
        <f t="shared" ca="1" si="795"/>
        <v>0</v>
      </c>
      <c r="DM221" s="382"/>
      <c r="DN221" s="385"/>
      <c r="DO221" s="567">
        <f t="shared" ca="1" si="796"/>
        <v>0</v>
      </c>
      <c r="DP221" s="382"/>
      <c r="DQ221" s="385"/>
      <c r="DR221" s="567">
        <f t="shared" ca="1" si="797"/>
        <v>0</v>
      </c>
      <c r="DS221" s="382"/>
      <c r="DT221" s="385"/>
      <c r="DU221" s="567">
        <f t="shared" ca="1" si="798"/>
        <v>0</v>
      </c>
      <c r="DV221" s="382"/>
      <c r="DW221" s="385"/>
      <c r="DX221" s="567">
        <f t="shared" ca="1" si="799"/>
        <v>0</v>
      </c>
      <c r="DY221" s="382"/>
      <c r="DZ221" s="385"/>
      <c r="EA221" s="568">
        <f t="shared" ca="1" si="800"/>
        <v>80941</v>
      </c>
      <c r="EB221" s="170"/>
      <c r="EC221" s="170"/>
      <c r="ED221" s="170"/>
      <c r="EE221" s="170"/>
      <c r="EF221" s="170"/>
      <c r="EG221" s="170"/>
      <c r="EH221" s="170"/>
      <c r="EI221" s="170"/>
      <c r="EJ221" s="170"/>
      <c r="EK221" s="170"/>
    </row>
    <row r="222" spans="1:141" ht="15" x14ac:dyDescent="0.25">
      <c r="A222" s="557"/>
      <c r="B222" s="472"/>
      <c r="C222" s="472"/>
      <c r="D222" s="472"/>
      <c r="E222" s="564">
        <v>6</v>
      </c>
      <c r="F222" s="170"/>
      <c r="G222" s="1339" t="str">
        <f>VLOOKUP(E222,Parameters!$D$159:$E$301,2)</f>
        <v>Materials ( Eversource purchased)</v>
      </c>
      <c r="H222" s="1287"/>
      <c r="I222" s="1289"/>
      <c r="J222" s="1287"/>
      <c r="K222" s="1289"/>
      <c r="L222" s="1369">
        <f t="shared" si="763"/>
        <v>2358</v>
      </c>
      <c r="M222" s="1287"/>
      <c r="N222" s="1289"/>
      <c r="O222" s="1369">
        <f t="shared" ca="1" si="764"/>
        <v>0</v>
      </c>
      <c r="P222" s="1287"/>
      <c r="Q222" s="1289"/>
      <c r="R222" s="1369">
        <f t="shared" ca="1" si="765"/>
        <v>0</v>
      </c>
      <c r="S222" s="1287"/>
      <c r="T222" s="1289"/>
      <c r="U222" s="1369">
        <f t="shared" ca="1" si="766"/>
        <v>9639171.8995999992</v>
      </c>
      <c r="V222" s="1287"/>
      <c r="W222" s="1289"/>
      <c r="X222" s="1369">
        <f t="shared" ca="1" si="767"/>
        <v>9928347.0565879997</v>
      </c>
      <c r="Y222" s="1287"/>
      <c r="Z222" s="1289"/>
      <c r="AA222" s="1369">
        <f t="shared" ca="1" si="768"/>
        <v>0</v>
      </c>
      <c r="AB222" s="1287"/>
      <c r="AC222" s="1289"/>
      <c r="AD222" s="1369">
        <f t="shared" ca="1" si="769"/>
        <v>0</v>
      </c>
      <c r="AE222" s="1287"/>
      <c r="AF222" s="1289"/>
      <c r="AG222" s="1369">
        <f t="shared" ca="1" si="770"/>
        <v>0</v>
      </c>
      <c r="AH222" s="1287"/>
      <c r="AI222" s="1289"/>
      <c r="AJ222" s="1369">
        <f t="shared" ca="1" si="771"/>
        <v>0</v>
      </c>
      <c r="AK222" s="1287"/>
      <c r="AL222" s="1289"/>
      <c r="AM222" s="1369">
        <f t="shared" ca="1" si="772"/>
        <v>0</v>
      </c>
      <c r="AN222" s="1287"/>
      <c r="AO222" s="1289"/>
      <c r="AP222" s="1369">
        <f t="shared" ca="1" si="773"/>
        <v>0</v>
      </c>
      <c r="AQ222" s="1287"/>
      <c r="AR222" s="1289"/>
      <c r="AS222" s="1369">
        <f t="shared" ca="1" si="774"/>
        <v>19569876.956188001</v>
      </c>
      <c r="AT222" s="1287"/>
      <c r="AU222" s="411"/>
      <c r="AV222" s="170"/>
      <c r="AW222" s="170"/>
      <c r="AX222" s="170"/>
      <c r="AY222" s="561" t="str">
        <f t="shared" si="775"/>
        <v>Materials ( Eversource purchased)</v>
      </c>
      <c r="AZ222" s="561"/>
      <c r="BA222" s="562"/>
      <c r="BB222" s="170"/>
      <c r="BC222" s="562"/>
      <c r="BD222" s="566">
        <f t="shared" si="776"/>
        <v>2358</v>
      </c>
      <c r="BE222" s="170"/>
      <c r="BF222" s="1477"/>
      <c r="BG222" s="566">
        <f t="shared" ca="1" si="777"/>
        <v>0</v>
      </c>
      <c r="BH222" s="170"/>
      <c r="BI222" s="1477"/>
      <c r="BJ222" s="566">
        <f t="shared" ca="1" si="778"/>
        <v>0</v>
      </c>
      <c r="BK222" s="561"/>
      <c r="BL222" s="1477"/>
      <c r="BM222" s="566">
        <f t="shared" ca="1" si="779"/>
        <v>9085844</v>
      </c>
      <c r="BN222" s="170"/>
      <c r="BO222" s="1477"/>
      <c r="BP222" s="566">
        <f t="shared" ca="1" si="780"/>
        <v>9085844</v>
      </c>
      <c r="BQ222" s="170"/>
      <c r="BR222" s="1477"/>
      <c r="BS222" s="566">
        <f t="shared" ca="1" si="781"/>
        <v>0</v>
      </c>
      <c r="BT222" s="170"/>
      <c r="BU222" s="1477"/>
      <c r="BV222" s="566">
        <f t="shared" ca="1" si="782"/>
        <v>0</v>
      </c>
      <c r="BW222" s="170"/>
      <c r="BX222" s="1477"/>
      <c r="BY222" s="566">
        <f t="shared" ca="1" si="783"/>
        <v>0</v>
      </c>
      <c r="BZ222" s="170"/>
      <c r="CA222" s="1477"/>
      <c r="CB222" s="566">
        <f t="shared" ca="1" si="784"/>
        <v>0</v>
      </c>
      <c r="CC222" s="170"/>
      <c r="CD222" s="1477"/>
      <c r="CE222" s="566">
        <f t="shared" ca="1" si="785"/>
        <v>0</v>
      </c>
      <c r="CF222" s="170"/>
      <c r="CG222" s="1477"/>
      <c r="CH222" s="566">
        <f t="shared" ca="1" si="786"/>
        <v>0</v>
      </c>
      <c r="CI222" s="170"/>
      <c r="CJ222" s="562"/>
      <c r="CK222" s="566">
        <f t="shared" ca="1" si="787"/>
        <v>18174046</v>
      </c>
      <c r="CL222" s="566"/>
      <c r="CM222" s="170"/>
      <c r="CN222" s="170"/>
      <c r="CO222" s="382" t="str">
        <f t="shared" si="788"/>
        <v>Materials ( Eversource purchased)</v>
      </c>
      <c r="CP222" s="382"/>
      <c r="CQ222" s="385"/>
      <c r="CR222" s="382"/>
      <c r="CS222" s="385"/>
      <c r="CT222" s="567">
        <f t="shared" si="789"/>
        <v>0</v>
      </c>
      <c r="CU222" s="382"/>
      <c r="CV222" s="385"/>
      <c r="CW222" s="567">
        <f t="shared" ca="1" si="790"/>
        <v>0</v>
      </c>
      <c r="CX222" s="382"/>
      <c r="CY222" s="385"/>
      <c r="CZ222" s="567">
        <f t="shared" ca="1" si="791"/>
        <v>0</v>
      </c>
      <c r="DA222" s="382"/>
      <c r="DB222" s="385"/>
      <c r="DC222" s="567">
        <f t="shared" ca="1" si="792"/>
        <v>553327.89959999954</v>
      </c>
      <c r="DD222" s="382"/>
      <c r="DE222" s="385"/>
      <c r="DF222" s="567">
        <f t="shared" ca="1" si="793"/>
        <v>842503.05658800004</v>
      </c>
      <c r="DG222" s="382"/>
      <c r="DH222" s="385"/>
      <c r="DI222" s="567">
        <f t="shared" ca="1" si="794"/>
        <v>0</v>
      </c>
      <c r="DJ222" s="382"/>
      <c r="DK222" s="385"/>
      <c r="DL222" s="567">
        <f t="shared" ca="1" si="795"/>
        <v>0</v>
      </c>
      <c r="DM222" s="382"/>
      <c r="DN222" s="385"/>
      <c r="DO222" s="567">
        <f t="shared" ca="1" si="796"/>
        <v>0</v>
      </c>
      <c r="DP222" s="382"/>
      <c r="DQ222" s="385"/>
      <c r="DR222" s="567">
        <f t="shared" ca="1" si="797"/>
        <v>0</v>
      </c>
      <c r="DS222" s="382"/>
      <c r="DT222" s="385"/>
      <c r="DU222" s="567">
        <f t="shared" ca="1" si="798"/>
        <v>0</v>
      </c>
      <c r="DV222" s="382"/>
      <c r="DW222" s="385"/>
      <c r="DX222" s="567">
        <f t="shared" ca="1" si="799"/>
        <v>0</v>
      </c>
      <c r="DY222" s="382"/>
      <c r="DZ222" s="385"/>
      <c r="EA222" s="568">
        <f t="shared" ca="1" si="800"/>
        <v>1395830.9561879996</v>
      </c>
      <c r="EB222" s="170"/>
      <c r="EC222" s="170"/>
      <c r="ED222" s="170"/>
      <c r="EE222" s="170"/>
      <c r="EF222" s="170"/>
      <c r="EG222" s="170"/>
      <c r="EH222" s="170"/>
      <c r="EI222" s="170"/>
      <c r="EJ222" s="170"/>
      <c r="EK222" s="170"/>
    </row>
    <row r="223" spans="1:141" ht="15" x14ac:dyDescent="0.25">
      <c r="A223" s="557"/>
      <c r="B223" s="472"/>
      <c r="C223" s="472"/>
      <c r="D223" s="472"/>
      <c r="E223" s="564">
        <v>7</v>
      </c>
      <c r="F223" s="170"/>
      <c r="G223" s="1339" t="str">
        <f>VLOOKUP(E223,Parameters!$D$159:$E$301,2)</f>
        <v>Construction  ( incl materials by contractors)</v>
      </c>
      <c r="H223" s="1287"/>
      <c r="I223" s="1289"/>
      <c r="J223" s="1287"/>
      <c r="K223" s="1289"/>
      <c r="L223" s="1369">
        <f t="shared" si="763"/>
        <v>10963.25</v>
      </c>
      <c r="M223" s="1287"/>
      <c r="N223" s="1289"/>
      <c r="O223" s="1369">
        <f t="shared" ca="1" si="764"/>
        <v>0</v>
      </c>
      <c r="P223" s="1287"/>
      <c r="Q223" s="1289"/>
      <c r="R223" s="1369">
        <f t="shared" ca="1" si="765"/>
        <v>0</v>
      </c>
      <c r="S223" s="1287"/>
      <c r="T223" s="1289"/>
      <c r="U223" s="1369">
        <f t="shared" ca="1" si="766"/>
        <v>795.67499999999995</v>
      </c>
      <c r="V223" s="1287"/>
      <c r="W223" s="1289"/>
      <c r="X223" s="1369">
        <f t="shared" ca="1" si="767"/>
        <v>2771318.4348784005</v>
      </c>
      <c r="Y223" s="1287"/>
      <c r="Z223" s="1289"/>
      <c r="AA223" s="1369">
        <f t="shared" ca="1" si="768"/>
        <v>1788703.7526781682</v>
      </c>
      <c r="AB223" s="1287"/>
      <c r="AC223" s="1289"/>
      <c r="AD223" s="1369">
        <f t="shared" ca="1" si="769"/>
        <v>0</v>
      </c>
      <c r="AE223" s="1287"/>
      <c r="AF223" s="1289"/>
      <c r="AG223" s="1369">
        <f t="shared" ca="1" si="770"/>
        <v>0</v>
      </c>
      <c r="AH223" s="1287"/>
      <c r="AI223" s="1289"/>
      <c r="AJ223" s="1369">
        <f t="shared" ca="1" si="771"/>
        <v>0</v>
      </c>
      <c r="AK223" s="1287"/>
      <c r="AL223" s="1289"/>
      <c r="AM223" s="1369">
        <f t="shared" ca="1" si="772"/>
        <v>0</v>
      </c>
      <c r="AN223" s="1287"/>
      <c r="AO223" s="1289"/>
      <c r="AP223" s="1369">
        <f t="shared" ca="1" si="773"/>
        <v>0</v>
      </c>
      <c r="AQ223" s="1287"/>
      <c r="AR223" s="1289"/>
      <c r="AS223" s="1369">
        <f t="shared" ca="1" si="774"/>
        <v>4571781.1125565693</v>
      </c>
      <c r="AT223" s="1287"/>
      <c r="AU223" s="411"/>
      <c r="AV223" s="170"/>
      <c r="AW223" s="170"/>
      <c r="AX223" s="170"/>
      <c r="AY223" s="561" t="str">
        <f t="shared" si="775"/>
        <v>Construction  ( incl materials by contractors)</v>
      </c>
      <c r="AZ223" s="561"/>
      <c r="BA223" s="562"/>
      <c r="BB223" s="170"/>
      <c r="BC223" s="562"/>
      <c r="BD223" s="566">
        <f t="shared" si="776"/>
        <v>10963.25</v>
      </c>
      <c r="BE223" s="170"/>
      <c r="BF223" s="1477"/>
      <c r="BG223" s="566">
        <f t="shared" ca="1" si="777"/>
        <v>0</v>
      </c>
      <c r="BH223" s="170"/>
      <c r="BI223" s="1477"/>
      <c r="BJ223" s="566">
        <f t="shared" ca="1" si="778"/>
        <v>0</v>
      </c>
      <c r="BK223" s="561"/>
      <c r="BL223" s="1477"/>
      <c r="BM223" s="566">
        <f t="shared" ca="1" si="779"/>
        <v>750</v>
      </c>
      <c r="BN223" s="170"/>
      <c r="BO223" s="1477"/>
      <c r="BP223" s="566">
        <f t="shared" ca="1" si="780"/>
        <v>2463941</v>
      </c>
      <c r="BQ223" s="170"/>
      <c r="BR223" s="1477"/>
      <c r="BS223" s="566">
        <f t="shared" ca="1" si="781"/>
        <v>1543978</v>
      </c>
      <c r="BT223" s="170"/>
      <c r="BU223" s="1477"/>
      <c r="BV223" s="566">
        <f t="shared" ca="1" si="782"/>
        <v>0</v>
      </c>
      <c r="BW223" s="170"/>
      <c r="BX223" s="1477"/>
      <c r="BY223" s="566">
        <f t="shared" ca="1" si="783"/>
        <v>0</v>
      </c>
      <c r="BZ223" s="170"/>
      <c r="CA223" s="1477"/>
      <c r="CB223" s="566">
        <f t="shared" ca="1" si="784"/>
        <v>0</v>
      </c>
      <c r="CC223" s="170"/>
      <c r="CD223" s="1477"/>
      <c r="CE223" s="566">
        <f t="shared" ca="1" si="785"/>
        <v>0</v>
      </c>
      <c r="CF223" s="170"/>
      <c r="CG223" s="1477"/>
      <c r="CH223" s="566">
        <f t="shared" ca="1" si="786"/>
        <v>0</v>
      </c>
      <c r="CI223" s="170"/>
      <c r="CJ223" s="562"/>
      <c r="CK223" s="566">
        <f t="shared" ca="1" si="787"/>
        <v>4019632.25</v>
      </c>
      <c r="CL223" s="566"/>
      <c r="CM223" s="170"/>
      <c r="CN223" s="170"/>
      <c r="CO223" s="382" t="str">
        <f t="shared" si="788"/>
        <v>Construction  ( incl materials by contractors)</v>
      </c>
      <c r="CP223" s="382"/>
      <c r="CQ223" s="385"/>
      <c r="CR223" s="382"/>
      <c r="CS223" s="385"/>
      <c r="CT223" s="567">
        <f t="shared" si="789"/>
        <v>0</v>
      </c>
      <c r="CU223" s="382"/>
      <c r="CV223" s="385"/>
      <c r="CW223" s="567">
        <f t="shared" ca="1" si="790"/>
        <v>0</v>
      </c>
      <c r="CX223" s="382"/>
      <c r="CY223" s="385"/>
      <c r="CZ223" s="567">
        <f t="shared" ca="1" si="791"/>
        <v>0</v>
      </c>
      <c r="DA223" s="382"/>
      <c r="DB223" s="385"/>
      <c r="DC223" s="567">
        <f t="shared" ca="1" si="792"/>
        <v>45.674999999999969</v>
      </c>
      <c r="DD223" s="382"/>
      <c r="DE223" s="385"/>
      <c r="DF223" s="567">
        <f t="shared" ca="1" si="793"/>
        <v>307377.43487840047</v>
      </c>
      <c r="DG223" s="382"/>
      <c r="DH223" s="385"/>
      <c r="DI223" s="567">
        <f t="shared" ca="1" si="794"/>
        <v>244725.75267816824</v>
      </c>
      <c r="DJ223" s="382"/>
      <c r="DK223" s="385"/>
      <c r="DL223" s="567">
        <f t="shared" ca="1" si="795"/>
        <v>0</v>
      </c>
      <c r="DM223" s="382"/>
      <c r="DN223" s="385"/>
      <c r="DO223" s="567">
        <f t="shared" ca="1" si="796"/>
        <v>0</v>
      </c>
      <c r="DP223" s="382"/>
      <c r="DQ223" s="385"/>
      <c r="DR223" s="567">
        <f t="shared" ca="1" si="797"/>
        <v>0</v>
      </c>
      <c r="DS223" s="382"/>
      <c r="DT223" s="385"/>
      <c r="DU223" s="567">
        <f t="shared" ca="1" si="798"/>
        <v>0</v>
      </c>
      <c r="DV223" s="382"/>
      <c r="DW223" s="385"/>
      <c r="DX223" s="567">
        <f t="shared" ca="1" si="799"/>
        <v>0</v>
      </c>
      <c r="DY223" s="382"/>
      <c r="DZ223" s="385"/>
      <c r="EA223" s="568">
        <f t="shared" ca="1" si="800"/>
        <v>552148.8625565687</v>
      </c>
      <c r="EB223" s="170"/>
      <c r="EC223" s="170"/>
      <c r="ED223" s="170"/>
      <c r="EE223" s="170"/>
      <c r="EF223" s="170"/>
      <c r="EG223" s="170"/>
      <c r="EH223" s="170"/>
      <c r="EI223" s="170"/>
      <c r="EJ223" s="170"/>
      <c r="EK223" s="170"/>
    </row>
    <row r="224" spans="1:141" ht="15" x14ac:dyDescent="0.25">
      <c r="A224" s="557"/>
      <c r="B224" s="472"/>
      <c r="C224" s="472"/>
      <c r="D224" s="472"/>
      <c r="E224" s="564">
        <v>8</v>
      </c>
      <c r="F224" s="170"/>
      <c r="G224" s="1339" t="str">
        <f>VLOOKUP(E224,Parameters!$D$159:$E$301,2)</f>
        <v>Testing / Commissioning</v>
      </c>
      <c r="H224" s="1287"/>
      <c r="I224" s="1289"/>
      <c r="J224" s="1287"/>
      <c r="K224" s="1289"/>
      <c r="L224" s="1369">
        <f t="shared" si="763"/>
        <v>0</v>
      </c>
      <c r="M224" s="1287"/>
      <c r="N224" s="1289"/>
      <c r="O224" s="1369">
        <f t="shared" si="764"/>
        <v>0</v>
      </c>
      <c r="P224" s="1287"/>
      <c r="Q224" s="1289"/>
      <c r="R224" s="1369">
        <f t="shared" si="765"/>
        <v>0</v>
      </c>
      <c r="S224" s="1287"/>
      <c r="T224" s="1289"/>
      <c r="U224" s="1369">
        <f t="shared" si="766"/>
        <v>0</v>
      </c>
      <c r="V224" s="1287"/>
      <c r="W224" s="1289"/>
      <c r="X224" s="1369">
        <f t="shared" si="767"/>
        <v>311502</v>
      </c>
      <c r="Y224" s="1287"/>
      <c r="Z224" s="1289"/>
      <c r="AA224" s="1369">
        <f t="shared" si="768"/>
        <v>752332</v>
      </c>
      <c r="AB224" s="1287"/>
      <c r="AC224" s="1289"/>
      <c r="AD224" s="1369">
        <f t="shared" si="769"/>
        <v>0</v>
      </c>
      <c r="AE224" s="1287"/>
      <c r="AF224" s="1289"/>
      <c r="AG224" s="1369">
        <f t="shared" si="770"/>
        <v>0</v>
      </c>
      <c r="AH224" s="1287"/>
      <c r="AI224" s="1289"/>
      <c r="AJ224" s="1369">
        <f t="shared" si="771"/>
        <v>0</v>
      </c>
      <c r="AK224" s="1287"/>
      <c r="AL224" s="1289"/>
      <c r="AM224" s="1369">
        <f t="shared" si="772"/>
        <v>0</v>
      </c>
      <c r="AN224" s="1287"/>
      <c r="AO224" s="1289"/>
      <c r="AP224" s="1369">
        <f t="shared" si="773"/>
        <v>0</v>
      </c>
      <c r="AQ224" s="1287"/>
      <c r="AR224" s="1289"/>
      <c r="AS224" s="1369">
        <f t="shared" si="774"/>
        <v>1063834</v>
      </c>
      <c r="AT224" s="1287"/>
      <c r="AU224" s="411"/>
      <c r="AV224" s="170"/>
      <c r="AW224" s="170"/>
      <c r="AX224" s="170"/>
      <c r="AY224" s="561" t="str">
        <f t="shared" si="775"/>
        <v>Testing / Commissioning</v>
      </c>
      <c r="AZ224" s="561"/>
      <c r="BA224" s="562"/>
      <c r="BB224" s="170"/>
      <c r="BC224" s="562"/>
      <c r="BD224" s="566">
        <f t="shared" si="776"/>
        <v>0</v>
      </c>
      <c r="BE224" s="170"/>
      <c r="BF224" s="1477"/>
      <c r="BG224" s="566">
        <f t="shared" si="777"/>
        <v>0</v>
      </c>
      <c r="BH224" s="170"/>
      <c r="BI224" s="1477"/>
      <c r="BJ224" s="566">
        <f t="shared" si="778"/>
        <v>0</v>
      </c>
      <c r="BK224" s="561"/>
      <c r="BL224" s="1477"/>
      <c r="BM224" s="566">
        <f t="shared" si="779"/>
        <v>0</v>
      </c>
      <c r="BN224" s="170"/>
      <c r="BO224" s="1477"/>
      <c r="BP224" s="566">
        <f t="shared" si="780"/>
        <v>276950</v>
      </c>
      <c r="BQ224" s="170"/>
      <c r="BR224" s="1477"/>
      <c r="BS224" s="566">
        <f t="shared" si="781"/>
        <v>649400</v>
      </c>
      <c r="BT224" s="170"/>
      <c r="BU224" s="1477"/>
      <c r="BV224" s="566">
        <f t="shared" si="782"/>
        <v>0</v>
      </c>
      <c r="BW224" s="170"/>
      <c r="BX224" s="1477"/>
      <c r="BY224" s="566">
        <f t="shared" si="783"/>
        <v>0</v>
      </c>
      <c r="BZ224" s="170"/>
      <c r="CA224" s="1477"/>
      <c r="CB224" s="566">
        <f t="shared" si="784"/>
        <v>0</v>
      </c>
      <c r="CC224" s="170"/>
      <c r="CD224" s="1477"/>
      <c r="CE224" s="566">
        <f t="shared" si="785"/>
        <v>0</v>
      </c>
      <c r="CF224" s="170"/>
      <c r="CG224" s="1477"/>
      <c r="CH224" s="566">
        <f t="shared" si="786"/>
        <v>0</v>
      </c>
      <c r="CI224" s="170"/>
      <c r="CJ224" s="562"/>
      <c r="CK224" s="566">
        <f t="shared" si="787"/>
        <v>926350</v>
      </c>
      <c r="CL224" s="566"/>
      <c r="CM224" s="170"/>
      <c r="CN224" s="170"/>
      <c r="CO224" s="382" t="str">
        <f t="shared" si="788"/>
        <v>Testing / Commissioning</v>
      </c>
      <c r="CP224" s="382"/>
      <c r="CQ224" s="385"/>
      <c r="CR224" s="382"/>
      <c r="CS224" s="385"/>
      <c r="CT224" s="567">
        <f t="shared" si="789"/>
        <v>0</v>
      </c>
      <c r="CU224" s="382"/>
      <c r="CV224" s="385"/>
      <c r="CW224" s="567">
        <f t="shared" si="790"/>
        <v>0</v>
      </c>
      <c r="CX224" s="382"/>
      <c r="CY224" s="385"/>
      <c r="CZ224" s="567">
        <f t="shared" si="791"/>
        <v>0</v>
      </c>
      <c r="DA224" s="382"/>
      <c r="DB224" s="385"/>
      <c r="DC224" s="567">
        <f t="shared" si="792"/>
        <v>0</v>
      </c>
      <c r="DD224" s="382"/>
      <c r="DE224" s="385"/>
      <c r="DF224" s="567">
        <f t="shared" si="793"/>
        <v>34552</v>
      </c>
      <c r="DG224" s="382"/>
      <c r="DH224" s="385"/>
      <c r="DI224" s="567">
        <f t="shared" si="794"/>
        <v>102932</v>
      </c>
      <c r="DJ224" s="382"/>
      <c r="DK224" s="385"/>
      <c r="DL224" s="567">
        <f t="shared" si="795"/>
        <v>0</v>
      </c>
      <c r="DM224" s="382"/>
      <c r="DN224" s="385"/>
      <c r="DO224" s="567">
        <f t="shared" si="796"/>
        <v>0</v>
      </c>
      <c r="DP224" s="382"/>
      <c r="DQ224" s="385"/>
      <c r="DR224" s="567">
        <f t="shared" si="797"/>
        <v>0</v>
      </c>
      <c r="DS224" s="382"/>
      <c r="DT224" s="385"/>
      <c r="DU224" s="567">
        <f t="shared" si="798"/>
        <v>0</v>
      </c>
      <c r="DV224" s="382"/>
      <c r="DW224" s="385"/>
      <c r="DX224" s="567">
        <f t="shared" si="799"/>
        <v>0</v>
      </c>
      <c r="DY224" s="382"/>
      <c r="DZ224" s="385"/>
      <c r="EA224" s="568">
        <f t="shared" si="800"/>
        <v>137484</v>
      </c>
      <c r="EB224" s="170"/>
      <c r="EC224" s="170"/>
      <c r="ED224" s="170"/>
      <c r="EE224" s="170"/>
      <c r="EF224" s="170"/>
      <c r="EG224" s="170"/>
      <c r="EH224" s="170"/>
      <c r="EI224" s="170"/>
      <c r="EJ224" s="170"/>
      <c r="EK224" s="170"/>
    </row>
    <row r="225" spans="1:141" ht="15" x14ac:dyDescent="0.25">
      <c r="A225" s="557"/>
      <c r="B225" s="472"/>
      <c r="C225" s="472"/>
      <c r="D225" s="472"/>
      <c r="E225" s="564">
        <v>9</v>
      </c>
      <c r="F225" s="170"/>
      <c r="G225" s="1339" t="str">
        <f>VLOOKUP(E225,Parameters!$D$159:$E$301,2)</f>
        <v>PMT Project Mgmt Team</v>
      </c>
      <c r="H225" s="1287"/>
      <c r="I225" s="1289"/>
      <c r="J225" s="1287"/>
      <c r="K225" s="1289"/>
      <c r="L225" s="1369">
        <f t="shared" si="763"/>
        <v>74262.149999999994</v>
      </c>
      <c r="M225" s="1287"/>
      <c r="N225" s="1289"/>
      <c r="O225" s="1369">
        <f t="shared" ca="1" si="764"/>
        <v>0</v>
      </c>
      <c r="P225" s="1287"/>
      <c r="Q225" s="1289"/>
      <c r="R225" s="1369">
        <f t="shared" ca="1" si="765"/>
        <v>0</v>
      </c>
      <c r="S225" s="1287"/>
      <c r="T225" s="1289"/>
      <c r="U225" s="1369">
        <f t="shared" ca="1" si="766"/>
        <v>193221</v>
      </c>
      <c r="V225" s="1287"/>
      <c r="W225" s="1289"/>
      <c r="X225" s="1369">
        <f t="shared" ca="1" si="767"/>
        <v>406636</v>
      </c>
      <c r="Y225" s="1287"/>
      <c r="Z225" s="1289"/>
      <c r="AA225" s="1369">
        <f t="shared" ca="1" si="768"/>
        <v>384267</v>
      </c>
      <c r="AB225" s="1287"/>
      <c r="AC225" s="1289"/>
      <c r="AD225" s="1369">
        <f t="shared" ca="1" si="769"/>
        <v>0</v>
      </c>
      <c r="AE225" s="1287"/>
      <c r="AF225" s="1289"/>
      <c r="AG225" s="1369">
        <f t="shared" ca="1" si="770"/>
        <v>0</v>
      </c>
      <c r="AH225" s="1287"/>
      <c r="AI225" s="1289"/>
      <c r="AJ225" s="1369">
        <f t="shared" ca="1" si="771"/>
        <v>0</v>
      </c>
      <c r="AK225" s="1287"/>
      <c r="AL225" s="1289"/>
      <c r="AM225" s="1369">
        <f t="shared" ca="1" si="772"/>
        <v>0</v>
      </c>
      <c r="AN225" s="1287"/>
      <c r="AO225" s="1289"/>
      <c r="AP225" s="1369">
        <f t="shared" ca="1" si="773"/>
        <v>0</v>
      </c>
      <c r="AQ225" s="1287"/>
      <c r="AR225" s="1289"/>
      <c r="AS225" s="1369">
        <f t="shared" ca="1" si="774"/>
        <v>1058386.1499999999</v>
      </c>
      <c r="AT225" s="1287"/>
      <c r="AU225" s="411"/>
      <c r="AV225" s="170"/>
      <c r="AW225" s="170"/>
      <c r="AX225" s="170"/>
      <c r="AY225" s="561" t="str">
        <f t="shared" si="775"/>
        <v>PMT Project Mgmt Team</v>
      </c>
      <c r="AZ225" s="561"/>
      <c r="BA225" s="562"/>
      <c r="BB225" s="170"/>
      <c r="BC225" s="562"/>
      <c r="BD225" s="566">
        <f t="shared" si="776"/>
        <v>74262.149999999994</v>
      </c>
      <c r="BE225" s="170"/>
      <c r="BF225" s="1477"/>
      <c r="BG225" s="566">
        <f t="shared" ca="1" si="777"/>
        <v>0</v>
      </c>
      <c r="BH225" s="170"/>
      <c r="BI225" s="1477"/>
      <c r="BJ225" s="566">
        <f t="shared" ca="1" si="778"/>
        <v>0</v>
      </c>
      <c r="BK225" s="561"/>
      <c r="BL225" s="1477"/>
      <c r="BM225" s="566">
        <f t="shared" ca="1" si="779"/>
        <v>176942</v>
      </c>
      <c r="BN225" s="170"/>
      <c r="BO225" s="1477"/>
      <c r="BP225" s="566">
        <f t="shared" ca="1" si="780"/>
        <v>361531.47</v>
      </c>
      <c r="BQ225" s="170"/>
      <c r="BR225" s="1477"/>
      <c r="BS225" s="566">
        <f t="shared" ca="1" si="781"/>
        <v>331693</v>
      </c>
      <c r="BT225" s="170"/>
      <c r="BU225" s="1477"/>
      <c r="BV225" s="566">
        <f t="shared" ca="1" si="782"/>
        <v>0</v>
      </c>
      <c r="BW225" s="170"/>
      <c r="BX225" s="1477"/>
      <c r="BY225" s="566">
        <f t="shared" ca="1" si="783"/>
        <v>0</v>
      </c>
      <c r="BZ225" s="170"/>
      <c r="CA225" s="1477"/>
      <c r="CB225" s="566">
        <f t="shared" ca="1" si="784"/>
        <v>0</v>
      </c>
      <c r="CC225" s="170"/>
      <c r="CD225" s="1477"/>
      <c r="CE225" s="566">
        <f t="shared" ca="1" si="785"/>
        <v>0</v>
      </c>
      <c r="CF225" s="170"/>
      <c r="CG225" s="1477"/>
      <c r="CH225" s="566">
        <f t="shared" ca="1" si="786"/>
        <v>0</v>
      </c>
      <c r="CI225" s="170"/>
      <c r="CJ225" s="562"/>
      <c r="CK225" s="566">
        <f t="shared" ca="1" si="787"/>
        <v>944428.62</v>
      </c>
      <c r="CL225" s="566"/>
      <c r="CM225" s="170"/>
      <c r="CN225" s="170"/>
      <c r="CO225" s="382" t="str">
        <f t="shared" si="788"/>
        <v>PMT Project Mgmt Team</v>
      </c>
      <c r="CP225" s="382"/>
      <c r="CQ225" s="385"/>
      <c r="CR225" s="382"/>
      <c r="CS225" s="385"/>
      <c r="CT225" s="567">
        <f t="shared" si="789"/>
        <v>0</v>
      </c>
      <c r="CU225" s="382"/>
      <c r="CV225" s="385"/>
      <c r="CW225" s="567">
        <f t="shared" ca="1" si="790"/>
        <v>0</v>
      </c>
      <c r="CX225" s="382"/>
      <c r="CY225" s="385"/>
      <c r="CZ225" s="567">
        <f t="shared" ca="1" si="791"/>
        <v>0</v>
      </c>
      <c r="DA225" s="382"/>
      <c r="DB225" s="385"/>
      <c r="DC225" s="567">
        <f t="shared" ca="1" si="792"/>
        <v>16279</v>
      </c>
      <c r="DD225" s="382"/>
      <c r="DE225" s="385"/>
      <c r="DF225" s="567">
        <f t="shared" ca="1" si="793"/>
        <v>45104.53</v>
      </c>
      <c r="DG225" s="382"/>
      <c r="DH225" s="385"/>
      <c r="DI225" s="567">
        <f t="shared" ca="1" si="794"/>
        <v>52574</v>
      </c>
      <c r="DJ225" s="382"/>
      <c r="DK225" s="385"/>
      <c r="DL225" s="567">
        <f t="shared" ca="1" si="795"/>
        <v>0</v>
      </c>
      <c r="DM225" s="382"/>
      <c r="DN225" s="385"/>
      <c r="DO225" s="567">
        <f t="shared" ca="1" si="796"/>
        <v>0</v>
      </c>
      <c r="DP225" s="382"/>
      <c r="DQ225" s="385"/>
      <c r="DR225" s="567">
        <f t="shared" ca="1" si="797"/>
        <v>0</v>
      </c>
      <c r="DS225" s="382"/>
      <c r="DT225" s="385"/>
      <c r="DU225" s="567">
        <f t="shared" ca="1" si="798"/>
        <v>0</v>
      </c>
      <c r="DV225" s="382"/>
      <c r="DW225" s="385"/>
      <c r="DX225" s="567">
        <f t="shared" ca="1" si="799"/>
        <v>0</v>
      </c>
      <c r="DY225" s="382"/>
      <c r="DZ225" s="385"/>
      <c r="EA225" s="568">
        <f t="shared" ca="1" si="800"/>
        <v>113957.53</v>
      </c>
      <c r="EB225" s="170"/>
      <c r="EC225" s="170"/>
      <c r="ED225" s="170"/>
      <c r="EE225" s="170"/>
      <c r="EF225" s="170"/>
      <c r="EG225" s="170"/>
      <c r="EH225" s="170"/>
      <c r="EI225" s="170"/>
      <c r="EJ225" s="170"/>
      <c r="EK225" s="170"/>
    </row>
    <row r="226" spans="1:141" ht="15" x14ac:dyDescent="0.25">
      <c r="A226" s="557"/>
      <c r="B226" s="472"/>
      <c r="C226" s="472"/>
      <c r="D226" s="472"/>
      <c r="E226" s="564">
        <v>10</v>
      </c>
      <c r="F226" s="170"/>
      <c r="G226" s="1339" t="str">
        <f>VLOOKUP(E226,Parameters!$D$159:$E$301,2)</f>
        <v>Removals</v>
      </c>
      <c r="H226" s="1287"/>
      <c r="I226" s="1289"/>
      <c r="J226" s="1287"/>
      <c r="K226" s="1289"/>
      <c r="L226" s="1369">
        <f t="shared" si="763"/>
        <v>0</v>
      </c>
      <c r="M226" s="1287"/>
      <c r="N226" s="1289"/>
      <c r="O226" s="1369">
        <f t="shared" ca="1" si="764"/>
        <v>0</v>
      </c>
      <c r="P226" s="1287"/>
      <c r="Q226" s="1289"/>
      <c r="R226" s="1369">
        <f t="shared" ca="1" si="765"/>
        <v>0</v>
      </c>
      <c r="S226" s="1287"/>
      <c r="T226" s="1289"/>
      <c r="U226" s="1369">
        <f t="shared" ca="1" si="766"/>
        <v>0</v>
      </c>
      <c r="V226" s="1287"/>
      <c r="W226" s="1289"/>
      <c r="X226" s="1369">
        <f t="shared" ca="1" si="767"/>
        <v>0</v>
      </c>
      <c r="Y226" s="1287"/>
      <c r="Z226" s="1289"/>
      <c r="AA226" s="1369">
        <f t="shared" ca="1" si="768"/>
        <v>0</v>
      </c>
      <c r="AB226" s="1287"/>
      <c r="AC226" s="1289"/>
      <c r="AD226" s="1369">
        <f t="shared" ca="1" si="769"/>
        <v>0</v>
      </c>
      <c r="AE226" s="1287"/>
      <c r="AF226" s="1289"/>
      <c r="AG226" s="1369">
        <f t="shared" ca="1" si="770"/>
        <v>0</v>
      </c>
      <c r="AH226" s="1287"/>
      <c r="AI226" s="1289"/>
      <c r="AJ226" s="1369">
        <f t="shared" ca="1" si="771"/>
        <v>0</v>
      </c>
      <c r="AK226" s="1287"/>
      <c r="AL226" s="1289"/>
      <c r="AM226" s="1369">
        <f t="shared" ca="1" si="772"/>
        <v>0</v>
      </c>
      <c r="AN226" s="1287"/>
      <c r="AO226" s="1289"/>
      <c r="AP226" s="1369">
        <f t="shared" ca="1" si="773"/>
        <v>0</v>
      </c>
      <c r="AQ226" s="1287"/>
      <c r="AR226" s="1289"/>
      <c r="AS226" s="1369">
        <f t="shared" ca="1" si="774"/>
        <v>0</v>
      </c>
      <c r="AT226" s="1287"/>
      <c r="AU226" s="411"/>
      <c r="AV226" s="170"/>
      <c r="AW226" s="170"/>
      <c r="AX226" s="170"/>
      <c r="AY226" s="561" t="str">
        <f t="shared" si="775"/>
        <v>Removals</v>
      </c>
      <c r="AZ226" s="561"/>
      <c r="BA226" s="562"/>
      <c r="BB226" s="170"/>
      <c r="BC226" s="562"/>
      <c r="BD226" s="566">
        <f t="shared" si="776"/>
        <v>0</v>
      </c>
      <c r="BE226" s="170"/>
      <c r="BF226" s="1477"/>
      <c r="BG226" s="566">
        <f t="shared" ca="1" si="777"/>
        <v>0</v>
      </c>
      <c r="BH226" s="170"/>
      <c r="BI226" s="1477"/>
      <c r="BJ226" s="566">
        <f t="shared" ca="1" si="778"/>
        <v>0</v>
      </c>
      <c r="BK226" s="561"/>
      <c r="BL226" s="1477"/>
      <c r="BM226" s="566">
        <f t="shared" ca="1" si="779"/>
        <v>0</v>
      </c>
      <c r="BN226" s="170"/>
      <c r="BO226" s="1477"/>
      <c r="BP226" s="566">
        <f t="shared" ca="1" si="780"/>
        <v>0</v>
      </c>
      <c r="BQ226" s="170"/>
      <c r="BR226" s="1477"/>
      <c r="BS226" s="566">
        <f t="shared" ca="1" si="781"/>
        <v>0</v>
      </c>
      <c r="BT226" s="170"/>
      <c r="BU226" s="1477"/>
      <c r="BV226" s="566">
        <f t="shared" ca="1" si="782"/>
        <v>0</v>
      </c>
      <c r="BW226" s="170"/>
      <c r="BX226" s="1477"/>
      <c r="BY226" s="566">
        <f t="shared" ca="1" si="783"/>
        <v>0</v>
      </c>
      <c r="BZ226" s="170"/>
      <c r="CA226" s="1477"/>
      <c r="CB226" s="566">
        <f t="shared" ca="1" si="784"/>
        <v>0</v>
      </c>
      <c r="CC226" s="170"/>
      <c r="CD226" s="1477"/>
      <c r="CE226" s="566">
        <f t="shared" ca="1" si="785"/>
        <v>0</v>
      </c>
      <c r="CF226" s="170"/>
      <c r="CG226" s="1477"/>
      <c r="CH226" s="566">
        <f t="shared" ca="1" si="786"/>
        <v>0</v>
      </c>
      <c r="CI226" s="170"/>
      <c r="CJ226" s="562"/>
      <c r="CK226" s="566">
        <f t="shared" ca="1" si="787"/>
        <v>0</v>
      </c>
      <c r="CL226" s="566"/>
      <c r="CM226" s="170"/>
      <c r="CN226" s="170"/>
      <c r="CO226" s="382" t="str">
        <f t="shared" si="788"/>
        <v>Removals</v>
      </c>
      <c r="CP226" s="382"/>
      <c r="CQ226" s="385"/>
      <c r="CR226" s="382"/>
      <c r="CS226" s="385"/>
      <c r="CT226" s="567">
        <f t="shared" si="789"/>
        <v>0</v>
      </c>
      <c r="CU226" s="382"/>
      <c r="CV226" s="385"/>
      <c r="CW226" s="567">
        <f t="shared" ca="1" si="790"/>
        <v>0</v>
      </c>
      <c r="CX226" s="382"/>
      <c r="CY226" s="385"/>
      <c r="CZ226" s="567">
        <f t="shared" ca="1" si="791"/>
        <v>0</v>
      </c>
      <c r="DA226" s="382"/>
      <c r="DB226" s="385"/>
      <c r="DC226" s="567">
        <f t="shared" ca="1" si="792"/>
        <v>0</v>
      </c>
      <c r="DD226" s="382"/>
      <c r="DE226" s="385"/>
      <c r="DF226" s="567">
        <f t="shared" ca="1" si="793"/>
        <v>0</v>
      </c>
      <c r="DG226" s="382"/>
      <c r="DH226" s="385"/>
      <c r="DI226" s="567">
        <f t="shared" ca="1" si="794"/>
        <v>0</v>
      </c>
      <c r="DJ226" s="382"/>
      <c r="DK226" s="385"/>
      <c r="DL226" s="567">
        <f t="shared" ca="1" si="795"/>
        <v>0</v>
      </c>
      <c r="DM226" s="382"/>
      <c r="DN226" s="385"/>
      <c r="DO226" s="567">
        <f t="shared" ca="1" si="796"/>
        <v>0</v>
      </c>
      <c r="DP226" s="382"/>
      <c r="DQ226" s="385"/>
      <c r="DR226" s="567">
        <f t="shared" ca="1" si="797"/>
        <v>0</v>
      </c>
      <c r="DS226" s="382"/>
      <c r="DT226" s="385"/>
      <c r="DU226" s="567">
        <f t="shared" ca="1" si="798"/>
        <v>0</v>
      </c>
      <c r="DV226" s="382"/>
      <c r="DW226" s="385"/>
      <c r="DX226" s="567">
        <f t="shared" ca="1" si="799"/>
        <v>0</v>
      </c>
      <c r="DY226" s="382"/>
      <c r="DZ226" s="385"/>
      <c r="EA226" s="568">
        <f t="shared" ca="1" si="800"/>
        <v>0</v>
      </c>
      <c r="EB226" s="170"/>
      <c r="EC226" s="170"/>
      <c r="ED226" s="170"/>
      <c r="EE226" s="170"/>
      <c r="EF226" s="170"/>
      <c r="EG226" s="170"/>
      <c r="EH226" s="170"/>
      <c r="EI226" s="170"/>
      <c r="EJ226" s="170"/>
      <c r="EK226" s="170"/>
    </row>
    <row r="227" spans="1:141" ht="15" x14ac:dyDescent="0.25">
      <c r="A227" s="557"/>
      <c r="B227" s="472"/>
      <c r="C227" s="472"/>
      <c r="D227" s="472"/>
      <c r="E227" s="564">
        <v>11</v>
      </c>
      <c r="F227" s="170"/>
      <c r="G227" s="1339" t="str">
        <f>VLOOKUP(E227,Parameters!$D$159:$E$301,2)</f>
        <v>Other ( property taxes and BAR)</v>
      </c>
      <c r="H227" s="1287"/>
      <c r="I227" s="1289"/>
      <c r="J227" s="1287"/>
      <c r="K227" s="1289"/>
      <c r="L227" s="1369">
        <f t="shared" si="763"/>
        <v>11094.01</v>
      </c>
      <c r="M227" s="1287"/>
      <c r="N227" s="1289"/>
      <c r="O227" s="1369">
        <f t="shared" ca="1" si="764"/>
        <v>3917</v>
      </c>
      <c r="P227" s="1287"/>
      <c r="Q227" s="1289"/>
      <c r="R227" s="1369">
        <f t="shared" ca="1" si="765"/>
        <v>7980</v>
      </c>
      <c r="S227" s="1287"/>
      <c r="T227" s="1289"/>
      <c r="U227" s="1369">
        <f t="shared" ca="1" si="766"/>
        <v>225607</v>
      </c>
      <c r="V227" s="1287"/>
      <c r="W227" s="1289"/>
      <c r="X227" s="1369">
        <f t="shared" ca="1" si="767"/>
        <v>667272</v>
      </c>
      <c r="Y227" s="1287"/>
      <c r="Z227" s="1289"/>
      <c r="AA227" s="1369">
        <f t="shared" ca="1" si="768"/>
        <v>21734</v>
      </c>
      <c r="AB227" s="1287"/>
      <c r="AC227" s="1289"/>
      <c r="AD227" s="1369">
        <f t="shared" ca="1" si="769"/>
        <v>0</v>
      </c>
      <c r="AE227" s="1287"/>
      <c r="AF227" s="1289"/>
      <c r="AG227" s="1369">
        <f t="shared" ca="1" si="770"/>
        <v>0</v>
      </c>
      <c r="AH227" s="1287"/>
      <c r="AI227" s="1289"/>
      <c r="AJ227" s="1369">
        <f t="shared" ca="1" si="771"/>
        <v>0</v>
      </c>
      <c r="AK227" s="1287"/>
      <c r="AL227" s="1289"/>
      <c r="AM227" s="1369">
        <f t="shared" ca="1" si="772"/>
        <v>0</v>
      </c>
      <c r="AN227" s="1287"/>
      <c r="AO227" s="1289"/>
      <c r="AP227" s="1369">
        <f t="shared" ca="1" si="773"/>
        <v>0</v>
      </c>
      <c r="AQ227" s="1287"/>
      <c r="AR227" s="1289"/>
      <c r="AS227" s="1369">
        <f t="shared" ca="1" si="774"/>
        <v>937604.01</v>
      </c>
      <c r="AT227" s="1287"/>
      <c r="AU227" s="411"/>
      <c r="AV227" s="170"/>
      <c r="AW227" s="170"/>
      <c r="AX227" s="170"/>
      <c r="AY227" s="561" t="str">
        <f t="shared" si="775"/>
        <v>Other ( property taxes and BAR)</v>
      </c>
      <c r="AZ227" s="561"/>
      <c r="BA227" s="562"/>
      <c r="BB227" s="170"/>
      <c r="BC227" s="562"/>
      <c r="BD227" s="566">
        <f t="shared" si="776"/>
        <v>11094.01</v>
      </c>
      <c r="BE227" s="170"/>
      <c r="BF227" s="1477"/>
      <c r="BG227" s="566">
        <f t="shared" ca="1" si="777"/>
        <v>3917.23</v>
      </c>
      <c r="BH227" s="170"/>
      <c r="BI227" s="1477"/>
      <c r="BJ227" s="566">
        <f t="shared" ca="1" si="778"/>
        <v>7600</v>
      </c>
      <c r="BK227" s="561"/>
      <c r="BL227" s="1477"/>
      <c r="BM227" s="566">
        <f t="shared" ca="1" si="779"/>
        <v>206600</v>
      </c>
      <c r="BN227" s="170"/>
      <c r="BO227" s="1477"/>
      <c r="BP227" s="566">
        <f t="shared" ca="1" si="780"/>
        <v>593257.08729000005</v>
      </c>
      <c r="BQ227" s="170"/>
      <c r="BR227" s="1477"/>
      <c r="BS227" s="566">
        <f t="shared" ca="1" si="781"/>
        <v>18760.392</v>
      </c>
      <c r="BT227" s="170"/>
      <c r="BU227" s="1477"/>
      <c r="BV227" s="566">
        <f t="shared" ca="1" si="782"/>
        <v>0</v>
      </c>
      <c r="BW227" s="170"/>
      <c r="BX227" s="1477"/>
      <c r="BY227" s="566">
        <f t="shared" ca="1" si="783"/>
        <v>0</v>
      </c>
      <c r="BZ227" s="170"/>
      <c r="CA227" s="1477"/>
      <c r="CB227" s="566">
        <f t="shared" ca="1" si="784"/>
        <v>0</v>
      </c>
      <c r="CC227" s="170"/>
      <c r="CD227" s="1477"/>
      <c r="CE227" s="566">
        <f t="shared" ca="1" si="785"/>
        <v>0</v>
      </c>
      <c r="CF227" s="170"/>
      <c r="CG227" s="1477"/>
      <c r="CH227" s="566">
        <f t="shared" ca="1" si="786"/>
        <v>0</v>
      </c>
      <c r="CI227" s="170"/>
      <c r="CJ227" s="562"/>
      <c r="CK227" s="566">
        <f t="shared" ca="1" si="787"/>
        <v>841228.71929000004</v>
      </c>
      <c r="CL227" s="566"/>
      <c r="CM227" s="170"/>
      <c r="CN227" s="170"/>
      <c r="CO227" s="382" t="str">
        <f t="shared" si="788"/>
        <v>Other ( property taxes and BAR)</v>
      </c>
      <c r="CP227" s="382"/>
      <c r="CQ227" s="385"/>
      <c r="CR227" s="382"/>
      <c r="CS227" s="385"/>
      <c r="CT227" s="567">
        <f t="shared" si="789"/>
        <v>0</v>
      </c>
      <c r="CU227" s="382"/>
      <c r="CV227" s="385"/>
      <c r="CW227" s="567">
        <f t="shared" ca="1" si="790"/>
        <v>-0.23000000000001819</v>
      </c>
      <c r="CX227" s="382"/>
      <c r="CY227" s="385"/>
      <c r="CZ227" s="567">
        <f t="shared" ca="1" si="791"/>
        <v>380</v>
      </c>
      <c r="DA227" s="382"/>
      <c r="DB227" s="385"/>
      <c r="DC227" s="567">
        <f t="shared" ca="1" si="792"/>
        <v>19007</v>
      </c>
      <c r="DD227" s="382"/>
      <c r="DE227" s="385"/>
      <c r="DF227" s="567">
        <f t="shared" ca="1" si="793"/>
        <v>74014.91270999999</v>
      </c>
      <c r="DG227" s="382"/>
      <c r="DH227" s="385"/>
      <c r="DI227" s="567">
        <f t="shared" ca="1" si="794"/>
        <v>2973.6080000000002</v>
      </c>
      <c r="DJ227" s="382"/>
      <c r="DK227" s="385"/>
      <c r="DL227" s="567">
        <f t="shared" ca="1" si="795"/>
        <v>0</v>
      </c>
      <c r="DM227" s="382"/>
      <c r="DN227" s="385"/>
      <c r="DO227" s="567">
        <f t="shared" ca="1" si="796"/>
        <v>0</v>
      </c>
      <c r="DP227" s="382"/>
      <c r="DQ227" s="385"/>
      <c r="DR227" s="567">
        <f t="shared" ca="1" si="797"/>
        <v>0</v>
      </c>
      <c r="DS227" s="382"/>
      <c r="DT227" s="385"/>
      <c r="DU227" s="567">
        <f t="shared" ca="1" si="798"/>
        <v>0</v>
      </c>
      <c r="DV227" s="382"/>
      <c r="DW227" s="385"/>
      <c r="DX227" s="567">
        <f t="shared" ca="1" si="799"/>
        <v>0</v>
      </c>
      <c r="DY227" s="382"/>
      <c r="DZ227" s="385"/>
      <c r="EA227" s="568">
        <f t="shared" ca="1" si="800"/>
        <v>96375.290710000001</v>
      </c>
      <c r="EB227" s="170"/>
      <c r="EC227" s="170"/>
      <c r="ED227" s="170"/>
      <c r="EE227" s="170"/>
      <c r="EF227" s="170"/>
      <c r="EG227" s="170"/>
      <c r="EH227" s="170"/>
      <c r="EI227" s="170"/>
      <c r="EJ227" s="170"/>
      <c r="EK227" s="170"/>
    </row>
    <row r="228" spans="1:141" ht="15" x14ac:dyDescent="0.25">
      <c r="A228" s="557"/>
      <c r="B228" s="472"/>
      <c r="C228" s="472"/>
      <c r="D228" s="472"/>
      <c r="E228" s="564">
        <v>12</v>
      </c>
      <c r="F228" s="170"/>
      <c r="G228" s="1339" t="str">
        <f>VLOOKUP(E228,Parameters!$D$159:$E$301,2)</f>
        <v>Risks</v>
      </c>
      <c r="H228" s="1287"/>
      <c r="I228" s="1289"/>
      <c r="J228" s="1287"/>
      <c r="K228" s="1289"/>
      <c r="L228" s="1369">
        <f t="shared" si="763"/>
        <v>0</v>
      </c>
      <c r="M228" s="1287"/>
      <c r="N228" s="1289"/>
      <c r="O228" s="1369">
        <f t="shared" si="764"/>
        <v>0</v>
      </c>
      <c r="P228" s="1287"/>
      <c r="Q228" s="1289"/>
      <c r="R228" s="1369">
        <f t="shared" si="765"/>
        <v>0</v>
      </c>
      <c r="S228" s="1287"/>
      <c r="T228" s="1289"/>
      <c r="U228" s="1369">
        <f t="shared" si="766"/>
        <v>900000</v>
      </c>
      <c r="V228" s="1287"/>
      <c r="W228" s="1289"/>
      <c r="X228" s="1369">
        <f t="shared" si="767"/>
        <v>1650000</v>
      </c>
      <c r="Y228" s="1287"/>
      <c r="Z228" s="1289"/>
      <c r="AA228" s="1369">
        <f t="shared" si="768"/>
        <v>1400000</v>
      </c>
      <c r="AB228" s="1287"/>
      <c r="AC228" s="1289"/>
      <c r="AD228" s="1369">
        <f t="shared" si="769"/>
        <v>0</v>
      </c>
      <c r="AE228" s="1287"/>
      <c r="AF228" s="1289"/>
      <c r="AG228" s="1369">
        <f t="shared" si="770"/>
        <v>0</v>
      </c>
      <c r="AH228" s="1287"/>
      <c r="AI228" s="1289"/>
      <c r="AJ228" s="1369">
        <f t="shared" si="771"/>
        <v>0</v>
      </c>
      <c r="AK228" s="1287"/>
      <c r="AL228" s="1289"/>
      <c r="AM228" s="1369">
        <f t="shared" si="772"/>
        <v>0</v>
      </c>
      <c r="AN228" s="1287"/>
      <c r="AO228" s="1289"/>
      <c r="AP228" s="1369">
        <f t="shared" si="773"/>
        <v>0</v>
      </c>
      <c r="AQ228" s="1287"/>
      <c r="AR228" s="1289"/>
      <c r="AS228" s="1369">
        <f t="shared" si="774"/>
        <v>3950000</v>
      </c>
      <c r="AT228" s="1287"/>
      <c r="AU228" s="411"/>
      <c r="AV228" s="170"/>
      <c r="AW228" s="170"/>
      <c r="AX228" s="170"/>
      <c r="AY228" s="561" t="str">
        <f t="shared" si="775"/>
        <v>Risks</v>
      </c>
      <c r="AZ228" s="561"/>
      <c r="BA228" s="562"/>
      <c r="BB228" s="170"/>
      <c r="BC228" s="562"/>
      <c r="BD228" s="566">
        <f t="shared" si="776"/>
        <v>0</v>
      </c>
      <c r="BE228" s="170"/>
      <c r="BF228" s="1477"/>
      <c r="BG228" s="566">
        <f t="shared" si="777"/>
        <v>0</v>
      </c>
      <c r="BH228" s="170"/>
      <c r="BI228" s="1477"/>
      <c r="BJ228" s="566">
        <f t="shared" si="778"/>
        <v>0</v>
      </c>
      <c r="BK228" s="561"/>
      <c r="BL228" s="1477"/>
      <c r="BM228" s="566">
        <f t="shared" si="779"/>
        <v>900000</v>
      </c>
      <c r="BN228" s="170"/>
      <c r="BO228" s="1477"/>
      <c r="BP228" s="566">
        <f t="shared" si="780"/>
        <v>1650000</v>
      </c>
      <c r="BQ228" s="170"/>
      <c r="BR228" s="1477"/>
      <c r="BS228" s="566">
        <f t="shared" si="781"/>
        <v>1400000</v>
      </c>
      <c r="BT228" s="170"/>
      <c r="BU228" s="1477"/>
      <c r="BV228" s="566">
        <f t="shared" si="782"/>
        <v>0</v>
      </c>
      <c r="BW228" s="170"/>
      <c r="BX228" s="1477"/>
      <c r="BY228" s="566">
        <f t="shared" si="783"/>
        <v>0</v>
      </c>
      <c r="BZ228" s="170"/>
      <c r="CA228" s="1477"/>
      <c r="CB228" s="566">
        <f t="shared" si="784"/>
        <v>0</v>
      </c>
      <c r="CC228" s="170"/>
      <c r="CD228" s="1477"/>
      <c r="CE228" s="566">
        <f t="shared" si="785"/>
        <v>0</v>
      </c>
      <c r="CF228" s="170"/>
      <c r="CG228" s="1477"/>
      <c r="CH228" s="566">
        <f t="shared" si="786"/>
        <v>0</v>
      </c>
      <c r="CI228" s="170"/>
      <c r="CJ228" s="562"/>
      <c r="CK228" s="566">
        <f t="shared" si="787"/>
        <v>3950000</v>
      </c>
      <c r="CL228" s="566"/>
      <c r="CM228" s="170"/>
      <c r="CN228" s="170"/>
      <c r="CO228" s="382" t="str">
        <f t="shared" si="788"/>
        <v>Risks</v>
      </c>
      <c r="CP228" s="382"/>
      <c r="CQ228" s="385"/>
      <c r="CR228" s="382"/>
      <c r="CS228" s="385"/>
      <c r="CT228" s="567">
        <f t="shared" si="789"/>
        <v>0</v>
      </c>
      <c r="CU228" s="382"/>
      <c r="CV228" s="385"/>
      <c r="CW228" s="567">
        <f t="shared" si="790"/>
        <v>0</v>
      </c>
      <c r="CX228" s="382"/>
      <c r="CY228" s="385"/>
      <c r="CZ228" s="567">
        <f t="shared" si="791"/>
        <v>0</v>
      </c>
      <c r="DA228" s="382"/>
      <c r="DB228" s="385"/>
      <c r="DC228" s="567">
        <f t="shared" si="792"/>
        <v>0</v>
      </c>
      <c r="DD228" s="382"/>
      <c r="DE228" s="385"/>
      <c r="DF228" s="567">
        <f t="shared" si="793"/>
        <v>0</v>
      </c>
      <c r="DG228" s="382"/>
      <c r="DH228" s="385"/>
      <c r="DI228" s="567">
        <f t="shared" si="794"/>
        <v>0</v>
      </c>
      <c r="DJ228" s="382"/>
      <c r="DK228" s="385"/>
      <c r="DL228" s="567">
        <f t="shared" si="795"/>
        <v>0</v>
      </c>
      <c r="DM228" s="382"/>
      <c r="DN228" s="385"/>
      <c r="DO228" s="567">
        <f t="shared" si="796"/>
        <v>0</v>
      </c>
      <c r="DP228" s="382"/>
      <c r="DQ228" s="385"/>
      <c r="DR228" s="567">
        <f t="shared" si="797"/>
        <v>0</v>
      </c>
      <c r="DS228" s="382"/>
      <c r="DT228" s="385"/>
      <c r="DU228" s="567">
        <f t="shared" si="798"/>
        <v>0</v>
      </c>
      <c r="DV228" s="382"/>
      <c r="DW228" s="385"/>
      <c r="DX228" s="567">
        <f t="shared" si="799"/>
        <v>0</v>
      </c>
      <c r="DY228" s="382"/>
      <c r="DZ228" s="385"/>
      <c r="EA228" s="568">
        <f t="shared" si="800"/>
        <v>0</v>
      </c>
      <c r="EB228" s="170"/>
      <c r="EC228" s="170"/>
      <c r="ED228" s="170"/>
      <c r="EE228" s="170"/>
      <c r="EF228" s="170"/>
      <c r="EG228" s="170"/>
      <c r="EH228" s="170"/>
      <c r="EI228" s="170"/>
      <c r="EJ228" s="170"/>
      <c r="EK228" s="170"/>
    </row>
    <row r="229" spans="1:141" ht="15" x14ac:dyDescent="0.25">
      <c r="A229" s="557"/>
      <c r="B229" s="472"/>
      <c r="C229" s="472"/>
      <c r="D229" s="472"/>
      <c r="E229" s="564">
        <v>13</v>
      </c>
      <c r="F229" s="170"/>
      <c r="G229" s="1339" t="str">
        <f>VLOOKUP(E229,Parameters!$D$159:$E$301,2)</f>
        <v>Indirects/Overhead</v>
      </c>
      <c r="H229" s="1287"/>
      <c r="I229" s="1289"/>
      <c r="J229" s="1287"/>
      <c r="K229" s="1289"/>
      <c r="L229" s="1369">
        <f t="shared" si="763"/>
        <v>209080.81</v>
      </c>
      <c r="M229" s="1287"/>
      <c r="N229" s="1289"/>
      <c r="O229" s="1369">
        <f t="shared" ca="1" si="764"/>
        <v>35</v>
      </c>
      <c r="P229" s="1287"/>
      <c r="Q229" s="1289"/>
      <c r="R229" s="1369">
        <f t="shared" ca="1" si="765"/>
        <v>71</v>
      </c>
      <c r="S229" s="1287"/>
      <c r="T229" s="1289"/>
      <c r="U229" s="1369">
        <f t="shared" ca="1" si="766"/>
        <v>1433359</v>
      </c>
      <c r="V229" s="1287"/>
      <c r="W229" s="1289"/>
      <c r="X229" s="1369">
        <f t="shared" ca="1" si="767"/>
        <v>4242474</v>
      </c>
      <c r="Y229" s="1287"/>
      <c r="Z229" s="1289"/>
      <c r="AA229" s="1369">
        <f t="shared" ca="1" si="768"/>
        <v>2595678</v>
      </c>
      <c r="AB229" s="1287"/>
      <c r="AC229" s="1289"/>
      <c r="AD229" s="1369">
        <f t="shared" ca="1" si="769"/>
        <v>0</v>
      </c>
      <c r="AE229" s="1287"/>
      <c r="AF229" s="1289"/>
      <c r="AG229" s="1369">
        <f t="shared" ca="1" si="770"/>
        <v>0</v>
      </c>
      <c r="AH229" s="1287"/>
      <c r="AI229" s="1289"/>
      <c r="AJ229" s="1369">
        <f t="shared" ca="1" si="771"/>
        <v>0</v>
      </c>
      <c r="AK229" s="1287"/>
      <c r="AL229" s="1289"/>
      <c r="AM229" s="1369">
        <f t="shared" ca="1" si="772"/>
        <v>0</v>
      </c>
      <c r="AN229" s="1287"/>
      <c r="AO229" s="1289"/>
      <c r="AP229" s="1369">
        <f t="shared" ca="1" si="773"/>
        <v>0</v>
      </c>
      <c r="AQ229" s="1287"/>
      <c r="AR229" s="1289"/>
      <c r="AS229" s="1369">
        <f t="shared" ca="1" si="774"/>
        <v>8480697.8099999987</v>
      </c>
      <c r="AT229" s="1287"/>
      <c r="AU229" s="411"/>
      <c r="AV229" s="170"/>
      <c r="AW229" s="170"/>
      <c r="AX229" s="170"/>
      <c r="AY229" s="561" t="str">
        <f t="shared" si="775"/>
        <v>Indirects/Overhead</v>
      </c>
      <c r="AZ229" s="561"/>
      <c r="BA229" s="562"/>
      <c r="BB229" s="170"/>
      <c r="BC229" s="562"/>
      <c r="BD229" s="566">
        <f t="shared" si="776"/>
        <v>209080.81</v>
      </c>
      <c r="BE229" s="170"/>
      <c r="BF229" s="1477"/>
      <c r="BG229" s="566">
        <f t="shared" ca="1" si="777"/>
        <v>35</v>
      </c>
      <c r="BH229" s="170"/>
      <c r="BI229" s="1477"/>
      <c r="BJ229" s="566">
        <f t="shared" ca="1" si="778"/>
        <v>68</v>
      </c>
      <c r="BK229" s="561"/>
      <c r="BL229" s="1477"/>
      <c r="BM229" s="566">
        <f t="shared" ca="1" si="779"/>
        <v>1312599.05</v>
      </c>
      <c r="BN229" s="170"/>
      <c r="BO229" s="1477"/>
      <c r="BP229" s="566">
        <f t="shared" ca="1" si="780"/>
        <v>3771894</v>
      </c>
      <c r="BQ229" s="170"/>
      <c r="BR229" s="1477"/>
      <c r="BS229" s="566">
        <f t="shared" ca="1" si="781"/>
        <v>2240546</v>
      </c>
      <c r="BT229" s="170"/>
      <c r="BU229" s="1477"/>
      <c r="BV229" s="566">
        <f t="shared" ca="1" si="782"/>
        <v>0</v>
      </c>
      <c r="BW229" s="170"/>
      <c r="BX229" s="1477"/>
      <c r="BY229" s="566">
        <f t="shared" ca="1" si="783"/>
        <v>0</v>
      </c>
      <c r="BZ229" s="170"/>
      <c r="CA229" s="1477"/>
      <c r="CB229" s="566">
        <f t="shared" ca="1" si="784"/>
        <v>0</v>
      </c>
      <c r="CC229" s="170"/>
      <c r="CD229" s="1477"/>
      <c r="CE229" s="566">
        <f t="shared" ca="1" si="785"/>
        <v>0</v>
      </c>
      <c r="CF229" s="170"/>
      <c r="CG229" s="1477"/>
      <c r="CH229" s="566">
        <f t="shared" ca="1" si="786"/>
        <v>0</v>
      </c>
      <c r="CI229" s="170"/>
      <c r="CJ229" s="562"/>
      <c r="CK229" s="566">
        <f t="shared" ca="1" si="787"/>
        <v>7534222.8599999994</v>
      </c>
      <c r="CL229" s="566"/>
      <c r="CM229" s="170"/>
      <c r="CN229" s="170"/>
      <c r="CO229" s="382" t="str">
        <f t="shared" si="788"/>
        <v>Indirects/Overhead</v>
      </c>
      <c r="CP229" s="382"/>
      <c r="CQ229" s="385"/>
      <c r="CR229" s="382"/>
      <c r="CS229" s="385"/>
      <c r="CT229" s="567">
        <f t="shared" si="789"/>
        <v>0</v>
      </c>
      <c r="CU229" s="382"/>
      <c r="CV229" s="385"/>
      <c r="CW229" s="567">
        <f t="shared" ca="1" si="790"/>
        <v>0</v>
      </c>
      <c r="CX229" s="382"/>
      <c r="CY229" s="385"/>
      <c r="CZ229" s="567">
        <f t="shared" ca="1" si="791"/>
        <v>3</v>
      </c>
      <c r="DA229" s="382"/>
      <c r="DB229" s="385"/>
      <c r="DC229" s="567">
        <f t="shared" ca="1" si="792"/>
        <v>120759.95</v>
      </c>
      <c r="DD229" s="382"/>
      <c r="DE229" s="385"/>
      <c r="DF229" s="567">
        <f t="shared" ca="1" si="793"/>
        <v>470580</v>
      </c>
      <c r="DG229" s="382"/>
      <c r="DH229" s="385"/>
      <c r="DI229" s="567">
        <f t="shared" ca="1" si="794"/>
        <v>355132</v>
      </c>
      <c r="DJ229" s="382"/>
      <c r="DK229" s="385"/>
      <c r="DL229" s="567">
        <f t="shared" ca="1" si="795"/>
        <v>0</v>
      </c>
      <c r="DM229" s="382"/>
      <c r="DN229" s="385"/>
      <c r="DO229" s="567">
        <f t="shared" ca="1" si="796"/>
        <v>0</v>
      </c>
      <c r="DP229" s="382"/>
      <c r="DQ229" s="385"/>
      <c r="DR229" s="567">
        <f t="shared" ca="1" si="797"/>
        <v>0</v>
      </c>
      <c r="DS229" s="382"/>
      <c r="DT229" s="385"/>
      <c r="DU229" s="567">
        <f t="shared" ca="1" si="798"/>
        <v>0</v>
      </c>
      <c r="DV229" s="382"/>
      <c r="DW229" s="385"/>
      <c r="DX229" s="567">
        <f t="shared" ca="1" si="799"/>
        <v>0</v>
      </c>
      <c r="DY229" s="382"/>
      <c r="DZ229" s="385"/>
      <c r="EA229" s="568">
        <f t="shared" ca="1" si="800"/>
        <v>946474.95</v>
      </c>
      <c r="EB229" s="170"/>
      <c r="EC229" s="170"/>
      <c r="ED229" s="170"/>
      <c r="EE229" s="170"/>
      <c r="EF229" s="170"/>
      <c r="EG229" s="170"/>
      <c r="EH229" s="170"/>
      <c r="EI229" s="170"/>
      <c r="EJ229" s="170"/>
      <c r="EK229" s="170"/>
    </row>
    <row r="230" spans="1:141" ht="15" x14ac:dyDescent="0.25">
      <c r="A230" s="557"/>
      <c r="B230" s="472"/>
      <c r="C230" s="472"/>
      <c r="D230" s="472"/>
      <c r="E230" s="564">
        <v>14</v>
      </c>
      <c r="F230" s="170"/>
      <c r="G230" s="1339" t="str">
        <f>VLOOKUP(E230,Parameters!$D$159:$E$301,2)</f>
        <v>AFUDC</v>
      </c>
      <c r="H230" s="1287"/>
      <c r="I230" s="1289"/>
      <c r="J230" s="1287"/>
      <c r="K230" s="1289"/>
      <c r="L230" s="1369">
        <f t="shared" si="763"/>
        <v>25374.34</v>
      </c>
      <c r="M230" s="1287"/>
      <c r="N230" s="1289"/>
      <c r="O230" s="1369">
        <f t="shared" ca="1" si="764"/>
        <v>1077</v>
      </c>
      <c r="P230" s="1287"/>
      <c r="Q230" s="1289"/>
      <c r="R230" s="1369">
        <f t="shared" ca="1" si="765"/>
        <v>26933</v>
      </c>
      <c r="S230" s="1287"/>
      <c r="T230" s="1289"/>
      <c r="U230" s="1369">
        <f t="shared" ca="1" si="766"/>
        <v>460696</v>
      </c>
      <c r="V230" s="1287"/>
      <c r="W230" s="1289"/>
      <c r="X230" s="1369">
        <f t="shared" si="767"/>
        <v>1660900</v>
      </c>
      <c r="Y230" s="1287"/>
      <c r="Z230" s="1289"/>
      <c r="AA230" s="1369">
        <f t="shared" si="768"/>
        <v>657500</v>
      </c>
      <c r="AB230" s="1287"/>
      <c r="AC230" s="1289"/>
      <c r="AD230" s="1369">
        <f t="shared" ca="1" si="769"/>
        <v>0</v>
      </c>
      <c r="AE230" s="1287"/>
      <c r="AF230" s="1289"/>
      <c r="AG230" s="1369">
        <f t="shared" ca="1" si="770"/>
        <v>0</v>
      </c>
      <c r="AH230" s="1287"/>
      <c r="AI230" s="1289"/>
      <c r="AJ230" s="1369">
        <f t="shared" ca="1" si="771"/>
        <v>0</v>
      </c>
      <c r="AK230" s="1287"/>
      <c r="AL230" s="1289"/>
      <c r="AM230" s="1369">
        <f t="shared" ca="1" si="772"/>
        <v>0</v>
      </c>
      <c r="AN230" s="1287"/>
      <c r="AO230" s="1289"/>
      <c r="AP230" s="1369">
        <f t="shared" ca="1" si="773"/>
        <v>0</v>
      </c>
      <c r="AQ230" s="1287"/>
      <c r="AR230" s="1289"/>
      <c r="AS230" s="1369">
        <f t="shared" ca="1" si="774"/>
        <v>2832480.34</v>
      </c>
      <c r="AT230" s="1287"/>
      <c r="AU230" s="411"/>
      <c r="AV230" s="170"/>
      <c r="AW230" s="170"/>
      <c r="AX230" s="170"/>
      <c r="AY230" s="561" t="str">
        <f t="shared" si="775"/>
        <v>AFUDC</v>
      </c>
      <c r="AZ230" s="561"/>
      <c r="BA230" s="562"/>
      <c r="BB230" s="170"/>
      <c r="BC230" s="562"/>
      <c r="BD230" s="566">
        <f t="shared" si="776"/>
        <v>25374.34</v>
      </c>
      <c r="BE230" s="170"/>
      <c r="BF230" s="1477"/>
      <c r="BG230" s="566">
        <f t="shared" ca="1" si="777"/>
        <v>1076.6599999999999</v>
      </c>
      <c r="BH230" s="170"/>
      <c r="BI230" s="1477"/>
      <c r="BJ230" s="566">
        <f t="shared" ca="1" si="778"/>
        <v>26933</v>
      </c>
      <c r="BK230" s="561"/>
      <c r="BL230" s="1477"/>
      <c r="BM230" s="566">
        <f t="shared" ca="1" si="779"/>
        <v>460696</v>
      </c>
      <c r="BN230" s="170"/>
      <c r="BO230" s="1477"/>
      <c r="BP230" s="566">
        <f t="shared" si="780"/>
        <v>1660900</v>
      </c>
      <c r="BQ230" s="170"/>
      <c r="BR230" s="1477"/>
      <c r="BS230" s="566">
        <f t="shared" si="781"/>
        <v>657500</v>
      </c>
      <c r="BT230" s="170"/>
      <c r="BU230" s="1477"/>
      <c r="BV230" s="566">
        <f t="shared" ca="1" si="782"/>
        <v>0</v>
      </c>
      <c r="BW230" s="170"/>
      <c r="BX230" s="1477"/>
      <c r="BY230" s="566">
        <f t="shared" ca="1" si="783"/>
        <v>0</v>
      </c>
      <c r="BZ230" s="170"/>
      <c r="CA230" s="1477"/>
      <c r="CB230" s="566">
        <f t="shared" ca="1" si="784"/>
        <v>0</v>
      </c>
      <c r="CC230" s="170"/>
      <c r="CD230" s="1477"/>
      <c r="CE230" s="566">
        <f t="shared" ca="1" si="785"/>
        <v>0</v>
      </c>
      <c r="CF230" s="170"/>
      <c r="CG230" s="1477"/>
      <c r="CH230" s="566">
        <f t="shared" ca="1" si="786"/>
        <v>0</v>
      </c>
      <c r="CI230" s="170"/>
      <c r="CJ230" s="562"/>
      <c r="CK230" s="566">
        <f t="shared" ca="1" si="787"/>
        <v>2832480</v>
      </c>
      <c r="CL230" s="566"/>
      <c r="CM230" s="170"/>
      <c r="CN230" s="170"/>
      <c r="CO230" s="382" t="str">
        <f t="shared" si="788"/>
        <v>AFUDC</v>
      </c>
      <c r="CP230" s="382"/>
      <c r="CQ230" s="385"/>
      <c r="CR230" s="382"/>
      <c r="CS230" s="385"/>
      <c r="CT230" s="567">
        <f t="shared" si="789"/>
        <v>0</v>
      </c>
      <c r="CU230" s="382"/>
      <c r="CV230" s="385"/>
      <c r="CW230" s="567">
        <f t="shared" ca="1" si="790"/>
        <v>0.34000000000014552</v>
      </c>
      <c r="CX230" s="382"/>
      <c r="CY230" s="385"/>
      <c r="CZ230" s="567">
        <f t="shared" si="791"/>
        <v>0</v>
      </c>
      <c r="DA230" s="382"/>
      <c r="DB230" s="385"/>
      <c r="DC230" s="567">
        <f t="shared" si="792"/>
        <v>0</v>
      </c>
      <c r="DD230" s="382"/>
      <c r="DE230" s="385"/>
      <c r="DF230" s="567">
        <f t="shared" si="793"/>
        <v>0</v>
      </c>
      <c r="DG230" s="382"/>
      <c r="DH230" s="385"/>
      <c r="DI230" s="567">
        <f t="shared" si="794"/>
        <v>0</v>
      </c>
      <c r="DJ230" s="382"/>
      <c r="DK230" s="385"/>
      <c r="DL230" s="567">
        <f t="shared" si="795"/>
        <v>0</v>
      </c>
      <c r="DM230" s="382"/>
      <c r="DN230" s="385"/>
      <c r="DO230" s="567">
        <f t="shared" si="796"/>
        <v>0</v>
      </c>
      <c r="DP230" s="382"/>
      <c r="DQ230" s="385"/>
      <c r="DR230" s="567">
        <f t="shared" si="797"/>
        <v>0</v>
      </c>
      <c r="DS230" s="382"/>
      <c r="DT230" s="385"/>
      <c r="DU230" s="567">
        <f t="shared" si="798"/>
        <v>0</v>
      </c>
      <c r="DV230" s="382"/>
      <c r="DW230" s="385"/>
      <c r="DX230" s="567">
        <f t="shared" si="799"/>
        <v>0</v>
      </c>
      <c r="DY230" s="382"/>
      <c r="DZ230" s="385"/>
      <c r="EA230" s="568">
        <f t="shared" ca="1" si="800"/>
        <v>0.34000000000014552</v>
      </c>
      <c r="EB230" s="170"/>
      <c r="EC230" s="170"/>
      <c r="ED230" s="170"/>
      <c r="EE230" s="170"/>
      <c r="EF230" s="170"/>
      <c r="EG230" s="170"/>
      <c r="EH230" s="170"/>
      <c r="EI230" s="170"/>
      <c r="EJ230" s="170"/>
      <c r="EK230" s="170"/>
    </row>
    <row r="231" spans="1:141" ht="15" x14ac:dyDescent="0.25">
      <c r="A231" s="557"/>
      <c r="B231" s="472"/>
      <c r="C231" s="472"/>
      <c r="D231" s="472"/>
      <c r="E231" s="564">
        <v>15</v>
      </c>
      <c r="F231" s="170"/>
      <c r="G231" s="1339" t="str">
        <f>VLOOKUP(E231,Parameters!$D$159:$E$301,2)</f>
        <v>Contingency</v>
      </c>
      <c r="H231" s="1287"/>
      <c r="I231" s="1289"/>
      <c r="J231" s="1287"/>
      <c r="K231" s="1289"/>
      <c r="L231" s="1369">
        <f t="shared" si="763"/>
        <v>0</v>
      </c>
      <c r="M231" s="1287"/>
      <c r="N231" s="1289"/>
      <c r="O231" s="1369">
        <f t="shared" ca="1" si="764"/>
        <v>0</v>
      </c>
      <c r="P231" s="1287"/>
      <c r="Q231" s="1289"/>
      <c r="R231" s="1369">
        <f t="shared" ca="1" si="765"/>
        <v>0</v>
      </c>
      <c r="S231" s="1287"/>
      <c r="T231" s="1289"/>
      <c r="U231" s="1369">
        <f t="shared" ca="1" si="766"/>
        <v>775869.385116547</v>
      </c>
      <c r="V231" s="1287"/>
      <c r="W231" s="1289"/>
      <c r="X231" s="1369">
        <f t="shared" ca="1" si="767"/>
        <v>942315.50801654707</v>
      </c>
      <c r="Y231" s="1287"/>
      <c r="Z231" s="1289"/>
      <c r="AA231" s="1369">
        <f t="shared" ca="1" si="768"/>
        <v>123606.44</v>
      </c>
      <c r="AB231" s="1287"/>
      <c r="AC231" s="1289"/>
      <c r="AD231" s="1369">
        <f t="shared" ca="1" si="769"/>
        <v>0</v>
      </c>
      <c r="AE231" s="1287"/>
      <c r="AF231" s="1289"/>
      <c r="AG231" s="1369">
        <f t="shared" ca="1" si="770"/>
        <v>0</v>
      </c>
      <c r="AH231" s="1287"/>
      <c r="AI231" s="1289"/>
      <c r="AJ231" s="1369">
        <f t="shared" ca="1" si="771"/>
        <v>0</v>
      </c>
      <c r="AK231" s="1287"/>
      <c r="AL231" s="1289"/>
      <c r="AM231" s="1369">
        <f t="shared" ca="1" si="772"/>
        <v>0</v>
      </c>
      <c r="AN231" s="1287"/>
      <c r="AO231" s="1289"/>
      <c r="AP231" s="1369">
        <f t="shared" ca="1" si="773"/>
        <v>0</v>
      </c>
      <c r="AQ231" s="1287"/>
      <c r="AR231" s="1289"/>
      <c r="AS231" s="1369">
        <f t="shared" ca="1" si="774"/>
        <v>1841791.333133094</v>
      </c>
      <c r="AT231" s="1287"/>
      <c r="AU231" s="411"/>
      <c r="AV231" s="170"/>
      <c r="AW231" s="170"/>
      <c r="AX231" s="170"/>
      <c r="AY231" s="561" t="str">
        <f t="shared" si="775"/>
        <v>Contingency</v>
      </c>
      <c r="AZ231" s="561"/>
      <c r="BA231" s="562"/>
      <c r="BB231" s="170"/>
      <c r="BC231" s="562"/>
      <c r="BD231" s="566">
        <f t="shared" si="776"/>
        <v>0</v>
      </c>
      <c r="BE231" s="170"/>
      <c r="BF231" s="1477"/>
      <c r="BG231" s="566">
        <f t="shared" ca="1" si="777"/>
        <v>0</v>
      </c>
      <c r="BH231" s="170"/>
      <c r="BI231" s="1477"/>
      <c r="BJ231" s="566">
        <f t="shared" ca="1" si="778"/>
        <v>0</v>
      </c>
      <c r="BK231" s="561"/>
      <c r="BL231" s="1477"/>
      <c r="BM231" s="566">
        <f t="shared" ca="1" si="779"/>
        <v>775869.385116547</v>
      </c>
      <c r="BN231" s="170"/>
      <c r="BO231" s="1477"/>
      <c r="BP231" s="566">
        <f t="shared" ca="1" si="780"/>
        <v>942315.50801654707</v>
      </c>
      <c r="BQ231" s="170"/>
      <c r="BR231" s="1477"/>
      <c r="BS231" s="566">
        <f t="shared" ca="1" si="781"/>
        <v>123606.44</v>
      </c>
      <c r="BT231" s="170"/>
      <c r="BU231" s="1477"/>
      <c r="BV231" s="566">
        <f t="shared" ca="1" si="782"/>
        <v>0</v>
      </c>
      <c r="BW231" s="170"/>
      <c r="BX231" s="1477"/>
      <c r="BY231" s="566">
        <f t="shared" ca="1" si="783"/>
        <v>0</v>
      </c>
      <c r="BZ231" s="170"/>
      <c r="CA231" s="1477"/>
      <c r="CB231" s="566">
        <f t="shared" ca="1" si="784"/>
        <v>0</v>
      </c>
      <c r="CC231" s="170"/>
      <c r="CD231" s="1477"/>
      <c r="CE231" s="566">
        <f t="shared" ca="1" si="785"/>
        <v>0</v>
      </c>
      <c r="CF231" s="170"/>
      <c r="CG231" s="1477"/>
      <c r="CH231" s="566">
        <f t="shared" ca="1" si="786"/>
        <v>0</v>
      </c>
      <c r="CI231" s="170"/>
      <c r="CJ231" s="562"/>
      <c r="CK231" s="566">
        <f t="shared" ca="1" si="787"/>
        <v>1841791.333133094</v>
      </c>
      <c r="CL231" s="566"/>
      <c r="CM231" s="170"/>
      <c r="CN231" s="170"/>
      <c r="CO231" s="382" t="str">
        <f t="shared" si="788"/>
        <v>Contingency</v>
      </c>
      <c r="CP231" s="382"/>
      <c r="CQ231" s="385"/>
      <c r="CR231" s="382"/>
      <c r="CS231" s="385"/>
      <c r="CT231" s="567">
        <f t="shared" si="789"/>
        <v>0</v>
      </c>
      <c r="CU231" s="382"/>
      <c r="CV231" s="385"/>
      <c r="CW231" s="567">
        <f t="shared" ca="1" si="790"/>
        <v>0</v>
      </c>
      <c r="CX231" s="382"/>
      <c r="CY231" s="385"/>
      <c r="CZ231" s="567">
        <f t="shared" si="791"/>
        <v>0</v>
      </c>
      <c r="DA231" s="382"/>
      <c r="DB231" s="385"/>
      <c r="DC231" s="567">
        <f t="shared" si="792"/>
        <v>0</v>
      </c>
      <c r="DD231" s="382"/>
      <c r="DE231" s="385"/>
      <c r="DF231" s="567">
        <f t="shared" si="793"/>
        <v>0</v>
      </c>
      <c r="DG231" s="382"/>
      <c r="DH231" s="385"/>
      <c r="DI231" s="567">
        <f t="shared" si="794"/>
        <v>0</v>
      </c>
      <c r="DJ231" s="382"/>
      <c r="DK231" s="385"/>
      <c r="DL231" s="567">
        <f t="shared" si="795"/>
        <v>0</v>
      </c>
      <c r="DM231" s="382"/>
      <c r="DN231" s="385"/>
      <c r="DO231" s="567">
        <f t="shared" si="796"/>
        <v>0</v>
      </c>
      <c r="DP231" s="382"/>
      <c r="DQ231" s="385"/>
      <c r="DR231" s="567">
        <f t="shared" si="797"/>
        <v>0</v>
      </c>
      <c r="DS231" s="382"/>
      <c r="DT231" s="385"/>
      <c r="DU231" s="567">
        <f t="shared" si="798"/>
        <v>0</v>
      </c>
      <c r="DV231" s="382"/>
      <c r="DW231" s="385"/>
      <c r="DX231" s="567">
        <f t="shared" si="799"/>
        <v>0</v>
      </c>
      <c r="DY231" s="382"/>
      <c r="DZ231" s="385"/>
      <c r="EA231" s="568">
        <f t="shared" ca="1" si="800"/>
        <v>0</v>
      </c>
      <c r="EB231" s="170"/>
      <c r="EC231" s="170"/>
      <c r="ED231" s="170"/>
      <c r="EE231" s="170"/>
      <c r="EF231" s="170"/>
      <c r="EG231" s="170"/>
      <c r="EH231" s="170"/>
      <c r="EI231" s="170"/>
      <c r="EJ231" s="170"/>
      <c r="EK231" s="170"/>
    </row>
    <row r="232" spans="1:141" ht="15" x14ac:dyDescent="0.25">
      <c r="A232" s="557"/>
      <c r="B232" s="472"/>
      <c r="C232" s="472"/>
      <c r="D232" s="472"/>
      <c r="E232" s="564">
        <v>16</v>
      </c>
      <c r="F232" s="170"/>
      <c r="G232" s="1339" t="str">
        <f>VLOOKUP(E232,Parameters!$D$159:$E$301,2)</f>
        <v>Reimbursables/Customer Contribution</v>
      </c>
      <c r="H232" s="1287"/>
      <c r="I232" s="1289"/>
      <c r="J232" s="1287"/>
      <c r="K232" s="1289"/>
      <c r="L232" s="1369">
        <f t="shared" si="763"/>
        <v>0</v>
      </c>
      <c r="M232" s="1287"/>
      <c r="N232" s="1289"/>
      <c r="O232" s="1369">
        <f t="shared" ca="1" si="764"/>
        <v>0</v>
      </c>
      <c r="P232" s="1287"/>
      <c r="Q232" s="1289"/>
      <c r="R232" s="1369">
        <f t="shared" ca="1" si="765"/>
        <v>0</v>
      </c>
      <c r="S232" s="1287"/>
      <c r="T232" s="1289"/>
      <c r="U232" s="1369">
        <f t="shared" ca="1" si="766"/>
        <v>0</v>
      </c>
      <c r="V232" s="1287"/>
      <c r="W232" s="1289"/>
      <c r="X232" s="1369">
        <f t="shared" ca="1" si="767"/>
        <v>0</v>
      </c>
      <c r="Y232" s="1287"/>
      <c r="Z232" s="1289"/>
      <c r="AA232" s="1369">
        <f t="shared" ca="1" si="768"/>
        <v>0</v>
      </c>
      <c r="AB232" s="1287"/>
      <c r="AC232" s="1289"/>
      <c r="AD232" s="1369">
        <f t="shared" ca="1" si="769"/>
        <v>0</v>
      </c>
      <c r="AE232" s="1287"/>
      <c r="AF232" s="1289"/>
      <c r="AG232" s="1369">
        <f t="shared" ca="1" si="770"/>
        <v>0</v>
      </c>
      <c r="AH232" s="1287"/>
      <c r="AI232" s="1289"/>
      <c r="AJ232" s="1369">
        <f t="shared" ca="1" si="771"/>
        <v>0</v>
      </c>
      <c r="AK232" s="1287"/>
      <c r="AL232" s="1289"/>
      <c r="AM232" s="1369">
        <f t="shared" ca="1" si="772"/>
        <v>0</v>
      </c>
      <c r="AN232" s="1287"/>
      <c r="AO232" s="1289"/>
      <c r="AP232" s="1369">
        <f t="shared" ca="1" si="773"/>
        <v>0</v>
      </c>
      <c r="AQ232" s="1287"/>
      <c r="AR232" s="1289"/>
      <c r="AS232" s="1369">
        <f t="shared" ca="1" si="774"/>
        <v>0</v>
      </c>
      <c r="AT232" s="1287"/>
      <c r="AU232" s="411"/>
      <c r="AV232" s="170"/>
      <c r="AW232" s="170"/>
      <c r="AX232" s="170"/>
      <c r="AY232" s="561" t="str">
        <f t="shared" si="775"/>
        <v>Reimbursables/Customer Contribution</v>
      </c>
      <c r="AZ232" s="561"/>
      <c r="BA232" s="562"/>
      <c r="BB232" s="170"/>
      <c r="BC232" s="562"/>
      <c r="BD232" s="566">
        <f t="shared" si="776"/>
        <v>0</v>
      </c>
      <c r="BE232" s="170"/>
      <c r="BF232" s="1477"/>
      <c r="BG232" s="566">
        <f t="shared" ca="1" si="777"/>
        <v>0</v>
      </c>
      <c r="BH232" s="170"/>
      <c r="BI232" s="1477"/>
      <c r="BJ232" s="566">
        <f t="shared" ca="1" si="778"/>
        <v>0</v>
      </c>
      <c r="BK232" s="561"/>
      <c r="BL232" s="1477"/>
      <c r="BM232" s="566">
        <f t="shared" ca="1" si="779"/>
        <v>0</v>
      </c>
      <c r="BN232" s="170"/>
      <c r="BO232" s="1477"/>
      <c r="BP232" s="566">
        <f t="shared" ca="1" si="780"/>
        <v>0</v>
      </c>
      <c r="BQ232" s="170"/>
      <c r="BR232" s="1477"/>
      <c r="BS232" s="566">
        <f t="shared" ca="1" si="781"/>
        <v>0</v>
      </c>
      <c r="BT232" s="170"/>
      <c r="BU232" s="1477"/>
      <c r="BV232" s="566">
        <f t="shared" ca="1" si="782"/>
        <v>0</v>
      </c>
      <c r="BW232" s="170"/>
      <c r="BX232" s="1477"/>
      <c r="BY232" s="566">
        <f t="shared" ca="1" si="783"/>
        <v>0</v>
      </c>
      <c r="BZ232" s="170"/>
      <c r="CA232" s="1477"/>
      <c r="CB232" s="566">
        <f t="shared" ca="1" si="784"/>
        <v>0</v>
      </c>
      <c r="CC232" s="170"/>
      <c r="CD232" s="1477"/>
      <c r="CE232" s="566">
        <f t="shared" ca="1" si="785"/>
        <v>0</v>
      </c>
      <c r="CF232" s="170"/>
      <c r="CG232" s="1477"/>
      <c r="CH232" s="566">
        <f t="shared" ca="1" si="786"/>
        <v>0</v>
      </c>
      <c r="CI232" s="170"/>
      <c r="CJ232" s="562"/>
      <c r="CK232" s="566">
        <f t="shared" ca="1" si="787"/>
        <v>0</v>
      </c>
      <c r="CL232" s="566"/>
      <c r="CM232" s="170"/>
      <c r="CN232" s="170"/>
      <c r="CO232" s="382" t="str">
        <f t="shared" si="788"/>
        <v>Reimbursables/Customer Contribution</v>
      </c>
      <c r="CP232" s="382"/>
      <c r="CQ232" s="385"/>
      <c r="CR232" s="382"/>
      <c r="CS232" s="385"/>
      <c r="CT232" s="567">
        <f t="shared" si="789"/>
        <v>0</v>
      </c>
      <c r="CU232" s="382"/>
      <c r="CV232" s="385"/>
      <c r="CW232" s="567">
        <f t="shared" ca="1" si="790"/>
        <v>0</v>
      </c>
      <c r="CX232" s="382"/>
      <c r="CY232" s="385"/>
      <c r="CZ232" s="567">
        <f t="shared" ca="1" si="791"/>
        <v>0</v>
      </c>
      <c r="DA232" s="382"/>
      <c r="DB232" s="385"/>
      <c r="DC232" s="567">
        <f t="shared" ca="1" si="792"/>
        <v>0</v>
      </c>
      <c r="DD232" s="382"/>
      <c r="DE232" s="385"/>
      <c r="DF232" s="567">
        <f t="shared" ca="1" si="793"/>
        <v>0</v>
      </c>
      <c r="DG232" s="382"/>
      <c r="DH232" s="385"/>
      <c r="DI232" s="567">
        <f t="shared" ca="1" si="794"/>
        <v>0</v>
      </c>
      <c r="DJ232" s="382"/>
      <c r="DK232" s="385"/>
      <c r="DL232" s="567">
        <f t="shared" ca="1" si="795"/>
        <v>0</v>
      </c>
      <c r="DM232" s="382"/>
      <c r="DN232" s="385"/>
      <c r="DO232" s="567">
        <f t="shared" ca="1" si="796"/>
        <v>0</v>
      </c>
      <c r="DP232" s="382"/>
      <c r="DQ232" s="385"/>
      <c r="DR232" s="567">
        <f t="shared" ca="1" si="797"/>
        <v>0</v>
      </c>
      <c r="DS232" s="382"/>
      <c r="DT232" s="385"/>
      <c r="DU232" s="567">
        <f t="shared" ca="1" si="798"/>
        <v>0</v>
      </c>
      <c r="DV232" s="382"/>
      <c r="DW232" s="385"/>
      <c r="DX232" s="567">
        <f t="shared" ca="1" si="799"/>
        <v>0</v>
      </c>
      <c r="DY232" s="382"/>
      <c r="DZ232" s="385"/>
      <c r="EA232" s="568">
        <f t="shared" ca="1" si="800"/>
        <v>0</v>
      </c>
      <c r="EB232" s="170"/>
      <c r="EC232" s="170"/>
      <c r="ED232" s="170"/>
      <c r="EE232" s="170"/>
      <c r="EF232" s="170"/>
      <c r="EG232" s="170"/>
      <c r="EH232" s="170"/>
      <c r="EI232" s="170"/>
      <c r="EJ232" s="170"/>
      <c r="EK232" s="170"/>
    </row>
    <row r="233" spans="1:141" ht="15" x14ac:dyDescent="0.25">
      <c r="A233" s="557"/>
      <c r="B233" s="472"/>
      <c r="C233" s="472"/>
      <c r="D233" s="472"/>
      <c r="E233" s="564">
        <v>17</v>
      </c>
      <c r="F233" s="170"/>
      <c r="G233" s="1339" t="str">
        <f>VLOOKUP(E233,Parameters!$D$159:$E$301,2)</f>
        <v>NA</v>
      </c>
      <c r="H233" s="1287"/>
      <c r="I233" s="1289"/>
      <c r="J233" s="1287"/>
      <c r="K233" s="1289"/>
      <c r="L233" s="1369">
        <f t="shared" si="763"/>
        <v>0</v>
      </c>
      <c r="M233" s="1287"/>
      <c r="N233" s="1289"/>
      <c r="O233" s="1369">
        <f t="shared" si="764"/>
        <v>0</v>
      </c>
      <c r="P233" s="1287"/>
      <c r="Q233" s="1289"/>
      <c r="R233" s="1369">
        <f t="shared" si="765"/>
        <v>0</v>
      </c>
      <c r="S233" s="1287"/>
      <c r="T233" s="1289"/>
      <c r="U233" s="1369">
        <f t="shared" si="766"/>
        <v>0</v>
      </c>
      <c r="V233" s="1287"/>
      <c r="W233" s="1289"/>
      <c r="X233" s="1369">
        <f t="shared" si="767"/>
        <v>0</v>
      </c>
      <c r="Y233" s="1287"/>
      <c r="Z233" s="1289"/>
      <c r="AA233" s="1369">
        <f t="shared" si="768"/>
        <v>0</v>
      </c>
      <c r="AB233" s="1287"/>
      <c r="AC233" s="1289"/>
      <c r="AD233" s="1369">
        <f t="shared" si="769"/>
        <v>0</v>
      </c>
      <c r="AE233" s="1287"/>
      <c r="AF233" s="1289"/>
      <c r="AG233" s="1369">
        <f t="shared" si="770"/>
        <v>0</v>
      </c>
      <c r="AH233" s="1287"/>
      <c r="AI233" s="1289"/>
      <c r="AJ233" s="1369">
        <f t="shared" si="771"/>
        <v>0</v>
      </c>
      <c r="AK233" s="1287"/>
      <c r="AL233" s="1289"/>
      <c r="AM233" s="1369">
        <f t="shared" si="772"/>
        <v>0</v>
      </c>
      <c r="AN233" s="1287"/>
      <c r="AO233" s="1289"/>
      <c r="AP233" s="1369">
        <f t="shared" si="773"/>
        <v>0</v>
      </c>
      <c r="AQ233" s="1287"/>
      <c r="AR233" s="1289"/>
      <c r="AS233" s="1369">
        <f t="shared" si="774"/>
        <v>0</v>
      </c>
      <c r="AT233" s="1287"/>
      <c r="AU233" s="411"/>
      <c r="AV233" s="170"/>
      <c r="AW233" s="170"/>
      <c r="AX233" s="170"/>
      <c r="AY233" s="561" t="str">
        <f t="shared" si="775"/>
        <v>NA</v>
      </c>
      <c r="AZ233" s="561"/>
      <c r="BA233" s="562"/>
      <c r="BB233" s="170"/>
      <c r="BC233" s="562"/>
      <c r="BD233" s="566">
        <f t="shared" si="776"/>
        <v>0</v>
      </c>
      <c r="BE233" s="170"/>
      <c r="BF233" s="1477"/>
      <c r="BG233" s="566">
        <f t="shared" si="777"/>
        <v>0</v>
      </c>
      <c r="BH233" s="170"/>
      <c r="BI233" s="1477"/>
      <c r="BJ233" s="566">
        <f t="shared" si="778"/>
        <v>0</v>
      </c>
      <c r="BK233" s="561"/>
      <c r="BL233" s="1477"/>
      <c r="BM233" s="566">
        <f t="shared" si="779"/>
        <v>0</v>
      </c>
      <c r="BN233" s="170"/>
      <c r="BO233" s="1477"/>
      <c r="BP233" s="566">
        <f t="shared" si="780"/>
        <v>0</v>
      </c>
      <c r="BQ233" s="170"/>
      <c r="BR233" s="1477"/>
      <c r="BS233" s="566">
        <f t="shared" si="781"/>
        <v>0</v>
      </c>
      <c r="BT233" s="170"/>
      <c r="BU233" s="1477"/>
      <c r="BV233" s="566">
        <f t="shared" si="782"/>
        <v>0</v>
      </c>
      <c r="BW233" s="170"/>
      <c r="BX233" s="1477"/>
      <c r="BY233" s="566">
        <f t="shared" si="783"/>
        <v>0</v>
      </c>
      <c r="BZ233" s="170"/>
      <c r="CA233" s="1477"/>
      <c r="CB233" s="566">
        <f t="shared" si="784"/>
        <v>0</v>
      </c>
      <c r="CC233" s="170"/>
      <c r="CD233" s="1477"/>
      <c r="CE233" s="566">
        <f t="shared" si="785"/>
        <v>0</v>
      </c>
      <c r="CF233" s="170"/>
      <c r="CG233" s="1477"/>
      <c r="CH233" s="566">
        <f t="shared" si="786"/>
        <v>0</v>
      </c>
      <c r="CI233" s="170"/>
      <c r="CJ233" s="562"/>
      <c r="CK233" s="566">
        <f t="shared" si="787"/>
        <v>0</v>
      </c>
      <c r="CL233" s="566"/>
      <c r="CM233" s="170"/>
      <c r="CN233" s="170"/>
      <c r="CO233" s="382" t="str">
        <f t="shared" si="788"/>
        <v>NA</v>
      </c>
      <c r="CP233" s="382"/>
      <c r="CQ233" s="385"/>
      <c r="CR233" s="382"/>
      <c r="CS233" s="385"/>
      <c r="CT233" s="567">
        <f t="shared" si="789"/>
        <v>0</v>
      </c>
      <c r="CU233" s="382"/>
      <c r="CV233" s="385"/>
      <c r="CW233" s="567">
        <f t="shared" si="790"/>
        <v>0</v>
      </c>
      <c r="CX233" s="382"/>
      <c r="CY233" s="385"/>
      <c r="CZ233" s="567">
        <f t="shared" si="791"/>
        <v>0</v>
      </c>
      <c r="DA233" s="382"/>
      <c r="DB233" s="385"/>
      <c r="DC233" s="567">
        <f t="shared" si="792"/>
        <v>0</v>
      </c>
      <c r="DD233" s="382"/>
      <c r="DE233" s="385"/>
      <c r="DF233" s="567">
        <f t="shared" si="793"/>
        <v>0</v>
      </c>
      <c r="DG233" s="382"/>
      <c r="DH233" s="385"/>
      <c r="DI233" s="567">
        <f t="shared" si="794"/>
        <v>0</v>
      </c>
      <c r="DJ233" s="382"/>
      <c r="DK233" s="385"/>
      <c r="DL233" s="567">
        <f t="shared" si="795"/>
        <v>0</v>
      </c>
      <c r="DM233" s="382"/>
      <c r="DN233" s="385"/>
      <c r="DO233" s="567">
        <f t="shared" si="796"/>
        <v>0</v>
      </c>
      <c r="DP233" s="382"/>
      <c r="DQ233" s="385"/>
      <c r="DR233" s="567">
        <f t="shared" si="797"/>
        <v>0</v>
      </c>
      <c r="DS233" s="382"/>
      <c r="DT233" s="385"/>
      <c r="DU233" s="567">
        <f t="shared" si="798"/>
        <v>0</v>
      </c>
      <c r="DV233" s="382"/>
      <c r="DW233" s="385"/>
      <c r="DX233" s="567">
        <f t="shared" si="799"/>
        <v>0</v>
      </c>
      <c r="DY233" s="382"/>
      <c r="DZ233" s="385"/>
      <c r="EA233" s="568">
        <f t="shared" si="800"/>
        <v>0</v>
      </c>
      <c r="EB233" s="170"/>
      <c r="EC233" s="170"/>
      <c r="ED233" s="170"/>
      <c r="EE233" s="170"/>
      <c r="EF233" s="170"/>
      <c r="EG233" s="170"/>
      <c r="EH233" s="170"/>
      <c r="EI233" s="170"/>
      <c r="EJ233" s="170"/>
      <c r="EK233" s="170"/>
    </row>
    <row r="234" spans="1:141" ht="15" x14ac:dyDescent="0.25">
      <c r="A234" s="557"/>
      <c r="B234" s="472"/>
      <c r="C234" s="472"/>
      <c r="D234" s="472"/>
      <c r="E234" s="564">
        <v>18</v>
      </c>
      <c r="F234" s="170"/>
      <c r="G234" s="1339" t="str">
        <f>VLOOKUP(E234,Parameters!$D$159:$E$301,2)</f>
        <v>NA</v>
      </c>
      <c r="H234" s="1287"/>
      <c r="I234" s="1289"/>
      <c r="J234" s="1287"/>
      <c r="K234" s="1289"/>
      <c r="L234" s="1369">
        <f t="shared" si="763"/>
        <v>0</v>
      </c>
      <c r="M234" s="1287"/>
      <c r="N234" s="1289"/>
      <c r="O234" s="1369">
        <f t="shared" si="764"/>
        <v>0</v>
      </c>
      <c r="P234" s="1287"/>
      <c r="Q234" s="1289"/>
      <c r="R234" s="1369">
        <f t="shared" si="765"/>
        <v>0</v>
      </c>
      <c r="S234" s="1287"/>
      <c r="T234" s="1289"/>
      <c r="U234" s="1369">
        <f t="shared" si="766"/>
        <v>0</v>
      </c>
      <c r="V234" s="1287"/>
      <c r="W234" s="1289"/>
      <c r="X234" s="1369">
        <f t="shared" si="767"/>
        <v>0</v>
      </c>
      <c r="Y234" s="1287"/>
      <c r="Z234" s="1289"/>
      <c r="AA234" s="1369">
        <f t="shared" si="768"/>
        <v>0</v>
      </c>
      <c r="AB234" s="1287"/>
      <c r="AC234" s="1289"/>
      <c r="AD234" s="1369">
        <f t="shared" si="769"/>
        <v>0</v>
      </c>
      <c r="AE234" s="1287"/>
      <c r="AF234" s="1289"/>
      <c r="AG234" s="1369">
        <f t="shared" si="770"/>
        <v>0</v>
      </c>
      <c r="AH234" s="1287"/>
      <c r="AI234" s="1289"/>
      <c r="AJ234" s="1369">
        <f t="shared" si="771"/>
        <v>0</v>
      </c>
      <c r="AK234" s="1287"/>
      <c r="AL234" s="1289"/>
      <c r="AM234" s="1369">
        <f t="shared" si="772"/>
        <v>0</v>
      </c>
      <c r="AN234" s="1287"/>
      <c r="AO234" s="1289"/>
      <c r="AP234" s="1369">
        <f t="shared" si="773"/>
        <v>0</v>
      </c>
      <c r="AQ234" s="1287"/>
      <c r="AR234" s="1289"/>
      <c r="AS234" s="1369">
        <f t="shared" si="774"/>
        <v>0</v>
      </c>
      <c r="AT234" s="1287"/>
      <c r="AU234" s="411"/>
      <c r="AV234" s="170"/>
      <c r="AW234" s="170"/>
      <c r="AX234" s="170"/>
      <c r="AY234" s="561" t="str">
        <f t="shared" si="775"/>
        <v>NA</v>
      </c>
      <c r="AZ234" s="561"/>
      <c r="BA234" s="562"/>
      <c r="BB234" s="170"/>
      <c r="BC234" s="562"/>
      <c r="BD234" s="566">
        <f t="shared" si="776"/>
        <v>0</v>
      </c>
      <c r="BE234" s="170"/>
      <c r="BF234" s="1477"/>
      <c r="BG234" s="566">
        <f t="shared" si="777"/>
        <v>0</v>
      </c>
      <c r="BH234" s="170"/>
      <c r="BI234" s="1477"/>
      <c r="BJ234" s="566">
        <f t="shared" si="778"/>
        <v>0</v>
      </c>
      <c r="BK234" s="561"/>
      <c r="BL234" s="1477"/>
      <c r="BM234" s="566">
        <f t="shared" si="779"/>
        <v>0</v>
      </c>
      <c r="BN234" s="170"/>
      <c r="BO234" s="1477"/>
      <c r="BP234" s="566">
        <f t="shared" si="780"/>
        <v>0</v>
      </c>
      <c r="BQ234" s="170"/>
      <c r="BR234" s="1477"/>
      <c r="BS234" s="566">
        <f t="shared" si="781"/>
        <v>0</v>
      </c>
      <c r="BT234" s="170"/>
      <c r="BU234" s="1477"/>
      <c r="BV234" s="566">
        <f t="shared" si="782"/>
        <v>0</v>
      </c>
      <c r="BW234" s="170"/>
      <c r="BX234" s="1477"/>
      <c r="BY234" s="566">
        <f t="shared" si="783"/>
        <v>0</v>
      </c>
      <c r="BZ234" s="170"/>
      <c r="CA234" s="1477"/>
      <c r="CB234" s="566">
        <f t="shared" si="784"/>
        <v>0</v>
      </c>
      <c r="CC234" s="170"/>
      <c r="CD234" s="1477"/>
      <c r="CE234" s="566">
        <f t="shared" si="785"/>
        <v>0</v>
      </c>
      <c r="CF234" s="170"/>
      <c r="CG234" s="1477"/>
      <c r="CH234" s="566">
        <f t="shared" si="786"/>
        <v>0</v>
      </c>
      <c r="CI234" s="170"/>
      <c r="CJ234" s="562"/>
      <c r="CK234" s="566">
        <f t="shared" si="787"/>
        <v>0</v>
      </c>
      <c r="CL234" s="566"/>
      <c r="CM234" s="170"/>
      <c r="CN234" s="170"/>
      <c r="CO234" s="382" t="str">
        <f t="shared" si="788"/>
        <v>NA</v>
      </c>
      <c r="CP234" s="382"/>
      <c r="CQ234" s="385"/>
      <c r="CR234" s="382"/>
      <c r="CS234" s="385"/>
      <c r="CT234" s="567">
        <f t="shared" si="789"/>
        <v>0</v>
      </c>
      <c r="CU234" s="382"/>
      <c r="CV234" s="385"/>
      <c r="CW234" s="567">
        <f t="shared" si="790"/>
        <v>0</v>
      </c>
      <c r="CX234" s="382"/>
      <c r="CY234" s="385"/>
      <c r="CZ234" s="567">
        <f t="shared" si="791"/>
        <v>0</v>
      </c>
      <c r="DA234" s="382"/>
      <c r="DB234" s="385"/>
      <c r="DC234" s="567">
        <f t="shared" si="792"/>
        <v>0</v>
      </c>
      <c r="DD234" s="382"/>
      <c r="DE234" s="385"/>
      <c r="DF234" s="567">
        <f t="shared" si="793"/>
        <v>0</v>
      </c>
      <c r="DG234" s="382"/>
      <c r="DH234" s="385"/>
      <c r="DI234" s="567">
        <f t="shared" si="794"/>
        <v>0</v>
      </c>
      <c r="DJ234" s="382"/>
      <c r="DK234" s="385"/>
      <c r="DL234" s="567">
        <f t="shared" si="795"/>
        <v>0</v>
      </c>
      <c r="DM234" s="382"/>
      <c r="DN234" s="385"/>
      <c r="DO234" s="567">
        <f t="shared" si="796"/>
        <v>0</v>
      </c>
      <c r="DP234" s="382"/>
      <c r="DQ234" s="385"/>
      <c r="DR234" s="567">
        <f t="shared" si="797"/>
        <v>0</v>
      </c>
      <c r="DS234" s="382"/>
      <c r="DT234" s="385"/>
      <c r="DU234" s="567">
        <f t="shared" si="798"/>
        <v>0</v>
      </c>
      <c r="DV234" s="382"/>
      <c r="DW234" s="385"/>
      <c r="DX234" s="567">
        <f t="shared" si="799"/>
        <v>0</v>
      </c>
      <c r="DY234" s="382"/>
      <c r="DZ234" s="385"/>
      <c r="EA234" s="568">
        <f t="shared" si="800"/>
        <v>0</v>
      </c>
      <c r="EB234" s="170"/>
      <c r="EC234" s="170"/>
      <c r="ED234" s="170"/>
      <c r="EE234" s="170"/>
      <c r="EF234" s="170"/>
      <c r="EG234" s="170"/>
      <c r="EH234" s="170"/>
      <c r="EI234" s="170"/>
      <c r="EJ234" s="170"/>
      <c r="EK234" s="170"/>
    </row>
    <row r="235" spans="1:141" ht="15" x14ac:dyDescent="0.25">
      <c r="A235" s="557"/>
      <c r="B235" s="472"/>
      <c r="C235" s="472"/>
      <c r="D235" s="472"/>
      <c r="E235" s="564">
        <v>19</v>
      </c>
      <c r="F235" s="170"/>
      <c r="G235" s="1339" t="str">
        <f>VLOOKUP(E235,Parameters!$D$159:$E$301,2)</f>
        <v>NA</v>
      </c>
      <c r="H235" s="1287"/>
      <c r="I235" s="1289"/>
      <c r="J235" s="1287"/>
      <c r="K235" s="1289"/>
      <c r="L235" s="1369">
        <f t="shared" si="763"/>
        <v>0</v>
      </c>
      <c r="M235" s="1287"/>
      <c r="N235" s="1289"/>
      <c r="O235" s="1369">
        <f t="shared" si="764"/>
        <v>0</v>
      </c>
      <c r="P235" s="1287"/>
      <c r="Q235" s="1289"/>
      <c r="R235" s="1369">
        <f t="shared" si="765"/>
        <v>0</v>
      </c>
      <c r="S235" s="1287"/>
      <c r="T235" s="1289"/>
      <c r="U235" s="1369">
        <f t="shared" si="766"/>
        <v>0</v>
      </c>
      <c r="V235" s="1287"/>
      <c r="W235" s="1289"/>
      <c r="X235" s="1369">
        <f t="shared" si="767"/>
        <v>0</v>
      </c>
      <c r="Y235" s="1287"/>
      <c r="Z235" s="1289"/>
      <c r="AA235" s="1369">
        <f t="shared" si="768"/>
        <v>0</v>
      </c>
      <c r="AB235" s="1287"/>
      <c r="AC235" s="1289"/>
      <c r="AD235" s="1369">
        <f t="shared" si="769"/>
        <v>0</v>
      </c>
      <c r="AE235" s="1287"/>
      <c r="AF235" s="1289"/>
      <c r="AG235" s="1369">
        <f t="shared" si="770"/>
        <v>0</v>
      </c>
      <c r="AH235" s="1287"/>
      <c r="AI235" s="1289"/>
      <c r="AJ235" s="1369">
        <f t="shared" si="771"/>
        <v>0</v>
      </c>
      <c r="AK235" s="1287"/>
      <c r="AL235" s="1289"/>
      <c r="AM235" s="1369">
        <f t="shared" si="772"/>
        <v>0</v>
      </c>
      <c r="AN235" s="1287"/>
      <c r="AO235" s="1289"/>
      <c r="AP235" s="1369">
        <f t="shared" si="773"/>
        <v>0</v>
      </c>
      <c r="AQ235" s="1287"/>
      <c r="AR235" s="1289"/>
      <c r="AS235" s="1369">
        <f t="shared" si="774"/>
        <v>0</v>
      </c>
      <c r="AT235" s="1287"/>
      <c r="AU235" s="411"/>
      <c r="AV235" s="170"/>
      <c r="AW235" s="170"/>
      <c r="AX235" s="170"/>
      <c r="AY235" s="561" t="str">
        <f t="shared" si="775"/>
        <v>NA</v>
      </c>
      <c r="AZ235" s="561"/>
      <c r="BA235" s="562"/>
      <c r="BB235" s="170"/>
      <c r="BC235" s="562"/>
      <c r="BD235" s="566">
        <f t="shared" si="776"/>
        <v>0</v>
      </c>
      <c r="BE235" s="170"/>
      <c r="BF235" s="1477"/>
      <c r="BG235" s="566">
        <f t="shared" si="777"/>
        <v>0</v>
      </c>
      <c r="BH235" s="170"/>
      <c r="BI235" s="1477"/>
      <c r="BJ235" s="566">
        <f t="shared" si="778"/>
        <v>0</v>
      </c>
      <c r="BK235" s="561"/>
      <c r="BL235" s="1477"/>
      <c r="BM235" s="566">
        <f t="shared" si="779"/>
        <v>0</v>
      </c>
      <c r="BN235" s="170"/>
      <c r="BO235" s="1477"/>
      <c r="BP235" s="566">
        <f t="shared" si="780"/>
        <v>0</v>
      </c>
      <c r="BQ235" s="170"/>
      <c r="BR235" s="1477"/>
      <c r="BS235" s="566">
        <f t="shared" si="781"/>
        <v>0</v>
      </c>
      <c r="BT235" s="170"/>
      <c r="BU235" s="1477"/>
      <c r="BV235" s="566">
        <f t="shared" si="782"/>
        <v>0</v>
      </c>
      <c r="BW235" s="170"/>
      <c r="BX235" s="1477"/>
      <c r="BY235" s="566">
        <f t="shared" si="783"/>
        <v>0</v>
      </c>
      <c r="BZ235" s="170"/>
      <c r="CA235" s="1477"/>
      <c r="CB235" s="566">
        <f t="shared" si="784"/>
        <v>0</v>
      </c>
      <c r="CC235" s="170"/>
      <c r="CD235" s="1477"/>
      <c r="CE235" s="566">
        <f t="shared" si="785"/>
        <v>0</v>
      </c>
      <c r="CF235" s="170"/>
      <c r="CG235" s="1477"/>
      <c r="CH235" s="566">
        <f t="shared" si="786"/>
        <v>0</v>
      </c>
      <c r="CI235" s="170"/>
      <c r="CJ235" s="562"/>
      <c r="CK235" s="566">
        <f t="shared" si="787"/>
        <v>0</v>
      </c>
      <c r="CL235" s="566"/>
      <c r="CM235" s="170"/>
      <c r="CN235" s="170"/>
      <c r="CO235" s="382" t="str">
        <f t="shared" si="788"/>
        <v>NA</v>
      </c>
      <c r="CP235" s="382"/>
      <c r="CQ235" s="385"/>
      <c r="CR235" s="382"/>
      <c r="CS235" s="385"/>
      <c r="CT235" s="567">
        <f t="shared" si="789"/>
        <v>0</v>
      </c>
      <c r="CU235" s="382"/>
      <c r="CV235" s="385"/>
      <c r="CW235" s="567">
        <f t="shared" si="790"/>
        <v>0</v>
      </c>
      <c r="CX235" s="382"/>
      <c r="CY235" s="385"/>
      <c r="CZ235" s="567">
        <f t="shared" si="791"/>
        <v>0</v>
      </c>
      <c r="DA235" s="382"/>
      <c r="DB235" s="385"/>
      <c r="DC235" s="567">
        <f t="shared" si="792"/>
        <v>0</v>
      </c>
      <c r="DD235" s="382"/>
      <c r="DE235" s="385"/>
      <c r="DF235" s="567">
        <f t="shared" si="793"/>
        <v>0</v>
      </c>
      <c r="DG235" s="382"/>
      <c r="DH235" s="385"/>
      <c r="DI235" s="567">
        <f t="shared" si="794"/>
        <v>0</v>
      </c>
      <c r="DJ235" s="382"/>
      <c r="DK235" s="385"/>
      <c r="DL235" s="567">
        <f t="shared" si="795"/>
        <v>0</v>
      </c>
      <c r="DM235" s="382"/>
      <c r="DN235" s="385"/>
      <c r="DO235" s="567">
        <f t="shared" si="796"/>
        <v>0</v>
      </c>
      <c r="DP235" s="382"/>
      <c r="DQ235" s="385"/>
      <c r="DR235" s="567">
        <f t="shared" si="797"/>
        <v>0</v>
      </c>
      <c r="DS235" s="382"/>
      <c r="DT235" s="385"/>
      <c r="DU235" s="567">
        <f t="shared" si="798"/>
        <v>0</v>
      </c>
      <c r="DV235" s="382"/>
      <c r="DW235" s="385"/>
      <c r="DX235" s="567">
        <f t="shared" si="799"/>
        <v>0</v>
      </c>
      <c r="DY235" s="382"/>
      <c r="DZ235" s="385"/>
      <c r="EA235" s="568">
        <f t="shared" si="800"/>
        <v>0</v>
      </c>
      <c r="EB235" s="170"/>
      <c r="EC235" s="170"/>
      <c r="ED235" s="170"/>
      <c r="EE235" s="170"/>
      <c r="EF235" s="170"/>
      <c r="EG235" s="170"/>
      <c r="EH235" s="170"/>
      <c r="EI235" s="170"/>
      <c r="EJ235" s="170"/>
      <c r="EK235" s="170"/>
    </row>
    <row r="236" spans="1:141" ht="15" x14ac:dyDescent="0.25">
      <c r="A236" s="557"/>
      <c r="B236" s="472"/>
      <c r="C236" s="472"/>
      <c r="D236" s="472"/>
      <c r="E236" s="564">
        <v>20</v>
      </c>
      <c r="F236" s="170"/>
      <c r="G236" s="1339" t="str">
        <f>VLOOKUP(E236,Parameters!$D$159:$E$301,2)</f>
        <v>NA</v>
      </c>
      <c r="H236" s="1287"/>
      <c r="I236" s="1289"/>
      <c r="J236" s="1287"/>
      <c r="K236" s="1289"/>
      <c r="L236" s="1369">
        <f t="shared" si="763"/>
        <v>0</v>
      </c>
      <c r="M236" s="1287"/>
      <c r="N236" s="1289"/>
      <c r="O236" s="1369">
        <f t="shared" si="764"/>
        <v>0</v>
      </c>
      <c r="P236" s="1287"/>
      <c r="Q236" s="1289"/>
      <c r="R236" s="1369">
        <f t="shared" si="765"/>
        <v>0</v>
      </c>
      <c r="S236" s="1287"/>
      <c r="T236" s="1289"/>
      <c r="U236" s="1369">
        <f t="shared" si="766"/>
        <v>0</v>
      </c>
      <c r="V236" s="1287"/>
      <c r="W236" s="1289"/>
      <c r="X236" s="1369">
        <f t="shared" si="767"/>
        <v>0</v>
      </c>
      <c r="Y236" s="1287"/>
      <c r="Z236" s="1289"/>
      <c r="AA236" s="1369">
        <f t="shared" si="768"/>
        <v>0</v>
      </c>
      <c r="AB236" s="1287"/>
      <c r="AC236" s="1289"/>
      <c r="AD236" s="1369">
        <f t="shared" si="769"/>
        <v>0</v>
      </c>
      <c r="AE236" s="1287"/>
      <c r="AF236" s="1289"/>
      <c r="AG236" s="1369">
        <f t="shared" si="770"/>
        <v>0</v>
      </c>
      <c r="AH236" s="1287"/>
      <c r="AI236" s="1289"/>
      <c r="AJ236" s="1369">
        <f t="shared" si="771"/>
        <v>0</v>
      </c>
      <c r="AK236" s="1287"/>
      <c r="AL236" s="1289"/>
      <c r="AM236" s="1369">
        <f t="shared" si="772"/>
        <v>0</v>
      </c>
      <c r="AN236" s="1287"/>
      <c r="AO236" s="1289"/>
      <c r="AP236" s="1369">
        <f t="shared" si="773"/>
        <v>0</v>
      </c>
      <c r="AQ236" s="1287"/>
      <c r="AR236" s="1289"/>
      <c r="AS236" s="1369">
        <f t="shared" si="774"/>
        <v>0</v>
      </c>
      <c r="AT236" s="1287"/>
      <c r="AU236" s="411"/>
      <c r="AV236" s="170"/>
      <c r="AW236" s="170"/>
      <c r="AX236" s="170"/>
      <c r="AY236" s="561" t="str">
        <f t="shared" si="775"/>
        <v>NA</v>
      </c>
      <c r="AZ236" s="561"/>
      <c r="BA236" s="562"/>
      <c r="BB236" s="170"/>
      <c r="BC236" s="562"/>
      <c r="BD236" s="566">
        <f t="shared" si="776"/>
        <v>0</v>
      </c>
      <c r="BE236" s="170"/>
      <c r="BF236" s="1477"/>
      <c r="BG236" s="566">
        <f t="shared" si="777"/>
        <v>0</v>
      </c>
      <c r="BH236" s="170"/>
      <c r="BI236" s="1477"/>
      <c r="BJ236" s="566">
        <f t="shared" si="778"/>
        <v>0</v>
      </c>
      <c r="BK236" s="561"/>
      <c r="BL236" s="1477"/>
      <c r="BM236" s="566">
        <f t="shared" si="779"/>
        <v>0</v>
      </c>
      <c r="BN236" s="170"/>
      <c r="BO236" s="1477"/>
      <c r="BP236" s="566">
        <f t="shared" si="780"/>
        <v>0</v>
      </c>
      <c r="BQ236" s="170"/>
      <c r="BR236" s="1477"/>
      <c r="BS236" s="566">
        <f t="shared" si="781"/>
        <v>0</v>
      </c>
      <c r="BT236" s="170"/>
      <c r="BU236" s="1477"/>
      <c r="BV236" s="566">
        <f t="shared" si="782"/>
        <v>0</v>
      </c>
      <c r="BW236" s="170"/>
      <c r="BX236" s="1477"/>
      <c r="BY236" s="566">
        <f t="shared" si="783"/>
        <v>0</v>
      </c>
      <c r="BZ236" s="170"/>
      <c r="CA236" s="1477"/>
      <c r="CB236" s="566">
        <f t="shared" si="784"/>
        <v>0</v>
      </c>
      <c r="CC236" s="170"/>
      <c r="CD236" s="1477"/>
      <c r="CE236" s="566">
        <f t="shared" si="785"/>
        <v>0</v>
      </c>
      <c r="CF236" s="170"/>
      <c r="CG236" s="1477"/>
      <c r="CH236" s="566">
        <f t="shared" si="786"/>
        <v>0</v>
      </c>
      <c r="CI236" s="170"/>
      <c r="CJ236" s="562"/>
      <c r="CK236" s="566">
        <f t="shared" si="787"/>
        <v>0</v>
      </c>
      <c r="CL236" s="566"/>
      <c r="CM236" s="170"/>
      <c r="CN236" s="170"/>
      <c r="CO236" s="382" t="str">
        <f t="shared" si="788"/>
        <v>NA</v>
      </c>
      <c r="CP236" s="382"/>
      <c r="CQ236" s="385"/>
      <c r="CR236" s="382"/>
      <c r="CS236" s="385"/>
      <c r="CT236" s="567">
        <f t="shared" si="789"/>
        <v>0</v>
      </c>
      <c r="CU236" s="382"/>
      <c r="CV236" s="385"/>
      <c r="CW236" s="567">
        <f t="shared" si="790"/>
        <v>0</v>
      </c>
      <c r="CX236" s="382"/>
      <c r="CY236" s="385"/>
      <c r="CZ236" s="567">
        <f t="shared" si="791"/>
        <v>0</v>
      </c>
      <c r="DA236" s="382"/>
      <c r="DB236" s="385"/>
      <c r="DC236" s="567">
        <f t="shared" si="792"/>
        <v>0</v>
      </c>
      <c r="DD236" s="382"/>
      <c r="DE236" s="385"/>
      <c r="DF236" s="567">
        <f t="shared" si="793"/>
        <v>0</v>
      </c>
      <c r="DG236" s="382"/>
      <c r="DH236" s="385"/>
      <c r="DI236" s="567">
        <f t="shared" si="794"/>
        <v>0</v>
      </c>
      <c r="DJ236" s="382"/>
      <c r="DK236" s="385"/>
      <c r="DL236" s="567">
        <f t="shared" si="795"/>
        <v>0</v>
      </c>
      <c r="DM236" s="382"/>
      <c r="DN236" s="385"/>
      <c r="DO236" s="567">
        <f t="shared" si="796"/>
        <v>0</v>
      </c>
      <c r="DP236" s="382"/>
      <c r="DQ236" s="385"/>
      <c r="DR236" s="567">
        <f t="shared" si="797"/>
        <v>0</v>
      </c>
      <c r="DS236" s="382"/>
      <c r="DT236" s="385"/>
      <c r="DU236" s="567">
        <f t="shared" si="798"/>
        <v>0</v>
      </c>
      <c r="DV236" s="382"/>
      <c r="DW236" s="385"/>
      <c r="DX236" s="567">
        <f t="shared" si="799"/>
        <v>0</v>
      </c>
      <c r="DY236" s="382"/>
      <c r="DZ236" s="385"/>
      <c r="EA236" s="568">
        <f t="shared" si="800"/>
        <v>0</v>
      </c>
      <c r="EB236" s="170"/>
      <c r="EC236" s="170"/>
      <c r="ED236" s="170"/>
      <c r="EE236" s="170"/>
      <c r="EF236" s="170"/>
      <c r="EG236" s="170"/>
      <c r="EH236" s="170"/>
      <c r="EI236" s="170"/>
      <c r="EJ236" s="170"/>
      <c r="EK236" s="170"/>
    </row>
    <row r="237" spans="1:141" ht="15" x14ac:dyDescent="0.25">
      <c r="A237" s="557"/>
      <c r="B237" s="472"/>
      <c r="C237" s="472"/>
      <c r="D237" s="472"/>
      <c r="E237" s="564">
        <v>21</v>
      </c>
      <c r="F237" s="170"/>
      <c r="G237" s="1339" t="str">
        <f>VLOOKUP(E237,Parameters!$D$159:$E$301,2)</f>
        <v>NA</v>
      </c>
      <c r="H237" s="1287"/>
      <c r="I237" s="1289"/>
      <c r="J237" s="1287"/>
      <c r="K237" s="1289"/>
      <c r="L237" s="1369">
        <f t="shared" si="763"/>
        <v>0</v>
      </c>
      <c r="M237" s="1287"/>
      <c r="N237" s="1289"/>
      <c r="O237" s="1369">
        <f t="shared" si="764"/>
        <v>0</v>
      </c>
      <c r="P237" s="1287"/>
      <c r="Q237" s="1289"/>
      <c r="R237" s="1369">
        <f t="shared" si="765"/>
        <v>0</v>
      </c>
      <c r="S237" s="1287"/>
      <c r="T237" s="1289"/>
      <c r="U237" s="1369">
        <f t="shared" si="766"/>
        <v>0</v>
      </c>
      <c r="V237" s="1287"/>
      <c r="W237" s="1289"/>
      <c r="X237" s="1369">
        <f t="shared" si="767"/>
        <v>0</v>
      </c>
      <c r="Y237" s="1287"/>
      <c r="Z237" s="1289"/>
      <c r="AA237" s="1369">
        <f t="shared" si="768"/>
        <v>0</v>
      </c>
      <c r="AB237" s="1287"/>
      <c r="AC237" s="1289"/>
      <c r="AD237" s="1369">
        <f t="shared" si="769"/>
        <v>0</v>
      </c>
      <c r="AE237" s="1287"/>
      <c r="AF237" s="1289"/>
      <c r="AG237" s="1369">
        <f t="shared" si="770"/>
        <v>0</v>
      </c>
      <c r="AH237" s="1287"/>
      <c r="AI237" s="1289"/>
      <c r="AJ237" s="1369">
        <f t="shared" si="771"/>
        <v>0</v>
      </c>
      <c r="AK237" s="1287"/>
      <c r="AL237" s="1289"/>
      <c r="AM237" s="1369">
        <f t="shared" si="772"/>
        <v>0</v>
      </c>
      <c r="AN237" s="1287"/>
      <c r="AO237" s="1289"/>
      <c r="AP237" s="1369">
        <f t="shared" si="773"/>
        <v>0</v>
      </c>
      <c r="AQ237" s="1287"/>
      <c r="AR237" s="1289"/>
      <c r="AS237" s="1369">
        <f t="shared" si="774"/>
        <v>0</v>
      </c>
      <c r="AT237" s="1287"/>
      <c r="AU237" s="411"/>
      <c r="AV237" s="170"/>
      <c r="AW237" s="170"/>
      <c r="AX237" s="170"/>
      <c r="AY237" s="561" t="str">
        <f t="shared" si="775"/>
        <v>NA</v>
      </c>
      <c r="AZ237" s="561"/>
      <c r="BA237" s="562"/>
      <c r="BB237" s="170"/>
      <c r="BC237" s="562"/>
      <c r="BD237" s="566">
        <f t="shared" si="776"/>
        <v>0</v>
      </c>
      <c r="BE237" s="170"/>
      <c r="BF237" s="1477"/>
      <c r="BG237" s="566">
        <f t="shared" si="777"/>
        <v>0</v>
      </c>
      <c r="BH237" s="170"/>
      <c r="BI237" s="1477"/>
      <c r="BJ237" s="566">
        <f t="shared" si="778"/>
        <v>0</v>
      </c>
      <c r="BK237" s="561"/>
      <c r="BL237" s="1477"/>
      <c r="BM237" s="566">
        <f t="shared" si="779"/>
        <v>0</v>
      </c>
      <c r="BN237" s="170"/>
      <c r="BO237" s="1477"/>
      <c r="BP237" s="566">
        <f t="shared" si="780"/>
        <v>0</v>
      </c>
      <c r="BQ237" s="170"/>
      <c r="BR237" s="1477"/>
      <c r="BS237" s="566">
        <f t="shared" si="781"/>
        <v>0</v>
      </c>
      <c r="BT237" s="170"/>
      <c r="BU237" s="1477"/>
      <c r="BV237" s="566">
        <f t="shared" si="782"/>
        <v>0</v>
      </c>
      <c r="BW237" s="170"/>
      <c r="BX237" s="1477"/>
      <c r="BY237" s="566">
        <f t="shared" si="783"/>
        <v>0</v>
      </c>
      <c r="BZ237" s="170"/>
      <c r="CA237" s="1477"/>
      <c r="CB237" s="566">
        <f t="shared" si="784"/>
        <v>0</v>
      </c>
      <c r="CC237" s="170"/>
      <c r="CD237" s="1477"/>
      <c r="CE237" s="566">
        <f t="shared" si="785"/>
        <v>0</v>
      </c>
      <c r="CF237" s="170"/>
      <c r="CG237" s="1477"/>
      <c r="CH237" s="566">
        <f t="shared" si="786"/>
        <v>0</v>
      </c>
      <c r="CI237" s="170"/>
      <c r="CJ237" s="562"/>
      <c r="CK237" s="566">
        <f t="shared" si="787"/>
        <v>0</v>
      </c>
      <c r="CL237" s="566"/>
      <c r="CM237" s="170"/>
      <c r="CN237" s="170"/>
      <c r="CO237" s="382" t="str">
        <f t="shared" si="788"/>
        <v>NA</v>
      </c>
      <c r="CP237" s="382"/>
      <c r="CQ237" s="385"/>
      <c r="CR237" s="382"/>
      <c r="CS237" s="385"/>
      <c r="CT237" s="567">
        <f t="shared" si="789"/>
        <v>0</v>
      </c>
      <c r="CU237" s="382"/>
      <c r="CV237" s="385"/>
      <c r="CW237" s="567">
        <f t="shared" si="790"/>
        <v>0</v>
      </c>
      <c r="CX237" s="382"/>
      <c r="CY237" s="385"/>
      <c r="CZ237" s="567">
        <f t="shared" si="791"/>
        <v>0</v>
      </c>
      <c r="DA237" s="382"/>
      <c r="DB237" s="385"/>
      <c r="DC237" s="567">
        <f t="shared" si="792"/>
        <v>0</v>
      </c>
      <c r="DD237" s="382"/>
      <c r="DE237" s="385"/>
      <c r="DF237" s="567">
        <f t="shared" si="793"/>
        <v>0</v>
      </c>
      <c r="DG237" s="382"/>
      <c r="DH237" s="385"/>
      <c r="DI237" s="567">
        <f t="shared" si="794"/>
        <v>0</v>
      </c>
      <c r="DJ237" s="382"/>
      <c r="DK237" s="385"/>
      <c r="DL237" s="567">
        <f t="shared" si="795"/>
        <v>0</v>
      </c>
      <c r="DM237" s="382"/>
      <c r="DN237" s="385"/>
      <c r="DO237" s="567">
        <f t="shared" si="796"/>
        <v>0</v>
      </c>
      <c r="DP237" s="382"/>
      <c r="DQ237" s="385"/>
      <c r="DR237" s="567">
        <f t="shared" si="797"/>
        <v>0</v>
      </c>
      <c r="DS237" s="382"/>
      <c r="DT237" s="385"/>
      <c r="DU237" s="567">
        <f t="shared" si="798"/>
        <v>0</v>
      </c>
      <c r="DV237" s="382"/>
      <c r="DW237" s="385"/>
      <c r="DX237" s="567">
        <f t="shared" si="799"/>
        <v>0</v>
      </c>
      <c r="DY237" s="382"/>
      <c r="DZ237" s="385"/>
      <c r="EA237" s="568">
        <f t="shared" si="800"/>
        <v>0</v>
      </c>
      <c r="EB237" s="170"/>
      <c r="EC237" s="170"/>
      <c r="ED237" s="170"/>
      <c r="EE237" s="170"/>
      <c r="EF237" s="170"/>
      <c r="EG237" s="170"/>
      <c r="EH237" s="170"/>
      <c r="EI237" s="170"/>
      <c r="EJ237" s="170"/>
      <c r="EK237" s="170"/>
    </row>
    <row r="238" spans="1:141" ht="15" x14ac:dyDescent="0.25">
      <c r="A238" s="557"/>
      <c r="B238" s="472"/>
      <c r="C238" s="472"/>
      <c r="D238" s="472"/>
      <c r="E238" s="564">
        <v>22</v>
      </c>
      <c r="F238" s="170"/>
      <c r="G238" s="1339" t="str">
        <f>VLOOKUP(E238,Parameters!$D$159:$E$301,2)</f>
        <v>NA</v>
      </c>
      <c r="H238" s="1287"/>
      <c r="I238" s="1289"/>
      <c r="J238" s="1287"/>
      <c r="K238" s="1289"/>
      <c r="L238" s="1369">
        <f t="shared" si="763"/>
        <v>0</v>
      </c>
      <c r="M238" s="1287"/>
      <c r="N238" s="1289"/>
      <c r="O238" s="1369">
        <f t="shared" si="764"/>
        <v>0</v>
      </c>
      <c r="P238" s="1287"/>
      <c r="Q238" s="1289"/>
      <c r="R238" s="1369">
        <f t="shared" si="765"/>
        <v>0</v>
      </c>
      <c r="S238" s="1287"/>
      <c r="T238" s="1289"/>
      <c r="U238" s="1369">
        <f t="shared" si="766"/>
        <v>0</v>
      </c>
      <c r="V238" s="1287"/>
      <c r="W238" s="1289"/>
      <c r="X238" s="1369">
        <f t="shared" si="767"/>
        <v>0</v>
      </c>
      <c r="Y238" s="1287"/>
      <c r="Z238" s="1289"/>
      <c r="AA238" s="1369">
        <f t="shared" si="768"/>
        <v>0</v>
      </c>
      <c r="AB238" s="1287"/>
      <c r="AC238" s="1289"/>
      <c r="AD238" s="1369">
        <f t="shared" si="769"/>
        <v>0</v>
      </c>
      <c r="AE238" s="1287"/>
      <c r="AF238" s="1289"/>
      <c r="AG238" s="1369">
        <f t="shared" si="770"/>
        <v>0</v>
      </c>
      <c r="AH238" s="1287"/>
      <c r="AI238" s="1289"/>
      <c r="AJ238" s="1369">
        <f t="shared" si="771"/>
        <v>0</v>
      </c>
      <c r="AK238" s="1287"/>
      <c r="AL238" s="1289"/>
      <c r="AM238" s="1369">
        <f t="shared" si="772"/>
        <v>0</v>
      </c>
      <c r="AN238" s="1287"/>
      <c r="AO238" s="1289"/>
      <c r="AP238" s="1369">
        <f t="shared" si="773"/>
        <v>0</v>
      </c>
      <c r="AQ238" s="1287"/>
      <c r="AR238" s="1289"/>
      <c r="AS238" s="1369">
        <f t="shared" si="774"/>
        <v>0</v>
      </c>
      <c r="AT238" s="1287"/>
      <c r="AU238" s="411"/>
      <c r="AV238" s="170"/>
      <c r="AW238" s="170"/>
      <c r="AX238" s="170"/>
      <c r="AY238" s="561" t="str">
        <f t="shared" si="775"/>
        <v>NA</v>
      </c>
      <c r="AZ238" s="561"/>
      <c r="BA238" s="562"/>
      <c r="BB238" s="170"/>
      <c r="BC238" s="562"/>
      <c r="BD238" s="566">
        <f t="shared" si="776"/>
        <v>0</v>
      </c>
      <c r="BE238" s="170"/>
      <c r="BF238" s="1477"/>
      <c r="BG238" s="566">
        <f t="shared" si="777"/>
        <v>0</v>
      </c>
      <c r="BH238" s="170"/>
      <c r="BI238" s="1477"/>
      <c r="BJ238" s="566">
        <f t="shared" si="778"/>
        <v>0</v>
      </c>
      <c r="BK238" s="561"/>
      <c r="BL238" s="1477"/>
      <c r="BM238" s="566">
        <f t="shared" si="779"/>
        <v>0</v>
      </c>
      <c r="BN238" s="170"/>
      <c r="BO238" s="1477"/>
      <c r="BP238" s="566">
        <f t="shared" si="780"/>
        <v>0</v>
      </c>
      <c r="BQ238" s="170"/>
      <c r="BR238" s="1477"/>
      <c r="BS238" s="566">
        <f t="shared" si="781"/>
        <v>0</v>
      </c>
      <c r="BT238" s="170"/>
      <c r="BU238" s="1477"/>
      <c r="BV238" s="566">
        <f t="shared" si="782"/>
        <v>0</v>
      </c>
      <c r="BW238" s="170"/>
      <c r="BX238" s="1477"/>
      <c r="BY238" s="566">
        <f t="shared" si="783"/>
        <v>0</v>
      </c>
      <c r="BZ238" s="170"/>
      <c r="CA238" s="1477"/>
      <c r="CB238" s="566">
        <f t="shared" si="784"/>
        <v>0</v>
      </c>
      <c r="CC238" s="170"/>
      <c r="CD238" s="1477"/>
      <c r="CE238" s="566">
        <f t="shared" si="785"/>
        <v>0</v>
      </c>
      <c r="CF238" s="170"/>
      <c r="CG238" s="1477"/>
      <c r="CH238" s="566">
        <f t="shared" si="786"/>
        <v>0</v>
      </c>
      <c r="CI238" s="170"/>
      <c r="CJ238" s="562"/>
      <c r="CK238" s="566">
        <f t="shared" si="787"/>
        <v>0</v>
      </c>
      <c r="CL238" s="566"/>
      <c r="CM238" s="170"/>
      <c r="CN238" s="170"/>
      <c r="CO238" s="382" t="str">
        <f t="shared" si="788"/>
        <v>NA</v>
      </c>
      <c r="CP238" s="382"/>
      <c r="CQ238" s="385"/>
      <c r="CR238" s="382"/>
      <c r="CS238" s="385"/>
      <c r="CT238" s="567">
        <f t="shared" si="789"/>
        <v>0</v>
      </c>
      <c r="CU238" s="382"/>
      <c r="CV238" s="385"/>
      <c r="CW238" s="567">
        <f t="shared" si="790"/>
        <v>0</v>
      </c>
      <c r="CX238" s="382"/>
      <c r="CY238" s="385"/>
      <c r="CZ238" s="567">
        <f t="shared" si="791"/>
        <v>0</v>
      </c>
      <c r="DA238" s="382"/>
      <c r="DB238" s="385"/>
      <c r="DC238" s="567">
        <f t="shared" si="792"/>
        <v>0</v>
      </c>
      <c r="DD238" s="382"/>
      <c r="DE238" s="385"/>
      <c r="DF238" s="567">
        <f t="shared" si="793"/>
        <v>0</v>
      </c>
      <c r="DG238" s="382"/>
      <c r="DH238" s="385"/>
      <c r="DI238" s="567">
        <f t="shared" si="794"/>
        <v>0</v>
      </c>
      <c r="DJ238" s="382"/>
      <c r="DK238" s="385"/>
      <c r="DL238" s="567">
        <f t="shared" si="795"/>
        <v>0</v>
      </c>
      <c r="DM238" s="382"/>
      <c r="DN238" s="385"/>
      <c r="DO238" s="567">
        <f t="shared" si="796"/>
        <v>0</v>
      </c>
      <c r="DP238" s="382"/>
      <c r="DQ238" s="385"/>
      <c r="DR238" s="567">
        <f t="shared" si="797"/>
        <v>0</v>
      </c>
      <c r="DS238" s="382"/>
      <c r="DT238" s="385"/>
      <c r="DU238" s="567">
        <f t="shared" si="798"/>
        <v>0</v>
      </c>
      <c r="DV238" s="382"/>
      <c r="DW238" s="385"/>
      <c r="DX238" s="567">
        <f t="shared" si="799"/>
        <v>0</v>
      </c>
      <c r="DY238" s="382"/>
      <c r="DZ238" s="385"/>
      <c r="EA238" s="568">
        <f t="shared" si="800"/>
        <v>0</v>
      </c>
      <c r="EB238" s="170"/>
      <c r="EC238" s="170"/>
      <c r="ED238" s="170"/>
      <c r="EE238" s="170"/>
      <c r="EF238" s="170"/>
      <c r="EG238" s="170"/>
      <c r="EH238" s="170"/>
      <c r="EI238" s="170"/>
      <c r="EJ238" s="170"/>
      <c r="EK238" s="170"/>
    </row>
    <row r="239" spans="1:141" ht="15" x14ac:dyDescent="0.25">
      <c r="A239" s="557"/>
      <c r="B239" s="472"/>
      <c r="C239" s="472"/>
      <c r="D239" s="472"/>
      <c r="E239" s="564">
        <v>23</v>
      </c>
      <c r="F239" s="170"/>
      <c r="G239" s="1339" t="str">
        <f>VLOOKUP(E239,Parameters!$D$159:$E$301,2)</f>
        <v>NA</v>
      </c>
      <c r="H239" s="1287"/>
      <c r="I239" s="1289"/>
      <c r="J239" s="1287"/>
      <c r="K239" s="1289"/>
      <c r="L239" s="1369">
        <f t="shared" si="763"/>
        <v>0</v>
      </c>
      <c r="M239" s="1287"/>
      <c r="N239" s="1289"/>
      <c r="O239" s="1369">
        <f t="shared" si="764"/>
        <v>0</v>
      </c>
      <c r="P239" s="1287"/>
      <c r="Q239" s="1289"/>
      <c r="R239" s="1369">
        <f t="shared" si="765"/>
        <v>0</v>
      </c>
      <c r="S239" s="1287"/>
      <c r="T239" s="1289"/>
      <c r="U239" s="1369">
        <f t="shared" si="766"/>
        <v>0</v>
      </c>
      <c r="V239" s="1287"/>
      <c r="W239" s="1289"/>
      <c r="X239" s="1369">
        <f t="shared" si="767"/>
        <v>0</v>
      </c>
      <c r="Y239" s="1287"/>
      <c r="Z239" s="1289"/>
      <c r="AA239" s="1369">
        <f t="shared" si="768"/>
        <v>0</v>
      </c>
      <c r="AB239" s="1287"/>
      <c r="AC239" s="1289"/>
      <c r="AD239" s="1369">
        <f t="shared" si="769"/>
        <v>0</v>
      </c>
      <c r="AE239" s="1287"/>
      <c r="AF239" s="1289"/>
      <c r="AG239" s="1369">
        <f t="shared" si="770"/>
        <v>0</v>
      </c>
      <c r="AH239" s="1287"/>
      <c r="AI239" s="1289"/>
      <c r="AJ239" s="1369">
        <f t="shared" si="771"/>
        <v>0</v>
      </c>
      <c r="AK239" s="1287"/>
      <c r="AL239" s="1289"/>
      <c r="AM239" s="1369">
        <f t="shared" si="772"/>
        <v>0</v>
      </c>
      <c r="AN239" s="1287"/>
      <c r="AO239" s="1289"/>
      <c r="AP239" s="1369">
        <f t="shared" si="773"/>
        <v>0</v>
      </c>
      <c r="AQ239" s="1287"/>
      <c r="AR239" s="1289"/>
      <c r="AS239" s="1369">
        <f t="shared" si="774"/>
        <v>0</v>
      </c>
      <c r="AT239" s="1287"/>
      <c r="AU239" s="411"/>
      <c r="AV239" s="170"/>
      <c r="AW239" s="170"/>
      <c r="AX239" s="170"/>
      <c r="AY239" s="561" t="str">
        <f t="shared" si="775"/>
        <v>NA</v>
      </c>
      <c r="AZ239" s="561"/>
      <c r="BA239" s="562"/>
      <c r="BB239" s="170"/>
      <c r="BC239" s="562"/>
      <c r="BD239" s="566">
        <f t="shared" si="776"/>
        <v>0</v>
      </c>
      <c r="BE239" s="170"/>
      <c r="BF239" s="1477"/>
      <c r="BG239" s="566">
        <f t="shared" si="777"/>
        <v>0</v>
      </c>
      <c r="BH239" s="170"/>
      <c r="BI239" s="1477"/>
      <c r="BJ239" s="566">
        <f t="shared" si="778"/>
        <v>0</v>
      </c>
      <c r="BK239" s="561"/>
      <c r="BL239" s="1477"/>
      <c r="BM239" s="566">
        <f t="shared" si="779"/>
        <v>0</v>
      </c>
      <c r="BN239" s="170"/>
      <c r="BO239" s="1477"/>
      <c r="BP239" s="566">
        <f t="shared" si="780"/>
        <v>0</v>
      </c>
      <c r="BQ239" s="170"/>
      <c r="BR239" s="1477"/>
      <c r="BS239" s="566">
        <f t="shared" si="781"/>
        <v>0</v>
      </c>
      <c r="BT239" s="170"/>
      <c r="BU239" s="1477"/>
      <c r="BV239" s="566">
        <f t="shared" si="782"/>
        <v>0</v>
      </c>
      <c r="BW239" s="170"/>
      <c r="BX239" s="1477"/>
      <c r="BY239" s="566">
        <f t="shared" si="783"/>
        <v>0</v>
      </c>
      <c r="BZ239" s="170"/>
      <c r="CA239" s="1477"/>
      <c r="CB239" s="566">
        <f t="shared" si="784"/>
        <v>0</v>
      </c>
      <c r="CC239" s="170"/>
      <c r="CD239" s="1477"/>
      <c r="CE239" s="566">
        <f t="shared" si="785"/>
        <v>0</v>
      </c>
      <c r="CF239" s="170"/>
      <c r="CG239" s="1477"/>
      <c r="CH239" s="566">
        <f t="shared" si="786"/>
        <v>0</v>
      </c>
      <c r="CI239" s="170"/>
      <c r="CJ239" s="562"/>
      <c r="CK239" s="566">
        <f t="shared" si="787"/>
        <v>0</v>
      </c>
      <c r="CL239" s="566"/>
      <c r="CM239" s="170"/>
      <c r="CN239" s="170"/>
      <c r="CO239" s="382" t="str">
        <f t="shared" si="788"/>
        <v>NA</v>
      </c>
      <c r="CP239" s="382"/>
      <c r="CQ239" s="385"/>
      <c r="CR239" s="382"/>
      <c r="CS239" s="385"/>
      <c r="CT239" s="567">
        <f t="shared" si="789"/>
        <v>0</v>
      </c>
      <c r="CU239" s="382"/>
      <c r="CV239" s="385"/>
      <c r="CW239" s="567">
        <f t="shared" si="790"/>
        <v>0</v>
      </c>
      <c r="CX239" s="382"/>
      <c r="CY239" s="385"/>
      <c r="CZ239" s="567">
        <f t="shared" si="791"/>
        <v>0</v>
      </c>
      <c r="DA239" s="382"/>
      <c r="DB239" s="385"/>
      <c r="DC239" s="567">
        <f t="shared" si="792"/>
        <v>0</v>
      </c>
      <c r="DD239" s="382"/>
      <c r="DE239" s="385"/>
      <c r="DF239" s="567">
        <f t="shared" si="793"/>
        <v>0</v>
      </c>
      <c r="DG239" s="382"/>
      <c r="DH239" s="385"/>
      <c r="DI239" s="567">
        <f t="shared" si="794"/>
        <v>0</v>
      </c>
      <c r="DJ239" s="382"/>
      <c r="DK239" s="385"/>
      <c r="DL239" s="567">
        <f t="shared" si="795"/>
        <v>0</v>
      </c>
      <c r="DM239" s="382"/>
      <c r="DN239" s="385"/>
      <c r="DO239" s="567">
        <f t="shared" si="796"/>
        <v>0</v>
      </c>
      <c r="DP239" s="382"/>
      <c r="DQ239" s="385"/>
      <c r="DR239" s="567">
        <f t="shared" si="797"/>
        <v>0</v>
      </c>
      <c r="DS239" s="382"/>
      <c r="DT239" s="385"/>
      <c r="DU239" s="567">
        <f t="shared" si="798"/>
        <v>0</v>
      </c>
      <c r="DV239" s="382"/>
      <c r="DW239" s="385"/>
      <c r="DX239" s="567">
        <f t="shared" si="799"/>
        <v>0</v>
      </c>
      <c r="DY239" s="382"/>
      <c r="DZ239" s="385"/>
      <c r="EA239" s="568">
        <f t="shared" si="800"/>
        <v>0</v>
      </c>
      <c r="EB239" s="170"/>
      <c r="EC239" s="170"/>
      <c r="ED239" s="170"/>
      <c r="EE239" s="170"/>
      <c r="EF239" s="170"/>
      <c r="EG239" s="170"/>
      <c r="EH239" s="170"/>
      <c r="EI239" s="170"/>
      <c r="EJ239" s="170"/>
      <c r="EK239" s="170"/>
    </row>
    <row r="240" spans="1:141" ht="15" x14ac:dyDescent="0.25">
      <c r="A240" s="557"/>
      <c r="B240" s="472"/>
      <c r="C240" s="472"/>
      <c r="D240" s="472"/>
      <c r="E240" s="564">
        <v>24</v>
      </c>
      <c r="F240" s="170"/>
      <c r="G240" s="1339" t="str">
        <f>VLOOKUP(E240,Parameters!$D$159:$E$301,2)</f>
        <v>NA</v>
      </c>
      <c r="H240" s="1287"/>
      <c r="I240" s="1289"/>
      <c r="J240" s="1287"/>
      <c r="K240" s="1289"/>
      <c r="L240" s="1369">
        <f t="shared" si="763"/>
        <v>0</v>
      </c>
      <c r="M240" s="1287"/>
      <c r="N240" s="1289"/>
      <c r="O240" s="1369">
        <f t="shared" si="764"/>
        <v>0</v>
      </c>
      <c r="P240" s="1287"/>
      <c r="Q240" s="1289"/>
      <c r="R240" s="1369">
        <f t="shared" si="765"/>
        <v>0</v>
      </c>
      <c r="S240" s="1287"/>
      <c r="T240" s="1289"/>
      <c r="U240" s="1369">
        <f t="shared" si="766"/>
        <v>0</v>
      </c>
      <c r="V240" s="1287"/>
      <c r="W240" s="1289"/>
      <c r="X240" s="1369">
        <f t="shared" si="767"/>
        <v>0</v>
      </c>
      <c r="Y240" s="1287"/>
      <c r="Z240" s="1289"/>
      <c r="AA240" s="1369">
        <f t="shared" si="768"/>
        <v>0</v>
      </c>
      <c r="AB240" s="1287"/>
      <c r="AC240" s="1289"/>
      <c r="AD240" s="1369">
        <f t="shared" si="769"/>
        <v>0</v>
      </c>
      <c r="AE240" s="1287"/>
      <c r="AF240" s="1289"/>
      <c r="AG240" s="1369">
        <f t="shared" si="770"/>
        <v>0</v>
      </c>
      <c r="AH240" s="1287"/>
      <c r="AI240" s="1289"/>
      <c r="AJ240" s="1369">
        <f t="shared" si="771"/>
        <v>0</v>
      </c>
      <c r="AK240" s="1287"/>
      <c r="AL240" s="1289"/>
      <c r="AM240" s="1369">
        <f t="shared" si="772"/>
        <v>0</v>
      </c>
      <c r="AN240" s="1287"/>
      <c r="AO240" s="1289"/>
      <c r="AP240" s="1369">
        <f t="shared" si="773"/>
        <v>0</v>
      </c>
      <c r="AQ240" s="1287"/>
      <c r="AR240" s="1289"/>
      <c r="AS240" s="1369">
        <f t="shared" si="774"/>
        <v>0</v>
      </c>
      <c r="AT240" s="1287"/>
      <c r="AU240" s="411"/>
      <c r="AV240" s="170"/>
      <c r="AW240" s="170"/>
      <c r="AX240" s="170"/>
      <c r="AY240" s="561" t="str">
        <f t="shared" si="775"/>
        <v>NA</v>
      </c>
      <c r="AZ240" s="561"/>
      <c r="BA240" s="562"/>
      <c r="BB240" s="170"/>
      <c r="BC240" s="562"/>
      <c r="BD240" s="566">
        <f t="shared" si="776"/>
        <v>0</v>
      </c>
      <c r="BE240" s="170"/>
      <c r="BF240" s="1477"/>
      <c r="BG240" s="566">
        <f t="shared" si="777"/>
        <v>0</v>
      </c>
      <c r="BH240" s="170"/>
      <c r="BI240" s="1477"/>
      <c r="BJ240" s="566">
        <f t="shared" si="778"/>
        <v>0</v>
      </c>
      <c r="BK240" s="561"/>
      <c r="BL240" s="1477"/>
      <c r="BM240" s="566">
        <f t="shared" si="779"/>
        <v>0</v>
      </c>
      <c r="BN240" s="170"/>
      <c r="BO240" s="1477"/>
      <c r="BP240" s="566">
        <f t="shared" si="780"/>
        <v>0</v>
      </c>
      <c r="BQ240" s="170"/>
      <c r="BR240" s="1477"/>
      <c r="BS240" s="566">
        <f t="shared" si="781"/>
        <v>0</v>
      </c>
      <c r="BT240" s="170"/>
      <c r="BU240" s="1477"/>
      <c r="BV240" s="566">
        <f t="shared" si="782"/>
        <v>0</v>
      </c>
      <c r="BW240" s="170"/>
      <c r="BX240" s="1477"/>
      <c r="BY240" s="566">
        <f t="shared" si="783"/>
        <v>0</v>
      </c>
      <c r="BZ240" s="170"/>
      <c r="CA240" s="1477"/>
      <c r="CB240" s="566">
        <f t="shared" si="784"/>
        <v>0</v>
      </c>
      <c r="CC240" s="170"/>
      <c r="CD240" s="1477"/>
      <c r="CE240" s="566">
        <f t="shared" si="785"/>
        <v>0</v>
      </c>
      <c r="CF240" s="170"/>
      <c r="CG240" s="1477"/>
      <c r="CH240" s="566">
        <f t="shared" si="786"/>
        <v>0</v>
      </c>
      <c r="CI240" s="170"/>
      <c r="CJ240" s="562"/>
      <c r="CK240" s="566">
        <f t="shared" si="787"/>
        <v>0</v>
      </c>
      <c r="CL240" s="566"/>
      <c r="CM240" s="170"/>
      <c r="CN240" s="170"/>
      <c r="CO240" s="382" t="str">
        <f t="shared" si="788"/>
        <v>NA</v>
      </c>
      <c r="CP240" s="382"/>
      <c r="CQ240" s="385"/>
      <c r="CR240" s="382"/>
      <c r="CS240" s="385"/>
      <c r="CT240" s="567">
        <f t="shared" si="789"/>
        <v>0</v>
      </c>
      <c r="CU240" s="382"/>
      <c r="CV240" s="385"/>
      <c r="CW240" s="567">
        <f t="shared" si="790"/>
        <v>0</v>
      </c>
      <c r="CX240" s="382"/>
      <c r="CY240" s="385"/>
      <c r="CZ240" s="567">
        <f t="shared" si="791"/>
        <v>0</v>
      </c>
      <c r="DA240" s="382"/>
      <c r="DB240" s="385"/>
      <c r="DC240" s="567">
        <f t="shared" si="792"/>
        <v>0</v>
      </c>
      <c r="DD240" s="382"/>
      <c r="DE240" s="385"/>
      <c r="DF240" s="567">
        <f t="shared" si="793"/>
        <v>0</v>
      </c>
      <c r="DG240" s="382"/>
      <c r="DH240" s="385"/>
      <c r="DI240" s="567">
        <f t="shared" si="794"/>
        <v>0</v>
      </c>
      <c r="DJ240" s="382"/>
      <c r="DK240" s="385"/>
      <c r="DL240" s="567">
        <f t="shared" si="795"/>
        <v>0</v>
      </c>
      <c r="DM240" s="382"/>
      <c r="DN240" s="385"/>
      <c r="DO240" s="567">
        <f t="shared" si="796"/>
        <v>0</v>
      </c>
      <c r="DP240" s="382"/>
      <c r="DQ240" s="385"/>
      <c r="DR240" s="567">
        <f t="shared" si="797"/>
        <v>0</v>
      </c>
      <c r="DS240" s="382"/>
      <c r="DT240" s="385"/>
      <c r="DU240" s="567">
        <f t="shared" si="798"/>
        <v>0</v>
      </c>
      <c r="DV240" s="382"/>
      <c r="DW240" s="385"/>
      <c r="DX240" s="567">
        <f t="shared" si="799"/>
        <v>0</v>
      </c>
      <c r="DY240" s="382"/>
      <c r="DZ240" s="385"/>
      <c r="EA240" s="568">
        <f t="shared" si="800"/>
        <v>0</v>
      </c>
      <c r="EB240" s="170"/>
      <c r="EC240" s="170"/>
      <c r="ED240" s="170"/>
      <c r="EE240" s="170"/>
      <c r="EF240" s="170"/>
      <c r="EG240" s="170"/>
      <c r="EH240" s="170"/>
      <c r="EI240" s="170"/>
      <c r="EJ240" s="170"/>
      <c r="EK240" s="170"/>
    </row>
    <row r="241" spans="1:141" ht="15" x14ac:dyDescent="0.25">
      <c r="A241" s="557"/>
      <c r="B241" s="472"/>
      <c r="C241" s="472"/>
      <c r="D241" s="472"/>
      <c r="E241" s="564">
        <v>25</v>
      </c>
      <c r="F241" s="170"/>
      <c r="G241" s="1339" t="str">
        <f>VLOOKUP(E241,Parameters!$D$159:$E$301,2)</f>
        <v>O&amp;M / Expense</v>
      </c>
      <c r="H241" s="1287"/>
      <c r="I241" s="1289"/>
      <c r="J241" s="1287"/>
      <c r="K241" s="1289"/>
      <c r="L241" s="1369">
        <f t="shared" si="763"/>
        <v>0</v>
      </c>
      <c r="M241" s="1287"/>
      <c r="N241" s="1289"/>
      <c r="O241" s="1369">
        <f t="shared" si="764"/>
        <v>0</v>
      </c>
      <c r="P241" s="1287"/>
      <c r="Q241" s="1289"/>
      <c r="R241" s="1369">
        <f t="shared" si="765"/>
        <v>0</v>
      </c>
      <c r="S241" s="1287"/>
      <c r="T241" s="1289"/>
      <c r="U241" s="1369">
        <f t="shared" si="766"/>
        <v>0</v>
      </c>
      <c r="V241" s="1287"/>
      <c r="W241" s="1289"/>
      <c r="X241" s="1369">
        <f t="shared" si="767"/>
        <v>0</v>
      </c>
      <c r="Y241" s="1287"/>
      <c r="Z241" s="1289"/>
      <c r="AA241" s="1369">
        <f t="shared" si="768"/>
        <v>0</v>
      </c>
      <c r="AB241" s="1287"/>
      <c r="AC241" s="1289"/>
      <c r="AD241" s="1369">
        <f t="shared" si="769"/>
        <v>0</v>
      </c>
      <c r="AE241" s="1287"/>
      <c r="AF241" s="1289"/>
      <c r="AG241" s="1369">
        <f t="shared" si="770"/>
        <v>0</v>
      </c>
      <c r="AH241" s="1287"/>
      <c r="AI241" s="1289"/>
      <c r="AJ241" s="1369">
        <f t="shared" si="771"/>
        <v>0</v>
      </c>
      <c r="AK241" s="1287"/>
      <c r="AL241" s="1289"/>
      <c r="AM241" s="1369">
        <f t="shared" si="772"/>
        <v>0</v>
      </c>
      <c r="AN241" s="1287"/>
      <c r="AO241" s="1289"/>
      <c r="AP241" s="1369">
        <f t="shared" si="773"/>
        <v>0</v>
      </c>
      <c r="AQ241" s="1287"/>
      <c r="AR241" s="1289"/>
      <c r="AS241" s="1369">
        <f t="shared" si="774"/>
        <v>0</v>
      </c>
      <c r="AT241" s="1287"/>
      <c r="AU241" s="411"/>
      <c r="AV241" s="170"/>
      <c r="AW241" s="170"/>
      <c r="AX241" s="170"/>
      <c r="AY241" s="561" t="str">
        <f t="shared" si="775"/>
        <v>O&amp;M / Expense</v>
      </c>
      <c r="AZ241" s="561"/>
      <c r="BA241" s="562"/>
      <c r="BB241" s="170"/>
      <c r="BC241" s="562"/>
      <c r="BD241" s="566">
        <f t="shared" si="776"/>
        <v>0</v>
      </c>
      <c r="BE241" s="170"/>
      <c r="BF241" s="1477"/>
      <c r="BG241" s="566">
        <f t="shared" si="777"/>
        <v>0</v>
      </c>
      <c r="BH241" s="170"/>
      <c r="BI241" s="1477"/>
      <c r="BJ241" s="566">
        <f t="shared" si="778"/>
        <v>0</v>
      </c>
      <c r="BK241" s="561"/>
      <c r="BL241" s="1477"/>
      <c r="BM241" s="566">
        <f t="shared" si="779"/>
        <v>0</v>
      </c>
      <c r="BN241" s="170"/>
      <c r="BO241" s="1477"/>
      <c r="BP241" s="566">
        <f t="shared" si="780"/>
        <v>0</v>
      </c>
      <c r="BQ241" s="170"/>
      <c r="BR241" s="1477"/>
      <c r="BS241" s="566">
        <f t="shared" si="781"/>
        <v>0</v>
      </c>
      <c r="BT241" s="170"/>
      <c r="BU241" s="1477"/>
      <c r="BV241" s="566">
        <f t="shared" si="782"/>
        <v>0</v>
      </c>
      <c r="BW241" s="170"/>
      <c r="BX241" s="1477"/>
      <c r="BY241" s="566">
        <f t="shared" si="783"/>
        <v>0</v>
      </c>
      <c r="BZ241" s="170"/>
      <c r="CA241" s="1477"/>
      <c r="CB241" s="566">
        <f t="shared" si="784"/>
        <v>0</v>
      </c>
      <c r="CC241" s="170"/>
      <c r="CD241" s="1477"/>
      <c r="CE241" s="566">
        <f t="shared" si="785"/>
        <v>0</v>
      </c>
      <c r="CF241" s="170"/>
      <c r="CG241" s="1477"/>
      <c r="CH241" s="566">
        <f t="shared" si="786"/>
        <v>0</v>
      </c>
      <c r="CI241" s="170"/>
      <c r="CJ241" s="562"/>
      <c r="CK241" s="566">
        <f t="shared" si="787"/>
        <v>0</v>
      </c>
      <c r="CL241" s="566"/>
      <c r="CM241" s="170"/>
      <c r="CN241" s="170"/>
      <c r="CO241" s="382" t="str">
        <f t="shared" si="788"/>
        <v>O&amp;M / Expense</v>
      </c>
      <c r="CP241" s="382"/>
      <c r="CQ241" s="385"/>
      <c r="CR241" s="382"/>
      <c r="CS241" s="385"/>
      <c r="CT241" s="567">
        <f t="shared" si="789"/>
        <v>0</v>
      </c>
      <c r="CU241" s="382"/>
      <c r="CV241" s="385"/>
      <c r="CW241" s="567">
        <f t="shared" si="790"/>
        <v>0</v>
      </c>
      <c r="CX241" s="382"/>
      <c r="CY241" s="385"/>
      <c r="CZ241" s="567">
        <f t="shared" si="791"/>
        <v>0</v>
      </c>
      <c r="DA241" s="382"/>
      <c r="DB241" s="385"/>
      <c r="DC241" s="567">
        <f t="shared" si="792"/>
        <v>0</v>
      </c>
      <c r="DD241" s="382"/>
      <c r="DE241" s="385"/>
      <c r="DF241" s="567">
        <f t="shared" si="793"/>
        <v>0</v>
      </c>
      <c r="DG241" s="382"/>
      <c r="DH241" s="385"/>
      <c r="DI241" s="567">
        <f t="shared" si="794"/>
        <v>0</v>
      </c>
      <c r="DJ241" s="382"/>
      <c r="DK241" s="385"/>
      <c r="DL241" s="567">
        <f t="shared" si="795"/>
        <v>0</v>
      </c>
      <c r="DM241" s="382"/>
      <c r="DN241" s="385"/>
      <c r="DO241" s="567">
        <f t="shared" si="796"/>
        <v>0</v>
      </c>
      <c r="DP241" s="382"/>
      <c r="DQ241" s="385"/>
      <c r="DR241" s="567">
        <f t="shared" si="797"/>
        <v>0</v>
      </c>
      <c r="DS241" s="382"/>
      <c r="DT241" s="385"/>
      <c r="DU241" s="567">
        <f t="shared" si="798"/>
        <v>0</v>
      </c>
      <c r="DV241" s="382"/>
      <c r="DW241" s="385"/>
      <c r="DX241" s="567">
        <f t="shared" si="799"/>
        <v>0</v>
      </c>
      <c r="DY241" s="382"/>
      <c r="DZ241" s="385"/>
      <c r="EA241" s="568">
        <f t="shared" si="800"/>
        <v>0</v>
      </c>
      <c r="EB241" s="170"/>
      <c r="EC241" s="170"/>
      <c r="ED241" s="170"/>
      <c r="EE241" s="170"/>
      <c r="EF241" s="170"/>
      <c r="EG241" s="170"/>
      <c r="EH241" s="170"/>
      <c r="EI241" s="170"/>
      <c r="EJ241" s="170"/>
      <c r="EK241" s="170"/>
    </row>
    <row r="242" spans="1:141" ht="15" x14ac:dyDescent="0.25">
      <c r="A242" s="557"/>
      <c r="B242" s="472"/>
      <c r="C242" s="472"/>
      <c r="D242" s="472"/>
      <c r="E242" s="564">
        <v>26</v>
      </c>
      <c r="F242" s="170"/>
      <c r="G242" s="1339" t="str">
        <f>VLOOKUP(E242,Parameters!$D$159:$E$301,2)</f>
        <v>NA</v>
      </c>
      <c r="H242" s="1287"/>
      <c r="I242" s="1289"/>
      <c r="J242" s="1287"/>
      <c r="K242" s="1289"/>
      <c r="L242" s="1369">
        <f t="shared" si="763"/>
        <v>0</v>
      </c>
      <c r="M242" s="1287"/>
      <c r="N242" s="1289"/>
      <c r="O242" s="1369">
        <f t="shared" si="764"/>
        <v>0</v>
      </c>
      <c r="P242" s="1287"/>
      <c r="Q242" s="1289"/>
      <c r="R242" s="1369">
        <f t="shared" si="765"/>
        <v>0</v>
      </c>
      <c r="S242" s="1287"/>
      <c r="T242" s="1289"/>
      <c r="U242" s="1369">
        <f t="shared" si="766"/>
        <v>0</v>
      </c>
      <c r="V242" s="1287"/>
      <c r="W242" s="1289"/>
      <c r="X242" s="1369">
        <f t="shared" si="767"/>
        <v>0</v>
      </c>
      <c r="Y242" s="1287"/>
      <c r="Z242" s="1289"/>
      <c r="AA242" s="1369">
        <f t="shared" si="768"/>
        <v>0</v>
      </c>
      <c r="AB242" s="1287"/>
      <c r="AC242" s="1289"/>
      <c r="AD242" s="1369">
        <f t="shared" si="769"/>
        <v>0</v>
      </c>
      <c r="AE242" s="1287"/>
      <c r="AF242" s="1289"/>
      <c r="AG242" s="1369">
        <f t="shared" si="770"/>
        <v>0</v>
      </c>
      <c r="AH242" s="1287"/>
      <c r="AI242" s="1289"/>
      <c r="AJ242" s="1369">
        <f t="shared" si="771"/>
        <v>0</v>
      </c>
      <c r="AK242" s="1287"/>
      <c r="AL242" s="1289"/>
      <c r="AM242" s="1369">
        <f t="shared" si="772"/>
        <v>0</v>
      </c>
      <c r="AN242" s="1287"/>
      <c r="AO242" s="1289"/>
      <c r="AP242" s="1369">
        <f t="shared" si="773"/>
        <v>0</v>
      </c>
      <c r="AQ242" s="1287"/>
      <c r="AR242" s="1289"/>
      <c r="AS242" s="1369">
        <f t="shared" si="774"/>
        <v>0</v>
      </c>
      <c r="AT242" s="1287"/>
      <c r="AU242" s="411"/>
      <c r="AV242" s="170"/>
      <c r="AW242" s="170"/>
      <c r="AX242" s="170"/>
      <c r="AY242" s="561" t="str">
        <f t="shared" si="775"/>
        <v>NA</v>
      </c>
      <c r="AZ242" s="561"/>
      <c r="BA242" s="562"/>
      <c r="BB242" s="170"/>
      <c r="BC242" s="562"/>
      <c r="BD242" s="566">
        <f t="shared" si="776"/>
        <v>0</v>
      </c>
      <c r="BE242" s="170"/>
      <c r="BF242" s="1477"/>
      <c r="BG242" s="566">
        <f t="shared" si="777"/>
        <v>0</v>
      </c>
      <c r="BH242" s="170"/>
      <c r="BI242" s="1477"/>
      <c r="BJ242" s="566">
        <f t="shared" si="778"/>
        <v>0</v>
      </c>
      <c r="BK242" s="561"/>
      <c r="BL242" s="1477"/>
      <c r="BM242" s="566">
        <f t="shared" si="779"/>
        <v>0</v>
      </c>
      <c r="BN242" s="170"/>
      <c r="BO242" s="1477"/>
      <c r="BP242" s="566">
        <f t="shared" si="780"/>
        <v>0</v>
      </c>
      <c r="BQ242" s="170"/>
      <c r="BR242" s="1477"/>
      <c r="BS242" s="566">
        <f t="shared" si="781"/>
        <v>0</v>
      </c>
      <c r="BT242" s="170"/>
      <c r="BU242" s="1477"/>
      <c r="BV242" s="566">
        <f t="shared" si="782"/>
        <v>0</v>
      </c>
      <c r="BW242" s="170"/>
      <c r="BX242" s="1477"/>
      <c r="BY242" s="566">
        <f t="shared" si="783"/>
        <v>0</v>
      </c>
      <c r="BZ242" s="170"/>
      <c r="CA242" s="1477"/>
      <c r="CB242" s="566">
        <f t="shared" si="784"/>
        <v>0</v>
      </c>
      <c r="CC242" s="170"/>
      <c r="CD242" s="1477"/>
      <c r="CE242" s="566">
        <f t="shared" si="785"/>
        <v>0</v>
      </c>
      <c r="CF242" s="170"/>
      <c r="CG242" s="1477"/>
      <c r="CH242" s="566">
        <f t="shared" si="786"/>
        <v>0</v>
      </c>
      <c r="CI242" s="170"/>
      <c r="CJ242" s="562"/>
      <c r="CK242" s="566">
        <f t="shared" si="787"/>
        <v>0</v>
      </c>
      <c r="CL242" s="566"/>
      <c r="CM242" s="170"/>
      <c r="CN242" s="170"/>
      <c r="CO242" s="382" t="str">
        <f t="shared" si="788"/>
        <v>NA</v>
      </c>
      <c r="CP242" s="382"/>
      <c r="CQ242" s="385"/>
      <c r="CR242" s="382"/>
      <c r="CS242" s="385"/>
      <c r="CT242" s="567">
        <f t="shared" si="789"/>
        <v>0</v>
      </c>
      <c r="CU242" s="382"/>
      <c r="CV242" s="385"/>
      <c r="CW242" s="567">
        <f t="shared" si="790"/>
        <v>0</v>
      </c>
      <c r="CX242" s="382"/>
      <c r="CY242" s="385"/>
      <c r="CZ242" s="567">
        <f t="shared" si="791"/>
        <v>0</v>
      </c>
      <c r="DA242" s="382"/>
      <c r="DB242" s="385"/>
      <c r="DC242" s="567">
        <f t="shared" si="792"/>
        <v>0</v>
      </c>
      <c r="DD242" s="382"/>
      <c r="DE242" s="385"/>
      <c r="DF242" s="567">
        <f t="shared" si="793"/>
        <v>0</v>
      </c>
      <c r="DG242" s="382"/>
      <c r="DH242" s="385"/>
      <c r="DI242" s="567">
        <f t="shared" si="794"/>
        <v>0</v>
      </c>
      <c r="DJ242" s="382"/>
      <c r="DK242" s="385"/>
      <c r="DL242" s="567">
        <f t="shared" si="795"/>
        <v>0</v>
      </c>
      <c r="DM242" s="382"/>
      <c r="DN242" s="385"/>
      <c r="DO242" s="567">
        <f t="shared" si="796"/>
        <v>0</v>
      </c>
      <c r="DP242" s="382"/>
      <c r="DQ242" s="385"/>
      <c r="DR242" s="567">
        <f t="shared" si="797"/>
        <v>0</v>
      </c>
      <c r="DS242" s="382"/>
      <c r="DT242" s="385"/>
      <c r="DU242" s="567">
        <f t="shared" si="798"/>
        <v>0</v>
      </c>
      <c r="DV242" s="382"/>
      <c r="DW242" s="385"/>
      <c r="DX242" s="567">
        <f t="shared" si="799"/>
        <v>0</v>
      </c>
      <c r="DY242" s="382"/>
      <c r="DZ242" s="385"/>
      <c r="EA242" s="568">
        <f t="shared" si="800"/>
        <v>0</v>
      </c>
      <c r="EB242" s="170"/>
      <c r="EC242" s="170"/>
      <c r="ED242" s="170"/>
      <c r="EE242" s="170"/>
      <c r="EF242" s="170"/>
      <c r="EG242" s="170"/>
      <c r="EH242" s="170"/>
      <c r="EI242" s="170"/>
      <c r="EJ242" s="170"/>
      <c r="EK242" s="170"/>
    </row>
    <row r="243" spans="1:141" ht="15" x14ac:dyDescent="0.25">
      <c r="A243" s="557"/>
      <c r="B243" s="472"/>
      <c r="C243" s="472"/>
      <c r="D243" s="472"/>
      <c r="E243" s="564">
        <v>27</v>
      </c>
      <c r="F243" s="170"/>
      <c r="G243" s="1339" t="str">
        <f>VLOOKUP(E243,Parameters!$D$159:$E$301,2)</f>
        <v>NA</v>
      </c>
      <c r="H243" s="1287"/>
      <c r="I243" s="1289"/>
      <c r="J243" s="1287"/>
      <c r="K243" s="1289"/>
      <c r="L243" s="1369">
        <f t="shared" si="763"/>
        <v>0</v>
      </c>
      <c r="M243" s="1287"/>
      <c r="N243" s="1289"/>
      <c r="O243" s="1369">
        <f t="shared" si="764"/>
        <v>0</v>
      </c>
      <c r="P243" s="1287"/>
      <c r="Q243" s="1289"/>
      <c r="R243" s="1369">
        <f t="shared" si="765"/>
        <v>0</v>
      </c>
      <c r="S243" s="1287"/>
      <c r="T243" s="1289"/>
      <c r="U243" s="1369">
        <f t="shared" si="766"/>
        <v>0</v>
      </c>
      <c r="V243" s="1287"/>
      <c r="W243" s="1289"/>
      <c r="X243" s="1369">
        <f t="shared" si="767"/>
        <v>0</v>
      </c>
      <c r="Y243" s="1287"/>
      <c r="Z243" s="1289"/>
      <c r="AA243" s="1369">
        <f t="shared" si="768"/>
        <v>0</v>
      </c>
      <c r="AB243" s="1287"/>
      <c r="AC243" s="1289"/>
      <c r="AD243" s="1369">
        <f t="shared" si="769"/>
        <v>0</v>
      </c>
      <c r="AE243" s="1287"/>
      <c r="AF243" s="1289"/>
      <c r="AG243" s="1369">
        <f t="shared" si="770"/>
        <v>0</v>
      </c>
      <c r="AH243" s="1287"/>
      <c r="AI243" s="1289"/>
      <c r="AJ243" s="1369">
        <f t="shared" si="771"/>
        <v>0</v>
      </c>
      <c r="AK243" s="1287"/>
      <c r="AL243" s="1289"/>
      <c r="AM243" s="1369">
        <f t="shared" si="772"/>
        <v>0</v>
      </c>
      <c r="AN243" s="1287"/>
      <c r="AO243" s="1289"/>
      <c r="AP243" s="1369">
        <f t="shared" si="773"/>
        <v>0</v>
      </c>
      <c r="AQ243" s="1287"/>
      <c r="AR243" s="1289"/>
      <c r="AS243" s="1369">
        <f t="shared" si="774"/>
        <v>0</v>
      </c>
      <c r="AT243" s="1287"/>
      <c r="AU243" s="411"/>
      <c r="AV243" s="170"/>
      <c r="AW243" s="170"/>
      <c r="AX243" s="170"/>
      <c r="AY243" s="561" t="str">
        <f t="shared" si="775"/>
        <v>NA</v>
      </c>
      <c r="AZ243" s="561"/>
      <c r="BA243" s="562"/>
      <c r="BB243" s="170"/>
      <c r="BC243" s="562"/>
      <c r="BD243" s="566">
        <f t="shared" si="776"/>
        <v>0</v>
      </c>
      <c r="BE243" s="170"/>
      <c r="BF243" s="1477"/>
      <c r="BG243" s="566">
        <f t="shared" si="777"/>
        <v>0</v>
      </c>
      <c r="BH243" s="170"/>
      <c r="BI243" s="1477"/>
      <c r="BJ243" s="566">
        <f t="shared" si="778"/>
        <v>0</v>
      </c>
      <c r="BK243" s="561"/>
      <c r="BL243" s="1477"/>
      <c r="BM243" s="566">
        <f t="shared" si="779"/>
        <v>0</v>
      </c>
      <c r="BN243" s="170"/>
      <c r="BO243" s="1477"/>
      <c r="BP243" s="566">
        <f t="shared" si="780"/>
        <v>0</v>
      </c>
      <c r="BQ243" s="170"/>
      <c r="BR243" s="1477"/>
      <c r="BS243" s="566">
        <f t="shared" si="781"/>
        <v>0</v>
      </c>
      <c r="BT243" s="170"/>
      <c r="BU243" s="1477"/>
      <c r="BV243" s="566">
        <f t="shared" si="782"/>
        <v>0</v>
      </c>
      <c r="BW243" s="170"/>
      <c r="BX243" s="1477"/>
      <c r="BY243" s="566">
        <f t="shared" si="783"/>
        <v>0</v>
      </c>
      <c r="BZ243" s="170"/>
      <c r="CA243" s="1477"/>
      <c r="CB243" s="566">
        <f t="shared" si="784"/>
        <v>0</v>
      </c>
      <c r="CC243" s="170"/>
      <c r="CD243" s="1477"/>
      <c r="CE243" s="566">
        <f t="shared" si="785"/>
        <v>0</v>
      </c>
      <c r="CF243" s="170"/>
      <c r="CG243" s="1477"/>
      <c r="CH243" s="566">
        <f t="shared" si="786"/>
        <v>0</v>
      </c>
      <c r="CI243" s="170"/>
      <c r="CJ243" s="562"/>
      <c r="CK243" s="566">
        <f t="shared" si="787"/>
        <v>0</v>
      </c>
      <c r="CL243" s="566"/>
      <c r="CM243" s="170"/>
      <c r="CN243" s="170"/>
      <c r="CO243" s="382" t="str">
        <f t="shared" si="788"/>
        <v>NA</v>
      </c>
      <c r="CP243" s="382"/>
      <c r="CQ243" s="385"/>
      <c r="CR243" s="382"/>
      <c r="CS243" s="385"/>
      <c r="CT243" s="567">
        <f t="shared" si="789"/>
        <v>0</v>
      </c>
      <c r="CU243" s="382"/>
      <c r="CV243" s="385"/>
      <c r="CW243" s="567">
        <f t="shared" si="790"/>
        <v>0</v>
      </c>
      <c r="CX243" s="382"/>
      <c r="CY243" s="385"/>
      <c r="CZ243" s="567">
        <f t="shared" si="791"/>
        <v>0</v>
      </c>
      <c r="DA243" s="382"/>
      <c r="DB243" s="385"/>
      <c r="DC243" s="567">
        <f t="shared" si="792"/>
        <v>0</v>
      </c>
      <c r="DD243" s="382"/>
      <c r="DE243" s="385"/>
      <c r="DF243" s="567">
        <f t="shared" si="793"/>
        <v>0</v>
      </c>
      <c r="DG243" s="382"/>
      <c r="DH243" s="385"/>
      <c r="DI243" s="567">
        <f t="shared" si="794"/>
        <v>0</v>
      </c>
      <c r="DJ243" s="382"/>
      <c r="DK243" s="385"/>
      <c r="DL243" s="567">
        <f t="shared" si="795"/>
        <v>0</v>
      </c>
      <c r="DM243" s="382"/>
      <c r="DN243" s="385"/>
      <c r="DO243" s="567">
        <f t="shared" si="796"/>
        <v>0</v>
      </c>
      <c r="DP243" s="382"/>
      <c r="DQ243" s="385"/>
      <c r="DR243" s="567">
        <f t="shared" si="797"/>
        <v>0</v>
      </c>
      <c r="DS243" s="382"/>
      <c r="DT243" s="385"/>
      <c r="DU243" s="567">
        <f t="shared" si="798"/>
        <v>0</v>
      </c>
      <c r="DV243" s="382"/>
      <c r="DW243" s="385"/>
      <c r="DX243" s="567">
        <f t="shared" si="799"/>
        <v>0</v>
      </c>
      <c r="DY243" s="382"/>
      <c r="DZ243" s="385"/>
      <c r="EA243" s="568">
        <f t="shared" si="800"/>
        <v>0</v>
      </c>
      <c r="EB243" s="170"/>
      <c r="EC243" s="170"/>
      <c r="ED243" s="170"/>
      <c r="EE243" s="170"/>
      <c r="EF243" s="170"/>
      <c r="EG243" s="170"/>
      <c r="EH243" s="170"/>
      <c r="EI243" s="170"/>
      <c r="EJ243" s="170"/>
      <c r="EK243" s="170"/>
    </row>
    <row r="244" spans="1:141" ht="15" x14ac:dyDescent="0.25">
      <c r="A244" s="557"/>
      <c r="B244" s="472"/>
      <c r="C244" s="472"/>
      <c r="D244" s="472"/>
      <c r="E244" s="564">
        <v>28</v>
      </c>
      <c r="F244" s="170"/>
      <c r="G244" s="1339" t="str">
        <f>VLOOKUP(E244,Parameters!$D$159:$E$301,2)</f>
        <v>NA</v>
      </c>
      <c r="H244" s="1287"/>
      <c r="I244" s="1289"/>
      <c r="J244" s="1287"/>
      <c r="K244" s="1289"/>
      <c r="L244" s="1369">
        <f t="shared" si="763"/>
        <v>0</v>
      </c>
      <c r="M244" s="1287"/>
      <c r="N244" s="1289"/>
      <c r="O244" s="1369">
        <f t="shared" si="764"/>
        <v>0</v>
      </c>
      <c r="P244" s="1287"/>
      <c r="Q244" s="1289"/>
      <c r="R244" s="1369">
        <f t="shared" si="765"/>
        <v>0</v>
      </c>
      <c r="S244" s="1287"/>
      <c r="T244" s="1289"/>
      <c r="U244" s="1369">
        <f t="shared" si="766"/>
        <v>0</v>
      </c>
      <c r="V244" s="1287"/>
      <c r="W244" s="1289"/>
      <c r="X244" s="1369">
        <f t="shared" si="767"/>
        <v>0</v>
      </c>
      <c r="Y244" s="1287"/>
      <c r="Z244" s="1289"/>
      <c r="AA244" s="1369">
        <f t="shared" si="768"/>
        <v>0</v>
      </c>
      <c r="AB244" s="1287"/>
      <c r="AC244" s="1289"/>
      <c r="AD244" s="1369">
        <f t="shared" si="769"/>
        <v>0</v>
      </c>
      <c r="AE244" s="1287"/>
      <c r="AF244" s="1289"/>
      <c r="AG244" s="1369">
        <f t="shared" si="770"/>
        <v>0</v>
      </c>
      <c r="AH244" s="1287"/>
      <c r="AI244" s="1289"/>
      <c r="AJ244" s="1369">
        <f t="shared" si="771"/>
        <v>0</v>
      </c>
      <c r="AK244" s="1287"/>
      <c r="AL244" s="1289"/>
      <c r="AM244" s="1369">
        <f t="shared" si="772"/>
        <v>0</v>
      </c>
      <c r="AN244" s="1287"/>
      <c r="AO244" s="1289"/>
      <c r="AP244" s="1369">
        <f t="shared" si="773"/>
        <v>0</v>
      </c>
      <c r="AQ244" s="1287"/>
      <c r="AR244" s="1289"/>
      <c r="AS244" s="1369">
        <f t="shared" si="774"/>
        <v>0</v>
      </c>
      <c r="AT244" s="1287"/>
      <c r="AU244" s="411"/>
      <c r="AV244" s="170"/>
      <c r="AW244" s="170"/>
      <c r="AX244" s="170"/>
      <c r="AY244" s="561" t="str">
        <f t="shared" si="775"/>
        <v>NA</v>
      </c>
      <c r="AZ244" s="561"/>
      <c r="BA244" s="562"/>
      <c r="BB244" s="170"/>
      <c r="BC244" s="562"/>
      <c r="BD244" s="566">
        <f t="shared" si="776"/>
        <v>0</v>
      </c>
      <c r="BE244" s="170"/>
      <c r="BF244" s="1477"/>
      <c r="BG244" s="566">
        <f t="shared" si="777"/>
        <v>0</v>
      </c>
      <c r="BH244" s="170"/>
      <c r="BI244" s="1477"/>
      <c r="BJ244" s="566">
        <f t="shared" si="778"/>
        <v>0</v>
      </c>
      <c r="BK244" s="561"/>
      <c r="BL244" s="1477"/>
      <c r="BM244" s="566">
        <f t="shared" si="779"/>
        <v>0</v>
      </c>
      <c r="BN244" s="170"/>
      <c r="BO244" s="1477"/>
      <c r="BP244" s="566">
        <f t="shared" si="780"/>
        <v>0</v>
      </c>
      <c r="BQ244" s="170"/>
      <c r="BR244" s="1477"/>
      <c r="BS244" s="566">
        <f t="shared" si="781"/>
        <v>0</v>
      </c>
      <c r="BT244" s="170"/>
      <c r="BU244" s="1477"/>
      <c r="BV244" s="566">
        <f t="shared" si="782"/>
        <v>0</v>
      </c>
      <c r="BW244" s="170"/>
      <c r="BX244" s="1477"/>
      <c r="BY244" s="566">
        <f t="shared" si="783"/>
        <v>0</v>
      </c>
      <c r="BZ244" s="170"/>
      <c r="CA244" s="1477"/>
      <c r="CB244" s="566">
        <f t="shared" si="784"/>
        <v>0</v>
      </c>
      <c r="CC244" s="170"/>
      <c r="CD244" s="1477"/>
      <c r="CE244" s="566">
        <f t="shared" si="785"/>
        <v>0</v>
      </c>
      <c r="CF244" s="170"/>
      <c r="CG244" s="1477"/>
      <c r="CH244" s="566">
        <f t="shared" si="786"/>
        <v>0</v>
      </c>
      <c r="CI244" s="170"/>
      <c r="CJ244" s="562"/>
      <c r="CK244" s="566">
        <f t="shared" si="787"/>
        <v>0</v>
      </c>
      <c r="CL244" s="566"/>
      <c r="CM244" s="170"/>
      <c r="CN244" s="170"/>
      <c r="CO244" s="382" t="str">
        <f t="shared" si="788"/>
        <v>NA</v>
      </c>
      <c r="CP244" s="382"/>
      <c r="CQ244" s="385"/>
      <c r="CR244" s="382"/>
      <c r="CS244" s="385"/>
      <c r="CT244" s="567">
        <f t="shared" si="789"/>
        <v>0</v>
      </c>
      <c r="CU244" s="382"/>
      <c r="CV244" s="385"/>
      <c r="CW244" s="567">
        <f t="shared" si="790"/>
        <v>0</v>
      </c>
      <c r="CX244" s="382"/>
      <c r="CY244" s="385"/>
      <c r="CZ244" s="567">
        <f t="shared" si="791"/>
        <v>0</v>
      </c>
      <c r="DA244" s="382"/>
      <c r="DB244" s="385"/>
      <c r="DC244" s="567">
        <f t="shared" si="792"/>
        <v>0</v>
      </c>
      <c r="DD244" s="382"/>
      <c r="DE244" s="385"/>
      <c r="DF244" s="567">
        <f t="shared" si="793"/>
        <v>0</v>
      </c>
      <c r="DG244" s="382"/>
      <c r="DH244" s="385"/>
      <c r="DI244" s="567">
        <f t="shared" si="794"/>
        <v>0</v>
      </c>
      <c r="DJ244" s="382"/>
      <c r="DK244" s="385"/>
      <c r="DL244" s="567">
        <f t="shared" si="795"/>
        <v>0</v>
      </c>
      <c r="DM244" s="382"/>
      <c r="DN244" s="385"/>
      <c r="DO244" s="567">
        <f t="shared" si="796"/>
        <v>0</v>
      </c>
      <c r="DP244" s="382"/>
      <c r="DQ244" s="385"/>
      <c r="DR244" s="567">
        <f t="shared" si="797"/>
        <v>0</v>
      </c>
      <c r="DS244" s="382"/>
      <c r="DT244" s="385"/>
      <c r="DU244" s="567">
        <f t="shared" si="798"/>
        <v>0</v>
      </c>
      <c r="DV244" s="382"/>
      <c r="DW244" s="385"/>
      <c r="DX244" s="567">
        <f t="shared" si="799"/>
        <v>0</v>
      </c>
      <c r="DY244" s="382"/>
      <c r="DZ244" s="385"/>
      <c r="EA244" s="568">
        <f t="shared" si="800"/>
        <v>0</v>
      </c>
      <c r="EB244" s="170"/>
      <c r="EC244" s="170"/>
      <c r="ED244" s="170"/>
      <c r="EE244" s="170"/>
      <c r="EF244" s="170"/>
      <c r="EG244" s="170"/>
      <c r="EH244" s="170"/>
      <c r="EI244" s="170"/>
      <c r="EJ244" s="170"/>
      <c r="EK244" s="170"/>
    </row>
    <row r="245" spans="1:141" ht="15" x14ac:dyDescent="0.25">
      <c r="A245" s="557"/>
      <c r="B245" s="472"/>
      <c r="C245" s="472"/>
      <c r="D245" s="472"/>
      <c r="E245" s="564">
        <v>29</v>
      </c>
      <c r="F245" s="170"/>
      <c r="G245" s="1339" t="str">
        <f>VLOOKUP(E245,Parameters!$D$159:$E$301,2)</f>
        <v>NA</v>
      </c>
      <c r="H245" s="1287"/>
      <c r="I245" s="1289"/>
      <c r="J245" s="1287"/>
      <c r="K245" s="1289"/>
      <c r="L245" s="1369">
        <f t="shared" si="763"/>
        <v>0</v>
      </c>
      <c r="M245" s="1287"/>
      <c r="N245" s="1289"/>
      <c r="O245" s="1369">
        <f t="shared" si="764"/>
        <v>0</v>
      </c>
      <c r="P245" s="1287"/>
      <c r="Q245" s="1289"/>
      <c r="R245" s="1369">
        <f t="shared" si="765"/>
        <v>0</v>
      </c>
      <c r="S245" s="1287"/>
      <c r="T245" s="1289"/>
      <c r="U245" s="1369">
        <f t="shared" si="766"/>
        <v>0</v>
      </c>
      <c r="V245" s="1287"/>
      <c r="W245" s="1289"/>
      <c r="X245" s="1369">
        <f t="shared" si="767"/>
        <v>0</v>
      </c>
      <c r="Y245" s="1287"/>
      <c r="Z245" s="1289"/>
      <c r="AA245" s="1369">
        <f t="shared" si="768"/>
        <v>0</v>
      </c>
      <c r="AB245" s="1287"/>
      <c r="AC245" s="1289"/>
      <c r="AD245" s="1369">
        <f t="shared" si="769"/>
        <v>0</v>
      </c>
      <c r="AE245" s="1287"/>
      <c r="AF245" s="1289"/>
      <c r="AG245" s="1369">
        <f t="shared" si="770"/>
        <v>0</v>
      </c>
      <c r="AH245" s="1287"/>
      <c r="AI245" s="1289"/>
      <c r="AJ245" s="1369">
        <f t="shared" si="771"/>
        <v>0</v>
      </c>
      <c r="AK245" s="1287"/>
      <c r="AL245" s="1289"/>
      <c r="AM245" s="1369">
        <f t="shared" si="772"/>
        <v>0</v>
      </c>
      <c r="AN245" s="1287"/>
      <c r="AO245" s="1289"/>
      <c r="AP245" s="1369">
        <f t="shared" si="773"/>
        <v>0</v>
      </c>
      <c r="AQ245" s="1287"/>
      <c r="AR245" s="1289"/>
      <c r="AS245" s="1369">
        <f t="shared" si="774"/>
        <v>0</v>
      </c>
      <c r="AT245" s="1287"/>
      <c r="AU245" s="411"/>
      <c r="AV245" s="170"/>
      <c r="AW245" s="170"/>
      <c r="AX245" s="170"/>
      <c r="AY245" s="561" t="str">
        <f t="shared" si="775"/>
        <v>NA</v>
      </c>
      <c r="AZ245" s="561"/>
      <c r="BA245" s="562"/>
      <c r="BB245" s="170"/>
      <c r="BC245" s="562"/>
      <c r="BD245" s="566">
        <f t="shared" si="776"/>
        <v>0</v>
      </c>
      <c r="BE245" s="170"/>
      <c r="BF245" s="1477"/>
      <c r="BG245" s="566">
        <f t="shared" si="777"/>
        <v>0</v>
      </c>
      <c r="BH245" s="170"/>
      <c r="BI245" s="1477"/>
      <c r="BJ245" s="566">
        <f t="shared" si="778"/>
        <v>0</v>
      </c>
      <c r="BK245" s="561"/>
      <c r="BL245" s="1477"/>
      <c r="BM245" s="566">
        <f t="shared" si="779"/>
        <v>0</v>
      </c>
      <c r="BN245" s="170"/>
      <c r="BO245" s="1477"/>
      <c r="BP245" s="566">
        <f t="shared" si="780"/>
        <v>0</v>
      </c>
      <c r="BQ245" s="170"/>
      <c r="BR245" s="1477"/>
      <c r="BS245" s="566">
        <f t="shared" si="781"/>
        <v>0</v>
      </c>
      <c r="BT245" s="170"/>
      <c r="BU245" s="1477"/>
      <c r="BV245" s="566">
        <f t="shared" si="782"/>
        <v>0</v>
      </c>
      <c r="BW245" s="170"/>
      <c r="BX245" s="1477"/>
      <c r="BY245" s="566">
        <f t="shared" si="783"/>
        <v>0</v>
      </c>
      <c r="BZ245" s="170"/>
      <c r="CA245" s="1477"/>
      <c r="CB245" s="566">
        <f t="shared" si="784"/>
        <v>0</v>
      </c>
      <c r="CC245" s="170"/>
      <c r="CD245" s="1477"/>
      <c r="CE245" s="566">
        <f t="shared" si="785"/>
        <v>0</v>
      </c>
      <c r="CF245" s="170"/>
      <c r="CG245" s="1477"/>
      <c r="CH245" s="566">
        <f t="shared" si="786"/>
        <v>0</v>
      </c>
      <c r="CI245" s="170"/>
      <c r="CJ245" s="562"/>
      <c r="CK245" s="566">
        <f t="shared" si="787"/>
        <v>0</v>
      </c>
      <c r="CL245" s="566"/>
      <c r="CM245" s="170"/>
      <c r="CN245" s="170"/>
      <c r="CO245" s="382" t="str">
        <f t="shared" si="788"/>
        <v>NA</v>
      </c>
      <c r="CP245" s="382"/>
      <c r="CQ245" s="385"/>
      <c r="CR245" s="382"/>
      <c r="CS245" s="385"/>
      <c r="CT245" s="567">
        <f t="shared" si="789"/>
        <v>0</v>
      </c>
      <c r="CU245" s="382"/>
      <c r="CV245" s="385"/>
      <c r="CW245" s="567">
        <f t="shared" si="790"/>
        <v>0</v>
      </c>
      <c r="CX245" s="382"/>
      <c r="CY245" s="385"/>
      <c r="CZ245" s="567">
        <f t="shared" si="791"/>
        <v>0</v>
      </c>
      <c r="DA245" s="382"/>
      <c r="DB245" s="385"/>
      <c r="DC245" s="567">
        <f t="shared" si="792"/>
        <v>0</v>
      </c>
      <c r="DD245" s="382"/>
      <c r="DE245" s="385"/>
      <c r="DF245" s="567">
        <f t="shared" si="793"/>
        <v>0</v>
      </c>
      <c r="DG245" s="382"/>
      <c r="DH245" s="385"/>
      <c r="DI245" s="567">
        <f t="shared" si="794"/>
        <v>0</v>
      </c>
      <c r="DJ245" s="382"/>
      <c r="DK245" s="385"/>
      <c r="DL245" s="567">
        <f t="shared" si="795"/>
        <v>0</v>
      </c>
      <c r="DM245" s="382"/>
      <c r="DN245" s="385"/>
      <c r="DO245" s="567">
        <f t="shared" si="796"/>
        <v>0</v>
      </c>
      <c r="DP245" s="382"/>
      <c r="DQ245" s="385"/>
      <c r="DR245" s="567">
        <f t="shared" si="797"/>
        <v>0</v>
      </c>
      <c r="DS245" s="382"/>
      <c r="DT245" s="385"/>
      <c r="DU245" s="567">
        <f t="shared" si="798"/>
        <v>0</v>
      </c>
      <c r="DV245" s="382"/>
      <c r="DW245" s="385"/>
      <c r="DX245" s="567">
        <f t="shared" si="799"/>
        <v>0</v>
      </c>
      <c r="DY245" s="382"/>
      <c r="DZ245" s="385"/>
      <c r="EA245" s="568">
        <f t="shared" si="800"/>
        <v>0</v>
      </c>
      <c r="EB245" s="170"/>
      <c r="EC245" s="170"/>
      <c r="ED245" s="170"/>
      <c r="EE245" s="170"/>
      <c r="EF245" s="170"/>
      <c r="EG245" s="170"/>
      <c r="EH245" s="170"/>
      <c r="EI245" s="170"/>
      <c r="EJ245" s="170"/>
      <c r="EK245" s="170"/>
    </row>
    <row r="246" spans="1:141" ht="15" x14ac:dyDescent="0.25">
      <c r="A246" s="557"/>
      <c r="B246" s="472"/>
      <c r="C246" s="472"/>
      <c r="D246" s="472"/>
      <c r="E246" s="564">
        <v>30</v>
      </c>
      <c r="F246" s="170"/>
      <c r="G246" s="1339" t="str">
        <f>VLOOKUP(E246,Parameters!$D$159:$E$301,2)</f>
        <v>NA</v>
      </c>
      <c r="H246" s="1287"/>
      <c r="I246" s="1289"/>
      <c r="J246" s="1287"/>
      <c r="K246" s="1289"/>
      <c r="L246" s="1369">
        <f t="shared" si="763"/>
        <v>0</v>
      </c>
      <c r="M246" s="1287"/>
      <c r="N246" s="1289"/>
      <c r="O246" s="1369">
        <f t="shared" si="764"/>
        <v>0</v>
      </c>
      <c r="P246" s="1287"/>
      <c r="Q246" s="1289"/>
      <c r="R246" s="1369">
        <f t="shared" si="765"/>
        <v>0</v>
      </c>
      <c r="S246" s="1287"/>
      <c r="T246" s="1289"/>
      <c r="U246" s="1369">
        <f t="shared" si="766"/>
        <v>0</v>
      </c>
      <c r="V246" s="1287"/>
      <c r="W246" s="1289"/>
      <c r="X246" s="1369">
        <f t="shared" si="767"/>
        <v>0</v>
      </c>
      <c r="Y246" s="1287"/>
      <c r="Z246" s="1289"/>
      <c r="AA246" s="1369">
        <f t="shared" si="768"/>
        <v>0</v>
      </c>
      <c r="AB246" s="1287"/>
      <c r="AC246" s="1289"/>
      <c r="AD246" s="1369">
        <f t="shared" si="769"/>
        <v>0</v>
      </c>
      <c r="AE246" s="1287"/>
      <c r="AF246" s="1289"/>
      <c r="AG246" s="1369">
        <f t="shared" si="770"/>
        <v>0</v>
      </c>
      <c r="AH246" s="1287"/>
      <c r="AI246" s="1289"/>
      <c r="AJ246" s="1369">
        <f t="shared" si="771"/>
        <v>0</v>
      </c>
      <c r="AK246" s="1287"/>
      <c r="AL246" s="1289"/>
      <c r="AM246" s="1369">
        <f t="shared" si="772"/>
        <v>0</v>
      </c>
      <c r="AN246" s="1287"/>
      <c r="AO246" s="1289"/>
      <c r="AP246" s="1369">
        <f t="shared" si="773"/>
        <v>0</v>
      </c>
      <c r="AQ246" s="1287"/>
      <c r="AR246" s="1289"/>
      <c r="AS246" s="1369">
        <f t="shared" si="774"/>
        <v>0</v>
      </c>
      <c r="AT246" s="1287"/>
      <c r="AU246" s="411"/>
      <c r="AV246" s="170"/>
      <c r="AW246" s="170"/>
      <c r="AX246" s="170"/>
      <c r="AY246" s="561" t="str">
        <f t="shared" si="775"/>
        <v>NA</v>
      </c>
      <c r="AZ246" s="561"/>
      <c r="BA246" s="562"/>
      <c r="BB246" s="170"/>
      <c r="BC246" s="562"/>
      <c r="BD246" s="566">
        <f t="shared" si="776"/>
        <v>0</v>
      </c>
      <c r="BE246" s="170"/>
      <c r="BF246" s="1477"/>
      <c r="BG246" s="566">
        <f t="shared" si="777"/>
        <v>0</v>
      </c>
      <c r="BH246" s="170"/>
      <c r="BI246" s="1477"/>
      <c r="BJ246" s="566">
        <f t="shared" si="778"/>
        <v>0</v>
      </c>
      <c r="BK246" s="561"/>
      <c r="BL246" s="1477"/>
      <c r="BM246" s="566">
        <f t="shared" si="779"/>
        <v>0</v>
      </c>
      <c r="BN246" s="170"/>
      <c r="BO246" s="1477"/>
      <c r="BP246" s="566">
        <f t="shared" si="780"/>
        <v>0</v>
      </c>
      <c r="BQ246" s="170"/>
      <c r="BR246" s="1477"/>
      <c r="BS246" s="566">
        <f t="shared" si="781"/>
        <v>0</v>
      </c>
      <c r="BT246" s="170"/>
      <c r="BU246" s="1477"/>
      <c r="BV246" s="566">
        <f t="shared" si="782"/>
        <v>0</v>
      </c>
      <c r="BW246" s="170"/>
      <c r="BX246" s="1477"/>
      <c r="BY246" s="566">
        <f t="shared" si="783"/>
        <v>0</v>
      </c>
      <c r="BZ246" s="170"/>
      <c r="CA246" s="1477"/>
      <c r="CB246" s="566">
        <f t="shared" si="784"/>
        <v>0</v>
      </c>
      <c r="CC246" s="170"/>
      <c r="CD246" s="1477"/>
      <c r="CE246" s="566">
        <f t="shared" si="785"/>
        <v>0</v>
      </c>
      <c r="CF246" s="170"/>
      <c r="CG246" s="1477"/>
      <c r="CH246" s="566">
        <f t="shared" si="786"/>
        <v>0</v>
      </c>
      <c r="CI246" s="170"/>
      <c r="CJ246" s="562"/>
      <c r="CK246" s="566">
        <f t="shared" si="787"/>
        <v>0</v>
      </c>
      <c r="CL246" s="566"/>
      <c r="CM246" s="170"/>
      <c r="CN246" s="170"/>
      <c r="CO246" s="382" t="str">
        <f t="shared" si="788"/>
        <v>NA</v>
      </c>
      <c r="CP246" s="382"/>
      <c r="CQ246" s="385"/>
      <c r="CR246" s="382"/>
      <c r="CS246" s="385"/>
      <c r="CT246" s="567">
        <f t="shared" si="789"/>
        <v>0</v>
      </c>
      <c r="CU246" s="382"/>
      <c r="CV246" s="385"/>
      <c r="CW246" s="567">
        <f t="shared" si="790"/>
        <v>0</v>
      </c>
      <c r="CX246" s="382"/>
      <c r="CY246" s="385"/>
      <c r="CZ246" s="567">
        <f t="shared" si="791"/>
        <v>0</v>
      </c>
      <c r="DA246" s="382"/>
      <c r="DB246" s="385"/>
      <c r="DC246" s="567">
        <f t="shared" si="792"/>
        <v>0</v>
      </c>
      <c r="DD246" s="382"/>
      <c r="DE246" s="385"/>
      <c r="DF246" s="567">
        <f t="shared" si="793"/>
        <v>0</v>
      </c>
      <c r="DG246" s="382"/>
      <c r="DH246" s="385"/>
      <c r="DI246" s="567">
        <f t="shared" si="794"/>
        <v>0</v>
      </c>
      <c r="DJ246" s="382"/>
      <c r="DK246" s="385"/>
      <c r="DL246" s="567">
        <f t="shared" si="795"/>
        <v>0</v>
      </c>
      <c r="DM246" s="382"/>
      <c r="DN246" s="385"/>
      <c r="DO246" s="567">
        <f t="shared" si="796"/>
        <v>0</v>
      </c>
      <c r="DP246" s="382"/>
      <c r="DQ246" s="385"/>
      <c r="DR246" s="567">
        <f t="shared" si="797"/>
        <v>0</v>
      </c>
      <c r="DS246" s="382"/>
      <c r="DT246" s="385"/>
      <c r="DU246" s="567">
        <f t="shared" si="798"/>
        <v>0</v>
      </c>
      <c r="DV246" s="382"/>
      <c r="DW246" s="385"/>
      <c r="DX246" s="567">
        <f t="shared" si="799"/>
        <v>0</v>
      </c>
      <c r="DY246" s="382"/>
      <c r="DZ246" s="385"/>
      <c r="EA246" s="568">
        <f t="shared" si="800"/>
        <v>0</v>
      </c>
      <c r="EB246" s="170"/>
      <c r="EC246" s="170"/>
      <c r="ED246" s="170"/>
      <c r="EE246" s="170"/>
      <c r="EF246" s="170"/>
      <c r="EG246" s="170"/>
      <c r="EH246" s="170"/>
      <c r="EI246" s="170"/>
      <c r="EJ246" s="170"/>
      <c r="EK246" s="170"/>
    </row>
    <row r="247" spans="1:141" ht="15" x14ac:dyDescent="0.25">
      <c r="A247" s="557"/>
      <c r="B247" s="472"/>
      <c r="C247" s="472"/>
      <c r="D247" s="472"/>
      <c r="E247" s="564">
        <v>31</v>
      </c>
      <c r="F247" s="170"/>
      <c r="G247" s="1339" t="str">
        <f>VLOOKUP(E247,Parameters!$D$159:$E$301,2)</f>
        <v>NA</v>
      </c>
      <c r="H247" s="1287"/>
      <c r="I247" s="1289"/>
      <c r="J247" s="1287"/>
      <c r="K247" s="1289"/>
      <c r="L247" s="1369">
        <f t="shared" si="763"/>
        <v>0</v>
      </c>
      <c r="M247" s="1287"/>
      <c r="N247" s="1289"/>
      <c r="O247" s="1369">
        <f t="shared" si="764"/>
        <v>0</v>
      </c>
      <c r="P247" s="1287"/>
      <c r="Q247" s="1289"/>
      <c r="R247" s="1369">
        <f t="shared" si="765"/>
        <v>0</v>
      </c>
      <c r="S247" s="1287"/>
      <c r="T247" s="1289"/>
      <c r="U247" s="1369">
        <f t="shared" si="766"/>
        <v>0</v>
      </c>
      <c r="V247" s="1287"/>
      <c r="W247" s="1289"/>
      <c r="X247" s="1369">
        <f t="shared" si="767"/>
        <v>0</v>
      </c>
      <c r="Y247" s="1287"/>
      <c r="Z247" s="1289"/>
      <c r="AA247" s="1369">
        <f t="shared" si="768"/>
        <v>0</v>
      </c>
      <c r="AB247" s="1287"/>
      <c r="AC247" s="1289"/>
      <c r="AD247" s="1369">
        <f t="shared" si="769"/>
        <v>0</v>
      </c>
      <c r="AE247" s="1287"/>
      <c r="AF247" s="1289"/>
      <c r="AG247" s="1369">
        <f t="shared" si="770"/>
        <v>0</v>
      </c>
      <c r="AH247" s="1287"/>
      <c r="AI247" s="1289"/>
      <c r="AJ247" s="1369">
        <f t="shared" si="771"/>
        <v>0</v>
      </c>
      <c r="AK247" s="1287"/>
      <c r="AL247" s="1289"/>
      <c r="AM247" s="1369">
        <f t="shared" si="772"/>
        <v>0</v>
      </c>
      <c r="AN247" s="1287"/>
      <c r="AO247" s="1289"/>
      <c r="AP247" s="1369">
        <f t="shared" si="773"/>
        <v>0</v>
      </c>
      <c r="AQ247" s="1287"/>
      <c r="AR247" s="1289"/>
      <c r="AS247" s="1369">
        <f t="shared" si="774"/>
        <v>0</v>
      </c>
      <c r="AT247" s="1287"/>
      <c r="AU247" s="411"/>
      <c r="AV247" s="170"/>
      <c r="AW247" s="170"/>
      <c r="AX247" s="170"/>
      <c r="AY247" s="561" t="str">
        <f t="shared" si="775"/>
        <v>NA</v>
      </c>
      <c r="AZ247" s="561"/>
      <c r="BA247" s="562"/>
      <c r="BB247" s="170"/>
      <c r="BC247" s="562"/>
      <c r="BD247" s="566">
        <f t="shared" si="776"/>
        <v>0</v>
      </c>
      <c r="BE247" s="170"/>
      <c r="BF247" s="1477"/>
      <c r="BG247" s="566">
        <f t="shared" si="777"/>
        <v>0</v>
      </c>
      <c r="BH247" s="170"/>
      <c r="BI247" s="1477"/>
      <c r="BJ247" s="566">
        <f t="shared" si="778"/>
        <v>0</v>
      </c>
      <c r="BK247" s="561"/>
      <c r="BL247" s="1477"/>
      <c r="BM247" s="566">
        <f t="shared" si="779"/>
        <v>0</v>
      </c>
      <c r="BN247" s="170"/>
      <c r="BO247" s="1477"/>
      <c r="BP247" s="566">
        <f t="shared" si="780"/>
        <v>0</v>
      </c>
      <c r="BQ247" s="170"/>
      <c r="BR247" s="1477"/>
      <c r="BS247" s="566">
        <f t="shared" si="781"/>
        <v>0</v>
      </c>
      <c r="BT247" s="170"/>
      <c r="BU247" s="1477"/>
      <c r="BV247" s="566">
        <f t="shared" si="782"/>
        <v>0</v>
      </c>
      <c r="BW247" s="170"/>
      <c r="BX247" s="1477"/>
      <c r="BY247" s="566">
        <f t="shared" si="783"/>
        <v>0</v>
      </c>
      <c r="BZ247" s="170"/>
      <c r="CA247" s="1477"/>
      <c r="CB247" s="566">
        <f t="shared" si="784"/>
        <v>0</v>
      </c>
      <c r="CC247" s="170"/>
      <c r="CD247" s="1477"/>
      <c r="CE247" s="566">
        <f t="shared" si="785"/>
        <v>0</v>
      </c>
      <c r="CF247" s="170"/>
      <c r="CG247" s="1477"/>
      <c r="CH247" s="566">
        <f t="shared" si="786"/>
        <v>0</v>
      </c>
      <c r="CI247" s="170"/>
      <c r="CJ247" s="562"/>
      <c r="CK247" s="566">
        <f t="shared" si="787"/>
        <v>0</v>
      </c>
      <c r="CL247" s="566"/>
      <c r="CM247" s="170"/>
      <c r="CN247" s="170"/>
      <c r="CO247" s="382" t="str">
        <f t="shared" si="788"/>
        <v>NA</v>
      </c>
      <c r="CP247" s="382"/>
      <c r="CQ247" s="385"/>
      <c r="CR247" s="382"/>
      <c r="CS247" s="385"/>
      <c r="CT247" s="567">
        <f t="shared" si="789"/>
        <v>0</v>
      </c>
      <c r="CU247" s="382"/>
      <c r="CV247" s="385"/>
      <c r="CW247" s="567">
        <f t="shared" si="790"/>
        <v>0</v>
      </c>
      <c r="CX247" s="382"/>
      <c r="CY247" s="385"/>
      <c r="CZ247" s="567">
        <f t="shared" si="791"/>
        <v>0</v>
      </c>
      <c r="DA247" s="382"/>
      <c r="DB247" s="385"/>
      <c r="DC247" s="567">
        <f t="shared" si="792"/>
        <v>0</v>
      </c>
      <c r="DD247" s="382"/>
      <c r="DE247" s="385"/>
      <c r="DF247" s="567">
        <f t="shared" si="793"/>
        <v>0</v>
      </c>
      <c r="DG247" s="382"/>
      <c r="DH247" s="385"/>
      <c r="DI247" s="567">
        <f t="shared" si="794"/>
        <v>0</v>
      </c>
      <c r="DJ247" s="382"/>
      <c r="DK247" s="385"/>
      <c r="DL247" s="567">
        <f t="shared" si="795"/>
        <v>0</v>
      </c>
      <c r="DM247" s="382"/>
      <c r="DN247" s="385"/>
      <c r="DO247" s="567">
        <f t="shared" si="796"/>
        <v>0</v>
      </c>
      <c r="DP247" s="382"/>
      <c r="DQ247" s="385"/>
      <c r="DR247" s="567">
        <f t="shared" si="797"/>
        <v>0</v>
      </c>
      <c r="DS247" s="382"/>
      <c r="DT247" s="385"/>
      <c r="DU247" s="567">
        <f t="shared" si="798"/>
        <v>0</v>
      </c>
      <c r="DV247" s="382"/>
      <c r="DW247" s="385"/>
      <c r="DX247" s="567">
        <f t="shared" si="799"/>
        <v>0</v>
      </c>
      <c r="DY247" s="382"/>
      <c r="DZ247" s="385"/>
      <c r="EA247" s="568">
        <f t="shared" si="800"/>
        <v>0</v>
      </c>
      <c r="EB247" s="170"/>
      <c r="EC247" s="170"/>
      <c r="ED247" s="170"/>
      <c r="EE247" s="170"/>
      <c r="EF247" s="170"/>
      <c r="EG247" s="170"/>
      <c r="EH247" s="170"/>
      <c r="EI247" s="170"/>
      <c r="EJ247" s="170"/>
      <c r="EK247" s="170"/>
    </row>
    <row r="248" spans="1:141" ht="15" x14ac:dyDescent="0.25">
      <c r="A248" s="557"/>
      <c r="B248" s="472"/>
      <c r="C248" s="472"/>
      <c r="D248" s="472"/>
      <c r="E248" s="564">
        <v>32</v>
      </c>
      <c r="F248" s="170"/>
      <c r="G248" s="1339" t="str">
        <f>VLOOKUP(E248,Parameters!$D$159:$E$301,2)</f>
        <v>NA</v>
      </c>
      <c r="H248" s="1287"/>
      <c r="I248" s="1289"/>
      <c r="J248" s="1287"/>
      <c r="K248" s="1289"/>
      <c r="L248" s="1369">
        <f t="shared" si="763"/>
        <v>0</v>
      </c>
      <c r="M248" s="1287"/>
      <c r="N248" s="1289"/>
      <c r="O248" s="1369">
        <f t="shared" si="764"/>
        <v>0</v>
      </c>
      <c r="P248" s="1287"/>
      <c r="Q248" s="1289"/>
      <c r="R248" s="1369">
        <f t="shared" si="765"/>
        <v>0</v>
      </c>
      <c r="S248" s="1287"/>
      <c r="T248" s="1289"/>
      <c r="U248" s="1369">
        <f t="shared" si="766"/>
        <v>0</v>
      </c>
      <c r="V248" s="1287"/>
      <c r="W248" s="1289"/>
      <c r="X248" s="1369">
        <f t="shared" si="767"/>
        <v>0</v>
      </c>
      <c r="Y248" s="1287"/>
      <c r="Z248" s="1289"/>
      <c r="AA248" s="1369">
        <f t="shared" si="768"/>
        <v>0</v>
      </c>
      <c r="AB248" s="1287"/>
      <c r="AC248" s="1289"/>
      <c r="AD248" s="1369">
        <f t="shared" si="769"/>
        <v>0</v>
      </c>
      <c r="AE248" s="1287"/>
      <c r="AF248" s="1289"/>
      <c r="AG248" s="1369">
        <f t="shared" si="770"/>
        <v>0</v>
      </c>
      <c r="AH248" s="1287"/>
      <c r="AI248" s="1289"/>
      <c r="AJ248" s="1369">
        <f t="shared" si="771"/>
        <v>0</v>
      </c>
      <c r="AK248" s="1287"/>
      <c r="AL248" s="1289"/>
      <c r="AM248" s="1369">
        <f t="shared" si="772"/>
        <v>0</v>
      </c>
      <c r="AN248" s="1287"/>
      <c r="AO248" s="1289"/>
      <c r="AP248" s="1369">
        <f t="shared" si="773"/>
        <v>0</v>
      </c>
      <c r="AQ248" s="1287"/>
      <c r="AR248" s="1289"/>
      <c r="AS248" s="1369">
        <f t="shared" si="774"/>
        <v>0</v>
      </c>
      <c r="AT248" s="1287"/>
      <c r="AU248" s="411"/>
      <c r="AV248" s="170"/>
      <c r="AW248" s="170"/>
      <c r="AX248" s="170"/>
      <c r="AY248" s="561" t="str">
        <f t="shared" si="775"/>
        <v>NA</v>
      </c>
      <c r="AZ248" s="561"/>
      <c r="BA248" s="562"/>
      <c r="BB248" s="170"/>
      <c r="BC248" s="562"/>
      <c r="BD248" s="566">
        <f t="shared" si="776"/>
        <v>0</v>
      </c>
      <c r="BE248" s="170"/>
      <c r="BF248" s="1477"/>
      <c r="BG248" s="566">
        <f t="shared" si="777"/>
        <v>0</v>
      </c>
      <c r="BH248" s="170"/>
      <c r="BI248" s="1477"/>
      <c r="BJ248" s="566">
        <f t="shared" si="778"/>
        <v>0</v>
      </c>
      <c r="BK248" s="561"/>
      <c r="BL248" s="1477"/>
      <c r="BM248" s="566">
        <f t="shared" si="779"/>
        <v>0</v>
      </c>
      <c r="BN248" s="170"/>
      <c r="BO248" s="1477"/>
      <c r="BP248" s="566">
        <f t="shared" si="780"/>
        <v>0</v>
      </c>
      <c r="BQ248" s="170"/>
      <c r="BR248" s="1477"/>
      <c r="BS248" s="566">
        <f t="shared" si="781"/>
        <v>0</v>
      </c>
      <c r="BT248" s="170"/>
      <c r="BU248" s="1477"/>
      <c r="BV248" s="566">
        <f t="shared" si="782"/>
        <v>0</v>
      </c>
      <c r="BW248" s="170"/>
      <c r="BX248" s="1477"/>
      <c r="BY248" s="566">
        <f t="shared" si="783"/>
        <v>0</v>
      </c>
      <c r="BZ248" s="170"/>
      <c r="CA248" s="1477"/>
      <c r="CB248" s="566">
        <f t="shared" si="784"/>
        <v>0</v>
      </c>
      <c r="CC248" s="170"/>
      <c r="CD248" s="1477"/>
      <c r="CE248" s="566">
        <f t="shared" si="785"/>
        <v>0</v>
      </c>
      <c r="CF248" s="170"/>
      <c r="CG248" s="1477"/>
      <c r="CH248" s="566">
        <f t="shared" si="786"/>
        <v>0</v>
      </c>
      <c r="CI248" s="170"/>
      <c r="CJ248" s="562"/>
      <c r="CK248" s="566">
        <f t="shared" si="787"/>
        <v>0</v>
      </c>
      <c r="CL248" s="566"/>
      <c r="CM248" s="170"/>
      <c r="CN248" s="170"/>
      <c r="CO248" s="382" t="str">
        <f t="shared" si="788"/>
        <v>NA</v>
      </c>
      <c r="CP248" s="382"/>
      <c r="CQ248" s="385"/>
      <c r="CR248" s="382"/>
      <c r="CS248" s="385"/>
      <c r="CT248" s="567">
        <f t="shared" si="789"/>
        <v>0</v>
      </c>
      <c r="CU248" s="382"/>
      <c r="CV248" s="385"/>
      <c r="CW248" s="567">
        <f t="shared" si="790"/>
        <v>0</v>
      </c>
      <c r="CX248" s="382"/>
      <c r="CY248" s="385"/>
      <c r="CZ248" s="567">
        <f t="shared" si="791"/>
        <v>0</v>
      </c>
      <c r="DA248" s="382"/>
      <c r="DB248" s="385"/>
      <c r="DC248" s="567">
        <f t="shared" si="792"/>
        <v>0</v>
      </c>
      <c r="DD248" s="382"/>
      <c r="DE248" s="385"/>
      <c r="DF248" s="567">
        <f t="shared" si="793"/>
        <v>0</v>
      </c>
      <c r="DG248" s="382"/>
      <c r="DH248" s="385"/>
      <c r="DI248" s="567">
        <f t="shared" si="794"/>
        <v>0</v>
      </c>
      <c r="DJ248" s="382"/>
      <c r="DK248" s="385"/>
      <c r="DL248" s="567">
        <f t="shared" si="795"/>
        <v>0</v>
      </c>
      <c r="DM248" s="382"/>
      <c r="DN248" s="385"/>
      <c r="DO248" s="567">
        <f t="shared" si="796"/>
        <v>0</v>
      </c>
      <c r="DP248" s="382"/>
      <c r="DQ248" s="385"/>
      <c r="DR248" s="567">
        <f t="shared" si="797"/>
        <v>0</v>
      </c>
      <c r="DS248" s="382"/>
      <c r="DT248" s="385"/>
      <c r="DU248" s="567">
        <f t="shared" si="798"/>
        <v>0</v>
      </c>
      <c r="DV248" s="382"/>
      <c r="DW248" s="385"/>
      <c r="DX248" s="567">
        <f t="shared" si="799"/>
        <v>0</v>
      </c>
      <c r="DY248" s="382"/>
      <c r="DZ248" s="385"/>
      <c r="EA248" s="568">
        <f t="shared" si="800"/>
        <v>0</v>
      </c>
      <c r="EB248" s="170"/>
      <c r="EC248" s="170"/>
      <c r="ED248" s="170"/>
      <c r="EE248" s="170"/>
      <c r="EF248" s="170"/>
      <c r="EG248" s="170"/>
      <c r="EH248" s="170"/>
      <c r="EI248" s="170"/>
      <c r="EJ248" s="170"/>
      <c r="EK248" s="170"/>
    </row>
    <row r="249" spans="1:141" ht="15" x14ac:dyDescent="0.25">
      <c r="A249" s="557"/>
      <c r="B249" s="472"/>
      <c r="C249" s="472"/>
      <c r="D249" s="472"/>
      <c r="E249" s="564">
        <v>33</v>
      </c>
      <c r="F249" s="170"/>
      <c r="G249" s="1339" t="str">
        <f>VLOOKUP(E249,Parameters!$D$159:$E$301,2)</f>
        <v>NA</v>
      </c>
      <c r="H249" s="1287"/>
      <c r="I249" s="1289"/>
      <c r="J249" s="1287"/>
      <c r="K249" s="1289"/>
      <c r="L249" s="1369">
        <f t="shared" ref="L249:L277" si="801">SUMIF($E$12:$E$201,$E249,L$12:L$201)</f>
        <v>0</v>
      </c>
      <c r="M249" s="1287"/>
      <c r="N249" s="1289"/>
      <c r="O249" s="1369">
        <f t="shared" ref="O249:O277" si="802">SUMIF($E$12:$E$201,$E249,O$12:O$201)</f>
        <v>0</v>
      </c>
      <c r="P249" s="1287"/>
      <c r="Q249" s="1289"/>
      <c r="R249" s="1369">
        <f t="shared" ref="R249:R277" si="803">SUMIF($E$12:$E$201,$E249,R$12:R$201)</f>
        <v>0</v>
      </c>
      <c r="S249" s="1287"/>
      <c r="T249" s="1289"/>
      <c r="U249" s="1369">
        <f t="shared" ref="U249:U277" si="804">SUMIF($E$12:$E$201,$E249,U$12:U$201)</f>
        <v>0</v>
      </c>
      <c r="V249" s="1287"/>
      <c r="W249" s="1289"/>
      <c r="X249" s="1369">
        <f t="shared" ref="X249:X277" si="805">SUMIF($E$12:$E$201,$E249,X$12:X$201)</f>
        <v>0</v>
      </c>
      <c r="Y249" s="1287"/>
      <c r="Z249" s="1289"/>
      <c r="AA249" s="1369">
        <f t="shared" ref="AA249:AA277" si="806">SUMIF($E$12:$E$201,$E249,AA$12:AA$201)</f>
        <v>0</v>
      </c>
      <c r="AB249" s="1287"/>
      <c r="AC249" s="1289"/>
      <c r="AD249" s="1369">
        <f t="shared" ref="AD249:AD277" si="807">SUMIF($E$12:$E$201,$E249,AD$12:AD$201)</f>
        <v>0</v>
      </c>
      <c r="AE249" s="1287"/>
      <c r="AF249" s="1289"/>
      <c r="AG249" s="1369">
        <f t="shared" ref="AG249:AG277" si="808">SUMIF($E$12:$E$201,$E249,AG$12:AG$201)</f>
        <v>0</v>
      </c>
      <c r="AH249" s="1287"/>
      <c r="AI249" s="1289"/>
      <c r="AJ249" s="1369">
        <f t="shared" ref="AJ249:AJ277" si="809">SUMIF($E$12:$E$201,$E249,AJ$12:AJ$201)</f>
        <v>0</v>
      </c>
      <c r="AK249" s="1287"/>
      <c r="AL249" s="1289"/>
      <c r="AM249" s="1369">
        <f t="shared" ref="AM249:AM277" si="810">SUMIF($E$12:$E$201,$E249,AM$12:AM$201)</f>
        <v>0</v>
      </c>
      <c r="AN249" s="1287"/>
      <c r="AO249" s="1289"/>
      <c r="AP249" s="1369">
        <f t="shared" ref="AP249:AP277" si="811">SUMIF($E$12:$E$201,$E249,AP$12:AP$201)</f>
        <v>0</v>
      </c>
      <c r="AQ249" s="1287"/>
      <c r="AR249" s="1289"/>
      <c r="AS249" s="1369">
        <f t="shared" ref="AS249:AS277" si="812">SUMIF($E$12:$E$201,$E249,AS$12:AS$201)</f>
        <v>0</v>
      </c>
      <c r="AT249" s="1287"/>
      <c r="AU249" s="411"/>
      <c r="AV249" s="170"/>
      <c r="AW249" s="170"/>
      <c r="AX249" s="170"/>
      <c r="AY249" s="561" t="str">
        <f t="shared" ref="AY249:AY277" si="813">+G249</f>
        <v>NA</v>
      </c>
      <c r="AZ249" s="561"/>
      <c r="BA249" s="562"/>
      <c r="BB249" s="170"/>
      <c r="BC249" s="562"/>
      <c r="BD249" s="566">
        <f t="shared" ref="BD249:BD277" si="814">SUMIF($E$12:$E$201,$E249,BD$12:BD$201)</f>
        <v>0</v>
      </c>
      <c r="BE249" s="170"/>
      <c r="BF249" s="1477"/>
      <c r="BG249" s="566">
        <f t="shared" ref="BG249:BG277" si="815">SUMIF($E$12:$E$201,$E249,BG$12:BG$201)</f>
        <v>0</v>
      </c>
      <c r="BH249" s="170"/>
      <c r="BI249" s="1477"/>
      <c r="BJ249" s="566">
        <f t="shared" ref="BJ249:BJ277" si="816">SUMIF($E$12:$E$201,$E249,BJ$12:BJ$201)</f>
        <v>0</v>
      </c>
      <c r="BK249" s="561"/>
      <c r="BL249" s="1477"/>
      <c r="BM249" s="566">
        <f t="shared" ref="BM249:BM277" si="817">SUMIF($E$12:$E$201,$E249,BM$12:BM$201)</f>
        <v>0</v>
      </c>
      <c r="BN249" s="170"/>
      <c r="BO249" s="1477"/>
      <c r="BP249" s="566">
        <f t="shared" ref="BP249:BP277" si="818">SUMIF($E$12:$E$201,$E249,BP$12:BP$201)</f>
        <v>0</v>
      </c>
      <c r="BQ249" s="170"/>
      <c r="BR249" s="1477"/>
      <c r="BS249" s="566">
        <f t="shared" ref="BS249:BS277" si="819">SUMIF($E$12:$E$201,$E249,BS$12:BS$201)</f>
        <v>0</v>
      </c>
      <c r="BT249" s="170"/>
      <c r="BU249" s="1477"/>
      <c r="BV249" s="566">
        <f t="shared" ref="BV249:BV277" si="820">SUMIF($E$12:$E$201,$E249,BV$12:BV$201)</f>
        <v>0</v>
      </c>
      <c r="BW249" s="170"/>
      <c r="BX249" s="1477"/>
      <c r="BY249" s="566">
        <f t="shared" ref="BY249:BY277" si="821">SUMIF($E$12:$E$201,$E249,BY$12:BY$201)</f>
        <v>0</v>
      </c>
      <c r="BZ249" s="170"/>
      <c r="CA249" s="1477"/>
      <c r="CB249" s="566">
        <f t="shared" ref="CB249:CB277" si="822">SUMIF($E$12:$E$201,$E249,CB$12:CB$201)</f>
        <v>0</v>
      </c>
      <c r="CC249" s="170"/>
      <c r="CD249" s="1477"/>
      <c r="CE249" s="566">
        <f t="shared" ref="CE249:CE277" si="823">SUMIF($E$12:$E$201,$E249,CE$12:CE$201)</f>
        <v>0</v>
      </c>
      <c r="CF249" s="170"/>
      <c r="CG249" s="1477"/>
      <c r="CH249" s="566">
        <f t="shared" ref="CH249:CH277" si="824">SUMIF($E$12:$E$201,$E249,CH$12:CH$201)</f>
        <v>0</v>
      </c>
      <c r="CI249" s="170"/>
      <c r="CJ249" s="562"/>
      <c r="CK249" s="566">
        <f t="shared" ref="CK249:CK277" si="825">SUMIF($E$12:$E$201,$E249,CK$12:CK$201)</f>
        <v>0</v>
      </c>
      <c r="CL249" s="566"/>
      <c r="CM249" s="170"/>
      <c r="CN249" s="170"/>
      <c r="CO249" s="382" t="str">
        <f t="shared" ref="CO249:CO277" si="826">+G249</f>
        <v>NA</v>
      </c>
      <c r="CP249" s="382"/>
      <c r="CQ249" s="385"/>
      <c r="CR249" s="382"/>
      <c r="CS249" s="385"/>
      <c r="CT249" s="567">
        <f t="shared" ref="CT249:CT277" si="827">SUMIF($E$12:$E$201,$E249,CT$12:CT$201)</f>
        <v>0</v>
      </c>
      <c r="CU249" s="382"/>
      <c r="CV249" s="385"/>
      <c r="CW249" s="567">
        <f t="shared" ref="CW249:CW277" si="828">SUMIF($E$12:$E$201,$E249,CW$12:CW$201)</f>
        <v>0</v>
      </c>
      <c r="CX249" s="382"/>
      <c r="CY249" s="385"/>
      <c r="CZ249" s="567">
        <f t="shared" ref="CZ249:CZ277" si="829">SUMIF($E$12:$E$201,$E249,CZ$12:CZ$201)</f>
        <v>0</v>
      </c>
      <c r="DA249" s="382"/>
      <c r="DB249" s="385"/>
      <c r="DC249" s="567">
        <f t="shared" ref="DC249:DC277" si="830">SUMIF($E$12:$E$201,$E249,DC$12:DC$201)</f>
        <v>0</v>
      </c>
      <c r="DD249" s="382"/>
      <c r="DE249" s="385"/>
      <c r="DF249" s="567">
        <f t="shared" ref="DF249:DF277" si="831">SUMIF($E$12:$E$201,$E249,DF$12:DF$201)</f>
        <v>0</v>
      </c>
      <c r="DG249" s="382"/>
      <c r="DH249" s="385"/>
      <c r="DI249" s="567">
        <f t="shared" ref="DI249:DI277" si="832">SUMIF($E$12:$E$201,$E249,DI$12:DI$201)</f>
        <v>0</v>
      </c>
      <c r="DJ249" s="382"/>
      <c r="DK249" s="385"/>
      <c r="DL249" s="567">
        <f t="shared" ref="DL249:DL277" si="833">SUMIF($E$12:$E$201,$E249,DL$12:DL$201)</f>
        <v>0</v>
      </c>
      <c r="DM249" s="382"/>
      <c r="DN249" s="385"/>
      <c r="DO249" s="567">
        <f t="shared" ref="DO249:DO277" si="834">SUMIF($E$12:$E$201,$E249,DO$12:DO$201)</f>
        <v>0</v>
      </c>
      <c r="DP249" s="382"/>
      <c r="DQ249" s="385"/>
      <c r="DR249" s="567">
        <f t="shared" ref="DR249:DR277" si="835">SUMIF($E$12:$E$201,$E249,DR$12:DR$201)</f>
        <v>0</v>
      </c>
      <c r="DS249" s="382"/>
      <c r="DT249" s="385"/>
      <c r="DU249" s="567">
        <f t="shared" ref="DU249:DU277" si="836">SUMIF($E$12:$E$201,$E249,DU$12:DU$201)</f>
        <v>0</v>
      </c>
      <c r="DV249" s="382"/>
      <c r="DW249" s="385"/>
      <c r="DX249" s="567">
        <f t="shared" ref="DX249:DX277" si="837">SUMIF($E$12:$E$201,$E249,DX$12:DX$201)</f>
        <v>0</v>
      </c>
      <c r="DY249" s="382"/>
      <c r="DZ249" s="385"/>
      <c r="EA249" s="568">
        <f t="shared" ref="EA249:EA277" si="838">SUMIF($E$12:$E$201,$E249,EA$12:EA$201)</f>
        <v>0</v>
      </c>
      <c r="EB249" s="170"/>
      <c r="EC249" s="170"/>
      <c r="ED249" s="170"/>
      <c r="EE249" s="170"/>
      <c r="EF249" s="170"/>
      <c r="EG249" s="170"/>
      <c r="EH249" s="170"/>
      <c r="EI249" s="170"/>
      <c r="EJ249" s="170"/>
      <c r="EK249" s="170"/>
    </row>
    <row r="250" spans="1:141" ht="15" x14ac:dyDescent="0.25">
      <c r="A250" s="557"/>
      <c r="B250" s="472"/>
      <c r="C250" s="472"/>
      <c r="D250" s="472"/>
      <c r="E250" s="564">
        <v>34</v>
      </c>
      <c r="F250" s="170"/>
      <c r="G250" s="1339" t="str">
        <f>VLOOKUP(E250,Parameters!$D$159:$E$301,2)</f>
        <v>NA</v>
      </c>
      <c r="H250" s="1287"/>
      <c r="I250" s="1289"/>
      <c r="J250" s="1287"/>
      <c r="K250" s="1289"/>
      <c r="L250" s="1369">
        <f t="shared" si="801"/>
        <v>0</v>
      </c>
      <c r="M250" s="1287"/>
      <c r="N250" s="1289"/>
      <c r="O250" s="1369">
        <f t="shared" si="802"/>
        <v>0</v>
      </c>
      <c r="P250" s="1287"/>
      <c r="Q250" s="1289"/>
      <c r="R250" s="1369">
        <f t="shared" si="803"/>
        <v>0</v>
      </c>
      <c r="S250" s="1287"/>
      <c r="T250" s="1289"/>
      <c r="U250" s="1369">
        <f t="shared" si="804"/>
        <v>0</v>
      </c>
      <c r="V250" s="1287"/>
      <c r="W250" s="1289"/>
      <c r="X250" s="1369">
        <f t="shared" si="805"/>
        <v>0</v>
      </c>
      <c r="Y250" s="1287"/>
      <c r="Z250" s="1289"/>
      <c r="AA250" s="1369">
        <f t="shared" si="806"/>
        <v>0</v>
      </c>
      <c r="AB250" s="1287"/>
      <c r="AC250" s="1289"/>
      <c r="AD250" s="1369">
        <f t="shared" si="807"/>
        <v>0</v>
      </c>
      <c r="AE250" s="1287"/>
      <c r="AF250" s="1289"/>
      <c r="AG250" s="1369">
        <f t="shared" si="808"/>
        <v>0</v>
      </c>
      <c r="AH250" s="1287"/>
      <c r="AI250" s="1289"/>
      <c r="AJ250" s="1369">
        <f t="shared" si="809"/>
        <v>0</v>
      </c>
      <c r="AK250" s="1287"/>
      <c r="AL250" s="1289"/>
      <c r="AM250" s="1369">
        <f t="shared" si="810"/>
        <v>0</v>
      </c>
      <c r="AN250" s="1287"/>
      <c r="AO250" s="1289"/>
      <c r="AP250" s="1369">
        <f t="shared" si="811"/>
        <v>0</v>
      </c>
      <c r="AQ250" s="1287"/>
      <c r="AR250" s="1289"/>
      <c r="AS250" s="1369">
        <f t="shared" si="812"/>
        <v>0</v>
      </c>
      <c r="AT250" s="1287"/>
      <c r="AU250" s="411"/>
      <c r="AV250" s="170"/>
      <c r="AW250" s="170"/>
      <c r="AX250" s="170"/>
      <c r="AY250" s="561" t="str">
        <f t="shared" si="813"/>
        <v>NA</v>
      </c>
      <c r="AZ250" s="561"/>
      <c r="BA250" s="562"/>
      <c r="BB250" s="170"/>
      <c r="BC250" s="562"/>
      <c r="BD250" s="566">
        <f t="shared" si="814"/>
        <v>0</v>
      </c>
      <c r="BE250" s="170"/>
      <c r="BF250" s="1477"/>
      <c r="BG250" s="566">
        <f t="shared" si="815"/>
        <v>0</v>
      </c>
      <c r="BH250" s="170"/>
      <c r="BI250" s="1477"/>
      <c r="BJ250" s="566">
        <f t="shared" si="816"/>
        <v>0</v>
      </c>
      <c r="BK250" s="561"/>
      <c r="BL250" s="1477"/>
      <c r="BM250" s="566">
        <f t="shared" si="817"/>
        <v>0</v>
      </c>
      <c r="BN250" s="170"/>
      <c r="BO250" s="1477"/>
      <c r="BP250" s="566">
        <f t="shared" si="818"/>
        <v>0</v>
      </c>
      <c r="BQ250" s="170"/>
      <c r="BR250" s="1477"/>
      <c r="BS250" s="566">
        <f t="shared" si="819"/>
        <v>0</v>
      </c>
      <c r="BT250" s="170"/>
      <c r="BU250" s="1477"/>
      <c r="BV250" s="566">
        <f t="shared" si="820"/>
        <v>0</v>
      </c>
      <c r="BW250" s="170"/>
      <c r="BX250" s="1477"/>
      <c r="BY250" s="566">
        <f t="shared" si="821"/>
        <v>0</v>
      </c>
      <c r="BZ250" s="170"/>
      <c r="CA250" s="1477"/>
      <c r="CB250" s="566">
        <f t="shared" si="822"/>
        <v>0</v>
      </c>
      <c r="CC250" s="170"/>
      <c r="CD250" s="1477"/>
      <c r="CE250" s="566">
        <f t="shared" si="823"/>
        <v>0</v>
      </c>
      <c r="CF250" s="170"/>
      <c r="CG250" s="1477"/>
      <c r="CH250" s="566">
        <f t="shared" si="824"/>
        <v>0</v>
      </c>
      <c r="CI250" s="170"/>
      <c r="CJ250" s="562"/>
      <c r="CK250" s="566">
        <f t="shared" si="825"/>
        <v>0</v>
      </c>
      <c r="CL250" s="566"/>
      <c r="CM250" s="170"/>
      <c r="CN250" s="170"/>
      <c r="CO250" s="382" t="str">
        <f t="shared" si="826"/>
        <v>NA</v>
      </c>
      <c r="CP250" s="382"/>
      <c r="CQ250" s="385"/>
      <c r="CR250" s="382"/>
      <c r="CS250" s="385"/>
      <c r="CT250" s="567">
        <f t="shared" si="827"/>
        <v>0</v>
      </c>
      <c r="CU250" s="382"/>
      <c r="CV250" s="385"/>
      <c r="CW250" s="567">
        <f t="shared" si="828"/>
        <v>0</v>
      </c>
      <c r="CX250" s="382"/>
      <c r="CY250" s="385"/>
      <c r="CZ250" s="567">
        <f t="shared" si="829"/>
        <v>0</v>
      </c>
      <c r="DA250" s="382"/>
      <c r="DB250" s="385"/>
      <c r="DC250" s="567">
        <f t="shared" si="830"/>
        <v>0</v>
      </c>
      <c r="DD250" s="382"/>
      <c r="DE250" s="385"/>
      <c r="DF250" s="567">
        <f t="shared" si="831"/>
        <v>0</v>
      </c>
      <c r="DG250" s="382"/>
      <c r="DH250" s="385"/>
      <c r="DI250" s="567">
        <f t="shared" si="832"/>
        <v>0</v>
      </c>
      <c r="DJ250" s="382"/>
      <c r="DK250" s="385"/>
      <c r="DL250" s="567">
        <f t="shared" si="833"/>
        <v>0</v>
      </c>
      <c r="DM250" s="382"/>
      <c r="DN250" s="385"/>
      <c r="DO250" s="567">
        <f t="shared" si="834"/>
        <v>0</v>
      </c>
      <c r="DP250" s="382"/>
      <c r="DQ250" s="385"/>
      <c r="DR250" s="567">
        <f t="shared" si="835"/>
        <v>0</v>
      </c>
      <c r="DS250" s="382"/>
      <c r="DT250" s="385"/>
      <c r="DU250" s="567">
        <f t="shared" si="836"/>
        <v>0</v>
      </c>
      <c r="DV250" s="382"/>
      <c r="DW250" s="385"/>
      <c r="DX250" s="567">
        <f t="shared" si="837"/>
        <v>0</v>
      </c>
      <c r="DY250" s="382"/>
      <c r="DZ250" s="385"/>
      <c r="EA250" s="568">
        <f t="shared" si="838"/>
        <v>0</v>
      </c>
      <c r="EB250" s="170"/>
      <c r="EC250" s="170"/>
      <c r="ED250" s="170"/>
      <c r="EE250" s="170"/>
      <c r="EF250" s="170"/>
      <c r="EG250" s="170"/>
      <c r="EH250" s="170"/>
      <c r="EI250" s="170"/>
      <c r="EJ250" s="170"/>
      <c r="EK250" s="170"/>
    </row>
    <row r="251" spans="1:141" ht="15" x14ac:dyDescent="0.25">
      <c r="A251" s="557"/>
      <c r="B251" s="472"/>
      <c r="C251" s="472"/>
      <c r="D251" s="472"/>
      <c r="E251" s="564">
        <v>35</v>
      </c>
      <c r="F251" s="170"/>
      <c r="G251" s="1339" t="str">
        <f>VLOOKUP(E251,Parameters!$D$159:$E$301,2)</f>
        <v>NA</v>
      </c>
      <c r="H251" s="1287"/>
      <c r="I251" s="1289"/>
      <c r="J251" s="1287"/>
      <c r="K251" s="1289"/>
      <c r="L251" s="1369">
        <f t="shared" si="801"/>
        <v>0</v>
      </c>
      <c r="M251" s="1287"/>
      <c r="N251" s="1289"/>
      <c r="O251" s="1369">
        <f t="shared" si="802"/>
        <v>0</v>
      </c>
      <c r="P251" s="1287"/>
      <c r="Q251" s="1289"/>
      <c r="R251" s="1369">
        <f t="shared" si="803"/>
        <v>0</v>
      </c>
      <c r="S251" s="1287"/>
      <c r="T251" s="1289"/>
      <c r="U251" s="1369">
        <f t="shared" si="804"/>
        <v>0</v>
      </c>
      <c r="V251" s="1287"/>
      <c r="W251" s="1289"/>
      <c r="X251" s="1369">
        <f t="shared" si="805"/>
        <v>0</v>
      </c>
      <c r="Y251" s="1287"/>
      <c r="Z251" s="1289"/>
      <c r="AA251" s="1369">
        <f t="shared" si="806"/>
        <v>0</v>
      </c>
      <c r="AB251" s="1287"/>
      <c r="AC251" s="1289"/>
      <c r="AD251" s="1369">
        <f t="shared" si="807"/>
        <v>0</v>
      </c>
      <c r="AE251" s="1287"/>
      <c r="AF251" s="1289"/>
      <c r="AG251" s="1369">
        <f t="shared" si="808"/>
        <v>0</v>
      </c>
      <c r="AH251" s="1287"/>
      <c r="AI251" s="1289"/>
      <c r="AJ251" s="1369">
        <f t="shared" si="809"/>
        <v>0</v>
      </c>
      <c r="AK251" s="1287"/>
      <c r="AL251" s="1289"/>
      <c r="AM251" s="1369">
        <f t="shared" si="810"/>
        <v>0</v>
      </c>
      <c r="AN251" s="1287"/>
      <c r="AO251" s="1289"/>
      <c r="AP251" s="1369">
        <f t="shared" si="811"/>
        <v>0</v>
      </c>
      <c r="AQ251" s="1287"/>
      <c r="AR251" s="1289"/>
      <c r="AS251" s="1369">
        <f t="shared" si="812"/>
        <v>0</v>
      </c>
      <c r="AT251" s="1287"/>
      <c r="AU251" s="411"/>
      <c r="AV251" s="170"/>
      <c r="AW251" s="170"/>
      <c r="AX251" s="170"/>
      <c r="AY251" s="561" t="str">
        <f t="shared" si="813"/>
        <v>NA</v>
      </c>
      <c r="AZ251" s="561"/>
      <c r="BA251" s="562"/>
      <c r="BB251" s="170"/>
      <c r="BC251" s="562"/>
      <c r="BD251" s="566">
        <f t="shared" si="814"/>
        <v>0</v>
      </c>
      <c r="BE251" s="170"/>
      <c r="BF251" s="1477"/>
      <c r="BG251" s="566">
        <f t="shared" si="815"/>
        <v>0</v>
      </c>
      <c r="BH251" s="170"/>
      <c r="BI251" s="1477"/>
      <c r="BJ251" s="566">
        <f t="shared" si="816"/>
        <v>0</v>
      </c>
      <c r="BK251" s="561"/>
      <c r="BL251" s="1477"/>
      <c r="BM251" s="566">
        <f t="shared" si="817"/>
        <v>0</v>
      </c>
      <c r="BN251" s="170"/>
      <c r="BO251" s="1477"/>
      <c r="BP251" s="566">
        <f t="shared" si="818"/>
        <v>0</v>
      </c>
      <c r="BQ251" s="170"/>
      <c r="BR251" s="1477"/>
      <c r="BS251" s="566">
        <f t="shared" si="819"/>
        <v>0</v>
      </c>
      <c r="BT251" s="170"/>
      <c r="BU251" s="1477"/>
      <c r="BV251" s="566">
        <f t="shared" si="820"/>
        <v>0</v>
      </c>
      <c r="BW251" s="170"/>
      <c r="BX251" s="1477"/>
      <c r="BY251" s="566">
        <f t="shared" si="821"/>
        <v>0</v>
      </c>
      <c r="BZ251" s="170"/>
      <c r="CA251" s="1477"/>
      <c r="CB251" s="566">
        <f t="shared" si="822"/>
        <v>0</v>
      </c>
      <c r="CC251" s="170"/>
      <c r="CD251" s="1477"/>
      <c r="CE251" s="566">
        <f t="shared" si="823"/>
        <v>0</v>
      </c>
      <c r="CF251" s="170"/>
      <c r="CG251" s="1477"/>
      <c r="CH251" s="566">
        <f t="shared" si="824"/>
        <v>0</v>
      </c>
      <c r="CI251" s="170"/>
      <c r="CJ251" s="562"/>
      <c r="CK251" s="566">
        <f t="shared" si="825"/>
        <v>0</v>
      </c>
      <c r="CL251" s="566"/>
      <c r="CM251" s="170"/>
      <c r="CN251" s="170"/>
      <c r="CO251" s="382" t="str">
        <f t="shared" si="826"/>
        <v>NA</v>
      </c>
      <c r="CP251" s="382"/>
      <c r="CQ251" s="385"/>
      <c r="CR251" s="382"/>
      <c r="CS251" s="385"/>
      <c r="CT251" s="567">
        <f t="shared" si="827"/>
        <v>0</v>
      </c>
      <c r="CU251" s="382"/>
      <c r="CV251" s="385"/>
      <c r="CW251" s="567">
        <f t="shared" si="828"/>
        <v>0</v>
      </c>
      <c r="CX251" s="382"/>
      <c r="CY251" s="385"/>
      <c r="CZ251" s="567">
        <f t="shared" si="829"/>
        <v>0</v>
      </c>
      <c r="DA251" s="382"/>
      <c r="DB251" s="385"/>
      <c r="DC251" s="567">
        <f t="shared" si="830"/>
        <v>0</v>
      </c>
      <c r="DD251" s="382"/>
      <c r="DE251" s="385"/>
      <c r="DF251" s="567">
        <f t="shared" si="831"/>
        <v>0</v>
      </c>
      <c r="DG251" s="382"/>
      <c r="DH251" s="385"/>
      <c r="DI251" s="567">
        <f t="shared" si="832"/>
        <v>0</v>
      </c>
      <c r="DJ251" s="382"/>
      <c r="DK251" s="385"/>
      <c r="DL251" s="567">
        <f t="shared" si="833"/>
        <v>0</v>
      </c>
      <c r="DM251" s="382"/>
      <c r="DN251" s="385"/>
      <c r="DO251" s="567">
        <f t="shared" si="834"/>
        <v>0</v>
      </c>
      <c r="DP251" s="382"/>
      <c r="DQ251" s="385"/>
      <c r="DR251" s="567">
        <f t="shared" si="835"/>
        <v>0</v>
      </c>
      <c r="DS251" s="382"/>
      <c r="DT251" s="385"/>
      <c r="DU251" s="567">
        <f t="shared" si="836"/>
        <v>0</v>
      </c>
      <c r="DV251" s="382"/>
      <c r="DW251" s="385"/>
      <c r="DX251" s="567">
        <f t="shared" si="837"/>
        <v>0</v>
      </c>
      <c r="DY251" s="382"/>
      <c r="DZ251" s="385"/>
      <c r="EA251" s="568">
        <f t="shared" si="838"/>
        <v>0</v>
      </c>
      <c r="EB251" s="170"/>
      <c r="EC251" s="170"/>
      <c r="ED251" s="170"/>
      <c r="EE251" s="170"/>
      <c r="EF251" s="170"/>
      <c r="EG251" s="170"/>
      <c r="EH251" s="170"/>
      <c r="EI251" s="170"/>
      <c r="EJ251" s="170"/>
      <c r="EK251" s="170"/>
    </row>
    <row r="252" spans="1:141" ht="15" x14ac:dyDescent="0.25">
      <c r="A252" s="557"/>
      <c r="B252" s="472"/>
      <c r="C252" s="472"/>
      <c r="D252" s="472"/>
      <c r="E252" s="564">
        <v>36</v>
      </c>
      <c r="F252" s="170"/>
      <c r="G252" s="1339" t="str">
        <f>VLOOKUP(E252,Parameters!$D$159:$E$301,2)</f>
        <v>NA</v>
      </c>
      <c r="H252" s="1287"/>
      <c r="I252" s="1289"/>
      <c r="J252" s="1287"/>
      <c r="K252" s="1289"/>
      <c r="L252" s="1369">
        <f t="shared" si="801"/>
        <v>0</v>
      </c>
      <c r="M252" s="1287"/>
      <c r="N252" s="1289"/>
      <c r="O252" s="1369">
        <f t="shared" si="802"/>
        <v>0</v>
      </c>
      <c r="P252" s="1287"/>
      <c r="Q252" s="1289"/>
      <c r="R252" s="1369">
        <f t="shared" si="803"/>
        <v>0</v>
      </c>
      <c r="S252" s="1287"/>
      <c r="T252" s="1289"/>
      <c r="U252" s="1369">
        <f t="shared" si="804"/>
        <v>0</v>
      </c>
      <c r="V252" s="1287"/>
      <c r="W252" s="1289"/>
      <c r="X252" s="1369">
        <f t="shared" si="805"/>
        <v>0</v>
      </c>
      <c r="Y252" s="1287"/>
      <c r="Z252" s="1289"/>
      <c r="AA252" s="1369">
        <f t="shared" si="806"/>
        <v>0</v>
      </c>
      <c r="AB252" s="1287"/>
      <c r="AC252" s="1289"/>
      <c r="AD252" s="1369">
        <f t="shared" si="807"/>
        <v>0</v>
      </c>
      <c r="AE252" s="1287"/>
      <c r="AF252" s="1289"/>
      <c r="AG252" s="1369">
        <f t="shared" si="808"/>
        <v>0</v>
      </c>
      <c r="AH252" s="1287"/>
      <c r="AI252" s="1289"/>
      <c r="AJ252" s="1369">
        <f t="shared" si="809"/>
        <v>0</v>
      </c>
      <c r="AK252" s="1287"/>
      <c r="AL252" s="1289"/>
      <c r="AM252" s="1369">
        <f t="shared" si="810"/>
        <v>0</v>
      </c>
      <c r="AN252" s="1287"/>
      <c r="AO252" s="1289"/>
      <c r="AP252" s="1369">
        <f t="shared" si="811"/>
        <v>0</v>
      </c>
      <c r="AQ252" s="1287"/>
      <c r="AR252" s="1289"/>
      <c r="AS252" s="1369">
        <f t="shared" si="812"/>
        <v>0</v>
      </c>
      <c r="AT252" s="1287"/>
      <c r="AU252" s="411"/>
      <c r="AV252" s="170"/>
      <c r="AW252" s="170"/>
      <c r="AX252" s="170"/>
      <c r="AY252" s="561" t="str">
        <f t="shared" si="813"/>
        <v>NA</v>
      </c>
      <c r="AZ252" s="561"/>
      <c r="BA252" s="562"/>
      <c r="BB252" s="170"/>
      <c r="BC252" s="562"/>
      <c r="BD252" s="566">
        <f t="shared" si="814"/>
        <v>0</v>
      </c>
      <c r="BE252" s="170"/>
      <c r="BF252" s="1477"/>
      <c r="BG252" s="566">
        <f t="shared" si="815"/>
        <v>0</v>
      </c>
      <c r="BH252" s="170"/>
      <c r="BI252" s="1477"/>
      <c r="BJ252" s="566">
        <f t="shared" si="816"/>
        <v>0</v>
      </c>
      <c r="BK252" s="561"/>
      <c r="BL252" s="1477"/>
      <c r="BM252" s="566">
        <f t="shared" si="817"/>
        <v>0</v>
      </c>
      <c r="BN252" s="170"/>
      <c r="BO252" s="1477"/>
      <c r="BP252" s="566">
        <f t="shared" si="818"/>
        <v>0</v>
      </c>
      <c r="BQ252" s="170"/>
      <c r="BR252" s="1477"/>
      <c r="BS252" s="566">
        <f t="shared" si="819"/>
        <v>0</v>
      </c>
      <c r="BT252" s="170"/>
      <c r="BU252" s="1477"/>
      <c r="BV252" s="566">
        <f t="shared" si="820"/>
        <v>0</v>
      </c>
      <c r="BW252" s="170"/>
      <c r="BX252" s="1477"/>
      <c r="BY252" s="566">
        <f t="shared" si="821"/>
        <v>0</v>
      </c>
      <c r="BZ252" s="170"/>
      <c r="CA252" s="1477"/>
      <c r="CB252" s="566">
        <f t="shared" si="822"/>
        <v>0</v>
      </c>
      <c r="CC252" s="170"/>
      <c r="CD252" s="1477"/>
      <c r="CE252" s="566">
        <f t="shared" si="823"/>
        <v>0</v>
      </c>
      <c r="CF252" s="170"/>
      <c r="CG252" s="1477"/>
      <c r="CH252" s="566">
        <f t="shared" si="824"/>
        <v>0</v>
      </c>
      <c r="CI252" s="170"/>
      <c r="CJ252" s="562"/>
      <c r="CK252" s="566">
        <f t="shared" si="825"/>
        <v>0</v>
      </c>
      <c r="CL252" s="566"/>
      <c r="CM252" s="170"/>
      <c r="CN252" s="170"/>
      <c r="CO252" s="382" t="str">
        <f t="shared" si="826"/>
        <v>NA</v>
      </c>
      <c r="CP252" s="382"/>
      <c r="CQ252" s="385"/>
      <c r="CR252" s="382"/>
      <c r="CS252" s="385"/>
      <c r="CT252" s="567">
        <f t="shared" si="827"/>
        <v>0</v>
      </c>
      <c r="CU252" s="382"/>
      <c r="CV252" s="385"/>
      <c r="CW252" s="567">
        <f t="shared" si="828"/>
        <v>0</v>
      </c>
      <c r="CX252" s="382"/>
      <c r="CY252" s="385"/>
      <c r="CZ252" s="567">
        <f t="shared" si="829"/>
        <v>0</v>
      </c>
      <c r="DA252" s="382"/>
      <c r="DB252" s="385"/>
      <c r="DC252" s="567">
        <f t="shared" si="830"/>
        <v>0</v>
      </c>
      <c r="DD252" s="382"/>
      <c r="DE252" s="385"/>
      <c r="DF252" s="567">
        <f t="shared" si="831"/>
        <v>0</v>
      </c>
      <c r="DG252" s="382"/>
      <c r="DH252" s="385"/>
      <c r="DI252" s="567">
        <f t="shared" si="832"/>
        <v>0</v>
      </c>
      <c r="DJ252" s="382"/>
      <c r="DK252" s="385"/>
      <c r="DL252" s="567">
        <f t="shared" si="833"/>
        <v>0</v>
      </c>
      <c r="DM252" s="382"/>
      <c r="DN252" s="385"/>
      <c r="DO252" s="567">
        <f t="shared" si="834"/>
        <v>0</v>
      </c>
      <c r="DP252" s="382"/>
      <c r="DQ252" s="385"/>
      <c r="DR252" s="567">
        <f t="shared" si="835"/>
        <v>0</v>
      </c>
      <c r="DS252" s="382"/>
      <c r="DT252" s="385"/>
      <c r="DU252" s="567">
        <f t="shared" si="836"/>
        <v>0</v>
      </c>
      <c r="DV252" s="382"/>
      <c r="DW252" s="385"/>
      <c r="DX252" s="567">
        <f t="shared" si="837"/>
        <v>0</v>
      </c>
      <c r="DY252" s="382"/>
      <c r="DZ252" s="385"/>
      <c r="EA252" s="568">
        <f t="shared" si="838"/>
        <v>0</v>
      </c>
      <c r="EB252" s="170"/>
      <c r="EC252" s="170"/>
      <c r="ED252" s="170"/>
      <c r="EE252" s="170"/>
      <c r="EF252" s="170"/>
      <c r="EG252" s="170"/>
      <c r="EH252" s="170"/>
      <c r="EI252" s="170"/>
      <c r="EJ252" s="170"/>
      <c r="EK252" s="170"/>
    </row>
    <row r="253" spans="1:141" ht="15" x14ac:dyDescent="0.25">
      <c r="A253" s="557"/>
      <c r="B253" s="472"/>
      <c r="C253" s="472"/>
      <c r="D253" s="472"/>
      <c r="E253" s="564">
        <v>37</v>
      </c>
      <c r="F253" s="170"/>
      <c r="G253" s="1339" t="str">
        <f>VLOOKUP(E253,Parameters!$D$159:$E$301,2)</f>
        <v>NA</v>
      </c>
      <c r="H253" s="1287"/>
      <c r="I253" s="1289"/>
      <c r="J253" s="1287"/>
      <c r="K253" s="1289"/>
      <c r="L253" s="1369">
        <f t="shared" si="801"/>
        <v>0</v>
      </c>
      <c r="M253" s="1287"/>
      <c r="N253" s="1289"/>
      <c r="O253" s="1369">
        <f t="shared" si="802"/>
        <v>0</v>
      </c>
      <c r="P253" s="1287"/>
      <c r="Q253" s="1289"/>
      <c r="R253" s="1369">
        <f t="shared" si="803"/>
        <v>0</v>
      </c>
      <c r="S253" s="1287"/>
      <c r="T253" s="1289"/>
      <c r="U253" s="1369">
        <f t="shared" si="804"/>
        <v>0</v>
      </c>
      <c r="V253" s="1287"/>
      <c r="W253" s="1289"/>
      <c r="X253" s="1369">
        <f t="shared" si="805"/>
        <v>0</v>
      </c>
      <c r="Y253" s="1287"/>
      <c r="Z253" s="1289"/>
      <c r="AA253" s="1369">
        <f t="shared" si="806"/>
        <v>0</v>
      </c>
      <c r="AB253" s="1287"/>
      <c r="AC253" s="1289"/>
      <c r="AD253" s="1369">
        <f t="shared" si="807"/>
        <v>0</v>
      </c>
      <c r="AE253" s="1287"/>
      <c r="AF253" s="1289"/>
      <c r="AG253" s="1369">
        <f t="shared" si="808"/>
        <v>0</v>
      </c>
      <c r="AH253" s="1287"/>
      <c r="AI253" s="1289"/>
      <c r="AJ253" s="1369">
        <f t="shared" si="809"/>
        <v>0</v>
      </c>
      <c r="AK253" s="1287"/>
      <c r="AL253" s="1289"/>
      <c r="AM253" s="1369">
        <f t="shared" si="810"/>
        <v>0</v>
      </c>
      <c r="AN253" s="1287"/>
      <c r="AO253" s="1289"/>
      <c r="AP253" s="1369">
        <f t="shared" si="811"/>
        <v>0</v>
      </c>
      <c r="AQ253" s="1287"/>
      <c r="AR253" s="1289"/>
      <c r="AS253" s="1369">
        <f t="shared" si="812"/>
        <v>0</v>
      </c>
      <c r="AT253" s="1287"/>
      <c r="AU253" s="411"/>
      <c r="AV253" s="170"/>
      <c r="AW253" s="170"/>
      <c r="AX253" s="170"/>
      <c r="AY253" s="561" t="str">
        <f t="shared" si="813"/>
        <v>NA</v>
      </c>
      <c r="AZ253" s="561"/>
      <c r="BA253" s="562"/>
      <c r="BB253" s="170"/>
      <c r="BC253" s="562"/>
      <c r="BD253" s="566">
        <f t="shared" si="814"/>
        <v>0</v>
      </c>
      <c r="BE253" s="170"/>
      <c r="BF253" s="1477"/>
      <c r="BG253" s="566">
        <f t="shared" si="815"/>
        <v>0</v>
      </c>
      <c r="BH253" s="170"/>
      <c r="BI253" s="1477"/>
      <c r="BJ253" s="566">
        <f t="shared" si="816"/>
        <v>0</v>
      </c>
      <c r="BK253" s="561"/>
      <c r="BL253" s="1477"/>
      <c r="BM253" s="566">
        <f t="shared" si="817"/>
        <v>0</v>
      </c>
      <c r="BN253" s="170"/>
      <c r="BO253" s="1477"/>
      <c r="BP253" s="566">
        <f t="shared" si="818"/>
        <v>0</v>
      </c>
      <c r="BQ253" s="170"/>
      <c r="BR253" s="1477"/>
      <c r="BS253" s="566">
        <f t="shared" si="819"/>
        <v>0</v>
      </c>
      <c r="BT253" s="170"/>
      <c r="BU253" s="1477"/>
      <c r="BV253" s="566">
        <f t="shared" si="820"/>
        <v>0</v>
      </c>
      <c r="BW253" s="170"/>
      <c r="BX253" s="1477"/>
      <c r="BY253" s="566">
        <f t="shared" si="821"/>
        <v>0</v>
      </c>
      <c r="BZ253" s="170"/>
      <c r="CA253" s="1477"/>
      <c r="CB253" s="566">
        <f t="shared" si="822"/>
        <v>0</v>
      </c>
      <c r="CC253" s="170"/>
      <c r="CD253" s="1477"/>
      <c r="CE253" s="566">
        <f t="shared" si="823"/>
        <v>0</v>
      </c>
      <c r="CF253" s="170"/>
      <c r="CG253" s="1477"/>
      <c r="CH253" s="566">
        <f t="shared" si="824"/>
        <v>0</v>
      </c>
      <c r="CI253" s="170"/>
      <c r="CJ253" s="562"/>
      <c r="CK253" s="566">
        <f t="shared" si="825"/>
        <v>0</v>
      </c>
      <c r="CL253" s="566"/>
      <c r="CM253" s="170"/>
      <c r="CN253" s="170"/>
      <c r="CO253" s="382" t="str">
        <f t="shared" si="826"/>
        <v>NA</v>
      </c>
      <c r="CP253" s="382"/>
      <c r="CQ253" s="385"/>
      <c r="CR253" s="382"/>
      <c r="CS253" s="385"/>
      <c r="CT253" s="567">
        <f t="shared" si="827"/>
        <v>0</v>
      </c>
      <c r="CU253" s="382"/>
      <c r="CV253" s="385"/>
      <c r="CW253" s="567">
        <f t="shared" si="828"/>
        <v>0</v>
      </c>
      <c r="CX253" s="382"/>
      <c r="CY253" s="385"/>
      <c r="CZ253" s="567">
        <f t="shared" si="829"/>
        <v>0</v>
      </c>
      <c r="DA253" s="382"/>
      <c r="DB253" s="385"/>
      <c r="DC253" s="567">
        <f t="shared" si="830"/>
        <v>0</v>
      </c>
      <c r="DD253" s="382"/>
      <c r="DE253" s="385"/>
      <c r="DF253" s="567">
        <f t="shared" si="831"/>
        <v>0</v>
      </c>
      <c r="DG253" s="382"/>
      <c r="DH253" s="385"/>
      <c r="DI253" s="567">
        <f t="shared" si="832"/>
        <v>0</v>
      </c>
      <c r="DJ253" s="382"/>
      <c r="DK253" s="385"/>
      <c r="DL253" s="567">
        <f t="shared" si="833"/>
        <v>0</v>
      </c>
      <c r="DM253" s="382"/>
      <c r="DN253" s="385"/>
      <c r="DO253" s="567">
        <f t="shared" si="834"/>
        <v>0</v>
      </c>
      <c r="DP253" s="382"/>
      <c r="DQ253" s="385"/>
      <c r="DR253" s="567">
        <f t="shared" si="835"/>
        <v>0</v>
      </c>
      <c r="DS253" s="382"/>
      <c r="DT253" s="385"/>
      <c r="DU253" s="567">
        <f t="shared" si="836"/>
        <v>0</v>
      </c>
      <c r="DV253" s="382"/>
      <c r="DW253" s="385"/>
      <c r="DX253" s="567">
        <f t="shared" si="837"/>
        <v>0</v>
      </c>
      <c r="DY253" s="382"/>
      <c r="DZ253" s="385"/>
      <c r="EA253" s="568">
        <f t="shared" si="838"/>
        <v>0</v>
      </c>
      <c r="EB253" s="170"/>
      <c r="EC253" s="170"/>
      <c r="ED253" s="170"/>
      <c r="EE253" s="170"/>
      <c r="EF253" s="170"/>
      <c r="EG253" s="170"/>
      <c r="EH253" s="170"/>
      <c r="EI253" s="170"/>
      <c r="EJ253" s="170"/>
      <c r="EK253" s="170"/>
    </row>
    <row r="254" spans="1:141" ht="15" x14ac:dyDescent="0.25">
      <c r="A254" s="557"/>
      <c r="B254" s="472"/>
      <c r="C254" s="472"/>
      <c r="D254" s="472"/>
      <c r="E254" s="564">
        <v>38</v>
      </c>
      <c r="F254" s="170"/>
      <c r="G254" s="1339" t="str">
        <f>VLOOKUP(E254,Parameters!$D$159:$E$301,2)</f>
        <v>NA</v>
      </c>
      <c r="H254" s="1287"/>
      <c r="I254" s="1289"/>
      <c r="J254" s="1287"/>
      <c r="K254" s="1289"/>
      <c r="L254" s="1369">
        <f t="shared" si="801"/>
        <v>0</v>
      </c>
      <c r="M254" s="1287"/>
      <c r="N254" s="1289"/>
      <c r="O254" s="1369">
        <f t="shared" si="802"/>
        <v>0</v>
      </c>
      <c r="P254" s="1287"/>
      <c r="Q254" s="1289"/>
      <c r="R254" s="1369">
        <f t="shared" si="803"/>
        <v>0</v>
      </c>
      <c r="S254" s="1287"/>
      <c r="T254" s="1289"/>
      <c r="U254" s="1369">
        <f t="shared" si="804"/>
        <v>0</v>
      </c>
      <c r="V254" s="1287"/>
      <c r="W254" s="1289"/>
      <c r="X254" s="1369">
        <f t="shared" si="805"/>
        <v>0</v>
      </c>
      <c r="Y254" s="1287"/>
      <c r="Z254" s="1289"/>
      <c r="AA254" s="1369">
        <f t="shared" si="806"/>
        <v>0</v>
      </c>
      <c r="AB254" s="1287"/>
      <c r="AC254" s="1289"/>
      <c r="AD254" s="1369">
        <f t="shared" si="807"/>
        <v>0</v>
      </c>
      <c r="AE254" s="1287"/>
      <c r="AF254" s="1289"/>
      <c r="AG254" s="1369">
        <f t="shared" si="808"/>
        <v>0</v>
      </c>
      <c r="AH254" s="1287"/>
      <c r="AI254" s="1289"/>
      <c r="AJ254" s="1369">
        <f t="shared" si="809"/>
        <v>0</v>
      </c>
      <c r="AK254" s="1287"/>
      <c r="AL254" s="1289"/>
      <c r="AM254" s="1369">
        <f t="shared" si="810"/>
        <v>0</v>
      </c>
      <c r="AN254" s="1287"/>
      <c r="AO254" s="1289"/>
      <c r="AP254" s="1369">
        <f t="shared" si="811"/>
        <v>0</v>
      </c>
      <c r="AQ254" s="1287"/>
      <c r="AR254" s="1289"/>
      <c r="AS254" s="1369">
        <f t="shared" si="812"/>
        <v>0</v>
      </c>
      <c r="AT254" s="1287"/>
      <c r="AU254" s="411"/>
      <c r="AV254" s="170"/>
      <c r="AW254" s="170"/>
      <c r="AX254" s="170"/>
      <c r="AY254" s="561" t="str">
        <f t="shared" si="813"/>
        <v>NA</v>
      </c>
      <c r="AZ254" s="561"/>
      <c r="BA254" s="562"/>
      <c r="BB254" s="170"/>
      <c r="BC254" s="562"/>
      <c r="BD254" s="566">
        <f t="shared" si="814"/>
        <v>0</v>
      </c>
      <c r="BE254" s="170"/>
      <c r="BF254" s="1477"/>
      <c r="BG254" s="566">
        <f t="shared" si="815"/>
        <v>0</v>
      </c>
      <c r="BH254" s="170"/>
      <c r="BI254" s="1477"/>
      <c r="BJ254" s="566">
        <f t="shared" si="816"/>
        <v>0</v>
      </c>
      <c r="BK254" s="561"/>
      <c r="BL254" s="1477"/>
      <c r="BM254" s="566">
        <f t="shared" si="817"/>
        <v>0</v>
      </c>
      <c r="BN254" s="170"/>
      <c r="BO254" s="1477"/>
      <c r="BP254" s="566">
        <f t="shared" si="818"/>
        <v>0</v>
      </c>
      <c r="BQ254" s="170"/>
      <c r="BR254" s="1477"/>
      <c r="BS254" s="566">
        <f t="shared" si="819"/>
        <v>0</v>
      </c>
      <c r="BT254" s="170"/>
      <c r="BU254" s="1477"/>
      <c r="BV254" s="566">
        <f t="shared" si="820"/>
        <v>0</v>
      </c>
      <c r="BW254" s="170"/>
      <c r="BX254" s="1477"/>
      <c r="BY254" s="566">
        <f t="shared" si="821"/>
        <v>0</v>
      </c>
      <c r="BZ254" s="170"/>
      <c r="CA254" s="1477"/>
      <c r="CB254" s="566">
        <f t="shared" si="822"/>
        <v>0</v>
      </c>
      <c r="CC254" s="170"/>
      <c r="CD254" s="1477"/>
      <c r="CE254" s="566">
        <f t="shared" si="823"/>
        <v>0</v>
      </c>
      <c r="CF254" s="170"/>
      <c r="CG254" s="1477"/>
      <c r="CH254" s="566">
        <f t="shared" si="824"/>
        <v>0</v>
      </c>
      <c r="CI254" s="170"/>
      <c r="CJ254" s="562"/>
      <c r="CK254" s="566">
        <f t="shared" si="825"/>
        <v>0</v>
      </c>
      <c r="CL254" s="566"/>
      <c r="CM254" s="170"/>
      <c r="CN254" s="170"/>
      <c r="CO254" s="382" t="str">
        <f t="shared" si="826"/>
        <v>NA</v>
      </c>
      <c r="CP254" s="382"/>
      <c r="CQ254" s="385"/>
      <c r="CR254" s="382"/>
      <c r="CS254" s="385"/>
      <c r="CT254" s="567">
        <f t="shared" si="827"/>
        <v>0</v>
      </c>
      <c r="CU254" s="382"/>
      <c r="CV254" s="385"/>
      <c r="CW254" s="567">
        <f t="shared" si="828"/>
        <v>0</v>
      </c>
      <c r="CX254" s="382"/>
      <c r="CY254" s="385"/>
      <c r="CZ254" s="567">
        <f t="shared" si="829"/>
        <v>0</v>
      </c>
      <c r="DA254" s="382"/>
      <c r="DB254" s="385"/>
      <c r="DC254" s="567">
        <f t="shared" si="830"/>
        <v>0</v>
      </c>
      <c r="DD254" s="382"/>
      <c r="DE254" s="385"/>
      <c r="DF254" s="567">
        <f t="shared" si="831"/>
        <v>0</v>
      </c>
      <c r="DG254" s="382"/>
      <c r="DH254" s="385"/>
      <c r="DI254" s="567">
        <f t="shared" si="832"/>
        <v>0</v>
      </c>
      <c r="DJ254" s="382"/>
      <c r="DK254" s="385"/>
      <c r="DL254" s="567">
        <f t="shared" si="833"/>
        <v>0</v>
      </c>
      <c r="DM254" s="382"/>
      <c r="DN254" s="385"/>
      <c r="DO254" s="567">
        <f t="shared" si="834"/>
        <v>0</v>
      </c>
      <c r="DP254" s="382"/>
      <c r="DQ254" s="385"/>
      <c r="DR254" s="567">
        <f t="shared" si="835"/>
        <v>0</v>
      </c>
      <c r="DS254" s="382"/>
      <c r="DT254" s="385"/>
      <c r="DU254" s="567">
        <f t="shared" si="836"/>
        <v>0</v>
      </c>
      <c r="DV254" s="382"/>
      <c r="DW254" s="385"/>
      <c r="DX254" s="567">
        <f t="shared" si="837"/>
        <v>0</v>
      </c>
      <c r="DY254" s="382"/>
      <c r="DZ254" s="385"/>
      <c r="EA254" s="568">
        <f t="shared" si="838"/>
        <v>0</v>
      </c>
      <c r="EB254" s="170"/>
      <c r="EC254" s="170"/>
      <c r="ED254" s="170"/>
      <c r="EE254" s="170"/>
      <c r="EF254" s="170"/>
      <c r="EG254" s="170"/>
      <c r="EH254" s="170"/>
      <c r="EI254" s="170"/>
      <c r="EJ254" s="170"/>
      <c r="EK254" s="170"/>
    </row>
    <row r="255" spans="1:141" ht="15" x14ac:dyDescent="0.25">
      <c r="A255" s="557"/>
      <c r="B255" s="472"/>
      <c r="C255" s="472"/>
      <c r="D255" s="472"/>
      <c r="E255" s="564">
        <v>39</v>
      </c>
      <c r="F255" s="170"/>
      <c r="G255" s="1339" t="str">
        <f>VLOOKUP(E255,Parameters!$D$159:$E$301,2)</f>
        <v>NA</v>
      </c>
      <c r="H255" s="1287"/>
      <c r="I255" s="1289"/>
      <c r="J255" s="1287"/>
      <c r="K255" s="1289"/>
      <c r="L255" s="1369">
        <f t="shared" si="801"/>
        <v>0</v>
      </c>
      <c r="M255" s="1287"/>
      <c r="N255" s="1289"/>
      <c r="O255" s="1369">
        <f t="shared" si="802"/>
        <v>0</v>
      </c>
      <c r="P255" s="1287"/>
      <c r="Q255" s="1289"/>
      <c r="R255" s="1369">
        <f t="shared" si="803"/>
        <v>0</v>
      </c>
      <c r="S255" s="1287"/>
      <c r="T255" s="1289"/>
      <c r="U255" s="1369">
        <f t="shared" si="804"/>
        <v>0</v>
      </c>
      <c r="V255" s="1287"/>
      <c r="W255" s="1289"/>
      <c r="X255" s="1369">
        <f t="shared" si="805"/>
        <v>0</v>
      </c>
      <c r="Y255" s="1287"/>
      <c r="Z255" s="1289"/>
      <c r="AA255" s="1369">
        <f t="shared" si="806"/>
        <v>0</v>
      </c>
      <c r="AB255" s="1287"/>
      <c r="AC255" s="1289"/>
      <c r="AD255" s="1369">
        <f t="shared" si="807"/>
        <v>0</v>
      </c>
      <c r="AE255" s="1287"/>
      <c r="AF255" s="1289"/>
      <c r="AG255" s="1369">
        <f t="shared" si="808"/>
        <v>0</v>
      </c>
      <c r="AH255" s="1287"/>
      <c r="AI255" s="1289"/>
      <c r="AJ255" s="1369">
        <f t="shared" si="809"/>
        <v>0</v>
      </c>
      <c r="AK255" s="1287"/>
      <c r="AL255" s="1289"/>
      <c r="AM255" s="1369">
        <f t="shared" si="810"/>
        <v>0</v>
      </c>
      <c r="AN255" s="1287"/>
      <c r="AO255" s="1289"/>
      <c r="AP255" s="1369">
        <f t="shared" si="811"/>
        <v>0</v>
      </c>
      <c r="AQ255" s="1287"/>
      <c r="AR255" s="1289"/>
      <c r="AS255" s="1369">
        <f t="shared" si="812"/>
        <v>0</v>
      </c>
      <c r="AT255" s="1287"/>
      <c r="AU255" s="411"/>
      <c r="AV255" s="170"/>
      <c r="AW255" s="170"/>
      <c r="AX255" s="170"/>
      <c r="AY255" s="561" t="str">
        <f t="shared" si="813"/>
        <v>NA</v>
      </c>
      <c r="AZ255" s="561"/>
      <c r="BA255" s="562"/>
      <c r="BB255" s="170"/>
      <c r="BC255" s="562"/>
      <c r="BD255" s="566">
        <f t="shared" si="814"/>
        <v>0</v>
      </c>
      <c r="BE255" s="170"/>
      <c r="BF255" s="1477"/>
      <c r="BG255" s="566">
        <f t="shared" si="815"/>
        <v>0</v>
      </c>
      <c r="BH255" s="170"/>
      <c r="BI255" s="1477"/>
      <c r="BJ255" s="566">
        <f t="shared" si="816"/>
        <v>0</v>
      </c>
      <c r="BK255" s="561"/>
      <c r="BL255" s="1477"/>
      <c r="BM255" s="566">
        <f t="shared" si="817"/>
        <v>0</v>
      </c>
      <c r="BN255" s="170"/>
      <c r="BO255" s="1477"/>
      <c r="BP255" s="566">
        <f t="shared" si="818"/>
        <v>0</v>
      </c>
      <c r="BQ255" s="170"/>
      <c r="BR255" s="1477"/>
      <c r="BS255" s="566">
        <f t="shared" si="819"/>
        <v>0</v>
      </c>
      <c r="BT255" s="170"/>
      <c r="BU255" s="1477"/>
      <c r="BV255" s="566">
        <f t="shared" si="820"/>
        <v>0</v>
      </c>
      <c r="BW255" s="170"/>
      <c r="BX255" s="1477"/>
      <c r="BY255" s="566">
        <f t="shared" si="821"/>
        <v>0</v>
      </c>
      <c r="BZ255" s="170"/>
      <c r="CA255" s="1477"/>
      <c r="CB255" s="566">
        <f t="shared" si="822"/>
        <v>0</v>
      </c>
      <c r="CC255" s="170"/>
      <c r="CD255" s="1477"/>
      <c r="CE255" s="566">
        <f t="shared" si="823"/>
        <v>0</v>
      </c>
      <c r="CF255" s="170"/>
      <c r="CG255" s="1477"/>
      <c r="CH255" s="566">
        <f t="shared" si="824"/>
        <v>0</v>
      </c>
      <c r="CI255" s="170"/>
      <c r="CJ255" s="562"/>
      <c r="CK255" s="566">
        <f t="shared" si="825"/>
        <v>0</v>
      </c>
      <c r="CL255" s="566"/>
      <c r="CM255" s="170"/>
      <c r="CN255" s="170"/>
      <c r="CO255" s="382" t="str">
        <f t="shared" si="826"/>
        <v>NA</v>
      </c>
      <c r="CP255" s="382"/>
      <c r="CQ255" s="385"/>
      <c r="CR255" s="382"/>
      <c r="CS255" s="385"/>
      <c r="CT255" s="567">
        <f t="shared" si="827"/>
        <v>0</v>
      </c>
      <c r="CU255" s="382"/>
      <c r="CV255" s="385"/>
      <c r="CW255" s="567">
        <f t="shared" si="828"/>
        <v>0</v>
      </c>
      <c r="CX255" s="382"/>
      <c r="CY255" s="385"/>
      <c r="CZ255" s="567">
        <f t="shared" si="829"/>
        <v>0</v>
      </c>
      <c r="DA255" s="382"/>
      <c r="DB255" s="385"/>
      <c r="DC255" s="567">
        <f t="shared" si="830"/>
        <v>0</v>
      </c>
      <c r="DD255" s="382"/>
      <c r="DE255" s="385"/>
      <c r="DF255" s="567">
        <f t="shared" si="831"/>
        <v>0</v>
      </c>
      <c r="DG255" s="382"/>
      <c r="DH255" s="385"/>
      <c r="DI255" s="567">
        <f t="shared" si="832"/>
        <v>0</v>
      </c>
      <c r="DJ255" s="382"/>
      <c r="DK255" s="385"/>
      <c r="DL255" s="567">
        <f t="shared" si="833"/>
        <v>0</v>
      </c>
      <c r="DM255" s="382"/>
      <c r="DN255" s="385"/>
      <c r="DO255" s="567">
        <f t="shared" si="834"/>
        <v>0</v>
      </c>
      <c r="DP255" s="382"/>
      <c r="DQ255" s="385"/>
      <c r="DR255" s="567">
        <f t="shared" si="835"/>
        <v>0</v>
      </c>
      <c r="DS255" s="382"/>
      <c r="DT255" s="385"/>
      <c r="DU255" s="567">
        <f t="shared" si="836"/>
        <v>0</v>
      </c>
      <c r="DV255" s="382"/>
      <c r="DW255" s="385"/>
      <c r="DX255" s="567">
        <f t="shared" si="837"/>
        <v>0</v>
      </c>
      <c r="DY255" s="382"/>
      <c r="DZ255" s="385"/>
      <c r="EA255" s="568">
        <f t="shared" si="838"/>
        <v>0</v>
      </c>
      <c r="EB255" s="170"/>
      <c r="EC255" s="170"/>
      <c r="ED255" s="170"/>
      <c r="EE255" s="170"/>
      <c r="EF255" s="170"/>
      <c r="EG255" s="170"/>
      <c r="EH255" s="170"/>
      <c r="EI255" s="170"/>
      <c r="EJ255" s="170"/>
      <c r="EK255" s="170"/>
    </row>
    <row r="256" spans="1:141" ht="15" x14ac:dyDescent="0.25">
      <c r="A256" s="557"/>
      <c r="B256" s="472"/>
      <c r="C256" s="472"/>
      <c r="D256" s="472"/>
      <c r="E256" s="564">
        <v>40</v>
      </c>
      <c r="F256" s="170"/>
      <c r="G256" s="1339" t="str">
        <f>VLOOKUP(E256,Parameters!$D$159:$E$301,2)</f>
        <v>NA</v>
      </c>
      <c r="H256" s="1287"/>
      <c r="I256" s="1289"/>
      <c r="J256" s="1287"/>
      <c r="K256" s="1289"/>
      <c r="L256" s="1369">
        <f t="shared" si="801"/>
        <v>0</v>
      </c>
      <c r="M256" s="1287"/>
      <c r="N256" s="1289"/>
      <c r="O256" s="1369">
        <f t="shared" si="802"/>
        <v>0</v>
      </c>
      <c r="P256" s="1287"/>
      <c r="Q256" s="1289"/>
      <c r="R256" s="1369">
        <f t="shared" si="803"/>
        <v>0</v>
      </c>
      <c r="S256" s="1287"/>
      <c r="T256" s="1289"/>
      <c r="U256" s="1369">
        <f t="shared" si="804"/>
        <v>0</v>
      </c>
      <c r="V256" s="1287"/>
      <c r="W256" s="1289"/>
      <c r="X256" s="1369">
        <f t="shared" si="805"/>
        <v>0</v>
      </c>
      <c r="Y256" s="1287"/>
      <c r="Z256" s="1289"/>
      <c r="AA256" s="1369">
        <f t="shared" si="806"/>
        <v>0</v>
      </c>
      <c r="AB256" s="1287"/>
      <c r="AC256" s="1289"/>
      <c r="AD256" s="1369">
        <f t="shared" si="807"/>
        <v>0</v>
      </c>
      <c r="AE256" s="1287"/>
      <c r="AF256" s="1289"/>
      <c r="AG256" s="1369">
        <f t="shared" si="808"/>
        <v>0</v>
      </c>
      <c r="AH256" s="1287"/>
      <c r="AI256" s="1289"/>
      <c r="AJ256" s="1369">
        <f t="shared" si="809"/>
        <v>0</v>
      </c>
      <c r="AK256" s="1287"/>
      <c r="AL256" s="1289"/>
      <c r="AM256" s="1369">
        <f t="shared" si="810"/>
        <v>0</v>
      </c>
      <c r="AN256" s="1287"/>
      <c r="AO256" s="1289"/>
      <c r="AP256" s="1369">
        <f t="shared" si="811"/>
        <v>0</v>
      </c>
      <c r="AQ256" s="1287"/>
      <c r="AR256" s="1289"/>
      <c r="AS256" s="1369">
        <f t="shared" si="812"/>
        <v>0</v>
      </c>
      <c r="AT256" s="1287"/>
      <c r="AU256" s="411"/>
      <c r="AV256" s="170"/>
      <c r="AW256" s="170"/>
      <c r="AX256" s="170"/>
      <c r="AY256" s="561" t="str">
        <f t="shared" si="813"/>
        <v>NA</v>
      </c>
      <c r="AZ256" s="561"/>
      <c r="BA256" s="562"/>
      <c r="BB256" s="170"/>
      <c r="BC256" s="562"/>
      <c r="BD256" s="566">
        <f t="shared" si="814"/>
        <v>0</v>
      </c>
      <c r="BE256" s="170"/>
      <c r="BF256" s="1477"/>
      <c r="BG256" s="566">
        <f t="shared" si="815"/>
        <v>0</v>
      </c>
      <c r="BH256" s="170"/>
      <c r="BI256" s="1477"/>
      <c r="BJ256" s="566">
        <f t="shared" si="816"/>
        <v>0</v>
      </c>
      <c r="BK256" s="561"/>
      <c r="BL256" s="1477"/>
      <c r="BM256" s="566">
        <f t="shared" si="817"/>
        <v>0</v>
      </c>
      <c r="BN256" s="170"/>
      <c r="BO256" s="1477"/>
      <c r="BP256" s="566">
        <f t="shared" si="818"/>
        <v>0</v>
      </c>
      <c r="BQ256" s="170"/>
      <c r="BR256" s="1477"/>
      <c r="BS256" s="566">
        <f t="shared" si="819"/>
        <v>0</v>
      </c>
      <c r="BT256" s="170"/>
      <c r="BU256" s="1477"/>
      <c r="BV256" s="566">
        <f t="shared" si="820"/>
        <v>0</v>
      </c>
      <c r="BW256" s="170"/>
      <c r="BX256" s="1477"/>
      <c r="BY256" s="566">
        <f t="shared" si="821"/>
        <v>0</v>
      </c>
      <c r="BZ256" s="170"/>
      <c r="CA256" s="1477"/>
      <c r="CB256" s="566">
        <f t="shared" si="822"/>
        <v>0</v>
      </c>
      <c r="CC256" s="170"/>
      <c r="CD256" s="1477"/>
      <c r="CE256" s="566">
        <f t="shared" si="823"/>
        <v>0</v>
      </c>
      <c r="CF256" s="170"/>
      <c r="CG256" s="1477"/>
      <c r="CH256" s="566">
        <f t="shared" si="824"/>
        <v>0</v>
      </c>
      <c r="CI256" s="170"/>
      <c r="CJ256" s="562"/>
      <c r="CK256" s="566">
        <f t="shared" si="825"/>
        <v>0</v>
      </c>
      <c r="CL256" s="566"/>
      <c r="CM256" s="170"/>
      <c r="CN256" s="170"/>
      <c r="CO256" s="382" t="str">
        <f t="shared" si="826"/>
        <v>NA</v>
      </c>
      <c r="CP256" s="382"/>
      <c r="CQ256" s="385"/>
      <c r="CR256" s="382"/>
      <c r="CS256" s="385"/>
      <c r="CT256" s="567">
        <f t="shared" si="827"/>
        <v>0</v>
      </c>
      <c r="CU256" s="382"/>
      <c r="CV256" s="385"/>
      <c r="CW256" s="567">
        <f t="shared" si="828"/>
        <v>0</v>
      </c>
      <c r="CX256" s="382"/>
      <c r="CY256" s="385"/>
      <c r="CZ256" s="567">
        <f t="shared" si="829"/>
        <v>0</v>
      </c>
      <c r="DA256" s="382"/>
      <c r="DB256" s="385"/>
      <c r="DC256" s="567">
        <f t="shared" si="830"/>
        <v>0</v>
      </c>
      <c r="DD256" s="382"/>
      <c r="DE256" s="385"/>
      <c r="DF256" s="567">
        <f t="shared" si="831"/>
        <v>0</v>
      </c>
      <c r="DG256" s="382"/>
      <c r="DH256" s="385"/>
      <c r="DI256" s="567">
        <f t="shared" si="832"/>
        <v>0</v>
      </c>
      <c r="DJ256" s="382"/>
      <c r="DK256" s="385"/>
      <c r="DL256" s="567">
        <f t="shared" si="833"/>
        <v>0</v>
      </c>
      <c r="DM256" s="382"/>
      <c r="DN256" s="385"/>
      <c r="DO256" s="567">
        <f t="shared" si="834"/>
        <v>0</v>
      </c>
      <c r="DP256" s="382"/>
      <c r="DQ256" s="385"/>
      <c r="DR256" s="567">
        <f t="shared" si="835"/>
        <v>0</v>
      </c>
      <c r="DS256" s="382"/>
      <c r="DT256" s="385"/>
      <c r="DU256" s="567">
        <f t="shared" si="836"/>
        <v>0</v>
      </c>
      <c r="DV256" s="382"/>
      <c r="DW256" s="385"/>
      <c r="DX256" s="567">
        <f t="shared" si="837"/>
        <v>0</v>
      </c>
      <c r="DY256" s="382"/>
      <c r="DZ256" s="385"/>
      <c r="EA256" s="568">
        <f t="shared" si="838"/>
        <v>0</v>
      </c>
      <c r="EB256" s="170"/>
      <c r="EC256" s="170"/>
      <c r="ED256" s="170"/>
      <c r="EE256" s="170"/>
      <c r="EF256" s="170"/>
      <c r="EG256" s="170"/>
      <c r="EH256" s="170"/>
      <c r="EI256" s="170"/>
      <c r="EJ256" s="170"/>
      <c r="EK256" s="170"/>
    </row>
    <row r="257" spans="1:141" ht="15" x14ac:dyDescent="0.25">
      <c r="A257" s="557"/>
      <c r="B257" s="472"/>
      <c r="C257" s="472"/>
      <c r="D257" s="472"/>
      <c r="E257" s="564">
        <v>41</v>
      </c>
      <c r="F257" s="170"/>
      <c r="G257" s="1339" t="str">
        <f>VLOOKUP(E257,Parameters!$D$159:$E$301,2)</f>
        <v>NA</v>
      </c>
      <c r="H257" s="1287"/>
      <c r="I257" s="1289"/>
      <c r="J257" s="1287"/>
      <c r="K257" s="1289"/>
      <c r="L257" s="1369">
        <f t="shared" si="801"/>
        <v>0</v>
      </c>
      <c r="M257" s="1287"/>
      <c r="N257" s="1289"/>
      <c r="O257" s="1369">
        <f t="shared" si="802"/>
        <v>0</v>
      </c>
      <c r="P257" s="1287"/>
      <c r="Q257" s="1289"/>
      <c r="R257" s="1369">
        <f t="shared" si="803"/>
        <v>0</v>
      </c>
      <c r="S257" s="1287"/>
      <c r="T257" s="1289"/>
      <c r="U257" s="1369">
        <f t="shared" si="804"/>
        <v>0</v>
      </c>
      <c r="V257" s="1287"/>
      <c r="W257" s="1289"/>
      <c r="X257" s="1369">
        <f t="shared" si="805"/>
        <v>0</v>
      </c>
      <c r="Y257" s="1287"/>
      <c r="Z257" s="1289"/>
      <c r="AA257" s="1369">
        <f t="shared" si="806"/>
        <v>0</v>
      </c>
      <c r="AB257" s="1287"/>
      <c r="AC257" s="1289"/>
      <c r="AD257" s="1369">
        <f t="shared" si="807"/>
        <v>0</v>
      </c>
      <c r="AE257" s="1287"/>
      <c r="AF257" s="1289"/>
      <c r="AG257" s="1369">
        <f t="shared" si="808"/>
        <v>0</v>
      </c>
      <c r="AH257" s="1287"/>
      <c r="AI257" s="1289"/>
      <c r="AJ257" s="1369">
        <f t="shared" si="809"/>
        <v>0</v>
      </c>
      <c r="AK257" s="1287"/>
      <c r="AL257" s="1289"/>
      <c r="AM257" s="1369">
        <f t="shared" si="810"/>
        <v>0</v>
      </c>
      <c r="AN257" s="1287"/>
      <c r="AO257" s="1289"/>
      <c r="AP257" s="1369">
        <f t="shared" si="811"/>
        <v>0</v>
      </c>
      <c r="AQ257" s="1287"/>
      <c r="AR257" s="1289"/>
      <c r="AS257" s="1369">
        <f t="shared" si="812"/>
        <v>0</v>
      </c>
      <c r="AT257" s="1287"/>
      <c r="AU257" s="411"/>
      <c r="AV257" s="170"/>
      <c r="AW257" s="170"/>
      <c r="AX257" s="170"/>
      <c r="AY257" s="561" t="str">
        <f t="shared" si="813"/>
        <v>NA</v>
      </c>
      <c r="AZ257" s="561"/>
      <c r="BA257" s="562"/>
      <c r="BB257" s="170"/>
      <c r="BC257" s="562"/>
      <c r="BD257" s="566">
        <f t="shared" si="814"/>
        <v>0</v>
      </c>
      <c r="BE257" s="170"/>
      <c r="BF257" s="1477"/>
      <c r="BG257" s="566">
        <f t="shared" si="815"/>
        <v>0</v>
      </c>
      <c r="BH257" s="170"/>
      <c r="BI257" s="1477"/>
      <c r="BJ257" s="566">
        <f t="shared" si="816"/>
        <v>0</v>
      </c>
      <c r="BK257" s="561"/>
      <c r="BL257" s="1477"/>
      <c r="BM257" s="566">
        <f t="shared" si="817"/>
        <v>0</v>
      </c>
      <c r="BN257" s="170"/>
      <c r="BO257" s="1477"/>
      <c r="BP257" s="566">
        <f t="shared" si="818"/>
        <v>0</v>
      </c>
      <c r="BQ257" s="170"/>
      <c r="BR257" s="1477"/>
      <c r="BS257" s="566">
        <f t="shared" si="819"/>
        <v>0</v>
      </c>
      <c r="BT257" s="170"/>
      <c r="BU257" s="1477"/>
      <c r="BV257" s="566">
        <f t="shared" si="820"/>
        <v>0</v>
      </c>
      <c r="BW257" s="170"/>
      <c r="BX257" s="1477"/>
      <c r="BY257" s="566">
        <f t="shared" si="821"/>
        <v>0</v>
      </c>
      <c r="BZ257" s="170"/>
      <c r="CA257" s="1477"/>
      <c r="CB257" s="566">
        <f t="shared" si="822"/>
        <v>0</v>
      </c>
      <c r="CC257" s="170"/>
      <c r="CD257" s="1477"/>
      <c r="CE257" s="566">
        <f t="shared" si="823"/>
        <v>0</v>
      </c>
      <c r="CF257" s="170"/>
      <c r="CG257" s="1477"/>
      <c r="CH257" s="566">
        <f t="shared" si="824"/>
        <v>0</v>
      </c>
      <c r="CI257" s="170"/>
      <c r="CJ257" s="562"/>
      <c r="CK257" s="566">
        <f t="shared" si="825"/>
        <v>0</v>
      </c>
      <c r="CL257" s="566"/>
      <c r="CM257" s="170"/>
      <c r="CN257" s="170"/>
      <c r="CO257" s="382" t="str">
        <f t="shared" si="826"/>
        <v>NA</v>
      </c>
      <c r="CP257" s="382"/>
      <c r="CQ257" s="385"/>
      <c r="CR257" s="382"/>
      <c r="CS257" s="385"/>
      <c r="CT257" s="567">
        <f t="shared" si="827"/>
        <v>0</v>
      </c>
      <c r="CU257" s="382"/>
      <c r="CV257" s="385"/>
      <c r="CW257" s="567">
        <f t="shared" si="828"/>
        <v>0</v>
      </c>
      <c r="CX257" s="382"/>
      <c r="CY257" s="385"/>
      <c r="CZ257" s="567">
        <f t="shared" si="829"/>
        <v>0</v>
      </c>
      <c r="DA257" s="382"/>
      <c r="DB257" s="385"/>
      <c r="DC257" s="567">
        <f t="shared" si="830"/>
        <v>0</v>
      </c>
      <c r="DD257" s="382"/>
      <c r="DE257" s="385"/>
      <c r="DF257" s="567">
        <f t="shared" si="831"/>
        <v>0</v>
      </c>
      <c r="DG257" s="382"/>
      <c r="DH257" s="385"/>
      <c r="DI257" s="567">
        <f t="shared" si="832"/>
        <v>0</v>
      </c>
      <c r="DJ257" s="382"/>
      <c r="DK257" s="385"/>
      <c r="DL257" s="567">
        <f t="shared" si="833"/>
        <v>0</v>
      </c>
      <c r="DM257" s="382"/>
      <c r="DN257" s="385"/>
      <c r="DO257" s="567">
        <f t="shared" si="834"/>
        <v>0</v>
      </c>
      <c r="DP257" s="382"/>
      <c r="DQ257" s="385"/>
      <c r="DR257" s="567">
        <f t="shared" si="835"/>
        <v>0</v>
      </c>
      <c r="DS257" s="382"/>
      <c r="DT257" s="385"/>
      <c r="DU257" s="567">
        <f t="shared" si="836"/>
        <v>0</v>
      </c>
      <c r="DV257" s="382"/>
      <c r="DW257" s="385"/>
      <c r="DX257" s="567">
        <f t="shared" si="837"/>
        <v>0</v>
      </c>
      <c r="DY257" s="382"/>
      <c r="DZ257" s="385"/>
      <c r="EA257" s="568">
        <f t="shared" si="838"/>
        <v>0</v>
      </c>
      <c r="EB257" s="170"/>
      <c r="EC257" s="170"/>
      <c r="ED257" s="170"/>
      <c r="EE257" s="170"/>
      <c r="EF257" s="170"/>
      <c r="EG257" s="170"/>
      <c r="EH257" s="170"/>
      <c r="EI257" s="170"/>
      <c r="EJ257" s="170"/>
      <c r="EK257" s="170"/>
    </row>
    <row r="258" spans="1:141" ht="15" x14ac:dyDescent="0.25">
      <c r="A258" s="557"/>
      <c r="B258" s="472"/>
      <c r="C258" s="472"/>
      <c r="D258" s="472"/>
      <c r="E258" s="564">
        <v>42</v>
      </c>
      <c r="F258" s="170"/>
      <c r="G258" s="1339" t="str">
        <f>VLOOKUP(E258,Parameters!$D$159:$E$301,2)</f>
        <v>NA</v>
      </c>
      <c r="H258" s="1287"/>
      <c r="I258" s="1289"/>
      <c r="J258" s="1287"/>
      <c r="K258" s="1289"/>
      <c r="L258" s="1369">
        <f t="shared" si="801"/>
        <v>0</v>
      </c>
      <c r="M258" s="1287"/>
      <c r="N258" s="1289"/>
      <c r="O258" s="1369">
        <f t="shared" si="802"/>
        <v>0</v>
      </c>
      <c r="P258" s="1287"/>
      <c r="Q258" s="1289"/>
      <c r="R258" s="1369">
        <f t="shared" si="803"/>
        <v>0</v>
      </c>
      <c r="S258" s="1287"/>
      <c r="T258" s="1289"/>
      <c r="U258" s="1369">
        <f t="shared" si="804"/>
        <v>0</v>
      </c>
      <c r="V258" s="1287"/>
      <c r="W258" s="1289"/>
      <c r="X258" s="1369">
        <f t="shared" si="805"/>
        <v>0</v>
      </c>
      <c r="Y258" s="1287"/>
      <c r="Z258" s="1289"/>
      <c r="AA258" s="1369">
        <f t="shared" si="806"/>
        <v>0</v>
      </c>
      <c r="AB258" s="1287"/>
      <c r="AC258" s="1289"/>
      <c r="AD258" s="1369">
        <f t="shared" si="807"/>
        <v>0</v>
      </c>
      <c r="AE258" s="1287"/>
      <c r="AF258" s="1289"/>
      <c r="AG258" s="1369">
        <f t="shared" si="808"/>
        <v>0</v>
      </c>
      <c r="AH258" s="1287"/>
      <c r="AI258" s="1289"/>
      <c r="AJ258" s="1369">
        <f t="shared" si="809"/>
        <v>0</v>
      </c>
      <c r="AK258" s="1287"/>
      <c r="AL258" s="1289"/>
      <c r="AM258" s="1369">
        <f t="shared" si="810"/>
        <v>0</v>
      </c>
      <c r="AN258" s="1287"/>
      <c r="AO258" s="1289"/>
      <c r="AP258" s="1369">
        <f t="shared" si="811"/>
        <v>0</v>
      </c>
      <c r="AQ258" s="1287"/>
      <c r="AR258" s="1289"/>
      <c r="AS258" s="1369">
        <f t="shared" si="812"/>
        <v>0</v>
      </c>
      <c r="AT258" s="1287"/>
      <c r="AU258" s="411"/>
      <c r="AV258" s="170"/>
      <c r="AW258" s="170"/>
      <c r="AX258" s="170"/>
      <c r="AY258" s="561" t="str">
        <f t="shared" si="813"/>
        <v>NA</v>
      </c>
      <c r="AZ258" s="561"/>
      <c r="BA258" s="562"/>
      <c r="BB258" s="170"/>
      <c r="BC258" s="562"/>
      <c r="BD258" s="566">
        <f t="shared" si="814"/>
        <v>0</v>
      </c>
      <c r="BE258" s="170"/>
      <c r="BF258" s="1477"/>
      <c r="BG258" s="566">
        <f t="shared" si="815"/>
        <v>0</v>
      </c>
      <c r="BH258" s="170"/>
      <c r="BI258" s="1477"/>
      <c r="BJ258" s="566">
        <f t="shared" si="816"/>
        <v>0</v>
      </c>
      <c r="BK258" s="561"/>
      <c r="BL258" s="1477"/>
      <c r="BM258" s="566">
        <f t="shared" si="817"/>
        <v>0</v>
      </c>
      <c r="BN258" s="170"/>
      <c r="BO258" s="1477"/>
      <c r="BP258" s="566">
        <f t="shared" si="818"/>
        <v>0</v>
      </c>
      <c r="BQ258" s="170"/>
      <c r="BR258" s="1477"/>
      <c r="BS258" s="566">
        <f t="shared" si="819"/>
        <v>0</v>
      </c>
      <c r="BT258" s="170"/>
      <c r="BU258" s="1477"/>
      <c r="BV258" s="566">
        <f t="shared" si="820"/>
        <v>0</v>
      </c>
      <c r="BW258" s="170"/>
      <c r="BX258" s="1477"/>
      <c r="BY258" s="566">
        <f t="shared" si="821"/>
        <v>0</v>
      </c>
      <c r="BZ258" s="170"/>
      <c r="CA258" s="1477"/>
      <c r="CB258" s="566">
        <f t="shared" si="822"/>
        <v>0</v>
      </c>
      <c r="CC258" s="170"/>
      <c r="CD258" s="1477"/>
      <c r="CE258" s="566">
        <f t="shared" si="823"/>
        <v>0</v>
      </c>
      <c r="CF258" s="170"/>
      <c r="CG258" s="1477"/>
      <c r="CH258" s="566">
        <f t="shared" si="824"/>
        <v>0</v>
      </c>
      <c r="CI258" s="170"/>
      <c r="CJ258" s="562"/>
      <c r="CK258" s="566">
        <f t="shared" si="825"/>
        <v>0</v>
      </c>
      <c r="CL258" s="566"/>
      <c r="CM258" s="170"/>
      <c r="CN258" s="170"/>
      <c r="CO258" s="382" t="str">
        <f t="shared" si="826"/>
        <v>NA</v>
      </c>
      <c r="CP258" s="382"/>
      <c r="CQ258" s="385"/>
      <c r="CR258" s="382"/>
      <c r="CS258" s="385"/>
      <c r="CT258" s="567">
        <f t="shared" si="827"/>
        <v>0</v>
      </c>
      <c r="CU258" s="382"/>
      <c r="CV258" s="385"/>
      <c r="CW258" s="567">
        <f t="shared" si="828"/>
        <v>0</v>
      </c>
      <c r="CX258" s="382"/>
      <c r="CY258" s="385"/>
      <c r="CZ258" s="567">
        <f t="shared" si="829"/>
        <v>0</v>
      </c>
      <c r="DA258" s="382"/>
      <c r="DB258" s="385"/>
      <c r="DC258" s="567">
        <f t="shared" si="830"/>
        <v>0</v>
      </c>
      <c r="DD258" s="382"/>
      <c r="DE258" s="385"/>
      <c r="DF258" s="567">
        <f t="shared" si="831"/>
        <v>0</v>
      </c>
      <c r="DG258" s="382"/>
      <c r="DH258" s="385"/>
      <c r="DI258" s="567">
        <f t="shared" si="832"/>
        <v>0</v>
      </c>
      <c r="DJ258" s="382"/>
      <c r="DK258" s="385"/>
      <c r="DL258" s="567">
        <f t="shared" si="833"/>
        <v>0</v>
      </c>
      <c r="DM258" s="382"/>
      <c r="DN258" s="385"/>
      <c r="DO258" s="567">
        <f t="shared" si="834"/>
        <v>0</v>
      </c>
      <c r="DP258" s="382"/>
      <c r="DQ258" s="385"/>
      <c r="DR258" s="567">
        <f t="shared" si="835"/>
        <v>0</v>
      </c>
      <c r="DS258" s="382"/>
      <c r="DT258" s="385"/>
      <c r="DU258" s="567">
        <f t="shared" si="836"/>
        <v>0</v>
      </c>
      <c r="DV258" s="382"/>
      <c r="DW258" s="385"/>
      <c r="DX258" s="567">
        <f t="shared" si="837"/>
        <v>0</v>
      </c>
      <c r="DY258" s="382"/>
      <c r="DZ258" s="385"/>
      <c r="EA258" s="568">
        <f t="shared" si="838"/>
        <v>0</v>
      </c>
      <c r="EB258" s="170"/>
      <c r="EC258" s="170"/>
      <c r="ED258" s="170"/>
      <c r="EE258" s="170"/>
      <c r="EF258" s="170"/>
      <c r="EG258" s="170"/>
      <c r="EH258" s="170"/>
      <c r="EI258" s="170"/>
      <c r="EJ258" s="170"/>
      <c r="EK258" s="170"/>
    </row>
    <row r="259" spans="1:141" ht="15" x14ac:dyDescent="0.25">
      <c r="A259" s="557"/>
      <c r="B259" s="472"/>
      <c r="C259" s="472"/>
      <c r="D259" s="472"/>
      <c r="E259" s="564">
        <v>43</v>
      </c>
      <c r="F259" s="170"/>
      <c r="G259" s="1339" t="str">
        <f>VLOOKUP(E259,Parameters!$D$159:$E$301,2)</f>
        <v>NA</v>
      </c>
      <c r="H259" s="1287"/>
      <c r="I259" s="1289"/>
      <c r="J259" s="1287"/>
      <c r="K259" s="1289"/>
      <c r="L259" s="1369">
        <f t="shared" si="801"/>
        <v>0</v>
      </c>
      <c r="M259" s="1287"/>
      <c r="N259" s="1289"/>
      <c r="O259" s="1369">
        <f t="shared" si="802"/>
        <v>0</v>
      </c>
      <c r="P259" s="1287"/>
      <c r="Q259" s="1289"/>
      <c r="R259" s="1369">
        <f t="shared" si="803"/>
        <v>0</v>
      </c>
      <c r="S259" s="1287"/>
      <c r="T259" s="1289"/>
      <c r="U259" s="1369">
        <f t="shared" si="804"/>
        <v>0</v>
      </c>
      <c r="V259" s="1287"/>
      <c r="W259" s="1289"/>
      <c r="X259" s="1369">
        <f t="shared" si="805"/>
        <v>0</v>
      </c>
      <c r="Y259" s="1287"/>
      <c r="Z259" s="1289"/>
      <c r="AA259" s="1369">
        <f t="shared" si="806"/>
        <v>0</v>
      </c>
      <c r="AB259" s="1287"/>
      <c r="AC259" s="1289"/>
      <c r="AD259" s="1369">
        <f t="shared" si="807"/>
        <v>0</v>
      </c>
      <c r="AE259" s="1287"/>
      <c r="AF259" s="1289"/>
      <c r="AG259" s="1369">
        <f t="shared" si="808"/>
        <v>0</v>
      </c>
      <c r="AH259" s="1287"/>
      <c r="AI259" s="1289"/>
      <c r="AJ259" s="1369">
        <f t="shared" si="809"/>
        <v>0</v>
      </c>
      <c r="AK259" s="1287"/>
      <c r="AL259" s="1289"/>
      <c r="AM259" s="1369">
        <f t="shared" si="810"/>
        <v>0</v>
      </c>
      <c r="AN259" s="1287"/>
      <c r="AO259" s="1289"/>
      <c r="AP259" s="1369">
        <f t="shared" si="811"/>
        <v>0</v>
      </c>
      <c r="AQ259" s="1287"/>
      <c r="AR259" s="1289"/>
      <c r="AS259" s="1369">
        <f t="shared" si="812"/>
        <v>0</v>
      </c>
      <c r="AT259" s="1287"/>
      <c r="AU259" s="411"/>
      <c r="AV259" s="170"/>
      <c r="AW259" s="170"/>
      <c r="AX259" s="170"/>
      <c r="AY259" s="561" t="str">
        <f t="shared" si="813"/>
        <v>NA</v>
      </c>
      <c r="AZ259" s="561"/>
      <c r="BA259" s="562"/>
      <c r="BB259" s="170"/>
      <c r="BC259" s="562"/>
      <c r="BD259" s="566">
        <f t="shared" si="814"/>
        <v>0</v>
      </c>
      <c r="BE259" s="170"/>
      <c r="BF259" s="1477"/>
      <c r="BG259" s="566">
        <f t="shared" si="815"/>
        <v>0</v>
      </c>
      <c r="BH259" s="170"/>
      <c r="BI259" s="1477"/>
      <c r="BJ259" s="566">
        <f t="shared" si="816"/>
        <v>0</v>
      </c>
      <c r="BK259" s="561"/>
      <c r="BL259" s="1477"/>
      <c r="BM259" s="566">
        <f t="shared" si="817"/>
        <v>0</v>
      </c>
      <c r="BN259" s="170"/>
      <c r="BO259" s="1477"/>
      <c r="BP259" s="566">
        <f t="shared" si="818"/>
        <v>0</v>
      </c>
      <c r="BQ259" s="170"/>
      <c r="BR259" s="1477"/>
      <c r="BS259" s="566">
        <f t="shared" si="819"/>
        <v>0</v>
      </c>
      <c r="BT259" s="170"/>
      <c r="BU259" s="1477"/>
      <c r="BV259" s="566">
        <f t="shared" si="820"/>
        <v>0</v>
      </c>
      <c r="BW259" s="170"/>
      <c r="BX259" s="1477"/>
      <c r="BY259" s="566">
        <f t="shared" si="821"/>
        <v>0</v>
      </c>
      <c r="BZ259" s="170"/>
      <c r="CA259" s="1477"/>
      <c r="CB259" s="566">
        <f t="shared" si="822"/>
        <v>0</v>
      </c>
      <c r="CC259" s="170"/>
      <c r="CD259" s="1477"/>
      <c r="CE259" s="566">
        <f t="shared" si="823"/>
        <v>0</v>
      </c>
      <c r="CF259" s="170"/>
      <c r="CG259" s="1477"/>
      <c r="CH259" s="566">
        <f t="shared" si="824"/>
        <v>0</v>
      </c>
      <c r="CI259" s="170"/>
      <c r="CJ259" s="562"/>
      <c r="CK259" s="566">
        <f t="shared" si="825"/>
        <v>0</v>
      </c>
      <c r="CL259" s="566"/>
      <c r="CM259" s="170"/>
      <c r="CN259" s="170"/>
      <c r="CO259" s="382" t="str">
        <f t="shared" si="826"/>
        <v>NA</v>
      </c>
      <c r="CP259" s="382"/>
      <c r="CQ259" s="385"/>
      <c r="CR259" s="382"/>
      <c r="CS259" s="385"/>
      <c r="CT259" s="567">
        <f t="shared" si="827"/>
        <v>0</v>
      </c>
      <c r="CU259" s="382"/>
      <c r="CV259" s="385"/>
      <c r="CW259" s="567">
        <f t="shared" si="828"/>
        <v>0</v>
      </c>
      <c r="CX259" s="382"/>
      <c r="CY259" s="385"/>
      <c r="CZ259" s="567">
        <f t="shared" si="829"/>
        <v>0</v>
      </c>
      <c r="DA259" s="382"/>
      <c r="DB259" s="385"/>
      <c r="DC259" s="567">
        <f t="shared" si="830"/>
        <v>0</v>
      </c>
      <c r="DD259" s="382"/>
      <c r="DE259" s="385"/>
      <c r="DF259" s="567">
        <f t="shared" si="831"/>
        <v>0</v>
      </c>
      <c r="DG259" s="382"/>
      <c r="DH259" s="385"/>
      <c r="DI259" s="567">
        <f t="shared" si="832"/>
        <v>0</v>
      </c>
      <c r="DJ259" s="382"/>
      <c r="DK259" s="385"/>
      <c r="DL259" s="567">
        <f t="shared" si="833"/>
        <v>0</v>
      </c>
      <c r="DM259" s="382"/>
      <c r="DN259" s="385"/>
      <c r="DO259" s="567">
        <f t="shared" si="834"/>
        <v>0</v>
      </c>
      <c r="DP259" s="382"/>
      <c r="DQ259" s="385"/>
      <c r="DR259" s="567">
        <f t="shared" si="835"/>
        <v>0</v>
      </c>
      <c r="DS259" s="382"/>
      <c r="DT259" s="385"/>
      <c r="DU259" s="567">
        <f t="shared" si="836"/>
        <v>0</v>
      </c>
      <c r="DV259" s="382"/>
      <c r="DW259" s="385"/>
      <c r="DX259" s="567">
        <f t="shared" si="837"/>
        <v>0</v>
      </c>
      <c r="DY259" s="382"/>
      <c r="DZ259" s="385"/>
      <c r="EA259" s="568">
        <f t="shared" si="838"/>
        <v>0</v>
      </c>
      <c r="EB259" s="170"/>
      <c r="EC259" s="170"/>
      <c r="ED259" s="170"/>
      <c r="EE259" s="170"/>
      <c r="EF259" s="170"/>
      <c r="EG259" s="170"/>
      <c r="EH259" s="170"/>
      <c r="EI259" s="170"/>
      <c r="EJ259" s="170"/>
      <c r="EK259" s="170"/>
    </row>
    <row r="260" spans="1:141" ht="15" x14ac:dyDescent="0.25">
      <c r="A260" s="557"/>
      <c r="B260" s="472"/>
      <c r="C260" s="472"/>
      <c r="D260" s="472"/>
      <c r="E260" s="564">
        <v>44</v>
      </c>
      <c r="F260" s="170"/>
      <c r="G260" s="1339" t="str">
        <f>VLOOKUP(E260,Parameters!$D$159:$E$301,2)</f>
        <v>NA</v>
      </c>
      <c r="H260" s="1287"/>
      <c r="I260" s="1289"/>
      <c r="J260" s="1287"/>
      <c r="K260" s="1289"/>
      <c r="L260" s="1369">
        <f t="shared" si="801"/>
        <v>0</v>
      </c>
      <c r="M260" s="1287"/>
      <c r="N260" s="1289"/>
      <c r="O260" s="1369">
        <f t="shared" si="802"/>
        <v>0</v>
      </c>
      <c r="P260" s="1287"/>
      <c r="Q260" s="1289"/>
      <c r="R260" s="1369">
        <f t="shared" si="803"/>
        <v>0</v>
      </c>
      <c r="S260" s="1287"/>
      <c r="T260" s="1289"/>
      <c r="U260" s="1369">
        <f t="shared" si="804"/>
        <v>0</v>
      </c>
      <c r="V260" s="1287"/>
      <c r="W260" s="1289"/>
      <c r="X260" s="1369">
        <f t="shared" si="805"/>
        <v>0</v>
      </c>
      <c r="Y260" s="1287"/>
      <c r="Z260" s="1289"/>
      <c r="AA260" s="1369">
        <f t="shared" si="806"/>
        <v>0</v>
      </c>
      <c r="AB260" s="1287"/>
      <c r="AC260" s="1289"/>
      <c r="AD260" s="1369">
        <f t="shared" si="807"/>
        <v>0</v>
      </c>
      <c r="AE260" s="1287"/>
      <c r="AF260" s="1289"/>
      <c r="AG260" s="1369">
        <f t="shared" si="808"/>
        <v>0</v>
      </c>
      <c r="AH260" s="1287"/>
      <c r="AI260" s="1289"/>
      <c r="AJ260" s="1369">
        <f t="shared" si="809"/>
        <v>0</v>
      </c>
      <c r="AK260" s="1287"/>
      <c r="AL260" s="1289"/>
      <c r="AM260" s="1369">
        <f t="shared" si="810"/>
        <v>0</v>
      </c>
      <c r="AN260" s="1287"/>
      <c r="AO260" s="1289"/>
      <c r="AP260" s="1369">
        <f t="shared" si="811"/>
        <v>0</v>
      </c>
      <c r="AQ260" s="1287"/>
      <c r="AR260" s="1289"/>
      <c r="AS260" s="1369">
        <f t="shared" si="812"/>
        <v>0</v>
      </c>
      <c r="AT260" s="1287"/>
      <c r="AU260" s="411"/>
      <c r="AV260" s="170"/>
      <c r="AW260" s="170"/>
      <c r="AX260" s="170"/>
      <c r="AY260" s="561" t="str">
        <f t="shared" si="813"/>
        <v>NA</v>
      </c>
      <c r="AZ260" s="561"/>
      <c r="BA260" s="562"/>
      <c r="BB260" s="170"/>
      <c r="BC260" s="562"/>
      <c r="BD260" s="566">
        <f t="shared" si="814"/>
        <v>0</v>
      </c>
      <c r="BE260" s="170"/>
      <c r="BF260" s="1477"/>
      <c r="BG260" s="566">
        <f t="shared" si="815"/>
        <v>0</v>
      </c>
      <c r="BH260" s="170"/>
      <c r="BI260" s="1477"/>
      <c r="BJ260" s="566">
        <f t="shared" si="816"/>
        <v>0</v>
      </c>
      <c r="BK260" s="561"/>
      <c r="BL260" s="1477"/>
      <c r="BM260" s="566">
        <f t="shared" si="817"/>
        <v>0</v>
      </c>
      <c r="BN260" s="170"/>
      <c r="BO260" s="1477"/>
      <c r="BP260" s="566">
        <f t="shared" si="818"/>
        <v>0</v>
      </c>
      <c r="BQ260" s="170"/>
      <c r="BR260" s="1477"/>
      <c r="BS260" s="566">
        <f t="shared" si="819"/>
        <v>0</v>
      </c>
      <c r="BT260" s="170"/>
      <c r="BU260" s="1477"/>
      <c r="BV260" s="566">
        <f t="shared" si="820"/>
        <v>0</v>
      </c>
      <c r="BW260" s="170"/>
      <c r="BX260" s="1477"/>
      <c r="BY260" s="566">
        <f t="shared" si="821"/>
        <v>0</v>
      </c>
      <c r="BZ260" s="170"/>
      <c r="CA260" s="1477"/>
      <c r="CB260" s="566">
        <f t="shared" si="822"/>
        <v>0</v>
      </c>
      <c r="CC260" s="170"/>
      <c r="CD260" s="1477"/>
      <c r="CE260" s="566">
        <f t="shared" si="823"/>
        <v>0</v>
      </c>
      <c r="CF260" s="170"/>
      <c r="CG260" s="1477"/>
      <c r="CH260" s="566">
        <f t="shared" si="824"/>
        <v>0</v>
      </c>
      <c r="CI260" s="170"/>
      <c r="CJ260" s="562"/>
      <c r="CK260" s="566">
        <f t="shared" si="825"/>
        <v>0</v>
      </c>
      <c r="CL260" s="566"/>
      <c r="CM260" s="170"/>
      <c r="CN260" s="170"/>
      <c r="CO260" s="382" t="str">
        <f t="shared" si="826"/>
        <v>NA</v>
      </c>
      <c r="CP260" s="382"/>
      <c r="CQ260" s="385"/>
      <c r="CR260" s="382"/>
      <c r="CS260" s="385"/>
      <c r="CT260" s="567">
        <f t="shared" si="827"/>
        <v>0</v>
      </c>
      <c r="CU260" s="382"/>
      <c r="CV260" s="385"/>
      <c r="CW260" s="567">
        <f t="shared" si="828"/>
        <v>0</v>
      </c>
      <c r="CX260" s="382"/>
      <c r="CY260" s="385"/>
      <c r="CZ260" s="567">
        <f t="shared" si="829"/>
        <v>0</v>
      </c>
      <c r="DA260" s="382"/>
      <c r="DB260" s="385"/>
      <c r="DC260" s="567">
        <f t="shared" si="830"/>
        <v>0</v>
      </c>
      <c r="DD260" s="382"/>
      <c r="DE260" s="385"/>
      <c r="DF260" s="567">
        <f t="shared" si="831"/>
        <v>0</v>
      </c>
      <c r="DG260" s="382"/>
      <c r="DH260" s="385"/>
      <c r="DI260" s="567">
        <f t="shared" si="832"/>
        <v>0</v>
      </c>
      <c r="DJ260" s="382"/>
      <c r="DK260" s="385"/>
      <c r="DL260" s="567">
        <f t="shared" si="833"/>
        <v>0</v>
      </c>
      <c r="DM260" s="382"/>
      <c r="DN260" s="385"/>
      <c r="DO260" s="567">
        <f t="shared" si="834"/>
        <v>0</v>
      </c>
      <c r="DP260" s="382"/>
      <c r="DQ260" s="385"/>
      <c r="DR260" s="567">
        <f t="shared" si="835"/>
        <v>0</v>
      </c>
      <c r="DS260" s="382"/>
      <c r="DT260" s="385"/>
      <c r="DU260" s="567">
        <f t="shared" si="836"/>
        <v>0</v>
      </c>
      <c r="DV260" s="382"/>
      <c r="DW260" s="385"/>
      <c r="DX260" s="567">
        <f t="shared" si="837"/>
        <v>0</v>
      </c>
      <c r="DY260" s="382"/>
      <c r="DZ260" s="385"/>
      <c r="EA260" s="568">
        <f t="shared" si="838"/>
        <v>0</v>
      </c>
      <c r="EB260" s="170"/>
      <c r="EC260" s="170"/>
      <c r="ED260" s="170"/>
      <c r="EE260" s="170"/>
      <c r="EF260" s="170"/>
      <c r="EG260" s="170"/>
      <c r="EH260" s="170"/>
      <c r="EI260" s="170"/>
      <c r="EJ260" s="170"/>
      <c r="EK260" s="170"/>
    </row>
    <row r="261" spans="1:141" ht="15" x14ac:dyDescent="0.25">
      <c r="A261" s="557"/>
      <c r="B261" s="472"/>
      <c r="C261" s="472"/>
      <c r="D261" s="472"/>
      <c r="E261" s="564">
        <v>45</v>
      </c>
      <c r="F261" s="170"/>
      <c r="G261" s="1339" t="str">
        <f>VLOOKUP(E261,Parameters!$D$159:$E$301,2)</f>
        <v>NA</v>
      </c>
      <c r="H261" s="1287"/>
      <c r="I261" s="1289"/>
      <c r="J261" s="1287"/>
      <c r="K261" s="1289"/>
      <c r="L261" s="1369">
        <f t="shared" si="801"/>
        <v>0</v>
      </c>
      <c r="M261" s="1287"/>
      <c r="N261" s="1289"/>
      <c r="O261" s="1369">
        <f t="shared" si="802"/>
        <v>0</v>
      </c>
      <c r="P261" s="1287"/>
      <c r="Q261" s="1289"/>
      <c r="R261" s="1369">
        <f t="shared" si="803"/>
        <v>0</v>
      </c>
      <c r="S261" s="1287"/>
      <c r="T261" s="1289"/>
      <c r="U261" s="1369">
        <f t="shared" si="804"/>
        <v>0</v>
      </c>
      <c r="V261" s="1287"/>
      <c r="W261" s="1289"/>
      <c r="X261" s="1369">
        <f t="shared" si="805"/>
        <v>0</v>
      </c>
      <c r="Y261" s="1287"/>
      <c r="Z261" s="1289"/>
      <c r="AA261" s="1369">
        <f t="shared" si="806"/>
        <v>0</v>
      </c>
      <c r="AB261" s="1287"/>
      <c r="AC261" s="1289"/>
      <c r="AD261" s="1369">
        <f t="shared" si="807"/>
        <v>0</v>
      </c>
      <c r="AE261" s="1287"/>
      <c r="AF261" s="1289"/>
      <c r="AG261" s="1369">
        <f t="shared" si="808"/>
        <v>0</v>
      </c>
      <c r="AH261" s="1287"/>
      <c r="AI261" s="1289"/>
      <c r="AJ261" s="1369">
        <f t="shared" si="809"/>
        <v>0</v>
      </c>
      <c r="AK261" s="1287"/>
      <c r="AL261" s="1289"/>
      <c r="AM261" s="1369">
        <f t="shared" si="810"/>
        <v>0</v>
      </c>
      <c r="AN261" s="1287"/>
      <c r="AO261" s="1289"/>
      <c r="AP261" s="1369">
        <f t="shared" si="811"/>
        <v>0</v>
      </c>
      <c r="AQ261" s="1287"/>
      <c r="AR261" s="1289"/>
      <c r="AS261" s="1369">
        <f t="shared" si="812"/>
        <v>0</v>
      </c>
      <c r="AT261" s="1287"/>
      <c r="AU261" s="411"/>
      <c r="AV261" s="170"/>
      <c r="AW261" s="170"/>
      <c r="AX261" s="170"/>
      <c r="AY261" s="561" t="str">
        <f t="shared" si="813"/>
        <v>NA</v>
      </c>
      <c r="AZ261" s="561"/>
      <c r="BA261" s="562"/>
      <c r="BB261" s="170"/>
      <c r="BC261" s="562"/>
      <c r="BD261" s="566">
        <f t="shared" si="814"/>
        <v>0</v>
      </c>
      <c r="BE261" s="170"/>
      <c r="BF261" s="1477"/>
      <c r="BG261" s="566">
        <f t="shared" si="815"/>
        <v>0</v>
      </c>
      <c r="BH261" s="170"/>
      <c r="BI261" s="1477"/>
      <c r="BJ261" s="566">
        <f t="shared" si="816"/>
        <v>0</v>
      </c>
      <c r="BK261" s="561"/>
      <c r="BL261" s="1477"/>
      <c r="BM261" s="566">
        <f t="shared" si="817"/>
        <v>0</v>
      </c>
      <c r="BN261" s="170"/>
      <c r="BO261" s="1477"/>
      <c r="BP261" s="566">
        <f t="shared" si="818"/>
        <v>0</v>
      </c>
      <c r="BQ261" s="170"/>
      <c r="BR261" s="1477"/>
      <c r="BS261" s="566">
        <f t="shared" si="819"/>
        <v>0</v>
      </c>
      <c r="BT261" s="170"/>
      <c r="BU261" s="1477"/>
      <c r="BV261" s="566">
        <f t="shared" si="820"/>
        <v>0</v>
      </c>
      <c r="BW261" s="170"/>
      <c r="BX261" s="1477"/>
      <c r="BY261" s="566">
        <f t="shared" si="821"/>
        <v>0</v>
      </c>
      <c r="BZ261" s="170"/>
      <c r="CA261" s="1477"/>
      <c r="CB261" s="566">
        <f t="shared" si="822"/>
        <v>0</v>
      </c>
      <c r="CC261" s="170"/>
      <c r="CD261" s="1477"/>
      <c r="CE261" s="566">
        <f t="shared" si="823"/>
        <v>0</v>
      </c>
      <c r="CF261" s="170"/>
      <c r="CG261" s="1477"/>
      <c r="CH261" s="566">
        <f t="shared" si="824"/>
        <v>0</v>
      </c>
      <c r="CI261" s="170"/>
      <c r="CJ261" s="562"/>
      <c r="CK261" s="566">
        <f t="shared" si="825"/>
        <v>0</v>
      </c>
      <c r="CL261" s="566"/>
      <c r="CM261" s="170"/>
      <c r="CN261" s="170"/>
      <c r="CO261" s="382" t="str">
        <f t="shared" si="826"/>
        <v>NA</v>
      </c>
      <c r="CP261" s="382"/>
      <c r="CQ261" s="385"/>
      <c r="CR261" s="382"/>
      <c r="CS261" s="385"/>
      <c r="CT261" s="567">
        <f t="shared" si="827"/>
        <v>0</v>
      </c>
      <c r="CU261" s="382"/>
      <c r="CV261" s="385"/>
      <c r="CW261" s="567">
        <f t="shared" si="828"/>
        <v>0</v>
      </c>
      <c r="CX261" s="382"/>
      <c r="CY261" s="385"/>
      <c r="CZ261" s="567">
        <f t="shared" si="829"/>
        <v>0</v>
      </c>
      <c r="DA261" s="382"/>
      <c r="DB261" s="385"/>
      <c r="DC261" s="567">
        <f t="shared" si="830"/>
        <v>0</v>
      </c>
      <c r="DD261" s="382"/>
      <c r="DE261" s="385"/>
      <c r="DF261" s="567">
        <f t="shared" si="831"/>
        <v>0</v>
      </c>
      <c r="DG261" s="382"/>
      <c r="DH261" s="385"/>
      <c r="DI261" s="567">
        <f t="shared" si="832"/>
        <v>0</v>
      </c>
      <c r="DJ261" s="382"/>
      <c r="DK261" s="385"/>
      <c r="DL261" s="567">
        <f t="shared" si="833"/>
        <v>0</v>
      </c>
      <c r="DM261" s="382"/>
      <c r="DN261" s="385"/>
      <c r="DO261" s="567">
        <f t="shared" si="834"/>
        <v>0</v>
      </c>
      <c r="DP261" s="382"/>
      <c r="DQ261" s="385"/>
      <c r="DR261" s="567">
        <f t="shared" si="835"/>
        <v>0</v>
      </c>
      <c r="DS261" s="382"/>
      <c r="DT261" s="385"/>
      <c r="DU261" s="567">
        <f t="shared" si="836"/>
        <v>0</v>
      </c>
      <c r="DV261" s="382"/>
      <c r="DW261" s="385"/>
      <c r="DX261" s="567">
        <f t="shared" si="837"/>
        <v>0</v>
      </c>
      <c r="DY261" s="382"/>
      <c r="DZ261" s="385"/>
      <c r="EA261" s="568">
        <f t="shared" si="838"/>
        <v>0</v>
      </c>
      <c r="EB261" s="170"/>
      <c r="EC261" s="170"/>
      <c r="ED261" s="170"/>
      <c r="EE261" s="170"/>
      <c r="EF261" s="170"/>
      <c r="EG261" s="170"/>
      <c r="EH261" s="170"/>
      <c r="EI261" s="170"/>
      <c r="EJ261" s="170"/>
      <c r="EK261" s="170"/>
    </row>
    <row r="262" spans="1:141" ht="15" x14ac:dyDescent="0.25">
      <c r="A262" s="557"/>
      <c r="B262" s="472"/>
      <c r="C262" s="472"/>
      <c r="D262" s="472"/>
      <c r="E262" s="564">
        <v>46</v>
      </c>
      <c r="F262" s="170"/>
      <c r="G262" s="1339" t="str">
        <f>VLOOKUP(E262,Parameters!$D$159:$E$301,2)</f>
        <v>NA</v>
      </c>
      <c r="H262" s="1287"/>
      <c r="I262" s="1289"/>
      <c r="J262" s="1287"/>
      <c r="K262" s="1289"/>
      <c r="L262" s="1369">
        <f t="shared" si="801"/>
        <v>0</v>
      </c>
      <c r="M262" s="1287"/>
      <c r="N262" s="1289"/>
      <c r="O262" s="1369">
        <f t="shared" si="802"/>
        <v>0</v>
      </c>
      <c r="P262" s="1287"/>
      <c r="Q262" s="1289"/>
      <c r="R262" s="1369">
        <f t="shared" si="803"/>
        <v>0</v>
      </c>
      <c r="S262" s="1287"/>
      <c r="T262" s="1289"/>
      <c r="U262" s="1369">
        <f t="shared" si="804"/>
        <v>0</v>
      </c>
      <c r="V262" s="1287"/>
      <c r="W262" s="1289"/>
      <c r="X262" s="1369">
        <f t="shared" si="805"/>
        <v>0</v>
      </c>
      <c r="Y262" s="1287"/>
      <c r="Z262" s="1289"/>
      <c r="AA262" s="1369">
        <f t="shared" si="806"/>
        <v>0</v>
      </c>
      <c r="AB262" s="1287"/>
      <c r="AC262" s="1289"/>
      <c r="AD262" s="1369">
        <f t="shared" si="807"/>
        <v>0</v>
      </c>
      <c r="AE262" s="1287"/>
      <c r="AF262" s="1289"/>
      <c r="AG262" s="1369">
        <f t="shared" si="808"/>
        <v>0</v>
      </c>
      <c r="AH262" s="1287"/>
      <c r="AI262" s="1289"/>
      <c r="AJ262" s="1369">
        <f t="shared" si="809"/>
        <v>0</v>
      </c>
      <c r="AK262" s="1287"/>
      <c r="AL262" s="1289"/>
      <c r="AM262" s="1369">
        <f t="shared" si="810"/>
        <v>0</v>
      </c>
      <c r="AN262" s="1287"/>
      <c r="AO262" s="1289"/>
      <c r="AP262" s="1369">
        <f t="shared" si="811"/>
        <v>0</v>
      </c>
      <c r="AQ262" s="1287"/>
      <c r="AR262" s="1289"/>
      <c r="AS262" s="1369">
        <f t="shared" si="812"/>
        <v>0</v>
      </c>
      <c r="AT262" s="1287"/>
      <c r="AU262" s="411"/>
      <c r="AV262" s="170"/>
      <c r="AW262" s="170"/>
      <c r="AX262" s="170"/>
      <c r="AY262" s="561" t="str">
        <f t="shared" si="813"/>
        <v>NA</v>
      </c>
      <c r="AZ262" s="561"/>
      <c r="BA262" s="562"/>
      <c r="BB262" s="170"/>
      <c r="BC262" s="562"/>
      <c r="BD262" s="566">
        <f t="shared" si="814"/>
        <v>0</v>
      </c>
      <c r="BE262" s="170"/>
      <c r="BF262" s="1477"/>
      <c r="BG262" s="566">
        <f t="shared" si="815"/>
        <v>0</v>
      </c>
      <c r="BH262" s="170"/>
      <c r="BI262" s="1477"/>
      <c r="BJ262" s="566">
        <f t="shared" si="816"/>
        <v>0</v>
      </c>
      <c r="BK262" s="561"/>
      <c r="BL262" s="1477"/>
      <c r="BM262" s="566">
        <f t="shared" si="817"/>
        <v>0</v>
      </c>
      <c r="BN262" s="170"/>
      <c r="BO262" s="1477"/>
      <c r="BP262" s="566">
        <f t="shared" si="818"/>
        <v>0</v>
      </c>
      <c r="BQ262" s="170"/>
      <c r="BR262" s="1477"/>
      <c r="BS262" s="566">
        <f t="shared" si="819"/>
        <v>0</v>
      </c>
      <c r="BT262" s="170"/>
      <c r="BU262" s="1477"/>
      <c r="BV262" s="566">
        <f t="shared" si="820"/>
        <v>0</v>
      </c>
      <c r="BW262" s="170"/>
      <c r="BX262" s="1477"/>
      <c r="BY262" s="566">
        <f t="shared" si="821"/>
        <v>0</v>
      </c>
      <c r="BZ262" s="170"/>
      <c r="CA262" s="1477"/>
      <c r="CB262" s="566">
        <f t="shared" si="822"/>
        <v>0</v>
      </c>
      <c r="CC262" s="170"/>
      <c r="CD262" s="1477"/>
      <c r="CE262" s="566">
        <f t="shared" si="823"/>
        <v>0</v>
      </c>
      <c r="CF262" s="170"/>
      <c r="CG262" s="1477"/>
      <c r="CH262" s="566">
        <f t="shared" si="824"/>
        <v>0</v>
      </c>
      <c r="CI262" s="170"/>
      <c r="CJ262" s="562"/>
      <c r="CK262" s="566">
        <f t="shared" si="825"/>
        <v>0</v>
      </c>
      <c r="CL262" s="566"/>
      <c r="CM262" s="170"/>
      <c r="CN262" s="170"/>
      <c r="CO262" s="382" t="str">
        <f t="shared" si="826"/>
        <v>NA</v>
      </c>
      <c r="CP262" s="382"/>
      <c r="CQ262" s="385"/>
      <c r="CR262" s="382"/>
      <c r="CS262" s="385"/>
      <c r="CT262" s="567">
        <f t="shared" si="827"/>
        <v>0</v>
      </c>
      <c r="CU262" s="382"/>
      <c r="CV262" s="385"/>
      <c r="CW262" s="567">
        <f t="shared" si="828"/>
        <v>0</v>
      </c>
      <c r="CX262" s="382"/>
      <c r="CY262" s="385"/>
      <c r="CZ262" s="567">
        <f t="shared" si="829"/>
        <v>0</v>
      </c>
      <c r="DA262" s="382"/>
      <c r="DB262" s="385"/>
      <c r="DC262" s="567">
        <f t="shared" si="830"/>
        <v>0</v>
      </c>
      <c r="DD262" s="382"/>
      <c r="DE262" s="385"/>
      <c r="DF262" s="567">
        <f t="shared" si="831"/>
        <v>0</v>
      </c>
      <c r="DG262" s="382"/>
      <c r="DH262" s="385"/>
      <c r="DI262" s="567">
        <f t="shared" si="832"/>
        <v>0</v>
      </c>
      <c r="DJ262" s="382"/>
      <c r="DK262" s="385"/>
      <c r="DL262" s="567">
        <f t="shared" si="833"/>
        <v>0</v>
      </c>
      <c r="DM262" s="382"/>
      <c r="DN262" s="385"/>
      <c r="DO262" s="567">
        <f t="shared" si="834"/>
        <v>0</v>
      </c>
      <c r="DP262" s="382"/>
      <c r="DQ262" s="385"/>
      <c r="DR262" s="567">
        <f t="shared" si="835"/>
        <v>0</v>
      </c>
      <c r="DS262" s="382"/>
      <c r="DT262" s="385"/>
      <c r="DU262" s="567">
        <f t="shared" si="836"/>
        <v>0</v>
      </c>
      <c r="DV262" s="382"/>
      <c r="DW262" s="385"/>
      <c r="DX262" s="567">
        <f t="shared" si="837"/>
        <v>0</v>
      </c>
      <c r="DY262" s="382"/>
      <c r="DZ262" s="385"/>
      <c r="EA262" s="568">
        <f t="shared" si="838"/>
        <v>0</v>
      </c>
      <c r="EB262" s="170"/>
      <c r="EC262" s="170"/>
      <c r="ED262" s="170"/>
      <c r="EE262" s="170"/>
      <c r="EF262" s="170"/>
      <c r="EG262" s="170"/>
      <c r="EH262" s="170"/>
      <c r="EI262" s="170"/>
      <c r="EJ262" s="170"/>
      <c r="EK262" s="170"/>
    </row>
    <row r="263" spans="1:141" ht="15" x14ac:dyDescent="0.25">
      <c r="A263" s="557"/>
      <c r="B263" s="472"/>
      <c r="C263" s="472"/>
      <c r="D263" s="472"/>
      <c r="E263" s="564">
        <v>47</v>
      </c>
      <c r="F263" s="170"/>
      <c r="G263" s="1339" t="str">
        <f>VLOOKUP(E263,Parameters!$D$159:$E$301,2)</f>
        <v>NA</v>
      </c>
      <c r="H263" s="1287"/>
      <c r="I263" s="1289"/>
      <c r="J263" s="1287"/>
      <c r="K263" s="1289"/>
      <c r="L263" s="1369">
        <f t="shared" si="801"/>
        <v>0</v>
      </c>
      <c r="M263" s="1287"/>
      <c r="N263" s="1289"/>
      <c r="O263" s="1369">
        <f t="shared" si="802"/>
        <v>0</v>
      </c>
      <c r="P263" s="1287"/>
      <c r="Q263" s="1289"/>
      <c r="R263" s="1369">
        <f t="shared" si="803"/>
        <v>0</v>
      </c>
      <c r="S263" s="1287"/>
      <c r="T263" s="1289"/>
      <c r="U263" s="1369">
        <f t="shared" si="804"/>
        <v>0</v>
      </c>
      <c r="V263" s="1287"/>
      <c r="W263" s="1289"/>
      <c r="X263" s="1369">
        <f t="shared" si="805"/>
        <v>0</v>
      </c>
      <c r="Y263" s="1287"/>
      <c r="Z263" s="1289"/>
      <c r="AA263" s="1369">
        <f t="shared" si="806"/>
        <v>0</v>
      </c>
      <c r="AB263" s="1287"/>
      <c r="AC263" s="1289"/>
      <c r="AD263" s="1369">
        <f t="shared" si="807"/>
        <v>0</v>
      </c>
      <c r="AE263" s="1287"/>
      <c r="AF263" s="1289"/>
      <c r="AG263" s="1369">
        <f t="shared" si="808"/>
        <v>0</v>
      </c>
      <c r="AH263" s="1287"/>
      <c r="AI263" s="1289"/>
      <c r="AJ263" s="1369">
        <f t="shared" si="809"/>
        <v>0</v>
      </c>
      <c r="AK263" s="1287"/>
      <c r="AL263" s="1289"/>
      <c r="AM263" s="1369">
        <f t="shared" si="810"/>
        <v>0</v>
      </c>
      <c r="AN263" s="1287"/>
      <c r="AO263" s="1289"/>
      <c r="AP263" s="1369">
        <f t="shared" si="811"/>
        <v>0</v>
      </c>
      <c r="AQ263" s="1287"/>
      <c r="AR263" s="1289"/>
      <c r="AS263" s="1369">
        <f t="shared" si="812"/>
        <v>0</v>
      </c>
      <c r="AT263" s="1287"/>
      <c r="AU263" s="411"/>
      <c r="AV263" s="170"/>
      <c r="AW263" s="170"/>
      <c r="AX263" s="170"/>
      <c r="AY263" s="561" t="str">
        <f t="shared" si="813"/>
        <v>NA</v>
      </c>
      <c r="AZ263" s="561"/>
      <c r="BA263" s="562"/>
      <c r="BB263" s="170"/>
      <c r="BC263" s="562"/>
      <c r="BD263" s="566">
        <f t="shared" si="814"/>
        <v>0</v>
      </c>
      <c r="BE263" s="170"/>
      <c r="BF263" s="1477"/>
      <c r="BG263" s="566">
        <f t="shared" si="815"/>
        <v>0</v>
      </c>
      <c r="BH263" s="170"/>
      <c r="BI263" s="1477"/>
      <c r="BJ263" s="566">
        <f t="shared" si="816"/>
        <v>0</v>
      </c>
      <c r="BK263" s="561"/>
      <c r="BL263" s="1477"/>
      <c r="BM263" s="566">
        <f t="shared" si="817"/>
        <v>0</v>
      </c>
      <c r="BN263" s="170"/>
      <c r="BO263" s="1477"/>
      <c r="BP263" s="566">
        <f t="shared" si="818"/>
        <v>0</v>
      </c>
      <c r="BQ263" s="170"/>
      <c r="BR263" s="1477"/>
      <c r="BS263" s="566">
        <f t="shared" si="819"/>
        <v>0</v>
      </c>
      <c r="BT263" s="170"/>
      <c r="BU263" s="1477"/>
      <c r="BV263" s="566">
        <f t="shared" si="820"/>
        <v>0</v>
      </c>
      <c r="BW263" s="170"/>
      <c r="BX263" s="1477"/>
      <c r="BY263" s="566">
        <f t="shared" si="821"/>
        <v>0</v>
      </c>
      <c r="BZ263" s="170"/>
      <c r="CA263" s="1477"/>
      <c r="CB263" s="566">
        <f t="shared" si="822"/>
        <v>0</v>
      </c>
      <c r="CC263" s="170"/>
      <c r="CD263" s="1477"/>
      <c r="CE263" s="566">
        <f t="shared" si="823"/>
        <v>0</v>
      </c>
      <c r="CF263" s="170"/>
      <c r="CG263" s="1477"/>
      <c r="CH263" s="566">
        <f t="shared" si="824"/>
        <v>0</v>
      </c>
      <c r="CI263" s="170"/>
      <c r="CJ263" s="562"/>
      <c r="CK263" s="566">
        <f t="shared" si="825"/>
        <v>0</v>
      </c>
      <c r="CL263" s="566"/>
      <c r="CM263" s="170"/>
      <c r="CN263" s="170"/>
      <c r="CO263" s="382" t="str">
        <f t="shared" si="826"/>
        <v>NA</v>
      </c>
      <c r="CP263" s="382"/>
      <c r="CQ263" s="385"/>
      <c r="CR263" s="382"/>
      <c r="CS263" s="385"/>
      <c r="CT263" s="567">
        <f t="shared" si="827"/>
        <v>0</v>
      </c>
      <c r="CU263" s="382"/>
      <c r="CV263" s="385"/>
      <c r="CW263" s="567">
        <f t="shared" si="828"/>
        <v>0</v>
      </c>
      <c r="CX263" s="382"/>
      <c r="CY263" s="385"/>
      <c r="CZ263" s="567">
        <f t="shared" si="829"/>
        <v>0</v>
      </c>
      <c r="DA263" s="382"/>
      <c r="DB263" s="385"/>
      <c r="DC263" s="567">
        <f t="shared" si="830"/>
        <v>0</v>
      </c>
      <c r="DD263" s="382"/>
      <c r="DE263" s="385"/>
      <c r="DF263" s="567">
        <f t="shared" si="831"/>
        <v>0</v>
      </c>
      <c r="DG263" s="382"/>
      <c r="DH263" s="385"/>
      <c r="DI263" s="567">
        <f t="shared" si="832"/>
        <v>0</v>
      </c>
      <c r="DJ263" s="382"/>
      <c r="DK263" s="385"/>
      <c r="DL263" s="567">
        <f t="shared" si="833"/>
        <v>0</v>
      </c>
      <c r="DM263" s="382"/>
      <c r="DN263" s="385"/>
      <c r="DO263" s="567">
        <f t="shared" si="834"/>
        <v>0</v>
      </c>
      <c r="DP263" s="382"/>
      <c r="DQ263" s="385"/>
      <c r="DR263" s="567">
        <f t="shared" si="835"/>
        <v>0</v>
      </c>
      <c r="DS263" s="382"/>
      <c r="DT263" s="385"/>
      <c r="DU263" s="567">
        <f t="shared" si="836"/>
        <v>0</v>
      </c>
      <c r="DV263" s="382"/>
      <c r="DW263" s="385"/>
      <c r="DX263" s="567">
        <f t="shared" si="837"/>
        <v>0</v>
      </c>
      <c r="DY263" s="382"/>
      <c r="DZ263" s="385"/>
      <c r="EA263" s="568">
        <f t="shared" si="838"/>
        <v>0</v>
      </c>
      <c r="EB263" s="170"/>
      <c r="EC263" s="170"/>
      <c r="ED263" s="170"/>
      <c r="EE263" s="170"/>
      <c r="EF263" s="170"/>
      <c r="EG263" s="170"/>
      <c r="EH263" s="170"/>
      <c r="EI263" s="170"/>
      <c r="EJ263" s="170"/>
      <c r="EK263" s="170"/>
    </row>
    <row r="264" spans="1:141" ht="15" x14ac:dyDescent="0.25">
      <c r="A264" s="557"/>
      <c r="B264" s="472"/>
      <c r="C264" s="472"/>
      <c r="D264" s="472"/>
      <c r="E264" s="564">
        <v>48</v>
      </c>
      <c r="F264" s="170"/>
      <c r="G264" s="1339" t="str">
        <f>VLOOKUP(E264,Parameters!$D$159:$E$301,2)</f>
        <v>NA</v>
      </c>
      <c r="H264" s="1287"/>
      <c r="I264" s="1289"/>
      <c r="J264" s="1287"/>
      <c r="K264" s="1289"/>
      <c r="L264" s="1369">
        <f t="shared" si="801"/>
        <v>0</v>
      </c>
      <c r="M264" s="1287"/>
      <c r="N264" s="1289"/>
      <c r="O264" s="1369">
        <f t="shared" si="802"/>
        <v>0</v>
      </c>
      <c r="P264" s="1287"/>
      <c r="Q264" s="1289"/>
      <c r="R264" s="1369">
        <f t="shared" si="803"/>
        <v>0</v>
      </c>
      <c r="S264" s="1287"/>
      <c r="T264" s="1289"/>
      <c r="U264" s="1369">
        <f t="shared" si="804"/>
        <v>0</v>
      </c>
      <c r="V264" s="1287"/>
      <c r="W264" s="1289"/>
      <c r="X264" s="1369">
        <f t="shared" si="805"/>
        <v>0</v>
      </c>
      <c r="Y264" s="1287"/>
      <c r="Z264" s="1289"/>
      <c r="AA264" s="1369">
        <f t="shared" si="806"/>
        <v>0</v>
      </c>
      <c r="AB264" s="1287"/>
      <c r="AC264" s="1289"/>
      <c r="AD264" s="1369">
        <f t="shared" si="807"/>
        <v>0</v>
      </c>
      <c r="AE264" s="1287"/>
      <c r="AF264" s="1289"/>
      <c r="AG264" s="1369">
        <f t="shared" si="808"/>
        <v>0</v>
      </c>
      <c r="AH264" s="1287"/>
      <c r="AI264" s="1289"/>
      <c r="AJ264" s="1369">
        <f t="shared" si="809"/>
        <v>0</v>
      </c>
      <c r="AK264" s="1287"/>
      <c r="AL264" s="1289"/>
      <c r="AM264" s="1369">
        <f t="shared" si="810"/>
        <v>0</v>
      </c>
      <c r="AN264" s="1287"/>
      <c r="AO264" s="1289"/>
      <c r="AP264" s="1369">
        <f t="shared" si="811"/>
        <v>0</v>
      </c>
      <c r="AQ264" s="1287"/>
      <c r="AR264" s="1289"/>
      <c r="AS264" s="1369">
        <f t="shared" si="812"/>
        <v>0</v>
      </c>
      <c r="AT264" s="1287"/>
      <c r="AU264" s="411"/>
      <c r="AV264" s="170"/>
      <c r="AW264" s="170"/>
      <c r="AX264" s="170"/>
      <c r="AY264" s="561" t="str">
        <f t="shared" si="813"/>
        <v>NA</v>
      </c>
      <c r="AZ264" s="561"/>
      <c r="BA264" s="562"/>
      <c r="BB264" s="170"/>
      <c r="BC264" s="562"/>
      <c r="BD264" s="566">
        <f t="shared" si="814"/>
        <v>0</v>
      </c>
      <c r="BE264" s="170"/>
      <c r="BF264" s="1477"/>
      <c r="BG264" s="566">
        <f t="shared" si="815"/>
        <v>0</v>
      </c>
      <c r="BH264" s="170"/>
      <c r="BI264" s="1477"/>
      <c r="BJ264" s="566">
        <f t="shared" si="816"/>
        <v>0</v>
      </c>
      <c r="BK264" s="561"/>
      <c r="BL264" s="1477"/>
      <c r="BM264" s="566">
        <f t="shared" si="817"/>
        <v>0</v>
      </c>
      <c r="BN264" s="170"/>
      <c r="BO264" s="1477"/>
      <c r="BP264" s="566">
        <f t="shared" si="818"/>
        <v>0</v>
      </c>
      <c r="BQ264" s="170"/>
      <c r="BR264" s="1477"/>
      <c r="BS264" s="566">
        <f t="shared" si="819"/>
        <v>0</v>
      </c>
      <c r="BT264" s="170"/>
      <c r="BU264" s="1477"/>
      <c r="BV264" s="566">
        <f t="shared" si="820"/>
        <v>0</v>
      </c>
      <c r="BW264" s="170"/>
      <c r="BX264" s="1477"/>
      <c r="BY264" s="566">
        <f t="shared" si="821"/>
        <v>0</v>
      </c>
      <c r="BZ264" s="170"/>
      <c r="CA264" s="1477"/>
      <c r="CB264" s="566">
        <f t="shared" si="822"/>
        <v>0</v>
      </c>
      <c r="CC264" s="170"/>
      <c r="CD264" s="1477"/>
      <c r="CE264" s="566">
        <f t="shared" si="823"/>
        <v>0</v>
      </c>
      <c r="CF264" s="170"/>
      <c r="CG264" s="1477"/>
      <c r="CH264" s="566">
        <f t="shared" si="824"/>
        <v>0</v>
      </c>
      <c r="CI264" s="170"/>
      <c r="CJ264" s="562"/>
      <c r="CK264" s="566">
        <f t="shared" si="825"/>
        <v>0</v>
      </c>
      <c r="CL264" s="566"/>
      <c r="CM264" s="170"/>
      <c r="CN264" s="170"/>
      <c r="CO264" s="382" t="str">
        <f t="shared" si="826"/>
        <v>NA</v>
      </c>
      <c r="CP264" s="382"/>
      <c r="CQ264" s="385"/>
      <c r="CR264" s="382"/>
      <c r="CS264" s="385"/>
      <c r="CT264" s="567">
        <f t="shared" si="827"/>
        <v>0</v>
      </c>
      <c r="CU264" s="382"/>
      <c r="CV264" s="385"/>
      <c r="CW264" s="567">
        <f t="shared" si="828"/>
        <v>0</v>
      </c>
      <c r="CX264" s="382"/>
      <c r="CY264" s="385"/>
      <c r="CZ264" s="567">
        <f t="shared" si="829"/>
        <v>0</v>
      </c>
      <c r="DA264" s="382"/>
      <c r="DB264" s="385"/>
      <c r="DC264" s="567">
        <f t="shared" si="830"/>
        <v>0</v>
      </c>
      <c r="DD264" s="382"/>
      <c r="DE264" s="385"/>
      <c r="DF264" s="567">
        <f t="shared" si="831"/>
        <v>0</v>
      </c>
      <c r="DG264" s="382"/>
      <c r="DH264" s="385"/>
      <c r="DI264" s="567">
        <f t="shared" si="832"/>
        <v>0</v>
      </c>
      <c r="DJ264" s="382"/>
      <c r="DK264" s="385"/>
      <c r="DL264" s="567">
        <f t="shared" si="833"/>
        <v>0</v>
      </c>
      <c r="DM264" s="382"/>
      <c r="DN264" s="385"/>
      <c r="DO264" s="567">
        <f t="shared" si="834"/>
        <v>0</v>
      </c>
      <c r="DP264" s="382"/>
      <c r="DQ264" s="385"/>
      <c r="DR264" s="567">
        <f t="shared" si="835"/>
        <v>0</v>
      </c>
      <c r="DS264" s="382"/>
      <c r="DT264" s="385"/>
      <c r="DU264" s="567">
        <f t="shared" si="836"/>
        <v>0</v>
      </c>
      <c r="DV264" s="382"/>
      <c r="DW264" s="385"/>
      <c r="DX264" s="567">
        <f t="shared" si="837"/>
        <v>0</v>
      </c>
      <c r="DY264" s="382"/>
      <c r="DZ264" s="385"/>
      <c r="EA264" s="568">
        <f t="shared" si="838"/>
        <v>0</v>
      </c>
      <c r="EB264" s="170"/>
      <c r="EC264" s="170"/>
      <c r="ED264" s="170"/>
      <c r="EE264" s="170"/>
      <c r="EF264" s="170"/>
      <c r="EG264" s="170"/>
      <c r="EH264" s="170"/>
      <c r="EI264" s="170"/>
      <c r="EJ264" s="170"/>
      <c r="EK264" s="170"/>
    </row>
    <row r="265" spans="1:141" ht="15" x14ac:dyDescent="0.25">
      <c r="A265" s="557"/>
      <c r="B265" s="472"/>
      <c r="C265" s="472"/>
      <c r="D265" s="472"/>
      <c r="E265" s="564">
        <v>49</v>
      </c>
      <c r="F265" s="170"/>
      <c r="G265" s="1339" t="str">
        <f>VLOOKUP(E265,Parameters!$D$159:$E$301,2)</f>
        <v>NA</v>
      </c>
      <c r="H265" s="1287"/>
      <c r="I265" s="1289"/>
      <c r="J265" s="1287"/>
      <c r="K265" s="1289"/>
      <c r="L265" s="1369">
        <f t="shared" si="801"/>
        <v>0</v>
      </c>
      <c r="M265" s="1287"/>
      <c r="N265" s="1289"/>
      <c r="O265" s="1369">
        <f t="shared" si="802"/>
        <v>0</v>
      </c>
      <c r="P265" s="1287"/>
      <c r="Q265" s="1289"/>
      <c r="R265" s="1369">
        <f t="shared" si="803"/>
        <v>0</v>
      </c>
      <c r="S265" s="1287"/>
      <c r="T265" s="1289"/>
      <c r="U265" s="1369">
        <f t="shared" si="804"/>
        <v>0</v>
      </c>
      <c r="V265" s="1287"/>
      <c r="W265" s="1289"/>
      <c r="X265" s="1369">
        <f t="shared" si="805"/>
        <v>0</v>
      </c>
      <c r="Y265" s="1287"/>
      <c r="Z265" s="1289"/>
      <c r="AA265" s="1369">
        <f t="shared" si="806"/>
        <v>0</v>
      </c>
      <c r="AB265" s="1287"/>
      <c r="AC265" s="1289"/>
      <c r="AD265" s="1369">
        <f t="shared" si="807"/>
        <v>0</v>
      </c>
      <c r="AE265" s="1287"/>
      <c r="AF265" s="1289"/>
      <c r="AG265" s="1369">
        <f t="shared" si="808"/>
        <v>0</v>
      </c>
      <c r="AH265" s="1287"/>
      <c r="AI265" s="1289"/>
      <c r="AJ265" s="1369">
        <f t="shared" si="809"/>
        <v>0</v>
      </c>
      <c r="AK265" s="1287"/>
      <c r="AL265" s="1289"/>
      <c r="AM265" s="1369">
        <f t="shared" si="810"/>
        <v>0</v>
      </c>
      <c r="AN265" s="1287"/>
      <c r="AO265" s="1289"/>
      <c r="AP265" s="1369">
        <f t="shared" si="811"/>
        <v>0</v>
      </c>
      <c r="AQ265" s="1287"/>
      <c r="AR265" s="1289"/>
      <c r="AS265" s="1369">
        <f t="shared" si="812"/>
        <v>0</v>
      </c>
      <c r="AT265" s="1287"/>
      <c r="AU265" s="411"/>
      <c r="AV265" s="170"/>
      <c r="AW265" s="170"/>
      <c r="AX265" s="170"/>
      <c r="AY265" s="561" t="str">
        <f t="shared" si="813"/>
        <v>NA</v>
      </c>
      <c r="AZ265" s="561"/>
      <c r="BA265" s="562"/>
      <c r="BB265" s="170"/>
      <c r="BC265" s="562"/>
      <c r="BD265" s="566">
        <f t="shared" si="814"/>
        <v>0</v>
      </c>
      <c r="BE265" s="170"/>
      <c r="BF265" s="1477"/>
      <c r="BG265" s="566">
        <f t="shared" si="815"/>
        <v>0</v>
      </c>
      <c r="BH265" s="170"/>
      <c r="BI265" s="1477"/>
      <c r="BJ265" s="566">
        <f t="shared" si="816"/>
        <v>0</v>
      </c>
      <c r="BK265" s="561"/>
      <c r="BL265" s="1477"/>
      <c r="BM265" s="566">
        <f t="shared" si="817"/>
        <v>0</v>
      </c>
      <c r="BN265" s="170"/>
      <c r="BO265" s="1477"/>
      <c r="BP265" s="566">
        <f t="shared" si="818"/>
        <v>0</v>
      </c>
      <c r="BQ265" s="170"/>
      <c r="BR265" s="1477"/>
      <c r="BS265" s="566">
        <f t="shared" si="819"/>
        <v>0</v>
      </c>
      <c r="BT265" s="170"/>
      <c r="BU265" s="1477"/>
      <c r="BV265" s="566">
        <f t="shared" si="820"/>
        <v>0</v>
      </c>
      <c r="BW265" s="170"/>
      <c r="BX265" s="1477"/>
      <c r="BY265" s="566">
        <f t="shared" si="821"/>
        <v>0</v>
      </c>
      <c r="BZ265" s="170"/>
      <c r="CA265" s="1477"/>
      <c r="CB265" s="566">
        <f t="shared" si="822"/>
        <v>0</v>
      </c>
      <c r="CC265" s="170"/>
      <c r="CD265" s="1477"/>
      <c r="CE265" s="566">
        <f t="shared" si="823"/>
        <v>0</v>
      </c>
      <c r="CF265" s="170"/>
      <c r="CG265" s="1477"/>
      <c r="CH265" s="566">
        <f t="shared" si="824"/>
        <v>0</v>
      </c>
      <c r="CI265" s="170"/>
      <c r="CJ265" s="562"/>
      <c r="CK265" s="566">
        <f t="shared" si="825"/>
        <v>0</v>
      </c>
      <c r="CL265" s="566"/>
      <c r="CM265" s="170"/>
      <c r="CN265" s="170"/>
      <c r="CO265" s="382" t="str">
        <f t="shared" si="826"/>
        <v>NA</v>
      </c>
      <c r="CP265" s="382"/>
      <c r="CQ265" s="385"/>
      <c r="CR265" s="382"/>
      <c r="CS265" s="385"/>
      <c r="CT265" s="567">
        <f t="shared" si="827"/>
        <v>0</v>
      </c>
      <c r="CU265" s="382"/>
      <c r="CV265" s="385"/>
      <c r="CW265" s="567">
        <f t="shared" si="828"/>
        <v>0</v>
      </c>
      <c r="CX265" s="382"/>
      <c r="CY265" s="385"/>
      <c r="CZ265" s="567">
        <f t="shared" si="829"/>
        <v>0</v>
      </c>
      <c r="DA265" s="382"/>
      <c r="DB265" s="385"/>
      <c r="DC265" s="567">
        <f t="shared" si="830"/>
        <v>0</v>
      </c>
      <c r="DD265" s="382"/>
      <c r="DE265" s="385"/>
      <c r="DF265" s="567">
        <f t="shared" si="831"/>
        <v>0</v>
      </c>
      <c r="DG265" s="382"/>
      <c r="DH265" s="385"/>
      <c r="DI265" s="567">
        <f t="shared" si="832"/>
        <v>0</v>
      </c>
      <c r="DJ265" s="382"/>
      <c r="DK265" s="385"/>
      <c r="DL265" s="567">
        <f t="shared" si="833"/>
        <v>0</v>
      </c>
      <c r="DM265" s="382"/>
      <c r="DN265" s="385"/>
      <c r="DO265" s="567">
        <f t="shared" si="834"/>
        <v>0</v>
      </c>
      <c r="DP265" s="382"/>
      <c r="DQ265" s="385"/>
      <c r="DR265" s="567">
        <f t="shared" si="835"/>
        <v>0</v>
      </c>
      <c r="DS265" s="382"/>
      <c r="DT265" s="385"/>
      <c r="DU265" s="567">
        <f t="shared" si="836"/>
        <v>0</v>
      </c>
      <c r="DV265" s="382"/>
      <c r="DW265" s="385"/>
      <c r="DX265" s="567">
        <f t="shared" si="837"/>
        <v>0</v>
      </c>
      <c r="DY265" s="382"/>
      <c r="DZ265" s="385"/>
      <c r="EA265" s="568">
        <f t="shared" si="838"/>
        <v>0</v>
      </c>
      <c r="EB265" s="170"/>
      <c r="EC265" s="170"/>
      <c r="ED265" s="170"/>
      <c r="EE265" s="170"/>
      <c r="EF265" s="170"/>
      <c r="EG265" s="170"/>
      <c r="EH265" s="170"/>
      <c r="EI265" s="170"/>
      <c r="EJ265" s="170"/>
      <c r="EK265" s="170"/>
    </row>
    <row r="266" spans="1:141" ht="15" x14ac:dyDescent="0.25">
      <c r="A266" s="557"/>
      <c r="B266" s="472"/>
      <c r="C266" s="472"/>
      <c r="D266" s="472"/>
      <c r="E266" s="564">
        <v>50</v>
      </c>
      <c r="F266" s="170"/>
      <c r="G266" s="1339" t="str">
        <f>VLOOKUP(E266,Parameters!$D$159:$E$301,2)</f>
        <v>NA</v>
      </c>
      <c r="H266" s="1287"/>
      <c r="I266" s="1289"/>
      <c r="J266" s="1287"/>
      <c r="K266" s="1289"/>
      <c r="L266" s="1369">
        <f t="shared" si="801"/>
        <v>0</v>
      </c>
      <c r="M266" s="1287"/>
      <c r="N266" s="1289"/>
      <c r="O266" s="1369">
        <f t="shared" si="802"/>
        <v>0</v>
      </c>
      <c r="P266" s="1287"/>
      <c r="Q266" s="1289"/>
      <c r="R266" s="1369">
        <f t="shared" si="803"/>
        <v>0</v>
      </c>
      <c r="S266" s="1287"/>
      <c r="T266" s="1289"/>
      <c r="U266" s="1369">
        <f t="shared" si="804"/>
        <v>0</v>
      </c>
      <c r="V266" s="1287"/>
      <c r="W266" s="1289"/>
      <c r="X266" s="1369">
        <f t="shared" si="805"/>
        <v>0</v>
      </c>
      <c r="Y266" s="1287"/>
      <c r="Z266" s="1289"/>
      <c r="AA266" s="1369">
        <f t="shared" si="806"/>
        <v>0</v>
      </c>
      <c r="AB266" s="1287"/>
      <c r="AC266" s="1289"/>
      <c r="AD266" s="1369">
        <f t="shared" si="807"/>
        <v>0</v>
      </c>
      <c r="AE266" s="1287"/>
      <c r="AF266" s="1289"/>
      <c r="AG266" s="1369">
        <f t="shared" si="808"/>
        <v>0</v>
      </c>
      <c r="AH266" s="1287"/>
      <c r="AI266" s="1289"/>
      <c r="AJ266" s="1369">
        <f t="shared" si="809"/>
        <v>0</v>
      </c>
      <c r="AK266" s="1287"/>
      <c r="AL266" s="1289"/>
      <c r="AM266" s="1369">
        <f t="shared" si="810"/>
        <v>0</v>
      </c>
      <c r="AN266" s="1287"/>
      <c r="AO266" s="1289"/>
      <c r="AP266" s="1369">
        <f t="shared" si="811"/>
        <v>0</v>
      </c>
      <c r="AQ266" s="1287"/>
      <c r="AR266" s="1289"/>
      <c r="AS266" s="1369">
        <f t="shared" si="812"/>
        <v>0</v>
      </c>
      <c r="AT266" s="1287"/>
      <c r="AU266" s="411"/>
      <c r="AV266" s="170"/>
      <c r="AW266" s="170"/>
      <c r="AX266" s="170"/>
      <c r="AY266" s="561" t="str">
        <f t="shared" si="813"/>
        <v>NA</v>
      </c>
      <c r="AZ266" s="561"/>
      <c r="BA266" s="562"/>
      <c r="BB266" s="170"/>
      <c r="BC266" s="562"/>
      <c r="BD266" s="566">
        <f t="shared" si="814"/>
        <v>0</v>
      </c>
      <c r="BE266" s="170"/>
      <c r="BF266" s="1477"/>
      <c r="BG266" s="566">
        <f t="shared" si="815"/>
        <v>0</v>
      </c>
      <c r="BH266" s="170"/>
      <c r="BI266" s="1477"/>
      <c r="BJ266" s="566">
        <f t="shared" si="816"/>
        <v>0</v>
      </c>
      <c r="BK266" s="561"/>
      <c r="BL266" s="1477"/>
      <c r="BM266" s="566">
        <f t="shared" si="817"/>
        <v>0</v>
      </c>
      <c r="BN266" s="170"/>
      <c r="BO266" s="1477"/>
      <c r="BP266" s="566">
        <f t="shared" si="818"/>
        <v>0</v>
      </c>
      <c r="BQ266" s="170"/>
      <c r="BR266" s="1477"/>
      <c r="BS266" s="566">
        <f t="shared" si="819"/>
        <v>0</v>
      </c>
      <c r="BT266" s="170"/>
      <c r="BU266" s="1477"/>
      <c r="BV266" s="566">
        <f t="shared" si="820"/>
        <v>0</v>
      </c>
      <c r="BW266" s="170"/>
      <c r="BX266" s="1477"/>
      <c r="BY266" s="566">
        <f t="shared" si="821"/>
        <v>0</v>
      </c>
      <c r="BZ266" s="170"/>
      <c r="CA266" s="1477"/>
      <c r="CB266" s="566">
        <f t="shared" si="822"/>
        <v>0</v>
      </c>
      <c r="CC266" s="170"/>
      <c r="CD266" s="1477"/>
      <c r="CE266" s="566">
        <f t="shared" si="823"/>
        <v>0</v>
      </c>
      <c r="CF266" s="170"/>
      <c r="CG266" s="1477"/>
      <c r="CH266" s="566">
        <f t="shared" si="824"/>
        <v>0</v>
      </c>
      <c r="CI266" s="170"/>
      <c r="CJ266" s="562"/>
      <c r="CK266" s="566">
        <f t="shared" si="825"/>
        <v>0</v>
      </c>
      <c r="CL266" s="566"/>
      <c r="CM266" s="170"/>
      <c r="CN266" s="170"/>
      <c r="CO266" s="382" t="str">
        <f t="shared" si="826"/>
        <v>NA</v>
      </c>
      <c r="CP266" s="382"/>
      <c r="CQ266" s="385"/>
      <c r="CR266" s="382"/>
      <c r="CS266" s="385"/>
      <c r="CT266" s="567">
        <f t="shared" si="827"/>
        <v>0</v>
      </c>
      <c r="CU266" s="382"/>
      <c r="CV266" s="385"/>
      <c r="CW266" s="567">
        <f t="shared" si="828"/>
        <v>0</v>
      </c>
      <c r="CX266" s="382"/>
      <c r="CY266" s="385"/>
      <c r="CZ266" s="567">
        <f t="shared" si="829"/>
        <v>0</v>
      </c>
      <c r="DA266" s="382"/>
      <c r="DB266" s="385"/>
      <c r="DC266" s="567">
        <f t="shared" si="830"/>
        <v>0</v>
      </c>
      <c r="DD266" s="382"/>
      <c r="DE266" s="385"/>
      <c r="DF266" s="567">
        <f t="shared" si="831"/>
        <v>0</v>
      </c>
      <c r="DG266" s="382"/>
      <c r="DH266" s="385"/>
      <c r="DI266" s="567">
        <f t="shared" si="832"/>
        <v>0</v>
      </c>
      <c r="DJ266" s="382"/>
      <c r="DK266" s="385"/>
      <c r="DL266" s="567">
        <f t="shared" si="833"/>
        <v>0</v>
      </c>
      <c r="DM266" s="382"/>
      <c r="DN266" s="385"/>
      <c r="DO266" s="567">
        <f t="shared" si="834"/>
        <v>0</v>
      </c>
      <c r="DP266" s="382"/>
      <c r="DQ266" s="385"/>
      <c r="DR266" s="567">
        <f t="shared" si="835"/>
        <v>0</v>
      </c>
      <c r="DS266" s="382"/>
      <c r="DT266" s="385"/>
      <c r="DU266" s="567">
        <f t="shared" si="836"/>
        <v>0</v>
      </c>
      <c r="DV266" s="382"/>
      <c r="DW266" s="385"/>
      <c r="DX266" s="567">
        <f t="shared" si="837"/>
        <v>0</v>
      </c>
      <c r="DY266" s="382"/>
      <c r="DZ266" s="385"/>
      <c r="EA266" s="568">
        <f t="shared" si="838"/>
        <v>0</v>
      </c>
      <c r="EB266" s="170"/>
      <c r="EC266" s="170"/>
      <c r="ED266" s="170"/>
      <c r="EE266" s="170"/>
      <c r="EF266" s="170"/>
      <c r="EG266" s="170"/>
      <c r="EH266" s="170"/>
      <c r="EI266" s="170"/>
      <c r="EJ266" s="170"/>
      <c r="EK266" s="170"/>
    </row>
    <row r="267" spans="1:141" ht="15" x14ac:dyDescent="0.25">
      <c r="A267" s="557"/>
      <c r="B267" s="472"/>
      <c r="C267" s="472"/>
      <c r="D267" s="472"/>
      <c r="E267" s="564">
        <v>51</v>
      </c>
      <c r="F267" s="170"/>
      <c r="G267" s="1339" t="str">
        <f>VLOOKUP(E267,Parameters!$D$159:$E$301,2)</f>
        <v>NA</v>
      </c>
      <c r="H267" s="1287"/>
      <c r="I267" s="1289"/>
      <c r="J267" s="1287"/>
      <c r="K267" s="1289"/>
      <c r="L267" s="1369">
        <f t="shared" si="801"/>
        <v>0</v>
      </c>
      <c r="M267" s="1287"/>
      <c r="N267" s="1289"/>
      <c r="O267" s="1369">
        <f t="shared" si="802"/>
        <v>0</v>
      </c>
      <c r="P267" s="1287"/>
      <c r="Q267" s="1289"/>
      <c r="R267" s="1369">
        <f t="shared" si="803"/>
        <v>0</v>
      </c>
      <c r="S267" s="1287"/>
      <c r="T267" s="1289"/>
      <c r="U267" s="1369">
        <f t="shared" si="804"/>
        <v>0</v>
      </c>
      <c r="V267" s="1287"/>
      <c r="W267" s="1289"/>
      <c r="X267" s="1369">
        <f t="shared" si="805"/>
        <v>0</v>
      </c>
      <c r="Y267" s="1287"/>
      <c r="Z267" s="1289"/>
      <c r="AA267" s="1369">
        <f t="shared" si="806"/>
        <v>0</v>
      </c>
      <c r="AB267" s="1287"/>
      <c r="AC267" s="1289"/>
      <c r="AD267" s="1369">
        <f t="shared" si="807"/>
        <v>0</v>
      </c>
      <c r="AE267" s="1287"/>
      <c r="AF267" s="1289"/>
      <c r="AG267" s="1369">
        <f t="shared" si="808"/>
        <v>0</v>
      </c>
      <c r="AH267" s="1287"/>
      <c r="AI267" s="1289"/>
      <c r="AJ267" s="1369">
        <f t="shared" si="809"/>
        <v>0</v>
      </c>
      <c r="AK267" s="1287"/>
      <c r="AL267" s="1289"/>
      <c r="AM267" s="1369">
        <f t="shared" si="810"/>
        <v>0</v>
      </c>
      <c r="AN267" s="1287"/>
      <c r="AO267" s="1289"/>
      <c r="AP267" s="1369">
        <f t="shared" si="811"/>
        <v>0</v>
      </c>
      <c r="AQ267" s="1287"/>
      <c r="AR267" s="1289"/>
      <c r="AS267" s="1369">
        <f t="shared" si="812"/>
        <v>0</v>
      </c>
      <c r="AT267" s="1287"/>
      <c r="AU267" s="411"/>
      <c r="AV267" s="170"/>
      <c r="AW267" s="170"/>
      <c r="AX267" s="170"/>
      <c r="AY267" s="561" t="str">
        <f t="shared" si="813"/>
        <v>NA</v>
      </c>
      <c r="AZ267" s="561"/>
      <c r="BA267" s="562"/>
      <c r="BB267" s="170"/>
      <c r="BC267" s="562"/>
      <c r="BD267" s="566">
        <f t="shared" si="814"/>
        <v>0</v>
      </c>
      <c r="BE267" s="170"/>
      <c r="BF267" s="1477"/>
      <c r="BG267" s="566">
        <f t="shared" si="815"/>
        <v>0</v>
      </c>
      <c r="BH267" s="170"/>
      <c r="BI267" s="1477"/>
      <c r="BJ267" s="566">
        <f t="shared" si="816"/>
        <v>0</v>
      </c>
      <c r="BK267" s="561"/>
      <c r="BL267" s="1477"/>
      <c r="BM267" s="566">
        <f t="shared" si="817"/>
        <v>0</v>
      </c>
      <c r="BN267" s="170"/>
      <c r="BO267" s="1477"/>
      <c r="BP267" s="566">
        <f t="shared" si="818"/>
        <v>0</v>
      </c>
      <c r="BQ267" s="170"/>
      <c r="BR267" s="1477"/>
      <c r="BS267" s="566">
        <f t="shared" si="819"/>
        <v>0</v>
      </c>
      <c r="BT267" s="170"/>
      <c r="BU267" s="1477"/>
      <c r="BV267" s="566">
        <f t="shared" si="820"/>
        <v>0</v>
      </c>
      <c r="BW267" s="170"/>
      <c r="BX267" s="1477"/>
      <c r="BY267" s="566">
        <f t="shared" si="821"/>
        <v>0</v>
      </c>
      <c r="BZ267" s="170"/>
      <c r="CA267" s="1477"/>
      <c r="CB267" s="566">
        <f t="shared" si="822"/>
        <v>0</v>
      </c>
      <c r="CC267" s="170"/>
      <c r="CD267" s="1477"/>
      <c r="CE267" s="566">
        <f t="shared" si="823"/>
        <v>0</v>
      </c>
      <c r="CF267" s="170"/>
      <c r="CG267" s="1477"/>
      <c r="CH267" s="566">
        <f t="shared" si="824"/>
        <v>0</v>
      </c>
      <c r="CI267" s="170"/>
      <c r="CJ267" s="562"/>
      <c r="CK267" s="566">
        <f t="shared" si="825"/>
        <v>0</v>
      </c>
      <c r="CL267" s="566"/>
      <c r="CM267" s="170"/>
      <c r="CN267" s="170"/>
      <c r="CO267" s="382" t="str">
        <f t="shared" si="826"/>
        <v>NA</v>
      </c>
      <c r="CP267" s="382"/>
      <c r="CQ267" s="385"/>
      <c r="CR267" s="382"/>
      <c r="CS267" s="385"/>
      <c r="CT267" s="567">
        <f t="shared" si="827"/>
        <v>0</v>
      </c>
      <c r="CU267" s="382"/>
      <c r="CV267" s="385"/>
      <c r="CW267" s="567">
        <f t="shared" si="828"/>
        <v>0</v>
      </c>
      <c r="CX267" s="382"/>
      <c r="CY267" s="385"/>
      <c r="CZ267" s="567">
        <f t="shared" si="829"/>
        <v>0</v>
      </c>
      <c r="DA267" s="382"/>
      <c r="DB267" s="385"/>
      <c r="DC267" s="567">
        <f t="shared" si="830"/>
        <v>0</v>
      </c>
      <c r="DD267" s="382"/>
      <c r="DE267" s="385"/>
      <c r="DF267" s="567">
        <f t="shared" si="831"/>
        <v>0</v>
      </c>
      <c r="DG267" s="382"/>
      <c r="DH267" s="385"/>
      <c r="DI267" s="567">
        <f t="shared" si="832"/>
        <v>0</v>
      </c>
      <c r="DJ267" s="382"/>
      <c r="DK267" s="385"/>
      <c r="DL267" s="567">
        <f t="shared" si="833"/>
        <v>0</v>
      </c>
      <c r="DM267" s="382"/>
      <c r="DN267" s="385"/>
      <c r="DO267" s="567">
        <f t="shared" si="834"/>
        <v>0</v>
      </c>
      <c r="DP267" s="382"/>
      <c r="DQ267" s="385"/>
      <c r="DR267" s="567">
        <f t="shared" si="835"/>
        <v>0</v>
      </c>
      <c r="DS267" s="382"/>
      <c r="DT267" s="385"/>
      <c r="DU267" s="567">
        <f t="shared" si="836"/>
        <v>0</v>
      </c>
      <c r="DV267" s="382"/>
      <c r="DW267" s="385"/>
      <c r="DX267" s="567">
        <f t="shared" si="837"/>
        <v>0</v>
      </c>
      <c r="DY267" s="382"/>
      <c r="DZ267" s="385"/>
      <c r="EA267" s="568">
        <f t="shared" si="838"/>
        <v>0</v>
      </c>
      <c r="EB267" s="170"/>
      <c r="EC267" s="170"/>
      <c r="ED267" s="170"/>
      <c r="EE267" s="170"/>
      <c r="EF267" s="170"/>
      <c r="EG267" s="170"/>
      <c r="EH267" s="170"/>
      <c r="EI267" s="170"/>
      <c r="EJ267" s="170"/>
      <c r="EK267" s="170"/>
    </row>
    <row r="268" spans="1:141" ht="15" x14ac:dyDescent="0.25">
      <c r="A268" s="557"/>
      <c r="B268" s="472"/>
      <c r="C268" s="472"/>
      <c r="D268" s="472"/>
      <c r="E268" s="564">
        <v>52</v>
      </c>
      <c r="F268" s="170"/>
      <c r="G268" s="1339" t="str">
        <f>VLOOKUP(E268,Parameters!$D$159:$E$301,2)</f>
        <v>NA</v>
      </c>
      <c r="H268" s="1287"/>
      <c r="I268" s="1289"/>
      <c r="J268" s="1287"/>
      <c r="K268" s="1289"/>
      <c r="L268" s="1369">
        <f t="shared" si="801"/>
        <v>0</v>
      </c>
      <c r="M268" s="1287"/>
      <c r="N268" s="1289"/>
      <c r="O268" s="1369">
        <f t="shared" si="802"/>
        <v>0</v>
      </c>
      <c r="P268" s="1287"/>
      <c r="Q268" s="1289"/>
      <c r="R268" s="1369">
        <f t="shared" si="803"/>
        <v>0</v>
      </c>
      <c r="S268" s="1287"/>
      <c r="T268" s="1289"/>
      <c r="U268" s="1369">
        <f t="shared" si="804"/>
        <v>0</v>
      </c>
      <c r="V268" s="1287"/>
      <c r="W268" s="1289"/>
      <c r="X268" s="1369">
        <f t="shared" si="805"/>
        <v>0</v>
      </c>
      <c r="Y268" s="1287"/>
      <c r="Z268" s="1289"/>
      <c r="AA268" s="1369">
        <f t="shared" si="806"/>
        <v>0</v>
      </c>
      <c r="AB268" s="1287"/>
      <c r="AC268" s="1289"/>
      <c r="AD268" s="1369">
        <f t="shared" si="807"/>
        <v>0</v>
      </c>
      <c r="AE268" s="1287"/>
      <c r="AF268" s="1289"/>
      <c r="AG268" s="1369">
        <f t="shared" si="808"/>
        <v>0</v>
      </c>
      <c r="AH268" s="1287"/>
      <c r="AI268" s="1289"/>
      <c r="AJ268" s="1369">
        <f t="shared" si="809"/>
        <v>0</v>
      </c>
      <c r="AK268" s="1287"/>
      <c r="AL268" s="1289"/>
      <c r="AM268" s="1369">
        <f t="shared" si="810"/>
        <v>0</v>
      </c>
      <c r="AN268" s="1287"/>
      <c r="AO268" s="1289"/>
      <c r="AP268" s="1369">
        <f t="shared" si="811"/>
        <v>0</v>
      </c>
      <c r="AQ268" s="1287"/>
      <c r="AR268" s="1289"/>
      <c r="AS268" s="1369">
        <f t="shared" si="812"/>
        <v>0</v>
      </c>
      <c r="AT268" s="1287"/>
      <c r="AU268" s="411"/>
      <c r="AV268" s="170"/>
      <c r="AW268" s="170"/>
      <c r="AX268" s="170"/>
      <c r="AY268" s="561" t="str">
        <f t="shared" si="813"/>
        <v>NA</v>
      </c>
      <c r="AZ268" s="561"/>
      <c r="BA268" s="562"/>
      <c r="BB268" s="170"/>
      <c r="BC268" s="562"/>
      <c r="BD268" s="566">
        <f t="shared" si="814"/>
        <v>0</v>
      </c>
      <c r="BE268" s="170"/>
      <c r="BF268" s="1477"/>
      <c r="BG268" s="566">
        <f t="shared" si="815"/>
        <v>0</v>
      </c>
      <c r="BH268" s="170"/>
      <c r="BI268" s="1477"/>
      <c r="BJ268" s="566">
        <f t="shared" si="816"/>
        <v>0</v>
      </c>
      <c r="BK268" s="561"/>
      <c r="BL268" s="1477"/>
      <c r="BM268" s="566">
        <f t="shared" si="817"/>
        <v>0</v>
      </c>
      <c r="BN268" s="170"/>
      <c r="BO268" s="1477"/>
      <c r="BP268" s="566">
        <f t="shared" si="818"/>
        <v>0</v>
      </c>
      <c r="BQ268" s="170"/>
      <c r="BR268" s="1477"/>
      <c r="BS268" s="566">
        <f t="shared" si="819"/>
        <v>0</v>
      </c>
      <c r="BT268" s="170"/>
      <c r="BU268" s="1477"/>
      <c r="BV268" s="566">
        <f t="shared" si="820"/>
        <v>0</v>
      </c>
      <c r="BW268" s="170"/>
      <c r="BX268" s="1477"/>
      <c r="BY268" s="566">
        <f t="shared" si="821"/>
        <v>0</v>
      </c>
      <c r="BZ268" s="170"/>
      <c r="CA268" s="1477"/>
      <c r="CB268" s="566">
        <f t="shared" si="822"/>
        <v>0</v>
      </c>
      <c r="CC268" s="170"/>
      <c r="CD268" s="1477"/>
      <c r="CE268" s="566">
        <f t="shared" si="823"/>
        <v>0</v>
      </c>
      <c r="CF268" s="170"/>
      <c r="CG268" s="1477"/>
      <c r="CH268" s="566">
        <f t="shared" si="824"/>
        <v>0</v>
      </c>
      <c r="CI268" s="170"/>
      <c r="CJ268" s="562"/>
      <c r="CK268" s="566">
        <f t="shared" si="825"/>
        <v>0</v>
      </c>
      <c r="CL268" s="566"/>
      <c r="CM268" s="170"/>
      <c r="CN268" s="170"/>
      <c r="CO268" s="382" t="str">
        <f t="shared" si="826"/>
        <v>NA</v>
      </c>
      <c r="CP268" s="382"/>
      <c r="CQ268" s="385"/>
      <c r="CR268" s="382"/>
      <c r="CS268" s="385"/>
      <c r="CT268" s="567">
        <f t="shared" si="827"/>
        <v>0</v>
      </c>
      <c r="CU268" s="382"/>
      <c r="CV268" s="385"/>
      <c r="CW268" s="567">
        <f t="shared" si="828"/>
        <v>0</v>
      </c>
      <c r="CX268" s="382"/>
      <c r="CY268" s="385"/>
      <c r="CZ268" s="567">
        <f t="shared" si="829"/>
        <v>0</v>
      </c>
      <c r="DA268" s="382"/>
      <c r="DB268" s="385"/>
      <c r="DC268" s="567">
        <f t="shared" si="830"/>
        <v>0</v>
      </c>
      <c r="DD268" s="382"/>
      <c r="DE268" s="385"/>
      <c r="DF268" s="567">
        <f t="shared" si="831"/>
        <v>0</v>
      </c>
      <c r="DG268" s="382"/>
      <c r="DH268" s="385"/>
      <c r="DI268" s="567">
        <f t="shared" si="832"/>
        <v>0</v>
      </c>
      <c r="DJ268" s="382"/>
      <c r="DK268" s="385"/>
      <c r="DL268" s="567">
        <f t="shared" si="833"/>
        <v>0</v>
      </c>
      <c r="DM268" s="382"/>
      <c r="DN268" s="385"/>
      <c r="DO268" s="567">
        <f t="shared" si="834"/>
        <v>0</v>
      </c>
      <c r="DP268" s="382"/>
      <c r="DQ268" s="385"/>
      <c r="DR268" s="567">
        <f t="shared" si="835"/>
        <v>0</v>
      </c>
      <c r="DS268" s="382"/>
      <c r="DT268" s="385"/>
      <c r="DU268" s="567">
        <f t="shared" si="836"/>
        <v>0</v>
      </c>
      <c r="DV268" s="382"/>
      <c r="DW268" s="385"/>
      <c r="DX268" s="567">
        <f t="shared" si="837"/>
        <v>0</v>
      </c>
      <c r="DY268" s="382"/>
      <c r="DZ268" s="385"/>
      <c r="EA268" s="568">
        <f t="shared" si="838"/>
        <v>0</v>
      </c>
      <c r="EB268" s="170"/>
      <c r="EC268" s="170"/>
      <c r="ED268" s="170"/>
      <c r="EE268" s="170"/>
      <c r="EF268" s="170"/>
      <c r="EG268" s="170"/>
      <c r="EH268" s="170"/>
      <c r="EI268" s="170"/>
      <c r="EJ268" s="170"/>
      <c r="EK268" s="170"/>
    </row>
    <row r="269" spans="1:141" ht="15" x14ac:dyDescent="0.25">
      <c r="A269" s="557"/>
      <c r="B269" s="472"/>
      <c r="C269" s="472"/>
      <c r="D269" s="472"/>
      <c r="E269" s="564">
        <v>53</v>
      </c>
      <c r="F269" s="170"/>
      <c r="G269" s="1339" t="str">
        <f>VLOOKUP(E269,Parameters!$D$159:$E$301,2)</f>
        <v>NA</v>
      </c>
      <c r="H269" s="1287"/>
      <c r="I269" s="1289"/>
      <c r="J269" s="1287"/>
      <c r="K269" s="1289"/>
      <c r="L269" s="1369">
        <f t="shared" si="801"/>
        <v>0</v>
      </c>
      <c r="M269" s="1287"/>
      <c r="N269" s="1289"/>
      <c r="O269" s="1369">
        <f t="shared" si="802"/>
        <v>0</v>
      </c>
      <c r="P269" s="1287"/>
      <c r="Q269" s="1289"/>
      <c r="R269" s="1369">
        <f t="shared" si="803"/>
        <v>0</v>
      </c>
      <c r="S269" s="1287"/>
      <c r="T269" s="1289"/>
      <c r="U269" s="1369">
        <f t="shared" si="804"/>
        <v>0</v>
      </c>
      <c r="V269" s="1287"/>
      <c r="W269" s="1289"/>
      <c r="X269" s="1369">
        <f t="shared" si="805"/>
        <v>0</v>
      </c>
      <c r="Y269" s="1287"/>
      <c r="Z269" s="1289"/>
      <c r="AA269" s="1369">
        <f t="shared" si="806"/>
        <v>0</v>
      </c>
      <c r="AB269" s="1287"/>
      <c r="AC269" s="1289"/>
      <c r="AD269" s="1369">
        <f t="shared" si="807"/>
        <v>0</v>
      </c>
      <c r="AE269" s="1287"/>
      <c r="AF269" s="1289"/>
      <c r="AG269" s="1369">
        <f t="shared" si="808"/>
        <v>0</v>
      </c>
      <c r="AH269" s="1287"/>
      <c r="AI269" s="1289"/>
      <c r="AJ269" s="1369">
        <f t="shared" si="809"/>
        <v>0</v>
      </c>
      <c r="AK269" s="1287"/>
      <c r="AL269" s="1289"/>
      <c r="AM269" s="1369">
        <f t="shared" si="810"/>
        <v>0</v>
      </c>
      <c r="AN269" s="1287"/>
      <c r="AO269" s="1289"/>
      <c r="AP269" s="1369">
        <f t="shared" si="811"/>
        <v>0</v>
      </c>
      <c r="AQ269" s="1287"/>
      <c r="AR269" s="1289"/>
      <c r="AS269" s="1369">
        <f t="shared" si="812"/>
        <v>0</v>
      </c>
      <c r="AT269" s="1287"/>
      <c r="AU269" s="411"/>
      <c r="AV269" s="170"/>
      <c r="AW269" s="170"/>
      <c r="AX269" s="170"/>
      <c r="AY269" s="561" t="str">
        <f t="shared" si="813"/>
        <v>NA</v>
      </c>
      <c r="AZ269" s="561"/>
      <c r="BA269" s="562"/>
      <c r="BB269" s="170"/>
      <c r="BC269" s="562"/>
      <c r="BD269" s="566">
        <f t="shared" si="814"/>
        <v>0</v>
      </c>
      <c r="BE269" s="170"/>
      <c r="BF269" s="1477"/>
      <c r="BG269" s="566">
        <f t="shared" si="815"/>
        <v>0</v>
      </c>
      <c r="BH269" s="170"/>
      <c r="BI269" s="1477"/>
      <c r="BJ269" s="566">
        <f t="shared" si="816"/>
        <v>0</v>
      </c>
      <c r="BK269" s="561"/>
      <c r="BL269" s="1477"/>
      <c r="BM269" s="566">
        <f t="shared" si="817"/>
        <v>0</v>
      </c>
      <c r="BN269" s="170"/>
      <c r="BO269" s="1477"/>
      <c r="BP269" s="566">
        <f t="shared" si="818"/>
        <v>0</v>
      </c>
      <c r="BQ269" s="170"/>
      <c r="BR269" s="1477"/>
      <c r="BS269" s="566">
        <f t="shared" si="819"/>
        <v>0</v>
      </c>
      <c r="BT269" s="170"/>
      <c r="BU269" s="1477"/>
      <c r="BV269" s="566">
        <f t="shared" si="820"/>
        <v>0</v>
      </c>
      <c r="BW269" s="170"/>
      <c r="BX269" s="1477"/>
      <c r="BY269" s="566">
        <f t="shared" si="821"/>
        <v>0</v>
      </c>
      <c r="BZ269" s="170"/>
      <c r="CA269" s="1477"/>
      <c r="CB269" s="566">
        <f t="shared" si="822"/>
        <v>0</v>
      </c>
      <c r="CC269" s="170"/>
      <c r="CD269" s="1477"/>
      <c r="CE269" s="566">
        <f t="shared" si="823"/>
        <v>0</v>
      </c>
      <c r="CF269" s="170"/>
      <c r="CG269" s="1477"/>
      <c r="CH269" s="566">
        <f t="shared" si="824"/>
        <v>0</v>
      </c>
      <c r="CI269" s="170"/>
      <c r="CJ269" s="562"/>
      <c r="CK269" s="566">
        <f t="shared" si="825"/>
        <v>0</v>
      </c>
      <c r="CL269" s="566"/>
      <c r="CM269" s="170"/>
      <c r="CN269" s="170"/>
      <c r="CO269" s="382" t="str">
        <f t="shared" si="826"/>
        <v>NA</v>
      </c>
      <c r="CP269" s="382"/>
      <c r="CQ269" s="385"/>
      <c r="CR269" s="382"/>
      <c r="CS269" s="385"/>
      <c r="CT269" s="567">
        <f t="shared" si="827"/>
        <v>0</v>
      </c>
      <c r="CU269" s="382"/>
      <c r="CV269" s="385"/>
      <c r="CW269" s="567">
        <f t="shared" si="828"/>
        <v>0</v>
      </c>
      <c r="CX269" s="382"/>
      <c r="CY269" s="385"/>
      <c r="CZ269" s="567">
        <f t="shared" si="829"/>
        <v>0</v>
      </c>
      <c r="DA269" s="382"/>
      <c r="DB269" s="385"/>
      <c r="DC269" s="567">
        <f t="shared" si="830"/>
        <v>0</v>
      </c>
      <c r="DD269" s="382"/>
      <c r="DE269" s="385"/>
      <c r="DF269" s="567">
        <f t="shared" si="831"/>
        <v>0</v>
      </c>
      <c r="DG269" s="382"/>
      <c r="DH269" s="385"/>
      <c r="DI269" s="567">
        <f t="shared" si="832"/>
        <v>0</v>
      </c>
      <c r="DJ269" s="382"/>
      <c r="DK269" s="385"/>
      <c r="DL269" s="567">
        <f t="shared" si="833"/>
        <v>0</v>
      </c>
      <c r="DM269" s="382"/>
      <c r="DN269" s="385"/>
      <c r="DO269" s="567">
        <f t="shared" si="834"/>
        <v>0</v>
      </c>
      <c r="DP269" s="382"/>
      <c r="DQ269" s="385"/>
      <c r="DR269" s="567">
        <f t="shared" si="835"/>
        <v>0</v>
      </c>
      <c r="DS269" s="382"/>
      <c r="DT269" s="385"/>
      <c r="DU269" s="567">
        <f t="shared" si="836"/>
        <v>0</v>
      </c>
      <c r="DV269" s="382"/>
      <c r="DW269" s="385"/>
      <c r="DX269" s="567">
        <f t="shared" si="837"/>
        <v>0</v>
      </c>
      <c r="DY269" s="382"/>
      <c r="DZ269" s="385"/>
      <c r="EA269" s="568">
        <f t="shared" si="838"/>
        <v>0</v>
      </c>
      <c r="EB269" s="170"/>
      <c r="EC269" s="170"/>
      <c r="ED269" s="170"/>
      <c r="EE269" s="170"/>
      <c r="EF269" s="170"/>
      <c r="EG269" s="170"/>
      <c r="EH269" s="170"/>
      <c r="EI269" s="170"/>
      <c r="EJ269" s="170"/>
      <c r="EK269" s="170"/>
    </row>
    <row r="270" spans="1:141" ht="15" x14ac:dyDescent="0.25">
      <c r="A270" s="557"/>
      <c r="B270" s="472"/>
      <c r="C270" s="472"/>
      <c r="D270" s="472"/>
      <c r="E270" s="564">
        <v>54</v>
      </c>
      <c r="F270" s="170"/>
      <c r="G270" s="1339" t="str">
        <f>VLOOKUP(E270,Parameters!$D$159:$E$301,2)</f>
        <v>NA</v>
      </c>
      <c r="H270" s="1287"/>
      <c r="I270" s="1289"/>
      <c r="J270" s="1287"/>
      <c r="K270" s="1289"/>
      <c r="L270" s="1369">
        <f t="shared" si="801"/>
        <v>0</v>
      </c>
      <c r="M270" s="1287"/>
      <c r="N270" s="1289"/>
      <c r="O270" s="1369">
        <f t="shared" si="802"/>
        <v>0</v>
      </c>
      <c r="P270" s="1287"/>
      <c r="Q270" s="1289"/>
      <c r="R270" s="1369">
        <f t="shared" si="803"/>
        <v>0</v>
      </c>
      <c r="S270" s="1287"/>
      <c r="T270" s="1289"/>
      <c r="U270" s="1369">
        <f t="shared" si="804"/>
        <v>0</v>
      </c>
      <c r="V270" s="1287"/>
      <c r="W270" s="1289"/>
      <c r="X270" s="1369">
        <f t="shared" si="805"/>
        <v>0</v>
      </c>
      <c r="Y270" s="1287"/>
      <c r="Z270" s="1289"/>
      <c r="AA270" s="1369">
        <f t="shared" si="806"/>
        <v>0</v>
      </c>
      <c r="AB270" s="1287"/>
      <c r="AC270" s="1289"/>
      <c r="AD270" s="1369">
        <f t="shared" si="807"/>
        <v>0</v>
      </c>
      <c r="AE270" s="1287"/>
      <c r="AF270" s="1289"/>
      <c r="AG270" s="1369">
        <f t="shared" si="808"/>
        <v>0</v>
      </c>
      <c r="AH270" s="1287"/>
      <c r="AI270" s="1289"/>
      <c r="AJ270" s="1369">
        <f t="shared" si="809"/>
        <v>0</v>
      </c>
      <c r="AK270" s="1287"/>
      <c r="AL270" s="1289"/>
      <c r="AM270" s="1369">
        <f t="shared" si="810"/>
        <v>0</v>
      </c>
      <c r="AN270" s="1287"/>
      <c r="AO270" s="1289"/>
      <c r="AP270" s="1369">
        <f t="shared" si="811"/>
        <v>0</v>
      </c>
      <c r="AQ270" s="1287"/>
      <c r="AR270" s="1289"/>
      <c r="AS270" s="1369">
        <f t="shared" si="812"/>
        <v>0</v>
      </c>
      <c r="AT270" s="1287"/>
      <c r="AU270" s="411"/>
      <c r="AV270" s="170"/>
      <c r="AW270" s="170"/>
      <c r="AX270" s="170"/>
      <c r="AY270" s="561" t="str">
        <f t="shared" si="813"/>
        <v>NA</v>
      </c>
      <c r="AZ270" s="561"/>
      <c r="BA270" s="562"/>
      <c r="BB270" s="170"/>
      <c r="BC270" s="562"/>
      <c r="BD270" s="566">
        <f t="shared" si="814"/>
        <v>0</v>
      </c>
      <c r="BE270" s="170"/>
      <c r="BF270" s="1477"/>
      <c r="BG270" s="566">
        <f t="shared" si="815"/>
        <v>0</v>
      </c>
      <c r="BH270" s="170"/>
      <c r="BI270" s="1477"/>
      <c r="BJ270" s="566">
        <f t="shared" si="816"/>
        <v>0</v>
      </c>
      <c r="BK270" s="561"/>
      <c r="BL270" s="1477"/>
      <c r="BM270" s="566">
        <f t="shared" si="817"/>
        <v>0</v>
      </c>
      <c r="BN270" s="170"/>
      <c r="BO270" s="1477"/>
      <c r="BP270" s="566">
        <f t="shared" si="818"/>
        <v>0</v>
      </c>
      <c r="BQ270" s="170"/>
      <c r="BR270" s="1477"/>
      <c r="BS270" s="566">
        <f t="shared" si="819"/>
        <v>0</v>
      </c>
      <c r="BT270" s="170"/>
      <c r="BU270" s="1477"/>
      <c r="BV270" s="566">
        <f t="shared" si="820"/>
        <v>0</v>
      </c>
      <c r="BW270" s="170"/>
      <c r="BX270" s="1477"/>
      <c r="BY270" s="566">
        <f t="shared" si="821"/>
        <v>0</v>
      </c>
      <c r="BZ270" s="170"/>
      <c r="CA270" s="1477"/>
      <c r="CB270" s="566">
        <f t="shared" si="822"/>
        <v>0</v>
      </c>
      <c r="CC270" s="170"/>
      <c r="CD270" s="1477"/>
      <c r="CE270" s="566">
        <f t="shared" si="823"/>
        <v>0</v>
      </c>
      <c r="CF270" s="170"/>
      <c r="CG270" s="1477"/>
      <c r="CH270" s="566">
        <f t="shared" si="824"/>
        <v>0</v>
      </c>
      <c r="CI270" s="170"/>
      <c r="CJ270" s="562"/>
      <c r="CK270" s="566">
        <f t="shared" si="825"/>
        <v>0</v>
      </c>
      <c r="CL270" s="566"/>
      <c r="CM270" s="170"/>
      <c r="CN270" s="170"/>
      <c r="CO270" s="382" t="str">
        <f t="shared" si="826"/>
        <v>NA</v>
      </c>
      <c r="CP270" s="382"/>
      <c r="CQ270" s="385"/>
      <c r="CR270" s="382"/>
      <c r="CS270" s="385"/>
      <c r="CT270" s="567">
        <f t="shared" si="827"/>
        <v>0</v>
      </c>
      <c r="CU270" s="382"/>
      <c r="CV270" s="385"/>
      <c r="CW270" s="567">
        <f t="shared" si="828"/>
        <v>0</v>
      </c>
      <c r="CX270" s="382"/>
      <c r="CY270" s="385"/>
      <c r="CZ270" s="567">
        <f t="shared" si="829"/>
        <v>0</v>
      </c>
      <c r="DA270" s="382"/>
      <c r="DB270" s="385"/>
      <c r="DC270" s="567">
        <f t="shared" si="830"/>
        <v>0</v>
      </c>
      <c r="DD270" s="382"/>
      <c r="DE270" s="385"/>
      <c r="DF270" s="567">
        <f t="shared" si="831"/>
        <v>0</v>
      </c>
      <c r="DG270" s="382"/>
      <c r="DH270" s="385"/>
      <c r="DI270" s="567">
        <f t="shared" si="832"/>
        <v>0</v>
      </c>
      <c r="DJ270" s="382"/>
      <c r="DK270" s="385"/>
      <c r="DL270" s="567">
        <f t="shared" si="833"/>
        <v>0</v>
      </c>
      <c r="DM270" s="382"/>
      <c r="DN270" s="385"/>
      <c r="DO270" s="567">
        <f t="shared" si="834"/>
        <v>0</v>
      </c>
      <c r="DP270" s="382"/>
      <c r="DQ270" s="385"/>
      <c r="DR270" s="567">
        <f t="shared" si="835"/>
        <v>0</v>
      </c>
      <c r="DS270" s="382"/>
      <c r="DT270" s="385"/>
      <c r="DU270" s="567">
        <f t="shared" si="836"/>
        <v>0</v>
      </c>
      <c r="DV270" s="382"/>
      <c r="DW270" s="385"/>
      <c r="DX270" s="567">
        <f t="shared" si="837"/>
        <v>0</v>
      </c>
      <c r="DY270" s="382"/>
      <c r="DZ270" s="385"/>
      <c r="EA270" s="568">
        <f t="shared" si="838"/>
        <v>0</v>
      </c>
      <c r="EB270" s="170"/>
      <c r="EC270" s="170"/>
      <c r="ED270" s="170"/>
      <c r="EE270" s="170"/>
      <c r="EF270" s="170"/>
      <c r="EG270" s="170"/>
      <c r="EH270" s="170"/>
      <c r="EI270" s="170"/>
      <c r="EJ270" s="170"/>
      <c r="EK270" s="170"/>
    </row>
    <row r="271" spans="1:141" ht="15" x14ac:dyDescent="0.25">
      <c r="A271" s="557"/>
      <c r="B271" s="472"/>
      <c r="C271" s="472"/>
      <c r="D271" s="472"/>
      <c r="E271" s="564">
        <v>55</v>
      </c>
      <c r="F271" s="170"/>
      <c r="G271" s="1339" t="str">
        <f>VLOOKUP(E271,Parameters!$D$159:$E$301,2)</f>
        <v>NA</v>
      </c>
      <c r="H271" s="1287"/>
      <c r="I271" s="1289"/>
      <c r="J271" s="1287"/>
      <c r="K271" s="1289"/>
      <c r="L271" s="1369">
        <f t="shared" si="801"/>
        <v>0</v>
      </c>
      <c r="M271" s="1287"/>
      <c r="N271" s="1289"/>
      <c r="O271" s="1369">
        <f t="shared" si="802"/>
        <v>0</v>
      </c>
      <c r="P271" s="1287"/>
      <c r="Q271" s="1289"/>
      <c r="R271" s="1369">
        <f t="shared" si="803"/>
        <v>0</v>
      </c>
      <c r="S271" s="1287"/>
      <c r="T271" s="1289"/>
      <c r="U271" s="1369">
        <f t="shared" si="804"/>
        <v>0</v>
      </c>
      <c r="V271" s="1287"/>
      <c r="W271" s="1289"/>
      <c r="X271" s="1369">
        <f t="shared" si="805"/>
        <v>0</v>
      </c>
      <c r="Y271" s="1287"/>
      <c r="Z271" s="1289"/>
      <c r="AA271" s="1369">
        <f t="shared" si="806"/>
        <v>0</v>
      </c>
      <c r="AB271" s="1287"/>
      <c r="AC271" s="1289"/>
      <c r="AD271" s="1369">
        <f t="shared" si="807"/>
        <v>0</v>
      </c>
      <c r="AE271" s="1287"/>
      <c r="AF271" s="1289"/>
      <c r="AG271" s="1369">
        <f t="shared" si="808"/>
        <v>0</v>
      </c>
      <c r="AH271" s="1287"/>
      <c r="AI271" s="1289"/>
      <c r="AJ271" s="1369">
        <f t="shared" si="809"/>
        <v>0</v>
      </c>
      <c r="AK271" s="1287"/>
      <c r="AL271" s="1289"/>
      <c r="AM271" s="1369">
        <f t="shared" si="810"/>
        <v>0</v>
      </c>
      <c r="AN271" s="1287"/>
      <c r="AO271" s="1289"/>
      <c r="AP271" s="1369">
        <f t="shared" si="811"/>
        <v>0</v>
      </c>
      <c r="AQ271" s="1287"/>
      <c r="AR271" s="1289"/>
      <c r="AS271" s="1369">
        <f t="shared" si="812"/>
        <v>0</v>
      </c>
      <c r="AT271" s="1287"/>
      <c r="AU271" s="411"/>
      <c r="AV271" s="170"/>
      <c r="AW271" s="170"/>
      <c r="AX271" s="170"/>
      <c r="AY271" s="561" t="str">
        <f t="shared" si="813"/>
        <v>NA</v>
      </c>
      <c r="AZ271" s="561"/>
      <c r="BA271" s="562"/>
      <c r="BB271" s="170"/>
      <c r="BC271" s="562"/>
      <c r="BD271" s="566">
        <f t="shared" si="814"/>
        <v>0</v>
      </c>
      <c r="BE271" s="170"/>
      <c r="BF271" s="1477"/>
      <c r="BG271" s="566">
        <f t="shared" si="815"/>
        <v>0</v>
      </c>
      <c r="BH271" s="170"/>
      <c r="BI271" s="1477"/>
      <c r="BJ271" s="566">
        <f t="shared" si="816"/>
        <v>0</v>
      </c>
      <c r="BK271" s="561"/>
      <c r="BL271" s="1477"/>
      <c r="BM271" s="566">
        <f t="shared" si="817"/>
        <v>0</v>
      </c>
      <c r="BN271" s="170"/>
      <c r="BO271" s="1477"/>
      <c r="BP271" s="566">
        <f t="shared" si="818"/>
        <v>0</v>
      </c>
      <c r="BQ271" s="170"/>
      <c r="BR271" s="1477"/>
      <c r="BS271" s="566">
        <f t="shared" si="819"/>
        <v>0</v>
      </c>
      <c r="BT271" s="170"/>
      <c r="BU271" s="1477"/>
      <c r="BV271" s="566">
        <f t="shared" si="820"/>
        <v>0</v>
      </c>
      <c r="BW271" s="170"/>
      <c r="BX271" s="1477"/>
      <c r="BY271" s="566">
        <f t="shared" si="821"/>
        <v>0</v>
      </c>
      <c r="BZ271" s="170"/>
      <c r="CA271" s="1477"/>
      <c r="CB271" s="566">
        <f t="shared" si="822"/>
        <v>0</v>
      </c>
      <c r="CC271" s="170"/>
      <c r="CD271" s="1477"/>
      <c r="CE271" s="566">
        <f t="shared" si="823"/>
        <v>0</v>
      </c>
      <c r="CF271" s="170"/>
      <c r="CG271" s="1477"/>
      <c r="CH271" s="566">
        <f t="shared" si="824"/>
        <v>0</v>
      </c>
      <c r="CI271" s="170"/>
      <c r="CJ271" s="562"/>
      <c r="CK271" s="566">
        <f t="shared" si="825"/>
        <v>0</v>
      </c>
      <c r="CL271" s="566"/>
      <c r="CM271" s="170"/>
      <c r="CN271" s="170"/>
      <c r="CO271" s="382" t="str">
        <f t="shared" si="826"/>
        <v>NA</v>
      </c>
      <c r="CP271" s="382"/>
      <c r="CQ271" s="385"/>
      <c r="CR271" s="382"/>
      <c r="CS271" s="385"/>
      <c r="CT271" s="567">
        <f t="shared" si="827"/>
        <v>0</v>
      </c>
      <c r="CU271" s="382"/>
      <c r="CV271" s="385"/>
      <c r="CW271" s="567">
        <f t="shared" si="828"/>
        <v>0</v>
      </c>
      <c r="CX271" s="382"/>
      <c r="CY271" s="385"/>
      <c r="CZ271" s="567">
        <f t="shared" si="829"/>
        <v>0</v>
      </c>
      <c r="DA271" s="382"/>
      <c r="DB271" s="385"/>
      <c r="DC271" s="567">
        <f t="shared" si="830"/>
        <v>0</v>
      </c>
      <c r="DD271" s="382"/>
      <c r="DE271" s="385"/>
      <c r="DF271" s="567">
        <f t="shared" si="831"/>
        <v>0</v>
      </c>
      <c r="DG271" s="382"/>
      <c r="DH271" s="385"/>
      <c r="DI271" s="567">
        <f t="shared" si="832"/>
        <v>0</v>
      </c>
      <c r="DJ271" s="382"/>
      <c r="DK271" s="385"/>
      <c r="DL271" s="567">
        <f t="shared" si="833"/>
        <v>0</v>
      </c>
      <c r="DM271" s="382"/>
      <c r="DN271" s="385"/>
      <c r="DO271" s="567">
        <f t="shared" si="834"/>
        <v>0</v>
      </c>
      <c r="DP271" s="382"/>
      <c r="DQ271" s="385"/>
      <c r="DR271" s="567">
        <f t="shared" si="835"/>
        <v>0</v>
      </c>
      <c r="DS271" s="382"/>
      <c r="DT271" s="385"/>
      <c r="DU271" s="567">
        <f t="shared" si="836"/>
        <v>0</v>
      </c>
      <c r="DV271" s="382"/>
      <c r="DW271" s="385"/>
      <c r="DX271" s="567">
        <f t="shared" si="837"/>
        <v>0</v>
      </c>
      <c r="DY271" s="382"/>
      <c r="DZ271" s="385"/>
      <c r="EA271" s="568">
        <f t="shared" si="838"/>
        <v>0</v>
      </c>
      <c r="EB271" s="170"/>
      <c r="EC271" s="170"/>
      <c r="ED271" s="170"/>
      <c r="EE271" s="170"/>
      <c r="EF271" s="170"/>
      <c r="EG271" s="170"/>
      <c r="EH271" s="170"/>
      <c r="EI271" s="170"/>
      <c r="EJ271" s="170"/>
      <c r="EK271" s="170"/>
    </row>
    <row r="272" spans="1:141" ht="15" x14ac:dyDescent="0.25">
      <c r="A272" s="557"/>
      <c r="B272" s="472"/>
      <c r="C272" s="472"/>
      <c r="D272" s="472"/>
      <c r="E272" s="564">
        <v>56</v>
      </c>
      <c r="F272" s="170"/>
      <c r="G272" s="1339" t="str">
        <f>VLOOKUP(E272,Parameters!$D$159:$E$301,2)</f>
        <v>NA</v>
      </c>
      <c r="H272" s="1287"/>
      <c r="I272" s="1289"/>
      <c r="J272" s="1287"/>
      <c r="K272" s="1289"/>
      <c r="L272" s="1369">
        <f t="shared" si="801"/>
        <v>0</v>
      </c>
      <c r="M272" s="1287"/>
      <c r="N272" s="1289"/>
      <c r="O272" s="1369">
        <f t="shared" si="802"/>
        <v>0</v>
      </c>
      <c r="P272" s="1287"/>
      <c r="Q272" s="1289"/>
      <c r="R272" s="1369">
        <f t="shared" si="803"/>
        <v>0</v>
      </c>
      <c r="S272" s="1287"/>
      <c r="T272" s="1289"/>
      <c r="U272" s="1369">
        <f t="shared" si="804"/>
        <v>0</v>
      </c>
      <c r="V272" s="1287"/>
      <c r="W272" s="1289"/>
      <c r="X272" s="1369">
        <f t="shared" si="805"/>
        <v>0</v>
      </c>
      <c r="Y272" s="1287"/>
      <c r="Z272" s="1289"/>
      <c r="AA272" s="1369">
        <f t="shared" si="806"/>
        <v>0</v>
      </c>
      <c r="AB272" s="1287"/>
      <c r="AC272" s="1289"/>
      <c r="AD272" s="1369">
        <f t="shared" si="807"/>
        <v>0</v>
      </c>
      <c r="AE272" s="1287"/>
      <c r="AF272" s="1289"/>
      <c r="AG272" s="1369">
        <f t="shared" si="808"/>
        <v>0</v>
      </c>
      <c r="AH272" s="1287"/>
      <c r="AI272" s="1289"/>
      <c r="AJ272" s="1369">
        <f t="shared" si="809"/>
        <v>0</v>
      </c>
      <c r="AK272" s="1287"/>
      <c r="AL272" s="1289"/>
      <c r="AM272" s="1369">
        <f t="shared" si="810"/>
        <v>0</v>
      </c>
      <c r="AN272" s="1287"/>
      <c r="AO272" s="1289"/>
      <c r="AP272" s="1369">
        <f t="shared" si="811"/>
        <v>0</v>
      </c>
      <c r="AQ272" s="1287"/>
      <c r="AR272" s="1289"/>
      <c r="AS272" s="1369">
        <f t="shared" si="812"/>
        <v>0</v>
      </c>
      <c r="AT272" s="1287"/>
      <c r="AU272" s="411"/>
      <c r="AV272" s="170"/>
      <c r="AW272" s="170"/>
      <c r="AX272" s="170"/>
      <c r="AY272" s="561" t="str">
        <f t="shared" si="813"/>
        <v>NA</v>
      </c>
      <c r="AZ272" s="561"/>
      <c r="BA272" s="562"/>
      <c r="BB272" s="170"/>
      <c r="BC272" s="562"/>
      <c r="BD272" s="566">
        <f t="shared" si="814"/>
        <v>0</v>
      </c>
      <c r="BE272" s="170"/>
      <c r="BF272" s="1477"/>
      <c r="BG272" s="566">
        <f t="shared" si="815"/>
        <v>0</v>
      </c>
      <c r="BH272" s="170"/>
      <c r="BI272" s="1477"/>
      <c r="BJ272" s="566">
        <f t="shared" si="816"/>
        <v>0</v>
      </c>
      <c r="BK272" s="561"/>
      <c r="BL272" s="1477"/>
      <c r="BM272" s="566">
        <f t="shared" si="817"/>
        <v>0</v>
      </c>
      <c r="BN272" s="170"/>
      <c r="BO272" s="1477"/>
      <c r="BP272" s="566">
        <f t="shared" si="818"/>
        <v>0</v>
      </c>
      <c r="BQ272" s="170"/>
      <c r="BR272" s="1477"/>
      <c r="BS272" s="566">
        <f t="shared" si="819"/>
        <v>0</v>
      </c>
      <c r="BT272" s="170"/>
      <c r="BU272" s="1477"/>
      <c r="BV272" s="566">
        <f t="shared" si="820"/>
        <v>0</v>
      </c>
      <c r="BW272" s="170"/>
      <c r="BX272" s="1477"/>
      <c r="BY272" s="566">
        <f t="shared" si="821"/>
        <v>0</v>
      </c>
      <c r="BZ272" s="170"/>
      <c r="CA272" s="1477"/>
      <c r="CB272" s="566">
        <f t="shared" si="822"/>
        <v>0</v>
      </c>
      <c r="CC272" s="170"/>
      <c r="CD272" s="1477"/>
      <c r="CE272" s="566">
        <f t="shared" si="823"/>
        <v>0</v>
      </c>
      <c r="CF272" s="170"/>
      <c r="CG272" s="1477"/>
      <c r="CH272" s="566">
        <f t="shared" si="824"/>
        <v>0</v>
      </c>
      <c r="CI272" s="170"/>
      <c r="CJ272" s="562"/>
      <c r="CK272" s="566">
        <f t="shared" si="825"/>
        <v>0</v>
      </c>
      <c r="CL272" s="566"/>
      <c r="CM272" s="170"/>
      <c r="CN272" s="170"/>
      <c r="CO272" s="382" t="str">
        <f t="shared" si="826"/>
        <v>NA</v>
      </c>
      <c r="CP272" s="382"/>
      <c r="CQ272" s="385"/>
      <c r="CR272" s="382"/>
      <c r="CS272" s="385"/>
      <c r="CT272" s="567">
        <f t="shared" si="827"/>
        <v>0</v>
      </c>
      <c r="CU272" s="382"/>
      <c r="CV272" s="385"/>
      <c r="CW272" s="567">
        <f t="shared" si="828"/>
        <v>0</v>
      </c>
      <c r="CX272" s="382"/>
      <c r="CY272" s="385"/>
      <c r="CZ272" s="567">
        <f t="shared" si="829"/>
        <v>0</v>
      </c>
      <c r="DA272" s="382"/>
      <c r="DB272" s="385"/>
      <c r="DC272" s="567">
        <f t="shared" si="830"/>
        <v>0</v>
      </c>
      <c r="DD272" s="382"/>
      <c r="DE272" s="385"/>
      <c r="DF272" s="567">
        <f t="shared" si="831"/>
        <v>0</v>
      </c>
      <c r="DG272" s="382"/>
      <c r="DH272" s="385"/>
      <c r="DI272" s="567">
        <f t="shared" si="832"/>
        <v>0</v>
      </c>
      <c r="DJ272" s="382"/>
      <c r="DK272" s="385"/>
      <c r="DL272" s="567">
        <f t="shared" si="833"/>
        <v>0</v>
      </c>
      <c r="DM272" s="382"/>
      <c r="DN272" s="385"/>
      <c r="DO272" s="567">
        <f t="shared" si="834"/>
        <v>0</v>
      </c>
      <c r="DP272" s="382"/>
      <c r="DQ272" s="385"/>
      <c r="DR272" s="567">
        <f t="shared" si="835"/>
        <v>0</v>
      </c>
      <c r="DS272" s="382"/>
      <c r="DT272" s="385"/>
      <c r="DU272" s="567">
        <f t="shared" si="836"/>
        <v>0</v>
      </c>
      <c r="DV272" s="382"/>
      <c r="DW272" s="385"/>
      <c r="DX272" s="567">
        <f t="shared" si="837"/>
        <v>0</v>
      </c>
      <c r="DY272" s="382"/>
      <c r="DZ272" s="385"/>
      <c r="EA272" s="568">
        <f t="shared" si="838"/>
        <v>0</v>
      </c>
      <c r="EB272" s="170"/>
      <c r="EC272" s="170"/>
      <c r="ED272" s="170"/>
      <c r="EE272" s="170"/>
      <c r="EF272" s="170"/>
      <c r="EG272" s="170"/>
      <c r="EH272" s="170"/>
      <c r="EI272" s="170"/>
      <c r="EJ272" s="170"/>
      <c r="EK272" s="170"/>
    </row>
    <row r="273" spans="1:141" ht="15" x14ac:dyDescent="0.25">
      <c r="A273" s="557"/>
      <c r="B273" s="472"/>
      <c r="C273" s="472"/>
      <c r="D273" s="472"/>
      <c r="E273" s="564">
        <v>57</v>
      </c>
      <c r="F273" s="170"/>
      <c r="G273" s="1339" t="str">
        <f>VLOOKUP(E273,Parameters!$D$159:$E$301,2)</f>
        <v>NA</v>
      </c>
      <c r="H273" s="1287"/>
      <c r="I273" s="1289"/>
      <c r="J273" s="1287"/>
      <c r="K273" s="1289"/>
      <c r="L273" s="1369">
        <f t="shared" si="801"/>
        <v>0</v>
      </c>
      <c r="M273" s="1287"/>
      <c r="N273" s="1289"/>
      <c r="O273" s="1369">
        <f t="shared" si="802"/>
        <v>0</v>
      </c>
      <c r="P273" s="1287"/>
      <c r="Q273" s="1289"/>
      <c r="R273" s="1369">
        <f t="shared" si="803"/>
        <v>0</v>
      </c>
      <c r="S273" s="1287"/>
      <c r="T273" s="1289"/>
      <c r="U273" s="1369">
        <f t="shared" si="804"/>
        <v>0</v>
      </c>
      <c r="V273" s="1287"/>
      <c r="W273" s="1289"/>
      <c r="X273" s="1369">
        <f t="shared" si="805"/>
        <v>0</v>
      </c>
      <c r="Y273" s="1287"/>
      <c r="Z273" s="1289"/>
      <c r="AA273" s="1369">
        <f t="shared" si="806"/>
        <v>0</v>
      </c>
      <c r="AB273" s="1287"/>
      <c r="AC273" s="1289"/>
      <c r="AD273" s="1369">
        <f t="shared" si="807"/>
        <v>0</v>
      </c>
      <c r="AE273" s="1287"/>
      <c r="AF273" s="1289"/>
      <c r="AG273" s="1369">
        <f t="shared" si="808"/>
        <v>0</v>
      </c>
      <c r="AH273" s="1287"/>
      <c r="AI273" s="1289"/>
      <c r="AJ273" s="1369">
        <f t="shared" si="809"/>
        <v>0</v>
      </c>
      <c r="AK273" s="1287"/>
      <c r="AL273" s="1289"/>
      <c r="AM273" s="1369">
        <f t="shared" si="810"/>
        <v>0</v>
      </c>
      <c r="AN273" s="1287"/>
      <c r="AO273" s="1289"/>
      <c r="AP273" s="1369">
        <f t="shared" si="811"/>
        <v>0</v>
      </c>
      <c r="AQ273" s="1287"/>
      <c r="AR273" s="1289"/>
      <c r="AS273" s="1369">
        <f t="shared" si="812"/>
        <v>0</v>
      </c>
      <c r="AT273" s="1287"/>
      <c r="AU273" s="411"/>
      <c r="AV273" s="170"/>
      <c r="AW273" s="170"/>
      <c r="AX273" s="170"/>
      <c r="AY273" s="561" t="str">
        <f t="shared" si="813"/>
        <v>NA</v>
      </c>
      <c r="AZ273" s="561"/>
      <c r="BA273" s="562"/>
      <c r="BB273" s="170"/>
      <c r="BC273" s="562"/>
      <c r="BD273" s="566">
        <f t="shared" si="814"/>
        <v>0</v>
      </c>
      <c r="BE273" s="170"/>
      <c r="BF273" s="1477"/>
      <c r="BG273" s="566">
        <f t="shared" si="815"/>
        <v>0</v>
      </c>
      <c r="BH273" s="170"/>
      <c r="BI273" s="1477"/>
      <c r="BJ273" s="566">
        <f t="shared" si="816"/>
        <v>0</v>
      </c>
      <c r="BK273" s="561"/>
      <c r="BL273" s="1477"/>
      <c r="BM273" s="566">
        <f t="shared" si="817"/>
        <v>0</v>
      </c>
      <c r="BN273" s="170"/>
      <c r="BO273" s="1477"/>
      <c r="BP273" s="566">
        <f t="shared" si="818"/>
        <v>0</v>
      </c>
      <c r="BQ273" s="170"/>
      <c r="BR273" s="1477"/>
      <c r="BS273" s="566">
        <f t="shared" si="819"/>
        <v>0</v>
      </c>
      <c r="BT273" s="170"/>
      <c r="BU273" s="1477"/>
      <c r="BV273" s="566">
        <f t="shared" si="820"/>
        <v>0</v>
      </c>
      <c r="BW273" s="170"/>
      <c r="BX273" s="1477"/>
      <c r="BY273" s="566">
        <f t="shared" si="821"/>
        <v>0</v>
      </c>
      <c r="BZ273" s="170"/>
      <c r="CA273" s="1477"/>
      <c r="CB273" s="566">
        <f t="shared" si="822"/>
        <v>0</v>
      </c>
      <c r="CC273" s="170"/>
      <c r="CD273" s="1477"/>
      <c r="CE273" s="566">
        <f t="shared" si="823"/>
        <v>0</v>
      </c>
      <c r="CF273" s="170"/>
      <c r="CG273" s="1477"/>
      <c r="CH273" s="566">
        <f t="shared" si="824"/>
        <v>0</v>
      </c>
      <c r="CI273" s="170"/>
      <c r="CJ273" s="562"/>
      <c r="CK273" s="566">
        <f t="shared" si="825"/>
        <v>0</v>
      </c>
      <c r="CL273" s="566"/>
      <c r="CM273" s="170"/>
      <c r="CN273" s="170"/>
      <c r="CO273" s="382" t="str">
        <f t="shared" si="826"/>
        <v>NA</v>
      </c>
      <c r="CP273" s="382"/>
      <c r="CQ273" s="385"/>
      <c r="CR273" s="382"/>
      <c r="CS273" s="385"/>
      <c r="CT273" s="567">
        <f t="shared" si="827"/>
        <v>0</v>
      </c>
      <c r="CU273" s="382"/>
      <c r="CV273" s="385"/>
      <c r="CW273" s="567">
        <f t="shared" si="828"/>
        <v>0</v>
      </c>
      <c r="CX273" s="382"/>
      <c r="CY273" s="385"/>
      <c r="CZ273" s="567">
        <f t="shared" si="829"/>
        <v>0</v>
      </c>
      <c r="DA273" s="382"/>
      <c r="DB273" s="385"/>
      <c r="DC273" s="567">
        <f t="shared" si="830"/>
        <v>0</v>
      </c>
      <c r="DD273" s="382"/>
      <c r="DE273" s="385"/>
      <c r="DF273" s="567">
        <f t="shared" si="831"/>
        <v>0</v>
      </c>
      <c r="DG273" s="382"/>
      <c r="DH273" s="385"/>
      <c r="DI273" s="567">
        <f t="shared" si="832"/>
        <v>0</v>
      </c>
      <c r="DJ273" s="382"/>
      <c r="DK273" s="385"/>
      <c r="DL273" s="567">
        <f t="shared" si="833"/>
        <v>0</v>
      </c>
      <c r="DM273" s="382"/>
      <c r="DN273" s="385"/>
      <c r="DO273" s="567">
        <f t="shared" si="834"/>
        <v>0</v>
      </c>
      <c r="DP273" s="382"/>
      <c r="DQ273" s="385"/>
      <c r="DR273" s="567">
        <f t="shared" si="835"/>
        <v>0</v>
      </c>
      <c r="DS273" s="382"/>
      <c r="DT273" s="385"/>
      <c r="DU273" s="567">
        <f t="shared" si="836"/>
        <v>0</v>
      </c>
      <c r="DV273" s="382"/>
      <c r="DW273" s="385"/>
      <c r="DX273" s="567">
        <f t="shared" si="837"/>
        <v>0</v>
      </c>
      <c r="DY273" s="382"/>
      <c r="DZ273" s="385"/>
      <c r="EA273" s="568">
        <f t="shared" si="838"/>
        <v>0</v>
      </c>
      <c r="EB273" s="170"/>
      <c r="EC273" s="170"/>
      <c r="ED273" s="170"/>
      <c r="EE273" s="170"/>
      <c r="EF273" s="170"/>
      <c r="EG273" s="170"/>
      <c r="EH273" s="170"/>
      <c r="EI273" s="170"/>
      <c r="EJ273" s="170"/>
      <c r="EK273" s="170"/>
    </row>
    <row r="274" spans="1:141" ht="15" x14ac:dyDescent="0.25">
      <c r="A274" s="557"/>
      <c r="B274" s="472"/>
      <c r="C274" s="472"/>
      <c r="D274" s="472"/>
      <c r="E274" s="564">
        <v>58</v>
      </c>
      <c r="F274" s="170"/>
      <c r="G274" s="1339" t="str">
        <f>VLOOKUP(E274,Parameters!$D$159:$E$301,2)</f>
        <v>NA</v>
      </c>
      <c r="H274" s="1287"/>
      <c r="I274" s="1289"/>
      <c r="J274" s="1287"/>
      <c r="K274" s="1289"/>
      <c r="L274" s="1369">
        <f t="shared" si="801"/>
        <v>0</v>
      </c>
      <c r="M274" s="1287"/>
      <c r="N274" s="1289"/>
      <c r="O274" s="1369">
        <f t="shared" si="802"/>
        <v>0</v>
      </c>
      <c r="P274" s="1287"/>
      <c r="Q274" s="1289"/>
      <c r="R274" s="1369">
        <f t="shared" si="803"/>
        <v>0</v>
      </c>
      <c r="S274" s="1287"/>
      <c r="T274" s="1289"/>
      <c r="U274" s="1369">
        <f t="shared" si="804"/>
        <v>0</v>
      </c>
      <c r="V274" s="1287"/>
      <c r="W274" s="1289"/>
      <c r="X274" s="1369">
        <f t="shared" si="805"/>
        <v>0</v>
      </c>
      <c r="Y274" s="1287"/>
      <c r="Z274" s="1289"/>
      <c r="AA274" s="1369">
        <f t="shared" si="806"/>
        <v>0</v>
      </c>
      <c r="AB274" s="1287"/>
      <c r="AC274" s="1289"/>
      <c r="AD274" s="1369">
        <f t="shared" si="807"/>
        <v>0</v>
      </c>
      <c r="AE274" s="1287"/>
      <c r="AF274" s="1289"/>
      <c r="AG274" s="1369">
        <f t="shared" si="808"/>
        <v>0</v>
      </c>
      <c r="AH274" s="1287"/>
      <c r="AI274" s="1289"/>
      <c r="AJ274" s="1369">
        <f t="shared" si="809"/>
        <v>0</v>
      </c>
      <c r="AK274" s="1287"/>
      <c r="AL274" s="1289"/>
      <c r="AM274" s="1369">
        <f t="shared" si="810"/>
        <v>0</v>
      </c>
      <c r="AN274" s="1287"/>
      <c r="AO274" s="1289"/>
      <c r="AP274" s="1369">
        <f t="shared" si="811"/>
        <v>0</v>
      </c>
      <c r="AQ274" s="1287"/>
      <c r="AR274" s="1289"/>
      <c r="AS274" s="1369">
        <f t="shared" si="812"/>
        <v>0</v>
      </c>
      <c r="AT274" s="1287"/>
      <c r="AU274" s="411"/>
      <c r="AV274" s="170"/>
      <c r="AW274" s="170"/>
      <c r="AX274" s="170"/>
      <c r="AY274" s="561" t="str">
        <f t="shared" si="813"/>
        <v>NA</v>
      </c>
      <c r="AZ274" s="561"/>
      <c r="BA274" s="562"/>
      <c r="BB274" s="170"/>
      <c r="BC274" s="562"/>
      <c r="BD274" s="566">
        <f t="shared" si="814"/>
        <v>0</v>
      </c>
      <c r="BE274" s="170"/>
      <c r="BF274" s="1477"/>
      <c r="BG274" s="566">
        <f t="shared" si="815"/>
        <v>0</v>
      </c>
      <c r="BH274" s="170"/>
      <c r="BI274" s="1477"/>
      <c r="BJ274" s="566">
        <f t="shared" si="816"/>
        <v>0</v>
      </c>
      <c r="BK274" s="561"/>
      <c r="BL274" s="1477"/>
      <c r="BM274" s="566">
        <f t="shared" si="817"/>
        <v>0</v>
      </c>
      <c r="BN274" s="170"/>
      <c r="BO274" s="1477"/>
      <c r="BP274" s="566">
        <f t="shared" si="818"/>
        <v>0</v>
      </c>
      <c r="BQ274" s="170"/>
      <c r="BR274" s="1477"/>
      <c r="BS274" s="566">
        <f t="shared" si="819"/>
        <v>0</v>
      </c>
      <c r="BT274" s="170"/>
      <c r="BU274" s="1477"/>
      <c r="BV274" s="566">
        <f t="shared" si="820"/>
        <v>0</v>
      </c>
      <c r="BW274" s="170"/>
      <c r="BX274" s="1477"/>
      <c r="BY274" s="566">
        <f t="shared" si="821"/>
        <v>0</v>
      </c>
      <c r="BZ274" s="170"/>
      <c r="CA274" s="1477"/>
      <c r="CB274" s="566">
        <f t="shared" si="822"/>
        <v>0</v>
      </c>
      <c r="CC274" s="170"/>
      <c r="CD274" s="1477"/>
      <c r="CE274" s="566">
        <f t="shared" si="823"/>
        <v>0</v>
      </c>
      <c r="CF274" s="170"/>
      <c r="CG274" s="1477"/>
      <c r="CH274" s="566">
        <f t="shared" si="824"/>
        <v>0</v>
      </c>
      <c r="CI274" s="170"/>
      <c r="CJ274" s="562"/>
      <c r="CK274" s="566">
        <f t="shared" si="825"/>
        <v>0</v>
      </c>
      <c r="CL274" s="566"/>
      <c r="CM274" s="170"/>
      <c r="CN274" s="170"/>
      <c r="CO274" s="382" t="str">
        <f t="shared" si="826"/>
        <v>NA</v>
      </c>
      <c r="CP274" s="382"/>
      <c r="CQ274" s="385"/>
      <c r="CR274" s="382"/>
      <c r="CS274" s="385"/>
      <c r="CT274" s="567">
        <f t="shared" si="827"/>
        <v>0</v>
      </c>
      <c r="CU274" s="382"/>
      <c r="CV274" s="385"/>
      <c r="CW274" s="567">
        <f t="shared" si="828"/>
        <v>0</v>
      </c>
      <c r="CX274" s="382"/>
      <c r="CY274" s="385"/>
      <c r="CZ274" s="567">
        <f t="shared" si="829"/>
        <v>0</v>
      </c>
      <c r="DA274" s="382"/>
      <c r="DB274" s="385"/>
      <c r="DC274" s="567">
        <f t="shared" si="830"/>
        <v>0</v>
      </c>
      <c r="DD274" s="382"/>
      <c r="DE274" s="385"/>
      <c r="DF274" s="567">
        <f t="shared" si="831"/>
        <v>0</v>
      </c>
      <c r="DG274" s="382"/>
      <c r="DH274" s="385"/>
      <c r="DI274" s="567">
        <f t="shared" si="832"/>
        <v>0</v>
      </c>
      <c r="DJ274" s="382"/>
      <c r="DK274" s="385"/>
      <c r="DL274" s="567">
        <f t="shared" si="833"/>
        <v>0</v>
      </c>
      <c r="DM274" s="382"/>
      <c r="DN274" s="385"/>
      <c r="DO274" s="567">
        <f t="shared" si="834"/>
        <v>0</v>
      </c>
      <c r="DP274" s="382"/>
      <c r="DQ274" s="385"/>
      <c r="DR274" s="567">
        <f t="shared" si="835"/>
        <v>0</v>
      </c>
      <c r="DS274" s="382"/>
      <c r="DT274" s="385"/>
      <c r="DU274" s="567">
        <f t="shared" si="836"/>
        <v>0</v>
      </c>
      <c r="DV274" s="382"/>
      <c r="DW274" s="385"/>
      <c r="DX274" s="567">
        <f t="shared" si="837"/>
        <v>0</v>
      </c>
      <c r="DY274" s="382"/>
      <c r="DZ274" s="385"/>
      <c r="EA274" s="568">
        <f t="shared" si="838"/>
        <v>0</v>
      </c>
      <c r="EB274" s="170"/>
      <c r="EC274" s="170"/>
      <c r="ED274" s="170"/>
      <c r="EE274" s="170"/>
      <c r="EF274" s="170"/>
      <c r="EG274" s="170"/>
      <c r="EH274" s="170"/>
      <c r="EI274" s="170"/>
      <c r="EJ274" s="170"/>
      <c r="EK274" s="170"/>
    </row>
    <row r="275" spans="1:141" ht="15" x14ac:dyDescent="0.25">
      <c r="A275" s="557"/>
      <c r="B275" s="472"/>
      <c r="C275" s="472"/>
      <c r="D275" s="472"/>
      <c r="E275" s="564">
        <v>59</v>
      </c>
      <c r="F275" s="170"/>
      <c r="G275" s="1339" t="str">
        <f>VLOOKUP(E275,Parameters!$D$159:$E$301,2)</f>
        <v>NA</v>
      </c>
      <c r="H275" s="1287"/>
      <c r="I275" s="1289"/>
      <c r="J275" s="1287"/>
      <c r="K275" s="1289"/>
      <c r="L275" s="1369">
        <f t="shared" si="801"/>
        <v>0</v>
      </c>
      <c r="M275" s="1287"/>
      <c r="N275" s="1289"/>
      <c r="O275" s="1369">
        <f t="shared" si="802"/>
        <v>0</v>
      </c>
      <c r="P275" s="1287"/>
      <c r="Q275" s="1289"/>
      <c r="R275" s="1369">
        <f t="shared" si="803"/>
        <v>0</v>
      </c>
      <c r="S275" s="1287"/>
      <c r="T275" s="1289"/>
      <c r="U275" s="1369">
        <f t="shared" si="804"/>
        <v>0</v>
      </c>
      <c r="V275" s="1287"/>
      <c r="W275" s="1289"/>
      <c r="X275" s="1369">
        <f t="shared" si="805"/>
        <v>0</v>
      </c>
      <c r="Y275" s="1287"/>
      <c r="Z275" s="1289"/>
      <c r="AA275" s="1369">
        <f t="shared" si="806"/>
        <v>0</v>
      </c>
      <c r="AB275" s="1287"/>
      <c r="AC275" s="1289"/>
      <c r="AD275" s="1369">
        <f t="shared" si="807"/>
        <v>0</v>
      </c>
      <c r="AE275" s="1287"/>
      <c r="AF275" s="1289"/>
      <c r="AG275" s="1369">
        <f t="shared" si="808"/>
        <v>0</v>
      </c>
      <c r="AH275" s="1287"/>
      <c r="AI275" s="1289"/>
      <c r="AJ275" s="1369">
        <f t="shared" si="809"/>
        <v>0</v>
      </c>
      <c r="AK275" s="1287"/>
      <c r="AL275" s="1289"/>
      <c r="AM275" s="1369">
        <f t="shared" si="810"/>
        <v>0</v>
      </c>
      <c r="AN275" s="1287"/>
      <c r="AO275" s="1289"/>
      <c r="AP275" s="1369">
        <f t="shared" si="811"/>
        <v>0</v>
      </c>
      <c r="AQ275" s="1287"/>
      <c r="AR275" s="1289"/>
      <c r="AS275" s="1369">
        <f t="shared" si="812"/>
        <v>0</v>
      </c>
      <c r="AT275" s="1287"/>
      <c r="AU275" s="411"/>
      <c r="AV275" s="170"/>
      <c r="AW275" s="170"/>
      <c r="AX275" s="170"/>
      <c r="AY275" s="561" t="str">
        <f t="shared" si="813"/>
        <v>NA</v>
      </c>
      <c r="AZ275" s="561"/>
      <c r="BA275" s="562"/>
      <c r="BB275" s="170"/>
      <c r="BC275" s="562"/>
      <c r="BD275" s="566">
        <f t="shared" si="814"/>
        <v>0</v>
      </c>
      <c r="BE275" s="170"/>
      <c r="BF275" s="1477"/>
      <c r="BG275" s="566">
        <f t="shared" si="815"/>
        <v>0</v>
      </c>
      <c r="BH275" s="170"/>
      <c r="BI275" s="1477"/>
      <c r="BJ275" s="566">
        <f t="shared" si="816"/>
        <v>0</v>
      </c>
      <c r="BK275" s="561"/>
      <c r="BL275" s="1477"/>
      <c r="BM275" s="566">
        <f t="shared" si="817"/>
        <v>0</v>
      </c>
      <c r="BN275" s="170"/>
      <c r="BO275" s="1477"/>
      <c r="BP275" s="566">
        <f t="shared" si="818"/>
        <v>0</v>
      </c>
      <c r="BQ275" s="170"/>
      <c r="BR275" s="1477"/>
      <c r="BS275" s="566">
        <f t="shared" si="819"/>
        <v>0</v>
      </c>
      <c r="BT275" s="170"/>
      <c r="BU275" s="1477"/>
      <c r="BV275" s="566">
        <f t="shared" si="820"/>
        <v>0</v>
      </c>
      <c r="BW275" s="170"/>
      <c r="BX275" s="1477"/>
      <c r="BY275" s="566">
        <f t="shared" si="821"/>
        <v>0</v>
      </c>
      <c r="BZ275" s="170"/>
      <c r="CA275" s="1477"/>
      <c r="CB275" s="566">
        <f t="shared" si="822"/>
        <v>0</v>
      </c>
      <c r="CC275" s="170"/>
      <c r="CD275" s="1477"/>
      <c r="CE275" s="566">
        <f t="shared" si="823"/>
        <v>0</v>
      </c>
      <c r="CF275" s="170"/>
      <c r="CG275" s="1477"/>
      <c r="CH275" s="566">
        <f t="shared" si="824"/>
        <v>0</v>
      </c>
      <c r="CI275" s="170"/>
      <c r="CJ275" s="562"/>
      <c r="CK275" s="566">
        <f t="shared" si="825"/>
        <v>0</v>
      </c>
      <c r="CL275" s="566"/>
      <c r="CM275" s="170"/>
      <c r="CN275" s="170"/>
      <c r="CO275" s="382" t="str">
        <f t="shared" si="826"/>
        <v>NA</v>
      </c>
      <c r="CP275" s="382"/>
      <c r="CQ275" s="385"/>
      <c r="CR275" s="382"/>
      <c r="CS275" s="385"/>
      <c r="CT275" s="567">
        <f t="shared" si="827"/>
        <v>0</v>
      </c>
      <c r="CU275" s="382"/>
      <c r="CV275" s="385"/>
      <c r="CW275" s="567">
        <f t="shared" si="828"/>
        <v>0</v>
      </c>
      <c r="CX275" s="382"/>
      <c r="CY275" s="385"/>
      <c r="CZ275" s="567">
        <f t="shared" si="829"/>
        <v>0</v>
      </c>
      <c r="DA275" s="382"/>
      <c r="DB275" s="385"/>
      <c r="DC275" s="567">
        <f t="shared" si="830"/>
        <v>0</v>
      </c>
      <c r="DD275" s="382"/>
      <c r="DE275" s="385"/>
      <c r="DF275" s="567">
        <f t="shared" si="831"/>
        <v>0</v>
      </c>
      <c r="DG275" s="382"/>
      <c r="DH275" s="385"/>
      <c r="DI275" s="567">
        <f t="shared" si="832"/>
        <v>0</v>
      </c>
      <c r="DJ275" s="382"/>
      <c r="DK275" s="385"/>
      <c r="DL275" s="567">
        <f t="shared" si="833"/>
        <v>0</v>
      </c>
      <c r="DM275" s="382"/>
      <c r="DN275" s="385"/>
      <c r="DO275" s="567">
        <f t="shared" si="834"/>
        <v>0</v>
      </c>
      <c r="DP275" s="382"/>
      <c r="DQ275" s="385"/>
      <c r="DR275" s="567">
        <f t="shared" si="835"/>
        <v>0</v>
      </c>
      <c r="DS275" s="382"/>
      <c r="DT275" s="385"/>
      <c r="DU275" s="567">
        <f t="shared" si="836"/>
        <v>0</v>
      </c>
      <c r="DV275" s="382"/>
      <c r="DW275" s="385"/>
      <c r="DX275" s="567">
        <f t="shared" si="837"/>
        <v>0</v>
      </c>
      <c r="DY275" s="382"/>
      <c r="DZ275" s="385"/>
      <c r="EA275" s="568">
        <f t="shared" si="838"/>
        <v>0</v>
      </c>
      <c r="EB275" s="170"/>
      <c r="EC275" s="170"/>
      <c r="ED275" s="170"/>
      <c r="EE275" s="170"/>
      <c r="EF275" s="170"/>
      <c r="EG275" s="170"/>
      <c r="EH275" s="170"/>
      <c r="EI275" s="170"/>
      <c r="EJ275" s="170"/>
      <c r="EK275" s="170"/>
    </row>
    <row r="276" spans="1:141" ht="15" x14ac:dyDescent="0.25">
      <c r="A276" s="557"/>
      <c r="B276" s="472"/>
      <c r="C276" s="472"/>
      <c r="D276" s="472"/>
      <c r="E276" s="564">
        <v>60</v>
      </c>
      <c r="F276" s="170"/>
      <c r="G276" s="1339" t="str">
        <f>VLOOKUP(E276,Parameters!$D$159:$E$301,2)</f>
        <v>NA</v>
      </c>
      <c r="H276" s="1287"/>
      <c r="I276" s="1289"/>
      <c r="J276" s="1287"/>
      <c r="K276" s="1289"/>
      <c r="L276" s="1369">
        <f t="shared" si="801"/>
        <v>0</v>
      </c>
      <c r="M276" s="1287"/>
      <c r="N276" s="1289"/>
      <c r="O276" s="1369">
        <f t="shared" si="802"/>
        <v>0</v>
      </c>
      <c r="P276" s="1287"/>
      <c r="Q276" s="1289"/>
      <c r="R276" s="1369">
        <f t="shared" si="803"/>
        <v>0</v>
      </c>
      <c r="S276" s="1287"/>
      <c r="T276" s="1289"/>
      <c r="U276" s="1369">
        <f t="shared" si="804"/>
        <v>0</v>
      </c>
      <c r="V276" s="1287"/>
      <c r="W276" s="1289"/>
      <c r="X276" s="1369">
        <f t="shared" si="805"/>
        <v>0</v>
      </c>
      <c r="Y276" s="1287"/>
      <c r="Z276" s="1289"/>
      <c r="AA276" s="1369">
        <f t="shared" si="806"/>
        <v>0</v>
      </c>
      <c r="AB276" s="1287"/>
      <c r="AC276" s="1289"/>
      <c r="AD276" s="1369">
        <f t="shared" si="807"/>
        <v>0</v>
      </c>
      <c r="AE276" s="1287"/>
      <c r="AF276" s="1289"/>
      <c r="AG276" s="1369">
        <f t="shared" si="808"/>
        <v>0</v>
      </c>
      <c r="AH276" s="1287"/>
      <c r="AI276" s="1289"/>
      <c r="AJ276" s="1369">
        <f t="shared" si="809"/>
        <v>0</v>
      </c>
      <c r="AK276" s="1287"/>
      <c r="AL276" s="1289"/>
      <c r="AM276" s="1369">
        <f t="shared" si="810"/>
        <v>0</v>
      </c>
      <c r="AN276" s="1287"/>
      <c r="AO276" s="1289"/>
      <c r="AP276" s="1369">
        <f t="shared" si="811"/>
        <v>0</v>
      </c>
      <c r="AQ276" s="1287"/>
      <c r="AR276" s="1289"/>
      <c r="AS276" s="1369">
        <f t="shared" si="812"/>
        <v>0</v>
      </c>
      <c r="AT276" s="1287"/>
      <c r="AU276" s="411"/>
      <c r="AV276" s="170"/>
      <c r="AW276" s="170"/>
      <c r="AX276" s="170"/>
      <c r="AY276" s="561" t="str">
        <f t="shared" si="813"/>
        <v>NA</v>
      </c>
      <c r="AZ276" s="561"/>
      <c r="BA276" s="562"/>
      <c r="BB276" s="170"/>
      <c r="BC276" s="562"/>
      <c r="BD276" s="566">
        <f t="shared" si="814"/>
        <v>0</v>
      </c>
      <c r="BE276" s="170"/>
      <c r="BF276" s="1477"/>
      <c r="BG276" s="566">
        <f t="shared" si="815"/>
        <v>0</v>
      </c>
      <c r="BH276" s="170"/>
      <c r="BI276" s="1477"/>
      <c r="BJ276" s="566">
        <f t="shared" si="816"/>
        <v>0</v>
      </c>
      <c r="BK276" s="561"/>
      <c r="BL276" s="1477"/>
      <c r="BM276" s="566">
        <f t="shared" si="817"/>
        <v>0</v>
      </c>
      <c r="BN276" s="170"/>
      <c r="BO276" s="1477"/>
      <c r="BP276" s="566">
        <f t="shared" si="818"/>
        <v>0</v>
      </c>
      <c r="BQ276" s="170"/>
      <c r="BR276" s="1477"/>
      <c r="BS276" s="566">
        <f t="shared" si="819"/>
        <v>0</v>
      </c>
      <c r="BT276" s="170"/>
      <c r="BU276" s="1477"/>
      <c r="BV276" s="566">
        <f t="shared" si="820"/>
        <v>0</v>
      </c>
      <c r="BW276" s="170"/>
      <c r="BX276" s="1477"/>
      <c r="BY276" s="566">
        <f t="shared" si="821"/>
        <v>0</v>
      </c>
      <c r="BZ276" s="170"/>
      <c r="CA276" s="1477"/>
      <c r="CB276" s="566">
        <f t="shared" si="822"/>
        <v>0</v>
      </c>
      <c r="CC276" s="170"/>
      <c r="CD276" s="1477"/>
      <c r="CE276" s="566">
        <f t="shared" si="823"/>
        <v>0</v>
      </c>
      <c r="CF276" s="170"/>
      <c r="CG276" s="1477"/>
      <c r="CH276" s="566">
        <f t="shared" si="824"/>
        <v>0</v>
      </c>
      <c r="CI276" s="170"/>
      <c r="CJ276" s="562"/>
      <c r="CK276" s="566">
        <f t="shared" si="825"/>
        <v>0</v>
      </c>
      <c r="CL276" s="566"/>
      <c r="CM276" s="170"/>
      <c r="CN276" s="170"/>
      <c r="CO276" s="382" t="str">
        <f t="shared" si="826"/>
        <v>NA</v>
      </c>
      <c r="CP276" s="382"/>
      <c r="CQ276" s="385"/>
      <c r="CR276" s="382"/>
      <c r="CS276" s="385"/>
      <c r="CT276" s="567">
        <f t="shared" si="827"/>
        <v>0</v>
      </c>
      <c r="CU276" s="382"/>
      <c r="CV276" s="385"/>
      <c r="CW276" s="567">
        <f t="shared" si="828"/>
        <v>0</v>
      </c>
      <c r="CX276" s="382"/>
      <c r="CY276" s="385"/>
      <c r="CZ276" s="567">
        <f t="shared" si="829"/>
        <v>0</v>
      </c>
      <c r="DA276" s="382"/>
      <c r="DB276" s="385"/>
      <c r="DC276" s="567">
        <f t="shared" si="830"/>
        <v>0</v>
      </c>
      <c r="DD276" s="382"/>
      <c r="DE276" s="385"/>
      <c r="DF276" s="567">
        <f t="shared" si="831"/>
        <v>0</v>
      </c>
      <c r="DG276" s="382"/>
      <c r="DH276" s="385"/>
      <c r="DI276" s="567">
        <f t="shared" si="832"/>
        <v>0</v>
      </c>
      <c r="DJ276" s="382"/>
      <c r="DK276" s="385"/>
      <c r="DL276" s="567">
        <f t="shared" si="833"/>
        <v>0</v>
      </c>
      <c r="DM276" s="382"/>
      <c r="DN276" s="385"/>
      <c r="DO276" s="567">
        <f t="shared" si="834"/>
        <v>0</v>
      </c>
      <c r="DP276" s="382"/>
      <c r="DQ276" s="385"/>
      <c r="DR276" s="567">
        <f t="shared" si="835"/>
        <v>0</v>
      </c>
      <c r="DS276" s="382"/>
      <c r="DT276" s="385"/>
      <c r="DU276" s="567">
        <f t="shared" si="836"/>
        <v>0</v>
      </c>
      <c r="DV276" s="382"/>
      <c r="DW276" s="385"/>
      <c r="DX276" s="567">
        <f t="shared" si="837"/>
        <v>0</v>
      </c>
      <c r="DY276" s="382"/>
      <c r="DZ276" s="385"/>
      <c r="EA276" s="568">
        <f t="shared" si="838"/>
        <v>0</v>
      </c>
      <c r="EB276" s="170"/>
      <c r="EC276" s="170"/>
      <c r="ED276" s="170"/>
      <c r="EE276" s="170"/>
      <c r="EF276" s="170"/>
      <c r="EG276" s="170"/>
      <c r="EH276" s="170"/>
      <c r="EI276" s="170"/>
      <c r="EJ276" s="170"/>
      <c r="EK276" s="170"/>
    </row>
    <row r="277" spans="1:141" ht="15" x14ac:dyDescent="0.25">
      <c r="A277" s="557"/>
      <c r="B277" s="472"/>
      <c r="C277" s="472"/>
      <c r="D277" s="472"/>
      <c r="E277" s="564">
        <v>61</v>
      </c>
      <c r="F277" s="170"/>
      <c r="G277" s="1339" t="str">
        <f>VLOOKUP(E277,Parameters!$D$159:$E$301,2)</f>
        <v>NA</v>
      </c>
      <c r="H277" s="1287"/>
      <c r="I277" s="1289"/>
      <c r="J277" s="1287"/>
      <c r="K277" s="1289"/>
      <c r="L277" s="1369">
        <f t="shared" si="801"/>
        <v>0</v>
      </c>
      <c r="M277" s="1287"/>
      <c r="N277" s="1289"/>
      <c r="O277" s="1369">
        <f t="shared" si="802"/>
        <v>0</v>
      </c>
      <c r="P277" s="1287"/>
      <c r="Q277" s="1289"/>
      <c r="R277" s="1369">
        <f t="shared" si="803"/>
        <v>0</v>
      </c>
      <c r="S277" s="1287"/>
      <c r="T277" s="1289"/>
      <c r="U277" s="1369">
        <f t="shared" si="804"/>
        <v>0</v>
      </c>
      <c r="V277" s="1287"/>
      <c r="W277" s="1289"/>
      <c r="X277" s="1369">
        <f t="shared" si="805"/>
        <v>0</v>
      </c>
      <c r="Y277" s="1287"/>
      <c r="Z277" s="1289"/>
      <c r="AA277" s="1369">
        <f t="shared" si="806"/>
        <v>0</v>
      </c>
      <c r="AB277" s="1287"/>
      <c r="AC277" s="1289"/>
      <c r="AD277" s="1369">
        <f t="shared" si="807"/>
        <v>0</v>
      </c>
      <c r="AE277" s="1287"/>
      <c r="AF277" s="1289"/>
      <c r="AG277" s="1369">
        <f t="shared" si="808"/>
        <v>0</v>
      </c>
      <c r="AH277" s="1287"/>
      <c r="AI277" s="1289"/>
      <c r="AJ277" s="1369">
        <f t="shared" si="809"/>
        <v>0</v>
      </c>
      <c r="AK277" s="1287"/>
      <c r="AL277" s="1289"/>
      <c r="AM277" s="1369">
        <f t="shared" si="810"/>
        <v>0</v>
      </c>
      <c r="AN277" s="1287"/>
      <c r="AO277" s="1289"/>
      <c r="AP277" s="1369">
        <f t="shared" si="811"/>
        <v>0</v>
      </c>
      <c r="AQ277" s="1287"/>
      <c r="AR277" s="1289"/>
      <c r="AS277" s="1369">
        <f t="shared" si="812"/>
        <v>0</v>
      </c>
      <c r="AT277" s="1287"/>
      <c r="AU277" s="411"/>
      <c r="AV277" s="170"/>
      <c r="AW277" s="170"/>
      <c r="AX277" s="170"/>
      <c r="AY277" s="561" t="str">
        <f t="shared" si="813"/>
        <v>NA</v>
      </c>
      <c r="AZ277" s="561"/>
      <c r="BA277" s="562"/>
      <c r="BB277" s="170"/>
      <c r="BC277" s="562"/>
      <c r="BD277" s="566">
        <f t="shared" si="814"/>
        <v>0</v>
      </c>
      <c r="BE277" s="170"/>
      <c r="BF277" s="1477"/>
      <c r="BG277" s="566">
        <f t="shared" si="815"/>
        <v>0</v>
      </c>
      <c r="BH277" s="170"/>
      <c r="BI277" s="1477"/>
      <c r="BJ277" s="566">
        <f t="shared" si="816"/>
        <v>0</v>
      </c>
      <c r="BK277" s="561"/>
      <c r="BL277" s="1477"/>
      <c r="BM277" s="566">
        <f t="shared" si="817"/>
        <v>0</v>
      </c>
      <c r="BN277" s="170"/>
      <c r="BO277" s="1477"/>
      <c r="BP277" s="566">
        <f t="shared" si="818"/>
        <v>0</v>
      </c>
      <c r="BQ277" s="170"/>
      <c r="BR277" s="1477"/>
      <c r="BS277" s="566">
        <f t="shared" si="819"/>
        <v>0</v>
      </c>
      <c r="BT277" s="170"/>
      <c r="BU277" s="1477"/>
      <c r="BV277" s="566">
        <f t="shared" si="820"/>
        <v>0</v>
      </c>
      <c r="BW277" s="170"/>
      <c r="BX277" s="1477"/>
      <c r="BY277" s="566">
        <f t="shared" si="821"/>
        <v>0</v>
      </c>
      <c r="BZ277" s="170"/>
      <c r="CA277" s="1477"/>
      <c r="CB277" s="566">
        <f t="shared" si="822"/>
        <v>0</v>
      </c>
      <c r="CC277" s="170"/>
      <c r="CD277" s="1477"/>
      <c r="CE277" s="566">
        <f t="shared" si="823"/>
        <v>0</v>
      </c>
      <c r="CF277" s="170"/>
      <c r="CG277" s="1477"/>
      <c r="CH277" s="566">
        <f t="shared" si="824"/>
        <v>0</v>
      </c>
      <c r="CI277" s="170"/>
      <c r="CJ277" s="562"/>
      <c r="CK277" s="566">
        <f t="shared" si="825"/>
        <v>0</v>
      </c>
      <c r="CL277" s="566"/>
      <c r="CM277" s="170"/>
      <c r="CN277" s="170"/>
      <c r="CO277" s="382" t="str">
        <f t="shared" si="826"/>
        <v>NA</v>
      </c>
      <c r="CP277" s="382"/>
      <c r="CQ277" s="385"/>
      <c r="CR277" s="382"/>
      <c r="CS277" s="385"/>
      <c r="CT277" s="567">
        <f t="shared" si="827"/>
        <v>0</v>
      </c>
      <c r="CU277" s="382"/>
      <c r="CV277" s="385"/>
      <c r="CW277" s="567">
        <f t="shared" si="828"/>
        <v>0</v>
      </c>
      <c r="CX277" s="382"/>
      <c r="CY277" s="385"/>
      <c r="CZ277" s="567">
        <f t="shared" si="829"/>
        <v>0</v>
      </c>
      <c r="DA277" s="382"/>
      <c r="DB277" s="385"/>
      <c r="DC277" s="567">
        <f t="shared" si="830"/>
        <v>0</v>
      </c>
      <c r="DD277" s="382"/>
      <c r="DE277" s="385"/>
      <c r="DF277" s="567">
        <f t="shared" si="831"/>
        <v>0</v>
      </c>
      <c r="DG277" s="382"/>
      <c r="DH277" s="385"/>
      <c r="DI277" s="567">
        <f t="shared" si="832"/>
        <v>0</v>
      </c>
      <c r="DJ277" s="382"/>
      <c r="DK277" s="385"/>
      <c r="DL277" s="567">
        <f t="shared" si="833"/>
        <v>0</v>
      </c>
      <c r="DM277" s="382"/>
      <c r="DN277" s="385"/>
      <c r="DO277" s="567">
        <f t="shared" si="834"/>
        <v>0</v>
      </c>
      <c r="DP277" s="382"/>
      <c r="DQ277" s="385"/>
      <c r="DR277" s="567">
        <f t="shared" si="835"/>
        <v>0</v>
      </c>
      <c r="DS277" s="382"/>
      <c r="DT277" s="385"/>
      <c r="DU277" s="567">
        <f t="shared" si="836"/>
        <v>0</v>
      </c>
      <c r="DV277" s="382"/>
      <c r="DW277" s="385"/>
      <c r="DX277" s="567">
        <f t="shared" si="837"/>
        <v>0</v>
      </c>
      <c r="DY277" s="382"/>
      <c r="DZ277" s="385"/>
      <c r="EA277" s="568">
        <f t="shared" si="838"/>
        <v>0</v>
      </c>
      <c r="EB277" s="170"/>
      <c r="EC277" s="170"/>
      <c r="ED277" s="170"/>
      <c r="EE277" s="170"/>
      <c r="EF277" s="170"/>
      <c r="EG277" s="170"/>
      <c r="EH277" s="170"/>
      <c r="EI277" s="170"/>
      <c r="EJ277" s="170"/>
      <c r="EK277" s="170"/>
    </row>
    <row r="278" spans="1:141" ht="15" x14ac:dyDescent="0.25">
      <c r="A278" s="557"/>
      <c r="B278" s="472"/>
      <c r="C278" s="472"/>
      <c r="D278" s="472"/>
      <c r="E278" s="170"/>
      <c r="F278" s="170"/>
      <c r="G278" s="1287"/>
      <c r="H278" s="1287"/>
      <c r="I278" s="1289"/>
      <c r="J278" s="1287"/>
      <c r="K278" s="1289"/>
      <c r="L278" s="1287"/>
      <c r="M278" s="1287"/>
      <c r="N278" s="1289"/>
      <c r="O278" s="1287"/>
      <c r="P278" s="1287"/>
      <c r="Q278" s="1289"/>
      <c r="R278" s="1287"/>
      <c r="S278" s="1287"/>
      <c r="T278" s="1289"/>
      <c r="U278" s="1287"/>
      <c r="V278" s="1287"/>
      <c r="W278" s="1289"/>
      <c r="X278" s="1287"/>
      <c r="Y278" s="1287"/>
      <c r="Z278" s="1289"/>
      <c r="AA278" s="1287"/>
      <c r="AB278" s="1287"/>
      <c r="AC278" s="1289"/>
      <c r="AD278" s="1287"/>
      <c r="AE278" s="1287"/>
      <c r="AF278" s="1289"/>
      <c r="AG278" s="1287"/>
      <c r="AH278" s="1287"/>
      <c r="AI278" s="1289"/>
      <c r="AJ278" s="1287"/>
      <c r="AK278" s="1287"/>
      <c r="AL278" s="1289"/>
      <c r="AM278" s="1287"/>
      <c r="AN278" s="1287"/>
      <c r="AO278" s="1289"/>
      <c r="AP278" s="1287"/>
      <c r="AQ278" s="1287"/>
      <c r="AR278" s="1289"/>
      <c r="AS278" s="1287"/>
      <c r="AT278" s="1287"/>
      <c r="AU278" s="411"/>
      <c r="AV278" s="170"/>
      <c r="AW278" s="170"/>
      <c r="AX278" s="170"/>
      <c r="AY278" s="561"/>
      <c r="AZ278" s="561"/>
      <c r="BA278" s="562"/>
      <c r="BB278" s="170"/>
      <c r="BC278" s="562"/>
      <c r="BD278" s="561"/>
      <c r="BE278" s="170"/>
      <c r="BF278" s="1477"/>
      <c r="BG278" s="561"/>
      <c r="BH278" s="170"/>
      <c r="BI278" s="1477"/>
      <c r="BJ278" s="561"/>
      <c r="BK278" s="561"/>
      <c r="BL278" s="1477"/>
      <c r="BM278" s="561"/>
      <c r="BN278" s="170"/>
      <c r="BO278" s="1477"/>
      <c r="BP278" s="561"/>
      <c r="BQ278" s="170"/>
      <c r="BR278" s="1477"/>
      <c r="BS278" s="561"/>
      <c r="BT278" s="170"/>
      <c r="BU278" s="1477"/>
      <c r="BV278" s="561"/>
      <c r="BW278" s="170"/>
      <c r="BX278" s="1477"/>
      <c r="BY278" s="561"/>
      <c r="BZ278" s="170"/>
      <c r="CA278" s="1477"/>
      <c r="CB278" s="561"/>
      <c r="CC278" s="170"/>
      <c r="CD278" s="1477"/>
      <c r="CE278" s="561"/>
      <c r="CF278" s="170"/>
      <c r="CG278" s="1477"/>
      <c r="CH278" s="561"/>
      <c r="CI278" s="170"/>
      <c r="CJ278" s="562"/>
      <c r="CK278" s="561"/>
      <c r="CL278" s="561"/>
      <c r="CM278" s="170"/>
      <c r="CN278" s="170"/>
      <c r="CO278" s="382"/>
      <c r="CP278" s="382"/>
      <c r="CQ278" s="385"/>
      <c r="CR278" s="382"/>
      <c r="CS278" s="385"/>
      <c r="CT278" s="382"/>
      <c r="CU278" s="382"/>
      <c r="CV278" s="385"/>
      <c r="CW278" s="382"/>
      <c r="CX278" s="382"/>
      <c r="CY278" s="385"/>
      <c r="CZ278" s="382"/>
      <c r="DA278" s="382"/>
      <c r="DB278" s="385"/>
      <c r="DC278" s="382"/>
      <c r="DD278" s="382"/>
      <c r="DE278" s="385"/>
      <c r="DF278" s="382"/>
      <c r="DG278" s="382"/>
      <c r="DH278" s="385"/>
      <c r="DI278" s="382"/>
      <c r="DJ278" s="382"/>
      <c r="DK278" s="385"/>
      <c r="DL278" s="382"/>
      <c r="DM278" s="382"/>
      <c r="DN278" s="385"/>
      <c r="DO278" s="382"/>
      <c r="DP278" s="382"/>
      <c r="DQ278" s="385"/>
      <c r="DR278" s="382"/>
      <c r="DS278" s="382"/>
      <c r="DT278" s="385"/>
      <c r="DU278" s="382"/>
      <c r="DV278" s="382"/>
      <c r="DW278" s="385"/>
      <c r="DX278" s="382"/>
      <c r="DY278" s="382"/>
      <c r="DZ278" s="385"/>
      <c r="EA278" s="563"/>
      <c r="EB278" s="170"/>
      <c r="EC278" s="170"/>
      <c r="ED278" s="170"/>
      <c r="EE278" s="170"/>
      <c r="EF278" s="170"/>
      <c r="EG278" s="170"/>
      <c r="EH278" s="170"/>
      <c r="EI278" s="170"/>
      <c r="EJ278" s="170"/>
      <c r="EK278" s="170"/>
    </row>
    <row r="279" spans="1:141" ht="18.75" thickBot="1" x14ac:dyDescent="0.3">
      <c r="A279" s="557"/>
      <c r="B279" s="472"/>
      <c r="C279" s="472"/>
      <c r="D279" s="472"/>
      <c r="E279" s="170"/>
      <c r="F279" s="524"/>
      <c r="G279" s="1782" t="s">
        <v>378</v>
      </c>
      <c r="H279" s="1360"/>
      <c r="I279" s="1310"/>
      <c r="J279" s="1690"/>
      <c r="K279" s="1361"/>
      <c r="L279" s="1362">
        <f>SUM(L217:L278)</f>
        <v>375891.79</v>
      </c>
      <c r="M279" s="1690"/>
      <c r="N279" s="1361"/>
      <c r="O279" s="1362">
        <f ca="1">SUM(O217:O278)</f>
        <v>5029</v>
      </c>
      <c r="P279" s="1690"/>
      <c r="Q279" s="1361"/>
      <c r="R279" s="1362">
        <f ca="1">SUM(R217:R278)</f>
        <v>34984</v>
      </c>
      <c r="S279" s="1690"/>
      <c r="T279" s="1361"/>
      <c r="U279" s="1362">
        <f ca="1">SUM(U217:U278)</f>
        <v>14337401.959716547</v>
      </c>
      <c r="V279" s="1690"/>
      <c r="W279" s="1361"/>
      <c r="X279" s="1362">
        <f ca="1">SUM(X217:X278)</f>
        <v>23439681.999482945</v>
      </c>
      <c r="Y279" s="1690"/>
      <c r="Z279" s="1361"/>
      <c r="AA279" s="1362">
        <f ca="1">SUM(AA217:AA278)</f>
        <v>7903371.1926781684</v>
      </c>
      <c r="AB279" s="1690"/>
      <c r="AC279" s="1361"/>
      <c r="AD279" s="1362">
        <f ca="1">SUM(AD217:AD278)</f>
        <v>0</v>
      </c>
      <c r="AE279" s="1690"/>
      <c r="AF279" s="1361"/>
      <c r="AG279" s="1362">
        <f ca="1">SUM(AG217:AG278)</f>
        <v>0</v>
      </c>
      <c r="AH279" s="1690"/>
      <c r="AI279" s="1361"/>
      <c r="AJ279" s="1362">
        <f ca="1">SUM(AJ217:AJ278)</f>
        <v>0</v>
      </c>
      <c r="AK279" s="1690"/>
      <c r="AL279" s="1361"/>
      <c r="AM279" s="1362">
        <f ca="1">SUM(AM217:AM278)</f>
        <v>0</v>
      </c>
      <c r="AN279" s="1690"/>
      <c r="AO279" s="1361"/>
      <c r="AP279" s="1362">
        <f ca="1">SUM(AP217:AP278)</f>
        <v>0</v>
      </c>
      <c r="AQ279" s="1690"/>
      <c r="AR279" s="1361"/>
      <c r="AS279" s="1362">
        <f ca="1">SUM(AS217:AS278)</f>
        <v>46096359.941877671</v>
      </c>
      <c r="AT279" s="1690"/>
      <c r="AU279" s="411"/>
      <c r="AV279" s="170"/>
      <c r="AW279" s="523"/>
      <c r="AX279" s="524"/>
      <c r="AY279" s="536" t="str">
        <f>+G279</f>
        <v>Total costs by WBS</v>
      </c>
      <c r="AZ279" s="535"/>
      <c r="BA279" s="536"/>
      <c r="BB279" s="1637"/>
      <c r="BC279" s="1642"/>
      <c r="BD279" s="537">
        <f>SUM(BD217:BD278)</f>
        <v>375891.79</v>
      </c>
      <c r="BE279" s="1637"/>
      <c r="BF279" s="1653"/>
      <c r="BG279" s="537">
        <f ca="1">SUM(BG217:BG278)</f>
        <v>5028.8899999999994</v>
      </c>
      <c r="BH279" s="1637"/>
      <c r="BI279" s="1653"/>
      <c r="BJ279" s="537">
        <f ca="1">SUM(BJ217:BJ278)</f>
        <v>34601</v>
      </c>
      <c r="BK279" s="1676"/>
      <c r="BL279" s="1653"/>
      <c r="BM279" s="537">
        <f ca="1">SUM(BM217:BM278)</f>
        <v>13568278.435116548</v>
      </c>
      <c r="BN279" s="1637"/>
      <c r="BO279" s="1653"/>
      <c r="BP279" s="537">
        <f ca="1">SUM(BP217:BP278)</f>
        <v>21570279.065306548</v>
      </c>
      <c r="BQ279" s="1637"/>
      <c r="BR279" s="1653"/>
      <c r="BS279" s="537">
        <f ca="1">SUM(BS217:BS278)</f>
        <v>7120468.8320000004</v>
      </c>
      <c r="BT279" s="1637"/>
      <c r="BU279" s="1653"/>
      <c r="BV279" s="537">
        <f ca="1">SUM(BV217:BV278)</f>
        <v>0</v>
      </c>
      <c r="BW279" s="1637"/>
      <c r="BX279" s="1653"/>
      <c r="BY279" s="537">
        <f ca="1">SUM(BY217:BY278)</f>
        <v>0</v>
      </c>
      <c r="BZ279" s="1637"/>
      <c r="CA279" s="1653"/>
      <c r="CB279" s="537">
        <f ca="1">SUM(CB217:CB278)</f>
        <v>0</v>
      </c>
      <c r="CC279" s="1637"/>
      <c r="CD279" s="1653"/>
      <c r="CE279" s="537">
        <f ca="1">SUM(CE217:CE278)</f>
        <v>0</v>
      </c>
      <c r="CF279" s="1637"/>
      <c r="CG279" s="1653"/>
      <c r="CH279" s="537">
        <f ca="1">SUM(CH217:CH278)</f>
        <v>0</v>
      </c>
      <c r="CI279" s="1637"/>
      <c r="CJ279" s="1642"/>
      <c r="CK279" s="537">
        <f ca="1">SUM(CK217:CK278)</f>
        <v>42674548.012423091</v>
      </c>
      <c r="CL279" s="569"/>
      <c r="CM279" s="170"/>
      <c r="CN279" s="524"/>
      <c r="CO279" s="540" t="s">
        <v>379</v>
      </c>
      <c r="CP279" s="539"/>
      <c r="CQ279" s="540"/>
      <c r="CR279" s="1710"/>
      <c r="CS279" s="1698"/>
      <c r="CT279" s="541">
        <f>SUM(CT217:CT278)</f>
        <v>0</v>
      </c>
      <c r="CU279" s="1710"/>
      <c r="CV279" s="1698"/>
      <c r="CW279" s="541">
        <f ca="1">SUM(CW217:CW278)</f>
        <v>0.11000000000012733</v>
      </c>
      <c r="CX279" s="1710"/>
      <c r="CY279" s="1698"/>
      <c r="CZ279" s="541">
        <f ca="1">SUM(CZ217:CZ278)</f>
        <v>383</v>
      </c>
      <c r="DA279" s="1710"/>
      <c r="DB279" s="1698"/>
      <c r="DC279" s="541">
        <f ca="1">SUM(DC217:DC278)</f>
        <v>769123.52459999954</v>
      </c>
      <c r="DD279" s="1710"/>
      <c r="DE279" s="1698"/>
      <c r="DF279" s="541">
        <f ca="1">SUM(DF217:DF278)</f>
        <v>1869402.9341764005</v>
      </c>
      <c r="DG279" s="1710"/>
      <c r="DH279" s="1698"/>
      <c r="DI279" s="541">
        <f ca="1">SUM(DI217:DI278)</f>
        <v>782902.36067816825</v>
      </c>
      <c r="DJ279" s="1710"/>
      <c r="DK279" s="1698"/>
      <c r="DL279" s="541">
        <f ca="1">SUM(DL217:DL278)</f>
        <v>0</v>
      </c>
      <c r="DM279" s="1710"/>
      <c r="DN279" s="1698"/>
      <c r="DO279" s="541">
        <f ca="1">SUM(DO217:DO278)</f>
        <v>0</v>
      </c>
      <c r="DP279" s="1710"/>
      <c r="DQ279" s="1698"/>
      <c r="DR279" s="541">
        <f ca="1">SUM(DR217:DR278)</f>
        <v>0</v>
      </c>
      <c r="DS279" s="1710"/>
      <c r="DT279" s="1698"/>
      <c r="DU279" s="541">
        <f ca="1">SUM(DU217:DU278)</f>
        <v>0</v>
      </c>
      <c r="DV279" s="1710"/>
      <c r="DW279" s="1698"/>
      <c r="DX279" s="541">
        <f ca="1">SUM(DX217:DX278)</f>
        <v>0</v>
      </c>
      <c r="DY279" s="1710"/>
      <c r="DZ279" s="1698"/>
      <c r="EA279" s="570">
        <f ca="1">SUM(EA217:EA278)</f>
        <v>3421811.9294545678</v>
      </c>
      <c r="EB279" s="170"/>
      <c r="EC279" s="170"/>
      <c r="ED279" s="170"/>
      <c r="EE279" s="170"/>
      <c r="EF279" s="170"/>
      <c r="EG279" s="170"/>
      <c r="EH279" s="170"/>
      <c r="EI279" s="170"/>
      <c r="EJ279" s="170"/>
      <c r="EK279" s="170"/>
    </row>
    <row r="280" spans="1:141" ht="15.75" thickBot="1" x14ac:dyDescent="0.3">
      <c r="A280" s="557"/>
      <c r="B280" s="472"/>
      <c r="C280" s="472"/>
      <c r="D280" s="472"/>
      <c r="E280" s="170"/>
      <c r="F280" s="1275"/>
      <c r="G280" s="1287"/>
      <c r="H280" s="1287"/>
      <c r="I280" s="1289"/>
      <c r="J280" s="1692"/>
      <c r="K280" s="1323"/>
      <c r="L280" s="1370"/>
      <c r="M280" s="1692"/>
      <c r="N280" s="1323"/>
      <c r="O280" s="1323"/>
      <c r="P280" s="1692"/>
      <c r="Q280" s="1323"/>
      <c r="R280" s="1370"/>
      <c r="S280" s="1692"/>
      <c r="T280" s="1323"/>
      <c r="U280" s="1370"/>
      <c r="V280" s="1692"/>
      <c r="W280" s="1323"/>
      <c r="X280" s="1370"/>
      <c r="Y280" s="1692"/>
      <c r="Z280" s="1323"/>
      <c r="AA280" s="1370"/>
      <c r="AB280" s="1692"/>
      <c r="AC280" s="1323"/>
      <c r="AD280" s="1370"/>
      <c r="AE280" s="1692"/>
      <c r="AF280" s="1323"/>
      <c r="AG280" s="1370"/>
      <c r="AH280" s="1692"/>
      <c r="AI280" s="1323"/>
      <c r="AJ280" s="1370"/>
      <c r="AK280" s="1692"/>
      <c r="AL280" s="1323"/>
      <c r="AM280" s="1370"/>
      <c r="AN280" s="1692"/>
      <c r="AO280" s="1323"/>
      <c r="AP280" s="1370"/>
      <c r="AQ280" s="1692"/>
      <c r="AR280" s="1323"/>
      <c r="AS280" s="1370"/>
      <c r="AT280" s="1692"/>
      <c r="AU280" s="411"/>
      <c r="AV280" s="170"/>
      <c r="AW280" s="411"/>
      <c r="AX280" s="1275"/>
      <c r="AY280" s="379"/>
      <c r="AZ280" s="379"/>
      <c r="BA280" s="381"/>
      <c r="BB280" s="1641"/>
      <c r="BC280" s="458"/>
      <c r="BD280" s="571"/>
      <c r="BE280" s="1641"/>
      <c r="BF280" s="1467"/>
      <c r="BG280" s="458"/>
      <c r="BH280" s="1641"/>
      <c r="BI280" s="1467"/>
      <c r="BJ280" s="571"/>
      <c r="BK280" s="1677"/>
      <c r="BL280" s="1467"/>
      <c r="BM280" s="571"/>
      <c r="BN280" s="1641"/>
      <c r="BO280" s="1467"/>
      <c r="BP280" s="571"/>
      <c r="BQ280" s="1641"/>
      <c r="BR280" s="1467"/>
      <c r="BS280" s="571"/>
      <c r="BT280" s="1641"/>
      <c r="BU280" s="1467"/>
      <c r="BV280" s="571"/>
      <c r="BW280" s="1641"/>
      <c r="BX280" s="1467"/>
      <c r="BY280" s="571"/>
      <c r="BZ280" s="1641"/>
      <c r="CA280" s="1467"/>
      <c r="CB280" s="571"/>
      <c r="CC280" s="1641"/>
      <c r="CD280" s="1467"/>
      <c r="CE280" s="571"/>
      <c r="CF280" s="1641"/>
      <c r="CG280" s="1467"/>
      <c r="CH280" s="571"/>
      <c r="CI280" s="1641"/>
      <c r="CJ280" s="458"/>
      <c r="CK280" s="571"/>
      <c r="CL280" s="571"/>
      <c r="CM280" s="170"/>
      <c r="CN280" s="1275"/>
      <c r="CO280" s="382"/>
      <c r="CP280" s="382"/>
      <c r="CQ280" s="385"/>
      <c r="CR280" s="1712"/>
      <c r="CS280" s="435"/>
      <c r="CT280" s="572"/>
      <c r="CU280" s="1712"/>
      <c r="CV280" s="435"/>
      <c r="CW280" s="435"/>
      <c r="CX280" s="1712"/>
      <c r="CY280" s="435"/>
      <c r="CZ280" s="572"/>
      <c r="DA280" s="1712"/>
      <c r="DB280" s="435"/>
      <c r="DC280" s="572"/>
      <c r="DD280" s="1712"/>
      <c r="DE280" s="435"/>
      <c r="DF280" s="572"/>
      <c r="DG280" s="1712"/>
      <c r="DH280" s="435"/>
      <c r="DI280" s="572"/>
      <c r="DJ280" s="1712"/>
      <c r="DK280" s="435"/>
      <c r="DL280" s="572"/>
      <c r="DM280" s="1712"/>
      <c r="DN280" s="435"/>
      <c r="DO280" s="572"/>
      <c r="DP280" s="1712"/>
      <c r="DQ280" s="435"/>
      <c r="DR280" s="572"/>
      <c r="DS280" s="1712"/>
      <c r="DT280" s="435"/>
      <c r="DU280" s="572"/>
      <c r="DV280" s="1712"/>
      <c r="DW280" s="435"/>
      <c r="DX280" s="572"/>
      <c r="DY280" s="1712"/>
      <c r="DZ280" s="435"/>
      <c r="EA280" s="573"/>
      <c r="EB280" s="170"/>
      <c r="EC280" s="170"/>
      <c r="ED280" s="170"/>
      <c r="EE280" s="170"/>
      <c r="EF280" s="170"/>
      <c r="EG280" s="170"/>
      <c r="EH280" s="170"/>
      <c r="EI280" s="170"/>
      <c r="EJ280" s="170"/>
      <c r="EK280" s="170"/>
    </row>
    <row r="281" spans="1:141" ht="15.75" thickBot="1" x14ac:dyDescent="0.3">
      <c r="A281" s="574"/>
      <c r="B281" s="575"/>
      <c r="C281" s="575"/>
      <c r="D281" s="575"/>
      <c r="E281" s="576"/>
      <c r="F281" s="576"/>
      <c r="G281" s="1371" t="s">
        <v>380</v>
      </c>
      <c r="H281" s="1371"/>
      <c r="I281" s="1372"/>
      <c r="J281" s="1371"/>
      <c r="K281" s="1372"/>
      <c r="L281" s="1373">
        <f>+L279-L201</f>
        <v>0</v>
      </c>
      <c r="M281" s="1371"/>
      <c r="N281" s="1372"/>
      <c r="O281" s="1373">
        <f ca="1">+O279-O201</f>
        <v>0</v>
      </c>
      <c r="P281" s="1371"/>
      <c r="Q281" s="1372"/>
      <c r="R281" s="1373">
        <f ca="1">+R279-R201</f>
        <v>0</v>
      </c>
      <c r="S281" s="1371"/>
      <c r="T281" s="1372"/>
      <c r="U281" s="1373">
        <f ca="1">+U279-U201</f>
        <v>0</v>
      </c>
      <c r="V281" s="1371"/>
      <c r="W281" s="1372"/>
      <c r="X281" s="1373">
        <f ca="1">+X279-X201</f>
        <v>0</v>
      </c>
      <c r="Y281" s="1371"/>
      <c r="Z281" s="1372"/>
      <c r="AA281" s="1373">
        <f ca="1">+AA279-AA201</f>
        <v>0</v>
      </c>
      <c r="AB281" s="1371"/>
      <c r="AC281" s="1372"/>
      <c r="AD281" s="1373">
        <f ca="1">+AD279-AD201</f>
        <v>0</v>
      </c>
      <c r="AE281" s="1371"/>
      <c r="AF281" s="1372"/>
      <c r="AG281" s="1373">
        <f ca="1">+AG279-AG201</f>
        <v>0</v>
      </c>
      <c r="AH281" s="1371"/>
      <c r="AI281" s="1372"/>
      <c r="AJ281" s="1373">
        <f ca="1">+AJ279-AJ201</f>
        <v>0</v>
      </c>
      <c r="AK281" s="1371"/>
      <c r="AL281" s="1372"/>
      <c r="AM281" s="1373">
        <f ca="1">+AM279-AM201</f>
        <v>0</v>
      </c>
      <c r="AN281" s="1371"/>
      <c r="AO281" s="1372"/>
      <c r="AP281" s="1373">
        <f ca="1">+AP279-AP201</f>
        <v>0</v>
      </c>
      <c r="AQ281" s="1371"/>
      <c r="AR281" s="1372"/>
      <c r="AS281" s="1373">
        <f ca="1">+AS279-AS201</f>
        <v>0</v>
      </c>
      <c r="AT281" s="1371"/>
      <c r="AU281" s="411"/>
      <c r="AV281" s="576"/>
      <c r="AW281" s="576"/>
      <c r="AX281" s="576"/>
      <c r="AY281" s="578"/>
      <c r="AZ281" s="578"/>
      <c r="BA281" s="579"/>
      <c r="BB281" s="576"/>
      <c r="BC281" s="580">
        <f t="shared" ref="BC281:CK281" si="839">+BC279-BC201</f>
        <v>0</v>
      </c>
      <c r="BD281" s="580">
        <f t="shared" si="839"/>
        <v>0</v>
      </c>
      <c r="BE281" s="1580">
        <f t="shared" si="839"/>
        <v>0</v>
      </c>
      <c r="BF281" s="1478">
        <f t="shared" si="839"/>
        <v>0</v>
      </c>
      <c r="BG281" s="580">
        <f t="shared" ca="1" si="839"/>
        <v>0</v>
      </c>
      <c r="BH281" s="1580">
        <f t="shared" si="839"/>
        <v>0</v>
      </c>
      <c r="BI281" s="1478">
        <f t="shared" si="839"/>
        <v>0</v>
      </c>
      <c r="BJ281" s="580">
        <f t="shared" ca="1" si="839"/>
        <v>0</v>
      </c>
      <c r="BK281" s="580">
        <f t="shared" si="839"/>
        <v>0</v>
      </c>
      <c r="BL281" s="1478">
        <f t="shared" si="839"/>
        <v>0</v>
      </c>
      <c r="BM281" s="580">
        <f t="shared" ca="1" si="839"/>
        <v>0</v>
      </c>
      <c r="BN281" s="1580">
        <f t="shared" si="839"/>
        <v>0</v>
      </c>
      <c r="BO281" s="1478">
        <f t="shared" si="839"/>
        <v>0</v>
      </c>
      <c r="BP281" s="580">
        <f t="shared" ca="1" si="839"/>
        <v>0</v>
      </c>
      <c r="BQ281" s="1580">
        <f t="shared" si="839"/>
        <v>0</v>
      </c>
      <c r="BR281" s="1478">
        <f t="shared" si="839"/>
        <v>0</v>
      </c>
      <c r="BS281" s="580">
        <f t="shared" ca="1" si="839"/>
        <v>0</v>
      </c>
      <c r="BT281" s="1580">
        <f t="shared" si="839"/>
        <v>0</v>
      </c>
      <c r="BU281" s="1478">
        <f t="shared" si="839"/>
        <v>0</v>
      </c>
      <c r="BV281" s="580">
        <f t="shared" ca="1" si="839"/>
        <v>0</v>
      </c>
      <c r="BW281" s="1580">
        <f t="shared" ref="BW281:CH281" si="840">+BW279-BW201</f>
        <v>0</v>
      </c>
      <c r="BX281" s="1478">
        <f t="shared" si="840"/>
        <v>0</v>
      </c>
      <c r="BY281" s="580">
        <f t="shared" ca="1" si="840"/>
        <v>0</v>
      </c>
      <c r="BZ281" s="1580">
        <f t="shared" si="840"/>
        <v>0</v>
      </c>
      <c r="CA281" s="1478">
        <f t="shared" si="840"/>
        <v>0</v>
      </c>
      <c r="CB281" s="580">
        <f t="shared" ca="1" si="840"/>
        <v>0</v>
      </c>
      <c r="CC281" s="1580">
        <f t="shared" si="840"/>
        <v>0</v>
      </c>
      <c r="CD281" s="1478">
        <f t="shared" si="840"/>
        <v>0</v>
      </c>
      <c r="CE281" s="580">
        <f t="shared" ca="1" si="840"/>
        <v>0</v>
      </c>
      <c r="CF281" s="1580">
        <f t="shared" si="840"/>
        <v>0</v>
      </c>
      <c r="CG281" s="1478">
        <f t="shared" si="840"/>
        <v>0</v>
      </c>
      <c r="CH281" s="580">
        <f t="shared" ca="1" si="840"/>
        <v>0</v>
      </c>
      <c r="CI281" s="1580">
        <f t="shared" si="839"/>
        <v>0</v>
      </c>
      <c r="CJ281" s="580">
        <f t="shared" si="839"/>
        <v>0</v>
      </c>
      <c r="CK281" s="580">
        <f t="shared" ca="1" si="839"/>
        <v>0</v>
      </c>
      <c r="CL281" s="580"/>
      <c r="CM281" s="170"/>
      <c r="CN281" s="576"/>
      <c r="CO281" s="581"/>
      <c r="CP281" s="581">
        <f t="shared" ref="CP281:EA281" si="841">+CP279-CP201</f>
        <v>0</v>
      </c>
      <c r="CQ281" s="581">
        <f t="shared" si="841"/>
        <v>0</v>
      </c>
      <c r="CR281" s="581">
        <f t="shared" si="841"/>
        <v>0</v>
      </c>
      <c r="CS281" s="581">
        <f t="shared" si="841"/>
        <v>0</v>
      </c>
      <c r="CT281" s="581">
        <f t="shared" si="841"/>
        <v>0</v>
      </c>
      <c r="CU281" s="581">
        <f t="shared" si="841"/>
        <v>0</v>
      </c>
      <c r="CV281" s="581">
        <f t="shared" si="841"/>
        <v>0</v>
      </c>
      <c r="CW281" s="581">
        <f t="shared" ca="1" si="841"/>
        <v>0</v>
      </c>
      <c r="CX281" s="581">
        <f t="shared" si="841"/>
        <v>0</v>
      </c>
      <c r="CY281" s="581">
        <f t="shared" si="841"/>
        <v>0</v>
      </c>
      <c r="CZ281" s="581">
        <f t="shared" ca="1" si="841"/>
        <v>0</v>
      </c>
      <c r="DA281" s="581">
        <f t="shared" si="841"/>
        <v>0</v>
      </c>
      <c r="DB281" s="581">
        <f t="shared" si="841"/>
        <v>0</v>
      </c>
      <c r="DC281" s="581">
        <f t="shared" ca="1" si="841"/>
        <v>0</v>
      </c>
      <c r="DD281" s="581">
        <f t="shared" si="841"/>
        <v>0</v>
      </c>
      <c r="DE281" s="581">
        <f t="shared" si="841"/>
        <v>0</v>
      </c>
      <c r="DF281" s="581">
        <f t="shared" ca="1" si="841"/>
        <v>0</v>
      </c>
      <c r="DG281" s="581">
        <f t="shared" si="841"/>
        <v>0</v>
      </c>
      <c r="DH281" s="581">
        <f t="shared" si="841"/>
        <v>0</v>
      </c>
      <c r="DI281" s="581">
        <f t="shared" ca="1" si="841"/>
        <v>0</v>
      </c>
      <c r="DJ281" s="581">
        <f t="shared" si="841"/>
        <v>0</v>
      </c>
      <c r="DK281" s="581">
        <f t="shared" si="841"/>
        <v>0</v>
      </c>
      <c r="DL281" s="581">
        <f t="shared" ca="1" si="841"/>
        <v>0</v>
      </c>
      <c r="DM281" s="581">
        <f t="shared" ref="DM281:DX281" si="842">+DM279-DM201</f>
        <v>0</v>
      </c>
      <c r="DN281" s="581">
        <f t="shared" si="842"/>
        <v>0</v>
      </c>
      <c r="DO281" s="581">
        <f t="shared" ca="1" si="842"/>
        <v>0</v>
      </c>
      <c r="DP281" s="581">
        <f t="shared" si="842"/>
        <v>0</v>
      </c>
      <c r="DQ281" s="581">
        <f t="shared" si="842"/>
        <v>0</v>
      </c>
      <c r="DR281" s="581">
        <f t="shared" ca="1" si="842"/>
        <v>0</v>
      </c>
      <c r="DS281" s="581">
        <f t="shared" si="842"/>
        <v>0</v>
      </c>
      <c r="DT281" s="581">
        <f t="shared" si="842"/>
        <v>0</v>
      </c>
      <c r="DU281" s="581">
        <f t="shared" ca="1" si="842"/>
        <v>0</v>
      </c>
      <c r="DV281" s="581">
        <f t="shared" si="842"/>
        <v>0</v>
      </c>
      <c r="DW281" s="581">
        <f t="shared" si="842"/>
        <v>0</v>
      </c>
      <c r="DX281" s="581">
        <f t="shared" ca="1" si="842"/>
        <v>0</v>
      </c>
      <c r="DY281" s="581">
        <f t="shared" si="841"/>
        <v>0</v>
      </c>
      <c r="DZ281" s="581">
        <f t="shared" si="841"/>
        <v>0</v>
      </c>
      <c r="EA281" s="582">
        <f t="shared" ca="1" si="841"/>
        <v>0</v>
      </c>
      <c r="EB281" s="170"/>
      <c r="EC281" s="170"/>
      <c r="ED281" s="170"/>
      <c r="EE281" s="170"/>
      <c r="EF281" s="170"/>
      <c r="EG281" s="170"/>
      <c r="EH281" s="170"/>
      <c r="EI281" s="170"/>
      <c r="EJ281" s="170"/>
      <c r="EK281" s="170"/>
    </row>
    <row r="282" spans="1:141" ht="15.75" thickTop="1" x14ac:dyDescent="0.25">
      <c r="A282" s="170"/>
      <c r="B282" s="472"/>
      <c r="C282" s="472"/>
      <c r="D282" s="472"/>
      <c r="E282" s="170"/>
      <c r="F282" s="170"/>
      <c r="G282" s="1287"/>
      <c r="H282" s="1287"/>
      <c r="I282" s="1289"/>
      <c r="J282" s="1287"/>
      <c r="K282" s="1289"/>
      <c r="L282" s="1287"/>
      <c r="M282" s="1287"/>
      <c r="N282" s="1289"/>
      <c r="O282" s="1289"/>
      <c r="P282" s="1287"/>
      <c r="Q282" s="1289"/>
      <c r="R282" s="1287"/>
      <c r="S282" s="1287"/>
      <c r="T282" s="1289"/>
      <c r="U282" s="1287"/>
      <c r="V282" s="1287"/>
      <c r="W282" s="1289"/>
      <c r="X282" s="1287"/>
      <c r="Y282" s="1287"/>
      <c r="Z282" s="1289"/>
      <c r="AA282" s="1287"/>
      <c r="AB282" s="1287"/>
      <c r="AC282" s="1289"/>
      <c r="AD282" s="1287"/>
      <c r="AE282" s="1287"/>
      <c r="AF282" s="1289"/>
      <c r="AG282" s="1287"/>
      <c r="AH282" s="1287"/>
      <c r="AI282" s="1289"/>
      <c r="AJ282" s="1287"/>
      <c r="AK282" s="1287"/>
      <c r="AL282" s="1289"/>
      <c r="AM282" s="1287"/>
      <c r="AN282" s="1287"/>
      <c r="AO282" s="1289"/>
      <c r="AP282" s="1287"/>
      <c r="AQ282" s="1287"/>
      <c r="AR282" s="1289"/>
      <c r="AS282" s="1287"/>
      <c r="AT282" s="1287"/>
      <c r="AU282" s="411"/>
      <c r="AV282" s="170"/>
      <c r="AW282" s="170"/>
      <c r="AX282" s="170"/>
      <c r="AY282" s="170"/>
      <c r="AZ282" s="170"/>
      <c r="BA282" s="376"/>
      <c r="BB282" s="170"/>
      <c r="BC282" s="376"/>
      <c r="BD282" s="170"/>
      <c r="BE282" s="170"/>
      <c r="BF282" s="472"/>
      <c r="BG282" s="170"/>
      <c r="BH282" s="170"/>
      <c r="BI282" s="472"/>
      <c r="BJ282" s="170"/>
      <c r="BK282" s="170"/>
      <c r="BL282" s="472"/>
      <c r="BM282" s="170"/>
      <c r="BN282" s="170"/>
      <c r="BO282" s="472"/>
      <c r="BP282" s="170"/>
      <c r="BQ282" s="170"/>
      <c r="BR282" s="472"/>
      <c r="BS282" s="170"/>
      <c r="BT282" s="170"/>
      <c r="BU282" s="472"/>
      <c r="BV282" s="170"/>
      <c r="BW282" s="170"/>
      <c r="BX282" s="472"/>
      <c r="BY282" s="170"/>
      <c r="BZ282" s="170"/>
      <c r="CA282" s="472"/>
      <c r="CB282" s="170"/>
      <c r="CC282" s="170"/>
      <c r="CD282" s="472"/>
      <c r="CE282" s="170"/>
      <c r="CF282" s="170"/>
      <c r="CG282" s="472"/>
      <c r="CH282" s="170"/>
      <c r="CI282" s="170"/>
      <c r="CJ282" s="376"/>
      <c r="CK282" s="170"/>
      <c r="CL282" s="170"/>
      <c r="CM282" s="170"/>
      <c r="CN282" s="170"/>
      <c r="CO282" s="170"/>
      <c r="CP282" s="170"/>
      <c r="CQ282" s="376"/>
      <c r="CR282" s="170"/>
      <c r="CS282" s="376"/>
      <c r="CT282" s="170"/>
      <c r="CU282" s="170"/>
      <c r="CV282" s="376"/>
      <c r="CW282" s="170"/>
      <c r="CX282" s="170"/>
      <c r="CY282" s="376"/>
      <c r="CZ282" s="170"/>
      <c r="DA282" s="170"/>
      <c r="DB282" s="376"/>
      <c r="DC282" s="170"/>
      <c r="DD282" s="170"/>
      <c r="DE282" s="376"/>
      <c r="DF282" s="170"/>
      <c r="DG282" s="170"/>
      <c r="DH282" s="376"/>
      <c r="DI282" s="170"/>
      <c r="DJ282" s="170"/>
      <c r="DK282" s="376"/>
      <c r="DL282" s="170"/>
      <c r="DM282" s="170"/>
      <c r="DN282" s="376"/>
      <c r="DO282" s="170"/>
      <c r="DP282" s="170"/>
      <c r="DQ282" s="376"/>
      <c r="DR282" s="170"/>
      <c r="DS282" s="170"/>
      <c r="DT282" s="376"/>
      <c r="DU282" s="170"/>
      <c r="DV282" s="170"/>
      <c r="DW282" s="376"/>
      <c r="DX282" s="170"/>
      <c r="DY282" s="170"/>
      <c r="DZ282" s="376"/>
      <c r="EA282" s="170"/>
      <c r="EB282" s="170"/>
      <c r="EC282" s="170"/>
      <c r="ED282" s="170"/>
      <c r="EE282" s="170"/>
      <c r="EF282" s="170"/>
      <c r="EG282" s="170"/>
      <c r="EH282" s="170"/>
      <c r="EI282" s="170"/>
      <c r="EJ282" s="170"/>
      <c r="EK282" s="170"/>
    </row>
    <row r="283" spans="1:141" ht="26.25" x14ac:dyDescent="0.25">
      <c r="A283" s="170"/>
      <c r="B283" s="472"/>
      <c r="C283" s="472"/>
      <c r="D283" s="472"/>
      <c r="E283" s="558" t="s">
        <v>1471</v>
      </c>
      <c r="F283" s="170"/>
      <c r="G283" s="1287"/>
      <c r="H283" s="1287"/>
      <c r="I283" s="1289"/>
      <c r="J283" s="1287"/>
      <c r="K283" s="1289"/>
      <c r="L283" s="1287"/>
      <c r="M283" s="1287"/>
      <c r="N283" s="1289"/>
      <c r="O283" s="1289"/>
      <c r="P283" s="1287"/>
      <c r="Q283" s="1289"/>
      <c r="R283" s="1287"/>
      <c r="S283" s="1287"/>
      <c r="T283" s="1289"/>
      <c r="U283" s="1287"/>
      <c r="V283" s="1287"/>
      <c r="W283" s="1289"/>
      <c r="X283" s="1287"/>
      <c r="Y283" s="1287"/>
      <c r="Z283" s="1289"/>
      <c r="AA283" s="1287"/>
      <c r="AB283" s="1287"/>
      <c r="AC283" s="1289"/>
      <c r="AD283" s="1287"/>
      <c r="AE283" s="1287"/>
      <c r="AF283" s="1289"/>
      <c r="AG283" s="1287"/>
      <c r="AH283" s="1287"/>
      <c r="AI283" s="1289"/>
      <c r="AJ283" s="1287"/>
      <c r="AK283" s="1287"/>
      <c r="AL283" s="1289"/>
      <c r="AM283" s="1287"/>
      <c r="AN283" s="1287"/>
      <c r="AO283" s="1289"/>
      <c r="AP283" s="1287"/>
      <c r="AQ283" s="1287"/>
      <c r="AR283" s="1289"/>
      <c r="AS283" s="1287"/>
      <c r="AT283" s="1287"/>
      <c r="AU283" s="411"/>
      <c r="AV283" s="170"/>
      <c r="AW283" s="170"/>
      <c r="AX283" s="170"/>
      <c r="AY283" s="170"/>
      <c r="AZ283" s="170"/>
      <c r="BA283" s="376"/>
      <c r="BB283" s="170"/>
      <c r="BC283" s="376"/>
      <c r="BD283" s="170"/>
      <c r="BE283" s="170"/>
      <c r="BF283" s="472"/>
      <c r="BG283" s="170"/>
      <c r="BH283" s="170"/>
      <c r="BI283" s="472"/>
      <c r="BJ283" s="170"/>
      <c r="BK283" s="170"/>
      <c r="BL283" s="472"/>
      <c r="BM283" s="170"/>
      <c r="BN283" s="170"/>
      <c r="BO283" s="472"/>
      <c r="BP283" s="170"/>
      <c r="BQ283" s="170"/>
      <c r="BR283" s="472"/>
      <c r="BS283" s="170"/>
      <c r="BT283" s="170"/>
      <c r="BU283" s="472"/>
      <c r="BV283" s="170"/>
      <c r="BW283" s="170"/>
      <c r="BX283" s="472"/>
      <c r="BY283" s="170"/>
      <c r="BZ283" s="170"/>
      <c r="CA283" s="472"/>
      <c r="CB283" s="170"/>
      <c r="CC283" s="170"/>
      <c r="CD283" s="472"/>
      <c r="CE283" s="170"/>
      <c r="CF283" s="170"/>
      <c r="CG283" s="472"/>
      <c r="CH283" s="170"/>
      <c r="CI283" s="170"/>
      <c r="CJ283" s="376"/>
      <c r="CK283" s="170"/>
      <c r="CL283" s="170"/>
      <c r="CM283" s="170"/>
      <c r="CN283" s="170"/>
      <c r="CO283" s="170"/>
      <c r="CP283" s="170"/>
      <c r="CQ283" s="376"/>
      <c r="CR283" s="170"/>
      <c r="CS283" s="376"/>
      <c r="CT283" s="170"/>
      <c r="CU283" s="170"/>
      <c r="CV283" s="376"/>
      <c r="CW283" s="170"/>
      <c r="CX283" s="170"/>
      <c r="CY283" s="376"/>
      <c r="CZ283" s="170"/>
      <c r="DA283" s="170"/>
      <c r="DB283" s="376"/>
      <c r="DC283" s="170"/>
      <c r="DD283" s="170"/>
      <c r="DE283" s="376"/>
      <c r="DF283" s="170"/>
      <c r="DG283" s="170"/>
      <c r="DH283" s="376"/>
      <c r="DI283" s="170"/>
      <c r="DJ283" s="170"/>
      <c r="DK283" s="376"/>
      <c r="DL283" s="170"/>
      <c r="DM283" s="170"/>
      <c r="DN283" s="376"/>
      <c r="DO283" s="170"/>
      <c r="DP283" s="170"/>
      <c r="DQ283" s="376"/>
      <c r="DR283" s="170"/>
      <c r="DS283" s="170"/>
      <c r="DT283" s="376"/>
      <c r="DU283" s="170"/>
      <c r="DV283" s="170"/>
      <c r="DW283" s="376"/>
      <c r="DX283" s="170"/>
      <c r="DY283" s="170"/>
      <c r="DZ283" s="376"/>
      <c r="EA283" s="170"/>
      <c r="EB283" s="170"/>
      <c r="EC283" s="170"/>
      <c r="ED283" s="170"/>
      <c r="EE283" s="170"/>
      <c r="EF283" s="170"/>
      <c r="EG283" s="170"/>
      <c r="EH283" s="170"/>
      <c r="EI283" s="170"/>
      <c r="EJ283" s="170"/>
      <c r="EK283" s="170"/>
    </row>
    <row r="284" spans="1:141" ht="26.25" x14ac:dyDescent="0.25">
      <c r="A284" s="170"/>
      <c r="B284" s="472"/>
      <c r="C284" s="472"/>
      <c r="D284" s="472"/>
      <c r="E284" s="558"/>
      <c r="F284" s="170"/>
      <c r="G284" s="1287"/>
      <c r="H284" s="1287"/>
      <c r="I284" s="1289"/>
      <c r="J284" s="1287"/>
      <c r="K284" s="1289"/>
      <c r="L284" s="1287"/>
      <c r="M284" s="1287"/>
      <c r="N284" s="1289"/>
      <c r="O284" s="1289"/>
      <c r="P284" s="1287"/>
      <c r="Q284" s="1289"/>
      <c r="R284" s="1287"/>
      <c r="S284" s="1287"/>
      <c r="T284" s="1289"/>
      <c r="U284" s="1287"/>
      <c r="V284" s="1287"/>
      <c r="W284" s="1289"/>
      <c r="X284" s="1287"/>
      <c r="Y284" s="1287"/>
      <c r="Z284" s="1289"/>
      <c r="AA284" s="1287"/>
      <c r="AB284" s="1287"/>
      <c r="AC284" s="1289"/>
      <c r="AD284" s="1287"/>
      <c r="AE284" s="1287"/>
      <c r="AF284" s="1289"/>
      <c r="AG284" s="1287"/>
      <c r="AH284" s="1287"/>
      <c r="AI284" s="1289"/>
      <c r="AJ284" s="1287"/>
      <c r="AK284" s="1287"/>
      <c r="AL284" s="1289"/>
      <c r="AM284" s="1287"/>
      <c r="AN284" s="1287"/>
      <c r="AO284" s="1289"/>
      <c r="AP284" s="1287"/>
      <c r="AQ284" s="1287"/>
      <c r="AR284" s="1289"/>
      <c r="AS284" s="1287"/>
      <c r="AT284" s="1287"/>
      <c r="AU284" s="411"/>
      <c r="AV284" s="170"/>
      <c r="AW284" s="170"/>
      <c r="AX284" s="170"/>
      <c r="AY284" s="170"/>
      <c r="AZ284" s="170"/>
      <c r="BA284" s="376"/>
      <c r="BB284" s="170"/>
      <c r="BC284" s="376"/>
      <c r="BD284" s="170"/>
      <c r="BE284" s="170"/>
      <c r="BF284" s="472"/>
      <c r="BG284" s="170"/>
      <c r="BH284" s="170"/>
      <c r="BI284" s="472"/>
      <c r="BJ284" s="170"/>
      <c r="BK284" s="170"/>
      <c r="BL284" s="472"/>
      <c r="BM284" s="170"/>
      <c r="BN284" s="170"/>
      <c r="BO284" s="472"/>
      <c r="BP284" s="170"/>
      <c r="BQ284" s="170"/>
      <c r="BR284" s="472"/>
      <c r="BS284" s="170"/>
      <c r="BT284" s="170"/>
      <c r="BU284" s="472"/>
      <c r="BV284" s="170"/>
      <c r="BW284" s="170"/>
      <c r="BX284" s="472"/>
      <c r="BY284" s="170"/>
      <c r="BZ284" s="170"/>
      <c r="CA284" s="472"/>
      <c r="CB284" s="170"/>
      <c r="CC284" s="170"/>
      <c r="CD284" s="472"/>
      <c r="CE284" s="170"/>
      <c r="CF284" s="170"/>
      <c r="CG284" s="472"/>
      <c r="CH284" s="170"/>
      <c r="CI284" s="170"/>
      <c r="CJ284" s="376"/>
      <c r="CK284" s="170"/>
      <c r="CL284" s="170"/>
      <c r="CM284" s="170"/>
      <c r="CN284" s="170"/>
      <c r="CO284" s="170"/>
      <c r="CP284" s="170"/>
      <c r="CQ284" s="376"/>
      <c r="CR284" s="170"/>
      <c r="CS284" s="376"/>
      <c r="CT284" s="170"/>
      <c r="CU284" s="170"/>
      <c r="CV284" s="376"/>
      <c r="CW284" s="170"/>
      <c r="CX284" s="170"/>
      <c r="CY284" s="376"/>
      <c r="CZ284" s="170"/>
      <c r="DA284" s="170"/>
      <c r="DB284" s="376"/>
      <c r="DC284" s="170"/>
      <c r="DD284" s="170"/>
      <c r="DE284" s="376"/>
      <c r="DF284" s="170"/>
      <c r="DG284" s="170"/>
      <c r="DH284" s="376"/>
      <c r="DI284" s="170"/>
      <c r="DJ284" s="170"/>
      <c r="DK284" s="376"/>
      <c r="DL284" s="170"/>
      <c r="DM284" s="170"/>
      <c r="DN284" s="376"/>
      <c r="DO284" s="170"/>
      <c r="DP284" s="170"/>
      <c r="DQ284" s="376"/>
      <c r="DR284" s="170"/>
      <c r="DS284" s="170"/>
      <c r="DT284" s="376"/>
      <c r="DU284" s="170"/>
      <c r="DV284" s="170"/>
      <c r="DW284" s="376"/>
      <c r="DX284" s="170"/>
      <c r="DY284" s="170"/>
      <c r="DZ284" s="376"/>
      <c r="EA284" s="170"/>
      <c r="EB284" s="170"/>
      <c r="EC284" s="170"/>
      <c r="ED284" s="170"/>
      <c r="EE284" s="170"/>
      <c r="EF284" s="170"/>
      <c r="EG284" s="170"/>
      <c r="EH284" s="170"/>
      <c r="EI284" s="170"/>
      <c r="EJ284" s="170"/>
      <c r="EK284" s="170"/>
    </row>
    <row r="285" spans="1:141" ht="15" x14ac:dyDescent="0.25">
      <c r="A285" s="170"/>
      <c r="B285" s="472"/>
      <c r="C285" s="472"/>
      <c r="D285" s="472">
        <v>1</v>
      </c>
      <c r="E285" s="170"/>
      <c r="F285" s="170"/>
      <c r="G285" s="1287" t="s">
        <v>1224</v>
      </c>
      <c r="H285" s="1287"/>
      <c r="I285" s="1289"/>
      <c r="J285" s="1287"/>
      <c r="K285" s="1289"/>
      <c r="L285" s="1369">
        <f t="shared" ref="L285:L294" si="843">SUMIF($D$12:$D$201,$D285,L$12:L$201)</f>
        <v>88462.45</v>
      </c>
      <c r="M285" s="1287"/>
      <c r="N285" s="1289"/>
      <c r="O285" s="1369">
        <f t="shared" ref="O285:O294" ca="1" si="844">SUMIF($D$12:$D$201,$D285,O$12:O$201)</f>
        <v>0</v>
      </c>
      <c r="P285" s="1287"/>
      <c r="Q285" s="1289"/>
      <c r="R285" s="1369">
        <f t="shared" ref="R285:R294" ca="1" si="845">SUMIF($D$12:$D$201,$D285,R$12:R$201)</f>
        <v>0</v>
      </c>
      <c r="S285" s="1287"/>
      <c r="T285" s="1289"/>
      <c r="U285" s="1369">
        <f t="shared" ref="U285:U294" ca="1" si="846">SUMIF($D$12:$D$201,$D285,U$12:U$201)</f>
        <v>227934</v>
      </c>
      <c r="V285" s="1287"/>
      <c r="W285" s="1289"/>
      <c r="X285" s="1369">
        <f t="shared" ref="X285:X294" ca="1" si="847">SUMIF($D$12:$D$201,$D285,X$12:X$201)</f>
        <v>274398</v>
      </c>
      <c r="Y285" s="1287"/>
      <c r="Z285" s="1289"/>
      <c r="AA285" s="1369">
        <f t="shared" ref="AA285:AA294" ca="1" si="848">SUMIF($D$12:$D$201,$D285,AA$12:AA$201)</f>
        <v>197994</v>
      </c>
      <c r="AB285" s="1287"/>
      <c r="AC285" s="1289"/>
      <c r="AD285" s="1369">
        <f t="shared" ref="AD285:AD294" ca="1" si="849">SUMIF($D$12:$D$201,$D285,AD$12:AD$201)</f>
        <v>0</v>
      </c>
      <c r="AE285" s="1287"/>
      <c r="AF285" s="1289"/>
      <c r="AG285" s="1369">
        <f t="shared" ref="AG285:AG294" ca="1" si="850">SUMIF($D$12:$D$201,$D285,AG$12:AG$201)</f>
        <v>0</v>
      </c>
      <c r="AH285" s="1287"/>
      <c r="AI285" s="1289"/>
      <c r="AJ285" s="1369">
        <f t="shared" ref="AJ285:AJ294" ca="1" si="851">SUMIF($D$12:$D$201,$D285,AJ$12:AJ$201)</f>
        <v>0</v>
      </c>
      <c r="AK285" s="1287"/>
      <c r="AL285" s="1289"/>
      <c r="AM285" s="1369">
        <f t="shared" ref="AM285:AM294" ca="1" si="852">SUMIF($D$12:$D$201,$D285,AM$12:AM$201)</f>
        <v>0</v>
      </c>
      <c r="AN285" s="1287"/>
      <c r="AO285" s="1289"/>
      <c r="AP285" s="1369">
        <f t="shared" ref="AP285:AP294" ca="1" si="853">SUMIF($D$12:$D$201,$D285,AP$12:AP$201)</f>
        <v>0</v>
      </c>
      <c r="AQ285" s="1287"/>
      <c r="AR285" s="1289"/>
      <c r="AS285" s="1312">
        <f t="shared" ref="AS285:AS296" ca="1" si="854">+AA285+X285+U285+R285+O285+L285+AD285</f>
        <v>788788.45</v>
      </c>
      <c r="AT285" s="1287"/>
      <c r="AU285" s="411"/>
      <c r="AV285" s="170"/>
      <c r="AW285" s="170"/>
      <c r="AX285" s="170"/>
      <c r="AY285" s="170"/>
      <c r="AZ285" s="170"/>
      <c r="BA285" s="376"/>
      <c r="BB285" s="170"/>
      <c r="BC285" s="376"/>
      <c r="BD285" s="170"/>
      <c r="BE285" s="170"/>
      <c r="BF285" s="472"/>
      <c r="BG285" s="170"/>
      <c r="BH285" s="170"/>
      <c r="BI285" s="472"/>
      <c r="BJ285" s="170"/>
      <c r="BK285" s="170"/>
      <c r="BL285" s="472"/>
      <c r="BM285" s="170"/>
      <c r="BN285" s="170"/>
      <c r="BO285" s="472"/>
      <c r="BP285" s="170"/>
      <c r="BQ285" s="170"/>
      <c r="BR285" s="472"/>
      <c r="BS285" s="170"/>
      <c r="BT285" s="170"/>
      <c r="BU285" s="472"/>
      <c r="BV285" s="170"/>
      <c r="BW285" s="170"/>
      <c r="BX285" s="472"/>
      <c r="BY285" s="170"/>
      <c r="BZ285" s="170"/>
      <c r="CA285" s="472"/>
      <c r="CB285" s="170"/>
      <c r="CC285" s="170"/>
      <c r="CD285" s="472"/>
      <c r="CE285" s="170"/>
      <c r="CF285" s="170"/>
      <c r="CG285" s="472"/>
      <c r="CH285" s="170"/>
      <c r="CI285" s="170"/>
      <c r="CJ285" s="376"/>
      <c r="CK285" s="170"/>
      <c r="CL285" s="170"/>
      <c r="CM285" s="170"/>
      <c r="CN285" s="170"/>
      <c r="CO285" s="170"/>
      <c r="CP285" s="170"/>
      <c r="CQ285" s="376"/>
      <c r="CR285" s="170"/>
      <c r="CS285" s="376"/>
      <c r="CT285" s="170"/>
      <c r="CU285" s="170"/>
      <c r="CV285" s="376"/>
      <c r="CW285" s="170"/>
      <c r="CX285" s="170"/>
      <c r="CY285" s="376"/>
      <c r="CZ285" s="170"/>
      <c r="DA285" s="170"/>
      <c r="DB285" s="376"/>
      <c r="DC285" s="170"/>
      <c r="DD285" s="170"/>
      <c r="DE285" s="376"/>
      <c r="DF285" s="170"/>
      <c r="DG285" s="170"/>
      <c r="DH285" s="376"/>
      <c r="DI285" s="170"/>
      <c r="DJ285" s="170"/>
      <c r="DK285" s="376"/>
      <c r="DL285" s="170"/>
      <c r="DM285" s="170"/>
      <c r="DN285" s="376"/>
      <c r="DO285" s="170"/>
      <c r="DP285" s="170"/>
      <c r="DQ285" s="376"/>
      <c r="DR285" s="170"/>
      <c r="DS285" s="170"/>
      <c r="DT285" s="376"/>
      <c r="DU285" s="170"/>
      <c r="DV285" s="170"/>
      <c r="DW285" s="376"/>
      <c r="DX285" s="170"/>
      <c r="DY285" s="170"/>
      <c r="DZ285" s="376"/>
      <c r="EA285" s="170"/>
      <c r="EB285" s="170"/>
      <c r="EC285" s="170"/>
      <c r="ED285" s="170"/>
      <c r="EE285" s="170"/>
      <c r="EF285" s="170"/>
      <c r="EG285" s="170"/>
      <c r="EH285" s="170"/>
      <c r="EI285" s="170"/>
      <c r="EJ285" s="170"/>
      <c r="EK285" s="170"/>
    </row>
    <row r="286" spans="1:141" ht="15" x14ac:dyDescent="0.25">
      <c r="A286" s="170"/>
      <c r="B286" s="472"/>
      <c r="C286" s="472"/>
      <c r="D286" s="472">
        <v>2</v>
      </c>
      <c r="E286" s="170"/>
      <c r="F286" s="170"/>
      <c r="G286" s="1287" t="s">
        <v>1225</v>
      </c>
      <c r="H286" s="1287"/>
      <c r="I286" s="1289"/>
      <c r="J286" s="1287"/>
      <c r="K286" s="1289"/>
      <c r="L286" s="1369">
        <f t="shared" si="843"/>
        <v>0</v>
      </c>
      <c r="M286" s="1287"/>
      <c r="N286" s="1289"/>
      <c r="O286" s="1369">
        <f t="shared" si="844"/>
        <v>0</v>
      </c>
      <c r="P286" s="1287"/>
      <c r="Q286" s="1289"/>
      <c r="R286" s="1369">
        <f t="shared" si="845"/>
        <v>0</v>
      </c>
      <c r="S286" s="1287"/>
      <c r="T286" s="1289"/>
      <c r="U286" s="1369">
        <f t="shared" si="846"/>
        <v>0</v>
      </c>
      <c r="V286" s="1287"/>
      <c r="W286" s="1289"/>
      <c r="X286" s="1369">
        <f t="shared" si="847"/>
        <v>0</v>
      </c>
      <c r="Y286" s="1287"/>
      <c r="Z286" s="1289"/>
      <c r="AA286" s="1369">
        <f t="shared" si="848"/>
        <v>0</v>
      </c>
      <c r="AB286" s="1287"/>
      <c r="AC286" s="1289"/>
      <c r="AD286" s="1369">
        <f t="shared" si="849"/>
        <v>0</v>
      </c>
      <c r="AE286" s="1287"/>
      <c r="AF286" s="1289"/>
      <c r="AG286" s="1369">
        <f t="shared" si="850"/>
        <v>0</v>
      </c>
      <c r="AH286" s="1287"/>
      <c r="AI286" s="1289"/>
      <c r="AJ286" s="1369">
        <f t="shared" si="851"/>
        <v>0</v>
      </c>
      <c r="AK286" s="1287"/>
      <c r="AL286" s="1289"/>
      <c r="AM286" s="1369">
        <f t="shared" si="852"/>
        <v>0</v>
      </c>
      <c r="AN286" s="1287"/>
      <c r="AO286" s="1289"/>
      <c r="AP286" s="1369">
        <f t="shared" si="853"/>
        <v>0</v>
      </c>
      <c r="AQ286" s="1287"/>
      <c r="AR286" s="1289"/>
      <c r="AS286" s="1312">
        <f t="shared" si="854"/>
        <v>0</v>
      </c>
      <c r="AT286" s="1287"/>
      <c r="AU286" s="411"/>
      <c r="AV286" s="170"/>
      <c r="AW286" s="170"/>
      <c r="AX286" s="170"/>
      <c r="AY286" s="170"/>
      <c r="AZ286" s="170"/>
      <c r="BA286" s="376"/>
      <c r="BB286" s="170"/>
      <c r="BC286" s="376"/>
      <c r="BD286" s="170"/>
      <c r="BE286" s="170"/>
      <c r="BF286" s="472"/>
      <c r="BG286" s="170"/>
      <c r="BH286" s="170"/>
      <c r="BI286" s="472"/>
      <c r="BJ286" s="170"/>
      <c r="BK286" s="170"/>
      <c r="BL286" s="472"/>
      <c r="BM286" s="170"/>
      <c r="BN286" s="170"/>
      <c r="BO286" s="472"/>
      <c r="BP286" s="170"/>
      <c r="BQ286" s="170"/>
      <c r="BR286" s="472"/>
      <c r="BS286" s="170"/>
      <c r="BT286" s="170"/>
      <c r="BU286" s="472"/>
      <c r="BV286" s="170"/>
      <c r="BW286" s="170"/>
      <c r="BX286" s="472"/>
      <c r="BY286" s="170"/>
      <c r="BZ286" s="170"/>
      <c r="CA286" s="472"/>
      <c r="CB286" s="170"/>
      <c r="CC286" s="170"/>
      <c r="CD286" s="472"/>
      <c r="CE286" s="170"/>
      <c r="CF286" s="170"/>
      <c r="CG286" s="472"/>
      <c r="CH286" s="170"/>
      <c r="CI286" s="170"/>
      <c r="CJ286" s="376"/>
      <c r="CK286" s="170"/>
      <c r="CL286" s="170"/>
      <c r="CM286" s="170"/>
      <c r="CN286" s="170"/>
      <c r="CO286" s="170"/>
      <c r="CP286" s="170"/>
      <c r="CQ286" s="376"/>
      <c r="CR286" s="170"/>
      <c r="CS286" s="376"/>
      <c r="CT286" s="170"/>
      <c r="CU286" s="170"/>
      <c r="CV286" s="376"/>
      <c r="CW286" s="170"/>
      <c r="CX286" s="170"/>
      <c r="CY286" s="376"/>
      <c r="CZ286" s="170"/>
      <c r="DA286" s="170"/>
      <c r="DB286" s="376"/>
      <c r="DC286" s="170"/>
      <c r="DD286" s="170"/>
      <c r="DE286" s="376"/>
      <c r="DF286" s="170"/>
      <c r="DG286" s="170"/>
      <c r="DH286" s="376"/>
      <c r="DI286" s="170"/>
      <c r="DJ286" s="170"/>
      <c r="DK286" s="376"/>
      <c r="DL286" s="170"/>
      <c r="DM286" s="170"/>
      <c r="DN286" s="376"/>
      <c r="DO286" s="170"/>
      <c r="DP286" s="170"/>
      <c r="DQ286" s="376"/>
      <c r="DR286" s="170"/>
      <c r="DS286" s="170"/>
      <c r="DT286" s="376"/>
      <c r="DU286" s="170"/>
      <c r="DV286" s="170"/>
      <c r="DW286" s="376"/>
      <c r="DX286" s="170"/>
      <c r="DY286" s="170"/>
      <c r="DZ286" s="376"/>
      <c r="EA286" s="170"/>
      <c r="EB286" s="170"/>
      <c r="EC286" s="170"/>
      <c r="ED286" s="170"/>
      <c r="EE286" s="170"/>
      <c r="EF286" s="170"/>
      <c r="EG286" s="170"/>
      <c r="EH286" s="170"/>
      <c r="EI286" s="170"/>
      <c r="EJ286" s="170"/>
      <c r="EK286" s="170"/>
    </row>
    <row r="287" spans="1:141" ht="15" x14ac:dyDescent="0.25">
      <c r="A287" s="170"/>
      <c r="B287" s="472"/>
      <c r="C287" s="472"/>
      <c r="D287" s="472">
        <v>3</v>
      </c>
      <c r="E287" s="170"/>
      <c r="F287" s="170"/>
      <c r="G287" s="1287" t="s">
        <v>1226</v>
      </c>
      <c r="H287" s="1287"/>
      <c r="I287" s="1289"/>
      <c r="J287" s="1287"/>
      <c r="K287" s="1289"/>
      <c r="L287" s="1369">
        <f t="shared" si="843"/>
        <v>39522.18</v>
      </c>
      <c r="M287" s="1287"/>
      <c r="N287" s="1289"/>
      <c r="O287" s="1369">
        <f t="shared" ca="1" si="844"/>
        <v>0</v>
      </c>
      <c r="P287" s="1287"/>
      <c r="Q287" s="1289"/>
      <c r="R287" s="1369">
        <f t="shared" ca="1" si="845"/>
        <v>0</v>
      </c>
      <c r="S287" s="1287"/>
      <c r="T287" s="1289"/>
      <c r="U287" s="1369">
        <f t="shared" ca="1" si="846"/>
        <v>662573</v>
      </c>
      <c r="V287" s="1287"/>
      <c r="W287" s="1289"/>
      <c r="X287" s="1369">
        <f t="shared" ca="1" si="847"/>
        <v>4047437.8896284006</v>
      </c>
      <c r="Y287" s="1287"/>
      <c r="Z287" s="1289"/>
      <c r="AA287" s="1369">
        <f t="shared" ca="1" si="848"/>
        <v>2888718.752678168</v>
      </c>
      <c r="AB287" s="1287"/>
      <c r="AC287" s="1289"/>
      <c r="AD287" s="1369">
        <f t="shared" ca="1" si="849"/>
        <v>0</v>
      </c>
      <c r="AE287" s="1287"/>
      <c r="AF287" s="1289"/>
      <c r="AG287" s="1369">
        <f t="shared" ca="1" si="850"/>
        <v>0</v>
      </c>
      <c r="AH287" s="1287"/>
      <c r="AI287" s="1289"/>
      <c r="AJ287" s="1369">
        <f t="shared" ca="1" si="851"/>
        <v>0</v>
      </c>
      <c r="AK287" s="1287"/>
      <c r="AL287" s="1289"/>
      <c r="AM287" s="1369">
        <f t="shared" ca="1" si="852"/>
        <v>0</v>
      </c>
      <c r="AN287" s="1287"/>
      <c r="AO287" s="1289"/>
      <c r="AP287" s="1369">
        <f t="shared" ca="1" si="853"/>
        <v>0</v>
      </c>
      <c r="AQ287" s="1287"/>
      <c r="AR287" s="1289"/>
      <c r="AS287" s="1312">
        <f t="shared" ca="1" si="854"/>
        <v>7638251.8223065678</v>
      </c>
      <c r="AT287" s="1287"/>
      <c r="AU287" s="411"/>
      <c r="AV287" s="170"/>
      <c r="AW287" s="170"/>
      <c r="AX287" s="170"/>
      <c r="AY287" s="170"/>
      <c r="AZ287" s="170"/>
      <c r="BA287" s="376"/>
      <c r="BB287" s="170"/>
      <c r="BC287" s="376"/>
      <c r="BD287" s="170"/>
      <c r="BE287" s="170"/>
      <c r="BF287" s="472"/>
      <c r="BG287" s="170"/>
      <c r="BH287" s="170"/>
      <c r="BI287" s="472"/>
      <c r="BJ287" s="170"/>
      <c r="BK287" s="170"/>
      <c r="BL287" s="472"/>
      <c r="BM287" s="170"/>
      <c r="BN287" s="170"/>
      <c r="BO287" s="472"/>
      <c r="BP287" s="170"/>
      <c r="BQ287" s="170"/>
      <c r="BR287" s="472"/>
      <c r="BS287" s="170"/>
      <c r="BT287" s="170"/>
      <c r="BU287" s="472"/>
      <c r="BV287" s="170"/>
      <c r="BW287" s="170"/>
      <c r="BX287" s="472"/>
      <c r="BY287" s="170"/>
      <c r="BZ287" s="170"/>
      <c r="CA287" s="472"/>
      <c r="CB287" s="170"/>
      <c r="CC287" s="170"/>
      <c r="CD287" s="472"/>
      <c r="CE287" s="170"/>
      <c r="CF287" s="170"/>
      <c r="CG287" s="472"/>
      <c r="CH287" s="170"/>
      <c r="CI287" s="170"/>
      <c r="CJ287" s="376"/>
      <c r="CK287" s="170"/>
      <c r="CL287" s="170"/>
      <c r="CM287" s="170"/>
      <c r="CN287" s="170"/>
      <c r="CO287" s="170"/>
      <c r="CP287" s="170"/>
      <c r="CQ287" s="376"/>
      <c r="CR287" s="170"/>
      <c r="CS287" s="376"/>
      <c r="CT287" s="170"/>
      <c r="CU287" s="170"/>
      <c r="CV287" s="376"/>
      <c r="CW287" s="170"/>
      <c r="CX287" s="170"/>
      <c r="CY287" s="376"/>
      <c r="CZ287" s="170"/>
      <c r="DA287" s="170"/>
      <c r="DB287" s="376"/>
      <c r="DC287" s="170"/>
      <c r="DD287" s="170"/>
      <c r="DE287" s="376"/>
      <c r="DF287" s="170"/>
      <c r="DG287" s="170"/>
      <c r="DH287" s="376"/>
      <c r="DI287" s="170"/>
      <c r="DJ287" s="170"/>
      <c r="DK287" s="376"/>
      <c r="DL287" s="170"/>
      <c r="DM287" s="170"/>
      <c r="DN287" s="376"/>
      <c r="DO287" s="170"/>
      <c r="DP287" s="170"/>
      <c r="DQ287" s="376"/>
      <c r="DR287" s="170"/>
      <c r="DS287" s="170"/>
      <c r="DT287" s="376"/>
      <c r="DU287" s="170"/>
      <c r="DV287" s="170"/>
      <c r="DW287" s="376"/>
      <c r="DX287" s="170"/>
      <c r="DY287" s="170"/>
      <c r="DZ287" s="376"/>
      <c r="EA287" s="170"/>
      <c r="EB287" s="170"/>
      <c r="EC287" s="170"/>
      <c r="ED287" s="170"/>
      <c r="EE287" s="170"/>
      <c r="EF287" s="170"/>
      <c r="EG287" s="170"/>
      <c r="EH287" s="170"/>
      <c r="EI287" s="170"/>
      <c r="EJ287" s="170"/>
      <c r="EK287" s="170"/>
    </row>
    <row r="288" spans="1:141" ht="15" x14ac:dyDescent="0.25">
      <c r="A288" s="170"/>
      <c r="B288" s="472"/>
      <c r="C288" s="472"/>
      <c r="D288" s="472">
        <v>4</v>
      </c>
      <c r="E288" s="170"/>
      <c r="F288" s="170"/>
      <c r="G288" s="1287" t="s">
        <v>1295</v>
      </c>
      <c r="H288" s="1287"/>
      <c r="I288" s="1289"/>
      <c r="J288" s="1287"/>
      <c r="K288" s="1289"/>
      <c r="L288" s="1369">
        <f t="shared" si="843"/>
        <v>2358</v>
      </c>
      <c r="M288" s="1287"/>
      <c r="N288" s="1289"/>
      <c r="O288" s="1369">
        <f t="shared" ca="1" si="844"/>
        <v>0</v>
      </c>
      <c r="P288" s="1287"/>
      <c r="Q288" s="1289"/>
      <c r="R288" s="1369">
        <f t="shared" ca="1" si="845"/>
        <v>0</v>
      </c>
      <c r="S288" s="1287"/>
      <c r="T288" s="1289"/>
      <c r="U288" s="1369">
        <f t="shared" ca="1" si="846"/>
        <v>9639967.5745999999</v>
      </c>
      <c r="V288" s="1287"/>
      <c r="W288" s="1289"/>
      <c r="X288" s="1369">
        <f t="shared" ca="1" si="847"/>
        <v>9941166.6018380001</v>
      </c>
      <c r="Y288" s="1287"/>
      <c r="Z288" s="1289"/>
      <c r="AA288" s="1369">
        <f t="shared" ca="1" si="848"/>
        <v>8240</v>
      </c>
      <c r="AB288" s="1287"/>
      <c r="AC288" s="1289"/>
      <c r="AD288" s="1369">
        <f t="shared" ca="1" si="849"/>
        <v>0</v>
      </c>
      <c r="AE288" s="1287"/>
      <c r="AF288" s="1289"/>
      <c r="AG288" s="1369">
        <f t="shared" ca="1" si="850"/>
        <v>0</v>
      </c>
      <c r="AH288" s="1287"/>
      <c r="AI288" s="1289"/>
      <c r="AJ288" s="1369">
        <f t="shared" ca="1" si="851"/>
        <v>0</v>
      </c>
      <c r="AK288" s="1287"/>
      <c r="AL288" s="1289"/>
      <c r="AM288" s="1369">
        <f t="shared" ca="1" si="852"/>
        <v>0</v>
      </c>
      <c r="AN288" s="1287"/>
      <c r="AO288" s="1289"/>
      <c r="AP288" s="1369">
        <f t="shared" ca="1" si="853"/>
        <v>0</v>
      </c>
      <c r="AQ288" s="1287"/>
      <c r="AR288" s="1289"/>
      <c r="AS288" s="1312">
        <f t="shared" ca="1" si="854"/>
        <v>19591732.176438</v>
      </c>
      <c r="AT288" s="1287"/>
      <c r="AU288" s="411"/>
      <c r="AV288" s="170"/>
      <c r="AW288" s="170"/>
      <c r="AX288" s="170"/>
      <c r="AY288" s="170"/>
      <c r="AZ288" s="170"/>
      <c r="BA288" s="376"/>
      <c r="BB288" s="170"/>
      <c r="BC288" s="376"/>
      <c r="BD288" s="170"/>
      <c r="BE288" s="170"/>
      <c r="BF288" s="472"/>
      <c r="BG288" s="170"/>
      <c r="BH288" s="170"/>
      <c r="BI288" s="472"/>
      <c r="BJ288" s="170"/>
      <c r="BK288" s="170"/>
      <c r="BL288" s="472"/>
      <c r="BM288" s="170"/>
      <c r="BN288" s="170"/>
      <c r="BO288" s="472"/>
      <c r="BP288" s="170"/>
      <c r="BQ288" s="170"/>
      <c r="BR288" s="472"/>
      <c r="BS288" s="170"/>
      <c r="BT288" s="170"/>
      <c r="BU288" s="472"/>
      <c r="BV288" s="170"/>
      <c r="BW288" s="170"/>
      <c r="BX288" s="472"/>
      <c r="BY288" s="170"/>
      <c r="BZ288" s="170"/>
      <c r="CA288" s="472"/>
      <c r="CB288" s="170"/>
      <c r="CC288" s="170"/>
      <c r="CD288" s="472"/>
      <c r="CE288" s="170"/>
      <c r="CF288" s="170"/>
      <c r="CG288" s="472"/>
      <c r="CH288" s="170"/>
      <c r="CI288" s="170"/>
      <c r="CJ288" s="376"/>
      <c r="CK288" s="170"/>
      <c r="CL288" s="170"/>
      <c r="CM288" s="170"/>
      <c r="CN288" s="170"/>
      <c r="CO288" s="170"/>
      <c r="CP288" s="170"/>
      <c r="CQ288" s="376"/>
      <c r="CR288" s="170"/>
      <c r="CS288" s="376"/>
      <c r="CT288" s="170"/>
      <c r="CU288" s="170"/>
      <c r="CV288" s="376"/>
      <c r="CW288" s="170"/>
      <c r="CX288" s="170"/>
      <c r="CY288" s="376"/>
      <c r="CZ288" s="170"/>
      <c r="DA288" s="170"/>
      <c r="DB288" s="376"/>
      <c r="DC288" s="170"/>
      <c r="DD288" s="170"/>
      <c r="DE288" s="376"/>
      <c r="DF288" s="170"/>
      <c r="DG288" s="170"/>
      <c r="DH288" s="376"/>
      <c r="DI288" s="170"/>
      <c r="DJ288" s="170"/>
      <c r="DK288" s="376"/>
      <c r="DL288" s="170"/>
      <c r="DM288" s="170"/>
      <c r="DN288" s="376"/>
      <c r="DO288" s="170"/>
      <c r="DP288" s="170"/>
      <c r="DQ288" s="376"/>
      <c r="DR288" s="170"/>
      <c r="DS288" s="170"/>
      <c r="DT288" s="376"/>
      <c r="DU288" s="170"/>
      <c r="DV288" s="170"/>
      <c r="DW288" s="376"/>
      <c r="DX288" s="170"/>
      <c r="DY288" s="170"/>
      <c r="DZ288" s="376"/>
      <c r="EA288" s="170"/>
      <c r="EB288" s="170"/>
      <c r="EC288" s="170"/>
      <c r="ED288" s="170"/>
      <c r="EE288" s="170"/>
      <c r="EF288" s="170"/>
      <c r="EG288" s="170"/>
      <c r="EH288" s="170"/>
      <c r="EI288" s="170"/>
      <c r="EJ288" s="170"/>
      <c r="EK288" s="170"/>
    </row>
    <row r="289" spans="1:141" ht="15" x14ac:dyDescent="0.25">
      <c r="A289" s="170"/>
      <c r="B289" s="472"/>
      <c r="C289" s="472"/>
      <c r="D289" s="472">
        <v>5</v>
      </c>
      <c r="E289" s="170"/>
      <c r="F289" s="170"/>
      <c r="G289" s="1287" t="s">
        <v>393</v>
      </c>
      <c r="H289" s="1287"/>
      <c r="I289" s="1289"/>
      <c r="J289" s="1287"/>
      <c r="K289" s="1289"/>
      <c r="L289" s="1369">
        <f t="shared" si="843"/>
        <v>0</v>
      </c>
      <c r="M289" s="1287"/>
      <c r="N289" s="1289"/>
      <c r="O289" s="1369">
        <f t="shared" ca="1" si="844"/>
        <v>0</v>
      </c>
      <c r="P289" s="1287"/>
      <c r="Q289" s="1289"/>
      <c r="R289" s="1369">
        <f t="shared" ca="1" si="845"/>
        <v>0</v>
      </c>
      <c r="S289" s="1287"/>
      <c r="T289" s="1289"/>
      <c r="U289" s="1369">
        <f t="shared" ca="1" si="846"/>
        <v>0</v>
      </c>
      <c r="V289" s="1287"/>
      <c r="W289" s="1289"/>
      <c r="X289" s="1369">
        <f t="shared" ca="1" si="847"/>
        <v>0</v>
      </c>
      <c r="Y289" s="1287"/>
      <c r="Z289" s="1289"/>
      <c r="AA289" s="1369">
        <f t="shared" ca="1" si="848"/>
        <v>0</v>
      </c>
      <c r="AB289" s="1287"/>
      <c r="AC289" s="1289"/>
      <c r="AD289" s="1369">
        <f t="shared" ca="1" si="849"/>
        <v>0</v>
      </c>
      <c r="AE289" s="1287"/>
      <c r="AF289" s="1289"/>
      <c r="AG289" s="1369">
        <f t="shared" ca="1" si="850"/>
        <v>0</v>
      </c>
      <c r="AH289" s="1287"/>
      <c r="AI289" s="1289"/>
      <c r="AJ289" s="1369">
        <f t="shared" ca="1" si="851"/>
        <v>0</v>
      </c>
      <c r="AK289" s="1287"/>
      <c r="AL289" s="1289"/>
      <c r="AM289" s="1369">
        <f t="shared" ca="1" si="852"/>
        <v>0</v>
      </c>
      <c r="AN289" s="1287"/>
      <c r="AO289" s="1289"/>
      <c r="AP289" s="1369">
        <f t="shared" ca="1" si="853"/>
        <v>0</v>
      </c>
      <c r="AQ289" s="1287"/>
      <c r="AR289" s="1289"/>
      <c r="AS289" s="1312">
        <f t="shared" ca="1" si="854"/>
        <v>0</v>
      </c>
      <c r="AT289" s="1287"/>
      <c r="AU289" s="411"/>
      <c r="AV289" s="170"/>
      <c r="AW289" s="170"/>
      <c r="AX289" s="170"/>
      <c r="AY289" s="170"/>
      <c r="AZ289" s="170"/>
      <c r="BA289" s="376"/>
      <c r="BB289" s="170"/>
      <c r="BC289" s="376"/>
      <c r="BD289" s="170"/>
      <c r="BE289" s="170"/>
      <c r="BF289" s="472"/>
      <c r="BG289" s="170"/>
      <c r="BH289" s="170"/>
      <c r="BI289" s="472"/>
      <c r="BJ289" s="170"/>
      <c r="BK289" s="170"/>
      <c r="BL289" s="472"/>
      <c r="BM289" s="170"/>
      <c r="BN289" s="170"/>
      <c r="BO289" s="472"/>
      <c r="BP289" s="170"/>
      <c r="BQ289" s="170"/>
      <c r="BR289" s="472"/>
      <c r="BS289" s="170"/>
      <c r="BT289" s="170"/>
      <c r="BU289" s="472"/>
      <c r="BV289" s="170"/>
      <c r="BW289" s="170"/>
      <c r="BX289" s="472"/>
      <c r="BY289" s="170"/>
      <c r="BZ289" s="170"/>
      <c r="CA289" s="472"/>
      <c r="CB289" s="170"/>
      <c r="CC289" s="170"/>
      <c r="CD289" s="472"/>
      <c r="CE289" s="170"/>
      <c r="CF289" s="170"/>
      <c r="CG289" s="472"/>
      <c r="CH289" s="170"/>
      <c r="CI289" s="170"/>
      <c r="CJ289" s="376"/>
      <c r="CK289" s="170"/>
      <c r="CL289" s="170"/>
      <c r="CM289" s="170"/>
      <c r="CN289" s="170"/>
      <c r="CO289" s="170"/>
      <c r="CP289" s="170"/>
      <c r="CQ289" s="376"/>
      <c r="CR289" s="170"/>
      <c r="CS289" s="376"/>
      <c r="CT289" s="170"/>
      <c r="CU289" s="170"/>
      <c r="CV289" s="376"/>
      <c r="CW289" s="170"/>
      <c r="CX289" s="170"/>
      <c r="CY289" s="376"/>
      <c r="CZ289" s="170"/>
      <c r="DA289" s="170"/>
      <c r="DB289" s="376"/>
      <c r="DC289" s="170"/>
      <c r="DD289" s="170"/>
      <c r="DE289" s="376"/>
      <c r="DF289" s="170"/>
      <c r="DG289" s="170"/>
      <c r="DH289" s="376"/>
      <c r="DI289" s="170"/>
      <c r="DJ289" s="170"/>
      <c r="DK289" s="376"/>
      <c r="DL289" s="170"/>
      <c r="DM289" s="170"/>
      <c r="DN289" s="376"/>
      <c r="DO289" s="170"/>
      <c r="DP289" s="170"/>
      <c r="DQ289" s="376"/>
      <c r="DR289" s="170"/>
      <c r="DS289" s="170"/>
      <c r="DT289" s="376"/>
      <c r="DU289" s="170"/>
      <c r="DV289" s="170"/>
      <c r="DW289" s="376"/>
      <c r="DX289" s="170"/>
      <c r="DY289" s="170"/>
      <c r="DZ289" s="376"/>
      <c r="EA289" s="170"/>
      <c r="EB289" s="170"/>
      <c r="EC289" s="170"/>
      <c r="ED289" s="170"/>
      <c r="EE289" s="170"/>
      <c r="EF289" s="170"/>
      <c r="EG289" s="170"/>
      <c r="EH289" s="170"/>
      <c r="EI289" s="170"/>
      <c r="EJ289" s="170"/>
      <c r="EK289" s="170"/>
    </row>
    <row r="290" spans="1:141" ht="15" x14ac:dyDescent="0.25">
      <c r="A290" s="170"/>
      <c r="B290" s="472"/>
      <c r="C290" s="472"/>
      <c r="D290" s="472">
        <v>6</v>
      </c>
      <c r="E290" s="170"/>
      <c r="F290" s="170"/>
      <c r="G290" s="1287" t="s">
        <v>39</v>
      </c>
      <c r="H290" s="1287"/>
      <c r="I290" s="1289"/>
      <c r="J290" s="1287"/>
      <c r="K290" s="1289"/>
      <c r="L290" s="1369">
        <f t="shared" si="843"/>
        <v>11094.01</v>
      </c>
      <c r="M290" s="1287"/>
      <c r="N290" s="1289"/>
      <c r="O290" s="1369">
        <f t="shared" ca="1" si="844"/>
        <v>3917</v>
      </c>
      <c r="P290" s="1287"/>
      <c r="Q290" s="1289"/>
      <c r="R290" s="1369">
        <f t="shared" ca="1" si="845"/>
        <v>7980</v>
      </c>
      <c r="S290" s="1287"/>
      <c r="T290" s="1289"/>
      <c r="U290" s="1369">
        <f t="shared" ca="1" si="846"/>
        <v>1912872.3851165469</v>
      </c>
      <c r="V290" s="1287"/>
      <c r="W290" s="1289"/>
      <c r="X290" s="1369">
        <f t="shared" ca="1" si="847"/>
        <v>3273305.5080165472</v>
      </c>
      <c r="Y290" s="1287"/>
      <c r="Z290" s="1289"/>
      <c r="AA290" s="1369">
        <f t="shared" ca="1" si="848"/>
        <v>1555240.44</v>
      </c>
      <c r="AB290" s="1287"/>
      <c r="AC290" s="1289"/>
      <c r="AD290" s="1369">
        <f t="shared" ca="1" si="849"/>
        <v>0</v>
      </c>
      <c r="AE290" s="1287"/>
      <c r="AF290" s="1289"/>
      <c r="AG290" s="1369">
        <f t="shared" ca="1" si="850"/>
        <v>0</v>
      </c>
      <c r="AH290" s="1287"/>
      <c r="AI290" s="1289"/>
      <c r="AJ290" s="1369">
        <f t="shared" ca="1" si="851"/>
        <v>0</v>
      </c>
      <c r="AK290" s="1287"/>
      <c r="AL290" s="1289"/>
      <c r="AM290" s="1369">
        <f t="shared" ca="1" si="852"/>
        <v>0</v>
      </c>
      <c r="AN290" s="1287"/>
      <c r="AO290" s="1289"/>
      <c r="AP290" s="1369">
        <f t="shared" ca="1" si="853"/>
        <v>0</v>
      </c>
      <c r="AQ290" s="1287"/>
      <c r="AR290" s="1289"/>
      <c r="AS290" s="1312">
        <f t="shared" ca="1" si="854"/>
        <v>6764409.3431330938</v>
      </c>
      <c r="AT290" s="1287"/>
      <c r="AU290" s="411"/>
      <c r="AV290" s="170"/>
      <c r="AW290" s="170"/>
      <c r="AX290" s="170"/>
      <c r="AY290" s="170"/>
      <c r="AZ290" s="170"/>
      <c r="BA290" s="376"/>
      <c r="BB290" s="170"/>
      <c r="BC290" s="376"/>
      <c r="BD290" s="170"/>
      <c r="BE290" s="170"/>
      <c r="BF290" s="472"/>
      <c r="BG290" s="170"/>
      <c r="BH290" s="170"/>
      <c r="BI290" s="472"/>
      <c r="BJ290" s="170"/>
      <c r="BK290" s="170"/>
      <c r="BL290" s="472"/>
      <c r="BM290" s="170"/>
      <c r="BN290" s="170"/>
      <c r="BO290" s="472"/>
      <c r="BP290" s="170"/>
      <c r="BQ290" s="170"/>
      <c r="BR290" s="472"/>
      <c r="BS290" s="170"/>
      <c r="BT290" s="170"/>
      <c r="BU290" s="472"/>
      <c r="BV290" s="170"/>
      <c r="BW290" s="170"/>
      <c r="BX290" s="472"/>
      <c r="BY290" s="170"/>
      <c r="BZ290" s="170"/>
      <c r="CA290" s="472"/>
      <c r="CB290" s="170"/>
      <c r="CC290" s="170"/>
      <c r="CD290" s="472"/>
      <c r="CE290" s="170"/>
      <c r="CF290" s="170"/>
      <c r="CG290" s="472"/>
      <c r="CH290" s="170"/>
      <c r="CI290" s="170"/>
      <c r="CJ290" s="376"/>
      <c r="CK290" s="170"/>
      <c r="CL290" s="170"/>
      <c r="CM290" s="170"/>
      <c r="CN290" s="170"/>
      <c r="CO290" s="170"/>
      <c r="CP290" s="170"/>
      <c r="CQ290" s="376"/>
      <c r="CR290" s="170"/>
      <c r="CS290" s="376"/>
      <c r="CT290" s="170"/>
      <c r="CU290" s="170"/>
      <c r="CV290" s="376"/>
      <c r="CW290" s="170"/>
      <c r="CX290" s="170"/>
      <c r="CY290" s="376"/>
      <c r="CZ290" s="170"/>
      <c r="DA290" s="170"/>
      <c r="DB290" s="376"/>
      <c r="DC290" s="170"/>
      <c r="DD290" s="170"/>
      <c r="DE290" s="376"/>
      <c r="DF290" s="170"/>
      <c r="DG290" s="170"/>
      <c r="DH290" s="376"/>
      <c r="DI290" s="170"/>
      <c r="DJ290" s="170"/>
      <c r="DK290" s="376"/>
      <c r="DL290" s="170"/>
      <c r="DM290" s="170"/>
      <c r="DN290" s="376"/>
      <c r="DO290" s="170"/>
      <c r="DP290" s="170"/>
      <c r="DQ290" s="376"/>
      <c r="DR290" s="170"/>
      <c r="DS290" s="170"/>
      <c r="DT290" s="376"/>
      <c r="DU290" s="170"/>
      <c r="DV290" s="170"/>
      <c r="DW290" s="376"/>
      <c r="DX290" s="170"/>
      <c r="DY290" s="170"/>
      <c r="DZ290" s="376"/>
      <c r="EA290" s="170"/>
      <c r="EB290" s="170"/>
      <c r="EC290" s="170"/>
      <c r="ED290" s="170"/>
      <c r="EE290" s="170"/>
      <c r="EF290" s="170"/>
      <c r="EG290" s="170"/>
      <c r="EH290" s="170"/>
      <c r="EI290" s="170"/>
      <c r="EJ290" s="170"/>
      <c r="EK290" s="170"/>
    </row>
    <row r="291" spans="1:141" ht="15" x14ac:dyDescent="0.25">
      <c r="A291" s="170"/>
      <c r="B291" s="472"/>
      <c r="C291" s="472"/>
      <c r="D291" s="472">
        <v>7</v>
      </c>
      <c r="E291" s="170"/>
      <c r="F291" s="170"/>
      <c r="G291" s="1287" t="s">
        <v>100</v>
      </c>
      <c r="H291" s="1287"/>
      <c r="I291" s="1289"/>
      <c r="J291" s="1287"/>
      <c r="K291" s="1289"/>
      <c r="L291" s="1369">
        <f t="shared" si="843"/>
        <v>209080.81</v>
      </c>
      <c r="M291" s="1287"/>
      <c r="N291" s="1289"/>
      <c r="O291" s="1369">
        <f t="shared" ca="1" si="844"/>
        <v>35</v>
      </c>
      <c r="P291" s="1287"/>
      <c r="Q291" s="1289"/>
      <c r="R291" s="1369">
        <f t="shared" ca="1" si="845"/>
        <v>71</v>
      </c>
      <c r="S291" s="1287"/>
      <c r="T291" s="1289"/>
      <c r="U291" s="1369">
        <f t="shared" ca="1" si="846"/>
        <v>1433359</v>
      </c>
      <c r="V291" s="1287"/>
      <c r="W291" s="1289"/>
      <c r="X291" s="1369">
        <f t="shared" ca="1" si="847"/>
        <v>4242474</v>
      </c>
      <c r="Y291" s="1287"/>
      <c r="Z291" s="1289"/>
      <c r="AA291" s="1369">
        <f t="shared" ca="1" si="848"/>
        <v>2595678</v>
      </c>
      <c r="AB291" s="1287"/>
      <c r="AC291" s="1289"/>
      <c r="AD291" s="1369">
        <f t="shared" ca="1" si="849"/>
        <v>0</v>
      </c>
      <c r="AE291" s="1287"/>
      <c r="AF291" s="1289"/>
      <c r="AG291" s="1369">
        <f t="shared" ca="1" si="850"/>
        <v>0</v>
      </c>
      <c r="AH291" s="1287"/>
      <c r="AI291" s="1289"/>
      <c r="AJ291" s="1369">
        <f t="shared" ca="1" si="851"/>
        <v>0</v>
      </c>
      <c r="AK291" s="1287"/>
      <c r="AL291" s="1289"/>
      <c r="AM291" s="1369">
        <f t="shared" ca="1" si="852"/>
        <v>0</v>
      </c>
      <c r="AN291" s="1287"/>
      <c r="AO291" s="1289"/>
      <c r="AP291" s="1369">
        <f t="shared" ca="1" si="853"/>
        <v>0</v>
      </c>
      <c r="AQ291" s="1287"/>
      <c r="AR291" s="1289"/>
      <c r="AS291" s="1312">
        <f t="shared" ca="1" si="854"/>
        <v>8480697.8100000005</v>
      </c>
      <c r="AT291" s="1287"/>
      <c r="AU291" s="411"/>
      <c r="AV291" s="170"/>
      <c r="AW291" s="170"/>
      <c r="AX291" s="170"/>
      <c r="AY291" s="170"/>
      <c r="AZ291" s="170"/>
      <c r="BA291" s="376"/>
      <c r="BB291" s="170"/>
      <c r="BC291" s="376"/>
      <c r="BD291" s="170"/>
      <c r="BE291" s="170"/>
      <c r="BF291" s="472"/>
      <c r="BG291" s="170"/>
      <c r="BH291" s="170"/>
      <c r="BI291" s="472"/>
      <c r="BJ291" s="170"/>
      <c r="BK291" s="170"/>
      <c r="BL291" s="472"/>
      <c r="BM291" s="170"/>
      <c r="BN291" s="170"/>
      <c r="BO291" s="472"/>
      <c r="BP291" s="170"/>
      <c r="BQ291" s="170"/>
      <c r="BR291" s="472"/>
      <c r="BS291" s="170"/>
      <c r="BT291" s="170"/>
      <c r="BU291" s="472"/>
      <c r="BV291" s="170"/>
      <c r="BW291" s="170"/>
      <c r="BX291" s="472"/>
      <c r="BY291" s="170"/>
      <c r="BZ291" s="170"/>
      <c r="CA291" s="472"/>
      <c r="CB291" s="170"/>
      <c r="CC291" s="170"/>
      <c r="CD291" s="472"/>
      <c r="CE291" s="170"/>
      <c r="CF291" s="170"/>
      <c r="CG291" s="472"/>
      <c r="CH291" s="170"/>
      <c r="CI291" s="170"/>
      <c r="CJ291" s="376"/>
      <c r="CK291" s="170"/>
      <c r="CL291" s="170"/>
      <c r="CM291" s="170"/>
      <c r="CN291" s="170"/>
      <c r="CO291" s="170"/>
      <c r="CP291" s="170"/>
      <c r="CQ291" s="376"/>
      <c r="CR291" s="170"/>
      <c r="CS291" s="376"/>
      <c r="CT291" s="170"/>
      <c r="CU291" s="170"/>
      <c r="CV291" s="376"/>
      <c r="CW291" s="170"/>
      <c r="CX291" s="170"/>
      <c r="CY291" s="376"/>
      <c r="CZ291" s="170"/>
      <c r="DA291" s="170"/>
      <c r="DB291" s="376"/>
      <c r="DC291" s="170"/>
      <c r="DD291" s="170"/>
      <c r="DE291" s="376"/>
      <c r="DF291" s="170"/>
      <c r="DG291" s="170"/>
      <c r="DH291" s="376"/>
      <c r="DI291" s="170"/>
      <c r="DJ291" s="170"/>
      <c r="DK291" s="376"/>
      <c r="DL291" s="170"/>
      <c r="DM291" s="170"/>
      <c r="DN291" s="376"/>
      <c r="DO291" s="170"/>
      <c r="DP291" s="170"/>
      <c r="DQ291" s="376"/>
      <c r="DR291" s="170"/>
      <c r="DS291" s="170"/>
      <c r="DT291" s="376"/>
      <c r="DU291" s="170"/>
      <c r="DV291" s="170"/>
      <c r="DW291" s="376"/>
      <c r="DX291" s="170"/>
      <c r="DY291" s="170"/>
      <c r="DZ291" s="376"/>
      <c r="EA291" s="170"/>
      <c r="EB291" s="170"/>
      <c r="EC291" s="170"/>
      <c r="ED291" s="170"/>
      <c r="EE291" s="170"/>
      <c r="EF291" s="170"/>
      <c r="EG291" s="170"/>
      <c r="EH291" s="170"/>
      <c r="EI291" s="170"/>
      <c r="EJ291" s="170"/>
      <c r="EK291" s="170"/>
    </row>
    <row r="292" spans="1:141" ht="15" x14ac:dyDescent="0.25">
      <c r="A292" s="170"/>
      <c r="B292" s="472"/>
      <c r="C292" s="472"/>
      <c r="D292" s="472">
        <v>8</v>
      </c>
      <c r="E292" s="170"/>
      <c r="F292" s="170"/>
      <c r="G292" s="1287" t="s">
        <v>45</v>
      </c>
      <c r="H292" s="1287"/>
      <c r="I292" s="1289"/>
      <c r="J292" s="1287"/>
      <c r="K292" s="1289"/>
      <c r="L292" s="1369">
        <f t="shared" si="843"/>
        <v>25374.34</v>
      </c>
      <c r="M292" s="1287"/>
      <c r="N292" s="1289"/>
      <c r="O292" s="1369">
        <f t="shared" ca="1" si="844"/>
        <v>1077</v>
      </c>
      <c r="P292" s="1287"/>
      <c r="Q292" s="1289"/>
      <c r="R292" s="1369">
        <f t="shared" ca="1" si="845"/>
        <v>26933</v>
      </c>
      <c r="S292" s="1287"/>
      <c r="T292" s="1289"/>
      <c r="U292" s="1369">
        <f t="shared" ca="1" si="846"/>
        <v>460696</v>
      </c>
      <c r="V292" s="1287"/>
      <c r="W292" s="1289"/>
      <c r="X292" s="1369">
        <f t="shared" si="847"/>
        <v>1660900</v>
      </c>
      <c r="Y292" s="1287"/>
      <c r="Z292" s="1289"/>
      <c r="AA292" s="1369">
        <f t="shared" si="848"/>
        <v>657500</v>
      </c>
      <c r="AB292" s="1287"/>
      <c r="AC292" s="1289"/>
      <c r="AD292" s="1369">
        <f t="shared" ca="1" si="849"/>
        <v>0</v>
      </c>
      <c r="AE292" s="1287"/>
      <c r="AF292" s="1289"/>
      <c r="AG292" s="1369">
        <f t="shared" ca="1" si="850"/>
        <v>0</v>
      </c>
      <c r="AH292" s="1287"/>
      <c r="AI292" s="1289"/>
      <c r="AJ292" s="1369">
        <f t="shared" ca="1" si="851"/>
        <v>0</v>
      </c>
      <c r="AK292" s="1287"/>
      <c r="AL292" s="1289"/>
      <c r="AM292" s="1369">
        <f t="shared" ca="1" si="852"/>
        <v>0</v>
      </c>
      <c r="AN292" s="1287"/>
      <c r="AO292" s="1289"/>
      <c r="AP292" s="1369">
        <f t="shared" ca="1" si="853"/>
        <v>0</v>
      </c>
      <c r="AQ292" s="1287"/>
      <c r="AR292" s="1289"/>
      <c r="AS292" s="1312">
        <f t="shared" ca="1" si="854"/>
        <v>2832480.34</v>
      </c>
      <c r="AT292" s="1287"/>
      <c r="AU292" s="411"/>
      <c r="AV292" s="170"/>
      <c r="AW292" s="170"/>
      <c r="AX292" s="170"/>
      <c r="AY292" s="170"/>
      <c r="AZ292" s="170"/>
      <c r="BA292" s="376"/>
      <c r="BB292" s="170"/>
      <c r="BC292" s="376"/>
      <c r="BD292" s="170"/>
      <c r="BE292" s="170"/>
      <c r="BF292" s="472"/>
      <c r="BG292" s="170"/>
      <c r="BH292" s="170"/>
      <c r="BI292" s="472"/>
      <c r="BJ292" s="170"/>
      <c r="BK292" s="170"/>
      <c r="BL292" s="472"/>
      <c r="BM292" s="170"/>
      <c r="BN292" s="170"/>
      <c r="BO292" s="472"/>
      <c r="BP292" s="170"/>
      <c r="BQ292" s="170"/>
      <c r="BR292" s="472"/>
      <c r="BS292" s="170"/>
      <c r="BT292" s="170"/>
      <c r="BU292" s="472"/>
      <c r="BV292" s="170"/>
      <c r="BW292" s="170"/>
      <c r="BX292" s="472"/>
      <c r="BY292" s="170"/>
      <c r="BZ292" s="170"/>
      <c r="CA292" s="472"/>
      <c r="CB292" s="170"/>
      <c r="CC292" s="170"/>
      <c r="CD292" s="472"/>
      <c r="CE292" s="170"/>
      <c r="CF292" s="170"/>
      <c r="CG292" s="472"/>
      <c r="CH292" s="170"/>
      <c r="CI292" s="170"/>
      <c r="CJ292" s="376"/>
      <c r="CK292" s="170"/>
      <c r="CL292" s="170"/>
      <c r="CM292" s="170"/>
      <c r="CN292" s="170"/>
      <c r="CO292" s="170"/>
      <c r="CP292" s="170"/>
      <c r="CQ292" s="376"/>
      <c r="CR292" s="170"/>
      <c r="CS292" s="376"/>
      <c r="CT292" s="170"/>
      <c r="CU292" s="170"/>
      <c r="CV292" s="376"/>
      <c r="CW292" s="170"/>
      <c r="CX292" s="170"/>
      <c r="CY292" s="376"/>
      <c r="CZ292" s="170"/>
      <c r="DA292" s="170"/>
      <c r="DB292" s="376"/>
      <c r="DC292" s="170"/>
      <c r="DD292" s="170"/>
      <c r="DE292" s="376"/>
      <c r="DF292" s="170"/>
      <c r="DG292" s="170"/>
      <c r="DH292" s="376"/>
      <c r="DI292" s="170"/>
      <c r="DJ292" s="170"/>
      <c r="DK292" s="376"/>
      <c r="DL292" s="170"/>
      <c r="DM292" s="170"/>
      <c r="DN292" s="376"/>
      <c r="DO292" s="170"/>
      <c r="DP292" s="170"/>
      <c r="DQ292" s="376"/>
      <c r="DR292" s="170"/>
      <c r="DS292" s="170"/>
      <c r="DT292" s="376"/>
      <c r="DU292" s="170"/>
      <c r="DV292" s="170"/>
      <c r="DW292" s="376"/>
      <c r="DX292" s="170"/>
      <c r="DY292" s="170"/>
      <c r="DZ292" s="376"/>
      <c r="EA292" s="170"/>
      <c r="EB292" s="170"/>
      <c r="EC292" s="170"/>
      <c r="ED292" s="170"/>
      <c r="EE292" s="170"/>
      <c r="EF292" s="170"/>
      <c r="EG292" s="170"/>
      <c r="EH292" s="170"/>
      <c r="EI292" s="170"/>
      <c r="EJ292" s="170"/>
      <c r="EK292" s="170"/>
    </row>
    <row r="293" spans="1:141" ht="15" x14ac:dyDescent="0.25">
      <c r="A293" s="170"/>
      <c r="B293" s="472"/>
      <c r="C293" s="472"/>
      <c r="D293" s="472"/>
      <c r="E293" s="170"/>
      <c r="F293" s="170"/>
      <c r="G293" s="1287"/>
      <c r="H293" s="1287"/>
      <c r="I293" s="1289"/>
      <c r="J293" s="1287"/>
      <c r="K293" s="1289"/>
      <c r="L293" s="1369">
        <f t="shared" si="843"/>
        <v>0</v>
      </c>
      <c r="M293" s="1287"/>
      <c r="N293" s="1289"/>
      <c r="O293" s="1369">
        <f t="shared" si="844"/>
        <v>0</v>
      </c>
      <c r="P293" s="1287"/>
      <c r="Q293" s="1289"/>
      <c r="R293" s="1369">
        <f t="shared" si="845"/>
        <v>0</v>
      </c>
      <c r="S293" s="1287"/>
      <c r="T293" s="1289"/>
      <c r="U293" s="1369">
        <f t="shared" si="846"/>
        <v>0</v>
      </c>
      <c r="V293" s="1287"/>
      <c r="W293" s="1289"/>
      <c r="X293" s="1369">
        <f t="shared" si="847"/>
        <v>0</v>
      </c>
      <c r="Y293" s="1287"/>
      <c r="Z293" s="1289"/>
      <c r="AA293" s="1369">
        <f t="shared" si="848"/>
        <v>0</v>
      </c>
      <c r="AB293" s="1287"/>
      <c r="AC293" s="1289"/>
      <c r="AD293" s="1369">
        <f t="shared" si="849"/>
        <v>0</v>
      </c>
      <c r="AE293" s="1287"/>
      <c r="AF293" s="1289"/>
      <c r="AG293" s="1369">
        <f t="shared" si="850"/>
        <v>0</v>
      </c>
      <c r="AH293" s="1287"/>
      <c r="AI293" s="1289"/>
      <c r="AJ293" s="1369">
        <f t="shared" si="851"/>
        <v>0</v>
      </c>
      <c r="AK293" s="1287"/>
      <c r="AL293" s="1289"/>
      <c r="AM293" s="1369">
        <f t="shared" si="852"/>
        <v>0</v>
      </c>
      <c r="AN293" s="1287"/>
      <c r="AO293" s="1289"/>
      <c r="AP293" s="1369">
        <f t="shared" si="853"/>
        <v>0</v>
      </c>
      <c r="AQ293" s="1287"/>
      <c r="AR293" s="1289"/>
      <c r="AS293" s="1312">
        <f t="shared" si="854"/>
        <v>0</v>
      </c>
      <c r="AT293" s="1287"/>
      <c r="AU293" s="411"/>
      <c r="AV293" s="170"/>
      <c r="AW293" s="170"/>
      <c r="AX293" s="170"/>
      <c r="AY293" s="170"/>
      <c r="AZ293" s="170"/>
      <c r="BA293" s="376"/>
      <c r="BB293" s="170"/>
      <c r="BC293" s="376"/>
      <c r="BD293" s="170"/>
      <c r="BE293" s="170"/>
      <c r="BF293" s="472"/>
      <c r="BG293" s="170"/>
      <c r="BH293" s="170"/>
      <c r="BI293" s="472"/>
      <c r="BJ293" s="170"/>
      <c r="BK293" s="170"/>
      <c r="BL293" s="472"/>
      <c r="BM293" s="170"/>
      <c r="BN293" s="170"/>
      <c r="BO293" s="472"/>
      <c r="BP293" s="170"/>
      <c r="BQ293" s="170"/>
      <c r="BR293" s="472"/>
      <c r="BS293" s="170"/>
      <c r="BT293" s="170"/>
      <c r="BU293" s="472"/>
      <c r="BV293" s="170"/>
      <c r="BW293" s="170"/>
      <c r="BX293" s="472"/>
      <c r="BY293" s="170"/>
      <c r="BZ293" s="170"/>
      <c r="CA293" s="472"/>
      <c r="CB293" s="170"/>
      <c r="CC293" s="170"/>
      <c r="CD293" s="472"/>
      <c r="CE293" s="170"/>
      <c r="CF293" s="170"/>
      <c r="CG293" s="472"/>
      <c r="CH293" s="170"/>
      <c r="CI293" s="170"/>
      <c r="CJ293" s="376"/>
      <c r="CK293" s="170"/>
      <c r="CL293" s="170"/>
      <c r="CM293" s="170"/>
      <c r="CN293" s="170"/>
      <c r="CO293" s="170"/>
      <c r="CP293" s="170"/>
      <c r="CQ293" s="376"/>
      <c r="CR293" s="170"/>
      <c r="CS293" s="376"/>
      <c r="CT293" s="170"/>
      <c r="CU293" s="170"/>
      <c r="CV293" s="376"/>
      <c r="CW293" s="170"/>
      <c r="CX293" s="170"/>
      <c r="CY293" s="376"/>
      <c r="CZ293" s="170"/>
      <c r="DA293" s="170"/>
      <c r="DB293" s="376"/>
      <c r="DC293" s="170"/>
      <c r="DD293" s="170"/>
      <c r="DE293" s="376"/>
      <c r="DF293" s="170"/>
      <c r="DG293" s="170"/>
      <c r="DH293" s="376"/>
      <c r="DI293" s="170"/>
      <c r="DJ293" s="170"/>
      <c r="DK293" s="376"/>
      <c r="DL293" s="170"/>
      <c r="DM293" s="170"/>
      <c r="DN293" s="376"/>
      <c r="DO293" s="170"/>
      <c r="DP293" s="170"/>
      <c r="DQ293" s="376"/>
      <c r="DR293" s="170"/>
      <c r="DS293" s="170"/>
      <c r="DT293" s="376"/>
      <c r="DU293" s="170"/>
      <c r="DV293" s="170"/>
      <c r="DW293" s="376"/>
      <c r="DX293" s="170"/>
      <c r="DY293" s="170"/>
      <c r="DZ293" s="376"/>
      <c r="EA293" s="170"/>
      <c r="EB293" s="170"/>
      <c r="EC293" s="170"/>
      <c r="ED293" s="170"/>
      <c r="EE293" s="170"/>
      <c r="EF293" s="170"/>
      <c r="EG293" s="170"/>
      <c r="EH293" s="170"/>
      <c r="EI293" s="170"/>
      <c r="EJ293" s="170"/>
      <c r="EK293" s="170"/>
    </row>
    <row r="294" spans="1:141" ht="15" x14ac:dyDescent="0.25">
      <c r="A294" s="170"/>
      <c r="B294" s="472"/>
      <c r="C294" s="472"/>
      <c r="D294" s="472">
        <v>16</v>
      </c>
      <c r="E294" s="170"/>
      <c r="F294" s="170"/>
      <c r="G294" s="1287" t="s">
        <v>374</v>
      </c>
      <c r="H294" s="1287"/>
      <c r="I294" s="1289"/>
      <c r="J294" s="1287"/>
      <c r="K294" s="1289"/>
      <c r="L294" s="1369">
        <f t="shared" si="843"/>
        <v>0</v>
      </c>
      <c r="M294" s="1287"/>
      <c r="N294" s="1289"/>
      <c r="O294" s="1369">
        <f t="shared" ca="1" si="844"/>
        <v>0</v>
      </c>
      <c r="P294" s="1287"/>
      <c r="Q294" s="1289"/>
      <c r="R294" s="1369">
        <f t="shared" ca="1" si="845"/>
        <v>0</v>
      </c>
      <c r="S294" s="1287"/>
      <c r="T294" s="1289"/>
      <c r="U294" s="1369">
        <f t="shared" ca="1" si="846"/>
        <v>0</v>
      </c>
      <c r="V294" s="1287"/>
      <c r="W294" s="1289"/>
      <c r="X294" s="1369">
        <f t="shared" ca="1" si="847"/>
        <v>0</v>
      </c>
      <c r="Y294" s="1287"/>
      <c r="Z294" s="1289"/>
      <c r="AA294" s="1369">
        <f t="shared" ca="1" si="848"/>
        <v>0</v>
      </c>
      <c r="AB294" s="1287"/>
      <c r="AC294" s="1289"/>
      <c r="AD294" s="1369">
        <f t="shared" ca="1" si="849"/>
        <v>0</v>
      </c>
      <c r="AE294" s="1287"/>
      <c r="AF294" s="1289"/>
      <c r="AG294" s="1369">
        <f t="shared" ca="1" si="850"/>
        <v>0</v>
      </c>
      <c r="AH294" s="1287"/>
      <c r="AI294" s="1289"/>
      <c r="AJ294" s="1369">
        <f t="shared" ca="1" si="851"/>
        <v>0</v>
      </c>
      <c r="AK294" s="1287"/>
      <c r="AL294" s="1289"/>
      <c r="AM294" s="1369">
        <f t="shared" ca="1" si="852"/>
        <v>0</v>
      </c>
      <c r="AN294" s="1287"/>
      <c r="AO294" s="1289"/>
      <c r="AP294" s="1369">
        <f t="shared" ca="1" si="853"/>
        <v>0</v>
      </c>
      <c r="AQ294" s="1287"/>
      <c r="AR294" s="1289"/>
      <c r="AS294" s="1312">
        <f t="shared" ca="1" si="854"/>
        <v>0</v>
      </c>
      <c r="AT294" s="1287"/>
      <c r="AU294" s="411"/>
      <c r="AV294" s="170"/>
      <c r="AW294" s="170"/>
      <c r="AX294" s="170"/>
      <c r="AY294" s="170"/>
      <c r="AZ294" s="170"/>
      <c r="BA294" s="376"/>
      <c r="BB294" s="170"/>
      <c r="BC294" s="376"/>
      <c r="BD294" s="170"/>
      <c r="BE294" s="170"/>
      <c r="BF294" s="472"/>
      <c r="BG294" s="170"/>
      <c r="BH294" s="170"/>
      <c r="BI294" s="472"/>
      <c r="BJ294" s="170"/>
      <c r="BK294" s="170"/>
      <c r="BL294" s="472"/>
      <c r="BM294" s="170"/>
      <c r="BN294" s="170"/>
      <c r="BO294" s="472"/>
      <c r="BP294" s="170"/>
      <c r="BQ294" s="170"/>
      <c r="BR294" s="472"/>
      <c r="BS294" s="170"/>
      <c r="BT294" s="170"/>
      <c r="BU294" s="472"/>
      <c r="BV294" s="170"/>
      <c r="BW294" s="170"/>
      <c r="BX294" s="472"/>
      <c r="BY294" s="170"/>
      <c r="BZ294" s="170"/>
      <c r="CA294" s="472"/>
      <c r="CB294" s="170"/>
      <c r="CC294" s="170"/>
      <c r="CD294" s="472"/>
      <c r="CE294" s="170"/>
      <c r="CF294" s="170"/>
      <c r="CG294" s="472"/>
      <c r="CH294" s="170"/>
      <c r="CI294" s="170"/>
      <c r="CJ294" s="376"/>
      <c r="CK294" s="170"/>
      <c r="CL294" s="170"/>
      <c r="CM294" s="170"/>
      <c r="CN294" s="170"/>
      <c r="CO294" s="170"/>
      <c r="CP294" s="170"/>
      <c r="CQ294" s="376"/>
      <c r="CR294" s="170"/>
      <c r="CS294" s="376"/>
      <c r="CT294" s="170"/>
      <c r="CU294" s="170"/>
      <c r="CV294" s="376"/>
      <c r="CW294" s="170"/>
      <c r="CX294" s="170"/>
      <c r="CY294" s="376"/>
      <c r="CZ294" s="170"/>
      <c r="DA294" s="170"/>
      <c r="DB294" s="376"/>
      <c r="DC294" s="170"/>
      <c r="DD294" s="170"/>
      <c r="DE294" s="376"/>
      <c r="DF294" s="170"/>
      <c r="DG294" s="170"/>
      <c r="DH294" s="376"/>
      <c r="DI294" s="170"/>
      <c r="DJ294" s="170"/>
      <c r="DK294" s="376"/>
      <c r="DL294" s="170"/>
      <c r="DM294" s="170"/>
      <c r="DN294" s="376"/>
      <c r="DO294" s="170"/>
      <c r="DP294" s="170"/>
      <c r="DQ294" s="376"/>
      <c r="DR294" s="170"/>
      <c r="DS294" s="170"/>
      <c r="DT294" s="376"/>
      <c r="DU294" s="170"/>
      <c r="DV294" s="170"/>
      <c r="DW294" s="376"/>
      <c r="DX294" s="170"/>
      <c r="DY294" s="170"/>
      <c r="DZ294" s="376"/>
      <c r="EA294" s="170"/>
      <c r="EB294" s="170"/>
      <c r="EC294" s="170"/>
      <c r="ED294" s="170"/>
      <c r="EE294" s="170"/>
      <c r="EF294" s="170"/>
      <c r="EG294" s="170"/>
      <c r="EH294" s="170"/>
      <c r="EI294" s="170"/>
      <c r="EJ294" s="170"/>
      <c r="EK294" s="170"/>
    </row>
    <row r="295" spans="1:141" ht="15" x14ac:dyDescent="0.25">
      <c r="A295" s="170"/>
      <c r="B295" s="472"/>
      <c r="C295" s="472"/>
      <c r="D295" s="472"/>
      <c r="E295" s="170"/>
      <c r="F295" s="170"/>
      <c r="G295" s="1287"/>
      <c r="H295" s="1287"/>
      <c r="I295" s="1289"/>
      <c r="J295" s="1287"/>
      <c r="K295" s="1289"/>
      <c r="L295" s="1287"/>
      <c r="M295" s="1287"/>
      <c r="N295" s="1289"/>
      <c r="O295" s="1289"/>
      <c r="P295" s="1287"/>
      <c r="Q295" s="1289"/>
      <c r="R295" s="1287"/>
      <c r="S295" s="1287"/>
      <c r="T295" s="1289"/>
      <c r="U295" s="1287"/>
      <c r="V295" s="1287"/>
      <c r="W295" s="1289"/>
      <c r="X295" s="1287"/>
      <c r="Y295" s="1287"/>
      <c r="Z295" s="1289"/>
      <c r="AA295" s="1287"/>
      <c r="AB295" s="1287"/>
      <c r="AC295" s="1289"/>
      <c r="AD295" s="1287"/>
      <c r="AE295" s="1287"/>
      <c r="AF295" s="1289"/>
      <c r="AG295" s="1287"/>
      <c r="AH295" s="1287"/>
      <c r="AI295" s="1289"/>
      <c r="AJ295" s="1287"/>
      <c r="AK295" s="1287"/>
      <c r="AL295" s="1289"/>
      <c r="AM295" s="1287"/>
      <c r="AN295" s="1287"/>
      <c r="AO295" s="1289"/>
      <c r="AP295" s="1287"/>
      <c r="AQ295" s="1287"/>
      <c r="AR295" s="1289"/>
      <c r="AS295" s="1312">
        <f t="shared" si="854"/>
        <v>0</v>
      </c>
      <c r="AT295" s="1287"/>
      <c r="AU295" s="411"/>
      <c r="AV295" s="170"/>
      <c r="AW295" s="170"/>
      <c r="AX295" s="170"/>
      <c r="AY295" s="170"/>
      <c r="AZ295" s="170"/>
      <c r="BA295" s="376"/>
      <c r="BB295" s="170"/>
      <c r="BC295" s="376"/>
      <c r="BD295" s="170"/>
      <c r="BE295" s="170"/>
      <c r="BF295" s="472"/>
      <c r="BG295" s="170"/>
      <c r="BH295" s="170"/>
      <c r="BI295" s="472"/>
      <c r="BJ295" s="170"/>
      <c r="BK295" s="170"/>
      <c r="BL295" s="472"/>
      <c r="BM295" s="170"/>
      <c r="BN295" s="170"/>
      <c r="BO295" s="472"/>
      <c r="BP295" s="170"/>
      <c r="BQ295" s="170"/>
      <c r="BR295" s="472"/>
      <c r="BS295" s="170"/>
      <c r="BT295" s="170"/>
      <c r="BU295" s="472"/>
      <c r="BV295" s="170"/>
      <c r="BW295" s="170"/>
      <c r="BX295" s="472"/>
      <c r="BY295" s="170"/>
      <c r="BZ295" s="170"/>
      <c r="CA295" s="472"/>
      <c r="CB295" s="170"/>
      <c r="CC295" s="170"/>
      <c r="CD295" s="472"/>
      <c r="CE295" s="170"/>
      <c r="CF295" s="170"/>
      <c r="CG295" s="472"/>
      <c r="CH295" s="170"/>
      <c r="CI295" s="170"/>
      <c r="CJ295" s="376"/>
      <c r="CK295" s="170"/>
      <c r="CL295" s="170"/>
      <c r="CM295" s="170"/>
      <c r="CN295" s="170"/>
      <c r="CO295" s="170"/>
      <c r="CP295" s="170"/>
      <c r="CQ295" s="376"/>
      <c r="CR295" s="170"/>
      <c r="CS295" s="376"/>
      <c r="CT295" s="170"/>
      <c r="CU295" s="170"/>
      <c r="CV295" s="376"/>
      <c r="CW295" s="170"/>
      <c r="CX295" s="170"/>
      <c r="CY295" s="376"/>
      <c r="CZ295" s="170"/>
      <c r="DA295" s="170"/>
      <c r="DB295" s="376"/>
      <c r="DC295" s="170"/>
      <c r="DD295" s="170"/>
      <c r="DE295" s="376"/>
      <c r="DF295" s="170"/>
      <c r="DG295" s="170"/>
      <c r="DH295" s="376"/>
      <c r="DI295" s="170"/>
      <c r="DJ295" s="170"/>
      <c r="DK295" s="376"/>
      <c r="DL295" s="170"/>
      <c r="DM295" s="170"/>
      <c r="DN295" s="376"/>
      <c r="DO295" s="170"/>
      <c r="DP295" s="170"/>
      <c r="DQ295" s="376"/>
      <c r="DR295" s="170"/>
      <c r="DS295" s="170"/>
      <c r="DT295" s="376"/>
      <c r="DU295" s="170"/>
      <c r="DV295" s="170"/>
      <c r="DW295" s="376"/>
      <c r="DX295" s="170"/>
      <c r="DY295" s="170"/>
      <c r="DZ295" s="376"/>
      <c r="EA295" s="170"/>
      <c r="EB295" s="170"/>
      <c r="EC295" s="170"/>
      <c r="ED295" s="170"/>
      <c r="EE295" s="170"/>
      <c r="EF295" s="170"/>
      <c r="EG295" s="170"/>
      <c r="EH295" s="170"/>
      <c r="EI295" s="170"/>
      <c r="EJ295" s="170"/>
      <c r="EK295" s="170"/>
    </row>
    <row r="296" spans="1:141" ht="15" x14ac:dyDescent="0.25">
      <c r="A296" s="170"/>
      <c r="B296" s="472"/>
      <c r="C296" s="472"/>
      <c r="D296" s="472"/>
      <c r="E296" s="170"/>
      <c r="F296" s="170"/>
      <c r="G296" s="1287"/>
      <c r="H296" s="1287"/>
      <c r="I296" s="1289"/>
      <c r="J296" s="1287"/>
      <c r="K296" s="1289"/>
      <c r="L296" s="1287"/>
      <c r="M296" s="1287"/>
      <c r="N296" s="1289"/>
      <c r="O296" s="1289"/>
      <c r="P296" s="1287"/>
      <c r="Q296" s="1289"/>
      <c r="R296" s="1287"/>
      <c r="S296" s="1287"/>
      <c r="T296" s="1289"/>
      <c r="U296" s="1287"/>
      <c r="V296" s="1287"/>
      <c r="W296" s="1289"/>
      <c r="X296" s="1287"/>
      <c r="Y296" s="1287"/>
      <c r="Z296" s="1289"/>
      <c r="AA296" s="1287"/>
      <c r="AB296" s="1287"/>
      <c r="AC296" s="1289"/>
      <c r="AD296" s="1287"/>
      <c r="AE296" s="1287"/>
      <c r="AF296" s="1289"/>
      <c r="AG296" s="1287"/>
      <c r="AH296" s="1287"/>
      <c r="AI296" s="1289"/>
      <c r="AJ296" s="1287"/>
      <c r="AK296" s="1287"/>
      <c r="AL296" s="1289"/>
      <c r="AM296" s="1287"/>
      <c r="AN296" s="1287"/>
      <c r="AO296" s="1289"/>
      <c r="AP296" s="1287"/>
      <c r="AQ296" s="1287"/>
      <c r="AR296" s="1289"/>
      <c r="AS296" s="1312">
        <f t="shared" si="854"/>
        <v>0</v>
      </c>
      <c r="AT296" s="1287"/>
      <c r="AU296" s="411"/>
      <c r="AV296" s="170"/>
      <c r="AW296" s="170"/>
      <c r="AX296" s="170"/>
      <c r="AY296" s="170"/>
      <c r="AZ296" s="170"/>
      <c r="BA296" s="376"/>
      <c r="BB296" s="170"/>
      <c r="BC296" s="376"/>
      <c r="BD296" s="170"/>
      <c r="BE296" s="170"/>
      <c r="BF296" s="472"/>
      <c r="BG296" s="170"/>
      <c r="BH296" s="170"/>
      <c r="BI296" s="472"/>
      <c r="BJ296" s="170"/>
      <c r="BK296" s="170"/>
      <c r="BL296" s="472"/>
      <c r="BM296" s="170"/>
      <c r="BN296" s="170"/>
      <c r="BO296" s="472"/>
      <c r="BP296" s="170"/>
      <c r="BQ296" s="170"/>
      <c r="BR296" s="472"/>
      <c r="BS296" s="170"/>
      <c r="BT296" s="170"/>
      <c r="BU296" s="472"/>
      <c r="BV296" s="170"/>
      <c r="BW296" s="170"/>
      <c r="BX296" s="472"/>
      <c r="BY296" s="170"/>
      <c r="BZ296" s="170"/>
      <c r="CA296" s="472"/>
      <c r="CB296" s="170"/>
      <c r="CC296" s="170"/>
      <c r="CD296" s="472"/>
      <c r="CE296" s="170"/>
      <c r="CF296" s="170"/>
      <c r="CG296" s="472"/>
      <c r="CH296" s="170"/>
      <c r="CI296" s="170"/>
      <c r="CJ296" s="376"/>
      <c r="CK296" s="170"/>
      <c r="CL296" s="170"/>
      <c r="CM296" s="170"/>
      <c r="CN296" s="170"/>
      <c r="CO296" s="170"/>
      <c r="CP296" s="170"/>
      <c r="CQ296" s="376"/>
      <c r="CR296" s="170"/>
      <c r="CS296" s="376"/>
      <c r="CT296" s="170"/>
      <c r="CU296" s="170"/>
      <c r="CV296" s="376"/>
      <c r="CW296" s="170"/>
      <c r="CX296" s="170"/>
      <c r="CY296" s="376"/>
      <c r="CZ296" s="170"/>
      <c r="DA296" s="170"/>
      <c r="DB296" s="376"/>
      <c r="DC296" s="170"/>
      <c r="DD296" s="170"/>
      <c r="DE296" s="376"/>
      <c r="DF296" s="170"/>
      <c r="DG296" s="170"/>
      <c r="DH296" s="376"/>
      <c r="DI296" s="170"/>
      <c r="DJ296" s="170"/>
      <c r="DK296" s="376"/>
      <c r="DL296" s="170"/>
      <c r="DM296" s="170"/>
      <c r="DN296" s="376"/>
      <c r="DO296" s="170"/>
      <c r="DP296" s="170"/>
      <c r="DQ296" s="376"/>
      <c r="DR296" s="170"/>
      <c r="DS296" s="170"/>
      <c r="DT296" s="376"/>
      <c r="DU296" s="170"/>
      <c r="DV296" s="170"/>
      <c r="DW296" s="376"/>
      <c r="DX296" s="170"/>
      <c r="DY296" s="170"/>
      <c r="DZ296" s="376"/>
      <c r="EA296" s="170"/>
      <c r="EB296" s="170"/>
      <c r="EC296" s="170"/>
      <c r="ED296" s="170"/>
      <c r="EE296" s="170"/>
      <c r="EF296" s="170"/>
      <c r="EG296" s="170"/>
      <c r="EH296" s="170"/>
      <c r="EI296" s="170"/>
      <c r="EJ296" s="170"/>
      <c r="EK296" s="170"/>
    </row>
    <row r="297" spans="1:141" ht="18.75" thickBot="1" x14ac:dyDescent="0.3">
      <c r="A297" s="557"/>
      <c r="B297" s="472"/>
      <c r="C297" s="472"/>
      <c r="D297" s="472"/>
      <c r="E297" s="170"/>
      <c r="F297" s="524"/>
      <c r="G297" s="1782" t="s">
        <v>1476</v>
      </c>
      <c r="H297" s="1360"/>
      <c r="I297" s="1310"/>
      <c r="J297" s="1690"/>
      <c r="K297" s="1361"/>
      <c r="L297" s="1362">
        <f>SUM(L285:M296)</f>
        <v>375891.79000000004</v>
      </c>
      <c r="M297" s="1690"/>
      <c r="N297" s="1361"/>
      <c r="O297" s="1362">
        <f ca="1">SUM(O285:P296)</f>
        <v>5029</v>
      </c>
      <c r="P297" s="1690"/>
      <c r="Q297" s="1362">
        <f ca="1">SUM(Q285:R296)</f>
        <v>34984</v>
      </c>
      <c r="R297" s="1362">
        <f ca="1">SUM(R288:R296)</f>
        <v>34984</v>
      </c>
      <c r="S297" s="1690"/>
      <c r="T297" s="1361"/>
      <c r="U297" s="1362">
        <f ca="1">SUM(U285:V296)</f>
        <v>14337401.959716547</v>
      </c>
      <c r="V297" s="1690"/>
      <c r="W297" s="1361"/>
      <c r="X297" s="1362">
        <f ca="1">SUM(X285:Y296)</f>
        <v>23439681.999482948</v>
      </c>
      <c r="Y297" s="1690"/>
      <c r="Z297" s="1361"/>
      <c r="AA297" s="1362">
        <f ca="1">SUM(AA285:AB296)</f>
        <v>7903371.1926781684</v>
      </c>
      <c r="AB297" s="1690"/>
      <c r="AC297" s="1361"/>
      <c r="AD297" s="1362">
        <f ca="1">SUM(AD285:AQ296)</f>
        <v>0</v>
      </c>
      <c r="AE297" s="1690"/>
      <c r="AF297" s="1361"/>
      <c r="AG297" s="1362">
        <f ca="1">SUM(AG285:AT296)</f>
        <v>46096359.941877663</v>
      </c>
      <c r="AH297" s="1690"/>
      <c r="AI297" s="1361"/>
      <c r="AJ297" s="1362">
        <f ca="1">SUM(AJ285:AW296)</f>
        <v>46096359.941877663</v>
      </c>
      <c r="AK297" s="1690"/>
      <c r="AL297" s="1361"/>
      <c r="AM297" s="1362">
        <f ca="1">SUM(AM285:AZ296)</f>
        <v>46096359.941877663</v>
      </c>
      <c r="AN297" s="1690"/>
      <c r="AO297" s="1361"/>
      <c r="AP297" s="1362">
        <f ca="1">SUM(AP285:BC296)</f>
        <v>46096359.941877663</v>
      </c>
      <c r="AQ297" s="1690"/>
      <c r="AR297" s="1361"/>
      <c r="AS297" s="1362">
        <f ca="1">SUM(AS285:AT296)</f>
        <v>46096359.941877663</v>
      </c>
      <c r="AT297" s="1690"/>
      <c r="AU297" s="411"/>
      <c r="AV297" s="170"/>
      <c r="AW297" s="523"/>
      <c r="AX297" s="524"/>
      <c r="AY297" s="536" t="str">
        <f>+G297</f>
        <v>Total costs by PAF breakout code</v>
      </c>
      <c r="AZ297" s="535"/>
      <c r="BA297" s="536"/>
      <c r="BB297" s="1637"/>
      <c r="BC297" s="1642"/>
      <c r="BD297" s="537">
        <f>SUM(BD288:BD296)</f>
        <v>0</v>
      </c>
      <c r="BE297" s="1637"/>
      <c r="BF297" s="1653"/>
      <c r="BG297" s="537">
        <f>SUM(BG288:BG296)</f>
        <v>0</v>
      </c>
      <c r="BH297" s="1637"/>
      <c r="BI297" s="1653"/>
      <c r="BJ297" s="537">
        <f>SUM(BJ288:BJ296)</f>
        <v>0</v>
      </c>
      <c r="BK297" s="1676"/>
      <c r="BL297" s="1653"/>
      <c r="BM297" s="537">
        <f>SUM(BM288:BM296)</f>
        <v>0</v>
      </c>
      <c r="BN297" s="1637"/>
      <c r="BO297" s="1653"/>
      <c r="BP297" s="537">
        <f>SUM(BP288:BP296)</f>
        <v>0</v>
      </c>
      <c r="BQ297" s="1637"/>
      <c r="BR297" s="1653"/>
      <c r="BS297" s="537">
        <f>SUM(BS288:BS296)</f>
        <v>0</v>
      </c>
      <c r="BT297" s="1637"/>
      <c r="BU297" s="1653"/>
      <c r="BV297" s="537">
        <f>SUM(BV288:BV296)</f>
        <v>0</v>
      </c>
      <c r="BW297" s="1637"/>
      <c r="BX297" s="1653"/>
      <c r="BY297" s="537">
        <f>SUM(BY288:BY296)</f>
        <v>0</v>
      </c>
      <c r="BZ297" s="1637"/>
      <c r="CA297" s="1653"/>
      <c r="CB297" s="537">
        <f>SUM(CB288:CB296)</f>
        <v>0</v>
      </c>
      <c r="CC297" s="1637"/>
      <c r="CD297" s="1653"/>
      <c r="CE297" s="537">
        <f>SUM(CE288:CE296)</f>
        <v>0</v>
      </c>
      <c r="CF297" s="1637"/>
      <c r="CG297" s="1653"/>
      <c r="CH297" s="537">
        <f>SUM(CH288:CH296)</f>
        <v>0</v>
      </c>
      <c r="CI297" s="1637"/>
      <c r="CJ297" s="1642"/>
      <c r="CK297" s="537">
        <f>SUM(CK288:CK296)</f>
        <v>0</v>
      </c>
      <c r="CL297" s="569"/>
      <c r="CM297" s="170"/>
      <c r="CN297" s="524"/>
      <c r="CO297" s="540" t="s">
        <v>379</v>
      </c>
      <c r="CP297" s="539"/>
      <c r="CQ297" s="540"/>
      <c r="CR297" s="1710"/>
      <c r="CS297" s="1698"/>
      <c r="CT297" s="541">
        <f>SUM(CT288:CT296)</f>
        <v>0</v>
      </c>
      <c r="CU297" s="1710"/>
      <c r="CV297" s="1698"/>
      <c r="CW297" s="541">
        <f>SUM(CW288:CW296)</f>
        <v>0</v>
      </c>
      <c r="CX297" s="1710"/>
      <c r="CY297" s="1698"/>
      <c r="CZ297" s="541">
        <f>SUM(CZ288:CZ296)</f>
        <v>0</v>
      </c>
      <c r="DA297" s="1710"/>
      <c r="DB297" s="1698"/>
      <c r="DC297" s="541">
        <f>SUM(DC288:DC296)</f>
        <v>0</v>
      </c>
      <c r="DD297" s="1710"/>
      <c r="DE297" s="1698"/>
      <c r="DF297" s="541">
        <f>SUM(DF288:DF296)</f>
        <v>0</v>
      </c>
      <c r="DG297" s="1710"/>
      <c r="DH297" s="1698"/>
      <c r="DI297" s="541">
        <f>SUM(DI288:DI296)</f>
        <v>0</v>
      </c>
      <c r="DJ297" s="1710"/>
      <c r="DK297" s="1698"/>
      <c r="DL297" s="541">
        <f>SUM(DL288:DL296)</f>
        <v>0</v>
      </c>
      <c r="DM297" s="1710"/>
      <c r="DN297" s="1698"/>
      <c r="DO297" s="541">
        <f>SUM(DO288:DO296)</f>
        <v>0</v>
      </c>
      <c r="DP297" s="1710"/>
      <c r="DQ297" s="1698"/>
      <c r="DR297" s="541">
        <f>SUM(DR288:DR296)</f>
        <v>0</v>
      </c>
      <c r="DS297" s="1710"/>
      <c r="DT297" s="1698"/>
      <c r="DU297" s="541">
        <f>SUM(DU288:DU296)</f>
        <v>0</v>
      </c>
      <c r="DV297" s="1710"/>
      <c r="DW297" s="1698"/>
      <c r="DX297" s="541">
        <f>SUM(DX288:DX296)</f>
        <v>0</v>
      </c>
      <c r="DY297" s="1710"/>
      <c r="DZ297" s="1698"/>
      <c r="EA297" s="570">
        <f>SUM(EA288:EA296)</f>
        <v>0</v>
      </c>
      <c r="EB297" s="170"/>
      <c r="EC297" s="170"/>
      <c r="ED297" s="170"/>
      <c r="EE297" s="170"/>
      <c r="EF297" s="170"/>
      <c r="EG297" s="170"/>
      <c r="EH297" s="170"/>
      <c r="EI297" s="170"/>
      <c r="EJ297" s="170"/>
      <c r="EK297" s="170"/>
    </row>
    <row r="298" spans="1:141" ht="15" x14ac:dyDescent="0.25">
      <c r="A298" s="170"/>
      <c r="B298" s="472"/>
      <c r="C298" s="472"/>
      <c r="D298" s="472"/>
      <c r="E298" s="170"/>
      <c r="F298" s="170"/>
      <c r="G298" s="1287"/>
      <c r="H298" s="1287"/>
      <c r="I298" s="1289"/>
      <c r="J298" s="1287"/>
      <c r="K298" s="1289"/>
      <c r="L298" s="1287"/>
      <c r="M298" s="1287"/>
      <c r="N298" s="1289"/>
      <c r="O298" s="1289"/>
      <c r="P298" s="1287"/>
      <c r="Q298" s="1289"/>
      <c r="R298" s="1287"/>
      <c r="S298" s="1287"/>
      <c r="T298" s="1289"/>
      <c r="U298" s="1287"/>
      <c r="V298" s="1287"/>
      <c r="W298" s="1289"/>
      <c r="X298" s="1287"/>
      <c r="Y298" s="1287"/>
      <c r="Z298" s="1289"/>
      <c r="AA298" s="1287"/>
      <c r="AB298" s="1287"/>
      <c r="AC298" s="1289"/>
      <c r="AD298" s="1287"/>
      <c r="AE298" s="1287"/>
      <c r="AF298" s="1289"/>
      <c r="AG298" s="1287"/>
      <c r="AH298" s="1287"/>
      <c r="AI298" s="1289"/>
      <c r="AJ298" s="1287"/>
      <c r="AK298" s="1287"/>
      <c r="AL298" s="1289"/>
      <c r="AM298" s="1287"/>
      <c r="AN298" s="1287"/>
      <c r="AO298" s="1289"/>
      <c r="AP298" s="1287"/>
      <c r="AQ298" s="1287"/>
      <c r="AR298" s="1289"/>
      <c r="AS298" s="1287"/>
      <c r="AT298" s="1287"/>
      <c r="AU298" s="411"/>
      <c r="AV298" s="170"/>
      <c r="AW298" s="170"/>
      <c r="AX298" s="170"/>
      <c r="AY298" s="170"/>
      <c r="AZ298" s="170"/>
      <c r="BA298" s="376"/>
      <c r="BB298" s="170"/>
      <c r="BC298" s="376"/>
      <c r="BD298" s="170"/>
      <c r="BE298" s="170"/>
      <c r="BF298" s="472"/>
      <c r="BG298" s="170"/>
      <c r="BH298" s="170"/>
      <c r="BI298" s="472"/>
      <c r="BJ298" s="170"/>
      <c r="BK298" s="170"/>
      <c r="BL298" s="472"/>
      <c r="BM298" s="170"/>
      <c r="BN298" s="170"/>
      <c r="BO298" s="472"/>
      <c r="BP298" s="170"/>
      <c r="BQ298" s="170"/>
      <c r="BR298" s="472"/>
      <c r="BS298" s="170"/>
      <c r="BT298" s="170"/>
      <c r="BU298" s="472"/>
      <c r="BV298" s="170"/>
      <c r="BW298" s="170"/>
      <c r="BX298" s="472"/>
      <c r="BY298" s="170"/>
      <c r="BZ298" s="170"/>
      <c r="CA298" s="472"/>
      <c r="CB298" s="170"/>
      <c r="CC298" s="170"/>
      <c r="CD298" s="472"/>
      <c r="CE298" s="170"/>
      <c r="CF298" s="170"/>
      <c r="CG298" s="472"/>
      <c r="CH298" s="170"/>
      <c r="CI298" s="170"/>
      <c r="CJ298" s="376"/>
      <c r="CK298" s="170"/>
      <c r="CL298" s="170"/>
      <c r="CM298" s="170"/>
      <c r="CN298" s="170"/>
      <c r="CO298" s="170"/>
      <c r="CP298" s="170"/>
      <c r="CQ298" s="376"/>
      <c r="CR298" s="170"/>
      <c r="CS298" s="376"/>
      <c r="CT298" s="170"/>
      <c r="CU298" s="170"/>
      <c r="CV298" s="376"/>
      <c r="CW298" s="170"/>
      <c r="CX298" s="170"/>
      <c r="CY298" s="376"/>
      <c r="CZ298" s="170"/>
      <c r="DA298" s="170"/>
      <c r="DB298" s="376"/>
      <c r="DC298" s="170"/>
      <c r="DD298" s="170"/>
      <c r="DE298" s="376"/>
      <c r="DF298" s="170"/>
      <c r="DG298" s="170"/>
      <c r="DH298" s="376"/>
      <c r="DI298" s="170"/>
      <c r="DJ298" s="170"/>
      <c r="DK298" s="376"/>
      <c r="DL298" s="170"/>
      <c r="DM298" s="170"/>
      <c r="DN298" s="376"/>
      <c r="DO298" s="170"/>
      <c r="DP298" s="170"/>
      <c r="DQ298" s="376"/>
      <c r="DR298" s="170"/>
      <c r="DS298" s="170"/>
      <c r="DT298" s="376"/>
      <c r="DU298" s="170"/>
      <c r="DV298" s="170"/>
      <c r="DW298" s="376"/>
      <c r="DX298" s="170"/>
      <c r="DY298" s="170"/>
      <c r="DZ298" s="376"/>
      <c r="EA298" s="170"/>
      <c r="EB298" s="170"/>
      <c r="EC298" s="170"/>
      <c r="ED298" s="170"/>
      <c r="EE298" s="170"/>
      <c r="EF298" s="170"/>
      <c r="EG298" s="170"/>
      <c r="EH298" s="170"/>
      <c r="EI298" s="170"/>
      <c r="EJ298" s="170"/>
      <c r="EK298" s="170"/>
    </row>
    <row r="299" spans="1:141" ht="15" x14ac:dyDescent="0.25">
      <c r="A299" s="170"/>
      <c r="B299" s="472"/>
      <c r="C299" s="472"/>
      <c r="D299" s="472"/>
      <c r="E299" s="170"/>
      <c r="F299" s="170"/>
      <c r="G299" s="1287"/>
      <c r="H299" s="1287"/>
      <c r="I299" s="1289"/>
      <c r="J299" s="1287"/>
      <c r="K299" s="1289"/>
      <c r="L299" s="1287"/>
      <c r="M299" s="1287"/>
      <c r="N299" s="1289"/>
      <c r="O299" s="1289"/>
      <c r="P299" s="1287"/>
      <c r="Q299" s="1289"/>
      <c r="R299" s="1287"/>
      <c r="S299" s="1287"/>
      <c r="T299" s="1289"/>
      <c r="U299" s="1287"/>
      <c r="V299" s="1287"/>
      <c r="W299" s="1289"/>
      <c r="X299" s="1287"/>
      <c r="Y299" s="1287"/>
      <c r="Z299" s="1289"/>
      <c r="AA299" s="1287"/>
      <c r="AB299" s="1287"/>
      <c r="AC299" s="1289"/>
      <c r="AD299" s="1287"/>
      <c r="AE299" s="1287"/>
      <c r="AF299" s="1289"/>
      <c r="AG299" s="1287"/>
      <c r="AH299" s="1287"/>
      <c r="AI299" s="1289"/>
      <c r="AJ299" s="1287"/>
      <c r="AK299" s="1287"/>
      <c r="AL299" s="1289"/>
      <c r="AM299" s="1287"/>
      <c r="AN299" s="1287"/>
      <c r="AO299" s="1289"/>
      <c r="AP299" s="1287"/>
      <c r="AQ299" s="1287"/>
      <c r="AR299" s="1289"/>
      <c r="AS299" s="1287"/>
      <c r="AT299" s="1287"/>
      <c r="AU299" s="411"/>
      <c r="AV299" s="170"/>
      <c r="AW299" s="170"/>
      <c r="AX299" s="170"/>
      <c r="AY299" s="170"/>
      <c r="AZ299" s="170"/>
      <c r="BA299" s="376"/>
      <c r="BB299" s="170"/>
      <c r="BC299" s="376"/>
      <c r="BD299" s="170"/>
      <c r="BE299" s="170"/>
      <c r="BF299" s="472"/>
      <c r="BG299" s="170"/>
      <c r="BH299" s="170"/>
      <c r="BI299" s="472"/>
      <c r="BJ299" s="170"/>
      <c r="BK299" s="170"/>
      <c r="BL299" s="472"/>
      <c r="BM299" s="170"/>
      <c r="BN299" s="170"/>
      <c r="BO299" s="472"/>
      <c r="BP299" s="170"/>
      <c r="BQ299" s="170"/>
      <c r="BR299" s="472"/>
      <c r="BS299" s="170"/>
      <c r="BT299" s="170"/>
      <c r="BU299" s="472"/>
      <c r="BV299" s="170"/>
      <c r="BW299" s="170"/>
      <c r="BX299" s="472"/>
      <c r="BY299" s="170"/>
      <c r="BZ299" s="170"/>
      <c r="CA299" s="472"/>
      <c r="CB299" s="170"/>
      <c r="CC299" s="170"/>
      <c r="CD299" s="472"/>
      <c r="CE299" s="170"/>
      <c r="CF299" s="170"/>
      <c r="CG299" s="472"/>
      <c r="CH299" s="170"/>
      <c r="CI299" s="170"/>
      <c r="CJ299" s="376"/>
      <c r="CK299" s="170"/>
      <c r="CL299" s="170"/>
      <c r="CM299" s="170"/>
      <c r="CN299" s="170"/>
      <c r="CO299" s="170"/>
      <c r="CP299" s="170"/>
      <c r="CQ299" s="376"/>
      <c r="CR299" s="170"/>
      <c r="CS299" s="376"/>
      <c r="CT299" s="170"/>
      <c r="CU299" s="170"/>
      <c r="CV299" s="376"/>
      <c r="CW299" s="170"/>
      <c r="CX299" s="170"/>
      <c r="CY299" s="376"/>
      <c r="CZ299" s="170"/>
      <c r="DA299" s="170"/>
      <c r="DB299" s="376"/>
      <c r="DC299" s="170"/>
      <c r="DD299" s="170"/>
      <c r="DE299" s="376"/>
      <c r="DF299" s="170"/>
      <c r="DG299" s="170"/>
      <c r="DH299" s="376"/>
      <c r="DI299" s="170"/>
      <c r="DJ299" s="170"/>
      <c r="DK299" s="376"/>
      <c r="DL299" s="170"/>
      <c r="DM299" s="170"/>
      <c r="DN299" s="376"/>
      <c r="DO299" s="170"/>
      <c r="DP299" s="170"/>
      <c r="DQ299" s="376"/>
      <c r="DR299" s="170"/>
      <c r="DS299" s="170"/>
      <c r="DT299" s="376"/>
      <c r="DU299" s="170"/>
      <c r="DV299" s="170"/>
      <c r="DW299" s="376"/>
      <c r="DX299" s="170"/>
      <c r="DY299" s="170"/>
      <c r="DZ299" s="376"/>
      <c r="EA299" s="170"/>
      <c r="EB299" s="170"/>
      <c r="EC299" s="170"/>
      <c r="ED299" s="170"/>
      <c r="EE299" s="170"/>
      <c r="EF299" s="170"/>
      <c r="EG299" s="170"/>
      <c r="EH299" s="170"/>
      <c r="EI299" s="170"/>
      <c r="EJ299" s="170"/>
      <c r="EK299" s="170"/>
    </row>
    <row r="300" spans="1:141" ht="15.75" thickBot="1" x14ac:dyDescent="0.3">
      <c r="A300" s="170"/>
      <c r="B300" s="472"/>
      <c r="C300" s="472"/>
      <c r="D300" s="472"/>
      <c r="E300" s="170"/>
      <c r="F300" s="170"/>
      <c r="G300" s="1287"/>
      <c r="H300" s="1287"/>
      <c r="I300" s="1289"/>
      <c r="J300" s="1287"/>
      <c r="K300" s="1289"/>
      <c r="L300" s="1287"/>
      <c r="M300" s="1287"/>
      <c r="N300" s="1289"/>
      <c r="O300" s="1289"/>
      <c r="P300" s="1287"/>
      <c r="Q300" s="1289"/>
      <c r="R300" s="1287"/>
      <c r="S300" s="1287"/>
      <c r="T300" s="1289"/>
      <c r="U300" s="1287"/>
      <c r="V300" s="1287"/>
      <c r="W300" s="1289"/>
      <c r="X300" s="1287"/>
      <c r="Y300" s="1287"/>
      <c r="Z300" s="1289"/>
      <c r="AA300" s="1287"/>
      <c r="AB300" s="1287"/>
      <c r="AC300" s="1289"/>
      <c r="AD300" s="1287"/>
      <c r="AE300" s="1287"/>
      <c r="AF300" s="1289"/>
      <c r="AG300" s="1287"/>
      <c r="AH300" s="1287"/>
      <c r="AI300" s="1289"/>
      <c r="AJ300" s="1287"/>
      <c r="AK300" s="1287"/>
      <c r="AL300" s="1289"/>
      <c r="AM300" s="1287"/>
      <c r="AN300" s="1287"/>
      <c r="AO300" s="1289"/>
      <c r="AP300" s="1287"/>
      <c r="AQ300" s="1287"/>
      <c r="AR300" s="1289"/>
      <c r="AS300" s="1287"/>
      <c r="AT300" s="1287"/>
      <c r="AU300" s="411"/>
      <c r="AV300" s="170"/>
      <c r="AW300" s="170"/>
      <c r="AX300" s="170"/>
      <c r="AY300" s="170"/>
      <c r="AZ300" s="170"/>
      <c r="BA300" s="376"/>
      <c r="BB300" s="170"/>
      <c r="BC300" s="376"/>
      <c r="BD300" s="170"/>
      <c r="BE300" s="170"/>
      <c r="BF300" s="472"/>
      <c r="BG300" s="170"/>
      <c r="BH300" s="170"/>
      <c r="BI300" s="472"/>
      <c r="BJ300" s="170"/>
      <c r="BK300" s="170"/>
      <c r="BL300" s="472"/>
      <c r="BM300" s="170"/>
      <c r="BN300" s="170"/>
      <c r="BO300" s="472"/>
      <c r="BP300" s="170"/>
      <c r="BQ300" s="170"/>
      <c r="BR300" s="472"/>
      <c r="BS300" s="170"/>
      <c r="BT300" s="170"/>
      <c r="BU300" s="472"/>
      <c r="BV300" s="170"/>
      <c r="BW300" s="170"/>
      <c r="BX300" s="472"/>
      <c r="BY300" s="170"/>
      <c r="BZ300" s="170"/>
      <c r="CA300" s="472"/>
      <c r="CB300" s="170"/>
      <c r="CC300" s="170"/>
      <c r="CD300" s="472"/>
      <c r="CE300" s="170"/>
      <c r="CF300" s="170"/>
      <c r="CG300" s="472"/>
      <c r="CH300" s="170"/>
      <c r="CI300" s="170"/>
      <c r="CJ300" s="376"/>
      <c r="CK300" s="170"/>
      <c r="CL300" s="170"/>
      <c r="CM300" s="170"/>
      <c r="CN300" s="170"/>
      <c r="CO300" s="170"/>
      <c r="CP300" s="170"/>
      <c r="CQ300" s="376"/>
      <c r="CR300" s="170"/>
      <c r="CS300" s="376"/>
      <c r="CT300" s="170"/>
      <c r="CU300" s="170"/>
      <c r="CV300" s="376"/>
      <c r="CW300" s="170"/>
      <c r="CX300" s="170"/>
      <c r="CY300" s="376"/>
      <c r="CZ300" s="170"/>
      <c r="DA300" s="170"/>
      <c r="DB300" s="376"/>
      <c r="DC300" s="170"/>
      <c r="DD300" s="170"/>
      <c r="DE300" s="376"/>
      <c r="DF300" s="170"/>
      <c r="DG300" s="170"/>
      <c r="DH300" s="376"/>
      <c r="DI300" s="170"/>
      <c r="DJ300" s="170"/>
      <c r="DK300" s="376"/>
      <c r="DL300" s="170"/>
      <c r="DM300" s="170"/>
      <c r="DN300" s="376"/>
      <c r="DO300" s="170"/>
      <c r="DP300" s="170"/>
      <c r="DQ300" s="376"/>
      <c r="DR300" s="170"/>
      <c r="DS300" s="170"/>
      <c r="DT300" s="376"/>
      <c r="DU300" s="170"/>
      <c r="DV300" s="170"/>
      <c r="DW300" s="376"/>
      <c r="DX300" s="170"/>
      <c r="DY300" s="170"/>
      <c r="DZ300" s="376"/>
      <c r="EA300" s="170"/>
      <c r="EB300" s="170"/>
      <c r="EC300" s="170"/>
      <c r="ED300" s="170"/>
      <c r="EE300" s="170"/>
      <c r="EF300" s="170"/>
      <c r="EG300" s="170"/>
      <c r="EH300" s="170"/>
      <c r="EI300" s="170"/>
      <c r="EJ300" s="170"/>
      <c r="EK300" s="170"/>
    </row>
    <row r="301" spans="1:141" ht="15.75" thickTop="1" x14ac:dyDescent="0.25">
      <c r="A301" s="545"/>
      <c r="B301" s="546"/>
      <c r="C301" s="546"/>
      <c r="D301" s="546"/>
      <c r="E301" s="547"/>
      <c r="F301" s="1577"/>
      <c r="G301" s="1353"/>
      <c r="H301" s="1353"/>
      <c r="I301" s="1366"/>
      <c r="J301" s="1722"/>
      <c r="K301" s="1681" t="str">
        <f>+K9</f>
        <v>Prior actuals to date</v>
      </c>
      <c r="L301" s="1367"/>
      <c r="M301" s="1368"/>
      <c r="N301" s="1845">
        <f>+N9</f>
        <v>45292</v>
      </c>
      <c r="O301" s="1367"/>
      <c r="P301" s="1368"/>
      <c r="Q301" s="1845">
        <f>+Q9</f>
        <v>45658</v>
      </c>
      <c r="R301" s="1367"/>
      <c r="S301" s="1368"/>
      <c r="T301" s="1845">
        <f>+T9</f>
        <v>46023</v>
      </c>
      <c r="U301" s="1367"/>
      <c r="V301" s="1368"/>
      <c r="W301" s="1845">
        <f>+W9</f>
        <v>46388</v>
      </c>
      <c r="X301" s="1367"/>
      <c r="Y301" s="1368"/>
      <c r="Z301" s="1845">
        <f>+Z9</f>
        <v>46753</v>
      </c>
      <c r="AA301" s="1367"/>
      <c r="AB301" s="1368"/>
      <c r="AC301" s="1845">
        <f>+AC9</f>
        <v>47119</v>
      </c>
      <c r="AD301" s="1367"/>
      <c r="AE301" s="1368"/>
      <c r="AF301" s="1845">
        <f>+AF9</f>
        <v>47484</v>
      </c>
      <c r="AG301" s="1367"/>
      <c r="AH301" s="1368"/>
      <c r="AI301" s="1845">
        <f>+AI9</f>
        <v>47849</v>
      </c>
      <c r="AJ301" s="1367"/>
      <c r="AK301" s="1368"/>
      <c r="AL301" s="1845">
        <f>+AL9</f>
        <v>48214</v>
      </c>
      <c r="AM301" s="1367"/>
      <c r="AN301" s="1368"/>
      <c r="AO301" s="1845">
        <f>+AO9</f>
        <v>48580</v>
      </c>
      <c r="AP301" s="1367"/>
      <c r="AQ301" s="1368"/>
      <c r="AR301" s="1681" t="str">
        <f>+AR9</f>
        <v>TOTAL</v>
      </c>
      <c r="AS301" s="1367"/>
      <c r="AT301" s="1368"/>
      <c r="AU301" s="411"/>
      <c r="AV301" s="548"/>
      <c r="AW301" s="548"/>
      <c r="AX301" s="1577"/>
      <c r="AY301" s="549"/>
      <c r="AZ301" s="549"/>
      <c r="BA301" s="550"/>
      <c r="BB301" s="1643"/>
      <c r="BC301" s="552" t="str">
        <f>+BC9</f>
        <v>Prior</v>
      </c>
      <c r="BD301" s="551"/>
      <c r="BE301" s="1643"/>
      <c r="BF301" s="1843">
        <f>+BF9</f>
        <v>45292</v>
      </c>
      <c r="BG301" s="551"/>
      <c r="BH301" s="1643"/>
      <c r="BI301" s="1843">
        <f>+BI9</f>
        <v>45658</v>
      </c>
      <c r="BJ301" s="551"/>
      <c r="BK301" s="1673"/>
      <c r="BL301" s="1843">
        <f>+BL9</f>
        <v>46023</v>
      </c>
      <c r="BM301" s="551"/>
      <c r="BN301" s="1643"/>
      <c r="BO301" s="1843">
        <f>+BO9</f>
        <v>46388</v>
      </c>
      <c r="BP301" s="551"/>
      <c r="BQ301" s="1643"/>
      <c r="BR301" s="1843">
        <f>+BR9</f>
        <v>46753</v>
      </c>
      <c r="BS301" s="551"/>
      <c r="BT301" s="1643"/>
      <c r="BU301" s="1843">
        <f>+BU9</f>
        <v>47119</v>
      </c>
      <c r="BV301" s="551"/>
      <c r="BW301" s="1643"/>
      <c r="BX301" s="1843">
        <f>+BX9</f>
        <v>47484</v>
      </c>
      <c r="BY301" s="551"/>
      <c r="BZ301" s="1643"/>
      <c r="CA301" s="1843">
        <f>+CA9</f>
        <v>47849</v>
      </c>
      <c r="CB301" s="551"/>
      <c r="CC301" s="1643"/>
      <c r="CD301" s="1843">
        <f>+CD9</f>
        <v>48214</v>
      </c>
      <c r="CE301" s="551"/>
      <c r="CF301" s="1643"/>
      <c r="CG301" s="1843">
        <f>+CG9</f>
        <v>48580</v>
      </c>
      <c r="CH301" s="551"/>
      <c r="CI301" s="1643"/>
      <c r="CJ301" s="552" t="str">
        <f>+CJ9</f>
        <v>TOTAL</v>
      </c>
      <c r="CK301" s="551"/>
      <c r="CL301" s="552"/>
      <c r="CM301" s="170"/>
      <c r="CN301" s="1577"/>
      <c r="CO301" s="553"/>
      <c r="CP301" s="553"/>
      <c r="CQ301" s="554"/>
      <c r="CR301" s="1713"/>
      <c r="CS301" s="1699" t="str">
        <f>+CS9</f>
        <v>Prior</v>
      </c>
      <c r="CT301" s="556"/>
      <c r="CU301" s="1713"/>
      <c r="CV301" s="1699">
        <f>+CV9</f>
        <v>45292</v>
      </c>
      <c r="CW301" s="556"/>
      <c r="CX301" s="1713"/>
      <c r="CY301" s="1699">
        <f>+CY9</f>
        <v>45658</v>
      </c>
      <c r="CZ301" s="556"/>
      <c r="DA301" s="1713"/>
      <c r="DB301" s="1699">
        <f>+DB9</f>
        <v>46023</v>
      </c>
      <c r="DC301" s="556"/>
      <c r="DD301" s="1713"/>
      <c r="DE301" s="1699">
        <f>+DE9</f>
        <v>46388</v>
      </c>
      <c r="DF301" s="556"/>
      <c r="DG301" s="1713"/>
      <c r="DH301" s="1699">
        <f>+DH9</f>
        <v>46753</v>
      </c>
      <c r="DI301" s="556"/>
      <c r="DJ301" s="1713"/>
      <c r="DK301" s="1699">
        <f>+DK9</f>
        <v>47119</v>
      </c>
      <c r="DL301" s="556"/>
      <c r="DM301" s="1713"/>
      <c r="DN301" s="1699">
        <f>+DN9</f>
        <v>47484</v>
      </c>
      <c r="DO301" s="556"/>
      <c r="DP301" s="1713"/>
      <c r="DQ301" s="1699">
        <f>+DQ9</f>
        <v>47849</v>
      </c>
      <c r="DR301" s="556"/>
      <c r="DS301" s="1713"/>
      <c r="DT301" s="1699">
        <f>+DT9</f>
        <v>48214</v>
      </c>
      <c r="DU301" s="556"/>
      <c r="DV301" s="1713"/>
      <c r="DW301" s="1699">
        <f>+DW9</f>
        <v>48580</v>
      </c>
      <c r="DX301" s="556"/>
      <c r="DY301" s="1713"/>
      <c r="DZ301" s="1699" t="str">
        <f>+DZ9</f>
        <v>TOTAL</v>
      </c>
      <c r="EA301" s="556"/>
      <c r="EB301" s="170"/>
      <c r="EC301" s="170"/>
      <c r="ED301" s="170"/>
      <c r="EE301" s="170"/>
      <c r="EF301" s="170"/>
      <c r="EG301" s="170"/>
      <c r="EH301" s="170"/>
      <c r="EI301" s="170"/>
      <c r="EJ301" s="170"/>
      <c r="EK301" s="170"/>
    </row>
    <row r="302" spans="1:141" ht="26.25" x14ac:dyDescent="0.25">
      <c r="A302" s="557"/>
      <c r="B302" s="472"/>
      <c r="C302" s="472"/>
      <c r="D302" s="472"/>
      <c r="E302" s="558" t="s">
        <v>1230</v>
      </c>
      <c r="F302" s="1239"/>
      <c r="G302" s="1287"/>
      <c r="H302" s="1287"/>
      <c r="I302" s="1289"/>
      <c r="J302" s="1287"/>
      <c r="K302" s="1288" t="s">
        <v>289</v>
      </c>
      <c r="L302" s="1288" t="s">
        <v>201</v>
      </c>
      <c r="M302" s="1287"/>
      <c r="N302" s="1288" t="s">
        <v>289</v>
      </c>
      <c r="O302" s="1288" t="s">
        <v>201</v>
      </c>
      <c r="P302" s="1287"/>
      <c r="Q302" s="1288" t="s">
        <v>289</v>
      </c>
      <c r="R302" s="1288" t="s">
        <v>201</v>
      </c>
      <c r="S302" s="1287"/>
      <c r="T302" s="1288" t="s">
        <v>289</v>
      </c>
      <c r="U302" s="1288" t="s">
        <v>201</v>
      </c>
      <c r="V302" s="1287"/>
      <c r="W302" s="1288" t="s">
        <v>289</v>
      </c>
      <c r="X302" s="1288" t="s">
        <v>201</v>
      </c>
      <c r="Y302" s="1287"/>
      <c r="Z302" s="1288" t="s">
        <v>289</v>
      </c>
      <c r="AA302" s="1288" t="s">
        <v>201</v>
      </c>
      <c r="AB302" s="1287"/>
      <c r="AC302" s="1288" t="s">
        <v>289</v>
      </c>
      <c r="AD302" s="1288" t="s">
        <v>201</v>
      </c>
      <c r="AE302" s="1287"/>
      <c r="AF302" s="1288" t="s">
        <v>289</v>
      </c>
      <c r="AG302" s="1288" t="s">
        <v>201</v>
      </c>
      <c r="AH302" s="1287"/>
      <c r="AI302" s="1288" t="s">
        <v>289</v>
      </c>
      <c r="AJ302" s="1288" t="s">
        <v>201</v>
      </c>
      <c r="AK302" s="1287"/>
      <c r="AL302" s="1288" t="s">
        <v>289</v>
      </c>
      <c r="AM302" s="1288" t="s">
        <v>201</v>
      </c>
      <c r="AN302" s="1287"/>
      <c r="AO302" s="1288" t="s">
        <v>289</v>
      </c>
      <c r="AP302" s="1288" t="s">
        <v>201</v>
      </c>
      <c r="AQ302" s="1287"/>
      <c r="AR302" s="1288" t="s">
        <v>289</v>
      </c>
      <c r="AS302" s="1288" t="s">
        <v>201</v>
      </c>
      <c r="AT302" s="1287"/>
      <c r="AU302" s="411"/>
      <c r="AV302" s="170"/>
      <c r="AW302" s="170"/>
      <c r="AX302" s="1239"/>
      <c r="AY302" s="387" t="s">
        <v>376</v>
      </c>
      <c r="AZ302" s="387"/>
      <c r="BA302" s="380"/>
      <c r="BB302" s="1629"/>
      <c r="BC302" s="380" t="s">
        <v>289</v>
      </c>
      <c r="BD302" s="380" t="s">
        <v>201</v>
      </c>
      <c r="BE302" s="1629"/>
      <c r="BF302" s="1475" t="s">
        <v>289</v>
      </c>
      <c r="BG302" s="380" t="s">
        <v>201</v>
      </c>
      <c r="BH302" s="1629"/>
      <c r="BI302" s="1475" t="s">
        <v>289</v>
      </c>
      <c r="BJ302" s="380" t="s">
        <v>201</v>
      </c>
      <c r="BK302" s="1674"/>
      <c r="BL302" s="1475" t="s">
        <v>289</v>
      </c>
      <c r="BM302" s="380" t="s">
        <v>201</v>
      </c>
      <c r="BN302" s="1629"/>
      <c r="BO302" s="1475" t="s">
        <v>289</v>
      </c>
      <c r="BP302" s="380" t="s">
        <v>201</v>
      </c>
      <c r="BQ302" s="1629"/>
      <c r="BR302" s="1475" t="s">
        <v>289</v>
      </c>
      <c r="BS302" s="380" t="s">
        <v>201</v>
      </c>
      <c r="BT302" s="1629"/>
      <c r="BU302" s="1475" t="s">
        <v>289</v>
      </c>
      <c r="BV302" s="380" t="s">
        <v>201</v>
      </c>
      <c r="BW302" s="1629"/>
      <c r="BX302" s="1475" t="s">
        <v>289</v>
      </c>
      <c r="BY302" s="380" t="s">
        <v>201</v>
      </c>
      <c r="BZ302" s="1629"/>
      <c r="CA302" s="1475" t="s">
        <v>289</v>
      </c>
      <c r="CB302" s="380" t="s">
        <v>201</v>
      </c>
      <c r="CC302" s="1629"/>
      <c r="CD302" s="1475" t="s">
        <v>289</v>
      </c>
      <c r="CE302" s="380" t="s">
        <v>201</v>
      </c>
      <c r="CF302" s="1629"/>
      <c r="CG302" s="1475" t="s">
        <v>289</v>
      </c>
      <c r="CH302" s="380" t="s">
        <v>201</v>
      </c>
      <c r="CI302" s="1629"/>
      <c r="CJ302" s="380" t="s">
        <v>289</v>
      </c>
      <c r="CK302" s="409" t="s">
        <v>201</v>
      </c>
      <c r="CL302" s="380"/>
      <c r="CM302" s="170"/>
      <c r="CN302" s="1239"/>
      <c r="CO302" s="388" t="s">
        <v>376</v>
      </c>
      <c r="CP302" s="388"/>
      <c r="CQ302" s="384"/>
      <c r="CR302" s="1701"/>
      <c r="CS302" s="384" t="s">
        <v>289</v>
      </c>
      <c r="CT302" s="384" t="s">
        <v>201</v>
      </c>
      <c r="CU302" s="1701"/>
      <c r="CV302" s="384" t="s">
        <v>289</v>
      </c>
      <c r="CW302" s="384" t="s">
        <v>201</v>
      </c>
      <c r="CX302" s="1701"/>
      <c r="CY302" s="384" t="s">
        <v>289</v>
      </c>
      <c r="CZ302" s="384" t="s">
        <v>201</v>
      </c>
      <c r="DA302" s="1701"/>
      <c r="DB302" s="384" t="s">
        <v>289</v>
      </c>
      <c r="DC302" s="384" t="s">
        <v>201</v>
      </c>
      <c r="DD302" s="1701"/>
      <c r="DE302" s="384" t="s">
        <v>289</v>
      </c>
      <c r="DF302" s="384" t="s">
        <v>201</v>
      </c>
      <c r="DG302" s="1701"/>
      <c r="DH302" s="384" t="s">
        <v>289</v>
      </c>
      <c r="DI302" s="384" t="s">
        <v>201</v>
      </c>
      <c r="DJ302" s="1701"/>
      <c r="DK302" s="384" t="s">
        <v>289</v>
      </c>
      <c r="DL302" s="384" t="s">
        <v>201</v>
      </c>
      <c r="DM302" s="1701"/>
      <c r="DN302" s="384" t="s">
        <v>289</v>
      </c>
      <c r="DO302" s="384" t="s">
        <v>201</v>
      </c>
      <c r="DP302" s="1701"/>
      <c r="DQ302" s="384" t="s">
        <v>289</v>
      </c>
      <c r="DR302" s="384" t="s">
        <v>201</v>
      </c>
      <c r="DS302" s="1701"/>
      <c r="DT302" s="384" t="s">
        <v>289</v>
      </c>
      <c r="DU302" s="384" t="s">
        <v>201</v>
      </c>
      <c r="DV302" s="1701"/>
      <c r="DW302" s="384" t="s">
        <v>289</v>
      </c>
      <c r="DX302" s="384" t="s">
        <v>201</v>
      </c>
      <c r="DY302" s="1701"/>
      <c r="DZ302" s="384" t="s">
        <v>289</v>
      </c>
      <c r="EA302" s="559" t="s">
        <v>201</v>
      </c>
      <c r="EB302" s="170"/>
      <c r="EC302" s="170"/>
      <c r="ED302" s="170"/>
      <c r="EE302" s="170"/>
      <c r="EF302" s="170"/>
      <c r="EG302" s="170"/>
      <c r="EH302" s="170"/>
      <c r="EI302" s="170"/>
      <c r="EJ302" s="170"/>
      <c r="EK302" s="170"/>
    </row>
    <row r="303" spans="1:141" ht="15" x14ac:dyDescent="0.25">
      <c r="A303" s="557"/>
      <c r="B303" s="472"/>
      <c r="C303" s="472"/>
      <c r="D303" s="472"/>
      <c r="E303" s="170"/>
      <c r="F303" s="493"/>
      <c r="G303" s="1287"/>
      <c r="H303" s="1287"/>
      <c r="I303" s="1289"/>
      <c r="J303" s="1287"/>
      <c r="K303" s="1289"/>
      <c r="L303" s="1287"/>
      <c r="M303" s="1287"/>
      <c r="N303" s="1289"/>
      <c r="O303" s="1289"/>
      <c r="P303" s="1287"/>
      <c r="Q303" s="1289"/>
      <c r="R303" s="1287"/>
      <c r="S303" s="1287"/>
      <c r="T303" s="1289"/>
      <c r="U303" s="1287"/>
      <c r="V303" s="1287"/>
      <c r="W303" s="1289"/>
      <c r="X303" s="1287"/>
      <c r="Y303" s="1287"/>
      <c r="Z303" s="1289"/>
      <c r="AA303" s="1287"/>
      <c r="AB303" s="1287"/>
      <c r="AC303" s="1289"/>
      <c r="AD303" s="1287"/>
      <c r="AE303" s="1287"/>
      <c r="AF303" s="1289"/>
      <c r="AG303" s="1287"/>
      <c r="AH303" s="1287"/>
      <c r="AI303" s="1289"/>
      <c r="AJ303" s="1287"/>
      <c r="AK303" s="1287"/>
      <c r="AL303" s="1289"/>
      <c r="AM303" s="1287"/>
      <c r="AN303" s="1287"/>
      <c r="AO303" s="1289"/>
      <c r="AP303" s="1287"/>
      <c r="AQ303" s="1287"/>
      <c r="AR303" s="1289"/>
      <c r="AS303" s="1287"/>
      <c r="AT303" s="1287"/>
      <c r="AU303" s="411"/>
      <c r="AV303" s="170"/>
      <c r="AW303" s="170"/>
      <c r="AX303" s="493"/>
      <c r="AY303" s="412"/>
      <c r="AZ303" s="413"/>
      <c r="BA303" s="413"/>
      <c r="BB303" s="1630"/>
      <c r="BC303" s="414"/>
      <c r="BD303" s="415"/>
      <c r="BE303" s="1630"/>
      <c r="BF303" s="1476"/>
      <c r="BG303" s="416"/>
      <c r="BH303" s="1630"/>
      <c r="BI303" s="1476"/>
      <c r="BJ303" s="415"/>
      <c r="BK303" s="1675"/>
      <c r="BL303" s="1476"/>
      <c r="BM303" s="415"/>
      <c r="BN303" s="1630"/>
      <c r="BO303" s="1476"/>
      <c r="BP303" s="415"/>
      <c r="BQ303" s="1630"/>
      <c r="BR303" s="1476"/>
      <c r="BS303" s="415"/>
      <c r="BT303" s="1630"/>
      <c r="BU303" s="1476"/>
      <c r="BV303" s="415"/>
      <c r="BW303" s="1630"/>
      <c r="BX303" s="1476"/>
      <c r="BY303" s="415"/>
      <c r="BZ303" s="1630"/>
      <c r="CA303" s="1476"/>
      <c r="CB303" s="415"/>
      <c r="CC303" s="1630"/>
      <c r="CD303" s="1476"/>
      <c r="CE303" s="415"/>
      <c r="CF303" s="1630"/>
      <c r="CG303" s="1476"/>
      <c r="CH303" s="415"/>
      <c r="CI303" s="1630"/>
      <c r="CJ303" s="414"/>
      <c r="CK303" s="417"/>
      <c r="CL303" s="418"/>
      <c r="CM303" s="170"/>
      <c r="CN303" s="493"/>
      <c r="CO303" s="419"/>
      <c r="CP303" s="420"/>
      <c r="CQ303" s="420"/>
      <c r="CR303" s="1702"/>
      <c r="CS303" s="421"/>
      <c r="CT303" s="422"/>
      <c r="CU303" s="1702"/>
      <c r="CV303" s="421"/>
      <c r="CW303" s="423"/>
      <c r="CX303" s="1702"/>
      <c r="CY303" s="421"/>
      <c r="CZ303" s="422"/>
      <c r="DA303" s="1702"/>
      <c r="DB303" s="421"/>
      <c r="DC303" s="422"/>
      <c r="DD303" s="1702"/>
      <c r="DE303" s="421"/>
      <c r="DF303" s="422"/>
      <c r="DG303" s="1702"/>
      <c r="DH303" s="421"/>
      <c r="DI303" s="422"/>
      <c r="DJ303" s="1702"/>
      <c r="DK303" s="421"/>
      <c r="DL303" s="422"/>
      <c r="DM303" s="1702"/>
      <c r="DN303" s="421"/>
      <c r="DO303" s="422"/>
      <c r="DP303" s="1702"/>
      <c r="DQ303" s="421"/>
      <c r="DR303" s="422"/>
      <c r="DS303" s="1702"/>
      <c r="DT303" s="421"/>
      <c r="DU303" s="422"/>
      <c r="DV303" s="1702"/>
      <c r="DW303" s="421"/>
      <c r="DX303" s="422"/>
      <c r="DY303" s="1702"/>
      <c r="DZ303" s="421"/>
      <c r="EA303" s="560"/>
      <c r="EB303" s="170"/>
      <c r="EC303" s="170"/>
      <c r="ED303" s="170"/>
      <c r="EE303" s="170"/>
      <c r="EF303" s="170"/>
      <c r="EG303" s="170"/>
      <c r="EH303" s="170"/>
      <c r="EI303" s="170"/>
      <c r="EJ303" s="170"/>
      <c r="EK303" s="170"/>
    </row>
    <row r="304" spans="1:141" ht="15" x14ac:dyDescent="0.25">
      <c r="A304" s="557"/>
      <c r="B304" s="472"/>
      <c r="C304" s="472"/>
      <c r="D304" s="472"/>
      <c r="E304" s="170"/>
      <c r="F304" s="170"/>
      <c r="G304" s="1287"/>
      <c r="H304" s="1287"/>
      <c r="I304" s="1289"/>
      <c r="J304" s="1287"/>
      <c r="K304" s="1289"/>
      <c r="L304" s="1287"/>
      <c r="M304" s="1287"/>
      <c r="N304" s="1289"/>
      <c r="O304" s="1289"/>
      <c r="P304" s="1287"/>
      <c r="Q304" s="1289"/>
      <c r="R304" s="1287"/>
      <c r="S304" s="1287"/>
      <c r="T304" s="1289"/>
      <c r="U304" s="1287"/>
      <c r="V304" s="1287"/>
      <c r="W304" s="1289"/>
      <c r="X304" s="1287"/>
      <c r="Y304" s="1287"/>
      <c r="Z304" s="1289"/>
      <c r="AA304" s="1287"/>
      <c r="AB304" s="1287"/>
      <c r="AC304" s="1289"/>
      <c r="AD304" s="1287"/>
      <c r="AE304" s="1287"/>
      <c r="AF304" s="1289"/>
      <c r="AG304" s="1287"/>
      <c r="AH304" s="1287"/>
      <c r="AI304" s="1289"/>
      <c r="AJ304" s="1287"/>
      <c r="AK304" s="1287"/>
      <c r="AL304" s="1289"/>
      <c r="AM304" s="1287"/>
      <c r="AN304" s="1287"/>
      <c r="AO304" s="1289"/>
      <c r="AP304" s="1287"/>
      <c r="AQ304" s="1287"/>
      <c r="AR304" s="1289"/>
      <c r="AS304" s="1287"/>
      <c r="AT304" s="1287"/>
      <c r="AU304" s="411"/>
      <c r="AV304" s="170"/>
      <c r="AW304" s="170"/>
      <c r="AX304" s="170"/>
      <c r="AY304" s="561"/>
      <c r="AZ304" s="561"/>
      <c r="BA304" s="562"/>
      <c r="BB304" s="170"/>
      <c r="BC304" s="562"/>
      <c r="BD304" s="561"/>
      <c r="BE304" s="170"/>
      <c r="BF304" s="1477"/>
      <c r="BG304" s="562"/>
      <c r="BH304" s="170"/>
      <c r="BI304" s="1477"/>
      <c r="BJ304" s="561"/>
      <c r="BK304" s="561"/>
      <c r="BL304" s="1477"/>
      <c r="BM304" s="561"/>
      <c r="BN304" s="170"/>
      <c r="BO304" s="1477"/>
      <c r="BP304" s="561"/>
      <c r="BQ304" s="170"/>
      <c r="BR304" s="1477"/>
      <c r="BS304" s="561"/>
      <c r="BT304" s="170"/>
      <c r="BU304" s="1477"/>
      <c r="BV304" s="561"/>
      <c r="BW304" s="170"/>
      <c r="BX304" s="1477"/>
      <c r="BY304" s="561"/>
      <c r="BZ304" s="170"/>
      <c r="CA304" s="1477"/>
      <c r="CB304" s="561"/>
      <c r="CC304" s="170"/>
      <c r="CD304" s="1477"/>
      <c r="CE304" s="561"/>
      <c r="CF304" s="170"/>
      <c r="CG304" s="1477"/>
      <c r="CH304" s="561"/>
      <c r="CI304" s="170"/>
      <c r="CJ304" s="562"/>
      <c r="CK304" s="561"/>
      <c r="CL304" s="561"/>
      <c r="CM304" s="170"/>
      <c r="CN304" s="170"/>
      <c r="CO304" s="382"/>
      <c r="CP304" s="382"/>
      <c r="CQ304" s="385"/>
      <c r="CR304" s="382"/>
      <c r="CS304" s="385"/>
      <c r="CT304" s="382"/>
      <c r="CU304" s="382"/>
      <c r="CV304" s="385"/>
      <c r="CW304" s="385"/>
      <c r="CX304" s="382"/>
      <c r="CY304" s="385"/>
      <c r="CZ304" s="382"/>
      <c r="DA304" s="382"/>
      <c r="DB304" s="385"/>
      <c r="DC304" s="382"/>
      <c r="DD304" s="382"/>
      <c r="DE304" s="385"/>
      <c r="DF304" s="382"/>
      <c r="DG304" s="382"/>
      <c r="DH304" s="385"/>
      <c r="DI304" s="382"/>
      <c r="DJ304" s="382"/>
      <c r="DK304" s="385"/>
      <c r="DL304" s="382"/>
      <c r="DM304" s="382"/>
      <c r="DN304" s="385"/>
      <c r="DO304" s="382"/>
      <c r="DP304" s="382"/>
      <c r="DQ304" s="385"/>
      <c r="DR304" s="382"/>
      <c r="DS304" s="382"/>
      <c r="DT304" s="385"/>
      <c r="DU304" s="382"/>
      <c r="DV304" s="382"/>
      <c r="DW304" s="385"/>
      <c r="DX304" s="382"/>
      <c r="DY304" s="382"/>
      <c r="DZ304" s="385"/>
      <c r="EA304" s="563"/>
      <c r="EB304" s="170"/>
      <c r="EC304" s="170"/>
      <c r="ED304" s="170"/>
      <c r="EE304" s="170"/>
      <c r="EF304" s="170"/>
      <c r="EG304" s="170"/>
      <c r="EH304" s="170"/>
      <c r="EI304" s="170"/>
      <c r="EJ304" s="170"/>
      <c r="EK304" s="170"/>
    </row>
    <row r="305" spans="1:141" ht="15" x14ac:dyDescent="0.25">
      <c r="A305" s="557"/>
      <c r="B305" s="424"/>
      <c r="C305" s="170"/>
      <c r="D305" s="170"/>
      <c r="E305" s="170"/>
      <c r="F305" s="170"/>
      <c r="G305" s="1374"/>
      <c r="H305" s="1287"/>
      <c r="I305" s="1289"/>
      <c r="J305" s="1287"/>
      <c r="K305" s="1289"/>
      <c r="L305" s="1369">
        <f t="shared" ref="L305:L317" si="855">SUMIF($B$12:$B$201,$B305,L$12:L$201)</f>
        <v>0</v>
      </c>
      <c r="M305" s="1287"/>
      <c r="N305" s="1289"/>
      <c r="O305" s="1369">
        <f t="shared" ref="O305:O317" si="856">SUMIF($B$12:$B$201,$B305,O$12:O$201)</f>
        <v>0</v>
      </c>
      <c r="P305" s="1287"/>
      <c r="Q305" s="1289"/>
      <c r="R305" s="1369">
        <f t="shared" ref="R305:R317" si="857">SUMIF($B$12:$B$201,$B305,R$12:R$201)</f>
        <v>0</v>
      </c>
      <c r="S305" s="1287"/>
      <c r="T305" s="1289"/>
      <c r="U305" s="1369">
        <f t="shared" ref="U305:U317" si="858">SUMIF($B$12:$B$201,$B305,U$12:U$201)</f>
        <v>0</v>
      </c>
      <c r="V305" s="1287"/>
      <c r="W305" s="1289"/>
      <c r="X305" s="1369">
        <f t="shared" ref="X305:X317" si="859">SUMIF($B$12:$B$201,$B305,X$12:X$201)</f>
        <v>0</v>
      </c>
      <c r="Y305" s="1287"/>
      <c r="Z305" s="1289"/>
      <c r="AA305" s="1369">
        <f t="shared" ref="AA305:AA317" si="860">SUMIF($B$12:$B$201,$B305,AA$12:AA$201)</f>
        <v>0</v>
      </c>
      <c r="AB305" s="1287"/>
      <c r="AC305" s="1289"/>
      <c r="AD305" s="1369">
        <f t="shared" ref="AD305:AD317" si="861">SUMIF($B$12:$B$201,$B305,AD$12:AD$201)</f>
        <v>0</v>
      </c>
      <c r="AE305" s="1287"/>
      <c r="AF305" s="1289"/>
      <c r="AG305" s="1369">
        <f t="shared" ref="AG305:AG317" si="862">SUMIF($B$12:$B$201,$B305,AG$12:AG$201)</f>
        <v>0</v>
      </c>
      <c r="AH305" s="1287"/>
      <c r="AI305" s="1289"/>
      <c r="AJ305" s="1369">
        <f t="shared" ref="AJ305:AJ317" si="863">SUMIF($B$12:$B$201,$B305,AJ$12:AJ$201)</f>
        <v>0</v>
      </c>
      <c r="AK305" s="1287"/>
      <c r="AL305" s="1289"/>
      <c r="AM305" s="1369">
        <f t="shared" ref="AM305:AM317" si="864">SUMIF($B$12:$B$201,$B305,AM$12:AM$201)</f>
        <v>0</v>
      </c>
      <c r="AN305" s="1287"/>
      <c r="AO305" s="1289"/>
      <c r="AP305" s="1369">
        <f t="shared" ref="AP305:AP317" si="865">SUMIF($B$12:$B$201,$B305,AP$12:AP$201)</f>
        <v>0</v>
      </c>
      <c r="AQ305" s="1287"/>
      <c r="AR305" s="1289"/>
      <c r="AS305" s="1369">
        <f t="shared" ref="AS305:AS317" si="866">SUMIF($B$12:$B$201,$B305,AS$12:AS$201)</f>
        <v>0</v>
      </c>
      <c r="AT305" s="1287"/>
      <c r="AU305" s="411"/>
      <c r="AV305" s="170"/>
      <c r="AW305" s="170"/>
      <c r="AX305" s="170"/>
      <c r="AY305" s="561"/>
      <c r="AZ305" s="561"/>
      <c r="BA305" s="562"/>
      <c r="BB305" s="170"/>
      <c r="BC305" s="562"/>
      <c r="BD305" s="566">
        <f t="shared" ref="BD305:BD317" si="867">SUMIF($B$12:$B$201,$B305,BD$12:BD$201)</f>
        <v>0</v>
      </c>
      <c r="BE305" s="170"/>
      <c r="BF305" s="1477"/>
      <c r="BG305" s="566">
        <f t="shared" ref="BG305:BG317" si="868">SUMIF($B$12:$B$201,$B305,BG$12:BG$201)</f>
        <v>0</v>
      </c>
      <c r="BH305" s="170"/>
      <c r="BI305" s="1477"/>
      <c r="BJ305" s="566">
        <f t="shared" ref="BJ305:BJ317" si="869">SUMIF($B$12:$B$201,$B305,BJ$12:BJ$201)</f>
        <v>0</v>
      </c>
      <c r="BK305" s="561"/>
      <c r="BL305" s="1477"/>
      <c r="BM305" s="566">
        <f t="shared" ref="BM305:BM317" si="870">SUMIF($B$12:$B$201,$B305,BM$12:BM$201)</f>
        <v>0</v>
      </c>
      <c r="BN305" s="170"/>
      <c r="BO305" s="1477"/>
      <c r="BP305" s="566">
        <f t="shared" ref="BP305:BP317" si="871">SUMIF($B$12:$B$201,$B305,BP$12:BP$201)</f>
        <v>0</v>
      </c>
      <c r="BQ305" s="170"/>
      <c r="BR305" s="1477"/>
      <c r="BS305" s="566">
        <f t="shared" ref="BS305:BS317" si="872">SUMIF($B$12:$B$201,$B305,BS$12:BS$201)</f>
        <v>0</v>
      </c>
      <c r="BT305" s="170"/>
      <c r="BU305" s="1477"/>
      <c r="BV305" s="566">
        <f t="shared" ref="BV305:BV317" si="873">SUMIF($B$12:$B$201,$B305,BV$12:BV$201)</f>
        <v>0</v>
      </c>
      <c r="BW305" s="170"/>
      <c r="BX305" s="1477"/>
      <c r="BY305" s="566">
        <f t="shared" ref="BY305:BY317" si="874">SUMIF($B$12:$B$201,$B305,BY$12:BY$201)</f>
        <v>0</v>
      </c>
      <c r="BZ305" s="170"/>
      <c r="CA305" s="1477"/>
      <c r="CB305" s="566">
        <f t="shared" ref="CB305:CB317" si="875">SUMIF($B$12:$B$201,$B305,CB$12:CB$201)</f>
        <v>0</v>
      </c>
      <c r="CC305" s="170"/>
      <c r="CD305" s="1477"/>
      <c r="CE305" s="566">
        <f t="shared" ref="CE305:CE317" si="876">SUMIF($B$12:$B$201,$B305,CE$12:CE$201)</f>
        <v>0</v>
      </c>
      <c r="CF305" s="170"/>
      <c r="CG305" s="1477"/>
      <c r="CH305" s="566">
        <f t="shared" ref="CH305:CH317" si="877">SUMIF($B$12:$B$201,$B305,CH$12:CH$201)</f>
        <v>0</v>
      </c>
      <c r="CI305" s="170"/>
      <c r="CJ305" s="562"/>
      <c r="CK305" s="566">
        <f t="shared" ref="CK305:CK317" si="878">SUMIF($B$12:$B$201,$B305,CK$12:CK$201)</f>
        <v>0</v>
      </c>
      <c r="CL305" s="566"/>
      <c r="CM305" s="170"/>
      <c r="CN305" s="170"/>
      <c r="CO305" s="382"/>
      <c r="CP305" s="382"/>
      <c r="CQ305" s="385"/>
      <c r="CR305" s="382"/>
      <c r="CS305" s="385"/>
      <c r="CT305" s="567">
        <f t="shared" ref="CT305:CT317" si="879">SUMIF($B$12:$B$201,$B305,CT$12:CT$201)</f>
        <v>0</v>
      </c>
      <c r="CU305" s="382"/>
      <c r="CV305" s="385"/>
      <c r="CW305" s="567">
        <f t="shared" ref="CW305:CW317" si="880">SUMIF($B$12:$B$201,$B305,CW$12:CW$201)</f>
        <v>0</v>
      </c>
      <c r="CX305" s="382"/>
      <c r="CY305" s="385"/>
      <c r="CZ305" s="567">
        <f t="shared" ref="CZ305:CZ317" si="881">SUMIF($B$12:$B$201,$B305,CZ$12:CZ$201)</f>
        <v>0</v>
      </c>
      <c r="DA305" s="382"/>
      <c r="DB305" s="385"/>
      <c r="DC305" s="567">
        <f t="shared" ref="DC305:DC317" si="882">SUMIF($B$12:$B$201,$B305,DC$12:DC$201)</f>
        <v>0</v>
      </c>
      <c r="DD305" s="382"/>
      <c r="DE305" s="385"/>
      <c r="DF305" s="567">
        <f t="shared" ref="DF305:DF317" si="883">SUMIF($B$12:$B$201,$B305,DF$12:DF$201)</f>
        <v>0</v>
      </c>
      <c r="DG305" s="382"/>
      <c r="DH305" s="385"/>
      <c r="DI305" s="567">
        <f t="shared" ref="DI305:DI317" si="884">SUMIF($B$12:$B$201,$B305,DI$12:DI$201)</f>
        <v>0</v>
      </c>
      <c r="DJ305" s="382"/>
      <c r="DK305" s="385"/>
      <c r="DL305" s="567">
        <f t="shared" ref="DL305:DL317" si="885">SUMIF($B$12:$B$201,$B305,DL$12:DL$201)</f>
        <v>0</v>
      </c>
      <c r="DM305" s="382"/>
      <c r="DN305" s="385"/>
      <c r="DO305" s="567">
        <f t="shared" ref="DO305:DO317" si="886">SUMIF($B$12:$B$201,$B305,DO$12:DO$201)</f>
        <v>0</v>
      </c>
      <c r="DP305" s="382"/>
      <c r="DQ305" s="385"/>
      <c r="DR305" s="567">
        <f t="shared" ref="DR305:DR317" si="887">SUMIF($B$12:$B$201,$B305,DR$12:DR$201)</f>
        <v>0</v>
      </c>
      <c r="DS305" s="382"/>
      <c r="DT305" s="385"/>
      <c r="DU305" s="567">
        <f t="shared" ref="DU305:DU317" si="888">SUMIF($B$12:$B$201,$B305,DU$12:DU$201)</f>
        <v>0</v>
      </c>
      <c r="DV305" s="382"/>
      <c r="DW305" s="385"/>
      <c r="DX305" s="567">
        <f t="shared" ref="DX305:DX317" si="889">SUMIF($B$12:$B$201,$B305,DX$12:DX$201)</f>
        <v>0</v>
      </c>
      <c r="DY305" s="382"/>
      <c r="DZ305" s="385"/>
      <c r="EA305" s="568">
        <f t="shared" ref="EA305:EA317" si="890">SUMIF($B$12:$B$201,$B305,EA$12:EA$201)</f>
        <v>0</v>
      </c>
      <c r="EB305" s="170"/>
      <c r="EC305" s="170"/>
      <c r="ED305" s="170"/>
      <c r="EE305" s="170"/>
      <c r="EF305" s="170"/>
      <c r="EG305" s="170"/>
      <c r="EH305" s="170"/>
      <c r="EI305" s="170"/>
      <c r="EJ305" s="170"/>
      <c r="EK305" s="170"/>
    </row>
    <row r="306" spans="1:141" ht="15" x14ac:dyDescent="0.25">
      <c r="A306" s="557"/>
      <c r="B306" s="424">
        <v>1</v>
      </c>
      <c r="C306" s="170"/>
      <c r="D306" s="170"/>
      <c r="E306" s="170"/>
      <c r="F306" s="170"/>
      <c r="G306" s="1374" t="s">
        <v>240</v>
      </c>
      <c r="H306" s="1287"/>
      <c r="I306" s="1289"/>
      <c r="J306" s="1287"/>
      <c r="K306" s="1289"/>
      <c r="L306" s="1369">
        <f t="shared" si="855"/>
        <v>88462.45</v>
      </c>
      <c r="M306" s="1287"/>
      <c r="N306" s="1289"/>
      <c r="O306" s="1369">
        <f t="shared" ca="1" si="856"/>
        <v>0</v>
      </c>
      <c r="P306" s="1287"/>
      <c r="Q306" s="1289"/>
      <c r="R306" s="1369">
        <f t="shared" ca="1" si="857"/>
        <v>0</v>
      </c>
      <c r="S306" s="1287"/>
      <c r="T306" s="1289"/>
      <c r="U306" s="1369">
        <f t="shared" ca="1" si="858"/>
        <v>227934</v>
      </c>
      <c r="V306" s="1287"/>
      <c r="W306" s="1289"/>
      <c r="X306" s="1369">
        <f t="shared" ca="1" si="859"/>
        <v>274398</v>
      </c>
      <c r="Y306" s="1287"/>
      <c r="Z306" s="1289"/>
      <c r="AA306" s="1369">
        <f t="shared" ca="1" si="860"/>
        <v>197994</v>
      </c>
      <c r="AB306" s="1287"/>
      <c r="AC306" s="1289"/>
      <c r="AD306" s="1369">
        <f t="shared" ca="1" si="861"/>
        <v>0</v>
      </c>
      <c r="AE306" s="1287"/>
      <c r="AF306" s="1289"/>
      <c r="AG306" s="1369">
        <f t="shared" ca="1" si="862"/>
        <v>0</v>
      </c>
      <c r="AH306" s="1287"/>
      <c r="AI306" s="1289"/>
      <c r="AJ306" s="1369">
        <f t="shared" ca="1" si="863"/>
        <v>0</v>
      </c>
      <c r="AK306" s="1287"/>
      <c r="AL306" s="1289"/>
      <c r="AM306" s="1369">
        <f t="shared" ca="1" si="864"/>
        <v>0</v>
      </c>
      <c r="AN306" s="1287"/>
      <c r="AO306" s="1289"/>
      <c r="AP306" s="1369">
        <f t="shared" ca="1" si="865"/>
        <v>0</v>
      </c>
      <c r="AQ306" s="1287"/>
      <c r="AR306" s="1289"/>
      <c r="AS306" s="1369">
        <f t="shared" ca="1" si="866"/>
        <v>788788.45000000007</v>
      </c>
      <c r="AT306" s="1287"/>
      <c r="AU306" s="411"/>
      <c r="AV306" s="170"/>
      <c r="AW306" s="170"/>
      <c r="AX306" s="170"/>
      <c r="AY306" s="561" t="str">
        <f t="shared" ref="AY306:AY317" si="891">+G306</f>
        <v xml:space="preserve">Straight Time Labor </v>
      </c>
      <c r="AZ306" s="561"/>
      <c r="BA306" s="562"/>
      <c r="BB306" s="170"/>
      <c r="BC306" s="562"/>
      <c r="BD306" s="566">
        <f t="shared" si="867"/>
        <v>88462.45</v>
      </c>
      <c r="BE306" s="170"/>
      <c r="BF306" s="1477"/>
      <c r="BG306" s="566">
        <f t="shared" ca="1" si="868"/>
        <v>0</v>
      </c>
      <c r="BH306" s="170"/>
      <c r="BI306" s="1477"/>
      <c r="BJ306" s="566">
        <f t="shared" ca="1" si="869"/>
        <v>0</v>
      </c>
      <c r="BK306" s="561"/>
      <c r="BL306" s="1477"/>
      <c r="BM306" s="566">
        <f t="shared" ca="1" si="870"/>
        <v>208731</v>
      </c>
      <c r="BN306" s="170"/>
      <c r="BO306" s="1477"/>
      <c r="BP306" s="566">
        <f t="shared" ca="1" si="871"/>
        <v>243961.47</v>
      </c>
      <c r="BQ306" s="170"/>
      <c r="BR306" s="1477"/>
      <c r="BS306" s="566">
        <f t="shared" ca="1" si="872"/>
        <v>170905</v>
      </c>
      <c r="BT306" s="170"/>
      <c r="BU306" s="1477"/>
      <c r="BV306" s="566">
        <f t="shared" ca="1" si="873"/>
        <v>0</v>
      </c>
      <c r="BW306" s="170"/>
      <c r="BX306" s="1477"/>
      <c r="BY306" s="566">
        <f t="shared" ca="1" si="874"/>
        <v>0</v>
      </c>
      <c r="BZ306" s="170"/>
      <c r="CA306" s="1477"/>
      <c r="CB306" s="566">
        <f t="shared" ca="1" si="875"/>
        <v>0</v>
      </c>
      <c r="CC306" s="170"/>
      <c r="CD306" s="1477"/>
      <c r="CE306" s="566">
        <f t="shared" ca="1" si="876"/>
        <v>0</v>
      </c>
      <c r="CF306" s="170"/>
      <c r="CG306" s="1477"/>
      <c r="CH306" s="566">
        <f t="shared" ca="1" si="877"/>
        <v>0</v>
      </c>
      <c r="CI306" s="170"/>
      <c r="CJ306" s="562"/>
      <c r="CK306" s="566">
        <f t="shared" ca="1" si="878"/>
        <v>712059.92</v>
      </c>
      <c r="CL306" s="566"/>
      <c r="CM306" s="170"/>
      <c r="CN306" s="170"/>
      <c r="CO306" s="382" t="str">
        <f t="shared" ref="CO306:CO317" si="892">+G306</f>
        <v xml:space="preserve">Straight Time Labor </v>
      </c>
      <c r="CP306" s="382"/>
      <c r="CQ306" s="385"/>
      <c r="CR306" s="382"/>
      <c r="CS306" s="385"/>
      <c r="CT306" s="567">
        <f t="shared" si="879"/>
        <v>0</v>
      </c>
      <c r="CU306" s="382"/>
      <c r="CV306" s="385"/>
      <c r="CW306" s="567">
        <f t="shared" ca="1" si="880"/>
        <v>0</v>
      </c>
      <c r="CX306" s="382"/>
      <c r="CY306" s="385"/>
      <c r="CZ306" s="567">
        <f t="shared" ca="1" si="881"/>
        <v>0</v>
      </c>
      <c r="DA306" s="382"/>
      <c r="DB306" s="385"/>
      <c r="DC306" s="567">
        <f t="shared" ca="1" si="882"/>
        <v>19203</v>
      </c>
      <c r="DD306" s="382"/>
      <c r="DE306" s="385"/>
      <c r="DF306" s="567">
        <f t="shared" ca="1" si="883"/>
        <v>30436.53</v>
      </c>
      <c r="DG306" s="382"/>
      <c r="DH306" s="385"/>
      <c r="DI306" s="567">
        <f t="shared" ca="1" si="884"/>
        <v>27089</v>
      </c>
      <c r="DJ306" s="382"/>
      <c r="DK306" s="385"/>
      <c r="DL306" s="567">
        <f t="shared" ca="1" si="885"/>
        <v>0</v>
      </c>
      <c r="DM306" s="382"/>
      <c r="DN306" s="385"/>
      <c r="DO306" s="567">
        <f t="shared" ca="1" si="886"/>
        <v>0</v>
      </c>
      <c r="DP306" s="382"/>
      <c r="DQ306" s="385"/>
      <c r="DR306" s="567">
        <f t="shared" ca="1" si="887"/>
        <v>0</v>
      </c>
      <c r="DS306" s="382"/>
      <c r="DT306" s="385"/>
      <c r="DU306" s="567">
        <f t="shared" ca="1" si="888"/>
        <v>0</v>
      </c>
      <c r="DV306" s="382"/>
      <c r="DW306" s="385"/>
      <c r="DX306" s="567">
        <f t="shared" ca="1" si="889"/>
        <v>0</v>
      </c>
      <c r="DY306" s="382"/>
      <c r="DZ306" s="385"/>
      <c r="EA306" s="568">
        <f t="shared" ca="1" si="890"/>
        <v>76728.53</v>
      </c>
      <c r="EB306" s="170"/>
      <c r="EC306" s="170"/>
      <c r="ED306" s="170"/>
      <c r="EE306" s="170"/>
      <c r="EF306" s="170"/>
      <c r="EG306" s="170"/>
      <c r="EH306" s="170"/>
      <c r="EI306" s="170"/>
      <c r="EJ306" s="170"/>
      <c r="EK306" s="170"/>
    </row>
    <row r="307" spans="1:141" ht="15" x14ac:dyDescent="0.25">
      <c r="A307" s="557"/>
      <c r="B307" s="424">
        <v>2</v>
      </c>
      <c r="C307" s="170"/>
      <c r="D307" s="170"/>
      <c r="E307" s="170"/>
      <c r="F307" s="170"/>
      <c r="G307" s="1374" t="s">
        <v>241</v>
      </c>
      <c r="H307" s="1287"/>
      <c r="I307" s="1289"/>
      <c r="J307" s="1287"/>
      <c r="K307" s="1289"/>
      <c r="L307" s="1369">
        <f t="shared" si="855"/>
        <v>0</v>
      </c>
      <c r="M307" s="1287"/>
      <c r="N307" s="1322" t="s">
        <v>377</v>
      </c>
      <c r="O307" s="1369">
        <f t="shared" si="856"/>
        <v>0</v>
      </c>
      <c r="P307" s="1287"/>
      <c r="Q307" s="1289"/>
      <c r="R307" s="1369">
        <f t="shared" si="857"/>
        <v>0</v>
      </c>
      <c r="S307" s="1287"/>
      <c r="T307" s="1289"/>
      <c r="U307" s="1369">
        <f t="shared" si="858"/>
        <v>0</v>
      </c>
      <c r="V307" s="1287"/>
      <c r="W307" s="1289"/>
      <c r="X307" s="1369">
        <f t="shared" si="859"/>
        <v>0</v>
      </c>
      <c r="Y307" s="1287"/>
      <c r="Z307" s="1289"/>
      <c r="AA307" s="1369">
        <f t="shared" si="860"/>
        <v>0</v>
      </c>
      <c r="AB307" s="1287"/>
      <c r="AC307" s="1289"/>
      <c r="AD307" s="1369">
        <f t="shared" si="861"/>
        <v>0</v>
      </c>
      <c r="AE307" s="1287"/>
      <c r="AF307" s="1289"/>
      <c r="AG307" s="1369">
        <f t="shared" si="862"/>
        <v>0</v>
      </c>
      <c r="AH307" s="1287"/>
      <c r="AI307" s="1289"/>
      <c r="AJ307" s="1369">
        <f t="shared" si="863"/>
        <v>0</v>
      </c>
      <c r="AK307" s="1287"/>
      <c r="AL307" s="1289"/>
      <c r="AM307" s="1369">
        <f t="shared" si="864"/>
        <v>0</v>
      </c>
      <c r="AN307" s="1287"/>
      <c r="AO307" s="1289"/>
      <c r="AP307" s="1369">
        <f t="shared" si="865"/>
        <v>0</v>
      </c>
      <c r="AQ307" s="1287"/>
      <c r="AR307" s="1289"/>
      <c r="AS307" s="1369">
        <f t="shared" si="866"/>
        <v>0</v>
      </c>
      <c r="AT307" s="1287"/>
      <c r="AU307" s="411"/>
      <c r="AV307" s="170"/>
      <c r="AW307" s="170"/>
      <c r="AX307" s="170"/>
      <c r="AY307" s="561" t="str">
        <f t="shared" si="891"/>
        <v>Overtime Labor</v>
      </c>
      <c r="AZ307" s="561"/>
      <c r="BA307" s="562"/>
      <c r="BB307" s="170"/>
      <c r="BC307" s="562"/>
      <c r="BD307" s="566">
        <f t="shared" si="867"/>
        <v>0</v>
      </c>
      <c r="BE307" s="170"/>
      <c r="BF307" s="1477"/>
      <c r="BG307" s="566">
        <f t="shared" si="868"/>
        <v>0</v>
      </c>
      <c r="BH307" s="170"/>
      <c r="BI307" s="1477"/>
      <c r="BJ307" s="566">
        <f t="shared" si="869"/>
        <v>0</v>
      </c>
      <c r="BK307" s="561"/>
      <c r="BL307" s="1477"/>
      <c r="BM307" s="566">
        <f t="shared" si="870"/>
        <v>0</v>
      </c>
      <c r="BN307" s="170"/>
      <c r="BO307" s="1477"/>
      <c r="BP307" s="566">
        <f t="shared" si="871"/>
        <v>0</v>
      </c>
      <c r="BQ307" s="170"/>
      <c r="BR307" s="1477"/>
      <c r="BS307" s="566">
        <f t="shared" si="872"/>
        <v>0</v>
      </c>
      <c r="BT307" s="170"/>
      <c r="BU307" s="1477"/>
      <c r="BV307" s="566">
        <f t="shared" si="873"/>
        <v>0</v>
      </c>
      <c r="BW307" s="170"/>
      <c r="BX307" s="1477"/>
      <c r="BY307" s="566">
        <f t="shared" si="874"/>
        <v>0</v>
      </c>
      <c r="BZ307" s="170"/>
      <c r="CA307" s="1477"/>
      <c r="CB307" s="566">
        <f t="shared" si="875"/>
        <v>0</v>
      </c>
      <c r="CC307" s="170"/>
      <c r="CD307" s="1477"/>
      <c r="CE307" s="566">
        <f t="shared" si="876"/>
        <v>0</v>
      </c>
      <c r="CF307" s="170"/>
      <c r="CG307" s="1477"/>
      <c r="CH307" s="566">
        <f t="shared" si="877"/>
        <v>0</v>
      </c>
      <c r="CI307" s="170"/>
      <c r="CJ307" s="562"/>
      <c r="CK307" s="566">
        <f t="shared" si="878"/>
        <v>0</v>
      </c>
      <c r="CL307" s="566"/>
      <c r="CM307" s="170"/>
      <c r="CN307" s="170"/>
      <c r="CO307" s="382" t="str">
        <f t="shared" si="892"/>
        <v>Overtime Labor</v>
      </c>
      <c r="CP307" s="382"/>
      <c r="CQ307" s="385"/>
      <c r="CR307" s="382"/>
      <c r="CS307" s="385"/>
      <c r="CT307" s="567">
        <f t="shared" si="879"/>
        <v>0</v>
      </c>
      <c r="CU307" s="382"/>
      <c r="CV307" s="385"/>
      <c r="CW307" s="567">
        <f t="shared" si="880"/>
        <v>0</v>
      </c>
      <c r="CX307" s="382"/>
      <c r="CY307" s="385"/>
      <c r="CZ307" s="567">
        <f t="shared" si="881"/>
        <v>0</v>
      </c>
      <c r="DA307" s="382"/>
      <c r="DB307" s="385"/>
      <c r="DC307" s="567">
        <f t="shared" si="882"/>
        <v>0</v>
      </c>
      <c r="DD307" s="382"/>
      <c r="DE307" s="385"/>
      <c r="DF307" s="567">
        <f t="shared" si="883"/>
        <v>0</v>
      </c>
      <c r="DG307" s="382"/>
      <c r="DH307" s="385"/>
      <c r="DI307" s="567">
        <f t="shared" si="884"/>
        <v>0</v>
      </c>
      <c r="DJ307" s="382"/>
      <c r="DK307" s="385"/>
      <c r="DL307" s="567">
        <f t="shared" si="885"/>
        <v>0</v>
      </c>
      <c r="DM307" s="382"/>
      <c r="DN307" s="385"/>
      <c r="DO307" s="567">
        <f t="shared" si="886"/>
        <v>0</v>
      </c>
      <c r="DP307" s="382"/>
      <c r="DQ307" s="385"/>
      <c r="DR307" s="567">
        <f t="shared" si="887"/>
        <v>0</v>
      </c>
      <c r="DS307" s="382"/>
      <c r="DT307" s="385"/>
      <c r="DU307" s="567">
        <f t="shared" si="888"/>
        <v>0</v>
      </c>
      <c r="DV307" s="382"/>
      <c r="DW307" s="385"/>
      <c r="DX307" s="567">
        <f t="shared" si="889"/>
        <v>0</v>
      </c>
      <c r="DY307" s="382"/>
      <c r="DZ307" s="385"/>
      <c r="EA307" s="568">
        <f t="shared" si="890"/>
        <v>0</v>
      </c>
      <c r="EB307" s="170"/>
      <c r="EC307" s="170"/>
      <c r="ED307" s="170"/>
      <c r="EE307" s="170"/>
      <c r="EF307" s="170"/>
      <c r="EG307" s="170"/>
      <c r="EH307" s="170"/>
      <c r="EI307" s="170"/>
      <c r="EJ307" s="170"/>
      <c r="EK307" s="170"/>
    </row>
    <row r="308" spans="1:141" ht="15" x14ac:dyDescent="0.25">
      <c r="A308" s="557"/>
      <c r="B308" s="424">
        <v>3</v>
      </c>
      <c r="C308" s="170"/>
      <c r="D308" s="170"/>
      <c r="E308" s="170"/>
      <c r="F308" s="170"/>
      <c r="G308" s="1374" t="s">
        <v>242</v>
      </c>
      <c r="H308" s="1287"/>
      <c r="I308" s="1289"/>
      <c r="J308" s="1287"/>
      <c r="K308" s="1289"/>
      <c r="L308" s="1369">
        <f t="shared" si="855"/>
        <v>39522.18</v>
      </c>
      <c r="M308" s="1287"/>
      <c r="N308" s="1289"/>
      <c r="O308" s="1369">
        <f t="shared" ca="1" si="856"/>
        <v>0</v>
      </c>
      <c r="P308" s="1287"/>
      <c r="Q308" s="1289"/>
      <c r="R308" s="1369">
        <f t="shared" ca="1" si="857"/>
        <v>0</v>
      </c>
      <c r="S308" s="1287"/>
      <c r="T308" s="1289"/>
      <c r="U308" s="1369">
        <f t="shared" ca="1" si="858"/>
        <v>662573</v>
      </c>
      <c r="V308" s="1287"/>
      <c r="W308" s="1289"/>
      <c r="X308" s="1369">
        <f t="shared" ca="1" si="859"/>
        <v>4047437.8896284006</v>
      </c>
      <c r="Y308" s="1287"/>
      <c r="Z308" s="1289"/>
      <c r="AA308" s="1369">
        <f t="shared" ca="1" si="860"/>
        <v>2888718.752678168</v>
      </c>
      <c r="AB308" s="1287"/>
      <c r="AC308" s="1289"/>
      <c r="AD308" s="1369">
        <f t="shared" ca="1" si="861"/>
        <v>0</v>
      </c>
      <c r="AE308" s="1287"/>
      <c r="AF308" s="1289"/>
      <c r="AG308" s="1369">
        <f t="shared" ca="1" si="862"/>
        <v>0</v>
      </c>
      <c r="AH308" s="1287"/>
      <c r="AI308" s="1289"/>
      <c r="AJ308" s="1369">
        <f t="shared" ca="1" si="863"/>
        <v>0</v>
      </c>
      <c r="AK308" s="1287"/>
      <c r="AL308" s="1289"/>
      <c r="AM308" s="1369">
        <f t="shared" ca="1" si="864"/>
        <v>0</v>
      </c>
      <c r="AN308" s="1287"/>
      <c r="AO308" s="1289"/>
      <c r="AP308" s="1369">
        <f t="shared" ca="1" si="865"/>
        <v>0</v>
      </c>
      <c r="AQ308" s="1287"/>
      <c r="AR308" s="1289"/>
      <c r="AS308" s="1369">
        <f t="shared" ca="1" si="866"/>
        <v>7638251.8223065687</v>
      </c>
      <c r="AT308" s="1287"/>
      <c r="AU308" s="411"/>
      <c r="AV308" s="170"/>
      <c r="AW308" s="170"/>
      <c r="AX308" s="170"/>
      <c r="AY308" s="561" t="str">
        <f t="shared" si="891"/>
        <v>Outside Services</v>
      </c>
      <c r="AZ308" s="561"/>
      <c r="BA308" s="562"/>
      <c r="BB308" s="170"/>
      <c r="BC308" s="562"/>
      <c r="BD308" s="566">
        <f t="shared" si="867"/>
        <v>39522.18</v>
      </c>
      <c r="BE308" s="170"/>
      <c r="BF308" s="1477"/>
      <c r="BG308" s="566">
        <f t="shared" ca="1" si="868"/>
        <v>0</v>
      </c>
      <c r="BH308" s="170"/>
      <c r="BI308" s="1477"/>
      <c r="BJ308" s="566">
        <f t="shared" ca="1" si="869"/>
        <v>0</v>
      </c>
      <c r="BK308" s="561"/>
      <c r="BL308" s="1477"/>
      <c r="BM308" s="566">
        <f t="shared" ca="1" si="870"/>
        <v>606753</v>
      </c>
      <c r="BN308" s="170"/>
      <c r="BO308" s="1477"/>
      <c r="BP308" s="566">
        <f t="shared" ca="1" si="871"/>
        <v>3598491</v>
      </c>
      <c r="BQ308" s="170"/>
      <c r="BR308" s="1477"/>
      <c r="BS308" s="566">
        <f t="shared" ca="1" si="872"/>
        <v>2493493</v>
      </c>
      <c r="BT308" s="170"/>
      <c r="BU308" s="1477"/>
      <c r="BV308" s="566">
        <f t="shared" ca="1" si="873"/>
        <v>0</v>
      </c>
      <c r="BW308" s="170"/>
      <c r="BX308" s="1477"/>
      <c r="BY308" s="566">
        <f t="shared" ca="1" si="874"/>
        <v>0</v>
      </c>
      <c r="BZ308" s="170"/>
      <c r="CA308" s="1477"/>
      <c r="CB308" s="566">
        <f t="shared" ca="1" si="875"/>
        <v>0</v>
      </c>
      <c r="CC308" s="170"/>
      <c r="CD308" s="1477"/>
      <c r="CE308" s="566">
        <f t="shared" ca="1" si="876"/>
        <v>0</v>
      </c>
      <c r="CF308" s="170"/>
      <c r="CG308" s="1477"/>
      <c r="CH308" s="566">
        <f t="shared" ca="1" si="877"/>
        <v>0</v>
      </c>
      <c r="CI308" s="170"/>
      <c r="CJ308" s="562"/>
      <c r="CK308" s="566">
        <f t="shared" ca="1" si="878"/>
        <v>6738259.1799999997</v>
      </c>
      <c r="CL308" s="566"/>
      <c r="CM308" s="170"/>
      <c r="CN308" s="170"/>
      <c r="CO308" s="382" t="str">
        <f t="shared" si="892"/>
        <v>Outside Services</v>
      </c>
      <c r="CP308" s="382"/>
      <c r="CQ308" s="385"/>
      <c r="CR308" s="382"/>
      <c r="CS308" s="385"/>
      <c r="CT308" s="567">
        <f t="shared" si="879"/>
        <v>0</v>
      </c>
      <c r="CU308" s="382"/>
      <c r="CV308" s="385"/>
      <c r="CW308" s="567">
        <f t="shared" ca="1" si="880"/>
        <v>0</v>
      </c>
      <c r="CX308" s="382"/>
      <c r="CY308" s="385"/>
      <c r="CZ308" s="567">
        <f t="shared" ca="1" si="881"/>
        <v>0</v>
      </c>
      <c r="DA308" s="382"/>
      <c r="DB308" s="385"/>
      <c r="DC308" s="567">
        <f t="shared" ca="1" si="882"/>
        <v>55820</v>
      </c>
      <c r="DD308" s="382"/>
      <c r="DE308" s="385"/>
      <c r="DF308" s="567">
        <f t="shared" ca="1" si="883"/>
        <v>448946.88962840044</v>
      </c>
      <c r="DG308" s="382"/>
      <c r="DH308" s="385"/>
      <c r="DI308" s="567">
        <f t="shared" ca="1" si="884"/>
        <v>395225.75267816824</v>
      </c>
      <c r="DJ308" s="382"/>
      <c r="DK308" s="385"/>
      <c r="DL308" s="567">
        <f t="shared" ca="1" si="885"/>
        <v>0</v>
      </c>
      <c r="DM308" s="382"/>
      <c r="DN308" s="385"/>
      <c r="DO308" s="567">
        <f t="shared" ca="1" si="886"/>
        <v>0</v>
      </c>
      <c r="DP308" s="382"/>
      <c r="DQ308" s="385"/>
      <c r="DR308" s="567">
        <f t="shared" ca="1" si="887"/>
        <v>0</v>
      </c>
      <c r="DS308" s="382"/>
      <c r="DT308" s="385"/>
      <c r="DU308" s="567">
        <f t="shared" ca="1" si="888"/>
        <v>0</v>
      </c>
      <c r="DV308" s="382"/>
      <c r="DW308" s="385"/>
      <c r="DX308" s="567">
        <f t="shared" ca="1" si="889"/>
        <v>0</v>
      </c>
      <c r="DY308" s="382"/>
      <c r="DZ308" s="385"/>
      <c r="EA308" s="568">
        <f t="shared" ca="1" si="890"/>
        <v>899992.64230656868</v>
      </c>
      <c r="EB308" s="170"/>
      <c r="EC308" s="170"/>
      <c r="ED308" s="170"/>
      <c r="EE308" s="170"/>
      <c r="EF308" s="170"/>
      <c r="EG308" s="170"/>
      <c r="EH308" s="170"/>
      <c r="EI308" s="170"/>
      <c r="EJ308" s="170"/>
      <c r="EK308" s="170"/>
    </row>
    <row r="309" spans="1:141" ht="15" x14ac:dyDescent="0.25">
      <c r="A309" s="557"/>
      <c r="B309" s="424">
        <v>4</v>
      </c>
      <c r="C309" s="170"/>
      <c r="D309" s="170"/>
      <c r="E309" s="170"/>
      <c r="F309" s="170"/>
      <c r="G309" s="1374" t="s">
        <v>243</v>
      </c>
      <c r="H309" s="1287"/>
      <c r="I309" s="1289"/>
      <c r="J309" s="1287"/>
      <c r="K309" s="1289"/>
      <c r="L309" s="1369">
        <f t="shared" si="855"/>
        <v>2358</v>
      </c>
      <c r="M309" s="1287"/>
      <c r="N309" s="1289"/>
      <c r="O309" s="1369">
        <f t="shared" ca="1" si="856"/>
        <v>0</v>
      </c>
      <c r="P309" s="1287"/>
      <c r="Q309" s="1289"/>
      <c r="R309" s="1369">
        <f t="shared" ca="1" si="857"/>
        <v>0</v>
      </c>
      <c r="S309" s="1287"/>
      <c r="T309" s="1289"/>
      <c r="U309" s="1369">
        <f t="shared" ca="1" si="858"/>
        <v>9639967.5745999999</v>
      </c>
      <c r="V309" s="1287"/>
      <c r="W309" s="1289"/>
      <c r="X309" s="1369">
        <f t="shared" ca="1" si="859"/>
        <v>9941166.6018380001</v>
      </c>
      <c r="Y309" s="1287"/>
      <c r="Z309" s="1289"/>
      <c r="AA309" s="1369">
        <f t="shared" ca="1" si="860"/>
        <v>8240</v>
      </c>
      <c r="AB309" s="1287"/>
      <c r="AC309" s="1289"/>
      <c r="AD309" s="1369">
        <f t="shared" ca="1" si="861"/>
        <v>0</v>
      </c>
      <c r="AE309" s="1287"/>
      <c r="AF309" s="1289"/>
      <c r="AG309" s="1369">
        <f t="shared" ca="1" si="862"/>
        <v>0</v>
      </c>
      <c r="AH309" s="1287"/>
      <c r="AI309" s="1289"/>
      <c r="AJ309" s="1369">
        <f t="shared" ca="1" si="863"/>
        <v>0</v>
      </c>
      <c r="AK309" s="1287"/>
      <c r="AL309" s="1289"/>
      <c r="AM309" s="1369">
        <f t="shared" ca="1" si="864"/>
        <v>0</v>
      </c>
      <c r="AN309" s="1287"/>
      <c r="AO309" s="1289"/>
      <c r="AP309" s="1369">
        <f t="shared" ca="1" si="865"/>
        <v>0</v>
      </c>
      <c r="AQ309" s="1287"/>
      <c r="AR309" s="1289"/>
      <c r="AS309" s="1369">
        <f t="shared" ca="1" si="866"/>
        <v>19591732.176438</v>
      </c>
      <c r="AT309" s="1287"/>
      <c r="AU309" s="411"/>
      <c r="AV309" s="170"/>
      <c r="AW309" s="170"/>
      <c r="AX309" s="170"/>
      <c r="AY309" s="561" t="str">
        <f t="shared" si="891"/>
        <v>Materials</v>
      </c>
      <c r="AZ309" s="561"/>
      <c r="BA309" s="562"/>
      <c r="BB309" s="170"/>
      <c r="BC309" s="562"/>
      <c r="BD309" s="566">
        <f t="shared" si="867"/>
        <v>2358</v>
      </c>
      <c r="BE309" s="170"/>
      <c r="BF309" s="1477"/>
      <c r="BG309" s="566">
        <f t="shared" ca="1" si="868"/>
        <v>0</v>
      </c>
      <c r="BH309" s="170"/>
      <c r="BI309" s="1477"/>
      <c r="BJ309" s="566">
        <f t="shared" ca="1" si="869"/>
        <v>0</v>
      </c>
      <c r="BK309" s="561"/>
      <c r="BL309" s="1477"/>
      <c r="BM309" s="566">
        <f t="shared" ca="1" si="870"/>
        <v>9086594</v>
      </c>
      <c r="BN309" s="170"/>
      <c r="BO309" s="1477"/>
      <c r="BP309" s="566">
        <f t="shared" ca="1" si="871"/>
        <v>9097263</v>
      </c>
      <c r="BQ309" s="170"/>
      <c r="BR309" s="1477"/>
      <c r="BS309" s="566">
        <f t="shared" ca="1" si="872"/>
        <v>7113</v>
      </c>
      <c r="BT309" s="170"/>
      <c r="BU309" s="1477"/>
      <c r="BV309" s="566">
        <f t="shared" ca="1" si="873"/>
        <v>0</v>
      </c>
      <c r="BW309" s="170"/>
      <c r="BX309" s="1477"/>
      <c r="BY309" s="566">
        <f t="shared" ca="1" si="874"/>
        <v>0</v>
      </c>
      <c r="BZ309" s="170"/>
      <c r="CA309" s="1477"/>
      <c r="CB309" s="566">
        <f t="shared" ca="1" si="875"/>
        <v>0</v>
      </c>
      <c r="CC309" s="170"/>
      <c r="CD309" s="1477"/>
      <c r="CE309" s="566">
        <f t="shared" ca="1" si="876"/>
        <v>0</v>
      </c>
      <c r="CF309" s="170"/>
      <c r="CG309" s="1477"/>
      <c r="CH309" s="566">
        <f t="shared" ca="1" si="877"/>
        <v>0</v>
      </c>
      <c r="CI309" s="170"/>
      <c r="CJ309" s="562"/>
      <c r="CK309" s="566">
        <f t="shared" ca="1" si="878"/>
        <v>18193328</v>
      </c>
      <c r="CL309" s="566"/>
      <c r="CM309" s="170"/>
      <c r="CN309" s="170"/>
      <c r="CO309" s="382" t="str">
        <f t="shared" si="892"/>
        <v>Materials</v>
      </c>
      <c r="CP309" s="382"/>
      <c r="CQ309" s="385"/>
      <c r="CR309" s="382"/>
      <c r="CS309" s="385"/>
      <c r="CT309" s="567">
        <f t="shared" si="879"/>
        <v>0</v>
      </c>
      <c r="CU309" s="382"/>
      <c r="CV309" s="385"/>
      <c r="CW309" s="567">
        <f t="shared" ca="1" si="880"/>
        <v>0</v>
      </c>
      <c r="CX309" s="382"/>
      <c r="CY309" s="385"/>
      <c r="CZ309" s="567">
        <f t="shared" ca="1" si="881"/>
        <v>0</v>
      </c>
      <c r="DA309" s="382"/>
      <c r="DB309" s="385"/>
      <c r="DC309" s="567">
        <f t="shared" ca="1" si="882"/>
        <v>553373.57459999959</v>
      </c>
      <c r="DD309" s="382"/>
      <c r="DE309" s="385"/>
      <c r="DF309" s="567">
        <f t="shared" ca="1" si="883"/>
        <v>843903.601838</v>
      </c>
      <c r="DG309" s="382"/>
      <c r="DH309" s="385"/>
      <c r="DI309" s="567">
        <f t="shared" ca="1" si="884"/>
        <v>1127</v>
      </c>
      <c r="DJ309" s="382"/>
      <c r="DK309" s="385"/>
      <c r="DL309" s="567">
        <f t="shared" ca="1" si="885"/>
        <v>0</v>
      </c>
      <c r="DM309" s="382"/>
      <c r="DN309" s="385"/>
      <c r="DO309" s="567">
        <f t="shared" ca="1" si="886"/>
        <v>0</v>
      </c>
      <c r="DP309" s="382"/>
      <c r="DQ309" s="385"/>
      <c r="DR309" s="567">
        <f t="shared" ca="1" si="887"/>
        <v>0</v>
      </c>
      <c r="DS309" s="382"/>
      <c r="DT309" s="385"/>
      <c r="DU309" s="567">
        <f t="shared" ca="1" si="888"/>
        <v>0</v>
      </c>
      <c r="DV309" s="382"/>
      <c r="DW309" s="385"/>
      <c r="DX309" s="567">
        <f t="shared" ca="1" si="889"/>
        <v>0</v>
      </c>
      <c r="DY309" s="382"/>
      <c r="DZ309" s="385"/>
      <c r="EA309" s="568">
        <f t="shared" ca="1" si="890"/>
        <v>1398404.1764379996</v>
      </c>
      <c r="EB309" s="170"/>
      <c r="EC309" s="170"/>
      <c r="ED309" s="170"/>
      <c r="EE309" s="170"/>
      <c r="EF309" s="170"/>
      <c r="EG309" s="170"/>
      <c r="EH309" s="170"/>
      <c r="EI309" s="170"/>
      <c r="EJ309" s="170"/>
      <c r="EK309" s="170"/>
    </row>
    <row r="310" spans="1:141" ht="15" x14ac:dyDescent="0.25">
      <c r="A310" s="557"/>
      <c r="B310" s="424">
        <v>5</v>
      </c>
      <c r="C310" s="170"/>
      <c r="D310" s="170"/>
      <c r="E310" s="170"/>
      <c r="F310" s="170"/>
      <c r="G310" s="1374" t="s">
        <v>244</v>
      </c>
      <c r="H310" s="1287"/>
      <c r="I310" s="1289"/>
      <c r="J310" s="1287"/>
      <c r="K310" s="1289"/>
      <c r="L310" s="1369">
        <f t="shared" si="855"/>
        <v>11094.01</v>
      </c>
      <c r="M310" s="1287"/>
      <c r="N310" s="1289"/>
      <c r="O310" s="1369">
        <f t="shared" ca="1" si="856"/>
        <v>3917</v>
      </c>
      <c r="P310" s="1287"/>
      <c r="Q310" s="1289"/>
      <c r="R310" s="1369">
        <f t="shared" ca="1" si="857"/>
        <v>7980</v>
      </c>
      <c r="S310" s="1287"/>
      <c r="T310" s="1289"/>
      <c r="U310" s="1369">
        <f t="shared" ca="1" si="858"/>
        <v>1912872.3851165469</v>
      </c>
      <c r="V310" s="1287"/>
      <c r="W310" s="1289"/>
      <c r="X310" s="1369">
        <f t="shared" ca="1" si="859"/>
        <v>3273305.5080165472</v>
      </c>
      <c r="Y310" s="1287"/>
      <c r="Z310" s="1289"/>
      <c r="AA310" s="1369">
        <f t="shared" ca="1" si="860"/>
        <v>1555240.44</v>
      </c>
      <c r="AB310" s="1287"/>
      <c r="AC310" s="1289"/>
      <c r="AD310" s="1369">
        <f t="shared" ca="1" si="861"/>
        <v>0</v>
      </c>
      <c r="AE310" s="1287"/>
      <c r="AF310" s="1289"/>
      <c r="AG310" s="1369">
        <f t="shared" ca="1" si="862"/>
        <v>0</v>
      </c>
      <c r="AH310" s="1287"/>
      <c r="AI310" s="1289"/>
      <c r="AJ310" s="1369">
        <f t="shared" ca="1" si="863"/>
        <v>0</v>
      </c>
      <c r="AK310" s="1287"/>
      <c r="AL310" s="1289"/>
      <c r="AM310" s="1369">
        <f t="shared" ca="1" si="864"/>
        <v>0</v>
      </c>
      <c r="AN310" s="1287"/>
      <c r="AO310" s="1289"/>
      <c r="AP310" s="1369">
        <f t="shared" ca="1" si="865"/>
        <v>0</v>
      </c>
      <c r="AQ310" s="1287"/>
      <c r="AR310" s="1289"/>
      <c r="AS310" s="1369">
        <f t="shared" ca="1" si="866"/>
        <v>6764409.3431330938</v>
      </c>
      <c r="AT310" s="1287"/>
      <c r="AU310" s="411"/>
      <c r="AV310" s="170"/>
      <c r="AW310" s="170"/>
      <c r="AX310" s="170"/>
      <c r="AY310" s="561" t="str">
        <f t="shared" si="891"/>
        <v>Other – Vehicles, expenses, Contingency</v>
      </c>
      <c r="AZ310" s="561"/>
      <c r="BA310" s="562"/>
      <c r="BB310" s="170"/>
      <c r="BC310" s="562"/>
      <c r="BD310" s="566">
        <f t="shared" si="867"/>
        <v>11094.01</v>
      </c>
      <c r="BE310" s="170"/>
      <c r="BF310" s="1477"/>
      <c r="BG310" s="566">
        <f t="shared" ca="1" si="868"/>
        <v>3917.23</v>
      </c>
      <c r="BH310" s="170"/>
      <c r="BI310" s="1477"/>
      <c r="BJ310" s="566">
        <f t="shared" ca="1" si="869"/>
        <v>7600</v>
      </c>
      <c r="BK310" s="561"/>
      <c r="BL310" s="1477"/>
      <c r="BM310" s="566">
        <f t="shared" ca="1" si="870"/>
        <v>1892905.3851165469</v>
      </c>
      <c r="BN310" s="170"/>
      <c r="BO310" s="1477"/>
      <c r="BP310" s="566">
        <f t="shared" ca="1" si="871"/>
        <v>3197769.5953065474</v>
      </c>
      <c r="BQ310" s="170"/>
      <c r="BR310" s="1477"/>
      <c r="BS310" s="566">
        <f t="shared" ca="1" si="872"/>
        <v>1550911.8319999999</v>
      </c>
      <c r="BT310" s="170"/>
      <c r="BU310" s="1477"/>
      <c r="BV310" s="566">
        <f t="shared" ca="1" si="873"/>
        <v>0</v>
      </c>
      <c r="BW310" s="170"/>
      <c r="BX310" s="1477"/>
      <c r="BY310" s="566">
        <f t="shared" ca="1" si="874"/>
        <v>0</v>
      </c>
      <c r="BZ310" s="170"/>
      <c r="CA310" s="1477"/>
      <c r="CB310" s="566">
        <f t="shared" ca="1" si="875"/>
        <v>0</v>
      </c>
      <c r="CC310" s="170"/>
      <c r="CD310" s="1477"/>
      <c r="CE310" s="566">
        <f t="shared" ca="1" si="876"/>
        <v>0</v>
      </c>
      <c r="CF310" s="170"/>
      <c r="CG310" s="1477"/>
      <c r="CH310" s="566">
        <f t="shared" ca="1" si="877"/>
        <v>0</v>
      </c>
      <c r="CI310" s="170"/>
      <c r="CJ310" s="562"/>
      <c r="CK310" s="566">
        <f t="shared" ca="1" si="878"/>
        <v>6664198.0524230944</v>
      </c>
      <c r="CL310" s="566"/>
      <c r="CM310" s="170"/>
      <c r="CN310" s="170"/>
      <c r="CO310" s="382" t="str">
        <f t="shared" si="892"/>
        <v>Other – Vehicles, expenses, Contingency</v>
      </c>
      <c r="CP310" s="382"/>
      <c r="CQ310" s="385"/>
      <c r="CR310" s="382"/>
      <c r="CS310" s="385"/>
      <c r="CT310" s="567">
        <f t="shared" si="879"/>
        <v>0</v>
      </c>
      <c r="CU310" s="382"/>
      <c r="CV310" s="385"/>
      <c r="CW310" s="567">
        <f t="shared" ca="1" si="880"/>
        <v>-0.23000000000001819</v>
      </c>
      <c r="CX310" s="382"/>
      <c r="CY310" s="385"/>
      <c r="CZ310" s="567">
        <f t="shared" ca="1" si="881"/>
        <v>380</v>
      </c>
      <c r="DA310" s="382"/>
      <c r="DB310" s="385"/>
      <c r="DC310" s="567">
        <f t="shared" ca="1" si="882"/>
        <v>19967</v>
      </c>
      <c r="DD310" s="382"/>
      <c r="DE310" s="385"/>
      <c r="DF310" s="567">
        <f t="shared" ca="1" si="883"/>
        <v>75535.91270999999</v>
      </c>
      <c r="DG310" s="382"/>
      <c r="DH310" s="385"/>
      <c r="DI310" s="567">
        <f t="shared" ca="1" si="884"/>
        <v>4328.6080000000002</v>
      </c>
      <c r="DJ310" s="382"/>
      <c r="DK310" s="385"/>
      <c r="DL310" s="567">
        <f t="shared" ca="1" si="885"/>
        <v>0</v>
      </c>
      <c r="DM310" s="382"/>
      <c r="DN310" s="385"/>
      <c r="DO310" s="567">
        <f t="shared" ca="1" si="886"/>
        <v>0</v>
      </c>
      <c r="DP310" s="382"/>
      <c r="DQ310" s="385"/>
      <c r="DR310" s="567">
        <f t="shared" ca="1" si="887"/>
        <v>0</v>
      </c>
      <c r="DS310" s="382"/>
      <c r="DT310" s="385"/>
      <c r="DU310" s="567">
        <f t="shared" ca="1" si="888"/>
        <v>0</v>
      </c>
      <c r="DV310" s="382"/>
      <c r="DW310" s="385"/>
      <c r="DX310" s="567">
        <f t="shared" ca="1" si="889"/>
        <v>0</v>
      </c>
      <c r="DY310" s="382"/>
      <c r="DZ310" s="385"/>
      <c r="EA310" s="568">
        <f t="shared" ca="1" si="890"/>
        <v>100211.29071</v>
      </c>
      <c r="EB310" s="170"/>
      <c r="EC310" s="170"/>
      <c r="ED310" s="170"/>
      <c r="EE310" s="170"/>
      <c r="EF310" s="170"/>
      <c r="EG310" s="170"/>
      <c r="EH310" s="170"/>
      <c r="EI310" s="170"/>
      <c r="EJ310" s="170"/>
      <c r="EK310" s="170"/>
    </row>
    <row r="311" spans="1:141" ht="15" x14ac:dyDescent="0.25">
      <c r="A311" s="557"/>
      <c r="B311" s="424">
        <v>6</v>
      </c>
      <c r="C311" s="170"/>
      <c r="D311" s="170"/>
      <c r="E311" s="170"/>
      <c r="F311" s="170"/>
      <c r="G311" s="1374" t="s">
        <v>100</v>
      </c>
      <c r="H311" s="1287"/>
      <c r="I311" s="1289"/>
      <c r="J311" s="1287"/>
      <c r="K311" s="1289"/>
      <c r="L311" s="1369">
        <f t="shared" si="855"/>
        <v>209080.81</v>
      </c>
      <c r="M311" s="1287"/>
      <c r="N311" s="1289"/>
      <c r="O311" s="1369">
        <f t="shared" ca="1" si="856"/>
        <v>35</v>
      </c>
      <c r="P311" s="1287"/>
      <c r="Q311" s="1289"/>
      <c r="R311" s="1369">
        <f t="shared" ca="1" si="857"/>
        <v>71</v>
      </c>
      <c r="S311" s="1287"/>
      <c r="T311" s="1289"/>
      <c r="U311" s="1369">
        <f t="shared" ca="1" si="858"/>
        <v>1433359</v>
      </c>
      <c r="V311" s="1287"/>
      <c r="W311" s="1289"/>
      <c r="X311" s="1369">
        <f t="shared" ca="1" si="859"/>
        <v>4242474</v>
      </c>
      <c r="Y311" s="1287"/>
      <c r="Z311" s="1289"/>
      <c r="AA311" s="1369">
        <f t="shared" ca="1" si="860"/>
        <v>2595678</v>
      </c>
      <c r="AB311" s="1287"/>
      <c r="AC311" s="1289"/>
      <c r="AD311" s="1369">
        <f t="shared" ca="1" si="861"/>
        <v>0</v>
      </c>
      <c r="AE311" s="1287"/>
      <c r="AF311" s="1289"/>
      <c r="AG311" s="1369">
        <f t="shared" ca="1" si="862"/>
        <v>0</v>
      </c>
      <c r="AH311" s="1287"/>
      <c r="AI311" s="1289"/>
      <c r="AJ311" s="1369">
        <f t="shared" ca="1" si="863"/>
        <v>0</v>
      </c>
      <c r="AK311" s="1287"/>
      <c r="AL311" s="1289"/>
      <c r="AM311" s="1369">
        <f t="shared" ca="1" si="864"/>
        <v>0</v>
      </c>
      <c r="AN311" s="1287"/>
      <c r="AO311" s="1289"/>
      <c r="AP311" s="1369">
        <f t="shared" ca="1" si="865"/>
        <v>0</v>
      </c>
      <c r="AQ311" s="1287"/>
      <c r="AR311" s="1289"/>
      <c r="AS311" s="1369">
        <f t="shared" ca="1" si="866"/>
        <v>8480697.8099999987</v>
      </c>
      <c r="AT311" s="1287"/>
      <c r="AU311" s="411"/>
      <c r="AV311" s="170"/>
      <c r="AW311" s="170"/>
      <c r="AX311" s="170"/>
      <c r="AY311" s="561" t="str">
        <f t="shared" si="891"/>
        <v>Indirects</v>
      </c>
      <c r="AZ311" s="561"/>
      <c r="BA311" s="562"/>
      <c r="BB311" s="170"/>
      <c r="BC311" s="562"/>
      <c r="BD311" s="566">
        <f t="shared" si="867"/>
        <v>209080.81</v>
      </c>
      <c r="BE311" s="170"/>
      <c r="BF311" s="1477"/>
      <c r="BG311" s="566">
        <f t="shared" ca="1" si="868"/>
        <v>35</v>
      </c>
      <c r="BH311" s="170"/>
      <c r="BI311" s="1477"/>
      <c r="BJ311" s="566">
        <f t="shared" ca="1" si="869"/>
        <v>68</v>
      </c>
      <c r="BK311" s="561"/>
      <c r="BL311" s="1477"/>
      <c r="BM311" s="566">
        <f t="shared" ca="1" si="870"/>
        <v>1312599.05</v>
      </c>
      <c r="BN311" s="170"/>
      <c r="BO311" s="1477"/>
      <c r="BP311" s="566">
        <f t="shared" ca="1" si="871"/>
        <v>3771894</v>
      </c>
      <c r="BQ311" s="170"/>
      <c r="BR311" s="1477"/>
      <c r="BS311" s="566">
        <f t="shared" ca="1" si="872"/>
        <v>2240546</v>
      </c>
      <c r="BT311" s="170"/>
      <c r="BU311" s="1477"/>
      <c r="BV311" s="566">
        <f t="shared" ca="1" si="873"/>
        <v>0</v>
      </c>
      <c r="BW311" s="170"/>
      <c r="BX311" s="1477"/>
      <c r="BY311" s="566">
        <f t="shared" ca="1" si="874"/>
        <v>0</v>
      </c>
      <c r="BZ311" s="170"/>
      <c r="CA311" s="1477"/>
      <c r="CB311" s="566">
        <f t="shared" ca="1" si="875"/>
        <v>0</v>
      </c>
      <c r="CC311" s="170"/>
      <c r="CD311" s="1477"/>
      <c r="CE311" s="566">
        <f t="shared" ca="1" si="876"/>
        <v>0</v>
      </c>
      <c r="CF311" s="170"/>
      <c r="CG311" s="1477"/>
      <c r="CH311" s="566">
        <f t="shared" ca="1" si="877"/>
        <v>0</v>
      </c>
      <c r="CI311" s="170"/>
      <c r="CJ311" s="562"/>
      <c r="CK311" s="566">
        <f t="shared" ca="1" si="878"/>
        <v>7534222.8599999994</v>
      </c>
      <c r="CL311" s="566"/>
      <c r="CM311" s="170"/>
      <c r="CN311" s="170"/>
      <c r="CO311" s="382" t="str">
        <f t="shared" si="892"/>
        <v>Indirects</v>
      </c>
      <c r="CP311" s="382"/>
      <c r="CQ311" s="385"/>
      <c r="CR311" s="382"/>
      <c r="CS311" s="385"/>
      <c r="CT311" s="567">
        <f t="shared" si="879"/>
        <v>0</v>
      </c>
      <c r="CU311" s="382"/>
      <c r="CV311" s="385"/>
      <c r="CW311" s="567">
        <f t="shared" ca="1" si="880"/>
        <v>0</v>
      </c>
      <c r="CX311" s="382"/>
      <c r="CY311" s="385"/>
      <c r="CZ311" s="567">
        <f t="shared" ca="1" si="881"/>
        <v>3</v>
      </c>
      <c r="DA311" s="382"/>
      <c r="DB311" s="385"/>
      <c r="DC311" s="567">
        <f t="shared" ca="1" si="882"/>
        <v>120759.95</v>
      </c>
      <c r="DD311" s="382"/>
      <c r="DE311" s="385"/>
      <c r="DF311" s="567">
        <f t="shared" ca="1" si="883"/>
        <v>470580</v>
      </c>
      <c r="DG311" s="382"/>
      <c r="DH311" s="385"/>
      <c r="DI311" s="567">
        <f t="shared" ca="1" si="884"/>
        <v>355132</v>
      </c>
      <c r="DJ311" s="382"/>
      <c r="DK311" s="385"/>
      <c r="DL311" s="567">
        <f t="shared" ca="1" si="885"/>
        <v>0</v>
      </c>
      <c r="DM311" s="382"/>
      <c r="DN311" s="385"/>
      <c r="DO311" s="567">
        <f t="shared" ca="1" si="886"/>
        <v>0</v>
      </c>
      <c r="DP311" s="382"/>
      <c r="DQ311" s="385"/>
      <c r="DR311" s="567">
        <f t="shared" ca="1" si="887"/>
        <v>0</v>
      </c>
      <c r="DS311" s="382"/>
      <c r="DT311" s="385"/>
      <c r="DU311" s="567">
        <f t="shared" ca="1" si="888"/>
        <v>0</v>
      </c>
      <c r="DV311" s="382"/>
      <c r="DW311" s="385"/>
      <c r="DX311" s="567">
        <f t="shared" ca="1" si="889"/>
        <v>0</v>
      </c>
      <c r="DY311" s="382"/>
      <c r="DZ311" s="385"/>
      <c r="EA311" s="568">
        <f t="shared" ca="1" si="890"/>
        <v>946474.95</v>
      </c>
      <c r="EB311" s="170"/>
      <c r="EC311" s="170"/>
      <c r="ED311" s="170"/>
      <c r="EE311" s="170"/>
      <c r="EF311" s="170"/>
      <c r="EG311" s="170"/>
      <c r="EH311" s="170"/>
      <c r="EI311" s="170"/>
      <c r="EJ311" s="170"/>
      <c r="EK311" s="170"/>
    </row>
    <row r="312" spans="1:141" ht="15" x14ac:dyDescent="0.25">
      <c r="A312" s="557"/>
      <c r="B312" s="424">
        <v>7</v>
      </c>
      <c r="C312" s="170"/>
      <c r="D312" s="170"/>
      <c r="E312" s="170"/>
      <c r="F312" s="170"/>
      <c r="G312" s="1374" t="s">
        <v>45</v>
      </c>
      <c r="H312" s="1287"/>
      <c r="I312" s="1289"/>
      <c r="J312" s="1287"/>
      <c r="K312" s="1289"/>
      <c r="L312" s="1369">
        <f t="shared" si="855"/>
        <v>25374.34</v>
      </c>
      <c r="M312" s="1287"/>
      <c r="N312" s="1289"/>
      <c r="O312" s="1369">
        <f t="shared" ca="1" si="856"/>
        <v>1077</v>
      </c>
      <c r="P312" s="1287"/>
      <c r="Q312" s="1289"/>
      <c r="R312" s="1369">
        <f t="shared" ca="1" si="857"/>
        <v>26933</v>
      </c>
      <c r="S312" s="1287"/>
      <c r="T312" s="1289"/>
      <c r="U312" s="1369">
        <f t="shared" ca="1" si="858"/>
        <v>460696</v>
      </c>
      <c r="V312" s="1287"/>
      <c r="W312" s="1289"/>
      <c r="X312" s="1369">
        <f t="shared" si="859"/>
        <v>1660900</v>
      </c>
      <c r="Y312" s="1287"/>
      <c r="Z312" s="1289"/>
      <c r="AA312" s="1369">
        <f t="shared" si="860"/>
        <v>657500</v>
      </c>
      <c r="AB312" s="1287"/>
      <c r="AC312" s="1289"/>
      <c r="AD312" s="1369">
        <f t="shared" ca="1" si="861"/>
        <v>0</v>
      </c>
      <c r="AE312" s="1287"/>
      <c r="AF312" s="1289"/>
      <c r="AG312" s="1369">
        <f t="shared" ca="1" si="862"/>
        <v>0</v>
      </c>
      <c r="AH312" s="1287"/>
      <c r="AI312" s="1289"/>
      <c r="AJ312" s="1369">
        <f t="shared" ca="1" si="863"/>
        <v>0</v>
      </c>
      <c r="AK312" s="1287"/>
      <c r="AL312" s="1289"/>
      <c r="AM312" s="1369">
        <f t="shared" ca="1" si="864"/>
        <v>0</v>
      </c>
      <c r="AN312" s="1287"/>
      <c r="AO312" s="1289"/>
      <c r="AP312" s="1369">
        <f t="shared" ca="1" si="865"/>
        <v>0</v>
      </c>
      <c r="AQ312" s="1287"/>
      <c r="AR312" s="1289"/>
      <c r="AS312" s="1369">
        <f t="shared" ca="1" si="866"/>
        <v>2832480.34</v>
      </c>
      <c r="AT312" s="1287"/>
      <c r="AU312" s="411"/>
      <c r="AV312" s="170"/>
      <c r="AW312" s="170"/>
      <c r="AX312" s="170"/>
      <c r="AY312" s="561" t="str">
        <f t="shared" si="891"/>
        <v>AFUDC</v>
      </c>
      <c r="AZ312" s="561"/>
      <c r="BA312" s="562"/>
      <c r="BB312" s="170"/>
      <c r="BC312" s="562"/>
      <c r="BD312" s="566">
        <f t="shared" si="867"/>
        <v>25374.34</v>
      </c>
      <c r="BE312" s="170"/>
      <c r="BF312" s="1477"/>
      <c r="BG312" s="566">
        <f t="shared" ca="1" si="868"/>
        <v>1076.6599999999999</v>
      </c>
      <c r="BH312" s="170"/>
      <c r="BI312" s="1477"/>
      <c r="BJ312" s="566">
        <f t="shared" ca="1" si="869"/>
        <v>26933</v>
      </c>
      <c r="BK312" s="561"/>
      <c r="BL312" s="1477"/>
      <c r="BM312" s="566">
        <f t="shared" ca="1" si="870"/>
        <v>460696</v>
      </c>
      <c r="BN312" s="170"/>
      <c r="BO312" s="1477"/>
      <c r="BP312" s="566">
        <f t="shared" si="871"/>
        <v>1660900</v>
      </c>
      <c r="BQ312" s="170"/>
      <c r="BR312" s="1477"/>
      <c r="BS312" s="566">
        <f t="shared" si="872"/>
        <v>657500</v>
      </c>
      <c r="BT312" s="170"/>
      <c r="BU312" s="1477"/>
      <c r="BV312" s="566">
        <f t="shared" ca="1" si="873"/>
        <v>0</v>
      </c>
      <c r="BW312" s="170"/>
      <c r="BX312" s="1477"/>
      <c r="BY312" s="566">
        <f t="shared" ca="1" si="874"/>
        <v>0</v>
      </c>
      <c r="BZ312" s="170"/>
      <c r="CA312" s="1477"/>
      <c r="CB312" s="566">
        <f t="shared" ca="1" si="875"/>
        <v>0</v>
      </c>
      <c r="CC312" s="170"/>
      <c r="CD312" s="1477"/>
      <c r="CE312" s="566">
        <f t="shared" ca="1" si="876"/>
        <v>0</v>
      </c>
      <c r="CF312" s="170"/>
      <c r="CG312" s="1477"/>
      <c r="CH312" s="566">
        <f t="shared" ca="1" si="877"/>
        <v>0</v>
      </c>
      <c r="CI312" s="170"/>
      <c r="CJ312" s="562"/>
      <c r="CK312" s="566">
        <f t="shared" ca="1" si="878"/>
        <v>2832480</v>
      </c>
      <c r="CL312" s="566"/>
      <c r="CM312" s="170"/>
      <c r="CN312" s="170"/>
      <c r="CO312" s="382" t="str">
        <f t="shared" si="892"/>
        <v>AFUDC</v>
      </c>
      <c r="CP312" s="382"/>
      <c r="CQ312" s="385"/>
      <c r="CR312" s="382"/>
      <c r="CS312" s="385"/>
      <c r="CT312" s="567">
        <f t="shared" si="879"/>
        <v>0</v>
      </c>
      <c r="CU312" s="382"/>
      <c r="CV312" s="385"/>
      <c r="CW312" s="567">
        <f t="shared" ca="1" si="880"/>
        <v>0.34000000000014552</v>
      </c>
      <c r="CX312" s="382"/>
      <c r="CY312" s="385"/>
      <c r="CZ312" s="567">
        <f t="shared" si="881"/>
        <v>0</v>
      </c>
      <c r="DA312" s="382"/>
      <c r="DB312" s="385"/>
      <c r="DC312" s="567">
        <f t="shared" si="882"/>
        <v>0</v>
      </c>
      <c r="DD312" s="382"/>
      <c r="DE312" s="385"/>
      <c r="DF312" s="567">
        <f t="shared" si="883"/>
        <v>0</v>
      </c>
      <c r="DG312" s="382"/>
      <c r="DH312" s="385"/>
      <c r="DI312" s="567">
        <f t="shared" si="884"/>
        <v>0</v>
      </c>
      <c r="DJ312" s="382"/>
      <c r="DK312" s="385"/>
      <c r="DL312" s="567">
        <f t="shared" si="885"/>
        <v>0</v>
      </c>
      <c r="DM312" s="382"/>
      <c r="DN312" s="385"/>
      <c r="DO312" s="567">
        <f t="shared" si="886"/>
        <v>0</v>
      </c>
      <c r="DP312" s="382"/>
      <c r="DQ312" s="385"/>
      <c r="DR312" s="567">
        <f t="shared" si="887"/>
        <v>0</v>
      </c>
      <c r="DS312" s="382"/>
      <c r="DT312" s="385"/>
      <c r="DU312" s="567">
        <f t="shared" si="888"/>
        <v>0</v>
      </c>
      <c r="DV312" s="382"/>
      <c r="DW312" s="385"/>
      <c r="DX312" s="567">
        <f t="shared" si="889"/>
        <v>0</v>
      </c>
      <c r="DY312" s="382"/>
      <c r="DZ312" s="385"/>
      <c r="EA312" s="568">
        <f t="shared" ca="1" si="890"/>
        <v>0.34000000000014552</v>
      </c>
      <c r="EB312" s="170"/>
      <c r="EC312" s="170"/>
      <c r="ED312" s="170"/>
      <c r="EE312" s="170"/>
      <c r="EF312" s="170"/>
      <c r="EG312" s="170"/>
      <c r="EH312" s="170"/>
      <c r="EI312" s="170"/>
      <c r="EJ312" s="170"/>
      <c r="EK312" s="170"/>
    </row>
    <row r="313" spans="1:141" ht="15" x14ac:dyDescent="0.25">
      <c r="A313" s="557"/>
      <c r="B313" s="424">
        <v>8</v>
      </c>
      <c r="C313" s="170"/>
      <c r="D313" s="170"/>
      <c r="E313" s="170"/>
      <c r="F313" s="170"/>
      <c r="G313" s="1374" t="s">
        <v>374</v>
      </c>
      <c r="H313" s="1287"/>
      <c r="I313" s="1289"/>
      <c r="J313" s="1287"/>
      <c r="K313" s="1289"/>
      <c r="L313" s="1369">
        <f t="shared" si="855"/>
        <v>0</v>
      </c>
      <c r="M313" s="1287"/>
      <c r="N313" s="1289"/>
      <c r="O313" s="1369">
        <f t="shared" ca="1" si="856"/>
        <v>0</v>
      </c>
      <c r="P313" s="1287"/>
      <c r="Q313" s="1289"/>
      <c r="R313" s="1369">
        <f t="shared" ca="1" si="857"/>
        <v>0</v>
      </c>
      <c r="S313" s="1287"/>
      <c r="T313" s="1289"/>
      <c r="U313" s="1369">
        <f t="shared" ca="1" si="858"/>
        <v>0</v>
      </c>
      <c r="V313" s="1287"/>
      <c r="W313" s="1289"/>
      <c r="X313" s="1369">
        <f t="shared" ca="1" si="859"/>
        <v>0</v>
      </c>
      <c r="Y313" s="1287"/>
      <c r="Z313" s="1289"/>
      <c r="AA313" s="1369">
        <f t="shared" ca="1" si="860"/>
        <v>0</v>
      </c>
      <c r="AB313" s="1287"/>
      <c r="AC313" s="1289"/>
      <c r="AD313" s="1369">
        <f t="shared" ca="1" si="861"/>
        <v>0</v>
      </c>
      <c r="AE313" s="1287"/>
      <c r="AF313" s="1289"/>
      <c r="AG313" s="1369">
        <f t="shared" ca="1" si="862"/>
        <v>0</v>
      </c>
      <c r="AH313" s="1287"/>
      <c r="AI313" s="1289"/>
      <c r="AJ313" s="1369">
        <f t="shared" ca="1" si="863"/>
        <v>0</v>
      </c>
      <c r="AK313" s="1287"/>
      <c r="AL313" s="1289"/>
      <c r="AM313" s="1369">
        <f t="shared" ca="1" si="864"/>
        <v>0</v>
      </c>
      <c r="AN313" s="1287"/>
      <c r="AO313" s="1289"/>
      <c r="AP313" s="1369">
        <f t="shared" ca="1" si="865"/>
        <v>0</v>
      </c>
      <c r="AQ313" s="1287"/>
      <c r="AR313" s="1289"/>
      <c r="AS313" s="1369">
        <f t="shared" ca="1" si="866"/>
        <v>0</v>
      </c>
      <c r="AT313" s="1287"/>
      <c r="AU313" s="411"/>
      <c r="AV313" s="170"/>
      <c r="AW313" s="170"/>
      <c r="AX313" s="170"/>
      <c r="AY313" s="561" t="str">
        <f t="shared" si="891"/>
        <v>Reimbursables</v>
      </c>
      <c r="AZ313" s="561"/>
      <c r="BA313" s="562"/>
      <c r="BB313" s="170"/>
      <c r="BC313" s="562"/>
      <c r="BD313" s="566">
        <f t="shared" si="867"/>
        <v>0</v>
      </c>
      <c r="BE313" s="170"/>
      <c r="BF313" s="1477"/>
      <c r="BG313" s="566">
        <f t="shared" ca="1" si="868"/>
        <v>0</v>
      </c>
      <c r="BH313" s="170"/>
      <c r="BI313" s="1477"/>
      <c r="BJ313" s="566">
        <f t="shared" ca="1" si="869"/>
        <v>0</v>
      </c>
      <c r="BK313" s="561"/>
      <c r="BL313" s="1477"/>
      <c r="BM313" s="566">
        <f t="shared" ca="1" si="870"/>
        <v>0</v>
      </c>
      <c r="BN313" s="170"/>
      <c r="BO313" s="1477"/>
      <c r="BP313" s="566">
        <f t="shared" ca="1" si="871"/>
        <v>0</v>
      </c>
      <c r="BQ313" s="170"/>
      <c r="BR313" s="1477"/>
      <c r="BS313" s="566">
        <f t="shared" ca="1" si="872"/>
        <v>0</v>
      </c>
      <c r="BT313" s="170"/>
      <c r="BU313" s="1477"/>
      <c r="BV313" s="566">
        <f t="shared" ca="1" si="873"/>
        <v>0</v>
      </c>
      <c r="BW313" s="170"/>
      <c r="BX313" s="1477"/>
      <c r="BY313" s="566">
        <f t="shared" ca="1" si="874"/>
        <v>0</v>
      </c>
      <c r="BZ313" s="170"/>
      <c r="CA313" s="1477"/>
      <c r="CB313" s="566">
        <f t="shared" ca="1" si="875"/>
        <v>0</v>
      </c>
      <c r="CC313" s="170"/>
      <c r="CD313" s="1477"/>
      <c r="CE313" s="566">
        <f t="shared" ca="1" si="876"/>
        <v>0</v>
      </c>
      <c r="CF313" s="170"/>
      <c r="CG313" s="1477"/>
      <c r="CH313" s="566">
        <f t="shared" ca="1" si="877"/>
        <v>0</v>
      </c>
      <c r="CI313" s="170"/>
      <c r="CJ313" s="562"/>
      <c r="CK313" s="566">
        <f t="shared" ca="1" si="878"/>
        <v>0</v>
      </c>
      <c r="CL313" s="566"/>
      <c r="CM313" s="170"/>
      <c r="CN313" s="170"/>
      <c r="CO313" s="382" t="str">
        <f t="shared" si="892"/>
        <v>Reimbursables</v>
      </c>
      <c r="CP313" s="382"/>
      <c r="CQ313" s="385"/>
      <c r="CR313" s="382"/>
      <c r="CS313" s="385"/>
      <c r="CT313" s="567">
        <f t="shared" si="879"/>
        <v>0</v>
      </c>
      <c r="CU313" s="382"/>
      <c r="CV313" s="385"/>
      <c r="CW313" s="567">
        <f t="shared" ca="1" si="880"/>
        <v>0</v>
      </c>
      <c r="CX313" s="382"/>
      <c r="CY313" s="385"/>
      <c r="CZ313" s="567">
        <f t="shared" ca="1" si="881"/>
        <v>0</v>
      </c>
      <c r="DA313" s="382"/>
      <c r="DB313" s="385"/>
      <c r="DC313" s="567">
        <f t="shared" ca="1" si="882"/>
        <v>0</v>
      </c>
      <c r="DD313" s="382"/>
      <c r="DE313" s="385"/>
      <c r="DF313" s="567">
        <f t="shared" ca="1" si="883"/>
        <v>0</v>
      </c>
      <c r="DG313" s="382"/>
      <c r="DH313" s="385"/>
      <c r="DI313" s="567">
        <f t="shared" ca="1" si="884"/>
        <v>0</v>
      </c>
      <c r="DJ313" s="382"/>
      <c r="DK313" s="385"/>
      <c r="DL313" s="567">
        <f t="shared" ca="1" si="885"/>
        <v>0</v>
      </c>
      <c r="DM313" s="382"/>
      <c r="DN313" s="385"/>
      <c r="DO313" s="567">
        <f t="shared" ca="1" si="886"/>
        <v>0</v>
      </c>
      <c r="DP313" s="382"/>
      <c r="DQ313" s="385"/>
      <c r="DR313" s="567">
        <f t="shared" ca="1" si="887"/>
        <v>0</v>
      </c>
      <c r="DS313" s="382"/>
      <c r="DT313" s="385"/>
      <c r="DU313" s="567">
        <f t="shared" ca="1" si="888"/>
        <v>0</v>
      </c>
      <c r="DV313" s="382"/>
      <c r="DW313" s="385"/>
      <c r="DX313" s="567">
        <f t="shared" ca="1" si="889"/>
        <v>0</v>
      </c>
      <c r="DY313" s="382"/>
      <c r="DZ313" s="385"/>
      <c r="EA313" s="568">
        <f t="shared" ca="1" si="890"/>
        <v>0</v>
      </c>
      <c r="EB313" s="170"/>
      <c r="EC313" s="170"/>
      <c r="ED313" s="170"/>
      <c r="EE313" s="170"/>
      <c r="EF313" s="170"/>
      <c r="EG313" s="170"/>
      <c r="EH313" s="170"/>
      <c r="EI313" s="170"/>
      <c r="EJ313" s="170"/>
      <c r="EK313" s="170"/>
    </row>
    <row r="314" spans="1:141" ht="15" x14ac:dyDescent="0.25">
      <c r="A314" s="557"/>
      <c r="B314" s="424"/>
      <c r="C314" s="170"/>
      <c r="D314" s="170"/>
      <c r="E314" s="170"/>
      <c r="F314" s="170"/>
      <c r="G314" s="1374"/>
      <c r="H314" s="1287"/>
      <c r="I314" s="1289"/>
      <c r="J314" s="1287"/>
      <c r="K314" s="1289"/>
      <c r="L314" s="1369">
        <f t="shared" si="855"/>
        <v>0</v>
      </c>
      <c r="M314" s="1287"/>
      <c r="N314" s="1289"/>
      <c r="O314" s="1369">
        <f t="shared" si="856"/>
        <v>0</v>
      </c>
      <c r="P314" s="1287"/>
      <c r="Q314" s="1289"/>
      <c r="R314" s="1369">
        <f t="shared" si="857"/>
        <v>0</v>
      </c>
      <c r="S314" s="1287"/>
      <c r="T314" s="1289"/>
      <c r="U314" s="1369">
        <f t="shared" si="858"/>
        <v>0</v>
      </c>
      <c r="V314" s="1287"/>
      <c r="W314" s="1289"/>
      <c r="X314" s="1369">
        <f t="shared" si="859"/>
        <v>0</v>
      </c>
      <c r="Y314" s="1287"/>
      <c r="Z314" s="1289"/>
      <c r="AA314" s="1369">
        <f t="shared" si="860"/>
        <v>0</v>
      </c>
      <c r="AB314" s="1287"/>
      <c r="AC314" s="1289"/>
      <c r="AD314" s="1369">
        <f t="shared" si="861"/>
        <v>0</v>
      </c>
      <c r="AE314" s="1287"/>
      <c r="AF314" s="1289"/>
      <c r="AG314" s="1369">
        <f t="shared" si="862"/>
        <v>0</v>
      </c>
      <c r="AH314" s="1287"/>
      <c r="AI314" s="1289"/>
      <c r="AJ314" s="1369">
        <f t="shared" si="863"/>
        <v>0</v>
      </c>
      <c r="AK314" s="1287"/>
      <c r="AL314" s="1289"/>
      <c r="AM314" s="1369">
        <f t="shared" si="864"/>
        <v>0</v>
      </c>
      <c r="AN314" s="1287"/>
      <c r="AO314" s="1289"/>
      <c r="AP314" s="1369">
        <f t="shared" si="865"/>
        <v>0</v>
      </c>
      <c r="AQ314" s="1287"/>
      <c r="AR314" s="1289"/>
      <c r="AS314" s="1369">
        <f t="shared" si="866"/>
        <v>0</v>
      </c>
      <c r="AT314" s="1287"/>
      <c r="AU314" s="411"/>
      <c r="AV314" s="170"/>
      <c r="AW314" s="170"/>
      <c r="AX314" s="170"/>
      <c r="AY314" s="561">
        <f t="shared" si="891"/>
        <v>0</v>
      </c>
      <c r="AZ314" s="561"/>
      <c r="BA314" s="562"/>
      <c r="BB314" s="170"/>
      <c r="BC314" s="562"/>
      <c r="BD314" s="566">
        <f t="shared" si="867"/>
        <v>0</v>
      </c>
      <c r="BE314" s="170"/>
      <c r="BF314" s="1477"/>
      <c r="BG314" s="566">
        <f t="shared" si="868"/>
        <v>0</v>
      </c>
      <c r="BH314" s="170"/>
      <c r="BI314" s="1477"/>
      <c r="BJ314" s="566">
        <f t="shared" si="869"/>
        <v>0</v>
      </c>
      <c r="BK314" s="561"/>
      <c r="BL314" s="1477"/>
      <c r="BM314" s="566">
        <f t="shared" si="870"/>
        <v>0</v>
      </c>
      <c r="BN314" s="170"/>
      <c r="BO314" s="1477"/>
      <c r="BP314" s="566">
        <f t="shared" si="871"/>
        <v>0</v>
      </c>
      <c r="BQ314" s="170"/>
      <c r="BR314" s="1477"/>
      <c r="BS314" s="566">
        <f t="shared" si="872"/>
        <v>0</v>
      </c>
      <c r="BT314" s="170"/>
      <c r="BU314" s="1477"/>
      <c r="BV314" s="566">
        <f t="shared" si="873"/>
        <v>0</v>
      </c>
      <c r="BW314" s="170"/>
      <c r="BX314" s="1477"/>
      <c r="BY314" s="566">
        <f t="shared" si="874"/>
        <v>0</v>
      </c>
      <c r="BZ314" s="170"/>
      <c r="CA314" s="1477"/>
      <c r="CB314" s="566">
        <f t="shared" si="875"/>
        <v>0</v>
      </c>
      <c r="CC314" s="170"/>
      <c r="CD314" s="1477"/>
      <c r="CE314" s="566">
        <f t="shared" si="876"/>
        <v>0</v>
      </c>
      <c r="CF314" s="170"/>
      <c r="CG314" s="1477"/>
      <c r="CH314" s="566">
        <f t="shared" si="877"/>
        <v>0</v>
      </c>
      <c r="CI314" s="170"/>
      <c r="CJ314" s="562"/>
      <c r="CK314" s="566">
        <f t="shared" si="878"/>
        <v>0</v>
      </c>
      <c r="CL314" s="566"/>
      <c r="CM314" s="170"/>
      <c r="CN314" s="170"/>
      <c r="CO314" s="382">
        <f t="shared" si="892"/>
        <v>0</v>
      </c>
      <c r="CP314" s="382"/>
      <c r="CQ314" s="385"/>
      <c r="CR314" s="382"/>
      <c r="CS314" s="385"/>
      <c r="CT314" s="567">
        <f t="shared" si="879"/>
        <v>0</v>
      </c>
      <c r="CU314" s="382"/>
      <c r="CV314" s="385"/>
      <c r="CW314" s="567">
        <f t="shared" si="880"/>
        <v>0</v>
      </c>
      <c r="CX314" s="382"/>
      <c r="CY314" s="385"/>
      <c r="CZ314" s="567">
        <f t="shared" si="881"/>
        <v>0</v>
      </c>
      <c r="DA314" s="382"/>
      <c r="DB314" s="385"/>
      <c r="DC314" s="567">
        <f t="shared" si="882"/>
        <v>0</v>
      </c>
      <c r="DD314" s="382"/>
      <c r="DE314" s="385"/>
      <c r="DF314" s="567">
        <f t="shared" si="883"/>
        <v>0</v>
      </c>
      <c r="DG314" s="382"/>
      <c r="DH314" s="385"/>
      <c r="DI314" s="567">
        <f t="shared" si="884"/>
        <v>0</v>
      </c>
      <c r="DJ314" s="382"/>
      <c r="DK314" s="385"/>
      <c r="DL314" s="567">
        <f t="shared" si="885"/>
        <v>0</v>
      </c>
      <c r="DM314" s="382"/>
      <c r="DN314" s="385"/>
      <c r="DO314" s="567">
        <f t="shared" si="886"/>
        <v>0</v>
      </c>
      <c r="DP314" s="382"/>
      <c r="DQ314" s="385"/>
      <c r="DR314" s="567">
        <f t="shared" si="887"/>
        <v>0</v>
      </c>
      <c r="DS314" s="382"/>
      <c r="DT314" s="385"/>
      <c r="DU314" s="567">
        <f t="shared" si="888"/>
        <v>0</v>
      </c>
      <c r="DV314" s="382"/>
      <c r="DW314" s="385"/>
      <c r="DX314" s="567">
        <f t="shared" si="889"/>
        <v>0</v>
      </c>
      <c r="DY314" s="382"/>
      <c r="DZ314" s="385"/>
      <c r="EA314" s="568">
        <f t="shared" si="890"/>
        <v>0</v>
      </c>
      <c r="EB314" s="170"/>
      <c r="EC314" s="170"/>
      <c r="ED314" s="170"/>
      <c r="EE314" s="170"/>
      <c r="EF314" s="170"/>
      <c r="EG314" s="170"/>
      <c r="EH314" s="170"/>
      <c r="EI314" s="170"/>
      <c r="EJ314" s="170"/>
      <c r="EK314" s="170"/>
    </row>
    <row r="315" spans="1:141" ht="15" x14ac:dyDescent="0.25">
      <c r="A315" s="557"/>
      <c r="B315" s="424"/>
      <c r="C315" s="170"/>
      <c r="D315" s="170"/>
      <c r="E315" s="170"/>
      <c r="F315" s="170"/>
      <c r="G315" s="1374"/>
      <c r="H315" s="1287"/>
      <c r="I315" s="1289"/>
      <c r="J315" s="1287"/>
      <c r="K315" s="1289"/>
      <c r="L315" s="1369">
        <f t="shared" si="855"/>
        <v>0</v>
      </c>
      <c r="M315" s="1287"/>
      <c r="N315" s="1289"/>
      <c r="O315" s="1369">
        <f t="shared" si="856"/>
        <v>0</v>
      </c>
      <c r="P315" s="1287"/>
      <c r="Q315" s="1289"/>
      <c r="R315" s="1369">
        <f t="shared" si="857"/>
        <v>0</v>
      </c>
      <c r="S315" s="1287"/>
      <c r="T315" s="1289"/>
      <c r="U315" s="1369">
        <f t="shared" si="858"/>
        <v>0</v>
      </c>
      <c r="V315" s="1287"/>
      <c r="W315" s="1289"/>
      <c r="X315" s="1369">
        <f t="shared" si="859"/>
        <v>0</v>
      </c>
      <c r="Y315" s="1287"/>
      <c r="Z315" s="1289"/>
      <c r="AA315" s="1369">
        <f t="shared" si="860"/>
        <v>0</v>
      </c>
      <c r="AB315" s="1287"/>
      <c r="AC315" s="1289"/>
      <c r="AD315" s="1369">
        <f t="shared" si="861"/>
        <v>0</v>
      </c>
      <c r="AE315" s="1287"/>
      <c r="AF315" s="1289"/>
      <c r="AG315" s="1369">
        <f t="shared" si="862"/>
        <v>0</v>
      </c>
      <c r="AH315" s="1287"/>
      <c r="AI315" s="1289"/>
      <c r="AJ315" s="1369">
        <f t="shared" si="863"/>
        <v>0</v>
      </c>
      <c r="AK315" s="1287"/>
      <c r="AL315" s="1289"/>
      <c r="AM315" s="1369">
        <f t="shared" si="864"/>
        <v>0</v>
      </c>
      <c r="AN315" s="1287"/>
      <c r="AO315" s="1289"/>
      <c r="AP315" s="1369">
        <f t="shared" si="865"/>
        <v>0</v>
      </c>
      <c r="AQ315" s="1287"/>
      <c r="AR315" s="1289"/>
      <c r="AS315" s="1369">
        <f t="shared" si="866"/>
        <v>0</v>
      </c>
      <c r="AT315" s="1287"/>
      <c r="AU315" s="411"/>
      <c r="AV315" s="170"/>
      <c r="AW315" s="170"/>
      <c r="AX315" s="170"/>
      <c r="AY315" s="561">
        <f t="shared" si="891"/>
        <v>0</v>
      </c>
      <c r="AZ315" s="561"/>
      <c r="BA315" s="562"/>
      <c r="BB315" s="170"/>
      <c r="BC315" s="562"/>
      <c r="BD315" s="566">
        <f t="shared" si="867"/>
        <v>0</v>
      </c>
      <c r="BE315" s="170"/>
      <c r="BF315" s="1477"/>
      <c r="BG315" s="566">
        <f t="shared" si="868"/>
        <v>0</v>
      </c>
      <c r="BH315" s="170"/>
      <c r="BI315" s="1477"/>
      <c r="BJ315" s="566">
        <f t="shared" si="869"/>
        <v>0</v>
      </c>
      <c r="BK315" s="561"/>
      <c r="BL315" s="1477"/>
      <c r="BM315" s="566">
        <f t="shared" si="870"/>
        <v>0</v>
      </c>
      <c r="BN315" s="170"/>
      <c r="BO315" s="1477"/>
      <c r="BP315" s="566">
        <f t="shared" si="871"/>
        <v>0</v>
      </c>
      <c r="BQ315" s="170"/>
      <c r="BR315" s="1477"/>
      <c r="BS315" s="566">
        <f t="shared" si="872"/>
        <v>0</v>
      </c>
      <c r="BT315" s="170"/>
      <c r="BU315" s="1477"/>
      <c r="BV315" s="566">
        <f t="shared" si="873"/>
        <v>0</v>
      </c>
      <c r="BW315" s="170"/>
      <c r="BX315" s="1477"/>
      <c r="BY315" s="566">
        <f t="shared" si="874"/>
        <v>0</v>
      </c>
      <c r="BZ315" s="170"/>
      <c r="CA315" s="1477"/>
      <c r="CB315" s="566">
        <f t="shared" si="875"/>
        <v>0</v>
      </c>
      <c r="CC315" s="170"/>
      <c r="CD315" s="1477"/>
      <c r="CE315" s="566">
        <f t="shared" si="876"/>
        <v>0</v>
      </c>
      <c r="CF315" s="170"/>
      <c r="CG315" s="1477"/>
      <c r="CH315" s="566">
        <f t="shared" si="877"/>
        <v>0</v>
      </c>
      <c r="CI315" s="170"/>
      <c r="CJ315" s="562"/>
      <c r="CK315" s="566">
        <f t="shared" si="878"/>
        <v>0</v>
      </c>
      <c r="CL315" s="566"/>
      <c r="CM315" s="170"/>
      <c r="CN315" s="170"/>
      <c r="CO315" s="382">
        <f t="shared" si="892"/>
        <v>0</v>
      </c>
      <c r="CP315" s="382"/>
      <c r="CQ315" s="385"/>
      <c r="CR315" s="382"/>
      <c r="CS315" s="385"/>
      <c r="CT315" s="567">
        <f t="shared" si="879"/>
        <v>0</v>
      </c>
      <c r="CU315" s="382"/>
      <c r="CV315" s="385"/>
      <c r="CW315" s="567">
        <f t="shared" si="880"/>
        <v>0</v>
      </c>
      <c r="CX315" s="382"/>
      <c r="CY315" s="385"/>
      <c r="CZ315" s="567">
        <f t="shared" si="881"/>
        <v>0</v>
      </c>
      <c r="DA315" s="382"/>
      <c r="DB315" s="385"/>
      <c r="DC315" s="567">
        <f t="shared" si="882"/>
        <v>0</v>
      </c>
      <c r="DD315" s="382"/>
      <c r="DE315" s="385"/>
      <c r="DF315" s="567">
        <f t="shared" si="883"/>
        <v>0</v>
      </c>
      <c r="DG315" s="382"/>
      <c r="DH315" s="385"/>
      <c r="DI315" s="567">
        <f t="shared" si="884"/>
        <v>0</v>
      </c>
      <c r="DJ315" s="382"/>
      <c r="DK315" s="385"/>
      <c r="DL315" s="567">
        <f t="shared" si="885"/>
        <v>0</v>
      </c>
      <c r="DM315" s="382"/>
      <c r="DN315" s="385"/>
      <c r="DO315" s="567">
        <f t="shared" si="886"/>
        <v>0</v>
      </c>
      <c r="DP315" s="382"/>
      <c r="DQ315" s="385"/>
      <c r="DR315" s="567">
        <f t="shared" si="887"/>
        <v>0</v>
      </c>
      <c r="DS315" s="382"/>
      <c r="DT315" s="385"/>
      <c r="DU315" s="567">
        <f t="shared" si="888"/>
        <v>0</v>
      </c>
      <c r="DV315" s="382"/>
      <c r="DW315" s="385"/>
      <c r="DX315" s="567">
        <f t="shared" si="889"/>
        <v>0</v>
      </c>
      <c r="DY315" s="382"/>
      <c r="DZ315" s="385"/>
      <c r="EA315" s="568">
        <f t="shared" si="890"/>
        <v>0</v>
      </c>
      <c r="EB315" s="170"/>
      <c r="EC315" s="170"/>
      <c r="ED315" s="170"/>
      <c r="EE315" s="170"/>
      <c r="EF315" s="170"/>
      <c r="EG315" s="170"/>
      <c r="EH315" s="170"/>
      <c r="EI315" s="170"/>
      <c r="EJ315" s="170"/>
      <c r="EK315" s="170"/>
    </row>
    <row r="316" spans="1:141" ht="15" x14ac:dyDescent="0.25">
      <c r="A316" s="557"/>
      <c r="B316" s="424"/>
      <c r="C316" s="170"/>
      <c r="D316" s="170"/>
      <c r="E316" s="170"/>
      <c r="F316" s="170"/>
      <c r="G316" s="1374"/>
      <c r="H316" s="1287"/>
      <c r="I316" s="1289"/>
      <c r="J316" s="1287"/>
      <c r="K316" s="1289"/>
      <c r="L316" s="1369">
        <f t="shared" si="855"/>
        <v>0</v>
      </c>
      <c r="M316" s="1287"/>
      <c r="N316" s="1289"/>
      <c r="O316" s="1369">
        <f t="shared" si="856"/>
        <v>0</v>
      </c>
      <c r="P316" s="1287"/>
      <c r="Q316" s="1289"/>
      <c r="R316" s="1369">
        <f t="shared" si="857"/>
        <v>0</v>
      </c>
      <c r="S316" s="1287"/>
      <c r="T316" s="1289"/>
      <c r="U316" s="1369">
        <f t="shared" si="858"/>
        <v>0</v>
      </c>
      <c r="V316" s="1287"/>
      <c r="W316" s="1289"/>
      <c r="X316" s="1369">
        <f t="shared" si="859"/>
        <v>0</v>
      </c>
      <c r="Y316" s="1287"/>
      <c r="Z316" s="1289"/>
      <c r="AA316" s="1369">
        <f t="shared" si="860"/>
        <v>0</v>
      </c>
      <c r="AB316" s="1287"/>
      <c r="AC316" s="1289"/>
      <c r="AD316" s="1369">
        <f t="shared" si="861"/>
        <v>0</v>
      </c>
      <c r="AE316" s="1287"/>
      <c r="AF316" s="1289"/>
      <c r="AG316" s="1369">
        <f t="shared" si="862"/>
        <v>0</v>
      </c>
      <c r="AH316" s="1287"/>
      <c r="AI316" s="1289"/>
      <c r="AJ316" s="1369">
        <f t="shared" si="863"/>
        <v>0</v>
      </c>
      <c r="AK316" s="1287"/>
      <c r="AL316" s="1289"/>
      <c r="AM316" s="1369">
        <f t="shared" si="864"/>
        <v>0</v>
      </c>
      <c r="AN316" s="1287"/>
      <c r="AO316" s="1289"/>
      <c r="AP316" s="1369">
        <f t="shared" si="865"/>
        <v>0</v>
      </c>
      <c r="AQ316" s="1287"/>
      <c r="AR316" s="1289"/>
      <c r="AS316" s="1369">
        <f t="shared" si="866"/>
        <v>0</v>
      </c>
      <c r="AT316" s="1287"/>
      <c r="AU316" s="411"/>
      <c r="AV316" s="170"/>
      <c r="AW316" s="170"/>
      <c r="AX316" s="170"/>
      <c r="AY316" s="561">
        <f t="shared" si="891"/>
        <v>0</v>
      </c>
      <c r="AZ316" s="561"/>
      <c r="BA316" s="562"/>
      <c r="BB316" s="170"/>
      <c r="BC316" s="562"/>
      <c r="BD316" s="566">
        <f t="shared" si="867"/>
        <v>0</v>
      </c>
      <c r="BE316" s="170"/>
      <c r="BF316" s="1477"/>
      <c r="BG316" s="566">
        <f t="shared" si="868"/>
        <v>0</v>
      </c>
      <c r="BH316" s="170"/>
      <c r="BI316" s="1477"/>
      <c r="BJ316" s="566">
        <f t="shared" si="869"/>
        <v>0</v>
      </c>
      <c r="BK316" s="561"/>
      <c r="BL316" s="1477"/>
      <c r="BM316" s="566">
        <f t="shared" si="870"/>
        <v>0</v>
      </c>
      <c r="BN316" s="170"/>
      <c r="BO316" s="1477"/>
      <c r="BP316" s="566">
        <f t="shared" si="871"/>
        <v>0</v>
      </c>
      <c r="BQ316" s="170"/>
      <c r="BR316" s="1477"/>
      <c r="BS316" s="566">
        <f t="shared" si="872"/>
        <v>0</v>
      </c>
      <c r="BT316" s="170"/>
      <c r="BU316" s="1477"/>
      <c r="BV316" s="566">
        <f t="shared" si="873"/>
        <v>0</v>
      </c>
      <c r="BW316" s="170"/>
      <c r="BX316" s="1477"/>
      <c r="BY316" s="566">
        <f t="shared" si="874"/>
        <v>0</v>
      </c>
      <c r="BZ316" s="170"/>
      <c r="CA316" s="1477"/>
      <c r="CB316" s="566">
        <f t="shared" si="875"/>
        <v>0</v>
      </c>
      <c r="CC316" s="170"/>
      <c r="CD316" s="1477"/>
      <c r="CE316" s="566">
        <f t="shared" si="876"/>
        <v>0</v>
      </c>
      <c r="CF316" s="170"/>
      <c r="CG316" s="1477"/>
      <c r="CH316" s="566">
        <f t="shared" si="877"/>
        <v>0</v>
      </c>
      <c r="CI316" s="170"/>
      <c r="CJ316" s="562"/>
      <c r="CK316" s="566">
        <f t="shared" si="878"/>
        <v>0</v>
      </c>
      <c r="CL316" s="566"/>
      <c r="CM316" s="170"/>
      <c r="CN316" s="170"/>
      <c r="CO316" s="382">
        <f t="shared" si="892"/>
        <v>0</v>
      </c>
      <c r="CP316" s="382"/>
      <c r="CQ316" s="385"/>
      <c r="CR316" s="382"/>
      <c r="CS316" s="385"/>
      <c r="CT316" s="567">
        <f t="shared" si="879"/>
        <v>0</v>
      </c>
      <c r="CU316" s="382"/>
      <c r="CV316" s="385"/>
      <c r="CW316" s="567">
        <f t="shared" si="880"/>
        <v>0</v>
      </c>
      <c r="CX316" s="382"/>
      <c r="CY316" s="385"/>
      <c r="CZ316" s="567">
        <f t="shared" si="881"/>
        <v>0</v>
      </c>
      <c r="DA316" s="382"/>
      <c r="DB316" s="385"/>
      <c r="DC316" s="567">
        <f t="shared" si="882"/>
        <v>0</v>
      </c>
      <c r="DD316" s="382"/>
      <c r="DE316" s="385"/>
      <c r="DF316" s="567">
        <f t="shared" si="883"/>
        <v>0</v>
      </c>
      <c r="DG316" s="382"/>
      <c r="DH316" s="385"/>
      <c r="DI316" s="567">
        <f t="shared" si="884"/>
        <v>0</v>
      </c>
      <c r="DJ316" s="382"/>
      <c r="DK316" s="385"/>
      <c r="DL316" s="567">
        <f t="shared" si="885"/>
        <v>0</v>
      </c>
      <c r="DM316" s="382"/>
      <c r="DN316" s="385"/>
      <c r="DO316" s="567">
        <f t="shared" si="886"/>
        <v>0</v>
      </c>
      <c r="DP316" s="382"/>
      <c r="DQ316" s="385"/>
      <c r="DR316" s="567">
        <f t="shared" si="887"/>
        <v>0</v>
      </c>
      <c r="DS316" s="382"/>
      <c r="DT316" s="385"/>
      <c r="DU316" s="567">
        <f t="shared" si="888"/>
        <v>0</v>
      </c>
      <c r="DV316" s="382"/>
      <c r="DW316" s="385"/>
      <c r="DX316" s="567">
        <f t="shared" si="889"/>
        <v>0</v>
      </c>
      <c r="DY316" s="382"/>
      <c r="DZ316" s="385"/>
      <c r="EA316" s="568">
        <f t="shared" si="890"/>
        <v>0</v>
      </c>
      <c r="EB316" s="170"/>
      <c r="EC316" s="170"/>
      <c r="ED316" s="170"/>
      <c r="EE316" s="170"/>
      <c r="EF316" s="170"/>
      <c r="EG316" s="170"/>
      <c r="EH316" s="170"/>
      <c r="EI316" s="170"/>
      <c r="EJ316" s="170"/>
      <c r="EK316" s="170"/>
    </row>
    <row r="317" spans="1:141" ht="15" x14ac:dyDescent="0.25">
      <c r="A317" s="557"/>
      <c r="B317" s="424"/>
      <c r="C317" s="170"/>
      <c r="D317" s="170"/>
      <c r="E317" s="170"/>
      <c r="F317" s="170"/>
      <c r="G317" s="1374"/>
      <c r="H317" s="1287"/>
      <c r="I317" s="1289"/>
      <c r="J317" s="1287"/>
      <c r="K317" s="1289"/>
      <c r="L317" s="1369">
        <f t="shared" si="855"/>
        <v>0</v>
      </c>
      <c r="M317" s="1287"/>
      <c r="N317" s="1289"/>
      <c r="O317" s="1369">
        <f t="shared" si="856"/>
        <v>0</v>
      </c>
      <c r="P317" s="1287"/>
      <c r="Q317" s="1289"/>
      <c r="R317" s="1369">
        <f t="shared" si="857"/>
        <v>0</v>
      </c>
      <c r="S317" s="1287"/>
      <c r="T317" s="1289"/>
      <c r="U317" s="1369">
        <f t="shared" si="858"/>
        <v>0</v>
      </c>
      <c r="V317" s="1287"/>
      <c r="W317" s="1289"/>
      <c r="X317" s="1369">
        <f t="shared" si="859"/>
        <v>0</v>
      </c>
      <c r="Y317" s="1287"/>
      <c r="Z317" s="1289"/>
      <c r="AA317" s="1369">
        <f t="shared" si="860"/>
        <v>0</v>
      </c>
      <c r="AB317" s="1287"/>
      <c r="AC317" s="1289"/>
      <c r="AD317" s="1369">
        <f t="shared" si="861"/>
        <v>0</v>
      </c>
      <c r="AE317" s="1287"/>
      <c r="AF317" s="1289"/>
      <c r="AG317" s="1369">
        <f t="shared" si="862"/>
        <v>0</v>
      </c>
      <c r="AH317" s="1287"/>
      <c r="AI317" s="1289"/>
      <c r="AJ317" s="1369">
        <f t="shared" si="863"/>
        <v>0</v>
      </c>
      <c r="AK317" s="1287"/>
      <c r="AL317" s="1289"/>
      <c r="AM317" s="1369">
        <f t="shared" si="864"/>
        <v>0</v>
      </c>
      <c r="AN317" s="1287"/>
      <c r="AO317" s="1289"/>
      <c r="AP317" s="1369">
        <f t="shared" si="865"/>
        <v>0</v>
      </c>
      <c r="AQ317" s="1287"/>
      <c r="AR317" s="1289"/>
      <c r="AS317" s="1369">
        <f t="shared" si="866"/>
        <v>0</v>
      </c>
      <c r="AT317" s="1287"/>
      <c r="AU317" s="411"/>
      <c r="AV317" s="170"/>
      <c r="AW317" s="170"/>
      <c r="AX317" s="170"/>
      <c r="AY317" s="561">
        <f t="shared" si="891"/>
        <v>0</v>
      </c>
      <c r="AZ317" s="561"/>
      <c r="BA317" s="562"/>
      <c r="BB317" s="170"/>
      <c r="BC317" s="562"/>
      <c r="BD317" s="566">
        <f t="shared" si="867"/>
        <v>0</v>
      </c>
      <c r="BE317" s="170"/>
      <c r="BF317" s="1477"/>
      <c r="BG317" s="566">
        <f t="shared" si="868"/>
        <v>0</v>
      </c>
      <c r="BH317" s="170"/>
      <c r="BI317" s="1477"/>
      <c r="BJ317" s="566">
        <f t="shared" si="869"/>
        <v>0</v>
      </c>
      <c r="BK317" s="561"/>
      <c r="BL317" s="1477"/>
      <c r="BM317" s="566">
        <f t="shared" si="870"/>
        <v>0</v>
      </c>
      <c r="BN317" s="170"/>
      <c r="BO317" s="1477"/>
      <c r="BP317" s="566">
        <f t="shared" si="871"/>
        <v>0</v>
      </c>
      <c r="BQ317" s="170"/>
      <c r="BR317" s="1477"/>
      <c r="BS317" s="566">
        <f t="shared" si="872"/>
        <v>0</v>
      </c>
      <c r="BT317" s="170"/>
      <c r="BU317" s="1477"/>
      <c r="BV317" s="566">
        <f t="shared" si="873"/>
        <v>0</v>
      </c>
      <c r="BW317" s="170"/>
      <c r="BX317" s="1477"/>
      <c r="BY317" s="566">
        <f t="shared" si="874"/>
        <v>0</v>
      </c>
      <c r="BZ317" s="170"/>
      <c r="CA317" s="1477"/>
      <c r="CB317" s="566">
        <f t="shared" si="875"/>
        <v>0</v>
      </c>
      <c r="CC317" s="170"/>
      <c r="CD317" s="1477"/>
      <c r="CE317" s="566">
        <f t="shared" si="876"/>
        <v>0</v>
      </c>
      <c r="CF317" s="170"/>
      <c r="CG317" s="1477"/>
      <c r="CH317" s="566">
        <f t="shared" si="877"/>
        <v>0</v>
      </c>
      <c r="CI317" s="170"/>
      <c r="CJ317" s="562"/>
      <c r="CK317" s="566">
        <f t="shared" si="878"/>
        <v>0</v>
      </c>
      <c r="CL317" s="566"/>
      <c r="CM317" s="170"/>
      <c r="CN317" s="170"/>
      <c r="CO317" s="382">
        <f t="shared" si="892"/>
        <v>0</v>
      </c>
      <c r="CP317" s="382"/>
      <c r="CQ317" s="385"/>
      <c r="CR317" s="382"/>
      <c r="CS317" s="385"/>
      <c r="CT317" s="567">
        <f t="shared" si="879"/>
        <v>0</v>
      </c>
      <c r="CU317" s="382"/>
      <c r="CV317" s="385"/>
      <c r="CW317" s="567">
        <f t="shared" si="880"/>
        <v>0</v>
      </c>
      <c r="CX317" s="382"/>
      <c r="CY317" s="385"/>
      <c r="CZ317" s="567">
        <f t="shared" si="881"/>
        <v>0</v>
      </c>
      <c r="DA317" s="382"/>
      <c r="DB317" s="385"/>
      <c r="DC317" s="567">
        <f t="shared" si="882"/>
        <v>0</v>
      </c>
      <c r="DD317" s="382"/>
      <c r="DE317" s="385"/>
      <c r="DF317" s="567">
        <f t="shared" si="883"/>
        <v>0</v>
      </c>
      <c r="DG317" s="382"/>
      <c r="DH317" s="385"/>
      <c r="DI317" s="567">
        <f t="shared" si="884"/>
        <v>0</v>
      </c>
      <c r="DJ317" s="382"/>
      <c r="DK317" s="385"/>
      <c r="DL317" s="567">
        <f t="shared" si="885"/>
        <v>0</v>
      </c>
      <c r="DM317" s="382"/>
      <c r="DN317" s="385"/>
      <c r="DO317" s="567">
        <f t="shared" si="886"/>
        <v>0</v>
      </c>
      <c r="DP317" s="382"/>
      <c r="DQ317" s="385"/>
      <c r="DR317" s="567">
        <f t="shared" si="887"/>
        <v>0</v>
      </c>
      <c r="DS317" s="382"/>
      <c r="DT317" s="385"/>
      <c r="DU317" s="567">
        <f t="shared" si="888"/>
        <v>0</v>
      </c>
      <c r="DV317" s="382"/>
      <c r="DW317" s="385"/>
      <c r="DX317" s="567">
        <f t="shared" si="889"/>
        <v>0</v>
      </c>
      <c r="DY317" s="382"/>
      <c r="DZ317" s="385"/>
      <c r="EA317" s="568">
        <f t="shared" si="890"/>
        <v>0</v>
      </c>
      <c r="EB317" s="170"/>
      <c r="EC317" s="170"/>
      <c r="ED317" s="170"/>
      <c r="EE317" s="170"/>
      <c r="EF317" s="170"/>
      <c r="EG317" s="170"/>
      <c r="EH317" s="170"/>
      <c r="EI317" s="170"/>
      <c r="EJ317" s="170"/>
      <c r="EK317" s="170"/>
    </row>
    <row r="318" spans="1:141" ht="15" x14ac:dyDescent="0.25">
      <c r="A318" s="557"/>
      <c r="B318" s="472"/>
      <c r="C318" s="472"/>
      <c r="D318" s="472"/>
      <c r="E318" s="170"/>
      <c r="F318" s="170"/>
      <c r="G318" s="1287"/>
      <c r="H318" s="1287"/>
      <c r="I318" s="1289"/>
      <c r="J318" s="1287"/>
      <c r="K318" s="1289"/>
      <c r="L318" s="1287"/>
      <c r="M318" s="1287"/>
      <c r="N318" s="1289"/>
      <c r="O318" s="1287"/>
      <c r="P318" s="1287"/>
      <c r="Q318" s="1289"/>
      <c r="R318" s="1287"/>
      <c r="S318" s="1287"/>
      <c r="T318" s="1289"/>
      <c r="U318" s="1287"/>
      <c r="V318" s="1287"/>
      <c r="W318" s="1289"/>
      <c r="X318" s="1287"/>
      <c r="Y318" s="1287"/>
      <c r="Z318" s="1289"/>
      <c r="AA318" s="1287"/>
      <c r="AB318" s="1287"/>
      <c r="AC318" s="1289"/>
      <c r="AD318" s="1287"/>
      <c r="AE318" s="1287"/>
      <c r="AF318" s="1289"/>
      <c r="AG318" s="1287"/>
      <c r="AH318" s="1287"/>
      <c r="AI318" s="1289"/>
      <c r="AJ318" s="1287"/>
      <c r="AK318" s="1287"/>
      <c r="AL318" s="1289"/>
      <c r="AM318" s="1287"/>
      <c r="AN318" s="1287"/>
      <c r="AO318" s="1289"/>
      <c r="AP318" s="1287"/>
      <c r="AQ318" s="1287"/>
      <c r="AR318" s="1289"/>
      <c r="AS318" s="1287"/>
      <c r="AT318" s="1287"/>
      <c r="AU318" s="411"/>
      <c r="AV318" s="170"/>
      <c r="AW318" s="170"/>
      <c r="AX318" s="170"/>
      <c r="AY318" s="561"/>
      <c r="AZ318" s="561"/>
      <c r="BA318" s="562"/>
      <c r="BB318" s="170"/>
      <c r="BC318" s="562"/>
      <c r="BD318" s="561"/>
      <c r="BE318" s="170"/>
      <c r="BF318" s="1477"/>
      <c r="BG318" s="561"/>
      <c r="BH318" s="170"/>
      <c r="BI318" s="1477"/>
      <c r="BJ318" s="561"/>
      <c r="BK318" s="561"/>
      <c r="BL318" s="1477"/>
      <c r="BM318" s="561"/>
      <c r="BN318" s="170"/>
      <c r="BO318" s="1477"/>
      <c r="BP318" s="561"/>
      <c r="BQ318" s="170"/>
      <c r="BR318" s="1477"/>
      <c r="BS318" s="561"/>
      <c r="BT318" s="170"/>
      <c r="BU318" s="1477"/>
      <c r="BV318" s="561"/>
      <c r="BW318" s="170"/>
      <c r="BX318" s="1477"/>
      <c r="BY318" s="561"/>
      <c r="BZ318" s="170"/>
      <c r="CA318" s="1477"/>
      <c r="CB318" s="561"/>
      <c r="CC318" s="170"/>
      <c r="CD318" s="1477"/>
      <c r="CE318" s="561"/>
      <c r="CF318" s="170"/>
      <c r="CG318" s="1477"/>
      <c r="CH318" s="561"/>
      <c r="CI318" s="170"/>
      <c r="CJ318" s="562"/>
      <c r="CK318" s="561"/>
      <c r="CL318" s="561"/>
      <c r="CM318" s="170"/>
      <c r="CN318" s="170"/>
      <c r="CO318" s="382"/>
      <c r="CP318" s="382"/>
      <c r="CQ318" s="385"/>
      <c r="CR318" s="382"/>
      <c r="CS318" s="385"/>
      <c r="CT318" s="382"/>
      <c r="CU318" s="382"/>
      <c r="CV318" s="385"/>
      <c r="CW318" s="382"/>
      <c r="CX318" s="382"/>
      <c r="CY318" s="385"/>
      <c r="CZ318" s="382"/>
      <c r="DA318" s="382"/>
      <c r="DB318" s="385"/>
      <c r="DC318" s="382"/>
      <c r="DD318" s="382"/>
      <c r="DE318" s="385"/>
      <c r="DF318" s="382"/>
      <c r="DG318" s="382"/>
      <c r="DH318" s="385"/>
      <c r="DI318" s="382"/>
      <c r="DJ318" s="382"/>
      <c r="DK318" s="385"/>
      <c r="DL318" s="382"/>
      <c r="DM318" s="382"/>
      <c r="DN318" s="385"/>
      <c r="DO318" s="382"/>
      <c r="DP318" s="382"/>
      <c r="DQ318" s="385"/>
      <c r="DR318" s="382"/>
      <c r="DS318" s="382"/>
      <c r="DT318" s="385"/>
      <c r="DU318" s="382"/>
      <c r="DV318" s="382"/>
      <c r="DW318" s="385"/>
      <c r="DX318" s="382"/>
      <c r="DY318" s="382"/>
      <c r="DZ318" s="385"/>
      <c r="EA318" s="563"/>
      <c r="EB318" s="170"/>
      <c r="EC318" s="170"/>
      <c r="ED318" s="170"/>
      <c r="EE318" s="170"/>
      <c r="EF318" s="170"/>
      <c r="EG318" s="170"/>
      <c r="EH318" s="170"/>
      <c r="EI318" s="170"/>
      <c r="EJ318" s="170"/>
      <c r="EK318" s="170"/>
    </row>
    <row r="319" spans="1:141" ht="18.75" thickBot="1" x14ac:dyDescent="0.3">
      <c r="A319" s="557"/>
      <c r="B319" s="472"/>
      <c r="C319" s="472"/>
      <c r="D319" s="472"/>
      <c r="E319" s="170"/>
      <c r="F319" s="524"/>
      <c r="G319" s="1782" t="s">
        <v>1227</v>
      </c>
      <c r="H319" s="1360"/>
      <c r="I319" s="1310"/>
      <c r="J319" s="1690"/>
      <c r="K319" s="1361"/>
      <c r="L319" s="1362">
        <f>SUM(L305:L318)</f>
        <v>375891.79000000004</v>
      </c>
      <c r="M319" s="1690"/>
      <c r="N319" s="1361"/>
      <c r="O319" s="1362">
        <f ca="1">SUM(O305:O318)</f>
        <v>5029</v>
      </c>
      <c r="P319" s="1690"/>
      <c r="Q319" s="1361"/>
      <c r="R319" s="1362">
        <f ca="1">SUM(R305:R318)</f>
        <v>34984</v>
      </c>
      <c r="S319" s="1690"/>
      <c r="T319" s="1361"/>
      <c r="U319" s="1362">
        <f ca="1">SUM(U305:U318)</f>
        <v>14337401.959716547</v>
      </c>
      <c r="V319" s="1690"/>
      <c r="W319" s="1361"/>
      <c r="X319" s="1362">
        <f ca="1">SUM(X305:X318)</f>
        <v>23439681.999482948</v>
      </c>
      <c r="Y319" s="1690"/>
      <c r="Z319" s="1361"/>
      <c r="AA319" s="1362">
        <f ca="1">SUM(AA305:AA318)</f>
        <v>7903371.1926781684</v>
      </c>
      <c r="AB319" s="1690"/>
      <c r="AC319" s="1361"/>
      <c r="AD319" s="1362">
        <f ca="1">SUM(AD305:AD318)</f>
        <v>0</v>
      </c>
      <c r="AE319" s="1690"/>
      <c r="AF319" s="1361"/>
      <c r="AG319" s="1362">
        <f ca="1">SUM(AG305:AG318)</f>
        <v>0</v>
      </c>
      <c r="AH319" s="1690"/>
      <c r="AI319" s="1361"/>
      <c r="AJ319" s="1362">
        <f ca="1">SUM(AJ305:AJ318)</f>
        <v>0</v>
      </c>
      <c r="AK319" s="1690"/>
      <c r="AL319" s="1361"/>
      <c r="AM319" s="1362">
        <f ca="1">SUM(AM305:AM318)</f>
        <v>0</v>
      </c>
      <c r="AN319" s="1690"/>
      <c r="AO319" s="1361"/>
      <c r="AP319" s="1362">
        <f ca="1">SUM(AP305:AP318)</f>
        <v>0</v>
      </c>
      <c r="AQ319" s="1690"/>
      <c r="AR319" s="1361"/>
      <c r="AS319" s="1362">
        <f ca="1">SUM(AS305:AS318)</f>
        <v>46096359.941877663</v>
      </c>
      <c r="AT319" s="1690"/>
      <c r="AU319" s="411"/>
      <c r="AV319" s="170"/>
      <c r="AW319" s="523"/>
      <c r="AX319" s="524"/>
      <c r="AY319" s="536" t="str">
        <f>+G319</f>
        <v>Total costs by PAF code</v>
      </c>
      <c r="AZ319" s="535"/>
      <c r="BA319" s="536"/>
      <c r="BB319" s="1637"/>
      <c r="BC319" s="1642"/>
      <c r="BD319" s="537">
        <f>SUM(BD305:BD318)</f>
        <v>375891.79000000004</v>
      </c>
      <c r="BE319" s="1637"/>
      <c r="BF319" s="1653"/>
      <c r="BG319" s="537">
        <f ca="1">SUM(BG305:BG318)</f>
        <v>5028.8899999999994</v>
      </c>
      <c r="BH319" s="1637"/>
      <c r="BI319" s="1653"/>
      <c r="BJ319" s="537">
        <f ca="1">SUM(BJ305:BJ318)</f>
        <v>34601</v>
      </c>
      <c r="BK319" s="1676"/>
      <c r="BL319" s="1653"/>
      <c r="BM319" s="537">
        <f ca="1">SUM(BM305:BM318)</f>
        <v>13568278.435116548</v>
      </c>
      <c r="BN319" s="1637"/>
      <c r="BO319" s="1653"/>
      <c r="BP319" s="537">
        <f ca="1">SUM(BP305:BP318)</f>
        <v>21570279.065306548</v>
      </c>
      <c r="BQ319" s="1637"/>
      <c r="BR319" s="1653"/>
      <c r="BS319" s="537">
        <f ca="1">SUM(BS305:BS318)</f>
        <v>7120468.8320000004</v>
      </c>
      <c r="BT319" s="1637"/>
      <c r="BU319" s="1653"/>
      <c r="BV319" s="537">
        <f ca="1">SUM(BV305:BV318)</f>
        <v>0</v>
      </c>
      <c r="BW319" s="1637"/>
      <c r="BX319" s="1653"/>
      <c r="BY319" s="537">
        <f ca="1">SUM(BY305:BY318)</f>
        <v>0</v>
      </c>
      <c r="BZ319" s="1637"/>
      <c r="CA319" s="1653"/>
      <c r="CB319" s="537">
        <f ca="1">SUM(CB305:CB318)</f>
        <v>0</v>
      </c>
      <c r="CC319" s="1637"/>
      <c r="CD319" s="1653"/>
      <c r="CE319" s="537">
        <f ca="1">SUM(CE305:CE318)</f>
        <v>0</v>
      </c>
      <c r="CF319" s="1637"/>
      <c r="CG319" s="1653"/>
      <c r="CH319" s="537">
        <f ca="1">SUM(CH305:CH318)</f>
        <v>0</v>
      </c>
      <c r="CI319" s="1637"/>
      <c r="CJ319" s="1642"/>
      <c r="CK319" s="537">
        <f ca="1">SUM(CK305:CK318)</f>
        <v>42674548.012423098</v>
      </c>
      <c r="CL319" s="569"/>
      <c r="CM319" s="170"/>
      <c r="CN319" s="524"/>
      <c r="CO319" s="540" t="s">
        <v>379</v>
      </c>
      <c r="CP319" s="539"/>
      <c r="CQ319" s="540"/>
      <c r="CR319" s="1710"/>
      <c r="CS319" s="1698"/>
      <c r="CT319" s="541">
        <f>SUM(CT305:CT318)</f>
        <v>0</v>
      </c>
      <c r="CU319" s="1710"/>
      <c r="CV319" s="1698"/>
      <c r="CW319" s="541">
        <f ca="1">SUM(CW305:CW318)</f>
        <v>0.11000000000012733</v>
      </c>
      <c r="CX319" s="1710"/>
      <c r="CY319" s="1698"/>
      <c r="CZ319" s="541">
        <f ca="1">SUM(CZ305:CZ318)</f>
        <v>383</v>
      </c>
      <c r="DA319" s="1710"/>
      <c r="DB319" s="1698"/>
      <c r="DC319" s="541">
        <f ca="1">SUM(DC305:DC318)</f>
        <v>769123.52459999954</v>
      </c>
      <c r="DD319" s="1710"/>
      <c r="DE319" s="1698"/>
      <c r="DF319" s="541">
        <f ca="1">SUM(DF305:DF318)</f>
        <v>1869402.9341764005</v>
      </c>
      <c r="DG319" s="1710"/>
      <c r="DH319" s="1698"/>
      <c r="DI319" s="541">
        <f ca="1">SUM(DI305:DI318)</f>
        <v>782902.36067816825</v>
      </c>
      <c r="DJ319" s="1710"/>
      <c r="DK319" s="1698"/>
      <c r="DL319" s="541">
        <f ca="1">SUM(DL305:DL318)</f>
        <v>0</v>
      </c>
      <c r="DM319" s="1710"/>
      <c r="DN319" s="1698"/>
      <c r="DO319" s="541">
        <f ca="1">SUM(DO305:DO318)</f>
        <v>0</v>
      </c>
      <c r="DP319" s="1710"/>
      <c r="DQ319" s="1698"/>
      <c r="DR319" s="541">
        <f ca="1">SUM(DR305:DR318)</f>
        <v>0</v>
      </c>
      <c r="DS319" s="1710"/>
      <c r="DT319" s="1698"/>
      <c r="DU319" s="541">
        <f ca="1">SUM(DU305:DU318)</f>
        <v>0</v>
      </c>
      <c r="DV319" s="1710"/>
      <c r="DW319" s="1698"/>
      <c r="DX319" s="541">
        <f ca="1">SUM(DX305:DX318)</f>
        <v>0</v>
      </c>
      <c r="DY319" s="1710"/>
      <c r="DZ319" s="1698"/>
      <c r="EA319" s="570">
        <f ca="1">SUM(EA305:EA318)</f>
        <v>3421811.9294545678</v>
      </c>
      <c r="EB319" s="170"/>
      <c r="EC319" s="170"/>
      <c r="ED319" s="170"/>
      <c r="EE319" s="170"/>
      <c r="EF319" s="170"/>
      <c r="EG319" s="170"/>
      <c r="EH319" s="170"/>
      <c r="EI319" s="170"/>
      <c r="EJ319" s="170"/>
      <c r="EK319" s="170"/>
    </row>
    <row r="320" spans="1:141" ht="15.75" thickBot="1" x14ac:dyDescent="0.3">
      <c r="A320" s="557"/>
      <c r="B320" s="376"/>
      <c r="C320" s="376"/>
      <c r="D320" s="376"/>
      <c r="E320" s="170"/>
      <c r="F320" s="1275"/>
      <c r="G320" s="1287"/>
      <c r="H320" s="1287"/>
      <c r="I320" s="1289"/>
      <c r="J320" s="1692"/>
      <c r="K320" s="1323"/>
      <c r="L320" s="1370"/>
      <c r="M320" s="1692"/>
      <c r="N320" s="1323"/>
      <c r="O320" s="1323"/>
      <c r="P320" s="1692"/>
      <c r="Q320" s="1323"/>
      <c r="R320" s="1370"/>
      <c r="S320" s="1692"/>
      <c r="T320" s="1323"/>
      <c r="U320" s="1370"/>
      <c r="V320" s="1692"/>
      <c r="W320" s="1323"/>
      <c r="X320" s="1370"/>
      <c r="Y320" s="1692"/>
      <c r="Z320" s="1323"/>
      <c r="AA320" s="1370"/>
      <c r="AB320" s="1692"/>
      <c r="AC320" s="1323"/>
      <c r="AD320" s="1370"/>
      <c r="AE320" s="1692"/>
      <c r="AF320" s="1323"/>
      <c r="AG320" s="1370"/>
      <c r="AH320" s="1692"/>
      <c r="AI320" s="1323"/>
      <c r="AJ320" s="1370"/>
      <c r="AK320" s="1692"/>
      <c r="AL320" s="1323"/>
      <c r="AM320" s="1370"/>
      <c r="AN320" s="1692"/>
      <c r="AO320" s="1323"/>
      <c r="AP320" s="1370"/>
      <c r="AQ320" s="1692"/>
      <c r="AR320" s="1323"/>
      <c r="AS320" s="1370"/>
      <c r="AT320" s="1692"/>
      <c r="AU320" s="411"/>
      <c r="AV320" s="170"/>
      <c r="AW320" s="411"/>
      <c r="AX320" s="1275"/>
      <c r="AY320" s="379"/>
      <c r="AZ320" s="379"/>
      <c r="BA320" s="381"/>
      <c r="BB320" s="1641"/>
      <c r="BC320" s="458"/>
      <c r="BD320" s="571"/>
      <c r="BE320" s="1641"/>
      <c r="BF320" s="1467"/>
      <c r="BG320" s="458"/>
      <c r="BH320" s="1641"/>
      <c r="BI320" s="1467"/>
      <c r="BJ320" s="571"/>
      <c r="BK320" s="1677"/>
      <c r="BL320" s="1467"/>
      <c r="BM320" s="571"/>
      <c r="BN320" s="1641"/>
      <c r="BO320" s="1467"/>
      <c r="BP320" s="571"/>
      <c r="BQ320" s="1641"/>
      <c r="BR320" s="1467"/>
      <c r="BS320" s="571"/>
      <c r="BT320" s="1641"/>
      <c r="BU320" s="1467"/>
      <c r="BV320" s="571"/>
      <c r="BW320" s="1641"/>
      <c r="BX320" s="1467"/>
      <c r="BY320" s="571"/>
      <c r="BZ320" s="1641"/>
      <c r="CA320" s="1467"/>
      <c r="CB320" s="571"/>
      <c r="CC320" s="1641"/>
      <c r="CD320" s="1467"/>
      <c r="CE320" s="571"/>
      <c r="CF320" s="1641"/>
      <c r="CG320" s="1467"/>
      <c r="CH320" s="571"/>
      <c r="CI320" s="1641"/>
      <c r="CJ320" s="458"/>
      <c r="CK320" s="571"/>
      <c r="CL320" s="571"/>
      <c r="CM320" s="170"/>
      <c r="CN320" s="1275"/>
      <c r="CO320" s="382"/>
      <c r="CP320" s="382"/>
      <c r="CQ320" s="385"/>
      <c r="CR320" s="1712"/>
      <c r="CS320" s="435"/>
      <c r="CT320" s="572"/>
      <c r="CU320" s="1712"/>
      <c r="CV320" s="435"/>
      <c r="CW320" s="435"/>
      <c r="CX320" s="1712"/>
      <c r="CY320" s="435"/>
      <c r="CZ320" s="572"/>
      <c r="DA320" s="1712"/>
      <c r="DB320" s="435"/>
      <c r="DC320" s="572"/>
      <c r="DD320" s="1712"/>
      <c r="DE320" s="435"/>
      <c r="DF320" s="572"/>
      <c r="DG320" s="1712"/>
      <c r="DH320" s="435"/>
      <c r="DI320" s="572"/>
      <c r="DJ320" s="1712"/>
      <c r="DK320" s="435"/>
      <c r="DL320" s="572"/>
      <c r="DM320" s="1712"/>
      <c r="DN320" s="435"/>
      <c r="DO320" s="572"/>
      <c r="DP320" s="1712"/>
      <c r="DQ320" s="435"/>
      <c r="DR320" s="572"/>
      <c r="DS320" s="1712"/>
      <c r="DT320" s="435"/>
      <c r="DU320" s="572"/>
      <c r="DV320" s="1712"/>
      <c r="DW320" s="435"/>
      <c r="DX320" s="572"/>
      <c r="DY320" s="1712"/>
      <c r="DZ320" s="435"/>
      <c r="EA320" s="573"/>
      <c r="EB320" s="170"/>
      <c r="EC320" s="170"/>
      <c r="ED320" s="170"/>
      <c r="EE320" s="170"/>
      <c r="EF320" s="170"/>
      <c r="EG320" s="170"/>
      <c r="EH320" s="170"/>
      <c r="EI320" s="170"/>
      <c r="EJ320" s="170"/>
      <c r="EK320" s="170"/>
    </row>
    <row r="321" spans="1:141" ht="15" x14ac:dyDescent="0.25">
      <c r="A321" s="583"/>
      <c r="B321" s="584"/>
      <c r="C321" s="584"/>
      <c r="D321" s="584"/>
      <c r="E321" s="565"/>
      <c r="F321" s="1578">
        <f>+F319-F201</f>
        <v>0</v>
      </c>
      <c r="G321" s="1369" t="s">
        <v>380</v>
      </c>
      <c r="H321" s="1369"/>
      <c r="I321" s="1375"/>
      <c r="J321" s="1369"/>
      <c r="K321" s="1369">
        <f t="shared" ref="K321:AT321" si="893">+K319-K201</f>
        <v>0</v>
      </c>
      <c r="L321" s="1369">
        <f t="shared" si="893"/>
        <v>0</v>
      </c>
      <c r="M321" s="1369">
        <f t="shared" si="893"/>
        <v>0</v>
      </c>
      <c r="N321" s="1369">
        <f t="shared" si="893"/>
        <v>0</v>
      </c>
      <c r="O321" s="1369">
        <f t="shared" ca="1" si="893"/>
        <v>0</v>
      </c>
      <c r="P321" s="1369">
        <f t="shared" si="893"/>
        <v>0</v>
      </c>
      <c r="Q321" s="1369">
        <f t="shared" si="893"/>
        <v>0</v>
      </c>
      <c r="R321" s="1369">
        <f t="shared" ca="1" si="893"/>
        <v>0</v>
      </c>
      <c r="S321" s="1369">
        <f t="shared" si="893"/>
        <v>0</v>
      </c>
      <c r="T321" s="1369">
        <f t="shared" si="893"/>
        <v>0</v>
      </c>
      <c r="U321" s="1369">
        <f t="shared" ca="1" si="893"/>
        <v>0</v>
      </c>
      <c r="V321" s="1369">
        <f t="shared" si="893"/>
        <v>0</v>
      </c>
      <c r="W321" s="1369">
        <f t="shared" si="893"/>
        <v>0</v>
      </c>
      <c r="X321" s="1369">
        <f t="shared" ca="1" si="893"/>
        <v>0</v>
      </c>
      <c r="Y321" s="1369">
        <f t="shared" si="893"/>
        <v>0</v>
      </c>
      <c r="Z321" s="1369">
        <f t="shared" si="893"/>
        <v>0</v>
      </c>
      <c r="AA321" s="1369">
        <f t="shared" ca="1" si="893"/>
        <v>0</v>
      </c>
      <c r="AB321" s="1369">
        <f t="shared" si="893"/>
        <v>0</v>
      </c>
      <c r="AC321" s="1369">
        <f t="shared" si="893"/>
        <v>0</v>
      </c>
      <c r="AD321" s="1369">
        <f t="shared" ca="1" si="893"/>
        <v>0</v>
      </c>
      <c r="AE321" s="1369">
        <f t="shared" ref="AE321:AP321" si="894">+AE319-AE201</f>
        <v>0</v>
      </c>
      <c r="AF321" s="1369">
        <f t="shared" si="894"/>
        <v>0</v>
      </c>
      <c r="AG321" s="1369">
        <f t="shared" ca="1" si="894"/>
        <v>0</v>
      </c>
      <c r="AH321" s="1369">
        <f t="shared" si="894"/>
        <v>0</v>
      </c>
      <c r="AI321" s="1369">
        <f t="shared" si="894"/>
        <v>0</v>
      </c>
      <c r="AJ321" s="1369">
        <f t="shared" ca="1" si="894"/>
        <v>0</v>
      </c>
      <c r="AK321" s="1369">
        <f t="shared" si="894"/>
        <v>0</v>
      </c>
      <c r="AL321" s="1369">
        <f t="shared" si="894"/>
        <v>0</v>
      </c>
      <c r="AM321" s="1369">
        <f t="shared" ca="1" si="894"/>
        <v>0</v>
      </c>
      <c r="AN321" s="1369">
        <f t="shared" si="894"/>
        <v>0</v>
      </c>
      <c r="AO321" s="1369">
        <f t="shared" si="894"/>
        <v>0</v>
      </c>
      <c r="AP321" s="1369">
        <f t="shared" ca="1" si="894"/>
        <v>0</v>
      </c>
      <c r="AQ321" s="1369">
        <f t="shared" si="893"/>
        <v>0</v>
      </c>
      <c r="AR321" s="1369">
        <f t="shared" si="893"/>
        <v>0</v>
      </c>
      <c r="AS321" s="1369">
        <f t="shared" ca="1" si="893"/>
        <v>0</v>
      </c>
      <c r="AT321" s="1369">
        <f t="shared" si="893"/>
        <v>0</v>
      </c>
      <c r="AU321" s="411"/>
      <c r="AV321" s="170"/>
      <c r="AW321" s="565">
        <f>+AW319-AW201</f>
        <v>0</v>
      </c>
      <c r="AX321" s="1578">
        <f>+AX319-AX201</f>
        <v>0</v>
      </c>
      <c r="AY321" s="585" t="str">
        <f>+G321</f>
        <v>Check pricing</v>
      </c>
      <c r="AZ321" s="585">
        <f t="shared" ref="AZ321:CK321" si="895">+AZ319-AZ201</f>
        <v>0</v>
      </c>
      <c r="BA321" s="585">
        <f t="shared" si="895"/>
        <v>0</v>
      </c>
      <c r="BB321" s="1578">
        <f t="shared" si="895"/>
        <v>0</v>
      </c>
      <c r="BC321" s="585">
        <f t="shared" si="895"/>
        <v>0</v>
      </c>
      <c r="BD321" s="585">
        <f t="shared" si="895"/>
        <v>0</v>
      </c>
      <c r="BE321" s="1578">
        <f t="shared" si="895"/>
        <v>0</v>
      </c>
      <c r="BF321" s="1479">
        <f t="shared" si="895"/>
        <v>0</v>
      </c>
      <c r="BG321" s="585">
        <f t="shared" ca="1" si="895"/>
        <v>0</v>
      </c>
      <c r="BH321" s="1578">
        <f t="shared" si="895"/>
        <v>0</v>
      </c>
      <c r="BI321" s="1479">
        <f t="shared" si="895"/>
        <v>0</v>
      </c>
      <c r="BJ321" s="585">
        <f t="shared" ca="1" si="895"/>
        <v>0</v>
      </c>
      <c r="BK321" s="585">
        <f t="shared" si="895"/>
        <v>0</v>
      </c>
      <c r="BL321" s="1479">
        <f t="shared" si="895"/>
        <v>0</v>
      </c>
      <c r="BM321" s="585">
        <f t="shared" ca="1" si="895"/>
        <v>0</v>
      </c>
      <c r="BN321" s="1578">
        <f t="shared" si="895"/>
        <v>0</v>
      </c>
      <c r="BO321" s="1479">
        <f t="shared" si="895"/>
        <v>0</v>
      </c>
      <c r="BP321" s="585">
        <f t="shared" ca="1" si="895"/>
        <v>0</v>
      </c>
      <c r="BQ321" s="1578">
        <f t="shared" si="895"/>
        <v>0</v>
      </c>
      <c r="BR321" s="1479">
        <f t="shared" si="895"/>
        <v>0</v>
      </c>
      <c r="BS321" s="585">
        <f t="shared" ca="1" si="895"/>
        <v>0</v>
      </c>
      <c r="BT321" s="1578">
        <f t="shared" si="895"/>
        <v>0</v>
      </c>
      <c r="BU321" s="1479">
        <f t="shared" si="895"/>
        <v>0</v>
      </c>
      <c r="BV321" s="585">
        <f t="shared" ca="1" si="895"/>
        <v>0</v>
      </c>
      <c r="BW321" s="1578">
        <f t="shared" ref="BW321:CH321" si="896">+BW319-BW201</f>
        <v>0</v>
      </c>
      <c r="BX321" s="1479">
        <f t="shared" si="896"/>
        <v>0</v>
      </c>
      <c r="BY321" s="585">
        <f t="shared" ca="1" si="896"/>
        <v>0</v>
      </c>
      <c r="BZ321" s="1578">
        <f t="shared" si="896"/>
        <v>0</v>
      </c>
      <c r="CA321" s="1479">
        <f t="shared" si="896"/>
        <v>0</v>
      </c>
      <c r="CB321" s="585">
        <f t="shared" ca="1" si="896"/>
        <v>0</v>
      </c>
      <c r="CC321" s="1578">
        <f t="shared" si="896"/>
        <v>0</v>
      </c>
      <c r="CD321" s="1479">
        <f t="shared" si="896"/>
        <v>0</v>
      </c>
      <c r="CE321" s="585">
        <f t="shared" ca="1" si="896"/>
        <v>0</v>
      </c>
      <c r="CF321" s="1578">
        <f t="shared" si="896"/>
        <v>0</v>
      </c>
      <c r="CG321" s="1479">
        <f t="shared" si="896"/>
        <v>0</v>
      </c>
      <c r="CH321" s="585">
        <f t="shared" ca="1" si="896"/>
        <v>0</v>
      </c>
      <c r="CI321" s="1578">
        <f t="shared" si="895"/>
        <v>0</v>
      </c>
      <c r="CJ321" s="585">
        <f t="shared" si="895"/>
        <v>0</v>
      </c>
      <c r="CK321" s="585">
        <f t="shared" ca="1" si="895"/>
        <v>0</v>
      </c>
      <c r="CL321" s="585"/>
      <c r="CM321" s="170"/>
      <c r="CN321" s="1578">
        <f>+CN319-CN201</f>
        <v>0</v>
      </c>
      <c r="CO321" s="567" t="str">
        <f>+G321</f>
        <v>Check pricing</v>
      </c>
      <c r="CP321" s="567">
        <f t="shared" ref="CP321:EA321" si="897">+CP319-CP201</f>
        <v>0</v>
      </c>
      <c r="CQ321" s="567">
        <f t="shared" si="897"/>
        <v>0</v>
      </c>
      <c r="CR321" s="567">
        <f t="shared" si="897"/>
        <v>0</v>
      </c>
      <c r="CS321" s="567">
        <f t="shared" si="897"/>
        <v>0</v>
      </c>
      <c r="CT321" s="567">
        <f t="shared" si="897"/>
        <v>0</v>
      </c>
      <c r="CU321" s="567">
        <f t="shared" si="897"/>
        <v>0</v>
      </c>
      <c r="CV321" s="567">
        <f t="shared" si="897"/>
        <v>0</v>
      </c>
      <c r="CW321" s="567">
        <f t="shared" ca="1" si="897"/>
        <v>0</v>
      </c>
      <c r="CX321" s="567">
        <f t="shared" si="897"/>
        <v>0</v>
      </c>
      <c r="CY321" s="567">
        <f t="shared" si="897"/>
        <v>0</v>
      </c>
      <c r="CZ321" s="567">
        <f t="shared" ca="1" si="897"/>
        <v>0</v>
      </c>
      <c r="DA321" s="567">
        <f t="shared" si="897"/>
        <v>0</v>
      </c>
      <c r="DB321" s="567">
        <f t="shared" si="897"/>
        <v>0</v>
      </c>
      <c r="DC321" s="567">
        <f t="shared" ca="1" si="897"/>
        <v>0</v>
      </c>
      <c r="DD321" s="567">
        <f t="shared" si="897"/>
        <v>0</v>
      </c>
      <c r="DE321" s="567">
        <f t="shared" si="897"/>
        <v>0</v>
      </c>
      <c r="DF321" s="567">
        <f t="shared" ca="1" si="897"/>
        <v>0</v>
      </c>
      <c r="DG321" s="567">
        <f t="shared" si="897"/>
        <v>0</v>
      </c>
      <c r="DH321" s="567">
        <f t="shared" si="897"/>
        <v>0</v>
      </c>
      <c r="DI321" s="567">
        <f t="shared" ca="1" si="897"/>
        <v>0</v>
      </c>
      <c r="DJ321" s="567">
        <f t="shared" si="897"/>
        <v>0</v>
      </c>
      <c r="DK321" s="567">
        <f t="shared" si="897"/>
        <v>0</v>
      </c>
      <c r="DL321" s="567">
        <f t="shared" ca="1" si="897"/>
        <v>0</v>
      </c>
      <c r="DM321" s="567">
        <f t="shared" ref="DM321:DX321" si="898">+DM319-DM201</f>
        <v>0</v>
      </c>
      <c r="DN321" s="567">
        <f t="shared" si="898"/>
        <v>0</v>
      </c>
      <c r="DO321" s="567">
        <f t="shared" ca="1" si="898"/>
        <v>0</v>
      </c>
      <c r="DP321" s="567">
        <f t="shared" si="898"/>
        <v>0</v>
      </c>
      <c r="DQ321" s="567">
        <f t="shared" si="898"/>
        <v>0</v>
      </c>
      <c r="DR321" s="567">
        <f t="shared" ca="1" si="898"/>
        <v>0</v>
      </c>
      <c r="DS321" s="567">
        <f t="shared" si="898"/>
        <v>0</v>
      </c>
      <c r="DT321" s="567">
        <f t="shared" si="898"/>
        <v>0</v>
      </c>
      <c r="DU321" s="567">
        <f t="shared" ca="1" si="898"/>
        <v>0</v>
      </c>
      <c r="DV321" s="567">
        <f t="shared" si="898"/>
        <v>0</v>
      </c>
      <c r="DW321" s="567">
        <f t="shared" si="898"/>
        <v>0</v>
      </c>
      <c r="DX321" s="567">
        <f t="shared" ca="1" si="898"/>
        <v>0</v>
      </c>
      <c r="DY321" s="567">
        <f t="shared" si="897"/>
        <v>0</v>
      </c>
      <c r="DZ321" s="567">
        <f t="shared" si="897"/>
        <v>0</v>
      </c>
      <c r="EA321" s="568">
        <f t="shared" ca="1" si="897"/>
        <v>0</v>
      </c>
      <c r="EB321" s="586"/>
      <c r="EC321" s="586">
        <f t="shared" ref="EC321:EK321" si="899">+EC319-EC201</f>
        <v>0</v>
      </c>
      <c r="ED321" s="586">
        <f t="shared" si="899"/>
        <v>0</v>
      </c>
      <c r="EE321" s="586">
        <f t="shared" si="899"/>
        <v>0</v>
      </c>
      <c r="EF321" s="586">
        <f t="shared" si="899"/>
        <v>0</v>
      </c>
      <c r="EG321" s="586">
        <f t="shared" si="899"/>
        <v>0</v>
      </c>
      <c r="EH321" s="586">
        <f t="shared" si="899"/>
        <v>0</v>
      </c>
      <c r="EI321" s="586">
        <f t="shared" si="899"/>
        <v>0</v>
      </c>
      <c r="EJ321" s="586">
        <f t="shared" si="899"/>
        <v>0</v>
      </c>
      <c r="EK321" s="586">
        <f t="shared" si="899"/>
        <v>0</v>
      </c>
    </row>
    <row r="322" spans="1:141" ht="15.75" thickBot="1" x14ac:dyDescent="0.3">
      <c r="A322" s="574"/>
      <c r="B322" s="577"/>
      <c r="C322" s="577"/>
      <c r="D322" s="577"/>
      <c r="E322" s="576"/>
      <c r="F322" s="576"/>
      <c r="G322" s="1371"/>
      <c r="H322" s="1371"/>
      <c r="I322" s="1372"/>
      <c r="J322" s="1371"/>
      <c r="K322" s="1372"/>
      <c r="L322" s="1371"/>
      <c r="M322" s="1371"/>
      <c r="N322" s="1372"/>
      <c r="O322" s="1372"/>
      <c r="P322" s="1371"/>
      <c r="Q322" s="1372"/>
      <c r="R322" s="1371"/>
      <c r="S322" s="1371"/>
      <c r="T322" s="1372"/>
      <c r="U322" s="1371"/>
      <c r="V322" s="1371"/>
      <c r="W322" s="1372"/>
      <c r="X322" s="1371"/>
      <c r="Y322" s="1371"/>
      <c r="Z322" s="1372"/>
      <c r="AA322" s="1371"/>
      <c r="AB322" s="1371"/>
      <c r="AC322" s="1372"/>
      <c r="AD322" s="1371"/>
      <c r="AE322" s="1371"/>
      <c r="AF322" s="1372"/>
      <c r="AG322" s="1371"/>
      <c r="AH322" s="1371"/>
      <c r="AI322" s="1372"/>
      <c r="AJ322" s="1371"/>
      <c r="AK322" s="1371"/>
      <c r="AL322" s="1372"/>
      <c r="AM322" s="1371"/>
      <c r="AN322" s="1371"/>
      <c r="AO322" s="1372"/>
      <c r="AP322" s="1371"/>
      <c r="AQ322" s="1371"/>
      <c r="AR322" s="1372"/>
      <c r="AS322" s="1371"/>
      <c r="AT322" s="1371"/>
      <c r="AU322" s="411"/>
      <c r="AV322" s="576"/>
      <c r="AW322" s="576"/>
      <c r="AX322" s="576"/>
      <c r="AY322" s="576"/>
      <c r="AZ322" s="576"/>
      <c r="BA322" s="577"/>
      <c r="BB322" s="576"/>
      <c r="BC322" s="577"/>
      <c r="BD322" s="576"/>
      <c r="BE322" s="576"/>
      <c r="BF322" s="575"/>
      <c r="BG322" s="576"/>
      <c r="BH322" s="576"/>
      <c r="BI322" s="575"/>
      <c r="BJ322" s="576"/>
      <c r="BK322" s="576"/>
      <c r="BL322" s="575"/>
      <c r="BM322" s="576"/>
      <c r="BN322" s="576"/>
      <c r="BO322" s="575"/>
      <c r="BP322" s="576"/>
      <c r="BQ322" s="576"/>
      <c r="BR322" s="575"/>
      <c r="BS322" s="576"/>
      <c r="BT322" s="576"/>
      <c r="BU322" s="575"/>
      <c r="BV322" s="576"/>
      <c r="BW322" s="576"/>
      <c r="BX322" s="575"/>
      <c r="BY322" s="576"/>
      <c r="BZ322" s="576"/>
      <c r="CA322" s="575"/>
      <c r="CB322" s="576"/>
      <c r="CC322" s="576"/>
      <c r="CD322" s="575"/>
      <c r="CE322" s="576"/>
      <c r="CF322" s="576"/>
      <c r="CG322" s="575"/>
      <c r="CH322" s="576"/>
      <c r="CI322" s="576"/>
      <c r="CJ322" s="577"/>
      <c r="CK322" s="576"/>
      <c r="CL322" s="576"/>
      <c r="CM322" s="170"/>
      <c r="CN322" s="576"/>
      <c r="CO322" s="576"/>
      <c r="CP322" s="576"/>
      <c r="CQ322" s="577"/>
      <c r="CR322" s="576"/>
      <c r="CS322" s="577"/>
      <c r="CT322" s="576"/>
      <c r="CU322" s="576"/>
      <c r="CV322" s="577"/>
      <c r="CW322" s="576"/>
      <c r="CX322" s="576"/>
      <c r="CY322" s="577"/>
      <c r="CZ322" s="576"/>
      <c r="DA322" s="576"/>
      <c r="DB322" s="577"/>
      <c r="DC322" s="576"/>
      <c r="DD322" s="576"/>
      <c r="DE322" s="577"/>
      <c r="DF322" s="576"/>
      <c r="DG322" s="576"/>
      <c r="DH322" s="577"/>
      <c r="DI322" s="576"/>
      <c r="DJ322" s="576"/>
      <c r="DK322" s="577"/>
      <c r="DL322" s="576"/>
      <c r="DM322" s="576"/>
      <c r="DN322" s="577"/>
      <c r="DO322" s="576"/>
      <c r="DP322" s="576"/>
      <c r="DQ322" s="577"/>
      <c r="DR322" s="576"/>
      <c r="DS322" s="576"/>
      <c r="DT322" s="577"/>
      <c r="DU322" s="576"/>
      <c r="DV322" s="576"/>
      <c r="DW322" s="577"/>
      <c r="DX322" s="576"/>
      <c r="DY322" s="576"/>
      <c r="DZ322" s="577"/>
      <c r="EA322" s="587"/>
      <c r="EB322" s="170"/>
      <c r="EC322" s="170"/>
      <c r="ED322" s="170"/>
      <c r="EE322" s="170"/>
      <c r="EF322" s="170"/>
      <c r="EG322" s="170"/>
      <c r="EH322" s="170"/>
      <c r="EI322" s="170"/>
      <c r="EJ322" s="170"/>
      <c r="EK322" s="170"/>
    </row>
    <row r="323" spans="1:141" ht="15.75" thickTop="1" x14ac:dyDescent="0.25">
      <c r="A323" s="170"/>
      <c r="B323" s="376"/>
      <c r="C323" s="376"/>
      <c r="D323" s="376"/>
      <c r="E323" s="170"/>
      <c r="F323" s="170"/>
      <c r="G323" s="1287"/>
      <c r="H323" s="1287"/>
      <c r="I323" s="1289"/>
      <c r="J323" s="1287"/>
      <c r="K323" s="1289"/>
      <c r="L323" s="1287"/>
      <c r="M323" s="1287"/>
      <c r="N323" s="1289"/>
      <c r="O323" s="1289"/>
      <c r="P323" s="1287"/>
      <c r="Q323" s="1289"/>
      <c r="R323" s="1287"/>
      <c r="S323" s="1287"/>
      <c r="T323" s="1289"/>
      <c r="U323" s="1287"/>
      <c r="V323" s="1287"/>
      <c r="W323" s="1289"/>
      <c r="X323" s="1287"/>
      <c r="Y323" s="1287"/>
      <c r="Z323" s="1289"/>
      <c r="AA323" s="1287"/>
      <c r="AB323" s="1287"/>
      <c r="AC323" s="1289"/>
      <c r="AD323" s="1287"/>
      <c r="AE323" s="1287"/>
      <c r="AF323" s="1289"/>
      <c r="AG323" s="1287"/>
      <c r="AH323" s="1287"/>
      <c r="AI323" s="1289"/>
      <c r="AJ323" s="1287"/>
      <c r="AK323" s="1287"/>
      <c r="AL323" s="1289"/>
      <c r="AM323" s="1287"/>
      <c r="AN323" s="1287"/>
      <c r="AO323" s="1289"/>
      <c r="AP323" s="1287"/>
      <c r="AQ323" s="1287"/>
      <c r="AR323" s="1289"/>
      <c r="AS323" s="1287"/>
      <c r="AT323" s="1287"/>
      <c r="AU323" s="411"/>
      <c r="AV323" s="170"/>
      <c r="AW323" s="170"/>
      <c r="AX323" s="170"/>
      <c r="AY323" s="170"/>
      <c r="AZ323" s="170"/>
      <c r="BA323" s="376"/>
      <c r="BB323" s="170"/>
      <c r="BC323" s="376"/>
      <c r="BD323" s="170"/>
      <c r="BE323" s="170"/>
      <c r="BF323" s="472"/>
      <c r="BG323" s="170"/>
      <c r="BH323" s="170"/>
      <c r="BI323" s="472"/>
      <c r="BJ323" s="170"/>
      <c r="BK323" s="170"/>
      <c r="BL323" s="472"/>
      <c r="BM323" s="170"/>
      <c r="BN323" s="170"/>
      <c r="BO323" s="472"/>
      <c r="BP323" s="170"/>
      <c r="BQ323" s="170"/>
      <c r="BR323" s="472"/>
      <c r="BS323" s="170"/>
      <c r="BT323" s="170"/>
      <c r="BU323" s="472"/>
      <c r="BV323" s="170"/>
      <c r="BW323" s="170"/>
      <c r="BX323" s="472"/>
      <c r="BY323" s="170"/>
      <c r="BZ323" s="170"/>
      <c r="CA323" s="472"/>
      <c r="CB323" s="170"/>
      <c r="CC323" s="170"/>
      <c r="CD323" s="472"/>
      <c r="CE323" s="170"/>
      <c r="CF323" s="170"/>
      <c r="CG323" s="472"/>
      <c r="CH323" s="170"/>
      <c r="CI323" s="170"/>
      <c r="CJ323" s="376"/>
      <c r="CK323" s="170"/>
      <c r="CL323" s="170"/>
      <c r="CM323" s="170"/>
      <c r="CN323" s="170"/>
      <c r="CO323" s="170"/>
      <c r="CP323" s="170"/>
      <c r="CQ323" s="376"/>
      <c r="CR323" s="170"/>
      <c r="CS323" s="376"/>
      <c r="CT323" s="170"/>
      <c r="CU323" s="170"/>
      <c r="CV323" s="376"/>
      <c r="CW323" s="170"/>
      <c r="CX323" s="170"/>
      <c r="CY323" s="376"/>
      <c r="CZ323" s="170"/>
      <c r="DA323" s="170"/>
      <c r="DB323" s="376"/>
      <c r="DC323" s="170"/>
      <c r="DD323" s="170"/>
      <c r="DE323" s="376"/>
      <c r="DF323" s="170"/>
      <c r="DG323" s="170"/>
      <c r="DH323" s="376"/>
      <c r="DI323" s="170"/>
      <c r="DJ323" s="170"/>
      <c r="DK323" s="376"/>
      <c r="DL323" s="170"/>
      <c r="DM323" s="170"/>
      <c r="DN323" s="376"/>
      <c r="DO323" s="170"/>
      <c r="DP323" s="170"/>
      <c r="DQ323" s="376"/>
      <c r="DR323" s="170"/>
      <c r="DS323" s="170"/>
      <c r="DT323" s="376"/>
      <c r="DU323" s="170"/>
      <c r="DV323" s="170"/>
      <c r="DW323" s="376"/>
      <c r="DX323" s="170"/>
      <c r="DY323" s="170"/>
      <c r="DZ323" s="376"/>
      <c r="EA323" s="170"/>
      <c r="EB323" s="170"/>
      <c r="EC323" s="170"/>
      <c r="ED323" s="170"/>
      <c r="EE323" s="170"/>
      <c r="EF323" s="170"/>
      <c r="EG323" s="170"/>
      <c r="EH323" s="170"/>
      <c r="EI323" s="170"/>
      <c r="EJ323" s="170"/>
      <c r="EK323" s="170"/>
    </row>
    <row r="324" spans="1:141" ht="15.75" thickBot="1" x14ac:dyDescent="0.3">
      <c r="A324" s="170"/>
      <c r="B324" s="376"/>
      <c r="C324" s="376"/>
      <c r="D324" s="376"/>
      <c r="E324" s="170"/>
      <c r="F324" s="170"/>
      <c r="G324" s="1287"/>
      <c r="H324" s="1287"/>
      <c r="I324" s="1289"/>
      <c r="J324" s="1287"/>
      <c r="K324" s="1289"/>
      <c r="L324" s="1287"/>
      <c r="M324" s="1287"/>
      <c r="N324" s="1289"/>
      <c r="O324" s="1289"/>
      <c r="P324" s="1287"/>
      <c r="Q324" s="1289"/>
      <c r="R324" s="1287"/>
      <c r="S324" s="1287"/>
      <c r="T324" s="1289"/>
      <c r="U324" s="1287"/>
      <c r="V324" s="1287"/>
      <c r="W324" s="1289"/>
      <c r="X324" s="1287"/>
      <c r="Y324" s="1287"/>
      <c r="Z324" s="1289"/>
      <c r="AA324" s="1287"/>
      <c r="AB324" s="1287"/>
      <c r="AC324" s="1289"/>
      <c r="AD324" s="1287"/>
      <c r="AE324" s="1287"/>
      <c r="AF324" s="1289"/>
      <c r="AG324" s="1287"/>
      <c r="AH324" s="1287"/>
      <c r="AI324" s="1289"/>
      <c r="AJ324" s="1287"/>
      <c r="AK324" s="1287"/>
      <c r="AL324" s="1289"/>
      <c r="AM324" s="1287"/>
      <c r="AN324" s="1287"/>
      <c r="AO324" s="1289"/>
      <c r="AP324" s="1287"/>
      <c r="AQ324" s="1287"/>
      <c r="AR324" s="1289"/>
      <c r="AS324" s="1287"/>
      <c r="AT324" s="1287"/>
      <c r="AU324" s="411"/>
      <c r="AV324" s="170"/>
      <c r="AW324" s="170"/>
      <c r="AX324" s="170"/>
      <c r="AY324" s="170"/>
      <c r="AZ324" s="170"/>
      <c r="BA324" s="376"/>
      <c r="BB324" s="170"/>
      <c r="BC324" s="376"/>
      <c r="BD324" s="170"/>
      <c r="BE324" s="170"/>
      <c r="BF324" s="472"/>
      <c r="BG324" s="170"/>
      <c r="BH324" s="170"/>
      <c r="BI324" s="472"/>
      <c r="BJ324" s="170"/>
      <c r="BK324" s="170"/>
      <c r="BL324" s="472"/>
      <c r="BM324" s="170"/>
      <c r="BN324" s="170"/>
      <c r="BO324" s="472"/>
      <c r="BP324" s="170"/>
      <c r="BQ324" s="170"/>
      <c r="BR324" s="472"/>
      <c r="BS324" s="170"/>
      <c r="BT324" s="170"/>
      <c r="BU324" s="472"/>
      <c r="BV324" s="170"/>
      <c r="BW324" s="170"/>
      <c r="BX324" s="472"/>
      <c r="BY324" s="170"/>
      <c r="BZ324" s="170"/>
      <c r="CA324" s="472"/>
      <c r="CB324" s="170"/>
      <c r="CC324" s="170"/>
      <c r="CD324" s="472"/>
      <c r="CE324" s="170"/>
      <c r="CF324" s="170"/>
      <c r="CG324" s="472"/>
      <c r="CH324" s="170"/>
      <c r="CI324" s="170"/>
      <c r="CJ324" s="376"/>
      <c r="CK324" s="170"/>
      <c r="CL324" s="170"/>
      <c r="CM324" s="170"/>
      <c r="CN324" s="170"/>
      <c r="CO324" s="170"/>
      <c r="CP324" s="170"/>
      <c r="CQ324" s="376"/>
      <c r="CR324" s="170"/>
      <c r="CS324" s="376"/>
      <c r="CT324" s="170"/>
      <c r="CU324" s="170"/>
      <c r="CV324" s="376"/>
      <c r="CW324" s="170"/>
      <c r="CX324" s="170"/>
      <c r="CY324" s="376"/>
      <c r="CZ324" s="170"/>
      <c r="DA324" s="170"/>
      <c r="DB324" s="376"/>
      <c r="DC324" s="170"/>
      <c r="DD324" s="170"/>
      <c r="DE324" s="376"/>
      <c r="DF324" s="170"/>
      <c r="DG324" s="170"/>
      <c r="DH324" s="376"/>
      <c r="DI324" s="170"/>
      <c r="DJ324" s="170"/>
      <c r="DK324" s="376"/>
      <c r="DL324" s="170"/>
      <c r="DM324" s="170"/>
      <c r="DN324" s="376"/>
      <c r="DO324" s="170"/>
      <c r="DP324" s="170"/>
      <c r="DQ324" s="376"/>
      <c r="DR324" s="170"/>
      <c r="DS324" s="170"/>
      <c r="DT324" s="376"/>
      <c r="DU324" s="170"/>
      <c r="DV324" s="170"/>
      <c r="DW324" s="376"/>
      <c r="DX324" s="170"/>
      <c r="DY324" s="170"/>
      <c r="DZ324" s="376"/>
      <c r="EA324" s="170"/>
      <c r="EB324" s="170"/>
      <c r="EC324" s="170"/>
      <c r="ED324" s="170"/>
      <c r="EE324" s="170"/>
      <c r="EF324" s="170"/>
      <c r="EG324" s="170"/>
      <c r="EH324" s="170"/>
      <c r="EI324" s="170"/>
      <c r="EJ324" s="170"/>
      <c r="EK324" s="170"/>
    </row>
    <row r="325" spans="1:141" ht="15.75" thickTop="1" x14ac:dyDescent="0.25">
      <c r="A325" s="545"/>
      <c r="B325" s="546"/>
      <c r="C325" s="546"/>
      <c r="D325" s="546"/>
      <c r="E325" s="547"/>
      <c r="F325" s="1577"/>
      <c r="G325" s="1353"/>
      <c r="H325" s="1353"/>
      <c r="I325" s="1366"/>
      <c r="J325" s="1722"/>
      <c r="K325" s="1681">
        <f>+K36</f>
        <v>0</v>
      </c>
      <c r="L325" s="1367"/>
      <c r="M325" s="1368"/>
      <c r="N325" s="1681">
        <f>+N36</f>
        <v>0</v>
      </c>
      <c r="O325" s="1367"/>
      <c r="P325" s="1368"/>
      <c r="Q325" s="1681">
        <f>+Q36</f>
        <v>0</v>
      </c>
      <c r="R325" s="1367"/>
      <c r="S325" s="1368"/>
      <c r="T325" s="1681">
        <f>+T36</f>
        <v>150</v>
      </c>
      <c r="U325" s="1367"/>
      <c r="V325" s="1368"/>
      <c r="W325" s="1681">
        <f>+W36</f>
        <v>130</v>
      </c>
      <c r="X325" s="1367"/>
      <c r="Y325" s="1368"/>
      <c r="Z325" s="1681">
        <f>+Z36</f>
        <v>100</v>
      </c>
      <c r="AA325" s="1367"/>
      <c r="AB325" s="1368"/>
      <c r="AC325" s="1681">
        <f>+AC36</f>
        <v>0</v>
      </c>
      <c r="AD325" s="1367"/>
      <c r="AE325" s="1368"/>
      <c r="AF325" s="1681">
        <f>+AF36</f>
        <v>0</v>
      </c>
      <c r="AG325" s="1367"/>
      <c r="AH325" s="1368"/>
      <c r="AI325" s="1681">
        <f>+AI36</f>
        <v>0</v>
      </c>
      <c r="AJ325" s="1367"/>
      <c r="AK325" s="1368"/>
      <c r="AL325" s="1681">
        <f>+AL36</f>
        <v>0</v>
      </c>
      <c r="AM325" s="1367"/>
      <c r="AN325" s="1368"/>
      <c r="AO325" s="1681">
        <f>+AO36</f>
        <v>0</v>
      </c>
      <c r="AP325" s="1367"/>
      <c r="AQ325" s="1368"/>
      <c r="AR325" s="1681">
        <f>+AR36</f>
        <v>380</v>
      </c>
      <c r="AS325" s="1367"/>
      <c r="AT325" s="1368"/>
      <c r="AU325" s="411"/>
      <c r="AV325" s="548"/>
      <c r="AW325" s="548"/>
      <c r="AX325" s="1577"/>
      <c r="AY325" s="549"/>
      <c r="AZ325" s="549"/>
      <c r="BA325" s="550"/>
      <c r="BB325" s="1643"/>
      <c r="BC325" s="552">
        <f>+BC36</f>
        <v>0</v>
      </c>
      <c r="BD325" s="551"/>
      <c r="BE325" s="1643"/>
      <c r="BF325" s="1652">
        <f>+BF36</f>
        <v>0</v>
      </c>
      <c r="BG325" s="551"/>
      <c r="BH325" s="1643"/>
      <c r="BI325" s="1652">
        <f>+BI36</f>
        <v>0</v>
      </c>
      <c r="BJ325" s="551"/>
      <c r="BK325" s="1673"/>
      <c r="BL325" s="1652">
        <f>+BL36</f>
        <v>150</v>
      </c>
      <c r="BM325" s="551"/>
      <c r="BN325" s="1643"/>
      <c r="BO325" s="1652">
        <f>+BO36</f>
        <v>130</v>
      </c>
      <c r="BP325" s="551"/>
      <c r="BQ325" s="1643"/>
      <c r="BR325" s="1652">
        <f>+BR36</f>
        <v>100</v>
      </c>
      <c r="BS325" s="551"/>
      <c r="BT325" s="1643"/>
      <c r="BU325" s="1652">
        <f>+BU36</f>
        <v>0</v>
      </c>
      <c r="BV325" s="551"/>
      <c r="BW325" s="1643"/>
      <c r="BX325" s="1652">
        <f>+BX36</f>
        <v>0</v>
      </c>
      <c r="BY325" s="551"/>
      <c r="BZ325" s="1643"/>
      <c r="CA325" s="1652">
        <f>+CA36</f>
        <v>0</v>
      </c>
      <c r="CB325" s="551"/>
      <c r="CC325" s="1643"/>
      <c r="CD325" s="1652">
        <f>+CD36</f>
        <v>0</v>
      </c>
      <c r="CE325" s="551"/>
      <c r="CF325" s="1643"/>
      <c r="CG325" s="1652">
        <f>+CG36</f>
        <v>0</v>
      </c>
      <c r="CH325" s="551"/>
      <c r="CI325" s="1643"/>
      <c r="CJ325" s="552">
        <f>+CJ36</f>
        <v>380</v>
      </c>
      <c r="CK325" s="551"/>
      <c r="CL325" s="552"/>
      <c r="CM325" s="170"/>
      <c r="CN325" s="1577"/>
      <c r="CO325" s="553"/>
      <c r="CP325" s="553"/>
      <c r="CQ325" s="554"/>
      <c r="CR325" s="1713"/>
      <c r="CS325" s="1699">
        <f>+CS36</f>
        <v>0</v>
      </c>
      <c r="CT325" s="556"/>
      <c r="CU325" s="1713"/>
      <c r="CV325" s="1699">
        <f>+CV36</f>
        <v>0</v>
      </c>
      <c r="CW325" s="556"/>
      <c r="CX325" s="1713"/>
      <c r="CY325" s="1699">
        <f>+CY36</f>
        <v>0</v>
      </c>
      <c r="CZ325" s="556"/>
      <c r="DA325" s="1713"/>
      <c r="DB325" s="1699">
        <f>+DB36</f>
        <v>0</v>
      </c>
      <c r="DC325" s="556"/>
      <c r="DD325" s="1713"/>
      <c r="DE325" s="1699">
        <f>+DE36</f>
        <v>0</v>
      </c>
      <c r="DF325" s="556"/>
      <c r="DG325" s="1713"/>
      <c r="DH325" s="1699">
        <f>+DH36</f>
        <v>0</v>
      </c>
      <c r="DI325" s="556"/>
      <c r="DJ325" s="1713"/>
      <c r="DK325" s="1699">
        <f>+DK36</f>
        <v>0</v>
      </c>
      <c r="DL325" s="556"/>
      <c r="DM325" s="1713"/>
      <c r="DN325" s="1699">
        <f>+DN36</f>
        <v>0</v>
      </c>
      <c r="DO325" s="556"/>
      <c r="DP325" s="1713"/>
      <c r="DQ325" s="1699">
        <f>+DQ36</f>
        <v>0</v>
      </c>
      <c r="DR325" s="556"/>
      <c r="DS325" s="1713"/>
      <c r="DT325" s="1699">
        <f>+DT36</f>
        <v>0</v>
      </c>
      <c r="DU325" s="556"/>
      <c r="DV325" s="1713"/>
      <c r="DW325" s="1699">
        <f>+DW36</f>
        <v>0</v>
      </c>
      <c r="DX325" s="556"/>
      <c r="DY325" s="1713"/>
      <c r="DZ325" s="1699">
        <f>+DZ36</f>
        <v>0</v>
      </c>
      <c r="EA325" s="556"/>
      <c r="EB325" s="170"/>
      <c r="EC325" s="170"/>
      <c r="ED325" s="170"/>
      <c r="EE325" s="170"/>
      <c r="EF325" s="170"/>
      <c r="EG325" s="170"/>
      <c r="EH325" s="170"/>
      <c r="EI325" s="170"/>
      <c r="EJ325" s="170"/>
      <c r="EK325" s="170"/>
    </row>
    <row r="326" spans="1:141" ht="26.25" x14ac:dyDescent="0.25">
      <c r="A326" s="557"/>
      <c r="B326" s="472"/>
      <c r="C326" s="472"/>
      <c r="D326" s="472"/>
      <c r="E326" s="558" t="s">
        <v>1228</v>
      </c>
      <c r="F326" s="1239"/>
      <c r="G326" s="1287"/>
      <c r="H326" s="1287"/>
      <c r="I326" s="1289"/>
      <c r="J326" s="1287"/>
      <c r="K326" s="1288" t="s">
        <v>289</v>
      </c>
      <c r="L326" s="1288" t="s">
        <v>201</v>
      </c>
      <c r="M326" s="1287"/>
      <c r="N326" s="1288" t="s">
        <v>289</v>
      </c>
      <c r="O326" s="1288" t="s">
        <v>201</v>
      </c>
      <c r="P326" s="1287"/>
      <c r="Q326" s="1288" t="s">
        <v>289</v>
      </c>
      <c r="R326" s="1288" t="s">
        <v>201</v>
      </c>
      <c r="S326" s="1287"/>
      <c r="T326" s="1288" t="s">
        <v>289</v>
      </c>
      <c r="U326" s="1288" t="s">
        <v>201</v>
      </c>
      <c r="V326" s="1287"/>
      <c r="W326" s="1288" t="s">
        <v>289</v>
      </c>
      <c r="X326" s="1288" t="s">
        <v>201</v>
      </c>
      <c r="Y326" s="1287"/>
      <c r="Z326" s="1288" t="s">
        <v>289</v>
      </c>
      <c r="AA326" s="1288" t="s">
        <v>201</v>
      </c>
      <c r="AB326" s="1287"/>
      <c r="AC326" s="1288" t="s">
        <v>289</v>
      </c>
      <c r="AD326" s="1288" t="s">
        <v>201</v>
      </c>
      <c r="AE326" s="1287"/>
      <c r="AF326" s="1288" t="s">
        <v>289</v>
      </c>
      <c r="AG326" s="1288" t="s">
        <v>201</v>
      </c>
      <c r="AH326" s="1287"/>
      <c r="AI326" s="1288" t="s">
        <v>289</v>
      </c>
      <c r="AJ326" s="1288" t="s">
        <v>201</v>
      </c>
      <c r="AK326" s="1287"/>
      <c r="AL326" s="1288" t="s">
        <v>289</v>
      </c>
      <c r="AM326" s="1288" t="s">
        <v>201</v>
      </c>
      <c r="AN326" s="1287"/>
      <c r="AO326" s="1288" t="s">
        <v>289</v>
      </c>
      <c r="AP326" s="1288" t="s">
        <v>201</v>
      </c>
      <c r="AQ326" s="1287"/>
      <c r="AR326" s="1288" t="s">
        <v>289</v>
      </c>
      <c r="AS326" s="1288" t="s">
        <v>201</v>
      </c>
      <c r="AT326" s="1287"/>
      <c r="AU326" s="411"/>
      <c r="AV326" s="170"/>
      <c r="AW326" s="170"/>
      <c r="AX326" s="1239"/>
      <c r="AY326" s="387" t="s">
        <v>376</v>
      </c>
      <c r="AZ326" s="387"/>
      <c r="BA326" s="380"/>
      <c r="BB326" s="1629"/>
      <c r="BC326" s="380" t="s">
        <v>289</v>
      </c>
      <c r="BD326" s="380" t="s">
        <v>201</v>
      </c>
      <c r="BE326" s="1629"/>
      <c r="BF326" s="1475" t="s">
        <v>289</v>
      </c>
      <c r="BG326" s="380" t="s">
        <v>201</v>
      </c>
      <c r="BH326" s="1629"/>
      <c r="BI326" s="1475" t="s">
        <v>289</v>
      </c>
      <c r="BJ326" s="380" t="s">
        <v>201</v>
      </c>
      <c r="BK326" s="1674"/>
      <c r="BL326" s="1475" t="s">
        <v>289</v>
      </c>
      <c r="BM326" s="380" t="s">
        <v>201</v>
      </c>
      <c r="BN326" s="1629"/>
      <c r="BO326" s="1475" t="s">
        <v>289</v>
      </c>
      <c r="BP326" s="380" t="s">
        <v>201</v>
      </c>
      <c r="BQ326" s="1629"/>
      <c r="BR326" s="1475" t="s">
        <v>289</v>
      </c>
      <c r="BS326" s="380" t="s">
        <v>201</v>
      </c>
      <c r="BT326" s="1629"/>
      <c r="BU326" s="1475" t="s">
        <v>289</v>
      </c>
      <c r="BV326" s="380" t="s">
        <v>201</v>
      </c>
      <c r="BW326" s="1629"/>
      <c r="BX326" s="1475" t="s">
        <v>289</v>
      </c>
      <c r="BY326" s="380" t="s">
        <v>201</v>
      </c>
      <c r="BZ326" s="1629"/>
      <c r="CA326" s="1475" t="s">
        <v>289</v>
      </c>
      <c r="CB326" s="380" t="s">
        <v>201</v>
      </c>
      <c r="CC326" s="1629"/>
      <c r="CD326" s="1475" t="s">
        <v>289</v>
      </c>
      <c r="CE326" s="380" t="s">
        <v>201</v>
      </c>
      <c r="CF326" s="1629"/>
      <c r="CG326" s="1475" t="s">
        <v>289</v>
      </c>
      <c r="CH326" s="380" t="s">
        <v>201</v>
      </c>
      <c r="CI326" s="1629"/>
      <c r="CJ326" s="380" t="s">
        <v>289</v>
      </c>
      <c r="CK326" s="409" t="s">
        <v>201</v>
      </c>
      <c r="CL326" s="380"/>
      <c r="CM326" s="170"/>
      <c r="CN326" s="1239"/>
      <c r="CO326" s="388" t="s">
        <v>376</v>
      </c>
      <c r="CP326" s="388"/>
      <c r="CQ326" s="384"/>
      <c r="CR326" s="1701"/>
      <c r="CS326" s="384" t="s">
        <v>289</v>
      </c>
      <c r="CT326" s="384" t="s">
        <v>201</v>
      </c>
      <c r="CU326" s="1701"/>
      <c r="CV326" s="384" t="s">
        <v>289</v>
      </c>
      <c r="CW326" s="384" t="s">
        <v>201</v>
      </c>
      <c r="CX326" s="1701"/>
      <c r="CY326" s="384" t="s">
        <v>289</v>
      </c>
      <c r="CZ326" s="384" t="s">
        <v>201</v>
      </c>
      <c r="DA326" s="1701"/>
      <c r="DB326" s="384" t="s">
        <v>289</v>
      </c>
      <c r="DC326" s="384" t="s">
        <v>201</v>
      </c>
      <c r="DD326" s="1701"/>
      <c r="DE326" s="384" t="s">
        <v>289</v>
      </c>
      <c r="DF326" s="384" t="s">
        <v>201</v>
      </c>
      <c r="DG326" s="1701"/>
      <c r="DH326" s="384" t="s">
        <v>289</v>
      </c>
      <c r="DI326" s="384" t="s">
        <v>201</v>
      </c>
      <c r="DJ326" s="1701"/>
      <c r="DK326" s="384" t="s">
        <v>289</v>
      </c>
      <c r="DL326" s="384" t="s">
        <v>201</v>
      </c>
      <c r="DM326" s="1701"/>
      <c r="DN326" s="384" t="s">
        <v>289</v>
      </c>
      <c r="DO326" s="384" t="s">
        <v>201</v>
      </c>
      <c r="DP326" s="1701"/>
      <c r="DQ326" s="384" t="s">
        <v>289</v>
      </c>
      <c r="DR326" s="384" t="s">
        <v>201</v>
      </c>
      <c r="DS326" s="1701"/>
      <c r="DT326" s="384" t="s">
        <v>289</v>
      </c>
      <c r="DU326" s="384" t="s">
        <v>201</v>
      </c>
      <c r="DV326" s="1701"/>
      <c r="DW326" s="384" t="s">
        <v>289</v>
      </c>
      <c r="DX326" s="384" t="s">
        <v>201</v>
      </c>
      <c r="DY326" s="1701"/>
      <c r="DZ326" s="384" t="s">
        <v>289</v>
      </c>
      <c r="EA326" s="559" t="s">
        <v>201</v>
      </c>
      <c r="EB326" s="170"/>
      <c r="EC326" s="170"/>
      <c r="ED326" s="170"/>
      <c r="EE326" s="170"/>
      <c r="EF326" s="170"/>
      <c r="EG326" s="170"/>
      <c r="EH326" s="170"/>
      <c r="EI326" s="170"/>
      <c r="EJ326" s="170"/>
      <c r="EK326" s="170"/>
    </row>
    <row r="327" spans="1:141" ht="15" x14ac:dyDescent="0.25">
      <c r="A327" s="557"/>
      <c r="B327" s="472"/>
      <c r="C327" s="472"/>
      <c r="D327" s="472"/>
      <c r="E327" s="170"/>
      <c r="F327" s="493"/>
      <c r="G327" s="1287"/>
      <c r="H327" s="1287"/>
      <c r="I327" s="1289"/>
      <c r="J327" s="1287"/>
      <c r="K327" s="1289"/>
      <c r="L327" s="1287"/>
      <c r="M327" s="1287"/>
      <c r="N327" s="1289"/>
      <c r="O327" s="1289"/>
      <c r="P327" s="1287"/>
      <c r="Q327" s="1289"/>
      <c r="R327" s="1287"/>
      <c r="S327" s="1287"/>
      <c r="T327" s="1289"/>
      <c r="U327" s="1287"/>
      <c r="V327" s="1287"/>
      <c r="W327" s="1289"/>
      <c r="X327" s="1287"/>
      <c r="Y327" s="1287"/>
      <c r="Z327" s="1289"/>
      <c r="AA327" s="1287"/>
      <c r="AB327" s="1287"/>
      <c r="AC327" s="1289"/>
      <c r="AD327" s="1287"/>
      <c r="AE327" s="1287"/>
      <c r="AF327" s="1289"/>
      <c r="AG327" s="1287"/>
      <c r="AH327" s="1287"/>
      <c r="AI327" s="1289"/>
      <c r="AJ327" s="1287"/>
      <c r="AK327" s="1287"/>
      <c r="AL327" s="1289"/>
      <c r="AM327" s="1287"/>
      <c r="AN327" s="1287"/>
      <c r="AO327" s="1289"/>
      <c r="AP327" s="1287"/>
      <c r="AQ327" s="1287"/>
      <c r="AR327" s="1289"/>
      <c r="AS327" s="1287"/>
      <c r="AT327" s="1287"/>
      <c r="AU327" s="411"/>
      <c r="AV327" s="170"/>
      <c r="AW327" s="170"/>
      <c r="AX327" s="493"/>
      <c r="AY327" s="412"/>
      <c r="AZ327" s="413"/>
      <c r="BA327" s="413"/>
      <c r="BB327" s="1630"/>
      <c r="BC327" s="414"/>
      <c r="BD327" s="415"/>
      <c r="BE327" s="1630"/>
      <c r="BF327" s="1476"/>
      <c r="BG327" s="416"/>
      <c r="BH327" s="1630"/>
      <c r="BI327" s="1476"/>
      <c r="BJ327" s="415"/>
      <c r="BK327" s="1675"/>
      <c r="BL327" s="1476"/>
      <c r="BM327" s="415"/>
      <c r="BN327" s="1630"/>
      <c r="BO327" s="1476"/>
      <c r="BP327" s="415"/>
      <c r="BQ327" s="1630"/>
      <c r="BR327" s="1476"/>
      <c r="BS327" s="415"/>
      <c r="BT327" s="1630"/>
      <c r="BU327" s="1476"/>
      <c r="BV327" s="415"/>
      <c r="BW327" s="1630"/>
      <c r="BX327" s="1476"/>
      <c r="BY327" s="415"/>
      <c r="BZ327" s="1630"/>
      <c r="CA327" s="1476"/>
      <c r="CB327" s="415"/>
      <c r="CC327" s="1630"/>
      <c r="CD327" s="1476"/>
      <c r="CE327" s="415"/>
      <c r="CF327" s="1630"/>
      <c r="CG327" s="1476"/>
      <c r="CH327" s="415"/>
      <c r="CI327" s="1630"/>
      <c r="CJ327" s="414"/>
      <c r="CK327" s="417"/>
      <c r="CL327" s="418"/>
      <c r="CM327" s="170"/>
      <c r="CN327" s="493"/>
      <c r="CO327" s="419"/>
      <c r="CP327" s="420"/>
      <c r="CQ327" s="420"/>
      <c r="CR327" s="1702"/>
      <c r="CS327" s="421"/>
      <c r="CT327" s="422"/>
      <c r="CU327" s="1702"/>
      <c r="CV327" s="421"/>
      <c r="CW327" s="423"/>
      <c r="CX327" s="1702"/>
      <c r="CY327" s="421"/>
      <c r="CZ327" s="422"/>
      <c r="DA327" s="1702"/>
      <c r="DB327" s="421"/>
      <c r="DC327" s="422"/>
      <c r="DD327" s="1702"/>
      <c r="DE327" s="421"/>
      <c r="DF327" s="422"/>
      <c r="DG327" s="1702"/>
      <c r="DH327" s="421"/>
      <c r="DI327" s="422"/>
      <c r="DJ327" s="1702"/>
      <c r="DK327" s="421"/>
      <c r="DL327" s="422"/>
      <c r="DM327" s="1702"/>
      <c r="DN327" s="421"/>
      <c r="DO327" s="422"/>
      <c r="DP327" s="1702"/>
      <c r="DQ327" s="421"/>
      <c r="DR327" s="422"/>
      <c r="DS327" s="1702"/>
      <c r="DT327" s="421"/>
      <c r="DU327" s="422"/>
      <c r="DV327" s="1702"/>
      <c r="DW327" s="421"/>
      <c r="DX327" s="422"/>
      <c r="DY327" s="1702"/>
      <c r="DZ327" s="421"/>
      <c r="EA327" s="560"/>
      <c r="EB327" s="170"/>
      <c r="EC327" s="170"/>
      <c r="ED327" s="170"/>
      <c r="EE327" s="170"/>
      <c r="EF327" s="170"/>
      <c r="EG327" s="170"/>
      <c r="EH327" s="170"/>
      <c r="EI327" s="170"/>
      <c r="EJ327" s="170"/>
      <c r="EK327" s="170"/>
    </row>
    <row r="328" spans="1:141" ht="15" x14ac:dyDescent="0.25">
      <c r="A328" s="557"/>
      <c r="B328" s="472"/>
      <c r="C328" s="472"/>
      <c r="D328" s="472"/>
      <c r="E328" s="170"/>
      <c r="F328" s="170"/>
      <c r="G328" s="1287"/>
      <c r="H328" s="1287"/>
      <c r="I328" s="1289"/>
      <c r="J328" s="1287"/>
      <c r="K328" s="1289"/>
      <c r="L328" s="1287"/>
      <c r="M328" s="1287"/>
      <c r="N328" s="1289"/>
      <c r="O328" s="1289"/>
      <c r="P328" s="1287"/>
      <c r="Q328" s="1289"/>
      <c r="R328" s="1287"/>
      <c r="S328" s="1287"/>
      <c r="T328" s="1289"/>
      <c r="U328" s="1287"/>
      <c r="V328" s="1287"/>
      <c r="W328" s="1289"/>
      <c r="X328" s="1287"/>
      <c r="Y328" s="1287"/>
      <c r="Z328" s="1289"/>
      <c r="AA328" s="1287"/>
      <c r="AB328" s="1287"/>
      <c r="AC328" s="1289"/>
      <c r="AD328" s="1287"/>
      <c r="AE328" s="1287"/>
      <c r="AF328" s="1289"/>
      <c r="AG328" s="1287"/>
      <c r="AH328" s="1287"/>
      <c r="AI328" s="1289"/>
      <c r="AJ328" s="1287"/>
      <c r="AK328" s="1287"/>
      <c r="AL328" s="1289"/>
      <c r="AM328" s="1287"/>
      <c r="AN328" s="1287"/>
      <c r="AO328" s="1289"/>
      <c r="AP328" s="1287"/>
      <c r="AQ328" s="1287"/>
      <c r="AR328" s="1289"/>
      <c r="AS328" s="1287"/>
      <c r="AT328" s="1287"/>
      <c r="AU328" s="411"/>
      <c r="AV328" s="170"/>
      <c r="AW328" s="170"/>
      <c r="AX328" s="170"/>
      <c r="AY328" s="561"/>
      <c r="AZ328" s="561"/>
      <c r="BA328" s="562"/>
      <c r="BB328" s="170"/>
      <c r="BC328" s="562"/>
      <c r="BD328" s="561"/>
      <c r="BE328" s="170"/>
      <c r="BF328" s="1477"/>
      <c r="BG328" s="562"/>
      <c r="BH328" s="170"/>
      <c r="BI328" s="1477"/>
      <c r="BJ328" s="561"/>
      <c r="BK328" s="561"/>
      <c r="BL328" s="1477"/>
      <c r="BM328" s="561"/>
      <c r="BN328" s="170"/>
      <c r="BO328" s="1477"/>
      <c r="BP328" s="561"/>
      <c r="BQ328" s="170"/>
      <c r="BR328" s="1477"/>
      <c r="BS328" s="561"/>
      <c r="BT328" s="170"/>
      <c r="BU328" s="1477"/>
      <c r="BV328" s="561"/>
      <c r="BW328" s="170"/>
      <c r="BX328" s="1477"/>
      <c r="BY328" s="561"/>
      <c r="BZ328" s="170"/>
      <c r="CA328" s="1477"/>
      <c r="CB328" s="561"/>
      <c r="CC328" s="170"/>
      <c r="CD328" s="1477"/>
      <c r="CE328" s="561"/>
      <c r="CF328" s="170"/>
      <c r="CG328" s="1477"/>
      <c r="CH328" s="561"/>
      <c r="CI328" s="170"/>
      <c r="CJ328" s="562"/>
      <c r="CK328" s="561"/>
      <c r="CL328" s="561"/>
      <c r="CM328" s="170"/>
      <c r="CN328" s="170"/>
      <c r="CO328" s="382"/>
      <c r="CP328" s="382"/>
      <c r="CQ328" s="385"/>
      <c r="CR328" s="382"/>
      <c r="CS328" s="385"/>
      <c r="CT328" s="382"/>
      <c r="CU328" s="382"/>
      <c r="CV328" s="385"/>
      <c r="CW328" s="385"/>
      <c r="CX328" s="382"/>
      <c r="CY328" s="385"/>
      <c r="CZ328" s="382"/>
      <c r="DA328" s="382"/>
      <c r="DB328" s="385"/>
      <c r="DC328" s="382"/>
      <c r="DD328" s="382"/>
      <c r="DE328" s="385"/>
      <c r="DF328" s="382"/>
      <c r="DG328" s="382"/>
      <c r="DH328" s="385"/>
      <c r="DI328" s="382"/>
      <c r="DJ328" s="382"/>
      <c r="DK328" s="385"/>
      <c r="DL328" s="382"/>
      <c r="DM328" s="382"/>
      <c r="DN328" s="385"/>
      <c r="DO328" s="382"/>
      <c r="DP328" s="382"/>
      <c r="DQ328" s="385"/>
      <c r="DR328" s="382"/>
      <c r="DS328" s="382"/>
      <c r="DT328" s="385"/>
      <c r="DU328" s="382"/>
      <c r="DV328" s="382"/>
      <c r="DW328" s="385"/>
      <c r="DX328" s="382"/>
      <c r="DY328" s="382"/>
      <c r="DZ328" s="385"/>
      <c r="EA328" s="563"/>
      <c r="EB328" s="170"/>
      <c r="EC328" s="170"/>
      <c r="ED328" s="170"/>
      <c r="EE328" s="170"/>
      <c r="EF328" s="170"/>
      <c r="EG328" s="170"/>
      <c r="EH328" s="170"/>
      <c r="EI328" s="170"/>
      <c r="EJ328" s="170"/>
      <c r="EK328" s="170"/>
    </row>
    <row r="329" spans="1:141" ht="15" x14ac:dyDescent="0.25">
      <c r="A329" s="557"/>
      <c r="B329" s="472"/>
      <c r="C329" s="424">
        <v>100</v>
      </c>
      <c r="D329" s="424"/>
      <c r="E329" s="170"/>
      <c r="F329" s="170"/>
      <c r="G329" s="1374"/>
      <c r="H329" s="1287"/>
      <c r="I329" s="1289"/>
      <c r="J329" s="1287"/>
      <c r="K329" s="1289"/>
      <c r="L329" s="1369">
        <f t="shared" ref="L329:L341" si="900">SUMIF($C$12:$C$201,$C329,L$12:L$201)</f>
        <v>0</v>
      </c>
      <c r="M329" s="1287"/>
      <c r="N329" s="1289"/>
      <c r="O329" s="1369">
        <f t="shared" ref="O329:O341" si="901">SUMIF($C$12:$C$201,$C329,O$12:O$201)</f>
        <v>0</v>
      </c>
      <c r="P329" s="1287"/>
      <c r="Q329" s="1289"/>
      <c r="R329" s="1369">
        <f t="shared" ref="R329:R341" si="902">SUMIF($C$12:$C$201,$C329,R$12:R$201)</f>
        <v>0</v>
      </c>
      <c r="S329" s="1287"/>
      <c r="T329" s="1289"/>
      <c r="U329" s="1369">
        <f t="shared" ref="U329:U341" si="903">SUMIF($C$12:$C$201,$C329,U$12:U$201)</f>
        <v>0</v>
      </c>
      <c r="V329" s="1287"/>
      <c r="W329" s="1289"/>
      <c r="X329" s="1369">
        <f t="shared" ref="X329:X341" si="904">SUMIF($C$12:$C$201,$C329,X$12:X$201)</f>
        <v>0</v>
      </c>
      <c r="Y329" s="1287"/>
      <c r="Z329" s="1289"/>
      <c r="AA329" s="1369">
        <f t="shared" ref="AA329:AA341" si="905">SUMIF($C$12:$C$201,$C329,AA$12:AA$201)</f>
        <v>0</v>
      </c>
      <c r="AB329" s="1287"/>
      <c r="AC329" s="1289"/>
      <c r="AD329" s="1369">
        <f t="shared" ref="AD329:AD341" si="906">SUMIF($C$12:$C$201,$C329,AD$12:AD$201)</f>
        <v>0</v>
      </c>
      <c r="AE329" s="1287"/>
      <c r="AF329" s="1289"/>
      <c r="AG329" s="1369">
        <f t="shared" ref="AG329:AG341" si="907">SUMIF($C$12:$C$201,$C329,AG$12:AG$201)</f>
        <v>0</v>
      </c>
      <c r="AH329" s="1287"/>
      <c r="AI329" s="1289"/>
      <c r="AJ329" s="1369">
        <f t="shared" ref="AJ329:AJ341" si="908">SUMIF($C$12:$C$201,$C329,AJ$12:AJ$201)</f>
        <v>0</v>
      </c>
      <c r="AK329" s="1287"/>
      <c r="AL329" s="1289"/>
      <c r="AM329" s="1369">
        <f t="shared" ref="AM329:AM341" si="909">SUMIF($C$12:$C$201,$C329,AM$12:AM$201)</f>
        <v>0</v>
      </c>
      <c r="AN329" s="1287"/>
      <c r="AO329" s="1289"/>
      <c r="AP329" s="1369">
        <f t="shared" ref="AP329:AP341" si="910">SUMIF($C$12:$C$201,$C329,AP$12:AP$201)</f>
        <v>0</v>
      </c>
      <c r="AQ329" s="1287"/>
      <c r="AR329" s="1289"/>
      <c r="AS329" s="1369">
        <f t="shared" ref="AS329:AS341" si="911">SUMIF($C$12:$C$201,$C329,AS$12:AS$201)</f>
        <v>0</v>
      </c>
      <c r="AT329" s="1287"/>
      <c r="AU329" s="411"/>
      <c r="AV329" s="170"/>
      <c r="AW329" s="170"/>
      <c r="AX329" s="170"/>
      <c r="AY329" s="561"/>
      <c r="AZ329" s="561"/>
      <c r="BA329" s="562"/>
      <c r="BB329" s="170"/>
      <c r="BC329" s="562"/>
      <c r="BD329" s="566">
        <f t="shared" ref="BD329:BD341" si="912">SUMIF($C$12:$C$201,$C329,BD$12:BD$201)</f>
        <v>0</v>
      </c>
      <c r="BE329" s="170"/>
      <c r="BF329" s="1477"/>
      <c r="BG329" s="566">
        <f t="shared" ref="BG329:BG341" si="913">SUMIF($C$12:$C$201,$C329,BG$12:BG$201)</f>
        <v>0</v>
      </c>
      <c r="BH329" s="170"/>
      <c r="BI329" s="1477"/>
      <c r="BJ329" s="566">
        <f t="shared" ref="BJ329:BJ341" si="914">SUMIF($C$12:$C$201,$C329,BJ$12:BJ$201)</f>
        <v>0</v>
      </c>
      <c r="BK329" s="561"/>
      <c r="BL329" s="1477"/>
      <c r="BM329" s="566">
        <f t="shared" ref="BM329:BM341" si="915">SUMIF($C$12:$C$201,$C329,BM$12:BM$201)</f>
        <v>0</v>
      </c>
      <c r="BN329" s="170"/>
      <c r="BO329" s="1477"/>
      <c r="BP329" s="566">
        <f t="shared" ref="BP329:BP341" si="916">SUMIF($C$12:$C$201,$C329,BP$12:BP$201)</f>
        <v>0</v>
      </c>
      <c r="BQ329" s="170"/>
      <c r="BR329" s="1477"/>
      <c r="BS329" s="566">
        <f t="shared" ref="BS329:BS341" si="917">SUMIF($C$12:$C$201,$C329,BS$12:BS$201)</f>
        <v>0</v>
      </c>
      <c r="BT329" s="170"/>
      <c r="BU329" s="1477"/>
      <c r="BV329" s="566">
        <f t="shared" ref="BV329:BV341" si="918">SUMIF($C$12:$C$201,$C329,BV$12:BV$201)</f>
        <v>0</v>
      </c>
      <c r="BW329" s="170"/>
      <c r="BX329" s="1477"/>
      <c r="BY329" s="566">
        <f t="shared" ref="BY329:BY341" si="919">SUMIF($C$12:$C$201,$C329,BY$12:BY$201)</f>
        <v>0</v>
      </c>
      <c r="BZ329" s="170"/>
      <c r="CA329" s="1477"/>
      <c r="CB329" s="566">
        <f t="shared" ref="CB329:CB341" si="920">SUMIF($C$12:$C$201,$C329,CB$12:CB$201)</f>
        <v>0</v>
      </c>
      <c r="CC329" s="170"/>
      <c r="CD329" s="1477"/>
      <c r="CE329" s="566">
        <f t="shared" ref="CE329:CE341" si="921">SUMIF($C$12:$C$201,$C329,CE$12:CE$201)</f>
        <v>0</v>
      </c>
      <c r="CF329" s="170"/>
      <c r="CG329" s="1477"/>
      <c r="CH329" s="566">
        <f t="shared" ref="CH329:CH341" si="922">SUMIF($C$12:$C$201,$C329,CH$12:CH$201)</f>
        <v>0</v>
      </c>
      <c r="CI329" s="170"/>
      <c r="CJ329" s="562"/>
      <c r="CK329" s="566">
        <f t="shared" ref="CK329:CK341" si="923">SUMIF($C$12:$C$201,$C329,CK$12:CK$201)</f>
        <v>0</v>
      </c>
      <c r="CL329" s="566"/>
      <c r="CM329" s="170"/>
      <c r="CN329" s="170"/>
      <c r="CO329" s="382"/>
      <c r="CP329" s="382"/>
      <c r="CQ329" s="385"/>
      <c r="CR329" s="382"/>
      <c r="CS329" s="385"/>
      <c r="CT329" s="567">
        <f t="shared" ref="CT329:CT341" si="924">SUMIF($C$12:$C$201,$C329,CT$12:CT$201)</f>
        <v>0</v>
      </c>
      <c r="CU329" s="382"/>
      <c r="CV329" s="385"/>
      <c r="CW329" s="567">
        <f t="shared" ref="CW329:CW341" si="925">SUMIF($C$12:$C$201,$C329,CW$12:CW$201)</f>
        <v>0</v>
      </c>
      <c r="CX329" s="382"/>
      <c r="CY329" s="385"/>
      <c r="CZ329" s="567">
        <f t="shared" ref="CZ329:CZ341" si="926">SUMIF($C$12:$C$201,$C329,CZ$12:CZ$201)</f>
        <v>0</v>
      </c>
      <c r="DA329" s="382"/>
      <c r="DB329" s="385"/>
      <c r="DC329" s="567">
        <f t="shared" ref="DC329:DC341" si="927">SUMIF($C$12:$C$201,$C329,DC$12:DC$201)</f>
        <v>0</v>
      </c>
      <c r="DD329" s="382"/>
      <c r="DE329" s="385"/>
      <c r="DF329" s="567">
        <f t="shared" ref="DF329:DF341" si="928">SUMIF($C$12:$C$201,$C329,DF$12:DF$201)</f>
        <v>0</v>
      </c>
      <c r="DG329" s="382"/>
      <c r="DH329" s="385"/>
      <c r="DI329" s="567">
        <f t="shared" ref="DI329:DI341" si="929">SUMIF($C$12:$C$201,$C329,DI$12:DI$201)</f>
        <v>0</v>
      </c>
      <c r="DJ329" s="382"/>
      <c r="DK329" s="385"/>
      <c r="DL329" s="567">
        <f t="shared" ref="DL329:DL341" si="930">SUMIF($C$12:$C$201,$C329,DL$12:DL$201)</f>
        <v>0</v>
      </c>
      <c r="DM329" s="382"/>
      <c r="DN329" s="385"/>
      <c r="DO329" s="567">
        <f t="shared" ref="DO329:DO341" si="931">SUMIF($C$12:$C$201,$C329,DO$12:DO$201)</f>
        <v>0</v>
      </c>
      <c r="DP329" s="382"/>
      <c r="DQ329" s="385"/>
      <c r="DR329" s="567">
        <f t="shared" ref="DR329:DR341" si="932">SUMIF($C$12:$C$201,$C329,DR$12:DR$201)</f>
        <v>0</v>
      </c>
      <c r="DS329" s="382"/>
      <c r="DT329" s="385"/>
      <c r="DU329" s="567">
        <f t="shared" ref="DU329:DU341" si="933">SUMIF($C$12:$C$201,$C329,DU$12:DU$201)</f>
        <v>0</v>
      </c>
      <c r="DV329" s="382"/>
      <c r="DW329" s="385"/>
      <c r="DX329" s="567">
        <f t="shared" ref="DX329:DX341" si="934">SUMIF($C$12:$C$201,$C329,DX$12:DX$201)</f>
        <v>0</v>
      </c>
      <c r="DY329" s="382"/>
      <c r="DZ329" s="385"/>
      <c r="EA329" s="567">
        <f t="shared" ref="EA329:EA341" si="935">SUMIF($C$12:$C$201,$C329,EA$12:EA$201)</f>
        <v>0</v>
      </c>
      <c r="EB329" s="170"/>
      <c r="EC329" s="170"/>
      <c r="ED329" s="170"/>
      <c r="EE329" s="170"/>
      <c r="EF329" s="170"/>
      <c r="EG329" s="170"/>
      <c r="EH329" s="170"/>
      <c r="EI329" s="170"/>
      <c r="EJ329" s="170"/>
      <c r="EK329" s="170"/>
    </row>
    <row r="330" spans="1:141" ht="15" x14ac:dyDescent="0.25">
      <c r="A330" s="557"/>
      <c r="B330" s="472"/>
      <c r="C330" s="424">
        <v>1</v>
      </c>
      <c r="D330" s="424"/>
      <c r="E330" s="170"/>
      <c r="F330" s="170"/>
      <c r="G330" s="1374" t="s">
        <v>93</v>
      </c>
      <c r="H330" s="1287"/>
      <c r="I330" s="1289"/>
      <c r="J330" s="1287"/>
      <c r="K330" s="1289"/>
      <c r="L330" s="1369">
        <f t="shared" si="900"/>
        <v>10963.25</v>
      </c>
      <c r="M330" s="1287"/>
      <c r="N330" s="1289"/>
      <c r="O330" s="1369">
        <f t="shared" ca="1" si="901"/>
        <v>0</v>
      </c>
      <c r="P330" s="1287"/>
      <c r="Q330" s="1289"/>
      <c r="R330" s="1369">
        <f t="shared" ca="1" si="902"/>
        <v>0</v>
      </c>
      <c r="S330" s="1287"/>
      <c r="T330" s="1289"/>
      <c r="U330" s="1369">
        <f t="shared" ca="1" si="903"/>
        <v>0</v>
      </c>
      <c r="V330" s="1287"/>
      <c r="W330" s="1289"/>
      <c r="X330" s="1369">
        <f t="shared" ca="1" si="904"/>
        <v>2758498.8896284006</v>
      </c>
      <c r="Y330" s="1287"/>
      <c r="Z330" s="1289"/>
      <c r="AA330" s="1369">
        <f t="shared" ca="1" si="905"/>
        <v>1780463.7526781682</v>
      </c>
      <c r="AB330" s="1287"/>
      <c r="AC330" s="1289"/>
      <c r="AD330" s="1369">
        <f t="shared" ca="1" si="906"/>
        <v>0</v>
      </c>
      <c r="AE330" s="1287"/>
      <c r="AF330" s="1289"/>
      <c r="AG330" s="1369">
        <f t="shared" ca="1" si="907"/>
        <v>0</v>
      </c>
      <c r="AH330" s="1287"/>
      <c r="AI330" s="1289"/>
      <c r="AJ330" s="1369">
        <f t="shared" ca="1" si="908"/>
        <v>0</v>
      </c>
      <c r="AK330" s="1287"/>
      <c r="AL330" s="1289"/>
      <c r="AM330" s="1369">
        <f t="shared" ca="1" si="909"/>
        <v>0</v>
      </c>
      <c r="AN330" s="1287"/>
      <c r="AO330" s="1289"/>
      <c r="AP330" s="1369">
        <f t="shared" ca="1" si="910"/>
        <v>0</v>
      </c>
      <c r="AQ330" s="1287"/>
      <c r="AR330" s="1289"/>
      <c r="AS330" s="1369">
        <f t="shared" ca="1" si="911"/>
        <v>4549925.892306569</v>
      </c>
      <c r="AT330" s="1287"/>
      <c r="AU330" s="411"/>
      <c r="AV330" s="170"/>
      <c r="AW330" s="170"/>
      <c r="AX330" s="170"/>
      <c r="AY330" s="561" t="str">
        <f t="shared" ref="AY330:AY341" si="936">+G330</f>
        <v>Construction</v>
      </c>
      <c r="AZ330" s="561"/>
      <c r="BA330" s="562"/>
      <c r="BB330" s="170"/>
      <c r="BC330" s="562"/>
      <c r="BD330" s="566">
        <f t="shared" si="912"/>
        <v>10963.25</v>
      </c>
      <c r="BE330" s="170"/>
      <c r="BF330" s="1477"/>
      <c r="BG330" s="566">
        <f t="shared" ca="1" si="913"/>
        <v>0</v>
      </c>
      <c r="BH330" s="170"/>
      <c r="BI330" s="1477"/>
      <c r="BJ330" s="566">
        <f t="shared" ca="1" si="914"/>
        <v>0</v>
      </c>
      <c r="BK330" s="561"/>
      <c r="BL330" s="1477"/>
      <c r="BM330" s="566">
        <f t="shared" ca="1" si="915"/>
        <v>0</v>
      </c>
      <c r="BN330" s="170"/>
      <c r="BO330" s="1477"/>
      <c r="BP330" s="566">
        <f t="shared" ca="1" si="916"/>
        <v>2452522</v>
      </c>
      <c r="BQ330" s="170"/>
      <c r="BR330" s="1477"/>
      <c r="BS330" s="566">
        <f t="shared" ca="1" si="917"/>
        <v>1536865</v>
      </c>
      <c r="BT330" s="170"/>
      <c r="BU330" s="1477"/>
      <c r="BV330" s="566">
        <f t="shared" ca="1" si="918"/>
        <v>0</v>
      </c>
      <c r="BW330" s="170"/>
      <c r="BX330" s="1477"/>
      <c r="BY330" s="566">
        <f t="shared" ca="1" si="919"/>
        <v>0</v>
      </c>
      <c r="BZ330" s="170"/>
      <c r="CA330" s="1477"/>
      <c r="CB330" s="566">
        <f t="shared" ca="1" si="920"/>
        <v>0</v>
      </c>
      <c r="CC330" s="170"/>
      <c r="CD330" s="1477"/>
      <c r="CE330" s="566">
        <f t="shared" ca="1" si="921"/>
        <v>0</v>
      </c>
      <c r="CF330" s="170"/>
      <c r="CG330" s="1477"/>
      <c r="CH330" s="566">
        <f t="shared" ca="1" si="922"/>
        <v>0</v>
      </c>
      <c r="CI330" s="170"/>
      <c r="CJ330" s="562"/>
      <c r="CK330" s="566">
        <f t="shared" ca="1" si="923"/>
        <v>4000350.25</v>
      </c>
      <c r="CL330" s="566"/>
      <c r="CM330" s="170"/>
      <c r="CN330" s="170"/>
      <c r="CO330" s="382" t="str">
        <f t="shared" ref="CO330:CO341" si="937">+G330</f>
        <v>Construction</v>
      </c>
      <c r="CP330" s="382"/>
      <c r="CQ330" s="385"/>
      <c r="CR330" s="382"/>
      <c r="CS330" s="385"/>
      <c r="CT330" s="567">
        <f t="shared" si="924"/>
        <v>0</v>
      </c>
      <c r="CU330" s="382"/>
      <c r="CV330" s="385"/>
      <c r="CW330" s="567">
        <f t="shared" ca="1" si="925"/>
        <v>0</v>
      </c>
      <c r="CX330" s="382"/>
      <c r="CY330" s="385"/>
      <c r="CZ330" s="567">
        <f t="shared" ca="1" si="926"/>
        <v>0</v>
      </c>
      <c r="DA330" s="382"/>
      <c r="DB330" s="385"/>
      <c r="DC330" s="567">
        <f t="shared" ca="1" si="927"/>
        <v>0</v>
      </c>
      <c r="DD330" s="382"/>
      <c r="DE330" s="385"/>
      <c r="DF330" s="567">
        <f t="shared" ca="1" si="928"/>
        <v>305976.88962840044</v>
      </c>
      <c r="DG330" s="382"/>
      <c r="DH330" s="385"/>
      <c r="DI330" s="567">
        <f t="shared" ca="1" si="929"/>
        <v>243598.75267816824</v>
      </c>
      <c r="DJ330" s="382"/>
      <c r="DK330" s="385"/>
      <c r="DL330" s="567">
        <f t="shared" ca="1" si="930"/>
        <v>0</v>
      </c>
      <c r="DM330" s="382"/>
      <c r="DN330" s="385"/>
      <c r="DO330" s="567">
        <f t="shared" ca="1" si="931"/>
        <v>0</v>
      </c>
      <c r="DP330" s="382"/>
      <c r="DQ330" s="385"/>
      <c r="DR330" s="567">
        <f t="shared" ca="1" si="932"/>
        <v>0</v>
      </c>
      <c r="DS330" s="382"/>
      <c r="DT330" s="385"/>
      <c r="DU330" s="567">
        <f t="shared" ca="1" si="933"/>
        <v>0</v>
      </c>
      <c r="DV330" s="382"/>
      <c r="DW330" s="385"/>
      <c r="DX330" s="567">
        <f t="shared" ca="1" si="934"/>
        <v>0</v>
      </c>
      <c r="DY330" s="382"/>
      <c r="DZ330" s="385"/>
      <c r="EA330" s="567">
        <f t="shared" ca="1" si="935"/>
        <v>549575.64230656868</v>
      </c>
      <c r="EB330" s="170"/>
      <c r="EC330" s="170"/>
      <c r="ED330" s="170"/>
      <c r="EE330" s="170"/>
      <c r="EF330" s="170"/>
      <c r="EG330" s="170"/>
      <c r="EH330" s="170"/>
      <c r="EI330" s="170"/>
      <c r="EJ330" s="170"/>
      <c r="EK330" s="170"/>
    </row>
    <row r="331" spans="1:141" ht="15" x14ac:dyDescent="0.25">
      <c r="A331" s="557"/>
      <c r="B331" s="472"/>
      <c r="C331" s="424">
        <v>2</v>
      </c>
      <c r="D331" s="424"/>
      <c r="E331" s="170"/>
      <c r="F331" s="170"/>
      <c r="G331" s="1374" t="s">
        <v>94</v>
      </c>
      <c r="H331" s="1287"/>
      <c r="I331" s="1289"/>
      <c r="J331" s="1287"/>
      <c r="K331" s="1289"/>
      <c r="L331" s="1369">
        <f t="shared" si="900"/>
        <v>16424.059999999998</v>
      </c>
      <c r="M331" s="1287"/>
      <c r="N331" s="1322" t="s">
        <v>377</v>
      </c>
      <c r="O331" s="1369">
        <f t="shared" ca="1" si="901"/>
        <v>0</v>
      </c>
      <c r="P331" s="1287"/>
      <c r="Q331" s="1289"/>
      <c r="R331" s="1369">
        <f t="shared" ca="1" si="902"/>
        <v>0</v>
      </c>
      <c r="S331" s="1287"/>
      <c r="T331" s="1289"/>
      <c r="U331" s="1369">
        <f t="shared" ca="1" si="903"/>
        <v>393710</v>
      </c>
      <c r="V331" s="1287"/>
      <c r="W331" s="1289"/>
      <c r="X331" s="1369">
        <f t="shared" ca="1" si="904"/>
        <v>383976</v>
      </c>
      <c r="Y331" s="1287"/>
      <c r="Z331" s="1289"/>
      <c r="AA331" s="1369">
        <f t="shared" ca="1" si="905"/>
        <v>37882</v>
      </c>
      <c r="AB331" s="1287"/>
      <c r="AC331" s="1289"/>
      <c r="AD331" s="1369">
        <f t="shared" ca="1" si="906"/>
        <v>0</v>
      </c>
      <c r="AE331" s="1287"/>
      <c r="AF331" s="1289"/>
      <c r="AG331" s="1369">
        <f t="shared" ca="1" si="907"/>
        <v>0</v>
      </c>
      <c r="AH331" s="1287"/>
      <c r="AI331" s="1289"/>
      <c r="AJ331" s="1369">
        <f t="shared" ca="1" si="908"/>
        <v>0</v>
      </c>
      <c r="AK331" s="1287"/>
      <c r="AL331" s="1289"/>
      <c r="AM331" s="1369">
        <f t="shared" ca="1" si="909"/>
        <v>0</v>
      </c>
      <c r="AN331" s="1287"/>
      <c r="AO331" s="1289"/>
      <c r="AP331" s="1369">
        <f t="shared" ca="1" si="910"/>
        <v>0</v>
      </c>
      <c r="AQ331" s="1287"/>
      <c r="AR331" s="1289"/>
      <c r="AS331" s="1369">
        <f t="shared" ca="1" si="911"/>
        <v>831992.06</v>
      </c>
      <c r="AT331" s="1287"/>
      <c r="AU331" s="411"/>
      <c r="AV331" s="170"/>
      <c r="AW331" s="170"/>
      <c r="AX331" s="170"/>
      <c r="AY331" s="561" t="str">
        <f t="shared" si="936"/>
        <v>Engineering / Design</v>
      </c>
      <c r="AZ331" s="561"/>
      <c r="BA331" s="562"/>
      <c r="BB331" s="170"/>
      <c r="BC331" s="562"/>
      <c r="BD331" s="566">
        <f t="shared" si="912"/>
        <v>16424.059999999998</v>
      </c>
      <c r="BE331" s="170"/>
      <c r="BF331" s="1477"/>
      <c r="BG331" s="566">
        <f t="shared" ca="1" si="913"/>
        <v>0</v>
      </c>
      <c r="BH331" s="170"/>
      <c r="BI331" s="1477"/>
      <c r="BJ331" s="566">
        <f t="shared" ca="1" si="914"/>
        <v>0</v>
      </c>
      <c r="BK331" s="561"/>
      <c r="BL331" s="1477"/>
      <c r="BM331" s="566">
        <f t="shared" ca="1" si="915"/>
        <v>360542</v>
      </c>
      <c r="BN331" s="170"/>
      <c r="BO331" s="1477"/>
      <c r="BP331" s="566">
        <f t="shared" ca="1" si="916"/>
        <v>341386</v>
      </c>
      <c r="BQ331" s="170"/>
      <c r="BR331" s="1477"/>
      <c r="BS331" s="566">
        <f t="shared" ca="1" si="917"/>
        <v>32699</v>
      </c>
      <c r="BT331" s="170"/>
      <c r="BU331" s="1477"/>
      <c r="BV331" s="566">
        <f t="shared" ca="1" si="918"/>
        <v>0</v>
      </c>
      <c r="BW331" s="170"/>
      <c r="BX331" s="1477"/>
      <c r="BY331" s="566">
        <f t="shared" ca="1" si="919"/>
        <v>0</v>
      </c>
      <c r="BZ331" s="170"/>
      <c r="CA331" s="1477"/>
      <c r="CB331" s="566">
        <f t="shared" ca="1" si="920"/>
        <v>0</v>
      </c>
      <c r="CC331" s="170"/>
      <c r="CD331" s="1477"/>
      <c r="CE331" s="566">
        <f t="shared" ca="1" si="921"/>
        <v>0</v>
      </c>
      <c r="CF331" s="170"/>
      <c r="CG331" s="1477"/>
      <c r="CH331" s="566">
        <f t="shared" ca="1" si="922"/>
        <v>0</v>
      </c>
      <c r="CI331" s="170"/>
      <c r="CJ331" s="562"/>
      <c r="CK331" s="566">
        <f t="shared" ca="1" si="923"/>
        <v>751051.06</v>
      </c>
      <c r="CL331" s="566"/>
      <c r="CM331" s="170"/>
      <c r="CN331" s="170"/>
      <c r="CO331" s="382" t="str">
        <f t="shared" si="937"/>
        <v>Engineering / Design</v>
      </c>
      <c r="CP331" s="382"/>
      <c r="CQ331" s="385"/>
      <c r="CR331" s="382"/>
      <c r="CS331" s="385"/>
      <c r="CT331" s="567">
        <f t="shared" si="924"/>
        <v>0</v>
      </c>
      <c r="CU331" s="382"/>
      <c r="CV331" s="385"/>
      <c r="CW331" s="567">
        <f t="shared" ca="1" si="925"/>
        <v>0</v>
      </c>
      <c r="CX331" s="382"/>
      <c r="CY331" s="385"/>
      <c r="CZ331" s="567">
        <f t="shared" ca="1" si="926"/>
        <v>0</v>
      </c>
      <c r="DA331" s="382"/>
      <c r="DB331" s="385"/>
      <c r="DC331" s="567">
        <f t="shared" ca="1" si="927"/>
        <v>33168</v>
      </c>
      <c r="DD331" s="382"/>
      <c r="DE331" s="385"/>
      <c r="DF331" s="567">
        <f t="shared" ca="1" si="928"/>
        <v>42590</v>
      </c>
      <c r="DG331" s="382"/>
      <c r="DH331" s="385"/>
      <c r="DI331" s="567">
        <f t="shared" ca="1" si="929"/>
        <v>5183</v>
      </c>
      <c r="DJ331" s="382"/>
      <c r="DK331" s="385"/>
      <c r="DL331" s="567">
        <f t="shared" ca="1" si="930"/>
        <v>0</v>
      </c>
      <c r="DM331" s="382"/>
      <c r="DN331" s="385"/>
      <c r="DO331" s="567">
        <f t="shared" ca="1" si="931"/>
        <v>0</v>
      </c>
      <c r="DP331" s="382"/>
      <c r="DQ331" s="385"/>
      <c r="DR331" s="567">
        <f t="shared" ca="1" si="932"/>
        <v>0</v>
      </c>
      <c r="DS331" s="382"/>
      <c r="DT331" s="385"/>
      <c r="DU331" s="567">
        <f t="shared" ca="1" si="933"/>
        <v>0</v>
      </c>
      <c r="DV331" s="382"/>
      <c r="DW331" s="385"/>
      <c r="DX331" s="567">
        <f t="shared" ca="1" si="934"/>
        <v>0</v>
      </c>
      <c r="DY331" s="382"/>
      <c r="DZ331" s="385"/>
      <c r="EA331" s="567">
        <f t="shared" ca="1" si="935"/>
        <v>80941</v>
      </c>
      <c r="EB331" s="170"/>
      <c r="EC331" s="170"/>
      <c r="ED331" s="170"/>
      <c r="EE331" s="170"/>
      <c r="EF331" s="170"/>
      <c r="EG331" s="170"/>
      <c r="EH331" s="170"/>
      <c r="EI331" s="170"/>
      <c r="EJ331" s="170"/>
      <c r="EK331" s="170"/>
    </row>
    <row r="332" spans="1:141" ht="15" x14ac:dyDescent="0.25">
      <c r="A332" s="557"/>
      <c r="B332" s="472"/>
      <c r="C332" s="424">
        <v>3</v>
      </c>
      <c r="D332" s="424"/>
      <c r="E332" s="170"/>
      <c r="F332" s="170"/>
      <c r="G332" s="1374" t="s">
        <v>95</v>
      </c>
      <c r="H332" s="1287"/>
      <c r="I332" s="1289"/>
      <c r="J332" s="1287"/>
      <c r="K332" s="1289"/>
      <c r="L332" s="1369">
        <f t="shared" si="900"/>
        <v>0</v>
      </c>
      <c r="M332" s="1287"/>
      <c r="N332" s="1289"/>
      <c r="O332" s="1369">
        <f t="shared" ca="1" si="901"/>
        <v>0</v>
      </c>
      <c r="P332" s="1287"/>
      <c r="Q332" s="1289"/>
      <c r="R332" s="1369">
        <f t="shared" ca="1" si="902"/>
        <v>0</v>
      </c>
      <c r="S332" s="1287"/>
      <c r="T332" s="1289"/>
      <c r="U332" s="1369">
        <f t="shared" ca="1" si="903"/>
        <v>0</v>
      </c>
      <c r="V332" s="1287"/>
      <c r="W332" s="1289"/>
      <c r="X332" s="1369">
        <f t="shared" ca="1" si="904"/>
        <v>0</v>
      </c>
      <c r="Y332" s="1287"/>
      <c r="Z332" s="1289"/>
      <c r="AA332" s="1369">
        <f t="shared" ca="1" si="905"/>
        <v>0</v>
      </c>
      <c r="AB332" s="1287"/>
      <c r="AC332" s="1289"/>
      <c r="AD332" s="1369">
        <f t="shared" ca="1" si="906"/>
        <v>0</v>
      </c>
      <c r="AE332" s="1287"/>
      <c r="AF332" s="1289"/>
      <c r="AG332" s="1369">
        <f t="shared" ca="1" si="907"/>
        <v>0</v>
      </c>
      <c r="AH332" s="1287"/>
      <c r="AI332" s="1289"/>
      <c r="AJ332" s="1369">
        <f t="shared" ca="1" si="908"/>
        <v>0</v>
      </c>
      <c r="AK332" s="1287"/>
      <c r="AL332" s="1289"/>
      <c r="AM332" s="1369">
        <f t="shared" ca="1" si="909"/>
        <v>0</v>
      </c>
      <c r="AN332" s="1287"/>
      <c r="AO332" s="1289"/>
      <c r="AP332" s="1369">
        <f t="shared" ca="1" si="910"/>
        <v>0</v>
      </c>
      <c r="AQ332" s="1287"/>
      <c r="AR332" s="1289"/>
      <c r="AS332" s="1369">
        <f t="shared" ca="1" si="911"/>
        <v>0</v>
      </c>
      <c r="AT332" s="1287"/>
      <c r="AU332" s="411"/>
      <c r="AV332" s="170"/>
      <c r="AW332" s="170"/>
      <c r="AX332" s="170"/>
      <c r="AY332" s="561" t="str">
        <f t="shared" si="936"/>
        <v>Land</v>
      </c>
      <c r="AZ332" s="561"/>
      <c r="BA332" s="562"/>
      <c r="BB332" s="170"/>
      <c r="BC332" s="562"/>
      <c r="BD332" s="566">
        <f t="shared" si="912"/>
        <v>0</v>
      </c>
      <c r="BE332" s="170"/>
      <c r="BF332" s="1477"/>
      <c r="BG332" s="566">
        <f t="shared" ca="1" si="913"/>
        <v>0</v>
      </c>
      <c r="BH332" s="170"/>
      <c r="BI332" s="1477"/>
      <c r="BJ332" s="566">
        <f t="shared" ca="1" si="914"/>
        <v>0</v>
      </c>
      <c r="BK332" s="561"/>
      <c r="BL332" s="1477"/>
      <c r="BM332" s="566">
        <f t="shared" ca="1" si="915"/>
        <v>0</v>
      </c>
      <c r="BN332" s="170"/>
      <c r="BO332" s="1477"/>
      <c r="BP332" s="566">
        <f t="shared" ca="1" si="916"/>
        <v>0</v>
      </c>
      <c r="BQ332" s="170"/>
      <c r="BR332" s="1477"/>
      <c r="BS332" s="566">
        <f t="shared" ca="1" si="917"/>
        <v>0</v>
      </c>
      <c r="BT332" s="170"/>
      <c r="BU332" s="1477"/>
      <c r="BV332" s="566">
        <f t="shared" ca="1" si="918"/>
        <v>0</v>
      </c>
      <c r="BW332" s="170"/>
      <c r="BX332" s="1477"/>
      <c r="BY332" s="566">
        <f t="shared" ca="1" si="919"/>
        <v>0</v>
      </c>
      <c r="BZ332" s="170"/>
      <c r="CA332" s="1477"/>
      <c r="CB332" s="566">
        <f t="shared" ca="1" si="920"/>
        <v>0</v>
      </c>
      <c r="CC332" s="170"/>
      <c r="CD332" s="1477"/>
      <c r="CE332" s="566">
        <f t="shared" ca="1" si="921"/>
        <v>0</v>
      </c>
      <c r="CF332" s="170"/>
      <c r="CG332" s="1477"/>
      <c r="CH332" s="566">
        <f t="shared" ca="1" si="922"/>
        <v>0</v>
      </c>
      <c r="CI332" s="170"/>
      <c r="CJ332" s="562"/>
      <c r="CK332" s="566">
        <f t="shared" ca="1" si="923"/>
        <v>0</v>
      </c>
      <c r="CL332" s="566"/>
      <c r="CM332" s="170"/>
      <c r="CN332" s="170"/>
      <c r="CO332" s="382" t="str">
        <f t="shared" si="937"/>
        <v>Land</v>
      </c>
      <c r="CP332" s="382"/>
      <c r="CQ332" s="385"/>
      <c r="CR332" s="382"/>
      <c r="CS332" s="385"/>
      <c r="CT332" s="567">
        <f t="shared" si="924"/>
        <v>0</v>
      </c>
      <c r="CU332" s="382"/>
      <c r="CV332" s="385"/>
      <c r="CW332" s="567">
        <f t="shared" ca="1" si="925"/>
        <v>0</v>
      </c>
      <c r="CX332" s="382"/>
      <c r="CY332" s="385"/>
      <c r="CZ332" s="567">
        <f t="shared" ca="1" si="926"/>
        <v>0</v>
      </c>
      <c r="DA332" s="382"/>
      <c r="DB332" s="385"/>
      <c r="DC332" s="567">
        <f t="shared" ca="1" si="927"/>
        <v>0</v>
      </c>
      <c r="DD332" s="382"/>
      <c r="DE332" s="385"/>
      <c r="DF332" s="567">
        <f t="shared" ca="1" si="928"/>
        <v>0</v>
      </c>
      <c r="DG332" s="382"/>
      <c r="DH332" s="385"/>
      <c r="DI332" s="567">
        <f t="shared" ca="1" si="929"/>
        <v>0</v>
      </c>
      <c r="DJ332" s="382"/>
      <c r="DK332" s="385"/>
      <c r="DL332" s="567">
        <f t="shared" ca="1" si="930"/>
        <v>0</v>
      </c>
      <c r="DM332" s="382"/>
      <c r="DN332" s="385"/>
      <c r="DO332" s="567">
        <f t="shared" ca="1" si="931"/>
        <v>0</v>
      </c>
      <c r="DP332" s="382"/>
      <c r="DQ332" s="385"/>
      <c r="DR332" s="567">
        <f t="shared" ca="1" si="932"/>
        <v>0</v>
      </c>
      <c r="DS332" s="382"/>
      <c r="DT332" s="385"/>
      <c r="DU332" s="567">
        <f t="shared" ca="1" si="933"/>
        <v>0</v>
      </c>
      <c r="DV332" s="382"/>
      <c r="DW332" s="385"/>
      <c r="DX332" s="567">
        <f t="shared" ca="1" si="934"/>
        <v>0</v>
      </c>
      <c r="DY332" s="382"/>
      <c r="DZ332" s="385"/>
      <c r="EA332" s="567">
        <f t="shared" ca="1" si="935"/>
        <v>0</v>
      </c>
      <c r="EB332" s="170"/>
      <c r="EC332" s="170"/>
      <c r="ED332" s="170"/>
      <c r="EE332" s="170"/>
      <c r="EF332" s="170"/>
      <c r="EG332" s="170"/>
      <c r="EH332" s="170"/>
      <c r="EI332" s="170"/>
      <c r="EJ332" s="170"/>
      <c r="EK332" s="170"/>
    </row>
    <row r="333" spans="1:141" ht="15" x14ac:dyDescent="0.25">
      <c r="A333" s="557"/>
      <c r="B333" s="472"/>
      <c r="C333" s="424">
        <v>4</v>
      </c>
      <c r="D333" s="424"/>
      <c r="E333" s="170"/>
      <c r="F333" s="170"/>
      <c r="G333" s="1374" t="s">
        <v>38</v>
      </c>
      <c r="H333" s="1287"/>
      <c r="I333" s="1289"/>
      <c r="J333" s="1287"/>
      <c r="K333" s="1289"/>
      <c r="L333" s="1369">
        <f t="shared" si="900"/>
        <v>2358</v>
      </c>
      <c r="M333" s="1287"/>
      <c r="N333" s="1289"/>
      <c r="O333" s="1369">
        <f t="shared" ca="1" si="901"/>
        <v>0</v>
      </c>
      <c r="P333" s="1287"/>
      <c r="Q333" s="1289"/>
      <c r="R333" s="1369">
        <f t="shared" ca="1" si="902"/>
        <v>0</v>
      </c>
      <c r="S333" s="1287"/>
      <c r="T333" s="1289"/>
      <c r="U333" s="1369">
        <f t="shared" ca="1" si="903"/>
        <v>9639967.5745999999</v>
      </c>
      <c r="V333" s="1287"/>
      <c r="W333" s="1289"/>
      <c r="X333" s="1369">
        <f t="shared" ca="1" si="904"/>
        <v>9941166.6018380001</v>
      </c>
      <c r="Y333" s="1287"/>
      <c r="Z333" s="1289"/>
      <c r="AA333" s="1369">
        <f t="shared" ca="1" si="905"/>
        <v>8240</v>
      </c>
      <c r="AB333" s="1287"/>
      <c r="AC333" s="1289"/>
      <c r="AD333" s="1369">
        <f t="shared" ca="1" si="906"/>
        <v>0</v>
      </c>
      <c r="AE333" s="1287"/>
      <c r="AF333" s="1289"/>
      <c r="AG333" s="1369">
        <f t="shared" ca="1" si="907"/>
        <v>0</v>
      </c>
      <c r="AH333" s="1287"/>
      <c r="AI333" s="1289"/>
      <c r="AJ333" s="1369">
        <f t="shared" ca="1" si="908"/>
        <v>0</v>
      </c>
      <c r="AK333" s="1287"/>
      <c r="AL333" s="1289"/>
      <c r="AM333" s="1369">
        <f t="shared" ca="1" si="909"/>
        <v>0</v>
      </c>
      <c r="AN333" s="1287"/>
      <c r="AO333" s="1289"/>
      <c r="AP333" s="1369">
        <f t="shared" ca="1" si="910"/>
        <v>0</v>
      </c>
      <c r="AQ333" s="1287"/>
      <c r="AR333" s="1289"/>
      <c r="AS333" s="1369">
        <f t="shared" ca="1" si="911"/>
        <v>19591732.176438</v>
      </c>
      <c r="AT333" s="1287"/>
      <c r="AU333" s="411"/>
      <c r="AV333" s="170"/>
      <c r="AW333" s="170"/>
      <c r="AX333" s="170"/>
      <c r="AY333" s="561" t="str">
        <f t="shared" si="936"/>
        <v>Material</v>
      </c>
      <c r="AZ333" s="561"/>
      <c r="BA333" s="562"/>
      <c r="BB333" s="170"/>
      <c r="BC333" s="562"/>
      <c r="BD333" s="566">
        <f t="shared" si="912"/>
        <v>2358</v>
      </c>
      <c r="BE333" s="170"/>
      <c r="BF333" s="1477"/>
      <c r="BG333" s="566">
        <f t="shared" ca="1" si="913"/>
        <v>0</v>
      </c>
      <c r="BH333" s="170"/>
      <c r="BI333" s="1477"/>
      <c r="BJ333" s="566">
        <f t="shared" ca="1" si="914"/>
        <v>0</v>
      </c>
      <c r="BK333" s="561"/>
      <c r="BL333" s="1477"/>
      <c r="BM333" s="566">
        <f t="shared" ca="1" si="915"/>
        <v>9086594</v>
      </c>
      <c r="BN333" s="170"/>
      <c r="BO333" s="1477"/>
      <c r="BP333" s="566">
        <f t="shared" ca="1" si="916"/>
        <v>9097263</v>
      </c>
      <c r="BQ333" s="170"/>
      <c r="BR333" s="1477"/>
      <c r="BS333" s="566">
        <f t="shared" ca="1" si="917"/>
        <v>7113</v>
      </c>
      <c r="BT333" s="170"/>
      <c r="BU333" s="1477"/>
      <c r="BV333" s="566">
        <f t="shared" ca="1" si="918"/>
        <v>0</v>
      </c>
      <c r="BW333" s="170"/>
      <c r="BX333" s="1477"/>
      <c r="BY333" s="566">
        <f t="shared" ca="1" si="919"/>
        <v>0</v>
      </c>
      <c r="BZ333" s="170"/>
      <c r="CA333" s="1477"/>
      <c r="CB333" s="566">
        <f t="shared" ca="1" si="920"/>
        <v>0</v>
      </c>
      <c r="CC333" s="170"/>
      <c r="CD333" s="1477"/>
      <c r="CE333" s="566">
        <f t="shared" ca="1" si="921"/>
        <v>0</v>
      </c>
      <c r="CF333" s="170"/>
      <c r="CG333" s="1477"/>
      <c r="CH333" s="566">
        <f t="shared" ca="1" si="922"/>
        <v>0</v>
      </c>
      <c r="CI333" s="170"/>
      <c r="CJ333" s="562"/>
      <c r="CK333" s="566">
        <f t="shared" ca="1" si="923"/>
        <v>18193328</v>
      </c>
      <c r="CL333" s="566"/>
      <c r="CM333" s="170"/>
      <c r="CN333" s="170"/>
      <c r="CO333" s="382" t="str">
        <f t="shared" si="937"/>
        <v>Material</v>
      </c>
      <c r="CP333" s="382"/>
      <c r="CQ333" s="385"/>
      <c r="CR333" s="382"/>
      <c r="CS333" s="385"/>
      <c r="CT333" s="567">
        <f t="shared" si="924"/>
        <v>0</v>
      </c>
      <c r="CU333" s="382"/>
      <c r="CV333" s="385"/>
      <c r="CW333" s="567">
        <f t="shared" ca="1" si="925"/>
        <v>0</v>
      </c>
      <c r="CX333" s="382"/>
      <c r="CY333" s="385"/>
      <c r="CZ333" s="567">
        <f t="shared" ca="1" si="926"/>
        <v>0</v>
      </c>
      <c r="DA333" s="382"/>
      <c r="DB333" s="385"/>
      <c r="DC333" s="567">
        <f t="shared" ca="1" si="927"/>
        <v>553373.57459999959</v>
      </c>
      <c r="DD333" s="382"/>
      <c r="DE333" s="385"/>
      <c r="DF333" s="567">
        <f t="shared" ca="1" si="928"/>
        <v>843903.601838</v>
      </c>
      <c r="DG333" s="382"/>
      <c r="DH333" s="385"/>
      <c r="DI333" s="567">
        <f t="shared" ca="1" si="929"/>
        <v>1127</v>
      </c>
      <c r="DJ333" s="382"/>
      <c r="DK333" s="385"/>
      <c r="DL333" s="567">
        <f t="shared" ca="1" si="930"/>
        <v>0</v>
      </c>
      <c r="DM333" s="382"/>
      <c r="DN333" s="385"/>
      <c r="DO333" s="567">
        <f t="shared" ca="1" si="931"/>
        <v>0</v>
      </c>
      <c r="DP333" s="382"/>
      <c r="DQ333" s="385"/>
      <c r="DR333" s="567">
        <f t="shared" ca="1" si="932"/>
        <v>0</v>
      </c>
      <c r="DS333" s="382"/>
      <c r="DT333" s="385"/>
      <c r="DU333" s="567">
        <f t="shared" ca="1" si="933"/>
        <v>0</v>
      </c>
      <c r="DV333" s="382"/>
      <c r="DW333" s="385"/>
      <c r="DX333" s="567">
        <f t="shared" ca="1" si="934"/>
        <v>0</v>
      </c>
      <c r="DY333" s="382"/>
      <c r="DZ333" s="385"/>
      <c r="EA333" s="567">
        <f t="shared" ca="1" si="935"/>
        <v>1398404.1764379996</v>
      </c>
      <c r="EB333" s="170"/>
      <c r="EC333" s="170"/>
      <c r="ED333" s="170"/>
      <c r="EE333" s="170"/>
      <c r="EF333" s="170"/>
      <c r="EG333" s="170"/>
      <c r="EH333" s="170"/>
      <c r="EI333" s="170"/>
      <c r="EJ333" s="170"/>
      <c r="EK333" s="170"/>
    </row>
    <row r="334" spans="1:141" ht="15" x14ac:dyDescent="0.25">
      <c r="A334" s="557"/>
      <c r="B334" s="472"/>
      <c r="C334" s="424">
        <v>5</v>
      </c>
      <c r="D334" s="424"/>
      <c r="E334" s="170"/>
      <c r="F334" s="170"/>
      <c r="G334" s="1374" t="s">
        <v>381</v>
      </c>
      <c r="H334" s="1287"/>
      <c r="I334" s="1289"/>
      <c r="J334" s="1287"/>
      <c r="K334" s="1289"/>
      <c r="L334" s="1369">
        <f t="shared" si="900"/>
        <v>104180.09</v>
      </c>
      <c r="M334" s="1287"/>
      <c r="N334" s="1289"/>
      <c r="O334" s="1369">
        <f t="shared" ca="1" si="901"/>
        <v>3917</v>
      </c>
      <c r="P334" s="1287"/>
      <c r="Q334" s="1289"/>
      <c r="R334" s="1369">
        <f t="shared" ca="1" si="902"/>
        <v>7980</v>
      </c>
      <c r="S334" s="1287"/>
      <c r="T334" s="1289"/>
      <c r="U334" s="1369">
        <f t="shared" ca="1" si="903"/>
        <v>733800</v>
      </c>
      <c r="V334" s="1287"/>
      <c r="W334" s="1289"/>
      <c r="X334" s="1369">
        <f t="shared" ca="1" si="904"/>
        <v>1548849</v>
      </c>
      <c r="Y334" s="1287"/>
      <c r="Z334" s="1289"/>
      <c r="AA334" s="1369">
        <f t="shared" ca="1" si="905"/>
        <v>547669</v>
      </c>
      <c r="AB334" s="1287"/>
      <c r="AC334" s="1289"/>
      <c r="AD334" s="1369">
        <f t="shared" ca="1" si="906"/>
        <v>0</v>
      </c>
      <c r="AE334" s="1287"/>
      <c r="AF334" s="1289"/>
      <c r="AG334" s="1369">
        <f t="shared" ca="1" si="907"/>
        <v>0</v>
      </c>
      <c r="AH334" s="1287"/>
      <c r="AI334" s="1289"/>
      <c r="AJ334" s="1369">
        <f t="shared" ca="1" si="908"/>
        <v>0</v>
      </c>
      <c r="AK334" s="1287"/>
      <c r="AL334" s="1289"/>
      <c r="AM334" s="1369">
        <f t="shared" ca="1" si="909"/>
        <v>0</v>
      </c>
      <c r="AN334" s="1287"/>
      <c r="AO334" s="1289"/>
      <c r="AP334" s="1369">
        <f t="shared" ca="1" si="910"/>
        <v>0</v>
      </c>
      <c r="AQ334" s="1287"/>
      <c r="AR334" s="1289"/>
      <c r="AS334" s="1369">
        <f t="shared" ca="1" si="911"/>
        <v>2946395.09</v>
      </c>
      <c r="AT334" s="1287"/>
      <c r="AU334" s="411"/>
      <c r="AV334" s="170"/>
      <c r="AW334" s="170"/>
      <c r="AX334" s="170"/>
      <c r="AY334" s="561" t="str">
        <f t="shared" si="936"/>
        <v>Proj. mgmt. and supt</v>
      </c>
      <c r="AZ334" s="561"/>
      <c r="BA334" s="562"/>
      <c r="BB334" s="170"/>
      <c r="BC334" s="562"/>
      <c r="BD334" s="566">
        <f t="shared" si="912"/>
        <v>104180.09</v>
      </c>
      <c r="BE334" s="170"/>
      <c r="BF334" s="1477"/>
      <c r="BG334" s="566">
        <f t="shared" ca="1" si="913"/>
        <v>3917.23</v>
      </c>
      <c r="BH334" s="170"/>
      <c r="BI334" s="1477"/>
      <c r="BJ334" s="566">
        <f t="shared" ca="1" si="914"/>
        <v>7600</v>
      </c>
      <c r="BK334" s="561"/>
      <c r="BL334" s="1477"/>
      <c r="BM334" s="566">
        <f t="shared" ca="1" si="915"/>
        <v>671978</v>
      </c>
      <c r="BN334" s="170"/>
      <c r="BO334" s="1477"/>
      <c r="BP334" s="566">
        <f t="shared" ca="1" si="916"/>
        <v>1377048.5572899999</v>
      </c>
      <c r="BQ334" s="170"/>
      <c r="BR334" s="1477"/>
      <c r="BS334" s="566">
        <f t="shared" ca="1" si="917"/>
        <v>472739.39199999999</v>
      </c>
      <c r="BT334" s="170"/>
      <c r="BU334" s="1477"/>
      <c r="BV334" s="566">
        <f t="shared" ca="1" si="918"/>
        <v>0</v>
      </c>
      <c r="BW334" s="170"/>
      <c r="BX334" s="1477"/>
      <c r="BY334" s="566">
        <f t="shared" ca="1" si="919"/>
        <v>0</v>
      </c>
      <c r="BZ334" s="170"/>
      <c r="CA334" s="1477"/>
      <c r="CB334" s="566">
        <f t="shared" ca="1" si="920"/>
        <v>0</v>
      </c>
      <c r="CC334" s="170"/>
      <c r="CD334" s="1477"/>
      <c r="CE334" s="566">
        <f t="shared" ca="1" si="921"/>
        <v>0</v>
      </c>
      <c r="CF334" s="170"/>
      <c r="CG334" s="1477"/>
      <c r="CH334" s="566">
        <f t="shared" ca="1" si="922"/>
        <v>0</v>
      </c>
      <c r="CI334" s="170"/>
      <c r="CJ334" s="562"/>
      <c r="CK334" s="566">
        <f t="shared" ca="1" si="923"/>
        <v>2637463.2692900002</v>
      </c>
      <c r="CL334" s="566"/>
      <c r="CM334" s="170"/>
      <c r="CN334" s="170"/>
      <c r="CO334" s="382" t="str">
        <f t="shared" si="937"/>
        <v>Proj. mgmt. and supt</v>
      </c>
      <c r="CP334" s="382"/>
      <c r="CQ334" s="385"/>
      <c r="CR334" s="382"/>
      <c r="CS334" s="385"/>
      <c r="CT334" s="567">
        <f t="shared" si="924"/>
        <v>0</v>
      </c>
      <c r="CU334" s="382"/>
      <c r="CV334" s="385"/>
      <c r="CW334" s="567">
        <f t="shared" ca="1" si="925"/>
        <v>-0.23000000000001819</v>
      </c>
      <c r="CX334" s="382"/>
      <c r="CY334" s="385"/>
      <c r="CZ334" s="567">
        <f t="shared" ca="1" si="926"/>
        <v>380</v>
      </c>
      <c r="DA334" s="382"/>
      <c r="DB334" s="385"/>
      <c r="DC334" s="567">
        <f t="shared" ca="1" si="927"/>
        <v>61822</v>
      </c>
      <c r="DD334" s="382"/>
      <c r="DE334" s="385"/>
      <c r="DF334" s="567">
        <f t="shared" ca="1" si="928"/>
        <v>171800.44270999997</v>
      </c>
      <c r="DG334" s="382"/>
      <c r="DH334" s="385"/>
      <c r="DI334" s="567">
        <f t="shared" ca="1" si="929"/>
        <v>74929.608000000007</v>
      </c>
      <c r="DJ334" s="382"/>
      <c r="DK334" s="385"/>
      <c r="DL334" s="567">
        <f t="shared" ca="1" si="930"/>
        <v>0</v>
      </c>
      <c r="DM334" s="382"/>
      <c r="DN334" s="385"/>
      <c r="DO334" s="567">
        <f t="shared" ca="1" si="931"/>
        <v>0</v>
      </c>
      <c r="DP334" s="382"/>
      <c r="DQ334" s="385"/>
      <c r="DR334" s="567">
        <f t="shared" ca="1" si="932"/>
        <v>0</v>
      </c>
      <c r="DS334" s="382"/>
      <c r="DT334" s="385"/>
      <c r="DU334" s="567">
        <f t="shared" ca="1" si="933"/>
        <v>0</v>
      </c>
      <c r="DV334" s="382"/>
      <c r="DW334" s="385"/>
      <c r="DX334" s="567">
        <f t="shared" ca="1" si="934"/>
        <v>0</v>
      </c>
      <c r="DY334" s="382"/>
      <c r="DZ334" s="385"/>
      <c r="EA334" s="567">
        <f t="shared" ca="1" si="935"/>
        <v>308931.82071</v>
      </c>
      <c r="EB334" s="170"/>
      <c r="EC334" s="170"/>
      <c r="ED334" s="170"/>
      <c r="EE334" s="170"/>
      <c r="EF334" s="170"/>
      <c r="EG334" s="170"/>
      <c r="EH334" s="170"/>
      <c r="EI334" s="170"/>
      <c r="EJ334" s="170"/>
      <c r="EK334" s="170"/>
    </row>
    <row r="335" spans="1:141" ht="15" x14ac:dyDescent="0.25">
      <c r="A335" s="557"/>
      <c r="B335" s="472"/>
      <c r="C335" s="424">
        <v>6</v>
      </c>
      <c r="D335" s="424"/>
      <c r="E335" s="170"/>
      <c r="F335" s="170"/>
      <c r="G335" s="1374" t="s">
        <v>382</v>
      </c>
      <c r="H335" s="1287"/>
      <c r="I335" s="1289"/>
      <c r="J335" s="1287"/>
      <c r="K335" s="1289"/>
      <c r="L335" s="1369">
        <f t="shared" si="900"/>
        <v>0</v>
      </c>
      <c r="M335" s="1287"/>
      <c r="N335" s="1289"/>
      <c r="O335" s="1369">
        <f t="shared" ca="1" si="901"/>
        <v>0</v>
      </c>
      <c r="P335" s="1287"/>
      <c r="Q335" s="1289"/>
      <c r="R335" s="1369">
        <f t="shared" ca="1" si="902"/>
        <v>0</v>
      </c>
      <c r="S335" s="1287"/>
      <c r="T335" s="1289"/>
      <c r="U335" s="1369">
        <f t="shared" ca="1" si="903"/>
        <v>0</v>
      </c>
      <c r="V335" s="1287"/>
      <c r="W335" s="1289"/>
      <c r="X335" s="1369">
        <f t="shared" ca="1" si="904"/>
        <v>0</v>
      </c>
      <c r="Y335" s="1287"/>
      <c r="Z335" s="1289"/>
      <c r="AA335" s="1369">
        <f t="shared" ca="1" si="905"/>
        <v>0</v>
      </c>
      <c r="AB335" s="1287"/>
      <c r="AC335" s="1289"/>
      <c r="AD335" s="1369">
        <f t="shared" ca="1" si="906"/>
        <v>0</v>
      </c>
      <c r="AE335" s="1287"/>
      <c r="AF335" s="1289"/>
      <c r="AG335" s="1369">
        <f t="shared" ca="1" si="907"/>
        <v>0</v>
      </c>
      <c r="AH335" s="1287"/>
      <c r="AI335" s="1289"/>
      <c r="AJ335" s="1369">
        <f t="shared" ca="1" si="908"/>
        <v>0</v>
      </c>
      <c r="AK335" s="1287"/>
      <c r="AL335" s="1289"/>
      <c r="AM335" s="1369">
        <f t="shared" ca="1" si="909"/>
        <v>0</v>
      </c>
      <c r="AN335" s="1287"/>
      <c r="AO335" s="1289"/>
      <c r="AP335" s="1369">
        <f t="shared" ca="1" si="910"/>
        <v>0</v>
      </c>
      <c r="AQ335" s="1287"/>
      <c r="AR335" s="1289"/>
      <c r="AS335" s="1369">
        <f t="shared" ca="1" si="911"/>
        <v>0</v>
      </c>
      <c r="AT335" s="1287"/>
      <c r="AU335" s="411"/>
      <c r="AV335" s="170"/>
      <c r="AW335" s="170"/>
      <c r="AX335" s="170"/>
      <c r="AY335" s="561" t="str">
        <f t="shared" si="936"/>
        <v>removal</v>
      </c>
      <c r="AZ335" s="561"/>
      <c r="BA335" s="562"/>
      <c r="BB335" s="170"/>
      <c r="BC335" s="562"/>
      <c r="BD335" s="566">
        <f t="shared" si="912"/>
        <v>0</v>
      </c>
      <c r="BE335" s="170"/>
      <c r="BF335" s="1477"/>
      <c r="BG335" s="566">
        <f t="shared" ca="1" si="913"/>
        <v>0</v>
      </c>
      <c r="BH335" s="170"/>
      <c r="BI335" s="1477"/>
      <c r="BJ335" s="566">
        <f t="shared" ca="1" si="914"/>
        <v>0</v>
      </c>
      <c r="BK335" s="561"/>
      <c r="BL335" s="1477"/>
      <c r="BM335" s="566">
        <f t="shared" ca="1" si="915"/>
        <v>0</v>
      </c>
      <c r="BN335" s="170"/>
      <c r="BO335" s="1477"/>
      <c r="BP335" s="566">
        <f t="shared" ca="1" si="916"/>
        <v>0</v>
      </c>
      <c r="BQ335" s="170"/>
      <c r="BR335" s="1477"/>
      <c r="BS335" s="566">
        <f t="shared" ca="1" si="917"/>
        <v>0</v>
      </c>
      <c r="BT335" s="170"/>
      <c r="BU335" s="1477"/>
      <c r="BV335" s="566">
        <f t="shared" ca="1" si="918"/>
        <v>0</v>
      </c>
      <c r="BW335" s="170"/>
      <c r="BX335" s="1477"/>
      <c r="BY335" s="566">
        <f t="shared" ca="1" si="919"/>
        <v>0</v>
      </c>
      <c r="BZ335" s="170"/>
      <c r="CA335" s="1477"/>
      <c r="CB335" s="566">
        <f t="shared" ca="1" si="920"/>
        <v>0</v>
      </c>
      <c r="CC335" s="170"/>
      <c r="CD335" s="1477"/>
      <c r="CE335" s="566">
        <f t="shared" ca="1" si="921"/>
        <v>0</v>
      </c>
      <c r="CF335" s="170"/>
      <c r="CG335" s="1477"/>
      <c r="CH335" s="566">
        <f t="shared" ca="1" si="922"/>
        <v>0</v>
      </c>
      <c r="CI335" s="170"/>
      <c r="CJ335" s="562"/>
      <c r="CK335" s="566">
        <f t="shared" ca="1" si="923"/>
        <v>0</v>
      </c>
      <c r="CL335" s="566"/>
      <c r="CM335" s="170"/>
      <c r="CN335" s="170"/>
      <c r="CO335" s="382" t="str">
        <f t="shared" si="937"/>
        <v>removal</v>
      </c>
      <c r="CP335" s="382"/>
      <c r="CQ335" s="385"/>
      <c r="CR335" s="382"/>
      <c r="CS335" s="385"/>
      <c r="CT335" s="567">
        <f t="shared" si="924"/>
        <v>0</v>
      </c>
      <c r="CU335" s="382"/>
      <c r="CV335" s="385"/>
      <c r="CW335" s="567">
        <f t="shared" ca="1" si="925"/>
        <v>0</v>
      </c>
      <c r="CX335" s="382"/>
      <c r="CY335" s="385"/>
      <c r="CZ335" s="567">
        <f t="shared" ca="1" si="926"/>
        <v>0</v>
      </c>
      <c r="DA335" s="382"/>
      <c r="DB335" s="385"/>
      <c r="DC335" s="567">
        <f t="shared" ca="1" si="927"/>
        <v>0</v>
      </c>
      <c r="DD335" s="382"/>
      <c r="DE335" s="385"/>
      <c r="DF335" s="567">
        <f t="shared" ca="1" si="928"/>
        <v>0</v>
      </c>
      <c r="DG335" s="382"/>
      <c r="DH335" s="385"/>
      <c r="DI335" s="567">
        <f t="shared" ca="1" si="929"/>
        <v>0</v>
      </c>
      <c r="DJ335" s="382"/>
      <c r="DK335" s="385"/>
      <c r="DL335" s="567">
        <f t="shared" ca="1" si="930"/>
        <v>0</v>
      </c>
      <c r="DM335" s="382"/>
      <c r="DN335" s="385"/>
      <c r="DO335" s="567">
        <f t="shared" ca="1" si="931"/>
        <v>0</v>
      </c>
      <c r="DP335" s="382"/>
      <c r="DQ335" s="385"/>
      <c r="DR335" s="567">
        <f t="shared" ca="1" si="932"/>
        <v>0</v>
      </c>
      <c r="DS335" s="382"/>
      <c r="DT335" s="385"/>
      <c r="DU335" s="567">
        <f t="shared" ca="1" si="933"/>
        <v>0</v>
      </c>
      <c r="DV335" s="382"/>
      <c r="DW335" s="385"/>
      <c r="DX335" s="567">
        <f t="shared" ca="1" si="934"/>
        <v>0</v>
      </c>
      <c r="DY335" s="382"/>
      <c r="DZ335" s="385"/>
      <c r="EA335" s="567">
        <f t="shared" ca="1" si="935"/>
        <v>0</v>
      </c>
      <c r="EB335" s="170"/>
      <c r="EC335" s="170"/>
      <c r="ED335" s="170"/>
      <c r="EE335" s="170"/>
      <c r="EF335" s="170"/>
      <c r="EG335" s="170"/>
      <c r="EH335" s="170"/>
      <c r="EI335" s="170"/>
      <c r="EJ335" s="170"/>
      <c r="EK335" s="170"/>
    </row>
    <row r="336" spans="1:141" ht="15" x14ac:dyDescent="0.25">
      <c r="A336" s="557"/>
      <c r="B336" s="472"/>
      <c r="C336" s="424">
        <v>7</v>
      </c>
      <c r="D336" s="424"/>
      <c r="E336" s="170"/>
      <c r="F336" s="170"/>
      <c r="G336" s="1374" t="s">
        <v>383</v>
      </c>
      <c r="H336" s="1287"/>
      <c r="I336" s="1289"/>
      <c r="J336" s="1287"/>
      <c r="K336" s="1289"/>
      <c r="L336" s="1369">
        <f t="shared" si="900"/>
        <v>0</v>
      </c>
      <c r="M336" s="1287"/>
      <c r="N336" s="1289"/>
      <c r="O336" s="1369">
        <f t="shared" si="901"/>
        <v>0</v>
      </c>
      <c r="P336" s="1287"/>
      <c r="Q336" s="1289"/>
      <c r="R336" s="1369">
        <f t="shared" si="902"/>
        <v>0</v>
      </c>
      <c r="S336" s="1287"/>
      <c r="T336" s="1289"/>
      <c r="U336" s="1369">
        <f t="shared" si="903"/>
        <v>0</v>
      </c>
      <c r="V336" s="1287"/>
      <c r="W336" s="1289"/>
      <c r="X336" s="1369">
        <f t="shared" si="904"/>
        <v>311502</v>
      </c>
      <c r="Y336" s="1287"/>
      <c r="Z336" s="1289"/>
      <c r="AA336" s="1369">
        <f t="shared" si="905"/>
        <v>752332</v>
      </c>
      <c r="AB336" s="1287"/>
      <c r="AC336" s="1289"/>
      <c r="AD336" s="1369">
        <f t="shared" si="906"/>
        <v>0</v>
      </c>
      <c r="AE336" s="1287"/>
      <c r="AF336" s="1289"/>
      <c r="AG336" s="1369">
        <f t="shared" si="907"/>
        <v>0</v>
      </c>
      <c r="AH336" s="1287"/>
      <c r="AI336" s="1289"/>
      <c r="AJ336" s="1369">
        <f t="shared" si="908"/>
        <v>0</v>
      </c>
      <c r="AK336" s="1287"/>
      <c r="AL336" s="1289"/>
      <c r="AM336" s="1369">
        <f t="shared" si="909"/>
        <v>0</v>
      </c>
      <c r="AN336" s="1287"/>
      <c r="AO336" s="1289"/>
      <c r="AP336" s="1369">
        <f t="shared" si="910"/>
        <v>0</v>
      </c>
      <c r="AQ336" s="1287"/>
      <c r="AR336" s="1289"/>
      <c r="AS336" s="1369">
        <f t="shared" si="911"/>
        <v>1063834</v>
      </c>
      <c r="AT336" s="1287"/>
      <c r="AU336" s="411"/>
      <c r="AV336" s="170"/>
      <c r="AW336" s="170"/>
      <c r="AX336" s="170"/>
      <c r="AY336" s="561" t="str">
        <f t="shared" si="936"/>
        <v>test</v>
      </c>
      <c r="AZ336" s="561"/>
      <c r="BA336" s="562"/>
      <c r="BB336" s="170"/>
      <c r="BC336" s="562"/>
      <c r="BD336" s="566">
        <f t="shared" si="912"/>
        <v>0</v>
      </c>
      <c r="BE336" s="170"/>
      <c r="BF336" s="1477"/>
      <c r="BG336" s="566">
        <f t="shared" si="913"/>
        <v>0</v>
      </c>
      <c r="BH336" s="170"/>
      <c r="BI336" s="1477"/>
      <c r="BJ336" s="566">
        <f t="shared" si="914"/>
        <v>0</v>
      </c>
      <c r="BK336" s="561"/>
      <c r="BL336" s="1477"/>
      <c r="BM336" s="566">
        <f t="shared" si="915"/>
        <v>0</v>
      </c>
      <c r="BN336" s="170"/>
      <c r="BO336" s="1477"/>
      <c r="BP336" s="566">
        <f t="shared" si="916"/>
        <v>276950</v>
      </c>
      <c r="BQ336" s="170"/>
      <c r="BR336" s="1477"/>
      <c r="BS336" s="566">
        <f t="shared" si="917"/>
        <v>649400</v>
      </c>
      <c r="BT336" s="170"/>
      <c r="BU336" s="1477"/>
      <c r="BV336" s="566">
        <f t="shared" si="918"/>
        <v>0</v>
      </c>
      <c r="BW336" s="170"/>
      <c r="BX336" s="1477"/>
      <c r="BY336" s="566">
        <f t="shared" si="919"/>
        <v>0</v>
      </c>
      <c r="BZ336" s="170"/>
      <c r="CA336" s="1477"/>
      <c r="CB336" s="566">
        <f t="shared" si="920"/>
        <v>0</v>
      </c>
      <c r="CC336" s="170"/>
      <c r="CD336" s="1477"/>
      <c r="CE336" s="566">
        <f t="shared" si="921"/>
        <v>0</v>
      </c>
      <c r="CF336" s="170"/>
      <c r="CG336" s="1477"/>
      <c r="CH336" s="566">
        <f t="shared" si="922"/>
        <v>0</v>
      </c>
      <c r="CI336" s="170"/>
      <c r="CJ336" s="562"/>
      <c r="CK336" s="566">
        <f t="shared" si="923"/>
        <v>926350</v>
      </c>
      <c r="CL336" s="566"/>
      <c r="CM336" s="170"/>
      <c r="CN336" s="170"/>
      <c r="CO336" s="382" t="str">
        <f t="shared" si="937"/>
        <v>test</v>
      </c>
      <c r="CP336" s="382"/>
      <c r="CQ336" s="385"/>
      <c r="CR336" s="382"/>
      <c r="CS336" s="385"/>
      <c r="CT336" s="567">
        <f t="shared" si="924"/>
        <v>0</v>
      </c>
      <c r="CU336" s="382"/>
      <c r="CV336" s="385"/>
      <c r="CW336" s="567">
        <f t="shared" si="925"/>
        <v>0</v>
      </c>
      <c r="CX336" s="382"/>
      <c r="CY336" s="385"/>
      <c r="CZ336" s="567">
        <f t="shared" si="926"/>
        <v>0</v>
      </c>
      <c r="DA336" s="382"/>
      <c r="DB336" s="385"/>
      <c r="DC336" s="567">
        <f t="shared" si="927"/>
        <v>0</v>
      </c>
      <c r="DD336" s="382"/>
      <c r="DE336" s="385"/>
      <c r="DF336" s="567">
        <f t="shared" si="928"/>
        <v>34552</v>
      </c>
      <c r="DG336" s="382"/>
      <c r="DH336" s="385"/>
      <c r="DI336" s="567">
        <f t="shared" si="929"/>
        <v>102932</v>
      </c>
      <c r="DJ336" s="382"/>
      <c r="DK336" s="385"/>
      <c r="DL336" s="567">
        <f t="shared" si="930"/>
        <v>0</v>
      </c>
      <c r="DM336" s="382"/>
      <c r="DN336" s="385"/>
      <c r="DO336" s="567">
        <f t="shared" si="931"/>
        <v>0</v>
      </c>
      <c r="DP336" s="382"/>
      <c r="DQ336" s="385"/>
      <c r="DR336" s="567">
        <f t="shared" si="932"/>
        <v>0</v>
      </c>
      <c r="DS336" s="382"/>
      <c r="DT336" s="385"/>
      <c r="DU336" s="567">
        <f t="shared" si="933"/>
        <v>0</v>
      </c>
      <c r="DV336" s="382"/>
      <c r="DW336" s="385"/>
      <c r="DX336" s="567">
        <f t="shared" si="934"/>
        <v>0</v>
      </c>
      <c r="DY336" s="382"/>
      <c r="DZ336" s="385"/>
      <c r="EA336" s="567">
        <f t="shared" si="935"/>
        <v>137484</v>
      </c>
      <c r="EB336" s="170"/>
      <c r="EC336" s="170"/>
      <c r="ED336" s="170"/>
      <c r="EE336" s="170"/>
      <c r="EF336" s="170"/>
      <c r="EG336" s="170"/>
      <c r="EH336" s="170"/>
      <c r="EI336" s="170"/>
      <c r="EJ336" s="170"/>
      <c r="EK336" s="170"/>
    </row>
    <row r="337" spans="1:141" ht="15" x14ac:dyDescent="0.25">
      <c r="A337" s="557"/>
      <c r="B337" s="472"/>
      <c r="C337" s="424">
        <v>8</v>
      </c>
      <c r="D337" s="424"/>
      <c r="E337" s="170"/>
      <c r="F337" s="170"/>
      <c r="G337" s="1374" t="s">
        <v>384</v>
      </c>
      <c r="H337" s="1287"/>
      <c r="I337" s="1289"/>
      <c r="J337" s="1287"/>
      <c r="K337" s="1289"/>
      <c r="L337" s="1369">
        <f t="shared" si="900"/>
        <v>7511.24</v>
      </c>
      <c r="M337" s="1287"/>
      <c r="N337" s="1289"/>
      <c r="O337" s="1369">
        <f t="shared" ca="1" si="901"/>
        <v>0</v>
      </c>
      <c r="P337" s="1287"/>
      <c r="Q337" s="1289"/>
      <c r="R337" s="1369">
        <f t="shared" ca="1" si="902"/>
        <v>0</v>
      </c>
      <c r="S337" s="1287"/>
      <c r="T337" s="1289"/>
      <c r="U337" s="1369">
        <f t="shared" ca="1" si="903"/>
        <v>1675869.3851165469</v>
      </c>
      <c r="V337" s="1287"/>
      <c r="W337" s="1289"/>
      <c r="X337" s="1369">
        <f t="shared" ca="1" si="904"/>
        <v>2592315.5080165472</v>
      </c>
      <c r="Y337" s="1287"/>
      <c r="Z337" s="1289"/>
      <c r="AA337" s="1369">
        <f t="shared" ca="1" si="905"/>
        <v>1523606.44</v>
      </c>
      <c r="AB337" s="1287"/>
      <c r="AC337" s="1289"/>
      <c r="AD337" s="1369">
        <f t="shared" ca="1" si="906"/>
        <v>0</v>
      </c>
      <c r="AE337" s="1287"/>
      <c r="AF337" s="1289"/>
      <c r="AG337" s="1369">
        <f t="shared" ca="1" si="907"/>
        <v>0</v>
      </c>
      <c r="AH337" s="1287"/>
      <c r="AI337" s="1289"/>
      <c r="AJ337" s="1369">
        <f t="shared" ca="1" si="908"/>
        <v>0</v>
      </c>
      <c r="AK337" s="1287"/>
      <c r="AL337" s="1289"/>
      <c r="AM337" s="1369">
        <f t="shared" ca="1" si="909"/>
        <v>0</v>
      </c>
      <c r="AN337" s="1287"/>
      <c r="AO337" s="1289"/>
      <c r="AP337" s="1369">
        <f t="shared" ca="1" si="910"/>
        <v>0</v>
      </c>
      <c r="AQ337" s="1287"/>
      <c r="AR337" s="1289"/>
      <c r="AS337" s="1369">
        <f t="shared" ca="1" si="911"/>
        <v>5799302.5731330942</v>
      </c>
      <c r="AT337" s="1287"/>
      <c r="AU337" s="411"/>
      <c r="AV337" s="170"/>
      <c r="AW337" s="170"/>
      <c r="AX337" s="170"/>
      <c r="AY337" s="561" t="str">
        <f t="shared" si="936"/>
        <v>Risk  /  contingency</v>
      </c>
      <c r="AZ337" s="561"/>
      <c r="BA337" s="562"/>
      <c r="BB337" s="170"/>
      <c r="BC337" s="562"/>
      <c r="BD337" s="566">
        <f t="shared" si="912"/>
        <v>7511.24</v>
      </c>
      <c r="BE337" s="170"/>
      <c r="BF337" s="1477"/>
      <c r="BG337" s="566">
        <f t="shared" ca="1" si="913"/>
        <v>0</v>
      </c>
      <c r="BH337" s="170"/>
      <c r="BI337" s="1477"/>
      <c r="BJ337" s="566">
        <f t="shared" ca="1" si="914"/>
        <v>0</v>
      </c>
      <c r="BK337" s="561"/>
      <c r="BL337" s="1477"/>
      <c r="BM337" s="566">
        <f t="shared" ca="1" si="915"/>
        <v>1675869.3851165469</v>
      </c>
      <c r="BN337" s="170"/>
      <c r="BO337" s="1477"/>
      <c r="BP337" s="566">
        <f t="shared" ca="1" si="916"/>
        <v>2592315.5080165472</v>
      </c>
      <c r="BQ337" s="170"/>
      <c r="BR337" s="1477"/>
      <c r="BS337" s="566">
        <f t="shared" ca="1" si="917"/>
        <v>1523606.44</v>
      </c>
      <c r="BT337" s="170"/>
      <c r="BU337" s="1477"/>
      <c r="BV337" s="566">
        <f t="shared" ca="1" si="918"/>
        <v>0</v>
      </c>
      <c r="BW337" s="170"/>
      <c r="BX337" s="1477"/>
      <c r="BY337" s="566">
        <f t="shared" ca="1" si="919"/>
        <v>0</v>
      </c>
      <c r="BZ337" s="170"/>
      <c r="CA337" s="1477"/>
      <c r="CB337" s="566">
        <f t="shared" ca="1" si="920"/>
        <v>0</v>
      </c>
      <c r="CC337" s="170"/>
      <c r="CD337" s="1477"/>
      <c r="CE337" s="566">
        <f t="shared" ca="1" si="921"/>
        <v>0</v>
      </c>
      <c r="CF337" s="170"/>
      <c r="CG337" s="1477"/>
      <c r="CH337" s="566">
        <f t="shared" ca="1" si="922"/>
        <v>0</v>
      </c>
      <c r="CI337" s="170"/>
      <c r="CJ337" s="562"/>
      <c r="CK337" s="566">
        <f t="shared" ca="1" si="923"/>
        <v>5799302.5731330942</v>
      </c>
      <c r="CL337" s="566"/>
      <c r="CM337" s="170"/>
      <c r="CN337" s="170"/>
      <c r="CO337" s="382" t="str">
        <f t="shared" si="937"/>
        <v>Risk  /  contingency</v>
      </c>
      <c r="CP337" s="382"/>
      <c r="CQ337" s="385"/>
      <c r="CR337" s="382"/>
      <c r="CS337" s="385"/>
      <c r="CT337" s="567">
        <f t="shared" si="924"/>
        <v>0</v>
      </c>
      <c r="CU337" s="382"/>
      <c r="CV337" s="385"/>
      <c r="CW337" s="567">
        <f t="shared" ca="1" si="925"/>
        <v>0</v>
      </c>
      <c r="CX337" s="382"/>
      <c r="CY337" s="385"/>
      <c r="CZ337" s="567">
        <f t="shared" ca="1" si="926"/>
        <v>0</v>
      </c>
      <c r="DA337" s="382"/>
      <c r="DB337" s="385"/>
      <c r="DC337" s="567">
        <f t="shared" ca="1" si="927"/>
        <v>0</v>
      </c>
      <c r="DD337" s="382"/>
      <c r="DE337" s="385"/>
      <c r="DF337" s="567">
        <f t="shared" ca="1" si="928"/>
        <v>0</v>
      </c>
      <c r="DG337" s="382"/>
      <c r="DH337" s="385"/>
      <c r="DI337" s="567">
        <f t="shared" ca="1" si="929"/>
        <v>0</v>
      </c>
      <c r="DJ337" s="382"/>
      <c r="DK337" s="385"/>
      <c r="DL337" s="567">
        <f t="shared" ca="1" si="930"/>
        <v>0</v>
      </c>
      <c r="DM337" s="382"/>
      <c r="DN337" s="385"/>
      <c r="DO337" s="567">
        <f t="shared" ca="1" si="931"/>
        <v>0</v>
      </c>
      <c r="DP337" s="382"/>
      <c r="DQ337" s="385"/>
      <c r="DR337" s="567">
        <f t="shared" ca="1" si="932"/>
        <v>0</v>
      </c>
      <c r="DS337" s="382"/>
      <c r="DT337" s="385"/>
      <c r="DU337" s="567">
        <f t="shared" ca="1" si="933"/>
        <v>0</v>
      </c>
      <c r="DV337" s="382"/>
      <c r="DW337" s="385"/>
      <c r="DX337" s="567">
        <f t="shared" ca="1" si="934"/>
        <v>0</v>
      </c>
      <c r="DY337" s="382"/>
      <c r="DZ337" s="385"/>
      <c r="EA337" s="567">
        <f t="shared" ca="1" si="935"/>
        <v>0</v>
      </c>
      <c r="EB337" s="170"/>
      <c r="EC337" s="170"/>
      <c r="ED337" s="170"/>
      <c r="EE337" s="170"/>
      <c r="EF337" s="170"/>
      <c r="EG337" s="170"/>
      <c r="EH337" s="170"/>
      <c r="EI337" s="170"/>
      <c r="EJ337" s="170"/>
      <c r="EK337" s="170"/>
    </row>
    <row r="338" spans="1:141" ht="15" x14ac:dyDescent="0.25">
      <c r="A338" s="557"/>
      <c r="B338" s="472"/>
      <c r="C338" s="424">
        <v>9</v>
      </c>
      <c r="D338" s="424"/>
      <c r="E338" s="170"/>
      <c r="F338" s="170"/>
      <c r="G338" s="1374" t="s">
        <v>385</v>
      </c>
      <c r="H338" s="1287"/>
      <c r="I338" s="1289"/>
      <c r="J338" s="1287"/>
      <c r="K338" s="1289"/>
      <c r="L338" s="1369">
        <f t="shared" si="900"/>
        <v>0</v>
      </c>
      <c r="M338" s="1287"/>
      <c r="N338" s="1289"/>
      <c r="O338" s="1369">
        <f t="shared" si="901"/>
        <v>0</v>
      </c>
      <c r="P338" s="1287"/>
      <c r="Q338" s="1289"/>
      <c r="R338" s="1369">
        <f t="shared" si="902"/>
        <v>0</v>
      </c>
      <c r="S338" s="1287"/>
      <c r="T338" s="1289"/>
      <c r="U338" s="1369">
        <f t="shared" si="903"/>
        <v>0</v>
      </c>
      <c r="V338" s="1287"/>
      <c r="W338" s="1289"/>
      <c r="X338" s="1369">
        <f t="shared" si="904"/>
        <v>0</v>
      </c>
      <c r="Y338" s="1287"/>
      <c r="Z338" s="1289"/>
      <c r="AA338" s="1369">
        <f t="shared" si="905"/>
        <v>0</v>
      </c>
      <c r="AB338" s="1287"/>
      <c r="AC338" s="1289"/>
      <c r="AD338" s="1369">
        <f t="shared" si="906"/>
        <v>0</v>
      </c>
      <c r="AE338" s="1287"/>
      <c r="AF338" s="1289"/>
      <c r="AG338" s="1369">
        <f t="shared" si="907"/>
        <v>0</v>
      </c>
      <c r="AH338" s="1287"/>
      <c r="AI338" s="1289"/>
      <c r="AJ338" s="1369">
        <f t="shared" si="908"/>
        <v>0</v>
      </c>
      <c r="AK338" s="1287"/>
      <c r="AL338" s="1289"/>
      <c r="AM338" s="1369">
        <f t="shared" si="909"/>
        <v>0</v>
      </c>
      <c r="AN338" s="1287"/>
      <c r="AO338" s="1289"/>
      <c r="AP338" s="1369">
        <f t="shared" si="910"/>
        <v>0</v>
      </c>
      <c r="AQ338" s="1287"/>
      <c r="AR338" s="1289"/>
      <c r="AS338" s="1369">
        <f t="shared" si="911"/>
        <v>0</v>
      </c>
      <c r="AT338" s="1287"/>
      <c r="AU338" s="411"/>
      <c r="AV338" s="170"/>
      <c r="AW338" s="170"/>
      <c r="AX338" s="170"/>
      <c r="AY338" s="561" t="str">
        <f t="shared" si="936"/>
        <v>escalation</v>
      </c>
      <c r="AZ338" s="561"/>
      <c r="BA338" s="562"/>
      <c r="BB338" s="170"/>
      <c r="BC338" s="562"/>
      <c r="BD338" s="566">
        <f t="shared" si="912"/>
        <v>0</v>
      </c>
      <c r="BE338" s="170"/>
      <c r="BF338" s="1477"/>
      <c r="BG338" s="566">
        <f t="shared" si="913"/>
        <v>0</v>
      </c>
      <c r="BH338" s="170"/>
      <c r="BI338" s="1477"/>
      <c r="BJ338" s="566">
        <f t="shared" si="914"/>
        <v>0</v>
      </c>
      <c r="BK338" s="561"/>
      <c r="BL338" s="1477"/>
      <c r="BM338" s="566">
        <f t="shared" si="915"/>
        <v>0</v>
      </c>
      <c r="BN338" s="170"/>
      <c r="BO338" s="1477"/>
      <c r="BP338" s="566">
        <f t="shared" si="916"/>
        <v>0</v>
      </c>
      <c r="BQ338" s="170"/>
      <c r="BR338" s="1477"/>
      <c r="BS338" s="566">
        <f t="shared" si="917"/>
        <v>0</v>
      </c>
      <c r="BT338" s="170"/>
      <c r="BU338" s="1477"/>
      <c r="BV338" s="566">
        <f t="shared" si="918"/>
        <v>0</v>
      </c>
      <c r="BW338" s="170"/>
      <c r="BX338" s="1477"/>
      <c r="BY338" s="566">
        <f t="shared" si="919"/>
        <v>0</v>
      </c>
      <c r="BZ338" s="170"/>
      <c r="CA338" s="1477"/>
      <c r="CB338" s="566">
        <f t="shared" si="920"/>
        <v>0</v>
      </c>
      <c r="CC338" s="170"/>
      <c r="CD338" s="1477"/>
      <c r="CE338" s="566">
        <f t="shared" si="921"/>
        <v>0</v>
      </c>
      <c r="CF338" s="170"/>
      <c r="CG338" s="1477"/>
      <c r="CH338" s="566">
        <f t="shared" si="922"/>
        <v>0</v>
      </c>
      <c r="CI338" s="170"/>
      <c r="CJ338" s="562"/>
      <c r="CK338" s="566">
        <f t="shared" si="923"/>
        <v>0</v>
      </c>
      <c r="CL338" s="566"/>
      <c r="CM338" s="170"/>
      <c r="CN338" s="170"/>
      <c r="CO338" s="382" t="str">
        <f t="shared" si="937"/>
        <v>escalation</v>
      </c>
      <c r="CP338" s="382"/>
      <c r="CQ338" s="385"/>
      <c r="CR338" s="382"/>
      <c r="CS338" s="385"/>
      <c r="CT338" s="567">
        <f t="shared" si="924"/>
        <v>0</v>
      </c>
      <c r="CU338" s="382"/>
      <c r="CV338" s="385"/>
      <c r="CW338" s="567">
        <f t="shared" si="925"/>
        <v>0</v>
      </c>
      <c r="CX338" s="382"/>
      <c r="CY338" s="385"/>
      <c r="CZ338" s="567">
        <f t="shared" si="926"/>
        <v>0</v>
      </c>
      <c r="DA338" s="382"/>
      <c r="DB338" s="385"/>
      <c r="DC338" s="567">
        <f t="shared" si="927"/>
        <v>0</v>
      </c>
      <c r="DD338" s="382"/>
      <c r="DE338" s="385"/>
      <c r="DF338" s="567">
        <f t="shared" si="928"/>
        <v>0</v>
      </c>
      <c r="DG338" s="382"/>
      <c r="DH338" s="385"/>
      <c r="DI338" s="567">
        <f t="shared" si="929"/>
        <v>0</v>
      </c>
      <c r="DJ338" s="382"/>
      <c r="DK338" s="385"/>
      <c r="DL338" s="567">
        <f t="shared" si="930"/>
        <v>0</v>
      </c>
      <c r="DM338" s="382"/>
      <c r="DN338" s="385"/>
      <c r="DO338" s="567">
        <f t="shared" si="931"/>
        <v>0</v>
      </c>
      <c r="DP338" s="382"/>
      <c r="DQ338" s="385"/>
      <c r="DR338" s="567">
        <f t="shared" si="932"/>
        <v>0</v>
      </c>
      <c r="DS338" s="382"/>
      <c r="DT338" s="385"/>
      <c r="DU338" s="567">
        <f t="shared" si="933"/>
        <v>0</v>
      </c>
      <c r="DV338" s="382"/>
      <c r="DW338" s="385"/>
      <c r="DX338" s="567">
        <f t="shared" si="934"/>
        <v>0</v>
      </c>
      <c r="DY338" s="382"/>
      <c r="DZ338" s="385"/>
      <c r="EA338" s="567">
        <f t="shared" si="935"/>
        <v>0</v>
      </c>
      <c r="EB338" s="170"/>
      <c r="EC338" s="170"/>
      <c r="ED338" s="170"/>
      <c r="EE338" s="170"/>
      <c r="EF338" s="170"/>
      <c r="EG338" s="170"/>
      <c r="EH338" s="170"/>
      <c r="EI338" s="170"/>
      <c r="EJ338" s="170"/>
      <c r="EK338" s="170"/>
    </row>
    <row r="339" spans="1:141" ht="15" x14ac:dyDescent="0.25">
      <c r="A339" s="557"/>
      <c r="B339" s="472"/>
      <c r="C339" s="424">
        <v>10</v>
      </c>
      <c r="D339" s="424"/>
      <c r="E339" s="170"/>
      <c r="F339" s="170"/>
      <c r="G339" s="1374" t="s">
        <v>386</v>
      </c>
      <c r="H339" s="1287"/>
      <c r="I339" s="1289"/>
      <c r="J339" s="1287"/>
      <c r="K339" s="1289"/>
      <c r="L339" s="1369">
        <f t="shared" si="900"/>
        <v>209080.81</v>
      </c>
      <c r="M339" s="1287"/>
      <c r="N339" s="1289"/>
      <c r="O339" s="1369">
        <f t="shared" ca="1" si="901"/>
        <v>35</v>
      </c>
      <c r="P339" s="1287"/>
      <c r="Q339" s="1289"/>
      <c r="R339" s="1369">
        <f t="shared" ca="1" si="902"/>
        <v>71</v>
      </c>
      <c r="S339" s="1287"/>
      <c r="T339" s="1289"/>
      <c r="U339" s="1369">
        <f t="shared" ca="1" si="903"/>
        <v>1433359</v>
      </c>
      <c r="V339" s="1287"/>
      <c r="W339" s="1289"/>
      <c r="X339" s="1369">
        <f t="shared" ca="1" si="904"/>
        <v>4242474</v>
      </c>
      <c r="Y339" s="1287"/>
      <c r="Z339" s="1289"/>
      <c r="AA339" s="1369">
        <f t="shared" ca="1" si="905"/>
        <v>2595678</v>
      </c>
      <c r="AB339" s="1287"/>
      <c r="AC339" s="1289"/>
      <c r="AD339" s="1369">
        <f t="shared" ca="1" si="906"/>
        <v>0</v>
      </c>
      <c r="AE339" s="1287"/>
      <c r="AF339" s="1289"/>
      <c r="AG339" s="1369">
        <f t="shared" ca="1" si="907"/>
        <v>0</v>
      </c>
      <c r="AH339" s="1287"/>
      <c r="AI339" s="1289"/>
      <c r="AJ339" s="1369">
        <f t="shared" ca="1" si="908"/>
        <v>0</v>
      </c>
      <c r="AK339" s="1287"/>
      <c r="AL339" s="1289"/>
      <c r="AM339" s="1369">
        <f t="shared" ca="1" si="909"/>
        <v>0</v>
      </c>
      <c r="AN339" s="1287"/>
      <c r="AO339" s="1289"/>
      <c r="AP339" s="1369">
        <f t="shared" ca="1" si="910"/>
        <v>0</v>
      </c>
      <c r="AQ339" s="1287"/>
      <c r="AR339" s="1289"/>
      <c r="AS339" s="1369">
        <f t="shared" ca="1" si="911"/>
        <v>8480697.8099999987</v>
      </c>
      <c r="AT339" s="1287"/>
      <c r="AU339" s="411"/>
      <c r="AV339" s="170"/>
      <c r="AW339" s="170"/>
      <c r="AX339" s="170"/>
      <c r="AY339" s="561" t="str">
        <f t="shared" si="936"/>
        <v>indirects</v>
      </c>
      <c r="AZ339" s="561"/>
      <c r="BA339" s="562"/>
      <c r="BB339" s="170"/>
      <c r="BC339" s="562"/>
      <c r="BD339" s="566">
        <f t="shared" si="912"/>
        <v>209080.81</v>
      </c>
      <c r="BE339" s="170"/>
      <c r="BF339" s="1477"/>
      <c r="BG339" s="566">
        <f t="shared" ca="1" si="913"/>
        <v>35</v>
      </c>
      <c r="BH339" s="170"/>
      <c r="BI339" s="1477"/>
      <c r="BJ339" s="566">
        <f t="shared" ca="1" si="914"/>
        <v>68</v>
      </c>
      <c r="BK339" s="561"/>
      <c r="BL339" s="1477"/>
      <c r="BM339" s="566">
        <f t="shared" ca="1" si="915"/>
        <v>1312599.05</v>
      </c>
      <c r="BN339" s="170"/>
      <c r="BO339" s="1477"/>
      <c r="BP339" s="566">
        <f t="shared" ca="1" si="916"/>
        <v>3771894</v>
      </c>
      <c r="BQ339" s="170"/>
      <c r="BR339" s="1477"/>
      <c r="BS339" s="566">
        <f t="shared" ca="1" si="917"/>
        <v>2240546</v>
      </c>
      <c r="BT339" s="170"/>
      <c r="BU339" s="1477"/>
      <c r="BV339" s="566">
        <f t="shared" ca="1" si="918"/>
        <v>0</v>
      </c>
      <c r="BW339" s="170"/>
      <c r="BX339" s="1477"/>
      <c r="BY339" s="566">
        <f t="shared" ca="1" si="919"/>
        <v>0</v>
      </c>
      <c r="BZ339" s="170"/>
      <c r="CA339" s="1477"/>
      <c r="CB339" s="566">
        <f t="shared" ca="1" si="920"/>
        <v>0</v>
      </c>
      <c r="CC339" s="170"/>
      <c r="CD339" s="1477"/>
      <c r="CE339" s="566">
        <f t="shared" ca="1" si="921"/>
        <v>0</v>
      </c>
      <c r="CF339" s="170"/>
      <c r="CG339" s="1477"/>
      <c r="CH339" s="566">
        <f t="shared" ca="1" si="922"/>
        <v>0</v>
      </c>
      <c r="CI339" s="170"/>
      <c r="CJ339" s="562"/>
      <c r="CK339" s="566">
        <f t="shared" ca="1" si="923"/>
        <v>7534222.8599999994</v>
      </c>
      <c r="CL339" s="566"/>
      <c r="CM339" s="170"/>
      <c r="CN339" s="170"/>
      <c r="CO339" s="382" t="str">
        <f t="shared" si="937"/>
        <v>indirects</v>
      </c>
      <c r="CP339" s="382"/>
      <c r="CQ339" s="385"/>
      <c r="CR339" s="382"/>
      <c r="CS339" s="385"/>
      <c r="CT339" s="567">
        <f t="shared" si="924"/>
        <v>0</v>
      </c>
      <c r="CU339" s="382"/>
      <c r="CV339" s="385"/>
      <c r="CW339" s="567">
        <f t="shared" ca="1" si="925"/>
        <v>0</v>
      </c>
      <c r="CX339" s="382"/>
      <c r="CY339" s="385"/>
      <c r="CZ339" s="567">
        <f t="shared" ca="1" si="926"/>
        <v>3</v>
      </c>
      <c r="DA339" s="382"/>
      <c r="DB339" s="385"/>
      <c r="DC339" s="567">
        <f t="shared" ca="1" si="927"/>
        <v>120759.95</v>
      </c>
      <c r="DD339" s="382"/>
      <c r="DE339" s="385"/>
      <c r="DF339" s="567">
        <f t="shared" ca="1" si="928"/>
        <v>470580</v>
      </c>
      <c r="DG339" s="382"/>
      <c r="DH339" s="385"/>
      <c r="DI339" s="567">
        <f t="shared" ca="1" si="929"/>
        <v>355132</v>
      </c>
      <c r="DJ339" s="382"/>
      <c r="DK339" s="385"/>
      <c r="DL339" s="567">
        <f t="shared" ca="1" si="930"/>
        <v>0</v>
      </c>
      <c r="DM339" s="382"/>
      <c r="DN339" s="385"/>
      <c r="DO339" s="567">
        <f t="shared" ca="1" si="931"/>
        <v>0</v>
      </c>
      <c r="DP339" s="382"/>
      <c r="DQ339" s="385"/>
      <c r="DR339" s="567">
        <f t="shared" ca="1" si="932"/>
        <v>0</v>
      </c>
      <c r="DS339" s="382"/>
      <c r="DT339" s="385"/>
      <c r="DU339" s="567">
        <f t="shared" ca="1" si="933"/>
        <v>0</v>
      </c>
      <c r="DV339" s="382"/>
      <c r="DW339" s="385"/>
      <c r="DX339" s="567">
        <f t="shared" ca="1" si="934"/>
        <v>0</v>
      </c>
      <c r="DY339" s="382"/>
      <c r="DZ339" s="385"/>
      <c r="EA339" s="567">
        <f t="shared" ca="1" si="935"/>
        <v>946474.95</v>
      </c>
      <c r="EB339" s="170"/>
      <c r="EC339" s="170"/>
      <c r="ED339" s="170"/>
      <c r="EE339" s="170"/>
      <c r="EF339" s="170"/>
      <c r="EG339" s="170"/>
      <c r="EH339" s="170"/>
      <c r="EI339" s="170"/>
      <c r="EJ339" s="170"/>
      <c r="EK339" s="170"/>
    </row>
    <row r="340" spans="1:141" ht="15" x14ac:dyDescent="0.25">
      <c r="A340" s="557"/>
      <c r="B340" s="472"/>
      <c r="C340" s="424">
        <v>11</v>
      </c>
      <c r="D340" s="424"/>
      <c r="E340" s="170"/>
      <c r="F340" s="170"/>
      <c r="G340" s="1374" t="s">
        <v>45</v>
      </c>
      <c r="H340" s="1287"/>
      <c r="I340" s="1289"/>
      <c r="J340" s="1287"/>
      <c r="K340" s="1289"/>
      <c r="L340" s="1369">
        <f t="shared" si="900"/>
        <v>25374.34</v>
      </c>
      <c r="M340" s="1287"/>
      <c r="N340" s="1289"/>
      <c r="O340" s="1369">
        <f t="shared" ca="1" si="901"/>
        <v>1077</v>
      </c>
      <c r="P340" s="1287"/>
      <c r="Q340" s="1289"/>
      <c r="R340" s="1369">
        <f t="shared" ca="1" si="902"/>
        <v>26933</v>
      </c>
      <c r="S340" s="1287"/>
      <c r="T340" s="1289"/>
      <c r="U340" s="1369">
        <f t="shared" ca="1" si="903"/>
        <v>460696</v>
      </c>
      <c r="V340" s="1287"/>
      <c r="W340" s="1289"/>
      <c r="X340" s="1369">
        <f t="shared" si="904"/>
        <v>1660900</v>
      </c>
      <c r="Y340" s="1287"/>
      <c r="Z340" s="1289"/>
      <c r="AA340" s="1369">
        <f t="shared" si="905"/>
        <v>657500</v>
      </c>
      <c r="AB340" s="1287"/>
      <c r="AC340" s="1289"/>
      <c r="AD340" s="1369">
        <f t="shared" ca="1" si="906"/>
        <v>0</v>
      </c>
      <c r="AE340" s="1287"/>
      <c r="AF340" s="1289"/>
      <c r="AG340" s="1369">
        <f t="shared" ca="1" si="907"/>
        <v>0</v>
      </c>
      <c r="AH340" s="1287"/>
      <c r="AI340" s="1289"/>
      <c r="AJ340" s="1369">
        <f t="shared" ca="1" si="908"/>
        <v>0</v>
      </c>
      <c r="AK340" s="1287"/>
      <c r="AL340" s="1289"/>
      <c r="AM340" s="1369">
        <f t="shared" ca="1" si="909"/>
        <v>0</v>
      </c>
      <c r="AN340" s="1287"/>
      <c r="AO340" s="1289"/>
      <c r="AP340" s="1369">
        <f t="shared" ca="1" si="910"/>
        <v>0</v>
      </c>
      <c r="AQ340" s="1287"/>
      <c r="AR340" s="1289"/>
      <c r="AS340" s="1369">
        <f t="shared" ca="1" si="911"/>
        <v>2832480.34</v>
      </c>
      <c r="AT340" s="1287"/>
      <c r="AU340" s="411"/>
      <c r="AV340" s="170"/>
      <c r="AW340" s="170"/>
      <c r="AX340" s="170"/>
      <c r="AY340" s="561" t="str">
        <f t="shared" si="936"/>
        <v>AFUDC</v>
      </c>
      <c r="AZ340" s="561"/>
      <c r="BA340" s="562"/>
      <c r="BB340" s="170"/>
      <c r="BC340" s="562"/>
      <c r="BD340" s="566">
        <f t="shared" si="912"/>
        <v>25374.34</v>
      </c>
      <c r="BE340" s="170"/>
      <c r="BF340" s="1477"/>
      <c r="BG340" s="566">
        <f t="shared" ca="1" si="913"/>
        <v>1076.6599999999999</v>
      </c>
      <c r="BH340" s="170"/>
      <c r="BI340" s="1477"/>
      <c r="BJ340" s="566">
        <f t="shared" ca="1" si="914"/>
        <v>26933</v>
      </c>
      <c r="BK340" s="561"/>
      <c r="BL340" s="1477"/>
      <c r="BM340" s="566">
        <f t="shared" ca="1" si="915"/>
        <v>460696</v>
      </c>
      <c r="BN340" s="170"/>
      <c r="BO340" s="1477"/>
      <c r="BP340" s="566">
        <f t="shared" si="916"/>
        <v>1660900</v>
      </c>
      <c r="BQ340" s="170"/>
      <c r="BR340" s="1477"/>
      <c r="BS340" s="566">
        <f t="shared" si="917"/>
        <v>657500</v>
      </c>
      <c r="BT340" s="170"/>
      <c r="BU340" s="1477"/>
      <c r="BV340" s="566">
        <f t="shared" ca="1" si="918"/>
        <v>0</v>
      </c>
      <c r="BW340" s="170"/>
      <c r="BX340" s="1477"/>
      <c r="BY340" s="566">
        <f t="shared" ca="1" si="919"/>
        <v>0</v>
      </c>
      <c r="BZ340" s="170"/>
      <c r="CA340" s="1477"/>
      <c r="CB340" s="566">
        <f t="shared" ca="1" si="920"/>
        <v>0</v>
      </c>
      <c r="CC340" s="170"/>
      <c r="CD340" s="1477"/>
      <c r="CE340" s="566">
        <f t="shared" ca="1" si="921"/>
        <v>0</v>
      </c>
      <c r="CF340" s="170"/>
      <c r="CG340" s="1477"/>
      <c r="CH340" s="566">
        <f t="shared" ca="1" si="922"/>
        <v>0</v>
      </c>
      <c r="CI340" s="170"/>
      <c r="CJ340" s="562"/>
      <c r="CK340" s="566">
        <f t="shared" ca="1" si="923"/>
        <v>2832480</v>
      </c>
      <c r="CL340" s="566"/>
      <c r="CM340" s="170"/>
      <c r="CN340" s="170"/>
      <c r="CO340" s="382" t="str">
        <f t="shared" si="937"/>
        <v>AFUDC</v>
      </c>
      <c r="CP340" s="382"/>
      <c r="CQ340" s="385"/>
      <c r="CR340" s="382"/>
      <c r="CS340" s="385"/>
      <c r="CT340" s="567">
        <f t="shared" si="924"/>
        <v>0</v>
      </c>
      <c r="CU340" s="382"/>
      <c r="CV340" s="385"/>
      <c r="CW340" s="567">
        <f t="shared" ca="1" si="925"/>
        <v>0.34000000000014552</v>
      </c>
      <c r="CX340" s="382"/>
      <c r="CY340" s="385"/>
      <c r="CZ340" s="567">
        <f t="shared" si="926"/>
        <v>0</v>
      </c>
      <c r="DA340" s="382"/>
      <c r="DB340" s="385"/>
      <c r="DC340" s="567">
        <f t="shared" si="927"/>
        <v>0</v>
      </c>
      <c r="DD340" s="382"/>
      <c r="DE340" s="385"/>
      <c r="DF340" s="567">
        <f t="shared" si="928"/>
        <v>0</v>
      </c>
      <c r="DG340" s="382"/>
      <c r="DH340" s="385"/>
      <c r="DI340" s="567">
        <f t="shared" si="929"/>
        <v>0</v>
      </c>
      <c r="DJ340" s="382"/>
      <c r="DK340" s="385"/>
      <c r="DL340" s="567">
        <f t="shared" si="930"/>
        <v>0</v>
      </c>
      <c r="DM340" s="382"/>
      <c r="DN340" s="385"/>
      <c r="DO340" s="567">
        <f t="shared" si="931"/>
        <v>0</v>
      </c>
      <c r="DP340" s="382"/>
      <c r="DQ340" s="385"/>
      <c r="DR340" s="567">
        <f t="shared" si="932"/>
        <v>0</v>
      </c>
      <c r="DS340" s="382"/>
      <c r="DT340" s="385"/>
      <c r="DU340" s="567">
        <f t="shared" si="933"/>
        <v>0</v>
      </c>
      <c r="DV340" s="382"/>
      <c r="DW340" s="385"/>
      <c r="DX340" s="567">
        <f t="shared" si="934"/>
        <v>0</v>
      </c>
      <c r="DY340" s="382"/>
      <c r="DZ340" s="385"/>
      <c r="EA340" s="567">
        <f t="shared" ca="1" si="935"/>
        <v>0.34000000000014552</v>
      </c>
      <c r="EB340" s="170"/>
      <c r="EC340" s="170"/>
      <c r="ED340" s="170"/>
      <c r="EE340" s="170"/>
      <c r="EF340" s="170"/>
      <c r="EG340" s="170"/>
      <c r="EH340" s="170"/>
      <c r="EI340" s="170"/>
      <c r="EJ340" s="170"/>
      <c r="EK340" s="170"/>
    </row>
    <row r="341" spans="1:141" ht="15" x14ac:dyDescent="0.25">
      <c r="A341" s="557"/>
      <c r="B341" s="472"/>
      <c r="C341" s="424">
        <v>12</v>
      </c>
      <c r="D341" s="424"/>
      <c r="E341" s="170"/>
      <c r="F341" s="170"/>
      <c r="G341" s="1374" t="s">
        <v>374</v>
      </c>
      <c r="H341" s="1287"/>
      <c r="I341" s="1289"/>
      <c r="J341" s="1287"/>
      <c r="K341" s="1289"/>
      <c r="L341" s="1369">
        <f t="shared" si="900"/>
        <v>0</v>
      </c>
      <c r="M341" s="1287"/>
      <c r="N341" s="1289"/>
      <c r="O341" s="1369">
        <f t="shared" ca="1" si="901"/>
        <v>0</v>
      </c>
      <c r="P341" s="1287"/>
      <c r="Q341" s="1289"/>
      <c r="R341" s="1369">
        <f t="shared" ca="1" si="902"/>
        <v>0</v>
      </c>
      <c r="S341" s="1287"/>
      <c r="T341" s="1289"/>
      <c r="U341" s="1369">
        <f t="shared" ca="1" si="903"/>
        <v>0</v>
      </c>
      <c r="V341" s="1287"/>
      <c r="W341" s="1289"/>
      <c r="X341" s="1369">
        <f t="shared" ca="1" si="904"/>
        <v>0</v>
      </c>
      <c r="Y341" s="1287"/>
      <c r="Z341" s="1289"/>
      <c r="AA341" s="1369">
        <f t="shared" ca="1" si="905"/>
        <v>0</v>
      </c>
      <c r="AB341" s="1287"/>
      <c r="AC341" s="1289"/>
      <c r="AD341" s="1369">
        <f t="shared" ca="1" si="906"/>
        <v>0</v>
      </c>
      <c r="AE341" s="1287"/>
      <c r="AF341" s="1289"/>
      <c r="AG341" s="1369">
        <f t="shared" ca="1" si="907"/>
        <v>0</v>
      </c>
      <c r="AH341" s="1287"/>
      <c r="AI341" s="1289"/>
      <c r="AJ341" s="1369">
        <f t="shared" ca="1" si="908"/>
        <v>0</v>
      </c>
      <c r="AK341" s="1287"/>
      <c r="AL341" s="1289"/>
      <c r="AM341" s="1369">
        <f t="shared" ca="1" si="909"/>
        <v>0</v>
      </c>
      <c r="AN341" s="1287"/>
      <c r="AO341" s="1289"/>
      <c r="AP341" s="1369">
        <f t="shared" ca="1" si="910"/>
        <v>0</v>
      </c>
      <c r="AQ341" s="1287"/>
      <c r="AR341" s="1289"/>
      <c r="AS341" s="1369">
        <f t="shared" ca="1" si="911"/>
        <v>0</v>
      </c>
      <c r="AT341" s="1287"/>
      <c r="AU341" s="411"/>
      <c r="AV341" s="170"/>
      <c r="AW341" s="170"/>
      <c r="AX341" s="170"/>
      <c r="AY341" s="561" t="str">
        <f t="shared" si="936"/>
        <v>Reimbursables</v>
      </c>
      <c r="AZ341" s="561"/>
      <c r="BA341" s="562"/>
      <c r="BB341" s="170"/>
      <c r="BC341" s="562"/>
      <c r="BD341" s="566">
        <f t="shared" si="912"/>
        <v>0</v>
      </c>
      <c r="BE341" s="170"/>
      <c r="BF341" s="1477"/>
      <c r="BG341" s="566">
        <f t="shared" ca="1" si="913"/>
        <v>0</v>
      </c>
      <c r="BH341" s="170"/>
      <c r="BI341" s="1477"/>
      <c r="BJ341" s="566">
        <f t="shared" ca="1" si="914"/>
        <v>0</v>
      </c>
      <c r="BK341" s="561"/>
      <c r="BL341" s="1477"/>
      <c r="BM341" s="566">
        <f t="shared" ca="1" si="915"/>
        <v>0</v>
      </c>
      <c r="BN341" s="170"/>
      <c r="BO341" s="1477"/>
      <c r="BP341" s="566">
        <f t="shared" ca="1" si="916"/>
        <v>0</v>
      </c>
      <c r="BQ341" s="170"/>
      <c r="BR341" s="1477"/>
      <c r="BS341" s="566">
        <f t="shared" ca="1" si="917"/>
        <v>0</v>
      </c>
      <c r="BT341" s="170"/>
      <c r="BU341" s="1477"/>
      <c r="BV341" s="566">
        <f t="shared" ca="1" si="918"/>
        <v>0</v>
      </c>
      <c r="BW341" s="170"/>
      <c r="BX341" s="1477"/>
      <c r="BY341" s="566">
        <f t="shared" ca="1" si="919"/>
        <v>0</v>
      </c>
      <c r="BZ341" s="170"/>
      <c r="CA341" s="1477"/>
      <c r="CB341" s="566">
        <f t="shared" ca="1" si="920"/>
        <v>0</v>
      </c>
      <c r="CC341" s="170"/>
      <c r="CD341" s="1477"/>
      <c r="CE341" s="566">
        <f t="shared" ca="1" si="921"/>
        <v>0</v>
      </c>
      <c r="CF341" s="170"/>
      <c r="CG341" s="1477"/>
      <c r="CH341" s="566">
        <f t="shared" ca="1" si="922"/>
        <v>0</v>
      </c>
      <c r="CI341" s="170"/>
      <c r="CJ341" s="562"/>
      <c r="CK341" s="566">
        <f t="shared" ca="1" si="923"/>
        <v>0</v>
      </c>
      <c r="CL341" s="566"/>
      <c r="CM341" s="170"/>
      <c r="CN341" s="170"/>
      <c r="CO341" s="382" t="str">
        <f t="shared" si="937"/>
        <v>Reimbursables</v>
      </c>
      <c r="CP341" s="382"/>
      <c r="CQ341" s="385"/>
      <c r="CR341" s="382"/>
      <c r="CS341" s="385"/>
      <c r="CT341" s="567">
        <f t="shared" si="924"/>
        <v>0</v>
      </c>
      <c r="CU341" s="382"/>
      <c r="CV341" s="385"/>
      <c r="CW341" s="567">
        <f t="shared" ca="1" si="925"/>
        <v>0</v>
      </c>
      <c r="CX341" s="382"/>
      <c r="CY341" s="385"/>
      <c r="CZ341" s="567">
        <f t="shared" ca="1" si="926"/>
        <v>0</v>
      </c>
      <c r="DA341" s="382"/>
      <c r="DB341" s="385"/>
      <c r="DC341" s="567">
        <f t="shared" ca="1" si="927"/>
        <v>0</v>
      </c>
      <c r="DD341" s="382"/>
      <c r="DE341" s="385"/>
      <c r="DF341" s="567">
        <f t="shared" ca="1" si="928"/>
        <v>0</v>
      </c>
      <c r="DG341" s="382"/>
      <c r="DH341" s="385"/>
      <c r="DI341" s="567">
        <f t="shared" ca="1" si="929"/>
        <v>0</v>
      </c>
      <c r="DJ341" s="382"/>
      <c r="DK341" s="385"/>
      <c r="DL341" s="567">
        <f t="shared" ca="1" si="930"/>
        <v>0</v>
      </c>
      <c r="DM341" s="382"/>
      <c r="DN341" s="385"/>
      <c r="DO341" s="567">
        <f t="shared" ca="1" si="931"/>
        <v>0</v>
      </c>
      <c r="DP341" s="382"/>
      <c r="DQ341" s="385"/>
      <c r="DR341" s="567">
        <f t="shared" ca="1" si="932"/>
        <v>0</v>
      </c>
      <c r="DS341" s="382"/>
      <c r="DT341" s="385"/>
      <c r="DU341" s="567">
        <f t="shared" ca="1" si="933"/>
        <v>0</v>
      </c>
      <c r="DV341" s="382"/>
      <c r="DW341" s="385"/>
      <c r="DX341" s="567">
        <f t="shared" ca="1" si="934"/>
        <v>0</v>
      </c>
      <c r="DY341" s="382"/>
      <c r="DZ341" s="385"/>
      <c r="EA341" s="567">
        <f t="shared" ca="1" si="935"/>
        <v>0</v>
      </c>
      <c r="EB341" s="170"/>
      <c r="EC341" s="170"/>
      <c r="ED341" s="170"/>
      <c r="EE341" s="170"/>
      <c r="EF341" s="170"/>
      <c r="EG341" s="170"/>
      <c r="EH341" s="170"/>
      <c r="EI341" s="170"/>
      <c r="EJ341" s="170"/>
      <c r="EK341" s="170"/>
    </row>
    <row r="342" spans="1:141" ht="15" x14ac:dyDescent="0.25">
      <c r="A342" s="557"/>
      <c r="B342" s="472"/>
      <c r="C342" s="472"/>
      <c r="D342" s="472"/>
      <c r="E342" s="170"/>
      <c r="F342" s="170"/>
      <c r="G342" s="1287"/>
      <c r="H342" s="1287"/>
      <c r="I342" s="1289"/>
      <c r="J342" s="1287"/>
      <c r="K342" s="1289"/>
      <c r="L342" s="1287"/>
      <c r="M342" s="1287"/>
      <c r="N342" s="1289"/>
      <c r="O342" s="1287"/>
      <c r="P342" s="1287"/>
      <c r="Q342" s="1289"/>
      <c r="R342" s="1287"/>
      <c r="S342" s="1287"/>
      <c r="T342" s="1289"/>
      <c r="U342" s="1287"/>
      <c r="V342" s="1287"/>
      <c r="W342" s="1289"/>
      <c r="X342" s="1287"/>
      <c r="Y342" s="1287"/>
      <c r="Z342" s="1289"/>
      <c r="AA342" s="1287"/>
      <c r="AB342" s="1287"/>
      <c r="AC342" s="1289"/>
      <c r="AD342" s="1287"/>
      <c r="AE342" s="1287"/>
      <c r="AF342" s="1289"/>
      <c r="AG342" s="1287"/>
      <c r="AH342" s="1287"/>
      <c r="AI342" s="1289"/>
      <c r="AJ342" s="1287"/>
      <c r="AK342" s="1287"/>
      <c r="AL342" s="1289"/>
      <c r="AM342" s="1287"/>
      <c r="AN342" s="1287"/>
      <c r="AO342" s="1289"/>
      <c r="AP342" s="1287"/>
      <c r="AQ342" s="1287"/>
      <c r="AR342" s="1289"/>
      <c r="AS342" s="1287"/>
      <c r="AT342" s="1287"/>
      <c r="AU342" s="411"/>
      <c r="AV342" s="170"/>
      <c r="AW342" s="170"/>
      <c r="AX342" s="170"/>
      <c r="AY342" s="561"/>
      <c r="AZ342" s="561"/>
      <c r="BA342" s="562"/>
      <c r="BB342" s="170"/>
      <c r="BC342" s="562"/>
      <c r="BD342" s="561"/>
      <c r="BE342" s="170"/>
      <c r="BF342" s="1477"/>
      <c r="BG342" s="561"/>
      <c r="BH342" s="170"/>
      <c r="BI342" s="1477"/>
      <c r="BJ342" s="561"/>
      <c r="BK342" s="561"/>
      <c r="BL342" s="1477"/>
      <c r="BM342" s="561"/>
      <c r="BN342" s="170"/>
      <c r="BO342" s="1477"/>
      <c r="BP342" s="561"/>
      <c r="BQ342" s="170"/>
      <c r="BR342" s="1477"/>
      <c r="BS342" s="561"/>
      <c r="BT342" s="170"/>
      <c r="BU342" s="1477"/>
      <c r="BV342" s="561"/>
      <c r="BW342" s="170"/>
      <c r="BX342" s="1477"/>
      <c r="BY342" s="561"/>
      <c r="BZ342" s="170"/>
      <c r="CA342" s="1477"/>
      <c r="CB342" s="561"/>
      <c r="CC342" s="170"/>
      <c r="CD342" s="1477"/>
      <c r="CE342" s="561"/>
      <c r="CF342" s="170"/>
      <c r="CG342" s="1477"/>
      <c r="CH342" s="561"/>
      <c r="CI342" s="170"/>
      <c r="CJ342" s="562"/>
      <c r="CK342" s="561"/>
      <c r="CL342" s="561"/>
      <c r="CM342" s="170"/>
      <c r="CN342" s="170"/>
      <c r="CO342" s="382"/>
      <c r="CP342" s="382"/>
      <c r="CQ342" s="385"/>
      <c r="CR342" s="382"/>
      <c r="CS342" s="385"/>
      <c r="CT342" s="382"/>
      <c r="CU342" s="382"/>
      <c r="CV342" s="385"/>
      <c r="CW342" s="382"/>
      <c r="CX342" s="382"/>
      <c r="CY342" s="385"/>
      <c r="CZ342" s="382"/>
      <c r="DA342" s="382"/>
      <c r="DB342" s="385"/>
      <c r="DC342" s="382"/>
      <c r="DD342" s="382"/>
      <c r="DE342" s="385"/>
      <c r="DF342" s="382"/>
      <c r="DG342" s="382"/>
      <c r="DH342" s="385"/>
      <c r="DI342" s="382"/>
      <c r="DJ342" s="382"/>
      <c r="DK342" s="385"/>
      <c r="DL342" s="382"/>
      <c r="DM342" s="382"/>
      <c r="DN342" s="385"/>
      <c r="DO342" s="382"/>
      <c r="DP342" s="382"/>
      <c r="DQ342" s="385"/>
      <c r="DR342" s="382"/>
      <c r="DS342" s="382"/>
      <c r="DT342" s="385"/>
      <c r="DU342" s="382"/>
      <c r="DV342" s="382"/>
      <c r="DW342" s="385"/>
      <c r="DX342" s="382"/>
      <c r="DY342" s="382"/>
      <c r="DZ342" s="385"/>
      <c r="EA342" s="563"/>
      <c r="EB342" s="170"/>
      <c r="EC342" s="170"/>
      <c r="ED342" s="170"/>
      <c r="EE342" s="170"/>
      <c r="EF342" s="170"/>
      <c r="EG342" s="170"/>
      <c r="EH342" s="170"/>
      <c r="EI342" s="170"/>
      <c r="EJ342" s="170"/>
      <c r="EK342" s="170"/>
    </row>
    <row r="343" spans="1:141" ht="18.75" thickBot="1" x14ac:dyDescent="0.3">
      <c r="A343" s="557"/>
      <c r="B343" s="472"/>
      <c r="C343" s="472"/>
      <c r="D343" s="472"/>
      <c r="E343" s="170"/>
      <c r="F343" s="524"/>
      <c r="G343" s="1782" t="s">
        <v>1229</v>
      </c>
      <c r="H343" s="1360"/>
      <c r="I343" s="1310"/>
      <c r="J343" s="1690"/>
      <c r="K343" s="1361"/>
      <c r="L343" s="1362">
        <f>SUM(L329:L342)</f>
        <v>375891.79</v>
      </c>
      <c r="M343" s="1690"/>
      <c r="N343" s="1361"/>
      <c r="O343" s="1362">
        <f ca="1">SUM(O329:O342)</f>
        <v>5029</v>
      </c>
      <c r="P343" s="1690"/>
      <c r="Q343" s="1361"/>
      <c r="R343" s="1362">
        <f ca="1">SUM(R329:R342)</f>
        <v>34984</v>
      </c>
      <c r="S343" s="1690"/>
      <c r="T343" s="1361"/>
      <c r="U343" s="1362">
        <f ca="1">SUM(U329:U342)</f>
        <v>14337401.959716547</v>
      </c>
      <c r="V343" s="1690"/>
      <c r="W343" s="1361"/>
      <c r="X343" s="1362">
        <f ca="1">SUM(X329:X342)</f>
        <v>23439681.999482948</v>
      </c>
      <c r="Y343" s="1690"/>
      <c r="Z343" s="1361"/>
      <c r="AA343" s="1362">
        <f ca="1">SUM(AA329:AA342)</f>
        <v>7903371.1926781684</v>
      </c>
      <c r="AB343" s="1690"/>
      <c r="AC343" s="1361"/>
      <c r="AD343" s="1362">
        <f ca="1">SUM(AD329:AD342)</f>
        <v>0</v>
      </c>
      <c r="AE343" s="1690"/>
      <c r="AF343" s="1361"/>
      <c r="AG343" s="1362">
        <f ca="1">SUM(AG329:AG342)</f>
        <v>0</v>
      </c>
      <c r="AH343" s="1690"/>
      <c r="AI343" s="1361"/>
      <c r="AJ343" s="1362">
        <f ca="1">SUM(AJ329:AJ342)</f>
        <v>0</v>
      </c>
      <c r="AK343" s="1690"/>
      <c r="AL343" s="1361"/>
      <c r="AM343" s="1362">
        <f ca="1">SUM(AM329:AM342)</f>
        <v>0</v>
      </c>
      <c r="AN343" s="1690"/>
      <c r="AO343" s="1361"/>
      <c r="AP343" s="1362">
        <f ca="1">SUM(AP329:AP342)</f>
        <v>0</v>
      </c>
      <c r="AQ343" s="1690"/>
      <c r="AR343" s="1361"/>
      <c r="AS343" s="1362">
        <f ca="1">SUM(AS329:AS342)</f>
        <v>46096359.941877663</v>
      </c>
      <c r="AT343" s="1690"/>
      <c r="AU343" s="411"/>
      <c r="AV343" s="170"/>
      <c r="AW343" s="523"/>
      <c r="AX343" s="524"/>
      <c r="AY343" s="536" t="str">
        <f>+G343</f>
        <v>Total costs by Old Cover Sheet code</v>
      </c>
      <c r="AZ343" s="535"/>
      <c r="BA343" s="536"/>
      <c r="BB343" s="1637"/>
      <c r="BC343" s="1642"/>
      <c r="BD343" s="537">
        <f>SUM(BD329:BD342)</f>
        <v>375891.79</v>
      </c>
      <c r="BE343" s="1637"/>
      <c r="BF343" s="1653"/>
      <c r="BG343" s="537">
        <f ca="1">SUM(BG329:BG342)</f>
        <v>5028.8899999999994</v>
      </c>
      <c r="BH343" s="1637"/>
      <c r="BI343" s="1653"/>
      <c r="BJ343" s="537">
        <f ca="1">SUM(BJ329:BJ342)</f>
        <v>34601</v>
      </c>
      <c r="BK343" s="1676"/>
      <c r="BL343" s="1653"/>
      <c r="BM343" s="537">
        <f ca="1">SUM(BM329:BM342)</f>
        <v>13568278.435116548</v>
      </c>
      <c r="BN343" s="1637"/>
      <c r="BO343" s="1653"/>
      <c r="BP343" s="537">
        <f ca="1">SUM(BP329:BP342)</f>
        <v>21570279.065306544</v>
      </c>
      <c r="BQ343" s="1637"/>
      <c r="BR343" s="1653"/>
      <c r="BS343" s="537">
        <f ca="1">SUM(BS329:BS342)</f>
        <v>7120468.8320000004</v>
      </c>
      <c r="BT343" s="1637"/>
      <c r="BU343" s="1653"/>
      <c r="BV343" s="537">
        <f ca="1">SUM(BV329:BV342)</f>
        <v>0</v>
      </c>
      <c r="BW343" s="1637"/>
      <c r="BX343" s="1653"/>
      <c r="BY343" s="537">
        <f ca="1">SUM(BY329:BY342)</f>
        <v>0</v>
      </c>
      <c r="BZ343" s="1637"/>
      <c r="CA343" s="1653"/>
      <c r="CB343" s="537">
        <f ca="1">SUM(CB329:CB342)</f>
        <v>0</v>
      </c>
      <c r="CC343" s="1637"/>
      <c r="CD343" s="1653"/>
      <c r="CE343" s="537">
        <f ca="1">SUM(CE329:CE342)</f>
        <v>0</v>
      </c>
      <c r="CF343" s="1637"/>
      <c r="CG343" s="1653"/>
      <c r="CH343" s="537">
        <f ca="1">SUM(CH329:CH342)</f>
        <v>0</v>
      </c>
      <c r="CI343" s="1637"/>
      <c r="CJ343" s="1642"/>
      <c r="CK343" s="537">
        <f ca="1">SUM(CK329:CK342)</f>
        <v>42674548.012423098</v>
      </c>
      <c r="CL343" s="569"/>
      <c r="CM343" s="170"/>
      <c r="CN343" s="524"/>
      <c r="CO343" s="540" t="s">
        <v>379</v>
      </c>
      <c r="CP343" s="539"/>
      <c r="CQ343" s="540"/>
      <c r="CR343" s="1710"/>
      <c r="CS343" s="1698"/>
      <c r="CT343" s="541">
        <f>SUM(CT329:CT342)</f>
        <v>0</v>
      </c>
      <c r="CU343" s="1710"/>
      <c r="CV343" s="1698"/>
      <c r="CW343" s="541">
        <f ca="1">SUM(CW329:CW342)</f>
        <v>0.11000000000012733</v>
      </c>
      <c r="CX343" s="1710"/>
      <c r="CY343" s="1698"/>
      <c r="CZ343" s="541">
        <f ca="1">SUM(CZ329:CZ342)</f>
        <v>383</v>
      </c>
      <c r="DA343" s="1710"/>
      <c r="DB343" s="1698"/>
      <c r="DC343" s="541">
        <f ca="1">SUM(DC329:DC342)</f>
        <v>769123.52459999954</v>
      </c>
      <c r="DD343" s="1710"/>
      <c r="DE343" s="1698"/>
      <c r="DF343" s="541">
        <f ca="1">SUM(DF329:DF342)</f>
        <v>1869402.9341764003</v>
      </c>
      <c r="DG343" s="1710"/>
      <c r="DH343" s="1698"/>
      <c r="DI343" s="541">
        <f ca="1">SUM(DI329:DI342)</f>
        <v>782902.36067816825</v>
      </c>
      <c r="DJ343" s="1710"/>
      <c r="DK343" s="1698"/>
      <c r="DL343" s="541">
        <f ca="1">SUM(DL329:DL342)</f>
        <v>0</v>
      </c>
      <c r="DM343" s="1710"/>
      <c r="DN343" s="1698"/>
      <c r="DO343" s="541">
        <f ca="1">SUM(DO329:DO342)</f>
        <v>0</v>
      </c>
      <c r="DP343" s="1710"/>
      <c r="DQ343" s="1698"/>
      <c r="DR343" s="541">
        <f ca="1">SUM(DR329:DR342)</f>
        <v>0</v>
      </c>
      <c r="DS343" s="1710"/>
      <c r="DT343" s="1698"/>
      <c r="DU343" s="541">
        <f ca="1">SUM(DU329:DU342)</f>
        <v>0</v>
      </c>
      <c r="DV343" s="1710"/>
      <c r="DW343" s="1698"/>
      <c r="DX343" s="541">
        <f ca="1">SUM(DX329:DX342)</f>
        <v>0</v>
      </c>
      <c r="DY343" s="1710"/>
      <c r="DZ343" s="1698"/>
      <c r="EA343" s="570">
        <f ca="1">SUM(EA329:EA342)</f>
        <v>3421811.9294545678</v>
      </c>
      <c r="EB343" s="170"/>
      <c r="EC343" s="170"/>
      <c r="ED343" s="170"/>
      <c r="EE343" s="170"/>
      <c r="EF343" s="170"/>
      <c r="EG343" s="170"/>
      <c r="EH343" s="170"/>
      <c r="EI343" s="170"/>
      <c r="EJ343" s="170"/>
      <c r="EK343" s="170"/>
    </row>
    <row r="344" spans="1:141" ht="15.75" thickBot="1" x14ac:dyDescent="0.3">
      <c r="A344" s="557"/>
      <c r="B344" s="376"/>
      <c r="C344" s="376"/>
      <c r="D344" s="376"/>
      <c r="E344" s="170"/>
      <c r="F344" s="1275"/>
      <c r="G344" s="1287"/>
      <c r="H344" s="1287"/>
      <c r="I344" s="1289"/>
      <c r="J344" s="1692"/>
      <c r="K344" s="1323"/>
      <c r="L344" s="1370"/>
      <c r="M344" s="1692"/>
      <c r="N344" s="1323"/>
      <c r="O344" s="1323"/>
      <c r="P344" s="1692"/>
      <c r="Q344" s="1323"/>
      <c r="R344" s="1370"/>
      <c r="S344" s="1692"/>
      <c r="T344" s="1323"/>
      <c r="U344" s="1370"/>
      <c r="V344" s="1692"/>
      <c r="W344" s="1323"/>
      <c r="X344" s="1370"/>
      <c r="Y344" s="1692"/>
      <c r="Z344" s="1323"/>
      <c r="AA344" s="1370"/>
      <c r="AB344" s="1692"/>
      <c r="AC344" s="1323"/>
      <c r="AD344" s="1370"/>
      <c r="AE344" s="1692"/>
      <c r="AF344" s="1323"/>
      <c r="AG344" s="1370"/>
      <c r="AH344" s="1692"/>
      <c r="AI344" s="1323"/>
      <c r="AJ344" s="1370"/>
      <c r="AK344" s="1692"/>
      <c r="AL344" s="1323"/>
      <c r="AM344" s="1370"/>
      <c r="AN344" s="1692"/>
      <c r="AO344" s="1323"/>
      <c r="AP344" s="1370"/>
      <c r="AQ344" s="1692"/>
      <c r="AR344" s="1323"/>
      <c r="AS344" s="1370"/>
      <c r="AT344" s="1692"/>
      <c r="AU344" s="411"/>
      <c r="AV344" s="170"/>
      <c r="AW344" s="411"/>
      <c r="AX344" s="1275"/>
      <c r="AY344" s="379"/>
      <c r="AZ344" s="379"/>
      <c r="BA344" s="381"/>
      <c r="BB344" s="1641"/>
      <c r="BC344" s="458"/>
      <c r="BD344" s="571"/>
      <c r="BE344" s="1641"/>
      <c r="BF344" s="1467"/>
      <c r="BG344" s="458"/>
      <c r="BH344" s="1641"/>
      <c r="BI344" s="1467"/>
      <c r="BJ344" s="571"/>
      <c r="BK344" s="1677"/>
      <c r="BL344" s="1467"/>
      <c r="BM344" s="571"/>
      <c r="BN344" s="1641"/>
      <c r="BO344" s="1467"/>
      <c r="BP344" s="571"/>
      <c r="BQ344" s="1641"/>
      <c r="BR344" s="1467"/>
      <c r="BS344" s="571"/>
      <c r="BT344" s="1641"/>
      <c r="BU344" s="1467"/>
      <c r="BV344" s="571"/>
      <c r="BW344" s="1641"/>
      <c r="BX344" s="1467"/>
      <c r="BY344" s="571"/>
      <c r="BZ344" s="1641"/>
      <c r="CA344" s="1467"/>
      <c r="CB344" s="571"/>
      <c r="CC344" s="1641"/>
      <c r="CD344" s="1467"/>
      <c r="CE344" s="571"/>
      <c r="CF344" s="1641"/>
      <c r="CG344" s="1467"/>
      <c r="CH344" s="571"/>
      <c r="CI344" s="1641"/>
      <c r="CJ344" s="458"/>
      <c r="CK344" s="571"/>
      <c r="CL344" s="571"/>
      <c r="CM344" s="170"/>
      <c r="CN344" s="1275"/>
      <c r="CO344" s="382"/>
      <c r="CP344" s="382"/>
      <c r="CQ344" s="385"/>
      <c r="CR344" s="1712"/>
      <c r="CS344" s="435"/>
      <c r="CT344" s="572"/>
      <c r="CU344" s="1712"/>
      <c r="CV344" s="435"/>
      <c r="CW344" s="435"/>
      <c r="CX344" s="1712"/>
      <c r="CY344" s="435"/>
      <c r="CZ344" s="572"/>
      <c r="DA344" s="1712"/>
      <c r="DB344" s="435"/>
      <c r="DC344" s="572"/>
      <c r="DD344" s="1712"/>
      <c r="DE344" s="435"/>
      <c r="DF344" s="572"/>
      <c r="DG344" s="1712"/>
      <c r="DH344" s="435"/>
      <c r="DI344" s="572"/>
      <c r="DJ344" s="1712"/>
      <c r="DK344" s="435"/>
      <c r="DL344" s="572"/>
      <c r="DM344" s="1712"/>
      <c r="DN344" s="435"/>
      <c r="DO344" s="572"/>
      <c r="DP344" s="1712"/>
      <c r="DQ344" s="435"/>
      <c r="DR344" s="572"/>
      <c r="DS344" s="1712"/>
      <c r="DT344" s="435"/>
      <c r="DU344" s="572"/>
      <c r="DV344" s="1712"/>
      <c r="DW344" s="435"/>
      <c r="DX344" s="572"/>
      <c r="DY344" s="1712"/>
      <c r="DZ344" s="435"/>
      <c r="EA344" s="573"/>
      <c r="EB344" s="170"/>
      <c r="EC344" s="170"/>
      <c r="ED344" s="170"/>
      <c r="EE344" s="170"/>
      <c r="EF344" s="170"/>
      <c r="EG344" s="170"/>
      <c r="EH344" s="170"/>
      <c r="EI344" s="170"/>
      <c r="EJ344" s="170"/>
      <c r="EK344" s="170"/>
    </row>
    <row r="345" spans="1:141" ht="15" x14ac:dyDescent="0.25">
      <c r="A345" s="583"/>
      <c r="B345" s="584"/>
      <c r="C345" s="584"/>
      <c r="D345" s="584"/>
      <c r="E345" s="565"/>
      <c r="F345" s="1578">
        <f>+F343-F225</f>
        <v>0</v>
      </c>
      <c r="G345" s="1369" t="s">
        <v>380</v>
      </c>
      <c r="H345" s="1369"/>
      <c r="I345" s="1375"/>
      <c r="J345" s="1369"/>
      <c r="K345" s="1369">
        <f t="shared" ref="K345:AT345" si="938">+K343-K225</f>
        <v>0</v>
      </c>
      <c r="L345" s="1369">
        <f t="shared" si="938"/>
        <v>301629.64</v>
      </c>
      <c r="M345" s="1369">
        <f t="shared" si="938"/>
        <v>0</v>
      </c>
      <c r="N345" s="1369">
        <f t="shared" si="938"/>
        <v>0</v>
      </c>
      <c r="O345" s="1369">
        <f t="shared" ca="1" si="938"/>
        <v>5029</v>
      </c>
      <c r="P345" s="1369">
        <f t="shared" si="938"/>
        <v>0</v>
      </c>
      <c r="Q345" s="1369">
        <f t="shared" si="938"/>
        <v>0</v>
      </c>
      <c r="R345" s="1369">
        <f t="shared" ca="1" si="938"/>
        <v>34984</v>
      </c>
      <c r="S345" s="1369">
        <f t="shared" si="938"/>
        <v>0</v>
      </c>
      <c r="T345" s="1369">
        <f t="shared" si="938"/>
        <v>0</v>
      </c>
      <c r="U345" s="1369">
        <f t="shared" ca="1" si="938"/>
        <v>14144180.959716547</v>
      </c>
      <c r="V345" s="1369">
        <f t="shared" si="938"/>
        <v>0</v>
      </c>
      <c r="W345" s="1369">
        <f t="shared" si="938"/>
        <v>0</v>
      </c>
      <c r="X345" s="1369">
        <f t="shared" ca="1" si="938"/>
        <v>23033045.999482948</v>
      </c>
      <c r="Y345" s="1369">
        <f t="shared" si="938"/>
        <v>0</v>
      </c>
      <c r="Z345" s="1369">
        <f t="shared" si="938"/>
        <v>0</v>
      </c>
      <c r="AA345" s="1369">
        <f t="shared" ca="1" si="938"/>
        <v>7519104.1926781684</v>
      </c>
      <c r="AB345" s="1369">
        <f t="shared" si="938"/>
        <v>0</v>
      </c>
      <c r="AC345" s="1369">
        <f t="shared" si="938"/>
        <v>0</v>
      </c>
      <c r="AD345" s="1369">
        <f t="shared" ca="1" si="938"/>
        <v>0</v>
      </c>
      <c r="AE345" s="1369">
        <f t="shared" ref="AE345:AP345" si="939">+AE343-AE225</f>
        <v>0</v>
      </c>
      <c r="AF345" s="1369">
        <f t="shared" si="939"/>
        <v>0</v>
      </c>
      <c r="AG345" s="1369">
        <f t="shared" ca="1" si="939"/>
        <v>0</v>
      </c>
      <c r="AH345" s="1369">
        <f t="shared" si="939"/>
        <v>0</v>
      </c>
      <c r="AI345" s="1369">
        <f t="shared" si="939"/>
        <v>0</v>
      </c>
      <c r="AJ345" s="1369">
        <f t="shared" ca="1" si="939"/>
        <v>0</v>
      </c>
      <c r="AK345" s="1369">
        <f t="shared" si="939"/>
        <v>0</v>
      </c>
      <c r="AL345" s="1369">
        <f t="shared" si="939"/>
        <v>0</v>
      </c>
      <c r="AM345" s="1369">
        <f t="shared" ca="1" si="939"/>
        <v>0</v>
      </c>
      <c r="AN345" s="1369">
        <f t="shared" si="939"/>
        <v>0</v>
      </c>
      <c r="AO345" s="1369">
        <f t="shared" si="939"/>
        <v>0</v>
      </c>
      <c r="AP345" s="1369">
        <f t="shared" ca="1" si="939"/>
        <v>0</v>
      </c>
      <c r="AQ345" s="1369">
        <f t="shared" si="938"/>
        <v>0</v>
      </c>
      <c r="AR345" s="1369">
        <f t="shared" si="938"/>
        <v>0</v>
      </c>
      <c r="AS345" s="1369">
        <f t="shared" ca="1" si="938"/>
        <v>45037973.791877665</v>
      </c>
      <c r="AT345" s="1369">
        <f t="shared" si="938"/>
        <v>0</v>
      </c>
      <c r="AU345" s="411"/>
      <c r="AV345" s="170"/>
      <c r="AW345" s="565">
        <f>+AW343-AW225</f>
        <v>0</v>
      </c>
      <c r="AX345" s="1578">
        <f>+AX343-AX225</f>
        <v>0</v>
      </c>
      <c r="AY345" s="585" t="str">
        <f>+G345</f>
        <v>Check pricing</v>
      </c>
      <c r="AZ345" s="585">
        <f t="shared" ref="AZ345:CK345" si="940">+AZ343-AZ225</f>
        <v>0</v>
      </c>
      <c r="BA345" s="585">
        <f t="shared" si="940"/>
        <v>0</v>
      </c>
      <c r="BB345" s="1578">
        <f t="shared" si="940"/>
        <v>0</v>
      </c>
      <c r="BC345" s="585">
        <f t="shared" si="940"/>
        <v>0</v>
      </c>
      <c r="BD345" s="585">
        <f t="shared" si="940"/>
        <v>301629.64</v>
      </c>
      <c r="BE345" s="1578">
        <f t="shared" si="940"/>
        <v>0</v>
      </c>
      <c r="BF345" s="1479">
        <f t="shared" si="940"/>
        <v>0</v>
      </c>
      <c r="BG345" s="585">
        <f t="shared" ca="1" si="940"/>
        <v>5028.8899999999994</v>
      </c>
      <c r="BH345" s="1578">
        <f t="shared" si="940"/>
        <v>0</v>
      </c>
      <c r="BI345" s="1479">
        <f t="shared" si="940"/>
        <v>0</v>
      </c>
      <c r="BJ345" s="585">
        <f t="shared" ca="1" si="940"/>
        <v>34601</v>
      </c>
      <c r="BK345" s="585">
        <f t="shared" si="940"/>
        <v>0</v>
      </c>
      <c r="BL345" s="1479">
        <f t="shared" si="940"/>
        <v>0</v>
      </c>
      <c r="BM345" s="585">
        <f t="shared" ca="1" si="940"/>
        <v>13391336.435116548</v>
      </c>
      <c r="BN345" s="1578">
        <f t="shared" si="940"/>
        <v>0</v>
      </c>
      <c r="BO345" s="1479">
        <f t="shared" si="940"/>
        <v>0</v>
      </c>
      <c r="BP345" s="585">
        <f t="shared" ca="1" si="940"/>
        <v>21208747.595306545</v>
      </c>
      <c r="BQ345" s="1578">
        <f t="shared" si="940"/>
        <v>0</v>
      </c>
      <c r="BR345" s="1479">
        <f t="shared" si="940"/>
        <v>0</v>
      </c>
      <c r="BS345" s="585">
        <f t="shared" ca="1" si="940"/>
        <v>6788775.8320000004</v>
      </c>
      <c r="BT345" s="1578">
        <f t="shared" si="940"/>
        <v>0</v>
      </c>
      <c r="BU345" s="1479">
        <f t="shared" si="940"/>
        <v>0</v>
      </c>
      <c r="BV345" s="585">
        <f t="shared" ca="1" si="940"/>
        <v>0</v>
      </c>
      <c r="BW345" s="1578">
        <f t="shared" ref="BW345:CH345" si="941">+BW343-BW225</f>
        <v>0</v>
      </c>
      <c r="BX345" s="1479">
        <f t="shared" si="941"/>
        <v>0</v>
      </c>
      <c r="BY345" s="585">
        <f t="shared" ca="1" si="941"/>
        <v>0</v>
      </c>
      <c r="BZ345" s="1578">
        <f t="shared" si="941"/>
        <v>0</v>
      </c>
      <c r="CA345" s="1479">
        <f t="shared" si="941"/>
        <v>0</v>
      </c>
      <c r="CB345" s="585">
        <f t="shared" ca="1" si="941"/>
        <v>0</v>
      </c>
      <c r="CC345" s="1578">
        <f t="shared" si="941"/>
        <v>0</v>
      </c>
      <c r="CD345" s="1479">
        <f t="shared" si="941"/>
        <v>0</v>
      </c>
      <c r="CE345" s="585">
        <f t="shared" ca="1" si="941"/>
        <v>0</v>
      </c>
      <c r="CF345" s="1578">
        <f t="shared" si="941"/>
        <v>0</v>
      </c>
      <c r="CG345" s="1479">
        <f t="shared" si="941"/>
        <v>0</v>
      </c>
      <c r="CH345" s="585">
        <f t="shared" ca="1" si="941"/>
        <v>0</v>
      </c>
      <c r="CI345" s="1578">
        <f t="shared" si="940"/>
        <v>0</v>
      </c>
      <c r="CJ345" s="585">
        <f t="shared" si="940"/>
        <v>0</v>
      </c>
      <c r="CK345" s="585">
        <f t="shared" ca="1" si="940"/>
        <v>41730119.392423101</v>
      </c>
      <c r="CL345" s="585"/>
      <c r="CM345" s="170"/>
      <c r="CN345" s="1578">
        <f>+CN343-CN225</f>
        <v>0</v>
      </c>
      <c r="CO345" s="567" t="str">
        <f>+G345</f>
        <v>Check pricing</v>
      </c>
      <c r="CP345" s="567">
        <f t="shared" ref="CP345:EA345" si="942">+CP343-CP225</f>
        <v>0</v>
      </c>
      <c r="CQ345" s="567">
        <f t="shared" si="942"/>
        <v>0</v>
      </c>
      <c r="CR345" s="567">
        <f t="shared" si="942"/>
        <v>0</v>
      </c>
      <c r="CS345" s="567">
        <f t="shared" si="942"/>
        <v>0</v>
      </c>
      <c r="CT345" s="567">
        <f t="shared" si="942"/>
        <v>0</v>
      </c>
      <c r="CU345" s="567">
        <f t="shared" si="942"/>
        <v>0</v>
      </c>
      <c r="CV345" s="567">
        <f t="shared" si="942"/>
        <v>0</v>
      </c>
      <c r="CW345" s="567">
        <f t="shared" ca="1" si="942"/>
        <v>0.11000000000012733</v>
      </c>
      <c r="CX345" s="567">
        <f t="shared" si="942"/>
        <v>0</v>
      </c>
      <c r="CY345" s="567">
        <f t="shared" si="942"/>
        <v>0</v>
      </c>
      <c r="CZ345" s="567">
        <f t="shared" ca="1" si="942"/>
        <v>383</v>
      </c>
      <c r="DA345" s="567">
        <f t="shared" si="942"/>
        <v>0</v>
      </c>
      <c r="DB345" s="567">
        <f t="shared" si="942"/>
        <v>0</v>
      </c>
      <c r="DC345" s="567">
        <f t="shared" ca="1" si="942"/>
        <v>752844.52459999954</v>
      </c>
      <c r="DD345" s="567">
        <f t="shared" si="942"/>
        <v>0</v>
      </c>
      <c r="DE345" s="567">
        <f t="shared" si="942"/>
        <v>0</v>
      </c>
      <c r="DF345" s="567">
        <f t="shared" ca="1" si="942"/>
        <v>1824298.4041764003</v>
      </c>
      <c r="DG345" s="567">
        <f t="shared" si="942"/>
        <v>0</v>
      </c>
      <c r="DH345" s="567">
        <f t="shared" si="942"/>
        <v>0</v>
      </c>
      <c r="DI345" s="567">
        <f t="shared" ca="1" si="942"/>
        <v>730328.36067816825</v>
      </c>
      <c r="DJ345" s="567">
        <f t="shared" si="942"/>
        <v>0</v>
      </c>
      <c r="DK345" s="567">
        <f t="shared" si="942"/>
        <v>0</v>
      </c>
      <c r="DL345" s="567">
        <f t="shared" ca="1" si="942"/>
        <v>0</v>
      </c>
      <c r="DM345" s="567">
        <f t="shared" ref="DM345:DX345" si="943">+DM343-DM225</f>
        <v>0</v>
      </c>
      <c r="DN345" s="567">
        <f t="shared" si="943"/>
        <v>0</v>
      </c>
      <c r="DO345" s="567">
        <f t="shared" ca="1" si="943"/>
        <v>0</v>
      </c>
      <c r="DP345" s="567">
        <f t="shared" si="943"/>
        <v>0</v>
      </c>
      <c r="DQ345" s="567">
        <f t="shared" si="943"/>
        <v>0</v>
      </c>
      <c r="DR345" s="567">
        <f t="shared" ca="1" si="943"/>
        <v>0</v>
      </c>
      <c r="DS345" s="567">
        <f t="shared" si="943"/>
        <v>0</v>
      </c>
      <c r="DT345" s="567">
        <f t="shared" si="943"/>
        <v>0</v>
      </c>
      <c r="DU345" s="567">
        <f t="shared" ca="1" si="943"/>
        <v>0</v>
      </c>
      <c r="DV345" s="567">
        <f t="shared" si="943"/>
        <v>0</v>
      </c>
      <c r="DW345" s="567">
        <f t="shared" si="943"/>
        <v>0</v>
      </c>
      <c r="DX345" s="567">
        <f t="shared" ca="1" si="943"/>
        <v>0</v>
      </c>
      <c r="DY345" s="567">
        <f t="shared" si="942"/>
        <v>0</v>
      </c>
      <c r="DZ345" s="567">
        <f t="shared" si="942"/>
        <v>0</v>
      </c>
      <c r="EA345" s="568">
        <f t="shared" ca="1" si="942"/>
        <v>3307854.399454568</v>
      </c>
      <c r="EB345" s="586"/>
      <c r="EC345" s="170"/>
      <c r="ED345" s="170"/>
      <c r="EE345" s="170"/>
      <c r="EF345" s="170"/>
      <c r="EG345" s="170"/>
      <c r="EH345" s="170"/>
      <c r="EI345" s="170"/>
      <c r="EJ345" s="170"/>
      <c r="EK345" s="170"/>
    </row>
    <row r="346" spans="1:141" ht="12.6" customHeight="1" x14ac:dyDescent="0.25">
      <c r="AU346" s="411"/>
      <c r="BF346" s="1480"/>
      <c r="BI346" s="1480"/>
      <c r="BL346" s="1480"/>
      <c r="BO346" s="1480"/>
      <c r="BR346" s="1480"/>
      <c r="BU346" s="1480"/>
      <c r="BX346" s="1480"/>
      <c r="CA346" s="1480"/>
      <c r="CD346" s="1480"/>
      <c r="CG346" s="1480"/>
      <c r="CM346" s="170"/>
    </row>
    <row r="347" spans="1:141" ht="12.6" customHeight="1" x14ac:dyDescent="0.25">
      <c r="AU347" s="411"/>
      <c r="BF347" s="1480"/>
      <c r="BI347" s="1480"/>
      <c r="BL347" s="1480"/>
      <c r="BO347" s="1480"/>
      <c r="BR347" s="1480"/>
      <c r="BU347" s="1480"/>
      <c r="BX347" s="1480"/>
      <c r="CA347" s="1480"/>
      <c r="CD347" s="1480"/>
      <c r="CG347" s="1480"/>
      <c r="CM347" s="170"/>
    </row>
    <row r="348" spans="1:141" ht="12.6" customHeight="1" x14ac:dyDescent="0.25">
      <c r="AU348" s="411"/>
      <c r="BF348" s="1480"/>
      <c r="BI348" s="1480"/>
      <c r="BL348" s="1480"/>
      <c r="BO348" s="1480"/>
      <c r="BR348" s="1480"/>
      <c r="BU348" s="1480"/>
      <c r="BX348" s="1480"/>
      <c r="CA348" s="1480"/>
      <c r="CD348" s="1480"/>
      <c r="CG348" s="1480"/>
      <c r="CM348" s="170"/>
    </row>
    <row r="349" spans="1:141" ht="12.6" customHeight="1" x14ac:dyDescent="0.25">
      <c r="AU349" s="411"/>
      <c r="BF349" s="1480"/>
      <c r="BI349" s="1480"/>
      <c r="BL349" s="1480"/>
      <c r="BO349" s="1480"/>
      <c r="BR349" s="1480"/>
      <c r="BU349" s="1480"/>
      <c r="BX349" s="1480"/>
      <c r="CA349" s="1480"/>
      <c r="CD349" s="1480"/>
      <c r="CG349" s="1480"/>
      <c r="CM349" s="170"/>
    </row>
    <row r="350" spans="1:141" ht="12.6" customHeight="1" x14ac:dyDescent="0.25">
      <c r="AU350" s="411"/>
      <c r="BF350" s="1480"/>
      <c r="BI350" s="1480"/>
      <c r="BL350" s="1480"/>
      <c r="BO350" s="1480"/>
      <c r="BR350" s="1480"/>
      <c r="BU350" s="1480"/>
      <c r="BX350" s="1480"/>
      <c r="CA350" s="1480"/>
      <c r="CD350" s="1480"/>
      <c r="CG350" s="1480"/>
      <c r="CM350" s="170"/>
    </row>
    <row r="351" spans="1:141" ht="12.6" customHeight="1" x14ac:dyDescent="0.25">
      <c r="AU351" s="411"/>
      <c r="BF351" s="1480"/>
      <c r="BI351" s="1480"/>
      <c r="BL351" s="1480"/>
      <c r="BO351" s="1480"/>
      <c r="BR351" s="1480"/>
      <c r="BU351" s="1480"/>
      <c r="BX351" s="1480"/>
      <c r="CA351" s="1480"/>
      <c r="CD351" s="1480"/>
      <c r="CG351" s="1480"/>
      <c r="CM351" s="170"/>
    </row>
    <row r="352" spans="1:141" ht="12.6" customHeight="1" x14ac:dyDescent="0.25">
      <c r="AU352" s="411"/>
      <c r="BF352" s="1480"/>
      <c r="BI352" s="1480"/>
      <c r="BL352" s="1480"/>
      <c r="BO352" s="1480"/>
      <c r="BR352" s="1480"/>
      <c r="BU352" s="1480"/>
      <c r="BX352" s="1480"/>
      <c r="CA352" s="1480"/>
      <c r="CD352" s="1480"/>
      <c r="CG352" s="1480"/>
      <c r="CM352" s="170"/>
    </row>
    <row r="353" spans="1:141" ht="12.6" customHeight="1" thickBot="1" x14ac:dyDescent="0.3">
      <c r="AU353" s="411"/>
      <c r="BF353" s="1480"/>
      <c r="BI353" s="1480"/>
      <c r="BL353" s="1480"/>
      <c r="BO353" s="1480"/>
      <c r="BR353" s="1480"/>
      <c r="BU353" s="1480"/>
      <c r="BX353" s="1480"/>
      <c r="CA353" s="1480"/>
      <c r="CD353" s="1480"/>
      <c r="CG353" s="1480"/>
      <c r="CM353" s="170"/>
    </row>
    <row r="354" spans="1:141" ht="15.75" thickTop="1" x14ac:dyDescent="0.25">
      <c r="A354" s="545"/>
      <c r="B354" s="546"/>
      <c r="C354" s="546"/>
      <c r="D354" s="546"/>
      <c r="E354" s="547"/>
      <c r="F354" s="1577"/>
      <c r="G354" s="1353"/>
      <c r="H354" s="1353"/>
      <c r="I354" s="1366"/>
      <c r="J354" s="1722"/>
      <c r="K354" s="1681">
        <f>+K65</f>
        <v>0</v>
      </c>
      <c r="L354" s="1367"/>
      <c r="M354" s="1368"/>
      <c r="N354" s="1681">
        <f>+N65</f>
        <v>0</v>
      </c>
      <c r="O354" s="1367"/>
      <c r="P354" s="1368"/>
      <c r="Q354" s="1681">
        <f>+Q65</f>
        <v>0</v>
      </c>
      <c r="R354" s="1367"/>
      <c r="S354" s="1368"/>
      <c r="T354" s="1681">
        <f>+T65</f>
        <v>2730</v>
      </c>
      <c r="U354" s="1367"/>
      <c r="V354" s="1368"/>
      <c r="W354" s="1681">
        <f>+W65</f>
        <v>2550</v>
      </c>
      <c r="X354" s="1367"/>
      <c r="Y354" s="1368"/>
      <c r="Z354" s="1681">
        <f>+Z65</f>
        <v>500</v>
      </c>
      <c r="AA354" s="1367"/>
      <c r="AB354" s="1368"/>
      <c r="AC354" s="1681">
        <f>+AC65</f>
        <v>0</v>
      </c>
      <c r="AD354" s="1367"/>
      <c r="AE354" s="1368"/>
      <c r="AF354" s="1681">
        <f>+AF65</f>
        <v>0</v>
      </c>
      <c r="AG354" s="1367"/>
      <c r="AH354" s="1368"/>
      <c r="AI354" s="1681">
        <f>+AI65</f>
        <v>0</v>
      </c>
      <c r="AJ354" s="1367"/>
      <c r="AK354" s="1368"/>
      <c r="AL354" s="1681">
        <f>+AL65</f>
        <v>0</v>
      </c>
      <c r="AM354" s="1367"/>
      <c r="AN354" s="1368"/>
      <c r="AO354" s="1681">
        <f>+AO65</f>
        <v>0</v>
      </c>
      <c r="AP354" s="1367"/>
      <c r="AQ354" s="1368"/>
      <c r="AR354" s="1681">
        <f>+AR65</f>
        <v>5780</v>
      </c>
      <c r="AS354" s="1367"/>
      <c r="AT354" s="1368"/>
      <c r="AU354" s="411"/>
      <c r="AV354" s="548"/>
      <c r="AW354" s="548"/>
      <c r="AX354" s="1577"/>
      <c r="AY354" s="549"/>
      <c r="AZ354" s="549"/>
      <c r="BA354" s="550"/>
      <c r="BB354" s="1643"/>
      <c r="BC354" s="552">
        <f>+BC65</f>
        <v>0</v>
      </c>
      <c r="BD354" s="551"/>
      <c r="BE354" s="1643"/>
      <c r="BF354" s="1652">
        <f>+BF65</f>
        <v>0</v>
      </c>
      <c r="BG354" s="551"/>
      <c r="BH354" s="1643"/>
      <c r="BI354" s="1652">
        <f>+BI65</f>
        <v>0</v>
      </c>
      <c r="BJ354" s="551"/>
      <c r="BK354" s="1673"/>
      <c r="BL354" s="1652">
        <f>+BL65</f>
        <v>2730</v>
      </c>
      <c r="BM354" s="551"/>
      <c r="BN354" s="1643"/>
      <c r="BO354" s="1652">
        <f>+BO65</f>
        <v>2550</v>
      </c>
      <c r="BP354" s="551"/>
      <c r="BQ354" s="1643"/>
      <c r="BR354" s="1652">
        <f>+BR65</f>
        <v>500</v>
      </c>
      <c r="BS354" s="551"/>
      <c r="BT354" s="1643"/>
      <c r="BU354" s="1652">
        <f>+BU65</f>
        <v>0</v>
      </c>
      <c r="BV354" s="551"/>
      <c r="BW354" s="1643"/>
      <c r="BX354" s="1652">
        <f>+BX65</f>
        <v>0</v>
      </c>
      <c r="BY354" s="551"/>
      <c r="BZ354" s="1643"/>
      <c r="CA354" s="1652">
        <f>+CA65</f>
        <v>0</v>
      </c>
      <c r="CB354" s="551"/>
      <c r="CC354" s="1643"/>
      <c r="CD354" s="1652">
        <f>+CD65</f>
        <v>0</v>
      </c>
      <c r="CE354" s="551"/>
      <c r="CF354" s="1643"/>
      <c r="CG354" s="1652">
        <f>+CG65</f>
        <v>0</v>
      </c>
      <c r="CH354" s="551"/>
      <c r="CI354" s="1643"/>
      <c r="CJ354" s="552">
        <f>+CJ65</f>
        <v>5780</v>
      </c>
      <c r="CK354" s="551"/>
      <c r="CL354" s="552"/>
      <c r="CM354" s="170"/>
      <c r="CN354" s="1577"/>
      <c r="CO354" s="553"/>
      <c r="CP354" s="553"/>
      <c r="CQ354" s="554"/>
      <c r="CR354" s="1713"/>
      <c r="CS354" s="1699">
        <f>+CS65</f>
        <v>0</v>
      </c>
      <c r="CT354" s="556"/>
      <c r="CU354" s="1713"/>
      <c r="CV354" s="1699">
        <f>+CV65</f>
        <v>0</v>
      </c>
      <c r="CW354" s="556"/>
      <c r="CX354" s="1713"/>
      <c r="CY354" s="1699">
        <f>+CY65</f>
        <v>0</v>
      </c>
      <c r="CZ354" s="556"/>
      <c r="DA354" s="1713"/>
      <c r="DB354" s="1699">
        <f>+DB65</f>
        <v>0</v>
      </c>
      <c r="DC354" s="556"/>
      <c r="DD354" s="1713"/>
      <c r="DE354" s="1699">
        <f>+DE65</f>
        <v>0</v>
      </c>
      <c r="DF354" s="556"/>
      <c r="DG354" s="1713"/>
      <c r="DH354" s="1699">
        <f>+DH65</f>
        <v>0</v>
      </c>
      <c r="DI354" s="556"/>
      <c r="DJ354" s="1713"/>
      <c r="DK354" s="1699">
        <f>+DK65</f>
        <v>0</v>
      </c>
      <c r="DL354" s="556"/>
      <c r="DM354" s="1713"/>
      <c r="DN354" s="1699">
        <f>+DN65</f>
        <v>0</v>
      </c>
      <c r="DO354" s="556"/>
      <c r="DP354" s="1713"/>
      <c r="DQ354" s="1699">
        <f>+DQ65</f>
        <v>0</v>
      </c>
      <c r="DR354" s="556"/>
      <c r="DS354" s="1713"/>
      <c r="DT354" s="1699">
        <f>+DT65</f>
        <v>0</v>
      </c>
      <c r="DU354" s="556"/>
      <c r="DV354" s="1713"/>
      <c r="DW354" s="1699">
        <f>+DW65</f>
        <v>0</v>
      </c>
      <c r="DX354" s="556"/>
      <c r="DY354" s="1713"/>
      <c r="DZ354" s="1699">
        <f>+DZ65</f>
        <v>0</v>
      </c>
      <c r="EA354" s="556"/>
      <c r="EB354" s="170"/>
      <c r="EC354" s="170"/>
      <c r="ED354" s="170"/>
      <c r="EE354" s="170"/>
      <c r="EF354" s="170"/>
      <c r="EG354" s="170"/>
      <c r="EH354" s="170"/>
      <c r="EI354" s="170"/>
      <c r="EJ354" s="170"/>
      <c r="EK354" s="170"/>
    </row>
    <row r="355" spans="1:141" ht="26.25" x14ac:dyDescent="0.25">
      <c r="A355" s="557"/>
      <c r="B355" s="472"/>
      <c r="C355" s="472"/>
      <c r="D355" s="472"/>
      <c r="E355" s="558" t="s">
        <v>3189</v>
      </c>
      <c r="F355" s="1239"/>
      <c r="G355" s="1287"/>
      <c r="H355" s="1287"/>
      <c r="I355" s="1289"/>
      <c r="J355" s="1287"/>
      <c r="K355" s="1288" t="s">
        <v>289</v>
      </c>
      <c r="L355" s="1288" t="s">
        <v>201</v>
      </c>
      <c r="M355" s="1287"/>
      <c r="N355" s="1288" t="s">
        <v>289</v>
      </c>
      <c r="O355" s="1288" t="s">
        <v>201</v>
      </c>
      <c r="P355" s="1287"/>
      <c r="Q355" s="1288" t="s">
        <v>289</v>
      </c>
      <c r="R355" s="1288" t="s">
        <v>201</v>
      </c>
      <c r="S355" s="1287"/>
      <c r="T355" s="1288" t="s">
        <v>289</v>
      </c>
      <c r="U355" s="1288" t="s">
        <v>201</v>
      </c>
      <c r="V355" s="1287"/>
      <c r="W355" s="1288" t="s">
        <v>289</v>
      </c>
      <c r="X355" s="1288" t="s">
        <v>201</v>
      </c>
      <c r="Y355" s="1287"/>
      <c r="Z355" s="1288" t="s">
        <v>289</v>
      </c>
      <c r="AA355" s="1288" t="s">
        <v>201</v>
      </c>
      <c r="AB355" s="1287"/>
      <c r="AC355" s="1288" t="s">
        <v>289</v>
      </c>
      <c r="AD355" s="1288" t="s">
        <v>201</v>
      </c>
      <c r="AE355" s="1287"/>
      <c r="AF355" s="1288" t="s">
        <v>289</v>
      </c>
      <c r="AG355" s="1288" t="s">
        <v>201</v>
      </c>
      <c r="AH355" s="1287"/>
      <c r="AI355" s="1288" t="s">
        <v>289</v>
      </c>
      <c r="AJ355" s="1288" t="s">
        <v>201</v>
      </c>
      <c r="AK355" s="1287"/>
      <c r="AL355" s="1288" t="s">
        <v>289</v>
      </c>
      <c r="AM355" s="1288" t="s">
        <v>201</v>
      </c>
      <c r="AN355" s="1287"/>
      <c r="AO355" s="1288" t="s">
        <v>289</v>
      </c>
      <c r="AP355" s="1288" t="s">
        <v>201</v>
      </c>
      <c r="AQ355" s="1287"/>
      <c r="AR355" s="1288" t="s">
        <v>289</v>
      </c>
      <c r="AS355" s="1288" t="s">
        <v>201</v>
      </c>
      <c r="AT355" s="1287"/>
      <c r="AU355" s="411"/>
      <c r="AV355" s="170"/>
      <c r="AW355" s="170"/>
      <c r="AX355" s="1239"/>
      <c r="AY355" s="387" t="s">
        <v>3189</v>
      </c>
      <c r="AZ355" s="387"/>
      <c r="BA355" s="380"/>
      <c r="BB355" s="1629"/>
      <c r="BC355" s="380" t="s">
        <v>289</v>
      </c>
      <c r="BD355" s="380" t="s">
        <v>201</v>
      </c>
      <c r="BE355" s="1629"/>
      <c r="BF355" s="1475" t="s">
        <v>289</v>
      </c>
      <c r="BG355" s="380" t="s">
        <v>201</v>
      </c>
      <c r="BH355" s="1629"/>
      <c r="BI355" s="1475" t="s">
        <v>289</v>
      </c>
      <c r="BJ355" s="380" t="s">
        <v>201</v>
      </c>
      <c r="BK355" s="1674"/>
      <c r="BL355" s="1475" t="s">
        <v>289</v>
      </c>
      <c r="BM355" s="380" t="s">
        <v>201</v>
      </c>
      <c r="BN355" s="1629"/>
      <c r="BO355" s="1475" t="s">
        <v>289</v>
      </c>
      <c r="BP355" s="380" t="s">
        <v>201</v>
      </c>
      <c r="BQ355" s="1629"/>
      <c r="BR355" s="1475" t="s">
        <v>289</v>
      </c>
      <c r="BS355" s="380" t="s">
        <v>201</v>
      </c>
      <c r="BT355" s="1629"/>
      <c r="BU355" s="1475" t="s">
        <v>289</v>
      </c>
      <c r="BV355" s="380" t="s">
        <v>201</v>
      </c>
      <c r="BW355" s="1629"/>
      <c r="BX355" s="1475" t="s">
        <v>289</v>
      </c>
      <c r="BY355" s="380" t="s">
        <v>201</v>
      </c>
      <c r="BZ355" s="1629"/>
      <c r="CA355" s="1475" t="s">
        <v>289</v>
      </c>
      <c r="CB355" s="380" t="s">
        <v>201</v>
      </c>
      <c r="CC355" s="1629"/>
      <c r="CD355" s="1475" t="s">
        <v>289</v>
      </c>
      <c r="CE355" s="380" t="s">
        <v>201</v>
      </c>
      <c r="CF355" s="1629"/>
      <c r="CG355" s="1475" t="s">
        <v>289</v>
      </c>
      <c r="CH355" s="380" t="s">
        <v>201</v>
      </c>
      <c r="CI355" s="1629"/>
      <c r="CJ355" s="380" t="s">
        <v>289</v>
      </c>
      <c r="CK355" s="409" t="s">
        <v>201</v>
      </c>
      <c r="CL355" s="380"/>
      <c r="CM355" s="170"/>
      <c r="CN355" s="1239"/>
      <c r="CO355" s="388" t="s">
        <v>376</v>
      </c>
      <c r="CP355" s="388"/>
      <c r="CQ355" s="384"/>
      <c r="CR355" s="1701"/>
      <c r="CS355" s="384" t="s">
        <v>289</v>
      </c>
      <c r="CT355" s="384" t="s">
        <v>201</v>
      </c>
      <c r="CU355" s="1701"/>
      <c r="CV355" s="384" t="s">
        <v>289</v>
      </c>
      <c r="CW355" s="384" t="s">
        <v>201</v>
      </c>
      <c r="CX355" s="1701"/>
      <c r="CY355" s="384" t="s">
        <v>289</v>
      </c>
      <c r="CZ355" s="384" t="s">
        <v>201</v>
      </c>
      <c r="DA355" s="1701"/>
      <c r="DB355" s="384" t="s">
        <v>289</v>
      </c>
      <c r="DC355" s="384" t="s">
        <v>201</v>
      </c>
      <c r="DD355" s="1701"/>
      <c r="DE355" s="384" t="s">
        <v>289</v>
      </c>
      <c r="DF355" s="384" t="s">
        <v>201</v>
      </c>
      <c r="DG355" s="1701"/>
      <c r="DH355" s="384" t="s">
        <v>289</v>
      </c>
      <c r="DI355" s="384" t="s">
        <v>201</v>
      </c>
      <c r="DJ355" s="1701"/>
      <c r="DK355" s="384" t="s">
        <v>289</v>
      </c>
      <c r="DL355" s="384" t="s">
        <v>201</v>
      </c>
      <c r="DM355" s="1701"/>
      <c r="DN355" s="384" t="s">
        <v>289</v>
      </c>
      <c r="DO355" s="384" t="s">
        <v>201</v>
      </c>
      <c r="DP355" s="1701"/>
      <c r="DQ355" s="384" t="s">
        <v>289</v>
      </c>
      <c r="DR355" s="384" t="s">
        <v>201</v>
      </c>
      <c r="DS355" s="1701"/>
      <c r="DT355" s="384" t="s">
        <v>289</v>
      </c>
      <c r="DU355" s="384" t="s">
        <v>201</v>
      </c>
      <c r="DV355" s="1701"/>
      <c r="DW355" s="384" t="s">
        <v>289</v>
      </c>
      <c r="DX355" s="384" t="s">
        <v>201</v>
      </c>
      <c r="DY355" s="1701"/>
      <c r="DZ355" s="384" t="s">
        <v>289</v>
      </c>
      <c r="EA355" s="559" t="s">
        <v>201</v>
      </c>
      <c r="EB355" s="170"/>
      <c r="EC355" s="170"/>
      <c r="ED355" s="170"/>
      <c r="EE355" s="170"/>
      <c r="EF355" s="170"/>
      <c r="EG355" s="170"/>
      <c r="EH355" s="170"/>
      <c r="EI355" s="170"/>
      <c r="EJ355" s="170"/>
      <c r="EK355" s="170"/>
    </row>
    <row r="356" spans="1:141" ht="15" x14ac:dyDescent="0.25">
      <c r="A356" s="557"/>
      <c r="B356" s="472"/>
      <c r="C356" s="472"/>
      <c r="D356" s="472"/>
      <c r="E356" s="170"/>
      <c r="F356" s="493"/>
      <c r="G356" s="1287"/>
      <c r="H356" s="1287"/>
      <c r="I356" s="1289"/>
      <c r="J356" s="1287"/>
      <c r="K356" s="1289"/>
      <c r="L356" s="1287"/>
      <c r="M356" s="1287"/>
      <c r="N356" s="1289"/>
      <c r="O356" s="1289"/>
      <c r="P356" s="1287"/>
      <c r="Q356" s="1289"/>
      <c r="R356" s="1287"/>
      <c r="S356" s="1287"/>
      <c r="T356" s="1289"/>
      <c r="U356" s="1287"/>
      <c r="V356" s="1287"/>
      <c r="W356" s="1289"/>
      <c r="X356" s="1287"/>
      <c r="Y356" s="1287"/>
      <c r="Z356" s="1289"/>
      <c r="AA356" s="1287"/>
      <c r="AB356" s="1287"/>
      <c r="AC356" s="1289"/>
      <c r="AD356" s="1287"/>
      <c r="AE356" s="1287"/>
      <c r="AF356" s="1289"/>
      <c r="AG356" s="1287"/>
      <c r="AH356" s="1287"/>
      <c r="AI356" s="1289"/>
      <c r="AJ356" s="1287"/>
      <c r="AK356" s="1287"/>
      <c r="AL356" s="1289"/>
      <c r="AM356" s="1287"/>
      <c r="AN356" s="1287"/>
      <c r="AO356" s="1289"/>
      <c r="AP356" s="1287"/>
      <c r="AQ356" s="1287"/>
      <c r="AR356" s="1289"/>
      <c r="AS356" s="1287"/>
      <c r="AT356" s="1287"/>
      <c r="AU356" s="411"/>
      <c r="AV356" s="170"/>
      <c r="AW356" s="170"/>
      <c r="AX356" s="493"/>
      <c r="AY356" s="412"/>
      <c r="AZ356" s="413"/>
      <c r="BA356" s="413"/>
      <c r="BB356" s="1630"/>
      <c r="BC356" s="414"/>
      <c r="BD356" s="415"/>
      <c r="BE356" s="1630"/>
      <c r="BF356" s="1476"/>
      <c r="BG356" s="416"/>
      <c r="BH356" s="1630"/>
      <c r="BI356" s="1476"/>
      <c r="BJ356" s="415"/>
      <c r="BK356" s="1675"/>
      <c r="BL356" s="1476"/>
      <c r="BM356" s="415"/>
      <c r="BN356" s="1630"/>
      <c r="BO356" s="1476"/>
      <c r="BP356" s="415"/>
      <c r="BQ356" s="1630"/>
      <c r="BR356" s="1476"/>
      <c r="BS356" s="415"/>
      <c r="BT356" s="1630"/>
      <c r="BU356" s="1476"/>
      <c r="BV356" s="415"/>
      <c r="BW356" s="1630"/>
      <c r="BX356" s="1476"/>
      <c r="BY356" s="415"/>
      <c r="BZ356" s="1630"/>
      <c r="CA356" s="1476"/>
      <c r="CB356" s="415"/>
      <c r="CC356" s="1630"/>
      <c r="CD356" s="1476"/>
      <c r="CE356" s="415"/>
      <c r="CF356" s="1630"/>
      <c r="CG356" s="1476"/>
      <c r="CH356" s="415"/>
      <c r="CI356" s="1630"/>
      <c r="CJ356" s="414"/>
      <c r="CK356" s="417"/>
      <c r="CL356" s="418"/>
      <c r="CM356" s="170"/>
      <c r="CN356" s="493"/>
      <c r="CO356" s="419"/>
      <c r="CP356" s="420"/>
      <c r="CQ356" s="420"/>
      <c r="CR356" s="1702"/>
      <c r="CS356" s="421"/>
      <c r="CT356" s="422"/>
      <c r="CU356" s="1702"/>
      <c r="CV356" s="421"/>
      <c r="CW356" s="423"/>
      <c r="CX356" s="1702"/>
      <c r="CY356" s="421"/>
      <c r="CZ356" s="422"/>
      <c r="DA356" s="1702"/>
      <c r="DB356" s="421"/>
      <c r="DC356" s="422"/>
      <c r="DD356" s="1702"/>
      <c r="DE356" s="421"/>
      <c r="DF356" s="422"/>
      <c r="DG356" s="1702"/>
      <c r="DH356" s="421"/>
      <c r="DI356" s="422"/>
      <c r="DJ356" s="1702"/>
      <c r="DK356" s="421"/>
      <c r="DL356" s="422"/>
      <c r="DM356" s="1702"/>
      <c r="DN356" s="421"/>
      <c r="DO356" s="422"/>
      <c r="DP356" s="1702"/>
      <c r="DQ356" s="421"/>
      <c r="DR356" s="422"/>
      <c r="DS356" s="1702"/>
      <c r="DT356" s="421"/>
      <c r="DU356" s="422"/>
      <c r="DV356" s="1702"/>
      <c r="DW356" s="421"/>
      <c r="DX356" s="422"/>
      <c r="DY356" s="1702"/>
      <c r="DZ356" s="421"/>
      <c r="EA356" s="560"/>
      <c r="EB356" s="170"/>
      <c r="EC356" s="170"/>
      <c r="ED356" s="170"/>
      <c r="EE356" s="170"/>
      <c r="EF356" s="170"/>
      <c r="EG356" s="170"/>
      <c r="EH356" s="170"/>
      <c r="EI356" s="170"/>
      <c r="EJ356" s="170"/>
      <c r="EK356" s="170"/>
    </row>
    <row r="357" spans="1:141" ht="15" x14ac:dyDescent="0.25">
      <c r="A357" s="557"/>
      <c r="B357" s="472"/>
      <c r="C357" s="472"/>
      <c r="D357" s="472"/>
      <c r="E357" s="170"/>
      <c r="F357" s="170"/>
      <c r="G357" s="1287"/>
      <c r="H357" s="1287"/>
      <c r="I357" s="1289"/>
      <c r="J357" s="1287"/>
      <c r="K357" s="1289"/>
      <c r="L357" s="1287"/>
      <c r="M357" s="1287"/>
      <c r="N357" s="1289"/>
      <c r="O357" s="1289"/>
      <c r="P357" s="1287"/>
      <c r="Q357" s="1289"/>
      <c r="R357" s="1287"/>
      <c r="S357" s="1287"/>
      <c r="T357" s="1289"/>
      <c r="U357" s="1287"/>
      <c r="V357" s="1287"/>
      <c r="W357" s="1289"/>
      <c r="X357" s="1287"/>
      <c r="Y357" s="1287"/>
      <c r="Z357" s="1289"/>
      <c r="AA357" s="1287"/>
      <c r="AB357" s="1287"/>
      <c r="AC357" s="1289"/>
      <c r="AD357" s="1287"/>
      <c r="AE357" s="1287"/>
      <c r="AF357" s="1289"/>
      <c r="AG357" s="1287"/>
      <c r="AH357" s="1287"/>
      <c r="AI357" s="1289"/>
      <c r="AJ357" s="1287"/>
      <c r="AK357" s="1287"/>
      <c r="AL357" s="1289"/>
      <c r="AM357" s="1287"/>
      <c r="AN357" s="1287"/>
      <c r="AO357" s="1289"/>
      <c r="AP357" s="1287"/>
      <c r="AQ357" s="1287"/>
      <c r="AR357" s="1289"/>
      <c r="AS357" s="1287"/>
      <c r="AT357" s="1287"/>
      <c r="AU357" s="411"/>
      <c r="AV357" s="170"/>
      <c r="AW357" s="170"/>
      <c r="AX357" s="170"/>
      <c r="AY357" s="561"/>
      <c r="AZ357" s="561"/>
      <c r="BA357" s="562"/>
      <c r="BB357" s="170"/>
      <c r="BC357" s="562"/>
      <c r="BD357" s="561"/>
      <c r="BE357" s="170"/>
      <c r="BF357" s="1477"/>
      <c r="BG357" s="562"/>
      <c r="BH357" s="170"/>
      <c r="BI357" s="1477"/>
      <c r="BJ357" s="561"/>
      <c r="BK357" s="561"/>
      <c r="BL357" s="1477"/>
      <c r="BM357" s="561"/>
      <c r="BN357" s="170"/>
      <c r="BO357" s="1477"/>
      <c r="BP357" s="561"/>
      <c r="BQ357" s="170"/>
      <c r="BR357" s="1477"/>
      <c r="BS357" s="561"/>
      <c r="BT357" s="170"/>
      <c r="BU357" s="1477"/>
      <c r="BV357" s="561"/>
      <c r="BW357" s="170"/>
      <c r="BX357" s="1477"/>
      <c r="BY357" s="561"/>
      <c r="BZ357" s="170"/>
      <c r="CA357" s="1477"/>
      <c r="CB357" s="561"/>
      <c r="CC357" s="170"/>
      <c r="CD357" s="1477"/>
      <c r="CE357" s="561"/>
      <c r="CF357" s="170"/>
      <c r="CG357" s="1477"/>
      <c r="CH357" s="561"/>
      <c r="CI357" s="170"/>
      <c r="CJ357" s="562"/>
      <c r="CK357" s="561"/>
      <c r="CL357" s="561"/>
      <c r="CM357" s="170"/>
      <c r="CN357" s="170"/>
      <c r="CO357" s="382"/>
      <c r="CP357" s="382"/>
      <c r="CQ357" s="385"/>
      <c r="CR357" s="382"/>
      <c r="CS357" s="385"/>
      <c r="CT357" s="382"/>
      <c r="CU357" s="382"/>
      <c r="CV357" s="385"/>
      <c r="CW357" s="385"/>
      <c r="CX357" s="382"/>
      <c r="CY357" s="385"/>
      <c r="CZ357" s="382"/>
      <c r="DA357" s="382"/>
      <c r="DB357" s="385"/>
      <c r="DC357" s="382"/>
      <c r="DD357" s="382"/>
      <c r="DE357" s="385"/>
      <c r="DF357" s="382"/>
      <c r="DG357" s="382"/>
      <c r="DH357" s="385"/>
      <c r="DI357" s="382"/>
      <c r="DJ357" s="382"/>
      <c r="DK357" s="385"/>
      <c r="DL357" s="382"/>
      <c r="DM357" s="382"/>
      <c r="DN357" s="385"/>
      <c r="DO357" s="382"/>
      <c r="DP357" s="382"/>
      <c r="DQ357" s="385"/>
      <c r="DR357" s="382"/>
      <c r="DS357" s="382"/>
      <c r="DT357" s="385"/>
      <c r="DU357" s="382"/>
      <c r="DV357" s="382"/>
      <c r="DW357" s="385"/>
      <c r="DX357" s="382"/>
      <c r="DY357" s="382"/>
      <c r="DZ357" s="385"/>
      <c r="EA357" s="563"/>
      <c r="EB357" s="170"/>
      <c r="EC357" s="170"/>
      <c r="ED357" s="170"/>
      <c r="EE357" s="170"/>
      <c r="EF357" s="170"/>
      <c r="EG357" s="170"/>
      <c r="EH357" s="170"/>
      <c r="EI357" s="170"/>
      <c r="EJ357" s="170"/>
      <c r="EK357" s="170"/>
    </row>
    <row r="358" spans="1:141" ht="15" x14ac:dyDescent="0.25">
      <c r="A358" s="557"/>
      <c r="B358" s="472"/>
      <c r="C358" s="472"/>
      <c r="D358" s="472"/>
      <c r="E358" s="170"/>
      <c r="F358" s="424"/>
      <c r="G358" s="1374"/>
      <c r="H358" s="1287"/>
      <c r="I358" s="1289"/>
      <c r="J358" s="1287"/>
      <c r="K358" s="1289"/>
      <c r="L358" s="1369">
        <f t="shared" ref="L358:L370" si="944">SUMIF($C$12:$C$201,$C358,L$12:L$201)</f>
        <v>0</v>
      </c>
      <c r="M358" s="1287"/>
      <c r="N358" s="1289"/>
      <c r="O358" s="1369">
        <f t="shared" ref="O358:O370" si="945">SUMIF($C$12:$C$201,$C358,O$12:O$201)</f>
        <v>0</v>
      </c>
      <c r="P358" s="1287"/>
      <c r="Q358" s="1289"/>
      <c r="R358" s="1369">
        <f t="shared" ref="R358:R370" si="946">SUMIF($C$12:$C$201,$C358,R$12:R$201)</f>
        <v>0</v>
      </c>
      <c r="S358" s="1287"/>
      <c r="T358" s="1289"/>
      <c r="U358" s="1369">
        <f t="shared" ref="U358:U370" si="947">SUMIF($C$12:$C$201,$C358,U$12:U$201)</f>
        <v>0</v>
      </c>
      <c r="V358" s="1287"/>
      <c r="W358" s="1289"/>
      <c r="X358" s="1369">
        <f t="shared" ref="X358:X370" si="948">SUMIF($C$12:$C$201,$C358,X$12:X$201)</f>
        <v>0</v>
      </c>
      <c r="Y358" s="1287"/>
      <c r="Z358" s="1289"/>
      <c r="AA358" s="1369">
        <f t="shared" ref="AA358:AA370" si="949">SUMIF($C$12:$C$201,$C358,AA$12:AA$201)</f>
        <v>0</v>
      </c>
      <c r="AB358" s="1287"/>
      <c r="AC358" s="1289"/>
      <c r="AD358" s="1369">
        <f t="shared" ref="AD358:AD370" si="950">SUMIF($C$12:$C$201,$C358,AD$12:AD$201)</f>
        <v>0</v>
      </c>
      <c r="AE358" s="1287"/>
      <c r="AF358" s="1289"/>
      <c r="AG358" s="1369">
        <f t="shared" ref="AG358:AG370" si="951">SUMIF($C$12:$C$201,$C358,AG$12:AG$201)</f>
        <v>0</v>
      </c>
      <c r="AH358" s="1287"/>
      <c r="AI358" s="1289"/>
      <c r="AJ358" s="1369">
        <f t="shared" ref="AJ358:AJ370" si="952">SUMIF($C$12:$C$201,$C358,AJ$12:AJ$201)</f>
        <v>0</v>
      </c>
      <c r="AK358" s="1287"/>
      <c r="AL358" s="1289"/>
      <c r="AM358" s="1369">
        <f t="shared" ref="AM358:AM370" si="953">SUMIF($C$12:$C$201,$C358,AM$12:AM$201)</f>
        <v>0</v>
      </c>
      <c r="AN358" s="1287"/>
      <c r="AO358" s="1289"/>
      <c r="AP358" s="1369">
        <f t="shared" ref="AP358:AP370" si="954">SUMIF($C$12:$C$201,$C358,AP$12:AP$201)</f>
        <v>0</v>
      </c>
      <c r="AQ358" s="1287"/>
      <c r="AR358" s="1289"/>
      <c r="AS358" s="1369">
        <f t="shared" ref="AS358:AS370" si="955">SUMIF($C$12:$C$201,$C358,AS$12:AS$201)</f>
        <v>0</v>
      </c>
      <c r="AT358" s="1287"/>
      <c r="AU358" s="411"/>
      <c r="AV358" s="170"/>
      <c r="AW358" s="170"/>
      <c r="AX358" s="170"/>
      <c r="AY358" s="561"/>
      <c r="AZ358" s="561"/>
      <c r="BA358" s="562"/>
      <c r="BB358" s="170"/>
      <c r="BC358" s="562"/>
      <c r="BD358" s="566">
        <f t="shared" ref="BD358:BD370" si="956">SUMIF($C$12:$C$201,$C358,BD$12:BD$201)</f>
        <v>0</v>
      </c>
      <c r="BE358" s="170"/>
      <c r="BF358" s="1477"/>
      <c r="BG358" s="566">
        <f t="shared" ref="BG358" si="957">SUMIF($F$12:$F$201,$F358,BG$12:BG$201)</f>
        <v>0</v>
      </c>
      <c r="BH358" s="170"/>
      <c r="BI358" s="1477"/>
      <c r="BJ358" s="566">
        <f t="shared" ref="BJ358" si="958">SUMIF($F$12:$F$201,$F358,BJ$12:BJ$201)</f>
        <v>0</v>
      </c>
      <c r="BK358" s="561"/>
      <c r="BL358" s="1477"/>
      <c r="BM358" s="566">
        <f t="shared" ref="BM358" si="959">SUMIF($F$12:$F$201,$F358,BM$12:BM$201)</f>
        <v>0</v>
      </c>
      <c r="BN358" s="170"/>
      <c r="BO358" s="1477"/>
      <c r="BP358" s="566">
        <f t="shared" ref="BP358" si="960">SUMIF($F$12:$F$201,$F358,BP$12:BP$201)</f>
        <v>0</v>
      </c>
      <c r="BQ358" s="170"/>
      <c r="BR358" s="1477"/>
      <c r="BS358" s="566">
        <f t="shared" ref="BS358" si="961">SUMIF($F$12:$F$201,$F358,BS$12:BS$201)</f>
        <v>0</v>
      </c>
      <c r="BT358" s="170"/>
      <c r="BU358" s="1477"/>
      <c r="BV358" s="566">
        <f t="shared" ref="BV358" si="962">SUMIF($F$12:$F$201,$F358,BV$12:BV$201)</f>
        <v>0</v>
      </c>
      <c r="BW358" s="170"/>
      <c r="BX358" s="1477"/>
      <c r="BY358" s="566">
        <f t="shared" ref="BY358" si="963">SUMIF($F$12:$F$201,$F358,BY$12:BY$201)</f>
        <v>0</v>
      </c>
      <c r="BZ358" s="170"/>
      <c r="CA358" s="1477"/>
      <c r="CB358" s="566">
        <f t="shared" ref="CB358" si="964">SUMIF($F$12:$F$201,$F358,CB$12:CB$201)</f>
        <v>0</v>
      </c>
      <c r="CC358" s="170"/>
      <c r="CD358" s="1477"/>
      <c r="CE358" s="566">
        <f t="shared" ref="CE358" si="965">SUMIF($F$12:$F$201,$F358,CE$12:CE$201)</f>
        <v>0</v>
      </c>
      <c r="CF358" s="170"/>
      <c r="CG358" s="1477"/>
      <c r="CH358" s="566">
        <f t="shared" ref="CH358" si="966">SUMIF($F$12:$F$201,$F358,CH$12:CH$201)</f>
        <v>0</v>
      </c>
      <c r="CI358" s="170"/>
      <c r="CJ358" s="562"/>
      <c r="CK358" s="566">
        <f t="shared" ref="CK358" si="967">SUMIF($F$12:$F$201,$F358,CK$12:CK$201)</f>
        <v>0</v>
      </c>
      <c r="CL358" s="566"/>
      <c r="CM358" s="170"/>
      <c r="CN358" s="170"/>
      <c r="CO358" s="382"/>
      <c r="CP358" s="382"/>
      <c r="CQ358" s="385"/>
      <c r="CR358" s="382"/>
      <c r="CS358" s="385"/>
      <c r="CT358" s="567">
        <f t="shared" ref="CT358:CT370" si="968">SUMIF($C$12:$C$201,$C358,CT$12:CT$201)</f>
        <v>0</v>
      </c>
      <c r="CU358" s="382"/>
      <c r="CV358" s="385"/>
      <c r="CW358" s="567">
        <f t="shared" ref="CW358:CW370" si="969">SUMIF($C$12:$C$201,$C358,CW$12:CW$201)</f>
        <v>0</v>
      </c>
      <c r="CX358" s="382"/>
      <c r="CY358" s="385"/>
      <c r="CZ358" s="567">
        <f t="shared" ref="CZ358:CZ370" si="970">SUMIF($C$12:$C$201,$C358,CZ$12:CZ$201)</f>
        <v>0</v>
      </c>
      <c r="DA358" s="382"/>
      <c r="DB358" s="385"/>
      <c r="DC358" s="567">
        <f t="shared" ref="DC358:DC370" si="971">SUMIF($C$12:$C$201,$C358,DC$12:DC$201)</f>
        <v>0</v>
      </c>
      <c r="DD358" s="382"/>
      <c r="DE358" s="385"/>
      <c r="DF358" s="567">
        <f t="shared" ref="DF358:DF370" si="972">SUMIF($C$12:$C$201,$C358,DF$12:DF$201)</f>
        <v>0</v>
      </c>
      <c r="DG358" s="382"/>
      <c r="DH358" s="385"/>
      <c r="DI358" s="567">
        <f t="shared" ref="DI358:DI370" si="973">SUMIF($C$12:$C$201,$C358,DI$12:DI$201)</f>
        <v>0</v>
      </c>
      <c r="DJ358" s="382"/>
      <c r="DK358" s="385"/>
      <c r="DL358" s="567">
        <f t="shared" ref="DL358:DL370" si="974">SUMIF($C$12:$C$201,$C358,DL$12:DL$201)</f>
        <v>0</v>
      </c>
      <c r="DM358" s="382"/>
      <c r="DN358" s="385"/>
      <c r="DO358" s="567">
        <f t="shared" ref="DO358:DO370" si="975">SUMIF($C$12:$C$201,$C358,DO$12:DO$201)</f>
        <v>0</v>
      </c>
      <c r="DP358" s="382"/>
      <c r="DQ358" s="385"/>
      <c r="DR358" s="567">
        <f t="shared" ref="DR358:DR370" si="976">SUMIF($C$12:$C$201,$C358,DR$12:DR$201)</f>
        <v>0</v>
      </c>
      <c r="DS358" s="382"/>
      <c r="DT358" s="385"/>
      <c r="DU358" s="567">
        <f t="shared" ref="DU358:DU370" si="977">SUMIF($C$12:$C$201,$C358,DU$12:DU$201)</f>
        <v>0</v>
      </c>
      <c r="DV358" s="382"/>
      <c r="DW358" s="385"/>
      <c r="DX358" s="567">
        <f t="shared" ref="DX358:DX370" si="978">SUMIF($C$12:$C$201,$C358,DX$12:DX$201)</f>
        <v>0</v>
      </c>
      <c r="DY358" s="382"/>
      <c r="DZ358" s="385"/>
      <c r="EA358" s="567">
        <f t="shared" ref="EA358:EA370" si="979">SUMIF($C$12:$C$201,$C358,EA$12:EA$201)</f>
        <v>0</v>
      </c>
      <c r="EB358" s="170"/>
      <c r="EC358" s="170"/>
      <c r="ED358" s="170"/>
      <c r="EE358" s="170"/>
      <c r="EF358" s="170"/>
      <c r="EG358" s="170"/>
      <c r="EH358" s="170"/>
      <c r="EI358" s="170"/>
      <c r="EJ358" s="170"/>
      <c r="EK358" s="170"/>
    </row>
    <row r="359" spans="1:141" ht="15" x14ac:dyDescent="0.25">
      <c r="A359" s="557"/>
      <c r="B359" s="472"/>
      <c r="C359" s="472"/>
      <c r="D359" s="472"/>
      <c r="E359" s="170"/>
      <c r="F359" s="424" t="s">
        <v>3182</v>
      </c>
      <c r="G359" s="1374" t="s">
        <v>93</v>
      </c>
      <c r="H359" s="1287"/>
      <c r="I359" s="1289"/>
      <c r="J359" s="1287"/>
      <c r="K359" s="1289"/>
      <c r="L359" s="1369">
        <f t="shared" si="944"/>
        <v>0</v>
      </c>
      <c r="M359" s="1287"/>
      <c r="N359" s="1289"/>
      <c r="O359" s="1369">
        <f t="shared" si="945"/>
        <v>0</v>
      </c>
      <c r="P359" s="1287"/>
      <c r="Q359" s="1289"/>
      <c r="R359" s="1369">
        <f t="shared" si="946"/>
        <v>0</v>
      </c>
      <c r="S359" s="1287"/>
      <c r="T359" s="1289"/>
      <c r="U359" s="1369">
        <f t="shared" si="947"/>
        <v>0</v>
      </c>
      <c r="V359" s="1287"/>
      <c r="W359" s="1289"/>
      <c r="X359" s="1369">
        <f t="shared" si="948"/>
        <v>0</v>
      </c>
      <c r="Y359" s="1287"/>
      <c r="Z359" s="1289"/>
      <c r="AA359" s="1369">
        <f t="shared" si="949"/>
        <v>0</v>
      </c>
      <c r="AB359" s="1287"/>
      <c r="AC359" s="1289"/>
      <c r="AD359" s="1369">
        <f t="shared" si="950"/>
        <v>0</v>
      </c>
      <c r="AE359" s="1287"/>
      <c r="AF359" s="1289"/>
      <c r="AG359" s="1369">
        <f t="shared" si="951"/>
        <v>0</v>
      </c>
      <c r="AH359" s="1287"/>
      <c r="AI359" s="1289"/>
      <c r="AJ359" s="1369">
        <f t="shared" si="952"/>
        <v>0</v>
      </c>
      <c r="AK359" s="1287"/>
      <c r="AL359" s="1289"/>
      <c r="AM359" s="1369">
        <f t="shared" si="953"/>
        <v>0</v>
      </c>
      <c r="AN359" s="1287"/>
      <c r="AO359" s="1289"/>
      <c r="AP359" s="1369">
        <f t="shared" si="954"/>
        <v>0</v>
      </c>
      <c r="AQ359" s="1287"/>
      <c r="AR359" s="1289"/>
      <c r="AS359" s="1369">
        <f t="shared" si="955"/>
        <v>0</v>
      </c>
      <c r="AT359" s="1287"/>
      <c r="AU359" s="411"/>
      <c r="AV359" s="170"/>
      <c r="AW359" s="170"/>
      <c r="AX359" s="170"/>
      <c r="AY359" s="561" t="s">
        <v>3190</v>
      </c>
      <c r="AZ359" s="561"/>
      <c r="BA359" s="562"/>
      <c r="BB359" s="170"/>
      <c r="BC359" s="562"/>
      <c r="BD359" s="566">
        <f t="shared" si="956"/>
        <v>0</v>
      </c>
      <c r="BE359" s="170"/>
      <c r="BF359" s="1477"/>
      <c r="BG359" s="566">
        <f t="shared" ref="BG359:BG370" ca="1" si="980">SUMIF($F$12:$F$201,$F359,BG$12:BG$201)</f>
        <v>0</v>
      </c>
      <c r="BH359" s="170"/>
      <c r="BI359" s="1477"/>
      <c r="BJ359" s="566">
        <f t="shared" ref="BJ359:BJ370" ca="1" si="981">SUMIF($F$12:$F$201,$F359,BJ$12:BJ$201)</f>
        <v>0</v>
      </c>
      <c r="BK359" s="561"/>
      <c r="BL359" s="1477"/>
      <c r="BM359" s="566">
        <f t="shared" ref="BM359:BM370" ca="1" si="982">SUMIF($F$12:$F$201,$F359,BM$12:BM$201)</f>
        <v>155262</v>
      </c>
      <c r="BN359" s="170"/>
      <c r="BO359" s="1477"/>
      <c r="BP359" s="566">
        <f t="shared" ref="BP359:BP370" ca="1" si="983">SUMIF($F$12:$F$201,$F359,BP$12:BP$201)</f>
        <v>191766.47</v>
      </c>
      <c r="BQ359" s="170"/>
      <c r="BR359" s="1477"/>
      <c r="BS359" s="566">
        <f t="shared" ref="BS359:BS370" ca="1" si="984">SUMIF($F$12:$F$201,$F359,BS$12:BS$201)</f>
        <v>132234</v>
      </c>
      <c r="BT359" s="170"/>
      <c r="BU359" s="1477"/>
      <c r="BV359" s="566">
        <f t="shared" ref="BV359:BV370" ca="1" si="985">SUMIF($F$12:$F$201,$F359,BV$12:BV$201)</f>
        <v>0</v>
      </c>
      <c r="BW359" s="170"/>
      <c r="BX359" s="1477"/>
      <c r="BY359" s="566">
        <f t="shared" ref="BY359:BY370" ca="1" si="986">SUMIF($F$12:$F$201,$F359,BY$12:BY$201)</f>
        <v>0</v>
      </c>
      <c r="BZ359" s="170"/>
      <c r="CA359" s="1477"/>
      <c r="CB359" s="566">
        <f t="shared" ref="CB359:CB370" ca="1" si="987">SUMIF($F$12:$F$201,$F359,CB$12:CB$201)</f>
        <v>0</v>
      </c>
      <c r="CC359" s="170"/>
      <c r="CD359" s="1477"/>
      <c r="CE359" s="566">
        <f t="shared" ref="CE359:CE370" ca="1" si="988">SUMIF($F$12:$F$201,$F359,CE$12:CE$201)</f>
        <v>0</v>
      </c>
      <c r="CF359" s="170"/>
      <c r="CG359" s="1477"/>
      <c r="CH359" s="566">
        <f t="shared" ref="CH359:CH370" ca="1" si="989">SUMIF($F$12:$F$201,$F359,CH$12:CH$201)</f>
        <v>0</v>
      </c>
      <c r="CI359" s="170"/>
      <c r="CJ359" s="562"/>
      <c r="CK359" s="566">
        <f t="shared" ref="CK359:CK370" ca="1" si="990">SUMIF($F$12:$F$201,$F359,CK$12:CK$201)</f>
        <v>551492.66999999993</v>
      </c>
      <c r="CL359" s="566"/>
      <c r="CM359" s="170"/>
      <c r="CN359" s="170"/>
      <c r="CO359" s="382" t="str">
        <f t="shared" ref="CO359:CO370" si="991">+G359</f>
        <v>Construction</v>
      </c>
      <c r="CP359" s="382"/>
      <c r="CQ359" s="385"/>
      <c r="CR359" s="382"/>
      <c r="CS359" s="385"/>
      <c r="CT359" s="567">
        <f t="shared" si="968"/>
        <v>0</v>
      </c>
      <c r="CU359" s="382"/>
      <c r="CV359" s="385"/>
      <c r="CW359" s="567">
        <f t="shared" si="969"/>
        <v>0</v>
      </c>
      <c r="CX359" s="382"/>
      <c r="CY359" s="385"/>
      <c r="CZ359" s="567">
        <f t="shared" si="970"/>
        <v>0</v>
      </c>
      <c r="DA359" s="382"/>
      <c r="DB359" s="385"/>
      <c r="DC359" s="567">
        <f t="shared" si="971"/>
        <v>0</v>
      </c>
      <c r="DD359" s="382"/>
      <c r="DE359" s="385"/>
      <c r="DF359" s="567">
        <f t="shared" si="972"/>
        <v>0</v>
      </c>
      <c r="DG359" s="382"/>
      <c r="DH359" s="385"/>
      <c r="DI359" s="567">
        <f t="shared" si="973"/>
        <v>0</v>
      </c>
      <c r="DJ359" s="382"/>
      <c r="DK359" s="385"/>
      <c r="DL359" s="567">
        <f t="shared" si="974"/>
        <v>0</v>
      </c>
      <c r="DM359" s="382"/>
      <c r="DN359" s="385"/>
      <c r="DO359" s="567">
        <f t="shared" si="975"/>
        <v>0</v>
      </c>
      <c r="DP359" s="382"/>
      <c r="DQ359" s="385"/>
      <c r="DR359" s="567">
        <f t="shared" si="976"/>
        <v>0</v>
      </c>
      <c r="DS359" s="382"/>
      <c r="DT359" s="385"/>
      <c r="DU359" s="567">
        <f t="shared" si="977"/>
        <v>0</v>
      </c>
      <c r="DV359" s="382"/>
      <c r="DW359" s="385"/>
      <c r="DX359" s="567">
        <f t="shared" si="978"/>
        <v>0</v>
      </c>
      <c r="DY359" s="382"/>
      <c r="DZ359" s="385"/>
      <c r="EA359" s="567">
        <f t="shared" si="979"/>
        <v>0</v>
      </c>
      <c r="EB359" s="170"/>
      <c r="EC359" s="170"/>
      <c r="ED359" s="170"/>
      <c r="EE359" s="170"/>
      <c r="EF359" s="170"/>
      <c r="EG359" s="170"/>
      <c r="EH359" s="170"/>
      <c r="EI359" s="170"/>
      <c r="EJ359" s="170"/>
      <c r="EK359" s="170"/>
    </row>
    <row r="360" spans="1:141" ht="15" x14ac:dyDescent="0.25">
      <c r="A360" s="557"/>
      <c r="B360" s="472"/>
      <c r="C360" s="472"/>
      <c r="D360" s="472"/>
      <c r="E360" s="170"/>
      <c r="F360" s="424" t="s">
        <v>3188</v>
      </c>
      <c r="G360" s="1374" t="s">
        <v>94</v>
      </c>
      <c r="H360" s="1287"/>
      <c r="I360" s="1289"/>
      <c r="J360" s="1287"/>
      <c r="K360" s="1289"/>
      <c r="L360" s="1369">
        <f t="shared" si="944"/>
        <v>0</v>
      </c>
      <c r="M360" s="1287"/>
      <c r="N360" s="1322" t="s">
        <v>377</v>
      </c>
      <c r="O360" s="1369">
        <f t="shared" si="945"/>
        <v>0</v>
      </c>
      <c r="P360" s="1287"/>
      <c r="Q360" s="1289"/>
      <c r="R360" s="1369">
        <f t="shared" si="946"/>
        <v>0</v>
      </c>
      <c r="S360" s="1287"/>
      <c r="T360" s="1289"/>
      <c r="U360" s="1369">
        <f t="shared" si="947"/>
        <v>0</v>
      </c>
      <c r="V360" s="1287"/>
      <c r="W360" s="1289"/>
      <c r="X360" s="1369">
        <f t="shared" si="948"/>
        <v>0</v>
      </c>
      <c r="Y360" s="1287"/>
      <c r="Z360" s="1289"/>
      <c r="AA360" s="1369">
        <f t="shared" si="949"/>
        <v>0</v>
      </c>
      <c r="AB360" s="1287"/>
      <c r="AC360" s="1289"/>
      <c r="AD360" s="1369">
        <f t="shared" si="950"/>
        <v>0</v>
      </c>
      <c r="AE360" s="1287"/>
      <c r="AF360" s="1289"/>
      <c r="AG360" s="1369">
        <f t="shared" si="951"/>
        <v>0</v>
      </c>
      <c r="AH360" s="1287"/>
      <c r="AI360" s="1289"/>
      <c r="AJ360" s="1369">
        <f t="shared" si="952"/>
        <v>0</v>
      </c>
      <c r="AK360" s="1287"/>
      <c r="AL360" s="1289"/>
      <c r="AM360" s="1369">
        <f t="shared" si="953"/>
        <v>0</v>
      </c>
      <c r="AN360" s="1287"/>
      <c r="AO360" s="1289"/>
      <c r="AP360" s="1369">
        <f t="shared" si="954"/>
        <v>0</v>
      </c>
      <c r="AQ360" s="1287"/>
      <c r="AR360" s="1289"/>
      <c r="AS360" s="1369">
        <f t="shared" si="955"/>
        <v>0</v>
      </c>
      <c r="AT360" s="1287"/>
      <c r="AU360" s="411"/>
      <c r="AV360" s="170"/>
      <c r="AW360" s="170"/>
      <c r="AX360" s="170"/>
      <c r="AY360" s="561" t="s">
        <v>3191</v>
      </c>
      <c r="AZ360" s="561"/>
      <c r="BA360" s="562"/>
      <c r="BB360" s="170"/>
      <c r="BC360" s="562"/>
      <c r="BD360" s="566">
        <f t="shared" si="956"/>
        <v>0</v>
      </c>
      <c r="BE360" s="170"/>
      <c r="BF360" s="1477"/>
      <c r="BG360" s="566">
        <f t="shared" ca="1" si="980"/>
        <v>0</v>
      </c>
      <c r="BH360" s="170"/>
      <c r="BI360" s="1477"/>
      <c r="BJ360" s="566">
        <f t="shared" ca="1" si="981"/>
        <v>0</v>
      </c>
      <c r="BK360" s="561"/>
      <c r="BL360" s="1477"/>
      <c r="BM360" s="566">
        <f t="shared" ca="1" si="982"/>
        <v>53469</v>
      </c>
      <c r="BN360" s="170"/>
      <c r="BO360" s="1477"/>
      <c r="BP360" s="566">
        <f t="shared" ca="1" si="983"/>
        <v>52195</v>
      </c>
      <c r="BQ360" s="170"/>
      <c r="BR360" s="1477"/>
      <c r="BS360" s="566">
        <f t="shared" ca="1" si="984"/>
        <v>38671</v>
      </c>
      <c r="BT360" s="170"/>
      <c r="BU360" s="1477"/>
      <c r="BV360" s="566">
        <f t="shared" ca="1" si="985"/>
        <v>0</v>
      </c>
      <c r="BW360" s="170"/>
      <c r="BX360" s="1477"/>
      <c r="BY360" s="566">
        <f t="shared" ca="1" si="986"/>
        <v>0</v>
      </c>
      <c r="BZ360" s="170"/>
      <c r="CA360" s="1477"/>
      <c r="CB360" s="566">
        <f t="shared" ca="1" si="987"/>
        <v>0</v>
      </c>
      <c r="CC360" s="170"/>
      <c r="CD360" s="1477"/>
      <c r="CE360" s="566">
        <f t="shared" ca="1" si="988"/>
        <v>0</v>
      </c>
      <c r="CF360" s="170"/>
      <c r="CG360" s="1477"/>
      <c r="CH360" s="566">
        <f t="shared" ca="1" si="989"/>
        <v>0</v>
      </c>
      <c r="CI360" s="170"/>
      <c r="CJ360" s="562"/>
      <c r="CK360" s="566">
        <f t="shared" ca="1" si="990"/>
        <v>160567.25</v>
      </c>
      <c r="CL360" s="566"/>
      <c r="CM360" s="170"/>
      <c r="CN360" s="170"/>
      <c r="CO360" s="382" t="str">
        <f t="shared" si="991"/>
        <v>Engineering / Design</v>
      </c>
      <c r="CP360" s="382"/>
      <c r="CQ360" s="385"/>
      <c r="CR360" s="382"/>
      <c r="CS360" s="385"/>
      <c r="CT360" s="567">
        <f t="shared" si="968"/>
        <v>0</v>
      </c>
      <c r="CU360" s="382"/>
      <c r="CV360" s="385"/>
      <c r="CW360" s="567">
        <f t="shared" si="969"/>
        <v>0</v>
      </c>
      <c r="CX360" s="382"/>
      <c r="CY360" s="385"/>
      <c r="CZ360" s="567">
        <f t="shared" si="970"/>
        <v>0</v>
      </c>
      <c r="DA360" s="382"/>
      <c r="DB360" s="385"/>
      <c r="DC360" s="567">
        <f t="shared" si="971"/>
        <v>0</v>
      </c>
      <c r="DD360" s="382"/>
      <c r="DE360" s="385"/>
      <c r="DF360" s="567">
        <f t="shared" si="972"/>
        <v>0</v>
      </c>
      <c r="DG360" s="382"/>
      <c r="DH360" s="385"/>
      <c r="DI360" s="567">
        <f t="shared" si="973"/>
        <v>0</v>
      </c>
      <c r="DJ360" s="382"/>
      <c r="DK360" s="385"/>
      <c r="DL360" s="567">
        <f t="shared" si="974"/>
        <v>0</v>
      </c>
      <c r="DM360" s="382"/>
      <c r="DN360" s="385"/>
      <c r="DO360" s="567">
        <f t="shared" si="975"/>
        <v>0</v>
      </c>
      <c r="DP360" s="382"/>
      <c r="DQ360" s="385"/>
      <c r="DR360" s="567">
        <f t="shared" si="976"/>
        <v>0</v>
      </c>
      <c r="DS360" s="382"/>
      <c r="DT360" s="385"/>
      <c r="DU360" s="567">
        <f t="shared" si="977"/>
        <v>0</v>
      </c>
      <c r="DV360" s="382"/>
      <c r="DW360" s="385"/>
      <c r="DX360" s="567">
        <f t="shared" si="978"/>
        <v>0</v>
      </c>
      <c r="DY360" s="382"/>
      <c r="DZ360" s="385"/>
      <c r="EA360" s="567">
        <f t="shared" si="979"/>
        <v>0</v>
      </c>
      <c r="EB360" s="170"/>
      <c r="EC360" s="170"/>
      <c r="ED360" s="170"/>
      <c r="EE360" s="170"/>
      <c r="EF360" s="170"/>
      <c r="EG360" s="170"/>
      <c r="EH360" s="170"/>
      <c r="EI360" s="170"/>
      <c r="EJ360" s="170"/>
      <c r="EK360" s="170"/>
    </row>
    <row r="361" spans="1:141" ht="15" x14ac:dyDescent="0.25">
      <c r="A361" s="557"/>
      <c r="B361" s="472"/>
      <c r="C361" s="472"/>
      <c r="D361" s="472"/>
      <c r="E361" s="170"/>
      <c r="F361" s="424" t="s">
        <v>605</v>
      </c>
      <c r="G361" s="1374" t="s">
        <v>95</v>
      </c>
      <c r="H361" s="1287"/>
      <c r="I361" s="1289"/>
      <c r="J361" s="1287"/>
      <c r="K361" s="1289"/>
      <c r="L361" s="1369">
        <f t="shared" si="944"/>
        <v>0</v>
      </c>
      <c r="M361" s="1287"/>
      <c r="N361" s="1289"/>
      <c r="O361" s="1369">
        <f t="shared" si="945"/>
        <v>0</v>
      </c>
      <c r="P361" s="1287"/>
      <c r="Q361" s="1289"/>
      <c r="R361" s="1369">
        <f t="shared" si="946"/>
        <v>0</v>
      </c>
      <c r="S361" s="1287"/>
      <c r="T361" s="1289"/>
      <c r="U361" s="1369">
        <f t="shared" si="947"/>
        <v>0</v>
      </c>
      <c r="V361" s="1287"/>
      <c r="W361" s="1289"/>
      <c r="X361" s="1369">
        <f t="shared" si="948"/>
        <v>0</v>
      </c>
      <c r="Y361" s="1287"/>
      <c r="Z361" s="1289"/>
      <c r="AA361" s="1369">
        <f t="shared" si="949"/>
        <v>0</v>
      </c>
      <c r="AB361" s="1287"/>
      <c r="AC361" s="1289"/>
      <c r="AD361" s="1369">
        <f t="shared" si="950"/>
        <v>0</v>
      </c>
      <c r="AE361" s="1287"/>
      <c r="AF361" s="1289"/>
      <c r="AG361" s="1369">
        <f t="shared" si="951"/>
        <v>0</v>
      </c>
      <c r="AH361" s="1287"/>
      <c r="AI361" s="1289"/>
      <c r="AJ361" s="1369">
        <f t="shared" si="952"/>
        <v>0</v>
      </c>
      <c r="AK361" s="1287"/>
      <c r="AL361" s="1289"/>
      <c r="AM361" s="1369">
        <f t="shared" si="953"/>
        <v>0</v>
      </c>
      <c r="AN361" s="1287"/>
      <c r="AO361" s="1289"/>
      <c r="AP361" s="1369">
        <f t="shared" si="954"/>
        <v>0</v>
      </c>
      <c r="AQ361" s="1287"/>
      <c r="AR361" s="1289"/>
      <c r="AS361" s="1369">
        <f t="shared" si="955"/>
        <v>0</v>
      </c>
      <c r="AT361" s="1287"/>
      <c r="AU361" s="411"/>
      <c r="AV361" s="170"/>
      <c r="AW361" s="170"/>
      <c r="AX361" s="170"/>
      <c r="AY361" s="561" t="s">
        <v>2340</v>
      </c>
      <c r="AZ361" s="561"/>
      <c r="BA361" s="562"/>
      <c r="BB361" s="170"/>
      <c r="BC361" s="562"/>
      <c r="BD361" s="566">
        <f t="shared" si="956"/>
        <v>0</v>
      </c>
      <c r="BE361" s="170"/>
      <c r="BF361" s="1477"/>
      <c r="BG361" s="566">
        <f t="shared" ca="1" si="980"/>
        <v>0</v>
      </c>
      <c r="BH361" s="170"/>
      <c r="BI361" s="1477"/>
      <c r="BJ361" s="566">
        <f t="shared" ca="1" si="981"/>
        <v>0</v>
      </c>
      <c r="BK361" s="561"/>
      <c r="BL361" s="1477"/>
      <c r="BM361" s="566">
        <f t="shared" ca="1" si="982"/>
        <v>606753</v>
      </c>
      <c r="BN361" s="170"/>
      <c r="BO361" s="1477"/>
      <c r="BP361" s="566">
        <f t="shared" ca="1" si="983"/>
        <v>3598491</v>
      </c>
      <c r="BQ361" s="170"/>
      <c r="BR361" s="1477"/>
      <c r="BS361" s="566">
        <f t="shared" ca="1" si="984"/>
        <v>2493493</v>
      </c>
      <c r="BT361" s="170"/>
      <c r="BU361" s="1477"/>
      <c r="BV361" s="566">
        <f t="shared" ca="1" si="985"/>
        <v>0</v>
      </c>
      <c r="BW361" s="170"/>
      <c r="BX361" s="1477"/>
      <c r="BY361" s="566">
        <f t="shared" ca="1" si="986"/>
        <v>0</v>
      </c>
      <c r="BZ361" s="170"/>
      <c r="CA361" s="1477"/>
      <c r="CB361" s="566">
        <f t="shared" ca="1" si="987"/>
        <v>0</v>
      </c>
      <c r="CC361" s="170"/>
      <c r="CD361" s="1477"/>
      <c r="CE361" s="566">
        <f t="shared" ca="1" si="988"/>
        <v>0</v>
      </c>
      <c r="CF361" s="170"/>
      <c r="CG361" s="1477"/>
      <c r="CH361" s="566">
        <f t="shared" ca="1" si="989"/>
        <v>0</v>
      </c>
      <c r="CI361" s="170"/>
      <c r="CJ361" s="562"/>
      <c r="CK361" s="566">
        <f t="shared" ca="1" si="990"/>
        <v>6738259.1799999997</v>
      </c>
      <c r="CL361" s="566"/>
      <c r="CM361" s="170"/>
      <c r="CN361" s="170"/>
      <c r="CO361" s="382" t="str">
        <f t="shared" si="991"/>
        <v>Land</v>
      </c>
      <c r="CP361" s="382"/>
      <c r="CQ361" s="385"/>
      <c r="CR361" s="382"/>
      <c r="CS361" s="385"/>
      <c r="CT361" s="567">
        <f t="shared" si="968"/>
        <v>0</v>
      </c>
      <c r="CU361" s="382"/>
      <c r="CV361" s="385"/>
      <c r="CW361" s="567">
        <f t="shared" si="969"/>
        <v>0</v>
      </c>
      <c r="CX361" s="382"/>
      <c r="CY361" s="385"/>
      <c r="CZ361" s="567">
        <f t="shared" si="970"/>
        <v>0</v>
      </c>
      <c r="DA361" s="382"/>
      <c r="DB361" s="385"/>
      <c r="DC361" s="567">
        <f t="shared" si="971"/>
        <v>0</v>
      </c>
      <c r="DD361" s="382"/>
      <c r="DE361" s="385"/>
      <c r="DF361" s="567">
        <f t="shared" si="972"/>
        <v>0</v>
      </c>
      <c r="DG361" s="382"/>
      <c r="DH361" s="385"/>
      <c r="DI361" s="567">
        <f t="shared" si="973"/>
        <v>0</v>
      </c>
      <c r="DJ361" s="382"/>
      <c r="DK361" s="385"/>
      <c r="DL361" s="567">
        <f t="shared" si="974"/>
        <v>0</v>
      </c>
      <c r="DM361" s="382"/>
      <c r="DN361" s="385"/>
      <c r="DO361" s="567">
        <f t="shared" si="975"/>
        <v>0</v>
      </c>
      <c r="DP361" s="382"/>
      <c r="DQ361" s="385"/>
      <c r="DR361" s="567">
        <f t="shared" si="976"/>
        <v>0</v>
      </c>
      <c r="DS361" s="382"/>
      <c r="DT361" s="385"/>
      <c r="DU361" s="567">
        <f t="shared" si="977"/>
        <v>0</v>
      </c>
      <c r="DV361" s="382"/>
      <c r="DW361" s="385"/>
      <c r="DX361" s="567">
        <f t="shared" si="978"/>
        <v>0</v>
      </c>
      <c r="DY361" s="382"/>
      <c r="DZ361" s="385"/>
      <c r="EA361" s="567">
        <f t="shared" si="979"/>
        <v>0</v>
      </c>
      <c r="EB361" s="170"/>
      <c r="EC361" s="170"/>
      <c r="ED361" s="170"/>
      <c r="EE361" s="170"/>
      <c r="EF361" s="170"/>
      <c r="EG361" s="170"/>
      <c r="EH361" s="170"/>
      <c r="EI361" s="170"/>
      <c r="EJ361" s="170"/>
      <c r="EK361" s="170"/>
    </row>
    <row r="362" spans="1:141" ht="15" x14ac:dyDescent="0.25">
      <c r="A362" s="557"/>
      <c r="B362" s="472"/>
      <c r="C362" s="472"/>
      <c r="D362" s="472"/>
      <c r="E362" s="170"/>
      <c r="F362" s="424" t="s">
        <v>3426</v>
      </c>
      <c r="G362" s="1374" t="s">
        <v>38</v>
      </c>
      <c r="H362" s="1287"/>
      <c r="I362" s="1289"/>
      <c r="J362" s="1287"/>
      <c r="K362" s="1289"/>
      <c r="L362" s="1369">
        <f t="shared" si="944"/>
        <v>0</v>
      </c>
      <c r="M362" s="1287"/>
      <c r="N362" s="1289"/>
      <c r="O362" s="1369">
        <f t="shared" si="945"/>
        <v>0</v>
      </c>
      <c r="P362" s="1287"/>
      <c r="Q362" s="1289"/>
      <c r="R362" s="1369">
        <f t="shared" si="946"/>
        <v>0</v>
      </c>
      <c r="S362" s="1287"/>
      <c r="T362" s="1289"/>
      <c r="U362" s="1369">
        <f t="shared" si="947"/>
        <v>0</v>
      </c>
      <c r="V362" s="1287"/>
      <c r="W362" s="1289"/>
      <c r="X362" s="1369">
        <f t="shared" si="948"/>
        <v>0</v>
      </c>
      <c r="Y362" s="1287"/>
      <c r="Z362" s="1289"/>
      <c r="AA362" s="1369">
        <f t="shared" si="949"/>
        <v>0</v>
      </c>
      <c r="AB362" s="1287"/>
      <c r="AC362" s="1289"/>
      <c r="AD362" s="1369">
        <f t="shared" si="950"/>
        <v>0</v>
      </c>
      <c r="AE362" s="1287"/>
      <c r="AF362" s="1289"/>
      <c r="AG362" s="1369">
        <f t="shared" si="951"/>
        <v>0</v>
      </c>
      <c r="AH362" s="1287"/>
      <c r="AI362" s="1289"/>
      <c r="AJ362" s="1369">
        <f t="shared" si="952"/>
        <v>0</v>
      </c>
      <c r="AK362" s="1287"/>
      <c r="AL362" s="1289"/>
      <c r="AM362" s="1369">
        <f t="shared" si="953"/>
        <v>0</v>
      </c>
      <c r="AN362" s="1287"/>
      <c r="AO362" s="1289"/>
      <c r="AP362" s="1369">
        <f t="shared" si="954"/>
        <v>0</v>
      </c>
      <c r="AQ362" s="1287"/>
      <c r="AR362" s="1289"/>
      <c r="AS362" s="1369">
        <f t="shared" si="955"/>
        <v>0</v>
      </c>
      <c r="AT362" s="1287"/>
      <c r="AU362" s="411"/>
      <c r="AV362" s="170"/>
      <c r="AW362" s="170"/>
      <c r="AX362" s="170"/>
      <c r="AY362" s="561" t="s">
        <v>3427</v>
      </c>
      <c r="AZ362" s="561"/>
      <c r="BA362" s="562"/>
      <c r="BB362" s="170"/>
      <c r="BC362" s="562"/>
      <c r="BD362" s="566">
        <f t="shared" si="956"/>
        <v>0</v>
      </c>
      <c r="BE362" s="170"/>
      <c r="BF362" s="1477"/>
      <c r="BG362" s="566">
        <f t="shared" si="980"/>
        <v>0</v>
      </c>
      <c r="BH362" s="170"/>
      <c r="BI362" s="1477"/>
      <c r="BJ362" s="566">
        <f t="shared" si="981"/>
        <v>0</v>
      </c>
      <c r="BK362" s="561"/>
      <c r="BL362" s="1477"/>
      <c r="BM362" s="566">
        <f t="shared" si="982"/>
        <v>0</v>
      </c>
      <c r="BN362" s="170"/>
      <c r="BO362" s="1477"/>
      <c r="BP362" s="566">
        <f t="shared" si="983"/>
        <v>0</v>
      </c>
      <c r="BQ362" s="170"/>
      <c r="BR362" s="1477"/>
      <c r="BS362" s="566">
        <f t="shared" si="984"/>
        <v>0</v>
      </c>
      <c r="BT362" s="170"/>
      <c r="BU362" s="1477"/>
      <c r="BV362" s="566">
        <f t="shared" si="985"/>
        <v>0</v>
      </c>
      <c r="BW362" s="170"/>
      <c r="BX362" s="1477"/>
      <c r="BY362" s="566">
        <f t="shared" si="986"/>
        <v>0</v>
      </c>
      <c r="BZ362" s="170"/>
      <c r="CA362" s="1477"/>
      <c r="CB362" s="566">
        <f t="shared" si="987"/>
        <v>0</v>
      </c>
      <c r="CC362" s="170"/>
      <c r="CD362" s="1477"/>
      <c r="CE362" s="566">
        <f t="shared" si="988"/>
        <v>0</v>
      </c>
      <c r="CF362" s="170"/>
      <c r="CG362" s="1477"/>
      <c r="CH362" s="566">
        <f t="shared" si="989"/>
        <v>0</v>
      </c>
      <c r="CI362" s="170"/>
      <c r="CJ362" s="562"/>
      <c r="CK362" s="566">
        <f t="shared" si="990"/>
        <v>0</v>
      </c>
      <c r="CL362" s="566"/>
      <c r="CM362" s="170"/>
      <c r="CN362" s="170"/>
      <c r="CO362" s="382" t="str">
        <f t="shared" si="991"/>
        <v>Material</v>
      </c>
      <c r="CP362" s="382"/>
      <c r="CQ362" s="385"/>
      <c r="CR362" s="382"/>
      <c r="CS362" s="385"/>
      <c r="CT362" s="567">
        <f t="shared" si="968"/>
        <v>0</v>
      </c>
      <c r="CU362" s="382"/>
      <c r="CV362" s="385"/>
      <c r="CW362" s="567">
        <f t="shared" si="969"/>
        <v>0</v>
      </c>
      <c r="CX362" s="382"/>
      <c r="CY362" s="385"/>
      <c r="CZ362" s="567">
        <f t="shared" si="970"/>
        <v>0</v>
      </c>
      <c r="DA362" s="382"/>
      <c r="DB362" s="385"/>
      <c r="DC362" s="567">
        <f t="shared" si="971"/>
        <v>0</v>
      </c>
      <c r="DD362" s="382"/>
      <c r="DE362" s="385"/>
      <c r="DF362" s="567">
        <f t="shared" si="972"/>
        <v>0</v>
      </c>
      <c r="DG362" s="382"/>
      <c r="DH362" s="385"/>
      <c r="DI362" s="567">
        <f t="shared" si="973"/>
        <v>0</v>
      </c>
      <c r="DJ362" s="382"/>
      <c r="DK362" s="385"/>
      <c r="DL362" s="567">
        <f t="shared" si="974"/>
        <v>0</v>
      </c>
      <c r="DM362" s="382"/>
      <c r="DN362" s="385"/>
      <c r="DO362" s="567">
        <f t="shared" si="975"/>
        <v>0</v>
      </c>
      <c r="DP362" s="382"/>
      <c r="DQ362" s="385"/>
      <c r="DR362" s="567">
        <f t="shared" si="976"/>
        <v>0</v>
      </c>
      <c r="DS362" s="382"/>
      <c r="DT362" s="385"/>
      <c r="DU362" s="567">
        <f t="shared" si="977"/>
        <v>0</v>
      </c>
      <c r="DV362" s="382"/>
      <c r="DW362" s="385"/>
      <c r="DX362" s="567">
        <f t="shared" si="978"/>
        <v>0</v>
      </c>
      <c r="DY362" s="382"/>
      <c r="DZ362" s="385"/>
      <c r="EA362" s="567">
        <f t="shared" si="979"/>
        <v>0</v>
      </c>
      <c r="EB362" s="170"/>
      <c r="EC362" s="170"/>
      <c r="ED362" s="170"/>
      <c r="EE362" s="170"/>
      <c r="EF362" s="170"/>
      <c r="EG362" s="170"/>
      <c r="EH362" s="170"/>
      <c r="EI362" s="170"/>
      <c r="EJ362" s="170"/>
      <c r="EK362" s="170"/>
    </row>
    <row r="363" spans="1:141" ht="15" x14ac:dyDescent="0.25">
      <c r="A363" s="557"/>
      <c r="B363" s="472"/>
      <c r="C363" s="472"/>
      <c r="D363" s="472"/>
      <c r="E363" s="170"/>
      <c r="F363" s="424"/>
      <c r="G363" s="1374" t="s">
        <v>381</v>
      </c>
      <c r="H363" s="1287"/>
      <c r="I363" s="1289"/>
      <c r="J363" s="1287"/>
      <c r="K363" s="1289"/>
      <c r="L363" s="1369">
        <f t="shared" si="944"/>
        <v>0</v>
      </c>
      <c r="M363" s="1287"/>
      <c r="N363" s="1289"/>
      <c r="O363" s="1369">
        <f t="shared" si="945"/>
        <v>0</v>
      </c>
      <c r="P363" s="1287"/>
      <c r="Q363" s="1289"/>
      <c r="R363" s="1369">
        <f t="shared" si="946"/>
        <v>0</v>
      </c>
      <c r="S363" s="1287"/>
      <c r="T363" s="1289"/>
      <c r="U363" s="1369">
        <f t="shared" si="947"/>
        <v>0</v>
      </c>
      <c r="V363" s="1287"/>
      <c r="W363" s="1289"/>
      <c r="X363" s="1369">
        <f t="shared" si="948"/>
        <v>0</v>
      </c>
      <c r="Y363" s="1287"/>
      <c r="Z363" s="1289"/>
      <c r="AA363" s="1369">
        <f t="shared" si="949"/>
        <v>0</v>
      </c>
      <c r="AB363" s="1287"/>
      <c r="AC363" s="1289"/>
      <c r="AD363" s="1369">
        <f t="shared" si="950"/>
        <v>0</v>
      </c>
      <c r="AE363" s="1287"/>
      <c r="AF363" s="1289"/>
      <c r="AG363" s="1369">
        <f t="shared" si="951"/>
        <v>0</v>
      </c>
      <c r="AH363" s="1287"/>
      <c r="AI363" s="1289"/>
      <c r="AJ363" s="1369">
        <f t="shared" si="952"/>
        <v>0</v>
      </c>
      <c r="AK363" s="1287"/>
      <c r="AL363" s="1289"/>
      <c r="AM363" s="1369">
        <f t="shared" si="953"/>
        <v>0</v>
      </c>
      <c r="AN363" s="1287"/>
      <c r="AO363" s="1289"/>
      <c r="AP363" s="1369">
        <f t="shared" si="954"/>
        <v>0</v>
      </c>
      <c r="AQ363" s="1287"/>
      <c r="AR363" s="1289"/>
      <c r="AS363" s="1369">
        <f t="shared" si="955"/>
        <v>0</v>
      </c>
      <c r="AT363" s="1287"/>
      <c r="AU363" s="411"/>
      <c r="AV363" s="170"/>
      <c r="AW363" s="170"/>
      <c r="AX363" s="170"/>
      <c r="AY363" s="561"/>
      <c r="AZ363" s="561"/>
      <c r="BA363" s="562"/>
      <c r="BB363" s="170"/>
      <c r="BC363" s="562"/>
      <c r="BD363" s="566">
        <f t="shared" si="956"/>
        <v>0</v>
      </c>
      <c r="BE363" s="170"/>
      <c r="BF363" s="1477"/>
      <c r="BG363" s="566">
        <f t="shared" si="980"/>
        <v>0</v>
      </c>
      <c r="BH363" s="170"/>
      <c r="BI363" s="1477"/>
      <c r="BJ363" s="566">
        <f t="shared" si="981"/>
        <v>0</v>
      </c>
      <c r="BK363" s="561"/>
      <c r="BL363" s="1477"/>
      <c r="BM363" s="566">
        <f t="shared" si="982"/>
        <v>0</v>
      </c>
      <c r="BN363" s="170"/>
      <c r="BO363" s="1477"/>
      <c r="BP363" s="566">
        <f t="shared" si="983"/>
        <v>0</v>
      </c>
      <c r="BQ363" s="170"/>
      <c r="BR363" s="1477"/>
      <c r="BS363" s="566">
        <f t="shared" si="984"/>
        <v>0</v>
      </c>
      <c r="BT363" s="170"/>
      <c r="BU363" s="1477"/>
      <c r="BV363" s="566">
        <f t="shared" si="985"/>
        <v>0</v>
      </c>
      <c r="BW363" s="170"/>
      <c r="BX363" s="1477"/>
      <c r="BY363" s="566">
        <f t="shared" si="986"/>
        <v>0</v>
      </c>
      <c r="BZ363" s="170"/>
      <c r="CA363" s="1477"/>
      <c r="CB363" s="566">
        <f t="shared" si="987"/>
        <v>0</v>
      </c>
      <c r="CC363" s="170"/>
      <c r="CD363" s="1477"/>
      <c r="CE363" s="566">
        <f t="shared" si="988"/>
        <v>0</v>
      </c>
      <c r="CF363" s="170"/>
      <c r="CG363" s="1477"/>
      <c r="CH363" s="566">
        <f t="shared" si="989"/>
        <v>0</v>
      </c>
      <c r="CI363" s="170"/>
      <c r="CJ363" s="562"/>
      <c r="CK363" s="566">
        <f t="shared" si="990"/>
        <v>0</v>
      </c>
      <c r="CL363" s="566"/>
      <c r="CM363" s="170"/>
      <c r="CN363" s="170"/>
      <c r="CO363" s="382" t="str">
        <f t="shared" si="991"/>
        <v>Proj. mgmt. and supt</v>
      </c>
      <c r="CP363" s="382"/>
      <c r="CQ363" s="385"/>
      <c r="CR363" s="382"/>
      <c r="CS363" s="385"/>
      <c r="CT363" s="567">
        <f t="shared" si="968"/>
        <v>0</v>
      </c>
      <c r="CU363" s="382"/>
      <c r="CV363" s="385"/>
      <c r="CW363" s="567">
        <f t="shared" si="969"/>
        <v>0</v>
      </c>
      <c r="CX363" s="382"/>
      <c r="CY363" s="385"/>
      <c r="CZ363" s="567">
        <f t="shared" si="970"/>
        <v>0</v>
      </c>
      <c r="DA363" s="382"/>
      <c r="DB363" s="385"/>
      <c r="DC363" s="567">
        <f t="shared" si="971"/>
        <v>0</v>
      </c>
      <c r="DD363" s="382"/>
      <c r="DE363" s="385"/>
      <c r="DF363" s="567">
        <f t="shared" si="972"/>
        <v>0</v>
      </c>
      <c r="DG363" s="382"/>
      <c r="DH363" s="385"/>
      <c r="DI363" s="567">
        <f t="shared" si="973"/>
        <v>0</v>
      </c>
      <c r="DJ363" s="382"/>
      <c r="DK363" s="385"/>
      <c r="DL363" s="567">
        <f t="shared" si="974"/>
        <v>0</v>
      </c>
      <c r="DM363" s="382"/>
      <c r="DN363" s="385"/>
      <c r="DO363" s="567">
        <f t="shared" si="975"/>
        <v>0</v>
      </c>
      <c r="DP363" s="382"/>
      <c r="DQ363" s="385"/>
      <c r="DR363" s="567">
        <f t="shared" si="976"/>
        <v>0</v>
      </c>
      <c r="DS363" s="382"/>
      <c r="DT363" s="385"/>
      <c r="DU363" s="567">
        <f t="shared" si="977"/>
        <v>0</v>
      </c>
      <c r="DV363" s="382"/>
      <c r="DW363" s="385"/>
      <c r="DX363" s="567">
        <f t="shared" si="978"/>
        <v>0</v>
      </c>
      <c r="DY363" s="382"/>
      <c r="DZ363" s="385"/>
      <c r="EA363" s="567">
        <f t="shared" si="979"/>
        <v>0</v>
      </c>
      <c r="EB363" s="170"/>
      <c r="EC363" s="170"/>
      <c r="ED363" s="170"/>
      <c r="EE363" s="170"/>
      <c r="EF363" s="170"/>
      <c r="EG363" s="170"/>
      <c r="EH363" s="170"/>
      <c r="EI363" s="170"/>
      <c r="EJ363" s="170"/>
      <c r="EK363" s="170"/>
    </row>
    <row r="364" spans="1:141" ht="15" x14ac:dyDescent="0.25">
      <c r="A364" s="557"/>
      <c r="B364" s="472"/>
      <c r="C364" s="472"/>
      <c r="D364" s="472"/>
      <c r="E364" s="170"/>
      <c r="F364" s="424"/>
      <c r="G364" s="1374" t="s">
        <v>382</v>
      </c>
      <c r="H364" s="1287"/>
      <c r="I364" s="1289"/>
      <c r="J364" s="1287"/>
      <c r="K364" s="1289"/>
      <c r="L364" s="1369">
        <f t="shared" si="944"/>
        <v>0</v>
      </c>
      <c r="M364" s="1287"/>
      <c r="N364" s="1289"/>
      <c r="O364" s="1369">
        <f t="shared" si="945"/>
        <v>0</v>
      </c>
      <c r="P364" s="1287"/>
      <c r="Q364" s="1289"/>
      <c r="R364" s="1369">
        <f t="shared" si="946"/>
        <v>0</v>
      </c>
      <c r="S364" s="1287"/>
      <c r="T364" s="1289"/>
      <c r="U364" s="1369">
        <f t="shared" si="947"/>
        <v>0</v>
      </c>
      <c r="V364" s="1287"/>
      <c r="W364" s="1289"/>
      <c r="X364" s="1369">
        <f t="shared" si="948"/>
        <v>0</v>
      </c>
      <c r="Y364" s="1287"/>
      <c r="Z364" s="1289"/>
      <c r="AA364" s="1369">
        <f t="shared" si="949"/>
        <v>0</v>
      </c>
      <c r="AB364" s="1287"/>
      <c r="AC364" s="1289"/>
      <c r="AD364" s="1369">
        <f t="shared" si="950"/>
        <v>0</v>
      </c>
      <c r="AE364" s="1287"/>
      <c r="AF364" s="1289"/>
      <c r="AG364" s="1369">
        <f t="shared" si="951"/>
        <v>0</v>
      </c>
      <c r="AH364" s="1287"/>
      <c r="AI364" s="1289"/>
      <c r="AJ364" s="1369">
        <f t="shared" si="952"/>
        <v>0</v>
      </c>
      <c r="AK364" s="1287"/>
      <c r="AL364" s="1289"/>
      <c r="AM364" s="1369">
        <f t="shared" si="953"/>
        <v>0</v>
      </c>
      <c r="AN364" s="1287"/>
      <c r="AO364" s="1289"/>
      <c r="AP364" s="1369">
        <f t="shared" si="954"/>
        <v>0</v>
      </c>
      <c r="AQ364" s="1287"/>
      <c r="AR364" s="1289"/>
      <c r="AS364" s="1369">
        <f t="shared" si="955"/>
        <v>0</v>
      </c>
      <c r="AT364" s="1287"/>
      <c r="AU364" s="411"/>
      <c r="AV364" s="170"/>
      <c r="AW364" s="170"/>
      <c r="AX364" s="170"/>
      <c r="AY364" s="561"/>
      <c r="AZ364" s="561"/>
      <c r="BA364" s="562"/>
      <c r="BB364" s="170"/>
      <c r="BC364" s="562"/>
      <c r="BD364" s="566">
        <f t="shared" si="956"/>
        <v>0</v>
      </c>
      <c r="BE364" s="170"/>
      <c r="BF364" s="1477"/>
      <c r="BG364" s="566">
        <f t="shared" si="980"/>
        <v>0</v>
      </c>
      <c r="BH364" s="170"/>
      <c r="BI364" s="1477"/>
      <c r="BJ364" s="566">
        <f t="shared" si="981"/>
        <v>0</v>
      </c>
      <c r="BK364" s="561"/>
      <c r="BL364" s="1477"/>
      <c r="BM364" s="566">
        <f t="shared" si="982"/>
        <v>0</v>
      </c>
      <c r="BN364" s="170"/>
      <c r="BO364" s="1477"/>
      <c r="BP364" s="566">
        <f t="shared" si="983"/>
        <v>0</v>
      </c>
      <c r="BQ364" s="170"/>
      <c r="BR364" s="1477"/>
      <c r="BS364" s="566">
        <f t="shared" si="984"/>
        <v>0</v>
      </c>
      <c r="BT364" s="170"/>
      <c r="BU364" s="1477"/>
      <c r="BV364" s="566">
        <f t="shared" si="985"/>
        <v>0</v>
      </c>
      <c r="BW364" s="170"/>
      <c r="BX364" s="1477"/>
      <c r="BY364" s="566">
        <f t="shared" si="986"/>
        <v>0</v>
      </c>
      <c r="BZ364" s="170"/>
      <c r="CA364" s="1477"/>
      <c r="CB364" s="566">
        <f t="shared" si="987"/>
        <v>0</v>
      </c>
      <c r="CC364" s="170"/>
      <c r="CD364" s="1477"/>
      <c r="CE364" s="566">
        <f t="shared" si="988"/>
        <v>0</v>
      </c>
      <c r="CF364" s="170"/>
      <c r="CG364" s="1477"/>
      <c r="CH364" s="566">
        <f t="shared" si="989"/>
        <v>0</v>
      </c>
      <c r="CI364" s="170"/>
      <c r="CJ364" s="562"/>
      <c r="CK364" s="566">
        <f t="shared" si="990"/>
        <v>0</v>
      </c>
      <c r="CL364" s="566"/>
      <c r="CM364" s="170"/>
      <c r="CN364" s="170"/>
      <c r="CO364" s="382" t="str">
        <f t="shared" si="991"/>
        <v>removal</v>
      </c>
      <c r="CP364" s="382"/>
      <c r="CQ364" s="385"/>
      <c r="CR364" s="382"/>
      <c r="CS364" s="385"/>
      <c r="CT364" s="567">
        <f t="shared" si="968"/>
        <v>0</v>
      </c>
      <c r="CU364" s="382"/>
      <c r="CV364" s="385"/>
      <c r="CW364" s="567">
        <f t="shared" si="969"/>
        <v>0</v>
      </c>
      <c r="CX364" s="382"/>
      <c r="CY364" s="385"/>
      <c r="CZ364" s="567">
        <f t="shared" si="970"/>
        <v>0</v>
      </c>
      <c r="DA364" s="382"/>
      <c r="DB364" s="385"/>
      <c r="DC364" s="567">
        <f t="shared" si="971"/>
        <v>0</v>
      </c>
      <c r="DD364" s="382"/>
      <c r="DE364" s="385"/>
      <c r="DF364" s="567">
        <f t="shared" si="972"/>
        <v>0</v>
      </c>
      <c r="DG364" s="382"/>
      <c r="DH364" s="385"/>
      <c r="DI364" s="567">
        <f t="shared" si="973"/>
        <v>0</v>
      </c>
      <c r="DJ364" s="382"/>
      <c r="DK364" s="385"/>
      <c r="DL364" s="567">
        <f t="shared" si="974"/>
        <v>0</v>
      </c>
      <c r="DM364" s="382"/>
      <c r="DN364" s="385"/>
      <c r="DO364" s="567">
        <f t="shared" si="975"/>
        <v>0</v>
      </c>
      <c r="DP364" s="382"/>
      <c r="DQ364" s="385"/>
      <c r="DR364" s="567">
        <f t="shared" si="976"/>
        <v>0</v>
      </c>
      <c r="DS364" s="382"/>
      <c r="DT364" s="385"/>
      <c r="DU364" s="567">
        <f t="shared" si="977"/>
        <v>0</v>
      </c>
      <c r="DV364" s="382"/>
      <c r="DW364" s="385"/>
      <c r="DX364" s="567">
        <f t="shared" si="978"/>
        <v>0</v>
      </c>
      <c r="DY364" s="382"/>
      <c r="DZ364" s="385"/>
      <c r="EA364" s="567">
        <f t="shared" si="979"/>
        <v>0</v>
      </c>
      <c r="EB364" s="170"/>
      <c r="EC364" s="170"/>
      <c r="ED364" s="170"/>
      <c r="EE364" s="170"/>
      <c r="EF364" s="170"/>
      <c r="EG364" s="170"/>
      <c r="EH364" s="170"/>
      <c r="EI364" s="170"/>
      <c r="EJ364" s="170"/>
      <c r="EK364" s="170"/>
    </row>
    <row r="365" spans="1:141" ht="15" x14ac:dyDescent="0.25">
      <c r="A365" s="557"/>
      <c r="B365" s="472"/>
      <c r="C365" s="472"/>
      <c r="D365" s="472"/>
      <c r="E365" s="170"/>
      <c r="F365" s="424"/>
      <c r="G365" s="1374" t="s">
        <v>383</v>
      </c>
      <c r="H365" s="1287"/>
      <c r="I365" s="1289"/>
      <c r="J365" s="1287"/>
      <c r="K365" s="1289"/>
      <c r="L365" s="1369">
        <f t="shared" si="944"/>
        <v>0</v>
      </c>
      <c r="M365" s="1287"/>
      <c r="N365" s="1289"/>
      <c r="O365" s="1369">
        <f t="shared" si="945"/>
        <v>0</v>
      </c>
      <c r="P365" s="1287"/>
      <c r="Q365" s="1289"/>
      <c r="R365" s="1369">
        <f t="shared" si="946"/>
        <v>0</v>
      </c>
      <c r="S365" s="1287"/>
      <c r="T365" s="1289"/>
      <c r="U365" s="1369">
        <f t="shared" si="947"/>
        <v>0</v>
      </c>
      <c r="V365" s="1287"/>
      <c r="W365" s="1289"/>
      <c r="X365" s="1369">
        <f t="shared" si="948"/>
        <v>0</v>
      </c>
      <c r="Y365" s="1287"/>
      <c r="Z365" s="1289"/>
      <c r="AA365" s="1369">
        <f t="shared" si="949"/>
        <v>0</v>
      </c>
      <c r="AB365" s="1287"/>
      <c r="AC365" s="1289"/>
      <c r="AD365" s="1369">
        <f t="shared" si="950"/>
        <v>0</v>
      </c>
      <c r="AE365" s="1287"/>
      <c r="AF365" s="1289"/>
      <c r="AG365" s="1369">
        <f t="shared" si="951"/>
        <v>0</v>
      </c>
      <c r="AH365" s="1287"/>
      <c r="AI365" s="1289"/>
      <c r="AJ365" s="1369">
        <f t="shared" si="952"/>
        <v>0</v>
      </c>
      <c r="AK365" s="1287"/>
      <c r="AL365" s="1289"/>
      <c r="AM365" s="1369">
        <f t="shared" si="953"/>
        <v>0</v>
      </c>
      <c r="AN365" s="1287"/>
      <c r="AO365" s="1289"/>
      <c r="AP365" s="1369">
        <f t="shared" si="954"/>
        <v>0</v>
      </c>
      <c r="AQ365" s="1287"/>
      <c r="AR365" s="1289"/>
      <c r="AS365" s="1369">
        <f t="shared" si="955"/>
        <v>0</v>
      </c>
      <c r="AT365" s="1287"/>
      <c r="AU365" s="411"/>
      <c r="AV365" s="170"/>
      <c r="AW365" s="170"/>
      <c r="AX365" s="170"/>
      <c r="AY365" s="561"/>
      <c r="AZ365" s="561"/>
      <c r="BA365" s="562"/>
      <c r="BB365" s="170"/>
      <c r="BC365" s="562"/>
      <c r="BD365" s="566">
        <f t="shared" si="956"/>
        <v>0</v>
      </c>
      <c r="BE365" s="170"/>
      <c r="BF365" s="1477"/>
      <c r="BG365" s="566">
        <f t="shared" si="980"/>
        <v>0</v>
      </c>
      <c r="BH365" s="170"/>
      <c r="BI365" s="1477"/>
      <c r="BJ365" s="566">
        <f t="shared" si="981"/>
        <v>0</v>
      </c>
      <c r="BK365" s="561"/>
      <c r="BL365" s="1477"/>
      <c r="BM365" s="566">
        <f t="shared" si="982"/>
        <v>0</v>
      </c>
      <c r="BN365" s="170"/>
      <c r="BO365" s="1477"/>
      <c r="BP365" s="566">
        <f t="shared" si="983"/>
        <v>0</v>
      </c>
      <c r="BQ365" s="170"/>
      <c r="BR365" s="1477"/>
      <c r="BS365" s="566">
        <f t="shared" si="984"/>
        <v>0</v>
      </c>
      <c r="BT365" s="170"/>
      <c r="BU365" s="1477"/>
      <c r="BV365" s="566">
        <f t="shared" si="985"/>
        <v>0</v>
      </c>
      <c r="BW365" s="170"/>
      <c r="BX365" s="1477"/>
      <c r="BY365" s="566">
        <f t="shared" si="986"/>
        <v>0</v>
      </c>
      <c r="BZ365" s="170"/>
      <c r="CA365" s="1477"/>
      <c r="CB365" s="566">
        <f t="shared" si="987"/>
        <v>0</v>
      </c>
      <c r="CC365" s="170"/>
      <c r="CD365" s="1477"/>
      <c r="CE365" s="566">
        <f t="shared" si="988"/>
        <v>0</v>
      </c>
      <c r="CF365" s="170"/>
      <c r="CG365" s="1477"/>
      <c r="CH365" s="566">
        <f t="shared" si="989"/>
        <v>0</v>
      </c>
      <c r="CI365" s="170"/>
      <c r="CJ365" s="562"/>
      <c r="CK365" s="566">
        <f t="shared" si="990"/>
        <v>0</v>
      </c>
      <c r="CL365" s="566"/>
      <c r="CM365" s="170"/>
      <c r="CN365" s="170"/>
      <c r="CO365" s="382" t="str">
        <f t="shared" si="991"/>
        <v>test</v>
      </c>
      <c r="CP365" s="382"/>
      <c r="CQ365" s="385"/>
      <c r="CR365" s="382"/>
      <c r="CS365" s="385"/>
      <c r="CT365" s="567">
        <f t="shared" si="968"/>
        <v>0</v>
      </c>
      <c r="CU365" s="382"/>
      <c r="CV365" s="385"/>
      <c r="CW365" s="567">
        <f t="shared" si="969"/>
        <v>0</v>
      </c>
      <c r="CX365" s="382"/>
      <c r="CY365" s="385"/>
      <c r="CZ365" s="567">
        <f t="shared" si="970"/>
        <v>0</v>
      </c>
      <c r="DA365" s="382"/>
      <c r="DB365" s="385"/>
      <c r="DC365" s="567">
        <f t="shared" si="971"/>
        <v>0</v>
      </c>
      <c r="DD365" s="382"/>
      <c r="DE365" s="385"/>
      <c r="DF365" s="567">
        <f t="shared" si="972"/>
        <v>0</v>
      </c>
      <c r="DG365" s="382"/>
      <c r="DH365" s="385"/>
      <c r="DI365" s="567">
        <f t="shared" si="973"/>
        <v>0</v>
      </c>
      <c r="DJ365" s="382"/>
      <c r="DK365" s="385"/>
      <c r="DL365" s="567">
        <f t="shared" si="974"/>
        <v>0</v>
      </c>
      <c r="DM365" s="382"/>
      <c r="DN365" s="385"/>
      <c r="DO365" s="567">
        <f t="shared" si="975"/>
        <v>0</v>
      </c>
      <c r="DP365" s="382"/>
      <c r="DQ365" s="385"/>
      <c r="DR365" s="567">
        <f t="shared" si="976"/>
        <v>0</v>
      </c>
      <c r="DS365" s="382"/>
      <c r="DT365" s="385"/>
      <c r="DU365" s="567">
        <f t="shared" si="977"/>
        <v>0</v>
      </c>
      <c r="DV365" s="382"/>
      <c r="DW365" s="385"/>
      <c r="DX365" s="567">
        <f t="shared" si="978"/>
        <v>0</v>
      </c>
      <c r="DY365" s="382"/>
      <c r="DZ365" s="385"/>
      <c r="EA365" s="567">
        <f t="shared" si="979"/>
        <v>0</v>
      </c>
      <c r="EB365" s="170"/>
      <c r="EC365" s="170"/>
      <c r="ED365" s="170"/>
      <c r="EE365" s="170"/>
      <c r="EF365" s="170"/>
      <c r="EG365" s="170"/>
      <c r="EH365" s="170"/>
      <c r="EI365" s="170"/>
      <c r="EJ365" s="170"/>
      <c r="EK365" s="170"/>
    </row>
    <row r="366" spans="1:141" ht="15" x14ac:dyDescent="0.25">
      <c r="A366" s="557"/>
      <c r="B366" s="472"/>
      <c r="C366" s="472"/>
      <c r="D366" s="472"/>
      <c r="E366" s="170"/>
      <c r="F366" s="424"/>
      <c r="G366" s="1374" t="s">
        <v>384</v>
      </c>
      <c r="H366" s="1287"/>
      <c r="I366" s="1289"/>
      <c r="J366" s="1287"/>
      <c r="K366" s="1289"/>
      <c r="L366" s="1369">
        <f t="shared" si="944"/>
        <v>0</v>
      </c>
      <c r="M366" s="1287"/>
      <c r="N366" s="1289"/>
      <c r="O366" s="1369">
        <f t="shared" si="945"/>
        <v>0</v>
      </c>
      <c r="P366" s="1287"/>
      <c r="Q366" s="1289"/>
      <c r="R366" s="1369">
        <f t="shared" si="946"/>
        <v>0</v>
      </c>
      <c r="S366" s="1287"/>
      <c r="T366" s="1289"/>
      <c r="U366" s="1369">
        <f t="shared" si="947"/>
        <v>0</v>
      </c>
      <c r="V366" s="1287"/>
      <c r="W366" s="1289"/>
      <c r="X366" s="1369">
        <f t="shared" si="948"/>
        <v>0</v>
      </c>
      <c r="Y366" s="1287"/>
      <c r="Z366" s="1289"/>
      <c r="AA366" s="1369">
        <f t="shared" si="949"/>
        <v>0</v>
      </c>
      <c r="AB366" s="1287"/>
      <c r="AC366" s="1289"/>
      <c r="AD366" s="1369">
        <f t="shared" si="950"/>
        <v>0</v>
      </c>
      <c r="AE366" s="1287"/>
      <c r="AF366" s="1289"/>
      <c r="AG366" s="1369">
        <f t="shared" si="951"/>
        <v>0</v>
      </c>
      <c r="AH366" s="1287"/>
      <c r="AI366" s="1289"/>
      <c r="AJ366" s="1369">
        <f t="shared" si="952"/>
        <v>0</v>
      </c>
      <c r="AK366" s="1287"/>
      <c r="AL366" s="1289"/>
      <c r="AM366" s="1369">
        <f t="shared" si="953"/>
        <v>0</v>
      </c>
      <c r="AN366" s="1287"/>
      <c r="AO366" s="1289"/>
      <c r="AP366" s="1369">
        <f t="shared" si="954"/>
        <v>0</v>
      </c>
      <c r="AQ366" s="1287"/>
      <c r="AR366" s="1289"/>
      <c r="AS366" s="1369">
        <f t="shared" si="955"/>
        <v>0</v>
      </c>
      <c r="AT366" s="1287"/>
      <c r="AU366" s="411"/>
      <c r="AV366" s="170"/>
      <c r="AW366" s="170"/>
      <c r="AX366" s="170"/>
      <c r="AY366" s="561"/>
      <c r="AZ366" s="561"/>
      <c r="BA366" s="562"/>
      <c r="BB366" s="170"/>
      <c r="BC366" s="562"/>
      <c r="BD366" s="566">
        <f t="shared" si="956"/>
        <v>0</v>
      </c>
      <c r="BE366" s="170"/>
      <c r="BF366" s="1477"/>
      <c r="BG366" s="566">
        <f t="shared" si="980"/>
        <v>0</v>
      </c>
      <c r="BH366" s="170"/>
      <c r="BI366" s="1477"/>
      <c r="BJ366" s="566">
        <f t="shared" si="981"/>
        <v>0</v>
      </c>
      <c r="BK366" s="561"/>
      <c r="BL366" s="1477"/>
      <c r="BM366" s="566">
        <f t="shared" si="982"/>
        <v>0</v>
      </c>
      <c r="BN366" s="170"/>
      <c r="BO366" s="1477"/>
      <c r="BP366" s="566">
        <f t="shared" si="983"/>
        <v>0</v>
      </c>
      <c r="BQ366" s="170"/>
      <c r="BR366" s="1477"/>
      <c r="BS366" s="566">
        <f t="shared" si="984"/>
        <v>0</v>
      </c>
      <c r="BT366" s="170"/>
      <c r="BU366" s="1477"/>
      <c r="BV366" s="566">
        <f t="shared" si="985"/>
        <v>0</v>
      </c>
      <c r="BW366" s="170"/>
      <c r="BX366" s="1477"/>
      <c r="BY366" s="566">
        <f t="shared" si="986"/>
        <v>0</v>
      </c>
      <c r="BZ366" s="170"/>
      <c r="CA366" s="1477"/>
      <c r="CB366" s="566">
        <f t="shared" si="987"/>
        <v>0</v>
      </c>
      <c r="CC366" s="170"/>
      <c r="CD366" s="1477"/>
      <c r="CE366" s="566">
        <f t="shared" si="988"/>
        <v>0</v>
      </c>
      <c r="CF366" s="170"/>
      <c r="CG366" s="1477"/>
      <c r="CH366" s="566">
        <f t="shared" si="989"/>
        <v>0</v>
      </c>
      <c r="CI366" s="170"/>
      <c r="CJ366" s="562"/>
      <c r="CK366" s="566">
        <f t="shared" si="990"/>
        <v>0</v>
      </c>
      <c r="CL366" s="566"/>
      <c r="CM366" s="170"/>
      <c r="CN366" s="170"/>
      <c r="CO366" s="382" t="str">
        <f t="shared" si="991"/>
        <v>Risk  /  contingency</v>
      </c>
      <c r="CP366" s="382"/>
      <c r="CQ366" s="385"/>
      <c r="CR366" s="382"/>
      <c r="CS366" s="385"/>
      <c r="CT366" s="567">
        <f t="shared" si="968"/>
        <v>0</v>
      </c>
      <c r="CU366" s="382"/>
      <c r="CV366" s="385"/>
      <c r="CW366" s="567">
        <f t="shared" si="969"/>
        <v>0</v>
      </c>
      <c r="CX366" s="382"/>
      <c r="CY366" s="385"/>
      <c r="CZ366" s="567">
        <f t="shared" si="970"/>
        <v>0</v>
      </c>
      <c r="DA366" s="382"/>
      <c r="DB366" s="385"/>
      <c r="DC366" s="567">
        <f t="shared" si="971"/>
        <v>0</v>
      </c>
      <c r="DD366" s="382"/>
      <c r="DE366" s="385"/>
      <c r="DF366" s="567">
        <f t="shared" si="972"/>
        <v>0</v>
      </c>
      <c r="DG366" s="382"/>
      <c r="DH366" s="385"/>
      <c r="DI366" s="567">
        <f t="shared" si="973"/>
        <v>0</v>
      </c>
      <c r="DJ366" s="382"/>
      <c r="DK366" s="385"/>
      <c r="DL366" s="567">
        <f t="shared" si="974"/>
        <v>0</v>
      </c>
      <c r="DM366" s="382"/>
      <c r="DN366" s="385"/>
      <c r="DO366" s="567">
        <f t="shared" si="975"/>
        <v>0</v>
      </c>
      <c r="DP366" s="382"/>
      <c r="DQ366" s="385"/>
      <c r="DR366" s="567">
        <f t="shared" si="976"/>
        <v>0</v>
      </c>
      <c r="DS366" s="382"/>
      <c r="DT366" s="385"/>
      <c r="DU366" s="567">
        <f t="shared" si="977"/>
        <v>0</v>
      </c>
      <c r="DV366" s="382"/>
      <c r="DW366" s="385"/>
      <c r="DX366" s="567">
        <f t="shared" si="978"/>
        <v>0</v>
      </c>
      <c r="DY366" s="382"/>
      <c r="DZ366" s="385"/>
      <c r="EA366" s="567">
        <f t="shared" si="979"/>
        <v>0</v>
      </c>
      <c r="EB366" s="170"/>
      <c r="EC366" s="170"/>
      <c r="ED366" s="170"/>
      <c r="EE366" s="170"/>
      <c r="EF366" s="170"/>
      <c r="EG366" s="170"/>
      <c r="EH366" s="170"/>
      <c r="EI366" s="170"/>
      <c r="EJ366" s="170"/>
      <c r="EK366" s="170"/>
    </row>
    <row r="367" spans="1:141" ht="15" x14ac:dyDescent="0.25">
      <c r="A367" s="557"/>
      <c r="B367" s="472"/>
      <c r="C367" s="472"/>
      <c r="D367" s="472"/>
      <c r="E367" s="170"/>
      <c r="F367" s="424"/>
      <c r="G367" s="1374" t="s">
        <v>385</v>
      </c>
      <c r="H367" s="1287"/>
      <c r="I367" s="1289"/>
      <c r="J367" s="1287"/>
      <c r="K367" s="1289"/>
      <c r="L367" s="1369">
        <f t="shared" si="944"/>
        <v>0</v>
      </c>
      <c r="M367" s="1287"/>
      <c r="N367" s="1289"/>
      <c r="O367" s="1369">
        <f t="shared" si="945"/>
        <v>0</v>
      </c>
      <c r="P367" s="1287"/>
      <c r="Q367" s="1289"/>
      <c r="R367" s="1369">
        <f t="shared" si="946"/>
        <v>0</v>
      </c>
      <c r="S367" s="1287"/>
      <c r="T367" s="1289"/>
      <c r="U367" s="1369">
        <f t="shared" si="947"/>
        <v>0</v>
      </c>
      <c r="V367" s="1287"/>
      <c r="W367" s="1289"/>
      <c r="X367" s="1369">
        <f t="shared" si="948"/>
        <v>0</v>
      </c>
      <c r="Y367" s="1287"/>
      <c r="Z367" s="1289"/>
      <c r="AA367" s="1369">
        <f t="shared" si="949"/>
        <v>0</v>
      </c>
      <c r="AB367" s="1287"/>
      <c r="AC367" s="1289"/>
      <c r="AD367" s="1369">
        <f t="shared" si="950"/>
        <v>0</v>
      </c>
      <c r="AE367" s="1287"/>
      <c r="AF367" s="1289"/>
      <c r="AG367" s="1369">
        <f t="shared" si="951"/>
        <v>0</v>
      </c>
      <c r="AH367" s="1287"/>
      <c r="AI367" s="1289"/>
      <c r="AJ367" s="1369">
        <f t="shared" si="952"/>
        <v>0</v>
      </c>
      <c r="AK367" s="1287"/>
      <c r="AL367" s="1289"/>
      <c r="AM367" s="1369">
        <f t="shared" si="953"/>
        <v>0</v>
      </c>
      <c r="AN367" s="1287"/>
      <c r="AO367" s="1289"/>
      <c r="AP367" s="1369">
        <f t="shared" si="954"/>
        <v>0</v>
      </c>
      <c r="AQ367" s="1287"/>
      <c r="AR367" s="1289"/>
      <c r="AS367" s="1369">
        <f t="shared" si="955"/>
        <v>0</v>
      </c>
      <c r="AT367" s="1287"/>
      <c r="AU367" s="411"/>
      <c r="AV367" s="170"/>
      <c r="AW367" s="170"/>
      <c r="AX367" s="170"/>
      <c r="AY367" s="561"/>
      <c r="AZ367" s="561"/>
      <c r="BA367" s="562"/>
      <c r="BB367" s="170"/>
      <c r="BC367" s="562"/>
      <c r="BD367" s="566">
        <f t="shared" si="956"/>
        <v>0</v>
      </c>
      <c r="BE367" s="170"/>
      <c r="BF367" s="1477"/>
      <c r="BG367" s="566">
        <f t="shared" si="980"/>
        <v>0</v>
      </c>
      <c r="BH367" s="170"/>
      <c r="BI367" s="1477"/>
      <c r="BJ367" s="566">
        <f t="shared" si="981"/>
        <v>0</v>
      </c>
      <c r="BK367" s="561"/>
      <c r="BL367" s="1477"/>
      <c r="BM367" s="566">
        <f t="shared" si="982"/>
        <v>0</v>
      </c>
      <c r="BN367" s="170"/>
      <c r="BO367" s="1477"/>
      <c r="BP367" s="566">
        <f t="shared" si="983"/>
        <v>0</v>
      </c>
      <c r="BQ367" s="170"/>
      <c r="BR367" s="1477"/>
      <c r="BS367" s="566">
        <f t="shared" si="984"/>
        <v>0</v>
      </c>
      <c r="BT367" s="170"/>
      <c r="BU367" s="1477"/>
      <c r="BV367" s="566">
        <f t="shared" si="985"/>
        <v>0</v>
      </c>
      <c r="BW367" s="170"/>
      <c r="BX367" s="1477"/>
      <c r="BY367" s="566">
        <f t="shared" si="986"/>
        <v>0</v>
      </c>
      <c r="BZ367" s="170"/>
      <c r="CA367" s="1477"/>
      <c r="CB367" s="566">
        <f t="shared" si="987"/>
        <v>0</v>
      </c>
      <c r="CC367" s="170"/>
      <c r="CD367" s="1477"/>
      <c r="CE367" s="566">
        <f t="shared" si="988"/>
        <v>0</v>
      </c>
      <c r="CF367" s="170"/>
      <c r="CG367" s="1477"/>
      <c r="CH367" s="566">
        <f t="shared" si="989"/>
        <v>0</v>
      </c>
      <c r="CI367" s="170"/>
      <c r="CJ367" s="562"/>
      <c r="CK367" s="566">
        <f t="shared" si="990"/>
        <v>0</v>
      </c>
      <c r="CL367" s="566"/>
      <c r="CM367" s="170"/>
      <c r="CN367" s="170"/>
      <c r="CO367" s="382" t="str">
        <f t="shared" si="991"/>
        <v>escalation</v>
      </c>
      <c r="CP367" s="382"/>
      <c r="CQ367" s="385"/>
      <c r="CR367" s="382"/>
      <c r="CS367" s="385"/>
      <c r="CT367" s="567">
        <f t="shared" si="968"/>
        <v>0</v>
      </c>
      <c r="CU367" s="382"/>
      <c r="CV367" s="385"/>
      <c r="CW367" s="567">
        <f t="shared" si="969"/>
        <v>0</v>
      </c>
      <c r="CX367" s="382"/>
      <c r="CY367" s="385"/>
      <c r="CZ367" s="567">
        <f t="shared" si="970"/>
        <v>0</v>
      </c>
      <c r="DA367" s="382"/>
      <c r="DB367" s="385"/>
      <c r="DC367" s="567">
        <f t="shared" si="971"/>
        <v>0</v>
      </c>
      <c r="DD367" s="382"/>
      <c r="DE367" s="385"/>
      <c r="DF367" s="567">
        <f t="shared" si="972"/>
        <v>0</v>
      </c>
      <c r="DG367" s="382"/>
      <c r="DH367" s="385"/>
      <c r="DI367" s="567">
        <f t="shared" si="973"/>
        <v>0</v>
      </c>
      <c r="DJ367" s="382"/>
      <c r="DK367" s="385"/>
      <c r="DL367" s="567">
        <f t="shared" si="974"/>
        <v>0</v>
      </c>
      <c r="DM367" s="382"/>
      <c r="DN367" s="385"/>
      <c r="DO367" s="567">
        <f t="shared" si="975"/>
        <v>0</v>
      </c>
      <c r="DP367" s="382"/>
      <c r="DQ367" s="385"/>
      <c r="DR367" s="567">
        <f t="shared" si="976"/>
        <v>0</v>
      </c>
      <c r="DS367" s="382"/>
      <c r="DT367" s="385"/>
      <c r="DU367" s="567">
        <f t="shared" si="977"/>
        <v>0</v>
      </c>
      <c r="DV367" s="382"/>
      <c r="DW367" s="385"/>
      <c r="DX367" s="567">
        <f t="shared" si="978"/>
        <v>0</v>
      </c>
      <c r="DY367" s="382"/>
      <c r="DZ367" s="385"/>
      <c r="EA367" s="567">
        <f t="shared" si="979"/>
        <v>0</v>
      </c>
      <c r="EB367" s="170"/>
      <c r="EC367" s="170"/>
      <c r="ED367" s="170"/>
      <c r="EE367" s="170"/>
      <c r="EF367" s="170"/>
      <c r="EG367" s="170"/>
      <c r="EH367" s="170"/>
      <c r="EI367" s="170"/>
      <c r="EJ367" s="170"/>
      <c r="EK367" s="170"/>
    </row>
    <row r="368" spans="1:141" ht="15" x14ac:dyDescent="0.25">
      <c r="A368" s="557"/>
      <c r="B368" s="472"/>
      <c r="C368" s="472"/>
      <c r="D368" s="472"/>
      <c r="E368" s="170"/>
      <c r="F368" s="424"/>
      <c r="G368" s="1374" t="s">
        <v>386</v>
      </c>
      <c r="H368" s="1287"/>
      <c r="I368" s="1289"/>
      <c r="J368" s="1287"/>
      <c r="K368" s="1289"/>
      <c r="L368" s="1369">
        <f t="shared" si="944"/>
        <v>0</v>
      </c>
      <c r="M368" s="1287"/>
      <c r="N368" s="1289"/>
      <c r="O368" s="1369">
        <f t="shared" si="945"/>
        <v>0</v>
      </c>
      <c r="P368" s="1287"/>
      <c r="Q368" s="1289"/>
      <c r="R368" s="1369">
        <f t="shared" si="946"/>
        <v>0</v>
      </c>
      <c r="S368" s="1287"/>
      <c r="T368" s="1289"/>
      <c r="U368" s="1369">
        <f t="shared" si="947"/>
        <v>0</v>
      </c>
      <c r="V368" s="1287"/>
      <c r="W368" s="1289"/>
      <c r="X368" s="1369">
        <f t="shared" si="948"/>
        <v>0</v>
      </c>
      <c r="Y368" s="1287"/>
      <c r="Z368" s="1289"/>
      <c r="AA368" s="1369">
        <f t="shared" si="949"/>
        <v>0</v>
      </c>
      <c r="AB368" s="1287"/>
      <c r="AC368" s="1289"/>
      <c r="AD368" s="1369">
        <f t="shared" si="950"/>
        <v>0</v>
      </c>
      <c r="AE368" s="1287"/>
      <c r="AF368" s="1289"/>
      <c r="AG368" s="1369">
        <f t="shared" si="951"/>
        <v>0</v>
      </c>
      <c r="AH368" s="1287"/>
      <c r="AI368" s="1289"/>
      <c r="AJ368" s="1369">
        <f t="shared" si="952"/>
        <v>0</v>
      </c>
      <c r="AK368" s="1287"/>
      <c r="AL368" s="1289"/>
      <c r="AM368" s="1369">
        <f t="shared" si="953"/>
        <v>0</v>
      </c>
      <c r="AN368" s="1287"/>
      <c r="AO368" s="1289"/>
      <c r="AP368" s="1369">
        <f t="shared" si="954"/>
        <v>0</v>
      </c>
      <c r="AQ368" s="1287"/>
      <c r="AR368" s="1289"/>
      <c r="AS368" s="1369">
        <f t="shared" si="955"/>
        <v>0</v>
      </c>
      <c r="AT368" s="1287"/>
      <c r="AU368" s="411"/>
      <c r="AV368" s="170"/>
      <c r="AW368" s="170"/>
      <c r="AX368" s="170"/>
      <c r="AY368" s="561"/>
      <c r="AZ368" s="561"/>
      <c r="BA368" s="562"/>
      <c r="BB368" s="170"/>
      <c r="BC368" s="562"/>
      <c r="BD368" s="566">
        <f t="shared" si="956"/>
        <v>0</v>
      </c>
      <c r="BE368" s="170"/>
      <c r="BF368" s="1477"/>
      <c r="BG368" s="566">
        <f t="shared" si="980"/>
        <v>0</v>
      </c>
      <c r="BH368" s="170"/>
      <c r="BI368" s="1477"/>
      <c r="BJ368" s="566">
        <f t="shared" si="981"/>
        <v>0</v>
      </c>
      <c r="BK368" s="561"/>
      <c r="BL368" s="1477"/>
      <c r="BM368" s="566">
        <f t="shared" si="982"/>
        <v>0</v>
      </c>
      <c r="BN368" s="170"/>
      <c r="BO368" s="1477"/>
      <c r="BP368" s="566">
        <f t="shared" si="983"/>
        <v>0</v>
      </c>
      <c r="BQ368" s="170"/>
      <c r="BR368" s="1477"/>
      <c r="BS368" s="566">
        <f t="shared" si="984"/>
        <v>0</v>
      </c>
      <c r="BT368" s="170"/>
      <c r="BU368" s="1477"/>
      <c r="BV368" s="566">
        <f t="shared" si="985"/>
        <v>0</v>
      </c>
      <c r="BW368" s="170"/>
      <c r="BX368" s="1477"/>
      <c r="BY368" s="566">
        <f t="shared" si="986"/>
        <v>0</v>
      </c>
      <c r="BZ368" s="170"/>
      <c r="CA368" s="1477"/>
      <c r="CB368" s="566">
        <f t="shared" si="987"/>
        <v>0</v>
      </c>
      <c r="CC368" s="170"/>
      <c r="CD368" s="1477"/>
      <c r="CE368" s="566">
        <f t="shared" si="988"/>
        <v>0</v>
      </c>
      <c r="CF368" s="170"/>
      <c r="CG368" s="1477"/>
      <c r="CH368" s="566">
        <f t="shared" si="989"/>
        <v>0</v>
      </c>
      <c r="CI368" s="170"/>
      <c r="CJ368" s="562"/>
      <c r="CK368" s="566">
        <f t="shared" si="990"/>
        <v>0</v>
      </c>
      <c r="CL368" s="566"/>
      <c r="CM368" s="170"/>
      <c r="CN368" s="170"/>
      <c r="CO368" s="382" t="str">
        <f t="shared" si="991"/>
        <v>indirects</v>
      </c>
      <c r="CP368" s="382"/>
      <c r="CQ368" s="385"/>
      <c r="CR368" s="382"/>
      <c r="CS368" s="385"/>
      <c r="CT368" s="567">
        <f t="shared" si="968"/>
        <v>0</v>
      </c>
      <c r="CU368" s="382"/>
      <c r="CV368" s="385"/>
      <c r="CW368" s="567">
        <f t="shared" si="969"/>
        <v>0</v>
      </c>
      <c r="CX368" s="382"/>
      <c r="CY368" s="385"/>
      <c r="CZ368" s="567">
        <f t="shared" si="970"/>
        <v>0</v>
      </c>
      <c r="DA368" s="382"/>
      <c r="DB368" s="385"/>
      <c r="DC368" s="567">
        <f t="shared" si="971"/>
        <v>0</v>
      </c>
      <c r="DD368" s="382"/>
      <c r="DE368" s="385"/>
      <c r="DF368" s="567">
        <f t="shared" si="972"/>
        <v>0</v>
      </c>
      <c r="DG368" s="382"/>
      <c r="DH368" s="385"/>
      <c r="DI368" s="567">
        <f t="shared" si="973"/>
        <v>0</v>
      </c>
      <c r="DJ368" s="382"/>
      <c r="DK368" s="385"/>
      <c r="DL368" s="567">
        <f t="shared" si="974"/>
        <v>0</v>
      </c>
      <c r="DM368" s="382"/>
      <c r="DN368" s="385"/>
      <c r="DO368" s="567">
        <f t="shared" si="975"/>
        <v>0</v>
      </c>
      <c r="DP368" s="382"/>
      <c r="DQ368" s="385"/>
      <c r="DR368" s="567">
        <f t="shared" si="976"/>
        <v>0</v>
      </c>
      <c r="DS368" s="382"/>
      <c r="DT368" s="385"/>
      <c r="DU368" s="567">
        <f t="shared" si="977"/>
        <v>0</v>
      </c>
      <c r="DV368" s="382"/>
      <c r="DW368" s="385"/>
      <c r="DX368" s="567">
        <f t="shared" si="978"/>
        <v>0</v>
      </c>
      <c r="DY368" s="382"/>
      <c r="DZ368" s="385"/>
      <c r="EA368" s="567">
        <f t="shared" si="979"/>
        <v>0</v>
      </c>
      <c r="EB368" s="170"/>
      <c r="EC368" s="170"/>
      <c r="ED368" s="170"/>
      <c r="EE368" s="170"/>
      <c r="EF368" s="170"/>
      <c r="EG368" s="170"/>
      <c r="EH368" s="170"/>
      <c r="EI368" s="170"/>
      <c r="EJ368" s="170"/>
      <c r="EK368" s="170"/>
    </row>
    <row r="369" spans="1:141" ht="15" x14ac:dyDescent="0.25">
      <c r="A369" s="557"/>
      <c r="B369" s="472"/>
      <c r="C369" s="472"/>
      <c r="D369" s="472"/>
      <c r="E369" s="170"/>
      <c r="F369" s="424"/>
      <c r="G369" s="1374" t="s">
        <v>45</v>
      </c>
      <c r="H369" s="1287"/>
      <c r="I369" s="1289"/>
      <c r="J369" s="1287"/>
      <c r="K369" s="1289"/>
      <c r="L369" s="1369">
        <f t="shared" si="944"/>
        <v>0</v>
      </c>
      <c r="M369" s="1287"/>
      <c r="N369" s="1289"/>
      <c r="O369" s="1369">
        <f t="shared" si="945"/>
        <v>0</v>
      </c>
      <c r="P369" s="1287"/>
      <c r="Q369" s="1289"/>
      <c r="R369" s="1369">
        <f t="shared" si="946"/>
        <v>0</v>
      </c>
      <c r="S369" s="1287"/>
      <c r="T369" s="1289"/>
      <c r="U369" s="1369">
        <f t="shared" si="947"/>
        <v>0</v>
      </c>
      <c r="V369" s="1287"/>
      <c r="W369" s="1289"/>
      <c r="X369" s="1369">
        <f t="shared" si="948"/>
        <v>0</v>
      </c>
      <c r="Y369" s="1287"/>
      <c r="Z369" s="1289"/>
      <c r="AA369" s="1369">
        <f t="shared" si="949"/>
        <v>0</v>
      </c>
      <c r="AB369" s="1287"/>
      <c r="AC369" s="1289"/>
      <c r="AD369" s="1369">
        <f t="shared" si="950"/>
        <v>0</v>
      </c>
      <c r="AE369" s="1287"/>
      <c r="AF369" s="1289"/>
      <c r="AG369" s="1369">
        <f t="shared" si="951"/>
        <v>0</v>
      </c>
      <c r="AH369" s="1287"/>
      <c r="AI369" s="1289"/>
      <c r="AJ369" s="1369">
        <f t="shared" si="952"/>
        <v>0</v>
      </c>
      <c r="AK369" s="1287"/>
      <c r="AL369" s="1289"/>
      <c r="AM369" s="1369">
        <f t="shared" si="953"/>
        <v>0</v>
      </c>
      <c r="AN369" s="1287"/>
      <c r="AO369" s="1289"/>
      <c r="AP369" s="1369">
        <f t="shared" si="954"/>
        <v>0</v>
      </c>
      <c r="AQ369" s="1287"/>
      <c r="AR369" s="1289"/>
      <c r="AS369" s="1369">
        <f t="shared" si="955"/>
        <v>0</v>
      </c>
      <c r="AT369" s="1287"/>
      <c r="AU369" s="411"/>
      <c r="AV369" s="170"/>
      <c r="AW369" s="170"/>
      <c r="AX369" s="170"/>
      <c r="AY369" s="561"/>
      <c r="AZ369" s="561"/>
      <c r="BA369" s="562"/>
      <c r="BB369" s="170"/>
      <c r="BC369" s="562"/>
      <c r="BD369" s="566">
        <f t="shared" si="956"/>
        <v>0</v>
      </c>
      <c r="BE369" s="170"/>
      <c r="BF369" s="1477"/>
      <c r="BG369" s="566">
        <f t="shared" si="980"/>
        <v>0</v>
      </c>
      <c r="BH369" s="170"/>
      <c r="BI369" s="1477"/>
      <c r="BJ369" s="566">
        <f t="shared" si="981"/>
        <v>0</v>
      </c>
      <c r="BK369" s="561"/>
      <c r="BL369" s="1477"/>
      <c r="BM369" s="566">
        <f t="shared" si="982"/>
        <v>0</v>
      </c>
      <c r="BN369" s="170"/>
      <c r="BO369" s="1477"/>
      <c r="BP369" s="566">
        <f t="shared" si="983"/>
        <v>0</v>
      </c>
      <c r="BQ369" s="170"/>
      <c r="BR369" s="1477"/>
      <c r="BS369" s="566">
        <f t="shared" si="984"/>
        <v>0</v>
      </c>
      <c r="BT369" s="170"/>
      <c r="BU369" s="1477"/>
      <c r="BV369" s="566">
        <f t="shared" si="985"/>
        <v>0</v>
      </c>
      <c r="BW369" s="170"/>
      <c r="BX369" s="1477"/>
      <c r="BY369" s="566">
        <f t="shared" si="986"/>
        <v>0</v>
      </c>
      <c r="BZ369" s="170"/>
      <c r="CA369" s="1477"/>
      <c r="CB369" s="566">
        <f t="shared" si="987"/>
        <v>0</v>
      </c>
      <c r="CC369" s="170"/>
      <c r="CD369" s="1477"/>
      <c r="CE369" s="566">
        <f t="shared" si="988"/>
        <v>0</v>
      </c>
      <c r="CF369" s="170"/>
      <c r="CG369" s="1477"/>
      <c r="CH369" s="566">
        <f t="shared" si="989"/>
        <v>0</v>
      </c>
      <c r="CI369" s="170"/>
      <c r="CJ369" s="562"/>
      <c r="CK369" s="566">
        <f t="shared" si="990"/>
        <v>0</v>
      </c>
      <c r="CL369" s="566"/>
      <c r="CM369" s="170"/>
      <c r="CN369" s="170"/>
      <c r="CO369" s="382" t="str">
        <f t="shared" si="991"/>
        <v>AFUDC</v>
      </c>
      <c r="CP369" s="382"/>
      <c r="CQ369" s="385"/>
      <c r="CR369" s="382"/>
      <c r="CS369" s="385"/>
      <c r="CT369" s="567">
        <f t="shared" si="968"/>
        <v>0</v>
      </c>
      <c r="CU369" s="382"/>
      <c r="CV369" s="385"/>
      <c r="CW369" s="567">
        <f t="shared" si="969"/>
        <v>0</v>
      </c>
      <c r="CX369" s="382"/>
      <c r="CY369" s="385"/>
      <c r="CZ369" s="567">
        <f t="shared" si="970"/>
        <v>0</v>
      </c>
      <c r="DA369" s="382"/>
      <c r="DB369" s="385"/>
      <c r="DC369" s="567">
        <f t="shared" si="971"/>
        <v>0</v>
      </c>
      <c r="DD369" s="382"/>
      <c r="DE369" s="385"/>
      <c r="DF369" s="567">
        <f t="shared" si="972"/>
        <v>0</v>
      </c>
      <c r="DG369" s="382"/>
      <c r="DH369" s="385"/>
      <c r="DI369" s="567">
        <f t="shared" si="973"/>
        <v>0</v>
      </c>
      <c r="DJ369" s="382"/>
      <c r="DK369" s="385"/>
      <c r="DL369" s="567">
        <f t="shared" si="974"/>
        <v>0</v>
      </c>
      <c r="DM369" s="382"/>
      <c r="DN369" s="385"/>
      <c r="DO369" s="567">
        <f t="shared" si="975"/>
        <v>0</v>
      </c>
      <c r="DP369" s="382"/>
      <c r="DQ369" s="385"/>
      <c r="DR369" s="567">
        <f t="shared" si="976"/>
        <v>0</v>
      </c>
      <c r="DS369" s="382"/>
      <c r="DT369" s="385"/>
      <c r="DU369" s="567">
        <f t="shared" si="977"/>
        <v>0</v>
      </c>
      <c r="DV369" s="382"/>
      <c r="DW369" s="385"/>
      <c r="DX369" s="567">
        <f t="shared" si="978"/>
        <v>0</v>
      </c>
      <c r="DY369" s="382"/>
      <c r="DZ369" s="385"/>
      <c r="EA369" s="567">
        <f t="shared" si="979"/>
        <v>0</v>
      </c>
      <c r="EB369" s="170"/>
      <c r="EC369" s="170"/>
      <c r="ED369" s="170"/>
      <c r="EE369" s="170"/>
      <c r="EF369" s="170"/>
      <c r="EG369" s="170"/>
      <c r="EH369" s="170"/>
      <c r="EI369" s="170"/>
      <c r="EJ369" s="170"/>
      <c r="EK369" s="170"/>
    </row>
    <row r="370" spans="1:141" ht="15" x14ac:dyDescent="0.25">
      <c r="A370" s="557"/>
      <c r="B370" s="472"/>
      <c r="C370" s="472"/>
      <c r="D370" s="472"/>
      <c r="E370" s="170"/>
      <c r="F370" s="424"/>
      <c r="G370" s="1374" t="s">
        <v>374</v>
      </c>
      <c r="H370" s="1287"/>
      <c r="I370" s="1289"/>
      <c r="J370" s="1287"/>
      <c r="K370" s="1289"/>
      <c r="L370" s="1369">
        <f t="shared" si="944"/>
        <v>0</v>
      </c>
      <c r="M370" s="1287"/>
      <c r="N370" s="1289"/>
      <c r="O370" s="1369">
        <f t="shared" si="945"/>
        <v>0</v>
      </c>
      <c r="P370" s="1287"/>
      <c r="Q370" s="1289"/>
      <c r="R370" s="1369">
        <f t="shared" si="946"/>
        <v>0</v>
      </c>
      <c r="S370" s="1287"/>
      <c r="T370" s="1289"/>
      <c r="U370" s="1369">
        <f t="shared" si="947"/>
        <v>0</v>
      </c>
      <c r="V370" s="1287"/>
      <c r="W370" s="1289"/>
      <c r="X370" s="1369">
        <f t="shared" si="948"/>
        <v>0</v>
      </c>
      <c r="Y370" s="1287"/>
      <c r="Z370" s="1289"/>
      <c r="AA370" s="1369">
        <f t="shared" si="949"/>
        <v>0</v>
      </c>
      <c r="AB370" s="1287"/>
      <c r="AC370" s="1289"/>
      <c r="AD370" s="1369">
        <f t="shared" si="950"/>
        <v>0</v>
      </c>
      <c r="AE370" s="1287"/>
      <c r="AF370" s="1289"/>
      <c r="AG370" s="1369">
        <f t="shared" si="951"/>
        <v>0</v>
      </c>
      <c r="AH370" s="1287"/>
      <c r="AI370" s="1289"/>
      <c r="AJ370" s="1369">
        <f t="shared" si="952"/>
        <v>0</v>
      </c>
      <c r="AK370" s="1287"/>
      <c r="AL370" s="1289"/>
      <c r="AM370" s="1369">
        <f t="shared" si="953"/>
        <v>0</v>
      </c>
      <c r="AN370" s="1287"/>
      <c r="AO370" s="1289"/>
      <c r="AP370" s="1369">
        <f t="shared" si="954"/>
        <v>0</v>
      </c>
      <c r="AQ370" s="1287"/>
      <c r="AR370" s="1289"/>
      <c r="AS370" s="1369">
        <f t="shared" si="955"/>
        <v>0</v>
      </c>
      <c r="AT370" s="1287"/>
      <c r="AU370" s="411"/>
      <c r="AV370" s="170"/>
      <c r="AW370" s="170"/>
      <c r="AX370" s="170"/>
      <c r="AY370" s="561"/>
      <c r="AZ370" s="561"/>
      <c r="BA370" s="562"/>
      <c r="BB370" s="170"/>
      <c r="BC370" s="562"/>
      <c r="BD370" s="566">
        <f t="shared" si="956"/>
        <v>0</v>
      </c>
      <c r="BE370" s="170"/>
      <c r="BF370" s="1477"/>
      <c r="BG370" s="566">
        <f t="shared" si="980"/>
        <v>0</v>
      </c>
      <c r="BH370" s="170"/>
      <c r="BI370" s="1477"/>
      <c r="BJ370" s="566">
        <f t="shared" si="981"/>
        <v>0</v>
      </c>
      <c r="BK370" s="561"/>
      <c r="BL370" s="1477"/>
      <c r="BM370" s="566">
        <f t="shared" si="982"/>
        <v>0</v>
      </c>
      <c r="BN370" s="170"/>
      <c r="BO370" s="1477"/>
      <c r="BP370" s="566">
        <f t="shared" si="983"/>
        <v>0</v>
      </c>
      <c r="BQ370" s="170"/>
      <c r="BR370" s="1477"/>
      <c r="BS370" s="566">
        <f t="shared" si="984"/>
        <v>0</v>
      </c>
      <c r="BT370" s="170"/>
      <c r="BU370" s="1477"/>
      <c r="BV370" s="566">
        <f t="shared" si="985"/>
        <v>0</v>
      </c>
      <c r="BW370" s="170"/>
      <c r="BX370" s="1477"/>
      <c r="BY370" s="566">
        <f t="shared" si="986"/>
        <v>0</v>
      </c>
      <c r="BZ370" s="170"/>
      <c r="CA370" s="1477"/>
      <c r="CB370" s="566">
        <f t="shared" si="987"/>
        <v>0</v>
      </c>
      <c r="CC370" s="170"/>
      <c r="CD370" s="1477"/>
      <c r="CE370" s="566">
        <f t="shared" si="988"/>
        <v>0</v>
      </c>
      <c r="CF370" s="170"/>
      <c r="CG370" s="1477"/>
      <c r="CH370" s="566">
        <f t="shared" si="989"/>
        <v>0</v>
      </c>
      <c r="CI370" s="170"/>
      <c r="CJ370" s="562"/>
      <c r="CK370" s="566">
        <f t="shared" si="990"/>
        <v>0</v>
      </c>
      <c r="CL370" s="566"/>
      <c r="CM370" s="170"/>
      <c r="CN370" s="170"/>
      <c r="CO370" s="382" t="str">
        <f t="shared" si="991"/>
        <v>Reimbursables</v>
      </c>
      <c r="CP370" s="382"/>
      <c r="CQ370" s="385"/>
      <c r="CR370" s="382"/>
      <c r="CS370" s="385"/>
      <c r="CT370" s="567">
        <f t="shared" si="968"/>
        <v>0</v>
      </c>
      <c r="CU370" s="382"/>
      <c r="CV370" s="385"/>
      <c r="CW370" s="567">
        <f t="shared" si="969"/>
        <v>0</v>
      </c>
      <c r="CX370" s="382"/>
      <c r="CY370" s="385"/>
      <c r="CZ370" s="567">
        <f t="shared" si="970"/>
        <v>0</v>
      </c>
      <c r="DA370" s="382"/>
      <c r="DB370" s="385"/>
      <c r="DC370" s="567">
        <f t="shared" si="971"/>
        <v>0</v>
      </c>
      <c r="DD370" s="382"/>
      <c r="DE370" s="385"/>
      <c r="DF370" s="567">
        <f t="shared" si="972"/>
        <v>0</v>
      </c>
      <c r="DG370" s="382"/>
      <c r="DH370" s="385"/>
      <c r="DI370" s="567">
        <f t="shared" si="973"/>
        <v>0</v>
      </c>
      <c r="DJ370" s="382"/>
      <c r="DK370" s="385"/>
      <c r="DL370" s="567">
        <f t="shared" si="974"/>
        <v>0</v>
      </c>
      <c r="DM370" s="382"/>
      <c r="DN370" s="385"/>
      <c r="DO370" s="567">
        <f t="shared" si="975"/>
        <v>0</v>
      </c>
      <c r="DP370" s="382"/>
      <c r="DQ370" s="385"/>
      <c r="DR370" s="567">
        <f t="shared" si="976"/>
        <v>0</v>
      </c>
      <c r="DS370" s="382"/>
      <c r="DT370" s="385"/>
      <c r="DU370" s="567">
        <f t="shared" si="977"/>
        <v>0</v>
      </c>
      <c r="DV370" s="382"/>
      <c r="DW370" s="385"/>
      <c r="DX370" s="567">
        <f t="shared" si="978"/>
        <v>0</v>
      </c>
      <c r="DY370" s="382"/>
      <c r="DZ370" s="385"/>
      <c r="EA370" s="567">
        <f t="shared" si="979"/>
        <v>0</v>
      </c>
      <c r="EB370" s="170"/>
      <c r="EC370" s="170"/>
      <c r="ED370" s="170"/>
      <c r="EE370" s="170"/>
      <c r="EF370" s="170"/>
      <c r="EG370" s="170"/>
      <c r="EH370" s="170"/>
      <c r="EI370" s="170"/>
      <c r="EJ370" s="170"/>
      <c r="EK370" s="170"/>
    </row>
    <row r="371" spans="1:141" ht="15" x14ac:dyDescent="0.25">
      <c r="A371" s="557"/>
      <c r="B371" s="472"/>
      <c r="C371" s="472"/>
      <c r="D371" s="472"/>
      <c r="E371" s="170"/>
      <c r="F371" s="170"/>
      <c r="G371" s="1287"/>
      <c r="H371" s="1287"/>
      <c r="I371" s="1289"/>
      <c r="J371" s="1287"/>
      <c r="K371" s="1289"/>
      <c r="L371" s="1287"/>
      <c r="M371" s="1287"/>
      <c r="N371" s="1289"/>
      <c r="O371" s="1287"/>
      <c r="P371" s="1287"/>
      <c r="Q371" s="1289"/>
      <c r="R371" s="1287"/>
      <c r="S371" s="1287"/>
      <c r="T371" s="1289"/>
      <c r="U371" s="1287"/>
      <c r="V371" s="1287"/>
      <c r="W371" s="1289"/>
      <c r="X371" s="1287"/>
      <c r="Y371" s="1287"/>
      <c r="Z371" s="1289"/>
      <c r="AA371" s="1287"/>
      <c r="AB371" s="1287"/>
      <c r="AC371" s="1289"/>
      <c r="AD371" s="1287"/>
      <c r="AE371" s="1287"/>
      <c r="AF371" s="1289"/>
      <c r="AG371" s="1287"/>
      <c r="AH371" s="1287"/>
      <c r="AI371" s="1289"/>
      <c r="AJ371" s="1287"/>
      <c r="AK371" s="1287"/>
      <c r="AL371" s="1289"/>
      <c r="AM371" s="1287"/>
      <c r="AN371" s="1287"/>
      <c r="AO371" s="1289"/>
      <c r="AP371" s="1287"/>
      <c r="AQ371" s="1287"/>
      <c r="AR371" s="1289"/>
      <c r="AS371" s="1287"/>
      <c r="AT371" s="1287"/>
      <c r="AU371" s="411"/>
      <c r="AV371" s="170"/>
      <c r="AW371" s="170"/>
      <c r="AX371" s="170"/>
      <c r="AY371" s="561"/>
      <c r="AZ371" s="561"/>
      <c r="BA371" s="562"/>
      <c r="BB371" s="170"/>
      <c r="BC371" s="562"/>
      <c r="BD371" s="561"/>
      <c r="BE371" s="170"/>
      <c r="BF371" s="1477"/>
      <c r="BG371" s="561"/>
      <c r="BH371" s="170"/>
      <c r="BI371" s="1477"/>
      <c r="BJ371" s="561"/>
      <c r="BK371" s="561"/>
      <c r="BL371" s="1477"/>
      <c r="BM371" s="561"/>
      <c r="BN371" s="170"/>
      <c r="BO371" s="1477"/>
      <c r="BP371" s="561"/>
      <c r="BQ371" s="170"/>
      <c r="BR371" s="1477"/>
      <c r="BS371" s="561"/>
      <c r="BT371" s="170"/>
      <c r="BU371" s="1477"/>
      <c r="BV371" s="561"/>
      <c r="BW371" s="170"/>
      <c r="BX371" s="1477"/>
      <c r="BY371" s="561"/>
      <c r="BZ371" s="170"/>
      <c r="CA371" s="1477"/>
      <c r="CB371" s="561"/>
      <c r="CC371" s="170"/>
      <c r="CD371" s="1477"/>
      <c r="CE371" s="561"/>
      <c r="CF371" s="170"/>
      <c r="CG371" s="1477"/>
      <c r="CH371" s="561"/>
      <c r="CI371" s="170"/>
      <c r="CJ371" s="562"/>
      <c r="CK371" s="561"/>
      <c r="CL371" s="561"/>
      <c r="CM371" s="170"/>
      <c r="CN371" s="170"/>
      <c r="CO371" s="382"/>
      <c r="CP371" s="382"/>
      <c r="CQ371" s="385"/>
      <c r="CR371" s="382"/>
      <c r="CS371" s="385"/>
      <c r="CT371" s="382"/>
      <c r="CU371" s="382"/>
      <c r="CV371" s="385"/>
      <c r="CW371" s="382"/>
      <c r="CX371" s="382"/>
      <c r="CY371" s="385"/>
      <c r="CZ371" s="382"/>
      <c r="DA371" s="382"/>
      <c r="DB371" s="385"/>
      <c r="DC371" s="382"/>
      <c r="DD371" s="382"/>
      <c r="DE371" s="385"/>
      <c r="DF371" s="382"/>
      <c r="DG371" s="382"/>
      <c r="DH371" s="385"/>
      <c r="DI371" s="382"/>
      <c r="DJ371" s="382"/>
      <c r="DK371" s="385"/>
      <c r="DL371" s="382"/>
      <c r="DM371" s="382"/>
      <c r="DN371" s="385"/>
      <c r="DO371" s="382"/>
      <c r="DP371" s="382"/>
      <c r="DQ371" s="385"/>
      <c r="DR371" s="382"/>
      <c r="DS371" s="382"/>
      <c r="DT371" s="385"/>
      <c r="DU371" s="382"/>
      <c r="DV371" s="382"/>
      <c r="DW371" s="385"/>
      <c r="DX371" s="382"/>
      <c r="DY371" s="382"/>
      <c r="DZ371" s="385"/>
      <c r="EA371" s="563"/>
      <c r="EB371" s="170"/>
      <c r="EC371" s="170"/>
      <c r="ED371" s="170"/>
      <c r="EE371" s="170"/>
      <c r="EF371" s="170"/>
      <c r="EG371" s="170"/>
      <c r="EH371" s="170"/>
      <c r="EI371" s="170"/>
      <c r="EJ371" s="170"/>
      <c r="EK371" s="170"/>
    </row>
    <row r="372" spans="1:141" ht="18.75" thickBot="1" x14ac:dyDescent="0.3">
      <c r="A372" s="557"/>
      <c r="B372" s="472"/>
      <c r="C372" s="472"/>
      <c r="D372" s="472"/>
      <c r="E372" s="170"/>
      <c r="F372" s="524"/>
      <c r="G372" s="1782" t="s">
        <v>1229</v>
      </c>
      <c r="H372" s="1360"/>
      <c r="I372" s="1310"/>
      <c r="J372" s="1690"/>
      <c r="K372" s="1361"/>
      <c r="L372" s="1362">
        <f>SUM(L358:L371)</f>
        <v>0</v>
      </c>
      <c r="M372" s="1690"/>
      <c r="N372" s="1361"/>
      <c r="O372" s="1362">
        <f>SUM(O358:O371)</f>
        <v>0</v>
      </c>
      <c r="P372" s="1690"/>
      <c r="Q372" s="1361"/>
      <c r="R372" s="1362">
        <f>SUM(R358:R371)</f>
        <v>0</v>
      </c>
      <c r="S372" s="1690"/>
      <c r="T372" s="1361"/>
      <c r="U372" s="1362">
        <f>SUM(U358:U371)</f>
        <v>0</v>
      </c>
      <c r="V372" s="1690"/>
      <c r="W372" s="1361"/>
      <c r="X372" s="1362">
        <f>SUM(X358:X371)</f>
        <v>0</v>
      </c>
      <c r="Y372" s="1690"/>
      <c r="Z372" s="1361"/>
      <c r="AA372" s="1362">
        <f>SUM(AA358:AA371)</f>
        <v>0</v>
      </c>
      <c r="AB372" s="1690"/>
      <c r="AC372" s="1361"/>
      <c r="AD372" s="1362">
        <f>SUM(AD358:AD371)</f>
        <v>0</v>
      </c>
      <c r="AE372" s="1690"/>
      <c r="AF372" s="1361"/>
      <c r="AG372" s="1362">
        <f>SUM(AG358:AG371)</f>
        <v>0</v>
      </c>
      <c r="AH372" s="1690"/>
      <c r="AI372" s="1361"/>
      <c r="AJ372" s="1362">
        <f>SUM(AJ358:AJ371)</f>
        <v>0</v>
      </c>
      <c r="AK372" s="1690"/>
      <c r="AL372" s="1361"/>
      <c r="AM372" s="1362">
        <f>SUM(AM358:AM371)</f>
        <v>0</v>
      </c>
      <c r="AN372" s="1690"/>
      <c r="AO372" s="1361"/>
      <c r="AP372" s="1362">
        <f>SUM(AP358:AP371)</f>
        <v>0</v>
      </c>
      <c r="AQ372" s="1690"/>
      <c r="AR372" s="1361"/>
      <c r="AS372" s="1362">
        <f>SUM(AS358:AS371)</f>
        <v>0</v>
      </c>
      <c r="AT372" s="1690"/>
      <c r="AU372" s="411"/>
      <c r="AV372" s="170"/>
      <c r="AW372" s="523"/>
      <c r="AX372" s="524"/>
      <c r="AY372" s="536" t="str">
        <f>+AY355</f>
        <v>Summary by Indirect application</v>
      </c>
      <c r="AZ372" s="535"/>
      <c r="BA372" s="536"/>
      <c r="BB372" s="1637"/>
      <c r="BC372" s="1642"/>
      <c r="BD372" s="537">
        <f>SUM(BD358:BD371)</f>
        <v>0</v>
      </c>
      <c r="BE372" s="1637"/>
      <c r="BF372" s="1653"/>
      <c r="BG372" s="537">
        <f ca="1">SUM(BG358:BG371)</f>
        <v>0</v>
      </c>
      <c r="BH372" s="1637"/>
      <c r="BI372" s="1653"/>
      <c r="BJ372" s="537">
        <f ca="1">SUM(BJ358:BJ371)</f>
        <v>0</v>
      </c>
      <c r="BK372" s="1676"/>
      <c r="BL372" s="1653"/>
      <c r="BM372" s="537">
        <f ca="1">SUM(BM358:BM371)</f>
        <v>815484</v>
      </c>
      <c r="BN372" s="1637"/>
      <c r="BO372" s="1653"/>
      <c r="BP372" s="537">
        <f ca="1">SUM(BP358:BP371)</f>
        <v>3842452.47</v>
      </c>
      <c r="BQ372" s="1637"/>
      <c r="BR372" s="1653"/>
      <c r="BS372" s="537">
        <f ca="1">SUM(BS358:BS371)</f>
        <v>2664398</v>
      </c>
      <c r="BT372" s="1637"/>
      <c r="BU372" s="1653"/>
      <c r="BV372" s="537">
        <f ca="1">SUM(BV358:BV371)</f>
        <v>0</v>
      </c>
      <c r="BW372" s="1637"/>
      <c r="BX372" s="1653"/>
      <c r="BY372" s="537">
        <f ca="1">SUM(BY358:BY371)</f>
        <v>0</v>
      </c>
      <c r="BZ372" s="1637"/>
      <c r="CA372" s="1653"/>
      <c r="CB372" s="537">
        <f ca="1">SUM(CB358:CB371)</f>
        <v>0</v>
      </c>
      <c r="CC372" s="1637"/>
      <c r="CD372" s="1653"/>
      <c r="CE372" s="537">
        <f ca="1">SUM(CE358:CE371)</f>
        <v>0</v>
      </c>
      <c r="CF372" s="1637"/>
      <c r="CG372" s="1653"/>
      <c r="CH372" s="537">
        <f ca="1">SUM(CH358:CH371)</f>
        <v>0</v>
      </c>
      <c r="CI372" s="1637"/>
      <c r="CJ372" s="1642"/>
      <c r="CK372" s="537">
        <f ca="1">SUM(CK358:CK371)</f>
        <v>7450319.0999999996</v>
      </c>
      <c r="CL372" s="569"/>
      <c r="CM372" s="170"/>
      <c r="CN372" s="524"/>
      <c r="CO372" s="540" t="s">
        <v>379</v>
      </c>
      <c r="CP372" s="539"/>
      <c r="CQ372" s="540"/>
      <c r="CR372" s="1710"/>
      <c r="CS372" s="1698"/>
      <c r="CT372" s="541">
        <f>SUM(CT358:CT371)</f>
        <v>0</v>
      </c>
      <c r="CU372" s="1710"/>
      <c r="CV372" s="1698"/>
      <c r="CW372" s="541">
        <f>SUM(CW358:CW371)</f>
        <v>0</v>
      </c>
      <c r="CX372" s="1710"/>
      <c r="CY372" s="1698"/>
      <c r="CZ372" s="541">
        <f>SUM(CZ358:CZ371)</f>
        <v>0</v>
      </c>
      <c r="DA372" s="1710"/>
      <c r="DB372" s="1698"/>
      <c r="DC372" s="541">
        <f>SUM(DC358:DC371)</f>
        <v>0</v>
      </c>
      <c r="DD372" s="1710"/>
      <c r="DE372" s="1698"/>
      <c r="DF372" s="541">
        <f>SUM(DF358:DF371)</f>
        <v>0</v>
      </c>
      <c r="DG372" s="1710"/>
      <c r="DH372" s="1698"/>
      <c r="DI372" s="541">
        <f>SUM(DI358:DI371)</f>
        <v>0</v>
      </c>
      <c r="DJ372" s="1710"/>
      <c r="DK372" s="1698"/>
      <c r="DL372" s="541">
        <f>SUM(DL358:DL371)</f>
        <v>0</v>
      </c>
      <c r="DM372" s="1710"/>
      <c r="DN372" s="1698"/>
      <c r="DO372" s="541">
        <f>SUM(DO358:DO371)</f>
        <v>0</v>
      </c>
      <c r="DP372" s="1710"/>
      <c r="DQ372" s="1698"/>
      <c r="DR372" s="541">
        <f>SUM(DR358:DR371)</f>
        <v>0</v>
      </c>
      <c r="DS372" s="1710"/>
      <c r="DT372" s="1698"/>
      <c r="DU372" s="541">
        <f>SUM(DU358:DU371)</f>
        <v>0</v>
      </c>
      <c r="DV372" s="1710"/>
      <c r="DW372" s="1698"/>
      <c r="DX372" s="541">
        <f>SUM(DX358:DX371)</f>
        <v>0</v>
      </c>
      <c r="DY372" s="1710"/>
      <c r="DZ372" s="1698"/>
      <c r="EA372" s="570">
        <f>SUM(EA358:EA371)</f>
        <v>0</v>
      </c>
      <c r="EB372" s="170"/>
      <c r="EC372" s="170"/>
      <c r="ED372" s="170"/>
      <c r="EE372" s="170"/>
      <c r="EF372" s="170"/>
      <c r="EG372" s="170"/>
      <c r="EH372" s="170"/>
      <c r="EI372" s="170"/>
      <c r="EJ372" s="170"/>
      <c r="EK372" s="170"/>
    </row>
    <row r="373" spans="1:141" ht="15.75" thickBot="1" x14ac:dyDescent="0.3">
      <c r="A373" s="557"/>
      <c r="B373" s="376"/>
      <c r="C373" s="376"/>
      <c r="D373" s="376"/>
      <c r="E373" s="170"/>
      <c r="F373" s="1275"/>
      <c r="G373" s="1287"/>
      <c r="H373" s="1287"/>
      <c r="I373" s="1289"/>
      <c r="J373" s="1692"/>
      <c r="K373" s="1323"/>
      <c r="L373" s="1370"/>
      <c r="M373" s="1692"/>
      <c r="N373" s="1323"/>
      <c r="O373" s="1323"/>
      <c r="P373" s="1692"/>
      <c r="Q373" s="1323"/>
      <c r="R373" s="1370"/>
      <c r="S373" s="1692"/>
      <c r="T373" s="1323"/>
      <c r="U373" s="1370"/>
      <c r="V373" s="1692"/>
      <c r="W373" s="1323"/>
      <c r="X373" s="1370"/>
      <c r="Y373" s="1692"/>
      <c r="Z373" s="1323"/>
      <c r="AA373" s="1370"/>
      <c r="AB373" s="1692"/>
      <c r="AC373" s="1323"/>
      <c r="AD373" s="1370"/>
      <c r="AE373" s="1692"/>
      <c r="AF373" s="1323"/>
      <c r="AG373" s="1370"/>
      <c r="AH373" s="1692"/>
      <c r="AI373" s="1323"/>
      <c r="AJ373" s="1370"/>
      <c r="AK373" s="1692"/>
      <c r="AL373" s="1323"/>
      <c r="AM373" s="1370"/>
      <c r="AN373" s="1692"/>
      <c r="AO373" s="1323"/>
      <c r="AP373" s="1370"/>
      <c r="AQ373" s="1692"/>
      <c r="AR373" s="1323"/>
      <c r="AS373" s="1370"/>
      <c r="AT373" s="1692"/>
      <c r="AU373" s="411"/>
      <c r="AV373" s="170"/>
      <c r="AW373" s="411"/>
      <c r="AX373" s="1275"/>
      <c r="AY373" s="379"/>
      <c r="AZ373" s="379"/>
      <c r="BA373" s="381"/>
      <c r="BB373" s="1641"/>
      <c r="BC373" s="458"/>
      <c r="BD373" s="571"/>
      <c r="BE373" s="1641"/>
      <c r="BF373" s="1467"/>
      <c r="BG373" s="458"/>
      <c r="BH373" s="1641"/>
      <c r="BI373" s="1467"/>
      <c r="BJ373" s="571"/>
      <c r="BK373" s="1677"/>
      <c r="BL373" s="1467"/>
      <c r="BM373" s="571"/>
      <c r="BN373" s="1641"/>
      <c r="BO373" s="1467"/>
      <c r="BP373" s="571"/>
      <c r="BQ373" s="1641"/>
      <c r="BR373" s="1467"/>
      <c r="BS373" s="571"/>
      <c r="BT373" s="1641"/>
      <c r="BU373" s="1467"/>
      <c r="BV373" s="571"/>
      <c r="BW373" s="1641"/>
      <c r="BX373" s="1467"/>
      <c r="BY373" s="571"/>
      <c r="BZ373" s="1641"/>
      <c r="CA373" s="1467"/>
      <c r="CB373" s="571"/>
      <c r="CC373" s="1641"/>
      <c r="CD373" s="1467"/>
      <c r="CE373" s="571"/>
      <c r="CF373" s="1641"/>
      <c r="CG373" s="1467"/>
      <c r="CH373" s="571"/>
      <c r="CI373" s="1641"/>
      <c r="CJ373" s="458"/>
      <c r="CK373" s="571"/>
      <c r="CL373" s="571"/>
      <c r="CM373" s="170"/>
      <c r="CN373" s="1275"/>
      <c r="CO373" s="382"/>
      <c r="CP373" s="382"/>
      <c r="CQ373" s="385"/>
      <c r="CR373" s="1712"/>
      <c r="CS373" s="435"/>
      <c r="CT373" s="572"/>
      <c r="CU373" s="1712"/>
      <c r="CV373" s="435"/>
      <c r="CW373" s="435"/>
      <c r="CX373" s="1712"/>
      <c r="CY373" s="435"/>
      <c r="CZ373" s="572"/>
      <c r="DA373" s="1712"/>
      <c r="DB373" s="435"/>
      <c r="DC373" s="572"/>
      <c r="DD373" s="1712"/>
      <c r="DE373" s="435"/>
      <c r="DF373" s="572"/>
      <c r="DG373" s="1712"/>
      <c r="DH373" s="435"/>
      <c r="DI373" s="572"/>
      <c r="DJ373" s="1712"/>
      <c r="DK373" s="435"/>
      <c r="DL373" s="572"/>
      <c r="DM373" s="1712"/>
      <c r="DN373" s="435"/>
      <c r="DO373" s="572"/>
      <c r="DP373" s="1712"/>
      <c r="DQ373" s="435"/>
      <c r="DR373" s="572"/>
      <c r="DS373" s="1712"/>
      <c r="DT373" s="435"/>
      <c r="DU373" s="572"/>
      <c r="DV373" s="1712"/>
      <c r="DW373" s="435"/>
      <c r="DX373" s="572"/>
      <c r="DY373" s="1712"/>
      <c r="DZ373" s="435"/>
      <c r="EA373" s="573"/>
      <c r="EB373" s="170"/>
      <c r="EC373" s="170"/>
      <c r="ED373" s="170"/>
      <c r="EE373" s="170"/>
      <c r="EF373" s="170"/>
      <c r="EG373" s="170"/>
      <c r="EH373" s="170"/>
      <c r="EI373" s="170"/>
      <c r="EJ373" s="170"/>
      <c r="EK373" s="170"/>
    </row>
    <row r="374" spans="1:141" ht="15" x14ac:dyDescent="0.25">
      <c r="A374" s="583"/>
      <c r="B374" s="584"/>
      <c r="C374" s="584"/>
      <c r="D374" s="584"/>
      <c r="E374" s="565"/>
      <c r="F374" s="1578">
        <f>+F372-F254</f>
        <v>0</v>
      </c>
      <c r="G374" s="1369" t="s">
        <v>380</v>
      </c>
      <c r="H374" s="1369"/>
      <c r="I374" s="1375"/>
      <c r="J374" s="1369"/>
      <c r="K374" s="1369">
        <f t="shared" ref="K374:AT374" si="992">+K372-K254</f>
        <v>0</v>
      </c>
      <c r="L374" s="1369">
        <f t="shared" si="992"/>
        <v>0</v>
      </c>
      <c r="M374" s="1369">
        <f t="shared" si="992"/>
        <v>0</v>
      </c>
      <c r="N374" s="1369">
        <f t="shared" si="992"/>
        <v>0</v>
      </c>
      <c r="O374" s="1369">
        <f t="shared" si="992"/>
        <v>0</v>
      </c>
      <c r="P374" s="1369">
        <f t="shared" si="992"/>
        <v>0</v>
      </c>
      <c r="Q374" s="1369">
        <f t="shared" si="992"/>
        <v>0</v>
      </c>
      <c r="R374" s="1369">
        <f t="shared" si="992"/>
        <v>0</v>
      </c>
      <c r="S374" s="1369">
        <f t="shared" si="992"/>
        <v>0</v>
      </c>
      <c r="T374" s="1369">
        <f t="shared" si="992"/>
        <v>0</v>
      </c>
      <c r="U374" s="1369">
        <f t="shared" si="992"/>
        <v>0</v>
      </c>
      <c r="V374" s="1369">
        <f t="shared" si="992"/>
        <v>0</v>
      </c>
      <c r="W374" s="1369">
        <f t="shared" si="992"/>
        <v>0</v>
      </c>
      <c r="X374" s="1369">
        <f t="shared" si="992"/>
        <v>0</v>
      </c>
      <c r="Y374" s="1369">
        <f t="shared" si="992"/>
        <v>0</v>
      </c>
      <c r="Z374" s="1369">
        <f t="shared" si="992"/>
        <v>0</v>
      </c>
      <c r="AA374" s="1369">
        <f t="shared" si="992"/>
        <v>0</v>
      </c>
      <c r="AB374" s="1369">
        <f t="shared" si="992"/>
        <v>0</v>
      </c>
      <c r="AC374" s="1369">
        <f t="shared" si="992"/>
        <v>0</v>
      </c>
      <c r="AD374" s="1369">
        <f t="shared" si="992"/>
        <v>0</v>
      </c>
      <c r="AE374" s="1369">
        <f t="shared" si="992"/>
        <v>0</v>
      </c>
      <c r="AF374" s="1369">
        <f t="shared" si="992"/>
        <v>0</v>
      </c>
      <c r="AG374" s="1369">
        <f t="shared" si="992"/>
        <v>0</v>
      </c>
      <c r="AH374" s="1369">
        <f t="shared" si="992"/>
        <v>0</v>
      </c>
      <c r="AI374" s="1369">
        <f t="shared" si="992"/>
        <v>0</v>
      </c>
      <c r="AJ374" s="1369">
        <f t="shared" si="992"/>
        <v>0</v>
      </c>
      <c r="AK374" s="1369">
        <f t="shared" si="992"/>
        <v>0</v>
      </c>
      <c r="AL374" s="1369">
        <f t="shared" si="992"/>
        <v>0</v>
      </c>
      <c r="AM374" s="1369">
        <f t="shared" si="992"/>
        <v>0</v>
      </c>
      <c r="AN374" s="1369">
        <f t="shared" si="992"/>
        <v>0</v>
      </c>
      <c r="AO374" s="1369">
        <f t="shared" si="992"/>
        <v>0</v>
      </c>
      <c r="AP374" s="1369">
        <f t="shared" si="992"/>
        <v>0</v>
      </c>
      <c r="AQ374" s="1369">
        <f t="shared" si="992"/>
        <v>0</v>
      </c>
      <c r="AR374" s="1369">
        <f t="shared" si="992"/>
        <v>0</v>
      </c>
      <c r="AS374" s="1369">
        <f t="shared" si="992"/>
        <v>0</v>
      </c>
      <c r="AT374" s="1369">
        <f t="shared" si="992"/>
        <v>0</v>
      </c>
      <c r="AU374" s="411"/>
      <c r="AV374" s="170"/>
      <c r="AW374" s="565">
        <f>+AW372-AW254</f>
        <v>0</v>
      </c>
      <c r="AX374" s="1578">
        <f>+AX372-AX254</f>
        <v>0</v>
      </c>
      <c r="AY374" s="585" t="str">
        <f>+G374</f>
        <v>Check pricing</v>
      </c>
      <c r="AZ374" s="585">
        <f t="shared" ref="AZ374:CK374" si="993">+AZ372-AZ254</f>
        <v>0</v>
      </c>
      <c r="BA374" s="585">
        <f t="shared" si="993"/>
        <v>0</v>
      </c>
      <c r="BB374" s="1578">
        <f t="shared" si="993"/>
        <v>0</v>
      </c>
      <c r="BC374" s="585">
        <f t="shared" si="993"/>
        <v>0</v>
      </c>
      <c r="BD374" s="585">
        <f t="shared" si="993"/>
        <v>0</v>
      </c>
      <c r="BE374" s="1578">
        <f t="shared" si="993"/>
        <v>0</v>
      </c>
      <c r="BF374" s="1479">
        <f t="shared" si="993"/>
        <v>0</v>
      </c>
      <c r="BG374" s="585">
        <f t="shared" ca="1" si="993"/>
        <v>0</v>
      </c>
      <c r="BH374" s="1578">
        <f t="shared" si="993"/>
        <v>0</v>
      </c>
      <c r="BI374" s="1479">
        <f t="shared" si="993"/>
        <v>0</v>
      </c>
      <c r="BJ374" s="585">
        <f t="shared" ca="1" si="993"/>
        <v>0</v>
      </c>
      <c r="BK374" s="585">
        <f t="shared" si="993"/>
        <v>0</v>
      </c>
      <c r="BL374" s="1479">
        <f t="shared" si="993"/>
        <v>0</v>
      </c>
      <c r="BM374" s="585">
        <f t="shared" ca="1" si="993"/>
        <v>815484</v>
      </c>
      <c r="BN374" s="1578">
        <f t="shared" si="993"/>
        <v>0</v>
      </c>
      <c r="BO374" s="1479">
        <f t="shared" si="993"/>
        <v>0</v>
      </c>
      <c r="BP374" s="585">
        <f t="shared" ca="1" si="993"/>
        <v>3842452.47</v>
      </c>
      <c r="BQ374" s="1578">
        <f t="shared" si="993"/>
        <v>0</v>
      </c>
      <c r="BR374" s="1479">
        <f t="shared" si="993"/>
        <v>0</v>
      </c>
      <c r="BS374" s="585">
        <f t="shared" ca="1" si="993"/>
        <v>2664398</v>
      </c>
      <c r="BT374" s="1578">
        <f t="shared" si="993"/>
        <v>0</v>
      </c>
      <c r="BU374" s="1479">
        <f t="shared" si="993"/>
        <v>0</v>
      </c>
      <c r="BV374" s="585">
        <f t="shared" ca="1" si="993"/>
        <v>0</v>
      </c>
      <c r="BW374" s="1578">
        <f t="shared" si="993"/>
        <v>0</v>
      </c>
      <c r="BX374" s="1479">
        <f t="shared" si="993"/>
        <v>0</v>
      </c>
      <c r="BY374" s="585">
        <f t="shared" ca="1" si="993"/>
        <v>0</v>
      </c>
      <c r="BZ374" s="1578">
        <f t="shared" si="993"/>
        <v>0</v>
      </c>
      <c r="CA374" s="1479">
        <f t="shared" si="993"/>
        <v>0</v>
      </c>
      <c r="CB374" s="585">
        <f t="shared" ca="1" si="993"/>
        <v>0</v>
      </c>
      <c r="CC374" s="1578">
        <f t="shared" si="993"/>
        <v>0</v>
      </c>
      <c r="CD374" s="1479">
        <f t="shared" si="993"/>
        <v>0</v>
      </c>
      <c r="CE374" s="585">
        <f t="shared" ca="1" si="993"/>
        <v>0</v>
      </c>
      <c r="CF374" s="1578">
        <f t="shared" si="993"/>
        <v>0</v>
      </c>
      <c r="CG374" s="1479">
        <f t="shared" si="993"/>
        <v>0</v>
      </c>
      <c r="CH374" s="585">
        <f t="shared" ca="1" si="993"/>
        <v>0</v>
      </c>
      <c r="CI374" s="1578">
        <f t="shared" si="993"/>
        <v>0</v>
      </c>
      <c r="CJ374" s="585">
        <f t="shared" si="993"/>
        <v>0</v>
      </c>
      <c r="CK374" s="585">
        <f t="shared" ca="1" si="993"/>
        <v>7450319.0999999996</v>
      </c>
      <c r="CL374" s="585"/>
      <c r="CM374" s="170"/>
      <c r="CN374" s="1578">
        <f>+CN372-CN254</f>
        <v>0</v>
      </c>
      <c r="CO374" s="567" t="str">
        <f>+G374</f>
        <v>Check pricing</v>
      </c>
      <c r="CP374" s="567">
        <f t="shared" ref="CP374:EA374" si="994">+CP372-CP254</f>
        <v>0</v>
      </c>
      <c r="CQ374" s="567">
        <f t="shared" si="994"/>
        <v>0</v>
      </c>
      <c r="CR374" s="567">
        <f t="shared" si="994"/>
        <v>0</v>
      </c>
      <c r="CS374" s="567">
        <f t="shared" si="994"/>
        <v>0</v>
      </c>
      <c r="CT374" s="567">
        <f t="shared" si="994"/>
        <v>0</v>
      </c>
      <c r="CU374" s="567">
        <f t="shared" si="994"/>
        <v>0</v>
      </c>
      <c r="CV374" s="567">
        <f t="shared" si="994"/>
        <v>0</v>
      </c>
      <c r="CW374" s="567">
        <f t="shared" si="994"/>
        <v>0</v>
      </c>
      <c r="CX374" s="567">
        <f t="shared" si="994"/>
        <v>0</v>
      </c>
      <c r="CY374" s="567">
        <f t="shared" si="994"/>
        <v>0</v>
      </c>
      <c r="CZ374" s="567">
        <f t="shared" si="994"/>
        <v>0</v>
      </c>
      <c r="DA374" s="567">
        <f t="shared" si="994"/>
        <v>0</v>
      </c>
      <c r="DB374" s="567">
        <f t="shared" si="994"/>
        <v>0</v>
      </c>
      <c r="DC374" s="567">
        <f t="shared" si="994"/>
        <v>0</v>
      </c>
      <c r="DD374" s="567">
        <f t="shared" si="994"/>
        <v>0</v>
      </c>
      <c r="DE374" s="567">
        <f t="shared" si="994"/>
        <v>0</v>
      </c>
      <c r="DF374" s="567">
        <f t="shared" si="994"/>
        <v>0</v>
      </c>
      <c r="DG374" s="567">
        <f t="shared" si="994"/>
        <v>0</v>
      </c>
      <c r="DH374" s="567">
        <f t="shared" si="994"/>
        <v>0</v>
      </c>
      <c r="DI374" s="567">
        <f t="shared" si="994"/>
        <v>0</v>
      </c>
      <c r="DJ374" s="567">
        <f t="shared" si="994"/>
        <v>0</v>
      </c>
      <c r="DK374" s="567">
        <f t="shared" si="994"/>
        <v>0</v>
      </c>
      <c r="DL374" s="567">
        <f t="shared" si="994"/>
        <v>0</v>
      </c>
      <c r="DM374" s="567">
        <f t="shared" si="994"/>
        <v>0</v>
      </c>
      <c r="DN374" s="567">
        <f t="shared" si="994"/>
        <v>0</v>
      </c>
      <c r="DO374" s="567">
        <f t="shared" si="994"/>
        <v>0</v>
      </c>
      <c r="DP374" s="567">
        <f t="shared" si="994"/>
        <v>0</v>
      </c>
      <c r="DQ374" s="567">
        <f t="shared" si="994"/>
        <v>0</v>
      </c>
      <c r="DR374" s="567">
        <f t="shared" si="994"/>
        <v>0</v>
      </c>
      <c r="DS374" s="567">
        <f t="shared" si="994"/>
        <v>0</v>
      </c>
      <c r="DT374" s="567">
        <f t="shared" si="994"/>
        <v>0</v>
      </c>
      <c r="DU374" s="567">
        <f t="shared" si="994"/>
        <v>0</v>
      </c>
      <c r="DV374" s="567">
        <f t="shared" si="994"/>
        <v>0</v>
      </c>
      <c r="DW374" s="567">
        <f t="shared" si="994"/>
        <v>0</v>
      </c>
      <c r="DX374" s="567">
        <f t="shared" si="994"/>
        <v>0</v>
      </c>
      <c r="DY374" s="567">
        <f t="shared" si="994"/>
        <v>0</v>
      </c>
      <c r="DZ374" s="567">
        <f t="shared" si="994"/>
        <v>0</v>
      </c>
      <c r="EA374" s="568">
        <f t="shared" si="994"/>
        <v>0</v>
      </c>
      <c r="EB374" s="586"/>
      <c r="EC374" s="170"/>
      <c r="ED374" s="170"/>
      <c r="EE374" s="170"/>
      <c r="EF374" s="170"/>
      <c r="EG374" s="170"/>
      <c r="EH374" s="170"/>
      <c r="EI374" s="170"/>
      <c r="EJ374" s="170"/>
      <c r="EK374" s="170"/>
    </row>
    <row r="375" spans="1:141" ht="12.6" customHeight="1" x14ac:dyDescent="0.25">
      <c r="AU375" s="411"/>
      <c r="BF375" s="1480"/>
      <c r="BI375" s="1480"/>
      <c r="BL375" s="1480"/>
      <c r="BO375" s="1480"/>
      <c r="BR375" s="1480"/>
      <c r="BU375" s="1480"/>
      <c r="BX375" s="1480"/>
      <c r="CA375" s="1480"/>
      <c r="CD375" s="1480"/>
      <c r="CG375" s="1480"/>
      <c r="CM375" s="170"/>
    </row>
    <row r="376" spans="1:141" ht="12.6" customHeight="1" x14ac:dyDescent="0.25">
      <c r="E376" s="376"/>
      <c r="G376" s="170"/>
      <c r="BF376" s="1480"/>
      <c r="BI376" s="1480"/>
      <c r="BL376" s="1480"/>
      <c r="BO376" s="1480"/>
      <c r="BR376" s="1480"/>
      <c r="BU376" s="1480"/>
      <c r="BX376" s="1480"/>
      <c r="CA376" s="1480"/>
      <c r="CM376" s="170"/>
    </row>
    <row r="377" spans="1:141" ht="12.6" customHeight="1" x14ac:dyDescent="0.25">
      <c r="E377" s="376"/>
      <c r="G377" s="170"/>
      <c r="BF377" s="1480"/>
      <c r="BI377" s="1480"/>
      <c r="BL377" s="1480"/>
      <c r="BO377" s="1480"/>
      <c r="BR377" s="1480"/>
      <c r="BU377" s="1480"/>
      <c r="BX377" s="1480"/>
      <c r="CA377" s="1480"/>
      <c r="CM377" s="170"/>
    </row>
    <row r="378" spans="1:141" ht="12.6" customHeight="1" x14ac:dyDescent="0.25">
      <c r="E378" s="376"/>
      <c r="G378" s="170"/>
      <c r="BF378" s="1480"/>
      <c r="BI378" s="1480"/>
      <c r="BL378" s="1480"/>
      <c r="BO378" s="1480"/>
      <c r="BR378" s="1480"/>
      <c r="BU378" s="1480"/>
      <c r="BX378" s="1480"/>
      <c r="CA378" s="1480"/>
      <c r="CM378" s="170"/>
    </row>
    <row r="379" spans="1:141" ht="12.6" customHeight="1" x14ac:dyDescent="0.25">
      <c r="E379" s="376"/>
      <c r="G379" s="170"/>
      <c r="BF379" s="1480"/>
      <c r="BI379" s="1480"/>
      <c r="BL379" s="1480"/>
      <c r="BO379" s="1480"/>
      <c r="BR379" s="1480"/>
      <c r="BU379" s="1480"/>
      <c r="BX379" s="1480"/>
      <c r="CA379" s="1480"/>
      <c r="CM379" s="170"/>
    </row>
    <row r="380" spans="1:141" ht="12.6" customHeight="1" x14ac:dyDescent="0.25">
      <c r="E380" s="376"/>
      <c r="G380" s="170"/>
      <c r="BF380" s="1480"/>
      <c r="BI380" s="1480"/>
      <c r="BL380" s="1480"/>
      <c r="BO380" s="1480"/>
      <c r="BR380" s="1480"/>
      <c r="BU380" s="1480"/>
      <c r="BX380" s="1480"/>
      <c r="CA380" s="1480"/>
      <c r="CM380" s="170"/>
    </row>
    <row r="381" spans="1:141" ht="12.6" customHeight="1" x14ac:dyDescent="0.25">
      <c r="E381" s="376"/>
      <c r="G381" s="170"/>
      <c r="BF381" s="1480"/>
      <c r="BI381" s="1480"/>
      <c r="BL381" s="1480"/>
      <c r="BO381" s="1480"/>
      <c r="BR381" s="1480"/>
      <c r="BU381" s="1480"/>
      <c r="BX381" s="1480"/>
      <c r="CA381" s="1480"/>
      <c r="CM381" s="170"/>
    </row>
    <row r="382" spans="1:141" ht="12.6" customHeight="1" x14ac:dyDescent="0.25">
      <c r="E382" s="376"/>
      <c r="G382" s="170"/>
      <c r="BF382" s="1480"/>
      <c r="BI382" s="1480"/>
      <c r="BL382" s="1480"/>
      <c r="BO382" s="1480"/>
      <c r="BR382" s="1480"/>
      <c r="BU382" s="1480"/>
      <c r="BX382" s="1480"/>
      <c r="CA382" s="1480"/>
      <c r="CM382" s="170"/>
    </row>
    <row r="383" spans="1:141" ht="12.6" customHeight="1" x14ac:dyDescent="0.25">
      <c r="E383" s="376"/>
      <c r="G383" s="170"/>
      <c r="BF383" s="1480"/>
      <c r="BI383" s="1480"/>
      <c r="BL383" s="1480"/>
      <c r="BO383" s="1480"/>
      <c r="BR383" s="1480"/>
      <c r="BU383" s="1480"/>
      <c r="BX383" s="1480"/>
      <c r="CA383" s="1480"/>
      <c r="CM383" s="170"/>
    </row>
    <row r="384" spans="1:141" ht="12.6" customHeight="1" x14ac:dyDescent="0.25">
      <c r="E384" s="376"/>
      <c r="G384" s="170"/>
      <c r="BF384" s="1480"/>
      <c r="BI384" s="1480"/>
      <c r="BL384" s="1480"/>
      <c r="BO384" s="1480"/>
      <c r="BR384" s="1480"/>
      <c r="BU384" s="1480"/>
      <c r="BX384" s="1480"/>
      <c r="CA384" s="1480"/>
      <c r="CM384" s="170"/>
    </row>
    <row r="385" spans="5:91" ht="12.6" customHeight="1" x14ac:dyDescent="0.25">
      <c r="E385" s="376"/>
      <c r="G385" s="170"/>
      <c r="BF385" s="1480"/>
      <c r="BI385" s="1480"/>
      <c r="BL385" s="1480"/>
      <c r="BO385" s="1480"/>
      <c r="BR385" s="1480"/>
      <c r="BU385" s="1480"/>
      <c r="BX385" s="1480"/>
      <c r="CA385" s="1480"/>
      <c r="CM385" s="170"/>
    </row>
    <row r="386" spans="5:91" ht="12.6" customHeight="1" x14ac:dyDescent="0.25">
      <c r="E386" s="376"/>
      <c r="G386" s="170"/>
      <c r="BF386" s="1480"/>
      <c r="BI386" s="1480"/>
      <c r="BL386" s="1480"/>
      <c r="BO386" s="1480"/>
      <c r="BR386" s="1480"/>
      <c r="BU386" s="1480"/>
      <c r="BX386" s="1480"/>
      <c r="CA386" s="1480"/>
      <c r="CM386" s="170"/>
    </row>
    <row r="387" spans="5:91" ht="12.6" customHeight="1" x14ac:dyDescent="0.25">
      <c r="E387" s="376"/>
      <c r="G387" s="170"/>
      <c r="BF387" s="1480"/>
      <c r="BI387" s="1480"/>
      <c r="BL387" s="1480"/>
      <c r="BO387" s="1480"/>
      <c r="BR387" s="1480"/>
      <c r="BU387" s="1480"/>
      <c r="BX387" s="1480"/>
      <c r="CA387" s="1480"/>
      <c r="CM387" s="170"/>
    </row>
    <row r="388" spans="5:91" ht="12.6" customHeight="1" x14ac:dyDescent="0.25">
      <c r="E388" s="376"/>
      <c r="G388" s="170"/>
      <c r="BF388" s="1480"/>
      <c r="BI388" s="1480"/>
      <c r="BL388" s="1480"/>
      <c r="BO388" s="1480"/>
      <c r="BR388" s="1480"/>
      <c r="BU388" s="1480"/>
      <c r="BX388" s="1480"/>
      <c r="CA388" s="1480"/>
      <c r="CM388" s="170"/>
    </row>
    <row r="389" spans="5:91" ht="12.6" customHeight="1" x14ac:dyDescent="0.25">
      <c r="E389" s="376"/>
      <c r="G389" s="170"/>
      <c r="BF389" s="1480"/>
      <c r="BI389" s="1480"/>
      <c r="BL389" s="1480"/>
      <c r="BO389" s="1480"/>
      <c r="BR389" s="1480"/>
      <c r="BU389" s="1480"/>
      <c r="BX389" s="1480"/>
      <c r="CA389" s="1480"/>
      <c r="CM389" s="170"/>
    </row>
    <row r="390" spans="5:91" ht="12.6" customHeight="1" x14ac:dyDescent="0.25">
      <c r="E390" s="376"/>
      <c r="G390" s="170"/>
      <c r="BF390" s="1480"/>
      <c r="BI390" s="1480"/>
      <c r="BL390" s="1480"/>
      <c r="BO390" s="1480"/>
      <c r="BR390" s="1480"/>
      <c r="BU390" s="1480"/>
      <c r="BX390" s="1480"/>
      <c r="CA390" s="1480"/>
      <c r="CM390" s="170"/>
    </row>
    <row r="391" spans="5:91" ht="12.6" customHeight="1" x14ac:dyDescent="0.25">
      <c r="E391" s="376"/>
      <c r="G391" s="170"/>
      <c r="BF391" s="1480"/>
      <c r="BI391" s="1480"/>
      <c r="BL391" s="1480"/>
      <c r="BO391" s="1480"/>
      <c r="BR391" s="1480"/>
      <c r="BU391" s="1480"/>
      <c r="BX391" s="1480"/>
      <c r="CA391" s="1480"/>
      <c r="CM391" s="170"/>
    </row>
    <row r="392" spans="5:91" ht="12.6" customHeight="1" x14ac:dyDescent="0.25">
      <c r="E392" s="376"/>
      <c r="G392" s="170"/>
      <c r="BF392" s="1480"/>
      <c r="BI392" s="1480"/>
      <c r="BL392" s="1480"/>
      <c r="BO392" s="1480"/>
      <c r="BR392" s="1480"/>
      <c r="BU392" s="1480"/>
      <c r="BX392" s="1480"/>
      <c r="CA392" s="1480"/>
      <c r="CM392" s="170"/>
    </row>
    <row r="393" spans="5:91" ht="12.6" customHeight="1" x14ac:dyDescent="0.25">
      <c r="E393" s="376"/>
      <c r="G393" s="170"/>
      <c r="BF393" s="1480"/>
      <c r="BI393" s="1480"/>
      <c r="BL393" s="1480"/>
      <c r="BO393" s="1480"/>
      <c r="BR393" s="1480"/>
      <c r="BU393" s="1480"/>
      <c r="BX393" s="1480"/>
      <c r="CA393" s="1480"/>
      <c r="CM393" s="170"/>
    </row>
    <row r="394" spans="5:91" ht="12.6" customHeight="1" x14ac:dyDescent="0.25">
      <c r="E394" s="376"/>
      <c r="G394" s="170"/>
      <c r="BF394" s="1480"/>
      <c r="BI394" s="1480"/>
      <c r="BL394" s="1480"/>
      <c r="BO394" s="1480"/>
      <c r="BR394" s="1480"/>
      <c r="BU394" s="1480"/>
      <c r="BX394" s="1480"/>
      <c r="CA394" s="1480"/>
      <c r="CM394" s="170"/>
    </row>
    <row r="395" spans="5:91" ht="12.6" customHeight="1" x14ac:dyDescent="0.25">
      <c r="E395" s="376"/>
      <c r="G395" s="170"/>
      <c r="BF395" s="1480"/>
      <c r="BI395" s="1480"/>
      <c r="BL395" s="1480"/>
      <c r="BO395" s="1480"/>
      <c r="BR395" s="1480"/>
      <c r="BU395" s="1480"/>
      <c r="BX395" s="1480"/>
      <c r="CA395" s="1480"/>
      <c r="CM395" s="170"/>
    </row>
    <row r="396" spans="5:91" ht="12.6" customHeight="1" x14ac:dyDescent="0.25">
      <c r="E396" s="376"/>
      <c r="G396" s="170"/>
      <c r="BF396" s="1480"/>
      <c r="BG396" s="1482">
        <f ca="1">BA167*(BG21+BG133+BG144)*(BA166+1)</f>
        <v>0</v>
      </c>
      <c r="BI396" s="1480"/>
      <c r="BL396" s="1480"/>
      <c r="BO396" s="1480"/>
      <c r="BR396" s="1480"/>
      <c r="BU396" s="1480"/>
      <c r="BX396" s="1480"/>
      <c r="CA396" s="1480"/>
      <c r="CM396" s="170"/>
    </row>
  </sheetData>
  <sheetProtection formatCells="0" formatColumns="0" formatRows="0" autoFilter="0" pivotTables="0"/>
  <autoFilter ref="B11:E200" xr:uid="{D2A1AF7C-0354-457C-90C4-57C835BCE7D4}"/>
  <mergeCells count="12">
    <mergeCell ref="G184:H184"/>
    <mergeCell ref="CO181:CP181"/>
    <mergeCell ref="CO184:CP184"/>
    <mergeCell ref="L4:R4"/>
    <mergeCell ref="AY175:AZ175"/>
    <mergeCell ref="AY184:AZ184"/>
    <mergeCell ref="AY181:AZ181"/>
    <mergeCell ref="G183:H183"/>
    <mergeCell ref="AY183:AZ183"/>
    <mergeCell ref="CO183:CP183"/>
    <mergeCell ref="G182:H182"/>
    <mergeCell ref="G181:H181"/>
  </mergeCells>
  <printOptions horizontalCentered="1"/>
  <pageMargins left="0" right="0" top="0.17" bottom="0.32" header="0.17" footer="0.17"/>
  <pageSetup scale="43" fitToHeight="0" orientation="portrait"/>
  <headerFooter alignWithMargins="0">
    <oddFooter>&amp;R&amp;8&amp;D&amp;T</oddFooter>
  </headerFooter>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3DF3F1A-B5A0-41A5-91B5-072EDEAAA3CC}">
          <x14:formula1>
            <xm:f>'SCS &amp; Siting Info'!$C$8:$C$11</xm:f>
          </x14:formula1>
          <xm:sqref>AY95</xm:sqref>
        </x14:dataValidation>
        <x14:dataValidation type="list" allowBlank="1" showInputMessage="1" showErrorMessage="1" xr:uid="{04BBE1F7-AB46-4783-B6C8-7CA30211C6EE}">
          <x14:formula1>
            <xm:f>'SCS &amp; Siting Info'!$C$18:$C$29</xm:f>
          </x14:formula1>
          <xm:sqref>AY98</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9FD5D-3DA3-4ADF-89A4-D69D346C0BF2}">
  <sheetPr>
    <tabColor rgb="FFFFC000"/>
  </sheetPr>
  <dimension ref="C3:O35"/>
  <sheetViews>
    <sheetView showGridLines="0" workbookViewId="0">
      <selection activeCell="AA24" sqref="AA24"/>
    </sheetView>
  </sheetViews>
  <sheetFormatPr defaultRowHeight="15" x14ac:dyDescent="0.25"/>
  <cols>
    <col min="1" max="1" width="3.5703125" customWidth="1"/>
    <col min="3" max="3" width="44.42578125" customWidth="1"/>
    <col min="4" max="4" width="2.42578125" customWidth="1"/>
    <col min="5" max="5" width="13.5703125" customWidth="1"/>
    <col min="6" max="6" width="2.42578125" customWidth="1"/>
    <col min="7" max="7" width="15.42578125" customWidth="1"/>
    <col min="8" max="8" width="2.42578125" customWidth="1"/>
    <col min="9" max="9" width="12.140625" customWidth="1"/>
    <col min="10" max="10" width="2.42578125" customWidth="1"/>
    <col min="11" max="11" width="12.5703125" customWidth="1"/>
    <col min="12" max="12" width="2.42578125" customWidth="1"/>
    <col min="13" max="13" width="11" bestFit="1" customWidth="1"/>
    <col min="14" max="14" width="2.42578125" customWidth="1"/>
    <col min="15" max="15" width="20.140625" customWidth="1"/>
  </cols>
  <sheetData>
    <row r="3" spans="3:15" x14ac:dyDescent="0.25">
      <c r="C3" t="s">
        <v>3603</v>
      </c>
    </row>
    <row r="6" spans="3:15" x14ac:dyDescent="0.25">
      <c r="C6" s="2875" t="s">
        <v>3602</v>
      </c>
      <c r="D6" s="2875"/>
      <c r="E6" s="2875"/>
      <c r="F6" s="2875"/>
      <c r="G6" s="2711"/>
      <c r="H6" s="2711"/>
      <c r="I6" s="2711"/>
      <c r="J6" s="2711"/>
      <c r="K6" s="2711"/>
      <c r="L6" s="2712"/>
      <c r="M6" s="2718">
        <v>45020</v>
      </c>
      <c r="N6" s="2712"/>
      <c r="O6" s="2717" t="s">
        <v>3601</v>
      </c>
    </row>
    <row r="7" spans="3:15" x14ac:dyDescent="0.25">
      <c r="C7" s="2712"/>
      <c r="D7" s="2712"/>
      <c r="E7" s="2711"/>
      <c r="F7" s="2711"/>
      <c r="G7" s="2711"/>
      <c r="H7" s="2711"/>
      <c r="I7" s="2711"/>
      <c r="J7" s="2711"/>
      <c r="K7" s="2711"/>
      <c r="L7" s="2712"/>
      <c r="M7" s="2712"/>
      <c r="N7" s="2712"/>
      <c r="O7" s="2711"/>
    </row>
    <row r="8" spans="3:15" ht="22.5" x14ac:dyDescent="0.25">
      <c r="C8" s="2714" t="s">
        <v>3600</v>
      </c>
      <c r="D8" s="2712"/>
      <c r="E8" s="2713" t="s">
        <v>3599</v>
      </c>
      <c r="F8" s="2711"/>
      <c r="G8" s="2713" t="s">
        <v>524</v>
      </c>
      <c r="H8" s="2711"/>
      <c r="I8" s="2713" t="s">
        <v>9</v>
      </c>
      <c r="J8" s="2711"/>
      <c r="K8" s="2713" t="s">
        <v>3581</v>
      </c>
      <c r="L8" s="2712"/>
      <c r="M8" s="2713" t="s">
        <v>3586</v>
      </c>
      <c r="N8" s="2712"/>
      <c r="O8" s="2713" t="s">
        <v>1939</v>
      </c>
    </row>
    <row r="9" spans="3:15" x14ac:dyDescent="0.25">
      <c r="C9" s="2712"/>
      <c r="D9" s="2712"/>
      <c r="E9" s="2713" t="s">
        <v>3598</v>
      </c>
      <c r="F9" s="2711"/>
      <c r="G9" s="2713" t="s">
        <v>3597</v>
      </c>
      <c r="H9" s="2711"/>
      <c r="I9" s="2713" t="s">
        <v>3596</v>
      </c>
      <c r="J9" s="2711"/>
      <c r="K9" s="2711"/>
      <c r="L9" s="2712"/>
      <c r="M9" s="2711"/>
      <c r="N9" s="2712"/>
      <c r="O9" s="2713" t="s">
        <v>3595</v>
      </c>
    </row>
    <row r="10" spans="3:15" x14ac:dyDescent="0.25">
      <c r="C10" s="2714"/>
      <c r="D10" s="2714"/>
      <c r="E10" s="2715" t="s">
        <v>3594</v>
      </c>
      <c r="F10" s="2715"/>
      <c r="G10" s="2715" t="s">
        <v>3593</v>
      </c>
      <c r="H10" s="2715"/>
      <c r="I10" s="2715" t="s">
        <v>3592</v>
      </c>
      <c r="J10" s="2715"/>
      <c r="K10" s="2715" t="s">
        <v>3591</v>
      </c>
      <c r="L10" s="2716"/>
      <c r="M10" s="2715" t="s">
        <v>3591</v>
      </c>
      <c r="N10" s="2712"/>
      <c r="O10" s="2713"/>
    </row>
    <row r="11" spans="3:15" x14ac:dyDescent="0.25">
      <c r="C11" s="2712"/>
      <c r="D11" s="2712"/>
      <c r="E11" s="2711"/>
      <c r="F11" s="2711"/>
      <c r="G11" s="2711"/>
      <c r="H11" s="2711"/>
      <c r="I11" s="2711"/>
      <c r="J11" s="2711"/>
      <c r="K11" s="2711"/>
      <c r="L11" s="2712"/>
      <c r="M11" s="2711"/>
      <c r="N11" s="2712"/>
      <c r="O11" s="2711"/>
    </row>
    <row r="12" spans="3:15" x14ac:dyDescent="0.25">
      <c r="C12" s="2714" t="s">
        <v>3590</v>
      </c>
      <c r="D12" s="2712"/>
      <c r="E12" s="2713" t="s">
        <v>3588</v>
      </c>
      <c r="F12" s="2711"/>
      <c r="G12" s="2713" t="s">
        <v>524</v>
      </c>
      <c r="H12" s="2711"/>
      <c r="I12" s="2713" t="s">
        <v>3587</v>
      </c>
      <c r="J12" s="2711"/>
      <c r="K12" s="2713" t="s">
        <v>3581</v>
      </c>
      <c r="L12" s="2712"/>
      <c r="M12" s="2713" t="s">
        <v>3586</v>
      </c>
      <c r="N12" s="2712"/>
      <c r="O12" s="2711"/>
    </row>
    <row r="13" spans="3:15" ht="18" customHeight="1" x14ac:dyDescent="0.25">
      <c r="C13" s="2714" t="s">
        <v>3589</v>
      </c>
      <c r="D13" s="2712"/>
      <c r="E13" s="2713" t="s">
        <v>3588</v>
      </c>
      <c r="F13" s="2711"/>
      <c r="G13" s="2713" t="s">
        <v>524</v>
      </c>
      <c r="H13" s="2711"/>
      <c r="I13" s="2713" t="s">
        <v>3587</v>
      </c>
      <c r="J13" s="2711"/>
      <c r="K13" s="2713" t="s">
        <v>3581</v>
      </c>
      <c r="L13" s="2712"/>
      <c r="M13" s="2713" t="s">
        <v>3586</v>
      </c>
      <c r="N13" s="2712"/>
      <c r="O13" s="2711"/>
    </row>
    <row r="14" spans="3:15" x14ac:dyDescent="0.25">
      <c r="C14" s="2712"/>
      <c r="D14" s="2712"/>
      <c r="E14" s="2711"/>
      <c r="F14" s="2711"/>
      <c r="G14" s="2711"/>
      <c r="H14" s="2711"/>
      <c r="I14" s="2711"/>
      <c r="J14" s="2711"/>
      <c r="K14" s="2711"/>
      <c r="L14" s="2712"/>
      <c r="M14" s="2711"/>
      <c r="N14" s="2712"/>
      <c r="O14" s="2711"/>
    </row>
    <row r="15" spans="3:15" x14ac:dyDescent="0.25">
      <c r="C15" s="2714" t="s">
        <v>3585</v>
      </c>
      <c r="D15" s="2712"/>
      <c r="E15" s="2713" t="s">
        <v>512</v>
      </c>
      <c r="F15" s="2711"/>
      <c r="G15" s="2713" t="s">
        <v>512</v>
      </c>
      <c r="H15" s="2711"/>
      <c r="I15" s="2713" t="s">
        <v>3562</v>
      </c>
      <c r="J15" s="2711"/>
      <c r="K15" s="2713" t="s">
        <v>3562</v>
      </c>
      <c r="L15" s="2712"/>
      <c r="M15" s="2713" t="s">
        <v>3562</v>
      </c>
      <c r="N15" s="2712"/>
      <c r="O15" s="2711"/>
    </row>
    <row r="16" spans="3:15" x14ac:dyDescent="0.25">
      <c r="C16" s="2712"/>
      <c r="D16" s="2712"/>
      <c r="E16" s="2711"/>
      <c r="F16" s="2711"/>
      <c r="G16" s="2711"/>
      <c r="H16" s="2711"/>
      <c r="I16" s="2711"/>
      <c r="J16" s="2711"/>
      <c r="K16" s="2711"/>
      <c r="L16" s="2712"/>
      <c r="M16" s="2711"/>
      <c r="N16" s="2712"/>
      <c r="O16" s="2711"/>
    </row>
    <row r="17" spans="3:15" x14ac:dyDescent="0.25">
      <c r="C17" s="2714" t="s">
        <v>3584</v>
      </c>
      <c r="D17" s="2712"/>
      <c r="E17" s="2713" t="s">
        <v>3562</v>
      </c>
      <c r="F17" s="2711"/>
      <c r="G17" s="2713" t="s">
        <v>3562</v>
      </c>
      <c r="H17" s="2711"/>
      <c r="I17" s="2711"/>
      <c r="J17" s="2711"/>
      <c r="K17" s="2711"/>
      <c r="L17" s="2712"/>
      <c r="M17" s="2711"/>
      <c r="N17" s="2712"/>
      <c r="O17" s="2713" t="s">
        <v>3562</v>
      </c>
    </row>
    <row r="18" spans="3:15" x14ac:dyDescent="0.25">
      <c r="C18" s="2712"/>
      <c r="D18" s="2712"/>
      <c r="E18" s="2711"/>
      <c r="F18" s="2711"/>
      <c r="G18" s="2711"/>
      <c r="H18" s="2711"/>
      <c r="I18" s="2711"/>
      <c r="J18" s="2711"/>
      <c r="K18" s="2711"/>
      <c r="L18" s="2712"/>
      <c r="M18" s="2711"/>
      <c r="N18" s="2712"/>
      <c r="O18" s="2711"/>
    </row>
    <row r="19" spans="3:15" ht="22.5" x14ac:dyDescent="0.25">
      <c r="C19" s="2714" t="s">
        <v>3583</v>
      </c>
      <c r="D19" s="2712"/>
      <c r="E19" s="2713" t="s">
        <v>512</v>
      </c>
      <c r="F19" s="2711"/>
      <c r="G19" s="2713" t="s">
        <v>3582</v>
      </c>
      <c r="H19" s="2711"/>
      <c r="I19" s="2713" t="s">
        <v>3581</v>
      </c>
      <c r="J19" s="2711"/>
      <c r="K19" s="2713" t="s">
        <v>3581</v>
      </c>
      <c r="L19" s="2712"/>
      <c r="M19" s="2713" t="s">
        <v>3581</v>
      </c>
      <c r="N19" s="2712"/>
      <c r="O19" s="2711"/>
    </row>
    <row r="20" spans="3:15" x14ac:dyDescent="0.25">
      <c r="C20" s="2712"/>
      <c r="D20" s="2712"/>
      <c r="E20" s="2711"/>
      <c r="F20" s="2711"/>
      <c r="G20" s="2711"/>
      <c r="H20" s="2711"/>
      <c r="I20" s="2711"/>
      <c r="J20" s="2711"/>
      <c r="K20" s="2711"/>
      <c r="L20" s="2712"/>
      <c r="M20" s="2711"/>
      <c r="N20" s="2712"/>
      <c r="O20" s="2711"/>
    </row>
    <row r="21" spans="3:15" x14ac:dyDescent="0.25">
      <c r="C21" s="2714" t="s">
        <v>3580</v>
      </c>
      <c r="D21" s="2712"/>
      <c r="E21" s="2711"/>
      <c r="F21" s="2711"/>
      <c r="G21" s="2711"/>
      <c r="H21" s="2711"/>
      <c r="I21" s="2711"/>
      <c r="J21" s="2711"/>
      <c r="K21" s="2711"/>
      <c r="L21" s="2712"/>
      <c r="M21" s="2711"/>
      <c r="N21" s="2712"/>
      <c r="O21" s="2711"/>
    </row>
    <row r="22" spans="3:15" ht="18" customHeight="1" x14ac:dyDescent="0.25">
      <c r="C22" s="2714" t="s">
        <v>3579</v>
      </c>
      <c r="D22" s="2712"/>
      <c r="E22" s="2713" t="s">
        <v>512</v>
      </c>
      <c r="F22" s="2711"/>
      <c r="G22" s="2713" t="s">
        <v>3578</v>
      </c>
      <c r="H22" s="2711"/>
      <c r="I22" s="2713" t="s">
        <v>3575</v>
      </c>
      <c r="J22" s="2711"/>
      <c r="K22" s="2713" t="s">
        <v>3570</v>
      </c>
      <c r="L22" s="2712"/>
      <c r="M22" s="2713" t="s">
        <v>3570</v>
      </c>
      <c r="N22" s="2712"/>
      <c r="O22" s="2713" t="s">
        <v>3570</v>
      </c>
    </row>
    <row r="23" spans="3:15" ht="22.5" x14ac:dyDescent="0.25">
      <c r="C23" s="2714" t="s">
        <v>3577</v>
      </c>
      <c r="D23" s="2712"/>
      <c r="E23" s="2713" t="s">
        <v>512</v>
      </c>
      <c r="F23" s="2711"/>
      <c r="G23" s="2713" t="s">
        <v>3576</v>
      </c>
      <c r="H23" s="2711"/>
      <c r="I23" s="2713" t="s">
        <v>3575</v>
      </c>
      <c r="J23" s="2711"/>
      <c r="K23" s="2713" t="s">
        <v>3570</v>
      </c>
      <c r="L23" s="2712"/>
      <c r="M23" s="2713" t="s">
        <v>3570</v>
      </c>
      <c r="N23" s="2712"/>
      <c r="O23" s="2713" t="s">
        <v>3570</v>
      </c>
    </row>
    <row r="24" spans="3:15" ht="45" x14ac:dyDescent="0.25">
      <c r="C24" s="2714" t="s">
        <v>3574</v>
      </c>
      <c r="D24" s="2712"/>
      <c r="E24" s="2713" t="s">
        <v>512</v>
      </c>
      <c r="F24" s="2711"/>
      <c r="G24" s="2713" t="s">
        <v>3573</v>
      </c>
      <c r="H24" s="2711"/>
      <c r="I24" s="2713" t="s">
        <v>3570</v>
      </c>
      <c r="J24" s="2711"/>
      <c r="K24" s="2713" t="s">
        <v>3570</v>
      </c>
      <c r="L24" s="2712"/>
      <c r="M24" s="2713" t="s">
        <v>3570</v>
      </c>
      <c r="N24" s="2712"/>
      <c r="O24" s="2713" t="s">
        <v>3570</v>
      </c>
    </row>
    <row r="25" spans="3:15" x14ac:dyDescent="0.25">
      <c r="C25" s="2714" t="s">
        <v>3572</v>
      </c>
      <c r="D25" s="2712"/>
      <c r="E25" s="2711"/>
      <c r="F25" s="2711"/>
      <c r="G25" s="2711"/>
      <c r="H25" s="2711"/>
      <c r="I25" s="2713" t="s">
        <v>3570</v>
      </c>
      <c r="J25" s="2711"/>
      <c r="K25" s="2713" t="s">
        <v>3570</v>
      </c>
      <c r="L25" s="2712"/>
      <c r="M25" s="2713" t="s">
        <v>3570</v>
      </c>
      <c r="N25" s="2712"/>
      <c r="O25" s="2713" t="s">
        <v>3570</v>
      </c>
    </row>
    <row r="26" spans="3:15" x14ac:dyDescent="0.25">
      <c r="C26" s="2714" t="s">
        <v>3571</v>
      </c>
      <c r="D26" s="2712"/>
      <c r="E26" s="2713" t="s">
        <v>3570</v>
      </c>
      <c r="F26" s="2711"/>
      <c r="G26" s="2713" t="s">
        <v>3570</v>
      </c>
      <c r="H26" s="2711"/>
      <c r="I26" s="2713" t="s">
        <v>3570</v>
      </c>
      <c r="J26" s="2711"/>
      <c r="K26" s="2713" t="s">
        <v>3570</v>
      </c>
      <c r="L26" s="2712"/>
      <c r="M26" s="2713" t="s">
        <v>3570</v>
      </c>
      <c r="N26" s="2712"/>
      <c r="O26" s="2713" t="s">
        <v>3570</v>
      </c>
    </row>
    <row r="27" spans="3:15" x14ac:dyDescent="0.25">
      <c r="C27" s="2712"/>
      <c r="D27" s="2712"/>
      <c r="E27" s="2711"/>
      <c r="F27" s="2711"/>
      <c r="G27" s="2711"/>
      <c r="H27" s="2711"/>
      <c r="I27" s="2711"/>
      <c r="J27" s="2711"/>
      <c r="K27" s="2711"/>
      <c r="L27" s="2712"/>
      <c r="M27" s="2711"/>
      <c r="N27" s="2712"/>
      <c r="O27" s="2711"/>
    </row>
    <row r="28" spans="3:15" x14ac:dyDescent="0.25">
      <c r="C28" s="2714" t="s">
        <v>3569</v>
      </c>
      <c r="D28" s="2712"/>
      <c r="E28" s="2711"/>
      <c r="F28" s="2711"/>
      <c r="G28" s="2713" t="s">
        <v>3568</v>
      </c>
      <c r="H28" s="2711"/>
      <c r="I28" s="2713" t="s">
        <v>3568</v>
      </c>
      <c r="J28" s="2711"/>
      <c r="K28" s="2713" t="s">
        <v>3568</v>
      </c>
      <c r="L28" s="2712"/>
      <c r="M28" s="2713" t="s">
        <v>3568</v>
      </c>
      <c r="N28" s="2712"/>
      <c r="O28" s="2713" t="s">
        <v>3568</v>
      </c>
    </row>
    <row r="29" spans="3:15" x14ac:dyDescent="0.25">
      <c r="C29" s="2712"/>
      <c r="D29" s="2712"/>
      <c r="E29" s="2711"/>
      <c r="F29" s="2711"/>
      <c r="G29" s="2711"/>
      <c r="H29" s="2711"/>
      <c r="I29" s="2711"/>
      <c r="J29" s="2711"/>
      <c r="K29" s="2711"/>
      <c r="L29" s="2712"/>
      <c r="M29" s="2711"/>
      <c r="N29" s="2712"/>
      <c r="O29" s="2711"/>
    </row>
    <row r="30" spans="3:15" x14ac:dyDescent="0.25">
      <c r="C30" s="2712"/>
      <c r="D30" s="2712"/>
      <c r="E30" s="2711"/>
      <c r="F30" s="2711"/>
      <c r="G30" s="2711"/>
      <c r="H30" s="2711"/>
      <c r="I30" s="2711"/>
      <c r="J30" s="2711"/>
      <c r="K30" s="2711"/>
      <c r="L30" s="2712"/>
      <c r="M30" s="2711"/>
      <c r="N30" s="2712"/>
      <c r="O30" s="2711"/>
    </row>
    <row r="31" spans="3:15" x14ac:dyDescent="0.25">
      <c r="C31" s="2714" t="s">
        <v>3567</v>
      </c>
      <c r="D31" s="2712"/>
      <c r="E31" s="2711"/>
      <c r="F31" s="2711"/>
      <c r="G31" s="2713" t="s">
        <v>3562</v>
      </c>
      <c r="H31" s="2711"/>
      <c r="I31" s="2713" t="s">
        <v>3562</v>
      </c>
      <c r="J31" s="2711"/>
      <c r="K31" s="2713" t="s">
        <v>3562</v>
      </c>
      <c r="L31" s="2712"/>
      <c r="M31" s="2713" t="s">
        <v>3562</v>
      </c>
      <c r="N31" s="2712"/>
      <c r="O31" s="2713" t="s">
        <v>3562</v>
      </c>
    </row>
    <row r="32" spans="3:15" x14ac:dyDescent="0.25">
      <c r="C32" s="2712"/>
      <c r="D32" s="2712"/>
      <c r="E32" s="2711"/>
      <c r="F32" s="2711"/>
      <c r="G32" s="2711"/>
      <c r="H32" s="2711"/>
      <c r="I32" s="2711"/>
      <c r="J32" s="2711"/>
      <c r="K32" s="2711"/>
      <c r="L32" s="2712"/>
      <c r="M32" s="2711"/>
      <c r="N32" s="2712"/>
      <c r="O32" s="2711"/>
    </row>
    <row r="33" spans="3:15" x14ac:dyDescent="0.25">
      <c r="C33" s="2714" t="s">
        <v>3566</v>
      </c>
      <c r="D33" s="2712"/>
      <c r="E33" s="2711"/>
      <c r="F33" s="2711"/>
      <c r="G33" s="2711"/>
      <c r="H33" s="2711"/>
      <c r="I33" s="2711"/>
      <c r="J33" s="2711"/>
      <c r="K33" s="2711"/>
      <c r="L33" s="2712"/>
      <c r="M33" s="2711"/>
      <c r="N33" s="2712"/>
      <c r="O33" s="2711"/>
    </row>
    <row r="34" spans="3:15" x14ac:dyDescent="0.25">
      <c r="C34" s="2714" t="s">
        <v>3565</v>
      </c>
      <c r="D34" s="2712"/>
      <c r="E34" s="2713" t="s">
        <v>3563</v>
      </c>
      <c r="F34" s="2711"/>
      <c r="G34" s="2713" t="s">
        <v>3563</v>
      </c>
      <c r="H34" s="2711"/>
      <c r="I34" s="2713" t="s">
        <v>3562</v>
      </c>
      <c r="J34" s="2711"/>
      <c r="K34" s="2713" t="s">
        <v>3562</v>
      </c>
      <c r="L34" s="2712"/>
      <c r="M34" s="2713" t="s">
        <v>3562</v>
      </c>
      <c r="N34" s="2712"/>
      <c r="O34" s="2711"/>
    </row>
    <row r="35" spans="3:15" x14ac:dyDescent="0.25">
      <c r="C35" s="2714" t="s">
        <v>3564</v>
      </c>
      <c r="D35" s="2712"/>
      <c r="E35" s="2713" t="s">
        <v>3563</v>
      </c>
      <c r="F35" s="2711"/>
      <c r="G35" s="2713" t="s">
        <v>3563</v>
      </c>
      <c r="H35" s="2711"/>
      <c r="I35" s="2713" t="s">
        <v>3562</v>
      </c>
      <c r="J35" s="2711"/>
      <c r="K35" s="2713" t="s">
        <v>3562</v>
      </c>
      <c r="L35" s="2712"/>
      <c r="M35" s="2713" t="s">
        <v>3562</v>
      </c>
      <c r="N35" s="2712"/>
      <c r="O35" s="2711"/>
    </row>
  </sheetData>
  <mergeCells count="1">
    <mergeCell ref="C6:F6"/>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9BBB9-193D-48CD-B26B-35BCC4E9EF1A}">
  <sheetPr>
    <tabColor rgb="FFFFC000"/>
  </sheetPr>
  <dimension ref="A1:W99"/>
  <sheetViews>
    <sheetView showGridLines="0" topLeftCell="A61" zoomScale="115" zoomScaleNormal="115" zoomScaleSheetLayoutView="100" workbookViewId="0">
      <selection activeCell="I70" sqref="I70"/>
    </sheetView>
  </sheetViews>
  <sheetFormatPr defaultColWidth="8.5703125" defaultRowHeight="12" outlineLevelRow="1" x14ac:dyDescent="0.2"/>
  <cols>
    <col min="1" max="1" width="1.5703125" style="2719" customWidth="1"/>
    <col min="2" max="2" width="16.5703125" style="2719" customWidth="1"/>
    <col min="3" max="3" width="20.5703125" style="2719" customWidth="1"/>
    <col min="4" max="4" width="17.5703125" style="2719" customWidth="1"/>
    <col min="5" max="5" width="2.5703125" style="2719" customWidth="1"/>
    <col min="6" max="6" width="24.5703125" style="2719" customWidth="1"/>
    <col min="7" max="7" width="3.5703125" style="2719" customWidth="1"/>
    <col min="8" max="8" width="14.42578125" style="2719" customWidth="1"/>
    <col min="9" max="9" width="19.5703125" style="2719" customWidth="1"/>
    <col min="10" max="10" width="2.5703125" style="2719" customWidth="1"/>
    <col min="11" max="11" width="17.140625" style="2719" customWidth="1"/>
    <col min="12" max="12" width="3" style="2719" customWidth="1"/>
    <col min="13" max="13" width="13" style="2719" customWidth="1"/>
    <col min="14" max="14" width="2.42578125" style="2719" customWidth="1"/>
    <col min="15" max="15" width="3.5703125" style="2719" customWidth="1"/>
    <col min="16" max="16" width="8.5703125" style="2719"/>
    <col min="17" max="17" width="8.5703125" style="2719" customWidth="1"/>
    <col min="18" max="18" width="8.85546875" style="2719" customWidth="1"/>
    <col min="19" max="19" width="8.5703125" style="2719" customWidth="1"/>
    <col min="20" max="20" width="36.42578125" style="2719" customWidth="1"/>
    <col min="21" max="21" width="33.5703125" style="2719" customWidth="1"/>
    <col min="22" max="22" width="25.140625" style="2719" customWidth="1"/>
    <col min="23" max="23" width="10.42578125" style="2719" customWidth="1"/>
    <col min="24" max="24" width="8.5703125" style="2719" customWidth="1"/>
    <col min="25" max="16384" width="8.5703125" style="2719"/>
  </cols>
  <sheetData>
    <row r="1" spans="1:14" ht="12.75" thickBot="1" x14ac:dyDescent="0.25">
      <c r="A1" s="2774"/>
      <c r="B1" s="2767"/>
      <c r="C1" s="2767"/>
      <c r="D1" s="2767"/>
      <c r="E1" s="2767"/>
      <c r="F1" s="2767"/>
      <c r="G1" s="2767"/>
      <c r="H1" s="2767"/>
      <c r="I1" s="2767"/>
      <c r="J1" s="2767"/>
      <c r="K1" s="2767"/>
      <c r="L1" s="2767"/>
      <c r="M1" s="2767"/>
      <c r="N1" s="2766"/>
    </row>
    <row r="2" spans="1:14" s="170" customFormat="1" ht="18" x14ac:dyDescent="0.2">
      <c r="A2" s="2729"/>
      <c r="B2" s="2773" t="s">
        <v>2040</v>
      </c>
      <c r="C2" s="2772"/>
      <c r="D2" s="2772"/>
      <c r="E2" s="2772"/>
      <c r="F2" s="2772"/>
      <c r="G2" s="2772"/>
      <c r="H2" s="2772"/>
      <c r="I2" s="2772"/>
      <c r="J2" s="2772"/>
      <c r="K2" s="2772"/>
      <c r="L2" s="2772"/>
      <c r="M2" s="2771"/>
      <c r="N2" s="2726"/>
    </row>
    <row r="3" spans="1:14" s="170" customFormat="1" ht="18" x14ac:dyDescent="0.2">
      <c r="A3" s="2729"/>
      <c r="B3" s="2770"/>
      <c r="M3" s="2728"/>
      <c r="N3" s="2726"/>
    </row>
    <row r="4" spans="1:14" s="170" customFormat="1" ht="18" x14ac:dyDescent="0.2">
      <c r="A4" s="2729"/>
      <c r="B4" s="2770" t="s">
        <v>2041</v>
      </c>
      <c r="M4" s="2728"/>
      <c r="N4" s="2726"/>
    </row>
    <row r="5" spans="1:14" x14ac:dyDescent="0.2">
      <c r="A5" s="2725"/>
      <c r="B5" s="2725"/>
      <c r="M5" s="2726"/>
      <c r="N5" s="2726"/>
    </row>
    <row r="6" spans="1:14" ht="12.75" thickBot="1" x14ac:dyDescent="0.25">
      <c r="A6" s="2725"/>
      <c r="B6" s="2725"/>
      <c r="M6" s="2726"/>
      <c r="N6" s="2726"/>
    </row>
    <row r="7" spans="1:14" x14ac:dyDescent="0.2">
      <c r="A7" s="2725"/>
      <c r="B7" s="2769" t="s">
        <v>3634</v>
      </c>
      <c r="C7" s="2768"/>
      <c r="D7" s="2767"/>
      <c r="E7" s="2767"/>
      <c r="F7" s="2767"/>
      <c r="G7" s="2767"/>
      <c r="H7" s="2767"/>
      <c r="I7" s="2767"/>
      <c r="J7" s="2767"/>
      <c r="K7" s="2767"/>
      <c r="L7" s="2767"/>
      <c r="M7" s="2766"/>
      <c r="N7" s="2726"/>
    </row>
    <row r="8" spans="1:14" x14ac:dyDescent="0.2">
      <c r="A8" s="2725"/>
      <c r="B8" s="2757"/>
      <c r="C8" s="2741"/>
      <c r="M8" s="2726"/>
      <c r="N8" s="2726"/>
    </row>
    <row r="9" spans="1:14" x14ac:dyDescent="0.2">
      <c r="A9" s="2725"/>
      <c r="B9" s="2759" t="s">
        <v>1875</v>
      </c>
      <c r="C9" s="2758"/>
      <c r="H9" s="2763" t="s">
        <v>3633</v>
      </c>
      <c r="I9" s="2762"/>
      <c r="M9" s="2726"/>
      <c r="N9" s="2726"/>
    </row>
    <row r="10" spans="1:14" x14ac:dyDescent="0.2">
      <c r="A10" s="2725"/>
      <c r="B10" s="2761"/>
      <c r="C10" s="2741"/>
      <c r="H10" s="2760"/>
      <c r="I10" s="2741"/>
      <c r="M10" s="2726"/>
      <c r="N10" s="2726"/>
    </row>
    <row r="11" spans="1:14" x14ac:dyDescent="0.2">
      <c r="A11" s="2725"/>
      <c r="B11" s="2759" t="s">
        <v>3632</v>
      </c>
      <c r="C11" s="2758"/>
      <c r="H11" s="2765" t="s">
        <v>3631</v>
      </c>
      <c r="I11" s="2764"/>
      <c r="M11" s="2726"/>
      <c r="N11" s="2726"/>
    </row>
    <row r="12" spans="1:14" x14ac:dyDescent="0.2">
      <c r="A12" s="2725"/>
      <c r="B12" s="2761"/>
      <c r="C12" s="2741"/>
      <c r="H12" s="2760"/>
      <c r="I12" s="2741"/>
      <c r="M12" s="2726"/>
      <c r="N12" s="2726"/>
    </row>
    <row r="13" spans="1:14" x14ac:dyDescent="0.2">
      <c r="A13" s="2725"/>
      <c r="B13" s="2759" t="s">
        <v>3630</v>
      </c>
      <c r="C13" s="2758"/>
      <c r="H13" s="2763" t="s">
        <v>3629</v>
      </c>
      <c r="I13" s="2762"/>
      <c r="M13" s="2726"/>
      <c r="N13" s="2726"/>
    </row>
    <row r="14" spans="1:14" x14ac:dyDescent="0.2">
      <c r="A14" s="2725"/>
      <c r="B14" s="2761"/>
      <c r="C14" s="2741"/>
      <c r="H14" s="2760"/>
      <c r="I14" s="2741"/>
      <c r="M14" s="2726"/>
      <c r="N14" s="2726"/>
    </row>
    <row r="15" spans="1:14" x14ac:dyDescent="0.2">
      <c r="A15" s="2725"/>
      <c r="B15" s="2759" t="s">
        <v>3628</v>
      </c>
      <c r="C15" s="2758"/>
      <c r="H15" s="2755" t="s">
        <v>3627</v>
      </c>
      <c r="I15" s="2754"/>
      <c r="M15" s="2726"/>
      <c r="N15" s="2726"/>
    </row>
    <row r="16" spans="1:14" x14ac:dyDescent="0.2">
      <c r="A16" s="2725"/>
      <c r="B16" s="2757"/>
      <c r="C16" s="2741"/>
      <c r="H16" s="2741"/>
      <c r="I16" s="2741"/>
      <c r="M16" s="2726"/>
      <c r="N16" s="2726"/>
    </row>
    <row r="17" spans="1:14" ht="12.75" thickBot="1" x14ac:dyDescent="0.25">
      <c r="A17" s="2725"/>
      <c r="B17" s="2756" t="s">
        <v>3626</v>
      </c>
      <c r="C17" s="2752"/>
      <c r="H17" s="2755" t="s">
        <v>3625</v>
      </c>
      <c r="I17" s="2754"/>
      <c r="M17" s="2726"/>
      <c r="N17" s="2726"/>
    </row>
    <row r="18" spans="1:14" ht="12.75" thickBot="1" x14ac:dyDescent="0.25">
      <c r="A18" s="2725"/>
      <c r="B18" s="2751"/>
      <c r="C18" s="2750"/>
      <c r="M18" s="2726"/>
      <c r="N18" s="2726"/>
    </row>
    <row r="19" spans="1:14" x14ac:dyDescent="0.2">
      <c r="A19" s="2725"/>
      <c r="B19" s="2725"/>
      <c r="M19" s="2726"/>
      <c r="N19" s="2726"/>
    </row>
    <row r="20" spans="1:14" ht="12.75" thickBot="1" x14ac:dyDescent="0.25">
      <c r="A20" s="2725"/>
      <c r="B20" s="2753" t="s">
        <v>3624</v>
      </c>
      <c r="C20" s="2752"/>
      <c r="M20" s="2726"/>
      <c r="N20" s="2726"/>
    </row>
    <row r="21" spans="1:14" ht="12.75" thickBot="1" x14ac:dyDescent="0.25">
      <c r="A21" s="2725"/>
      <c r="B21" s="2751"/>
      <c r="C21" s="2750"/>
      <c r="M21" s="2726"/>
      <c r="N21" s="2726"/>
    </row>
    <row r="22" spans="1:14" x14ac:dyDescent="0.2">
      <c r="A22" s="2725"/>
      <c r="B22" s="2725"/>
      <c r="M22" s="2726"/>
      <c r="N22" s="2726"/>
    </row>
    <row r="23" spans="1:14" x14ac:dyDescent="0.2">
      <c r="A23" s="2725"/>
      <c r="B23" s="2749" t="s">
        <v>3623</v>
      </c>
      <c r="M23" s="2726"/>
      <c r="N23" s="2726"/>
    </row>
    <row r="24" spans="1:14" x14ac:dyDescent="0.2">
      <c r="A24" s="2725"/>
      <c r="B24" s="2748"/>
      <c r="C24" s="2747"/>
      <c r="D24" s="2747"/>
      <c r="E24" s="2747"/>
      <c r="F24" s="2747"/>
      <c r="G24" s="2747"/>
      <c r="H24" s="2747"/>
      <c r="I24" s="2747"/>
      <c r="J24" s="2747"/>
      <c r="K24" s="2747"/>
      <c r="L24" s="2747"/>
      <c r="M24" s="2746"/>
      <c r="N24" s="2726"/>
    </row>
    <row r="25" spans="1:14" x14ac:dyDescent="0.2">
      <c r="A25" s="2725"/>
      <c r="B25" s="2725"/>
      <c r="C25" s="2719" t="s">
        <v>3622</v>
      </c>
      <c r="F25" s="2745"/>
      <c r="I25" s="2719" t="s">
        <v>3621</v>
      </c>
      <c r="M25" s="2726"/>
      <c r="N25" s="2726"/>
    </row>
    <row r="26" spans="1:14" x14ac:dyDescent="0.2">
      <c r="A26" s="2725"/>
      <c r="B26" s="2725"/>
      <c r="D26" s="2719" t="s">
        <v>3608</v>
      </c>
      <c r="J26" s="2719" t="s">
        <v>3608</v>
      </c>
      <c r="M26" s="2726"/>
      <c r="N26" s="2726"/>
    </row>
    <row r="27" spans="1:14" x14ac:dyDescent="0.2">
      <c r="A27" s="2725"/>
      <c r="B27" s="2725"/>
      <c r="D27" s="2741"/>
      <c r="E27" s="2741"/>
      <c r="F27" s="2741"/>
      <c r="G27" s="2741"/>
      <c r="J27" s="2741"/>
      <c r="K27" s="2741"/>
      <c r="L27" s="2741"/>
      <c r="M27" s="2742"/>
      <c r="N27" s="2726"/>
    </row>
    <row r="28" spans="1:14" x14ac:dyDescent="0.2">
      <c r="A28" s="2725"/>
      <c r="B28" s="2725"/>
      <c r="C28" s="2719" t="s">
        <v>3620</v>
      </c>
      <c r="F28" s="2743"/>
      <c r="I28" s="2719" t="s">
        <v>3619</v>
      </c>
      <c r="M28" s="2726"/>
      <c r="N28" s="2726"/>
    </row>
    <row r="29" spans="1:14" x14ac:dyDescent="0.2">
      <c r="A29" s="2725"/>
      <c r="B29" s="2725"/>
      <c r="D29" s="2719" t="s">
        <v>3608</v>
      </c>
      <c r="J29" s="2719" t="s">
        <v>3608</v>
      </c>
      <c r="M29" s="2726"/>
      <c r="N29" s="2726"/>
    </row>
    <row r="30" spans="1:14" x14ac:dyDescent="0.2">
      <c r="A30" s="2725"/>
      <c r="B30" s="2725"/>
      <c r="C30" s="2744"/>
      <c r="D30" s="2741"/>
      <c r="E30" s="2741"/>
      <c r="F30" s="2741"/>
      <c r="G30" s="2741"/>
      <c r="J30" s="2741"/>
      <c r="K30" s="2741"/>
      <c r="L30" s="2741"/>
      <c r="M30" s="2742"/>
      <c r="N30" s="2726"/>
    </row>
    <row r="31" spans="1:14" x14ac:dyDescent="0.2">
      <c r="A31" s="2725"/>
      <c r="B31" s="2725"/>
      <c r="C31" s="2719" t="s">
        <v>3618</v>
      </c>
      <c r="F31" s="2743"/>
      <c r="I31" s="2719" t="s">
        <v>3617</v>
      </c>
      <c r="M31" s="2726"/>
      <c r="N31" s="2726"/>
    </row>
    <row r="32" spans="1:14" x14ac:dyDescent="0.2">
      <c r="A32" s="2725"/>
      <c r="B32" s="2725"/>
      <c r="D32" s="2719" t="s">
        <v>3608</v>
      </c>
      <c r="J32" s="2719" t="s">
        <v>3608</v>
      </c>
      <c r="M32" s="2726"/>
      <c r="N32" s="2726"/>
    </row>
    <row r="33" spans="1:23" x14ac:dyDescent="0.2">
      <c r="A33" s="2725"/>
      <c r="B33" s="2725"/>
      <c r="D33" s="2741"/>
      <c r="E33" s="2741"/>
      <c r="F33" s="2741"/>
      <c r="G33" s="2741"/>
      <c r="J33" s="2741"/>
      <c r="K33" s="2741"/>
      <c r="L33" s="2741"/>
      <c r="M33" s="2742"/>
      <c r="N33" s="2726"/>
    </row>
    <row r="34" spans="1:23" x14ac:dyDescent="0.2">
      <c r="A34" s="2725"/>
      <c r="B34" s="2725"/>
      <c r="C34" s="2719" t="s">
        <v>3616</v>
      </c>
      <c r="I34" s="2719" t="s">
        <v>3615</v>
      </c>
      <c r="M34" s="2726"/>
      <c r="N34" s="2726"/>
    </row>
    <row r="35" spans="1:23" x14ac:dyDescent="0.2">
      <c r="A35" s="2725"/>
      <c r="B35" s="2725"/>
      <c r="D35" s="2719" t="s">
        <v>3608</v>
      </c>
      <c r="J35" s="2719" t="s">
        <v>3608</v>
      </c>
      <c r="M35" s="2726"/>
      <c r="N35" s="2726"/>
    </row>
    <row r="36" spans="1:23" x14ac:dyDescent="0.2">
      <c r="A36" s="2725"/>
      <c r="B36" s="2725"/>
      <c r="D36" s="2741"/>
      <c r="E36" s="2741"/>
      <c r="F36" s="2741"/>
      <c r="G36" s="2741"/>
      <c r="J36" s="2741"/>
      <c r="K36" s="2741"/>
      <c r="L36" s="2741"/>
      <c r="M36" s="2742"/>
      <c r="N36" s="2726"/>
    </row>
    <row r="37" spans="1:23" x14ac:dyDescent="0.2">
      <c r="A37" s="2725"/>
      <c r="B37" s="2725"/>
      <c r="C37" s="2719" t="s">
        <v>3614</v>
      </c>
      <c r="I37" s="2719" t="s">
        <v>3613</v>
      </c>
      <c r="M37" s="2726"/>
      <c r="N37" s="2726"/>
    </row>
    <row r="38" spans="1:23" x14ac:dyDescent="0.2">
      <c r="A38" s="2725"/>
      <c r="B38" s="2725"/>
      <c r="D38" s="2719" t="s">
        <v>3608</v>
      </c>
      <c r="J38" s="2719" t="s">
        <v>3608</v>
      </c>
      <c r="N38" s="2736"/>
      <c r="W38" s="2740"/>
    </row>
    <row r="39" spans="1:23" x14ac:dyDescent="0.2">
      <c r="A39" s="2725"/>
      <c r="B39" s="2725"/>
      <c r="C39" s="2741"/>
      <c r="D39" s="2741"/>
      <c r="E39" s="2741"/>
      <c r="F39" s="2741"/>
      <c r="G39" s="2741"/>
      <c r="I39" s="2741"/>
      <c r="J39" s="2741"/>
      <c r="K39" s="2741"/>
      <c r="L39" s="2741"/>
      <c r="M39" s="2741"/>
      <c r="N39" s="2736"/>
      <c r="W39" s="2740"/>
    </row>
    <row r="40" spans="1:23" x14ac:dyDescent="0.2">
      <c r="A40" s="2725"/>
      <c r="B40" s="2725"/>
      <c r="C40" s="2719" t="s">
        <v>3612</v>
      </c>
      <c r="I40" s="2719" t="s">
        <v>3611</v>
      </c>
      <c r="N40" s="2736"/>
    </row>
    <row r="41" spans="1:23" x14ac:dyDescent="0.2">
      <c r="A41" s="2725"/>
      <c r="B41" s="2725"/>
      <c r="D41" s="2719" t="s">
        <v>3608</v>
      </c>
      <c r="J41" s="2719" t="s">
        <v>3608</v>
      </c>
      <c r="N41" s="2736"/>
      <c r="W41" s="2740"/>
    </row>
    <row r="42" spans="1:23" x14ac:dyDescent="0.2">
      <c r="A42" s="2725"/>
      <c r="B42" s="2725"/>
      <c r="I42" s="2741"/>
      <c r="J42" s="2741"/>
      <c r="K42" s="2741"/>
      <c r="L42" s="2741"/>
      <c r="M42" s="2741"/>
      <c r="N42" s="2736"/>
      <c r="W42" s="2740"/>
    </row>
    <row r="43" spans="1:23" x14ac:dyDescent="0.2">
      <c r="A43" s="2725"/>
      <c r="B43" s="2725"/>
      <c r="C43" s="2719" t="s">
        <v>3610</v>
      </c>
      <c r="I43" s="2719" t="s">
        <v>3609</v>
      </c>
      <c r="N43" s="2736"/>
    </row>
    <row r="44" spans="1:23" x14ac:dyDescent="0.2">
      <c r="A44" s="2725"/>
      <c r="B44" s="2725"/>
      <c r="D44" s="2719" t="s">
        <v>3608</v>
      </c>
      <c r="J44" s="2719" t="s">
        <v>3608</v>
      </c>
      <c r="N44" s="2736"/>
      <c r="W44" s="2740"/>
    </row>
    <row r="45" spans="1:23" x14ac:dyDescent="0.2">
      <c r="A45" s="2725"/>
      <c r="B45" s="2725"/>
      <c r="C45" s="2741"/>
      <c r="D45" s="2741"/>
      <c r="E45" s="2741"/>
      <c r="F45" s="2741"/>
      <c r="G45" s="2741"/>
      <c r="I45" s="2741"/>
      <c r="J45" s="2741"/>
      <c r="K45" s="2741"/>
      <c r="L45" s="2741"/>
      <c r="M45" s="2741"/>
      <c r="N45" s="2736"/>
      <c r="W45" s="2740"/>
    </row>
    <row r="46" spans="1:23" s="170" customFormat="1" ht="15" x14ac:dyDescent="0.2">
      <c r="A46" s="2729"/>
      <c r="B46" s="2739" t="s">
        <v>3607</v>
      </c>
      <c r="C46" s="2118" t="s">
        <v>634</v>
      </c>
      <c r="D46" s="2118" t="s">
        <v>2043</v>
      </c>
      <c r="E46" s="2118"/>
      <c r="F46" s="2738"/>
      <c r="G46" s="2118" t="s">
        <v>2044</v>
      </c>
      <c r="H46" s="2737"/>
      <c r="I46" s="2118" t="s">
        <v>2045</v>
      </c>
      <c r="J46" s="2118"/>
      <c r="K46" s="2118" t="s">
        <v>2046</v>
      </c>
      <c r="L46" s="2118"/>
      <c r="M46" s="2118"/>
      <c r="N46" s="2736"/>
    </row>
    <row r="47" spans="1:23" s="170" customFormat="1" ht="15" x14ac:dyDescent="0.2">
      <c r="A47" s="2729"/>
      <c r="B47" s="2735"/>
      <c r="C47" s="2119"/>
      <c r="D47" s="2119"/>
      <c r="E47" s="2119"/>
      <c r="F47" s="2119"/>
      <c r="G47" s="2119"/>
      <c r="H47" s="2119"/>
      <c r="I47" s="2119"/>
      <c r="M47" s="2728"/>
      <c r="N47" s="2726"/>
    </row>
    <row r="48" spans="1:23" s="170" customFormat="1" ht="15" x14ac:dyDescent="0.2">
      <c r="A48" s="2729"/>
      <c r="B48" s="2734" t="s">
        <v>3606</v>
      </c>
      <c r="C48" s="2277"/>
      <c r="F48" s="2732" t="s">
        <v>3701</v>
      </c>
      <c r="G48" s="2731"/>
      <c r="H48" s="2792">
        <v>45152</v>
      </c>
      <c r="M48" s="2728"/>
      <c r="N48" s="2726"/>
    </row>
    <row r="49" spans="1:14" s="170" customFormat="1" ht="15" outlineLevel="1" x14ac:dyDescent="0.2">
      <c r="A49" s="2729"/>
      <c r="B49" s="2729"/>
      <c r="C49" s="2733">
        <v>1</v>
      </c>
      <c r="D49" s="2122" t="s">
        <v>3702</v>
      </c>
      <c r="E49" s="2123"/>
      <c r="F49" s="2732" t="s">
        <v>3703</v>
      </c>
      <c r="G49" s="2731"/>
      <c r="H49" s="2730"/>
      <c r="I49" s="2123" t="s">
        <v>3724</v>
      </c>
      <c r="J49" s="2123"/>
      <c r="K49" s="2123"/>
      <c r="M49" s="2728"/>
      <c r="N49" s="2726"/>
    </row>
    <row r="50" spans="1:14" s="2799" customFormat="1" ht="30" outlineLevel="1" x14ac:dyDescent="0.25">
      <c r="A50" s="2793"/>
      <c r="B50" s="2793"/>
      <c r="C50" s="2794">
        <v>2</v>
      </c>
      <c r="D50" s="2795" t="s">
        <v>3704</v>
      </c>
      <c r="E50" s="2795"/>
      <c r="F50" s="2796" t="s">
        <v>3705</v>
      </c>
      <c r="G50" s="2797"/>
      <c r="H50" s="2798"/>
      <c r="I50" s="2795" t="s">
        <v>3725</v>
      </c>
      <c r="J50" s="2795"/>
      <c r="K50" s="2795"/>
      <c r="M50" s="2800"/>
      <c r="N50" s="2801"/>
    </row>
    <row r="51" spans="1:14" s="170" customFormat="1" ht="15" outlineLevel="1" x14ac:dyDescent="0.2">
      <c r="A51" s="2729"/>
      <c r="B51" s="2729"/>
      <c r="C51" s="2733">
        <v>3</v>
      </c>
      <c r="D51" s="2123"/>
      <c r="E51" s="2123"/>
      <c r="F51" s="2732" t="s">
        <v>3706</v>
      </c>
      <c r="G51" s="2731"/>
      <c r="H51" s="2730"/>
      <c r="I51" s="2123"/>
      <c r="J51" s="2123"/>
      <c r="K51" s="2123"/>
      <c r="M51" s="2728"/>
      <c r="N51" s="2726"/>
    </row>
    <row r="52" spans="1:14" s="170" customFormat="1" ht="15" outlineLevel="1" x14ac:dyDescent="0.2">
      <c r="A52" s="2729"/>
      <c r="B52" s="2729"/>
      <c r="C52" s="2733">
        <v>4</v>
      </c>
      <c r="D52" s="2123"/>
      <c r="E52" s="2123"/>
      <c r="F52" s="2732"/>
      <c r="G52" s="2731"/>
      <c r="H52" s="2730"/>
      <c r="I52" s="2123"/>
      <c r="J52" s="2123"/>
      <c r="K52" s="2123"/>
      <c r="M52" s="2728"/>
      <c r="N52" s="2726"/>
    </row>
    <row r="53" spans="1:14" s="170" customFormat="1" ht="15" outlineLevel="1" x14ac:dyDescent="0.2">
      <c r="A53" s="2729"/>
      <c r="B53" s="2729"/>
      <c r="C53" s="2733">
        <v>5</v>
      </c>
      <c r="D53" s="2123"/>
      <c r="E53" s="2123"/>
      <c r="F53" s="2732" t="s">
        <v>3730</v>
      </c>
      <c r="G53" s="2731"/>
      <c r="H53" s="2792">
        <v>45153</v>
      </c>
      <c r="I53" s="2123"/>
      <c r="J53" s="2123"/>
      <c r="K53" s="2123"/>
      <c r="M53" s="2728"/>
      <c r="N53" s="2726"/>
    </row>
    <row r="54" spans="1:14" s="170" customFormat="1" ht="60" outlineLevel="1" x14ac:dyDescent="0.2">
      <c r="A54" s="2729"/>
      <c r="B54" s="2729"/>
      <c r="C54" s="2733">
        <v>6</v>
      </c>
      <c r="D54" s="2123" t="s">
        <v>3727</v>
      </c>
      <c r="E54" s="2123"/>
      <c r="F54" s="2732" t="s">
        <v>3728</v>
      </c>
      <c r="G54" s="2731"/>
      <c r="H54" s="2730"/>
      <c r="I54" s="2123" t="s">
        <v>3720</v>
      </c>
      <c r="J54" s="2123"/>
      <c r="K54" s="2123"/>
      <c r="M54" s="2728"/>
      <c r="N54" s="2726"/>
    </row>
    <row r="55" spans="1:14" s="170" customFormat="1" ht="30" outlineLevel="1" x14ac:dyDescent="0.2">
      <c r="A55" s="2729"/>
      <c r="B55" s="2729"/>
      <c r="C55" s="2733">
        <v>7</v>
      </c>
      <c r="D55" s="2123" t="s">
        <v>1222</v>
      </c>
      <c r="E55" s="2123"/>
      <c r="F55" s="2732" t="s">
        <v>3729</v>
      </c>
      <c r="G55" s="2731"/>
      <c r="H55" s="2730"/>
      <c r="I55" s="2123" t="s">
        <v>3758</v>
      </c>
      <c r="J55" s="2123"/>
      <c r="K55" s="2123"/>
      <c r="M55" s="2728"/>
      <c r="N55" s="2726"/>
    </row>
    <row r="56" spans="1:14" s="170" customFormat="1" ht="15" outlineLevel="1" x14ac:dyDescent="0.2">
      <c r="A56" s="2729"/>
      <c r="B56" s="2729"/>
      <c r="C56" s="2733">
        <v>8</v>
      </c>
      <c r="D56" s="2123"/>
      <c r="E56" s="2123"/>
      <c r="F56" s="2732"/>
      <c r="G56" s="2731"/>
      <c r="H56" s="2730"/>
      <c r="I56" s="2123"/>
      <c r="J56" s="2123"/>
      <c r="K56" s="2123"/>
      <c r="M56" s="2728"/>
      <c r="N56" s="2726"/>
    </row>
    <row r="57" spans="1:14" s="170" customFormat="1" ht="15" outlineLevel="1" x14ac:dyDescent="0.2">
      <c r="A57" s="2729"/>
      <c r="B57" s="2729"/>
      <c r="C57" s="2733">
        <v>9</v>
      </c>
      <c r="D57" s="2123"/>
      <c r="E57" s="2123"/>
      <c r="F57" s="2732"/>
      <c r="G57" s="2731"/>
      <c r="H57" s="2730"/>
      <c r="I57" s="2123"/>
      <c r="J57" s="2123"/>
      <c r="K57" s="2123"/>
      <c r="M57" s="2728"/>
      <c r="N57" s="2726"/>
    </row>
    <row r="58" spans="1:14" s="170" customFormat="1" ht="15" outlineLevel="1" x14ac:dyDescent="0.2">
      <c r="A58" s="2729"/>
      <c r="B58" s="2729"/>
      <c r="C58" s="2733">
        <v>10</v>
      </c>
      <c r="D58" s="2123"/>
      <c r="E58" s="2123"/>
      <c r="F58" s="2732"/>
      <c r="G58" s="2731"/>
      <c r="H58" s="2730"/>
      <c r="I58" s="2123"/>
      <c r="J58" s="2123"/>
      <c r="K58" s="2123"/>
      <c r="M58" s="2728"/>
      <c r="N58" s="2726"/>
    </row>
    <row r="59" spans="1:14" s="170" customFormat="1" ht="15" x14ac:dyDescent="0.2">
      <c r="A59" s="2729"/>
      <c r="B59" s="2729"/>
      <c r="M59" s="2728"/>
      <c r="N59" s="2726"/>
    </row>
    <row r="60" spans="1:14" x14ac:dyDescent="0.2">
      <c r="A60" s="2725"/>
      <c r="B60" s="2725"/>
      <c r="M60" s="2726"/>
      <c r="N60" s="2726"/>
    </row>
    <row r="61" spans="1:14" s="170" customFormat="1" ht="15" x14ac:dyDescent="0.2">
      <c r="A61" s="2729"/>
      <c r="B61" s="2729"/>
      <c r="C61" s="2119"/>
      <c r="D61" s="2119"/>
      <c r="E61" s="2119"/>
      <c r="F61" s="2119"/>
      <c r="G61" s="2119"/>
      <c r="H61" s="2119"/>
      <c r="I61" s="2119"/>
      <c r="M61" s="2728"/>
      <c r="N61" s="2726"/>
    </row>
    <row r="62" spans="1:14" s="170" customFormat="1" ht="15" x14ac:dyDescent="0.2">
      <c r="A62" s="2729"/>
      <c r="B62" s="2734" t="s">
        <v>3715</v>
      </c>
      <c r="C62" s="2277" t="s">
        <v>197</v>
      </c>
      <c r="F62" s="2802">
        <v>45153</v>
      </c>
      <c r="G62" s="2731"/>
      <c r="H62" s="2730" t="s">
        <v>3605</v>
      </c>
      <c r="M62" s="2728"/>
      <c r="N62" s="2726"/>
    </row>
    <row r="63" spans="1:14" s="170" customFormat="1" ht="30" outlineLevel="1" x14ac:dyDescent="0.2">
      <c r="A63" s="2729"/>
      <c r="B63" s="2729"/>
      <c r="C63" s="2733">
        <v>1</v>
      </c>
      <c r="D63" s="2122" t="s">
        <v>3707</v>
      </c>
      <c r="E63" s="2123"/>
      <c r="F63" s="2732" t="s">
        <v>3711</v>
      </c>
      <c r="G63" s="2731"/>
      <c r="H63" s="2730"/>
      <c r="I63" s="2123" t="s">
        <v>3716</v>
      </c>
      <c r="J63" s="2123"/>
      <c r="K63" s="2123"/>
      <c r="M63" s="2728"/>
      <c r="N63" s="2726"/>
    </row>
    <row r="64" spans="1:14" s="170" customFormat="1" ht="45" outlineLevel="1" x14ac:dyDescent="0.2">
      <c r="A64" s="2729"/>
      <c r="B64" s="2729"/>
      <c r="C64" s="2733">
        <v>2</v>
      </c>
      <c r="D64" s="2123" t="s">
        <v>3707</v>
      </c>
      <c r="E64" s="2123"/>
      <c r="F64" s="2732" t="s">
        <v>3708</v>
      </c>
      <c r="G64" s="2731"/>
      <c r="H64" s="2730"/>
      <c r="I64" s="2123" t="s">
        <v>3716</v>
      </c>
      <c r="J64" s="2123"/>
      <c r="K64" s="2123"/>
      <c r="M64" s="2728"/>
      <c r="N64" s="2726"/>
    </row>
    <row r="65" spans="1:14" s="170" customFormat="1" ht="30" outlineLevel="1" x14ac:dyDescent="0.2">
      <c r="A65" s="2729"/>
      <c r="B65" s="2729"/>
      <c r="C65" s="2733">
        <v>3</v>
      </c>
      <c r="D65" s="2123" t="s">
        <v>3709</v>
      </c>
      <c r="E65" s="2123"/>
      <c r="F65" s="2732" t="s">
        <v>3710</v>
      </c>
      <c r="G65" s="2731"/>
      <c r="H65" s="2730"/>
      <c r="I65" s="2123" t="s">
        <v>3716</v>
      </c>
      <c r="J65" s="2123"/>
      <c r="K65" s="2123"/>
      <c r="M65" s="2728"/>
      <c r="N65" s="2726"/>
    </row>
    <row r="66" spans="1:14" s="170" customFormat="1" ht="30" outlineLevel="1" x14ac:dyDescent="0.2">
      <c r="A66" s="2729"/>
      <c r="B66" s="2729"/>
      <c r="C66" s="2733">
        <v>4</v>
      </c>
      <c r="D66" s="2123" t="s">
        <v>3712</v>
      </c>
      <c r="E66" s="2123"/>
      <c r="F66" s="2732" t="s">
        <v>3713</v>
      </c>
      <c r="G66" s="2731"/>
      <c r="H66" s="2730"/>
      <c r="I66" s="2123" t="s">
        <v>3717</v>
      </c>
      <c r="J66" s="2123"/>
      <c r="K66" s="2123"/>
      <c r="M66" s="2728"/>
      <c r="N66" s="2726"/>
    </row>
    <row r="67" spans="1:14" s="170" customFormat="1" ht="93" customHeight="1" outlineLevel="1" x14ac:dyDescent="0.2">
      <c r="A67" s="2729"/>
      <c r="B67" s="2729"/>
      <c r="C67" s="2733">
        <v>5</v>
      </c>
      <c r="D67" s="2123" t="s">
        <v>2378</v>
      </c>
      <c r="E67" s="2123"/>
      <c r="F67" s="2732" t="s">
        <v>3714</v>
      </c>
      <c r="G67" s="2731"/>
      <c r="H67" s="2730"/>
      <c r="I67" s="2123" t="s">
        <v>3718</v>
      </c>
      <c r="J67" s="2123"/>
      <c r="K67" s="2123"/>
      <c r="M67" s="2728"/>
      <c r="N67" s="2726"/>
    </row>
    <row r="68" spans="1:14" s="170" customFormat="1" ht="15" outlineLevel="1" x14ac:dyDescent="0.2">
      <c r="A68" s="2729"/>
      <c r="B68" s="2729"/>
      <c r="C68" s="2733">
        <v>6</v>
      </c>
      <c r="D68" s="2805" t="s">
        <v>3769</v>
      </c>
      <c r="E68" s="2123"/>
      <c r="F68" s="2732"/>
      <c r="G68" s="2731"/>
      <c r="H68" s="2730"/>
      <c r="I68" s="2123"/>
      <c r="J68" s="2123"/>
      <c r="K68" s="2123"/>
      <c r="M68" s="2728"/>
      <c r="N68" s="2726"/>
    </row>
    <row r="69" spans="1:14" s="170" customFormat="1" ht="45" outlineLevel="1" x14ac:dyDescent="0.2">
      <c r="A69" s="2729"/>
      <c r="B69" s="2729"/>
      <c r="C69" s="2733">
        <v>7</v>
      </c>
      <c r="D69" s="2123" t="s">
        <v>2378</v>
      </c>
      <c r="E69" s="2123"/>
      <c r="F69" s="2732" t="s">
        <v>3770</v>
      </c>
      <c r="G69" s="2731"/>
      <c r="H69" s="2730"/>
      <c r="I69" s="2123" t="s">
        <v>3773</v>
      </c>
      <c r="J69" s="2123"/>
      <c r="K69" s="2123"/>
      <c r="M69" s="2728"/>
      <c r="N69" s="2726"/>
    </row>
    <row r="70" spans="1:14" s="170" customFormat="1" ht="30" outlineLevel="1" x14ac:dyDescent="0.2">
      <c r="A70" s="2729"/>
      <c r="B70" s="2729"/>
      <c r="C70" s="2733">
        <v>8</v>
      </c>
      <c r="D70" s="2123" t="s">
        <v>3771</v>
      </c>
      <c r="E70" s="2123"/>
      <c r="F70" s="2732" t="s">
        <v>3772</v>
      </c>
      <c r="G70" s="2731"/>
      <c r="H70" s="2730"/>
      <c r="I70" s="2123" t="s">
        <v>3774</v>
      </c>
      <c r="J70" s="2123"/>
      <c r="K70" s="2123"/>
      <c r="M70" s="2728"/>
      <c r="N70" s="2726"/>
    </row>
    <row r="71" spans="1:14" s="170" customFormat="1" ht="15" outlineLevel="1" x14ac:dyDescent="0.2">
      <c r="A71" s="2729"/>
      <c r="B71" s="2729"/>
      <c r="C71" s="2733">
        <v>9</v>
      </c>
      <c r="D71" s="2123"/>
      <c r="E71" s="2123"/>
      <c r="F71" s="2732"/>
      <c r="G71" s="2731"/>
      <c r="H71" s="2730"/>
      <c r="I71" s="2123"/>
      <c r="J71" s="2123"/>
      <c r="K71" s="2123"/>
      <c r="M71" s="2728"/>
      <c r="N71" s="2726"/>
    </row>
    <row r="72" spans="1:14" s="170" customFormat="1" ht="15" outlineLevel="1" x14ac:dyDescent="0.2">
      <c r="A72" s="2729"/>
      <c r="B72" s="2729"/>
      <c r="C72" s="2733">
        <v>10</v>
      </c>
      <c r="D72" s="2123"/>
      <c r="E72" s="2123"/>
      <c r="F72" s="2732"/>
      <c r="G72" s="2731"/>
      <c r="H72" s="2730"/>
      <c r="I72" s="2123"/>
      <c r="J72" s="2123"/>
      <c r="K72" s="2123"/>
      <c r="M72" s="2728"/>
      <c r="N72" s="2726"/>
    </row>
    <row r="73" spans="1:14" s="170" customFormat="1" ht="15" x14ac:dyDescent="0.2">
      <c r="A73" s="2729"/>
      <c r="B73" s="2729"/>
      <c r="M73" s="2728"/>
      <c r="N73" s="2726"/>
    </row>
    <row r="74" spans="1:14" x14ac:dyDescent="0.2">
      <c r="A74" s="2725"/>
      <c r="B74" s="2727"/>
      <c r="M74" s="2726"/>
      <c r="N74" s="2726"/>
    </row>
    <row r="75" spans="1:14" x14ac:dyDescent="0.2">
      <c r="A75" s="2725"/>
      <c r="B75" s="2727"/>
      <c r="M75" s="2726"/>
      <c r="N75" s="2726"/>
    </row>
    <row r="76" spans="1:14" ht="12.75" thickBot="1" x14ac:dyDescent="0.25">
      <c r="A76" s="2725"/>
      <c r="B76" s="2725"/>
      <c r="M76" s="2726"/>
      <c r="N76" s="2726"/>
    </row>
    <row r="77" spans="1:14" ht="12.75" thickBot="1" x14ac:dyDescent="0.25">
      <c r="A77" s="2725"/>
      <c r="B77" s="2879" t="s">
        <v>3604</v>
      </c>
      <c r="C77" s="2880"/>
      <c r="D77" s="2880"/>
      <c r="E77" s="2880"/>
      <c r="F77" s="2880"/>
      <c r="G77" s="2880"/>
      <c r="H77" s="2880"/>
      <c r="I77" s="2880"/>
      <c r="J77" s="2880"/>
      <c r="K77" s="2880"/>
      <c r="L77" s="2880"/>
      <c r="M77" s="2881"/>
      <c r="N77" s="2724"/>
    </row>
    <row r="78" spans="1:14" x14ac:dyDescent="0.2">
      <c r="A78" s="2725"/>
      <c r="B78" s="2882" t="s">
        <v>103</v>
      </c>
      <c r="C78" s="2883"/>
      <c r="D78" s="2883"/>
      <c r="E78" s="2883"/>
      <c r="F78" s="2883"/>
      <c r="G78" s="2883"/>
      <c r="H78" s="2883"/>
      <c r="I78" s="2883"/>
      <c r="J78" s="2883"/>
      <c r="K78" s="2883"/>
      <c r="L78" s="2883"/>
      <c r="M78" s="2884"/>
      <c r="N78" s="2724"/>
    </row>
    <row r="79" spans="1:14" x14ac:dyDescent="0.2">
      <c r="A79" s="2725"/>
      <c r="B79" s="2882" t="s">
        <v>103</v>
      </c>
      <c r="C79" s="2883"/>
      <c r="D79" s="2883"/>
      <c r="E79" s="2883"/>
      <c r="F79" s="2883"/>
      <c r="G79" s="2883"/>
      <c r="H79" s="2883"/>
      <c r="I79" s="2883"/>
      <c r="J79" s="2883"/>
      <c r="K79" s="2883"/>
      <c r="L79" s="2883"/>
      <c r="M79" s="2884"/>
      <c r="N79" s="2724"/>
    </row>
    <row r="80" spans="1:14" x14ac:dyDescent="0.2">
      <c r="A80" s="2725"/>
      <c r="B80" s="2882" t="s">
        <v>103</v>
      </c>
      <c r="C80" s="2883"/>
      <c r="D80" s="2883"/>
      <c r="E80" s="2883"/>
      <c r="F80" s="2883"/>
      <c r="G80" s="2883"/>
      <c r="H80" s="2883"/>
      <c r="I80" s="2883"/>
      <c r="J80" s="2883"/>
      <c r="K80" s="2883"/>
      <c r="L80" s="2883"/>
      <c r="M80" s="2884"/>
      <c r="N80" s="2724"/>
    </row>
    <row r="81" spans="1:14" x14ac:dyDescent="0.2">
      <c r="A81" s="2725"/>
      <c r="B81" s="2882" t="s">
        <v>103</v>
      </c>
      <c r="C81" s="2883"/>
      <c r="D81" s="2883"/>
      <c r="E81" s="2883"/>
      <c r="F81" s="2883"/>
      <c r="G81" s="2883"/>
      <c r="H81" s="2883"/>
      <c r="I81" s="2883"/>
      <c r="J81" s="2883"/>
      <c r="K81" s="2883"/>
      <c r="L81" s="2883"/>
      <c r="M81" s="2884"/>
      <c r="N81" s="2724"/>
    </row>
    <row r="82" spans="1:14" x14ac:dyDescent="0.2">
      <c r="A82" s="2725"/>
      <c r="B82" s="2882" t="s">
        <v>103</v>
      </c>
      <c r="C82" s="2883"/>
      <c r="D82" s="2883"/>
      <c r="E82" s="2883"/>
      <c r="F82" s="2883"/>
      <c r="G82" s="2883"/>
      <c r="H82" s="2883"/>
      <c r="I82" s="2883"/>
      <c r="J82" s="2883"/>
      <c r="K82" s="2883"/>
      <c r="L82" s="2883"/>
      <c r="M82" s="2884"/>
      <c r="N82" s="2724"/>
    </row>
    <row r="83" spans="1:14" x14ac:dyDescent="0.2">
      <c r="A83" s="2725"/>
      <c r="B83" s="2882" t="s">
        <v>103</v>
      </c>
      <c r="C83" s="2883"/>
      <c r="D83" s="2883"/>
      <c r="E83" s="2883"/>
      <c r="F83" s="2883"/>
      <c r="G83" s="2883"/>
      <c r="H83" s="2883"/>
      <c r="I83" s="2883"/>
      <c r="J83" s="2883"/>
      <c r="K83" s="2883"/>
      <c r="L83" s="2883"/>
      <c r="M83" s="2884"/>
      <c r="N83" s="2724"/>
    </row>
    <row r="84" spans="1:14" x14ac:dyDescent="0.2">
      <c r="A84" s="2725"/>
      <c r="B84" s="2882" t="s">
        <v>103</v>
      </c>
      <c r="C84" s="2883"/>
      <c r="D84" s="2883"/>
      <c r="E84" s="2883"/>
      <c r="F84" s="2883"/>
      <c r="G84" s="2883"/>
      <c r="H84" s="2883"/>
      <c r="I84" s="2883"/>
      <c r="J84" s="2883"/>
      <c r="K84" s="2883"/>
      <c r="L84" s="2883"/>
      <c r="M84" s="2884"/>
      <c r="N84" s="2724"/>
    </row>
    <row r="85" spans="1:14" x14ac:dyDescent="0.2">
      <c r="A85" s="2725"/>
      <c r="B85" s="2882" t="s">
        <v>103</v>
      </c>
      <c r="C85" s="2883"/>
      <c r="D85" s="2883"/>
      <c r="E85" s="2883"/>
      <c r="F85" s="2883"/>
      <c r="G85" s="2883"/>
      <c r="H85" s="2883"/>
      <c r="I85" s="2883"/>
      <c r="J85" s="2883"/>
      <c r="K85" s="2883"/>
      <c r="L85" s="2883"/>
      <c r="M85" s="2884"/>
      <c r="N85" s="2724"/>
    </row>
    <row r="86" spans="1:14" x14ac:dyDescent="0.2">
      <c r="A86" s="2725"/>
      <c r="B86" s="2882" t="s">
        <v>103</v>
      </c>
      <c r="C86" s="2883"/>
      <c r="D86" s="2883"/>
      <c r="E86" s="2883"/>
      <c r="F86" s="2883"/>
      <c r="G86" s="2883"/>
      <c r="H86" s="2883"/>
      <c r="I86" s="2883"/>
      <c r="J86" s="2883"/>
      <c r="K86" s="2883"/>
      <c r="L86" s="2883"/>
      <c r="M86" s="2884"/>
      <c r="N86" s="2724"/>
    </row>
    <row r="87" spans="1:14" ht="12.75" thickBot="1" x14ac:dyDescent="0.25">
      <c r="A87" s="2725"/>
      <c r="B87" s="2876" t="s">
        <v>103</v>
      </c>
      <c r="C87" s="2877"/>
      <c r="D87" s="2877"/>
      <c r="E87" s="2877"/>
      <c r="F87" s="2877"/>
      <c r="G87" s="2877"/>
      <c r="H87" s="2877"/>
      <c r="I87" s="2877"/>
      <c r="J87" s="2877"/>
      <c r="K87" s="2877"/>
      <c r="L87" s="2877"/>
      <c r="M87" s="2878"/>
      <c r="N87" s="2724"/>
    </row>
    <row r="88" spans="1:14" ht="12.75" thickBot="1" x14ac:dyDescent="0.25">
      <c r="A88" s="2723"/>
      <c r="B88" s="2722"/>
      <c r="C88" s="2722"/>
      <c r="D88" s="2722"/>
      <c r="E88" s="2722"/>
      <c r="F88" s="2722"/>
      <c r="G88" s="2722"/>
      <c r="H88" s="2722"/>
      <c r="I88" s="2722"/>
      <c r="J88" s="2722"/>
      <c r="K88" s="2722"/>
      <c r="L88" s="2722"/>
      <c r="M88" s="2722"/>
      <c r="N88" s="2721"/>
    </row>
    <row r="89" spans="1:14" x14ac:dyDescent="0.2">
      <c r="B89" s="2720"/>
      <c r="C89" s="2720"/>
      <c r="D89" s="2720"/>
      <c r="E89" s="2720"/>
      <c r="F89" s="2720"/>
      <c r="G89" s="2720"/>
      <c r="H89" s="2720"/>
      <c r="I89" s="2720"/>
      <c r="J89" s="2720"/>
      <c r="K89" s="2720"/>
      <c r="L89" s="2720"/>
      <c r="M89" s="2720"/>
      <c r="N89" s="2720"/>
    </row>
    <row r="90" spans="1:14" x14ac:dyDescent="0.2">
      <c r="B90" s="2720"/>
      <c r="C90" s="2720"/>
      <c r="D90" s="2720"/>
      <c r="E90" s="2720"/>
      <c r="F90" s="2720"/>
      <c r="G90" s="2720"/>
      <c r="H90" s="2720"/>
      <c r="I90" s="2720"/>
      <c r="J90" s="2720"/>
      <c r="K90" s="2720"/>
      <c r="L90" s="2720"/>
      <c r="M90" s="2720"/>
      <c r="N90" s="2720"/>
    </row>
    <row r="92" spans="1:14" x14ac:dyDescent="0.2">
      <c r="C92" s="2720"/>
      <c r="D92" s="2720"/>
      <c r="E92" s="2720"/>
      <c r="F92" s="2720"/>
      <c r="G92" s="2720"/>
      <c r="H92" s="2720"/>
      <c r="I92" s="2720"/>
      <c r="J92" s="2720"/>
      <c r="K92" s="2720"/>
    </row>
    <row r="93" spans="1:14" x14ac:dyDescent="0.2">
      <c r="C93" s="2720"/>
      <c r="D93" s="2720"/>
      <c r="E93" s="2720"/>
      <c r="F93" s="2720"/>
      <c r="G93" s="2720"/>
      <c r="H93" s="2720"/>
      <c r="I93" s="2720"/>
      <c r="J93" s="2720"/>
      <c r="K93" s="2720"/>
    </row>
    <row r="94" spans="1:14" x14ac:dyDescent="0.2">
      <c r="C94" s="2720"/>
      <c r="D94" s="2720"/>
      <c r="E94" s="2720"/>
      <c r="F94" s="2720"/>
      <c r="G94" s="2720"/>
      <c r="H94" s="2720"/>
      <c r="I94" s="2720"/>
      <c r="J94" s="2720"/>
      <c r="K94" s="2720"/>
    </row>
    <row r="95" spans="1:14" x14ac:dyDescent="0.2">
      <c r="C95" s="2720"/>
      <c r="D95" s="2720"/>
      <c r="E95" s="2720"/>
      <c r="F95" s="2720"/>
      <c r="G95" s="2720"/>
      <c r="H95" s="2720"/>
      <c r="I95" s="2720"/>
      <c r="J95" s="2720"/>
      <c r="K95" s="2720"/>
    </row>
    <row r="96" spans="1:14" x14ac:dyDescent="0.2">
      <c r="C96" s="2720"/>
      <c r="D96" s="2720"/>
      <c r="E96" s="2720"/>
      <c r="F96" s="2720"/>
      <c r="G96" s="2720"/>
      <c r="H96" s="2720"/>
      <c r="I96" s="2720"/>
      <c r="J96" s="2720"/>
      <c r="K96" s="2720"/>
    </row>
    <row r="97" spans="3:11" x14ac:dyDescent="0.2">
      <c r="C97" s="2720"/>
      <c r="D97" s="2720"/>
      <c r="E97" s="2720"/>
      <c r="F97" s="2720"/>
      <c r="G97" s="2720"/>
      <c r="H97" s="2720"/>
      <c r="I97" s="2720"/>
      <c r="J97" s="2720"/>
      <c r="K97" s="2720"/>
    </row>
    <row r="98" spans="3:11" x14ac:dyDescent="0.2">
      <c r="C98" s="2720"/>
      <c r="D98" s="2720"/>
      <c r="E98" s="2720"/>
      <c r="F98" s="2720"/>
      <c r="G98" s="2720"/>
      <c r="H98" s="2720"/>
      <c r="I98" s="2720"/>
      <c r="J98" s="2720"/>
      <c r="K98" s="2720"/>
    </row>
    <row r="99" spans="3:11" x14ac:dyDescent="0.2">
      <c r="C99" s="2720"/>
      <c r="D99" s="2720"/>
      <c r="E99" s="2720"/>
      <c r="F99" s="2720"/>
      <c r="G99" s="2720"/>
      <c r="H99" s="2720"/>
      <c r="I99" s="2720"/>
      <c r="J99" s="2720"/>
      <c r="K99" s="2720"/>
    </row>
  </sheetData>
  <mergeCells count="11">
    <mergeCell ref="B87:M87"/>
    <mergeCell ref="B77:M77"/>
    <mergeCell ref="B78:M78"/>
    <mergeCell ref="B79:M79"/>
    <mergeCell ref="B80:M80"/>
    <mergeCell ref="B81:M81"/>
    <mergeCell ref="B82:M82"/>
    <mergeCell ref="B83:M83"/>
    <mergeCell ref="B84:M84"/>
    <mergeCell ref="B85:M85"/>
    <mergeCell ref="B86:M86"/>
  </mergeCells>
  <dataValidations count="1">
    <dataValidation type="list" allowBlank="1" showInputMessage="1" showErrorMessage="1" sqref="C48 C62" xr:uid="{C7E7C35A-9EBF-41FB-A59D-8657FB0C9E43}">
      <formula1>", In Progress, Review Completed"</formula1>
    </dataValidation>
  </dataValidations>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1">
              <controlPr defaultSize="0" autoFill="0" autoLine="0" autoPict="0">
                <anchor moveWithCells="1">
                  <from>
                    <xdr:col>5</xdr:col>
                    <xdr:colOff>1028700</xdr:colOff>
                    <xdr:row>24</xdr:row>
                    <xdr:rowOff>9525</xdr:rowOff>
                  </from>
                  <to>
                    <xdr:col>5</xdr:col>
                    <xdr:colOff>1457325</xdr:colOff>
                    <xdr:row>25</xdr:row>
                    <xdr:rowOff>85725</xdr:rowOff>
                  </to>
                </anchor>
              </controlPr>
            </control>
          </mc:Choice>
        </mc:AlternateContent>
        <mc:AlternateContent xmlns:mc="http://schemas.openxmlformats.org/markup-compatibility/2006">
          <mc:Choice Requires="x14">
            <control shapeId="154626" r:id="rId5" name="Check Box 2">
              <controlPr defaultSize="0" autoFill="0" autoLine="0" autoPict="0">
                <anchor moveWithCells="1">
                  <from>
                    <xdr:col>5</xdr:col>
                    <xdr:colOff>1028700</xdr:colOff>
                    <xdr:row>27</xdr:row>
                    <xdr:rowOff>28575</xdr:rowOff>
                  </from>
                  <to>
                    <xdr:col>5</xdr:col>
                    <xdr:colOff>1362075</xdr:colOff>
                    <xdr:row>28</xdr:row>
                    <xdr:rowOff>28575</xdr:rowOff>
                  </to>
                </anchor>
              </controlPr>
            </control>
          </mc:Choice>
        </mc:AlternateContent>
        <mc:AlternateContent xmlns:mc="http://schemas.openxmlformats.org/markup-compatibility/2006">
          <mc:Choice Requires="x14">
            <control shapeId="154627" r:id="rId6" name="Check Box 3">
              <controlPr defaultSize="0" autoFill="0" autoLine="0" autoPict="0">
                <anchor moveWithCells="1">
                  <from>
                    <xdr:col>5</xdr:col>
                    <xdr:colOff>1038225</xdr:colOff>
                    <xdr:row>30</xdr:row>
                    <xdr:rowOff>28575</xdr:rowOff>
                  </from>
                  <to>
                    <xdr:col>5</xdr:col>
                    <xdr:colOff>1371600</xdr:colOff>
                    <xdr:row>31</xdr:row>
                    <xdr:rowOff>66675</xdr:rowOff>
                  </to>
                </anchor>
              </controlPr>
            </control>
          </mc:Choice>
        </mc:AlternateContent>
        <mc:AlternateContent xmlns:mc="http://schemas.openxmlformats.org/markup-compatibility/2006">
          <mc:Choice Requires="x14">
            <control shapeId="154628" r:id="rId7" name="Check Box 4">
              <controlPr defaultSize="0" autoFill="0" autoLine="0" autoPict="0">
                <anchor moveWithCells="1">
                  <from>
                    <xdr:col>5</xdr:col>
                    <xdr:colOff>1038225</xdr:colOff>
                    <xdr:row>33</xdr:row>
                    <xdr:rowOff>9525</xdr:rowOff>
                  </from>
                  <to>
                    <xdr:col>5</xdr:col>
                    <xdr:colOff>1409700</xdr:colOff>
                    <xdr:row>34</xdr:row>
                    <xdr:rowOff>85725</xdr:rowOff>
                  </to>
                </anchor>
              </controlPr>
            </control>
          </mc:Choice>
        </mc:AlternateContent>
        <mc:AlternateContent xmlns:mc="http://schemas.openxmlformats.org/markup-compatibility/2006">
          <mc:Choice Requires="x14">
            <control shapeId="154629" r:id="rId8" name="Check Box 5">
              <controlPr defaultSize="0" autoFill="0" autoLine="0" autoPict="0">
                <anchor moveWithCells="1">
                  <from>
                    <xdr:col>5</xdr:col>
                    <xdr:colOff>1038225</xdr:colOff>
                    <xdr:row>36</xdr:row>
                    <xdr:rowOff>9525</xdr:rowOff>
                  </from>
                  <to>
                    <xdr:col>5</xdr:col>
                    <xdr:colOff>1400175</xdr:colOff>
                    <xdr:row>37</xdr:row>
                    <xdr:rowOff>85725</xdr:rowOff>
                  </to>
                </anchor>
              </controlPr>
            </control>
          </mc:Choice>
        </mc:AlternateContent>
        <mc:AlternateContent xmlns:mc="http://schemas.openxmlformats.org/markup-compatibility/2006">
          <mc:Choice Requires="x14">
            <control shapeId="154630" r:id="rId9" name="Check Box 6">
              <controlPr defaultSize="0" autoFill="0" autoLine="0" autoPict="0">
                <anchor moveWithCells="1">
                  <from>
                    <xdr:col>11</xdr:col>
                    <xdr:colOff>771525</xdr:colOff>
                    <xdr:row>24</xdr:row>
                    <xdr:rowOff>28575</xdr:rowOff>
                  </from>
                  <to>
                    <xdr:col>12</xdr:col>
                    <xdr:colOff>342900</xdr:colOff>
                    <xdr:row>25</xdr:row>
                    <xdr:rowOff>66675</xdr:rowOff>
                  </to>
                </anchor>
              </controlPr>
            </control>
          </mc:Choice>
        </mc:AlternateContent>
        <mc:AlternateContent xmlns:mc="http://schemas.openxmlformats.org/markup-compatibility/2006">
          <mc:Choice Requires="x14">
            <control shapeId="154631" r:id="rId10" name="Check Box 7">
              <controlPr defaultSize="0" autoFill="0" autoLine="0" autoPict="0">
                <anchor moveWithCells="1">
                  <from>
                    <xdr:col>11</xdr:col>
                    <xdr:colOff>866775</xdr:colOff>
                    <xdr:row>26</xdr:row>
                    <xdr:rowOff>47625</xdr:rowOff>
                  </from>
                  <to>
                    <xdr:col>12</xdr:col>
                    <xdr:colOff>342900</xdr:colOff>
                    <xdr:row>27</xdr:row>
                    <xdr:rowOff>123825</xdr:rowOff>
                  </to>
                </anchor>
              </controlPr>
            </control>
          </mc:Choice>
        </mc:AlternateContent>
        <mc:AlternateContent xmlns:mc="http://schemas.openxmlformats.org/markup-compatibility/2006">
          <mc:Choice Requires="x14">
            <control shapeId="154632" r:id="rId11" name="Check Box 8">
              <controlPr defaultSize="0" autoFill="0" autoLine="0" autoPict="0">
                <anchor moveWithCells="1">
                  <from>
                    <xdr:col>11</xdr:col>
                    <xdr:colOff>790575</xdr:colOff>
                    <xdr:row>30</xdr:row>
                    <xdr:rowOff>28575</xdr:rowOff>
                  </from>
                  <to>
                    <xdr:col>12</xdr:col>
                    <xdr:colOff>371475</xdr:colOff>
                    <xdr:row>31</xdr:row>
                    <xdr:rowOff>66675</xdr:rowOff>
                  </to>
                </anchor>
              </controlPr>
            </control>
          </mc:Choice>
        </mc:AlternateContent>
        <mc:AlternateContent xmlns:mc="http://schemas.openxmlformats.org/markup-compatibility/2006">
          <mc:Choice Requires="x14">
            <control shapeId="154633" r:id="rId12" name="Check Box 9">
              <controlPr defaultSize="0" autoFill="0" autoLine="0" autoPict="0">
                <anchor moveWithCells="1">
                  <from>
                    <xdr:col>11</xdr:col>
                    <xdr:colOff>771525</xdr:colOff>
                    <xdr:row>33</xdr:row>
                    <xdr:rowOff>38100</xdr:rowOff>
                  </from>
                  <to>
                    <xdr:col>12</xdr:col>
                    <xdr:colOff>390525</xdr:colOff>
                    <xdr:row>34</xdr:row>
                    <xdr:rowOff>38100</xdr:rowOff>
                  </to>
                </anchor>
              </controlPr>
            </control>
          </mc:Choice>
        </mc:AlternateContent>
        <mc:AlternateContent xmlns:mc="http://schemas.openxmlformats.org/markup-compatibility/2006">
          <mc:Choice Requires="x14">
            <control shapeId="154634" r:id="rId13" name="Check Box 10">
              <controlPr defaultSize="0" autoFill="0" autoLine="0" autoPict="0">
                <anchor moveWithCells="1">
                  <from>
                    <xdr:col>11</xdr:col>
                    <xdr:colOff>771525</xdr:colOff>
                    <xdr:row>36</xdr:row>
                    <xdr:rowOff>38100</xdr:rowOff>
                  </from>
                  <to>
                    <xdr:col>12</xdr:col>
                    <xdr:colOff>381000</xdr:colOff>
                    <xdr:row>37</xdr:row>
                    <xdr:rowOff>28575</xdr:rowOff>
                  </to>
                </anchor>
              </controlPr>
            </control>
          </mc:Choice>
        </mc:AlternateContent>
        <mc:AlternateContent xmlns:mc="http://schemas.openxmlformats.org/markup-compatibility/2006">
          <mc:Choice Requires="x14">
            <control shapeId="154635" r:id="rId14" name="Check Box 11">
              <controlPr defaultSize="0" autoFill="0" autoLine="0" autoPict="0">
                <anchor moveWithCells="1">
                  <from>
                    <xdr:col>5</xdr:col>
                    <xdr:colOff>1438275</xdr:colOff>
                    <xdr:row>24</xdr:row>
                    <xdr:rowOff>28575</xdr:rowOff>
                  </from>
                  <to>
                    <xdr:col>6</xdr:col>
                    <xdr:colOff>200025</xdr:colOff>
                    <xdr:row>25</xdr:row>
                    <xdr:rowOff>66675</xdr:rowOff>
                  </to>
                </anchor>
              </controlPr>
            </control>
          </mc:Choice>
        </mc:AlternateContent>
        <mc:AlternateContent xmlns:mc="http://schemas.openxmlformats.org/markup-compatibility/2006">
          <mc:Choice Requires="x14">
            <control shapeId="154636" r:id="rId15" name="Check Box 12">
              <controlPr defaultSize="0" autoFill="0" autoLine="0" autoPict="0">
                <anchor moveWithCells="1">
                  <from>
                    <xdr:col>12</xdr:col>
                    <xdr:colOff>409575</xdr:colOff>
                    <xdr:row>27</xdr:row>
                    <xdr:rowOff>28575</xdr:rowOff>
                  </from>
                  <to>
                    <xdr:col>12</xdr:col>
                    <xdr:colOff>790575</xdr:colOff>
                    <xdr:row>28</xdr:row>
                    <xdr:rowOff>47625</xdr:rowOff>
                  </to>
                </anchor>
              </controlPr>
            </control>
          </mc:Choice>
        </mc:AlternateContent>
        <mc:AlternateContent xmlns:mc="http://schemas.openxmlformats.org/markup-compatibility/2006">
          <mc:Choice Requires="x14">
            <control shapeId="154637" r:id="rId16" name="Check Box 13">
              <controlPr defaultSize="0" autoFill="0" autoLine="0" autoPict="0">
                <anchor moveWithCells="1">
                  <from>
                    <xdr:col>12</xdr:col>
                    <xdr:colOff>390525</xdr:colOff>
                    <xdr:row>24</xdr:row>
                    <xdr:rowOff>38100</xdr:rowOff>
                  </from>
                  <to>
                    <xdr:col>12</xdr:col>
                    <xdr:colOff>790575</xdr:colOff>
                    <xdr:row>25</xdr:row>
                    <xdr:rowOff>66675</xdr:rowOff>
                  </to>
                </anchor>
              </controlPr>
            </control>
          </mc:Choice>
        </mc:AlternateContent>
        <mc:AlternateContent xmlns:mc="http://schemas.openxmlformats.org/markup-compatibility/2006">
          <mc:Choice Requires="x14">
            <control shapeId="154638" r:id="rId17" name="Check Box 14">
              <controlPr defaultSize="0" autoFill="0" autoLine="0" autoPict="0">
                <anchor moveWithCells="1">
                  <from>
                    <xdr:col>12</xdr:col>
                    <xdr:colOff>409575</xdr:colOff>
                    <xdr:row>30</xdr:row>
                    <xdr:rowOff>38100</xdr:rowOff>
                  </from>
                  <to>
                    <xdr:col>12</xdr:col>
                    <xdr:colOff>790575</xdr:colOff>
                    <xdr:row>31</xdr:row>
                    <xdr:rowOff>66675</xdr:rowOff>
                  </to>
                </anchor>
              </controlPr>
            </control>
          </mc:Choice>
        </mc:AlternateContent>
        <mc:AlternateContent xmlns:mc="http://schemas.openxmlformats.org/markup-compatibility/2006">
          <mc:Choice Requires="x14">
            <control shapeId="154639" r:id="rId18" name="Check Box 15">
              <controlPr defaultSize="0" autoFill="0" autoLine="0" autoPict="0">
                <anchor moveWithCells="1">
                  <from>
                    <xdr:col>12</xdr:col>
                    <xdr:colOff>409575</xdr:colOff>
                    <xdr:row>33</xdr:row>
                    <xdr:rowOff>28575</xdr:rowOff>
                  </from>
                  <to>
                    <xdr:col>12</xdr:col>
                    <xdr:colOff>790575</xdr:colOff>
                    <xdr:row>34</xdr:row>
                    <xdr:rowOff>66675</xdr:rowOff>
                  </to>
                </anchor>
              </controlPr>
            </control>
          </mc:Choice>
        </mc:AlternateContent>
        <mc:AlternateContent xmlns:mc="http://schemas.openxmlformats.org/markup-compatibility/2006">
          <mc:Choice Requires="x14">
            <control shapeId="154640" r:id="rId19" name="Check Box 16">
              <controlPr defaultSize="0" autoFill="0" autoLine="0" autoPict="0">
                <anchor moveWithCells="1">
                  <from>
                    <xdr:col>12</xdr:col>
                    <xdr:colOff>390525</xdr:colOff>
                    <xdr:row>36</xdr:row>
                    <xdr:rowOff>28575</xdr:rowOff>
                  </from>
                  <to>
                    <xdr:col>12</xdr:col>
                    <xdr:colOff>790575</xdr:colOff>
                    <xdr:row>37</xdr:row>
                    <xdr:rowOff>66675</xdr:rowOff>
                  </to>
                </anchor>
              </controlPr>
            </control>
          </mc:Choice>
        </mc:AlternateContent>
        <mc:AlternateContent xmlns:mc="http://schemas.openxmlformats.org/markup-compatibility/2006">
          <mc:Choice Requires="x14">
            <control shapeId="154641" r:id="rId20" name="Check Box 17">
              <controlPr defaultSize="0" autoFill="0" autoLine="0" autoPict="0">
                <anchor moveWithCells="1">
                  <from>
                    <xdr:col>5</xdr:col>
                    <xdr:colOff>1438275</xdr:colOff>
                    <xdr:row>36</xdr:row>
                    <xdr:rowOff>28575</xdr:rowOff>
                  </from>
                  <to>
                    <xdr:col>6</xdr:col>
                    <xdr:colOff>180975</xdr:colOff>
                    <xdr:row>37</xdr:row>
                    <xdr:rowOff>66675</xdr:rowOff>
                  </to>
                </anchor>
              </controlPr>
            </control>
          </mc:Choice>
        </mc:AlternateContent>
        <mc:AlternateContent xmlns:mc="http://schemas.openxmlformats.org/markup-compatibility/2006">
          <mc:Choice Requires="x14">
            <control shapeId="154642" r:id="rId21" name="Check Box 18">
              <controlPr defaultSize="0" autoFill="0" autoLine="0" autoPict="0">
                <anchor moveWithCells="1">
                  <from>
                    <xdr:col>5</xdr:col>
                    <xdr:colOff>1438275</xdr:colOff>
                    <xdr:row>33</xdr:row>
                    <xdr:rowOff>38100</xdr:rowOff>
                  </from>
                  <to>
                    <xdr:col>6</xdr:col>
                    <xdr:colOff>200025</xdr:colOff>
                    <xdr:row>34</xdr:row>
                    <xdr:rowOff>66675</xdr:rowOff>
                  </to>
                </anchor>
              </controlPr>
            </control>
          </mc:Choice>
        </mc:AlternateContent>
        <mc:AlternateContent xmlns:mc="http://schemas.openxmlformats.org/markup-compatibility/2006">
          <mc:Choice Requires="x14">
            <control shapeId="154643" r:id="rId22" name="Check Box 19">
              <controlPr defaultSize="0" autoFill="0" autoLine="0" autoPict="0">
                <anchor moveWithCells="1">
                  <from>
                    <xdr:col>5</xdr:col>
                    <xdr:colOff>1438275</xdr:colOff>
                    <xdr:row>30</xdr:row>
                    <xdr:rowOff>38100</xdr:rowOff>
                  </from>
                  <to>
                    <xdr:col>6</xdr:col>
                    <xdr:colOff>200025</xdr:colOff>
                    <xdr:row>31</xdr:row>
                    <xdr:rowOff>66675</xdr:rowOff>
                  </to>
                </anchor>
              </controlPr>
            </control>
          </mc:Choice>
        </mc:AlternateContent>
        <mc:AlternateContent xmlns:mc="http://schemas.openxmlformats.org/markup-compatibility/2006">
          <mc:Choice Requires="x14">
            <control shapeId="154644" r:id="rId23" name="Check Box 20">
              <controlPr defaultSize="0" autoFill="0" autoLine="0" autoPict="0">
                <anchor moveWithCells="1">
                  <from>
                    <xdr:col>5</xdr:col>
                    <xdr:colOff>1038225</xdr:colOff>
                    <xdr:row>39</xdr:row>
                    <xdr:rowOff>9525</xdr:rowOff>
                  </from>
                  <to>
                    <xdr:col>5</xdr:col>
                    <xdr:colOff>1400175</xdr:colOff>
                    <xdr:row>40</xdr:row>
                    <xdr:rowOff>85725</xdr:rowOff>
                  </to>
                </anchor>
              </controlPr>
            </control>
          </mc:Choice>
        </mc:AlternateContent>
        <mc:AlternateContent xmlns:mc="http://schemas.openxmlformats.org/markup-compatibility/2006">
          <mc:Choice Requires="x14">
            <control shapeId="154645" r:id="rId24" name="Check Box 21">
              <controlPr defaultSize="0" autoFill="0" autoLine="0" autoPict="0">
                <anchor moveWithCells="1">
                  <from>
                    <xdr:col>11</xdr:col>
                    <xdr:colOff>771525</xdr:colOff>
                    <xdr:row>39</xdr:row>
                    <xdr:rowOff>38100</xdr:rowOff>
                  </from>
                  <to>
                    <xdr:col>12</xdr:col>
                    <xdr:colOff>381000</xdr:colOff>
                    <xdr:row>40</xdr:row>
                    <xdr:rowOff>28575</xdr:rowOff>
                  </to>
                </anchor>
              </controlPr>
            </control>
          </mc:Choice>
        </mc:AlternateContent>
        <mc:AlternateContent xmlns:mc="http://schemas.openxmlformats.org/markup-compatibility/2006">
          <mc:Choice Requires="x14">
            <control shapeId="154646" r:id="rId25" name="Check Box 22">
              <controlPr defaultSize="0" autoFill="0" autoLine="0" autoPict="0">
                <anchor moveWithCells="1">
                  <from>
                    <xdr:col>12</xdr:col>
                    <xdr:colOff>409575</xdr:colOff>
                    <xdr:row>39</xdr:row>
                    <xdr:rowOff>28575</xdr:rowOff>
                  </from>
                  <to>
                    <xdr:col>12</xdr:col>
                    <xdr:colOff>809625</xdr:colOff>
                    <xdr:row>40</xdr:row>
                    <xdr:rowOff>66675</xdr:rowOff>
                  </to>
                </anchor>
              </controlPr>
            </control>
          </mc:Choice>
        </mc:AlternateContent>
        <mc:AlternateContent xmlns:mc="http://schemas.openxmlformats.org/markup-compatibility/2006">
          <mc:Choice Requires="x14">
            <control shapeId="154647" r:id="rId26" name="Check Box 23">
              <controlPr defaultSize="0" autoFill="0" autoLine="0" autoPict="0">
                <anchor moveWithCells="1">
                  <from>
                    <xdr:col>5</xdr:col>
                    <xdr:colOff>1038225</xdr:colOff>
                    <xdr:row>42</xdr:row>
                    <xdr:rowOff>9525</xdr:rowOff>
                  </from>
                  <to>
                    <xdr:col>5</xdr:col>
                    <xdr:colOff>1400175</xdr:colOff>
                    <xdr:row>43</xdr:row>
                    <xdr:rowOff>85725</xdr:rowOff>
                  </to>
                </anchor>
              </controlPr>
            </control>
          </mc:Choice>
        </mc:AlternateContent>
        <mc:AlternateContent xmlns:mc="http://schemas.openxmlformats.org/markup-compatibility/2006">
          <mc:Choice Requires="x14">
            <control shapeId="154648" r:id="rId27" name="Check Box 24">
              <controlPr defaultSize="0" autoFill="0" autoLine="0" autoPict="0">
                <anchor moveWithCells="1">
                  <from>
                    <xdr:col>11</xdr:col>
                    <xdr:colOff>771525</xdr:colOff>
                    <xdr:row>42</xdr:row>
                    <xdr:rowOff>38100</xdr:rowOff>
                  </from>
                  <to>
                    <xdr:col>12</xdr:col>
                    <xdr:colOff>381000</xdr:colOff>
                    <xdr:row>43</xdr:row>
                    <xdr:rowOff>28575</xdr:rowOff>
                  </to>
                </anchor>
              </controlPr>
            </control>
          </mc:Choice>
        </mc:AlternateContent>
        <mc:AlternateContent xmlns:mc="http://schemas.openxmlformats.org/markup-compatibility/2006">
          <mc:Choice Requires="x14">
            <control shapeId="154649" r:id="rId28" name="Check Box 25">
              <controlPr defaultSize="0" autoFill="0" autoLine="0" autoPict="0">
                <anchor moveWithCells="1">
                  <from>
                    <xdr:col>12</xdr:col>
                    <xdr:colOff>390525</xdr:colOff>
                    <xdr:row>42</xdr:row>
                    <xdr:rowOff>28575</xdr:rowOff>
                  </from>
                  <to>
                    <xdr:col>12</xdr:col>
                    <xdr:colOff>790575</xdr:colOff>
                    <xdr:row>43</xdr:row>
                    <xdr:rowOff>66675</xdr:rowOff>
                  </to>
                </anchor>
              </controlPr>
            </control>
          </mc:Choice>
        </mc:AlternateContent>
        <mc:AlternateContent xmlns:mc="http://schemas.openxmlformats.org/markup-compatibility/2006">
          <mc:Choice Requires="x14">
            <control shapeId="154650" r:id="rId29" name="Check Box 26">
              <controlPr defaultSize="0" autoFill="0" autoLine="0" autoPict="0">
                <anchor moveWithCells="1">
                  <from>
                    <xdr:col>5</xdr:col>
                    <xdr:colOff>1438275</xdr:colOff>
                    <xdr:row>42</xdr:row>
                    <xdr:rowOff>28575</xdr:rowOff>
                  </from>
                  <to>
                    <xdr:col>6</xdr:col>
                    <xdr:colOff>180975</xdr:colOff>
                    <xdr:row>43</xdr:row>
                    <xdr:rowOff>66675</xdr:rowOff>
                  </to>
                </anchor>
              </controlPr>
            </control>
          </mc:Choice>
        </mc:AlternateContent>
        <mc:AlternateContent xmlns:mc="http://schemas.openxmlformats.org/markup-compatibility/2006">
          <mc:Choice Requires="x14">
            <control shapeId="154651" r:id="rId30" name="Check Box 27">
              <controlPr defaultSize="0" autoFill="0" autoLine="0" autoPict="0">
                <anchor moveWithCells="1">
                  <from>
                    <xdr:col>5</xdr:col>
                    <xdr:colOff>1038225</xdr:colOff>
                    <xdr:row>39</xdr:row>
                    <xdr:rowOff>9525</xdr:rowOff>
                  </from>
                  <to>
                    <xdr:col>5</xdr:col>
                    <xdr:colOff>1400175</xdr:colOff>
                    <xdr:row>40</xdr:row>
                    <xdr:rowOff>85725</xdr:rowOff>
                  </to>
                </anchor>
              </controlPr>
            </control>
          </mc:Choice>
        </mc:AlternateContent>
        <mc:AlternateContent xmlns:mc="http://schemas.openxmlformats.org/markup-compatibility/2006">
          <mc:Choice Requires="x14">
            <control shapeId="154652" r:id="rId31" name="Check Box 28">
              <controlPr defaultSize="0" autoFill="0" autoLine="0" autoPict="0">
                <anchor moveWithCells="1">
                  <from>
                    <xdr:col>11</xdr:col>
                    <xdr:colOff>771525</xdr:colOff>
                    <xdr:row>39</xdr:row>
                    <xdr:rowOff>38100</xdr:rowOff>
                  </from>
                  <to>
                    <xdr:col>12</xdr:col>
                    <xdr:colOff>381000</xdr:colOff>
                    <xdr:row>40</xdr:row>
                    <xdr:rowOff>28575</xdr:rowOff>
                  </to>
                </anchor>
              </controlPr>
            </control>
          </mc:Choice>
        </mc:AlternateContent>
        <mc:AlternateContent xmlns:mc="http://schemas.openxmlformats.org/markup-compatibility/2006">
          <mc:Choice Requires="x14">
            <control shapeId="154653" r:id="rId32" name="Check Box 29">
              <controlPr defaultSize="0" autoFill="0" autoLine="0" autoPict="0">
                <anchor moveWithCells="1">
                  <from>
                    <xdr:col>5</xdr:col>
                    <xdr:colOff>1438275</xdr:colOff>
                    <xdr:row>39</xdr:row>
                    <xdr:rowOff>28575</xdr:rowOff>
                  </from>
                  <to>
                    <xdr:col>6</xdr:col>
                    <xdr:colOff>180975</xdr:colOff>
                    <xdr:row>40</xdr:row>
                    <xdr:rowOff>66675</xdr:rowOff>
                  </to>
                </anchor>
              </controlPr>
            </control>
          </mc:Choice>
        </mc:AlternateContent>
        <mc:AlternateContent xmlns:mc="http://schemas.openxmlformats.org/markup-compatibility/2006">
          <mc:Choice Requires="x14">
            <control shapeId="154654" r:id="rId33" name="Check Box 30">
              <controlPr defaultSize="0" autoFill="0" autoLine="0" autoPict="0">
                <anchor moveWithCells="1">
                  <from>
                    <xdr:col>5</xdr:col>
                    <xdr:colOff>1438275</xdr:colOff>
                    <xdr:row>26</xdr:row>
                    <xdr:rowOff>142875</xdr:rowOff>
                  </from>
                  <to>
                    <xdr:col>6</xdr:col>
                    <xdr:colOff>200025</xdr:colOff>
                    <xdr:row>28</xdr:row>
                    <xdr:rowOff>9525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E2B8-F6EB-4061-A693-B9CE6ECCB396}">
  <sheetPr codeName="Sheet38">
    <tabColor rgb="FFFFC000"/>
    <pageSetUpPr fitToPage="1"/>
  </sheetPr>
  <dimension ref="A1:J100"/>
  <sheetViews>
    <sheetView workbookViewId="0">
      <pane ySplit="5" topLeftCell="A6" activePane="bottomLeft" state="frozen"/>
      <selection activeCell="D7" sqref="D7:O7"/>
      <selection pane="bottomLeft" activeCell="M12" sqref="M12"/>
    </sheetView>
  </sheetViews>
  <sheetFormatPr defaultColWidth="9.42578125" defaultRowHeight="15" outlineLevelRow="1" x14ac:dyDescent="0.25"/>
  <cols>
    <col min="1" max="1" width="4" style="170" customWidth="1"/>
    <col min="2" max="2" width="11.5703125" style="170" customWidth="1"/>
    <col min="3" max="3" width="10.5703125" style="170" customWidth="1"/>
    <col min="4" max="4" width="23.5703125" style="170" customWidth="1"/>
    <col min="5" max="5" width="1.5703125" style="170" customWidth="1"/>
    <col min="6" max="6" width="50.5703125" style="170" customWidth="1"/>
    <col min="7" max="7" width="1.5703125" style="170" customWidth="1"/>
    <col min="8" max="8" width="50.5703125" style="170" customWidth="1"/>
    <col min="9" max="9" width="1.5703125" style="170" customWidth="1"/>
    <col min="10" max="10" width="25.42578125" style="170" customWidth="1"/>
    <col min="11" max="16384" width="9.42578125" style="170"/>
  </cols>
  <sheetData>
    <row r="1" spans="2:10" ht="9" customHeight="1" x14ac:dyDescent="0.25"/>
    <row r="2" spans="2:10" ht="18" x14ac:dyDescent="0.25">
      <c r="B2" s="1387" t="s">
        <v>2040</v>
      </c>
      <c r="J2" s="735" t="str">
        <f>+Cover!C8</f>
        <v>Project Number: 21334</v>
      </c>
    </row>
    <row r="3" spans="2:10" ht="9" customHeight="1" x14ac:dyDescent="0.25">
      <c r="B3" s="1387"/>
    </row>
    <row r="4" spans="2:10" ht="18" x14ac:dyDescent="0.25">
      <c r="B4" s="1387" t="s">
        <v>2041</v>
      </c>
      <c r="J4" s="735" t="str">
        <f>+Cover!C10</f>
        <v>Estimate revision #: 00</v>
      </c>
    </row>
    <row r="5" spans="2:10" ht="30" x14ac:dyDescent="0.25">
      <c r="B5" s="2117" t="s">
        <v>2042</v>
      </c>
      <c r="C5" s="2118" t="s">
        <v>634</v>
      </c>
      <c r="D5" s="2118" t="s">
        <v>2043</v>
      </c>
      <c r="E5" s="2118"/>
      <c r="F5" s="2118" t="s">
        <v>2044</v>
      </c>
      <c r="G5" s="2118"/>
      <c r="H5" s="2118" t="s">
        <v>2045</v>
      </c>
      <c r="I5" s="2118"/>
      <c r="J5" s="2118" t="s">
        <v>2046</v>
      </c>
    </row>
    <row r="6" spans="2:10" x14ac:dyDescent="0.25">
      <c r="C6" s="2119"/>
      <c r="D6" s="2119"/>
      <c r="E6" s="2119"/>
      <c r="F6" s="2119"/>
      <c r="G6" s="2119"/>
      <c r="H6" s="2119"/>
      <c r="I6" s="2119"/>
      <c r="J6" s="2119"/>
    </row>
    <row r="7" spans="2:10" x14ac:dyDescent="0.25">
      <c r="B7" s="2120"/>
      <c r="C7" s="2121" t="s">
        <v>2047</v>
      </c>
      <c r="D7" s="2277" t="s">
        <v>2049</v>
      </c>
      <c r="F7" s="2123"/>
    </row>
    <row r="8" spans="2:10" outlineLevel="1" x14ac:dyDescent="0.25">
      <c r="C8" s="376">
        <v>1</v>
      </c>
      <c r="D8" s="2123" t="s">
        <v>3732</v>
      </c>
      <c r="E8" s="2123"/>
      <c r="F8" s="2123" t="s">
        <v>3731</v>
      </c>
      <c r="G8" s="2123"/>
      <c r="H8" s="2124" t="s">
        <v>3750</v>
      </c>
      <c r="I8" s="2123"/>
      <c r="J8" s="2123"/>
    </row>
    <row r="9" spans="2:10" outlineLevel="1" x14ac:dyDescent="0.25">
      <c r="C9" s="376">
        <v>2</v>
      </c>
      <c r="D9" s="2123" t="s">
        <v>2378</v>
      </c>
      <c r="E9" s="2123"/>
      <c r="F9" s="2123" t="s">
        <v>3733</v>
      </c>
      <c r="G9" s="2123"/>
      <c r="H9" s="2123" t="s">
        <v>3753</v>
      </c>
      <c r="I9" s="2123"/>
      <c r="J9" s="2123"/>
    </row>
    <row r="10" spans="2:10" outlineLevel="1" x14ac:dyDescent="0.25">
      <c r="C10" s="376">
        <v>3</v>
      </c>
      <c r="D10" s="2123" t="s">
        <v>107</v>
      </c>
      <c r="E10" s="2123"/>
      <c r="F10" s="2123" t="s">
        <v>3734</v>
      </c>
      <c r="G10" s="2123"/>
      <c r="H10" s="2123" t="s">
        <v>3756</v>
      </c>
      <c r="I10" s="2123"/>
      <c r="J10" s="2123"/>
    </row>
    <row r="11" spans="2:10" ht="45" outlineLevel="1" x14ac:dyDescent="0.25">
      <c r="C11" s="376">
        <v>4</v>
      </c>
      <c r="D11" s="2123" t="s">
        <v>3736</v>
      </c>
      <c r="E11" s="2123"/>
      <c r="F11" s="2123" t="s">
        <v>3735</v>
      </c>
      <c r="G11" s="2123"/>
      <c r="H11" s="2123" t="s">
        <v>3754</v>
      </c>
      <c r="I11" s="2123"/>
      <c r="J11" s="2123"/>
    </row>
    <row r="12" spans="2:10" outlineLevel="1" x14ac:dyDescent="0.25">
      <c r="C12" s="376">
        <v>5</v>
      </c>
      <c r="D12" s="2123" t="s">
        <v>0</v>
      </c>
      <c r="E12" s="2123"/>
      <c r="F12" s="2123" t="s">
        <v>3748</v>
      </c>
      <c r="G12" s="2123"/>
      <c r="H12" s="2123" t="s">
        <v>3757</v>
      </c>
      <c r="I12" s="2123"/>
      <c r="J12" s="2123"/>
    </row>
    <row r="13" spans="2:10" outlineLevel="1" x14ac:dyDescent="0.25">
      <c r="C13" s="376">
        <v>6</v>
      </c>
      <c r="D13" s="2123" t="s">
        <v>2510</v>
      </c>
      <c r="E13" s="2123"/>
      <c r="F13" s="2123" t="s">
        <v>3749</v>
      </c>
      <c r="G13" s="2123"/>
      <c r="H13" s="2123" t="s">
        <v>3751</v>
      </c>
      <c r="I13" s="2123"/>
      <c r="J13" s="2123"/>
    </row>
    <row r="14" spans="2:10" outlineLevel="1" x14ac:dyDescent="0.25">
      <c r="C14" s="376">
        <v>7</v>
      </c>
      <c r="D14" s="2123"/>
      <c r="E14" s="2123"/>
      <c r="F14" s="2123"/>
      <c r="G14" s="2123"/>
      <c r="H14" s="2123"/>
      <c r="I14" s="2123"/>
      <c r="J14" s="2123"/>
    </row>
    <row r="15" spans="2:10" outlineLevel="1" x14ac:dyDescent="0.25">
      <c r="C15" s="376">
        <v>8</v>
      </c>
      <c r="D15" s="2123"/>
      <c r="E15" s="2123"/>
      <c r="F15" s="2123"/>
      <c r="G15" s="2123"/>
      <c r="H15" s="2123"/>
      <c r="I15" s="2123"/>
      <c r="J15" s="2123"/>
    </row>
    <row r="16" spans="2:10" outlineLevel="1" x14ac:dyDescent="0.25">
      <c r="C16" s="376">
        <v>9</v>
      </c>
      <c r="D16" s="2123"/>
      <c r="E16" s="2123"/>
      <c r="F16" s="2123"/>
      <c r="G16" s="2123"/>
      <c r="H16" s="2123"/>
      <c r="I16" s="2123"/>
      <c r="J16" s="2123"/>
    </row>
    <row r="17" spans="2:10" outlineLevel="1" x14ac:dyDescent="0.25">
      <c r="C17" s="376">
        <v>10</v>
      </c>
      <c r="D17" s="2123"/>
      <c r="E17" s="2123"/>
      <c r="F17" s="2123"/>
      <c r="G17" s="2123"/>
      <c r="H17" s="2123"/>
      <c r="I17" s="2123"/>
      <c r="J17" s="2123"/>
    </row>
    <row r="19" spans="2:10" ht="18" x14ac:dyDescent="0.25">
      <c r="B19" s="1387" t="s">
        <v>2048</v>
      </c>
    </row>
    <row r="20" spans="2:10" ht="30" x14ac:dyDescent="0.25">
      <c r="B20" s="2117" t="s">
        <v>2042</v>
      </c>
      <c r="C20" s="2118" t="s">
        <v>634</v>
      </c>
      <c r="D20" s="2118" t="s">
        <v>2043</v>
      </c>
      <c r="E20" s="2118"/>
      <c r="F20" s="2118" t="s">
        <v>2044</v>
      </c>
      <c r="G20" s="2118"/>
      <c r="H20" s="2118" t="s">
        <v>2045</v>
      </c>
      <c r="I20" s="2118"/>
      <c r="J20" s="2118" t="s">
        <v>2046</v>
      </c>
    </row>
    <row r="21" spans="2:10" x14ac:dyDescent="0.25">
      <c r="C21" s="2119"/>
      <c r="D21" s="2119"/>
      <c r="E21" s="2119"/>
      <c r="F21" s="2119"/>
      <c r="G21" s="2119"/>
      <c r="H21" s="2119"/>
      <c r="I21" s="2119"/>
      <c r="J21" s="2119"/>
    </row>
    <row r="22" spans="2:10" x14ac:dyDescent="0.25">
      <c r="B22" s="2120"/>
      <c r="C22" s="2123" t="str">
        <f>+Parameters!E351</f>
        <v>Niderno</v>
      </c>
      <c r="D22" s="2277" t="s">
        <v>2049</v>
      </c>
      <c r="F22" s="2123"/>
    </row>
    <row r="23" spans="2:10" x14ac:dyDescent="0.25">
      <c r="B23" s="2120"/>
      <c r="C23" s="2278"/>
      <c r="D23" s="2277" t="s">
        <v>2049</v>
      </c>
      <c r="F23" s="2123"/>
    </row>
    <row r="24" spans="2:10" outlineLevel="1" x14ac:dyDescent="0.25">
      <c r="C24" s="376">
        <v>1</v>
      </c>
      <c r="D24" s="2123"/>
      <c r="E24" s="2123"/>
      <c r="F24" s="2123"/>
      <c r="G24" s="2123"/>
      <c r="H24" s="2123"/>
      <c r="I24" s="2123"/>
      <c r="J24" s="2123"/>
    </row>
    <row r="25" spans="2:10" outlineLevel="1" x14ac:dyDescent="0.25">
      <c r="C25" s="376">
        <v>2</v>
      </c>
      <c r="D25" s="2123"/>
      <c r="E25" s="2123"/>
      <c r="F25" s="2123"/>
      <c r="G25" s="2123"/>
      <c r="H25" s="2123"/>
      <c r="I25" s="2123"/>
      <c r="J25" s="2123"/>
    </row>
    <row r="26" spans="2:10" outlineLevel="1" x14ac:dyDescent="0.25">
      <c r="C26" s="376">
        <v>3</v>
      </c>
      <c r="D26" s="2123"/>
      <c r="E26" s="2123"/>
      <c r="F26" s="2123"/>
      <c r="G26" s="2123"/>
      <c r="H26" s="2123"/>
      <c r="I26" s="2123"/>
      <c r="J26" s="2123"/>
    </row>
    <row r="27" spans="2:10" outlineLevel="1" x14ac:dyDescent="0.25">
      <c r="C27" s="376">
        <v>4</v>
      </c>
      <c r="D27" s="2123"/>
      <c r="E27" s="2123"/>
      <c r="F27" s="2123"/>
      <c r="G27" s="2123"/>
      <c r="H27" s="2123"/>
      <c r="I27" s="2123"/>
      <c r="J27" s="2123"/>
    </row>
    <row r="28" spans="2:10" outlineLevel="1" x14ac:dyDescent="0.25">
      <c r="C28" s="376">
        <v>5</v>
      </c>
      <c r="D28" s="2123"/>
      <c r="E28" s="2123"/>
      <c r="F28" s="2123"/>
      <c r="G28" s="2123"/>
      <c r="H28" s="2123"/>
      <c r="I28" s="2123"/>
      <c r="J28" s="2123"/>
    </row>
    <row r="29" spans="2:10" outlineLevel="1" x14ac:dyDescent="0.25">
      <c r="C29" s="376">
        <v>6</v>
      </c>
      <c r="D29" s="2123"/>
      <c r="E29" s="2123"/>
      <c r="F29" s="2123"/>
      <c r="G29" s="2123"/>
      <c r="H29" s="2123"/>
      <c r="I29" s="2123"/>
      <c r="J29" s="2123"/>
    </row>
    <row r="30" spans="2:10" outlineLevel="1" x14ac:dyDescent="0.25">
      <c r="C30" s="376">
        <v>7</v>
      </c>
      <c r="D30" s="2123"/>
      <c r="E30" s="2123"/>
      <c r="F30" s="2123"/>
      <c r="G30" s="2123"/>
      <c r="H30" s="2123"/>
      <c r="I30" s="2123"/>
      <c r="J30" s="2123"/>
    </row>
    <row r="31" spans="2:10" outlineLevel="1" x14ac:dyDescent="0.25">
      <c r="C31" s="376">
        <v>8</v>
      </c>
      <c r="D31" s="2123"/>
      <c r="E31" s="2123"/>
      <c r="F31" s="2123"/>
      <c r="G31" s="2123"/>
      <c r="H31" s="2123"/>
      <c r="I31" s="2123"/>
      <c r="J31" s="2123"/>
    </row>
    <row r="32" spans="2:10" outlineLevel="1" x14ac:dyDescent="0.25">
      <c r="C32" s="376">
        <v>9</v>
      </c>
      <c r="D32" s="2123"/>
      <c r="E32" s="2123"/>
      <c r="F32" s="2123"/>
      <c r="G32" s="2123"/>
      <c r="H32" s="2123"/>
      <c r="I32" s="2123"/>
      <c r="J32" s="2123"/>
    </row>
    <row r="33" spans="2:10" outlineLevel="1" x14ac:dyDescent="0.25">
      <c r="C33" s="376">
        <v>10</v>
      </c>
      <c r="D33" s="2123"/>
      <c r="E33" s="2123"/>
      <c r="F33" s="2123"/>
      <c r="G33" s="2123"/>
      <c r="H33" s="2123"/>
      <c r="I33" s="2123"/>
      <c r="J33" s="2123"/>
    </row>
    <row r="34" spans="2:10" x14ac:dyDescent="0.25">
      <c r="C34" s="488"/>
    </row>
    <row r="35" spans="2:10" x14ac:dyDescent="0.25">
      <c r="B35" s="2120"/>
      <c r="C35" s="2123" t="str">
        <f>+Parameters!E352</f>
        <v>Bassaragh</v>
      </c>
      <c r="D35" s="2277" t="s">
        <v>2049</v>
      </c>
      <c r="F35" s="2123"/>
    </row>
    <row r="36" spans="2:10" x14ac:dyDescent="0.25">
      <c r="B36" s="2120"/>
      <c r="C36" s="2278"/>
      <c r="D36" s="2277" t="s">
        <v>2049</v>
      </c>
      <c r="F36" s="2123"/>
    </row>
    <row r="37" spans="2:10" outlineLevel="1" x14ac:dyDescent="0.25">
      <c r="C37" s="376">
        <v>1</v>
      </c>
      <c r="D37" s="2123"/>
      <c r="E37" s="2123"/>
      <c r="F37" s="2123"/>
      <c r="G37" s="2123"/>
      <c r="H37" s="2123"/>
      <c r="I37" s="2123"/>
      <c r="J37" s="2123"/>
    </row>
    <row r="38" spans="2:10" outlineLevel="1" x14ac:dyDescent="0.25">
      <c r="C38" s="376">
        <v>2</v>
      </c>
      <c r="D38" s="2123"/>
      <c r="E38" s="2123"/>
      <c r="F38" s="2123"/>
      <c r="G38" s="2123"/>
      <c r="H38" s="2123"/>
      <c r="I38" s="2123"/>
      <c r="J38" s="2123"/>
    </row>
    <row r="39" spans="2:10" outlineLevel="1" x14ac:dyDescent="0.25">
      <c r="C39" s="376">
        <v>3</v>
      </c>
      <c r="D39" s="2123"/>
      <c r="E39" s="2123"/>
      <c r="F39" s="2123"/>
      <c r="G39" s="2123"/>
      <c r="H39" s="2123"/>
      <c r="I39" s="2123"/>
      <c r="J39" s="2123"/>
    </row>
    <row r="40" spans="2:10" outlineLevel="1" x14ac:dyDescent="0.25">
      <c r="C40" s="376">
        <v>4</v>
      </c>
      <c r="D40" s="2123"/>
      <c r="E40" s="2123"/>
      <c r="F40" s="2123"/>
      <c r="G40" s="2123"/>
      <c r="H40" s="2123"/>
      <c r="I40" s="2123"/>
      <c r="J40" s="2123"/>
    </row>
    <row r="41" spans="2:10" outlineLevel="1" x14ac:dyDescent="0.25">
      <c r="C41" s="376">
        <v>5</v>
      </c>
      <c r="D41" s="2123"/>
      <c r="E41" s="2123"/>
      <c r="F41" s="2123"/>
      <c r="G41" s="2123"/>
      <c r="H41" s="2123"/>
      <c r="I41" s="2123"/>
      <c r="J41" s="2123"/>
    </row>
    <row r="42" spans="2:10" outlineLevel="1" x14ac:dyDescent="0.25">
      <c r="C42" s="376">
        <v>6</v>
      </c>
      <c r="D42" s="2123"/>
      <c r="E42" s="2123"/>
      <c r="F42" s="2123"/>
      <c r="G42" s="2123"/>
      <c r="H42" s="2123"/>
      <c r="I42" s="2123"/>
      <c r="J42" s="2123"/>
    </row>
    <row r="43" spans="2:10" outlineLevel="1" x14ac:dyDescent="0.25">
      <c r="C43" s="376">
        <v>7</v>
      </c>
      <c r="D43" s="2123"/>
      <c r="E43" s="2123"/>
      <c r="F43" s="2123"/>
      <c r="G43" s="2123"/>
      <c r="H43" s="2123"/>
      <c r="I43" s="2123"/>
      <c r="J43" s="2123"/>
    </row>
    <row r="44" spans="2:10" outlineLevel="1" x14ac:dyDescent="0.25">
      <c r="C44" s="376">
        <v>8</v>
      </c>
      <c r="D44" s="2123"/>
      <c r="E44" s="2123"/>
      <c r="F44" s="2123"/>
      <c r="G44" s="2123"/>
      <c r="H44" s="2123"/>
      <c r="I44" s="2123"/>
      <c r="J44" s="2123"/>
    </row>
    <row r="45" spans="2:10" outlineLevel="1" x14ac:dyDescent="0.25">
      <c r="C45" s="376">
        <v>9</v>
      </c>
      <c r="D45" s="2123"/>
      <c r="E45" s="2123"/>
      <c r="F45" s="2123"/>
      <c r="G45" s="2123"/>
      <c r="H45" s="2123"/>
      <c r="I45" s="2123"/>
      <c r="J45" s="2123"/>
    </row>
    <row r="46" spans="2:10" outlineLevel="1" x14ac:dyDescent="0.25">
      <c r="C46" s="376">
        <v>10</v>
      </c>
      <c r="D46" s="2123"/>
      <c r="E46" s="2123"/>
      <c r="F46" s="2123"/>
      <c r="G46" s="2123"/>
      <c r="H46" s="2123"/>
      <c r="I46" s="2123"/>
      <c r="J46" s="2123"/>
    </row>
    <row r="48" spans="2:10" x14ac:dyDescent="0.25">
      <c r="B48" s="2120"/>
      <c r="C48" s="2123" t="str">
        <f>+Parameters!E353</f>
        <v>Thibodeau</v>
      </c>
      <c r="D48" s="2277" t="s">
        <v>2049</v>
      </c>
      <c r="F48" s="2123"/>
    </row>
    <row r="49" spans="2:10" x14ac:dyDescent="0.25">
      <c r="B49" s="2120"/>
      <c r="C49" s="2278"/>
      <c r="D49" s="2277" t="s">
        <v>2049</v>
      </c>
      <c r="F49" s="2123"/>
    </row>
    <row r="50" spans="2:10" outlineLevel="1" x14ac:dyDescent="0.25">
      <c r="C50" s="376">
        <v>1</v>
      </c>
      <c r="D50" s="2123"/>
      <c r="E50" s="2123"/>
      <c r="F50" s="2123"/>
      <c r="G50" s="2123"/>
      <c r="H50" s="2123"/>
      <c r="I50" s="2123"/>
      <c r="J50" s="2123"/>
    </row>
    <row r="51" spans="2:10" outlineLevel="1" x14ac:dyDescent="0.25">
      <c r="C51" s="376">
        <v>2</v>
      </c>
      <c r="D51" s="2123"/>
      <c r="E51" s="2123"/>
      <c r="F51" s="2123"/>
      <c r="G51" s="2123"/>
      <c r="H51" s="2123"/>
      <c r="I51" s="2123"/>
      <c r="J51" s="2123"/>
    </row>
    <row r="52" spans="2:10" outlineLevel="1" x14ac:dyDescent="0.25">
      <c r="C52" s="376">
        <v>3</v>
      </c>
      <c r="D52" s="2123"/>
      <c r="E52" s="2123"/>
      <c r="F52" s="2123"/>
      <c r="G52" s="2123"/>
      <c r="H52" s="2123"/>
      <c r="I52" s="2123"/>
      <c r="J52" s="2123"/>
    </row>
    <row r="53" spans="2:10" outlineLevel="1" x14ac:dyDescent="0.25">
      <c r="C53" s="376">
        <v>4</v>
      </c>
      <c r="D53" s="2123"/>
      <c r="E53" s="2123"/>
      <c r="F53" s="2123"/>
      <c r="G53" s="2123"/>
      <c r="H53" s="2123"/>
      <c r="I53" s="2123"/>
      <c r="J53" s="2123"/>
    </row>
    <row r="54" spans="2:10" outlineLevel="1" x14ac:dyDescent="0.25">
      <c r="C54" s="376">
        <v>5</v>
      </c>
      <c r="D54" s="2123"/>
      <c r="E54" s="2123"/>
      <c r="F54" s="2123"/>
      <c r="G54" s="2123"/>
      <c r="H54" s="2123"/>
      <c r="I54" s="2123"/>
      <c r="J54" s="2123"/>
    </row>
    <row r="55" spans="2:10" outlineLevel="1" x14ac:dyDescent="0.25">
      <c r="C55" s="376">
        <v>6</v>
      </c>
      <c r="D55" s="2123"/>
      <c r="E55" s="2123"/>
      <c r="F55" s="2123"/>
      <c r="G55" s="2123"/>
      <c r="H55" s="2123"/>
      <c r="I55" s="2123"/>
      <c r="J55" s="2123"/>
    </row>
    <row r="56" spans="2:10" outlineLevel="1" x14ac:dyDescent="0.25">
      <c r="C56" s="376">
        <v>7</v>
      </c>
      <c r="D56" s="2123"/>
      <c r="E56" s="2123"/>
      <c r="F56" s="2123"/>
      <c r="G56" s="2123"/>
      <c r="H56" s="2123"/>
      <c r="I56" s="2123"/>
      <c r="J56" s="2123"/>
    </row>
    <row r="57" spans="2:10" outlineLevel="1" x14ac:dyDescent="0.25">
      <c r="C57" s="376">
        <v>8</v>
      </c>
      <c r="D57" s="2123"/>
      <c r="E57" s="2123"/>
      <c r="F57" s="2123"/>
      <c r="G57" s="2123"/>
      <c r="H57" s="2123"/>
      <c r="I57" s="2123"/>
      <c r="J57" s="2123"/>
    </row>
    <row r="58" spans="2:10" outlineLevel="1" x14ac:dyDescent="0.25">
      <c r="C58" s="376">
        <v>9</v>
      </c>
      <c r="D58" s="2123"/>
      <c r="E58" s="2123"/>
      <c r="F58" s="2123"/>
      <c r="G58" s="2123"/>
      <c r="H58" s="2123"/>
      <c r="I58" s="2123"/>
      <c r="J58" s="2123"/>
    </row>
    <row r="59" spans="2:10" outlineLevel="1" x14ac:dyDescent="0.25">
      <c r="C59" s="376">
        <v>10</v>
      </c>
      <c r="D59" s="2123"/>
      <c r="E59" s="2123"/>
      <c r="F59" s="2123"/>
      <c r="G59" s="2123"/>
      <c r="H59" s="2123"/>
      <c r="I59" s="2123"/>
      <c r="J59" s="2123"/>
    </row>
    <row r="61" spans="2:10" x14ac:dyDescent="0.25">
      <c r="B61" s="2120" t="s">
        <v>57</v>
      </c>
      <c r="C61" s="2123" t="e">
        <f>-Parameters!E354</f>
        <v>#VALUE!</v>
      </c>
      <c r="D61" s="2277" t="s">
        <v>2049</v>
      </c>
      <c r="F61" s="2123"/>
    </row>
    <row r="62" spans="2:10" x14ac:dyDescent="0.25">
      <c r="B62" s="2120"/>
      <c r="C62" s="2278"/>
      <c r="D62" s="2277" t="s">
        <v>2049</v>
      </c>
      <c r="F62" s="2123"/>
    </row>
    <row r="63" spans="2:10" hidden="1" outlineLevel="1" x14ac:dyDescent="0.25">
      <c r="C63" s="376">
        <v>1</v>
      </c>
      <c r="D63" s="2123"/>
      <c r="E63" s="2123"/>
      <c r="F63" s="2123"/>
      <c r="G63" s="2123"/>
      <c r="H63" s="2123"/>
      <c r="I63" s="2123"/>
      <c r="J63" s="2123"/>
    </row>
    <row r="64" spans="2:10" hidden="1" outlineLevel="1" x14ac:dyDescent="0.25">
      <c r="C64" s="376">
        <v>2</v>
      </c>
      <c r="D64" s="2123"/>
      <c r="E64" s="2123"/>
      <c r="F64" s="2123"/>
      <c r="G64" s="2123"/>
      <c r="H64" s="2123"/>
      <c r="I64" s="2123"/>
      <c r="J64" s="2123"/>
    </row>
    <row r="65" spans="2:10" hidden="1" outlineLevel="1" x14ac:dyDescent="0.25">
      <c r="C65" s="376">
        <v>3</v>
      </c>
      <c r="D65" s="2123"/>
      <c r="E65" s="2123"/>
      <c r="F65" s="2123"/>
      <c r="G65" s="2123"/>
      <c r="H65" s="2123"/>
      <c r="I65" s="2123"/>
      <c r="J65" s="2123"/>
    </row>
    <row r="66" spans="2:10" hidden="1" outlineLevel="1" x14ac:dyDescent="0.25">
      <c r="C66" s="376">
        <v>4</v>
      </c>
      <c r="D66" s="2123"/>
      <c r="E66" s="2123"/>
      <c r="F66" s="2123"/>
      <c r="G66" s="2123"/>
      <c r="H66" s="2123"/>
      <c r="I66" s="2123"/>
      <c r="J66" s="2123"/>
    </row>
    <row r="67" spans="2:10" hidden="1" outlineLevel="1" x14ac:dyDescent="0.25">
      <c r="C67" s="376">
        <v>5</v>
      </c>
      <c r="D67" s="2123"/>
      <c r="E67" s="2123"/>
      <c r="F67" s="2123"/>
      <c r="G67" s="2123"/>
      <c r="H67" s="2123"/>
      <c r="I67" s="2123"/>
      <c r="J67" s="2123"/>
    </row>
    <row r="68" spans="2:10" hidden="1" outlineLevel="1" x14ac:dyDescent="0.25">
      <c r="C68" s="376">
        <v>6</v>
      </c>
      <c r="D68" s="2123"/>
      <c r="E68" s="2123"/>
      <c r="F68" s="2123"/>
      <c r="G68" s="2123"/>
      <c r="H68" s="2123"/>
      <c r="I68" s="2123"/>
      <c r="J68" s="2123"/>
    </row>
    <row r="69" spans="2:10" hidden="1" outlineLevel="1" x14ac:dyDescent="0.25">
      <c r="C69" s="376">
        <v>7</v>
      </c>
      <c r="D69" s="2123"/>
      <c r="E69" s="2123"/>
      <c r="F69" s="2123"/>
      <c r="G69" s="2123"/>
      <c r="H69" s="2123"/>
      <c r="I69" s="2123"/>
      <c r="J69" s="2123"/>
    </row>
    <row r="70" spans="2:10" hidden="1" outlineLevel="1" x14ac:dyDescent="0.25">
      <c r="C70" s="376">
        <v>8</v>
      </c>
      <c r="D70" s="2123"/>
      <c r="E70" s="2123"/>
      <c r="F70" s="2123"/>
      <c r="G70" s="2123"/>
      <c r="H70" s="2123"/>
      <c r="I70" s="2123"/>
      <c r="J70" s="2123"/>
    </row>
    <row r="71" spans="2:10" hidden="1" outlineLevel="1" x14ac:dyDescent="0.25">
      <c r="C71" s="376">
        <v>9</v>
      </c>
      <c r="D71" s="2123"/>
      <c r="E71" s="2123"/>
      <c r="F71" s="2123"/>
      <c r="G71" s="2123"/>
      <c r="H71" s="2123"/>
      <c r="I71" s="2123"/>
      <c r="J71" s="2123"/>
    </row>
    <row r="72" spans="2:10" hidden="1" outlineLevel="1" x14ac:dyDescent="0.25">
      <c r="C72" s="376">
        <v>10</v>
      </c>
      <c r="D72" s="2123"/>
      <c r="E72" s="2123"/>
      <c r="F72" s="2123"/>
      <c r="G72" s="2123"/>
      <c r="H72" s="2123"/>
      <c r="I72" s="2123"/>
      <c r="J72" s="2123"/>
    </row>
    <row r="73" spans="2:10" collapsed="1" x14ac:dyDescent="0.25"/>
    <row r="74" spans="2:10" x14ac:dyDescent="0.25">
      <c r="B74" s="2120" t="s">
        <v>57</v>
      </c>
      <c r="C74" s="2123" t="str">
        <f>+Parameters!E355</f>
        <v/>
      </c>
      <c r="D74" s="2277" t="s">
        <v>2049</v>
      </c>
      <c r="F74" s="2123"/>
    </row>
    <row r="75" spans="2:10" x14ac:dyDescent="0.25">
      <c r="B75" s="2120"/>
      <c r="C75" s="2278"/>
      <c r="D75" s="2277" t="s">
        <v>2049</v>
      </c>
      <c r="F75" s="2123"/>
    </row>
    <row r="76" spans="2:10" hidden="1" outlineLevel="1" x14ac:dyDescent="0.25">
      <c r="C76" s="376">
        <v>1</v>
      </c>
      <c r="D76" s="2123"/>
      <c r="E76" s="2123"/>
      <c r="F76" s="2123"/>
      <c r="G76" s="2123"/>
      <c r="H76" s="2123"/>
      <c r="I76" s="2123"/>
      <c r="J76" s="2123"/>
    </row>
    <row r="77" spans="2:10" hidden="1" outlineLevel="1" x14ac:dyDescent="0.25">
      <c r="C77" s="376">
        <v>2</v>
      </c>
      <c r="D77" s="2123"/>
      <c r="E77" s="2123"/>
      <c r="F77" s="2123"/>
      <c r="G77" s="2123"/>
      <c r="H77" s="2123"/>
      <c r="I77" s="2123"/>
      <c r="J77" s="2123"/>
    </row>
    <row r="78" spans="2:10" hidden="1" outlineLevel="1" x14ac:dyDescent="0.25">
      <c r="C78" s="376">
        <v>3</v>
      </c>
      <c r="D78" s="2123"/>
      <c r="E78" s="2123"/>
      <c r="F78" s="2123"/>
      <c r="G78" s="2123"/>
      <c r="H78" s="2123"/>
      <c r="I78" s="2123"/>
      <c r="J78" s="2123"/>
    </row>
    <row r="79" spans="2:10" hidden="1" outlineLevel="1" x14ac:dyDescent="0.25">
      <c r="C79" s="376">
        <v>4</v>
      </c>
      <c r="D79" s="2123"/>
      <c r="E79" s="2123"/>
      <c r="F79" s="2123"/>
      <c r="G79" s="2123"/>
      <c r="H79" s="2123"/>
      <c r="I79" s="2123"/>
      <c r="J79" s="2123"/>
    </row>
    <row r="80" spans="2:10" hidden="1" outlineLevel="1" x14ac:dyDescent="0.25">
      <c r="C80" s="376">
        <v>5</v>
      </c>
      <c r="D80" s="2123"/>
      <c r="E80" s="2123"/>
      <c r="F80" s="2123"/>
      <c r="G80" s="2123"/>
      <c r="H80" s="2123"/>
      <c r="I80" s="2123"/>
      <c r="J80" s="2123"/>
    </row>
    <row r="81" spans="1:10" hidden="1" outlineLevel="1" x14ac:dyDescent="0.25">
      <c r="C81" s="376">
        <v>6</v>
      </c>
      <c r="D81" s="2123"/>
      <c r="E81" s="2123"/>
      <c r="F81" s="2123"/>
      <c r="G81" s="2123"/>
      <c r="H81" s="2123"/>
      <c r="I81" s="2123"/>
      <c r="J81" s="2123"/>
    </row>
    <row r="82" spans="1:10" hidden="1" outlineLevel="1" x14ac:dyDescent="0.25">
      <c r="C82" s="376">
        <v>7</v>
      </c>
      <c r="D82" s="2123"/>
      <c r="E82" s="2123"/>
      <c r="F82" s="2123"/>
      <c r="G82" s="2123"/>
      <c r="H82" s="2123"/>
      <c r="I82" s="2123"/>
      <c r="J82" s="2123"/>
    </row>
    <row r="83" spans="1:10" hidden="1" outlineLevel="1" x14ac:dyDescent="0.25">
      <c r="C83" s="376">
        <v>8</v>
      </c>
      <c r="D83" s="2123"/>
      <c r="E83" s="2123"/>
      <c r="F83" s="2123"/>
      <c r="G83" s="2123"/>
      <c r="H83" s="2123"/>
      <c r="I83" s="2123"/>
      <c r="J83" s="2123"/>
    </row>
    <row r="84" spans="1:10" hidden="1" outlineLevel="1" x14ac:dyDescent="0.25">
      <c r="C84" s="376">
        <v>9</v>
      </c>
      <c r="D84" s="2123"/>
      <c r="E84" s="2123"/>
      <c r="F84" s="2123"/>
      <c r="G84" s="2123"/>
      <c r="H84" s="2123"/>
      <c r="I84" s="2123"/>
      <c r="J84" s="2123"/>
    </row>
    <row r="85" spans="1:10" hidden="1" outlineLevel="1" x14ac:dyDescent="0.25">
      <c r="C85" s="376">
        <v>10</v>
      </c>
      <c r="D85" s="2123"/>
      <c r="E85" s="2123"/>
      <c r="F85" s="2123"/>
      <c r="G85" s="2123"/>
      <c r="H85" s="2123"/>
      <c r="I85" s="2123"/>
      <c r="J85" s="2123"/>
    </row>
    <row r="86" spans="1:10" collapsed="1" x14ac:dyDescent="0.25"/>
    <row r="87" spans="1:10" x14ac:dyDescent="0.25">
      <c r="A87" s="2467"/>
      <c r="B87" s="2467"/>
      <c r="C87" s="2467"/>
      <c r="D87" s="2467"/>
      <c r="E87" s="2467"/>
      <c r="F87" s="2467"/>
      <c r="G87" s="2467"/>
      <c r="H87" s="2467"/>
      <c r="I87" s="2467"/>
      <c r="J87" s="2467"/>
    </row>
    <row r="88" spans="1:10" x14ac:dyDescent="0.25">
      <c r="B88" s="2468" t="s">
        <v>2874</v>
      </c>
    </row>
    <row r="89" spans="1:10" ht="15.75" x14ac:dyDescent="0.25">
      <c r="C89" s="2469" t="s">
        <v>2875</v>
      </c>
      <c r="D89"/>
      <c r="E89" s="2469"/>
      <c r="F89" s="2470" t="str">
        <f ca="1">+Cover!$E$62&amp;" " &amp; Cover!$F$62 &amp; " @  " &amp; TEXT(Cover!$E$47, "#,###;") &amp; " " &amp; Cover!$F$47</f>
        <v>1 LS @  46,096,600 $'s / LS BESS</v>
      </c>
      <c r="G89"/>
    </row>
    <row r="90" spans="1:10" x14ac:dyDescent="0.25">
      <c r="C90"/>
      <c r="D90"/>
      <c r="E90"/>
      <c r="F90"/>
      <c r="G90"/>
    </row>
    <row r="91" spans="1:10" x14ac:dyDescent="0.25">
      <c r="C91" s="2469" t="s">
        <v>2876</v>
      </c>
      <c r="D91"/>
      <c r="E91"/>
      <c r="F91" s="2479"/>
      <c r="G91" s="2479"/>
      <c r="H91" s="2480"/>
    </row>
    <row r="92" spans="1:10" x14ac:dyDescent="0.25">
      <c r="C92"/>
      <c r="D92"/>
      <c r="E92"/>
      <c r="F92" s="2479"/>
      <c r="G92" s="2479"/>
      <c r="H92" s="2480"/>
    </row>
    <row r="93" spans="1:10" x14ac:dyDescent="0.25">
      <c r="C93"/>
      <c r="D93"/>
      <c r="E93"/>
      <c r="F93" s="2479"/>
      <c r="G93" s="2479"/>
      <c r="H93" s="2480"/>
    </row>
    <row r="94" spans="1:10" x14ac:dyDescent="0.25">
      <c r="C94"/>
      <c r="D94"/>
      <c r="E94"/>
      <c r="F94" s="2479"/>
      <c r="G94" s="2479"/>
      <c r="H94" s="2480"/>
    </row>
    <row r="95" spans="1:10" x14ac:dyDescent="0.25">
      <c r="F95" s="2479"/>
      <c r="G95" s="2479"/>
      <c r="H95" s="2480"/>
    </row>
    <row r="96" spans="1:10" x14ac:dyDescent="0.25">
      <c r="F96" s="2479"/>
      <c r="G96" s="2479"/>
      <c r="H96" s="2480"/>
    </row>
    <row r="97" spans="1:10" x14ac:dyDescent="0.25">
      <c r="F97" s="2479"/>
      <c r="G97" s="2479"/>
      <c r="H97" s="2480"/>
    </row>
    <row r="98" spans="1:10" x14ac:dyDescent="0.25">
      <c r="F98" s="2479"/>
      <c r="G98" s="2479"/>
      <c r="H98" s="2480"/>
    </row>
    <row r="99" spans="1:10" x14ac:dyDescent="0.25">
      <c r="F99" s="248"/>
      <c r="G99" s="248"/>
      <c r="H99" s="2114"/>
    </row>
    <row r="100" spans="1:10" x14ac:dyDescent="0.25">
      <c r="A100" s="2467"/>
      <c r="B100" s="2467"/>
      <c r="C100" s="2467"/>
      <c r="D100" s="2467"/>
      <c r="E100" s="2467"/>
      <c r="F100" s="2467"/>
      <c r="G100" s="2467"/>
      <c r="H100" s="2467"/>
      <c r="I100" s="2467"/>
      <c r="J100" s="2467"/>
    </row>
  </sheetData>
  <sheetProtection algorithmName="SHA-512" hashValue="8P6ZIzs86UG5eCobOMfs45FQgTarOOU6JvyZ0bcHYDu17sn7YseeTdW5rK1Yo6h1ALgv+AP0mNUyvOmVZlXTAw==" saltValue="gxGlCvPf0AG7oIBazxNCQQ==" spinCount="100000" sheet="1" scenarios="1" formatCells="0" formatColumns="0" formatRows="0" autoFilter="0"/>
  <dataValidations count="2">
    <dataValidation type="list" allowBlank="1" showInputMessage="1" showErrorMessage="1" sqref="B7 B22:B23 B35:B36 B48:B49 B61:B62 B74:B75" xr:uid="{D38A963F-E5E9-437B-8F60-376610405094}">
      <formula1>"Y,N"</formula1>
    </dataValidation>
    <dataValidation type="list" allowBlank="1" showInputMessage="1" showErrorMessage="1" sqref="D35:D36 D7 D48:D49 D22:D23 D61:D62 D74:D75" xr:uid="{50EC8AD4-936B-41DC-99F0-4E0628806E1D}">
      <formula1>"Estimate Approved, Conditional approval, Delegated, NA, _"</formula1>
    </dataValidation>
  </dataValidations>
  <pageMargins left="0.7" right="0.2" top="0.5" bottom="0.5" header="0.3" footer="0.3"/>
  <pageSetup scale="72" fitToHeight="0" orientation="landscape" horizontalDpi="429496729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73849-EE81-418B-89D4-850D646648BC}">
  <sheetPr codeName="Sheet11">
    <tabColor rgb="FF0070C0"/>
  </sheetPr>
  <dimension ref="A1:N163"/>
  <sheetViews>
    <sheetView showZeros="0" workbookViewId="0">
      <pane ySplit="5" topLeftCell="A123" activePane="bottomLeft" state="frozen"/>
      <selection pane="bottomLeft" activeCell="A6" sqref="A6"/>
    </sheetView>
  </sheetViews>
  <sheetFormatPr defaultColWidth="8.5703125" defaultRowHeight="12.6" customHeight="1" x14ac:dyDescent="0.25"/>
  <cols>
    <col min="2" max="2" width="25.5703125" customWidth="1"/>
    <col min="3" max="3" width="29.5703125" customWidth="1"/>
    <col min="5" max="5" width="8.42578125" customWidth="1"/>
    <col min="6" max="6" width="11.42578125" customWidth="1"/>
    <col min="7" max="8" width="12.5703125" customWidth="1"/>
    <col min="9" max="9" width="11.42578125" customWidth="1"/>
    <col min="10" max="10" width="2" customWidth="1"/>
    <col min="11" max="11" width="13.42578125" customWidth="1"/>
    <col min="12" max="12" width="1.5703125" customWidth="1"/>
    <col min="13" max="13" width="11" customWidth="1"/>
  </cols>
  <sheetData>
    <row r="1" spans="1:14" ht="18" x14ac:dyDescent="0.25">
      <c r="A1" s="170"/>
      <c r="B1" s="1387" t="s">
        <v>1254</v>
      </c>
      <c r="C1" s="170"/>
      <c r="D1" s="170"/>
      <c r="E1" s="170"/>
      <c r="F1" s="586"/>
      <c r="G1" s="586"/>
      <c r="H1" s="586"/>
      <c r="I1" s="586"/>
      <c r="J1" s="586"/>
      <c r="K1" s="586"/>
      <c r="L1" s="586"/>
      <c r="M1" s="170"/>
      <c r="N1" s="170"/>
    </row>
    <row r="2" spans="1:14" ht="12.6" customHeight="1" x14ac:dyDescent="0.25">
      <c r="A2" s="170"/>
      <c r="B2" s="170"/>
      <c r="C2" s="170"/>
      <c r="D2" s="170"/>
      <c r="E2" s="170"/>
      <c r="F2" s="586"/>
      <c r="G2" s="586"/>
      <c r="H2" s="586"/>
      <c r="I2" s="586"/>
      <c r="J2" s="586"/>
      <c r="K2" s="586"/>
      <c r="L2" s="586"/>
      <c r="M2" s="170"/>
      <c r="N2" s="170"/>
    </row>
    <row r="3" spans="1:14" ht="12.6" customHeight="1" x14ac:dyDescent="0.25">
      <c r="A3" s="170"/>
      <c r="B3" s="168" t="s">
        <v>387</v>
      </c>
      <c r="C3" s="170"/>
      <c r="D3" s="170"/>
      <c r="E3" s="170"/>
      <c r="F3" s="586"/>
      <c r="G3" s="586"/>
      <c r="H3" s="586"/>
      <c r="I3" s="586"/>
      <c r="J3" s="586"/>
      <c r="K3" s="586"/>
      <c r="L3" s="586"/>
      <c r="M3" s="170"/>
      <c r="N3" s="170"/>
    </row>
    <row r="4" spans="1:14" ht="12.6" customHeight="1" x14ac:dyDescent="0.25">
      <c r="A4" s="170"/>
      <c r="B4" s="170"/>
      <c r="C4" s="170"/>
      <c r="D4" s="170"/>
      <c r="E4" s="170"/>
      <c r="F4" s="586"/>
      <c r="G4" s="586"/>
      <c r="H4" s="586"/>
      <c r="I4" s="586"/>
      <c r="J4" s="586"/>
      <c r="K4" s="586"/>
      <c r="L4" s="586"/>
      <c r="M4" s="170"/>
      <c r="N4" s="170"/>
    </row>
    <row r="5" spans="1:14" ht="25.5" x14ac:dyDescent="0.25">
      <c r="A5" s="170"/>
      <c r="B5" s="168" t="s">
        <v>1248</v>
      </c>
      <c r="C5" s="168" t="s">
        <v>1249</v>
      </c>
      <c r="D5" s="168"/>
      <c r="E5" s="377" t="s">
        <v>388</v>
      </c>
      <c r="F5" s="2477" t="s">
        <v>1253</v>
      </c>
      <c r="G5" s="2477" t="s">
        <v>1885</v>
      </c>
      <c r="H5" s="2477" t="s">
        <v>1886</v>
      </c>
      <c r="I5" s="2478" t="s">
        <v>39</v>
      </c>
      <c r="J5" s="2478"/>
      <c r="K5" s="2478" t="s">
        <v>389</v>
      </c>
      <c r="L5" s="2478"/>
      <c r="M5" s="2478" t="s">
        <v>390</v>
      </c>
      <c r="N5" s="170"/>
    </row>
    <row r="6" spans="1:14" ht="12.6" customHeight="1" x14ac:dyDescent="0.25">
      <c r="A6" s="170"/>
      <c r="B6" s="376">
        <f>+Parameters!D4</f>
        <v>1</v>
      </c>
      <c r="C6" s="170" t="str">
        <f>+Parameters!E4</f>
        <v>General mob / demob</v>
      </c>
      <c r="D6" s="2688" t="str">
        <f>+Parameters!F4</f>
        <v>ls</v>
      </c>
      <c r="E6" s="844">
        <f>+'Additional  Est Input'!H157+'OH Constr'!H265+'115 kV &amp; 345 kV HPFF'!H83+'115 kV Und XLPE'!H86+'345 kV Und XLPE'!H86+'Substation Const'!H625+Removals!H157+Substation_D!H138</f>
        <v>4</v>
      </c>
      <c r="F6" s="586">
        <f>+'Additional  Est Input'!AI157+'Additional  Est Input'!AL157+'OH Constr'!AI265+'OH Constr'!AL265+'115 kV &amp; 345 kV HPFF'!AI83+'115 kV &amp; 345 kV HPFF'!AL83+'115 kV Und XLPE'!AI86+'115 kV Und XLPE'!AL86+'345 kV Und XLPE'!AI86+'345 kV Und XLPE'!AL86+'Substation Const'!AI625+'Substation Const'!AL625+Removals!AI157+Removals!AL157+Substation_D!AI138+Substation_D!AL138</f>
        <v>157257.15000000002</v>
      </c>
      <c r="G6" s="844">
        <f>+'Additional  Est Input'!AM157+'OH Constr'!AM265+'115 kV &amp; 345 kV HPFF'!AM83+'115 kV Und XLPE'!AM86+'345 kV Und XLPE'!AM86+'Substation Const'!AM625+Removals!AM157+Substation_D!AM138</f>
        <v>0</v>
      </c>
      <c r="H6" s="844">
        <f>+'Additional  Est Input'!AN157+'OH Constr'!AN265+'115 kV &amp; 345 kV HPFF'!AN83+'115 kV Und XLPE'!AN86+'345 kV Und XLPE'!AN86+'Substation Const'!AN625+Removals!AN157+Substation_D!AN138</f>
        <v>0</v>
      </c>
      <c r="I6" s="586">
        <f>+'Additional  Est Input'!AR157+'OH Constr'!AR265+'115 kV &amp; 345 kV HPFF'!AR83+'115 kV Und XLPE'!AR86+'345 kV Und XLPE'!AR86+'Substation Const'!AR625+Removals!AR157+Substation_D!AR138</f>
        <v>0</v>
      </c>
      <c r="J6" s="586"/>
      <c r="K6" s="586">
        <f t="shared" ref="K6" si="0">SUM(F6:J6)</f>
        <v>157257.15000000002</v>
      </c>
      <c r="L6" s="586"/>
      <c r="M6" s="586">
        <f>IF(E6=0,0,+K6/E6)</f>
        <v>39314.287500000006</v>
      </c>
      <c r="N6" s="170"/>
    </row>
    <row r="7" spans="1:14" ht="12.6" customHeight="1" x14ac:dyDescent="0.25">
      <c r="A7" s="170"/>
      <c r="B7" s="376">
        <f>+Parameters!D5</f>
        <v>2</v>
      </c>
      <c r="C7" s="170" t="str">
        <f>+Parameters!E5</f>
        <v>General site work - general inc roads/paving</v>
      </c>
      <c r="D7" s="2688">
        <f>+Parameters!F5</f>
        <v>0</v>
      </c>
      <c r="E7" s="844">
        <f>+'Additional  Est Input'!H158+'OH Constr'!H266+'115 kV &amp; 345 kV HPFF'!H84+'115 kV Und XLPE'!H87+'345 kV Und XLPE'!H87+'Substation Const'!H626+Removals!H158+Substation_D!H139</f>
        <v>0</v>
      </c>
      <c r="F7" s="586">
        <f>+'Additional  Est Input'!AI158+'Additional  Est Input'!AL158+'OH Constr'!AI266+'OH Constr'!AL266+'115 kV &amp; 345 kV HPFF'!AI84+'115 kV &amp; 345 kV HPFF'!AL84+'115 kV Und XLPE'!AI87+'115 kV Und XLPE'!AL87+'345 kV Und XLPE'!AI87+'345 kV Und XLPE'!AL87+'Substation Const'!AI626+'Substation Const'!AL626+Removals!AI158+Removals!AL158+Substation_D!AI139+Substation_D!AL139</f>
        <v>0</v>
      </c>
      <c r="G7" s="844">
        <f>+'Additional  Est Input'!AM158+'OH Constr'!AM266+'115 kV &amp; 345 kV HPFF'!AM84+'115 kV Und XLPE'!AM87+'345 kV Und XLPE'!AM87+'Substation Const'!AM626+Removals!AM158+Substation_D!AM139</f>
        <v>0</v>
      </c>
      <c r="H7" s="844">
        <f>+'Additional  Est Input'!AN158+'OH Constr'!AN266+'115 kV &amp; 345 kV HPFF'!AN84+'115 kV Und XLPE'!AN87+'345 kV Und XLPE'!AN87+'Substation Const'!AN626+Removals!AN158+Substation_D!AN139</f>
        <v>0</v>
      </c>
      <c r="I7" s="586">
        <f>+'Additional  Est Input'!AR158+'OH Constr'!AR266+'115 kV &amp; 345 kV HPFF'!AR84+'115 kV Und XLPE'!AR87+'345 kV Und XLPE'!AR87+'Substation Const'!AR626+Removals!AR158+Substation_D!AR139</f>
        <v>0</v>
      </c>
      <c r="J7" s="586"/>
      <c r="K7" s="586">
        <f t="shared" ref="K7:K70" si="1">SUM(F7:J7)</f>
        <v>0</v>
      </c>
      <c r="L7" s="586"/>
      <c r="M7" s="586">
        <f t="shared" ref="M7:M70" si="2">IF(E7=0,0,+K7/E7)</f>
        <v>0</v>
      </c>
      <c r="N7" s="170"/>
    </row>
    <row r="8" spans="1:14" ht="12.6" customHeight="1" x14ac:dyDescent="0.25">
      <c r="A8" s="170"/>
      <c r="B8" s="376">
        <f>+Parameters!D6</f>
        <v>3</v>
      </c>
      <c r="C8" s="170" t="str">
        <f>+Parameters!E6</f>
        <v>foundations - Poles - direct embed</v>
      </c>
      <c r="D8" s="2688" t="str">
        <f>+Parameters!F6</f>
        <v>ea</v>
      </c>
      <c r="E8" s="844">
        <f>+'Additional  Est Input'!H159+'OH Constr'!H267+'115 kV &amp; 345 kV HPFF'!H85+'115 kV Und XLPE'!H88+'345 kV Und XLPE'!H88+'Substation Const'!H627+Removals!H159+Substation_D!H140</f>
        <v>0</v>
      </c>
      <c r="F8" s="586">
        <f>+'Additional  Est Input'!AI159+'Additional  Est Input'!AL159+'OH Constr'!AI267+'OH Constr'!AL267+'115 kV &amp; 345 kV HPFF'!AI85+'115 kV &amp; 345 kV HPFF'!AL85+'115 kV Und XLPE'!AI88+'115 kV Und XLPE'!AL88+'345 kV Und XLPE'!AI88+'345 kV Und XLPE'!AL88+'Substation Const'!AI627+'Substation Const'!AL627+Removals!AI159+Removals!AL159+Substation_D!AI140+Substation_D!AL140</f>
        <v>0</v>
      </c>
      <c r="G8" s="844">
        <f>+'Additional  Est Input'!AM159+'OH Constr'!AM267+'115 kV &amp; 345 kV HPFF'!AM85+'115 kV Und XLPE'!AM88+'345 kV Und XLPE'!AM88+'Substation Const'!AM627+Removals!AM159+Substation_D!AM140</f>
        <v>0</v>
      </c>
      <c r="H8" s="844">
        <f>+'Additional  Est Input'!AN159+'OH Constr'!AN267+'115 kV &amp; 345 kV HPFF'!AN85+'115 kV Und XLPE'!AN88+'345 kV Und XLPE'!AN88+'Substation Const'!AN627+Removals!AN159+Substation_D!AN140</f>
        <v>0</v>
      </c>
      <c r="I8" s="586">
        <f>+'Additional  Est Input'!AR159+'OH Constr'!AR267+'115 kV &amp; 345 kV HPFF'!AR85+'115 kV Und XLPE'!AR88+'345 kV Und XLPE'!AR88+'Substation Const'!AR627+Removals!AR159+Substation_D!AR140</f>
        <v>0</v>
      </c>
      <c r="J8" s="586"/>
      <c r="K8" s="586">
        <f t="shared" si="1"/>
        <v>0</v>
      </c>
      <c r="L8" s="586"/>
      <c r="M8" s="586">
        <f t="shared" si="2"/>
        <v>0</v>
      </c>
      <c r="N8" s="170"/>
    </row>
    <row r="9" spans="1:14" ht="12.6" customHeight="1" x14ac:dyDescent="0.25">
      <c r="A9" s="170"/>
      <c r="B9" s="376">
        <f>+Parameters!D7</f>
        <v>4</v>
      </c>
      <c r="C9" s="170" t="str">
        <f>+Parameters!E7</f>
        <v>foundations - Poles - formed conc.</v>
      </c>
      <c r="D9" s="2688">
        <f>+Parameters!F7</f>
        <v>0</v>
      </c>
      <c r="E9" s="844">
        <f>+'Additional  Est Input'!H160+'OH Constr'!H268+'115 kV &amp; 345 kV HPFF'!H86+'115 kV Und XLPE'!H89+'345 kV Und XLPE'!H89+'Substation Const'!H628+Removals!H160+Substation_D!H141</f>
        <v>0</v>
      </c>
      <c r="F9" s="586">
        <f>+'Additional  Est Input'!AI160+'Additional  Est Input'!AL160+'OH Constr'!AI268+'OH Constr'!AL268+'115 kV &amp; 345 kV HPFF'!AI86+'115 kV &amp; 345 kV HPFF'!AL86+'115 kV Und XLPE'!AI89+'115 kV Und XLPE'!AL89+'345 kV Und XLPE'!AI89+'345 kV Und XLPE'!AL89+'Substation Const'!AI628+'Substation Const'!AL628+Removals!AI160+Removals!AL160+Substation_D!AI141+Substation_D!AL141</f>
        <v>0</v>
      </c>
      <c r="G9" s="844">
        <f>+'Additional  Est Input'!AM160+'OH Constr'!AM268+'115 kV &amp; 345 kV HPFF'!AM86+'115 kV Und XLPE'!AM89+'345 kV Und XLPE'!AM89+'Substation Const'!AM628+Removals!AM160+Substation_D!AM141</f>
        <v>0</v>
      </c>
      <c r="H9" s="844">
        <f>+'Additional  Est Input'!AN160+'OH Constr'!AN268+'115 kV &amp; 345 kV HPFF'!AN86+'115 kV Und XLPE'!AN89+'345 kV Und XLPE'!AN89+'Substation Const'!AN628+Removals!AN160+Substation_D!AN141</f>
        <v>0</v>
      </c>
      <c r="I9" s="586">
        <f>+'Additional  Est Input'!AR160+'OH Constr'!AR268+'115 kV &amp; 345 kV HPFF'!AR86+'115 kV Und XLPE'!AR89+'345 kV Und XLPE'!AR89+'Substation Const'!AR628+Removals!AR160+Substation_D!AR141</f>
        <v>0</v>
      </c>
      <c r="J9" s="586"/>
      <c r="K9" s="586">
        <f t="shared" si="1"/>
        <v>0</v>
      </c>
      <c r="L9" s="586"/>
      <c r="M9" s="586">
        <f t="shared" si="2"/>
        <v>0</v>
      </c>
      <c r="N9" s="170"/>
    </row>
    <row r="10" spans="1:14" ht="12.6" customHeight="1" x14ac:dyDescent="0.25">
      <c r="A10" s="170"/>
      <c r="B10" s="376">
        <f>+Parameters!D8</f>
        <v>5</v>
      </c>
      <c r="C10" s="170" t="str">
        <f>+Parameters!E8</f>
        <v>foundations - station</v>
      </c>
      <c r="D10" s="2688" t="str">
        <f>+Parameters!F8</f>
        <v>cy</v>
      </c>
      <c r="E10" s="844">
        <f>+'Additional  Est Input'!H161+'OH Constr'!H269+'115 kV &amp; 345 kV HPFF'!H87+'115 kV Und XLPE'!H90+'345 kV Und XLPE'!H90+'Substation Const'!H629+Removals!H161+Substation_D!H142</f>
        <v>0</v>
      </c>
      <c r="F10" s="586">
        <f>+'Additional  Est Input'!AI161+'Additional  Est Input'!AL161+'OH Constr'!AI269+'OH Constr'!AL269+'115 kV &amp; 345 kV HPFF'!AI87+'115 kV &amp; 345 kV HPFF'!AL87+'115 kV Und XLPE'!AI90+'115 kV Und XLPE'!AL90+'345 kV Und XLPE'!AI90+'345 kV Und XLPE'!AL90+'Substation Const'!AI629+'Substation Const'!AL629+Removals!AI161+Removals!AL161+Substation_D!AI142+Substation_D!AL142</f>
        <v>0</v>
      </c>
      <c r="G10" s="844">
        <f>+'Additional  Est Input'!AM161+'OH Constr'!AM269+'115 kV &amp; 345 kV HPFF'!AM87+'115 kV Und XLPE'!AM90+'345 kV Und XLPE'!AM90+'Substation Const'!AM629+Removals!AM161+Substation_D!AM142</f>
        <v>0</v>
      </c>
      <c r="H10" s="844">
        <f>+'Additional  Est Input'!AN161+'OH Constr'!AN269+'115 kV &amp; 345 kV HPFF'!AN87+'115 kV Und XLPE'!AN90+'345 kV Und XLPE'!AN90+'Substation Const'!AN629+Removals!AN161+Substation_D!AN142</f>
        <v>0</v>
      </c>
      <c r="I10" s="586">
        <f>+'Additional  Est Input'!AR161+'OH Constr'!AR269+'115 kV &amp; 345 kV HPFF'!AR87+'115 kV Und XLPE'!AR90+'345 kV Und XLPE'!AR90+'Substation Const'!AR629+Removals!AR161+Substation_D!AR142</f>
        <v>0</v>
      </c>
      <c r="J10" s="586"/>
      <c r="K10" s="586">
        <f t="shared" si="1"/>
        <v>0</v>
      </c>
      <c r="L10" s="586"/>
      <c r="M10" s="586">
        <f t="shared" si="2"/>
        <v>0</v>
      </c>
      <c r="N10" s="170"/>
    </row>
    <row r="11" spans="1:14" ht="12.6" customHeight="1" x14ac:dyDescent="0.25">
      <c r="A11" s="170"/>
      <c r="B11" s="376">
        <f>+Parameters!D9</f>
        <v>6</v>
      </c>
      <c r="C11" s="170" t="str">
        <f>+Parameters!E9</f>
        <v>foundations - buildings</v>
      </c>
      <c r="D11" s="2688" t="str">
        <f>+Parameters!F9</f>
        <v>cy</v>
      </c>
      <c r="E11" s="844">
        <f>+'Additional  Est Input'!H162+'OH Constr'!H270+'115 kV &amp; 345 kV HPFF'!H88+'115 kV Und XLPE'!H91+'345 kV Und XLPE'!H91+'Substation Const'!H630+Removals!H162+Substation_D!H143</f>
        <v>0</v>
      </c>
      <c r="F11" s="586">
        <f>+'Additional  Est Input'!AI162+'Additional  Est Input'!AL162+'OH Constr'!AI270+'OH Constr'!AL270+'115 kV &amp; 345 kV HPFF'!AI88+'115 kV &amp; 345 kV HPFF'!AL88+'115 kV Und XLPE'!AI91+'115 kV Und XLPE'!AL91+'345 kV Und XLPE'!AI91+'345 kV Und XLPE'!AL91+'Substation Const'!AI630+'Substation Const'!AL630+Removals!AI162+Removals!AL162+Substation_D!AI143+Substation_D!AL143</f>
        <v>0</v>
      </c>
      <c r="G11" s="844">
        <f>+'Additional  Est Input'!AM162+'OH Constr'!AM270+'115 kV &amp; 345 kV HPFF'!AM88+'115 kV Und XLPE'!AM91+'345 kV Und XLPE'!AM91+'Substation Const'!AM630+Removals!AM162+Substation_D!AM143</f>
        <v>0</v>
      </c>
      <c r="H11" s="844">
        <f>+'Additional  Est Input'!AN162+'OH Constr'!AN270+'115 kV &amp; 345 kV HPFF'!AN88+'115 kV Und XLPE'!AN91+'345 kV Und XLPE'!AN91+'Substation Const'!AN630+Removals!AN162+Substation_D!AN143</f>
        <v>0</v>
      </c>
      <c r="I11" s="586">
        <f>+'Additional  Est Input'!AR162+'OH Constr'!AR270+'115 kV &amp; 345 kV HPFF'!AR88+'115 kV Und XLPE'!AR91+'345 kV Und XLPE'!AR91+'Substation Const'!AR630+Removals!AR162+Substation_D!AR143</f>
        <v>0</v>
      </c>
      <c r="J11" s="586"/>
      <c r="K11" s="586">
        <f t="shared" si="1"/>
        <v>0</v>
      </c>
      <c r="L11" s="586"/>
      <c r="M11" s="586">
        <f t="shared" si="2"/>
        <v>0</v>
      </c>
      <c r="N11" s="170"/>
    </row>
    <row r="12" spans="1:14" ht="12.6" customHeight="1" x14ac:dyDescent="0.25">
      <c r="A12" s="170"/>
      <c r="B12" s="376">
        <f>+Parameters!D10</f>
        <v>7</v>
      </c>
      <c r="C12" s="170" t="str">
        <f>+Parameters!E10</f>
        <v>Piling / Caissons</v>
      </c>
      <c r="D12" s="2688">
        <f>+Parameters!F10</f>
        <v>0</v>
      </c>
      <c r="E12" s="844">
        <f>+'Additional  Est Input'!H163+'OH Constr'!H271+'115 kV &amp; 345 kV HPFF'!H89+'115 kV Und XLPE'!H92+'345 kV Und XLPE'!H92+'Substation Const'!H631+Removals!H163+Substation_D!H144</f>
        <v>0</v>
      </c>
      <c r="F12" s="586">
        <f>+'Additional  Est Input'!AI163+'Additional  Est Input'!AL163+'OH Constr'!AI271+'OH Constr'!AL271+'115 kV &amp; 345 kV HPFF'!AI89+'115 kV &amp; 345 kV HPFF'!AL89+'115 kV Und XLPE'!AI92+'115 kV Und XLPE'!AL92+'345 kV Und XLPE'!AI92+'345 kV Und XLPE'!AL92+'Substation Const'!AI631+'Substation Const'!AL631+Removals!AI163+Removals!AL163+Substation_D!AI144+Substation_D!AL144</f>
        <v>0</v>
      </c>
      <c r="G12" s="844">
        <f>+'Additional  Est Input'!AM163+'OH Constr'!AM271+'115 kV &amp; 345 kV HPFF'!AM89+'115 kV Und XLPE'!AM92+'345 kV Und XLPE'!AM92+'Substation Const'!AM631+Removals!AM163+Substation_D!AM144</f>
        <v>0</v>
      </c>
      <c r="H12" s="844">
        <f>+'Additional  Est Input'!AN163+'OH Constr'!AN271+'115 kV &amp; 345 kV HPFF'!AN89+'115 kV Und XLPE'!AN92+'345 kV Und XLPE'!AN92+'Substation Const'!AN631+Removals!AN163+Substation_D!AN144</f>
        <v>0</v>
      </c>
      <c r="I12" s="586">
        <f>+'Additional  Est Input'!AR163+'OH Constr'!AR271+'115 kV &amp; 345 kV HPFF'!AR89+'115 kV Und XLPE'!AR92+'345 kV Und XLPE'!AR92+'Substation Const'!AR631+Removals!AR163+Substation_D!AR144</f>
        <v>0</v>
      </c>
      <c r="J12" s="586"/>
      <c r="K12" s="586">
        <f t="shared" si="1"/>
        <v>0</v>
      </c>
      <c r="L12" s="586"/>
      <c r="M12" s="586">
        <f t="shared" si="2"/>
        <v>0</v>
      </c>
      <c r="N12" s="170"/>
    </row>
    <row r="13" spans="1:14" ht="12.6" customHeight="1" x14ac:dyDescent="0.25">
      <c r="A13" s="170"/>
      <c r="B13" s="376">
        <f>+Parameters!D11</f>
        <v>8</v>
      </c>
      <c r="C13" s="170" t="str">
        <f>+Parameters!E11</f>
        <v>ROW work ( clearing/ Grubbing/ access roads)</v>
      </c>
      <c r="D13" s="2688">
        <f>+Parameters!F11</f>
        <v>0</v>
      </c>
      <c r="E13" s="844">
        <f>+'Additional  Est Input'!H164+'OH Constr'!H272+'115 kV &amp; 345 kV HPFF'!H90+'115 kV Und XLPE'!H93+'345 kV Und XLPE'!H93+'Substation Const'!H632+Removals!H164+Substation_D!H145</f>
        <v>0</v>
      </c>
      <c r="F13" s="586">
        <f>+'Additional  Est Input'!AI164+'Additional  Est Input'!AL164+'OH Constr'!AI272+'OH Constr'!AL272+'115 kV &amp; 345 kV HPFF'!AI90+'115 kV &amp; 345 kV HPFF'!AL90+'115 kV Und XLPE'!AI93+'115 kV Und XLPE'!AL93+'345 kV Und XLPE'!AI93+'345 kV Und XLPE'!AL93+'Substation Const'!AI632+'Substation Const'!AL632+Removals!AI164+Removals!AL164+Substation_D!AI145+Substation_D!AL145</f>
        <v>0</v>
      </c>
      <c r="G13" s="844">
        <f>+'Additional  Est Input'!AM164+'OH Constr'!AM272+'115 kV &amp; 345 kV HPFF'!AM90+'115 kV Und XLPE'!AM93+'345 kV Und XLPE'!AM93+'Substation Const'!AM632+Removals!AM164+Substation_D!AM145</f>
        <v>0</v>
      </c>
      <c r="H13" s="844">
        <f>+'Additional  Est Input'!AN164+'OH Constr'!AN272+'115 kV &amp; 345 kV HPFF'!AN90+'115 kV Und XLPE'!AN93+'345 kV Und XLPE'!AN93+'Substation Const'!AN632+Removals!AN164+Substation_D!AN145</f>
        <v>0</v>
      </c>
      <c r="I13" s="586">
        <f>+'Additional  Est Input'!AR164+'OH Constr'!AR272+'115 kV &amp; 345 kV HPFF'!AR90+'115 kV Und XLPE'!AR93+'345 kV Und XLPE'!AR93+'Substation Const'!AR632+Removals!AR164+Substation_D!AR145</f>
        <v>0</v>
      </c>
      <c r="J13" s="586"/>
      <c r="K13" s="586">
        <f t="shared" si="1"/>
        <v>0</v>
      </c>
      <c r="L13" s="586"/>
      <c r="M13" s="586">
        <f t="shared" si="2"/>
        <v>0</v>
      </c>
      <c r="N13" s="170"/>
    </row>
    <row r="14" spans="1:14" ht="12.6" customHeight="1" x14ac:dyDescent="0.25">
      <c r="A14" s="170"/>
      <c r="B14" s="376">
        <f>+Parameters!D12</f>
        <v>9</v>
      </c>
      <c r="C14" s="170" t="str">
        <f>+Parameters!E12</f>
        <v>Mats</v>
      </c>
      <c r="D14" s="2688">
        <f>+Parameters!F12</f>
        <v>0</v>
      </c>
      <c r="E14" s="844">
        <f>+'Additional  Est Input'!H165+'OH Constr'!H273+'115 kV &amp; 345 kV HPFF'!H91+'115 kV Und XLPE'!H94+'345 kV Und XLPE'!H94+'Substation Const'!H633+Removals!H165+Substation_D!H146</f>
        <v>0</v>
      </c>
      <c r="F14" s="586">
        <f>+'Additional  Est Input'!AI165+'Additional  Est Input'!AL165+'OH Constr'!AI273+'OH Constr'!AL273+'115 kV &amp; 345 kV HPFF'!AI91+'115 kV &amp; 345 kV HPFF'!AL91+'115 kV Und XLPE'!AI94+'115 kV Und XLPE'!AL94+'345 kV Und XLPE'!AI94+'345 kV Und XLPE'!AL94+'Substation Const'!AI633+'Substation Const'!AL633+Removals!AI165+Removals!AL165+Substation_D!AI146+Substation_D!AL146</f>
        <v>0</v>
      </c>
      <c r="G14" s="844">
        <f>+'Additional  Est Input'!AM165+'OH Constr'!AM273+'115 kV &amp; 345 kV HPFF'!AM91+'115 kV Und XLPE'!AM94+'345 kV Und XLPE'!AM94+'Substation Const'!AM633+Removals!AM165+Substation_D!AM146</f>
        <v>0</v>
      </c>
      <c r="H14" s="844">
        <f>+'Additional  Est Input'!AN165+'OH Constr'!AN273+'115 kV &amp; 345 kV HPFF'!AN91+'115 kV Und XLPE'!AN94+'345 kV Und XLPE'!AN94+'Substation Const'!AN633+Removals!AN165+Substation_D!AN146</f>
        <v>0</v>
      </c>
      <c r="I14" s="586">
        <f>+'Additional  Est Input'!AR165+'OH Constr'!AR273+'115 kV &amp; 345 kV HPFF'!AR91+'115 kV Und XLPE'!AR94+'345 kV Und XLPE'!AR94+'Substation Const'!AR633+Removals!AR165+Substation_D!AR146</f>
        <v>0</v>
      </c>
      <c r="J14" s="586"/>
      <c r="K14" s="586">
        <f t="shared" si="1"/>
        <v>0</v>
      </c>
      <c r="L14" s="586"/>
      <c r="M14" s="586">
        <f t="shared" si="2"/>
        <v>0</v>
      </c>
      <c r="N14" s="170"/>
    </row>
    <row r="15" spans="1:14" ht="12.6" customHeight="1" x14ac:dyDescent="0.25">
      <c r="A15" s="170"/>
      <c r="B15" s="376">
        <f>+Parameters!D13</f>
        <v>10</v>
      </c>
      <c r="C15" s="170" t="str">
        <f>+Parameters!E13</f>
        <v>Crane pads</v>
      </c>
      <c r="D15" s="2688">
        <f>+Parameters!F13</f>
        <v>0</v>
      </c>
      <c r="E15" s="844">
        <f>+'Additional  Est Input'!H166+'OH Constr'!H274+'115 kV &amp; 345 kV HPFF'!H92+'115 kV Und XLPE'!H95+'345 kV Und XLPE'!H95+'Substation Const'!H634+Removals!H166+Substation_D!H147</f>
        <v>0</v>
      </c>
      <c r="F15" s="586">
        <f>+'Additional  Est Input'!AI166+'Additional  Est Input'!AL166+'OH Constr'!AI274+'OH Constr'!AL274+'115 kV &amp; 345 kV HPFF'!AI92+'115 kV &amp; 345 kV HPFF'!AL92+'115 kV Und XLPE'!AI95+'115 kV Und XLPE'!AL95+'345 kV Und XLPE'!AI95+'345 kV Und XLPE'!AL95+'Substation Const'!AI634+'Substation Const'!AL634+Removals!AI166+Removals!AL166+Substation_D!AI147+Substation_D!AL147</f>
        <v>0</v>
      </c>
      <c r="G15" s="844">
        <f>+'Additional  Est Input'!AM166+'OH Constr'!AM274+'115 kV &amp; 345 kV HPFF'!AM92+'115 kV Und XLPE'!AM95+'345 kV Und XLPE'!AM95+'Substation Const'!AM634+Removals!AM166+Substation_D!AM147</f>
        <v>0</v>
      </c>
      <c r="H15" s="844">
        <f>+'Additional  Est Input'!AN166+'OH Constr'!AN274+'115 kV &amp; 345 kV HPFF'!AN92+'115 kV Und XLPE'!AN95+'345 kV Und XLPE'!AN95+'Substation Const'!AN634+Removals!AN166+Substation_D!AN147</f>
        <v>0</v>
      </c>
      <c r="I15" s="586">
        <f>+'Additional  Est Input'!AR166+'OH Constr'!AR274+'115 kV &amp; 345 kV HPFF'!AR92+'115 kV Und XLPE'!AR95+'345 kV Und XLPE'!AR95+'Substation Const'!AR634+Removals!AR166+Substation_D!AR147</f>
        <v>0</v>
      </c>
      <c r="J15" s="586"/>
      <c r="K15" s="586">
        <f t="shared" si="1"/>
        <v>0</v>
      </c>
      <c r="L15" s="586"/>
      <c r="M15" s="586">
        <f t="shared" si="2"/>
        <v>0</v>
      </c>
      <c r="N15" s="170"/>
    </row>
    <row r="16" spans="1:14" ht="12.6" customHeight="1" x14ac:dyDescent="0.25">
      <c r="A16" s="170"/>
      <c r="B16" s="376">
        <f>+Parameters!D14</f>
        <v>11</v>
      </c>
      <c r="C16" s="170" t="str">
        <f>+Parameters!E14</f>
        <v>Excavation ( incl machine / hand / trench)</v>
      </c>
      <c r="D16" s="2688" t="str">
        <f>+Parameters!F14</f>
        <v>cy</v>
      </c>
      <c r="E16" s="844">
        <f>+'Additional  Est Input'!H167+'OH Constr'!H275+'115 kV &amp; 345 kV HPFF'!H93+'115 kV Und XLPE'!H96+'345 kV Und XLPE'!H96+'Substation Const'!H635+Removals!H167+Substation_D!H148</f>
        <v>0</v>
      </c>
      <c r="F16" s="586">
        <f>+'Additional  Est Input'!AI167+'Additional  Est Input'!AL167+'OH Constr'!AI275+'OH Constr'!AL275+'115 kV &amp; 345 kV HPFF'!AI93+'115 kV &amp; 345 kV HPFF'!AL93+'115 kV Und XLPE'!AI96+'115 kV Und XLPE'!AL96+'345 kV Und XLPE'!AI96+'345 kV Und XLPE'!AL96+'Substation Const'!AI635+'Substation Const'!AL635+Removals!AI167+Removals!AL167+Substation_D!AI148+Substation_D!AL148</f>
        <v>0</v>
      </c>
      <c r="G16" s="844">
        <f>+'Additional  Est Input'!AM167+'OH Constr'!AM275+'115 kV &amp; 345 kV HPFF'!AM93+'115 kV Und XLPE'!AM96+'345 kV Und XLPE'!AM96+'Substation Const'!AM635+Removals!AM167+Substation_D!AM148</f>
        <v>0</v>
      </c>
      <c r="H16" s="844">
        <f>+'Additional  Est Input'!AN167+'OH Constr'!AN275+'115 kV &amp; 345 kV HPFF'!AN93+'115 kV Und XLPE'!AN96+'345 kV Und XLPE'!AN96+'Substation Const'!AN635+Removals!AN167+Substation_D!AN148</f>
        <v>0</v>
      </c>
      <c r="I16" s="586">
        <f>+'Additional  Est Input'!AR167+'OH Constr'!AR275+'115 kV &amp; 345 kV HPFF'!AR93+'115 kV Und XLPE'!AR96+'345 kV Und XLPE'!AR96+'Substation Const'!AR635+Removals!AR167+Substation_D!AR148</f>
        <v>0</v>
      </c>
      <c r="J16" s="586"/>
      <c r="K16" s="586">
        <f t="shared" si="1"/>
        <v>0</v>
      </c>
      <c r="L16" s="586"/>
      <c r="M16" s="586">
        <f t="shared" si="2"/>
        <v>0</v>
      </c>
      <c r="N16" s="170"/>
    </row>
    <row r="17" spans="1:14" ht="12.6" customHeight="1" x14ac:dyDescent="0.25">
      <c r="A17" s="170"/>
      <c r="B17" s="376">
        <f>+Parameters!D15</f>
        <v>12</v>
      </c>
      <c r="C17" s="170" t="str">
        <f>+Parameters!E15</f>
        <v>Rock Excavation</v>
      </c>
      <c r="D17" s="2688" t="str">
        <f>+Parameters!F15</f>
        <v>cy</v>
      </c>
      <c r="E17" s="844">
        <f>+'Additional  Est Input'!H168+'OH Constr'!H276+'115 kV &amp; 345 kV HPFF'!H94+'115 kV Und XLPE'!H97+'345 kV Und XLPE'!H97+'Substation Const'!H636+Removals!H168+Substation_D!H149</f>
        <v>0</v>
      </c>
      <c r="F17" s="586">
        <f>+'Additional  Est Input'!AI168+'Additional  Est Input'!AL168+'OH Constr'!AI276+'OH Constr'!AL276+'115 kV &amp; 345 kV HPFF'!AI94+'115 kV &amp; 345 kV HPFF'!AL94+'115 kV Und XLPE'!AI97+'115 kV Und XLPE'!AL97+'345 kV Und XLPE'!AI97+'345 kV Und XLPE'!AL97+'Substation Const'!AI636+'Substation Const'!AL636+Removals!AI168+Removals!AL168+Substation_D!AI149+Substation_D!AL149</f>
        <v>0</v>
      </c>
      <c r="G17" s="844">
        <f>+'Additional  Est Input'!AM168+'OH Constr'!AM276+'115 kV &amp; 345 kV HPFF'!AM94+'115 kV Und XLPE'!AM97+'345 kV Und XLPE'!AM97+'Substation Const'!AM636+Removals!AM168+Substation_D!AM149</f>
        <v>0</v>
      </c>
      <c r="H17" s="844">
        <f>+'Additional  Est Input'!AN168+'OH Constr'!AN276+'115 kV &amp; 345 kV HPFF'!AN94+'115 kV Und XLPE'!AN97+'345 kV Und XLPE'!AN97+'Substation Const'!AN636+Removals!AN168+Substation_D!AN149</f>
        <v>0</v>
      </c>
      <c r="I17" s="586">
        <f>+'Additional  Est Input'!AR168+'OH Constr'!AR276+'115 kV &amp; 345 kV HPFF'!AR94+'115 kV Und XLPE'!AR97+'345 kV Und XLPE'!AR97+'Substation Const'!AR636+Removals!AR168+Substation_D!AR149</f>
        <v>0</v>
      </c>
      <c r="J17" s="586"/>
      <c r="K17" s="586">
        <f t="shared" si="1"/>
        <v>0</v>
      </c>
      <c r="L17" s="586"/>
      <c r="M17" s="586">
        <f t="shared" si="2"/>
        <v>0</v>
      </c>
      <c r="N17" s="170"/>
    </row>
    <row r="18" spans="1:14" ht="12.6" customHeight="1" x14ac:dyDescent="0.25">
      <c r="A18" s="170"/>
      <c r="B18" s="376">
        <f>+Parameters!D16</f>
        <v>13</v>
      </c>
      <c r="C18" s="170" t="str">
        <f>+Parameters!E16</f>
        <v>Soil disposal</v>
      </c>
      <c r="D18" s="2688" t="str">
        <f>+Parameters!F16</f>
        <v>cy</v>
      </c>
      <c r="E18" s="844">
        <f>+'Additional  Est Input'!H169+'OH Constr'!H277+'115 kV &amp; 345 kV HPFF'!H95+'115 kV Und XLPE'!H98+'345 kV Und XLPE'!H98+'Substation Const'!H637+Removals!H169+Substation_D!H150</f>
        <v>0</v>
      </c>
      <c r="F18" s="586">
        <f>+'Additional  Est Input'!AI169+'Additional  Est Input'!AL169+'OH Constr'!AI277+'OH Constr'!AL277+'115 kV &amp; 345 kV HPFF'!AI95+'115 kV &amp; 345 kV HPFF'!AL95+'115 kV Und XLPE'!AI98+'115 kV Und XLPE'!AL98+'345 kV Und XLPE'!AI98+'345 kV Und XLPE'!AL98+'Substation Const'!AI637+'Substation Const'!AL637+Removals!AI169+Removals!AL169+Substation_D!AI150+Substation_D!AL150</f>
        <v>0</v>
      </c>
      <c r="G18" s="844">
        <f>+'Additional  Est Input'!AM169+'OH Constr'!AM277+'115 kV &amp; 345 kV HPFF'!AM95+'115 kV Und XLPE'!AM98+'345 kV Und XLPE'!AM98+'Substation Const'!AM637+Removals!AM169+Substation_D!AM150</f>
        <v>0</v>
      </c>
      <c r="H18" s="844">
        <f>+'Additional  Est Input'!AN169+'OH Constr'!AN277+'115 kV &amp; 345 kV HPFF'!AN95+'115 kV Und XLPE'!AN98+'345 kV Und XLPE'!AN98+'Substation Const'!AN637+Removals!AN169+Substation_D!AN150</f>
        <v>0</v>
      </c>
      <c r="I18" s="586">
        <f>+'Additional  Est Input'!AR169+'OH Constr'!AR277+'115 kV &amp; 345 kV HPFF'!AR95+'115 kV Und XLPE'!AR98+'345 kV Und XLPE'!AR98+'Substation Const'!AR637+Removals!AR169+Substation_D!AR150</f>
        <v>0</v>
      </c>
      <c r="J18" s="586"/>
      <c r="K18" s="586">
        <f t="shared" si="1"/>
        <v>0</v>
      </c>
      <c r="L18" s="586"/>
      <c r="M18" s="586">
        <f t="shared" si="2"/>
        <v>0</v>
      </c>
      <c r="N18" s="170"/>
    </row>
    <row r="19" spans="1:14" ht="12.6" customHeight="1" x14ac:dyDescent="0.25">
      <c r="A19" s="170"/>
      <c r="B19" s="376">
        <f>+Parameters!D17</f>
        <v>14</v>
      </c>
      <c r="C19" s="170" t="str">
        <f>+Parameters!E17</f>
        <v>Backfill - earth</v>
      </c>
      <c r="D19" s="2688" t="str">
        <f>+Parameters!F17</f>
        <v>cy</v>
      </c>
      <c r="E19" s="844">
        <f>+'Additional  Est Input'!H170+'OH Constr'!H278+'115 kV &amp; 345 kV HPFF'!H96+'115 kV Und XLPE'!H99+'345 kV Und XLPE'!H99+'Substation Const'!H638+Removals!H170+Substation_D!H151</f>
        <v>0</v>
      </c>
      <c r="F19" s="586">
        <f>+'Additional  Est Input'!AI170+'Additional  Est Input'!AL170+'OH Constr'!AI278+'OH Constr'!AL278+'115 kV &amp; 345 kV HPFF'!AI96+'115 kV &amp; 345 kV HPFF'!AL96+'115 kV Und XLPE'!AI99+'115 kV Und XLPE'!AL99+'345 kV Und XLPE'!AI99+'345 kV Und XLPE'!AL99+'Substation Const'!AI638+'Substation Const'!AL638+Removals!AI170+Removals!AL170+Substation_D!AI151+Substation_D!AL151</f>
        <v>0</v>
      </c>
      <c r="G19" s="844">
        <f>+'Additional  Est Input'!AM170+'OH Constr'!AM278+'115 kV &amp; 345 kV HPFF'!AM96+'115 kV Und XLPE'!AM99+'345 kV Und XLPE'!AM99+'Substation Const'!AM638+Removals!AM170+Substation_D!AM151</f>
        <v>0</v>
      </c>
      <c r="H19" s="844">
        <f>+'Additional  Est Input'!AN170+'OH Constr'!AN278+'115 kV &amp; 345 kV HPFF'!AN96+'115 kV Und XLPE'!AN99+'345 kV Und XLPE'!AN99+'Substation Const'!AN638+Removals!AN170+Substation_D!AN151</f>
        <v>0</v>
      </c>
      <c r="I19" s="586">
        <f>+'Additional  Est Input'!AR170+'OH Constr'!AR278+'115 kV &amp; 345 kV HPFF'!AR96+'115 kV Und XLPE'!AR99+'345 kV Und XLPE'!AR99+'Substation Const'!AR638+Removals!AR170+Substation_D!AR151</f>
        <v>0</v>
      </c>
      <c r="J19" s="586"/>
      <c r="K19" s="586">
        <f t="shared" si="1"/>
        <v>0</v>
      </c>
      <c r="L19" s="586"/>
      <c r="M19" s="586">
        <f t="shared" si="2"/>
        <v>0</v>
      </c>
      <c r="N19" s="170"/>
    </row>
    <row r="20" spans="1:14" ht="12.6" customHeight="1" x14ac:dyDescent="0.25">
      <c r="A20" s="170"/>
      <c r="B20" s="376">
        <f>+Parameters!D18</f>
        <v>15</v>
      </c>
      <c r="C20" s="170" t="str">
        <f>+Parameters!E18</f>
        <v>Backfill- stone ( incl trap rock and surfacing)</v>
      </c>
      <c r="D20" s="2688" t="str">
        <f>+Parameters!F18</f>
        <v>cy</v>
      </c>
      <c r="E20" s="844">
        <f>+'Additional  Est Input'!H171+'OH Constr'!H279+'115 kV &amp; 345 kV HPFF'!H97+'115 kV Und XLPE'!H100+'345 kV Und XLPE'!H100+'Substation Const'!H639+Removals!H171+Substation_D!H152</f>
        <v>0</v>
      </c>
      <c r="F20" s="586">
        <f>+'Additional  Est Input'!AI171+'Additional  Est Input'!AL171+'OH Constr'!AI279+'OH Constr'!AL279+'115 kV &amp; 345 kV HPFF'!AI97+'115 kV &amp; 345 kV HPFF'!AL97+'115 kV Und XLPE'!AI100+'115 kV Und XLPE'!AL100+'345 kV Und XLPE'!AI100+'345 kV Und XLPE'!AL100+'Substation Const'!AI639+'Substation Const'!AL639+Removals!AI171+Removals!AL171+Substation_D!AI152+Substation_D!AL152</f>
        <v>0</v>
      </c>
      <c r="G20" s="844">
        <f>+'Additional  Est Input'!AM171+'OH Constr'!AM279+'115 kV &amp; 345 kV HPFF'!AM97+'115 kV Und XLPE'!AM100+'345 kV Und XLPE'!AM100+'Substation Const'!AM639+Removals!AM171+Substation_D!AM152</f>
        <v>0</v>
      </c>
      <c r="H20" s="844">
        <f>+'Additional  Est Input'!AN171+'OH Constr'!AN279+'115 kV &amp; 345 kV HPFF'!AN97+'115 kV Und XLPE'!AN100+'345 kV Und XLPE'!AN100+'Substation Const'!AN639+Removals!AN171+Substation_D!AN152</f>
        <v>0</v>
      </c>
      <c r="I20" s="586">
        <f>+'Additional  Est Input'!AR171+'OH Constr'!AR279+'115 kV &amp; 345 kV HPFF'!AR97+'115 kV Und XLPE'!AR100+'345 kV Und XLPE'!AR100+'Substation Const'!AR639+Removals!AR171+Substation_D!AR152</f>
        <v>0</v>
      </c>
      <c r="J20" s="586"/>
      <c r="K20" s="586">
        <f t="shared" si="1"/>
        <v>0</v>
      </c>
      <c r="L20" s="586"/>
      <c r="M20" s="586">
        <f t="shared" si="2"/>
        <v>0</v>
      </c>
      <c r="N20" s="170"/>
    </row>
    <row r="21" spans="1:14" ht="12.6" customHeight="1" x14ac:dyDescent="0.25">
      <c r="A21" s="170"/>
      <c r="B21" s="376">
        <f>+Parameters!D19</f>
        <v>16</v>
      </c>
      <c r="C21" s="170" t="str">
        <f>+Parameters!E19</f>
        <v>Fence / Gates</v>
      </c>
      <c r="D21" s="2688" t="str">
        <f>+Parameters!F19</f>
        <v>lf</v>
      </c>
      <c r="E21" s="844">
        <f>+'Additional  Est Input'!H172+'OH Constr'!H280+'115 kV &amp; 345 kV HPFF'!H98+'115 kV Und XLPE'!H101+'345 kV Und XLPE'!H101+'Substation Const'!H640+Removals!H172+Substation_D!H153</f>
        <v>0</v>
      </c>
      <c r="F21" s="586">
        <f>+'Additional  Est Input'!AI172+'Additional  Est Input'!AL172+'OH Constr'!AI280+'OH Constr'!AL280+'115 kV &amp; 345 kV HPFF'!AI98+'115 kV &amp; 345 kV HPFF'!AL98+'115 kV Und XLPE'!AI101+'115 kV Und XLPE'!AL101+'345 kV Und XLPE'!AI101+'345 kV Und XLPE'!AL101+'Substation Const'!AI640+'Substation Const'!AL640+Removals!AI172+Removals!AL172+Substation_D!AI153+Substation_D!AL153</f>
        <v>0</v>
      </c>
      <c r="G21" s="844">
        <f>+'Additional  Est Input'!AM172+'OH Constr'!AM280+'115 kV &amp; 345 kV HPFF'!AM98+'115 kV Und XLPE'!AM101+'345 kV Und XLPE'!AM101+'Substation Const'!AM640+Removals!AM172+Substation_D!AM153</f>
        <v>0</v>
      </c>
      <c r="H21" s="844">
        <f>+'Additional  Est Input'!AN172+'OH Constr'!AN280+'115 kV &amp; 345 kV HPFF'!AN98+'115 kV Und XLPE'!AN101+'345 kV Und XLPE'!AN101+'Substation Const'!AN640+Removals!AN172+Substation_D!AN153</f>
        <v>0</v>
      </c>
      <c r="I21" s="586">
        <f>+'Additional  Est Input'!AR172+'OH Constr'!AR280+'115 kV &amp; 345 kV HPFF'!AR98+'115 kV Und XLPE'!AR101+'345 kV Und XLPE'!AR101+'Substation Const'!AR640+Removals!AR172+Substation_D!AR153</f>
        <v>0</v>
      </c>
      <c r="J21" s="586"/>
      <c r="K21" s="586">
        <f t="shared" si="1"/>
        <v>0</v>
      </c>
      <c r="L21" s="586"/>
      <c r="M21" s="586">
        <f t="shared" si="2"/>
        <v>0</v>
      </c>
      <c r="N21" s="170"/>
    </row>
    <row r="22" spans="1:14" ht="12.6" customHeight="1" x14ac:dyDescent="0.25">
      <c r="A22" s="170"/>
      <c r="B22" s="376">
        <f>+Parameters!D20</f>
        <v>17</v>
      </c>
      <c r="C22" s="170" t="str">
        <f>+Parameters!E20</f>
        <v>CIP Fence, Gates, Balistic protection</v>
      </c>
      <c r="D22" s="2688" t="str">
        <f>+Parameters!F20</f>
        <v>lf</v>
      </c>
      <c r="E22" s="844">
        <f>+'Additional  Est Input'!H173+'OH Constr'!H281+'115 kV &amp; 345 kV HPFF'!H99+'115 kV Und XLPE'!H102+'345 kV Und XLPE'!H102+'Substation Const'!H641+Removals!H173+Substation_D!H154</f>
        <v>0</v>
      </c>
      <c r="F22" s="586">
        <f>+'Additional  Est Input'!AI173+'Additional  Est Input'!AL173+'OH Constr'!AI281+'OH Constr'!AL281+'115 kV &amp; 345 kV HPFF'!AI99+'115 kV &amp; 345 kV HPFF'!AL99+'115 kV Und XLPE'!AI102+'115 kV Und XLPE'!AL102+'345 kV Und XLPE'!AI102+'345 kV Und XLPE'!AL102+'Substation Const'!AI641+'Substation Const'!AL641+Removals!AI173+Removals!AL173+Substation_D!AI154+Substation_D!AL154</f>
        <v>0</v>
      </c>
      <c r="G22" s="844">
        <f>+'Additional  Est Input'!AM173+'OH Constr'!AM281+'115 kV &amp; 345 kV HPFF'!AM99+'115 kV Und XLPE'!AM102+'345 kV Und XLPE'!AM102+'Substation Const'!AM641+Removals!AM173+Substation_D!AM154</f>
        <v>0</v>
      </c>
      <c r="H22" s="844">
        <f>+'Additional  Est Input'!AN173+'OH Constr'!AN281+'115 kV &amp; 345 kV HPFF'!AN99+'115 kV Und XLPE'!AN102+'345 kV Und XLPE'!AN102+'Substation Const'!AN641+Removals!AN173+Substation_D!AN154</f>
        <v>0</v>
      </c>
      <c r="I22" s="586">
        <f>+'Additional  Est Input'!AR173+'OH Constr'!AR281+'115 kV &amp; 345 kV HPFF'!AR99+'115 kV Und XLPE'!AR102+'345 kV Und XLPE'!AR102+'Substation Const'!AR641+Removals!AR173+Substation_D!AR154</f>
        <v>0</v>
      </c>
      <c r="J22" s="586"/>
      <c r="K22" s="586">
        <f t="shared" si="1"/>
        <v>0</v>
      </c>
      <c r="L22" s="586"/>
      <c r="M22" s="586">
        <f t="shared" si="2"/>
        <v>0</v>
      </c>
      <c r="N22" s="170"/>
    </row>
    <row r="23" spans="1:14" ht="12.6" customHeight="1" x14ac:dyDescent="0.25">
      <c r="A23" s="170"/>
      <c r="B23" s="376">
        <f>+Parameters!D21</f>
        <v>18</v>
      </c>
      <c r="C23" s="170" t="str">
        <f>+Parameters!E21</f>
        <v>Sound walls/ retaining walls</v>
      </c>
      <c r="D23" s="2688">
        <f>+Parameters!F21</f>
        <v>0</v>
      </c>
      <c r="E23" s="844">
        <f>+'Additional  Est Input'!H174+'OH Constr'!H282+'115 kV &amp; 345 kV HPFF'!H100+'115 kV Und XLPE'!H103+'345 kV Und XLPE'!H103+'Substation Const'!H642+Removals!H174+Substation_D!H155</f>
        <v>0</v>
      </c>
      <c r="F23" s="586">
        <f>+'Additional  Est Input'!AI174+'Additional  Est Input'!AL174+'OH Constr'!AI282+'OH Constr'!AL282+'115 kV &amp; 345 kV HPFF'!AI100+'115 kV &amp; 345 kV HPFF'!AL100+'115 kV Und XLPE'!AI103+'115 kV Und XLPE'!AL103+'345 kV Und XLPE'!AI103+'345 kV Und XLPE'!AL103+'Substation Const'!AI642+'Substation Const'!AL642+Removals!AI174+Removals!AL174+Substation_D!AI155+Substation_D!AL155</f>
        <v>0</v>
      </c>
      <c r="G23" s="844">
        <f>+'Additional  Est Input'!AM174+'OH Constr'!AM282+'115 kV &amp; 345 kV HPFF'!AM100+'115 kV Und XLPE'!AM103+'345 kV Und XLPE'!AM103+'Substation Const'!AM642+Removals!AM174+Substation_D!AM155</f>
        <v>0</v>
      </c>
      <c r="H23" s="844">
        <f>+'Additional  Est Input'!AN174+'OH Constr'!AN282+'115 kV &amp; 345 kV HPFF'!AN100+'115 kV Und XLPE'!AN103+'345 kV Und XLPE'!AN103+'Substation Const'!AN642+Removals!AN174+Substation_D!AN155</f>
        <v>0</v>
      </c>
      <c r="I23" s="586">
        <f>+'Additional  Est Input'!AR174+'OH Constr'!AR282+'115 kV &amp; 345 kV HPFF'!AR100+'115 kV Und XLPE'!AR103+'345 kV Und XLPE'!AR103+'Substation Const'!AR642+Removals!AR174+Substation_D!AR155</f>
        <v>0</v>
      </c>
      <c r="J23" s="586"/>
      <c r="K23" s="586">
        <f t="shared" si="1"/>
        <v>0</v>
      </c>
      <c r="L23" s="586"/>
      <c r="M23" s="586">
        <f t="shared" si="2"/>
        <v>0</v>
      </c>
      <c r="N23" s="170"/>
    </row>
    <row r="24" spans="1:14" ht="12.6" customHeight="1" x14ac:dyDescent="0.25">
      <c r="A24" s="170"/>
      <c r="B24" s="376">
        <f>+Parameters!D22</f>
        <v>19</v>
      </c>
      <c r="C24" s="170" t="str">
        <f>+Parameters!E22</f>
        <v>Other</v>
      </c>
      <c r="D24" s="2688">
        <f>+Parameters!F22</f>
        <v>0</v>
      </c>
      <c r="E24" s="844">
        <f>+'Additional  Est Input'!H175+'OH Constr'!H283+'115 kV &amp; 345 kV HPFF'!H101+'115 kV Und XLPE'!H104+'345 kV Und XLPE'!H104+'Substation Const'!H643+Removals!H175+Substation_D!H156</f>
        <v>0</v>
      </c>
      <c r="F24" s="586">
        <f>+'Additional  Est Input'!AI175+'Additional  Est Input'!AL175+'OH Constr'!AI283+'OH Constr'!AL283+'115 kV &amp; 345 kV HPFF'!AI101+'115 kV &amp; 345 kV HPFF'!AL101+'115 kV Und XLPE'!AI104+'115 kV Und XLPE'!AL104+'345 kV Und XLPE'!AI104+'345 kV Und XLPE'!AL104+'Substation Const'!AI643+'Substation Const'!AL643+Removals!AI175+Removals!AL175+Substation_D!AI156+Substation_D!AL156</f>
        <v>0</v>
      </c>
      <c r="G24" s="844">
        <f>+'Additional  Est Input'!AM175+'OH Constr'!AM283+'115 kV &amp; 345 kV HPFF'!AM101+'115 kV Und XLPE'!AM104+'345 kV Und XLPE'!AM104+'Substation Const'!AM643+Removals!AM175+Substation_D!AM156</f>
        <v>0</v>
      </c>
      <c r="H24" s="844">
        <f>+'Additional  Est Input'!AN175+'OH Constr'!AN283+'115 kV &amp; 345 kV HPFF'!AN101+'115 kV Und XLPE'!AN104+'345 kV Und XLPE'!AN104+'Substation Const'!AN643+Removals!AN175+Substation_D!AN156</f>
        <v>0</v>
      </c>
      <c r="I24" s="586">
        <f>+'Additional  Est Input'!AR175+'OH Constr'!AR283+'115 kV &amp; 345 kV HPFF'!AR101+'115 kV Und XLPE'!AR104+'345 kV Und XLPE'!AR104+'Substation Const'!AR643+Removals!AR175+Substation_D!AR156</f>
        <v>0</v>
      </c>
      <c r="J24" s="586"/>
      <c r="K24" s="586">
        <f t="shared" si="1"/>
        <v>0</v>
      </c>
      <c r="L24" s="586"/>
      <c r="M24" s="586">
        <f t="shared" si="2"/>
        <v>0</v>
      </c>
      <c r="N24" s="170"/>
    </row>
    <row r="25" spans="1:14" ht="12.6" customHeight="1" x14ac:dyDescent="0.25">
      <c r="A25" s="170"/>
      <c r="B25" s="376">
        <f>+Parameters!D23</f>
        <v>20</v>
      </c>
      <c r="C25" s="170" t="str">
        <f>+Parameters!E23</f>
        <v>Trench (Trenwa type)</v>
      </c>
      <c r="D25" s="2688">
        <f>+Parameters!F23</f>
        <v>0</v>
      </c>
      <c r="E25" s="844">
        <f>+'Additional  Est Input'!H176+'OH Constr'!H284+'115 kV &amp; 345 kV HPFF'!H102+'115 kV Und XLPE'!H105+'345 kV Und XLPE'!H105+'Substation Const'!H644+Removals!H176+Substation_D!H157</f>
        <v>0</v>
      </c>
      <c r="F25" s="586">
        <f>+'Additional  Est Input'!AI176+'Additional  Est Input'!AL176+'OH Constr'!AI284+'OH Constr'!AL284+'115 kV &amp; 345 kV HPFF'!AI102+'115 kV &amp; 345 kV HPFF'!AL102+'115 kV Und XLPE'!AI105+'115 kV Und XLPE'!AL105+'345 kV Und XLPE'!AI105+'345 kV Und XLPE'!AL105+'Substation Const'!AI644+'Substation Const'!AL644+Removals!AI176+Removals!AL176+Substation_D!AI157+Substation_D!AL157</f>
        <v>0</v>
      </c>
      <c r="G25" s="844">
        <f>+'Additional  Est Input'!AM176+'OH Constr'!AM284+'115 kV &amp; 345 kV HPFF'!AM102+'115 kV Und XLPE'!AM105+'345 kV Und XLPE'!AM105+'Substation Const'!AM644+Removals!AM176+Substation_D!AM157</f>
        <v>0</v>
      </c>
      <c r="H25" s="844">
        <f>+'Additional  Est Input'!AN176+'OH Constr'!AN284+'115 kV &amp; 345 kV HPFF'!AN102+'115 kV Und XLPE'!AN105+'345 kV Und XLPE'!AN105+'Substation Const'!AN644+Removals!AN176+Substation_D!AN157</f>
        <v>0</v>
      </c>
      <c r="I25" s="586">
        <f>+'Additional  Est Input'!AR176+'OH Constr'!AR284+'115 kV &amp; 345 kV HPFF'!AR102+'115 kV Und XLPE'!AR105+'345 kV Und XLPE'!AR105+'Substation Const'!AR644+Removals!AR176+Substation_D!AR157</f>
        <v>0</v>
      </c>
      <c r="J25" s="586"/>
      <c r="K25" s="586">
        <f t="shared" si="1"/>
        <v>0</v>
      </c>
      <c r="L25" s="586"/>
      <c r="M25" s="586">
        <f t="shared" si="2"/>
        <v>0</v>
      </c>
      <c r="N25" s="170"/>
    </row>
    <row r="26" spans="1:14" ht="12.6" customHeight="1" x14ac:dyDescent="0.25">
      <c r="A26" s="170"/>
      <c r="B26" s="376">
        <f>+Parameters!D24</f>
        <v>21</v>
      </c>
      <c r="C26" s="170" t="str">
        <f>+Parameters!E24</f>
        <v>Ductbank ( incl conduit)</v>
      </c>
      <c r="D26" s="2688" t="str">
        <f>+Parameters!F24</f>
        <v>lf</v>
      </c>
      <c r="E26" s="844">
        <f>+'Additional  Est Input'!H177+'OH Constr'!H285+'115 kV &amp; 345 kV HPFF'!H103+'115 kV Und XLPE'!H106+'345 kV Und XLPE'!H106+'Substation Const'!H645+Removals!H177+Substation_D!H158</f>
        <v>0</v>
      </c>
      <c r="F26" s="586">
        <f>+'Additional  Est Input'!AI177+'Additional  Est Input'!AL177+'OH Constr'!AI285+'OH Constr'!AL285+'115 kV &amp; 345 kV HPFF'!AI103+'115 kV &amp; 345 kV HPFF'!AL103+'115 kV Und XLPE'!AI106+'115 kV Und XLPE'!AL106+'345 kV Und XLPE'!AI106+'345 kV Und XLPE'!AL106+'Substation Const'!AI645+'Substation Const'!AL645+Removals!AI177+Removals!AL177+Substation_D!AI158+Substation_D!AL158</f>
        <v>0</v>
      </c>
      <c r="G26" s="844">
        <f>+'Additional  Est Input'!AM177+'OH Constr'!AM285+'115 kV &amp; 345 kV HPFF'!AM103+'115 kV Und XLPE'!AM106+'345 kV Und XLPE'!AM106+'Substation Const'!AM645+Removals!AM177+Substation_D!AM158</f>
        <v>0</v>
      </c>
      <c r="H26" s="844">
        <f>+'Additional  Est Input'!AN177+'OH Constr'!AN285+'115 kV &amp; 345 kV HPFF'!AN103+'115 kV Und XLPE'!AN106+'345 kV Und XLPE'!AN106+'Substation Const'!AN645+Removals!AN177+Substation_D!AN158</f>
        <v>0</v>
      </c>
      <c r="I26" s="586">
        <f>+'Additional  Est Input'!AR177+'OH Constr'!AR285+'115 kV &amp; 345 kV HPFF'!AR103+'115 kV Und XLPE'!AR106+'345 kV Und XLPE'!AR106+'Substation Const'!AR645+Removals!AR177+Substation_D!AR158</f>
        <v>0</v>
      </c>
      <c r="J26" s="586"/>
      <c r="K26" s="586">
        <f t="shared" si="1"/>
        <v>0</v>
      </c>
      <c r="L26" s="586"/>
      <c r="M26" s="586">
        <f t="shared" si="2"/>
        <v>0</v>
      </c>
      <c r="N26" s="170"/>
    </row>
    <row r="27" spans="1:14" ht="12.6" customHeight="1" x14ac:dyDescent="0.25">
      <c r="A27" s="170"/>
      <c r="B27" s="376">
        <f>+Parameters!D25</f>
        <v>22</v>
      </c>
      <c r="C27" s="170" t="str">
        <f>+Parameters!E25</f>
        <v>Conduit - AG</v>
      </c>
      <c r="D27" s="2688" t="str">
        <f>+Parameters!F25</f>
        <v>lf</v>
      </c>
      <c r="E27" s="844">
        <f>+'Additional  Est Input'!H178+'OH Constr'!H286+'115 kV &amp; 345 kV HPFF'!H104+'115 kV Und XLPE'!H107+'345 kV Und XLPE'!H107+'Substation Const'!H646+Removals!H178+Substation_D!H159</f>
        <v>0</v>
      </c>
      <c r="F27" s="586">
        <f>+'Additional  Est Input'!AI178+'Additional  Est Input'!AL178+'OH Constr'!AI286+'OH Constr'!AL286+'115 kV &amp; 345 kV HPFF'!AI104+'115 kV &amp; 345 kV HPFF'!AL104+'115 kV Und XLPE'!AI107+'115 kV Und XLPE'!AL107+'345 kV Und XLPE'!AI107+'345 kV Und XLPE'!AL107+'Substation Const'!AI646+'Substation Const'!AL646+Removals!AI178+Removals!AL178+Substation_D!AI159+Substation_D!AL159</f>
        <v>0</v>
      </c>
      <c r="G27" s="844">
        <f>+'Additional  Est Input'!AM178+'OH Constr'!AM286+'115 kV &amp; 345 kV HPFF'!AM104+'115 kV Und XLPE'!AM107+'345 kV Und XLPE'!AM107+'Substation Const'!AM646+Removals!AM178+Substation_D!AM159</f>
        <v>0</v>
      </c>
      <c r="H27" s="844">
        <f>+'Additional  Est Input'!AN178+'OH Constr'!AN286+'115 kV &amp; 345 kV HPFF'!AN104+'115 kV Und XLPE'!AN107+'345 kV Und XLPE'!AN107+'Substation Const'!AN646+Removals!AN178+Substation_D!AN159</f>
        <v>0</v>
      </c>
      <c r="I27" s="586">
        <f>+'Additional  Est Input'!AR178+'OH Constr'!AR286+'115 kV &amp; 345 kV HPFF'!AR104+'115 kV Und XLPE'!AR107+'345 kV Und XLPE'!AR107+'Substation Const'!AR646+Removals!AR178+Substation_D!AR159</f>
        <v>0</v>
      </c>
      <c r="J27" s="586"/>
      <c r="K27" s="586">
        <f t="shared" si="1"/>
        <v>0</v>
      </c>
      <c r="L27" s="586"/>
      <c r="M27" s="586">
        <f t="shared" si="2"/>
        <v>0</v>
      </c>
      <c r="N27" s="170"/>
    </row>
    <row r="28" spans="1:14" ht="12.6" customHeight="1" x14ac:dyDescent="0.25">
      <c r="A28" s="170"/>
      <c r="B28" s="376">
        <f>+Parameters!D26</f>
        <v>23</v>
      </c>
      <c r="C28" s="170" t="str">
        <f>+Parameters!E26</f>
        <v>Conduit - UG ( excl ductbank)</v>
      </c>
      <c r="D28" s="2688" t="str">
        <f>+Parameters!F26</f>
        <v>lf</v>
      </c>
      <c r="E28" s="844">
        <f>+'Additional  Est Input'!H179+'OH Constr'!H287+'115 kV &amp; 345 kV HPFF'!H105+'115 kV Und XLPE'!H108+'345 kV Und XLPE'!H108+'Substation Const'!H647+Removals!H179+Substation_D!H160</f>
        <v>0</v>
      </c>
      <c r="F28" s="586">
        <f>+'Additional  Est Input'!AI179+'Additional  Est Input'!AL179+'OH Constr'!AI287+'OH Constr'!AL287+'115 kV &amp; 345 kV HPFF'!AI105+'115 kV &amp; 345 kV HPFF'!AL105+'115 kV Und XLPE'!AI108+'115 kV Und XLPE'!AL108+'345 kV Und XLPE'!AI108+'345 kV Und XLPE'!AL108+'Substation Const'!AI647+'Substation Const'!AL647+Removals!AI179+Removals!AL179+Substation_D!AI160+Substation_D!AL160</f>
        <v>0</v>
      </c>
      <c r="G28" s="844">
        <f>+'Additional  Est Input'!AM179+'OH Constr'!AM287+'115 kV &amp; 345 kV HPFF'!AM105+'115 kV Und XLPE'!AM108+'345 kV Und XLPE'!AM108+'Substation Const'!AM647+Removals!AM179+Substation_D!AM160</f>
        <v>0</v>
      </c>
      <c r="H28" s="844">
        <f>+'Additional  Est Input'!AN179+'OH Constr'!AN287+'115 kV &amp; 345 kV HPFF'!AN105+'115 kV Und XLPE'!AN108+'345 kV Und XLPE'!AN108+'Substation Const'!AN647+Removals!AN179+Substation_D!AN160</f>
        <v>0</v>
      </c>
      <c r="I28" s="586">
        <f>+'Additional  Est Input'!AR179+'OH Constr'!AR287+'115 kV &amp; 345 kV HPFF'!AR105+'115 kV Und XLPE'!AR108+'345 kV Und XLPE'!AR108+'Substation Const'!AR647+Removals!AR179+Substation_D!AR160</f>
        <v>0</v>
      </c>
      <c r="J28" s="586"/>
      <c r="K28" s="586">
        <f t="shared" si="1"/>
        <v>0</v>
      </c>
      <c r="L28" s="586"/>
      <c r="M28" s="586">
        <f t="shared" si="2"/>
        <v>0</v>
      </c>
      <c r="N28" s="170"/>
    </row>
    <row r="29" spans="1:14" ht="12.6" customHeight="1" x14ac:dyDescent="0.25">
      <c r="A29" s="170"/>
      <c r="B29" s="376">
        <f>+Parameters!D27</f>
        <v>24</v>
      </c>
      <c r="C29" s="170" t="str">
        <f>+Parameters!E27</f>
        <v>Cable tray</v>
      </c>
      <c r="D29" s="2688" t="str">
        <f>+Parameters!F27</f>
        <v>lf</v>
      </c>
      <c r="E29" s="844">
        <f>+'Additional  Est Input'!H180+'OH Constr'!H288+'115 kV &amp; 345 kV HPFF'!H106+'115 kV Und XLPE'!H109+'345 kV Und XLPE'!H109+'Substation Const'!H648+Removals!H180+Substation_D!H161</f>
        <v>0</v>
      </c>
      <c r="F29" s="586">
        <f>+'Additional  Est Input'!AI180+'Additional  Est Input'!AL180+'OH Constr'!AI288+'OH Constr'!AL288+'115 kV &amp; 345 kV HPFF'!AI106+'115 kV &amp; 345 kV HPFF'!AL106+'115 kV Und XLPE'!AI109+'115 kV Und XLPE'!AL109+'345 kV Und XLPE'!AI109+'345 kV Und XLPE'!AL109+'Substation Const'!AI648+'Substation Const'!AL648+Removals!AI180+Removals!AL180+Substation_D!AI161+Substation_D!AL161</f>
        <v>0</v>
      </c>
      <c r="G29" s="844">
        <f>+'Additional  Est Input'!AM180+'OH Constr'!AM288+'115 kV &amp; 345 kV HPFF'!AM106+'115 kV Und XLPE'!AM109+'345 kV Und XLPE'!AM109+'Substation Const'!AM648+Removals!AM180+Substation_D!AM161</f>
        <v>0</v>
      </c>
      <c r="H29" s="844">
        <f>+'Additional  Est Input'!AN180+'OH Constr'!AN288+'115 kV &amp; 345 kV HPFF'!AN106+'115 kV Und XLPE'!AN109+'345 kV Und XLPE'!AN109+'Substation Const'!AN648+Removals!AN180+Substation_D!AN161</f>
        <v>0</v>
      </c>
      <c r="I29" s="586">
        <f>+'Additional  Est Input'!AR180+'OH Constr'!AR288+'115 kV &amp; 345 kV HPFF'!AR106+'115 kV Und XLPE'!AR109+'345 kV Und XLPE'!AR109+'Substation Const'!AR648+Removals!AR180+Substation_D!AR161</f>
        <v>0</v>
      </c>
      <c r="J29" s="586"/>
      <c r="K29" s="586">
        <f t="shared" si="1"/>
        <v>0</v>
      </c>
      <c r="L29" s="586"/>
      <c r="M29" s="586">
        <f t="shared" si="2"/>
        <v>0</v>
      </c>
      <c r="N29" s="170"/>
    </row>
    <row r="30" spans="1:14" ht="12.6" customHeight="1" x14ac:dyDescent="0.25">
      <c r="A30" s="170"/>
      <c r="B30" s="376">
        <f>+Parameters!D28</f>
        <v>25</v>
      </c>
      <c r="C30" s="170" t="str">
        <f>+Parameters!E28</f>
        <v>Grounding</v>
      </c>
      <c r="D30" s="2688" t="str">
        <f>+Parameters!F28</f>
        <v>lf</v>
      </c>
      <c r="E30" s="844">
        <f>+'Additional  Est Input'!H181+'OH Constr'!H289+'115 kV &amp; 345 kV HPFF'!H107+'115 kV Und XLPE'!H110+'345 kV Und XLPE'!H110+'Substation Const'!H649+Removals!H181+Substation_D!H162</f>
        <v>0</v>
      </c>
      <c r="F30" s="586">
        <f>+'Additional  Est Input'!AI181+'Additional  Est Input'!AL181+'OH Constr'!AI289+'OH Constr'!AL289+'115 kV &amp; 345 kV HPFF'!AI107+'115 kV &amp; 345 kV HPFF'!AL107+'115 kV Und XLPE'!AI110+'115 kV Und XLPE'!AL110+'345 kV Und XLPE'!AI110+'345 kV Und XLPE'!AL110+'Substation Const'!AI649+'Substation Const'!AL649+Removals!AI181+Removals!AL181+Substation_D!AI162+Substation_D!AL162</f>
        <v>0</v>
      </c>
      <c r="G30" s="844">
        <f>+'Additional  Est Input'!AM181+'OH Constr'!AM289+'115 kV &amp; 345 kV HPFF'!AM107+'115 kV Und XLPE'!AM110+'345 kV Und XLPE'!AM110+'Substation Const'!AM649+Removals!AM181+Substation_D!AM162</f>
        <v>0</v>
      </c>
      <c r="H30" s="844">
        <f>+'Additional  Est Input'!AN181+'OH Constr'!AN289+'115 kV &amp; 345 kV HPFF'!AN107+'115 kV Und XLPE'!AN110+'345 kV Und XLPE'!AN110+'Substation Const'!AN649+Removals!AN181+Substation_D!AN162</f>
        <v>0</v>
      </c>
      <c r="I30" s="586">
        <f>+'Additional  Est Input'!AR181+'OH Constr'!AR289+'115 kV &amp; 345 kV HPFF'!AR107+'115 kV Und XLPE'!AR110+'345 kV Und XLPE'!AR110+'Substation Const'!AR649+Removals!AR181+Substation_D!AR162</f>
        <v>0</v>
      </c>
      <c r="J30" s="586"/>
      <c r="K30" s="586">
        <f t="shared" si="1"/>
        <v>0</v>
      </c>
      <c r="L30" s="586"/>
      <c r="M30" s="586">
        <f t="shared" si="2"/>
        <v>0</v>
      </c>
      <c r="N30" s="170"/>
    </row>
    <row r="31" spans="1:14" ht="12.6" customHeight="1" x14ac:dyDescent="0.25">
      <c r="A31" s="170"/>
      <c r="B31" s="376">
        <f>+Parameters!D29</f>
        <v>26</v>
      </c>
      <c r="C31" s="170" t="str">
        <f>+Parameters!E29</f>
        <v>Lighting</v>
      </c>
      <c r="D31" s="2688">
        <f>+Parameters!F29</f>
        <v>0</v>
      </c>
      <c r="E31" s="844">
        <f>+'Additional  Est Input'!H182+'OH Constr'!H290+'115 kV &amp; 345 kV HPFF'!H108+'115 kV Und XLPE'!H111+'345 kV Und XLPE'!H111+'Substation Const'!H650+Removals!H182+Substation_D!H163</f>
        <v>0</v>
      </c>
      <c r="F31" s="586">
        <f>+'Additional  Est Input'!AI182+'Additional  Est Input'!AL182+'OH Constr'!AI290+'OH Constr'!AL290+'115 kV &amp; 345 kV HPFF'!AI108+'115 kV &amp; 345 kV HPFF'!AL108+'115 kV Und XLPE'!AI111+'115 kV Und XLPE'!AL111+'345 kV Und XLPE'!AI111+'345 kV Und XLPE'!AL111+'Substation Const'!AI650+'Substation Const'!AL650+Removals!AI182+Removals!AL182+Substation_D!AI163+Substation_D!AL163</f>
        <v>0</v>
      </c>
      <c r="G31" s="844">
        <f>+'Additional  Est Input'!AM182+'OH Constr'!AM290+'115 kV &amp; 345 kV HPFF'!AM108+'115 kV Und XLPE'!AM111+'345 kV Und XLPE'!AM111+'Substation Const'!AM650+Removals!AM182+Substation_D!AM163</f>
        <v>0</v>
      </c>
      <c r="H31" s="844">
        <f>+'Additional  Est Input'!AN182+'OH Constr'!AN290+'115 kV &amp; 345 kV HPFF'!AN108+'115 kV Und XLPE'!AN111+'345 kV Und XLPE'!AN111+'Substation Const'!AN650+Removals!AN182+Substation_D!AN163</f>
        <v>0</v>
      </c>
      <c r="I31" s="586">
        <f>+'Additional  Est Input'!AR182+'OH Constr'!AR290+'115 kV &amp; 345 kV HPFF'!AR108+'115 kV Und XLPE'!AR111+'345 kV Und XLPE'!AR111+'Substation Const'!AR650+Removals!AR182+Substation_D!AR163</f>
        <v>0</v>
      </c>
      <c r="J31" s="586"/>
      <c r="K31" s="586">
        <f t="shared" si="1"/>
        <v>0</v>
      </c>
      <c r="L31" s="586"/>
      <c r="M31" s="586">
        <f t="shared" si="2"/>
        <v>0</v>
      </c>
      <c r="N31" s="170"/>
    </row>
    <row r="32" spans="1:14" ht="12.6" customHeight="1" x14ac:dyDescent="0.25">
      <c r="A32" s="170"/>
      <c r="B32" s="376">
        <f>+Parameters!D30</f>
        <v>27</v>
      </c>
      <c r="C32" s="170">
        <f>+Parameters!E30</f>
        <v>0</v>
      </c>
      <c r="D32" s="2688">
        <f>+Parameters!F30</f>
        <v>0</v>
      </c>
      <c r="E32" s="844">
        <f>+'Additional  Est Input'!H183+'OH Constr'!H291+'115 kV &amp; 345 kV HPFF'!H109+'115 kV Und XLPE'!H112+'345 kV Und XLPE'!H112+'Substation Const'!H651+Removals!H183+Substation_D!H164</f>
        <v>0</v>
      </c>
      <c r="F32" s="586">
        <f>+'Additional  Est Input'!AI183+'Additional  Est Input'!AL183+'OH Constr'!AI291+'OH Constr'!AL291+'115 kV &amp; 345 kV HPFF'!AI109+'115 kV &amp; 345 kV HPFF'!AL109+'115 kV Und XLPE'!AI112+'115 kV Und XLPE'!AL112+'345 kV Und XLPE'!AI112+'345 kV Und XLPE'!AL112+'Substation Const'!AI651+'Substation Const'!AL651+Removals!AI183+Removals!AL183+Substation_D!AI164+Substation_D!AL164</f>
        <v>0</v>
      </c>
      <c r="G32" s="844">
        <f>+'Additional  Est Input'!AM183+'OH Constr'!AM291+'115 kV &amp; 345 kV HPFF'!AM109+'115 kV Und XLPE'!AM112+'345 kV Und XLPE'!AM112+'Substation Const'!AM651+Removals!AM183+Substation_D!AM164</f>
        <v>0</v>
      </c>
      <c r="H32" s="844">
        <f>+'Additional  Est Input'!AN183+'OH Constr'!AN291+'115 kV &amp; 345 kV HPFF'!AN109+'115 kV Und XLPE'!AN112+'345 kV Und XLPE'!AN112+'Substation Const'!AN651+Removals!AN183+Substation_D!AN164</f>
        <v>0</v>
      </c>
      <c r="I32" s="586">
        <f>+'Additional  Est Input'!AR183+'OH Constr'!AR291+'115 kV &amp; 345 kV HPFF'!AR109+'115 kV Und XLPE'!AR112+'345 kV Und XLPE'!AR112+'Substation Const'!AR651+Removals!AR183+Substation_D!AR164</f>
        <v>0</v>
      </c>
      <c r="J32" s="586"/>
      <c r="K32" s="586">
        <f t="shared" si="1"/>
        <v>0</v>
      </c>
      <c r="L32" s="586"/>
      <c r="M32" s="586">
        <f t="shared" si="2"/>
        <v>0</v>
      </c>
      <c r="N32" s="170"/>
    </row>
    <row r="33" spans="1:14" ht="12.6" customHeight="1" x14ac:dyDescent="0.25">
      <c r="A33" s="170"/>
      <c r="B33" s="376">
        <f>+Parameters!D31</f>
        <v>28</v>
      </c>
      <c r="C33" s="170">
        <f>+Parameters!E31</f>
        <v>0</v>
      </c>
      <c r="D33" s="2688">
        <f>+Parameters!F31</f>
        <v>0</v>
      </c>
      <c r="E33" s="844">
        <f>+'Additional  Est Input'!H184+'OH Constr'!H292+'115 kV &amp; 345 kV HPFF'!H110+'115 kV Und XLPE'!H113+'345 kV Und XLPE'!H113+'Substation Const'!H652+Removals!H184+Substation_D!H165</f>
        <v>0</v>
      </c>
      <c r="F33" s="586">
        <f>+'Additional  Est Input'!AI184+'Additional  Est Input'!AL184+'OH Constr'!AI292+'OH Constr'!AL292+'115 kV &amp; 345 kV HPFF'!AI110+'115 kV &amp; 345 kV HPFF'!AL110+'115 kV Und XLPE'!AI113+'115 kV Und XLPE'!AL113+'345 kV Und XLPE'!AI113+'345 kV Und XLPE'!AL113+'Substation Const'!AI652+'Substation Const'!AL652+Removals!AI184+Removals!AL184+Substation_D!AI165+Substation_D!AL165</f>
        <v>0</v>
      </c>
      <c r="G33" s="844">
        <f>+'Additional  Est Input'!AM184+'OH Constr'!AM292+'115 kV &amp; 345 kV HPFF'!AM110+'115 kV Und XLPE'!AM113+'345 kV Und XLPE'!AM113+'Substation Const'!AM652+Removals!AM184+Substation_D!AM165</f>
        <v>0</v>
      </c>
      <c r="H33" s="844">
        <f>+'Additional  Est Input'!AN184+'OH Constr'!AN292+'115 kV &amp; 345 kV HPFF'!AN110+'115 kV Und XLPE'!AN113+'345 kV Und XLPE'!AN113+'Substation Const'!AN652+Removals!AN184+Substation_D!AN165</f>
        <v>0</v>
      </c>
      <c r="I33" s="586">
        <f>+'Additional  Est Input'!AR184+'OH Constr'!AR292+'115 kV &amp; 345 kV HPFF'!AR110+'115 kV Und XLPE'!AR113+'345 kV Und XLPE'!AR113+'Substation Const'!AR652+Removals!AR184+Substation_D!AR165</f>
        <v>0</v>
      </c>
      <c r="J33" s="586"/>
      <c r="K33" s="586">
        <f t="shared" si="1"/>
        <v>0</v>
      </c>
      <c r="L33" s="586"/>
      <c r="M33" s="586">
        <f t="shared" si="2"/>
        <v>0</v>
      </c>
      <c r="N33" s="170"/>
    </row>
    <row r="34" spans="1:14" ht="12.6" customHeight="1" x14ac:dyDescent="0.25">
      <c r="A34" s="170"/>
      <c r="B34" s="376">
        <f>+Parameters!D32</f>
        <v>29</v>
      </c>
      <c r="C34" s="170">
        <f>+Parameters!E32</f>
        <v>0</v>
      </c>
      <c r="D34" s="2688">
        <f>+Parameters!F32</f>
        <v>0</v>
      </c>
      <c r="E34" s="844">
        <f>+'Additional  Est Input'!H185+'OH Constr'!H293+'115 kV &amp; 345 kV HPFF'!H111+'115 kV Und XLPE'!H114+'345 kV Und XLPE'!H114+'Substation Const'!H653+Removals!H185+Substation_D!H166</f>
        <v>0</v>
      </c>
      <c r="F34" s="586">
        <f>+'Additional  Est Input'!AI185+'Additional  Est Input'!AL185+'OH Constr'!AI293+'OH Constr'!AL293+'115 kV &amp; 345 kV HPFF'!AI111+'115 kV &amp; 345 kV HPFF'!AL111+'115 kV Und XLPE'!AI114+'115 kV Und XLPE'!AL114+'345 kV Und XLPE'!AI114+'345 kV Und XLPE'!AL114+'Substation Const'!AI653+'Substation Const'!AL653+Removals!AI185+Removals!AL185+Substation_D!AI166+Substation_D!AL166</f>
        <v>0</v>
      </c>
      <c r="G34" s="844">
        <f>+'Additional  Est Input'!AM185+'OH Constr'!AM293+'115 kV &amp; 345 kV HPFF'!AM111+'115 kV Und XLPE'!AM114+'345 kV Und XLPE'!AM114+'Substation Const'!AM653+Removals!AM185+Substation_D!AM166</f>
        <v>0</v>
      </c>
      <c r="H34" s="844">
        <f>+'Additional  Est Input'!AN185+'OH Constr'!AN293+'115 kV &amp; 345 kV HPFF'!AN111+'115 kV Und XLPE'!AN114+'345 kV Und XLPE'!AN114+'Substation Const'!AN653+Removals!AN185+Substation_D!AN166</f>
        <v>0</v>
      </c>
      <c r="I34" s="586">
        <f>+'Additional  Est Input'!AR185+'OH Constr'!AR293+'115 kV &amp; 345 kV HPFF'!AR111+'115 kV Und XLPE'!AR114+'345 kV Und XLPE'!AR114+'Substation Const'!AR653+Removals!AR185+Substation_D!AR166</f>
        <v>0</v>
      </c>
      <c r="J34" s="586"/>
      <c r="K34" s="586">
        <f t="shared" si="1"/>
        <v>0</v>
      </c>
      <c r="L34" s="586"/>
      <c r="M34" s="586">
        <f t="shared" si="2"/>
        <v>0</v>
      </c>
      <c r="N34" s="170"/>
    </row>
    <row r="35" spans="1:14" ht="12.6" customHeight="1" x14ac:dyDescent="0.25">
      <c r="A35" s="170"/>
      <c r="B35" s="376">
        <f>+Parameters!D33</f>
        <v>30</v>
      </c>
      <c r="C35" s="170" t="str">
        <f>+Parameters!E33</f>
        <v>Cable - UG - HPFF ( incl terms)</v>
      </c>
      <c r="D35" s="2688" t="str">
        <f>+Parameters!F33</f>
        <v>lf</v>
      </c>
      <c r="E35" s="844">
        <f>+'Additional  Est Input'!H186+'OH Constr'!H294+'115 kV &amp; 345 kV HPFF'!H112+'115 kV Und XLPE'!H115+'345 kV Und XLPE'!H115+'Substation Const'!H654+Removals!H186+Substation_D!H167</f>
        <v>0</v>
      </c>
      <c r="F35" s="586">
        <f>+'Additional  Est Input'!AI186+'Additional  Est Input'!AL186+'OH Constr'!AI294+'OH Constr'!AL294+'115 kV &amp; 345 kV HPFF'!AI112+'115 kV &amp; 345 kV HPFF'!AL112+'115 kV Und XLPE'!AI115+'115 kV Und XLPE'!AL115+'345 kV Und XLPE'!AI115+'345 kV Und XLPE'!AL115+'Substation Const'!AI654+'Substation Const'!AL654+Removals!AI186+Removals!AL186+Substation_D!AI167+Substation_D!AL167</f>
        <v>0</v>
      </c>
      <c r="G35" s="844">
        <f>+'Additional  Est Input'!AM186+'OH Constr'!AM294+'115 kV &amp; 345 kV HPFF'!AM112+'115 kV Und XLPE'!AM115+'345 kV Und XLPE'!AM115+'Substation Const'!AM654+Removals!AM186+Substation_D!AM167</f>
        <v>0</v>
      </c>
      <c r="H35" s="844">
        <f>+'Additional  Est Input'!AN186+'OH Constr'!AN294+'115 kV &amp; 345 kV HPFF'!AN112+'115 kV Und XLPE'!AN115+'345 kV Und XLPE'!AN115+'Substation Const'!AN654+Removals!AN186+Substation_D!AN167</f>
        <v>0</v>
      </c>
      <c r="I35" s="586">
        <f>+'Additional  Est Input'!AR186+'OH Constr'!AR294+'115 kV &amp; 345 kV HPFF'!AR112+'115 kV Und XLPE'!AR115+'345 kV Und XLPE'!AR115+'Substation Const'!AR654+Removals!AR186+Substation_D!AR167</f>
        <v>0</v>
      </c>
      <c r="J35" s="586"/>
      <c r="K35" s="586">
        <f t="shared" si="1"/>
        <v>0</v>
      </c>
      <c r="L35" s="586"/>
      <c r="M35" s="586">
        <f t="shared" si="2"/>
        <v>0</v>
      </c>
      <c r="N35" s="170"/>
    </row>
    <row r="36" spans="1:14" ht="12.6" customHeight="1" x14ac:dyDescent="0.25">
      <c r="A36" s="170"/>
      <c r="B36" s="376">
        <f>+Parameters!D34</f>
        <v>31</v>
      </c>
      <c r="C36" s="170" t="str">
        <f>+Parameters!E34</f>
        <v>Cable - UG - XLPE ( incl terms)</v>
      </c>
      <c r="D36" s="2688" t="str">
        <f>+Parameters!F34</f>
        <v>lf</v>
      </c>
      <c r="E36" s="844">
        <f>+'Additional  Est Input'!H187+'OH Constr'!H295+'115 kV &amp; 345 kV HPFF'!H113+'115 kV Und XLPE'!H116+'345 kV Und XLPE'!H116+'Substation Const'!H655+Removals!H187+Substation_D!H168</f>
        <v>0</v>
      </c>
      <c r="F36" s="586">
        <f>+'Additional  Est Input'!AI187+'Additional  Est Input'!AL187+'OH Constr'!AI295+'OH Constr'!AL295+'115 kV &amp; 345 kV HPFF'!AI113+'115 kV &amp; 345 kV HPFF'!AL113+'115 kV Und XLPE'!AI116+'115 kV Und XLPE'!AL116+'345 kV Und XLPE'!AI116+'345 kV Und XLPE'!AL116+'Substation Const'!AI655+'Substation Const'!AL655+Removals!AI187+Removals!AL187+Substation_D!AI168+Substation_D!AL168</f>
        <v>0</v>
      </c>
      <c r="G36" s="844">
        <f>+'Additional  Est Input'!AM187+'OH Constr'!AM295+'115 kV &amp; 345 kV HPFF'!AM113+'115 kV Und XLPE'!AM116+'345 kV Und XLPE'!AM116+'Substation Const'!AM655+Removals!AM187+Substation_D!AM168</f>
        <v>0</v>
      </c>
      <c r="H36" s="844">
        <f>+'Additional  Est Input'!AN187+'OH Constr'!AN295+'115 kV &amp; 345 kV HPFF'!AN113+'115 kV Und XLPE'!AN116+'345 kV Und XLPE'!AN116+'Substation Const'!AN655+Removals!AN187+Substation_D!AN168</f>
        <v>0</v>
      </c>
      <c r="I36" s="586">
        <f>+'Additional  Est Input'!AR187+'OH Constr'!AR295+'115 kV &amp; 345 kV HPFF'!AR113+'115 kV Und XLPE'!AR116+'345 kV Und XLPE'!AR116+'Substation Const'!AR655+Removals!AR187+Substation_D!AR168</f>
        <v>0</v>
      </c>
      <c r="J36" s="586"/>
      <c r="K36" s="586">
        <f t="shared" si="1"/>
        <v>0</v>
      </c>
      <c r="L36" s="586"/>
      <c r="M36" s="586">
        <f t="shared" si="2"/>
        <v>0</v>
      </c>
      <c r="N36" s="170"/>
    </row>
    <row r="37" spans="1:14" ht="12.6" customHeight="1" x14ac:dyDescent="0.25">
      <c r="A37" s="170"/>
      <c r="B37" s="376">
        <f>+Parameters!D35</f>
        <v>32</v>
      </c>
      <c r="C37" s="170" t="str">
        <f>+Parameters!E35</f>
        <v>Cable - AG under 115kv ( incl terms)</v>
      </c>
      <c r="D37" s="2688" t="str">
        <f>+Parameters!F35</f>
        <v>lf</v>
      </c>
      <c r="E37" s="844">
        <f>+'Additional  Est Input'!H188+'OH Constr'!H296+'115 kV &amp; 345 kV HPFF'!H114+'115 kV Und XLPE'!H117+'345 kV Und XLPE'!H117+'Substation Const'!H656+Removals!H188+Substation_D!H169</f>
        <v>0</v>
      </c>
      <c r="F37" s="586">
        <f>+'Additional  Est Input'!AI188+'Additional  Est Input'!AL188+'OH Constr'!AI296+'OH Constr'!AL296+'115 kV &amp; 345 kV HPFF'!AI114+'115 kV &amp; 345 kV HPFF'!AL114+'115 kV Und XLPE'!AI117+'115 kV Und XLPE'!AL117+'345 kV Und XLPE'!AI117+'345 kV Und XLPE'!AL117+'Substation Const'!AI656+'Substation Const'!AL656+Removals!AI188+Removals!AL188+Substation_D!AI169+Substation_D!AL169</f>
        <v>0</v>
      </c>
      <c r="G37" s="844">
        <f>+'Additional  Est Input'!AM188+'OH Constr'!AM296+'115 kV &amp; 345 kV HPFF'!AM114+'115 kV Und XLPE'!AM117+'345 kV Und XLPE'!AM117+'Substation Const'!AM656+Removals!AM188+Substation_D!AM169</f>
        <v>0</v>
      </c>
      <c r="H37" s="844">
        <f>+'Additional  Est Input'!AN188+'OH Constr'!AN296+'115 kV &amp; 345 kV HPFF'!AN114+'115 kV Und XLPE'!AN117+'345 kV Und XLPE'!AN117+'Substation Const'!AN656+Removals!AN188+Substation_D!AN169</f>
        <v>0</v>
      </c>
      <c r="I37" s="586">
        <f>+'Additional  Est Input'!AR188+'OH Constr'!AR296+'115 kV &amp; 345 kV HPFF'!AR114+'115 kV Und XLPE'!AR117+'345 kV Und XLPE'!AR117+'Substation Const'!AR656+Removals!AR188+Substation_D!AR169</f>
        <v>0</v>
      </c>
      <c r="J37" s="586"/>
      <c r="K37" s="586">
        <f t="shared" si="1"/>
        <v>0</v>
      </c>
      <c r="L37" s="586"/>
      <c r="M37" s="586">
        <f t="shared" si="2"/>
        <v>0</v>
      </c>
      <c r="N37" s="170"/>
    </row>
    <row r="38" spans="1:14" ht="12.6" customHeight="1" x14ac:dyDescent="0.25">
      <c r="A38" s="170"/>
      <c r="B38" s="376">
        <f>+Parameters!D36</f>
        <v>33</v>
      </c>
      <c r="C38" s="170" t="str">
        <f>+Parameters!E36</f>
        <v>Cable - AG 115 kv ( incl terms)</v>
      </c>
      <c r="D38" s="2688" t="str">
        <f>+Parameters!F36</f>
        <v>lf</v>
      </c>
      <c r="E38" s="844">
        <f>+'Additional  Est Input'!H189+'OH Constr'!H297+'115 kV &amp; 345 kV HPFF'!H115+'115 kV Und XLPE'!H118+'345 kV Und XLPE'!H118+'Substation Const'!H657+Removals!H189+Substation_D!H170</f>
        <v>0</v>
      </c>
      <c r="F38" s="586">
        <f>+'Additional  Est Input'!AI189+'Additional  Est Input'!AL189+'OH Constr'!AI297+'OH Constr'!AL297+'115 kV &amp; 345 kV HPFF'!AI115+'115 kV &amp; 345 kV HPFF'!AL115+'115 kV Und XLPE'!AI118+'115 kV Und XLPE'!AL118+'345 kV Und XLPE'!AI118+'345 kV Und XLPE'!AL118+'Substation Const'!AI657+'Substation Const'!AL657+Removals!AI189+Removals!AL189+Substation_D!AI170+Substation_D!AL170</f>
        <v>0</v>
      </c>
      <c r="G38" s="844">
        <f>+'Additional  Est Input'!AM189+'OH Constr'!AM297+'115 kV &amp; 345 kV HPFF'!AM115+'115 kV Und XLPE'!AM118+'345 kV Und XLPE'!AM118+'Substation Const'!AM657+Removals!AM189+Substation_D!AM170</f>
        <v>0</v>
      </c>
      <c r="H38" s="844">
        <f>+'Additional  Est Input'!AN189+'OH Constr'!AN297+'115 kV &amp; 345 kV HPFF'!AN115+'115 kV Und XLPE'!AN118+'345 kV Und XLPE'!AN118+'Substation Const'!AN657+Removals!AN189+Substation_D!AN170</f>
        <v>0</v>
      </c>
      <c r="I38" s="586">
        <f>+'Additional  Est Input'!AR189+'OH Constr'!AR297+'115 kV &amp; 345 kV HPFF'!AR115+'115 kV Und XLPE'!AR118+'345 kV Und XLPE'!AR118+'Substation Const'!AR657+Removals!AR189+Substation_D!AR170</f>
        <v>0</v>
      </c>
      <c r="J38" s="586"/>
      <c r="K38" s="586">
        <f t="shared" si="1"/>
        <v>0</v>
      </c>
      <c r="L38" s="586"/>
      <c r="M38" s="586">
        <f t="shared" si="2"/>
        <v>0</v>
      </c>
      <c r="N38" s="170"/>
    </row>
    <row r="39" spans="1:14" ht="12.6" customHeight="1" x14ac:dyDescent="0.25">
      <c r="A39" s="170"/>
      <c r="B39" s="376">
        <f>+Parameters!D37</f>
        <v>34</v>
      </c>
      <c r="C39" s="170" t="str">
        <f>+Parameters!E37</f>
        <v>Cable - AG 345 kv ( incl terms)</v>
      </c>
      <c r="D39" s="2688" t="str">
        <f>+Parameters!F37</f>
        <v>lf</v>
      </c>
      <c r="E39" s="844">
        <f>+'Additional  Est Input'!H190+'OH Constr'!H298+'115 kV &amp; 345 kV HPFF'!H116+'115 kV Und XLPE'!H119+'345 kV Und XLPE'!H119+'Substation Const'!H658+Removals!H190+Substation_D!H171</f>
        <v>0</v>
      </c>
      <c r="F39" s="586">
        <f>+'Additional  Est Input'!AI190+'Additional  Est Input'!AL190+'OH Constr'!AI298+'OH Constr'!AL298+'115 kV &amp; 345 kV HPFF'!AI116+'115 kV &amp; 345 kV HPFF'!AL116+'115 kV Und XLPE'!AI119+'115 kV Und XLPE'!AL119+'345 kV Und XLPE'!AI119+'345 kV Und XLPE'!AL119+'Substation Const'!AI658+'Substation Const'!AL658+Removals!AI190+Removals!AL190+Substation_D!AI171+Substation_D!AL171</f>
        <v>0</v>
      </c>
      <c r="G39" s="844">
        <f>+'Additional  Est Input'!AM190+'OH Constr'!AM298+'115 kV &amp; 345 kV HPFF'!AM116+'115 kV Und XLPE'!AM119+'345 kV Und XLPE'!AM119+'Substation Const'!AM658+Removals!AM190+Substation_D!AM171</f>
        <v>0</v>
      </c>
      <c r="H39" s="844">
        <f>+'Additional  Est Input'!AN190+'OH Constr'!AN298+'115 kV &amp; 345 kV HPFF'!AN116+'115 kV Und XLPE'!AN119+'345 kV Und XLPE'!AN119+'Substation Const'!AN658+Removals!AN190+Substation_D!AN171</f>
        <v>0</v>
      </c>
      <c r="I39" s="586">
        <f>+'Additional  Est Input'!AR190+'OH Constr'!AR298+'115 kV &amp; 345 kV HPFF'!AR116+'115 kV Und XLPE'!AR119+'345 kV Und XLPE'!AR119+'Substation Const'!AR658+Removals!AR190+Substation_D!AR171</f>
        <v>0</v>
      </c>
      <c r="J39" s="586"/>
      <c r="K39" s="586">
        <f t="shared" si="1"/>
        <v>0</v>
      </c>
      <c r="L39" s="586"/>
      <c r="M39" s="586">
        <f t="shared" si="2"/>
        <v>0</v>
      </c>
      <c r="N39" s="170"/>
    </row>
    <row r="40" spans="1:14" ht="12.6" customHeight="1" x14ac:dyDescent="0.25">
      <c r="A40" s="170"/>
      <c r="B40" s="376">
        <f>+Parameters!D38</f>
        <v>35</v>
      </c>
      <c r="C40" s="170" t="str">
        <f>+Parameters!E38</f>
        <v>Cable - OPGW / Shield ( incl terms)</v>
      </c>
      <c r="D40" s="2688" t="str">
        <f>+Parameters!F38</f>
        <v>lf</v>
      </c>
      <c r="E40" s="844">
        <f>+'Additional  Est Input'!H191+'OH Constr'!H299+'115 kV &amp; 345 kV HPFF'!H117+'115 kV Und XLPE'!H120+'345 kV Und XLPE'!H120+'Substation Const'!H659+Removals!H191+Substation_D!H172</f>
        <v>0</v>
      </c>
      <c r="F40" s="586">
        <f>+'Additional  Est Input'!AI191+'Additional  Est Input'!AL191+'OH Constr'!AI299+'OH Constr'!AL299+'115 kV &amp; 345 kV HPFF'!AI117+'115 kV &amp; 345 kV HPFF'!AL117+'115 kV Und XLPE'!AI120+'115 kV Und XLPE'!AL120+'345 kV Und XLPE'!AI120+'345 kV Und XLPE'!AL120+'Substation Const'!AI659+'Substation Const'!AL659+Removals!AI191+Removals!AL191+Substation_D!AI172+Substation_D!AL172</f>
        <v>0</v>
      </c>
      <c r="G40" s="844">
        <f>+'Additional  Est Input'!AM191+'OH Constr'!AM299+'115 kV &amp; 345 kV HPFF'!AM117+'115 kV Und XLPE'!AM120+'345 kV Und XLPE'!AM120+'Substation Const'!AM659+Removals!AM191+Substation_D!AM172</f>
        <v>0</v>
      </c>
      <c r="H40" s="844">
        <f>+'Additional  Est Input'!AN191+'OH Constr'!AN299+'115 kV &amp; 345 kV HPFF'!AN117+'115 kV Und XLPE'!AN120+'345 kV Und XLPE'!AN120+'Substation Const'!AN659+Removals!AN191+Substation_D!AN172</f>
        <v>0</v>
      </c>
      <c r="I40" s="586">
        <f>+'Additional  Est Input'!AR191+'OH Constr'!AR299+'115 kV &amp; 345 kV HPFF'!AR117+'115 kV Und XLPE'!AR120+'345 kV Und XLPE'!AR120+'Substation Const'!AR659+Removals!AR191+Substation_D!AR172</f>
        <v>0</v>
      </c>
      <c r="J40" s="586"/>
      <c r="K40" s="586">
        <f t="shared" si="1"/>
        <v>0</v>
      </c>
      <c r="L40" s="586"/>
      <c r="M40" s="586">
        <f t="shared" si="2"/>
        <v>0</v>
      </c>
      <c r="N40" s="170"/>
    </row>
    <row r="41" spans="1:14" ht="12.6" customHeight="1" x14ac:dyDescent="0.25">
      <c r="A41" s="170"/>
      <c r="B41" s="376">
        <f>+Parameters!D39</f>
        <v>36</v>
      </c>
      <c r="C41" s="170" t="str">
        <f>+Parameters!E39</f>
        <v>Cable - Control ( incl terms)</v>
      </c>
      <c r="D41" s="2688" t="str">
        <f>+Parameters!F39</f>
        <v>lf</v>
      </c>
      <c r="E41" s="844">
        <f>+'Additional  Est Input'!H192+'OH Constr'!H300+'115 kV &amp; 345 kV HPFF'!H118+'115 kV Und XLPE'!H121+'345 kV Und XLPE'!H121+'Substation Const'!H660+Removals!H192+Substation_D!H173</f>
        <v>0</v>
      </c>
      <c r="F41" s="586">
        <f>+'Additional  Est Input'!AI192+'Additional  Est Input'!AL192+'OH Constr'!AI300+'OH Constr'!AL300+'115 kV &amp; 345 kV HPFF'!AI118+'115 kV &amp; 345 kV HPFF'!AL118+'115 kV Und XLPE'!AI121+'115 kV Und XLPE'!AL121+'345 kV Und XLPE'!AI121+'345 kV Und XLPE'!AL121+'Substation Const'!AI660+'Substation Const'!AL660+Removals!AI192+Removals!AL192+Substation_D!AI173+Substation_D!AL173</f>
        <v>0</v>
      </c>
      <c r="G41" s="844">
        <f>+'Additional  Est Input'!AM192+'OH Constr'!AM300+'115 kV &amp; 345 kV HPFF'!AM118+'115 kV Und XLPE'!AM121+'345 kV Und XLPE'!AM121+'Substation Const'!AM660+Removals!AM192+Substation_D!AM173</f>
        <v>0</v>
      </c>
      <c r="H41" s="844">
        <f>+'Additional  Est Input'!AN192+'OH Constr'!AN300+'115 kV &amp; 345 kV HPFF'!AN118+'115 kV Und XLPE'!AN121+'345 kV Und XLPE'!AN121+'Substation Const'!AN660+Removals!AN192+Substation_D!AN173</f>
        <v>0</v>
      </c>
      <c r="I41" s="586">
        <f>+'Additional  Est Input'!AR192+'OH Constr'!AR300+'115 kV &amp; 345 kV HPFF'!AR118+'115 kV Und XLPE'!AR121+'345 kV Und XLPE'!AR121+'Substation Const'!AR660+Removals!AR192+Substation_D!AR173</f>
        <v>0</v>
      </c>
      <c r="J41" s="586"/>
      <c r="K41" s="586">
        <f t="shared" si="1"/>
        <v>0</v>
      </c>
      <c r="L41" s="586"/>
      <c r="M41" s="586">
        <f t="shared" si="2"/>
        <v>0</v>
      </c>
      <c r="N41" s="170"/>
    </row>
    <row r="42" spans="1:14" ht="12.6" customHeight="1" x14ac:dyDescent="0.25">
      <c r="A42" s="170"/>
      <c r="B42" s="376">
        <f>+Parameters!D40</f>
        <v>37</v>
      </c>
      <c r="C42" s="170" t="str">
        <f>+Parameters!E40</f>
        <v>Cable - Communication / Oher ( incl terms)</v>
      </c>
      <c r="D42" s="2688" t="str">
        <f>+Parameters!F40</f>
        <v>lf</v>
      </c>
      <c r="E42" s="844">
        <f>+'Additional  Est Input'!H193+'OH Constr'!H301+'115 kV &amp; 345 kV HPFF'!H119+'115 kV Und XLPE'!H122+'345 kV Und XLPE'!H122+'Substation Const'!H661+Removals!H193+Substation_D!H174</f>
        <v>0</v>
      </c>
      <c r="F42" s="586">
        <f>+'Additional  Est Input'!AI193+'Additional  Est Input'!AL193+'OH Constr'!AI301+'OH Constr'!AL301+'115 kV &amp; 345 kV HPFF'!AI119+'115 kV &amp; 345 kV HPFF'!AL119+'115 kV Und XLPE'!AI122+'115 kV Und XLPE'!AL122+'345 kV Und XLPE'!AI122+'345 kV Und XLPE'!AL122+'Substation Const'!AI661+'Substation Const'!AL661+Removals!AI193+Removals!AL193+Substation_D!AI174+Substation_D!AL174</f>
        <v>0</v>
      </c>
      <c r="G42" s="844">
        <f>+'Additional  Est Input'!AM193+'OH Constr'!AM301+'115 kV &amp; 345 kV HPFF'!AM119+'115 kV Und XLPE'!AM122+'345 kV Und XLPE'!AM122+'Substation Const'!AM661+Removals!AM193+Substation_D!AM174</f>
        <v>0</v>
      </c>
      <c r="H42" s="844">
        <f>+'Additional  Est Input'!AN193+'OH Constr'!AN301+'115 kV &amp; 345 kV HPFF'!AN119+'115 kV Und XLPE'!AN122+'345 kV Und XLPE'!AN122+'Substation Const'!AN661+Removals!AN193+Substation_D!AN174</f>
        <v>0</v>
      </c>
      <c r="I42" s="586">
        <f>+'Additional  Est Input'!AR193+'OH Constr'!AR301+'115 kV &amp; 345 kV HPFF'!AR119+'115 kV Und XLPE'!AR122+'345 kV Und XLPE'!AR122+'Substation Const'!AR661+Removals!AR193+Substation_D!AR174</f>
        <v>0</v>
      </c>
      <c r="J42" s="586"/>
      <c r="K42" s="586">
        <f t="shared" si="1"/>
        <v>0</v>
      </c>
      <c r="L42" s="586"/>
      <c r="M42" s="586">
        <f t="shared" si="2"/>
        <v>0</v>
      </c>
      <c r="N42" s="170"/>
    </row>
    <row r="43" spans="1:14" ht="12.6" customHeight="1" x14ac:dyDescent="0.25">
      <c r="A43" s="170"/>
      <c r="B43" s="376">
        <f>+Parameters!D41</f>
        <v>38</v>
      </c>
      <c r="C43" s="170" t="str">
        <f>+Parameters!E41</f>
        <v>Cable - Power ( incl terms)</v>
      </c>
      <c r="D43" s="2688" t="str">
        <f>+Parameters!F41</f>
        <v>lf</v>
      </c>
      <c r="E43" s="844">
        <f>+'Additional  Est Input'!H194+'OH Constr'!H302+'115 kV &amp; 345 kV HPFF'!H120+'115 kV Und XLPE'!H123+'345 kV Und XLPE'!H123+'Substation Const'!H662+Removals!H194+Substation_D!H175</f>
        <v>0</v>
      </c>
      <c r="F43" s="586">
        <f>+'Additional  Est Input'!AI194+'Additional  Est Input'!AL194+'OH Constr'!AI302+'OH Constr'!AL302+'115 kV &amp; 345 kV HPFF'!AI120+'115 kV &amp; 345 kV HPFF'!AL120+'115 kV Und XLPE'!AI123+'115 kV Und XLPE'!AL123+'345 kV Und XLPE'!AI123+'345 kV Und XLPE'!AL123+'Substation Const'!AI662+'Substation Const'!AL662+Removals!AI194+Removals!AL194+Substation_D!AI175+Substation_D!AL175</f>
        <v>0</v>
      </c>
      <c r="G43" s="844">
        <f>+'Additional  Est Input'!AM194+'OH Constr'!AM302+'115 kV &amp; 345 kV HPFF'!AM120+'115 kV Und XLPE'!AM123+'345 kV Und XLPE'!AM123+'Substation Const'!AM662+Removals!AM194+Substation_D!AM175</f>
        <v>0</v>
      </c>
      <c r="H43" s="844">
        <f>+'Additional  Est Input'!AN194+'OH Constr'!AN302+'115 kV &amp; 345 kV HPFF'!AN120+'115 kV Und XLPE'!AN123+'345 kV Und XLPE'!AN123+'Substation Const'!AN662+Removals!AN194+Substation_D!AN175</f>
        <v>0</v>
      </c>
      <c r="I43" s="586">
        <f>+'Additional  Est Input'!AR194+'OH Constr'!AR302+'115 kV &amp; 345 kV HPFF'!AR120+'115 kV Und XLPE'!AR123+'345 kV Und XLPE'!AR123+'Substation Const'!AR662+Removals!AR194+Substation_D!AR175</f>
        <v>0</v>
      </c>
      <c r="J43" s="586"/>
      <c r="K43" s="586">
        <f t="shared" si="1"/>
        <v>0</v>
      </c>
      <c r="L43" s="586"/>
      <c r="M43" s="586">
        <f t="shared" si="2"/>
        <v>0</v>
      </c>
      <c r="N43" s="170"/>
    </row>
    <row r="44" spans="1:14" ht="12.6" customHeight="1" x14ac:dyDescent="0.25">
      <c r="A44" s="170"/>
      <c r="B44" s="376">
        <f>+Parameters!D42</f>
        <v>39</v>
      </c>
      <c r="C44" s="170" t="str">
        <f>+Parameters!E42</f>
        <v>Cable - Other</v>
      </c>
      <c r="D44" s="2688" t="str">
        <f>+Parameters!F42</f>
        <v>lf</v>
      </c>
      <c r="E44" s="844">
        <f>+'Additional  Est Input'!H195+'OH Constr'!H303+'115 kV &amp; 345 kV HPFF'!H121+'115 kV Und XLPE'!H124+'345 kV Und XLPE'!H124+'Substation Const'!H663+Removals!H195+Substation_D!H176</f>
        <v>0</v>
      </c>
      <c r="F44" s="586">
        <f>+'Additional  Est Input'!AI195+'Additional  Est Input'!AL195+'OH Constr'!AI303+'OH Constr'!AL303+'115 kV &amp; 345 kV HPFF'!AI121+'115 kV &amp; 345 kV HPFF'!AL121+'115 kV Und XLPE'!AI124+'115 kV Und XLPE'!AL124+'345 kV Und XLPE'!AI124+'345 kV Und XLPE'!AL124+'Substation Const'!AI663+'Substation Const'!AL663+Removals!AI195+Removals!AL195+Substation_D!AI176+Substation_D!AL176</f>
        <v>0</v>
      </c>
      <c r="G44" s="844">
        <f>+'Additional  Est Input'!AM195+'OH Constr'!AM303+'115 kV &amp; 345 kV HPFF'!AM121+'115 kV Und XLPE'!AM124+'345 kV Und XLPE'!AM124+'Substation Const'!AM663+Removals!AM195+Substation_D!AM176</f>
        <v>0</v>
      </c>
      <c r="H44" s="844">
        <f>+'Additional  Est Input'!AN195+'OH Constr'!AN303+'115 kV &amp; 345 kV HPFF'!AN121+'115 kV Und XLPE'!AN124+'345 kV Und XLPE'!AN124+'Substation Const'!AN663+Removals!AN195+Substation_D!AN176</f>
        <v>0</v>
      </c>
      <c r="I44" s="586">
        <f>+'Additional  Est Input'!AR195+'OH Constr'!AR303+'115 kV &amp; 345 kV HPFF'!AR121+'115 kV Und XLPE'!AR124+'345 kV Und XLPE'!AR124+'Substation Const'!AR663+Removals!AR195+Substation_D!AR176</f>
        <v>0</v>
      </c>
      <c r="J44" s="586"/>
      <c r="K44" s="586">
        <f t="shared" si="1"/>
        <v>0</v>
      </c>
      <c r="L44" s="586"/>
      <c r="M44" s="586">
        <f t="shared" si="2"/>
        <v>0</v>
      </c>
      <c r="N44" s="170"/>
    </row>
    <row r="45" spans="1:14" ht="12.6" customHeight="1" x14ac:dyDescent="0.25">
      <c r="A45" s="170"/>
      <c r="B45" s="376">
        <f>+Parameters!D43</f>
        <v>40</v>
      </c>
      <c r="C45" s="170" t="str">
        <f>+Parameters!E43</f>
        <v>Structures - buildings</v>
      </c>
      <c r="D45" s="2688">
        <f>+Parameters!F43</f>
        <v>0</v>
      </c>
      <c r="E45" s="844">
        <f>+'Additional  Est Input'!H196+'OH Constr'!H304+'115 kV &amp; 345 kV HPFF'!H122+'115 kV Und XLPE'!H125+'345 kV Und XLPE'!H125+'Substation Const'!H664+Removals!H196+Substation_D!H177</f>
        <v>0</v>
      </c>
      <c r="F45" s="586">
        <f>+'Additional  Est Input'!AI196+'Additional  Est Input'!AL196+'OH Constr'!AI304+'OH Constr'!AL304+'115 kV &amp; 345 kV HPFF'!AI122+'115 kV &amp; 345 kV HPFF'!AL122+'115 kV Und XLPE'!AI125+'115 kV Und XLPE'!AL125+'345 kV Und XLPE'!AI125+'345 kV Und XLPE'!AL125+'Substation Const'!AI664+'Substation Const'!AL664+Removals!AI196+Removals!AL196+Substation_D!AI177+Substation_D!AL177</f>
        <v>0</v>
      </c>
      <c r="G45" s="844">
        <f>+'Additional  Est Input'!AM196+'OH Constr'!AM304+'115 kV &amp; 345 kV HPFF'!AM122+'115 kV Und XLPE'!AM125+'345 kV Und XLPE'!AM125+'Substation Const'!AM664+Removals!AM196+Substation_D!AM177</f>
        <v>0</v>
      </c>
      <c r="H45" s="844">
        <f>+'Additional  Est Input'!AN196+'OH Constr'!AN304+'115 kV &amp; 345 kV HPFF'!AN122+'115 kV Und XLPE'!AN125+'345 kV Und XLPE'!AN125+'Substation Const'!AN664+Removals!AN196+Substation_D!AN177</f>
        <v>0</v>
      </c>
      <c r="I45" s="586">
        <f>+'Additional  Est Input'!AR196+'OH Constr'!AR304+'115 kV &amp; 345 kV HPFF'!AR122+'115 kV Und XLPE'!AR125+'345 kV Und XLPE'!AR125+'Substation Const'!AR664+Removals!AR196+Substation_D!AR177</f>
        <v>0</v>
      </c>
      <c r="J45" s="586"/>
      <c r="K45" s="586">
        <f t="shared" si="1"/>
        <v>0</v>
      </c>
      <c r="L45" s="586"/>
      <c r="M45" s="586">
        <f t="shared" si="2"/>
        <v>0</v>
      </c>
      <c r="N45" s="170"/>
    </row>
    <row r="46" spans="1:14" ht="12.6" customHeight="1" x14ac:dyDescent="0.25">
      <c r="A46" s="170"/>
      <c r="B46" s="376">
        <f>+Parameters!D44</f>
        <v>41</v>
      </c>
      <c r="C46" s="170" t="str">
        <f>+Parameters!E44</f>
        <v>Structures - Poles - monopoles</v>
      </c>
      <c r="D46" s="2688" t="s">
        <v>3440</v>
      </c>
      <c r="E46" s="844">
        <f>+'Additional  Est Input'!H197+'OH Constr'!H305+'115 kV &amp; 345 kV HPFF'!H123+'115 kV Und XLPE'!H126+'345 kV Und XLPE'!H126+'Substation Const'!H665+Removals!H197+Substation_D!H178</f>
        <v>0</v>
      </c>
      <c r="F46" s="586">
        <f>+'Additional  Est Input'!AI197+'Additional  Est Input'!AL197+'OH Constr'!AI305+'OH Constr'!AL305+'115 kV &amp; 345 kV HPFF'!AI123+'115 kV &amp; 345 kV HPFF'!AL123+'115 kV Und XLPE'!AI126+'115 kV Und XLPE'!AL126+'345 kV Und XLPE'!AI126+'345 kV Und XLPE'!AL126+'Substation Const'!AI665+'Substation Const'!AL665+Removals!AI197+Removals!AL197+Substation_D!AI178+Substation_D!AL178</f>
        <v>0</v>
      </c>
      <c r="G46" s="844">
        <f>+'Additional  Est Input'!AM197+'OH Constr'!AM305+'115 kV &amp; 345 kV HPFF'!AM123+'115 kV Und XLPE'!AM126+'345 kV Und XLPE'!AM126+'Substation Const'!AM665+Removals!AM197+Substation_D!AM178</f>
        <v>0</v>
      </c>
      <c r="H46" s="844">
        <f>+'Additional  Est Input'!AN197+'OH Constr'!AN305+'115 kV &amp; 345 kV HPFF'!AN123+'115 kV Und XLPE'!AN126+'345 kV Und XLPE'!AN126+'Substation Const'!AN665+Removals!AN197+Substation_D!AN178</f>
        <v>0</v>
      </c>
      <c r="I46" s="586">
        <f>+'Additional  Est Input'!AR197+'OH Constr'!AR305+'115 kV &amp; 345 kV HPFF'!AR123+'115 kV Und XLPE'!AR126+'345 kV Und XLPE'!AR126+'Substation Const'!AR665+Removals!AR197+Substation_D!AR178</f>
        <v>0</v>
      </c>
      <c r="J46" s="586"/>
      <c r="K46" s="586">
        <f t="shared" si="1"/>
        <v>0</v>
      </c>
      <c r="L46" s="586"/>
      <c r="M46" s="586">
        <f t="shared" si="2"/>
        <v>0</v>
      </c>
      <c r="N46" s="170"/>
    </row>
    <row r="47" spans="1:14" ht="12.6" customHeight="1" x14ac:dyDescent="0.25">
      <c r="A47" s="170"/>
      <c r="B47" s="376">
        <f>+Parameters!D45</f>
        <v>42</v>
      </c>
      <c r="C47" s="170" t="str">
        <f>+Parameters!E45</f>
        <v>Structures - Poles - frame</v>
      </c>
      <c r="D47" s="2688" t="str">
        <f>+Parameters!F45</f>
        <v>ea</v>
      </c>
      <c r="E47" s="844">
        <f>+'Additional  Est Input'!H198+'OH Constr'!H306+'115 kV &amp; 345 kV HPFF'!H124+'115 kV Und XLPE'!H127+'345 kV Und XLPE'!H127+'Substation Const'!H666+Removals!H198+Substation_D!H179</f>
        <v>0</v>
      </c>
      <c r="F47" s="586">
        <f>+'Additional  Est Input'!AI198+'Additional  Est Input'!AL198+'OH Constr'!AI306+'OH Constr'!AL306+'115 kV &amp; 345 kV HPFF'!AI124+'115 kV &amp; 345 kV HPFF'!AL124+'115 kV Und XLPE'!AI127+'115 kV Und XLPE'!AL127+'345 kV Und XLPE'!AI127+'345 kV Und XLPE'!AL127+'Substation Const'!AI666+'Substation Const'!AL666+Removals!AI198+Removals!AL198+Substation_D!AI179+Substation_D!AL179</f>
        <v>0</v>
      </c>
      <c r="G47" s="844">
        <f>+'Additional  Est Input'!AM198+'OH Constr'!AM306+'115 kV &amp; 345 kV HPFF'!AM124+'115 kV Und XLPE'!AM127+'345 kV Und XLPE'!AM127+'Substation Const'!AM666+Removals!AM198+Substation_D!AM179</f>
        <v>0</v>
      </c>
      <c r="H47" s="844">
        <f>+'Additional  Est Input'!AN198+'OH Constr'!AN306+'115 kV &amp; 345 kV HPFF'!AN124+'115 kV Und XLPE'!AN127+'345 kV Und XLPE'!AN127+'Substation Const'!AN666+Removals!AN198+Substation_D!AN179</f>
        <v>0</v>
      </c>
      <c r="I47" s="586">
        <f>+'Additional  Est Input'!AR198+'OH Constr'!AR306+'115 kV &amp; 345 kV HPFF'!AR124+'115 kV Und XLPE'!AR127+'345 kV Und XLPE'!AR127+'Substation Const'!AR666+Removals!AR198+Substation_D!AR179</f>
        <v>0</v>
      </c>
      <c r="J47" s="586"/>
      <c r="K47" s="586">
        <f t="shared" si="1"/>
        <v>0</v>
      </c>
      <c r="L47" s="586"/>
      <c r="M47" s="586">
        <f t="shared" si="2"/>
        <v>0</v>
      </c>
      <c r="N47" s="170"/>
    </row>
    <row r="48" spans="1:14" ht="12.6" customHeight="1" x14ac:dyDescent="0.25">
      <c r="A48" s="170"/>
      <c r="B48" s="376">
        <f>+Parameters!D46</f>
        <v>43</v>
      </c>
      <c r="C48" s="170" t="str">
        <f>+Parameters!E46</f>
        <v>Structures - Poles - Guys</v>
      </c>
      <c r="D48" s="2688" t="str">
        <f>+Parameters!F46</f>
        <v>ea</v>
      </c>
      <c r="E48" s="844">
        <f>+'Additional  Est Input'!H199+'OH Constr'!H307+'115 kV &amp; 345 kV HPFF'!H125+'115 kV Und XLPE'!H128+'345 kV Und XLPE'!H128+'Substation Const'!H667+Removals!H199+Substation_D!H180</f>
        <v>0</v>
      </c>
      <c r="F48" s="586">
        <f>+'Additional  Est Input'!AI199+'Additional  Est Input'!AL199+'OH Constr'!AI307+'OH Constr'!AL307+'115 kV &amp; 345 kV HPFF'!AI125+'115 kV &amp; 345 kV HPFF'!AL125+'115 kV Und XLPE'!AI128+'115 kV Und XLPE'!AL128+'345 kV Und XLPE'!AI128+'345 kV Und XLPE'!AL128+'Substation Const'!AI667+'Substation Const'!AL667+Removals!AI199+Removals!AL199+Substation_D!AI180+Substation_D!AL180</f>
        <v>0</v>
      </c>
      <c r="G48" s="844">
        <f>+'Additional  Est Input'!AM199+'OH Constr'!AM307+'115 kV &amp; 345 kV HPFF'!AM125+'115 kV Und XLPE'!AM128+'345 kV Und XLPE'!AM128+'Substation Const'!AM667+Removals!AM199+Substation_D!AM180</f>
        <v>0</v>
      </c>
      <c r="H48" s="844">
        <f>+'Additional  Est Input'!AN199+'OH Constr'!AN307+'115 kV &amp; 345 kV HPFF'!AN125+'115 kV Und XLPE'!AN128+'345 kV Und XLPE'!AN128+'Substation Const'!AN667+Removals!AN199+Substation_D!AN180</f>
        <v>0</v>
      </c>
      <c r="I48" s="586">
        <f>+'Additional  Est Input'!AR199+'OH Constr'!AR307+'115 kV &amp; 345 kV HPFF'!AR125+'115 kV Und XLPE'!AR128+'345 kV Und XLPE'!AR128+'Substation Const'!AR667+Removals!AR199+Substation_D!AR180</f>
        <v>0</v>
      </c>
      <c r="J48" s="586"/>
      <c r="K48" s="586">
        <f t="shared" si="1"/>
        <v>0</v>
      </c>
      <c r="L48" s="586"/>
      <c r="M48" s="586">
        <f t="shared" si="2"/>
        <v>0</v>
      </c>
      <c r="N48" s="170"/>
    </row>
    <row r="49" spans="1:14" ht="12.6" customHeight="1" x14ac:dyDescent="0.25">
      <c r="A49" s="170"/>
      <c r="B49" s="376">
        <f>+Parameters!D47</f>
        <v>44</v>
      </c>
      <c r="C49" s="170">
        <f>+Parameters!E47</f>
        <v>0</v>
      </c>
      <c r="D49" s="2688">
        <f>+Parameters!F47</f>
        <v>0</v>
      </c>
      <c r="E49" s="844">
        <f>+'Additional  Est Input'!H200+'OH Constr'!H308+'115 kV &amp; 345 kV HPFF'!H126+'115 kV Und XLPE'!H129+'345 kV Und XLPE'!H129+'Substation Const'!H668+Removals!H200+Substation_D!H181</f>
        <v>0</v>
      </c>
      <c r="F49" s="586">
        <f>+'Additional  Est Input'!AI200+'Additional  Est Input'!AL200+'OH Constr'!AI308+'OH Constr'!AL308+'115 kV &amp; 345 kV HPFF'!AI126+'115 kV &amp; 345 kV HPFF'!AL126+'115 kV Und XLPE'!AI129+'115 kV Und XLPE'!AL129+'345 kV Und XLPE'!AI129+'345 kV Und XLPE'!AL129+'Substation Const'!AI668+'Substation Const'!AL668+Removals!AI200+Removals!AL200+Substation_D!AI181+Substation_D!AL181</f>
        <v>0</v>
      </c>
      <c r="G49" s="844">
        <f>+'Additional  Est Input'!AM200+'OH Constr'!AM308+'115 kV &amp; 345 kV HPFF'!AM126+'115 kV Und XLPE'!AM129+'345 kV Und XLPE'!AM129+'Substation Const'!AM668+Removals!AM200+Substation_D!AM181</f>
        <v>0</v>
      </c>
      <c r="H49" s="844">
        <f>+'Additional  Est Input'!AN200+'OH Constr'!AN308+'115 kV &amp; 345 kV HPFF'!AN126+'115 kV Und XLPE'!AN129+'345 kV Und XLPE'!AN129+'Substation Const'!AN668+Removals!AN200+Substation_D!AN181</f>
        <v>0</v>
      </c>
      <c r="I49" s="586">
        <f>+'Additional  Est Input'!AR200+'OH Constr'!AR308+'115 kV &amp; 345 kV HPFF'!AR126+'115 kV Und XLPE'!AR129+'345 kV Und XLPE'!AR129+'Substation Const'!AR668+Removals!AR200+Substation_D!AR181</f>
        <v>0</v>
      </c>
      <c r="J49" s="586"/>
      <c r="K49" s="586">
        <f t="shared" si="1"/>
        <v>0</v>
      </c>
      <c r="L49" s="586"/>
      <c r="M49" s="586">
        <f t="shared" si="2"/>
        <v>0</v>
      </c>
      <c r="N49" s="170"/>
    </row>
    <row r="50" spans="1:14" ht="12.6" customHeight="1" x14ac:dyDescent="0.25">
      <c r="A50" s="170"/>
      <c r="B50" s="376">
        <f>+Parameters!D48</f>
        <v>45</v>
      </c>
      <c r="C50" s="170" t="str">
        <f>+Parameters!E48</f>
        <v>Structures - S.S.</v>
      </c>
      <c r="D50" s="2688" t="str">
        <f>+Parameters!F48</f>
        <v>tn</v>
      </c>
      <c r="E50" s="844">
        <f>+'Additional  Est Input'!H201+'OH Constr'!H309+'115 kV &amp; 345 kV HPFF'!H127+'115 kV Und XLPE'!H130+'345 kV Und XLPE'!H130+'Substation Const'!H669+Removals!H201+Substation_D!H182</f>
        <v>0</v>
      </c>
      <c r="F50" s="586">
        <f>+'Additional  Est Input'!AI201+'Additional  Est Input'!AL201+'OH Constr'!AI309+'OH Constr'!AL309+'115 kV &amp; 345 kV HPFF'!AI127+'115 kV &amp; 345 kV HPFF'!AL127+'115 kV Und XLPE'!AI130+'115 kV Und XLPE'!AL130+'345 kV Und XLPE'!AI130+'345 kV Und XLPE'!AL130+'Substation Const'!AI669+'Substation Const'!AL669+Removals!AI201+Removals!AL201+Substation_D!AI182+Substation_D!AL182</f>
        <v>0</v>
      </c>
      <c r="G50" s="844">
        <f>+'Additional  Est Input'!AM201+'OH Constr'!AM309+'115 kV &amp; 345 kV HPFF'!AM127+'115 kV Und XLPE'!AM130+'345 kV Und XLPE'!AM130+'Substation Const'!AM669+Removals!AM201+Substation_D!AM182</f>
        <v>0</v>
      </c>
      <c r="H50" s="844">
        <f>+'Additional  Est Input'!AN201+'OH Constr'!AN309+'115 kV &amp; 345 kV HPFF'!AN127+'115 kV Und XLPE'!AN130+'345 kV Und XLPE'!AN130+'Substation Const'!AN669+Removals!AN201+Substation_D!AN182</f>
        <v>0</v>
      </c>
      <c r="I50" s="586">
        <f>+'Additional  Est Input'!AR201+'OH Constr'!AR309+'115 kV &amp; 345 kV HPFF'!AR127+'115 kV Und XLPE'!AR130+'345 kV Und XLPE'!AR130+'Substation Const'!AR669+Removals!AR201+Substation_D!AR182</f>
        <v>0</v>
      </c>
      <c r="J50" s="586"/>
      <c r="K50" s="586">
        <f t="shared" si="1"/>
        <v>0</v>
      </c>
      <c r="L50" s="586"/>
      <c r="M50" s="586">
        <f t="shared" si="2"/>
        <v>0</v>
      </c>
      <c r="N50" s="170"/>
    </row>
    <row r="51" spans="1:14" ht="12.6" customHeight="1" x14ac:dyDescent="0.25">
      <c r="A51" s="170"/>
      <c r="B51" s="376">
        <f>+Parameters!D49</f>
        <v>46</v>
      </c>
      <c r="C51" s="170" t="str">
        <f>+Parameters!E49</f>
        <v>Structures - Platforms</v>
      </c>
      <c r="D51" s="2688" t="str">
        <f>+Parameters!F49</f>
        <v>tn</v>
      </c>
      <c r="E51" s="844">
        <f>+'Additional  Est Input'!H202+'OH Constr'!H310+'115 kV &amp; 345 kV HPFF'!H128+'115 kV Und XLPE'!H131+'345 kV Und XLPE'!H131+'Substation Const'!H670+Removals!H202+Substation_D!H183</f>
        <v>0</v>
      </c>
      <c r="F51" s="586">
        <f>+'Additional  Est Input'!AI202+'Additional  Est Input'!AL202+'OH Constr'!AI310+'OH Constr'!AL310+'115 kV &amp; 345 kV HPFF'!AI128+'115 kV &amp; 345 kV HPFF'!AL128+'115 kV Und XLPE'!AI131+'115 kV Und XLPE'!AL131+'345 kV Und XLPE'!AI131+'345 kV Und XLPE'!AL131+'Substation Const'!AI670+'Substation Const'!AL670+Removals!AI202+Removals!AL202+Substation_D!AI183+Substation_D!AL183</f>
        <v>0</v>
      </c>
      <c r="G51" s="844">
        <f>+'Additional  Est Input'!AM202+'OH Constr'!AM310+'115 kV &amp; 345 kV HPFF'!AM128+'115 kV Und XLPE'!AM131+'345 kV Und XLPE'!AM131+'Substation Const'!AM670+Removals!AM202+Substation_D!AM183</f>
        <v>0</v>
      </c>
      <c r="H51" s="844">
        <f>+'Additional  Est Input'!AN202+'OH Constr'!AN310+'115 kV &amp; 345 kV HPFF'!AN128+'115 kV Und XLPE'!AN131+'345 kV Und XLPE'!AN131+'Substation Const'!AN670+Removals!AN202+Substation_D!AN183</f>
        <v>0</v>
      </c>
      <c r="I51" s="586">
        <f>+'Additional  Est Input'!AR202+'OH Constr'!AR310+'115 kV &amp; 345 kV HPFF'!AR128+'115 kV Und XLPE'!AR131+'345 kV Und XLPE'!AR131+'Substation Const'!AR670+Removals!AR202+Substation_D!AR183</f>
        <v>0</v>
      </c>
      <c r="J51" s="586"/>
      <c r="K51" s="586">
        <f t="shared" si="1"/>
        <v>0</v>
      </c>
      <c r="L51" s="586"/>
      <c r="M51" s="586">
        <f t="shared" si="2"/>
        <v>0</v>
      </c>
      <c r="N51" s="170"/>
    </row>
    <row r="52" spans="1:14" ht="12.6" customHeight="1" x14ac:dyDescent="0.25">
      <c r="A52" s="170"/>
      <c r="B52" s="376">
        <f>+Parameters!D50</f>
        <v>47</v>
      </c>
      <c r="C52" s="170">
        <f>+Parameters!E50</f>
        <v>0</v>
      </c>
      <c r="D52" s="2688">
        <f>+Parameters!F50</f>
        <v>0</v>
      </c>
      <c r="E52" s="844">
        <f>+'Additional  Est Input'!H203+'OH Constr'!H311+'115 kV &amp; 345 kV HPFF'!H129+'115 kV Und XLPE'!H132+'345 kV Und XLPE'!H132+'Substation Const'!H671+Removals!H203+Substation_D!H184</f>
        <v>0</v>
      </c>
      <c r="F52" s="586">
        <f>+'Additional  Est Input'!AI203+'Additional  Est Input'!AL203+'OH Constr'!AI311+'OH Constr'!AL311+'115 kV &amp; 345 kV HPFF'!AI129+'115 kV &amp; 345 kV HPFF'!AL129+'115 kV Und XLPE'!AI132+'115 kV Und XLPE'!AL132+'345 kV Und XLPE'!AI132+'345 kV Und XLPE'!AL132+'Substation Const'!AI671+'Substation Const'!AL671+Removals!AI203+Removals!AL203+Substation_D!AI184+Substation_D!AL184</f>
        <v>0</v>
      </c>
      <c r="G52" s="844">
        <f>+'Additional  Est Input'!AM203+'OH Constr'!AM311+'115 kV &amp; 345 kV HPFF'!AM129+'115 kV Und XLPE'!AM132+'345 kV Und XLPE'!AM132+'Substation Const'!AM671+Removals!AM203+Substation_D!AM184</f>
        <v>0</v>
      </c>
      <c r="H52" s="844">
        <f>+'Additional  Est Input'!AN203+'OH Constr'!AN311+'115 kV &amp; 345 kV HPFF'!AN129+'115 kV Und XLPE'!AN132+'345 kV Und XLPE'!AN132+'Substation Const'!AN671+Removals!AN203+Substation_D!AN184</f>
        <v>0</v>
      </c>
      <c r="I52" s="586">
        <f>+'Additional  Est Input'!AR203+'OH Constr'!AR311+'115 kV &amp; 345 kV HPFF'!AR129+'115 kV Und XLPE'!AR132+'345 kV Und XLPE'!AR132+'Substation Const'!AR671+Removals!AR203+Substation_D!AR184</f>
        <v>0</v>
      </c>
      <c r="J52" s="586"/>
      <c r="K52" s="586">
        <f t="shared" si="1"/>
        <v>0</v>
      </c>
      <c r="L52" s="586"/>
      <c r="M52" s="586">
        <f t="shared" si="2"/>
        <v>0</v>
      </c>
      <c r="N52" s="170"/>
    </row>
    <row r="53" spans="1:14" ht="12.6" customHeight="1" x14ac:dyDescent="0.25">
      <c r="A53" s="170"/>
      <c r="B53" s="376">
        <f>+Parameters!D51</f>
        <v>48</v>
      </c>
      <c r="C53" s="170">
        <f>+Parameters!E51</f>
        <v>0</v>
      </c>
      <c r="D53" s="2688">
        <f>+Parameters!F51</f>
        <v>0</v>
      </c>
      <c r="E53" s="844">
        <f>+'Additional  Est Input'!H204+'OH Constr'!H312+'115 kV &amp; 345 kV HPFF'!H130+'115 kV Und XLPE'!H133+'345 kV Und XLPE'!H133+'Substation Const'!H672+Removals!H204+Substation_D!H185</f>
        <v>0</v>
      </c>
      <c r="F53" s="586">
        <f>+'Additional  Est Input'!AI204+'Additional  Est Input'!AL204+'OH Constr'!AI312+'OH Constr'!AL312+'115 kV &amp; 345 kV HPFF'!AI130+'115 kV &amp; 345 kV HPFF'!AL130+'115 kV Und XLPE'!AI133+'115 kV Und XLPE'!AL133+'345 kV Und XLPE'!AI133+'345 kV Und XLPE'!AL133+'Substation Const'!AI672+'Substation Const'!AL672+Removals!AI204+Removals!AL204+Substation_D!AI185+Substation_D!AL185</f>
        <v>0</v>
      </c>
      <c r="G53" s="844">
        <f>+'Additional  Est Input'!AM204+'OH Constr'!AM312+'115 kV &amp; 345 kV HPFF'!AM130+'115 kV Und XLPE'!AM133+'345 kV Und XLPE'!AM133+'Substation Const'!AM672+Removals!AM204+Substation_D!AM185</f>
        <v>0</v>
      </c>
      <c r="H53" s="844">
        <f>+'Additional  Est Input'!AN204+'OH Constr'!AN312+'115 kV &amp; 345 kV HPFF'!AN130+'115 kV Und XLPE'!AN133+'345 kV Und XLPE'!AN133+'Substation Const'!AN672+Removals!AN204+Substation_D!AN185</f>
        <v>0</v>
      </c>
      <c r="I53" s="586">
        <f>+'Additional  Est Input'!AR204+'OH Constr'!AR312+'115 kV &amp; 345 kV HPFF'!AR130+'115 kV Und XLPE'!AR133+'345 kV Und XLPE'!AR133+'Substation Const'!AR672+Removals!AR204+Substation_D!AR185</f>
        <v>0</v>
      </c>
      <c r="J53" s="586"/>
      <c r="K53" s="586">
        <f t="shared" si="1"/>
        <v>0</v>
      </c>
      <c r="L53" s="586"/>
      <c r="M53" s="586">
        <f t="shared" si="2"/>
        <v>0</v>
      </c>
      <c r="N53" s="170"/>
    </row>
    <row r="54" spans="1:14" ht="12.6" customHeight="1" x14ac:dyDescent="0.25">
      <c r="A54" s="170"/>
      <c r="B54" s="376">
        <f>+Parameters!D52</f>
        <v>49</v>
      </c>
      <c r="C54" s="170" t="str">
        <f>+Parameters!E52</f>
        <v>Structures - Others</v>
      </c>
      <c r="D54" s="2688" t="str">
        <f>+Parameters!F52</f>
        <v>tn</v>
      </c>
      <c r="E54" s="844">
        <f>+'Additional  Est Input'!H205+'OH Constr'!H313+'115 kV &amp; 345 kV HPFF'!H131+'115 kV Und XLPE'!H134+'345 kV Und XLPE'!H134+'Substation Const'!H673+Removals!H205+Substation_D!H186</f>
        <v>0</v>
      </c>
      <c r="F54" s="586">
        <f>+'Additional  Est Input'!AI205+'Additional  Est Input'!AL205+'OH Constr'!AI313+'OH Constr'!AL313+'115 kV &amp; 345 kV HPFF'!AI131+'115 kV &amp; 345 kV HPFF'!AL131+'115 kV Und XLPE'!AI134+'115 kV Und XLPE'!AL134+'345 kV Und XLPE'!AI134+'345 kV Und XLPE'!AL134+'Substation Const'!AI673+'Substation Const'!AL673+Removals!AI205+Removals!AL205+Substation_D!AI186+Substation_D!AL186</f>
        <v>0</v>
      </c>
      <c r="G54" s="844">
        <f>+'Additional  Est Input'!AM205+'OH Constr'!AM313+'115 kV &amp; 345 kV HPFF'!AM131+'115 kV Und XLPE'!AM134+'345 kV Und XLPE'!AM134+'Substation Const'!AM673+Removals!AM205+Substation_D!AM186</f>
        <v>0</v>
      </c>
      <c r="H54" s="844">
        <f>+'Additional  Est Input'!AN205+'OH Constr'!AN313+'115 kV &amp; 345 kV HPFF'!AN131+'115 kV Und XLPE'!AN134+'345 kV Und XLPE'!AN134+'Substation Const'!AN673+Removals!AN205+Substation_D!AN186</f>
        <v>0</v>
      </c>
      <c r="I54" s="586">
        <f>+'Additional  Est Input'!AR205+'OH Constr'!AR313+'115 kV &amp; 345 kV HPFF'!AR131+'115 kV Und XLPE'!AR134+'345 kV Und XLPE'!AR134+'Substation Const'!AR673+Removals!AR205+Substation_D!AR186</f>
        <v>0</v>
      </c>
      <c r="J54" s="586"/>
      <c r="K54" s="586">
        <f t="shared" si="1"/>
        <v>0</v>
      </c>
      <c r="L54" s="586"/>
      <c r="M54" s="586">
        <f t="shared" si="2"/>
        <v>0</v>
      </c>
      <c r="N54" s="170"/>
    </row>
    <row r="55" spans="1:14" ht="12.6" customHeight="1" x14ac:dyDescent="0.25">
      <c r="A55" s="170"/>
      <c r="B55" s="376">
        <f>+Parameters!D53</f>
        <v>50</v>
      </c>
      <c r="C55" s="170" t="str">
        <f>+Parameters!E53</f>
        <v>Major Eqt - Circuit Breakers</v>
      </c>
      <c r="D55" s="2688" t="str">
        <f>+Parameters!F53</f>
        <v>ea</v>
      </c>
      <c r="E55" s="844">
        <f>+'Additional  Est Input'!H206+'OH Constr'!H314+'115 kV &amp; 345 kV HPFF'!H132+'115 kV Und XLPE'!H135+'345 kV Und XLPE'!H135+'Substation Const'!H674+Removals!H206+Substation_D!H187</f>
        <v>0</v>
      </c>
      <c r="F55" s="586">
        <f>+'Additional  Est Input'!AI206+'Additional  Est Input'!AL206+'OH Constr'!AI314+'OH Constr'!AL314+'115 kV &amp; 345 kV HPFF'!AI132+'115 kV &amp; 345 kV HPFF'!AL132+'115 kV Und XLPE'!AI135+'115 kV Und XLPE'!AL135+'345 kV Und XLPE'!AI135+'345 kV Und XLPE'!AL135+'Substation Const'!AI674+'Substation Const'!AL674+Removals!AI206+Removals!AL206+Substation_D!AI187+Substation_D!AL187</f>
        <v>0</v>
      </c>
      <c r="G55" s="844">
        <f>+'Additional  Est Input'!AM206+'OH Constr'!AM314+'115 kV &amp; 345 kV HPFF'!AM132+'115 kV Und XLPE'!AM135+'345 kV Und XLPE'!AM135+'Substation Const'!AM674+Removals!AM206+Substation_D!AM187</f>
        <v>0</v>
      </c>
      <c r="H55" s="844">
        <f>+'Additional  Est Input'!AN206+'OH Constr'!AN314+'115 kV &amp; 345 kV HPFF'!AN132+'115 kV Und XLPE'!AN135+'345 kV Und XLPE'!AN135+'Substation Const'!AN674+Removals!AN206+Substation_D!AN187</f>
        <v>0</v>
      </c>
      <c r="I55" s="586">
        <f>+'Additional  Est Input'!AR206+'OH Constr'!AR314+'115 kV &amp; 345 kV HPFF'!AR132+'115 kV Und XLPE'!AR135+'345 kV Und XLPE'!AR135+'Substation Const'!AR674+Removals!AR206+Substation_D!AR187</f>
        <v>0</v>
      </c>
      <c r="J55" s="586"/>
      <c r="K55" s="586">
        <f t="shared" si="1"/>
        <v>0</v>
      </c>
      <c r="L55" s="586"/>
      <c r="M55" s="586">
        <f t="shared" si="2"/>
        <v>0</v>
      </c>
      <c r="N55" s="170"/>
    </row>
    <row r="56" spans="1:14" ht="12.6" customHeight="1" x14ac:dyDescent="0.25">
      <c r="A56" s="170"/>
      <c r="B56" s="376">
        <f>+Parameters!D54</f>
        <v>51</v>
      </c>
      <c r="C56" s="170" t="str">
        <f>+Parameters!E54</f>
        <v>Major Eqt - Transformers</v>
      </c>
      <c r="D56" s="2688" t="str">
        <f>+Parameters!F54</f>
        <v>ea</v>
      </c>
      <c r="E56" s="844">
        <f>+'Additional  Est Input'!H207+'OH Constr'!H315+'115 kV &amp; 345 kV HPFF'!H133+'115 kV Und XLPE'!H136+'345 kV Und XLPE'!H136+'Substation Const'!H675+Removals!H207+Substation_D!H188</f>
        <v>1</v>
      </c>
      <c r="F56" s="586">
        <f>+'Additional  Est Input'!AI207+'Additional  Est Input'!AL207+'OH Constr'!AI315+'OH Constr'!AL315+'115 kV &amp; 345 kV HPFF'!AI133+'115 kV &amp; 345 kV HPFF'!AL133+'115 kV Und XLPE'!AI136+'115 kV Und XLPE'!AL136+'345 kV Und XLPE'!AI136+'345 kV Und XLPE'!AL136+'Substation Const'!AI675+'Substation Const'!AL675+Removals!AI207+Removals!AL207+Substation_D!AI188+Substation_D!AL188</f>
        <v>0</v>
      </c>
      <c r="G56" s="844">
        <f>+'Additional  Est Input'!AM207+'OH Constr'!AM315+'115 kV &amp; 345 kV HPFF'!AM133+'115 kV Und XLPE'!AM136+'345 kV Und XLPE'!AM136+'Substation Const'!AM675+Removals!AM207+Substation_D!AM188</f>
        <v>630372</v>
      </c>
      <c r="H56" s="844">
        <f>+'Additional  Est Input'!AN207+'OH Constr'!AN315+'115 kV &amp; 345 kV HPFF'!AN133+'115 kV Und XLPE'!AN136+'345 kV Und XLPE'!AN136+'Substation Const'!AN675+Removals!AN207+Substation_D!AN188</f>
        <v>0</v>
      </c>
      <c r="I56" s="586">
        <f>+'Additional  Est Input'!AR207+'OH Constr'!AR315+'115 kV &amp; 345 kV HPFF'!AR133+'115 kV Und XLPE'!AR136+'345 kV Und XLPE'!AR136+'Substation Const'!AR675+Removals!AR207+Substation_D!AR188</f>
        <v>0</v>
      </c>
      <c r="J56" s="586"/>
      <c r="K56" s="586">
        <f t="shared" si="1"/>
        <v>630372</v>
      </c>
      <c r="L56" s="586"/>
      <c r="M56" s="586">
        <f t="shared" si="2"/>
        <v>630372</v>
      </c>
      <c r="N56" s="170"/>
    </row>
    <row r="57" spans="1:14" ht="12.6" customHeight="1" x14ac:dyDescent="0.25">
      <c r="A57" s="170"/>
      <c r="B57" s="376">
        <f>+Parameters!D55</f>
        <v>52</v>
      </c>
      <c r="C57" s="170" t="str">
        <f>+Parameters!E55</f>
        <v>Major Eqt - Circuit Switchers</v>
      </c>
      <c r="D57" s="2688" t="str">
        <f>+Parameters!F55</f>
        <v>ea</v>
      </c>
      <c r="E57" s="844">
        <f>+'Additional  Est Input'!H208+'OH Constr'!H316+'115 kV &amp; 345 kV HPFF'!H134+'115 kV Und XLPE'!H137+'345 kV Und XLPE'!H137+'Substation Const'!H676+Removals!H208+Substation_D!H189</f>
        <v>0</v>
      </c>
      <c r="F57" s="586">
        <f>+'Additional  Est Input'!AI208+'Additional  Est Input'!AL208+'OH Constr'!AI316+'OH Constr'!AL316+'115 kV &amp; 345 kV HPFF'!AI134+'115 kV &amp; 345 kV HPFF'!AL134+'115 kV Und XLPE'!AI137+'115 kV Und XLPE'!AL137+'345 kV Und XLPE'!AI137+'345 kV Und XLPE'!AL137+'Substation Const'!AI676+'Substation Const'!AL676+Removals!AI208+Removals!AL208+Substation_D!AI189+Substation_D!AL189</f>
        <v>0</v>
      </c>
      <c r="G57" s="844">
        <f>+'Additional  Est Input'!AM208+'OH Constr'!AM316+'115 kV &amp; 345 kV HPFF'!AM134+'115 kV Und XLPE'!AM137+'345 kV Und XLPE'!AM137+'Substation Const'!AM676+Removals!AM208+Substation_D!AM189</f>
        <v>0</v>
      </c>
      <c r="H57" s="844">
        <f>+'Additional  Est Input'!AN208+'OH Constr'!AN316+'115 kV &amp; 345 kV HPFF'!AN134+'115 kV Und XLPE'!AN137+'345 kV Und XLPE'!AN137+'Substation Const'!AN676+Removals!AN208+Substation_D!AN189</f>
        <v>0</v>
      </c>
      <c r="I57" s="586">
        <f>+'Additional  Est Input'!AR208+'OH Constr'!AR316+'115 kV &amp; 345 kV HPFF'!AR134+'115 kV Und XLPE'!AR137+'345 kV Und XLPE'!AR137+'Substation Const'!AR676+Removals!AR208+Substation_D!AR189</f>
        <v>0</v>
      </c>
      <c r="J57" s="586"/>
      <c r="K57" s="586">
        <f t="shared" si="1"/>
        <v>0</v>
      </c>
      <c r="L57" s="586"/>
      <c r="M57" s="586">
        <f t="shared" si="2"/>
        <v>0</v>
      </c>
      <c r="N57" s="170"/>
    </row>
    <row r="58" spans="1:14" ht="12.6" customHeight="1" x14ac:dyDescent="0.25">
      <c r="A58" s="170"/>
      <c r="B58" s="376">
        <f>+Parameters!D56</f>
        <v>53</v>
      </c>
      <c r="C58" s="170" t="str">
        <f>+Parameters!E56</f>
        <v>Major Eqt - Disconect Switches</v>
      </c>
      <c r="D58" s="2688" t="str">
        <f>+Parameters!F56</f>
        <v>ea</v>
      </c>
      <c r="E58" s="844">
        <f>+'Additional  Est Input'!H209+'OH Constr'!H317+'115 kV &amp; 345 kV HPFF'!H135+'115 kV Und XLPE'!H138+'345 kV Und XLPE'!H138+'Substation Const'!H677+Removals!H209+Substation_D!H190</f>
        <v>0</v>
      </c>
      <c r="F58" s="586">
        <f>+'Additional  Est Input'!AI209+'Additional  Est Input'!AL209+'OH Constr'!AI317+'OH Constr'!AL317+'115 kV &amp; 345 kV HPFF'!AI135+'115 kV &amp; 345 kV HPFF'!AL135+'115 kV Und XLPE'!AI138+'115 kV Und XLPE'!AL138+'345 kV Und XLPE'!AI138+'345 kV Und XLPE'!AL138+'Substation Const'!AI677+'Substation Const'!AL677+Removals!AI209+Removals!AL209+Substation_D!AI190+Substation_D!AL190</f>
        <v>0</v>
      </c>
      <c r="G58" s="844">
        <f>+'Additional  Est Input'!AM209+'OH Constr'!AM317+'115 kV &amp; 345 kV HPFF'!AM135+'115 kV Und XLPE'!AM138+'345 kV Und XLPE'!AM138+'Substation Const'!AM677+Removals!AM209+Substation_D!AM190</f>
        <v>0</v>
      </c>
      <c r="H58" s="844">
        <f>+'Additional  Est Input'!AN209+'OH Constr'!AN317+'115 kV &amp; 345 kV HPFF'!AN135+'115 kV Und XLPE'!AN138+'345 kV Und XLPE'!AN138+'Substation Const'!AN677+Removals!AN209+Substation_D!AN190</f>
        <v>0</v>
      </c>
      <c r="I58" s="586">
        <f>+'Additional  Est Input'!AR209+'OH Constr'!AR317+'115 kV &amp; 345 kV HPFF'!AR135+'115 kV Und XLPE'!AR138+'345 kV Und XLPE'!AR138+'Substation Const'!AR677+Removals!AR209+Substation_D!AR190</f>
        <v>0</v>
      </c>
      <c r="J58" s="586"/>
      <c r="K58" s="586">
        <f t="shared" si="1"/>
        <v>0</v>
      </c>
      <c r="L58" s="586"/>
      <c r="M58" s="586">
        <f t="shared" si="2"/>
        <v>0</v>
      </c>
      <c r="N58" s="170"/>
    </row>
    <row r="59" spans="1:14" ht="12.6" customHeight="1" x14ac:dyDescent="0.25">
      <c r="A59" s="170"/>
      <c r="B59" s="376">
        <f>+Parameters!D57</f>
        <v>54</v>
      </c>
      <c r="C59" s="170" t="str">
        <f>+Parameters!E57</f>
        <v>Major Eqt - Cap Banks</v>
      </c>
      <c r="D59" s="2688" t="str">
        <f>+Parameters!F57</f>
        <v>ea</v>
      </c>
      <c r="E59" s="844">
        <f>+'Additional  Est Input'!H210+'OH Constr'!H318+'115 kV &amp; 345 kV HPFF'!H136+'115 kV Und XLPE'!H139+'345 kV Und XLPE'!H139+'Substation Const'!H678+Removals!H210+Substation_D!H191</f>
        <v>0</v>
      </c>
      <c r="F59" s="586">
        <f>+'Additional  Est Input'!AI210+'Additional  Est Input'!AL210+'OH Constr'!AI318+'OH Constr'!AL318+'115 kV &amp; 345 kV HPFF'!AI136+'115 kV &amp; 345 kV HPFF'!AL136+'115 kV Und XLPE'!AI139+'115 kV Und XLPE'!AL139+'345 kV Und XLPE'!AI139+'345 kV Und XLPE'!AL139+'Substation Const'!AI678+'Substation Const'!AL678+Removals!AI210+Removals!AL210+Substation_D!AI191+Substation_D!AL191</f>
        <v>0</v>
      </c>
      <c r="G59" s="844">
        <f>+'Additional  Est Input'!AM210+'OH Constr'!AM318+'115 kV &amp; 345 kV HPFF'!AM136+'115 kV Und XLPE'!AM139+'345 kV Und XLPE'!AM139+'Substation Const'!AM678+Removals!AM210+Substation_D!AM191</f>
        <v>0</v>
      </c>
      <c r="H59" s="844">
        <f>+'Additional  Est Input'!AN210+'OH Constr'!AN318+'115 kV &amp; 345 kV HPFF'!AN136+'115 kV Und XLPE'!AN139+'345 kV Und XLPE'!AN139+'Substation Const'!AN678+Removals!AN210+Substation_D!AN191</f>
        <v>0</v>
      </c>
      <c r="I59" s="586">
        <f>+'Additional  Est Input'!AR210+'OH Constr'!AR318+'115 kV &amp; 345 kV HPFF'!AR136+'115 kV Und XLPE'!AR139+'345 kV Und XLPE'!AR139+'Substation Const'!AR678+Removals!AR210+Substation_D!AR191</f>
        <v>0</v>
      </c>
      <c r="J59" s="586"/>
      <c r="K59" s="586">
        <f t="shared" si="1"/>
        <v>0</v>
      </c>
      <c r="L59" s="586"/>
      <c r="M59" s="586">
        <f t="shared" si="2"/>
        <v>0</v>
      </c>
      <c r="N59" s="170"/>
    </row>
    <row r="60" spans="1:14" ht="12.6" customHeight="1" x14ac:dyDescent="0.25">
      <c r="A60" s="170"/>
      <c r="B60" s="376">
        <f>+Parameters!D58</f>
        <v>55</v>
      </c>
      <c r="C60" s="170" t="str">
        <f>+Parameters!E58</f>
        <v>Major Eqt - Reactors</v>
      </c>
      <c r="D60" s="2688" t="str">
        <f>+Parameters!F58</f>
        <v>ea</v>
      </c>
      <c r="E60" s="844">
        <f>+'Additional  Est Input'!H211+'OH Constr'!H319+'115 kV &amp; 345 kV HPFF'!H137+'115 kV Und XLPE'!H140+'345 kV Und XLPE'!H140+'Substation Const'!H679+Removals!H211+Substation_D!H192</f>
        <v>0</v>
      </c>
      <c r="F60" s="586">
        <f>+'Additional  Est Input'!AI211+'Additional  Est Input'!AL211+'OH Constr'!AI319+'OH Constr'!AL319+'115 kV &amp; 345 kV HPFF'!AI137+'115 kV &amp; 345 kV HPFF'!AL137+'115 kV Und XLPE'!AI140+'115 kV Und XLPE'!AL140+'345 kV Und XLPE'!AI140+'345 kV Und XLPE'!AL140+'Substation Const'!AI679+'Substation Const'!AL679+Removals!AI211+Removals!AL211+Substation_D!AI192+Substation_D!AL192</f>
        <v>0</v>
      </c>
      <c r="G60" s="844">
        <f>+'Additional  Est Input'!AM211+'OH Constr'!AM319+'115 kV &amp; 345 kV HPFF'!AM137+'115 kV Und XLPE'!AM140+'345 kV Und XLPE'!AM140+'Substation Const'!AM679+Removals!AM211+Substation_D!AM192</f>
        <v>0</v>
      </c>
      <c r="H60" s="844">
        <f>+'Additional  Est Input'!AN211+'OH Constr'!AN319+'115 kV &amp; 345 kV HPFF'!AN137+'115 kV Und XLPE'!AN140+'345 kV Und XLPE'!AN140+'Substation Const'!AN679+Removals!AN211+Substation_D!AN192</f>
        <v>0</v>
      </c>
      <c r="I60" s="586">
        <f>+'Additional  Est Input'!AR211+'OH Constr'!AR319+'115 kV &amp; 345 kV HPFF'!AR137+'115 kV Und XLPE'!AR140+'345 kV Und XLPE'!AR140+'Substation Const'!AR679+Removals!AR211+Substation_D!AR192</f>
        <v>0</v>
      </c>
      <c r="J60" s="586"/>
      <c r="K60" s="586">
        <f t="shared" si="1"/>
        <v>0</v>
      </c>
      <c r="L60" s="586"/>
      <c r="M60" s="586">
        <f t="shared" si="2"/>
        <v>0</v>
      </c>
      <c r="N60" s="170"/>
    </row>
    <row r="61" spans="1:14" ht="12.6" customHeight="1" x14ac:dyDescent="0.25">
      <c r="A61" s="170"/>
      <c r="B61" s="376">
        <f>+Parameters!D59</f>
        <v>56</v>
      </c>
      <c r="C61" s="170" t="str">
        <f>+Parameters!E59</f>
        <v>Major Eqt - GIS</v>
      </c>
      <c r="D61" s="2688" t="str">
        <f>+Parameters!F59</f>
        <v>ea</v>
      </c>
      <c r="E61" s="844">
        <f>+'Additional  Est Input'!H212+'OH Constr'!H320+'115 kV &amp; 345 kV HPFF'!H138+'115 kV Und XLPE'!H141+'345 kV Und XLPE'!H141+'Substation Const'!H680+Removals!H212+Substation_D!H193</f>
        <v>0</v>
      </c>
      <c r="F61" s="586">
        <f>+'Additional  Est Input'!AI212+'Additional  Est Input'!AL212+'OH Constr'!AI320+'OH Constr'!AL320+'115 kV &amp; 345 kV HPFF'!AI138+'115 kV &amp; 345 kV HPFF'!AL138+'115 kV Und XLPE'!AI141+'115 kV Und XLPE'!AL141+'345 kV Und XLPE'!AI141+'345 kV Und XLPE'!AL141+'Substation Const'!AI680+'Substation Const'!AL680+Removals!AI212+Removals!AL212+Substation_D!AI193+Substation_D!AL193</f>
        <v>0</v>
      </c>
      <c r="G61" s="844">
        <f>+'Additional  Est Input'!AM212+'OH Constr'!AM320+'115 kV &amp; 345 kV HPFF'!AM138+'115 kV Und XLPE'!AM141+'345 kV Und XLPE'!AM141+'Substation Const'!AM680+Removals!AM212+Substation_D!AM193</f>
        <v>0</v>
      </c>
      <c r="H61" s="844">
        <f>+'Additional  Est Input'!AN212+'OH Constr'!AN320+'115 kV &amp; 345 kV HPFF'!AN138+'115 kV Und XLPE'!AN141+'345 kV Und XLPE'!AN141+'Substation Const'!AN680+Removals!AN212+Substation_D!AN193</f>
        <v>0</v>
      </c>
      <c r="I61" s="586">
        <f>+'Additional  Est Input'!AR212+'OH Constr'!AR320+'115 kV &amp; 345 kV HPFF'!AR138+'115 kV Und XLPE'!AR141+'345 kV Und XLPE'!AR141+'Substation Const'!AR680+Removals!AR212+Substation_D!AR193</f>
        <v>0</v>
      </c>
      <c r="J61" s="586"/>
      <c r="K61" s="586">
        <f t="shared" si="1"/>
        <v>0</v>
      </c>
      <c r="L61" s="586"/>
      <c r="M61" s="586">
        <f t="shared" si="2"/>
        <v>0</v>
      </c>
      <c r="N61" s="170"/>
    </row>
    <row r="62" spans="1:14" ht="12.6" customHeight="1" x14ac:dyDescent="0.25">
      <c r="A62" s="170"/>
      <c r="B62" s="376">
        <f>+Parameters!D60</f>
        <v>57</v>
      </c>
      <c r="C62" s="170" t="str">
        <f>+Parameters!E60</f>
        <v>Major Eqt - Switchgear</v>
      </c>
      <c r="D62" s="2688" t="str">
        <f>+Parameters!F60</f>
        <v>ea</v>
      </c>
      <c r="E62" s="844">
        <f>+'Additional  Est Input'!H213+'OH Constr'!H321+'115 kV &amp; 345 kV HPFF'!H139+'115 kV Und XLPE'!H142+'345 kV Und XLPE'!H142+'Substation Const'!H681+Removals!H213+Substation_D!H194</f>
        <v>0</v>
      </c>
      <c r="F62" s="586">
        <f>+'Additional  Est Input'!AI213+'Additional  Est Input'!AL213+'OH Constr'!AI321+'OH Constr'!AL321+'115 kV &amp; 345 kV HPFF'!AI139+'115 kV &amp; 345 kV HPFF'!AL139+'115 kV Und XLPE'!AI142+'115 kV Und XLPE'!AL142+'345 kV Und XLPE'!AI142+'345 kV Und XLPE'!AL142+'Substation Const'!AI681+'Substation Const'!AL681+Removals!AI213+Removals!AL213+Substation_D!AI194+Substation_D!AL194</f>
        <v>0</v>
      </c>
      <c r="G62" s="844">
        <f>+'Additional  Est Input'!AM213+'OH Constr'!AM321+'115 kV &amp; 345 kV HPFF'!AM139+'115 kV Und XLPE'!AM142+'345 kV Und XLPE'!AM142+'Substation Const'!AM681+Removals!AM213+Substation_D!AM194</f>
        <v>0</v>
      </c>
      <c r="H62" s="844">
        <f>+'Additional  Est Input'!AN213+'OH Constr'!AN321+'115 kV &amp; 345 kV HPFF'!AN139+'115 kV Und XLPE'!AN142+'345 kV Und XLPE'!AN142+'Substation Const'!AN681+Removals!AN213+Substation_D!AN194</f>
        <v>0</v>
      </c>
      <c r="I62" s="586">
        <f>+'Additional  Est Input'!AR213+'OH Constr'!AR321+'115 kV &amp; 345 kV HPFF'!AR139+'115 kV Und XLPE'!AR142+'345 kV Und XLPE'!AR142+'Substation Const'!AR681+Removals!AR213+Substation_D!AR194</f>
        <v>0</v>
      </c>
      <c r="J62" s="586"/>
      <c r="K62" s="586">
        <f t="shared" si="1"/>
        <v>0</v>
      </c>
      <c r="L62" s="586"/>
      <c r="M62" s="586">
        <f t="shared" si="2"/>
        <v>0</v>
      </c>
      <c r="N62" s="170"/>
    </row>
    <row r="63" spans="1:14" ht="12.6" customHeight="1" x14ac:dyDescent="0.25">
      <c r="A63" s="170"/>
      <c r="B63" s="376">
        <f>+Parameters!D61</f>
        <v>58</v>
      </c>
      <c r="C63" s="170">
        <f>+Parameters!E61</f>
        <v>0</v>
      </c>
      <c r="D63" s="2688">
        <f>+Parameters!F61</f>
        <v>0</v>
      </c>
      <c r="E63" s="844">
        <f>+'Additional  Est Input'!H214+'OH Constr'!H322+'115 kV &amp; 345 kV HPFF'!H140+'115 kV Und XLPE'!H143+'345 kV Und XLPE'!H143+'Substation Const'!H682+Removals!H214+Substation_D!H195</f>
        <v>0</v>
      </c>
      <c r="F63" s="586">
        <f>+'Additional  Est Input'!AI214+'Additional  Est Input'!AL214+'OH Constr'!AI322+'OH Constr'!AL322+'115 kV &amp; 345 kV HPFF'!AI140+'115 kV &amp; 345 kV HPFF'!AL140+'115 kV Und XLPE'!AI143+'115 kV Und XLPE'!AL143+'345 kV Und XLPE'!AI143+'345 kV Und XLPE'!AL143+'Substation Const'!AI682+'Substation Const'!AL682+Removals!AI214+Removals!AL214+Substation_D!AI195+Substation_D!AL195</f>
        <v>0</v>
      </c>
      <c r="G63" s="844">
        <f>+'Additional  Est Input'!AM214+'OH Constr'!AM322+'115 kV &amp; 345 kV HPFF'!AM140+'115 kV Und XLPE'!AM143+'345 kV Und XLPE'!AM143+'Substation Const'!AM682+Removals!AM214+Substation_D!AM195</f>
        <v>0</v>
      </c>
      <c r="H63" s="844">
        <f>+'Additional  Est Input'!AN214+'OH Constr'!AN322+'115 kV &amp; 345 kV HPFF'!AN140+'115 kV Und XLPE'!AN143+'345 kV Und XLPE'!AN143+'Substation Const'!AN682+Removals!AN214+Substation_D!AN195</f>
        <v>0</v>
      </c>
      <c r="I63" s="586">
        <f>+'Additional  Est Input'!AR214+'OH Constr'!AR322+'115 kV &amp; 345 kV HPFF'!AR140+'115 kV Und XLPE'!AR143+'345 kV Und XLPE'!AR143+'Substation Const'!AR682+Removals!AR214+Substation_D!AR195</f>
        <v>0</v>
      </c>
      <c r="J63" s="586"/>
      <c r="K63" s="586">
        <f t="shared" si="1"/>
        <v>0</v>
      </c>
      <c r="L63" s="586"/>
      <c r="M63" s="586">
        <f t="shared" si="2"/>
        <v>0</v>
      </c>
      <c r="N63" s="170"/>
    </row>
    <row r="64" spans="1:14" ht="12.6" customHeight="1" x14ac:dyDescent="0.25">
      <c r="A64" s="170"/>
      <c r="B64" s="376">
        <f>+Parameters!D62</f>
        <v>59</v>
      </c>
      <c r="C64" s="170" t="str">
        <f>+Parameters!E62</f>
        <v>Major Eqt - Other</v>
      </c>
      <c r="D64" s="2688" t="str">
        <f>+Parameters!F62</f>
        <v>ea</v>
      </c>
      <c r="E64" s="844">
        <f>+'Additional  Est Input'!H215+'OH Constr'!H323+'115 kV &amp; 345 kV HPFF'!H141+'115 kV Und XLPE'!H144+'345 kV Und XLPE'!H144+'Substation Const'!H683+Removals!H215+Substation_D!H196</f>
        <v>5</v>
      </c>
      <c r="F64" s="586">
        <f>+'Additional  Est Input'!AI215+'Additional  Est Input'!AL215+'OH Constr'!AI323+'OH Constr'!AL323+'115 kV &amp; 345 kV HPFF'!AI141+'115 kV &amp; 345 kV HPFF'!AL141+'115 kV Und XLPE'!AI144+'115 kV Und XLPE'!AL144+'345 kV Und XLPE'!AI144+'345 kV Und XLPE'!AL144+'Substation Const'!AI683+'Substation Const'!AL683+Removals!AI215+Removals!AL215+Substation_D!AI196+Substation_D!AL196</f>
        <v>3125079</v>
      </c>
      <c r="G64" s="844">
        <f>+'Additional  Est Input'!AM215+'OH Constr'!AM323+'115 kV &amp; 345 kV HPFF'!AM141+'115 kV Und XLPE'!AM144+'345 kV Und XLPE'!AM144+'Substation Const'!AM683+Removals!AM215+Substation_D!AM196</f>
        <v>13991316</v>
      </c>
      <c r="H64" s="844">
        <f>+'Additional  Est Input'!AN215+'OH Constr'!AN323+'115 kV &amp; 345 kV HPFF'!AN141+'115 kV Und XLPE'!AN144+'345 kV Und XLPE'!AN144+'Substation Const'!AN683+Removals!AN215+Substation_D!AN196</f>
        <v>0</v>
      </c>
      <c r="I64" s="586">
        <f>+'Additional  Est Input'!AR215+'OH Constr'!AR323+'115 kV &amp; 345 kV HPFF'!AR141+'115 kV Und XLPE'!AR144+'345 kV Und XLPE'!AR144+'Substation Const'!AR683+Removals!AR215+Substation_D!AR196</f>
        <v>0</v>
      </c>
      <c r="J64" s="586"/>
      <c r="K64" s="586">
        <f t="shared" si="1"/>
        <v>17116395</v>
      </c>
      <c r="L64" s="586"/>
      <c r="M64" s="586">
        <f t="shared" si="2"/>
        <v>3423279</v>
      </c>
      <c r="N64" s="170"/>
    </row>
    <row r="65" spans="1:14" ht="12.6" customHeight="1" x14ac:dyDescent="0.25">
      <c r="A65" s="170"/>
      <c r="B65" s="376">
        <f>+Parameters!D63</f>
        <v>60</v>
      </c>
      <c r="C65" s="170">
        <f>+Parameters!E63</f>
        <v>0</v>
      </c>
      <c r="D65" s="2688">
        <f>+Parameters!F63</f>
        <v>0</v>
      </c>
      <c r="E65" s="844">
        <f>+'Additional  Est Input'!H216+'OH Constr'!H324+'115 kV &amp; 345 kV HPFF'!H142+'115 kV Und XLPE'!H145+'345 kV Und XLPE'!H145+'Substation Const'!H684+Removals!H216+Substation_D!H197</f>
        <v>0</v>
      </c>
      <c r="F65" s="586">
        <f>+'Additional  Est Input'!AI216+'Additional  Est Input'!AL216+'OH Constr'!AI324+'OH Constr'!AL324+'115 kV &amp; 345 kV HPFF'!AI142+'115 kV &amp; 345 kV HPFF'!AL142+'115 kV Und XLPE'!AI145+'115 kV Und XLPE'!AL145+'345 kV Und XLPE'!AI145+'345 kV Und XLPE'!AL145+'Substation Const'!AI684+'Substation Const'!AL684+Removals!AI216+Removals!AL216+Substation_D!AI197+Substation_D!AL197</f>
        <v>0</v>
      </c>
      <c r="G65" s="844">
        <f>+'Additional  Est Input'!AM216+'OH Constr'!AM324+'115 kV &amp; 345 kV HPFF'!AM142+'115 kV Und XLPE'!AM145+'345 kV Und XLPE'!AM145+'Substation Const'!AM684+Removals!AM216+Substation_D!AM197</f>
        <v>0</v>
      </c>
      <c r="H65" s="844">
        <f>+'Additional  Est Input'!AN216+'OH Constr'!AN324+'115 kV &amp; 345 kV HPFF'!AN142+'115 kV Und XLPE'!AN145+'345 kV Und XLPE'!AN145+'Substation Const'!AN684+Removals!AN216+Substation_D!AN197</f>
        <v>0</v>
      </c>
      <c r="I65" s="586">
        <f>+'Additional  Est Input'!AR216+'OH Constr'!AR324+'115 kV &amp; 345 kV HPFF'!AR142+'115 kV Und XLPE'!AR145+'345 kV Und XLPE'!AR145+'Substation Const'!AR684+Removals!AR216+Substation_D!AR197</f>
        <v>0</v>
      </c>
      <c r="J65" s="586"/>
      <c r="K65" s="586">
        <f t="shared" si="1"/>
        <v>0</v>
      </c>
      <c r="L65" s="586"/>
      <c r="M65" s="586">
        <f t="shared" si="2"/>
        <v>0</v>
      </c>
      <c r="N65" s="170"/>
    </row>
    <row r="66" spans="1:14" ht="12.6" customHeight="1" x14ac:dyDescent="0.25">
      <c r="A66" s="170"/>
      <c r="B66" s="376">
        <f>+Parameters!D64</f>
        <v>61</v>
      </c>
      <c r="C66" s="170">
        <f>+Parameters!E64</f>
        <v>0</v>
      </c>
      <c r="D66" s="2688">
        <f>+Parameters!F64</f>
        <v>0</v>
      </c>
      <c r="E66" s="844">
        <f>+'Additional  Est Input'!H217+'OH Constr'!H325+'115 kV &amp; 345 kV HPFF'!H143+'115 kV Und XLPE'!H146+'345 kV Und XLPE'!H146+'Substation Const'!H685+Removals!H217+Substation_D!H198</f>
        <v>0</v>
      </c>
      <c r="F66" s="586">
        <f>+'Additional  Est Input'!AI217+'Additional  Est Input'!AL217+'OH Constr'!AI325+'OH Constr'!AL325+'115 kV &amp; 345 kV HPFF'!AI143+'115 kV &amp; 345 kV HPFF'!AL143+'115 kV Und XLPE'!AI146+'115 kV Und XLPE'!AL146+'345 kV Und XLPE'!AI146+'345 kV Und XLPE'!AL146+'Substation Const'!AI685+'Substation Const'!AL685+Removals!AI217+Removals!AL217+Substation_D!AI198+Substation_D!AL198</f>
        <v>0</v>
      </c>
      <c r="G66" s="844">
        <f>+'Additional  Est Input'!AM217+'OH Constr'!AM325+'115 kV &amp; 345 kV HPFF'!AM143+'115 kV Und XLPE'!AM146+'345 kV Und XLPE'!AM146+'Substation Const'!AM685+Removals!AM217+Substation_D!AM198</f>
        <v>0</v>
      </c>
      <c r="H66" s="844">
        <f>+'Additional  Est Input'!AN217+'OH Constr'!AN325+'115 kV &amp; 345 kV HPFF'!AN143+'115 kV Und XLPE'!AN146+'345 kV Und XLPE'!AN146+'Substation Const'!AN685+Removals!AN217+Substation_D!AN198</f>
        <v>0</v>
      </c>
      <c r="I66" s="586">
        <f>+'Additional  Est Input'!AR217+'OH Constr'!AR325+'115 kV &amp; 345 kV HPFF'!AR143+'115 kV Und XLPE'!AR146+'345 kV Und XLPE'!AR146+'Substation Const'!AR685+Removals!AR217+Substation_D!AR198</f>
        <v>0</v>
      </c>
      <c r="J66" s="586"/>
      <c r="K66" s="586">
        <f t="shared" si="1"/>
        <v>0</v>
      </c>
      <c r="L66" s="586"/>
      <c r="M66" s="586">
        <f t="shared" si="2"/>
        <v>0</v>
      </c>
      <c r="N66" s="170"/>
    </row>
    <row r="67" spans="1:14" ht="12.6" customHeight="1" x14ac:dyDescent="0.25">
      <c r="A67" s="170"/>
      <c r="B67" s="376">
        <f>+Parameters!D65</f>
        <v>62</v>
      </c>
      <c r="C67" s="170">
        <f>+Parameters!E65</f>
        <v>0</v>
      </c>
      <c r="D67" s="2688">
        <f>+Parameters!F65</f>
        <v>0</v>
      </c>
      <c r="E67" s="844">
        <f>+'Additional  Est Input'!H218+'OH Constr'!H326+'115 kV &amp; 345 kV HPFF'!H144+'115 kV Und XLPE'!H147+'345 kV Und XLPE'!H147+'Substation Const'!H686+Removals!H218+Substation_D!H199</f>
        <v>0</v>
      </c>
      <c r="F67" s="586">
        <f>+'Additional  Est Input'!AI218+'Additional  Est Input'!AL218+'OH Constr'!AI326+'OH Constr'!AL326+'115 kV &amp; 345 kV HPFF'!AI144+'115 kV &amp; 345 kV HPFF'!AL144+'115 kV Und XLPE'!AI147+'115 kV Und XLPE'!AL147+'345 kV Und XLPE'!AI147+'345 kV Und XLPE'!AL147+'Substation Const'!AI686+'Substation Const'!AL686+Removals!AI218+Removals!AL218+Substation_D!AI199+Substation_D!AL199</f>
        <v>0</v>
      </c>
      <c r="G67" s="844">
        <f>+'Additional  Est Input'!AM218+'OH Constr'!AM326+'115 kV &amp; 345 kV HPFF'!AM144+'115 kV Und XLPE'!AM147+'345 kV Und XLPE'!AM147+'Substation Const'!AM686+Removals!AM218+Substation_D!AM199</f>
        <v>0</v>
      </c>
      <c r="H67" s="844">
        <f>+'Additional  Est Input'!AN218+'OH Constr'!AN326+'115 kV &amp; 345 kV HPFF'!AN144+'115 kV Und XLPE'!AN147+'345 kV Und XLPE'!AN147+'Substation Const'!AN686+Removals!AN218+Substation_D!AN199</f>
        <v>0</v>
      </c>
      <c r="I67" s="586">
        <f>+'Additional  Est Input'!AR218+'OH Constr'!AR326+'115 kV &amp; 345 kV HPFF'!AR144+'115 kV Und XLPE'!AR147+'345 kV Und XLPE'!AR147+'Substation Const'!AR686+Removals!AR218+Substation_D!AR199</f>
        <v>0</v>
      </c>
      <c r="J67" s="586"/>
      <c r="K67" s="586">
        <f t="shared" si="1"/>
        <v>0</v>
      </c>
      <c r="L67" s="586"/>
      <c r="M67" s="586">
        <f t="shared" si="2"/>
        <v>0</v>
      </c>
      <c r="N67" s="170"/>
    </row>
    <row r="68" spans="1:14" ht="12.6" customHeight="1" x14ac:dyDescent="0.25">
      <c r="A68" s="170"/>
      <c r="B68" s="376">
        <f>+Parameters!D66</f>
        <v>63</v>
      </c>
      <c r="C68" s="170" t="str">
        <f>+Parameters!E66</f>
        <v>Misc. Eqt - Bus</v>
      </c>
      <c r="D68" s="2688" t="str">
        <f>+Parameters!F66</f>
        <v>lf</v>
      </c>
      <c r="E68" s="844">
        <f>+'Additional  Est Input'!H219+'OH Constr'!H327+'115 kV &amp; 345 kV HPFF'!H145+'115 kV Und XLPE'!H148+'345 kV Und XLPE'!H148+'Substation Const'!H687+Removals!H219+Substation_D!H200</f>
        <v>0</v>
      </c>
      <c r="F68" s="586">
        <f>+'Additional  Est Input'!AI219+'Additional  Est Input'!AL219+'OH Constr'!AI327+'OH Constr'!AL327+'115 kV &amp; 345 kV HPFF'!AI145+'115 kV &amp; 345 kV HPFF'!AL145+'115 kV Und XLPE'!AI148+'115 kV Und XLPE'!AL148+'345 kV Und XLPE'!AI148+'345 kV Und XLPE'!AL148+'Substation Const'!AI687+'Substation Const'!AL687+Removals!AI219+Removals!AL219+Substation_D!AI200+Substation_D!AL200</f>
        <v>0</v>
      </c>
      <c r="G68" s="844">
        <f>+'Additional  Est Input'!AM219+'OH Constr'!AM327+'115 kV &amp; 345 kV HPFF'!AM145+'115 kV Und XLPE'!AM148+'345 kV Und XLPE'!AM148+'Substation Const'!AM687+Removals!AM219+Substation_D!AM200</f>
        <v>0</v>
      </c>
      <c r="H68" s="844">
        <f>+'Additional  Est Input'!AN219+'OH Constr'!AN327+'115 kV &amp; 345 kV HPFF'!AN145+'115 kV Und XLPE'!AN148+'345 kV Und XLPE'!AN148+'Substation Const'!AN687+Removals!AN219+Substation_D!AN200</f>
        <v>0</v>
      </c>
      <c r="I68" s="586">
        <f>+'Additional  Est Input'!AR219+'OH Constr'!AR327+'115 kV &amp; 345 kV HPFF'!AR145+'115 kV Und XLPE'!AR148+'345 kV Und XLPE'!AR148+'Substation Const'!AR687+Removals!AR219+Substation_D!AR200</f>
        <v>0</v>
      </c>
      <c r="J68" s="586"/>
      <c r="K68" s="586">
        <f t="shared" si="1"/>
        <v>0</v>
      </c>
      <c r="L68" s="586"/>
      <c r="M68" s="586">
        <f t="shared" si="2"/>
        <v>0</v>
      </c>
      <c r="N68" s="170"/>
    </row>
    <row r="69" spans="1:14" ht="12.6" customHeight="1" x14ac:dyDescent="0.25">
      <c r="A69" s="170"/>
      <c r="B69" s="376">
        <f>+Parameters!D67</f>
        <v>64</v>
      </c>
      <c r="C69" s="170" t="str">
        <f>+Parameters!E67</f>
        <v>Misc. Eqt - Conduit / Tray</v>
      </c>
      <c r="D69" s="2688" t="str">
        <f>+Parameters!F67</f>
        <v>lf</v>
      </c>
      <c r="E69" s="844">
        <f>+'Additional  Est Input'!H220+'OH Constr'!H328+'115 kV &amp; 345 kV HPFF'!H146+'115 kV Und XLPE'!H149+'345 kV Und XLPE'!H149+'Substation Const'!H688+Removals!H220+Substation_D!H201</f>
        <v>0</v>
      </c>
      <c r="F69" s="586">
        <f>+'Additional  Est Input'!AI220+'Additional  Est Input'!AL220+'OH Constr'!AI328+'OH Constr'!AL328+'115 kV &amp; 345 kV HPFF'!AI146+'115 kV &amp; 345 kV HPFF'!AL146+'115 kV Und XLPE'!AI149+'115 kV Und XLPE'!AL149+'345 kV Und XLPE'!AI149+'345 kV Und XLPE'!AL149+'Substation Const'!AI688+'Substation Const'!AL688+Removals!AI220+Removals!AL220+Substation_D!AI201+Substation_D!AL201</f>
        <v>0</v>
      </c>
      <c r="G69" s="844">
        <f>+'Additional  Est Input'!AM220+'OH Constr'!AM328+'115 kV &amp; 345 kV HPFF'!AM146+'115 kV Und XLPE'!AM149+'345 kV Und XLPE'!AM149+'Substation Const'!AM688+Removals!AM220+Substation_D!AM201</f>
        <v>0</v>
      </c>
      <c r="H69" s="844">
        <f>+'Additional  Est Input'!AN220+'OH Constr'!AN328+'115 kV &amp; 345 kV HPFF'!AN146+'115 kV Und XLPE'!AN149+'345 kV Und XLPE'!AN149+'Substation Const'!AN688+Removals!AN220+Substation_D!AN201</f>
        <v>0</v>
      </c>
      <c r="I69" s="586">
        <f>+'Additional  Est Input'!AR220+'OH Constr'!AR328+'115 kV &amp; 345 kV HPFF'!AR146+'115 kV Und XLPE'!AR149+'345 kV Und XLPE'!AR149+'Substation Const'!AR688+Removals!AR220+Substation_D!AR201</f>
        <v>0</v>
      </c>
      <c r="J69" s="586"/>
      <c r="K69" s="586">
        <f t="shared" si="1"/>
        <v>0</v>
      </c>
      <c r="L69" s="586"/>
      <c r="M69" s="586">
        <f t="shared" si="2"/>
        <v>0</v>
      </c>
      <c r="N69" s="170"/>
    </row>
    <row r="70" spans="1:14" ht="12.6" customHeight="1" x14ac:dyDescent="0.25">
      <c r="A70" s="170"/>
      <c r="B70" s="376">
        <f>+Parameters!D68</f>
        <v>65</v>
      </c>
      <c r="C70" s="170" t="str">
        <f>+Parameters!E68</f>
        <v>Misc. Eqt - Insulators</v>
      </c>
      <c r="D70" s="2688" t="str">
        <f>+Parameters!F68</f>
        <v>ea</v>
      </c>
      <c r="E70" s="844">
        <f>+'Additional  Est Input'!H221+'OH Constr'!H329+'115 kV &amp; 345 kV HPFF'!H147+'115 kV Und XLPE'!H150+'345 kV Und XLPE'!H150+'Substation Const'!H689+Removals!H221+Substation_D!H202</f>
        <v>0</v>
      </c>
      <c r="F70" s="586">
        <f>+'Additional  Est Input'!AI221+'Additional  Est Input'!AL221+'OH Constr'!AI329+'OH Constr'!AL329+'115 kV &amp; 345 kV HPFF'!AI147+'115 kV &amp; 345 kV HPFF'!AL147+'115 kV Und XLPE'!AI150+'115 kV Und XLPE'!AL150+'345 kV Und XLPE'!AI150+'345 kV Und XLPE'!AL150+'Substation Const'!AI689+'Substation Const'!AL689+Removals!AI221+Removals!AL221+Substation_D!AI202+Substation_D!AL202</f>
        <v>0</v>
      </c>
      <c r="G70" s="844">
        <f>+'Additional  Est Input'!AM221+'OH Constr'!AM329+'115 kV &amp; 345 kV HPFF'!AM147+'115 kV Und XLPE'!AM150+'345 kV Und XLPE'!AM150+'Substation Const'!AM689+Removals!AM221+Substation_D!AM202</f>
        <v>0</v>
      </c>
      <c r="H70" s="844">
        <f>+'Additional  Est Input'!AN221+'OH Constr'!AN329+'115 kV &amp; 345 kV HPFF'!AN147+'115 kV Und XLPE'!AN150+'345 kV Und XLPE'!AN150+'Substation Const'!AN689+Removals!AN221+Substation_D!AN202</f>
        <v>0</v>
      </c>
      <c r="I70" s="586">
        <f>+'Additional  Est Input'!AR221+'OH Constr'!AR329+'115 kV &amp; 345 kV HPFF'!AR147+'115 kV Und XLPE'!AR150+'345 kV Und XLPE'!AR150+'Substation Const'!AR689+Removals!AR221+Substation_D!AR202</f>
        <v>0</v>
      </c>
      <c r="J70" s="586"/>
      <c r="K70" s="586">
        <f t="shared" si="1"/>
        <v>0</v>
      </c>
      <c r="L70" s="586"/>
      <c r="M70" s="586">
        <f t="shared" si="2"/>
        <v>0</v>
      </c>
      <c r="N70" s="170"/>
    </row>
    <row r="71" spans="1:14" ht="12.6" customHeight="1" x14ac:dyDescent="0.25">
      <c r="A71" s="170"/>
      <c r="B71" s="376">
        <f>+Parameters!D69</f>
        <v>66</v>
      </c>
      <c r="C71" s="170" t="str">
        <f>+Parameters!E69</f>
        <v>Misc. Eqt - LA's</v>
      </c>
      <c r="D71" s="2688" t="str">
        <f>+Parameters!F69</f>
        <v>ea</v>
      </c>
      <c r="E71" s="844">
        <f>+'Additional  Est Input'!H222+'OH Constr'!H330+'115 kV &amp; 345 kV HPFF'!H148+'115 kV Und XLPE'!H151+'345 kV Und XLPE'!H151+'Substation Const'!H690+Removals!H222+Substation_D!H203</f>
        <v>0</v>
      </c>
      <c r="F71" s="586">
        <f>+'Additional  Est Input'!AI222+'Additional  Est Input'!AL222+'OH Constr'!AI330+'OH Constr'!AL330+'115 kV &amp; 345 kV HPFF'!AI148+'115 kV &amp; 345 kV HPFF'!AL148+'115 kV Und XLPE'!AI151+'115 kV Und XLPE'!AL151+'345 kV Und XLPE'!AI151+'345 kV Und XLPE'!AL151+'Substation Const'!AI690+'Substation Const'!AL690+Removals!AI222+Removals!AL222+Substation_D!AI203+Substation_D!AL203</f>
        <v>0</v>
      </c>
      <c r="G71" s="844">
        <f>+'Additional  Est Input'!AM222+'OH Constr'!AM330+'115 kV &amp; 345 kV HPFF'!AM148+'115 kV Und XLPE'!AM151+'345 kV Und XLPE'!AM151+'Substation Const'!AM690+Removals!AM222+Substation_D!AM203</f>
        <v>0</v>
      </c>
      <c r="H71" s="844">
        <f>+'Additional  Est Input'!AN222+'OH Constr'!AN330+'115 kV &amp; 345 kV HPFF'!AN148+'115 kV Und XLPE'!AN151+'345 kV Und XLPE'!AN151+'Substation Const'!AN690+Removals!AN222+Substation_D!AN203</f>
        <v>0</v>
      </c>
      <c r="I71" s="586">
        <f>+'Additional  Est Input'!AR222+'OH Constr'!AR330+'115 kV &amp; 345 kV HPFF'!AR148+'115 kV Und XLPE'!AR151+'345 kV Und XLPE'!AR151+'Substation Const'!AR690+Removals!AR222+Substation_D!AR203</f>
        <v>0</v>
      </c>
      <c r="J71" s="586"/>
      <c r="K71" s="586">
        <f t="shared" ref="K71:K104" si="3">SUM(F71:J71)</f>
        <v>0</v>
      </c>
      <c r="L71" s="586"/>
      <c r="M71" s="586">
        <f t="shared" ref="M71:M104" si="4">IF(E71=0,0,+K71/E71)</f>
        <v>0</v>
      </c>
      <c r="N71" s="170"/>
    </row>
    <row r="72" spans="1:14" ht="12.6" customHeight="1" x14ac:dyDescent="0.25">
      <c r="A72" s="170"/>
      <c r="B72" s="376">
        <f>+Parameters!D70</f>
        <v>67</v>
      </c>
      <c r="C72" s="170" t="str">
        <f>+Parameters!E70</f>
        <v>Misc. Eqt - CCVT</v>
      </c>
      <c r="D72" s="2688" t="str">
        <f>+Parameters!F70</f>
        <v>ea</v>
      </c>
      <c r="E72" s="844">
        <f>+'Additional  Est Input'!H223+'OH Constr'!H331+'115 kV &amp; 345 kV HPFF'!H149+'115 kV Und XLPE'!H152+'345 kV Und XLPE'!H152+'Substation Const'!H691+Removals!H223+Substation_D!H204</f>
        <v>0</v>
      </c>
      <c r="F72" s="586">
        <f>+'Additional  Est Input'!AI223+'Additional  Est Input'!AL223+'OH Constr'!AI331+'OH Constr'!AL331+'115 kV &amp; 345 kV HPFF'!AI149+'115 kV &amp; 345 kV HPFF'!AL149+'115 kV Und XLPE'!AI152+'115 kV Und XLPE'!AL152+'345 kV Und XLPE'!AI152+'345 kV Und XLPE'!AL152+'Substation Const'!AI691+'Substation Const'!AL691+Removals!AI223+Removals!AL223+Substation_D!AI204+Substation_D!AL204</f>
        <v>0</v>
      </c>
      <c r="G72" s="844">
        <f>+'Additional  Est Input'!AM223+'OH Constr'!AM331+'115 kV &amp; 345 kV HPFF'!AM149+'115 kV Und XLPE'!AM152+'345 kV Und XLPE'!AM152+'Substation Const'!AM691+Removals!AM223+Substation_D!AM204</f>
        <v>0</v>
      </c>
      <c r="H72" s="844">
        <f>+'Additional  Est Input'!AN223+'OH Constr'!AN331+'115 kV &amp; 345 kV HPFF'!AN149+'115 kV Und XLPE'!AN152+'345 kV Und XLPE'!AN152+'Substation Const'!AN691+Removals!AN223+Substation_D!AN204</f>
        <v>0</v>
      </c>
      <c r="I72" s="586">
        <f>+'Additional  Est Input'!AR223+'OH Constr'!AR331+'115 kV &amp; 345 kV HPFF'!AR149+'115 kV Und XLPE'!AR152+'345 kV Und XLPE'!AR152+'Substation Const'!AR691+Removals!AR223+Substation_D!AR204</f>
        <v>0</v>
      </c>
      <c r="J72" s="586"/>
      <c r="K72" s="586">
        <f t="shared" si="3"/>
        <v>0</v>
      </c>
      <c r="L72" s="586"/>
      <c r="M72" s="586">
        <f t="shared" si="4"/>
        <v>0</v>
      </c>
      <c r="N72" s="170"/>
    </row>
    <row r="73" spans="1:14" ht="12.6" customHeight="1" x14ac:dyDescent="0.25">
      <c r="A73" s="170"/>
      <c r="B73" s="376">
        <f>+Parameters!D71</f>
        <v>68</v>
      </c>
      <c r="C73" s="170">
        <f>+Parameters!E71</f>
        <v>0</v>
      </c>
      <c r="D73" s="2688">
        <f>+Parameters!F71</f>
        <v>0</v>
      </c>
      <c r="E73" s="844">
        <f>+'Additional  Est Input'!H224+'OH Constr'!H332+'115 kV &amp; 345 kV HPFF'!H150+'115 kV Und XLPE'!H153+'345 kV Und XLPE'!H153+'Substation Const'!H692+Removals!H224+Substation_D!H205</f>
        <v>0</v>
      </c>
      <c r="F73" s="586">
        <f>+'Additional  Est Input'!AI224+'Additional  Est Input'!AL224+'OH Constr'!AI332+'OH Constr'!AL332+'115 kV &amp; 345 kV HPFF'!AI150+'115 kV &amp; 345 kV HPFF'!AL150+'115 kV Und XLPE'!AI153+'115 kV Und XLPE'!AL153+'345 kV Und XLPE'!AI153+'345 kV Und XLPE'!AL153+'Substation Const'!AI692+'Substation Const'!AL692+Removals!AI224+Removals!AL224+Substation_D!AI205+Substation_D!AL205</f>
        <v>0</v>
      </c>
      <c r="G73" s="844">
        <f>+'Additional  Est Input'!AM224+'OH Constr'!AM332+'115 kV &amp; 345 kV HPFF'!AM150+'115 kV Und XLPE'!AM153+'345 kV Und XLPE'!AM153+'Substation Const'!AM692+Removals!AM224+Substation_D!AM205</f>
        <v>0</v>
      </c>
      <c r="H73" s="844">
        <f>+'Additional  Est Input'!AN224+'OH Constr'!AN332+'115 kV &amp; 345 kV HPFF'!AN150+'115 kV Und XLPE'!AN153+'345 kV Und XLPE'!AN153+'Substation Const'!AN692+Removals!AN224+Substation_D!AN205</f>
        <v>0</v>
      </c>
      <c r="I73" s="586">
        <f>+'Additional  Est Input'!AR224+'OH Constr'!AR332+'115 kV &amp; 345 kV HPFF'!AR150+'115 kV Und XLPE'!AR153+'345 kV Und XLPE'!AR153+'Substation Const'!AR692+Removals!AR224+Substation_D!AR205</f>
        <v>0</v>
      </c>
      <c r="J73" s="586"/>
      <c r="K73" s="586">
        <f t="shared" si="3"/>
        <v>0</v>
      </c>
      <c r="L73" s="586"/>
      <c r="M73" s="586">
        <f t="shared" si="4"/>
        <v>0</v>
      </c>
      <c r="N73" s="170"/>
    </row>
    <row r="74" spans="1:14" ht="12.6" customHeight="1" x14ac:dyDescent="0.25">
      <c r="A74" s="170"/>
      <c r="B74" s="376">
        <f>+Parameters!D72</f>
        <v>69</v>
      </c>
      <c r="C74" s="170" t="str">
        <f>+Parameters!E72</f>
        <v>Misc. Eqt - Other</v>
      </c>
      <c r="D74" s="2688" t="str">
        <f>+Parameters!F72</f>
        <v>ea</v>
      </c>
      <c r="E74" s="844">
        <f>+'Additional  Est Input'!H225+'OH Constr'!H333+'115 kV &amp; 345 kV HPFF'!H151+'115 kV Und XLPE'!H154+'345 kV Und XLPE'!H154+'Substation Const'!H693+Removals!H225+Substation_D!H206</f>
        <v>0</v>
      </c>
      <c r="F74" s="586">
        <f>+'Additional  Est Input'!AI225+'Additional  Est Input'!AL225+'OH Constr'!AI333+'OH Constr'!AL333+'115 kV &amp; 345 kV HPFF'!AI151+'115 kV &amp; 345 kV HPFF'!AL151+'115 kV Und XLPE'!AI154+'115 kV Und XLPE'!AL154+'345 kV Und XLPE'!AI154+'345 kV Und XLPE'!AL154+'Substation Const'!AI693+'Substation Const'!AL693+Removals!AI225+Removals!AL225+Substation_D!AI206+Substation_D!AL206</f>
        <v>114300</v>
      </c>
      <c r="G74" s="844">
        <f>+'Additional  Est Input'!AM225+'OH Constr'!AM333+'115 kV &amp; 345 kV HPFF'!AM151+'115 kV Und XLPE'!AM154+'345 kV Und XLPE'!AM154+'Substation Const'!AM693+Removals!AM225+Substation_D!AM206</f>
        <v>0</v>
      </c>
      <c r="H74" s="844">
        <f>+'Additional  Est Input'!AN225+'OH Constr'!AN333+'115 kV &amp; 345 kV HPFF'!AN151+'115 kV Und XLPE'!AN154+'345 kV Und XLPE'!AN154+'Substation Const'!AN693+Removals!AN225+Substation_D!AN206</f>
        <v>0</v>
      </c>
      <c r="I74" s="586">
        <f>+'Additional  Est Input'!AR225+'OH Constr'!AR333+'115 kV &amp; 345 kV HPFF'!AR151+'115 kV Und XLPE'!AR154+'345 kV Und XLPE'!AR154+'Substation Const'!AR693+Removals!AR225+Substation_D!AR206</f>
        <v>139700</v>
      </c>
      <c r="J74" s="586"/>
      <c r="K74" s="586">
        <f t="shared" si="3"/>
        <v>254000</v>
      </c>
      <c r="L74" s="586"/>
      <c r="M74" s="586">
        <f t="shared" si="4"/>
        <v>0</v>
      </c>
      <c r="N74" s="170"/>
    </row>
    <row r="75" spans="1:14" ht="12.6" customHeight="1" x14ac:dyDescent="0.25">
      <c r="A75" s="170"/>
      <c r="B75" s="376">
        <f>+Parameters!D73</f>
        <v>70</v>
      </c>
      <c r="C75" s="170" t="str">
        <f>+Parameters!E73</f>
        <v>Control house Buidling</v>
      </c>
      <c r="D75" s="2688">
        <f>+Parameters!F73</f>
        <v>0</v>
      </c>
      <c r="E75" s="844">
        <f>+'Additional  Est Input'!H226+'OH Constr'!H334+'115 kV &amp; 345 kV HPFF'!H152+'115 kV Und XLPE'!H155+'345 kV Und XLPE'!H155+'Substation Const'!H694+Removals!H226+Substation_D!H207</f>
        <v>0</v>
      </c>
      <c r="F75" s="586">
        <f>+'Additional  Est Input'!AI226+'Additional  Est Input'!AL226+'OH Constr'!AI334+'OH Constr'!AL334+'115 kV &amp; 345 kV HPFF'!AI152+'115 kV &amp; 345 kV HPFF'!AL152+'115 kV Und XLPE'!AI155+'115 kV Und XLPE'!AL155+'345 kV Und XLPE'!AI155+'345 kV Und XLPE'!AL155+'Substation Const'!AI694+'Substation Const'!AL694+Removals!AI226+Removals!AL226+Substation_D!AI207+Substation_D!AL207</f>
        <v>0</v>
      </c>
      <c r="G75" s="844">
        <f>+'Additional  Est Input'!AM226+'OH Constr'!AM334+'115 kV &amp; 345 kV HPFF'!AM152+'115 kV Und XLPE'!AM155+'345 kV Und XLPE'!AM155+'Substation Const'!AM694+Removals!AM226+Substation_D!AM207</f>
        <v>0</v>
      </c>
      <c r="H75" s="844">
        <f>+'Additional  Est Input'!AN226+'OH Constr'!AN334+'115 kV &amp; 345 kV HPFF'!AN152+'115 kV Und XLPE'!AN155+'345 kV Und XLPE'!AN155+'Substation Const'!AN694+Removals!AN226+Substation_D!AN207</f>
        <v>0</v>
      </c>
      <c r="I75" s="586">
        <f>+'Additional  Est Input'!AR226+'OH Constr'!AR334+'115 kV &amp; 345 kV HPFF'!AR152+'115 kV Und XLPE'!AR155+'345 kV Und XLPE'!AR155+'Substation Const'!AR694+Removals!AR226+Substation_D!AR207</f>
        <v>0</v>
      </c>
      <c r="J75" s="586"/>
      <c r="K75" s="586">
        <f t="shared" si="3"/>
        <v>0</v>
      </c>
      <c r="L75" s="586"/>
      <c r="M75" s="586">
        <f t="shared" si="4"/>
        <v>0</v>
      </c>
      <c r="N75" s="170"/>
    </row>
    <row r="76" spans="1:14" ht="12.6" customHeight="1" x14ac:dyDescent="0.25">
      <c r="A76" s="170"/>
      <c r="B76" s="376">
        <f>+Parameters!D74</f>
        <v>71</v>
      </c>
      <c r="C76" s="170" t="str">
        <f>+Parameters!E74</f>
        <v>Pre-Eng Building</v>
      </c>
      <c r="D76" s="2688">
        <f>+Parameters!F74</f>
        <v>0</v>
      </c>
      <c r="E76" s="844">
        <f>+'Additional  Est Input'!H227+'OH Constr'!H335+'115 kV &amp; 345 kV HPFF'!H153+'115 kV Und XLPE'!H156+'345 kV Und XLPE'!H156+'Substation Const'!H695+Removals!H227+Substation_D!H208</f>
        <v>0</v>
      </c>
      <c r="F76" s="586">
        <f>+'Additional  Est Input'!AI227+'Additional  Est Input'!AL227+'OH Constr'!AI335+'OH Constr'!AL335+'115 kV &amp; 345 kV HPFF'!AI153+'115 kV &amp; 345 kV HPFF'!AL153+'115 kV Und XLPE'!AI156+'115 kV Und XLPE'!AL156+'345 kV Und XLPE'!AI156+'345 kV Und XLPE'!AL156+'Substation Const'!AI695+'Substation Const'!AL695+Removals!AI227+Removals!AL227+Substation_D!AI208+Substation_D!AL208</f>
        <v>0</v>
      </c>
      <c r="G76" s="844">
        <f>+'Additional  Est Input'!AM227+'OH Constr'!AM335+'115 kV &amp; 345 kV HPFF'!AM153+'115 kV Und XLPE'!AM156+'345 kV Und XLPE'!AM156+'Substation Const'!AM695+Removals!AM227+Substation_D!AM208</f>
        <v>0</v>
      </c>
      <c r="H76" s="844">
        <f>+'Additional  Est Input'!AN227+'OH Constr'!AN335+'115 kV &amp; 345 kV HPFF'!AN153+'115 kV Und XLPE'!AN156+'345 kV Und XLPE'!AN156+'Substation Const'!AN695+Removals!AN227+Substation_D!AN208</f>
        <v>0</v>
      </c>
      <c r="I76" s="586">
        <f>+'Additional  Est Input'!AR227+'OH Constr'!AR335+'115 kV &amp; 345 kV HPFF'!AR153+'115 kV Und XLPE'!AR156+'345 kV Und XLPE'!AR156+'Substation Const'!AR695+Removals!AR227+Substation_D!AR208</f>
        <v>0</v>
      </c>
      <c r="J76" s="586"/>
      <c r="K76" s="586">
        <f t="shared" si="3"/>
        <v>0</v>
      </c>
      <c r="L76" s="586"/>
      <c r="M76" s="586">
        <f t="shared" si="4"/>
        <v>0</v>
      </c>
      <c r="N76" s="170"/>
    </row>
    <row r="77" spans="1:14" ht="12.6" customHeight="1" x14ac:dyDescent="0.25">
      <c r="A77" s="170"/>
      <c r="B77" s="376">
        <f>+Parameters!D75</f>
        <v>72</v>
      </c>
      <c r="C77" s="170">
        <f>+Parameters!E75</f>
        <v>0</v>
      </c>
      <c r="D77" s="2688">
        <f>+Parameters!F75</f>
        <v>0</v>
      </c>
      <c r="E77" s="844">
        <f>+'Additional  Est Input'!H228+'OH Constr'!H336+'115 kV &amp; 345 kV HPFF'!H154+'115 kV Und XLPE'!H157+'345 kV Und XLPE'!H157+'Substation Const'!H696+Removals!H228+Substation_D!H209</f>
        <v>0</v>
      </c>
      <c r="F77" s="586">
        <f>+'Additional  Est Input'!AI228+'Additional  Est Input'!AL228+'OH Constr'!AI336+'OH Constr'!AL336+'115 kV &amp; 345 kV HPFF'!AI154+'115 kV &amp; 345 kV HPFF'!AL154+'115 kV Und XLPE'!AI157+'115 kV Und XLPE'!AL157+'345 kV Und XLPE'!AI157+'345 kV Und XLPE'!AL157+'Substation Const'!AI696+'Substation Const'!AL696+Removals!AI228+Removals!AL228+Substation_D!AI209+Substation_D!AL209</f>
        <v>0</v>
      </c>
      <c r="G77" s="844">
        <f>+'Additional  Est Input'!AM228+'OH Constr'!AM336+'115 kV &amp; 345 kV HPFF'!AM154+'115 kV Und XLPE'!AM157+'345 kV Und XLPE'!AM157+'Substation Const'!AM696+Removals!AM228+Substation_D!AM209</f>
        <v>0</v>
      </c>
      <c r="H77" s="844">
        <f>+'Additional  Est Input'!AN228+'OH Constr'!AN336+'115 kV &amp; 345 kV HPFF'!AN154+'115 kV Und XLPE'!AN157+'345 kV Und XLPE'!AN157+'Substation Const'!AN696+Removals!AN228+Substation_D!AN209</f>
        <v>0</v>
      </c>
      <c r="I77" s="586">
        <f>+'Additional  Est Input'!AR228+'OH Constr'!AR336+'115 kV &amp; 345 kV HPFF'!AR154+'115 kV Und XLPE'!AR157+'345 kV Und XLPE'!AR157+'Substation Const'!AR696+Removals!AR228+Substation_D!AR209</f>
        <v>0</v>
      </c>
      <c r="J77" s="586"/>
      <c r="K77" s="586">
        <f t="shared" si="3"/>
        <v>0</v>
      </c>
      <c r="L77" s="586"/>
      <c r="M77" s="586">
        <f t="shared" si="4"/>
        <v>0</v>
      </c>
      <c r="N77" s="170"/>
    </row>
    <row r="78" spans="1:14" ht="12.6" customHeight="1" x14ac:dyDescent="0.25">
      <c r="A78" s="170"/>
      <c r="B78" s="376">
        <f>+Parameters!D76</f>
        <v>73</v>
      </c>
      <c r="C78" s="170">
        <f>+Parameters!E76</f>
        <v>0</v>
      </c>
      <c r="D78" s="2688">
        <f>+Parameters!F76</f>
        <v>0</v>
      </c>
      <c r="E78" s="844">
        <f>+'Additional  Est Input'!H229+'OH Constr'!H337+'115 kV &amp; 345 kV HPFF'!H155+'115 kV Und XLPE'!H158+'345 kV Und XLPE'!H158+'Substation Const'!H697+Removals!H229+Substation_D!H210</f>
        <v>0</v>
      </c>
      <c r="F78" s="586">
        <f>+'Additional  Est Input'!AI229+'Additional  Est Input'!AL229+'OH Constr'!AI337+'OH Constr'!AL337+'115 kV &amp; 345 kV HPFF'!AI155+'115 kV &amp; 345 kV HPFF'!AL155+'115 kV Und XLPE'!AI158+'115 kV Und XLPE'!AL158+'345 kV Und XLPE'!AI158+'345 kV Und XLPE'!AL158+'Substation Const'!AI697+'Substation Const'!AL697+Removals!AI229+Removals!AL229+Substation_D!AI210+Substation_D!AL210</f>
        <v>0</v>
      </c>
      <c r="G78" s="844">
        <f>+'Additional  Est Input'!AM229+'OH Constr'!AM337+'115 kV &amp; 345 kV HPFF'!AM155+'115 kV Und XLPE'!AM158+'345 kV Und XLPE'!AM158+'Substation Const'!AM697+Removals!AM229+Substation_D!AM210</f>
        <v>0</v>
      </c>
      <c r="H78" s="844">
        <f>+'Additional  Est Input'!AN229+'OH Constr'!AN337+'115 kV &amp; 345 kV HPFF'!AN155+'115 kV Und XLPE'!AN158+'345 kV Und XLPE'!AN158+'Substation Const'!AN697+Removals!AN229+Substation_D!AN210</f>
        <v>0</v>
      </c>
      <c r="I78" s="586">
        <f>+'Additional  Est Input'!AR229+'OH Constr'!AR337+'115 kV &amp; 345 kV HPFF'!AR155+'115 kV Und XLPE'!AR158+'345 kV Und XLPE'!AR158+'Substation Const'!AR697+Removals!AR229+Substation_D!AR210</f>
        <v>0</v>
      </c>
      <c r="J78" s="586"/>
      <c r="K78" s="586">
        <f t="shared" si="3"/>
        <v>0</v>
      </c>
      <c r="L78" s="586"/>
      <c r="M78" s="586">
        <f t="shared" si="4"/>
        <v>0</v>
      </c>
      <c r="N78" s="170"/>
    </row>
    <row r="79" spans="1:14" ht="12.6" customHeight="1" x14ac:dyDescent="0.25">
      <c r="A79" s="170"/>
      <c r="B79" s="376">
        <f>+Parameters!D77</f>
        <v>74</v>
      </c>
      <c r="C79" s="170">
        <f>+Parameters!E77</f>
        <v>0</v>
      </c>
      <c r="D79" s="2688">
        <f>+Parameters!F77</f>
        <v>0</v>
      </c>
      <c r="E79" s="844">
        <f>+'Additional  Est Input'!H230+'OH Constr'!H338+'115 kV &amp; 345 kV HPFF'!H156+'115 kV Und XLPE'!H159+'345 kV Und XLPE'!H159+'Substation Const'!H698+Removals!H230+Substation_D!H211</f>
        <v>0</v>
      </c>
      <c r="F79" s="586">
        <f>+'Additional  Est Input'!AI230+'Additional  Est Input'!AL230+'OH Constr'!AI338+'OH Constr'!AL338+'115 kV &amp; 345 kV HPFF'!AI156+'115 kV &amp; 345 kV HPFF'!AL156+'115 kV Und XLPE'!AI159+'115 kV Und XLPE'!AL159+'345 kV Und XLPE'!AI159+'345 kV Und XLPE'!AL159+'Substation Const'!AI698+'Substation Const'!AL698+Removals!AI230+Removals!AL230+Substation_D!AI211+Substation_D!AL211</f>
        <v>0</v>
      </c>
      <c r="G79" s="844">
        <f>+'Additional  Est Input'!AM230+'OH Constr'!AM338+'115 kV &amp; 345 kV HPFF'!AM156+'115 kV Und XLPE'!AM159+'345 kV Und XLPE'!AM159+'Substation Const'!AM698+Removals!AM230+Substation_D!AM211</f>
        <v>0</v>
      </c>
      <c r="H79" s="844">
        <f>+'Additional  Est Input'!AN230+'OH Constr'!AN338+'115 kV &amp; 345 kV HPFF'!AN156+'115 kV Und XLPE'!AN159+'345 kV Und XLPE'!AN159+'Substation Const'!AN698+Removals!AN230+Substation_D!AN211</f>
        <v>0</v>
      </c>
      <c r="I79" s="586">
        <f>+'Additional  Est Input'!AR230+'OH Constr'!AR338+'115 kV &amp; 345 kV HPFF'!AR156+'115 kV Und XLPE'!AR159+'345 kV Und XLPE'!AR159+'Substation Const'!AR698+Removals!AR230+Substation_D!AR211</f>
        <v>0</v>
      </c>
      <c r="J79" s="586"/>
      <c r="K79" s="586">
        <f t="shared" si="3"/>
        <v>0</v>
      </c>
      <c r="L79" s="586"/>
      <c r="M79" s="586">
        <f t="shared" si="4"/>
        <v>0</v>
      </c>
      <c r="N79" s="170"/>
    </row>
    <row r="80" spans="1:14" ht="12.6" customHeight="1" x14ac:dyDescent="0.25">
      <c r="A80" s="170"/>
      <c r="B80" s="376">
        <f>+Parameters!D78</f>
        <v>75</v>
      </c>
      <c r="C80" s="170">
        <f>+Parameters!E78</f>
        <v>0</v>
      </c>
      <c r="D80" s="2688">
        <f>+Parameters!F78</f>
        <v>0</v>
      </c>
      <c r="E80" s="844">
        <f>+'Additional  Est Input'!H231+'OH Constr'!H339+'115 kV &amp; 345 kV HPFF'!H157+'115 kV Und XLPE'!H160+'345 kV Und XLPE'!H160+'Substation Const'!H699+Removals!H231+Substation_D!H212</f>
        <v>0</v>
      </c>
      <c r="F80" s="586">
        <f>+'Additional  Est Input'!AI231+'Additional  Est Input'!AL231+'OH Constr'!AI339+'OH Constr'!AL339+'115 kV &amp; 345 kV HPFF'!AI157+'115 kV &amp; 345 kV HPFF'!AL157+'115 kV Und XLPE'!AI160+'115 kV Und XLPE'!AL160+'345 kV Und XLPE'!AI160+'345 kV Und XLPE'!AL160+'Substation Const'!AI699+'Substation Const'!AL699+Removals!AI231+Removals!AL231+Substation_D!AI212+Substation_D!AL212</f>
        <v>0</v>
      </c>
      <c r="G80" s="844">
        <f>+'Additional  Est Input'!AM231+'OH Constr'!AM339+'115 kV &amp; 345 kV HPFF'!AM157+'115 kV Und XLPE'!AM160+'345 kV Und XLPE'!AM160+'Substation Const'!AM699+Removals!AM231+Substation_D!AM212</f>
        <v>0</v>
      </c>
      <c r="H80" s="844">
        <f>+'Additional  Est Input'!AN231+'OH Constr'!AN339+'115 kV &amp; 345 kV HPFF'!AN157+'115 kV Und XLPE'!AN160+'345 kV Und XLPE'!AN160+'Substation Const'!AN699+Removals!AN231+Substation_D!AN212</f>
        <v>0</v>
      </c>
      <c r="I80" s="586">
        <f>+'Additional  Est Input'!AR231+'OH Constr'!AR339+'115 kV &amp; 345 kV HPFF'!AR157+'115 kV Und XLPE'!AR160+'345 kV Und XLPE'!AR160+'Substation Const'!AR699+Removals!AR231+Substation_D!AR212</f>
        <v>0</v>
      </c>
      <c r="J80" s="586"/>
      <c r="K80" s="586">
        <f t="shared" si="3"/>
        <v>0</v>
      </c>
      <c r="L80" s="586"/>
      <c r="M80" s="586">
        <f t="shared" si="4"/>
        <v>0</v>
      </c>
      <c r="N80" s="170"/>
    </row>
    <row r="81" spans="1:14" ht="12.6" customHeight="1" x14ac:dyDescent="0.25">
      <c r="A81" s="170"/>
      <c r="B81" s="376">
        <f>+Parameters!D79</f>
        <v>76</v>
      </c>
      <c r="C81" s="170">
        <f>+Parameters!E79</f>
        <v>0</v>
      </c>
      <c r="D81" s="2688">
        <f>+Parameters!F79</f>
        <v>0</v>
      </c>
      <c r="E81" s="844">
        <f>+'Additional  Est Input'!H232+'OH Constr'!H340+'115 kV &amp; 345 kV HPFF'!H158+'115 kV Und XLPE'!H161+'345 kV Und XLPE'!H161+'Substation Const'!H700+Removals!H232+Substation_D!H213</f>
        <v>0</v>
      </c>
      <c r="F81" s="586">
        <f>+'Additional  Est Input'!AI232+'Additional  Est Input'!AL232+'OH Constr'!AI340+'OH Constr'!AL340+'115 kV &amp; 345 kV HPFF'!AI158+'115 kV &amp; 345 kV HPFF'!AL158+'115 kV Und XLPE'!AI161+'115 kV Und XLPE'!AL161+'345 kV Und XLPE'!AI161+'345 kV Und XLPE'!AL161+'Substation Const'!AI700+'Substation Const'!AL700+Removals!AI232+Removals!AL232+Substation_D!AI213+Substation_D!AL213</f>
        <v>0</v>
      </c>
      <c r="G81" s="844">
        <f>+'Additional  Est Input'!AM232+'OH Constr'!AM340+'115 kV &amp; 345 kV HPFF'!AM158+'115 kV Und XLPE'!AM161+'345 kV Und XLPE'!AM161+'Substation Const'!AM700+Removals!AM232+Substation_D!AM213</f>
        <v>0</v>
      </c>
      <c r="H81" s="844">
        <f>+'Additional  Est Input'!AN232+'OH Constr'!AN340+'115 kV &amp; 345 kV HPFF'!AN158+'115 kV Und XLPE'!AN161+'345 kV Und XLPE'!AN161+'Substation Const'!AN700+Removals!AN232+Substation_D!AN213</f>
        <v>0</v>
      </c>
      <c r="I81" s="586">
        <f>+'Additional  Est Input'!AR232+'OH Constr'!AR340+'115 kV &amp; 345 kV HPFF'!AR158+'115 kV Und XLPE'!AR161+'345 kV Und XLPE'!AR161+'Substation Const'!AR700+Removals!AR232+Substation_D!AR213</f>
        <v>0</v>
      </c>
      <c r="J81" s="586"/>
      <c r="K81" s="586">
        <f t="shared" si="3"/>
        <v>0</v>
      </c>
      <c r="L81" s="586"/>
      <c r="M81" s="586">
        <f t="shared" si="4"/>
        <v>0</v>
      </c>
      <c r="N81" s="170"/>
    </row>
    <row r="82" spans="1:14" ht="12.6" customHeight="1" x14ac:dyDescent="0.25">
      <c r="A82" s="170"/>
      <c r="B82" s="376">
        <f>+Parameters!D80</f>
        <v>77</v>
      </c>
      <c r="C82" s="170">
        <f>+Parameters!E80</f>
        <v>0</v>
      </c>
      <c r="D82" s="2688">
        <f>+Parameters!F80</f>
        <v>0</v>
      </c>
      <c r="E82" s="844">
        <f>+'Additional  Est Input'!H233+'OH Constr'!H341+'115 kV &amp; 345 kV HPFF'!H159+'115 kV Und XLPE'!H162+'345 kV Und XLPE'!H162+'Substation Const'!H701+Removals!H233+Substation_D!H214</f>
        <v>0</v>
      </c>
      <c r="F82" s="586">
        <f>+'Additional  Est Input'!AI233+'Additional  Est Input'!AL233+'OH Constr'!AI341+'OH Constr'!AL341+'115 kV &amp; 345 kV HPFF'!AI159+'115 kV &amp; 345 kV HPFF'!AL159+'115 kV Und XLPE'!AI162+'115 kV Und XLPE'!AL162+'345 kV Und XLPE'!AI162+'345 kV Und XLPE'!AL162+'Substation Const'!AI701+'Substation Const'!AL701+Removals!AI233+Removals!AL233+Substation_D!AI214+Substation_D!AL214</f>
        <v>0</v>
      </c>
      <c r="G82" s="844">
        <f>+'Additional  Est Input'!AM233+'OH Constr'!AM341+'115 kV &amp; 345 kV HPFF'!AM159+'115 kV Und XLPE'!AM162+'345 kV Und XLPE'!AM162+'Substation Const'!AM701+Removals!AM233+Substation_D!AM214</f>
        <v>0</v>
      </c>
      <c r="H82" s="844">
        <f>+'Additional  Est Input'!AN233+'OH Constr'!AN341+'115 kV &amp; 345 kV HPFF'!AN159+'115 kV Und XLPE'!AN162+'345 kV Und XLPE'!AN162+'Substation Const'!AN701+Removals!AN233+Substation_D!AN214</f>
        <v>0</v>
      </c>
      <c r="I82" s="586">
        <f>+'Additional  Est Input'!AR233+'OH Constr'!AR341+'115 kV &amp; 345 kV HPFF'!AR159+'115 kV Und XLPE'!AR162+'345 kV Und XLPE'!AR162+'Substation Const'!AR701+Removals!AR233+Substation_D!AR214</f>
        <v>0</v>
      </c>
      <c r="J82" s="586"/>
      <c r="K82" s="586">
        <f t="shared" si="3"/>
        <v>0</v>
      </c>
      <c r="L82" s="586"/>
      <c r="M82" s="586">
        <f t="shared" si="4"/>
        <v>0</v>
      </c>
      <c r="N82" s="170"/>
    </row>
    <row r="83" spans="1:14" ht="12.6" customHeight="1" x14ac:dyDescent="0.25">
      <c r="A83" s="170"/>
      <c r="B83" s="376">
        <f>+Parameters!D81</f>
        <v>78</v>
      </c>
      <c r="C83" s="170">
        <f>+Parameters!E81</f>
        <v>0</v>
      </c>
      <c r="D83" s="2688">
        <f>+Parameters!F81</f>
        <v>0</v>
      </c>
      <c r="E83" s="844">
        <f>+'Additional  Est Input'!H234+'OH Constr'!H342+'115 kV &amp; 345 kV HPFF'!H160+'115 kV Und XLPE'!H163+'345 kV Und XLPE'!H163+'Substation Const'!H702+Removals!H234+Substation_D!H215</f>
        <v>0</v>
      </c>
      <c r="F83" s="586">
        <f>+'Additional  Est Input'!AI234+'Additional  Est Input'!AL234+'OH Constr'!AI342+'OH Constr'!AL342+'115 kV &amp; 345 kV HPFF'!AI160+'115 kV &amp; 345 kV HPFF'!AL160+'115 kV Und XLPE'!AI163+'115 kV Und XLPE'!AL163+'345 kV Und XLPE'!AI163+'345 kV Und XLPE'!AL163+'Substation Const'!AI702+'Substation Const'!AL702+Removals!AI234+Removals!AL234+Substation_D!AI215+Substation_D!AL215</f>
        <v>0</v>
      </c>
      <c r="G83" s="844">
        <f>+'Additional  Est Input'!AM234+'OH Constr'!AM342+'115 kV &amp; 345 kV HPFF'!AM160+'115 kV Und XLPE'!AM163+'345 kV Und XLPE'!AM163+'Substation Const'!AM702+Removals!AM234+Substation_D!AM215</f>
        <v>0</v>
      </c>
      <c r="H83" s="844">
        <f>+'Additional  Est Input'!AN234+'OH Constr'!AN342+'115 kV &amp; 345 kV HPFF'!AN160+'115 kV Und XLPE'!AN163+'345 kV Und XLPE'!AN163+'Substation Const'!AN702+Removals!AN234+Substation_D!AN215</f>
        <v>0</v>
      </c>
      <c r="I83" s="586">
        <f>+'Additional  Est Input'!AR234+'OH Constr'!AR342+'115 kV &amp; 345 kV HPFF'!AR160+'115 kV Und XLPE'!AR163+'345 kV Und XLPE'!AR163+'Substation Const'!AR702+Removals!AR234+Substation_D!AR215</f>
        <v>0</v>
      </c>
      <c r="J83" s="586"/>
      <c r="K83" s="586">
        <f t="shared" si="3"/>
        <v>0</v>
      </c>
      <c r="L83" s="586"/>
      <c r="M83" s="586">
        <f t="shared" si="4"/>
        <v>0</v>
      </c>
      <c r="N83" s="170"/>
    </row>
    <row r="84" spans="1:14" ht="12.6" customHeight="1" x14ac:dyDescent="0.25">
      <c r="A84" s="170"/>
      <c r="B84" s="376">
        <f>+Parameters!D82</f>
        <v>79</v>
      </c>
      <c r="C84" s="170">
        <f>+Parameters!E82</f>
        <v>0</v>
      </c>
      <c r="D84" s="2688">
        <f>+Parameters!F82</f>
        <v>0</v>
      </c>
      <c r="E84" s="844">
        <f>+'Additional  Est Input'!H235+'OH Constr'!H343+'115 kV &amp; 345 kV HPFF'!H161+'115 kV Und XLPE'!H164+'345 kV Und XLPE'!H164+'Substation Const'!H703+Removals!H235+Substation_D!H216</f>
        <v>0</v>
      </c>
      <c r="F84" s="586">
        <f>+'Additional  Est Input'!AI235+'Additional  Est Input'!AL235+'OH Constr'!AI343+'OH Constr'!AL343+'115 kV &amp; 345 kV HPFF'!AI161+'115 kV &amp; 345 kV HPFF'!AL161+'115 kV Und XLPE'!AI164+'115 kV Und XLPE'!AL164+'345 kV Und XLPE'!AI164+'345 kV Und XLPE'!AL164+'Substation Const'!AI703+'Substation Const'!AL703+Removals!AI235+Removals!AL235+Substation_D!AI216+Substation_D!AL216</f>
        <v>0</v>
      </c>
      <c r="G84" s="844">
        <f>+'Additional  Est Input'!AM235+'OH Constr'!AM343+'115 kV &amp; 345 kV HPFF'!AM161+'115 kV Und XLPE'!AM164+'345 kV Und XLPE'!AM164+'Substation Const'!AM703+Removals!AM235+Substation_D!AM216</f>
        <v>0</v>
      </c>
      <c r="H84" s="844">
        <f>+'Additional  Est Input'!AN235+'OH Constr'!AN343+'115 kV &amp; 345 kV HPFF'!AN161+'115 kV Und XLPE'!AN164+'345 kV Und XLPE'!AN164+'Substation Const'!AN703+Removals!AN235+Substation_D!AN216</f>
        <v>0</v>
      </c>
      <c r="I84" s="586">
        <f>+'Additional  Est Input'!AR235+'OH Constr'!AR343+'115 kV &amp; 345 kV HPFF'!AR161+'115 kV Und XLPE'!AR164+'345 kV Und XLPE'!AR164+'Substation Const'!AR703+Removals!AR235+Substation_D!AR216</f>
        <v>0</v>
      </c>
      <c r="J84" s="586"/>
      <c r="K84" s="586">
        <f t="shared" si="3"/>
        <v>0</v>
      </c>
      <c r="L84" s="586"/>
      <c r="M84" s="586">
        <f t="shared" si="4"/>
        <v>0</v>
      </c>
      <c r="N84" s="170"/>
    </row>
    <row r="85" spans="1:14" ht="12.6" customHeight="1" x14ac:dyDescent="0.25">
      <c r="A85" s="170"/>
      <c r="B85" s="376">
        <f>+Parameters!D83</f>
        <v>80</v>
      </c>
      <c r="C85" s="170" t="str">
        <f>+Parameters!E83</f>
        <v>Protection and Controls</v>
      </c>
      <c r="D85" s="2688">
        <f>+Parameters!F83</f>
        <v>0</v>
      </c>
      <c r="E85" s="844">
        <f>+'Additional  Est Input'!H236+'OH Constr'!H344+'115 kV &amp; 345 kV HPFF'!H162+'115 kV Und XLPE'!H165+'345 kV Und XLPE'!H165+'Substation Const'!H704+Removals!H236+Substation_D!H217</f>
        <v>0</v>
      </c>
      <c r="F85" s="586">
        <f>+'Additional  Est Input'!AI236+'Additional  Est Input'!AL236+'OH Constr'!AI344+'OH Constr'!AL344+'115 kV &amp; 345 kV HPFF'!AI162+'115 kV &amp; 345 kV HPFF'!AL162+'115 kV Und XLPE'!AI165+'115 kV Und XLPE'!AL165+'345 kV Und XLPE'!AI165+'345 kV Und XLPE'!AL165+'Substation Const'!AI704+'Substation Const'!AL704+Removals!AI236+Removals!AL236+Substation_D!AI217+Substation_D!AL217</f>
        <v>0</v>
      </c>
      <c r="G85" s="844">
        <f>+'Additional  Est Input'!AM236+'OH Constr'!AM344+'115 kV &amp; 345 kV HPFF'!AM162+'115 kV Und XLPE'!AM165+'345 kV Und XLPE'!AM165+'Substation Const'!AM704+Removals!AM236+Substation_D!AM217</f>
        <v>0</v>
      </c>
      <c r="H85" s="844">
        <f>+'Additional  Est Input'!AN236+'OH Constr'!AN344+'115 kV &amp; 345 kV HPFF'!AN162+'115 kV Und XLPE'!AN165+'345 kV Und XLPE'!AN165+'Substation Const'!AN704+Removals!AN236+Substation_D!AN217</f>
        <v>0</v>
      </c>
      <c r="I85" s="586">
        <f>+'Additional  Est Input'!AR236+'OH Constr'!AR344+'115 kV &amp; 345 kV HPFF'!AR162+'115 kV Und XLPE'!AR165+'345 kV Und XLPE'!AR165+'Substation Const'!AR704+Removals!AR236+Substation_D!AR217</f>
        <v>0</v>
      </c>
      <c r="J85" s="586"/>
      <c r="K85" s="586">
        <f t="shared" si="3"/>
        <v>0</v>
      </c>
      <c r="L85" s="586"/>
      <c r="M85" s="586">
        <f t="shared" si="4"/>
        <v>0</v>
      </c>
      <c r="N85" s="170"/>
    </row>
    <row r="86" spans="1:14" ht="12.6" customHeight="1" x14ac:dyDescent="0.25">
      <c r="A86" s="170"/>
      <c r="B86" s="376">
        <f>+Parameters!D84</f>
        <v>81</v>
      </c>
      <c r="C86" s="170" t="str">
        <f>+Parameters!E84</f>
        <v>Relays</v>
      </c>
      <c r="D86" s="2688" t="str">
        <f>+Parameters!F84</f>
        <v>ea</v>
      </c>
      <c r="E86" s="844">
        <f>+'Additional  Est Input'!H237+'OH Constr'!H345+'115 kV &amp; 345 kV HPFF'!H163+'115 kV Und XLPE'!H166+'345 kV Und XLPE'!H166+'Substation Const'!H705+Removals!H237+Substation_D!H218</f>
        <v>0</v>
      </c>
      <c r="F86" s="586">
        <f>+'Additional  Est Input'!AI237+'Additional  Est Input'!AL237+'OH Constr'!AI345+'OH Constr'!AL345+'115 kV &amp; 345 kV HPFF'!AI163+'115 kV &amp; 345 kV HPFF'!AL163+'115 kV Und XLPE'!AI166+'115 kV Und XLPE'!AL166+'345 kV Und XLPE'!AI166+'345 kV Und XLPE'!AL166+'Substation Const'!AI705+'Substation Const'!AL705+Removals!AI237+Removals!AL237+Substation_D!AI218+Substation_D!AL218</f>
        <v>0</v>
      </c>
      <c r="G86" s="844">
        <f>+'Additional  Est Input'!AM237+'OH Constr'!AM345+'115 kV &amp; 345 kV HPFF'!AM163+'115 kV Und XLPE'!AM166+'345 kV Und XLPE'!AM166+'Substation Const'!AM705+Removals!AM237+Substation_D!AM218</f>
        <v>0</v>
      </c>
      <c r="H86" s="844">
        <f>+'Additional  Est Input'!AN237+'OH Constr'!AN345+'115 kV &amp; 345 kV HPFF'!AN163+'115 kV Und XLPE'!AN166+'345 kV Und XLPE'!AN166+'Substation Const'!AN705+Removals!AN237+Substation_D!AN218</f>
        <v>0</v>
      </c>
      <c r="I86" s="586">
        <f>+'Additional  Est Input'!AR237+'OH Constr'!AR345+'115 kV &amp; 345 kV HPFF'!AR163+'115 kV Und XLPE'!AR166+'345 kV Und XLPE'!AR166+'Substation Const'!AR705+Removals!AR237+Substation_D!AR218</f>
        <v>0</v>
      </c>
      <c r="J86" s="586"/>
      <c r="K86" s="586">
        <f t="shared" si="3"/>
        <v>0</v>
      </c>
      <c r="L86" s="586"/>
      <c r="M86" s="586">
        <f t="shared" si="4"/>
        <v>0</v>
      </c>
      <c r="N86" s="170"/>
    </row>
    <row r="87" spans="1:14" ht="12.6" customHeight="1" x14ac:dyDescent="0.25">
      <c r="A87" s="170"/>
      <c r="B87" s="376">
        <f>+Parameters!D85</f>
        <v>82</v>
      </c>
      <c r="C87" s="170" t="str">
        <f>+Parameters!E85</f>
        <v>Cabinets</v>
      </c>
      <c r="D87" s="2688" t="str">
        <f>+Parameters!F85</f>
        <v>ea</v>
      </c>
      <c r="E87" s="844">
        <f>+'Additional  Est Input'!H238+'OH Constr'!H346+'115 kV &amp; 345 kV HPFF'!H164+'115 kV Und XLPE'!H167+'345 kV Und XLPE'!H167+'Substation Const'!H706+Removals!H238+Substation_D!H219</f>
        <v>0</v>
      </c>
      <c r="F87" s="586">
        <f>+'Additional  Est Input'!AI238+'Additional  Est Input'!AL238+'OH Constr'!AI346+'OH Constr'!AL346+'115 kV &amp; 345 kV HPFF'!AI164+'115 kV &amp; 345 kV HPFF'!AL164+'115 kV Und XLPE'!AI167+'115 kV Und XLPE'!AL167+'345 kV Und XLPE'!AI167+'345 kV Und XLPE'!AL167+'Substation Const'!AI706+'Substation Const'!AL706+Removals!AI238+Removals!AL238+Substation_D!AI219+Substation_D!AL219</f>
        <v>0</v>
      </c>
      <c r="G87" s="844">
        <f>+'Additional  Est Input'!AM238+'OH Constr'!AM346+'115 kV &amp; 345 kV HPFF'!AM164+'115 kV Und XLPE'!AM167+'345 kV Und XLPE'!AM167+'Substation Const'!AM706+Removals!AM238+Substation_D!AM219</f>
        <v>0</v>
      </c>
      <c r="H87" s="844">
        <f>+'Additional  Est Input'!AN238+'OH Constr'!AN346+'115 kV &amp; 345 kV HPFF'!AN164+'115 kV Und XLPE'!AN167+'345 kV Und XLPE'!AN167+'Substation Const'!AN706+Removals!AN238+Substation_D!AN219</f>
        <v>0</v>
      </c>
      <c r="I87" s="586">
        <f>+'Additional  Est Input'!AR238+'OH Constr'!AR346+'115 kV &amp; 345 kV HPFF'!AR164+'115 kV Und XLPE'!AR167+'345 kV Und XLPE'!AR167+'Substation Const'!AR706+Removals!AR238+Substation_D!AR219</f>
        <v>0</v>
      </c>
      <c r="J87" s="586"/>
      <c r="K87" s="586">
        <f t="shared" si="3"/>
        <v>0</v>
      </c>
      <c r="L87" s="586"/>
      <c r="M87" s="586">
        <f t="shared" si="4"/>
        <v>0</v>
      </c>
      <c r="N87" s="170"/>
    </row>
    <row r="88" spans="1:14" ht="12.6" customHeight="1" x14ac:dyDescent="0.25">
      <c r="A88" s="170"/>
      <c r="B88" s="376">
        <f>+Parameters!D86</f>
        <v>83</v>
      </c>
      <c r="C88" s="170" t="str">
        <f>+Parameters!E86</f>
        <v>Comm. Eqt</v>
      </c>
      <c r="D88" s="2688" t="str">
        <f>+Parameters!F86</f>
        <v>ea</v>
      </c>
      <c r="E88" s="844">
        <f>+'Additional  Est Input'!H239+'OH Constr'!H347+'115 kV &amp; 345 kV HPFF'!H165+'115 kV Und XLPE'!H168+'345 kV Und XLPE'!H168+'Substation Const'!H707+Removals!H239+Substation_D!H220</f>
        <v>0</v>
      </c>
      <c r="F88" s="586">
        <f>+'Additional  Est Input'!AI239+'Additional  Est Input'!AL239+'OH Constr'!AI347+'OH Constr'!AL347+'115 kV &amp; 345 kV HPFF'!AI165+'115 kV &amp; 345 kV HPFF'!AL165+'115 kV Und XLPE'!AI168+'115 kV Und XLPE'!AL168+'345 kV Und XLPE'!AI168+'345 kV Und XLPE'!AL168+'Substation Const'!AI707+'Substation Const'!AL707+Removals!AI239+Removals!AL239+Substation_D!AI220+Substation_D!AL220</f>
        <v>0</v>
      </c>
      <c r="G88" s="844">
        <f>+'Additional  Est Input'!AM239+'OH Constr'!AM347+'115 kV &amp; 345 kV HPFF'!AM165+'115 kV Und XLPE'!AM168+'345 kV Und XLPE'!AM168+'Substation Const'!AM707+Removals!AM239+Substation_D!AM220</f>
        <v>0</v>
      </c>
      <c r="H88" s="844">
        <f>+'Additional  Est Input'!AN239+'OH Constr'!AN347+'115 kV &amp; 345 kV HPFF'!AN165+'115 kV Und XLPE'!AN168+'345 kV Und XLPE'!AN168+'Substation Const'!AN707+Removals!AN239+Substation_D!AN220</f>
        <v>0</v>
      </c>
      <c r="I88" s="586">
        <f>+'Additional  Est Input'!AR239+'OH Constr'!AR347+'115 kV &amp; 345 kV HPFF'!AR165+'115 kV Und XLPE'!AR168+'345 kV Und XLPE'!AR168+'Substation Const'!AR707+Removals!AR239+Substation_D!AR220</f>
        <v>0</v>
      </c>
      <c r="J88" s="586"/>
      <c r="K88" s="586">
        <f t="shared" si="3"/>
        <v>0</v>
      </c>
      <c r="L88" s="586"/>
      <c r="M88" s="586">
        <f t="shared" si="4"/>
        <v>0</v>
      </c>
      <c r="N88" s="170"/>
    </row>
    <row r="89" spans="1:14" ht="12.6" customHeight="1" x14ac:dyDescent="0.25">
      <c r="A89" s="170"/>
      <c r="B89" s="376">
        <f>+Parameters!D87</f>
        <v>84</v>
      </c>
      <c r="C89" s="170" t="str">
        <f>+Parameters!E87</f>
        <v>SCADA</v>
      </c>
      <c r="D89" s="2688" t="str">
        <f>+Parameters!F87</f>
        <v>ea</v>
      </c>
      <c r="E89" s="844">
        <f>+'Additional  Est Input'!H240+'OH Constr'!H348+'115 kV &amp; 345 kV HPFF'!H166+'115 kV Und XLPE'!H169+'345 kV Und XLPE'!H169+'Substation Const'!H708+Removals!H240+Substation_D!H221</f>
        <v>0</v>
      </c>
      <c r="F89" s="586">
        <f>+'Additional  Est Input'!AI240+'Additional  Est Input'!AL240+'OH Constr'!AI348+'OH Constr'!AL348+'115 kV &amp; 345 kV HPFF'!AI166+'115 kV &amp; 345 kV HPFF'!AL166+'115 kV Und XLPE'!AI169+'115 kV Und XLPE'!AL169+'345 kV Und XLPE'!AI169+'345 kV Und XLPE'!AL169+'Substation Const'!AI708+'Substation Const'!AL708+Removals!AI240+Removals!AL240+Substation_D!AI221+Substation_D!AL221</f>
        <v>0</v>
      </c>
      <c r="G89" s="844">
        <f>+'Additional  Est Input'!AM240+'OH Constr'!AM348+'115 kV &amp; 345 kV HPFF'!AM166+'115 kV Und XLPE'!AM169+'345 kV Und XLPE'!AM169+'Substation Const'!AM708+Removals!AM240+Substation_D!AM221</f>
        <v>0</v>
      </c>
      <c r="H89" s="844">
        <f>+'Additional  Est Input'!AN240+'OH Constr'!AN348+'115 kV &amp; 345 kV HPFF'!AN166+'115 kV Und XLPE'!AN169+'345 kV Und XLPE'!AN169+'Substation Const'!AN708+Removals!AN240+Substation_D!AN221</f>
        <v>0</v>
      </c>
      <c r="I89" s="586">
        <f>+'Additional  Est Input'!AR240+'OH Constr'!AR348+'115 kV &amp; 345 kV HPFF'!AR166+'115 kV Und XLPE'!AR169+'345 kV Und XLPE'!AR169+'Substation Const'!AR708+Removals!AR240+Substation_D!AR221</f>
        <v>0</v>
      </c>
      <c r="J89" s="586"/>
      <c r="K89" s="586">
        <f t="shared" si="3"/>
        <v>0</v>
      </c>
      <c r="L89" s="586"/>
      <c r="M89" s="586">
        <f t="shared" si="4"/>
        <v>0</v>
      </c>
      <c r="N89" s="170"/>
    </row>
    <row r="90" spans="1:14" ht="12.6" customHeight="1" x14ac:dyDescent="0.25">
      <c r="A90" s="170"/>
      <c r="B90" s="376">
        <f>+Parameters!D88</f>
        <v>85</v>
      </c>
      <c r="C90" s="170" t="str">
        <f>+Parameters!E88</f>
        <v>Batteries</v>
      </c>
      <c r="D90" s="2688" t="str">
        <f>+Parameters!F88</f>
        <v>ea</v>
      </c>
      <c r="E90" s="844">
        <f>+'Additional  Est Input'!H241+'OH Constr'!H349+'115 kV &amp; 345 kV HPFF'!H167+'115 kV Und XLPE'!H170+'345 kV Und XLPE'!H170+'Substation Const'!H709+Removals!H241+Substation_D!H222</f>
        <v>0</v>
      </c>
      <c r="F90" s="586">
        <f>+'Additional  Est Input'!AI241+'Additional  Est Input'!AL241+'OH Constr'!AI349+'OH Constr'!AL349+'115 kV &amp; 345 kV HPFF'!AI167+'115 kV &amp; 345 kV HPFF'!AL167+'115 kV Und XLPE'!AI170+'115 kV Und XLPE'!AL170+'345 kV Und XLPE'!AI170+'345 kV Und XLPE'!AL170+'Substation Const'!AI709+'Substation Const'!AL709+Removals!AI241+Removals!AL241+Substation_D!AI222+Substation_D!AL222</f>
        <v>0</v>
      </c>
      <c r="G90" s="844">
        <f>+'Additional  Est Input'!AM241+'OH Constr'!AM349+'115 kV &amp; 345 kV HPFF'!AM167+'115 kV Und XLPE'!AM170+'345 kV Und XLPE'!AM170+'Substation Const'!AM709+Removals!AM241+Substation_D!AM222</f>
        <v>0</v>
      </c>
      <c r="H90" s="844">
        <f>+'Additional  Est Input'!AN241+'OH Constr'!AN349+'115 kV &amp; 345 kV HPFF'!AN167+'115 kV Und XLPE'!AN170+'345 kV Und XLPE'!AN170+'Substation Const'!AN709+Removals!AN241+Substation_D!AN222</f>
        <v>0</v>
      </c>
      <c r="I90" s="586">
        <f>+'Additional  Est Input'!AR241+'OH Constr'!AR349+'115 kV &amp; 345 kV HPFF'!AR167+'115 kV Und XLPE'!AR170+'345 kV Und XLPE'!AR170+'Substation Const'!AR709+Removals!AR241+Substation_D!AR222</f>
        <v>0</v>
      </c>
      <c r="J90" s="586"/>
      <c r="K90" s="586">
        <f t="shared" si="3"/>
        <v>0</v>
      </c>
      <c r="L90" s="586"/>
      <c r="M90" s="586">
        <f t="shared" si="4"/>
        <v>0</v>
      </c>
      <c r="N90" s="170"/>
    </row>
    <row r="91" spans="1:14" ht="12.6" customHeight="1" x14ac:dyDescent="0.25">
      <c r="A91" s="170"/>
      <c r="B91" s="376">
        <f>+Parameters!D89</f>
        <v>86</v>
      </c>
      <c r="C91" s="170">
        <f>+Parameters!E89</f>
        <v>0</v>
      </c>
      <c r="D91" s="2688">
        <f>+Parameters!F89</f>
        <v>0</v>
      </c>
      <c r="E91" s="844">
        <f>+'Additional  Est Input'!H242+'OH Constr'!H350+'115 kV &amp; 345 kV HPFF'!H168+'115 kV Und XLPE'!H171+'345 kV Und XLPE'!H171+'Substation Const'!H710+Removals!H242+Substation_D!H223</f>
        <v>0</v>
      </c>
      <c r="F91" s="586">
        <f>+'Additional  Est Input'!AI242+'Additional  Est Input'!AL242+'OH Constr'!AI350+'OH Constr'!AL350+'115 kV &amp; 345 kV HPFF'!AI168+'115 kV &amp; 345 kV HPFF'!AL168+'115 kV Und XLPE'!AI171+'115 kV Und XLPE'!AL171+'345 kV Und XLPE'!AI171+'345 kV Und XLPE'!AL171+'Substation Const'!AI710+'Substation Const'!AL710+Removals!AI242+Removals!AL242+Substation_D!AI223+Substation_D!AL223</f>
        <v>0</v>
      </c>
      <c r="G91" s="844">
        <f>+'Additional  Est Input'!AM242+'OH Constr'!AM350+'115 kV &amp; 345 kV HPFF'!AM168+'115 kV Und XLPE'!AM171+'345 kV Und XLPE'!AM171+'Substation Const'!AM710+Removals!AM242+Substation_D!AM223</f>
        <v>0</v>
      </c>
      <c r="H91" s="844">
        <f>+'Additional  Est Input'!AN242+'OH Constr'!AN350+'115 kV &amp; 345 kV HPFF'!AN168+'115 kV Und XLPE'!AN171+'345 kV Und XLPE'!AN171+'Substation Const'!AN710+Removals!AN242+Substation_D!AN223</f>
        <v>0</v>
      </c>
      <c r="I91" s="586">
        <f>+'Additional  Est Input'!AR242+'OH Constr'!AR350+'115 kV &amp; 345 kV HPFF'!AR168+'115 kV Und XLPE'!AR171+'345 kV Und XLPE'!AR171+'Substation Const'!AR710+Removals!AR242+Substation_D!AR223</f>
        <v>0</v>
      </c>
      <c r="J91" s="586"/>
      <c r="K91" s="586">
        <f t="shared" si="3"/>
        <v>0</v>
      </c>
      <c r="L91" s="586"/>
      <c r="M91" s="586">
        <f t="shared" si="4"/>
        <v>0</v>
      </c>
      <c r="N91" s="170"/>
    </row>
    <row r="92" spans="1:14" ht="12.6" customHeight="1" x14ac:dyDescent="0.25">
      <c r="A92" s="170"/>
      <c r="B92" s="376">
        <f>+Parameters!D90</f>
        <v>87</v>
      </c>
      <c r="C92" s="170">
        <f>+Parameters!E90</f>
        <v>0</v>
      </c>
      <c r="D92" s="2688">
        <f>+Parameters!F90</f>
        <v>0</v>
      </c>
      <c r="E92" s="844">
        <f>+'Additional  Est Input'!H243+'OH Constr'!H351+'115 kV &amp; 345 kV HPFF'!H169+'115 kV Und XLPE'!H172+'345 kV Und XLPE'!H172+'Substation Const'!H711+Removals!H243+Substation_D!H224</f>
        <v>0</v>
      </c>
      <c r="F92" s="586">
        <f>+'Additional  Est Input'!AI243+'Additional  Est Input'!AL243+'OH Constr'!AI351+'OH Constr'!AL351+'115 kV &amp; 345 kV HPFF'!AI169+'115 kV &amp; 345 kV HPFF'!AL169+'115 kV Und XLPE'!AI172+'115 kV Und XLPE'!AL172+'345 kV Und XLPE'!AI172+'345 kV Und XLPE'!AL172+'Substation Const'!AI711+'Substation Const'!AL711+Removals!AI243+Removals!AL243+Substation_D!AI224+Substation_D!AL224</f>
        <v>0</v>
      </c>
      <c r="G92" s="844">
        <f>+'Additional  Est Input'!AM243+'OH Constr'!AM351+'115 kV &amp; 345 kV HPFF'!AM169+'115 kV Und XLPE'!AM172+'345 kV Und XLPE'!AM172+'Substation Const'!AM711+Removals!AM243+Substation_D!AM224</f>
        <v>0</v>
      </c>
      <c r="H92" s="844">
        <f>+'Additional  Est Input'!AN243+'OH Constr'!AN351+'115 kV &amp; 345 kV HPFF'!AN169+'115 kV Und XLPE'!AN172+'345 kV Und XLPE'!AN172+'Substation Const'!AN711+Removals!AN243+Substation_D!AN224</f>
        <v>0</v>
      </c>
      <c r="I92" s="586">
        <f>+'Additional  Est Input'!AR243+'OH Constr'!AR351+'115 kV &amp; 345 kV HPFF'!AR169+'115 kV Und XLPE'!AR172+'345 kV Und XLPE'!AR172+'Substation Const'!AR711+Removals!AR243+Substation_D!AR224</f>
        <v>0</v>
      </c>
      <c r="J92" s="586"/>
      <c r="K92" s="586">
        <f t="shared" si="3"/>
        <v>0</v>
      </c>
      <c r="L92" s="586"/>
      <c r="M92" s="586">
        <f t="shared" si="4"/>
        <v>0</v>
      </c>
      <c r="N92" s="170"/>
    </row>
    <row r="93" spans="1:14" ht="12.6" customHeight="1" x14ac:dyDescent="0.25">
      <c r="A93" s="170"/>
      <c r="B93" s="376">
        <f>+Parameters!D91</f>
        <v>88</v>
      </c>
      <c r="C93" s="170">
        <f>+Parameters!E91</f>
        <v>0</v>
      </c>
      <c r="D93" s="2688">
        <f>+Parameters!F91</f>
        <v>0</v>
      </c>
      <c r="E93" s="844">
        <f>+'Additional  Est Input'!H244+'OH Constr'!H352+'115 kV &amp; 345 kV HPFF'!H170+'115 kV Und XLPE'!H173+'345 kV Und XLPE'!H173+'Substation Const'!H712+Removals!H244+Substation_D!H225</f>
        <v>0</v>
      </c>
      <c r="F93" s="586">
        <f>+'Additional  Est Input'!AI244+'Additional  Est Input'!AL244+'OH Constr'!AI352+'OH Constr'!AL352+'115 kV &amp; 345 kV HPFF'!AI170+'115 kV &amp; 345 kV HPFF'!AL170+'115 kV Und XLPE'!AI173+'115 kV Und XLPE'!AL173+'345 kV Und XLPE'!AI173+'345 kV Und XLPE'!AL173+'Substation Const'!AI712+'Substation Const'!AL712+Removals!AI244+Removals!AL244+Substation_D!AI225+Substation_D!AL225</f>
        <v>0</v>
      </c>
      <c r="G93" s="844">
        <f>+'Additional  Est Input'!AM244+'OH Constr'!AM352+'115 kV &amp; 345 kV HPFF'!AM170+'115 kV Und XLPE'!AM173+'345 kV Und XLPE'!AM173+'Substation Const'!AM712+Removals!AM244+Substation_D!AM225</f>
        <v>0</v>
      </c>
      <c r="H93" s="844">
        <f>+'Additional  Est Input'!AN244+'OH Constr'!AN352+'115 kV &amp; 345 kV HPFF'!AN170+'115 kV Und XLPE'!AN173+'345 kV Und XLPE'!AN173+'Substation Const'!AN712+Removals!AN244+Substation_D!AN225</f>
        <v>0</v>
      </c>
      <c r="I93" s="586">
        <f>+'Additional  Est Input'!AR244+'OH Constr'!AR352+'115 kV &amp; 345 kV HPFF'!AR170+'115 kV Und XLPE'!AR173+'345 kV Und XLPE'!AR173+'Substation Const'!AR712+Removals!AR244+Substation_D!AR225</f>
        <v>0</v>
      </c>
      <c r="J93" s="586"/>
      <c r="K93" s="586">
        <f t="shared" si="3"/>
        <v>0</v>
      </c>
      <c r="L93" s="586"/>
      <c r="M93" s="586">
        <f t="shared" si="4"/>
        <v>0</v>
      </c>
      <c r="N93" s="170"/>
    </row>
    <row r="94" spans="1:14" ht="12.6" customHeight="1" x14ac:dyDescent="0.25">
      <c r="A94" s="170"/>
      <c r="B94" s="376">
        <f>+Parameters!D92</f>
        <v>89</v>
      </c>
      <c r="C94" s="170" t="str">
        <f>+Parameters!E92</f>
        <v>Misc. Protection and controls Eqt.</v>
      </c>
      <c r="D94" s="2688" t="str">
        <f>+Parameters!F92</f>
        <v>ea</v>
      </c>
      <c r="E94" s="844">
        <f>+'Additional  Est Input'!H245+'OH Constr'!H353+'115 kV &amp; 345 kV HPFF'!H171+'115 kV Und XLPE'!H174+'345 kV Und XLPE'!H174+'Substation Const'!H713+Removals!H245+Substation_D!H226</f>
        <v>0</v>
      </c>
      <c r="F94" s="586">
        <f>+'Additional  Est Input'!AI245+'Additional  Est Input'!AL245+'OH Constr'!AI353+'OH Constr'!AL353+'115 kV &amp; 345 kV HPFF'!AI171+'115 kV &amp; 345 kV HPFF'!AL171+'115 kV Und XLPE'!AI174+'115 kV Und XLPE'!AL174+'345 kV Und XLPE'!AI174+'345 kV Und XLPE'!AL174+'Substation Const'!AI713+'Substation Const'!AL713+Removals!AI245+Removals!AL245+Substation_D!AI226+Substation_D!AL226</f>
        <v>0</v>
      </c>
      <c r="G94" s="844">
        <f>+'Additional  Est Input'!AM245+'OH Constr'!AM353+'115 kV &amp; 345 kV HPFF'!AM171+'115 kV Und XLPE'!AM174+'345 kV Und XLPE'!AM174+'Substation Const'!AM713+Removals!AM245+Substation_D!AM226</f>
        <v>0</v>
      </c>
      <c r="H94" s="844">
        <f>+'Additional  Est Input'!AN245+'OH Constr'!AN353+'115 kV &amp; 345 kV HPFF'!AN171+'115 kV Und XLPE'!AN174+'345 kV Und XLPE'!AN174+'Substation Const'!AN713+Removals!AN245+Substation_D!AN226</f>
        <v>0</v>
      </c>
      <c r="I94" s="586">
        <f>+'Additional  Est Input'!AR245+'OH Constr'!AR353+'115 kV &amp; 345 kV HPFF'!AR171+'115 kV Und XLPE'!AR174+'345 kV Und XLPE'!AR174+'Substation Const'!AR713+Removals!AR245+Substation_D!AR226</f>
        <v>0</v>
      </c>
      <c r="J94" s="586"/>
      <c r="K94" s="586">
        <f t="shared" si="3"/>
        <v>0</v>
      </c>
      <c r="L94" s="586"/>
      <c r="M94" s="586">
        <f t="shared" si="4"/>
        <v>0</v>
      </c>
      <c r="N94" s="170"/>
    </row>
    <row r="95" spans="1:14" ht="12.6" customHeight="1" x14ac:dyDescent="0.25">
      <c r="A95" s="170"/>
      <c r="B95" s="376">
        <f>+Parameters!D93</f>
        <v>90</v>
      </c>
      <c r="C95" s="170" t="str">
        <f>+Parameters!E93</f>
        <v>Environmental</v>
      </c>
      <c r="D95" s="2688">
        <f>+Parameters!F93</f>
        <v>0</v>
      </c>
      <c r="E95" s="844">
        <f>+'Additional  Est Input'!H246+'OH Constr'!H354+'115 kV &amp; 345 kV HPFF'!H172+'115 kV Und XLPE'!H175+'345 kV Und XLPE'!H175+'Substation Const'!H714+Removals!H246+Substation_D!H227</f>
        <v>0</v>
      </c>
      <c r="F95" s="586">
        <f>+'Additional  Est Input'!AI246+'Additional  Est Input'!AL246+'OH Constr'!AI354+'OH Constr'!AL354+'115 kV &amp; 345 kV HPFF'!AI172+'115 kV &amp; 345 kV HPFF'!AL172+'115 kV Und XLPE'!AI175+'115 kV Und XLPE'!AL175+'345 kV Und XLPE'!AI175+'345 kV Und XLPE'!AL175+'Substation Const'!AI714+'Substation Const'!AL714+Removals!AI246+Removals!AL246+Substation_D!AI227+Substation_D!AL227</f>
        <v>0</v>
      </c>
      <c r="G95" s="844">
        <f>+'Additional  Est Input'!AM246+'OH Constr'!AM354+'115 kV &amp; 345 kV HPFF'!AM172+'115 kV Und XLPE'!AM175+'345 kV Und XLPE'!AM175+'Substation Const'!AM714+Removals!AM246+Substation_D!AM227</f>
        <v>0</v>
      </c>
      <c r="H95" s="844">
        <f>+'Additional  Est Input'!AN246+'OH Constr'!AN354+'115 kV &amp; 345 kV HPFF'!AN172+'115 kV Und XLPE'!AN175+'345 kV Und XLPE'!AN175+'Substation Const'!AN714+Removals!AN246+Substation_D!AN227</f>
        <v>0</v>
      </c>
      <c r="I95" s="586">
        <f>+'Additional  Est Input'!AR246+'OH Constr'!AR354+'115 kV &amp; 345 kV HPFF'!AR172+'115 kV Und XLPE'!AR175+'345 kV Und XLPE'!AR175+'Substation Const'!AR714+Removals!AR246+Substation_D!AR227</f>
        <v>0</v>
      </c>
      <c r="J95" s="586"/>
      <c r="K95" s="586">
        <f t="shared" si="3"/>
        <v>0</v>
      </c>
      <c r="L95" s="586"/>
      <c r="M95" s="586">
        <f t="shared" si="4"/>
        <v>0</v>
      </c>
      <c r="N95" s="170"/>
    </row>
    <row r="96" spans="1:14" ht="12.6" customHeight="1" x14ac:dyDescent="0.25">
      <c r="A96" s="170"/>
      <c r="B96" s="376">
        <f>+Parameters!D94</f>
        <v>91</v>
      </c>
      <c r="C96" s="170">
        <f>+Parameters!E94</f>
        <v>0</v>
      </c>
      <c r="D96" s="2688">
        <f>+Parameters!F94</f>
        <v>0</v>
      </c>
      <c r="E96" s="844">
        <f>+'Additional  Est Input'!H247+'OH Constr'!H355+'115 kV &amp; 345 kV HPFF'!H173+'115 kV Und XLPE'!H176+'345 kV Und XLPE'!H176+'Substation Const'!H715+Removals!H247+Substation_D!H228</f>
        <v>0</v>
      </c>
      <c r="F96" s="586">
        <f>+'Additional  Est Input'!AI247+'Additional  Est Input'!AL247+'OH Constr'!AI355+'OH Constr'!AL355+'115 kV &amp; 345 kV HPFF'!AI173+'115 kV &amp; 345 kV HPFF'!AL173+'115 kV Und XLPE'!AI176+'115 kV Und XLPE'!AL176+'345 kV Und XLPE'!AI176+'345 kV Und XLPE'!AL176+'Substation Const'!AI715+'Substation Const'!AL715+Removals!AI247+Removals!AL247+Substation_D!AI228+Substation_D!AL228</f>
        <v>0</v>
      </c>
      <c r="G96" s="844">
        <f>+'Additional  Est Input'!AM247+'OH Constr'!AM355+'115 kV &amp; 345 kV HPFF'!AM173+'115 kV Und XLPE'!AM176+'345 kV Und XLPE'!AM176+'Substation Const'!AM715+Removals!AM247+Substation_D!AM228</f>
        <v>0</v>
      </c>
      <c r="H96" s="844">
        <f>+'Additional  Est Input'!AN247+'OH Constr'!AN355+'115 kV &amp; 345 kV HPFF'!AN173+'115 kV Und XLPE'!AN176+'345 kV Und XLPE'!AN176+'Substation Const'!AN715+Removals!AN247+Substation_D!AN228</f>
        <v>0</v>
      </c>
      <c r="I96" s="586">
        <f>+'Additional  Est Input'!AR247+'OH Constr'!AR355+'115 kV &amp; 345 kV HPFF'!AR173+'115 kV Und XLPE'!AR176+'345 kV Und XLPE'!AR176+'Substation Const'!AR715+Removals!AR247+Substation_D!AR228</f>
        <v>0</v>
      </c>
      <c r="J96" s="586"/>
      <c r="K96" s="586">
        <f t="shared" si="3"/>
        <v>0</v>
      </c>
      <c r="L96" s="586"/>
      <c r="M96" s="586">
        <f t="shared" si="4"/>
        <v>0</v>
      </c>
      <c r="N96" s="170"/>
    </row>
    <row r="97" spans="1:14" ht="12.6" customHeight="1" x14ac:dyDescent="0.25">
      <c r="A97" s="170"/>
      <c r="B97" s="376">
        <f>+Parameters!D95</f>
        <v>92</v>
      </c>
      <c r="C97" s="170">
        <f>+Parameters!E95</f>
        <v>0</v>
      </c>
      <c r="D97" s="2688">
        <f>+Parameters!F95</f>
        <v>0</v>
      </c>
      <c r="E97" s="844">
        <f>+'Additional  Est Input'!H248+'OH Constr'!H356+'115 kV &amp; 345 kV HPFF'!H174+'115 kV Und XLPE'!H177+'345 kV Und XLPE'!H177+'Substation Const'!H716+Removals!H248+Substation_D!H229</f>
        <v>0</v>
      </c>
      <c r="F97" s="586">
        <f>+'Additional  Est Input'!AI248+'Additional  Est Input'!AL248+'OH Constr'!AI356+'OH Constr'!AL356+'115 kV &amp; 345 kV HPFF'!AI174+'115 kV &amp; 345 kV HPFF'!AL174+'115 kV Und XLPE'!AI177+'115 kV Und XLPE'!AL177+'345 kV Und XLPE'!AI177+'345 kV Und XLPE'!AL177+'Substation Const'!AI716+'Substation Const'!AL716+Removals!AI248+Removals!AL248+Substation_D!AI229+Substation_D!AL229</f>
        <v>0</v>
      </c>
      <c r="G97" s="844">
        <f>+'Additional  Est Input'!AM248+'OH Constr'!AM356+'115 kV &amp; 345 kV HPFF'!AM174+'115 kV Und XLPE'!AM177+'345 kV Und XLPE'!AM177+'Substation Const'!AM716+Removals!AM248+Substation_D!AM229</f>
        <v>0</v>
      </c>
      <c r="H97" s="844">
        <f>+'Additional  Est Input'!AN248+'OH Constr'!AN356+'115 kV &amp; 345 kV HPFF'!AN174+'115 kV Und XLPE'!AN177+'345 kV Und XLPE'!AN177+'Substation Const'!AN716+Removals!AN248+Substation_D!AN229</f>
        <v>0</v>
      </c>
      <c r="I97" s="586">
        <f>+'Additional  Est Input'!AR248+'OH Constr'!AR356+'115 kV &amp; 345 kV HPFF'!AR174+'115 kV Und XLPE'!AR177+'345 kV Und XLPE'!AR177+'Substation Const'!AR716+Removals!AR248+Substation_D!AR229</f>
        <v>0</v>
      </c>
      <c r="J97" s="586"/>
      <c r="K97" s="586">
        <f t="shared" si="3"/>
        <v>0</v>
      </c>
      <c r="L97" s="586"/>
      <c r="M97" s="586">
        <f t="shared" si="4"/>
        <v>0</v>
      </c>
      <c r="N97" s="170"/>
    </row>
    <row r="98" spans="1:14" ht="12.6" customHeight="1" x14ac:dyDescent="0.25">
      <c r="A98" s="170"/>
      <c r="B98" s="376">
        <f>+Parameters!D96</f>
        <v>93</v>
      </c>
      <c r="C98" s="170">
        <f>+Parameters!E96</f>
        <v>0</v>
      </c>
      <c r="D98" s="2688">
        <f>+Parameters!F96</f>
        <v>0</v>
      </c>
      <c r="E98" s="844">
        <f>+'Additional  Est Input'!H249+'OH Constr'!H357+'115 kV &amp; 345 kV HPFF'!H175+'115 kV Und XLPE'!H178+'345 kV Und XLPE'!H178+'Substation Const'!H717+Removals!H249+Substation_D!H230</f>
        <v>0</v>
      </c>
      <c r="F98" s="586">
        <f>+'Additional  Est Input'!AI249+'Additional  Est Input'!AL249+'OH Constr'!AI357+'OH Constr'!AL357+'115 kV &amp; 345 kV HPFF'!AI175+'115 kV &amp; 345 kV HPFF'!AL175+'115 kV Und XLPE'!AI178+'115 kV Und XLPE'!AL178+'345 kV Und XLPE'!AI178+'345 kV Und XLPE'!AL178+'Substation Const'!AI717+'Substation Const'!AL717+Removals!AI249+Removals!AL249+Substation_D!AI230+Substation_D!AL230</f>
        <v>0</v>
      </c>
      <c r="G98" s="844">
        <f>+'Additional  Est Input'!AM249+'OH Constr'!AM357+'115 kV &amp; 345 kV HPFF'!AM175+'115 kV Und XLPE'!AM178+'345 kV Und XLPE'!AM178+'Substation Const'!AM717+Removals!AM249+Substation_D!AM230</f>
        <v>0</v>
      </c>
      <c r="H98" s="844">
        <f>+'Additional  Est Input'!AN249+'OH Constr'!AN357+'115 kV &amp; 345 kV HPFF'!AN175+'115 kV Und XLPE'!AN178+'345 kV Und XLPE'!AN178+'Substation Const'!AN717+Removals!AN249+Substation_D!AN230</f>
        <v>0</v>
      </c>
      <c r="I98" s="586">
        <f>+'Additional  Est Input'!AR249+'OH Constr'!AR357+'115 kV &amp; 345 kV HPFF'!AR175+'115 kV Und XLPE'!AR178+'345 kV Und XLPE'!AR178+'Substation Const'!AR717+Removals!AR249+Substation_D!AR230</f>
        <v>0</v>
      </c>
      <c r="J98" s="586"/>
      <c r="K98" s="586">
        <f t="shared" si="3"/>
        <v>0</v>
      </c>
      <c r="L98" s="586"/>
      <c r="M98" s="586">
        <f t="shared" si="4"/>
        <v>0</v>
      </c>
      <c r="N98" s="170"/>
    </row>
    <row r="99" spans="1:14" ht="12.6" customHeight="1" x14ac:dyDescent="0.25">
      <c r="A99" s="170"/>
      <c r="B99" s="376">
        <f>+Parameters!D97</f>
        <v>94</v>
      </c>
      <c r="C99" s="170">
        <f>+Parameters!E97</f>
        <v>0</v>
      </c>
      <c r="D99" s="2688">
        <f>+Parameters!F97</f>
        <v>0</v>
      </c>
      <c r="E99" s="844">
        <f>+'Additional  Est Input'!H250+'OH Constr'!H358+'115 kV &amp; 345 kV HPFF'!H176+'115 kV Und XLPE'!H179+'345 kV Und XLPE'!H179+'Substation Const'!H718+Removals!H250+Substation_D!H231</f>
        <v>0</v>
      </c>
      <c r="F99" s="586">
        <f>+'Additional  Est Input'!AI250+'Additional  Est Input'!AL250+'OH Constr'!AI358+'OH Constr'!AL358+'115 kV &amp; 345 kV HPFF'!AI176+'115 kV &amp; 345 kV HPFF'!AL176+'115 kV Und XLPE'!AI179+'115 kV Und XLPE'!AL179+'345 kV Und XLPE'!AI179+'345 kV Und XLPE'!AL179+'Substation Const'!AI718+'Substation Const'!AL718+Removals!AI250+Removals!AL250+Substation_D!AI231+Substation_D!AL231</f>
        <v>0</v>
      </c>
      <c r="G99" s="844">
        <f>+'Additional  Est Input'!AM250+'OH Constr'!AM358+'115 kV &amp; 345 kV HPFF'!AM176+'115 kV Und XLPE'!AM179+'345 kV Und XLPE'!AM179+'Substation Const'!AM718+Removals!AM250+Substation_D!AM231</f>
        <v>0</v>
      </c>
      <c r="H99" s="844">
        <f>+'Additional  Est Input'!AN250+'OH Constr'!AN358+'115 kV &amp; 345 kV HPFF'!AN176+'115 kV Und XLPE'!AN179+'345 kV Und XLPE'!AN179+'Substation Const'!AN718+Removals!AN250+Substation_D!AN231</f>
        <v>0</v>
      </c>
      <c r="I99" s="586">
        <f>+'Additional  Est Input'!AR250+'OH Constr'!AR358+'115 kV &amp; 345 kV HPFF'!AR176+'115 kV Und XLPE'!AR179+'345 kV Und XLPE'!AR179+'Substation Const'!AR718+Removals!AR250+Substation_D!AR231</f>
        <v>0</v>
      </c>
      <c r="J99" s="586"/>
      <c r="K99" s="586">
        <f t="shared" si="3"/>
        <v>0</v>
      </c>
      <c r="L99" s="586"/>
      <c r="M99" s="586">
        <f t="shared" si="4"/>
        <v>0</v>
      </c>
      <c r="N99" s="170"/>
    </row>
    <row r="100" spans="1:14" ht="12.6" customHeight="1" x14ac:dyDescent="0.25">
      <c r="A100" s="170"/>
      <c r="B100" s="376">
        <f>+Parameters!D98</f>
        <v>95</v>
      </c>
      <c r="C100" s="170">
        <f>+Parameters!E98</f>
        <v>0</v>
      </c>
      <c r="D100" s="2688">
        <f>+Parameters!F98</f>
        <v>0</v>
      </c>
      <c r="E100" s="844">
        <f>+'Additional  Est Input'!H251+'OH Constr'!H359+'115 kV &amp; 345 kV HPFF'!H177+'115 kV Und XLPE'!H180+'345 kV Und XLPE'!H180+'Substation Const'!H719+Removals!H251+Substation_D!H232</f>
        <v>0</v>
      </c>
      <c r="F100" s="586">
        <f>+'Additional  Est Input'!AI251+'Additional  Est Input'!AL251+'OH Constr'!AI359+'OH Constr'!AL359+'115 kV &amp; 345 kV HPFF'!AI177+'115 kV &amp; 345 kV HPFF'!AL177+'115 kV Und XLPE'!AI180+'115 kV Und XLPE'!AL180+'345 kV Und XLPE'!AI180+'345 kV Und XLPE'!AL180+'Substation Const'!AI719+'Substation Const'!AL719+Removals!AI251+Removals!AL251+Substation_D!AI232+Substation_D!AL232</f>
        <v>0</v>
      </c>
      <c r="G100" s="844">
        <f>+'Additional  Est Input'!AM251+'OH Constr'!AM359+'115 kV &amp; 345 kV HPFF'!AM177+'115 kV Und XLPE'!AM180+'345 kV Und XLPE'!AM180+'Substation Const'!AM719+Removals!AM251+Substation_D!AM232</f>
        <v>0</v>
      </c>
      <c r="H100" s="844">
        <f>+'Additional  Est Input'!AN251+'OH Constr'!AN359+'115 kV &amp; 345 kV HPFF'!AN177+'115 kV Und XLPE'!AN180+'345 kV Und XLPE'!AN180+'Substation Const'!AN719+Removals!AN251+Substation_D!AN232</f>
        <v>0</v>
      </c>
      <c r="I100" s="586">
        <f>+'Additional  Est Input'!AR251+'OH Constr'!AR359+'115 kV &amp; 345 kV HPFF'!AR177+'115 kV Und XLPE'!AR180+'345 kV Und XLPE'!AR180+'Substation Const'!AR719+Removals!AR251+Substation_D!AR232</f>
        <v>0</v>
      </c>
      <c r="J100" s="586"/>
      <c r="K100" s="586">
        <f t="shared" si="3"/>
        <v>0</v>
      </c>
      <c r="L100" s="586"/>
      <c r="M100" s="586">
        <f t="shared" si="4"/>
        <v>0</v>
      </c>
      <c r="N100" s="170"/>
    </row>
    <row r="101" spans="1:14" ht="12.6" customHeight="1" x14ac:dyDescent="0.25">
      <c r="A101" s="170"/>
      <c r="B101" s="376">
        <f>+Parameters!D99</f>
        <v>96</v>
      </c>
      <c r="C101" s="170">
        <f>+Parameters!E99</f>
        <v>0</v>
      </c>
      <c r="D101" s="2688">
        <f>+Parameters!F99</f>
        <v>0</v>
      </c>
      <c r="E101" s="844">
        <f>+'Additional  Est Input'!H252+'OH Constr'!H360+'115 kV &amp; 345 kV HPFF'!H178+'115 kV Und XLPE'!H181+'345 kV Und XLPE'!H181+'Substation Const'!H720+Removals!H252+Substation_D!H233</f>
        <v>0</v>
      </c>
      <c r="F101" s="586">
        <f>+'Additional  Est Input'!AI252+'Additional  Est Input'!AL252+'OH Constr'!AI360+'OH Constr'!AL360+'115 kV &amp; 345 kV HPFF'!AI178+'115 kV &amp; 345 kV HPFF'!AL178+'115 kV Und XLPE'!AI181+'115 kV Und XLPE'!AL181+'345 kV Und XLPE'!AI181+'345 kV Und XLPE'!AL181+'Substation Const'!AI720+'Substation Const'!AL720+Removals!AI252+Removals!AL252+Substation_D!AI233+Substation_D!AL233</f>
        <v>0</v>
      </c>
      <c r="G101" s="844">
        <f>+'Additional  Est Input'!AM252+'OH Constr'!AM360+'115 kV &amp; 345 kV HPFF'!AM178+'115 kV Und XLPE'!AM181+'345 kV Und XLPE'!AM181+'Substation Const'!AM720+Removals!AM252+Substation_D!AM233</f>
        <v>0</v>
      </c>
      <c r="H101" s="844">
        <f>+'Additional  Est Input'!AN252+'OH Constr'!AN360+'115 kV &amp; 345 kV HPFF'!AN178+'115 kV Und XLPE'!AN181+'345 kV Und XLPE'!AN181+'Substation Const'!AN720+Removals!AN252+Substation_D!AN233</f>
        <v>0</v>
      </c>
      <c r="I101" s="586">
        <f>+'Additional  Est Input'!AR252+'OH Constr'!AR360+'115 kV &amp; 345 kV HPFF'!AR178+'115 kV Und XLPE'!AR181+'345 kV Und XLPE'!AR181+'Substation Const'!AR720+Removals!AR252+Substation_D!AR233</f>
        <v>0</v>
      </c>
      <c r="J101" s="586"/>
      <c r="K101" s="586">
        <f t="shared" si="3"/>
        <v>0</v>
      </c>
      <c r="L101" s="586"/>
      <c r="M101" s="586">
        <f t="shared" si="4"/>
        <v>0</v>
      </c>
      <c r="N101" s="170"/>
    </row>
    <row r="102" spans="1:14" ht="12.6" customHeight="1" x14ac:dyDescent="0.25">
      <c r="A102" s="170"/>
      <c r="B102" s="376">
        <f>+Parameters!D100</f>
        <v>97</v>
      </c>
      <c r="C102" s="170">
        <f>+Parameters!E100</f>
        <v>0</v>
      </c>
      <c r="D102" s="2688">
        <f>+Parameters!F100</f>
        <v>0</v>
      </c>
      <c r="E102" s="844">
        <f>+'Additional  Est Input'!H253+'OH Constr'!H361+'115 kV &amp; 345 kV HPFF'!H179+'115 kV Und XLPE'!H182+'345 kV Und XLPE'!H182+'Substation Const'!H721+Removals!H253+Substation_D!H234</f>
        <v>0</v>
      </c>
      <c r="F102" s="586">
        <f>+'Additional  Est Input'!AI253+'Additional  Est Input'!AL253+'OH Constr'!AI361+'OH Constr'!AL361+'115 kV &amp; 345 kV HPFF'!AI179+'115 kV &amp; 345 kV HPFF'!AL179+'115 kV Und XLPE'!AI182+'115 kV Und XLPE'!AL182+'345 kV Und XLPE'!AI182+'345 kV Und XLPE'!AL182+'Substation Const'!AI721+'Substation Const'!AL721+Removals!AI253+Removals!AL253+Substation_D!AI234+Substation_D!AL234</f>
        <v>0</v>
      </c>
      <c r="G102" s="844">
        <f>+'Additional  Est Input'!AM253+'OH Constr'!AM361+'115 kV &amp; 345 kV HPFF'!AM179+'115 kV Und XLPE'!AM182+'345 kV Und XLPE'!AM182+'Substation Const'!AM721+Removals!AM253+Substation_D!AM234</f>
        <v>0</v>
      </c>
      <c r="H102" s="844">
        <f>+'Additional  Est Input'!AN253+'OH Constr'!AN361+'115 kV &amp; 345 kV HPFF'!AN179+'115 kV Und XLPE'!AN182+'345 kV Und XLPE'!AN182+'Substation Const'!AN721+Removals!AN253+Substation_D!AN234</f>
        <v>0</v>
      </c>
      <c r="I102" s="586">
        <f>+'Additional  Est Input'!AR253+'OH Constr'!AR361+'115 kV &amp; 345 kV HPFF'!AR179+'115 kV Und XLPE'!AR182+'345 kV Und XLPE'!AR182+'Substation Const'!AR721+Removals!AR253+Substation_D!AR234</f>
        <v>0</v>
      </c>
      <c r="J102" s="586"/>
      <c r="K102" s="586">
        <f t="shared" si="3"/>
        <v>0</v>
      </c>
      <c r="L102" s="586"/>
      <c r="M102" s="586">
        <f t="shared" si="4"/>
        <v>0</v>
      </c>
      <c r="N102" s="170"/>
    </row>
    <row r="103" spans="1:14" ht="12.6" customHeight="1" x14ac:dyDescent="0.25">
      <c r="A103" s="170"/>
      <c r="B103" s="376">
        <f>+Parameters!D101</f>
        <v>98</v>
      </c>
      <c r="C103" s="170">
        <f>+Parameters!E101</f>
        <v>0</v>
      </c>
      <c r="D103" s="2688">
        <f>+Parameters!F101</f>
        <v>0</v>
      </c>
      <c r="E103" s="844">
        <f>+'Additional  Est Input'!H254+'OH Constr'!H362+'115 kV &amp; 345 kV HPFF'!H180+'115 kV Und XLPE'!H183+'345 kV Und XLPE'!H183+'Substation Const'!H722+Removals!H254+Substation_D!H235</f>
        <v>0</v>
      </c>
      <c r="F103" s="586">
        <f>+'Additional  Est Input'!AI254+'Additional  Est Input'!AL254+'OH Constr'!AI362+'OH Constr'!AL362+'115 kV &amp; 345 kV HPFF'!AI180+'115 kV &amp; 345 kV HPFF'!AL180+'115 kV Und XLPE'!AI183+'115 kV Und XLPE'!AL183+'345 kV Und XLPE'!AI183+'345 kV Und XLPE'!AL183+'Substation Const'!AI722+'Substation Const'!AL722+Removals!AI254+Removals!AL254+Substation_D!AI235+Substation_D!AL235</f>
        <v>0</v>
      </c>
      <c r="G103" s="844">
        <f>+'Additional  Est Input'!AM254+'OH Constr'!AM362+'115 kV &amp; 345 kV HPFF'!AM180+'115 kV Und XLPE'!AM183+'345 kV Und XLPE'!AM183+'Substation Const'!AM722+Removals!AM254+Substation_D!AM235</f>
        <v>0</v>
      </c>
      <c r="H103" s="844">
        <f>+'Additional  Est Input'!AN254+'OH Constr'!AN362+'115 kV &amp; 345 kV HPFF'!AN180+'115 kV Und XLPE'!AN183+'345 kV Und XLPE'!AN183+'Substation Const'!AN722+Removals!AN254+Substation_D!AN235</f>
        <v>0</v>
      </c>
      <c r="I103" s="586">
        <f>+'Additional  Est Input'!AR254+'OH Constr'!AR362+'115 kV &amp; 345 kV HPFF'!AR180+'115 kV Und XLPE'!AR183+'345 kV Und XLPE'!AR183+'Substation Const'!AR722+Removals!AR254+Substation_D!AR235</f>
        <v>0</v>
      </c>
      <c r="J103" s="586"/>
      <c r="K103" s="586">
        <f t="shared" si="3"/>
        <v>0</v>
      </c>
      <c r="L103" s="586"/>
      <c r="M103" s="586">
        <f t="shared" si="4"/>
        <v>0</v>
      </c>
      <c r="N103" s="170"/>
    </row>
    <row r="104" spans="1:14" ht="12.6" customHeight="1" x14ac:dyDescent="0.25">
      <c r="A104" s="170"/>
      <c r="B104" s="376">
        <f>+Parameters!D102</f>
        <v>99</v>
      </c>
      <c r="C104" s="170" t="str">
        <f>+Parameters!E102</f>
        <v>REMOVALS</v>
      </c>
      <c r="D104" s="2688">
        <f>+Parameters!F102</f>
        <v>0</v>
      </c>
      <c r="E104" s="844">
        <f>+'Additional  Est Input'!H255+'OH Constr'!H363+'115 kV &amp; 345 kV HPFF'!H181+'115 kV Und XLPE'!H184+'345 kV Und XLPE'!H184+'Substation Const'!H723+Removals!H255+Substation_D!H236</f>
        <v>0</v>
      </c>
      <c r="F104" s="586">
        <f ca="1">+'Additional  Est Input'!AI255+'Additional  Est Input'!AL255+'OH Constr'!AI363+'OH Constr'!AL363+'115 kV &amp; 345 kV HPFF'!AI181+'115 kV &amp; 345 kV HPFF'!AL181+'115 kV Und XLPE'!AI184+'115 kV Und XLPE'!AL184+'345 kV Und XLPE'!AI184+'345 kV Und XLPE'!AL184+'Substation Const'!AI723+'Substation Const'!AL723+Removals!AI255+Removals!AL255+Substation_D!AI236+Substation_D!AL236</f>
        <v>0</v>
      </c>
      <c r="G104" s="844">
        <f>+'Additional  Est Input'!AM255+'OH Constr'!AM363+'115 kV &amp; 345 kV HPFF'!AM181+'115 kV Und XLPE'!AM184+'345 kV Und XLPE'!AM184+'Substation Const'!AM723+Removals!AM255+Substation_D!AM236</f>
        <v>0</v>
      </c>
      <c r="H104" s="844">
        <f>+'Additional  Est Input'!AN255+'OH Constr'!AN363+'115 kV &amp; 345 kV HPFF'!AN181+'115 kV Und XLPE'!AN184+'345 kV Und XLPE'!AN184+'Substation Const'!AN723+Removals!AN255+Substation_D!AN236</f>
        <v>0</v>
      </c>
      <c r="I104" s="586">
        <f>+'Additional  Est Input'!AR255+'OH Constr'!AR363+'115 kV &amp; 345 kV HPFF'!AR181+'115 kV Und XLPE'!AR184+'345 kV Und XLPE'!AR184+'Substation Const'!AR723+Removals!AR255+Substation_D!AR236</f>
        <v>0</v>
      </c>
      <c r="J104" s="586"/>
      <c r="K104" s="586">
        <f t="shared" ca="1" si="3"/>
        <v>0</v>
      </c>
      <c r="L104" s="586"/>
      <c r="M104" s="586">
        <f t="shared" si="4"/>
        <v>0</v>
      </c>
      <c r="N104" s="170"/>
    </row>
    <row r="105" spans="1:14" ht="12.6" customHeight="1" x14ac:dyDescent="0.25">
      <c r="A105" s="170"/>
      <c r="B105" s="1388">
        <f>+Parameters!D103</f>
        <v>0</v>
      </c>
      <c r="C105" s="1389" t="str">
        <f>+Parameters!E103</f>
        <v>Uncoded amounts ( fix the coding before continuing)</v>
      </c>
      <c r="D105" s="1389"/>
      <c r="E105" s="1389"/>
      <c r="F105" s="1390">
        <f>+'Additional  Est Input'!AI256+'Additional  Est Input'!AL256+'OH Constr'!AI364+'OH Constr'!AL364+'115 kV &amp; 345 kV HPFF'!AI182+'115 kV &amp; 345 kV HPFF'!AL182+'115 kV Und XLPE'!AI185+'115 kV Und XLPE'!AL185+'345 kV Und XLPE'!AI185+'345 kV Und XLPE'!AL185+'Substation Const'!AI724+'Substation Const'!AL724+Removals!AI256+Removals!AL256+Substation_D!AI237+Substation_D!AL237</f>
        <v>0</v>
      </c>
      <c r="G105" s="2376">
        <f>+'Additional  Est Input'!AM256+'OH Constr'!AM364+'115 kV &amp; 345 kV HPFF'!AM182+'115 kV Und XLPE'!AM185+'345 kV Und XLPE'!AM185+'Substation Const'!AM724+Removals!AM256+Substation_D!AM237</f>
        <v>0</v>
      </c>
      <c r="H105" s="2376">
        <f>+'Additional  Est Input'!AN256+'OH Constr'!AN364+'115 kV &amp; 345 kV HPFF'!AN182+'115 kV Und XLPE'!AN185+'345 kV Und XLPE'!AN185+'Substation Const'!AN724+Removals!AN256+Substation_D!AN237</f>
        <v>0</v>
      </c>
      <c r="I105" s="1390">
        <f>+'Additional  Est Input'!AR256+'OH Constr'!AR364+'115 kV &amp; 345 kV HPFF'!AR182+'115 kV Und XLPE'!AR185+'345 kV Und XLPE'!AR185+'Substation Const'!AR724+Removals!AR256+Substation_D!AR237</f>
        <v>0</v>
      </c>
      <c r="J105" s="1390"/>
      <c r="K105" s="1390">
        <f t="shared" ref="K105" si="5">SUM(F105:J105)</f>
        <v>0</v>
      </c>
      <c r="L105" s="1390"/>
      <c r="M105" s="1390">
        <f t="shared" ref="M105" si="6">IF(E571=0,0,+K105/$E$46)</f>
        <v>0</v>
      </c>
      <c r="N105" s="170"/>
    </row>
    <row r="106" spans="1:14" ht="12.6" customHeight="1" x14ac:dyDescent="0.25">
      <c r="A106" s="170"/>
      <c r="B106" s="1388"/>
      <c r="C106" s="1389"/>
      <c r="D106" s="1389"/>
      <c r="E106" s="1389"/>
      <c r="F106" s="1390"/>
      <c r="G106" s="1390"/>
      <c r="H106" s="1390"/>
      <c r="I106" s="1390"/>
      <c r="J106" s="1390"/>
      <c r="K106" s="1390"/>
      <c r="L106" s="1390"/>
      <c r="M106" s="1390"/>
      <c r="N106" s="170"/>
    </row>
    <row r="107" spans="1:14" ht="12.6" customHeight="1" x14ac:dyDescent="0.25">
      <c r="A107" s="170"/>
      <c r="B107" s="170"/>
      <c r="C107" s="170"/>
      <c r="D107" s="170"/>
      <c r="E107" s="170"/>
      <c r="F107" s="586"/>
      <c r="G107" s="586"/>
      <c r="H107" s="586"/>
      <c r="I107" s="586"/>
      <c r="J107" s="586"/>
      <c r="K107" s="586"/>
      <c r="L107" s="586"/>
      <c r="M107" s="586">
        <f>IF(E571=0,0,+K107/E46)</f>
        <v>0</v>
      </c>
      <c r="N107" s="170"/>
    </row>
    <row r="108" spans="1:14" ht="12.6" customHeight="1" x14ac:dyDescent="0.25">
      <c r="A108" s="170"/>
      <c r="B108" s="170"/>
      <c r="C108" s="488" t="s">
        <v>1484</v>
      </c>
      <c r="D108" s="170"/>
      <c r="E108" s="170"/>
      <c r="F108" s="586">
        <f ca="1">+'Detail Summary'!CK29+'Detail Summary'!CK16</f>
        <v>419824</v>
      </c>
      <c r="G108" s="586"/>
      <c r="H108" s="586"/>
      <c r="I108" s="586"/>
      <c r="J108" s="586"/>
      <c r="K108" s="586">
        <f ca="1">SUM(F108:J108)</f>
        <v>419824</v>
      </c>
      <c r="L108" s="586"/>
      <c r="M108" s="586">
        <f t="shared" ref="M108:M133" si="7">IF(E572=0,0,+K108/E47)</f>
        <v>0</v>
      </c>
      <c r="N108" s="170"/>
    </row>
    <row r="109" spans="1:14" ht="12.6" customHeight="1" x14ac:dyDescent="0.25">
      <c r="A109" s="170"/>
      <c r="B109" s="170"/>
      <c r="C109" s="488" t="s">
        <v>1485</v>
      </c>
      <c r="D109" s="170"/>
      <c r="E109" s="170"/>
      <c r="F109" s="586">
        <f ca="1">+'Detail Summary'!CK20+'Detail Summary'!CK14+'Detail Summary'!CK13</f>
        <v>20979.25</v>
      </c>
      <c r="G109" s="586">
        <f ca="1">+'Detail Summary'!CK23+'Detail Summary'!CK22+'Detail Summary'!CK26+'Detail Summary'!CK27+'Detail Summary'!CK30</f>
        <v>626</v>
      </c>
      <c r="H109" s="586">
        <f>+'Detail Summary'!CL23+'Detail Summary'!CL22+'Detail Summary'!CL26+'Detail Summary'!CL27+'Detail Summary'!CL30</f>
        <v>0</v>
      </c>
      <c r="I109" s="586"/>
      <c r="J109" s="586"/>
      <c r="K109" s="586">
        <f ca="1">SUM(F109:J109)</f>
        <v>21605.25</v>
      </c>
      <c r="L109" s="586"/>
      <c r="M109" s="586">
        <f t="shared" si="7"/>
        <v>0</v>
      </c>
      <c r="N109" s="170"/>
    </row>
    <row r="110" spans="1:14" ht="15" x14ac:dyDescent="0.25">
      <c r="A110" s="170"/>
      <c r="B110" s="170"/>
      <c r="C110" s="170" t="s">
        <v>1486</v>
      </c>
      <c r="D110" s="170"/>
      <c r="E110" s="170"/>
      <c r="F110" s="586"/>
      <c r="G110" s="586">
        <f>+'Detail Summary'!CK81+'Detail Summary'!CK82+'Detail Summary'!CK84+'Eng &amp; Proj Supp'!AO69</f>
        <v>1500</v>
      </c>
      <c r="H110" s="586">
        <f>+'Detail Summary'!CL81+'Detail Summary'!CL82+'Detail Summary'!CL84+'Eng &amp; Proj Supp'!AP69</f>
        <v>229000</v>
      </c>
      <c r="I110" s="586"/>
      <c r="J110" s="586"/>
      <c r="K110" s="586">
        <f>SUM(F110:J110)</f>
        <v>230500</v>
      </c>
      <c r="L110" s="586"/>
      <c r="M110" s="586">
        <f t="shared" si="7"/>
        <v>0</v>
      </c>
      <c r="N110" s="170"/>
    </row>
    <row r="111" spans="1:14" ht="15" x14ac:dyDescent="0.25">
      <c r="A111" s="170"/>
      <c r="B111" s="170"/>
      <c r="C111" s="488" t="s">
        <v>1251</v>
      </c>
      <c r="D111" s="170"/>
      <c r="E111" s="170"/>
      <c r="F111" s="586"/>
      <c r="G111" s="586"/>
      <c r="H111" s="586"/>
      <c r="I111" s="586"/>
      <c r="J111" s="586"/>
      <c r="K111" s="586">
        <f>+'Detail Summary'!BD34+'Detail Summary'!BD88</f>
        <v>13321.25</v>
      </c>
      <c r="L111" s="586"/>
      <c r="M111" s="586">
        <f t="shared" si="7"/>
        <v>0</v>
      </c>
      <c r="N111" s="170"/>
    </row>
    <row r="112" spans="1:14" ht="15" x14ac:dyDescent="0.25">
      <c r="A112" s="170"/>
      <c r="B112" s="488" t="s">
        <v>471</v>
      </c>
      <c r="C112" s="488"/>
      <c r="D112" s="170"/>
      <c r="E112" s="170"/>
      <c r="F112" s="586">
        <f ca="1">SUM(F6:F111)</f>
        <v>3837439.4</v>
      </c>
      <c r="G112" s="586">
        <f ca="1">SUM(G6:G111)</f>
        <v>14623814</v>
      </c>
      <c r="H112" s="586">
        <f>SUM(H6:H111)</f>
        <v>229000</v>
      </c>
      <c r="I112" s="586">
        <f>SUM(I6:I111)</f>
        <v>139700</v>
      </c>
      <c r="J112" s="586"/>
      <c r="K112" s="586">
        <f ca="1">SUM(K6:K111)</f>
        <v>18843274.649999999</v>
      </c>
      <c r="L112" s="586"/>
      <c r="M112" s="586">
        <f t="shared" si="7"/>
        <v>0</v>
      </c>
      <c r="N112" s="170"/>
    </row>
    <row r="113" spans="1:14" ht="15" x14ac:dyDescent="0.25">
      <c r="A113" s="170"/>
      <c r="B113" s="170"/>
      <c r="C113" s="170"/>
      <c r="D113" s="170"/>
      <c r="E113" s="170"/>
      <c r="F113" s="586"/>
      <c r="G113" s="586"/>
      <c r="H113" s="586"/>
      <c r="I113" s="586"/>
      <c r="J113" s="586"/>
      <c r="K113" s="586"/>
      <c r="L113" s="586"/>
      <c r="M113" s="586">
        <f t="shared" si="7"/>
        <v>0</v>
      </c>
      <c r="N113" s="170"/>
    </row>
    <row r="114" spans="1:14" ht="15" x14ac:dyDescent="0.25">
      <c r="A114" s="170"/>
      <c r="B114" s="170" t="s">
        <v>391</v>
      </c>
      <c r="C114" s="170"/>
      <c r="D114" s="170"/>
      <c r="E114" s="170"/>
      <c r="F114" s="586"/>
      <c r="G114" s="586"/>
      <c r="H114" s="586"/>
      <c r="I114" s="586"/>
      <c r="J114" s="586"/>
      <c r="K114" s="586">
        <f ca="1">+'Detail Summary'!CK65</f>
        <v>758562.3</v>
      </c>
      <c r="L114" s="586"/>
      <c r="M114" s="586">
        <f t="shared" si="7"/>
        <v>0</v>
      </c>
      <c r="N114" s="170"/>
    </row>
    <row r="115" spans="1:14" ht="15" x14ac:dyDescent="0.25">
      <c r="A115" s="170"/>
      <c r="B115" s="170"/>
      <c r="C115" s="170"/>
      <c r="D115" s="170"/>
      <c r="E115" s="170"/>
      <c r="F115" s="586"/>
      <c r="G115" s="586"/>
      <c r="H115" s="586"/>
      <c r="I115" s="586"/>
      <c r="J115" s="586"/>
      <c r="K115" s="586"/>
      <c r="L115" s="586"/>
      <c r="M115" s="586">
        <f t="shared" si="7"/>
        <v>0</v>
      </c>
      <c r="N115" s="170"/>
    </row>
    <row r="116" spans="1:14" ht="15" x14ac:dyDescent="0.25">
      <c r="A116" s="170"/>
      <c r="B116" s="170" t="s">
        <v>95</v>
      </c>
      <c r="C116" s="170"/>
      <c r="D116" s="170"/>
      <c r="E116" s="170"/>
      <c r="F116" s="586"/>
      <c r="G116" s="586"/>
      <c r="H116" s="586"/>
      <c r="I116" s="586"/>
      <c r="J116" s="586"/>
      <c r="K116" s="586">
        <f ca="1">+'Detail Summary'!CK76</f>
        <v>0</v>
      </c>
      <c r="L116" s="586"/>
      <c r="M116" s="586">
        <f t="shared" si="7"/>
        <v>0</v>
      </c>
      <c r="N116" s="170"/>
    </row>
    <row r="117" spans="1:14" ht="15" x14ac:dyDescent="0.25">
      <c r="A117" s="170"/>
      <c r="B117" s="170"/>
      <c r="C117" s="170"/>
      <c r="D117" s="170"/>
      <c r="E117" s="170"/>
      <c r="F117" s="586"/>
      <c r="G117" s="586"/>
      <c r="H117" s="586"/>
      <c r="I117" s="586"/>
      <c r="J117" s="586"/>
      <c r="K117" s="586"/>
      <c r="L117" s="586"/>
      <c r="M117" s="586">
        <f t="shared" si="7"/>
        <v>0</v>
      </c>
      <c r="N117" s="170"/>
    </row>
    <row r="118" spans="1:14" ht="15" x14ac:dyDescent="0.25">
      <c r="A118" s="170"/>
      <c r="B118" s="170" t="s">
        <v>392</v>
      </c>
      <c r="C118" s="170"/>
      <c r="D118" s="170"/>
      <c r="E118" s="170"/>
      <c r="F118" s="586"/>
      <c r="G118" s="586"/>
      <c r="H118" s="586"/>
      <c r="I118" s="586"/>
      <c r="J118" s="586"/>
      <c r="K118" s="586">
        <f ca="1">+'Detail Summary'!CK126-K95+G95</f>
        <v>2637463.2692900002</v>
      </c>
      <c r="L118" s="586"/>
      <c r="M118" s="586">
        <f t="shared" si="7"/>
        <v>0</v>
      </c>
      <c r="N118" s="170"/>
    </row>
    <row r="119" spans="1:14" ht="15" x14ac:dyDescent="0.25">
      <c r="A119" s="170"/>
      <c r="B119" s="170"/>
      <c r="C119" s="170"/>
      <c r="D119" s="170"/>
      <c r="E119" s="170"/>
      <c r="F119" s="586"/>
      <c r="G119" s="586"/>
      <c r="H119" s="586"/>
      <c r="I119" s="586"/>
      <c r="J119" s="586"/>
      <c r="K119" s="586"/>
      <c r="L119" s="586"/>
      <c r="M119" s="586">
        <f t="shared" si="7"/>
        <v>0</v>
      </c>
      <c r="N119" s="170"/>
    </row>
    <row r="120" spans="1:14" ht="15" x14ac:dyDescent="0.25">
      <c r="A120" s="170"/>
      <c r="B120" s="170" t="s">
        <v>393</v>
      </c>
      <c r="C120" s="170"/>
      <c r="D120" s="170"/>
      <c r="E120" s="170"/>
      <c r="F120" s="586"/>
      <c r="G120" s="586"/>
      <c r="H120" s="586"/>
      <c r="I120" s="586"/>
      <c r="J120" s="586"/>
      <c r="K120" s="586">
        <f ca="1">+'Detail Summary'!CK133+'Detail Summary'!CK134+'Detail Summary'!CK135+'Detail Summary'!CK137+'Detail Summary'!CK138</f>
        <v>0</v>
      </c>
      <c r="L120" s="586"/>
      <c r="M120" s="586">
        <f t="shared" si="7"/>
        <v>0</v>
      </c>
      <c r="N120" s="170"/>
    </row>
    <row r="121" spans="1:14" ht="15" x14ac:dyDescent="0.25">
      <c r="A121" s="170"/>
      <c r="B121" s="170"/>
      <c r="C121" s="170"/>
      <c r="D121" s="170"/>
      <c r="E121" s="170"/>
      <c r="F121" s="586"/>
      <c r="G121" s="586"/>
      <c r="H121" s="586"/>
      <c r="I121" s="586"/>
      <c r="J121" s="586"/>
      <c r="K121" s="586"/>
      <c r="L121" s="586"/>
      <c r="M121" s="586">
        <f t="shared" si="7"/>
        <v>0</v>
      </c>
      <c r="N121" s="170"/>
    </row>
    <row r="122" spans="1:14" ht="15" x14ac:dyDescent="0.25">
      <c r="A122" s="170"/>
      <c r="B122" s="170" t="s">
        <v>81</v>
      </c>
      <c r="C122" s="170"/>
      <c r="D122" s="170"/>
      <c r="E122" s="170"/>
      <c r="F122" s="586"/>
      <c r="G122" s="586"/>
      <c r="H122" s="586"/>
      <c r="I122" s="586"/>
      <c r="J122" s="586"/>
      <c r="K122" s="586">
        <f>+'Detail Summary'!CK152</f>
        <v>926350</v>
      </c>
      <c r="L122" s="586"/>
      <c r="M122" s="586">
        <f t="shared" si="7"/>
        <v>0</v>
      </c>
      <c r="N122" s="170"/>
    </row>
    <row r="123" spans="1:14" ht="15" x14ac:dyDescent="0.25">
      <c r="A123" s="170"/>
      <c r="B123" s="170"/>
      <c r="C123" s="170"/>
      <c r="D123" s="170"/>
      <c r="E123" s="170"/>
      <c r="F123" s="586"/>
      <c r="G123" s="586"/>
      <c r="H123" s="586"/>
      <c r="I123" s="586"/>
      <c r="J123" s="586"/>
      <c r="K123" s="586"/>
      <c r="L123" s="586"/>
      <c r="M123" s="586">
        <f t="shared" si="7"/>
        <v>0</v>
      </c>
      <c r="N123" s="170"/>
    </row>
    <row r="124" spans="1:14" ht="15" x14ac:dyDescent="0.25">
      <c r="A124" s="170"/>
      <c r="B124" s="170" t="s">
        <v>100</v>
      </c>
      <c r="C124" s="170"/>
      <c r="D124" s="170"/>
      <c r="E124" s="170"/>
      <c r="F124" s="586"/>
      <c r="G124" s="586"/>
      <c r="H124" s="586"/>
      <c r="I124" s="586"/>
      <c r="J124" s="586"/>
      <c r="K124" s="586">
        <f ca="1">+'Detail Summary'!CK176</f>
        <v>7534222.8599999994</v>
      </c>
      <c r="L124" s="586"/>
      <c r="M124" s="586">
        <f t="shared" si="7"/>
        <v>0</v>
      </c>
      <c r="N124" s="170"/>
    </row>
    <row r="125" spans="1:14" ht="15" x14ac:dyDescent="0.25">
      <c r="A125" s="170"/>
      <c r="B125" s="170"/>
      <c r="C125" s="170"/>
      <c r="D125" s="170"/>
      <c r="E125" s="170"/>
      <c r="F125" s="586"/>
      <c r="G125" s="586"/>
      <c r="H125" s="586"/>
      <c r="I125" s="586"/>
      <c r="J125" s="586"/>
      <c r="K125" s="586"/>
      <c r="L125" s="586"/>
      <c r="M125" s="586">
        <f t="shared" si="7"/>
        <v>0</v>
      </c>
      <c r="N125" s="170"/>
    </row>
    <row r="126" spans="1:14" ht="15" x14ac:dyDescent="0.25">
      <c r="A126" s="170"/>
      <c r="B126" s="170" t="s">
        <v>45</v>
      </c>
      <c r="C126" s="170"/>
      <c r="D126" s="170"/>
      <c r="E126" s="170"/>
      <c r="F126" s="586"/>
      <c r="G126" s="586"/>
      <c r="H126" s="586"/>
      <c r="I126" s="586"/>
      <c r="J126" s="586"/>
      <c r="K126" s="586">
        <f ca="1">+'Detail Summary'!CK185</f>
        <v>2832480</v>
      </c>
      <c r="L126" s="586"/>
      <c r="M126" s="586">
        <f t="shared" si="7"/>
        <v>0</v>
      </c>
      <c r="N126" s="170"/>
    </row>
    <row r="127" spans="1:14" ht="15" x14ac:dyDescent="0.25">
      <c r="A127" s="170"/>
      <c r="B127" s="170"/>
      <c r="C127" s="170"/>
      <c r="D127" s="170"/>
      <c r="E127" s="170"/>
      <c r="F127" s="586"/>
      <c r="G127" s="586"/>
      <c r="H127" s="586"/>
      <c r="I127" s="586"/>
      <c r="J127" s="586"/>
      <c r="K127" s="586"/>
      <c r="L127" s="586"/>
      <c r="M127" s="586">
        <f t="shared" si="7"/>
        <v>0</v>
      </c>
      <c r="N127" s="170"/>
    </row>
    <row r="128" spans="1:14" ht="15" x14ac:dyDescent="0.25">
      <c r="A128" s="170"/>
      <c r="B128" s="170" t="s">
        <v>394</v>
      </c>
      <c r="C128" s="170"/>
      <c r="D128" s="170"/>
      <c r="E128" s="170"/>
      <c r="F128" s="586"/>
      <c r="G128" s="586"/>
      <c r="H128" s="586"/>
      <c r="I128" s="586"/>
      <c r="J128" s="586"/>
      <c r="K128" s="586">
        <f ca="1">+'Cover (old)'!E28</f>
        <v>3421811.9294545678</v>
      </c>
      <c r="L128" s="586"/>
      <c r="M128" s="586">
        <f t="shared" si="7"/>
        <v>0</v>
      </c>
      <c r="N128" s="170"/>
    </row>
    <row r="129" spans="1:14" ht="15" x14ac:dyDescent="0.25">
      <c r="A129" s="170"/>
      <c r="B129" s="488" t="s">
        <v>1233</v>
      </c>
      <c r="C129" s="170"/>
      <c r="D129" s="170"/>
      <c r="E129" s="170"/>
      <c r="F129" s="586"/>
      <c r="G129" s="586"/>
      <c r="H129" s="586"/>
      <c r="I129" s="586"/>
      <c r="J129" s="586"/>
      <c r="K129" s="586">
        <f>+'Detail Summary'!CK162</f>
        <v>3950000</v>
      </c>
      <c r="L129" s="586"/>
      <c r="M129" s="586">
        <f t="shared" si="7"/>
        <v>0</v>
      </c>
      <c r="N129" s="170"/>
    </row>
    <row r="130" spans="1:14" ht="15" x14ac:dyDescent="0.25">
      <c r="A130" s="170"/>
      <c r="B130" s="170" t="s">
        <v>310</v>
      </c>
      <c r="C130" s="170"/>
      <c r="D130" s="170"/>
      <c r="E130" s="170"/>
      <c r="F130" s="586"/>
      <c r="G130" s="586"/>
      <c r="H130" s="586"/>
      <c r="I130" s="586"/>
      <c r="J130" s="586"/>
      <c r="K130" s="586">
        <f ca="1">+'Detail Summary'!CK194</f>
        <v>1841791.333133094</v>
      </c>
      <c r="L130" s="586"/>
      <c r="M130" s="586">
        <f t="shared" si="7"/>
        <v>0</v>
      </c>
      <c r="N130" s="170"/>
    </row>
    <row r="131" spans="1:14" ht="15" x14ac:dyDescent="0.25">
      <c r="A131" s="170"/>
      <c r="B131" s="488"/>
      <c r="C131" s="170"/>
      <c r="D131" s="170"/>
      <c r="E131" s="170"/>
      <c r="F131" s="586"/>
      <c r="G131" s="586"/>
      <c r="H131" s="586"/>
      <c r="I131" s="586"/>
      <c r="J131" s="586"/>
      <c r="K131" s="586"/>
      <c r="L131" s="586"/>
      <c r="M131" s="586">
        <f t="shared" si="7"/>
        <v>0</v>
      </c>
      <c r="N131" s="170"/>
    </row>
    <row r="132" spans="1:14" ht="15.75" thickBot="1" x14ac:dyDescent="0.3">
      <c r="A132" s="170"/>
      <c r="B132" s="488"/>
      <c r="C132" s="170"/>
      <c r="D132" s="170"/>
      <c r="E132" s="170"/>
      <c r="F132" s="586"/>
      <c r="G132" s="586"/>
      <c r="H132" s="586"/>
      <c r="I132" s="586"/>
      <c r="J132" s="586"/>
      <c r="K132" s="586"/>
      <c r="L132" s="586"/>
      <c r="M132" s="586">
        <f t="shared" si="7"/>
        <v>0</v>
      </c>
      <c r="N132" s="170"/>
    </row>
    <row r="133" spans="1:14" ht="15" x14ac:dyDescent="0.25">
      <c r="A133" s="170"/>
      <c r="B133" s="170" t="s">
        <v>1483</v>
      </c>
      <c r="C133" s="170"/>
      <c r="D133" s="170"/>
      <c r="E133" s="170"/>
      <c r="F133" s="586"/>
      <c r="G133" s="586"/>
      <c r="H133" s="586"/>
      <c r="I133" s="586"/>
      <c r="J133" s="586"/>
      <c r="K133" s="1821">
        <f ca="1">SUM(K112:K131)</f>
        <v>42745956.341877662</v>
      </c>
      <c r="L133" s="586"/>
      <c r="M133" s="586">
        <f t="shared" si="7"/>
        <v>0</v>
      </c>
      <c r="N133" s="170"/>
    </row>
    <row r="134" spans="1:14" ht="15" x14ac:dyDescent="0.25">
      <c r="A134" s="170"/>
      <c r="B134" s="170"/>
      <c r="C134" s="170"/>
      <c r="D134" s="170"/>
      <c r="E134" s="170"/>
      <c r="F134" s="586"/>
      <c r="G134" s="586"/>
      <c r="H134" s="586"/>
      <c r="I134" s="586"/>
      <c r="J134" s="586"/>
      <c r="K134" s="586"/>
      <c r="L134" s="586"/>
      <c r="M134" s="586"/>
      <c r="N134" s="170"/>
    </row>
    <row r="135" spans="1:14" ht="15" x14ac:dyDescent="0.25">
      <c r="A135" s="170"/>
      <c r="B135" s="488" t="s">
        <v>374</v>
      </c>
      <c r="C135" s="170"/>
      <c r="D135" s="170"/>
      <c r="E135" s="170"/>
      <c r="F135" s="586"/>
      <c r="G135" s="586"/>
      <c r="H135" s="586"/>
      <c r="I135" s="586"/>
      <c r="J135" s="586"/>
      <c r="K135" s="586">
        <f ca="1">+'Detail Summary'!$CK$199+'Detail Summary'!$CK$200</f>
        <v>0</v>
      </c>
      <c r="L135" s="586"/>
      <c r="M135" s="586"/>
      <c r="N135" s="170"/>
    </row>
    <row r="136" spans="1:14" ht="15.75" thickBot="1" x14ac:dyDescent="0.3">
      <c r="A136" s="170"/>
      <c r="B136" s="170"/>
      <c r="C136" s="170"/>
      <c r="D136" s="170"/>
      <c r="E136" s="170"/>
      <c r="F136" s="586"/>
      <c r="G136" s="586"/>
      <c r="H136" s="586"/>
      <c r="I136" s="586"/>
      <c r="J136" s="586"/>
      <c r="K136" s="586"/>
      <c r="L136" s="586"/>
      <c r="M136" s="586"/>
      <c r="N136" s="170"/>
    </row>
    <row r="137" spans="1:14" ht="15" x14ac:dyDescent="0.25">
      <c r="A137" s="170"/>
      <c r="B137" s="170" t="s">
        <v>216</v>
      </c>
      <c r="C137" s="170"/>
      <c r="D137" s="170"/>
      <c r="E137" s="170"/>
      <c r="F137" s="586"/>
      <c r="G137" s="586"/>
      <c r="H137" s="586"/>
      <c r="I137" s="586"/>
      <c r="J137" s="586"/>
      <c r="K137" s="1821">
        <f ca="1">SUM(K133:K136)</f>
        <v>42745956.341877662</v>
      </c>
      <c r="L137" s="586"/>
      <c r="M137" s="586"/>
      <c r="N137" s="170"/>
    </row>
    <row r="138" spans="1:14" ht="15" x14ac:dyDescent="0.25">
      <c r="A138" s="170"/>
      <c r="B138" s="170"/>
      <c r="C138" s="170"/>
      <c r="D138" s="170"/>
      <c r="E138" s="170"/>
      <c r="F138" s="586"/>
      <c r="G138" s="586"/>
      <c r="H138" s="586"/>
      <c r="I138" s="586"/>
      <c r="J138" s="586"/>
      <c r="K138" s="586"/>
      <c r="L138" s="586"/>
      <c r="M138" s="586"/>
      <c r="N138" s="170"/>
    </row>
    <row r="139" spans="1:14" ht="15" x14ac:dyDescent="0.25">
      <c r="A139" s="170"/>
      <c r="B139" s="170"/>
      <c r="C139" s="170"/>
      <c r="D139" s="170"/>
      <c r="E139" s="170"/>
      <c r="F139" s="586"/>
      <c r="G139" s="586"/>
      <c r="H139" s="586"/>
      <c r="I139" s="586"/>
      <c r="J139" s="586"/>
      <c r="K139" s="1383">
        <f ca="1">+Cover!E46</f>
        <v>46096600</v>
      </c>
      <c r="L139" s="1384"/>
      <c r="M139" s="1822" t="s">
        <v>395</v>
      </c>
    </row>
    <row r="140" spans="1:14" ht="12.6" customHeight="1" x14ac:dyDescent="0.25">
      <c r="A140" s="170"/>
      <c r="B140" s="170"/>
      <c r="C140" s="170"/>
      <c r="D140" s="170"/>
      <c r="E140" s="170"/>
      <c r="F140" s="170"/>
      <c r="G140" s="170"/>
      <c r="H140" s="170"/>
      <c r="I140" s="170"/>
      <c r="J140" s="170"/>
      <c r="K140" s="1385">
        <f ca="1">-K139+K137</f>
        <v>-3350643.6581223384</v>
      </c>
      <c r="L140" s="1386"/>
      <c r="M140" s="1823" t="s">
        <v>1250</v>
      </c>
    </row>
    <row r="141" spans="1:14" ht="12.6" customHeight="1" x14ac:dyDescent="0.25">
      <c r="A141" s="170"/>
      <c r="B141" s="170"/>
      <c r="C141" s="170"/>
      <c r="D141" s="170"/>
      <c r="E141" s="170"/>
      <c r="F141" s="170"/>
      <c r="G141" s="170"/>
      <c r="H141" s="170"/>
      <c r="I141" s="170"/>
      <c r="J141" s="170"/>
      <c r="K141" s="170"/>
      <c r="L141" s="170"/>
      <c r="M141" s="170"/>
      <c r="N141" s="170"/>
    </row>
    <row r="142" spans="1:14" ht="12.6" customHeight="1" x14ac:dyDescent="0.25">
      <c r="A142" s="170"/>
      <c r="B142" s="170"/>
      <c r="C142" s="170"/>
      <c r="D142" s="170"/>
      <c r="E142" s="170"/>
      <c r="F142" s="170"/>
      <c r="G142" s="170"/>
      <c r="H142" s="170"/>
      <c r="I142" s="170"/>
      <c r="J142" s="170"/>
      <c r="K142" s="170"/>
      <c r="L142" s="170"/>
      <c r="M142" s="170"/>
      <c r="N142" s="170"/>
    </row>
    <row r="143" spans="1:14" ht="12.6" customHeight="1" x14ac:dyDescent="0.25">
      <c r="A143" s="170"/>
      <c r="B143" s="170"/>
      <c r="C143" s="170"/>
      <c r="D143" s="170"/>
      <c r="E143" s="170"/>
      <c r="F143" s="170"/>
      <c r="G143" s="170"/>
      <c r="H143" s="170"/>
      <c r="I143" s="170"/>
      <c r="J143" s="170"/>
      <c r="K143" s="170"/>
      <c r="L143" s="170"/>
      <c r="M143" s="170"/>
      <c r="N143" s="170"/>
    </row>
    <row r="144" spans="1:14" ht="12.6" customHeight="1" x14ac:dyDescent="0.25">
      <c r="A144" s="170"/>
      <c r="B144" s="170"/>
      <c r="C144" s="170"/>
      <c r="D144" s="170"/>
      <c r="E144" s="170"/>
      <c r="F144" s="170"/>
      <c r="G144" s="170"/>
      <c r="H144" s="170"/>
      <c r="I144" s="170"/>
      <c r="J144" s="170"/>
      <c r="K144" s="170"/>
      <c r="L144" s="170"/>
      <c r="M144" s="170"/>
      <c r="N144" s="170"/>
    </row>
    <row r="145" spans="1:14" ht="12.6" customHeight="1" x14ac:dyDescent="0.25">
      <c r="A145" s="170"/>
      <c r="B145" s="170"/>
      <c r="C145" s="170"/>
      <c r="D145" s="170"/>
      <c r="E145" s="170"/>
      <c r="F145" s="170"/>
      <c r="G145" s="170"/>
      <c r="H145" s="170"/>
      <c r="I145" s="170"/>
      <c r="J145" s="170"/>
      <c r="K145" s="170"/>
      <c r="L145" s="170"/>
      <c r="M145" s="170"/>
      <c r="N145" s="170"/>
    </row>
    <row r="146" spans="1:14" ht="12.6" customHeight="1" x14ac:dyDescent="0.25">
      <c r="A146" s="170"/>
      <c r="B146" s="170"/>
      <c r="C146" s="170"/>
      <c r="D146" s="170"/>
      <c r="E146" s="170"/>
      <c r="F146" s="170"/>
      <c r="G146" s="170"/>
      <c r="H146" s="170"/>
      <c r="I146" s="170"/>
      <c r="J146" s="170"/>
      <c r="K146" s="170"/>
      <c r="L146" s="170"/>
      <c r="M146" s="170"/>
      <c r="N146" s="170"/>
    </row>
    <row r="147" spans="1:14" ht="12.6" customHeight="1" x14ac:dyDescent="0.25">
      <c r="A147" s="170"/>
      <c r="B147" s="170"/>
      <c r="C147" s="170"/>
      <c r="D147" s="170"/>
      <c r="E147" s="170"/>
      <c r="F147" s="170"/>
      <c r="G147" s="170"/>
      <c r="H147" s="170"/>
      <c r="I147" s="170"/>
      <c r="J147" s="170"/>
      <c r="K147" s="170"/>
      <c r="L147" s="170"/>
      <c r="M147" s="170"/>
      <c r="N147" s="170"/>
    </row>
    <row r="148" spans="1:14" ht="12.6" customHeight="1" x14ac:dyDescent="0.25">
      <c r="A148" s="170"/>
      <c r="B148" s="170"/>
      <c r="C148" s="170"/>
      <c r="D148" s="170"/>
      <c r="E148" s="170"/>
      <c r="F148" s="170"/>
      <c r="G148" s="170"/>
      <c r="H148" s="170"/>
      <c r="I148" s="170"/>
      <c r="J148" s="170"/>
      <c r="K148" s="170"/>
      <c r="L148" s="170"/>
      <c r="M148" s="170"/>
      <c r="N148" s="170"/>
    </row>
    <row r="149" spans="1:14" ht="12.6" customHeight="1" x14ac:dyDescent="0.25">
      <c r="A149" s="170"/>
      <c r="B149" s="170"/>
      <c r="C149" s="170"/>
      <c r="D149" s="170"/>
      <c r="E149" s="170"/>
      <c r="F149" s="170"/>
      <c r="G149" s="170"/>
      <c r="H149" s="170"/>
      <c r="I149" s="170"/>
      <c r="J149" s="170"/>
      <c r="K149" s="170"/>
      <c r="L149" s="170"/>
      <c r="M149" s="170"/>
      <c r="N149" s="170"/>
    </row>
    <row r="150" spans="1:14" ht="12.6" customHeight="1" x14ac:dyDescent="0.25">
      <c r="A150" s="170"/>
      <c r="B150" s="170" t="s">
        <v>1316</v>
      </c>
      <c r="C150" s="170"/>
      <c r="D150" s="170"/>
      <c r="E150" s="170"/>
      <c r="F150" s="170"/>
      <c r="G150" s="170"/>
      <c r="H150" s="170"/>
      <c r="I150" s="170"/>
      <c r="J150" s="170"/>
      <c r="K150" s="170"/>
      <c r="L150" s="170"/>
      <c r="M150" s="170"/>
      <c r="N150" s="170"/>
    </row>
    <row r="151" spans="1:14" ht="25.5" x14ac:dyDescent="0.25">
      <c r="A151" s="170"/>
      <c r="B151" s="168" t="s">
        <v>1322</v>
      </c>
      <c r="C151" s="168" t="s">
        <v>1249</v>
      </c>
      <c r="D151" s="168"/>
      <c r="E151" s="1380" t="s">
        <v>388</v>
      </c>
      <c r="F151" s="1381" t="s">
        <v>1253</v>
      </c>
      <c r="G151" s="1381" t="str">
        <f>+G5</f>
        <v>Material ( eversource)</v>
      </c>
      <c r="H151" s="1381" t="str">
        <f>+H5</f>
        <v>Material ( other)</v>
      </c>
      <c r="I151" s="1382" t="s">
        <v>39</v>
      </c>
      <c r="J151" s="1382"/>
      <c r="K151" s="1382" t="s">
        <v>389</v>
      </c>
      <c r="L151" s="1382"/>
      <c r="M151" s="1382" t="s">
        <v>390</v>
      </c>
      <c r="N151" s="170"/>
    </row>
    <row r="152" spans="1:14" ht="12.6" customHeight="1" x14ac:dyDescent="0.25">
      <c r="A152" s="170"/>
      <c r="B152" s="1454">
        <v>0</v>
      </c>
      <c r="C152" s="1455" t="s">
        <v>1317</v>
      </c>
      <c r="D152" s="170"/>
      <c r="E152" s="170"/>
      <c r="F152" s="586">
        <f t="array" aca="1" ref="F152" ca="1">SUM(IF(_xlfn.FLOOR.MATH($B$6:$B$105,10)=$B152,F$6:F$105))</f>
        <v>157257.15000000002</v>
      </c>
      <c r="G152" s="586">
        <f t="array" ref="G152">SUM(IF(_xlfn.FLOOR.MATH($B$6:$B$105,10)=$B152,G$6:G$105))</f>
        <v>0</v>
      </c>
      <c r="H152" s="586">
        <f t="array" ref="H152">SUM(IF(_xlfn.FLOOR.MATH($B$6:$B$105,10)=$B152,H$6:H$105))</f>
        <v>0</v>
      </c>
      <c r="I152" s="586">
        <f t="array" ref="I152">SUM(IF(_xlfn.FLOOR.MATH($B$6:$B$105,10)=$B152,I$6:I$105))</f>
        <v>0</v>
      </c>
      <c r="J152" s="586">
        <f t="array" ref="J152">SUM(IF(_xlfn.FLOOR.MATH($B$6:$B$105,10)=$B152,J$6:J$105))</f>
        <v>0</v>
      </c>
      <c r="K152" s="586">
        <f t="array" aca="1" ref="K152" ca="1">SUM(IF(_xlfn.FLOOR.MATH($B$6:$B$105,10)=$B152,K$6:K$105))</f>
        <v>157257.15000000002</v>
      </c>
      <c r="L152" s="586">
        <f t="array" ref="L152">SUM(IF(_xlfn.FLOOR.MATH($B$6:$B$105,10)=$B152,L$6:L$105))</f>
        <v>0</v>
      </c>
      <c r="M152" s="586">
        <f t="array" ref="M152">SUM(IF(_xlfn.FLOOR.MATH($B$6:$B$105,10)=$B152,M$6:M$105))</f>
        <v>39314.287500000006</v>
      </c>
      <c r="N152" s="170"/>
    </row>
    <row r="153" spans="1:14" ht="12.6" customHeight="1" x14ac:dyDescent="0.25">
      <c r="A153" s="170"/>
      <c r="B153" s="170">
        <v>10</v>
      </c>
      <c r="C153" s="1454" t="s">
        <v>1318</v>
      </c>
      <c r="D153" s="170"/>
      <c r="E153" s="170"/>
      <c r="F153" s="586">
        <f t="array" aca="1" ref="F153" ca="1">SUM(IF(_xlfn.FLOOR.MATH($B$6:$B$105,10)=$B153,F$6:F$105))</f>
        <v>0</v>
      </c>
      <c r="G153" s="586">
        <f t="array" ref="G153">SUM(IF(_xlfn.FLOOR.MATH($B$6:$B$105,10)=$B153,G$6:G$105))</f>
        <v>0</v>
      </c>
      <c r="H153" s="586">
        <f t="array" ref="H153">SUM(IF(_xlfn.FLOOR.MATH($B$6:$B$105,10)=$B153,H$6:H$105))</f>
        <v>0</v>
      </c>
      <c r="I153" s="586">
        <f t="array" ref="I153">SUM(IF(_xlfn.FLOOR.MATH($B$6:$B$105,10)=$B153,I$6:I$105))</f>
        <v>0</v>
      </c>
      <c r="J153" s="586">
        <f t="array" ref="J153">SUM(IF(_xlfn.FLOOR.MATH($B$6:$B$105,10)=$B153,J$6:J$105))</f>
        <v>0</v>
      </c>
      <c r="K153" s="586">
        <f t="array" aca="1" ref="K153" ca="1">SUM(IF(_xlfn.FLOOR.MATH($B$6:$B$105,10)=$B153,K$6:K$105))</f>
        <v>0</v>
      </c>
      <c r="L153" s="586">
        <f t="array" ref="L153">SUM(IF(_xlfn.FLOOR.MATH($B$6:$B$105,10)=$B153,L$6:L$105))</f>
        <v>0</v>
      </c>
      <c r="M153" s="586">
        <f t="array" ref="M153">SUM(IF(_xlfn.FLOOR.MATH($B$6:$B$105,10)=$B153,M$6:M$105))</f>
        <v>0</v>
      </c>
      <c r="N153" s="170"/>
    </row>
    <row r="154" spans="1:14" ht="12.6" customHeight="1" x14ac:dyDescent="0.25">
      <c r="A154" s="170"/>
      <c r="B154" s="170">
        <v>20</v>
      </c>
      <c r="C154" s="1455" t="s">
        <v>1319</v>
      </c>
      <c r="D154" s="170"/>
      <c r="E154" s="170"/>
      <c r="F154" s="586">
        <f t="array" aca="1" ref="F154" ca="1">SUM(IF(_xlfn.FLOOR.MATH($B$6:$B$105,10)=$B154,F$6:F$105))</f>
        <v>0</v>
      </c>
      <c r="G154" s="586">
        <f t="array" ref="G154">SUM(IF(_xlfn.FLOOR.MATH($B$6:$B$105,10)=$B154,G$6:G$105))</f>
        <v>0</v>
      </c>
      <c r="H154" s="586">
        <f t="array" ref="H154">SUM(IF(_xlfn.FLOOR.MATH($B$6:$B$105,10)=$B154,H$6:H$105))</f>
        <v>0</v>
      </c>
      <c r="I154" s="586">
        <f t="array" ref="I154">SUM(IF(_xlfn.FLOOR.MATH($B$6:$B$105,10)=$B154,I$6:I$105))</f>
        <v>0</v>
      </c>
      <c r="J154" s="586">
        <f t="array" ref="J154">SUM(IF(_xlfn.FLOOR.MATH($B$6:$B$105,10)=$B154,J$6:J$105))</f>
        <v>0</v>
      </c>
      <c r="K154" s="586">
        <f t="array" aca="1" ref="K154" ca="1">SUM(IF(_xlfn.FLOOR.MATH($B$6:$B$105,10)=$B154,K$6:K$105))</f>
        <v>0</v>
      </c>
      <c r="L154" s="586">
        <f t="array" ref="L154">SUM(IF(_xlfn.FLOOR.MATH($B$6:$B$105,10)=$B154,L$6:L$105))</f>
        <v>0</v>
      </c>
      <c r="M154" s="586">
        <f t="array" ref="M154">SUM(IF(_xlfn.FLOOR.MATH($B$6:$B$105,10)=$B154,M$6:M$105))</f>
        <v>0</v>
      </c>
      <c r="N154" s="170"/>
    </row>
    <row r="155" spans="1:14" ht="12.6" customHeight="1" x14ac:dyDescent="0.25">
      <c r="A155" s="170"/>
      <c r="B155" s="170">
        <v>30</v>
      </c>
      <c r="C155" s="1454" t="s">
        <v>1320</v>
      </c>
      <c r="D155" s="170"/>
      <c r="E155" s="170"/>
      <c r="F155" s="586">
        <f t="array" aca="1" ref="F155" ca="1">SUM(IF(_xlfn.FLOOR.MATH($B$6:$B$105,10)=$B155,F$6:F$105))</f>
        <v>0</v>
      </c>
      <c r="G155" s="586">
        <f t="array" ref="G155">SUM(IF(_xlfn.FLOOR.MATH($B$6:$B$105,10)=$B155,G$6:G$105))</f>
        <v>0</v>
      </c>
      <c r="H155" s="586">
        <f t="array" ref="H155">SUM(IF(_xlfn.FLOOR.MATH($B$6:$B$105,10)=$B155,H$6:H$105))</f>
        <v>0</v>
      </c>
      <c r="I155" s="586">
        <f t="array" ref="I155">SUM(IF(_xlfn.FLOOR.MATH($B$6:$B$105,10)=$B155,I$6:I$105))</f>
        <v>0</v>
      </c>
      <c r="J155" s="586">
        <f t="array" ref="J155">SUM(IF(_xlfn.FLOOR.MATH($B$6:$B$105,10)=$B155,J$6:J$105))</f>
        <v>0</v>
      </c>
      <c r="K155" s="586">
        <f t="array" aca="1" ref="K155" ca="1">SUM(IF(_xlfn.FLOOR.MATH($B$6:$B$105,10)=$B155,K$6:K$105))</f>
        <v>0</v>
      </c>
      <c r="L155" s="586">
        <f t="array" ref="L155">SUM(IF(_xlfn.FLOOR.MATH($B$6:$B$105,10)=$B155,L$6:L$105))</f>
        <v>0</v>
      </c>
      <c r="M155" s="586">
        <f t="array" ref="M155">SUM(IF(_xlfn.FLOOR.MATH($B$6:$B$105,10)=$B155,M$6:M$105))</f>
        <v>0</v>
      </c>
      <c r="N155" s="170"/>
    </row>
    <row r="156" spans="1:14" ht="12.6" customHeight="1" x14ac:dyDescent="0.25">
      <c r="A156" s="170"/>
      <c r="B156" s="170">
        <v>40</v>
      </c>
      <c r="C156" s="1454" t="s">
        <v>2948</v>
      </c>
      <c r="D156" s="170"/>
      <c r="E156" s="170"/>
      <c r="F156" s="586">
        <f t="array" aca="1" ref="F156" ca="1">SUM(IF(_xlfn.FLOOR.MATH($B$6:$B$105,10)=$B156,F$6:F$105))</f>
        <v>0</v>
      </c>
      <c r="G156" s="586">
        <f t="array" ref="G156">SUM(IF(_xlfn.FLOOR.MATH($B$6:$B$105,10)=$B156,G$6:G$105))</f>
        <v>0</v>
      </c>
      <c r="H156" s="586">
        <f t="array" ref="H156">SUM(IF(_xlfn.FLOOR.MATH($B$6:$B$105,10)=$B156,H$6:H$105))</f>
        <v>0</v>
      </c>
      <c r="I156" s="586">
        <f t="array" ref="I156">SUM(IF(_xlfn.FLOOR.MATH($B$6:$B$105,10)=$B156,I$6:I$105))</f>
        <v>0</v>
      </c>
      <c r="J156" s="586">
        <f t="array" ref="J156">SUM(IF(_xlfn.FLOOR.MATH($B$6:$B$105,10)=$B156,J$6:J$105))</f>
        <v>0</v>
      </c>
      <c r="K156" s="586">
        <f t="array" aca="1" ref="K156" ca="1">SUM(IF(_xlfn.FLOOR.MATH($B$6:$B$105,10)=$B156,K$6:K$105))</f>
        <v>0</v>
      </c>
      <c r="L156" s="586">
        <f t="array" ref="L156">SUM(IF(_xlfn.FLOOR.MATH($B$6:$B$105,10)=$B156,L$6:L$105))</f>
        <v>0</v>
      </c>
      <c r="M156" s="586">
        <f t="array" ref="M156">SUM(IF(_xlfn.FLOOR.MATH($B$6:$B$105,10)=$B156,M$6:M$105))</f>
        <v>0</v>
      </c>
      <c r="N156" s="170"/>
    </row>
    <row r="157" spans="1:14" ht="12.6" customHeight="1" x14ac:dyDescent="0.25">
      <c r="A157" s="170"/>
      <c r="B157" s="170">
        <v>50</v>
      </c>
      <c r="C157" s="1455" t="s">
        <v>2949</v>
      </c>
      <c r="D157" s="170"/>
      <c r="E157" s="170"/>
      <c r="F157" s="586">
        <f t="array" aca="1" ref="F157" ca="1">SUM(IF(_xlfn.FLOOR.MATH($B$6:$B$105,10)=$B157,F$6:F$105))</f>
        <v>3125079</v>
      </c>
      <c r="G157" s="586">
        <f t="array" ref="G157">SUM(IF(_xlfn.FLOOR.MATH($B$6:$B$105,10)=$B157,G$6:G$105))</f>
        <v>14621688</v>
      </c>
      <c r="H157" s="586">
        <f t="array" ref="H157">SUM(IF(_xlfn.FLOOR.MATH($B$6:$B$105,10)=$B157,H$6:H$105))</f>
        <v>0</v>
      </c>
      <c r="I157" s="586">
        <f t="array" ref="I157">SUM(IF(_xlfn.FLOOR.MATH($B$6:$B$105,10)=$B157,I$6:I$105))</f>
        <v>0</v>
      </c>
      <c r="J157" s="586">
        <f t="array" ref="J157">SUM(IF(_xlfn.FLOOR.MATH($B$6:$B$105,10)=$B157,J$6:J$105))</f>
        <v>0</v>
      </c>
      <c r="K157" s="586">
        <f t="array" aca="1" ref="K157" ca="1">SUM(IF(_xlfn.FLOOR.MATH($B$6:$B$105,10)=$B157,K$6:K$105))</f>
        <v>17746767</v>
      </c>
      <c r="L157" s="586">
        <f t="array" ref="L157">SUM(IF(_xlfn.FLOOR.MATH($B$6:$B$105,10)=$B157,L$6:L$105))</f>
        <v>0</v>
      </c>
      <c r="M157" s="586">
        <f t="array" ref="M157">SUM(IF(_xlfn.FLOOR.MATH($B$6:$B$105,10)=$B157,M$6:M$105))</f>
        <v>4053651</v>
      </c>
      <c r="N157" s="170"/>
    </row>
    <row r="158" spans="1:14" ht="12.6" customHeight="1" x14ac:dyDescent="0.25">
      <c r="A158" s="170"/>
      <c r="B158" s="170">
        <v>60</v>
      </c>
      <c r="C158" s="1454" t="s">
        <v>2950</v>
      </c>
      <c r="D158" s="170"/>
      <c r="E158" s="170"/>
      <c r="F158" s="586">
        <f t="array" aca="1" ref="F158" ca="1">SUM(IF(_xlfn.FLOOR.MATH($B$6:$B$105,10)=$B158,F$6:F$105))</f>
        <v>114300</v>
      </c>
      <c r="G158" s="586">
        <f t="array" ref="G158">SUM(IF(_xlfn.FLOOR.MATH($B$6:$B$105,10)=$B158,G$6:G$105))</f>
        <v>0</v>
      </c>
      <c r="H158" s="586">
        <f t="array" ref="H158">SUM(IF(_xlfn.FLOOR.MATH($B$6:$B$105,10)=$B158,H$6:H$105))</f>
        <v>0</v>
      </c>
      <c r="I158" s="586">
        <f t="array" ref="I158">SUM(IF(_xlfn.FLOOR.MATH($B$6:$B$105,10)=$B158,I$6:I$105))</f>
        <v>139700</v>
      </c>
      <c r="J158" s="586">
        <f t="array" ref="J158">SUM(IF(_xlfn.FLOOR.MATH($B$6:$B$105,10)=$B158,J$6:J$105))</f>
        <v>0</v>
      </c>
      <c r="K158" s="586">
        <f t="array" aca="1" ref="K158" ca="1">SUM(IF(_xlfn.FLOOR.MATH($B$6:$B$105,10)=$B158,K$6:K$105))</f>
        <v>254000</v>
      </c>
      <c r="L158" s="586">
        <f t="array" ref="L158">SUM(IF(_xlfn.FLOOR.MATH($B$6:$B$105,10)=$B158,L$6:L$105))</f>
        <v>0</v>
      </c>
      <c r="M158" s="586">
        <f t="array" ref="M158">SUM(IF(_xlfn.FLOOR.MATH($B$6:$B$105,10)=$B158,M$6:M$105))</f>
        <v>0</v>
      </c>
      <c r="N158" s="170"/>
    </row>
    <row r="159" spans="1:14" ht="12.6" customHeight="1" x14ac:dyDescent="0.25">
      <c r="A159" s="170"/>
      <c r="B159" s="170">
        <v>70</v>
      </c>
      <c r="C159" s="1454" t="s">
        <v>2951</v>
      </c>
      <c r="D159" s="170"/>
      <c r="E159" s="170"/>
      <c r="F159" s="586">
        <f t="array" aca="1" ref="F159" ca="1">SUM(IF(_xlfn.FLOOR.MATH($B$6:$B$105,10)=$B159,F$6:F$105))</f>
        <v>0</v>
      </c>
      <c r="G159" s="586">
        <f t="array" ref="G159">SUM(IF(_xlfn.FLOOR.MATH($B$6:$B$105,10)=$B159,G$6:G$105))</f>
        <v>0</v>
      </c>
      <c r="H159" s="586">
        <f t="array" ref="H159">SUM(IF(_xlfn.FLOOR.MATH($B$6:$B$105,10)=$B159,H$6:H$105))</f>
        <v>0</v>
      </c>
      <c r="I159" s="586">
        <f t="array" ref="I159">SUM(IF(_xlfn.FLOOR.MATH($B$6:$B$105,10)=$B159,I$6:I$105))</f>
        <v>0</v>
      </c>
      <c r="J159" s="586">
        <f t="array" ref="J159">SUM(IF(_xlfn.FLOOR.MATH($B$6:$B$105,10)=$B159,J$6:J$105))</f>
        <v>0</v>
      </c>
      <c r="K159" s="586">
        <f t="array" aca="1" ref="K159" ca="1">SUM(IF(_xlfn.FLOOR.MATH($B$6:$B$105,10)=$B159,K$6:K$105))</f>
        <v>0</v>
      </c>
      <c r="L159" s="586">
        <f t="array" ref="L159">SUM(IF(_xlfn.FLOOR.MATH($B$6:$B$105,10)=$B159,L$6:L$105))</f>
        <v>0</v>
      </c>
      <c r="M159" s="586">
        <f t="array" ref="M159">SUM(IF(_xlfn.FLOOR.MATH($B$6:$B$105,10)=$B159,M$6:M$105))</f>
        <v>0</v>
      </c>
      <c r="N159" s="170"/>
    </row>
    <row r="160" spans="1:14" ht="12.6" customHeight="1" x14ac:dyDescent="0.25">
      <c r="A160" s="170"/>
      <c r="B160" s="170">
        <v>80</v>
      </c>
      <c r="C160" s="1455" t="s">
        <v>2952</v>
      </c>
      <c r="D160" s="170"/>
      <c r="E160" s="170"/>
      <c r="F160" s="586">
        <f t="array" aca="1" ref="F160" ca="1">SUM(IF(_xlfn.FLOOR.MATH($B$6:$B$105,10)=$B160,F$6:F$105))</f>
        <v>0</v>
      </c>
      <c r="G160" s="586">
        <f t="array" ref="G160">SUM(IF(_xlfn.FLOOR.MATH($B$6:$B$105,10)=$B160,G$6:G$105))</f>
        <v>0</v>
      </c>
      <c r="H160" s="586">
        <f t="array" ref="H160">SUM(IF(_xlfn.FLOOR.MATH($B$6:$B$105,10)=$B160,H$6:H$105))</f>
        <v>0</v>
      </c>
      <c r="I160" s="586">
        <f t="array" ref="I160">SUM(IF(_xlfn.FLOOR.MATH($B$6:$B$105,10)=$B160,I$6:I$105))</f>
        <v>0</v>
      </c>
      <c r="J160" s="586">
        <f t="array" ref="J160">SUM(IF(_xlfn.FLOOR.MATH($B$6:$B$105,10)=$B160,J$6:J$105))</f>
        <v>0</v>
      </c>
      <c r="K160" s="586">
        <f t="array" aca="1" ref="K160" ca="1">SUM(IF(_xlfn.FLOOR.MATH($B$6:$B$105,10)=$B160,K$6:K$105))</f>
        <v>0</v>
      </c>
      <c r="L160" s="586">
        <f t="array" ref="L160">SUM(IF(_xlfn.FLOOR.MATH($B$6:$B$105,10)=$B160,L$6:L$105))</f>
        <v>0</v>
      </c>
      <c r="M160" s="586">
        <f t="array" ref="M160">SUM(IF(_xlfn.FLOOR.MATH($B$6:$B$105,10)=$B160,M$6:M$105))</f>
        <v>0</v>
      </c>
      <c r="N160" s="170"/>
    </row>
    <row r="161" spans="1:14" ht="12.6" customHeight="1" x14ac:dyDescent="0.25">
      <c r="A161" s="170"/>
      <c r="B161" s="170">
        <v>90</v>
      </c>
      <c r="C161" s="1454" t="s">
        <v>1321</v>
      </c>
      <c r="D161" s="170"/>
      <c r="E161" s="170"/>
      <c r="F161" s="586">
        <f t="array" aca="1" ref="F161" ca="1">SUM(IF(_xlfn.FLOOR.MATH($B$6:$B$105,10)=$B161,F$6:F$105))</f>
        <v>0</v>
      </c>
      <c r="G161" s="586">
        <f t="array" ref="G161">SUM(IF(_xlfn.FLOOR.MATH($B$6:$B$105,10)=$B161,G$6:G$105))</f>
        <v>0</v>
      </c>
      <c r="H161" s="586">
        <f t="array" ref="H161">SUM(IF(_xlfn.FLOOR.MATH($B$6:$B$105,10)=$B161,H$6:H$105))</f>
        <v>0</v>
      </c>
      <c r="I161" s="586">
        <f t="array" ref="I161">SUM(IF(_xlfn.FLOOR.MATH($B$6:$B$105,10)=$B161,I$6:I$105))</f>
        <v>0</v>
      </c>
      <c r="J161" s="586">
        <f t="array" ref="J161">SUM(IF(_xlfn.FLOOR.MATH($B$6:$B$105,10)=$B161,J$6:J$105))</f>
        <v>0</v>
      </c>
      <c r="K161" s="586">
        <f t="array" aca="1" ref="K161" ca="1">SUM(IF(_xlfn.FLOOR.MATH($B$6:$B$105,10)=$B161,K$6:K$105))</f>
        <v>0</v>
      </c>
      <c r="L161" s="586">
        <f t="array" ref="L161">SUM(IF(_xlfn.FLOOR.MATH($B$6:$B$105,10)=$B161,L$6:L$105))</f>
        <v>0</v>
      </c>
      <c r="M161" s="586">
        <f t="array" ref="M161">SUM(IF(_xlfn.FLOOR.MATH($B$6:$B$105,10)=$B161,M$6:M$105))</f>
        <v>0</v>
      </c>
      <c r="N161" s="170"/>
    </row>
    <row r="163" spans="1:14" ht="12.6" customHeight="1" x14ac:dyDescent="0.25">
      <c r="B163" t="s">
        <v>216</v>
      </c>
      <c r="F163" s="335">
        <f ca="1">SUM(F152:F162)</f>
        <v>3396636.15</v>
      </c>
      <c r="G163" s="335">
        <f>SUM(G152:G162)</f>
        <v>14621688</v>
      </c>
      <c r="H163" s="335">
        <f>SUM(H152:H162)</f>
        <v>0</v>
      </c>
      <c r="I163" s="335">
        <f>SUM(I152:I162)</f>
        <v>139700</v>
      </c>
      <c r="K163" s="335">
        <f ca="1">SUM(K152:K162)</f>
        <v>18158024.149999999</v>
      </c>
    </row>
  </sheetData>
  <sheetProtection formatCells="0" formatColumns="0" formatRows="0" autoFilter="0"/>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DA427-59D1-4435-A286-7EC210CFD150}">
  <sheetPr codeName="Sheet25">
    <tabColor theme="1"/>
    <pageSetUpPr fitToPage="1"/>
  </sheetPr>
  <dimension ref="B1:N80"/>
  <sheetViews>
    <sheetView showZeros="0" topLeftCell="A10" workbookViewId="0">
      <selection activeCell="I27" sqref="I27"/>
    </sheetView>
  </sheetViews>
  <sheetFormatPr defaultRowHeight="12.6" customHeight="1" x14ac:dyDescent="0.25"/>
  <cols>
    <col min="3" max="3" width="9.5703125" customWidth="1"/>
    <col min="6" max="6" width="12.5703125" customWidth="1"/>
    <col min="7" max="7" width="16.42578125" customWidth="1"/>
    <col min="8" max="8" width="13.5703125" customWidth="1"/>
    <col min="9" max="9" width="15.5703125" customWidth="1"/>
    <col min="10" max="10" width="24.5703125" customWidth="1"/>
    <col min="11" max="11" width="16.42578125" customWidth="1"/>
    <col min="12" max="12" width="9.5703125" customWidth="1"/>
    <col min="13" max="13" width="12.42578125" customWidth="1"/>
  </cols>
  <sheetData>
    <row r="1" spans="2:11" ht="20.25" x14ac:dyDescent="0.3">
      <c r="B1" s="2887" t="s">
        <v>415</v>
      </c>
      <c r="C1" s="2888"/>
      <c r="D1" s="2888"/>
      <c r="E1" s="2888"/>
      <c r="F1" s="2888"/>
      <c r="G1" s="2888"/>
      <c r="H1" s="2888"/>
      <c r="I1" s="2888"/>
      <c r="J1" s="2888"/>
      <c r="K1" s="2889"/>
    </row>
    <row r="2" spans="2:11" ht="15.75" x14ac:dyDescent="0.25">
      <c r="B2" s="2890" t="str">
        <f>'Data Input sheet'!G25</f>
        <v>group for reviews</v>
      </c>
      <c r="C2" s="2891"/>
      <c r="D2" s="2891"/>
      <c r="E2" s="2891"/>
      <c r="F2" s="2891"/>
      <c r="G2" s="2891"/>
      <c r="H2" s="2891"/>
      <c r="I2" s="2891"/>
      <c r="J2" s="2891"/>
      <c r="K2" s="2892"/>
    </row>
    <row r="3" spans="2:11" ht="15.75" x14ac:dyDescent="0.25">
      <c r="B3" s="2890">
        <f>'Data Input sheet'!G7</f>
        <v>0</v>
      </c>
      <c r="C3" s="2891"/>
      <c r="D3" s="2891"/>
      <c r="E3" s="2891"/>
      <c r="F3" s="2891"/>
      <c r="G3" s="2891"/>
      <c r="H3" s="2891"/>
      <c r="I3" s="2891"/>
      <c r="J3" s="2891"/>
      <c r="K3" s="2892"/>
    </row>
    <row r="4" spans="2:11" ht="15.75" x14ac:dyDescent="0.25">
      <c r="B4" s="2890">
        <f>'Data Input sheet'!G4</f>
        <v>0</v>
      </c>
      <c r="C4" s="2891"/>
      <c r="D4" s="2891"/>
      <c r="E4" s="2891"/>
      <c r="F4" s="2891"/>
      <c r="G4" s="2891"/>
      <c r="H4" s="2891"/>
      <c r="I4" s="2891"/>
      <c r="J4" s="2891"/>
      <c r="K4" s="2892"/>
    </row>
    <row r="5" spans="2:11" ht="15.75" x14ac:dyDescent="0.25">
      <c r="B5" s="615"/>
      <c r="C5" s="2"/>
      <c r="D5" s="2"/>
      <c r="E5" s="2"/>
      <c r="F5" s="2"/>
      <c r="G5" s="2"/>
      <c r="H5" s="2"/>
      <c r="I5" s="2"/>
      <c r="J5" s="2"/>
      <c r="K5" s="616"/>
    </row>
    <row r="6" spans="2:11" ht="15.75" x14ac:dyDescent="0.25">
      <c r="B6" s="615"/>
      <c r="C6" s="2"/>
      <c r="D6" s="2"/>
      <c r="E6" s="2"/>
      <c r="F6" s="2"/>
      <c r="G6" s="2"/>
      <c r="H6" s="2"/>
      <c r="I6" s="2"/>
      <c r="J6" s="2"/>
      <c r="K6" s="616"/>
    </row>
    <row r="7" spans="2:11" ht="15.75" x14ac:dyDescent="0.25">
      <c r="B7" s="617"/>
      <c r="D7" s="618" t="s">
        <v>416</v>
      </c>
      <c r="K7" s="619"/>
    </row>
    <row r="8" spans="2:11" ht="15" x14ac:dyDescent="0.25">
      <c r="B8" s="617"/>
      <c r="K8" s="619"/>
    </row>
    <row r="9" spans="2:11" ht="15" x14ac:dyDescent="0.25">
      <c r="B9" s="620" t="s">
        <v>38</v>
      </c>
      <c r="C9" s="621" t="s">
        <v>36</v>
      </c>
      <c r="D9" s="622" t="s">
        <v>95</v>
      </c>
      <c r="E9" s="621" t="s">
        <v>100</v>
      </c>
      <c r="F9" s="622" t="s">
        <v>99</v>
      </c>
      <c r="G9" s="622" t="s">
        <v>45</v>
      </c>
      <c r="H9" s="621" t="s">
        <v>310</v>
      </c>
      <c r="I9" s="623"/>
      <c r="J9" s="622" t="s">
        <v>216</v>
      </c>
      <c r="K9" s="619"/>
    </row>
    <row r="10" spans="2:11" ht="15" x14ac:dyDescent="0.25">
      <c r="B10" s="624">
        <f ca="1">SUM(K25+L79)</f>
        <v>20462.829593060036</v>
      </c>
      <c r="C10" s="625">
        <f ca="1">SUM(K22+K27+K28+I79)</f>
        <v>9029.985873301157</v>
      </c>
      <c r="D10" s="625">
        <f ca="1">SUM(K24+K79)</f>
        <v>0</v>
      </c>
      <c r="E10" s="625">
        <f ca="1">SUM(K23+K26+J79)</f>
        <v>4653.9073936388068</v>
      </c>
      <c r="F10" s="625">
        <f ca="1">K30</f>
        <v>3421.8</v>
      </c>
      <c r="G10" s="625">
        <f ca="1">K32</f>
        <v>2832.5</v>
      </c>
      <c r="H10" s="625">
        <f ca="1">K29</f>
        <v>5791.8</v>
      </c>
      <c r="J10" s="2305">
        <f ca="1">SUM(B10:H10)</f>
        <v>46192.822860000007</v>
      </c>
      <c r="K10" s="2893" t="s">
        <v>417</v>
      </c>
    </row>
    <row r="11" spans="2:11" ht="15" x14ac:dyDescent="0.25">
      <c r="B11" s="617"/>
      <c r="J11" s="2306">
        <f ca="1">K34</f>
        <v>46192.799999999996</v>
      </c>
      <c r="K11" s="2894"/>
    </row>
    <row r="12" spans="2:11" ht="15" x14ac:dyDescent="0.25">
      <c r="B12" s="617"/>
      <c r="J12" s="2307">
        <f ca="1">J11-J10</f>
        <v>-2.2860000011860393E-2</v>
      </c>
      <c r="K12" s="2308" t="s">
        <v>418</v>
      </c>
    </row>
    <row r="13" spans="2:11" ht="15" x14ac:dyDescent="0.25">
      <c r="B13" s="617" t="s">
        <v>419</v>
      </c>
      <c r="C13" t="s">
        <v>420</v>
      </c>
      <c r="K13" s="619"/>
    </row>
    <row r="14" spans="2:11" ht="15" x14ac:dyDescent="0.25">
      <c r="B14" s="617" t="s">
        <v>419</v>
      </c>
      <c r="C14" t="s">
        <v>421</v>
      </c>
      <c r="K14" s="619"/>
    </row>
    <row r="15" spans="2:11" ht="15" x14ac:dyDescent="0.25">
      <c r="B15" s="617"/>
      <c r="K15" s="619"/>
    </row>
    <row r="16" spans="2:11" ht="15" x14ac:dyDescent="0.25">
      <c r="B16" s="617"/>
      <c r="K16" s="619"/>
    </row>
    <row r="17" spans="2:11" ht="15" x14ac:dyDescent="0.25">
      <c r="B17" s="617"/>
      <c r="K17" s="619"/>
    </row>
    <row r="18" spans="2:11" ht="15" x14ac:dyDescent="0.25">
      <c r="B18" s="617"/>
      <c r="K18" s="619"/>
    </row>
    <row r="19" spans="2:11" ht="15.75" thickBot="1" x14ac:dyDescent="0.3">
      <c r="B19" s="626"/>
      <c r="C19" s="164"/>
      <c r="D19" s="164"/>
      <c r="E19" s="164"/>
      <c r="F19" s="164"/>
      <c r="G19" s="164"/>
      <c r="H19" s="164"/>
      <c r="I19" s="164"/>
      <c r="J19" s="164"/>
      <c r="K19" s="627"/>
    </row>
    <row r="21" spans="2:11" ht="15" x14ac:dyDescent="0.25">
      <c r="C21" s="2895" t="s">
        <v>422</v>
      </c>
      <c r="D21" s="2895"/>
      <c r="E21" s="2895"/>
      <c r="J21" s="14" t="s">
        <v>423</v>
      </c>
      <c r="K21" s="2"/>
    </row>
    <row r="22" spans="2:11" ht="15" x14ac:dyDescent="0.25">
      <c r="B22" s="11" t="s">
        <v>42</v>
      </c>
      <c r="C22" s="11"/>
      <c r="G22" s="13" t="s">
        <v>424</v>
      </c>
      <c r="J22" s="9" t="s">
        <v>425</v>
      </c>
      <c r="K22" s="371">
        <f ca="1">+Cover!$AO$25/1000</f>
        <v>4018.1</v>
      </c>
    </row>
    <row r="23" spans="2:11" ht="15" x14ac:dyDescent="0.25">
      <c r="B23" s="9" t="s">
        <v>369</v>
      </c>
      <c r="C23" s="9"/>
      <c r="G23" s="1379">
        <f>'Data Input sheet'!D82</f>
        <v>0.19</v>
      </c>
      <c r="J23" s="9" t="s">
        <v>426</v>
      </c>
      <c r="K23" s="371">
        <f ca="1">+Cover!$AO$23/1000</f>
        <v>751.1</v>
      </c>
    </row>
    <row r="24" spans="2:11" ht="15" x14ac:dyDescent="0.25">
      <c r="B24" s="9" t="s">
        <v>370</v>
      </c>
      <c r="C24" s="9"/>
      <c r="G24" s="1379">
        <f>'Data Input sheet'!D83</f>
        <v>0.08</v>
      </c>
      <c r="J24" s="9" t="s">
        <v>427</v>
      </c>
      <c r="K24" s="371">
        <f ca="1">+'Detail Summary'!$CK$76/1000</f>
        <v>0</v>
      </c>
    </row>
    <row r="25" spans="2:11" ht="15" x14ac:dyDescent="0.25">
      <c r="B25" s="9" t="s">
        <v>428</v>
      </c>
      <c r="C25" s="9"/>
      <c r="G25" s="1379">
        <f>'Data Input sheet'!D79</f>
        <v>0.7</v>
      </c>
      <c r="J25" s="9" t="s">
        <v>429</v>
      </c>
      <c r="K25" s="371">
        <f ca="1">+Cover!$AO$24/1000+Cover!$E$29/1000</f>
        <v>19113.099999999999</v>
      </c>
    </row>
    <row r="26" spans="2:11" ht="15" x14ac:dyDescent="0.25">
      <c r="B26" s="9" t="s">
        <v>430</v>
      </c>
      <c r="C26" s="9"/>
      <c r="G26" s="1379">
        <f>'Data Input sheet'!D78</f>
        <v>0.65</v>
      </c>
      <c r="J26" s="9" t="s">
        <v>431</v>
      </c>
      <c r="K26" s="371">
        <f ca="1">(+Cover!$AO$19+Cover!$AO$20+Cover!$AO$21+Cover!$AO$22+Cover!$AO$27)/1000-K24</f>
        <v>1803.8</v>
      </c>
    </row>
    <row r="27" spans="2:11" ht="15" x14ac:dyDescent="0.25">
      <c r="B27" t="s">
        <v>371</v>
      </c>
      <c r="G27" s="1379">
        <f>'Data Input sheet'!D77</f>
        <v>8.9999999999999993E-3</v>
      </c>
      <c r="J27" s="9" t="s">
        <v>432</v>
      </c>
      <c r="K27" s="371">
        <f ca="1">+Cover!$AO$28/1000</f>
        <v>0</v>
      </c>
    </row>
    <row r="28" spans="2:11" ht="15" x14ac:dyDescent="0.25">
      <c r="B28" s="2885" t="s">
        <v>372</v>
      </c>
      <c r="C28" s="2885"/>
      <c r="G28" s="1379">
        <f>'Data Input sheet'!D91</f>
        <v>7.0000000000000007E-2</v>
      </c>
      <c r="J28" s="19" t="s">
        <v>433</v>
      </c>
      <c r="K28" s="371">
        <f ca="1">+Cover!$AO$26/1000</f>
        <v>926.4</v>
      </c>
    </row>
    <row r="29" spans="2:11" ht="15" x14ac:dyDescent="0.25">
      <c r="J29" s="9" t="s">
        <v>434</v>
      </c>
      <c r="K29" s="371">
        <f ca="1">(+Cover!$AO$30+Cover!$AO$39)/1000</f>
        <v>5791.8</v>
      </c>
    </row>
    <row r="30" spans="2:11" ht="15" x14ac:dyDescent="0.25">
      <c r="B30" s="9" t="s">
        <v>2336</v>
      </c>
      <c r="G30" s="2304" t="s">
        <v>2524</v>
      </c>
      <c r="J30" s="9" t="s">
        <v>435</v>
      </c>
      <c r="K30" s="371">
        <f ca="1">+Cover!$AO$49/1000</f>
        <v>3421.8</v>
      </c>
    </row>
    <row r="31" spans="2:11" ht="15" x14ac:dyDescent="0.25">
      <c r="B31" s="9" t="s">
        <v>2335</v>
      </c>
      <c r="G31" s="2304" t="s">
        <v>2524</v>
      </c>
      <c r="J31" s="9" t="s">
        <v>42</v>
      </c>
      <c r="K31" s="371">
        <f ca="1">+Cover!$AO$34/1000</f>
        <v>7534.2</v>
      </c>
    </row>
    <row r="32" spans="2:11" ht="15" x14ac:dyDescent="0.25">
      <c r="J32" s="9" t="s">
        <v>45</v>
      </c>
      <c r="K32" s="371">
        <f ca="1">+Cover!$AO$35/1000</f>
        <v>2832.5</v>
      </c>
    </row>
    <row r="33" spans="2:13" ht="15" x14ac:dyDescent="0.25">
      <c r="K33" s="371"/>
    </row>
    <row r="34" spans="2:13" ht="15" x14ac:dyDescent="0.25">
      <c r="J34" s="12" t="s">
        <v>101</v>
      </c>
      <c r="K34" s="371">
        <f ca="1">SUM(K22:K33)</f>
        <v>46192.799999999996</v>
      </c>
    </row>
    <row r="36" spans="2:13" ht="15" x14ac:dyDescent="0.25"/>
    <row r="38" spans="2:13" ht="27" thickBot="1" x14ac:dyDescent="0.3">
      <c r="B38" s="628" t="s">
        <v>436</v>
      </c>
      <c r="C38" s="629"/>
      <c r="D38" s="629"/>
      <c r="E38" s="629"/>
      <c r="F38" s="629"/>
      <c r="G38" s="631" t="s">
        <v>2521</v>
      </c>
      <c r="H38" s="630" t="s">
        <v>437</v>
      </c>
      <c r="I38" s="631" t="s">
        <v>438</v>
      </c>
      <c r="J38" s="630" t="s">
        <v>439</v>
      </c>
      <c r="K38" s="630" t="s">
        <v>95</v>
      </c>
      <c r="L38" s="630" t="s">
        <v>38</v>
      </c>
    </row>
    <row r="39" spans="2:13" ht="15.75" thickTop="1" x14ac:dyDescent="0.25">
      <c r="B39" s="11"/>
      <c r="G39" s="13"/>
      <c r="I39" s="13"/>
      <c r="J39" s="13"/>
      <c r="K39" s="2"/>
    </row>
    <row r="40" spans="2:13" ht="15" x14ac:dyDescent="0.25">
      <c r="B40" s="11" t="s">
        <v>369</v>
      </c>
      <c r="C40" s="9"/>
      <c r="F40" s="632">
        <f ca="1">'Detail Summary'!CK166/1000</f>
        <v>118.48399999999999</v>
      </c>
    </row>
    <row r="41" spans="2:13" ht="15" x14ac:dyDescent="0.25">
      <c r="B41" t="s">
        <v>440</v>
      </c>
      <c r="G41" s="371">
        <f ca="1">ROUND(SUM('Detail Summary'!AS12+'Detail Summary'!AS13+'Detail Summary'!AS14+'Detail Summary'!AS14+'Detail Summary'!AS14+'Detail Summary'!AS20+'Detail Summary'!AS21+'Detail Summary'!AS132+'Detail Summary'!AS144),0)*0.001</f>
        <v>70.588000000000008</v>
      </c>
      <c r="H41" s="633">
        <f ca="1">IF($G$44=0,0,G41/$G$44)</f>
        <v>8.3487484210376925E-2</v>
      </c>
      <c r="I41" s="634">
        <f ca="1">F40*H41</f>
        <v>9.8919310791822994</v>
      </c>
      <c r="K41" s="371"/>
      <c r="M41" s="371">
        <f ca="1">+I41+J42+K43</f>
        <v>118.48399999999999</v>
      </c>
    </row>
    <row r="42" spans="2:13" ht="15" x14ac:dyDescent="0.25">
      <c r="B42" t="s">
        <v>441</v>
      </c>
      <c r="G42" s="371">
        <f ca="1">ROUND(SUM('Detail Summary'!AS14+'Detail Summary'!AS16+'Detail Summary'!AS48+'Detail Summary'!AS104+'Detail Summary'!AS131),0)*0.001</f>
        <v>774.904</v>
      </c>
      <c r="H42" s="635">
        <f ca="1">IF($G$44=0,0,G42/$G$44)</f>
        <v>0.91651251578962312</v>
      </c>
      <c r="J42" s="634">
        <f ca="1">F40*H42</f>
        <v>108.5920689208177</v>
      </c>
      <c r="K42" s="371"/>
    </row>
    <row r="43" spans="2:13" ht="15" x14ac:dyDescent="0.25">
      <c r="B43" s="9" t="s">
        <v>442</v>
      </c>
      <c r="G43" s="623">
        <f ca="1">ROUND('Detail Summary'!AS67,0)*0.001</f>
        <v>0</v>
      </c>
      <c r="H43" s="636">
        <f ca="1">IF($G$44=0,0,G43/$G$44)</f>
        <v>0</v>
      </c>
      <c r="J43" s="634"/>
      <c r="K43" s="371">
        <f ca="1">F40*H43</f>
        <v>0</v>
      </c>
    </row>
    <row r="44" spans="2:13" ht="15" x14ac:dyDescent="0.25">
      <c r="G44" s="371">
        <f ca="1">SUM(G41:G43)</f>
        <v>845.49199999999996</v>
      </c>
      <c r="H44" s="637">
        <f ca="1">SUM(H41:H43)</f>
        <v>1</v>
      </c>
      <c r="J44" s="634"/>
      <c r="K44" s="371"/>
    </row>
    <row r="45" spans="2:13" ht="15" x14ac:dyDescent="0.25">
      <c r="G45" s="371"/>
      <c r="I45" s="634"/>
      <c r="K45" s="371"/>
    </row>
    <row r="46" spans="2:13" ht="15" x14ac:dyDescent="0.25">
      <c r="B46" s="11" t="s">
        <v>370</v>
      </c>
      <c r="C46" s="9"/>
      <c r="F46" s="632">
        <f ca="1">'Detail Summary'!CK167/1000</f>
        <v>13.744809999999999</v>
      </c>
      <c r="G46" s="371"/>
      <c r="K46" s="371"/>
    </row>
    <row r="47" spans="2:13" ht="15" x14ac:dyDescent="0.25">
      <c r="B47" t="s">
        <v>440</v>
      </c>
      <c r="G47" s="638">
        <f ca="1">+G41</f>
        <v>70.588000000000008</v>
      </c>
      <c r="H47" s="633">
        <f ca="1">IF($G$50=0,0,G47/$G$50)</f>
        <v>8.3487484210376925E-2</v>
      </c>
      <c r="I47" s="634">
        <f ca="1">F46*H47</f>
        <v>1.1475196078496308</v>
      </c>
      <c r="K47" s="371"/>
      <c r="M47" s="371">
        <f ca="1">+I47+J48+K49</f>
        <v>13.744809999999999</v>
      </c>
    </row>
    <row r="48" spans="2:13" ht="15" x14ac:dyDescent="0.25">
      <c r="B48" t="s">
        <v>443</v>
      </c>
      <c r="G48" s="638">
        <f ca="1">+G42</f>
        <v>774.904</v>
      </c>
      <c r="H48" s="635">
        <f ca="1">IF($G$50=0,0,G48/$G$50)</f>
        <v>0.91651251578962312</v>
      </c>
      <c r="J48" s="634">
        <f ca="1">F46*H48</f>
        <v>12.597290392150368</v>
      </c>
      <c r="K48" s="371"/>
    </row>
    <row r="49" spans="2:13" ht="15" x14ac:dyDescent="0.25">
      <c r="B49" s="9" t="s">
        <v>444</v>
      </c>
      <c r="G49" s="638">
        <f ca="1">+G43</f>
        <v>0</v>
      </c>
      <c r="H49" s="636">
        <f ca="1">IF($G$50=0,0,G49/$G$50)</f>
        <v>0</v>
      </c>
      <c r="J49" s="634"/>
      <c r="K49" s="371">
        <f ca="1">F46*H49</f>
        <v>0</v>
      </c>
    </row>
    <row r="50" spans="2:13" ht="15" x14ac:dyDescent="0.25">
      <c r="G50" s="371">
        <f ca="1">SUM(G47:G49)</f>
        <v>845.49199999999996</v>
      </c>
      <c r="H50" s="637">
        <f ca="1">SUM(H47:H49)</f>
        <v>1</v>
      </c>
      <c r="J50" s="634"/>
      <c r="K50" s="371"/>
    </row>
    <row r="51" spans="2:13" ht="15" x14ac:dyDescent="0.25">
      <c r="G51" s="371"/>
      <c r="I51" s="634"/>
      <c r="K51" s="371"/>
    </row>
    <row r="52" spans="2:13" ht="15" x14ac:dyDescent="0.25">
      <c r="B52" s="11" t="s">
        <v>428</v>
      </c>
      <c r="F52" s="632">
        <f ca="1">'Detail Summary'!CK168/1000</f>
        <v>399.22500000000002</v>
      </c>
      <c r="G52" s="371"/>
      <c r="K52" s="371"/>
      <c r="M52" s="371">
        <f ca="1">+I53+J54+K55</f>
        <v>399.22500000000002</v>
      </c>
    </row>
    <row r="53" spans="2:13" ht="15" x14ac:dyDescent="0.25">
      <c r="B53" t="s">
        <v>445</v>
      </c>
      <c r="G53" s="371">
        <v>0</v>
      </c>
      <c r="H53" s="633">
        <f ca="1">IF($G$56=0,0,G53/$G$56)</f>
        <v>0</v>
      </c>
      <c r="I53" s="634">
        <f ca="1">F52*H53</f>
        <v>0</v>
      </c>
      <c r="K53" s="371"/>
    </row>
    <row r="54" spans="2:13" ht="15" x14ac:dyDescent="0.25">
      <c r="B54" t="s">
        <v>446</v>
      </c>
      <c r="G54" s="371">
        <f ca="1">SUM((ROUND(SUM('Detail Summary'!AS14+'Detail Summary'!AS16+'Detail Summary'!AS48+'Detail Summary'!AS104+'Detail Summary'!AS131),0)*0.001)+I41+J42+I47)</f>
        <v>894.53551960784966</v>
      </c>
      <c r="H54" s="635">
        <f ca="1">IF($G$56=0,0,G54/$G$56)</f>
        <v>1</v>
      </c>
      <c r="J54" s="634">
        <f ca="1">F52*H54</f>
        <v>399.22500000000002</v>
      </c>
      <c r="K54" s="371"/>
    </row>
    <row r="55" spans="2:13" ht="15" x14ac:dyDescent="0.25">
      <c r="B55" s="9" t="s">
        <v>447</v>
      </c>
      <c r="G55" s="623">
        <f ca="1">SUM((ROUND('Detail Summary'!AS67,0)*0.001)+K43)</f>
        <v>0</v>
      </c>
      <c r="H55" s="636">
        <f ca="1">IF($G$56=0,0,G55/$G$56)</f>
        <v>0</v>
      </c>
      <c r="J55" s="634"/>
      <c r="K55" s="371">
        <f ca="1">F52*H55</f>
        <v>0</v>
      </c>
    </row>
    <row r="56" spans="2:13" ht="15" x14ac:dyDescent="0.25">
      <c r="B56" s="9"/>
      <c r="G56" s="371">
        <f ca="1">SUM(G53:G55)</f>
        <v>894.53551960784966</v>
      </c>
      <c r="H56" s="633">
        <f ca="1">SUM(H53:H55)</f>
        <v>1</v>
      </c>
      <c r="J56" s="634"/>
      <c r="K56" s="371"/>
    </row>
    <row r="57" spans="2:13" ht="15" x14ac:dyDescent="0.25">
      <c r="C57" s="9"/>
      <c r="G57" s="371"/>
      <c r="I57" s="634"/>
      <c r="K57" s="371"/>
    </row>
    <row r="58" spans="2:13" ht="15" x14ac:dyDescent="0.25">
      <c r="B58" s="11" t="s">
        <v>430</v>
      </c>
      <c r="C58" s="9"/>
      <c r="F58" s="632">
        <f ca="1">('Detail Summary'!CK169+'Detail Summary'!CK174)/1000</f>
        <v>5271.1060299999999</v>
      </c>
      <c r="G58" s="371"/>
      <c r="K58" s="371"/>
      <c r="M58" s="371">
        <f ca="1">+I59+J60+K61</f>
        <v>5271.1060299999999</v>
      </c>
    </row>
    <row r="59" spans="2:13" ht="15" x14ac:dyDescent="0.25">
      <c r="B59" t="s">
        <v>448</v>
      </c>
      <c r="C59" s="9"/>
      <c r="G59" s="338">
        <f ca="1">SUM((ROUND(SUM('Detail Summary'!AS12+'Detail Summary'!AS13+'Detail Summary'!AS14+'Detail Summary'!AS16+'Detail Summary'!AS17+'Detail Summary'!AS20+'Detail Summary'!AS21+'Detail Summary'!AS25+'Detail Summary'!AS29+'Detail Summary'!AS132+'Detail Summary'!AS136+'Detail Summary'!AS144+'Detail Summary'!AS148),0)*0.001)+I41+I47)</f>
        <v>5287.1994506870324</v>
      </c>
      <c r="H59" s="633">
        <f ca="1">IF($G$62=0,0,G59/$G$62)</f>
        <v>0.75790771116936961</v>
      </c>
      <c r="I59" s="634">
        <f ca="1">F58*H59</f>
        <v>3995.0119065283625</v>
      </c>
      <c r="K59" s="371"/>
    </row>
    <row r="60" spans="2:13" ht="15" x14ac:dyDescent="0.25">
      <c r="B60" t="s">
        <v>449</v>
      </c>
      <c r="C60" s="9"/>
      <c r="G60" s="371">
        <f ca="1">SUM((ROUND(SUM('Detail Summary'!AS14+'Detail Summary'!AS16+'Detail Summary'!AS48+'Detail Summary'!AS104+'Detail Summary'!AS106+'Detail Summary'!AS107+'Detail Summary'!AS131),0)*0.001)+J42)</f>
        <v>1688.8470689208177</v>
      </c>
      <c r="H60" s="633">
        <f ca="1">IF($G$62=0,0,G60/$G$62)</f>
        <v>0.24209228883063041</v>
      </c>
      <c r="J60" s="634">
        <f ca="1">F58*H60</f>
        <v>1276.0941234716377</v>
      </c>
      <c r="K60" s="371"/>
    </row>
    <row r="61" spans="2:13" ht="15" x14ac:dyDescent="0.25">
      <c r="B61" s="9" t="s">
        <v>447</v>
      </c>
      <c r="C61" s="9"/>
      <c r="G61" s="623">
        <f ca="1">SUM((ROUND('Detail Summary'!AS67,0)*0.001)+K43)</f>
        <v>0</v>
      </c>
      <c r="H61" s="636">
        <f ca="1">IF($G$62=0,0,G61/$G$62)</f>
        <v>0</v>
      </c>
      <c r="J61" s="634"/>
      <c r="K61" s="371">
        <f ca="1">F58*H61</f>
        <v>0</v>
      </c>
    </row>
    <row r="62" spans="2:13" ht="15" x14ac:dyDescent="0.25">
      <c r="B62" s="9"/>
      <c r="C62" s="9"/>
      <c r="G62" s="371">
        <f ca="1">SUM(G59:G61)</f>
        <v>6976.0465196078503</v>
      </c>
      <c r="H62" s="633">
        <f ca="1">SUM(H59:H61)</f>
        <v>1</v>
      </c>
      <c r="J62" s="634"/>
      <c r="K62" s="371"/>
    </row>
    <row r="63" spans="2:13" ht="15" x14ac:dyDescent="0.25">
      <c r="B63" s="9"/>
      <c r="C63" s="9"/>
      <c r="G63" s="371"/>
      <c r="I63" s="634"/>
      <c r="K63" s="371"/>
    </row>
    <row r="64" spans="2:13" ht="15" x14ac:dyDescent="0.25">
      <c r="B64" s="11" t="s">
        <v>2523</v>
      </c>
      <c r="F64" s="632">
        <f ca="1">+'Detail Summary'!CK171/1000+'Detail Summary'!CK173/1000+'Detail Summary'!CK172/1000</f>
        <v>1442.0715999999998</v>
      </c>
      <c r="G64" s="371"/>
      <c r="K64" s="371"/>
      <c r="M64" s="371">
        <f ca="1">+I65+J66+K67+L68</f>
        <v>1442.0715999999998</v>
      </c>
    </row>
    <row r="65" spans="2:14" ht="15" x14ac:dyDescent="0.25">
      <c r="B65" t="s">
        <v>450</v>
      </c>
      <c r="G65" s="638">
        <f ca="1">ROUND(SUM('Detail Summary'!AS12+'Detail Summary'!AS13+'Detail Summary'!AS14+'Detail Summary'!AS16+'Detail Summary'!AS17+'Detail Summary'!AS20+'Detail Summary'!AS21*+'Detail Summary'!AS132+'Detail Summary'!AS144),0)*0.001</f>
        <v>25.318999999999999</v>
      </c>
      <c r="H65" s="633">
        <f ca="1">IF($G$69=0,0,G65/$G$69)</f>
        <v>1.014162079773655E-3</v>
      </c>
      <c r="I65" s="371">
        <f ca="1">F64*H65</f>
        <v>1.4624943330385221</v>
      </c>
      <c r="J65" s="634"/>
      <c r="K65" s="371"/>
      <c r="L65" s="371"/>
    </row>
    <row r="66" spans="2:14" ht="15" x14ac:dyDescent="0.25">
      <c r="B66" t="s">
        <v>451</v>
      </c>
      <c r="G66" s="638">
        <f ca="1">SUM((ROUND(SUM('Detail Summary'!AS14+'Detail Summary'!AS16+'Detail Summary'!AS29+'Detail Summary'!AS65+'Detail Summary'!AS104+'Detail Summary'!AS105+'Detail Summary'!AS106+'Detail Summary'!AS107+'Detail Summary'!AS120+'Detail Summary'!AS125+'Detail Summary'!AS128+'Detail Summary'!AS131+'Detail Summary'!AS138),0)*0.001)+J42+J48+J54+J60)</f>
        <v>4566.1714827846054</v>
      </c>
      <c r="H66" s="633">
        <f ca="1">IF($G$69=0,0,G66/$G$69)</f>
        <v>0.18289971829787868</v>
      </c>
      <c r="I66" s="371"/>
      <c r="J66" s="371">
        <f ca="1">F64*H66</f>
        <v>263.75448940537115</v>
      </c>
      <c r="K66" s="371"/>
      <c r="L66" s="371"/>
    </row>
    <row r="67" spans="2:14" ht="15" x14ac:dyDescent="0.25">
      <c r="B67" t="s">
        <v>452</v>
      </c>
      <c r="G67" s="371">
        <f ca="1">SUM((ROUND('Detail Summary'!AS68,0)*0.001)+K36+K42+K48+K54)</f>
        <v>0</v>
      </c>
      <c r="H67" s="633">
        <f ca="1">IF($G$69=0,0,G67/$G$69)</f>
        <v>0</v>
      </c>
      <c r="I67" s="371"/>
      <c r="J67" s="371"/>
      <c r="K67" s="371">
        <f ca="1">F64*H67</f>
        <v>0</v>
      </c>
      <c r="L67" s="371"/>
    </row>
    <row r="68" spans="2:14" ht="15" x14ac:dyDescent="0.25">
      <c r="B68" t="s">
        <v>453</v>
      </c>
      <c r="G68" s="639">
        <f ca="1">SUM(ROUND(SUM('Detail Summary'!AS23+'Detail Summary'!AS30+'Detail Summary'!AS88+'Detail Summary'!AS121),0)*0.001)</f>
        <v>20373.947</v>
      </c>
      <c r="H68" s="633">
        <f ca="1">IF($G$69=0,0,G68/$G$69)</f>
        <v>0.81608611962234767</v>
      </c>
      <c r="I68" s="371"/>
      <c r="J68" s="371"/>
      <c r="K68" s="371"/>
      <c r="L68" s="371">
        <f ca="1">F64*H68</f>
        <v>1176.8546162615901</v>
      </c>
    </row>
    <row r="69" spans="2:14" ht="15" x14ac:dyDescent="0.25">
      <c r="G69" s="371">
        <f ca="1">SUM(G65:G68)</f>
        <v>24965.437482784604</v>
      </c>
      <c r="H69" s="637">
        <f ca="1">SUM(H65:H68)</f>
        <v>1</v>
      </c>
      <c r="I69" s="371"/>
      <c r="J69" s="371"/>
      <c r="K69" s="371"/>
    </row>
    <row r="70" spans="2:14" ht="15" x14ac:dyDescent="0.25">
      <c r="B70" s="9"/>
      <c r="C70" s="9"/>
      <c r="G70" s="371"/>
      <c r="I70" s="634"/>
      <c r="K70" s="371"/>
    </row>
    <row r="71" spans="2:14" ht="15" x14ac:dyDescent="0.25">
      <c r="B71" s="11" t="s">
        <v>371</v>
      </c>
      <c r="F71" s="632">
        <f ca="1">'Detail Summary'!CK170/1000</f>
        <v>289.59141999999997</v>
      </c>
      <c r="G71" s="371"/>
      <c r="K71" s="371"/>
      <c r="M71" s="371">
        <f ca="1">+I72+J73+K74+L75</f>
        <v>289.59141999999997</v>
      </c>
    </row>
    <row r="72" spans="2:14" ht="15" x14ac:dyDescent="0.25">
      <c r="B72" t="s">
        <v>450</v>
      </c>
      <c r="G72" s="371">
        <f ca="1">SUM((ROUND(SUM('Detail Summary'!AS12+'Detail Summary'!AS13+'Detail Summary'!AS14+'Detail Summary'!AS14+'Detail Summary'!AS14+'Detail Summary'!AS21+'Detail Summary'!AS20+'Detail Summary'!AS22+'Detail Summary'!AS25+'Detail Summary'!AS27+'Detail Summary'!AS33+'Detail Summary'!AS132+'Detail Summary'!AS134+'Detail Summary'!AS135+'Detail Summary'!AS136+'Detail Summary'!AS137+'Detail Summary'!AS141+'Detail Summary'!AS155),0)*0.001)+I41+I47+I53+I59)</f>
        <v>9189.2873572153949</v>
      </c>
      <c r="H72" s="633">
        <f ca="1">IF($G$76=0,0,G72/$G$76)</f>
        <v>0.26924838364591336</v>
      </c>
      <c r="I72" s="371">
        <f ca="1">F71*H72</f>
        <v>77.972021752724814</v>
      </c>
      <c r="J72" s="634"/>
      <c r="K72" s="371"/>
      <c r="L72" s="371"/>
    </row>
    <row r="73" spans="2:14" ht="15" x14ac:dyDescent="0.25">
      <c r="B73" t="s">
        <v>451</v>
      </c>
      <c r="G73" s="638">
        <f ca="1">SUM((ROUND(SUM('Detail Summary'!AS14+'Detail Summary'!AS16+'Detail Summary'!AS29+'Detail Summary'!AS65+'Detail Summary'!AS104+'Detail Summary'!AS105+'Detail Summary'!AS106+'Detail Summary'!AS107+'Detail Summary'!AS120+'Detail Summary'!AS125+'Detail Summary'!AS128+'Detail Summary'!AS131+'Detail Summary'!AS138),0)*0.001)+J42+J48+J54+J60)</f>
        <v>4566.1714827846054</v>
      </c>
      <c r="H73" s="633">
        <f ca="1">IF($G$76=0,0,G73/$G$76)</f>
        <v>0.13378994947028955</v>
      </c>
      <c r="I73" s="371"/>
      <c r="J73" s="371">
        <f ca="1">F71*H73</f>
        <v>38.744421448829392</v>
      </c>
      <c r="K73" s="371"/>
      <c r="L73" s="371"/>
    </row>
    <row r="74" spans="2:14" ht="15" x14ac:dyDescent="0.25">
      <c r="B74" t="s">
        <v>452</v>
      </c>
      <c r="G74" s="371">
        <f ca="1">SUM((ROUND('Detail Summary'!AS76,0)*0.001)+K43+K49+K55+K61)</f>
        <v>0</v>
      </c>
      <c r="H74" s="633">
        <f ca="1">IF($G$76=0,0,G74/$G$76)</f>
        <v>0</v>
      </c>
      <c r="I74" s="371"/>
      <c r="J74" s="371"/>
      <c r="K74" s="371">
        <f ca="1">F71*H74</f>
        <v>0</v>
      </c>
      <c r="L74" s="371"/>
    </row>
    <row r="75" spans="2:14" ht="15" x14ac:dyDescent="0.25">
      <c r="B75" t="s">
        <v>453</v>
      </c>
      <c r="G75" s="639">
        <f ca="1">SUM(ROUND(SUM('Detail Summary'!AS23+'Detail Summary'!AS30+'Detail Summary'!AS88+'Detail Summary'!AS121),0)*0.001)</f>
        <v>20373.947</v>
      </c>
      <c r="H75" s="636">
        <f ca="1">IF($G$76=0,0,G75/$G$76)</f>
        <v>0.59696166688379715</v>
      </c>
      <c r="I75" s="371"/>
      <c r="J75" s="371"/>
      <c r="K75" s="371"/>
      <c r="L75" s="371">
        <f ca="1">F71*H75</f>
        <v>172.87497679844577</v>
      </c>
    </row>
    <row r="76" spans="2:14" ht="15" x14ac:dyDescent="0.25">
      <c r="G76" s="371">
        <f ca="1">SUM(G72:G75)</f>
        <v>34129.405839999999</v>
      </c>
      <c r="H76" s="637">
        <f ca="1">SUM(H72:H75)</f>
        <v>1</v>
      </c>
      <c r="I76" s="371"/>
      <c r="J76" s="371"/>
      <c r="K76" s="371"/>
    </row>
    <row r="77" spans="2:14" ht="15" x14ac:dyDescent="0.25">
      <c r="G77" s="371"/>
      <c r="I77" s="371"/>
      <c r="J77" s="371"/>
      <c r="K77" s="371"/>
    </row>
    <row r="78" spans="2:14" ht="15" x14ac:dyDescent="0.25">
      <c r="B78" s="2886" t="s">
        <v>454</v>
      </c>
      <c r="C78" s="2886"/>
      <c r="G78" s="371"/>
      <c r="I78" s="371"/>
      <c r="J78" s="371"/>
      <c r="K78" s="371"/>
    </row>
    <row r="79" spans="2:14" ht="15" x14ac:dyDescent="0.25">
      <c r="B79" s="9" t="s">
        <v>455</v>
      </c>
      <c r="F79" s="2305">
        <f ca="1">SUM(F40:F78)</f>
        <v>7534.2228599999989</v>
      </c>
      <c r="G79" s="371"/>
      <c r="I79" s="2305">
        <f ca="1">SUM(I39:I78)</f>
        <v>4085.4858733011579</v>
      </c>
      <c r="J79" s="2305">
        <f ca="1">SUM(J39:J78)</f>
        <v>2099.0073936388067</v>
      </c>
      <c r="K79" s="2305">
        <f ca="1">SUM(K39:K78)</f>
        <v>0</v>
      </c>
      <c r="L79" s="2305">
        <f ca="1">SUM(L39:L78)</f>
        <v>1349.7295930600358</v>
      </c>
      <c r="M79" s="2307">
        <f ca="1">SUM(I79:L79)</f>
        <v>7534.2228599999999</v>
      </c>
      <c r="N79" s="2309" t="s">
        <v>456</v>
      </c>
    </row>
    <row r="80" spans="2:14" ht="15" x14ac:dyDescent="0.25">
      <c r="G80" s="371"/>
      <c r="I80" s="371"/>
      <c r="J80" s="371"/>
      <c r="M80" s="2307">
        <f ca="1">+M79-F79</f>
        <v>0</v>
      </c>
      <c r="N80" s="2309" t="s">
        <v>457</v>
      </c>
    </row>
  </sheetData>
  <sheetProtection formatCells="0" formatColumns="0" formatRows="0" autoFilter="0"/>
  <mergeCells count="8">
    <mergeCell ref="B28:C28"/>
    <mergeCell ref="B78:C78"/>
    <mergeCell ref="B1:K1"/>
    <mergeCell ref="B2:K2"/>
    <mergeCell ref="B3:K3"/>
    <mergeCell ref="B4:K4"/>
    <mergeCell ref="K10:K11"/>
    <mergeCell ref="C21:E21"/>
  </mergeCells>
  <pageMargins left="0.75" right="0.75" top="1" bottom="1" header="0.5" footer="0.5"/>
  <pageSetup scale="58" orientation="portrait"/>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6AA35-CCF3-4A71-81C2-AA2B80D841AE}">
  <sheetPr codeName="Sheet23">
    <tabColor rgb="FFFFC000"/>
    <pageSetUpPr fitToPage="1"/>
  </sheetPr>
  <dimension ref="A1:DS26"/>
  <sheetViews>
    <sheetView showGridLines="0" showZeros="0" zoomScale="80" zoomScaleNormal="80" workbookViewId="0">
      <selection activeCell="BA13" sqref="BA13"/>
    </sheetView>
  </sheetViews>
  <sheetFormatPr defaultColWidth="2.5703125" defaultRowHeight="12.75" x14ac:dyDescent="0.2"/>
  <cols>
    <col min="1" max="1" width="21" style="349" customWidth="1"/>
    <col min="2" max="3" width="10.5703125" style="349" customWidth="1"/>
    <col min="4" max="4" width="1.5703125" style="349" customWidth="1"/>
    <col min="5" max="123" width="1" style="349" customWidth="1"/>
    <col min="124" max="16384" width="2.5703125" style="349"/>
  </cols>
  <sheetData>
    <row r="1" spans="1:123" s="1041" customFormat="1" ht="26.25" x14ac:dyDescent="0.35">
      <c r="B1" s="2899" t="s">
        <v>1206</v>
      </c>
      <c r="C1" s="2899"/>
      <c r="D1" s="2899"/>
      <c r="E1" s="2899"/>
      <c r="F1" s="2899"/>
      <c r="G1" s="2899"/>
      <c r="H1" s="2899"/>
      <c r="I1" s="2899"/>
      <c r="J1" s="2899"/>
      <c r="K1" s="2899"/>
      <c r="L1" s="2899"/>
      <c r="M1" s="2899"/>
      <c r="N1" s="2899"/>
      <c r="O1" s="2899"/>
      <c r="P1" s="2899"/>
      <c r="Q1" s="2899"/>
      <c r="R1" s="2899"/>
      <c r="S1" s="2899"/>
      <c r="T1" s="2899"/>
      <c r="U1" s="2899"/>
      <c r="V1" s="2899"/>
      <c r="W1" s="2899"/>
      <c r="X1" s="2899"/>
      <c r="Y1" s="2899"/>
      <c r="Z1" s="2899"/>
      <c r="AA1" s="2899"/>
      <c r="AB1" s="2899"/>
      <c r="AC1" s="2899"/>
      <c r="AD1" s="2899"/>
      <c r="AE1" s="2899"/>
      <c r="AF1" s="2899"/>
      <c r="AG1" s="2899"/>
      <c r="AH1" s="2899"/>
      <c r="AI1" s="2899"/>
      <c r="AJ1" s="2899"/>
      <c r="AK1" s="2899"/>
      <c r="AL1" s="2899"/>
      <c r="AM1" s="2899"/>
      <c r="AN1" s="2899"/>
      <c r="AO1" s="2899"/>
      <c r="AP1" s="2899"/>
      <c r="AQ1" s="2899"/>
      <c r="AR1" s="2899"/>
      <c r="AS1" s="2899"/>
      <c r="AT1" s="2899"/>
      <c r="AU1" s="2899"/>
      <c r="AV1" s="2899"/>
      <c r="AW1" s="2899"/>
      <c r="AX1" s="2899"/>
      <c r="AY1" s="2899"/>
      <c r="AZ1" s="2899"/>
      <c r="BA1" s="2899"/>
      <c r="BB1" s="2899"/>
      <c r="BC1" s="2899"/>
      <c r="BD1" s="2899"/>
      <c r="BE1" s="2899"/>
      <c r="BF1" s="2899"/>
      <c r="BG1" s="2899"/>
      <c r="BH1" s="2899"/>
      <c r="BI1" s="2899"/>
      <c r="BJ1" s="2899"/>
      <c r="BK1" s="2899"/>
      <c r="BL1" s="2899"/>
      <c r="BM1" s="2899"/>
      <c r="BN1" s="2899"/>
      <c r="BO1" s="2899"/>
      <c r="BP1" s="2899"/>
      <c r="BQ1" s="2899"/>
      <c r="BR1" s="2899"/>
      <c r="BS1" s="2899"/>
      <c r="BT1" s="2899"/>
      <c r="BU1" s="2899"/>
      <c r="BV1" s="2899"/>
      <c r="BW1" s="2899"/>
      <c r="BX1" s="348"/>
      <c r="BY1" s="348"/>
      <c r="BZ1" s="348"/>
      <c r="CA1" s="348"/>
      <c r="CB1" s="348"/>
      <c r="CC1" s="348"/>
      <c r="CD1" s="348"/>
      <c r="CE1" s="348"/>
      <c r="CF1" s="348"/>
      <c r="CG1" s="348"/>
      <c r="CH1" s="348"/>
      <c r="CI1" s="348"/>
      <c r="CJ1" s="348"/>
    </row>
    <row r="2" spans="1:123" s="1041" customFormat="1" ht="16.5" customHeight="1" x14ac:dyDescent="0.35">
      <c r="B2" s="1442"/>
      <c r="C2" s="1442"/>
      <c r="D2" s="1442"/>
      <c r="E2" s="1442"/>
      <c r="F2" s="1442"/>
      <c r="G2" s="1442"/>
      <c r="H2" s="1442"/>
      <c r="I2" s="1442"/>
      <c r="J2" s="1442"/>
      <c r="K2" s="1442"/>
      <c r="L2" s="1442"/>
      <c r="M2" s="1442"/>
      <c r="BX2" s="348"/>
      <c r="BY2" s="348"/>
      <c r="BZ2" s="348"/>
      <c r="CA2" s="348"/>
      <c r="CB2" s="348"/>
      <c r="CC2" s="348"/>
      <c r="CD2" s="348"/>
      <c r="CE2" s="348"/>
      <c r="CF2" s="348"/>
      <c r="CG2" s="348"/>
      <c r="CH2" s="348"/>
      <c r="CI2" s="348"/>
      <c r="CJ2" s="348"/>
    </row>
    <row r="3" spans="1:123" s="1042" customFormat="1" ht="93" customHeight="1" x14ac:dyDescent="0.3">
      <c r="B3" s="2900" t="s">
        <v>397</v>
      </c>
      <c r="C3" s="2900"/>
      <c r="D3" s="2900"/>
      <c r="E3" s="2900"/>
      <c r="F3" s="2900"/>
      <c r="G3" s="2900"/>
      <c r="H3" s="1443"/>
      <c r="I3" s="1443" t="s">
        <v>1210</v>
      </c>
      <c r="J3" s="1443"/>
      <c r="K3" s="1443"/>
      <c r="L3" s="1443"/>
      <c r="M3" s="1443"/>
      <c r="N3" s="1443"/>
      <c r="O3" s="1443"/>
      <c r="P3" s="1443"/>
      <c r="R3" s="1443"/>
      <c r="S3" s="1443"/>
      <c r="T3" s="1443"/>
      <c r="U3" s="1443"/>
      <c r="V3" s="1443"/>
      <c r="W3" s="1443"/>
      <c r="X3" s="1443"/>
      <c r="Y3" s="1443"/>
      <c r="Z3" s="1443"/>
      <c r="AA3" s="1443"/>
      <c r="AB3" s="1443"/>
      <c r="AC3" s="1443"/>
      <c r="AD3" s="1443"/>
      <c r="AE3" s="1443"/>
      <c r="AN3" s="1444"/>
      <c r="AR3" s="2901" t="s">
        <v>2518</v>
      </c>
      <c r="AS3" s="2901"/>
      <c r="AT3" s="2901"/>
      <c r="AU3" s="2901"/>
      <c r="AV3" s="2901"/>
      <c r="AW3" s="2901"/>
      <c r="AX3" s="2901"/>
      <c r="AY3" s="2901"/>
      <c r="AZ3" s="2901"/>
      <c r="BA3" s="2901"/>
      <c r="BB3" s="2901"/>
      <c r="BC3" s="2901"/>
      <c r="BD3" s="2901"/>
      <c r="BE3" s="2901"/>
      <c r="BF3" s="2901"/>
      <c r="BG3" s="2901"/>
      <c r="BH3" s="2901"/>
      <c r="BI3" s="2901"/>
      <c r="BJ3" s="2901"/>
      <c r="BK3" s="2901"/>
      <c r="BL3" s="2901"/>
      <c r="BM3" s="2901"/>
      <c r="BN3" s="2901"/>
      <c r="BO3" s="2901"/>
      <c r="BP3" s="2901"/>
      <c r="BQ3" s="2901"/>
      <c r="BR3" s="2901"/>
      <c r="BS3" s="2901"/>
      <c r="BT3" s="2901"/>
      <c r="BU3" s="2901"/>
      <c r="BV3" s="2901"/>
      <c r="BW3" s="2901"/>
      <c r="BX3" s="348"/>
      <c r="BY3" s="348"/>
      <c r="BZ3" s="348"/>
      <c r="CA3" s="348"/>
      <c r="CB3" s="348"/>
      <c r="CC3" s="348"/>
      <c r="CD3" s="348"/>
      <c r="CE3" s="348"/>
      <c r="CF3" s="348"/>
      <c r="CG3" s="348"/>
      <c r="CH3" s="348"/>
      <c r="CI3" s="348"/>
      <c r="CJ3" s="348"/>
    </row>
    <row r="4" spans="1:123" s="1042" customFormat="1" ht="24" customHeight="1" x14ac:dyDescent="0.3">
      <c r="B4" s="1443" t="s">
        <v>398</v>
      </c>
      <c r="C4" s="2902" t="str">
        <f>+'Data Input sheet'!C7</f>
        <v>Battery Storage - Hyde Park</v>
      </c>
      <c r="D4" s="2897"/>
      <c r="E4" s="2897"/>
      <c r="F4" s="2897"/>
      <c r="G4" s="2897"/>
      <c r="H4" s="2897"/>
      <c r="I4" s="2897"/>
      <c r="J4" s="2897"/>
      <c r="K4" s="2897"/>
      <c r="L4" s="2897"/>
      <c r="M4" s="2897"/>
      <c r="N4" s="2897"/>
      <c r="O4" s="2897"/>
      <c r="P4" s="2897"/>
      <c r="Q4" s="2897"/>
      <c r="R4" s="2897"/>
      <c r="S4" s="2897"/>
      <c r="T4" s="2897"/>
      <c r="U4" s="2897"/>
      <c r="V4" s="2897"/>
      <c r="W4" s="2897"/>
      <c r="X4" s="2897"/>
      <c r="Y4" s="2897"/>
      <c r="Z4" s="2897"/>
      <c r="AA4" s="2897"/>
      <c r="AB4" s="2897"/>
      <c r="AC4" s="2897"/>
      <c r="AD4" s="2897"/>
      <c r="AE4" s="2897"/>
      <c r="AF4" s="2897"/>
      <c r="AG4" s="2897"/>
      <c r="AH4" s="2897"/>
      <c r="AI4" s="2897"/>
      <c r="AJ4" s="2897"/>
      <c r="AK4" s="2897"/>
      <c r="AL4" s="2897"/>
      <c r="AM4" s="2897"/>
      <c r="AN4" s="2897"/>
      <c r="AO4" s="2897"/>
      <c r="AP4" s="2897"/>
      <c r="AQ4" s="2897"/>
      <c r="AR4" s="1443"/>
      <c r="AS4" s="1443"/>
      <c r="AT4" s="1443"/>
      <c r="AU4" s="1443"/>
      <c r="AV4" s="1443"/>
      <c r="AW4" s="1443"/>
      <c r="AX4" s="1443"/>
      <c r="AY4" s="1443"/>
      <c r="AZ4" s="1443"/>
      <c r="BA4" s="1443"/>
      <c r="BB4" s="2903" t="str">
        <f>'Data Input sheet'!B10&amp;TEXT('Data Input sheet'!C10,"mm/dd/YYYY")</f>
        <v>In Service date (ISD):12/23/2028</v>
      </c>
      <c r="BC4" s="2904"/>
      <c r="BD4" s="2904"/>
      <c r="BE4" s="2904"/>
      <c r="BF4" s="2904"/>
      <c r="BG4" s="2904"/>
      <c r="BH4" s="2904"/>
      <c r="BI4" s="2904"/>
      <c r="BJ4" s="2904"/>
      <c r="BK4" s="2904"/>
      <c r="BL4" s="2904"/>
      <c r="BM4" s="2904"/>
      <c r="BN4" s="2904"/>
      <c r="BO4" s="2904"/>
      <c r="BP4" s="2904"/>
      <c r="BQ4" s="2904"/>
      <c r="BR4" s="2904"/>
      <c r="BS4" s="2904"/>
      <c r="BT4" s="2904"/>
      <c r="BU4" s="2904"/>
      <c r="BV4" s="2904"/>
      <c r="BW4" s="2904"/>
      <c r="BX4" s="348"/>
      <c r="BY4" s="348"/>
      <c r="BZ4" s="348"/>
      <c r="CA4" s="348"/>
      <c r="CB4" s="348"/>
      <c r="CC4" s="348"/>
      <c r="CD4" s="348"/>
      <c r="CE4" s="348"/>
      <c r="CF4" s="348"/>
      <c r="CG4" s="348"/>
      <c r="CH4" s="348"/>
      <c r="CI4" s="348"/>
      <c r="CJ4" s="348"/>
    </row>
    <row r="5" spans="1:123" s="1042" customFormat="1" ht="29.25" customHeight="1" x14ac:dyDescent="0.3">
      <c r="B5" s="1443" t="s">
        <v>399</v>
      </c>
      <c r="C5" s="2896" t="str">
        <f>RIGHT('Data Input sheet'!B15, LEN('Data Input sheet'!B15)-14)</f>
        <v xml:space="preserve"> Conceptual</v>
      </c>
      <c r="D5" s="2897"/>
      <c r="E5" s="2897"/>
      <c r="F5" s="2897"/>
      <c r="G5" s="2897"/>
      <c r="H5" s="2897"/>
      <c r="I5" s="2897"/>
      <c r="J5" s="2897"/>
      <c r="K5" s="2897"/>
      <c r="L5" s="2897"/>
      <c r="M5" s="2897"/>
      <c r="N5" s="2897"/>
      <c r="O5" s="2897"/>
      <c r="P5" s="2897"/>
      <c r="Q5" s="2897"/>
      <c r="R5" s="2897"/>
      <c r="S5" s="2897"/>
      <c r="T5" s="2897"/>
      <c r="U5" s="2897"/>
      <c r="V5" s="2897"/>
      <c r="W5" s="2897"/>
      <c r="X5" s="2897"/>
      <c r="Y5" s="2897"/>
      <c r="Z5" s="2897"/>
      <c r="AA5" s="2897"/>
      <c r="AB5" s="2897"/>
      <c r="AC5" s="2897"/>
      <c r="AD5" s="2897"/>
      <c r="AE5" s="2897"/>
      <c r="AF5" s="2897"/>
      <c r="AG5" s="2897"/>
      <c r="AH5" s="2897"/>
      <c r="AI5" s="2897"/>
      <c r="AJ5" s="2897"/>
      <c r="AK5" s="2897"/>
      <c r="AL5" s="2897"/>
      <c r="AM5" s="2897"/>
      <c r="AN5" s="2897"/>
      <c r="AO5" s="2897"/>
      <c r="AP5" s="2897"/>
      <c r="AQ5" s="2897"/>
      <c r="BB5" s="2898"/>
      <c r="BC5" s="2898"/>
      <c r="BD5" s="2898"/>
      <c r="BE5" s="2898"/>
      <c r="BF5" s="2898"/>
      <c r="BG5" s="2898"/>
      <c r="BH5" s="2898"/>
      <c r="BI5" s="2898"/>
      <c r="BJ5" s="2898"/>
      <c r="BK5" s="2898"/>
      <c r="BL5" s="2898"/>
      <c r="BM5" s="2898"/>
      <c r="BN5" s="2898"/>
      <c r="BO5" s="2898"/>
      <c r="BP5" s="2898"/>
      <c r="BQ5" s="2898"/>
      <c r="BR5" s="2898"/>
      <c r="BS5" s="2898"/>
      <c r="BT5" s="2898"/>
      <c r="BU5" s="2898"/>
      <c r="BV5" s="2898"/>
      <c r="BW5" s="2898"/>
      <c r="BX5" s="348"/>
      <c r="BY5" s="348"/>
      <c r="BZ5" s="348"/>
      <c r="CA5" s="348"/>
      <c r="CB5" s="348"/>
      <c r="CC5" s="348"/>
      <c r="CD5" s="348"/>
      <c r="CE5" s="348"/>
      <c r="CF5" s="348"/>
      <c r="CG5" s="348"/>
      <c r="CH5" s="348"/>
      <c r="CI5" s="348"/>
      <c r="CJ5" s="348"/>
    </row>
    <row r="6" spans="1:123" s="1043" customFormat="1" ht="58.5" customHeight="1" thickBot="1" x14ac:dyDescent="0.3">
      <c r="A6" s="2905" t="s">
        <v>414</v>
      </c>
      <c r="B6" s="2906"/>
      <c r="C6" s="2906"/>
      <c r="D6" s="2906"/>
      <c r="E6" s="2906"/>
      <c r="F6" s="2906"/>
      <c r="G6" s="2906"/>
      <c r="H6" s="2906"/>
      <c r="I6" s="2906"/>
      <c r="J6" s="2906"/>
      <c r="K6" s="2906"/>
      <c r="L6" s="2906"/>
      <c r="M6" s="2905"/>
      <c r="N6" s="2906"/>
      <c r="O6" s="2906"/>
      <c r="P6" s="2906"/>
      <c r="Q6" s="2906"/>
      <c r="R6" s="2906"/>
      <c r="S6" s="2906"/>
      <c r="T6" s="2906"/>
      <c r="U6" s="2906"/>
      <c r="V6" s="2906"/>
      <c r="W6" s="2906"/>
      <c r="X6" s="2906"/>
      <c r="Y6" s="2905"/>
      <c r="Z6" s="2906"/>
      <c r="AA6" s="2906"/>
      <c r="AB6" s="2906"/>
      <c r="AC6" s="2906"/>
      <c r="AD6" s="2906"/>
      <c r="AE6" s="2906"/>
      <c r="AF6" s="2906"/>
      <c r="AG6" s="2906"/>
      <c r="AH6" s="2906"/>
      <c r="AI6" s="2906"/>
      <c r="AJ6" s="2906"/>
      <c r="AK6" s="2905"/>
      <c r="AL6" s="2906"/>
      <c r="AM6" s="2906"/>
      <c r="AN6" s="2906"/>
      <c r="AO6" s="2906"/>
      <c r="AP6" s="2906"/>
      <c r="AQ6" s="2906"/>
      <c r="AR6" s="2906"/>
      <c r="AS6" s="2906"/>
      <c r="AT6" s="2906"/>
      <c r="AU6" s="2906"/>
      <c r="AV6" s="2906"/>
      <c r="AW6" s="2905"/>
      <c r="AX6" s="2906"/>
      <c r="AY6" s="2906"/>
      <c r="AZ6" s="2906"/>
      <c r="BA6" s="2906"/>
      <c r="BB6" s="2906"/>
      <c r="BC6" s="2906"/>
      <c r="BD6" s="2906"/>
      <c r="BE6" s="2906"/>
      <c r="BF6" s="2906"/>
      <c r="BG6" s="2906"/>
      <c r="BH6" s="2906"/>
      <c r="BI6" s="2905"/>
      <c r="BJ6" s="2906"/>
      <c r="BK6" s="2906"/>
      <c r="BL6" s="2906"/>
      <c r="BM6" s="2906"/>
      <c r="BN6" s="2906"/>
      <c r="BO6" s="2906"/>
      <c r="BP6" s="2906"/>
      <c r="BQ6" s="2906"/>
      <c r="BR6" s="2906"/>
      <c r="BS6" s="2906"/>
      <c r="BT6" s="2906"/>
      <c r="BU6" s="2905"/>
      <c r="BV6" s="2906"/>
      <c r="BW6" s="2906"/>
      <c r="BX6" s="2906"/>
      <c r="BY6" s="2906"/>
      <c r="BZ6" s="2906"/>
      <c r="CA6" s="2906"/>
      <c r="CB6" s="2906"/>
      <c r="CC6" s="2906"/>
      <c r="CD6" s="2906"/>
      <c r="CE6" s="2906"/>
      <c r="CF6" s="2906"/>
      <c r="CG6" s="2905"/>
      <c r="CH6" s="2906"/>
      <c r="CI6" s="2906"/>
      <c r="CJ6" s="2906"/>
      <c r="CK6" s="2906"/>
      <c r="CL6" s="2906"/>
      <c r="CM6" s="2906"/>
      <c r="CN6" s="2906"/>
      <c r="CO6" s="2906"/>
      <c r="CP6" s="2906"/>
      <c r="CQ6" s="2906"/>
      <c r="CR6" s="2906"/>
      <c r="CS6" s="2905"/>
      <c r="CT6" s="2906"/>
      <c r="CU6" s="2906"/>
      <c r="CV6" s="2906"/>
      <c r="CW6" s="2906"/>
      <c r="CX6" s="2906"/>
      <c r="CY6" s="2906"/>
      <c r="CZ6" s="2906"/>
      <c r="DA6" s="2906"/>
      <c r="DB6" s="2906"/>
      <c r="DC6" s="2906"/>
      <c r="DD6" s="2906"/>
      <c r="DE6" s="2905"/>
      <c r="DF6" s="2906"/>
      <c r="DG6" s="2906"/>
      <c r="DH6" s="2906"/>
      <c r="DI6" s="2906"/>
      <c r="DJ6" s="2906"/>
      <c r="DK6" s="2906"/>
      <c r="DL6" s="2906"/>
      <c r="DM6" s="2906"/>
      <c r="DN6" s="2906"/>
      <c r="DO6" s="2906"/>
      <c r="DP6" s="2906"/>
      <c r="DQ6" s="2905"/>
      <c r="DR6" s="2906"/>
      <c r="DS6" s="2906"/>
    </row>
    <row r="7" spans="1:123" ht="13.5" thickBot="1" x14ac:dyDescent="0.25">
      <c r="D7" s="2905">
        <f>'Data Input sheet'!D100</f>
        <v>45292</v>
      </c>
      <c r="E7" s="2906"/>
      <c r="F7" s="2906"/>
      <c r="G7" s="2906"/>
      <c r="H7" s="2906"/>
      <c r="I7" s="2906"/>
      <c r="J7" s="2906"/>
      <c r="K7" s="2906"/>
      <c r="L7" s="2906"/>
      <c r="M7" s="2906"/>
      <c r="N7" s="2906"/>
      <c r="O7" s="2906"/>
      <c r="P7" s="2905">
        <f>'Data Input sheet'!G100</f>
        <v>45658</v>
      </c>
      <c r="Q7" s="2906"/>
      <c r="R7" s="2906"/>
      <c r="S7" s="2906"/>
      <c r="T7" s="2906"/>
      <c r="U7" s="2906"/>
      <c r="V7" s="2906"/>
      <c r="W7" s="2906"/>
      <c r="X7" s="2906"/>
      <c r="Y7" s="2906"/>
      <c r="Z7" s="2906"/>
      <c r="AA7" s="2906"/>
      <c r="AB7" s="2905">
        <f>'Data Input sheet'!J100</f>
        <v>46023</v>
      </c>
      <c r="AC7" s="2906"/>
      <c r="AD7" s="2906"/>
      <c r="AE7" s="2906"/>
      <c r="AF7" s="2906"/>
      <c r="AG7" s="2906"/>
      <c r="AH7" s="2906"/>
      <c r="AI7" s="2906"/>
      <c r="AJ7" s="2906"/>
      <c r="AK7" s="2906"/>
      <c r="AL7" s="2906"/>
      <c r="AM7" s="2906"/>
      <c r="AN7" s="2905">
        <f>'Data Input sheet'!M100</f>
        <v>46388</v>
      </c>
      <c r="AO7" s="2906"/>
      <c r="AP7" s="2906"/>
      <c r="AQ7" s="2906"/>
      <c r="AR7" s="2906"/>
      <c r="AS7" s="2906"/>
      <c r="AT7" s="2906"/>
      <c r="AU7" s="2906"/>
      <c r="AV7" s="2906"/>
      <c r="AW7" s="2906"/>
      <c r="AX7" s="2906"/>
      <c r="AY7" s="2906"/>
      <c r="AZ7" s="2905">
        <f>'Data Input sheet'!P100</f>
        <v>46753</v>
      </c>
      <c r="BA7" s="2906"/>
      <c r="BB7" s="2906"/>
      <c r="BC7" s="2906"/>
      <c r="BD7" s="2906"/>
      <c r="BE7" s="2906"/>
      <c r="BF7" s="2906"/>
      <c r="BG7" s="2906"/>
      <c r="BH7" s="2906"/>
      <c r="BI7" s="2906"/>
      <c r="BJ7" s="2906"/>
      <c r="BK7" s="2906"/>
      <c r="BL7" s="2905">
        <f>'Data Input sheet'!S100</f>
        <v>47119</v>
      </c>
      <c r="BM7" s="2906"/>
      <c r="BN7" s="2906"/>
      <c r="BO7" s="2906"/>
      <c r="BP7" s="2906"/>
      <c r="BQ7" s="2906"/>
      <c r="BR7" s="2906"/>
      <c r="BS7" s="2906"/>
      <c r="BT7" s="2906"/>
      <c r="BU7" s="2906"/>
      <c r="BV7" s="2906"/>
      <c r="BW7" s="2906"/>
      <c r="BX7" s="2905">
        <f>'Data Input sheet'!V100</f>
        <v>47484</v>
      </c>
      <c r="BY7" s="2906"/>
      <c r="BZ7" s="2906"/>
      <c r="CA7" s="2906"/>
      <c r="CB7" s="2906"/>
      <c r="CC7" s="2906"/>
      <c r="CD7" s="2906"/>
      <c r="CE7" s="2906"/>
      <c r="CF7" s="2906"/>
      <c r="CG7" s="2906"/>
      <c r="CH7" s="2906"/>
      <c r="CI7" s="2906"/>
      <c r="CJ7" s="2905">
        <f>'Data Input sheet'!Y100</f>
        <v>47849</v>
      </c>
      <c r="CK7" s="2906"/>
      <c r="CL7" s="2906"/>
      <c r="CM7" s="2906"/>
      <c r="CN7" s="2906"/>
      <c r="CO7" s="2906"/>
      <c r="CP7" s="2906"/>
      <c r="CQ7" s="2906"/>
      <c r="CR7" s="2906"/>
      <c r="CS7" s="2906"/>
      <c r="CT7" s="2906"/>
      <c r="CU7" s="2906"/>
      <c r="CV7" s="2905">
        <f>'Data Input sheet'!AB100</f>
        <v>48214</v>
      </c>
      <c r="CW7" s="2906"/>
      <c r="CX7" s="2906"/>
      <c r="CY7" s="2906"/>
      <c r="CZ7" s="2906"/>
      <c r="DA7" s="2906"/>
      <c r="DB7" s="2906"/>
      <c r="DC7" s="2906"/>
      <c r="DD7" s="2906"/>
      <c r="DE7" s="2906"/>
      <c r="DF7" s="2906"/>
      <c r="DG7" s="2906"/>
      <c r="DH7" s="2905">
        <f>'Data Input sheet'!AE100</f>
        <v>48580</v>
      </c>
      <c r="DI7" s="2906"/>
      <c r="DJ7" s="2906"/>
      <c r="DK7" s="2906"/>
      <c r="DL7" s="2906"/>
      <c r="DM7" s="2906"/>
      <c r="DN7" s="2906"/>
      <c r="DO7" s="2906"/>
      <c r="DP7" s="2906"/>
      <c r="DQ7" s="2906"/>
      <c r="DR7" s="2906"/>
      <c r="DS7" s="2906"/>
    </row>
    <row r="8" spans="1:123" ht="16.5" customHeight="1" x14ac:dyDescent="0.2">
      <c r="D8" s="2911" t="s">
        <v>2570</v>
      </c>
      <c r="E8" s="2908"/>
      <c r="F8" s="2909"/>
      <c r="G8" s="2907" t="s">
        <v>2571</v>
      </c>
      <c r="H8" s="2908"/>
      <c r="I8" s="2909"/>
      <c r="J8" s="2907" t="s">
        <v>2572</v>
      </c>
      <c r="K8" s="2908"/>
      <c r="L8" s="2909"/>
      <c r="M8" s="2907" t="s">
        <v>2573</v>
      </c>
      <c r="N8" s="2908"/>
      <c r="O8" s="2910"/>
      <c r="P8" s="2911" t="s">
        <v>2570</v>
      </c>
      <c r="Q8" s="2908"/>
      <c r="R8" s="2909"/>
      <c r="S8" s="2907" t="s">
        <v>2571</v>
      </c>
      <c r="T8" s="2908"/>
      <c r="U8" s="2909"/>
      <c r="V8" s="2907" t="s">
        <v>2572</v>
      </c>
      <c r="W8" s="2908"/>
      <c r="X8" s="2909"/>
      <c r="Y8" s="2907" t="s">
        <v>2573</v>
      </c>
      <c r="Z8" s="2908"/>
      <c r="AA8" s="2910"/>
      <c r="AB8" s="2911" t="s">
        <v>2570</v>
      </c>
      <c r="AC8" s="2908"/>
      <c r="AD8" s="2909"/>
      <c r="AE8" s="2907" t="s">
        <v>2571</v>
      </c>
      <c r="AF8" s="2908"/>
      <c r="AG8" s="2909"/>
      <c r="AH8" s="2907" t="s">
        <v>2572</v>
      </c>
      <c r="AI8" s="2908"/>
      <c r="AJ8" s="2909"/>
      <c r="AK8" s="2907" t="s">
        <v>2573</v>
      </c>
      <c r="AL8" s="2908"/>
      <c r="AM8" s="2910"/>
      <c r="AN8" s="2911" t="s">
        <v>2570</v>
      </c>
      <c r="AO8" s="2908"/>
      <c r="AP8" s="2909"/>
      <c r="AQ8" s="2907" t="s">
        <v>2571</v>
      </c>
      <c r="AR8" s="2908"/>
      <c r="AS8" s="2909"/>
      <c r="AT8" s="2907" t="s">
        <v>2572</v>
      </c>
      <c r="AU8" s="2908"/>
      <c r="AV8" s="2909"/>
      <c r="AW8" s="2907" t="s">
        <v>2573</v>
      </c>
      <c r="AX8" s="2908"/>
      <c r="AY8" s="2910"/>
      <c r="AZ8" s="2911" t="s">
        <v>2570</v>
      </c>
      <c r="BA8" s="2908"/>
      <c r="BB8" s="2909"/>
      <c r="BC8" s="2907" t="s">
        <v>2571</v>
      </c>
      <c r="BD8" s="2908"/>
      <c r="BE8" s="2909"/>
      <c r="BF8" s="2907" t="s">
        <v>2572</v>
      </c>
      <c r="BG8" s="2908"/>
      <c r="BH8" s="2909"/>
      <c r="BI8" s="2907" t="s">
        <v>2573</v>
      </c>
      <c r="BJ8" s="2908"/>
      <c r="BK8" s="2910"/>
      <c r="BL8" s="2911" t="s">
        <v>2570</v>
      </c>
      <c r="BM8" s="2908"/>
      <c r="BN8" s="2909"/>
      <c r="BO8" s="2907" t="s">
        <v>2571</v>
      </c>
      <c r="BP8" s="2908"/>
      <c r="BQ8" s="2909"/>
      <c r="BR8" s="2907" t="s">
        <v>2572</v>
      </c>
      <c r="BS8" s="2908"/>
      <c r="BT8" s="2909"/>
      <c r="BU8" s="2907" t="s">
        <v>2573</v>
      </c>
      <c r="BV8" s="2908"/>
      <c r="BW8" s="2910"/>
      <c r="BX8" s="2911" t="s">
        <v>2570</v>
      </c>
      <c r="BY8" s="2908"/>
      <c r="BZ8" s="2909"/>
      <c r="CA8" s="2907" t="s">
        <v>2571</v>
      </c>
      <c r="CB8" s="2908"/>
      <c r="CC8" s="2909"/>
      <c r="CD8" s="2907" t="s">
        <v>2572</v>
      </c>
      <c r="CE8" s="2908"/>
      <c r="CF8" s="2909"/>
      <c r="CG8" s="2907" t="s">
        <v>2573</v>
      </c>
      <c r="CH8" s="2908"/>
      <c r="CI8" s="2910"/>
      <c r="CJ8" s="2911" t="s">
        <v>2570</v>
      </c>
      <c r="CK8" s="2908"/>
      <c r="CL8" s="2909"/>
      <c r="CM8" s="2907" t="s">
        <v>2571</v>
      </c>
      <c r="CN8" s="2908"/>
      <c r="CO8" s="2909"/>
      <c r="CP8" s="2907" t="s">
        <v>2572</v>
      </c>
      <c r="CQ8" s="2908"/>
      <c r="CR8" s="2909"/>
      <c r="CS8" s="2907" t="s">
        <v>2573</v>
      </c>
      <c r="CT8" s="2908"/>
      <c r="CU8" s="2910"/>
      <c r="CV8" s="2911" t="s">
        <v>2570</v>
      </c>
      <c r="CW8" s="2908"/>
      <c r="CX8" s="2909"/>
      <c r="CY8" s="2907" t="s">
        <v>2571</v>
      </c>
      <c r="CZ8" s="2908"/>
      <c r="DA8" s="2909"/>
      <c r="DB8" s="2907" t="s">
        <v>2572</v>
      </c>
      <c r="DC8" s="2908"/>
      <c r="DD8" s="2909"/>
      <c r="DE8" s="2907" t="s">
        <v>2573</v>
      </c>
      <c r="DF8" s="2908"/>
      <c r="DG8" s="2910"/>
      <c r="DH8" s="2911" t="s">
        <v>2570</v>
      </c>
      <c r="DI8" s="2908"/>
      <c r="DJ8" s="2909"/>
      <c r="DK8" s="2907" t="s">
        <v>2571</v>
      </c>
      <c r="DL8" s="2908"/>
      <c r="DM8" s="2909"/>
      <c r="DN8" s="2907" t="s">
        <v>2572</v>
      </c>
      <c r="DO8" s="2908"/>
      <c r="DP8" s="2909"/>
      <c r="DQ8" s="2907" t="s">
        <v>2573</v>
      </c>
      <c r="DR8" s="2908"/>
      <c r="DS8" s="2910"/>
    </row>
    <row r="9" spans="1:123" ht="0.75" customHeight="1" x14ac:dyDescent="0.2">
      <c r="A9" s="2358" t="s">
        <v>2547</v>
      </c>
      <c r="B9" s="2359" t="s">
        <v>2548</v>
      </c>
      <c r="C9" s="2359" t="s">
        <v>2549</v>
      </c>
      <c r="D9" s="2360">
        <v>44927</v>
      </c>
      <c r="E9" s="2360">
        <v>44958</v>
      </c>
      <c r="F9" s="2360">
        <v>44986</v>
      </c>
      <c r="G9" s="2360">
        <v>45017</v>
      </c>
      <c r="H9" s="2360">
        <v>45047</v>
      </c>
      <c r="I9" s="2360">
        <v>45078</v>
      </c>
      <c r="J9" s="2360">
        <v>45108</v>
      </c>
      <c r="K9" s="2360">
        <v>45139</v>
      </c>
      <c r="L9" s="2360">
        <v>45170</v>
      </c>
      <c r="M9" s="2360">
        <v>45200</v>
      </c>
      <c r="N9" s="2360">
        <v>45231</v>
      </c>
      <c r="O9" s="2360">
        <v>45261</v>
      </c>
      <c r="P9" s="2360">
        <v>45292</v>
      </c>
      <c r="Q9" s="2360">
        <v>45323</v>
      </c>
      <c r="R9" s="2360">
        <v>45352</v>
      </c>
      <c r="S9" s="2360">
        <v>45383</v>
      </c>
      <c r="T9" s="2360">
        <v>45413</v>
      </c>
      <c r="U9" s="2360">
        <v>45444</v>
      </c>
      <c r="V9" s="2360">
        <v>45474</v>
      </c>
      <c r="W9" s="2360">
        <v>45505</v>
      </c>
      <c r="X9" s="2360">
        <v>45536</v>
      </c>
      <c r="Y9" s="2360">
        <v>45566</v>
      </c>
      <c r="Z9" s="2360">
        <v>45597</v>
      </c>
      <c r="AA9" s="2360">
        <v>45627</v>
      </c>
      <c r="AB9" s="2360">
        <v>45658</v>
      </c>
      <c r="AC9" s="2360">
        <v>45689</v>
      </c>
      <c r="AD9" s="2360">
        <v>45717</v>
      </c>
      <c r="AE9" s="2360">
        <v>45748</v>
      </c>
      <c r="AF9" s="2360">
        <v>45778</v>
      </c>
      <c r="AG9" s="2360">
        <v>45809</v>
      </c>
      <c r="AH9" s="2360">
        <v>45839</v>
      </c>
      <c r="AI9" s="2360">
        <v>45870</v>
      </c>
      <c r="AJ9" s="2360">
        <v>45901</v>
      </c>
      <c r="AK9" s="2360">
        <v>45931</v>
      </c>
      <c r="AL9" s="2360">
        <v>45962</v>
      </c>
      <c r="AM9" s="2360">
        <v>45992</v>
      </c>
      <c r="AN9" s="2360">
        <v>46023</v>
      </c>
      <c r="AO9" s="2360">
        <v>46054</v>
      </c>
      <c r="AP9" s="2360">
        <v>46082</v>
      </c>
      <c r="AQ9" s="2360">
        <v>46113</v>
      </c>
      <c r="AR9" s="2360">
        <v>46143</v>
      </c>
      <c r="AS9" s="2360">
        <v>46174</v>
      </c>
      <c r="AT9" s="2360">
        <v>46204</v>
      </c>
      <c r="AU9" s="2360">
        <v>46235</v>
      </c>
      <c r="AV9" s="2360">
        <v>46266</v>
      </c>
      <c r="AW9" s="2360">
        <v>46296</v>
      </c>
      <c r="AX9" s="2360">
        <v>46327</v>
      </c>
      <c r="AY9" s="2360">
        <v>46357</v>
      </c>
      <c r="AZ9" s="2360">
        <v>46388</v>
      </c>
      <c r="BA9" s="2360">
        <v>46419</v>
      </c>
      <c r="BB9" s="2360">
        <v>46447</v>
      </c>
      <c r="BC9" s="2360">
        <v>46478</v>
      </c>
      <c r="BD9" s="2360">
        <v>46508</v>
      </c>
      <c r="BE9" s="2360">
        <v>46539</v>
      </c>
      <c r="BF9" s="2360">
        <v>46569</v>
      </c>
      <c r="BG9" s="2360">
        <v>46600</v>
      </c>
      <c r="BH9" s="2360">
        <v>46631</v>
      </c>
      <c r="BI9" s="2360">
        <v>46661</v>
      </c>
      <c r="BJ9" s="2360">
        <v>46692</v>
      </c>
      <c r="BK9" s="2360">
        <v>46722</v>
      </c>
      <c r="BL9" s="2360">
        <v>46753</v>
      </c>
      <c r="BM9" s="2360">
        <v>46784</v>
      </c>
      <c r="BN9" s="2360">
        <v>46813</v>
      </c>
      <c r="BO9" s="2360">
        <v>46844</v>
      </c>
      <c r="BP9" s="2360">
        <v>46874</v>
      </c>
      <c r="BQ9" s="2360">
        <v>46905</v>
      </c>
      <c r="BR9" s="2360">
        <v>46935</v>
      </c>
      <c r="BS9" s="2360">
        <v>46966</v>
      </c>
      <c r="BT9" s="2360">
        <v>46997</v>
      </c>
      <c r="BU9" s="2360">
        <v>47027</v>
      </c>
      <c r="BV9" s="2360">
        <v>47058</v>
      </c>
      <c r="BW9" s="2360">
        <v>47088</v>
      </c>
      <c r="BX9" s="2360">
        <v>47119</v>
      </c>
      <c r="BY9" s="2360">
        <v>47150</v>
      </c>
      <c r="BZ9" s="2360">
        <v>47178</v>
      </c>
      <c r="CA9" s="2360">
        <v>47209</v>
      </c>
      <c r="CB9" s="2360">
        <v>47239</v>
      </c>
      <c r="CC9" s="2360">
        <v>47270</v>
      </c>
      <c r="CD9" s="2360">
        <v>47300</v>
      </c>
      <c r="CE9" s="2360">
        <v>47331</v>
      </c>
      <c r="CF9" s="2360">
        <v>47362</v>
      </c>
      <c r="CG9" s="2360">
        <v>47392</v>
      </c>
      <c r="CH9" s="2360">
        <v>47423</v>
      </c>
      <c r="CI9" s="2360">
        <v>47453</v>
      </c>
      <c r="CJ9" s="2360">
        <v>47484</v>
      </c>
      <c r="CK9" s="2360">
        <v>47515</v>
      </c>
      <c r="CL9" s="2360">
        <v>47543</v>
      </c>
      <c r="CM9" s="2360">
        <v>47574</v>
      </c>
      <c r="CN9" s="2360">
        <v>47604</v>
      </c>
      <c r="CO9" s="2360">
        <v>47635</v>
      </c>
      <c r="CP9" s="2360">
        <v>47665</v>
      </c>
      <c r="CQ9" s="2360">
        <v>47696</v>
      </c>
      <c r="CR9" s="2360">
        <v>47727</v>
      </c>
      <c r="CS9" s="2360">
        <v>47757</v>
      </c>
      <c r="CT9" s="2360">
        <v>47788</v>
      </c>
      <c r="CU9" s="2360">
        <v>47818</v>
      </c>
      <c r="CV9" s="2360">
        <v>47849</v>
      </c>
      <c r="CW9" s="2360">
        <v>47880</v>
      </c>
      <c r="CX9" s="2360">
        <v>47908</v>
      </c>
      <c r="CY9" s="2360">
        <v>47939</v>
      </c>
      <c r="CZ9" s="2360">
        <v>47969</v>
      </c>
      <c r="DA9" s="2360">
        <v>48000</v>
      </c>
      <c r="DB9" s="2360">
        <v>48030</v>
      </c>
      <c r="DC9" s="2360">
        <v>48061</v>
      </c>
      <c r="DD9" s="2360">
        <v>48092</v>
      </c>
      <c r="DE9" s="2360">
        <v>48122</v>
      </c>
      <c r="DF9" s="2360">
        <v>48153</v>
      </c>
      <c r="DG9" s="2360">
        <v>48183</v>
      </c>
      <c r="DH9" s="2360">
        <v>48214</v>
      </c>
      <c r="DI9" s="2360">
        <v>48245</v>
      </c>
      <c r="DJ9" s="2360">
        <v>48274</v>
      </c>
      <c r="DK9" s="2360">
        <v>48305</v>
      </c>
      <c r="DL9" s="2360">
        <v>48335</v>
      </c>
      <c r="DM9" s="2360">
        <v>48366</v>
      </c>
      <c r="DN9" s="2360">
        <v>48396</v>
      </c>
      <c r="DO9" s="2360">
        <v>48427</v>
      </c>
      <c r="DP9" s="2360">
        <v>48458</v>
      </c>
      <c r="DQ9" s="2360">
        <v>48488</v>
      </c>
      <c r="DR9" s="2360">
        <v>48519</v>
      </c>
      <c r="DS9" s="2360">
        <v>48549</v>
      </c>
    </row>
    <row r="10" spans="1:123" ht="17.850000000000001" customHeight="1" x14ac:dyDescent="0.2">
      <c r="A10" s="2381" t="s">
        <v>206</v>
      </c>
      <c r="B10" s="2382" t="s">
        <v>2545</v>
      </c>
      <c r="C10" s="2382" t="s">
        <v>2546</v>
      </c>
      <c r="D10" s="2383"/>
      <c r="E10" s="2384" t="s">
        <v>1207</v>
      </c>
      <c r="F10" s="2385"/>
      <c r="G10" s="2385"/>
      <c r="H10" s="2385"/>
      <c r="I10" s="2385"/>
      <c r="J10" s="2385"/>
      <c r="K10" s="2385"/>
      <c r="L10" s="2385"/>
      <c r="M10" s="2385"/>
      <c r="N10" s="2385"/>
      <c r="O10" s="2385"/>
      <c r="P10" s="2385"/>
      <c r="Q10" s="2384"/>
      <c r="R10" s="2385"/>
      <c r="S10" s="2385"/>
      <c r="T10" s="2385"/>
      <c r="U10" s="2385"/>
      <c r="V10" s="2385"/>
      <c r="W10" s="2385"/>
      <c r="X10" s="2385"/>
      <c r="Y10" s="2385"/>
      <c r="Z10" s="2385"/>
      <c r="AA10" s="2385"/>
      <c r="AB10" s="2385"/>
      <c r="AC10" s="2386"/>
      <c r="AD10" s="2385"/>
      <c r="AE10" s="2385"/>
      <c r="AF10" s="2385"/>
      <c r="AG10" s="2385"/>
      <c r="AH10" s="2385"/>
      <c r="AI10" s="2385"/>
      <c r="AJ10" s="2385"/>
      <c r="AK10" s="2385"/>
      <c r="AL10" s="2385"/>
      <c r="AM10" s="2385"/>
      <c r="AN10" s="2385"/>
      <c r="AO10" s="2384"/>
      <c r="AP10" s="2385"/>
      <c r="AQ10" s="2385"/>
      <c r="AR10" s="2385"/>
      <c r="AS10" s="2385"/>
      <c r="AT10" s="2385"/>
      <c r="AU10" s="2385"/>
      <c r="AV10" s="2385"/>
      <c r="AW10" s="2385"/>
      <c r="AX10" s="2385"/>
      <c r="AY10" s="2385"/>
      <c r="AZ10" s="2385"/>
      <c r="BA10" s="2386"/>
      <c r="BB10" s="2385"/>
      <c r="BC10" s="2385"/>
      <c r="BD10" s="2385"/>
      <c r="BE10" s="2385"/>
      <c r="BF10" s="2385"/>
      <c r="BG10" s="2385"/>
      <c r="BH10" s="2385"/>
      <c r="BI10" s="2385"/>
      <c r="BJ10" s="2385"/>
      <c r="BK10" s="2385"/>
      <c r="BL10" s="2385"/>
      <c r="BM10" s="2385"/>
      <c r="BN10" s="2385"/>
      <c r="BO10" s="2385"/>
      <c r="BP10" s="2385"/>
      <c r="BQ10" s="2385"/>
      <c r="BR10" s="2385"/>
      <c r="BS10" s="2385"/>
      <c r="BT10" s="2385"/>
      <c r="BU10" s="2385"/>
      <c r="BV10" s="2385"/>
      <c r="BW10" s="2385"/>
      <c r="BX10" s="2385"/>
      <c r="BY10" s="2385"/>
      <c r="BZ10" s="2385"/>
      <c r="CA10" s="2385"/>
      <c r="CB10" s="2385"/>
      <c r="CC10" s="2385"/>
      <c r="CD10" s="2385"/>
      <c r="CE10" s="2385"/>
      <c r="CF10" s="2385"/>
      <c r="CG10" s="2385"/>
      <c r="CH10" s="2385"/>
      <c r="CI10" s="2385"/>
      <c r="CJ10" s="2385"/>
      <c r="CK10" s="2385"/>
      <c r="CL10" s="2385"/>
      <c r="CM10" s="2385"/>
      <c r="CN10" s="2385"/>
      <c r="CO10" s="2385"/>
      <c r="CP10" s="2385"/>
      <c r="CQ10" s="2385"/>
      <c r="CR10" s="2385"/>
      <c r="CS10" s="2385"/>
      <c r="CT10" s="2385"/>
      <c r="CU10" s="2385"/>
      <c r="CV10" s="2385"/>
      <c r="CW10" s="2385"/>
      <c r="CX10" s="2385"/>
      <c r="CY10" s="2385"/>
      <c r="CZ10" s="2385"/>
      <c r="DA10" s="2385"/>
      <c r="DB10" s="2385"/>
      <c r="DC10" s="2385"/>
      <c r="DD10" s="2385"/>
      <c r="DE10" s="2385"/>
      <c r="DF10" s="2385"/>
      <c r="DG10" s="2385"/>
      <c r="DH10" s="2385"/>
      <c r="DI10" s="2385"/>
      <c r="DJ10" s="2385"/>
      <c r="DK10" s="2385"/>
      <c r="DL10" s="2387"/>
      <c r="DM10" s="2385"/>
      <c r="DN10" s="2387"/>
      <c r="DO10" s="2385"/>
      <c r="DP10" s="2387"/>
      <c r="DQ10" s="2385"/>
      <c r="DR10" s="2387"/>
      <c r="DS10" s="2388"/>
    </row>
    <row r="11" spans="1:123" ht="5.0999999999999996" customHeight="1" x14ac:dyDescent="0.2">
      <c r="A11" s="2389"/>
      <c r="B11" s="2390"/>
      <c r="C11" s="2390"/>
      <c r="D11" s="2391"/>
      <c r="E11" s="2392"/>
      <c r="F11" s="2391"/>
      <c r="G11" s="2391"/>
      <c r="H11" s="2391"/>
      <c r="I11" s="2391"/>
      <c r="J11" s="2391"/>
      <c r="K11" s="2391"/>
      <c r="L11" s="2391"/>
      <c r="M11" s="2391"/>
      <c r="N11" s="2391"/>
      <c r="O11" s="2391"/>
      <c r="P11" s="2391"/>
      <c r="Q11" s="2392"/>
      <c r="R11" s="2391"/>
      <c r="S11" s="2391"/>
      <c r="T11" s="2391"/>
      <c r="U11" s="2391"/>
      <c r="V11" s="2391"/>
      <c r="W11" s="2391"/>
      <c r="X11" s="2391"/>
      <c r="Y11" s="2391"/>
      <c r="Z11" s="2391"/>
      <c r="AA11" s="2391"/>
      <c r="AB11" s="2391"/>
      <c r="AC11" s="2393"/>
      <c r="AD11" s="2391"/>
      <c r="AE11" s="2391"/>
      <c r="AF11" s="2391"/>
      <c r="AG11" s="2391"/>
      <c r="AH11" s="2391"/>
      <c r="AI11" s="2391"/>
      <c r="AJ11" s="2391"/>
      <c r="AK11" s="2391"/>
      <c r="AL11" s="2391"/>
      <c r="AM11" s="2391"/>
      <c r="AN11" s="2391"/>
      <c r="AO11" s="2392"/>
      <c r="AP11" s="2391"/>
      <c r="AQ11" s="2391"/>
      <c r="AR11" s="2391"/>
      <c r="AS11" s="2391"/>
      <c r="AT11" s="2391"/>
      <c r="AU11" s="2391"/>
      <c r="AV11" s="2391"/>
      <c r="AW11" s="2391"/>
      <c r="AX11" s="2391"/>
      <c r="AY11" s="2391"/>
      <c r="AZ11" s="2391"/>
      <c r="BA11" s="2393"/>
      <c r="BB11" s="2391"/>
      <c r="BC11" s="2391"/>
      <c r="BD11" s="2391"/>
      <c r="BE11" s="2391"/>
      <c r="BF11" s="2391"/>
      <c r="BG11" s="2391"/>
      <c r="BH11" s="2391"/>
      <c r="BI11" s="2391"/>
      <c r="BJ11" s="2391"/>
      <c r="BK11" s="2391"/>
      <c r="BL11" s="2391"/>
      <c r="BM11" s="2391"/>
      <c r="BN11" s="2391"/>
      <c r="BO11" s="2391"/>
      <c r="BP11" s="2391"/>
      <c r="BQ11" s="2391"/>
      <c r="BR11" s="2391"/>
      <c r="BS11" s="2391"/>
      <c r="BT11" s="2391"/>
      <c r="BU11" s="2391"/>
      <c r="BV11" s="2391"/>
      <c r="BW11" s="2391"/>
      <c r="BX11" s="2391"/>
      <c r="BY11" s="2391"/>
      <c r="BZ11" s="2391"/>
      <c r="CA11" s="2391"/>
      <c r="CB11" s="2391"/>
      <c r="CC11" s="2391"/>
      <c r="CD11" s="2391"/>
      <c r="CE11" s="2391"/>
      <c r="CF11" s="2391"/>
      <c r="CG11" s="2391"/>
      <c r="CH11" s="2391"/>
      <c r="CI11" s="2391"/>
      <c r="CJ11" s="2391"/>
      <c r="CK11" s="2391"/>
      <c r="CL11" s="2391"/>
      <c r="CM11" s="2391"/>
      <c r="CN11" s="2391"/>
      <c r="CO11" s="2391"/>
      <c r="CP11" s="2391"/>
      <c r="CQ11" s="2391"/>
      <c r="CR11" s="2391"/>
      <c r="CS11" s="2391"/>
      <c r="CT11" s="2391"/>
      <c r="CU11" s="2391"/>
      <c r="CV11" s="2391"/>
      <c r="CW11" s="2391"/>
      <c r="CX11" s="2391"/>
      <c r="CY11" s="2391"/>
      <c r="CZ11" s="2391"/>
      <c r="DA11" s="2391"/>
      <c r="DB11" s="2391"/>
      <c r="DC11" s="2391"/>
      <c r="DD11" s="2391"/>
      <c r="DE11" s="2391"/>
      <c r="DF11" s="2391"/>
      <c r="DG11" s="2391"/>
      <c r="DH11" s="2391"/>
      <c r="DI11" s="2391"/>
      <c r="DJ11" s="2391"/>
      <c r="DK11" s="2391"/>
      <c r="DL11" s="2394"/>
      <c r="DM11" s="2391"/>
      <c r="DN11" s="2394"/>
      <c r="DO11" s="2391"/>
      <c r="DP11" s="2394"/>
      <c r="DQ11" s="2391"/>
      <c r="DR11" s="2394"/>
      <c r="DS11" s="2395"/>
    </row>
    <row r="12" spans="1:123" x14ac:dyDescent="0.2">
      <c r="A12" s="2396" t="s">
        <v>1208</v>
      </c>
      <c r="B12" s="2397">
        <f>'Data Input sheet'!D189</f>
        <v>45453</v>
      </c>
      <c r="C12" s="2398">
        <f>'Data Input sheet'!G189</f>
        <v>46661</v>
      </c>
      <c r="D12" s="2357"/>
      <c r="E12" s="2357"/>
      <c r="F12" s="2357"/>
      <c r="G12" s="2357"/>
      <c r="H12" s="2357"/>
      <c r="I12" s="2357"/>
      <c r="J12" s="2357"/>
      <c r="K12" s="2357"/>
      <c r="L12" s="2357"/>
      <c r="M12" s="2357"/>
      <c r="N12" s="2357"/>
      <c r="O12" s="2357"/>
      <c r="P12" s="2357"/>
      <c r="Q12" s="2357"/>
      <c r="R12" s="2357"/>
      <c r="S12" s="2357"/>
      <c r="T12" s="2357"/>
      <c r="U12" s="2357"/>
      <c r="V12" s="2357"/>
      <c r="W12" s="2357"/>
      <c r="X12" s="2357"/>
      <c r="Y12" s="2357"/>
      <c r="Z12" s="2357"/>
      <c r="AA12" s="2357"/>
      <c r="AB12" s="2357"/>
      <c r="AC12" s="2357"/>
      <c r="AD12" s="2357"/>
      <c r="DS12" s="2399"/>
    </row>
    <row r="13" spans="1:123" ht="5.0999999999999996" customHeight="1" x14ac:dyDescent="0.2">
      <c r="A13" s="2400"/>
      <c r="B13" s="2401"/>
      <c r="C13" s="2402"/>
      <c r="D13" s="2403"/>
      <c r="E13" s="2403"/>
      <c r="F13" s="2403"/>
      <c r="G13" s="2403"/>
      <c r="H13" s="2403"/>
      <c r="I13" s="2403"/>
      <c r="J13" s="2403"/>
      <c r="K13" s="2403"/>
      <c r="L13" s="2403"/>
      <c r="M13" s="2403"/>
      <c r="N13" s="2403"/>
      <c r="O13" s="2403"/>
      <c r="P13" s="2403"/>
      <c r="Q13" s="2403"/>
      <c r="R13" s="2403"/>
      <c r="S13" s="2403"/>
      <c r="T13" s="2403"/>
      <c r="U13" s="2403"/>
      <c r="V13" s="2403"/>
      <c r="W13" s="2403"/>
      <c r="X13" s="2403"/>
      <c r="Y13" s="2403"/>
      <c r="Z13" s="2403"/>
      <c r="AA13" s="2403"/>
      <c r="AB13" s="2403"/>
      <c r="AC13" s="2403"/>
      <c r="AD13" s="2403"/>
      <c r="DS13" s="2399"/>
    </row>
    <row r="14" spans="1:123" s="1043" customFormat="1" ht="14.1" customHeight="1" x14ac:dyDescent="0.25">
      <c r="A14" s="2404"/>
      <c r="B14" s="2405"/>
      <c r="C14" s="2406"/>
      <c r="D14" s="2407"/>
      <c r="E14" s="2408" t="s">
        <v>391</v>
      </c>
      <c r="F14" s="2407"/>
      <c r="G14" s="2407"/>
      <c r="H14" s="2407"/>
      <c r="I14" s="2407"/>
      <c r="J14" s="2407"/>
      <c r="K14" s="2407"/>
      <c r="L14" s="2407"/>
      <c r="M14" s="2407"/>
      <c r="N14" s="2407"/>
      <c r="O14" s="2407"/>
      <c r="P14" s="2407"/>
      <c r="Q14" s="2408"/>
      <c r="R14" s="2407"/>
      <c r="S14" s="2407"/>
      <c r="T14" s="2407"/>
      <c r="U14" s="2407"/>
      <c r="V14" s="2407"/>
      <c r="W14" s="2407"/>
      <c r="X14" s="2407"/>
      <c r="Y14" s="2407"/>
      <c r="Z14" s="2407"/>
      <c r="AA14" s="2407"/>
      <c r="AB14" s="2407"/>
      <c r="AC14" s="2409"/>
      <c r="AD14" s="2407"/>
      <c r="AE14" s="2407"/>
      <c r="AF14" s="2407"/>
      <c r="AG14" s="2407"/>
      <c r="AH14" s="2407"/>
      <c r="AI14" s="2407"/>
      <c r="AJ14" s="2407"/>
      <c r="AK14" s="2407"/>
      <c r="AL14" s="2407"/>
      <c r="AM14" s="2407"/>
      <c r="AN14" s="2407"/>
      <c r="AO14" s="2408"/>
      <c r="AP14" s="2407"/>
      <c r="AQ14" s="2407"/>
      <c r="AR14" s="2407"/>
      <c r="AS14" s="2407"/>
      <c r="AT14" s="2407"/>
      <c r="AU14" s="2407"/>
      <c r="AV14" s="2407"/>
      <c r="AW14" s="2407"/>
      <c r="AX14" s="2407"/>
      <c r="AY14" s="2407"/>
      <c r="AZ14" s="2407"/>
      <c r="BA14" s="2409"/>
      <c r="BB14" s="2407"/>
      <c r="BC14" s="2407"/>
      <c r="BD14" s="2407"/>
      <c r="BE14" s="2407"/>
      <c r="BF14" s="2407"/>
      <c r="BG14" s="2407"/>
      <c r="BH14" s="2407"/>
      <c r="BI14" s="2407"/>
      <c r="BJ14" s="2407"/>
      <c r="BK14" s="2407"/>
      <c r="BL14" s="2407"/>
      <c r="BM14" s="2407"/>
      <c r="BN14" s="2407"/>
      <c r="BO14" s="2407"/>
      <c r="BP14" s="2407"/>
      <c r="BQ14" s="2407"/>
      <c r="BR14" s="2407"/>
      <c r="BS14" s="2407"/>
      <c r="BT14" s="2407"/>
      <c r="BU14" s="2407"/>
      <c r="BV14" s="2407"/>
      <c r="BW14" s="2407"/>
      <c r="BX14" s="2407"/>
      <c r="BY14" s="2407"/>
      <c r="BZ14" s="2407"/>
      <c r="CA14" s="2407"/>
      <c r="CB14" s="2407"/>
      <c r="CC14" s="2407"/>
      <c r="CD14" s="2407"/>
      <c r="CE14" s="2407"/>
      <c r="CF14" s="2407"/>
      <c r="CG14" s="2407"/>
      <c r="CH14" s="2407"/>
      <c r="CI14" s="2407"/>
      <c r="CJ14" s="2407"/>
      <c r="CK14" s="2407"/>
      <c r="CL14" s="2407"/>
      <c r="CM14" s="2407"/>
      <c r="CN14" s="2407"/>
      <c r="CO14" s="2407"/>
      <c r="CP14" s="2407"/>
      <c r="CQ14" s="2407"/>
      <c r="CR14" s="2407"/>
      <c r="CS14" s="2407"/>
      <c r="CT14" s="2407"/>
      <c r="CU14" s="2407"/>
      <c r="CV14" s="2407"/>
      <c r="CW14" s="2407"/>
      <c r="CX14" s="2407"/>
      <c r="CY14" s="2407"/>
      <c r="CZ14" s="2407"/>
      <c r="DA14" s="2407"/>
      <c r="DB14" s="2407"/>
      <c r="DC14" s="2407"/>
      <c r="DD14" s="2407"/>
      <c r="DE14" s="2407"/>
      <c r="DF14" s="2407"/>
      <c r="DG14" s="2407"/>
      <c r="DH14" s="2407"/>
      <c r="DI14" s="2407"/>
      <c r="DJ14" s="2407"/>
      <c r="DK14" s="2407"/>
      <c r="DL14" s="2410"/>
      <c r="DM14" s="2407"/>
      <c r="DN14" s="2410"/>
      <c r="DO14" s="2407"/>
      <c r="DP14" s="2410"/>
      <c r="DQ14" s="2407"/>
      <c r="DR14" s="2410"/>
      <c r="DS14" s="2411"/>
    </row>
    <row r="15" spans="1:123" ht="5.0999999999999996" customHeight="1" x14ac:dyDescent="0.2">
      <c r="A15" s="2412"/>
      <c r="B15" s="2390"/>
      <c r="C15" s="2413"/>
      <c r="D15" s="2391"/>
      <c r="E15" s="2392"/>
      <c r="F15" s="2391"/>
      <c r="G15" s="2391"/>
      <c r="H15" s="2391"/>
      <c r="I15" s="2391"/>
      <c r="J15" s="2391"/>
      <c r="K15" s="2391"/>
      <c r="L15" s="2391"/>
      <c r="M15" s="2391"/>
      <c r="N15" s="2391"/>
      <c r="O15" s="2391"/>
      <c r="P15" s="2391"/>
      <c r="Q15" s="2392"/>
      <c r="R15" s="2391"/>
      <c r="S15" s="2391"/>
      <c r="T15" s="2391"/>
      <c r="U15" s="2391"/>
      <c r="V15" s="2391"/>
      <c r="W15" s="2391"/>
      <c r="X15" s="2391"/>
      <c r="Y15" s="2391"/>
      <c r="Z15" s="2391"/>
      <c r="AA15" s="2391"/>
      <c r="AB15" s="2391"/>
      <c r="AC15" s="2393"/>
      <c r="AD15" s="2391"/>
      <c r="AE15" s="2391"/>
      <c r="AF15" s="2391"/>
      <c r="AG15" s="2391"/>
      <c r="AH15" s="2391"/>
      <c r="AI15" s="2391"/>
      <c r="AJ15" s="2391"/>
      <c r="AK15" s="2391"/>
      <c r="AL15" s="2391"/>
      <c r="AM15" s="2391"/>
      <c r="AN15" s="2391"/>
      <c r="AO15" s="2392"/>
      <c r="AP15" s="2391"/>
      <c r="AQ15" s="2391"/>
      <c r="AR15" s="2391"/>
      <c r="AS15" s="2391"/>
      <c r="AT15" s="2391"/>
      <c r="AU15" s="2391"/>
      <c r="AV15" s="2391"/>
      <c r="AW15" s="2391"/>
      <c r="AX15" s="2391"/>
      <c r="AY15" s="2391"/>
      <c r="AZ15" s="2391"/>
      <c r="BA15" s="2393"/>
      <c r="BB15" s="2391"/>
      <c r="BC15" s="2391"/>
      <c r="BD15" s="2391"/>
      <c r="BE15" s="2391"/>
      <c r="BF15" s="2391"/>
      <c r="BG15" s="2391"/>
      <c r="BH15" s="2391"/>
      <c r="BI15" s="2391"/>
      <c r="BJ15" s="2391"/>
      <c r="BK15" s="2391"/>
      <c r="BL15" s="2391"/>
      <c r="BM15" s="2391"/>
      <c r="BN15" s="2391"/>
      <c r="BO15" s="2391"/>
      <c r="BP15" s="2391"/>
      <c r="BQ15" s="2391"/>
      <c r="BR15" s="2391"/>
      <c r="BS15" s="2391"/>
      <c r="BT15" s="2391"/>
      <c r="BU15" s="2391"/>
      <c r="BV15" s="2391"/>
      <c r="BW15" s="2391"/>
      <c r="BX15" s="2391"/>
      <c r="BY15" s="2391"/>
      <c r="BZ15" s="2391"/>
      <c r="CA15" s="2391"/>
      <c r="CB15" s="2391"/>
      <c r="CC15" s="2391"/>
      <c r="CD15" s="2391"/>
      <c r="CE15" s="2391"/>
      <c r="CF15" s="2391"/>
      <c r="CG15" s="2391"/>
      <c r="CH15" s="2391"/>
      <c r="CI15" s="2391"/>
      <c r="CJ15" s="2391"/>
      <c r="CK15" s="2391"/>
      <c r="CL15" s="2391"/>
      <c r="CM15" s="2391"/>
      <c r="CN15" s="2391"/>
      <c r="CO15" s="2391"/>
      <c r="CP15" s="2391"/>
      <c r="CQ15" s="2391"/>
      <c r="CR15" s="2391"/>
      <c r="CS15" s="2391"/>
      <c r="CT15" s="2391"/>
      <c r="CU15" s="2391"/>
      <c r="CV15" s="2391"/>
      <c r="CW15" s="2391"/>
      <c r="CX15" s="2391"/>
      <c r="CY15" s="2391"/>
      <c r="CZ15" s="2391"/>
      <c r="DA15" s="2391"/>
      <c r="DB15" s="2391"/>
      <c r="DC15" s="2391"/>
      <c r="DD15" s="2391"/>
      <c r="DE15" s="2391"/>
      <c r="DF15" s="2391"/>
      <c r="DG15" s="2391"/>
      <c r="DH15" s="2391"/>
      <c r="DI15" s="2391"/>
      <c r="DJ15" s="2391"/>
      <c r="DK15" s="2391"/>
      <c r="DL15" s="2394"/>
      <c r="DM15" s="2391"/>
      <c r="DN15" s="2394"/>
      <c r="DO15" s="2391"/>
      <c r="DP15" s="2394"/>
      <c r="DQ15" s="2391"/>
      <c r="DR15" s="2394"/>
      <c r="DS15" s="2395"/>
    </row>
    <row r="16" spans="1:123" x14ac:dyDescent="0.2">
      <c r="A16" s="2414" t="s">
        <v>1209</v>
      </c>
      <c r="B16" s="2355">
        <f>'Data Input sheet'!D190</f>
        <v>44773</v>
      </c>
      <c r="C16" s="2415">
        <f>'Data Input sheet'!G190</f>
        <v>45862</v>
      </c>
      <c r="D16" s="2357"/>
      <c r="E16" s="2357"/>
      <c r="F16" s="2357"/>
      <c r="G16" s="2357"/>
      <c r="H16" s="2357"/>
      <c r="I16" s="2357"/>
      <c r="J16" s="2357"/>
      <c r="K16" s="2357"/>
      <c r="L16" s="2357"/>
      <c r="M16" s="2357"/>
      <c r="N16" s="2357"/>
      <c r="O16" s="2357"/>
      <c r="P16" s="2357"/>
      <c r="Q16" s="2357"/>
      <c r="R16" s="2357"/>
      <c r="S16" s="2357"/>
      <c r="T16" s="2357"/>
      <c r="U16" s="2357"/>
      <c r="V16" s="2357"/>
      <c r="W16" s="2357"/>
      <c r="X16" s="2357"/>
      <c r="Y16" s="2357"/>
      <c r="Z16" s="2357"/>
      <c r="AA16" s="2357"/>
      <c r="AB16" s="2357"/>
      <c r="AC16" s="2357"/>
      <c r="AD16" s="2357"/>
      <c r="AE16" s="2357"/>
      <c r="AF16" s="2357"/>
      <c r="AG16" s="2357"/>
      <c r="AH16" s="2357"/>
      <c r="AI16" s="2357"/>
      <c r="AJ16" s="2357"/>
      <c r="AK16" s="2357"/>
      <c r="AL16" s="2357"/>
      <c r="AM16" s="2357"/>
      <c r="AN16" s="2357"/>
      <c r="AO16" s="2357"/>
      <c r="AP16" s="2357"/>
      <c r="AQ16" s="2357"/>
      <c r="AR16" s="2357"/>
      <c r="AS16" s="2357"/>
      <c r="AT16" s="2357"/>
      <c r="AU16" s="2357"/>
      <c r="AV16" s="2357"/>
      <c r="AW16" s="2357"/>
      <c r="AX16" s="2357"/>
      <c r="AY16" s="2357"/>
      <c r="AZ16" s="2357"/>
      <c r="BA16" s="2357"/>
      <c r="BB16" s="2357"/>
      <c r="BC16" s="2357"/>
      <c r="BD16" s="2357"/>
      <c r="BE16" s="2357"/>
      <c r="BF16" s="2357"/>
      <c r="BG16" s="2357"/>
      <c r="BH16" s="2357"/>
      <c r="BI16" s="2357"/>
      <c r="BJ16" s="2357"/>
      <c r="BK16" s="2357"/>
      <c r="BL16" s="2357"/>
      <c r="BM16" s="2357"/>
      <c r="BN16" s="2357"/>
      <c r="BO16" s="2357"/>
      <c r="BP16" s="2357"/>
      <c r="BQ16" s="2357"/>
      <c r="BR16" s="2357"/>
      <c r="BS16" s="2357"/>
      <c r="BT16" s="2357"/>
      <c r="BU16" s="2357"/>
      <c r="BV16" s="2357"/>
      <c r="BW16" s="2357"/>
      <c r="BX16" s="2357"/>
      <c r="BY16" s="2357"/>
      <c r="BZ16" s="2357"/>
      <c r="CA16" s="2357"/>
      <c r="CB16" s="2357"/>
      <c r="CC16" s="2357"/>
      <c r="CD16" s="2357"/>
      <c r="CE16" s="2357"/>
      <c r="CF16" s="2357"/>
      <c r="CG16" s="2357"/>
      <c r="CH16" s="2357"/>
      <c r="CI16" s="2357"/>
      <c r="CJ16" s="2357"/>
      <c r="CK16" s="2357"/>
      <c r="CL16" s="2357"/>
      <c r="CM16" s="2357"/>
      <c r="CN16" s="2357"/>
      <c r="CO16" s="2357"/>
      <c r="CP16" s="2357"/>
      <c r="CQ16" s="2357"/>
      <c r="CR16" s="2357"/>
      <c r="CS16" s="2357"/>
      <c r="CT16" s="2357"/>
      <c r="CU16" s="2357"/>
      <c r="CV16" s="2357"/>
      <c r="CW16" s="2357"/>
      <c r="CX16" s="2357"/>
      <c r="CY16" s="2357"/>
      <c r="CZ16" s="2357"/>
      <c r="DA16" s="2357"/>
      <c r="DB16" s="2357"/>
      <c r="DC16" s="2357"/>
      <c r="DD16" s="2357"/>
      <c r="DE16" s="2357"/>
      <c r="DF16" s="2357"/>
      <c r="DG16" s="2357"/>
      <c r="DH16" s="2357"/>
      <c r="DI16" s="2357"/>
      <c r="DJ16" s="2357"/>
      <c r="DK16" s="2357"/>
      <c r="DL16" s="2357"/>
      <c r="DM16" s="2357"/>
      <c r="DN16" s="2357"/>
      <c r="DO16" s="2357"/>
      <c r="DP16" s="2357"/>
      <c r="DQ16" s="2357"/>
      <c r="DR16" s="2357"/>
      <c r="DS16" s="2361"/>
    </row>
    <row r="17" spans="1:123" ht="5.0999999999999996" customHeight="1" x14ac:dyDescent="0.2">
      <c r="A17" s="2414"/>
      <c r="B17" s="2355"/>
      <c r="C17" s="2415"/>
      <c r="D17" s="2357"/>
      <c r="E17" s="2357"/>
      <c r="F17" s="2357"/>
      <c r="G17" s="2357"/>
      <c r="H17" s="2357"/>
      <c r="I17" s="2357"/>
      <c r="J17" s="2357"/>
      <c r="K17" s="2357"/>
      <c r="L17" s="2357"/>
      <c r="M17" s="2357"/>
      <c r="N17" s="2357"/>
      <c r="O17" s="2357"/>
      <c r="P17" s="2357"/>
      <c r="Q17" s="2357"/>
      <c r="R17" s="2357"/>
      <c r="S17" s="2357"/>
      <c r="T17" s="2357"/>
      <c r="U17" s="2357"/>
      <c r="V17" s="2357"/>
      <c r="W17" s="2357"/>
      <c r="X17" s="2357"/>
      <c r="Y17" s="2357"/>
      <c r="Z17" s="2357"/>
      <c r="AA17" s="2357"/>
      <c r="AB17" s="2357"/>
      <c r="AC17" s="2357"/>
      <c r="AD17" s="2357"/>
      <c r="DS17" s="2399"/>
    </row>
    <row r="18" spans="1:123" s="1043" customFormat="1" ht="14.1" customHeight="1" x14ac:dyDescent="0.25">
      <c r="A18" s="2404"/>
      <c r="B18" s="2405"/>
      <c r="C18" s="2406"/>
      <c r="D18" s="2407"/>
      <c r="E18" s="2408" t="s">
        <v>38</v>
      </c>
      <c r="F18" s="2407"/>
      <c r="G18" s="2407"/>
      <c r="H18" s="2407"/>
      <c r="I18" s="2407"/>
      <c r="J18" s="2407"/>
      <c r="K18" s="2407"/>
      <c r="L18" s="2407"/>
      <c r="M18" s="2407"/>
      <c r="N18" s="2407"/>
      <c r="O18" s="2407"/>
      <c r="P18" s="2407"/>
      <c r="Q18" s="2408"/>
      <c r="R18" s="2407"/>
      <c r="S18" s="2407"/>
      <c r="T18" s="2407"/>
      <c r="U18" s="2407"/>
      <c r="V18" s="2407"/>
      <c r="W18" s="2407"/>
      <c r="X18" s="2407"/>
      <c r="Y18" s="2407"/>
      <c r="Z18" s="2407"/>
      <c r="AA18" s="2407"/>
      <c r="AB18" s="2407"/>
      <c r="AC18" s="2409"/>
      <c r="AD18" s="2407"/>
      <c r="AE18" s="2407"/>
      <c r="AF18" s="2407"/>
      <c r="AG18" s="2407"/>
      <c r="AH18" s="2407"/>
      <c r="AI18" s="2407"/>
      <c r="AJ18" s="2407"/>
      <c r="AK18" s="2407"/>
      <c r="AL18" s="2407"/>
      <c r="AM18" s="2407"/>
      <c r="AN18" s="2407"/>
      <c r="AO18" s="2408"/>
      <c r="AP18" s="2407"/>
      <c r="AQ18" s="2407"/>
      <c r="AR18" s="2407"/>
      <c r="AS18" s="2407"/>
      <c r="AT18" s="2407"/>
      <c r="AU18" s="2407"/>
      <c r="AV18" s="2407"/>
      <c r="AW18" s="2407"/>
      <c r="AX18" s="2407"/>
      <c r="AY18" s="2407"/>
      <c r="AZ18" s="2407"/>
      <c r="BA18" s="2409"/>
      <c r="BB18" s="2407"/>
      <c r="BC18" s="2407"/>
      <c r="BD18" s="2407"/>
      <c r="BE18" s="2407"/>
      <c r="BF18" s="2407"/>
      <c r="BG18" s="2407"/>
      <c r="BH18" s="2407"/>
      <c r="BI18" s="2407"/>
      <c r="BJ18" s="2407"/>
      <c r="BK18" s="2407"/>
      <c r="BL18" s="2407"/>
      <c r="BM18" s="2407"/>
      <c r="BN18" s="2407"/>
      <c r="BO18" s="2407"/>
      <c r="BP18" s="2407"/>
      <c r="BQ18" s="2407"/>
      <c r="BR18" s="2407"/>
      <c r="BS18" s="2407"/>
      <c r="BT18" s="2407"/>
      <c r="BU18" s="2407"/>
      <c r="BV18" s="2407"/>
      <c r="BW18" s="2407"/>
      <c r="BX18" s="2407"/>
      <c r="BY18" s="2407"/>
      <c r="BZ18" s="2407"/>
      <c r="CA18" s="2407"/>
      <c r="CB18" s="2407"/>
      <c r="CC18" s="2407"/>
      <c r="CD18" s="2407"/>
      <c r="CE18" s="2407"/>
      <c r="CF18" s="2407"/>
      <c r="CG18" s="2407"/>
      <c r="CH18" s="2407"/>
      <c r="CI18" s="2407"/>
      <c r="CJ18" s="2407"/>
      <c r="CK18" s="2407"/>
      <c r="CL18" s="2407"/>
      <c r="CM18" s="2407"/>
      <c r="CN18" s="2407"/>
      <c r="CO18" s="2407"/>
      <c r="CP18" s="2407"/>
      <c r="CQ18" s="2407"/>
      <c r="CR18" s="2407"/>
      <c r="CS18" s="2407"/>
      <c r="CT18" s="2407"/>
      <c r="CU18" s="2407"/>
      <c r="CV18" s="2407"/>
      <c r="CW18" s="2407"/>
      <c r="CX18" s="2407"/>
      <c r="CY18" s="2407"/>
      <c r="CZ18" s="2407"/>
      <c r="DA18" s="2407"/>
      <c r="DB18" s="2407"/>
      <c r="DC18" s="2407"/>
      <c r="DD18" s="2407"/>
      <c r="DE18" s="2407"/>
      <c r="DF18" s="2407"/>
      <c r="DG18" s="2407"/>
      <c r="DH18" s="2407"/>
      <c r="DI18" s="2407"/>
      <c r="DJ18" s="2407"/>
      <c r="DK18" s="2407"/>
      <c r="DL18" s="2410"/>
      <c r="DM18" s="2407"/>
      <c r="DN18" s="2410"/>
      <c r="DO18" s="2407"/>
      <c r="DP18" s="2410"/>
      <c r="DQ18" s="2407"/>
      <c r="DR18" s="2410"/>
      <c r="DS18" s="2411"/>
    </row>
    <row r="19" spans="1:123" ht="5.0999999999999996" customHeight="1" x14ac:dyDescent="0.2">
      <c r="A19" s="2412"/>
      <c r="B19" s="2390"/>
      <c r="C19" s="2413"/>
      <c r="D19" s="2391"/>
      <c r="E19" s="2392"/>
      <c r="F19" s="2391"/>
      <c r="G19" s="2391"/>
      <c r="H19" s="2391"/>
      <c r="I19" s="2391"/>
      <c r="J19" s="2391"/>
      <c r="K19" s="2391"/>
      <c r="L19" s="2391"/>
      <c r="M19" s="2391"/>
      <c r="N19" s="2391"/>
      <c r="O19" s="2391"/>
      <c r="P19" s="2391"/>
      <c r="Q19" s="2392"/>
      <c r="R19" s="2391"/>
      <c r="S19" s="2391"/>
      <c r="T19" s="2391"/>
      <c r="U19" s="2391"/>
      <c r="V19" s="2391"/>
      <c r="W19" s="2391"/>
      <c r="X19" s="2391"/>
      <c r="Y19" s="2391"/>
      <c r="Z19" s="2391"/>
      <c r="AA19" s="2391"/>
      <c r="AB19" s="2391"/>
      <c r="AC19" s="2393"/>
      <c r="AD19" s="2391"/>
      <c r="AE19" s="2391"/>
      <c r="AF19" s="2391"/>
      <c r="AG19" s="2391"/>
      <c r="AH19" s="2391"/>
      <c r="AI19" s="2391"/>
      <c r="AJ19" s="2391"/>
      <c r="AK19" s="2391"/>
      <c r="AL19" s="2391"/>
      <c r="AM19" s="2391"/>
      <c r="AN19" s="2391"/>
      <c r="AO19" s="2392"/>
      <c r="AP19" s="2391"/>
      <c r="AQ19" s="2391"/>
      <c r="AR19" s="2391"/>
      <c r="AS19" s="2391"/>
      <c r="AT19" s="2391"/>
      <c r="AU19" s="2391"/>
      <c r="AV19" s="2391"/>
      <c r="AW19" s="2391"/>
      <c r="AX19" s="2391"/>
      <c r="AY19" s="2391"/>
      <c r="AZ19" s="2391"/>
      <c r="BA19" s="2393"/>
      <c r="BB19" s="2391"/>
      <c r="BC19" s="2391"/>
      <c r="BD19" s="2391"/>
      <c r="BE19" s="2391"/>
      <c r="BF19" s="2391"/>
      <c r="BG19" s="2391"/>
      <c r="BH19" s="2391"/>
      <c r="BI19" s="2391"/>
      <c r="BJ19" s="2391"/>
      <c r="BK19" s="2391"/>
      <c r="BL19" s="2391"/>
      <c r="BM19" s="2391"/>
      <c r="BN19" s="2391"/>
      <c r="BO19" s="2391"/>
      <c r="BP19" s="2391"/>
      <c r="BQ19" s="2391"/>
      <c r="BR19" s="2391"/>
      <c r="BS19" s="2391"/>
      <c r="BT19" s="2391"/>
      <c r="BU19" s="2391"/>
      <c r="BV19" s="2391"/>
      <c r="BW19" s="2391"/>
      <c r="BX19" s="2391"/>
      <c r="BY19" s="2391"/>
      <c r="BZ19" s="2391"/>
      <c r="CA19" s="2391"/>
      <c r="CB19" s="2391"/>
      <c r="CC19" s="2391"/>
      <c r="CD19" s="2391"/>
      <c r="CE19" s="2391"/>
      <c r="CF19" s="2391"/>
      <c r="CG19" s="2391"/>
      <c r="CH19" s="2391"/>
      <c r="CI19" s="2391"/>
      <c r="CJ19" s="2391"/>
      <c r="CK19" s="2391"/>
      <c r="CL19" s="2391"/>
      <c r="CM19" s="2391"/>
      <c r="CN19" s="2391"/>
      <c r="CO19" s="2391"/>
      <c r="CP19" s="2391"/>
      <c r="CQ19" s="2391"/>
      <c r="CR19" s="2391"/>
      <c r="CS19" s="2391"/>
      <c r="CT19" s="2391"/>
      <c r="CU19" s="2391"/>
      <c r="CV19" s="2391"/>
      <c r="CW19" s="2391"/>
      <c r="CX19" s="2391"/>
      <c r="CY19" s="2391"/>
      <c r="CZ19" s="2391"/>
      <c r="DA19" s="2391"/>
      <c r="DB19" s="2391"/>
      <c r="DC19" s="2391"/>
      <c r="DD19" s="2391"/>
      <c r="DE19" s="2391"/>
      <c r="DF19" s="2391"/>
      <c r="DG19" s="2391"/>
      <c r="DH19" s="2391"/>
      <c r="DI19" s="2391"/>
      <c r="DJ19" s="2391"/>
      <c r="DK19" s="2391"/>
      <c r="DL19" s="2394"/>
      <c r="DM19" s="2391"/>
      <c r="DN19" s="2394"/>
      <c r="DO19" s="2391"/>
      <c r="DP19" s="2394"/>
      <c r="DQ19" s="2391"/>
      <c r="DR19" s="2394"/>
      <c r="DS19" s="2395"/>
    </row>
    <row r="20" spans="1:123" x14ac:dyDescent="0.2">
      <c r="A20" s="2414" t="s">
        <v>38</v>
      </c>
      <c r="B20" s="2355">
        <f>'Data Input sheet'!D191</f>
        <v>46183</v>
      </c>
      <c r="C20" s="2415">
        <f>'Data Input sheet'!G191</f>
        <v>46419</v>
      </c>
      <c r="D20" s="2357" t="str">
        <f t="shared" ref="D20:AD20" si="0">IF(AND(F$5&gt;=$B20,F$5&lt;=$C20),1,"")</f>
        <v/>
      </c>
      <c r="E20" s="2357" t="str">
        <f t="shared" si="0"/>
        <v/>
      </c>
      <c r="F20" s="2357" t="str">
        <f t="shared" si="0"/>
        <v/>
      </c>
      <c r="G20" s="2357" t="str">
        <f t="shared" si="0"/>
        <v/>
      </c>
      <c r="H20" s="2357" t="str">
        <f t="shared" si="0"/>
        <v/>
      </c>
      <c r="I20" s="2357" t="str">
        <f t="shared" si="0"/>
        <v/>
      </c>
      <c r="J20" s="2357" t="str">
        <f t="shared" si="0"/>
        <v/>
      </c>
      <c r="K20" s="2357" t="str">
        <f t="shared" si="0"/>
        <v/>
      </c>
      <c r="L20" s="2357" t="str">
        <f t="shared" si="0"/>
        <v/>
      </c>
      <c r="M20" s="2357" t="str">
        <f t="shared" si="0"/>
        <v/>
      </c>
      <c r="N20" s="2357" t="str">
        <f t="shared" si="0"/>
        <v/>
      </c>
      <c r="O20" s="2357" t="str">
        <f t="shared" si="0"/>
        <v/>
      </c>
      <c r="P20" s="2357" t="str">
        <f t="shared" si="0"/>
        <v/>
      </c>
      <c r="Q20" s="2357" t="str">
        <f t="shared" si="0"/>
        <v/>
      </c>
      <c r="R20" s="2357" t="str">
        <f t="shared" si="0"/>
        <v/>
      </c>
      <c r="S20" s="2357" t="str">
        <f t="shared" si="0"/>
        <v/>
      </c>
      <c r="T20" s="2357" t="str">
        <f t="shared" si="0"/>
        <v/>
      </c>
      <c r="U20" s="2357" t="str">
        <f t="shared" si="0"/>
        <v/>
      </c>
      <c r="V20" s="2357" t="str">
        <f t="shared" si="0"/>
        <v/>
      </c>
      <c r="W20" s="2357" t="str">
        <f t="shared" si="0"/>
        <v/>
      </c>
      <c r="X20" s="2357" t="str">
        <f t="shared" si="0"/>
        <v/>
      </c>
      <c r="Y20" s="2357" t="str">
        <f t="shared" si="0"/>
        <v/>
      </c>
      <c r="Z20" s="2357" t="str">
        <f t="shared" si="0"/>
        <v/>
      </c>
      <c r="AA20" s="2357" t="str">
        <f t="shared" si="0"/>
        <v/>
      </c>
      <c r="AB20" s="2357" t="str">
        <f t="shared" si="0"/>
        <v/>
      </c>
      <c r="AC20" s="2357" t="str">
        <f t="shared" si="0"/>
        <v/>
      </c>
      <c r="AD20" s="2357" t="str">
        <f t="shared" si="0"/>
        <v/>
      </c>
      <c r="DS20" s="2399"/>
    </row>
    <row r="21" spans="1:123" ht="5.0999999999999996" customHeight="1" x14ac:dyDescent="0.2">
      <c r="A21" s="2414"/>
      <c r="B21" s="2355"/>
      <c r="C21" s="2415"/>
      <c r="D21" s="2357"/>
      <c r="E21" s="2357"/>
      <c r="F21" s="2357"/>
      <c r="G21" s="2357"/>
      <c r="H21" s="2357"/>
      <c r="I21" s="2357"/>
      <c r="J21" s="2357"/>
      <c r="K21" s="2357"/>
      <c r="L21" s="2357"/>
      <c r="M21" s="2357"/>
      <c r="N21" s="2357"/>
      <c r="O21" s="2357"/>
      <c r="P21" s="2357"/>
      <c r="Q21" s="2357"/>
      <c r="R21" s="2357"/>
      <c r="S21" s="2357"/>
      <c r="T21" s="2357"/>
      <c r="U21" s="2357"/>
      <c r="V21" s="2357"/>
      <c r="W21" s="2357"/>
      <c r="X21" s="2357"/>
      <c r="Y21" s="2357"/>
      <c r="Z21" s="2357"/>
      <c r="AA21" s="2357"/>
      <c r="AB21" s="2357"/>
      <c r="AC21" s="2357"/>
      <c r="AD21" s="2357"/>
      <c r="DS21" s="2399"/>
    </row>
    <row r="22" spans="1:123" s="1043" customFormat="1" ht="14.1" customHeight="1" x14ac:dyDescent="0.25">
      <c r="A22" s="2404"/>
      <c r="B22" s="2405"/>
      <c r="C22" s="2406"/>
      <c r="D22" s="2407"/>
      <c r="E22" s="2408" t="s">
        <v>93</v>
      </c>
      <c r="F22" s="2407"/>
      <c r="G22" s="2407"/>
      <c r="H22" s="2407"/>
      <c r="I22" s="2407"/>
      <c r="J22" s="2407"/>
      <c r="K22" s="2407"/>
      <c r="L22" s="2407"/>
      <c r="M22" s="2407"/>
      <c r="N22" s="2407"/>
      <c r="O22" s="2407"/>
      <c r="P22" s="2407"/>
      <c r="Q22" s="2408"/>
      <c r="R22" s="2407"/>
      <c r="S22" s="2407"/>
      <c r="T22" s="2407"/>
      <c r="U22" s="2407"/>
      <c r="V22" s="2407"/>
      <c r="W22" s="2407"/>
      <c r="X22" s="2407"/>
      <c r="Y22" s="2407"/>
      <c r="Z22" s="2407"/>
      <c r="AA22" s="2407"/>
      <c r="AB22" s="2407"/>
      <c r="AC22" s="2409"/>
      <c r="AD22" s="2407"/>
      <c r="AE22" s="2407"/>
      <c r="AF22" s="2407"/>
      <c r="AG22" s="2407"/>
      <c r="AH22" s="2407"/>
      <c r="AI22" s="2407"/>
      <c r="AJ22" s="2407"/>
      <c r="AK22" s="2407"/>
      <c r="AL22" s="2407"/>
      <c r="AM22" s="2407"/>
      <c r="AN22" s="2407"/>
      <c r="AO22" s="2408"/>
      <c r="AP22" s="2407"/>
      <c r="AQ22" s="2407"/>
      <c r="AR22" s="2407"/>
      <c r="AS22" s="2407"/>
      <c r="AT22" s="2407"/>
      <c r="AU22" s="2407"/>
      <c r="AV22" s="2407"/>
      <c r="AW22" s="2407"/>
      <c r="AX22" s="2407"/>
      <c r="AY22" s="2407"/>
      <c r="AZ22" s="2407"/>
      <c r="BA22" s="2409"/>
      <c r="BB22" s="2407"/>
      <c r="BC22" s="2407"/>
      <c r="BD22" s="2407"/>
      <c r="BE22" s="2407"/>
      <c r="BF22" s="2407"/>
      <c r="BG22" s="2407"/>
      <c r="BH22" s="2407"/>
      <c r="BI22" s="2407"/>
      <c r="BJ22" s="2407"/>
      <c r="BK22" s="2407"/>
      <c r="BL22" s="2407"/>
      <c r="BM22" s="2407"/>
      <c r="BN22" s="2407"/>
      <c r="BO22" s="2407"/>
      <c r="BP22" s="2407"/>
      <c r="BQ22" s="2407"/>
      <c r="BR22" s="2407"/>
      <c r="BS22" s="2407"/>
      <c r="BT22" s="2407"/>
      <c r="BU22" s="2407"/>
      <c r="BV22" s="2407"/>
      <c r="BW22" s="2407"/>
      <c r="BX22" s="2407"/>
      <c r="BY22" s="2407"/>
      <c r="BZ22" s="2407"/>
      <c r="CA22" s="2407"/>
      <c r="CB22" s="2407"/>
      <c r="CC22" s="2407"/>
      <c r="CD22" s="2407"/>
      <c r="CE22" s="2407"/>
      <c r="CF22" s="2407"/>
      <c r="CG22" s="2407"/>
      <c r="CH22" s="2407"/>
      <c r="CI22" s="2407"/>
      <c r="CJ22" s="2407"/>
      <c r="CK22" s="2407"/>
      <c r="CL22" s="2407"/>
      <c r="CM22" s="2407"/>
      <c r="CN22" s="2407"/>
      <c r="CO22" s="2407"/>
      <c r="CP22" s="2407"/>
      <c r="CQ22" s="2407"/>
      <c r="CR22" s="2407"/>
      <c r="CS22" s="2407"/>
      <c r="CT22" s="2407"/>
      <c r="CU22" s="2407"/>
      <c r="CV22" s="2407"/>
      <c r="CW22" s="2407"/>
      <c r="CX22" s="2407"/>
      <c r="CY22" s="2407"/>
      <c r="CZ22" s="2407"/>
      <c r="DA22" s="2407"/>
      <c r="DB22" s="2407"/>
      <c r="DC22" s="2407"/>
      <c r="DD22" s="2407"/>
      <c r="DE22" s="2407"/>
      <c r="DF22" s="2407"/>
      <c r="DG22" s="2407"/>
      <c r="DH22" s="2407"/>
      <c r="DI22" s="2407"/>
      <c r="DJ22" s="2407"/>
      <c r="DK22" s="2407"/>
      <c r="DL22" s="2410"/>
      <c r="DM22" s="2407"/>
      <c r="DN22" s="2410"/>
      <c r="DO22" s="2407"/>
      <c r="DP22" s="2410"/>
      <c r="DQ22" s="2407"/>
      <c r="DR22" s="2410"/>
      <c r="DS22" s="2411"/>
    </row>
    <row r="23" spans="1:123" ht="5.0999999999999996" customHeight="1" x14ac:dyDescent="0.2">
      <c r="A23" s="2412"/>
      <c r="B23" s="2390"/>
      <c r="C23" s="2413"/>
      <c r="D23" s="2391"/>
      <c r="E23" s="2392"/>
      <c r="F23" s="2391"/>
      <c r="G23" s="2391"/>
      <c r="H23" s="2391"/>
      <c r="I23" s="2391"/>
      <c r="J23" s="2391"/>
      <c r="K23" s="2391"/>
      <c r="L23" s="2391"/>
      <c r="M23" s="2391"/>
      <c r="N23" s="2391"/>
      <c r="O23" s="2391"/>
      <c r="P23" s="2391"/>
      <c r="Q23" s="2392"/>
      <c r="R23" s="2391"/>
      <c r="S23" s="2391"/>
      <c r="T23" s="2391"/>
      <c r="U23" s="2391"/>
      <c r="V23" s="2391"/>
      <c r="W23" s="2391"/>
      <c r="X23" s="2391"/>
      <c r="Y23" s="2391"/>
      <c r="Z23" s="2391"/>
      <c r="AA23" s="2391"/>
      <c r="AB23" s="2391"/>
      <c r="AC23" s="2393"/>
      <c r="AD23" s="2391"/>
      <c r="AE23" s="2391"/>
      <c r="AF23" s="2391"/>
      <c r="AG23" s="2391"/>
      <c r="AH23" s="2391"/>
      <c r="AI23" s="2391"/>
      <c r="AJ23" s="2391"/>
      <c r="AK23" s="2391"/>
      <c r="AL23" s="2391"/>
      <c r="AM23" s="2391"/>
      <c r="AN23" s="2391"/>
      <c r="AO23" s="2392"/>
      <c r="AP23" s="2391"/>
      <c r="AQ23" s="2391"/>
      <c r="AR23" s="2391"/>
      <c r="AS23" s="2391"/>
      <c r="AT23" s="2391"/>
      <c r="AU23" s="2391"/>
      <c r="AV23" s="2391"/>
      <c r="AW23" s="2391"/>
      <c r="AX23" s="2391"/>
      <c r="AY23" s="2391"/>
      <c r="AZ23" s="2391"/>
      <c r="BA23" s="2393"/>
      <c r="BB23" s="2391"/>
      <c r="BC23" s="2391"/>
      <c r="BD23" s="2391"/>
      <c r="BE23" s="2391"/>
      <c r="BF23" s="2391"/>
      <c r="BG23" s="2391"/>
      <c r="BH23" s="2391"/>
      <c r="BI23" s="2391"/>
      <c r="BJ23" s="2391"/>
      <c r="BK23" s="2391"/>
      <c r="BL23" s="2391"/>
      <c r="BM23" s="2391"/>
      <c r="BN23" s="2391"/>
      <c r="BO23" s="2391"/>
      <c r="BP23" s="2391"/>
      <c r="BQ23" s="2391"/>
      <c r="BR23" s="2391"/>
      <c r="BS23" s="2391"/>
      <c r="BT23" s="2391"/>
      <c r="BU23" s="2391"/>
      <c r="BV23" s="2391"/>
      <c r="BW23" s="2391"/>
      <c r="BX23" s="2391"/>
      <c r="BY23" s="2391"/>
      <c r="BZ23" s="2391"/>
      <c r="CA23" s="2391"/>
      <c r="CB23" s="2391"/>
      <c r="CC23" s="2391"/>
      <c r="CD23" s="2391"/>
      <c r="CE23" s="2391"/>
      <c r="CF23" s="2391"/>
      <c r="CG23" s="2391"/>
      <c r="CH23" s="2391"/>
      <c r="CI23" s="2391"/>
      <c r="CJ23" s="2391"/>
      <c r="CK23" s="2391"/>
      <c r="CL23" s="2391"/>
      <c r="CM23" s="2391"/>
      <c r="CN23" s="2391"/>
      <c r="CO23" s="2391"/>
      <c r="CP23" s="2391"/>
      <c r="CQ23" s="2391"/>
      <c r="CR23" s="2391"/>
      <c r="CS23" s="2391"/>
      <c r="CT23" s="2391"/>
      <c r="CU23" s="2391"/>
      <c r="CV23" s="2391"/>
      <c r="CW23" s="2391"/>
      <c r="CX23" s="2391"/>
      <c r="CY23" s="2391"/>
      <c r="CZ23" s="2391"/>
      <c r="DA23" s="2391"/>
      <c r="DB23" s="2391"/>
      <c r="DC23" s="2391"/>
      <c r="DD23" s="2391"/>
      <c r="DE23" s="2391"/>
      <c r="DF23" s="2391"/>
      <c r="DG23" s="2391"/>
      <c r="DH23" s="2391"/>
      <c r="DI23" s="2391"/>
      <c r="DJ23" s="2391"/>
      <c r="DK23" s="2391"/>
      <c r="DL23" s="2394"/>
      <c r="DM23" s="2391"/>
      <c r="DN23" s="2394"/>
      <c r="DO23" s="2391"/>
      <c r="DP23" s="2394"/>
      <c r="DQ23" s="2391"/>
      <c r="DR23" s="2394"/>
      <c r="DS23" s="2395"/>
    </row>
    <row r="24" spans="1:123" x14ac:dyDescent="0.2">
      <c r="A24" s="2414" t="s">
        <v>93</v>
      </c>
      <c r="B24" s="2355">
        <f>'Data Input sheet'!D192</f>
        <v>46422</v>
      </c>
      <c r="C24" s="2415">
        <f>'Data Input sheet'!G192</f>
        <v>46927</v>
      </c>
      <c r="D24" s="2357" t="str">
        <f t="shared" ref="D24:AD24" si="1">IF(AND(F$5&gt;=$B24,F$5&lt;=$C24),1,"")</f>
        <v/>
      </c>
      <c r="E24" s="2357" t="str">
        <f t="shared" si="1"/>
        <v/>
      </c>
      <c r="F24" s="2357" t="str">
        <f t="shared" si="1"/>
        <v/>
      </c>
      <c r="G24" s="2357" t="str">
        <f t="shared" si="1"/>
        <v/>
      </c>
      <c r="H24" s="2357" t="str">
        <f t="shared" si="1"/>
        <v/>
      </c>
      <c r="I24" s="2357" t="str">
        <f t="shared" si="1"/>
        <v/>
      </c>
      <c r="J24" s="2357" t="str">
        <f t="shared" si="1"/>
        <v/>
      </c>
      <c r="K24" s="2357" t="str">
        <f t="shared" si="1"/>
        <v/>
      </c>
      <c r="L24" s="2357" t="str">
        <f t="shared" si="1"/>
        <v/>
      </c>
      <c r="M24" s="2357" t="str">
        <f t="shared" si="1"/>
        <v/>
      </c>
      <c r="N24" s="2357" t="str">
        <f t="shared" si="1"/>
        <v/>
      </c>
      <c r="O24" s="2357" t="str">
        <f t="shared" si="1"/>
        <v/>
      </c>
      <c r="P24" s="2357" t="str">
        <f t="shared" si="1"/>
        <v/>
      </c>
      <c r="Q24" s="2357" t="str">
        <f t="shared" si="1"/>
        <v/>
      </c>
      <c r="R24" s="2357" t="str">
        <f t="shared" si="1"/>
        <v/>
      </c>
      <c r="S24" s="2357" t="str">
        <f t="shared" si="1"/>
        <v/>
      </c>
      <c r="T24" s="2357" t="str">
        <f t="shared" si="1"/>
        <v/>
      </c>
      <c r="U24" s="2357" t="str">
        <f t="shared" si="1"/>
        <v/>
      </c>
      <c r="V24" s="2357" t="str">
        <f t="shared" si="1"/>
        <v/>
      </c>
      <c r="W24" s="2357" t="str">
        <f t="shared" si="1"/>
        <v/>
      </c>
      <c r="X24" s="2357" t="str">
        <f t="shared" si="1"/>
        <v/>
      </c>
      <c r="Y24" s="2357" t="str">
        <f t="shared" si="1"/>
        <v/>
      </c>
      <c r="Z24" s="2357" t="str">
        <f t="shared" si="1"/>
        <v/>
      </c>
      <c r="AA24" s="2357" t="str">
        <f t="shared" si="1"/>
        <v/>
      </c>
      <c r="AB24" s="2357" t="str">
        <f t="shared" si="1"/>
        <v/>
      </c>
      <c r="AC24" s="2357" t="str">
        <f t="shared" si="1"/>
        <v/>
      </c>
      <c r="AD24" s="2357" t="str">
        <f t="shared" si="1"/>
        <v/>
      </c>
      <c r="DS24" s="2399"/>
    </row>
    <row r="25" spans="1:123" ht="5.0999999999999996" customHeight="1" x14ac:dyDescent="0.2">
      <c r="A25" s="2416"/>
      <c r="B25" s="2417"/>
      <c r="C25" s="2418"/>
      <c r="D25" s="2362"/>
      <c r="E25" s="2362"/>
      <c r="F25" s="2362"/>
      <c r="G25" s="2362"/>
      <c r="H25" s="2362"/>
      <c r="I25" s="2362"/>
      <c r="J25" s="2362"/>
      <c r="K25" s="2362"/>
      <c r="L25" s="2362"/>
      <c r="M25" s="2362"/>
      <c r="N25" s="2362"/>
      <c r="O25" s="2362"/>
      <c r="P25" s="2362"/>
      <c r="Q25" s="2362"/>
      <c r="R25" s="2362"/>
      <c r="S25" s="2362"/>
      <c r="T25" s="2362"/>
      <c r="U25" s="2362"/>
      <c r="V25" s="2362"/>
      <c r="W25" s="2362"/>
      <c r="X25" s="2362"/>
      <c r="Y25" s="2362"/>
      <c r="Z25" s="2362"/>
      <c r="AA25" s="2362"/>
      <c r="AB25" s="2362"/>
      <c r="AC25" s="2362"/>
      <c r="AD25" s="2362"/>
      <c r="AE25" s="2419"/>
      <c r="AF25" s="2419"/>
      <c r="AG25" s="2419"/>
      <c r="AH25" s="2419"/>
      <c r="AI25" s="2419"/>
      <c r="AJ25" s="2419"/>
      <c r="AK25" s="2419"/>
      <c r="AL25" s="2419"/>
      <c r="AM25" s="2419"/>
      <c r="AN25" s="2419"/>
      <c r="AO25" s="2419"/>
      <c r="AP25" s="2419"/>
      <c r="AQ25" s="2419"/>
      <c r="AR25" s="2419"/>
      <c r="AS25" s="2419"/>
      <c r="AT25" s="2419"/>
      <c r="AU25" s="2419"/>
      <c r="AV25" s="2419"/>
      <c r="AW25" s="2419"/>
      <c r="AX25" s="2419"/>
      <c r="AY25" s="2419"/>
      <c r="AZ25" s="2419"/>
      <c r="BA25" s="2419"/>
      <c r="BB25" s="2419"/>
      <c r="BC25" s="2419"/>
      <c r="BD25" s="2419"/>
      <c r="BE25" s="2419"/>
      <c r="BF25" s="2419"/>
      <c r="BG25" s="2419"/>
      <c r="BH25" s="2419"/>
      <c r="BI25" s="2419"/>
      <c r="BJ25" s="2419"/>
      <c r="BK25" s="2419"/>
      <c r="BL25" s="2419"/>
      <c r="BM25" s="2419"/>
      <c r="BN25" s="2419"/>
      <c r="BO25" s="2419"/>
      <c r="BP25" s="2419"/>
      <c r="BQ25" s="2419"/>
      <c r="BR25" s="2419"/>
      <c r="BS25" s="2419"/>
      <c r="BT25" s="2419"/>
      <c r="BU25" s="2419"/>
      <c r="BV25" s="2419"/>
      <c r="BW25" s="2419"/>
      <c r="BX25" s="2419"/>
      <c r="BY25" s="2419"/>
      <c r="BZ25" s="2419"/>
      <c r="CA25" s="2419"/>
      <c r="CB25" s="2419"/>
      <c r="CC25" s="2419"/>
      <c r="CD25" s="2419"/>
      <c r="CE25" s="2419"/>
      <c r="CF25" s="2419"/>
      <c r="CG25" s="2419"/>
      <c r="CH25" s="2419"/>
      <c r="CI25" s="2419"/>
      <c r="CJ25" s="2419"/>
      <c r="CK25" s="2419"/>
      <c r="CL25" s="2419"/>
      <c r="CM25" s="2419"/>
      <c r="CN25" s="2419"/>
      <c r="CO25" s="2419"/>
      <c r="CP25" s="2419"/>
      <c r="CQ25" s="2419"/>
      <c r="CR25" s="2419"/>
      <c r="CS25" s="2419"/>
      <c r="CT25" s="2419"/>
      <c r="CU25" s="2419"/>
      <c r="CV25" s="2419"/>
      <c r="CW25" s="2419"/>
      <c r="CX25" s="2419"/>
      <c r="CY25" s="2419"/>
      <c r="CZ25" s="2419"/>
      <c r="DA25" s="2419"/>
      <c r="DB25" s="2419"/>
      <c r="DC25" s="2419"/>
      <c r="DD25" s="2419"/>
      <c r="DE25" s="2419"/>
      <c r="DF25" s="2419"/>
      <c r="DG25" s="2419"/>
      <c r="DH25" s="2419"/>
      <c r="DI25" s="2419"/>
      <c r="DJ25" s="2419"/>
      <c r="DK25" s="2419"/>
      <c r="DL25" s="2419"/>
      <c r="DM25" s="2419"/>
      <c r="DN25" s="2419"/>
      <c r="DO25" s="2419"/>
      <c r="DP25" s="2419"/>
      <c r="DQ25" s="2419"/>
      <c r="DR25" s="2419"/>
      <c r="DS25" s="2420"/>
    </row>
    <row r="26" spans="1:123" x14ac:dyDescent="0.2">
      <c r="A26" s="2356"/>
      <c r="B26" s="2355"/>
      <c r="C26" s="2355"/>
      <c r="D26" s="2357"/>
      <c r="E26" s="2357"/>
      <c r="F26" s="2357"/>
      <c r="G26" s="2357"/>
      <c r="H26" s="2357"/>
      <c r="I26" s="2357"/>
      <c r="J26" s="2357"/>
      <c r="K26" s="2357"/>
      <c r="L26" s="2357"/>
      <c r="M26" s="2357"/>
      <c r="N26" s="2357"/>
      <c r="O26" s="2357"/>
      <c r="P26" s="2357"/>
      <c r="Q26" s="2357"/>
      <c r="R26" s="2357"/>
      <c r="S26" s="2357"/>
      <c r="T26" s="2357"/>
      <c r="U26" s="2357"/>
      <c r="V26" s="2357"/>
      <c r="W26" s="2357"/>
      <c r="X26" s="2357"/>
      <c r="Y26" s="2357"/>
      <c r="Z26" s="2357"/>
      <c r="AA26" s="2357"/>
      <c r="AB26" s="2357"/>
      <c r="AC26" s="2357"/>
      <c r="AD26" s="2357"/>
    </row>
  </sheetData>
  <sheetProtection algorithmName="SHA-512" hashValue="EdHTRSiEjjbUuL013pch/QHE0EpIgifN38B8vwNhXThxB0B+Ynrgq+buTvkNSnnjL4VDTZ/9+/AN6LNG1NZKHw==" saltValue="v2i94wRUFyg8RYbB9F9bGQ==" spinCount="100000" sheet="1" scenarios="1" formatCells="0" formatColumns="0" formatRows="0" autoFilter="0"/>
  <mergeCells count="68">
    <mergeCell ref="DQ8:DS8"/>
    <mergeCell ref="DB8:DD8"/>
    <mergeCell ref="DE8:DG8"/>
    <mergeCell ref="DH8:DJ8"/>
    <mergeCell ref="DK8:DM8"/>
    <mergeCell ref="DN8:DP8"/>
    <mergeCell ref="CM8:CO8"/>
    <mergeCell ref="CP8:CR8"/>
    <mergeCell ref="CS8:CU8"/>
    <mergeCell ref="CV8:CX8"/>
    <mergeCell ref="CY8:DA8"/>
    <mergeCell ref="BX8:BZ8"/>
    <mergeCell ref="CA8:CC8"/>
    <mergeCell ref="CD8:CF8"/>
    <mergeCell ref="CG8:CI8"/>
    <mergeCell ref="CJ8:CL8"/>
    <mergeCell ref="CG6:CR6"/>
    <mergeCell ref="CS6:DD6"/>
    <mergeCell ref="DE6:DP6"/>
    <mergeCell ref="DQ6:DS6"/>
    <mergeCell ref="BX7:CI7"/>
    <mergeCell ref="CJ7:CU7"/>
    <mergeCell ref="CV7:DG7"/>
    <mergeCell ref="DH7:DS7"/>
    <mergeCell ref="BU6:CF6"/>
    <mergeCell ref="BL7:BW7"/>
    <mergeCell ref="BI6:BT6"/>
    <mergeCell ref="BL8:BN8"/>
    <mergeCell ref="BO8:BQ8"/>
    <mergeCell ref="BR8:BT8"/>
    <mergeCell ref="BU8:BW8"/>
    <mergeCell ref="AW8:AY8"/>
    <mergeCell ref="AZ8:BB8"/>
    <mergeCell ref="BC8:BE8"/>
    <mergeCell ref="BF8:BH8"/>
    <mergeCell ref="BI8:BK8"/>
    <mergeCell ref="AH8:AJ8"/>
    <mergeCell ref="AK8:AM8"/>
    <mergeCell ref="AN8:AP8"/>
    <mergeCell ref="AQ8:AS8"/>
    <mergeCell ref="AT8:AV8"/>
    <mergeCell ref="D8:F8"/>
    <mergeCell ref="G8:I8"/>
    <mergeCell ref="J8:L8"/>
    <mergeCell ref="M8:O8"/>
    <mergeCell ref="P8:R8"/>
    <mergeCell ref="D7:O7"/>
    <mergeCell ref="P7:AA7"/>
    <mergeCell ref="AB7:AM7"/>
    <mergeCell ref="AN7:AY7"/>
    <mergeCell ref="AZ7:BK7"/>
    <mergeCell ref="S8:U8"/>
    <mergeCell ref="V8:X8"/>
    <mergeCell ref="Y8:AA8"/>
    <mergeCell ref="AB8:AD8"/>
    <mergeCell ref="AE8:AG8"/>
    <mergeCell ref="A6:L6"/>
    <mergeCell ref="M6:X6"/>
    <mergeCell ref="Y6:AJ6"/>
    <mergeCell ref="AK6:AV6"/>
    <mergeCell ref="AW6:BH6"/>
    <mergeCell ref="C5:AQ5"/>
    <mergeCell ref="BB5:BW5"/>
    <mergeCell ref="B1:BW1"/>
    <mergeCell ref="B3:G3"/>
    <mergeCell ref="AR3:BW3"/>
    <mergeCell ref="C4:AQ4"/>
    <mergeCell ref="BB4:BW4"/>
  </mergeCells>
  <conditionalFormatting sqref="D16:DS16">
    <cfRule type="expression" dxfId="220" priority="5">
      <formula>AND(D$9&gt;=$B$16,D$9&lt;=$C$16)</formula>
    </cfRule>
  </conditionalFormatting>
  <conditionalFormatting sqref="D12:DS12">
    <cfRule type="expression" dxfId="219" priority="4">
      <formula>AND(D$9&gt;=$B$12,D$9&lt;=$C$12)</formula>
    </cfRule>
  </conditionalFormatting>
  <conditionalFormatting sqref="D20:DS20">
    <cfRule type="expression" dxfId="218" priority="3">
      <formula>AND(D$9&gt;=$B$20,D$9&lt;=$C$20)</formula>
    </cfRule>
  </conditionalFormatting>
  <conditionalFormatting sqref="D24:DS24">
    <cfRule type="expression" dxfId="217" priority="2">
      <formula>AND(D$9&gt;=$B$24,D$9&lt;=$C$24)</formula>
    </cfRule>
  </conditionalFormatting>
  <conditionalFormatting sqref="D12:DS24">
    <cfRule type="expression" dxfId="216" priority="1">
      <formula>AND($D$9&gt;=$B$12&lt;=$C$12)</formula>
    </cfRule>
  </conditionalFormatting>
  <printOptions horizontalCentered="1" verticalCentered="1"/>
  <pageMargins left="0.42" right="0.25" top="0.5" bottom="0.5" header="0.25" footer="0.25"/>
  <pageSetup scale="67" orientation="landscape"/>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01785-3113-481A-96A7-8F5B1C3D92BC}">
  <sheetPr codeName="Sheet14">
    <tabColor theme="1"/>
  </sheetPr>
  <dimension ref="A1:T167"/>
  <sheetViews>
    <sheetView workbookViewId="0">
      <selection activeCell="B6" sqref="B6:B11"/>
    </sheetView>
  </sheetViews>
  <sheetFormatPr defaultColWidth="9.42578125" defaultRowHeight="12.6" customHeight="1" x14ac:dyDescent="0.25"/>
  <cols>
    <col min="1" max="1" width="1.5703125" customWidth="1"/>
    <col min="2" max="2" width="28.5703125" customWidth="1"/>
    <col min="3" max="3" width="30.42578125" customWidth="1"/>
    <col min="4" max="4" width="16" customWidth="1"/>
    <col min="5" max="5" width="21.42578125" customWidth="1"/>
    <col min="6" max="6" width="9.42578125" customWidth="1"/>
    <col min="7" max="7" width="15.5703125" customWidth="1"/>
    <col min="8" max="8" width="10.5703125" customWidth="1"/>
    <col min="9" max="9" width="17.42578125" customWidth="1"/>
    <col min="10" max="10" width="4.5703125" customWidth="1"/>
    <col min="11" max="11" width="12.42578125" customWidth="1"/>
    <col min="12" max="12" width="17.42578125" customWidth="1"/>
    <col min="13" max="13" width="3.42578125" customWidth="1"/>
    <col min="14" max="14" width="17.42578125" hidden="1" customWidth="1"/>
    <col min="15" max="15" width="3.42578125" customWidth="1"/>
    <col min="16" max="16" width="17.42578125" customWidth="1"/>
    <col min="17" max="17" width="3.42578125" customWidth="1"/>
    <col min="18" max="18" width="16.5703125" customWidth="1"/>
    <col min="19" max="19" width="3.42578125" customWidth="1"/>
    <col min="20" max="20" width="16.5703125" customWidth="1"/>
    <col min="21" max="148" width="9.42578125" customWidth="1"/>
  </cols>
  <sheetData>
    <row r="1" spans="1:20" ht="12.75" customHeight="1" x14ac:dyDescent="0.25">
      <c r="A1" s="39"/>
      <c r="B1" s="40"/>
      <c r="C1" s="40"/>
      <c r="D1" s="40"/>
      <c r="E1" s="40"/>
      <c r="F1" s="40"/>
      <c r="G1" s="40"/>
      <c r="H1" s="40"/>
      <c r="I1" s="40"/>
      <c r="J1" s="40"/>
      <c r="K1" s="40"/>
      <c r="L1" s="40"/>
      <c r="M1" s="40"/>
      <c r="N1" s="40"/>
      <c r="O1" s="40"/>
      <c r="P1" s="40"/>
      <c r="Q1" s="40"/>
      <c r="R1" s="40"/>
      <c r="S1" s="40"/>
      <c r="T1" s="41"/>
    </row>
    <row r="2" spans="1:20" ht="12.75" customHeight="1" x14ac:dyDescent="0.25">
      <c r="A2" s="43"/>
      <c r="B2" s="640"/>
      <c r="C2" s="44"/>
      <c r="D2" s="44"/>
      <c r="E2" s="44"/>
      <c r="F2" s="44"/>
      <c r="G2" s="44"/>
      <c r="H2" s="44"/>
      <c r="I2" s="44"/>
      <c r="J2" s="44"/>
      <c r="K2" s="44"/>
      <c r="L2" s="44"/>
      <c r="M2" s="40"/>
      <c r="N2" s="40"/>
      <c r="O2" s="40"/>
      <c r="P2" s="40"/>
      <c r="Q2" s="40"/>
      <c r="R2" s="40"/>
      <c r="S2" s="40"/>
      <c r="T2" s="45"/>
    </row>
    <row r="3" spans="1:20" ht="12.75" customHeight="1" x14ac:dyDescent="0.25">
      <c r="A3" s="43"/>
      <c r="B3" s="2912" t="s">
        <v>88</v>
      </c>
      <c r="C3" s="2818"/>
      <c r="D3" s="2818"/>
      <c r="E3" s="2818"/>
      <c r="F3" s="2818"/>
      <c r="G3" s="2818"/>
      <c r="H3" s="2818"/>
      <c r="I3" s="2818"/>
      <c r="J3" s="2818"/>
      <c r="K3" s="2818"/>
      <c r="L3" s="2818"/>
      <c r="M3" s="2818"/>
      <c r="N3" s="2818"/>
      <c r="O3" s="2818"/>
      <c r="P3" s="2818"/>
      <c r="Q3" s="2818"/>
      <c r="R3" s="2818"/>
      <c r="S3" s="2818"/>
      <c r="T3" s="2913"/>
    </row>
    <row r="4" spans="1:20" ht="12.75" customHeight="1" x14ac:dyDescent="0.25">
      <c r="A4" s="43"/>
      <c r="B4" s="2912"/>
      <c r="C4" s="2818"/>
      <c r="D4" s="2818"/>
      <c r="E4" s="2818"/>
      <c r="F4" s="2818"/>
      <c r="G4" s="2818"/>
      <c r="H4" s="2818"/>
      <c r="I4" s="2818"/>
      <c r="J4" s="2818"/>
      <c r="K4" s="2818"/>
      <c r="L4" s="2818"/>
      <c r="M4" s="2818"/>
      <c r="N4" s="2818"/>
      <c r="O4" s="2818"/>
      <c r="P4" s="2818"/>
      <c r="Q4" s="2818"/>
      <c r="R4" s="2818"/>
      <c r="S4" s="2818"/>
      <c r="T4" s="2913"/>
    </row>
    <row r="5" spans="1:20" ht="15" customHeight="1" x14ac:dyDescent="0.25">
      <c r="A5" s="46"/>
      <c r="B5" s="2914" t="str">
        <f>'Data Input sheet'!G25</f>
        <v>group for reviews</v>
      </c>
      <c r="C5" s="2819"/>
      <c r="D5" s="2819"/>
      <c r="E5" s="2819"/>
      <c r="F5" s="2819"/>
      <c r="G5" s="2819"/>
      <c r="H5" s="2819"/>
      <c r="I5" s="2819"/>
      <c r="J5" s="2819"/>
      <c r="K5" s="2819"/>
      <c r="L5" s="2819"/>
      <c r="M5" s="2819"/>
      <c r="N5" s="2819"/>
      <c r="O5" s="2819"/>
      <c r="P5" s="2819"/>
      <c r="Q5" s="2819"/>
      <c r="R5" s="2819"/>
      <c r="S5" s="2819"/>
      <c r="T5" s="2915"/>
    </row>
    <row r="6" spans="1:20" ht="12.75" customHeight="1" x14ac:dyDescent="0.25">
      <c r="A6" s="47"/>
      <c r="B6" s="641" t="str">
        <f>+'Data Input sheet'!$B$7&amp;" "&amp;'Data Input sheet'!$C$7</f>
        <v>Project Title: Battery Storage - Hyde Park</v>
      </c>
      <c r="C6" s="48"/>
      <c r="D6" s="48"/>
      <c r="E6" s="49"/>
      <c r="F6" s="42"/>
      <c r="G6" s="42"/>
      <c r="H6" s="42"/>
      <c r="I6" s="42"/>
      <c r="J6" s="42"/>
      <c r="K6" s="42"/>
      <c r="L6" s="42"/>
      <c r="M6" s="50"/>
      <c r="N6" s="42"/>
      <c r="O6" s="2283" t="str">
        <f>+'Data Input sheet'!$B$4&amp;" "&amp;'Data Input sheet'!$C$4</f>
        <v>Estimate #: E-23-373</v>
      </c>
      <c r="P6" s="55"/>
      <c r="Q6" s="51"/>
      <c r="R6" s="51"/>
      <c r="S6" s="51"/>
      <c r="T6" s="52"/>
    </row>
    <row r="7" spans="1:20" ht="12.75" customHeight="1" x14ac:dyDescent="0.25">
      <c r="A7" s="47"/>
      <c r="B7" s="641" t="str">
        <f>+'Data Input sheet'!$B$8&amp;" "&amp;'Data Input sheet'!$C$8</f>
        <v>Project Mgr/Lead: Michael Rosenburg</v>
      </c>
      <c r="C7" s="48"/>
      <c r="D7" s="48"/>
      <c r="E7" s="53"/>
      <c r="F7" s="54"/>
      <c r="G7" s="54"/>
      <c r="H7" s="54"/>
      <c r="I7" s="54"/>
      <c r="J7" s="54"/>
      <c r="K7" s="54"/>
      <c r="L7" s="51"/>
      <c r="M7" s="42"/>
      <c r="N7" s="55"/>
      <c r="O7" s="2283" t="str">
        <f>'Data Input sheet'!$B$11&amp;TEXT('Data Input sheet'!$C$11,"mm/dd/yyy")</f>
        <v>Date of Estimate:12/08/2023</v>
      </c>
      <c r="P7" s="55"/>
      <c r="Q7" s="51"/>
      <c r="R7" s="51"/>
      <c r="S7" s="51"/>
      <c r="T7" s="56"/>
    </row>
    <row r="8" spans="1:20" ht="12.75" customHeight="1" x14ac:dyDescent="0.25">
      <c r="A8" s="47"/>
      <c r="B8" s="641"/>
      <c r="C8" s="57"/>
      <c r="D8" s="57"/>
      <c r="E8" s="53"/>
      <c r="F8" s="54"/>
      <c r="G8" s="54"/>
      <c r="H8" s="54"/>
      <c r="I8" s="54"/>
      <c r="J8" s="54"/>
      <c r="K8" s="54"/>
      <c r="L8" s="51"/>
      <c r="M8" s="58"/>
      <c r="N8" s="55"/>
      <c r="O8" s="9"/>
      <c r="P8" s="55"/>
      <c r="Q8" s="51"/>
      <c r="R8" s="51"/>
      <c r="S8" s="51"/>
      <c r="T8" s="59"/>
    </row>
    <row r="9" spans="1:20" ht="12.75" customHeight="1" x14ac:dyDescent="0.25">
      <c r="A9" s="47"/>
      <c r="B9" s="641" t="str">
        <f>+'Data Input sheet'!$B$5&amp;" "&amp;'Data Input sheet'!$C$5</f>
        <v>Project Number: 21334</v>
      </c>
      <c r="C9" s="49"/>
      <c r="D9" s="49"/>
      <c r="E9" s="53"/>
      <c r="F9" s="54"/>
      <c r="G9" s="54"/>
      <c r="H9" s="54"/>
      <c r="I9" s="54"/>
      <c r="J9" s="54"/>
      <c r="K9" s="54"/>
      <c r="L9" s="51"/>
      <c r="M9" s="42"/>
      <c r="N9" s="55"/>
      <c r="O9" s="2283" t="str">
        <f>+'Data Input sheet'!$B$13&amp;" "&amp;'Data Input sheet'!$C$13</f>
        <v>Estimate done by: PAG</v>
      </c>
      <c r="P9" s="55"/>
      <c r="Q9" s="51"/>
      <c r="R9" s="51"/>
      <c r="S9" s="51"/>
      <c r="T9" s="60"/>
    </row>
    <row r="10" spans="1:20" ht="12.75" customHeight="1" x14ac:dyDescent="0.25">
      <c r="A10" s="47"/>
      <c r="B10" s="641" t="str">
        <f>+'Data Input sheet'!$B$6&amp;" "&amp;'Data Input sheet'!$C$6</f>
        <v>WO &amp; Task #: 80089926</v>
      </c>
      <c r="C10" s="48"/>
      <c r="D10" s="48"/>
      <c r="E10" s="53"/>
      <c r="F10" s="54"/>
      <c r="G10" s="54"/>
      <c r="H10" s="54"/>
      <c r="I10" s="54"/>
      <c r="J10" s="54"/>
      <c r="K10" s="54"/>
      <c r="L10" s="51"/>
      <c r="M10" s="42"/>
      <c r="N10" s="51"/>
      <c r="O10" s="2283" t="str">
        <f>'Data Input sheet'!$B$10&amp;TEXT('Data Input sheet'!$C$10,"mm/dd/yyy")</f>
        <v>In Service date (ISD):12/23/2028</v>
      </c>
      <c r="P10" s="55"/>
      <c r="Q10" s="61"/>
      <c r="R10" s="61"/>
      <c r="S10" s="61"/>
      <c r="T10" s="62"/>
    </row>
    <row r="11" spans="1:20" ht="12.75" customHeight="1" x14ac:dyDescent="0.25">
      <c r="A11" s="47"/>
      <c r="B11" s="641" t="str">
        <f>+'Data Input sheet'!$B$12&amp;" "&amp;'Data Input sheet'!$C$12</f>
        <v>Estimate revision #: 00</v>
      </c>
      <c r="C11" s="63"/>
      <c r="D11" s="63"/>
      <c r="E11" s="53"/>
      <c r="F11" s="51"/>
      <c r="G11" s="51"/>
      <c r="H11" s="51"/>
      <c r="I11" s="51"/>
      <c r="J11" s="51"/>
      <c r="K11" s="51"/>
      <c r="L11" s="51"/>
      <c r="M11" s="42"/>
      <c r="N11" s="51"/>
      <c r="O11" s="42"/>
      <c r="P11" s="55"/>
      <c r="Q11" s="55"/>
      <c r="R11" s="55"/>
      <c r="S11" s="55"/>
      <c r="T11" s="62"/>
    </row>
    <row r="12" spans="1:20" ht="12.75" customHeight="1" x14ac:dyDescent="0.25">
      <c r="A12" s="47"/>
      <c r="B12" s="51"/>
      <c r="C12" s="51"/>
      <c r="D12" s="51"/>
      <c r="E12" s="51"/>
      <c r="F12" s="64"/>
      <c r="G12" s="64"/>
      <c r="H12" s="64"/>
      <c r="I12" s="64"/>
      <c r="J12" s="64"/>
      <c r="K12" s="64"/>
      <c r="L12" s="64"/>
      <c r="M12" s="51"/>
      <c r="N12" s="51"/>
      <c r="O12" s="42"/>
      <c r="P12" s="61"/>
      <c r="Q12" s="61"/>
      <c r="R12" s="61"/>
      <c r="S12" s="61"/>
      <c r="T12" s="62"/>
    </row>
    <row r="13" spans="1:20" ht="12.75" customHeight="1" x14ac:dyDescent="0.25">
      <c r="A13" s="65"/>
      <c r="B13" s="149"/>
      <c r="C13" s="66"/>
      <c r="D13" s="66"/>
      <c r="E13" s="66"/>
      <c r="F13" s="67"/>
      <c r="G13" s="67"/>
      <c r="H13" s="67"/>
      <c r="I13" s="67"/>
      <c r="J13" s="67"/>
      <c r="K13" s="67"/>
      <c r="L13" s="67"/>
      <c r="M13" s="67"/>
      <c r="N13" s="42"/>
      <c r="O13" s="42"/>
      <c r="P13" s="55"/>
      <c r="Q13" s="55"/>
      <c r="R13" s="55"/>
      <c r="S13" s="55"/>
      <c r="T13" s="642"/>
    </row>
    <row r="14" spans="1:20" ht="12.75" customHeight="1" x14ac:dyDescent="0.25">
      <c r="A14" s="47"/>
      <c r="B14" s="68"/>
      <c r="C14" s="68"/>
      <c r="D14" s="68"/>
      <c r="E14" s="68"/>
      <c r="F14" s="67"/>
      <c r="G14" s="67"/>
      <c r="H14" s="67"/>
      <c r="I14" s="67"/>
      <c r="J14" s="67"/>
      <c r="K14" s="67"/>
      <c r="L14" s="67"/>
      <c r="M14" s="67"/>
      <c r="N14" s="69"/>
      <c r="O14" s="69"/>
      <c r="P14" s="69"/>
      <c r="Q14" s="69"/>
      <c r="R14" s="69"/>
      <c r="S14" s="69"/>
      <c r="T14" s="70"/>
    </row>
    <row r="15" spans="1:20" ht="18" customHeight="1" x14ac:dyDescent="0.25">
      <c r="A15" s="71"/>
      <c r="B15" s="643"/>
      <c r="C15" s="55"/>
      <c r="D15" s="55"/>
      <c r="E15" s="55"/>
      <c r="F15" s="72"/>
      <c r="G15" s="72"/>
      <c r="H15" s="72"/>
      <c r="I15" s="72"/>
      <c r="J15" s="72"/>
      <c r="K15" s="72"/>
      <c r="L15" s="72"/>
      <c r="M15" s="40"/>
      <c r="N15" s="40"/>
      <c r="O15" s="40"/>
      <c r="P15" s="40"/>
      <c r="Q15" s="40"/>
      <c r="R15" s="40"/>
      <c r="S15" s="40"/>
      <c r="T15" s="40"/>
    </row>
    <row r="16" spans="1:20" ht="12.75" customHeight="1" x14ac:dyDescent="0.25">
      <c r="A16" s="71"/>
      <c r="B16" s="47"/>
      <c r="C16" s="55"/>
      <c r="D16" s="55"/>
      <c r="E16" s="55"/>
      <c r="F16" s="51"/>
      <c r="G16" s="51"/>
      <c r="H16" s="51"/>
      <c r="I16" s="51"/>
      <c r="J16" s="51"/>
      <c r="K16" s="51"/>
      <c r="L16" s="51"/>
      <c r="M16" s="42"/>
      <c r="N16" s="42"/>
      <c r="O16" s="42"/>
      <c r="P16" s="42"/>
      <c r="Q16" s="42"/>
      <c r="R16" s="42"/>
      <c r="S16" s="42"/>
      <c r="T16" s="42"/>
    </row>
    <row r="17" spans="1:20" ht="20.25" x14ac:dyDescent="0.3">
      <c r="A17" s="75"/>
      <c r="B17" s="76"/>
      <c r="C17" s="76"/>
      <c r="D17" s="76"/>
      <c r="E17" s="76"/>
      <c r="F17" s="76"/>
      <c r="G17" s="76"/>
      <c r="H17" s="644" t="s">
        <v>333</v>
      </c>
      <c r="I17" s="645"/>
      <c r="J17" s="645"/>
      <c r="K17" s="644" t="s">
        <v>458</v>
      </c>
      <c r="L17" s="645"/>
      <c r="M17" s="42"/>
      <c r="N17" s="42"/>
      <c r="O17" s="42"/>
      <c r="P17" s="42"/>
      <c r="Q17" s="42"/>
      <c r="R17" s="42"/>
      <c r="S17" s="42"/>
      <c r="T17" s="42"/>
    </row>
    <row r="18" spans="1:20" ht="38.25" customHeight="1" thickBot="1" x14ac:dyDescent="0.4">
      <c r="A18" s="75"/>
      <c r="B18" s="646" t="s">
        <v>459</v>
      </c>
      <c r="C18" s="76"/>
      <c r="D18" s="79" t="s">
        <v>460</v>
      </c>
      <c r="E18" s="79" t="s">
        <v>91</v>
      </c>
      <c r="F18" s="80" t="s">
        <v>92</v>
      </c>
      <c r="G18" s="129"/>
      <c r="H18" s="79" t="s">
        <v>460</v>
      </c>
      <c r="I18" s="79" t="s">
        <v>461</v>
      </c>
      <c r="J18" s="645"/>
      <c r="K18" s="79" t="s">
        <v>460</v>
      </c>
      <c r="L18" s="79" t="s">
        <v>461</v>
      </c>
      <c r="M18" s="83"/>
      <c r="N18" s="42"/>
      <c r="O18" s="42"/>
      <c r="P18" s="42"/>
      <c r="Q18" s="42"/>
      <c r="R18" s="42"/>
      <c r="S18" s="42"/>
      <c r="T18" s="42"/>
    </row>
    <row r="19" spans="1:20" ht="20.25" x14ac:dyDescent="0.3">
      <c r="A19" s="84"/>
      <c r="B19" s="647" t="str">
        <f>+Cover!C19</f>
        <v>ROW / Easements / Land purchases</v>
      </c>
      <c r="C19" s="85"/>
      <c r="D19" s="648">
        <f t="shared" ref="D19:E34" si="0">SUM(H19,K19)</f>
        <v>0</v>
      </c>
      <c r="E19" s="86">
        <f t="shared" si="0"/>
        <v>0</v>
      </c>
      <c r="F19" s="87">
        <f t="shared" ref="F19:F34" si="1">IF($E$35=0,0,+E19/$E$35)</f>
        <v>0</v>
      </c>
      <c r="G19" s="76"/>
      <c r="H19" s="649">
        <f>+H89</f>
        <v>0</v>
      </c>
      <c r="I19" s="86">
        <f>+I89</f>
        <v>0</v>
      </c>
      <c r="J19" s="645"/>
      <c r="K19" s="649">
        <f>+K89</f>
        <v>0</v>
      </c>
      <c r="L19" s="86">
        <f>+L89</f>
        <v>0</v>
      </c>
      <c r="M19" s="92"/>
      <c r="N19" s="42"/>
      <c r="O19" s="42"/>
      <c r="P19" s="42"/>
      <c r="Q19" s="42"/>
      <c r="R19" s="42"/>
      <c r="S19" s="42"/>
      <c r="T19" s="42"/>
    </row>
    <row r="20" spans="1:20" ht="18" customHeight="1" x14ac:dyDescent="0.3">
      <c r="A20" s="84"/>
      <c r="B20" s="647" t="str">
        <f>+Cover!C20</f>
        <v>Environmental Approvals / Permits</v>
      </c>
      <c r="C20" s="85"/>
      <c r="D20" s="648">
        <f t="shared" si="0"/>
        <v>0</v>
      </c>
      <c r="E20" s="86">
        <f t="shared" si="0"/>
        <v>0</v>
      </c>
      <c r="F20" s="87">
        <f t="shared" si="1"/>
        <v>0</v>
      </c>
      <c r="G20" s="76"/>
      <c r="H20" s="649">
        <f>+H106</f>
        <v>0</v>
      </c>
      <c r="I20" s="86">
        <f>+I106</f>
        <v>0</v>
      </c>
      <c r="J20" s="645"/>
      <c r="K20" s="649">
        <f>+K106</f>
        <v>0</v>
      </c>
      <c r="L20" s="86">
        <f>+L106</f>
        <v>0</v>
      </c>
      <c r="M20" s="92"/>
      <c r="N20" s="42"/>
      <c r="O20" s="42"/>
      <c r="P20" s="42"/>
      <c r="Q20" s="42"/>
      <c r="R20" s="42"/>
      <c r="S20" s="42"/>
      <c r="T20" s="42"/>
    </row>
    <row r="21" spans="1:20" ht="20.25" x14ac:dyDescent="0.3">
      <c r="A21" s="84"/>
      <c r="B21" s="647" t="str">
        <f>+Cover!C21</f>
        <v>Outreach</v>
      </c>
      <c r="C21" s="85" t="s">
        <v>96</v>
      </c>
      <c r="D21" s="648">
        <f t="shared" si="0"/>
        <v>0</v>
      </c>
      <c r="E21" s="86">
        <f t="shared" si="0"/>
        <v>0</v>
      </c>
      <c r="F21" s="87">
        <f t="shared" si="1"/>
        <v>0</v>
      </c>
      <c r="G21" s="76"/>
      <c r="H21" s="649">
        <f>+H124</f>
        <v>0</v>
      </c>
      <c r="I21" s="86">
        <f>+I124</f>
        <v>0</v>
      </c>
      <c r="J21" s="645"/>
      <c r="K21" s="649">
        <f>+K124</f>
        <v>0</v>
      </c>
      <c r="L21" s="86">
        <f>+L124</f>
        <v>0</v>
      </c>
      <c r="M21" s="92"/>
      <c r="N21" s="42"/>
      <c r="O21" s="42"/>
      <c r="P21" s="42"/>
      <c r="Q21" s="42"/>
      <c r="R21" s="42"/>
      <c r="S21" s="42"/>
      <c r="T21" s="42"/>
    </row>
    <row r="22" spans="1:20" ht="20.25" x14ac:dyDescent="0.3">
      <c r="A22" s="84"/>
      <c r="B22" s="647" t="str">
        <f>+Cover!C22</f>
        <v>Siting Approvals / Permits</v>
      </c>
      <c r="C22" s="85"/>
      <c r="D22" s="648">
        <f t="shared" si="0"/>
        <v>0</v>
      </c>
      <c r="E22" s="86">
        <f t="shared" si="0"/>
        <v>0</v>
      </c>
      <c r="F22" s="87">
        <f t="shared" si="1"/>
        <v>0</v>
      </c>
      <c r="G22" s="76"/>
      <c r="H22" s="649">
        <f>+H117</f>
        <v>0</v>
      </c>
      <c r="I22" s="86">
        <f>+I117</f>
        <v>0</v>
      </c>
      <c r="J22" s="645"/>
      <c r="K22" s="649">
        <f>+K117</f>
        <v>0</v>
      </c>
      <c r="L22" s="86">
        <f>+L117</f>
        <v>0</v>
      </c>
      <c r="M22" s="92"/>
      <c r="N22" s="42"/>
      <c r="O22" s="42"/>
      <c r="P22" s="42"/>
      <c r="Q22" s="42"/>
      <c r="R22" s="42"/>
      <c r="S22" s="42"/>
      <c r="T22" s="42"/>
    </row>
    <row r="23" spans="1:20" ht="20.25" x14ac:dyDescent="0.3">
      <c r="A23" s="84"/>
      <c r="B23" s="647" t="str">
        <f>+Cover!C23</f>
        <v>Engineering / Design</v>
      </c>
      <c r="C23" s="85"/>
      <c r="D23" s="648">
        <f t="shared" si="0"/>
        <v>0</v>
      </c>
      <c r="E23" s="86">
        <f t="shared" si="0"/>
        <v>0</v>
      </c>
      <c r="F23" s="87">
        <f t="shared" si="1"/>
        <v>0</v>
      </c>
      <c r="G23" s="76"/>
      <c r="H23" s="649">
        <f>+H96</f>
        <v>0</v>
      </c>
      <c r="I23" s="86">
        <f>+I96</f>
        <v>0</v>
      </c>
      <c r="J23" s="645"/>
      <c r="K23" s="649">
        <f>+K96</f>
        <v>0</v>
      </c>
      <c r="L23" s="86">
        <f>+L96</f>
        <v>0</v>
      </c>
      <c r="M23" s="92"/>
      <c r="N23" s="42"/>
      <c r="O23" s="42"/>
      <c r="P23" s="42"/>
      <c r="Q23" s="42"/>
      <c r="R23" s="42"/>
      <c r="S23" s="42"/>
      <c r="T23" s="42"/>
    </row>
    <row r="24" spans="1:20" ht="22.5" customHeight="1" x14ac:dyDescent="0.3">
      <c r="A24" s="84"/>
      <c r="B24" s="647" t="str">
        <f>+Cover!C24</f>
        <v>Materials ( Eversource purchased)</v>
      </c>
      <c r="C24" s="85"/>
      <c r="D24" s="648">
        <f t="shared" si="0"/>
        <v>0</v>
      </c>
      <c r="E24" s="86">
        <f t="shared" si="0"/>
        <v>0</v>
      </c>
      <c r="F24" s="87">
        <f t="shared" si="1"/>
        <v>0</v>
      </c>
      <c r="G24" s="76"/>
      <c r="H24" s="649">
        <f>+H133</f>
        <v>0</v>
      </c>
      <c r="I24" s="86">
        <f>+I133</f>
        <v>0</v>
      </c>
      <c r="J24" s="645"/>
      <c r="K24" s="649">
        <f>+K133</f>
        <v>0</v>
      </c>
      <c r="L24" s="86">
        <f>+L133</f>
        <v>0</v>
      </c>
      <c r="M24" s="92"/>
      <c r="N24" s="42"/>
      <c r="O24" s="42"/>
      <c r="P24" s="42"/>
      <c r="Q24" s="42"/>
      <c r="R24" s="42"/>
      <c r="S24" s="42"/>
      <c r="T24" s="42"/>
    </row>
    <row r="25" spans="1:20" ht="22.5" customHeight="1" x14ac:dyDescent="0.3">
      <c r="A25" s="84"/>
      <c r="B25" s="647" t="str">
        <f>+Cover!C25</f>
        <v>Construction  ( incl materials by contractors)</v>
      </c>
      <c r="C25" s="77"/>
      <c r="D25" s="648">
        <f t="shared" si="0"/>
        <v>0</v>
      </c>
      <c r="E25" s="86">
        <f t="shared" si="0"/>
        <v>0</v>
      </c>
      <c r="F25" s="87">
        <f t="shared" si="1"/>
        <v>0</v>
      </c>
      <c r="G25" s="76"/>
      <c r="H25" s="649">
        <f>+H131</f>
        <v>0</v>
      </c>
      <c r="I25" s="86">
        <f>+I131</f>
        <v>0</v>
      </c>
      <c r="J25" s="645"/>
      <c r="K25" s="649">
        <f>+K131</f>
        <v>0</v>
      </c>
      <c r="L25" s="86">
        <f>+L131</f>
        <v>0</v>
      </c>
      <c r="M25" s="95"/>
      <c r="N25" s="42"/>
      <c r="O25" s="42"/>
      <c r="P25" s="42"/>
      <c r="Q25" s="42"/>
      <c r="R25" s="42"/>
      <c r="S25" s="42"/>
      <c r="T25" s="42"/>
    </row>
    <row r="26" spans="1:20" ht="22.5" customHeight="1" x14ac:dyDescent="0.35">
      <c r="A26" s="93"/>
      <c r="B26" s="647" t="str">
        <f>+Cover!C26</f>
        <v>Testing / Commissioning</v>
      </c>
      <c r="C26" s="94"/>
      <c r="D26" s="648">
        <f t="shared" si="0"/>
        <v>0</v>
      </c>
      <c r="E26" s="86">
        <f t="shared" si="0"/>
        <v>0</v>
      </c>
      <c r="F26" s="87">
        <f t="shared" si="1"/>
        <v>0</v>
      </c>
      <c r="G26" s="76"/>
      <c r="H26" s="649">
        <f>+H140</f>
        <v>0</v>
      </c>
      <c r="I26" s="86">
        <f>+I140</f>
        <v>0</v>
      </c>
      <c r="J26" s="645"/>
      <c r="K26" s="649">
        <f>+K140</f>
        <v>0</v>
      </c>
      <c r="L26" s="86">
        <f>+L140</f>
        <v>0</v>
      </c>
      <c r="M26" s="95"/>
      <c r="N26" s="42"/>
      <c r="O26" s="42"/>
      <c r="P26" s="42"/>
      <c r="Q26" s="42"/>
      <c r="R26" s="42"/>
      <c r="S26" s="42"/>
      <c r="T26" s="42"/>
    </row>
    <row r="27" spans="1:20" ht="22.5" customHeight="1" x14ac:dyDescent="0.35">
      <c r="A27" s="93"/>
      <c r="B27" s="647" t="str">
        <f>+Cover!C27</f>
        <v>PMT Project Mgmt Team</v>
      </c>
      <c r="C27" s="94"/>
      <c r="D27" s="648">
        <f t="shared" si="0"/>
        <v>0</v>
      </c>
      <c r="E27" s="86">
        <f t="shared" si="0"/>
        <v>0</v>
      </c>
      <c r="F27" s="87">
        <f t="shared" si="1"/>
        <v>0</v>
      </c>
      <c r="G27" s="76"/>
      <c r="H27" s="649">
        <f>+H150</f>
        <v>0</v>
      </c>
      <c r="I27" s="86">
        <f>+I150</f>
        <v>0</v>
      </c>
      <c r="J27" s="645"/>
      <c r="K27" s="649">
        <f>+K150</f>
        <v>0</v>
      </c>
      <c r="L27" s="86">
        <f>+L150</f>
        <v>0</v>
      </c>
      <c r="M27" s="95"/>
      <c r="N27" s="42"/>
      <c r="O27" s="42"/>
      <c r="P27" s="42"/>
      <c r="Q27" s="42"/>
      <c r="R27" s="42"/>
      <c r="S27" s="42"/>
      <c r="T27" s="42"/>
    </row>
    <row r="28" spans="1:20" ht="22.5" customHeight="1" x14ac:dyDescent="0.35">
      <c r="A28" s="93"/>
      <c r="B28" s="647" t="str">
        <f>+Cover!C28</f>
        <v>Removals</v>
      </c>
      <c r="C28" s="94"/>
      <c r="D28" s="648">
        <f t="shared" si="0"/>
        <v>0</v>
      </c>
      <c r="E28" s="86">
        <f t="shared" si="0"/>
        <v>0</v>
      </c>
      <c r="F28" s="87">
        <f t="shared" si="1"/>
        <v>0</v>
      </c>
      <c r="G28" s="76"/>
      <c r="H28" s="649">
        <f>+H161</f>
        <v>0</v>
      </c>
      <c r="I28" s="86">
        <f>+I161</f>
        <v>0</v>
      </c>
      <c r="J28" s="645"/>
      <c r="K28" s="649">
        <f>+K161</f>
        <v>0</v>
      </c>
      <c r="L28" s="86">
        <f>+L161</f>
        <v>0</v>
      </c>
      <c r="M28" s="95"/>
      <c r="N28" s="42"/>
      <c r="O28" s="42"/>
      <c r="P28" s="42"/>
      <c r="Q28" s="42"/>
      <c r="R28" s="42"/>
      <c r="S28" s="42"/>
      <c r="T28" s="42"/>
    </row>
    <row r="29" spans="1:20" ht="22.5" customHeight="1" x14ac:dyDescent="0.35">
      <c r="A29" s="93"/>
      <c r="B29" s="647" t="str">
        <f>+Cover!C29</f>
        <v>Other ( property taxes and BAR)</v>
      </c>
      <c r="C29" s="94"/>
      <c r="D29" s="648">
        <f t="shared" ref="D29:D30" si="2">SUM(H29,K29)</f>
        <v>0</v>
      </c>
      <c r="E29" s="86">
        <f t="shared" ref="E29:E30" si="3">SUM(I29,L29)</f>
        <v>0</v>
      </c>
      <c r="F29" s="87">
        <f t="shared" si="1"/>
        <v>0</v>
      </c>
      <c r="G29" s="76"/>
      <c r="H29" s="649">
        <f t="shared" ref="H29:I29" si="4">+H162</f>
        <v>0</v>
      </c>
      <c r="I29" s="86">
        <f t="shared" si="4"/>
        <v>0</v>
      </c>
      <c r="J29" s="645"/>
      <c r="K29" s="649">
        <f t="shared" ref="K29:L29" si="5">+K162</f>
        <v>0</v>
      </c>
      <c r="L29" s="86">
        <f t="shared" si="5"/>
        <v>0</v>
      </c>
      <c r="M29" s="95"/>
      <c r="N29" s="42"/>
      <c r="O29" s="42"/>
      <c r="P29" s="42"/>
      <c r="Q29" s="42"/>
      <c r="R29" s="42"/>
      <c r="S29" s="42"/>
      <c r="T29" s="42"/>
    </row>
    <row r="30" spans="1:20" ht="22.5" customHeight="1" x14ac:dyDescent="0.35">
      <c r="A30" s="93"/>
      <c r="B30" s="647" t="str">
        <f>+Cover!C30</f>
        <v>Risks</v>
      </c>
      <c r="C30" s="94"/>
      <c r="D30" s="648">
        <f t="shared" si="2"/>
        <v>0</v>
      </c>
      <c r="E30" s="86">
        <f t="shared" si="3"/>
        <v>0</v>
      </c>
      <c r="F30" s="87">
        <f t="shared" si="1"/>
        <v>0</v>
      </c>
      <c r="G30" s="76"/>
      <c r="H30" s="649">
        <f t="shared" ref="H30:I30" si="6">+H163</f>
        <v>0</v>
      </c>
      <c r="I30" s="86">
        <f t="shared" si="6"/>
        <v>0</v>
      </c>
      <c r="J30" s="645"/>
      <c r="K30" s="649">
        <f t="shared" ref="K30:L30" si="7">+K163</f>
        <v>0</v>
      </c>
      <c r="L30" s="86">
        <f t="shared" si="7"/>
        <v>0</v>
      </c>
      <c r="M30" s="95"/>
      <c r="N30" s="42"/>
      <c r="O30" s="42"/>
      <c r="P30" s="42"/>
      <c r="Q30" s="42"/>
      <c r="R30" s="42"/>
      <c r="S30" s="42"/>
      <c r="T30" s="42"/>
    </row>
    <row r="31" spans="1:20" ht="22.5" customHeight="1" x14ac:dyDescent="0.35">
      <c r="A31" s="93"/>
      <c r="B31" s="647" t="str">
        <f>+Cover!C34</f>
        <v>Indirects/Overhead</v>
      </c>
      <c r="C31" s="94"/>
      <c r="D31" s="648">
        <f t="shared" ref="D31:D33" si="8">SUM(H31,K31)</f>
        <v>0</v>
      </c>
      <c r="E31" s="86">
        <f t="shared" ref="E31:E33" si="9">SUM(I31,L31)</f>
        <v>0</v>
      </c>
      <c r="F31" s="87">
        <f t="shared" si="1"/>
        <v>0</v>
      </c>
      <c r="G31" s="76"/>
      <c r="H31" s="649">
        <f t="shared" ref="H31:I31" si="10">+H164</f>
        <v>0</v>
      </c>
      <c r="I31" s="86">
        <f t="shared" si="10"/>
        <v>0</v>
      </c>
      <c r="J31" s="645"/>
      <c r="K31" s="649">
        <f t="shared" ref="K31:L31" si="11">+K164</f>
        <v>0</v>
      </c>
      <c r="L31" s="86">
        <f t="shared" si="11"/>
        <v>0</v>
      </c>
      <c r="M31" s="95"/>
      <c r="N31" s="42"/>
      <c r="O31" s="42"/>
      <c r="P31" s="42"/>
      <c r="Q31" s="42"/>
      <c r="R31" s="42"/>
      <c r="S31" s="42"/>
      <c r="T31" s="42"/>
    </row>
    <row r="32" spans="1:20" ht="22.5" customHeight="1" x14ac:dyDescent="0.35">
      <c r="A32" s="93"/>
      <c r="B32" s="647" t="str">
        <f>+Cover!C35</f>
        <v>AFUDC</v>
      </c>
      <c r="C32" s="94"/>
      <c r="D32" s="648">
        <f t="shared" si="8"/>
        <v>0</v>
      </c>
      <c r="E32" s="86">
        <f t="shared" si="9"/>
        <v>0</v>
      </c>
      <c r="F32" s="87">
        <f t="shared" si="1"/>
        <v>0</v>
      </c>
      <c r="G32" s="76"/>
      <c r="H32" s="649">
        <f t="shared" ref="H32:I32" si="12">+H165</f>
        <v>0</v>
      </c>
      <c r="I32" s="86">
        <f t="shared" si="12"/>
        <v>0</v>
      </c>
      <c r="J32" s="645"/>
      <c r="K32" s="649">
        <f t="shared" ref="K32:L32" si="13">+K165</f>
        <v>0</v>
      </c>
      <c r="L32" s="86">
        <f t="shared" si="13"/>
        <v>0</v>
      </c>
      <c r="M32" s="95"/>
      <c r="N32" s="42"/>
      <c r="O32" s="42"/>
      <c r="P32" s="42"/>
      <c r="Q32" s="42"/>
      <c r="R32" s="42"/>
      <c r="S32" s="42"/>
      <c r="T32" s="42"/>
    </row>
    <row r="33" spans="1:20" ht="22.5" customHeight="1" x14ac:dyDescent="0.35">
      <c r="A33" s="93"/>
      <c r="B33" s="647" t="str">
        <f>+Cover!C43</f>
        <v>Reimbursables/Customer Contribution</v>
      </c>
      <c r="C33" s="94"/>
      <c r="D33" s="648">
        <f t="shared" si="8"/>
        <v>0</v>
      </c>
      <c r="E33" s="86">
        <f t="shared" si="9"/>
        <v>0</v>
      </c>
      <c r="F33" s="87">
        <f t="shared" si="1"/>
        <v>0</v>
      </c>
      <c r="G33" s="76"/>
      <c r="H33" s="649">
        <f t="shared" ref="H33:I33" si="14">+H166</f>
        <v>0</v>
      </c>
      <c r="I33" s="86">
        <f t="shared" si="14"/>
        <v>0</v>
      </c>
      <c r="J33" s="645"/>
      <c r="K33" s="649">
        <f t="shared" ref="K33:L33" si="15">+K166</f>
        <v>0</v>
      </c>
      <c r="L33" s="86">
        <f t="shared" si="15"/>
        <v>0</v>
      </c>
      <c r="M33" s="95"/>
      <c r="N33" s="42"/>
      <c r="O33" s="42"/>
      <c r="P33" s="42"/>
      <c r="Q33" s="42"/>
      <c r="R33" s="42"/>
      <c r="S33" s="42"/>
      <c r="T33" s="42"/>
    </row>
    <row r="34" spans="1:20" ht="22.5" customHeight="1" thickBot="1" x14ac:dyDescent="0.4">
      <c r="A34" s="93"/>
      <c r="B34" s="647"/>
      <c r="C34" s="94"/>
      <c r="D34" s="648">
        <f t="shared" si="0"/>
        <v>0</v>
      </c>
      <c r="E34" s="86">
        <f t="shared" si="0"/>
        <v>0</v>
      </c>
      <c r="F34" s="87">
        <f t="shared" si="1"/>
        <v>0</v>
      </c>
      <c r="G34" s="76"/>
      <c r="H34" s="649">
        <f>+H163</f>
        <v>0</v>
      </c>
      <c r="I34" s="86">
        <f>+I163</f>
        <v>0</v>
      </c>
      <c r="J34" s="645"/>
      <c r="K34" s="649">
        <f>+K163</f>
        <v>0</v>
      </c>
      <c r="L34" s="86">
        <f>+L163</f>
        <v>0</v>
      </c>
      <c r="M34" s="95"/>
      <c r="N34" s="42"/>
      <c r="O34" s="42"/>
      <c r="P34" s="42"/>
      <c r="Q34" s="42"/>
      <c r="R34" s="42"/>
      <c r="S34" s="42"/>
      <c r="T34" s="42"/>
    </row>
    <row r="35" spans="1:20" ht="22.5" customHeight="1" x14ac:dyDescent="0.35">
      <c r="A35" s="93"/>
      <c r="B35" s="650" t="s">
        <v>101</v>
      </c>
      <c r="C35" s="94"/>
      <c r="D35" s="651">
        <f>SUM(D19:D34)</f>
        <v>0</v>
      </c>
      <c r="E35" s="99">
        <f>SUM(E19:E34)</f>
        <v>0</v>
      </c>
      <c r="F35" s="100">
        <f>SUM(F19:F34)</f>
        <v>0</v>
      </c>
      <c r="G35" s="76"/>
      <c r="H35" s="651">
        <f>SUM(H19:H34)</f>
        <v>0</v>
      </c>
      <c r="I35" s="99">
        <f>SUM(I19:I34)</f>
        <v>0</v>
      </c>
      <c r="J35" s="645"/>
      <c r="K35" s="651">
        <f>SUM(K19:K34)</f>
        <v>0</v>
      </c>
      <c r="L35" s="99">
        <f>SUM(L19:L34)</f>
        <v>0</v>
      </c>
      <c r="M35" s="102"/>
      <c r="N35" s="42"/>
      <c r="O35" s="42"/>
      <c r="P35" s="42"/>
      <c r="Q35" s="42"/>
      <c r="R35" s="42"/>
      <c r="S35" s="42"/>
      <c r="T35" s="42"/>
    </row>
    <row r="36" spans="1:20" ht="22.5" customHeight="1" x14ac:dyDescent="0.35">
      <c r="A36" s="93"/>
      <c r="B36" s="650"/>
      <c r="C36" s="94"/>
      <c r="D36" s="94"/>
      <c r="E36" s="104"/>
      <c r="F36" s="105"/>
      <c r="G36" s="104"/>
      <c r="H36" s="105"/>
      <c r="I36" s="104"/>
      <c r="J36" s="645"/>
      <c r="K36" s="105"/>
      <c r="L36" s="104"/>
      <c r="M36" s="105"/>
      <c r="N36" s="42"/>
      <c r="O36" s="42"/>
      <c r="P36" s="42"/>
      <c r="Q36" s="42"/>
      <c r="R36" s="42"/>
      <c r="S36" s="42"/>
      <c r="T36" s="42"/>
    </row>
    <row r="37" spans="1:20" ht="22.5" customHeight="1" x14ac:dyDescent="0.25">
      <c r="A37" s="97"/>
      <c r="B37" s="652"/>
      <c r="C37" s="77"/>
      <c r="D37" s="77"/>
      <c r="E37" s="107"/>
      <c r="F37" s="108"/>
      <c r="G37" s="107"/>
      <c r="H37" s="109"/>
      <c r="I37" s="42"/>
      <c r="J37" s="645"/>
      <c r="K37" s="42"/>
      <c r="L37" s="42"/>
      <c r="M37" s="42"/>
      <c r="N37" s="42"/>
      <c r="O37" s="42"/>
      <c r="P37" s="42"/>
      <c r="Q37" s="42"/>
      <c r="R37" s="42"/>
      <c r="S37" s="42"/>
      <c r="T37" s="42"/>
    </row>
    <row r="38" spans="1:20" ht="22.5" customHeight="1" x14ac:dyDescent="0.35">
      <c r="A38" s="97"/>
      <c r="B38" s="653" t="s">
        <v>102</v>
      </c>
      <c r="C38" s="94"/>
      <c r="D38" s="94"/>
      <c r="E38" s="111">
        <f>+'Data Input sheet'!G15</f>
        <v>-0.25</v>
      </c>
      <c r="F38" s="112" t="s">
        <v>103</v>
      </c>
      <c r="G38" s="113">
        <f>+'Data Input sheet'!J15</f>
        <v>0.5</v>
      </c>
      <c r="H38" s="114"/>
      <c r="I38" s="115"/>
      <c r="J38" s="645"/>
      <c r="K38" s="115"/>
      <c r="L38" s="115"/>
      <c r="M38" s="115"/>
      <c r="N38" s="42"/>
      <c r="O38" s="42"/>
      <c r="P38" s="42"/>
      <c r="Q38" s="42"/>
      <c r="R38" s="42"/>
      <c r="S38" s="42"/>
      <c r="T38" s="42"/>
    </row>
    <row r="39" spans="1:20" ht="22.5" customHeight="1" x14ac:dyDescent="0.35">
      <c r="A39" s="97"/>
      <c r="B39" s="652"/>
      <c r="C39" s="77"/>
      <c r="D39" s="77"/>
      <c r="E39" s="107">
        <f>ROUND(E35*(100%+E38),-2)</f>
        <v>0</v>
      </c>
      <c r="F39" s="108" t="s">
        <v>103</v>
      </c>
      <c r="G39" s="107">
        <f>ROUND(E35+(E35*G38),-2)</f>
        <v>0</v>
      </c>
      <c r="H39" s="116"/>
      <c r="I39" s="115"/>
      <c r="J39" s="645"/>
      <c r="K39" s="117"/>
      <c r="L39" s="42"/>
      <c r="M39" s="117"/>
      <c r="N39" s="117"/>
      <c r="O39" s="117"/>
      <c r="P39" s="117"/>
      <c r="Q39" s="118"/>
      <c r="R39" s="118"/>
      <c r="S39" s="118"/>
      <c r="T39" s="118"/>
    </row>
    <row r="40" spans="1:20" ht="18" customHeight="1" x14ac:dyDescent="0.25">
      <c r="A40" s="119"/>
      <c r="B40" s="654"/>
      <c r="C40" s="120"/>
      <c r="D40" s="120"/>
      <c r="E40" s="120"/>
      <c r="F40" s="120"/>
      <c r="G40" s="120"/>
      <c r="H40" s="120"/>
      <c r="I40" s="66"/>
      <c r="J40" s="66"/>
      <c r="K40" s="66"/>
      <c r="L40" s="66"/>
      <c r="M40" s="66"/>
      <c r="N40" s="66"/>
      <c r="O40" s="66"/>
      <c r="P40" s="121"/>
      <c r="Q40" s="66"/>
      <c r="R40" s="66"/>
      <c r="S40" s="66"/>
      <c r="T40" s="120"/>
    </row>
    <row r="41" spans="1:20" ht="12.75" customHeight="1" x14ac:dyDescent="0.25">
      <c r="A41" s="97"/>
      <c r="B41" s="655"/>
      <c r="C41" s="51"/>
      <c r="D41" s="51"/>
      <c r="E41" s="51"/>
      <c r="F41" s="51"/>
      <c r="G41" s="51"/>
      <c r="H41" s="51"/>
      <c r="I41" s="51"/>
      <c r="J41" s="51"/>
      <c r="K41" s="51"/>
      <c r="L41" s="51"/>
      <c r="M41" s="51"/>
      <c r="N41" s="51"/>
      <c r="O41" s="51"/>
      <c r="P41" s="51"/>
      <c r="Q41" s="51"/>
      <c r="R41" s="51"/>
      <c r="S41" s="51"/>
      <c r="T41" s="51"/>
    </row>
    <row r="42" spans="1:20" ht="12.75" customHeight="1" x14ac:dyDescent="0.25">
      <c r="A42" s="97"/>
      <c r="B42" s="66"/>
      <c r="C42" s="120"/>
      <c r="D42" s="120"/>
      <c r="E42" s="120"/>
      <c r="F42" s="120"/>
      <c r="G42" s="120"/>
      <c r="H42" s="120"/>
      <c r="I42" s="120"/>
      <c r="J42" s="120"/>
      <c r="K42" s="120"/>
      <c r="L42" s="120"/>
      <c r="M42" s="120"/>
      <c r="N42" s="120"/>
      <c r="O42" s="120"/>
      <c r="P42" s="120"/>
      <c r="Q42" s="120"/>
      <c r="R42" s="120"/>
      <c r="S42" s="120"/>
      <c r="T42" s="120"/>
    </row>
    <row r="43" spans="1:20" ht="12.75" customHeight="1" x14ac:dyDescent="0.25">
      <c r="A43" s="97"/>
      <c r="B43" s="640"/>
      <c r="C43" s="72"/>
      <c r="D43" s="72"/>
      <c r="E43" s="72"/>
      <c r="F43" s="72"/>
      <c r="G43" s="72"/>
      <c r="H43" s="72"/>
      <c r="I43" s="72"/>
      <c r="J43" s="72"/>
      <c r="K43" s="72"/>
      <c r="L43" s="72"/>
      <c r="M43" s="72"/>
      <c r="N43" s="72"/>
      <c r="O43" s="72"/>
      <c r="P43" s="72"/>
      <c r="Q43" s="72"/>
      <c r="R43" s="72"/>
      <c r="S43" s="72"/>
      <c r="T43" s="656"/>
    </row>
    <row r="44" spans="1:20" ht="20.85" customHeight="1" thickBot="1" x14ac:dyDescent="0.3">
      <c r="A44" s="97"/>
      <c r="B44" s="657"/>
      <c r="C44" s="51"/>
      <c r="D44" s="51"/>
      <c r="E44" s="51"/>
      <c r="F44" s="51"/>
      <c r="G44" s="51"/>
      <c r="H44" s="79" t="s">
        <v>463</v>
      </c>
      <c r="I44" s="51"/>
      <c r="J44" s="51"/>
      <c r="K44" s="51"/>
      <c r="L44" s="51"/>
      <c r="M44" s="51"/>
      <c r="N44" s="51"/>
      <c r="O44" s="51"/>
      <c r="P44" s="51"/>
      <c r="Q44" s="51"/>
      <c r="R44" s="51"/>
      <c r="S44" s="51"/>
      <c r="T44" s="60"/>
    </row>
    <row r="45" spans="1:20" ht="20.100000000000001" customHeight="1" thickBot="1" x14ac:dyDescent="0.4">
      <c r="A45" s="97"/>
      <c r="B45" s="658" t="s">
        <v>464</v>
      </c>
      <c r="C45" s="76"/>
      <c r="D45" s="51"/>
      <c r="E45" s="79" t="s">
        <v>91</v>
      </c>
      <c r="F45" s="80" t="s">
        <v>92</v>
      </c>
      <c r="G45" s="51"/>
      <c r="H45" s="1855">
        <f>+'Data Input sheet'!D98</f>
        <v>45292</v>
      </c>
      <c r="I45" s="1855">
        <f>+'Data Input sheet'!G98</f>
        <v>45658</v>
      </c>
      <c r="J45" s="51"/>
      <c r="K45" s="1855">
        <f>+'Data Input sheet'!J98</f>
        <v>46023</v>
      </c>
      <c r="L45" s="1855">
        <f>+'Data Input sheet'!M98</f>
        <v>46388</v>
      </c>
      <c r="M45" s="659"/>
      <c r="N45" s="51"/>
      <c r="O45" s="659"/>
      <c r="P45" s="1855">
        <f>+'Data Input sheet'!P98</f>
        <v>46753</v>
      </c>
      <c r="Q45" s="659"/>
      <c r="R45" s="1855">
        <f>+'Data Input sheet'!S98</f>
        <v>47119</v>
      </c>
      <c r="S45" s="51"/>
      <c r="T45" s="60"/>
    </row>
    <row r="46" spans="1:20" ht="20.100000000000001" customHeight="1" x14ac:dyDescent="0.3">
      <c r="A46" s="97"/>
      <c r="B46" s="647" t="str">
        <f>+B19</f>
        <v>ROW / Easements / Land purchases</v>
      </c>
      <c r="C46" s="85"/>
      <c r="D46" s="51"/>
      <c r="E46" s="86">
        <f t="shared" ref="E46:E55" si="16">SUM(H46:R46)</f>
        <v>0</v>
      </c>
      <c r="F46" s="660">
        <f t="shared" ref="F46:F55" si="17">IF($E$35=0,0,+E46/$E$35)</f>
        <v>0</v>
      </c>
      <c r="G46" s="51"/>
      <c r="H46" s="661"/>
      <c r="I46" s="661">
        <f t="shared" ref="I46:I55" si="18">+I174</f>
        <v>0</v>
      </c>
      <c r="J46" s="51"/>
      <c r="K46" s="661"/>
      <c r="L46" s="661"/>
      <c r="M46" s="86"/>
      <c r="N46" s="86">
        <f t="shared" ref="N46:N55" si="19">+N174</f>
        <v>0</v>
      </c>
      <c r="O46" s="86"/>
      <c r="P46" s="661">
        <f t="shared" ref="P46:P55" si="20">+P174</f>
        <v>0</v>
      </c>
      <c r="Q46" s="86"/>
      <c r="R46" s="661">
        <f t="shared" ref="R46:R55" si="21">+R174</f>
        <v>0</v>
      </c>
      <c r="S46" s="51"/>
      <c r="T46" s="60"/>
    </row>
    <row r="47" spans="1:20" ht="20.100000000000001" customHeight="1" x14ac:dyDescent="0.3">
      <c r="A47" s="97"/>
      <c r="B47" s="647" t="str">
        <f t="shared" ref="B47:B60" si="22">+B20</f>
        <v>Environmental Approvals / Permits</v>
      </c>
      <c r="C47" s="85"/>
      <c r="D47" s="51"/>
      <c r="E47" s="86">
        <f t="shared" si="16"/>
        <v>0</v>
      </c>
      <c r="F47" s="660">
        <f t="shared" si="17"/>
        <v>0</v>
      </c>
      <c r="G47" s="51"/>
      <c r="H47" s="661"/>
      <c r="I47" s="661">
        <f t="shared" si="18"/>
        <v>0</v>
      </c>
      <c r="J47" s="51"/>
      <c r="K47" s="661"/>
      <c r="L47" s="661"/>
      <c r="M47" s="86"/>
      <c r="N47" s="86">
        <f t="shared" si="19"/>
        <v>0</v>
      </c>
      <c r="O47" s="86"/>
      <c r="P47" s="661">
        <f t="shared" si="20"/>
        <v>0</v>
      </c>
      <c r="Q47" s="86"/>
      <c r="R47" s="661">
        <f t="shared" si="21"/>
        <v>0</v>
      </c>
      <c r="S47" s="51"/>
      <c r="T47" s="60"/>
    </row>
    <row r="48" spans="1:20" ht="20.100000000000001" customHeight="1" x14ac:dyDescent="0.3">
      <c r="A48" s="97"/>
      <c r="B48" s="647" t="str">
        <f t="shared" si="22"/>
        <v>Outreach</v>
      </c>
      <c r="C48" s="85" t="s">
        <v>96</v>
      </c>
      <c r="D48" s="51"/>
      <c r="E48" s="86">
        <f t="shared" si="16"/>
        <v>0</v>
      </c>
      <c r="F48" s="660">
        <f t="shared" si="17"/>
        <v>0</v>
      </c>
      <c r="G48" s="51"/>
      <c r="H48" s="661"/>
      <c r="I48" s="661">
        <f t="shared" si="18"/>
        <v>0</v>
      </c>
      <c r="J48" s="51"/>
      <c r="K48" s="661"/>
      <c r="L48" s="661"/>
      <c r="M48" s="86"/>
      <c r="N48" s="86">
        <f t="shared" si="19"/>
        <v>0</v>
      </c>
      <c r="O48" s="86"/>
      <c r="P48" s="661">
        <f t="shared" si="20"/>
        <v>0</v>
      </c>
      <c r="Q48" s="86"/>
      <c r="R48" s="661">
        <f t="shared" si="21"/>
        <v>0</v>
      </c>
      <c r="S48" s="51"/>
      <c r="T48" s="60"/>
    </row>
    <row r="49" spans="1:20" ht="20.100000000000001" customHeight="1" x14ac:dyDescent="0.3">
      <c r="A49" s="97"/>
      <c r="B49" s="647" t="str">
        <f t="shared" si="22"/>
        <v>Siting Approvals / Permits</v>
      </c>
      <c r="C49" s="85"/>
      <c r="D49" s="51"/>
      <c r="E49" s="86">
        <f t="shared" si="16"/>
        <v>0</v>
      </c>
      <c r="F49" s="660">
        <f t="shared" si="17"/>
        <v>0</v>
      </c>
      <c r="G49" s="51"/>
      <c r="H49" s="661"/>
      <c r="I49" s="661">
        <f t="shared" si="18"/>
        <v>0</v>
      </c>
      <c r="J49" s="51"/>
      <c r="K49" s="661"/>
      <c r="L49" s="661"/>
      <c r="M49" s="86"/>
      <c r="N49" s="86">
        <f t="shared" si="19"/>
        <v>0</v>
      </c>
      <c r="O49" s="86"/>
      <c r="P49" s="661">
        <f t="shared" si="20"/>
        <v>0</v>
      </c>
      <c r="Q49" s="86"/>
      <c r="R49" s="661">
        <f t="shared" si="21"/>
        <v>0</v>
      </c>
      <c r="S49" s="51"/>
      <c r="T49" s="60"/>
    </row>
    <row r="50" spans="1:20" ht="20.100000000000001" customHeight="1" x14ac:dyDescent="0.3">
      <c r="A50" s="97"/>
      <c r="B50" s="647" t="str">
        <f t="shared" si="22"/>
        <v>Engineering / Design</v>
      </c>
      <c r="C50" s="85"/>
      <c r="D50" s="51"/>
      <c r="E50" s="86">
        <f t="shared" si="16"/>
        <v>0</v>
      </c>
      <c r="F50" s="660">
        <f t="shared" si="17"/>
        <v>0</v>
      </c>
      <c r="G50" s="51"/>
      <c r="H50" s="661"/>
      <c r="I50" s="661">
        <f t="shared" si="18"/>
        <v>0</v>
      </c>
      <c r="J50" s="51"/>
      <c r="K50" s="661"/>
      <c r="L50" s="661"/>
      <c r="M50" s="86"/>
      <c r="N50" s="86">
        <f t="shared" si="19"/>
        <v>0</v>
      </c>
      <c r="O50" s="86"/>
      <c r="P50" s="661">
        <f t="shared" si="20"/>
        <v>0</v>
      </c>
      <c r="Q50" s="86"/>
      <c r="R50" s="661">
        <f t="shared" si="21"/>
        <v>0</v>
      </c>
      <c r="S50" s="51"/>
      <c r="T50" s="60"/>
    </row>
    <row r="51" spans="1:20" ht="20.100000000000001" customHeight="1" x14ac:dyDescent="0.3">
      <c r="A51" s="97"/>
      <c r="B51" s="647" t="str">
        <f t="shared" si="22"/>
        <v>Materials ( Eversource purchased)</v>
      </c>
      <c r="C51" s="85"/>
      <c r="D51" s="51"/>
      <c r="E51" s="86">
        <f t="shared" si="16"/>
        <v>0</v>
      </c>
      <c r="F51" s="660">
        <f t="shared" si="17"/>
        <v>0</v>
      </c>
      <c r="G51" s="51"/>
      <c r="H51" s="661"/>
      <c r="I51" s="661">
        <f t="shared" si="18"/>
        <v>0</v>
      </c>
      <c r="J51" s="51"/>
      <c r="K51" s="661"/>
      <c r="L51" s="661"/>
      <c r="M51" s="86"/>
      <c r="N51" s="86">
        <f t="shared" si="19"/>
        <v>0</v>
      </c>
      <c r="O51" s="86"/>
      <c r="P51" s="661">
        <f t="shared" si="20"/>
        <v>0</v>
      </c>
      <c r="Q51" s="86"/>
      <c r="R51" s="661">
        <f t="shared" si="21"/>
        <v>0</v>
      </c>
      <c r="S51" s="51"/>
      <c r="T51" s="60"/>
    </row>
    <row r="52" spans="1:20" ht="20.100000000000001" customHeight="1" x14ac:dyDescent="0.25">
      <c r="A52" s="97"/>
      <c r="B52" s="647" t="str">
        <f t="shared" si="22"/>
        <v>Construction  ( incl materials by contractors)</v>
      </c>
      <c r="C52" s="77"/>
      <c r="D52" s="51"/>
      <c r="E52" s="86">
        <f t="shared" si="16"/>
        <v>0</v>
      </c>
      <c r="F52" s="660">
        <f t="shared" si="17"/>
        <v>0</v>
      </c>
      <c r="G52" s="51"/>
      <c r="H52" s="661"/>
      <c r="I52" s="661">
        <f t="shared" si="18"/>
        <v>0</v>
      </c>
      <c r="J52" s="51"/>
      <c r="K52" s="661"/>
      <c r="L52" s="661"/>
      <c r="M52" s="86"/>
      <c r="N52" s="86">
        <f t="shared" si="19"/>
        <v>0</v>
      </c>
      <c r="O52" s="86"/>
      <c r="P52" s="661">
        <f t="shared" si="20"/>
        <v>0</v>
      </c>
      <c r="Q52" s="86"/>
      <c r="R52" s="661">
        <f t="shared" si="21"/>
        <v>0</v>
      </c>
      <c r="S52" s="51"/>
      <c r="T52" s="60"/>
    </row>
    <row r="53" spans="1:20" ht="20.100000000000001" customHeight="1" x14ac:dyDescent="0.35">
      <c r="A53" s="97"/>
      <c r="B53" s="647" t="str">
        <f t="shared" si="22"/>
        <v>Testing / Commissioning</v>
      </c>
      <c r="C53" s="94"/>
      <c r="D53" s="51"/>
      <c r="E53" s="86">
        <f t="shared" si="16"/>
        <v>0</v>
      </c>
      <c r="F53" s="660">
        <f t="shared" si="17"/>
        <v>0</v>
      </c>
      <c r="G53" s="51"/>
      <c r="H53" s="661"/>
      <c r="I53" s="661">
        <f t="shared" si="18"/>
        <v>0</v>
      </c>
      <c r="J53" s="51"/>
      <c r="K53" s="661"/>
      <c r="L53" s="661"/>
      <c r="M53" s="86"/>
      <c r="N53" s="86">
        <f t="shared" si="19"/>
        <v>0</v>
      </c>
      <c r="O53" s="86"/>
      <c r="P53" s="661">
        <f t="shared" si="20"/>
        <v>0</v>
      </c>
      <c r="Q53" s="86"/>
      <c r="R53" s="661">
        <f t="shared" si="21"/>
        <v>0</v>
      </c>
      <c r="S53" s="51"/>
      <c r="T53" s="60"/>
    </row>
    <row r="54" spans="1:20" ht="20.100000000000001" customHeight="1" x14ac:dyDescent="0.35">
      <c r="A54" s="97"/>
      <c r="B54" s="647" t="str">
        <f t="shared" si="22"/>
        <v>PMT Project Mgmt Team</v>
      </c>
      <c r="C54" s="94"/>
      <c r="D54" s="51"/>
      <c r="E54" s="86">
        <f t="shared" si="16"/>
        <v>0</v>
      </c>
      <c r="F54" s="660">
        <f t="shared" si="17"/>
        <v>0</v>
      </c>
      <c r="G54" s="51"/>
      <c r="H54" s="661"/>
      <c r="I54" s="661">
        <f t="shared" si="18"/>
        <v>0</v>
      </c>
      <c r="J54" s="51"/>
      <c r="K54" s="661"/>
      <c r="L54" s="661"/>
      <c r="M54" s="86"/>
      <c r="N54" s="86">
        <f t="shared" si="19"/>
        <v>0</v>
      </c>
      <c r="O54" s="86"/>
      <c r="P54" s="661">
        <f t="shared" si="20"/>
        <v>0</v>
      </c>
      <c r="Q54" s="86"/>
      <c r="R54" s="661">
        <f t="shared" si="21"/>
        <v>0</v>
      </c>
      <c r="S54" s="51"/>
      <c r="T54" s="60"/>
    </row>
    <row r="55" spans="1:20" ht="20.100000000000001" customHeight="1" x14ac:dyDescent="0.35">
      <c r="A55" s="97"/>
      <c r="B55" s="647" t="str">
        <f t="shared" si="22"/>
        <v>Removals</v>
      </c>
      <c r="C55" s="94"/>
      <c r="D55" s="51"/>
      <c r="E55" s="86">
        <f t="shared" si="16"/>
        <v>0</v>
      </c>
      <c r="F55" s="660">
        <f t="shared" si="17"/>
        <v>0</v>
      </c>
      <c r="G55" s="51"/>
      <c r="H55" s="661"/>
      <c r="I55" s="661">
        <f t="shared" si="18"/>
        <v>0</v>
      </c>
      <c r="J55" s="51"/>
      <c r="K55" s="661"/>
      <c r="L55" s="661"/>
      <c r="M55" s="86"/>
      <c r="N55" s="86">
        <f t="shared" si="19"/>
        <v>0</v>
      </c>
      <c r="O55" s="86"/>
      <c r="P55" s="661">
        <f t="shared" si="20"/>
        <v>0</v>
      </c>
      <c r="Q55" s="86"/>
      <c r="R55" s="661">
        <f t="shared" si="21"/>
        <v>0</v>
      </c>
      <c r="S55" s="51"/>
      <c r="T55" s="60"/>
    </row>
    <row r="56" spans="1:20" ht="20.100000000000001" customHeight="1" x14ac:dyDescent="0.35">
      <c r="A56" s="97"/>
      <c r="B56" s="647" t="str">
        <f t="shared" si="22"/>
        <v>Other ( property taxes and BAR)</v>
      </c>
      <c r="C56" s="94"/>
      <c r="D56" s="51"/>
      <c r="E56" s="86"/>
      <c r="F56" s="660"/>
      <c r="G56" s="51"/>
      <c r="H56" s="661"/>
      <c r="I56" s="661"/>
      <c r="J56" s="51"/>
      <c r="K56" s="661"/>
      <c r="L56" s="661"/>
      <c r="M56" s="86"/>
      <c r="N56" s="86"/>
      <c r="O56" s="86"/>
      <c r="P56" s="661"/>
      <c r="Q56" s="86"/>
      <c r="R56" s="661"/>
      <c r="S56" s="51"/>
      <c r="T56" s="60"/>
    </row>
    <row r="57" spans="1:20" ht="20.100000000000001" customHeight="1" x14ac:dyDescent="0.35">
      <c r="A57" s="97"/>
      <c r="B57" s="647" t="str">
        <f t="shared" si="22"/>
        <v>Risks</v>
      </c>
      <c r="C57" s="94"/>
      <c r="D57" s="51"/>
      <c r="E57" s="86"/>
      <c r="F57" s="660"/>
      <c r="G57" s="51"/>
      <c r="H57" s="661"/>
      <c r="I57" s="661"/>
      <c r="J57" s="51"/>
      <c r="K57" s="661"/>
      <c r="L57" s="661"/>
      <c r="M57" s="86"/>
      <c r="N57" s="86"/>
      <c r="O57" s="86"/>
      <c r="P57" s="661"/>
      <c r="Q57" s="86"/>
      <c r="R57" s="661"/>
      <c r="S57" s="51"/>
      <c r="T57" s="60"/>
    </row>
    <row r="58" spans="1:20" ht="20.100000000000001" customHeight="1" x14ac:dyDescent="0.35">
      <c r="A58" s="97"/>
      <c r="B58" s="647" t="str">
        <f t="shared" si="22"/>
        <v>Indirects/Overhead</v>
      </c>
      <c r="C58" s="94"/>
      <c r="D58" s="51"/>
      <c r="E58" s="86"/>
      <c r="F58" s="660"/>
      <c r="G58" s="51"/>
      <c r="H58" s="661"/>
      <c r="I58" s="661"/>
      <c r="J58" s="51"/>
      <c r="K58" s="661"/>
      <c r="L58" s="661"/>
      <c r="M58" s="86"/>
      <c r="N58" s="86"/>
      <c r="O58" s="86"/>
      <c r="P58" s="661"/>
      <c r="Q58" s="86"/>
      <c r="R58" s="661"/>
      <c r="S58" s="51"/>
      <c r="T58" s="60"/>
    </row>
    <row r="59" spans="1:20" ht="20.100000000000001" customHeight="1" x14ac:dyDescent="0.35">
      <c r="A59" s="97"/>
      <c r="B59" s="647" t="str">
        <f t="shared" si="22"/>
        <v>AFUDC</v>
      </c>
      <c r="C59" s="94"/>
      <c r="D59" s="51"/>
      <c r="E59" s="86"/>
      <c r="F59" s="660"/>
      <c r="G59" s="51"/>
      <c r="H59" s="661"/>
      <c r="I59" s="661"/>
      <c r="J59" s="51"/>
      <c r="K59" s="661"/>
      <c r="L59" s="661"/>
      <c r="M59" s="86"/>
      <c r="N59" s="86"/>
      <c r="O59" s="86"/>
      <c r="P59" s="661"/>
      <c r="Q59" s="86"/>
      <c r="R59" s="661"/>
      <c r="S59" s="51"/>
      <c r="T59" s="60"/>
    </row>
    <row r="60" spans="1:20" ht="20.100000000000001" customHeight="1" x14ac:dyDescent="0.35">
      <c r="A60" s="97"/>
      <c r="B60" s="647" t="str">
        <f t="shared" si="22"/>
        <v>Reimbursables/Customer Contribution</v>
      </c>
      <c r="C60" s="94"/>
      <c r="D60" s="51"/>
      <c r="E60" s="86"/>
      <c r="F60" s="660"/>
      <c r="G60" s="51"/>
      <c r="H60" s="661"/>
      <c r="I60" s="661"/>
      <c r="J60" s="51"/>
      <c r="K60" s="661"/>
      <c r="L60" s="661"/>
      <c r="M60" s="86"/>
      <c r="N60" s="86"/>
      <c r="O60" s="86"/>
      <c r="P60" s="661"/>
      <c r="Q60" s="86"/>
      <c r="R60" s="661"/>
      <c r="S60" s="51"/>
      <c r="T60" s="60"/>
    </row>
    <row r="61" spans="1:20" ht="20.100000000000001" customHeight="1" x14ac:dyDescent="0.35">
      <c r="A61" s="97"/>
      <c r="B61" s="647"/>
      <c r="C61" s="94"/>
      <c r="D61" s="51"/>
      <c r="E61" s="86"/>
      <c r="F61" s="660"/>
      <c r="G61" s="51"/>
      <c r="H61" s="661"/>
      <c r="I61" s="661"/>
      <c r="J61" s="51"/>
      <c r="K61" s="661"/>
      <c r="L61" s="661"/>
      <c r="M61" s="86"/>
      <c r="N61" s="86"/>
      <c r="O61" s="86"/>
      <c r="P61" s="661"/>
      <c r="Q61" s="86"/>
      <c r="R61" s="661"/>
      <c r="S61" s="51"/>
      <c r="T61" s="60"/>
    </row>
    <row r="62" spans="1:20" ht="20.100000000000001" customHeight="1" thickBot="1" x14ac:dyDescent="0.4">
      <c r="A62" s="97"/>
      <c r="B62" s="647"/>
      <c r="C62" s="94"/>
      <c r="D62" s="51"/>
      <c r="E62" s="86"/>
      <c r="F62" s="660"/>
      <c r="G62" s="51"/>
      <c r="H62" s="661"/>
      <c r="I62" s="661"/>
      <c r="J62" s="51"/>
      <c r="K62" s="661"/>
      <c r="L62" s="661"/>
      <c r="M62" s="86"/>
      <c r="N62" s="86"/>
      <c r="O62" s="86"/>
      <c r="P62" s="661"/>
      <c r="Q62" s="86"/>
      <c r="R62" s="661"/>
      <c r="S62" s="51"/>
      <c r="T62" s="60"/>
    </row>
    <row r="63" spans="1:20" ht="20.100000000000001" customHeight="1" x14ac:dyDescent="0.35">
      <c r="A63" s="97"/>
      <c r="B63" s="650" t="s">
        <v>101</v>
      </c>
      <c r="C63" s="94"/>
      <c r="D63" s="51"/>
      <c r="E63" s="99">
        <f>SUM(E46:E62)</f>
        <v>0</v>
      </c>
      <c r="F63" s="100">
        <f>SUM(F46:F62)</f>
        <v>0</v>
      </c>
      <c r="G63" s="51"/>
      <c r="H63" s="99">
        <f>SUM(H46:H62)</f>
        <v>0</v>
      </c>
      <c r="I63" s="99">
        <f>SUM(I46:I62)</f>
        <v>0</v>
      </c>
      <c r="J63" s="51"/>
      <c r="K63" s="99">
        <f>SUM(K46:K62)</f>
        <v>0</v>
      </c>
      <c r="L63" s="99">
        <f>SUM(L46:L62)</f>
        <v>0</v>
      </c>
      <c r="M63" s="99"/>
      <c r="N63" s="99">
        <f>SUM(N46:N62)</f>
        <v>0</v>
      </c>
      <c r="O63" s="99"/>
      <c r="P63" s="99">
        <f>SUM(P46:P62)</f>
        <v>0</v>
      </c>
      <c r="Q63" s="99"/>
      <c r="R63" s="99">
        <f>SUM(R46:R62)</f>
        <v>0</v>
      </c>
      <c r="S63" s="51"/>
      <c r="T63" s="60"/>
    </row>
    <row r="64" spans="1:20" ht="12.75" customHeight="1" x14ac:dyDescent="0.25">
      <c r="A64" s="97"/>
      <c r="B64" s="657"/>
      <c r="C64" s="51"/>
      <c r="D64" s="51"/>
      <c r="E64" s="51"/>
      <c r="F64" s="51"/>
      <c r="G64" s="51"/>
      <c r="H64" s="51"/>
      <c r="I64" s="51"/>
      <c r="J64" s="51"/>
      <c r="K64" s="51"/>
      <c r="L64" s="51"/>
      <c r="M64" s="51"/>
      <c r="N64" s="51"/>
      <c r="O64" s="51"/>
      <c r="P64" s="51"/>
      <c r="Q64" s="51"/>
      <c r="R64" s="51"/>
      <c r="S64" s="51"/>
      <c r="T64" s="60"/>
    </row>
    <row r="65" spans="1:20" ht="12.75" customHeight="1" x14ac:dyDescent="0.25">
      <c r="A65" s="97"/>
      <c r="B65" s="657"/>
      <c r="C65" s="51"/>
      <c r="D65" s="51"/>
      <c r="E65" s="51"/>
      <c r="F65" s="51"/>
      <c r="G65" s="51"/>
      <c r="H65" s="51"/>
      <c r="I65" s="51"/>
      <c r="J65" s="51"/>
      <c r="K65" s="51"/>
      <c r="L65" s="51"/>
      <c r="M65" s="51"/>
      <c r="N65" s="51"/>
      <c r="O65" s="51"/>
      <c r="P65" s="51"/>
      <c r="Q65" s="51"/>
      <c r="R65" s="51"/>
      <c r="S65" s="51"/>
      <c r="T65" s="60"/>
    </row>
    <row r="66" spans="1:20" ht="12.75" customHeight="1" x14ac:dyDescent="0.25">
      <c r="A66" s="97"/>
      <c r="B66" s="657"/>
      <c r="C66" s="51"/>
      <c r="D66" s="51"/>
      <c r="E66" s="51"/>
      <c r="F66" s="51"/>
      <c r="G66" s="51"/>
      <c r="H66" s="51"/>
      <c r="I66" s="51"/>
      <c r="J66" s="51"/>
      <c r="K66" s="51"/>
      <c r="L66" s="51"/>
      <c r="M66" s="51"/>
      <c r="N66" s="51"/>
      <c r="O66" s="51"/>
      <c r="P66" s="51"/>
      <c r="Q66" s="51"/>
      <c r="R66" s="51"/>
      <c r="S66" s="51"/>
      <c r="T66" s="60"/>
    </row>
    <row r="67" spans="1:20" ht="12.75" customHeight="1" x14ac:dyDescent="0.25">
      <c r="A67" s="97"/>
      <c r="B67" s="657"/>
      <c r="C67" s="51"/>
      <c r="D67" s="51"/>
      <c r="E67" s="51"/>
      <c r="F67" s="51"/>
      <c r="G67" s="51"/>
      <c r="H67" s="51"/>
      <c r="I67" s="51"/>
      <c r="J67" s="51"/>
      <c r="K67" s="51"/>
      <c r="L67" s="51"/>
      <c r="M67" s="51"/>
      <c r="N67" s="51"/>
      <c r="O67" s="51"/>
      <c r="P67" s="51"/>
      <c r="Q67" s="51"/>
      <c r="R67" s="51"/>
      <c r="S67" s="51"/>
      <c r="T67" s="60"/>
    </row>
    <row r="68" spans="1:20" ht="12.75" customHeight="1" x14ac:dyDescent="0.25">
      <c r="A68" s="97"/>
      <c r="B68" s="657"/>
      <c r="C68" s="51"/>
      <c r="D68" s="51"/>
      <c r="E68" s="51"/>
      <c r="F68" s="51"/>
      <c r="G68" s="51"/>
      <c r="H68" s="51"/>
      <c r="I68" s="51"/>
      <c r="J68" s="51"/>
      <c r="K68" s="51"/>
      <c r="L68" s="51"/>
      <c r="M68" s="51"/>
      <c r="N68" s="51"/>
      <c r="O68" s="51"/>
      <c r="P68" s="51"/>
      <c r="Q68" s="51"/>
      <c r="R68" s="51"/>
      <c r="S68" s="51"/>
      <c r="T68" s="60"/>
    </row>
    <row r="69" spans="1:20" ht="12.75" customHeight="1" x14ac:dyDescent="0.25">
      <c r="A69" s="97"/>
      <c r="B69" s="657"/>
      <c r="C69" s="51"/>
      <c r="D69" s="51"/>
      <c r="E69" s="51"/>
      <c r="F69" s="51"/>
      <c r="G69" s="51"/>
      <c r="H69" s="51"/>
      <c r="I69" s="51"/>
      <c r="J69" s="51"/>
      <c r="K69" s="51"/>
      <c r="L69" s="51"/>
      <c r="M69" s="51"/>
      <c r="N69" s="51"/>
      <c r="O69" s="51"/>
      <c r="P69" s="51"/>
      <c r="Q69" s="51"/>
      <c r="R69" s="51"/>
      <c r="S69" s="51"/>
      <c r="T69" s="60"/>
    </row>
    <row r="70" spans="1:20" ht="12.75" customHeight="1" x14ac:dyDescent="0.25">
      <c r="A70" s="97"/>
      <c r="B70" s="657"/>
      <c r="C70" s="51"/>
      <c r="D70" s="51"/>
      <c r="E70" s="51"/>
      <c r="F70" s="51"/>
      <c r="G70" s="51"/>
      <c r="H70" s="51"/>
      <c r="I70" s="51"/>
      <c r="J70" s="51"/>
      <c r="K70" s="51"/>
      <c r="L70" s="51"/>
      <c r="M70" s="51"/>
      <c r="N70" s="51"/>
      <c r="O70" s="51"/>
      <c r="P70" s="51"/>
      <c r="Q70" s="51"/>
      <c r="R70" s="51"/>
      <c r="S70" s="51"/>
      <c r="T70" s="60"/>
    </row>
    <row r="71" spans="1:20" ht="12.75" customHeight="1" x14ac:dyDescent="0.25">
      <c r="A71" s="97"/>
      <c r="B71" s="657"/>
      <c r="C71" s="51"/>
      <c r="D71" s="51"/>
      <c r="E71" s="51"/>
      <c r="F71" s="51"/>
      <c r="G71" s="51"/>
      <c r="H71" s="51"/>
      <c r="I71" s="51"/>
      <c r="J71" s="51"/>
      <c r="K71" s="51"/>
      <c r="L71" s="51"/>
      <c r="M71" s="51"/>
      <c r="N71" s="51"/>
      <c r="O71" s="51"/>
      <c r="P71" s="51"/>
      <c r="Q71" s="51"/>
      <c r="R71" s="51"/>
      <c r="S71" s="51"/>
      <c r="T71" s="60"/>
    </row>
    <row r="72" spans="1:20" ht="12.75" customHeight="1" x14ac:dyDescent="0.25">
      <c r="A72" s="97"/>
      <c r="B72" s="657"/>
      <c r="C72" s="51"/>
      <c r="D72" s="51"/>
      <c r="E72" s="51"/>
      <c r="F72" s="51"/>
      <c r="G72" s="51"/>
      <c r="H72" s="51"/>
      <c r="I72" s="51"/>
      <c r="J72" s="51"/>
      <c r="K72" s="51"/>
      <c r="L72" s="51"/>
      <c r="M72" s="51"/>
      <c r="N72" s="51"/>
      <c r="O72" s="51"/>
      <c r="P72" s="51"/>
      <c r="Q72" s="51"/>
      <c r="R72" s="51"/>
      <c r="S72" s="51"/>
      <c r="T72" s="60"/>
    </row>
    <row r="73" spans="1:20" ht="12.75" customHeight="1" x14ac:dyDescent="0.25">
      <c r="A73" s="97"/>
      <c r="B73" s="149"/>
      <c r="C73" s="120"/>
      <c r="D73" s="120"/>
      <c r="E73" s="120"/>
      <c r="F73" s="120"/>
      <c r="G73" s="120"/>
      <c r="H73" s="120"/>
      <c r="I73" s="120"/>
      <c r="J73" s="120"/>
      <c r="K73" s="120"/>
      <c r="L73" s="120"/>
      <c r="M73" s="120"/>
      <c r="N73" s="120"/>
      <c r="O73" s="120"/>
      <c r="P73" s="120"/>
      <c r="Q73" s="120"/>
      <c r="R73" s="120"/>
      <c r="S73" s="120"/>
      <c r="T73" s="662"/>
    </row>
    <row r="74" spans="1:20" ht="12.75" customHeight="1" x14ac:dyDescent="0.25">
      <c r="A74" s="97"/>
      <c r="B74" s="655"/>
      <c r="C74" s="51"/>
      <c r="D74" s="51"/>
      <c r="E74" s="51"/>
      <c r="F74" s="51"/>
      <c r="G74" s="51"/>
      <c r="H74" s="51"/>
      <c r="I74" s="51"/>
      <c r="J74" s="51"/>
      <c r="K74" s="51"/>
      <c r="L74" s="51"/>
      <c r="M74" s="51"/>
      <c r="N74" s="51"/>
      <c r="O74" s="51"/>
      <c r="P74" s="51"/>
      <c r="Q74" s="51"/>
      <c r="R74" s="51"/>
      <c r="S74" s="51"/>
      <c r="T74" s="51"/>
    </row>
    <row r="75" spans="1:20" ht="12.75" customHeight="1" x14ac:dyDescent="0.25">
      <c r="A75" s="97"/>
      <c r="B75" s="655"/>
      <c r="C75" s="51"/>
      <c r="D75" s="51"/>
      <c r="E75" s="51"/>
      <c r="F75" s="51"/>
      <c r="G75" s="51"/>
      <c r="H75" s="51"/>
      <c r="I75" s="51"/>
      <c r="J75" s="51"/>
      <c r="K75" s="51"/>
      <c r="L75" s="51"/>
      <c r="M75" s="51"/>
      <c r="N75" s="51"/>
      <c r="O75" s="51"/>
      <c r="P75" s="51"/>
      <c r="Q75" s="51"/>
      <c r="R75" s="51"/>
      <c r="S75" s="51"/>
      <c r="T75" s="51"/>
    </row>
    <row r="76" spans="1:20" ht="12.75" customHeight="1" x14ac:dyDescent="0.25">
      <c r="A76" s="97"/>
      <c r="B76" s="655"/>
      <c r="C76" s="51"/>
      <c r="D76" s="51"/>
      <c r="E76" s="51"/>
      <c r="F76" s="51"/>
      <c r="G76" s="51"/>
      <c r="H76" s="51"/>
      <c r="I76" s="51"/>
      <c r="J76" s="51"/>
      <c r="K76" s="51"/>
      <c r="L76" s="51"/>
      <c r="M76" s="51"/>
      <c r="N76" s="51"/>
      <c r="O76" s="51"/>
      <c r="P76" s="51"/>
      <c r="Q76" s="51"/>
      <c r="R76" s="51"/>
      <c r="S76" s="51"/>
      <c r="T76" s="51"/>
    </row>
    <row r="77" spans="1:20" ht="12.75" customHeight="1" x14ac:dyDescent="0.25">
      <c r="A77" s="97"/>
      <c r="B77" s="655"/>
      <c r="C77" s="51"/>
      <c r="D77" s="51"/>
      <c r="E77" s="51"/>
      <c r="F77" s="51"/>
      <c r="G77" s="51"/>
      <c r="H77" s="51"/>
      <c r="I77" s="51"/>
      <c r="J77" s="51"/>
      <c r="K77" s="51"/>
      <c r="L77" s="51"/>
      <c r="M77" s="51"/>
      <c r="N77" s="51"/>
      <c r="O77" s="51"/>
      <c r="P77" s="51"/>
      <c r="Q77" s="51"/>
      <c r="R77" s="51"/>
      <c r="S77" s="51"/>
      <c r="T77" s="51"/>
    </row>
    <row r="78" spans="1:20" ht="12.75" customHeight="1" x14ac:dyDescent="0.25">
      <c r="A78" s="71"/>
      <c r="B78" s="150"/>
      <c r="C78" s="72"/>
      <c r="D78" s="72"/>
      <c r="E78" s="72"/>
      <c r="F78" s="40"/>
      <c r="G78" s="40"/>
      <c r="H78" s="40"/>
      <c r="I78" s="40"/>
      <c r="J78" s="40"/>
      <c r="K78" s="40"/>
      <c r="L78" s="40"/>
      <c r="M78" s="40"/>
      <c r="N78" s="44"/>
      <c r="O78" s="44"/>
      <c r="P78" s="663"/>
      <c r="Q78" s="663"/>
      <c r="R78" s="663"/>
      <c r="S78" s="663"/>
      <c r="T78" s="664"/>
    </row>
    <row r="79" spans="1:20" ht="15.75" customHeight="1" x14ac:dyDescent="0.25">
      <c r="A79" s="123"/>
      <c r="B79" s="665"/>
      <c r="C79" s="126"/>
      <c r="D79" s="126"/>
      <c r="E79" s="126"/>
      <c r="F79" s="126"/>
      <c r="G79" s="126"/>
      <c r="H79" s="126"/>
      <c r="I79" s="126"/>
      <c r="J79" s="645"/>
      <c r="K79" s="126"/>
      <c r="L79" s="126"/>
      <c r="M79" s="126"/>
      <c r="N79" s="126"/>
      <c r="O79" s="126"/>
      <c r="P79" s="126"/>
      <c r="Q79" s="126"/>
      <c r="R79" s="126"/>
      <c r="S79" s="126"/>
      <c r="T79" s="127"/>
    </row>
    <row r="80" spans="1:20" ht="28.35" customHeight="1" x14ac:dyDescent="0.35">
      <c r="A80" s="128"/>
      <c r="B80" s="658" t="s">
        <v>465</v>
      </c>
      <c r="C80" s="126"/>
      <c r="D80" s="126"/>
      <c r="E80" s="129"/>
      <c r="F80" s="126"/>
      <c r="G80" s="129"/>
      <c r="H80" s="644" t="s">
        <v>333</v>
      </c>
      <c r="I80" s="645"/>
      <c r="J80" s="645"/>
      <c r="K80" s="644" t="s">
        <v>458</v>
      </c>
      <c r="L80" s="645"/>
      <c r="M80" s="126"/>
      <c r="N80" s="42"/>
      <c r="O80" s="42"/>
      <c r="P80" s="42"/>
      <c r="Q80" s="42"/>
      <c r="R80" s="42"/>
      <c r="S80" s="42"/>
      <c r="T80" s="127"/>
    </row>
    <row r="81" spans="1:20" ht="33" thickBot="1" x14ac:dyDescent="0.4">
      <c r="A81" s="128"/>
      <c r="B81" s="151" t="s">
        <v>96</v>
      </c>
      <c r="C81" s="130"/>
      <c r="D81" s="79" t="s">
        <v>460</v>
      </c>
      <c r="E81" s="79" t="s">
        <v>91</v>
      </c>
      <c r="F81" s="80" t="s">
        <v>92</v>
      </c>
      <c r="G81" s="129"/>
      <c r="H81" s="79" t="s">
        <v>460</v>
      </c>
      <c r="I81" s="79" t="s">
        <v>461</v>
      </c>
      <c r="J81" s="645"/>
      <c r="K81" s="79" t="s">
        <v>460</v>
      </c>
      <c r="L81" s="79" t="s">
        <v>461</v>
      </c>
      <c r="M81" s="131"/>
      <c r="N81" s="42"/>
      <c r="O81" s="42"/>
      <c r="P81" s="42"/>
      <c r="Q81" s="42"/>
      <c r="R81" s="42"/>
      <c r="S81" s="42"/>
      <c r="T81" s="127"/>
    </row>
    <row r="82" spans="1:20" ht="15.75" customHeight="1" x14ac:dyDescent="0.35">
      <c r="A82" s="128"/>
      <c r="B82" s="666" t="s">
        <v>93</v>
      </c>
      <c r="C82" s="130"/>
      <c r="D82" s="130"/>
      <c r="E82" s="86"/>
      <c r="F82" s="660"/>
      <c r="G82" s="76"/>
      <c r="H82" s="649"/>
      <c r="I82" s="667"/>
      <c r="J82" s="645"/>
      <c r="K82" s="649"/>
      <c r="L82" s="667"/>
      <c r="M82" s="131"/>
      <c r="N82" s="42"/>
      <c r="O82" s="42"/>
      <c r="P82" s="42"/>
      <c r="Q82" s="42"/>
      <c r="R82" s="42"/>
      <c r="S82" s="42"/>
      <c r="T82" s="127"/>
    </row>
    <row r="83" spans="1:20" ht="15.75" customHeight="1" x14ac:dyDescent="0.35">
      <c r="A83" s="128"/>
      <c r="B83" s="151" t="s">
        <v>466</v>
      </c>
      <c r="C83" s="131"/>
      <c r="D83" s="648">
        <f>+H83+K83</f>
        <v>0</v>
      </c>
      <c r="E83" s="86">
        <f>SUM(I83,L83)</f>
        <v>0</v>
      </c>
      <c r="F83" s="660">
        <f>IF($E$166=0,0,+E83/$E$166)</f>
        <v>0</v>
      </c>
      <c r="G83" s="76"/>
      <c r="H83" s="668"/>
      <c r="I83" s="661"/>
      <c r="J83" s="645"/>
      <c r="K83" s="668"/>
      <c r="L83" s="661"/>
      <c r="M83" s="131"/>
      <c r="N83" s="42"/>
      <c r="O83" s="42"/>
      <c r="P83" s="42"/>
      <c r="Q83" s="42"/>
      <c r="R83" s="42"/>
      <c r="S83" s="42"/>
      <c r="T83" s="127"/>
    </row>
    <row r="84" spans="1:20" ht="15.75" customHeight="1" x14ac:dyDescent="0.35">
      <c r="A84" s="128"/>
      <c r="B84" s="151" t="s">
        <v>467</v>
      </c>
      <c r="C84" s="131"/>
      <c r="D84" s="648">
        <f>+H84+K84</f>
        <v>0</v>
      </c>
      <c r="E84" s="86">
        <f>SUM(I84,L84)</f>
        <v>0</v>
      </c>
      <c r="F84" s="660">
        <f>IF($E$166=0,0,+E84/$E$166)</f>
        <v>0</v>
      </c>
      <c r="G84" s="76"/>
      <c r="H84" s="668"/>
      <c r="I84" s="661"/>
      <c r="J84" s="645"/>
      <c r="K84" s="668"/>
      <c r="L84" s="661"/>
      <c r="M84" s="131"/>
      <c r="N84" s="42"/>
      <c r="O84" s="42"/>
      <c r="P84" s="42"/>
      <c r="Q84" s="42"/>
      <c r="R84" s="42"/>
      <c r="S84" s="42"/>
      <c r="T84" s="127"/>
    </row>
    <row r="85" spans="1:20" ht="15.75" customHeight="1" x14ac:dyDescent="0.35">
      <c r="A85" s="128"/>
      <c r="B85" s="151" t="s">
        <v>468</v>
      </c>
      <c r="C85" s="131"/>
      <c r="D85" s="648">
        <f>+H85+K85</f>
        <v>0</v>
      </c>
      <c r="E85" s="86">
        <f>SUM(I85,L85)</f>
        <v>0</v>
      </c>
      <c r="F85" s="660">
        <f>IF($E$166=0,0,+E85/$E$166)</f>
        <v>0</v>
      </c>
      <c r="G85" s="76"/>
      <c r="H85" s="668"/>
      <c r="I85" s="661"/>
      <c r="J85" s="645"/>
      <c r="K85" s="668"/>
      <c r="L85" s="661"/>
      <c r="M85" s="131"/>
      <c r="N85" s="42"/>
      <c r="O85" s="42"/>
      <c r="P85" s="42"/>
      <c r="Q85" s="42"/>
      <c r="R85" s="42"/>
      <c r="S85" s="42"/>
      <c r="T85" s="127"/>
    </row>
    <row r="86" spans="1:20" ht="15.75" customHeight="1" x14ac:dyDescent="0.35">
      <c r="A86" s="128"/>
      <c r="B86" s="151" t="s">
        <v>469</v>
      </c>
      <c r="C86" s="131"/>
      <c r="D86" s="648">
        <f>+H86+K86</f>
        <v>0</v>
      </c>
      <c r="E86" s="86">
        <f>SUM(I86,L86)</f>
        <v>0</v>
      </c>
      <c r="F86" s="660">
        <f>IF($E$166=0,0,+E86/$E$166)</f>
        <v>0</v>
      </c>
      <c r="G86" s="76"/>
      <c r="H86" s="668"/>
      <c r="I86" s="661"/>
      <c r="J86" s="645"/>
      <c r="K86" s="668"/>
      <c r="L86" s="661"/>
      <c r="M86" s="131"/>
      <c r="N86" s="42"/>
      <c r="O86" s="42"/>
      <c r="P86" s="42"/>
      <c r="Q86" s="42"/>
      <c r="R86" s="42"/>
      <c r="S86" s="42"/>
      <c r="T86" s="127"/>
    </row>
    <row r="87" spans="1:20" ht="15.75" customHeight="1" x14ac:dyDescent="0.35">
      <c r="A87" s="128"/>
      <c r="B87" s="151" t="s">
        <v>470</v>
      </c>
      <c r="C87" s="131"/>
      <c r="D87" s="648">
        <f>+H87+K87</f>
        <v>0</v>
      </c>
      <c r="E87" s="86">
        <f>SUM(I87,L87)</f>
        <v>0</v>
      </c>
      <c r="F87" s="660">
        <f>IF($E$166=0,0,+E87/$E$166)</f>
        <v>0</v>
      </c>
      <c r="G87" s="76"/>
      <c r="H87" s="668"/>
      <c r="I87" s="661"/>
      <c r="J87" s="645"/>
      <c r="K87" s="668"/>
      <c r="L87" s="661"/>
      <c r="M87" s="131"/>
      <c r="N87" s="42"/>
      <c r="O87" s="42"/>
      <c r="P87" s="42"/>
      <c r="Q87" s="42"/>
      <c r="R87" s="42"/>
      <c r="S87" s="42"/>
      <c r="T87" s="127"/>
    </row>
    <row r="88" spans="1:20" ht="7.35" customHeight="1" x14ac:dyDescent="0.35">
      <c r="A88" s="128"/>
      <c r="B88" s="151"/>
      <c r="C88" s="131"/>
      <c r="D88" s="648"/>
      <c r="E88" s="86"/>
      <c r="F88" s="660"/>
      <c r="G88" s="76"/>
      <c r="H88" s="76"/>
      <c r="I88" s="76"/>
      <c r="J88" s="76"/>
      <c r="K88" s="76"/>
      <c r="L88" s="76"/>
      <c r="M88" s="76"/>
      <c r="N88" s="42"/>
      <c r="O88" s="42"/>
      <c r="P88" s="42"/>
      <c r="Q88" s="42"/>
      <c r="R88" s="42"/>
      <c r="S88" s="42"/>
      <c r="T88" s="127"/>
    </row>
    <row r="89" spans="1:20" ht="20.100000000000001" customHeight="1" x14ac:dyDescent="0.35">
      <c r="A89" s="128"/>
      <c r="B89" s="669" t="s">
        <v>471</v>
      </c>
      <c r="C89" s="131"/>
      <c r="D89" s="670">
        <f>SUM(D83:D88)</f>
        <v>0</v>
      </c>
      <c r="E89" s="671">
        <f>SUM(E83:E88)</f>
        <v>0</v>
      </c>
      <c r="F89" s="660"/>
      <c r="G89" s="76"/>
      <c r="H89" s="670">
        <f>SUM(H83:H88)</f>
        <v>0</v>
      </c>
      <c r="I89" s="671">
        <f>SUM(I83:I88)</f>
        <v>0</v>
      </c>
      <c r="J89" s="645"/>
      <c r="K89" s="670">
        <f>SUM(K83:K88)</f>
        <v>0</v>
      </c>
      <c r="L89" s="671">
        <f>SUM(L83:L88)</f>
        <v>0</v>
      </c>
      <c r="M89" s="131"/>
      <c r="N89" s="42"/>
      <c r="O89" s="42"/>
      <c r="P89" s="42"/>
      <c r="Q89" s="42"/>
      <c r="R89" s="42"/>
      <c r="S89" s="42"/>
      <c r="T89" s="127"/>
    </row>
    <row r="90" spans="1:20" ht="15.75" customHeight="1" x14ac:dyDescent="0.35">
      <c r="A90" s="128"/>
      <c r="B90" s="669"/>
      <c r="C90" s="131"/>
      <c r="D90" s="131"/>
      <c r="E90" s="86"/>
      <c r="F90" s="660"/>
      <c r="G90" s="76"/>
      <c r="H90" s="76"/>
      <c r="I90" s="76"/>
      <c r="J90" s="76"/>
      <c r="K90" s="76"/>
      <c r="L90" s="76"/>
      <c r="M90" s="76"/>
      <c r="N90" s="76"/>
      <c r="O90" s="76"/>
      <c r="P90" s="42"/>
      <c r="Q90" s="42"/>
      <c r="R90" s="42"/>
      <c r="S90" s="42"/>
      <c r="T90" s="127"/>
    </row>
    <row r="91" spans="1:20" ht="15.75" customHeight="1" x14ac:dyDescent="0.35">
      <c r="A91" s="128"/>
      <c r="B91" s="666" t="s">
        <v>97</v>
      </c>
      <c r="C91" s="131"/>
      <c r="D91" s="131"/>
      <c r="E91" s="131"/>
      <c r="F91" s="131"/>
      <c r="G91" s="129"/>
      <c r="H91" s="129"/>
      <c r="I91" s="129"/>
      <c r="J91" s="645"/>
      <c r="K91" s="129"/>
      <c r="L91" s="129"/>
      <c r="M91" s="131"/>
      <c r="N91" s="42"/>
      <c r="O91" s="42"/>
      <c r="P91" s="42"/>
      <c r="Q91" s="42"/>
      <c r="R91" s="42"/>
      <c r="S91" s="42"/>
      <c r="T91" s="127"/>
    </row>
    <row r="92" spans="1:20" ht="15.75" customHeight="1" x14ac:dyDescent="0.35">
      <c r="A92" s="128"/>
      <c r="B92" s="151" t="s">
        <v>472</v>
      </c>
      <c r="C92" s="131"/>
      <c r="D92" s="648">
        <f>+H92+K92</f>
        <v>0</v>
      </c>
      <c r="E92" s="86">
        <f>SUM(I92,L92)</f>
        <v>0</v>
      </c>
      <c r="F92" s="660">
        <f>IF($E$166=0,0,+E92/$E$166)</f>
        <v>0</v>
      </c>
      <c r="G92" s="76"/>
      <c r="H92" s="668"/>
      <c r="I92" s="661"/>
      <c r="J92" s="645"/>
      <c r="K92" s="668"/>
      <c r="L92" s="661"/>
      <c r="M92" s="131"/>
      <c r="N92" s="42"/>
      <c r="O92" s="42"/>
      <c r="P92" s="42"/>
      <c r="Q92" s="42"/>
      <c r="R92" s="42"/>
      <c r="S92" s="42"/>
      <c r="T92" s="127"/>
    </row>
    <row r="93" spans="1:20" ht="15.75" customHeight="1" x14ac:dyDescent="0.35">
      <c r="A93" s="128"/>
      <c r="B93" s="151" t="s">
        <v>473</v>
      </c>
      <c r="C93" s="131"/>
      <c r="D93" s="648">
        <f>+H93+K93</f>
        <v>0</v>
      </c>
      <c r="E93" s="86">
        <f>SUM(I93,L93)</f>
        <v>0</v>
      </c>
      <c r="F93" s="660">
        <f>IF($E$166=0,0,+E93/$E$166)</f>
        <v>0</v>
      </c>
      <c r="G93" s="76"/>
      <c r="H93" s="668"/>
      <c r="I93" s="661"/>
      <c r="J93" s="645"/>
      <c r="K93" s="668"/>
      <c r="L93" s="661"/>
      <c r="M93" s="131"/>
      <c r="N93" s="42"/>
      <c r="O93" s="42"/>
      <c r="P93" s="42"/>
      <c r="Q93" s="42"/>
      <c r="R93" s="42"/>
      <c r="S93" s="42"/>
      <c r="T93" s="127"/>
    </row>
    <row r="94" spans="1:20" ht="17.850000000000001" customHeight="1" x14ac:dyDescent="0.35">
      <c r="A94" s="128"/>
      <c r="B94" s="151" t="s">
        <v>474</v>
      </c>
      <c r="C94" s="131"/>
      <c r="D94" s="648">
        <f>+H94+K94</f>
        <v>0</v>
      </c>
      <c r="E94" s="86">
        <f>SUM(I94,L94)</f>
        <v>0</v>
      </c>
      <c r="F94" s="660">
        <f>IF($E$166=0,0,+E94/$E$166)</f>
        <v>0</v>
      </c>
      <c r="G94" s="76"/>
      <c r="H94" s="668"/>
      <c r="I94" s="661"/>
      <c r="J94" s="645"/>
      <c r="K94" s="668"/>
      <c r="L94" s="661"/>
      <c r="M94" s="131"/>
      <c r="N94" s="42"/>
      <c r="O94" s="42"/>
      <c r="P94" s="42"/>
      <c r="Q94" s="42"/>
      <c r="R94" s="42"/>
      <c r="S94" s="42"/>
      <c r="T94" s="127"/>
    </row>
    <row r="95" spans="1:20" ht="7.35" customHeight="1" x14ac:dyDescent="0.35">
      <c r="A95" s="128"/>
      <c r="B95" s="151"/>
      <c r="C95" s="131"/>
      <c r="D95" s="648"/>
      <c r="E95" s="86"/>
      <c r="F95" s="660"/>
      <c r="G95" s="76"/>
      <c r="H95" s="76"/>
      <c r="I95" s="76"/>
      <c r="J95" s="76"/>
      <c r="K95" s="76"/>
      <c r="L95" s="76"/>
      <c r="M95" s="76"/>
      <c r="N95" s="42"/>
      <c r="O95" s="42"/>
      <c r="P95" s="42"/>
      <c r="Q95" s="42"/>
      <c r="R95" s="42"/>
      <c r="S95" s="42"/>
      <c r="T95" s="127"/>
    </row>
    <row r="96" spans="1:20" ht="20.100000000000001" customHeight="1" x14ac:dyDescent="0.35">
      <c r="A96" s="128"/>
      <c r="B96" s="669" t="s">
        <v>471</v>
      </c>
      <c r="C96" s="131"/>
      <c r="D96" s="670">
        <f>SUM(D92:D95)</f>
        <v>0</v>
      </c>
      <c r="E96" s="671">
        <f>SUM(E92:E95)</f>
        <v>0</v>
      </c>
      <c r="F96" s="660"/>
      <c r="G96" s="76"/>
      <c r="H96" s="670">
        <f>SUM(H92:H95)</f>
        <v>0</v>
      </c>
      <c r="I96" s="671">
        <f>SUM(I92:I95)</f>
        <v>0</v>
      </c>
      <c r="J96" s="645"/>
      <c r="K96" s="670">
        <f>SUM(K92:K95)</f>
        <v>0</v>
      </c>
      <c r="L96" s="671">
        <f>SUM(L92:L95)</f>
        <v>0</v>
      </c>
      <c r="M96" s="131"/>
      <c r="N96" s="42"/>
      <c r="O96" s="42"/>
      <c r="P96" s="42"/>
      <c r="Q96" s="42"/>
      <c r="R96" s="42"/>
      <c r="S96" s="42"/>
      <c r="T96" s="127"/>
    </row>
    <row r="97" spans="1:20" ht="20.100000000000001" customHeight="1" x14ac:dyDescent="0.35">
      <c r="A97" s="128"/>
      <c r="B97" s="669"/>
      <c r="C97" s="131"/>
      <c r="D97" s="648"/>
      <c r="E97" s="86"/>
      <c r="F97" s="660"/>
      <c r="G97" s="76"/>
      <c r="H97" s="648"/>
      <c r="I97" s="86"/>
      <c r="J97" s="645"/>
      <c r="K97" s="648"/>
      <c r="L97" s="86"/>
      <c r="M97" s="131"/>
      <c r="N97" s="42"/>
      <c r="O97" s="42"/>
      <c r="P97" s="42"/>
      <c r="Q97" s="42"/>
      <c r="R97" s="42"/>
      <c r="S97" s="42"/>
      <c r="T97" s="127"/>
    </row>
    <row r="98" spans="1:20" ht="20.100000000000001" customHeight="1" x14ac:dyDescent="0.35">
      <c r="A98" s="128"/>
      <c r="B98" s="666" t="s">
        <v>475</v>
      </c>
      <c r="C98" s="131"/>
      <c r="D98" s="648"/>
      <c r="E98" s="86"/>
      <c r="F98" s="660"/>
      <c r="G98" s="76"/>
      <c r="H98" s="648"/>
      <c r="I98" s="86"/>
      <c r="J98" s="645"/>
      <c r="K98" s="648"/>
      <c r="L98" s="86"/>
      <c r="M98" s="131"/>
      <c r="N98" s="42"/>
      <c r="O98" s="42"/>
      <c r="P98" s="42"/>
      <c r="Q98" s="42"/>
      <c r="R98" s="42"/>
      <c r="S98" s="42"/>
      <c r="T98" s="127"/>
    </row>
    <row r="99" spans="1:20" ht="15.75" customHeight="1" x14ac:dyDescent="0.35">
      <c r="A99" s="128"/>
      <c r="B99" s="151" t="s">
        <v>476</v>
      </c>
      <c r="C99" s="131"/>
      <c r="D99" s="648">
        <f t="shared" ref="D99:D104" si="23">+H99+K99</f>
        <v>0</v>
      </c>
      <c r="E99" s="86">
        <f t="shared" ref="E99:E104" si="24">SUM(I99,L99)</f>
        <v>0</v>
      </c>
      <c r="F99" s="660">
        <f t="shared" ref="F99:F104" si="25">IF($E$166=0,0,+E99/$E$166)</f>
        <v>0</v>
      </c>
      <c r="G99" s="76"/>
      <c r="H99" s="668"/>
      <c r="I99" s="661"/>
      <c r="J99" s="645"/>
      <c r="K99" s="668"/>
      <c r="L99" s="661"/>
      <c r="M99" s="131"/>
      <c r="N99" s="42"/>
      <c r="O99" s="42"/>
      <c r="P99" s="42"/>
      <c r="Q99" s="42"/>
      <c r="R99" s="42"/>
      <c r="S99" s="42"/>
      <c r="T99" s="127"/>
    </row>
    <row r="100" spans="1:20" ht="15.75" customHeight="1" x14ac:dyDescent="0.35">
      <c r="A100" s="128"/>
      <c r="B100" s="151" t="s">
        <v>477</v>
      </c>
      <c r="C100" s="131"/>
      <c r="D100" s="648">
        <f t="shared" si="23"/>
        <v>0</v>
      </c>
      <c r="E100" s="86">
        <f t="shared" si="24"/>
        <v>0</v>
      </c>
      <c r="F100" s="660">
        <f t="shared" si="25"/>
        <v>0</v>
      </c>
      <c r="G100" s="76"/>
      <c r="H100" s="668"/>
      <c r="I100" s="661"/>
      <c r="J100" s="645"/>
      <c r="K100" s="668"/>
      <c r="L100" s="661"/>
      <c r="M100" s="131"/>
      <c r="N100" s="42"/>
      <c r="O100" s="42"/>
      <c r="P100" s="42"/>
      <c r="Q100" s="42"/>
      <c r="R100" s="42"/>
      <c r="S100" s="42"/>
      <c r="T100" s="127"/>
    </row>
    <row r="101" spans="1:20" ht="15.75" customHeight="1" x14ac:dyDescent="0.35">
      <c r="A101" s="128"/>
      <c r="B101" s="151" t="s">
        <v>478</v>
      </c>
      <c r="C101" s="131"/>
      <c r="D101" s="648">
        <f t="shared" si="23"/>
        <v>0</v>
      </c>
      <c r="E101" s="86">
        <f t="shared" si="24"/>
        <v>0</v>
      </c>
      <c r="F101" s="660">
        <f t="shared" si="25"/>
        <v>0</v>
      </c>
      <c r="G101" s="76"/>
      <c r="H101" s="668"/>
      <c r="I101" s="661"/>
      <c r="J101" s="645"/>
      <c r="K101" s="668"/>
      <c r="L101" s="661"/>
      <c r="M101" s="131"/>
      <c r="N101" s="42"/>
      <c r="O101" s="42"/>
      <c r="P101" s="42"/>
      <c r="Q101" s="42"/>
      <c r="R101" s="42"/>
      <c r="S101" s="42"/>
      <c r="T101" s="127"/>
    </row>
    <row r="102" spans="1:20" ht="15.75" customHeight="1" x14ac:dyDescent="0.35">
      <c r="A102" s="128"/>
      <c r="B102" s="151" t="s">
        <v>479</v>
      </c>
      <c r="C102" s="131"/>
      <c r="D102" s="648">
        <f t="shared" si="23"/>
        <v>0</v>
      </c>
      <c r="E102" s="86">
        <f t="shared" si="24"/>
        <v>0</v>
      </c>
      <c r="F102" s="660">
        <f t="shared" si="25"/>
        <v>0</v>
      </c>
      <c r="G102" s="76"/>
      <c r="H102" s="668"/>
      <c r="I102" s="661"/>
      <c r="J102" s="645"/>
      <c r="K102" s="668"/>
      <c r="L102" s="661"/>
      <c r="M102" s="131"/>
      <c r="N102" s="42"/>
      <c r="O102" s="42"/>
      <c r="P102" s="42"/>
      <c r="Q102" s="42"/>
      <c r="R102" s="42"/>
      <c r="S102" s="42"/>
      <c r="T102" s="127"/>
    </row>
    <row r="103" spans="1:20" ht="15.75" customHeight="1" x14ac:dyDescent="0.35">
      <c r="A103" s="128"/>
      <c r="B103" s="151" t="s">
        <v>480</v>
      </c>
      <c r="C103" s="131"/>
      <c r="D103" s="648">
        <f t="shared" si="23"/>
        <v>0</v>
      </c>
      <c r="E103" s="86">
        <f t="shared" si="24"/>
        <v>0</v>
      </c>
      <c r="F103" s="660">
        <f t="shared" si="25"/>
        <v>0</v>
      </c>
      <c r="G103" s="76"/>
      <c r="H103" s="668"/>
      <c r="I103" s="661"/>
      <c r="J103" s="645"/>
      <c r="K103" s="668"/>
      <c r="L103" s="661"/>
      <c r="M103" s="131"/>
      <c r="N103" s="42"/>
      <c r="O103" s="42"/>
      <c r="P103" s="42"/>
      <c r="Q103" s="42"/>
      <c r="R103" s="42"/>
      <c r="S103" s="42"/>
      <c r="T103" s="127"/>
    </row>
    <row r="104" spans="1:20" ht="15.75" customHeight="1" x14ac:dyDescent="0.35">
      <c r="A104" s="128"/>
      <c r="B104" s="151" t="s">
        <v>481</v>
      </c>
      <c r="C104" s="131"/>
      <c r="D104" s="648">
        <f t="shared" si="23"/>
        <v>0</v>
      </c>
      <c r="E104" s="86">
        <f t="shared" si="24"/>
        <v>0</v>
      </c>
      <c r="F104" s="660">
        <f t="shared" si="25"/>
        <v>0</v>
      </c>
      <c r="G104" s="76"/>
      <c r="H104" s="668"/>
      <c r="I104" s="661"/>
      <c r="J104" s="645"/>
      <c r="K104" s="668"/>
      <c r="L104" s="661"/>
      <c r="M104" s="131"/>
      <c r="N104" s="42"/>
      <c r="O104" s="42"/>
      <c r="P104" s="42"/>
      <c r="Q104" s="42"/>
      <c r="R104" s="42"/>
      <c r="S104" s="42"/>
      <c r="T104" s="127"/>
    </row>
    <row r="105" spans="1:20" ht="7.35" customHeight="1" x14ac:dyDescent="0.35">
      <c r="A105" s="128"/>
      <c r="B105" s="151"/>
      <c r="C105" s="131"/>
      <c r="D105" s="648"/>
      <c r="E105" s="86"/>
      <c r="F105" s="660"/>
      <c r="G105" s="76"/>
      <c r="H105" s="76"/>
      <c r="I105" s="76"/>
      <c r="J105" s="76"/>
      <c r="K105" s="76"/>
      <c r="L105" s="76"/>
      <c r="M105" s="76"/>
      <c r="N105" s="42"/>
      <c r="O105" s="42"/>
      <c r="P105" s="42"/>
      <c r="Q105" s="42"/>
      <c r="R105" s="42"/>
      <c r="S105" s="42"/>
      <c r="T105" s="127"/>
    </row>
    <row r="106" spans="1:20" ht="20.100000000000001" customHeight="1" x14ac:dyDescent="0.35">
      <c r="A106" s="128"/>
      <c r="B106" s="669" t="s">
        <v>471</v>
      </c>
      <c r="C106" s="131"/>
      <c r="D106" s="670">
        <f>SUM(D99:D105)</f>
        <v>0</v>
      </c>
      <c r="E106" s="671">
        <f>SUM(E99:E105)</f>
        <v>0</v>
      </c>
      <c r="F106" s="660"/>
      <c r="G106" s="76"/>
      <c r="H106" s="670">
        <f>SUM(H99:H105)</f>
        <v>0</v>
      </c>
      <c r="I106" s="671">
        <f>SUM(I99:I105)</f>
        <v>0</v>
      </c>
      <c r="J106" s="645"/>
      <c r="K106" s="670">
        <f>SUM(K99:K105)</f>
        <v>0</v>
      </c>
      <c r="L106" s="671">
        <f>SUM(L99:L105)</f>
        <v>0</v>
      </c>
      <c r="M106" s="131"/>
      <c r="N106" s="42"/>
      <c r="O106" s="42"/>
      <c r="P106" s="42"/>
      <c r="Q106" s="42"/>
      <c r="R106" s="42"/>
      <c r="S106" s="42"/>
      <c r="T106" s="127"/>
    </row>
    <row r="107" spans="1:20" ht="20.100000000000001" customHeight="1" x14ac:dyDescent="0.35">
      <c r="A107" s="128"/>
      <c r="B107" s="669"/>
      <c r="C107" s="131"/>
      <c r="D107" s="648"/>
      <c r="E107" s="86"/>
      <c r="F107" s="660"/>
      <c r="G107" s="76"/>
      <c r="H107" s="648"/>
      <c r="I107" s="86"/>
      <c r="J107" s="645"/>
      <c r="K107" s="648"/>
      <c r="L107" s="86"/>
      <c r="M107" s="131"/>
      <c r="N107" s="42"/>
      <c r="O107" s="42"/>
      <c r="P107" s="42"/>
      <c r="Q107" s="42"/>
      <c r="R107" s="42"/>
      <c r="S107" s="42"/>
      <c r="T107" s="127"/>
    </row>
    <row r="108" spans="1:20" ht="20.100000000000001" customHeight="1" x14ac:dyDescent="0.35">
      <c r="A108" s="128"/>
      <c r="B108" s="666" t="s">
        <v>243</v>
      </c>
      <c r="C108" s="131"/>
      <c r="D108" s="648"/>
      <c r="E108" s="86"/>
      <c r="F108" s="660"/>
      <c r="G108" s="76"/>
      <c r="H108" s="648"/>
      <c r="I108" s="86"/>
      <c r="J108" s="645"/>
      <c r="K108" s="648"/>
      <c r="L108" s="86"/>
      <c r="M108" s="131"/>
      <c r="N108" s="42"/>
      <c r="O108" s="42"/>
      <c r="P108" s="42"/>
      <c r="Q108" s="42"/>
      <c r="R108" s="42"/>
      <c r="S108" s="42"/>
      <c r="T108" s="127"/>
    </row>
    <row r="109" spans="1:20" ht="15.75" customHeight="1" x14ac:dyDescent="0.35">
      <c r="A109" s="128"/>
      <c r="B109" s="151" t="s">
        <v>482</v>
      </c>
      <c r="C109" s="131"/>
      <c r="D109" s="648">
        <f t="shared" ref="D109:D115" si="26">+H109+K109</f>
        <v>0</v>
      </c>
      <c r="E109" s="86">
        <f t="shared" ref="E109:E115" si="27">SUM(I109,L109)</f>
        <v>0</v>
      </c>
      <c r="F109" s="660">
        <f t="shared" ref="F109:F115" si="28">IF($E$166=0,0,+E109/$E$166)</f>
        <v>0</v>
      </c>
      <c r="G109" s="76"/>
      <c r="H109" s="668"/>
      <c r="I109" s="661"/>
      <c r="J109" s="645"/>
      <c r="K109" s="668"/>
      <c r="L109" s="661"/>
      <c r="M109" s="131"/>
      <c r="N109" s="42"/>
      <c r="O109" s="42"/>
      <c r="P109" s="42"/>
      <c r="Q109" s="42"/>
      <c r="R109" s="42"/>
      <c r="S109" s="42"/>
      <c r="T109" s="127"/>
    </row>
    <row r="110" spans="1:20" ht="15.75" customHeight="1" x14ac:dyDescent="0.35">
      <c r="A110" s="128"/>
      <c r="B110" s="151" t="s">
        <v>483</v>
      </c>
      <c r="C110" s="131"/>
      <c r="D110" s="648">
        <f t="shared" si="26"/>
        <v>0</v>
      </c>
      <c r="E110" s="86">
        <f t="shared" si="27"/>
        <v>0</v>
      </c>
      <c r="F110" s="660">
        <f t="shared" si="28"/>
        <v>0</v>
      </c>
      <c r="G110" s="76"/>
      <c r="H110" s="668"/>
      <c r="I110" s="661"/>
      <c r="J110" s="645"/>
      <c r="K110" s="668"/>
      <c r="L110" s="661"/>
      <c r="M110" s="131"/>
      <c r="N110" s="42"/>
      <c r="O110" s="42"/>
      <c r="P110" s="42"/>
      <c r="Q110" s="42"/>
      <c r="R110" s="42"/>
      <c r="S110" s="42"/>
      <c r="T110" s="127"/>
    </row>
    <row r="111" spans="1:20" ht="15.75" customHeight="1" x14ac:dyDescent="0.35">
      <c r="A111" s="128"/>
      <c r="B111" s="151" t="s">
        <v>484</v>
      </c>
      <c r="C111" s="131"/>
      <c r="D111" s="648">
        <f t="shared" si="26"/>
        <v>0</v>
      </c>
      <c r="E111" s="86">
        <f t="shared" si="27"/>
        <v>0</v>
      </c>
      <c r="F111" s="660">
        <f t="shared" si="28"/>
        <v>0</v>
      </c>
      <c r="G111" s="76"/>
      <c r="H111" s="668"/>
      <c r="I111" s="661"/>
      <c r="J111" s="645"/>
      <c r="K111" s="668"/>
      <c r="L111" s="661"/>
      <c r="M111" s="131"/>
      <c r="N111" s="42"/>
      <c r="O111" s="42"/>
      <c r="P111" s="42"/>
      <c r="Q111" s="42"/>
      <c r="R111" s="42"/>
      <c r="S111" s="42"/>
      <c r="T111" s="127"/>
    </row>
    <row r="112" spans="1:20" ht="15.75" customHeight="1" x14ac:dyDescent="0.35">
      <c r="A112" s="128"/>
      <c r="B112" s="151" t="s">
        <v>485</v>
      </c>
      <c r="C112" s="131"/>
      <c r="D112" s="648">
        <f t="shared" si="26"/>
        <v>0</v>
      </c>
      <c r="E112" s="86">
        <f t="shared" si="27"/>
        <v>0</v>
      </c>
      <c r="F112" s="660">
        <f t="shared" si="28"/>
        <v>0</v>
      </c>
      <c r="G112" s="76"/>
      <c r="H112" s="668"/>
      <c r="I112" s="661"/>
      <c r="J112" s="645"/>
      <c r="K112" s="668"/>
      <c r="L112" s="661"/>
      <c r="M112" s="131"/>
      <c r="N112" s="42"/>
      <c r="O112" s="42"/>
      <c r="P112" s="42"/>
      <c r="Q112" s="42"/>
      <c r="R112" s="42"/>
      <c r="S112" s="42"/>
      <c r="T112" s="127"/>
    </row>
    <row r="113" spans="1:20" ht="15.75" customHeight="1" x14ac:dyDescent="0.35">
      <c r="A113" s="128"/>
      <c r="B113" s="151" t="s">
        <v>486</v>
      </c>
      <c r="C113" s="131"/>
      <c r="D113" s="648">
        <f t="shared" si="26"/>
        <v>0</v>
      </c>
      <c r="E113" s="86">
        <f t="shared" si="27"/>
        <v>0</v>
      </c>
      <c r="F113" s="660">
        <f t="shared" si="28"/>
        <v>0</v>
      </c>
      <c r="G113" s="76"/>
      <c r="H113" s="668"/>
      <c r="I113" s="661"/>
      <c r="J113" s="645"/>
      <c r="K113" s="668"/>
      <c r="L113" s="661"/>
      <c r="M113" s="131"/>
      <c r="N113" s="42"/>
      <c r="O113" s="42"/>
      <c r="P113" s="42"/>
      <c r="Q113" s="42"/>
      <c r="R113" s="42"/>
      <c r="S113" s="42"/>
      <c r="T113" s="127"/>
    </row>
    <row r="114" spans="1:20" ht="15.75" customHeight="1" x14ac:dyDescent="0.35">
      <c r="A114" s="128"/>
      <c r="B114" s="151" t="s">
        <v>487</v>
      </c>
      <c r="C114" s="131"/>
      <c r="D114" s="648">
        <f t="shared" si="26"/>
        <v>0</v>
      </c>
      <c r="E114" s="86">
        <f t="shared" si="27"/>
        <v>0</v>
      </c>
      <c r="F114" s="660">
        <f t="shared" si="28"/>
        <v>0</v>
      </c>
      <c r="G114" s="76"/>
      <c r="H114" s="668"/>
      <c r="I114" s="661"/>
      <c r="J114" s="645"/>
      <c r="K114" s="668"/>
      <c r="L114" s="661"/>
      <c r="M114" s="131"/>
      <c r="N114" s="42"/>
      <c r="O114" s="42"/>
      <c r="P114" s="42"/>
      <c r="Q114" s="42"/>
      <c r="R114" s="42"/>
      <c r="S114" s="42"/>
      <c r="T114" s="127"/>
    </row>
    <row r="115" spans="1:20" ht="15.75" customHeight="1" x14ac:dyDescent="0.35">
      <c r="A115" s="128"/>
      <c r="B115" s="151" t="s">
        <v>488</v>
      </c>
      <c r="C115" s="131"/>
      <c r="D115" s="648">
        <f t="shared" si="26"/>
        <v>0</v>
      </c>
      <c r="E115" s="86">
        <f t="shared" si="27"/>
        <v>0</v>
      </c>
      <c r="F115" s="660">
        <f t="shared" si="28"/>
        <v>0</v>
      </c>
      <c r="G115" s="76"/>
      <c r="H115" s="668"/>
      <c r="I115" s="661"/>
      <c r="J115" s="645"/>
      <c r="K115" s="668"/>
      <c r="L115" s="661"/>
      <c r="M115" s="131"/>
      <c r="N115" s="42"/>
      <c r="O115" s="42"/>
      <c r="P115" s="42"/>
      <c r="Q115" s="42"/>
      <c r="R115" s="42"/>
      <c r="S115" s="42"/>
      <c r="T115" s="127"/>
    </row>
    <row r="116" spans="1:20" ht="7.35" customHeight="1" x14ac:dyDescent="0.35">
      <c r="A116" s="128"/>
      <c r="B116" s="151"/>
      <c r="C116" s="131"/>
      <c r="D116" s="648"/>
      <c r="E116" s="86"/>
      <c r="F116" s="660"/>
      <c r="G116" s="76"/>
      <c r="H116" s="648"/>
      <c r="I116" s="76"/>
      <c r="J116" s="76"/>
      <c r="K116" s="76"/>
      <c r="L116" s="76"/>
      <c r="M116" s="76"/>
      <c r="N116" s="42"/>
      <c r="O116" s="42"/>
      <c r="P116" s="42"/>
      <c r="Q116" s="42"/>
      <c r="R116" s="42"/>
      <c r="S116" s="42"/>
      <c r="T116" s="127"/>
    </row>
    <row r="117" spans="1:20" ht="20.100000000000001" customHeight="1" x14ac:dyDescent="0.35">
      <c r="A117" s="128"/>
      <c r="B117" s="669" t="s">
        <v>471</v>
      </c>
      <c r="C117" s="131"/>
      <c r="D117" s="670">
        <f>SUM(D109:D116)</f>
        <v>0</v>
      </c>
      <c r="E117" s="671">
        <f>SUM(E109:E116)</f>
        <v>0</v>
      </c>
      <c r="F117" s="660"/>
      <c r="G117" s="76"/>
      <c r="H117" s="670">
        <f>SUM(H109:H116)</f>
        <v>0</v>
      </c>
      <c r="I117" s="671">
        <f>SUM(I109:I116)</f>
        <v>0</v>
      </c>
      <c r="J117" s="645"/>
      <c r="K117" s="670">
        <f>SUM(K109:K116)</f>
        <v>0</v>
      </c>
      <c r="L117" s="671">
        <f>SUM(L109:L116)</f>
        <v>0</v>
      </c>
      <c r="M117" s="131"/>
      <c r="N117" s="42"/>
      <c r="O117" s="42"/>
      <c r="P117" s="42"/>
      <c r="Q117" s="42"/>
      <c r="R117" s="42"/>
      <c r="S117" s="42"/>
      <c r="T117" s="127"/>
    </row>
    <row r="118" spans="1:20" ht="20.100000000000001" customHeight="1" x14ac:dyDescent="0.35">
      <c r="A118" s="128"/>
      <c r="B118" s="669"/>
      <c r="C118" s="131"/>
      <c r="D118" s="648"/>
      <c r="E118" s="86"/>
      <c r="F118" s="660"/>
      <c r="G118" s="76"/>
      <c r="H118" s="648"/>
      <c r="I118" s="86"/>
      <c r="J118" s="645"/>
      <c r="K118" s="648"/>
      <c r="L118" s="86"/>
      <c r="M118" s="131"/>
      <c r="N118" s="42"/>
      <c r="O118" s="42"/>
      <c r="P118" s="42"/>
      <c r="Q118" s="42"/>
      <c r="R118" s="42"/>
      <c r="S118" s="42"/>
      <c r="T118" s="127"/>
    </row>
    <row r="119" spans="1:20" ht="20.100000000000001" customHeight="1" x14ac:dyDescent="0.35">
      <c r="A119" s="128"/>
      <c r="B119" s="666" t="s">
        <v>95</v>
      </c>
      <c r="C119" s="131"/>
      <c r="D119" s="648"/>
      <c r="E119" s="86"/>
      <c r="F119" s="660"/>
      <c r="G119" s="76"/>
      <c r="H119" s="648"/>
      <c r="I119" s="86"/>
      <c r="J119" s="645"/>
      <c r="K119" s="648"/>
      <c r="L119" s="86"/>
      <c r="M119" s="131"/>
      <c r="N119" s="42"/>
      <c r="O119" s="42"/>
      <c r="P119" s="42"/>
      <c r="Q119" s="42"/>
      <c r="R119" s="42"/>
      <c r="S119" s="42"/>
      <c r="T119" s="127"/>
    </row>
    <row r="120" spans="1:20" ht="15.75" customHeight="1" x14ac:dyDescent="0.35">
      <c r="A120" s="128"/>
      <c r="B120" s="151" t="s">
        <v>489</v>
      </c>
      <c r="C120" s="131"/>
      <c r="D120" s="648">
        <f>+H120+K120</f>
        <v>0</v>
      </c>
      <c r="E120" s="86">
        <f>SUM(I120,L120)</f>
        <v>0</v>
      </c>
      <c r="F120" s="660">
        <f>IF($E$166=0,0,+E120/$E$166)</f>
        <v>0</v>
      </c>
      <c r="G120" s="76"/>
      <c r="H120" s="668"/>
      <c r="I120" s="661"/>
      <c r="J120" s="645"/>
      <c r="K120" s="668"/>
      <c r="L120" s="661"/>
      <c r="M120" s="131"/>
      <c r="N120" s="42"/>
      <c r="O120" s="42"/>
      <c r="P120" s="42"/>
      <c r="Q120" s="42"/>
      <c r="R120" s="42"/>
      <c r="S120" s="42"/>
      <c r="T120" s="127"/>
    </row>
    <row r="121" spans="1:20" ht="15.75" customHeight="1" x14ac:dyDescent="0.35">
      <c r="A121" s="128"/>
      <c r="B121" s="151" t="s">
        <v>490</v>
      </c>
      <c r="C121" s="131"/>
      <c r="D121" s="648">
        <f>+H121+K121</f>
        <v>0</v>
      </c>
      <c r="E121" s="86">
        <f>SUM(I121,L121)</f>
        <v>0</v>
      </c>
      <c r="F121" s="660">
        <f>IF($E$166=0,0,+E121/$E$166)</f>
        <v>0</v>
      </c>
      <c r="G121" s="76"/>
      <c r="H121" s="668"/>
      <c r="I121" s="661"/>
      <c r="J121" s="645"/>
      <c r="K121" s="668"/>
      <c r="L121" s="661"/>
      <c r="M121" s="131"/>
      <c r="N121" s="42"/>
      <c r="O121" s="42"/>
      <c r="P121" s="42"/>
      <c r="Q121" s="42"/>
      <c r="R121" s="42"/>
      <c r="S121" s="42"/>
      <c r="T121" s="127"/>
    </row>
    <row r="122" spans="1:20" ht="15.75" customHeight="1" x14ac:dyDescent="0.35">
      <c r="A122" s="128"/>
      <c r="B122" s="151"/>
      <c r="C122" s="131"/>
      <c r="D122" s="648">
        <f>+H122+K122</f>
        <v>0</v>
      </c>
      <c r="E122" s="86"/>
      <c r="F122" s="660"/>
      <c r="G122" s="76"/>
      <c r="H122" s="668"/>
      <c r="I122" s="661"/>
      <c r="J122" s="645"/>
      <c r="K122" s="668"/>
      <c r="L122" s="661"/>
      <c r="M122" s="131"/>
      <c r="N122" s="42"/>
      <c r="O122" s="42"/>
      <c r="P122" s="42"/>
      <c r="Q122" s="42"/>
      <c r="R122" s="42"/>
      <c r="S122" s="42"/>
      <c r="T122" s="127"/>
    </row>
    <row r="123" spans="1:20" ht="7.35" customHeight="1" x14ac:dyDescent="0.35">
      <c r="A123" s="128"/>
      <c r="B123" s="151"/>
      <c r="C123" s="131"/>
      <c r="D123" s="648"/>
      <c r="E123" s="86"/>
      <c r="F123" s="660"/>
      <c r="G123" s="76"/>
      <c r="H123" s="76"/>
      <c r="I123" s="76"/>
      <c r="J123" s="76"/>
      <c r="K123" s="76"/>
      <c r="L123" s="76"/>
      <c r="M123" s="76"/>
      <c r="N123" s="42"/>
      <c r="O123" s="42"/>
      <c r="P123" s="42"/>
      <c r="Q123" s="42"/>
      <c r="R123" s="42"/>
      <c r="S123" s="42"/>
      <c r="T123" s="127"/>
    </row>
    <row r="124" spans="1:20" ht="20.100000000000001" customHeight="1" x14ac:dyDescent="0.35">
      <c r="A124" s="128"/>
      <c r="B124" s="669" t="s">
        <v>471</v>
      </c>
      <c r="C124" s="131"/>
      <c r="D124" s="670">
        <f>SUM(D120:D123)</f>
        <v>0</v>
      </c>
      <c r="E124" s="671">
        <f>SUM(E120:E123)</f>
        <v>0</v>
      </c>
      <c r="F124" s="660"/>
      <c r="G124" s="76"/>
      <c r="H124" s="670">
        <f>SUM(H120:H123)</f>
        <v>0</v>
      </c>
      <c r="I124" s="671">
        <f>SUM(I120:I123)</f>
        <v>0</v>
      </c>
      <c r="J124" s="645"/>
      <c r="K124" s="670">
        <f>SUM(K120:K123)</f>
        <v>0</v>
      </c>
      <c r="L124" s="671">
        <f>SUM(L120:L123)</f>
        <v>0</v>
      </c>
      <c r="M124" s="131"/>
      <c r="N124" s="42"/>
      <c r="O124" s="42"/>
      <c r="P124" s="42"/>
      <c r="Q124" s="42"/>
      <c r="R124" s="42"/>
      <c r="S124" s="42"/>
      <c r="T124" s="127"/>
    </row>
    <row r="125" spans="1:20" ht="15.75" customHeight="1" x14ac:dyDescent="0.35">
      <c r="A125" s="128"/>
      <c r="B125" s="666" t="s">
        <v>81</v>
      </c>
      <c r="C125" s="131"/>
      <c r="D125" s="131"/>
      <c r="E125" s="131"/>
      <c r="F125" s="131"/>
      <c r="G125" s="129"/>
      <c r="H125" s="129"/>
      <c r="I125" s="129"/>
      <c r="J125" s="645"/>
      <c r="K125" s="129"/>
      <c r="L125" s="129"/>
      <c r="M125" s="131"/>
      <c r="N125" s="42"/>
      <c r="O125" s="42"/>
      <c r="P125" s="42"/>
      <c r="Q125" s="42"/>
      <c r="R125" s="42"/>
      <c r="S125" s="42"/>
      <c r="T125" s="127"/>
    </row>
    <row r="126" spans="1:20" ht="15.75" customHeight="1" x14ac:dyDescent="0.35">
      <c r="A126" s="128"/>
      <c r="B126" s="151" t="s">
        <v>491</v>
      </c>
      <c r="C126" s="131"/>
      <c r="D126" s="648">
        <f>+H126+K126</f>
        <v>0</v>
      </c>
      <c r="E126" s="86">
        <f>SUM(I126,L126)</f>
        <v>0</v>
      </c>
      <c r="F126" s="660">
        <f>IF($E$166=0,0,+E126/$E$166)</f>
        <v>0</v>
      </c>
      <c r="G126" s="76"/>
      <c r="H126" s="668"/>
      <c r="I126" s="661"/>
      <c r="J126" s="645"/>
      <c r="K126" s="668"/>
      <c r="L126" s="661"/>
      <c r="M126" s="131"/>
      <c r="N126" s="42"/>
      <c r="O126" s="42"/>
      <c r="P126" s="42"/>
      <c r="Q126" s="42"/>
      <c r="R126" s="42"/>
      <c r="S126" s="42"/>
      <c r="T126" s="127"/>
    </row>
    <row r="127" spans="1:20" ht="15.75" customHeight="1" x14ac:dyDescent="0.35">
      <c r="A127" s="128"/>
      <c r="B127" s="151" t="s">
        <v>492</v>
      </c>
      <c r="C127" s="131"/>
      <c r="D127" s="648">
        <f>+H127+K127</f>
        <v>0</v>
      </c>
      <c r="E127" s="86">
        <f>SUM(I127,L127)</f>
        <v>0</v>
      </c>
      <c r="F127" s="660">
        <f>IF($E$166=0,0,+E127/$E$166)</f>
        <v>0</v>
      </c>
      <c r="G127" s="76"/>
      <c r="H127" s="668"/>
      <c r="I127" s="661"/>
      <c r="J127" s="645"/>
      <c r="K127" s="668"/>
      <c r="L127" s="661"/>
      <c r="M127" s="131"/>
      <c r="N127" s="42"/>
      <c r="O127" s="42"/>
      <c r="P127" s="42"/>
      <c r="Q127" s="42"/>
      <c r="R127" s="42"/>
      <c r="S127" s="42"/>
      <c r="T127" s="127"/>
    </row>
    <row r="128" spans="1:20" ht="15.75" customHeight="1" x14ac:dyDescent="0.35">
      <c r="A128" s="132"/>
      <c r="B128" s="151" t="s">
        <v>493</v>
      </c>
      <c r="C128" s="131"/>
      <c r="D128" s="648">
        <f>+H128+K128</f>
        <v>0</v>
      </c>
      <c r="E128" s="86">
        <f>SUM(I128,L128)</f>
        <v>0</v>
      </c>
      <c r="F128" s="660">
        <f>IF($E$166=0,0,+E128/$E$166)</f>
        <v>0</v>
      </c>
      <c r="G128" s="76"/>
      <c r="H128" s="668"/>
      <c r="I128" s="661"/>
      <c r="J128" s="645"/>
      <c r="K128" s="668"/>
      <c r="L128" s="661"/>
      <c r="M128" s="131"/>
      <c r="N128" s="42"/>
      <c r="O128" s="42"/>
      <c r="P128" s="42"/>
      <c r="Q128" s="42"/>
      <c r="R128" s="42"/>
      <c r="S128" s="42"/>
      <c r="T128" s="127"/>
    </row>
    <row r="129" spans="1:20" ht="15.75" customHeight="1" x14ac:dyDescent="0.3">
      <c r="A129" s="132"/>
      <c r="B129" s="151" t="s">
        <v>494</v>
      </c>
      <c r="C129" s="133"/>
      <c r="D129" s="648">
        <f>+H129+K129</f>
        <v>0</v>
      </c>
      <c r="E129" s="86">
        <f>SUM(I129,L129)</f>
        <v>0</v>
      </c>
      <c r="F129" s="660">
        <f>IF($E$166=0,0,+E129/$E$166)</f>
        <v>0</v>
      </c>
      <c r="G129" s="76"/>
      <c r="H129" s="668"/>
      <c r="I129" s="661"/>
      <c r="J129" s="645"/>
      <c r="K129" s="668"/>
      <c r="L129" s="661"/>
      <c r="M129" s="126"/>
      <c r="N129" s="42"/>
      <c r="O129" s="42"/>
      <c r="P129" s="42"/>
      <c r="Q129" s="42"/>
      <c r="R129" s="42"/>
      <c r="S129" s="42"/>
      <c r="T129" s="127"/>
    </row>
    <row r="130" spans="1:20" ht="7.35" customHeight="1" x14ac:dyDescent="0.35">
      <c r="A130" s="128"/>
      <c r="B130" s="151"/>
      <c r="C130" s="131"/>
      <c r="D130" s="648"/>
      <c r="E130" s="86"/>
      <c r="F130" s="660"/>
      <c r="G130" s="76"/>
      <c r="H130" s="76"/>
      <c r="I130" s="76"/>
      <c r="J130" s="76"/>
      <c r="K130" s="76"/>
      <c r="L130" s="76"/>
      <c r="M130" s="76"/>
      <c r="N130" s="42"/>
      <c r="O130" s="42"/>
      <c r="P130" s="42"/>
      <c r="Q130" s="42"/>
      <c r="R130" s="42"/>
      <c r="S130" s="42"/>
      <c r="T130" s="127"/>
    </row>
    <row r="131" spans="1:20" ht="20.100000000000001" customHeight="1" x14ac:dyDescent="0.35">
      <c r="A131" s="128"/>
      <c r="B131" s="669" t="s">
        <v>471</v>
      </c>
      <c r="C131" s="131"/>
      <c r="D131" s="670">
        <f>SUM(D126:D130)</f>
        <v>0</v>
      </c>
      <c r="E131" s="671">
        <f>SUM(E126:E130)</f>
        <v>0</v>
      </c>
      <c r="F131" s="660"/>
      <c r="G131" s="76"/>
      <c r="H131" s="670">
        <f>SUM(H126:H130)</f>
        <v>0</v>
      </c>
      <c r="I131" s="671">
        <f>SUM(I126:I130)</f>
        <v>0</v>
      </c>
      <c r="J131" s="645"/>
      <c r="K131" s="670">
        <f>SUM(K126:K130)</f>
        <v>0</v>
      </c>
      <c r="L131" s="671">
        <f>SUM(L126:L130)</f>
        <v>0</v>
      </c>
      <c r="M131" s="131"/>
      <c r="N131" s="42"/>
      <c r="O131" s="42"/>
      <c r="P131" s="42"/>
      <c r="Q131" s="42"/>
      <c r="R131" s="42"/>
      <c r="S131" s="42"/>
      <c r="T131" s="127"/>
    </row>
    <row r="132" spans="1:20" ht="15.75" customHeight="1" x14ac:dyDescent="0.3">
      <c r="A132" s="132"/>
      <c r="B132" s="151"/>
      <c r="C132" s="133"/>
      <c r="D132" s="133"/>
      <c r="E132" s="86"/>
      <c r="F132" s="660"/>
      <c r="G132" s="76"/>
      <c r="H132" s="76"/>
      <c r="I132" s="76"/>
      <c r="J132" s="76"/>
      <c r="K132" s="76"/>
      <c r="L132" s="76"/>
      <c r="M132" s="126"/>
      <c r="N132" s="42"/>
      <c r="O132" s="42"/>
      <c r="P132" s="42"/>
      <c r="Q132" s="42"/>
      <c r="R132" s="42"/>
      <c r="S132" s="42"/>
      <c r="T132" s="127"/>
    </row>
    <row r="133" spans="1:20" ht="15.75" customHeight="1" x14ac:dyDescent="0.35">
      <c r="A133" s="134"/>
      <c r="B133" s="666" t="s">
        <v>393</v>
      </c>
      <c r="C133" s="131"/>
      <c r="D133" s="648">
        <f>+H133+K133</f>
        <v>0</v>
      </c>
      <c r="E133" s="86">
        <f>SUM(I133,L133)</f>
        <v>0</v>
      </c>
      <c r="F133" s="660">
        <f>IF($E$166=0,0,+E133/$E$166)</f>
        <v>0</v>
      </c>
      <c r="G133" s="76"/>
      <c r="H133" s="668"/>
      <c r="I133" s="661"/>
      <c r="J133" s="645"/>
      <c r="K133" s="668"/>
      <c r="L133" s="661"/>
      <c r="M133" s="131"/>
      <c r="N133" s="42"/>
      <c r="O133" s="42"/>
      <c r="P133" s="42"/>
      <c r="Q133" s="42"/>
      <c r="R133" s="42"/>
      <c r="S133" s="42"/>
      <c r="T133" s="127"/>
    </row>
    <row r="134" spans="1:20" ht="15.75" customHeight="1" x14ac:dyDescent="0.35">
      <c r="A134" s="135"/>
      <c r="B134" s="151"/>
      <c r="C134" s="131"/>
      <c r="D134" s="131"/>
      <c r="E134" s="131"/>
      <c r="F134" s="131"/>
      <c r="G134" s="129"/>
      <c r="H134" s="129"/>
      <c r="I134" s="129"/>
      <c r="J134" s="645"/>
      <c r="K134" s="129"/>
      <c r="L134" s="129"/>
      <c r="M134" s="131"/>
      <c r="N134" s="42"/>
      <c r="O134" s="42"/>
      <c r="P134" s="42"/>
      <c r="Q134" s="42"/>
      <c r="R134" s="42"/>
      <c r="S134" s="42"/>
      <c r="T134" s="127"/>
    </row>
    <row r="135" spans="1:20" ht="15.75" customHeight="1" x14ac:dyDescent="0.35">
      <c r="A135" s="135"/>
      <c r="B135" s="151"/>
      <c r="C135" s="131"/>
      <c r="D135" s="131"/>
      <c r="E135" s="131"/>
      <c r="F135" s="131"/>
      <c r="G135" s="129"/>
      <c r="H135" s="129"/>
      <c r="I135" s="129"/>
      <c r="J135" s="645"/>
      <c r="K135" s="129"/>
      <c r="L135" s="129"/>
      <c r="M135" s="131"/>
      <c r="N135" s="42"/>
      <c r="O135" s="42"/>
      <c r="P135" s="42"/>
      <c r="Q135" s="42"/>
      <c r="R135" s="42"/>
      <c r="S135" s="42"/>
      <c r="T135" s="127"/>
    </row>
    <row r="136" spans="1:20" ht="15.75" customHeight="1" x14ac:dyDescent="0.35">
      <c r="A136" s="136"/>
      <c r="B136" s="666" t="s">
        <v>66</v>
      </c>
      <c r="C136" s="131"/>
      <c r="D136" s="648">
        <f>+H136+K136</f>
        <v>0</v>
      </c>
      <c r="E136" s="86"/>
      <c r="F136" s="660"/>
      <c r="G136" s="76"/>
      <c r="H136" s="668"/>
      <c r="I136" s="661"/>
      <c r="J136" s="645"/>
      <c r="K136" s="668"/>
      <c r="L136" s="661"/>
      <c r="M136" s="131"/>
      <c r="N136" s="42"/>
      <c r="O136" s="42"/>
      <c r="P136" s="42"/>
      <c r="Q136" s="42"/>
      <c r="R136" s="42"/>
      <c r="S136" s="42"/>
      <c r="T136" s="127"/>
    </row>
    <row r="137" spans="1:20" ht="15.75" customHeight="1" x14ac:dyDescent="0.35">
      <c r="A137" s="136"/>
      <c r="B137" s="647"/>
      <c r="C137" s="131"/>
      <c r="D137" s="648">
        <f>+H137+K137</f>
        <v>0</v>
      </c>
      <c r="E137" s="86">
        <f>SUM(I137,L137)</f>
        <v>0</v>
      </c>
      <c r="F137" s="660">
        <f>IF($E$166=0,0,+E137/$E$166)</f>
        <v>0</v>
      </c>
      <c r="G137" s="76"/>
      <c r="H137" s="668"/>
      <c r="I137" s="661"/>
      <c r="J137" s="645"/>
      <c r="K137" s="668"/>
      <c r="L137" s="661"/>
      <c r="M137" s="131"/>
      <c r="N137" s="42"/>
      <c r="O137" s="42"/>
      <c r="P137" s="42"/>
      <c r="Q137" s="42"/>
      <c r="R137" s="42"/>
      <c r="S137" s="42"/>
      <c r="T137" s="127"/>
    </row>
    <row r="138" spans="1:20" ht="15.75" customHeight="1" x14ac:dyDescent="0.35">
      <c r="A138" s="136"/>
      <c r="B138" s="672"/>
      <c r="C138" s="130"/>
      <c r="D138" s="648">
        <f>+H138+K138</f>
        <v>0</v>
      </c>
      <c r="E138" s="86">
        <f>SUM(I138,L138)</f>
        <v>0</v>
      </c>
      <c r="F138" s="660">
        <f>IF($E$166=0,0,+E138/$E$166)</f>
        <v>0</v>
      </c>
      <c r="G138" s="76"/>
      <c r="H138" s="668"/>
      <c r="I138" s="661"/>
      <c r="J138" s="645"/>
      <c r="K138" s="668"/>
      <c r="L138" s="661"/>
      <c r="M138" s="131"/>
      <c r="N138" s="42"/>
      <c r="O138" s="42"/>
      <c r="P138" s="42"/>
      <c r="Q138" s="42"/>
      <c r="R138" s="42"/>
      <c r="S138" s="42"/>
      <c r="T138" s="127"/>
    </row>
    <row r="139" spans="1:20" ht="7.35" customHeight="1" x14ac:dyDescent="0.35">
      <c r="A139" s="128"/>
      <c r="B139" s="151"/>
      <c r="C139" s="131"/>
      <c r="D139" s="648"/>
      <c r="E139" s="86"/>
      <c r="F139" s="660"/>
      <c r="G139" s="76"/>
      <c r="H139" s="76"/>
      <c r="I139" s="76"/>
      <c r="J139" s="76"/>
      <c r="K139" s="76"/>
      <c r="L139" s="76"/>
      <c r="M139" s="76"/>
      <c r="N139" s="42"/>
      <c r="O139" s="42"/>
      <c r="P139" s="42"/>
      <c r="Q139" s="42"/>
      <c r="R139" s="42"/>
      <c r="S139" s="42"/>
      <c r="T139" s="127"/>
    </row>
    <row r="140" spans="1:20" ht="20.100000000000001" customHeight="1" x14ac:dyDescent="0.35">
      <c r="A140" s="128"/>
      <c r="B140" s="669" t="s">
        <v>471</v>
      </c>
      <c r="C140" s="131"/>
      <c r="D140" s="670">
        <f>SUM(D136:D139)</f>
        <v>0</v>
      </c>
      <c r="E140" s="671">
        <f>SUM(E136:E139)</f>
        <v>0</v>
      </c>
      <c r="F140" s="660"/>
      <c r="G140" s="76"/>
      <c r="H140" s="670">
        <f>SUM(H136:H139)</f>
        <v>0</v>
      </c>
      <c r="I140" s="671">
        <f>SUM(I136:I139)</f>
        <v>0</v>
      </c>
      <c r="J140" s="645"/>
      <c r="K140" s="670">
        <f>SUM(K136:K139)</f>
        <v>0</v>
      </c>
      <c r="L140" s="671">
        <f>SUM(L136:L139)</f>
        <v>0</v>
      </c>
      <c r="M140" s="131"/>
      <c r="N140" s="42"/>
      <c r="O140" s="42"/>
      <c r="P140" s="42"/>
      <c r="Q140" s="42"/>
      <c r="R140" s="42"/>
      <c r="S140" s="42"/>
      <c r="T140" s="127"/>
    </row>
    <row r="141" spans="1:20" ht="20.100000000000001" customHeight="1" x14ac:dyDescent="0.35">
      <c r="A141" s="128"/>
      <c r="B141" s="669"/>
      <c r="C141" s="131"/>
      <c r="D141" s="648"/>
      <c r="E141" s="86"/>
      <c r="F141" s="660"/>
      <c r="G141" s="76"/>
      <c r="H141" s="648"/>
      <c r="I141" s="86"/>
      <c r="J141" s="645"/>
      <c r="K141" s="648"/>
      <c r="L141" s="86"/>
      <c r="M141" s="131"/>
      <c r="N141" s="42"/>
      <c r="O141" s="42"/>
      <c r="P141" s="42"/>
      <c r="Q141" s="42"/>
      <c r="R141" s="42"/>
      <c r="S141" s="42"/>
      <c r="T141" s="127"/>
    </row>
    <row r="142" spans="1:20" ht="15.75" customHeight="1" x14ac:dyDescent="0.35">
      <c r="A142" s="134"/>
      <c r="B142" s="666" t="s">
        <v>99</v>
      </c>
      <c r="C142" s="137"/>
      <c r="D142" s="137"/>
      <c r="E142" s="131"/>
      <c r="F142" s="131"/>
      <c r="G142" s="129"/>
      <c r="H142" s="129"/>
      <c r="I142" s="129"/>
      <c r="J142" s="645"/>
      <c r="K142" s="129"/>
      <c r="L142" s="129"/>
      <c r="M142" s="129"/>
      <c r="N142" s="42"/>
      <c r="O142" s="42"/>
      <c r="P142" s="42"/>
      <c r="Q142" s="42"/>
      <c r="R142" s="42"/>
      <c r="S142" s="42"/>
      <c r="T142" s="127"/>
    </row>
    <row r="143" spans="1:20" ht="15.75" customHeight="1" x14ac:dyDescent="0.35">
      <c r="A143" s="134"/>
      <c r="B143" s="151" t="s">
        <v>495</v>
      </c>
      <c r="C143" s="130"/>
      <c r="D143" s="648">
        <f t="shared" ref="D143:D148" si="29">+H143+K143</f>
        <v>0</v>
      </c>
      <c r="E143" s="86">
        <f t="shared" ref="E143:E148" si="30">SUM(I143,L143)</f>
        <v>0</v>
      </c>
      <c r="F143" s="660">
        <f t="shared" ref="F143:F148" si="31">IF($E$166=0,0,+E143/$E$166)</f>
        <v>0</v>
      </c>
      <c r="G143" s="76"/>
      <c r="H143" s="668"/>
      <c r="I143" s="661"/>
      <c r="J143" s="645"/>
      <c r="K143" s="668"/>
      <c r="L143" s="661"/>
      <c r="M143" s="131"/>
      <c r="N143" s="42"/>
      <c r="O143" s="42"/>
      <c r="P143" s="42"/>
      <c r="Q143" s="42"/>
      <c r="R143" s="42"/>
      <c r="S143" s="42"/>
      <c r="T143" s="127"/>
    </row>
    <row r="144" spans="1:20" ht="15.75" customHeight="1" x14ac:dyDescent="0.35">
      <c r="A144" s="134"/>
      <c r="B144" s="151" t="s">
        <v>496</v>
      </c>
      <c r="C144" s="130"/>
      <c r="D144" s="648">
        <f t="shared" si="29"/>
        <v>0</v>
      </c>
      <c r="E144" s="86">
        <f t="shared" si="30"/>
        <v>0</v>
      </c>
      <c r="F144" s="660">
        <f t="shared" si="31"/>
        <v>0</v>
      </c>
      <c r="G144" s="76"/>
      <c r="H144" s="668"/>
      <c r="I144" s="661"/>
      <c r="J144" s="645"/>
      <c r="K144" s="668"/>
      <c r="L144" s="661"/>
      <c r="M144" s="131"/>
      <c r="N144" s="42"/>
      <c r="O144" s="42"/>
      <c r="P144" s="42"/>
      <c r="Q144" s="42"/>
      <c r="R144" s="42"/>
      <c r="S144" s="42"/>
      <c r="T144" s="127"/>
    </row>
    <row r="145" spans="1:20" ht="15.75" customHeight="1" x14ac:dyDescent="0.35">
      <c r="A145" s="134"/>
      <c r="B145" s="151" t="s">
        <v>497</v>
      </c>
      <c r="C145" s="130"/>
      <c r="D145" s="648">
        <f t="shared" si="29"/>
        <v>0</v>
      </c>
      <c r="E145" s="86">
        <f t="shared" si="30"/>
        <v>0</v>
      </c>
      <c r="F145" s="660">
        <f t="shared" si="31"/>
        <v>0</v>
      </c>
      <c r="G145" s="76"/>
      <c r="H145" s="668"/>
      <c r="I145" s="661"/>
      <c r="J145" s="645"/>
      <c r="K145" s="668"/>
      <c r="L145" s="661"/>
      <c r="M145" s="131"/>
      <c r="N145" s="42"/>
      <c r="O145" s="42"/>
      <c r="P145" s="42"/>
      <c r="Q145" s="42"/>
      <c r="R145" s="42"/>
      <c r="S145" s="42"/>
      <c r="T145" s="127"/>
    </row>
    <row r="146" spans="1:20" ht="15.75" customHeight="1" x14ac:dyDescent="0.35">
      <c r="A146" s="134"/>
      <c r="B146" s="151" t="s">
        <v>498</v>
      </c>
      <c r="C146" s="131"/>
      <c r="D146" s="648">
        <f t="shared" si="29"/>
        <v>0</v>
      </c>
      <c r="E146" s="86">
        <f t="shared" si="30"/>
        <v>0</v>
      </c>
      <c r="F146" s="660">
        <f t="shared" si="31"/>
        <v>0</v>
      </c>
      <c r="G146" s="76"/>
      <c r="H146" s="668"/>
      <c r="I146" s="661"/>
      <c r="J146" s="645"/>
      <c r="K146" s="668"/>
      <c r="L146" s="661"/>
      <c r="M146" s="131"/>
      <c r="N146" s="42"/>
      <c r="O146" s="42"/>
      <c r="P146" s="42"/>
      <c r="Q146" s="42"/>
      <c r="R146" s="42"/>
      <c r="S146" s="42"/>
      <c r="T146" s="127"/>
    </row>
    <row r="147" spans="1:20" ht="15.75" customHeight="1" x14ac:dyDescent="0.35">
      <c r="A147" s="134"/>
      <c r="B147" s="151" t="s">
        <v>499</v>
      </c>
      <c r="C147" s="131"/>
      <c r="D147" s="648">
        <f t="shared" si="29"/>
        <v>0</v>
      </c>
      <c r="E147" s="86">
        <f t="shared" si="30"/>
        <v>0</v>
      </c>
      <c r="F147" s="660">
        <f t="shared" si="31"/>
        <v>0</v>
      </c>
      <c r="G147" s="76"/>
      <c r="H147" s="668"/>
      <c r="I147" s="661"/>
      <c r="J147" s="645"/>
      <c r="K147" s="668"/>
      <c r="L147" s="661"/>
      <c r="M147" s="131"/>
      <c r="N147" s="42"/>
      <c r="O147" s="42"/>
      <c r="P147" s="42"/>
      <c r="Q147" s="42"/>
      <c r="R147" s="42"/>
      <c r="S147" s="42"/>
      <c r="T147" s="127"/>
    </row>
    <row r="148" spans="1:20" ht="15.75" customHeight="1" x14ac:dyDescent="0.35">
      <c r="A148" s="134"/>
      <c r="B148" s="151"/>
      <c r="C148" s="131"/>
      <c r="D148" s="648">
        <f t="shared" si="29"/>
        <v>0</v>
      </c>
      <c r="E148" s="86">
        <f t="shared" si="30"/>
        <v>0</v>
      </c>
      <c r="F148" s="660">
        <f t="shared" si="31"/>
        <v>0</v>
      </c>
      <c r="G148" s="129"/>
      <c r="H148" s="668"/>
      <c r="I148" s="661"/>
      <c r="J148" s="645"/>
      <c r="K148" s="668"/>
      <c r="L148" s="661"/>
      <c r="M148" s="131"/>
      <c r="N148" s="42"/>
      <c r="O148" s="42"/>
      <c r="P148" s="42"/>
      <c r="Q148" s="42"/>
      <c r="R148" s="42"/>
      <c r="S148" s="42"/>
      <c r="T148" s="127"/>
    </row>
    <row r="149" spans="1:20" ht="7.35" customHeight="1" x14ac:dyDescent="0.35">
      <c r="A149" s="128"/>
      <c r="B149" s="151"/>
      <c r="C149" s="131"/>
      <c r="D149" s="648"/>
      <c r="E149" s="86"/>
      <c r="F149" s="660"/>
      <c r="G149" s="76"/>
      <c r="H149" s="76"/>
      <c r="I149" s="76"/>
      <c r="J149" s="76"/>
      <c r="K149" s="76"/>
      <c r="L149" s="76"/>
      <c r="M149" s="76"/>
      <c r="N149" s="42"/>
      <c r="O149" s="42"/>
      <c r="P149" s="42"/>
      <c r="Q149" s="42"/>
      <c r="R149" s="42"/>
      <c r="S149" s="42"/>
      <c r="T149" s="127"/>
    </row>
    <row r="150" spans="1:20" ht="20.100000000000001" customHeight="1" x14ac:dyDescent="0.35">
      <c r="A150" s="128"/>
      <c r="B150" s="669" t="s">
        <v>471</v>
      </c>
      <c r="C150" s="131"/>
      <c r="D150" s="670">
        <f>SUM(D143:D149)</f>
        <v>0</v>
      </c>
      <c r="E150" s="671">
        <f>SUM(E143:E149)</f>
        <v>0</v>
      </c>
      <c r="F150" s="660"/>
      <c r="G150" s="76"/>
      <c r="H150" s="670">
        <f>SUM(H143:H149)</f>
        <v>0</v>
      </c>
      <c r="I150" s="671">
        <f>SUM(I143:I149)</f>
        <v>0</v>
      </c>
      <c r="J150" s="645"/>
      <c r="K150" s="670">
        <f>SUM(K143:K149)</f>
        <v>0</v>
      </c>
      <c r="L150" s="671">
        <f>SUM(L143:L149)</f>
        <v>0</v>
      </c>
      <c r="M150" s="131"/>
      <c r="N150" s="42"/>
      <c r="O150" s="42"/>
      <c r="P150" s="42"/>
      <c r="Q150" s="42"/>
      <c r="R150" s="42"/>
      <c r="S150" s="42"/>
      <c r="T150" s="127"/>
    </row>
    <row r="151" spans="1:20" ht="20.100000000000001" customHeight="1" x14ac:dyDescent="0.35">
      <c r="A151" s="128"/>
      <c r="B151" s="669"/>
      <c r="C151" s="131"/>
      <c r="D151" s="648"/>
      <c r="E151" s="86"/>
      <c r="F151" s="660"/>
      <c r="G151" s="76"/>
      <c r="H151" s="648"/>
      <c r="I151" s="86"/>
      <c r="J151" s="645"/>
      <c r="K151" s="648"/>
      <c r="L151" s="86"/>
      <c r="M151" s="131"/>
      <c r="N151" s="42"/>
      <c r="O151" s="42"/>
      <c r="P151" s="42"/>
      <c r="Q151" s="42"/>
      <c r="R151" s="42"/>
      <c r="S151" s="42"/>
      <c r="T151" s="127"/>
    </row>
    <row r="152" spans="1:20" ht="15.75" customHeight="1" x14ac:dyDescent="0.35">
      <c r="A152" s="134"/>
      <c r="B152" s="666" t="s">
        <v>462</v>
      </c>
      <c r="C152" s="130"/>
      <c r="D152" s="130"/>
      <c r="E152" s="86">
        <f>SUM(G152:L152)</f>
        <v>0</v>
      </c>
      <c r="F152" s="660">
        <f t="shared" ref="F152:F159" si="32">IF($E$166=0,0,+E152/$E$166)</f>
        <v>0</v>
      </c>
      <c r="G152" s="76"/>
      <c r="H152" s="129"/>
      <c r="I152" s="129"/>
      <c r="J152" s="645"/>
      <c r="K152" s="129"/>
      <c r="L152" s="129"/>
      <c r="M152" s="131"/>
      <c r="N152" s="42"/>
      <c r="O152" s="42"/>
      <c r="P152" s="42"/>
      <c r="Q152" s="42"/>
      <c r="R152" s="42"/>
      <c r="S152" s="42"/>
      <c r="T152" s="127"/>
    </row>
    <row r="153" spans="1:20" ht="15.75" customHeight="1" x14ac:dyDescent="0.35">
      <c r="A153" s="134"/>
      <c r="B153" s="151" t="s">
        <v>500</v>
      </c>
      <c r="C153" s="131"/>
      <c r="D153" s="648">
        <f t="shared" ref="D153:D159" si="33">+H153+K153</f>
        <v>0</v>
      </c>
      <c r="E153" s="86">
        <f t="shared" ref="E153:E159" si="34">SUM(I153,L153)</f>
        <v>0</v>
      </c>
      <c r="F153" s="660">
        <f t="shared" si="32"/>
        <v>0</v>
      </c>
      <c r="G153" s="76"/>
      <c r="H153" s="668"/>
      <c r="I153" s="661"/>
      <c r="J153" s="645"/>
      <c r="K153" s="668"/>
      <c r="L153" s="661"/>
      <c r="M153" s="131"/>
      <c r="N153" s="42"/>
      <c r="O153" s="42"/>
      <c r="P153" s="42"/>
      <c r="Q153" s="42"/>
      <c r="R153" s="42"/>
      <c r="S153" s="42"/>
      <c r="T153" s="127"/>
    </row>
    <row r="154" spans="1:20" ht="15.75" customHeight="1" x14ac:dyDescent="0.35">
      <c r="A154" s="134"/>
      <c r="B154" s="151" t="s">
        <v>500</v>
      </c>
      <c r="C154" s="131"/>
      <c r="D154" s="648">
        <f t="shared" si="33"/>
        <v>0</v>
      </c>
      <c r="E154" s="86">
        <f t="shared" si="34"/>
        <v>0</v>
      </c>
      <c r="F154" s="660">
        <f t="shared" si="32"/>
        <v>0</v>
      </c>
      <c r="G154" s="76"/>
      <c r="H154" s="668"/>
      <c r="I154" s="661"/>
      <c r="J154" s="645"/>
      <c r="K154" s="668"/>
      <c r="L154" s="661"/>
      <c r="M154" s="131"/>
      <c r="N154" s="42"/>
      <c r="O154" s="42"/>
      <c r="P154" s="42"/>
      <c r="Q154" s="42"/>
      <c r="R154" s="42"/>
      <c r="S154" s="42"/>
      <c r="T154" s="127"/>
    </row>
    <row r="155" spans="1:20" ht="15.75" customHeight="1" x14ac:dyDescent="0.35">
      <c r="A155" s="134"/>
      <c r="B155" s="151" t="s">
        <v>500</v>
      </c>
      <c r="C155" s="131"/>
      <c r="D155" s="648">
        <f t="shared" si="33"/>
        <v>0</v>
      </c>
      <c r="E155" s="86">
        <f t="shared" si="34"/>
        <v>0</v>
      </c>
      <c r="F155" s="660">
        <f t="shared" si="32"/>
        <v>0</v>
      </c>
      <c r="G155" s="76"/>
      <c r="H155" s="668"/>
      <c r="I155" s="661"/>
      <c r="J155" s="645"/>
      <c r="K155" s="668"/>
      <c r="L155" s="661"/>
      <c r="M155" s="131"/>
      <c r="N155" s="42"/>
      <c r="O155" s="42"/>
      <c r="P155" s="42"/>
      <c r="Q155" s="42"/>
      <c r="R155" s="42"/>
      <c r="S155" s="42"/>
      <c r="T155" s="127"/>
    </row>
    <row r="156" spans="1:20" ht="15.75" customHeight="1" x14ac:dyDescent="0.35">
      <c r="A156" s="134"/>
      <c r="B156" s="151" t="s">
        <v>500</v>
      </c>
      <c r="C156" s="131"/>
      <c r="D156" s="648">
        <f t="shared" si="33"/>
        <v>0</v>
      </c>
      <c r="E156" s="86">
        <f t="shared" si="34"/>
        <v>0</v>
      </c>
      <c r="F156" s="660">
        <f t="shared" si="32"/>
        <v>0</v>
      </c>
      <c r="G156" s="76"/>
      <c r="H156" s="668"/>
      <c r="I156" s="661"/>
      <c r="J156" s="645"/>
      <c r="K156" s="668"/>
      <c r="L156" s="661"/>
      <c r="M156" s="131"/>
      <c r="N156" s="42"/>
      <c r="O156" s="42"/>
      <c r="P156" s="42"/>
      <c r="Q156" s="42"/>
      <c r="R156" s="42"/>
      <c r="S156" s="42"/>
      <c r="T156" s="127"/>
    </row>
    <row r="157" spans="1:20" ht="15.75" customHeight="1" x14ac:dyDescent="0.35">
      <c r="A157" s="134"/>
      <c r="B157" s="151" t="s">
        <v>500</v>
      </c>
      <c r="C157" s="131"/>
      <c r="D157" s="648">
        <f t="shared" si="33"/>
        <v>0</v>
      </c>
      <c r="E157" s="86">
        <f t="shared" si="34"/>
        <v>0</v>
      </c>
      <c r="F157" s="660">
        <f t="shared" si="32"/>
        <v>0</v>
      </c>
      <c r="G157" s="76"/>
      <c r="H157" s="668"/>
      <c r="I157" s="661"/>
      <c r="J157" s="645"/>
      <c r="K157" s="668"/>
      <c r="L157" s="661"/>
      <c r="M157" s="131"/>
      <c r="N157" s="42"/>
      <c r="O157" s="42"/>
      <c r="P157" s="42"/>
      <c r="Q157" s="42"/>
      <c r="R157" s="42"/>
      <c r="S157" s="42"/>
      <c r="T157" s="127"/>
    </row>
    <row r="158" spans="1:20" ht="15.75" customHeight="1" x14ac:dyDescent="0.35">
      <c r="A158" s="135"/>
      <c r="B158" s="151" t="s">
        <v>500</v>
      </c>
      <c r="C158" s="131"/>
      <c r="D158" s="648">
        <f t="shared" si="33"/>
        <v>0</v>
      </c>
      <c r="E158" s="86">
        <f t="shared" si="34"/>
        <v>0</v>
      </c>
      <c r="F158" s="660">
        <f t="shared" si="32"/>
        <v>0</v>
      </c>
      <c r="G158" s="76"/>
      <c r="H158" s="668"/>
      <c r="I158" s="661"/>
      <c r="J158" s="645"/>
      <c r="K158" s="668"/>
      <c r="L158" s="661"/>
      <c r="M158" s="131"/>
      <c r="N158" s="42"/>
      <c r="O158" s="42"/>
      <c r="P158" s="42"/>
      <c r="Q158" s="42"/>
      <c r="R158" s="42"/>
      <c r="S158" s="42"/>
      <c r="T158" s="127"/>
    </row>
    <row r="159" spans="1:20" ht="15.75" customHeight="1" x14ac:dyDescent="0.35">
      <c r="A159" s="135"/>
      <c r="B159" s="151"/>
      <c r="C159" s="131"/>
      <c r="D159" s="648">
        <f t="shared" si="33"/>
        <v>0</v>
      </c>
      <c r="E159" s="86">
        <f t="shared" si="34"/>
        <v>0</v>
      </c>
      <c r="F159" s="660">
        <f t="shared" si="32"/>
        <v>0</v>
      </c>
      <c r="G159" s="129"/>
      <c r="H159" s="129"/>
      <c r="I159" s="129"/>
      <c r="J159" s="129"/>
      <c r="K159" s="129"/>
      <c r="L159" s="129"/>
      <c r="M159" s="129"/>
      <c r="N159" s="42"/>
      <c r="O159" s="42"/>
      <c r="P159" s="42"/>
      <c r="Q159" s="42"/>
      <c r="R159" s="42"/>
      <c r="S159" s="42"/>
      <c r="T159" s="127"/>
    </row>
    <row r="160" spans="1:20" ht="7.35" customHeight="1" x14ac:dyDescent="0.35">
      <c r="A160" s="128"/>
      <c r="B160" s="151"/>
      <c r="C160" s="131"/>
      <c r="D160" s="648"/>
      <c r="E160" s="86"/>
      <c r="F160" s="660"/>
      <c r="G160" s="76"/>
      <c r="H160" s="76"/>
      <c r="I160" s="76"/>
      <c r="J160" s="76"/>
      <c r="K160" s="76"/>
      <c r="L160" s="76"/>
      <c r="M160" s="76"/>
      <c r="N160" s="42"/>
      <c r="O160" s="42"/>
      <c r="P160" s="42"/>
      <c r="Q160" s="42"/>
      <c r="R160" s="42"/>
      <c r="S160" s="42"/>
      <c r="T160" s="127"/>
    </row>
    <row r="161" spans="1:20" ht="20.100000000000001" customHeight="1" x14ac:dyDescent="0.35">
      <c r="A161" s="128"/>
      <c r="B161" s="669" t="s">
        <v>471</v>
      </c>
      <c r="C161" s="131"/>
      <c r="D161" s="670">
        <f>SUM(D152:D160)</f>
        <v>0</v>
      </c>
      <c r="E161" s="671">
        <f>SUM(E152:E160)</f>
        <v>0</v>
      </c>
      <c r="F161" s="660"/>
      <c r="G161" s="76"/>
      <c r="H161" s="670">
        <f>SUM(H152:H160)</f>
        <v>0</v>
      </c>
      <c r="I161" s="671">
        <f>SUM(I152:I160)</f>
        <v>0</v>
      </c>
      <c r="J161" s="645"/>
      <c r="K161" s="670">
        <f>SUM(K152:K160)</f>
        <v>0</v>
      </c>
      <c r="L161" s="671">
        <f>SUM(L152:L160)</f>
        <v>0</v>
      </c>
      <c r="M161" s="131"/>
      <c r="N161" s="42"/>
      <c r="O161" s="42"/>
      <c r="P161" s="42"/>
      <c r="Q161" s="42"/>
      <c r="R161" s="42"/>
      <c r="S161" s="42"/>
      <c r="T161" s="127"/>
    </row>
    <row r="162" spans="1:20" ht="20.100000000000001" customHeight="1" x14ac:dyDescent="0.35">
      <c r="A162" s="128"/>
      <c r="B162" s="669"/>
      <c r="C162" s="131"/>
      <c r="D162" s="648"/>
      <c r="E162" s="86"/>
      <c r="F162" s="660"/>
      <c r="G162" s="76"/>
      <c r="H162" s="648"/>
      <c r="I162" s="86"/>
      <c r="J162" s="645"/>
      <c r="K162" s="648"/>
      <c r="L162" s="86"/>
      <c r="M162" s="131"/>
      <c r="N162" s="42"/>
      <c r="O162" s="42"/>
      <c r="P162" s="42"/>
      <c r="Q162" s="42"/>
      <c r="R162" s="42"/>
      <c r="S162" s="42"/>
      <c r="T162" s="127"/>
    </row>
    <row r="163" spans="1:20" ht="15.75" customHeight="1" x14ac:dyDescent="0.35">
      <c r="A163" s="135"/>
      <c r="B163" s="666" t="s">
        <v>45</v>
      </c>
      <c r="C163" s="131"/>
      <c r="D163" s="648">
        <f>+H163+K163</f>
        <v>0</v>
      </c>
      <c r="E163" s="86">
        <f>SUM(I163,L163)</f>
        <v>0</v>
      </c>
      <c r="F163" s="660">
        <f>IF($E$166=0,0,+E163/$E$166)</f>
        <v>0</v>
      </c>
      <c r="G163" s="76"/>
      <c r="H163" s="76"/>
      <c r="I163" s="661"/>
      <c r="J163" s="645"/>
      <c r="K163" s="76"/>
      <c r="L163" s="661"/>
      <c r="M163" s="138"/>
      <c r="N163" s="42"/>
      <c r="O163" s="42"/>
      <c r="P163" s="42"/>
      <c r="Q163" s="42"/>
      <c r="R163" s="42"/>
      <c r="S163" s="42"/>
      <c r="T163" s="127"/>
    </row>
    <row r="164" spans="1:20" ht="15.75" customHeight="1" x14ac:dyDescent="0.35">
      <c r="A164" s="135"/>
      <c r="B164" s="151"/>
      <c r="C164" s="131"/>
      <c r="D164" s="131"/>
      <c r="E164" s="86">
        <f>SUM(I164,L164)</f>
        <v>0</v>
      </c>
      <c r="F164" s="660">
        <f>IF($E$166=0,0,+E164/$E$166)</f>
        <v>0</v>
      </c>
      <c r="G164" s="76"/>
      <c r="H164" s="76"/>
      <c r="I164" s="76"/>
      <c r="J164" s="76"/>
      <c r="K164" s="76"/>
      <c r="L164" s="76"/>
      <c r="M164" s="138"/>
      <c r="N164" s="42"/>
      <c r="O164" s="42"/>
      <c r="P164" s="42"/>
      <c r="Q164" s="42"/>
      <c r="R164" s="42"/>
      <c r="S164" s="42"/>
      <c r="T164" s="42"/>
    </row>
    <row r="165" spans="1:20" ht="15.75" customHeight="1" thickBot="1" x14ac:dyDescent="0.3">
      <c r="A165" s="135"/>
      <c r="B165" s="2916">
        <v>0</v>
      </c>
      <c r="C165" s="2917"/>
      <c r="D165" s="2917"/>
      <c r="E165" s="2917"/>
      <c r="F165" s="2917"/>
      <c r="G165" s="129"/>
      <c r="H165" s="129"/>
      <c r="I165" s="129"/>
      <c r="J165" s="645"/>
      <c r="K165" s="129"/>
      <c r="L165" s="129"/>
      <c r="M165" s="138"/>
      <c r="N165" s="42"/>
      <c r="O165" s="42"/>
      <c r="P165" s="42"/>
      <c r="Q165" s="42"/>
      <c r="R165" s="42"/>
      <c r="S165" s="42"/>
      <c r="T165" s="42"/>
    </row>
    <row r="166" spans="1:20" ht="22.5" customHeight="1" x14ac:dyDescent="0.35">
      <c r="A166" s="93"/>
      <c r="B166" s="650" t="s">
        <v>101</v>
      </c>
      <c r="C166" s="94"/>
      <c r="D166" s="651">
        <f>+D89+D96+D106+D117+D124+D131+D133+D140+D150+D161+D163</f>
        <v>0</v>
      </c>
      <c r="E166" s="99">
        <f>+E89+E96+E106+E117+E124+E131+E133+E140+E150+E161+E163</f>
        <v>0</v>
      </c>
      <c r="F166" s="100">
        <f>SUM(F82:F165)</f>
        <v>0</v>
      </c>
      <c r="G166" s="117"/>
      <c r="H166" s="651">
        <f>+H89+H96+H106+H117+H124+H131+H133+H140+H150+H161+H163</f>
        <v>0</v>
      </c>
      <c r="I166" s="99">
        <f>+I89+I96+I106+I117+I124+I131+I133+I140+I150+I161+I163</f>
        <v>0</v>
      </c>
      <c r="J166" s="101"/>
      <c r="K166" s="651">
        <f>+K89+K96+K106+K117+K124+K131+K133+K140+K150+K161+K163</f>
        <v>0</v>
      </c>
      <c r="L166" s="99">
        <f>+L89+L96+L106+L117+L124+L131+L133+L140+L150+L161+L163</f>
        <v>0</v>
      </c>
      <c r="M166" s="138"/>
      <c r="N166" s="42"/>
      <c r="O166" s="42"/>
      <c r="P166" s="42"/>
      <c r="Q166" s="42"/>
      <c r="R166" s="42"/>
      <c r="S166" s="42"/>
      <c r="T166" s="42"/>
    </row>
    <row r="167" spans="1:20" ht="21" customHeight="1" x14ac:dyDescent="0.25">
      <c r="A167" s="47"/>
      <c r="B167" s="2918">
        <f>+'Estimated Risks'!B13</f>
        <v>0</v>
      </c>
      <c r="C167" s="2919"/>
      <c r="D167" s="2919"/>
      <c r="E167" s="2919"/>
      <c r="F167" s="2919"/>
      <c r="G167" s="1039"/>
      <c r="H167" s="901"/>
      <c r="I167" s="1039"/>
      <c r="J167" s="1039"/>
      <c r="K167" s="1039"/>
      <c r="L167" s="1039"/>
      <c r="M167" s="1040"/>
      <c r="N167" s="67"/>
      <c r="O167" s="67"/>
      <c r="P167" s="67"/>
      <c r="Q167" s="67"/>
      <c r="R167" s="67"/>
      <c r="S167" s="67"/>
      <c r="T167" s="67"/>
    </row>
  </sheetData>
  <sheetProtection algorithmName="SHA-512" hashValue="fT+4GBznLVhDxzesPf3WtW2S66ibpvXnqWmZKZh6TcvaYYcm5DGNHj9Ailb+shU8GjhX8KpuXtD3WtzHhqSWJw==" saltValue="NIefpER4ZmCwW9q0MFW/wA==" spinCount="100000" sheet="1" scenarios="1" formatCells="0" formatColumns="0" formatRows="0" autoFilter="0"/>
  <mergeCells count="4">
    <mergeCell ref="B3:T4"/>
    <mergeCell ref="B5:T5"/>
    <mergeCell ref="B165:F165"/>
    <mergeCell ref="B167:F167"/>
  </mergeCells>
  <printOptions horizontalCentered="1"/>
  <pageMargins left="0.25" right="0.25" top="0.17" bottom="0.32" header="0.17" footer="0.17"/>
  <pageSetup scale="40" fitToHeight="2" orientation="portrait" horizontalDpi="1200" verticalDpi="1200"/>
  <headerFooter alignWithMargins="0">
    <oddFooter>&amp;L&amp;8&amp;F&amp;A&amp;R&amp;D</oddFooter>
  </headerFooter>
  <rowBreaks count="1" manualBreakCount="1">
    <brk id="77" max="20"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8114B-9D0C-4001-9DC8-F85565F1BD32}">
  <sheetPr codeName="Sheet17">
    <tabColor rgb="FFFF0000"/>
    <pageSetUpPr fitToPage="1"/>
  </sheetPr>
  <dimension ref="A1:P71"/>
  <sheetViews>
    <sheetView showZeros="0" workbookViewId="0">
      <selection activeCell="I10" sqref="I10"/>
    </sheetView>
  </sheetViews>
  <sheetFormatPr defaultRowHeight="12.6" customHeight="1" x14ac:dyDescent="0.25"/>
  <cols>
    <col min="1" max="1" width="3" customWidth="1"/>
    <col min="2" max="2" width="43" customWidth="1"/>
    <col min="3" max="3" width="26.5703125" customWidth="1"/>
    <col min="4" max="5" width="15.42578125" customWidth="1"/>
    <col min="6" max="6" width="44.5703125" customWidth="1"/>
    <col min="7" max="16" width="15.42578125" customWidth="1"/>
  </cols>
  <sheetData>
    <row r="1" spans="1:16" ht="18" customHeight="1" x14ac:dyDescent="0.25">
      <c r="A1" s="693" t="s">
        <v>542</v>
      </c>
      <c r="B1" s="694"/>
      <c r="C1" s="694"/>
      <c r="D1" s="694"/>
      <c r="E1" s="694"/>
      <c r="F1" s="694"/>
      <c r="G1" s="694"/>
      <c r="H1" s="694"/>
      <c r="I1" s="694"/>
      <c r="J1" s="695"/>
      <c r="K1" s="37"/>
      <c r="L1" s="694"/>
    </row>
    <row r="2" spans="1:16" ht="15.75" x14ac:dyDescent="0.25">
      <c r="A2" s="256" t="str">
        <f>+'Data Input sheet'!$B$7&amp;" "&amp;'Data Input sheet'!$C$7</f>
        <v>Project Title: Battery Storage - Hyde Park</v>
      </c>
      <c r="B2" s="696"/>
      <c r="C2" s="696"/>
      <c r="D2" s="696"/>
      <c r="E2" s="696"/>
      <c r="F2" s="696"/>
      <c r="G2" s="696"/>
      <c r="H2" s="696"/>
      <c r="I2" s="697"/>
      <c r="J2" s="698"/>
      <c r="K2" s="699"/>
      <c r="L2" s="2294" t="str">
        <f>+'Data Input sheet'!$B$5&amp;" "&amp;'Data Input sheet'!$C$5</f>
        <v>Project Number: 21334</v>
      </c>
    </row>
    <row r="3" spans="1:16" ht="37.5" customHeight="1" x14ac:dyDescent="0.25">
      <c r="A3" s="700"/>
      <c r="B3" s="700" t="s">
        <v>543</v>
      </c>
      <c r="C3" s="701" t="s">
        <v>1</v>
      </c>
      <c r="D3" s="702" t="s">
        <v>544</v>
      </c>
      <c r="E3" s="702" t="s">
        <v>545</v>
      </c>
      <c r="F3" s="703" t="s">
        <v>546</v>
      </c>
      <c r="G3" s="1846">
        <f>+'Data Input sheet'!D65</f>
        <v>45292</v>
      </c>
      <c r="H3" s="1846">
        <f>+'Data Input sheet'!G65</f>
        <v>45658</v>
      </c>
      <c r="I3" s="1846">
        <f>+'Data Input sheet'!J65</f>
        <v>46023</v>
      </c>
      <c r="J3" s="1846">
        <f>+'Data Input sheet'!M65</f>
        <v>46388</v>
      </c>
      <c r="K3" s="1846">
        <f>+'Data Input sheet'!P65</f>
        <v>46753</v>
      </c>
      <c r="L3" s="1846">
        <f>+'Data Input sheet'!S65</f>
        <v>47119</v>
      </c>
      <c r="M3" s="1846">
        <f>+'Data Input sheet'!V65</f>
        <v>47484</v>
      </c>
      <c r="N3" s="1846">
        <f>+'Data Input sheet'!Y65</f>
        <v>47849</v>
      </c>
      <c r="O3" s="1846">
        <f>+'Data Input sheet'!AB65</f>
        <v>48214</v>
      </c>
      <c r="P3" s="1846">
        <f>+'Data Input sheet'!AE65</f>
        <v>48580</v>
      </c>
    </row>
    <row r="4" spans="1:16" ht="15" x14ac:dyDescent="0.25">
      <c r="A4" s="704"/>
      <c r="B4" s="705"/>
      <c r="C4" s="30"/>
      <c r="D4" s="706"/>
      <c r="E4" s="706"/>
      <c r="F4" s="706"/>
      <c r="G4" s="706"/>
      <c r="H4" s="706"/>
      <c r="I4" s="706"/>
      <c r="J4" s="707"/>
    </row>
    <row r="5" spans="1:16" ht="13.35" customHeight="1" x14ac:dyDescent="0.25">
      <c r="A5" s="708" t="s">
        <v>547</v>
      </c>
      <c r="B5" s="709"/>
      <c r="C5" s="223"/>
      <c r="D5" s="37"/>
      <c r="E5" s="37"/>
      <c r="F5" s="37"/>
      <c r="G5" s="37"/>
      <c r="H5" s="37"/>
      <c r="I5" s="37"/>
      <c r="J5" s="710"/>
    </row>
    <row r="6" spans="1:16" ht="15" x14ac:dyDescent="0.25">
      <c r="A6" s="711">
        <v>1</v>
      </c>
      <c r="B6" s="1111" t="s">
        <v>548</v>
      </c>
      <c r="C6" s="1112"/>
      <c r="D6" s="1097">
        <f>+E6</f>
        <v>350000</v>
      </c>
      <c r="E6" s="713">
        <f>SUM(G6:P6)</f>
        <v>350000</v>
      </c>
      <c r="F6" s="1099"/>
      <c r="G6" s="1098">
        <v>0</v>
      </c>
      <c r="H6" s="1098">
        <v>0</v>
      </c>
      <c r="I6" s="1098">
        <v>0</v>
      </c>
      <c r="J6" s="1098">
        <v>200000</v>
      </c>
      <c r="K6" s="1098">
        <v>150000</v>
      </c>
      <c r="L6" s="1098">
        <v>0</v>
      </c>
      <c r="M6" s="1098">
        <v>0</v>
      </c>
      <c r="N6" s="1098">
        <v>0</v>
      </c>
      <c r="O6" s="1098">
        <v>0</v>
      </c>
      <c r="P6" s="1098">
        <v>0</v>
      </c>
    </row>
    <row r="7" spans="1:16" ht="15" x14ac:dyDescent="0.25">
      <c r="A7" s="711">
        <v>2</v>
      </c>
      <c r="B7" s="1111" t="s">
        <v>549</v>
      </c>
      <c r="C7" s="1112"/>
      <c r="D7" s="1097">
        <f t="shared" ref="D7:D20" si="0">+E7</f>
        <v>900000</v>
      </c>
      <c r="E7" s="713">
        <f t="shared" ref="E7:E20" si="1">SUM(G7:P7)</f>
        <v>900000</v>
      </c>
      <c r="F7" s="1099"/>
      <c r="G7" s="1098">
        <v>0</v>
      </c>
      <c r="H7" s="1098">
        <v>0</v>
      </c>
      <c r="I7" s="1098">
        <v>0</v>
      </c>
      <c r="J7" s="1098">
        <v>400000</v>
      </c>
      <c r="K7" s="1098">
        <v>500000</v>
      </c>
      <c r="L7" s="1098">
        <v>0</v>
      </c>
      <c r="M7" s="1098">
        <v>0</v>
      </c>
      <c r="N7" s="1098">
        <v>0</v>
      </c>
      <c r="O7" s="1098">
        <v>0</v>
      </c>
      <c r="P7" s="1098">
        <v>0</v>
      </c>
    </row>
    <row r="8" spans="1:16" ht="15" x14ac:dyDescent="0.25">
      <c r="A8" s="711">
        <v>3</v>
      </c>
      <c r="B8" s="1111" t="s">
        <v>550</v>
      </c>
      <c r="C8" s="1112"/>
      <c r="D8" s="1097">
        <f t="shared" si="0"/>
        <v>500000</v>
      </c>
      <c r="E8" s="713">
        <f t="shared" si="1"/>
        <v>500000</v>
      </c>
      <c r="F8" s="1099"/>
      <c r="G8" s="1098">
        <v>0</v>
      </c>
      <c r="H8" s="1098">
        <v>0</v>
      </c>
      <c r="I8" s="1098">
        <v>0</v>
      </c>
      <c r="J8" s="1098">
        <v>300000</v>
      </c>
      <c r="K8" s="1098">
        <v>200000</v>
      </c>
      <c r="L8" s="1098">
        <v>0</v>
      </c>
      <c r="M8" s="1098">
        <v>0</v>
      </c>
      <c r="N8" s="1098">
        <v>0</v>
      </c>
      <c r="O8" s="1098">
        <v>0</v>
      </c>
      <c r="P8" s="1098">
        <v>0</v>
      </c>
    </row>
    <row r="9" spans="1:16" ht="15" x14ac:dyDescent="0.25">
      <c r="A9" s="711">
        <v>4</v>
      </c>
      <c r="B9" s="1111" t="s">
        <v>3698</v>
      </c>
      <c r="C9" s="1112"/>
      <c r="D9" s="1097">
        <f t="shared" si="0"/>
        <v>700000</v>
      </c>
      <c r="E9" s="713">
        <f t="shared" si="1"/>
        <v>700000</v>
      </c>
      <c r="F9" s="1099"/>
      <c r="G9" s="1098">
        <v>0</v>
      </c>
      <c r="H9" s="1098">
        <v>0</v>
      </c>
      <c r="I9" s="1098">
        <v>200000</v>
      </c>
      <c r="J9" s="1098">
        <v>250000</v>
      </c>
      <c r="K9" s="1098">
        <v>250000</v>
      </c>
      <c r="L9" s="1098">
        <v>0</v>
      </c>
      <c r="M9" s="1098">
        <v>0</v>
      </c>
      <c r="N9" s="1098">
        <v>0</v>
      </c>
      <c r="O9" s="1098">
        <v>0</v>
      </c>
      <c r="P9" s="1098">
        <v>0</v>
      </c>
    </row>
    <row r="10" spans="1:16" ht="15" x14ac:dyDescent="0.25">
      <c r="A10" s="711">
        <v>5</v>
      </c>
      <c r="B10" s="1112" t="s">
        <v>3699</v>
      </c>
      <c r="C10" s="1112"/>
      <c r="D10" s="1097">
        <f t="shared" si="0"/>
        <v>550000</v>
      </c>
      <c r="E10" s="713">
        <f t="shared" si="1"/>
        <v>550000</v>
      </c>
      <c r="F10" s="1099"/>
      <c r="G10" s="1098">
        <v>0</v>
      </c>
      <c r="H10" s="1098">
        <v>0</v>
      </c>
      <c r="I10" s="1098">
        <v>250000</v>
      </c>
      <c r="J10" s="1098">
        <v>150000</v>
      </c>
      <c r="K10" s="1098">
        <v>150000</v>
      </c>
      <c r="L10" s="1098">
        <v>0</v>
      </c>
      <c r="M10" s="1098">
        <v>0</v>
      </c>
      <c r="N10" s="1098">
        <v>0</v>
      </c>
      <c r="O10" s="1098">
        <v>0</v>
      </c>
      <c r="P10" s="1098">
        <v>0</v>
      </c>
    </row>
    <row r="11" spans="1:16" ht="15" x14ac:dyDescent="0.25">
      <c r="A11" s="711">
        <v>6</v>
      </c>
      <c r="B11" s="1112" t="s">
        <v>3700</v>
      </c>
      <c r="C11" s="1112"/>
      <c r="D11" s="1097">
        <f t="shared" si="0"/>
        <v>450000</v>
      </c>
      <c r="E11" s="713">
        <f t="shared" si="1"/>
        <v>450000</v>
      </c>
      <c r="F11" s="1099"/>
      <c r="G11" s="1098">
        <v>0</v>
      </c>
      <c r="H11" s="1098">
        <v>0</v>
      </c>
      <c r="I11" s="1098">
        <v>200000</v>
      </c>
      <c r="J11" s="1098">
        <v>100000</v>
      </c>
      <c r="K11" s="1098">
        <v>150000</v>
      </c>
      <c r="L11" s="1098">
        <v>0</v>
      </c>
      <c r="M11" s="1098">
        <v>0</v>
      </c>
      <c r="N11" s="1098">
        <v>0</v>
      </c>
      <c r="O11" s="1098">
        <v>0</v>
      </c>
      <c r="P11" s="1098">
        <v>0</v>
      </c>
    </row>
    <row r="12" spans="1:16" ht="15" x14ac:dyDescent="0.25">
      <c r="A12" s="711">
        <v>7</v>
      </c>
      <c r="B12" s="1112" t="s">
        <v>3726</v>
      </c>
      <c r="C12" s="1112"/>
      <c r="D12" s="1097">
        <f t="shared" si="0"/>
        <v>500000</v>
      </c>
      <c r="E12" s="713">
        <f t="shared" si="1"/>
        <v>500000</v>
      </c>
      <c r="F12" s="1099"/>
      <c r="G12" s="1098">
        <v>0</v>
      </c>
      <c r="H12" s="1098">
        <v>0</v>
      </c>
      <c r="I12" s="1098">
        <v>250000</v>
      </c>
      <c r="J12" s="1098">
        <v>250000</v>
      </c>
      <c r="K12" s="1098">
        <v>0</v>
      </c>
      <c r="L12" s="1098">
        <v>0</v>
      </c>
      <c r="M12" s="1098">
        <v>0</v>
      </c>
      <c r="N12" s="1098">
        <v>0</v>
      </c>
      <c r="O12" s="1098">
        <v>0</v>
      </c>
      <c r="P12" s="1098">
        <v>0</v>
      </c>
    </row>
    <row r="13" spans="1:16" ht="15" x14ac:dyDescent="0.25">
      <c r="A13" s="711">
        <v>8</v>
      </c>
      <c r="B13" s="1112"/>
      <c r="C13" s="1112"/>
      <c r="D13" s="1097">
        <f t="shared" si="0"/>
        <v>0</v>
      </c>
      <c r="E13" s="713">
        <f t="shared" si="1"/>
        <v>0</v>
      </c>
      <c r="F13" s="1099"/>
      <c r="G13" s="1098">
        <v>0</v>
      </c>
      <c r="H13" s="1098">
        <v>0</v>
      </c>
      <c r="I13" s="1098">
        <v>0</v>
      </c>
      <c r="J13" s="1098">
        <v>0</v>
      </c>
      <c r="K13" s="1098">
        <v>0</v>
      </c>
      <c r="L13" s="1098">
        <v>0</v>
      </c>
      <c r="M13" s="1098">
        <v>0</v>
      </c>
      <c r="N13" s="1098">
        <v>0</v>
      </c>
      <c r="O13" s="1098">
        <v>0</v>
      </c>
      <c r="P13" s="1098">
        <v>0</v>
      </c>
    </row>
    <row r="14" spans="1:16" ht="15" x14ac:dyDescent="0.25">
      <c r="A14" s="711">
        <v>9</v>
      </c>
      <c r="B14" s="1112"/>
      <c r="C14" s="1112"/>
      <c r="D14" s="1097">
        <f t="shared" ref="D14:D18" si="2">+E14</f>
        <v>0</v>
      </c>
      <c r="E14" s="713">
        <f t="shared" ref="E14:E18" si="3">SUM(G14:P14)</f>
        <v>0</v>
      </c>
      <c r="F14" s="1099"/>
      <c r="G14" s="1098">
        <v>0</v>
      </c>
      <c r="H14" s="1098">
        <v>0</v>
      </c>
      <c r="I14" s="1098">
        <v>0</v>
      </c>
      <c r="J14" s="1098">
        <v>0</v>
      </c>
      <c r="K14" s="1098">
        <v>0</v>
      </c>
      <c r="L14" s="1098">
        <v>0</v>
      </c>
      <c r="M14" s="1098">
        <v>0</v>
      </c>
      <c r="N14" s="1098">
        <v>0</v>
      </c>
      <c r="O14" s="1098">
        <v>0</v>
      </c>
      <c r="P14" s="1098">
        <v>0</v>
      </c>
    </row>
    <row r="15" spans="1:16" ht="15" x14ac:dyDescent="0.25">
      <c r="A15" s="711">
        <v>10</v>
      </c>
      <c r="B15" s="1112"/>
      <c r="C15" s="1112"/>
      <c r="D15" s="1097">
        <f t="shared" si="2"/>
        <v>0</v>
      </c>
      <c r="E15" s="713">
        <f t="shared" si="3"/>
        <v>0</v>
      </c>
      <c r="F15" s="1099"/>
      <c r="G15" s="1098">
        <v>0</v>
      </c>
      <c r="H15" s="1098">
        <v>0</v>
      </c>
      <c r="I15" s="1098">
        <v>0</v>
      </c>
      <c r="J15" s="1098">
        <v>0</v>
      </c>
      <c r="K15" s="1098">
        <v>0</v>
      </c>
      <c r="L15" s="1098">
        <v>0</v>
      </c>
      <c r="M15" s="1098">
        <v>0</v>
      </c>
      <c r="N15" s="1098">
        <v>0</v>
      </c>
      <c r="O15" s="1098">
        <v>0</v>
      </c>
      <c r="P15" s="1098">
        <v>0</v>
      </c>
    </row>
    <row r="16" spans="1:16" ht="15" x14ac:dyDescent="0.25">
      <c r="A16" s="711">
        <v>11</v>
      </c>
      <c r="B16" s="1112"/>
      <c r="C16" s="1112"/>
      <c r="D16" s="1097">
        <f t="shared" si="2"/>
        <v>0</v>
      </c>
      <c r="E16" s="713">
        <f t="shared" si="3"/>
        <v>0</v>
      </c>
      <c r="F16" s="1099"/>
      <c r="G16" s="1098">
        <v>0</v>
      </c>
      <c r="H16" s="1098">
        <v>0</v>
      </c>
      <c r="I16" s="1098">
        <v>0</v>
      </c>
      <c r="J16" s="1098">
        <v>0</v>
      </c>
      <c r="K16" s="1098">
        <v>0</v>
      </c>
      <c r="L16" s="1098">
        <v>0</v>
      </c>
      <c r="M16" s="1098">
        <v>0</v>
      </c>
      <c r="N16" s="1098">
        <v>0</v>
      </c>
      <c r="O16" s="1098">
        <v>0</v>
      </c>
      <c r="P16" s="1098">
        <v>0</v>
      </c>
    </row>
    <row r="17" spans="1:16" ht="15" x14ac:dyDescent="0.25">
      <c r="A17" s="711">
        <v>12</v>
      </c>
      <c r="B17" s="1112"/>
      <c r="C17" s="1112"/>
      <c r="D17" s="1097">
        <f t="shared" si="2"/>
        <v>0</v>
      </c>
      <c r="E17" s="713">
        <f t="shared" si="3"/>
        <v>0</v>
      </c>
      <c r="F17" s="1099"/>
      <c r="G17" s="1098">
        <v>0</v>
      </c>
      <c r="H17" s="1098">
        <v>0</v>
      </c>
      <c r="I17" s="1098">
        <v>0</v>
      </c>
      <c r="J17" s="1098">
        <v>0</v>
      </c>
      <c r="K17" s="1098">
        <v>0</v>
      </c>
      <c r="L17" s="1098">
        <v>0</v>
      </c>
      <c r="M17" s="1098">
        <v>0</v>
      </c>
      <c r="N17" s="1098">
        <v>0</v>
      </c>
      <c r="O17" s="1098">
        <v>0</v>
      </c>
      <c r="P17" s="1098">
        <v>0</v>
      </c>
    </row>
    <row r="18" spans="1:16" ht="15" x14ac:dyDescent="0.25">
      <c r="A18" s="711">
        <v>13</v>
      </c>
      <c r="B18" s="1112"/>
      <c r="C18" s="1112"/>
      <c r="D18" s="1097">
        <f t="shared" si="2"/>
        <v>0</v>
      </c>
      <c r="E18" s="713">
        <f t="shared" si="3"/>
        <v>0</v>
      </c>
      <c r="F18" s="1099"/>
      <c r="G18" s="1098">
        <v>0</v>
      </c>
      <c r="H18" s="1098">
        <v>0</v>
      </c>
      <c r="I18" s="1098">
        <v>0</v>
      </c>
      <c r="J18" s="1098">
        <v>0</v>
      </c>
      <c r="K18" s="1098">
        <v>0</v>
      </c>
      <c r="L18" s="1098">
        <v>0</v>
      </c>
      <c r="M18" s="1098">
        <v>0</v>
      </c>
      <c r="N18" s="1098">
        <v>0</v>
      </c>
      <c r="O18" s="1098">
        <v>0</v>
      </c>
      <c r="P18" s="1098">
        <v>0</v>
      </c>
    </row>
    <row r="19" spans="1:16" ht="15" x14ac:dyDescent="0.25">
      <c r="A19" s="711">
        <v>14</v>
      </c>
      <c r="B19" s="1112"/>
      <c r="C19" s="1112"/>
      <c r="D19" s="1097">
        <f t="shared" si="0"/>
        <v>0</v>
      </c>
      <c r="E19" s="713">
        <f t="shared" si="1"/>
        <v>0</v>
      </c>
      <c r="F19" s="1099"/>
      <c r="G19" s="1098">
        <v>0</v>
      </c>
      <c r="H19" s="1098">
        <v>0</v>
      </c>
      <c r="I19" s="1098">
        <v>0</v>
      </c>
      <c r="J19" s="1098">
        <v>0</v>
      </c>
      <c r="K19" s="1098">
        <v>0</v>
      </c>
      <c r="L19" s="1098">
        <v>0</v>
      </c>
      <c r="M19" s="1098">
        <v>0</v>
      </c>
      <c r="N19" s="1098">
        <v>0</v>
      </c>
      <c r="O19" s="1098">
        <v>0</v>
      </c>
      <c r="P19" s="1098">
        <v>0</v>
      </c>
    </row>
    <row r="20" spans="1:16" ht="15" x14ac:dyDescent="0.25">
      <c r="A20" s="711">
        <v>15</v>
      </c>
      <c r="B20" s="1112"/>
      <c r="C20" s="1112"/>
      <c r="D20" s="1097">
        <f t="shared" si="0"/>
        <v>0</v>
      </c>
      <c r="E20" s="713">
        <f t="shared" si="1"/>
        <v>0</v>
      </c>
      <c r="F20" s="1099"/>
      <c r="G20" s="1098">
        <v>0</v>
      </c>
      <c r="H20" s="1098">
        <v>0</v>
      </c>
      <c r="I20" s="1098">
        <v>0</v>
      </c>
      <c r="J20" s="1098">
        <v>0</v>
      </c>
      <c r="K20" s="1098">
        <v>0</v>
      </c>
      <c r="L20" s="1098">
        <v>0</v>
      </c>
      <c r="M20" s="1098">
        <v>0</v>
      </c>
      <c r="N20" s="1098">
        <v>0</v>
      </c>
      <c r="O20" s="1098">
        <v>0</v>
      </c>
      <c r="P20" s="1098">
        <v>0</v>
      </c>
    </row>
    <row r="21" spans="1:16" ht="15" x14ac:dyDescent="0.25">
      <c r="A21" s="714"/>
      <c r="B21" s="714"/>
      <c r="C21" s="714"/>
      <c r="D21" s="715"/>
      <c r="E21" s="715"/>
      <c r="F21" s="714"/>
      <c r="G21" s="1093"/>
      <c r="H21" s="1093"/>
      <c r="I21" s="1093"/>
      <c r="J21" s="1093"/>
      <c r="K21" s="1093"/>
      <c r="L21" s="1094"/>
      <c r="M21" s="1094"/>
      <c r="N21" s="1094"/>
      <c r="O21" s="1094"/>
      <c r="P21" s="1094"/>
    </row>
    <row r="22" spans="1:16" ht="15" x14ac:dyDescent="0.25">
      <c r="A22" s="716" t="s">
        <v>551</v>
      </c>
      <c r="B22" s="709"/>
      <c r="C22" s="716"/>
      <c r="D22" s="717">
        <f>SUM(D6:D21)</f>
        <v>3950000</v>
      </c>
      <c r="E22" s="717">
        <f>SUM(E6:E21)</f>
        <v>3950000</v>
      </c>
      <c r="F22" s="718"/>
      <c r="G22" s="1095">
        <f t="shared" ref="G22:L22" si="4">SUM(G6:G21)</f>
        <v>0</v>
      </c>
      <c r="H22" s="1095">
        <f t="shared" si="4"/>
        <v>0</v>
      </c>
      <c r="I22" s="1095">
        <f t="shared" si="4"/>
        <v>900000</v>
      </c>
      <c r="J22" s="1095">
        <f t="shared" si="4"/>
        <v>1650000</v>
      </c>
      <c r="K22" s="1095">
        <f t="shared" si="4"/>
        <v>1400000</v>
      </c>
      <c r="L22" s="1095">
        <f t="shared" si="4"/>
        <v>0</v>
      </c>
      <c r="M22" s="1095">
        <f t="shared" ref="M22:P22" si="5">SUM(M6:M21)</f>
        <v>0</v>
      </c>
      <c r="N22" s="1095">
        <f t="shared" si="5"/>
        <v>0</v>
      </c>
      <c r="O22" s="1095">
        <f t="shared" si="5"/>
        <v>0</v>
      </c>
      <c r="P22" s="1095">
        <f t="shared" si="5"/>
        <v>0</v>
      </c>
    </row>
    <row r="24" spans="1:16" ht="12.6" customHeight="1" x14ac:dyDescent="0.3">
      <c r="B24" s="2483" t="s">
        <v>2899</v>
      </c>
      <c r="C24" s="2475"/>
      <c r="D24" s="2475"/>
      <c r="E24" s="2475"/>
    </row>
    <row r="26" spans="1:16" ht="12.6" customHeight="1" x14ac:dyDescent="0.25">
      <c r="B26" t="s">
        <v>2900</v>
      </c>
    </row>
    <row r="27" spans="1:16" ht="12.6" customHeight="1" x14ac:dyDescent="0.3">
      <c r="B27" s="2476"/>
    </row>
    <row r="28" spans="1:16" ht="12.6" customHeight="1" x14ac:dyDescent="0.25">
      <c r="B28" t="s">
        <v>548</v>
      </c>
    </row>
    <row r="29" spans="1:16" ht="12.6" customHeight="1" x14ac:dyDescent="0.25">
      <c r="B29" t="s">
        <v>549</v>
      </c>
    </row>
    <row r="30" spans="1:16" ht="12.6" customHeight="1" x14ac:dyDescent="0.25">
      <c r="B30" t="s">
        <v>2901</v>
      </c>
    </row>
    <row r="31" spans="1:16" ht="12.6" customHeight="1" x14ac:dyDescent="0.25">
      <c r="B31" t="s">
        <v>2902</v>
      </c>
    </row>
    <row r="32" spans="1:16" ht="12.6" customHeight="1" x14ac:dyDescent="0.25">
      <c r="B32" t="s">
        <v>2903</v>
      </c>
    </row>
    <row r="33" spans="2:2" ht="12.6" customHeight="1" x14ac:dyDescent="0.25">
      <c r="B33" t="s">
        <v>2904</v>
      </c>
    </row>
    <row r="34" spans="2:2" ht="12.6" customHeight="1" x14ac:dyDescent="0.25">
      <c r="B34" t="s">
        <v>2905</v>
      </c>
    </row>
    <row r="35" spans="2:2" ht="12.6" customHeight="1" x14ac:dyDescent="0.25">
      <c r="B35" t="s">
        <v>2906</v>
      </c>
    </row>
    <row r="36" spans="2:2" ht="12.6" customHeight="1" x14ac:dyDescent="0.25">
      <c r="B36" t="s">
        <v>2907</v>
      </c>
    </row>
    <row r="37" spans="2:2" ht="12.6" customHeight="1" x14ac:dyDescent="0.25">
      <c r="B37" t="s">
        <v>3497</v>
      </c>
    </row>
    <row r="38" spans="2:2" ht="12.6" customHeight="1" x14ac:dyDescent="0.25">
      <c r="B38" t="s">
        <v>3498</v>
      </c>
    </row>
    <row r="39" spans="2:2" ht="12.6" customHeight="1" x14ac:dyDescent="0.25">
      <c r="B39" t="s">
        <v>2908</v>
      </c>
    </row>
    <row r="40" spans="2:2" ht="12.6" customHeight="1" x14ac:dyDescent="0.25">
      <c r="B40" t="s">
        <v>2909</v>
      </c>
    </row>
    <row r="41" spans="2:2" ht="12.6" customHeight="1" x14ac:dyDescent="0.25">
      <c r="B41" t="s">
        <v>2910</v>
      </c>
    </row>
    <row r="42" spans="2:2" ht="12.6" customHeight="1" x14ac:dyDescent="0.25">
      <c r="B42" t="s">
        <v>2911</v>
      </c>
    </row>
    <row r="43" spans="2:2" ht="12.6" customHeight="1" x14ac:dyDescent="0.25">
      <c r="B43" t="s">
        <v>2912</v>
      </c>
    </row>
    <row r="44" spans="2:2" ht="12.6" customHeight="1" x14ac:dyDescent="0.25">
      <c r="B44" t="s">
        <v>2913</v>
      </c>
    </row>
    <row r="45" spans="2:2" ht="12.6" customHeight="1" x14ac:dyDescent="0.25">
      <c r="B45" t="s">
        <v>2914</v>
      </c>
    </row>
    <row r="46" spans="2:2" ht="12.6" customHeight="1" x14ac:dyDescent="0.25">
      <c r="B46" t="s">
        <v>2915</v>
      </c>
    </row>
    <row r="47" spans="2:2" ht="12.6" customHeight="1" x14ac:dyDescent="0.25">
      <c r="B47" t="s">
        <v>2916</v>
      </c>
    </row>
    <row r="48" spans="2:2" ht="12.6" customHeight="1" x14ac:dyDescent="0.25">
      <c r="B48" t="s">
        <v>2917</v>
      </c>
    </row>
    <row r="49" spans="2:2" ht="12.6" customHeight="1" x14ac:dyDescent="0.25">
      <c r="B49" t="s">
        <v>2918</v>
      </c>
    </row>
    <row r="50" spans="2:2" ht="12.6" customHeight="1" x14ac:dyDescent="0.25">
      <c r="B50" t="s">
        <v>2919</v>
      </c>
    </row>
    <row r="51" spans="2:2" ht="12.6" customHeight="1" x14ac:dyDescent="0.25">
      <c r="B51" t="s">
        <v>2920</v>
      </c>
    </row>
    <row r="52" spans="2:2" ht="12.6" customHeight="1" x14ac:dyDescent="0.25">
      <c r="B52" t="s">
        <v>243</v>
      </c>
    </row>
    <row r="53" spans="2:2" ht="12.6" customHeight="1" x14ac:dyDescent="0.25">
      <c r="B53" t="s">
        <v>2921</v>
      </c>
    </row>
    <row r="54" spans="2:2" ht="12.6" customHeight="1" x14ac:dyDescent="0.25">
      <c r="B54" t="s">
        <v>2922</v>
      </c>
    </row>
    <row r="55" spans="2:2" ht="12.6" customHeight="1" x14ac:dyDescent="0.25">
      <c r="B55" t="s">
        <v>2923</v>
      </c>
    </row>
    <row r="56" spans="2:2" ht="12.6" customHeight="1" x14ac:dyDescent="0.25">
      <c r="B56" t="s">
        <v>2924</v>
      </c>
    </row>
    <row r="57" spans="2:2" ht="12.6" customHeight="1" x14ac:dyDescent="0.25">
      <c r="B57" t="s">
        <v>2925</v>
      </c>
    </row>
    <row r="58" spans="2:2" ht="12.6" customHeight="1" x14ac:dyDescent="0.25">
      <c r="B58" t="s">
        <v>2926</v>
      </c>
    </row>
    <row r="59" spans="2:2" ht="12.6" customHeight="1" x14ac:dyDescent="0.25">
      <c r="B59" t="s">
        <v>2927</v>
      </c>
    </row>
    <row r="60" spans="2:2" ht="12.6" customHeight="1" x14ac:dyDescent="0.25">
      <c r="B60" t="s">
        <v>2928</v>
      </c>
    </row>
    <row r="61" spans="2:2" ht="12.6" customHeight="1" x14ac:dyDescent="0.25">
      <c r="B61" t="s">
        <v>2929</v>
      </c>
    </row>
    <row r="62" spans="2:2" ht="12.6" customHeight="1" x14ac:dyDescent="0.25">
      <c r="B62" t="s">
        <v>2930</v>
      </c>
    </row>
    <row r="63" spans="2:2" ht="12.6" customHeight="1" x14ac:dyDescent="0.25">
      <c r="B63" t="s">
        <v>2931</v>
      </c>
    </row>
    <row r="64" spans="2:2" ht="12.6" customHeight="1" x14ac:dyDescent="0.25">
      <c r="B64" t="s">
        <v>2932</v>
      </c>
    </row>
    <row r="65" spans="2:2" ht="12.6" customHeight="1" x14ac:dyDescent="0.25">
      <c r="B65" t="s">
        <v>2933</v>
      </c>
    </row>
    <row r="66" spans="2:2" ht="12.6" customHeight="1" x14ac:dyDescent="0.25">
      <c r="B66" t="s">
        <v>2934</v>
      </c>
    </row>
    <row r="67" spans="2:2" ht="12.6" customHeight="1" x14ac:dyDescent="0.25">
      <c r="B67" t="s">
        <v>2935</v>
      </c>
    </row>
    <row r="68" spans="2:2" ht="12.6" customHeight="1" x14ac:dyDescent="0.25">
      <c r="B68" t="s">
        <v>2936</v>
      </c>
    </row>
    <row r="69" spans="2:2" ht="12.6" customHeight="1" x14ac:dyDescent="0.25">
      <c r="B69" t="s">
        <v>2937</v>
      </c>
    </row>
    <row r="70" spans="2:2" ht="12.6" customHeight="1" x14ac:dyDescent="0.25">
      <c r="B70" t="s">
        <v>2938</v>
      </c>
    </row>
    <row r="71" spans="2:2" ht="12.6" customHeight="1" x14ac:dyDescent="0.25">
      <c r="B71" t="s">
        <v>2939</v>
      </c>
    </row>
  </sheetData>
  <sheetProtection formatCells="0" formatColumns="0" formatRows="0" autoFilter="0"/>
  <pageMargins left="0.7" right="0.7" top="0.75" bottom="0.75" header="0.3" footer="0.3"/>
  <pageSetup scale="52"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3A6A7-82B0-4BBE-983A-38CBA822402B}">
  <sheetPr codeName="Sheet21">
    <tabColor rgb="FFFF0000"/>
    <pageSetUpPr fitToPage="1"/>
  </sheetPr>
  <dimension ref="A1:CE53"/>
  <sheetViews>
    <sheetView showZeros="0" topLeftCell="A7" workbookViewId="0">
      <selection activeCell="G18" sqref="G18"/>
    </sheetView>
  </sheetViews>
  <sheetFormatPr defaultColWidth="8.5703125" defaultRowHeight="10.5" customHeight="1" outlineLevelRow="1" x14ac:dyDescent="0.25"/>
  <cols>
    <col min="1" max="1" width="1.5703125" customWidth="1"/>
    <col min="2" max="2" width="10.42578125" customWidth="1"/>
    <col min="3" max="3" width="20.42578125" customWidth="1"/>
    <col min="4" max="4" width="13" customWidth="1"/>
    <col min="5" max="5" width="20" customWidth="1"/>
    <col min="6" max="6" width="2.42578125" customWidth="1"/>
    <col min="7" max="7" width="17.42578125" customWidth="1"/>
    <col min="8" max="8" width="14" customWidth="1"/>
    <col min="9" max="9" width="13.5703125" customWidth="1"/>
    <col min="10" max="10" width="5.42578125" customWidth="1"/>
    <col min="11" max="11" width="19.42578125" customWidth="1"/>
    <col min="12" max="12" width="42.42578125" customWidth="1"/>
    <col min="13" max="13" width="12.5703125" customWidth="1"/>
    <col min="14" max="14" width="17.42578125" customWidth="1"/>
    <col min="15" max="15" width="1.42578125" customWidth="1"/>
    <col min="16" max="16" width="2.42578125" customWidth="1"/>
    <col min="17" max="17" width="17.42578125" customWidth="1"/>
    <col min="18" max="18" width="1.42578125" customWidth="1"/>
    <col min="19" max="19" width="2.5703125" customWidth="1"/>
    <col min="20" max="20" width="17.42578125" customWidth="1"/>
    <col min="21" max="21" width="1.42578125" customWidth="1"/>
    <col min="22" max="22" width="4" customWidth="1"/>
    <col min="23" max="23" width="17.42578125" customWidth="1"/>
    <col min="24" max="24" width="1.42578125" customWidth="1"/>
    <col min="25" max="25" width="2.5703125" customWidth="1"/>
    <col min="26" max="26" width="17.42578125" customWidth="1"/>
    <col min="27" max="27" width="1.42578125" customWidth="1"/>
    <col min="28" max="28" width="2.5703125" customWidth="1"/>
    <col min="29" max="29" width="17.42578125" customWidth="1"/>
    <col min="30" max="30" width="1.42578125" customWidth="1"/>
    <col min="31" max="31" width="2.5703125" customWidth="1"/>
    <col min="32" max="32" width="17.42578125" customWidth="1"/>
    <col min="33" max="33" width="1.5703125" customWidth="1"/>
    <col min="34" max="34" width="2.5703125" customWidth="1"/>
    <col min="35" max="35" width="16.42578125" customWidth="1"/>
    <col min="36" max="37" width="2.5703125" customWidth="1"/>
    <col min="38" max="38" width="18.5703125" customWidth="1"/>
    <col min="39" max="40" width="2.42578125" customWidth="1"/>
    <col min="41" max="41" width="18" customWidth="1"/>
    <col min="42" max="42" width="2.5703125" customWidth="1"/>
    <col min="43" max="43" width="2.42578125" customWidth="1"/>
    <col min="44" max="44" width="16.42578125" customWidth="1"/>
    <col min="45" max="46" width="2.5703125" customWidth="1"/>
    <col min="47" max="47" width="17.42578125" customWidth="1"/>
    <col min="49" max="49" width="5.5703125" customWidth="1"/>
    <col min="50" max="50" width="16.5703125" customWidth="1"/>
    <col min="51" max="52" width="1" customWidth="1"/>
    <col min="53" max="53" width="16.5703125" customWidth="1"/>
    <col min="54" max="55" width="1" customWidth="1"/>
    <col min="56" max="56" width="16.5703125" customWidth="1"/>
    <col min="57" max="58" width="1" customWidth="1"/>
    <col min="59" max="59" width="16.5703125" customWidth="1"/>
    <col min="60" max="61" width="1" customWidth="1"/>
    <col min="62" max="62" width="16.5703125" customWidth="1"/>
    <col min="63" max="64" width="1" customWidth="1"/>
    <col min="65" max="65" width="16.5703125" customWidth="1"/>
    <col min="66" max="67" width="1" customWidth="1"/>
    <col min="68" max="68" width="16.5703125" customWidth="1"/>
    <col min="69" max="70" width="2.42578125" customWidth="1"/>
    <col min="71" max="71" width="16.5703125" customWidth="1"/>
    <col min="72" max="73" width="2.42578125" customWidth="1"/>
    <col min="74" max="74" width="16.5703125" customWidth="1"/>
    <col min="75" max="76" width="2.42578125" customWidth="1"/>
    <col min="77" max="77" width="16.5703125" customWidth="1"/>
    <col min="78" max="79" width="2.42578125" customWidth="1"/>
    <col min="80" max="80" width="16.5703125" customWidth="1"/>
    <col min="81" max="81" width="2.42578125" customWidth="1"/>
    <col min="82" max="82" width="2.5703125" customWidth="1"/>
    <col min="83" max="83" width="15" customWidth="1"/>
  </cols>
  <sheetData>
    <row r="1" spans="1:83" ht="18" x14ac:dyDescent="0.25">
      <c r="A1" s="961"/>
      <c r="B1" s="956"/>
      <c r="C1" s="956"/>
      <c r="D1" s="956"/>
      <c r="E1" s="956"/>
      <c r="F1" s="956"/>
      <c r="G1" s="957"/>
      <c r="H1" s="957"/>
      <c r="I1" s="957"/>
      <c r="J1" s="958"/>
      <c r="K1" s="1026"/>
      <c r="L1" s="1026">
        <f>+'Data Input sheet'!G11</f>
        <v>0</v>
      </c>
      <c r="M1" s="960"/>
      <c r="N1" s="961"/>
      <c r="O1" s="961"/>
      <c r="P1" s="961"/>
      <c r="Q1" s="961"/>
      <c r="R1" s="961"/>
      <c r="S1" s="961"/>
      <c r="T1" s="961"/>
      <c r="U1" s="961"/>
      <c r="V1" s="961"/>
      <c r="W1" s="961"/>
      <c r="X1" s="961"/>
      <c r="Y1" s="961"/>
      <c r="Z1" s="961"/>
      <c r="AA1" s="961"/>
      <c r="AB1" s="961"/>
      <c r="AC1" s="961"/>
      <c r="AD1" s="961"/>
      <c r="AE1" s="961"/>
      <c r="AF1" s="961"/>
      <c r="AG1" s="961"/>
      <c r="AH1" s="961"/>
      <c r="AI1" s="961"/>
      <c r="AJ1" s="961"/>
      <c r="AK1" s="961"/>
      <c r="AL1" s="961"/>
      <c r="AM1" s="961"/>
      <c r="AN1" s="961"/>
      <c r="AO1" s="961"/>
      <c r="AP1" s="961"/>
      <c r="AQ1" s="961"/>
      <c r="AR1" s="961"/>
      <c r="AS1" s="961"/>
      <c r="AT1" s="961"/>
      <c r="AU1" s="961"/>
      <c r="AV1" s="961"/>
      <c r="AW1" s="1089"/>
      <c r="AX1" s="961"/>
      <c r="AY1" s="961"/>
      <c r="AZ1" s="961"/>
      <c r="BA1" s="961"/>
      <c r="BB1" s="961"/>
      <c r="BC1" s="961"/>
      <c r="BD1" s="961"/>
      <c r="BE1" s="961"/>
      <c r="BF1" s="961"/>
      <c r="BG1" s="961"/>
      <c r="BH1" s="961"/>
      <c r="BI1" s="961"/>
      <c r="BJ1" s="961"/>
      <c r="BK1" s="961"/>
      <c r="BL1" s="961"/>
      <c r="BM1" s="961"/>
      <c r="BN1" s="961"/>
      <c r="BO1" s="961"/>
      <c r="BP1" s="961"/>
      <c r="BQ1" s="961"/>
      <c r="BR1" s="961"/>
      <c r="BS1" s="961"/>
      <c r="BT1" s="961"/>
      <c r="BU1" s="961"/>
      <c r="BV1" s="961"/>
      <c r="BW1" s="961"/>
      <c r="BX1" s="961"/>
      <c r="BY1" s="961"/>
      <c r="BZ1" s="961"/>
      <c r="CA1" s="961"/>
      <c r="CB1" s="961"/>
      <c r="CC1" s="961"/>
      <c r="CD1" s="961"/>
      <c r="CE1" s="961"/>
    </row>
    <row r="2" spans="1:83" ht="15.75" x14ac:dyDescent="0.25">
      <c r="A2" s="961"/>
      <c r="B2" s="962" t="s">
        <v>96</v>
      </c>
      <c r="C2" s="963"/>
      <c r="D2" s="964"/>
      <c r="E2" s="964"/>
      <c r="F2" s="964"/>
      <c r="G2" s="964"/>
      <c r="H2" s="964"/>
      <c r="I2" s="964"/>
      <c r="J2" s="964"/>
      <c r="K2" s="959"/>
      <c r="L2" s="965" t="s">
        <v>288</v>
      </c>
      <c r="M2" s="960"/>
      <c r="N2" s="961"/>
      <c r="O2" s="961"/>
      <c r="P2" s="961"/>
      <c r="Q2" s="961"/>
      <c r="R2" s="961"/>
      <c r="S2" s="961"/>
      <c r="T2" s="961"/>
      <c r="U2" s="961"/>
      <c r="V2" s="961"/>
      <c r="W2" s="961"/>
      <c r="X2" s="961"/>
      <c r="Y2" s="961"/>
      <c r="Z2" s="961"/>
      <c r="AA2" s="961"/>
      <c r="AB2" s="961"/>
      <c r="AC2" s="961"/>
      <c r="AD2" s="961"/>
      <c r="AE2" s="961"/>
      <c r="AF2" s="961"/>
      <c r="AG2" s="961"/>
      <c r="AH2" s="961"/>
      <c r="AI2" s="961"/>
      <c r="AJ2" s="961"/>
      <c r="AK2" s="961"/>
      <c r="AL2" s="961"/>
      <c r="AM2" s="961"/>
      <c r="AN2" s="961"/>
      <c r="AO2" s="961"/>
      <c r="AP2" s="961"/>
      <c r="AQ2" s="961"/>
      <c r="AR2" s="961"/>
      <c r="AS2" s="961"/>
      <c r="AT2" s="961"/>
      <c r="AU2" s="961"/>
      <c r="AV2" s="961"/>
      <c r="AW2" s="1089"/>
      <c r="AX2" s="961"/>
      <c r="AY2" s="961"/>
      <c r="AZ2" s="961"/>
      <c r="BA2" s="961"/>
      <c r="BB2" s="961"/>
      <c r="BC2" s="961"/>
      <c r="BD2" s="961"/>
      <c r="BE2" s="961"/>
      <c r="BF2" s="961"/>
      <c r="BG2" s="961"/>
      <c r="BH2" s="961"/>
      <c r="BI2" s="961"/>
      <c r="BJ2" s="961"/>
      <c r="BK2" s="961"/>
      <c r="BL2" s="961"/>
      <c r="BM2" s="961"/>
      <c r="BN2" s="961"/>
      <c r="BO2" s="961"/>
      <c r="BP2" s="961"/>
      <c r="BQ2" s="961"/>
      <c r="BR2" s="961"/>
      <c r="BS2" s="961"/>
      <c r="BT2" s="961"/>
      <c r="BU2" s="961"/>
      <c r="BV2" s="961"/>
      <c r="BW2" s="961"/>
      <c r="BX2" s="961"/>
      <c r="BY2" s="961"/>
      <c r="BZ2" s="961"/>
      <c r="CA2" s="961"/>
      <c r="CB2" s="961"/>
      <c r="CC2" s="961"/>
      <c r="CD2" s="961"/>
      <c r="CE2" s="961"/>
    </row>
    <row r="3" spans="1:83" ht="15.75" x14ac:dyDescent="0.25">
      <c r="A3" s="961"/>
      <c r="B3" s="962" t="s">
        <v>96</v>
      </c>
      <c r="C3" s="963"/>
      <c r="D3" s="964"/>
      <c r="E3" s="964"/>
      <c r="F3" s="964"/>
      <c r="G3" s="964"/>
      <c r="H3" s="964"/>
      <c r="I3" s="964"/>
      <c r="J3" s="964"/>
      <c r="K3" s="959"/>
      <c r="L3" s="965" t="s">
        <v>288</v>
      </c>
      <c r="M3" s="960"/>
      <c r="N3" s="961"/>
      <c r="O3" s="961"/>
      <c r="P3" s="961"/>
      <c r="Q3" s="961"/>
      <c r="R3" s="961"/>
      <c r="S3" s="961"/>
      <c r="T3" s="961"/>
      <c r="U3" s="961"/>
      <c r="V3" s="961"/>
      <c r="W3" s="961"/>
      <c r="X3" s="961"/>
      <c r="Y3" s="961"/>
      <c r="Z3" s="961"/>
      <c r="AA3" s="961"/>
      <c r="AB3" s="961"/>
      <c r="AC3" s="961"/>
      <c r="AD3" s="961"/>
      <c r="AE3" s="961"/>
      <c r="AF3" s="961"/>
      <c r="AG3" s="961"/>
      <c r="AH3" s="961"/>
      <c r="AI3" s="961"/>
      <c r="AJ3" s="961"/>
      <c r="AK3" s="961"/>
      <c r="AL3" s="961"/>
      <c r="AM3" s="961"/>
      <c r="AN3" s="961"/>
      <c r="AO3" s="961"/>
      <c r="AP3" s="961"/>
      <c r="AQ3" s="961"/>
      <c r="AR3" s="961"/>
      <c r="AS3" s="961"/>
      <c r="AT3" s="961"/>
      <c r="AU3" s="961"/>
      <c r="AV3" s="961"/>
      <c r="AW3" s="1089"/>
      <c r="AX3" s="961"/>
      <c r="AY3" s="961"/>
      <c r="AZ3" s="961"/>
      <c r="BA3" s="961"/>
      <c r="BB3" s="961"/>
      <c r="BC3" s="961"/>
      <c r="BD3" s="961"/>
      <c r="BE3" s="961"/>
      <c r="BF3" s="961"/>
      <c r="BG3" s="961"/>
      <c r="BH3" s="961"/>
      <c r="BI3" s="961"/>
      <c r="BJ3" s="961"/>
      <c r="BK3" s="961"/>
      <c r="BL3" s="961"/>
      <c r="BM3" s="961"/>
      <c r="BN3" s="961"/>
      <c r="BO3" s="961"/>
      <c r="BP3" s="961"/>
      <c r="BQ3" s="961"/>
      <c r="BR3" s="961"/>
      <c r="BS3" s="961"/>
      <c r="BT3" s="961"/>
      <c r="BU3" s="961"/>
      <c r="BV3" s="961"/>
      <c r="BW3" s="961"/>
      <c r="BX3" s="961"/>
      <c r="BY3" s="961"/>
      <c r="BZ3" s="961"/>
      <c r="CA3" s="961"/>
      <c r="CB3" s="961"/>
      <c r="CC3" s="961"/>
      <c r="CD3" s="961"/>
      <c r="CE3" s="961"/>
    </row>
    <row r="4" spans="1:83" ht="16.5" thickBot="1" x14ac:dyDescent="0.3">
      <c r="A4" s="961"/>
      <c r="B4" s="962" t="s">
        <v>96</v>
      </c>
      <c r="C4" s="963"/>
      <c r="D4" s="966"/>
      <c r="E4" s="966"/>
      <c r="F4" s="966"/>
      <c r="G4" s="966"/>
      <c r="H4" s="966"/>
      <c r="I4" s="966"/>
      <c r="J4" s="966"/>
      <c r="K4" s="966" t="s">
        <v>96</v>
      </c>
      <c r="L4" s="966"/>
      <c r="M4" s="960"/>
      <c r="N4" s="961"/>
      <c r="O4" s="961"/>
      <c r="P4" s="961"/>
      <c r="Q4" s="961"/>
      <c r="R4" s="961"/>
      <c r="S4" s="961"/>
      <c r="T4" s="961"/>
      <c r="U4" s="961"/>
      <c r="V4" s="961"/>
      <c r="W4" s="961"/>
      <c r="X4" s="961"/>
      <c r="Y4" s="961"/>
      <c r="Z4" s="961"/>
      <c r="AA4" s="961"/>
      <c r="AB4" s="961"/>
      <c r="AC4" s="961"/>
      <c r="AD4" s="961"/>
      <c r="AE4" s="961"/>
      <c r="AF4" s="961"/>
      <c r="AG4" s="961"/>
      <c r="AH4" s="961"/>
      <c r="AI4" s="961"/>
      <c r="AJ4" s="961"/>
      <c r="AK4" s="961"/>
      <c r="AL4" s="961"/>
      <c r="AM4" s="961"/>
      <c r="AN4" s="961"/>
      <c r="AO4" s="961"/>
      <c r="AP4" s="961"/>
      <c r="AQ4" s="961"/>
      <c r="AR4" s="961"/>
      <c r="AS4" s="961"/>
      <c r="AT4" s="961"/>
      <c r="AU4" s="961"/>
      <c r="AV4" s="961"/>
      <c r="AW4" s="1089"/>
      <c r="AX4" s="961"/>
      <c r="AY4" s="961"/>
      <c r="AZ4" s="961"/>
      <c r="BA4" s="961"/>
      <c r="BB4" s="961"/>
      <c r="BC4" s="961"/>
      <c r="BD4" s="961"/>
      <c r="BE4" s="961"/>
      <c r="BF4" s="961"/>
      <c r="BG4" s="961"/>
      <c r="BH4" s="961"/>
      <c r="BI4" s="961"/>
      <c r="BJ4" s="961"/>
      <c r="BK4" s="961"/>
      <c r="BL4" s="961"/>
      <c r="BM4" s="961"/>
      <c r="BN4" s="961"/>
      <c r="BO4" s="961"/>
      <c r="BP4" s="961"/>
      <c r="BQ4" s="961"/>
      <c r="BR4" s="961"/>
      <c r="BS4" s="961"/>
      <c r="BT4" s="961"/>
      <c r="BU4" s="961"/>
      <c r="BV4" s="961"/>
      <c r="BW4" s="961"/>
      <c r="BX4" s="961"/>
      <c r="BY4" s="961"/>
      <c r="BZ4" s="961"/>
      <c r="CA4" s="961"/>
      <c r="CB4" s="961"/>
      <c r="CC4" s="961"/>
      <c r="CD4" s="961"/>
      <c r="CE4" s="961"/>
    </row>
    <row r="5" spans="1:83" ht="15" x14ac:dyDescent="0.25">
      <c r="A5" s="961"/>
      <c r="B5" s="1023" t="str">
        <f>+Cover!C5</f>
        <v>Project Title: Battery Storage - Hyde Park</v>
      </c>
      <c r="C5" s="967"/>
      <c r="D5" s="968"/>
      <c r="E5" s="969"/>
      <c r="F5" s="967" t="s">
        <v>288</v>
      </c>
      <c r="G5" s="968"/>
      <c r="H5" s="969"/>
      <c r="I5" s="970" t="s">
        <v>288</v>
      </c>
      <c r="J5" s="968"/>
      <c r="K5" s="969"/>
      <c r="L5" s="971" t="s">
        <v>288</v>
      </c>
      <c r="M5" s="960"/>
      <c r="N5" s="1031" t="s">
        <v>1198</v>
      </c>
      <c r="O5" s="1032"/>
      <c r="P5" s="1032"/>
      <c r="Q5" s="1032"/>
      <c r="R5" s="1032"/>
      <c r="S5" s="1032"/>
      <c r="T5" s="1032"/>
      <c r="U5" s="1032"/>
      <c r="V5" s="1032"/>
      <c r="W5" s="1032"/>
      <c r="X5" s="1032"/>
      <c r="Y5" s="1032"/>
      <c r="Z5" s="1032"/>
      <c r="AA5" s="1032"/>
      <c r="AB5" s="1032"/>
      <c r="AC5" s="1032"/>
      <c r="AD5" s="1032"/>
      <c r="AE5" s="1032"/>
      <c r="AF5" s="1032"/>
      <c r="AG5" s="1032"/>
      <c r="AH5" s="1032"/>
      <c r="AI5" s="1032"/>
      <c r="AJ5" s="1032"/>
      <c r="AK5" s="1032"/>
      <c r="AL5" s="1032"/>
      <c r="AM5" s="1032"/>
      <c r="AN5" s="1032"/>
      <c r="AO5" s="1032"/>
      <c r="AP5" s="1032"/>
      <c r="AQ5" s="1032"/>
      <c r="AR5" s="1032"/>
      <c r="AS5" s="1032"/>
      <c r="AT5" s="1032"/>
      <c r="AU5" s="1032"/>
      <c r="AV5" s="1032"/>
      <c r="AW5" s="1090"/>
      <c r="AX5" s="1032"/>
      <c r="AY5" s="1032"/>
      <c r="AZ5" s="1032"/>
      <c r="BA5" s="1032"/>
      <c r="BB5" s="1032"/>
      <c r="BC5" s="1032"/>
      <c r="BD5" s="1032"/>
      <c r="BE5" s="1032"/>
      <c r="BF5" s="1032"/>
      <c r="BG5" s="1032"/>
      <c r="BH5" s="1032"/>
      <c r="BI5" s="1032"/>
      <c r="BJ5" s="1032"/>
      <c r="BK5" s="1032"/>
      <c r="BL5" s="1032"/>
      <c r="BM5" s="1032"/>
      <c r="BN5" s="1032"/>
      <c r="BO5" s="1032"/>
      <c r="BP5" s="1032"/>
      <c r="BQ5" s="1032"/>
      <c r="BR5" s="1032"/>
      <c r="BS5" s="1032"/>
      <c r="BT5" s="1032"/>
      <c r="BU5" s="1032"/>
      <c r="BV5" s="1032"/>
      <c r="BW5" s="1032"/>
      <c r="BX5" s="1032"/>
      <c r="BY5" s="1032"/>
      <c r="BZ5" s="1032"/>
      <c r="CA5" s="1032"/>
      <c r="CB5" s="1032"/>
      <c r="CC5" s="1032"/>
      <c r="CD5" s="1032"/>
      <c r="CE5" s="1032" t="s">
        <v>216</v>
      </c>
    </row>
    <row r="6" spans="1:83" ht="15.75" thickBot="1" x14ac:dyDescent="0.3">
      <c r="A6" s="961"/>
      <c r="B6" s="1025" t="str">
        <f>+Cover!C8</f>
        <v>Project Number: 21334</v>
      </c>
      <c r="C6" s="972"/>
      <c r="D6" s="961"/>
      <c r="E6" s="1028" t="str">
        <f>+'Data Input sheet'!B15</f>
        <v>Estimate Type: Conceptual</v>
      </c>
      <c r="F6" s="973" t="s">
        <v>288</v>
      </c>
      <c r="G6" s="961"/>
      <c r="H6" s="959"/>
      <c r="I6" s="974"/>
      <c r="J6" s="961"/>
      <c r="K6" s="975"/>
      <c r="L6" s="976" t="s">
        <v>288</v>
      </c>
      <c r="M6" s="960"/>
      <c r="N6" s="1032"/>
      <c r="O6" s="1032"/>
      <c r="P6" s="1032"/>
      <c r="Q6" s="1032"/>
      <c r="R6" s="1032"/>
      <c r="S6" s="1032"/>
      <c r="T6" s="1032"/>
      <c r="U6" s="1032"/>
      <c r="V6" s="1032"/>
      <c r="W6" s="1032"/>
      <c r="X6" s="1032"/>
      <c r="Y6" s="1032"/>
      <c r="Z6" s="1032"/>
      <c r="AA6" s="1032"/>
      <c r="AB6" s="1032"/>
      <c r="AC6" s="1032"/>
      <c r="AD6" s="1032"/>
      <c r="AE6" s="1032"/>
      <c r="AF6" s="1032"/>
      <c r="AG6" s="1032"/>
      <c r="AH6" s="1032"/>
      <c r="AI6" s="1032"/>
      <c r="AJ6" s="1032"/>
      <c r="AK6" s="1032"/>
      <c r="AL6" s="1032"/>
      <c r="AM6" s="1032"/>
      <c r="AN6" s="1032"/>
      <c r="AO6" s="1032"/>
      <c r="AP6" s="1032"/>
      <c r="AQ6" s="1032"/>
      <c r="AR6" s="1032"/>
      <c r="AS6" s="1032"/>
      <c r="AT6" s="1032"/>
      <c r="AU6" s="1032"/>
      <c r="AV6" s="1032"/>
      <c r="AW6" s="1090" t="s">
        <v>1211</v>
      </c>
      <c r="AX6" s="1032" t="s">
        <v>310</v>
      </c>
      <c r="AY6" s="1032"/>
      <c r="AZ6" s="1032"/>
      <c r="BA6" s="1032" t="s">
        <v>310</v>
      </c>
      <c r="BB6" s="1032"/>
      <c r="BC6" s="1032"/>
      <c r="BD6" s="1032" t="s">
        <v>310</v>
      </c>
      <c r="BE6" s="1032"/>
      <c r="BF6" s="1032"/>
      <c r="BG6" s="1032" t="s">
        <v>310</v>
      </c>
      <c r="BH6" s="1032"/>
      <c r="BI6" s="1032"/>
      <c r="BJ6" s="1032" t="s">
        <v>310</v>
      </c>
      <c r="BK6" s="1032"/>
      <c r="BL6" s="1032"/>
      <c r="BM6" s="1032" t="s">
        <v>310</v>
      </c>
      <c r="BN6" s="1032"/>
      <c r="BO6" s="1032"/>
      <c r="BP6" s="1032" t="s">
        <v>310</v>
      </c>
      <c r="BQ6" s="1032"/>
      <c r="BR6" s="1032"/>
      <c r="BS6" s="1032"/>
      <c r="BT6" s="1032"/>
      <c r="BU6" s="1032"/>
      <c r="BV6" s="1032"/>
      <c r="BW6" s="1032"/>
      <c r="BX6" s="1032"/>
      <c r="BY6" s="1032"/>
      <c r="BZ6" s="1032"/>
      <c r="CA6" s="1032"/>
      <c r="CB6" s="1032"/>
      <c r="CC6" s="1032"/>
      <c r="CD6" s="1032"/>
      <c r="CE6" s="1032" t="s">
        <v>310</v>
      </c>
    </row>
    <row r="7" spans="1:83" ht="21.75" thickBot="1" x14ac:dyDescent="0.3">
      <c r="A7" s="961"/>
      <c r="B7" s="1025" t="str">
        <f>+Cover!C9</f>
        <v>WO &amp; Task #: 80089926</v>
      </c>
      <c r="C7" s="977"/>
      <c r="D7" s="961"/>
      <c r="E7" s="1024" t="str">
        <f>+Cover!C10</f>
        <v>Estimate revision #: 00</v>
      </c>
      <c r="F7" s="978"/>
      <c r="G7" s="961"/>
      <c r="H7" s="1027" t="str">
        <f>+Cover!R8</f>
        <v>Estimate done by: PAG</v>
      </c>
      <c r="I7" s="978"/>
      <c r="J7" s="961"/>
      <c r="K7" s="959"/>
      <c r="L7" s="979" t="s">
        <v>288</v>
      </c>
      <c r="M7" s="960"/>
      <c r="N7" s="1038" t="s">
        <v>54</v>
      </c>
      <c r="O7" s="1032"/>
      <c r="P7" s="1032"/>
      <c r="Q7" s="1847">
        <f>+'Data Input sheet'!D65</f>
        <v>45292</v>
      </c>
      <c r="R7" s="1032"/>
      <c r="S7" s="1032"/>
      <c r="T7" s="1847">
        <f>+'Data Input sheet'!G65</f>
        <v>45658</v>
      </c>
      <c r="U7" s="1032"/>
      <c r="V7" s="1032"/>
      <c r="W7" s="1847">
        <f>+'Data Input sheet'!J65</f>
        <v>46023</v>
      </c>
      <c r="X7" s="1032"/>
      <c r="Y7" s="1032"/>
      <c r="Z7" s="1847">
        <f>+'Data Input sheet'!M65</f>
        <v>46388</v>
      </c>
      <c r="AA7" s="1032"/>
      <c r="AB7" s="1032"/>
      <c r="AC7" s="1847">
        <f>+'Data Input sheet'!P65</f>
        <v>46753</v>
      </c>
      <c r="AD7" s="1032"/>
      <c r="AE7" s="1032"/>
      <c r="AF7" s="1847">
        <f>+'Data Input sheet'!S65</f>
        <v>47119</v>
      </c>
      <c r="AG7" s="1032"/>
      <c r="AH7" s="1032"/>
      <c r="AI7" s="1847">
        <f>+'Data Input sheet'!V65</f>
        <v>47484</v>
      </c>
      <c r="AJ7" s="1032"/>
      <c r="AK7" s="1032"/>
      <c r="AL7" s="1847">
        <f>+'Data Input sheet'!Y65</f>
        <v>47849</v>
      </c>
      <c r="AM7" s="1032"/>
      <c r="AN7" s="1032"/>
      <c r="AO7" s="1847">
        <f>+'Data Input sheet'!AB65</f>
        <v>48214</v>
      </c>
      <c r="AP7" s="1032"/>
      <c r="AQ7" s="1032"/>
      <c r="AR7" s="1847">
        <f>+'Data Input sheet'!AE65</f>
        <v>48580</v>
      </c>
      <c r="AS7" s="1032"/>
      <c r="AT7" s="1032"/>
      <c r="AU7" s="1453" t="s">
        <v>1314</v>
      </c>
      <c r="AV7" s="1032"/>
      <c r="AW7" s="1090" t="s">
        <v>1212</v>
      </c>
      <c r="AX7" s="1038" t="str">
        <f>+N7</f>
        <v>Prior</v>
      </c>
      <c r="AY7" s="1032"/>
      <c r="AZ7" s="1032"/>
      <c r="BA7" s="1847">
        <f>+Q7</f>
        <v>45292</v>
      </c>
      <c r="BB7" s="1032"/>
      <c r="BC7" s="1032"/>
      <c r="BD7" s="1847">
        <f>+T7</f>
        <v>45658</v>
      </c>
      <c r="BE7" s="1032"/>
      <c r="BF7" s="1032"/>
      <c r="BG7" s="1847">
        <f>+W7</f>
        <v>46023</v>
      </c>
      <c r="BH7" s="1032"/>
      <c r="BI7" s="1032"/>
      <c r="BJ7" s="1847">
        <f>+Z7</f>
        <v>46388</v>
      </c>
      <c r="BK7" s="1032"/>
      <c r="BL7" s="1032"/>
      <c r="BM7" s="1847">
        <f>+AC7</f>
        <v>46753</v>
      </c>
      <c r="BN7" s="1032"/>
      <c r="BO7" s="1032"/>
      <c r="BP7" s="1847">
        <f>+AF7</f>
        <v>47119</v>
      </c>
      <c r="BQ7" s="1847"/>
      <c r="BR7" s="1847"/>
      <c r="BS7" s="1847">
        <f>+AI7</f>
        <v>47484</v>
      </c>
      <c r="BT7" s="1847"/>
      <c r="BU7" s="1847"/>
      <c r="BV7" s="1847">
        <f>+AL7</f>
        <v>47849</v>
      </c>
      <c r="BW7" s="1847"/>
      <c r="BX7" s="1847"/>
      <c r="BY7" s="1847">
        <f>+AO7</f>
        <v>48214</v>
      </c>
      <c r="BZ7" s="1847"/>
      <c r="CA7" s="1847"/>
      <c r="CB7" s="1847">
        <f>+AR7</f>
        <v>48580</v>
      </c>
      <c r="CC7" s="1847"/>
      <c r="CD7" s="1032"/>
      <c r="CE7" s="1032" t="str">
        <f>+AW7</f>
        <v>from input sheet</v>
      </c>
    </row>
    <row r="8" spans="1:83" ht="4.5" customHeight="1" thickBot="1" x14ac:dyDescent="0.3">
      <c r="A8" s="961"/>
      <c r="B8" s="980"/>
      <c r="C8" s="981"/>
      <c r="D8" s="982"/>
      <c r="E8" s="983"/>
      <c r="F8" s="983"/>
      <c r="G8" s="982"/>
      <c r="H8" s="984"/>
      <c r="I8" s="984"/>
      <c r="J8" s="984"/>
      <c r="K8" s="985"/>
      <c r="L8" s="986"/>
      <c r="M8" s="960"/>
      <c r="N8" s="1032"/>
      <c r="O8" s="1032"/>
      <c r="P8" s="1032"/>
      <c r="Q8" s="1032"/>
      <c r="R8" s="1032"/>
      <c r="S8" s="1032"/>
      <c r="T8" s="1032"/>
      <c r="U8" s="1032"/>
      <c r="V8" s="1032"/>
      <c r="W8" s="1032"/>
      <c r="X8" s="1032"/>
      <c r="Y8" s="1032"/>
      <c r="Z8" s="1032"/>
      <c r="AA8" s="1032"/>
      <c r="AB8" s="1032"/>
      <c r="AC8" s="1032"/>
      <c r="AD8" s="1032"/>
      <c r="AE8" s="1032"/>
      <c r="AF8" s="1032"/>
      <c r="AG8" s="1032"/>
      <c r="AH8" s="1032"/>
      <c r="AI8" s="1032"/>
      <c r="AJ8" s="1032"/>
      <c r="AK8" s="1032"/>
      <c r="AL8" s="1032"/>
      <c r="AM8" s="1032"/>
      <c r="AN8" s="1032"/>
      <c r="AO8" s="1032"/>
      <c r="AP8" s="1032"/>
      <c r="AQ8" s="1032"/>
      <c r="AR8" s="1032"/>
      <c r="AS8" s="1032"/>
      <c r="AT8" s="1032"/>
      <c r="AU8" s="1032"/>
      <c r="AV8" s="1032"/>
      <c r="AW8" s="1090"/>
      <c r="AX8" s="1032"/>
      <c r="AY8" s="1032"/>
      <c r="AZ8" s="1032"/>
      <c r="BA8" s="1032"/>
      <c r="BB8" s="1032"/>
      <c r="BC8" s="1032"/>
      <c r="BD8" s="1032"/>
      <c r="BE8" s="1032"/>
      <c r="BF8" s="1032"/>
      <c r="BG8" s="1032"/>
      <c r="BH8" s="1032"/>
      <c r="BI8" s="1032"/>
      <c r="BJ8" s="1032"/>
      <c r="BK8" s="1032"/>
      <c r="BL8" s="1032"/>
      <c r="BM8" s="1032"/>
      <c r="BN8" s="1032"/>
      <c r="BO8" s="1032"/>
      <c r="BP8" s="1032"/>
      <c r="BQ8" s="1032"/>
      <c r="BR8" s="1032"/>
      <c r="BS8" s="1032"/>
      <c r="BT8" s="1032"/>
      <c r="BU8" s="1032"/>
      <c r="BV8" s="1032"/>
      <c r="BW8" s="1032"/>
      <c r="BX8" s="1032"/>
      <c r="BY8" s="1032"/>
      <c r="BZ8" s="1032"/>
      <c r="CA8" s="1032"/>
      <c r="CB8" s="1032"/>
      <c r="CC8" s="1032"/>
      <c r="CD8" s="1032"/>
      <c r="CE8" s="1032"/>
    </row>
    <row r="9" spans="1:83" ht="15.75" x14ac:dyDescent="0.25">
      <c r="A9" s="961"/>
      <c r="B9" s="987"/>
      <c r="C9" s="988"/>
      <c r="D9" s="988"/>
      <c r="E9" s="989" t="s">
        <v>1190</v>
      </c>
      <c r="F9" s="988"/>
      <c r="G9" s="988"/>
      <c r="H9" s="988"/>
      <c r="I9" s="988"/>
      <c r="J9" s="988"/>
      <c r="K9" s="989" t="s">
        <v>310</v>
      </c>
      <c r="L9" s="2427" t="s">
        <v>2585</v>
      </c>
      <c r="M9" s="960"/>
      <c r="N9" s="1033" t="s">
        <v>1190</v>
      </c>
      <c r="O9" s="1033"/>
      <c r="P9" s="1033"/>
      <c r="Q9" s="1033" t="s">
        <v>1190</v>
      </c>
      <c r="R9" s="1032"/>
      <c r="S9" s="1032"/>
      <c r="T9" s="1033" t="s">
        <v>1190</v>
      </c>
      <c r="U9" s="1032"/>
      <c r="V9" s="1032"/>
      <c r="W9" s="1033" t="s">
        <v>1190</v>
      </c>
      <c r="X9" s="1032"/>
      <c r="Y9" s="1032"/>
      <c r="Z9" s="1033" t="s">
        <v>1190</v>
      </c>
      <c r="AA9" s="1032"/>
      <c r="AB9" s="1032"/>
      <c r="AC9" s="1033" t="s">
        <v>1190</v>
      </c>
      <c r="AD9" s="1032"/>
      <c r="AE9" s="1032"/>
      <c r="AF9" s="1033" t="s">
        <v>1190</v>
      </c>
      <c r="AG9" s="1445"/>
      <c r="AH9" s="1449"/>
      <c r="AI9" s="1033" t="s">
        <v>1190</v>
      </c>
      <c r="AJ9" s="1449"/>
      <c r="AK9" s="1449"/>
      <c r="AL9" s="1033" t="s">
        <v>1190</v>
      </c>
      <c r="AM9" s="1449"/>
      <c r="AN9" s="1449"/>
      <c r="AO9" s="1033" t="s">
        <v>1190</v>
      </c>
      <c r="AP9" s="1449"/>
      <c r="AQ9" s="1449"/>
      <c r="AR9" s="1033" t="s">
        <v>1190</v>
      </c>
      <c r="AS9" s="1449"/>
      <c r="AT9" s="1449"/>
      <c r="AU9" s="1033" t="s">
        <v>1190</v>
      </c>
      <c r="AV9" s="1032"/>
      <c r="AW9" s="1090"/>
      <c r="AX9" s="1033" t="s">
        <v>1197</v>
      </c>
      <c r="AY9" s="1032"/>
      <c r="AZ9" s="1032"/>
      <c r="BA9" s="1033" t="s">
        <v>1197</v>
      </c>
      <c r="BB9" s="1032"/>
      <c r="BC9" s="1032"/>
      <c r="BD9" s="1033" t="s">
        <v>1197</v>
      </c>
      <c r="BE9" s="1032"/>
      <c r="BF9" s="1032"/>
      <c r="BG9" s="1033" t="s">
        <v>1197</v>
      </c>
      <c r="BH9" s="1032"/>
      <c r="BI9" s="1032"/>
      <c r="BJ9" s="1033" t="s">
        <v>1197</v>
      </c>
      <c r="BK9" s="1032"/>
      <c r="BL9" s="1032"/>
      <c r="BM9" s="1033" t="s">
        <v>1197</v>
      </c>
      <c r="BN9" s="1032"/>
      <c r="BO9" s="1032"/>
      <c r="BP9" s="1033" t="s">
        <v>1197</v>
      </c>
      <c r="BQ9" s="2371"/>
      <c r="BR9" s="2371"/>
      <c r="BS9" s="1033" t="s">
        <v>1197</v>
      </c>
      <c r="BT9" s="2371"/>
      <c r="BU9" s="2371"/>
      <c r="BV9" s="1033" t="s">
        <v>1197</v>
      </c>
      <c r="BW9" s="2371"/>
      <c r="BX9" s="2371"/>
      <c r="BY9" s="1033" t="s">
        <v>1197</v>
      </c>
      <c r="BZ9" s="2371"/>
      <c r="CA9" s="2371"/>
      <c r="CB9" s="1033" t="s">
        <v>1197</v>
      </c>
      <c r="CC9" s="2371"/>
      <c r="CD9" s="1032"/>
      <c r="CE9" s="1033" t="s">
        <v>1197</v>
      </c>
    </row>
    <row r="10" spans="1:83" ht="15.75" x14ac:dyDescent="0.25">
      <c r="A10" s="961"/>
      <c r="B10" s="1003" t="s">
        <v>1195</v>
      </c>
      <c r="C10" s="1004"/>
      <c r="D10" s="961"/>
      <c r="E10" s="997"/>
      <c r="F10" s="961"/>
      <c r="G10" s="1006" t="s">
        <v>554</v>
      </c>
      <c r="H10" s="1006" t="s">
        <v>1194</v>
      </c>
      <c r="I10" s="1006" t="s">
        <v>39</v>
      </c>
      <c r="J10" s="961" t="s">
        <v>1196</v>
      </c>
      <c r="K10" s="997"/>
      <c r="L10" s="1007"/>
      <c r="M10" s="960"/>
      <c r="N10" s="1034"/>
      <c r="O10" s="1034"/>
      <c r="P10" s="1034"/>
      <c r="Q10" s="1034"/>
      <c r="R10" s="1032"/>
      <c r="S10" s="1032"/>
      <c r="T10" s="1034"/>
      <c r="U10" s="1032"/>
      <c r="V10" s="1032"/>
      <c r="W10" s="1034"/>
      <c r="X10" s="1032"/>
      <c r="Y10" s="1032"/>
      <c r="Z10" s="1034"/>
      <c r="AA10" s="1032"/>
      <c r="AB10" s="1032"/>
      <c r="AC10" s="1034"/>
      <c r="AD10" s="1032"/>
      <c r="AE10" s="1032"/>
      <c r="AF10" s="1034"/>
      <c r="AG10" s="1446"/>
      <c r="AH10" s="1450"/>
      <c r="AI10" s="1034"/>
      <c r="AJ10" s="1450"/>
      <c r="AK10" s="1450"/>
      <c r="AL10" s="1034"/>
      <c r="AM10" s="1450"/>
      <c r="AN10" s="1450"/>
      <c r="AO10" s="1034"/>
      <c r="AP10" s="1450"/>
      <c r="AQ10" s="1450"/>
      <c r="AR10" s="1034"/>
      <c r="AS10" s="1450"/>
      <c r="AT10" s="1450"/>
      <c r="AU10" s="1034"/>
      <c r="AV10" s="1032"/>
      <c r="AW10" s="1090"/>
      <c r="AX10" s="1034"/>
      <c r="AY10" s="1032"/>
      <c r="AZ10" s="1032"/>
      <c r="BA10" s="1034"/>
      <c r="BB10" s="1032"/>
      <c r="BC10" s="1032"/>
      <c r="BD10" s="1034"/>
      <c r="BE10" s="1032"/>
      <c r="BF10" s="1032"/>
      <c r="BG10" s="1034"/>
      <c r="BH10" s="1032"/>
      <c r="BI10" s="1032"/>
      <c r="BJ10" s="1034"/>
      <c r="BK10" s="1032"/>
      <c r="BL10" s="1032"/>
      <c r="BM10" s="1034"/>
      <c r="BN10" s="1032"/>
      <c r="BO10" s="1032"/>
      <c r="BP10" s="1034"/>
      <c r="BQ10" s="2372"/>
      <c r="BR10" s="2372"/>
      <c r="BS10" s="1034"/>
      <c r="BT10" s="2372"/>
      <c r="BU10" s="2372"/>
      <c r="BV10" s="1034"/>
      <c r="BW10" s="2372"/>
      <c r="BX10" s="2372"/>
      <c r="BY10" s="1034"/>
      <c r="BZ10" s="2372"/>
      <c r="CA10" s="2372"/>
      <c r="CB10" s="1034"/>
      <c r="CC10" s="2372"/>
      <c r="CD10" s="1032"/>
      <c r="CE10" s="1034"/>
    </row>
    <row r="11" spans="1:83" ht="15.75" x14ac:dyDescent="0.25">
      <c r="A11" s="961"/>
      <c r="B11" s="1029"/>
      <c r="C11" s="1008"/>
      <c r="D11" s="1009"/>
      <c r="E11" s="997"/>
      <c r="F11" s="961"/>
      <c r="G11" s="961"/>
      <c r="H11" s="961"/>
      <c r="I11" s="961"/>
      <c r="J11" s="961"/>
      <c r="K11" s="997"/>
      <c r="L11" s="1007"/>
      <c r="M11" s="960"/>
      <c r="N11" s="1034"/>
      <c r="O11" s="1034"/>
      <c r="P11" s="1034"/>
      <c r="Q11" s="1034"/>
      <c r="R11" s="1032"/>
      <c r="S11" s="1032"/>
      <c r="T11" s="1034"/>
      <c r="U11" s="1032"/>
      <c r="V11" s="1032"/>
      <c r="W11" s="1034"/>
      <c r="X11" s="1032"/>
      <c r="Y11" s="1032"/>
      <c r="Z11" s="1034"/>
      <c r="AA11" s="1032"/>
      <c r="AB11" s="1032"/>
      <c r="AC11" s="1034"/>
      <c r="AD11" s="1032"/>
      <c r="AE11" s="1032"/>
      <c r="AF11" s="1034"/>
      <c r="AG11" s="1446"/>
      <c r="AH11" s="1450"/>
      <c r="AI11" s="1034"/>
      <c r="AJ11" s="1450"/>
      <c r="AK11" s="1450"/>
      <c r="AL11" s="1034"/>
      <c r="AM11" s="1450"/>
      <c r="AN11" s="1450"/>
      <c r="AO11" s="1034"/>
      <c r="AP11" s="1450"/>
      <c r="AQ11" s="1450"/>
      <c r="AR11" s="1034"/>
      <c r="AS11" s="1450"/>
      <c r="AT11" s="1450"/>
      <c r="AU11" s="1034"/>
      <c r="AV11" s="1032"/>
      <c r="AW11" s="1090"/>
      <c r="AX11" s="1034"/>
      <c r="AY11" s="1032"/>
      <c r="AZ11" s="1032"/>
      <c r="BA11" s="1034"/>
      <c r="BB11" s="1032"/>
      <c r="BC11" s="1032"/>
      <c r="BD11" s="1034"/>
      <c r="BE11" s="1032"/>
      <c r="BF11" s="1032"/>
      <c r="BG11" s="1034"/>
      <c r="BH11" s="1032"/>
      <c r="BI11" s="1032"/>
      <c r="BJ11" s="1034"/>
      <c r="BK11" s="1032"/>
      <c r="BL11" s="1032"/>
      <c r="BM11" s="1034"/>
      <c r="BN11" s="1032"/>
      <c r="BO11" s="1032"/>
      <c r="BP11" s="1034"/>
      <c r="BQ11" s="2372"/>
      <c r="BR11" s="2372"/>
      <c r="BS11" s="1034"/>
      <c r="BT11" s="2372"/>
      <c r="BU11" s="2372"/>
      <c r="BV11" s="1034"/>
      <c r="BW11" s="2372"/>
      <c r="BX11" s="2372"/>
      <c r="BY11" s="1034"/>
      <c r="BZ11" s="2372"/>
      <c r="CA11" s="2372"/>
      <c r="CB11" s="1034"/>
      <c r="CC11" s="2372"/>
      <c r="CD11" s="1032"/>
      <c r="CE11" s="1034"/>
    </row>
    <row r="12" spans="1:83" ht="15.75" x14ac:dyDescent="0.25">
      <c r="A12" s="961"/>
      <c r="B12" s="1029" t="str">
        <f>+'Detail Summary'!G217</f>
        <v>ROW / Easements / Land purchases</v>
      </c>
      <c r="C12" s="961"/>
      <c r="D12" s="1010"/>
      <c r="E12" s="1011">
        <f ca="1">+'Detail Summary'!CK217</f>
        <v>0</v>
      </c>
      <c r="F12" s="961"/>
      <c r="G12" s="2425">
        <v>0</v>
      </c>
      <c r="H12" s="2425">
        <v>0</v>
      </c>
      <c r="I12" s="2425">
        <v>0</v>
      </c>
      <c r="J12" s="1030">
        <f>SUM(G12:I12)</f>
        <v>0</v>
      </c>
      <c r="K12" s="1011">
        <f ca="1">+CE12</f>
        <v>0</v>
      </c>
      <c r="L12" s="2428"/>
      <c r="M12" s="960"/>
      <c r="N12" s="1035">
        <f>+'Detail Summary'!BD217</f>
        <v>0</v>
      </c>
      <c r="O12" s="1035"/>
      <c r="P12" s="1035"/>
      <c r="Q12" s="1035">
        <f ca="1">+'Detail Summary'!BG217</f>
        <v>0</v>
      </c>
      <c r="R12" s="1032"/>
      <c r="S12" s="1032"/>
      <c r="T12" s="1035">
        <f ca="1">+'Detail Summary'!BJ217</f>
        <v>0</v>
      </c>
      <c r="U12" s="1032"/>
      <c r="V12" s="1032"/>
      <c r="W12" s="1035">
        <f ca="1">+'Detail Summary'!BM217</f>
        <v>0</v>
      </c>
      <c r="X12" s="1032"/>
      <c r="Y12" s="1032"/>
      <c r="Z12" s="1035">
        <f ca="1">+'Detail Summary'!BP217</f>
        <v>0</v>
      </c>
      <c r="AA12" s="1032"/>
      <c r="AB12" s="1032"/>
      <c r="AC12" s="1035">
        <f ca="1">+'Detail Summary'!BS217</f>
        <v>0</v>
      </c>
      <c r="AD12" s="1032"/>
      <c r="AE12" s="1032"/>
      <c r="AF12" s="1035">
        <f ca="1">+'Detail Summary'!BV217</f>
        <v>0</v>
      </c>
      <c r="AG12" s="1447"/>
      <c r="AH12" s="1451"/>
      <c r="AI12" s="1035">
        <f ca="1">+'Detail Summary'!BY217</f>
        <v>0</v>
      </c>
      <c r="AJ12" s="1451"/>
      <c r="AK12" s="1451"/>
      <c r="AL12" s="1035">
        <f ca="1">+'Detail Summary'!CB217</f>
        <v>0</v>
      </c>
      <c r="AM12" s="1451"/>
      <c r="AN12" s="1451"/>
      <c r="AO12" s="1035">
        <f ca="1">+'Detail Summary'!CE217</f>
        <v>0</v>
      </c>
      <c r="AP12" s="1451"/>
      <c r="AQ12" s="1451"/>
      <c r="AR12" s="1035">
        <f ca="1">+'Detail Summary'!CH217</f>
        <v>0</v>
      </c>
      <c r="AS12" s="1451"/>
      <c r="AT12" s="1451"/>
      <c r="AU12" s="1035">
        <f ca="1">+'Detail Summary'!CK217</f>
        <v>0</v>
      </c>
      <c r="AV12" s="1032"/>
      <c r="AW12" s="1090" t="str">
        <f>+'Data Input sheet'!$D$110</f>
        <v>N</v>
      </c>
      <c r="AX12" s="1035">
        <f t="shared" ref="AX12:AX30" si="0">IF(AW12="N",0,+$J12*N12)</f>
        <v>0</v>
      </c>
      <c r="AY12" s="1032"/>
      <c r="AZ12" s="1032"/>
      <c r="BA12" s="1035">
        <f t="shared" ref="BA12:BA30" ca="1" si="1">+$J12*Q12</f>
        <v>0</v>
      </c>
      <c r="BB12" s="1032"/>
      <c r="BC12" s="1032"/>
      <c r="BD12" s="1035">
        <f t="shared" ref="BD12:BD30" ca="1" si="2">+$J12*T12</f>
        <v>0</v>
      </c>
      <c r="BE12" s="1032"/>
      <c r="BF12" s="1032"/>
      <c r="BG12" s="1035">
        <f t="shared" ref="BG12:BG30" ca="1" si="3">+$J12*W12</f>
        <v>0</v>
      </c>
      <c r="BH12" s="1032"/>
      <c r="BI12" s="1032"/>
      <c r="BJ12" s="1035">
        <f t="shared" ref="BJ12:BJ30" ca="1" si="4">+$J12*Z12</f>
        <v>0</v>
      </c>
      <c r="BK12" s="1032"/>
      <c r="BL12" s="1032"/>
      <c r="BM12" s="1035">
        <f t="shared" ref="BM12:BM30" ca="1" si="5">+$J12*AC12</f>
        <v>0</v>
      </c>
      <c r="BN12" s="1032"/>
      <c r="BO12" s="1032"/>
      <c r="BP12" s="1035">
        <f t="shared" ref="BP12:BP30" ca="1" si="6">+$J12*AF12</f>
        <v>0</v>
      </c>
      <c r="BQ12" s="2373"/>
      <c r="BR12" s="2373"/>
      <c r="BS12" s="1035">
        <f t="shared" ref="BS12:BS30" ca="1" si="7">+$J12*AI12</f>
        <v>0</v>
      </c>
      <c r="BT12" s="2373"/>
      <c r="BU12" s="2373"/>
      <c r="BV12" s="1035">
        <f t="shared" ref="BV12:BV30" ca="1" si="8">+$J12*AL12</f>
        <v>0</v>
      </c>
      <c r="BW12" s="2373"/>
      <c r="BX12" s="2373"/>
      <c r="BY12" s="1035">
        <f t="shared" ref="BY12:BY30" ca="1" si="9">+$J12*AO12</f>
        <v>0</v>
      </c>
      <c r="BZ12" s="2373"/>
      <c r="CA12" s="2373"/>
      <c r="CB12" s="1035">
        <f t="shared" ref="CB12:CB30" ca="1" si="10">+$J12*AR12</f>
        <v>0</v>
      </c>
      <c r="CC12" s="2373"/>
      <c r="CD12" s="1032"/>
      <c r="CE12" s="1035">
        <f t="shared" ref="CE12:CE16" ca="1" si="11">SUM(AX12:CB12)</f>
        <v>0</v>
      </c>
    </row>
    <row r="13" spans="1:83" ht="15.75" x14ac:dyDescent="0.25">
      <c r="A13" s="961"/>
      <c r="B13" s="1029" t="str">
        <f>+'Detail Summary'!G218</f>
        <v>Environmental Approvals / Permits</v>
      </c>
      <c r="C13" s="961"/>
      <c r="D13" s="1010"/>
      <c r="E13" s="1011">
        <f>+'Detail Summary'!CK218</f>
        <v>289753.05</v>
      </c>
      <c r="F13" s="961"/>
      <c r="G13" s="2425">
        <v>0.05</v>
      </c>
      <c r="H13" s="2425">
        <v>0</v>
      </c>
      <c r="I13" s="2425">
        <v>0</v>
      </c>
      <c r="J13" s="1030">
        <f>SUM(G13:I13)</f>
        <v>0.05</v>
      </c>
      <c r="K13" s="1011">
        <f t="shared" ref="K13:K33" si="12">+CE13</f>
        <v>14234.65</v>
      </c>
      <c r="L13" s="2428"/>
      <c r="M13" s="960"/>
      <c r="N13" s="1035">
        <f>+'Detail Summary'!BD218</f>
        <v>5060.05</v>
      </c>
      <c r="O13" s="1035"/>
      <c r="P13" s="1035"/>
      <c r="Q13" s="1035">
        <f>+'Detail Summary'!BG218</f>
        <v>0</v>
      </c>
      <c r="R13" s="1032"/>
      <c r="S13" s="1032"/>
      <c r="T13" s="1035">
        <f>+'Detail Summary'!BJ218</f>
        <v>0</v>
      </c>
      <c r="U13" s="1032"/>
      <c r="V13" s="1032"/>
      <c r="W13" s="1035">
        <f>+'Detail Summary'!BM218</f>
        <v>71173</v>
      </c>
      <c r="X13" s="1032"/>
      <c r="Y13" s="1032"/>
      <c r="Z13" s="1035">
        <f>+'Detail Summary'!BP218</f>
        <v>142347</v>
      </c>
      <c r="AA13" s="1032"/>
      <c r="AB13" s="1032"/>
      <c r="AC13" s="1035">
        <f>+'Detail Summary'!BS218</f>
        <v>71173</v>
      </c>
      <c r="AD13" s="1032"/>
      <c r="AE13" s="1032"/>
      <c r="AF13" s="1035">
        <f>+'Detail Summary'!BV218</f>
        <v>0</v>
      </c>
      <c r="AG13" s="1447"/>
      <c r="AH13" s="1451"/>
      <c r="AI13" s="1035">
        <f>+'Detail Summary'!BY218</f>
        <v>0</v>
      </c>
      <c r="AJ13" s="1451"/>
      <c r="AK13" s="1451"/>
      <c r="AL13" s="1035">
        <f>+'Detail Summary'!CB218</f>
        <v>0</v>
      </c>
      <c r="AM13" s="1451"/>
      <c r="AN13" s="1451"/>
      <c r="AO13" s="1035">
        <f>+'Detail Summary'!CE218</f>
        <v>0</v>
      </c>
      <c r="AP13" s="1451"/>
      <c r="AQ13" s="1451"/>
      <c r="AR13" s="1035">
        <f>+'Detail Summary'!CH218</f>
        <v>0</v>
      </c>
      <c r="AS13" s="1451"/>
      <c r="AT13" s="1451"/>
      <c r="AU13" s="1035">
        <f>+'Detail Summary'!CK218</f>
        <v>289753.05</v>
      </c>
      <c r="AV13" s="1032"/>
      <c r="AW13" s="1090" t="str">
        <f>+'Data Input sheet'!$D$110</f>
        <v>N</v>
      </c>
      <c r="AX13" s="1035">
        <f t="shared" si="0"/>
        <v>0</v>
      </c>
      <c r="AY13" s="1032"/>
      <c r="AZ13" s="1032"/>
      <c r="BA13" s="1035">
        <f t="shared" si="1"/>
        <v>0</v>
      </c>
      <c r="BB13" s="1032"/>
      <c r="BC13" s="1032"/>
      <c r="BD13" s="1035">
        <f t="shared" si="2"/>
        <v>0</v>
      </c>
      <c r="BE13" s="1032"/>
      <c r="BF13" s="1032"/>
      <c r="BG13" s="1035">
        <f t="shared" si="3"/>
        <v>3558.65</v>
      </c>
      <c r="BH13" s="1032"/>
      <c r="BI13" s="1032"/>
      <c r="BJ13" s="1035">
        <f t="shared" si="4"/>
        <v>7117.35</v>
      </c>
      <c r="BK13" s="1032"/>
      <c r="BL13" s="1032"/>
      <c r="BM13" s="1035">
        <f t="shared" si="5"/>
        <v>3558.65</v>
      </c>
      <c r="BN13" s="1032"/>
      <c r="BO13" s="1032"/>
      <c r="BP13" s="1035">
        <f t="shared" si="6"/>
        <v>0</v>
      </c>
      <c r="BQ13" s="2373"/>
      <c r="BR13" s="2373"/>
      <c r="BS13" s="1035">
        <f t="shared" si="7"/>
        <v>0</v>
      </c>
      <c r="BT13" s="2373"/>
      <c r="BU13" s="2373"/>
      <c r="BV13" s="1035">
        <f t="shared" si="8"/>
        <v>0</v>
      </c>
      <c r="BW13" s="2373"/>
      <c r="BX13" s="2373"/>
      <c r="BY13" s="1035">
        <f t="shared" si="9"/>
        <v>0</v>
      </c>
      <c r="BZ13" s="2373"/>
      <c r="CA13" s="2373"/>
      <c r="CB13" s="1035">
        <f t="shared" si="10"/>
        <v>0</v>
      </c>
      <c r="CC13" s="2373"/>
      <c r="CD13" s="1032"/>
      <c r="CE13" s="1035">
        <f t="shared" si="11"/>
        <v>14234.65</v>
      </c>
    </row>
    <row r="14" spans="1:83" ht="15.75" x14ac:dyDescent="0.25">
      <c r="A14" s="961"/>
      <c r="B14" s="1029" t="str">
        <f>+'Detail Summary'!G219</f>
        <v>Outreach</v>
      </c>
      <c r="C14" s="961"/>
      <c r="D14" s="1010"/>
      <c r="E14" s="1011">
        <f ca="1">+'Detail Summary'!CK219</f>
        <v>297057.12</v>
      </c>
      <c r="F14" s="961"/>
      <c r="G14" s="2425">
        <v>0.05</v>
      </c>
      <c r="H14" s="2425">
        <v>0</v>
      </c>
      <c r="I14" s="2425">
        <v>0</v>
      </c>
      <c r="J14" s="1030">
        <f>SUM(G14:I14)</f>
        <v>0.05</v>
      </c>
      <c r="K14" s="1011">
        <f t="shared" ca="1" si="12"/>
        <v>14304.45</v>
      </c>
      <c r="L14" s="2428"/>
      <c r="M14" s="960"/>
      <c r="N14" s="1035">
        <f>+'Detail Summary'!BD219</f>
        <v>10968.12</v>
      </c>
      <c r="O14" s="1035"/>
      <c r="P14" s="1035"/>
      <c r="Q14" s="1035">
        <f ca="1">+'Detail Summary'!BG219</f>
        <v>0</v>
      </c>
      <c r="R14" s="1032"/>
      <c r="S14" s="1032"/>
      <c r="T14" s="1035">
        <f>+'Detail Summary'!BJ219</f>
        <v>0</v>
      </c>
      <c r="U14" s="1032"/>
      <c r="V14" s="1032"/>
      <c r="W14" s="1035">
        <f ca="1">+'Detail Summary'!BM219</f>
        <v>113363</v>
      </c>
      <c r="X14" s="1032"/>
      <c r="Y14" s="1032"/>
      <c r="Z14" s="1035">
        <f ca="1">+'Detail Summary'!BP219</f>
        <v>146013</v>
      </c>
      <c r="AA14" s="1032"/>
      <c r="AB14" s="1032"/>
      <c r="AC14" s="1035">
        <f ca="1">+'Detail Summary'!BS219</f>
        <v>26713</v>
      </c>
      <c r="AD14" s="1032"/>
      <c r="AE14" s="1032"/>
      <c r="AF14" s="1035">
        <f ca="1">+'Detail Summary'!BV219</f>
        <v>0</v>
      </c>
      <c r="AG14" s="1447"/>
      <c r="AH14" s="1451"/>
      <c r="AI14" s="1035">
        <f ca="1">+'Detail Summary'!BY219</f>
        <v>0</v>
      </c>
      <c r="AJ14" s="1451"/>
      <c r="AK14" s="1451"/>
      <c r="AL14" s="1035">
        <f ca="1">+'Detail Summary'!CB219</f>
        <v>0</v>
      </c>
      <c r="AM14" s="1451"/>
      <c r="AN14" s="1451"/>
      <c r="AO14" s="1035">
        <f ca="1">+'Detail Summary'!CE219</f>
        <v>0</v>
      </c>
      <c r="AP14" s="1451"/>
      <c r="AQ14" s="1451"/>
      <c r="AR14" s="1035">
        <f ca="1">+'Detail Summary'!CH219</f>
        <v>0</v>
      </c>
      <c r="AS14" s="1451"/>
      <c r="AT14" s="1451"/>
      <c r="AU14" s="1035">
        <f ca="1">+'Detail Summary'!CK219</f>
        <v>297057.12</v>
      </c>
      <c r="AV14" s="1032"/>
      <c r="AW14" s="1090" t="str">
        <f>+'Data Input sheet'!$D$110</f>
        <v>N</v>
      </c>
      <c r="AX14" s="1035">
        <f t="shared" si="0"/>
        <v>0</v>
      </c>
      <c r="AY14" s="1032"/>
      <c r="AZ14" s="1032"/>
      <c r="BA14" s="1035">
        <f t="shared" ca="1" si="1"/>
        <v>0</v>
      </c>
      <c r="BB14" s="1032"/>
      <c r="BC14" s="1032"/>
      <c r="BD14" s="1035">
        <f t="shared" si="2"/>
        <v>0</v>
      </c>
      <c r="BE14" s="1032"/>
      <c r="BF14" s="1032"/>
      <c r="BG14" s="1035">
        <f t="shared" ca="1" si="3"/>
        <v>5668.1500000000005</v>
      </c>
      <c r="BH14" s="1032"/>
      <c r="BI14" s="1032"/>
      <c r="BJ14" s="1035">
        <f t="shared" ca="1" si="4"/>
        <v>7300.6500000000005</v>
      </c>
      <c r="BK14" s="1032"/>
      <c r="BL14" s="1032"/>
      <c r="BM14" s="1035">
        <f t="shared" ca="1" si="5"/>
        <v>1335.65</v>
      </c>
      <c r="BN14" s="1032"/>
      <c r="BO14" s="1032"/>
      <c r="BP14" s="1035">
        <f t="shared" ca="1" si="6"/>
        <v>0</v>
      </c>
      <c r="BQ14" s="2373"/>
      <c r="BR14" s="2373"/>
      <c r="BS14" s="1035">
        <f t="shared" ca="1" si="7"/>
        <v>0</v>
      </c>
      <c r="BT14" s="2373"/>
      <c r="BU14" s="2373"/>
      <c r="BV14" s="1035">
        <f t="shared" ca="1" si="8"/>
        <v>0</v>
      </c>
      <c r="BW14" s="2373"/>
      <c r="BX14" s="2373"/>
      <c r="BY14" s="1035">
        <f t="shared" ca="1" si="9"/>
        <v>0</v>
      </c>
      <c r="BZ14" s="2373"/>
      <c r="CA14" s="2373"/>
      <c r="CB14" s="1035">
        <f t="shared" ca="1" si="10"/>
        <v>0</v>
      </c>
      <c r="CC14" s="2373"/>
      <c r="CD14" s="1032"/>
      <c r="CE14" s="1035">
        <f t="shared" ca="1" si="11"/>
        <v>14304.45</v>
      </c>
    </row>
    <row r="15" spans="1:83" ht="15.75" x14ac:dyDescent="0.25">
      <c r="A15" s="961"/>
      <c r="B15" s="1029" t="str">
        <f>+'Detail Summary'!G220</f>
        <v>Siting Approvals / Permits</v>
      </c>
      <c r="C15" s="961"/>
      <c r="D15" s="1010"/>
      <c r="E15" s="1011">
        <f ca="1">+'Detail Summary'!CK220</f>
        <v>272507</v>
      </c>
      <c r="F15" s="961"/>
      <c r="G15" s="2425">
        <v>0.05</v>
      </c>
      <c r="H15" s="2425">
        <v>0</v>
      </c>
      <c r="I15" s="2425">
        <v>0</v>
      </c>
      <c r="J15" s="1030">
        <f>SUM(G15:I15)</f>
        <v>0.05</v>
      </c>
      <c r="K15" s="1011">
        <f t="shared" ca="1" si="12"/>
        <v>13110</v>
      </c>
      <c r="L15" s="2428"/>
      <c r="M15" s="960"/>
      <c r="N15" s="1035">
        <f>+'Detail Summary'!BD220</f>
        <v>10307</v>
      </c>
      <c r="O15" s="1035"/>
      <c r="P15" s="1035"/>
      <c r="Q15" s="1035">
        <f ca="1">+'Detail Summary'!BG220</f>
        <v>0</v>
      </c>
      <c r="R15" s="1032"/>
      <c r="S15" s="1032"/>
      <c r="T15" s="1035">
        <f ca="1">+'Detail Summary'!BJ220</f>
        <v>0</v>
      </c>
      <c r="U15" s="1032"/>
      <c r="V15" s="1032"/>
      <c r="W15" s="1035">
        <f ca="1">+'Detail Summary'!BM220</f>
        <v>103900</v>
      </c>
      <c r="X15" s="1032"/>
      <c r="Y15" s="1032"/>
      <c r="Z15" s="1035">
        <f ca="1">+'Detail Summary'!BP220</f>
        <v>133900</v>
      </c>
      <c r="AA15" s="1032"/>
      <c r="AB15" s="1032"/>
      <c r="AC15" s="1035">
        <f ca="1">+'Detail Summary'!BS220</f>
        <v>24400</v>
      </c>
      <c r="AD15" s="1032"/>
      <c r="AE15" s="1032"/>
      <c r="AF15" s="1035">
        <f ca="1">+'Detail Summary'!BV220</f>
        <v>0</v>
      </c>
      <c r="AG15" s="1447"/>
      <c r="AH15" s="1451"/>
      <c r="AI15" s="1035">
        <f ca="1">+'Detail Summary'!BY220</f>
        <v>0</v>
      </c>
      <c r="AJ15" s="1451"/>
      <c r="AK15" s="1451"/>
      <c r="AL15" s="1035">
        <f ca="1">+'Detail Summary'!CB220</f>
        <v>0</v>
      </c>
      <c r="AM15" s="1451"/>
      <c r="AN15" s="1451"/>
      <c r="AO15" s="1035">
        <f ca="1">+'Detail Summary'!CE220</f>
        <v>0</v>
      </c>
      <c r="AP15" s="1451"/>
      <c r="AQ15" s="1451"/>
      <c r="AR15" s="1035">
        <f ca="1">+'Detail Summary'!CH220</f>
        <v>0</v>
      </c>
      <c r="AS15" s="1451"/>
      <c r="AT15" s="1451"/>
      <c r="AU15" s="1035">
        <f ca="1">+'Detail Summary'!CK220</f>
        <v>272507</v>
      </c>
      <c r="AV15" s="1032"/>
      <c r="AW15" s="1090" t="str">
        <f>+'Data Input sheet'!$D$110</f>
        <v>N</v>
      </c>
      <c r="AX15" s="1035">
        <f t="shared" si="0"/>
        <v>0</v>
      </c>
      <c r="AY15" s="1032"/>
      <c r="AZ15" s="1032"/>
      <c r="BA15" s="1035">
        <f t="shared" ca="1" si="1"/>
        <v>0</v>
      </c>
      <c r="BB15" s="1032"/>
      <c r="BC15" s="1032"/>
      <c r="BD15" s="1035">
        <f t="shared" ca="1" si="2"/>
        <v>0</v>
      </c>
      <c r="BE15" s="1032"/>
      <c r="BF15" s="1032"/>
      <c r="BG15" s="1035">
        <f t="shared" ca="1" si="3"/>
        <v>5195</v>
      </c>
      <c r="BH15" s="1032"/>
      <c r="BI15" s="1032"/>
      <c r="BJ15" s="1035">
        <f t="shared" ca="1" si="4"/>
        <v>6695</v>
      </c>
      <c r="BK15" s="1032"/>
      <c r="BL15" s="1032"/>
      <c r="BM15" s="1035">
        <f t="shared" ca="1" si="5"/>
        <v>1220</v>
      </c>
      <c r="BN15" s="1032"/>
      <c r="BO15" s="1032"/>
      <c r="BP15" s="1035">
        <f t="shared" ca="1" si="6"/>
        <v>0</v>
      </c>
      <c r="BQ15" s="2373"/>
      <c r="BR15" s="2373"/>
      <c r="BS15" s="1035">
        <f t="shared" ca="1" si="7"/>
        <v>0</v>
      </c>
      <c r="BT15" s="2373"/>
      <c r="BU15" s="2373"/>
      <c r="BV15" s="1035">
        <f t="shared" ca="1" si="8"/>
        <v>0</v>
      </c>
      <c r="BW15" s="2373"/>
      <c r="BX15" s="2373"/>
      <c r="BY15" s="1035">
        <f t="shared" ca="1" si="9"/>
        <v>0</v>
      </c>
      <c r="BZ15" s="2373"/>
      <c r="CA15" s="2373"/>
      <c r="CB15" s="1035">
        <f t="shared" ca="1" si="10"/>
        <v>0</v>
      </c>
      <c r="CC15" s="2373"/>
      <c r="CD15" s="1032"/>
      <c r="CE15" s="1035">
        <f t="shared" ca="1" si="11"/>
        <v>13110</v>
      </c>
    </row>
    <row r="16" spans="1:83" ht="15" customHeight="1" x14ac:dyDescent="0.25">
      <c r="A16" s="961"/>
      <c r="B16" s="1029" t="str">
        <f>+'Detail Summary'!G221</f>
        <v>Engineering / Design</v>
      </c>
      <c r="C16" s="961"/>
      <c r="D16" s="1010"/>
      <c r="E16" s="1011">
        <f ca="1">+'Detail Summary'!CK221</f>
        <v>751051.06</v>
      </c>
      <c r="F16" s="961"/>
      <c r="G16" s="2425">
        <v>0.05</v>
      </c>
      <c r="H16" s="2425">
        <v>0</v>
      </c>
      <c r="I16" s="2425">
        <v>0</v>
      </c>
      <c r="J16" s="1030">
        <f>SUM(G16:I16)</f>
        <v>0.05</v>
      </c>
      <c r="K16" s="1011">
        <f t="shared" ca="1" si="12"/>
        <v>36731.35</v>
      </c>
      <c r="L16" s="2428"/>
      <c r="M16" s="960"/>
      <c r="N16" s="1035">
        <f>+'Detail Summary'!BD221</f>
        <v>16424.059999999998</v>
      </c>
      <c r="O16" s="1035"/>
      <c r="P16" s="1035"/>
      <c r="Q16" s="1035">
        <f ca="1">+'Detail Summary'!BG221</f>
        <v>0</v>
      </c>
      <c r="R16" s="1032"/>
      <c r="S16" s="1032"/>
      <c r="T16" s="1035">
        <f ca="1">+'Detail Summary'!BJ221</f>
        <v>0</v>
      </c>
      <c r="U16" s="1032"/>
      <c r="V16" s="1032"/>
      <c r="W16" s="1035">
        <f ca="1">+'Detail Summary'!BM221</f>
        <v>360542</v>
      </c>
      <c r="X16" s="1032"/>
      <c r="Y16" s="1032"/>
      <c r="Z16" s="1035">
        <f ca="1">+'Detail Summary'!BP221</f>
        <v>341386</v>
      </c>
      <c r="AA16" s="1032"/>
      <c r="AB16" s="1032"/>
      <c r="AC16" s="1035">
        <f ca="1">+'Detail Summary'!BS221</f>
        <v>32699</v>
      </c>
      <c r="AD16" s="1032"/>
      <c r="AE16" s="1032"/>
      <c r="AF16" s="1035">
        <f ca="1">+'Detail Summary'!BV221</f>
        <v>0</v>
      </c>
      <c r="AG16" s="1447"/>
      <c r="AH16" s="1451"/>
      <c r="AI16" s="1035">
        <f ca="1">+'Detail Summary'!BY221</f>
        <v>0</v>
      </c>
      <c r="AJ16" s="1451"/>
      <c r="AK16" s="1451"/>
      <c r="AL16" s="1035">
        <f ca="1">+'Detail Summary'!CB221</f>
        <v>0</v>
      </c>
      <c r="AM16" s="1451"/>
      <c r="AN16" s="1451"/>
      <c r="AO16" s="1035">
        <f ca="1">+'Detail Summary'!CE221</f>
        <v>0</v>
      </c>
      <c r="AP16" s="1451"/>
      <c r="AQ16" s="1451"/>
      <c r="AR16" s="1035">
        <f ca="1">+'Detail Summary'!CH221</f>
        <v>0</v>
      </c>
      <c r="AS16" s="1451"/>
      <c r="AT16" s="1451"/>
      <c r="AU16" s="1035">
        <f ca="1">+'Detail Summary'!CK221</f>
        <v>751051.06</v>
      </c>
      <c r="AV16" s="1032"/>
      <c r="AW16" s="1090" t="str">
        <f>+'Data Input sheet'!$D$110</f>
        <v>N</v>
      </c>
      <c r="AX16" s="1035">
        <f t="shared" si="0"/>
        <v>0</v>
      </c>
      <c r="AY16" s="1032"/>
      <c r="AZ16" s="1032"/>
      <c r="BA16" s="1035">
        <f t="shared" ca="1" si="1"/>
        <v>0</v>
      </c>
      <c r="BB16" s="1032"/>
      <c r="BC16" s="1032"/>
      <c r="BD16" s="1035">
        <f t="shared" ca="1" si="2"/>
        <v>0</v>
      </c>
      <c r="BE16" s="1032"/>
      <c r="BF16" s="1032"/>
      <c r="BG16" s="1035">
        <f t="shared" ca="1" si="3"/>
        <v>18027.100000000002</v>
      </c>
      <c r="BH16" s="1032"/>
      <c r="BI16" s="1032"/>
      <c r="BJ16" s="1035">
        <f t="shared" ca="1" si="4"/>
        <v>17069.3</v>
      </c>
      <c r="BK16" s="1032"/>
      <c r="BL16" s="1032"/>
      <c r="BM16" s="1035">
        <f t="shared" ca="1" si="5"/>
        <v>1634.95</v>
      </c>
      <c r="BN16" s="1032"/>
      <c r="BO16" s="1032"/>
      <c r="BP16" s="1035">
        <f t="shared" ca="1" si="6"/>
        <v>0</v>
      </c>
      <c r="BQ16" s="2373"/>
      <c r="BR16" s="2373"/>
      <c r="BS16" s="1035">
        <f t="shared" ca="1" si="7"/>
        <v>0</v>
      </c>
      <c r="BT16" s="2373"/>
      <c r="BU16" s="2373"/>
      <c r="BV16" s="1035">
        <f t="shared" ca="1" si="8"/>
        <v>0</v>
      </c>
      <c r="BW16" s="2373"/>
      <c r="BX16" s="2373"/>
      <c r="BY16" s="1035">
        <f t="shared" ca="1" si="9"/>
        <v>0</v>
      </c>
      <c r="BZ16" s="2373"/>
      <c r="CA16" s="2373"/>
      <c r="CB16" s="1035">
        <f t="shared" ca="1" si="10"/>
        <v>0</v>
      </c>
      <c r="CC16" s="2373"/>
      <c r="CD16" s="1032"/>
      <c r="CE16" s="1035">
        <f t="shared" ca="1" si="11"/>
        <v>36731.35</v>
      </c>
    </row>
    <row r="17" spans="1:83" ht="15.75" x14ac:dyDescent="0.25">
      <c r="A17" s="961"/>
      <c r="B17" s="1029" t="str">
        <f>+'Detail Summary'!G222</f>
        <v>Materials ( Eversource purchased)</v>
      </c>
      <c r="C17" s="961"/>
      <c r="D17" s="1010"/>
      <c r="E17" s="1011">
        <f ca="1">+'Detail Summary'!CK222-SUM(E18:E22)</f>
        <v>3552358</v>
      </c>
      <c r="F17" s="961"/>
      <c r="G17" s="2425">
        <v>0</v>
      </c>
      <c r="H17" s="2425">
        <v>0</v>
      </c>
      <c r="I17" s="2425">
        <v>0</v>
      </c>
      <c r="J17" s="1030">
        <f t="shared" ref="J17:J33" si="13">SUM(G17:I17)</f>
        <v>0</v>
      </c>
      <c r="K17" s="1011">
        <f t="shared" ca="1" si="12"/>
        <v>0</v>
      </c>
      <c r="L17" s="2428"/>
      <c r="M17" s="960"/>
      <c r="N17" s="1035">
        <f>+'Detail Summary'!BD222</f>
        <v>2358</v>
      </c>
      <c r="O17" s="1035"/>
      <c r="P17" s="1035"/>
      <c r="Q17" s="1035">
        <f ca="1">+'Detail Summary'!BG222-SUM(Q18:Q22)</f>
        <v>0</v>
      </c>
      <c r="R17" s="1032"/>
      <c r="S17" s="1032"/>
      <c r="T17" s="1035">
        <f ca="1">+'Detail Summary'!BJ222-SUM(T18:T22)</f>
        <v>0</v>
      </c>
      <c r="U17" s="1032"/>
      <c r="V17" s="1032"/>
      <c r="W17" s="1035">
        <f ca="1">+'Detail Summary'!BM222-SUM(W18:W22)</f>
        <v>1775948.5488345297</v>
      </c>
      <c r="X17" s="1032"/>
      <c r="Y17" s="1032"/>
      <c r="Z17" s="1035">
        <f ca="1">+'Detail Summary'!BP222-SUM(Z18:Z22)</f>
        <v>1775948.5488345297</v>
      </c>
      <c r="AA17" s="1032"/>
      <c r="AB17" s="1032"/>
      <c r="AC17" s="1035">
        <f ca="1">+'Detail Summary'!BS222-SUM(AC18:AC22)</f>
        <v>0</v>
      </c>
      <c r="AD17" s="1032"/>
      <c r="AE17" s="1032"/>
      <c r="AF17" s="1035">
        <f ca="1">+'Detail Summary'!BV222-SUM(AF18:AF22)</f>
        <v>0</v>
      </c>
      <c r="AG17" s="1447"/>
      <c r="AH17" s="1451"/>
      <c r="AI17" s="1035">
        <f ca="1">+'Detail Summary'!BY222-SUM(AI18:AI22)</f>
        <v>0</v>
      </c>
      <c r="AJ17" s="1451"/>
      <c r="AK17" s="1451"/>
      <c r="AL17" s="1035">
        <f ca="1">+'Detail Summary'!CB222-SUM(AL18:AL22)</f>
        <v>0</v>
      </c>
      <c r="AM17" s="1451"/>
      <c r="AN17" s="1451"/>
      <c r="AO17" s="1035">
        <f ca="1">+'Detail Summary'!CE222-SUM(AO18:AO22)</f>
        <v>0</v>
      </c>
      <c r="AP17" s="1451"/>
      <c r="AQ17" s="1451"/>
      <c r="AR17" s="1035">
        <f ca="1">+'Detail Summary'!CH222-SUM(AR18:AR22)</f>
        <v>0</v>
      </c>
      <c r="AS17" s="1451"/>
      <c r="AT17" s="1451"/>
      <c r="AU17" s="1035">
        <f ca="1">+'Detail Summary'!CK222</f>
        <v>18174046</v>
      </c>
      <c r="AV17" s="1032"/>
      <c r="AW17" s="1090" t="str">
        <f>+'Data Input sheet'!$D$110</f>
        <v>N</v>
      </c>
      <c r="AX17" s="1035">
        <f t="shared" si="0"/>
        <v>0</v>
      </c>
      <c r="AY17" s="1032"/>
      <c r="AZ17" s="1032"/>
      <c r="BA17" s="1035">
        <f t="shared" ca="1" si="1"/>
        <v>0</v>
      </c>
      <c r="BB17" s="1032"/>
      <c r="BC17" s="1032"/>
      <c r="BD17" s="1035">
        <f t="shared" ca="1" si="2"/>
        <v>0</v>
      </c>
      <c r="BE17" s="1032"/>
      <c r="BF17" s="1032"/>
      <c r="BG17" s="1035">
        <f t="shared" ca="1" si="3"/>
        <v>0</v>
      </c>
      <c r="BH17" s="1032"/>
      <c r="BI17" s="1032"/>
      <c r="BJ17" s="1035">
        <f t="shared" ca="1" si="4"/>
        <v>0</v>
      </c>
      <c r="BK17" s="1032"/>
      <c r="BL17" s="1032"/>
      <c r="BM17" s="1035">
        <f t="shared" ca="1" si="5"/>
        <v>0</v>
      </c>
      <c r="BN17" s="1032"/>
      <c r="BO17" s="1032"/>
      <c r="BP17" s="1035">
        <f t="shared" ca="1" si="6"/>
        <v>0</v>
      </c>
      <c r="BQ17" s="2373"/>
      <c r="BR17" s="2373"/>
      <c r="BS17" s="1035">
        <f t="shared" ca="1" si="7"/>
        <v>0</v>
      </c>
      <c r="BT17" s="2373"/>
      <c r="BU17" s="2373"/>
      <c r="BV17" s="1035">
        <f t="shared" ca="1" si="8"/>
        <v>0</v>
      </c>
      <c r="BW17" s="2373"/>
      <c r="BX17" s="2373"/>
      <c r="BY17" s="1035">
        <f t="shared" ca="1" si="9"/>
        <v>0</v>
      </c>
      <c r="BZ17" s="2373"/>
      <c r="CA17" s="2373"/>
      <c r="CB17" s="1035">
        <f t="shared" ca="1" si="10"/>
        <v>0</v>
      </c>
      <c r="CC17" s="2373"/>
      <c r="CD17" s="1032"/>
      <c r="CE17" s="1035">
        <f ca="1">SUM(AX17:CB17)</f>
        <v>0</v>
      </c>
    </row>
    <row r="18" spans="1:83" ht="15" x14ac:dyDescent="0.25">
      <c r="A18" s="961"/>
      <c r="B18" s="1029"/>
      <c r="C18" s="2069" t="str">
        <f>+'Summary-Scope'!C157</f>
        <v>50-59</v>
      </c>
      <c r="D18" s="2070" t="s">
        <v>1890</v>
      </c>
      <c r="E18" s="1456">
        <f>+'Summary-Scope'!G157</f>
        <v>14621688</v>
      </c>
      <c r="F18" s="961"/>
      <c r="G18" s="2425">
        <v>0.05</v>
      </c>
      <c r="H18" s="2425">
        <v>0.05</v>
      </c>
      <c r="I18" s="2425">
        <v>0</v>
      </c>
      <c r="J18" s="1030">
        <f t="shared" si="13"/>
        <v>0.1</v>
      </c>
      <c r="K18" s="1011">
        <f t="shared" ca="1" si="12"/>
        <v>1461979.0902330941</v>
      </c>
      <c r="L18" s="2428"/>
      <c r="M18" s="960"/>
      <c r="N18" s="1035"/>
      <c r="O18" s="1035"/>
      <c r="P18" s="1035"/>
      <c r="Q18" s="1035">
        <f ca="1">IFERROR(('Detail Summary'!BG$222/'Detail Summary'!$CK$222)*$E18,0)</f>
        <v>0</v>
      </c>
      <c r="R18" s="1032"/>
      <c r="S18" s="1032"/>
      <c r="T18" s="1035">
        <f ca="1">IFERROR(('Detail Summary'!BJ$222/'Detail Summary'!$CK$222)*$E18,0)</f>
        <v>0</v>
      </c>
      <c r="U18" s="1032"/>
      <c r="V18" s="1032"/>
      <c r="W18" s="1035">
        <f ca="1">IFERROR(('Detail Summary'!BM$222/'Detail Summary'!$CK$222)*$E18,0)</f>
        <v>7309895.4511654703</v>
      </c>
      <c r="X18" s="1032"/>
      <c r="Y18" s="1032"/>
      <c r="Z18" s="1035">
        <f ca="1">IFERROR(('Detail Summary'!BP$222/'Detail Summary'!$CK$222)*$E18,0)</f>
        <v>7309895.4511654703</v>
      </c>
      <c r="AA18" s="1032"/>
      <c r="AB18" s="1032"/>
      <c r="AC18" s="1035">
        <f ca="1">IFERROR(('Detail Summary'!BS$222/'Detail Summary'!$CK$222)*$E18,0)</f>
        <v>0</v>
      </c>
      <c r="AD18" s="1032"/>
      <c r="AE18" s="1032"/>
      <c r="AF18" s="1035">
        <f ca="1">IFERROR(('Detail Summary'!BV$222/'Detail Summary'!$CK$222)*$E18,0)</f>
        <v>0</v>
      </c>
      <c r="AG18" s="1447"/>
      <c r="AH18" s="1451"/>
      <c r="AI18" s="1035">
        <f ca="1">IFERROR(('Detail Summary'!BY$222/'Detail Summary'!$CK$222)*$E18,0)</f>
        <v>0</v>
      </c>
      <c r="AJ18" s="1451"/>
      <c r="AK18" s="1451"/>
      <c r="AL18" s="1035">
        <f ca="1">IFERROR(('Detail Summary'!CB$222/'Detail Summary'!$CK$222)*$E18,0)</f>
        <v>0</v>
      </c>
      <c r="AM18" s="1451"/>
      <c r="AN18" s="1451"/>
      <c r="AO18" s="1035">
        <f ca="1">IFERROR(('Detail Summary'!CE$222/'Detail Summary'!$CK$222)*$E18,0)</f>
        <v>0</v>
      </c>
      <c r="AP18" s="1451"/>
      <c r="AQ18" s="1451"/>
      <c r="AR18" s="1035">
        <f ca="1">IFERROR(('Detail Summary'!CH$222/'Detail Summary'!$CK$222)*$E18,0)</f>
        <v>0</v>
      </c>
      <c r="AS18" s="1451"/>
      <c r="AT18" s="1451"/>
      <c r="AU18" s="1035">
        <f ca="1">SUM(Q18:AF18)</f>
        <v>14619790.902330941</v>
      </c>
      <c r="AV18" s="1032"/>
      <c r="AW18" s="1090" t="str">
        <f>+'Data Input sheet'!$D$110</f>
        <v>N</v>
      </c>
      <c r="AX18" s="1035">
        <f t="shared" si="0"/>
        <v>0</v>
      </c>
      <c r="AY18" s="1032"/>
      <c r="AZ18" s="1032"/>
      <c r="BA18" s="1035">
        <f t="shared" ca="1" si="1"/>
        <v>0</v>
      </c>
      <c r="BB18" s="1032"/>
      <c r="BC18" s="1032"/>
      <c r="BD18" s="1035">
        <f t="shared" ca="1" si="2"/>
        <v>0</v>
      </c>
      <c r="BE18" s="1032"/>
      <c r="BF18" s="1032"/>
      <c r="BG18" s="1035">
        <f t="shared" ca="1" si="3"/>
        <v>730989.54511654703</v>
      </c>
      <c r="BH18" s="1032"/>
      <c r="BI18" s="1032"/>
      <c r="BJ18" s="1035">
        <f t="shared" ca="1" si="4"/>
        <v>730989.54511654703</v>
      </c>
      <c r="BK18" s="1032"/>
      <c r="BL18" s="1032"/>
      <c r="BM18" s="1035">
        <f t="shared" ca="1" si="5"/>
        <v>0</v>
      </c>
      <c r="BN18" s="1032"/>
      <c r="BO18" s="1032"/>
      <c r="BP18" s="1035">
        <f t="shared" ca="1" si="6"/>
        <v>0</v>
      </c>
      <c r="BQ18" s="2373"/>
      <c r="BR18" s="2373"/>
      <c r="BS18" s="1035">
        <f t="shared" ca="1" si="7"/>
        <v>0</v>
      </c>
      <c r="BT18" s="2373"/>
      <c r="BU18" s="2373"/>
      <c r="BV18" s="1035">
        <f t="shared" ca="1" si="8"/>
        <v>0</v>
      </c>
      <c r="BW18" s="2373"/>
      <c r="BX18" s="2373"/>
      <c r="BY18" s="1035">
        <f t="shared" ca="1" si="9"/>
        <v>0</v>
      </c>
      <c r="BZ18" s="2373"/>
      <c r="CA18" s="2373"/>
      <c r="CB18" s="1035">
        <f t="shared" ca="1" si="10"/>
        <v>0</v>
      </c>
      <c r="CC18" s="2373"/>
      <c r="CD18" s="1032"/>
      <c r="CE18" s="1035">
        <f t="shared" ref="CE18:CE30" ca="1" si="14">SUM(AX18:CB18)</f>
        <v>1461979.0902330941</v>
      </c>
    </row>
    <row r="19" spans="1:83" ht="15" x14ac:dyDescent="0.25">
      <c r="A19" s="961"/>
      <c r="B19" s="1029"/>
      <c r="C19" s="1088" t="str">
        <f>+'Summary-Scope'!C158</f>
        <v>60-69</v>
      </c>
      <c r="D19" s="2070" t="s">
        <v>1887</v>
      </c>
      <c r="E19" s="2426">
        <f>+'Summary-Scope'!G158</f>
        <v>0</v>
      </c>
      <c r="F19" s="961"/>
      <c r="G19" s="2425">
        <v>0</v>
      </c>
      <c r="H19" s="2425">
        <v>0</v>
      </c>
      <c r="I19" s="2425">
        <v>0</v>
      </c>
      <c r="J19" s="1030">
        <f>SUM(G19:I19)</f>
        <v>0</v>
      </c>
      <c r="K19" s="1011">
        <f t="shared" ca="1" si="12"/>
        <v>0</v>
      </c>
      <c r="L19" s="2428"/>
      <c r="M19" s="960"/>
      <c r="N19" s="1035"/>
      <c r="O19" s="1035"/>
      <c r="P19" s="1035"/>
      <c r="Q19" s="1035">
        <f ca="1">IFERROR(('Detail Summary'!BG$222/'Detail Summary'!$CK$222)*$E19,0)</f>
        <v>0</v>
      </c>
      <c r="R19" s="1032"/>
      <c r="S19" s="1032"/>
      <c r="T19" s="1035">
        <f ca="1">IFERROR(('Detail Summary'!BJ$222/'Detail Summary'!$CK$222)*$E19,0)</f>
        <v>0</v>
      </c>
      <c r="U19" s="1032"/>
      <c r="V19" s="1032"/>
      <c r="W19" s="1035">
        <f ca="1">IFERROR(('Detail Summary'!BM$222/'Detail Summary'!$CK$222)*$E19,0)</f>
        <v>0</v>
      </c>
      <c r="X19" s="1032"/>
      <c r="Y19" s="1032"/>
      <c r="Z19" s="1035">
        <f ca="1">IFERROR(('Detail Summary'!BP$222/'Detail Summary'!$CK$222)*$E19,0)</f>
        <v>0</v>
      </c>
      <c r="AA19" s="1032"/>
      <c r="AB19" s="1032"/>
      <c r="AC19" s="1035">
        <f ca="1">IFERROR(('Detail Summary'!BS$222/'Detail Summary'!$CK$222)*$E19,0)</f>
        <v>0</v>
      </c>
      <c r="AD19" s="1032"/>
      <c r="AE19" s="1032"/>
      <c r="AF19" s="1035">
        <f ca="1">IFERROR(('Detail Summary'!BV$222/'Detail Summary'!$CK$222)*$E19,0)</f>
        <v>0</v>
      </c>
      <c r="AG19" s="1447"/>
      <c r="AH19" s="1451"/>
      <c r="AI19" s="1035">
        <f ca="1">IFERROR(('Detail Summary'!BY$222/'Detail Summary'!$CK$222)*$E19,0)</f>
        <v>0</v>
      </c>
      <c r="AJ19" s="1451"/>
      <c r="AK19" s="1451"/>
      <c r="AL19" s="1035">
        <f ca="1">IFERROR(('Detail Summary'!CB$222/'Detail Summary'!$CK$222)*$E19,0)</f>
        <v>0</v>
      </c>
      <c r="AM19" s="1451"/>
      <c r="AN19" s="1451"/>
      <c r="AO19" s="1035">
        <f ca="1">IFERROR(('Detail Summary'!CE$222/'Detail Summary'!$CK$222)*$E19,0)</f>
        <v>0</v>
      </c>
      <c r="AP19" s="1451"/>
      <c r="AQ19" s="1451"/>
      <c r="AR19" s="1035">
        <f ca="1">IFERROR(('Detail Summary'!CH$222/'Detail Summary'!$CK$222)*$E19,0)</f>
        <v>0</v>
      </c>
      <c r="AS19" s="1451"/>
      <c r="AT19" s="1451"/>
      <c r="AU19" s="1035">
        <f ca="1">SUM(Q19:AF19)</f>
        <v>0</v>
      </c>
      <c r="AV19" s="1032"/>
      <c r="AW19" s="1090" t="str">
        <f>+'Data Input sheet'!$D$110</f>
        <v>N</v>
      </c>
      <c r="AX19" s="1035">
        <f t="shared" si="0"/>
        <v>0</v>
      </c>
      <c r="AY19" s="1032"/>
      <c r="AZ19" s="1032"/>
      <c r="BA19" s="1035">
        <f t="shared" ca="1" si="1"/>
        <v>0</v>
      </c>
      <c r="BB19" s="1032"/>
      <c r="BC19" s="1032"/>
      <c r="BD19" s="1035">
        <f t="shared" ca="1" si="2"/>
        <v>0</v>
      </c>
      <c r="BE19" s="1032"/>
      <c r="BF19" s="1032"/>
      <c r="BG19" s="1035">
        <f t="shared" ca="1" si="3"/>
        <v>0</v>
      </c>
      <c r="BH19" s="1032"/>
      <c r="BI19" s="1032"/>
      <c r="BJ19" s="1035">
        <f t="shared" ca="1" si="4"/>
        <v>0</v>
      </c>
      <c r="BK19" s="1032"/>
      <c r="BL19" s="1032"/>
      <c r="BM19" s="1035">
        <f t="shared" ca="1" si="5"/>
        <v>0</v>
      </c>
      <c r="BN19" s="1032"/>
      <c r="BO19" s="1032"/>
      <c r="BP19" s="1035">
        <f t="shared" ca="1" si="6"/>
        <v>0</v>
      </c>
      <c r="BQ19" s="2373"/>
      <c r="BR19" s="2373"/>
      <c r="BS19" s="1035">
        <f t="shared" ca="1" si="7"/>
        <v>0</v>
      </c>
      <c r="BT19" s="2373"/>
      <c r="BU19" s="2373"/>
      <c r="BV19" s="1035">
        <f t="shared" ca="1" si="8"/>
        <v>0</v>
      </c>
      <c r="BW19" s="2373"/>
      <c r="BX19" s="2373"/>
      <c r="BY19" s="1035">
        <f t="shared" ca="1" si="9"/>
        <v>0</v>
      </c>
      <c r="BZ19" s="2373"/>
      <c r="CA19" s="2373"/>
      <c r="CB19" s="1035">
        <f t="shared" ca="1" si="10"/>
        <v>0</v>
      </c>
      <c r="CC19" s="2373"/>
      <c r="CD19" s="1032"/>
      <c r="CE19" s="1035">
        <f t="shared" ca="1" si="14"/>
        <v>0</v>
      </c>
    </row>
    <row r="20" spans="1:83" ht="15" customHeight="1" x14ac:dyDescent="0.25">
      <c r="A20" s="961"/>
      <c r="B20" s="1029"/>
      <c r="C20" s="1088" t="str">
        <f>+'Summary-Scope'!C159</f>
        <v>70-79</v>
      </c>
      <c r="D20" s="2070" t="s">
        <v>1888</v>
      </c>
      <c r="E20" s="2426">
        <f>+'Summary-Scope'!G159</f>
        <v>0</v>
      </c>
      <c r="F20" s="961"/>
      <c r="G20" s="2425">
        <v>0</v>
      </c>
      <c r="H20" s="2425">
        <v>0</v>
      </c>
      <c r="I20" s="2425">
        <v>0</v>
      </c>
      <c r="J20" s="1030">
        <f>SUM(G20:I20)</f>
        <v>0</v>
      </c>
      <c r="K20" s="1011">
        <f t="shared" ca="1" si="12"/>
        <v>0</v>
      </c>
      <c r="L20" s="2428"/>
      <c r="M20" s="960"/>
      <c r="N20" s="1035"/>
      <c r="O20" s="1035"/>
      <c r="P20" s="1035"/>
      <c r="Q20" s="1035">
        <f ca="1">IFERROR(('Detail Summary'!BG$222/'Detail Summary'!$CK$222)*$E20,0)</f>
        <v>0</v>
      </c>
      <c r="R20" s="1032"/>
      <c r="S20" s="1032"/>
      <c r="T20" s="1035">
        <f ca="1">IFERROR(('Detail Summary'!BJ$222/'Detail Summary'!$CK$222)*$E20,0)</f>
        <v>0</v>
      </c>
      <c r="U20" s="1032"/>
      <c r="V20" s="1032"/>
      <c r="W20" s="1035">
        <f ca="1">IFERROR(('Detail Summary'!BM$222/'Detail Summary'!$CK$222)*$E20,0)</f>
        <v>0</v>
      </c>
      <c r="X20" s="1032"/>
      <c r="Y20" s="1032"/>
      <c r="Z20" s="1035">
        <f ca="1">IFERROR(('Detail Summary'!BP$222/'Detail Summary'!$CK$222)*$E20,0)</f>
        <v>0</v>
      </c>
      <c r="AA20" s="1032"/>
      <c r="AB20" s="1032"/>
      <c r="AC20" s="1035">
        <f ca="1">IFERROR(('Detail Summary'!BS$222/'Detail Summary'!$CK$222)*$E20,0)</f>
        <v>0</v>
      </c>
      <c r="AD20" s="1032"/>
      <c r="AE20" s="1032"/>
      <c r="AF20" s="1035">
        <f ca="1">IFERROR(('Detail Summary'!BV$222/'Detail Summary'!$CK$222)*$E20,0)</f>
        <v>0</v>
      </c>
      <c r="AG20" s="1447"/>
      <c r="AH20" s="1451"/>
      <c r="AI20" s="1035">
        <f ca="1">IFERROR(('Detail Summary'!BY$222/'Detail Summary'!$CK$222)*$E20,0)</f>
        <v>0</v>
      </c>
      <c r="AJ20" s="1451"/>
      <c r="AK20" s="1451"/>
      <c r="AL20" s="1035">
        <f ca="1">IFERROR(('Detail Summary'!CB$222/'Detail Summary'!$CK$222)*$E20,0)</f>
        <v>0</v>
      </c>
      <c r="AM20" s="1451"/>
      <c r="AN20" s="1451"/>
      <c r="AO20" s="1035">
        <f ca="1">IFERROR(('Detail Summary'!CE$222/'Detail Summary'!$CK$222)*$E20,0)</f>
        <v>0</v>
      </c>
      <c r="AP20" s="1451"/>
      <c r="AQ20" s="1451"/>
      <c r="AR20" s="1035">
        <f ca="1">IFERROR(('Detail Summary'!CH$222/'Detail Summary'!$CK$222)*$E20,0)</f>
        <v>0</v>
      </c>
      <c r="AS20" s="1451"/>
      <c r="AT20" s="1451"/>
      <c r="AU20" s="1035">
        <f ca="1">SUM(Q20:AF20)</f>
        <v>0</v>
      </c>
      <c r="AV20" s="1032"/>
      <c r="AW20" s="1090" t="str">
        <f>+'Data Input sheet'!$D$110</f>
        <v>N</v>
      </c>
      <c r="AX20" s="1035">
        <f t="shared" si="0"/>
        <v>0</v>
      </c>
      <c r="AY20" s="1032"/>
      <c r="AZ20" s="1032"/>
      <c r="BA20" s="1035">
        <f t="shared" ca="1" si="1"/>
        <v>0</v>
      </c>
      <c r="BB20" s="1032"/>
      <c r="BC20" s="1032"/>
      <c r="BD20" s="1035">
        <f t="shared" ca="1" si="2"/>
        <v>0</v>
      </c>
      <c r="BE20" s="1032"/>
      <c r="BF20" s="1032"/>
      <c r="BG20" s="1035">
        <f t="shared" ca="1" si="3"/>
        <v>0</v>
      </c>
      <c r="BH20" s="1032"/>
      <c r="BI20" s="1032"/>
      <c r="BJ20" s="1035">
        <f t="shared" ca="1" si="4"/>
        <v>0</v>
      </c>
      <c r="BK20" s="1032"/>
      <c r="BL20" s="1032"/>
      <c r="BM20" s="1035">
        <f t="shared" ca="1" si="5"/>
        <v>0</v>
      </c>
      <c r="BN20" s="1032"/>
      <c r="BO20" s="1032"/>
      <c r="BP20" s="1035">
        <f t="shared" ca="1" si="6"/>
        <v>0</v>
      </c>
      <c r="BQ20" s="2373"/>
      <c r="BR20" s="2373"/>
      <c r="BS20" s="1035">
        <f t="shared" ca="1" si="7"/>
        <v>0</v>
      </c>
      <c r="BT20" s="2373"/>
      <c r="BU20" s="2373"/>
      <c r="BV20" s="1035">
        <f t="shared" ca="1" si="8"/>
        <v>0</v>
      </c>
      <c r="BW20" s="2373"/>
      <c r="BX20" s="2373"/>
      <c r="BY20" s="1035">
        <f t="shared" ca="1" si="9"/>
        <v>0</v>
      </c>
      <c r="BZ20" s="2373"/>
      <c r="CA20" s="2373"/>
      <c r="CB20" s="1035">
        <f t="shared" ca="1" si="10"/>
        <v>0</v>
      </c>
      <c r="CC20" s="2373"/>
      <c r="CD20" s="1032"/>
      <c r="CE20" s="1035">
        <f t="shared" ca="1" si="14"/>
        <v>0</v>
      </c>
    </row>
    <row r="21" spans="1:83" ht="15" customHeight="1" x14ac:dyDescent="0.25">
      <c r="A21" s="961"/>
      <c r="B21" s="1029"/>
      <c r="C21" s="2069" t="str">
        <f>+'Summary-Scope'!C160</f>
        <v>80-89</v>
      </c>
      <c r="D21" s="2070" t="s">
        <v>1889</v>
      </c>
      <c r="E21" s="2426">
        <f>+'Summary-Scope'!G160</f>
        <v>0</v>
      </c>
      <c r="F21" s="961"/>
      <c r="G21" s="2425">
        <v>0</v>
      </c>
      <c r="H21" s="2425">
        <v>0</v>
      </c>
      <c r="I21" s="2425">
        <v>0</v>
      </c>
      <c r="J21" s="1030">
        <f>SUM(G21:I21)</f>
        <v>0</v>
      </c>
      <c r="K21" s="1011">
        <f t="shared" ca="1" si="12"/>
        <v>0</v>
      </c>
      <c r="L21" s="2428"/>
      <c r="M21" s="960"/>
      <c r="N21" s="1035"/>
      <c r="O21" s="1035"/>
      <c r="P21" s="1035"/>
      <c r="Q21" s="1035">
        <f ca="1">IFERROR(('Detail Summary'!BG$222/'Detail Summary'!$CK$222)*$E21,0)</f>
        <v>0</v>
      </c>
      <c r="R21" s="1032"/>
      <c r="S21" s="1032"/>
      <c r="T21" s="1035">
        <f ca="1">IFERROR(('Detail Summary'!BJ$222/'Detail Summary'!$CK$222)*$E21,0)</f>
        <v>0</v>
      </c>
      <c r="U21" s="1032"/>
      <c r="V21" s="1032"/>
      <c r="W21" s="1035">
        <f ca="1">IFERROR(('Detail Summary'!BM$222/'Detail Summary'!$CK$222)*$E21,0)</f>
        <v>0</v>
      </c>
      <c r="X21" s="1032"/>
      <c r="Y21" s="1032"/>
      <c r="Z21" s="1035">
        <f ca="1">IFERROR(('Detail Summary'!BP$222/'Detail Summary'!$CK$222)*$E21,0)</f>
        <v>0</v>
      </c>
      <c r="AA21" s="1032"/>
      <c r="AB21" s="1032"/>
      <c r="AC21" s="1035">
        <f ca="1">IFERROR(('Detail Summary'!BS$222/'Detail Summary'!$CK$222)*$E21,0)</f>
        <v>0</v>
      </c>
      <c r="AD21" s="1032"/>
      <c r="AE21" s="1032"/>
      <c r="AF21" s="1035">
        <f ca="1">IFERROR(('Detail Summary'!BV$222/'Detail Summary'!$CK$222)*$E21,0)</f>
        <v>0</v>
      </c>
      <c r="AG21" s="1447"/>
      <c r="AH21" s="1451"/>
      <c r="AI21" s="1035">
        <f ca="1">IFERROR(('Detail Summary'!BY$222/'Detail Summary'!$CK$222)*$E21,0)</f>
        <v>0</v>
      </c>
      <c r="AJ21" s="1451"/>
      <c r="AK21" s="1451"/>
      <c r="AL21" s="1035">
        <f ca="1">IFERROR(('Detail Summary'!CB$222/'Detail Summary'!$CK$222)*$E21,0)</f>
        <v>0</v>
      </c>
      <c r="AM21" s="1451"/>
      <c r="AN21" s="1451"/>
      <c r="AO21" s="1035">
        <f ca="1">IFERROR(('Detail Summary'!CE$222/'Detail Summary'!$CK$222)*$E21,0)</f>
        <v>0</v>
      </c>
      <c r="AP21" s="1451"/>
      <c r="AQ21" s="1451"/>
      <c r="AR21" s="1035">
        <f ca="1">IFERROR(('Detail Summary'!CH$222/'Detail Summary'!$CK$222)*$E21,0)</f>
        <v>0</v>
      </c>
      <c r="AS21" s="1451"/>
      <c r="AT21" s="1451"/>
      <c r="AU21" s="1035">
        <f t="shared" ref="AU21:AU22" ca="1" si="15">SUM(Q21:AF21)</f>
        <v>0</v>
      </c>
      <c r="AV21" s="1032"/>
      <c r="AW21" s="1090" t="str">
        <f>+'Data Input sheet'!$D$110</f>
        <v>N</v>
      </c>
      <c r="AX21" s="1035">
        <f t="shared" ref="AX21:AX22" si="16">IF(AW21="N",0,+$J21*N21)</f>
        <v>0</v>
      </c>
      <c r="AY21" s="1032"/>
      <c r="AZ21" s="1032"/>
      <c r="BA21" s="1035">
        <f t="shared" ref="BA21:BA22" ca="1" si="17">+$J21*Q21</f>
        <v>0</v>
      </c>
      <c r="BB21" s="1032"/>
      <c r="BC21" s="1032"/>
      <c r="BD21" s="1035">
        <f t="shared" ref="BD21:BD22" ca="1" si="18">+$J21*T21</f>
        <v>0</v>
      </c>
      <c r="BE21" s="1032"/>
      <c r="BF21" s="1032"/>
      <c r="BG21" s="1035">
        <f t="shared" ref="BG21:BG22" ca="1" si="19">+$J21*W21</f>
        <v>0</v>
      </c>
      <c r="BH21" s="1032"/>
      <c r="BI21" s="1032"/>
      <c r="BJ21" s="1035">
        <f t="shared" ref="BJ21:BJ22" ca="1" si="20">+$J21*Z21</f>
        <v>0</v>
      </c>
      <c r="BK21" s="1032"/>
      <c r="BL21" s="1032"/>
      <c r="BM21" s="1035">
        <f t="shared" ref="BM21:BM22" ca="1" si="21">+$J21*AC21</f>
        <v>0</v>
      </c>
      <c r="BN21" s="1032"/>
      <c r="BO21" s="1032"/>
      <c r="BP21" s="1035">
        <f t="shared" ref="BP21:BP22" ca="1" si="22">+$J21*AF21</f>
        <v>0</v>
      </c>
      <c r="BQ21" s="2373"/>
      <c r="BR21" s="2373"/>
      <c r="BS21" s="1035">
        <f t="shared" ref="BS21:BS22" ca="1" si="23">+$J21*AI21</f>
        <v>0</v>
      </c>
      <c r="BT21" s="2373"/>
      <c r="BU21" s="2373"/>
      <c r="BV21" s="1035">
        <f t="shared" ref="BV21:BV22" ca="1" si="24">+$J21*AL21</f>
        <v>0</v>
      </c>
      <c r="BW21" s="2373"/>
      <c r="BX21" s="2373"/>
      <c r="BY21" s="1035">
        <f t="shared" ref="BY21:BY22" ca="1" si="25">+$J21*AO21</f>
        <v>0</v>
      </c>
      <c r="BZ21" s="2373"/>
      <c r="CA21" s="2373"/>
      <c r="CB21" s="1035">
        <f t="shared" ref="CB21:CB22" ca="1" si="26">+$J21*AR21</f>
        <v>0</v>
      </c>
      <c r="CC21" s="2373"/>
      <c r="CD21" s="1032"/>
      <c r="CE21" s="1035">
        <f t="shared" ref="CE21:CE22" ca="1" si="27">SUM(AX21:CB21)</f>
        <v>0</v>
      </c>
    </row>
    <row r="22" spans="1:83" ht="15" customHeight="1" x14ac:dyDescent="0.25">
      <c r="A22" s="961"/>
      <c r="B22" s="1029"/>
      <c r="C22" s="1088"/>
      <c r="D22" s="1010"/>
      <c r="E22" s="2426">
        <v>0</v>
      </c>
      <c r="F22" s="961"/>
      <c r="G22" s="2425">
        <v>0</v>
      </c>
      <c r="H22" s="2425">
        <v>0</v>
      </c>
      <c r="I22" s="2425">
        <v>0</v>
      </c>
      <c r="J22" s="1030">
        <f>SUM(G22:I22)</f>
        <v>0</v>
      </c>
      <c r="K22" s="1011">
        <f t="shared" ca="1" si="12"/>
        <v>0</v>
      </c>
      <c r="L22" s="2428"/>
      <c r="M22" s="960"/>
      <c r="N22" s="1035"/>
      <c r="O22" s="1035"/>
      <c r="P22" s="1035"/>
      <c r="Q22" s="1035">
        <f ca="1">IFERROR(('Detail Summary'!BG$222/'Detail Summary'!$CK$222)*$E22,0)</f>
        <v>0</v>
      </c>
      <c r="R22" s="1032"/>
      <c r="S22" s="1032"/>
      <c r="T22" s="1035">
        <f ca="1">IFERROR(('Detail Summary'!BJ$222/'Detail Summary'!$CK$222)*$E22,0)</f>
        <v>0</v>
      </c>
      <c r="U22" s="1032"/>
      <c r="V22" s="1032"/>
      <c r="W22" s="1035">
        <f ca="1">IFERROR(('Detail Summary'!BM$222/'Detail Summary'!$CK$222)*$E22,0)</f>
        <v>0</v>
      </c>
      <c r="X22" s="1032"/>
      <c r="Y22" s="1032"/>
      <c r="Z22" s="1035">
        <f ca="1">IFERROR(('Detail Summary'!BP$222/'Detail Summary'!$CK$222)*$E22,0)</f>
        <v>0</v>
      </c>
      <c r="AA22" s="1032"/>
      <c r="AB22" s="1032"/>
      <c r="AC22" s="1035">
        <f ca="1">IFERROR(('Detail Summary'!BS$222/'Detail Summary'!$CK$222)*$E22,0)</f>
        <v>0</v>
      </c>
      <c r="AD22" s="1032"/>
      <c r="AE22" s="1032"/>
      <c r="AF22" s="1035">
        <f ca="1">IFERROR(('Detail Summary'!BV$222/'Detail Summary'!$CK$222)*$E22,0)</f>
        <v>0</v>
      </c>
      <c r="AG22" s="1447"/>
      <c r="AH22" s="1451"/>
      <c r="AI22" s="1035">
        <f ca="1">IFERROR(('Detail Summary'!BY$222/'Detail Summary'!$CK$222)*$E22,0)</f>
        <v>0</v>
      </c>
      <c r="AJ22" s="1451"/>
      <c r="AK22" s="1451"/>
      <c r="AL22" s="1035">
        <f ca="1">IFERROR(('Detail Summary'!CB$222/'Detail Summary'!$CK$222)*$E22,0)</f>
        <v>0</v>
      </c>
      <c r="AM22" s="1451"/>
      <c r="AN22" s="1451"/>
      <c r="AO22" s="1035">
        <f ca="1">IFERROR(('Detail Summary'!CE$222/'Detail Summary'!$CK$222)*$E22,0)</f>
        <v>0</v>
      </c>
      <c r="AP22" s="1451"/>
      <c r="AQ22" s="1451"/>
      <c r="AR22" s="1035">
        <f ca="1">IFERROR(('Detail Summary'!CH$222/'Detail Summary'!$CK$222)*$E22,0)</f>
        <v>0</v>
      </c>
      <c r="AS22" s="1451"/>
      <c r="AT22" s="1451"/>
      <c r="AU22" s="1035">
        <f t="shared" ca="1" si="15"/>
        <v>0</v>
      </c>
      <c r="AV22" s="1032"/>
      <c r="AW22" s="1090" t="str">
        <f>+'Data Input sheet'!$D$110</f>
        <v>N</v>
      </c>
      <c r="AX22" s="1035">
        <f t="shared" si="16"/>
        <v>0</v>
      </c>
      <c r="AY22" s="1032"/>
      <c r="AZ22" s="1032"/>
      <c r="BA22" s="1035">
        <f t="shared" ca="1" si="17"/>
        <v>0</v>
      </c>
      <c r="BB22" s="1032"/>
      <c r="BC22" s="1032"/>
      <c r="BD22" s="1035">
        <f t="shared" ca="1" si="18"/>
        <v>0</v>
      </c>
      <c r="BE22" s="1032"/>
      <c r="BF22" s="1032"/>
      <c r="BG22" s="1035">
        <f t="shared" ca="1" si="19"/>
        <v>0</v>
      </c>
      <c r="BH22" s="1032"/>
      <c r="BI22" s="1032"/>
      <c r="BJ22" s="1035">
        <f t="shared" ca="1" si="20"/>
        <v>0</v>
      </c>
      <c r="BK22" s="1032"/>
      <c r="BL22" s="1032"/>
      <c r="BM22" s="1035">
        <f t="shared" ca="1" si="21"/>
        <v>0</v>
      </c>
      <c r="BN22" s="1032"/>
      <c r="BO22" s="1032"/>
      <c r="BP22" s="1035">
        <f t="shared" ca="1" si="22"/>
        <v>0</v>
      </c>
      <c r="BQ22" s="2373"/>
      <c r="BR22" s="2373"/>
      <c r="BS22" s="1035">
        <f t="shared" ca="1" si="23"/>
        <v>0</v>
      </c>
      <c r="BT22" s="2373"/>
      <c r="BU22" s="2373"/>
      <c r="BV22" s="1035">
        <f t="shared" ca="1" si="24"/>
        <v>0</v>
      </c>
      <c r="BW22" s="2373"/>
      <c r="BX22" s="2373"/>
      <c r="BY22" s="1035">
        <f t="shared" ca="1" si="25"/>
        <v>0</v>
      </c>
      <c r="BZ22" s="2373"/>
      <c r="CA22" s="2373"/>
      <c r="CB22" s="1035">
        <f t="shared" ca="1" si="26"/>
        <v>0</v>
      </c>
      <c r="CC22" s="2373"/>
      <c r="CD22" s="1032"/>
      <c r="CE22" s="1035">
        <f t="shared" ca="1" si="27"/>
        <v>0</v>
      </c>
    </row>
    <row r="23" spans="1:83" ht="15.75" x14ac:dyDescent="0.25">
      <c r="A23" s="961"/>
      <c r="B23" s="1029" t="str">
        <f>+'Detail Summary'!G223</f>
        <v>Construction  ( incl materials by contractors)</v>
      </c>
      <c r="C23" s="961"/>
      <c r="D23" s="1010"/>
      <c r="E23" s="1011">
        <f ca="1">+'Detail Summary'!CK223</f>
        <v>4019632.25</v>
      </c>
      <c r="F23" s="961"/>
      <c r="G23" s="2425">
        <v>0.02</v>
      </c>
      <c r="H23" s="2425">
        <v>0.04</v>
      </c>
      <c r="I23" s="2425">
        <v>0</v>
      </c>
      <c r="J23" s="1030">
        <f t="shared" si="13"/>
        <v>0.06</v>
      </c>
      <c r="K23" s="1011">
        <f t="shared" ca="1" si="12"/>
        <v>240520.13999999998</v>
      </c>
      <c r="L23" s="2428"/>
      <c r="M23" s="960"/>
      <c r="N23" s="1035">
        <f>+'Detail Summary'!BD223</f>
        <v>10963.25</v>
      </c>
      <c r="O23" s="1035"/>
      <c r="P23" s="1035"/>
      <c r="Q23" s="1035">
        <f ca="1">+'Detail Summary'!BG223</f>
        <v>0</v>
      </c>
      <c r="R23" s="1032"/>
      <c r="S23" s="1032"/>
      <c r="T23" s="1035">
        <f ca="1">+'Detail Summary'!BJ223</f>
        <v>0</v>
      </c>
      <c r="U23" s="1032"/>
      <c r="V23" s="1032"/>
      <c r="W23" s="1035">
        <f ca="1">+'Detail Summary'!BM223</f>
        <v>750</v>
      </c>
      <c r="X23" s="1032"/>
      <c r="Y23" s="1032"/>
      <c r="Z23" s="1035">
        <f ca="1">+'Detail Summary'!BP223</f>
        <v>2463941</v>
      </c>
      <c r="AA23" s="1032"/>
      <c r="AB23" s="1032"/>
      <c r="AC23" s="1035">
        <f ca="1">+'Detail Summary'!BS223</f>
        <v>1543978</v>
      </c>
      <c r="AD23" s="1032"/>
      <c r="AE23" s="1032"/>
      <c r="AF23" s="1035">
        <f ca="1">+'Detail Summary'!BV223</f>
        <v>0</v>
      </c>
      <c r="AG23" s="1447"/>
      <c r="AH23" s="1451"/>
      <c r="AI23" s="1035">
        <f ca="1">+'Detail Summary'!BY223</f>
        <v>0</v>
      </c>
      <c r="AJ23" s="1451"/>
      <c r="AK23" s="1451"/>
      <c r="AL23" s="1035">
        <f ca="1">+'Detail Summary'!CB223</f>
        <v>0</v>
      </c>
      <c r="AM23" s="1451"/>
      <c r="AN23" s="1451"/>
      <c r="AO23" s="1035">
        <f ca="1">+'Detail Summary'!CE223</f>
        <v>0</v>
      </c>
      <c r="AP23" s="1451"/>
      <c r="AQ23" s="1451"/>
      <c r="AR23" s="1035">
        <f ca="1">+'Detail Summary'!CH223</f>
        <v>0</v>
      </c>
      <c r="AS23" s="1451"/>
      <c r="AT23" s="1451"/>
      <c r="AU23" s="1035">
        <f ca="1">+'Detail Summary'!CK223</f>
        <v>4019632.25</v>
      </c>
      <c r="AV23" s="1032"/>
      <c r="AW23" s="1090" t="str">
        <f>+'Data Input sheet'!$D$110</f>
        <v>N</v>
      </c>
      <c r="AX23" s="1035">
        <f t="shared" si="0"/>
        <v>0</v>
      </c>
      <c r="AY23" s="1032"/>
      <c r="AZ23" s="1032"/>
      <c r="BA23" s="1035">
        <f t="shared" ca="1" si="1"/>
        <v>0</v>
      </c>
      <c r="BB23" s="1032"/>
      <c r="BC23" s="1032"/>
      <c r="BD23" s="1035">
        <f t="shared" ca="1" si="2"/>
        <v>0</v>
      </c>
      <c r="BE23" s="1032"/>
      <c r="BF23" s="1032"/>
      <c r="BG23" s="1035">
        <f t="shared" ca="1" si="3"/>
        <v>45</v>
      </c>
      <c r="BH23" s="1032"/>
      <c r="BI23" s="1032"/>
      <c r="BJ23" s="1035">
        <f t="shared" ca="1" si="4"/>
        <v>147836.46</v>
      </c>
      <c r="BK23" s="1032"/>
      <c r="BL23" s="1032"/>
      <c r="BM23" s="1035">
        <f t="shared" ca="1" si="5"/>
        <v>92638.68</v>
      </c>
      <c r="BN23" s="1032"/>
      <c r="BO23" s="1032"/>
      <c r="BP23" s="1035">
        <f t="shared" ca="1" si="6"/>
        <v>0</v>
      </c>
      <c r="BQ23" s="2373"/>
      <c r="BR23" s="2373"/>
      <c r="BS23" s="1035">
        <f t="shared" ca="1" si="7"/>
        <v>0</v>
      </c>
      <c r="BT23" s="2373"/>
      <c r="BU23" s="2373"/>
      <c r="BV23" s="1035">
        <f t="shared" ca="1" si="8"/>
        <v>0</v>
      </c>
      <c r="BW23" s="2373"/>
      <c r="BX23" s="2373"/>
      <c r="BY23" s="1035">
        <f t="shared" ca="1" si="9"/>
        <v>0</v>
      </c>
      <c r="BZ23" s="2373"/>
      <c r="CA23" s="2373"/>
      <c r="CB23" s="1035">
        <f t="shared" ca="1" si="10"/>
        <v>0</v>
      </c>
      <c r="CC23" s="2373"/>
      <c r="CD23" s="1032"/>
      <c r="CE23" s="1035">
        <f t="shared" ca="1" si="14"/>
        <v>240520.13999999998</v>
      </c>
    </row>
    <row r="24" spans="1:83" ht="15.75" x14ac:dyDescent="0.25">
      <c r="A24" s="961"/>
      <c r="B24" s="1029" t="str">
        <f>+'Detail Summary'!G224</f>
        <v>Testing / Commissioning</v>
      </c>
      <c r="C24" s="961"/>
      <c r="D24" s="1010"/>
      <c r="E24" s="1011">
        <f>+'Detail Summary'!CK224</f>
        <v>926350</v>
      </c>
      <c r="F24" s="961"/>
      <c r="G24" s="2425">
        <v>0</v>
      </c>
      <c r="H24" s="2425">
        <v>0</v>
      </c>
      <c r="I24" s="2425">
        <v>0</v>
      </c>
      <c r="J24" s="1030">
        <f t="shared" si="13"/>
        <v>0</v>
      </c>
      <c r="K24" s="1011">
        <f t="shared" si="12"/>
        <v>0</v>
      </c>
      <c r="L24" s="2428"/>
      <c r="M24" s="960"/>
      <c r="N24" s="1035">
        <f>+'Detail Summary'!BD224</f>
        <v>0</v>
      </c>
      <c r="O24" s="1035"/>
      <c r="P24" s="1035"/>
      <c r="Q24" s="1035">
        <f>+'Detail Summary'!BG224</f>
        <v>0</v>
      </c>
      <c r="R24" s="1032"/>
      <c r="S24" s="1032"/>
      <c r="T24" s="1035">
        <f>+'Detail Summary'!BJ224</f>
        <v>0</v>
      </c>
      <c r="U24" s="1032"/>
      <c r="V24" s="1032"/>
      <c r="W24" s="1035">
        <f>+'Detail Summary'!BM224</f>
        <v>0</v>
      </c>
      <c r="X24" s="1032"/>
      <c r="Y24" s="1032"/>
      <c r="Z24" s="1035">
        <f>+'Detail Summary'!BP224</f>
        <v>276950</v>
      </c>
      <c r="AA24" s="1032"/>
      <c r="AB24" s="1032"/>
      <c r="AC24" s="1035">
        <f>+'Detail Summary'!BS224</f>
        <v>649400</v>
      </c>
      <c r="AD24" s="1032"/>
      <c r="AE24" s="1032"/>
      <c r="AF24" s="1035">
        <f>+'Detail Summary'!BV224</f>
        <v>0</v>
      </c>
      <c r="AG24" s="1447"/>
      <c r="AH24" s="1451"/>
      <c r="AI24" s="1035">
        <f>+'Detail Summary'!BY224</f>
        <v>0</v>
      </c>
      <c r="AJ24" s="1451"/>
      <c r="AK24" s="1451"/>
      <c r="AL24" s="1035">
        <f>+'Detail Summary'!CB224</f>
        <v>0</v>
      </c>
      <c r="AM24" s="1451"/>
      <c r="AN24" s="1451"/>
      <c r="AO24" s="1035">
        <f>+'Detail Summary'!CE224</f>
        <v>0</v>
      </c>
      <c r="AP24" s="1451"/>
      <c r="AQ24" s="1451"/>
      <c r="AR24" s="1035">
        <f>+'Detail Summary'!CH224</f>
        <v>0</v>
      </c>
      <c r="AS24" s="1451"/>
      <c r="AT24" s="1451"/>
      <c r="AU24" s="1035">
        <f>+'Detail Summary'!CK224</f>
        <v>926350</v>
      </c>
      <c r="AV24" s="1032"/>
      <c r="AW24" s="1090" t="str">
        <f>+'Data Input sheet'!$D$110</f>
        <v>N</v>
      </c>
      <c r="AX24" s="1035">
        <f t="shared" si="0"/>
        <v>0</v>
      </c>
      <c r="AY24" s="1032"/>
      <c r="AZ24" s="1032"/>
      <c r="BA24" s="1035">
        <f t="shared" si="1"/>
        <v>0</v>
      </c>
      <c r="BB24" s="1032"/>
      <c r="BC24" s="1032"/>
      <c r="BD24" s="1035">
        <f t="shared" si="2"/>
        <v>0</v>
      </c>
      <c r="BE24" s="1032"/>
      <c r="BF24" s="1032"/>
      <c r="BG24" s="1035">
        <f t="shared" si="3"/>
        <v>0</v>
      </c>
      <c r="BH24" s="1032"/>
      <c r="BI24" s="1032"/>
      <c r="BJ24" s="1035">
        <f t="shared" si="4"/>
        <v>0</v>
      </c>
      <c r="BK24" s="1032"/>
      <c r="BL24" s="1032"/>
      <c r="BM24" s="1035">
        <f t="shared" si="5"/>
        <v>0</v>
      </c>
      <c r="BN24" s="1032"/>
      <c r="BO24" s="1032"/>
      <c r="BP24" s="1035">
        <f t="shared" si="6"/>
        <v>0</v>
      </c>
      <c r="BQ24" s="2373"/>
      <c r="BR24" s="2373"/>
      <c r="BS24" s="1035">
        <f t="shared" si="7"/>
        <v>0</v>
      </c>
      <c r="BT24" s="2373"/>
      <c r="BU24" s="2373"/>
      <c r="BV24" s="1035">
        <f t="shared" si="8"/>
        <v>0</v>
      </c>
      <c r="BW24" s="2373"/>
      <c r="BX24" s="2373"/>
      <c r="BY24" s="1035">
        <f t="shared" si="9"/>
        <v>0</v>
      </c>
      <c r="BZ24" s="2373"/>
      <c r="CA24" s="2373"/>
      <c r="CB24" s="1035">
        <f t="shared" si="10"/>
        <v>0</v>
      </c>
      <c r="CC24" s="2373"/>
      <c r="CD24" s="1032"/>
      <c r="CE24" s="1035">
        <f t="shared" si="14"/>
        <v>0</v>
      </c>
    </row>
    <row r="25" spans="1:83" ht="15.75" x14ac:dyDescent="0.25">
      <c r="A25" s="961"/>
      <c r="B25" s="1029" t="str">
        <f>+'Detail Summary'!G225</f>
        <v>PMT Project Mgmt Team</v>
      </c>
      <c r="C25" s="961"/>
      <c r="D25" s="1010"/>
      <c r="E25" s="1011">
        <f ca="1">+'Detail Summary'!CK225</f>
        <v>944428.62</v>
      </c>
      <c r="F25" s="961"/>
      <c r="G25" s="2425">
        <v>0.02</v>
      </c>
      <c r="H25" s="2425">
        <v>0.05</v>
      </c>
      <c r="I25" s="2425">
        <v>0</v>
      </c>
      <c r="J25" s="1030">
        <f t="shared" si="13"/>
        <v>7.0000000000000007E-2</v>
      </c>
      <c r="K25" s="1011">
        <f t="shared" ca="1" si="12"/>
        <v>60911.652900000001</v>
      </c>
      <c r="L25" s="2428"/>
      <c r="M25" s="960"/>
      <c r="N25" s="1035">
        <f>+'Detail Summary'!BD225</f>
        <v>74262.149999999994</v>
      </c>
      <c r="O25" s="1035"/>
      <c r="P25" s="1035"/>
      <c r="Q25" s="1035">
        <f ca="1">+'Detail Summary'!BG225</f>
        <v>0</v>
      </c>
      <c r="R25" s="1032"/>
      <c r="S25" s="1032"/>
      <c r="T25" s="1035">
        <f ca="1">+'Detail Summary'!BJ225</f>
        <v>0</v>
      </c>
      <c r="U25" s="1032"/>
      <c r="V25" s="1032"/>
      <c r="W25" s="1035">
        <f ca="1">+'Detail Summary'!BM225</f>
        <v>176942</v>
      </c>
      <c r="X25" s="1032"/>
      <c r="Y25" s="1032"/>
      <c r="Z25" s="1035">
        <f ca="1">+'Detail Summary'!BP225</f>
        <v>361531.47</v>
      </c>
      <c r="AA25" s="1032"/>
      <c r="AB25" s="1032"/>
      <c r="AC25" s="1035">
        <f ca="1">+'Detail Summary'!BS225</f>
        <v>331693</v>
      </c>
      <c r="AD25" s="1032"/>
      <c r="AE25" s="1032"/>
      <c r="AF25" s="1035">
        <f ca="1">+'Detail Summary'!BV225</f>
        <v>0</v>
      </c>
      <c r="AG25" s="1447"/>
      <c r="AH25" s="1451"/>
      <c r="AI25" s="1035">
        <f ca="1">+'Detail Summary'!BY225</f>
        <v>0</v>
      </c>
      <c r="AJ25" s="1451"/>
      <c r="AK25" s="1451"/>
      <c r="AL25" s="1035">
        <f ca="1">+'Detail Summary'!CB225</f>
        <v>0</v>
      </c>
      <c r="AM25" s="1451"/>
      <c r="AN25" s="1451"/>
      <c r="AO25" s="1035">
        <f ca="1">+'Detail Summary'!CE225</f>
        <v>0</v>
      </c>
      <c r="AP25" s="1451"/>
      <c r="AQ25" s="1451"/>
      <c r="AR25" s="1035">
        <f ca="1">+'Detail Summary'!CH225</f>
        <v>0</v>
      </c>
      <c r="AS25" s="1451"/>
      <c r="AT25" s="1451"/>
      <c r="AU25" s="1035">
        <f ca="1">+'Detail Summary'!CK225</f>
        <v>944428.62</v>
      </c>
      <c r="AV25" s="1032"/>
      <c r="AW25" s="1090" t="str">
        <f>+'Data Input sheet'!$D$110</f>
        <v>N</v>
      </c>
      <c r="AX25" s="1035">
        <f t="shared" si="0"/>
        <v>0</v>
      </c>
      <c r="AY25" s="1032"/>
      <c r="AZ25" s="1032"/>
      <c r="BA25" s="1035">
        <f t="shared" ca="1" si="1"/>
        <v>0</v>
      </c>
      <c r="BB25" s="1032"/>
      <c r="BC25" s="1032"/>
      <c r="BD25" s="1035">
        <f t="shared" ca="1" si="2"/>
        <v>0</v>
      </c>
      <c r="BE25" s="1032"/>
      <c r="BF25" s="1032"/>
      <c r="BG25" s="1035">
        <f t="shared" ca="1" si="3"/>
        <v>12385.94</v>
      </c>
      <c r="BH25" s="1032"/>
      <c r="BI25" s="1032"/>
      <c r="BJ25" s="1035">
        <f t="shared" ca="1" si="4"/>
        <v>25307.2029</v>
      </c>
      <c r="BK25" s="1032"/>
      <c r="BL25" s="1032"/>
      <c r="BM25" s="1035">
        <f t="shared" ca="1" si="5"/>
        <v>23218.510000000002</v>
      </c>
      <c r="BN25" s="1032"/>
      <c r="BO25" s="1032"/>
      <c r="BP25" s="1035">
        <f t="shared" ca="1" si="6"/>
        <v>0</v>
      </c>
      <c r="BQ25" s="2373"/>
      <c r="BR25" s="2373"/>
      <c r="BS25" s="1035">
        <f t="shared" ca="1" si="7"/>
        <v>0</v>
      </c>
      <c r="BT25" s="2373"/>
      <c r="BU25" s="2373"/>
      <c r="BV25" s="1035">
        <f t="shared" ca="1" si="8"/>
        <v>0</v>
      </c>
      <c r="BW25" s="2373"/>
      <c r="BX25" s="2373"/>
      <c r="BY25" s="1035">
        <f t="shared" ca="1" si="9"/>
        <v>0</v>
      </c>
      <c r="BZ25" s="2373"/>
      <c r="CA25" s="2373"/>
      <c r="CB25" s="1035">
        <f t="shared" ca="1" si="10"/>
        <v>0</v>
      </c>
      <c r="CC25" s="2373"/>
      <c r="CD25" s="1032"/>
      <c r="CE25" s="1035">
        <f t="shared" ca="1" si="14"/>
        <v>60911.652900000001</v>
      </c>
    </row>
    <row r="26" spans="1:83" ht="15.75" x14ac:dyDescent="0.25">
      <c r="A26" s="961"/>
      <c r="B26" s="1029" t="str">
        <f>+'Detail Summary'!G226</f>
        <v>Removals</v>
      </c>
      <c r="C26" s="961"/>
      <c r="D26" s="1010"/>
      <c r="E26" s="1011">
        <f ca="1">+'Detail Summary'!CK226</f>
        <v>0</v>
      </c>
      <c r="F26" s="961"/>
      <c r="G26" s="2425">
        <v>0</v>
      </c>
      <c r="H26" s="2425">
        <v>0</v>
      </c>
      <c r="I26" s="2425">
        <v>0</v>
      </c>
      <c r="J26" s="1030">
        <f t="shared" si="13"/>
        <v>0</v>
      </c>
      <c r="K26" s="1011">
        <f t="shared" ca="1" si="12"/>
        <v>0</v>
      </c>
      <c r="L26" s="2428"/>
      <c r="M26" s="960"/>
      <c r="N26" s="1035">
        <f>+'Detail Summary'!BD226</f>
        <v>0</v>
      </c>
      <c r="O26" s="1035"/>
      <c r="P26" s="1035"/>
      <c r="Q26" s="1035">
        <f ca="1">+'Detail Summary'!BG226</f>
        <v>0</v>
      </c>
      <c r="R26" s="1032"/>
      <c r="S26" s="1032"/>
      <c r="T26" s="1035">
        <f ca="1">+'Detail Summary'!BJ226</f>
        <v>0</v>
      </c>
      <c r="U26" s="1032"/>
      <c r="V26" s="1032"/>
      <c r="W26" s="1035">
        <f ca="1">+'Detail Summary'!BM226</f>
        <v>0</v>
      </c>
      <c r="X26" s="1032"/>
      <c r="Y26" s="1032"/>
      <c r="Z26" s="1035">
        <f ca="1">+'Detail Summary'!BP226</f>
        <v>0</v>
      </c>
      <c r="AA26" s="1032"/>
      <c r="AB26" s="1032"/>
      <c r="AC26" s="1035">
        <f ca="1">+'Detail Summary'!BS226</f>
        <v>0</v>
      </c>
      <c r="AD26" s="1032"/>
      <c r="AE26" s="1032"/>
      <c r="AF26" s="1035">
        <f ca="1">+'Detail Summary'!BV226</f>
        <v>0</v>
      </c>
      <c r="AG26" s="1447"/>
      <c r="AH26" s="1451"/>
      <c r="AI26" s="1035">
        <f ca="1">+'Detail Summary'!BY226</f>
        <v>0</v>
      </c>
      <c r="AJ26" s="1451"/>
      <c r="AK26" s="1451"/>
      <c r="AL26" s="1035">
        <f ca="1">+'Detail Summary'!CB226</f>
        <v>0</v>
      </c>
      <c r="AM26" s="1451"/>
      <c r="AN26" s="1451"/>
      <c r="AO26" s="1035">
        <f ca="1">+'Detail Summary'!CE226</f>
        <v>0</v>
      </c>
      <c r="AP26" s="1451"/>
      <c r="AQ26" s="1451"/>
      <c r="AR26" s="1035">
        <f ca="1">+'Detail Summary'!CH226</f>
        <v>0</v>
      </c>
      <c r="AS26" s="1451"/>
      <c r="AT26" s="1451"/>
      <c r="AU26" s="1035">
        <f ca="1">+'Detail Summary'!CK226</f>
        <v>0</v>
      </c>
      <c r="AV26" s="1032"/>
      <c r="AW26" s="1090" t="str">
        <f>+'Data Input sheet'!$D$110</f>
        <v>N</v>
      </c>
      <c r="AX26" s="1035">
        <f t="shared" si="0"/>
        <v>0</v>
      </c>
      <c r="AY26" s="1032"/>
      <c r="AZ26" s="1032"/>
      <c r="BA26" s="1035">
        <f t="shared" ca="1" si="1"/>
        <v>0</v>
      </c>
      <c r="BB26" s="1032"/>
      <c r="BC26" s="1032"/>
      <c r="BD26" s="1035">
        <f t="shared" ca="1" si="2"/>
        <v>0</v>
      </c>
      <c r="BE26" s="1032"/>
      <c r="BF26" s="1032"/>
      <c r="BG26" s="1035">
        <f t="shared" ca="1" si="3"/>
        <v>0</v>
      </c>
      <c r="BH26" s="1032"/>
      <c r="BI26" s="1032"/>
      <c r="BJ26" s="1035">
        <f t="shared" ca="1" si="4"/>
        <v>0</v>
      </c>
      <c r="BK26" s="1032"/>
      <c r="BL26" s="1032"/>
      <c r="BM26" s="1035">
        <f t="shared" ca="1" si="5"/>
        <v>0</v>
      </c>
      <c r="BN26" s="1032"/>
      <c r="BO26" s="1032"/>
      <c r="BP26" s="1035">
        <f t="shared" ca="1" si="6"/>
        <v>0</v>
      </c>
      <c r="BQ26" s="2373"/>
      <c r="BR26" s="2373"/>
      <c r="BS26" s="1035">
        <f t="shared" ca="1" si="7"/>
        <v>0</v>
      </c>
      <c r="BT26" s="2373"/>
      <c r="BU26" s="2373"/>
      <c r="BV26" s="1035">
        <f t="shared" ca="1" si="8"/>
        <v>0</v>
      </c>
      <c r="BW26" s="2373"/>
      <c r="BX26" s="2373"/>
      <c r="BY26" s="1035">
        <f t="shared" ca="1" si="9"/>
        <v>0</v>
      </c>
      <c r="BZ26" s="2373"/>
      <c r="CA26" s="2373"/>
      <c r="CB26" s="1035">
        <f t="shared" ca="1" si="10"/>
        <v>0</v>
      </c>
      <c r="CC26" s="2373"/>
      <c r="CD26" s="1032"/>
      <c r="CE26" s="1035">
        <f t="shared" ca="1" si="14"/>
        <v>0</v>
      </c>
    </row>
    <row r="27" spans="1:83" ht="15" customHeight="1" x14ac:dyDescent="0.25">
      <c r="A27" s="961"/>
      <c r="B27" s="1029" t="str">
        <f>+'Detail Summary'!G227</f>
        <v>Other ( property taxes and BAR)</v>
      </c>
      <c r="C27" s="961"/>
      <c r="D27" s="1010"/>
      <c r="E27" s="1011">
        <f ca="1">+'Detail Summary'!CK227</f>
        <v>841228.71929000004</v>
      </c>
      <c r="F27" s="961"/>
      <c r="G27" s="2425">
        <v>0</v>
      </c>
      <c r="H27" s="2425">
        <v>0</v>
      </c>
      <c r="I27" s="2425">
        <v>0</v>
      </c>
      <c r="J27" s="1030">
        <f t="shared" si="13"/>
        <v>0</v>
      </c>
      <c r="K27" s="1011">
        <f t="shared" ca="1" si="12"/>
        <v>0</v>
      </c>
      <c r="L27" s="2428"/>
      <c r="M27" s="960"/>
      <c r="N27" s="1035">
        <f>+'Detail Summary'!BD227</f>
        <v>11094.01</v>
      </c>
      <c r="O27" s="1035"/>
      <c r="P27" s="1035"/>
      <c r="Q27" s="1035">
        <f ca="1">+'Detail Summary'!BG227</f>
        <v>3917.23</v>
      </c>
      <c r="R27" s="1032"/>
      <c r="S27" s="1032"/>
      <c r="T27" s="1035">
        <f ca="1">+'Detail Summary'!BJ227</f>
        <v>7600</v>
      </c>
      <c r="U27" s="1032"/>
      <c r="V27" s="1032"/>
      <c r="W27" s="1035">
        <f ca="1">+'Detail Summary'!BM227</f>
        <v>206600</v>
      </c>
      <c r="X27" s="1032"/>
      <c r="Y27" s="1032"/>
      <c r="Z27" s="1035">
        <f ca="1">+'Detail Summary'!BP227</f>
        <v>593257.08729000005</v>
      </c>
      <c r="AA27" s="1032"/>
      <c r="AB27" s="1032"/>
      <c r="AC27" s="1035">
        <f ca="1">+'Detail Summary'!BS227</f>
        <v>18760.392</v>
      </c>
      <c r="AD27" s="1032"/>
      <c r="AE27" s="1032"/>
      <c r="AF27" s="1035">
        <f ca="1">+'Detail Summary'!BV227</f>
        <v>0</v>
      </c>
      <c r="AG27" s="1447"/>
      <c r="AH27" s="1451"/>
      <c r="AI27" s="1035">
        <f ca="1">+'Detail Summary'!BY227</f>
        <v>0</v>
      </c>
      <c r="AJ27" s="1451"/>
      <c r="AK27" s="1451"/>
      <c r="AL27" s="1035">
        <f ca="1">+'Detail Summary'!CB227</f>
        <v>0</v>
      </c>
      <c r="AM27" s="1451"/>
      <c r="AN27" s="1451"/>
      <c r="AO27" s="1035">
        <f ca="1">+'Detail Summary'!CE227</f>
        <v>0</v>
      </c>
      <c r="AP27" s="1451"/>
      <c r="AQ27" s="1451"/>
      <c r="AR27" s="1035">
        <f ca="1">+'Detail Summary'!CH227</f>
        <v>0</v>
      </c>
      <c r="AS27" s="1451"/>
      <c r="AT27" s="1451"/>
      <c r="AU27" s="1035">
        <f ca="1">+'Detail Summary'!CK227</f>
        <v>841228.71929000004</v>
      </c>
      <c r="AV27" s="1032"/>
      <c r="AW27" s="1090" t="str">
        <f>+'Data Input sheet'!$D$110</f>
        <v>N</v>
      </c>
      <c r="AX27" s="1035">
        <f t="shared" si="0"/>
        <v>0</v>
      </c>
      <c r="AY27" s="1032"/>
      <c r="AZ27" s="1032"/>
      <c r="BA27" s="1035">
        <f t="shared" ca="1" si="1"/>
        <v>0</v>
      </c>
      <c r="BB27" s="1032"/>
      <c r="BC27" s="1032"/>
      <c r="BD27" s="1035">
        <f t="shared" ca="1" si="2"/>
        <v>0</v>
      </c>
      <c r="BE27" s="1032"/>
      <c r="BF27" s="1032"/>
      <c r="BG27" s="1035">
        <f t="shared" ca="1" si="3"/>
        <v>0</v>
      </c>
      <c r="BH27" s="1032"/>
      <c r="BI27" s="1032"/>
      <c r="BJ27" s="1035">
        <f t="shared" ca="1" si="4"/>
        <v>0</v>
      </c>
      <c r="BK27" s="1032"/>
      <c r="BL27" s="1032"/>
      <c r="BM27" s="1035">
        <f t="shared" ca="1" si="5"/>
        <v>0</v>
      </c>
      <c r="BN27" s="1032"/>
      <c r="BO27" s="1032"/>
      <c r="BP27" s="1035">
        <f t="shared" ca="1" si="6"/>
        <v>0</v>
      </c>
      <c r="BQ27" s="2373"/>
      <c r="BR27" s="2373"/>
      <c r="BS27" s="1035">
        <f t="shared" ca="1" si="7"/>
        <v>0</v>
      </c>
      <c r="BT27" s="2373"/>
      <c r="BU27" s="2373"/>
      <c r="BV27" s="1035">
        <f t="shared" ca="1" si="8"/>
        <v>0</v>
      </c>
      <c r="BW27" s="2373"/>
      <c r="BX27" s="2373"/>
      <c r="BY27" s="1035">
        <f t="shared" ca="1" si="9"/>
        <v>0</v>
      </c>
      <c r="BZ27" s="2373"/>
      <c r="CA27" s="2373"/>
      <c r="CB27" s="1035">
        <f t="shared" ca="1" si="10"/>
        <v>0</v>
      </c>
      <c r="CC27" s="2373"/>
      <c r="CD27" s="1032"/>
      <c r="CE27" s="1035">
        <f t="shared" ca="1" si="14"/>
        <v>0</v>
      </c>
    </row>
    <row r="28" spans="1:83" ht="15.75" x14ac:dyDescent="0.25">
      <c r="A28" s="961"/>
      <c r="B28" s="1029" t="str">
        <f>+'Detail Summary'!G228</f>
        <v>Risks</v>
      </c>
      <c r="C28" s="961"/>
      <c r="D28" s="1010"/>
      <c r="E28" s="1011">
        <f>+'Detail Summary'!CK228</f>
        <v>3950000</v>
      </c>
      <c r="F28" s="961"/>
      <c r="G28" s="2425">
        <v>0</v>
      </c>
      <c r="H28" s="2425">
        <v>0</v>
      </c>
      <c r="I28" s="2425">
        <v>0</v>
      </c>
      <c r="J28" s="1030">
        <f t="shared" si="13"/>
        <v>0</v>
      </c>
      <c r="K28" s="1011">
        <f t="shared" si="12"/>
        <v>0</v>
      </c>
      <c r="L28" s="2428"/>
      <c r="M28" s="960"/>
      <c r="N28" s="1035">
        <f>+'Detail Summary'!BD228</f>
        <v>0</v>
      </c>
      <c r="O28" s="1035"/>
      <c r="P28" s="1035"/>
      <c r="Q28" s="1035">
        <f>+'Detail Summary'!BG228</f>
        <v>0</v>
      </c>
      <c r="R28" s="1032"/>
      <c r="S28" s="1032"/>
      <c r="T28" s="1035">
        <f>+'Detail Summary'!BJ228</f>
        <v>0</v>
      </c>
      <c r="U28" s="1032"/>
      <c r="V28" s="1032"/>
      <c r="W28" s="1035">
        <f>+'Detail Summary'!BM228</f>
        <v>900000</v>
      </c>
      <c r="X28" s="1032"/>
      <c r="Y28" s="1032"/>
      <c r="Z28" s="1035">
        <f>+'Detail Summary'!BP228</f>
        <v>1650000</v>
      </c>
      <c r="AA28" s="1032"/>
      <c r="AB28" s="1032"/>
      <c r="AC28" s="1035">
        <f>+'Detail Summary'!BS228</f>
        <v>1400000</v>
      </c>
      <c r="AD28" s="1032"/>
      <c r="AE28" s="1032"/>
      <c r="AF28" s="1035">
        <f>+'Detail Summary'!BV228</f>
        <v>0</v>
      </c>
      <c r="AG28" s="1447"/>
      <c r="AH28" s="1451"/>
      <c r="AI28" s="1035">
        <f>+'Detail Summary'!BY228</f>
        <v>0</v>
      </c>
      <c r="AJ28" s="1451"/>
      <c r="AK28" s="1451"/>
      <c r="AL28" s="1035">
        <f>+'Detail Summary'!CB228</f>
        <v>0</v>
      </c>
      <c r="AM28" s="1451"/>
      <c r="AN28" s="1451"/>
      <c r="AO28" s="1035">
        <f>+'Detail Summary'!CE228</f>
        <v>0</v>
      </c>
      <c r="AP28" s="1451"/>
      <c r="AQ28" s="1451"/>
      <c r="AR28" s="1035">
        <f>+'Detail Summary'!CH228</f>
        <v>0</v>
      </c>
      <c r="AS28" s="1451"/>
      <c r="AT28" s="1451"/>
      <c r="AU28" s="1035">
        <f>+'Detail Summary'!CK228</f>
        <v>3950000</v>
      </c>
      <c r="AV28" s="1032"/>
      <c r="AW28" s="1090" t="str">
        <f>+'Data Input sheet'!$D$110</f>
        <v>N</v>
      </c>
      <c r="AX28" s="1035">
        <f t="shared" si="0"/>
        <v>0</v>
      </c>
      <c r="AY28" s="1032"/>
      <c r="AZ28" s="1032"/>
      <c r="BA28" s="1035">
        <f t="shared" si="1"/>
        <v>0</v>
      </c>
      <c r="BB28" s="1032"/>
      <c r="BC28" s="1032"/>
      <c r="BD28" s="1035">
        <f t="shared" si="2"/>
        <v>0</v>
      </c>
      <c r="BE28" s="1032"/>
      <c r="BF28" s="1032"/>
      <c r="BG28" s="1035">
        <f t="shared" si="3"/>
        <v>0</v>
      </c>
      <c r="BH28" s="1032"/>
      <c r="BI28" s="1032"/>
      <c r="BJ28" s="1035">
        <f t="shared" si="4"/>
        <v>0</v>
      </c>
      <c r="BK28" s="1032"/>
      <c r="BL28" s="1032"/>
      <c r="BM28" s="1035">
        <f t="shared" si="5"/>
        <v>0</v>
      </c>
      <c r="BN28" s="1032"/>
      <c r="BO28" s="1032"/>
      <c r="BP28" s="1035">
        <f t="shared" si="6"/>
        <v>0</v>
      </c>
      <c r="BQ28" s="2373"/>
      <c r="BR28" s="2373"/>
      <c r="BS28" s="1035">
        <f t="shared" si="7"/>
        <v>0</v>
      </c>
      <c r="BT28" s="2373"/>
      <c r="BU28" s="2373"/>
      <c r="BV28" s="1035">
        <f t="shared" si="8"/>
        <v>0</v>
      </c>
      <c r="BW28" s="2373"/>
      <c r="BX28" s="2373"/>
      <c r="BY28" s="1035">
        <f t="shared" si="9"/>
        <v>0</v>
      </c>
      <c r="BZ28" s="2373"/>
      <c r="CA28" s="2373"/>
      <c r="CB28" s="1035">
        <f t="shared" si="10"/>
        <v>0</v>
      </c>
      <c r="CC28" s="2373"/>
      <c r="CD28" s="1032"/>
      <c r="CE28" s="1035">
        <f t="shared" si="14"/>
        <v>0</v>
      </c>
    </row>
    <row r="29" spans="1:83" ht="15.75" x14ac:dyDescent="0.25">
      <c r="A29" s="961"/>
      <c r="B29" s="1029" t="str">
        <f>+'Detail Summary'!G229</f>
        <v>Indirects/Overhead</v>
      </c>
      <c r="C29" s="961"/>
      <c r="D29" s="1010"/>
      <c r="E29" s="1011">
        <f ca="1">+'Detail Summary'!CK229</f>
        <v>7534222.8599999994</v>
      </c>
      <c r="F29" s="961"/>
      <c r="G29" s="2425">
        <v>0</v>
      </c>
      <c r="H29" s="2425">
        <v>0</v>
      </c>
      <c r="I29" s="2425">
        <v>0</v>
      </c>
      <c r="J29" s="1030">
        <f t="shared" si="13"/>
        <v>0</v>
      </c>
      <c r="K29" s="1011">
        <f t="shared" ca="1" si="12"/>
        <v>0</v>
      </c>
      <c r="L29" s="2428"/>
      <c r="M29" s="960"/>
      <c r="N29" s="1035">
        <f>+'Detail Summary'!BD229</f>
        <v>209080.81</v>
      </c>
      <c r="O29" s="1035"/>
      <c r="P29" s="1035"/>
      <c r="Q29" s="1035">
        <f ca="1">+'Detail Summary'!BG229</f>
        <v>35</v>
      </c>
      <c r="R29" s="1032"/>
      <c r="S29" s="1032"/>
      <c r="T29" s="1035">
        <f ca="1">+'Detail Summary'!BJ229</f>
        <v>68</v>
      </c>
      <c r="U29" s="1032"/>
      <c r="V29" s="1032"/>
      <c r="W29" s="1035">
        <f ca="1">+'Detail Summary'!BM229</f>
        <v>1312599.05</v>
      </c>
      <c r="X29" s="1032"/>
      <c r="Y29" s="1032"/>
      <c r="Z29" s="1035">
        <f ca="1">+'Detail Summary'!BP229</f>
        <v>3771894</v>
      </c>
      <c r="AA29" s="1032"/>
      <c r="AB29" s="1032"/>
      <c r="AC29" s="1035">
        <f ca="1">+'Detail Summary'!BS229</f>
        <v>2240546</v>
      </c>
      <c r="AD29" s="1032"/>
      <c r="AE29" s="1032"/>
      <c r="AF29" s="1035">
        <f ca="1">+'Detail Summary'!BV229</f>
        <v>0</v>
      </c>
      <c r="AG29" s="1447"/>
      <c r="AH29" s="1451"/>
      <c r="AI29" s="1035">
        <f ca="1">+'Detail Summary'!BY229</f>
        <v>0</v>
      </c>
      <c r="AJ29" s="1451"/>
      <c r="AK29" s="1451"/>
      <c r="AL29" s="1035">
        <f ca="1">+'Detail Summary'!CB229</f>
        <v>0</v>
      </c>
      <c r="AM29" s="1451"/>
      <c r="AN29" s="1451"/>
      <c r="AO29" s="1035">
        <f ca="1">+'Detail Summary'!CE229</f>
        <v>0</v>
      </c>
      <c r="AP29" s="1451"/>
      <c r="AQ29" s="1451"/>
      <c r="AR29" s="1035">
        <f ca="1">+'Detail Summary'!CH229</f>
        <v>0</v>
      </c>
      <c r="AS29" s="1451"/>
      <c r="AT29" s="1451"/>
      <c r="AU29" s="1035">
        <f ca="1">+'Detail Summary'!CK229</f>
        <v>7534222.8599999994</v>
      </c>
      <c r="AV29" s="1032"/>
      <c r="AW29" s="1090" t="str">
        <f>+'Data Input sheet'!$D$110</f>
        <v>N</v>
      </c>
      <c r="AX29" s="1035">
        <f t="shared" si="0"/>
        <v>0</v>
      </c>
      <c r="AY29" s="1032"/>
      <c r="AZ29" s="1032"/>
      <c r="BA29" s="1035">
        <f t="shared" ca="1" si="1"/>
        <v>0</v>
      </c>
      <c r="BB29" s="1032"/>
      <c r="BC29" s="1032"/>
      <c r="BD29" s="1035">
        <f t="shared" ca="1" si="2"/>
        <v>0</v>
      </c>
      <c r="BE29" s="1032"/>
      <c r="BF29" s="1032"/>
      <c r="BG29" s="1035">
        <f t="shared" ca="1" si="3"/>
        <v>0</v>
      </c>
      <c r="BH29" s="1032"/>
      <c r="BI29" s="1032"/>
      <c r="BJ29" s="1035">
        <f t="shared" ca="1" si="4"/>
        <v>0</v>
      </c>
      <c r="BK29" s="1032"/>
      <c r="BL29" s="1032"/>
      <c r="BM29" s="1035">
        <f t="shared" ca="1" si="5"/>
        <v>0</v>
      </c>
      <c r="BN29" s="1032"/>
      <c r="BO29" s="1032"/>
      <c r="BP29" s="1035">
        <f t="shared" ca="1" si="6"/>
        <v>0</v>
      </c>
      <c r="BQ29" s="2373"/>
      <c r="BR29" s="2373"/>
      <c r="BS29" s="1035">
        <f t="shared" ca="1" si="7"/>
        <v>0</v>
      </c>
      <c r="BT29" s="2373"/>
      <c r="BU29" s="2373"/>
      <c r="BV29" s="1035">
        <f t="shared" ca="1" si="8"/>
        <v>0</v>
      </c>
      <c r="BW29" s="2373"/>
      <c r="BX29" s="2373"/>
      <c r="BY29" s="1035">
        <f t="shared" ca="1" si="9"/>
        <v>0</v>
      </c>
      <c r="BZ29" s="2373"/>
      <c r="CA29" s="2373"/>
      <c r="CB29" s="1035">
        <f t="shared" ca="1" si="10"/>
        <v>0</v>
      </c>
      <c r="CC29" s="2373"/>
      <c r="CD29" s="1032"/>
      <c r="CE29" s="1035">
        <f t="shared" ca="1" si="14"/>
        <v>0</v>
      </c>
    </row>
    <row r="30" spans="1:83" ht="15.75" x14ac:dyDescent="0.25">
      <c r="A30" s="961"/>
      <c r="B30" s="1029" t="str">
        <f>+'Detail Summary'!G230</f>
        <v>AFUDC</v>
      </c>
      <c r="C30" s="961"/>
      <c r="D30" s="1010"/>
      <c r="E30" s="1011">
        <f ca="1">+'Detail Summary'!CK230</f>
        <v>2832480</v>
      </c>
      <c r="F30" s="961"/>
      <c r="G30" s="2425">
        <v>0</v>
      </c>
      <c r="H30" s="2425">
        <v>0</v>
      </c>
      <c r="I30" s="2425">
        <v>0</v>
      </c>
      <c r="J30" s="1030">
        <f t="shared" si="13"/>
        <v>0</v>
      </c>
      <c r="K30" s="1011">
        <f t="shared" ca="1" si="12"/>
        <v>0</v>
      </c>
      <c r="L30" s="2428"/>
      <c r="M30" s="960"/>
      <c r="N30" s="1035">
        <f>+'Detail Summary'!BD230</f>
        <v>25374.34</v>
      </c>
      <c r="O30" s="1035"/>
      <c r="P30" s="1035"/>
      <c r="Q30" s="1035">
        <f ca="1">+'Detail Summary'!BG230</f>
        <v>1076.6599999999999</v>
      </c>
      <c r="R30" s="1032"/>
      <c r="S30" s="1032"/>
      <c r="T30" s="1035">
        <f ca="1">+'Detail Summary'!BJ230</f>
        <v>26933</v>
      </c>
      <c r="U30" s="1032"/>
      <c r="V30" s="1032"/>
      <c r="W30" s="1035">
        <f ca="1">+'Detail Summary'!BM230</f>
        <v>460696</v>
      </c>
      <c r="X30" s="1032"/>
      <c r="Y30" s="1032"/>
      <c r="Z30" s="1035">
        <f>+'Detail Summary'!BP230</f>
        <v>1660900</v>
      </c>
      <c r="AA30" s="1032"/>
      <c r="AB30" s="1032"/>
      <c r="AC30" s="1035">
        <f>+'Detail Summary'!BS230</f>
        <v>657500</v>
      </c>
      <c r="AD30" s="1032"/>
      <c r="AE30" s="1032"/>
      <c r="AF30" s="1035">
        <f ca="1">+'Detail Summary'!BV230</f>
        <v>0</v>
      </c>
      <c r="AG30" s="1447"/>
      <c r="AH30" s="1451"/>
      <c r="AI30" s="1035">
        <f ca="1">+'Detail Summary'!BY230</f>
        <v>0</v>
      </c>
      <c r="AJ30" s="1451"/>
      <c r="AK30" s="1451"/>
      <c r="AL30" s="1035">
        <f ca="1">+'Detail Summary'!CB230</f>
        <v>0</v>
      </c>
      <c r="AM30" s="1451"/>
      <c r="AN30" s="1451"/>
      <c r="AO30" s="1035">
        <f ca="1">+'Detail Summary'!CE230</f>
        <v>0</v>
      </c>
      <c r="AP30" s="1451"/>
      <c r="AQ30" s="1451"/>
      <c r="AR30" s="1035">
        <f ca="1">+'Detail Summary'!CH230</f>
        <v>0</v>
      </c>
      <c r="AS30" s="1451"/>
      <c r="AT30" s="1451"/>
      <c r="AU30" s="1035">
        <f ca="1">+'Detail Summary'!CK230</f>
        <v>2832480</v>
      </c>
      <c r="AV30" s="1032"/>
      <c r="AW30" s="1090" t="str">
        <f>+'Data Input sheet'!$D$110</f>
        <v>N</v>
      </c>
      <c r="AX30" s="1035">
        <f t="shared" si="0"/>
        <v>0</v>
      </c>
      <c r="AY30" s="1032"/>
      <c r="AZ30" s="1032"/>
      <c r="BA30" s="1035">
        <f t="shared" ca="1" si="1"/>
        <v>0</v>
      </c>
      <c r="BB30" s="1032"/>
      <c r="BC30" s="1032"/>
      <c r="BD30" s="1035">
        <f t="shared" ca="1" si="2"/>
        <v>0</v>
      </c>
      <c r="BE30" s="1032"/>
      <c r="BF30" s="1032"/>
      <c r="BG30" s="1035">
        <f t="shared" ca="1" si="3"/>
        <v>0</v>
      </c>
      <c r="BH30" s="1032"/>
      <c r="BI30" s="1032"/>
      <c r="BJ30" s="1035">
        <f t="shared" si="4"/>
        <v>0</v>
      </c>
      <c r="BK30" s="1032"/>
      <c r="BL30" s="1032"/>
      <c r="BM30" s="1035">
        <f t="shared" si="5"/>
        <v>0</v>
      </c>
      <c r="BN30" s="1032"/>
      <c r="BO30" s="1032"/>
      <c r="BP30" s="1035">
        <f t="shared" ca="1" si="6"/>
        <v>0</v>
      </c>
      <c r="BQ30" s="2373"/>
      <c r="BR30" s="2373"/>
      <c r="BS30" s="1035">
        <f t="shared" ca="1" si="7"/>
        <v>0</v>
      </c>
      <c r="BT30" s="2373"/>
      <c r="BU30" s="2373"/>
      <c r="BV30" s="1035">
        <f t="shared" ca="1" si="8"/>
        <v>0</v>
      </c>
      <c r="BW30" s="2373"/>
      <c r="BX30" s="2373"/>
      <c r="BY30" s="1035">
        <f t="shared" ca="1" si="9"/>
        <v>0</v>
      </c>
      <c r="BZ30" s="2373"/>
      <c r="CA30" s="2373"/>
      <c r="CB30" s="1035">
        <f t="shared" ca="1" si="10"/>
        <v>0</v>
      </c>
      <c r="CC30" s="2373"/>
      <c r="CD30" s="1032"/>
      <c r="CE30" s="1035">
        <f t="shared" ca="1" si="14"/>
        <v>0</v>
      </c>
    </row>
    <row r="31" spans="1:83" ht="15.75" x14ac:dyDescent="0.25">
      <c r="A31" s="961"/>
      <c r="B31" s="1029" t="str">
        <f>+'Detail Summary'!G231</f>
        <v>Contingency</v>
      </c>
      <c r="C31" s="961"/>
      <c r="D31" s="1010"/>
      <c r="E31" s="1011">
        <f ca="1">+'Detail Summary'!CK231</f>
        <v>1841791.333133094</v>
      </c>
      <c r="F31" s="961"/>
      <c r="G31" s="1817"/>
      <c r="H31" s="1817"/>
      <c r="I31" s="1817"/>
      <c r="J31" s="1030">
        <f t="shared" si="13"/>
        <v>0</v>
      </c>
      <c r="K31" s="1011">
        <f t="shared" si="12"/>
        <v>0</v>
      </c>
      <c r="L31" s="1007"/>
      <c r="M31" s="960"/>
      <c r="N31" s="1035"/>
      <c r="O31" s="1035"/>
      <c r="P31" s="1035"/>
      <c r="Q31" s="1035"/>
      <c r="R31" s="1032"/>
      <c r="S31" s="1032"/>
      <c r="T31" s="1035"/>
      <c r="U31" s="1032"/>
      <c r="V31" s="1032"/>
      <c r="W31" s="1035"/>
      <c r="X31" s="1032"/>
      <c r="Y31" s="1032"/>
      <c r="Z31" s="1035"/>
      <c r="AA31" s="1032"/>
      <c r="AB31" s="1032"/>
      <c r="AC31" s="1035"/>
      <c r="AD31" s="1032"/>
      <c r="AE31" s="1032"/>
      <c r="AF31" s="1035"/>
      <c r="AG31" s="1447"/>
      <c r="AH31" s="1451"/>
      <c r="AI31" s="1035"/>
      <c r="AJ31" s="1451"/>
      <c r="AK31" s="1451"/>
      <c r="AL31" s="1035"/>
      <c r="AM31" s="1451"/>
      <c r="AN31" s="1451"/>
      <c r="AO31" s="1035"/>
      <c r="AP31" s="1451"/>
      <c r="AQ31" s="1451"/>
      <c r="AR31" s="1035"/>
      <c r="AS31" s="1451"/>
      <c r="AT31" s="1451"/>
      <c r="AU31" s="1035"/>
      <c r="AV31" s="1032"/>
      <c r="AW31" s="1090" t="str">
        <f>+'Data Input sheet'!$D$110</f>
        <v>N</v>
      </c>
      <c r="AX31" s="1035"/>
      <c r="AY31" s="1032"/>
      <c r="AZ31" s="1032"/>
      <c r="BA31" s="1035"/>
      <c r="BB31" s="1032"/>
      <c r="BC31" s="1032"/>
      <c r="BD31" s="1035"/>
      <c r="BE31" s="1032"/>
      <c r="BF31" s="1032"/>
      <c r="BG31" s="1035"/>
      <c r="BH31" s="1032"/>
      <c r="BI31" s="1032"/>
      <c r="BJ31" s="1035"/>
      <c r="BK31" s="1032"/>
      <c r="BL31" s="1032"/>
      <c r="BM31" s="1035"/>
      <c r="BN31" s="1032"/>
      <c r="BO31" s="1032"/>
      <c r="BP31" s="1035"/>
      <c r="BQ31" s="2373"/>
      <c r="BR31" s="2373"/>
      <c r="BS31" s="1035"/>
      <c r="BT31" s="2373"/>
      <c r="BU31" s="2373"/>
      <c r="BV31" s="1035"/>
      <c r="BW31" s="2373"/>
      <c r="BX31" s="2373"/>
      <c r="BY31" s="1035"/>
      <c r="BZ31" s="2373"/>
      <c r="CA31" s="2373"/>
      <c r="CB31" s="1035"/>
      <c r="CC31" s="2373"/>
      <c r="CD31" s="1032"/>
      <c r="CE31" s="1035"/>
    </row>
    <row r="32" spans="1:83" ht="15.75" x14ac:dyDescent="0.25">
      <c r="A32" s="961"/>
      <c r="B32" s="1029" t="s">
        <v>99</v>
      </c>
      <c r="C32" s="961"/>
      <c r="D32" s="1010"/>
      <c r="E32" s="1011">
        <f ca="1">+'Detail Summary'!EA201</f>
        <v>3421811.9294545678</v>
      </c>
      <c r="F32" s="961"/>
      <c r="G32" s="1817"/>
      <c r="H32" s="1817"/>
      <c r="I32" s="1817"/>
      <c r="J32" s="1030"/>
      <c r="K32" s="1011">
        <f t="shared" ref="K32" si="28">+CE32</f>
        <v>0</v>
      </c>
      <c r="L32" s="1007"/>
      <c r="M32" s="960"/>
      <c r="N32" s="1035">
        <f>+'Detail Summary'!CT201</f>
        <v>0</v>
      </c>
      <c r="O32" s="1035"/>
      <c r="P32" s="1035"/>
      <c r="Q32" s="1035">
        <f ca="1">+'Detail Summary'!CW201</f>
        <v>0.11000000000012733</v>
      </c>
      <c r="R32" s="1032"/>
      <c r="S32" s="1032"/>
      <c r="T32" s="1035">
        <f ca="1">+'Detail Summary'!CZ201</f>
        <v>383</v>
      </c>
      <c r="U32" s="1032"/>
      <c r="V32" s="1032"/>
      <c r="W32" s="1035">
        <f ca="1">+'Detail Summary'!DC201</f>
        <v>769123.52459999954</v>
      </c>
      <c r="X32" s="1032"/>
      <c r="Y32" s="1032"/>
      <c r="Z32" s="1035">
        <f ca="1">+'Detail Summary'!DF201</f>
        <v>1869402.9341764003</v>
      </c>
      <c r="AA32" s="1032"/>
      <c r="AB32" s="1032"/>
      <c r="AC32" s="1035">
        <f ca="1">+'Detail Summary'!DI201</f>
        <v>782902.36067816825</v>
      </c>
      <c r="AD32" s="1032"/>
      <c r="AE32" s="1032"/>
      <c r="AF32" s="1035">
        <f ca="1">+'Detail Summary'!DL201</f>
        <v>0</v>
      </c>
      <c r="AG32" s="1447"/>
      <c r="AH32" s="1451"/>
      <c r="AI32" s="1035">
        <f ca="1">+'Detail Summary'!DO201</f>
        <v>0</v>
      </c>
      <c r="AJ32" s="1451"/>
      <c r="AK32" s="1451"/>
      <c r="AL32" s="1035">
        <f ca="1">+'Detail Summary'!DR201</f>
        <v>0</v>
      </c>
      <c r="AM32" s="1451"/>
      <c r="AN32" s="1451"/>
      <c r="AO32" s="1035">
        <f ca="1">+'Detail Summary'!DU201</f>
        <v>0</v>
      </c>
      <c r="AP32" s="1451"/>
      <c r="AQ32" s="1451"/>
      <c r="AR32" s="1035">
        <f ca="1">+'Detail Summary'!DX201</f>
        <v>0</v>
      </c>
      <c r="AS32" s="1451"/>
      <c r="AT32" s="1451"/>
      <c r="AU32" s="1035">
        <f ca="1">+'Detail Summary'!EA201</f>
        <v>3421811.9294545678</v>
      </c>
      <c r="AV32" s="1032"/>
      <c r="AW32" s="1090" t="str">
        <f>+'Data Input sheet'!$D$110</f>
        <v>N</v>
      </c>
      <c r="AX32" s="1035"/>
      <c r="AY32" s="1032"/>
      <c r="AZ32" s="1032"/>
      <c r="BA32" s="1035"/>
      <c r="BB32" s="1032"/>
      <c r="BC32" s="1032"/>
      <c r="BD32" s="1035"/>
      <c r="BE32" s="1032"/>
      <c r="BF32" s="1032"/>
      <c r="BG32" s="1035"/>
      <c r="BH32" s="1032"/>
      <c r="BI32" s="1032"/>
      <c r="BJ32" s="1035"/>
      <c r="BK32" s="1032"/>
      <c r="BL32" s="1032"/>
      <c r="BM32" s="1035"/>
      <c r="BN32" s="1032"/>
      <c r="BO32" s="1032"/>
      <c r="BP32" s="1035"/>
      <c r="BQ32" s="2373"/>
      <c r="BR32" s="2373"/>
      <c r="BS32" s="1035"/>
      <c r="BT32" s="2373"/>
      <c r="BU32" s="2373"/>
      <c r="BV32" s="1035"/>
      <c r="BW32" s="2373"/>
      <c r="BX32" s="2373"/>
      <c r="BY32" s="1035"/>
      <c r="BZ32" s="2373"/>
      <c r="CA32" s="2373"/>
      <c r="CB32" s="1035"/>
      <c r="CC32" s="2373"/>
      <c r="CD32" s="1032"/>
      <c r="CE32" s="1035"/>
    </row>
    <row r="33" spans="1:83" ht="15.75" x14ac:dyDescent="0.25">
      <c r="A33" s="961"/>
      <c r="B33" s="1029" t="s">
        <v>374</v>
      </c>
      <c r="C33" s="961"/>
      <c r="D33" s="1010"/>
      <c r="E33" s="1011">
        <f ca="1">+'Detail Summary'!CK232</f>
        <v>0</v>
      </c>
      <c r="F33" s="961"/>
      <c r="G33" s="1817"/>
      <c r="H33" s="1817"/>
      <c r="I33" s="1817"/>
      <c r="J33" s="1030">
        <f t="shared" si="13"/>
        <v>0</v>
      </c>
      <c r="K33" s="1011">
        <f t="shared" si="12"/>
        <v>0</v>
      </c>
      <c r="L33" s="1007"/>
      <c r="M33" s="960"/>
      <c r="N33" s="1035"/>
      <c r="O33" s="1035"/>
      <c r="P33" s="1035"/>
      <c r="Q33" s="1035"/>
      <c r="R33" s="1032"/>
      <c r="S33" s="1032"/>
      <c r="T33" s="1035"/>
      <c r="U33" s="1032"/>
      <c r="V33" s="1032"/>
      <c r="W33" s="1035"/>
      <c r="X33" s="1032"/>
      <c r="Y33" s="1032"/>
      <c r="Z33" s="1035"/>
      <c r="AA33" s="1032"/>
      <c r="AB33" s="1032"/>
      <c r="AC33" s="1035"/>
      <c r="AD33" s="1032"/>
      <c r="AE33" s="1032"/>
      <c r="AF33" s="1035"/>
      <c r="AG33" s="1447"/>
      <c r="AH33" s="1451"/>
      <c r="AI33" s="1035"/>
      <c r="AJ33" s="1451"/>
      <c r="AK33" s="1451"/>
      <c r="AL33" s="1035"/>
      <c r="AM33" s="1451"/>
      <c r="AN33" s="1451"/>
      <c r="AO33" s="1035"/>
      <c r="AP33" s="1451"/>
      <c r="AQ33" s="1451"/>
      <c r="AR33" s="1035"/>
      <c r="AS33" s="1451"/>
      <c r="AT33" s="1451"/>
      <c r="AU33" s="1035"/>
      <c r="AV33" s="1032"/>
      <c r="AW33" s="1090"/>
      <c r="AX33" s="1035"/>
      <c r="AY33" s="1032"/>
      <c r="AZ33" s="1032"/>
      <c r="BA33" s="1035"/>
      <c r="BB33" s="1032"/>
      <c r="BC33" s="1032"/>
      <c r="BD33" s="1035"/>
      <c r="BE33" s="1032"/>
      <c r="BF33" s="1032"/>
      <c r="BG33" s="1035"/>
      <c r="BH33" s="1032"/>
      <c r="BI33" s="1032"/>
      <c r="BJ33" s="1035"/>
      <c r="BK33" s="1032"/>
      <c r="BL33" s="1032"/>
      <c r="BM33" s="1035"/>
      <c r="BN33" s="1032"/>
      <c r="BO33" s="1032"/>
      <c r="BP33" s="1035"/>
      <c r="BQ33" s="2373"/>
      <c r="BR33" s="2373"/>
      <c r="BS33" s="1035"/>
      <c r="BT33" s="2373"/>
      <c r="BU33" s="2373"/>
      <c r="BV33" s="1035"/>
      <c r="BW33" s="2373"/>
      <c r="BX33" s="2373"/>
      <c r="BY33" s="1035"/>
      <c r="BZ33" s="2373"/>
      <c r="CA33" s="2373"/>
      <c r="CB33" s="1035"/>
      <c r="CC33" s="2373"/>
      <c r="CD33" s="1032"/>
      <c r="CE33" s="1035"/>
    </row>
    <row r="34" spans="1:83" ht="15.75" x14ac:dyDescent="0.25">
      <c r="A34" s="961"/>
      <c r="B34" s="999"/>
      <c r="C34" s="1000"/>
      <c r="D34" s="1001"/>
      <c r="E34" s="1012">
        <f ca="1">SUM(E12:E33)</f>
        <v>46096359.941877656</v>
      </c>
      <c r="F34" s="1001"/>
      <c r="G34" s="1001"/>
      <c r="H34" s="1001"/>
      <c r="I34" s="1001"/>
      <c r="J34" s="1013"/>
      <c r="K34" s="1012">
        <f ca="1">SUM(K12:K33)</f>
        <v>1841791.333133094</v>
      </c>
      <c r="L34" s="1002">
        <f ca="1">IF(E34+D11&lt;&gt;0,K34/(E34+D11),0)</f>
        <v>3.9955244523762541E-2</v>
      </c>
      <c r="M34" s="960"/>
      <c r="N34" s="1036">
        <f>SUM(N12:N33)</f>
        <v>375891.79</v>
      </c>
      <c r="O34" s="1036"/>
      <c r="P34" s="1036"/>
      <c r="Q34" s="1036">
        <f ca="1">SUM(Q12:Q33)</f>
        <v>5029</v>
      </c>
      <c r="R34" s="1032"/>
      <c r="S34" s="1032"/>
      <c r="T34" s="1036">
        <f ca="1">SUM(T12:T33)</f>
        <v>34984</v>
      </c>
      <c r="U34" s="1032"/>
      <c r="V34" s="1032"/>
      <c r="W34" s="1036">
        <f ca="1">SUM(W12:W33)</f>
        <v>13561532.5746</v>
      </c>
      <c r="X34" s="1032"/>
      <c r="Y34" s="1032"/>
      <c r="Z34" s="1036">
        <f ca="1">SUM(Z12:Z33)</f>
        <v>22497366.491466403</v>
      </c>
      <c r="AA34" s="1032"/>
      <c r="AB34" s="1032"/>
      <c r="AC34" s="1036">
        <f ca="1">SUM(AC12:AC33)</f>
        <v>7779764.752678168</v>
      </c>
      <c r="AD34" s="1032"/>
      <c r="AE34" s="1032"/>
      <c r="AF34" s="1036">
        <f ca="1">SUM(AF12:AF33)</f>
        <v>0</v>
      </c>
      <c r="AG34" s="1448"/>
      <c r="AH34" s="1452"/>
      <c r="AI34" s="1036">
        <f ca="1">SUM(AI12:AI33)</f>
        <v>0</v>
      </c>
      <c r="AJ34" s="1452"/>
      <c r="AK34" s="1452"/>
      <c r="AL34" s="1036">
        <f ca="1">SUM(AL12:AL33)</f>
        <v>0</v>
      </c>
      <c r="AM34" s="1452"/>
      <c r="AN34" s="1452"/>
      <c r="AO34" s="1036">
        <f ca="1">SUM(AO12:AO33)</f>
        <v>0</v>
      </c>
      <c r="AP34" s="1452"/>
      <c r="AQ34" s="1452"/>
      <c r="AR34" s="1036">
        <f ca="1">SUM(AR12:AR33)</f>
        <v>0</v>
      </c>
      <c r="AS34" s="1452"/>
      <c r="AT34" s="1452"/>
      <c r="AU34" s="1036">
        <f ca="1">SUM(AU12:AU33)</f>
        <v>58874359.511075504</v>
      </c>
      <c r="AV34" s="1032"/>
      <c r="AW34" s="1090"/>
      <c r="AX34" s="1036">
        <f>SUM(AX12:AX33)</f>
        <v>0</v>
      </c>
      <c r="AY34" s="1032"/>
      <c r="AZ34" s="1032"/>
      <c r="BA34" s="1036">
        <f ca="1">SUM(BA12:BA33)</f>
        <v>0</v>
      </c>
      <c r="BB34" s="1032"/>
      <c r="BC34" s="1032"/>
      <c r="BD34" s="1036">
        <f ca="1">SUM(BD12:BD33)</f>
        <v>0</v>
      </c>
      <c r="BE34" s="1032"/>
      <c r="BF34" s="1032"/>
      <c r="BG34" s="1036">
        <f ca="1">SUM(BG12:BG33)</f>
        <v>775869.385116547</v>
      </c>
      <c r="BH34" s="1032"/>
      <c r="BI34" s="1032"/>
      <c r="BJ34" s="1036">
        <f ca="1">SUM(BJ12:BJ33)</f>
        <v>942315.50801654707</v>
      </c>
      <c r="BK34" s="1032"/>
      <c r="BL34" s="1032"/>
      <c r="BM34" s="1036">
        <f ca="1">SUM(BM12:BM33)</f>
        <v>123606.44</v>
      </c>
      <c r="BN34" s="1032"/>
      <c r="BO34" s="1032"/>
      <c r="BP34" s="1036">
        <f ca="1">SUM(BP12:BP33)</f>
        <v>0</v>
      </c>
      <c r="BQ34" s="2374"/>
      <c r="BR34" s="2374"/>
      <c r="BS34" s="1036">
        <f ca="1">SUM(BS12:BS33)</f>
        <v>0</v>
      </c>
      <c r="BT34" s="2374"/>
      <c r="BU34" s="2374"/>
      <c r="BV34" s="1036">
        <f ca="1">SUM(BV12:BV33)</f>
        <v>0</v>
      </c>
      <c r="BW34" s="2374"/>
      <c r="BX34" s="2374"/>
      <c r="BY34" s="1036">
        <f ca="1">SUM(BY12:BY33)</f>
        <v>0</v>
      </c>
      <c r="BZ34" s="2374"/>
      <c r="CA34" s="2374"/>
      <c r="CB34" s="1036">
        <f ca="1">SUM(CB12:CB33)</f>
        <v>0</v>
      </c>
      <c r="CC34" s="2374"/>
      <c r="CD34" s="1032"/>
      <c r="CE34" s="1036">
        <f ca="1">SUM(CE12:CE33)</f>
        <v>1841791.333133094</v>
      </c>
    </row>
    <row r="35" spans="1:83" ht="15.75" x14ac:dyDescent="0.25">
      <c r="A35" s="961"/>
      <c r="B35" s="1003"/>
      <c r="C35" s="996"/>
      <c r="D35" s="961"/>
      <c r="E35" s="1016"/>
      <c r="F35" s="961"/>
      <c r="G35" s="1006"/>
      <c r="H35" s="1006"/>
      <c r="I35" s="1006"/>
      <c r="J35" s="961"/>
      <c r="K35" s="1016"/>
      <c r="L35" s="1005"/>
      <c r="M35" s="960"/>
      <c r="N35" s="1032"/>
      <c r="O35" s="1032"/>
      <c r="P35" s="1032"/>
      <c r="Q35" s="1032"/>
      <c r="R35" s="1032"/>
      <c r="S35" s="1032"/>
      <c r="T35" s="1032"/>
      <c r="U35" s="1032"/>
      <c r="V35" s="1032"/>
      <c r="W35" s="1032"/>
      <c r="X35" s="1032"/>
      <c r="Y35" s="1032"/>
      <c r="Z35" s="1032"/>
      <c r="AA35" s="1032"/>
      <c r="AB35" s="1032"/>
      <c r="AC35" s="1032"/>
      <c r="AD35" s="1032"/>
      <c r="AE35" s="1032"/>
      <c r="AF35" s="1037"/>
      <c r="AG35" s="1037"/>
      <c r="AH35" s="1037"/>
      <c r="AI35" s="1037"/>
      <c r="AJ35" s="1037"/>
      <c r="AK35" s="1037"/>
      <c r="AL35" s="1037"/>
      <c r="AM35" s="1037"/>
      <c r="AN35" s="1037"/>
      <c r="AO35" s="1037"/>
      <c r="AP35" s="1037"/>
      <c r="AQ35" s="1037"/>
      <c r="AR35" s="1037">
        <f ca="1">SUM(N34:AR34)</f>
        <v>44254568.608744577</v>
      </c>
      <c r="AS35" s="1037"/>
      <c r="AT35" s="1037"/>
      <c r="AU35" s="1037">
        <f ca="1">AU34-AF35</f>
        <v>58874359.511075504</v>
      </c>
      <c r="AV35" s="1032"/>
      <c r="AW35" s="1090"/>
      <c r="AX35" s="1032"/>
      <c r="AY35" s="1032"/>
      <c r="AZ35" s="1032"/>
      <c r="BA35" s="1032"/>
      <c r="BB35" s="1032"/>
      <c r="BC35" s="1032"/>
      <c r="BD35" s="1032"/>
      <c r="BE35" s="1032"/>
      <c r="BF35" s="1032"/>
      <c r="BG35" s="1032"/>
      <c r="BH35" s="1032"/>
      <c r="BI35" s="1032"/>
      <c r="BJ35" s="1032"/>
      <c r="BK35" s="1032"/>
      <c r="BL35" s="1032"/>
      <c r="BM35" s="1032"/>
      <c r="BN35" s="1032"/>
      <c r="BO35" s="1032"/>
      <c r="BP35" s="1037"/>
      <c r="BQ35" s="1037"/>
      <c r="BR35" s="1037"/>
      <c r="BS35" s="1037"/>
      <c r="BT35" s="1037"/>
      <c r="BU35" s="1037"/>
      <c r="BV35" s="1037"/>
      <c r="BW35" s="1037"/>
      <c r="BX35" s="1037"/>
      <c r="BY35" s="1037"/>
      <c r="BZ35" s="1037"/>
      <c r="CA35" s="1037"/>
      <c r="CB35" s="1037">
        <f ca="1">SUM(AX34:CB34)</f>
        <v>1841791.333133094</v>
      </c>
      <c r="CC35" s="1037"/>
      <c r="CD35" s="1032"/>
      <c r="CE35" s="1037"/>
    </row>
    <row r="36" spans="1:83" ht="15.75" x14ac:dyDescent="0.25">
      <c r="A36" s="961"/>
      <c r="B36" s="1017"/>
      <c r="C36" s="996"/>
      <c r="D36" s="961"/>
      <c r="E36" s="1016"/>
      <c r="F36" s="961"/>
      <c r="G36" s="961"/>
      <c r="H36" s="961"/>
      <c r="I36" s="961"/>
      <c r="J36" s="1018"/>
      <c r="K36" s="1016"/>
      <c r="L36" s="1005"/>
      <c r="M36" s="960"/>
      <c r="N36" s="1032"/>
      <c r="O36" s="1032"/>
      <c r="P36" s="1032"/>
      <c r="Q36" s="1032"/>
      <c r="R36" s="1032"/>
      <c r="S36" s="1032"/>
      <c r="T36" s="1032"/>
      <c r="U36" s="1032"/>
      <c r="V36" s="1032"/>
      <c r="W36" s="1032"/>
      <c r="X36" s="1032"/>
      <c r="Y36" s="1032"/>
      <c r="Z36" s="1032"/>
      <c r="AA36" s="1032"/>
      <c r="AB36" s="1032"/>
      <c r="AC36" s="1032"/>
      <c r="AD36" s="1032"/>
      <c r="AE36" s="1032"/>
      <c r="AF36" s="1032"/>
      <c r="AG36" s="1032"/>
      <c r="AH36" s="1032"/>
      <c r="AI36" s="1032"/>
      <c r="AJ36" s="1032"/>
      <c r="AK36" s="1032"/>
      <c r="AL36" s="1032"/>
      <c r="AM36" s="1032"/>
      <c r="AN36" s="1032"/>
      <c r="AO36" s="1032"/>
      <c r="AP36" s="1032"/>
      <c r="AQ36" s="1032"/>
      <c r="AR36" s="1032"/>
      <c r="AS36" s="1032"/>
      <c r="AT36" s="1032"/>
      <c r="AU36" s="1032"/>
      <c r="AV36" s="1032"/>
      <c r="AW36" s="1090"/>
      <c r="AX36" s="1032"/>
      <c r="AY36" s="1032"/>
      <c r="AZ36" s="1032"/>
      <c r="BA36" s="1032"/>
      <c r="BB36" s="1032"/>
      <c r="BC36" s="1032"/>
      <c r="BD36" s="1032"/>
      <c r="BE36" s="1032"/>
      <c r="BF36" s="1032"/>
      <c r="BG36" s="1032"/>
      <c r="BH36" s="1032"/>
      <c r="BI36" s="1032"/>
      <c r="BJ36" s="1032"/>
      <c r="BK36" s="1032"/>
      <c r="BL36" s="1032"/>
      <c r="BM36" s="1032"/>
      <c r="BN36" s="1032"/>
      <c r="BO36" s="1032"/>
      <c r="BP36" s="1032"/>
      <c r="BQ36" s="1032"/>
      <c r="BR36" s="1032"/>
      <c r="BS36" s="1032"/>
      <c r="BT36" s="1032"/>
      <c r="BU36" s="1032"/>
      <c r="BV36" s="1032"/>
      <c r="BW36" s="1032"/>
      <c r="BX36" s="1032"/>
      <c r="BY36" s="1032"/>
      <c r="BZ36" s="1032"/>
      <c r="CA36" s="1032"/>
      <c r="CB36" s="1032"/>
      <c r="CC36" s="1032"/>
      <c r="CD36" s="1032"/>
      <c r="CE36" s="1032"/>
    </row>
    <row r="37" spans="1:83" ht="15.75" x14ac:dyDescent="0.25">
      <c r="A37" s="961"/>
      <c r="B37" s="990" t="s">
        <v>1192</v>
      </c>
      <c r="C37" s="991"/>
      <c r="D37" s="993"/>
      <c r="E37" s="992"/>
      <c r="F37" s="993"/>
      <c r="G37" s="994" t="s">
        <v>554</v>
      </c>
      <c r="H37" s="994" t="s">
        <v>1191</v>
      </c>
      <c r="I37" s="994" t="s">
        <v>505</v>
      </c>
      <c r="J37" s="993"/>
      <c r="K37" s="992"/>
      <c r="L37" s="1019"/>
      <c r="M37" s="960"/>
      <c r="N37" s="1032"/>
      <c r="O37" s="1032"/>
      <c r="P37" s="1032"/>
      <c r="Q37" s="1032"/>
      <c r="R37" s="1032"/>
      <c r="S37" s="1032"/>
      <c r="T37" s="1032"/>
      <c r="U37" s="1032"/>
      <c r="V37" s="1032"/>
      <c r="W37" s="1032"/>
      <c r="X37" s="1032"/>
      <c r="Y37" s="1032"/>
      <c r="Z37" s="1032"/>
      <c r="AA37" s="1032"/>
      <c r="AB37" s="1032"/>
      <c r="AC37" s="1032"/>
      <c r="AD37" s="1032"/>
      <c r="AE37" s="1032"/>
      <c r="AF37" s="1032"/>
      <c r="AG37" s="1032"/>
      <c r="AH37" s="1032"/>
      <c r="AI37" s="1032"/>
      <c r="AJ37" s="1032"/>
      <c r="AK37" s="1032"/>
      <c r="AL37" s="1032"/>
      <c r="AM37" s="1032"/>
      <c r="AN37" s="1032"/>
      <c r="AO37" s="1032"/>
      <c r="AP37" s="1032"/>
      <c r="AQ37" s="1032"/>
      <c r="AR37" s="1032"/>
      <c r="AS37" s="1032"/>
      <c r="AT37" s="1032"/>
      <c r="AU37" s="1032"/>
      <c r="AV37" s="1032"/>
      <c r="AW37" s="1090"/>
      <c r="AX37" s="1032"/>
      <c r="AY37" s="1032"/>
      <c r="AZ37" s="1032"/>
      <c r="BA37" s="1032"/>
      <c r="BB37" s="1032"/>
      <c r="BC37" s="1032"/>
      <c r="BD37" s="1032"/>
      <c r="BE37" s="1032"/>
      <c r="BF37" s="1032"/>
      <c r="BG37" s="1032"/>
      <c r="BH37" s="1032"/>
      <c r="BI37" s="1032"/>
      <c r="BJ37" s="1032"/>
      <c r="BK37" s="1032"/>
      <c r="BL37" s="1032"/>
      <c r="BM37" s="1032"/>
      <c r="BN37" s="1032"/>
      <c r="BO37" s="1032"/>
      <c r="BP37" s="1032"/>
      <c r="BQ37" s="1032"/>
      <c r="BR37" s="1032"/>
      <c r="BS37" s="1032"/>
      <c r="BT37" s="1032"/>
      <c r="BU37" s="1032"/>
      <c r="BV37" s="1032"/>
      <c r="BW37" s="1032"/>
      <c r="BX37" s="1032"/>
      <c r="BY37" s="1032"/>
      <c r="BZ37" s="1032"/>
      <c r="CA37" s="1032"/>
      <c r="CB37" s="1032"/>
      <c r="CC37" s="1032"/>
      <c r="CD37" s="1032"/>
      <c r="CE37" s="1032"/>
    </row>
    <row r="38" spans="1:83" ht="15.75" x14ac:dyDescent="0.25">
      <c r="A38" s="961"/>
      <c r="B38" s="995"/>
      <c r="C38" s="1004"/>
      <c r="D38" s="961"/>
      <c r="E38" s="1011"/>
      <c r="F38" s="961"/>
      <c r="G38" s="2425"/>
      <c r="H38" s="2425"/>
      <c r="I38" s="2425"/>
      <c r="J38" s="961"/>
      <c r="K38" s="997"/>
      <c r="L38" s="2428"/>
      <c r="M38" s="960"/>
      <c r="N38" s="1032"/>
      <c r="O38" s="1032"/>
      <c r="P38" s="1032"/>
      <c r="Q38" s="1032"/>
      <c r="R38" s="1032"/>
      <c r="S38" s="1032"/>
      <c r="T38" s="1032"/>
      <c r="U38" s="1032"/>
      <c r="V38" s="1032"/>
      <c r="W38" s="1032"/>
      <c r="X38" s="1032"/>
      <c r="Y38" s="1032"/>
      <c r="Z38" s="1032"/>
      <c r="AA38" s="1032"/>
      <c r="AB38" s="1032"/>
      <c r="AC38" s="1032"/>
      <c r="AD38" s="1032"/>
      <c r="AE38" s="1032"/>
      <c r="AF38" s="1032"/>
      <c r="AG38" s="1032"/>
      <c r="AH38" s="1032"/>
      <c r="AI38" s="1032"/>
      <c r="AJ38" s="1032"/>
      <c r="AK38" s="1032"/>
      <c r="AL38" s="1032"/>
      <c r="AM38" s="1032"/>
      <c r="AN38" s="1032"/>
      <c r="AO38" s="1032"/>
      <c r="AP38" s="1032"/>
      <c r="AQ38" s="1032"/>
      <c r="AR38" s="1032"/>
      <c r="AS38" s="1032"/>
      <c r="AT38" s="1032"/>
      <c r="AU38" s="1032"/>
      <c r="AV38" s="1032"/>
      <c r="AW38" s="1090"/>
      <c r="AX38" s="1032"/>
      <c r="AY38" s="1032"/>
      <c r="AZ38" s="1032"/>
      <c r="BA38" s="1032"/>
      <c r="BB38" s="1032"/>
      <c r="BC38" s="1032"/>
      <c r="BD38" s="1032"/>
      <c r="BE38" s="1032"/>
      <c r="BF38" s="1032"/>
      <c r="BG38" s="1032"/>
      <c r="BH38" s="1032"/>
      <c r="BI38" s="1032"/>
      <c r="BJ38" s="1032"/>
      <c r="BK38" s="1032"/>
      <c r="BL38" s="1032"/>
      <c r="BM38" s="1032"/>
      <c r="BN38" s="1032"/>
      <c r="BO38" s="1032"/>
      <c r="BP38" s="1032"/>
      <c r="BQ38" s="1032"/>
      <c r="BR38" s="1032"/>
      <c r="BS38" s="1032"/>
      <c r="BT38" s="1032"/>
      <c r="BU38" s="1032"/>
      <c r="BV38" s="1032"/>
      <c r="BW38" s="1032"/>
      <c r="BX38" s="1032"/>
      <c r="BY38" s="1032"/>
      <c r="BZ38" s="1032"/>
      <c r="CA38" s="1032"/>
      <c r="CB38" s="1032"/>
      <c r="CC38" s="1032"/>
      <c r="CD38" s="1032"/>
      <c r="CE38" s="1032"/>
    </row>
    <row r="39" spans="1:83" ht="15.75" x14ac:dyDescent="0.25">
      <c r="A39" s="961"/>
      <c r="B39" s="995"/>
      <c r="C39" s="1004"/>
      <c r="D39" s="961"/>
      <c r="E39" s="1011"/>
      <c r="F39" s="961"/>
      <c r="G39" s="2425"/>
      <c r="H39" s="2425"/>
      <c r="I39" s="2425"/>
      <c r="J39" s="961"/>
      <c r="K39" s="997"/>
      <c r="L39" s="2428"/>
      <c r="M39" s="960"/>
      <c r="N39" s="961"/>
      <c r="O39" s="961"/>
      <c r="P39" s="961"/>
      <c r="Q39" s="961"/>
      <c r="R39" s="961"/>
      <c r="S39" s="961"/>
      <c r="T39" s="961"/>
      <c r="U39" s="961"/>
      <c r="V39" s="961"/>
      <c r="W39" s="961"/>
      <c r="X39" s="961"/>
      <c r="Y39" s="961"/>
      <c r="Z39" s="961"/>
      <c r="AA39" s="961"/>
      <c r="AB39" s="961"/>
      <c r="AC39" s="961"/>
      <c r="AD39" s="961"/>
      <c r="AE39" s="961"/>
      <c r="AF39" s="961"/>
      <c r="AG39" s="961"/>
      <c r="AH39" s="961"/>
      <c r="AI39" s="961"/>
      <c r="AJ39" s="961"/>
      <c r="AK39" s="961"/>
      <c r="AL39" s="961"/>
      <c r="AM39" s="961"/>
      <c r="AN39" s="961"/>
      <c r="AO39" s="961"/>
      <c r="AP39" s="961"/>
      <c r="AQ39" s="961"/>
      <c r="AR39" s="961"/>
      <c r="AS39" s="961"/>
      <c r="AT39" s="961"/>
      <c r="AU39" s="961"/>
      <c r="AV39" s="961"/>
      <c r="AW39" s="1089"/>
      <c r="AX39" s="961"/>
      <c r="AY39" s="961"/>
      <c r="AZ39" s="961"/>
      <c r="BA39" s="961"/>
      <c r="BB39" s="961"/>
      <c r="BC39" s="961"/>
      <c r="BD39" s="961"/>
      <c r="BE39" s="961"/>
      <c r="BF39" s="961"/>
      <c r="BG39" s="961"/>
      <c r="BH39" s="961"/>
      <c r="BI39" s="961"/>
      <c r="BJ39" s="961"/>
      <c r="BK39" s="961"/>
      <c r="BL39" s="961"/>
      <c r="BM39" s="961"/>
      <c r="BN39" s="961"/>
      <c r="BO39" s="961"/>
      <c r="BP39" s="961"/>
      <c r="BQ39" s="961"/>
      <c r="BR39" s="961"/>
      <c r="BS39" s="961"/>
      <c r="BT39" s="961"/>
      <c r="BU39" s="961"/>
      <c r="BV39" s="961"/>
      <c r="BW39" s="961"/>
      <c r="BX39" s="961"/>
      <c r="BY39" s="961"/>
      <c r="BZ39" s="961"/>
      <c r="CA39" s="961"/>
      <c r="CB39" s="961"/>
      <c r="CC39" s="961"/>
      <c r="CD39" s="961"/>
      <c r="CE39" s="961"/>
    </row>
    <row r="40" spans="1:83" ht="15.75" x14ac:dyDescent="0.25">
      <c r="A40" s="961"/>
      <c r="B40" s="995"/>
      <c r="C40" s="1004"/>
      <c r="D40" s="961"/>
      <c r="E40" s="1011"/>
      <c r="F40" s="961"/>
      <c r="G40" s="2425"/>
      <c r="H40" s="2425"/>
      <c r="I40" s="2425"/>
      <c r="J40" s="961"/>
      <c r="K40" s="997">
        <f>(G40*E40)+(H40*E40)+(I40*E40)</f>
        <v>0</v>
      </c>
      <c r="L40" s="2428"/>
      <c r="M40" s="960"/>
      <c r="N40" s="961"/>
      <c r="O40" s="961"/>
      <c r="P40" s="961"/>
      <c r="Q40" s="961"/>
      <c r="R40" s="961"/>
      <c r="S40" s="961"/>
      <c r="T40" s="961"/>
      <c r="U40" s="961"/>
      <c r="V40" s="961"/>
      <c r="W40" s="961"/>
      <c r="X40" s="961"/>
      <c r="Y40" s="961"/>
      <c r="Z40" s="961"/>
      <c r="AA40" s="961"/>
      <c r="AB40" s="961"/>
      <c r="AC40" s="961"/>
      <c r="AD40" s="961"/>
      <c r="AE40" s="961"/>
      <c r="AF40" s="961"/>
      <c r="AG40" s="961"/>
      <c r="AH40" s="961"/>
      <c r="AI40" s="961"/>
      <c r="AJ40" s="961"/>
      <c r="AK40" s="961"/>
      <c r="AL40" s="961"/>
      <c r="AM40" s="961"/>
      <c r="AN40" s="961"/>
      <c r="AO40" s="961"/>
      <c r="AP40" s="961"/>
      <c r="AQ40" s="961"/>
      <c r="AR40" s="961"/>
      <c r="AS40" s="961"/>
      <c r="AT40" s="961"/>
      <c r="AU40" s="961"/>
      <c r="AV40" s="961"/>
      <c r="AW40" s="1089"/>
      <c r="AX40" s="961"/>
      <c r="AY40" s="961"/>
      <c r="AZ40" s="961"/>
      <c r="BA40" s="961"/>
      <c r="BB40" s="961"/>
      <c r="BC40" s="961"/>
      <c r="BD40" s="961"/>
      <c r="BE40" s="961"/>
      <c r="BF40" s="961"/>
      <c r="BG40" s="961"/>
      <c r="BH40" s="961"/>
      <c r="BI40" s="961"/>
      <c r="BJ40" s="961"/>
      <c r="BK40" s="961"/>
      <c r="BL40" s="961"/>
      <c r="BM40" s="961"/>
      <c r="BN40" s="961"/>
      <c r="BO40" s="961"/>
      <c r="BP40" s="961"/>
      <c r="BQ40" s="961"/>
      <c r="BR40" s="961"/>
      <c r="BS40" s="961"/>
      <c r="BT40" s="961"/>
      <c r="BU40" s="961"/>
      <c r="BV40" s="961"/>
      <c r="BW40" s="961"/>
      <c r="BX40" s="961"/>
      <c r="BY40" s="961"/>
      <c r="BZ40" s="961"/>
      <c r="CA40" s="961"/>
      <c r="CB40" s="961"/>
      <c r="CC40" s="961"/>
      <c r="CD40" s="961"/>
      <c r="CE40" s="961"/>
    </row>
    <row r="41" spans="1:83" ht="15" x14ac:dyDescent="0.25">
      <c r="A41" s="961"/>
      <c r="B41" s="995"/>
      <c r="C41" s="996"/>
      <c r="D41" s="961"/>
      <c r="E41" s="1011"/>
      <c r="F41" s="961"/>
      <c r="G41" s="2425"/>
      <c r="H41" s="2425"/>
      <c r="I41" s="2425"/>
      <c r="J41" s="961"/>
      <c r="K41" s="997"/>
      <c r="L41" s="2428"/>
      <c r="M41" s="960"/>
      <c r="N41" s="961"/>
      <c r="O41" s="961"/>
      <c r="P41" s="961"/>
      <c r="Q41" s="961"/>
      <c r="R41" s="961"/>
      <c r="S41" s="961"/>
      <c r="T41" s="961"/>
      <c r="U41" s="961"/>
      <c r="V41" s="961"/>
      <c r="W41" s="961"/>
      <c r="X41" s="961"/>
      <c r="Y41" s="961"/>
      <c r="Z41" s="961"/>
      <c r="AA41" s="961"/>
      <c r="AB41" s="961"/>
      <c r="AC41" s="961"/>
      <c r="AD41" s="961"/>
      <c r="AE41" s="961"/>
      <c r="AF41" s="961"/>
      <c r="AG41" s="961"/>
      <c r="AH41" s="961"/>
      <c r="AI41" s="961"/>
      <c r="AJ41" s="961"/>
      <c r="AK41" s="961"/>
      <c r="AL41" s="961"/>
      <c r="AM41" s="961"/>
      <c r="AN41" s="961"/>
      <c r="AO41" s="961"/>
      <c r="AP41" s="961"/>
      <c r="AQ41" s="961"/>
      <c r="AR41" s="961"/>
      <c r="AS41" s="961"/>
      <c r="AT41" s="961"/>
      <c r="AU41" s="961"/>
      <c r="AV41" s="961"/>
      <c r="AW41" s="1089"/>
      <c r="AX41" s="961"/>
      <c r="AY41" s="961"/>
      <c r="AZ41" s="961"/>
      <c r="BA41" s="961"/>
      <c r="BB41" s="961"/>
      <c r="BC41" s="961"/>
      <c r="BD41" s="961"/>
      <c r="BE41" s="961"/>
      <c r="BF41" s="961"/>
      <c r="BG41" s="961"/>
      <c r="BH41" s="961"/>
      <c r="BI41" s="961"/>
      <c r="BJ41" s="961"/>
      <c r="BK41" s="961"/>
      <c r="BL41" s="961"/>
      <c r="BM41" s="961"/>
      <c r="BN41" s="961"/>
      <c r="BO41" s="961"/>
      <c r="BP41" s="961"/>
      <c r="BQ41" s="961"/>
      <c r="BR41" s="961"/>
      <c r="BS41" s="961"/>
      <c r="BT41" s="961"/>
      <c r="BU41" s="961"/>
      <c r="BV41" s="961"/>
      <c r="BW41" s="961"/>
      <c r="BX41" s="961"/>
      <c r="BY41" s="961"/>
      <c r="BZ41" s="961"/>
      <c r="CA41" s="961"/>
      <c r="CB41" s="961"/>
      <c r="CC41" s="961"/>
      <c r="CD41" s="961"/>
      <c r="CE41" s="961"/>
    </row>
    <row r="42" spans="1:83" ht="15" x14ac:dyDescent="0.25">
      <c r="A42" s="961"/>
      <c r="B42" s="995"/>
      <c r="C42" s="996"/>
      <c r="D42" s="961"/>
      <c r="E42" s="1011"/>
      <c r="F42" s="961"/>
      <c r="G42" s="2425"/>
      <c r="H42" s="2425"/>
      <c r="I42" s="2425"/>
      <c r="J42" s="961"/>
      <c r="K42" s="997">
        <f t="shared" ref="K42:K50" si="29">(G42*E42)+(H42*E42)+(I42*E42)</f>
        <v>0</v>
      </c>
      <c r="L42" s="2428"/>
      <c r="M42" s="960"/>
      <c r="N42" s="961"/>
      <c r="O42" s="961"/>
      <c r="P42" s="961"/>
      <c r="Q42" s="961"/>
      <c r="R42" s="961"/>
      <c r="S42" s="961"/>
      <c r="T42" s="961"/>
      <c r="U42" s="961"/>
      <c r="V42" s="961"/>
      <c r="W42" s="961"/>
      <c r="X42" s="961"/>
      <c r="Y42" s="961"/>
      <c r="Z42" s="961"/>
      <c r="AA42" s="961"/>
      <c r="AB42" s="961"/>
      <c r="AC42" s="961"/>
      <c r="AD42" s="961"/>
      <c r="AE42" s="961"/>
      <c r="AF42" s="961"/>
      <c r="AG42" s="961"/>
      <c r="AH42" s="961"/>
      <c r="AI42" s="961"/>
      <c r="AJ42" s="961"/>
      <c r="AK42" s="961"/>
      <c r="AL42" s="961"/>
      <c r="AM42" s="961"/>
      <c r="AN42" s="961"/>
      <c r="AO42" s="961"/>
      <c r="AP42" s="961"/>
      <c r="AQ42" s="961"/>
      <c r="AR42" s="961"/>
      <c r="AS42" s="961"/>
      <c r="AT42" s="961"/>
      <c r="AU42" s="961"/>
      <c r="AV42" s="961"/>
      <c r="AW42" s="1089"/>
      <c r="AX42" s="961"/>
      <c r="AY42" s="961"/>
      <c r="AZ42" s="961"/>
      <c r="BA42" s="961"/>
      <c r="BB42" s="961"/>
      <c r="BC42" s="961"/>
      <c r="BD42" s="961"/>
      <c r="BE42" s="961"/>
      <c r="BF42" s="961"/>
      <c r="BG42" s="961"/>
      <c r="BH42" s="961"/>
      <c r="BI42" s="961"/>
      <c r="BJ42" s="961"/>
      <c r="BK42" s="961"/>
      <c r="BL42" s="961"/>
      <c r="BM42" s="961"/>
      <c r="BN42" s="961"/>
      <c r="BO42" s="961"/>
      <c r="BP42" s="961"/>
      <c r="BQ42" s="961"/>
      <c r="BR42" s="961"/>
      <c r="BS42" s="961"/>
      <c r="BT42" s="961"/>
      <c r="BU42" s="961"/>
      <c r="BV42" s="961"/>
      <c r="BW42" s="961"/>
      <c r="BX42" s="961"/>
      <c r="BY42" s="961"/>
      <c r="BZ42" s="961"/>
      <c r="CA42" s="961"/>
      <c r="CB42" s="961"/>
      <c r="CC42" s="961"/>
      <c r="CD42" s="961"/>
      <c r="CE42" s="961"/>
    </row>
    <row r="43" spans="1:83" ht="15" x14ac:dyDescent="0.25">
      <c r="A43" s="961"/>
      <c r="B43" s="995"/>
      <c r="C43" s="996"/>
      <c r="D43" s="961"/>
      <c r="E43" s="1011"/>
      <c r="F43" s="961"/>
      <c r="G43" s="2425"/>
      <c r="H43" s="2425"/>
      <c r="I43" s="2425"/>
      <c r="J43" s="961"/>
      <c r="K43" s="997">
        <f t="shared" si="29"/>
        <v>0</v>
      </c>
      <c r="L43" s="2428"/>
      <c r="M43" s="960"/>
      <c r="N43" s="961"/>
      <c r="O43" s="961"/>
      <c r="P43" s="961"/>
      <c r="Q43" s="961"/>
      <c r="R43" s="961"/>
      <c r="S43" s="961"/>
      <c r="T43" s="961"/>
      <c r="U43" s="961"/>
      <c r="V43" s="961"/>
      <c r="W43" s="961"/>
      <c r="X43" s="961"/>
      <c r="Y43" s="961"/>
      <c r="Z43" s="961"/>
      <c r="AA43" s="961"/>
      <c r="AB43" s="961"/>
      <c r="AC43" s="961"/>
      <c r="AD43" s="961"/>
      <c r="AE43" s="961"/>
      <c r="AF43" s="961"/>
      <c r="AG43" s="961"/>
      <c r="AH43" s="961"/>
      <c r="AI43" s="961"/>
      <c r="AJ43" s="961"/>
      <c r="AK43" s="961"/>
      <c r="AL43" s="961"/>
      <c r="AM43" s="961"/>
      <c r="AN43" s="961"/>
      <c r="AO43" s="961"/>
      <c r="AP43" s="961"/>
      <c r="AQ43" s="961"/>
      <c r="AR43" s="961"/>
      <c r="AS43" s="961"/>
      <c r="AT43" s="961"/>
      <c r="AU43" s="961"/>
      <c r="AV43" s="961"/>
      <c r="AW43" s="1089"/>
      <c r="AX43" s="961"/>
      <c r="AY43" s="961"/>
      <c r="AZ43" s="961"/>
      <c r="BA43" s="961"/>
      <c r="BB43" s="961"/>
      <c r="BC43" s="961"/>
      <c r="BD43" s="961"/>
      <c r="BE43" s="961"/>
      <c r="BF43" s="961"/>
      <c r="BG43" s="961"/>
      <c r="BH43" s="961"/>
      <c r="BI43" s="961"/>
      <c r="BJ43" s="961"/>
      <c r="BK43" s="961"/>
      <c r="BL43" s="961"/>
      <c r="BM43" s="961"/>
      <c r="BN43" s="961"/>
      <c r="BO43" s="961"/>
      <c r="BP43" s="961"/>
      <c r="BQ43" s="961"/>
      <c r="BR43" s="961"/>
      <c r="BS43" s="961"/>
      <c r="BT43" s="961"/>
      <c r="BU43" s="961"/>
      <c r="BV43" s="961"/>
      <c r="BW43" s="961"/>
      <c r="BX43" s="961"/>
      <c r="BY43" s="961"/>
      <c r="BZ43" s="961"/>
      <c r="CA43" s="961"/>
      <c r="CB43" s="961"/>
      <c r="CC43" s="961"/>
      <c r="CD43" s="961"/>
      <c r="CE43" s="961"/>
    </row>
    <row r="44" spans="1:83" ht="15" x14ac:dyDescent="0.25">
      <c r="A44" s="961"/>
      <c r="B44" s="995"/>
      <c r="C44" s="996"/>
      <c r="D44" s="961"/>
      <c r="E44" s="1011"/>
      <c r="F44" s="961"/>
      <c r="G44" s="2425"/>
      <c r="H44" s="2425"/>
      <c r="I44" s="2425"/>
      <c r="J44" s="961"/>
      <c r="K44" s="997">
        <f t="shared" si="29"/>
        <v>0</v>
      </c>
      <c r="L44" s="2428"/>
      <c r="M44" s="960"/>
      <c r="N44" s="961"/>
      <c r="O44" s="961"/>
      <c r="P44" s="961"/>
      <c r="Q44" s="961"/>
      <c r="R44" s="961"/>
      <c r="S44" s="961"/>
      <c r="T44" s="961"/>
      <c r="U44" s="961"/>
      <c r="V44" s="961"/>
      <c r="W44" s="961"/>
      <c r="X44" s="961"/>
      <c r="Y44" s="961"/>
      <c r="Z44" s="961"/>
      <c r="AA44" s="961"/>
      <c r="AB44" s="961"/>
      <c r="AC44" s="961"/>
      <c r="AD44" s="961"/>
      <c r="AE44" s="961"/>
      <c r="AF44" s="961"/>
      <c r="AG44" s="961"/>
      <c r="AH44" s="961"/>
      <c r="AI44" s="961"/>
      <c r="AJ44" s="961"/>
      <c r="AK44" s="961"/>
      <c r="AL44" s="961"/>
      <c r="AM44" s="961"/>
      <c r="AN44" s="961"/>
      <c r="AO44" s="961"/>
      <c r="AP44" s="961"/>
      <c r="AQ44" s="961"/>
      <c r="AR44" s="961"/>
      <c r="AS44" s="961"/>
      <c r="AT44" s="961"/>
      <c r="AU44" s="961"/>
      <c r="AV44" s="961"/>
      <c r="AW44" s="1089"/>
      <c r="AX44" s="961"/>
      <c r="AY44" s="961"/>
      <c r="AZ44" s="961"/>
      <c r="BA44" s="961"/>
      <c r="BB44" s="961"/>
      <c r="BC44" s="961"/>
      <c r="BD44" s="961"/>
      <c r="BE44" s="961"/>
      <c r="BF44" s="961"/>
      <c r="BG44" s="961"/>
      <c r="BH44" s="961"/>
      <c r="BI44" s="961"/>
      <c r="BJ44" s="961"/>
      <c r="BK44" s="961"/>
      <c r="BL44" s="961"/>
      <c r="BM44" s="961"/>
      <c r="BN44" s="961"/>
      <c r="BO44" s="961"/>
      <c r="BP44" s="961"/>
      <c r="BQ44" s="961"/>
      <c r="BR44" s="961"/>
      <c r="BS44" s="961"/>
      <c r="BT44" s="961"/>
      <c r="BU44" s="961"/>
      <c r="BV44" s="961"/>
      <c r="BW44" s="961"/>
      <c r="BX44" s="961"/>
      <c r="BY44" s="961"/>
      <c r="BZ44" s="961"/>
      <c r="CA44" s="961"/>
      <c r="CB44" s="961"/>
      <c r="CC44" s="961"/>
      <c r="CD44" s="961"/>
      <c r="CE44" s="961"/>
    </row>
    <row r="45" spans="1:83" ht="15" x14ac:dyDescent="0.25">
      <c r="A45" s="961"/>
      <c r="B45" s="995"/>
      <c r="C45" s="996"/>
      <c r="D45" s="961"/>
      <c r="E45" s="1011"/>
      <c r="F45" s="961"/>
      <c r="G45" s="2425"/>
      <c r="H45" s="2425"/>
      <c r="I45" s="2425"/>
      <c r="J45" s="961"/>
      <c r="K45" s="997">
        <f t="shared" si="29"/>
        <v>0</v>
      </c>
      <c r="L45" s="2428"/>
      <c r="M45" s="960"/>
      <c r="N45" s="961"/>
      <c r="O45" s="961"/>
      <c r="P45" s="961"/>
      <c r="Q45" s="961"/>
      <c r="R45" s="961"/>
      <c r="S45" s="961"/>
      <c r="T45" s="961"/>
      <c r="U45" s="961"/>
      <c r="V45" s="961"/>
      <c r="W45" s="961"/>
      <c r="X45" s="961"/>
      <c r="Y45" s="961"/>
      <c r="Z45" s="961"/>
      <c r="AA45" s="961"/>
      <c r="AB45" s="961"/>
      <c r="AC45" s="961"/>
      <c r="AD45" s="961"/>
      <c r="AE45" s="961"/>
      <c r="AF45" s="961"/>
      <c r="AG45" s="961"/>
      <c r="AH45" s="961"/>
      <c r="AI45" s="961"/>
      <c r="AJ45" s="961"/>
      <c r="AK45" s="961"/>
      <c r="AL45" s="961"/>
      <c r="AM45" s="961"/>
      <c r="AN45" s="961"/>
      <c r="AO45" s="961"/>
      <c r="AP45" s="961"/>
      <c r="AQ45" s="961"/>
      <c r="AR45" s="961"/>
      <c r="AS45" s="961"/>
      <c r="AT45" s="961"/>
      <c r="AU45" s="961"/>
      <c r="AV45" s="961"/>
      <c r="AW45" s="1089"/>
      <c r="AX45" s="961"/>
      <c r="AY45" s="961"/>
      <c r="AZ45" s="961"/>
      <c r="BA45" s="961"/>
      <c r="BB45" s="961"/>
      <c r="BC45" s="961"/>
      <c r="BD45" s="961"/>
      <c r="BE45" s="961"/>
      <c r="BF45" s="961"/>
      <c r="BG45" s="961"/>
      <c r="BH45" s="961"/>
      <c r="BI45" s="961"/>
      <c r="BJ45" s="961"/>
      <c r="BK45" s="961"/>
      <c r="BL45" s="961"/>
      <c r="BM45" s="961"/>
      <c r="BN45" s="961"/>
      <c r="BO45" s="961"/>
      <c r="BP45" s="961"/>
      <c r="BQ45" s="961"/>
      <c r="BR45" s="961"/>
      <c r="BS45" s="961"/>
      <c r="BT45" s="961"/>
      <c r="BU45" s="961"/>
      <c r="BV45" s="961"/>
      <c r="BW45" s="961"/>
      <c r="BX45" s="961"/>
      <c r="BY45" s="961"/>
      <c r="BZ45" s="961"/>
      <c r="CA45" s="961"/>
      <c r="CB45" s="961"/>
      <c r="CC45" s="961"/>
      <c r="CD45" s="961"/>
      <c r="CE45" s="961"/>
    </row>
    <row r="46" spans="1:83" ht="15" x14ac:dyDescent="0.25">
      <c r="A46" s="961"/>
      <c r="B46" s="995"/>
      <c r="C46" s="996"/>
      <c r="D46" s="961"/>
      <c r="E46" s="1011"/>
      <c r="F46" s="961"/>
      <c r="G46" s="2425"/>
      <c r="H46" s="2425"/>
      <c r="I46" s="2425"/>
      <c r="J46" s="961"/>
      <c r="K46" s="997">
        <f t="shared" si="29"/>
        <v>0</v>
      </c>
      <c r="L46" s="2428"/>
      <c r="M46" s="960"/>
      <c r="N46" s="961"/>
      <c r="O46" s="961"/>
      <c r="P46" s="961"/>
      <c r="Q46" s="961"/>
      <c r="R46" s="961"/>
      <c r="S46" s="961"/>
      <c r="T46" s="961"/>
      <c r="U46" s="961"/>
      <c r="V46" s="961"/>
      <c r="W46" s="961"/>
      <c r="X46" s="961"/>
      <c r="Y46" s="961"/>
      <c r="Z46" s="961"/>
      <c r="AA46" s="961"/>
      <c r="AB46" s="961"/>
      <c r="AC46" s="961"/>
      <c r="AD46" s="961"/>
      <c r="AE46" s="961"/>
      <c r="AF46" s="961"/>
      <c r="AG46" s="961"/>
      <c r="AH46" s="961"/>
      <c r="AI46" s="961"/>
      <c r="AJ46" s="961"/>
      <c r="AK46" s="961"/>
      <c r="AL46" s="961"/>
      <c r="AM46" s="961"/>
      <c r="AN46" s="961"/>
      <c r="AO46" s="961"/>
      <c r="AP46" s="961"/>
      <c r="AQ46" s="961"/>
      <c r="AR46" s="961"/>
      <c r="AS46" s="961"/>
      <c r="AT46" s="961"/>
      <c r="AU46" s="961"/>
      <c r="AV46" s="961"/>
      <c r="AW46" s="1089"/>
      <c r="AX46" s="961"/>
      <c r="AY46" s="961"/>
      <c r="AZ46" s="961"/>
      <c r="BA46" s="961"/>
      <c r="BB46" s="961"/>
      <c r="BC46" s="961"/>
      <c r="BD46" s="961"/>
      <c r="BE46" s="961"/>
      <c r="BF46" s="961"/>
      <c r="BG46" s="961"/>
      <c r="BH46" s="961"/>
      <c r="BI46" s="961"/>
      <c r="BJ46" s="961"/>
      <c r="BK46" s="961"/>
      <c r="BL46" s="961"/>
      <c r="BM46" s="961"/>
      <c r="BN46" s="961"/>
      <c r="BO46" s="961"/>
      <c r="BP46" s="961"/>
      <c r="BQ46" s="961"/>
      <c r="BR46" s="961"/>
      <c r="BS46" s="961"/>
      <c r="BT46" s="961"/>
      <c r="BU46" s="961"/>
      <c r="BV46" s="961"/>
      <c r="BW46" s="961"/>
      <c r="BX46" s="961"/>
      <c r="BY46" s="961"/>
      <c r="BZ46" s="961"/>
      <c r="CA46" s="961"/>
      <c r="CB46" s="961"/>
      <c r="CC46" s="961"/>
      <c r="CD46" s="961"/>
      <c r="CE46" s="961"/>
    </row>
    <row r="47" spans="1:83" ht="15" outlineLevel="1" x14ac:dyDescent="0.25">
      <c r="A47" s="961"/>
      <c r="B47" s="995"/>
      <c r="C47" s="996"/>
      <c r="D47" s="961"/>
      <c r="E47" s="1011"/>
      <c r="F47" s="961"/>
      <c r="G47" s="2425"/>
      <c r="H47" s="2425"/>
      <c r="I47" s="2425"/>
      <c r="J47" s="961"/>
      <c r="K47" s="997">
        <f t="shared" si="29"/>
        <v>0</v>
      </c>
      <c r="L47" s="2428"/>
      <c r="M47" s="960"/>
      <c r="N47" s="961"/>
      <c r="O47" s="961"/>
      <c r="P47" s="961"/>
      <c r="Q47" s="961"/>
      <c r="R47" s="961"/>
      <c r="S47" s="961"/>
      <c r="T47" s="961"/>
      <c r="U47" s="961"/>
      <c r="V47" s="961"/>
      <c r="W47" s="961"/>
      <c r="X47" s="961"/>
      <c r="Y47" s="961"/>
      <c r="Z47" s="961"/>
      <c r="AA47" s="961"/>
      <c r="AB47" s="961"/>
      <c r="AC47" s="961"/>
      <c r="AD47" s="961"/>
      <c r="AE47" s="961"/>
      <c r="AF47" s="961"/>
      <c r="AG47" s="961"/>
      <c r="AH47" s="961"/>
      <c r="AI47" s="961"/>
      <c r="AJ47" s="961"/>
      <c r="AK47" s="961"/>
      <c r="AL47" s="961"/>
      <c r="AM47" s="961"/>
      <c r="AN47" s="961"/>
      <c r="AO47" s="961"/>
      <c r="AP47" s="961"/>
      <c r="AQ47" s="961"/>
      <c r="AR47" s="961"/>
      <c r="AS47" s="961"/>
      <c r="AT47" s="961"/>
      <c r="AU47" s="961"/>
      <c r="AV47" s="961"/>
      <c r="AW47" s="1089"/>
      <c r="AX47" s="961"/>
      <c r="AY47" s="961"/>
      <c r="AZ47" s="961"/>
      <c r="BA47" s="961"/>
      <c r="BB47" s="961"/>
      <c r="BC47" s="961"/>
      <c r="BD47" s="961"/>
      <c r="BE47" s="961"/>
      <c r="BF47" s="961"/>
      <c r="BG47" s="961"/>
      <c r="BH47" s="961"/>
      <c r="BI47" s="961"/>
      <c r="BJ47" s="961"/>
      <c r="BK47" s="961"/>
      <c r="BL47" s="961"/>
      <c r="BM47" s="961"/>
      <c r="BN47" s="961"/>
      <c r="BO47" s="961"/>
      <c r="BP47" s="961"/>
      <c r="BQ47" s="961"/>
      <c r="BR47" s="961"/>
      <c r="BS47" s="961"/>
      <c r="BT47" s="961"/>
      <c r="BU47" s="961"/>
      <c r="BV47" s="961"/>
      <c r="BW47" s="961"/>
      <c r="BX47" s="961"/>
      <c r="BY47" s="961"/>
      <c r="BZ47" s="961"/>
      <c r="CA47" s="961"/>
      <c r="CB47" s="961"/>
      <c r="CC47" s="961"/>
      <c r="CD47" s="961"/>
      <c r="CE47" s="961"/>
    </row>
    <row r="48" spans="1:83" ht="15" outlineLevel="1" x14ac:dyDescent="0.25">
      <c r="A48" s="961"/>
      <c r="B48" s="995"/>
      <c r="C48" s="996"/>
      <c r="D48" s="961"/>
      <c r="E48" s="1011"/>
      <c r="F48" s="961"/>
      <c r="G48" s="2425"/>
      <c r="H48" s="2425"/>
      <c r="I48" s="2425"/>
      <c r="J48" s="961"/>
      <c r="K48" s="997">
        <f t="shared" si="29"/>
        <v>0</v>
      </c>
      <c r="L48" s="2428"/>
      <c r="M48" s="960"/>
      <c r="N48" s="961"/>
      <c r="O48" s="961"/>
      <c r="P48" s="961"/>
      <c r="Q48" s="961"/>
      <c r="R48" s="961"/>
      <c r="S48" s="961"/>
      <c r="T48" s="961"/>
      <c r="U48" s="961"/>
      <c r="V48" s="961"/>
      <c r="W48" s="961"/>
      <c r="X48" s="961"/>
      <c r="Y48" s="961"/>
      <c r="Z48" s="961"/>
      <c r="AA48" s="961"/>
      <c r="AB48" s="961"/>
      <c r="AC48" s="961"/>
      <c r="AD48" s="961"/>
      <c r="AE48" s="961"/>
      <c r="AF48" s="961"/>
      <c r="AG48" s="961"/>
      <c r="AH48" s="961"/>
      <c r="AI48" s="961"/>
      <c r="AJ48" s="961"/>
      <c r="AK48" s="961"/>
      <c r="AL48" s="961"/>
      <c r="AM48" s="961"/>
      <c r="AN48" s="961"/>
      <c r="AO48" s="961"/>
      <c r="AP48" s="961"/>
      <c r="AQ48" s="961"/>
      <c r="AR48" s="961"/>
      <c r="AS48" s="961"/>
      <c r="AT48" s="961"/>
      <c r="AU48" s="961"/>
      <c r="AV48" s="961"/>
      <c r="AW48" s="1089"/>
      <c r="AX48" s="961"/>
      <c r="AY48" s="961"/>
      <c r="AZ48" s="961"/>
      <c r="BA48" s="961"/>
      <c r="BB48" s="961"/>
      <c r="BC48" s="961"/>
      <c r="BD48" s="961"/>
      <c r="BE48" s="961"/>
      <c r="BF48" s="961"/>
      <c r="BG48" s="961"/>
      <c r="BH48" s="961"/>
      <c r="BI48" s="961"/>
      <c r="BJ48" s="961"/>
      <c r="BK48" s="961"/>
      <c r="BL48" s="961"/>
      <c r="BM48" s="961"/>
      <c r="BN48" s="961"/>
      <c r="BO48" s="961"/>
      <c r="BP48" s="961"/>
      <c r="BQ48" s="961"/>
      <c r="BR48" s="961"/>
      <c r="BS48" s="961"/>
      <c r="BT48" s="961"/>
      <c r="BU48" s="961"/>
      <c r="BV48" s="961"/>
      <c r="BW48" s="961"/>
      <c r="BX48" s="961"/>
      <c r="BY48" s="961"/>
      <c r="BZ48" s="961"/>
      <c r="CA48" s="961"/>
      <c r="CB48" s="961"/>
      <c r="CC48" s="961"/>
      <c r="CD48" s="961"/>
      <c r="CE48" s="961"/>
    </row>
    <row r="49" spans="1:83" ht="15" x14ac:dyDescent="0.25">
      <c r="A49" s="961"/>
      <c r="B49" s="995"/>
      <c r="C49" s="996"/>
      <c r="D49" s="961"/>
      <c r="E49" s="1011"/>
      <c r="F49" s="961"/>
      <c r="G49" s="2425"/>
      <c r="H49" s="2425"/>
      <c r="I49" s="2425"/>
      <c r="J49" s="961"/>
      <c r="K49" s="997">
        <f t="shared" si="29"/>
        <v>0</v>
      </c>
      <c r="L49" s="2428"/>
      <c r="M49" s="960"/>
      <c r="N49" s="961"/>
      <c r="O49" s="961"/>
      <c r="P49" s="961"/>
      <c r="Q49" s="961"/>
      <c r="R49" s="961"/>
      <c r="S49" s="961"/>
      <c r="T49" s="961"/>
      <c r="U49" s="961"/>
      <c r="V49" s="961"/>
      <c r="W49" s="961"/>
      <c r="X49" s="961"/>
      <c r="Y49" s="961"/>
      <c r="Z49" s="961"/>
      <c r="AA49" s="961"/>
      <c r="AB49" s="961"/>
      <c r="AC49" s="961"/>
      <c r="AD49" s="961"/>
      <c r="AE49" s="961"/>
      <c r="AF49" s="961"/>
      <c r="AG49" s="961"/>
      <c r="AH49" s="961"/>
      <c r="AI49" s="961"/>
      <c r="AJ49" s="961"/>
      <c r="AK49" s="961"/>
      <c r="AL49" s="961"/>
      <c r="AM49" s="961"/>
      <c r="AN49" s="961"/>
      <c r="AO49" s="961"/>
      <c r="AP49" s="961"/>
      <c r="AQ49" s="961"/>
      <c r="AR49" s="961"/>
      <c r="AS49" s="961"/>
      <c r="AT49" s="961"/>
      <c r="AU49" s="961"/>
      <c r="AV49" s="961"/>
      <c r="AW49" s="1089"/>
      <c r="AX49" s="961"/>
      <c r="AY49" s="961"/>
      <c r="AZ49" s="961"/>
      <c r="BA49" s="961"/>
      <c r="BB49" s="961"/>
      <c r="BC49" s="961"/>
      <c r="BD49" s="961"/>
      <c r="BE49" s="961"/>
      <c r="BF49" s="961"/>
      <c r="BG49" s="961"/>
      <c r="BH49" s="961"/>
      <c r="BI49" s="961"/>
      <c r="BJ49" s="961"/>
      <c r="BK49" s="961"/>
      <c r="BL49" s="961"/>
      <c r="BM49" s="961"/>
      <c r="BN49" s="961"/>
      <c r="BO49" s="961"/>
      <c r="BP49" s="961"/>
      <c r="BQ49" s="961"/>
      <c r="BR49" s="961"/>
      <c r="BS49" s="961"/>
      <c r="BT49" s="961"/>
      <c r="BU49" s="961"/>
      <c r="BV49" s="961"/>
      <c r="BW49" s="961"/>
      <c r="BX49" s="961"/>
      <c r="BY49" s="961"/>
      <c r="BZ49" s="961"/>
      <c r="CA49" s="961"/>
      <c r="CB49" s="961"/>
      <c r="CC49" s="961"/>
      <c r="CD49" s="961"/>
      <c r="CE49" s="961"/>
    </row>
    <row r="50" spans="1:83" ht="15" x14ac:dyDescent="0.25">
      <c r="A50" s="961"/>
      <c r="B50" s="995"/>
      <c r="C50" s="996"/>
      <c r="D50" s="961"/>
      <c r="E50" s="1011"/>
      <c r="F50" s="961"/>
      <c r="G50" s="2425"/>
      <c r="H50" s="2425"/>
      <c r="I50" s="2425"/>
      <c r="J50" s="961"/>
      <c r="K50" s="998">
        <f t="shared" si="29"/>
        <v>0</v>
      </c>
      <c r="L50" s="2428"/>
      <c r="M50" s="960"/>
      <c r="N50" s="961"/>
      <c r="O50" s="961"/>
      <c r="P50" s="961"/>
      <c r="Q50" s="961"/>
      <c r="R50" s="961"/>
      <c r="S50" s="961"/>
      <c r="T50" s="961"/>
      <c r="U50" s="961"/>
      <c r="V50" s="961"/>
      <c r="W50" s="961"/>
      <c r="X50" s="961"/>
      <c r="Y50" s="961"/>
      <c r="Z50" s="961"/>
      <c r="AA50" s="961"/>
      <c r="AB50" s="961"/>
      <c r="AC50" s="961"/>
      <c r="AD50" s="961"/>
      <c r="AE50" s="961"/>
      <c r="AF50" s="961"/>
      <c r="AG50" s="961"/>
      <c r="AH50" s="961"/>
      <c r="AI50" s="961"/>
      <c r="AJ50" s="961"/>
      <c r="AK50" s="961"/>
      <c r="AL50" s="961"/>
      <c r="AM50" s="961"/>
      <c r="AN50" s="961"/>
      <c r="AO50" s="961"/>
      <c r="AP50" s="961"/>
      <c r="AQ50" s="961"/>
      <c r="AR50" s="961"/>
      <c r="AS50" s="961"/>
      <c r="AT50" s="961"/>
      <c r="AU50" s="961"/>
      <c r="AV50" s="961"/>
      <c r="AW50" s="1089"/>
      <c r="AX50" s="961"/>
      <c r="AY50" s="961"/>
      <c r="AZ50" s="961"/>
      <c r="BA50" s="961"/>
      <c r="BB50" s="961"/>
      <c r="BC50" s="961"/>
      <c r="BD50" s="961"/>
      <c r="BE50" s="961"/>
      <c r="BF50" s="961"/>
      <c r="BG50" s="961"/>
      <c r="BH50" s="961"/>
      <c r="BI50" s="961"/>
      <c r="BJ50" s="961"/>
      <c r="BK50" s="961"/>
      <c r="BL50" s="961"/>
      <c r="BM50" s="961"/>
      <c r="BN50" s="961"/>
      <c r="BO50" s="961"/>
      <c r="BP50" s="961"/>
      <c r="BQ50" s="961"/>
      <c r="BR50" s="961"/>
      <c r="BS50" s="961"/>
      <c r="BT50" s="961"/>
      <c r="BU50" s="961"/>
      <c r="BV50" s="961"/>
      <c r="BW50" s="961"/>
      <c r="BX50" s="961"/>
      <c r="BY50" s="961"/>
      <c r="BZ50" s="961"/>
      <c r="CA50" s="961"/>
      <c r="CB50" s="961"/>
      <c r="CC50" s="961"/>
      <c r="CD50" s="961"/>
      <c r="CE50" s="961"/>
    </row>
    <row r="51" spans="1:83" ht="15.75" x14ac:dyDescent="0.25">
      <c r="A51" s="961"/>
      <c r="B51" s="995"/>
      <c r="C51" s="961"/>
      <c r="D51" s="961"/>
      <c r="E51" s="1016"/>
      <c r="F51" s="961"/>
      <c r="G51" s="961"/>
      <c r="H51" s="961"/>
      <c r="I51" s="961"/>
      <c r="J51" s="961"/>
      <c r="K51" s="1016">
        <f>SUM(K38:K50)</f>
        <v>0</v>
      </c>
      <c r="L51" s="1005">
        <f>IF(E51&lt;&gt;0,K51/E51,0)</f>
        <v>0</v>
      </c>
      <c r="M51" s="960"/>
      <c r="N51" s="961"/>
      <c r="O51" s="961"/>
      <c r="P51" s="961"/>
      <c r="Q51" s="961"/>
      <c r="R51" s="961"/>
      <c r="S51" s="961"/>
      <c r="T51" s="961"/>
      <c r="U51" s="961"/>
      <c r="V51" s="961"/>
      <c r="W51" s="961"/>
      <c r="X51" s="961"/>
      <c r="Y51" s="961"/>
      <c r="Z51" s="961"/>
      <c r="AA51" s="961"/>
      <c r="AB51" s="961"/>
      <c r="AC51" s="961"/>
      <c r="AD51" s="961"/>
      <c r="AE51" s="961"/>
      <c r="AF51" s="961"/>
      <c r="AG51" s="961"/>
      <c r="AH51" s="961"/>
      <c r="AI51" s="961"/>
      <c r="AJ51" s="961"/>
      <c r="AK51" s="961"/>
      <c r="AL51" s="961"/>
      <c r="AM51" s="961"/>
      <c r="AN51" s="961"/>
      <c r="AO51" s="961"/>
      <c r="AP51" s="961"/>
      <c r="AQ51" s="961"/>
      <c r="AR51" s="961"/>
      <c r="AS51" s="961"/>
      <c r="AT51" s="961"/>
      <c r="AU51" s="961"/>
      <c r="AV51" s="961"/>
      <c r="AW51" s="1089"/>
      <c r="AX51" s="961"/>
      <c r="AY51" s="961"/>
      <c r="AZ51" s="961"/>
      <c r="BA51" s="961"/>
      <c r="BB51" s="961"/>
      <c r="BC51" s="961"/>
      <c r="BD51" s="961"/>
      <c r="BE51" s="961"/>
      <c r="BF51" s="961"/>
      <c r="BG51" s="961"/>
      <c r="BH51" s="961"/>
      <c r="BI51" s="961"/>
      <c r="BJ51" s="961"/>
      <c r="BK51" s="961"/>
      <c r="BL51" s="961"/>
      <c r="BM51" s="961"/>
      <c r="BN51" s="961"/>
      <c r="BO51" s="961"/>
      <c r="BP51" s="961"/>
      <c r="BQ51" s="961"/>
      <c r="BR51" s="961"/>
      <c r="BS51" s="961"/>
      <c r="BT51" s="961"/>
      <c r="BU51" s="961"/>
      <c r="BV51" s="961"/>
      <c r="BW51" s="961"/>
      <c r="BX51" s="961"/>
      <c r="BY51" s="961"/>
      <c r="BZ51" s="961"/>
      <c r="CA51" s="961"/>
      <c r="CB51" s="961"/>
      <c r="CC51" s="961"/>
      <c r="CD51" s="961"/>
      <c r="CE51" s="961"/>
    </row>
    <row r="52" spans="1:83" ht="6.75" customHeight="1" x14ac:dyDescent="0.25">
      <c r="A52" s="961"/>
      <c r="B52" s="1014"/>
      <c r="C52" s="1001"/>
      <c r="D52" s="1001"/>
      <c r="E52" s="998"/>
      <c r="F52" s="1001"/>
      <c r="G52" s="1001"/>
      <c r="H52" s="1001"/>
      <c r="I52" s="1001"/>
      <c r="J52" s="1001"/>
      <c r="K52" s="998"/>
      <c r="L52" s="1015"/>
      <c r="M52" s="960"/>
      <c r="N52" s="961"/>
      <c r="O52" s="961"/>
      <c r="P52" s="961"/>
      <c r="Q52" s="961"/>
      <c r="R52" s="961"/>
      <c r="S52" s="961"/>
      <c r="T52" s="961"/>
      <c r="U52" s="961"/>
      <c r="V52" s="961"/>
      <c r="W52" s="961"/>
      <c r="X52" s="961"/>
      <c r="Y52" s="961"/>
      <c r="Z52" s="961"/>
      <c r="AA52" s="961"/>
      <c r="AB52" s="961"/>
      <c r="AC52" s="961"/>
      <c r="AD52" s="961"/>
      <c r="AE52" s="961"/>
      <c r="AF52" s="961"/>
      <c r="AG52" s="961"/>
      <c r="AH52" s="961"/>
      <c r="AI52" s="961"/>
      <c r="AJ52" s="961"/>
      <c r="AK52" s="961"/>
      <c r="AL52" s="961"/>
      <c r="AM52" s="961"/>
      <c r="AN52" s="961"/>
      <c r="AO52" s="961"/>
      <c r="AP52" s="961"/>
      <c r="AQ52" s="961"/>
      <c r="AR52" s="961"/>
      <c r="AS52" s="961"/>
      <c r="AT52" s="961"/>
      <c r="AU52" s="961"/>
      <c r="AV52" s="961"/>
      <c r="AW52" s="1089"/>
      <c r="AX52" s="961"/>
      <c r="AY52" s="961"/>
      <c r="AZ52" s="961"/>
      <c r="BA52" s="961"/>
      <c r="BB52" s="961"/>
      <c r="BC52" s="961"/>
      <c r="BD52" s="961"/>
      <c r="BE52" s="961"/>
      <c r="BF52" s="961"/>
      <c r="BG52" s="961"/>
      <c r="BH52" s="961"/>
      <c r="BI52" s="961"/>
      <c r="BJ52" s="961"/>
      <c r="BK52" s="961"/>
      <c r="BL52" s="961"/>
      <c r="BM52" s="961"/>
      <c r="BN52" s="961"/>
      <c r="BO52" s="961"/>
      <c r="BP52" s="961"/>
      <c r="BQ52" s="961"/>
      <c r="BR52" s="961"/>
      <c r="BS52" s="961"/>
      <c r="BT52" s="961"/>
      <c r="BU52" s="961"/>
      <c r="BV52" s="961"/>
      <c r="BW52" s="961"/>
      <c r="BX52" s="961"/>
      <c r="BY52" s="961"/>
      <c r="BZ52" s="961"/>
      <c r="CA52" s="961"/>
      <c r="CB52" s="961"/>
      <c r="CC52" s="961"/>
      <c r="CD52" s="961"/>
      <c r="CE52" s="961"/>
    </row>
    <row r="53" spans="1:83" ht="15.75" x14ac:dyDescent="0.25">
      <c r="A53" s="961"/>
      <c r="B53" s="1003" t="s">
        <v>1193</v>
      </c>
      <c r="C53" s="1004"/>
      <c r="D53" s="961"/>
      <c r="E53" s="1020">
        <f ca="1">SUM(E34:E52)</f>
        <v>46096359.941877656</v>
      </c>
      <c r="F53" s="961"/>
      <c r="G53" s="961"/>
      <c r="H53" s="961"/>
      <c r="I53" s="1020"/>
      <c r="J53" s="961"/>
      <c r="K53" s="1020">
        <f ca="1">SUM(K34:K52)</f>
        <v>1841791.333133094</v>
      </c>
      <c r="L53" s="1021">
        <f ca="1">IF(E53&lt;&gt;0,K53/E53,0)</f>
        <v>3.9955244523762541E-2</v>
      </c>
      <c r="M53" s="1022"/>
      <c r="N53" s="961"/>
      <c r="O53" s="961"/>
      <c r="P53" s="961"/>
      <c r="Q53" s="961"/>
      <c r="R53" s="961"/>
      <c r="S53" s="961"/>
      <c r="T53" s="961"/>
      <c r="U53" s="961"/>
      <c r="V53" s="961"/>
      <c r="W53" s="961"/>
      <c r="X53" s="961"/>
      <c r="Y53" s="961"/>
      <c r="Z53" s="961"/>
      <c r="AA53" s="961"/>
      <c r="AB53" s="961"/>
      <c r="AC53" s="961"/>
      <c r="AD53" s="961"/>
      <c r="AE53" s="961"/>
      <c r="AF53" s="961"/>
      <c r="AG53" s="961"/>
      <c r="AH53" s="961"/>
      <c r="AI53" s="961"/>
      <c r="AJ53" s="961"/>
      <c r="AK53" s="961"/>
      <c r="AL53" s="961"/>
      <c r="AM53" s="961"/>
      <c r="AN53" s="961"/>
      <c r="AO53" s="961"/>
      <c r="AP53" s="961"/>
      <c r="AQ53" s="961"/>
      <c r="AR53" s="961"/>
      <c r="AS53" s="961"/>
      <c r="AT53" s="961"/>
      <c r="AU53" s="961"/>
      <c r="AV53" s="961"/>
      <c r="AW53" s="1089"/>
      <c r="AX53" s="961"/>
      <c r="AY53" s="961"/>
      <c r="AZ53" s="961"/>
      <c r="BA53" s="961"/>
      <c r="BB53" s="961"/>
      <c r="BC53" s="961"/>
      <c r="BD53" s="961"/>
      <c r="BE53" s="961"/>
      <c r="BF53" s="961"/>
      <c r="BG53" s="961"/>
      <c r="BH53" s="961"/>
      <c r="BI53" s="961"/>
      <c r="BJ53" s="961"/>
      <c r="BK53" s="961"/>
      <c r="BL53" s="961"/>
      <c r="BM53" s="961"/>
      <c r="BN53" s="961"/>
      <c r="BO53" s="961"/>
      <c r="BP53" s="961"/>
      <c r="BQ53" s="961"/>
      <c r="BR53" s="961"/>
      <c r="BS53" s="961"/>
      <c r="BT53" s="961"/>
      <c r="BU53" s="961"/>
      <c r="BV53" s="961"/>
      <c r="BW53" s="961"/>
      <c r="BX53" s="961"/>
      <c r="BY53" s="961"/>
      <c r="BZ53" s="961"/>
      <c r="CA53" s="961"/>
      <c r="CB53" s="961"/>
      <c r="CC53" s="961"/>
      <c r="CD53" s="961"/>
      <c r="CE53" s="961"/>
    </row>
  </sheetData>
  <sheetProtection algorithmName="SHA-512" hashValue="uFwDLwBLFVHEZLhMJTIvmSHzRnDjiISzjTBLIXhVFjd0oUY4R4K8Blubb6j3RZBLKtom6USAAVlGIFUbLWmNjw==" saltValue="ptMVURzuzvvkOVi+CUR4lg==" spinCount="100000" sheet="1" scenarios="1" formatCells="0" formatColumns="0" formatRows="0" autoFilter="0"/>
  <pageMargins left="1" right="0.25" top="0.75" bottom="0.75" header="0.25" footer="0.25"/>
  <pageSetup scale="57" orientation="landscape"/>
  <headerFooter alignWithMargins="0">
    <oddHeader>&amp;R&amp;D&amp;L&amp;10CB&amp;&amp;I Proprietary - Confidential</oddHeader>
    <oddFooter>&amp;L&amp;F&amp;R&amp;P&amp;N</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E58CC-0045-4B8E-9530-7A7833B10941}">
  <sheetPr codeName="Sheet18">
    <tabColor rgb="FFFFC000"/>
    <pageSetUpPr autoPageBreaks="0" fitToPage="1"/>
  </sheetPr>
  <dimension ref="B1:AP384"/>
  <sheetViews>
    <sheetView showZeros="0" topLeftCell="A92" workbookViewId="0">
      <pane xSplit="4" topLeftCell="E1" activePane="topRight" state="frozen"/>
      <selection activeCell="A300" sqref="A300"/>
      <selection pane="topRight" activeCell="A112" sqref="A112:XFD112"/>
    </sheetView>
  </sheetViews>
  <sheetFormatPr defaultRowHeight="12.6" customHeight="1" x14ac:dyDescent="0.25"/>
  <cols>
    <col min="1" max="1" width="14.42578125" bestFit="1" customWidth="1"/>
    <col min="4" max="4" width="23.5703125" customWidth="1"/>
    <col min="7" max="7" width="2.42578125" customWidth="1"/>
    <col min="8" max="11" width="12.42578125" customWidth="1"/>
    <col min="12" max="12" width="2.42578125" customWidth="1"/>
    <col min="13" max="13" width="12.5703125" customWidth="1"/>
    <col min="15" max="15" width="10.42578125" customWidth="1"/>
    <col min="25" max="25" width="2.5703125" customWidth="1"/>
    <col min="28" max="37" width="13" customWidth="1"/>
    <col min="38" max="38" width="8.5703125" customWidth="1"/>
    <col min="39" max="39" width="13" customWidth="1"/>
    <col min="40" max="40" width="11.42578125" customWidth="1"/>
  </cols>
  <sheetData>
    <row r="1" spans="2:42" ht="18" x14ac:dyDescent="0.25">
      <c r="B1" s="1" t="s">
        <v>593</v>
      </c>
      <c r="E1" s="807" t="str">
        <f>+Cover!C5</f>
        <v>Project Title: Battery Storage - Hyde Park</v>
      </c>
    </row>
    <row r="2" spans="2:42" ht="18" x14ac:dyDescent="0.25">
      <c r="B2" s="1"/>
      <c r="E2" s="807" t="str">
        <f>+Cover!C6</f>
        <v>Project Mgr/Lead: Michael Rosenburg</v>
      </c>
    </row>
    <row r="3" spans="2:42" ht="18" x14ac:dyDescent="0.25">
      <c r="B3" s="1"/>
      <c r="C3" s="11"/>
      <c r="E3" s="807" t="str">
        <f>+Cover!C8</f>
        <v>Project Number: 21334</v>
      </c>
    </row>
    <row r="4" spans="2:42" ht="15" x14ac:dyDescent="0.25">
      <c r="E4" s="807" t="str">
        <f>+Cover!C9</f>
        <v>WO &amp; Task #: 80089926</v>
      </c>
      <c r="F4" s="807"/>
      <c r="G4" s="807"/>
    </row>
    <row r="5" spans="2:42" ht="15.75" thickBot="1" x14ac:dyDescent="0.3">
      <c r="C5" s="9"/>
      <c r="E5" s="807" t="str">
        <f>+Cover!C10</f>
        <v>Estimate revision #: 00</v>
      </c>
    </row>
    <row r="6" spans="2:42" ht="15" x14ac:dyDescent="0.25">
      <c r="B6" s="808"/>
      <c r="C6" s="809"/>
      <c r="D6" s="320"/>
      <c r="E6" s="320"/>
      <c r="F6" s="320"/>
      <c r="G6" s="320"/>
      <c r="H6" s="320"/>
      <c r="I6" s="320"/>
      <c r="J6" s="320"/>
      <c r="K6" s="320"/>
      <c r="L6" s="320"/>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4"/>
    </row>
    <row r="7" spans="2:42" ht="15" x14ac:dyDescent="0.25">
      <c r="B7" s="617"/>
      <c r="C7" s="9" t="s">
        <v>594</v>
      </c>
      <c r="M7" s="588" t="s">
        <v>595</v>
      </c>
      <c r="AB7" s="1848">
        <f>+'Data Input sheet'!D65</f>
        <v>45292</v>
      </c>
      <c r="AC7" s="1848">
        <f>+'Data Input sheet'!G65</f>
        <v>45658</v>
      </c>
      <c r="AD7" s="1848">
        <f>+'Data Input sheet'!J65</f>
        <v>46023</v>
      </c>
      <c r="AE7" s="1848">
        <f>+'Data Input sheet'!M65</f>
        <v>46388</v>
      </c>
      <c r="AF7" s="1848">
        <f>+'Data Input sheet'!P65</f>
        <v>46753</v>
      </c>
      <c r="AG7" s="1848">
        <f>+'Data Input sheet'!S65</f>
        <v>47119</v>
      </c>
      <c r="AH7" s="1848">
        <f>+'Data Input sheet'!V65</f>
        <v>47484</v>
      </c>
      <c r="AI7" s="1848">
        <f>+'Data Input sheet'!Y65</f>
        <v>47849</v>
      </c>
      <c r="AJ7" s="1848">
        <f>+'Data Input sheet'!AB65</f>
        <v>48214</v>
      </c>
      <c r="AK7" s="1848">
        <f>+'Data Input sheet'!AE65</f>
        <v>48580</v>
      </c>
      <c r="AL7" s="619"/>
    </row>
    <row r="8" spans="2:42" ht="15" x14ac:dyDescent="0.25">
      <c r="B8" s="617"/>
      <c r="C8" s="9" t="s">
        <v>36</v>
      </c>
      <c r="D8" s="588" t="s">
        <v>596</v>
      </c>
      <c r="AB8" s="810">
        <f>+'Data Input sheet'!D66</f>
        <v>0</v>
      </c>
      <c r="AC8" s="810">
        <f>+(1+AB8)*(1+'Data Input sheet'!G66)-1</f>
        <v>5.0000000000000044E-2</v>
      </c>
      <c r="AD8" s="810">
        <f>+(1+AC8)*(1+'Data Input sheet'!J66)-1</f>
        <v>9.2000000000000082E-2</v>
      </c>
      <c r="AE8" s="810">
        <f>+(1+AD8)*(1+'Data Input sheet'!M66)-1</f>
        <v>0.1247600000000002</v>
      </c>
      <c r="AF8" s="810">
        <f>+(1+AE8)*(1+'Data Input sheet'!P66)-1</f>
        <v>0.15850280000000017</v>
      </c>
      <c r="AG8" s="810">
        <f>+(1+AF8)*(1+'Data Input sheet'!S66)-1</f>
        <v>0.1932578840000001</v>
      </c>
      <c r="AH8" s="810">
        <f>+(1+AG8)*(1+'Data Input sheet'!V66)-1</f>
        <v>0.22905562052000006</v>
      </c>
      <c r="AI8" s="810">
        <f>+(1+AH8)*(1+'Data Input sheet'!Y66)-1</f>
        <v>0.26592728913560015</v>
      </c>
      <c r="AJ8" s="810">
        <f>+(1+AI8)*(1+'Data Input sheet'!AB66)-1</f>
        <v>0.30390510780966817</v>
      </c>
      <c r="AK8" s="810">
        <f>+(1+AJ8)*(1+'Data Input sheet'!AE66)-1</f>
        <v>0.34302226104395817</v>
      </c>
      <c r="AL8" s="619"/>
    </row>
    <row r="9" spans="2:42" ht="15" x14ac:dyDescent="0.25">
      <c r="B9" s="617"/>
      <c r="C9" s="9" t="s">
        <v>38</v>
      </c>
      <c r="D9" s="588" t="s">
        <v>596</v>
      </c>
      <c r="AB9" s="810">
        <f>+'Data Input sheet'!D67</f>
        <v>0</v>
      </c>
      <c r="AC9" s="810">
        <f>+(1+AB9)*(1+'Data Input sheet'!G67)-1</f>
        <v>3.0000000000000027E-2</v>
      </c>
      <c r="AD9" s="810">
        <f>+(1+AC9)*(1+'Data Input sheet'!J67)-1</f>
        <v>6.0899999999999954E-2</v>
      </c>
      <c r="AE9" s="810">
        <f>+(1+AD9)*(1+'Data Input sheet'!M67)-1</f>
        <v>9.2727000000000004E-2</v>
      </c>
      <c r="AF9" s="810">
        <f>+(1+AE9)*(1+'Data Input sheet'!P67)-1</f>
        <v>0.12550881000000014</v>
      </c>
      <c r="AG9" s="810">
        <f>+(1+AF9)*(1+'Data Input sheet'!S67)-1</f>
        <v>0.14801898620000009</v>
      </c>
      <c r="AH9" s="810">
        <f>+(1+AG9)*(1+'Data Input sheet'!V67)-1</f>
        <v>0.1709793659240002</v>
      </c>
      <c r="AI9" s="810">
        <f>+(1+AH9)*(1+'Data Input sheet'!Y67)-1</f>
        <v>0.19439895324248013</v>
      </c>
      <c r="AJ9" s="810">
        <f>+(1+AI9)*(1+'Data Input sheet'!AB67)-1</f>
        <v>0.21828693230732976</v>
      </c>
      <c r="AK9" s="810">
        <f>+(1+AJ9)*(1+'Data Input sheet'!AE67)-1</f>
        <v>0.24265267095347642</v>
      </c>
      <c r="AL9" s="619"/>
    </row>
    <row r="10" spans="2:42" ht="15" x14ac:dyDescent="0.25">
      <c r="B10" s="617"/>
      <c r="C10" s="9" t="s">
        <v>393</v>
      </c>
      <c r="D10" s="588" t="s">
        <v>596</v>
      </c>
      <c r="AB10" s="810">
        <f>+'Data Input sheet'!D68</f>
        <v>0</v>
      </c>
      <c r="AC10" s="810">
        <f>+(1+AB10)*(1+'Data Input sheet'!G68)-1</f>
        <v>3.0000000000000027E-2</v>
      </c>
      <c r="AD10" s="810">
        <f>+(1+AC10)*(1+'Data Input sheet'!J68)-1</f>
        <v>6.0899999999999954E-2</v>
      </c>
      <c r="AE10" s="810">
        <f>+(1+AD10)*(1+'Data Input sheet'!M68)-1</f>
        <v>9.2727000000000004E-2</v>
      </c>
      <c r="AF10" s="810">
        <f>+(1+AE10)*(1+'Data Input sheet'!P68)-1</f>
        <v>0.12550881000000014</v>
      </c>
      <c r="AG10" s="810">
        <f>+(1+AF10)*(1+'Data Input sheet'!S68)-1</f>
        <v>0.15927407430000007</v>
      </c>
      <c r="AH10" s="810">
        <f>+(1+AG10)*(1+'Data Input sheet'!V68)-1</f>
        <v>0.19405229652900013</v>
      </c>
      <c r="AI10" s="810">
        <f>+(1+AH10)*(1+'Data Input sheet'!Y68)-1</f>
        <v>0.22987386542487021</v>
      </c>
      <c r="AJ10" s="810">
        <f>+(1+AI10)*(1+'Data Input sheet'!AB68)-1</f>
        <v>0.26677008138761638</v>
      </c>
      <c r="AK10" s="810">
        <f>+(1+AJ10)*(1+'Data Input sheet'!AE68)-1</f>
        <v>0.3047731838292449</v>
      </c>
      <c r="AL10" s="619"/>
    </row>
    <row r="11" spans="2:42" ht="15.75" thickBot="1" x14ac:dyDescent="0.3">
      <c r="B11" s="626"/>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c r="AI11" s="164"/>
      <c r="AJ11" s="164"/>
      <c r="AK11" s="164"/>
      <c r="AL11" s="627"/>
    </row>
    <row r="12" spans="2:42" ht="15" x14ac:dyDescent="0.25">
      <c r="D12" s="588"/>
    </row>
    <row r="14" spans="2:42" ht="15" x14ac:dyDescent="0.25">
      <c r="B14" s="811" t="s">
        <v>597</v>
      </c>
      <c r="C14" s="811"/>
      <c r="D14" s="812"/>
      <c r="E14" s="812"/>
      <c r="F14" s="812"/>
      <c r="G14" s="812"/>
      <c r="H14" s="812"/>
      <c r="I14" s="812"/>
      <c r="J14" s="812"/>
      <c r="K14" s="812"/>
      <c r="L14" s="812"/>
      <c r="M14" s="812"/>
      <c r="N14" s="812"/>
      <c r="O14" s="812"/>
      <c r="P14" s="812"/>
      <c r="Q14" s="812"/>
      <c r="R14" s="812"/>
      <c r="S14" s="812"/>
      <c r="T14" s="812"/>
      <c r="U14" s="812"/>
      <c r="V14" s="812"/>
      <c r="W14" s="812"/>
      <c r="X14" s="812"/>
      <c r="Y14" s="812"/>
      <c r="Z14" s="812"/>
      <c r="AA14" s="812"/>
      <c r="AB14" s="812"/>
      <c r="AC14" s="812"/>
      <c r="AD14" s="812"/>
      <c r="AE14" s="812"/>
      <c r="AF14" s="812"/>
      <c r="AG14" s="812"/>
      <c r="AH14" s="812"/>
      <c r="AI14" s="812"/>
      <c r="AJ14" s="812"/>
      <c r="AK14" s="812"/>
      <c r="AL14" s="812"/>
      <c r="AM14" s="812"/>
      <c r="AN14" s="813"/>
      <c r="AO14" s="813"/>
      <c r="AP14" s="813"/>
    </row>
    <row r="15" spans="2:42" ht="15" x14ac:dyDescent="0.25">
      <c r="B15" s="813"/>
      <c r="C15" s="9" t="s">
        <v>598</v>
      </c>
      <c r="F15" s="9" t="s">
        <v>289</v>
      </c>
      <c r="H15" s="9" t="s">
        <v>599</v>
      </c>
      <c r="I15" s="9" t="s">
        <v>600</v>
      </c>
      <c r="J15" s="9"/>
      <c r="K15" s="9" t="s">
        <v>601</v>
      </c>
      <c r="L15" s="9"/>
      <c r="M15" s="9" t="s">
        <v>602</v>
      </c>
      <c r="O15" s="1849">
        <f>+$AB$7</f>
        <v>45292</v>
      </c>
      <c r="P15" s="1849">
        <f>+$AC$7</f>
        <v>45658</v>
      </c>
      <c r="Q15" s="1849">
        <f>+$AD$7</f>
        <v>46023</v>
      </c>
      <c r="R15" s="1849">
        <f>+$AE$7</f>
        <v>46388</v>
      </c>
      <c r="S15" s="1849">
        <f>+$AF$7</f>
        <v>46753</v>
      </c>
      <c r="T15" s="1849">
        <f>+$AG$7</f>
        <v>47119</v>
      </c>
      <c r="U15" s="1849">
        <f>+$AH$7</f>
        <v>47484</v>
      </c>
      <c r="V15" s="1849">
        <f>+$AI$7</f>
        <v>47849</v>
      </c>
      <c r="W15" s="1849">
        <f>+$AJ$7</f>
        <v>48214</v>
      </c>
      <c r="X15" s="1849">
        <f>+$AK$7</f>
        <v>48580</v>
      </c>
      <c r="Z15" s="5" t="s">
        <v>216</v>
      </c>
      <c r="AB15" s="1849">
        <f t="shared" ref="AB15:AG15" si="0">+AB7</f>
        <v>45292</v>
      </c>
      <c r="AC15" s="1849">
        <f t="shared" si="0"/>
        <v>45658</v>
      </c>
      <c r="AD15" s="1849">
        <f t="shared" si="0"/>
        <v>46023</v>
      </c>
      <c r="AE15" s="1849">
        <f t="shared" si="0"/>
        <v>46388</v>
      </c>
      <c r="AF15" s="1849">
        <f t="shared" si="0"/>
        <v>46753</v>
      </c>
      <c r="AG15" s="1849">
        <f t="shared" si="0"/>
        <v>47119</v>
      </c>
      <c r="AH15" s="1849">
        <f t="shared" ref="AH15:AK15" si="1">+AH7</f>
        <v>47484</v>
      </c>
      <c r="AI15" s="1849">
        <f t="shared" si="1"/>
        <v>47849</v>
      </c>
      <c r="AJ15" s="1849">
        <f t="shared" si="1"/>
        <v>48214</v>
      </c>
      <c r="AK15" s="1849">
        <f t="shared" si="1"/>
        <v>48580</v>
      </c>
      <c r="AM15" s="5" t="s">
        <v>389</v>
      </c>
    </row>
    <row r="16" spans="2:42" ht="15" x14ac:dyDescent="0.25">
      <c r="B16" s="813"/>
      <c r="D16" s="9" t="s">
        <v>603</v>
      </c>
      <c r="O16" s="5" t="s">
        <v>437</v>
      </c>
      <c r="P16" s="5" t="s">
        <v>437</v>
      </c>
      <c r="Q16" s="5" t="s">
        <v>437</v>
      </c>
      <c r="R16" s="5" t="s">
        <v>437</v>
      </c>
      <c r="S16" s="5" t="s">
        <v>437</v>
      </c>
      <c r="T16" s="5" t="s">
        <v>437</v>
      </c>
      <c r="U16" s="5" t="s">
        <v>437</v>
      </c>
      <c r="V16" s="5" t="s">
        <v>437</v>
      </c>
      <c r="W16" s="5" t="s">
        <v>437</v>
      </c>
      <c r="X16" s="5" t="s">
        <v>437</v>
      </c>
    </row>
    <row r="17" spans="2:39" ht="15" x14ac:dyDescent="0.25">
      <c r="B17" s="813"/>
      <c r="D17" s="3" t="s">
        <v>267</v>
      </c>
      <c r="E17" s="12" t="s">
        <v>604</v>
      </c>
      <c r="F17" s="814">
        <f>+'OH Constr'!AD261</f>
        <v>0</v>
      </c>
      <c r="G17" s="12"/>
      <c r="H17" s="815">
        <f>+'OH Constr'!AG261</f>
        <v>0</v>
      </c>
      <c r="I17" s="816">
        <f>+'OH Constr'!AJ261</f>
        <v>0</v>
      </c>
      <c r="J17" s="816"/>
      <c r="K17" s="816">
        <f>+'OH Constr'!AP261</f>
        <v>0</v>
      </c>
      <c r="L17" s="816"/>
      <c r="M17" s="815">
        <f t="shared" ref="M17:M33" si="2">SUM(H17:L17)</f>
        <v>0</v>
      </c>
      <c r="O17" s="1824">
        <v>0</v>
      </c>
      <c r="P17" s="1824">
        <v>0</v>
      </c>
      <c r="Q17" s="1824">
        <v>0</v>
      </c>
      <c r="R17" s="1824">
        <v>0.6</v>
      </c>
      <c r="S17" s="1824">
        <v>0.4</v>
      </c>
      <c r="T17" s="1824">
        <v>0</v>
      </c>
      <c r="U17" s="1824">
        <v>0</v>
      </c>
      <c r="V17" s="1824">
        <v>0</v>
      </c>
      <c r="W17" s="1824">
        <v>0</v>
      </c>
      <c r="X17" s="1824">
        <v>0</v>
      </c>
      <c r="Z17" s="637">
        <f>SUM(O17:X17)</f>
        <v>1</v>
      </c>
      <c r="AB17" s="23">
        <f t="shared" ref="AB17:AK21" si="3">+$M17*O17</f>
        <v>0</v>
      </c>
      <c r="AC17" s="23">
        <f t="shared" si="3"/>
        <v>0</v>
      </c>
      <c r="AD17" s="23">
        <f t="shared" si="3"/>
        <v>0</v>
      </c>
      <c r="AE17" s="23">
        <f t="shared" si="3"/>
        <v>0</v>
      </c>
      <c r="AF17" s="23">
        <f t="shared" si="3"/>
        <v>0</v>
      </c>
      <c r="AG17" s="23">
        <f t="shared" si="3"/>
        <v>0</v>
      </c>
      <c r="AH17" s="23">
        <f t="shared" si="3"/>
        <v>0</v>
      </c>
      <c r="AI17" s="23">
        <f t="shared" si="3"/>
        <v>0</v>
      </c>
      <c r="AJ17" s="23">
        <f t="shared" si="3"/>
        <v>0</v>
      </c>
      <c r="AK17" s="23">
        <f t="shared" si="3"/>
        <v>0</v>
      </c>
      <c r="AL17" s="23"/>
      <c r="AM17" s="23">
        <f>SUM(AB17:AK17)</f>
        <v>0</v>
      </c>
    </row>
    <row r="18" spans="2:39" ht="15" x14ac:dyDescent="0.25">
      <c r="B18" s="812"/>
      <c r="D18" s="3" t="s">
        <v>268</v>
      </c>
      <c r="E18" s="12" t="s">
        <v>604</v>
      </c>
      <c r="F18" s="819">
        <f>+'115 kV &amp; 345 kV HPFF'!AD79</f>
        <v>0</v>
      </c>
      <c r="G18" s="12"/>
      <c r="H18" s="816">
        <f>+'115 kV &amp; 345 kV HPFF'!AG79</f>
        <v>0</v>
      </c>
      <c r="I18" s="816">
        <f>+'115 kV &amp; 345 kV HPFF'!AJ79</f>
        <v>0</v>
      </c>
      <c r="J18" s="816"/>
      <c r="K18" s="816">
        <f>+'115 kV &amp; 345 kV HPFF'!AP79</f>
        <v>0</v>
      </c>
      <c r="L18" s="816"/>
      <c r="M18" s="815">
        <f t="shared" si="2"/>
        <v>0</v>
      </c>
      <c r="O18" s="1824">
        <v>0</v>
      </c>
      <c r="P18" s="1824">
        <v>0</v>
      </c>
      <c r="Q18" s="1824">
        <v>0</v>
      </c>
      <c r="R18" s="1824">
        <v>0.6</v>
      </c>
      <c r="S18" s="1824">
        <v>0.4</v>
      </c>
      <c r="T18" s="1824">
        <v>0</v>
      </c>
      <c r="U18" s="1824">
        <v>0</v>
      </c>
      <c r="V18" s="1824">
        <v>0</v>
      </c>
      <c r="W18" s="1824">
        <v>0</v>
      </c>
      <c r="X18" s="1824">
        <v>0</v>
      </c>
      <c r="Z18" s="637">
        <f t="shared" ref="Z18:Z33" si="4">SUM(O18:X18)</f>
        <v>1</v>
      </c>
      <c r="AB18" s="23">
        <f t="shared" si="3"/>
        <v>0</v>
      </c>
      <c r="AC18" s="23">
        <f t="shared" si="3"/>
        <v>0</v>
      </c>
      <c r="AD18" s="23">
        <f t="shared" si="3"/>
        <v>0</v>
      </c>
      <c r="AE18" s="23">
        <f t="shared" si="3"/>
        <v>0</v>
      </c>
      <c r="AF18" s="23">
        <f t="shared" si="3"/>
        <v>0</v>
      </c>
      <c r="AG18" s="23">
        <f t="shared" si="3"/>
        <v>0</v>
      </c>
      <c r="AH18" s="23">
        <f t="shared" si="3"/>
        <v>0</v>
      </c>
      <c r="AI18" s="23">
        <f t="shared" si="3"/>
        <v>0</v>
      </c>
      <c r="AJ18" s="23">
        <f t="shared" si="3"/>
        <v>0</v>
      </c>
      <c r="AK18" s="23">
        <f t="shared" si="3"/>
        <v>0</v>
      </c>
      <c r="AL18" s="23"/>
      <c r="AM18" s="23">
        <f t="shared" ref="AM18:AM33" si="5">SUM(AB18:AK18)</f>
        <v>0</v>
      </c>
    </row>
    <row r="19" spans="2:39" ht="15" x14ac:dyDescent="0.25">
      <c r="B19" s="813"/>
      <c r="D19" s="3" t="s">
        <v>269</v>
      </c>
      <c r="E19" s="2" t="s">
        <v>604</v>
      </c>
      <c r="F19" s="357">
        <f>+'115 kV Und XLPE'!AD82</f>
        <v>0</v>
      </c>
      <c r="G19" s="2"/>
      <c r="H19" s="820">
        <f>+'115 kV Und XLPE'!AG82</f>
        <v>0</v>
      </c>
      <c r="I19" s="820">
        <f>+'115 kV Und XLPE'!AJ82</f>
        <v>0</v>
      </c>
      <c r="J19" s="820"/>
      <c r="K19" s="820">
        <f>+'115 kV Und XLPE'!AP82</f>
        <v>0</v>
      </c>
      <c r="L19" s="820"/>
      <c r="M19" s="815">
        <f t="shared" si="2"/>
        <v>0</v>
      </c>
      <c r="O19" s="1824">
        <v>0</v>
      </c>
      <c r="P19" s="1824">
        <v>0</v>
      </c>
      <c r="Q19" s="1824">
        <v>0</v>
      </c>
      <c r="R19" s="1824">
        <v>0.6</v>
      </c>
      <c r="S19" s="1824">
        <v>0.4</v>
      </c>
      <c r="T19" s="1824">
        <v>0</v>
      </c>
      <c r="U19" s="1824">
        <v>0</v>
      </c>
      <c r="V19" s="1824">
        <v>0</v>
      </c>
      <c r="W19" s="1824">
        <v>0</v>
      </c>
      <c r="X19" s="1824">
        <v>0</v>
      </c>
      <c r="Z19" s="637">
        <f t="shared" si="4"/>
        <v>1</v>
      </c>
      <c r="AB19" s="23">
        <f t="shared" si="3"/>
        <v>0</v>
      </c>
      <c r="AC19" s="23">
        <f t="shared" si="3"/>
        <v>0</v>
      </c>
      <c r="AD19" s="23">
        <f t="shared" si="3"/>
        <v>0</v>
      </c>
      <c r="AE19" s="23">
        <f t="shared" si="3"/>
        <v>0</v>
      </c>
      <c r="AF19" s="23">
        <f t="shared" si="3"/>
        <v>0</v>
      </c>
      <c r="AG19" s="23">
        <f t="shared" si="3"/>
        <v>0</v>
      </c>
      <c r="AH19" s="23">
        <f t="shared" si="3"/>
        <v>0</v>
      </c>
      <c r="AI19" s="23">
        <f t="shared" si="3"/>
        <v>0</v>
      </c>
      <c r="AJ19" s="23">
        <f t="shared" si="3"/>
        <v>0</v>
      </c>
      <c r="AK19" s="23">
        <f t="shared" si="3"/>
        <v>0</v>
      </c>
      <c r="AL19" s="23"/>
      <c r="AM19" s="23">
        <f t="shared" si="5"/>
        <v>0</v>
      </c>
    </row>
    <row r="20" spans="2:39" ht="15" x14ac:dyDescent="0.25">
      <c r="B20" s="813"/>
      <c r="D20" s="821" t="s">
        <v>270</v>
      </c>
      <c r="E20" s="2" t="s">
        <v>604</v>
      </c>
      <c r="F20" s="357">
        <f>+'345 kV Und XLPE'!AD82</f>
        <v>0</v>
      </c>
      <c r="G20" s="2"/>
      <c r="H20" s="820">
        <f>+'345 kV Und XLPE'!AG82</f>
        <v>0</v>
      </c>
      <c r="I20" s="820">
        <f>+'345 kV Und XLPE'!AJ82</f>
        <v>0</v>
      </c>
      <c r="J20" s="820"/>
      <c r="K20" s="820">
        <f>+'345 kV Und XLPE'!AP82</f>
        <v>0</v>
      </c>
      <c r="L20" s="820"/>
      <c r="M20" s="815">
        <f t="shared" si="2"/>
        <v>0</v>
      </c>
      <c r="O20" s="1824">
        <v>0</v>
      </c>
      <c r="P20" s="1824">
        <v>0</v>
      </c>
      <c r="Q20" s="1824">
        <v>0</v>
      </c>
      <c r="R20" s="1824">
        <v>0.6</v>
      </c>
      <c r="S20" s="1824">
        <v>0.4</v>
      </c>
      <c r="T20" s="1824">
        <v>0</v>
      </c>
      <c r="U20" s="1824">
        <v>0</v>
      </c>
      <c r="V20" s="1824">
        <v>0</v>
      </c>
      <c r="W20" s="1824">
        <v>0</v>
      </c>
      <c r="X20" s="1824">
        <v>0</v>
      </c>
      <c r="Z20" s="637">
        <f t="shared" si="4"/>
        <v>1</v>
      </c>
      <c r="AB20" s="23">
        <f t="shared" si="3"/>
        <v>0</v>
      </c>
      <c r="AC20" s="23">
        <f t="shared" si="3"/>
        <v>0</v>
      </c>
      <c r="AD20" s="23">
        <f t="shared" si="3"/>
        <v>0</v>
      </c>
      <c r="AE20" s="23">
        <f t="shared" si="3"/>
        <v>0</v>
      </c>
      <c r="AF20" s="23">
        <f t="shared" si="3"/>
        <v>0</v>
      </c>
      <c r="AG20" s="23">
        <f t="shared" si="3"/>
        <v>0</v>
      </c>
      <c r="AH20" s="23">
        <f t="shared" si="3"/>
        <v>0</v>
      </c>
      <c r="AI20" s="23">
        <f t="shared" si="3"/>
        <v>0</v>
      </c>
      <c r="AJ20" s="23">
        <f t="shared" si="3"/>
        <v>0</v>
      </c>
      <c r="AK20" s="23">
        <f t="shared" si="3"/>
        <v>0</v>
      </c>
      <c r="AL20" s="23"/>
      <c r="AM20" s="23">
        <f t="shared" si="5"/>
        <v>0</v>
      </c>
    </row>
    <row r="21" spans="2:39" ht="15" x14ac:dyDescent="0.25">
      <c r="B21" s="813"/>
      <c r="D21" s="3" t="s">
        <v>1313</v>
      </c>
      <c r="E21" s="2" t="s">
        <v>604</v>
      </c>
      <c r="F21" s="357">
        <f>+'Substation Const'!AD621</f>
        <v>0</v>
      </c>
      <c r="G21" s="2"/>
      <c r="H21" s="820">
        <f>+'Substation Const'!AG621</f>
        <v>0</v>
      </c>
      <c r="I21" s="820">
        <f>+'Substation Const'!AJ621</f>
        <v>0</v>
      </c>
      <c r="J21" s="820"/>
      <c r="K21" s="820">
        <f>+'Substation Const'!AP621</f>
        <v>0</v>
      </c>
      <c r="L21" s="820"/>
      <c r="M21" s="815">
        <f t="shared" si="2"/>
        <v>0</v>
      </c>
      <c r="O21" s="1824">
        <v>0</v>
      </c>
      <c r="P21" s="1824">
        <v>0</v>
      </c>
      <c r="Q21" s="1824">
        <v>0</v>
      </c>
      <c r="R21" s="1824">
        <v>0.6</v>
      </c>
      <c r="S21" s="1824">
        <v>0.4</v>
      </c>
      <c r="T21" s="1824">
        <v>0</v>
      </c>
      <c r="U21" s="1824">
        <v>0</v>
      </c>
      <c r="V21" s="1824">
        <v>0</v>
      </c>
      <c r="W21" s="1824">
        <v>0</v>
      </c>
      <c r="X21" s="1824">
        <v>0</v>
      </c>
      <c r="Z21" s="637">
        <f t="shared" si="4"/>
        <v>1</v>
      </c>
      <c r="AB21" s="23">
        <f t="shared" si="3"/>
        <v>0</v>
      </c>
      <c r="AC21" s="23">
        <f t="shared" si="3"/>
        <v>0</v>
      </c>
      <c r="AD21" s="23">
        <f t="shared" si="3"/>
        <v>0</v>
      </c>
      <c r="AE21" s="23">
        <f t="shared" si="3"/>
        <v>0</v>
      </c>
      <c r="AF21" s="23">
        <f t="shared" si="3"/>
        <v>0</v>
      </c>
      <c r="AG21" s="23">
        <f t="shared" si="3"/>
        <v>0</v>
      </c>
      <c r="AH21" s="23">
        <f t="shared" si="3"/>
        <v>0</v>
      </c>
      <c r="AI21" s="23">
        <f t="shared" si="3"/>
        <v>0</v>
      </c>
      <c r="AJ21" s="23">
        <f t="shared" si="3"/>
        <v>0</v>
      </c>
      <c r="AK21" s="23">
        <f t="shared" si="3"/>
        <v>0</v>
      </c>
      <c r="AL21" s="23"/>
      <c r="AM21" s="23">
        <f t="shared" si="5"/>
        <v>0</v>
      </c>
    </row>
    <row r="22" spans="2:39" ht="15" x14ac:dyDescent="0.25">
      <c r="B22" s="813"/>
      <c r="D22" s="3" t="s">
        <v>1630</v>
      </c>
      <c r="E22" s="2" t="s">
        <v>604</v>
      </c>
      <c r="F22" s="357">
        <f>+Substation_D!AD134</f>
        <v>0</v>
      </c>
      <c r="G22" s="2"/>
      <c r="H22" s="820">
        <f>+Substation_D!AG134</f>
        <v>0</v>
      </c>
      <c r="I22" s="820">
        <f>+Substation_D!AJ134</f>
        <v>0</v>
      </c>
      <c r="J22" s="820"/>
      <c r="K22" s="820">
        <f>+Substation_D!AP134</f>
        <v>0</v>
      </c>
      <c r="L22" s="820"/>
      <c r="M22" s="815">
        <f t="shared" ref="M22" si="6">SUM(H22:L22)</f>
        <v>0</v>
      </c>
      <c r="O22" s="1824">
        <v>0</v>
      </c>
      <c r="P22" s="1824">
        <v>0</v>
      </c>
      <c r="Q22" s="1824">
        <v>0</v>
      </c>
      <c r="R22" s="1824">
        <v>0.6</v>
      </c>
      <c r="S22" s="1824">
        <v>0.4</v>
      </c>
      <c r="T22" s="1824">
        <v>0</v>
      </c>
      <c r="U22" s="1824">
        <v>0</v>
      </c>
      <c r="V22" s="1824">
        <v>0</v>
      </c>
      <c r="W22" s="1824">
        <v>0</v>
      </c>
      <c r="X22" s="1824">
        <v>0</v>
      </c>
      <c r="Z22" s="637">
        <f t="shared" si="4"/>
        <v>1</v>
      </c>
      <c r="AB22" s="23">
        <f t="shared" ref="AB22" si="7">+$M22*O22</f>
        <v>0</v>
      </c>
      <c r="AC22" s="23">
        <f t="shared" ref="AC22" si="8">+$M22*P22</f>
        <v>0</v>
      </c>
      <c r="AD22" s="23">
        <f t="shared" ref="AD22" si="9">+$M22*Q22</f>
        <v>0</v>
      </c>
      <c r="AE22" s="23">
        <f t="shared" ref="AE22" si="10">+$M22*R22</f>
        <v>0</v>
      </c>
      <c r="AF22" s="23">
        <f t="shared" ref="AF22" si="11">+$M22*S22</f>
        <v>0</v>
      </c>
      <c r="AG22" s="23">
        <f t="shared" ref="AG22:AK22" si="12">+$M22*T22</f>
        <v>0</v>
      </c>
      <c r="AH22" s="23">
        <f t="shared" si="12"/>
        <v>0</v>
      </c>
      <c r="AI22" s="23">
        <f t="shared" si="12"/>
        <v>0</v>
      </c>
      <c r="AJ22" s="23">
        <f t="shared" si="12"/>
        <v>0</v>
      </c>
      <c r="AK22" s="23">
        <f t="shared" si="12"/>
        <v>0</v>
      </c>
      <c r="AL22" s="23"/>
      <c r="AM22" s="23">
        <f t="shared" si="5"/>
        <v>0</v>
      </c>
    </row>
    <row r="23" spans="2:39" ht="15" x14ac:dyDescent="0.25">
      <c r="B23" s="813"/>
      <c r="D23" s="3" t="s">
        <v>272</v>
      </c>
      <c r="E23" s="2" t="s">
        <v>604</v>
      </c>
      <c r="F23" s="357">
        <f>+Removals!AD173*0</f>
        <v>0</v>
      </c>
      <c r="G23" s="2"/>
      <c r="H23" s="820">
        <f>+Removals!AG173*0</f>
        <v>0</v>
      </c>
      <c r="I23" s="820">
        <f>+Removals!AJ173*0</f>
        <v>0</v>
      </c>
      <c r="J23" s="820"/>
      <c r="K23" s="820">
        <f>+Removals!AP173*0</f>
        <v>0</v>
      </c>
      <c r="L23" s="820"/>
      <c r="M23" s="815">
        <f t="shared" si="2"/>
        <v>0</v>
      </c>
      <c r="O23" s="1824">
        <v>0</v>
      </c>
      <c r="P23" s="1824">
        <v>0</v>
      </c>
      <c r="Q23" s="1824">
        <v>0</v>
      </c>
      <c r="R23" s="1824">
        <v>0.6</v>
      </c>
      <c r="S23" s="1824">
        <v>0.4</v>
      </c>
      <c r="T23" s="1824">
        <v>0</v>
      </c>
      <c r="U23" s="1824">
        <v>0</v>
      </c>
      <c r="V23" s="1824">
        <v>0</v>
      </c>
      <c r="W23" s="1824">
        <v>0</v>
      </c>
      <c r="X23" s="1824">
        <v>0</v>
      </c>
      <c r="Z23" s="637">
        <f t="shared" si="4"/>
        <v>1</v>
      </c>
      <c r="AB23" s="23">
        <f t="shared" ref="AB23:AK30" si="13">+$M23*O23</f>
        <v>0</v>
      </c>
      <c r="AC23" s="23">
        <f t="shared" si="13"/>
        <v>0</v>
      </c>
      <c r="AD23" s="23">
        <f t="shared" si="13"/>
        <v>0</v>
      </c>
      <c r="AE23" s="23">
        <f t="shared" si="13"/>
        <v>0</v>
      </c>
      <c r="AF23" s="23">
        <f t="shared" si="13"/>
        <v>0</v>
      </c>
      <c r="AG23" s="23">
        <f t="shared" si="13"/>
        <v>0</v>
      </c>
      <c r="AH23" s="23">
        <f t="shared" si="13"/>
        <v>0</v>
      </c>
      <c r="AI23" s="23">
        <f t="shared" si="13"/>
        <v>0</v>
      </c>
      <c r="AJ23" s="23">
        <f t="shared" si="13"/>
        <v>0</v>
      </c>
      <c r="AK23" s="23">
        <f t="shared" si="13"/>
        <v>0</v>
      </c>
      <c r="AL23" s="23"/>
      <c r="AM23" s="23">
        <f t="shared" si="5"/>
        <v>0</v>
      </c>
    </row>
    <row r="24" spans="2:39" ht="15" x14ac:dyDescent="0.25">
      <c r="B24" s="813"/>
      <c r="D24" s="3" t="s">
        <v>1365</v>
      </c>
      <c r="E24" s="2" t="s">
        <v>604</v>
      </c>
      <c r="F24" s="357">
        <f>+'Additional  Est Input'!AD153</f>
        <v>0</v>
      </c>
      <c r="G24" s="2"/>
      <c r="H24" s="820">
        <f>+'Additional  Est Input'!AG153</f>
        <v>0</v>
      </c>
      <c r="I24" s="820">
        <f>+'Additional  Est Input'!AJ153</f>
        <v>0</v>
      </c>
      <c r="J24" s="820"/>
      <c r="K24" s="820">
        <f>+'Additional  Est Input'!AP153</f>
        <v>0</v>
      </c>
      <c r="L24" s="820"/>
      <c r="M24" s="815">
        <f t="shared" si="2"/>
        <v>0</v>
      </c>
      <c r="O24" s="1824">
        <v>0</v>
      </c>
      <c r="P24" s="1824">
        <v>0</v>
      </c>
      <c r="Q24" s="1824">
        <v>0</v>
      </c>
      <c r="R24" s="1824">
        <v>0.6</v>
      </c>
      <c r="S24" s="1824">
        <v>0.4</v>
      </c>
      <c r="T24" s="1824">
        <v>0</v>
      </c>
      <c r="U24" s="1824">
        <v>0</v>
      </c>
      <c r="V24" s="1824">
        <v>0</v>
      </c>
      <c r="W24" s="1824">
        <v>0</v>
      </c>
      <c r="X24" s="1824">
        <v>0</v>
      </c>
      <c r="Z24" s="637">
        <f t="shared" si="4"/>
        <v>1</v>
      </c>
      <c r="AB24" s="23">
        <f t="shared" si="13"/>
        <v>0</v>
      </c>
      <c r="AC24" s="23">
        <f t="shared" si="13"/>
        <v>0</v>
      </c>
      <c r="AD24" s="23">
        <f t="shared" si="13"/>
        <v>0</v>
      </c>
      <c r="AE24" s="23">
        <f t="shared" si="13"/>
        <v>0</v>
      </c>
      <c r="AF24" s="23">
        <f t="shared" si="13"/>
        <v>0</v>
      </c>
      <c r="AG24" s="23">
        <f t="shared" si="13"/>
        <v>0</v>
      </c>
      <c r="AH24" s="23">
        <f t="shared" si="13"/>
        <v>0</v>
      </c>
      <c r="AI24" s="23">
        <f t="shared" si="13"/>
        <v>0</v>
      </c>
      <c r="AJ24" s="23">
        <f t="shared" si="13"/>
        <v>0</v>
      </c>
      <c r="AK24" s="23">
        <f t="shared" si="13"/>
        <v>0</v>
      </c>
      <c r="AL24" s="23"/>
      <c r="AM24" s="23">
        <f t="shared" si="5"/>
        <v>0</v>
      </c>
    </row>
    <row r="25" spans="2:39" ht="15" x14ac:dyDescent="0.25">
      <c r="B25" s="813"/>
      <c r="D25" s="3" t="s">
        <v>96</v>
      </c>
      <c r="H25" s="820"/>
      <c r="I25" s="820"/>
      <c r="J25" s="820"/>
      <c r="K25" s="820"/>
      <c r="L25" s="820"/>
      <c r="M25" s="815">
        <f t="shared" si="2"/>
        <v>0</v>
      </c>
      <c r="O25" s="1824">
        <v>0</v>
      </c>
      <c r="P25" s="1824">
        <v>0</v>
      </c>
      <c r="Q25" s="1824">
        <v>0</v>
      </c>
      <c r="R25" s="1824">
        <v>0.6</v>
      </c>
      <c r="S25" s="1824">
        <v>0.4</v>
      </c>
      <c r="T25" s="1824">
        <v>0</v>
      </c>
      <c r="U25" s="1824">
        <v>0</v>
      </c>
      <c r="V25" s="1824">
        <v>0</v>
      </c>
      <c r="W25" s="1824">
        <v>0</v>
      </c>
      <c r="X25" s="1824">
        <v>0</v>
      </c>
      <c r="Z25" s="637">
        <f t="shared" si="4"/>
        <v>1</v>
      </c>
      <c r="AB25" s="23">
        <f t="shared" si="13"/>
        <v>0</v>
      </c>
      <c r="AC25" s="23">
        <f t="shared" si="13"/>
        <v>0</v>
      </c>
      <c r="AD25" s="23">
        <f t="shared" si="13"/>
        <v>0</v>
      </c>
      <c r="AE25" s="23">
        <f t="shared" si="13"/>
        <v>0</v>
      </c>
      <c r="AF25" s="23">
        <f t="shared" si="13"/>
        <v>0</v>
      </c>
      <c r="AG25" s="23">
        <f t="shared" si="13"/>
        <v>0</v>
      </c>
      <c r="AH25" s="23">
        <f t="shared" si="13"/>
        <v>0</v>
      </c>
      <c r="AI25" s="23">
        <f t="shared" si="13"/>
        <v>0</v>
      </c>
      <c r="AJ25" s="23">
        <f t="shared" si="13"/>
        <v>0</v>
      </c>
      <c r="AK25" s="23">
        <f t="shared" si="13"/>
        <v>0</v>
      </c>
      <c r="AL25" s="23"/>
      <c r="AM25" s="23">
        <f t="shared" si="5"/>
        <v>0</v>
      </c>
    </row>
    <row r="26" spans="2:39" ht="15" x14ac:dyDescent="0.25">
      <c r="B26" s="813"/>
      <c r="D26" s="3" t="str">
        <f>+D17</f>
        <v>OH work</v>
      </c>
      <c r="E26" s="12" t="s">
        <v>605</v>
      </c>
      <c r="F26" s="814">
        <f>+'OH Constr'!AE261</f>
        <v>0</v>
      </c>
      <c r="G26" s="12"/>
      <c r="H26" s="815">
        <f>+'OH Constr'!AH261</f>
        <v>0</v>
      </c>
      <c r="I26" s="816">
        <f>+'OH Constr'!AK261</f>
        <v>0</v>
      </c>
      <c r="J26" s="820"/>
      <c r="K26" s="816">
        <f>'OH Constr'!AQ261</f>
        <v>0</v>
      </c>
      <c r="L26" s="820"/>
      <c r="M26" s="815">
        <f t="shared" si="2"/>
        <v>0</v>
      </c>
      <c r="O26" s="1824">
        <v>0</v>
      </c>
      <c r="P26" s="1824">
        <v>0</v>
      </c>
      <c r="Q26" s="1824">
        <v>0</v>
      </c>
      <c r="R26" s="1824">
        <v>0.6</v>
      </c>
      <c r="S26" s="1824">
        <v>0.4</v>
      </c>
      <c r="T26" s="1824">
        <v>0</v>
      </c>
      <c r="U26" s="1824">
        <v>0</v>
      </c>
      <c r="V26" s="1824">
        <v>0</v>
      </c>
      <c r="W26" s="1824">
        <v>0</v>
      </c>
      <c r="X26" s="1824">
        <v>0</v>
      </c>
      <c r="Z26" s="637">
        <f t="shared" si="4"/>
        <v>1</v>
      </c>
      <c r="AB26" s="23">
        <f t="shared" si="13"/>
        <v>0</v>
      </c>
      <c r="AC26" s="23">
        <f t="shared" si="13"/>
        <v>0</v>
      </c>
      <c r="AD26" s="23">
        <f t="shared" si="13"/>
        <v>0</v>
      </c>
      <c r="AE26" s="23">
        <f t="shared" si="13"/>
        <v>0</v>
      </c>
      <c r="AF26" s="23">
        <f t="shared" si="13"/>
        <v>0</v>
      </c>
      <c r="AG26" s="23">
        <f t="shared" si="13"/>
        <v>0</v>
      </c>
      <c r="AH26" s="23">
        <f t="shared" si="13"/>
        <v>0</v>
      </c>
      <c r="AI26" s="23">
        <f t="shared" si="13"/>
        <v>0</v>
      </c>
      <c r="AJ26" s="23">
        <f t="shared" si="13"/>
        <v>0</v>
      </c>
      <c r="AK26" s="23">
        <f t="shared" si="13"/>
        <v>0</v>
      </c>
      <c r="AL26" s="23"/>
      <c r="AM26" s="23">
        <f t="shared" si="5"/>
        <v>0</v>
      </c>
    </row>
    <row r="27" spans="2:39" ht="15" x14ac:dyDescent="0.25">
      <c r="B27" s="813"/>
      <c r="D27" s="3" t="str">
        <f>+D18</f>
        <v>115kv UG HPFF</v>
      </c>
      <c r="E27" s="12" t="s">
        <v>605</v>
      </c>
      <c r="F27" s="819">
        <f>+'115 kV &amp; 345 kV HPFF'!AE79</f>
        <v>0</v>
      </c>
      <c r="G27" s="12"/>
      <c r="H27" s="816">
        <f>+'115 kV &amp; 345 kV HPFF'!AH79</f>
        <v>0</v>
      </c>
      <c r="I27" s="816">
        <f>+'115 kV &amp; 345 kV HPFF'!AK79</f>
        <v>0</v>
      </c>
      <c r="J27" s="820"/>
      <c r="K27" s="816">
        <f>+'115 kV &amp; 345 kV HPFF'!AQ79</f>
        <v>0</v>
      </c>
      <c r="L27" s="820"/>
      <c r="M27" s="815">
        <f t="shared" si="2"/>
        <v>0</v>
      </c>
      <c r="O27" s="1824">
        <v>0</v>
      </c>
      <c r="P27" s="1824">
        <v>0</v>
      </c>
      <c r="Q27" s="1824">
        <v>0</v>
      </c>
      <c r="R27" s="1824">
        <v>0.6</v>
      </c>
      <c r="S27" s="1824">
        <v>0.4</v>
      </c>
      <c r="T27" s="1824">
        <v>0</v>
      </c>
      <c r="U27" s="1824">
        <v>0</v>
      </c>
      <c r="V27" s="1824">
        <v>0</v>
      </c>
      <c r="W27" s="1824">
        <v>0</v>
      </c>
      <c r="X27" s="1824">
        <v>0</v>
      </c>
      <c r="Z27" s="637">
        <f t="shared" si="4"/>
        <v>1</v>
      </c>
      <c r="AB27" s="23">
        <f t="shared" si="13"/>
        <v>0</v>
      </c>
      <c r="AC27" s="23">
        <f t="shared" si="13"/>
        <v>0</v>
      </c>
      <c r="AD27" s="23">
        <f t="shared" si="13"/>
        <v>0</v>
      </c>
      <c r="AE27" s="23">
        <f t="shared" si="13"/>
        <v>0</v>
      </c>
      <c r="AF27" s="23">
        <f t="shared" si="13"/>
        <v>0</v>
      </c>
      <c r="AG27" s="23">
        <f t="shared" si="13"/>
        <v>0</v>
      </c>
      <c r="AH27" s="23">
        <f t="shared" si="13"/>
        <v>0</v>
      </c>
      <c r="AI27" s="23">
        <f t="shared" si="13"/>
        <v>0</v>
      </c>
      <c r="AJ27" s="23">
        <f t="shared" si="13"/>
        <v>0</v>
      </c>
      <c r="AK27" s="23">
        <f t="shared" si="13"/>
        <v>0</v>
      </c>
      <c r="AL27" s="23"/>
      <c r="AM27" s="23">
        <f t="shared" si="5"/>
        <v>0</v>
      </c>
    </row>
    <row r="28" spans="2:39" ht="15" x14ac:dyDescent="0.25">
      <c r="B28" s="813"/>
      <c r="D28" s="3" t="str">
        <f>+D19</f>
        <v>115kv UG XLPE</v>
      </c>
      <c r="E28" s="12" t="s">
        <v>605</v>
      </c>
      <c r="F28" s="357">
        <f>+'115 kV Und XLPE'!AE82</f>
        <v>0</v>
      </c>
      <c r="G28" s="12"/>
      <c r="H28" s="820">
        <f>+'115 kV Und XLPE'!AH82</f>
        <v>0</v>
      </c>
      <c r="I28" s="820">
        <f>+'115 kV Und XLPE'!AK82</f>
        <v>0</v>
      </c>
      <c r="J28" s="820"/>
      <c r="K28" s="820">
        <f>+'115 kV Und XLPE'!AQ82</f>
        <v>0</v>
      </c>
      <c r="L28" s="820"/>
      <c r="M28" s="815">
        <f t="shared" si="2"/>
        <v>0</v>
      </c>
      <c r="O28" s="1824">
        <v>0</v>
      </c>
      <c r="P28" s="1824">
        <v>0</v>
      </c>
      <c r="Q28" s="1824">
        <v>0</v>
      </c>
      <c r="R28" s="1824">
        <v>0.6</v>
      </c>
      <c r="S28" s="1824">
        <v>0.4</v>
      </c>
      <c r="T28" s="1824">
        <v>0</v>
      </c>
      <c r="U28" s="1824">
        <v>0</v>
      </c>
      <c r="V28" s="1824">
        <v>0</v>
      </c>
      <c r="W28" s="1824">
        <v>0</v>
      </c>
      <c r="X28" s="1824">
        <v>0</v>
      </c>
      <c r="Z28" s="637">
        <f t="shared" si="4"/>
        <v>1</v>
      </c>
      <c r="AB28" s="23">
        <f t="shared" si="13"/>
        <v>0</v>
      </c>
      <c r="AC28" s="23">
        <f t="shared" si="13"/>
        <v>0</v>
      </c>
      <c r="AD28" s="23">
        <f t="shared" si="13"/>
        <v>0</v>
      </c>
      <c r="AE28" s="23">
        <f t="shared" si="13"/>
        <v>0</v>
      </c>
      <c r="AF28" s="23">
        <f t="shared" si="13"/>
        <v>0</v>
      </c>
      <c r="AG28" s="23">
        <f t="shared" si="13"/>
        <v>0</v>
      </c>
      <c r="AH28" s="23">
        <f t="shared" si="13"/>
        <v>0</v>
      </c>
      <c r="AI28" s="23">
        <f t="shared" si="13"/>
        <v>0</v>
      </c>
      <c r="AJ28" s="23">
        <f t="shared" si="13"/>
        <v>0</v>
      </c>
      <c r="AK28" s="23">
        <f t="shared" si="13"/>
        <v>0</v>
      </c>
      <c r="AL28" s="23"/>
      <c r="AM28" s="23">
        <f t="shared" si="5"/>
        <v>0</v>
      </c>
    </row>
    <row r="29" spans="2:39" ht="15" x14ac:dyDescent="0.25">
      <c r="B29" s="813"/>
      <c r="D29" s="3" t="str">
        <f>+D20</f>
        <v>345 UG XLPE</v>
      </c>
      <c r="E29" s="12" t="s">
        <v>605</v>
      </c>
      <c r="F29" s="357">
        <f>+'345 kV Und XLPE'!AE82</f>
        <v>0</v>
      </c>
      <c r="G29" s="12"/>
      <c r="H29" s="820">
        <f>+'345 kV Und XLPE'!AH82</f>
        <v>0</v>
      </c>
      <c r="I29" s="820">
        <f>+'345 kV Und XLPE'!AK82</f>
        <v>0</v>
      </c>
      <c r="J29" s="820"/>
      <c r="K29" s="820">
        <f>+'345 kV Und XLPE'!AQ82</f>
        <v>0</v>
      </c>
      <c r="L29" s="820"/>
      <c r="M29" s="815">
        <f t="shared" si="2"/>
        <v>0</v>
      </c>
      <c r="O29" s="1824">
        <v>0</v>
      </c>
      <c r="P29" s="1824">
        <v>0</v>
      </c>
      <c r="Q29" s="1824">
        <v>0</v>
      </c>
      <c r="R29" s="1824">
        <v>0.6</v>
      </c>
      <c r="S29" s="1824">
        <v>0.4</v>
      </c>
      <c r="T29" s="1824">
        <v>0</v>
      </c>
      <c r="U29" s="1824">
        <v>0</v>
      </c>
      <c r="V29" s="1824">
        <v>0</v>
      </c>
      <c r="W29" s="1824">
        <v>0</v>
      </c>
      <c r="X29" s="1824">
        <v>0</v>
      </c>
      <c r="Z29" s="637">
        <f t="shared" si="4"/>
        <v>1</v>
      </c>
      <c r="AB29" s="23">
        <f t="shared" si="13"/>
        <v>0</v>
      </c>
      <c r="AC29" s="23">
        <f t="shared" si="13"/>
        <v>0</v>
      </c>
      <c r="AD29" s="23">
        <f t="shared" si="13"/>
        <v>0</v>
      </c>
      <c r="AE29" s="23">
        <f t="shared" si="13"/>
        <v>0</v>
      </c>
      <c r="AF29" s="23">
        <f t="shared" si="13"/>
        <v>0</v>
      </c>
      <c r="AG29" s="23">
        <f t="shared" si="13"/>
        <v>0</v>
      </c>
      <c r="AH29" s="23">
        <f t="shared" si="13"/>
        <v>0</v>
      </c>
      <c r="AI29" s="23">
        <f t="shared" si="13"/>
        <v>0</v>
      </c>
      <c r="AJ29" s="23">
        <f t="shared" si="13"/>
        <v>0</v>
      </c>
      <c r="AK29" s="23">
        <f t="shared" si="13"/>
        <v>0</v>
      </c>
      <c r="AL29" s="23"/>
      <c r="AM29" s="23">
        <f t="shared" si="5"/>
        <v>0</v>
      </c>
    </row>
    <row r="30" spans="2:39" ht="15" x14ac:dyDescent="0.25">
      <c r="B30" s="813"/>
      <c r="D30" s="3" t="str">
        <f>+D21</f>
        <v>Substation Const</v>
      </c>
      <c r="E30" s="12" t="s">
        <v>605</v>
      </c>
      <c r="F30" s="357">
        <f>+'Substation Const'!AE621</f>
        <v>0</v>
      </c>
      <c r="G30" s="12"/>
      <c r="H30" s="820">
        <f>+'Substation Const'!AH621</f>
        <v>0</v>
      </c>
      <c r="I30" s="820">
        <f>+'Substation Const'!AK621</f>
        <v>0</v>
      </c>
      <c r="J30" s="820"/>
      <c r="K30" s="820">
        <f>+'Substation Const'!AQ621</f>
        <v>0</v>
      </c>
      <c r="L30" s="820"/>
      <c r="M30" s="815">
        <f>SUM(H30:L30)</f>
        <v>0</v>
      </c>
      <c r="O30" s="1824">
        <v>0</v>
      </c>
      <c r="P30" s="1824">
        <v>0</v>
      </c>
      <c r="Q30" s="1824">
        <v>0</v>
      </c>
      <c r="R30" s="1824">
        <v>0.6</v>
      </c>
      <c r="S30" s="1824">
        <v>0.4</v>
      </c>
      <c r="T30" s="1824">
        <v>0</v>
      </c>
      <c r="U30" s="1824">
        <v>0</v>
      </c>
      <c r="V30" s="1824">
        <v>0</v>
      </c>
      <c r="W30" s="1824">
        <v>0</v>
      </c>
      <c r="X30" s="1824">
        <v>0</v>
      </c>
      <c r="Z30" s="637">
        <f t="shared" si="4"/>
        <v>1</v>
      </c>
      <c r="AB30" s="23">
        <f t="shared" si="13"/>
        <v>0</v>
      </c>
      <c r="AC30" s="23">
        <f t="shared" si="13"/>
        <v>0</v>
      </c>
      <c r="AD30" s="23">
        <f t="shared" si="13"/>
        <v>0</v>
      </c>
      <c r="AE30" s="23">
        <f t="shared" si="13"/>
        <v>0</v>
      </c>
      <c r="AF30" s="23">
        <f t="shared" si="13"/>
        <v>0</v>
      </c>
      <c r="AG30" s="23">
        <f t="shared" si="13"/>
        <v>0</v>
      </c>
      <c r="AH30" s="23">
        <f t="shared" si="13"/>
        <v>0</v>
      </c>
      <c r="AI30" s="23">
        <f t="shared" si="13"/>
        <v>0</v>
      </c>
      <c r="AJ30" s="23">
        <f t="shared" si="13"/>
        <v>0</v>
      </c>
      <c r="AK30" s="23">
        <f t="shared" si="13"/>
        <v>0</v>
      </c>
      <c r="AL30" s="23"/>
      <c r="AM30" s="23">
        <f t="shared" si="5"/>
        <v>0</v>
      </c>
    </row>
    <row r="31" spans="2:39" ht="15" x14ac:dyDescent="0.25">
      <c r="B31" s="813"/>
      <c r="D31" s="3" t="s">
        <v>1630</v>
      </c>
      <c r="E31" s="12" t="s">
        <v>605</v>
      </c>
      <c r="F31" s="357">
        <f>+Substation_D!AE134</f>
        <v>0</v>
      </c>
      <c r="G31" s="12"/>
      <c r="H31" s="820">
        <f>+Substation_D!AH134</f>
        <v>0</v>
      </c>
      <c r="I31" s="820">
        <f>+Substation_D!AK134</f>
        <v>0</v>
      </c>
      <c r="J31" s="820"/>
      <c r="K31" s="820">
        <f>+Substation_D!AQ134</f>
        <v>0</v>
      </c>
      <c r="L31" s="820"/>
      <c r="M31" s="815">
        <f>SUM(H31:L31)</f>
        <v>0</v>
      </c>
      <c r="O31" s="1824">
        <v>0</v>
      </c>
      <c r="P31" s="1824">
        <v>0</v>
      </c>
      <c r="Q31" s="1824">
        <v>0</v>
      </c>
      <c r="R31" s="1824">
        <v>0.6</v>
      </c>
      <c r="S31" s="1824">
        <v>0.4</v>
      </c>
      <c r="T31" s="1824">
        <v>0</v>
      </c>
      <c r="U31" s="1824">
        <v>0</v>
      </c>
      <c r="V31" s="1824">
        <v>0</v>
      </c>
      <c r="W31" s="1824">
        <v>0</v>
      </c>
      <c r="X31" s="1824">
        <v>0</v>
      </c>
      <c r="Z31" s="637">
        <f t="shared" si="4"/>
        <v>1</v>
      </c>
      <c r="AB31" s="23">
        <f t="shared" ref="AB31" si="14">+$M31*O31</f>
        <v>0</v>
      </c>
      <c r="AC31" s="23">
        <f t="shared" ref="AC31" si="15">+$M31*P31</f>
        <v>0</v>
      </c>
      <c r="AD31" s="23">
        <f t="shared" ref="AD31" si="16">+$M31*Q31</f>
        <v>0</v>
      </c>
      <c r="AE31" s="23">
        <f t="shared" ref="AE31" si="17">+$M31*R31</f>
        <v>0</v>
      </c>
      <c r="AF31" s="23">
        <f t="shared" ref="AF31" si="18">+$M31*S31</f>
        <v>0</v>
      </c>
      <c r="AG31" s="23">
        <f t="shared" ref="AG31:AK31" si="19">+$M31*T31</f>
        <v>0</v>
      </c>
      <c r="AH31" s="23">
        <f t="shared" si="19"/>
        <v>0</v>
      </c>
      <c r="AI31" s="23">
        <f t="shared" si="19"/>
        <v>0</v>
      </c>
      <c r="AJ31" s="23">
        <f t="shared" si="19"/>
        <v>0</v>
      </c>
      <c r="AK31" s="23">
        <f t="shared" si="19"/>
        <v>0</v>
      </c>
      <c r="AL31" s="23"/>
      <c r="AM31" s="23">
        <f t="shared" si="5"/>
        <v>0</v>
      </c>
    </row>
    <row r="32" spans="2:39" ht="15" x14ac:dyDescent="0.25">
      <c r="B32" s="813"/>
      <c r="D32" s="3" t="str">
        <f>+D23</f>
        <v>Removals(see separate tab)</v>
      </c>
      <c r="E32" s="12" t="s">
        <v>605</v>
      </c>
      <c r="F32" s="357">
        <f>+Removals!AE173*0</f>
        <v>0</v>
      </c>
      <c r="G32" s="12"/>
      <c r="H32" s="820">
        <f>+Removals!AH173*0</f>
        <v>0</v>
      </c>
      <c r="I32" s="820">
        <f>+Removals!AK173*0</f>
        <v>0</v>
      </c>
      <c r="J32" s="820"/>
      <c r="K32" s="820">
        <f>+Removals!AQ173*0</f>
        <v>0</v>
      </c>
      <c r="L32" s="820"/>
      <c r="M32" s="815">
        <f t="shared" si="2"/>
        <v>0</v>
      </c>
      <c r="O32" s="1824">
        <v>0</v>
      </c>
      <c r="P32" s="1824">
        <v>0</v>
      </c>
      <c r="Q32" s="1824">
        <v>0</v>
      </c>
      <c r="R32" s="1824">
        <v>0.6</v>
      </c>
      <c r="S32" s="1824">
        <v>0.4</v>
      </c>
      <c r="T32" s="1824">
        <v>0</v>
      </c>
      <c r="U32" s="1824">
        <v>0</v>
      </c>
      <c r="V32" s="1824">
        <v>0</v>
      </c>
      <c r="W32" s="1824">
        <v>0</v>
      </c>
      <c r="X32" s="1824">
        <v>0</v>
      </c>
      <c r="Z32" s="637">
        <f t="shared" si="4"/>
        <v>1</v>
      </c>
      <c r="AB32" s="23">
        <f t="shared" ref="AB32:AK33" si="20">+$M32*O32</f>
        <v>0</v>
      </c>
      <c r="AC32" s="23">
        <f t="shared" si="20"/>
        <v>0</v>
      </c>
      <c r="AD32" s="23">
        <f t="shared" si="20"/>
        <v>0</v>
      </c>
      <c r="AE32" s="23">
        <f t="shared" si="20"/>
        <v>0</v>
      </c>
      <c r="AF32" s="23">
        <f t="shared" si="20"/>
        <v>0</v>
      </c>
      <c r="AG32" s="23">
        <f t="shared" si="20"/>
        <v>0</v>
      </c>
      <c r="AH32" s="23">
        <f t="shared" si="20"/>
        <v>0</v>
      </c>
      <c r="AI32" s="23">
        <f t="shared" si="20"/>
        <v>0</v>
      </c>
      <c r="AJ32" s="23">
        <f t="shared" si="20"/>
        <v>0</v>
      </c>
      <c r="AK32" s="23">
        <f t="shared" si="20"/>
        <v>0</v>
      </c>
      <c r="AL32" s="23"/>
      <c r="AM32" s="23">
        <f t="shared" si="5"/>
        <v>0</v>
      </c>
    </row>
    <row r="33" spans="2:40" ht="15" x14ac:dyDescent="0.25">
      <c r="B33" s="813"/>
      <c r="D33" s="3" t="str">
        <f>+D24</f>
        <v>Additional  Est Input</v>
      </c>
      <c r="E33" s="12" t="s">
        <v>605</v>
      </c>
      <c r="F33" s="357">
        <f>+'Additional  Est Input'!AE153</f>
        <v>17605.108172043012</v>
      </c>
      <c r="G33" s="12"/>
      <c r="H33" s="820">
        <f>+'Additional  Est Input'!AH153</f>
        <v>2833234.15</v>
      </c>
      <c r="I33" s="820">
        <f>+'Additional  Est Input'!AK153</f>
        <v>583466</v>
      </c>
      <c r="J33" s="820"/>
      <c r="K33" s="820">
        <f>+'Additional  Est Input'!AQ153</f>
        <v>139700</v>
      </c>
      <c r="L33" s="820"/>
      <c r="M33" s="815">
        <f t="shared" si="2"/>
        <v>3556400.15</v>
      </c>
      <c r="O33" s="1824">
        <v>0</v>
      </c>
      <c r="P33" s="1824">
        <v>0</v>
      </c>
      <c r="Q33" s="1824">
        <v>0</v>
      </c>
      <c r="R33" s="1824">
        <v>0.6</v>
      </c>
      <c r="S33" s="1824">
        <v>0.4</v>
      </c>
      <c r="T33" s="1824">
        <v>0</v>
      </c>
      <c r="U33" s="1824">
        <v>0</v>
      </c>
      <c r="V33" s="1824">
        <v>0</v>
      </c>
      <c r="W33" s="1824">
        <v>0</v>
      </c>
      <c r="X33" s="1824">
        <v>0</v>
      </c>
      <c r="Z33" s="637">
        <f t="shared" si="4"/>
        <v>1</v>
      </c>
      <c r="AB33" s="23">
        <f t="shared" si="20"/>
        <v>0</v>
      </c>
      <c r="AC33" s="23">
        <f t="shared" si="20"/>
        <v>0</v>
      </c>
      <c r="AD33" s="23">
        <f t="shared" si="20"/>
        <v>0</v>
      </c>
      <c r="AE33" s="23">
        <f t="shared" si="20"/>
        <v>2133840.09</v>
      </c>
      <c r="AF33" s="23">
        <f t="shared" si="20"/>
        <v>1422560.06</v>
      </c>
      <c r="AG33" s="23">
        <f t="shared" si="20"/>
        <v>0</v>
      </c>
      <c r="AH33" s="23">
        <f t="shared" si="20"/>
        <v>0</v>
      </c>
      <c r="AI33" s="23">
        <f t="shared" si="20"/>
        <v>0</v>
      </c>
      <c r="AJ33" s="23">
        <f t="shared" si="20"/>
        <v>0</v>
      </c>
      <c r="AK33" s="23">
        <f t="shared" si="20"/>
        <v>0</v>
      </c>
      <c r="AL33" s="23"/>
      <c r="AM33" s="23">
        <f t="shared" si="5"/>
        <v>3556400.15</v>
      </c>
    </row>
    <row r="34" spans="2:40" ht="15" x14ac:dyDescent="0.25">
      <c r="B34" s="813"/>
      <c r="D34" s="9"/>
      <c r="E34" s="12"/>
      <c r="H34" s="820"/>
      <c r="I34" s="820"/>
      <c r="J34" s="820"/>
      <c r="K34" s="820"/>
      <c r="L34" s="820"/>
      <c r="M34" s="820"/>
      <c r="AB34" s="23"/>
      <c r="AC34" s="23"/>
      <c r="AD34" s="23"/>
      <c r="AE34" s="23"/>
      <c r="AF34" s="23"/>
      <c r="AG34" s="23"/>
      <c r="AH34" s="23"/>
      <c r="AI34" s="23"/>
      <c r="AJ34" s="23"/>
      <c r="AK34" s="23"/>
      <c r="AL34" s="23"/>
      <c r="AM34" s="23"/>
    </row>
    <row r="35" spans="2:40" ht="15" x14ac:dyDescent="0.25">
      <c r="B35" s="813"/>
      <c r="H35" s="820"/>
      <c r="I35" s="820"/>
      <c r="J35" s="820"/>
      <c r="K35" s="820"/>
      <c r="L35" s="820"/>
      <c r="M35" s="820"/>
      <c r="AB35" s="23"/>
      <c r="AC35" s="23"/>
      <c r="AD35" s="23"/>
      <c r="AE35" s="23"/>
      <c r="AF35" s="23"/>
      <c r="AG35" s="23"/>
      <c r="AH35" s="23"/>
      <c r="AI35" s="23"/>
      <c r="AJ35" s="23"/>
      <c r="AK35" s="23"/>
      <c r="AL35" s="23"/>
      <c r="AM35" s="23"/>
    </row>
    <row r="36" spans="2:40" ht="15" x14ac:dyDescent="0.25">
      <c r="B36" s="813"/>
      <c r="C36" s="9" t="s">
        <v>606</v>
      </c>
      <c r="D36" s="9"/>
      <c r="H36" s="820"/>
      <c r="I36" s="820"/>
      <c r="J36" s="820"/>
      <c r="K36" s="820"/>
      <c r="L36" s="820"/>
      <c r="M36" s="822">
        <f>SUM(M17:M35)</f>
        <v>3556400.15</v>
      </c>
      <c r="O36" t="s">
        <v>607</v>
      </c>
      <c r="AB36" s="823">
        <f t="shared" ref="AB36:AG36" si="21">SUM(AB17:AB35)</f>
        <v>0</v>
      </c>
      <c r="AC36" s="823">
        <f t="shared" si="21"/>
        <v>0</v>
      </c>
      <c r="AD36" s="823">
        <f t="shared" si="21"/>
        <v>0</v>
      </c>
      <c r="AE36" s="823">
        <f t="shared" si="21"/>
        <v>2133840.09</v>
      </c>
      <c r="AF36" s="823">
        <f t="shared" si="21"/>
        <v>1422560.06</v>
      </c>
      <c r="AG36" s="823">
        <f t="shared" si="21"/>
        <v>0</v>
      </c>
      <c r="AH36" s="823">
        <f t="shared" ref="AH36:AK36" si="22">SUM(AH17:AH35)</f>
        <v>0</v>
      </c>
      <c r="AI36" s="823">
        <f t="shared" si="22"/>
        <v>0</v>
      </c>
      <c r="AJ36" s="823">
        <f t="shared" si="22"/>
        <v>0</v>
      </c>
      <c r="AK36" s="823">
        <f t="shared" si="22"/>
        <v>0</v>
      </c>
      <c r="AL36" s="23"/>
      <c r="AM36" s="823">
        <f>SUM(AB36:AK36)</f>
        <v>3556400.15</v>
      </c>
    </row>
    <row r="37" spans="2:40" ht="7.35" customHeight="1" x14ac:dyDescent="0.25">
      <c r="B37" s="813"/>
      <c r="C37" s="9"/>
      <c r="D37" s="9"/>
      <c r="H37" s="820"/>
      <c r="I37" s="820"/>
      <c r="J37" s="820"/>
      <c r="K37" s="820"/>
      <c r="L37" s="820"/>
      <c r="M37" s="824"/>
      <c r="AB37" s="825"/>
      <c r="AC37" s="825"/>
      <c r="AD37" s="825"/>
      <c r="AE37" s="825"/>
      <c r="AF37" s="825"/>
      <c r="AG37" s="825"/>
      <c r="AH37" s="825"/>
      <c r="AI37" s="825"/>
      <c r="AJ37" s="825"/>
      <c r="AK37" s="825"/>
      <c r="AL37" s="23"/>
      <c r="AM37" s="825"/>
    </row>
    <row r="38" spans="2:40" ht="15" x14ac:dyDescent="0.25">
      <c r="B38" s="813"/>
      <c r="C38" s="9"/>
      <c r="D38" s="9" t="s">
        <v>608</v>
      </c>
      <c r="E38" s="2" t="s">
        <v>604</v>
      </c>
      <c r="F38" s="23">
        <f>SUMIF($E$17:$E$33,$E38,F17:F33)</f>
        <v>0</v>
      </c>
      <c r="G38" s="2"/>
      <c r="H38" s="826">
        <f>SUMIF($E$17:$E$33,$E38,H17:H33)</f>
        <v>0</v>
      </c>
      <c r="I38" s="826">
        <f>SUMIF($E$17:$E$33,$E38,I17:I33)</f>
        <v>0</v>
      </c>
      <c r="J38" s="826">
        <f>SUMIF($E$17:$E$33,$E38,J17:J33)</f>
        <v>0</v>
      </c>
      <c r="K38" s="826">
        <f>SUMIF($E$17:$E$33,$E38,K17:K33)</f>
        <v>0</v>
      </c>
      <c r="L38" s="820"/>
      <c r="M38" s="826">
        <f>SUMIF($E$17:$E$33,$E38,M17:M33)</f>
        <v>0</v>
      </c>
      <c r="O38" s="23">
        <f>IF(AM38=0,0,+$F$38*AB38/$AM$38)</f>
        <v>0</v>
      </c>
      <c r="P38" s="23">
        <f>IF(AM38=0,0,+$F$38*AC38/$AM$38)</f>
        <v>0</v>
      </c>
      <c r="Q38" s="23">
        <f>IF(AM38=0,0,+$F$38*AD38/$AM$38)</f>
        <v>0</v>
      </c>
      <c r="R38" s="23">
        <f>IF(AM38=0,0,+$F$38*AE38/$AM$38)</f>
        <v>0</v>
      </c>
      <c r="S38" s="23">
        <f>IF(AM38=0,0,+$F$38*AF38/$AM$38)</f>
        <v>0</v>
      </c>
      <c r="T38" s="23">
        <f>IF(AM38=0,0,+$F$38*AG38/$AM$38)</f>
        <v>0</v>
      </c>
      <c r="U38" s="23">
        <f>IF(AM38=0,0,+$F$38*AH38/$AM$38)</f>
        <v>0</v>
      </c>
      <c r="V38" s="23">
        <f>IF(AM38=0,0,+$F$38*AI38/$AM$38)</f>
        <v>0</v>
      </c>
      <c r="W38" s="23">
        <f>IF(AM38=0,0,+$F$38*AJ38/$AM$38)</f>
        <v>0</v>
      </c>
      <c r="X38" s="23">
        <f>IF(AM38=0,0,+$F$38*AK38/$AM$38)</f>
        <v>0</v>
      </c>
      <c r="Z38" s="335">
        <f>SUM(O38:X38)</f>
        <v>0</v>
      </c>
      <c r="AB38" s="23">
        <f t="shared" ref="AB38:AG38" si="23">SUMIF($E$17:$E$33,$E38,AB17:AB33)</f>
        <v>0</v>
      </c>
      <c r="AC38" s="23">
        <f t="shared" si="23"/>
        <v>0</v>
      </c>
      <c r="AD38" s="23">
        <f t="shared" si="23"/>
        <v>0</v>
      </c>
      <c r="AE38" s="23">
        <f t="shared" si="23"/>
        <v>0</v>
      </c>
      <c r="AF38" s="23">
        <f t="shared" si="23"/>
        <v>0</v>
      </c>
      <c r="AG38" s="23">
        <f t="shared" si="23"/>
        <v>0</v>
      </c>
      <c r="AH38" s="23">
        <f t="shared" ref="AH38:AK38" si="24">SUMIF($E$17:$E$33,$E38,AH17:AH33)</f>
        <v>0</v>
      </c>
      <c r="AI38" s="23">
        <f t="shared" si="24"/>
        <v>0</v>
      </c>
      <c r="AJ38" s="23">
        <f t="shared" si="24"/>
        <v>0</v>
      </c>
      <c r="AK38" s="23">
        <f t="shared" si="24"/>
        <v>0</v>
      </c>
      <c r="AL38" s="23"/>
      <c r="AM38" s="23">
        <f>SUMIF($E$17:$E$33,$E38,AM17:AM33)</f>
        <v>0</v>
      </c>
    </row>
    <row r="39" spans="2:40" ht="15" x14ac:dyDescent="0.25">
      <c r="B39" s="813"/>
      <c r="C39" s="9"/>
      <c r="D39" s="9" t="s">
        <v>608</v>
      </c>
      <c r="E39" s="2" t="s">
        <v>605</v>
      </c>
      <c r="F39" s="23">
        <f>SUMIF($E$17:$E$33,$E39,F17:F33)</f>
        <v>17605.108172043012</v>
      </c>
      <c r="G39" s="2"/>
      <c r="H39" s="826">
        <f>SUMIF($E$17:$E$33,$E39,H17:H33)</f>
        <v>2833234.15</v>
      </c>
      <c r="I39" s="826">
        <f>SUMIF($E$17:$E$33,$E39,I17:I33)</f>
        <v>583466</v>
      </c>
      <c r="J39" s="826">
        <f>SUMIF($E$17:$E$33,$E39,J17:J33)</f>
        <v>0</v>
      </c>
      <c r="K39" s="826">
        <f>SUMIF($E$17:$E$33,$E39,K17:K33)</f>
        <v>139700</v>
      </c>
      <c r="L39" s="820"/>
      <c r="M39" s="826">
        <f>SUMIF($E$17:$E$33,$E39,M17:M33)</f>
        <v>3556400.15</v>
      </c>
      <c r="O39" s="23">
        <f>IF(AM39=0,0,+$F$39*AB39/$AM$39)</f>
        <v>0</v>
      </c>
      <c r="P39" s="23">
        <f>IF(AM39=0,0,+$F$39*AC39/$AM$39)</f>
        <v>0</v>
      </c>
      <c r="Q39" s="23">
        <f>IF(AM39=0,0,+$F$39*AD39/$AM$39)</f>
        <v>0</v>
      </c>
      <c r="R39" s="23">
        <f>IF(AM39=0,0,+$F$39*AE39/$AM$39)</f>
        <v>10563.064903225806</v>
      </c>
      <c r="S39" s="23">
        <f>IF(AM39=0,0,+$F$39*AF39/$AM$39)</f>
        <v>7042.0432688172059</v>
      </c>
      <c r="T39" s="23">
        <f>+IF(AM39=0,0,$F$39*AG39/$AM$39)</f>
        <v>0</v>
      </c>
      <c r="U39" s="23">
        <f t="shared" ref="U39" si="25">+IF(AN39=0,0,$F$39*AH39/$AM$39)</f>
        <v>0</v>
      </c>
      <c r="V39" s="23">
        <f>+IF(AM39=0,0,$F$39*AI39/$AM$39)</f>
        <v>0</v>
      </c>
      <c r="W39" s="23">
        <f>+IF(AM39=0,0,$F$39*AJ39/$AM$39)</f>
        <v>0</v>
      </c>
      <c r="X39" s="23">
        <f>+IF(AM39=0,0,$F$39*AK39/$AM$39)</f>
        <v>0</v>
      </c>
      <c r="Z39" s="335">
        <f>SUM(O39:X39)</f>
        <v>17605.108172043012</v>
      </c>
      <c r="AB39" s="23">
        <f t="shared" ref="AB39:AG39" si="26">SUMIF($E$17:$E$33,$E39,AB17:AB33)</f>
        <v>0</v>
      </c>
      <c r="AC39" s="23">
        <f t="shared" si="26"/>
        <v>0</v>
      </c>
      <c r="AD39" s="23">
        <f t="shared" si="26"/>
        <v>0</v>
      </c>
      <c r="AE39" s="23">
        <f t="shared" si="26"/>
        <v>2133840.09</v>
      </c>
      <c r="AF39" s="23">
        <f t="shared" si="26"/>
        <v>1422560.06</v>
      </c>
      <c r="AG39" s="23">
        <f t="shared" si="26"/>
        <v>0</v>
      </c>
      <c r="AH39" s="23">
        <f t="shared" ref="AH39:AK39" si="27">SUMIF($E$17:$E$33,$E39,AH17:AH33)</f>
        <v>0</v>
      </c>
      <c r="AI39" s="23">
        <f t="shared" si="27"/>
        <v>0</v>
      </c>
      <c r="AJ39" s="23">
        <f t="shared" si="27"/>
        <v>0</v>
      </c>
      <c r="AK39" s="23">
        <f t="shared" si="27"/>
        <v>0</v>
      </c>
      <c r="AL39" s="23"/>
      <c r="AM39" s="23">
        <f>SUMIF($E$17:$E$33,$E39,AM17:AM33)</f>
        <v>3556400.15</v>
      </c>
      <c r="AN39" s="335">
        <f>+AM38+AM39</f>
        <v>3556400.15</v>
      </c>
    </row>
    <row r="40" spans="2:40" ht="15" x14ac:dyDescent="0.25">
      <c r="B40" s="813"/>
      <c r="C40" s="9"/>
      <c r="D40" s="9"/>
      <c r="M40" s="825"/>
      <c r="AB40" s="825"/>
      <c r="AC40" s="825"/>
      <c r="AD40" s="825"/>
      <c r="AE40" s="825"/>
      <c r="AF40" s="825"/>
      <c r="AG40" s="825"/>
      <c r="AH40" s="825"/>
      <c r="AI40" s="825"/>
      <c r="AJ40" s="825"/>
      <c r="AK40" s="825"/>
      <c r="AL40" s="23"/>
      <c r="AM40" s="825"/>
    </row>
    <row r="41" spans="2:40" ht="15" x14ac:dyDescent="0.25">
      <c r="B41" s="813"/>
    </row>
    <row r="42" spans="2:40" ht="15" x14ac:dyDescent="0.25">
      <c r="B42" s="813"/>
      <c r="C42" s="9" t="s">
        <v>282</v>
      </c>
    </row>
    <row r="43" spans="2:40" ht="15" x14ac:dyDescent="0.25">
      <c r="B43" s="813"/>
      <c r="AB43" s="23"/>
      <c r="AC43" s="23"/>
      <c r="AD43" s="23"/>
      <c r="AE43" s="23"/>
      <c r="AF43" s="23"/>
      <c r="AG43" s="23"/>
      <c r="AH43" s="23"/>
      <c r="AI43" s="23"/>
      <c r="AJ43" s="23"/>
      <c r="AK43" s="23"/>
      <c r="AM43" s="23"/>
    </row>
    <row r="44" spans="2:40" ht="15" x14ac:dyDescent="0.25">
      <c r="B44" s="813"/>
      <c r="D44" s="3" t="str">
        <f t="shared" ref="D44:E48" si="28">+D17</f>
        <v>OH work</v>
      </c>
      <c r="E44" s="2" t="str">
        <f t="shared" si="28"/>
        <v>E</v>
      </c>
      <c r="F44" s="2"/>
      <c r="G44" s="2"/>
      <c r="AB44" s="23">
        <f t="shared" ref="AB44:AG53" si="29">+AB17*AB$8</f>
        <v>0</v>
      </c>
      <c r="AC44" s="23">
        <f t="shared" si="29"/>
        <v>0</v>
      </c>
      <c r="AD44" s="23">
        <f t="shared" si="29"/>
        <v>0</v>
      </c>
      <c r="AE44" s="23">
        <f t="shared" si="29"/>
        <v>0</v>
      </c>
      <c r="AF44" s="23">
        <f t="shared" si="29"/>
        <v>0</v>
      </c>
      <c r="AG44" s="23">
        <f t="shared" si="29"/>
        <v>0</v>
      </c>
      <c r="AH44" s="23">
        <f t="shared" ref="AH44:AK44" si="30">+AH17*AH$8</f>
        <v>0</v>
      </c>
      <c r="AI44" s="23">
        <f t="shared" si="30"/>
        <v>0</v>
      </c>
      <c r="AJ44" s="23">
        <f t="shared" si="30"/>
        <v>0</v>
      </c>
      <c r="AK44" s="23">
        <f t="shared" si="30"/>
        <v>0</v>
      </c>
      <c r="AM44" s="23">
        <f>SUM(AB44:AK44)</f>
        <v>0</v>
      </c>
    </row>
    <row r="45" spans="2:40" ht="15" x14ac:dyDescent="0.25">
      <c r="B45" s="813"/>
      <c r="D45" s="3" t="str">
        <f t="shared" si="28"/>
        <v>115kv UG HPFF</v>
      </c>
      <c r="E45" s="2" t="str">
        <f t="shared" si="28"/>
        <v>E</v>
      </c>
      <c r="F45" s="2"/>
      <c r="G45" s="2"/>
      <c r="AB45" s="23">
        <f t="shared" si="29"/>
        <v>0</v>
      </c>
      <c r="AC45" s="23">
        <f t="shared" si="29"/>
        <v>0</v>
      </c>
      <c r="AD45" s="23">
        <f t="shared" si="29"/>
        <v>0</v>
      </c>
      <c r="AE45" s="23">
        <f t="shared" si="29"/>
        <v>0</v>
      </c>
      <c r="AF45" s="23">
        <f t="shared" si="29"/>
        <v>0</v>
      </c>
      <c r="AG45" s="23">
        <f t="shared" si="29"/>
        <v>0</v>
      </c>
      <c r="AH45" s="23">
        <f t="shared" ref="AH45:AK45" si="31">+AH18*AH$8</f>
        <v>0</v>
      </c>
      <c r="AI45" s="23">
        <f t="shared" si="31"/>
        <v>0</v>
      </c>
      <c r="AJ45" s="23">
        <f t="shared" si="31"/>
        <v>0</v>
      </c>
      <c r="AK45" s="23">
        <f t="shared" si="31"/>
        <v>0</v>
      </c>
      <c r="AM45" s="23">
        <f t="shared" ref="AM45:AM60" si="32">SUM(AB45:AK45)</f>
        <v>0</v>
      </c>
    </row>
    <row r="46" spans="2:40" ht="15" x14ac:dyDescent="0.25">
      <c r="B46" s="813"/>
      <c r="D46" s="3" t="str">
        <f t="shared" si="28"/>
        <v>115kv UG XLPE</v>
      </c>
      <c r="E46" s="2" t="str">
        <f t="shared" si="28"/>
        <v>E</v>
      </c>
      <c r="F46" s="2"/>
      <c r="G46" s="2"/>
      <c r="AB46" s="23">
        <f t="shared" si="29"/>
        <v>0</v>
      </c>
      <c r="AC46" s="23">
        <f t="shared" si="29"/>
        <v>0</v>
      </c>
      <c r="AD46" s="23">
        <f t="shared" si="29"/>
        <v>0</v>
      </c>
      <c r="AE46" s="23">
        <f t="shared" si="29"/>
        <v>0</v>
      </c>
      <c r="AF46" s="23">
        <f t="shared" si="29"/>
        <v>0</v>
      </c>
      <c r="AG46" s="23">
        <f t="shared" si="29"/>
        <v>0</v>
      </c>
      <c r="AH46" s="23">
        <f t="shared" ref="AH46:AK46" si="33">+AH19*AH$8</f>
        <v>0</v>
      </c>
      <c r="AI46" s="23">
        <f t="shared" si="33"/>
        <v>0</v>
      </c>
      <c r="AJ46" s="23">
        <f t="shared" si="33"/>
        <v>0</v>
      </c>
      <c r="AK46" s="23">
        <f t="shared" si="33"/>
        <v>0</v>
      </c>
      <c r="AM46" s="23">
        <f t="shared" si="32"/>
        <v>0</v>
      </c>
    </row>
    <row r="47" spans="2:40" ht="15" x14ac:dyDescent="0.25">
      <c r="B47" s="813"/>
      <c r="D47" s="3" t="str">
        <f t="shared" si="28"/>
        <v>345 UG XLPE</v>
      </c>
      <c r="E47" s="2" t="str">
        <f t="shared" si="28"/>
        <v>E</v>
      </c>
      <c r="F47" s="2"/>
      <c r="G47" s="2"/>
      <c r="AB47" s="23">
        <f t="shared" si="29"/>
        <v>0</v>
      </c>
      <c r="AC47" s="23">
        <f t="shared" si="29"/>
        <v>0</v>
      </c>
      <c r="AD47" s="23">
        <f t="shared" si="29"/>
        <v>0</v>
      </c>
      <c r="AE47" s="23">
        <f t="shared" si="29"/>
        <v>0</v>
      </c>
      <c r="AF47" s="23">
        <f t="shared" si="29"/>
        <v>0</v>
      </c>
      <c r="AG47" s="23">
        <f t="shared" si="29"/>
        <v>0</v>
      </c>
      <c r="AH47" s="23">
        <f t="shared" ref="AH47:AK47" si="34">+AH20*AH$8</f>
        <v>0</v>
      </c>
      <c r="AI47" s="23">
        <f t="shared" si="34"/>
        <v>0</v>
      </c>
      <c r="AJ47" s="23">
        <f t="shared" si="34"/>
        <v>0</v>
      </c>
      <c r="AK47" s="23">
        <f t="shared" si="34"/>
        <v>0</v>
      </c>
      <c r="AM47" s="23">
        <f t="shared" si="32"/>
        <v>0</v>
      </c>
    </row>
    <row r="48" spans="2:40" ht="15" x14ac:dyDescent="0.25">
      <c r="B48" s="813"/>
      <c r="D48" s="3" t="str">
        <f t="shared" si="28"/>
        <v>Substation Const</v>
      </c>
      <c r="E48" s="2" t="str">
        <f t="shared" si="28"/>
        <v>E</v>
      </c>
      <c r="F48" s="2"/>
      <c r="G48" s="2"/>
      <c r="AB48" s="23">
        <f t="shared" si="29"/>
        <v>0</v>
      </c>
      <c r="AC48" s="23">
        <f t="shared" si="29"/>
        <v>0</v>
      </c>
      <c r="AD48" s="23">
        <f t="shared" si="29"/>
        <v>0</v>
      </c>
      <c r="AE48" s="23">
        <f t="shared" si="29"/>
        <v>0</v>
      </c>
      <c r="AF48" s="23">
        <f t="shared" si="29"/>
        <v>0</v>
      </c>
      <c r="AG48" s="23">
        <f t="shared" si="29"/>
        <v>0</v>
      </c>
      <c r="AH48" s="23">
        <f t="shared" ref="AH48:AK48" si="35">+AH21*AH$8</f>
        <v>0</v>
      </c>
      <c r="AI48" s="23">
        <f t="shared" si="35"/>
        <v>0</v>
      </c>
      <c r="AJ48" s="23">
        <f t="shared" si="35"/>
        <v>0</v>
      </c>
      <c r="AK48" s="23">
        <f t="shared" si="35"/>
        <v>0</v>
      </c>
      <c r="AM48" s="23">
        <f t="shared" si="32"/>
        <v>0</v>
      </c>
    </row>
    <row r="49" spans="2:39" ht="15" x14ac:dyDescent="0.25">
      <c r="B49" s="813"/>
      <c r="D49" s="3" t="s">
        <v>1630</v>
      </c>
      <c r="E49" s="2" t="str">
        <f t="shared" ref="E49:E60" si="36">+E22</f>
        <v>E</v>
      </c>
      <c r="F49" s="2"/>
      <c r="G49" s="2"/>
      <c r="AB49" s="23">
        <f t="shared" si="29"/>
        <v>0</v>
      </c>
      <c r="AC49" s="23">
        <f t="shared" si="29"/>
        <v>0</v>
      </c>
      <c r="AD49" s="23">
        <f t="shared" si="29"/>
        <v>0</v>
      </c>
      <c r="AE49" s="23">
        <f t="shared" si="29"/>
        <v>0</v>
      </c>
      <c r="AF49" s="23">
        <f t="shared" si="29"/>
        <v>0</v>
      </c>
      <c r="AG49" s="23">
        <f t="shared" si="29"/>
        <v>0</v>
      </c>
      <c r="AH49" s="23">
        <f t="shared" ref="AH49:AK49" si="37">+AH22*AH$8</f>
        <v>0</v>
      </c>
      <c r="AI49" s="23">
        <f t="shared" si="37"/>
        <v>0</v>
      </c>
      <c r="AJ49" s="23">
        <f t="shared" si="37"/>
        <v>0</v>
      </c>
      <c r="AK49" s="23">
        <f t="shared" si="37"/>
        <v>0</v>
      </c>
      <c r="AM49" s="23">
        <f t="shared" si="32"/>
        <v>0</v>
      </c>
    </row>
    <row r="50" spans="2:39" ht="15" x14ac:dyDescent="0.25">
      <c r="B50" s="813"/>
      <c r="D50" s="3" t="str">
        <f t="shared" ref="D50:D60" si="38">+D23</f>
        <v>Removals(see separate tab)</v>
      </c>
      <c r="E50" s="2" t="str">
        <f t="shared" si="36"/>
        <v>E</v>
      </c>
      <c r="F50" s="2"/>
      <c r="G50" s="2"/>
      <c r="AB50" s="23">
        <f t="shared" si="29"/>
        <v>0</v>
      </c>
      <c r="AC50" s="23">
        <f t="shared" si="29"/>
        <v>0</v>
      </c>
      <c r="AD50" s="23">
        <f t="shared" si="29"/>
        <v>0</v>
      </c>
      <c r="AE50" s="23">
        <f t="shared" si="29"/>
        <v>0</v>
      </c>
      <c r="AF50" s="23">
        <f t="shared" si="29"/>
        <v>0</v>
      </c>
      <c r="AG50" s="23">
        <f t="shared" si="29"/>
        <v>0</v>
      </c>
      <c r="AH50" s="23">
        <f t="shared" ref="AH50:AK50" si="39">+AH23*AH$8</f>
        <v>0</v>
      </c>
      <c r="AI50" s="23">
        <f t="shared" si="39"/>
        <v>0</v>
      </c>
      <c r="AJ50" s="23">
        <f t="shared" si="39"/>
        <v>0</v>
      </c>
      <c r="AK50" s="23">
        <f t="shared" si="39"/>
        <v>0</v>
      </c>
      <c r="AM50" s="23">
        <f t="shared" si="32"/>
        <v>0</v>
      </c>
    </row>
    <row r="51" spans="2:39" ht="15" x14ac:dyDescent="0.25">
      <c r="B51" s="813"/>
      <c r="D51" s="3" t="str">
        <f t="shared" si="38"/>
        <v>Additional  Est Input</v>
      </c>
      <c r="E51" s="2" t="str">
        <f t="shared" si="36"/>
        <v>E</v>
      </c>
      <c r="F51" s="2"/>
      <c r="G51" s="2"/>
      <c r="AB51" s="23">
        <f t="shared" si="29"/>
        <v>0</v>
      </c>
      <c r="AC51" s="23">
        <f t="shared" si="29"/>
        <v>0</v>
      </c>
      <c r="AD51" s="23">
        <f t="shared" si="29"/>
        <v>0</v>
      </c>
      <c r="AE51" s="23">
        <f t="shared" si="29"/>
        <v>0</v>
      </c>
      <c r="AF51" s="23">
        <f t="shared" si="29"/>
        <v>0</v>
      </c>
      <c r="AG51" s="23">
        <f t="shared" si="29"/>
        <v>0</v>
      </c>
      <c r="AH51" s="23">
        <f t="shared" ref="AH51:AK51" si="40">+AH24*AH$8</f>
        <v>0</v>
      </c>
      <c r="AI51" s="23">
        <f t="shared" si="40"/>
        <v>0</v>
      </c>
      <c r="AJ51" s="23">
        <f t="shared" si="40"/>
        <v>0</v>
      </c>
      <c r="AK51" s="23">
        <f t="shared" si="40"/>
        <v>0</v>
      </c>
      <c r="AM51" s="23">
        <f t="shared" si="32"/>
        <v>0</v>
      </c>
    </row>
    <row r="52" spans="2:39" ht="15" x14ac:dyDescent="0.25">
      <c r="B52" s="813"/>
      <c r="D52" s="3" t="str">
        <f t="shared" si="38"/>
        <v xml:space="preserve"> </v>
      </c>
      <c r="E52" s="2">
        <f t="shared" si="36"/>
        <v>0</v>
      </c>
      <c r="F52" s="2"/>
      <c r="G52" s="2"/>
      <c r="AB52" s="23">
        <f t="shared" si="29"/>
        <v>0</v>
      </c>
      <c r="AC52" s="23">
        <f t="shared" si="29"/>
        <v>0</v>
      </c>
      <c r="AD52" s="23">
        <f t="shared" si="29"/>
        <v>0</v>
      </c>
      <c r="AE52" s="23">
        <f t="shared" si="29"/>
        <v>0</v>
      </c>
      <c r="AF52" s="23">
        <f t="shared" si="29"/>
        <v>0</v>
      </c>
      <c r="AG52" s="23">
        <f t="shared" si="29"/>
        <v>0</v>
      </c>
      <c r="AH52" s="23">
        <f t="shared" ref="AH52:AK52" si="41">+AH25*AH$8</f>
        <v>0</v>
      </c>
      <c r="AI52" s="23">
        <f t="shared" si="41"/>
        <v>0</v>
      </c>
      <c r="AJ52" s="23">
        <f t="shared" si="41"/>
        <v>0</v>
      </c>
      <c r="AK52" s="23">
        <f t="shared" si="41"/>
        <v>0</v>
      </c>
      <c r="AM52" s="23">
        <f t="shared" si="32"/>
        <v>0</v>
      </c>
    </row>
    <row r="53" spans="2:39" ht="15" x14ac:dyDescent="0.25">
      <c r="B53" s="813"/>
      <c r="D53" s="3" t="str">
        <f t="shared" si="38"/>
        <v>OH work</v>
      </c>
      <c r="E53" s="2" t="str">
        <f t="shared" si="36"/>
        <v>OS</v>
      </c>
      <c r="F53" s="2"/>
      <c r="G53" s="2"/>
      <c r="AB53" s="23">
        <f t="shared" si="29"/>
        <v>0</v>
      </c>
      <c r="AC53" s="23">
        <f t="shared" si="29"/>
        <v>0</v>
      </c>
      <c r="AD53" s="23">
        <f t="shared" si="29"/>
        <v>0</v>
      </c>
      <c r="AE53" s="23">
        <f t="shared" si="29"/>
        <v>0</v>
      </c>
      <c r="AF53" s="23">
        <f t="shared" si="29"/>
        <v>0</v>
      </c>
      <c r="AG53" s="23">
        <f t="shared" si="29"/>
        <v>0</v>
      </c>
      <c r="AH53" s="23">
        <f t="shared" ref="AH53:AK53" si="42">+AH26*AH$8</f>
        <v>0</v>
      </c>
      <c r="AI53" s="23">
        <f t="shared" si="42"/>
        <v>0</v>
      </c>
      <c r="AJ53" s="23">
        <f t="shared" si="42"/>
        <v>0</v>
      </c>
      <c r="AK53" s="23">
        <f t="shared" si="42"/>
        <v>0</v>
      </c>
      <c r="AM53" s="23">
        <f t="shared" si="32"/>
        <v>0</v>
      </c>
    </row>
    <row r="54" spans="2:39" ht="15" x14ac:dyDescent="0.25">
      <c r="B54" s="813"/>
      <c r="D54" s="3" t="str">
        <f t="shared" si="38"/>
        <v>115kv UG HPFF</v>
      </c>
      <c r="E54" s="2" t="str">
        <f t="shared" si="36"/>
        <v>OS</v>
      </c>
      <c r="F54" s="2"/>
      <c r="G54" s="2"/>
      <c r="AB54" s="23">
        <f t="shared" ref="AB54:AG60" si="43">+AB27*AB$8</f>
        <v>0</v>
      </c>
      <c r="AC54" s="23">
        <f t="shared" si="43"/>
        <v>0</v>
      </c>
      <c r="AD54" s="23">
        <f t="shared" si="43"/>
        <v>0</v>
      </c>
      <c r="AE54" s="23">
        <f t="shared" si="43"/>
        <v>0</v>
      </c>
      <c r="AF54" s="23">
        <f t="shared" si="43"/>
        <v>0</v>
      </c>
      <c r="AG54" s="23">
        <f t="shared" si="43"/>
        <v>0</v>
      </c>
      <c r="AH54" s="23">
        <f t="shared" ref="AH54:AK54" si="44">+AH27*AH$8</f>
        <v>0</v>
      </c>
      <c r="AI54" s="23">
        <f t="shared" si="44"/>
        <v>0</v>
      </c>
      <c r="AJ54" s="23">
        <f t="shared" si="44"/>
        <v>0</v>
      </c>
      <c r="AK54" s="23">
        <f t="shared" si="44"/>
        <v>0</v>
      </c>
      <c r="AM54" s="23">
        <f t="shared" si="32"/>
        <v>0</v>
      </c>
    </row>
    <row r="55" spans="2:39" ht="15" x14ac:dyDescent="0.25">
      <c r="B55" s="813"/>
      <c r="D55" s="3" t="str">
        <f t="shared" si="38"/>
        <v>115kv UG XLPE</v>
      </c>
      <c r="E55" s="2" t="str">
        <f t="shared" si="36"/>
        <v>OS</v>
      </c>
      <c r="F55" s="2"/>
      <c r="G55" s="2"/>
      <c r="AB55" s="23">
        <f t="shared" si="43"/>
        <v>0</v>
      </c>
      <c r="AC55" s="23">
        <f t="shared" si="43"/>
        <v>0</v>
      </c>
      <c r="AD55" s="23">
        <f t="shared" si="43"/>
        <v>0</v>
      </c>
      <c r="AE55" s="23">
        <f t="shared" si="43"/>
        <v>0</v>
      </c>
      <c r="AF55" s="23">
        <f t="shared" si="43"/>
        <v>0</v>
      </c>
      <c r="AG55" s="23">
        <f t="shared" si="43"/>
        <v>0</v>
      </c>
      <c r="AH55" s="23">
        <f t="shared" ref="AH55:AK55" si="45">+AH28*AH$8</f>
        <v>0</v>
      </c>
      <c r="AI55" s="23">
        <f t="shared" si="45"/>
        <v>0</v>
      </c>
      <c r="AJ55" s="23">
        <f t="shared" si="45"/>
        <v>0</v>
      </c>
      <c r="AK55" s="23">
        <f t="shared" si="45"/>
        <v>0</v>
      </c>
      <c r="AM55" s="23">
        <f t="shared" si="32"/>
        <v>0</v>
      </c>
    </row>
    <row r="56" spans="2:39" ht="15" x14ac:dyDescent="0.25">
      <c r="B56" s="813"/>
      <c r="D56" s="3" t="str">
        <f t="shared" si="38"/>
        <v>345 UG XLPE</v>
      </c>
      <c r="E56" s="2" t="str">
        <f t="shared" si="36"/>
        <v>OS</v>
      </c>
      <c r="F56" s="2"/>
      <c r="G56" s="2"/>
      <c r="AB56" s="23">
        <f t="shared" si="43"/>
        <v>0</v>
      </c>
      <c r="AC56" s="23">
        <f t="shared" si="43"/>
        <v>0</v>
      </c>
      <c r="AD56" s="23">
        <f t="shared" si="43"/>
        <v>0</v>
      </c>
      <c r="AE56" s="23">
        <f t="shared" si="43"/>
        <v>0</v>
      </c>
      <c r="AF56" s="23">
        <f t="shared" si="43"/>
        <v>0</v>
      </c>
      <c r="AG56" s="23">
        <f t="shared" si="43"/>
        <v>0</v>
      </c>
      <c r="AH56" s="23">
        <f t="shared" ref="AH56:AK56" si="46">+AH29*AH$8</f>
        <v>0</v>
      </c>
      <c r="AI56" s="23">
        <f t="shared" si="46"/>
        <v>0</v>
      </c>
      <c r="AJ56" s="23">
        <f t="shared" si="46"/>
        <v>0</v>
      </c>
      <c r="AK56" s="23">
        <f t="shared" si="46"/>
        <v>0</v>
      </c>
      <c r="AM56" s="23">
        <f t="shared" si="32"/>
        <v>0</v>
      </c>
    </row>
    <row r="57" spans="2:39" ht="15" x14ac:dyDescent="0.25">
      <c r="B57" s="813"/>
      <c r="D57" s="3" t="str">
        <f t="shared" si="38"/>
        <v>Substation Const</v>
      </c>
      <c r="E57" s="2" t="str">
        <f t="shared" si="36"/>
        <v>OS</v>
      </c>
      <c r="F57" s="2"/>
      <c r="G57" s="2"/>
      <c r="AB57" s="23">
        <f t="shared" si="43"/>
        <v>0</v>
      </c>
      <c r="AC57" s="23">
        <f t="shared" si="43"/>
        <v>0</v>
      </c>
      <c r="AD57" s="23">
        <f t="shared" si="43"/>
        <v>0</v>
      </c>
      <c r="AE57" s="23">
        <f t="shared" si="43"/>
        <v>0</v>
      </c>
      <c r="AF57" s="23">
        <f t="shared" si="43"/>
        <v>0</v>
      </c>
      <c r="AG57" s="23">
        <f t="shared" si="43"/>
        <v>0</v>
      </c>
      <c r="AH57" s="23">
        <f t="shared" ref="AH57:AK57" si="47">+AH30*AH$8</f>
        <v>0</v>
      </c>
      <c r="AI57" s="23">
        <f t="shared" si="47"/>
        <v>0</v>
      </c>
      <c r="AJ57" s="23">
        <f t="shared" si="47"/>
        <v>0</v>
      </c>
      <c r="AK57" s="23">
        <f t="shared" si="47"/>
        <v>0</v>
      </c>
      <c r="AM57" s="23">
        <f t="shared" si="32"/>
        <v>0</v>
      </c>
    </row>
    <row r="58" spans="2:39" ht="15" x14ac:dyDescent="0.25">
      <c r="B58" s="813"/>
      <c r="D58" s="3" t="str">
        <f t="shared" si="38"/>
        <v>Substation_D</v>
      </c>
      <c r="E58" s="2" t="str">
        <f t="shared" si="36"/>
        <v>OS</v>
      </c>
      <c r="F58" s="2"/>
      <c r="G58" s="2"/>
      <c r="AB58" s="23">
        <f t="shared" si="43"/>
        <v>0</v>
      </c>
      <c r="AC58" s="23">
        <f t="shared" si="43"/>
        <v>0</v>
      </c>
      <c r="AD58" s="23">
        <f t="shared" si="43"/>
        <v>0</v>
      </c>
      <c r="AE58" s="23">
        <f t="shared" si="43"/>
        <v>0</v>
      </c>
      <c r="AF58" s="23">
        <f t="shared" si="43"/>
        <v>0</v>
      </c>
      <c r="AG58" s="23">
        <f t="shared" si="43"/>
        <v>0</v>
      </c>
      <c r="AH58" s="23">
        <f t="shared" ref="AH58:AK58" si="48">+AH31*AH$8</f>
        <v>0</v>
      </c>
      <c r="AI58" s="23">
        <f t="shared" si="48"/>
        <v>0</v>
      </c>
      <c r="AJ58" s="23">
        <f t="shared" si="48"/>
        <v>0</v>
      </c>
      <c r="AK58" s="23">
        <f t="shared" si="48"/>
        <v>0</v>
      </c>
      <c r="AM58" s="23">
        <f t="shared" si="32"/>
        <v>0</v>
      </c>
    </row>
    <row r="59" spans="2:39" ht="15" x14ac:dyDescent="0.25">
      <c r="B59" s="813"/>
      <c r="D59" s="3" t="str">
        <f t="shared" si="38"/>
        <v>Removals(see separate tab)</v>
      </c>
      <c r="E59" s="2" t="str">
        <f t="shared" si="36"/>
        <v>OS</v>
      </c>
      <c r="F59" s="2"/>
      <c r="G59" s="2"/>
      <c r="AB59" s="23">
        <f t="shared" si="43"/>
        <v>0</v>
      </c>
      <c r="AC59" s="23">
        <f t="shared" si="43"/>
        <v>0</v>
      </c>
      <c r="AD59" s="23">
        <f t="shared" si="43"/>
        <v>0</v>
      </c>
      <c r="AE59" s="23">
        <f t="shared" si="43"/>
        <v>0</v>
      </c>
      <c r="AF59" s="23">
        <f t="shared" si="43"/>
        <v>0</v>
      </c>
      <c r="AG59" s="23">
        <f t="shared" si="43"/>
        <v>0</v>
      </c>
      <c r="AH59" s="23">
        <f t="shared" ref="AH59:AK59" si="49">+AH32*AH$8</f>
        <v>0</v>
      </c>
      <c r="AI59" s="23">
        <f t="shared" si="49"/>
        <v>0</v>
      </c>
      <c r="AJ59" s="23">
        <f t="shared" si="49"/>
        <v>0</v>
      </c>
      <c r="AK59" s="23">
        <f t="shared" si="49"/>
        <v>0</v>
      </c>
      <c r="AM59" s="23">
        <f t="shared" si="32"/>
        <v>0</v>
      </c>
    </row>
    <row r="60" spans="2:39" ht="15" x14ac:dyDescent="0.25">
      <c r="B60" s="813"/>
      <c r="D60" s="3" t="str">
        <f t="shared" si="38"/>
        <v>Additional  Est Input</v>
      </c>
      <c r="E60" s="2" t="str">
        <f t="shared" si="36"/>
        <v>OS</v>
      </c>
      <c r="F60" s="2"/>
      <c r="G60" s="2"/>
      <c r="AB60" s="23">
        <f t="shared" si="43"/>
        <v>0</v>
      </c>
      <c r="AC60" s="23">
        <f t="shared" si="43"/>
        <v>0</v>
      </c>
      <c r="AD60" s="23">
        <f t="shared" si="43"/>
        <v>0</v>
      </c>
      <c r="AE60" s="23">
        <f t="shared" si="43"/>
        <v>266217.88962840044</v>
      </c>
      <c r="AF60" s="23">
        <f t="shared" si="43"/>
        <v>225479.75267816824</v>
      </c>
      <c r="AG60" s="23">
        <f t="shared" si="43"/>
        <v>0</v>
      </c>
      <c r="AH60" s="23">
        <f t="shared" ref="AH60:AK60" si="50">+AH33*AH$8</f>
        <v>0</v>
      </c>
      <c r="AI60" s="23">
        <f t="shared" si="50"/>
        <v>0</v>
      </c>
      <c r="AJ60" s="23">
        <f t="shared" si="50"/>
        <v>0</v>
      </c>
      <c r="AK60" s="23">
        <f t="shared" si="50"/>
        <v>0</v>
      </c>
      <c r="AM60" s="23">
        <f t="shared" si="32"/>
        <v>491697.64230656868</v>
      </c>
    </row>
    <row r="61" spans="2:39" ht="15" x14ac:dyDescent="0.25">
      <c r="B61" s="813"/>
      <c r="AB61" s="23"/>
      <c r="AC61" s="23"/>
      <c r="AD61" s="23"/>
      <c r="AE61" s="23"/>
      <c r="AF61" s="23"/>
      <c r="AG61" s="23"/>
      <c r="AH61" s="23"/>
      <c r="AI61" s="23"/>
      <c r="AJ61" s="23"/>
      <c r="AK61" s="23"/>
    </row>
    <row r="62" spans="2:39" ht="15" x14ac:dyDescent="0.25">
      <c r="B62" s="813"/>
      <c r="C62" s="9" t="s">
        <v>609</v>
      </c>
      <c r="D62" s="9"/>
      <c r="AB62" s="823">
        <f t="shared" ref="AB62:AG62" si="51">SUM(AB43:AB61)</f>
        <v>0</v>
      </c>
      <c r="AC62" s="823">
        <f t="shared" si="51"/>
        <v>0</v>
      </c>
      <c r="AD62" s="823">
        <f t="shared" si="51"/>
        <v>0</v>
      </c>
      <c r="AE62" s="823">
        <f t="shared" si="51"/>
        <v>266217.88962840044</v>
      </c>
      <c r="AF62" s="823">
        <f t="shared" si="51"/>
        <v>225479.75267816824</v>
      </c>
      <c r="AG62" s="823">
        <f t="shared" si="51"/>
        <v>0</v>
      </c>
      <c r="AH62" s="823">
        <f t="shared" ref="AH62:AK62" si="52">SUM(AH43:AH61)</f>
        <v>0</v>
      </c>
      <c r="AI62" s="823">
        <f t="shared" si="52"/>
        <v>0</v>
      </c>
      <c r="AJ62" s="823">
        <f t="shared" si="52"/>
        <v>0</v>
      </c>
      <c r="AK62" s="823">
        <f t="shared" si="52"/>
        <v>0</v>
      </c>
      <c r="AL62" s="23"/>
      <c r="AM62" s="823">
        <f>SUM(AB62:AK62)</f>
        <v>491697.64230656868</v>
      </c>
    </row>
    <row r="63" spans="2:39" ht="15" x14ac:dyDescent="0.25">
      <c r="B63" s="813"/>
    </row>
    <row r="64" spans="2:39" ht="15" x14ac:dyDescent="0.25">
      <c r="B64" s="813"/>
      <c r="C64" s="9"/>
      <c r="D64" s="9" t="s">
        <v>608</v>
      </c>
      <c r="E64" s="2" t="s">
        <v>604</v>
      </c>
      <c r="F64" s="2"/>
      <c r="G64" s="2"/>
      <c r="H64" s="23"/>
      <c r="I64" s="23"/>
      <c r="J64" s="23"/>
      <c r="K64" s="23"/>
      <c r="M64" s="23"/>
      <c r="AB64" s="23">
        <f t="shared" ref="AB64:AG64" si="53">SUMIF($E$44:$E$60,$E64,AB44:AB60)</f>
        <v>0</v>
      </c>
      <c r="AC64" s="23">
        <f t="shared" si="53"/>
        <v>0</v>
      </c>
      <c r="AD64" s="23">
        <f t="shared" si="53"/>
        <v>0</v>
      </c>
      <c r="AE64" s="23">
        <f t="shared" si="53"/>
        <v>0</v>
      </c>
      <c r="AF64" s="23">
        <f t="shared" si="53"/>
        <v>0</v>
      </c>
      <c r="AG64" s="23">
        <f t="shared" si="53"/>
        <v>0</v>
      </c>
      <c r="AH64" s="23">
        <f t="shared" ref="AH64:AK64" si="54">SUMIF($E$44:$E$60,$E64,AH44:AH60)</f>
        <v>0</v>
      </c>
      <c r="AI64" s="23">
        <f t="shared" si="54"/>
        <v>0</v>
      </c>
      <c r="AJ64" s="23">
        <f t="shared" si="54"/>
        <v>0</v>
      </c>
      <c r="AK64" s="23">
        <f t="shared" si="54"/>
        <v>0</v>
      </c>
      <c r="AL64" s="23"/>
      <c r="AM64" s="23">
        <f>SUMIF($E$44:$E$60,$E64,AM44:AM60)</f>
        <v>0</v>
      </c>
    </row>
    <row r="65" spans="2:40" ht="15" x14ac:dyDescent="0.25">
      <c r="B65" s="813"/>
      <c r="C65" s="9"/>
      <c r="D65" s="9" t="s">
        <v>608</v>
      </c>
      <c r="E65" s="2" t="s">
        <v>605</v>
      </c>
      <c r="F65" s="2"/>
      <c r="G65" s="2"/>
      <c r="H65" s="23"/>
      <c r="I65" s="23"/>
      <c r="J65" s="23"/>
      <c r="K65" s="23"/>
      <c r="M65" s="23"/>
      <c r="AB65" s="23">
        <f t="shared" ref="AB65:AG65" si="55">SUMIF($E$44:$E$60,$E65,AB44:AB60)</f>
        <v>0</v>
      </c>
      <c r="AC65" s="23">
        <f t="shared" si="55"/>
        <v>0</v>
      </c>
      <c r="AD65" s="23">
        <f t="shared" si="55"/>
        <v>0</v>
      </c>
      <c r="AE65" s="23">
        <f t="shared" si="55"/>
        <v>266217.88962840044</v>
      </c>
      <c r="AF65" s="23">
        <f t="shared" si="55"/>
        <v>225479.75267816824</v>
      </c>
      <c r="AG65" s="23">
        <f t="shared" si="55"/>
        <v>0</v>
      </c>
      <c r="AH65" s="23">
        <f t="shared" ref="AH65:AK65" si="56">SUMIF($E$44:$E$60,$E65,AH44:AH60)</f>
        <v>0</v>
      </c>
      <c r="AI65" s="23">
        <f t="shared" si="56"/>
        <v>0</v>
      </c>
      <c r="AJ65" s="23">
        <f t="shared" si="56"/>
        <v>0</v>
      </c>
      <c r="AK65" s="23">
        <f t="shared" si="56"/>
        <v>0</v>
      </c>
      <c r="AL65" s="23"/>
      <c r="AM65" s="23">
        <f>SUMIF($E$44:$E$60,$E65,AM44:AM60)</f>
        <v>491697.64230656868</v>
      </c>
      <c r="AN65" s="335">
        <f>+AM64+AM65</f>
        <v>491697.64230656868</v>
      </c>
    </row>
    <row r="66" spans="2:40" ht="15" x14ac:dyDescent="0.25">
      <c r="B66" s="813"/>
    </row>
    <row r="67" spans="2:40" ht="15" x14ac:dyDescent="0.25">
      <c r="B67" s="813"/>
      <c r="C67" s="9" t="s">
        <v>610</v>
      </c>
    </row>
    <row r="68" spans="2:40" ht="15" x14ac:dyDescent="0.25">
      <c r="B68" s="813"/>
      <c r="AB68" s="335"/>
      <c r="AC68" s="335"/>
      <c r="AD68" s="335"/>
      <c r="AE68" s="335"/>
      <c r="AF68" s="335"/>
      <c r="AG68" s="335"/>
      <c r="AH68" s="335"/>
      <c r="AI68" s="335"/>
      <c r="AJ68" s="335"/>
      <c r="AK68" s="335"/>
      <c r="AM68" s="23"/>
    </row>
    <row r="69" spans="2:40" ht="15" x14ac:dyDescent="0.25">
      <c r="B69" s="813"/>
      <c r="D69" s="3" t="str">
        <f>+D44</f>
        <v>OH work</v>
      </c>
      <c r="E69" s="2" t="str">
        <f t="shared" ref="E69:E85" si="57">+E17</f>
        <v>E</v>
      </c>
      <c r="F69" s="2"/>
      <c r="G69" s="2"/>
      <c r="AB69" s="335">
        <f t="shared" ref="AB69:AG78" si="58">+AB17+AB44</f>
        <v>0</v>
      </c>
      <c r="AC69" s="335">
        <f t="shared" si="58"/>
        <v>0</v>
      </c>
      <c r="AD69" s="335">
        <f t="shared" si="58"/>
        <v>0</v>
      </c>
      <c r="AE69" s="335">
        <f t="shared" si="58"/>
        <v>0</v>
      </c>
      <c r="AF69" s="335">
        <f t="shared" si="58"/>
        <v>0</v>
      </c>
      <c r="AG69" s="335">
        <f t="shared" si="58"/>
        <v>0</v>
      </c>
      <c r="AH69" s="335">
        <f t="shared" ref="AH69:AK69" si="59">+AH17+AH44</f>
        <v>0</v>
      </c>
      <c r="AI69" s="335">
        <f t="shared" si="59"/>
        <v>0</v>
      </c>
      <c r="AJ69" s="335">
        <f t="shared" si="59"/>
        <v>0</v>
      </c>
      <c r="AK69" s="335">
        <f t="shared" si="59"/>
        <v>0</v>
      </c>
      <c r="AM69" s="23">
        <f>SUM(AB69:AK69)</f>
        <v>0</v>
      </c>
    </row>
    <row r="70" spans="2:40" ht="15" x14ac:dyDescent="0.25">
      <c r="B70" s="813"/>
      <c r="D70" s="3" t="str">
        <f>+D45</f>
        <v>115kv UG HPFF</v>
      </c>
      <c r="E70" s="2" t="str">
        <f t="shared" si="57"/>
        <v>E</v>
      </c>
      <c r="F70" s="2"/>
      <c r="G70" s="2"/>
      <c r="AB70" s="335">
        <f t="shared" si="58"/>
        <v>0</v>
      </c>
      <c r="AC70" s="335">
        <f t="shared" si="58"/>
        <v>0</v>
      </c>
      <c r="AD70" s="335">
        <f t="shared" si="58"/>
        <v>0</v>
      </c>
      <c r="AE70" s="335">
        <f t="shared" si="58"/>
        <v>0</v>
      </c>
      <c r="AF70" s="335">
        <f t="shared" si="58"/>
        <v>0</v>
      </c>
      <c r="AG70" s="335">
        <f t="shared" si="58"/>
        <v>0</v>
      </c>
      <c r="AH70" s="335">
        <f t="shared" ref="AH70:AK70" si="60">+AH18+AH45</f>
        <v>0</v>
      </c>
      <c r="AI70" s="335">
        <f t="shared" si="60"/>
        <v>0</v>
      </c>
      <c r="AJ70" s="335">
        <f t="shared" si="60"/>
        <v>0</v>
      </c>
      <c r="AK70" s="335">
        <f t="shared" si="60"/>
        <v>0</v>
      </c>
      <c r="AM70" s="23">
        <f t="shared" ref="AM70:AM85" si="61">SUM(AB70:AK70)</f>
        <v>0</v>
      </c>
    </row>
    <row r="71" spans="2:40" ht="15" x14ac:dyDescent="0.25">
      <c r="B71" s="813"/>
      <c r="D71" s="3" t="str">
        <f>+D46</f>
        <v>115kv UG XLPE</v>
      </c>
      <c r="E71" s="2" t="str">
        <f t="shared" si="57"/>
        <v>E</v>
      </c>
      <c r="F71" s="2"/>
      <c r="G71" s="2"/>
      <c r="AB71" s="335">
        <f t="shared" si="58"/>
        <v>0</v>
      </c>
      <c r="AC71" s="335">
        <f t="shared" si="58"/>
        <v>0</v>
      </c>
      <c r="AD71" s="335">
        <f t="shared" si="58"/>
        <v>0</v>
      </c>
      <c r="AE71" s="335">
        <f t="shared" si="58"/>
        <v>0</v>
      </c>
      <c r="AF71" s="335">
        <f t="shared" si="58"/>
        <v>0</v>
      </c>
      <c r="AG71" s="335">
        <f t="shared" si="58"/>
        <v>0</v>
      </c>
      <c r="AH71" s="335">
        <f t="shared" ref="AH71:AK71" si="62">+AH19+AH46</f>
        <v>0</v>
      </c>
      <c r="AI71" s="335">
        <f t="shared" si="62"/>
        <v>0</v>
      </c>
      <c r="AJ71" s="335">
        <f t="shared" si="62"/>
        <v>0</v>
      </c>
      <c r="AK71" s="335">
        <f t="shared" si="62"/>
        <v>0</v>
      </c>
      <c r="AM71" s="23">
        <f t="shared" si="61"/>
        <v>0</v>
      </c>
    </row>
    <row r="72" spans="2:40" ht="15" x14ac:dyDescent="0.25">
      <c r="B72" s="813"/>
      <c r="D72" s="3" t="str">
        <f>+D47</f>
        <v>345 UG XLPE</v>
      </c>
      <c r="E72" s="2" t="str">
        <f t="shared" si="57"/>
        <v>E</v>
      </c>
      <c r="F72" s="2"/>
      <c r="G72" s="2"/>
      <c r="AB72" s="335">
        <f t="shared" si="58"/>
        <v>0</v>
      </c>
      <c r="AC72" s="335">
        <f t="shared" si="58"/>
        <v>0</v>
      </c>
      <c r="AD72" s="335">
        <f t="shared" si="58"/>
        <v>0</v>
      </c>
      <c r="AE72" s="335">
        <f t="shared" si="58"/>
        <v>0</v>
      </c>
      <c r="AF72" s="335">
        <f t="shared" si="58"/>
        <v>0</v>
      </c>
      <c r="AG72" s="335">
        <f t="shared" si="58"/>
        <v>0</v>
      </c>
      <c r="AH72" s="335">
        <f t="shared" ref="AH72:AK72" si="63">+AH20+AH47</f>
        <v>0</v>
      </c>
      <c r="AI72" s="335">
        <f t="shared" si="63"/>
        <v>0</v>
      </c>
      <c r="AJ72" s="335">
        <f t="shared" si="63"/>
        <v>0</v>
      </c>
      <c r="AK72" s="335">
        <f t="shared" si="63"/>
        <v>0</v>
      </c>
      <c r="AM72" s="23">
        <f t="shared" si="61"/>
        <v>0</v>
      </c>
    </row>
    <row r="73" spans="2:40" ht="15" x14ac:dyDescent="0.25">
      <c r="B73" s="813"/>
      <c r="D73" s="3" t="str">
        <f>+D48</f>
        <v>Substation Const</v>
      </c>
      <c r="E73" s="2" t="str">
        <f t="shared" si="57"/>
        <v>E</v>
      </c>
      <c r="F73" s="2"/>
      <c r="G73" s="2"/>
      <c r="AB73" s="335">
        <f t="shared" si="58"/>
        <v>0</v>
      </c>
      <c r="AC73" s="335">
        <f t="shared" si="58"/>
        <v>0</v>
      </c>
      <c r="AD73" s="335">
        <f t="shared" si="58"/>
        <v>0</v>
      </c>
      <c r="AE73" s="335">
        <f t="shared" si="58"/>
        <v>0</v>
      </c>
      <c r="AF73" s="335">
        <f t="shared" si="58"/>
        <v>0</v>
      </c>
      <c r="AG73" s="335">
        <f t="shared" si="58"/>
        <v>0</v>
      </c>
      <c r="AH73" s="335">
        <f t="shared" ref="AH73:AK73" si="64">+AH21+AH48</f>
        <v>0</v>
      </c>
      <c r="AI73" s="335">
        <f t="shared" si="64"/>
        <v>0</v>
      </c>
      <c r="AJ73" s="335">
        <f t="shared" si="64"/>
        <v>0</v>
      </c>
      <c r="AK73" s="335">
        <f t="shared" si="64"/>
        <v>0</v>
      </c>
      <c r="AM73" s="23">
        <f t="shared" si="61"/>
        <v>0</v>
      </c>
    </row>
    <row r="74" spans="2:40" ht="15" x14ac:dyDescent="0.25">
      <c r="B74" s="813"/>
      <c r="D74" s="3" t="s">
        <v>1630</v>
      </c>
      <c r="E74" s="2" t="str">
        <f t="shared" si="57"/>
        <v>E</v>
      </c>
      <c r="F74" s="2"/>
      <c r="G74" s="2"/>
      <c r="AB74" s="335">
        <f t="shared" si="58"/>
        <v>0</v>
      </c>
      <c r="AC74" s="335">
        <f t="shared" si="58"/>
        <v>0</v>
      </c>
      <c r="AD74" s="335">
        <f t="shared" si="58"/>
        <v>0</v>
      </c>
      <c r="AE74" s="335">
        <f t="shared" si="58"/>
        <v>0</v>
      </c>
      <c r="AF74" s="335">
        <f t="shared" si="58"/>
        <v>0</v>
      </c>
      <c r="AG74" s="335">
        <f t="shared" si="58"/>
        <v>0</v>
      </c>
      <c r="AH74" s="335">
        <f t="shared" ref="AH74:AK74" si="65">+AH22+AH49</f>
        <v>0</v>
      </c>
      <c r="AI74" s="335">
        <f t="shared" si="65"/>
        <v>0</v>
      </c>
      <c r="AJ74" s="335">
        <f t="shared" si="65"/>
        <v>0</v>
      </c>
      <c r="AK74" s="335">
        <f t="shared" si="65"/>
        <v>0</v>
      </c>
      <c r="AM74" s="23">
        <f t="shared" si="61"/>
        <v>0</v>
      </c>
    </row>
    <row r="75" spans="2:40" ht="15" x14ac:dyDescent="0.25">
      <c r="B75" s="813"/>
      <c r="D75" s="3" t="str">
        <f>+D50</f>
        <v>Removals(see separate tab)</v>
      </c>
      <c r="E75" s="2" t="str">
        <f t="shared" si="57"/>
        <v>E</v>
      </c>
      <c r="F75" s="2"/>
      <c r="G75" s="2"/>
      <c r="AB75" s="335">
        <f t="shared" si="58"/>
        <v>0</v>
      </c>
      <c r="AC75" s="335">
        <f t="shared" si="58"/>
        <v>0</v>
      </c>
      <c r="AD75" s="335">
        <f t="shared" si="58"/>
        <v>0</v>
      </c>
      <c r="AE75" s="335">
        <f t="shared" si="58"/>
        <v>0</v>
      </c>
      <c r="AF75" s="335">
        <f t="shared" si="58"/>
        <v>0</v>
      </c>
      <c r="AG75" s="335">
        <f t="shared" si="58"/>
        <v>0</v>
      </c>
      <c r="AH75" s="335">
        <f t="shared" ref="AH75:AK75" si="66">+AH23+AH50</f>
        <v>0</v>
      </c>
      <c r="AI75" s="335">
        <f t="shared" si="66"/>
        <v>0</v>
      </c>
      <c r="AJ75" s="335">
        <f t="shared" si="66"/>
        <v>0</v>
      </c>
      <c r="AK75" s="335">
        <f t="shared" si="66"/>
        <v>0</v>
      </c>
      <c r="AM75" s="23">
        <f t="shared" si="61"/>
        <v>0</v>
      </c>
    </row>
    <row r="76" spans="2:40" ht="15" x14ac:dyDescent="0.25">
      <c r="B76" s="813"/>
      <c r="D76" s="3" t="str">
        <f>+D51</f>
        <v>Additional  Est Input</v>
      </c>
      <c r="E76" s="2" t="str">
        <f t="shared" si="57"/>
        <v>E</v>
      </c>
      <c r="F76" s="2"/>
      <c r="G76" s="2"/>
      <c r="AB76" s="335">
        <f t="shared" si="58"/>
        <v>0</v>
      </c>
      <c r="AC76" s="335">
        <f t="shared" si="58"/>
        <v>0</v>
      </c>
      <c r="AD76" s="335">
        <f t="shared" si="58"/>
        <v>0</v>
      </c>
      <c r="AE76" s="335">
        <f t="shared" si="58"/>
        <v>0</v>
      </c>
      <c r="AF76" s="335">
        <f t="shared" si="58"/>
        <v>0</v>
      </c>
      <c r="AG76" s="335">
        <f t="shared" si="58"/>
        <v>0</v>
      </c>
      <c r="AH76" s="335">
        <f t="shared" ref="AH76:AK76" si="67">+AH24+AH51</f>
        <v>0</v>
      </c>
      <c r="AI76" s="335">
        <f t="shared" si="67"/>
        <v>0</v>
      </c>
      <c r="AJ76" s="335">
        <f t="shared" si="67"/>
        <v>0</v>
      </c>
      <c r="AK76" s="335">
        <f t="shared" si="67"/>
        <v>0</v>
      </c>
      <c r="AM76" s="23">
        <f t="shared" si="61"/>
        <v>0</v>
      </c>
    </row>
    <row r="77" spans="2:40" ht="15" x14ac:dyDescent="0.25">
      <c r="B77" s="813"/>
      <c r="D77" s="3"/>
      <c r="E77" s="2">
        <f t="shared" si="57"/>
        <v>0</v>
      </c>
      <c r="F77" s="2"/>
      <c r="G77" s="2"/>
      <c r="AB77" s="335">
        <f t="shared" si="58"/>
        <v>0</v>
      </c>
      <c r="AC77" s="335">
        <f t="shared" si="58"/>
        <v>0</v>
      </c>
      <c r="AD77" s="335">
        <f t="shared" si="58"/>
        <v>0</v>
      </c>
      <c r="AE77" s="335">
        <f t="shared" si="58"/>
        <v>0</v>
      </c>
      <c r="AF77" s="335">
        <f t="shared" si="58"/>
        <v>0</v>
      </c>
      <c r="AG77" s="335">
        <f t="shared" si="58"/>
        <v>0</v>
      </c>
      <c r="AH77" s="335">
        <f t="shared" ref="AH77:AK77" si="68">+AH25+AH52</f>
        <v>0</v>
      </c>
      <c r="AI77" s="335">
        <f t="shared" si="68"/>
        <v>0</v>
      </c>
      <c r="AJ77" s="335">
        <f t="shared" si="68"/>
        <v>0</v>
      </c>
      <c r="AK77" s="335">
        <f t="shared" si="68"/>
        <v>0</v>
      </c>
      <c r="AM77" s="23">
        <f t="shared" si="61"/>
        <v>0</v>
      </c>
    </row>
    <row r="78" spans="2:40" ht="15" x14ac:dyDescent="0.25">
      <c r="B78" s="813"/>
      <c r="D78" s="3" t="str">
        <f>+D53</f>
        <v>OH work</v>
      </c>
      <c r="E78" s="2" t="str">
        <f t="shared" si="57"/>
        <v>OS</v>
      </c>
      <c r="F78" s="2"/>
      <c r="G78" s="2"/>
      <c r="AB78" s="335">
        <f t="shared" si="58"/>
        <v>0</v>
      </c>
      <c r="AC78" s="335">
        <f t="shared" si="58"/>
        <v>0</v>
      </c>
      <c r="AD78" s="335">
        <f t="shared" si="58"/>
        <v>0</v>
      </c>
      <c r="AE78" s="335">
        <f t="shared" si="58"/>
        <v>0</v>
      </c>
      <c r="AF78" s="335">
        <f t="shared" si="58"/>
        <v>0</v>
      </c>
      <c r="AG78" s="335">
        <f t="shared" si="58"/>
        <v>0</v>
      </c>
      <c r="AH78" s="335">
        <f t="shared" ref="AH78:AK78" si="69">+AH26+AH53</f>
        <v>0</v>
      </c>
      <c r="AI78" s="335">
        <f t="shared" si="69"/>
        <v>0</v>
      </c>
      <c r="AJ78" s="335">
        <f t="shared" si="69"/>
        <v>0</v>
      </c>
      <c r="AK78" s="335">
        <f t="shared" si="69"/>
        <v>0</v>
      </c>
      <c r="AM78" s="23">
        <f t="shared" si="61"/>
        <v>0</v>
      </c>
    </row>
    <row r="79" spans="2:40" ht="15" x14ac:dyDescent="0.25">
      <c r="B79" s="813"/>
      <c r="D79" s="3" t="str">
        <f>+D54</f>
        <v>115kv UG HPFF</v>
      </c>
      <c r="E79" s="2" t="str">
        <f t="shared" si="57"/>
        <v>OS</v>
      </c>
      <c r="F79" s="2"/>
      <c r="G79" s="2"/>
      <c r="AB79" s="335">
        <f t="shared" ref="AB79:AG85" si="70">+AB27+AB54</f>
        <v>0</v>
      </c>
      <c r="AC79" s="335">
        <f t="shared" si="70"/>
        <v>0</v>
      </c>
      <c r="AD79" s="335">
        <f t="shared" si="70"/>
        <v>0</v>
      </c>
      <c r="AE79" s="335">
        <f t="shared" si="70"/>
        <v>0</v>
      </c>
      <c r="AF79" s="335">
        <f t="shared" si="70"/>
        <v>0</v>
      </c>
      <c r="AG79" s="335">
        <f t="shared" si="70"/>
        <v>0</v>
      </c>
      <c r="AH79" s="335">
        <f t="shared" ref="AH79:AK79" si="71">+AH27+AH54</f>
        <v>0</v>
      </c>
      <c r="AI79" s="335">
        <f t="shared" si="71"/>
        <v>0</v>
      </c>
      <c r="AJ79" s="335">
        <f t="shared" si="71"/>
        <v>0</v>
      </c>
      <c r="AK79" s="335">
        <f t="shared" si="71"/>
        <v>0</v>
      </c>
      <c r="AM79" s="23">
        <f t="shared" si="61"/>
        <v>0</v>
      </c>
    </row>
    <row r="80" spans="2:40" ht="15" x14ac:dyDescent="0.25">
      <c r="B80" s="813"/>
      <c r="D80" s="3" t="str">
        <f>+D55</f>
        <v>115kv UG XLPE</v>
      </c>
      <c r="E80" s="2" t="str">
        <f t="shared" si="57"/>
        <v>OS</v>
      </c>
      <c r="F80" s="2"/>
      <c r="G80" s="2"/>
      <c r="AB80" s="335">
        <f t="shared" si="70"/>
        <v>0</v>
      </c>
      <c r="AC80" s="335">
        <f t="shared" si="70"/>
        <v>0</v>
      </c>
      <c r="AD80" s="335">
        <f t="shared" si="70"/>
        <v>0</v>
      </c>
      <c r="AE80" s="335">
        <f t="shared" si="70"/>
        <v>0</v>
      </c>
      <c r="AF80" s="335">
        <f t="shared" si="70"/>
        <v>0</v>
      </c>
      <c r="AG80" s="335">
        <f t="shared" si="70"/>
        <v>0</v>
      </c>
      <c r="AH80" s="335">
        <f t="shared" ref="AH80:AK80" si="72">+AH28+AH55</f>
        <v>0</v>
      </c>
      <c r="AI80" s="335">
        <f t="shared" si="72"/>
        <v>0</v>
      </c>
      <c r="AJ80" s="335">
        <f t="shared" si="72"/>
        <v>0</v>
      </c>
      <c r="AK80" s="335">
        <f t="shared" si="72"/>
        <v>0</v>
      </c>
      <c r="AM80" s="23">
        <f t="shared" si="61"/>
        <v>0</v>
      </c>
    </row>
    <row r="81" spans="2:42" ht="15" x14ac:dyDescent="0.25">
      <c r="B81" s="813"/>
      <c r="D81" s="3" t="str">
        <f>+D56</f>
        <v>345 UG XLPE</v>
      </c>
      <c r="E81" s="2" t="str">
        <f t="shared" si="57"/>
        <v>OS</v>
      </c>
      <c r="F81" s="2"/>
      <c r="G81" s="2"/>
      <c r="AB81" s="335">
        <f t="shared" si="70"/>
        <v>0</v>
      </c>
      <c r="AC81" s="335">
        <f t="shared" si="70"/>
        <v>0</v>
      </c>
      <c r="AD81" s="335">
        <f t="shared" si="70"/>
        <v>0</v>
      </c>
      <c r="AE81" s="335">
        <f t="shared" si="70"/>
        <v>0</v>
      </c>
      <c r="AF81" s="335">
        <f t="shared" si="70"/>
        <v>0</v>
      </c>
      <c r="AG81" s="335">
        <f t="shared" si="70"/>
        <v>0</v>
      </c>
      <c r="AH81" s="335">
        <f t="shared" ref="AH81:AK81" si="73">+AH29+AH56</f>
        <v>0</v>
      </c>
      <c r="AI81" s="335">
        <f t="shared" si="73"/>
        <v>0</v>
      </c>
      <c r="AJ81" s="335">
        <f t="shared" si="73"/>
        <v>0</v>
      </c>
      <c r="AK81" s="335">
        <f t="shared" si="73"/>
        <v>0</v>
      </c>
      <c r="AM81" s="23">
        <f t="shared" si="61"/>
        <v>0</v>
      </c>
    </row>
    <row r="82" spans="2:42" ht="15" x14ac:dyDescent="0.25">
      <c r="B82" s="813"/>
      <c r="D82" s="3" t="str">
        <f>+D57</f>
        <v>Substation Const</v>
      </c>
      <c r="E82" s="2" t="str">
        <f t="shared" si="57"/>
        <v>OS</v>
      </c>
      <c r="F82" s="2"/>
      <c r="G82" s="2"/>
      <c r="AB82" s="335">
        <f t="shared" si="70"/>
        <v>0</v>
      </c>
      <c r="AC82" s="335">
        <f t="shared" si="70"/>
        <v>0</v>
      </c>
      <c r="AD82" s="335">
        <f t="shared" si="70"/>
        <v>0</v>
      </c>
      <c r="AE82" s="335">
        <f t="shared" si="70"/>
        <v>0</v>
      </c>
      <c r="AF82" s="335">
        <f t="shared" si="70"/>
        <v>0</v>
      </c>
      <c r="AG82" s="335">
        <f t="shared" si="70"/>
        <v>0</v>
      </c>
      <c r="AH82" s="335">
        <f t="shared" ref="AH82:AK82" si="74">+AH30+AH57</f>
        <v>0</v>
      </c>
      <c r="AI82" s="335">
        <f t="shared" si="74"/>
        <v>0</v>
      </c>
      <c r="AJ82" s="335">
        <f t="shared" si="74"/>
        <v>0</v>
      </c>
      <c r="AK82" s="335">
        <f t="shared" si="74"/>
        <v>0</v>
      </c>
      <c r="AM82" s="23">
        <f t="shared" si="61"/>
        <v>0</v>
      </c>
    </row>
    <row r="83" spans="2:42" ht="15" x14ac:dyDescent="0.25">
      <c r="B83" s="813"/>
      <c r="D83" s="3" t="s">
        <v>1630</v>
      </c>
      <c r="E83" s="2" t="str">
        <f t="shared" si="57"/>
        <v>OS</v>
      </c>
      <c r="F83" s="2"/>
      <c r="G83" s="2"/>
      <c r="AB83" s="335">
        <f t="shared" si="70"/>
        <v>0</v>
      </c>
      <c r="AC83" s="335">
        <f t="shared" si="70"/>
        <v>0</v>
      </c>
      <c r="AD83" s="335">
        <f t="shared" si="70"/>
        <v>0</v>
      </c>
      <c r="AE83" s="335">
        <f t="shared" si="70"/>
        <v>0</v>
      </c>
      <c r="AF83" s="335">
        <f t="shared" si="70"/>
        <v>0</v>
      </c>
      <c r="AG83" s="335">
        <f t="shared" si="70"/>
        <v>0</v>
      </c>
      <c r="AH83" s="335">
        <f t="shared" ref="AH83:AK83" si="75">+AH31+AH58</f>
        <v>0</v>
      </c>
      <c r="AI83" s="335">
        <f t="shared" si="75"/>
        <v>0</v>
      </c>
      <c r="AJ83" s="335">
        <f t="shared" si="75"/>
        <v>0</v>
      </c>
      <c r="AK83" s="335">
        <f t="shared" si="75"/>
        <v>0</v>
      </c>
      <c r="AM83" s="23">
        <f t="shared" si="61"/>
        <v>0</v>
      </c>
    </row>
    <row r="84" spans="2:42" ht="15" x14ac:dyDescent="0.25">
      <c r="B84" s="813"/>
      <c r="D84" s="3" t="str">
        <f>+D59</f>
        <v>Removals(see separate tab)</v>
      </c>
      <c r="E84" s="2" t="str">
        <f t="shared" si="57"/>
        <v>OS</v>
      </c>
      <c r="F84" s="2"/>
      <c r="G84" s="2"/>
      <c r="AB84" s="335">
        <f t="shared" si="70"/>
        <v>0</v>
      </c>
      <c r="AC84" s="335">
        <f t="shared" si="70"/>
        <v>0</v>
      </c>
      <c r="AD84" s="335">
        <f t="shared" si="70"/>
        <v>0</v>
      </c>
      <c r="AE84" s="335">
        <f t="shared" si="70"/>
        <v>0</v>
      </c>
      <c r="AF84" s="335">
        <f t="shared" si="70"/>
        <v>0</v>
      </c>
      <c r="AG84" s="335">
        <f t="shared" si="70"/>
        <v>0</v>
      </c>
      <c r="AH84" s="335">
        <f t="shared" ref="AH84:AK84" si="76">+AH32+AH59</f>
        <v>0</v>
      </c>
      <c r="AI84" s="335">
        <f t="shared" si="76"/>
        <v>0</v>
      </c>
      <c r="AJ84" s="335">
        <f t="shared" si="76"/>
        <v>0</v>
      </c>
      <c r="AK84" s="335">
        <f t="shared" si="76"/>
        <v>0</v>
      </c>
      <c r="AM84" s="23">
        <f t="shared" si="61"/>
        <v>0</v>
      </c>
    </row>
    <row r="85" spans="2:42" ht="15" x14ac:dyDescent="0.25">
      <c r="B85" s="813"/>
      <c r="D85" s="3" t="str">
        <f>+D60</f>
        <v>Additional  Est Input</v>
      </c>
      <c r="E85" s="2" t="str">
        <f t="shared" si="57"/>
        <v>OS</v>
      </c>
      <c r="F85" s="2"/>
      <c r="G85" s="2"/>
      <c r="AB85" s="335">
        <f t="shared" si="70"/>
        <v>0</v>
      </c>
      <c r="AC85" s="335">
        <f t="shared" si="70"/>
        <v>0</v>
      </c>
      <c r="AD85" s="335">
        <f t="shared" si="70"/>
        <v>0</v>
      </c>
      <c r="AE85" s="335">
        <f t="shared" si="70"/>
        <v>2400057.9796284004</v>
      </c>
      <c r="AF85" s="335">
        <f t="shared" si="70"/>
        <v>1648039.8126781683</v>
      </c>
      <c r="AG85" s="335">
        <f t="shared" si="70"/>
        <v>0</v>
      </c>
      <c r="AH85" s="335">
        <f t="shared" ref="AH85:AK85" si="77">+AH33+AH60</f>
        <v>0</v>
      </c>
      <c r="AI85" s="335">
        <f t="shared" si="77"/>
        <v>0</v>
      </c>
      <c r="AJ85" s="335">
        <f t="shared" si="77"/>
        <v>0</v>
      </c>
      <c r="AK85" s="335">
        <f t="shared" si="77"/>
        <v>0</v>
      </c>
      <c r="AM85" s="23">
        <f t="shared" si="61"/>
        <v>4048097.7923065685</v>
      </c>
    </row>
    <row r="86" spans="2:42" ht="15" x14ac:dyDescent="0.25">
      <c r="B86" s="813"/>
      <c r="E86" s="2"/>
    </row>
    <row r="87" spans="2:42" ht="15" x14ac:dyDescent="0.25">
      <c r="B87" s="813"/>
      <c r="C87" s="9" t="s">
        <v>611</v>
      </c>
      <c r="D87" s="9"/>
      <c r="AB87" s="823">
        <f t="shared" ref="AB87:AG87" si="78">SUM(AB68:AB85)</f>
        <v>0</v>
      </c>
      <c r="AC87" s="823">
        <f t="shared" si="78"/>
        <v>0</v>
      </c>
      <c r="AD87" s="823">
        <f t="shared" si="78"/>
        <v>0</v>
      </c>
      <c r="AE87" s="823">
        <f t="shared" si="78"/>
        <v>2400057.9796284004</v>
      </c>
      <c r="AF87" s="823">
        <f t="shared" si="78"/>
        <v>1648039.8126781683</v>
      </c>
      <c r="AG87" s="823">
        <f t="shared" si="78"/>
        <v>0</v>
      </c>
      <c r="AH87" s="823">
        <f t="shared" ref="AH87:AK87" si="79">SUM(AH68:AH85)</f>
        <v>0</v>
      </c>
      <c r="AI87" s="823">
        <f t="shared" si="79"/>
        <v>0</v>
      </c>
      <c r="AJ87" s="823">
        <f t="shared" si="79"/>
        <v>0</v>
      </c>
      <c r="AK87" s="823">
        <f t="shared" si="79"/>
        <v>0</v>
      </c>
      <c r="AL87" s="23"/>
      <c r="AM87" s="823">
        <f>SUM(AB87:AK87)</f>
        <v>4048097.7923065685</v>
      </c>
      <c r="AN87" s="335">
        <f>+AM36+AM62</f>
        <v>4048097.7923065685</v>
      </c>
      <c r="AO87" s="588" t="s">
        <v>612</v>
      </c>
    </row>
    <row r="88" spans="2:42" ht="15" x14ac:dyDescent="0.25">
      <c r="B88" s="813"/>
    </row>
    <row r="89" spans="2:42" ht="15" x14ac:dyDescent="0.25">
      <c r="B89" s="813"/>
      <c r="C89" s="9"/>
      <c r="D89" s="9" t="s">
        <v>608</v>
      </c>
      <c r="E89" s="2" t="s">
        <v>604</v>
      </c>
      <c r="F89" s="2"/>
      <c r="G89" s="2"/>
      <c r="H89" s="23"/>
      <c r="I89" s="23"/>
      <c r="J89" s="23"/>
      <c r="K89" s="23"/>
      <c r="M89" s="23"/>
      <c r="AB89" s="23">
        <f t="shared" ref="AB89:AG89" si="80">SUMIF($E$69:$E$85,$E89,AB69:AB85)</f>
        <v>0</v>
      </c>
      <c r="AC89" s="23">
        <f t="shared" si="80"/>
        <v>0</v>
      </c>
      <c r="AD89" s="23">
        <f t="shared" si="80"/>
        <v>0</v>
      </c>
      <c r="AE89" s="23">
        <f t="shared" si="80"/>
        <v>0</v>
      </c>
      <c r="AF89" s="23">
        <f t="shared" si="80"/>
        <v>0</v>
      </c>
      <c r="AG89" s="23">
        <f t="shared" si="80"/>
        <v>0</v>
      </c>
      <c r="AH89" s="23">
        <f t="shared" ref="AH89:AK89" si="81">SUMIF($E$69:$E$85,$E89,AH69:AH85)</f>
        <v>0</v>
      </c>
      <c r="AI89" s="23">
        <f t="shared" si="81"/>
        <v>0</v>
      </c>
      <c r="AJ89" s="23">
        <f t="shared" si="81"/>
        <v>0</v>
      </c>
      <c r="AK89" s="23">
        <f t="shared" si="81"/>
        <v>0</v>
      </c>
      <c r="AL89" s="23"/>
      <c r="AM89" s="23">
        <f>SUMIF($E$69:$E$85,$E89,AM69:AM85)</f>
        <v>0</v>
      </c>
    </row>
    <row r="90" spans="2:42" ht="15" x14ac:dyDescent="0.25">
      <c r="B90" s="813"/>
      <c r="C90" s="9"/>
      <c r="D90" s="9" t="s">
        <v>608</v>
      </c>
      <c r="E90" s="2" t="s">
        <v>605</v>
      </c>
      <c r="F90" s="2"/>
      <c r="G90" s="2"/>
      <c r="H90" s="23"/>
      <c r="I90" s="23"/>
      <c r="J90" s="23"/>
      <c r="K90" s="23"/>
      <c r="M90" s="23"/>
      <c r="AB90" s="23">
        <f t="shared" ref="AB90:AG90" si="82">SUMIF($E$69:$E$85,$E90,AB69:AB85)</f>
        <v>0</v>
      </c>
      <c r="AC90" s="23">
        <f t="shared" si="82"/>
        <v>0</v>
      </c>
      <c r="AD90" s="23">
        <f t="shared" si="82"/>
        <v>0</v>
      </c>
      <c r="AE90" s="23">
        <f t="shared" si="82"/>
        <v>2400057.9796284004</v>
      </c>
      <c r="AF90" s="23">
        <f t="shared" si="82"/>
        <v>1648039.8126781683</v>
      </c>
      <c r="AG90" s="23">
        <f t="shared" si="82"/>
        <v>0</v>
      </c>
      <c r="AH90" s="23">
        <f t="shared" ref="AH90:AK90" si="83">SUMIF($E$69:$E$85,$E90,AH69:AH85)</f>
        <v>0</v>
      </c>
      <c r="AI90" s="23">
        <f t="shared" si="83"/>
        <v>0</v>
      </c>
      <c r="AJ90" s="23">
        <f t="shared" si="83"/>
        <v>0</v>
      </c>
      <c r="AK90" s="23">
        <f t="shared" si="83"/>
        <v>0</v>
      </c>
      <c r="AL90" s="23"/>
      <c r="AM90" s="23">
        <f>SUMIF($E$69:$E$85,$E90,AM69:AM85)</f>
        <v>4048097.7923065685</v>
      </c>
      <c r="AN90" s="335">
        <f>+AM89+AM90</f>
        <v>4048097.7923065685</v>
      </c>
    </row>
    <row r="91" spans="2:42" ht="15" x14ac:dyDescent="0.25">
      <c r="B91" s="813"/>
    </row>
    <row r="92" spans="2:42" ht="15" x14ac:dyDescent="0.25">
      <c r="B92" s="813"/>
    </row>
    <row r="93" spans="2:42" ht="15" x14ac:dyDescent="0.25">
      <c r="B93" s="813"/>
    </row>
    <row r="94" spans="2:42" ht="15" x14ac:dyDescent="0.25">
      <c r="B94" s="813"/>
    </row>
    <row r="95" spans="2:42" ht="15" x14ac:dyDescent="0.25">
      <c r="B95" s="813"/>
    </row>
    <row r="96" spans="2:42" ht="15" x14ac:dyDescent="0.25">
      <c r="B96" s="813"/>
      <c r="C96" s="813"/>
      <c r="D96" s="813"/>
      <c r="E96" s="813"/>
      <c r="F96" s="813"/>
      <c r="G96" s="813"/>
      <c r="H96" s="813"/>
      <c r="I96" s="813"/>
      <c r="J96" s="813"/>
      <c r="K96" s="813"/>
      <c r="L96" s="813"/>
      <c r="M96" s="813"/>
      <c r="N96" s="813"/>
      <c r="O96" s="813"/>
      <c r="P96" s="813"/>
      <c r="Q96" s="813"/>
      <c r="R96" s="813"/>
      <c r="S96" s="813"/>
      <c r="T96" s="813"/>
      <c r="U96" s="813"/>
      <c r="V96" s="813"/>
      <c r="W96" s="813"/>
      <c r="X96" s="813"/>
      <c r="Y96" s="813"/>
      <c r="Z96" s="813"/>
      <c r="AA96" s="813"/>
      <c r="AB96" s="813"/>
      <c r="AC96" s="813"/>
      <c r="AD96" s="813"/>
      <c r="AE96" s="813"/>
      <c r="AF96" s="813"/>
      <c r="AG96" s="813"/>
      <c r="AH96" s="813"/>
      <c r="AI96" s="813"/>
      <c r="AJ96" s="813"/>
      <c r="AK96" s="813"/>
      <c r="AL96" s="813"/>
      <c r="AM96" s="813"/>
      <c r="AN96" s="813"/>
      <c r="AO96" s="813"/>
      <c r="AP96" s="813"/>
    </row>
    <row r="102" spans="2:42" ht="15" x14ac:dyDescent="0.25">
      <c r="B102" s="811" t="s">
        <v>38</v>
      </c>
      <c r="C102" s="811"/>
      <c r="D102" s="812"/>
      <c r="E102" s="812"/>
      <c r="F102" s="812"/>
      <c r="G102" s="812"/>
      <c r="H102" s="812"/>
      <c r="I102" s="812"/>
      <c r="J102" s="812"/>
      <c r="K102" s="812"/>
      <c r="L102" s="812"/>
      <c r="M102" s="812"/>
      <c r="N102" s="812"/>
      <c r="O102" s="812"/>
      <c r="P102" s="812"/>
      <c r="Q102" s="812"/>
      <c r="R102" s="812"/>
      <c r="S102" s="812"/>
      <c r="T102" s="812"/>
      <c r="U102" s="812"/>
      <c r="V102" s="812"/>
      <c r="W102" s="812"/>
      <c r="X102" s="812"/>
      <c r="Y102" s="812"/>
      <c r="Z102" s="812"/>
      <c r="AA102" s="812"/>
      <c r="AB102" s="812"/>
      <c r="AC102" s="812"/>
      <c r="AD102" s="812"/>
      <c r="AE102" s="812"/>
      <c r="AF102" s="812"/>
      <c r="AG102" s="812"/>
      <c r="AH102" s="812"/>
      <c r="AI102" s="812"/>
      <c r="AJ102" s="812"/>
      <c r="AK102" s="812"/>
      <c r="AL102" s="812"/>
      <c r="AM102" s="812"/>
      <c r="AN102" s="813"/>
      <c r="AO102" s="813"/>
      <c r="AP102" s="813"/>
    </row>
    <row r="103" spans="2:42" ht="15" x14ac:dyDescent="0.25">
      <c r="B103" s="813"/>
      <c r="C103" s="9" t="s">
        <v>613</v>
      </c>
      <c r="H103" s="9" t="s">
        <v>614</v>
      </c>
      <c r="I103" s="9"/>
      <c r="J103" s="9"/>
      <c r="K103" s="9"/>
      <c r="L103" s="9"/>
      <c r="M103" s="9" t="s">
        <v>602</v>
      </c>
      <c r="O103" s="1849">
        <f>+$AB$7</f>
        <v>45292</v>
      </c>
      <c r="P103" s="1849">
        <f>+$AC$7</f>
        <v>45658</v>
      </c>
      <c r="Q103" s="1849">
        <f>+$AD$7</f>
        <v>46023</v>
      </c>
      <c r="R103" s="1849">
        <f>+$AE$7</f>
        <v>46388</v>
      </c>
      <c r="S103" s="1849">
        <f>+$AF$7</f>
        <v>46753</v>
      </c>
      <c r="T103" s="1849">
        <f>+$AG$7</f>
        <v>47119</v>
      </c>
      <c r="U103" s="1849">
        <f>+$AH$7</f>
        <v>47484</v>
      </c>
      <c r="V103" s="1849">
        <f>+$AI$7</f>
        <v>47849</v>
      </c>
      <c r="W103" s="1849">
        <f>+$AJ$7</f>
        <v>48214</v>
      </c>
      <c r="X103" s="1849">
        <f>+$AK$7</f>
        <v>48580</v>
      </c>
      <c r="Z103" s="5" t="s">
        <v>216</v>
      </c>
      <c r="AB103">
        <f t="shared" ref="AB103:AG103" si="84">+AB95</f>
        <v>0</v>
      </c>
      <c r="AC103">
        <f t="shared" si="84"/>
        <v>0</v>
      </c>
      <c r="AD103">
        <f t="shared" si="84"/>
        <v>0</v>
      </c>
      <c r="AE103">
        <f t="shared" si="84"/>
        <v>0</v>
      </c>
      <c r="AF103">
        <f t="shared" si="84"/>
        <v>0</v>
      </c>
      <c r="AG103">
        <f t="shared" si="84"/>
        <v>0</v>
      </c>
      <c r="AM103" s="5" t="s">
        <v>389</v>
      </c>
    </row>
    <row r="104" spans="2:42" ht="15" x14ac:dyDescent="0.25">
      <c r="B104" s="813"/>
      <c r="C104" t="s">
        <v>333</v>
      </c>
      <c r="O104" s="5" t="s">
        <v>437</v>
      </c>
      <c r="P104" s="5" t="s">
        <v>437</v>
      </c>
      <c r="Q104" s="5" t="s">
        <v>437</v>
      </c>
      <c r="R104" s="5" t="s">
        <v>437</v>
      </c>
      <c r="S104" s="5" t="s">
        <v>437</v>
      </c>
      <c r="T104" s="5" t="s">
        <v>437</v>
      </c>
      <c r="U104" s="5" t="s">
        <v>437</v>
      </c>
      <c r="V104" s="5" t="s">
        <v>437</v>
      </c>
      <c r="W104" s="5" t="s">
        <v>437</v>
      </c>
      <c r="X104" s="5" t="s">
        <v>437</v>
      </c>
    </row>
    <row r="105" spans="2:42" ht="15" x14ac:dyDescent="0.25">
      <c r="B105" s="813"/>
      <c r="D105" s="3" t="str">
        <f>+D17</f>
        <v>OH work</v>
      </c>
      <c r="E105" s="9" t="str">
        <f t="shared" ref="E105:E112" si="85">E17</f>
        <v>E</v>
      </c>
      <c r="F105" s="9"/>
      <c r="G105" s="9"/>
      <c r="H105" s="814">
        <f>+'OH Constr'!AM261</f>
        <v>0</v>
      </c>
      <c r="I105" s="819"/>
      <c r="J105" s="819"/>
      <c r="K105" s="819"/>
      <c r="L105" s="9"/>
      <c r="M105" s="814">
        <f t="shared" ref="M105:M131" si="86">SUM(H105:L105)</f>
        <v>0</v>
      </c>
      <c r="O105" s="1824">
        <v>0</v>
      </c>
      <c r="P105" s="1824">
        <v>0</v>
      </c>
      <c r="Q105" s="1824">
        <v>0.5</v>
      </c>
      <c r="R105" s="1824">
        <v>0.5</v>
      </c>
      <c r="S105" s="1824">
        <v>0</v>
      </c>
      <c r="T105" s="1824">
        <v>0</v>
      </c>
      <c r="U105" s="1824">
        <v>0</v>
      </c>
      <c r="V105" s="1824">
        <v>0</v>
      </c>
      <c r="W105" s="1824">
        <v>0</v>
      </c>
      <c r="X105" s="1824">
        <v>0</v>
      </c>
      <c r="Z105" s="637">
        <f>SUM(O105:X105)</f>
        <v>1</v>
      </c>
      <c r="AB105" s="23">
        <f t="shared" ref="AB105:AG109" si="87">+$M105*O105</f>
        <v>0</v>
      </c>
      <c r="AC105" s="23">
        <f t="shared" si="87"/>
        <v>0</v>
      </c>
      <c r="AD105" s="23">
        <f t="shared" si="87"/>
        <v>0</v>
      </c>
      <c r="AE105" s="23">
        <f t="shared" si="87"/>
        <v>0</v>
      </c>
      <c r="AF105" s="23">
        <f t="shared" si="87"/>
        <v>0</v>
      </c>
      <c r="AG105" s="23">
        <f t="shared" si="87"/>
        <v>0</v>
      </c>
      <c r="AH105" s="23">
        <f t="shared" ref="AH105:AK120" si="88">+$M105*U105</f>
        <v>0</v>
      </c>
      <c r="AI105" s="23">
        <f t="shared" si="88"/>
        <v>0</v>
      </c>
      <c r="AJ105" s="23">
        <f t="shared" si="88"/>
        <v>0</v>
      </c>
      <c r="AK105" s="23">
        <f t="shared" si="88"/>
        <v>0</v>
      </c>
      <c r="AL105" s="23"/>
      <c r="AM105" s="23">
        <f>SUM(AB105:AK105)</f>
        <v>0</v>
      </c>
    </row>
    <row r="106" spans="2:42" ht="15" x14ac:dyDescent="0.25">
      <c r="B106" s="812"/>
      <c r="D106" s="3" t="str">
        <f>+D18</f>
        <v>115kv UG HPFF</v>
      </c>
      <c r="E106" s="9" t="str">
        <f t="shared" si="85"/>
        <v>E</v>
      </c>
      <c r="F106" s="9"/>
      <c r="G106" s="9"/>
      <c r="H106" s="819">
        <f>+'115 kV &amp; 345 kV HPFF'!AM79</f>
        <v>0</v>
      </c>
      <c r="I106" s="9"/>
      <c r="J106" s="9"/>
      <c r="K106" s="9"/>
      <c r="L106" s="9"/>
      <c r="M106" s="814">
        <f t="shared" si="86"/>
        <v>0</v>
      </c>
      <c r="O106" s="1824">
        <v>0</v>
      </c>
      <c r="P106" s="1824">
        <v>0</v>
      </c>
      <c r="Q106" s="1824">
        <v>0.5</v>
      </c>
      <c r="R106" s="1824">
        <v>0.5</v>
      </c>
      <c r="S106" s="1824">
        <v>0</v>
      </c>
      <c r="T106" s="1824">
        <v>0</v>
      </c>
      <c r="U106" s="1824">
        <v>0</v>
      </c>
      <c r="V106" s="1824">
        <v>0</v>
      </c>
      <c r="W106" s="1824">
        <v>0</v>
      </c>
      <c r="X106" s="1824">
        <v>0</v>
      </c>
      <c r="Z106" s="637">
        <f t="shared" ref="Z106:Z131" si="89">SUM(O106:X106)</f>
        <v>1</v>
      </c>
      <c r="AB106" s="23">
        <f t="shared" si="87"/>
        <v>0</v>
      </c>
      <c r="AC106" s="23">
        <f t="shared" si="87"/>
        <v>0</v>
      </c>
      <c r="AD106" s="23">
        <f t="shared" si="87"/>
        <v>0</v>
      </c>
      <c r="AE106" s="23">
        <f t="shared" si="87"/>
        <v>0</v>
      </c>
      <c r="AF106" s="23">
        <f t="shared" si="87"/>
        <v>0</v>
      </c>
      <c r="AG106" s="23">
        <f t="shared" si="87"/>
        <v>0</v>
      </c>
      <c r="AH106" s="23">
        <f t="shared" si="88"/>
        <v>0</v>
      </c>
      <c r="AI106" s="23">
        <f t="shared" si="88"/>
        <v>0</v>
      </c>
      <c r="AJ106" s="23">
        <f t="shared" si="88"/>
        <v>0</v>
      </c>
      <c r="AK106" s="23">
        <f t="shared" si="88"/>
        <v>0</v>
      </c>
      <c r="AL106" s="23"/>
      <c r="AM106" s="23">
        <f t="shared" ref="AM106:AM131" si="90">SUM(AB106:AK106)</f>
        <v>0</v>
      </c>
    </row>
    <row r="107" spans="2:42" ht="15" x14ac:dyDescent="0.25">
      <c r="B107" s="813"/>
      <c r="D107" s="3" t="str">
        <f>+D19</f>
        <v>115kv UG XLPE</v>
      </c>
      <c r="E107" s="9" t="str">
        <f t="shared" si="85"/>
        <v>E</v>
      </c>
      <c r="H107" s="357">
        <f>+'115 kV Und XLPE'!AM82</f>
        <v>0</v>
      </c>
      <c r="M107" s="814">
        <f t="shared" si="86"/>
        <v>0</v>
      </c>
      <c r="O107" s="1824">
        <v>0</v>
      </c>
      <c r="P107" s="1824">
        <v>0</v>
      </c>
      <c r="Q107" s="1824">
        <v>0.5</v>
      </c>
      <c r="R107" s="1824">
        <v>0.5</v>
      </c>
      <c r="S107" s="1824">
        <v>0</v>
      </c>
      <c r="T107" s="1824">
        <v>0</v>
      </c>
      <c r="U107" s="1824">
        <v>0</v>
      </c>
      <c r="V107" s="1824">
        <v>0</v>
      </c>
      <c r="W107" s="1824">
        <v>0</v>
      </c>
      <c r="X107" s="1824">
        <v>0</v>
      </c>
      <c r="Z107" s="637">
        <f t="shared" si="89"/>
        <v>1</v>
      </c>
      <c r="AB107" s="23">
        <f t="shared" si="87"/>
        <v>0</v>
      </c>
      <c r="AC107" s="23">
        <f t="shared" si="87"/>
        <v>0</v>
      </c>
      <c r="AD107" s="23">
        <f t="shared" si="87"/>
        <v>0</v>
      </c>
      <c r="AE107" s="23">
        <f t="shared" si="87"/>
        <v>0</v>
      </c>
      <c r="AF107" s="23">
        <f t="shared" si="87"/>
        <v>0</v>
      </c>
      <c r="AG107" s="23">
        <f t="shared" si="87"/>
        <v>0</v>
      </c>
      <c r="AH107" s="23">
        <f t="shared" si="88"/>
        <v>0</v>
      </c>
      <c r="AI107" s="23">
        <f t="shared" si="88"/>
        <v>0</v>
      </c>
      <c r="AJ107" s="23">
        <f t="shared" si="88"/>
        <v>0</v>
      </c>
      <c r="AK107" s="23">
        <f t="shared" si="88"/>
        <v>0</v>
      </c>
      <c r="AL107" s="23"/>
      <c r="AM107" s="23">
        <f t="shared" si="90"/>
        <v>0</v>
      </c>
    </row>
    <row r="108" spans="2:42" ht="15" x14ac:dyDescent="0.25">
      <c r="B108" s="813"/>
      <c r="D108" s="3" t="str">
        <f>+D20</f>
        <v>345 UG XLPE</v>
      </c>
      <c r="E108" s="9" t="str">
        <f t="shared" si="85"/>
        <v>E</v>
      </c>
      <c r="H108" s="357">
        <f>+'345 kV Und XLPE'!AM82</f>
        <v>0</v>
      </c>
      <c r="M108" s="814">
        <f t="shared" si="86"/>
        <v>0</v>
      </c>
      <c r="O108" s="1824">
        <v>0</v>
      </c>
      <c r="P108" s="1824">
        <v>0</v>
      </c>
      <c r="Q108" s="1824">
        <v>0.5</v>
      </c>
      <c r="R108" s="1824">
        <v>0.5</v>
      </c>
      <c r="S108" s="1824">
        <v>0</v>
      </c>
      <c r="T108" s="1824">
        <v>0</v>
      </c>
      <c r="U108" s="1824">
        <v>0</v>
      </c>
      <c r="V108" s="1824">
        <v>0</v>
      </c>
      <c r="W108" s="1824">
        <v>0</v>
      </c>
      <c r="X108" s="1824">
        <v>0</v>
      </c>
      <c r="Z108" s="637">
        <f t="shared" si="89"/>
        <v>1</v>
      </c>
      <c r="AB108" s="23">
        <f t="shared" si="87"/>
        <v>0</v>
      </c>
      <c r="AC108" s="23">
        <f t="shared" si="87"/>
        <v>0</v>
      </c>
      <c r="AD108" s="23">
        <f t="shared" si="87"/>
        <v>0</v>
      </c>
      <c r="AE108" s="23">
        <f t="shared" si="87"/>
        <v>0</v>
      </c>
      <c r="AF108" s="23">
        <f t="shared" si="87"/>
        <v>0</v>
      </c>
      <c r="AG108" s="23">
        <f t="shared" si="87"/>
        <v>0</v>
      </c>
      <c r="AH108" s="23">
        <f t="shared" si="88"/>
        <v>0</v>
      </c>
      <c r="AI108" s="23">
        <f t="shared" si="88"/>
        <v>0</v>
      </c>
      <c r="AJ108" s="23">
        <f t="shared" si="88"/>
        <v>0</v>
      </c>
      <c r="AK108" s="23">
        <f t="shared" si="88"/>
        <v>0</v>
      </c>
      <c r="AL108" s="23"/>
      <c r="AM108" s="23">
        <f t="shared" si="90"/>
        <v>0</v>
      </c>
    </row>
    <row r="109" spans="2:42" ht="15" x14ac:dyDescent="0.25">
      <c r="B109" s="813"/>
      <c r="D109" s="3" t="str">
        <f>+D21</f>
        <v>Substation Const</v>
      </c>
      <c r="E109" s="9" t="str">
        <f t="shared" si="85"/>
        <v>E</v>
      </c>
      <c r="H109" s="357">
        <f>+'Substation Const'!AM621</f>
        <v>0</v>
      </c>
      <c r="M109" s="814">
        <f t="shared" si="86"/>
        <v>0</v>
      </c>
      <c r="O109" s="1824">
        <v>0</v>
      </c>
      <c r="P109" s="1824">
        <v>0</v>
      </c>
      <c r="Q109" s="1824">
        <v>0.5</v>
      </c>
      <c r="R109" s="1824">
        <v>0.5</v>
      </c>
      <c r="S109" s="1824">
        <v>0</v>
      </c>
      <c r="T109" s="1824">
        <v>0</v>
      </c>
      <c r="U109" s="1824">
        <v>0</v>
      </c>
      <c r="V109" s="1824">
        <v>0</v>
      </c>
      <c r="W109" s="1824">
        <v>0</v>
      </c>
      <c r="X109" s="1824">
        <v>0</v>
      </c>
      <c r="Z109" s="637">
        <f t="shared" si="89"/>
        <v>1</v>
      </c>
      <c r="AB109" s="23">
        <f t="shared" si="87"/>
        <v>0</v>
      </c>
      <c r="AC109" s="23">
        <f t="shared" si="87"/>
        <v>0</v>
      </c>
      <c r="AD109" s="23">
        <f t="shared" si="87"/>
        <v>0</v>
      </c>
      <c r="AE109" s="23">
        <f t="shared" si="87"/>
        <v>0</v>
      </c>
      <c r="AF109" s="23">
        <f t="shared" si="87"/>
        <v>0</v>
      </c>
      <c r="AG109" s="23">
        <f t="shared" si="87"/>
        <v>0</v>
      </c>
      <c r="AH109" s="23">
        <f t="shared" si="88"/>
        <v>0</v>
      </c>
      <c r="AI109" s="23">
        <f t="shared" si="88"/>
        <v>0</v>
      </c>
      <c r="AJ109" s="23">
        <f t="shared" si="88"/>
        <v>0</v>
      </c>
      <c r="AK109" s="23">
        <f t="shared" si="88"/>
        <v>0</v>
      </c>
      <c r="AL109" s="23"/>
      <c r="AM109" s="23">
        <f t="shared" si="90"/>
        <v>0</v>
      </c>
    </row>
    <row r="110" spans="2:42" ht="15" x14ac:dyDescent="0.25">
      <c r="B110" s="813"/>
      <c r="D110" s="3" t="s">
        <v>1630</v>
      </c>
      <c r="E110" s="9" t="str">
        <f t="shared" si="85"/>
        <v>E</v>
      </c>
      <c r="H110" s="357">
        <f>+Substation_D!AM134</f>
        <v>0</v>
      </c>
      <c r="M110" s="814">
        <f t="shared" ref="M110" si="91">SUM(H110:L110)</f>
        <v>0</v>
      </c>
      <c r="O110" s="1824">
        <v>0</v>
      </c>
      <c r="P110" s="1824">
        <v>0</v>
      </c>
      <c r="Q110" s="1824">
        <v>0.5</v>
      </c>
      <c r="R110" s="1824">
        <v>0.5</v>
      </c>
      <c r="S110" s="1824">
        <v>0</v>
      </c>
      <c r="T110" s="1824">
        <v>0</v>
      </c>
      <c r="U110" s="1824">
        <v>0</v>
      </c>
      <c r="V110" s="1824">
        <v>0</v>
      </c>
      <c r="W110" s="1824">
        <v>0</v>
      </c>
      <c r="X110" s="1824">
        <v>0</v>
      </c>
      <c r="Z110" s="637">
        <f t="shared" si="89"/>
        <v>1</v>
      </c>
      <c r="AB110" s="23">
        <f t="shared" ref="AB110" si="92">+$M110*O110</f>
        <v>0</v>
      </c>
      <c r="AC110" s="23">
        <f t="shared" ref="AC110" si="93">+$M110*P110</f>
        <v>0</v>
      </c>
      <c r="AD110" s="23">
        <f t="shared" ref="AD110" si="94">+$M110*Q110</f>
        <v>0</v>
      </c>
      <c r="AE110" s="23">
        <f t="shared" ref="AE110" si="95">+$M110*R110</f>
        <v>0</v>
      </c>
      <c r="AF110" s="23">
        <f t="shared" ref="AF110" si="96">+$M110*S110</f>
        <v>0</v>
      </c>
      <c r="AG110" s="23">
        <f t="shared" ref="AG110" si="97">+$M110*T110</f>
        <v>0</v>
      </c>
      <c r="AH110" s="23">
        <f t="shared" si="88"/>
        <v>0</v>
      </c>
      <c r="AI110" s="23">
        <f t="shared" si="88"/>
        <v>0</v>
      </c>
      <c r="AJ110" s="23">
        <f t="shared" si="88"/>
        <v>0</v>
      </c>
      <c r="AK110" s="23">
        <f t="shared" si="88"/>
        <v>0</v>
      </c>
      <c r="AL110" s="23"/>
      <c r="AM110" s="23">
        <f t="shared" si="90"/>
        <v>0</v>
      </c>
    </row>
    <row r="111" spans="2:42" ht="15" x14ac:dyDescent="0.25">
      <c r="B111" s="813"/>
      <c r="D111" s="3" t="str">
        <f>+D23</f>
        <v>Removals(see separate tab)</v>
      </c>
      <c r="E111" s="9" t="str">
        <f t="shared" si="85"/>
        <v>E</v>
      </c>
      <c r="H111" s="357">
        <f>+Removals!AM173*0</f>
        <v>0</v>
      </c>
      <c r="M111" s="814">
        <f t="shared" si="86"/>
        <v>0</v>
      </c>
      <c r="O111" s="1824">
        <v>0</v>
      </c>
      <c r="P111" s="1824">
        <v>0</v>
      </c>
      <c r="Q111" s="1824">
        <v>0.5</v>
      </c>
      <c r="R111" s="1824">
        <v>0.5</v>
      </c>
      <c r="S111" s="1824">
        <v>0</v>
      </c>
      <c r="T111" s="1824">
        <v>0</v>
      </c>
      <c r="U111" s="1824">
        <v>0</v>
      </c>
      <c r="V111" s="1824">
        <v>0</v>
      </c>
      <c r="W111" s="1824">
        <v>0</v>
      </c>
      <c r="X111" s="1824">
        <v>0</v>
      </c>
      <c r="Z111" s="637">
        <f t="shared" si="89"/>
        <v>1</v>
      </c>
      <c r="AB111" s="23">
        <f t="shared" ref="AB111:AB123" si="98">+$M111*O111</f>
        <v>0</v>
      </c>
      <c r="AC111" s="23">
        <f t="shared" ref="AC111:AC123" si="99">+$M111*P111</f>
        <v>0</v>
      </c>
      <c r="AD111" s="23">
        <f t="shared" ref="AD111:AD123" si="100">+$M111*Q111</f>
        <v>0</v>
      </c>
      <c r="AE111" s="23">
        <f t="shared" ref="AE111:AE123" si="101">+$M111*R111</f>
        <v>0</v>
      </c>
      <c r="AF111" s="23">
        <f t="shared" ref="AF111:AF123" si="102">+$M111*S111</f>
        <v>0</v>
      </c>
      <c r="AG111" s="23">
        <f t="shared" ref="AG111:AG123" si="103">+$M111*T111</f>
        <v>0</v>
      </c>
      <c r="AH111" s="23">
        <f t="shared" si="88"/>
        <v>0</v>
      </c>
      <c r="AI111" s="23">
        <f t="shared" si="88"/>
        <v>0</v>
      </c>
      <c r="AJ111" s="23">
        <f t="shared" si="88"/>
        <v>0</v>
      </c>
      <c r="AK111" s="23">
        <f t="shared" si="88"/>
        <v>0</v>
      </c>
      <c r="AL111" s="23"/>
      <c r="AM111" s="23">
        <f t="shared" si="90"/>
        <v>0</v>
      </c>
    </row>
    <row r="112" spans="2:42" ht="15" x14ac:dyDescent="0.25">
      <c r="B112" s="813"/>
      <c r="D112" s="3" t="str">
        <f>+D24</f>
        <v>Additional  Est Input</v>
      </c>
      <c r="E112" s="9" t="str">
        <f t="shared" si="85"/>
        <v>E</v>
      </c>
      <c r="H112" s="357">
        <f>+'Additional  Est Input'!AM153</f>
        <v>18171688</v>
      </c>
      <c r="M112" s="814">
        <f t="shared" si="86"/>
        <v>18171688</v>
      </c>
      <c r="O112" s="1824">
        <v>0</v>
      </c>
      <c r="P112" s="1824">
        <v>0</v>
      </c>
      <c r="Q112" s="1824">
        <v>0.5</v>
      </c>
      <c r="R112" s="1824">
        <v>0.5</v>
      </c>
      <c r="S112" s="1824">
        <v>0</v>
      </c>
      <c r="T112" s="1824">
        <v>0</v>
      </c>
      <c r="U112" s="1824">
        <v>0</v>
      </c>
      <c r="V112" s="1824">
        <v>0</v>
      </c>
      <c r="W112" s="1824">
        <v>0</v>
      </c>
      <c r="X112" s="1824">
        <v>0</v>
      </c>
      <c r="Z112" s="637">
        <f t="shared" si="89"/>
        <v>1</v>
      </c>
      <c r="AB112" s="23">
        <f t="shared" si="98"/>
        <v>0</v>
      </c>
      <c r="AC112" s="23">
        <f t="shared" si="99"/>
        <v>0</v>
      </c>
      <c r="AD112" s="23">
        <f t="shared" si="100"/>
        <v>9085844</v>
      </c>
      <c r="AE112" s="23">
        <f t="shared" si="101"/>
        <v>9085844</v>
      </c>
      <c r="AF112" s="23">
        <f t="shared" si="102"/>
        <v>0</v>
      </c>
      <c r="AG112" s="23">
        <f t="shared" si="103"/>
        <v>0</v>
      </c>
      <c r="AH112" s="23">
        <f t="shared" si="88"/>
        <v>0</v>
      </c>
      <c r="AI112" s="23">
        <f t="shared" si="88"/>
        <v>0</v>
      </c>
      <c r="AJ112" s="23">
        <f t="shared" si="88"/>
        <v>0</v>
      </c>
      <c r="AK112" s="23">
        <f t="shared" si="88"/>
        <v>0</v>
      </c>
      <c r="AL112" s="23"/>
      <c r="AM112" s="23">
        <f t="shared" si="90"/>
        <v>18171688</v>
      </c>
    </row>
    <row r="113" spans="2:39" ht="15" x14ac:dyDescent="0.25">
      <c r="B113" s="813"/>
      <c r="D113" s="3" t="s">
        <v>316</v>
      </c>
      <c r="E113" s="827" t="s">
        <v>604</v>
      </c>
      <c r="H113" s="357">
        <f>'Eng &amp; Proj Supp'!AM73</f>
        <v>0</v>
      </c>
      <c r="M113" s="814">
        <f t="shared" si="86"/>
        <v>0</v>
      </c>
      <c r="O113" s="1824">
        <v>0</v>
      </c>
      <c r="P113" s="1824">
        <v>0</v>
      </c>
      <c r="Q113" s="1824">
        <v>0.5</v>
      </c>
      <c r="R113" s="1824">
        <v>0.5</v>
      </c>
      <c r="S113" s="1824">
        <v>0</v>
      </c>
      <c r="T113" s="1824">
        <v>0</v>
      </c>
      <c r="U113" s="1824">
        <v>0</v>
      </c>
      <c r="V113" s="1824">
        <v>0</v>
      </c>
      <c r="W113" s="1824">
        <v>0</v>
      </c>
      <c r="X113" s="1824">
        <v>0</v>
      </c>
      <c r="Z113" s="637">
        <f t="shared" si="89"/>
        <v>1</v>
      </c>
      <c r="AB113" s="23">
        <f t="shared" si="98"/>
        <v>0</v>
      </c>
      <c r="AC113" s="23">
        <f t="shared" si="99"/>
        <v>0</v>
      </c>
      <c r="AD113" s="23">
        <f t="shared" si="100"/>
        <v>0</v>
      </c>
      <c r="AE113" s="23">
        <f t="shared" si="101"/>
        <v>0</v>
      </c>
      <c r="AF113" s="23">
        <f t="shared" si="102"/>
        <v>0</v>
      </c>
      <c r="AG113" s="23">
        <f t="shared" si="103"/>
        <v>0</v>
      </c>
      <c r="AH113" s="23">
        <f t="shared" si="88"/>
        <v>0</v>
      </c>
      <c r="AI113" s="23">
        <f t="shared" si="88"/>
        <v>0</v>
      </c>
      <c r="AJ113" s="23">
        <f t="shared" si="88"/>
        <v>0</v>
      </c>
      <c r="AK113" s="23">
        <f t="shared" si="88"/>
        <v>0</v>
      </c>
      <c r="AL113" s="23"/>
      <c r="AM113" s="23">
        <f t="shared" si="90"/>
        <v>0</v>
      </c>
    </row>
    <row r="114" spans="2:39" ht="15" x14ac:dyDescent="0.25">
      <c r="B114" s="813"/>
      <c r="D114" s="3" t="s">
        <v>1182</v>
      </c>
      <c r="E114" s="827" t="s">
        <v>604</v>
      </c>
      <c r="H114" s="357">
        <f>'Eng &amp; Proj Supp'!AM162</f>
        <v>0</v>
      </c>
      <c r="M114" s="814">
        <f t="shared" si="86"/>
        <v>0</v>
      </c>
      <c r="O114" s="1824">
        <v>0</v>
      </c>
      <c r="P114" s="1824">
        <v>0</v>
      </c>
      <c r="Q114" s="1824">
        <v>0.5</v>
      </c>
      <c r="R114" s="1824">
        <v>0.5</v>
      </c>
      <c r="S114" s="1824">
        <v>0</v>
      </c>
      <c r="T114" s="1824">
        <v>0</v>
      </c>
      <c r="U114" s="1824">
        <v>0</v>
      </c>
      <c r="V114" s="1824">
        <v>0</v>
      </c>
      <c r="W114" s="1824">
        <v>0</v>
      </c>
      <c r="X114" s="1824">
        <v>0</v>
      </c>
      <c r="Z114" s="637">
        <f t="shared" si="89"/>
        <v>1</v>
      </c>
      <c r="AB114" s="23">
        <f t="shared" si="98"/>
        <v>0</v>
      </c>
      <c r="AC114" s="23">
        <f t="shared" si="99"/>
        <v>0</v>
      </c>
      <c r="AD114" s="23">
        <f t="shared" si="100"/>
        <v>0</v>
      </c>
      <c r="AE114" s="23">
        <f t="shared" si="101"/>
        <v>0</v>
      </c>
      <c r="AF114" s="23">
        <f t="shared" si="102"/>
        <v>0</v>
      </c>
      <c r="AG114" s="23">
        <f t="shared" si="103"/>
        <v>0</v>
      </c>
      <c r="AH114" s="23">
        <f t="shared" si="88"/>
        <v>0</v>
      </c>
      <c r="AI114" s="23">
        <f t="shared" si="88"/>
        <v>0</v>
      </c>
      <c r="AJ114" s="23">
        <f t="shared" si="88"/>
        <v>0</v>
      </c>
      <c r="AK114" s="23">
        <f t="shared" si="88"/>
        <v>0</v>
      </c>
      <c r="AL114" s="23"/>
      <c r="AM114" s="23">
        <f t="shared" si="90"/>
        <v>0</v>
      </c>
    </row>
    <row r="115" spans="2:39" ht="15" x14ac:dyDescent="0.25">
      <c r="B115" s="813"/>
      <c r="D115" s="3"/>
      <c r="E115" s="827" t="s">
        <v>604</v>
      </c>
      <c r="H115" s="357"/>
      <c r="M115" s="814">
        <f t="shared" si="86"/>
        <v>0</v>
      </c>
      <c r="O115" s="1824">
        <v>0</v>
      </c>
      <c r="P115" s="1824">
        <v>0</v>
      </c>
      <c r="Q115" s="1824">
        <v>0.5</v>
      </c>
      <c r="R115" s="1824">
        <v>0.5</v>
      </c>
      <c r="S115" s="1824">
        <v>0</v>
      </c>
      <c r="T115" s="1824">
        <v>0</v>
      </c>
      <c r="U115" s="1824">
        <v>0</v>
      </c>
      <c r="V115" s="1824">
        <v>0</v>
      </c>
      <c r="W115" s="1824">
        <v>0</v>
      </c>
      <c r="X115" s="1824">
        <v>0</v>
      </c>
      <c r="Z115" s="637">
        <f t="shared" si="89"/>
        <v>1</v>
      </c>
      <c r="AB115" s="23">
        <f t="shared" si="98"/>
        <v>0</v>
      </c>
      <c r="AC115" s="23">
        <f t="shared" si="99"/>
        <v>0</v>
      </c>
      <c r="AD115" s="23">
        <f t="shared" si="100"/>
        <v>0</v>
      </c>
      <c r="AE115" s="23">
        <f t="shared" si="101"/>
        <v>0</v>
      </c>
      <c r="AF115" s="23">
        <f t="shared" si="102"/>
        <v>0</v>
      </c>
      <c r="AG115" s="23">
        <f t="shared" si="103"/>
        <v>0</v>
      </c>
      <c r="AH115" s="23">
        <f t="shared" si="88"/>
        <v>0</v>
      </c>
      <c r="AI115" s="23">
        <f t="shared" si="88"/>
        <v>0</v>
      </c>
      <c r="AJ115" s="23">
        <f t="shared" si="88"/>
        <v>0</v>
      </c>
      <c r="AK115" s="23">
        <f t="shared" si="88"/>
        <v>0</v>
      </c>
      <c r="AL115" s="23"/>
      <c r="AM115" s="23">
        <f t="shared" si="90"/>
        <v>0</v>
      </c>
    </row>
    <row r="116" spans="2:39" ht="15" x14ac:dyDescent="0.25">
      <c r="B116" s="813"/>
      <c r="D116" s="3"/>
      <c r="E116" s="827" t="s">
        <v>604</v>
      </c>
      <c r="H116" s="357"/>
      <c r="M116" s="814">
        <f t="shared" si="86"/>
        <v>0</v>
      </c>
      <c r="O116" s="1824">
        <v>0</v>
      </c>
      <c r="P116" s="1824">
        <v>0</v>
      </c>
      <c r="Q116" s="1824">
        <v>0.5</v>
      </c>
      <c r="R116" s="1824">
        <v>0.5</v>
      </c>
      <c r="S116" s="1824">
        <v>0</v>
      </c>
      <c r="T116" s="1824">
        <v>0</v>
      </c>
      <c r="U116" s="1824">
        <v>0</v>
      </c>
      <c r="V116" s="1824">
        <v>0</v>
      </c>
      <c r="W116" s="1824">
        <v>0</v>
      </c>
      <c r="X116" s="1824">
        <v>0</v>
      </c>
      <c r="Z116" s="637">
        <f t="shared" si="89"/>
        <v>1</v>
      </c>
      <c r="AB116" s="23">
        <f t="shared" si="98"/>
        <v>0</v>
      </c>
      <c r="AC116" s="23">
        <f t="shared" si="99"/>
        <v>0</v>
      </c>
      <c r="AD116" s="23">
        <f t="shared" si="100"/>
        <v>0</v>
      </c>
      <c r="AE116" s="23">
        <f t="shared" si="101"/>
        <v>0</v>
      </c>
      <c r="AF116" s="23">
        <f t="shared" si="102"/>
        <v>0</v>
      </c>
      <c r="AG116" s="23">
        <f t="shared" si="103"/>
        <v>0</v>
      </c>
      <c r="AH116" s="23">
        <f t="shared" si="88"/>
        <v>0</v>
      </c>
      <c r="AI116" s="23">
        <f t="shared" si="88"/>
        <v>0</v>
      </c>
      <c r="AJ116" s="23">
        <f t="shared" si="88"/>
        <v>0</v>
      </c>
      <c r="AK116" s="23">
        <f t="shared" si="88"/>
        <v>0</v>
      </c>
      <c r="AL116" s="23"/>
      <c r="AM116" s="23">
        <f t="shared" si="90"/>
        <v>0</v>
      </c>
    </row>
    <row r="117" spans="2:39" ht="15" x14ac:dyDescent="0.25">
      <c r="B117" s="813"/>
      <c r="D117" s="3"/>
      <c r="E117" s="827" t="s">
        <v>604</v>
      </c>
      <c r="H117" s="357"/>
      <c r="M117" s="814">
        <f t="shared" si="86"/>
        <v>0</v>
      </c>
      <c r="O117" s="1824">
        <v>0</v>
      </c>
      <c r="P117" s="1824">
        <v>0</v>
      </c>
      <c r="Q117" s="1824">
        <v>0.5</v>
      </c>
      <c r="R117" s="1824">
        <v>0.5</v>
      </c>
      <c r="S117" s="1824">
        <v>0</v>
      </c>
      <c r="T117" s="1824">
        <v>0</v>
      </c>
      <c r="U117" s="1824">
        <v>0</v>
      </c>
      <c r="V117" s="1824">
        <v>0</v>
      </c>
      <c r="W117" s="1824">
        <v>0</v>
      </c>
      <c r="X117" s="1824">
        <v>0</v>
      </c>
      <c r="Z117" s="637">
        <f t="shared" si="89"/>
        <v>1</v>
      </c>
      <c r="AB117" s="23">
        <f t="shared" si="98"/>
        <v>0</v>
      </c>
      <c r="AC117" s="23">
        <f t="shared" si="99"/>
        <v>0</v>
      </c>
      <c r="AD117" s="23">
        <f t="shared" si="100"/>
        <v>0</v>
      </c>
      <c r="AE117" s="23">
        <f t="shared" si="101"/>
        <v>0</v>
      </c>
      <c r="AF117" s="23">
        <f t="shared" si="102"/>
        <v>0</v>
      </c>
      <c r="AG117" s="23">
        <f t="shared" si="103"/>
        <v>0</v>
      </c>
      <c r="AH117" s="23">
        <f t="shared" si="88"/>
        <v>0</v>
      </c>
      <c r="AI117" s="23">
        <f t="shared" si="88"/>
        <v>0</v>
      </c>
      <c r="AJ117" s="23">
        <f t="shared" si="88"/>
        <v>0</v>
      </c>
      <c r="AK117" s="23">
        <f t="shared" si="88"/>
        <v>0</v>
      </c>
      <c r="AL117" s="23"/>
      <c r="AM117" s="23">
        <f t="shared" si="90"/>
        <v>0</v>
      </c>
    </row>
    <row r="118" spans="2:39" ht="15" x14ac:dyDescent="0.25">
      <c r="B118" s="813"/>
      <c r="C118" t="s">
        <v>605</v>
      </c>
      <c r="D118" s="3" t="str">
        <f t="shared" ref="D118:D123" si="104">+D25</f>
        <v xml:space="preserve"> </v>
      </c>
      <c r="E118" s="9">
        <f t="shared" ref="E118:E126" si="105">E25</f>
        <v>0</v>
      </c>
      <c r="M118" s="814">
        <f t="shared" si="86"/>
        <v>0</v>
      </c>
      <c r="O118" s="1824">
        <v>0</v>
      </c>
      <c r="P118" s="1824">
        <v>0</v>
      </c>
      <c r="Q118" s="1824">
        <v>0.5</v>
      </c>
      <c r="R118" s="1824">
        <v>0.5</v>
      </c>
      <c r="S118" s="1824">
        <v>0</v>
      </c>
      <c r="T118" s="1824">
        <v>0</v>
      </c>
      <c r="U118" s="1824">
        <v>0</v>
      </c>
      <c r="V118" s="1824">
        <v>0</v>
      </c>
      <c r="W118" s="1824">
        <v>0</v>
      </c>
      <c r="X118" s="1824">
        <v>0</v>
      </c>
      <c r="Z118" s="637">
        <f t="shared" si="89"/>
        <v>1</v>
      </c>
      <c r="AB118" s="23">
        <f t="shared" si="98"/>
        <v>0</v>
      </c>
      <c r="AC118" s="23">
        <f t="shared" si="99"/>
        <v>0</v>
      </c>
      <c r="AD118" s="23">
        <f t="shared" si="100"/>
        <v>0</v>
      </c>
      <c r="AE118" s="23">
        <f t="shared" si="101"/>
        <v>0</v>
      </c>
      <c r="AF118" s="23">
        <f t="shared" si="102"/>
        <v>0</v>
      </c>
      <c r="AG118" s="23">
        <f t="shared" si="103"/>
        <v>0</v>
      </c>
      <c r="AH118" s="23">
        <f t="shared" si="88"/>
        <v>0</v>
      </c>
      <c r="AI118" s="23">
        <f t="shared" si="88"/>
        <v>0</v>
      </c>
      <c r="AJ118" s="23">
        <f t="shared" si="88"/>
        <v>0</v>
      </c>
      <c r="AK118" s="23">
        <f t="shared" si="88"/>
        <v>0</v>
      </c>
      <c r="AL118" s="23"/>
      <c r="AM118" s="23">
        <f t="shared" si="90"/>
        <v>0</v>
      </c>
    </row>
    <row r="119" spans="2:39" ht="15" x14ac:dyDescent="0.25">
      <c r="B119" s="813"/>
      <c r="D119" s="3" t="str">
        <f t="shared" si="104"/>
        <v>OH work</v>
      </c>
      <c r="E119" s="9" t="str">
        <f t="shared" si="105"/>
        <v>OS</v>
      </c>
      <c r="H119" s="814">
        <f>+'OH Constr'!AN261</f>
        <v>0</v>
      </c>
      <c r="M119" s="814">
        <f t="shared" si="86"/>
        <v>0</v>
      </c>
      <c r="O119" s="1824">
        <v>0</v>
      </c>
      <c r="P119" s="1824">
        <v>0</v>
      </c>
      <c r="Q119" s="1824">
        <v>0.5</v>
      </c>
      <c r="R119" s="1824">
        <v>0.5</v>
      </c>
      <c r="S119" s="1824">
        <v>0</v>
      </c>
      <c r="T119" s="1824">
        <v>0</v>
      </c>
      <c r="U119" s="1824">
        <v>0</v>
      </c>
      <c r="V119" s="1824">
        <v>0</v>
      </c>
      <c r="W119" s="1824">
        <v>0</v>
      </c>
      <c r="X119" s="1824">
        <v>0</v>
      </c>
      <c r="Z119" s="637">
        <f t="shared" si="89"/>
        <v>1</v>
      </c>
      <c r="AB119" s="23">
        <f t="shared" si="98"/>
        <v>0</v>
      </c>
      <c r="AC119" s="23">
        <f t="shared" si="99"/>
        <v>0</v>
      </c>
      <c r="AD119" s="23">
        <f t="shared" si="100"/>
        <v>0</v>
      </c>
      <c r="AE119" s="23">
        <f t="shared" si="101"/>
        <v>0</v>
      </c>
      <c r="AF119" s="23">
        <f t="shared" si="102"/>
        <v>0</v>
      </c>
      <c r="AG119" s="23">
        <f t="shared" si="103"/>
        <v>0</v>
      </c>
      <c r="AH119" s="23">
        <f t="shared" si="88"/>
        <v>0</v>
      </c>
      <c r="AI119" s="23">
        <f t="shared" si="88"/>
        <v>0</v>
      </c>
      <c r="AJ119" s="23">
        <f t="shared" si="88"/>
        <v>0</v>
      </c>
      <c r="AK119" s="23">
        <f t="shared" si="88"/>
        <v>0</v>
      </c>
      <c r="AL119" s="23"/>
      <c r="AM119" s="23">
        <f t="shared" si="90"/>
        <v>0</v>
      </c>
    </row>
    <row r="120" spans="2:39" ht="15" x14ac:dyDescent="0.25">
      <c r="B120" s="813"/>
      <c r="D120" s="3" t="str">
        <f t="shared" si="104"/>
        <v>115kv UG HPFF</v>
      </c>
      <c r="E120" s="9" t="str">
        <f t="shared" si="105"/>
        <v>OS</v>
      </c>
      <c r="H120" s="819">
        <f>+'115 kV &amp; 345 kV HPFF'!AN79</f>
        <v>0</v>
      </c>
      <c r="M120" s="814">
        <f t="shared" si="86"/>
        <v>0</v>
      </c>
      <c r="O120" s="1824">
        <v>0</v>
      </c>
      <c r="P120" s="1824">
        <v>0</v>
      </c>
      <c r="Q120" s="1824">
        <v>0.5</v>
      </c>
      <c r="R120" s="1824">
        <v>0.5</v>
      </c>
      <c r="S120" s="1824">
        <v>0</v>
      </c>
      <c r="T120" s="1824">
        <v>0</v>
      </c>
      <c r="U120" s="1824">
        <v>0</v>
      </c>
      <c r="V120" s="1824">
        <v>0</v>
      </c>
      <c r="W120" s="1824">
        <v>0</v>
      </c>
      <c r="X120" s="1824">
        <v>0</v>
      </c>
      <c r="Z120" s="637">
        <f t="shared" si="89"/>
        <v>1</v>
      </c>
      <c r="AB120" s="23">
        <f t="shared" si="98"/>
        <v>0</v>
      </c>
      <c r="AC120" s="23">
        <f t="shared" si="99"/>
        <v>0</v>
      </c>
      <c r="AD120" s="23">
        <f t="shared" si="100"/>
        <v>0</v>
      </c>
      <c r="AE120" s="23">
        <f t="shared" si="101"/>
        <v>0</v>
      </c>
      <c r="AF120" s="23">
        <f t="shared" si="102"/>
        <v>0</v>
      </c>
      <c r="AG120" s="23">
        <f t="shared" si="103"/>
        <v>0</v>
      </c>
      <c r="AH120" s="23">
        <f t="shared" si="88"/>
        <v>0</v>
      </c>
      <c r="AI120" s="23">
        <f t="shared" si="88"/>
        <v>0</v>
      </c>
      <c r="AJ120" s="23">
        <f t="shared" si="88"/>
        <v>0</v>
      </c>
      <c r="AK120" s="23">
        <f t="shared" si="88"/>
        <v>0</v>
      </c>
      <c r="AL120" s="23"/>
      <c r="AM120" s="23">
        <f t="shared" si="90"/>
        <v>0</v>
      </c>
    </row>
    <row r="121" spans="2:39" ht="15" x14ac:dyDescent="0.25">
      <c r="B121" s="813"/>
      <c r="D121" s="3" t="str">
        <f t="shared" si="104"/>
        <v>115kv UG XLPE</v>
      </c>
      <c r="E121" s="9" t="str">
        <f t="shared" si="105"/>
        <v>OS</v>
      </c>
      <c r="H121" s="357">
        <f>+'115 kV Und XLPE'!AN82</f>
        <v>0</v>
      </c>
      <c r="M121" s="814">
        <f t="shared" si="86"/>
        <v>0</v>
      </c>
      <c r="O121" s="1824">
        <v>0</v>
      </c>
      <c r="P121" s="1824">
        <v>0</v>
      </c>
      <c r="Q121" s="1824">
        <v>0.5</v>
      </c>
      <c r="R121" s="1824">
        <v>0.5</v>
      </c>
      <c r="S121" s="1824">
        <v>0</v>
      </c>
      <c r="T121" s="1824">
        <v>0</v>
      </c>
      <c r="U121" s="1824">
        <v>0</v>
      </c>
      <c r="V121" s="1824">
        <v>0</v>
      </c>
      <c r="W121" s="1824">
        <v>0</v>
      </c>
      <c r="X121" s="1824">
        <v>0</v>
      </c>
      <c r="Z121" s="637">
        <f t="shared" si="89"/>
        <v>1</v>
      </c>
      <c r="AB121" s="23">
        <f t="shared" si="98"/>
        <v>0</v>
      </c>
      <c r="AC121" s="23">
        <f t="shared" si="99"/>
        <v>0</v>
      </c>
      <c r="AD121" s="23">
        <f t="shared" si="100"/>
        <v>0</v>
      </c>
      <c r="AE121" s="23">
        <f t="shared" si="101"/>
        <v>0</v>
      </c>
      <c r="AF121" s="23">
        <f t="shared" si="102"/>
        <v>0</v>
      </c>
      <c r="AG121" s="23">
        <f t="shared" si="103"/>
        <v>0</v>
      </c>
      <c r="AH121" s="23">
        <f t="shared" ref="AH121:AK132" si="106">+$M121*U121</f>
        <v>0</v>
      </c>
      <c r="AI121" s="23">
        <f t="shared" si="106"/>
        <v>0</v>
      </c>
      <c r="AJ121" s="23">
        <f t="shared" si="106"/>
        <v>0</v>
      </c>
      <c r="AK121" s="23">
        <f t="shared" si="106"/>
        <v>0</v>
      </c>
      <c r="AL121" s="23"/>
      <c r="AM121" s="23">
        <f t="shared" si="90"/>
        <v>0</v>
      </c>
    </row>
    <row r="122" spans="2:39" ht="15" x14ac:dyDescent="0.25">
      <c r="B122" s="813"/>
      <c r="D122" s="3" t="str">
        <f t="shared" si="104"/>
        <v>345 UG XLPE</v>
      </c>
      <c r="E122" s="9" t="str">
        <f t="shared" si="105"/>
        <v>OS</v>
      </c>
      <c r="H122" s="357">
        <f>+'345 kV Und XLPE'!AN82</f>
        <v>0</v>
      </c>
      <c r="M122" s="814">
        <f t="shared" si="86"/>
        <v>0</v>
      </c>
      <c r="O122" s="1824">
        <v>0</v>
      </c>
      <c r="P122" s="1824">
        <v>0</v>
      </c>
      <c r="Q122" s="1824">
        <v>0.5</v>
      </c>
      <c r="R122" s="1824">
        <v>0.5</v>
      </c>
      <c r="S122" s="1824">
        <v>0</v>
      </c>
      <c r="T122" s="1824">
        <v>0</v>
      </c>
      <c r="U122" s="1824">
        <v>0</v>
      </c>
      <c r="V122" s="1824">
        <v>0</v>
      </c>
      <c r="W122" s="1824">
        <v>0</v>
      </c>
      <c r="X122" s="1824">
        <v>0</v>
      </c>
      <c r="Z122" s="637">
        <f t="shared" si="89"/>
        <v>1</v>
      </c>
      <c r="AB122" s="23">
        <f t="shared" si="98"/>
        <v>0</v>
      </c>
      <c r="AC122" s="23">
        <f t="shared" si="99"/>
        <v>0</v>
      </c>
      <c r="AD122" s="23">
        <f t="shared" si="100"/>
        <v>0</v>
      </c>
      <c r="AE122" s="23">
        <f t="shared" si="101"/>
        <v>0</v>
      </c>
      <c r="AF122" s="23">
        <f t="shared" si="102"/>
        <v>0</v>
      </c>
      <c r="AG122" s="23">
        <f t="shared" si="103"/>
        <v>0</v>
      </c>
      <c r="AH122" s="23">
        <f t="shared" si="106"/>
        <v>0</v>
      </c>
      <c r="AI122" s="23">
        <f t="shared" si="106"/>
        <v>0</v>
      </c>
      <c r="AJ122" s="23">
        <f t="shared" si="106"/>
        <v>0</v>
      </c>
      <c r="AK122" s="23">
        <f t="shared" si="106"/>
        <v>0</v>
      </c>
      <c r="AL122" s="23"/>
      <c r="AM122" s="23">
        <f t="shared" si="90"/>
        <v>0</v>
      </c>
    </row>
    <row r="123" spans="2:39" ht="15" x14ac:dyDescent="0.25">
      <c r="B123" s="813"/>
      <c r="D123" s="3" t="str">
        <f t="shared" si="104"/>
        <v>Substation Const</v>
      </c>
      <c r="E123" s="9" t="str">
        <f t="shared" si="105"/>
        <v>OS</v>
      </c>
      <c r="H123" s="357">
        <f>+'Substation Const'!AN621</f>
        <v>0</v>
      </c>
      <c r="M123" s="814">
        <f t="shared" si="86"/>
        <v>0</v>
      </c>
      <c r="O123" s="1824">
        <v>0</v>
      </c>
      <c r="P123" s="1824">
        <v>0</v>
      </c>
      <c r="Q123" s="1824">
        <v>0.5</v>
      </c>
      <c r="R123" s="1824">
        <v>0.5</v>
      </c>
      <c r="S123" s="1824">
        <v>0</v>
      </c>
      <c r="T123" s="1824">
        <v>0</v>
      </c>
      <c r="U123" s="1824">
        <v>0</v>
      </c>
      <c r="V123" s="1824">
        <v>0</v>
      </c>
      <c r="W123" s="1824">
        <v>0</v>
      </c>
      <c r="X123" s="1824">
        <v>0</v>
      </c>
      <c r="Z123" s="637">
        <f t="shared" si="89"/>
        <v>1</v>
      </c>
      <c r="AB123" s="23">
        <f t="shared" si="98"/>
        <v>0</v>
      </c>
      <c r="AC123" s="23">
        <f t="shared" si="99"/>
        <v>0</v>
      </c>
      <c r="AD123" s="23">
        <f t="shared" si="100"/>
        <v>0</v>
      </c>
      <c r="AE123" s="23">
        <f t="shared" si="101"/>
        <v>0</v>
      </c>
      <c r="AF123" s="23">
        <f t="shared" si="102"/>
        <v>0</v>
      </c>
      <c r="AG123" s="23">
        <f t="shared" si="103"/>
        <v>0</v>
      </c>
      <c r="AH123" s="23">
        <f t="shared" si="106"/>
        <v>0</v>
      </c>
      <c r="AI123" s="23">
        <f t="shared" si="106"/>
        <v>0</v>
      </c>
      <c r="AJ123" s="23">
        <f t="shared" si="106"/>
        <v>0</v>
      </c>
      <c r="AK123" s="23">
        <f t="shared" si="106"/>
        <v>0</v>
      </c>
      <c r="AL123" s="23"/>
      <c r="AM123" s="23">
        <f t="shared" si="90"/>
        <v>0</v>
      </c>
    </row>
    <row r="124" spans="2:39" ht="15" x14ac:dyDescent="0.25">
      <c r="B124" s="813"/>
      <c r="D124" s="3" t="s">
        <v>1630</v>
      </c>
      <c r="E124" s="9" t="str">
        <f t="shared" si="105"/>
        <v>OS</v>
      </c>
      <c r="H124" s="357">
        <f>+Substation_D!AN134</f>
        <v>0</v>
      </c>
      <c r="M124" s="814">
        <f t="shared" ref="M124" si="107">SUM(H124:L124)</f>
        <v>0</v>
      </c>
      <c r="O124" s="1824">
        <v>0</v>
      </c>
      <c r="P124" s="1824">
        <v>0</v>
      </c>
      <c r="Q124" s="1824">
        <v>0.5</v>
      </c>
      <c r="R124" s="1824">
        <v>0.5</v>
      </c>
      <c r="S124" s="1824">
        <v>0</v>
      </c>
      <c r="T124" s="1824">
        <v>0</v>
      </c>
      <c r="U124" s="1824">
        <v>0</v>
      </c>
      <c r="V124" s="1824">
        <v>0</v>
      </c>
      <c r="W124" s="1824">
        <v>0</v>
      </c>
      <c r="X124" s="1824">
        <v>0</v>
      </c>
      <c r="Z124" s="637">
        <f t="shared" si="89"/>
        <v>1</v>
      </c>
      <c r="AB124" s="23">
        <f t="shared" ref="AB124" si="108">+$M124*O124</f>
        <v>0</v>
      </c>
      <c r="AC124" s="23">
        <f t="shared" ref="AC124" si="109">+$M124*P124</f>
        <v>0</v>
      </c>
      <c r="AD124" s="23">
        <f t="shared" ref="AD124" si="110">+$M124*Q124</f>
        <v>0</v>
      </c>
      <c r="AE124" s="23">
        <f t="shared" ref="AE124" si="111">+$M124*R124</f>
        <v>0</v>
      </c>
      <c r="AF124" s="23">
        <f t="shared" ref="AF124" si="112">+$M124*S124</f>
        <v>0</v>
      </c>
      <c r="AG124" s="23">
        <f t="shared" ref="AG124" si="113">+$M124*T124</f>
        <v>0</v>
      </c>
      <c r="AH124" s="23">
        <f t="shared" si="106"/>
        <v>0</v>
      </c>
      <c r="AI124" s="23">
        <f t="shared" si="106"/>
        <v>0</v>
      </c>
      <c r="AJ124" s="23">
        <f t="shared" si="106"/>
        <v>0</v>
      </c>
      <c r="AK124" s="23">
        <f t="shared" si="106"/>
        <v>0</v>
      </c>
      <c r="AL124" s="23"/>
      <c r="AM124" s="23">
        <f t="shared" si="90"/>
        <v>0</v>
      </c>
    </row>
    <row r="125" spans="2:39" ht="15" x14ac:dyDescent="0.25">
      <c r="B125" s="813"/>
      <c r="D125" s="3" t="str">
        <f>+D32</f>
        <v>Removals(see separate tab)</v>
      </c>
      <c r="E125" s="9" t="str">
        <f t="shared" si="105"/>
        <v>OS</v>
      </c>
      <c r="H125" s="357">
        <f>+Removals!AN173*0</f>
        <v>0</v>
      </c>
      <c r="M125" s="814">
        <f t="shared" si="86"/>
        <v>0</v>
      </c>
      <c r="O125" s="1824">
        <v>0</v>
      </c>
      <c r="P125" s="1824">
        <v>0</v>
      </c>
      <c r="Q125" s="1824">
        <v>0.5</v>
      </c>
      <c r="R125" s="1824">
        <v>0.5</v>
      </c>
      <c r="S125" s="1824">
        <v>0</v>
      </c>
      <c r="T125" s="1824">
        <v>0</v>
      </c>
      <c r="U125" s="1824">
        <v>0</v>
      </c>
      <c r="V125" s="1824">
        <v>0</v>
      </c>
      <c r="W125" s="1824">
        <v>0</v>
      </c>
      <c r="X125" s="1824">
        <v>0</v>
      </c>
      <c r="Z125" s="637">
        <f t="shared" si="89"/>
        <v>1</v>
      </c>
      <c r="AB125" s="23">
        <f t="shared" ref="AB125:AG131" si="114">+$M125*O125</f>
        <v>0</v>
      </c>
      <c r="AC125" s="23">
        <f t="shared" si="114"/>
        <v>0</v>
      </c>
      <c r="AD125" s="23">
        <f t="shared" si="114"/>
        <v>0</v>
      </c>
      <c r="AE125" s="23">
        <f t="shared" si="114"/>
        <v>0</v>
      </c>
      <c r="AF125" s="23">
        <f t="shared" si="114"/>
        <v>0</v>
      </c>
      <c r="AG125" s="23">
        <f t="shared" si="114"/>
        <v>0</v>
      </c>
      <c r="AH125" s="23">
        <f t="shared" si="106"/>
        <v>0</v>
      </c>
      <c r="AI125" s="23">
        <f t="shared" si="106"/>
        <v>0</v>
      </c>
      <c r="AJ125" s="23">
        <f t="shared" si="106"/>
        <v>0</v>
      </c>
      <c r="AK125" s="23">
        <f t="shared" si="106"/>
        <v>0</v>
      </c>
      <c r="AL125" s="23"/>
      <c r="AM125" s="23">
        <f t="shared" si="90"/>
        <v>0</v>
      </c>
    </row>
    <row r="126" spans="2:39" ht="15" x14ac:dyDescent="0.25">
      <c r="B126" s="813"/>
      <c r="D126" s="3" t="str">
        <f>+D33</f>
        <v>Additional  Est Input</v>
      </c>
      <c r="E126" s="9" t="str">
        <f t="shared" si="105"/>
        <v>OS</v>
      </c>
      <c r="H126" s="357">
        <f>+'Additional  Est Input'!AN153</f>
        <v>0</v>
      </c>
      <c r="M126" s="814">
        <f t="shared" si="86"/>
        <v>0</v>
      </c>
      <c r="O126" s="1824">
        <v>0</v>
      </c>
      <c r="P126" s="1824">
        <v>0</v>
      </c>
      <c r="Q126" s="1824">
        <v>0.5</v>
      </c>
      <c r="R126" s="1824">
        <v>0.5</v>
      </c>
      <c r="S126" s="1824">
        <v>0</v>
      </c>
      <c r="T126" s="1824">
        <v>0</v>
      </c>
      <c r="U126" s="1824">
        <v>0</v>
      </c>
      <c r="V126" s="1824">
        <v>0</v>
      </c>
      <c r="W126" s="1824">
        <v>0</v>
      </c>
      <c r="X126" s="1824">
        <v>0</v>
      </c>
      <c r="Z126" s="637">
        <f t="shared" si="89"/>
        <v>1</v>
      </c>
      <c r="AB126" s="23">
        <f t="shared" si="114"/>
        <v>0</v>
      </c>
      <c r="AC126" s="23">
        <f t="shared" si="114"/>
        <v>0</v>
      </c>
      <c r="AD126" s="23">
        <f t="shared" si="114"/>
        <v>0</v>
      </c>
      <c r="AE126" s="23">
        <f t="shared" si="114"/>
        <v>0</v>
      </c>
      <c r="AF126" s="23">
        <f t="shared" si="114"/>
        <v>0</v>
      </c>
      <c r="AG126" s="23">
        <f t="shared" si="114"/>
        <v>0</v>
      </c>
      <c r="AH126" s="23">
        <f t="shared" si="106"/>
        <v>0</v>
      </c>
      <c r="AI126" s="23">
        <f t="shared" si="106"/>
        <v>0</v>
      </c>
      <c r="AJ126" s="23">
        <f t="shared" si="106"/>
        <v>0</v>
      </c>
      <c r="AK126" s="23">
        <f t="shared" si="106"/>
        <v>0</v>
      </c>
      <c r="AL126" s="23"/>
      <c r="AM126" s="23">
        <f t="shared" si="90"/>
        <v>0</v>
      </c>
    </row>
    <row r="127" spans="2:39" ht="15" x14ac:dyDescent="0.25">
      <c r="B127" s="813"/>
      <c r="D127" s="3" t="str">
        <f>+D113</f>
        <v>Survey Engineering</v>
      </c>
      <c r="E127" s="827" t="s">
        <v>605</v>
      </c>
      <c r="H127" s="357">
        <f>'Eng &amp; Proj Supp'!AN73</f>
        <v>0</v>
      </c>
      <c r="M127" s="814">
        <f t="shared" si="86"/>
        <v>0</v>
      </c>
      <c r="O127" s="1824">
        <v>0</v>
      </c>
      <c r="P127" s="1824">
        <v>0</v>
      </c>
      <c r="Q127" s="1824">
        <v>0.5</v>
      </c>
      <c r="R127" s="1824">
        <v>0.5</v>
      </c>
      <c r="S127" s="1824">
        <v>0</v>
      </c>
      <c r="T127" s="1824">
        <v>0</v>
      </c>
      <c r="U127" s="1824">
        <v>0</v>
      </c>
      <c r="V127" s="1824">
        <v>0</v>
      </c>
      <c r="W127" s="1824">
        <v>0</v>
      </c>
      <c r="X127" s="1824">
        <v>0</v>
      </c>
      <c r="Z127" s="637">
        <f t="shared" si="89"/>
        <v>1</v>
      </c>
      <c r="AB127" s="23">
        <f t="shared" si="114"/>
        <v>0</v>
      </c>
      <c r="AC127" s="23">
        <f t="shared" si="114"/>
        <v>0</v>
      </c>
      <c r="AD127" s="23">
        <f t="shared" si="114"/>
        <v>0</v>
      </c>
      <c r="AE127" s="23">
        <f t="shared" si="114"/>
        <v>0</v>
      </c>
      <c r="AF127" s="23">
        <f t="shared" si="114"/>
        <v>0</v>
      </c>
      <c r="AG127" s="23">
        <f t="shared" si="114"/>
        <v>0</v>
      </c>
      <c r="AH127" s="23">
        <f t="shared" si="106"/>
        <v>0</v>
      </c>
      <c r="AI127" s="23">
        <f t="shared" si="106"/>
        <v>0</v>
      </c>
      <c r="AJ127" s="23">
        <f t="shared" si="106"/>
        <v>0</v>
      </c>
      <c r="AK127" s="23">
        <f t="shared" si="106"/>
        <v>0</v>
      </c>
      <c r="AL127" s="23"/>
      <c r="AM127" s="23">
        <f t="shared" si="90"/>
        <v>0</v>
      </c>
    </row>
    <row r="128" spans="2:39" ht="15" x14ac:dyDescent="0.25">
      <c r="B128" s="813"/>
      <c r="D128" s="3" t="str">
        <f>+D114</f>
        <v>Environmental Permitting</v>
      </c>
      <c r="E128" s="827" t="s">
        <v>605</v>
      </c>
      <c r="H128" s="357">
        <f>'Eng &amp; Proj Supp'!AN162</f>
        <v>1500</v>
      </c>
      <c r="M128" s="814">
        <f t="shared" si="86"/>
        <v>1500</v>
      </c>
      <c r="O128" s="1824">
        <v>0</v>
      </c>
      <c r="P128" s="1824">
        <v>0</v>
      </c>
      <c r="Q128" s="1824">
        <v>0.5</v>
      </c>
      <c r="R128" s="1824">
        <v>0.5</v>
      </c>
      <c r="S128" s="1824">
        <v>0</v>
      </c>
      <c r="T128" s="1824">
        <v>0</v>
      </c>
      <c r="U128" s="1824">
        <v>0</v>
      </c>
      <c r="V128" s="1824">
        <v>0</v>
      </c>
      <c r="W128" s="1824">
        <v>0</v>
      </c>
      <c r="X128" s="1824">
        <v>0</v>
      </c>
      <c r="Z128" s="637">
        <f t="shared" si="89"/>
        <v>1</v>
      </c>
      <c r="AB128" s="23">
        <f t="shared" si="114"/>
        <v>0</v>
      </c>
      <c r="AC128" s="23">
        <f t="shared" si="114"/>
        <v>0</v>
      </c>
      <c r="AD128" s="23">
        <f t="shared" si="114"/>
        <v>750</v>
      </c>
      <c r="AE128" s="23">
        <f t="shared" si="114"/>
        <v>750</v>
      </c>
      <c r="AF128" s="23">
        <f t="shared" si="114"/>
        <v>0</v>
      </c>
      <c r="AG128" s="23">
        <f t="shared" si="114"/>
        <v>0</v>
      </c>
      <c r="AH128" s="23">
        <f t="shared" si="106"/>
        <v>0</v>
      </c>
      <c r="AI128" s="23">
        <f t="shared" si="106"/>
        <v>0</v>
      </c>
      <c r="AJ128" s="23">
        <f t="shared" si="106"/>
        <v>0</v>
      </c>
      <c r="AK128" s="23">
        <f t="shared" si="106"/>
        <v>0</v>
      </c>
      <c r="AL128" s="23"/>
      <c r="AM128" s="23">
        <f t="shared" si="90"/>
        <v>1500</v>
      </c>
    </row>
    <row r="129" spans="2:42" ht="15" x14ac:dyDescent="0.25">
      <c r="B129" s="813"/>
      <c r="D129" s="3">
        <f>+D115</f>
        <v>0</v>
      </c>
      <c r="E129" s="827" t="s">
        <v>605</v>
      </c>
      <c r="H129" s="357"/>
      <c r="M129" s="814">
        <f t="shared" si="86"/>
        <v>0</v>
      </c>
      <c r="O129" s="1824">
        <v>0</v>
      </c>
      <c r="P129" s="1824">
        <v>0</v>
      </c>
      <c r="Q129" s="1824">
        <v>0.5</v>
      </c>
      <c r="R129" s="1824">
        <v>0.5</v>
      </c>
      <c r="S129" s="1824">
        <v>0</v>
      </c>
      <c r="T129" s="1824">
        <v>0</v>
      </c>
      <c r="U129" s="1824">
        <v>0</v>
      </c>
      <c r="V129" s="1824">
        <v>0</v>
      </c>
      <c r="W129" s="1824">
        <v>0</v>
      </c>
      <c r="X129" s="1824">
        <v>0</v>
      </c>
      <c r="Z129" s="637">
        <f t="shared" si="89"/>
        <v>1</v>
      </c>
      <c r="AB129" s="23">
        <f t="shared" si="114"/>
        <v>0</v>
      </c>
      <c r="AC129" s="23">
        <f t="shared" si="114"/>
        <v>0</v>
      </c>
      <c r="AD129" s="23">
        <f t="shared" si="114"/>
        <v>0</v>
      </c>
      <c r="AE129" s="23">
        <f t="shared" si="114"/>
        <v>0</v>
      </c>
      <c r="AF129" s="23">
        <f t="shared" si="114"/>
        <v>0</v>
      </c>
      <c r="AG129" s="23">
        <f t="shared" si="114"/>
        <v>0</v>
      </c>
      <c r="AH129" s="23">
        <f t="shared" si="106"/>
        <v>0</v>
      </c>
      <c r="AI129" s="23">
        <f t="shared" si="106"/>
        <v>0</v>
      </c>
      <c r="AJ129" s="23">
        <f t="shared" si="106"/>
        <v>0</v>
      </c>
      <c r="AK129" s="23">
        <f t="shared" si="106"/>
        <v>0</v>
      </c>
      <c r="AL129" s="23"/>
      <c r="AM129" s="23">
        <f t="shared" si="90"/>
        <v>0</v>
      </c>
    </row>
    <row r="130" spans="2:42" ht="15" x14ac:dyDescent="0.25">
      <c r="B130" s="813"/>
      <c r="D130" s="3">
        <f>+D116</f>
        <v>0</v>
      </c>
      <c r="E130" s="827" t="s">
        <v>605</v>
      </c>
      <c r="H130" s="357"/>
      <c r="M130" s="814">
        <f t="shared" si="86"/>
        <v>0</v>
      </c>
      <c r="O130" s="1824">
        <v>0</v>
      </c>
      <c r="P130" s="1824">
        <v>0</v>
      </c>
      <c r="Q130" s="1824">
        <v>0.5</v>
      </c>
      <c r="R130" s="1824">
        <v>0.5</v>
      </c>
      <c r="S130" s="1824">
        <v>0</v>
      </c>
      <c r="T130" s="1824">
        <v>0</v>
      </c>
      <c r="U130" s="1824">
        <v>0</v>
      </c>
      <c r="V130" s="1824">
        <v>0</v>
      </c>
      <c r="W130" s="1824">
        <v>0</v>
      </c>
      <c r="X130" s="1824">
        <v>0</v>
      </c>
      <c r="Z130" s="637">
        <f t="shared" si="89"/>
        <v>1</v>
      </c>
      <c r="AB130" s="23">
        <f t="shared" si="114"/>
        <v>0</v>
      </c>
      <c r="AC130" s="23">
        <f t="shared" si="114"/>
        <v>0</v>
      </c>
      <c r="AD130" s="23">
        <f t="shared" si="114"/>
        <v>0</v>
      </c>
      <c r="AE130" s="23">
        <f t="shared" si="114"/>
        <v>0</v>
      </c>
      <c r="AF130" s="23">
        <f t="shared" si="114"/>
        <v>0</v>
      </c>
      <c r="AG130" s="23">
        <f t="shared" si="114"/>
        <v>0</v>
      </c>
      <c r="AH130" s="23">
        <f t="shared" si="106"/>
        <v>0</v>
      </c>
      <c r="AI130" s="23">
        <f t="shared" si="106"/>
        <v>0</v>
      </c>
      <c r="AJ130" s="23">
        <f t="shared" si="106"/>
        <v>0</v>
      </c>
      <c r="AK130" s="23">
        <f t="shared" si="106"/>
        <v>0</v>
      </c>
      <c r="AL130" s="23"/>
      <c r="AM130" s="23">
        <f t="shared" si="90"/>
        <v>0</v>
      </c>
    </row>
    <row r="131" spans="2:42" ht="15" x14ac:dyDescent="0.25">
      <c r="B131" s="813"/>
      <c r="D131" s="3">
        <f>+D117</f>
        <v>0</v>
      </c>
      <c r="E131" s="827" t="s">
        <v>605</v>
      </c>
      <c r="H131" s="357"/>
      <c r="M131" s="814">
        <f t="shared" si="86"/>
        <v>0</v>
      </c>
      <c r="O131" s="1824">
        <v>0</v>
      </c>
      <c r="P131" s="1824">
        <v>0</v>
      </c>
      <c r="Q131" s="1824">
        <v>0.5</v>
      </c>
      <c r="R131" s="1824">
        <v>0.5</v>
      </c>
      <c r="S131" s="1824">
        <v>0</v>
      </c>
      <c r="T131" s="1824">
        <v>0</v>
      </c>
      <c r="U131" s="1824">
        <v>0</v>
      </c>
      <c r="V131" s="1824">
        <v>0</v>
      </c>
      <c r="W131" s="1824">
        <v>0</v>
      </c>
      <c r="X131" s="1824">
        <v>0</v>
      </c>
      <c r="Z131" s="637">
        <f t="shared" si="89"/>
        <v>1</v>
      </c>
      <c r="AB131" s="23">
        <f t="shared" si="114"/>
        <v>0</v>
      </c>
      <c r="AC131" s="23">
        <f t="shared" si="114"/>
        <v>0</v>
      </c>
      <c r="AD131" s="23">
        <f t="shared" si="114"/>
        <v>0</v>
      </c>
      <c r="AE131" s="23">
        <f t="shared" si="114"/>
        <v>0</v>
      </c>
      <c r="AF131" s="23">
        <f t="shared" si="114"/>
        <v>0</v>
      </c>
      <c r="AG131" s="23">
        <f t="shared" si="114"/>
        <v>0</v>
      </c>
      <c r="AH131" s="23">
        <f t="shared" si="106"/>
        <v>0</v>
      </c>
      <c r="AI131" s="23">
        <f t="shared" si="106"/>
        <v>0</v>
      </c>
      <c r="AJ131" s="23">
        <f t="shared" si="106"/>
        <v>0</v>
      </c>
      <c r="AK131" s="23">
        <f t="shared" si="106"/>
        <v>0</v>
      </c>
      <c r="AL131" s="23"/>
      <c r="AM131" s="23">
        <f t="shared" si="90"/>
        <v>0</v>
      </c>
    </row>
    <row r="132" spans="2:42" ht="15" x14ac:dyDescent="0.25">
      <c r="B132" s="813"/>
      <c r="AB132" s="23"/>
      <c r="AC132" s="23"/>
      <c r="AD132" s="23"/>
      <c r="AE132" s="23"/>
      <c r="AF132" s="23">
        <f>+$M132*S132</f>
        <v>0</v>
      </c>
      <c r="AG132" s="23">
        <f>+$M132*T132</f>
        <v>0</v>
      </c>
      <c r="AH132" s="23">
        <f t="shared" si="106"/>
        <v>0</v>
      </c>
      <c r="AI132" s="23">
        <f t="shared" si="106"/>
        <v>0</v>
      </c>
      <c r="AJ132" s="23">
        <f t="shared" si="106"/>
        <v>0</v>
      </c>
      <c r="AK132" s="23">
        <f t="shared" si="106"/>
        <v>0</v>
      </c>
      <c r="AL132" s="23"/>
      <c r="AM132" s="23"/>
    </row>
    <row r="133" spans="2:42" ht="15" x14ac:dyDescent="0.25">
      <c r="B133" s="813"/>
      <c r="AB133" s="23"/>
      <c r="AC133" s="23"/>
      <c r="AD133" s="23"/>
      <c r="AE133" s="23"/>
      <c r="AF133" s="23"/>
      <c r="AG133" s="23"/>
      <c r="AH133" s="23"/>
      <c r="AI133" s="23"/>
      <c r="AJ133" s="23"/>
      <c r="AK133" s="23"/>
      <c r="AL133" s="23"/>
      <c r="AM133" s="23"/>
    </row>
    <row r="134" spans="2:42" ht="15" x14ac:dyDescent="0.25">
      <c r="B134" s="813"/>
      <c r="C134" s="9" t="s">
        <v>615</v>
      </c>
      <c r="D134" s="9"/>
      <c r="M134" s="823">
        <f>SUM(M105:M133)</f>
        <v>18173188</v>
      </c>
      <c r="AB134" s="823">
        <f t="shared" ref="AB134:AG134" si="115">SUM(AB105:AB133)</f>
        <v>0</v>
      </c>
      <c r="AC134" s="823">
        <f t="shared" si="115"/>
        <v>0</v>
      </c>
      <c r="AD134" s="823">
        <f t="shared" si="115"/>
        <v>9086594</v>
      </c>
      <c r="AE134" s="823">
        <f t="shared" si="115"/>
        <v>9086594</v>
      </c>
      <c r="AF134" s="823">
        <f t="shared" si="115"/>
        <v>0</v>
      </c>
      <c r="AG134" s="823">
        <f t="shared" si="115"/>
        <v>0</v>
      </c>
      <c r="AH134" s="823">
        <f t="shared" ref="AH134:AK134" si="116">SUM(AH105:AH133)</f>
        <v>0</v>
      </c>
      <c r="AI134" s="823">
        <f t="shared" si="116"/>
        <v>0</v>
      </c>
      <c r="AJ134" s="823">
        <f t="shared" si="116"/>
        <v>0</v>
      </c>
      <c r="AK134" s="823">
        <f t="shared" si="116"/>
        <v>0</v>
      </c>
      <c r="AL134" s="23"/>
      <c r="AM134" s="823">
        <f>SUM(AB134:AK134)</f>
        <v>18173188</v>
      </c>
      <c r="AP134" t="s">
        <v>2556</v>
      </c>
    </row>
    <row r="135" spans="2:42" ht="7.35" customHeight="1" x14ac:dyDescent="0.25">
      <c r="B135" s="813"/>
      <c r="C135" s="9"/>
      <c r="D135" s="9"/>
      <c r="M135" s="825"/>
      <c r="AB135" s="825"/>
      <c r="AC135" s="825"/>
      <c r="AD135" s="825"/>
      <c r="AE135" s="825"/>
      <c r="AF135" s="825"/>
      <c r="AG135" s="825"/>
      <c r="AH135" s="825"/>
      <c r="AI135" s="825"/>
      <c r="AJ135" s="825"/>
      <c r="AK135" s="825"/>
      <c r="AL135" s="23"/>
      <c r="AM135" s="825"/>
    </row>
    <row r="136" spans="2:42" ht="15" x14ac:dyDescent="0.25">
      <c r="B136" s="813"/>
      <c r="C136" s="9"/>
      <c r="D136" s="9" t="s">
        <v>616</v>
      </c>
      <c r="E136" s="2" t="s">
        <v>604</v>
      </c>
      <c r="F136" s="2"/>
      <c r="G136" s="2"/>
      <c r="H136" s="23">
        <f t="shared" ref="H136:M136" si="117">SUMIF($E$105:$E$127,$E136,H105:H127)</f>
        <v>18171688</v>
      </c>
      <c r="I136" s="23">
        <f t="shared" si="117"/>
        <v>0</v>
      </c>
      <c r="J136" s="23">
        <f t="shared" si="117"/>
        <v>0</v>
      </c>
      <c r="K136" s="23">
        <f t="shared" si="117"/>
        <v>0</v>
      </c>
      <c r="L136" s="23">
        <f t="shared" si="117"/>
        <v>0</v>
      </c>
      <c r="M136" s="23">
        <f t="shared" si="117"/>
        <v>18171688</v>
      </c>
      <c r="AB136" s="23">
        <f>SUMIF($E$105:$E$131,$E136,AB105:AB131)</f>
        <v>0</v>
      </c>
      <c r="AC136" s="23">
        <f t="shared" ref="AC136:AM136" si="118">SUMIF($E$105:$E$131,$E136,AC105:AC131)</f>
        <v>0</v>
      </c>
      <c r="AD136" s="23">
        <f t="shared" si="118"/>
        <v>9085844</v>
      </c>
      <c r="AE136" s="23">
        <f t="shared" si="118"/>
        <v>9085844</v>
      </c>
      <c r="AF136" s="23">
        <f t="shared" si="118"/>
        <v>0</v>
      </c>
      <c r="AG136" s="23">
        <f t="shared" si="118"/>
        <v>0</v>
      </c>
      <c r="AH136" s="23">
        <f t="shared" ref="AH136:AK136" si="119">SUMIF($E$105:$E$131,$E136,AH105:AH131)</f>
        <v>0</v>
      </c>
      <c r="AI136" s="23">
        <f t="shared" si="119"/>
        <v>0</v>
      </c>
      <c r="AJ136" s="23">
        <f t="shared" si="119"/>
        <v>0</v>
      </c>
      <c r="AK136" s="23">
        <f t="shared" si="119"/>
        <v>0</v>
      </c>
      <c r="AL136" s="23"/>
      <c r="AM136" s="23">
        <f t="shared" si="118"/>
        <v>18171688</v>
      </c>
      <c r="AP136" t="s">
        <v>2556</v>
      </c>
    </row>
    <row r="137" spans="2:42" ht="15" x14ac:dyDescent="0.25">
      <c r="B137" s="813"/>
      <c r="C137" s="9"/>
      <c r="D137" s="9" t="s">
        <v>616</v>
      </c>
      <c r="E137" s="2" t="s">
        <v>605</v>
      </c>
      <c r="F137" s="2"/>
      <c r="G137" s="2"/>
      <c r="H137" s="23">
        <f t="shared" ref="H137:M137" si="120">SUMIF($E$105:$E$127,$E137,H105:H127)</f>
        <v>0</v>
      </c>
      <c r="I137" s="23">
        <f t="shared" si="120"/>
        <v>0</v>
      </c>
      <c r="J137" s="23">
        <f t="shared" si="120"/>
        <v>0</v>
      </c>
      <c r="K137" s="23">
        <f t="shared" si="120"/>
        <v>0</v>
      </c>
      <c r="L137" s="23">
        <f t="shared" si="120"/>
        <v>0</v>
      </c>
      <c r="M137" s="23">
        <f t="shared" si="120"/>
        <v>0</v>
      </c>
      <c r="AB137" s="23">
        <f>SUMIF($E$105:$E$131,$E137,AB105:AB131)</f>
        <v>0</v>
      </c>
      <c r="AC137" s="23">
        <f t="shared" ref="AC137:AM137" si="121">SUMIF($E$105:$E$131,$E137,AC105:AC131)</f>
        <v>0</v>
      </c>
      <c r="AD137" s="23">
        <f t="shared" si="121"/>
        <v>750</v>
      </c>
      <c r="AE137" s="23">
        <f t="shared" si="121"/>
        <v>750</v>
      </c>
      <c r="AF137" s="23">
        <f t="shared" si="121"/>
        <v>0</v>
      </c>
      <c r="AG137" s="23">
        <f t="shared" si="121"/>
        <v>0</v>
      </c>
      <c r="AH137" s="23">
        <f t="shared" ref="AH137:AK137" si="122">SUMIF($E$105:$E$131,$E137,AH105:AH131)</f>
        <v>0</v>
      </c>
      <c r="AI137" s="23">
        <f t="shared" si="122"/>
        <v>0</v>
      </c>
      <c r="AJ137" s="23">
        <f t="shared" si="122"/>
        <v>0</v>
      </c>
      <c r="AK137" s="23">
        <f t="shared" si="122"/>
        <v>0</v>
      </c>
      <c r="AL137" s="23"/>
      <c r="AM137" s="23">
        <f t="shared" si="121"/>
        <v>1500</v>
      </c>
      <c r="AN137" s="335">
        <f>+AM136+AM137</f>
        <v>18173188</v>
      </c>
      <c r="AP137" t="s">
        <v>2556</v>
      </c>
    </row>
    <row r="138" spans="2:42" ht="15" x14ac:dyDescent="0.25">
      <c r="B138" s="813"/>
    </row>
    <row r="139" spans="2:42" ht="15" x14ac:dyDescent="0.25">
      <c r="B139" s="813"/>
    </row>
    <row r="140" spans="2:42" ht="15" x14ac:dyDescent="0.25">
      <c r="B140" s="813"/>
      <c r="C140" s="9" t="s">
        <v>282</v>
      </c>
    </row>
    <row r="141" spans="2:42" ht="15" x14ac:dyDescent="0.25">
      <c r="B141" s="813"/>
      <c r="AB141" s="23"/>
      <c r="AC141" s="23"/>
      <c r="AD141" s="23"/>
      <c r="AE141" s="23"/>
      <c r="AF141" s="23"/>
      <c r="AG141" s="23"/>
      <c r="AH141" s="23"/>
      <c r="AI141" s="23"/>
      <c r="AJ141" s="23"/>
      <c r="AK141" s="23"/>
      <c r="AM141" s="23"/>
    </row>
    <row r="142" spans="2:42" ht="15" x14ac:dyDescent="0.25">
      <c r="B142" s="813"/>
      <c r="D142" s="3" t="str">
        <f>+D105</f>
        <v>OH work</v>
      </c>
      <c r="AB142" s="23">
        <f t="shared" ref="AB142:AG142" si="123">+AB105*AB$9</f>
        <v>0</v>
      </c>
      <c r="AC142" s="23">
        <f t="shared" si="123"/>
        <v>0</v>
      </c>
      <c r="AD142" s="23">
        <f t="shared" si="123"/>
        <v>0</v>
      </c>
      <c r="AE142" s="23">
        <f t="shared" si="123"/>
        <v>0</v>
      </c>
      <c r="AF142" s="23">
        <f t="shared" si="123"/>
        <v>0</v>
      </c>
      <c r="AG142" s="23">
        <f t="shared" si="123"/>
        <v>0</v>
      </c>
      <c r="AH142" s="23">
        <f t="shared" ref="AH142:AK142" si="124">+AH105*AH$9</f>
        <v>0</v>
      </c>
      <c r="AI142" s="23">
        <f t="shared" si="124"/>
        <v>0</v>
      </c>
      <c r="AJ142" s="23">
        <f t="shared" si="124"/>
        <v>0</v>
      </c>
      <c r="AK142" s="23">
        <f t="shared" si="124"/>
        <v>0</v>
      </c>
      <c r="AM142" s="23">
        <f>SUM(AB142:AK142)</f>
        <v>0</v>
      </c>
    </row>
    <row r="143" spans="2:42" ht="15" x14ac:dyDescent="0.25">
      <c r="B143" s="813"/>
      <c r="D143" s="3" t="str">
        <f>+D106</f>
        <v>115kv UG HPFF</v>
      </c>
      <c r="AB143" s="23">
        <f t="shared" ref="AB143:AG152" si="125">+AB106*AB$9</f>
        <v>0</v>
      </c>
      <c r="AC143" s="23">
        <f t="shared" si="125"/>
        <v>0</v>
      </c>
      <c r="AD143" s="23">
        <f t="shared" si="125"/>
        <v>0</v>
      </c>
      <c r="AE143" s="23">
        <f t="shared" si="125"/>
        <v>0</v>
      </c>
      <c r="AF143" s="23">
        <f t="shared" si="125"/>
        <v>0</v>
      </c>
      <c r="AG143" s="23">
        <f t="shared" si="125"/>
        <v>0</v>
      </c>
      <c r="AH143" s="23">
        <f t="shared" ref="AH143:AK143" si="126">+AH106*AH$9</f>
        <v>0</v>
      </c>
      <c r="AI143" s="23">
        <f t="shared" si="126"/>
        <v>0</v>
      </c>
      <c r="AJ143" s="23">
        <f t="shared" si="126"/>
        <v>0</v>
      </c>
      <c r="AK143" s="23">
        <f t="shared" si="126"/>
        <v>0</v>
      </c>
      <c r="AM143" s="23">
        <f t="shared" ref="AM143:AM168" si="127">SUM(AB143:AK143)</f>
        <v>0</v>
      </c>
    </row>
    <row r="144" spans="2:42" ht="15" x14ac:dyDescent="0.25">
      <c r="B144" s="813"/>
      <c r="D144" s="3" t="str">
        <f>+D107</f>
        <v>115kv UG XLPE</v>
      </c>
      <c r="AB144" s="23">
        <f t="shared" si="125"/>
        <v>0</v>
      </c>
      <c r="AC144" s="23">
        <f t="shared" si="125"/>
        <v>0</v>
      </c>
      <c r="AD144" s="23">
        <f t="shared" si="125"/>
        <v>0</v>
      </c>
      <c r="AE144" s="23">
        <f t="shared" si="125"/>
        <v>0</v>
      </c>
      <c r="AF144" s="23">
        <f t="shared" si="125"/>
        <v>0</v>
      </c>
      <c r="AG144" s="23">
        <f t="shared" si="125"/>
        <v>0</v>
      </c>
      <c r="AH144" s="23">
        <f t="shared" ref="AH144:AK144" si="128">+AH107*AH$9</f>
        <v>0</v>
      </c>
      <c r="AI144" s="23">
        <f t="shared" si="128"/>
        <v>0</v>
      </c>
      <c r="AJ144" s="23">
        <f t="shared" si="128"/>
        <v>0</v>
      </c>
      <c r="AK144" s="23">
        <f t="shared" si="128"/>
        <v>0</v>
      </c>
      <c r="AM144" s="23">
        <f t="shared" si="127"/>
        <v>0</v>
      </c>
    </row>
    <row r="145" spans="2:39" ht="15" x14ac:dyDescent="0.25">
      <c r="B145" s="813"/>
      <c r="D145" s="3" t="str">
        <f>+D108</f>
        <v>345 UG XLPE</v>
      </c>
      <c r="AB145" s="23">
        <f t="shared" si="125"/>
        <v>0</v>
      </c>
      <c r="AC145" s="23">
        <f t="shared" si="125"/>
        <v>0</v>
      </c>
      <c r="AD145" s="23">
        <f t="shared" si="125"/>
        <v>0</v>
      </c>
      <c r="AE145" s="23">
        <f t="shared" si="125"/>
        <v>0</v>
      </c>
      <c r="AF145" s="23">
        <f t="shared" si="125"/>
        <v>0</v>
      </c>
      <c r="AG145" s="23">
        <f t="shared" si="125"/>
        <v>0</v>
      </c>
      <c r="AH145" s="23">
        <f t="shared" ref="AH145:AK145" si="129">+AH108*AH$9</f>
        <v>0</v>
      </c>
      <c r="AI145" s="23">
        <f t="shared" si="129"/>
        <v>0</v>
      </c>
      <c r="AJ145" s="23">
        <f t="shared" si="129"/>
        <v>0</v>
      </c>
      <c r="AK145" s="23">
        <f t="shared" si="129"/>
        <v>0</v>
      </c>
      <c r="AM145" s="23">
        <f t="shared" si="127"/>
        <v>0</v>
      </c>
    </row>
    <row r="146" spans="2:39" ht="15" x14ac:dyDescent="0.25">
      <c r="B146" s="813"/>
      <c r="D146" s="3" t="str">
        <f>+D109</f>
        <v>Substation Const</v>
      </c>
      <c r="AB146" s="23">
        <f t="shared" si="125"/>
        <v>0</v>
      </c>
      <c r="AC146" s="23">
        <f t="shared" si="125"/>
        <v>0</v>
      </c>
      <c r="AD146" s="23">
        <f t="shared" si="125"/>
        <v>0</v>
      </c>
      <c r="AE146" s="23">
        <f t="shared" si="125"/>
        <v>0</v>
      </c>
      <c r="AF146" s="23">
        <f t="shared" si="125"/>
        <v>0</v>
      </c>
      <c r="AG146" s="23">
        <f t="shared" si="125"/>
        <v>0</v>
      </c>
      <c r="AH146" s="23">
        <f t="shared" ref="AH146:AK146" si="130">+AH109*AH$9</f>
        <v>0</v>
      </c>
      <c r="AI146" s="23">
        <f t="shared" si="130"/>
        <v>0</v>
      </c>
      <c r="AJ146" s="23">
        <f t="shared" si="130"/>
        <v>0</v>
      </c>
      <c r="AK146" s="23">
        <f t="shared" si="130"/>
        <v>0</v>
      </c>
      <c r="AM146" s="23">
        <f t="shared" si="127"/>
        <v>0</v>
      </c>
    </row>
    <row r="147" spans="2:39" ht="15" x14ac:dyDescent="0.25">
      <c r="B147" s="813"/>
      <c r="D147" s="3" t="s">
        <v>1630</v>
      </c>
      <c r="AB147" s="23">
        <f t="shared" si="125"/>
        <v>0</v>
      </c>
      <c r="AC147" s="23">
        <f t="shared" si="125"/>
        <v>0</v>
      </c>
      <c r="AD147" s="23">
        <f t="shared" si="125"/>
        <v>0</v>
      </c>
      <c r="AE147" s="23">
        <f t="shared" si="125"/>
        <v>0</v>
      </c>
      <c r="AF147" s="23">
        <f t="shared" si="125"/>
        <v>0</v>
      </c>
      <c r="AG147" s="23">
        <f t="shared" si="125"/>
        <v>0</v>
      </c>
      <c r="AH147" s="23">
        <f t="shared" ref="AH147:AK147" si="131">+AH110*AH$9</f>
        <v>0</v>
      </c>
      <c r="AI147" s="23">
        <f t="shared" si="131"/>
        <v>0</v>
      </c>
      <c r="AJ147" s="23">
        <f t="shared" si="131"/>
        <v>0</v>
      </c>
      <c r="AK147" s="23">
        <f t="shared" si="131"/>
        <v>0</v>
      </c>
      <c r="AM147" s="23">
        <f t="shared" si="127"/>
        <v>0</v>
      </c>
    </row>
    <row r="148" spans="2:39" ht="15" x14ac:dyDescent="0.25">
      <c r="B148" s="813"/>
      <c r="D148" s="3" t="str">
        <f t="shared" ref="D148:D160" si="132">+D111</f>
        <v>Removals(see separate tab)</v>
      </c>
      <c r="AB148" s="23">
        <f t="shared" si="125"/>
        <v>0</v>
      </c>
      <c r="AC148" s="23">
        <f t="shared" si="125"/>
        <v>0</v>
      </c>
      <c r="AD148" s="23">
        <f t="shared" si="125"/>
        <v>0</v>
      </c>
      <c r="AE148" s="23">
        <f t="shared" si="125"/>
        <v>0</v>
      </c>
      <c r="AF148" s="23">
        <f t="shared" si="125"/>
        <v>0</v>
      </c>
      <c r="AG148" s="23">
        <f t="shared" si="125"/>
        <v>0</v>
      </c>
      <c r="AH148" s="23">
        <f t="shared" ref="AH148:AK148" si="133">+AH111*AH$9</f>
        <v>0</v>
      </c>
      <c r="AI148" s="23">
        <f t="shared" si="133"/>
        <v>0</v>
      </c>
      <c r="AJ148" s="23">
        <f t="shared" si="133"/>
        <v>0</v>
      </c>
      <c r="AK148" s="23">
        <f t="shared" si="133"/>
        <v>0</v>
      </c>
      <c r="AM148" s="23">
        <f t="shared" si="127"/>
        <v>0</v>
      </c>
    </row>
    <row r="149" spans="2:39" ht="15" x14ac:dyDescent="0.25">
      <c r="B149" s="813"/>
      <c r="D149" s="3" t="str">
        <f t="shared" si="132"/>
        <v>Additional  Est Input</v>
      </c>
      <c r="AB149" s="23">
        <f t="shared" si="125"/>
        <v>0</v>
      </c>
      <c r="AC149" s="23">
        <f t="shared" si="125"/>
        <v>0</v>
      </c>
      <c r="AD149" s="23">
        <f t="shared" si="125"/>
        <v>553327.89959999954</v>
      </c>
      <c r="AE149" s="23">
        <f t="shared" si="125"/>
        <v>842503.05658800004</v>
      </c>
      <c r="AF149" s="23">
        <f t="shared" si="125"/>
        <v>0</v>
      </c>
      <c r="AG149" s="23">
        <f t="shared" si="125"/>
        <v>0</v>
      </c>
      <c r="AH149" s="23">
        <f t="shared" ref="AH149:AK149" si="134">+AH112*AH$9</f>
        <v>0</v>
      </c>
      <c r="AI149" s="23">
        <f t="shared" si="134"/>
        <v>0</v>
      </c>
      <c r="AJ149" s="23">
        <f t="shared" si="134"/>
        <v>0</v>
      </c>
      <c r="AK149" s="23">
        <f t="shared" si="134"/>
        <v>0</v>
      </c>
      <c r="AM149" s="23">
        <f t="shared" si="127"/>
        <v>1395830.9561879996</v>
      </c>
    </row>
    <row r="150" spans="2:39" ht="15" x14ac:dyDescent="0.25">
      <c r="B150" s="813"/>
      <c r="D150" s="3" t="str">
        <f t="shared" si="132"/>
        <v>Survey Engineering</v>
      </c>
      <c r="AB150" s="23">
        <f t="shared" si="125"/>
        <v>0</v>
      </c>
      <c r="AC150" s="23">
        <f t="shared" si="125"/>
        <v>0</v>
      </c>
      <c r="AD150" s="23">
        <f t="shared" si="125"/>
        <v>0</v>
      </c>
      <c r="AE150" s="23">
        <f t="shared" si="125"/>
        <v>0</v>
      </c>
      <c r="AF150" s="23">
        <f t="shared" si="125"/>
        <v>0</v>
      </c>
      <c r="AG150" s="23">
        <f t="shared" si="125"/>
        <v>0</v>
      </c>
      <c r="AH150" s="23">
        <f t="shared" ref="AH150:AK150" si="135">+AH113*AH$9</f>
        <v>0</v>
      </c>
      <c r="AI150" s="23">
        <f t="shared" si="135"/>
        <v>0</v>
      </c>
      <c r="AJ150" s="23">
        <f t="shared" si="135"/>
        <v>0</v>
      </c>
      <c r="AK150" s="23">
        <f t="shared" si="135"/>
        <v>0</v>
      </c>
      <c r="AM150" s="23">
        <f t="shared" si="127"/>
        <v>0</v>
      </c>
    </row>
    <row r="151" spans="2:39" ht="15" x14ac:dyDescent="0.25">
      <c r="B151" s="813"/>
      <c r="D151" s="3" t="str">
        <f t="shared" si="132"/>
        <v>Environmental Permitting</v>
      </c>
      <c r="AB151" s="23">
        <f t="shared" si="125"/>
        <v>0</v>
      </c>
      <c r="AC151" s="23">
        <f t="shared" si="125"/>
        <v>0</v>
      </c>
      <c r="AD151" s="23">
        <f t="shared" si="125"/>
        <v>0</v>
      </c>
      <c r="AE151" s="23">
        <f t="shared" si="125"/>
        <v>0</v>
      </c>
      <c r="AF151" s="23">
        <f t="shared" si="125"/>
        <v>0</v>
      </c>
      <c r="AG151" s="23">
        <f t="shared" si="125"/>
        <v>0</v>
      </c>
      <c r="AH151" s="23">
        <f t="shared" ref="AH151:AK151" si="136">+AH114*AH$9</f>
        <v>0</v>
      </c>
      <c r="AI151" s="23">
        <f t="shared" si="136"/>
        <v>0</v>
      </c>
      <c r="AJ151" s="23">
        <f t="shared" si="136"/>
        <v>0</v>
      </c>
      <c r="AK151" s="23">
        <f t="shared" si="136"/>
        <v>0</v>
      </c>
      <c r="AM151" s="23">
        <f t="shared" si="127"/>
        <v>0</v>
      </c>
    </row>
    <row r="152" spans="2:39" ht="15" x14ac:dyDescent="0.25">
      <c r="B152" s="813"/>
      <c r="D152" s="3">
        <f t="shared" si="132"/>
        <v>0</v>
      </c>
      <c r="AB152" s="23">
        <f t="shared" si="125"/>
        <v>0</v>
      </c>
      <c r="AC152" s="23">
        <f t="shared" si="125"/>
        <v>0</v>
      </c>
      <c r="AD152" s="23">
        <f t="shared" si="125"/>
        <v>0</v>
      </c>
      <c r="AE152" s="23">
        <f t="shared" si="125"/>
        <v>0</v>
      </c>
      <c r="AF152" s="23">
        <f t="shared" si="125"/>
        <v>0</v>
      </c>
      <c r="AG152" s="23">
        <f t="shared" si="125"/>
        <v>0</v>
      </c>
      <c r="AH152" s="23">
        <f t="shared" ref="AH152:AK152" si="137">+AH115*AH$9</f>
        <v>0</v>
      </c>
      <c r="AI152" s="23">
        <f t="shared" si="137"/>
        <v>0</v>
      </c>
      <c r="AJ152" s="23">
        <f t="shared" si="137"/>
        <v>0</v>
      </c>
      <c r="AK152" s="23">
        <f t="shared" si="137"/>
        <v>0</v>
      </c>
      <c r="AM152" s="23">
        <f t="shared" si="127"/>
        <v>0</v>
      </c>
    </row>
    <row r="153" spans="2:39" ht="15" x14ac:dyDescent="0.25">
      <c r="B153" s="813"/>
      <c r="D153" s="3">
        <f t="shared" si="132"/>
        <v>0</v>
      </c>
      <c r="AB153" s="23">
        <f t="shared" ref="AB153:AG162" si="138">+AB116*AB$9</f>
        <v>0</v>
      </c>
      <c r="AC153" s="23">
        <f t="shared" si="138"/>
        <v>0</v>
      </c>
      <c r="AD153" s="23">
        <f t="shared" si="138"/>
        <v>0</v>
      </c>
      <c r="AE153" s="23">
        <f t="shared" si="138"/>
        <v>0</v>
      </c>
      <c r="AF153" s="23">
        <f t="shared" si="138"/>
        <v>0</v>
      </c>
      <c r="AG153" s="23">
        <f t="shared" si="138"/>
        <v>0</v>
      </c>
      <c r="AH153" s="23">
        <f t="shared" ref="AH153:AK153" si="139">+AH116*AH$9</f>
        <v>0</v>
      </c>
      <c r="AI153" s="23">
        <f t="shared" si="139"/>
        <v>0</v>
      </c>
      <c r="AJ153" s="23">
        <f t="shared" si="139"/>
        <v>0</v>
      </c>
      <c r="AK153" s="23">
        <f t="shared" si="139"/>
        <v>0</v>
      </c>
      <c r="AM153" s="23">
        <f t="shared" si="127"/>
        <v>0</v>
      </c>
    </row>
    <row r="154" spans="2:39" ht="15" x14ac:dyDescent="0.25">
      <c r="B154" s="813"/>
      <c r="D154" s="3">
        <f t="shared" si="132"/>
        <v>0</v>
      </c>
      <c r="AB154" s="23">
        <f t="shared" si="138"/>
        <v>0</v>
      </c>
      <c r="AC154" s="23">
        <f t="shared" si="138"/>
        <v>0</v>
      </c>
      <c r="AD154" s="23">
        <f t="shared" si="138"/>
        <v>0</v>
      </c>
      <c r="AE154" s="23">
        <f t="shared" si="138"/>
        <v>0</v>
      </c>
      <c r="AF154" s="23">
        <f t="shared" si="138"/>
        <v>0</v>
      </c>
      <c r="AG154" s="23">
        <f t="shared" si="138"/>
        <v>0</v>
      </c>
      <c r="AH154" s="23">
        <f t="shared" ref="AH154:AK154" si="140">+AH117*AH$9</f>
        <v>0</v>
      </c>
      <c r="AI154" s="23">
        <f t="shared" si="140"/>
        <v>0</v>
      </c>
      <c r="AJ154" s="23">
        <f t="shared" si="140"/>
        <v>0</v>
      </c>
      <c r="AK154" s="23">
        <f t="shared" si="140"/>
        <v>0</v>
      </c>
      <c r="AM154" s="23">
        <f t="shared" si="127"/>
        <v>0</v>
      </c>
    </row>
    <row r="155" spans="2:39" ht="15" x14ac:dyDescent="0.25">
      <c r="B155" s="813"/>
      <c r="D155" s="3" t="str">
        <f t="shared" si="132"/>
        <v xml:space="preserve"> </v>
      </c>
      <c r="AB155" s="23">
        <f t="shared" si="138"/>
        <v>0</v>
      </c>
      <c r="AC155" s="23">
        <f t="shared" si="138"/>
        <v>0</v>
      </c>
      <c r="AD155" s="23">
        <f t="shared" si="138"/>
        <v>0</v>
      </c>
      <c r="AE155" s="23">
        <f t="shared" si="138"/>
        <v>0</v>
      </c>
      <c r="AF155" s="23">
        <f t="shared" si="138"/>
        <v>0</v>
      </c>
      <c r="AG155" s="23">
        <f t="shared" si="138"/>
        <v>0</v>
      </c>
      <c r="AH155" s="23">
        <f t="shared" ref="AH155:AK155" si="141">+AH118*AH$9</f>
        <v>0</v>
      </c>
      <c r="AI155" s="23">
        <f t="shared" si="141"/>
        <v>0</v>
      </c>
      <c r="AJ155" s="23">
        <f t="shared" si="141"/>
        <v>0</v>
      </c>
      <c r="AK155" s="23">
        <f t="shared" si="141"/>
        <v>0</v>
      </c>
      <c r="AM155" s="23">
        <f t="shared" si="127"/>
        <v>0</v>
      </c>
    </row>
    <row r="156" spans="2:39" ht="15" x14ac:dyDescent="0.25">
      <c r="B156" s="813"/>
      <c r="D156" s="3" t="str">
        <f t="shared" si="132"/>
        <v>OH work</v>
      </c>
      <c r="AB156" s="23">
        <f t="shared" si="138"/>
        <v>0</v>
      </c>
      <c r="AC156" s="23">
        <f t="shared" si="138"/>
        <v>0</v>
      </c>
      <c r="AD156" s="23">
        <f t="shared" si="138"/>
        <v>0</v>
      </c>
      <c r="AE156" s="23">
        <f t="shared" si="138"/>
        <v>0</v>
      </c>
      <c r="AF156" s="23">
        <f t="shared" si="138"/>
        <v>0</v>
      </c>
      <c r="AG156" s="23">
        <f t="shared" si="138"/>
        <v>0</v>
      </c>
      <c r="AH156" s="23">
        <f t="shared" ref="AH156:AK156" si="142">+AH119*AH$9</f>
        <v>0</v>
      </c>
      <c r="AI156" s="23">
        <f t="shared" si="142"/>
        <v>0</v>
      </c>
      <c r="AJ156" s="23">
        <f t="shared" si="142"/>
        <v>0</v>
      </c>
      <c r="AK156" s="23">
        <f t="shared" si="142"/>
        <v>0</v>
      </c>
      <c r="AM156" s="23">
        <f t="shared" si="127"/>
        <v>0</v>
      </c>
    </row>
    <row r="157" spans="2:39" ht="15" x14ac:dyDescent="0.25">
      <c r="B157" s="813"/>
      <c r="D157" s="3" t="str">
        <f t="shared" si="132"/>
        <v>115kv UG HPFF</v>
      </c>
      <c r="AB157" s="23">
        <f t="shared" si="138"/>
        <v>0</v>
      </c>
      <c r="AC157" s="23">
        <f t="shared" si="138"/>
        <v>0</v>
      </c>
      <c r="AD157" s="23">
        <f t="shared" si="138"/>
        <v>0</v>
      </c>
      <c r="AE157" s="23">
        <f t="shared" si="138"/>
        <v>0</v>
      </c>
      <c r="AF157" s="23">
        <f t="shared" si="138"/>
        <v>0</v>
      </c>
      <c r="AG157" s="23">
        <f t="shared" si="138"/>
        <v>0</v>
      </c>
      <c r="AH157" s="23">
        <f t="shared" ref="AH157:AK157" si="143">+AH120*AH$9</f>
        <v>0</v>
      </c>
      <c r="AI157" s="23">
        <f t="shared" si="143"/>
        <v>0</v>
      </c>
      <c r="AJ157" s="23">
        <f t="shared" si="143"/>
        <v>0</v>
      </c>
      <c r="AK157" s="23">
        <f t="shared" si="143"/>
        <v>0</v>
      </c>
      <c r="AM157" s="23">
        <f t="shared" si="127"/>
        <v>0</v>
      </c>
    </row>
    <row r="158" spans="2:39" ht="15" x14ac:dyDescent="0.25">
      <c r="B158" s="813"/>
      <c r="D158" s="3" t="str">
        <f t="shared" si="132"/>
        <v>115kv UG XLPE</v>
      </c>
      <c r="AB158" s="23">
        <f t="shared" si="138"/>
        <v>0</v>
      </c>
      <c r="AC158" s="23">
        <f t="shared" si="138"/>
        <v>0</v>
      </c>
      <c r="AD158" s="23">
        <f t="shared" si="138"/>
        <v>0</v>
      </c>
      <c r="AE158" s="23">
        <f t="shared" si="138"/>
        <v>0</v>
      </c>
      <c r="AF158" s="23">
        <f t="shared" si="138"/>
        <v>0</v>
      </c>
      <c r="AG158" s="23">
        <f t="shared" si="138"/>
        <v>0</v>
      </c>
      <c r="AH158" s="23">
        <f t="shared" ref="AH158:AK158" si="144">+AH121*AH$9</f>
        <v>0</v>
      </c>
      <c r="AI158" s="23">
        <f t="shared" si="144"/>
        <v>0</v>
      </c>
      <c r="AJ158" s="23">
        <f t="shared" si="144"/>
        <v>0</v>
      </c>
      <c r="AK158" s="23">
        <f t="shared" si="144"/>
        <v>0</v>
      </c>
      <c r="AM158" s="23">
        <f t="shared" si="127"/>
        <v>0</v>
      </c>
    </row>
    <row r="159" spans="2:39" ht="15" x14ac:dyDescent="0.25">
      <c r="B159" s="813"/>
      <c r="D159" s="3" t="str">
        <f t="shared" si="132"/>
        <v>345 UG XLPE</v>
      </c>
      <c r="AB159" s="23">
        <f t="shared" si="138"/>
        <v>0</v>
      </c>
      <c r="AC159" s="23">
        <f t="shared" si="138"/>
        <v>0</v>
      </c>
      <c r="AD159" s="23">
        <f t="shared" si="138"/>
        <v>0</v>
      </c>
      <c r="AE159" s="23">
        <f t="shared" si="138"/>
        <v>0</v>
      </c>
      <c r="AF159" s="23">
        <f t="shared" si="138"/>
        <v>0</v>
      </c>
      <c r="AG159" s="23">
        <f t="shared" si="138"/>
        <v>0</v>
      </c>
      <c r="AH159" s="23">
        <f t="shared" ref="AH159:AK159" si="145">+AH122*AH$9</f>
        <v>0</v>
      </c>
      <c r="AI159" s="23">
        <f t="shared" si="145"/>
        <v>0</v>
      </c>
      <c r="AJ159" s="23">
        <f t="shared" si="145"/>
        <v>0</v>
      </c>
      <c r="AK159" s="23">
        <f t="shared" si="145"/>
        <v>0</v>
      </c>
      <c r="AM159" s="23">
        <f t="shared" si="127"/>
        <v>0</v>
      </c>
    </row>
    <row r="160" spans="2:39" ht="15" x14ac:dyDescent="0.25">
      <c r="B160" s="813"/>
      <c r="D160" s="3" t="str">
        <f t="shared" si="132"/>
        <v>Substation Const</v>
      </c>
      <c r="AB160" s="23">
        <f t="shared" si="138"/>
        <v>0</v>
      </c>
      <c r="AC160" s="23">
        <f t="shared" si="138"/>
        <v>0</v>
      </c>
      <c r="AD160" s="23">
        <f t="shared" si="138"/>
        <v>0</v>
      </c>
      <c r="AE160" s="23">
        <f t="shared" si="138"/>
        <v>0</v>
      </c>
      <c r="AF160" s="23">
        <f t="shared" si="138"/>
        <v>0</v>
      </c>
      <c r="AG160" s="23">
        <f t="shared" si="138"/>
        <v>0</v>
      </c>
      <c r="AH160" s="23">
        <f t="shared" ref="AH160:AK160" si="146">+AH123*AH$9</f>
        <v>0</v>
      </c>
      <c r="AI160" s="23">
        <f t="shared" si="146"/>
        <v>0</v>
      </c>
      <c r="AJ160" s="23">
        <f t="shared" si="146"/>
        <v>0</v>
      </c>
      <c r="AK160" s="23">
        <f t="shared" si="146"/>
        <v>0</v>
      </c>
      <c r="AM160" s="23">
        <f t="shared" si="127"/>
        <v>0</v>
      </c>
    </row>
    <row r="161" spans="2:42" ht="15" x14ac:dyDescent="0.25">
      <c r="B161" s="813"/>
      <c r="D161" s="3" t="s">
        <v>1630</v>
      </c>
      <c r="AB161" s="23">
        <f t="shared" si="138"/>
        <v>0</v>
      </c>
      <c r="AC161" s="23">
        <f t="shared" si="138"/>
        <v>0</v>
      </c>
      <c r="AD161" s="23">
        <f t="shared" si="138"/>
        <v>0</v>
      </c>
      <c r="AE161" s="23">
        <f t="shared" si="138"/>
        <v>0</v>
      </c>
      <c r="AF161" s="23">
        <f t="shared" si="138"/>
        <v>0</v>
      </c>
      <c r="AG161" s="23">
        <f t="shared" si="138"/>
        <v>0</v>
      </c>
      <c r="AH161" s="23">
        <f t="shared" ref="AH161:AK161" si="147">+AH124*AH$9</f>
        <v>0</v>
      </c>
      <c r="AI161" s="23">
        <f t="shared" si="147"/>
        <v>0</v>
      </c>
      <c r="AJ161" s="23">
        <f t="shared" si="147"/>
        <v>0</v>
      </c>
      <c r="AK161" s="23">
        <f t="shared" si="147"/>
        <v>0</v>
      </c>
      <c r="AM161" s="23">
        <f t="shared" si="127"/>
        <v>0</v>
      </c>
    </row>
    <row r="162" spans="2:42" ht="15" x14ac:dyDescent="0.25">
      <c r="B162" s="813"/>
      <c r="D162" s="3" t="str">
        <f t="shared" ref="D162:D168" si="148">+D125</f>
        <v>Removals(see separate tab)</v>
      </c>
      <c r="AB162" s="23">
        <f t="shared" si="138"/>
        <v>0</v>
      </c>
      <c r="AC162" s="23">
        <f t="shared" si="138"/>
        <v>0</v>
      </c>
      <c r="AD162" s="23">
        <f t="shared" si="138"/>
        <v>0</v>
      </c>
      <c r="AE162" s="23">
        <f t="shared" si="138"/>
        <v>0</v>
      </c>
      <c r="AF162" s="23">
        <f t="shared" si="138"/>
        <v>0</v>
      </c>
      <c r="AG162" s="23">
        <f t="shared" si="138"/>
        <v>0</v>
      </c>
      <c r="AH162" s="23">
        <f t="shared" ref="AH162:AK162" si="149">+AH125*AH$9</f>
        <v>0</v>
      </c>
      <c r="AI162" s="23">
        <f t="shared" si="149"/>
        <v>0</v>
      </c>
      <c r="AJ162" s="23">
        <f t="shared" si="149"/>
        <v>0</v>
      </c>
      <c r="AK162" s="23">
        <f t="shared" si="149"/>
        <v>0</v>
      </c>
      <c r="AM162" s="23">
        <f t="shared" si="127"/>
        <v>0</v>
      </c>
    </row>
    <row r="163" spans="2:42" ht="15" x14ac:dyDescent="0.25">
      <c r="B163" s="813"/>
      <c r="D163" s="3" t="str">
        <f t="shared" si="148"/>
        <v>Additional  Est Input</v>
      </c>
      <c r="AB163" s="23">
        <f t="shared" ref="AB163:AG168" si="150">+AB126*AB$9</f>
        <v>0</v>
      </c>
      <c r="AC163" s="23">
        <f t="shared" si="150"/>
        <v>0</v>
      </c>
      <c r="AD163" s="23">
        <f t="shared" si="150"/>
        <v>0</v>
      </c>
      <c r="AE163" s="23">
        <f t="shared" si="150"/>
        <v>0</v>
      </c>
      <c r="AF163" s="23">
        <f t="shared" si="150"/>
        <v>0</v>
      </c>
      <c r="AG163" s="23">
        <f t="shared" si="150"/>
        <v>0</v>
      </c>
      <c r="AH163" s="23">
        <f t="shared" ref="AH163:AK163" si="151">+AH126*AH$9</f>
        <v>0</v>
      </c>
      <c r="AI163" s="23">
        <f t="shared" si="151"/>
        <v>0</v>
      </c>
      <c r="AJ163" s="23">
        <f t="shared" si="151"/>
        <v>0</v>
      </c>
      <c r="AK163" s="23">
        <f t="shared" si="151"/>
        <v>0</v>
      </c>
      <c r="AM163" s="23">
        <f t="shared" si="127"/>
        <v>0</v>
      </c>
    </row>
    <row r="164" spans="2:42" ht="15" x14ac:dyDescent="0.25">
      <c r="B164" s="813"/>
      <c r="D164" s="3" t="str">
        <f t="shared" si="148"/>
        <v>Survey Engineering</v>
      </c>
      <c r="AB164" s="23">
        <f t="shared" si="150"/>
        <v>0</v>
      </c>
      <c r="AC164" s="23">
        <f t="shared" si="150"/>
        <v>0</v>
      </c>
      <c r="AD164" s="23">
        <f t="shared" si="150"/>
        <v>0</v>
      </c>
      <c r="AE164" s="23">
        <f t="shared" si="150"/>
        <v>0</v>
      </c>
      <c r="AF164" s="23">
        <f t="shared" si="150"/>
        <v>0</v>
      </c>
      <c r="AG164" s="23">
        <f t="shared" si="150"/>
        <v>0</v>
      </c>
      <c r="AH164" s="23">
        <f t="shared" ref="AH164:AK164" si="152">+AH127*AH$9</f>
        <v>0</v>
      </c>
      <c r="AI164" s="23">
        <f t="shared" si="152"/>
        <v>0</v>
      </c>
      <c r="AJ164" s="23">
        <f t="shared" si="152"/>
        <v>0</v>
      </c>
      <c r="AK164" s="23">
        <f t="shared" si="152"/>
        <v>0</v>
      </c>
      <c r="AM164" s="23">
        <f t="shared" si="127"/>
        <v>0</v>
      </c>
    </row>
    <row r="165" spans="2:42" ht="15" x14ac:dyDescent="0.25">
      <c r="B165" s="813"/>
      <c r="D165" s="3" t="str">
        <f t="shared" si="148"/>
        <v>Environmental Permitting</v>
      </c>
      <c r="AB165" s="23">
        <f t="shared" si="150"/>
        <v>0</v>
      </c>
      <c r="AC165" s="23">
        <f t="shared" si="150"/>
        <v>0</v>
      </c>
      <c r="AD165" s="23">
        <f t="shared" si="150"/>
        <v>45.674999999999969</v>
      </c>
      <c r="AE165" s="23">
        <f t="shared" si="150"/>
        <v>69.54525000000001</v>
      </c>
      <c r="AF165" s="23">
        <f t="shared" si="150"/>
        <v>0</v>
      </c>
      <c r="AG165" s="23">
        <f t="shared" si="150"/>
        <v>0</v>
      </c>
      <c r="AH165" s="23">
        <f t="shared" ref="AH165:AK165" si="153">+AH128*AH$9</f>
        <v>0</v>
      </c>
      <c r="AI165" s="23">
        <f t="shared" si="153"/>
        <v>0</v>
      </c>
      <c r="AJ165" s="23">
        <f t="shared" si="153"/>
        <v>0</v>
      </c>
      <c r="AK165" s="23">
        <f t="shared" si="153"/>
        <v>0</v>
      </c>
      <c r="AM165" s="23">
        <f t="shared" si="127"/>
        <v>115.22024999999998</v>
      </c>
    </row>
    <row r="166" spans="2:42" ht="15" x14ac:dyDescent="0.25">
      <c r="B166" s="813"/>
      <c r="D166" s="3">
        <f t="shared" si="148"/>
        <v>0</v>
      </c>
      <c r="AB166" s="23">
        <f t="shared" si="150"/>
        <v>0</v>
      </c>
      <c r="AC166" s="23">
        <f t="shared" si="150"/>
        <v>0</v>
      </c>
      <c r="AD166" s="23">
        <f t="shared" si="150"/>
        <v>0</v>
      </c>
      <c r="AE166" s="23">
        <f t="shared" si="150"/>
        <v>0</v>
      </c>
      <c r="AF166" s="23">
        <f t="shared" si="150"/>
        <v>0</v>
      </c>
      <c r="AG166" s="23">
        <f t="shared" si="150"/>
        <v>0</v>
      </c>
      <c r="AH166" s="23">
        <f t="shared" ref="AH166:AK166" si="154">+AH129*AH$9</f>
        <v>0</v>
      </c>
      <c r="AI166" s="23">
        <f t="shared" si="154"/>
        <v>0</v>
      </c>
      <c r="AJ166" s="23">
        <f t="shared" si="154"/>
        <v>0</v>
      </c>
      <c r="AK166" s="23">
        <f t="shared" si="154"/>
        <v>0</v>
      </c>
      <c r="AM166" s="23">
        <f t="shared" si="127"/>
        <v>0</v>
      </c>
    </row>
    <row r="167" spans="2:42" ht="15" x14ac:dyDescent="0.25">
      <c r="B167" s="813"/>
      <c r="D167" s="3">
        <f t="shared" si="148"/>
        <v>0</v>
      </c>
      <c r="AB167" s="23">
        <f t="shared" si="150"/>
        <v>0</v>
      </c>
      <c r="AC167" s="23">
        <f t="shared" si="150"/>
        <v>0</v>
      </c>
      <c r="AD167" s="23">
        <f t="shared" si="150"/>
        <v>0</v>
      </c>
      <c r="AE167" s="23">
        <f t="shared" si="150"/>
        <v>0</v>
      </c>
      <c r="AF167" s="23">
        <f t="shared" si="150"/>
        <v>0</v>
      </c>
      <c r="AG167" s="23">
        <f t="shared" si="150"/>
        <v>0</v>
      </c>
      <c r="AH167" s="23">
        <f t="shared" ref="AH167:AK167" si="155">+AH130*AH$9</f>
        <v>0</v>
      </c>
      <c r="AI167" s="23">
        <f t="shared" si="155"/>
        <v>0</v>
      </c>
      <c r="AJ167" s="23">
        <f t="shared" si="155"/>
        <v>0</v>
      </c>
      <c r="AK167" s="23">
        <f t="shared" si="155"/>
        <v>0</v>
      </c>
      <c r="AM167" s="23">
        <f t="shared" si="127"/>
        <v>0</v>
      </c>
    </row>
    <row r="168" spans="2:42" ht="15" x14ac:dyDescent="0.25">
      <c r="B168" s="813"/>
      <c r="D168" s="3">
        <f t="shared" si="148"/>
        <v>0</v>
      </c>
      <c r="AB168" s="23">
        <f t="shared" si="150"/>
        <v>0</v>
      </c>
      <c r="AC168" s="23">
        <f t="shared" si="150"/>
        <v>0</v>
      </c>
      <c r="AD168" s="23">
        <f t="shared" si="150"/>
        <v>0</v>
      </c>
      <c r="AE168" s="23">
        <f t="shared" si="150"/>
        <v>0</v>
      </c>
      <c r="AF168" s="23">
        <f t="shared" si="150"/>
        <v>0</v>
      </c>
      <c r="AG168" s="23">
        <f t="shared" si="150"/>
        <v>0</v>
      </c>
      <c r="AH168" s="23">
        <f t="shared" ref="AH168:AK168" si="156">+AH131*AH$9</f>
        <v>0</v>
      </c>
      <c r="AI168" s="23">
        <f t="shared" si="156"/>
        <v>0</v>
      </c>
      <c r="AJ168" s="23">
        <f t="shared" si="156"/>
        <v>0</v>
      </c>
      <c r="AK168" s="23">
        <f t="shared" si="156"/>
        <v>0</v>
      </c>
      <c r="AM168" s="23">
        <f t="shared" si="127"/>
        <v>0</v>
      </c>
    </row>
    <row r="169" spans="2:42" ht="15" x14ac:dyDescent="0.25">
      <c r="B169" s="813"/>
      <c r="AB169" s="23"/>
      <c r="AC169" s="23"/>
      <c r="AD169" s="23"/>
      <c r="AE169" s="23"/>
      <c r="AF169" s="23"/>
      <c r="AG169" s="23"/>
      <c r="AH169" s="23"/>
      <c r="AI169" s="23"/>
      <c r="AJ169" s="23"/>
      <c r="AK169" s="23"/>
    </row>
    <row r="170" spans="2:42" ht="15" x14ac:dyDescent="0.25">
      <c r="B170" s="813"/>
      <c r="C170" s="9" t="s">
        <v>617</v>
      </c>
      <c r="D170" s="9"/>
      <c r="AB170" s="823">
        <f t="shared" ref="AB170:AG170" si="157">SUM(AB141:AB169)</f>
        <v>0</v>
      </c>
      <c r="AC170" s="823">
        <f t="shared" si="157"/>
        <v>0</v>
      </c>
      <c r="AD170" s="823">
        <f t="shared" si="157"/>
        <v>553373.57459999959</v>
      </c>
      <c r="AE170" s="823">
        <f t="shared" si="157"/>
        <v>842572.601838</v>
      </c>
      <c r="AF170" s="823">
        <f t="shared" si="157"/>
        <v>0</v>
      </c>
      <c r="AG170" s="823">
        <f t="shared" si="157"/>
        <v>0</v>
      </c>
      <c r="AH170" s="823">
        <f t="shared" ref="AH170:AK170" si="158">SUM(AH141:AH169)</f>
        <v>0</v>
      </c>
      <c r="AI170" s="823">
        <f t="shared" si="158"/>
        <v>0</v>
      </c>
      <c r="AJ170" s="823">
        <f t="shared" si="158"/>
        <v>0</v>
      </c>
      <c r="AK170" s="823">
        <f t="shared" si="158"/>
        <v>0</v>
      </c>
      <c r="AL170" s="23"/>
      <c r="AM170" s="823">
        <f>SUM(AB170:AK170)</f>
        <v>1395946.1764379996</v>
      </c>
      <c r="AP170" t="s">
        <v>2556</v>
      </c>
    </row>
    <row r="171" spans="2:42" ht="15" x14ac:dyDescent="0.25">
      <c r="B171" s="813"/>
    </row>
    <row r="172" spans="2:42" ht="15" x14ac:dyDescent="0.25">
      <c r="B172" s="813"/>
      <c r="C172" s="9"/>
      <c r="D172" s="9" t="s">
        <v>616</v>
      </c>
      <c r="E172" s="2" t="s">
        <v>604</v>
      </c>
      <c r="F172" s="2"/>
      <c r="G172" s="2"/>
      <c r="H172" s="23"/>
      <c r="I172" s="23"/>
      <c r="J172" s="23"/>
      <c r="K172" s="23"/>
      <c r="M172" s="23"/>
      <c r="AB172" s="23">
        <f>SUMIF($E$105:$E$131,$E172,AB142:AB168)</f>
        <v>0</v>
      </c>
      <c r="AC172" s="23">
        <f t="shared" ref="AC172:AM172" si="159">SUMIF($E$105:$E$131,$E172,AC142:AC168)</f>
        <v>0</v>
      </c>
      <c r="AD172" s="23">
        <f t="shared" si="159"/>
        <v>553327.89959999954</v>
      </c>
      <c r="AE172" s="23">
        <f t="shared" si="159"/>
        <v>842503.05658800004</v>
      </c>
      <c r="AF172" s="23">
        <f t="shared" si="159"/>
        <v>0</v>
      </c>
      <c r="AG172" s="23">
        <f t="shared" si="159"/>
        <v>0</v>
      </c>
      <c r="AH172" s="23">
        <f t="shared" ref="AH172:AK172" si="160">SUMIF($E$105:$E$131,$E172,AH142:AH168)</f>
        <v>0</v>
      </c>
      <c r="AI172" s="23">
        <f t="shared" si="160"/>
        <v>0</v>
      </c>
      <c r="AJ172" s="23">
        <f t="shared" si="160"/>
        <v>0</v>
      </c>
      <c r="AK172" s="23">
        <f t="shared" si="160"/>
        <v>0</v>
      </c>
      <c r="AL172" s="23"/>
      <c r="AM172" s="23">
        <f t="shared" si="159"/>
        <v>1395830.9561879996</v>
      </c>
      <c r="AO172" s="335">
        <f>'Detail Summary'!EA78</f>
        <v>1395830.9561879996</v>
      </c>
      <c r="AP172" t="s">
        <v>1186</v>
      </c>
    </row>
    <row r="173" spans="2:42" ht="15" x14ac:dyDescent="0.25">
      <c r="B173" s="813"/>
      <c r="C173" s="9"/>
      <c r="D173" s="9" t="s">
        <v>616</v>
      </c>
      <c r="E173" s="2" t="s">
        <v>605</v>
      </c>
      <c r="F173" s="2"/>
      <c r="G173" s="2"/>
      <c r="H173" s="23"/>
      <c r="I173" s="23"/>
      <c r="J173" s="23"/>
      <c r="K173" s="23"/>
      <c r="M173" s="23"/>
      <c r="AB173" s="23">
        <f>SUMIF($E$105:$E$131,$E173,AB142:AB168)</f>
        <v>0</v>
      </c>
      <c r="AC173" s="23">
        <f t="shared" ref="AC173:AM173" si="161">SUMIF($E$105:$E$131,$E173,AC142:AC168)</f>
        <v>0</v>
      </c>
      <c r="AD173" s="23">
        <f t="shared" si="161"/>
        <v>45.674999999999969</v>
      </c>
      <c r="AE173" s="23">
        <f t="shared" si="161"/>
        <v>69.54525000000001</v>
      </c>
      <c r="AF173" s="23">
        <f t="shared" si="161"/>
        <v>0</v>
      </c>
      <c r="AG173" s="23">
        <f t="shared" si="161"/>
        <v>0</v>
      </c>
      <c r="AH173" s="23">
        <f t="shared" ref="AH173:AK173" si="162">SUMIF($E$105:$E$131,$E173,AH142:AH168)</f>
        <v>0</v>
      </c>
      <c r="AI173" s="23">
        <f t="shared" si="162"/>
        <v>0</v>
      </c>
      <c r="AJ173" s="23">
        <f t="shared" si="162"/>
        <v>0</v>
      </c>
      <c r="AK173" s="23">
        <f t="shared" si="162"/>
        <v>0</v>
      </c>
      <c r="AL173" s="23"/>
      <c r="AM173" s="23">
        <f t="shared" si="161"/>
        <v>115.22024999999998</v>
      </c>
      <c r="AO173" s="335">
        <f>'Detail Summary'!EA79</f>
        <v>115.22024999999998</v>
      </c>
      <c r="AP173" t="s">
        <v>1186</v>
      </c>
    </row>
    <row r="174" spans="2:42" ht="15" x14ac:dyDescent="0.25">
      <c r="B174" s="813"/>
      <c r="AN174" s="335">
        <f>+AM172+AM173</f>
        <v>1395946.1764379996</v>
      </c>
      <c r="AO174" s="335">
        <f>SUM(AO172:AO173)</f>
        <v>1395946.1764379996</v>
      </c>
    </row>
    <row r="175" spans="2:42" ht="15" x14ac:dyDescent="0.25">
      <c r="B175" s="813"/>
    </row>
    <row r="176" spans="2:42" ht="15" x14ac:dyDescent="0.25">
      <c r="B176" s="813"/>
      <c r="C176" s="9" t="s">
        <v>610</v>
      </c>
    </row>
    <row r="177" spans="2:39" ht="15" x14ac:dyDescent="0.25">
      <c r="B177" s="813"/>
      <c r="AB177" s="335"/>
      <c r="AC177" s="335"/>
      <c r="AD177" s="335"/>
      <c r="AE177" s="335"/>
      <c r="AF177" s="335"/>
      <c r="AG177" s="335"/>
      <c r="AH177" s="335"/>
      <c r="AI177" s="335"/>
      <c r="AJ177" s="335"/>
      <c r="AK177" s="335"/>
      <c r="AM177" s="23"/>
    </row>
    <row r="178" spans="2:39" ht="15" x14ac:dyDescent="0.25">
      <c r="B178" s="813"/>
      <c r="D178" s="3" t="str">
        <f>+D142</f>
        <v>OH work</v>
      </c>
      <c r="AB178" s="335">
        <f t="shared" ref="AB178:AG178" si="163">+AB105+AB142</f>
        <v>0</v>
      </c>
      <c r="AC178" s="335">
        <f t="shared" si="163"/>
        <v>0</v>
      </c>
      <c r="AD178" s="335">
        <f t="shared" si="163"/>
        <v>0</v>
      </c>
      <c r="AE178" s="335">
        <f t="shared" si="163"/>
        <v>0</v>
      </c>
      <c r="AF178" s="335">
        <f t="shared" si="163"/>
        <v>0</v>
      </c>
      <c r="AG178" s="335">
        <f t="shared" si="163"/>
        <v>0</v>
      </c>
      <c r="AH178" s="335">
        <f t="shared" ref="AH178:AK178" si="164">+AH105+AH142</f>
        <v>0</v>
      </c>
      <c r="AI178" s="335">
        <f t="shared" si="164"/>
        <v>0</v>
      </c>
      <c r="AJ178" s="335">
        <f t="shared" si="164"/>
        <v>0</v>
      </c>
      <c r="AK178" s="335">
        <f t="shared" si="164"/>
        <v>0</v>
      </c>
      <c r="AM178" s="23">
        <f>SUM(AB178:AK178)</f>
        <v>0</v>
      </c>
    </row>
    <row r="179" spans="2:39" ht="15" x14ac:dyDescent="0.25">
      <c r="B179" s="813"/>
      <c r="D179" s="3" t="str">
        <f>+D143</f>
        <v>115kv UG HPFF</v>
      </c>
      <c r="AB179" s="335">
        <f t="shared" ref="AB179:AG188" si="165">+AB106+AB143</f>
        <v>0</v>
      </c>
      <c r="AC179" s="335">
        <f t="shared" si="165"/>
        <v>0</v>
      </c>
      <c r="AD179" s="335">
        <f t="shared" si="165"/>
        <v>0</v>
      </c>
      <c r="AE179" s="335">
        <f t="shared" si="165"/>
        <v>0</v>
      </c>
      <c r="AF179" s="335">
        <f t="shared" si="165"/>
        <v>0</v>
      </c>
      <c r="AG179" s="335">
        <f t="shared" si="165"/>
        <v>0</v>
      </c>
      <c r="AH179" s="335">
        <f t="shared" ref="AH179:AK179" si="166">+AH106+AH143</f>
        <v>0</v>
      </c>
      <c r="AI179" s="335">
        <f t="shared" si="166"/>
        <v>0</v>
      </c>
      <c r="AJ179" s="335">
        <f t="shared" si="166"/>
        <v>0</v>
      </c>
      <c r="AK179" s="335">
        <f t="shared" si="166"/>
        <v>0</v>
      </c>
      <c r="AM179" s="23">
        <f t="shared" ref="AM179:AM204" si="167">SUM(AB179:AK179)</f>
        <v>0</v>
      </c>
    </row>
    <row r="180" spans="2:39" ht="15" x14ac:dyDescent="0.25">
      <c r="B180" s="813"/>
      <c r="D180" s="3" t="str">
        <f>+D144</f>
        <v>115kv UG XLPE</v>
      </c>
      <c r="AB180" s="335">
        <f t="shared" si="165"/>
        <v>0</v>
      </c>
      <c r="AC180" s="335">
        <f t="shared" si="165"/>
        <v>0</v>
      </c>
      <c r="AD180" s="335">
        <f t="shared" si="165"/>
        <v>0</v>
      </c>
      <c r="AE180" s="335">
        <f t="shared" si="165"/>
        <v>0</v>
      </c>
      <c r="AF180" s="335">
        <f t="shared" si="165"/>
        <v>0</v>
      </c>
      <c r="AG180" s="335">
        <f t="shared" si="165"/>
        <v>0</v>
      </c>
      <c r="AH180" s="335">
        <f t="shared" ref="AH180:AK180" si="168">+AH107+AH144</f>
        <v>0</v>
      </c>
      <c r="AI180" s="335">
        <f t="shared" si="168"/>
        <v>0</v>
      </c>
      <c r="AJ180" s="335">
        <f t="shared" si="168"/>
        <v>0</v>
      </c>
      <c r="AK180" s="335">
        <f t="shared" si="168"/>
        <v>0</v>
      </c>
      <c r="AM180" s="23">
        <f t="shared" si="167"/>
        <v>0</v>
      </c>
    </row>
    <row r="181" spans="2:39" ht="15" x14ac:dyDescent="0.25">
      <c r="B181" s="813"/>
      <c r="D181" s="3" t="str">
        <f>+D145</f>
        <v>345 UG XLPE</v>
      </c>
      <c r="AB181" s="335">
        <f t="shared" si="165"/>
        <v>0</v>
      </c>
      <c r="AC181" s="335">
        <f t="shared" si="165"/>
        <v>0</v>
      </c>
      <c r="AD181" s="335">
        <f t="shared" si="165"/>
        <v>0</v>
      </c>
      <c r="AE181" s="335">
        <f t="shared" si="165"/>
        <v>0</v>
      </c>
      <c r="AF181" s="335">
        <f t="shared" si="165"/>
        <v>0</v>
      </c>
      <c r="AG181" s="335">
        <f t="shared" si="165"/>
        <v>0</v>
      </c>
      <c r="AH181" s="335">
        <f t="shared" ref="AH181:AK181" si="169">+AH108+AH145</f>
        <v>0</v>
      </c>
      <c r="AI181" s="335">
        <f t="shared" si="169"/>
        <v>0</v>
      </c>
      <c r="AJ181" s="335">
        <f t="shared" si="169"/>
        <v>0</v>
      </c>
      <c r="AK181" s="335">
        <f t="shared" si="169"/>
        <v>0</v>
      </c>
      <c r="AM181" s="23">
        <f t="shared" si="167"/>
        <v>0</v>
      </c>
    </row>
    <row r="182" spans="2:39" ht="15" x14ac:dyDescent="0.25">
      <c r="B182" s="813"/>
      <c r="D182" s="3" t="str">
        <f>+D146</f>
        <v>Substation Const</v>
      </c>
      <c r="AB182" s="335">
        <f t="shared" si="165"/>
        <v>0</v>
      </c>
      <c r="AC182" s="335">
        <f t="shared" si="165"/>
        <v>0</v>
      </c>
      <c r="AD182" s="335">
        <f t="shared" si="165"/>
        <v>0</v>
      </c>
      <c r="AE182" s="335">
        <f t="shared" si="165"/>
        <v>0</v>
      </c>
      <c r="AF182" s="335">
        <f t="shared" si="165"/>
        <v>0</v>
      </c>
      <c r="AG182" s="335">
        <f t="shared" si="165"/>
        <v>0</v>
      </c>
      <c r="AH182" s="335">
        <f t="shared" ref="AH182:AK182" si="170">+AH109+AH146</f>
        <v>0</v>
      </c>
      <c r="AI182" s="335">
        <f t="shared" si="170"/>
        <v>0</v>
      </c>
      <c r="AJ182" s="335">
        <f t="shared" si="170"/>
        <v>0</v>
      </c>
      <c r="AK182" s="335">
        <f t="shared" si="170"/>
        <v>0</v>
      </c>
      <c r="AM182" s="23">
        <f t="shared" si="167"/>
        <v>0</v>
      </c>
    </row>
    <row r="183" spans="2:39" ht="15" x14ac:dyDescent="0.25">
      <c r="B183" s="813"/>
      <c r="D183" s="3" t="s">
        <v>1630</v>
      </c>
      <c r="AB183" s="335">
        <f t="shared" si="165"/>
        <v>0</v>
      </c>
      <c r="AC183" s="335">
        <f t="shared" si="165"/>
        <v>0</v>
      </c>
      <c r="AD183" s="335">
        <f t="shared" si="165"/>
        <v>0</v>
      </c>
      <c r="AE183" s="335">
        <f t="shared" si="165"/>
        <v>0</v>
      </c>
      <c r="AF183" s="335">
        <f t="shared" si="165"/>
        <v>0</v>
      </c>
      <c r="AG183" s="335">
        <f t="shared" si="165"/>
        <v>0</v>
      </c>
      <c r="AH183" s="335">
        <f t="shared" ref="AH183:AK183" si="171">+AH110+AH147</f>
        <v>0</v>
      </c>
      <c r="AI183" s="335">
        <f t="shared" si="171"/>
        <v>0</v>
      </c>
      <c r="AJ183" s="335">
        <f t="shared" si="171"/>
        <v>0</v>
      </c>
      <c r="AK183" s="335">
        <f t="shared" si="171"/>
        <v>0</v>
      </c>
      <c r="AM183" s="23">
        <f t="shared" si="167"/>
        <v>0</v>
      </c>
    </row>
    <row r="184" spans="2:39" ht="15" x14ac:dyDescent="0.25">
      <c r="B184" s="813"/>
      <c r="D184" s="3" t="str">
        <f t="shared" ref="D184:D196" si="172">+D148</f>
        <v>Removals(see separate tab)</v>
      </c>
      <c r="AB184" s="335">
        <f t="shared" si="165"/>
        <v>0</v>
      </c>
      <c r="AC184" s="335">
        <f t="shared" si="165"/>
        <v>0</v>
      </c>
      <c r="AD184" s="335">
        <f t="shared" si="165"/>
        <v>0</v>
      </c>
      <c r="AE184" s="335">
        <f t="shared" si="165"/>
        <v>0</v>
      </c>
      <c r="AF184" s="335">
        <f t="shared" si="165"/>
        <v>0</v>
      </c>
      <c r="AG184" s="335">
        <f t="shared" si="165"/>
        <v>0</v>
      </c>
      <c r="AH184" s="335">
        <f t="shared" ref="AH184:AK184" si="173">+AH111+AH148</f>
        <v>0</v>
      </c>
      <c r="AI184" s="335">
        <f t="shared" si="173"/>
        <v>0</v>
      </c>
      <c r="AJ184" s="335">
        <f t="shared" si="173"/>
        <v>0</v>
      </c>
      <c r="AK184" s="335">
        <f t="shared" si="173"/>
        <v>0</v>
      </c>
      <c r="AM184" s="23">
        <f t="shared" si="167"/>
        <v>0</v>
      </c>
    </row>
    <row r="185" spans="2:39" ht="15" x14ac:dyDescent="0.25">
      <c r="B185" s="813"/>
      <c r="D185" s="3" t="str">
        <f t="shared" si="172"/>
        <v>Additional  Est Input</v>
      </c>
      <c r="AB185" s="335">
        <f t="shared" si="165"/>
        <v>0</v>
      </c>
      <c r="AC185" s="335">
        <f t="shared" si="165"/>
        <v>0</v>
      </c>
      <c r="AD185" s="335">
        <f t="shared" si="165"/>
        <v>9639171.8995999992</v>
      </c>
      <c r="AE185" s="335">
        <f t="shared" si="165"/>
        <v>9928347.0565879997</v>
      </c>
      <c r="AF185" s="335">
        <f t="shared" si="165"/>
        <v>0</v>
      </c>
      <c r="AG185" s="335">
        <f t="shared" si="165"/>
        <v>0</v>
      </c>
      <c r="AH185" s="335">
        <f t="shared" ref="AH185:AK185" si="174">+AH112+AH149</f>
        <v>0</v>
      </c>
      <c r="AI185" s="335">
        <f t="shared" si="174"/>
        <v>0</v>
      </c>
      <c r="AJ185" s="335">
        <f t="shared" si="174"/>
        <v>0</v>
      </c>
      <c r="AK185" s="335">
        <f t="shared" si="174"/>
        <v>0</v>
      </c>
      <c r="AM185" s="23">
        <f t="shared" si="167"/>
        <v>19567518.956188001</v>
      </c>
    </row>
    <row r="186" spans="2:39" ht="15" x14ac:dyDescent="0.25">
      <c r="B186" s="813"/>
      <c r="D186" s="3" t="str">
        <f t="shared" si="172"/>
        <v>Survey Engineering</v>
      </c>
      <c r="AB186" s="335">
        <f t="shared" si="165"/>
        <v>0</v>
      </c>
      <c r="AC186" s="335">
        <f t="shared" si="165"/>
        <v>0</v>
      </c>
      <c r="AD186" s="335">
        <f t="shared" si="165"/>
        <v>0</v>
      </c>
      <c r="AE186" s="335">
        <f t="shared" si="165"/>
        <v>0</v>
      </c>
      <c r="AF186" s="335">
        <f t="shared" si="165"/>
        <v>0</v>
      </c>
      <c r="AG186" s="335">
        <f t="shared" si="165"/>
        <v>0</v>
      </c>
      <c r="AH186" s="335">
        <f t="shared" ref="AH186:AK186" si="175">+AH113+AH150</f>
        <v>0</v>
      </c>
      <c r="AI186" s="335">
        <f t="shared" si="175"/>
        <v>0</v>
      </c>
      <c r="AJ186" s="335">
        <f t="shared" si="175"/>
        <v>0</v>
      </c>
      <c r="AK186" s="335">
        <f t="shared" si="175"/>
        <v>0</v>
      </c>
      <c r="AM186" s="23">
        <f t="shared" si="167"/>
        <v>0</v>
      </c>
    </row>
    <row r="187" spans="2:39" ht="15" x14ac:dyDescent="0.25">
      <c r="B187" s="813"/>
      <c r="D187" s="3" t="str">
        <f t="shared" si="172"/>
        <v>Environmental Permitting</v>
      </c>
      <c r="AB187" s="335">
        <f t="shared" si="165"/>
        <v>0</v>
      </c>
      <c r="AC187" s="335">
        <f t="shared" si="165"/>
        <v>0</v>
      </c>
      <c r="AD187" s="335">
        <f t="shared" si="165"/>
        <v>0</v>
      </c>
      <c r="AE187" s="335">
        <f t="shared" si="165"/>
        <v>0</v>
      </c>
      <c r="AF187" s="335">
        <f t="shared" si="165"/>
        <v>0</v>
      </c>
      <c r="AG187" s="335">
        <f t="shared" si="165"/>
        <v>0</v>
      </c>
      <c r="AH187" s="335">
        <f t="shared" ref="AH187:AK187" si="176">+AH114+AH151</f>
        <v>0</v>
      </c>
      <c r="AI187" s="335">
        <f t="shared" si="176"/>
        <v>0</v>
      </c>
      <c r="AJ187" s="335">
        <f t="shared" si="176"/>
        <v>0</v>
      </c>
      <c r="AK187" s="335">
        <f t="shared" si="176"/>
        <v>0</v>
      </c>
      <c r="AM187" s="23">
        <f t="shared" si="167"/>
        <v>0</v>
      </c>
    </row>
    <row r="188" spans="2:39" ht="15" x14ac:dyDescent="0.25">
      <c r="B188" s="813"/>
      <c r="D188" s="3">
        <f t="shared" si="172"/>
        <v>0</v>
      </c>
      <c r="AB188" s="335">
        <f t="shared" si="165"/>
        <v>0</v>
      </c>
      <c r="AC188" s="335">
        <f t="shared" si="165"/>
        <v>0</v>
      </c>
      <c r="AD188" s="335">
        <f t="shared" si="165"/>
        <v>0</v>
      </c>
      <c r="AE188" s="335">
        <f t="shared" si="165"/>
        <v>0</v>
      </c>
      <c r="AF188" s="335">
        <f t="shared" si="165"/>
        <v>0</v>
      </c>
      <c r="AG188" s="335">
        <f t="shared" si="165"/>
        <v>0</v>
      </c>
      <c r="AH188" s="335">
        <f t="shared" ref="AH188:AK188" si="177">+AH115+AH152</f>
        <v>0</v>
      </c>
      <c r="AI188" s="335">
        <f t="shared" si="177"/>
        <v>0</v>
      </c>
      <c r="AJ188" s="335">
        <f t="shared" si="177"/>
        <v>0</v>
      </c>
      <c r="AK188" s="335">
        <f t="shared" si="177"/>
        <v>0</v>
      </c>
      <c r="AM188" s="23">
        <f t="shared" si="167"/>
        <v>0</v>
      </c>
    </row>
    <row r="189" spans="2:39" ht="15" x14ac:dyDescent="0.25">
      <c r="B189" s="813"/>
      <c r="D189" s="3">
        <f t="shared" si="172"/>
        <v>0</v>
      </c>
      <c r="AB189" s="335">
        <f t="shared" ref="AB189:AG198" si="178">+AB116+AB153</f>
        <v>0</v>
      </c>
      <c r="AC189" s="335">
        <f t="shared" si="178"/>
        <v>0</v>
      </c>
      <c r="AD189" s="335">
        <f t="shared" si="178"/>
        <v>0</v>
      </c>
      <c r="AE189" s="335">
        <f t="shared" si="178"/>
        <v>0</v>
      </c>
      <c r="AF189" s="335">
        <f t="shared" si="178"/>
        <v>0</v>
      </c>
      <c r="AG189" s="335">
        <f t="shared" si="178"/>
        <v>0</v>
      </c>
      <c r="AH189" s="335">
        <f t="shared" ref="AH189:AK189" si="179">+AH116+AH153</f>
        <v>0</v>
      </c>
      <c r="AI189" s="335">
        <f t="shared" si="179"/>
        <v>0</v>
      </c>
      <c r="AJ189" s="335">
        <f t="shared" si="179"/>
        <v>0</v>
      </c>
      <c r="AK189" s="335">
        <f t="shared" si="179"/>
        <v>0</v>
      </c>
      <c r="AM189" s="23">
        <f t="shared" si="167"/>
        <v>0</v>
      </c>
    </row>
    <row r="190" spans="2:39" ht="15" x14ac:dyDescent="0.25">
      <c r="B190" s="813"/>
      <c r="D190" s="3">
        <f t="shared" si="172"/>
        <v>0</v>
      </c>
      <c r="AB190" s="335">
        <f t="shared" si="178"/>
        <v>0</v>
      </c>
      <c r="AC190" s="335">
        <f t="shared" si="178"/>
        <v>0</v>
      </c>
      <c r="AD190" s="335">
        <f t="shared" si="178"/>
        <v>0</v>
      </c>
      <c r="AE190" s="335">
        <f t="shared" si="178"/>
        <v>0</v>
      </c>
      <c r="AF190" s="335">
        <f t="shared" si="178"/>
        <v>0</v>
      </c>
      <c r="AG190" s="335">
        <f t="shared" si="178"/>
        <v>0</v>
      </c>
      <c r="AH190" s="335">
        <f t="shared" ref="AH190:AK190" si="180">+AH117+AH154</f>
        <v>0</v>
      </c>
      <c r="AI190" s="335">
        <f t="shared" si="180"/>
        <v>0</v>
      </c>
      <c r="AJ190" s="335">
        <f t="shared" si="180"/>
        <v>0</v>
      </c>
      <c r="AK190" s="335">
        <f t="shared" si="180"/>
        <v>0</v>
      </c>
      <c r="AM190" s="23">
        <f t="shared" si="167"/>
        <v>0</v>
      </c>
    </row>
    <row r="191" spans="2:39" ht="15" x14ac:dyDescent="0.25">
      <c r="B191" s="813"/>
      <c r="D191" s="3" t="str">
        <f t="shared" si="172"/>
        <v xml:space="preserve"> </v>
      </c>
      <c r="AB191" s="335">
        <f t="shared" si="178"/>
        <v>0</v>
      </c>
      <c r="AC191" s="335">
        <f t="shared" si="178"/>
        <v>0</v>
      </c>
      <c r="AD191" s="335">
        <f t="shared" si="178"/>
        <v>0</v>
      </c>
      <c r="AE191" s="335">
        <f t="shared" si="178"/>
        <v>0</v>
      </c>
      <c r="AF191" s="335">
        <f t="shared" si="178"/>
        <v>0</v>
      </c>
      <c r="AG191" s="335">
        <f t="shared" si="178"/>
        <v>0</v>
      </c>
      <c r="AH191" s="335">
        <f t="shared" ref="AH191:AK191" si="181">+AH118+AH155</f>
        <v>0</v>
      </c>
      <c r="AI191" s="335">
        <f t="shared" si="181"/>
        <v>0</v>
      </c>
      <c r="AJ191" s="335">
        <f t="shared" si="181"/>
        <v>0</v>
      </c>
      <c r="AK191" s="335">
        <f t="shared" si="181"/>
        <v>0</v>
      </c>
      <c r="AM191" s="23">
        <f t="shared" si="167"/>
        <v>0</v>
      </c>
    </row>
    <row r="192" spans="2:39" ht="15" x14ac:dyDescent="0.25">
      <c r="B192" s="813"/>
      <c r="D192" s="3" t="str">
        <f t="shared" si="172"/>
        <v>OH work</v>
      </c>
      <c r="AB192" s="335">
        <f t="shared" si="178"/>
        <v>0</v>
      </c>
      <c r="AC192" s="335">
        <f t="shared" si="178"/>
        <v>0</v>
      </c>
      <c r="AD192" s="335">
        <f t="shared" si="178"/>
        <v>0</v>
      </c>
      <c r="AE192" s="335">
        <f t="shared" si="178"/>
        <v>0</v>
      </c>
      <c r="AF192" s="335">
        <f t="shared" si="178"/>
        <v>0</v>
      </c>
      <c r="AG192" s="335">
        <f t="shared" si="178"/>
        <v>0</v>
      </c>
      <c r="AH192" s="335">
        <f t="shared" ref="AH192:AK192" si="182">+AH119+AH156</f>
        <v>0</v>
      </c>
      <c r="AI192" s="335">
        <f t="shared" si="182"/>
        <v>0</v>
      </c>
      <c r="AJ192" s="335">
        <f t="shared" si="182"/>
        <v>0</v>
      </c>
      <c r="AK192" s="335">
        <f t="shared" si="182"/>
        <v>0</v>
      </c>
      <c r="AM192" s="23">
        <f t="shared" si="167"/>
        <v>0</v>
      </c>
    </row>
    <row r="193" spans="2:42" ht="15" x14ac:dyDescent="0.25">
      <c r="B193" s="813"/>
      <c r="D193" s="3" t="str">
        <f t="shared" si="172"/>
        <v>115kv UG HPFF</v>
      </c>
      <c r="AB193" s="335">
        <f t="shared" si="178"/>
        <v>0</v>
      </c>
      <c r="AC193" s="335">
        <f t="shared" si="178"/>
        <v>0</v>
      </c>
      <c r="AD193" s="335">
        <f t="shared" si="178"/>
        <v>0</v>
      </c>
      <c r="AE193" s="335">
        <f t="shared" si="178"/>
        <v>0</v>
      </c>
      <c r="AF193" s="335">
        <f t="shared" si="178"/>
        <v>0</v>
      </c>
      <c r="AG193" s="335">
        <f t="shared" si="178"/>
        <v>0</v>
      </c>
      <c r="AH193" s="335">
        <f t="shared" ref="AH193:AK193" si="183">+AH120+AH157</f>
        <v>0</v>
      </c>
      <c r="AI193" s="335">
        <f t="shared" si="183"/>
        <v>0</v>
      </c>
      <c r="AJ193" s="335">
        <f t="shared" si="183"/>
        <v>0</v>
      </c>
      <c r="AK193" s="335">
        <f t="shared" si="183"/>
        <v>0</v>
      </c>
      <c r="AM193" s="23">
        <f t="shared" si="167"/>
        <v>0</v>
      </c>
    </row>
    <row r="194" spans="2:42" ht="15" x14ac:dyDescent="0.25">
      <c r="B194" s="813"/>
      <c r="D194" s="3" t="str">
        <f t="shared" si="172"/>
        <v>115kv UG XLPE</v>
      </c>
      <c r="AB194" s="335">
        <f t="shared" si="178"/>
        <v>0</v>
      </c>
      <c r="AC194" s="335">
        <f t="shared" si="178"/>
        <v>0</v>
      </c>
      <c r="AD194" s="335">
        <f t="shared" si="178"/>
        <v>0</v>
      </c>
      <c r="AE194" s="335">
        <f t="shared" si="178"/>
        <v>0</v>
      </c>
      <c r="AF194" s="335">
        <f t="shared" si="178"/>
        <v>0</v>
      </c>
      <c r="AG194" s="335">
        <f t="shared" si="178"/>
        <v>0</v>
      </c>
      <c r="AH194" s="335">
        <f t="shared" ref="AH194:AK194" si="184">+AH121+AH158</f>
        <v>0</v>
      </c>
      <c r="AI194" s="335">
        <f t="shared" si="184"/>
        <v>0</v>
      </c>
      <c r="AJ194" s="335">
        <f t="shared" si="184"/>
        <v>0</v>
      </c>
      <c r="AK194" s="335">
        <f t="shared" si="184"/>
        <v>0</v>
      </c>
      <c r="AM194" s="23">
        <f t="shared" si="167"/>
        <v>0</v>
      </c>
    </row>
    <row r="195" spans="2:42" ht="15" x14ac:dyDescent="0.25">
      <c r="B195" s="813"/>
      <c r="D195" s="3" t="str">
        <f t="shared" si="172"/>
        <v>345 UG XLPE</v>
      </c>
      <c r="AB195" s="335">
        <f t="shared" si="178"/>
        <v>0</v>
      </c>
      <c r="AC195" s="335">
        <f t="shared" si="178"/>
        <v>0</v>
      </c>
      <c r="AD195" s="335">
        <f t="shared" si="178"/>
        <v>0</v>
      </c>
      <c r="AE195" s="335">
        <f t="shared" si="178"/>
        <v>0</v>
      </c>
      <c r="AF195" s="335">
        <f t="shared" si="178"/>
        <v>0</v>
      </c>
      <c r="AG195" s="335">
        <f t="shared" si="178"/>
        <v>0</v>
      </c>
      <c r="AH195" s="335">
        <f t="shared" ref="AH195:AK195" si="185">+AH122+AH159</f>
        <v>0</v>
      </c>
      <c r="AI195" s="335">
        <f t="shared" si="185"/>
        <v>0</v>
      </c>
      <c r="AJ195" s="335">
        <f t="shared" si="185"/>
        <v>0</v>
      </c>
      <c r="AK195" s="335">
        <f t="shared" si="185"/>
        <v>0</v>
      </c>
      <c r="AM195" s="23">
        <f t="shared" si="167"/>
        <v>0</v>
      </c>
    </row>
    <row r="196" spans="2:42" ht="15" x14ac:dyDescent="0.25">
      <c r="B196" s="813"/>
      <c r="D196" s="3" t="str">
        <f t="shared" si="172"/>
        <v>Substation Const</v>
      </c>
      <c r="AB196" s="335">
        <f t="shared" si="178"/>
        <v>0</v>
      </c>
      <c r="AC196" s="335">
        <f t="shared" si="178"/>
        <v>0</v>
      </c>
      <c r="AD196" s="335">
        <f t="shared" si="178"/>
        <v>0</v>
      </c>
      <c r="AE196" s="335">
        <f t="shared" si="178"/>
        <v>0</v>
      </c>
      <c r="AF196" s="335">
        <f t="shared" si="178"/>
        <v>0</v>
      </c>
      <c r="AG196" s="335">
        <f t="shared" si="178"/>
        <v>0</v>
      </c>
      <c r="AH196" s="335">
        <f t="shared" ref="AH196:AK196" si="186">+AH123+AH160</f>
        <v>0</v>
      </c>
      <c r="AI196" s="335">
        <f t="shared" si="186"/>
        <v>0</v>
      </c>
      <c r="AJ196" s="335">
        <f t="shared" si="186"/>
        <v>0</v>
      </c>
      <c r="AK196" s="335">
        <f t="shared" si="186"/>
        <v>0</v>
      </c>
      <c r="AM196" s="23">
        <f t="shared" si="167"/>
        <v>0</v>
      </c>
    </row>
    <row r="197" spans="2:42" ht="15" x14ac:dyDescent="0.25">
      <c r="B197" s="813"/>
      <c r="D197" s="3" t="s">
        <v>1630</v>
      </c>
      <c r="AB197" s="335">
        <f t="shared" si="178"/>
        <v>0</v>
      </c>
      <c r="AC197" s="335">
        <f t="shared" si="178"/>
        <v>0</v>
      </c>
      <c r="AD197" s="335">
        <f t="shared" si="178"/>
        <v>0</v>
      </c>
      <c r="AE197" s="335">
        <f t="shared" si="178"/>
        <v>0</v>
      </c>
      <c r="AF197" s="335">
        <f t="shared" si="178"/>
        <v>0</v>
      </c>
      <c r="AG197" s="335">
        <f t="shared" si="178"/>
        <v>0</v>
      </c>
      <c r="AH197" s="335">
        <f t="shared" ref="AH197:AK197" si="187">+AH124+AH161</f>
        <v>0</v>
      </c>
      <c r="AI197" s="335">
        <f t="shared" si="187"/>
        <v>0</v>
      </c>
      <c r="AJ197" s="335">
        <f t="shared" si="187"/>
        <v>0</v>
      </c>
      <c r="AK197" s="335">
        <f t="shared" si="187"/>
        <v>0</v>
      </c>
      <c r="AM197" s="23">
        <f t="shared" si="167"/>
        <v>0</v>
      </c>
    </row>
    <row r="198" spans="2:42" ht="15" x14ac:dyDescent="0.25">
      <c r="B198" s="813"/>
      <c r="D198" s="3" t="str">
        <f t="shared" ref="D198:D204" si="188">+D162</f>
        <v>Removals(see separate tab)</v>
      </c>
      <c r="AB198" s="335">
        <f t="shared" si="178"/>
        <v>0</v>
      </c>
      <c r="AC198" s="335">
        <f t="shared" si="178"/>
        <v>0</v>
      </c>
      <c r="AD198" s="335">
        <f t="shared" si="178"/>
        <v>0</v>
      </c>
      <c r="AE198" s="335">
        <f t="shared" si="178"/>
        <v>0</v>
      </c>
      <c r="AF198" s="335">
        <f t="shared" si="178"/>
        <v>0</v>
      </c>
      <c r="AG198" s="335">
        <f t="shared" si="178"/>
        <v>0</v>
      </c>
      <c r="AH198" s="335">
        <f t="shared" ref="AH198:AK198" si="189">+AH125+AH162</f>
        <v>0</v>
      </c>
      <c r="AI198" s="335">
        <f t="shared" si="189"/>
        <v>0</v>
      </c>
      <c r="AJ198" s="335">
        <f t="shared" si="189"/>
        <v>0</v>
      </c>
      <c r="AK198" s="335">
        <f t="shared" si="189"/>
        <v>0</v>
      </c>
      <c r="AM198" s="23">
        <f t="shared" si="167"/>
        <v>0</v>
      </c>
    </row>
    <row r="199" spans="2:42" ht="15" x14ac:dyDescent="0.25">
      <c r="B199" s="813"/>
      <c r="D199" s="3" t="str">
        <f t="shared" si="188"/>
        <v>Additional  Est Input</v>
      </c>
      <c r="AB199" s="335">
        <f t="shared" ref="AB199:AG204" si="190">+AB126+AB163</f>
        <v>0</v>
      </c>
      <c r="AC199" s="335">
        <f t="shared" si="190"/>
        <v>0</v>
      </c>
      <c r="AD199" s="335">
        <f t="shared" si="190"/>
        <v>0</v>
      </c>
      <c r="AE199" s="335">
        <f t="shared" si="190"/>
        <v>0</v>
      </c>
      <c r="AF199" s="335">
        <f t="shared" si="190"/>
        <v>0</v>
      </c>
      <c r="AG199" s="335">
        <f t="shared" si="190"/>
        <v>0</v>
      </c>
      <c r="AH199" s="335">
        <f t="shared" ref="AH199:AK199" si="191">+AH126+AH163</f>
        <v>0</v>
      </c>
      <c r="AI199" s="335">
        <f t="shared" si="191"/>
        <v>0</v>
      </c>
      <c r="AJ199" s="335">
        <f t="shared" si="191"/>
        <v>0</v>
      </c>
      <c r="AK199" s="335">
        <f t="shared" si="191"/>
        <v>0</v>
      </c>
      <c r="AM199" s="23">
        <f t="shared" si="167"/>
        <v>0</v>
      </c>
    </row>
    <row r="200" spans="2:42" ht="15" x14ac:dyDescent="0.25">
      <c r="B200" s="813"/>
      <c r="D200" s="3" t="str">
        <f t="shared" si="188"/>
        <v>Survey Engineering</v>
      </c>
      <c r="AB200" s="335">
        <f t="shared" si="190"/>
        <v>0</v>
      </c>
      <c r="AC200" s="335">
        <f t="shared" si="190"/>
        <v>0</v>
      </c>
      <c r="AD200" s="335">
        <f t="shared" si="190"/>
        <v>0</v>
      </c>
      <c r="AE200" s="335">
        <f t="shared" si="190"/>
        <v>0</v>
      </c>
      <c r="AF200" s="335">
        <f t="shared" si="190"/>
        <v>0</v>
      </c>
      <c r="AG200" s="335">
        <f t="shared" si="190"/>
        <v>0</v>
      </c>
      <c r="AH200" s="335">
        <f t="shared" ref="AH200:AK200" si="192">+AH127+AH164</f>
        <v>0</v>
      </c>
      <c r="AI200" s="335">
        <f t="shared" si="192"/>
        <v>0</v>
      </c>
      <c r="AJ200" s="335">
        <f t="shared" si="192"/>
        <v>0</v>
      </c>
      <c r="AK200" s="335">
        <f t="shared" si="192"/>
        <v>0</v>
      </c>
      <c r="AM200" s="23">
        <f t="shared" si="167"/>
        <v>0</v>
      </c>
    </row>
    <row r="201" spans="2:42" ht="15" x14ac:dyDescent="0.25">
      <c r="B201" s="813"/>
      <c r="D201" s="3" t="str">
        <f t="shared" si="188"/>
        <v>Environmental Permitting</v>
      </c>
      <c r="AB201" s="335">
        <f t="shared" si="190"/>
        <v>0</v>
      </c>
      <c r="AC201" s="335">
        <f t="shared" si="190"/>
        <v>0</v>
      </c>
      <c r="AD201" s="335">
        <f t="shared" si="190"/>
        <v>795.67499999999995</v>
      </c>
      <c r="AE201" s="335">
        <f t="shared" si="190"/>
        <v>819.54525000000001</v>
      </c>
      <c r="AF201" s="335">
        <f t="shared" si="190"/>
        <v>0</v>
      </c>
      <c r="AG201" s="335">
        <f t="shared" si="190"/>
        <v>0</v>
      </c>
      <c r="AH201" s="335">
        <f t="shared" ref="AH201:AK201" si="193">+AH128+AH165</f>
        <v>0</v>
      </c>
      <c r="AI201" s="335">
        <f t="shared" si="193"/>
        <v>0</v>
      </c>
      <c r="AJ201" s="335">
        <f t="shared" si="193"/>
        <v>0</v>
      </c>
      <c r="AK201" s="335">
        <f t="shared" si="193"/>
        <v>0</v>
      </c>
      <c r="AM201" s="23">
        <f t="shared" si="167"/>
        <v>1615.2202499999999</v>
      </c>
    </row>
    <row r="202" spans="2:42" ht="15" x14ac:dyDescent="0.25">
      <c r="B202" s="813"/>
      <c r="D202" s="3">
        <f t="shared" si="188"/>
        <v>0</v>
      </c>
      <c r="AB202" s="335">
        <f t="shared" si="190"/>
        <v>0</v>
      </c>
      <c r="AC202" s="335">
        <f t="shared" si="190"/>
        <v>0</v>
      </c>
      <c r="AD202" s="335">
        <f t="shared" si="190"/>
        <v>0</v>
      </c>
      <c r="AE202" s="335">
        <f t="shared" si="190"/>
        <v>0</v>
      </c>
      <c r="AF202" s="335">
        <f t="shared" si="190"/>
        <v>0</v>
      </c>
      <c r="AG202" s="335">
        <f t="shared" si="190"/>
        <v>0</v>
      </c>
      <c r="AH202" s="335">
        <f t="shared" ref="AH202:AK202" si="194">+AH129+AH166</f>
        <v>0</v>
      </c>
      <c r="AI202" s="335">
        <f t="shared" si="194"/>
        <v>0</v>
      </c>
      <c r="AJ202" s="335">
        <f t="shared" si="194"/>
        <v>0</v>
      </c>
      <c r="AK202" s="335">
        <f t="shared" si="194"/>
        <v>0</v>
      </c>
      <c r="AM202" s="23">
        <f t="shared" si="167"/>
        <v>0</v>
      </c>
    </row>
    <row r="203" spans="2:42" ht="15" x14ac:dyDescent="0.25">
      <c r="B203" s="813"/>
      <c r="D203" s="3">
        <f t="shared" si="188"/>
        <v>0</v>
      </c>
      <c r="AB203" s="335">
        <f t="shared" si="190"/>
        <v>0</v>
      </c>
      <c r="AC203" s="335">
        <f t="shared" si="190"/>
        <v>0</v>
      </c>
      <c r="AD203" s="335">
        <f t="shared" si="190"/>
        <v>0</v>
      </c>
      <c r="AE203" s="335">
        <f t="shared" si="190"/>
        <v>0</v>
      </c>
      <c r="AF203" s="335">
        <f t="shared" si="190"/>
        <v>0</v>
      </c>
      <c r="AG203" s="335">
        <f t="shared" si="190"/>
        <v>0</v>
      </c>
      <c r="AH203" s="335">
        <f t="shared" ref="AH203:AK203" si="195">+AH130+AH167</f>
        <v>0</v>
      </c>
      <c r="AI203" s="335">
        <f t="shared" si="195"/>
        <v>0</v>
      </c>
      <c r="AJ203" s="335">
        <f t="shared" si="195"/>
        <v>0</v>
      </c>
      <c r="AK203" s="335">
        <f t="shared" si="195"/>
        <v>0</v>
      </c>
      <c r="AM203" s="23">
        <f t="shared" si="167"/>
        <v>0</v>
      </c>
    </row>
    <row r="204" spans="2:42" ht="15" x14ac:dyDescent="0.25">
      <c r="B204" s="813"/>
      <c r="D204" s="3">
        <f t="shared" si="188"/>
        <v>0</v>
      </c>
      <c r="AB204" s="335">
        <f t="shared" si="190"/>
        <v>0</v>
      </c>
      <c r="AC204" s="335">
        <f t="shared" si="190"/>
        <v>0</v>
      </c>
      <c r="AD204" s="335">
        <f t="shared" si="190"/>
        <v>0</v>
      </c>
      <c r="AE204" s="335">
        <f t="shared" si="190"/>
        <v>0</v>
      </c>
      <c r="AF204" s="335">
        <f t="shared" si="190"/>
        <v>0</v>
      </c>
      <c r="AG204" s="335">
        <f t="shared" si="190"/>
        <v>0</v>
      </c>
      <c r="AH204" s="335">
        <f t="shared" ref="AH204:AK204" si="196">+AH131+AH168</f>
        <v>0</v>
      </c>
      <c r="AI204" s="335">
        <f t="shared" si="196"/>
        <v>0</v>
      </c>
      <c r="AJ204" s="335">
        <f t="shared" si="196"/>
        <v>0</v>
      </c>
      <c r="AK204" s="335">
        <f t="shared" si="196"/>
        <v>0</v>
      </c>
      <c r="AM204" s="23">
        <f t="shared" si="167"/>
        <v>0</v>
      </c>
    </row>
    <row r="205" spans="2:42" ht="15" x14ac:dyDescent="0.25">
      <c r="B205" s="813"/>
    </row>
    <row r="206" spans="2:42" ht="15" x14ac:dyDescent="0.25">
      <c r="B206" s="813"/>
      <c r="C206" s="9" t="s">
        <v>618</v>
      </c>
      <c r="D206" s="9"/>
      <c r="AB206" s="823">
        <f t="shared" ref="AB206:AG206" si="197">SUM(AB177:AB205)</f>
        <v>0</v>
      </c>
      <c r="AC206" s="823">
        <f t="shared" si="197"/>
        <v>0</v>
      </c>
      <c r="AD206" s="823">
        <f t="shared" si="197"/>
        <v>9639967.5745999999</v>
      </c>
      <c r="AE206" s="823">
        <f t="shared" si="197"/>
        <v>9929166.6018380001</v>
      </c>
      <c r="AF206" s="823">
        <f t="shared" si="197"/>
        <v>0</v>
      </c>
      <c r="AG206" s="823">
        <f t="shared" si="197"/>
        <v>0</v>
      </c>
      <c r="AH206" s="823">
        <f t="shared" ref="AH206:AK206" si="198">SUM(AH177:AH205)</f>
        <v>0</v>
      </c>
      <c r="AI206" s="823">
        <f t="shared" si="198"/>
        <v>0</v>
      </c>
      <c r="AJ206" s="823">
        <f t="shared" si="198"/>
        <v>0</v>
      </c>
      <c r="AK206" s="823">
        <f t="shared" si="198"/>
        <v>0</v>
      </c>
      <c r="AL206" s="23"/>
      <c r="AM206" s="823">
        <f>SUM(AB206:AK206)</f>
        <v>19569134.176438</v>
      </c>
      <c r="AN206" s="335">
        <f>+AM134+AM170</f>
        <v>19569134.176438</v>
      </c>
      <c r="AO206" s="588" t="s">
        <v>612</v>
      </c>
      <c r="AP206" t="s">
        <v>2556</v>
      </c>
    </row>
    <row r="207" spans="2:42" ht="15" x14ac:dyDescent="0.25">
      <c r="B207" s="813"/>
    </row>
    <row r="208" spans="2:42" ht="15" x14ac:dyDescent="0.25">
      <c r="B208" s="813"/>
      <c r="C208" s="9"/>
      <c r="D208" s="9" t="s">
        <v>616</v>
      </c>
      <c r="E208" s="2" t="s">
        <v>604</v>
      </c>
      <c r="F208" s="2"/>
      <c r="G208" s="2"/>
      <c r="H208" s="23"/>
      <c r="I208" s="23"/>
      <c r="J208" s="23"/>
      <c r="K208" s="23"/>
      <c r="M208" s="23"/>
      <c r="AB208" s="23">
        <f t="shared" ref="AB208:AG208" si="199">SUMIF($E$105:$E$131,$E208,AB178:AB204)</f>
        <v>0</v>
      </c>
      <c r="AC208" s="23">
        <f t="shared" si="199"/>
        <v>0</v>
      </c>
      <c r="AD208" s="23">
        <f t="shared" si="199"/>
        <v>9639171.8995999992</v>
      </c>
      <c r="AE208" s="23">
        <f t="shared" si="199"/>
        <v>9928347.0565879997</v>
      </c>
      <c r="AF208" s="23">
        <f t="shared" si="199"/>
        <v>0</v>
      </c>
      <c r="AG208" s="23">
        <f t="shared" si="199"/>
        <v>0</v>
      </c>
      <c r="AH208" s="23">
        <f t="shared" ref="AH208:AK208" si="200">SUMIF($E$105:$E$131,$E208,AH178:AH204)</f>
        <v>0</v>
      </c>
      <c r="AI208" s="23">
        <f t="shared" si="200"/>
        <v>0</v>
      </c>
      <c r="AJ208" s="23">
        <f t="shared" si="200"/>
        <v>0</v>
      </c>
      <c r="AK208" s="23">
        <f t="shared" si="200"/>
        <v>0</v>
      </c>
      <c r="AL208" s="23"/>
      <c r="AM208" s="23">
        <f>SUMIF($E$105:$E$131,$E208,AM178:AM204)</f>
        <v>19567518.956188001</v>
      </c>
      <c r="AP208" t="s">
        <v>2556</v>
      </c>
    </row>
    <row r="209" spans="2:42" ht="15" x14ac:dyDescent="0.25">
      <c r="B209" s="813"/>
      <c r="C209" s="9"/>
      <c r="D209" s="9" t="s">
        <v>616</v>
      </c>
      <c r="E209" s="2" t="s">
        <v>605</v>
      </c>
      <c r="F209" s="2"/>
      <c r="G209" s="2"/>
      <c r="H209" s="23"/>
      <c r="I209" s="23"/>
      <c r="J209" s="23"/>
      <c r="K209" s="23"/>
      <c r="M209" s="23"/>
      <c r="AB209" s="23">
        <f t="shared" ref="AB209:AG209" si="201">SUMIF($E$105:$E$131,$E209,AB178:AB205)</f>
        <v>0</v>
      </c>
      <c r="AC209" s="23">
        <f t="shared" si="201"/>
        <v>0</v>
      </c>
      <c r="AD209" s="23">
        <f t="shared" si="201"/>
        <v>795.67499999999995</v>
      </c>
      <c r="AE209" s="23">
        <f t="shared" si="201"/>
        <v>819.54525000000001</v>
      </c>
      <c r="AF209" s="23">
        <f t="shared" si="201"/>
        <v>0</v>
      </c>
      <c r="AG209" s="23">
        <f t="shared" si="201"/>
        <v>0</v>
      </c>
      <c r="AH209" s="23">
        <f t="shared" ref="AH209:AK209" si="202">SUMIF($E$105:$E$131,$E209,AH178:AH205)</f>
        <v>0</v>
      </c>
      <c r="AI209" s="23">
        <f t="shared" si="202"/>
        <v>0</v>
      </c>
      <c r="AJ209" s="23">
        <f t="shared" si="202"/>
        <v>0</v>
      </c>
      <c r="AK209" s="23">
        <f t="shared" si="202"/>
        <v>0</v>
      </c>
      <c r="AL209" s="23"/>
      <c r="AM209" s="23">
        <f>SUMIF($E$105:$E$131,$E209,AM178:AM205)</f>
        <v>1615.2202499999999</v>
      </c>
      <c r="AN209" s="335">
        <f>+AM208+AM209</f>
        <v>19569134.176438</v>
      </c>
      <c r="AP209" t="s">
        <v>2556</v>
      </c>
    </row>
    <row r="210" spans="2:42" ht="15" x14ac:dyDescent="0.25">
      <c r="B210" s="813"/>
    </row>
    <row r="211" spans="2:42" ht="15" x14ac:dyDescent="0.25">
      <c r="B211" s="813"/>
    </row>
    <row r="212" spans="2:42" ht="15" x14ac:dyDescent="0.25">
      <c r="B212" s="813"/>
    </row>
    <row r="213" spans="2:42" ht="15" x14ac:dyDescent="0.25">
      <c r="B213" s="813"/>
    </row>
    <row r="214" spans="2:42" ht="15" x14ac:dyDescent="0.25">
      <c r="B214" s="813"/>
    </row>
    <row r="215" spans="2:42" ht="15" x14ac:dyDescent="0.25">
      <c r="B215" s="813"/>
      <c r="C215" s="813"/>
      <c r="D215" s="813"/>
      <c r="E215" s="813"/>
      <c r="F215" s="813"/>
      <c r="G215" s="813"/>
      <c r="H215" s="813"/>
      <c r="I215" s="813"/>
      <c r="J215" s="813"/>
      <c r="K215" s="813"/>
      <c r="L215" s="813"/>
      <c r="M215" s="813"/>
      <c r="N215" s="813"/>
      <c r="O215" s="813"/>
      <c r="P215" s="813"/>
      <c r="Q215" s="813"/>
      <c r="R215" s="813"/>
      <c r="S215" s="813"/>
      <c r="T215" s="813"/>
      <c r="U215" s="813"/>
      <c r="V215" s="813"/>
      <c r="W215" s="813"/>
      <c r="X215" s="813"/>
      <c r="Y215" s="813"/>
      <c r="Z215" s="813"/>
      <c r="AA215" s="813"/>
      <c r="AB215" s="813"/>
      <c r="AC215" s="813"/>
      <c r="AD215" s="813"/>
      <c r="AE215" s="813"/>
      <c r="AF215" s="813"/>
      <c r="AG215" s="813"/>
      <c r="AH215" s="813"/>
      <c r="AI215" s="813"/>
      <c r="AJ215" s="813"/>
      <c r="AK215" s="813"/>
      <c r="AL215" s="813"/>
      <c r="AM215" s="813"/>
      <c r="AN215" s="813"/>
      <c r="AO215" s="813"/>
      <c r="AP215" s="813"/>
    </row>
    <row r="223" spans="2:42" ht="15" x14ac:dyDescent="0.25">
      <c r="B223" s="811" t="s">
        <v>393</v>
      </c>
      <c r="C223" s="811"/>
      <c r="D223" s="812"/>
      <c r="E223" s="812"/>
      <c r="F223" s="812"/>
      <c r="G223" s="812"/>
      <c r="H223" s="812"/>
      <c r="I223" s="812"/>
      <c r="J223" s="812"/>
      <c r="K223" s="812"/>
      <c r="L223" s="812"/>
      <c r="M223" s="812"/>
      <c r="N223" s="812"/>
      <c r="O223" s="812"/>
      <c r="P223" s="812"/>
      <c r="Q223" s="812"/>
      <c r="R223" s="812"/>
      <c r="S223" s="812"/>
      <c r="T223" s="812"/>
      <c r="U223" s="812"/>
      <c r="V223" s="812"/>
      <c r="W223" s="812"/>
      <c r="X223" s="812"/>
      <c r="Y223" s="812"/>
      <c r="Z223" s="812"/>
      <c r="AA223" s="812"/>
      <c r="AB223" s="812"/>
      <c r="AC223" s="812"/>
      <c r="AD223" s="812"/>
      <c r="AE223" s="812"/>
      <c r="AF223" s="812"/>
      <c r="AG223" s="812"/>
      <c r="AH223" s="812"/>
      <c r="AI223" s="812"/>
      <c r="AJ223" s="812"/>
      <c r="AK223" s="812"/>
      <c r="AL223" s="812"/>
      <c r="AM223" s="812"/>
      <c r="AN223" s="813"/>
      <c r="AO223" s="813"/>
      <c r="AP223" s="813"/>
    </row>
    <row r="224" spans="2:42" ht="15" x14ac:dyDescent="0.25">
      <c r="B224" s="813"/>
      <c r="C224" s="9" t="s">
        <v>619</v>
      </c>
      <c r="F224" s="9" t="s">
        <v>289</v>
      </c>
      <c r="H224" s="9" t="s">
        <v>599</v>
      </c>
      <c r="I224" s="9" t="s">
        <v>600</v>
      </c>
      <c r="J224" s="9" t="s">
        <v>620</v>
      </c>
      <c r="K224" s="9" t="s">
        <v>601</v>
      </c>
      <c r="L224" s="9"/>
      <c r="M224" s="9" t="s">
        <v>602</v>
      </c>
      <c r="O224" s="1849">
        <f>+$AB$7</f>
        <v>45292</v>
      </c>
      <c r="P224" s="1849">
        <f>+$AC$7</f>
        <v>45658</v>
      </c>
      <c r="Q224" s="1849">
        <f>+$AD$7</f>
        <v>46023</v>
      </c>
      <c r="R224" s="1849">
        <f>+$AE$7</f>
        <v>46388</v>
      </c>
      <c r="S224" s="1849">
        <f>+$AF$7</f>
        <v>46753</v>
      </c>
      <c r="T224" s="1849">
        <f>+$AG$7</f>
        <v>47119</v>
      </c>
      <c r="U224" s="1849">
        <f>+$AH$7</f>
        <v>47484</v>
      </c>
      <c r="V224" s="1849">
        <f>+$AI$7</f>
        <v>47849</v>
      </c>
      <c r="W224" s="1849">
        <f>+$AJ$7</f>
        <v>48214</v>
      </c>
      <c r="X224" s="1849">
        <f>+$AK$7</f>
        <v>48580</v>
      </c>
      <c r="Z224" s="5" t="s">
        <v>216</v>
      </c>
      <c r="AB224" s="1849">
        <f t="shared" ref="AB224:AK224" si="203">AB7</f>
        <v>45292</v>
      </c>
      <c r="AC224" s="1849">
        <f t="shared" si="203"/>
        <v>45658</v>
      </c>
      <c r="AD224" s="1849">
        <f t="shared" si="203"/>
        <v>46023</v>
      </c>
      <c r="AE224" s="1849">
        <f t="shared" si="203"/>
        <v>46388</v>
      </c>
      <c r="AF224" s="1849">
        <f t="shared" si="203"/>
        <v>46753</v>
      </c>
      <c r="AG224" s="1849">
        <f t="shared" si="203"/>
        <v>47119</v>
      </c>
      <c r="AH224" s="1849">
        <f t="shared" si="203"/>
        <v>47484</v>
      </c>
      <c r="AI224" s="1849">
        <f t="shared" si="203"/>
        <v>47849</v>
      </c>
      <c r="AJ224" s="1849">
        <f t="shared" si="203"/>
        <v>48214</v>
      </c>
      <c r="AK224" s="1849">
        <f t="shared" si="203"/>
        <v>48580</v>
      </c>
      <c r="AM224" s="5" t="s">
        <v>389</v>
      </c>
    </row>
    <row r="225" spans="2:39" ht="15" x14ac:dyDescent="0.25">
      <c r="B225" s="813"/>
      <c r="O225" s="5" t="s">
        <v>437</v>
      </c>
      <c r="P225" s="5" t="s">
        <v>437</v>
      </c>
      <c r="Q225" s="5" t="s">
        <v>437</v>
      </c>
      <c r="R225" s="5" t="s">
        <v>437</v>
      </c>
      <c r="S225" s="5" t="s">
        <v>437</v>
      </c>
      <c r="T225" s="5" t="s">
        <v>437</v>
      </c>
      <c r="U225" s="5" t="s">
        <v>437</v>
      </c>
      <c r="V225" s="5" t="s">
        <v>437</v>
      </c>
      <c r="W225" s="5" t="s">
        <v>437</v>
      </c>
      <c r="X225" s="5" t="s">
        <v>437</v>
      </c>
    </row>
    <row r="226" spans="2:39" ht="15" x14ac:dyDescent="0.25">
      <c r="B226" s="813"/>
      <c r="D226" s="3" t="s">
        <v>621</v>
      </c>
      <c r="E226" s="2" t="s">
        <v>604</v>
      </c>
      <c r="F226" s="819">
        <f>+Removals!AD153</f>
        <v>0</v>
      </c>
      <c r="G226" s="9"/>
      <c r="H226" s="814">
        <f>+Removals!AG153</f>
        <v>0</v>
      </c>
      <c r="I226" s="819">
        <f>+Removals!AJ153</f>
        <v>0</v>
      </c>
      <c r="J226" s="819">
        <f>+Removals!AM153</f>
        <v>0</v>
      </c>
      <c r="K226" s="819">
        <f>+Removals!AP153</f>
        <v>0</v>
      </c>
      <c r="L226" s="9"/>
      <c r="M226" s="814">
        <f t="shared" ref="M226:M240" si="204">SUM(H226:L226)</f>
        <v>0</v>
      </c>
      <c r="O226" s="1824">
        <v>0</v>
      </c>
      <c r="P226" s="1824">
        <v>0</v>
      </c>
      <c r="Q226" s="1824">
        <v>0</v>
      </c>
      <c r="R226" s="1824">
        <v>0</v>
      </c>
      <c r="S226" s="1824">
        <v>1</v>
      </c>
      <c r="T226" s="1824">
        <v>0</v>
      </c>
      <c r="U226" s="1824">
        <v>0</v>
      </c>
      <c r="V226" s="1824">
        <v>0</v>
      </c>
      <c r="W226" s="1824">
        <v>0</v>
      </c>
      <c r="X226" s="1824">
        <v>0</v>
      </c>
      <c r="Z226" s="637">
        <f>SUM(O226:X226)</f>
        <v>1</v>
      </c>
      <c r="AB226" s="23">
        <f t="shared" ref="AB226:AB240" si="205">+$M226*O226</f>
        <v>0</v>
      </c>
      <c r="AC226" s="23">
        <f t="shared" ref="AC226:AC240" si="206">+$M226*P226</f>
        <v>0</v>
      </c>
      <c r="AD226" s="23">
        <f t="shared" ref="AD226:AD240" si="207">+$M226*Q226</f>
        <v>0</v>
      </c>
      <c r="AE226" s="23">
        <f t="shared" ref="AE226:AE240" si="208">+$M226*R226</f>
        <v>0</v>
      </c>
      <c r="AF226" s="23">
        <f t="shared" ref="AF226:AF240" si="209">+$M226*S226</f>
        <v>0</v>
      </c>
      <c r="AG226" s="23">
        <f t="shared" ref="AG226:AG240" si="210">+$M226*T226</f>
        <v>0</v>
      </c>
      <c r="AH226" s="23">
        <f t="shared" ref="AH226:AK241" si="211">+$M226*U226</f>
        <v>0</v>
      </c>
      <c r="AI226" s="23">
        <f t="shared" si="211"/>
        <v>0</v>
      </c>
      <c r="AJ226" s="23">
        <f t="shared" si="211"/>
        <v>0</v>
      </c>
      <c r="AK226" s="23">
        <f t="shared" si="211"/>
        <v>0</v>
      </c>
      <c r="AL226" s="23"/>
      <c r="AM226" s="23">
        <f>SUM(AB226:AK226)</f>
        <v>0</v>
      </c>
    </row>
    <row r="227" spans="2:39" ht="15" x14ac:dyDescent="0.25">
      <c r="B227" s="812"/>
      <c r="D227" s="3"/>
      <c r="E227" s="9"/>
      <c r="F227" s="9"/>
      <c r="G227" s="9"/>
      <c r="H227" s="9"/>
      <c r="I227" s="9"/>
      <c r="J227" s="9"/>
      <c r="K227" s="9"/>
      <c r="L227" s="9"/>
      <c r="M227" s="814">
        <f t="shared" si="204"/>
        <v>0</v>
      </c>
      <c r="O227" s="1824">
        <v>0</v>
      </c>
      <c r="P227" s="1824">
        <v>0</v>
      </c>
      <c r="Q227" s="1824">
        <v>0</v>
      </c>
      <c r="R227" s="1824">
        <v>0</v>
      </c>
      <c r="S227" s="1824">
        <v>1</v>
      </c>
      <c r="T227" s="1824">
        <v>0</v>
      </c>
      <c r="U227" s="1824">
        <v>0</v>
      </c>
      <c r="V227" s="1824">
        <v>0</v>
      </c>
      <c r="W227" s="1824">
        <v>0</v>
      </c>
      <c r="X227" s="1824">
        <v>0</v>
      </c>
      <c r="Z227" s="637">
        <f t="shared" ref="Z227:Z240" si="212">SUM(O227:X227)</f>
        <v>1</v>
      </c>
      <c r="AB227" s="23">
        <f t="shared" si="205"/>
        <v>0</v>
      </c>
      <c r="AC227" s="23">
        <f t="shared" si="206"/>
        <v>0</v>
      </c>
      <c r="AD227" s="23">
        <f t="shared" si="207"/>
        <v>0</v>
      </c>
      <c r="AE227" s="23">
        <f t="shared" si="208"/>
        <v>0</v>
      </c>
      <c r="AF227" s="23">
        <f t="shared" si="209"/>
        <v>0</v>
      </c>
      <c r="AG227" s="23">
        <f t="shared" si="210"/>
        <v>0</v>
      </c>
      <c r="AH227" s="23">
        <f t="shared" si="211"/>
        <v>0</v>
      </c>
      <c r="AI227" s="23">
        <f t="shared" si="211"/>
        <v>0</v>
      </c>
      <c r="AJ227" s="23">
        <f t="shared" si="211"/>
        <v>0</v>
      </c>
      <c r="AK227" s="23">
        <f t="shared" si="211"/>
        <v>0</v>
      </c>
      <c r="AL227" s="23"/>
      <c r="AM227" s="23">
        <f t="shared" ref="AM227:AM240" si="213">SUM(AB227:AK227)</f>
        <v>0</v>
      </c>
    </row>
    <row r="228" spans="2:39" ht="15" x14ac:dyDescent="0.25">
      <c r="B228" s="813"/>
      <c r="D228" s="3" t="s">
        <v>621</v>
      </c>
      <c r="E228" s="2" t="s">
        <v>605</v>
      </c>
      <c r="F228" s="357">
        <f>+Removals!AE153</f>
        <v>0</v>
      </c>
      <c r="H228" s="357">
        <f ca="1">+Removals!AH153</f>
        <v>0</v>
      </c>
      <c r="I228" s="357">
        <f>+Removals!AK153</f>
        <v>0</v>
      </c>
      <c r="J228" s="357">
        <f>+Removals!AN153</f>
        <v>0</v>
      </c>
      <c r="K228" s="357">
        <f>+Removals!AQ153</f>
        <v>0</v>
      </c>
      <c r="M228" s="814">
        <f t="shared" ca="1" si="204"/>
        <v>0</v>
      </c>
      <c r="O228" s="1824">
        <v>0</v>
      </c>
      <c r="P228" s="1824">
        <v>0</v>
      </c>
      <c r="Q228" s="1824">
        <v>0</v>
      </c>
      <c r="R228" s="1824">
        <v>0</v>
      </c>
      <c r="S228" s="1824">
        <v>1</v>
      </c>
      <c r="T228" s="1824">
        <v>0</v>
      </c>
      <c r="U228" s="1824">
        <v>0</v>
      </c>
      <c r="V228" s="1824">
        <v>0</v>
      </c>
      <c r="W228" s="1824">
        <v>0</v>
      </c>
      <c r="X228" s="1824">
        <v>0</v>
      </c>
      <c r="Z228" s="637">
        <f t="shared" si="212"/>
        <v>1</v>
      </c>
      <c r="AB228" s="23">
        <f t="shared" ca="1" si="205"/>
        <v>0</v>
      </c>
      <c r="AC228" s="23">
        <f t="shared" ca="1" si="206"/>
        <v>0</v>
      </c>
      <c r="AD228" s="23">
        <f t="shared" ca="1" si="207"/>
        <v>0</v>
      </c>
      <c r="AE228" s="23">
        <f t="shared" ca="1" si="208"/>
        <v>0</v>
      </c>
      <c r="AF228" s="23">
        <f t="shared" ca="1" si="209"/>
        <v>0</v>
      </c>
      <c r="AG228" s="23">
        <f t="shared" ca="1" si="210"/>
        <v>0</v>
      </c>
      <c r="AH228" s="23">
        <f t="shared" ca="1" si="211"/>
        <v>0</v>
      </c>
      <c r="AI228" s="23">
        <f t="shared" ca="1" si="211"/>
        <v>0</v>
      </c>
      <c r="AJ228" s="23">
        <f t="shared" ca="1" si="211"/>
        <v>0</v>
      </c>
      <c r="AK228" s="23">
        <f t="shared" ca="1" si="211"/>
        <v>0</v>
      </c>
      <c r="AL228" s="23"/>
      <c r="AM228" s="23">
        <f t="shared" ca="1" si="213"/>
        <v>0</v>
      </c>
    </row>
    <row r="229" spans="2:39" ht="15" x14ac:dyDescent="0.25">
      <c r="B229" s="813"/>
      <c r="D229" s="3"/>
      <c r="M229" s="814">
        <f t="shared" si="204"/>
        <v>0</v>
      </c>
      <c r="O229" s="1824">
        <v>0</v>
      </c>
      <c r="P229" s="1824">
        <v>0</v>
      </c>
      <c r="Q229" s="1824">
        <v>0</v>
      </c>
      <c r="R229" s="1824">
        <v>0</v>
      </c>
      <c r="S229" s="1824">
        <v>1</v>
      </c>
      <c r="T229" s="1824">
        <v>0</v>
      </c>
      <c r="U229" s="1824">
        <v>0</v>
      </c>
      <c r="V229" s="1824">
        <v>0</v>
      </c>
      <c r="W229" s="1824">
        <v>0</v>
      </c>
      <c r="X229" s="1824">
        <v>0</v>
      </c>
      <c r="Z229" s="637">
        <f t="shared" si="212"/>
        <v>1</v>
      </c>
      <c r="AB229" s="23">
        <f t="shared" si="205"/>
        <v>0</v>
      </c>
      <c r="AC229" s="23">
        <f t="shared" si="206"/>
        <v>0</v>
      </c>
      <c r="AD229" s="23">
        <f t="shared" si="207"/>
        <v>0</v>
      </c>
      <c r="AE229" s="23">
        <f t="shared" si="208"/>
        <v>0</v>
      </c>
      <c r="AF229" s="23">
        <f t="shared" si="209"/>
        <v>0</v>
      </c>
      <c r="AG229" s="23">
        <f t="shared" si="210"/>
        <v>0</v>
      </c>
      <c r="AH229" s="23">
        <f t="shared" si="211"/>
        <v>0</v>
      </c>
      <c r="AI229" s="23">
        <f t="shared" si="211"/>
        <v>0</v>
      </c>
      <c r="AJ229" s="23">
        <f t="shared" si="211"/>
        <v>0</v>
      </c>
      <c r="AK229" s="23">
        <f t="shared" si="211"/>
        <v>0</v>
      </c>
      <c r="AL229" s="23"/>
      <c r="AM229" s="23">
        <f t="shared" si="213"/>
        <v>0</v>
      </c>
    </row>
    <row r="230" spans="2:39" ht="15" x14ac:dyDescent="0.25">
      <c r="B230" s="813"/>
      <c r="D230" s="3"/>
      <c r="M230" s="814">
        <f t="shared" si="204"/>
        <v>0</v>
      </c>
      <c r="O230" s="1824">
        <v>0</v>
      </c>
      <c r="P230" s="1824">
        <v>0</v>
      </c>
      <c r="Q230" s="1824">
        <v>0</v>
      </c>
      <c r="R230" s="1824">
        <v>0</v>
      </c>
      <c r="S230" s="1824">
        <v>1</v>
      </c>
      <c r="T230" s="1824">
        <v>0</v>
      </c>
      <c r="U230" s="1824">
        <v>0</v>
      </c>
      <c r="V230" s="1824">
        <v>0</v>
      </c>
      <c r="W230" s="1824">
        <v>0</v>
      </c>
      <c r="X230" s="1824">
        <v>0</v>
      </c>
      <c r="Z230" s="637">
        <f t="shared" si="212"/>
        <v>1</v>
      </c>
      <c r="AB230" s="23">
        <f t="shared" si="205"/>
        <v>0</v>
      </c>
      <c r="AC230" s="23">
        <f t="shared" si="206"/>
        <v>0</v>
      </c>
      <c r="AD230" s="23">
        <f t="shared" si="207"/>
        <v>0</v>
      </c>
      <c r="AE230" s="23">
        <f t="shared" si="208"/>
        <v>0</v>
      </c>
      <c r="AF230" s="23">
        <f t="shared" si="209"/>
        <v>0</v>
      </c>
      <c r="AG230" s="23">
        <f t="shared" si="210"/>
        <v>0</v>
      </c>
      <c r="AH230" s="23">
        <f t="shared" si="211"/>
        <v>0</v>
      </c>
      <c r="AI230" s="23">
        <f t="shared" si="211"/>
        <v>0</v>
      </c>
      <c r="AJ230" s="23">
        <f t="shared" si="211"/>
        <v>0</v>
      </c>
      <c r="AK230" s="23">
        <f t="shared" si="211"/>
        <v>0</v>
      </c>
      <c r="AL230" s="23"/>
      <c r="AM230" s="23">
        <f t="shared" si="213"/>
        <v>0</v>
      </c>
    </row>
    <row r="231" spans="2:39" ht="15" x14ac:dyDescent="0.25">
      <c r="B231" s="813"/>
      <c r="D231" s="3"/>
      <c r="M231" s="814">
        <f t="shared" si="204"/>
        <v>0</v>
      </c>
      <c r="O231" s="1824">
        <v>0</v>
      </c>
      <c r="P231" s="1824">
        <v>0</v>
      </c>
      <c r="Q231" s="1824">
        <v>0</v>
      </c>
      <c r="R231" s="1824">
        <v>0</v>
      </c>
      <c r="S231" s="1824">
        <v>1</v>
      </c>
      <c r="T231" s="1824">
        <v>0</v>
      </c>
      <c r="U231" s="1824">
        <v>0</v>
      </c>
      <c r="V231" s="1824">
        <v>0</v>
      </c>
      <c r="W231" s="1824">
        <v>0</v>
      </c>
      <c r="X231" s="1824">
        <v>0</v>
      </c>
      <c r="Z231" s="637">
        <f t="shared" si="212"/>
        <v>1</v>
      </c>
      <c r="AB231" s="23">
        <f t="shared" si="205"/>
        <v>0</v>
      </c>
      <c r="AC231" s="23">
        <f t="shared" si="206"/>
        <v>0</v>
      </c>
      <c r="AD231" s="23">
        <f t="shared" si="207"/>
        <v>0</v>
      </c>
      <c r="AE231" s="23">
        <f t="shared" si="208"/>
        <v>0</v>
      </c>
      <c r="AF231" s="23">
        <f t="shared" si="209"/>
        <v>0</v>
      </c>
      <c r="AG231" s="23">
        <f t="shared" si="210"/>
        <v>0</v>
      </c>
      <c r="AH231" s="23">
        <f t="shared" si="211"/>
        <v>0</v>
      </c>
      <c r="AI231" s="23">
        <f t="shared" si="211"/>
        <v>0</v>
      </c>
      <c r="AJ231" s="23">
        <f t="shared" si="211"/>
        <v>0</v>
      </c>
      <c r="AK231" s="23">
        <f t="shared" si="211"/>
        <v>0</v>
      </c>
      <c r="AL231" s="23"/>
      <c r="AM231" s="23">
        <f t="shared" si="213"/>
        <v>0</v>
      </c>
    </row>
    <row r="232" spans="2:39" ht="15" x14ac:dyDescent="0.25">
      <c r="B232" s="813"/>
      <c r="D232" s="3"/>
      <c r="M232" s="814">
        <f t="shared" si="204"/>
        <v>0</v>
      </c>
      <c r="O232" s="1824">
        <v>0</v>
      </c>
      <c r="P232" s="1824">
        <v>0</v>
      </c>
      <c r="Q232" s="1824">
        <v>0</v>
      </c>
      <c r="R232" s="1824">
        <v>0</v>
      </c>
      <c r="S232" s="1824">
        <v>1</v>
      </c>
      <c r="T232" s="1824">
        <v>0</v>
      </c>
      <c r="U232" s="1824">
        <v>0</v>
      </c>
      <c r="V232" s="1824">
        <v>0</v>
      </c>
      <c r="W232" s="1824">
        <v>0</v>
      </c>
      <c r="X232" s="1824">
        <v>0</v>
      </c>
      <c r="Z232" s="637">
        <f t="shared" si="212"/>
        <v>1</v>
      </c>
      <c r="AB232" s="23">
        <f t="shared" si="205"/>
        <v>0</v>
      </c>
      <c r="AC232" s="23">
        <f t="shared" si="206"/>
        <v>0</v>
      </c>
      <c r="AD232" s="23">
        <f t="shared" si="207"/>
        <v>0</v>
      </c>
      <c r="AE232" s="23">
        <f t="shared" si="208"/>
        <v>0</v>
      </c>
      <c r="AF232" s="23">
        <f t="shared" si="209"/>
        <v>0</v>
      </c>
      <c r="AG232" s="23">
        <f t="shared" si="210"/>
        <v>0</v>
      </c>
      <c r="AH232" s="23">
        <f t="shared" si="211"/>
        <v>0</v>
      </c>
      <c r="AI232" s="23">
        <f t="shared" si="211"/>
        <v>0</v>
      </c>
      <c r="AJ232" s="23">
        <f t="shared" si="211"/>
        <v>0</v>
      </c>
      <c r="AK232" s="23">
        <f t="shared" si="211"/>
        <v>0</v>
      </c>
      <c r="AL232" s="23"/>
      <c r="AM232" s="23">
        <f t="shared" si="213"/>
        <v>0</v>
      </c>
    </row>
    <row r="233" spans="2:39" ht="15" x14ac:dyDescent="0.25">
      <c r="B233" s="813"/>
      <c r="D233" s="3" t="s">
        <v>96</v>
      </c>
      <c r="M233" s="814">
        <f t="shared" si="204"/>
        <v>0</v>
      </c>
      <c r="O233" s="1824">
        <v>0</v>
      </c>
      <c r="P233" s="1824">
        <v>0</v>
      </c>
      <c r="Q233" s="1824">
        <v>0</v>
      </c>
      <c r="R233" s="1824">
        <v>0</v>
      </c>
      <c r="S233" s="1824">
        <v>1</v>
      </c>
      <c r="T233" s="1824">
        <v>0</v>
      </c>
      <c r="U233" s="1824">
        <v>0</v>
      </c>
      <c r="V233" s="1824">
        <v>0</v>
      </c>
      <c r="W233" s="1824">
        <v>0</v>
      </c>
      <c r="X233" s="1824">
        <v>0</v>
      </c>
      <c r="Z233" s="637">
        <f t="shared" si="212"/>
        <v>1</v>
      </c>
      <c r="AB233" s="23">
        <f t="shared" si="205"/>
        <v>0</v>
      </c>
      <c r="AC233" s="23">
        <f t="shared" si="206"/>
        <v>0</v>
      </c>
      <c r="AD233" s="23">
        <f t="shared" si="207"/>
        <v>0</v>
      </c>
      <c r="AE233" s="23">
        <f t="shared" si="208"/>
        <v>0</v>
      </c>
      <c r="AF233" s="23">
        <f t="shared" si="209"/>
        <v>0</v>
      </c>
      <c r="AG233" s="23">
        <f t="shared" si="210"/>
        <v>0</v>
      </c>
      <c r="AH233" s="23">
        <f t="shared" si="211"/>
        <v>0</v>
      </c>
      <c r="AI233" s="23">
        <f t="shared" si="211"/>
        <v>0</v>
      </c>
      <c r="AJ233" s="23">
        <f t="shared" si="211"/>
        <v>0</v>
      </c>
      <c r="AK233" s="23">
        <f t="shared" si="211"/>
        <v>0</v>
      </c>
      <c r="AL233" s="23"/>
      <c r="AM233" s="23">
        <f t="shared" si="213"/>
        <v>0</v>
      </c>
    </row>
    <row r="234" spans="2:39" ht="15" x14ac:dyDescent="0.25">
      <c r="B234" s="813"/>
      <c r="D234" s="3" t="s">
        <v>96</v>
      </c>
      <c r="M234" s="814">
        <f t="shared" si="204"/>
        <v>0</v>
      </c>
      <c r="O234" s="1824">
        <v>0</v>
      </c>
      <c r="P234" s="1824">
        <v>0</v>
      </c>
      <c r="Q234" s="1824">
        <v>0</v>
      </c>
      <c r="R234" s="1824">
        <v>0</v>
      </c>
      <c r="S234" s="1824">
        <v>1</v>
      </c>
      <c r="T234" s="1824">
        <v>0</v>
      </c>
      <c r="U234" s="1824">
        <v>0</v>
      </c>
      <c r="V234" s="1824">
        <v>0</v>
      </c>
      <c r="W234" s="1824">
        <v>0</v>
      </c>
      <c r="X234" s="1824">
        <v>0</v>
      </c>
      <c r="Z234" s="637">
        <f t="shared" si="212"/>
        <v>1</v>
      </c>
      <c r="AB234" s="23">
        <f t="shared" si="205"/>
        <v>0</v>
      </c>
      <c r="AC234" s="23">
        <f t="shared" si="206"/>
        <v>0</v>
      </c>
      <c r="AD234" s="23">
        <f t="shared" si="207"/>
        <v>0</v>
      </c>
      <c r="AE234" s="23">
        <f t="shared" si="208"/>
        <v>0</v>
      </c>
      <c r="AF234" s="23">
        <f t="shared" si="209"/>
        <v>0</v>
      </c>
      <c r="AG234" s="23">
        <f t="shared" si="210"/>
        <v>0</v>
      </c>
      <c r="AH234" s="23">
        <f t="shared" si="211"/>
        <v>0</v>
      </c>
      <c r="AI234" s="23">
        <f t="shared" si="211"/>
        <v>0</v>
      </c>
      <c r="AJ234" s="23">
        <f t="shared" si="211"/>
        <v>0</v>
      </c>
      <c r="AK234" s="23">
        <f t="shared" si="211"/>
        <v>0</v>
      </c>
      <c r="AL234" s="23"/>
      <c r="AM234" s="23">
        <f t="shared" si="213"/>
        <v>0</v>
      </c>
    </row>
    <row r="235" spans="2:39" ht="15" x14ac:dyDescent="0.25">
      <c r="B235" s="813"/>
      <c r="D235" s="3" t="s">
        <v>96</v>
      </c>
      <c r="M235" s="814">
        <f t="shared" si="204"/>
        <v>0</v>
      </c>
      <c r="O235" s="1824">
        <v>0</v>
      </c>
      <c r="P235" s="1824">
        <v>0</v>
      </c>
      <c r="Q235" s="1824">
        <v>0</v>
      </c>
      <c r="R235" s="1824">
        <v>0</v>
      </c>
      <c r="S235" s="1824">
        <v>1</v>
      </c>
      <c r="T235" s="1824">
        <v>0</v>
      </c>
      <c r="U235" s="1824">
        <v>0</v>
      </c>
      <c r="V235" s="1824">
        <v>0</v>
      </c>
      <c r="W235" s="1824">
        <v>0</v>
      </c>
      <c r="X235" s="1824">
        <v>0</v>
      </c>
      <c r="Z235" s="637">
        <f t="shared" si="212"/>
        <v>1</v>
      </c>
      <c r="AB235" s="23">
        <f t="shared" si="205"/>
        <v>0</v>
      </c>
      <c r="AC235" s="23">
        <f t="shared" si="206"/>
        <v>0</v>
      </c>
      <c r="AD235" s="23">
        <f t="shared" si="207"/>
        <v>0</v>
      </c>
      <c r="AE235" s="23">
        <f t="shared" si="208"/>
        <v>0</v>
      </c>
      <c r="AF235" s="23">
        <f t="shared" si="209"/>
        <v>0</v>
      </c>
      <c r="AG235" s="23">
        <f t="shared" si="210"/>
        <v>0</v>
      </c>
      <c r="AH235" s="23">
        <f t="shared" si="211"/>
        <v>0</v>
      </c>
      <c r="AI235" s="23">
        <f t="shared" si="211"/>
        <v>0</v>
      </c>
      <c r="AJ235" s="23">
        <f t="shared" si="211"/>
        <v>0</v>
      </c>
      <c r="AK235" s="23">
        <f t="shared" si="211"/>
        <v>0</v>
      </c>
      <c r="AL235" s="23"/>
      <c r="AM235" s="23">
        <f t="shared" si="213"/>
        <v>0</v>
      </c>
    </row>
    <row r="236" spans="2:39" ht="15" x14ac:dyDescent="0.25">
      <c r="B236" s="813"/>
      <c r="D236" s="3" t="s">
        <v>96</v>
      </c>
      <c r="M236" s="814">
        <f t="shared" si="204"/>
        <v>0</v>
      </c>
      <c r="O236" s="1824">
        <v>0</v>
      </c>
      <c r="P236" s="1824">
        <v>0</v>
      </c>
      <c r="Q236" s="1824">
        <v>0</v>
      </c>
      <c r="R236" s="1824">
        <v>0</v>
      </c>
      <c r="S236" s="1824">
        <v>1</v>
      </c>
      <c r="T236" s="1824">
        <v>0</v>
      </c>
      <c r="U236" s="1824">
        <v>0</v>
      </c>
      <c r="V236" s="1824">
        <v>0</v>
      </c>
      <c r="W236" s="1824">
        <v>0</v>
      </c>
      <c r="X236" s="1824">
        <v>0</v>
      </c>
      <c r="Z236" s="637">
        <f t="shared" si="212"/>
        <v>1</v>
      </c>
      <c r="AB236" s="23">
        <f t="shared" si="205"/>
        <v>0</v>
      </c>
      <c r="AC236" s="23">
        <f t="shared" si="206"/>
        <v>0</v>
      </c>
      <c r="AD236" s="23">
        <f t="shared" si="207"/>
        <v>0</v>
      </c>
      <c r="AE236" s="23">
        <f t="shared" si="208"/>
        <v>0</v>
      </c>
      <c r="AF236" s="23">
        <f t="shared" si="209"/>
        <v>0</v>
      </c>
      <c r="AG236" s="23">
        <f t="shared" si="210"/>
        <v>0</v>
      </c>
      <c r="AH236" s="23">
        <f t="shared" si="211"/>
        <v>0</v>
      </c>
      <c r="AI236" s="23">
        <f t="shared" si="211"/>
        <v>0</v>
      </c>
      <c r="AJ236" s="23">
        <f t="shared" si="211"/>
        <v>0</v>
      </c>
      <c r="AK236" s="23">
        <f t="shared" si="211"/>
        <v>0</v>
      </c>
      <c r="AL236" s="23"/>
      <c r="AM236" s="23">
        <f t="shared" si="213"/>
        <v>0</v>
      </c>
    </row>
    <row r="237" spans="2:39" ht="15" x14ac:dyDescent="0.25">
      <c r="B237" s="813"/>
      <c r="D237" s="3" t="s">
        <v>96</v>
      </c>
      <c r="M237" s="814">
        <f t="shared" si="204"/>
        <v>0</v>
      </c>
      <c r="O237" s="1824">
        <v>0</v>
      </c>
      <c r="P237" s="1824">
        <v>0</v>
      </c>
      <c r="Q237" s="1824">
        <v>0</v>
      </c>
      <c r="R237" s="1824">
        <v>0</v>
      </c>
      <c r="S237" s="1824">
        <v>1</v>
      </c>
      <c r="T237" s="1824">
        <v>0</v>
      </c>
      <c r="U237" s="1824">
        <v>0</v>
      </c>
      <c r="V237" s="1824">
        <v>0</v>
      </c>
      <c r="W237" s="1824">
        <v>0</v>
      </c>
      <c r="X237" s="1824">
        <v>0</v>
      </c>
      <c r="Z237" s="637">
        <f t="shared" si="212"/>
        <v>1</v>
      </c>
      <c r="AB237" s="23">
        <f t="shared" si="205"/>
        <v>0</v>
      </c>
      <c r="AC237" s="23">
        <f t="shared" si="206"/>
        <v>0</v>
      </c>
      <c r="AD237" s="23">
        <f t="shared" si="207"/>
        <v>0</v>
      </c>
      <c r="AE237" s="23">
        <f t="shared" si="208"/>
        <v>0</v>
      </c>
      <c r="AF237" s="23">
        <f t="shared" si="209"/>
        <v>0</v>
      </c>
      <c r="AG237" s="23">
        <f t="shared" si="210"/>
        <v>0</v>
      </c>
      <c r="AH237" s="23">
        <f t="shared" si="211"/>
        <v>0</v>
      </c>
      <c r="AI237" s="23">
        <f t="shared" si="211"/>
        <v>0</v>
      </c>
      <c r="AJ237" s="23">
        <f t="shared" si="211"/>
        <v>0</v>
      </c>
      <c r="AK237" s="23">
        <f t="shared" si="211"/>
        <v>0</v>
      </c>
      <c r="AL237" s="23"/>
      <c r="AM237" s="23">
        <f t="shared" si="213"/>
        <v>0</v>
      </c>
    </row>
    <row r="238" spans="2:39" ht="15" x14ac:dyDescent="0.25">
      <c r="B238" s="813"/>
      <c r="D238" s="3" t="s">
        <v>96</v>
      </c>
      <c r="M238" s="814">
        <f t="shared" si="204"/>
        <v>0</v>
      </c>
      <c r="O238" s="1824">
        <v>0</v>
      </c>
      <c r="P238" s="1824">
        <v>0</v>
      </c>
      <c r="Q238" s="1824">
        <v>0</v>
      </c>
      <c r="R238" s="1824">
        <v>0</v>
      </c>
      <c r="S238" s="1824">
        <v>1</v>
      </c>
      <c r="T238" s="1824">
        <v>0</v>
      </c>
      <c r="U238" s="1824">
        <v>0</v>
      </c>
      <c r="V238" s="1824">
        <v>0</v>
      </c>
      <c r="W238" s="1824">
        <v>0</v>
      </c>
      <c r="X238" s="1824">
        <v>0</v>
      </c>
      <c r="Z238" s="637">
        <f t="shared" si="212"/>
        <v>1</v>
      </c>
      <c r="AB238" s="23">
        <f t="shared" si="205"/>
        <v>0</v>
      </c>
      <c r="AC238" s="23">
        <f t="shared" si="206"/>
        <v>0</v>
      </c>
      <c r="AD238" s="23">
        <f t="shared" si="207"/>
        <v>0</v>
      </c>
      <c r="AE238" s="23">
        <f t="shared" si="208"/>
        <v>0</v>
      </c>
      <c r="AF238" s="23">
        <f t="shared" si="209"/>
        <v>0</v>
      </c>
      <c r="AG238" s="23">
        <f t="shared" si="210"/>
        <v>0</v>
      </c>
      <c r="AH238" s="23">
        <f t="shared" si="211"/>
        <v>0</v>
      </c>
      <c r="AI238" s="23">
        <f t="shared" si="211"/>
        <v>0</v>
      </c>
      <c r="AJ238" s="23">
        <f t="shared" si="211"/>
        <v>0</v>
      </c>
      <c r="AK238" s="23">
        <f t="shared" si="211"/>
        <v>0</v>
      </c>
      <c r="AL238" s="23"/>
      <c r="AM238" s="23">
        <f t="shared" si="213"/>
        <v>0</v>
      </c>
    </row>
    <row r="239" spans="2:39" ht="15" x14ac:dyDescent="0.25">
      <c r="B239" s="813"/>
      <c r="D239" s="3" t="s">
        <v>96</v>
      </c>
      <c r="M239" s="814">
        <f t="shared" si="204"/>
        <v>0</v>
      </c>
      <c r="O239" s="1824">
        <v>0</v>
      </c>
      <c r="P239" s="1824">
        <v>0</v>
      </c>
      <c r="Q239" s="1824">
        <v>0</v>
      </c>
      <c r="R239" s="1824">
        <v>0</v>
      </c>
      <c r="S239" s="1824">
        <v>1</v>
      </c>
      <c r="T239" s="1824">
        <v>0</v>
      </c>
      <c r="U239" s="1824">
        <v>0</v>
      </c>
      <c r="V239" s="1824">
        <v>0</v>
      </c>
      <c r="W239" s="1824">
        <v>0</v>
      </c>
      <c r="X239" s="1824">
        <v>0</v>
      </c>
      <c r="Z239" s="637">
        <f t="shared" si="212"/>
        <v>1</v>
      </c>
      <c r="AB239" s="23">
        <f t="shared" si="205"/>
        <v>0</v>
      </c>
      <c r="AC239" s="23">
        <f t="shared" si="206"/>
        <v>0</v>
      </c>
      <c r="AD239" s="23">
        <f t="shared" si="207"/>
        <v>0</v>
      </c>
      <c r="AE239" s="23">
        <f t="shared" si="208"/>
        <v>0</v>
      </c>
      <c r="AF239" s="23">
        <f t="shared" si="209"/>
        <v>0</v>
      </c>
      <c r="AG239" s="23">
        <f t="shared" si="210"/>
        <v>0</v>
      </c>
      <c r="AH239" s="23">
        <f t="shared" si="211"/>
        <v>0</v>
      </c>
      <c r="AI239" s="23">
        <f t="shared" si="211"/>
        <v>0</v>
      </c>
      <c r="AJ239" s="23">
        <f t="shared" si="211"/>
        <v>0</v>
      </c>
      <c r="AK239" s="23">
        <f t="shared" si="211"/>
        <v>0</v>
      </c>
      <c r="AL239" s="23"/>
      <c r="AM239" s="23">
        <f t="shared" si="213"/>
        <v>0</v>
      </c>
    </row>
    <row r="240" spans="2:39" ht="15" x14ac:dyDescent="0.25">
      <c r="B240" s="813"/>
      <c r="D240" s="3"/>
      <c r="M240" s="814">
        <f t="shared" si="204"/>
        <v>0</v>
      </c>
      <c r="O240" s="1824">
        <v>0</v>
      </c>
      <c r="P240" s="1824">
        <v>0</v>
      </c>
      <c r="Q240" s="1824">
        <v>0</v>
      </c>
      <c r="R240" s="1824">
        <v>0</v>
      </c>
      <c r="S240" s="1824">
        <v>1</v>
      </c>
      <c r="T240" s="1824">
        <v>0</v>
      </c>
      <c r="U240" s="1824">
        <v>0</v>
      </c>
      <c r="V240" s="1824">
        <v>0</v>
      </c>
      <c r="W240" s="1824">
        <v>0</v>
      </c>
      <c r="X240" s="1824">
        <v>0</v>
      </c>
      <c r="Z240" s="637">
        <f t="shared" si="212"/>
        <v>1</v>
      </c>
      <c r="AB240" s="23">
        <f t="shared" si="205"/>
        <v>0</v>
      </c>
      <c r="AC240" s="23">
        <f t="shared" si="206"/>
        <v>0</v>
      </c>
      <c r="AD240" s="23">
        <f t="shared" si="207"/>
        <v>0</v>
      </c>
      <c r="AE240" s="23">
        <f t="shared" si="208"/>
        <v>0</v>
      </c>
      <c r="AF240" s="23">
        <f t="shared" si="209"/>
        <v>0</v>
      </c>
      <c r="AG240" s="23">
        <f t="shared" si="210"/>
        <v>0</v>
      </c>
      <c r="AH240" s="23">
        <f t="shared" si="211"/>
        <v>0</v>
      </c>
      <c r="AI240" s="23">
        <f t="shared" si="211"/>
        <v>0</v>
      </c>
      <c r="AJ240" s="23">
        <f t="shared" si="211"/>
        <v>0</v>
      </c>
      <c r="AK240" s="23">
        <f t="shared" si="211"/>
        <v>0</v>
      </c>
      <c r="AL240" s="23"/>
      <c r="AM240" s="23">
        <f t="shared" si="213"/>
        <v>0</v>
      </c>
    </row>
    <row r="241" spans="2:40" ht="15" x14ac:dyDescent="0.25">
      <c r="B241" s="813"/>
      <c r="AB241" s="23"/>
      <c r="AC241" s="23"/>
      <c r="AD241" s="23"/>
      <c r="AE241" s="23"/>
      <c r="AF241" s="23">
        <f>+$M241*S241</f>
        <v>0</v>
      </c>
      <c r="AG241" s="23">
        <f>+$M241*T241</f>
        <v>0</v>
      </c>
      <c r="AH241" s="23">
        <f t="shared" si="211"/>
        <v>0</v>
      </c>
      <c r="AI241" s="23">
        <f t="shared" si="211"/>
        <v>0</v>
      </c>
      <c r="AJ241" s="23">
        <f t="shared" si="211"/>
        <v>0</v>
      </c>
      <c r="AK241" s="23">
        <f t="shared" si="211"/>
        <v>0</v>
      </c>
      <c r="AL241" s="23"/>
      <c r="AM241" s="23"/>
    </row>
    <row r="242" spans="2:40" ht="15" x14ac:dyDescent="0.25">
      <c r="B242" s="813"/>
      <c r="AB242" s="23"/>
      <c r="AC242" s="23"/>
      <c r="AD242" s="23"/>
      <c r="AE242" s="23"/>
      <c r="AF242" s="23"/>
      <c r="AG242" s="23"/>
      <c r="AH242" s="23"/>
      <c r="AI242" s="23"/>
      <c r="AJ242" s="23"/>
      <c r="AK242" s="23"/>
      <c r="AL242" s="23"/>
      <c r="AM242" s="23"/>
    </row>
    <row r="243" spans="2:40" ht="15" x14ac:dyDescent="0.25">
      <c r="B243" s="813"/>
      <c r="C243" s="9" t="s">
        <v>622</v>
      </c>
      <c r="D243" s="9"/>
      <c r="M243" s="823">
        <f ca="1">SUM(M226:M242)</f>
        <v>0</v>
      </c>
      <c r="AB243" s="823">
        <f t="shared" ref="AB243:AG243" ca="1" si="214">SUM(AB226:AB242)</f>
        <v>0</v>
      </c>
      <c r="AC243" s="823">
        <f t="shared" ca="1" si="214"/>
        <v>0</v>
      </c>
      <c r="AD243" s="823">
        <f t="shared" ca="1" si="214"/>
        <v>0</v>
      </c>
      <c r="AE243" s="823">
        <f t="shared" ca="1" si="214"/>
        <v>0</v>
      </c>
      <c r="AF243" s="823">
        <f t="shared" ca="1" si="214"/>
        <v>0</v>
      </c>
      <c r="AG243" s="823">
        <f t="shared" ca="1" si="214"/>
        <v>0</v>
      </c>
      <c r="AH243" s="823">
        <f t="shared" ref="AH243:AK243" ca="1" si="215">SUM(AH226:AH242)</f>
        <v>0</v>
      </c>
      <c r="AI243" s="823">
        <f t="shared" ca="1" si="215"/>
        <v>0</v>
      </c>
      <c r="AJ243" s="823">
        <f t="shared" ca="1" si="215"/>
        <v>0</v>
      </c>
      <c r="AK243" s="823">
        <f t="shared" ca="1" si="215"/>
        <v>0</v>
      </c>
      <c r="AL243" s="23"/>
      <c r="AM243" s="823">
        <f ca="1">SUM(AB243:AK243)</f>
        <v>0</v>
      </c>
    </row>
    <row r="244" spans="2:40" ht="15" x14ac:dyDescent="0.25">
      <c r="B244" s="813"/>
      <c r="C244" s="9"/>
      <c r="D244" s="9"/>
      <c r="M244" s="825"/>
      <c r="AB244" s="825"/>
      <c r="AC244" s="825"/>
      <c r="AD244" s="825"/>
      <c r="AE244" s="825"/>
      <c r="AF244" s="825"/>
      <c r="AG244" s="825"/>
      <c r="AH244" s="825"/>
      <c r="AI244" s="825"/>
      <c r="AJ244" s="825"/>
      <c r="AK244" s="825"/>
      <c r="AL244" s="23"/>
      <c r="AM244" s="825"/>
    </row>
    <row r="245" spans="2:40" ht="15" x14ac:dyDescent="0.25">
      <c r="B245" s="813"/>
    </row>
    <row r="246" spans="2:40" ht="15" x14ac:dyDescent="0.25">
      <c r="B246" s="813"/>
      <c r="C246" s="9" t="s">
        <v>606</v>
      </c>
      <c r="D246" s="9"/>
      <c r="H246" s="820"/>
      <c r="I246" s="820"/>
      <c r="J246" s="820"/>
      <c r="K246" s="820"/>
      <c r="L246" s="820"/>
      <c r="M246" s="822">
        <f ca="1">SUM(M229:M245)</f>
        <v>0</v>
      </c>
      <c r="O246" t="s">
        <v>607</v>
      </c>
      <c r="AB246" s="823">
        <f t="shared" ref="AB246:AG246" ca="1" si="216">SUM(AB229:AB245)</f>
        <v>0</v>
      </c>
      <c r="AC246" s="823">
        <f t="shared" ca="1" si="216"/>
        <v>0</v>
      </c>
      <c r="AD246" s="823">
        <f t="shared" ca="1" si="216"/>
        <v>0</v>
      </c>
      <c r="AE246" s="823">
        <f t="shared" ca="1" si="216"/>
        <v>0</v>
      </c>
      <c r="AF246" s="823">
        <f t="shared" ca="1" si="216"/>
        <v>0</v>
      </c>
      <c r="AG246" s="823">
        <f t="shared" ca="1" si="216"/>
        <v>0</v>
      </c>
      <c r="AH246" s="823">
        <f t="shared" ref="AH246:AK246" ca="1" si="217">SUM(AH229:AH245)</f>
        <v>0</v>
      </c>
      <c r="AI246" s="823">
        <f t="shared" ca="1" si="217"/>
        <v>0</v>
      </c>
      <c r="AJ246" s="823">
        <f t="shared" ca="1" si="217"/>
        <v>0</v>
      </c>
      <c r="AK246" s="823">
        <f t="shared" ca="1" si="217"/>
        <v>0</v>
      </c>
      <c r="AL246" s="23"/>
      <c r="AM246" s="823">
        <f ca="1">SUM(AB246:AK246)</f>
        <v>0</v>
      </c>
    </row>
    <row r="247" spans="2:40" ht="15" x14ac:dyDescent="0.25">
      <c r="B247" s="813"/>
      <c r="C247" s="9"/>
      <c r="D247" s="9"/>
      <c r="H247" s="820"/>
      <c r="I247" s="820"/>
      <c r="J247" s="820"/>
      <c r="K247" s="820"/>
      <c r="L247" s="820"/>
      <c r="M247" s="824"/>
      <c r="AB247" s="825"/>
      <c r="AC247" s="825"/>
      <c r="AD247" s="825"/>
      <c r="AE247" s="825"/>
      <c r="AF247" s="825"/>
      <c r="AG247" s="825"/>
      <c r="AH247" s="825"/>
      <c r="AI247" s="825"/>
      <c r="AJ247" s="825"/>
      <c r="AK247" s="825"/>
      <c r="AL247" s="23"/>
      <c r="AM247" s="825"/>
    </row>
    <row r="248" spans="2:40" ht="15" x14ac:dyDescent="0.25">
      <c r="B248" s="813"/>
      <c r="C248" s="9"/>
      <c r="D248" s="9" t="s">
        <v>608</v>
      </c>
      <c r="E248" s="2" t="s">
        <v>604</v>
      </c>
      <c r="F248" s="23">
        <f ca="1">SUMIF($E$17:$E$33,$E248,F229:F243)</f>
        <v>0</v>
      </c>
      <c r="G248" s="2"/>
      <c r="H248" s="826">
        <f ca="1">SUMIF($E$17:$E$33,$E248,H229:H243)</f>
        <v>0</v>
      </c>
      <c r="I248" s="826">
        <f ca="1">SUMIF($E$17:$E$33,$E248,I229:I243)</f>
        <v>0</v>
      </c>
      <c r="J248" s="826">
        <f ca="1">SUMIF($E$17:$E$33,$E248,J229:J243)</f>
        <v>0</v>
      </c>
      <c r="K248" s="826">
        <f ca="1">SUMIF($E$17:$E$33,$E248,K229:K243)</f>
        <v>0</v>
      </c>
      <c r="L248" s="820"/>
      <c r="M248" s="23">
        <f>SUMIF($E$226:$E$240,$E248,M226:M240)</f>
        <v>0</v>
      </c>
      <c r="O248" s="23">
        <f t="shared" ref="O248:T248" si="218">IF($AM$248=0,0,+$F$226*AB248/$AM$248)</f>
        <v>0</v>
      </c>
      <c r="P248" s="23">
        <f t="shared" si="218"/>
        <v>0</v>
      </c>
      <c r="Q248" s="23">
        <f t="shared" si="218"/>
        <v>0</v>
      </c>
      <c r="R248" s="23">
        <f t="shared" si="218"/>
        <v>0</v>
      </c>
      <c r="S248" s="23">
        <f t="shared" si="218"/>
        <v>0</v>
      </c>
      <c r="T248" s="23">
        <f t="shared" si="218"/>
        <v>0</v>
      </c>
      <c r="U248" s="23">
        <f t="shared" ref="U248" si="219">IF($AM$248=0,0,+$F$226*AH248/$AM$248)</f>
        <v>0</v>
      </c>
      <c r="V248" s="23">
        <f t="shared" ref="V248" si="220">IF($AM$248=0,0,+$F$226*AI248/$AM$248)</f>
        <v>0</v>
      </c>
      <c r="W248" s="23">
        <f t="shared" ref="W248" si="221">IF($AM$248=0,0,+$F$226*AJ248/$AM$248)</f>
        <v>0</v>
      </c>
      <c r="X248" s="23">
        <f t="shared" ref="X248" si="222">IF($AM$248=0,0,+$F$226*AK248/$AM$248)</f>
        <v>0</v>
      </c>
      <c r="Z248" s="335">
        <f>SUM(O248:X248)</f>
        <v>0</v>
      </c>
      <c r="AB248" s="23">
        <f t="shared" ref="AB248:AG248" si="223">SUMIF($E$226:$E$240,$E248,AB226:AB240)</f>
        <v>0</v>
      </c>
      <c r="AC248" s="23">
        <f t="shared" si="223"/>
        <v>0</v>
      </c>
      <c r="AD248" s="23">
        <f t="shared" si="223"/>
        <v>0</v>
      </c>
      <c r="AE248" s="23">
        <f t="shared" si="223"/>
        <v>0</v>
      </c>
      <c r="AF248" s="23">
        <f t="shared" si="223"/>
        <v>0</v>
      </c>
      <c r="AG248" s="23">
        <f t="shared" si="223"/>
        <v>0</v>
      </c>
      <c r="AH248" s="23">
        <f t="shared" ref="AH248:AK248" si="224">SUMIF($E$226:$E$240,$E248,AH226:AH240)</f>
        <v>0</v>
      </c>
      <c r="AI248" s="23">
        <f t="shared" si="224"/>
        <v>0</v>
      </c>
      <c r="AJ248" s="23">
        <f t="shared" si="224"/>
        <v>0</v>
      </c>
      <c r="AK248" s="23">
        <f t="shared" si="224"/>
        <v>0</v>
      </c>
      <c r="AL248" s="23"/>
      <c r="AM248" s="23">
        <f>SUMIF($E$226:$E$240,$E248,AM226:AM240)</f>
        <v>0</v>
      </c>
    </row>
    <row r="249" spans="2:40" ht="15" x14ac:dyDescent="0.25">
      <c r="B249" s="813"/>
      <c r="C249" s="9"/>
      <c r="D249" s="9" t="s">
        <v>608</v>
      </c>
      <c r="E249" s="2" t="s">
        <v>605</v>
      </c>
      <c r="F249" s="23">
        <f ca="1">SUMIF($E$17:$E$33,$E249,F229:F243)</f>
        <v>0</v>
      </c>
      <c r="G249" s="2"/>
      <c r="H249" s="826">
        <f ca="1">SUMIF($E$17:$E$33,$E249,H229:H243)</f>
        <v>0</v>
      </c>
      <c r="I249" s="826">
        <f ca="1">SUMIF($E$17:$E$33,$E249,I229:I243)</f>
        <v>0</v>
      </c>
      <c r="J249" s="826">
        <f ca="1">SUMIF($E$17:$E$33,$E249,J229:J243)</f>
        <v>0</v>
      </c>
      <c r="K249" s="826">
        <f ca="1">SUMIF($E$17:$E$33,$E249,K229:K243)</f>
        <v>0</v>
      </c>
      <c r="L249" s="820"/>
      <c r="M249" s="23">
        <f ca="1">SUMIF($E$226:$E$240,$E249,M226:M240)</f>
        <v>0</v>
      </c>
      <c r="O249" s="23">
        <f t="shared" ref="O249:T249" ca="1" si="225">IF($AM$249=0,0,+$F$228*AB249/$AM$249)</f>
        <v>0</v>
      </c>
      <c r="P249" s="23">
        <f t="shared" ca="1" si="225"/>
        <v>0</v>
      </c>
      <c r="Q249" s="23">
        <f t="shared" ca="1" si="225"/>
        <v>0</v>
      </c>
      <c r="R249" s="23">
        <f t="shared" ca="1" si="225"/>
        <v>0</v>
      </c>
      <c r="S249" s="23">
        <f t="shared" ca="1" si="225"/>
        <v>0</v>
      </c>
      <c r="T249" s="23">
        <f t="shared" ca="1" si="225"/>
        <v>0</v>
      </c>
      <c r="U249" s="23">
        <f t="shared" ref="U249" ca="1" si="226">IF($AM$249=0,0,+$F$228*AH249/$AM$249)</f>
        <v>0</v>
      </c>
      <c r="V249" s="23">
        <f t="shared" ref="V249" ca="1" si="227">IF($AM$249=0,0,+$F$228*AI249/$AM$249)</f>
        <v>0</v>
      </c>
      <c r="W249" s="23">
        <f t="shared" ref="W249" ca="1" si="228">IF($AM$249=0,0,+$F$228*AJ249/$AM$249)</f>
        <v>0</v>
      </c>
      <c r="X249" s="23">
        <f t="shared" ref="X249" ca="1" si="229">IF($AM$249=0,0,+$F$228*AK249/$AM$249)</f>
        <v>0</v>
      </c>
      <c r="Z249" s="335">
        <f ca="1">SUM(O249:X249)</f>
        <v>0</v>
      </c>
      <c r="AB249" s="23">
        <f t="shared" ref="AB249:AG249" ca="1" si="230">SUMIF($E$226:$E$240,$E249,AB226:AB240)</f>
        <v>0</v>
      </c>
      <c r="AC249" s="23">
        <f t="shared" ca="1" si="230"/>
        <v>0</v>
      </c>
      <c r="AD249" s="23">
        <f t="shared" ca="1" si="230"/>
        <v>0</v>
      </c>
      <c r="AE249" s="23">
        <f t="shared" ca="1" si="230"/>
        <v>0</v>
      </c>
      <c r="AF249" s="23">
        <f t="shared" ca="1" si="230"/>
        <v>0</v>
      </c>
      <c r="AG249" s="23">
        <f t="shared" ca="1" si="230"/>
        <v>0</v>
      </c>
      <c r="AH249" s="23">
        <f t="shared" ref="AH249:AK249" ca="1" si="231">SUMIF($E$226:$E$240,$E249,AH226:AH240)</f>
        <v>0</v>
      </c>
      <c r="AI249" s="23">
        <f t="shared" ca="1" si="231"/>
        <v>0</v>
      </c>
      <c r="AJ249" s="23">
        <f t="shared" ca="1" si="231"/>
        <v>0</v>
      </c>
      <c r="AK249" s="23">
        <f t="shared" ca="1" si="231"/>
        <v>0</v>
      </c>
      <c r="AL249" s="23"/>
      <c r="AM249" s="23">
        <f ca="1">SUMIF($E$226:$E$240,$E249,AM226:AM240)</f>
        <v>0</v>
      </c>
      <c r="AN249" s="335">
        <f ca="1">+AM248+AM249</f>
        <v>0</v>
      </c>
    </row>
    <row r="250" spans="2:40" ht="15" x14ac:dyDescent="0.25">
      <c r="B250" s="813"/>
    </row>
    <row r="251" spans="2:40" ht="15" x14ac:dyDescent="0.25">
      <c r="B251" s="813"/>
    </row>
    <row r="252" spans="2:40" ht="15" x14ac:dyDescent="0.25">
      <c r="B252" s="813"/>
      <c r="C252" s="9" t="s">
        <v>282</v>
      </c>
      <c r="AB252" s="2422">
        <f t="shared" ref="AB252:AK252" si="232">AB7</f>
        <v>45292</v>
      </c>
      <c r="AC252" s="2422">
        <f t="shared" si="232"/>
        <v>45658</v>
      </c>
      <c r="AD252" s="2422">
        <f t="shared" si="232"/>
        <v>46023</v>
      </c>
      <c r="AE252" s="2422">
        <f t="shared" si="232"/>
        <v>46388</v>
      </c>
      <c r="AF252" s="2422">
        <f t="shared" si="232"/>
        <v>46753</v>
      </c>
      <c r="AG252" s="2422">
        <f t="shared" si="232"/>
        <v>47119</v>
      </c>
      <c r="AH252" s="2422">
        <f t="shared" si="232"/>
        <v>47484</v>
      </c>
      <c r="AI252" s="2422">
        <f t="shared" si="232"/>
        <v>47849</v>
      </c>
      <c r="AJ252" s="2422">
        <f t="shared" si="232"/>
        <v>48214</v>
      </c>
      <c r="AK252" s="2422">
        <f t="shared" si="232"/>
        <v>48580</v>
      </c>
    </row>
    <row r="253" spans="2:40" ht="15" x14ac:dyDescent="0.25">
      <c r="B253" s="813"/>
      <c r="AB253" s="23"/>
      <c r="AC253" s="23"/>
      <c r="AD253" s="23"/>
      <c r="AE253" s="23"/>
      <c r="AF253" s="23"/>
      <c r="AG253" s="23"/>
      <c r="AH253" s="23"/>
      <c r="AI253" s="23"/>
      <c r="AJ253" s="23"/>
      <c r="AK253" s="23"/>
      <c r="AM253" s="23"/>
    </row>
    <row r="254" spans="2:40" ht="15" x14ac:dyDescent="0.25">
      <c r="B254" s="813"/>
      <c r="D254" s="3" t="str">
        <f t="shared" ref="D254:E268" si="233">+D226</f>
        <v>Removals tab</v>
      </c>
      <c r="E254" t="str">
        <f t="shared" si="233"/>
        <v>E</v>
      </c>
      <c r="AB254" s="23">
        <f t="shared" ref="AB254:AG268" si="234">+AB226*AB$10</f>
        <v>0</v>
      </c>
      <c r="AC254" s="23">
        <f t="shared" si="234"/>
        <v>0</v>
      </c>
      <c r="AD254" s="23">
        <f t="shared" si="234"/>
        <v>0</v>
      </c>
      <c r="AE254" s="23">
        <f t="shared" si="234"/>
        <v>0</v>
      </c>
      <c r="AF254" s="23">
        <f t="shared" si="234"/>
        <v>0</v>
      </c>
      <c r="AG254" s="23">
        <f t="shared" si="234"/>
        <v>0</v>
      </c>
      <c r="AH254" s="23">
        <f t="shared" ref="AH254:AK254" si="235">+AH226*AH$10</f>
        <v>0</v>
      </c>
      <c r="AI254" s="23">
        <f t="shared" si="235"/>
        <v>0</v>
      </c>
      <c r="AJ254" s="23">
        <f t="shared" si="235"/>
        <v>0</v>
      </c>
      <c r="AK254" s="23">
        <f t="shared" si="235"/>
        <v>0</v>
      </c>
      <c r="AM254" s="23">
        <f>SUM(AB254:AK254)</f>
        <v>0</v>
      </c>
    </row>
    <row r="255" spans="2:40" ht="15" x14ac:dyDescent="0.25">
      <c r="B255" s="813"/>
      <c r="D255" s="3">
        <f t="shared" si="233"/>
        <v>0</v>
      </c>
      <c r="E255">
        <f t="shared" si="233"/>
        <v>0</v>
      </c>
      <c r="AB255" s="23">
        <f t="shared" si="234"/>
        <v>0</v>
      </c>
      <c r="AC255" s="23">
        <f t="shared" si="234"/>
        <v>0</v>
      </c>
      <c r="AD255" s="23">
        <f t="shared" si="234"/>
        <v>0</v>
      </c>
      <c r="AE255" s="23">
        <f t="shared" si="234"/>
        <v>0</v>
      </c>
      <c r="AF255" s="23">
        <f t="shared" si="234"/>
        <v>0</v>
      </c>
      <c r="AG255" s="23">
        <f t="shared" si="234"/>
        <v>0</v>
      </c>
      <c r="AH255" s="23">
        <f t="shared" ref="AH255:AK255" si="236">+AH227*AH$10</f>
        <v>0</v>
      </c>
      <c r="AI255" s="23">
        <f t="shared" si="236"/>
        <v>0</v>
      </c>
      <c r="AJ255" s="23">
        <f t="shared" si="236"/>
        <v>0</v>
      </c>
      <c r="AK255" s="23">
        <f t="shared" si="236"/>
        <v>0</v>
      </c>
      <c r="AM255" s="23">
        <f t="shared" ref="AM255:AM268" si="237">SUM(AB255:AK255)</f>
        <v>0</v>
      </c>
    </row>
    <row r="256" spans="2:40" ht="15" x14ac:dyDescent="0.25">
      <c r="B256" s="813"/>
      <c r="D256" s="3" t="str">
        <f t="shared" si="233"/>
        <v>Removals tab</v>
      </c>
      <c r="E256" t="str">
        <f t="shared" si="233"/>
        <v>OS</v>
      </c>
      <c r="AB256" s="23">
        <f t="shared" ca="1" si="234"/>
        <v>0</v>
      </c>
      <c r="AC256" s="23">
        <f t="shared" ca="1" si="234"/>
        <v>0</v>
      </c>
      <c r="AD256" s="23">
        <f t="shared" ca="1" si="234"/>
        <v>0</v>
      </c>
      <c r="AE256" s="23">
        <f t="shared" ca="1" si="234"/>
        <v>0</v>
      </c>
      <c r="AF256" s="23">
        <f t="shared" ca="1" si="234"/>
        <v>0</v>
      </c>
      <c r="AG256" s="23">
        <f t="shared" ca="1" si="234"/>
        <v>0</v>
      </c>
      <c r="AH256" s="23">
        <f t="shared" ref="AH256:AK256" ca="1" si="238">+AH228*AH$10</f>
        <v>0</v>
      </c>
      <c r="AI256" s="23">
        <f t="shared" ca="1" si="238"/>
        <v>0</v>
      </c>
      <c r="AJ256" s="23">
        <f t="shared" ca="1" si="238"/>
        <v>0</v>
      </c>
      <c r="AK256" s="23">
        <f t="shared" ca="1" si="238"/>
        <v>0</v>
      </c>
      <c r="AM256" s="23">
        <f t="shared" ca="1" si="237"/>
        <v>0</v>
      </c>
    </row>
    <row r="257" spans="2:39" ht="15" x14ac:dyDescent="0.25">
      <c r="B257" s="813"/>
      <c r="D257" s="3">
        <f t="shared" si="233"/>
        <v>0</v>
      </c>
      <c r="E257">
        <f t="shared" si="233"/>
        <v>0</v>
      </c>
      <c r="AB257" s="23">
        <f t="shared" si="234"/>
        <v>0</v>
      </c>
      <c r="AC257" s="23">
        <f t="shared" si="234"/>
        <v>0</v>
      </c>
      <c r="AD257" s="23">
        <f t="shared" si="234"/>
        <v>0</v>
      </c>
      <c r="AE257" s="23">
        <f t="shared" si="234"/>
        <v>0</v>
      </c>
      <c r="AF257" s="23">
        <f t="shared" si="234"/>
        <v>0</v>
      </c>
      <c r="AG257" s="23">
        <f t="shared" si="234"/>
        <v>0</v>
      </c>
      <c r="AH257" s="23">
        <f t="shared" ref="AH257:AK257" si="239">+AH229*AH$10</f>
        <v>0</v>
      </c>
      <c r="AI257" s="23">
        <f t="shared" si="239"/>
        <v>0</v>
      </c>
      <c r="AJ257" s="23">
        <f t="shared" si="239"/>
        <v>0</v>
      </c>
      <c r="AK257" s="23">
        <f t="shared" si="239"/>
        <v>0</v>
      </c>
      <c r="AM257" s="23">
        <f t="shared" si="237"/>
        <v>0</v>
      </c>
    </row>
    <row r="258" spans="2:39" ht="15" x14ac:dyDescent="0.25">
      <c r="B258" s="813"/>
      <c r="D258" s="3">
        <f t="shared" si="233"/>
        <v>0</v>
      </c>
      <c r="E258">
        <f t="shared" si="233"/>
        <v>0</v>
      </c>
      <c r="AB258" s="23">
        <f t="shared" si="234"/>
        <v>0</v>
      </c>
      <c r="AC258" s="23">
        <f t="shared" si="234"/>
        <v>0</v>
      </c>
      <c r="AD258" s="23">
        <f t="shared" si="234"/>
        <v>0</v>
      </c>
      <c r="AE258" s="23">
        <f t="shared" si="234"/>
        <v>0</v>
      </c>
      <c r="AF258" s="23">
        <f t="shared" si="234"/>
        <v>0</v>
      </c>
      <c r="AG258" s="23">
        <f t="shared" si="234"/>
        <v>0</v>
      </c>
      <c r="AH258" s="23">
        <f t="shared" ref="AH258:AK258" si="240">+AH230*AH$10</f>
        <v>0</v>
      </c>
      <c r="AI258" s="23">
        <f t="shared" si="240"/>
        <v>0</v>
      </c>
      <c r="AJ258" s="23">
        <f t="shared" si="240"/>
        <v>0</v>
      </c>
      <c r="AK258" s="23">
        <f t="shared" si="240"/>
        <v>0</v>
      </c>
      <c r="AM258" s="23">
        <f t="shared" si="237"/>
        <v>0</v>
      </c>
    </row>
    <row r="259" spans="2:39" ht="15" x14ac:dyDescent="0.25">
      <c r="B259" s="813"/>
      <c r="D259" s="3">
        <f t="shared" si="233"/>
        <v>0</v>
      </c>
      <c r="E259">
        <f t="shared" si="233"/>
        <v>0</v>
      </c>
      <c r="AB259" s="23">
        <f t="shared" si="234"/>
        <v>0</v>
      </c>
      <c r="AC259" s="23">
        <f t="shared" si="234"/>
        <v>0</v>
      </c>
      <c r="AD259" s="23">
        <f t="shared" si="234"/>
        <v>0</v>
      </c>
      <c r="AE259" s="23">
        <f t="shared" si="234"/>
        <v>0</v>
      </c>
      <c r="AF259" s="23">
        <f t="shared" si="234"/>
        <v>0</v>
      </c>
      <c r="AG259" s="23">
        <f t="shared" si="234"/>
        <v>0</v>
      </c>
      <c r="AH259" s="23">
        <f t="shared" ref="AH259:AK259" si="241">+AH231*AH$10</f>
        <v>0</v>
      </c>
      <c r="AI259" s="23">
        <f t="shared" si="241"/>
        <v>0</v>
      </c>
      <c r="AJ259" s="23">
        <f t="shared" si="241"/>
        <v>0</v>
      </c>
      <c r="AK259" s="23">
        <f t="shared" si="241"/>
        <v>0</v>
      </c>
      <c r="AM259" s="23">
        <f t="shared" si="237"/>
        <v>0</v>
      </c>
    </row>
    <row r="260" spans="2:39" ht="15" x14ac:dyDescent="0.25">
      <c r="B260" s="813"/>
      <c r="D260" s="3">
        <f t="shared" si="233"/>
        <v>0</v>
      </c>
      <c r="E260">
        <f t="shared" si="233"/>
        <v>0</v>
      </c>
      <c r="AB260" s="23">
        <f t="shared" si="234"/>
        <v>0</v>
      </c>
      <c r="AC260" s="23">
        <f t="shared" si="234"/>
        <v>0</v>
      </c>
      <c r="AD260" s="23">
        <f t="shared" si="234"/>
        <v>0</v>
      </c>
      <c r="AE260" s="23">
        <f t="shared" si="234"/>
        <v>0</v>
      </c>
      <c r="AF260" s="23">
        <f t="shared" si="234"/>
        <v>0</v>
      </c>
      <c r="AG260" s="23">
        <f t="shared" si="234"/>
        <v>0</v>
      </c>
      <c r="AH260" s="23">
        <f t="shared" ref="AH260:AK260" si="242">+AH232*AH$10</f>
        <v>0</v>
      </c>
      <c r="AI260" s="23">
        <f t="shared" si="242"/>
        <v>0</v>
      </c>
      <c r="AJ260" s="23">
        <f t="shared" si="242"/>
        <v>0</v>
      </c>
      <c r="AK260" s="23">
        <f t="shared" si="242"/>
        <v>0</v>
      </c>
      <c r="AM260" s="23">
        <f t="shared" si="237"/>
        <v>0</v>
      </c>
    </row>
    <row r="261" spans="2:39" ht="15" x14ac:dyDescent="0.25">
      <c r="B261" s="813"/>
      <c r="D261" s="3" t="str">
        <f t="shared" si="233"/>
        <v xml:space="preserve"> </v>
      </c>
      <c r="E261">
        <f t="shared" si="233"/>
        <v>0</v>
      </c>
      <c r="AB261" s="23">
        <f t="shared" si="234"/>
        <v>0</v>
      </c>
      <c r="AC261" s="23">
        <f t="shared" si="234"/>
        <v>0</v>
      </c>
      <c r="AD261" s="23">
        <f t="shared" si="234"/>
        <v>0</v>
      </c>
      <c r="AE261" s="23">
        <f t="shared" si="234"/>
        <v>0</v>
      </c>
      <c r="AF261" s="23">
        <f t="shared" si="234"/>
        <v>0</v>
      </c>
      <c r="AG261" s="23">
        <f t="shared" si="234"/>
        <v>0</v>
      </c>
      <c r="AH261" s="23">
        <f t="shared" ref="AH261:AK261" si="243">+AH233*AH$10</f>
        <v>0</v>
      </c>
      <c r="AI261" s="23">
        <f t="shared" si="243"/>
        <v>0</v>
      </c>
      <c r="AJ261" s="23">
        <f t="shared" si="243"/>
        <v>0</v>
      </c>
      <c r="AK261" s="23">
        <f t="shared" si="243"/>
        <v>0</v>
      </c>
      <c r="AM261" s="23">
        <f t="shared" si="237"/>
        <v>0</v>
      </c>
    </row>
    <row r="262" spans="2:39" ht="15" x14ac:dyDescent="0.25">
      <c r="B262" s="813"/>
      <c r="D262" s="3" t="str">
        <f t="shared" si="233"/>
        <v xml:space="preserve"> </v>
      </c>
      <c r="E262">
        <f t="shared" si="233"/>
        <v>0</v>
      </c>
      <c r="AB262" s="23">
        <f t="shared" si="234"/>
        <v>0</v>
      </c>
      <c r="AC262" s="23">
        <f t="shared" si="234"/>
        <v>0</v>
      </c>
      <c r="AD262" s="23">
        <f t="shared" si="234"/>
        <v>0</v>
      </c>
      <c r="AE262" s="23">
        <f t="shared" si="234"/>
        <v>0</v>
      </c>
      <c r="AF262" s="23">
        <f t="shared" si="234"/>
        <v>0</v>
      </c>
      <c r="AG262" s="23">
        <f t="shared" si="234"/>
        <v>0</v>
      </c>
      <c r="AH262" s="23">
        <f t="shared" ref="AH262:AK262" si="244">+AH234*AH$10</f>
        <v>0</v>
      </c>
      <c r="AI262" s="23">
        <f t="shared" si="244"/>
        <v>0</v>
      </c>
      <c r="AJ262" s="23">
        <f t="shared" si="244"/>
        <v>0</v>
      </c>
      <c r="AK262" s="23">
        <f t="shared" si="244"/>
        <v>0</v>
      </c>
      <c r="AM262" s="23">
        <f t="shared" si="237"/>
        <v>0</v>
      </c>
    </row>
    <row r="263" spans="2:39" ht="15" x14ac:dyDescent="0.25">
      <c r="B263" s="813"/>
      <c r="D263" s="3" t="str">
        <f t="shared" si="233"/>
        <v xml:space="preserve"> </v>
      </c>
      <c r="E263">
        <f t="shared" si="233"/>
        <v>0</v>
      </c>
      <c r="AB263" s="23">
        <f t="shared" si="234"/>
        <v>0</v>
      </c>
      <c r="AC263" s="23">
        <f t="shared" si="234"/>
        <v>0</v>
      </c>
      <c r="AD263" s="23">
        <f t="shared" si="234"/>
        <v>0</v>
      </c>
      <c r="AE263" s="23">
        <f t="shared" si="234"/>
        <v>0</v>
      </c>
      <c r="AF263" s="23">
        <f t="shared" si="234"/>
        <v>0</v>
      </c>
      <c r="AG263" s="23">
        <f t="shared" si="234"/>
        <v>0</v>
      </c>
      <c r="AH263" s="23">
        <f t="shared" ref="AH263:AK263" si="245">+AH235*AH$10</f>
        <v>0</v>
      </c>
      <c r="AI263" s="23">
        <f t="shared" si="245"/>
        <v>0</v>
      </c>
      <c r="AJ263" s="23">
        <f t="shared" si="245"/>
        <v>0</v>
      </c>
      <c r="AK263" s="23">
        <f t="shared" si="245"/>
        <v>0</v>
      </c>
      <c r="AM263" s="23">
        <f t="shared" si="237"/>
        <v>0</v>
      </c>
    </row>
    <row r="264" spans="2:39" ht="15" x14ac:dyDescent="0.25">
      <c r="B264" s="813"/>
      <c r="D264" s="3" t="str">
        <f t="shared" si="233"/>
        <v xml:space="preserve"> </v>
      </c>
      <c r="E264">
        <f t="shared" si="233"/>
        <v>0</v>
      </c>
      <c r="AB264" s="23">
        <f t="shared" si="234"/>
        <v>0</v>
      </c>
      <c r="AC264" s="23">
        <f t="shared" si="234"/>
        <v>0</v>
      </c>
      <c r="AD264" s="23">
        <f t="shared" si="234"/>
        <v>0</v>
      </c>
      <c r="AE264" s="23">
        <f t="shared" si="234"/>
        <v>0</v>
      </c>
      <c r="AF264" s="23">
        <f t="shared" si="234"/>
        <v>0</v>
      </c>
      <c r="AG264" s="23">
        <f t="shared" si="234"/>
        <v>0</v>
      </c>
      <c r="AH264" s="23">
        <f t="shared" ref="AH264:AK264" si="246">+AH236*AH$10</f>
        <v>0</v>
      </c>
      <c r="AI264" s="23">
        <f t="shared" si="246"/>
        <v>0</v>
      </c>
      <c r="AJ264" s="23">
        <f t="shared" si="246"/>
        <v>0</v>
      </c>
      <c r="AK264" s="23">
        <f t="shared" si="246"/>
        <v>0</v>
      </c>
      <c r="AM264" s="23">
        <f t="shared" si="237"/>
        <v>0</v>
      </c>
    </row>
    <row r="265" spans="2:39" ht="15" x14ac:dyDescent="0.25">
      <c r="B265" s="813"/>
      <c r="D265" s="3" t="str">
        <f t="shared" si="233"/>
        <v xml:space="preserve"> </v>
      </c>
      <c r="E265">
        <f t="shared" si="233"/>
        <v>0</v>
      </c>
      <c r="AB265" s="23">
        <f t="shared" si="234"/>
        <v>0</v>
      </c>
      <c r="AC265" s="23">
        <f t="shared" si="234"/>
        <v>0</v>
      </c>
      <c r="AD265" s="23">
        <f t="shared" si="234"/>
        <v>0</v>
      </c>
      <c r="AE265" s="23">
        <f t="shared" si="234"/>
        <v>0</v>
      </c>
      <c r="AF265" s="23">
        <f t="shared" si="234"/>
        <v>0</v>
      </c>
      <c r="AG265" s="23">
        <f t="shared" si="234"/>
        <v>0</v>
      </c>
      <c r="AH265" s="23">
        <f t="shared" ref="AH265:AK265" si="247">+AH237*AH$10</f>
        <v>0</v>
      </c>
      <c r="AI265" s="23">
        <f t="shared" si="247"/>
        <v>0</v>
      </c>
      <c r="AJ265" s="23">
        <f t="shared" si="247"/>
        <v>0</v>
      </c>
      <c r="AK265" s="23">
        <f t="shared" si="247"/>
        <v>0</v>
      </c>
      <c r="AM265" s="23">
        <f t="shared" si="237"/>
        <v>0</v>
      </c>
    </row>
    <row r="266" spans="2:39" ht="15" x14ac:dyDescent="0.25">
      <c r="B266" s="813"/>
      <c r="D266" s="3" t="str">
        <f t="shared" si="233"/>
        <v xml:space="preserve"> </v>
      </c>
      <c r="E266">
        <f t="shared" si="233"/>
        <v>0</v>
      </c>
      <c r="AB266" s="23">
        <f t="shared" si="234"/>
        <v>0</v>
      </c>
      <c r="AC266" s="23">
        <f t="shared" si="234"/>
        <v>0</v>
      </c>
      <c r="AD266" s="23">
        <f t="shared" si="234"/>
        <v>0</v>
      </c>
      <c r="AE266" s="23">
        <f t="shared" si="234"/>
        <v>0</v>
      </c>
      <c r="AF266" s="23">
        <f t="shared" si="234"/>
        <v>0</v>
      </c>
      <c r="AG266" s="23">
        <f t="shared" si="234"/>
        <v>0</v>
      </c>
      <c r="AH266" s="23">
        <f t="shared" ref="AH266:AK266" si="248">+AH238*AH$10</f>
        <v>0</v>
      </c>
      <c r="AI266" s="23">
        <f t="shared" si="248"/>
        <v>0</v>
      </c>
      <c r="AJ266" s="23">
        <f t="shared" si="248"/>
        <v>0</v>
      </c>
      <c r="AK266" s="23">
        <f t="shared" si="248"/>
        <v>0</v>
      </c>
      <c r="AM266" s="23">
        <f t="shared" si="237"/>
        <v>0</v>
      </c>
    </row>
    <row r="267" spans="2:39" ht="15" x14ac:dyDescent="0.25">
      <c r="B267" s="813"/>
      <c r="D267" s="3" t="str">
        <f t="shared" si="233"/>
        <v xml:space="preserve"> </v>
      </c>
      <c r="E267">
        <f t="shared" si="233"/>
        <v>0</v>
      </c>
      <c r="AB267" s="23">
        <f t="shared" si="234"/>
        <v>0</v>
      </c>
      <c r="AC267" s="23">
        <f t="shared" si="234"/>
        <v>0</v>
      </c>
      <c r="AD267" s="23">
        <f t="shared" si="234"/>
        <v>0</v>
      </c>
      <c r="AE267" s="23">
        <f t="shared" si="234"/>
        <v>0</v>
      </c>
      <c r="AF267" s="23">
        <f t="shared" si="234"/>
        <v>0</v>
      </c>
      <c r="AG267" s="23">
        <f t="shared" si="234"/>
        <v>0</v>
      </c>
      <c r="AH267" s="23">
        <f t="shared" ref="AH267:AK267" si="249">+AH239*AH$10</f>
        <v>0</v>
      </c>
      <c r="AI267" s="23">
        <f t="shared" si="249"/>
        <v>0</v>
      </c>
      <c r="AJ267" s="23">
        <f t="shared" si="249"/>
        <v>0</v>
      </c>
      <c r="AK267" s="23">
        <f t="shared" si="249"/>
        <v>0</v>
      </c>
      <c r="AM267" s="23">
        <f t="shared" si="237"/>
        <v>0</v>
      </c>
    </row>
    <row r="268" spans="2:39" ht="15" x14ac:dyDescent="0.25">
      <c r="B268" s="813"/>
      <c r="D268" s="3">
        <f t="shared" si="233"/>
        <v>0</v>
      </c>
      <c r="E268">
        <f t="shared" si="233"/>
        <v>0</v>
      </c>
      <c r="AB268" s="23">
        <f t="shared" si="234"/>
        <v>0</v>
      </c>
      <c r="AC268" s="23">
        <f t="shared" si="234"/>
        <v>0</v>
      </c>
      <c r="AD268" s="23">
        <f t="shared" si="234"/>
        <v>0</v>
      </c>
      <c r="AE268" s="23">
        <f t="shared" si="234"/>
        <v>0</v>
      </c>
      <c r="AF268" s="23">
        <f t="shared" si="234"/>
        <v>0</v>
      </c>
      <c r="AG268" s="23">
        <f t="shared" si="234"/>
        <v>0</v>
      </c>
      <c r="AH268" s="23">
        <f t="shared" ref="AH268:AK268" si="250">+AH240*AH$10</f>
        <v>0</v>
      </c>
      <c r="AI268" s="23">
        <f t="shared" si="250"/>
        <v>0</v>
      </c>
      <c r="AJ268" s="23">
        <f t="shared" si="250"/>
        <v>0</v>
      </c>
      <c r="AK268" s="23">
        <f t="shared" si="250"/>
        <v>0</v>
      </c>
      <c r="AM268" s="23">
        <f t="shared" si="237"/>
        <v>0</v>
      </c>
    </row>
    <row r="269" spans="2:39" ht="15" x14ac:dyDescent="0.25">
      <c r="B269" s="813"/>
      <c r="AB269" s="23"/>
      <c r="AC269" s="23"/>
      <c r="AD269" s="23"/>
      <c r="AE269" s="23"/>
      <c r="AF269" s="23"/>
      <c r="AG269" s="23"/>
      <c r="AH269" s="23"/>
      <c r="AI269" s="23"/>
      <c r="AJ269" s="23"/>
      <c r="AK269" s="23"/>
    </row>
    <row r="270" spans="2:39" ht="15" x14ac:dyDescent="0.25">
      <c r="B270" s="813"/>
      <c r="C270" s="9" t="s">
        <v>623</v>
      </c>
      <c r="D270" s="9"/>
      <c r="AB270" s="823">
        <f t="shared" ref="AB270:AG270" ca="1" si="251">SUM(AB253:AB269)</f>
        <v>0</v>
      </c>
      <c r="AC270" s="823">
        <f t="shared" ca="1" si="251"/>
        <v>0</v>
      </c>
      <c r="AD270" s="823">
        <f t="shared" ca="1" si="251"/>
        <v>0</v>
      </c>
      <c r="AE270" s="823">
        <f t="shared" ca="1" si="251"/>
        <v>0</v>
      </c>
      <c r="AF270" s="823">
        <f t="shared" ca="1" si="251"/>
        <v>0</v>
      </c>
      <c r="AG270" s="823">
        <f t="shared" ca="1" si="251"/>
        <v>0</v>
      </c>
      <c r="AH270" s="823">
        <f t="shared" ref="AH270:AK270" ca="1" si="252">SUM(AH253:AH269)</f>
        <v>0</v>
      </c>
      <c r="AI270" s="823">
        <f t="shared" ca="1" si="252"/>
        <v>0</v>
      </c>
      <c r="AJ270" s="823">
        <f t="shared" ca="1" si="252"/>
        <v>0</v>
      </c>
      <c r="AK270" s="823">
        <f t="shared" ca="1" si="252"/>
        <v>0</v>
      </c>
      <c r="AL270" s="23"/>
      <c r="AM270" s="823">
        <f ca="1">SUM(AB270:AK270)</f>
        <v>0</v>
      </c>
    </row>
    <row r="271" spans="2:39" ht="15" x14ac:dyDescent="0.25">
      <c r="B271" s="813"/>
    </row>
    <row r="272" spans="2:39" ht="15" x14ac:dyDescent="0.25">
      <c r="B272" s="813"/>
      <c r="C272" s="9"/>
      <c r="D272" s="9" t="s">
        <v>608</v>
      </c>
      <c r="E272" s="2" t="s">
        <v>604</v>
      </c>
      <c r="F272" s="2"/>
      <c r="G272" s="2"/>
      <c r="H272" s="23"/>
      <c r="I272" s="23"/>
      <c r="J272" s="23"/>
      <c r="K272" s="23"/>
      <c r="M272" s="23"/>
      <c r="AB272" s="23">
        <f t="shared" ref="AB272:AG272" si="253">SUMIF($E$254:$E$267,$E272,AB254:AB268)</f>
        <v>0</v>
      </c>
      <c r="AC272" s="23">
        <f t="shared" si="253"/>
        <v>0</v>
      </c>
      <c r="AD272" s="23">
        <f t="shared" si="253"/>
        <v>0</v>
      </c>
      <c r="AE272" s="23">
        <f t="shared" si="253"/>
        <v>0</v>
      </c>
      <c r="AF272" s="23">
        <f t="shared" si="253"/>
        <v>0</v>
      </c>
      <c r="AG272" s="23">
        <f t="shared" si="253"/>
        <v>0</v>
      </c>
      <c r="AH272" s="23">
        <f t="shared" ref="AH272:AK272" si="254">SUMIF($E$254:$E$267,$E272,AH254:AH268)</f>
        <v>0</v>
      </c>
      <c r="AI272" s="23">
        <f t="shared" si="254"/>
        <v>0</v>
      </c>
      <c r="AJ272" s="23">
        <f t="shared" si="254"/>
        <v>0</v>
      </c>
      <c r="AK272" s="23">
        <f t="shared" si="254"/>
        <v>0</v>
      </c>
      <c r="AL272" s="23"/>
      <c r="AM272" s="23">
        <f>SUMIF($E$254:$E$267,$E272,AM254:AM268)</f>
        <v>0</v>
      </c>
    </row>
    <row r="273" spans="2:40" ht="15" x14ac:dyDescent="0.25">
      <c r="B273" s="813"/>
      <c r="C273" s="9"/>
      <c r="D273" s="9" t="s">
        <v>608</v>
      </c>
      <c r="E273" s="2" t="s">
        <v>605</v>
      </c>
      <c r="F273" s="2"/>
      <c r="G273" s="2"/>
      <c r="H273" s="23"/>
      <c r="I273" s="23"/>
      <c r="J273" s="23"/>
      <c r="K273" s="23"/>
      <c r="M273" s="23"/>
      <c r="AB273" s="23">
        <f t="shared" ref="AB273:AG273" ca="1" si="255">SUMIF($E$254:$E$267,$E273,AB254:AB268)</f>
        <v>0</v>
      </c>
      <c r="AC273" s="23">
        <f t="shared" ca="1" si="255"/>
        <v>0</v>
      </c>
      <c r="AD273" s="23">
        <f t="shared" ca="1" si="255"/>
        <v>0</v>
      </c>
      <c r="AE273" s="23">
        <f t="shared" ca="1" si="255"/>
        <v>0</v>
      </c>
      <c r="AF273" s="23">
        <f t="shared" ca="1" si="255"/>
        <v>0</v>
      </c>
      <c r="AG273" s="23">
        <f t="shared" ca="1" si="255"/>
        <v>0</v>
      </c>
      <c r="AH273" s="23">
        <f t="shared" ref="AH273:AK273" ca="1" si="256">SUMIF($E$254:$E$267,$E273,AH254:AH268)</f>
        <v>0</v>
      </c>
      <c r="AI273" s="23">
        <f t="shared" ca="1" si="256"/>
        <v>0</v>
      </c>
      <c r="AJ273" s="23">
        <f t="shared" ca="1" si="256"/>
        <v>0</v>
      </c>
      <c r="AK273" s="23">
        <f t="shared" ca="1" si="256"/>
        <v>0</v>
      </c>
      <c r="AL273" s="23"/>
      <c r="AM273" s="23">
        <f ca="1">SUMIF($E$254:$E$267,$E273,AM254:AM268)</f>
        <v>0</v>
      </c>
      <c r="AN273" s="335">
        <f ca="1">+AM272+AM273</f>
        <v>0</v>
      </c>
    </row>
    <row r="274" spans="2:40" ht="15" x14ac:dyDescent="0.25">
      <c r="B274" s="813"/>
    </row>
    <row r="275" spans="2:40" ht="15" x14ac:dyDescent="0.25">
      <c r="B275" s="813"/>
      <c r="C275" s="9" t="s">
        <v>610</v>
      </c>
    </row>
    <row r="276" spans="2:40" ht="15" x14ac:dyDescent="0.25">
      <c r="B276" s="813"/>
      <c r="AB276" s="335"/>
      <c r="AC276" s="335"/>
      <c r="AD276" s="335"/>
      <c r="AE276" s="335"/>
      <c r="AF276" s="335"/>
      <c r="AG276" s="335"/>
      <c r="AH276" s="335"/>
      <c r="AI276" s="335"/>
      <c r="AJ276" s="335"/>
      <c r="AK276" s="335"/>
      <c r="AM276" s="23"/>
    </row>
    <row r="277" spans="2:40" ht="15" x14ac:dyDescent="0.25">
      <c r="B277" s="813"/>
      <c r="D277" s="3" t="str">
        <f t="shared" ref="D277:D291" si="257">+D254</f>
        <v>Removals tab</v>
      </c>
      <c r="E277" t="str">
        <f t="shared" ref="E277:E291" si="258">+E226</f>
        <v>E</v>
      </c>
      <c r="AB277" s="335">
        <f t="shared" ref="AB277:AG291" si="259">+AB226+AB254</f>
        <v>0</v>
      </c>
      <c r="AC277" s="335">
        <f t="shared" si="259"/>
        <v>0</v>
      </c>
      <c r="AD277" s="335">
        <f t="shared" si="259"/>
        <v>0</v>
      </c>
      <c r="AE277" s="335">
        <f t="shared" si="259"/>
        <v>0</v>
      </c>
      <c r="AF277" s="335">
        <f t="shared" si="259"/>
        <v>0</v>
      </c>
      <c r="AG277" s="335">
        <f t="shared" si="259"/>
        <v>0</v>
      </c>
      <c r="AH277" s="335">
        <f t="shared" ref="AH277:AK277" si="260">+AH226+AH254</f>
        <v>0</v>
      </c>
      <c r="AI277" s="335">
        <f t="shared" si="260"/>
        <v>0</v>
      </c>
      <c r="AJ277" s="335">
        <f t="shared" si="260"/>
        <v>0</v>
      </c>
      <c r="AK277" s="335">
        <f t="shared" si="260"/>
        <v>0</v>
      </c>
      <c r="AM277" s="23">
        <f>SUM(AB277:AK277)</f>
        <v>0</v>
      </c>
    </row>
    <row r="278" spans="2:40" ht="15" x14ac:dyDescent="0.25">
      <c r="B278" s="813"/>
      <c r="D278" s="3">
        <f t="shared" si="257"/>
        <v>0</v>
      </c>
      <c r="E278">
        <f t="shared" si="258"/>
        <v>0</v>
      </c>
      <c r="AB278" s="335">
        <f t="shared" si="259"/>
        <v>0</v>
      </c>
      <c r="AC278" s="335">
        <f t="shared" si="259"/>
        <v>0</v>
      </c>
      <c r="AD278" s="335">
        <f t="shared" si="259"/>
        <v>0</v>
      </c>
      <c r="AE278" s="335">
        <f t="shared" si="259"/>
        <v>0</v>
      </c>
      <c r="AF278" s="335">
        <f t="shared" si="259"/>
        <v>0</v>
      </c>
      <c r="AG278" s="335">
        <f t="shared" si="259"/>
        <v>0</v>
      </c>
      <c r="AH278" s="335">
        <f t="shared" ref="AH278:AK278" si="261">+AH227+AH255</f>
        <v>0</v>
      </c>
      <c r="AI278" s="335">
        <f t="shared" si="261"/>
        <v>0</v>
      </c>
      <c r="AJ278" s="335">
        <f t="shared" si="261"/>
        <v>0</v>
      </c>
      <c r="AK278" s="335">
        <f t="shared" si="261"/>
        <v>0</v>
      </c>
      <c r="AM278" s="23">
        <f t="shared" ref="AM278:AM291" si="262">SUM(AB278:AK278)</f>
        <v>0</v>
      </c>
    </row>
    <row r="279" spans="2:40" ht="15" x14ac:dyDescent="0.25">
      <c r="B279" s="813"/>
      <c r="D279" s="3" t="str">
        <f t="shared" si="257"/>
        <v>Removals tab</v>
      </c>
      <c r="E279" t="str">
        <f t="shared" si="258"/>
        <v>OS</v>
      </c>
      <c r="AB279" s="335">
        <f t="shared" ca="1" si="259"/>
        <v>0</v>
      </c>
      <c r="AC279" s="335">
        <f t="shared" ca="1" si="259"/>
        <v>0</v>
      </c>
      <c r="AD279" s="335">
        <f t="shared" ca="1" si="259"/>
        <v>0</v>
      </c>
      <c r="AE279" s="335">
        <f t="shared" ca="1" si="259"/>
        <v>0</v>
      </c>
      <c r="AF279" s="335">
        <f t="shared" ca="1" si="259"/>
        <v>0</v>
      </c>
      <c r="AG279" s="335">
        <f t="shared" ca="1" si="259"/>
        <v>0</v>
      </c>
      <c r="AH279" s="335">
        <f t="shared" ref="AH279:AK279" ca="1" si="263">+AH228+AH256</f>
        <v>0</v>
      </c>
      <c r="AI279" s="335">
        <f t="shared" ca="1" si="263"/>
        <v>0</v>
      </c>
      <c r="AJ279" s="335">
        <f t="shared" ca="1" si="263"/>
        <v>0</v>
      </c>
      <c r="AK279" s="335">
        <f t="shared" ca="1" si="263"/>
        <v>0</v>
      </c>
      <c r="AM279" s="23">
        <f t="shared" ca="1" si="262"/>
        <v>0</v>
      </c>
    </row>
    <row r="280" spans="2:40" ht="15" x14ac:dyDescent="0.25">
      <c r="B280" s="813"/>
      <c r="D280" s="3">
        <f t="shared" si="257"/>
        <v>0</v>
      </c>
      <c r="E280">
        <f t="shared" si="258"/>
        <v>0</v>
      </c>
      <c r="AB280" s="335">
        <f t="shared" si="259"/>
        <v>0</v>
      </c>
      <c r="AC280" s="335">
        <f t="shared" si="259"/>
        <v>0</v>
      </c>
      <c r="AD280" s="335">
        <f t="shared" si="259"/>
        <v>0</v>
      </c>
      <c r="AE280" s="335">
        <f t="shared" si="259"/>
        <v>0</v>
      </c>
      <c r="AF280" s="335">
        <f t="shared" si="259"/>
        <v>0</v>
      </c>
      <c r="AG280" s="335">
        <f t="shared" si="259"/>
        <v>0</v>
      </c>
      <c r="AH280" s="335">
        <f t="shared" ref="AH280:AK280" si="264">+AH229+AH257</f>
        <v>0</v>
      </c>
      <c r="AI280" s="335">
        <f t="shared" si="264"/>
        <v>0</v>
      </c>
      <c r="AJ280" s="335">
        <f t="shared" si="264"/>
        <v>0</v>
      </c>
      <c r="AK280" s="335">
        <f t="shared" si="264"/>
        <v>0</v>
      </c>
      <c r="AM280" s="23">
        <f t="shared" si="262"/>
        <v>0</v>
      </c>
    </row>
    <row r="281" spans="2:40" ht="15" x14ac:dyDescent="0.25">
      <c r="B281" s="813"/>
      <c r="D281" s="3">
        <f t="shared" si="257"/>
        <v>0</v>
      </c>
      <c r="E281">
        <f t="shared" si="258"/>
        <v>0</v>
      </c>
      <c r="AB281" s="335">
        <f t="shared" si="259"/>
        <v>0</v>
      </c>
      <c r="AC281" s="335">
        <f t="shared" si="259"/>
        <v>0</v>
      </c>
      <c r="AD281" s="335">
        <f t="shared" si="259"/>
        <v>0</v>
      </c>
      <c r="AE281" s="335">
        <f t="shared" si="259"/>
        <v>0</v>
      </c>
      <c r="AF281" s="335">
        <f t="shared" si="259"/>
        <v>0</v>
      </c>
      <c r="AG281" s="335">
        <f t="shared" si="259"/>
        <v>0</v>
      </c>
      <c r="AH281" s="335">
        <f t="shared" ref="AH281:AK281" si="265">+AH230+AH258</f>
        <v>0</v>
      </c>
      <c r="AI281" s="335">
        <f t="shared" si="265"/>
        <v>0</v>
      </c>
      <c r="AJ281" s="335">
        <f t="shared" si="265"/>
        <v>0</v>
      </c>
      <c r="AK281" s="335">
        <f t="shared" si="265"/>
        <v>0</v>
      </c>
      <c r="AM281" s="23">
        <f t="shared" si="262"/>
        <v>0</v>
      </c>
    </row>
    <row r="282" spans="2:40" ht="15" x14ac:dyDescent="0.25">
      <c r="B282" s="813"/>
      <c r="D282" s="3">
        <f t="shared" si="257"/>
        <v>0</v>
      </c>
      <c r="E282">
        <f t="shared" si="258"/>
        <v>0</v>
      </c>
      <c r="AB282" s="335">
        <f t="shared" si="259"/>
        <v>0</v>
      </c>
      <c r="AC282" s="335">
        <f t="shared" si="259"/>
        <v>0</v>
      </c>
      <c r="AD282" s="335">
        <f t="shared" si="259"/>
        <v>0</v>
      </c>
      <c r="AE282" s="335">
        <f t="shared" si="259"/>
        <v>0</v>
      </c>
      <c r="AF282" s="335">
        <f t="shared" si="259"/>
        <v>0</v>
      </c>
      <c r="AG282" s="335">
        <f t="shared" si="259"/>
        <v>0</v>
      </c>
      <c r="AH282" s="335">
        <f t="shared" ref="AH282:AK282" si="266">+AH231+AH259</f>
        <v>0</v>
      </c>
      <c r="AI282" s="335">
        <f t="shared" si="266"/>
        <v>0</v>
      </c>
      <c r="AJ282" s="335">
        <f t="shared" si="266"/>
        <v>0</v>
      </c>
      <c r="AK282" s="335">
        <f t="shared" si="266"/>
        <v>0</v>
      </c>
      <c r="AM282" s="23">
        <f t="shared" si="262"/>
        <v>0</v>
      </c>
    </row>
    <row r="283" spans="2:40" ht="15" x14ac:dyDescent="0.25">
      <c r="B283" s="813"/>
      <c r="D283" s="3">
        <f t="shared" si="257"/>
        <v>0</v>
      </c>
      <c r="E283">
        <f t="shared" si="258"/>
        <v>0</v>
      </c>
      <c r="AB283" s="335">
        <f t="shared" si="259"/>
        <v>0</v>
      </c>
      <c r="AC283" s="335">
        <f t="shared" si="259"/>
        <v>0</v>
      </c>
      <c r="AD283" s="335">
        <f t="shared" si="259"/>
        <v>0</v>
      </c>
      <c r="AE283" s="335">
        <f t="shared" si="259"/>
        <v>0</v>
      </c>
      <c r="AF283" s="335">
        <f t="shared" si="259"/>
        <v>0</v>
      </c>
      <c r="AG283" s="335">
        <f t="shared" si="259"/>
        <v>0</v>
      </c>
      <c r="AH283" s="335">
        <f t="shared" ref="AH283:AK283" si="267">+AH232+AH260</f>
        <v>0</v>
      </c>
      <c r="AI283" s="335">
        <f t="shared" si="267"/>
        <v>0</v>
      </c>
      <c r="AJ283" s="335">
        <f t="shared" si="267"/>
        <v>0</v>
      </c>
      <c r="AK283" s="335">
        <f t="shared" si="267"/>
        <v>0</v>
      </c>
      <c r="AM283" s="23">
        <f t="shared" si="262"/>
        <v>0</v>
      </c>
    </row>
    <row r="284" spans="2:40" ht="15" x14ac:dyDescent="0.25">
      <c r="B284" s="813"/>
      <c r="D284" s="3" t="str">
        <f t="shared" si="257"/>
        <v xml:space="preserve"> </v>
      </c>
      <c r="E284">
        <f t="shared" si="258"/>
        <v>0</v>
      </c>
      <c r="AB284" s="335">
        <f t="shared" si="259"/>
        <v>0</v>
      </c>
      <c r="AC284" s="335">
        <f t="shared" si="259"/>
        <v>0</v>
      </c>
      <c r="AD284" s="335">
        <f t="shared" si="259"/>
        <v>0</v>
      </c>
      <c r="AE284" s="335">
        <f t="shared" si="259"/>
        <v>0</v>
      </c>
      <c r="AF284" s="335">
        <f t="shared" si="259"/>
        <v>0</v>
      </c>
      <c r="AG284" s="335">
        <f t="shared" si="259"/>
        <v>0</v>
      </c>
      <c r="AH284" s="335">
        <f t="shared" ref="AH284:AK284" si="268">+AH233+AH261</f>
        <v>0</v>
      </c>
      <c r="AI284" s="335">
        <f t="shared" si="268"/>
        <v>0</v>
      </c>
      <c r="AJ284" s="335">
        <f t="shared" si="268"/>
        <v>0</v>
      </c>
      <c r="AK284" s="335">
        <f t="shared" si="268"/>
        <v>0</v>
      </c>
      <c r="AM284" s="23">
        <f t="shared" si="262"/>
        <v>0</v>
      </c>
    </row>
    <row r="285" spans="2:40" ht="15" x14ac:dyDescent="0.25">
      <c r="B285" s="813"/>
      <c r="D285" s="3" t="str">
        <f t="shared" si="257"/>
        <v xml:space="preserve"> </v>
      </c>
      <c r="E285">
        <f t="shared" si="258"/>
        <v>0</v>
      </c>
      <c r="AB285" s="335">
        <f t="shared" si="259"/>
        <v>0</v>
      </c>
      <c r="AC285" s="335">
        <f t="shared" si="259"/>
        <v>0</v>
      </c>
      <c r="AD285" s="335">
        <f t="shared" si="259"/>
        <v>0</v>
      </c>
      <c r="AE285" s="335">
        <f t="shared" si="259"/>
        <v>0</v>
      </c>
      <c r="AF285" s="335">
        <f t="shared" si="259"/>
        <v>0</v>
      </c>
      <c r="AG285" s="335">
        <f t="shared" si="259"/>
        <v>0</v>
      </c>
      <c r="AH285" s="335">
        <f t="shared" ref="AH285:AK285" si="269">+AH234+AH262</f>
        <v>0</v>
      </c>
      <c r="AI285" s="335">
        <f t="shared" si="269"/>
        <v>0</v>
      </c>
      <c r="AJ285" s="335">
        <f t="shared" si="269"/>
        <v>0</v>
      </c>
      <c r="AK285" s="335">
        <f t="shared" si="269"/>
        <v>0</v>
      </c>
      <c r="AM285" s="23">
        <f t="shared" si="262"/>
        <v>0</v>
      </c>
    </row>
    <row r="286" spans="2:40" ht="15" x14ac:dyDescent="0.25">
      <c r="B286" s="813"/>
      <c r="D286" s="3" t="str">
        <f t="shared" si="257"/>
        <v xml:space="preserve"> </v>
      </c>
      <c r="E286">
        <f t="shared" si="258"/>
        <v>0</v>
      </c>
      <c r="AB286" s="335">
        <f t="shared" si="259"/>
        <v>0</v>
      </c>
      <c r="AC286" s="335">
        <f t="shared" si="259"/>
        <v>0</v>
      </c>
      <c r="AD286" s="335">
        <f t="shared" si="259"/>
        <v>0</v>
      </c>
      <c r="AE286" s="335">
        <f t="shared" si="259"/>
        <v>0</v>
      </c>
      <c r="AF286" s="335">
        <f t="shared" si="259"/>
        <v>0</v>
      </c>
      <c r="AG286" s="335">
        <f t="shared" si="259"/>
        <v>0</v>
      </c>
      <c r="AH286" s="335">
        <f t="shared" ref="AH286:AK286" si="270">+AH235+AH263</f>
        <v>0</v>
      </c>
      <c r="AI286" s="335">
        <f t="shared" si="270"/>
        <v>0</v>
      </c>
      <c r="AJ286" s="335">
        <f t="shared" si="270"/>
        <v>0</v>
      </c>
      <c r="AK286" s="335">
        <f t="shared" si="270"/>
        <v>0</v>
      </c>
      <c r="AM286" s="23">
        <f t="shared" si="262"/>
        <v>0</v>
      </c>
    </row>
    <row r="287" spans="2:40" ht="15" x14ac:dyDescent="0.25">
      <c r="B287" s="813"/>
      <c r="D287" s="3" t="str">
        <f t="shared" si="257"/>
        <v xml:space="preserve"> </v>
      </c>
      <c r="E287">
        <f t="shared" si="258"/>
        <v>0</v>
      </c>
      <c r="AB287" s="335">
        <f t="shared" si="259"/>
        <v>0</v>
      </c>
      <c r="AC287" s="335">
        <f t="shared" si="259"/>
        <v>0</v>
      </c>
      <c r="AD287" s="335">
        <f t="shared" si="259"/>
        <v>0</v>
      </c>
      <c r="AE287" s="335">
        <f t="shared" si="259"/>
        <v>0</v>
      </c>
      <c r="AF287" s="335">
        <f t="shared" si="259"/>
        <v>0</v>
      </c>
      <c r="AG287" s="335">
        <f t="shared" si="259"/>
        <v>0</v>
      </c>
      <c r="AH287" s="335">
        <f t="shared" ref="AH287:AK287" si="271">+AH236+AH264</f>
        <v>0</v>
      </c>
      <c r="AI287" s="335">
        <f t="shared" si="271"/>
        <v>0</v>
      </c>
      <c r="AJ287" s="335">
        <f t="shared" si="271"/>
        <v>0</v>
      </c>
      <c r="AK287" s="335">
        <f t="shared" si="271"/>
        <v>0</v>
      </c>
      <c r="AM287" s="23">
        <f t="shared" si="262"/>
        <v>0</v>
      </c>
    </row>
    <row r="288" spans="2:40" ht="15" x14ac:dyDescent="0.25">
      <c r="B288" s="813"/>
      <c r="D288" s="3" t="str">
        <f t="shared" si="257"/>
        <v xml:space="preserve"> </v>
      </c>
      <c r="E288">
        <f t="shared" si="258"/>
        <v>0</v>
      </c>
      <c r="AB288" s="335">
        <f t="shared" si="259"/>
        <v>0</v>
      </c>
      <c r="AC288" s="335">
        <f t="shared" si="259"/>
        <v>0</v>
      </c>
      <c r="AD288" s="335">
        <f t="shared" si="259"/>
        <v>0</v>
      </c>
      <c r="AE288" s="335">
        <f t="shared" si="259"/>
        <v>0</v>
      </c>
      <c r="AF288" s="335">
        <f t="shared" si="259"/>
        <v>0</v>
      </c>
      <c r="AG288" s="335">
        <f t="shared" si="259"/>
        <v>0</v>
      </c>
      <c r="AH288" s="335">
        <f t="shared" ref="AH288:AK288" si="272">+AH237+AH265</f>
        <v>0</v>
      </c>
      <c r="AI288" s="335">
        <f t="shared" si="272"/>
        <v>0</v>
      </c>
      <c r="AJ288" s="335">
        <f t="shared" si="272"/>
        <v>0</v>
      </c>
      <c r="AK288" s="335">
        <f t="shared" si="272"/>
        <v>0</v>
      </c>
      <c r="AM288" s="23">
        <f t="shared" si="262"/>
        <v>0</v>
      </c>
    </row>
    <row r="289" spans="2:42" ht="15" x14ac:dyDescent="0.25">
      <c r="B289" s="813"/>
      <c r="D289" s="3" t="str">
        <f t="shared" si="257"/>
        <v xml:space="preserve"> </v>
      </c>
      <c r="E289">
        <f t="shared" si="258"/>
        <v>0</v>
      </c>
      <c r="AB289" s="335">
        <f t="shared" si="259"/>
        <v>0</v>
      </c>
      <c r="AC289" s="335">
        <f t="shared" si="259"/>
        <v>0</v>
      </c>
      <c r="AD289" s="335">
        <f t="shared" si="259"/>
        <v>0</v>
      </c>
      <c r="AE289" s="335">
        <f t="shared" si="259"/>
        <v>0</v>
      </c>
      <c r="AF289" s="335">
        <f t="shared" si="259"/>
        <v>0</v>
      </c>
      <c r="AG289" s="335">
        <f t="shared" si="259"/>
        <v>0</v>
      </c>
      <c r="AH289" s="335">
        <f t="shared" ref="AH289:AK289" si="273">+AH238+AH266</f>
        <v>0</v>
      </c>
      <c r="AI289" s="335">
        <f t="shared" si="273"/>
        <v>0</v>
      </c>
      <c r="AJ289" s="335">
        <f t="shared" si="273"/>
        <v>0</v>
      </c>
      <c r="AK289" s="335">
        <f t="shared" si="273"/>
        <v>0</v>
      </c>
      <c r="AM289" s="23">
        <f t="shared" si="262"/>
        <v>0</v>
      </c>
    </row>
    <row r="290" spans="2:42" ht="15" x14ac:dyDescent="0.25">
      <c r="B290" s="813"/>
      <c r="D290" s="3" t="str">
        <f t="shared" si="257"/>
        <v xml:space="preserve"> </v>
      </c>
      <c r="E290">
        <f t="shared" si="258"/>
        <v>0</v>
      </c>
      <c r="AB290" s="335">
        <f t="shared" si="259"/>
        <v>0</v>
      </c>
      <c r="AC290" s="335">
        <f t="shared" si="259"/>
        <v>0</v>
      </c>
      <c r="AD290" s="335">
        <f t="shared" si="259"/>
        <v>0</v>
      </c>
      <c r="AE290" s="335">
        <f t="shared" si="259"/>
        <v>0</v>
      </c>
      <c r="AF290" s="335">
        <f t="shared" si="259"/>
        <v>0</v>
      </c>
      <c r="AG290" s="335">
        <f t="shared" si="259"/>
        <v>0</v>
      </c>
      <c r="AH290" s="335">
        <f t="shared" ref="AH290:AK290" si="274">+AH239+AH267</f>
        <v>0</v>
      </c>
      <c r="AI290" s="335">
        <f t="shared" si="274"/>
        <v>0</v>
      </c>
      <c r="AJ290" s="335">
        <f t="shared" si="274"/>
        <v>0</v>
      </c>
      <c r="AK290" s="335">
        <f t="shared" si="274"/>
        <v>0</v>
      </c>
      <c r="AM290" s="23">
        <f t="shared" si="262"/>
        <v>0</v>
      </c>
    </row>
    <row r="291" spans="2:42" ht="15" x14ac:dyDescent="0.25">
      <c r="B291" s="813"/>
      <c r="D291" s="3">
        <f t="shared" si="257"/>
        <v>0</v>
      </c>
      <c r="E291">
        <f t="shared" si="258"/>
        <v>0</v>
      </c>
      <c r="AB291" s="335">
        <f t="shared" si="259"/>
        <v>0</v>
      </c>
      <c r="AC291" s="335">
        <f t="shared" si="259"/>
        <v>0</v>
      </c>
      <c r="AD291" s="335">
        <f t="shared" si="259"/>
        <v>0</v>
      </c>
      <c r="AE291" s="335">
        <f t="shared" si="259"/>
        <v>0</v>
      </c>
      <c r="AF291" s="335">
        <f t="shared" si="259"/>
        <v>0</v>
      </c>
      <c r="AG291" s="335">
        <f t="shared" si="259"/>
        <v>0</v>
      </c>
      <c r="AH291" s="335">
        <f t="shared" ref="AH291:AK291" si="275">+AH240+AH268</f>
        <v>0</v>
      </c>
      <c r="AI291" s="335">
        <f t="shared" si="275"/>
        <v>0</v>
      </c>
      <c r="AJ291" s="335">
        <f t="shared" si="275"/>
        <v>0</v>
      </c>
      <c r="AK291" s="335">
        <f t="shared" si="275"/>
        <v>0</v>
      </c>
      <c r="AM291" s="23">
        <f t="shared" si="262"/>
        <v>0</v>
      </c>
    </row>
    <row r="292" spans="2:42" ht="15" x14ac:dyDescent="0.25">
      <c r="B292" s="813"/>
    </row>
    <row r="293" spans="2:42" ht="15" x14ac:dyDescent="0.25">
      <c r="B293" s="813"/>
      <c r="C293" s="9" t="s">
        <v>624</v>
      </c>
      <c r="D293" s="9"/>
      <c r="AB293" s="823">
        <f t="shared" ref="AB293:AG293" ca="1" si="276">SUM(AB276:AB292)</f>
        <v>0</v>
      </c>
      <c r="AC293" s="823">
        <f t="shared" ca="1" si="276"/>
        <v>0</v>
      </c>
      <c r="AD293" s="823">
        <f t="shared" ca="1" si="276"/>
        <v>0</v>
      </c>
      <c r="AE293" s="823">
        <f t="shared" ca="1" si="276"/>
        <v>0</v>
      </c>
      <c r="AF293" s="823">
        <f t="shared" ca="1" si="276"/>
        <v>0</v>
      </c>
      <c r="AG293" s="823">
        <f t="shared" ca="1" si="276"/>
        <v>0</v>
      </c>
      <c r="AH293" s="823">
        <f t="shared" ref="AH293:AK293" ca="1" si="277">SUM(AH276:AH292)</f>
        <v>0</v>
      </c>
      <c r="AI293" s="823">
        <f t="shared" ca="1" si="277"/>
        <v>0</v>
      </c>
      <c r="AJ293" s="823">
        <f t="shared" ca="1" si="277"/>
        <v>0</v>
      </c>
      <c r="AK293" s="823">
        <f t="shared" ca="1" si="277"/>
        <v>0</v>
      </c>
      <c r="AL293" s="23"/>
      <c r="AM293" s="823">
        <f ca="1">SUM(AB293:AK293)</f>
        <v>0</v>
      </c>
      <c r="AN293" s="335">
        <f ca="1">+AM243+AM270</f>
        <v>0</v>
      </c>
      <c r="AO293" s="588" t="s">
        <v>612</v>
      </c>
    </row>
    <row r="294" spans="2:42" ht="15" x14ac:dyDescent="0.25">
      <c r="B294" s="813"/>
    </row>
    <row r="295" spans="2:42" ht="15" x14ac:dyDescent="0.25">
      <c r="B295" s="813"/>
      <c r="C295" s="9" t="s">
        <v>611</v>
      </c>
      <c r="D295" s="9"/>
      <c r="AB295" s="823">
        <f t="shared" ref="AB295:AG295" ca="1" si="278">+AB293</f>
        <v>0</v>
      </c>
      <c r="AC295" s="823">
        <f t="shared" ca="1" si="278"/>
        <v>0</v>
      </c>
      <c r="AD295" s="823">
        <f t="shared" ca="1" si="278"/>
        <v>0</v>
      </c>
      <c r="AE295" s="823">
        <f t="shared" ca="1" si="278"/>
        <v>0</v>
      </c>
      <c r="AF295" s="823">
        <f t="shared" ca="1" si="278"/>
        <v>0</v>
      </c>
      <c r="AG295" s="823">
        <f t="shared" ca="1" si="278"/>
        <v>0</v>
      </c>
      <c r="AH295" s="823">
        <f t="shared" ref="AH295:AK295" ca="1" si="279">+AH293</f>
        <v>0</v>
      </c>
      <c r="AI295" s="823">
        <f t="shared" ca="1" si="279"/>
        <v>0</v>
      </c>
      <c r="AJ295" s="823">
        <f t="shared" ca="1" si="279"/>
        <v>0</v>
      </c>
      <c r="AK295" s="823">
        <f t="shared" ca="1" si="279"/>
        <v>0</v>
      </c>
      <c r="AL295" s="23"/>
      <c r="AM295" s="823">
        <f ca="1">SUM(AB295:AK295)</f>
        <v>0</v>
      </c>
      <c r="AN295" s="335">
        <f>+AM248+AM272</f>
        <v>0</v>
      </c>
      <c r="AO295" s="588" t="s">
        <v>612</v>
      </c>
    </row>
    <row r="296" spans="2:42" ht="15" x14ac:dyDescent="0.25">
      <c r="B296" s="813"/>
    </row>
    <row r="297" spans="2:42" ht="15" x14ac:dyDescent="0.25">
      <c r="B297" s="813"/>
      <c r="C297" s="9"/>
      <c r="D297" s="9" t="s">
        <v>608</v>
      </c>
      <c r="E297" s="2" t="s">
        <v>604</v>
      </c>
      <c r="F297" s="2"/>
      <c r="G297" s="2"/>
      <c r="H297" s="23"/>
      <c r="I297" s="23"/>
      <c r="J297" s="23"/>
      <c r="K297" s="23"/>
      <c r="M297" s="23"/>
      <c r="AB297" s="23">
        <f t="shared" ref="AB297:AG297" si="280">SUMIF($E$277:$E$290,$E297,AB277:AB291)</f>
        <v>0</v>
      </c>
      <c r="AC297" s="23">
        <f t="shared" si="280"/>
        <v>0</v>
      </c>
      <c r="AD297" s="23">
        <f t="shared" si="280"/>
        <v>0</v>
      </c>
      <c r="AE297" s="23">
        <f t="shared" si="280"/>
        <v>0</v>
      </c>
      <c r="AF297" s="23">
        <f t="shared" si="280"/>
        <v>0</v>
      </c>
      <c r="AG297" s="23">
        <f t="shared" si="280"/>
        <v>0</v>
      </c>
      <c r="AH297" s="23">
        <f t="shared" ref="AH297:AK297" si="281">SUMIF($E$277:$E$290,$E297,AH277:AH291)</f>
        <v>0</v>
      </c>
      <c r="AI297" s="23">
        <f t="shared" si="281"/>
        <v>0</v>
      </c>
      <c r="AJ297" s="23">
        <f t="shared" si="281"/>
        <v>0</v>
      </c>
      <c r="AK297" s="23">
        <f t="shared" si="281"/>
        <v>0</v>
      </c>
      <c r="AL297" s="23"/>
      <c r="AM297" s="23">
        <f>SUMIF($E$277:$E$290,$E297,AM277:AM291)</f>
        <v>0</v>
      </c>
    </row>
    <row r="298" spans="2:42" ht="15" x14ac:dyDescent="0.25">
      <c r="B298" s="813"/>
      <c r="C298" s="9"/>
      <c r="D298" s="9" t="s">
        <v>608</v>
      </c>
      <c r="E298" s="2" t="s">
        <v>605</v>
      </c>
      <c r="F298" s="2"/>
      <c r="G298" s="2"/>
      <c r="H298" s="23"/>
      <c r="I298" s="23"/>
      <c r="J298" s="23"/>
      <c r="K298" s="23"/>
      <c r="M298" s="23"/>
      <c r="AB298" s="23">
        <f t="shared" ref="AB298:AG298" ca="1" si="282">SUMIF($E$277:$E$290,$E298,AB277:AB291)</f>
        <v>0</v>
      </c>
      <c r="AC298" s="23">
        <f t="shared" ca="1" si="282"/>
        <v>0</v>
      </c>
      <c r="AD298" s="23">
        <f t="shared" ca="1" si="282"/>
        <v>0</v>
      </c>
      <c r="AE298" s="23">
        <f t="shared" ca="1" si="282"/>
        <v>0</v>
      </c>
      <c r="AF298" s="23">
        <f t="shared" ca="1" si="282"/>
        <v>0</v>
      </c>
      <c r="AG298" s="23">
        <f t="shared" ca="1" si="282"/>
        <v>0</v>
      </c>
      <c r="AH298" s="23">
        <f t="shared" ref="AH298:AK298" ca="1" si="283">SUMIF($E$277:$E$290,$E298,AH277:AH291)</f>
        <v>0</v>
      </c>
      <c r="AI298" s="23">
        <f t="shared" ca="1" si="283"/>
        <v>0</v>
      </c>
      <c r="AJ298" s="23">
        <f t="shared" ca="1" si="283"/>
        <v>0</v>
      </c>
      <c r="AK298" s="23">
        <f t="shared" ca="1" si="283"/>
        <v>0</v>
      </c>
      <c r="AL298" s="23"/>
      <c r="AM298" s="23">
        <f ca="1">SUMIF($E$277:$E$290,$E298,AM277:AM291)</f>
        <v>0</v>
      </c>
      <c r="AN298" s="335">
        <f ca="1">+AM297+AM298</f>
        <v>0</v>
      </c>
    </row>
    <row r="299" spans="2:42" ht="15" x14ac:dyDescent="0.25">
      <c r="B299" s="813"/>
    </row>
    <row r="300" spans="2:42" ht="15" x14ac:dyDescent="0.25">
      <c r="B300" s="813"/>
    </row>
    <row r="301" spans="2:42" ht="15" x14ac:dyDescent="0.25">
      <c r="B301" s="813"/>
    </row>
    <row r="302" spans="2:42" ht="15" x14ac:dyDescent="0.25">
      <c r="B302" s="813"/>
      <c r="C302" s="813"/>
      <c r="D302" s="813"/>
      <c r="E302" s="813"/>
      <c r="F302" s="813"/>
      <c r="G302" s="813"/>
      <c r="H302" s="813"/>
      <c r="I302" s="813"/>
      <c r="J302" s="813"/>
      <c r="K302" s="813"/>
      <c r="L302" s="813"/>
      <c r="M302" s="813"/>
      <c r="N302" s="813"/>
      <c r="O302" s="813"/>
      <c r="P302" s="813"/>
      <c r="Q302" s="813"/>
      <c r="R302" s="813"/>
      <c r="S302" s="813"/>
      <c r="T302" s="813"/>
      <c r="U302" s="813"/>
      <c r="V302" s="813"/>
      <c r="W302" s="813"/>
      <c r="X302" s="813"/>
      <c r="Y302" s="813"/>
      <c r="Z302" s="813"/>
      <c r="AA302" s="813"/>
      <c r="AB302" s="813"/>
      <c r="AC302" s="813"/>
      <c r="AD302" s="813"/>
      <c r="AE302" s="813"/>
      <c r="AF302" s="813"/>
      <c r="AG302" s="813"/>
      <c r="AH302" s="813"/>
      <c r="AI302" s="813"/>
      <c r="AJ302" s="813"/>
      <c r="AK302" s="813"/>
      <c r="AL302" s="813"/>
      <c r="AM302" s="813"/>
      <c r="AN302" s="813"/>
      <c r="AO302" s="813"/>
      <c r="AP302" s="813"/>
    </row>
    <row r="310" spans="2:42" ht="15" x14ac:dyDescent="0.25">
      <c r="B310" s="811" t="s">
        <v>1183</v>
      </c>
      <c r="C310" s="811"/>
      <c r="D310" s="812"/>
      <c r="E310" s="812"/>
      <c r="F310" s="812"/>
      <c r="G310" s="812"/>
      <c r="H310" s="812"/>
      <c r="I310" s="812"/>
      <c r="J310" s="812"/>
      <c r="K310" s="812"/>
      <c r="L310" s="812"/>
      <c r="M310" s="812"/>
      <c r="N310" s="812"/>
      <c r="O310" s="812"/>
      <c r="P310" s="812"/>
      <c r="Q310" s="812"/>
      <c r="R310" s="812"/>
      <c r="S310" s="812"/>
      <c r="T310" s="812"/>
      <c r="U310" s="812"/>
      <c r="V310" s="812"/>
      <c r="W310" s="812"/>
      <c r="X310" s="812"/>
      <c r="Y310" s="812"/>
      <c r="Z310" s="812"/>
      <c r="AA310" s="812"/>
      <c r="AB310" s="812"/>
      <c r="AC310" s="812"/>
      <c r="AD310" s="812"/>
      <c r="AE310" s="812"/>
      <c r="AF310" s="812"/>
      <c r="AG310" s="812"/>
      <c r="AH310" s="812"/>
      <c r="AI310" s="812"/>
      <c r="AJ310" s="812"/>
      <c r="AK310" s="812"/>
      <c r="AL310" s="812"/>
      <c r="AM310" s="812"/>
      <c r="AN310" s="813"/>
      <c r="AO310" s="813"/>
      <c r="AP310" s="813"/>
    </row>
    <row r="311" spans="2:42" ht="15" x14ac:dyDescent="0.25">
      <c r="B311" s="813"/>
      <c r="C311" s="9" t="s">
        <v>625</v>
      </c>
      <c r="F311" s="9" t="s">
        <v>289</v>
      </c>
      <c r="H311" s="9" t="s">
        <v>599</v>
      </c>
      <c r="I311" s="9" t="s">
        <v>600</v>
      </c>
      <c r="J311" s="9" t="s">
        <v>620</v>
      </c>
      <c r="K311" s="9" t="s">
        <v>601</v>
      </c>
      <c r="L311" s="9"/>
      <c r="M311" s="9" t="s">
        <v>602</v>
      </c>
      <c r="O311" s="1849">
        <f>+$AB$7</f>
        <v>45292</v>
      </c>
      <c r="P311" s="1849">
        <f>+$AC$7</f>
        <v>45658</v>
      </c>
      <c r="Q311" s="1849">
        <f>+$AD$7</f>
        <v>46023</v>
      </c>
      <c r="R311" s="1849">
        <f>+$AE$7</f>
        <v>46388</v>
      </c>
      <c r="S311" s="1849">
        <f>+$AF$7</f>
        <v>46753</v>
      </c>
      <c r="T311" s="1849">
        <f>+$AG$7</f>
        <v>47119</v>
      </c>
      <c r="U311" s="1849">
        <f>+$AH$7</f>
        <v>47484</v>
      </c>
      <c r="V311" s="1849">
        <f>+$AI$7</f>
        <v>47849</v>
      </c>
      <c r="W311" s="1849">
        <f>+$AJ$7</f>
        <v>48214</v>
      </c>
      <c r="X311" s="1849">
        <f>+$AK$7</f>
        <v>48580</v>
      </c>
      <c r="Z311" s="5" t="s">
        <v>216</v>
      </c>
      <c r="AB311" s="1849">
        <f>O311</f>
        <v>45292</v>
      </c>
      <c r="AC311" s="1849">
        <f t="shared" ref="AC311:AK311" si="284">P311</f>
        <v>45658</v>
      </c>
      <c r="AD311" s="1849">
        <f t="shared" si="284"/>
        <v>46023</v>
      </c>
      <c r="AE311" s="1849">
        <f t="shared" si="284"/>
        <v>46388</v>
      </c>
      <c r="AF311" s="1849">
        <f t="shared" si="284"/>
        <v>46753</v>
      </c>
      <c r="AG311" s="1849">
        <f t="shared" si="284"/>
        <v>47119</v>
      </c>
      <c r="AH311" s="1849">
        <f t="shared" si="284"/>
        <v>47484</v>
      </c>
      <c r="AI311" s="1849">
        <f t="shared" si="284"/>
        <v>47849</v>
      </c>
      <c r="AJ311" s="1849">
        <f t="shared" si="284"/>
        <v>48214</v>
      </c>
      <c r="AK311" s="1849">
        <f t="shared" si="284"/>
        <v>48580</v>
      </c>
      <c r="AM311" s="5" t="s">
        <v>389</v>
      </c>
    </row>
    <row r="312" spans="2:42" ht="15" x14ac:dyDescent="0.25">
      <c r="B312" s="813"/>
      <c r="O312" s="5" t="s">
        <v>437</v>
      </c>
      <c r="P312" s="5" t="s">
        <v>437</v>
      </c>
      <c r="Q312" s="5" t="s">
        <v>437</v>
      </c>
      <c r="R312" s="5" t="s">
        <v>437</v>
      </c>
      <c r="S312" s="5" t="s">
        <v>437</v>
      </c>
      <c r="T312" s="5" t="s">
        <v>437</v>
      </c>
      <c r="U312" s="5" t="s">
        <v>437</v>
      </c>
      <c r="V312" s="5" t="s">
        <v>437</v>
      </c>
      <c r="W312" s="5" t="s">
        <v>437</v>
      </c>
      <c r="X312" s="5" t="s">
        <v>437</v>
      </c>
    </row>
    <row r="313" spans="2:42" ht="15" x14ac:dyDescent="0.25">
      <c r="B313" s="813"/>
      <c r="D313" s="3" t="s">
        <v>316</v>
      </c>
      <c r="E313" s="12" t="s">
        <v>604</v>
      </c>
      <c r="F313" s="357">
        <f>'Eng &amp; Proj Supp'!AD73</f>
        <v>0</v>
      </c>
      <c r="H313" s="815">
        <f>'Eng &amp; Proj Supp'!AG73</f>
        <v>0</v>
      </c>
      <c r="I313" s="815">
        <f>'Eng &amp; Proj Supp'!AJ73</f>
        <v>0</v>
      </c>
      <c r="K313" s="815">
        <f>'Eng &amp; Proj Supp'!AP73</f>
        <v>0</v>
      </c>
      <c r="L313" s="820"/>
      <c r="M313" s="815">
        <f t="shared" ref="M313:M328" si="285">SUM(H313:L313)</f>
        <v>0</v>
      </c>
      <c r="O313" s="817">
        <v>0</v>
      </c>
      <c r="P313" s="817">
        <v>0</v>
      </c>
      <c r="Q313" s="817">
        <v>0.25</v>
      </c>
      <c r="R313" s="817">
        <v>0.5</v>
      </c>
      <c r="S313" s="817">
        <v>0.25</v>
      </c>
      <c r="T313" s="818">
        <v>0</v>
      </c>
      <c r="U313" s="818"/>
      <c r="V313" s="818"/>
      <c r="W313" s="818"/>
      <c r="X313" s="818"/>
      <c r="Z313" s="637">
        <f t="shared" ref="Z313:Z328" si="286">SUM(O313:X313)</f>
        <v>1</v>
      </c>
      <c r="AB313" s="23">
        <f t="shared" ref="AB313:AB328" si="287">+$M313*O313</f>
        <v>0</v>
      </c>
      <c r="AC313" s="23">
        <f t="shared" ref="AC313:AC328" si="288">+$M313*P313</f>
        <v>0</v>
      </c>
      <c r="AD313" s="23">
        <f t="shared" ref="AD313:AD328" si="289">+$M313*Q313</f>
        <v>0</v>
      </c>
      <c r="AE313" s="23">
        <f t="shared" ref="AE313:AE328" si="290">+$M313*R313</f>
        <v>0</v>
      </c>
      <c r="AF313" s="23">
        <f t="shared" ref="AF313:AF328" si="291">+$M313*S313</f>
        <v>0</v>
      </c>
      <c r="AG313" s="23">
        <f t="shared" ref="AG313:AG328" si="292">+$M313*T313</f>
        <v>0</v>
      </c>
      <c r="AH313" s="23">
        <f t="shared" ref="AH313:AK328" si="293">+$M313*U313</f>
        <v>0</v>
      </c>
      <c r="AI313" s="23">
        <f t="shared" si="293"/>
        <v>0</v>
      </c>
      <c r="AJ313" s="23">
        <f t="shared" si="293"/>
        <v>0</v>
      </c>
      <c r="AK313" s="23">
        <f t="shared" si="293"/>
        <v>0</v>
      </c>
      <c r="AL313" s="23"/>
      <c r="AM313" s="23">
        <f>SUM(AB313:AK313)</f>
        <v>0</v>
      </c>
    </row>
    <row r="314" spans="2:42" ht="15" x14ac:dyDescent="0.25">
      <c r="B314" s="812"/>
      <c r="D314" s="3" t="s">
        <v>1182</v>
      </c>
      <c r="E314" s="12" t="s">
        <v>604</v>
      </c>
      <c r="F314" s="357">
        <f>'Eng &amp; Proj Supp'!AD162</f>
        <v>320</v>
      </c>
      <c r="H314" s="815">
        <f>'Eng &amp; Proj Supp'!AG162</f>
        <v>18240</v>
      </c>
      <c r="I314" s="815">
        <f>'Eng &amp; Proj Supp'!AJ162</f>
        <v>0</v>
      </c>
      <c r="K314" s="815">
        <f>'Eng &amp; Proj Supp'!AP162</f>
        <v>229000</v>
      </c>
      <c r="L314" s="9"/>
      <c r="M314" s="815">
        <f t="shared" si="285"/>
        <v>247240</v>
      </c>
      <c r="O314" s="817">
        <v>0</v>
      </c>
      <c r="P314" s="817">
        <v>0</v>
      </c>
      <c r="Q314" s="817">
        <v>0.25</v>
      </c>
      <c r="R314" s="817">
        <v>0.5</v>
      </c>
      <c r="S314" s="817">
        <v>0.25</v>
      </c>
      <c r="T314" s="818">
        <v>0</v>
      </c>
      <c r="U314" s="818"/>
      <c r="V314" s="818"/>
      <c r="W314" s="818"/>
      <c r="X314" s="818"/>
      <c r="Z314" s="637">
        <f t="shared" si="286"/>
        <v>1</v>
      </c>
      <c r="AB314" s="23">
        <f t="shared" si="287"/>
        <v>0</v>
      </c>
      <c r="AC314" s="23">
        <f t="shared" si="288"/>
        <v>0</v>
      </c>
      <c r="AD314" s="23">
        <f t="shared" si="289"/>
        <v>61810</v>
      </c>
      <c r="AE314" s="23">
        <f t="shared" si="290"/>
        <v>123620</v>
      </c>
      <c r="AF314" s="23">
        <f t="shared" si="291"/>
        <v>61810</v>
      </c>
      <c r="AG314" s="23">
        <f t="shared" si="292"/>
        <v>0</v>
      </c>
      <c r="AH314" s="23">
        <f t="shared" si="293"/>
        <v>0</v>
      </c>
      <c r="AI314" s="23">
        <f t="shared" si="293"/>
        <v>0</v>
      </c>
      <c r="AJ314" s="23">
        <f t="shared" si="293"/>
        <v>0</v>
      </c>
      <c r="AK314" s="23">
        <f t="shared" si="293"/>
        <v>0</v>
      </c>
      <c r="AL314" s="23"/>
      <c r="AM314" s="23">
        <f t="shared" ref="AM314:AM328" si="294">SUM(AB314:AK314)</f>
        <v>247240</v>
      </c>
    </row>
    <row r="315" spans="2:42" ht="15" x14ac:dyDescent="0.25">
      <c r="B315" s="813"/>
      <c r="D315" s="3"/>
      <c r="E315" s="12" t="s">
        <v>604</v>
      </c>
      <c r="L315" s="820"/>
      <c r="M315" s="815">
        <f t="shared" si="285"/>
        <v>0</v>
      </c>
      <c r="O315" s="817">
        <v>0</v>
      </c>
      <c r="P315" s="817">
        <v>0</v>
      </c>
      <c r="Q315" s="817">
        <v>0.25</v>
      </c>
      <c r="R315" s="817">
        <v>0.5</v>
      </c>
      <c r="S315" s="817">
        <v>0.25</v>
      </c>
      <c r="T315" s="818">
        <v>0</v>
      </c>
      <c r="U315" s="818"/>
      <c r="V315" s="818"/>
      <c r="W315" s="818"/>
      <c r="X315" s="818"/>
      <c r="Z315" s="637">
        <f t="shared" si="286"/>
        <v>1</v>
      </c>
      <c r="AB315" s="23">
        <f t="shared" si="287"/>
        <v>0</v>
      </c>
      <c r="AC315" s="23">
        <f t="shared" si="288"/>
        <v>0</v>
      </c>
      <c r="AD315" s="23">
        <f t="shared" si="289"/>
        <v>0</v>
      </c>
      <c r="AE315" s="23">
        <f t="shared" si="290"/>
        <v>0</v>
      </c>
      <c r="AF315" s="23">
        <f t="shared" si="291"/>
        <v>0</v>
      </c>
      <c r="AG315" s="23">
        <f t="shared" si="292"/>
        <v>0</v>
      </c>
      <c r="AH315" s="23">
        <f t="shared" si="293"/>
        <v>0</v>
      </c>
      <c r="AI315" s="23">
        <f t="shared" si="293"/>
        <v>0</v>
      </c>
      <c r="AJ315" s="23">
        <f t="shared" si="293"/>
        <v>0</v>
      </c>
      <c r="AK315" s="23">
        <f t="shared" si="293"/>
        <v>0</v>
      </c>
      <c r="AL315" s="23"/>
      <c r="AM315" s="23">
        <f t="shared" si="294"/>
        <v>0</v>
      </c>
    </row>
    <row r="316" spans="2:42" ht="15" x14ac:dyDescent="0.25">
      <c r="B316" s="813"/>
      <c r="D316" s="3"/>
      <c r="E316" s="12" t="s">
        <v>604</v>
      </c>
      <c r="M316" s="815">
        <f t="shared" si="285"/>
        <v>0</v>
      </c>
      <c r="O316" s="817">
        <v>0</v>
      </c>
      <c r="P316" s="817">
        <v>0</v>
      </c>
      <c r="Q316" s="817">
        <v>0.25</v>
      </c>
      <c r="R316" s="817">
        <v>0.5</v>
      </c>
      <c r="S316" s="817">
        <v>0.25</v>
      </c>
      <c r="T316" s="818">
        <v>0</v>
      </c>
      <c r="U316" s="818"/>
      <c r="V316" s="818"/>
      <c r="W316" s="818"/>
      <c r="X316" s="818"/>
      <c r="Z316" s="637">
        <f t="shared" si="286"/>
        <v>1</v>
      </c>
      <c r="AB316" s="23">
        <f t="shared" si="287"/>
        <v>0</v>
      </c>
      <c r="AC316" s="23">
        <f t="shared" si="288"/>
        <v>0</v>
      </c>
      <c r="AD316" s="23">
        <f t="shared" si="289"/>
        <v>0</v>
      </c>
      <c r="AE316" s="23">
        <f t="shared" si="290"/>
        <v>0</v>
      </c>
      <c r="AF316" s="23">
        <f t="shared" si="291"/>
        <v>0</v>
      </c>
      <c r="AG316" s="23">
        <f t="shared" si="292"/>
        <v>0</v>
      </c>
      <c r="AH316" s="23">
        <f t="shared" si="293"/>
        <v>0</v>
      </c>
      <c r="AI316" s="23">
        <f t="shared" si="293"/>
        <v>0</v>
      </c>
      <c r="AJ316" s="23">
        <f t="shared" si="293"/>
        <v>0</v>
      </c>
      <c r="AK316" s="23">
        <f t="shared" si="293"/>
        <v>0</v>
      </c>
      <c r="AL316" s="23"/>
      <c r="AM316" s="23">
        <f t="shared" si="294"/>
        <v>0</v>
      </c>
    </row>
    <row r="317" spans="2:42" ht="15" x14ac:dyDescent="0.25">
      <c r="B317" s="813"/>
      <c r="D317" s="3"/>
      <c r="E317" s="12" t="s">
        <v>604</v>
      </c>
      <c r="M317" s="815">
        <f t="shared" si="285"/>
        <v>0</v>
      </c>
      <c r="O317" s="817">
        <v>0</v>
      </c>
      <c r="P317" s="817">
        <v>0</v>
      </c>
      <c r="Q317" s="817">
        <v>0.25</v>
      </c>
      <c r="R317" s="817">
        <v>0.5</v>
      </c>
      <c r="S317" s="817">
        <v>0.25</v>
      </c>
      <c r="T317" s="818">
        <v>0</v>
      </c>
      <c r="U317" s="818"/>
      <c r="V317" s="818"/>
      <c r="W317" s="818"/>
      <c r="X317" s="818"/>
      <c r="Z317" s="637">
        <f t="shared" si="286"/>
        <v>1</v>
      </c>
      <c r="AB317" s="23">
        <f t="shared" si="287"/>
        <v>0</v>
      </c>
      <c r="AC317" s="23">
        <f t="shared" si="288"/>
        <v>0</v>
      </c>
      <c r="AD317" s="23">
        <f t="shared" si="289"/>
        <v>0</v>
      </c>
      <c r="AE317" s="23">
        <f t="shared" si="290"/>
        <v>0</v>
      </c>
      <c r="AF317" s="23">
        <f t="shared" si="291"/>
        <v>0</v>
      </c>
      <c r="AG317" s="23">
        <f t="shared" si="292"/>
        <v>0</v>
      </c>
      <c r="AH317" s="23">
        <f t="shared" si="293"/>
        <v>0</v>
      </c>
      <c r="AI317" s="23">
        <f t="shared" si="293"/>
        <v>0</v>
      </c>
      <c r="AJ317" s="23">
        <f t="shared" si="293"/>
        <v>0</v>
      </c>
      <c r="AK317" s="23">
        <f t="shared" si="293"/>
        <v>0</v>
      </c>
      <c r="AL317" s="23"/>
      <c r="AM317" s="23">
        <f t="shared" si="294"/>
        <v>0</v>
      </c>
    </row>
    <row r="318" spans="2:42" ht="15" x14ac:dyDescent="0.25">
      <c r="B318" s="813"/>
      <c r="D318" s="3"/>
      <c r="E318" s="12" t="s">
        <v>604</v>
      </c>
      <c r="M318" s="815">
        <f t="shared" si="285"/>
        <v>0</v>
      </c>
      <c r="O318" s="817">
        <v>0</v>
      </c>
      <c r="P318" s="817">
        <v>0</v>
      </c>
      <c r="Q318" s="817">
        <v>0.25</v>
      </c>
      <c r="R318" s="817">
        <v>0.5</v>
      </c>
      <c r="S318" s="817">
        <v>0.25</v>
      </c>
      <c r="T318" s="818">
        <v>0</v>
      </c>
      <c r="U318" s="818"/>
      <c r="V318" s="818"/>
      <c r="W318" s="818"/>
      <c r="X318" s="818"/>
      <c r="Z318" s="637">
        <f t="shared" si="286"/>
        <v>1</v>
      </c>
      <c r="AB318" s="23">
        <f t="shared" si="287"/>
        <v>0</v>
      </c>
      <c r="AC318" s="23">
        <f t="shared" si="288"/>
        <v>0</v>
      </c>
      <c r="AD318" s="23">
        <f t="shared" si="289"/>
        <v>0</v>
      </c>
      <c r="AE318" s="23">
        <f t="shared" si="290"/>
        <v>0</v>
      </c>
      <c r="AF318" s="23">
        <f t="shared" si="291"/>
        <v>0</v>
      </c>
      <c r="AG318" s="23">
        <f t="shared" si="292"/>
        <v>0</v>
      </c>
      <c r="AH318" s="23">
        <f t="shared" si="293"/>
        <v>0</v>
      </c>
      <c r="AI318" s="23">
        <f t="shared" si="293"/>
        <v>0</v>
      </c>
      <c r="AJ318" s="23">
        <f t="shared" si="293"/>
        <v>0</v>
      </c>
      <c r="AK318" s="23">
        <f t="shared" si="293"/>
        <v>0</v>
      </c>
      <c r="AL318" s="23"/>
      <c r="AM318" s="23">
        <f t="shared" si="294"/>
        <v>0</v>
      </c>
    </row>
    <row r="319" spans="2:42" ht="15" x14ac:dyDescent="0.25">
      <c r="B319" s="813"/>
      <c r="D319" s="3"/>
      <c r="E319" s="12" t="s">
        <v>604</v>
      </c>
      <c r="M319" s="815">
        <f t="shared" si="285"/>
        <v>0</v>
      </c>
      <c r="O319" s="817">
        <v>0</v>
      </c>
      <c r="P319" s="817">
        <v>0</v>
      </c>
      <c r="Q319" s="817">
        <v>0.25</v>
      </c>
      <c r="R319" s="817">
        <v>0.5</v>
      </c>
      <c r="S319" s="817">
        <v>0.25</v>
      </c>
      <c r="T319" s="818">
        <v>0</v>
      </c>
      <c r="U319" s="818"/>
      <c r="V319" s="818"/>
      <c r="W319" s="818"/>
      <c r="X319" s="818"/>
      <c r="Z319" s="637">
        <f t="shared" si="286"/>
        <v>1</v>
      </c>
      <c r="AB319" s="23">
        <f t="shared" si="287"/>
        <v>0</v>
      </c>
      <c r="AC319" s="23">
        <f t="shared" si="288"/>
        <v>0</v>
      </c>
      <c r="AD319" s="23">
        <f t="shared" si="289"/>
        <v>0</v>
      </c>
      <c r="AE319" s="23">
        <f t="shared" si="290"/>
        <v>0</v>
      </c>
      <c r="AF319" s="23">
        <f t="shared" si="291"/>
        <v>0</v>
      </c>
      <c r="AG319" s="23">
        <f t="shared" si="292"/>
        <v>0</v>
      </c>
      <c r="AH319" s="23">
        <f t="shared" si="293"/>
        <v>0</v>
      </c>
      <c r="AI319" s="23">
        <f t="shared" si="293"/>
        <v>0</v>
      </c>
      <c r="AJ319" s="23">
        <f t="shared" si="293"/>
        <v>0</v>
      </c>
      <c r="AK319" s="23">
        <f t="shared" si="293"/>
        <v>0</v>
      </c>
      <c r="AL319" s="23"/>
      <c r="AM319" s="23">
        <f t="shared" si="294"/>
        <v>0</v>
      </c>
    </row>
    <row r="320" spans="2:42" ht="15" x14ac:dyDescent="0.25">
      <c r="B320" s="813"/>
      <c r="D320" s="3"/>
      <c r="E320" s="12" t="s">
        <v>604</v>
      </c>
      <c r="M320" s="815"/>
      <c r="O320" s="817">
        <v>0</v>
      </c>
      <c r="P320" s="817">
        <v>0</v>
      </c>
      <c r="Q320" s="817">
        <v>0.25</v>
      </c>
      <c r="R320" s="817">
        <v>0.5</v>
      </c>
      <c r="S320" s="817">
        <v>0.25</v>
      </c>
      <c r="T320" s="818">
        <v>0</v>
      </c>
      <c r="U320" s="818"/>
      <c r="V320" s="818"/>
      <c r="W320" s="818"/>
      <c r="X320" s="818"/>
      <c r="Z320" s="637">
        <f t="shared" si="286"/>
        <v>1</v>
      </c>
      <c r="AB320" s="23">
        <f t="shared" si="287"/>
        <v>0</v>
      </c>
      <c r="AC320" s="23">
        <f t="shared" si="288"/>
        <v>0</v>
      </c>
      <c r="AD320" s="23">
        <f t="shared" si="289"/>
        <v>0</v>
      </c>
      <c r="AE320" s="23">
        <f t="shared" si="290"/>
        <v>0</v>
      </c>
      <c r="AF320" s="23">
        <f t="shared" si="291"/>
        <v>0</v>
      </c>
      <c r="AG320" s="23">
        <f t="shared" si="292"/>
        <v>0</v>
      </c>
      <c r="AH320" s="23">
        <f t="shared" si="293"/>
        <v>0</v>
      </c>
      <c r="AI320" s="23">
        <f t="shared" si="293"/>
        <v>0</v>
      </c>
      <c r="AJ320" s="23">
        <f t="shared" si="293"/>
        <v>0</v>
      </c>
      <c r="AK320" s="23">
        <f t="shared" si="293"/>
        <v>0</v>
      </c>
      <c r="AL320" s="23"/>
      <c r="AM320" s="23">
        <f t="shared" si="294"/>
        <v>0</v>
      </c>
    </row>
    <row r="321" spans="2:42" ht="15" x14ac:dyDescent="0.25">
      <c r="B321" s="813"/>
      <c r="D321" s="3" t="str">
        <f t="shared" ref="D321:D328" si="295">D313</f>
        <v>Survey Engineering</v>
      </c>
      <c r="E321" s="12" t="s">
        <v>605</v>
      </c>
      <c r="F321" s="357">
        <f>'Eng &amp; Proj Supp'!AE73</f>
        <v>0</v>
      </c>
      <c r="G321" s="2"/>
      <c r="H321" s="816">
        <f>'Eng &amp; Proj Supp'!AH73</f>
        <v>0</v>
      </c>
      <c r="I321" s="816">
        <f>'Eng &amp; Proj Supp'!AK73</f>
        <v>0</v>
      </c>
      <c r="J321" s="820"/>
      <c r="K321" s="816">
        <f>'Eng &amp; Proj Supp'!AQ73</f>
        <v>0</v>
      </c>
      <c r="M321" s="815">
        <f t="shared" si="285"/>
        <v>0</v>
      </c>
      <c r="O321" s="817">
        <v>0</v>
      </c>
      <c r="P321" s="817">
        <v>0</v>
      </c>
      <c r="Q321" s="817">
        <v>0.25</v>
      </c>
      <c r="R321" s="817">
        <v>0.5</v>
      </c>
      <c r="S321" s="817">
        <v>0.25</v>
      </c>
      <c r="T321" s="818">
        <v>0</v>
      </c>
      <c r="U321" s="818"/>
      <c r="V321" s="818"/>
      <c r="W321" s="818"/>
      <c r="X321" s="818"/>
      <c r="Z321" s="637">
        <f>SUM(O321:X321)</f>
        <v>1</v>
      </c>
      <c r="AB321" s="23">
        <f t="shared" si="287"/>
        <v>0</v>
      </c>
      <c r="AC321" s="23">
        <f t="shared" si="288"/>
        <v>0</v>
      </c>
      <c r="AD321" s="23">
        <f t="shared" si="289"/>
        <v>0</v>
      </c>
      <c r="AE321" s="23">
        <f t="shared" si="290"/>
        <v>0</v>
      </c>
      <c r="AF321" s="23">
        <f t="shared" si="291"/>
        <v>0</v>
      </c>
      <c r="AG321" s="23">
        <f t="shared" si="292"/>
        <v>0</v>
      </c>
      <c r="AH321" s="23">
        <f t="shared" si="293"/>
        <v>0</v>
      </c>
      <c r="AI321" s="23">
        <f t="shared" si="293"/>
        <v>0</v>
      </c>
      <c r="AJ321" s="23">
        <f t="shared" si="293"/>
        <v>0</v>
      </c>
      <c r="AK321" s="23">
        <f t="shared" si="293"/>
        <v>0</v>
      </c>
      <c r="AL321" s="23"/>
      <c r="AM321" s="23">
        <f t="shared" si="294"/>
        <v>0</v>
      </c>
    </row>
    <row r="322" spans="2:42" ht="15" x14ac:dyDescent="0.25">
      <c r="B322" s="813"/>
      <c r="D322" s="3" t="str">
        <f t="shared" si="295"/>
        <v>Environmental Permitting</v>
      </c>
      <c r="E322" s="12" t="s">
        <v>605</v>
      </c>
      <c r="F322" s="357">
        <f>'Eng &amp; Proj Supp'!AE162</f>
        <v>224</v>
      </c>
      <c r="G322" s="2"/>
      <c r="H322" s="816">
        <f>'Eng &amp; Proj Supp'!AH162</f>
        <v>34048</v>
      </c>
      <c r="I322" s="816">
        <f>'Eng &amp; Proj Supp'!AK162</f>
        <v>3405</v>
      </c>
      <c r="J322" s="820"/>
      <c r="K322" s="816">
        <f>'Eng &amp; Proj Supp'!AQ162</f>
        <v>0</v>
      </c>
      <c r="M322" s="815">
        <f t="shared" si="285"/>
        <v>37453</v>
      </c>
      <c r="O322" s="817">
        <v>0</v>
      </c>
      <c r="P322" s="817">
        <v>0</v>
      </c>
      <c r="Q322" s="817">
        <v>0.25</v>
      </c>
      <c r="R322" s="817">
        <v>0.5</v>
      </c>
      <c r="S322" s="817">
        <v>0.25</v>
      </c>
      <c r="T322" s="818">
        <v>0</v>
      </c>
      <c r="U322" s="818"/>
      <c r="V322" s="818"/>
      <c r="W322" s="818"/>
      <c r="X322" s="818"/>
      <c r="Z322" s="637">
        <f t="shared" si="286"/>
        <v>1</v>
      </c>
      <c r="AB322" s="23">
        <f t="shared" si="287"/>
        <v>0</v>
      </c>
      <c r="AC322" s="23">
        <f t="shared" si="288"/>
        <v>0</v>
      </c>
      <c r="AD322" s="23">
        <f t="shared" si="289"/>
        <v>9363.25</v>
      </c>
      <c r="AE322" s="23">
        <f t="shared" si="290"/>
        <v>18726.5</v>
      </c>
      <c r="AF322" s="23">
        <f t="shared" si="291"/>
        <v>9363.25</v>
      </c>
      <c r="AG322" s="23">
        <f t="shared" si="292"/>
        <v>0</v>
      </c>
      <c r="AH322" s="23">
        <f t="shared" si="293"/>
        <v>0</v>
      </c>
      <c r="AI322" s="23">
        <f t="shared" si="293"/>
        <v>0</v>
      </c>
      <c r="AJ322" s="23">
        <f t="shared" si="293"/>
        <v>0</v>
      </c>
      <c r="AK322" s="23">
        <f t="shared" si="293"/>
        <v>0</v>
      </c>
      <c r="AL322" s="23"/>
      <c r="AM322" s="23">
        <f t="shared" si="294"/>
        <v>37453</v>
      </c>
      <c r="AO322">
        <f>'Detail Summary'!CK110</f>
        <v>37453</v>
      </c>
      <c r="AP322" t="s">
        <v>1187</v>
      </c>
    </row>
    <row r="323" spans="2:42" ht="15" x14ac:dyDescent="0.25">
      <c r="B323" s="813"/>
      <c r="D323" s="3">
        <f t="shared" si="295"/>
        <v>0</v>
      </c>
      <c r="E323" s="12" t="s">
        <v>605</v>
      </c>
      <c r="M323" s="815">
        <f t="shared" si="285"/>
        <v>0</v>
      </c>
      <c r="O323" s="817">
        <v>0</v>
      </c>
      <c r="P323" s="817">
        <v>0</v>
      </c>
      <c r="Q323" s="817">
        <v>0.25</v>
      </c>
      <c r="R323" s="817">
        <v>0.5</v>
      </c>
      <c r="S323" s="817">
        <v>0.25</v>
      </c>
      <c r="T323" s="818">
        <v>0</v>
      </c>
      <c r="U323" s="818"/>
      <c r="V323" s="818"/>
      <c r="W323" s="818"/>
      <c r="X323" s="818"/>
      <c r="Z323" s="637">
        <f t="shared" si="286"/>
        <v>1</v>
      </c>
      <c r="AB323" s="23">
        <f t="shared" si="287"/>
        <v>0</v>
      </c>
      <c r="AC323" s="23">
        <f t="shared" si="288"/>
        <v>0</v>
      </c>
      <c r="AD323" s="23">
        <f t="shared" si="289"/>
        <v>0</v>
      </c>
      <c r="AE323" s="23">
        <f t="shared" si="290"/>
        <v>0</v>
      </c>
      <c r="AF323" s="23">
        <f t="shared" si="291"/>
        <v>0</v>
      </c>
      <c r="AG323" s="23">
        <f t="shared" si="292"/>
        <v>0</v>
      </c>
      <c r="AH323" s="23">
        <f t="shared" si="293"/>
        <v>0</v>
      </c>
      <c r="AI323" s="23">
        <f t="shared" si="293"/>
        <v>0</v>
      </c>
      <c r="AJ323" s="23">
        <f t="shared" si="293"/>
        <v>0</v>
      </c>
      <c r="AK323" s="23">
        <f t="shared" si="293"/>
        <v>0</v>
      </c>
      <c r="AL323" s="23"/>
      <c r="AM323" s="23">
        <f t="shared" si="294"/>
        <v>0</v>
      </c>
    </row>
    <row r="324" spans="2:42" ht="15" x14ac:dyDescent="0.25">
      <c r="B324" s="813"/>
      <c r="D324" s="3">
        <f t="shared" si="295"/>
        <v>0</v>
      </c>
      <c r="E324" s="12" t="s">
        <v>605</v>
      </c>
      <c r="M324" s="815">
        <f t="shared" si="285"/>
        <v>0</v>
      </c>
      <c r="O324" s="817">
        <v>0</v>
      </c>
      <c r="P324" s="817">
        <v>0</v>
      </c>
      <c r="Q324" s="817">
        <v>0.25</v>
      </c>
      <c r="R324" s="817">
        <v>0.5</v>
      </c>
      <c r="S324" s="817">
        <v>0.25</v>
      </c>
      <c r="T324" s="818">
        <v>0</v>
      </c>
      <c r="U324" s="818"/>
      <c r="V324" s="818"/>
      <c r="W324" s="818"/>
      <c r="X324" s="818"/>
      <c r="Z324" s="637">
        <f t="shared" si="286"/>
        <v>1</v>
      </c>
      <c r="AB324" s="23">
        <f t="shared" si="287"/>
        <v>0</v>
      </c>
      <c r="AC324" s="23">
        <f t="shared" si="288"/>
        <v>0</v>
      </c>
      <c r="AD324" s="23">
        <f t="shared" si="289"/>
        <v>0</v>
      </c>
      <c r="AE324" s="23">
        <f t="shared" si="290"/>
        <v>0</v>
      </c>
      <c r="AF324" s="23">
        <f t="shared" si="291"/>
        <v>0</v>
      </c>
      <c r="AG324" s="23">
        <f t="shared" si="292"/>
        <v>0</v>
      </c>
      <c r="AH324" s="23">
        <f t="shared" si="293"/>
        <v>0</v>
      </c>
      <c r="AI324" s="23">
        <f t="shared" si="293"/>
        <v>0</v>
      </c>
      <c r="AJ324" s="23">
        <f t="shared" si="293"/>
        <v>0</v>
      </c>
      <c r="AK324" s="23">
        <f t="shared" si="293"/>
        <v>0</v>
      </c>
      <c r="AL324" s="23"/>
      <c r="AM324" s="23">
        <f t="shared" si="294"/>
        <v>0</v>
      </c>
    </row>
    <row r="325" spans="2:42" ht="15" x14ac:dyDescent="0.25">
      <c r="B325" s="813"/>
      <c r="D325" s="3">
        <f t="shared" si="295"/>
        <v>0</v>
      </c>
      <c r="E325" s="12" t="s">
        <v>605</v>
      </c>
      <c r="M325" s="815">
        <f t="shared" si="285"/>
        <v>0</v>
      </c>
      <c r="O325" s="817">
        <v>0</v>
      </c>
      <c r="P325" s="817">
        <v>0</v>
      </c>
      <c r="Q325" s="817">
        <v>0.25</v>
      </c>
      <c r="R325" s="817">
        <v>0.5</v>
      </c>
      <c r="S325" s="817">
        <v>0.25</v>
      </c>
      <c r="T325" s="818">
        <v>0</v>
      </c>
      <c r="U325" s="818"/>
      <c r="V325" s="818"/>
      <c r="W325" s="818"/>
      <c r="X325" s="818"/>
      <c r="Z325" s="637">
        <f t="shared" si="286"/>
        <v>1</v>
      </c>
      <c r="AB325" s="23">
        <f t="shared" si="287"/>
        <v>0</v>
      </c>
      <c r="AC325" s="23">
        <f t="shared" si="288"/>
        <v>0</v>
      </c>
      <c r="AD325" s="23">
        <f t="shared" si="289"/>
        <v>0</v>
      </c>
      <c r="AE325" s="23">
        <f t="shared" si="290"/>
        <v>0</v>
      </c>
      <c r="AF325" s="23">
        <f t="shared" si="291"/>
        <v>0</v>
      </c>
      <c r="AG325" s="23">
        <f t="shared" si="292"/>
        <v>0</v>
      </c>
      <c r="AH325" s="23">
        <f t="shared" si="293"/>
        <v>0</v>
      </c>
      <c r="AI325" s="23">
        <f t="shared" si="293"/>
        <v>0</v>
      </c>
      <c r="AJ325" s="23">
        <f t="shared" si="293"/>
        <v>0</v>
      </c>
      <c r="AK325" s="23">
        <f t="shared" si="293"/>
        <v>0</v>
      </c>
      <c r="AL325" s="23"/>
      <c r="AM325" s="23">
        <f t="shared" si="294"/>
        <v>0</v>
      </c>
    </row>
    <row r="326" spans="2:42" ht="15" x14ac:dyDescent="0.25">
      <c r="B326" s="813"/>
      <c r="D326" s="3">
        <f t="shared" si="295"/>
        <v>0</v>
      </c>
      <c r="E326" s="12" t="s">
        <v>605</v>
      </c>
      <c r="M326" s="815">
        <f t="shared" si="285"/>
        <v>0</v>
      </c>
      <c r="O326" s="817">
        <v>0</v>
      </c>
      <c r="P326" s="817">
        <v>0</v>
      </c>
      <c r="Q326" s="817">
        <v>0.25</v>
      </c>
      <c r="R326" s="817">
        <v>0.5</v>
      </c>
      <c r="S326" s="817">
        <v>0.25</v>
      </c>
      <c r="T326" s="818">
        <v>0</v>
      </c>
      <c r="U326" s="818"/>
      <c r="V326" s="818"/>
      <c r="W326" s="818"/>
      <c r="X326" s="818"/>
      <c r="Z326" s="637">
        <f t="shared" si="286"/>
        <v>1</v>
      </c>
      <c r="AB326" s="23">
        <f t="shared" si="287"/>
        <v>0</v>
      </c>
      <c r="AC326" s="23">
        <f t="shared" si="288"/>
        <v>0</v>
      </c>
      <c r="AD326" s="23">
        <f t="shared" si="289"/>
        <v>0</v>
      </c>
      <c r="AE326" s="23">
        <f t="shared" si="290"/>
        <v>0</v>
      </c>
      <c r="AF326" s="23">
        <f t="shared" si="291"/>
        <v>0</v>
      </c>
      <c r="AG326" s="23">
        <f t="shared" si="292"/>
        <v>0</v>
      </c>
      <c r="AH326" s="23">
        <f t="shared" si="293"/>
        <v>0</v>
      </c>
      <c r="AI326" s="23">
        <f t="shared" si="293"/>
        <v>0</v>
      </c>
      <c r="AJ326" s="23">
        <f t="shared" si="293"/>
        <v>0</v>
      </c>
      <c r="AK326" s="23">
        <f t="shared" si="293"/>
        <v>0</v>
      </c>
      <c r="AL326" s="23"/>
      <c r="AM326" s="23">
        <f t="shared" si="294"/>
        <v>0</v>
      </c>
    </row>
    <row r="327" spans="2:42" ht="15" x14ac:dyDescent="0.25">
      <c r="B327" s="813"/>
      <c r="D327" s="3">
        <f t="shared" si="295"/>
        <v>0</v>
      </c>
      <c r="E327" s="12" t="s">
        <v>605</v>
      </c>
      <c r="M327" s="815">
        <f t="shared" si="285"/>
        <v>0</v>
      </c>
      <c r="O327" s="817">
        <v>0</v>
      </c>
      <c r="P327" s="817">
        <v>0</v>
      </c>
      <c r="Q327" s="817">
        <v>0.25</v>
      </c>
      <c r="R327" s="817">
        <v>0.5</v>
      </c>
      <c r="S327" s="817">
        <v>0.25</v>
      </c>
      <c r="T327" s="818">
        <v>0</v>
      </c>
      <c r="U327" s="818"/>
      <c r="V327" s="818"/>
      <c r="W327" s="818"/>
      <c r="X327" s="818"/>
      <c r="Z327" s="637">
        <f t="shared" si="286"/>
        <v>1</v>
      </c>
      <c r="AB327" s="23">
        <f t="shared" si="287"/>
        <v>0</v>
      </c>
      <c r="AC327" s="23">
        <f t="shared" si="288"/>
        <v>0</v>
      </c>
      <c r="AD327" s="23">
        <f t="shared" si="289"/>
        <v>0</v>
      </c>
      <c r="AE327" s="23">
        <f t="shared" si="290"/>
        <v>0</v>
      </c>
      <c r="AF327" s="23">
        <f t="shared" si="291"/>
        <v>0</v>
      </c>
      <c r="AG327" s="23">
        <f t="shared" si="292"/>
        <v>0</v>
      </c>
      <c r="AH327" s="23">
        <f t="shared" si="293"/>
        <v>0</v>
      </c>
      <c r="AI327" s="23">
        <f t="shared" si="293"/>
        <v>0</v>
      </c>
      <c r="AJ327" s="23">
        <f t="shared" si="293"/>
        <v>0</v>
      </c>
      <c r="AK327" s="23">
        <f t="shared" si="293"/>
        <v>0</v>
      </c>
      <c r="AL327" s="23"/>
      <c r="AM327" s="23">
        <f t="shared" si="294"/>
        <v>0</v>
      </c>
    </row>
    <row r="328" spans="2:42" ht="15" x14ac:dyDescent="0.25">
      <c r="B328" s="813"/>
      <c r="D328" s="3">
        <f t="shared" si="295"/>
        <v>0</v>
      </c>
      <c r="E328" s="12" t="s">
        <v>605</v>
      </c>
      <c r="M328" s="815">
        <f t="shared" si="285"/>
        <v>0</v>
      </c>
      <c r="O328" s="817">
        <v>0</v>
      </c>
      <c r="P328" s="817">
        <v>0</v>
      </c>
      <c r="Q328" s="817">
        <v>0.25</v>
      </c>
      <c r="R328" s="817">
        <v>0.5</v>
      </c>
      <c r="S328" s="817">
        <v>0.25</v>
      </c>
      <c r="T328" s="818">
        <v>0</v>
      </c>
      <c r="U328" s="818"/>
      <c r="V328" s="818"/>
      <c r="W328" s="818"/>
      <c r="X328" s="818"/>
      <c r="Z328" s="637">
        <f t="shared" si="286"/>
        <v>1</v>
      </c>
      <c r="AB328" s="23">
        <f t="shared" si="287"/>
        <v>0</v>
      </c>
      <c r="AC328" s="23">
        <f t="shared" si="288"/>
        <v>0</v>
      </c>
      <c r="AD328" s="23">
        <f t="shared" si="289"/>
        <v>0</v>
      </c>
      <c r="AE328" s="23">
        <f t="shared" si="290"/>
        <v>0</v>
      </c>
      <c r="AF328" s="23">
        <f t="shared" si="291"/>
        <v>0</v>
      </c>
      <c r="AG328" s="23">
        <f t="shared" si="292"/>
        <v>0</v>
      </c>
      <c r="AH328" s="23">
        <f t="shared" si="293"/>
        <v>0</v>
      </c>
      <c r="AI328" s="23">
        <f t="shared" si="293"/>
        <v>0</v>
      </c>
      <c r="AJ328" s="23">
        <f t="shared" si="293"/>
        <v>0</v>
      </c>
      <c r="AK328" s="23">
        <f t="shared" si="293"/>
        <v>0</v>
      </c>
      <c r="AL328" s="23"/>
      <c r="AM328" s="23">
        <f t="shared" si="294"/>
        <v>0</v>
      </c>
    </row>
    <row r="329" spans="2:42" ht="15" x14ac:dyDescent="0.25">
      <c r="B329" s="813"/>
    </row>
    <row r="330" spans="2:42" ht="15" x14ac:dyDescent="0.25">
      <c r="B330" s="813"/>
      <c r="C330" s="9" t="s">
        <v>606</v>
      </c>
      <c r="D330" s="9"/>
      <c r="H330" s="820"/>
      <c r="I330" s="820"/>
      <c r="J330" s="820"/>
      <c r="K330" s="820"/>
      <c r="L330" s="820"/>
      <c r="M330" s="822">
        <f>SUM(M313:M329)</f>
        <v>284693</v>
      </c>
      <c r="O330" t="s">
        <v>607</v>
      </c>
      <c r="AB330" s="823">
        <f t="shared" ref="AB330:AG330" si="296">SUM(AB313:AB328)</f>
        <v>0</v>
      </c>
      <c r="AC330" s="823">
        <f t="shared" si="296"/>
        <v>0</v>
      </c>
      <c r="AD330" s="823">
        <f t="shared" si="296"/>
        <v>71173.25</v>
      </c>
      <c r="AE330" s="823">
        <f t="shared" si="296"/>
        <v>142346.5</v>
      </c>
      <c r="AF330" s="823">
        <f t="shared" si="296"/>
        <v>71173.25</v>
      </c>
      <c r="AG330" s="823">
        <f t="shared" si="296"/>
        <v>0</v>
      </c>
      <c r="AH330" s="823">
        <f t="shared" ref="AH330:AK330" si="297">SUM(AH313:AH328)</f>
        <v>0</v>
      </c>
      <c r="AI330" s="823">
        <f t="shared" si="297"/>
        <v>0</v>
      </c>
      <c r="AJ330" s="823">
        <f t="shared" si="297"/>
        <v>0</v>
      </c>
      <c r="AK330" s="823">
        <f t="shared" si="297"/>
        <v>0</v>
      </c>
      <c r="AL330" s="23"/>
      <c r="AM330" s="823">
        <f>SUM(AB330:AK330)</f>
        <v>284693</v>
      </c>
    </row>
    <row r="331" spans="2:42" ht="15" x14ac:dyDescent="0.25">
      <c r="B331" s="813"/>
      <c r="C331" s="9"/>
      <c r="D331" s="9"/>
      <c r="H331" s="820"/>
      <c r="I331" s="820"/>
      <c r="J331" s="820"/>
      <c r="K331" s="820"/>
      <c r="L331" s="820"/>
      <c r="M331" s="824"/>
      <c r="AB331" s="825"/>
      <c r="AC331" s="825"/>
      <c r="AD331" s="825"/>
      <c r="AE331" s="825"/>
      <c r="AF331" s="825"/>
      <c r="AG331" s="825"/>
      <c r="AH331" s="825"/>
      <c r="AI331" s="825"/>
      <c r="AJ331" s="825"/>
      <c r="AK331" s="825"/>
      <c r="AL331" s="23"/>
      <c r="AM331" s="825"/>
    </row>
    <row r="332" spans="2:42" ht="15" x14ac:dyDescent="0.25">
      <c r="B332" s="813"/>
      <c r="C332" s="9"/>
      <c r="D332" s="9" t="s">
        <v>608</v>
      </c>
      <c r="E332" s="2" t="s">
        <v>604</v>
      </c>
      <c r="F332" s="23">
        <f>SUMIF($E$313:$E$328,$E332,F313:F328)</f>
        <v>320</v>
      </c>
      <c r="G332" s="23">
        <f t="shared" ref="G332:M332" si="298">SUMIF($E$313:$E$328,$E332,G313:G328)</f>
        <v>0</v>
      </c>
      <c r="H332" s="23">
        <f t="shared" si="298"/>
        <v>18240</v>
      </c>
      <c r="I332" s="23">
        <f t="shared" si="298"/>
        <v>0</v>
      </c>
      <c r="J332" s="23">
        <f t="shared" si="298"/>
        <v>0</v>
      </c>
      <c r="K332" s="23">
        <f t="shared" si="298"/>
        <v>229000</v>
      </c>
      <c r="L332" s="23">
        <f t="shared" si="298"/>
        <v>0</v>
      </c>
      <c r="M332" s="23">
        <f t="shared" si="298"/>
        <v>247240</v>
      </c>
      <c r="O332" s="23">
        <f t="shared" ref="O332:T332" si="299">IF($AM$332=0,0,+$F332*AB332/$AM$332)</f>
        <v>0</v>
      </c>
      <c r="P332" s="23">
        <f t="shared" si="299"/>
        <v>0</v>
      </c>
      <c r="Q332" s="23">
        <f t="shared" si="299"/>
        <v>80</v>
      </c>
      <c r="R332" s="23">
        <f t="shared" si="299"/>
        <v>160</v>
      </c>
      <c r="S332" s="23">
        <f t="shared" si="299"/>
        <v>80</v>
      </c>
      <c r="T332" s="23">
        <f t="shared" si="299"/>
        <v>0</v>
      </c>
      <c r="U332" s="23">
        <f t="shared" ref="U332" si="300">IF($AM$332=0,0,+$F332*AH332/$AM$332)</f>
        <v>0</v>
      </c>
      <c r="V332" s="23">
        <f t="shared" ref="V332" si="301">IF($AM$332=0,0,+$F332*AI332/$AM$332)</f>
        <v>0</v>
      </c>
      <c r="W332" s="23">
        <f t="shared" ref="W332" si="302">IF($AM$332=0,0,+$F332*AJ332/$AM$332)</f>
        <v>0</v>
      </c>
      <c r="X332" s="23">
        <f t="shared" ref="X332" si="303">IF($AM$332=0,0,+$F332*AK332/$AM$332)</f>
        <v>0</v>
      </c>
      <c r="Z332" s="335">
        <f>SUM(O332:X332)</f>
        <v>320</v>
      </c>
      <c r="AB332" s="23">
        <f t="shared" ref="AB332:AG332" si="304">SUMIF($E313:$E328,$E332,AB313:AB328)</f>
        <v>0</v>
      </c>
      <c r="AC332" s="23">
        <f t="shared" si="304"/>
        <v>0</v>
      </c>
      <c r="AD332" s="23">
        <f t="shared" si="304"/>
        <v>61810</v>
      </c>
      <c r="AE332" s="23">
        <f t="shared" si="304"/>
        <v>123620</v>
      </c>
      <c r="AF332" s="23">
        <f t="shared" si="304"/>
        <v>61810</v>
      </c>
      <c r="AG332" s="23">
        <f t="shared" si="304"/>
        <v>0</v>
      </c>
      <c r="AH332" s="23">
        <f t="shared" ref="AH332:AK332" si="305">SUMIF($E313:$E328,$E332,AH313:AH328)</f>
        <v>0</v>
      </c>
      <c r="AI332" s="23">
        <f t="shared" si="305"/>
        <v>0</v>
      </c>
      <c r="AJ332" s="23">
        <f t="shared" si="305"/>
        <v>0</v>
      </c>
      <c r="AK332" s="23">
        <f t="shared" si="305"/>
        <v>0</v>
      </c>
      <c r="AL332" s="23"/>
      <c r="AM332" s="23">
        <f>SUMIF($E313:$E328,$E332,AM313:AM328)</f>
        <v>247240</v>
      </c>
    </row>
    <row r="333" spans="2:42" ht="15" x14ac:dyDescent="0.25">
      <c r="B333" s="813"/>
      <c r="C333" s="9"/>
      <c r="D333" s="9" t="s">
        <v>608</v>
      </c>
      <c r="E333" s="2" t="s">
        <v>605</v>
      </c>
      <c r="F333" s="23">
        <f>SUMIF($E$313:$E$328,$E333,F313:F328)</f>
        <v>224</v>
      </c>
      <c r="G333" s="23">
        <f t="shared" ref="G333:M333" si="306">SUMIF($E$313:$E$328,$E333,G313:G328)</f>
        <v>0</v>
      </c>
      <c r="H333" s="23">
        <f t="shared" si="306"/>
        <v>34048</v>
      </c>
      <c r="I333" s="23">
        <f t="shared" si="306"/>
        <v>3405</v>
      </c>
      <c r="J333" s="23">
        <f t="shared" si="306"/>
        <v>0</v>
      </c>
      <c r="K333" s="23">
        <f t="shared" si="306"/>
        <v>0</v>
      </c>
      <c r="L333" s="23">
        <f t="shared" si="306"/>
        <v>0</v>
      </c>
      <c r="M333" s="23">
        <f t="shared" si="306"/>
        <v>37453</v>
      </c>
      <c r="O333" s="23">
        <f t="shared" ref="O333:T333" si="307">IF($AM$332=0,0,+$F333*AB333/$AM$333)</f>
        <v>0</v>
      </c>
      <c r="P333" s="23">
        <f t="shared" si="307"/>
        <v>0</v>
      </c>
      <c r="Q333" s="23">
        <f t="shared" si="307"/>
        <v>56</v>
      </c>
      <c r="R333" s="23">
        <f t="shared" si="307"/>
        <v>112</v>
      </c>
      <c r="S333" s="23">
        <f t="shared" si="307"/>
        <v>56</v>
      </c>
      <c r="T333" s="23">
        <f t="shared" si="307"/>
        <v>0</v>
      </c>
      <c r="U333" s="23">
        <f t="shared" ref="U333" si="308">IF($AM$332=0,0,+$F333*AH333/$AM$333)</f>
        <v>0</v>
      </c>
      <c r="V333" s="23">
        <f t="shared" ref="V333" si="309">IF($AM$332=0,0,+$F333*AI333/$AM$333)</f>
        <v>0</v>
      </c>
      <c r="W333" s="23">
        <f t="shared" ref="W333" si="310">IF($AM$332=0,0,+$F333*AJ333/$AM$333)</f>
        <v>0</v>
      </c>
      <c r="X333" s="23">
        <f t="shared" ref="X333" si="311">IF($AM$332=0,0,+$F333*AK333/$AM$333)</f>
        <v>0</v>
      </c>
      <c r="Z333" s="335">
        <f>SUM(O333:X333)</f>
        <v>224</v>
      </c>
      <c r="AB333" s="23">
        <f t="shared" ref="AB333:AG333" si="312">SUMIF($E313:$E328,$E333,AB313:AB328)</f>
        <v>0</v>
      </c>
      <c r="AC333" s="23">
        <f t="shared" si="312"/>
        <v>0</v>
      </c>
      <c r="AD333" s="23">
        <f t="shared" si="312"/>
        <v>9363.25</v>
      </c>
      <c r="AE333" s="23">
        <f t="shared" si="312"/>
        <v>18726.5</v>
      </c>
      <c r="AF333" s="23">
        <f t="shared" si="312"/>
        <v>9363.25</v>
      </c>
      <c r="AG333" s="23">
        <f t="shared" si="312"/>
        <v>0</v>
      </c>
      <c r="AH333" s="23">
        <f t="shared" ref="AH333:AK333" si="313">SUMIF($E313:$E328,$E333,AH313:AH328)</f>
        <v>0</v>
      </c>
      <c r="AI333" s="23">
        <f t="shared" si="313"/>
        <v>0</v>
      </c>
      <c r="AJ333" s="23">
        <f t="shared" si="313"/>
        <v>0</v>
      </c>
      <c r="AK333" s="23">
        <f t="shared" si="313"/>
        <v>0</v>
      </c>
      <c r="AL333" s="23"/>
      <c r="AM333" s="23">
        <f>SUMIF($E313:$E328,$E333,AM313:AM328)</f>
        <v>37453</v>
      </c>
      <c r="AN333" s="335">
        <f>+AM332+AM333</f>
        <v>284693</v>
      </c>
    </row>
    <row r="334" spans="2:42" ht="15" x14ac:dyDescent="0.25">
      <c r="B334" s="813"/>
    </row>
    <row r="335" spans="2:42" ht="15" x14ac:dyDescent="0.25">
      <c r="B335" s="813"/>
    </row>
    <row r="336" spans="2:42" ht="15" x14ac:dyDescent="0.25">
      <c r="B336" s="813"/>
      <c r="C336" s="9" t="s">
        <v>282</v>
      </c>
    </row>
    <row r="337" spans="2:42" ht="15" x14ac:dyDescent="0.25">
      <c r="B337" s="813"/>
      <c r="AB337" s="23"/>
      <c r="AC337" s="23"/>
      <c r="AD337" s="23"/>
      <c r="AE337" s="23"/>
      <c r="AF337" s="23"/>
      <c r="AG337" s="23"/>
      <c r="AH337" s="23"/>
      <c r="AI337" s="23"/>
      <c r="AJ337" s="23"/>
      <c r="AK337" s="23"/>
      <c r="AM337" s="23"/>
    </row>
    <row r="338" spans="2:42" ht="15" x14ac:dyDescent="0.25">
      <c r="B338" s="813"/>
      <c r="D338" s="3" t="str">
        <f>+D313</f>
        <v>Survey Engineering</v>
      </c>
      <c r="E338" t="str">
        <f>+E313</f>
        <v>E</v>
      </c>
      <c r="O338" s="23">
        <f>IF($F313=0,0,+$F313*O313)</f>
        <v>0</v>
      </c>
      <c r="P338" s="23">
        <f t="shared" ref="P338:Z338" si="314">IF($F313=0,0,+$F313*P313)</f>
        <v>0</v>
      </c>
      <c r="Q338" s="23">
        <f t="shared" si="314"/>
        <v>0</v>
      </c>
      <c r="R338" s="23">
        <f t="shared" si="314"/>
        <v>0</v>
      </c>
      <c r="S338" s="23">
        <f t="shared" si="314"/>
        <v>0</v>
      </c>
      <c r="T338" s="23">
        <f t="shared" si="314"/>
        <v>0</v>
      </c>
      <c r="U338" s="23">
        <f t="shared" ref="U338:X338" si="315">IF($F313=0,0,+$F313*U313)</f>
        <v>0</v>
      </c>
      <c r="V338" s="23">
        <f t="shared" si="315"/>
        <v>0</v>
      </c>
      <c r="W338" s="23">
        <f t="shared" si="315"/>
        <v>0</v>
      </c>
      <c r="X338" s="23">
        <f t="shared" si="315"/>
        <v>0</v>
      </c>
      <c r="Y338" s="23">
        <f t="shared" si="314"/>
        <v>0</v>
      </c>
      <c r="Z338" s="23">
        <f t="shared" si="314"/>
        <v>0</v>
      </c>
      <c r="AB338" s="23">
        <f t="shared" ref="AB338:AG338" si="316">+AB313*AB$10</f>
        <v>0</v>
      </c>
      <c r="AC338" s="23">
        <f t="shared" si="316"/>
        <v>0</v>
      </c>
      <c r="AD338" s="23">
        <f t="shared" si="316"/>
        <v>0</v>
      </c>
      <c r="AE338" s="23">
        <f t="shared" si="316"/>
        <v>0</v>
      </c>
      <c r="AF338" s="23">
        <f t="shared" si="316"/>
        <v>0</v>
      </c>
      <c r="AG338" s="23">
        <f t="shared" si="316"/>
        <v>0</v>
      </c>
      <c r="AH338" s="23">
        <f t="shared" ref="AH338:AK338" si="317">+AH313*AH$10</f>
        <v>0</v>
      </c>
      <c r="AI338" s="23">
        <f t="shared" si="317"/>
        <v>0</v>
      </c>
      <c r="AJ338" s="23">
        <f t="shared" si="317"/>
        <v>0</v>
      </c>
      <c r="AK338" s="23">
        <f t="shared" si="317"/>
        <v>0</v>
      </c>
      <c r="AM338" s="23">
        <f>SUM(AB338:AK338)</f>
        <v>0</v>
      </c>
    </row>
    <row r="339" spans="2:42" ht="15" x14ac:dyDescent="0.25">
      <c r="B339" s="813"/>
      <c r="D339" s="3" t="str">
        <f t="shared" ref="D339:E353" si="318">+D314</f>
        <v>Environmental Permitting</v>
      </c>
      <c r="E339" t="str">
        <f t="shared" si="318"/>
        <v>E</v>
      </c>
      <c r="O339" s="23">
        <f t="shared" ref="O339:Z353" si="319">IF($F314=0,0,+$F314*O314)</f>
        <v>0</v>
      </c>
      <c r="P339" s="23">
        <f t="shared" si="319"/>
        <v>0</v>
      </c>
      <c r="Q339" s="23">
        <f t="shared" si="319"/>
        <v>80</v>
      </c>
      <c r="R339" s="23">
        <f t="shared" si="319"/>
        <v>160</v>
      </c>
      <c r="S339" s="23">
        <f t="shared" si="319"/>
        <v>80</v>
      </c>
      <c r="T339" s="23">
        <f t="shared" si="319"/>
        <v>0</v>
      </c>
      <c r="U339" s="23">
        <f t="shared" ref="U339:X339" si="320">IF($F314=0,0,+$F314*U314)</f>
        <v>0</v>
      </c>
      <c r="V339" s="23">
        <f t="shared" si="320"/>
        <v>0</v>
      </c>
      <c r="W339" s="23">
        <f t="shared" si="320"/>
        <v>0</v>
      </c>
      <c r="X339" s="23">
        <f t="shared" si="320"/>
        <v>0</v>
      </c>
      <c r="Y339" s="23">
        <f t="shared" si="319"/>
        <v>0</v>
      </c>
      <c r="Z339" s="23">
        <f t="shared" si="319"/>
        <v>320</v>
      </c>
      <c r="AB339" s="23">
        <f t="shared" ref="AB339:AG353" si="321">+AB314*AB$10</f>
        <v>0</v>
      </c>
      <c r="AC339" s="23">
        <f t="shared" si="321"/>
        <v>0</v>
      </c>
      <c r="AD339" s="23">
        <f t="shared" si="321"/>
        <v>3764.2289999999971</v>
      </c>
      <c r="AE339" s="23">
        <f t="shared" si="321"/>
        <v>11462.911740000001</v>
      </c>
      <c r="AF339" s="23">
        <f t="shared" si="321"/>
        <v>7757.6995461000088</v>
      </c>
      <c r="AG339" s="23">
        <f t="shared" si="321"/>
        <v>0</v>
      </c>
      <c r="AH339" s="23">
        <f t="shared" ref="AH339:AK339" si="322">+AH314*AH$10</f>
        <v>0</v>
      </c>
      <c r="AI339" s="23">
        <f t="shared" si="322"/>
        <v>0</v>
      </c>
      <c r="AJ339" s="23">
        <f t="shared" si="322"/>
        <v>0</v>
      </c>
      <c r="AK339" s="23">
        <f t="shared" si="322"/>
        <v>0</v>
      </c>
      <c r="AM339" s="23">
        <f t="shared" ref="AM339:AM353" si="323">SUM(AB339:AK339)</f>
        <v>22984.840286100007</v>
      </c>
    </row>
    <row r="340" spans="2:42" ht="15" x14ac:dyDescent="0.25">
      <c r="B340" s="813"/>
      <c r="D340" s="3">
        <f t="shared" si="318"/>
        <v>0</v>
      </c>
      <c r="E340" t="str">
        <f t="shared" si="318"/>
        <v>E</v>
      </c>
      <c r="O340" s="23">
        <f t="shared" si="319"/>
        <v>0</v>
      </c>
      <c r="P340" s="23">
        <f t="shared" si="319"/>
        <v>0</v>
      </c>
      <c r="Q340" s="23">
        <f t="shared" si="319"/>
        <v>0</v>
      </c>
      <c r="R340" s="23">
        <f t="shared" si="319"/>
        <v>0</v>
      </c>
      <c r="S340" s="23">
        <f t="shared" si="319"/>
        <v>0</v>
      </c>
      <c r="T340" s="23">
        <f t="shared" si="319"/>
        <v>0</v>
      </c>
      <c r="U340" s="23">
        <f t="shared" ref="U340:X340" si="324">IF($F315=0,0,+$F315*U315)</f>
        <v>0</v>
      </c>
      <c r="V340" s="23">
        <f t="shared" si="324"/>
        <v>0</v>
      </c>
      <c r="W340" s="23">
        <f t="shared" si="324"/>
        <v>0</v>
      </c>
      <c r="X340" s="23">
        <f t="shared" si="324"/>
        <v>0</v>
      </c>
      <c r="Y340" s="23">
        <f t="shared" si="319"/>
        <v>0</v>
      </c>
      <c r="Z340" s="23">
        <f t="shared" si="319"/>
        <v>0</v>
      </c>
      <c r="AB340" s="23">
        <f t="shared" si="321"/>
        <v>0</v>
      </c>
      <c r="AC340" s="23">
        <f t="shared" si="321"/>
        <v>0</v>
      </c>
      <c r="AD340" s="23">
        <f t="shared" si="321"/>
        <v>0</v>
      </c>
      <c r="AE340" s="23">
        <f t="shared" si="321"/>
        <v>0</v>
      </c>
      <c r="AF340" s="23">
        <f t="shared" si="321"/>
        <v>0</v>
      </c>
      <c r="AG340" s="23">
        <f t="shared" si="321"/>
        <v>0</v>
      </c>
      <c r="AH340" s="23">
        <f t="shared" ref="AH340:AK340" si="325">+AH315*AH$10</f>
        <v>0</v>
      </c>
      <c r="AI340" s="23">
        <f t="shared" si="325"/>
        <v>0</v>
      </c>
      <c r="AJ340" s="23">
        <f t="shared" si="325"/>
        <v>0</v>
      </c>
      <c r="AK340" s="23">
        <f t="shared" si="325"/>
        <v>0</v>
      </c>
      <c r="AM340" s="23">
        <f t="shared" si="323"/>
        <v>0</v>
      </c>
    </row>
    <row r="341" spans="2:42" ht="15" x14ac:dyDescent="0.25">
      <c r="B341" s="813"/>
      <c r="D341" s="3">
        <f t="shared" si="318"/>
        <v>0</v>
      </c>
      <c r="E341" t="str">
        <f t="shared" si="318"/>
        <v>E</v>
      </c>
      <c r="O341" s="23">
        <f t="shared" si="319"/>
        <v>0</v>
      </c>
      <c r="P341" s="23">
        <f t="shared" si="319"/>
        <v>0</v>
      </c>
      <c r="Q341" s="23">
        <f t="shared" si="319"/>
        <v>0</v>
      </c>
      <c r="R341" s="23">
        <f t="shared" si="319"/>
        <v>0</v>
      </c>
      <c r="S341" s="23">
        <f t="shared" si="319"/>
        <v>0</v>
      </c>
      <c r="T341" s="23">
        <f t="shared" si="319"/>
        <v>0</v>
      </c>
      <c r="U341" s="23">
        <f t="shared" ref="U341:X341" si="326">IF($F316=0,0,+$F316*U316)</f>
        <v>0</v>
      </c>
      <c r="V341" s="23">
        <f t="shared" si="326"/>
        <v>0</v>
      </c>
      <c r="W341" s="23">
        <f t="shared" si="326"/>
        <v>0</v>
      </c>
      <c r="X341" s="23">
        <f t="shared" si="326"/>
        <v>0</v>
      </c>
      <c r="Y341" s="23">
        <f t="shared" si="319"/>
        <v>0</v>
      </c>
      <c r="Z341" s="23">
        <f t="shared" si="319"/>
        <v>0</v>
      </c>
      <c r="AB341" s="23">
        <f t="shared" si="321"/>
        <v>0</v>
      </c>
      <c r="AC341" s="23">
        <f t="shared" si="321"/>
        <v>0</v>
      </c>
      <c r="AD341" s="23">
        <f t="shared" si="321"/>
        <v>0</v>
      </c>
      <c r="AE341" s="23">
        <f t="shared" si="321"/>
        <v>0</v>
      </c>
      <c r="AF341" s="23">
        <f t="shared" si="321"/>
        <v>0</v>
      </c>
      <c r="AG341" s="23">
        <f t="shared" si="321"/>
        <v>0</v>
      </c>
      <c r="AH341" s="23">
        <f t="shared" ref="AH341:AK341" si="327">+AH316*AH$10</f>
        <v>0</v>
      </c>
      <c r="AI341" s="23">
        <f t="shared" si="327"/>
        <v>0</v>
      </c>
      <c r="AJ341" s="23">
        <f t="shared" si="327"/>
        <v>0</v>
      </c>
      <c r="AK341" s="23">
        <f t="shared" si="327"/>
        <v>0</v>
      </c>
      <c r="AM341" s="23">
        <f t="shared" si="323"/>
        <v>0</v>
      </c>
    </row>
    <row r="342" spans="2:42" ht="15" x14ac:dyDescent="0.25">
      <c r="B342" s="813"/>
      <c r="D342" s="3">
        <f t="shared" si="318"/>
        <v>0</v>
      </c>
      <c r="E342" t="str">
        <f t="shared" si="318"/>
        <v>E</v>
      </c>
      <c r="O342" s="23">
        <f t="shared" si="319"/>
        <v>0</v>
      </c>
      <c r="P342" s="23">
        <f t="shared" si="319"/>
        <v>0</v>
      </c>
      <c r="Q342" s="23">
        <f t="shared" si="319"/>
        <v>0</v>
      </c>
      <c r="R342" s="23">
        <f t="shared" si="319"/>
        <v>0</v>
      </c>
      <c r="S342" s="23">
        <f t="shared" si="319"/>
        <v>0</v>
      </c>
      <c r="T342" s="23">
        <f t="shared" si="319"/>
        <v>0</v>
      </c>
      <c r="U342" s="23">
        <f t="shared" ref="U342:X342" si="328">IF($F317=0,0,+$F317*U317)</f>
        <v>0</v>
      </c>
      <c r="V342" s="23">
        <f t="shared" si="328"/>
        <v>0</v>
      </c>
      <c r="W342" s="23">
        <f t="shared" si="328"/>
        <v>0</v>
      </c>
      <c r="X342" s="23">
        <f t="shared" si="328"/>
        <v>0</v>
      </c>
      <c r="Y342" s="23">
        <f t="shared" si="319"/>
        <v>0</v>
      </c>
      <c r="Z342" s="23">
        <f t="shared" si="319"/>
        <v>0</v>
      </c>
      <c r="AB342" s="23">
        <f t="shared" si="321"/>
        <v>0</v>
      </c>
      <c r="AC342" s="23">
        <f t="shared" si="321"/>
        <v>0</v>
      </c>
      <c r="AD342" s="23">
        <f t="shared" si="321"/>
        <v>0</v>
      </c>
      <c r="AE342" s="23">
        <f t="shared" si="321"/>
        <v>0</v>
      </c>
      <c r="AF342" s="23">
        <f t="shared" si="321"/>
        <v>0</v>
      </c>
      <c r="AG342" s="23">
        <f t="shared" si="321"/>
        <v>0</v>
      </c>
      <c r="AH342" s="23">
        <f t="shared" ref="AH342:AK342" si="329">+AH317*AH$10</f>
        <v>0</v>
      </c>
      <c r="AI342" s="23">
        <f t="shared" si="329"/>
        <v>0</v>
      </c>
      <c r="AJ342" s="23">
        <f t="shared" si="329"/>
        <v>0</v>
      </c>
      <c r="AK342" s="23">
        <f t="shared" si="329"/>
        <v>0</v>
      </c>
      <c r="AM342" s="23">
        <f t="shared" si="323"/>
        <v>0</v>
      </c>
    </row>
    <row r="343" spans="2:42" ht="15" x14ac:dyDescent="0.25">
      <c r="B343" s="813"/>
      <c r="D343" s="3">
        <f t="shared" si="318"/>
        <v>0</v>
      </c>
      <c r="E343" t="str">
        <f t="shared" si="318"/>
        <v>E</v>
      </c>
      <c r="O343" s="23">
        <f t="shared" si="319"/>
        <v>0</v>
      </c>
      <c r="P343" s="23">
        <f t="shared" si="319"/>
        <v>0</v>
      </c>
      <c r="Q343" s="23">
        <f t="shared" si="319"/>
        <v>0</v>
      </c>
      <c r="R343" s="23">
        <f t="shared" si="319"/>
        <v>0</v>
      </c>
      <c r="S343" s="23">
        <f t="shared" si="319"/>
        <v>0</v>
      </c>
      <c r="T343" s="23">
        <f t="shared" si="319"/>
        <v>0</v>
      </c>
      <c r="U343" s="23">
        <f t="shared" ref="U343:X343" si="330">IF($F318=0,0,+$F318*U318)</f>
        <v>0</v>
      </c>
      <c r="V343" s="23">
        <f t="shared" si="330"/>
        <v>0</v>
      </c>
      <c r="W343" s="23">
        <f t="shared" si="330"/>
        <v>0</v>
      </c>
      <c r="X343" s="23">
        <f t="shared" si="330"/>
        <v>0</v>
      </c>
      <c r="Y343" s="23">
        <f t="shared" si="319"/>
        <v>0</v>
      </c>
      <c r="Z343" s="23">
        <f t="shared" si="319"/>
        <v>0</v>
      </c>
      <c r="AB343" s="23">
        <f t="shared" si="321"/>
        <v>0</v>
      </c>
      <c r="AC343" s="23">
        <f t="shared" si="321"/>
        <v>0</v>
      </c>
      <c r="AD343" s="23">
        <f t="shared" si="321"/>
        <v>0</v>
      </c>
      <c r="AE343" s="23">
        <f t="shared" si="321"/>
        <v>0</v>
      </c>
      <c r="AF343" s="23">
        <f t="shared" si="321"/>
        <v>0</v>
      </c>
      <c r="AG343" s="23">
        <f t="shared" si="321"/>
        <v>0</v>
      </c>
      <c r="AH343" s="23">
        <f t="shared" ref="AH343:AK343" si="331">+AH318*AH$10</f>
        <v>0</v>
      </c>
      <c r="AI343" s="23">
        <f t="shared" si="331"/>
        <v>0</v>
      </c>
      <c r="AJ343" s="23">
        <f t="shared" si="331"/>
        <v>0</v>
      </c>
      <c r="AK343" s="23">
        <f t="shared" si="331"/>
        <v>0</v>
      </c>
      <c r="AM343" s="23">
        <f t="shared" si="323"/>
        <v>0</v>
      </c>
    </row>
    <row r="344" spans="2:42" ht="15" x14ac:dyDescent="0.25">
      <c r="B344" s="813"/>
      <c r="D344" s="3">
        <f t="shared" si="318"/>
        <v>0</v>
      </c>
      <c r="E344" t="str">
        <f t="shared" si="318"/>
        <v>E</v>
      </c>
      <c r="O344" s="23">
        <f t="shared" si="319"/>
        <v>0</v>
      </c>
      <c r="P344" s="23">
        <f t="shared" si="319"/>
        <v>0</v>
      </c>
      <c r="Q344" s="23">
        <f t="shared" si="319"/>
        <v>0</v>
      </c>
      <c r="R344" s="23">
        <f t="shared" si="319"/>
        <v>0</v>
      </c>
      <c r="S344" s="23">
        <f t="shared" si="319"/>
        <v>0</v>
      </c>
      <c r="T344" s="23">
        <f t="shared" si="319"/>
        <v>0</v>
      </c>
      <c r="U344" s="23">
        <f t="shared" ref="U344:X344" si="332">IF($F319=0,0,+$F319*U319)</f>
        <v>0</v>
      </c>
      <c r="V344" s="23">
        <f t="shared" si="332"/>
        <v>0</v>
      </c>
      <c r="W344" s="23">
        <f t="shared" si="332"/>
        <v>0</v>
      </c>
      <c r="X344" s="23">
        <f t="shared" si="332"/>
        <v>0</v>
      </c>
      <c r="Y344" s="23">
        <f t="shared" si="319"/>
        <v>0</v>
      </c>
      <c r="Z344" s="23">
        <f t="shared" si="319"/>
        <v>0</v>
      </c>
      <c r="AB344" s="23">
        <f t="shared" si="321"/>
        <v>0</v>
      </c>
      <c r="AC344" s="23">
        <f t="shared" si="321"/>
        <v>0</v>
      </c>
      <c r="AD344" s="23">
        <f t="shared" si="321"/>
        <v>0</v>
      </c>
      <c r="AE344" s="23">
        <f t="shared" si="321"/>
        <v>0</v>
      </c>
      <c r="AF344" s="23">
        <f t="shared" si="321"/>
        <v>0</v>
      </c>
      <c r="AG344" s="23">
        <f t="shared" si="321"/>
        <v>0</v>
      </c>
      <c r="AH344" s="23">
        <f t="shared" ref="AH344:AK344" si="333">+AH319*AH$10</f>
        <v>0</v>
      </c>
      <c r="AI344" s="23">
        <f t="shared" si="333"/>
        <v>0</v>
      </c>
      <c r="AJ344" s="23">
        <f t="shared" si="333"/>
        <v>0</v>
      </c>
      <c r="AK344" s="23">
        <f t="shared" si="333"/>
        <v>0</v>
      </c>
      <c r="AM344" s="23">
        <f t="shared" si="323"/>
        <v>0</v>
      </c>
    </row>
    <row r="345" spans="2:42" ht="15" x14ac:dyDescent="0.25">
      <c r="B345" s="813"/>
      <c r="D345" s="3">
        <f t="shared" si="318"/>
        <v>0</v>
      </c>
      <c r="E345" t="str">
        <f t="shared" si="318"/>
        <v>E</v>
      </c>
      <c r="O345" s="23">
        <f t="shared" si="319"/>
        <v>0</v>
      </c>
      <c r="P345" s="23">
        <f t="shared" si="319"/>
        <v>0</v>
      </c>
      <c r="Q345" s="23">
        <f t="shared" si="319"/>
        <v>0</v>
      </c>
      <c r="R345" s="23">
        <f t="shared" si="319"/>
        <v>0</v>
      </c>
      <c r="S345" s="23">
        <f t="shared" si="319"/>
        <v>0</v>
      </c>
      <c r="T345" s="23">
        <f t="shared" si="319"/>
        <v>0</v>
      </c>
      <c r="U345" s="23">
        <f t="shared" ref="U345:X345" si="334">IF($F320=0,0,+$F320*U320)</f>
        <v>0</v>
      </c>
      <c r="V345" s="23">
        <f t="shared" si="334"/>
        <v>0</v>
      </c>
      <c r="W345" s="23">
        <f t="shared" si="334"/>
        <v>0</v>
      </c>
      <c r="X345" s="23">
        <f t="shared" si="334"/>
        <v>0</v>
      </c>
      <c r="Y345" s="23">
        <f t="shared" si="319"/>
        <v>0</v>
      </c>
      <c r="Z345" s="23">
        <f t="shared" si="319"/>
        <v>0</v>
      </c>
      <c r="AB345" s="23">
        <f t="shared" si="321"/>
        <v>0</v>
      </c>
      <c r="AC345" s="23">
        <f t="shared" si="321"/>
        <v>0</v>
      </c>
      <c r="AD345" s="23">
        <f t="shared" si="321"/>
        <v>0</v>
      </c>
      <c r="AE345" s="23">
        <f t="shared" si="321"/>
        <v>0</v>
      </c>
      <c r="AF345" s="23">
        <f t="shared" si="321"/>
        <v>0</v>
      </c>
      <c r="AG345" s="23">
        <f t="shared" si="321"/>
        <v>0</v>
      </c>
      <c r="AH345" s="23">
        <f t="shared" ref="AH345:AK345" si="335">+AH320*AH$10</f>
        <v>0</v>
      </c>
      <c r="AI345" s="23">
        <f t="shared" si="335"/>
        <v>0</v>
      </c>
      <c r="AJ345" s="23">
        <f t="shared" si="335"/>
        <v>0</v>
      </c>
      <c r="AK345" s="23">
        <f t="shared" si="335"/>
        <v>0</v>
      </c>
      <c r="AM345" s="23">
        <f t="shared" si="323"/>
        <v>0</v>
      </c>
    </row>
    <row r="346" spans="2:42" ht="15" x14ac:dyDescent="0.25">
      <c r="B346" s="813"/>
      <c r="D346" s="3" t="str">
        <f t="shared" si="318"/>
        <v>Survey Engineering</v>
      </c>
      <c r="E346" t="str">
        <f t="shared" si="318"/>
        <v>OS</v>
      </c>
      <c r="O346" s="23">
        <f t="shared" si="319"/>
        <v>0</v>
      </c>
      <c r="P346" s="23">
        <f t="shared" si="319"/>
        <v>0</v>
      </c>
      <c r="Q346" s="23">
        <f t="shared" si="319"/>
        <v>0</v>
      </c>
      <c r="R346" s="23">
        <f t="shared" si="319"/>
        <v>0</v>
      </c>
      <c r="S346" s="23">
        <f t="shared" si="319"/>
        <v>0</v>
      </c>
      <c r="T346" s="23">
        <f t="shared" si="319"/>
        <v>0</v>
      </c>
      <c r="U346" s="23">
        <f t="shared" ref="U346:X346" si="336">IF($F321=0,0,+$F321*U321)</f>
        <v>0</v>
      </c>
      <c r="V346" s="23">
        <f t="shared" si="336"/>
        <v>0</v>
      </c>
      <c r="W346" s="23">
        <f t="shared" si="336"/>
        <v>0</v>
      </c>
      <c r="X346" s="23">
        <f t="shared" si="336"/>
        <v>0</v>
      </c>
      <c r="Y346" s="23">
        <f t="shared" si="319"/>
        <v>0</v>
      </c>
      <c r="Z346" s="23">
        <f t="shared" si="319"/>
        <v>0</v>
      </c>
      <c r="AB346" s="23">
        <f t="shared" si="321"/>
        <v>0</v>
      </c>
      <c r="AC346" s="23">
        <f t="shared" si="321"/>
        <v>0</v>
      </c>
      <c r="AD346" s="23">
        <f t="shared" si="321"/>
        <v>0</v>
      </c>
      <c r="AE346" s="23">
        <f t="shared" si="321"/>
        <v>0</v>
      </c>
      <c r="AF346" s="23">
        <f t="shared" si="321"/>
        <v>0</v>
      </c>
      <c r="AG346" s="23">
        <f t="shared" si="321"/>
        <v>0</v>
      </c>
      <c r="AH346" s="23">
        <f t="shared" ref="AH346:AK346" si="337">+AH321*AH$10</f>
        <v>0</v>
      </c>
      <c r="AI346" s="23">
        <f t="shared" si="337"/>
        <v>0</v>
      </c>
      <c r="AJ346" s="23">
        <f t="shared" si="337"/>
        <v>0</v>
      </c>
      <c r="AK346" s="23">
        <f t="shared" si="337"/>
        <v>0</v>
      </c>
      <c r="AM346" s="23">
        <f t="shared" si="323"/>
        <v>0</v>
      </c>
    </row>
    <row r="347" spans="2:42" ht="15" x14ac:dyDescent="0.25">
      <c r="B347" s="813"/>
      <c r="D347" s="3" t="str">
        <f t="shared" si="318"/>
        <v>Environmental Permitting</v>
      </c>
      <c r="E347" t="str">
        <f t="shared" si="318"/>
        <v>OS</v>
      </c>
      <c r="O347" s="23">
        <f t="shared" si="319"/>
        <v>0</v>
      </c>
      <c r="P347" s="23">
        <f t="shared" si="319"/>
        <v>0</v>
      </c>
      <c r="Q347" s="23">
        <f t="shared" si="319"/>
        <v>56</v>
      </c>
      <c r="R347" s="23">
        <f t="shared" si="319"/>
        <v>112</v>
      </c>
      <c r="S347" s="23">
        <f t="shared" si="319"/>
        <v>56</v>
      </c>
      <c r="T347" s="23">
        <f t="shared" si="319"/>
        <v>0</v>
      </c>
      <c r="U347" s="23">
        <f t="shared" ref="U347:X347" si="338">IF($F322=0,0,+$F322*U322)</f>
        <v>0</v>
      </c>
      <c r="V347" s="23">
        <f t="shared" si="338"/>
        <v>0</v>
      </c>
      <c r="W347" s="23">
        <f t="shared" si="338"/>
        <v>0</v>
      </c>
      <c r="X347" s="23">
        <f t="shared" si="338"/>
        <v>0</v>
      </c>
      <c r="Y347" s="23">
        <f t="shared" si="319"/>
        <v>0</v>
      </c>
      <c r="Z347" s="23">
        <f t="shared" si="319"/>
        <v>224</v>
      </c>
      <c r="AB347" s="23">
        <f t="shared" si="321"/>
        <v>0</v>
      </c>
      <c r="AC347" s="23">
        <f t="shared" si="321"/>
        <v>0</v>
      </c>
      <c r="AD347" s="23">
        <f t="shared" si="321"/>
        <v>570.2219249999996</v>
      </c>
      <c r="AE347" s="23">
        <f t="shared" si="321"/>
        <v>1736.4521655000001</v>
      </c>
      <c r="AF347" s="23">
        <f t="shared" si="321"/>
        <v>1175.1703652325014</v>
      </c>
      <c r="AG347" s="23">
        <f t="shared" si="321"/>
        <v>0</v>
      </c>
      <c r="AH347" s="23">
        <f t="shared" ref="AH347:AK347" si="339">+AH322*AH$10</f>
        <v>0</v>
      </c>
      <c r="AI347" s="23">
        <f t="shared" si="339"/>
        <v>0</v>
      </c>
      <c r="AJ347" s="23">
        <f t="shared" si="339"/>
        <v>0</v>
      </c>
      <c r="AK347" s="23">
        <f t="shared" si="339"/>
        <v>0</v>
      </c>
      <c r="AM347" s="23">
        <f t="shared" si="323"/>
        <v>3481.844455732501</v>
      </c>
      <c r="AO347">
        <f>'Detail Summary'!EA110</f>
        <v>4681</v>
      </c>
      <c r="AP347" t="s">
        <v>1188</v>
      </c>
    </row>
    <row r="348" spans="2:42" ht="15" x14ac:dyDescent="0.25">
      <c r="B348" s="813"/>
      <c r="D348" s="3">
        <f t="shared" si="318"/>
        <v>0</v>
      </c>
      <c r="E348" t="str">
        <f t="shared" si="318"/>
        <v>OS</v>
      </c>
      <c r="O348" s="23">
        <f t="shared" si="319"/>
        <v>0</v>
      </c>
      <c r="P348" s="23">
        <f t="shared" si="319"/>
        <v>0</v>
      </c>
      <c r="Q348" s="23">
        <f t="shared" si="319"/>
        <v>0</v>
      </c>
      <c r="R348" s="23">
        <f t="shared" si="319"/>
        <v>0</v>
      </c>
      <c r="S348" s="23">
        <f t="shared" si="319"/>
        <v>0</v>
      </c>
      <c r="T348" s="23">
        <f t="shared" si="319"/>
        <v>0</v>
      </c>
      <c r="U348" s="23">
        <f t="shared" ref="U348:X348" si="340">IF($F323=0,0,+$F323*U323)</f>
        <v>0</v>
      </c>
      <c r="V348" s="23">
        <f t="shared" si="340"/>
        <v>0</v>
      </c>
      <c r="W348" s="23">
        <f t="shared" si="340"/>
        <v>0</v>
      </c>
      <c r="X348" s="23">
        <f t="shared" si="340"/>
        <v>0</v>
      </c>
      <c r="Y348" s="23">
        <f t="shared" si="319"/>
        <v>0</v>
      </c>
      <c r="Z348" s="23">
        <f t="shared" si="319"/>
        <v>0</v>
      </c>
      <c r="AB348" s="23">
        <f t="shared" si="321"/>
        <v>0</v>
      </c>
      <c r="AC348" s="23">
        <f t="shared" si="321"/>
        <v>0</v>
      </c>
      <c r="AD348" s="23">
        <f t="shared" si="321"/>
        <v>0</v>
      </c>
      <c r="AE348" s="23">
        <f t="shared" si="321"/>
        <v>0</v>
      </c>
      <c r="AF348" s="23">
        <f t="shared" si="321"/>
        <v>0</v>
      </c>
      <c r="AG348" s="23">
        <f t="shared" si="321"/>
        <v>0</v>
      </c>
      <c r="AH348" s="23">
        <f t="shared" ref="AH348:AK348" si="341">+AH323*AH$10</f>
        <v>0</v>
      </c>
      <c r="AI348" s="23">
        <f t="shared" si="341"/>
        <v>0</v>
      </c>
      <c r="AJ348" s="23">
        <f t="shared" si="341"/>
        <v>0</v>
      </c>
      <c r="AK348" s="23">
        <f t="shared" si="341"/>
        <v>0</v>
      </c>
      <c r="AM348" s="23">
        <f t="shared" si="323"/>
        <v>0</v>
      </c>
    </row>
    <row r="349" spans="2:42" ht="15" x14ac:dyDescent="0.25">
      <c r="B349" s="813"/>
      <c r="D349" s="3">
        <f t="shared" si="318"/>
        <v>0</v>
      </c>
      <c r="E349" t="str">
        <f t="shared" si="318"/>
        <v>OS</v>
      </c>
      <c r="O349" s="23">
        <f t="shared" si="319"/>
        <v>0</v>
      </c>
      <c r="P349" s="23">
        <f t="shared" si="319"/>
        <v>0</v>
      </c>
      <c r="Q349" s="23">
        <f t="shared" si="319"/>
        <v>0</v>
      </c>
      <c r="R349" s="23">
        <f t="shared" si="319"/>
        <v>0</v>
      </c>
      <c r="S349" s="23">
        <f t="shared" si="319"/>
        <v>0</v>
      </c>
      <c r="T349" s="23">
        <f t="shared" si="319"/>
        <v>0</v>
      </c>
      <c r="U349" s="23">
        <f t="shared" ref="U349:X349" si="342">IF($F324=0,0,+$F324*U324)</f>
        <v>0</v>
      </c>
      <c r="V349" s="23">
        <f t="shared" si="342"/>
        <v>0</v>
      </c>
      <c r="W349" s="23">
        <f t="shared" si="342"/>
        <v>0</v>
      </c>
      <c r="X349" s="23">
        <f t="shared" si="342"/>
        <v>0</v>
      </c>
      <c r="Y349" s="23">
        <f t="shared" si="319"/>
        <v>0</v>
      </c>
      <c r="Z349" s="23">
        <f t="shared" si="319"/>
        <v>0</v>
      </c>
      <c r="AB349" s="23">
        <f t="shared" si="321"/>
        <v>0</v>
      </c>
      <c r="AC349" s="23">
        <f t="shared" si="321"/>
        <v>0</v>
      </c>
      <c r="AD349" s="23">
        <f t="shared" si="321"/>
        <v>0</v>
      </c>
      <c r="AE349" s="23">
        <f t="shared" si="321"/>
        <v>0</v>
      </c>
      <c r="AF349" s="23">
        <f t="shared" si="321"/>
        <v>0</v>
      </c>
      <c r="AG349" s="23">
        <f t="shared" si="321"/>
        <v>0</v>
      </c>
      <c r="AH349" s="23">
        <f t="shared" ref="AH349:AK349" si="343">+AH324*AH$10</f>
        <v>0</v>
      </c>
      <c r="AI349" s="23">
        <f t="shared" si="343"/>
        <v>0</v>
      </c>
      <c r="AJ349" s="23">
        <f t="shared" si="343"/>
        <v>0</v>
      </c>
      <c r="AK349" s="23">
        <f t="shared" si="343"/>
        <v>0</v>
      </c>
      <c r="AM349" s="23">
        <f t="shared" si="323"/>
        <v>0</v>
      </c>
    </row>
    <row r="350" spans="2:42" ht="15" x14ac:dyDescent="0.25">
      <c r="B350" s="813"/>
      <c r="D350" s="3">
        <f t="shared" si="318"/>
        <v>0</v>
      </c>
      <c r="E350" t="str">
        <f t="shared" si="318"/>
        <v>OS</v>
      </c>
      <c r="O350" s="23">
        <f t="shared" si="319"/>
        <v>0</v>
      </c>
      <c r="P350" s="23">
        <f t="shared" si="319"/>
        <v>0</v>
      </c>
      <c r="Q350" s="23">
        <f t="shared" si="319"/>
        <v>0</v>
      </c>
      <c r="R350" s="23">
        <f t="shared" si="319"/>
        <v>0</v>
      </c>
      <c r="S350" s="23">
        <f t="shared" si="319"/>
        <v>0</v>
      </c>
      <c r="T350" s="23">
        <f t="shared" si="319"/>
        <v>0</v>
      </c>
      <c r="U350" s="23">
        <f t="shared" ref="U350:X350" si="344">IF($F325=0,0,+$F325*U325)</f>
        <v>0</v>
      </c>
      <c r="V350" s="23">
        <f t="shared" si="344"/>
        <v>0</v>
      </c>
      <c r="W350" s="23">
        <f t="shared" si="344"/>
        <v>0</v>
      </c>
      <c r="X350" s="23">
        <f t="shared" si="344"/>
        <v>0</v>
      </c>
      <c r="Y350" s="23">
        <f t="shared" si="319"/>
        <v>0</v>
      </c>
      <c r="Z350" s="23">
        <f t="shared" si="319"/>
        <v>0</v>
      </c>
      <c r="AB350" s="23">
        <f t="shared" si="321"/>
        <v>0</v>
      </c>
      <c r="AC350" s="23">
        <f t="shared" si="321"/>
        <v>0</v>
      </c>
      <c r="AD350" s="23">
        <f t="shared" si="321"/>
        <v>0</v>
      </c>
      <c r="AE350" s="23">
        <f t="shared" si="321"/>
        <v>0</v>
      </c>
      <c r="AF350" s="23">
        <f t="shared" si="321"/>
        <v>0</v>
      </c>
      <c r="AG350" s="23">
        <f t="shared" si="321"/>
        <v>0</v>
      </c>
      <c r="AH350" s="23">
        <f t="shared" ref="AH350:AK350" si="345">+AH325*AH$10</f>
        <v>0</v>
      </c>
      <c r="AI350" s="23">
        <f t="shared" si="345"/>
        <v>0</v>
      </c>
      <c r="AJ350" s="23">
        <f t="shared" si="345"/>
        <v>0</v>
      </c>
      <c r="AK350" s="23">
        <f t="shared" si="345"/>
        <v>0</v>
      </c>
      <c r="AM350" s="23">
        <f t="shared" si="323"/>
        <v>0</v>
      </c>
    </row>
    <row r="351" spans="2:42" ht="15" x14ac:dyDescent="0.25">
      <c r="B351" s="813"/>
      <c r="D351" s="3">
        <f t="shared" si="318"/>
        <v>0</v>
      </c>
      <c r="E351" t="str">
        <f t="shared" si="318"/>
        <v>OS</v>
      </c>
      <c r="O351" s="23">
        <f t="shared" si="319"/>
        <v>0</v>
      </c>
      <c r="P351" s="23">
        <f t="shared" si="319"/>
        <v>0</v>
      </c>
      <c r="Q351" s="23">
        <f t="shared" si="319"/>
        <v>0</v>
      </c>
      <c r="R351" s="23">
        <f t="shared" si="319"/>
        <v>0</v>
      </c>
      <c r="S351" s="23">
        <f t="shared" si="319"/>
        <v>0</v>
      </c>
      <c r="T351" s="23">
        <f t="shared" si="319"/>
        <v>0</v>
      </c>
      <c r="U351" s="23">
        <f t="shared" ref="U351:X351" si="346">IF($F326=0,0,+$F326*U326)</f>
        <v>0</v>
      </c>
      <c r="V351" s="23">
        <f t="shared" si="346"/>
        <v>0</v>
      </c>
      <c r="W351" s="23">
        <f t="shared" si="346"/>
        <v>0</v>
      </c>
      <c r="X351" s="23">
        <f t="shared" si="346"/>
        <v>0</v>
      </c>
      <c r="Y351" s="23">
        <f t="shared" si="319"/>
        <v>0</v>
      </c>
      <c r="Z351" s="23">
        <f t="shared" si="319"/>
        <v>0</v>
      </c>
      <c r="AB351" s="23">
        <f t="shared" si="321"/>
        <v>0</v>
      </c>
      <c r="AC351" s="23">
        <f t="shared" si="321"/>
        <v>0</v>
      </c>
      <c r="AD351" s="23">
        <f t="shared" si="321"/>
        <v>0</v>
      </c>
      <c r="AE351" s="23">
        <f t="shared" si="321"/>
        <v>0</v>
      </c>
      <c r="AF351" s="23">
        <f t="shared" si="321"/>
        <v>0</v>
      </c>
      <c r="AG351" s="23">
        <f t="shared" si="321"/>
        <v>0</v>
      </c>
      <c r="AH351" s="23">
        <f t="shared" ref="AH351:AK351" si="347">+AH326*AH$10</f>
        <v>0</v>
      </c>
      <c r="AI351" s="23">
        <f t="shared" si="347"/>
        <v>0</v>
      </c>
      <c r="AJ351" s="23">
        <f t="shared" si="347"/>
        <v>0</v>
      </c>
      <c r="AK351" s="23">
        <f t="shared" si="347"/>
        <v>0</v>
      </c>
      <c r="AM351" s="23">
        <f t="shared" si="323"/>
        <v>0</v>
      </c>
    </row>
    <row r="352" spans="2:42" ht="15" x14ac:dyDescent="0.25">
      <c r="B352" s="813"/>
      <c r="D352" s="3">
        <f t="shared" si="318"/>
        <v>0</v>
      </c>
      <c r="E352" t="str">
        <f t="shared" si="318"/>
        <v>OS</v>
      </c>
      <c r="O352" s="23">
        <f t="shared" si="319"/>
        <v>0</v>
      </c>
      <c r="P352" s="23">
        <f t="shared" si="319"/>
        <v>0</v>
      </c>
      <c r="Q352" s="23">
        <f t="shared" si="319"/>
        <v>0</v>
      </c>
      <c r="R352" s="23">
        <f t="shared" si="319"/>
        <v>0</v>
      </c>
      <c r="S352" s="23">
        <f t="shared" si="319"/>
        <v>0</v>
      </c>
      <c r="T352" s="23">
        <f t="shared" si="319"/>
        <v>0</v>
      </c>
      <c r="U352" s="23">
        <f t="shared" ref="U352:X352" si="348">IF($F327=0,0,+$F327*U327)</f>
        <v>0</v>
      </c>
      <c r="V352" s="23">
        <f t="shared" si="348"/>
        <v>0</v>
      </c>
      <c r="W352" s="23">
        <f t="shared" si="348"/>
        <v>0</v>
      </c>
      <c r="X352" s="23">
        <f t="shared" si="348"/>
        <v>0</v>
      </c>
      <c r="Y352" s="23">
        <f t="shared" si="319"/>
        <v>0</v>
      </c>
      <c r="Z352" s="23">
        <f t="shared" si="319"/>
        <v>0</v>
      </c>
      <c r="AB352" s="23">
        <f t="shared" si="321"/>
        <v>0</v>
      </c>
      <c r="AC352" s="23">
        <f t="shared" si="321"/>
        <v>0</v>
      </c>
      <c r="AD352" s="23">
        <f t="shared" si="321"/>
        <v>0</v>
      </c>
      <c r="AE352" s="23">
        <f t="shared" si="321"/>
        <v>0</v>
      </c>
      <c r="AF352" s="23">
        <f t="shared" si="321"/>
        <v>0</v>
      </c>
      <c r="AG352" s="23">
        <f t="shared" si="321"/>
        <v>0</v>
      </c>
      <c r="AH352" s="23">
        <f t="shared" ref="AH352:AK352" si="349">+AH327*AH$10</f>
        <v>0</v>
      </c>
      <c r="AI352" s="23">
        <f t="shared" si="349"/>
        <v>0</v>
      </c>
      <c r="AJ352" s="23">
        <f t="shared" si="349"/>
        <v>0</v>
      </c>
      <c r="AK352" s="23">
        <f t="shared" si="349"/>
        <v>0</v>
      </c>
      <c r="AM352" s="23">
        <f t="shared" si="323"/>
        <v>0</v>
      </c>
    </row>
    <row r="353" spans="2:40" ht="15" x14ac:dyDescent="0.25">
      <c r="B353" s="813"/>
      <c r="D353" s="3">
        <f t="shared" si="318"/>
        <v>0</v>
      </c>
      <c r="E353" t="str">
        <f t="shared" si="318"/>
        <v>OS</v>
      </c>
      <c r="O353" s="23">
        <f t="shared" si="319"/>
        <v>0</v>
      </c>
      <c r="P353" s="23">
        <f t="shared" si="319"/>
        <v>0</v>
      </c>
      <c r="Q353" s="23">
        <f t="shared" si="319"/>
        <v>0</v>
      </c>
      <c r="R353" s="23">
        <f t="shared" si="319"/>
        <v>0</v>
      </c>
      <c r="S353" s="23">
        <f t="shared" si="319"/>
        <v>0</v>
      </c>
      <c r="T353" s="23">
        <f t="shared" si="319"/>
        <v>0</v>
      </c>
      <c r="U353" s="23">
        <f t="shared" ref="U353:X353" si="350">IF($F328=0,0,+$F328*U328)</f>
        <v>0</v>
      </c>
      <c r="V353" s="23">
        <f t="shared" si="350"/>
        <v>0</v>
      </c>
      <c r="W353" s="23">
        <f t="shared" si="350"/>
        <v>0</v>
      </c>
      <c r="X353" s="23">
        <f t="shared" si="350"/>
        <v>0</v>
      </c>
      <c r="Y353" s="23">
        <f t="shared" si="319"/>
        <v>0</v>
      </c>
      <c r="Z353" s="23">
        <f t="shared" si="319"/>
        <v>0</v>
      </c>
      <c r="AB353" s="23">
        <f t="shared" si="321"/>
        <v>0</v>
      </c>
      <c r="AC353" s="23">
        <f t="shared" si="321"/>
        <v>0</v>
      </c>
      <c r="AD353" s="23">
        <f t="shared" si="321"/>
        <v>0</v>
      </c>
      <c r="AE353" s="23">
        <f t="shared" si="321"/>
        <v>0</v>
      </c>
      <c r="AF353" s="23">
        <f t="shared" si="321"/>
        <v>0</v>
      </c>
      <c r="AG353" s="23">
        <f t="shared" si="321"/>
        <v>0</v>
      </c>
      <c r="AH353" s="23">
        <f t="shared" ref="AH353:AK353" si="351">+AH328*AH$10</f>
        <v>0</v>
      </c>
      <c r="AI353" s="23">
        <f t="shared" si="351"/>
        <v>0</v>
      </c>
      <c r="AJ353" s="23">
        <f t="shared" si="351"/>
        <v>0</v>
      </c>
      <c r="AK353" s="23">
        <f t="shared" si="351"/>
        <v>0</v>
      </c>
      <c r="AM353" s="23">
        <f t="shared" si="323"/>
        <v>0</v>
      </c>
    </row>
    <row r="354" spans="2:40" ht="15" x14ac:dyDescent="0.25">
      <c r="B354" s="813"/>
      <c r="AB354" s="23"/>
      <c r="AC354" s="23"/>
      <c r="AD354" s="23"/>
      <c r="AE354" s="23"/>
      <c r="AF354" s="23"/>
      <c r="AG354" s="23"/>
      <c r="AH354" s="23"/>
      <c r="AI354" s="23"/>
      <c r="AJ354" s="23"/>
      <c r="AK354" s="23"/>
    </row>
    <row r="355" spans="2:40" ht="15" x14ac:dyDescent="0.25">
      <c r="B355" s="813"/>
      <c r="C355" s="9" t="s">
        <v>626</v>
      </c>
      <c r="D355" s="9"/>
      <c r="AB355" s="823">
        <f t="shared" ref="AB355:AG355" si="352">SUM(AB337:AB354)</f>
        <v>0</v>
      </c>
      <c r="AC355" s="823">
        <f t="shared" si="352"/>
        <v>0</v>
      </c>
      <c r="AD355" s="823">
        <f t="shared" si="352"/>
        <v>4334.4509249999965</v>
      </c>
      <c r="AE355" s="823">
        <f t="shared" si="352"/>
        <v>13199.363905500002</v>
      </c>
      <c r="AF355" s="823">
        <f t="shared" si="352"/>
        <v>8932.8699113325092</v>
      </c>
      <c r="AG355" s="823">
        <f t="shared" si="352"/>
        <v>0</v>
      </c>
      <c r="AH355" s="823">
        <f t="shared" ref="AH355:AK355" si="353">SUM(AH337:AH354)</f>
        <v>0</v>
      </c>
      <c r="AI355" s="823">
        <f t="shared" si="353"/>
        <v>0</v>
      </c>
      <c r="AJ355" s="823">
        <f t="shared" si="353"/>
        <v>0</v>
      </c>
      <c r="AK355" s="823">
        <f t="shared" si="353"/>
        <v>0</v>
      </c>
      <c r="AL355" s="23"/>
      <c r="AM355" s="823">
        <f>SUM(AB355:AK355)</f>
        <v>26466.684741832509</v>
      </c>
    </row>
    <row r="356" spans="2:40" ht="15" x14ac:dyDescent="0.25">
      <c r="B356" s="813"/>
    </row>
    <row r="357" spans="2:40" ht="15" x14ac:dyDescent="0.25">
      <c r="B357" s="813"/>
      <c r="C357" s="9"/>
      <c r="D357" s="9" t="s">
        <v>608</v>
      </c>
      <c r="E357" s="2" t="s">
        <v>604</v>
      </c>
      <c r="F357" s="2"/>
      <c r="G357" s="2"/>
      <c r="H357" s="23"/>
      <c r="I357" s="23"/>
      <c r="J357" s="23"/>
      <c r="K357" s="23"/>
      <c r="M357" s="23"/>
      <c r="AB357" s="23">
        <f t="shared" ref="AB357:AG357" si="354">SUMIF($E313:$E328,$E357,AB338:AB353)</f>
        <v>0</v>
      </c>
      <c r="AC357" s="23">
        <f t="shared" si="354"/>
        <v>0</v>
      </c>
      <c r="AD357" s="23">
        <f t="shared" si="354"/>
        <v>3764.2289999999971</v>
      </c>
      <c r="AE357" s="23">
        <f t="shared" si="354"/>
        <v>11462.911740000001</v>
      </c>
      <c r="AF357" s="23">
        <f t="shared" si="354"/>
        <v>7757.6995461000088</v>
      </c>
      <c r="AG357" s="23">
        <f t="shared" si="354"/>
        <v>0</v>
      </c>
      <c r="AH357" s="23">
        <f t="shared" ref="AH357:AK357" si="355">SUMIF($E313:$E328,$E357,AH338:AH353)</f>
        <v>0</v>
      </c>
      <c r="AI357" s="23">
        <f t="shared" si="355"/>
        <v>0</v>
      </c>
      <c r="AJ357" s="23">
        <f t="shared" si="355"/>
        <v>0</v>
      </c>
      <c r="AK357" s="23">
        <f t="shared" si="355"/>
        <v>0</v>
      </c>
      <c r="AL357" s="23"/>
      <c r="AM357" s="23">
        <f>SUMIF($E313:$E328,$E357,AM338:AM353)</f>
        <v>22984.840286100007</v>
      </c>
    </row>
    <row r="358" spans="2:40" ht="15" x14ac:dyDescent="0.25">
      <c r="B358" s="813"/>
      <c r="C358" s="9"/>
      <c r="D358" s="9" t="s">
        <v>608</v>
      </c>
      <c r="E358" s="2" t="s">
        <v>605</v>
      </c>
      <c r="F358" s="2"/>
      <c r="G358" s="2"/>
      <c r="H358" s="23"/>
      <c r="I358" s="23"/>
      <c r="J358" s="23"/>
      <c r="K358" s="23"/>
      <c r="M358" s="23"/>
      <c r="AB358" s="23">
        <f t="shared" ref="AB358:AG358" si="356">SUMIF($E313:$E328,$E358,AB338:AB353)</f>
        <v>0</v>
      </c>
      <c r="AC358" s="23">
        <f t="shared" si="356"/>
        <v>0</v>
      </c>
      <c r="AD358" s="23">
        <f t="shared" si="356"/>
        <v>570.2219249999996</v>
      </c>
      <c r="AE358" s="23">
        <f t="shared" si="356"/>
        <v>1736.4521655000001</v>
      </c>
      <c r="AF358" s="23">
        <f t="shared" si="356"/>
        <v>1175.1703652325014</v>
      </c>
      <c r="AG358" s="23">
        <f t="shared" si="356"/>
        <v>0</v>
      </c>
      <c r="AH358" s="23">
        <f t="shared" ref="AH358:AK358" si="357">SUMIF($E313:$E328,$E358,AH338:AH353)</f>
        <v>0</v>
      </c>
      <c r="AI358" s="23">
        <f t="shared" si="357"/>
        <v>0</v>
      </c>
      <c r="AJ358" s="23">
        <f t="shared" si="357"/>
        <v>0</v>
      </c>
      <c r="AK358" s="23">
        <f t="shared" si="357"/>
        <v>0</v>
      </c>
      <c r="AL358" s="23"/>
      <c r="AM358" s="23">
        <f>SUMIF($E313:$E328,$E358,AM338:AM353)</f>
        <v>3481.844455732501</v>
      </c>
      <c r="AN358" s="335">
        <f>+AM357+AM358</f>
        <v>26466.684741832509</v>
      </c>
    </row>
    <row r="359" spans="2:40" ht="15" x14ac:dyDescent="0.25">
      <c r="B359" s="813"/>
    </row>
    <row r="360" spans="2:40" ht="15" x14ac:dyDescent="0.25">
      <c r="B360" s="813"/>
      <c r="C360" s="9" t="s">
        <v>610</v>
      </c>
    </row>
    <row r="361" spans="2:40" ht="15" x14ac:dyDescent="0.25">
      <c r="B361" s="813"/>
      <c r="AB361" s="335"/>
      <c r="AC361" s="335"/>
      <c r="AD361" s="335"/>
      <c r="AE361" s="335"/>
      <c r="AF361" s="335"/>
      <c r="AG361" s="335"/>
      <c r="AH361" s="335"/>
      <c r="AI361" s="335"/>
      <c r="AJ361" s="335"/>
      <c r="AK361" s="335"/>
      <c r="AM361" s="23"/>
    </row>
    <row r="362" spans="2:40" ht="15" x14ac:dyDescent="0.25">
      <c r="B362" s="813"/>
      <c r="D362" s="3" t="str">
        <f>+D338</f>
        <v>Survey Engineering</v>
      </c>
      <c r="E362" t="str">
        <f>+E313</f>
        <v>E</v>
      </c>
      <c r="AB362" s="335">
        <f t="shared" ref="AB362:AG362" si="358">+AB313+AB338</f>
        <v>0</v>
      </c>
      <c r="AC362" s="335">
        <f t="shared" si="358"/>
        <v>0</v>
      </c>
      <c r="AD362" s="335">
        <f t="shared" si="358"/>
        <v>0</v>
      </c>
      <c r="AE362" s="335">
        <f t="shared" si="358"/>
        <v>0</v>
      </c>
      <c r="AF362" s="335">
        <f t="shared" si="358"/>
        <v>0</v>
      </c>
      <c r="AG362" s="335">
        <f t="shared" si="358"/>
        <v>0</v>
      </c>
      <c r="AH362" s="335">
        <f t="shared" ref="AH362:AK362" si="359">+AH313+AH338</f>
        <v>0</v>
      </c>
      <c r="AI362" s="335">
        <f t="shared" si="359"/>
        <v>0</v>
      </c>
      <c r="AJ362" s="335">
        <f t="shared" si="359"/>
        <v>0</v>
      </c>
      <c r="AK362" s="335">
        <f t="shared" si="359"/>
        <v>0</v>
      </c>
      <c r="AM362" s="23">
        <f>SUM(AB362:AK362)</f>
        <v>0</v>
      </c>
    </row>
    <row r="363" spans="2:40" ht="15" x14ac:dyDescent="0.25">
      <c r="B363" s="813"/>
      <c r="D363" s="3" t="str">
        <f t="shared" ref="D363:D377" si="360">+D339</f>
        <v>Environmental Permitting</v>
      </c>
      <c r="E363" t="str">
        <f t="shared" ref="E363:E377" si="361">+E314</f>
        <v>E</v>
      </c>
      <c r="AB363" s="335">
        <f t="shared" ref="AB363:AG377" si="362">+AB314+AB339</f>
        <v>0</v>
      </c>
      <c r="AC363" s="335">
        <f t="shared" si="362"/>
        <v>0</v>
      </c>
      <c r="AD363" s="335">
        <f t="shared" si="362"/>
        <v>65574.228999999992</v>
      </c>
      <c r="AE363" s="335">
        <f t="shared" si="362"/>
        <v>135082.91174000001</v>
      </c>
      <c r="AF363" s="335">
        <f t="shared" si="362"/>
        <v>69567.699546100004</v>
      </c>
      <c r="AG363" s="335">
        <f t="shared" si="362"/>
        <v>0</v>
      </c>
      <c r="AH363" s="335">
        <f t="shared" ref="AH363:AK363" si="363">+AH314+AH339</f>
        <v>0</v>
      </c>
      <c r="AI363" s="335">
        <f t="shared" si="363"/>
        <v>0</v>
      </c>
      <c r="AJ363" s="335">
        <f t="shared" si="363"/>
        <v>0</v>
      </c>
      <c r="AK363" s="335">
        <f t="shared" si="363"/>
        <v>0</v>
      </c>
      <c r="AM363" s="23">
        <f t="shared" ref="AM363:AM377" si="364">SUM(AB363:AK363)</f>
        <v>270224.84028609999</v>
      </c>
    </row>
    <row r="364" spans="2:40" ht="15" x14ac:dyDescent="0.25">
      <c r="B364" s="813"/>
      <c r="D364" s="3">
        <f t="shared" si="360"/>
        <v>0</v>
      </c>
      <c r="E364" t="str">
        <f t="shared" si="361"/>
        <v>E</v>
      </c>
      <c r="AB364" s="335">
        <f t="shared" si="362"/>
        <v>0</v>
      </c>
      <c r="AC364" s="335">
        <f t="shared" si="362"/>
        <v>0</v>
      </c>
      <c r="AD364" s="335">
        <f t="shared" si="362"/>
        <v>0</v>
      </c>
      <c r="AE364" s="335">
        <f t="shared" si="362"/>
        <v>0</v>
      </c>
      <c r="AF364" s="335">
        <f t="shared" si="362"/>
        <v>0</v>
      </c>
      <c r="AG364" s="335">
        <f t="shared" si="362"/>
        <v>0</v>
      </c>
      <c r="AH364" s="335">
        <f t="shared" ref="AH364:AK364" si="365">+AH315+AH340</f>
        <v>0</v>
      </c>
      <c r="AI364" s="335">
        <f t="shared" si="365"/>
        <v>0</v>
      </c>
      <c r="AJ364" s="335">
        <f t="shared" si="365"/>
        <v>0</v>
      </c>
      <c r="AK364" s="335">
        <f t="shared" si="365"/>
        <v>0</v>
      </c>
      <c r="AM364" s="23">
        <f t="shared" si="364"/>
        <v>0</v>
      </c>
    </row>
    <row r="365" spans="2:40" ht="15" x14ac:dyDescent="0.25">
      <c r="B365" s="813"/>
      <c r="D365" s="3">
        <f t="shared" si="360"/>
        <v>0</v>
      </c>
      <c r="E365" t="str">
        <f t="shared" si="361"/>
        <v>E</v>
      </c>
      <c r="AB365" s="335">
        <f t="shared" si="362"/>
        <v>0</v>
      </c>
      <c r="AC365" s="335">
        <f t="shared" si="362"/>
        <v>0</v>
      </c>
      <c r="AD365" s="335">
        <f t="shared" si="362"/>
        <v>0</v>
      </c>
      <c r="AE365" s="335">
        <f t="shared" si="362"/>
        <v>0</v>
      </c>
      <c r="AF365" s="335">
        <f t="shared" si="362"/>
        <v>0</v>
      </c>
      <c r="AG365" s="335">
        <f t="shared" si="362"/>
        <v>0</v>
      </c>
      <c r="AH365" s="335">
        <f t="shared" ref="AH365:AK365" si="366">+AH316+AH341</f>
        <v>0</v>
      </c>
      <c r="AI365" s="335">
        <f t="shared" si="366"/>
        <v>0</v>
      </c>
      <c r="AJ365" s="335">
        <f t="shared" si="366"/>
        <v>0</v>
      </c>
      <c r="AK365" s="335">
        <f t="shared" si="366"/>
        <v>0</v>
      </c>
      <c r="AM365" s="23">
        <f t="shared" si="364"/>
        <v>0</v>
      </c>
    </row>
    <row r="366" spans="2:40" ht="15" x14ac:dyDescent="0.25">
      <c r="B366" s="813"/>
      <c r="D366" s="3">
        <f t="shared" si="360"/>
        <v>0</v>
      </c>
      <c r="E366" t="str">
        <f t="shared" si="361"/>
        <v>E</v>
      </c>
      <c r="AB366" s="335">
        <f t="shared" si="362"/>
        <v>0</v>
      </c>
      <c r="AC366" s="335">
        <f t="shared" si="362"/>
        <v>0</v>
      </c>
      <c r="AD366" s="335">
        <f t="shared" si="362"/>
        <v>0</v>
      </c>
      <c r="AE366" s="335">
        <f t="shared" si="362"/>
        <v>0</v>
      </c>
      <c r="AF366" s="335">
        <f t="shared" si="362"/>
        <v>0</v>
      </c>
      <c r="AG366" s="335">
        <f t="shared" si="362"/>
        <v>0</v>
      </c>
      <c r="AH366" s="335">
        <f t="shared" ref="AH366:AK366" si="367">+AH317+AH342</f>
        <v>0</v>
      </c>
      <c r="AI366" s="335">
        <f t="shared" si="367"/>
        <v>0</v>
      </c>
      <c r="AJ366" s="335">
        <f t="shared" si="367"/>
        <v>0</v>
      </c>
      <c r="AK366" s="335">
        <f t="shared" si="367"/>
        <v>0</v>
      </c>
      <c r="AM366" s="23">
        <f t="shared" si="364"/>
        <v>0</v>
      </c>
    </row>
    <row r="367" spans="2:40" ht="15" x14ac:dyDescent="0.25">
      <c r="B367" s="813"/>
      <c r="D367" s="3">
        <f t="shared" si="360"/>
        <v>0</v>
      </c>
      <c r="E367" t="str">
        <f t="shared" si="361"/>
        <v>E</v>
      </c>
      <c r="AB367" s="335">
        <f t="shared" si="362"/>
        <v>0</v>
      </c>
      <c r="AC367" s="335">
        <f t="shared" si="362"/>
        <v>0</v>
      </c>
      <c r="AD367" s="335">
        <f t="shared" si="362"/>
        <v>0</v>
      </c>
      <c r="AE367" s="335">
        <f t="shared" si="362"/>
        <v>0</v>
      </c>
      <c r="AF367" s="335">
        <f t="shared" si="362"/>
        <v>0</v>
      </c>
      <c r="AG367" s="335">
        <f t="shared" si="362"/>
        <v>0</v>
      </c>
      <c r="AH367" s="335">
        <f t="shared" ref="AH367:AK367" si="368">+AH318+AH343</f>
        <v>0</v>
      </c>
      <c r="AI367" s="335">
        <f t="shared" si="368"/>
        <v>0</v>
      </c>
      <c r="AJ367" s="335">
        <f t="shared" si="368"/>
        <v>0</v>
      </c>
      <c r="AK367" s="335">
        <f t="shared" si="368"/>
        <v>0</v>
      </c>
      <c r="AM367" s="23">
        <f t="shared" si="364"/>
        <v>0</v>
      </c>
    </row>
    <row r="368" spans="2:40" ht="15" x14ac:dyDescent="0.25">
      <c r="B368" s="813"/>
      <c r="D368" s="3">
        <f t="shared" si="360"/>
        <v>0</v>
      </c>
      <c r="E368" t="str">
        <f t="shared" si="361"/>
        <v>E</v>
      </c>
      <c r="AB368" s="335">
        <f t="shared" si="362"/>
        <v>0</v>
      </c>
      <c r="AC368" s="335">
        <f t="shared" si="362"/>
        <v>0</v>
      </c>
      <c r="AD368" s="335">
        <f t="shared" si="362"/>
        <v>0</v>
      </c>
      <c r="AE368" s="335">
        <f t="shared" si="362"/>
        <v>0</v>
      </c>
      <c r="AF368" s="335">
        <f t="shared" si="362"/>
        <v>0</v>
      </c>
      <c r="AG368" s="335">
        <f t="shared" si="362"/>
        <v>0</v>
      </c>
      <c r="AH368" s="335">
        <f t="shared" ref="AH368:AK368" si="369">+AH319+AH344</f>
        <v>0</v>
      </c>
      <c r="AI368" s="335">
        <f t="shared" si="369"/>
        <v>0</v>
      </c>
      <c r="AJ368" s="335">
        <f t="shared" si="369"/>
        <v>0</v>
      </c>
      <c r="AK368" s="335">
        <f t="shared" si="369"/>
        <v>0</v>
      </c>
      <c r="AM368" s="23">
        <f t="shared" si="364"/>
        <v>0</v>
      </c>
    </row>
    <row r="369" spans="2:41" ht="15" x14ac:dyDescent="0.25">
      <c r="B369" s="813"/>
      <c r="D369" s="3">
        <f t="shared" si="360"/>
        <v>0</v>
      </c>
      <c r="E369" t="str">
        <f t="shared" si="361"/>
        <v>E</v>
      </c>
      <c r="AB369" s="335">
        <f t="shared" si="362"/>
        <v>0</v>
      </c>
      <c r="AC369" s="335">
        <f t="shared" si="362"/>
        <v>0</v>
      </c>
      <c r="AD369" s="335">
        <f t="shared" si="362"/>
        <v>0</v>
      </c>
      <c r="AE369" s="335">
        <f t="shared" si="362"/>
        <v>0</v>
      </c>
      <c r="AF369" s="335">
        <f t="shared" si="362"/>
        <v>0</v>
      </c>
      <c r="AG369" s="335">
        <f t="shared" si="362"/>
        <v>0</v>
      </c>
      <c r="AH369" s="335">
        <f t="shared" ref="AH369:AK369" si="370">+AH320+AH345</f>
        <v>0</v>
      </c>
      <c r="AI369" s="335">
        <f t="shared" si="370"/>
        <v>0</v>
      </c>
      <c r="AJ369" s="335">
        <f t="shared" si="370"/>
        <v>0</v>
      </c>
      <c r="AK369" s="335">
        <f t="shared" si="370"/>
        <v>0</v>
      </c>
      <c r="AM369" s="23">
        <f t="shared" si="364"/>
        <v>0</v>
      </c>
    </row>
    <row r="370" spans="2:41" ht="15" x14ac:dyDescent="0.25">
      <c r="B370" s="813"/>
      <c r="D370" s="3" t="str">
        <f t="shared" si="360"/>
        <v>Survey Engineering</v>
      </c>
      <c r="E370" t="str">
        <f t="shared" si="361"/>
        <v>OS</v>
      </c>
      <c r="AB370" s="335">
        <f t="shared" si="362"/>
        <v>0</v>
      </c>
      <c r="AC370" s="335">
        <f t="shared" si="362"/>
        <v>0</v>
      </c>
      <c r="AD370" s="335">
        <f t="shared" si="362"/>
        <v>0</v>
      </c>
      <c r="AE370" s="335">
        <f t="shared" si="362"/>
        <v>0</v>
      </c>
      <c r="AF370" s="335">
        <f t="shared" si="362"/>
        <v>0</v>
      </c>
      <c r="AG370" s="335">
        <f t="shared" si="362"/>
        <v>0</v>
      </c>
      <c r="AH370" s="335">
        <f t="shared" ref="AH370:AK370" si="371">+AH321+AH346</f>
        <v>0</v>
      </c>
      <c r="AI370" s="335">
        <f t="shared" si="371"/>
        <v>0</v>
      </c>
      <c r="AJ370" s="335">
        <f t="shared" si="371"/>
        <v>0</v>
      </c>
      <c r="AK370" s="335">
        <f t="shared" si="371"/>
        <v>0</v>
      </c>
      <c r="AM370" s="23">
        <f t="shared" si="364"/>
        <v>0</v>
      </c>
    </row>
    <row r="371" spans="2:41" ht="15" x14ac:dyDescent="0.25">
      <c r="B371" s="813"/>
      <c r="D371" s="3" t="str">
        <f t="shared" si="360"/>
        <v>Environmental Permitting</v>
      </c>
      <c r="E371" t="str">
        <f t="shared" si="361"/>
        <v>OS</v>
      </c>
      <c r="AB371" s="335">
        <f t="shared" si="362"/>
        <v>0</v>
      </c>
      <c r="AC371" s="335">
        <f t="shared" si="362"/>
        <v>0</v>
      </c>
      <c r="AD371" s="335">
        <f t="shared" si="362"/>
        <v>9933.4719249999998</v>
      </c>
      <c r="AE371" s="335">
        <f t="shared" si="362"/>
        <v>20462.952165499999</v>
      </c>
      <c r="AF371" s="335">
        <f t="shared" si="362"/>
        <v>10538.420365232501</v>
      </c>
      <c r="AG371" s="335">
        <f t="shared" si="362"/>
        <v>0</v>
      </c>
      <c r="AH371" s="335">
        <f t="shared" ref="AH371:AK371" si="372">+AH322+AH347</f>
        <v>0</v>
      </c>
      <c r="AI371" s="335">
        <f t="shared" si="372"/>
        <v>0</v>
      </c>
      <c r="AJ371" s="335">
        <f t="shared" si="372"/>
        <v>0</v>
      </c>
      <c r="AK371" s="335">
        <f t="shared" si="372"/>
        <v>0</v>
      </c>
      <c r="AM371" s="23">
        <f t="shared" si="364"/>
        <v>40934.844455732498</v>
      </c>
    </row>
    <row r="372" spans="2:41" ht="15" x14ac:dyDescent="0.25">
      <c r="B372" s="813"/>
      <c r="D372" s="3">
        <f t="shared" si="360"/>
        <v>0</v>
      </c>
      <c r="E372" t="str">
        <f t="shared" si="361"/>
        <v>OS</v>
      </c>
      <c r="AB372" s="335">
        <f t="shared" si="362"/>
        <v>0</v>
      </c>
      <c r="AC372" s="335">
        <f t="shared" si="362"/>
        <v>0</v>
      </c>
      <c r="AD372" s="335">
        <f t="shared" si="362"/>
        <v>0</v>
      </c>
      <c r="AE372" s="335">
        <f t="shared" si="362"/>
        <v>0</v>
      </c>
      <c r="AF372" s="335">
        <f t="shared" si="362"/>
        <v>0</v>
      </c>
      <c r="AG372" s="335">
        <f t="shared" si="362"/>
        <v>0</v>
      </c>
      <c r="AH372" s="335">
        <f t="shared" ref="AH372:AK372" si="373">+AH323+AH348</f>
        <v>0</v>
      </c>
      <c r="AI372" s="335">
        <f t="shared" si="373"/>
        <v>0</v>
      </c>
      <c r="AJ372" s="335">
        <f t="shared" si="373"/>
        <v>0</v>
      </c>
      <c r="AK372" s="335">
        <f t="shared" si="373"/>
        <v>0</v>
      </c>
      <c r="AM372" s="23">
        <f t="shared" si="364"/>
        <v>0</v>
      </c>
    </row>
    <row r="373" spans="2:41" ht="15" x14ac:dyDescent="0.25">
      <c r="B373" s="813"/>
      <c r="D373" s="3">
        <f t="shared" si="360"/>
        <v>0</v>
      </c>
      <c r="E373" t="str">
        <f t="shared" si="361"/>
        <v>OS</v>
      </c>
      <c r="AB373" s="335">
        <f t="shared" si="362"/>
        <v>0</v>
      </c>
      <c r="AC373" s="335">
        <f t="shared" si="362"/>
        <v>0</v>
      </c>
      <c r="AD373" s="335">
        <f t="shared" si="362"/>
        <v>0</v>
      </c>
      <c r="AE373" s="335">
        <f t="shared" si="362"/>
        <v>0</v>
      </c>
      <c r="AF373" s="335">
        <f t="shared" si="362"/>
        <v>0</v>
      </c>
      <c r="AG373" s="335">
        <f t="shared" si="362"/>
        <v>0</v>
      </c>
      <c r="AH373" s="335">
        <f t="shared" ref="AH373:AK373" si="374">+AH324+AH349</f>
        <v>0</v>
      </c>
      <c r="AI373" s="335">
        <f t="shared" si="374"/>
        <v>0</v>
      </c>
      <c r="AJ373" s="335">
        <f t="shared" si="374"/>
        <v>0</v>
      </c>
      <c r="AK373" s="335">
        <f t="shared" si="374"/>
        <v>0</v>
      </c>
      <c r="AM373" s="23">
        <f t="shared" si="364"/>
        <v>0</v>
      </c>
    </row>
    <row r="374" spans="2:41" ht="15" x14ac:dyDescent="0.25">
      <c r="B374" s="813"/>
      <c r="D374" s="3">
        <f t="shared" si="360"/>
        <v>0</v>
      </c>
      <c r="E374" t="str">
        <f t="shared" si="361"/>
        <v>OS</v>
      </c>
      <c r="AB374" s="335">
        <f t="shared" si="362"/>
        <v>0</v>
      </c>
      <c r="AC374" s="335">
        <f t="shared" si="362"/>
        <v>0</v>
      </c>
      <c r="AD374" s="335">
        <f t="shared" si="362"/>
        <v>0</v>
      </c>
      <c r="AE374" s="335">
        <f t="shared" si="362"/>
        <v>0</v>
      </c>
      <c r="AF374" s="335">
        <f t="shared" si="362"/>
        <v>0</v>
      </c>
      <c r="AG374" s="335">
        <f t="shared" si="362"/>
        <v>0</v>
      </c>
      <c r="AH374" s="335">
        <f t="shared" ref="AH374:AK374" si="375">+AH325+AH350</f>
        <v>0</v>
      </c>
      <c r="AI374" s="335">
        <f t="shared" si="375"/>
        <v>0</v>
      </c>
      <c r="AJ374" s="335">
        <f t="shared" si="375"/>
        <v>0</v>
      </c>
      <c r="AK374" s="335">
        <f t="shared" si="375"/>
        <v>0</v>
      </c>
      <c r="AM374" s="23">
        <f t="shared" si="364"/>
        <v>0</v>
      </c>
    </row>
    <row r="375" spans="2:41" ht="15" x14ac:dyDescent="0.25">
      <c r="B375" s="813"/>
      <c r="D375" s="3">
        <f t="shared" si="360"/>
        <v>0</v>
      </c>
      <c r="E375" t="str">
        <f t="shared" si="361"/>
        <v>OS</v>
      </c>
      <c r="AB375" s="335">
        <f t="shared" si="362"/>
        <v>0</v>
      </c>
      <c r="AC375" s="335">
        <f t="shared" si="362"/>
        <v>0</v>
      </c>
      <c r="AD375" s="335">
        <f t="shared" si="362"/>
        <v>0</v>
      </c>
      <c r="AE375" s="335">
        <f t="shared" si="362"/>
        <v>0</v>
      </c>
      <c r="AF375" s="335">
        <f t="shared" si="362"/>
        <v>0</v>
      </c>
      <c r="AG375" s="335">
        <f t="shared" si="362"/>
        <v>0</v>
      </c>
      <c r="AH375" s="335">
        <f t="shared" ref="AH375:AK375" si="376">+AH326+AH351</f>
        <v>0</v>
      </c>
      <c r="AI375" s="335">
        <f t="shared" si="376"/>
        <v>0</v>
      </c>
      <c r="AJ375" s="335">
        <f t="shared" si="376"/>
        <v>0</v>
      </c>
      <c r="AK375" s="335">
        <f t="shared" si="376"/>
        <v>0</v>
      </c>
      <c r="AM375" s="23">
        <f t="shared" si="364"/>
        <v>0</v>
      </c>
    </row>
    <row r="376" spans="2:41" ht="15" x14ac:dyDescent="0.25">
      <c r="B376" s="813"/>
      <c r="D376" s="3">
        <f t="shared" si="360"/>
        <v>0</v>
      </c>
      <c r="E376" t="str">
        <f t="shared" si="361"/>
        <v>OS</v>
      </c>
      <c r="AB376" s="335">
        <f t="shared" si="362"/>
        <v>0</v>
      </c>
      <c r="AC376" s="335">
        <f t="shared" si="362"/>
        <v>0</v>
      </c>
      <c r="AD376" s="335">
        <f t="shared" si="362"/>
        <v>0</v>
      </c>
      <c r="AE376" s="335">
        <f t="shared" si="362"/>
        <v>0</v>
      </c>
      <c r="AF376" s="335">
        <f t="shared" si="362"/>
        <v>0</v>
      </c>
      <c r="AG376" s="335">
        <f t="shared" si="362"/>
        <v>0</v>
      </c>
      <c r="AH376" s="335">
        <f t="shared" ref="AH376:AK376" si="377">+AH327+AH352</f>
        <v>0</v>
      </c>
      <c r="AI376" s="335">
        <f t="shared" si="377"/>
        <v>0</v>
      </c>
      <c r="AJ376" s="335">
        <f t="shared" si="377"/>
        <v>0</v>
      </c>
      <c r="AK376" s="335">
        <f t="shared" si="377"/>
        <v>0</v>
      </c>
      <c r="AM376" s="23">
        <f t="shared" si="364"/>
        <v>0</v>
      </c>
    </row>
    <row r="377" spans="2:41" ht="15" x14ac:dyDescent="0.25">
      <c r="B377" s="813"/>
      <c r="D377" s="3">
        <f t="shared" si="360"/>
        <v>0</v>
      </c>
      <c r="E377" t="str">
        <f t="shared" si="361"/>
        <v>OS</v>
      </c>
      <c r="AB377" s="335">
        <f t="shared" si="362"/>
        <v>0</v>
      </c>
      <c r="AC377" s="335">
        <f t="shared" si="362"/>
        <v>0</v>
      </c>
      <c r="AD377" s="335">
        <f t="shared" si="362"/>
        <v>0</v>
      </c>
      <c r="AE377" s="335">
        <f t="shared" si="362"/>
        <v>0</v>
      </c>
      <c r="AF377" s="335">
        <f t="shared" si="362"/>
        <v>0</v>
      </c>
      <c r="AG377" s="335">
        <f t="shared" si="362"/>
        <v>0</v>
      </c>
      <c r="AH377" s="335">
        <f t="shared" ref="AH377:AK377" si="378">+AH328+AH353</f>
        <v>0</v>
      </c>
      <c r="AI377" s="335">
        <f t="shared" si="378"/>
        <v>0</v>
      </c>
      <c r="AJ377" s="335">
        <f t="shared" si="378"/>
        <v>0</v>
      </c>
      <c r="AK377" s="335">
        <f t="shared" si="378"/>
        <v>0</v>
      </c>
      <c r="AM377" s="23">
        <f t="shared" si="364"/>
        <v>0</v>
      </c>
    </row>
    <row r="378" spans="2:41" ht="15" x14ac:dyDescent="0.25">
      <c r="B378" s="813"/>
    </row>
    <row r="379" spans="2:41" ht="15" x14ac:dyDescent="0.25">
      <c r="B379" s="813"/>
      <c r="C379" s="9" t="s">
        <v>627</v>
      </c>
      <c r="D379" s="9"/>
      <c r="AB379" s="823">
        <f t="shared" ref="AB379:AG379" si="379">SUM(AB361:AB378)</f>
        <v>0</v>
      </c>
      <c r="AC379" s="823">
        <f t="shared" si="379"/>
        <v>0</v>
      </c>
      <c r="AD379" s="823">
        <f t="shared" si="379"/>
        <v>75507.700924999997</v>
      </c>
      <c r="AE379" s="823">
        <f t="shared" si="379"/>
        <v>155545.86390550001</v>
      </c>
      <c r="AF379" s="823">
        <f t="shared" si="379"/>
        <v>80106.119911332498</v>
      </c>
      <c r="AG379" s="823">
        <f t="shared" si="379"/>
        <v>0</v>
      </c>
      <c r="AH379" s="823">
        <f t="shared" ref="AH379:AK379" si="380">SUM(AH361:AH378)</f>
        <v>0</v>
      </c>
      <c r="AI379" s="823">
        <f t="shared" si="380"/>
        <v>0</v>
      </c>
      <c r="AJ379" s="823">
        <f t="shared" si="380"/>
        <v>0</v>
      </c>
      <c r="AK379" s="823">
        <f t="shared" si="380"/>
        <v>0</v>
      </c>
      <c r="AL379" s="23"/>
      <c r="AM379" s="823">
        <f>SUM(AB379:AK379)</f>
        <v>311159.68474183249</v>
      </c>
      <c r="AN379" s="335">
        <f>+AM330+AM355</f>
        <v>311159.68474183249</v>
      </c>
      <c r="AO379" s="588" t="s">
        <v>612</v>
      </c>
    </row>
    <row r="380" spans="2:41" ht="15" x14ac:dyDescent="0.25">
      <c r="B380" s="813"/>
    </row>
    <row r="381" spans="2:41" ht="15" x14ac:dyDescent="0.25">
      <c r="B381" s="813"/>
      <c r="C381" s="9" t="s">
        <v>611</v>
      </c>
      <c r="D381" s="9"/>
      <c r="AB381" s="823">
        <f t="shared" ref="AB381:AG381" si="381">+AB379</f>
        <v>0</v>
      </c>
      <c r="AC381" s="823">
        <f t="shared" si="381"/>
        <v>0</v>
      </c>
      <c r="AD381" s="823">
        <f t="shared" si="381"/>
        <v>75507.700924999997</v>
      </c>
      <c r="AE381" s="823">
        <f t="shared" si="381"/>
        <v>155545.86390550001</v>
      </c>
      <c r="AF381" s="823">
        <f t="shared" si="381"/>
        <v>80106.119911332498</v>
      </c>
      <c r="AG381" s="823">
        <f t="shared" si="381"/>
        <v>0</v>
      </c>
      <c r="AH381" s="823">
        <f t="shared" ref="AH381:AK381" si="382">+AH379</f>
        <v>0</v>
      </c>
      <c r="AI381" s="823">
        <f t="shared" si="382"/>
        <v>0</v>
      </c>
      <c r="AJ381" s="823">
        <f t="shared" si="382"/>
        <v>0</v>
      </c>
      <c r="AK381" s="823">
        <f t="shared" si="382"/>
        <v>0</v>
      </c>
      <c r="AL381" s="23"/>
      <c r="AM381" s="823">
        <f>SUM(AB381:AK381)</f>
        <v>311159.68474183249</v>
      </c>
      <c r="AN381" s="335">
        <f>+AM330+AM357+AM358</f>
        <v>311159.68474183249</v>
      </c>
      <c r="AO381" s="588" t="s">
        <v>612</v>
      </c>
    </row>
    <row r="382" spans="2:41" ht="15" x14ac:dyDescent="0.25">
      <c r="B382" s="813"/>
    </row>
    <row r="383" spans="2:41" ht="15" x14ac:dyDescent="0.25">
      <c r="B383" s="813"/>
      <c r="C383" s="9"/>
      <c r="D383" s="9" t="s">
        <v>608</v>
      </c>
      <c r="E383" s="2" t="s">
        <v>604</v>
      </c>
      <c r="F383" s="2"/>
      <c r="G383" s="2"/>
      <c r="H383" s="23"/>
      <c r="I383" s="23"/>
      <c r="J383" s="23"/>
      <c r="K383" s="23"/>
      <c r="M383" s="23"/>
      <c r="AB383" s="23">
        <f t="shared" ref="AB383:AG383" si="383">SUMIF($E313:$E328,$E383,AB362:AB377)</f>
        <v>0</v>
      </c>
      <c r="AC383" s="23">
        <f t="shared" si="383"/>
        <v>0</v>
      </c>
      <c r="AD383" s="23">
        <f t="shared" si="383"/>
        <v>65574.228999999992</v>
      </c>
      <c r="AE383" s="23">
        <f t="shared" si="383"/>
        <v>135082.91174000001</v>
      </c>
      <c r="AF383" s="23">
        <f t="shared" si="383"/>
        <v>69567.699546100004</v>
      </c>
      <c r="AG383" s="23">
        <f t="shared" si="383"/>
        <v>0</v>
      </c>
      <c r="AH383" s="23">
        <f t="shared" ref="AH383:AK383" si="384">SUMIF($E313:$E328,$E383,AH362:AH377)</f>
        <v>0</v>
      </c>
      <c r="AI383" s="23">
        <f t="shared" si="384"/>
        <v>0</v>
      </c>
      <c r="AJ383" s="23">
        <f t="shared" si="384"/>
        <v>0</v>
      </c>
      <c r="AK383" s="23">
        <f t="shared" si="384"/>
        <v>0</v>
      </c>
      <c r="AL383" s="23"/>
      <c r="AM383" s="23">
        <f>SUMIF($E313:$E328,$E383,AM362:AM377)</f>
        <v>270224.84028609999</v>
      </c>
    </row>
    <row r="384" spans="2:41" ht="15" x14ac:dyDescent="0.25">
      <c r="B384" s="813"/>
      <c r="C384" s="9"/>
      <c r="D384" s="9" t="s">
        <v>608</v>
      </c>
      <c r="E384" s="2" t="s">
        <v>605</v>
      </c>
      <c r="F384" s="2"/>
      <c r="G384" s="2"/>
      <c r="H384" s="23"/>
      <c r="I384" s="23"/>
      <c r="J384" s="23"/>
      <c r="K384" s="23"/>
      <c r="M384" s="23"/>
      <c r="AB384" s="23">
        <f t="shared" ref="AB384:AG384" si="385">SUMIF($E313:$E328,$E384,AB362:AB377)</f>
        <v>0</v>
      </c>
      <c r="AC384" s="23">
        <f t="shared" si="385"/>
        <v>0</v>
      </c>
      <c r="AD384" s="23">
        <f t="shared" si="385"/>
        <v>9933.4719249999998</v>
      </c>
      <c r="AE384" s="23">
        <f t="shared" si="385"/>
        <v>20462.952165499999</v>
      </c>
      <c r="AF384" s="23">
        <f t="shared" si="385"/>
        <v>10538.420365232501</v>
      </c>
      <c r="AG384" s="23">
        <f t="shared" si="385"/>
        <v>0</v>
      </c>
      <c r="AH384" s="23">
        <f t="shared" ref="AH384:AK384" si="386">SUMIF($E313:$E328,$E384,AH362:AH377)</f>
        <v>0</v>
      </c>
      <c r="AI384" s="23">
        <f t="shared" si="386"/>
        <v>0</v>
      </c>
      <c r="AJ384" s="23">
        <f t="shared" si="386"/>
        <v>0</v>
      </c>
      <c r="AK384" s="23">
        <f t="shared" si="386"/>
        <v>0</v>
      </c>
      <c r="AL384" s="23"/>
      <c r="AM384" s="23">
        <f>SUMIF($E313:$E328,$E384,AM362:AM377)</f>
        <v>40934.844455732498</v>
      </c>
      <c r="AN384" s="335">
        <f>+AM383+AM384</f>
        <v>311159.68474183249</v>
      </c>
    </row>
  </sheetData>
  <sheetProtection algorithmName="SHA-512" hashValue="+82rP9HHgOFhuZsK9/BXke2faC4f4YDEdyN3JuNKzOqne3GBsoqVvO70s/ceTNhk4dyN3d0MCgFWm2IEDQfVoA==" saltValue="uaefyIr+g6nXpxGJPgkJ1w==" spinCount="100000" sheet="1" formatCells="0" formatColumns="0" formatRows="0" autoFilter="0"/>
  <pageMargins left="0.7" right="0.7" top="0.75" bottom="0.75" header="0.3" footer="0.3"/>
  <pageSetup paperSize="5" scale="47" fitToHeight="0" orientation="landscape"/>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3F62D-7C30-4DAB-8560-7A0204854CAE}">
  <sheetPr codeName="Sheet39">
    <tabColor rgb="FFFFC000"/>
  </sheetPr>
  <dimension ref="B1:P28"/>
  <sheetViews>
    <sheetView workbookViewId="0">
      <selection activeCell="F11" sqref="F11"/>
    </sheetView>
  </sheetViews>
  <sheetFormatPr defaultRowHeight="15" x14ac:dyDescent="0.25"/>
  <cols>
    <col min="1" max="1" width="4.5703125" customWidth="1"/>
    <col min="2" max="2" width="22.140625" customWidth="1"/>
    <col min="3" max="3" width="18.5703125" customWidth="1"/>
    <col min="4" max="5" width="15.42578125" customWidth="1"/>
    <col min="6" max="6" width="16.42578125" customWidth="1"/>
    <col min="7" max="7" width="17.5703125" customWidth="1"/>
    <col min="12" max="12" width="16" customWidth="1"/>
    <col min="16" max="16" width="15.5703125" bestFit="1" customWidth="1"/>
  </cols>
  <sheetData>
    <row r="1" spans="2:16" ht="18" x14ac:dyDescent="0.25">
      <c r="B1" s="1"/>
    </row>
    <row r="2" spans="2:16" ht="18" x14ac:dyDescent="0.25">
      <c r="B2" s="1" t="s">
        <v>2310</v>
      </c>
    </row>
    <row r="3" spans="2:16" ht="18" x14ac:dyDescent="0.25">
      <c r="B3" s="1"/>
      <c r="E3" s="807"/>
    </row>
    <row r="4" spans="2:16" ht="18" x14ac:dyDescent="0.25">
      <c r="B4" s="1"/>
      <c r="C4" s="11"/>
    </row>
    <row r="5" spans="2:16" x14ac:dyDescent="0.25">
      <c r="B5" s="705" t="s">
        <v>3678</v>
      </c>
      <c r="C5" s="2544"/>
      <c r="D5" s="2544"/>
      <c r="E5" s="2779"/>
      <c r="F5" s="2780"/>
      <c r="G5" s="807"/>
    </row>
    <row r="6" spans="2:16" x14ac:dyDescent="0.25">
      <c r="C6" s="9"/>
    </row>
    <row r="7" spans="2:16" x14ac:dyDescent="0.25">
      <c r="O7" s="1391">
        <v>2</v>
      </c>
      <c r="P7" s="2781">
        <v>585677.24</v>
      </c>
    </row>
    <row r="8" spans="2:16" x14ac:dyDescent="0.25">
      <c r="C8" t="s">
        <v>3649</v>
      </c>
      <c r="D8" t="s">
        <v>3650</v>
      </c>
      <c r="E8" t="s">
        <v>3651</v>
      </c>
      <c r="F8" t="s">
        <v>3652</v>
      </c>
      <c r="G8" t="s">
        <v>3653</v>
      </c>
      <c r="O8" t="s">
        <v>3654</v>
      </c>
      <c r="P8" s="2781">
        <v>10582425.34</v>
      </c>
    </row>
    <row r="9" spans="2:16" x14ac:dyDescent="0.25">
      <c r="B9" s="865" t="s">
        <v>3677</v>
      </c>
      <c r="C9" s="2782">
        <v>11551925.400999999</v>
      </c>
      <c r="D9" s="2782">
        <v>10532000</v>
      </c>
      <c r="E9" s="2783">
        <v>18222342.32</v>
      </c>
      <c r="F9" s="2784">
        <v>11470000</v>
      </c>
      <c r="G9" s="2782">
        <v>13915000</v>
      </c>
      <c r="O9" t="s">
        <v>3655</v>
      </c>
      <c r="P9" s="2781" t="s">
        <v>3656</v>
      </c>
    </row>
    <row r="10" spans="2:16" x14ac:dyDescent="0.25">
      <c r="D10" t="s">
        <v>3657</v>
      </c>
      <c r="O10" t="s">
        <v>3658</v>
      </c>
      <c r="P10" s="2781">
        <v>832022.44</v>
      </c>
    </row>
    <row r="11" spans="2:16" x14ac:dyDescent="0.25">
      <c r="B11" t="s">
        <v>3659</v>
      </c>
      <c r="C11" s="2785">
        <f>(F11+F12)/(D11+D12)</f>
        <v>16801.498172043011</v>
      </c>
      <c r="D11" s="2781">
        <v>152</v>
      </c>
      <c r="E11" t="s">
        <v>3660</v>
      </c>
      <c r="F11" s="2786">
        <f>((E9-F13)/(D11+D12))*D11</f>
        <v>2553827.7221505377</v>
      </c>
      <c r="O11" t="s">
        <v>3661</v>
      </c>
      <c r="P11" s="2781">
        <v>630371.76</v>
      </c>
    </row>
    <row r="12" spans="2:16" x14ac:dyDescent="0.25">
      <c r="D12" s="2781">
        <v>34</v>
      </c>
      <c r="E12" t="s">
        <v>3662</v>
      </c>
      <c r="F12" s="2786">
        <f>((E9-F13)/(D11+D12))*D12</f>
        <v>571250.93784946238</v>
      </c>
      <c r="O12" t="s">
        <v>3663</v>
      </c>
      <c r="P12" s="2781" t="s">
        <v>3656</v>
      </c>
    </row>
    <row r="13" spans="2:16" x14ac:dyDescent="0.25">
      <c r="E13" t="s">
        <v>38</v>
      </c>
      <c r="F13" s="2786">
        <f>P22</f>
        <v>15097263.66</v>
      </c>
      <c r="O13" t="s">
        <v>3664</v>
      </c>
      <c r="P13" s="2781" t="s">
        <v>3656</v>
      </c>
    </row>
    <row r="14" spans="2:16" x14ac:dyDescent="0.25">
      <c r="O14" t="s">
        <v>3665</v>
      </c>
      <c r="P14" s="2781" t="s">
        <v>3656</v>
      </c>
    </row>
    <row r="15" spans="2:16" x14ac:dyDescent="0.25">
      <c r="B15" t="s">
        <v>3666</v>
      </c>
      <c r="D15">
        <v>300</v>
      </c>
      <c r="F15" s="2787">
        <f>SUM(F11:F13)</f>
        <v>18222342.32</v>
      </c>
      <c r="O15" t="s">
        <v>3667</v>
      </c>
      <c r="P15" s="2781" t="s">
        <v>3656</v>
      </c>
    </row>
    <row r="16" spans="2:16" x14ac:dyDescent="0.25">
      <c r="O16" t="s">
        <v>3668</v>
      </c>
      <c r="P16" s="2781">
        <v>466766.88</v>
      </c>
    </row>
    <row r="17" spans="2:16" x14ac:dyDescent="0.25">
      <c r="C17" t="s">
        <v>3669</v>
      </c>
      <c r="D17">
        <f>C11/423</f>
        <v>39.719853834617048</v>
      </c>
      <c r="O17" t="s">
        <v>3670</v>
      </c>
      <c r="P17" s="2781" t="s">
        <v>3656</v>
      </c>
    </row>
    <row r="18" spans="2:16" x14ac:dyDescent="0.25">
      <c r="K18" t="s">
        <v>3671</v>
      </c>
      <c r="L18" s="2781">
        <v>275000</v>
      </c>
      <c r="O18" t="s">
        <v>3672</v>
      </c>
      <c r="P18" s="2781" t="s">
        <v>3656</v>
      </c>
    </row>
    <row r="19" spans="2:16" x14ac:dyDescent="0.25">
      <c r="C19" t="s">
        <v>3673</v>
      </c>
      <c r="D19">
        <f>D15/5</f>
        <v>60</v>
      </c>
      <c r="E19">
        <f>D19*40</f>
        <v>2400</v>
      </c>
      <c r="K19" t="s">
        <v>38</v>
      </c>
      <c r="L19" s="2781">
        <f>SUM(P7:P20)</f>
        <v>13097263.66</v>
      </c>
      <c r="O19" t="s">
        <v>3674</v>
      </c>
      <c r="P19" s="2781" t="s">
        <v>3656</v>
      </c>
    </row>
    <row r="20" spans="2:16" x14ac:dyDescent="0.25">
      <c r="O20" t="s">
        <v>3675</v>
      </c>
      <c r="P20" s="2781" t="s">
        <v>3656</v>
      </c>
    </row>
    <row r="21" spans="2:16" x14ac:dyDescent="0.25">
      <c r="D21">
        <v>2025</v>
      </c>
      <c r="E21">
        <v>2026</v>
      </c>
      <c r="F21">
        <v>2027</v>
      </c>
      <c r="G21" t="s">
        <v>389</v>
      </c>
      <c r="O21" s="2945">
        <v>3</v>
      </c>
      <c r="P21" s="2781">
        <v>2000000</v>
      </c>
    </row>
    <row r="22" spans="2:16" x14ac:dyDescent="0.25">
      <c r="B22" t="s">
        <v>3692</v>
      </c>
      <c r="D22">
        <v>0</v>
      </c>
      <c r="E22">
        <v>226</v>
      </c>
      <c r="F22">
        <v>74</v>
      </c>
      <c r="G22">
        <f>SUM(D22:F22)</f>
        <v>300</v>
      </c>
      <c r="P22" s="2781">
        <f>SUM(P7:P21)</f>
        <v>15097263.66</v>
      </c>
    </row>
    <row r="23" spans="2:16" x14ac:dyDescent="0.25">
      <c r="C23" t="s">
        <v>3691</v>
      </c>
      <c r="D23" s="7">
        <f>D22/$G$22</f>
        <v>0</v>
      </c>
      <c r="E23" s="7">
        <f t="shared" ref="E23:F23" si="0">E22/$G$22</f>
        <v>0.7533333333333333</v>
      </c>
      <c r="F23" s="7">
        <f t="shared" si="0"/>
        <v>0.24666666666666667</v>
      </c>
      <c r="G23" s="7">
        <f>SUM(D23:F23)</f>
        <v>1</v>
      </c>
    </row>
    <row r="24" spans="2:16" x14ac:dyDescent="0.25">
      <c r="B24" t="s">
        <v>3690</v>
      </c>
      <c r="C24" s="2788">
        <f>(C11/8)/6</f>
        <v>350.03121191756276</v>
      </c>
    </row>
    <row r="25" spans="2:16" x14ac:dyDescent="0.25">
      <c r="B25" t="s">
        <v>3689</v>
      </c>
      <c r="C25" s="2788">
        <f>(C11/10/10)</f>
        <v>168.01498172043011</v>
      </c>
    </row>
    <row r="28" spans="2:16" x14ac:dyDescent="0.25">
      <c r="E28" t="s">
        <v>3676</v>
      </c>
    </row>
  </sheetData>
  <sheetProtection formatCells="0" formatColumns="0" formatRows="0" autoFilter="0"/>
  <pageMargins left="0.7" right="0.7" top="0.75" bottom="0.75" header="0.3" footer="0.3"/>
  <pageSetup orientation="portrait" horizontalDpi="4294967293" verticalDpi="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99E17-A937-4863-A44A-FFF0E758E574}">
  <sheetPr codeName="Sheet19">
    <tabColor rgb="FFFFC000"/>
    <pageSetUpPr autoPageBreaks="0" fitToPage="1"/>
  </sheetPr>
  <dimension ref="A1:AT799"/>
  <sheetViews>
    <sheetView showZeros="0" zoomScaleNormal="100" workbookViewId="0">
      <pane xSplit="9" ySplit="8" topLeftCell="J14" activePane="bottomRight" state="frozen"/>
      <selection activeCell="H10" sqref="H10"/>
      <selection pane="topRight" activeCell="H10" sqref="H10"/>
      <selection pane="bottomLeft" activeCell="H10" sqref="H10"/>
      <selection pane="bottomRight" activeCell="G21" sqref="G21:J21"/>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30.5703125" customWidth="1"/>
    <col min="8" max="8" width="8.42578125" customWidth="1"/>
    <col min="9" max="9" width="7.5703125" customWidth="1"/>
    <col min="10" max="11" width="8.42578125" customWidth="1"/>
    <col min="12" max="12" width="6.5703125" customWidth="1" outlineLevel="1"/>
    <col min="13" max="16" width="8.42578125" customWidth="1" outlineLevel="1"/>
    <col min="17" max="17" width="9.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5.42578125" bestFit="1" customWidth="1" outlineLevel="1"/>
    <col min="24" max="24" width="13" customWidth="1" outlineLevel="1"/>
    <col min="25" max="25" width="13.42578125" customWidth="1" outlineLevel="1"/>
    <col min="26" max="26" width="14.140625" bestFit="1"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8.5703125" customWidth="1"/>
  </cols>
  <sheetData>
    <row r="1" spans="1:46" ht="30" x14ac:dyDescent="0.25">
      <c r="A1" s="170"/>
      <c r="B1" s="719"/>
      <c r="C1" s="170"/>
      <c r="D1" s="170"/>
      <c r="E1" s="170"/>
      <c r="F1" s="170"/>
      <c r="G1" s="2295" t="str">
        <f>+Cover!C5</f>
        <v>Project Title: Battery Storage - Hyde Park</v>
      </c>
      <c r="H1" s="170"/>
      <c r="I1" s="170"/>
      <c r="J1" s="170"/>
      <c r="K1" s="170"/>
      <c r="L1" s="170"/>
      <c r="M1" s="720"/>
      <c r="N1" s="720"/>
      <c r="O1" s="720"/>
      <c r="P1" s="722"/>
      <c r="Q1" s="722"/>
      <c r="R1" s="720"/>
      <c r="S1" s="720"/>
      <c r="T1" s="723"/>
      <c r="U1" s="724"/>
      <c r="V1" s="725"/>
      <c r="W1" s="725"/>
      <c r="X1" s="723"/>
      <c r="Y1" s="723"/>
      <c r="Z1" s="723"/>
      <c r="AA1" s="726"/>
      <c r="AB1" s="726"/>
      <c r="AC1" s="170"/>
      <c r="AD1" s="586"/>
      <c r="AE1" s="586"/>
      <c r="AF1" s="727"/>
      <c r="AG1" s="727"/>
      <c r="AH1" s="727"/>
      <c r="AI1" s="170"/>
      <c r="AJ1" s="170"/>
      <c r="AK1" s="170"/>
      <c r="AL1" s="170"/>
      <c r="AM1" s="170"/>
      <c r="AN1" s="170"/>
      <c r="AO1" s="170"/>
      <c r="AP1" s="170"/>
      <c r="AQ1" s="170"/>
      <c r="AR1" s="170"/>
      <c r="AS1" s="170"/>
    </row>
    <row r="2" spans="1:46" ht="15" x14ac:dyDescent="0.25">
      <c r="A2" s="170"/>
      <c r="B2" s="719"/>
      <c r="C2" s="170"/>
      <c r="D2" s="170"/>
      <c r="E2" s="170"/>
      <c r="F2" s="170"/>
      <c r="G2" s="2295" t="str">
        <f>+Cover!C8</f>
        <v>Project Number: 21334</v>
      </c>
      <c r="H2" s="170"/>
      <c r="I2" s="170"/>
      <c r="J2" s="170"/>
      <c r="K2" s="170"/>
      <c r="L2" s="170"/>
      <c r="M2" s="720"/>
      <c r="N2" s="720"/>
      <c r="O2" s="720"/>
      <c r="P2" s="722"/>
      <c r="Q2" s="722"/>
      <c r="R2" s="720"/>
      <c r="S2" s="720"/>
      <c r="T2" s="723"/>
      <c r="U2" s="720"/>
      <c r="V2" s="728"/>
      <c r="W2" s="728"/>
      <c r="X2" s="729"/>
      <c r="Y2" s="729"/>
      <c r="Z2" s="723"/>
      <c r="AA2" s="726"/>
      <c r="AB2" s="726"/>
      <c r="AC2" s="170"/>
      <c r="AD2" s="586"/>
      <c r="AE2" s="586"/>
      <c r="AF2" s="170"/>
      <c r="AG2" s="170"/>
      <c r="AH2" s="170"/>
      <c r="AI2" s="170"/>
      <c r="AJ2" s="170"/>
      <c r="AK2" s="170"/>
      <c r="AL2" s="170"/>
      <c r="AM2" s="170"/>
      <c r="AN2" s="170"/>
      <c r="AO2" s="170"/>
      <c r="AP2" s="170"/>
      <c r="AQ2" s="170"/>
      <c r="AR2" s="170"/>
      <c r="AS2" s="735" t="str" cm="1">
        <f t="array" ref="AS2:AT2">+Cover!R8:S8</f>
        <v>Estimate done by: PAG</v>
      </c>
      <c r="AT2">
        <v>0</v>
      </c>
    </row>
    <row r="3" spans="1:46" ht="15" x14ac:dyDescent="0.25">
      <c r="A3" s="170"/>
      <c r="B3" s="719"/>
      <c r="C3" s="170"/>
      <c r="D3" s="170"/>
      <c r="E3" s="170"/>
      <c r="F3" s="170"/>
      <c r="G3" s="2295" t="str">
        <f>+Cover!C9</f>
        <v>WO &amp; Task #: 80089926</v>
      </c>
      <c r="H3" s="170"/>
      <c r="I3" s="170"/>
      <c r="J3" s="170"/>
      <c r="K3" s="170"/>
      <c r="L3" s="170"/>
      <c r="M3" s="730"/>
      <c r="N3" s="730"/>
      <c r="O3" s="730"/>
      <c r="P3" s="731"/>
      <c r="Q3" s="731"/>
      <c r="R3" s="720"/>
      <c r="S3" s="720"/>
      <c r="T3" s="723"/>
      <c r="U3" s="720"/>
      <c r="V3" s="732"/>
      <c r="W3" s="723"/>
      <c r="X3" s="733" t="s">
        <v>552</v>
      </c>
      <c r="Y3" s="734">
        <f>'Data Input sheet'!D185</f>
        <v>2.5375000000000001</v>
      </c>
      <c r="Z3" s="723"/>
      <c r="AA3" s="726"/>
      <c r="AB3" s="726"/>
      <c r="AC3" s="170"/>
      <c r="AD3" s="586"/>
      <c r="AE3" s="586"/>
      <c r="AF3" s="170"/>
      <c r="AG3" s="170"/>
      <c r="AH3" s="170"/>
      <c r="AI3" s="170"/>
      <c r="AJ3" s="170"/>
      <c r="AK3" s="170"/>
      <c r="AL3" s="170"/>
      <c r="AM3" s="170"/>
      <c r="AN3" s="170"/>
      <c r="AO3" s="170"/>
      <c r="AP3" s="170"/>
      <c r="AQ3" s="170"/>
      <c r="AR3" s="170"/>
      <c r="AS3" s="735" t="str">
        <f>+Cover!R6</f>
        <v>Date of Estimate:12/08/2023</v>
      </c>
    </row>
    <row r="4" spans="1:46" ht="15.75" customHeight="1" thickBot="1" x14ac:dyDescent="0.3">
      <c r="A4" s="170"/>
      <c r="B4" s="719"/>
      <c r="C4" s="170"/>
      <c r="D4" s="170"/>
      <c r="E4" s="170"/>
      <c r="F4" s="170"/>
      <c r="G4" s="2295" t="str">
        <f>+Cover!R5</f>
        <v>Estimate #: E-23-373</v>
      </c>
      <c r="H4" s="170"/>
      <c r="I4" s="170"/>
      <c r="J4" s="170"/>
      <c r="K4" s="170"/>
      <c r="L4" s="170"/>
      <c r="M4" s="730"/>
      <c r="N4" s="730"/>
      <c r="O4" s="730"/>
      <c r="P4" s="731"/>
      <c r="Q4" s="731"/>
      <c r="R4" s="720"/>
      <c r="S4" s="720"/>
      <c r="T4" s="723"/>
      <c r="U4" s="720"/>
      <c r="V4" s="728"/>
      <c r="W4" s="728"/>
      <c r="X4" s="723"/>
      <c r="Y4" s="723"/>
      <c r="Z4" s="729"/>
      <c r="AA4" s="726"/>
      <c r="AB4" s="726"/>
      <c r="AC4" s="170"/>
      <c r="AD4" s="586"/>
      <c r="AE4" s="586"/>
      <c r="AF4" s="170"/>
      <c r="AG4" s="170"/>
      <c r="AH4" s="170"/>
      <c r="AI4" s="170"/>
      <c r="AJ4" s="170"/>
      <c r="AK4" s="170"/>
      <c r="AL4" s="170"/>
      <c r="AM4" s="170"/>
      <c r="AN4" s="170"/>
      <c r="AO4" s="170"/>
      <c r="AP4" s="170"/>
      <c r="AQ4" s="170"/>
      <c r="AR4" s="170"/>
      <c r="AS4" s="735" t="str">
        <f>+Cover!C10</f>
        <v>Estimate revision #: 00</v>
      </c>
    </row>
    <row r="5" spans="1:46" ht="16.5" thickTop="1" thickBot="1" x14ac:dyDescent="0.3">
      <c r="A5" s="170"/>
      <c r="B5" s="719"/>
      <c r="C5" s="170"/>
      <c r="D5" s="736" t="s">
        <v>553</v>
      </c>
      <c r="E5" s="548"/>
      <c r="F5" s="548"/>
      <c r="G5" s="737"/>
      <c r="H5" s="548"/>
      <c r="I5" s="548"/>
      <c r="J5" s="548"/>
      <c r="K5" s="548"/>
      <c r="L5" s="548"/>
      <c r="M5" s="738"/>
      <c r="N5" s="738"/>
      <c r="O5" s="738"/>
      <c r="P5" s="739"/>
      <c r="Q5" s="739"/>
      <c r="R5" s="740"/>
      <c r="S5" s="740"/>
      <c r="T5" s="741"/>
      <c r="U5" s="742"/>
      <c r="V5" s="743"/>
      <c r="W5" s="743"/>
      <c r="X5" s="741"/>
      <c r="Y5" s="741"/>
      <c r="Z5" s="744"/>
      <c r="AA5" s="745"/>
      <c r="AB5" s="745"/>
      <c r="AC5" s="548"/>
      <c r="AD5" s="746"/>
      <c r="AE5" s="746"/>
      <c r="AF5" s="548"/>
      <c r="AG5" s="548"/>
      <c r="AH5" s="548"/>
      <c r="AI5" s="548"/>
      <c r="AJ5" s="548"/>
      <c r="AK5" s="548"/>
      <c r="AL5" s="548"/>
      <c r="AM5" s="548"/>
      <c r="AN5" s="548"/>
      <c r="AO5" s="548"/>
      <c r="AP5" s="548"/>
      <c r="AQ5" s="548"/>
      <c r="AR5" s="548"/>
      <c r="AS5" s="548"/>
    </row>
    <row r="6" spans="1:46" ht="16.5" thickBot="1" x14ac:dyDescent="0.3">
      <c r="A6" s="170"/>
      <c r="B6" s="719"/>
      <c r="C6" s="170"/>
      <c r="D6" s="2014"/>
      <c r="E6" s="2014"/>
      <c r="F6" s="2014"/>
      <c r="G6" s="2014" t="s">
        <v>554</v>
      </c>
      <c r="H6" s="2015"/>
      <c r="I6" s="2015"/>
      <c r="J6" s="2015"/>
      <c r="K6" s="2015"/>
      <c r="L6" s="2015"/>
      <c r="M6" s="2015"/>
      <c r="N6" s="2015"/>
      <c r="O6" s="2015"/>
      <c r="P6" s="2016"/>
      <c r="Q6" s="2016"/>
      <c r="R6" s="2015"/>
      <c r="S6" s="2015"/>
      <c r="T6" s="2015"/>
      <c r="U6" s="2015"/>
      <c r="V6" s="2015"/>
      <c r="W6" s="2015"/>
      <c r="X6" s="2015"/>
      <c r="Y6" s="2017"/>
      <c r="Z6" s="2017"/>
      <c r="AA6" s="2018"/>
      <c r="AB6" s="2019"/>
      <c r="AC6" s="170"/>
      <c r="AD6" s="755" t="s">
        <v>555</v>
      </c>
      <c r="AE6" s="756"/>
      <c r="AF6" s="757"/>
      <c r="AG6" s="757"/>
      <c r="AH6" s="757"/>
      <c r="AI6" s="757"/>
      <c r="AJ6" s="757"/>
      <c r="AK6" s="757"/>
      <c r="AL6" s="757"/>
      <c r="AM6" s="757"/>
      <c r="AN6" s="757"/>
      <c r="AO6" s="757"/>
      <c r="AP6" s="757"/>
      <c r="AQ6" s="757"/>
      <c r="AR6" s="757"/>
      <c r="AS6" s="758"/>
    </row>
    <row r="7" spans="1:46" ht="2.85" customHeight="1" thickBot="1" x14ac:dyDescent="0.3">
      <c r="A7" s="170"/>
      <c r="B7" s="719"/>
      <c r="C7" s="170"/>
      <c r="D7" s="2020"/>
      <c r="E7" s="378"/>
      <c r="F7" s="378"/>
      <c r="G7" s="2021"/>
      <c r="H7" s="378"/>
      <c r="I7" s="378"/>
      <c r="J7" s="378"/>
      <c r="K7" s="378"/>
      <c r="L7" s="378"/>
      <c r="M7" s="2022"/>
      <c r="N7" s="2022"/>
      <c r="O7" s="2022"/>
      <c r="P7" s="2023"/>
      <c r="Q7" s="2023"/>
      <c r="R7" s="2022"/>
      <c r="S7" s="2022"/>
      <c r="T7" s="2024"/>
      <c r="U7" s="2025"/>
      <c r="V7" s="2026"/>
      <c r="W7" s="2026"/>
      <c r="X7" s="2024"/>
      <c r="Y7" s="2024"/>
      <c r="Z7" s="2024"/>
      <c r="AA7" s="2027"/>
      <c r="AB7" s="2027"/>
      <c r="AC7" s="170"/>
      <c r="AD7" s="584"/>
      <c r="AE7" s="584"/>
      <c r="AF7" s="376"/>
      <c r="AG7" s="376"/>
      <c r="AH7" s="376"/>
      <c r="AI7" s="376"/>
      <c r="AJ7" s="376"/>
      <c r="AK7" s="376"/>
      <c r="AL7" s="762"/>
      <c r="AM7" s="762"/>
      <c r="AN7" s="762"/>
      <c r="AO7" s="762"/>
      <c r="AP7" s="762"/>
      <c r="AQ7" s="762"/>
      <c r="AR7" s="762"/>
      <c r="AS7" s="762"/>
    </row>
    <row r="8" spans="1:46" ht="63" customHeight="1" thickBot="1" x14ac:dyDescent="0.3">
      <c r="A8" s="170"/>
      <c r="B8" s="719"/>
      <c r="C8" s="170"/>
      <c r="D8" s="2028" t="s">
        <v>630</v>
      </c>
      <c r="E8" s="2028" t="s">
        <v>631</v>
      </c>
      <c r="F8" s="2028" t="s">
        <v>632</v>
      </c>
      <c r="G8" s="2014" t="s">
        <v>206</v>
      </c>
      <c r="H8" s="2029" t="s">
        <v>557</v>
      </c>
      <c r="I8" s="2029" t="s">
        <v>556</v>
      </c>
      <c r="J8" s="2014" t="s">
        <v>560</v>
      </c>
      <c r="K8" s="2014" t="s">
        <v>559</v>
      </c>
      <c r="L8" s="2030" t="s">
        <v>561</v>
      </c>
      <c r="M8" s="2030" t="s">
        <v>562</v>
      </c>
      <c r="N8" s="2030" t="s">
        <v>563</v>
      </c>
      <c r="O8" s="2030" t="s">
        <v>564</v>
      </c>
      <c r="P8" s="2030" t="s">
        <v>565</v>
      </c>
      <c r="Q8" s="2030" t="s">
        <v>566</v>
      </c>
      <c r="R8" s="2030" t="s">
        <v>567</v>
      </c>
      <c r="S8" s="2030" t="s">
        <v>568</v>
      </c>
      <c r="T8" s="2030" t="s">
        <v>569</v>
      </c>
      <c r="U8" s="2030" t="s">
        <v>1740</v>
      </c>
      <c r="V8" s="2030" t="s">
        <v>571</v>
      </c>
      <c r="W8" s="2030" t="s">
        <v>572</v>
      </c>
      <c r="X8" s="2030" t="s">
        <v>573</v>
      </c>
      <c r="Y8" s="2030" t="s">
        <v>574</v>
      </c>
      <c r="Z8" s="2030" t="s">
        <v>575</v>
      </c>
      <c r="AA8" s="2030" t="s">
        <v>1</v>
      </c>
      <c r="AB8" s="2031" t="s">
        <v>576</v>
      </c>
      <c r="AC8" s="765"/>
      <c r="AD8" s="766" t="s">
        <v>577</v>
      </c>
      <c r="AE8" s="766" t="s">
        <v>578</v>
      </c>
      <c r="AF8" s="766" t="s">
        <v>558</v>
      </c>
      <c r="AG8" s="766" t="s">
        <v>579</v>
      </c>
      <c r="AH8" s="766" t="s">
        <v>580</v>
      </c>
      <c r="AI8" s="766" t="s">
        <v>581</v>
      </c>
      <c r="AJ8" s="766" t="s">
        <v>582</v>
      </c>
      <c r="AK8" s="766" t="s">
        <v>583</v>
      </c>
      <c r="AL8" s="766" t="s">
        <v>584</v>
      </c>
      <c r="AM8" s="766" t="s">
        <v>585</v>
      </c>
      <c r="AN8" s="766" t="s">
        <v>586</v>
      </c>
      <c r="AO8" s="766" t="s">
        <v>587</v>
      </c>
      <c r="AP8" s="766" t="s">
        <v>588</v>
      </c>
      <c r="AQ8" s="766" t="s">
        <v>589</v>
      </c>
      <c r="AR8" s="766" t="s">
        <v>590</v>
      </c>
      <c r="AS8" s="767" t="s">
        <v>591</v>
      </c>
    </row>
    <row r="9" spans="1:46" ht="25.5" x14ac:dyDescent="0.25">
      <c r="A9" s="768"/>
      <c r="B9" s="719">
        <v>1</v>
      </c>
      <c r="C9" s="170" t="str">
        <f t="shared" ref="C9:C72" si="0">+F9&amp;I9</f>
        <v>1LS</v>
      </c>
      <c r="D9" s="557"/>
      <c r="E9" s="170"/>
      <c r="F9" s="2078">
        <v>1</v>
      </c>
      <c r="G9" s="2220" t="s">
        <v>84</v>
      </c>
      <c r="H9" s="1926">
        <v>1</v>
      </c>
      <c r="I9" s="2218" t="s">
        <v>640</v>
      </c>
      <c r="J9" s="2217"/>
      <c r="K9" s="2217"/>
      <c r="L9" s="2219">
        <v>0.05</v>
      </c>
      <c r="M9" s="2009">
        <v>0</v>
      </c>
      <c r="N9" s="2010">
        <v>1</v>
      </c>
      <c r="O9" s="773">
        <f t="shared" ref="O9:O72" si="1">+M9*N9</f>
        <v>0</v>
      </c>
      <c r="P9" s="2008" t="s">
        <v>39</v>
      </c>
      <c r="Q9" s="2008" t="s">
        <v>604</v>
      </c>
      <c r="R9" s="2011" t="s">
        <v>74</v>
      </c>
      <c r="S9" s="775">
        <f>SUMIF('Data Input sheet'!$B$118:$B$180,R9,'Data Input sheet'!$D$118:$D$180)</f>
        <v>152</v>
      </c>
      <c r="T9" s="2685">
        <f>+((SUM($AS$10:$AS$152)-SUM(SUM($AM$10:$AM$152)+SUM($AP$10:$AP$152)))*L9)-12700</f>
        <v>157257.15000000002</v>
      </c>
      <c r="U9" s="2013">
        <v>0</v>
      </c>
      <c r="V9" s="778">
        <f t="shared" ref="V9" si="2">ROUND(U9*O9,0)</f>
        <v>0</v>
      </c>
      <c r="W9" s="2010"/>
      <c r="X9" s="779"/>
      <c r="Y9" s="2012">
        <v>0</v>
      </c>
      <c r="Z9" s="780">
        <f t="shared" ref="Z9:Z72" si="3">T9+V9+W9+Y9</f>
        <v>157257.15000000002</v>
      </c>
      <c r="AA9" s="2007" t="s">
        <v>2370</v>
      </c>
      <c r="AB9" s="2676" t="s">
        <v>3755</v>
      </c>
      <c r="AC9" s="765"/>
      <c r="AD9" s="781">
        <f t="shared" ref="AD9:AD40" si="4">IF(P9="E",+ROUND(H9*O9,0),0)</f>
        <v>0</v>
      </c>
      <c r="AE9" s="781">
        <f t="shared" ref="AE9:AE72" si="5">+AF9-AD9</f>
        <v>0</v>
      </c>
      <c r="AF9" s="781">
        <f t="shared" ref="AF9:AF40" si="6">+H9*O9</f>
        <v>0</v>
      </c>
      <c r="AG9" s="781">
        <f t="shared" ref="AG9:AG40" si="7">IF(P9="E",+ROUND(T9*H9,0),0)</f>
        <v>0</v>
      </c>
      <c r="AH9" s="781">
        <f t="shared" ref="AH9:AH72" si="8">+AI9-AG9</f>
        <v>157257.15000000002</v>
      </c>
      <c r="AI9" s="782">
        <f t="shared" ref="AI9:AI40" si="9">+H9*T9</f>
        <v>157257.15000000002</v>
      </c>
      <c r="AJ9" s="781">
        <f t="shared" ref="AJ9:AJ40" si="10">IF(P9="E",+ROUND(V9*H9,0),0)</f>
        <v>0</v>
      </c>
      <c r="AK9" s="781">
        <f t="shared" ref="AK9:AK72" si="11">+AL9-AJ9</f>
        <v>0</v>
      </c>
      <c r="AL9" s="781">
        <f t="shared" ref="AL9:AL40" si="12">ROUND(V9*H9,0)</f>
        <v>0</v>
      </c>
      <c r="AM9" s="781">
        <f t="shared" ref="AM9:AM40" si="13">IF(Q9="E",+ROUND(W9*H9,0),0)</f>
        <v>0</v>
      </c>
      <c r="AN9" s="781">
        <f t="shared" ref="AN9:AN72" si="14">+AO9-AM9</f>
        <v>0</v>
      </c>
      <c r="AO9" s="781">
        <f t="shared" ref="AO9:AO40" si="15">ROUND(W9*H9,0)</f>
        <v>0</v>
      </c>
      <c r="AP9" s="781">
        <f t="shared" ref="AP9:AP40" si="16">IF(P9="E",+ROUND(Y9*H9,0),0)</f>
        <v>0</v>
      </c>
      <c r="AQ9" s="781">
        <f t="shared" ref="AQ9:AQ72" si="17">+AR9-AP9</f>
        <v>0</v>
      </c>
      <c r="AR9" s="781">
        <f t="shared" ref="AR9:AR40" si="18">ROUND(Y9*H9,0)</f>
        <v>0</v>
      </c>
      <c r="AS9" s="783">
        <f t="shared" ref="AS9:AS72" si="19">+AR9+AO9+AL9+AI9</f>
        <v>157257.15000000002</v>
      </c>
    </row>
    <row r="10" spans="1:46" ht="38.25" x14ac:dyDescent="0.25">
      <c r="A10" s="784"/>
      <c r="B10" s="719">
        <f>+B9+1</f>
        <v>2</v>
      </c>
      <c r="C10" s="170" t="str">
        <f t="shared" si="0"/>
        <v>59EA</v>
      </c>
      <c r="D10" s="557"/>
      <c r="E10" s="170"/>
      <c r="F10" s="2078">
        <v>59</v>
      </c>
      <c r="G10" s="2676" t="s">
        <v>3776</v>
      </c>
      <c r="H10" s="2789">
        <v>1</v>
      </c>
      <c r="I10" s="2790" t="s">
        <v>732</v>
      </c>
      <c r="J10" s="2789"/>
      <c r="K10" s="2789"/>
      <c r="L10" s="170"/>
      <c r="M10" s="2009">
        <f>'Calc Sheet'!C11</f>
        <v>16801.498172043011</v>
      </c>
      <c r="N10" s="2010">
        <v>1</v>
      </c>
      <c r="O10" s="773">
        <f t="shared" si="1"/>
        <v>16801.498172043011</v>
      </c>
      <c r="P10" s="2008" t="s">
        <v>39</v>
      </c>
      <c r="Q10" s="2008" t="s">
        <v>604</v>
      </c>
      <c r="R10" s="2011" t="s">
        <v>74</v>
      </c>
      <c r="S10" s="775">
        <f>SUMIF('Data Input sheet'!$B$118:$B$180,R10,'Data Input sheet'!$D$118:$D$180)</f>
        <v>152</v>
      </c>
      <c r="T10" s="2685">
        <f t="shared" ref="T10:T72" si="20">ROUND(O10*S10,0)</f>
        <v>2553828</v>
      </c>
      <c r="U10" s="2013">
        <v>34</v>
      </c>
      <c r="V10" s="778">
        <f>ROUND(U10*O10,0)</f>
        <v>571251</v>
      </c>
      <c r="W10" s="2010">
        <v>0</v>
      </c>
      <c r="X10" s="779"/>
      <c r="Y10" s="2012">
        <v>0</v>
      </c>
      <c r="Z10" s="780">
        <f t="shared" si="3"/>
        <v>3125079</v>
      </c>
      <c r="AA10" s="2676" t="s">
        <v>3683</v>
      </c>
      <c r="AB10" s="2676" t="s">
        <v>3777</v>
      </c>
      <c r="AC10" s="765"/>
      <c r="AD10" s="781">
        <f t="shared" si="4"/>
        <v>0</v>
      </c>
      <c r="AE10" s="781">
        <f t="shared" si="5"/>
        <v>16801.498172043011</v>
      </c>
      <c r="AF10" s="781">
        <f t="shared" si="6"/>
        <v>16801.498172043011</v>
      </c>
      <c r="AG10" s="781">
        <f t="shared" si="7"/>
        <v>0</v>
      </c>
      <c r="AH10" s="781">
        <f t="shared" si="8"/>
        <v>2553828</v>
      </c>
      <c r="AI10" s="782">
        <f t="shared" si="9"/>
        <v>2553828</v>
      </c>
      <c r="AJ10" s="781">
        <f t="shared" si="10"/>
        <v>0</v>
      </c>
      <c r="AK10" s="781">
        <f t="shared" si="11"/>
        <v>571251</v>
      </c>
      <c r="AL10" s="781">
        <f t="shared" si="12"/>
        <v>571251</v>
      </c>
      <c r="AM10" s="781">
        <f t="shared" si="13"/>
        <v>0</v>
      </c>
      <c r="AN10" s="781">
        <f t="shared" si="14"/>
        <v>0</v>
      </c>
      <c r="AO10" s="781">
        <f t="shared" si="15"/>
        <v>0</v>
      </c>
      <c r="AP10" s="781">
        <f t="shared" si="16"/>
        <v>0</v>
      </c>
      <c r="AQ10" s="781">
        <f t="shared" si="17"/>
        <v>0</v>
      </c>
      <c r="AR10" s="781">
        <f t="shared" si="18"/>
        <v>0</v>
      </c>
      <c r="AS10" s="783">
        <f t="shared" si="19"/>
        <v>3125079</v>
      </c>
    </row>
    <row r="11" spans="1:46" ht="38.25" x14ac:dyDescent="0.25">
      <c r="A11" s="784"/>
      <c r="B11" s="719">
        <f t="shared" ref="B11:B74" si="21">B10+1</f>
        <v>3</v>
      </c>
      <c r="C11" s="170" t="str">
        <f t="shared" si="0"/>
        <v>59EA</v>
      </c>
      <c r="D11" s="557"/>
      <c r="E11" s="170"/>
      <c r="F11" s="2078">
        <v>59</v>
      </c>
      <c r="G11" s="2791" t="s">
        <v>3679</v>
      </c>
      <c r="H11" s="2789">
        <v>1</v>
      </c>
      <c r="I11" s="2790" t="s">
        <v>732</v>
      </c>
      <c r="J11" s="2789"/>
      <c r="K11" s="2789"/>
      <c r="L11" s="170"/>
      <c r="M11" s="2009"/>
      <c r="N11" s="2010">
        <v>1</v>
      </c>
      <c r="O11" s="773">
        <f t="shared" si="1"/>
        <v>0</v>
      </c>
      <c r="P11" s="2008" t="s">
        <v>39</v>
      </c>
      <c r="Q11" s="2008" t="s">
        <v>604</v>
      </c>
      <c r="R11" s="2011" t="s">
        <v>74</v>
      </c>
      <c r="S11" s="775">
        <f>SUMIF('Data Input sheet'!$B$118:$B$180,R11,'Data Input sheet'!$D$118:$D$180)</f>
        <v>152</v>
      </c>
      <c r="T11" s="2685">
        <f t="shared" si="20"/>
        <v>0</v>
      </c>
      <c r="U11" s="2013">
        <v>0</v>
      </c>
      <c r="V11" s="778">
        <f t="shared" ref="V11:V74" si="22">ROUND(U11*O11,0)</f>
        <v>0</v>
      </c>
      <c r="W11" s="2010">
        <f>'Calc Sheet'!P7</f>
        <v>585677.24</v>
      </c>
      <c r="X11" s="779"/>
      <c r="Y11" s="2012">
        <v>0</v>
      </c>
      <c r="Z11" s="780">
        <f t="shared" si="3"/>
        <v>585677.24</v>
      </c>
      <c r="AA11" s="2676" t="s">
        <v>3684</v>
      </c>
      <c r="AB11" s="2676" t="s">
        <v>3778</v>
      </c>
      <c r="AC11" s="765"/>
      <c r="AD11" s="781">
        <f t="shared" si="4"/>
        <v>0</v>
      </c>
      <c r="AE11" s="781">
        <f t="shared" si="5"/>
        <v>0</v>
      </c>
      <c r="AF11" s="781">
        <f t="shared" si="6"/>
        <v>0</v>
      </c>
      <c r="AG11" s="781">
        <f t="shared" si="7"/>
        <v>0</v>
      </c>
      <c r="AH11" s="781">
        <f t="shared" si="8"/>
        <v>0</v>
      </c>
      <c r="AI11" s="782">
        <f t="shared" si="9"/>
        <v>0</v>
      </c>
      <c r="AJ11" s="781">
        <f t="shared" si="10"/>
        <v>0</v>
      </c>
      <c r="AK11" s="781">
        <f t="shared" si="11"/>
        <v>0</v>
      </c>
      <c r="AL11" s="781">
        <f t="shared" si="12"/>
        <v>0</v>
      </c>
      <c r="AM11" s="781">
        <f t="shared" si="13"/>
        <v>585677</v>
      </c>
      <c r="AN11" s="781">
        <f t="shared" si="14"/>
        <v>0</v>
      </c>
      <c r="AO11" s="781">
        <f t="shared" si="15"/>
        <v>585677</v>
      </c>
      <c r="AP11" s="781">
        <f t="shared" si="16"/>
        <v>0</v>
      </c>
      <c r="AQ11" s="781">
        <f t="shared" si="17"/>
        <v>0</v>
      </c>
      <c r="AR11" s="781">
        <f t="shared" si="18"/>
        <v>0</v>
      </c>
      <c r="AS11" s="783">
        <f t="shared" si="19"/>
        <v>585677</v>
      </c>
    </row>
    <row r="12" spans="1:46" ht="38.25" x14ac:dyDescent="0.25">
      <c r="A12" s="768"/>
      <c r="B12" s="719">
        <f t="shared" si="21"/>
        <v>4</v>
      </c>
      <c r="C12" s="170" t="str">
        <f t="shared" si="0"/>
        <v>59EA</v>
      </c>
      <c r="D12" s="557"/>
      <c r="E12" s="170"/>
      <c r="F12" s="2078">
        <v>59</v>
      </c>
      <c r="G12" s="2676" t="s">
        <v>3680</v>
      </c>
      <c r="H12" s="2789">
        <v>1</v>
      </c>
      <c r="I12" s="2790" t="s">
        <v>732</v>
      </c>
      <c r="J12" s="2789"/>
      <c r="K12" s="2789"/>
      <c r="L12" s="170"/>
      <c r="M12" s="2009">
        <v>0</v>
      </c>
      <c r="N12" s="2010">
        <v>1</v>
      </c>
      <c r="O12" s="773">
        <f t="shared" si="1"/>
        <v>0</v>
      </c>
      <c r="P12" s="2008" t="s">
        <v>39</v>
      </c>
      <c r="Q12" s="2008" t="s">
        <v>604</v>
      </c>
      <c r="R12" s="2011" t="s">
        <v>74</v>
      </c>
      <c r="S12" s="775">
        <f>SUMIF('Data Input sheet'!$B$118:$B$180,R12,'Data Input sheet'!$D$118:$D$180)</f>
        <v>152</v>
      </c>
      <c r="T12" s="2685">
        <f t="shared" si="20"/>
        <v>0</v>
      </c>
      <c r="U12" s="2013">
        <v>0</v>
      </c>
      <c r="V12" s="778">
        <f t="shared" si="22"/>
        <v>0</v>
      </c>
      <c r="W12" s="2944">
        <v>12106850</v>
      </c>
      <c r="X12" s="779"/>
      <c r="Y12" s="2012">
        <v>0</v>
      </c>
      <c r="Z12" s="780">
        <f t="shared" si="3"/>
        <v>12106850</v>
      </c>
      <c r="AA12" s="2676" t="s">
        <v>3685</v>
      </c>
      <c r="AB12" s="2676" t="s">
        <v>3779</v>
      </c>
      <c r="AC12" s="765"/>
      <c r="AD12" s="781">
        <f t="shared" si="4"/>
        <v>0</v>
      </c>
      <c r="AE12" s="781">
        <f t="shared" si="5"/>
        <v>0</v>
      </c>
      <c r="AF12" s="781">
        <f t="shared" si="6"/>
        <v>0</v>
      </c>
      <c r="AG12" s="781">
        <f t="shared" si="7"/>
        <v>0</v>
      </c>
      <c r="AH12" s="781">
        <f t="shared" si="8"/>
        <v>0</v>
      </c>
      <c r="AI12" s="782">
        <f t="shared" si="9"/>
        <v>0</v>
      </c>
      <c r="AJ12" s="781">
        <f t="shared" si="10"/>
        <v>0</v>
      </c>
      <c r="AK12" s="781">
        <f t="shared" si="11"/>
        <v>0</v>
      </c>
      <c r="AL12" s="781">
        <f t="shared" si="12"/>
        <v>0</v>
      </c>
      <c r="AM12" s="781">
        <f t="shared" si="13"/>
        <v>12106850</v>
      </c>
      <c r="AN12" s="781">
        <f t="shared" si="14"/>
        <v>0</v>
      </c>
      <c r="AO12" s="781">
        <f t="shared" si="15"/>
        <v>12106850</v>
      </c>
      <c r="AP12" s="781">
        <f t="shared" si="16"/>
        <v>0</v>
      </c>
      <c r="AQ12" s="781">
        <f t="shared" si="17"/>
        <v>0</v>
      </c>
      <c r="AR12" s="781">
        <f t="shared" si="18"/>
        <v>0</v>
      </c>
      <c r="AS12" s="783">
        <f t="shared" si="19"/>
        <v>12106850</v>
      </c>
    </row>
    <row r="13" spans="1:46" ht="38.25" x14ac:dyDescent="0.25">
      <c r="A13" s="768"/>
      <c r="B13" s="719">
        <f t="shared" si="21"/>
        <v>5</v>
      </c>
      <c r="C13" s="170" t="str">
        <f t="shared" si="0"/>
        <v>59EA</v>
      </c>
      <c r="D13" s="557"/>
      <c r="E13" s="170"/>
      <c r="F13" s="2078">
        <v>59</v>
      </c>
      <c r="G13" s="2676" t="s">
        <v>3681</v>
      </c>
      <c r="H13" s="2789">
        <v>1</v>
      </c>
      <c r="I13" s="2790" t="s">
        <v>732</v>
      </c>
      <c r="J13" s="2789"/>
      <c r="K13" s="2789"/>
      <c r="L13" s="170"/>
      <c r="M13" s="2009">
        <v>0</v>
      </c>
      <c r="N13" s="2010">
        <v>1</v>
      </c>
      <c r="O13" s="773">
        <f t="shared" ref="O13" si="23">+M13*N13</f>
        <v>0</v>
      </c>
      <c r="P13" s="2008" t="s">
        <v>39</v>
      </c>
      <c r="Q13" s="2008" t="s">
        <v>604</v>
      </c>
      <c r="R13" s="2011" t="s">
        <v>74</v>
      </c>
      <c r="S13" s="775">
        <f>SUMIF('Data Input sheet'!$B$118:$B$180,R13,'Data Input sheet'!$D$118:$D$180)</f>
        <v>152</v>
      </c>
      <c r="T13" s="2685">
        <f t="shared" ref="T13" si="24">ROUND(O13*S13,0)</f>
        <v>0</v>
      </c>
      <c r="U13" s="2013">
        <v>0</v>
      </c>
      <c r="V13" s="778">
        <f t="shared" si="22"/>
        <v>0</v>
      </c>
      <c r="W13" s="2010">
        <f>'Calc Sheet'!P10</f>
        <v>832022.44</v>
      </c>
      <c r="X13" s="779"/>
      <c r="Y13" s="2012">
        <v>0</v>
      </c>
      <c r="Z13" s="780">
        <f t="shared" si="3"/>
        <v>832022.44</v>
      </c>
      <c r="AA13" s="2676" t="s">
        <v>3686</v>
      </c>
      <c r="AB13" s="2676" t="s">
        <v>3777</v>
      </c>
      <c r="AC13" s="765"/>
      <c r="AD13" s="781">
        <f t="shared" si="4"/>
        <v>0</v>
      </c>
      <c r="AE13" s="781">
        <f t="shared" si="5"/>
        <v>0</v>
      </c>
      <c r="AF13" s="781">
        <f t="shared" si="6"/>
        <v>0</v>
      </c>
      <c r="AG13" s="781">
        <f t="shared" si="7"/>
        <v>0</v>
      </c>
      <c r="AH13" s="781">
        <f t="shared" si="8"/>
        <v>0</v>
      </c>
      <c r="AI13" s="782">
        <f t="shared" si="9"/>
        <v>0</v>
      </c>
      <c r="AJ13" s="781">
        <f t="shared" si="10"/>
        <v>0</v>
      </c>
      <c r="AK13" s="781">
        <f t="shared" si="11"/>
        <v>0</v>
      </c>
      <c r="AL13" s="781">
        <f t="shared" si="12"/>
        <v>0</v>
      </c>
      <c r="AM13" s="781">
        <f t="shared" si="13"/>
        <v>832022</v>
      </c>
      <c r="AN13" s="781">
        <f t="shared" si="14"/>
        <v>0</v>
      </c>
      <c r="AO13" s="781">
        <f t="shared" si="15"/>
        <v>832022</v>
      </c>
      <c r="AP13" s="781">
        <f t="shared" si="16"/>
        <v>0</v>
      </c>
      <c r="AQ13" s="781">
        <f t="shared" si="17"/>
        <v>0</v>
      </c>
      <c r="AR13" s="781">
        <f t="shared" si="18"/>
        <v>0</v>
      </c>
      <c r="AS13" s="783">
        <f t="shared" si="19"/>
        <v>832022</v>
      </c>
    </row>
    <row r="14" spans="1:46" ht="38.25" x14ac:dyDescent="0.25">
      <c r="A14" s="786"/>
      <c r="B14" s="719">
        <f t="shared" si="21"/>
        <v>6</v>
      </c>
      <c r="C14" s="170" t="str">
        <f t="shared" si="0"/>
        <v>51EA</v>
      </c>
      <c r="D14" s="557"/>
      <c r="E14" s="170"/>
      <c r="F14" s="2078">
        <v>51</v>
      </c>
      <c r="G14" s="2791" t="s">
        <v>3682</v>
      </c>
      <c r="H14" s="2789">
        <v>1</v>
      </c>
      <c r="I14" s="2790" t="s">
        <v>732</v>
      </c>
      <c r="J14" s="2789"/>
      <c r="K14" s="2789"/>
      <c r="L14" s="170"/>
      <c r="M14" s="2009"/>
      <c r="N14" s="2010">
        <v>1</v>
      </c>
      <c r="O14" s="773">
        <f t="shared" ref="O14" si="25">+M14*N14</f>
        <v>0</v>
      </c>
      <c r="P14" s="2008" t="s">
        <v>39</v>
      </c>
      <c r="Q14" s="2008" t="s">
        <v>604</v>
      </c>
      <c r="R14" s="2011" t="s">
        <v>74</v>
      </c>
      <c r="S14" s="775">
        <f>SUMIF('Data Input sheet'!$B$118:$B$180,R14,'Data Input sheet'!$D$118:$D$180)</f>
        <v>152</v>
      </c>
      <c r="T14" s="2685">
        <f t="shared" ref="T14" si="26">ROUND(O14*S14,0)</f>
        <v>0</v>
      </c>
      <c r="U14" s="2013">
        <v>0</v>
      </c>
      <c r="V14" s="778">
        <f t="shared" si="22"/>
        <v>0</v>
      </c>
      <c r="W14" s="2010">
        <f>'Calc Sheet'!P11</f>
        <v>630371.76</v>
      </c>
      <c r="X14" s="779"/>
      <c r="Y14" s="2012">
        <v>0</v>
      </c>
      <c r="Z14" s="780">
        <f t="shared" si="3"/>
        <v>630371.76</v>
      </c>
      <c r="AA14" s="2676" t="s">
        <v>3687</v>
      </c>
      <c r="AB14" s="2676" t="s">
        <v>3780</v>
      </c>
      <c r="AC14" s="765"/>
      <c r="AD14" s="781">
        <f t="shared" si="4"/>
        <v>0</v>
      </c>
      <c r="AE14" s="781">
        <f t="shared" si="5"/>
        <v>0</v>
      </c>
      <c r="AF14" s="781">
        <f t="shared" si="6"/>
        <v>0</v>
      </c>
      <c r="AG14" s="781">
        <f t="shared" si="7"/>
        <v>0</v>
      </c>
      <c r="AH14" s="781">
        <f t="shared" si="8"/>
        <v>0</v>
      </c>
      <c r="AI14" s="782">
        <f t="shared" si="9"/>
        <v>0</v>
      </c>
      <c r="AJ14" s="781">
        <f t="shared" si="10"/>
        <v>0</v>
      </c>
      <c r="AK14" s="781">
        <f t="shared" si="11"/>
        <v>0</v>
      </c>
      <c r="AL14" s="781">
        <f t="shared" si="12"/>
        <v>0</v>
      </c>
      <c r="AM14" s="781">
        <f t="shared" si="13"/>
        <v>630372</v>
      </c>
      <c r="AN14" s="781">
        <f t="shared" si="14"/>
        <v>0</v>
      </c>
      <c r="AO14" s="781">
        <f t="shared" si="15"/>
        <v>630372</v>
      </c>
      <c r="AP14" s="781">
        <f t="shared" si="16"/>
        <v>0</v>
      </c>
      <c r="AQ14" s="781">
        <f t="shared" si="17"/>
        <v>0</v>
      </c>
      <c r="AR14" s="781">
        <f t="shared" si="18"/>
        <v>0</v>
      </c>
      <c r="AS14" s="783">
        <f t="shared" si="19"/>
        <v>630372</v>
      </c>
    </row>
    <row r="15" spans="1:46" ht="38.25" x14ac:dyDescent="0.25">
      <c r="A15" s="768"/>
      <c r="B15" s="719">
        <f t="shared" si="21"/>
        <v>7</v>
      </c>
      <c r="C15" s="170" t="str">
        <f t="shared" si="0"/>
        <v>59EA</v>
      </c>
      <c r="D15" s="557"/>
      <c r="E15" s="170"/>
      <c r="F15" s="2078">
        <v>59</v>
      </c>
      <c r="G15" s="2791" t="s">
        <v>3784</v>
      </c>
      <c r="H15" s="2789">
        <v>1</v>
      </c>
      <c r="I15" s="2790" t="s">
        <v>732</v>
      </c>
      <c r="J15" s="2789"/>
      <c r="K15" s="2789"/>
      <c r="L15" s="170"/>
      <c r="M15" s="2009">
        <v>0</v>
      </c>
      <c r="N15" s="2010">
        <v>1</v>
      </c>
      <c r="O15" s="773">
        <f t="shared" si="1"/>
        <v>0</v>
      </c>
      <c r="P15" s="2008" t="s">
        <v>39</v>
      </c>
      <c r="Q15" s="2008" t="s">
        <v>604</v>
      </c>
      <c r="R15" s="2011" t="s">
        <v>74</v>
      </c>
      <c r="S15" s="775">
        <f>SUMIF('Data Input sheet'!$B$118:$B$180,R15,'Data Input sheet'!$D$118:$D$180)</f>
        <v>152</v>
      </c>
      <c r="T15" s="2685">
        <f t="shared" si="20"/>
        <v>0</v>
      </c>
      <c r="U15" s="2013">
        <v>0</v>
      </c>
      <c r="V15" s="778">
        <f t="shared" si="22"/>
        <v>0</v>
      </c>
      <c r="W15" s="2010">
        <f>'Calc Sheet'!P16</f>
        <v>466766.88</v>
      </c>
      <c r="X15" s="779"/>
      <c r="Y15" s="2012">
        <v>0</v>
      </c>
      <c r="Z15" s="780">
        <f t="shared" si="3"/>
        <v>466766.88</v>
      </c>
      <c r="AA15" s="2676" t="s">
        <v>3688</v>
      </c>
      <c r="AB15" s="2676" t="s">
        <v>3781</v>
      </c>
      <c r="AC15" s="765"/>
      <c r="AD15" s="781">
        <f t="shared" si="4"/>
        <v>0</v>
      </c>
      <c r="AE15" s="781">
        <f t="shared" si="5"/>
        <v>0</v>
      </c>
      <c r="AF15" s="781">
        <f t="shared" si="6"/>
        <v>0</v>
      </c>
      <c r="AG15" s="781">
        <f t="shared" si="7"/>
        <v>0</v>
      </c>
      <c r="AH15" s="781">
        <f t="shared" si="8"/>
        <v>0</v>
      </c>
      <c r="AI15" s="782">
        <f t="shared" si="9"/>
        <v>0</v>
      </c>
      <c r="AJ15" s="781">
        <f t="shared" si="10"/>
        <v>0</v>
      </c>
      <c r="AK15" s="781">
        <f t="shared" si="11"/>
        <v>0</v>
      </c>
      <c r="AL15" s="781">
        <f t="shared" si="12"/>
        <v>0</v>
      </c>
      <c r="AM15" s="781">
        <f t="shared" si="13"/>
        <v>466767</v>
      </c>
      <c r="AN15" s="781">
        <f t="shared" si="14"/>
        <v>0</v>
      </c>
      <c r="AO15" s="781">
        <f t="shared" si="15"/>
        <v>466767</v>
      </c>
      <c r="AP15" s="781">
        <f t="shared" si="16"/>
        <v>0</v>
      </c>
      <c r="AQ15" s="781">
        <f t="shared" si="17"/>
        <v>0</v>
      </c>
      <c r="AR15" s="781">
        <f t="shared" si="18"/>
        <v>0</v>
      </c>
      <c r="AS15" s="783">
        <f t="shared" si="19"/>
        <v>466767</v>
      </c>
    </row>
    <row r="16" spans="1:46" ht="15" x14ac:dyDescent="0.25">
      <c r="A16" s="768"/>
      <c r="B16" s="719">
        <f t="shared" si="21"/>
        <v>8</v>
      </c>
      <c r="C16" s="170" t="str">
        <f t="shared" si="0"/>
        <v/>
      </c>
      <c r="D16" s="557"/>
      <c r="E16" s="170"/>
      <c r="F16" s="2078"/>
      <c r="G16" s="1862"/>
      <c r="H16" s="1926">
        <v>0</v>
      </c>
      <c r="I16" s="2008"/>
      <c r="J16" s="1926"/>
      <c r="K16" s="1926"/>
      <c r="L16" s="170"/>
      <c r="M16" s="2009"/>
      <c r="N16" s="2010">
        <v>1</v>
      </c>
      <c r="O16" s="773">
        <f t="shared" ref="O16:O17" si="27">+M16*N16</f>
        <v>0</v>
      </c>
      <c r="P16" s="2008" t="s">
        <v>39</v>
      </c>
      <c r="Q16" s="2008" t="s">
        <v>604</v>
      </c>
      <c r="R16" s="2011" t="s">
        <v>74</v>
      </c>
      <c r="S16" s="775">
        <f>SUMIF('Data Input sheet'!$B$118:$B$180,R16,'Data Input sheet'!$D$118:$D$180)</f>
        <v>152</v>
      </c>
      <c r="T16" s="2685">
        <f t="shared" ref="T16:T17" si="28">ROUND(O16*S16,0)</f>
        <v>0</v>
      </c>
      <c r="U16" s="2013">
        <v>0</v>
      </c>
      <c r="V16" s="778">
        <f t="shared" ref="V16:V17" si="29">ROUND(U16*O16,0)</f>
        <v>0</v>
      </c>
      <c r="W16" s="2010"/>
      <c r="X16" s="779"/>
      <c r="Y16" s="2012">
        <v>0</v>
      </c>
      <c r="Z16" s="780">
        <f t="shared" ref="Z16:Z17" si="30">T16+V16+W16+Y16</f>
        <v>0</v>
      </c>
      <c r="AA16" s="2007"/>
      <c r="AB16" s="2007"/>
      <c r="AC16" s="765"/>
      <c r="AD16" s="781">
        <f t="shared" ref="AD16:AD17" si="31">IF(P16="E",+ROUND(H16*O16,0),0)</f>
        <v>0</v>
      </c>
      <c r="AE16" s="781">
        <f t="shared" ref="AE16:AE17" si="32">+AF16-AD16</f>
        <v>0</v>
      </c>
      <c r="AF16" s="781">
        <f t="shared" ref="AF16:AF17" si="33">+H16*O16</f>
        <v>0</v>
      </c>
      <c r="AG16" s="781">
        <f t="shared" ref="AG16:AG17" si="34">IF(P16="E",+ROUND(T16*H16,0),0)</f>
        <v>0</v>
      </c>
      <c r="AH16" s="781">
        <f t="shared" ref="AH16:AH17" si="35">+AI16-AG16</f>
        <v>0</v>
      </c>
      <c r="AI16" s="782">
        <f t="shared" ref="AI16:AI17" si="36">+H16*T16</f>
        <v>0</v>
      </c>
      <c r="AJ16" s="781">
        <f t="shared" ref="AJ16:AJ17" si="37">IF(P16="E",+ROUND(V16*H16,0),0)</f>
        <v>0</v>
      </c>
      <c r="AK16" s="781">
        <f t="shared" ref="AK16:AK17" si="38">+AL16-AJ16</f>
        <v>0</v>
      </c>
      <c r="AL16" s="781">
        <f t="shared" ref="AL16:AL17" si="39">ROUND(V16*H16,0)</f>
        <v>0</v>
      </c>
      <c r="AM16" s="781">
        <f t="shared" si="13"/>
        <v>0</v>
      </c>
      <c r="AN16" s="781">
        <f t="shared" si="14"/>
        <v>0</v>
      </c>
      <c r="AO16" s="781">
        <f t="shared" si="15"/>
        <v>0</v>
      </c>
      <c r="AP16" s="781">
        <f t="shared" si="16"/>
        <v>0</v>
      </c>
      <c r="AQ16" s="781">
        <f t="shared" si="17"/>
        <v>0</v>
      </c>
      <c r="AR16" s="781">
        <f t="shared" si="18"/>
        <v>0</v>
      </c>
      <c r="AS16" s="783">
        <f t="shared" si="19"/>
        <v>0</v>
      </c>
    </row>
    <row r="17" spans="1:45" ht="51" x14ac:dyDescent="0.25">
      <c r="A17" s="784"/>
      <c r="B17" s="719">
        <f t="shared" si="21"/>
        <v>9</v>
      </c>
      <c r="C17" s="170" t="str">
        <f t="shared" si="0"/>
        <v>69LS</v>
      </c>
      <c r="D17" s="557"/>
      <c r="E17" s="170"/>
      <c r="F17" s="2078">
        <v>69</v>
      </c>
      <c r="G17" s="2791" t="s">
        <v>3775</v>
      </c>
      <c r="H17" s="2789">
        <v>1</v>
      </c>
      <c r="I17" s="2803" t="s">
        <v>640</v>
      </c>
      <c r="J17" s="1926"/>
      <c r="K17" s="1926"/>
      <c r="L17" s="170"/>
      <c r="M17" s="2009">
        <v>683.61</v>
      </c>
      <c r="N17" s="2010">
        <v>1</v>
      </c>
      <c r="O17" s="773">
        <f t="shared" si="27"/>
        <v>683.61</v>
      </c>
      <c r="P17" s="2008" t="s">
        <v>39</v>
      </c>
      <c r="Q17" s="2008" t="s">
        <v>604</v>
      </c>
      <c r="R17" s="2011" t="s">
        <v>74</v>
      </c>
      <c r="S17" s="775">
        <f>SUMIF('Data Input sheet'!$B$118:$B$180,R17,'Data Input sheet'!$D$118:$D$180)</f>
        <v>152</v>
      </c>
      <c r="T17" s="2685">
        <f t="shared" si="28"/>
        <v>103909</v>
      </c>
      <c r="U17" s="2013">
        <v>15.2</v>
      </c>
      <c r="V17" s="778">
        <f t="shared" si="29"/>
        <v>10391</v>
      </c>
      <c r="W17" s="2010">
        <v>0</v>
      </c>
      <c r="X17" s="779"/>
      <c r="Y17" s="2804">
        <v>139700</v>
      </c>
      <c r="Z17" s="780">
        <f t="shared" si="30"/>
        <v>254000</v>
      </c>
      <c r="AA17" s="2676" t="s">
        <v>3760</v>
      </c>
      <c r="AB17" s="2676" t="s">
        <v>3759</v>
      </c>
      <c r="AC17" s="765"/>
      <c r="AD17" s="781">
        <f t="shared" si="31"/>
        <v>0</v>
      </c>
      <c r="AE17" s="781">
        <f t="shared" si="32"/>
        <v>683.61</v>
      </c>
      <c r="AF17" s="781">
        <f t="shared" si="33"/>
        <v>683.61</v>
      </c>
      <c r="AG17" s="781">
        <f t="shared" si="34"/>
        <v>0</v>
      </c>
      <c r="AH17" s="781">
        <f t="shared" si="35"/>
        <v>103909</v>
      </c>
      <c r="AI17" s="782">
        <f t="shared" si="36"/>
        <v>103909</v>
      </c>
      <c r="AJ17" s="781">
        <f t="shared" si="37"/>
        <v>0</v>
      </c>
      <c r="AK17" s="781">
        <f t="shared" si="38"/>
        <v>10391</v>
      </c>
      <c r="AL17" s="781">
        <f t="shared" si="39"/>
        <v>10391</v>
      </c>
      <c r="AM17" s="781">
        <f t="shared" si="13"/>
        <v>0</v>
      </c>
      <c r="AN17" s="781">
        <f t="shared" si="14"/>
        <v>0</v>
      </c>
      <c r="AO17" s="781">
        <f t="shared" si="15"/>
        <v>0</v>
      </c>
      <c r="AP17" s="781">
        <f t="shared" si="16"/>
        <v>0</v>
      </c>
      <c r="AQ17" s="781">
        <f t="shared" si="17"/>
        <v>139700</v>
      </c>
      <c r="AR17" s="781">
        <f t="shared" si="18"/>
        <v>139700</v>
      </c>
      <c r="AS17" s="783">
        <f t="shared" si="19"/>
        <v>254000</v>
      </c>
    </row>
    <row r="18" spans="1:45" ht="15" x14ac:dyDescent="0.25">
      <c r="A18" s="784"/>
      <c r="B18" s="719">
        <f t="shared" si="21"/>
        <v>10</v>
      </c>
      <c r="C18" s="170" t="str">
        <f t="shared" si="0"/>
        <v/>
      </c>
      <c r="D18" s="557"/>
      <c r="E18" s="170"/>
      <c r="F18" s="2078"/>
      <c r="G18" s="1862"/>
      <c r="H18" s="1926">
        <v>0</v>
      </c>
      <c r="I18" s="2008"/>
      <c r="J18" s="1926"/>
      <c r="K18" s="1926"/>
      <c r="L18" s="170"/>
      <c r="M18" s="2009"/>
      <c r="N18" s="2010">
        <v>1</v>
      </c>
      <c r="O18" s="773">
        <f t="shared" si="1"/>
        <v>0</v>
      </c>
      <c r="P18" s="2008" t="s">
        <v>39</v>
      </c>
      <c r="Q18" s="2008" t="s">
        <v>604</v>
      </c>
      <c r="R18" s="2011" t="s">
        <v>74</v>
      </c>
      <c r="S18" s="775">
        <f>SUMIF('Data Input sheet'!$B$118:$B$180,R18,'Data Input sheet'!$D$118:$D$180)</f>
        <v>152</v>
      </c>
      <c r="T18" s="2685">
        <f t="shared" si="20"/>
        <v>0</v>
      </c>
      <c r="U18" s="2013">
        <v>0</v>
      </c>
      <c r="V18" s="778">
        <f t="shared" si="22"/>
        <v>0</v>
      </c>
      <c r="W18" s="2010"/>
      <c r="X18" s="779"/>
      <c r="Y18" s="2012">
        <v>0</v>
      </c>
      <c r="Z18" s="780">
        <f t="shared" si="3"/>
        <v>0</v>
      </c>
      <c r="AA18" s="2007"/>
      <c r="AB18" s="2007"/>
      <c r="AC18" s="765"/>
      <c r="AD18" s="781">
        <f t="shared" si="4"/>
        <v>0</v>
      </c>
      <c r="AE18" s="781">
        <f t="shared" si="5"/>
        <v>0</v>
      </c>
      <c r="AF18" s="781">
        <f t="shared" si="6"/>
        <v>0</v>
      </c>
      <c r="AG18" s="781">
        <f t="shared" si="7"/>
        <v>0</v>
      </c>
      <c r="AH18" s="781">
        <f t="shared" si="8"/>
        <v>0</v>
      </c>
      <c r="AI18" s="782">
        <f t="shared" si="9"/>
        <v>0</v>
      </c>
      <c r="AJ18" s="781">
        <f t="shared" si="10"/>
        <v>0</v>
      </c>
      <c r="AK18" s="781">
        <f t="shared" si="11"/>
        <v>0</v>
      </c>
      <c r="AL18" s="781">
        <f t="shared" si="12"/>
        <v>0</v>
      </c>
      <c r="AM18" s="781">
        <f t="shared" si="13"/>
        <v>0</v>
      </c>
      <c r="AN18" s="781">
        <f t="shared" si="14"/>
        <v>0</v>
      </c>
      <c r="AO18" s="781">
        <f t="shared" si="15"/>
        <v>0</v>
      </c>
      <c r="AP18" s="781">
        <f t="shared" si="16"/>
        <v>0</v>
      </c>
      <c r="AQ18" s="781">
        <f t="shared" si="17"/>
        <v>0</v>
      </c>
      <c r="AR18" s="781">
        <f t="shared" si="18"/>
        <v>0</v>
      </c>
      <c r="AS18" s="783">
        <f t="shared" si="19"/>
        <v>0</v>
      </c>
    </row>
    <row r="19" spans="1:45" ht="15" x14ac:dyDescent="0.25">
      <c r="A19" s="784"/>
      <c r="B19" s="719">
        <f t="shared" si="21"/>
        <v>11</v>
      </c>
      <c r="C19" s="170" t="str">
        <f t="shared" si="0"/>
        <v>EA</v>
      </c>
      <c r="D19" s="557"/>
      <c r="E19" s="170"/>
      <c r="F19" s="2078"/>
      <c r="G19" s="1862" t="s">
        <v>3785</v>
      </c>
      <c r="H19" s="1926">
        <v>2</v>
      </c>
      <c r="I19" s="2008" t="s">
        <v>732</v>
      </c>
      <c r="J19" s="1926"/>
      <c r="K19" s="1926"/>
      <c r="L19" s="170"/>
      <c r="M19" s="2009">
        <v>60</v>
      </c>
      <c r="N19" s="2010">
        <v>1</v>
      </c>
      <c r="O19" s="773">
        <f t="shared" si="1"/>
        <v>60</v>
      </c>
      <c r="P19" s="2008" t="s">
        <v>39</v>
      </c>
      <c r="Q19" s="2008" t="s">
        <v>604</v>
      </c>
      <c r="R19" s="2011" t="s">
        <v>74</v>
      </c>
      <c r="S19" s="775">
        <f>SUMIF('Data Input sheet'!$B$118:$B$180,R19,'Data Input sheet'!$D$118:$D$180)</f>
        <v>152</v>
      </c>
      <c r="T19" s="2685">
        <f t="shared" si="20"/>
        <v>9120</v>
      </c>
      <c r="U19" s="2013">
        <v>15.2</v>
      </c>
      <c r="V19" s="778">
        <f t="shared" si="22"/>
        <v>912</v>
      </c>
      <c r="W19" s="2944">
        <v>25000</v>
      </c>
      <c r="X19" s="779"/>
      <c r="Y19" s="2012">
        <v>0</v>
      </c>
      <c r="Z19" s="780">
        <f t="shared" si="3"/>
        <v>35032</v>
      </c>
      <c r="AA19" s="2007"/>
      <c r="AB19" s="2007"/>
      <c r="AC19" s="765"/>
      <c r="AD19" s="781">
        <f t="shared" si="4"/>
        <v>0</v>
      </c>
      <c r="AE19" s="781">
        <f t="shared" si="5"/>
        <v>120</v>
      </c>
      <c r="AF19" s="781">
        <f t="shared" si="6"/>
        <v>120</v>
      </c>
      <c r="AG19" s="781">
        <f t="shared" si="7"/>
        <v>0</v>
      </c>
      <c r="AH19" s="781">
        <f t="shared" si="8"/>
        <v>18240</v>
      </c>
      <c r="AI19" s="782">
        <f t="shared" si="9"/>
        <v>18240</v>
      </c>
      <c r="AJ19" s="781">
        <f t="shared" si="10"/>
        <v>0</v>
      </c>
      <c r="AK19" s="781">
        <f t="shared" si="11"/>
        <v>1824</v>
      </c>
      <c r="AL19" s="781">
        <f t="shared" si="12"/>
        <v>1824</v>
      </c>
      <c r="AM19" s="781">
        <f t="shared" si="13"/>
        <v>50000</v>
      </c>
      <c r="AN19" s="781">
        <f t="shared" si="14"/>
        <v>0</v>
      </c>
      <c r="AO19" s="781">
        <f t="shared" si="15"/>
        <v>50000</v>
      </c>
      <c r="AP19" s="781">
        <f t="shared" si="16"/>
        <v>0</v>
      </c>
      <c r="AQ19" s="781">
        <f t="shared" si="17"/>
        <v>0</v>
      </c>
      <c r="AR19" s="781">
        <f t="shared" si="18"/>
        <v>0</v>
      </c>
      <c r="AS19" s="783">
        <f t="shared" si="19"/>
        <v>70064</v>
      </c>
    </row>
    <row r="20" spans="1:45" ht="15" x14ac:dyDescent="0.25">
      <c r="A20" s="784"/>
      <c r="B20" s="719">
        <f t="shared" si="21"/>
        <v>12</v>
      </c>
      <c r="C20" s="170" t="str">
        <f t="shared" si="0"/>
        <v/>
      </c>
      <c r="D20" s="557"/>
      <c r="E20" s="170"/>
      <c r="F20" s="2078"/>
      <c r="G20" s="1862"/>
      <c r="H20" s="1926"/>
      <c r="I20" s="2008"/>
      <c r="J20" s="1926"/>
      <c r="K20" s="1926"/>
      <c r="L20" s="170"/>
      <c r="M20" s="2009">
        <v>0</v>
      </c>
      <c r="N20" s="2010">
        <v>1</v>
      </c>
      <c r="O20" s="773">
        <f t="shared" si="1"/>
        <v>0</v>
      </c>
      <c r="P20" s="2008" t="s">
        <v>39</v>
      </c>
      <c r="Q20" s="2008" t="s">
        <v>604</v>
      </c>
      <c r="R20" s="2011" t="s">
        <v>74</v>
      </c>
      <c r="S20" s="775">
        <f>SUMIF('Data Input sheet'!$B$118:$B$180,R20,'Data Input sheet'!$D$118:$D$180)</f>
        <v>152</v>
      </c>
      <c r="T20" s="2685">
        <f t="shared" si="20"/>
        <v>0</v>
      </c>
      <c r="U20" s="2013">
        <v>0</v>
      </c>
      <c r="V20" s="778">
        <f t="shared" si="22"/>
        <v>0</v>
      </c>
      <c r="W20" s="2010"/>
      <c r="X20" s="779"/>
      <c r="Y20" s="2012">
        <v>0</v>
      </c>
      <c r="Z20" s="780">
        <f t="shared" si="3"/>
        <v>0</v>
      </c>
      <c r="AA20" s="2007"/>
      <c r="AB20" s="2007"/>
      <c r="AC20" s="765"/>
      <c r="AD20" s="781">
        <f t="shared" si="4"/>
        <v>0</v>
      </c>
      <c r="AE20" s="781">
        <f t="shared" si="5"/>
        <v>0</v>
      </c>
      <c r="AF20" s="781">
        <f t="shared" si="6"/>
        <v>0</v>
      </c>
      <c r="AG20" s="781">
        <f t="shared" si="7"/>
        <v>0</v>
      </c>
      <c r="AH20" s="781">
        <f t="shared" si="8"/>
        <v>0</v>
      </c>
      <c r="AI20" s="782">
        <f t="shared" si="9"/>
        <v>0</v>
      </c>
      <c r="AJ20" s="781">
        <f t="shared" si="10"/>
        <v>0</v>
      </c>
      <c r="AK20" s="781">
        <f t="shared" si="11"/>
        <v>0</v>
      </c>
      <c r="AL20" s="781">
        <f t="shared" si="12"/>
        <v>0</v>
      </c>
      <c r="AM20" s="781">
        <f t="shared" si="13"/>
        <v>0</v>
      </c>
      <c r="AN20" s="781">
        <f t="shared" si="14"/>
        <v>0</v>
      </c>
      <c r="AO20" s="781">
        <f t="shared" si="15"/>
        <v>0</v>
      </c>
      <c r="AP20" s="781">
        <f t="shared" si="16"/>
        <v>0</v>
      </c>
      <c r="AQ20" s="781">
        <f t="shared" si="17"/>
        <v>0</v>
      </c>
      <c r="AR20" s="781">
        <f t="shared" si="18"/>
        <v>0</v>
      </c>
      <c r="AS20" s="783">
        <f t="shared" si="19"/>
        <v>0</v>
      </c>
    </row>
    <row r="21" spans="1:45" ht="15" x14ac:dyDescent="0.25">
      <c r="A21" s="784"/>
      <c r="B21" s="719">
        <f t="shared" si="21"/>
        <v>13</v>
      </c>
      <c r="C21" s="170" t="str">
        <f t="shared" si="0"/>
        <v/>
      </c>
      <c r="D21" s="557"/>
      <c r="E21" s="170"/>
      <c r="F21" s="2078"/>
      <c r="G21" s="1862"/>
      <c r="H21" s="1926"/>
      <c r="I21" s="2008"/>
      <c r="J21" s="1926"/>
      <c r="K21" s="1926"/>
      <c r="L21" s="170"/>
      <c r="M21" s="2009"/>
      <c r="N21" s="2010">
        <v>1</v>
      </c>
      <c r="O21" s="773">
        <f t="shared" si="1"/>
        <v>0</v>
      </c>
      <c r="P21" s="2008" t="s">
        <v>39</v>
      </c>
      <c r="Q21" s="2008" t="s">
        <v>604</v>
      </c>
      <c r="R21" s="2011" t="s">
        <v>74</v>
      </c>
      <c r="S21" s="775">
        <f>SUMIF('Data Input sheet'!$B$118:$B$180,R21,'Data Input sheet'!$D$118:$D$180)</f>
        <v>152</v>
      </c>
      <c r="T21" s="2685">
        <f t="shared" si="20"/>
        <v>0</v>
      </c>
      <c r="U21" s="2013"/>
      <c r="V21" s="778">
        <f t="shared" si="22"/>
        <v>0</v>
      </c>
      <c r="W21" s="2010"/>
      <c r="X21" s="779"/>
      <c r="Y21" s="2012">
        <v>0</v>
      </c>
      <c r="Z21" s="780">
        <f t="shared" si="3"/>
        <v>0</v>
      </c>
      <c r="AA21" s="2007"/>
      <c r="AB21" s="2007"/>
      <c r="AC21" s="765"/>
      <c r="AD21" s="781">
        <f t="shared" si="4"/>
        <v>0</v>
      </c>
      <c r="AE21" s="781">
        <f t="shared" si="5"/>
        <v>0</v>
      </c>
      <c r="AF21" s="781">
        <f t="shared" si="6"/>
        <v>0</v>
      </c>
      <c r="AG21" s="781">
        <f t="shared" si="7"/>
        <v>0</v>
      </c>
      <c r="AH21" s="781">
        <f t="shared" si="8"/>
        <v>0</v>
      </c>
      <c r="AI21" s="782">
        <f t="shared" si="9"/>
        <v>0</v>
      </c>
      <c r="AJ21" s="781">
        <f t="shared" si="10"/>
        <v>0</v>
      </c>
      <c r="AK21" s="781">
        <f t="shared" si="11"/>
        <v>0</v>
      </c>
      <c r="AL21" s="781">
        <f t="shared" si="12"/>
        <v>0</v>
      </c>
      <c r="AM21" s="781">
        <f t="shared" si="13"/>
        <v>0</v>
      </c>
      <c r="AN21" s="781">
        <f t="shared" si="14"/>
        <v>0</v>
      </c>
      <c r="AO21" s="781">
        <f t="shared" si="15"/>
        <v>0</v>
      </c>
      <c r="AP21" s="781">
        <f t="shared" si="16"/>
        <v>0</v>
      </c>
      <c r="AQ21" s="781">
        <f t="shared" si="17"/>
        <v>0</v>
      </c>
      <c r="AR21" s="781">
        <f t="shared" si="18"/>
        <v>0</v>
      </c>
      <c r="AS21" s="783">
        <f t="shared" si="19"/>
        <v>0</v>
      </c>
    </row>
    <row r="22" spans="1:45" ht="15" x14ac:dyDescent="0.25">
      <c r="A22" s="784"/>
      <c r="B22" s="719">
        <f t="shared" si="21"/>
        <v>14</v>
      </c>
      <c r="C22" s="170" t="str">
        <f t="shared" si="0"/>
        <v>EA</v>
      </c>
      <c r="D22" s="557"/>
      <c r="E22" s="170"/>
      <c r="F22" s="2078"/>
      <c r="G22" s="1862" t="s">
        <v>3786</v>
      </c>
      <c r="H22" s="1926">
        <v>1</v>
      </c>
      <c r="I22" s="2008" t="s">
        <v>732</v>
      </c>
      <c r="J22" s="1926"/>
      <c r="K22" s="1926"/>
      <c r="L22" s="170"/>
      <c r="M22" s="2009">
        <v>0</v>
      </c>
      <c r="N22" s="2010">
        <v>1</v>
      </c>
      <c r="O22" s="773">
        <f t="shared" si="1"/>
        <v>0</v>
      </c>
      <c r="P22" s="2008" t="s">
        <v>39</v>
      </c>
      <c r="Q22" s="2008" t="s">
        <v>604</v>
      </c>
      <c r="R22" s="2011" t="s">
        <v>74</v>
      </c>
      <c r="S22" s="775">
        <f>SUMIF('Data Input sheet'!$B$118:$B$180,R22,'Data Input sheet'!$D$118:$D$180)</f>
        <v>152</v>
      </c>
      <c r="T22" s="2685">
        <f t="shared" si="20"/>
        <v>0</v>
      </c>
      <c r="U22" s="2013">
        <v>0</v>
      </c>
      <c r="V22" s="778">
        <f t="shared" si="22"/>
        <v>0</v>
      </c>
      <c r="W22" s="2944">
        <f>'Calc Sheet'!P21+1500000</f>
        <v>3500000</v>
      </c>
      <c r="X22" s="779"/>
      <c r="Y22" s="2012">
        <v>0</v>
      </c>
      <c r="Z22" s="780">
        <f t="shared" si="3"/>
        <v>3500000</v>
      </c>
      <c r="AA22" s="2007"/>
      <c r="AB22" s="2007"/>
      <c r="AC22" s="765"/>
      <c r="AD22" s="781">
        <f t="shared" si="4"/>
        <v>0</v>
      </c>
      <c r="AE22" s="781">
        <f t="shared" si="5"/>
        <v>0</v>
      </c>
      <c r="AF22" s="781">
        <f t="shared" si="6"/>
        <v>0</v>
      </c>
      <c r="AG22" s="781">
        <f t="shared" si="7"/>
        <v>0</v>
      </c>
      <c r="AH22" s="781">
        <f t="shared" si="8"/>
        <v>0</v>
      </c>
      <c r="AI22" s="782">
        <f t="shared" si="9"/>
        <v>0</v>
      </c>
      <c r="AJ22" s="781">
        <f t="shared" si="10"/>
        <v>0</v>
      </c>
      <c r="AK22" s="781">
        <f t="shared" si="11"/>
        <v>0</v>
      </c>
      <c r="AL22" s="781">
        <f t="shared" si="12"/>
        <v>0</v>
      </c>
      <c r="AM22" s="781">
        <f t="shared" si="13"/>
        <v>3500000</v>
      </c>
      <c r="AN22" s="781">
        <f t="shared" si="14"/>
        <v>0</v>
      </c>
      <c r="AO22" s="781">
        <f t="shared" si="15"/>
        <v>3500000</v>
      </c>
      <c r="AP22" s="781">
        <f t="shared" si="16"/>
        <v>0</v>
      </c>
      <c r="AQ22" s="781">
        <f t="shared" si="17"/>
        <v>0</v>
      </c>
      <c r="AR22" s="781">
        <f t="shared" si="18"/>
        <v>0</v>
      </c>
      <c r="AS22" s="783">
        <f t="shared" si="19"/>
        <v>3500000</v>
      </c>
    </row>
    <row r="23" spans="1:45" ht="15" x14ac:dyDescent="0.25">
      <c r="A23" s="768"/>
      <c r="B23" s="719">
        <f t="shared" si="21"/>
        <v>15</v>
      </c>
      <c r="C23" s="170" t="str">
        <f t="shared" si="0"/>
        <v/>
      </c>
      <c r="D23" s="557"/>
      <c r="E23" s="170"/>
      <c r="F23" s="2078"/>
      <c r="G23" s="1862"/>
      <c r="H23" s="1926"/>
      <c r="I23" s="2008"/>
      <c r="J23" s="1926"/>
      <c r="K23" s="1926"/>
      <c r="L23" s="170"/>
      <c r="M23" s="2009">
        <v>0</v>
      </c>
      <c r="N23" s="2010">
        <v>1</v>
      </c>
      <c r="O23" s="773">
        <f t="shared" si="1"/>
        <v>0</v>
      </c>
      <c r="P23" s="2008" t="s">
        <v>39</v>
      </c>
      <c r="Q23" s="2008" t="s">
        <v>604</v>
      </c>
      <c r="R23" s="2011" t="s">
        <v>74</v>
      </c>
      <c r="S23" s="775">
        <f>SUMIF('Data Input sheet'!$B$118:$B$180,R23,'Data Input sheet'!$D$118:$D$180)</f>
        <v>152</v>
      </c>
      <c r="T23" s="2685">
        <f t="shared" si="20"/>
        <v>0</v>
      </c>
      <c r="U23" s="2013">
        <v>0</v>
      </c>
      <c r="V23" s="778">
        <f t="shared" si="22"/>
        <v>0</v>
      </c>
      <c r="W23" s="2010"/>
      <c r="X23" s="779"/>
      <c r="Y23" s="2012">
        <v>0</v>
      </c>
      <c r="Z23" s="780">
        <f t="shared" si="3"/>
        <v>0</v>
      </c>
      <c r="AA23" s="2007"/>
      <c r="AB23" s="2007"/>
      <c r="AC23" s="765"/>
      <c r="AD23" s="781">
        <f t="shared" si="4"/>
        <v>0</v>
      </c>
      <c r="AE23" s="781">
        <f t="shared" si="5"/>
        <v>0</v>
      </c>
      <c r="AF23" s="781">
        <f t="shared" si="6"/>
        <v>0</v>
      </c>
      <c r="AG23" s="781">
        <f t="shared" si="7"/>
        <v>0</v>
      </c>
      <c r="AH23" s="781">
        <f t="shared" si="8"/>
        <v>0</v>
      </c>
      <c r="AI23" s="782">
        <f t="shared" si="9"/>
        <v>0</v>
      </c>
      <c r="AJ23" s="781">
        <f t="shared" si="10"/>
        <v>0</v>
      </c>
      <c r="AK23" s="781">
        <f t="shared" si="11"/>
        <v>0</v>
      </c>
      <c r="AL23" s="781">
        <f t="shared" si="12"/>
        <v>0</v>
      </c>
      <c r="AM23" s="781">
        <f t="shared" si="13"/>
        <v>0</v>
      </c>
      <c r="AN23" s="781">
        <f t="shared" si="14"/>
        <v>0</v>
      </c>
      <c r="AO23" s="781">
        <f t="shared" si="15"/>
        <v>0</v>
      </c>
      <c r="AP23" s="781">
        <f t="shared" si="16"/>
        <v>0</v>
      </c>
      <c r="AQ23" s="781">
        <f t="shared" si="17"/>
        <v>0</v>
      </c>
      <c r="AR23" s="781">
        <f t="shared" si="18"/>
        <v>0</v>
      </c>
      <c r="AS23" s="783">
        <f t="shared" si="19"/>
        <v>0</v>
      </c>
    </row>
    <row r="24" spans="1:45" ht="15" x14ac:dyDescent="0.25">
      <c r="A24" s="768"/>
      <c r="B24" s="719">
        <f t="shared" si="21"/>
        <v>16</v>
      </c>
      <c r="C24" s="170" t="str">
        <f t="shared" si="0"/>
        <v/>
      </c>
      <c r="D24" s="557"/>
      <c r="E24" s="170"/>
      <c r="F24" s="2078"/>
      <c r="G24" s="1862"/>
      <c r="H24" s="1926"/>
      <c r="I24" s="2008"/>
      <c r="J24" s="1926"/>
      <c r="K24" s="1926"/>
      <c r="L24" s="170"/>
      <c r="M24" s="2009">
        <v>0</v>
      </c>
      <c r="N24" s="2010">
        <v>1</v>
      </c>
      <c r="O24" s="773">
        <f t="shared" si="1"/>
        <v>0</v>
      </c>
      <c r="P24" s="2008" t="s">
        <v>39</v>
      </c>
      <c r="Q24" s="2008" t="s">
        <v>604</v>
      </c>
      <c r="R24" s="2011" t="s">
        <v>74</v>
      </c>
      <c r="S24" s="775">
        <f>SUMIF('Data Input sheet'!$B$118:$B$180,R24,'Data Input sheet'!$D$118:$D$180)</f>
        <v>152</v>
      </c>
      <c r="T24" s="2685">
        <f t="shared" si="20"/>
        <v>0</v>
      </c>
      <c r="U24" s="2013">
        <v>0</v>
      </c>
      <c r="V24" s="778">
        <f t="shared" si="22"/>
        <v>0</v>
      </c>
      <c r="W24" s="2010"/>
      <c r="X24" s="779"/>
      <c r="Y24" s="2012">
        <v>0</v>
      </c>
      <c r="Z24" s="780">
        <f t="shared" si="3"/>
        <v>0</v>
      </c>
      <c r="AA24" s="2007"/>
      <c r="AB24" s="2007"/>
      <c r="AC24" s="765"/>
      <c r="AD24" s="781">
        <f t="shared" si="4"/>
        <v>0</v>
      </c>
      <c r="AE24" s="781">
        <f t="shared" si="5"/>
        <v>0</v>
      </c>
      <c r="AF24" s="781">
        <f t="shared" si="6"/>
        <v>0</v>
      </c>
      <c r="AG24" s="781">
        <f t="shared" si="7"/>
        <v>0</v>
      </c>
      <c r="AH24" s="781">
        <f t="shared" si="8"/>
        <v>0</v>
      </c>
      <c r="AI24" s="782">
        <f t="shared" si="9"/>
        <v>0</v>
      </c>
      <c r="AJ24" s="781">
        <f t="shared" si="10"/>
        <v>0</v>
      </c>
      <c r="AK24" s="781">
        <f t="shared" si="11"/>
        <v>0</v>
      </c>
      <c r="AL24" s="781">
        <f t="shared" si="12"/>
        <v>0</v>
      </c>
      <c r="AM24" s="781">
        <f t="shared" si="13"/>
        <v>0</v>
      </c>
      <c r="AN24" s="781">
        <f t="shared" si="14"/>
        <v>0</v>
      </c>
      <c r="AO24" s="781">
        <f t="shared" si="15"/>
        <v>0</v>
      </c>
      <c r="AP24" s="781">
        <f t="shared" si="16"/>
        <v>0</v>
      </c>
      <c r="AQ24" s="781">
        <f t="shared" si="17"/>
        <v>0</v>
      </c>
      <c r="AR24" s="781">
        <f t="shared" si="18"/>
        <v>0</v>
      </c>
      <c r="AS24" s="783">
        <f t="shared" si="19"/>
        <v>0</v>
      </c>
    </row>
    <row r="25" spans="1:45" ht="15" x14ac:dyDescent="0.25">
      <c r="A25" s="768"/>
      <c r="B25" s="719">
        <f t="shared" si="21"/>
        <v>17</v>
      </c>
      <c r="C25" s="170" t="str">
        <f t="shared" si="0"/>
        <v/>
      </c>
      <c r="D25" s="557"/>
      <c r="E25" s="170"/>
      <c r="F25" s="2078"/>
      <c r="G25" s="1862"/>
      <c r="H25" s="1926"/>
      <c r="I25" s="2008"/>
      <c r="J25" s="1926"/>
      <c r="K25" s="1926"/>
      <c r="L25" s="170"/>
      <c r="M25" s="2009">
        <v>0</v>
      </c>
      <c r="N25" s="2010">
        <v>1</v>
      </c>
      <c r="O25" s="773">
        <f t="shared" si="1"/>
        <v>0</v>
      </c>
      <c r="P25" s="2008" t="s">
        <v>39</v>
      </c>
      <c r="Q25" s="2008" t="s">
        <v>604</v>
      </c>
      <c r="R25" s="2011" t="s">
        <v>74</v>
      </c>
      <c r="S25" s="775">
        <f>SUMIF('Data Input sheet'!$B$118:$B$180,R25,'Data Input sheet'!$D$118:$D$180)</f>
        <v>152</v>
      </c>
      <c r="T25" s="2685">
        <f t="shared" si="20"/>
        <v>0</v>
      </c>
      <c r="U25" s="2013">
        <v>0</v>
      </c>
      <c r="V25" s="778">
        <f t="shared" si="22"/>
        <v>0</v>
      </c>
      <c r="W25" s="2010"/>
      <c r="X25" s="779"/>
      <c r="Y25" s="2012">
        <v>0</v>
      </c>
      <c r="Z25" s="780">
        <f t="shared" si="3"/>
        <v>0</v>
      </c>
      <c r="AA25" s="2007"/>
      <c r="AB25" s="2007"/>
      <c r="AC25" s="765"/>
      <c r="AD25" s="781">
        <f t="shared" si="4"/>
        <v>0</v>
      </c>
      <c r="AE25" s="781">
        <f t="shared" si="5"/>
        <v>0</v>
      </c>
      <c r="AF25" s="781">
        <f t="shared" si="6"/>
        <v>0</v>
      </c>
      <c r="AG25" s="781">
        <f t="shared" si="7"/>
        <v>0</v>
      </c>
      <c r="AH25" s="781">
        <f t="shared" si="8"/>
        <v>0</v>
      </c>
      <c r="AI25" s="782">
        <f t="shared" si="9"/>
        <v>0</v>
      </c>
      <c r="AJ25" s="781">
        <f t="shared" si="10"/>
        <v>0</v>
      </c>
      <c r="AK25" s="781">
        <f t="shared" si="11"/>
        <v>0</v>
      </c>
      <c r="AL25" s="781">
        <f t="shared" si="12"/>
        <v>0</v>
      </c>
      <c r="AM25" s="781">
        <f t="shared" si="13"/>
        <v>0</v>
      </c>
      <c r="AN25" s="781">
        <f t="shared" si="14"/>
        <v>0</v>
      </c>
      <c r="AO25" s="781">
        <f t="shared" si="15"/>
        <v>0</v>
      </c>
      <c r="AP25" s="781">
        <f t="shared" si="16"/>
        <v>0</v>
      </c>
      <c r="AQ25" s="781">
        <f t="shared" si="17"/>
        <v>0</v>
      </c>
      <c r="AR25" s="781">
        <f t="shared" si="18"/>
        <v>0</v>
      </c>
      <c r="AS25" s="783">
        <f t="shared" si="19"/>
        <v>0</v>
      </c>
    </row>
    <row r="26" spans="1:45" ht="15" x14ac:dyDescent="0.25">
      <c r="A26" s="768"/>
      <c r="B26" s="719">
        <f t="shared" si="21"/>
        <v>18</v>
      </c>
      <c r="C26" s="170" t="str">
        <f t="shared" si="0"/>
        <v/>
      </c>
      <c r="D26" s="557"/>
      <c r="E26" s="170"/>
      <c r="F26" s="2078"/>
      <c r="G26" s="1862"/>
      <c r="H26" s="1926"/>
      <c r="I26" s="2008"/>
      <c r="J26" s="1926"/>
      <c r="K26" s="1926"/>
      <c r="L26" s="170"/>
      <c r="M26" s="2009">
        <v>0</v>
      </c>
      <c r="N26" s="2010">
        <v>1</v>
      </c>
      <c r="O26" s="773">
        <f t="shared" si="1"/>
        <v>0</v>
      </c>
      <c r="P26" s="2008" t="s">
        <v>39</v>
      </c>
      <c r="Q26" s="2008" t="s">
        <v>604</v>
      </c>
      <c r="R26" s="2011" t="s">
        <v>74</v>
      </c>
      <c r="S26" s="775">
        <f>SUMIF('Data Input sheet'!$B$118:$B$180,R26,'Data Input sheet'!$D$118:$D$180)</f>
        <v>152</v>
      </c>
      <c r="T26" s="2685">
        <f t="shared" si="20"/>
        <v>0</v>
      </c>
      <c r="U26" s="2013">
        <v>0</v>
      </c>
      <c r="V26" s="778">
        <f t="shared" si="22"/>
        <v>0</v>
      </c>
      <c r="W26" s="2010"/>
      <c r="X26" s="779"/>
      <c r="Y26" s="2012">
        <v>0</v>
      </c>
      <c r="Z26" s="780">
        <f t="shared" si="3"/>
        <v>0</v>
      </c>
      <c r="AA26" s="2007"/>
      <c r="AB26" s="2007"/>
      <c r="AC26" s="765"/>
      <c r="AD26" s="781">
        <f t="shared" si="4"/>
        <v>0</v>
      </c>
      <c r="AE26" s="781">
        <f t="shared" si="5"/>
        <v>0</v>
      </c>
      <c r="AF26" s="781">
        <f t="shared" si="6"/>
        <v>0</v>
      </c>
      <c r="AG26" s="781">
        <f t="shared" si="7"/>
        <v>0</v>
      </c>
      <c r="AH26" s="781">
        <f t="shared" si="8"/>
        <v>0</v>
      </c>
      <c r="AI26" s="782">
        <f t="shared" si="9"/>
        <v>0</v>
      </c>
      <c r="AJ26" s="781">
        <f t="shared" si="10"/>
        <v>0</v>
      </c>
      <c r="AK26" s="781">
        <f t="shared" si="11"/>
        <v>0</v>
      </c>
      <c r="AL26" s="781">
        <f t="shared" si="12"/>
        <v>0</v>
      </c>
      <c r="AM26" s="781">
        <f t="shared" si="13"/>
        <v>0</v>
      </c>
      <c r="AN26" s="781">
        <f t="shared" si="14"/>
        <v>0</v>
      </c>
      <c r="AO26" s="781">
        <f t="shared" si="15"/>
        <v>0</v>
      </c>
      <c r="AP26" s="781">
        <f t="shared" si="16"/>
        <v>0</v>
      </c>
      <c r="AQ26" s="781">
        <f t="shared" si="17"/>
        <v>0</v>
      </c>
      <c r="AR26" s="781">
        <f t="shared" si="18"/>
        <v>0</v>
      </c>
      <c r="AS26" s="783">
        <f t="shared" si="19"/>
        <v>0</v>
      </c>
    </row>
    <row r="27" spans="1:45" ht="15" x14ac:dyDescent="0.25">
      <c r="A27" s="768"/>
      <c r="B27" s="719">
        <f t="shared" si="21"/>
        <v>19</v>
      </c>
      <c r="C27" s="170" t="str">
        <f t="shared" si="0"/>
        <v/>
      </c>
      <c r="D27" s="557"/>
      <c r="E27" s="170"/>
      <c r="F27" s="2078"/>
      <c r="G27" s="1862"/>
      <c r="H27" s="1926"/>
      <c r="I27" s="2008"/>
      <c r="J27" s="1926"/>
      <c r="K27" s="1926"/>
      <c r="L27" s="170"/>
      <c r="M27" s="2009">
        <v>0</v>
      </c>
      <c r="N27" s="2010">
        <v>1</v>
      </c>
      <c r="O27" s="773">
        <f t="shared" si="1"/>
        <v>0</v>
      </c>
      <c r="P27" s="2008" t="s">
        <v>39</v>
      </c>
      <c r="Q27" s="2008" t="s">
        <v>604</v>
      </c>
      <c r="R27" s="2011" t="s">
        <v>74</v>
      </c>
      <c r="S27" s="775">
        <f>SUMIF('Data Input sheet'!$B$118:$B$180,R27,'Data Input sheet'!$D$118:$D$180)</f>
        <v>152</v>
      </c>
      <c r="T27" s="2685">
        <f t="shared" si="20"/>
        <v>0</v>
      </c>
      <c r="U27" s="2013">
        <v>0</v>
      </c>
      <c r="V27" s="778">
        <f t="shared" si="22"/>
        <v>0</v>
      </c>
      <c r="W27" s="2010"/>
      <c r="X27" s="779"/>
      <c r="Y27" s="2012">
        <v>0</v>
      </c>
      <c r="Z27" s="780">
        <f t="shared" si="3"/>
        <v>0</v>
      </c>
      <c r="AA27" s="2007"/>
      <c r="AB27" s="2007"/>
      <c r="AC27" s="765"/>
      <c r="AD27" s="781">
        <f t="shared" si="4"/>
        <v>0</v>
      </c>
      <c r="AE27" s="781">
        <f t="shared" si="5"/>
        <v>0</v>
      </c>
      <c r="AF27" s="781">
        <f t="shared" si="6"/>
        <v>0</v>
      </c>
      <c r="AG27" s="781">
        <f t="shared" si="7"/>
        <v>0</v>
      </c>
      <c r="AH27" s="781">
        <f t="shared" si="8"/>
        <v>0</v>
      </c>
      <c r="AI27" s="782">
        <f t="shared" si="9"/>
        <v>0</v>
      </c>
      <c r="AJ27" s="781">
        <f t="shared" si="10"/>
        <v>0</v>
      </c>
      <c r="AK27" s="781">
        <f t="shared" si="11"/>
        <v>0</v>
      </c>
      <c r="AL27" s="781">
        <f t="shared" si="12"/>
        <v>0</v>
      </c>
      <c r="AM27" s="781">
        <f t="shared" si="13"/>
        <v>0</v>
      </c>
      <c r="AN27" s="781">
        <f t="shared" si="14"/>
        <v>0</v>
      </c>
      <c r="AO27" s="781">
        <f t="shared" si="15"/>
        <v>0</v>
      </c>
      <c r="AP27" s="781">
        <f t="shared" si="16"/>
        <v>0</v>
      </c>
      <c r="AQ27" s="781">
        <f t="shared" si="17"/>
        <v>0</v>
      </c>
      <c r="AR27" s="781">
        <f t="shared" si="18"/>
        <v>0</v>
      </c>
      <c r="AS27" s="783">
        <f t="shared" si="19"/>
        <v>0</v>
      </c>
    </row>
    <row r="28" spans="1:45" ht="15" x14ac:dyDescent="0.25">
      <c r="A28" s="768"/>
      <c r="B28" s="719">
        <f t="shared" si="21"/>
        <v>20</v>
      </c>
      <c r="C28" s="170" t="str">
        <f t="shared" si="0"/>
        <v/>
      </c>
      <c r="D28" s="557"/>
      <c r="E28" s="170"/>
      <c r="F28" s="2078"/>
      <c r="G28" s="1862"/>
      <c r="H28" s="1926"/>
      <c r="I28" s="2008"/>
      <c r="J28" s="1926"/>
      <c r="K28" s="1926"/>
      <c r="L28" s="170"/>
      <c r="M28" s="2009">
        <v>0</v>
      </c>
      <c r="N28" s="2010">
        <v>1</v>
      </c>
      <c r="O28" s="773">
        <f t="shared" si="1"/>
        <v>0</v>
      </c>
      <c r="P28" s="2008" t="s">
        <v>39</v>
      </c>
      <c r="Q28" s="2008" t="s">
        <v>604</v>
      </c>
      <c r="R28" s="2011" t="s">
        <v>74</v>
      </c>
      <c r="S28" s="775">
        <f>SUMIF('Data Input sheet'!$B$118:$B$180,R28,'Data Input sheet'!$D$118:$D$180)</f>
        <v>152</v>
      </c>
      <c r="T28" s="2685">
        <f t="shared" si="20"/>
        <v>0</v>
      </c>
      <c r="U28" s="2013">
        <v>0</v>
      </c>
      <c r="V28" s="778">
        <f t="shared" si="22"/>
        <v>0</v>
      </c>
      <c r="W28" s="2010"/>
      <c r="X28" s="779"/>
      <c r="Y28" s="2012">
        <v>0</v>
      </c>
      <c r="Z28" s="780">
        <f t="shared" si="3"/>
        <v>0</v>
      </c>
      <c r="AA28" s="2007"/>
      <c r="AB28" s="2007"/>
      <c r="AC28" s="765"/>
      <c r="AD28" s="781">
        <f t="shared" si="4"/>
        <v>0</v>
      </c>
      <c r="AE28" s="781">
        <f t="shared" si="5"/>
        <v>0</v>
      </c>
      <c r="AF28" s="781">
        <f t="shared" si="6"/>
        <v>0</v>
      </c>
      <c r="AG28" s="781">
        <f t="shared" si="7"/>
        <v>0</v>
      </c>
      <c r="AH28" s="781">
        <f t="shared" si="8"/>
        <v>0</v>
      </c>
      <c r="AI28" s="782">
        <f t="shared" si="9"/>
        <v>0</v>
      </c>
      <c r="AJ28" s="781">
        <f t="shared" si="10"/>
        <v>0</v>
      </c>
      <c r="AK28" s="781">
        <f t="shared" si="11"/>
        <v>0</v>
      </c>
      <c r="AL28" s="781">
        <f t="shared" si="12"/>
        <v>0</v>
      </c>
      <c r="AM28" s="781">
        <f t="shared" si="13"/>
        <v>0</v>
      </c>
      <c r="AN28" s="781">
        <f t="shared" si="14"/>
        <v>0</v>
      </c>
      <c r="AO28" s="781">
        <f t="shared" si="15"/>
        <v>0</v>
      </c>
      <c r="AP28" s="781">
        <f t="shared" si="16"/>
        <v>0</v>
      </c>
      <c r="AQ28" s="781">
        <f t="shared" si="17"/>
        <v>0</v>
      </c>
      <c r="AR28" s="781">
        <f t="shared" si="18"/>
        <v>0</v>
      </c>
      <c r="AS28" s="783">
        <f t="shared" si="19"/>
        <v>0</v>
      </c>
    </row>
    <row r="29" spans="1:45" ht="15" x14ac:dyDescent="0.25">
      <c r="A29" s="768"/>
      <c r="B29" s="719">
        <f t="shared" si="21"/>
        <v>21</v>
      </c>
      <c r="C29" s="170" t="str">
        <f t="shared" si="0"/>
        <v/>
      </c>
      <c r="D29" s="557"/>
      <c r="E29" s="170"/>
      <c r="F29" s="2078"/>
      <c r="G29" s="1862"/>
      <c r="H29" s="1926"/>
      <c r="I29" s="2008"/>
      <c r="J29" s="1926"/>
      <c r="K29" s="1926"/>
      <c r="L29" s="170"/>
      <c r="M29" s="2009">
        <v>0</v>
      </c>
      <c r="N29" s="2010">
        <v>1</v>
      </c>
      <c r="O29" s="773">
        <f t="shared" si="1"/>
        <v>0</v>
      </c>
      <c r="P29" s="2008" t="s">
        <v>39</v>
      </c>
      <c r="Q29" s="2008" t="s">
        <v>604</v>
      </c>
      <c r="R29" s="2011" t="s">
        <v>74</v>
      </c>
      <c r="S29" s="775">
        <f>SUMIF('Data Input sheet'!$B$118:$B$180,R29,'Data Input sheet'!$D$118:$D$180)</f>
        <v>152</v>
      </c>
      <c r="T29" s="2685">
        <f t="shared" si="20"/>
        <v>0</v>
      </c>
      <c r="U29" s="2013">
        <v>0</v>
      </c>
      <c r="V29" s="778">
        <f t="shared" si="22"/>
        <v>0</v>
      </c>
      <c r="W29" s="2010"/>
      <c r="X29" s="779"/>
      <c r="Y29" s="2012">
        <v>0</v>
      </c>
      <c r="Z29" s="780">
        <f t="shared" si="3"/>
        <v>0</v>
      </c>
      <c r="AA29" s="2007"/>
      <c r="AB29" s="2007"/>
      <c r="AC29" s="765"/>
      <c r="AD29" s="781">
        <f t="shared" si="4"/>
        <v>0</v>
      </c>
      <c r="AE29" s="781">
        <f t="shared" si="5"/>
        <v>0</v>
      </c>
      <c r="AF29" s="781">
        <f t="shared" si="6"/>
        <v>0</v>
      </c>
      <c r="AG29" s="781">
        <f t="shared" si="7"/>
        <v>0</v>
      </c>
      <c r="AH29" s="781">
        <f t="shared" si="8"/>
        <v>0</v>
      </c>
      <c r="AI29" s="782">
        <f t="shared" si="9"/>
        <v>0</v>
      </c>
      <c r="AJ29" s="781">
        <f t="shared" si="10"/>
        <v>0</v>
      </c>
      <c r="AK29" s="781">
        <f t="shared" si="11"/>
        <v>0</v>
      </c>
      <c r="AL29" s="781">
        <f t="shared" si="12"/>
        <v>0</v>
      </c>
      <c r="AM29" s="781">
        <f t="shared" si="13"/>
        <v>0</v>
      </c>
      <c r="AN29" s="781">
        <f t="shared" si="14"/>
        <v>0</v>
      </c>
      <c r="AO29" s="781">
        <f t="shared" si="15"/>
        <v>0</v>
      </c>
      <c r="AP29" s="781">
        <f t="shared" si="16"/>
        <v>0</v>
      </c>
      <c r="AQ29" s="781">
        <f t="shared" si="17"/>
        <v>0</v>
      </c>
      <c r="AR29" s="781">
        <f t="shared" si="18"/>
        <v>0</v>
      </c>
      <c r="AS29" s="783">
        <f t="shared" si="19"/>
        <v>0</v>
      </c>
    </row>
    <row r="30" spans="1:45" ht="15" x14ac:dyDescent="0.25">
      <c r="A30" s="768"/>
      <c r="B30" s="719">
        <f t="shared" si="21"/>
        <v>22</v>
      </c>
      <c r="C30" s="170" t="str">
        <f t="shared" si="0"/>
        <v/>
      </c>
      <c r="D30" s="557"/>
      <c r="E30" s="170"/>
      <c r="F30" s="2078"/>
      <c r="G30" s="1862"/>
      <c r="H30" s="1926"/>
      <c r="I30" s="2008"/>
      <c r="J30" s="1926"/>
      <c r="K30" s="1926"/>
      <c r="L30" s="170"/>
      <c r="M30" s="2009">
        <v>0</v>
      </c>
      <c r="N30" s="2010">
        <v>1</v>
      </c>
      <c r="O30" s="773">
        <f t="shared" si="1"/>
        <v>0</v>
      </c>
      <c r="P30" s="2008" t="s">
        <v>39</v>
      </c>
      <c r="Q30" s="2008" t="s">
        <v>604</v>
      </c>
      <c r="R30" s="2011" t="s">
        <v>74</v>
      </c>
      <c r="S30" s="775">
        <f>SUMIF('Data Input sheet'!$B$118:$B$180,R30,'Data Input sheet'!$D$118:$D$180)</f>
        <v>152</v>
      </c>
      <c r="T30" s="2685">
        <f t="shared" si="20"/>
        <v>0</v>
      </c>
      <c r="U30" s="2013">
        <v>0</v>
      </c>
      <c r="V30" s="778">
        <f t="shared" si="22"/>
        <v>0</v>
      </c>
      <c r="W30" s="2010"/>
      <c r="X30" s="779"/>
      <c r="Y30" s="2012">
        <v>0</v>
      </c>
      <c r="Z30" s="780">
        <f t="shared" si="3"/>
        <v>0</v>
      </c>
      <c r="AA30" s="2007"/>
      <c r="AB30" s="2007"/>
      <c r="AC30" s="765"/>
      <c r="AD30" s="781">
        <f t="shared" si="4"/>
        <v>0</v>
      </c>
      <c r="AE30" s="781">
        <f t="shared" si="5"/>
        <v>0</v>
      </c>
      <c r="AF30" s="781">
        <f t="shared" si="6"/>
        <v>0</v>
      </c>
      <c r="AG30" s="781">
        <f t="shared" si="7"/>
        <v>0</v>
      </c>
      <c r="AH30" s="781">
        <f t="shared" si="8"/>
        <v>0</v>
      </c>
      <c r="AI30" s="782">
        <f t="shared" si="9"/>
        <v>0</v>
      </c>
      <c r="AJ30" s="781">
        <f t="shared" si="10"/>
        <v>0</v>
      </c>
      <c r="AK30" s="781">
        <f t="shared" si="11"/>
        <v>0</v>
      </c>
      <c r="AL30" s="781">
        <f t="shared" si="12"/>
        <v>0</v>
      </c>
      <c r="AM30" s="781">
        <f t="shared" si="13"/>
        <v>0</v>
      </c>
      <c r="AN30" s="781">
        <f t="shared" si="14"/>
        <v>0</v>
      </c>
      <c r="AO30" s="781">
        <f t="shared" si="15"/>
        <v>0</v>
      </c>
      <c r="AP30" s="781">
        <f t="shared" si="16"/>
        <v>0</v>
      </c>
      <c r="AQ30" s="781">
        <f t="shared" si="17"/>
        <v>0</v>
      </c>
      <c r="AR30" s="781">
        <f t="shared" si="18"/>
        <v>0</v>
      </c>
      <c r="AS30" s="783">
        <f t="shared" si="19"/>
        <v>0</v>
      </c>
    </row>
    <row r="31" spans="1:45" ht="15" x14ac:dyDescent="0.25">
      <c r="A31" s="768"/>
      <c r="B31" s="719">
        <f t="shared" si="21"/>
        <v>23</v>
      </c>
      <c r="C31" s="170" t="str">
        <f t="shared" si="0"/>
        <v/>
      </c>
      <c r="D31" s="557"/>
      <c r="E31" s="170"/>
      <c r="F31" s="2078"/>
      <c r="G31" s="1862"/>
      <c r="H31" s="1926"/>
      <c r="I31" s="2008"/>
      <c r="J31" s="1926"/>
      <c r="K31" s="1926"/>
      <c r="L31" s="170"/>
      <c r="M31" s="2009">
        <v>0</v>
      </c>
      <c r="N31" s="2010">
        <v>1</v>
      </c>
      <c r="O31" s="773">
        <f t="shared" si="1"/>
        <v>0</v>
      </c>
      <c r="P31" s="2008" t="s">
        <v>39</v>
      </c>
      <c r="Q31" s="2008" t="s">
        <v>604</v>
      </c>
      <c r="R31" s="2011" t="s">
        <v>74</v>
      </c>
      <c r="S31" s="775">
        <f>SUMIF('Data Input sheet'!$B$118:$B$180,R31,'Data Input sheet'!$D$118:$D$180)</f>
        <v>152</v>
      </c>
      <c r="T31" s="2685">
        <f t="shared" si="20"/>
        <v>0</v>
      </c>
      <c r="U31" s="2013">
        <v>0</v>
      </c>
      <c r="V31" s="778">
        <f t="shared" si="22"/>
        <v>0</v>
      </c>
      <c r="W31" s="2010"/>
      <c r="X31" s="779"/>
      <c r="Y31" s="2012">
        <v>0</v>
      </c>
      <c r="Z31" s="780">
        <f t="shared" si="3"/>
        <v>0</v>
      </c>
      <c r="AA31" s="2007"/>
      <c r="AB31" s="2007"/>
      <c r="AC31" s="765"/>
      <c r="AD31" s="781">
        <f t="shared" si="4"/>
        <v>0</v>
      </c>
      <c r="AE31" s="781">
        <f t="shared" si="5"/>
        <v>0</v>
      </c>
      <c r="AF31" s="781">
        <f t="shared" si="6"/>
        <v>0</v>
      </c>
      <c r="AG31" s="781">
        <f t="shared" si="7"/>
        <v>0</v>
      </c>
      <c r="AH31" s="781">
        <f t="shared" si="8"/>
        <v>0</v>
      </c>
      <c r="AI31" s="782">
        <f t="shared" si="9"/>
        <v>0</v>
      </c>
      <c r="AJ31" s="781">
        <f t="shared" si="10"/>
        <v>0</v>
      </c>
      <c r="AK31" s="781">
        <f t="shared" si="11"/>
        <v>0</v>
      </c>
      <c r="AL31" s="781">
        <f t="shared" si="12"/>
        <v>0</v>
      </c>
      <c r="AM31" s="781">
        <f t="shared" si="13"/>
        <v>0</v>
      </c>
      <c r="AN31" s="781">
        <f t="shared" si="14"/>
        <v>0</v>
      </c>
      <c r="AO31" s="781">
        <f t="shared" si="15"/>
        <v>0</v>
      </c>
      <c r="AP31" s="781">
        <f t="shared" si="16"/>
        <v>0</v>
      </c>
      <c r="AQ31" s="781">
        <f t="shared" si="17"/>
        <v>0</v>
      </c>
      <c r="AR31" s="781">
        <f t="shared" si="18"/>
        <v>0</v>
      </c>
      <c r="AS31" s="783">
        <f t="shared" si="19"/>
        <v>0</v>
      </c>
    </row>
    <row r="32" spans="1:45" ht="15" x14ac:dyDescent="0.25">
      <c r="A32" s="768"/>
      <c r="B32" s="719">
        <f t="shared" si="21"/>
        <v>24</v>
      </c>
      <c r="C32" s="170" t="str">
        <f t="shared" si="0"/>
        <v/>
      </c>
      <c r="D32" s="557"/>
      <c r="E32" s="170"/>
      <c r="F32" s="2078"/>
      <c r="G32" s="1862"/>
      <c r="H32" s="1926"/>
      <c r="I32" s="2008"/>
      <c r="J32" s="1926"/>
      <c r="K32" s="1926"/>
      <c r="L32" s="170"/>
      <c r="M32" s="2009">
        <v>0</v>
      </c>
      <c r="N32" s="2010">
        <v>1</v>
      </c>
      <c r="O32" s="773">
        <f t="shared" si="1"/>
        <v>0</v>
      </c>
      <c r="P32" s="2008" t="s">
        <v>39</v>
      </c>
      <c r="Q32" s="2008" t="s">
        <v>604</v>
      </c>
      <c r="R32" s="2011" t="s">
        <v>74</v>
      </c>
      <c r="S32" s="775">
        <f>SUMIF('Data Input sheet'!$B$118:$B$180,R32,'Data Input sheet'!$D$118:$D$180)</f>
        <v>152</v>
      </c>
      <c r="T32" s="2685">
        <f t="shared" si="20"/>
        <v>0</v>
      </c>
      <c r="U32" s="2013">
        <v>0</v>
      </c>
      <c r="V32" s="778">
        <f t="shared" si="22"/>
        <v>0</v>
      </c>
      <c r="W32" s="2010"/>
      <c r="X32" s="779"/>
      <c r="Y32" s="2012">
        <v>0</v>
      </c>
      <c r="Z32" s="780">
        <f t="shared" si="3"/>
        <v>0</v>
      </c>
      <c r="AA32" s="2007"/>
      <c r="AB32" s="2007"/>
      <c r="AC32" s="765"/>
      <c r="AD32" s="781">
        <f t="shared" si="4"/>
        <v>0</v>
      </c>
      <c r="AE32" s="781">
        <f t="shared" si="5"/>
        <v>0</v>
      </c>
      <c r="AF32" s="781">
        <f t="shared" si="6"/>
        <v>0</v>
      </c>
      <c r="AG32" s="781">
        <f t="shared" si="7"/>
        <v>0</v>
      </c>
      <c r="AH32" s="781">
        <f t="shared" si="8"/>
        <v>0</v>
      </c>
      <c r="AI32" s="782">
        <f t="shared" si="9"/>
        <v>0</v>
      </c>
      <c r="AJ32" s="781">
        <f t="shared" si="10"/>
        <v>0</v>
      </c>
      <c r="AK32" s="781">
        <f t="shared" si="11"/>
        <v>0</v>
      </c>
      <c r="AL32" s="781">
        <f t="shared" si="12"/>
        <v>0</v>
      </c>
      <c r="AM32" s="781">
        <f t="shared" si="13"/>
        <v>0</v>
      </c>
      <c r="AN32" s="781">
        <f t="shared" si="14"/>
        <v>0</v>
      </c>
      <c r="AO32" s="781">
        <f t="shared" si="15"/>
        <v>0</v>
      </c>
      <c r="AP32" s="781">
        <f t="shared" si="16"/>
        <v>0</v>
      </c>
      <c r="AQ32" s="781">
        <f t="shared" si="17"/>
        <v>0</v>
      </c>
      <c r="AR32" s="781">
        <f t="shared" si="18"/>
        <v>0</v>
      </c>
      <c r="AS32" s="783">
        <f t="shared" si="19"/>
        <v>0</v>
      </c>
    </row>
    <row r="33" spans="1:45" ht="15" x14ac:dyDescent="0.25">
      <c r="A33" s="784"/>
      <c r="B33" s="719">
        <f t="shared" si="21"/>
        <v>25</v>
      </c>
      <c r="C33" s="170" t="str">
        <f t="shared" si="0"/>
        <v/>
      </c>
      <c r="D33" s="557"/>
      <c r="E33" s="170"/>
      <c r="F33" s="2078"/>
      <c r="G33" s="1862"/>
      <c r="H33" s="1926"/>
      <c r="I33" s="2008"/>
      <c r="J33" s="1926"/>
      <c r="K33" s="1926"/>
      <c r="L33" s="170"/>
      <c r="M33" s="2009">
        <v>0</v>
      </c>
      <c r="N33" s="2010">
        <v>1</v>
      </c>
      <c r="O33" s="773">
        <f t="shared" si="1"/>
        <v>0</v>
      </c>
      <c r="P33" s="2008" t="s">
        <v>39</v>
      </c>
      <c r="Q33" s="2008" t="s">
        <v>604</v>
      </c>
      <c r="R33" s="2011" t="s">
        <v>74</v>
      </c>
      <c r="S33" s="775">
        <f>SUMIF('Data Input sheet'!$B$118:$B$180,R33,'Data Input sheet'!$D$118:$D$180)</f>
        <v>152</v>
      </c>
      <c r="T33" s="2685">
        <f t="shared" si="20"/>
        <v>0</v>
      </c>
      <c r="U33" s="2013">
        <v>0</v>
      </c>
      <c r="V33" s="778">
        <f t="shared" si="22"/>
        <v>0</v>
      </c>
      <c r="W33" s="2010"/>
      <c r="X33" s="779"/>
      <c r="Y33" s="2012">
        <v>0</v>
      </c>
      <c r="Z33" s="780">
        <f t="shared" si="3"/>
        <v>0</v>
      </c>
      <c r="AA33" s="2007"/>
      <c r="AB33" s="2007"/>
      <c r="AC33" s="765"/>
      <c r="AD33" s="781">
        <f t="shared" si="4"/>
        <v>0</v>
      </c>
      <c r="AE33" s="781">
        <f t="shared" si="5"/>
        <v>0</v>
      </c>
      <c r="AF33" s="781">
        <f t="shared" si="6"/>
        <v>0</v>
      </c>
      <c r="AG33" s="781">
        <f t="shared" si="7"/>
        <v>0</v>
      </c>
      <c r="AH33" s="781">
        <f t="shared" si="8"/>
        <v>0</v>
      </c>
      <c r="AI33" s="782">
        <f t="shared" si="9"/>
        <v>0</v>
      </c>
      <c r="AJ33" s="781">
        <f t="shared" si="10"/>
        <v>0</v>
      </c>
      <c r="AK33" s="781">
        <f t="shared" si="11"/>
        <v>0</v>
      </c>
      <c r="AL33" s="781">
        <f t="shared" si="12"/>
        <v>0</v>
      </c>
      <c r="AM33" s="781">
        <f t="shared" si="13"/>
        <v>0</v>
      </c>
      <c r="AN33" s="781">
        <f t="shared" si="14"/>
        <v>0</v>
      </c>
      <c r="AO33" s="781">
        <f t="shared" si="15"/>
        <v>0</v>
      </c>
      <c r="AP33" s="781">
        <f t="shared" si="16"/>
        <v>0</v>
      </c>
      <c r="AQ33" s="781">
        <f t="shared" si="17"/>
        <v>0</v>
      </c>
      <c r="AR33" s="781">
        <f t="shared" si="18"/>
        <v>0</v>
      </c>
      <c r="AS33" s="783">
        <f t="shared" si="19"/>
        <v>0</v>
      </c>
    </row>
    <row r="34" spans="1:45" ht="15" x14ac:dyDescent="0.25">
      <c r="A34" s="784"/>
      <c r="B34" s="719">
        <f t="shared" si="21"/>
        <v>26</v>
      </c>
      <c r="C34" s="170" t="str">
        <f t="shared" si="0"/>
        <v/>
      </c>
      <c r="D34" s="557"/>
      <c r="E34" s="170"/>
      <c r="F34" s="2078"/>
      <c r="G34" s="1862"/>
      <c r="H34" s="1926"/>
      <c r="I34" s="2008"/>
      <c r="J34" s="1926"/>
      <c r="K34" s="1926"/>
      <c r="L34" s="170"/>
      <c r="M34" s="2009">
        <v>0</v>
      </c>
      <c r="N34" s="2010">
        <v>1</v>
      </c>
      <c r="O34" s="773">
        <f t="shared" si="1"/>
        <v>0</v>
      </c>
      <c r="P34" s="2008" t="s">
        <v>39</v>
      </c>
      <c r="Q34" s="2008" t="s">
        <v>604</v>
      </c>
      <c r="R34" s="2011" t="s">
        <v>74</v>
      </c>
      <c r="S34" s="775">
        <f>SUMIF('Data Input sheet'!$B$118:$B$180,R34,'Data Input sheet'!$D$118:$D$180)</f>
        <v>152</v>
      </c>
      <c r="T34" s="2685">
        <f t="shared" si="20"/>
        <v>0</v>
      </c>
      <c r="U34" s="2013">
        <v>0</v>
      </c>
      <c r="V34" s="778">
        <f t="shared" si="22"/>
        <v>0</v>
      </c>
      <c r="W34" s="2010"/>
      <c r="X34" s="779"/>
      <c r="Y34" s="2012">
        <v>0</v>
      </c>
      <c r="Z34" s="780">
        <f t="shared" si="3"/>
        <v>0</v>
      </c>
      <c r="AA34" s="2007"/>
      <c r="AB34" s="2007"/>
      <c r="AC34" s="765"/>
      <c r="AD34" s="781">
        <f t="shared" si="4"/>
        <v>0</v>
      </c>
      <c r="AE34" s="781">
        <f t="shared" si="5"/>
        <v>0</v>
      </c>
      <c r="AF34" s="781">
        <f t="shared" si="6"/>
        <v>0</v>
      </c>
      <c r="AG34" s="781">
        <f t="shared" si="7"/>
        <v>0</v>
      </c>
      <c r="AH34" s="781">
        <f t="shared" si="8"/>
        <v>0</v>
      </c>
      <c r="AI34" s="782">
        <f t="shared" si="9"/>
        <v>0</v>
      </c>
      <c r="AJ34" s="781">
        <f t="shared" si="10"/>
        <v>0</v>
      </c>
      <c r="AK34" s="781">
        <f t="shared" si="11"/>
        <v>0</v>
      </c>
      <c r="AL34" s="781">
        <f t="shared" si="12"/>
        <v>0</v>
      </c>
      <c r="AM34" s="781">
        <f t="shared" si="13"/>
        <v>0</v>
      </c>
      <c r="AN34" s="781">
        <f t="shared" si="14"/>
        <v>0</v>
      </c>
      <c r="AO34" s="781">
        <f t="shared" si="15"/>
        <v>0</v>
      </c>
      <c r="AP34" s="781">
        <f t="shared" si="16"/>
        <v>0</v>
      </c>
      <c r="AQ34" s="781">
        <f t="shared" si="17"/>
        <v>0</v>
      </c>
      <c r="AR34" s="781">
        <f t="shared" si="18"/>
        <v>0</v>
      </c>
      <c r="AS34" s="783">
        <f t="shared" si="19"/>
        <v>0</v>
      </c>
    </row>
    <row r="35" spans="1:45" ht="15" x14ac:dyDescent="0.25">
      <c r="A35" s="768"/>
      <c r="B35" s="719">
        <f t="shared" si="21"/>
        <v>27</v>
      </c>
      <c r="C35" s="170" t="str">
        <f t="shared" si="0"/>
        <v/>
      </c>
      <c r="D35" s="557"/>
      <c r="E35" s="170"/>
      <c r="F35" s="2078"/>
      <c r="G35" s="1862"/>
      <c r="H35" s="1926"/>
      <c r="I35" s="2008"/>
      <c r="J35" s="1926"/>
      <c r="K35" s="1926"/>
      <c r="L35" s="170"/>
      <c r="M35" s="2009">
        <v>0</v>
      </c>
      <c r="N35" s="2010">
        <v>1</v>
      </c>
      <c r="O35" s="773">
        <f t="shared" si="1"/>
        <v>0</v>
      </c>
      <c r="P35" s="2008" t="s">
        <v>39</v>
      </c>
      <c r="Q35" s="2008" t="s">
        <v>604</v>
      </c>
      <c r="R35" s="2011" t="s">
        <v>74</v>
      </c>
      <c r="S35" s="775">
        <f>SUMIF('Data Input sheet'!$B$118:$B$180,R35,'Data Input sheet'!$D$118:$D$180)</f>
        <v>152</v>
      </c>
      <c r="T35" s="2685">
        <f t="shared" si="20"/>
        <v>0</v>
      </c>
      <c r="U35" s="2013">
        <v>0</v>
      </c>
      <c r="V35" s="778">
        <f t="shared" si="22"/>
        <v>0</v>
      </c>
      <c r="W35" s="2010"/>
      <c r="X35" s="779"/>
      <c r="Y35" s="2012">
        <v>0</v>
      </c>
      <c r="Z35" s="780">
        <f t="shared" si="3"/>
        <v>0</v>
      </c>
      <c r="AA35" s="2007"/>
      <c r="AB35" s="2007"/>
      <c r="AC35" s="765"/>
      <c r="AD35" s="781">
        <f t="shared" si="4"/>
        <v>0</v>
      </c>
      <c r="AE35" s="781">
        <f t="shared" si="5"/>
        <v>0</v>
      </c>
      <c r="AF35" s="781">
        <f t="shared" si="6"/>
        <v>0</v>
      </c>
      <c r="AG35" s="781">
        <f t="shared" si="7"/>
        <v>0</v>
      </c>
      <c r="AH35" s="781">
        <f t="shared" si="8"/>
        <v>0</v>
      </c>
      <c r="AI35" s="782">
        <f t="shared" si="9"/>
        <v>0</v>
      </c>
      <c r="AJ35" s="781">
        <f t="shared" si="10"/>
        <v>0</v>
      </c>
      <c r="AK35" s="781">
        <f t="shared" si="11"/>
        <v>0</v>
      </c>
      <c r="AL35" s="781">
        <f t="shared" si="12"/>
        <v>0</v>
      </c>
      <c r="AM35" s="781">
        <f t="shared" si="13"/>
        <v>0</v>
      </c>
      <c r="AN35" s="781">
        <f t="shared" si="14"/>
        <v>0</v>
      </c>
      <c r="AO35" s="781">
        <f t="shared" si="15"/>
        <v>0</v>
      </c>
      <c r="AP35" s="781">
        <f t="shared" si="16"/>
        <v>0</v>
      </c>
      <c r="AQ35" s="781">
        <f t="shared" si="17"/>
        <v>0</v>
      </c>
      <c r="AR35" s="781">
        <f t="shared" si="18"/>
        <v>0</v>
      </c>
      <c r="AS35" s="783">
        <f t="shared" si="19"/>
        <v>0</v>
      </c>
    </row>
    <row r="36" spans="1:45" ht="15" x14ac:dyDescent="0.25">
      <c r="A36" s="768"/>
      <c r="B36" s="719">
        <f t="shared" si="21"/>
        <v>28</v>
      </c>
      <c r="C36" s="170" t="str">
        <f t="shared" si="0"/>
        <v/>
      </c>
      <c r="D36" s="557"/>
      <c r="E36" s="170"/>
      <c r="F36" s="2078"/>
      <c r="G36" s="1862"/>
      <c r="H36" s="1926"/>
      <c r="I36" s="2008"/>
      <c r="J36" s="1926"/>
      <c r="K36" s="1926"/>
      <c r="L36" s="170"/>
      <c r="M36" s="2009">
        <v>0</v>
      </c>
      <c r="N36" s="2010">
        <v>1</v>
      </c>
      <c r="O36" s="773">
        <f t="shared" si="1"/>
        <v>0</v>
      </c>
      <c r="P36" s="2008" t="s">
        <v>39</v>
      </c>
      <c r="Q36" s="2008" t="s">
        <v>604</v>
      </c>
      <c r="R36" s="2011" t="s">
        <v>74</v>
      </c>
      <c r="S36" s="775">
        <f>SUMIF('Data Input sheet'!$B$118:$B$180,R36,'Data Input sheet'!$D$118:$D$180)</f>
        <v>152</v>
      </c>
      <c r="T36" s="2685">
        <f t="shared" si="20"/>
        <v>0</v>
      </c>
      <c r="U36" s="2013">
        <v>0</v>
      </c>
      <c r="V36" s="778">
        <f t="shared" si="22"/>
        <v>0</v>
      </c>
      <c r="W36" s="2010"/>
      <c r="X36" s="779"/>
      <c r="Y36" s="2012">
        <v>0</v>
      </c>
      <c r="Z36" s="780">
        <f t="shared" si="3"/>
        <v>0</v>
      </c>
      <c r="AA36" s="2007"/>
      <c r="AB36" s="2007"/>
      <c r="AC36" s="765"/>
      <c r="AD36" s="781">
        <f t="shared" si="4"/>
        <v>0</v>
      </c>
      <c r="AE36" s="781">
        <f t="shared" si="5"/>
        <v>0</v>
      </c>
      <c r="AF36" s="781">
        <f t="shared" si="6"/>
        <v>0</v>
      </c>
      <c r="AG36" s="781">
        <f t="shared" si="7"/>
        <v>0</v>
      </c>
      <c r="AH36" s="781">
        <f t="shared" si="8"/>
        <v>0</v>
      </c>
      <c r="AI36" s="782">
        <f t="shared" si="9"/>
        <v>0</v>
      </c>
      <c r="AJ36" s="781">
        <f t="shared" si="10"/>
        <v>0</v>
      </c>
      <c r="AK36" s="781">
        <f t="shared" si="11"/>
        <v>0</v>
      </c>
      <c r="AL36" s="781">
        <f t="shared" si="12"/>
        <v>0</v>
      </c>
      <c r="AM36" s="781">
        <f t="shared" si="13"/>
        <v>0</v>
      </c>
      <c r="AN36" s="781">
        <f t="shared" si="14"/>
        <v>0</v>
      </c>
      <c r="AO36" s="781">
        <f t="shared" si="15"/>
        <v>0</v>
      </c>
      <c r="AP36" s="781">
        <f t="shared" si="16"/>
        <v>0</v>
      </c>
      <c r="AQ36" s="781">
        <f t="shared" si="17"/>
        <v>0</v>
      </c>
      <c r="AR36" s="781">
        <f t="shared" si="18"/>
        <v>0</v>
      </c>
      <c r="AS36" s="783">
        <f t="shared" si="19"/>
        <v>0</v>
      </c>
    </row>
    <row r="37" spans="1:45" ht="15" x14ac:dyDescent="0.25">
      <c r="A37" s="768"/>
      <c r="B37" s="719">
        <f t="shared" si="21"/>
        <v>29</v>
      </c>
      <c r="C37" s="170" t="str">
        <f t="shared" si="0"/>
        <v/>
      </c>
      <c r="D37" s="557"/>
      <c r="E37" s="170"/>
      <c r="F37" s="2078"/>
      <c r="G37" s="1862"/>
      <c r="H37" s="1926"/>
      <c r="I37" s="2008"/>
      <c r="J37" s="1926"/>
      <c r="K37" s="1926"/>
      <c r="L37" s="170"/>
      <c r="M37" s="2009">
        <v>0</v>
      </c>
      <c r="N37" s="2010">
        <v>1</v>
      </c>
      <c r="O37" s="773">
        <f t="shared" si="1"/>
        <v>0</v>
      </c>
      <c r="P37" s="2008" t="s">
        <v>39</v>
      </c>
      <c r="Q37" s="2008" t="s">
        <v>604</v>
      </c>
      <c r="R37" s="2011" t="s">
        <v>74</v>
      </c>
      <c r="S37" s="775">
        <f>SUMIF('Data Input sheet'!$B$118:$B$180,R37,'Data Input sheet'!$D$118:$D$180)</f>
        <v>152</v>
      </c>
      <c r="T37" s="2685">
        <f t="shared" si="20"/>
        <v>0</v>
      </c>
      <c r="U37" s="2013">
        <v>0</v>
      </c>
      <c r="V37" s="778">
        <f t="shared" si="22"/>
        <v>0</v>
      </c>
      <c r="W37" s="2010"/>
      <c r="X37" s="779"/>
      <c r="Y37" s="2012">
        <v>0</v>
      </c>
      <c r="Z37" s="780">
        <f t="shared" si="3"/>
        <v>0</v>
      </c>
      <c r="AA37" s="2007"/>
      <c r="AB37" s="2007"/>
      <c r="AC37" s="765"/>
      <c r="AD37" s="781">
        <f t="shared" si="4"/>
        <v>0</v>
      </c>
      <c r="AE37" s="781">
        <f t="shared" si="5"/>
        <v>0</v>
      </c>
      <c r="AF37" s="781">
        <f t="shared" si="6"/>
        <v>0</v>
      </c>
      <c r="AG37" s="781">
        <f t="shared" si="7"/>
        <v>0</v>
      </c>
      <c r="AH37" s="781">
        <f t="shared" si="8"/>
        <v>0</v>
      </c>
      <c r="AI37" s="782">
        <f t="shared" si="9"/>
        <v>0</v>
      </c>
      <c r="AJ37" s="781">
        <f t="shared" si="10"/>
        <v>0</v>
      </c>
      <c r="AK37" s="781">
        <f t="shared" si="11"/>
        <v>0</v>
      </c>
      <c r="AL37" s="781">
        <f t="shared" si="12"/>
        <v>0</v>
      </c>
      <c r="AM37" s="781">
        <f t="shared" si="13"/>
        <v>0</v>
      </c>
      <c r="AN37" s="781">
        <f t="shared" si="14"/>
        <v>0</v>
      </c>
      <c r="AO37" s="781">
        <f t="shared" si="15"/>
        <v>0</v>
      </c>
      <c r="AP37" s="781">
        <f t="shared" si="16"/>
        <v>0</v>
      </c>
      <c r="AQ37" s="781">
        <f t="shared" si="17"/>
        <v>0</v>
      </c>
      <c r="AR37" s="781">
        <f t="shared" si="18"/>
        <v>0</v>
      </c>
      <c r="AS37" s="783">
        <f t="shared" si="19"/>
        <v>0</v>
      </c>
    </row>
    <row r="38" spans="1:45" ht="15" x14ac:dyDescent="0.25">
      <c r="A38" s="768"/>
      <c r="B38" s="719">
        <f t="shared" si="21"/>
        <v>30</v>
      </c>
      <c r="C38" s="170" t="str">
        <f t="shared" si="0"/>
        <v/>
      </c>
      <c r="D38" s="557"/>
      <c r="E38" s="170"/>
      <c r="F38" s="2078"/>
      <c r="G38" s="1862"/>
      <c r="H38" s="1926"/>
      <c r="I38" s="2008"/>
      <c r="J38" s="1926"/>
      <c r="K38" s="1926"/>
      <c r="L38" s="170"/>
      <c r="M38" s="2009">
        <v>0</v>
      </c>
      <c r="N38" s="2010">
        <v>1</v>
      </c>
      <c r="O38" s="773">
        <f t="shared" si="1"/>
        <v>0</v>
      </c>
      <c r="P38" s="2008" t="s">
        <v>39</v>
      </c>
      <c r="Q38" s="2008" t="s">
        <v>604</v>
      </c>
      <c r="R38" s="2011" t="s">
        <v>74</v>
      </c>
      <c r="S38" s="775">
        <f>SUMIF('Data Input sheet'!$B$118:$B$180,R38,'Data Input sheet'!$D$118:$D$180)</f>
        <v>152</v>
      </c>
      <c r="T38" s="2685">
        <f t="shared" si="20"/>
        <v>0</v>
      </c>
      <c r="U38" s="2013">
        <v>0</v>
      </c>
      <c r="V38" s="778">
        <f t="shared" si="22"/>
        <v>0</v>
      </c>
      <c r="W38" s="2010"/>
      <c r="X38" s="779"/>
      <c r="Y38" s="2012">
        <v>0</v>
      </c>
      <c r="Z38" s="780">
        <f t="shared" si="3"/>
        <v>0</v>
      </c>
      <c r="AA38" s="2007"/>
      <c r="AB38" s="2007"/>
      <c r="AC38" s="765"/>
      <c r="AD38" s="781">
        <f t="shared" si="4"/>
        <v>0</v>
      </c>
      <c r="AE38" s="781">
        <f t="shared" si="5"/>
        <v>0</v>
      </c>
      <c r="AF38" s="781">
        <f t="shared" si="6"/>
        <v>0</v>
      </c>
      <c r="AG38" s="781">
        <f t="shared" si="7"/>
        <v>0</v>
      </c>
      <c r="AH38" s="781">
        <f t="shared" si="8"/>
        <v>0</v>
      </c>
      <c r="AI38" s="782">
        <f t="shared" si="9"/>
        <v>0</v>
      </c>
      <c r="AJ38" s="781">
        <f t="shared" si="10"/>
        <v>0</v>
      </c>
      <c r="AK38" s="781">
        <f t="shared" si="11"/>
        <v>0</v>
      </c>
      <c r="AL38" s="781">
        <f t="shared" si="12"/>
        <v>0</v>
      </c>
      <c r="AM38" s="781">
        <f t="shared" si="13"/>
        <v>0</v>
      </c>
      <c r="AN38" s="781">
        <f t="shared" si="14"/>
        <v>0</v>
      </c>
      <c r="AO38" s="781">
        <f t="shared" si="15"/>
        <v>0</v>
      </c>
      <c r="AP38" s="781">
        <f t="shared" si="16"/>
        <v>0</v>
      </c>
      <c r="AQ38" s="781">
        <f t="shared" si="17"/>
        <v>0</v>
      </c>
      <c r="AR38" s="781">
        <f t="shared" si="18"/>
        <v>0</v>
      </c>
      <c r="AS38" s="783">
        <f t="shared" si="19"/>
        <v>0</v>
      </c>
    </row>
    <row r="39" spans="1:45" ht="15" x14ac:dyDescent="0.25">
      <c r="A39" s="768"/>
      <c r="B39" s="719">
        <f t="shared" si="21"/>
        <v>31</v>
      </c>
      <c r="C39" s="170" t="str">
        <f t="shared" si="0"/>
        <v/>
      </c>
      <c r="D39" s="557"/>
      <c r="E39" s="170"/>
      <c r="F39" s="2078"/>
      <c r="G39" s="1862"/>
      <c r="H39" s="1926"/>
      <c r="I39" s="2008"/>
      <c r="J39" s="1926"/>
      <c r="K39" s="1926"/>
      <c r="L39" s="170"/>
      <c r="M39" s="2009">
        <v>0</v>
      </c>
      <c r="N39" s="2010">
        <v>1</v>
      </c>
      <c r="O39" s="773">
        <f t="shared" si="1"/>
        <v>0</v>
      </c>
      <c r="P39" s="2008" t="s">
        <v>39</v>
      </c>
      <c r="Q39" s="2008" t="s">
        <v>604</v>
      </c>
      <c r="R39" s="2011" t="s">
        <v>74</v>
      </c>
      <c r="S39" s="775">
        <f>SUMIF('Data Input sheet'!$B$118:$B$180,R39,'Data Input sheet'!$D$118:$D$180)</f>
        <v>152</v>
      </c>
      <c r="T39" s="2685">
        <f t="shared" si="20"/>
        <v>0</v>
      </c>
      <c r="U39" s="2013">
        <v>0</v>
      </c>
      <c r="V39" s="778">
        <f t="shared" si="22"/>
        <v>0</v>
      </c>
      <c r="W39" s="2010"/>
      <c r="X39" s="779"/>
      <c r="Y39" s="2012">
        <v>0</v>
      </c>
      <c r="Z39" s="780">
        <f t="shared" si="3"/>
        <v>0</v>
      </c>
      <c r="AA39" s="2007"/>
      <c r="AB39" s="2007"/>
      <c r="AC39" s="765"/>
      <c r="AD39" s="781">
        <f t="shared" si="4"/>
        <v>0</v>
      </c>
      <c r="AE39" s="781">
        <f t="shared" si="5"/>
        <v>0</v>
      </c>
      <c r="AF39" s="781">
        <f t="shared" si="6"/>
        <v>0</v>
      </c>
      <c r="AG39" s="781">
        <f t="shared" si="7"/>
        <v>0</v>
      </c>
      <c r="AH39" s="781">
        <f t="shared" si="8"/>
        <v>0</v>
      </c>
      <c r="AI39" s="782">
        <f t="shared" si="9"/>
        <v>0</v>
      </c>
      <c r="AJ39" s="781">
        <f t="shared" si="10"/>
        <v>0</v>
      </c>
      <c r="AK39" s="781">
        <f t="shared" si="11"/>
        <v>0</v>
      </c>
      <c r="AL39" s="781">
        <f t="shared" si="12"/>
        <v>0</v>
      </c>
      <c r="AM39" s="781">
        <f t="shared" si="13"/>
        <v>0</v>
      </c>
      <c r="AN39" s="781">
        <f t="shared" si="14"/>
        <v>0</v>
      </c>
      <c r="AO39" s="781">
        <f t="shared" si="15"/>
        <v>0</v>
      </c>
      <c r="AP39" s="781">
        <f t="shared" si="16"/>
        <v>0</v>
      </c>
      <c r="AQ39" s="781">
        <f t="shared" si="17"/>
        <v>0</v>
      </c>
      <c r="AR39" s="781">
        <f t="shared" si="18"/>
        <v>0</v>
      </c>
      <c r="AS39" s="783">
        <f t="shared" si="19"/>
        <v>0</v>
      </c>
    </row>
    <row r="40" spans="1:45" ht="15" x14ac:dyDescent="0.25">
      <c r="A40" s="768"/>
      <c r="B40" s="719">
        <f t="shared" si="21"/>
        <v>32</v>
      </c>
      <c r="C40" s="170" t="str">
        <f t="shared" si="0"/>
        <v/>
      </c>
      <c r="D40" s="557"/>
      <c r="E40" s="170"/>
      <c r="F40" s="2078"/>
      <c r="G40" s="1862"/>
      <c r="H40" s="1926"/>
      <c r="I40" s="2008"/>
      <c r="J40" s="1926"/>
      <c r="K40" s="1926"/>
      <c r="L40" s="170"/>
      <c r="M40" s="2009">
        <v>0</v>
      </c>
      <c r="N40" s="2010">
        <v>1</v>
      </c>
      <c r="O40" s="773">
        <f t="shared" si="1"/>
        <v>0</v>
      </c>
      <c r="P40" s="2008" t="s">
        <v>39</v>
      </c>
      <c r="Q40" s="2008" t="s">
        <v>604</v>
      </c>
      <c r="R40" s="2011" t="s">
        <v>74</v>
      </c>
      <c r="S40" s="775">
        <f>SUMIF('Data Input sheet'!$B$118:$B$180,R40,'Data Input sheet'!$D$118:$D$180)</f>
        <v>152</v>
      </c>
      <c r="T40" s="2685">
        <f t="shared" si="20"/>
        <v>0</v>
      </c>
      <c r="U40" s="2013">
        <v>0</v>
      </c>
      <c r="V40" s="778">
        <f t="shared" si="22"/>
        <v>0</v>
      </c>
      <c r="W40" s="2010"/>
      <c r="X40" s="779"/>
      <c r="Y40" s="2012">
        <v>0</v>
      </c>
      <c r="Z40" s="780">
        <f t="shared" si="3"/>
        <v>0</v>
      </c>
      <c r="AA40" s="2007"/>
      <c r="AB40" s="2007"/>
      <c r="AC40" s="765"/>
      <c r="AD40" s="781">
        <f t="shared" si="4"/>
        <v>0</v>
      </c>
      <c r="AE40" s="781">
        <f t="shared" si="5"/>
        <v>0</v>
      </c>
      <c r="AF40" s="781">
        <f t="shared" si="6"/>
        <v>0</v>
      </c>
      <c r="AG40" s="781">
        <f t="shared" si="7"/>
        <v>0</v>
      </c>
      <c r="AH40" s="781">
        <f t="shared" si="8"/>
        <v>0</v>
      </c>
      <c r="AI40" s="782">
        <f t="shared" si="9"/>
        <v>0</v>
      </c>
      <c r="AJ40" s="781">
        <f t="shared" si="10"/>
        <v>0</v>
      </c>
      <c r="AK40" s="781">
        <f t="shared" si="11"/>
        <v>0</v>
      </c>
      <c r="AL40" s="781">
        <f t="shared" si="12"/>
        <v>0</v>
      </c>
      <c r="AM40" s="781">
        <f t="shared" si="13"/>
        <v>0</v>
      </c>
      <c r="AN40" s="781">
        <f t="shared" si="14"/>
        <v>0</v>
      </c>
      <c r="AO40" s="781">
        <f t="shared" si="15"/>
        <v>0</v>
      </c>
      <c r="AP40" s="781">
        <f t="shared" si="16"/>
        <v>0</v>
      </c>
      <c r="AQ40" s="781">
        <f t="shared" si="17"/>
        <v>0</v>
      </c>
      <c r="AR40" s="781">
        <f t="shared" si="18"/>
        <v>0</v>
      </c>
      <c r="AS40" s="783">
        <f t="shared" si="19"/>
        <v>0</v>
      </c>
    </row>
    <row r="41" spans="1:45" ht="15" x14ac:dyDescent="0.25">
      <c r="A41" s="768"/>
      <c r="B41" s="719">
        <f t="shared" si="21"/>
        <v>33</v>
      </c>
      <c r="C41" s="170" t="str">
        <f t="shared" si="0"/>
        <v/>
      </c>
      <c r="D41" s="557"/>
      <c r="E41" s="170"/>
      <c r="F41" s="2078"/>
      <c r="G41" s="1862"/>
      <c r="H41" s="1926"/>
      <c r="I41" s="2008"/>
      <c r="J41" s="1926"/>
      <c r="K41" s="1926"/>
      <c r="L41" s="170"/>
      <c r="M41" s="2009">
        <v>0</v>
      </c>
      <c r="N41" s="2010">
        <v>1</v>
      </c>
      <c r="O41" s="773">
        <f t="shared" si="1"/>
        <v>0</v>
      </c>
      <c r="P41" s="2008" t="s">
        <v>39</v>
      </c>
      <c r="Q41" s="2008" t="s">
        <v>604</v>
      </c>
      <c r="R41" s="2011" t="s">
        <v>74</v>
      </c>
      <c r="S41" s="775">
        <f>SUMIF('Data Input sheet'!$B$118:$B$180,R41,'Data Input sheet'!$D$118:$D$180)</f>
        <v>152</v>
      </c>
      <c r="T41" s="2685">
        <f t="shared" si="20"/>
        <v>0</v>
      </c>
      <c r="U41" s="2013">
        <v>0</v>
      </c>
      <c r="V41" s="778">
        <f t="shared" si="22"/>
        <v>0</v>
      </c>
      <c r="W41" s="2010"/>
      <c r="X41" s="779"/>
      <c r="Y41" s="2012">
        <v>0</v>
      </c>
      <c r="Z41" s="780">
        <f t="shared" si="3"/>
        <v>0</v>
      </c>
      <c r="AA41" s="2007"/>
      <c r="AB41" s="2007"/>
      <c r="AC41" s="765"/>
      <c r="AD41" s="781">
        <f t="shared" ref="AD41:AD72" si="40">IF(P41="E",+ROUND(H41*O41,0),0)</f>
        <v>0</v>
      </c>
      <c r="AE41" s="781">
        <f t="shared" si="5"/>
        <v>0</v>
      </c>
      <c r="AF41" s="781">
        <f t="shared" ref="AF41:AF72" si="41">+H41*O41</f>
        <v>0</v>
      </c>
      <c r="AG41" s="781">
        <f t="shared" ref="AG41:AG72" si="42">IF(P41="E",+ROUND(T41*H41,0),0)</f>
        <v>0</v>
      </c>
      <c r="AH41" s="781">
        <f t="shared" si="8"/>
        <v>0</v>
      </c>
      <c r="AI41" s="782">
        <f t="shared" ref="AI41:AI72" si="43">+H41*T41</f>
        <v>0</v>
      </c>
      <c r="AJ41" s="781">
        <f t="shared" ref="AJ41:AJ72" si="44">IF(P41="E",+ROUND(V41*H41,0),0)</f>
        <v>0</v>
      </c>
      <c r="AK41" s="781">
        <f t="shared" si="11"/>
        <v>0</v>
      </c>
      <c r="AL41" s="781">
        <f t="shared" ref="AL41:AL72" si="45">ROUND(V41*H41,0)</f>
        <v>0</v>
      </c>
      <c r="AM41" s="781">
        <f t="shared" ref="AM41:AM72" si="46">IF(Q41="E",+ROUND(W41*H41,0),0)</f>
        <v>0</v>
      </c>
      <c r="AN41" s="781">
        <f t="shared" si="14"/>
        <v>0</v>
      </c>
      <c r="AO41" s="781">
        <f t="shared" ref="AO41:AO72" si="47">ROUND(W41*H41,0)</f>
        <v>0</v>
      </c>
      <c r="AP41" s="781">
        <f t="shared" ref="AP41:AP72" si="48">IF(P41="E",+ROUND(Y41*H41,0),0)</f>
        <v>0</v>
      </c>
      <c r="AQ41" s="781">
        <f t="shared" si="17"/>
        <v>0</v>
      </c>
      <c r="AR41" s="781">
        <f t="shared" ref="AR41:AR72" si="49">ROUND(Y41*H41,0)</f>
        <v>0</v>
      </c>
      <c r="AS41" s="783">
        <f t="shared" si="19"/>
        <v>0</v>
      </c>
    </row>
    <row r="42" spans="1:45" ht="15" x14ac:dyDescent="0.25">
      <c r="A42" s="768"/>
      <c r="B42" s="719">
        <f t="shared" si="21"/>
        <v>34</v>
      </c>
      <c r="C42" s="170" t="str">
        <f t="shared" si="0"/>
        <v/>
      </c>
      <c r="D42" s="557"/>
      <c r="E42" s="170"/>
      <c r="F42" s="2078"/>
      <c r="G42" s="1862"/>
      <c r="H42" s="1926"/>
      <c r="I42" s="2008"/>
      <c r="J42" s="1926"/>
      <c r="K42" s="1926"/>
      <c r="L42" s="170"/>
      <c r="M42" s="2009">
        <v>0</v>
      </c>
      <c r="N42" s="2010">
        <v>1</v>
      </c>
      <c r="O42" s="773">
        <f t="shared" si="1"/>
        <v>0</v>
      </c>
      <c r="P42" s="2008" t="s">
        <v>39</v>
      </c>
      <c r="Q42" s="2008" t="s">
        <v>604</v>
      </c>
      <c r="R42" s="2011" t="s">
        <v>74</v>
      </c>
      <c r="S42" s="775">
        <f>SUMIF('Data Input sheet'!$B$118:$B$180,R42,'Data Input sheet'!$D$118:$D$180)</f>
        <v>152</v>
      </c>
      <c r="T42" s="2685">
        <f t="shared" si="20"/>
        <v>0</v>
      </c>
      <c r="U42" s="2013">
        <v>0</v>
      </c>
      <c r="V42" s="778">
        <f t="shared" si="22"/>
        <v>0</v>
      </c>
      <c r="W42" s="2010"/>
      <c r="X42" s="779"/>
      <c r="Y42" s="2012">
        <v>0</v>
      </c>
      <c r="Z42" s="780">
        <f t="shared" si="3"/>
        <v>0</v>
      </c>
      <c r="AA42" s="2007"/>
      <c r="AB42" s="2007"/>
      <c r="AC42" s="765"/>
      <c r="AD42" s="781">
        <f t="shared" si="40"/>
        <v>0</v>
      </c>
      <c r="AE42" s="781">
        <f t="shared" si="5"/>
        <v>0</v>
      </c>
      <c r="AF42" s="781">
        <f t="shared" si="41"/>
        <v>0</v>
      </c>
      <c r="AG42" s="781">
        <f t="shared" si="42"/>
        <v>0</v>
      </c>
      <c r="AH42" s="781">
        <f t="shared" si="8"/>
        <v>0</v>
      </c>
      <c r="AI42" s="782">
        <f t="shared" si="43"/>
        <v>0</v>
      </c>
      <c r="AJ42" s="781">
        <f t="shared" si="44"/>
        <v>0</v>
      </c>
      <c r="AK42" s="781">
        <f t="shared" si="11"/>
        <v>0</v>
      </c>
      <c r="AL42" s="781">
        <f t="shared" si="45"/>
        <v>0</v>
      </c>
      <c r="AM42" s="781">
        <f t="shared" si="46"/>
        <v>0</v>
      </c>
      <c r="AN42" s="781">
        <f t="shared" si="14"/>
        <v>0</v>
      </c>
      <c r="AO42" s="781">
        <f t="shared" si="47"/>
        <v>0</v>
      </c>
      <c r="AP42" s="781">
        <f t="shared" si="48"/>
        <v>0</v>
      </c>
      <c r="AQ42" s="781">
        <f t="shared" si="17"/>
        <v>0</v>
      </c>
      <c r="AR42" s="781">
        <f t="shared" si="49"/>
        <v>0</v>
      </c>
      <c r="AS42" s="783">
        <f t="shared" si="19"/>
        <v>0</v>
      </c>
    </row>
    <row r="43" spans="1:45" ht="15" x14ac:dyDescent="0.25">
      <c r="A43" s="784"/>
      <c r="B43" s="719">
        <f t="shared" si="21"/>
        <v>35</v>
      </c>
      <c r="C43" s="170" t="str">
        <f t="shared" si="0"/>
        <v/>
      </c>
      <c r="D43" s="557"/>
      <c r="E43" s="170"/>
      <c r="F43" s="2078"/>
      <c r="G43" s="1862"/>
      <c r="H43" s="1926"/>
      <c r="I43" s="2008"/>
      <c r="J43" s="1926"/>
      <c r="K43" s="1926"/>
      <c r="L43" s="170"/>
      <c r="M43" s="2009">
        <v>0</v>
      </c>
      <c r="N43" s="2010">
        <v>1</v>
      </c>
      <c r="O43" s="773">
        <f t="shared" si="1"/>
        <v>0</v>
      </c>
      <c r="P43" s="2008" t="s">
        <v>39</v>
      </c>
      <c r="Q43" s="2008" t="s">
        <v>604</v>
      </c>
      <c r="R43" s="2011" t="s">
        <v>74</v>
      </c>
      <c r="S43" s="775">
        <f>SUMIF('Data Input sheet'!$B$118:$B$180,R43,'Data Input sheet'!$D$118:$D$180)</f>
        <v>152</v>
      </c>
      <c r="T43" s="2685">
        <f t="shared" si="20"/>
        <v>0</v>
      </c>
      <c r="U43" s="2013">
        <v>0</v>
      </c>
      <c r="V43" s="778">
        <f t="shared" si="22"/>
        <v>0</v>
      </c>
      <c r="W43" s="2010"/>
      <c r="X43" s="779"/>
      <c r="Y43" s="2012">
        <v>0</v>
      </c>
      <c r="Z43" s="780">
        <f t="shared" si="3"/>
        <v>0</v>
      </c>
      <c r="AA43" s="2007"/>
      <c r="AB43" s="2007"/>
      <c r="AC43" s="765"/>
      <c r="AD43" s="781">
        <f t="shared" si="40"/>
        <v>0</v>
      </c>
      <c r="AE43" s="781">
        <f t="shared" si="5"/>
        <v>0</v>
      </c>
      <c r="AF43" s="781">
        <f t="shared" si="41"/>
        <v>0</v>
      </c>
      <c r="AG43" s="781">
        <f t="shared" si="42"/>
        <v>0</v>
      </c>
      <c r="AH43" s="781">
        <f t="shared" si="8"/>
        <v>0</v>
      </c>
      <c r="AI43" s="782">
        <f t="shared" si="43"/>
        <v>0</v>
      </c>
      <c r="AJ43" s="781">
        <f t="shared" si="44"/>
        <v>0</v>
      </c>
      <c r="AK43" s="781">
        <f t="shared" si="11"/>
        <v>0</v>
      </c>
      <c r="AL43" s="781">
        <f t="shared" si="45"/>
        <v>0</v>
      </c>
      <c r="AM43" s="781">
        <f t="shared" si="46"/>
        <v>0</v>
      </c>
      <c r="AN43" s="781">
        <f t="shared" si="14"/>
        <v>0</v>
      </c>
      <c r="AO43" s="781">
        <f t="shared" si="47"/>
        <v>0</v>
      </c>
      <c r="AP43" s="781">
        <f t="shared" si="48"/>
        <v>0</v>
      </c>
      <c r="AQ43" s="781">
        <f t="shared" si="17"/>
        <v>0</v>
      </c>
      <c r="AR43" s="781">
        <f t="shared" si="49"/>
        <v>0</v>
      </c>
      <c r="AS43" s="783">
        <f t="shared" si="19"/>
        <v>0</v>
      </c>
    </row>
    <row r="44" spans="1:45" ht="15" x14ac:dyDescent="0.25">
      <c r="A44" s="784"/>
      <c r="B44" s="719">
        <f t="shared" si="21"/>
        <v>36</v>
      </c>
      <c r="C44" s="170" t="str">
        <f t="shared" si="0"/>
        <v/>
      </c>
      <c r="D44" s="557"/>
      <c r="E44" s="170"/>
      <c r="F44" s="2078"/>
      <c r="G44" s="1862"/>
      <c r="H44" s="1926"/>
      <c r="I44" s="2008"/>
      <c r="J44" s="1926"/>
      <c r="K44" s="1926"/>
      <c r="L44" s="170"/>
      <c r="M44" s="2009">
        <v>0</v>
      </c>
      <c r="N44" s="2010">
        <v>1</v>
      </c>
      <c r="O44" s="773">
        <f t="shared" si="1"/>
        <v>0</v>
      </c>
      <c r="P44" s="2008" t="s">
        <v>39</v>
      </c>
      <c r="Q44" s="2008" t="s">
        <v>604</v>
      </c>
      <c r="R44" s="2011" t="s">
        <v>74</v>
      </c>
      <c r="S44" s="775">
        <f>SUMIF('Data Input sheet'!$B$118:$B$180,R44,'Data Input sheet'!$D$118:$D$180)</f>
        <v>152</v>
      </c>
      <c r="T44" s="2685">
        <f t="shared" si="20"/>
        <v>0</v>
      </c>
      <c r="U44" s="2013">
        <v>0</v>
      </c>
      <c r="V44" s="778">
        <f t="shared" si="22"/>
        <v>0</v>
      </c>
      <c r="W44" s="2010"/>
      <c r="X44" s="779"/>
      <c r="Y44" s="2012">
        <v>0</v>
      </c>
      <c r="Z44" s="780">
        <f t="shared" si="3"/>
        <v>0</v>
      </c>
      <c r="AA44" s="2007"/>
      <c r="AB44" s="2007"/>
      <c r="AC44" s="765"/>
      <c r="AD44" s="781">
        <f t="shared" si="40"/>
        <v>0</v>
      </c>
      <c r="AE44" s="781">
        <f t="shared" si="5"/>
        <v>0</v>
      </c>
      <c r="AF44" s="781">
        <f t="shared" si="41"/>
        <v>0</v>
      </c>
      <c r="AG44" s="781">
        <f t="shared" si="42"/>
        <v>0</v>
      </c>
      <c r="AH44" s="781">
        <f t="shared" si="8"/>
        <v>0</v>
      </c>
      <c r="AI44" s="782">
        <f t="shared" si="43"/>
        <v>0</v>
      </c>
      <c r="AJ44" s="781">
        <f t="shared" si="44"/>
        <v>0</v>
      </c>
      <c r="AK44" s="781">
        <f t="shared" si="11"/>
        <v>0</v>
      </c>
      <c r="AL44" s="781">
        <f t="shared" si="45"/>
        <v>0</v>
      </c>
      <c r="AM44" s="781">
        <f t="shared" si="46"/>
        <v>0</v>
      </c>
      <c r="AN44" s="781">
        <f t="shared" si="14"/>
        <v>0</v>
      </c>
      <c r="AO44" s="781">
        <f t="shared" si="47"/>
        <v>0</v>
      </c>
      <c r="AP44" s="781">
        <f t="shared" si="48"/>
        <v>0</v>
      </c>
      <c r="AQ44" s="781">
        <f t="shared" si="17"/>
        <v>0</v>
      </c>
      <c r="AR44" s="781">
        <f t="shared" si="49"/>
        <v>0</v>
      </c>
      <c r="AS44" s="783">
        <f t="shared" si="19"/>
        <v>0</v>
      </c>
    </row>
    <row r="45" spans="1:45" ht="15" x14ac:dyDescent="0.25">
      <c r="A45" s="768"/>
      <c r="B45" s="719">
        <f t="shared" si="21"/>
        <v>37</v>
      </c>
      <c r="C45" s="170" t="str">
        <f t="shared" si="0"/>
        <v/>
      </c>
      <c r="D45" s="557"/>
      <c r="E45" s="170"/>
      <c r="F45" s="2078"/>
      <c r="G45" s="1862"/>
      <c r="H45" s="1926"/>
      <c r="I45" s="2008"/>
      <c r="J45" s="1926"/>
      <c r="K45" s="1926"/>
      <c r="L45" s="170"/>
      <c r="M45" s="2009">
        <v>0</v>
      </c>
      <c r="N45" s="2010">
        <v>1</v>
      </c>
      <c r="O45" s="773">
        <f t="shared" si="1"/>
        <v>0</v>
      </c>
      <c r="P45" s="2008" t="s">
        <v>39</v>
      </c>
      <c r="Q45" s="2008" t="s">
        <v>604</v>
      </c>
      <c r="R45" s="2011" t="s">
        <v>74</v>
      </c>
      <c r="S45" s="775">
        <f>SUMIF('Data Input sheet'!$B$118:$B$180,R45,'Data Input sheet'!$D$118:$D$180)</f>
        <v>152</v>
      </c>
      <c r="T45" s="2685">
        <f t="shared" si="20"/>
        <v>0</v>
      </c>
      <c r="U45" s="2013">
        <v>0</v>
      </c>
      <c r="V45" s="778">
        <f t="shared" si="22"/>
        <v>0</v>
      </c>
      <c r="W45" s="2010"/>
      <c r="X45" s="779"/>
      <c r="Y45" s="2012">
        <v>0</v>
      </c>
      <c r="Z45" s="780">
        <f t="shared" si="3"/>
        <v>0</v>
      </c>
      <c r="AA45" s="2007"/>
      <c r="AB45" s="2007"/>
      <c r="AC45" s="765"/>
      <c r="AD45" s="781">
        <f t="shared" si="40"/>
        <v>0</v>
      </c>
      <c r="AE45" s="781">
        <f t="shared" si="5"/>
        <v>0</v>
      </c>
      <c r="AF45" s="781">
        <f t="shared" si="41"/>
        <v>0</v>
      </c>
      <c r="AG45" s="781">
        <f t="shared" si="42"/>
        <v>0</v>
      </c>
      <c r="AH45" s="781">
        <f t="shared" si="8"/>
        <v>0</v>
      </c>
      <c r="AI45" s="782">
        <f t="shared" si="43"/>
        <v>0</v>
      </c>
      <c r="AJ45" s="781">
        <f t="shared" si="44"/>
        <v>0</v>
      </c>
      <c r="AK45" s="781">
        <f t="shared" si="11"/>
        <v>0</v>
      </c>
      <c r="AL45" s="781">
        <f t="shared" si="45"/>
        <v>0</v>
      </c>
      <c r="AM45" s="781">
        <f t="shared" si="46"/>
        <v>0</v>
      </c>
      <c r="AN45" s="781">
        <f t="shared" si="14"/>
        <v>0</v>
      </c>
      <c r="AO45" s="781">
        <f t="shared" si="47"/>
        <v>0</v>
      </c>
      <c r="AP45" s="781">
        <f t="shared" si="48"/>
        <v>0</v>
      </c>
      <c r="AQ45" s="781">
        <f t="shared" si="17"/>
        <v>0</v>
      </c>
      <c r="AR45" s="781">
        <f t="shared" si="49"/>
        <v>0</v>
      </c>
      <c r="AS45" s="783">
        <f t="shared" si="19"/>
        <v>0</v>
      </c>
    </row>
    <row r="46" spans="1:45" ht="15" x14ac:dyDescent="0.25">
      <c r="A46" s="768"/>
      <c r="B46" s="719">
        <f t="shared" si="21"/>
        <v>38</v>
      </c>
      <c r="C46" s="170" t="str">
        <f t="shared" si="0"/>
        <v/>
      </c>
      <c r="D46" s="557"/>
      <c r="E46" s="170"/>
      <c r="F46" s="2078"/>
      <c r="G46" s="1862"/>
      <c r="H46" s="1926"/>
      <c r="I46" s="2008"/>
      <c r="J46" s="1926"/>
      <c r="K46" s="1926"/>
      <c r="L46" s="170"/>
      <c r="M46" s="2009">
        <v>0</v>
      </c>
      <c r="N46" s="2010">
        <v>1</v>
      </c>
      <c r="O46" s="773">
        <f t="shared" si="1"/>
        <v>0</v>
      </c>
      <c r="P46" s="2008" t="s">
        <v>39</v>
      </c>
      <c r="Q46" s="2008" t="s">
        <v>604</v>
      </c>
      <c r="R46" s="2011" t="s">
        <v>74</v>
      </c>
      <c r="S46" s="775">
        <f>SUMIF('Data Input sheet'!$B$118:$B$180,R46,'Data Input sheet'!$D$118:$D$180)</f>
        <v>152</v>
      </c>
      <c r="T46" s="2685">
        <f t="shared" si="20"/>
        <v>0</v>
      </c>
      <c r="U46" s="2013">
        <v>0</v>
      </c>
      <c r="V46" s="778">
        <f t="shared" si="22"/>
        <v>0</v>
      </c>
      <c r="W46" s="2010"/>
      <c r="X46" s="779"/>
      <c r="Y46" s="2012">
        <v>0</v>
      </c>
      <c r="Z46" s="780">
        <f t="shared" si="3"/>
        <v>0</v>
      </c>
      <c r="AA46" s="2007"/>
      <c r="AB46" s="2007"/>
      <c r="AC46" s="765"/>
      <c r="AD46" s="781">
        <f t="shared" si="40"/>
        <v>0</v>
      </c>
      <c r="AE46" s="781">
        <f t="shared" si="5"/>
        <v>0</v>
      </c>
      <c r="AF46" s="781">
        <f t="shared" si="41"/>
        <v>0</v>
      </c>
      <c r="AG46" s="781">
        <f t="shared" si="42"/>
        <v>0</v>
      </c>
      <c r="AH46" s="781">
        <f t="shared" si="8"/>
        <v>0</v>
      </c>
      <c r="AI46" s="782">
        <f t="shared" si="43"/>
        <v>0</v>
      </c>
      <c r="AJ46" s="781">
        <f t="shared" si="44"/>
        <v>0</v>
      </c>
      <c r="AK46" s="781">
        <f t="shared" si="11"/>
        <v>0</v>
      </c>
      <c r="AL46" s="781">
        <f t="shared" si="45"/>
        <v>0</v>
      </c>
      <c r="AM46" s="781">
        <f t="shared" si="46"/>
        <v>0</v>
      </c>
      <c r="AN46" s="781">
        <f t="shared" si="14"/>
        <v>0</v>
      </c>
      <c r="AO46" s="781">
        <f t="shared" si="47"/>
        <v>0</v>
      </c>
      <c r="AP46" s="781">
        <f t="shared" si="48"/>
        <v>0</v>
      </c>
      <c r="AQ46" s="781">
        <f t="shared" si="17"/>
        <v>0</v>
      </c>
      <c r="AR46" s="781">
        <f t="shared" si="49"/>
        <v>0</v>
      </c>
      <c r="AS46" s="783">
        <f t="shared" si="19"/>
        <v>0</v>
      </c>
    </row>
    <row r="47" spans="1:45" ht="15" x14ac:dyDescent="0.25">
      <c r="A47" s="768"/>
      <c r="B47" s="719">
        <f t="shared" si="21"/>
        <v>39</v>
      </c>
      <c r="C47" s="170" t="str">
        <f t="shared" si="0"/>
        <v/>
      </c>
      <c r="D47" s="557"/>
      <c r="E47" s="170"/>
      <c r="F47" s="2078"/>
      <c r="G47" s="1862"/>
      <c r="H47" s="1926"/>
      <c r="I47" s="2008"/>
      <c r="J47" s="1926"/>
      <c r="K47" s="1926"/>
      <c r="L47" s="170"/>
      <c r="M47" s="2009">
        <v>0</v>
      </c>
      <c r="N47" s="2010">
        <v>1</v>
      </c>
      <c r="O47" s="773">
        <f t="shared" si="1"/>
        <v>0</v>
      </c>
      <c r="P47" s="2008" t="s">
        <v>39</v>
      </c>
      <c r="Q47" s="2008" t="s">
        <v>604</v>
      </c>
      <c r="R47" s="2011" t="s">
        <v>74</v>
      </c>
      <c r="S47" s="775">
        <f>SUMIF('Data Input sheet'!$B$118:$B$180,R47,'Data Input sheet'!$D$118:$D$180)</f>
        <v>152</v>
      </c>
      <c r="T47" s="2685">
        <f t="shared" si="20"/>
        <v>0</v>
      </c>
      <c r="U47" s="2013">
        <v>0</v>
      </c>
      <c r="V47" s="778">
        <f t="shared" si="22"/>
        <v>0</v>
      </c>
      <c r="W47" s="2010"/>
      <c r="X47" s="779"/>
      <c r="Y47" s="2012">
        <v>0</v>
      </c>
      <c r="Z47" s="780">
        <f t="shared" si="3"/>
        <v>0</v>
      </c>
      <c r="AA47" s="2007"/>
      <c r="AB47" s="2007"/>
      <c r="AC47" s="765"/>
      <c r="AD47" s="781">
        <f t="shared" si="40"/>
        <v>0</v>
      </c>
      <c r="AE47" s="781">
        <f t="shared" si="5"/>
        <v>0</v>
      </c>
      <c r="AF47" s="781">
        <f t="shared" si="41"/>
        <v>0</v>
      </c>
      <c r="AG47" s="781">
        <f t="shared" si="42"/>
        <v>0</v>
      </c>
      <c r="AH47" s="781">
        <f t="shared" si="8"/>
        <v>0</v>
      </c>
      <c r="AI47" s="782">
        <f t="shared" si="43"/>
        <v>0</v>
      </c>
      <c r="AJ47" s="781">
        <f t="shared" si="44"/>
        <v>0</v>
      </c>
      <c r="AK47" s="781">
        <f t="shared" si="11"/>
        <v>0</v>
      </c>
      <c r="AL47" s="781">
        <f t="shared" si="45"/>
        <v>0</v>
      </c>
      <c r="AM47" s="781">
        <f t="shared" si="46"/>
        <v>0</v>
      </c>
      <c r="AN47" s="781">
        <f t="shared" si="14"/>
        <v>0</v>
      </c>
      <c r="AO47" s="781">
        <f t="shared" si="47"/>
        <v>0</v>
      </c>
      <c r="AP47" s="781">
        <f t="shared" si="48"/>
        <v>0</v>
      </c>
      <c r="AQ47" s="781">
        <f t="shared" si="17"/>
        <v>0</v>
      </c>
      <c r="AR47" s="781">
        <f t="shared" si="49"/>
        <v>0</v>
      </c>
      <c r="AS47" s="783">
        <f t="shared" si="19"/>
        <v>0</v>
      </c>
    </row>
    <row r="48" spans="1:45" ht="15" x14ac:dyDescent="0.25">
      <c r="A48" s="768"/>
      <c r="B48" s="719">
        <f t="shared" si="21"/>
        <v>40</v>
      </c>
      <c r="C48" s="170" t="str">
        <f t="shared" si="0"/>
        <v/>
      </c>
      <c r="D48" s="557"/>
      <c r="E48" s="170"/>
      <c r="F48" s="2078"/>
      <c r="G48" s="1862"/>
      <c r="H48" s="1926"/>
      <c r="I48" s="2008"/>
      <c r="J48" s="1926"/>
      <c r="K48" s="1926"/>
      <c r="L48" s="170"/>
      <c r="M48" s="2009">
        <v>0</v>
      </c>
      <c r="N48" s="2010">
        <v>1</v>
      </c>
      <c r="O48" s="773">
        <f t="shared" si="1"/>
        <v>0</v>
      </c>
      <c r="P48" s="2008" t="s">
        <v>39</v>
      </c>
      <c r="Q48" s="2008" t="s">
        <v>604</v>
      </c>
      <c r="R48" s="2011" t="s">
        <v>74</v>
      </c>
      <c r="S48" s="775">
        <f>SUMIF('Data Input sheet'!$B$118:$B$180,R48,'Data Input sheet'!$D$118:$D$180)</f>
        <v>152</v>
      </c>
      <c r="T48" s="2685">
        <f t="shared" si="20"/>
        <v>0</v>
      </c>
      <c r="U48" s="2013">
        <v>0</v>
      </c>
      <c r="V48" s="778">
        <f t="shared" si="22"/>
        <v>0</v>
      </c>
      <c r="W48" s="2010"/>
      <c r="X48" s="779"/>
      <c r="Y48" s="2012">
        <v>0</v>
      </c>
      <c r="Z48" s="780">
        <f t="shared" si="3"/>
        <v>0</v>
      </c>
      <c r="AA48" s="2007"/>
      <c r="AB48" s="2007"/>
      <c r="AC48" s="765"/>
      <c r="AD48" s="781">
        <f t="shared" si="40"/>
        <v>0</v>
      </c>
      <c r="AE48" s="781">
        <f t="shared" si="5"/>
        <v>0</v>
      </c>
      <c r="AF48" s="781">
        <f t="shared" si="41"/>
        <v>0</v>
      </c>
      <c r="AG48" s="781">
        <f t="shared" si="42"/>
        <v>0</v>
      </c>
      <c r="AH48" s="781">
        <f t="shared" si="8"/>
        <v>0</v>
      </c>
      <c r="AI48" s="782">
        <f t="shared" si="43"/>
        <v>0</v>
      </c>
      <c r="AJ48" s="781">
        <f t="shared" si="44"/>
        <v>0</v>
      </c>
      <c r="AK48" s="781">
        <f t="shared" si="11"/>
        <v>0</v>
      </c>
      <c r="AL48" s="781">
        <f t="shared" si="45"/>
        <v>0</v>
      </c>
      <c r="AM48" s="781">
        <f t="shared" si="46"/>
        <v>0</v>
      </c>
      <c r="AN48" s="781">
        <f t="shared" si="14"/>
        <v>0</v>
      </c>
      <c r="AO48" s="781">
        <f t="shared" si="47"/>
        <v>0</v>
      </c>
      <c r="AP48" s="781">
        <f t="shared" si="48"/>
        <v>0</v>
      </c>
      <c r="AQ48" s="781">
        <f t="shared" si="17"/>
        <v>0</v>
      </c>
      <c r="AR48" s="781">
        <f t="shared" si="49"/>
        <v>0</v>
      </c>
      <c r="AS48" s="783">
        <f t="shared" si="19"/>
        <v>0</v>
      </c>
    </row>
    <row r="49" spans="1:45" ht="15" x14ac:dyDescent="0.25">
      <c r="A49" s="768"/>
      <c r="B49" s="719">
        <f t="shared" si="21"/>
        <v>41</v>
      </c>
      <c r="C49" s="170" t="str">
        <f t="shared" si="0"/>
        <v/>
      </c>
      <c r="D49" s="557"/>
      <c r="E49" s="170"/>
      <c r="F49" s="2078"/>
      <c r="G49" s="1862"/>
      <c r="H49" s="1926"/>
      <c r="I49" s="2008"/>
      <c r="J49" s="1926"/>
      <c r="K49" s="1926"/>
      <c r="L49" s="170"/>
      <c r="M49" s="2009">
        <v>0</v>
      </c>
      <c r="N49" s="2010">
        <v>1</v>
      </c>
      <c r="O49" s="773">
        <f t="shared" si="1"/>
        <v>0</v>
      </c>
      <c r="P49" s="2008" t="s">
        <v>39</v>
      </c>
      <c r="Q49" s="2008" t="s">
        <v>604</v>
      </c>
      <c r="R49" s="2011" t="s">
        <v>74</v>
      </c>
      <c r="S49" s="775">
        <f>SUMIF('Data Input sheet'!$B$118:$B$180,R49,'Data Input sheet'!$D$118:$D$180)</f>
        <v>152</v>
      </c>
      <c r="T49" s="2685">
        <f t="shared" si="20"/>
        <v>0</v>
      </c>
      <c r="U49" s="2013">
        <v>0</v>
      </c>
      <c r="V49" s="778">
        <f t="shared" si="22"/>
        <v>0</v>
      </c>
      <c r="W49" s="2010"/>
      <c r="X49" s="779"/>
      <c r="Y49" s="2012">
        <v>0</v>
      </c>
      <c r="Z49" s="780">
        <f t="shared" si="3"/>
        <v>0</v>
      </c>
      <c r="AA49" s="2007"/>
      <c r="AB49" s="2007"/>
      <c r="AC49" s="765"/>
      <c r="AD49" s="781">
        <f t="shared" si="40"/>
        <v>0</v>
      </c>
      <c r="AE49" s="781">
        <f t="shared" si="5"/>
        <v>0</v>
      </c>
      <c r="AF49" s="781">
        <f t="shared" si="41"/>
        <v>0</v>
      </c>
      <c r="AG49" s="781">
        <f t="shared" si="42"/>
        <v>0</v>
      </c>
      <c r="AH49" s="781">
        <f t="shared" si="8"/>
        <v>0</v>
      </c>
      <c r="AI49" s="782">
        <f t="shared" si="43"/>
        <v>0</v>
      </c>
      <c r="AJ49" s="781">
        <f t="shared" si="44"/>
        <v>0</v>
      </c>
      <c r="AK49" s="781">
        <f t="shared" si="11"/>
        <v>0</v>
      </c>
      <c r="AL49" s="781">
        <f t="shared" si="45"/>
        <v>0</v>
      </c>
      <c r="AM49" s="781">
        <f t="shared" si="46"/>
        <v>0</v>
      </c>
      <c r="AN49" s="781">
        <f t="shared" si="14"/>
        <v>0</v>
      </c>
      <c r="AO49" s="781">
        <f t="shared" si="47"/>
        <v>0</v>
      </c>
      <c r="AP49" s="781">
        <f t="shared" si="48"/>
        <v>0</v>
      </c>
      <c r="AQ49" s="781">
        <f t="shared" si="17"/>
        <v>0</v>
      </c>
      <c r="AR49" s="781">
        <f t="shared" si="49"/>
        <v>0</v>
      </c>
      <c r="AS49" s="783">
        <f t="shared" si="19"/>
        <v>0</v>
      </c>
    </row>
    <row r="50" spans="1:45" ht="15" x14ac:dyDescent="0.25">
      <c r="A50" s="768"/>
      <c r="B50" s="719">
        <f t="shared" si="21"/>
        <v>42</v>
      </c>
      <c r="C50" s="170" t="str">
        <f t="shared" si="0"/>
        <v/>
      </c>
      <c r="D50" s="557"/>
      <c r="E50" s="170"/>
      <c r="F50" s="2078"/>
      <c r="G50" s="1862"/>
      <c r="H50" s="1926"/>
      <c r="I50" s="2008"/>
      <c r="J50" s="1926"/>
      <c r="K50" s="1926"/>
      <c r="L50" s="170"/>
      <c r="M50" s="2009">
        <v>0</v>
      </c>
      <c r="N50" s="2010">
        <v>1</v>
      </c>
      <c r="O50" s="773">
        <f t="shared" si="1"/>
        <v>0</v>
      </c>
      <c r="P50" s="2008" t="s">
        <v>39</v>
      </c>
      <c r="Q50" s="2008" t="s">
        <v>604</v>
      </c>
      <c r="R50" s="2011" t="s">
        <v>74</v>
      </c>
      <c r="S50" s="775">
        <f>SUMIF('Data Input sheet'!$B$118:$B$180,R50,'Data Input sheet'!$D$118:$D$180)</f>
        <v>152</v>
      </c>
      <c r="T50" s="2685">
        <f t="shared" si="20"/>
        <v>0</v>
      </c>
      <c r="U50" s="2013">
        <v>0</v>
      </c>
      <c r="V50" s="778">
        <f t="shared" si="22"/>
        <v>0</v>
      </c>
      <c r="W50" s="2010"/>
      <c r="X50" s="779"/>
      <c r="Y50" s="2012">
        <v>0</v>
      </c>
      <c r="Z50" s="780">
        <f t="shared" si="3"/>
        <v>0</v>
      </c>
      <c r="AA50" s="2007"/>
      <c r="AB50" s="2007"/>
      <c r="AC50" s="765"/>
      <c r="AD50" s="781">
        <f t="shared" si="40"/>
        <v>0</v>
      </c>
      <c r="AE50" s="781">
        <f t="shared" si="5"/>
        <v>0</v>
      </c>
      <c r="AF50" s="781">
        <f t="shared" si="41"/>
        <v>0</v>
      </c>
      <c r="AG50" s="781">
        <f t="shared" si="42"/>
        <v>0</v>
      </c>
      <c r="AH50" s="781">
        <f t="shared" si="8"/>
        <v>0</v>
      </c>
      <c r="AI50" s="782">
        <f t="shared" si="43"/>
        <v>0</v>
      </c>
      <c r="AJ50" s="781">
        <f t="shared" si="44"/>
        <v>0</v>
      </c>
      <c r="AK50" s="781">
        <f t="shared" si="11"/>
        <v>0</v>
      </c>
      <c r="AL50" s="781">
        <f t="shared" si="45"/>
        <v>0</v>
      </c>
      <c r="AM50" s="781">
        <f t="shared" si="46"/>
        <v>0</v>
      </c>
      <c r="AN50" s="781">
        <f t="shared" si="14"/>
        <v>0</v>
      </c>
      <c r="AO50" s="781">
        <f t="shared" si="47"/>
        <v>0</v>
      </c>
      <c r="AP50" s="781">
        <f t="shared" si="48"/>
        <v>0</v>
      </c>
      <c r="AQ50" s="781">
        <f t="shared" si="17"/>
        <v>0</v>
      </c>
      <c r="AR50" s="781">
        <f t="shared" si="49"/>
        <v>0</v>
      </c>
      <c r="AS50" s="783">
        <f t="shared" si="19"/>
        <v>0</v>
      </c>
    </row>
    <row r="51" spans="1:45" ht="15" x14ac:dyDescent="0.25">
      <c r="A51" s="768"/>
      <c r="B51" s="719">
        <f t="shared" si="21"/>
        <v>43</v>
      </c>
      <c r="C51" s="170" t="str">
        <f t="shared" si="0"/>
        <v/>
      </c>
      <c r="D51" s="557"/>
      <c r="E51" s="170"/>
      <c r="F51" s="2078"/>
      <c r="G51" s="1862"/>
      <c r="H51" s="1926"/>
      <c r="I51" s="2008"/>
      <c r="J51" s="1926"/>
      <c r="K51" s="1926"/>
      <c r="L51" s="170"/>
      <c r="M51" s="2009">
        <v>0</v>
      </c>
      <c r="N51" s="2010">
        <v>1</v>
      </c>
      <c r="O51" s="773">
        <f t="shared" si="1"/>
        <v>0</v>
      </c>
      <c r="P51" s="2008" t="s">
        <v>39</v>
      </c>
      <c r="Q51" s="2008" t="s">
        <v>604</v>
      </c>
      <c r="R51" s="2011" t="s">
        <v>74</v>
      </c>
      <c r="S51" s="775">
        <f>SUMIF('Data Input sheet'!$B$118:$B$180,R51,'Data Input sheet'!$D$118:$D$180)</f>
        <v>152</v>
      </c>
      <c r="T51" s="2685">
        <f t="shared" si="20"/>
        <v>0</v>
      </c>
      <c r="U51" s="2013">
        <v>0</v>
      </c>
      <c r="V51" s="778">
        <f t="shared" si="22"/>
        <v>0</v>
      </c>
      <c r="W51" s="2010"/>
      <c r="X51" s="779"/>
      <c r="Y51" s="2012">
        <v>0</v>
      </c>
      <c r="Z51" s="780">
        <f t="shared" si="3"/>
        <v>0</v>
      </c>
      <c r="AA51" s="2007"/>
      <c r="AB51" s="2007"/>
      <c r="AC51" s="765"/>
      <c r="AD51" s="781">
        <f t="shared" si="40"/>
        <v>0</v>
      </c>
      <c r="AE51" s="781">
        <f t="shared" si="5"/>
        <v>0</v>
      </c>
      <c r="AF51" s="781">
        <f t="shared" si="41"/>
        <v>0</v>
      </c>
      <c r="AG51" s="781">
        <f t="shared" si="42"/>
        <v>0</v>
      </c>
      <c r="AH51" s="781">
        <f t="shared" si="8"/>
        <v>0</v>
      </c>
      <c r="AI51" s="782">
        <f t="shared" si="43"/>
        <v>0</v>
      </c>
      <c r="AJ51" s="781">
        <f t="shared" si="44"/>
        <v>0</v>
      </c>
      <c r="AK51" s="781">
        <f t="shared" si="11"/>
        <v>0</v>
      </c>
      <c r="AL51" s="781">
        <f t="shared" si="45"/>
        <v>0</v>
      </c>
      <c r="AM51" s="781">
        <f t="shared" si="46"/>
        <v>0</v>
      </c>
      <c r="AN51" s="781">
        <f t="shared" si="14"/>
        <v>0</v>
      </c>
      <c r="AO51" s="781">
        <f t="shared" si="47"/>
        <v>0</v>
      </c>
      <c r="AP51" s="781">
        <f t="shared" si="48"/>
        <v>0</v>
      </c>
      <c r="AQ51" s="781">
        <f t="shared" si="17"/>
        <v>0</v>
      </c>
      <c r="AR51" s="781">
        <f t="shared" si="49"/>
        <v>0</v>
      </c>
      <c r="AS51" s="783">
        <f t="shared" si="19"/>
        <v>0</v>
      </c>
    </row>
    <row r="52" spans="1:45" ht="15" x14ac:dyDescent="0.25">
      <c r="A52" s="768"/>
      <c r="B52" s="719">
        <f t="shared" si="21"/>
        <v>44</v>
      </c>
      <c r="C52" s="170" t="str">
        <f t="shared" si="0"/>
        <v/>
      </c>
      <c r="D52" s="557"/>
      <c r="E52" s="170"/>
      <c r="F52" s="2078"/>
      <c r="G52" s="1862"/>
      <c r="H52" s="1926"/>
      <c r="I52" s="2008"/>
      <c r="J52" s="1926"/>
      <c r="K52" s="1926"/>
      <c r="L52" s="170"/>
      <c r="M52" s="2009">
        <v>0</v>
      </c>
      <c r="N52" s="2010">
        <v>1</v>
      </c>
      <c r="O52" s="773">
        <f t="shared" si="1"/>
        <v>0</v>
      </c>
      <c r="P52" s="2008" t="s">
        <v>39</v>
      </c>
      <c r="Q52" s="2008" t="s">
        <v>604</v>
      </c>
      <c r="R52" s="2011" t="s">
        <v>74</v>
      </c>
      <c r="S52" s="775">
        <f>SUMIF('Data Input sheet'!$B$118:$B$180,R52,'Data Input sheet'!$D$118:$D$180)</f>
        <v>152</v>
      </c>
      <c r="T52" s="2685">
        <f t="shared" si="20"/>
        <v>0</v>
      </c>
      <c r="U52" s="2013">
        <v>0</v>
      </c>
      <c r="V52" s="778">
        <f t="shared" si="22"/>
        <v>0</v>
      </c>
      <c r="W52" s="2010"/>
      <c r="X52" s="779"/>
      <c r="Y52" s="2012">
        <v>0</v>
      </c>
      <c r="Z52" s="780">
        <f t="shared" si="3"/>
        <v>0</v>
      </c>
      <c r="AA52" s="2007"/>
      <c r="AB52" s="2007"/>
      <c r="AC52" s="765"/>
      <c r="AD52" s="781">
        <f t="shared" si="40"/>
        <v>0</v>
      </c>
      <c r="AE52" s="781">
        <f t="shared" si="5"/>
        <v>0</v>
      </c>
      <c r="AF52" s="781">
        <f t="shared" si="41"/>
        <v>0</v>
      </c>
      <c r="AG52" s="781">
        <f t="shared" si="42"/>
        <v>0</v>
      </c>
      <c r="AH52" s="781">
        <f t="shared" si="8"/>
        <v>0</v>
      </c>
      <c r="AI52" s="782">
        <f t="shared" si="43"/>
        <v>0</v>
      </c>
      <c r="AJ52" s="781">
        <f t="shared" si="44"/>
        <v>0</v>
      </c>
      <c r="AK52" s="781">
        <f t="shared" si="11"/>
        <v>0</v>
      </c>
      <c r="AL52" s="781">
        <f t="shared" si="45"/>
        <v>0</v>
      </c>
      <c r="AM52" s="781">
        <f t="shared" si="46"/>
        <v>0</v>
      </c>
      <c r="AN52" s="781">
        <f t="shared" si="14"/>
        <v>0</v>
      </c>
      <c r="AO52" s="781">
        <f t="shared" si="47"/>
        <v>0</v>
      </c>
      <c r="AP52" s="781">
        <f t="shared" si="48"/>
        <v>0</v>
      </c>
      <c r="AQ52" s="781">
        <f t="shared" si="17"/>
        <v>0</v>
      </c>
      <c r="AR52" s="781">
        <f t="shared" si="49"/>
        <v>0</v>
      </c>
      <c r="AS52" s="783">
        <f t="shared" si="19"/>
        <v>0</v>
      </c>
    </row>
    <row r="53" spans="1:45" ht="15" x14ac:dyDescent="0.25">
      <c r="A53" s="768"/>
      <c r="B53" s="719">
        <f t="shared" si="21"/>
        <v>45</v>
      </c>
      <c r="C53" s="170" t="str">
        <f t="shared" si="0"/>
        <v/>
      </c>
      <c r="D53" s="557"/>
      <c r="E53" s="170"/>
      <c r="F53" s="2078"/>
      <c r="G53" s="1862"/>
      <c r="H53" s="1926"/>
      <c r="I53" s="2008"/>
      <c r="J53" s="1926"/>
      <c r="K53" s="1926"/>
      <c r="L53" s="170"/>
      <c r="M53" s="2009">
        <v>0</v>
      </c>
      <c r="N53" s="2010">
        <v>1</v>
      </c>
      <c r="O53" s="773">
        <f t="shared" si="1"/>
        <v>0</v>
      </c>
      <c r="P53" s="2008" t="s">
        <v>39</v>
      </c>
      <c r="Q53" s="2008" t="s">
        <v>604</v>
      </c>
      <c r="R53" s="2011" t="s">
        <v>74</v>
      </c>
      <c r="S53" s="775">
        <f>SUMIF('Data Input sheet'!$B$118:$B$180,R53,'Data Input sheet'!$D$118:$D$180)</f>
        <v>152</v>
      </c>
      <c r="T53" s="2685">
        <f t="shared" si="20"/>
        <v>0</v>
      </c>
      <c r="U53" s="2013">
        <v>0</v>
      </c>
      <c r="V53" s="778">
        <f t="shared" si="22"/>
        <v>0</v>
      </c>
      <c r="W53" s="2010"/>
      <c r="X53" s="779"/>
      <c r="Y53" s="2012">
        <v>0</v>
      </c>
      <c r="Z53" s="780">
        <f t="shared" si="3"/>
        <v>0</v>
      </c>
      <c r="AA53" s="2007"/>
      <c r="AB53" s="2007"/>
      <c r="AC53" s="765"/>
      <c r="AD53" s="781">
        <f t="shared" si="40"/>
        <v>0</v>
      </c>
      <c r="AE53" s="781">
        <f t="shared" si="5"/>
        <v>0</v>
      </c>
      <c r="AF53" s="781">
        <f t="shared" si="41"/>
        <v>0</v>
      </c>
      <c r="AG53" s="781">
        <f t="shared" si="42"/>
        <v>0</v>
      </c>
      <c r="AH53" s="781">
        <f t="shared" si="8"/>
        <v>0</v>
      </c>
      <c r="AI53" s="782">
        <f t="shared" si="43"/>
        <v>0</v>
      </c>
      <c r="AJ53" s="781">
        <f t="shared" si="44"/>
        <v>0</v>
      </c>
      <c r="AK53" s="781">
        <f t="shared" si="11"/>
        <v>0</v>
      </c>
      <c r="AL53" s="781">
        <f t="shared" si="45"/>
        <v>0</v>
      </c>
      <c r="AM53" s="781">
        <f t="shared" si="46"/>
        <v>0</v>
      </c>
      <c r="AN53" s="781">
        <f t="shared" si="14"/>
        <v>0</v>
      </c>
      <c r="AO53" s="781">
        <f t="shared" si="47"/>
        <v>0</v>
      </c>
      <c r="AP53" s="781">
        <f t="shared" si="48"/>
        <v>0</v>
      </c>
      <c r="AQ53" s="781">
        <f t="shared" si="17"/>
        <v>0</v>
      </c>
      <c r="AR53" s="781">
        <f t="shared" si="49"/>
        <v>0</v>
      </c>
      <c r="AS53" s="783">
        <f t="shared" si="19"/>
        <v>0</v>
      </c>
    </row>
    <row r="54" spans="1:45" ht="15" x14ac:dyDescent="0.25">
      <c r="A54" s="768"/>
      <c r="B54" s="719">
        <f t="shared" si="21"/>
        <v>46</v>
      </c>
      <c r="C54" s="170" t="str">
        <f t="shared" si="0"/>
        <v/>
      </c>
      <c r="D54" s="557"/>
      <c r="E54" s="170"/>
      <c r="F54" s="2078"/>
      <c r="G54" s="1862"/>
      <c r="H54" s="1926"/>
      <c r="I54" s="2008"/>
      <c r="J54" s="1926"/>
      <c r="K54" s="1926"/>
      <c r="L54" s="170"/>
      <c r="M54" s="2009">
        <v>0</v>
      </c>
      <c r="N54" s="2010">
        <v>1</v>
      </c>
      <c r="O54" s="773">
        <f t="shared" si="1"/>
        <v>0</v>
      </c>
      <c r="P54" s="2008" t="s">
        <v>39</v>
      </c>
      <c r="Q54" s="2008" t="s">
        <v>604</v>
      </c>
      <c r="R54" s="2011" t="s">
        <v>74</v>
      </c>
      <c r="S54" s="775">
        <f>SUMIF('Data Input sheet'!$B$118:$B$180,R54,'Data Input sheet'!$D$118:$D$180)</f>
        <v>152</v>
      </c>
      <c r="T54" s="2685">
        <f t="shared" si="20"/>
        <v>0</v>
      </c>
      <c r="U54" s="2013">
        <v>0</v>
      </c>
      <c r="V54" s="778">
        <f t="shared" si="22"/>
        <v>0</v>
      </c>
      <c r="W54" s="2010"/>
      <c r="X54" s="779"/>
      <c r="Y54" s="2012">
        <v>0</v>
      </c>
      <c r="Z54" s="780">
        <f t="shared" si="3"/>
        <v>0</v>
      </c>
      <c r="AA54" s="2007"/>
      <c r="AB54" s="2007"/>
      <c r="AC54" s="765"/>
      <c r="AD54" s="781">
        <f t="shared" si="40"/>
        <v>0</v>
      </c>
      <c r="AE54" s="781">
        <f t="shared" si="5"/>
        <v>0</v>
      </c>
      <c r="AF54" s="781">
        <f t="shared" si="41"/>
        <v>0</v>
      </c>
      <c r="AG54" s="781">
        <f t="shared" si="42"/>
        <v>0</v>
      </c>
      <c r="AH54" s="781">
        <f t="shared" si="8"/>
        <v>0</v>
      </c>
      <c r="AI54" s="782">
        <f t="shared" si="43"/>
        <v>0</v>
      </c>
      <c r="AJ54" s="781">
        <f t="shared" si="44"/>
        <v>0</v>
      </c>
      <c r="AK54" s="781">
        <f t="shared" si="11"/>
        <v>0</v>
      </c>
      <c r="AL54" s="781">
        <f t="shared" si="45"/>
        <v>0</v>
      </c>
      <c r="AM54" s="781">
        <f t="shared" si="46"/>
        <v>0</v>
      </c>
      <c r="AN54" s="781">
        <f t="shared" si="14"/>
        <v>0</v>
      </c>
      <c r="AO54" s="781">
        <f t="shared" si="47"/>
        <v>0</v>
      </c>
      <c r="AP54" s="781">
        <f t="shared" si="48"/>
        <v>0</v>
      </c>
      <c r="AQ54" s="781">
        <f t="shared" si="17"/>
        <v>0</v>
      </c>
      <c r="AR54" s="781">
        <f t="shared" si="49"/>
        <v>0</v>
      </c>
      <c r="AS54" s="783">
        <f t="shared" si="19"/>
        <v>0</v>
      </c>
    </row>
    <row r="55" spans="1:45" ht="15" x14ac:dyDescent="0.25">
      <c r="A55" s="768"/>
      <c r="B55" s="719">
        <f t="shared" si="21"/>
        <v>47</v>
      </c>
      <c r="C55" s="170" t="str">
        <f t="shared" si="0"/>
        <v/>
      </c>
      <c r="D55" s="557"/>
      <c r="E55" s="170"/>
      <c r="F55" s="2078"/>
      <c r="G55" s="1862"/>
      <c r="H55" s="1926"/>
      <c r="I55" s="2008"/>
      <c r="J55" s="1926"/>
      <c r="K55" s="1926"/>
      <c r="L55" s="170"/>
      <c r="M55" s="2009">
        <v>0</v>
      </c>
      <c r="N55" s="2010">
        <v>1</v>
      </c>
      <c r="O55" s="773">
        <f t="shared" si="1"/>
        <v>0</v>
      </c>
      <c r="P55" s="2008" t="s">
        <v>39</v>
      </c>
      <c r="Q55" s="2008" t="s">
        <v>604</v>
      </c>
      <c r="R55" s="2011" t="s">
        <v>74</v>
      </c>
      <c r="S55" s="775">
        <f>SUMIF('Data Input sheet'!$B$118:$B$180,R55,'Data Input sheet'!$D$118:$D$180)</f>
        <v>152</v>
      </c>
      <c r="T55" s="2685">
        <f t="shared" si="20"/>
        <v>0</v>
      </c>
      <c r="U55" s="2013">
        <v>0</v>
      </c>
      <c r="V55" s="778">
        <f t="shared" si="22"/>
        <v>0</v>
      </c>
      <c r="W55" s="2010"/>
      <c r="X55" s="779"/>
      <c r="Y55" s="2012">
        <v>0</v>
      </c>
      <c r="Z55" s="780">
        <f t="shared" si="3"/>
        <v>0</v>
      </c>
      <c r="AA55" s="2007"/>
      <c r="AB55" s="2007"/>
      <c r="AC55" s="765"/>
      <c r="AD55" s="781">
        <f t="shared" si="40"/>
        <v>0</v>
      </c>
      <c r="AE55" s="781">
        <f t="shared" si="5"/>
        <v>0</v>
      </c>
      <c r="AF55" s="781">
        <f t="shared" si="41"/>
        <v>0</v>
      </c>
      <c r="AG55" s="781">
        <f t="shared" si="42"/>
        <v>0</v>
      </c>
      <c r="AH55" s="781">
        <f t="shared" si="8"/>
        <v>0</v>
      </c>
      <c r="AI55" s="782">
        <f t="shared" si="43"/>
        <v>0</v>
      </c>
      <c r="AJ55" s="781">
        <f t="shared" si="44"/>
        <v>0</v>
      </c>
      <c r="AK55" s="781">
        <f t="shared" si="11"/>
        <v>0</v>
      </c>
      <c r="AL55" s="781">
        <f t="shared" si="45"/>
        <v>0</v>
      </c>
      <c r="AM55" s="781">
        <f t="shared" si="46"/>
        <v>0</v>
      </c>
      <c r="AN55" s="781">
        <f t="shared" si="14"/>
        <v>0</v>
      </c>
      <c r="AO55" s="781">
        <f t="shared" si="47"/>
        <v>0</v>
      </c>
      <c r="AP55" s="781">
        <f t="shared" si="48"/>
        <v>0</v>
      </c>
      <c r="AQ55" s="781">
        <f t="shared" si="17"/>
        <v>0</v>
      </c>
      <c r="AR55" s="781">
        <f t="shared" si="49"/>
        <v>0</v>
      </c>
      <c r="AS55" s="783">
        <f t="shared" si="19"/>
        <v>0</v>
      </c>
    </row>
    <row r="56" spans="1:45" ht="15" x14ac:dyDescent="0.25">
      <c r="A56" s="768"/>
      <c r="B56" s="719">
        <f t="shared" si="21"/>
        <v>48</v>
      </c>
      <c r="C56" s="170" t="str">
        <f t="shared" si="0"/>
        <v/>
      </c>
      <c r="D56" s="557"/>
      <c r="E56" s="170"/>
      <c r="F56" s="2078"/>
      <c r="G56" s="1862"/>
      <c r="H56" s="1926"/>
      <c r="I56" s="2008"/>
      <c r="J56" s="1926"/>
      <c r="K56" s="1926"/>
      <c r="L56" s="170"/>
      <c r="M56" s="2009">
        <v>0</v>
      </c>
      <c r="N56" s="2010">
        <v>1</v>
      </c>
      <c r="O56" s="773">
        <f t="shared" si="1"/>
        <v>0</v>
      </c>
      <c r="P56" s="2008" t="s">
        <v>39</v>
      </c>
      <c r="Q56" s="2008" t="s">
        <v>604</v>
      </c>
      <c r="R56" s="2011" t="s">
        <v>74</v>
      </c>
      <c r="S56" s="775">
        <f>SUMIF('Data Input sheet'!$B$118:$B$180,R56,'Data Input sheet'!$D$118:$D$180)</f>
        <v>152</v>
      </c>
      <c r="T56" s="2685">
        <f t="shared" si="20"/>
        <v>0</v>
      </c>
      <c r="U56" s="2013">
        <v>0</v>
      </c>
      <c r="V56" s="778">
        <f t="shared" si="22"/>
        <v>0</v>
      </c>
      <c r="W56" s="2010"/>
      <c r="X56" s="779"/>
      <c r="Y56" s="2012">
        <v>0</v>
      </c>
      <c r="Z56" s="780">
        <f t="shared" si="3"/>
        <v>0</v>
      </c>
      <c r="AA56" s="2007"/>
      <c r="AB56" s="2007"/>
      <c r="AC56" s="765"/>
      <c r="AD56" s="781">
        <f t="shared" si="40"/>
        <v>0</v>
      </c>
      <c r="AE56" s="781">
        <f t="shared" si="5"/>
        <v>0</v>
      </c>
      <c r="AF56" s="781">
        <f t="shared" si="41"/>
        <v>0</v>
      </c>
      <c r="AG56" s="781">
        <f t="shared" si="42"/>
        <v>0</v>
      </c>
      <c r="AH56" s="781">
        <f t="shared" si="8"/>
        <v>0</v>
      </c>
      <c r="AI56" s="782">
        <f t="shared" si="43"/>
        <v>0</v>
      </c>
      <c r="AJ56" s="781">
        <f t="shared" si="44"/>
        <v>0</v>
      </c>
      <c r="AK56" s="781">
        <f t="shared" si="11"/>
        <v>0</v>
      </c>
      <c r="AL56" s="781">
        <f t="shared" si="45"/>
        <v>0</v>
      </c>
      <c r="AM56" s="781">
        <f t="shared" si="46"/>
        <v>0</v>
      </c>
      <c r="AN56" s="781">
        <f t="shared" si="14"/>
        <v>0</v>
      </c>
      <c r="AO56" s="781">
        <f t="shared" si="47"/>
        <v>0</v>
      </c>
      <c r="AP56" s="781">
        <f t="shared" si="48"/>
        <v>0</v>
      </c>
      <c r="AQ56" s="781">
        <f t="shared" si="17"/>
        <v>0</v>
      </c>
      <c r="AR56" s="781">
        <f t="shared" si="49"/>
        <v>0</v>
      </c>
      <c r="AS56" s="783">
        <f t="shared" si="19"/>
        <v>0</v>
      </c>
    </row>
    <row r="57" spans="1:45" ht="15" x14ac:dyDescent="0.25">
      <c r="A57" s="768"/>
      <c r="B57" s="719">
        <f t="shared" si="21"/>
        <v>49</v>
      </c>
      <c r="C57" s="170" t="str">
        <f t="shared" si="0"/>
        <v/>
      </c>
      <c r="D57" s="557"/>
      <c r="E57" s="170"/>
      <c r="F57" s="2078"/>
      <c r="G57" s="1862"/>
      <c r="H57" s="1926"/>
      <c r="I57" s="2008"/>
      <c r="J57" s="1926"/>
      <c r="K57" s="1926"/>
      <c r="L57" s="170"/>
      <c r="M57" s="2009">
        <v>0</v>
      </c>
      <c r="N57" s="2010">
        <v>1</v>
      </c>
      <c r="O57" s="773">
        <f t="shared" si="1"/>
        <v>0</v>
      </c>
      <c r="P57" s="2008" t="s">
        <v>39</v>
      </c>
      <c r="Q57" s="2008" t="s">
        <v>604</v>
      </c>
      <c r="R57" s="2011" t="s">
        <v>74</v>
      </c>
      <c r="S57" s="775">
        <f>SUMIF('Data Input sheet'!$B$118:$B$180,R57,'Data Input sheet'!$D$118:$D$180)</f>
        <v>152</v>
      </c>
      <c r="T57" s="2685">
        <f t="shared" si="20"/>
        <v>0</v>
      </c>
      <c r="U57" s="2013">
        <v>0</v>
      </c>
      <c r="V57" s="778">
        <f t="shared" si="22"/>
        <v>0</v>
      </c>
      <c r="W57" s="2010"/>
      <c r="X57" s="779"/>
      <c r="Y57" s="2012">
        <v>0</v>
      </c>
      <c r="Z57" s="780">
        <f t="shared" si="3"/>
        <v>0</v>
      </c>
      <c r="AA57" s="2007"/>
      <c r="AB57" s="2007"/>
      <c r="AC57" s="765"/>
      <c r="AD57" s="781">
        <f t="shared" si="40"/>
        <v>0</v>
      </c>
      <c r="AE57" s="781">
        <f t="shared" si="5"/>
        <v>0</v>
      </c>
      <c r="AF57" s="781">
        <f t="shared" si="41"/>
        <v>0</v>
      </c>
      <c r="AG57" s="781">
        <f t="shared" si="42"/>
        <v>0</v>
      </c>
      <c r="AH57" s="781">
        <f t="shared" si="8"/>
        <v>0</v>
      </c>
      <c r="AI57" s="782">
        <f t="shared" si="43"/>
        <v>0</v>
      </c>
      <c r="AJ57" s="781">
        <f t="shared" si="44"/>
        <v>0</v>
      </c>
      <c r="AK57" s="781">
        <f t="shared" si="11"/>
        <v>0</v>
      </c>
      <c r="AL57" s="781">
        <f t="shared" si="45"/>
        <v>0</v>
      </c>
      <c r="AM57" s="781">
        <f t="shared" si="46"/>
        <v>0</v>
      </c>
      <c r="AN57" s="781">
        <f t="shared" si="14"/>
        <v>0</v>
      </c>
      <c r="AO57" s="781">
        <f t="shared" si="47"/>
        <v>0</v>
      </c>
      <c r="AP57" s="781">
        <f t="shared" si="48"/>
        <v>0</v>
      </c>
      <c r="AQ57" s="781">
        <f t="shared" si="17"/>
        <v>0</v>
      </c>
      <c r="AR57" s="781">
        <f t="shared" si="49"/>
        <v>0</v>
      </c>
      <c r="AS57" s="783">
        <f t="shared" si="19"/>
        <v>0</v>
      </c>
    </row>
    <row r="58" spans="1:45" ht="15" x14ac:dyDescent="0.25">
      <c r="A58" s="768"/>
      <c r="B58" s="719">
        <f t="shared" si="21"/>
        <v>50</v>
      </c>
      <c r="C58" s="170" t="str">
        <f t="shared" si="0"/>
        <v/>
      </c>
      <c r="D58" s="557"/>
      <c r="E58" s="170"/>
      <c r="F58" s="2078"/>
      <c r="G58" s="1862"/>
      <c r="H58" s="1926"/>
      <c r="I58" s="2008"/>
      <c r="J58" s="1926"/>
      <c r="K58" s="1926"/>
      <c r="L58" s="170"/>
      <c r="M58" s="2009">
        <v>0</v>
      </c>
      <c r="N58" s="2010">
        <v>1</v>
      </c>
      <c r="O58" s="773">
        <f t="shared" si="1"/>
        <v>0</v>
      </c>
      <c r="P58" s="2008" t="s">
        <v>39</v>
      </c>
      <c r="Q58" s="2008" t="s">
        <v>604</v>
      </c>
      <c r="R58" s="2011" t="s">
        <v>74</v>
      </c>
      <c r="S58" s="775">
        <f>SUMIF('Data Input sheet'!$B$118:$B$180,R58,'Data Input sheet'!$D$118:$D$180)</f>
        <v>152</v>
      </c>
      <c r="T58" s="2685">
        <f t="shared" si="20"/>
        <v>0</v>
      </c>
      <c r="U58" s="2013">
        <v>0</v>
      </c>
      <c r="V58" s="778">
        <f t="shared" si="22"/>
        <v>0</v>
      </c>
      <c r="W58" s="2010"/>
      <c r="X58" s="779"/>
      <c r="Y58" s="2012">
        <v>0</v>
      </c>
      <c r="Z58" s="780">
        <f t="shared" si="3"/>
        <v>0</v>
      </c>
      <c r="AA58" s="2007"/>
      <c r="AB58" s="2007"/>
      <c r="AC58" s="765"/>
      <c r="AD58" s="781">
        <f t="shared" si="40"/>
        <v>0</v>
      </c>
      <c r="AE58" s="781">
        <f t="shared" si="5"/>
        <v>0</v>
      </c>
      <c r="AF58" s="781">
        <f t="shared" si="41"/>
        <v>0</v>
      </c>
      <c r="AG58" s="781">
        <f t="shared" si="42"/>
        <v>0</v>
      </c>
      <c r="AH58" s="781">
        <f t="shared" si="8"/>
        <v>0</v>
      </c>
      <c r="AI58" s="782">
        <f t="shared" si="43"/>
        <v>0</v>
      </c>
      <c r="AJ58" s="781">
        <f t="shared" si="44"/>
        <v>0</v>
      </c>
      <c r="AK58" s="781">
        <f t="shared" si="11"/>
        <v>0</v>
      </c>
      <c r="AL58" s="781">
        <f t="shared" si="45"/>
        <v>0</v>
      </c>
      <c r="AM58" s="781">
        <f t="shared" si="46"/>
        <v>0</v>
      </c>
      <c r="AN58" s="781">
        <f t="shared" si="14"/>
        <v>0</v>
      </c>
      <c r="AO58" s="781">
        <f t="shared" si="47"/>
        <v>0</v>
      </c>
      <c r="AP58" s="781">
        <f t="shared" si="48"/>
        <v>0</v>
      </c>
      <c r="AQ58" s="781">
        <f t="shared" si="17"/>
        <v>0</v>
      </c>
      <c r="AR58" s="781">
        <f t="shared" si="49"/>
        <v>0</v>
      </c>
      <c r="AS58" s="783">
        <f t="shared" si="19"/>
        <v>0</v>
      </c>
    </row>
    <row r="59" spans="1:45" ht="15" x14ac:dyDescent="0.25">
      <c r="A59" s="768"/>
      <c r="B59" s="719">
        <f t="shared" si="21"/>
        <v>51</v>
      </c>
      <c r="C59" s="170" t="str">
        <f t="shared" si="0"/>
        <v/>
      </c>
      <c r="D59" s="557"/>
      <c r="E59" s="170"/>
      <c r="F59" s="2078"/>
      <c r="G59" s="1862"/>
      <c r="H59" s="1926"/>
      <c r="I59" s="2008"/>
      <c r="J59" s="1926"/>
      <c r="K59" s="1926"/>
      <c r="L59" s="170"/>
      <c r="M59" s="2009">
        <v>0</v>
      </c>
      <c r="N59" s="2010">
        <v>1</v>
      </c>
      <c r="O59" s="773">
        <f t="shared" si="1"/>
        <v>0</v>
      </c>
      <c r="P59" s="2008" t="s">
        <v>39</v>
      </c>
      <c r="Q59" s="2008" t="s">
        <v>604</v>
      </c>
      <c r="R59" s="2011" t="s">
        <v>74</v>
      </c>
      <c r="S59" s="775">
        <f>SUMIF('Data Input sheet'!$B$118:$B$180,R59,'Data Input sheet'!$D$118:$D$180)</f>
        <v>152</v>
      </c>
      <c r="T59" s="2685">
        <f t="shared" si="20"/>
        <v>0</v>
      </c>
      <c r="U59" s="2013">
        <v>0</v>
      </c>
      <c r="V59" s="778">
        <f t="shared" si="22"/>
        <v>0</v>
      </c>
      <c r="W59" s="2010"/>
      <c r="X59" s="779"/>
      <c r="Y59" s="2012">
        <v>0</v>
      </c>
      <c r="Z59" s="780">
        <f t="shared" si="3"/>
        <v>0</v>
      </c>
      <c r="AA59" s="2007"/>
      <c r="AB59" s="2007"/>
      <c r="AC59" s="765"/>
      <c r="AD59" s="781">
        <f t="shared" si="40"/>
        <v>0</v>
      </c>
      <c r="AE59" s="781">
        <f t="shared" si="5"/>
        <v>0</v>
      </c>
      <c r="AF59" s="781">
        <f t="shared" si="41"/>
        <v>0</v>
      </c>
      <c r="AG59" s="781">
        <f t="shared" si="42"/>
        <v>0</v>
      </c>
      <c r="AH59" s="781">
        <f t="shared" si="8"/>
        <v>0</v>
      </c>
      <c r="AI59" s="782">
        <f t="shared" si="43"/>
        <v>0</v>
      </c>
      <c r="AJ59" s="781">
        <f t="shared" si="44"/>
        <v>0</v>
      </c>
      <c r="AK59" s="781">
        <f t="shared" si="11"/>
        <v>0</v>
      </c>
      <c r="AL59" s="781">
        <f t="shared" si="45"/>
        <v>0</v>
      </c>
      <c r="AM59" s="781">
        <f t="shared" si="46"/>
        <v>0</v>
      </c>
      <c r="AN59" s="781">
        <f t="shared" si="14"/>
        <v>0</v>
      </c>
      <c r="AO59" s="781">
        <f t="shared" si="47"/>
        <v>0</v>
      </c>
      <c r="AP59" s="781">
        <f t="shared" si="48"/>
        <v>0</v>
      </c>
      <c r="AQ59" s="781">
        <f t="shared" si="17"/>
        <v>0</v>
      </c>
      <c r="AR59" s="781">
        <f t="shared" si="49"/>
        <v>0</v>
      </c>
      <c r="AS59" s="783">
        <f t="shared" si="19"/>
        <v>0</v>
      </c>
    </row>
    <row r="60" spans="1:45" ht="15" x14ac:dyDescent="0.25">
      <c r="A60" s="768"/>
      <c r="B60" s="719">
        <f t="shared" si="21"/>
        <v>52</v>
      </c>
      <c r="C60" s="170" t="str">
        <f t="shared" si="0"/>
        <v/>
      </c>
      <c r="D60" s="557"/>
      <c r="E60" s="170"/>
      <c r="F60" s="2078"/>
      <c r="G60" s="1862"/>
      <c r="H60" s="1926"/>
      <c r="I60" s="2008"/>
      <c r="J60" s="1926"/>
      <c r="K60" s="1926"/>
      <c r="L60" s="170"/>
      <c r="M60" s="2009">
        <v>0</v>
      </c>
      <c r="N60" s="2010">
        <v>1</v>
      </c>
      <c r="O60" s="773">
        <f t="shared" si="1"/>
        <v>0</v>
      </c>
      <c r="P60" s="2008" t="s">
        <v>39</v>
      </c>
      <c r="Q60" s="2008" t="s">
        <v>604</v>
      </c>
      <c r="R60" s="2011" t="s">
        <v>74</v>
      </c>
      <c r="S60" s="775">
        <f>SUMIF('Data Input sheet'!$B$118:$B$180,R60,'Data Input sheet'!$D$118:$D$180)</f>
        <v>152</v>
      </c>
      <c r="T60" s="2685">
        <f t="shared" si="20"/>
        <v>0</v>
      </c>
      <c r="U60" s="2013">
        <v>0</v>
      </c>
      <c r="V60" s="778">
        <f t="shared" si="22"/>
        <v>0</v>
      </c>
      <c r="W60" s="2010"/>
      <c r="X60" s="779"/>
      <c r="Y60" s="2012">
        <v>0</v>
      </c>
      <c r="Z60" s="780">
        <f t="shared" si="3"/>
        <v>0</v>
      </c>
      <c r="AA60" s="2007"/>
      <c r="AB60" s="2007"/>
      <c r="AC60" s="765"/>
      <c r="AD60" s="781">
        <f t="shared" si="40"/>
        <v>0</v>
      </c>
      <c r="AE60" s="781">
        <f t="shared" si="5"/>
        <v>0</v>
      </c>
      <c r="AF60" s="781">
        <f t="shared" si="41"/>
        <v>0</v>
      </c>
      <c r="AG60" s="781">
        <f t="shared" si="42"/>
        <v>0</v>
      </c>
      <c r="AH60" s="781">
        <f t="shared" si="8"/>
        <v>0</v>
      </c>
      <c r="AI60" s="782">
        <f t="shared" si="43"/>
        <v>0</v>
      </c>
      <c r="AJ60" s="781">
        <f t="shared" si="44"/>
        <v>0</v>
      </c>
      <c r="AK60" s="781">
        <f t="shared" si="11"/>
        <v>0</v>
      </c>
      <c r="AL60" s="781">
        <f t="shared" si="45"/>
        <v>0</v>
      </c>
      <c r="AM60" s="781">
        <f t="shared" si="46"/>
        <v>0</v>
      </c>
      <c r="AN60" s="781">
        <f t="shared" si="14"/>
        <v>0</v>
      </c>
      <c r="AO60" s="781">
        <f t="shared" si="47"/>
        <v>0</v>
      </c>
      <c r="AP60" s="781">
        <f t="shared" si="48"/>
        <v>0</v>
      </c>
      <c r="AQ60" s="781">
        <f t="shared" si="17"/>
        <v>0</v>
      </c>
      <c r="AR60" s="781">
        <f t="shared" si="49"/>
        <v>0</v>
      </c>
      <c r="AS60" s="783">
        <f t="shared" si="19"/>
        <v>0</v>
      </c>
    </row>
    <row r="61" spans="1:45" ht="15" x14ac:dyDescent="0.25">
      <c r="A61" s="768"/>
      <c r="B61" s="719">
        <f t="shared" si="21"/>
        <v>53</v>
      </c>
      <c r="C61" s="170" t="str">
        <f t="shared" si="0"/>
        <v/>
      </c>
      <c r="D61" s="557"/>
      <c r="E61" s="170"/>
      <c r="F61" s="2078"/>
      <c r="G61" s="1862"/>
      <c r="H61" s="1926"/>
      <c r="I61" s="2008"/>
      <c r="J61" s="1926"/>
      <c r="K61" s="1926"/>
      <c r="L61" s="170"/>
      <c r="M61" s="2009">
        <v>0</v>
      </c>
      <c r="N61" s="2010">
        <v>1</v>
      </c>
      <c r="O61" s="773">
        <f t="shared" si="1"/>
        <v>0</v>
      </c>
      <c r="P61" s="2008" t="s">
        <v>39</v>
      </c>
      <c r="Q61" s="2008" t="s">
        <v>604</v>
      </c>
      <c r="R61" s="2011" t="s">
        <v>74</v>
      </c>
      <c r="S61" s="775">
        <f>SUMIF('Data Input sheet'!$B$118:$B$180,R61,'Data Input sheet'!$D$118:$D$180)</f>
        <v>152</v>
      </c>
      <c r="T61" s="2685">
        <f t="shared" si="20"/>
        <v>0</v>
      </c>
      <c r="U61" s="2013">
        <v>0</v>
      </c>
      <c r="V61" s="778">
        <f t="shared" si="22"/>
        <v>0</v>
      </c>
      <c r="W61" s="2010"/>
      <c r="X61" s="779"/>
      <c r="Y61" s="2012">
        <v>0</v>
      </c>
      <c r="Z61" s="780">
        <f t="shared" si="3"/>
        <v>0</v>
      </c>
      <c r="AA61" s="2007"/>
      <c r="AB61" s="2007"/>
      <c r="AC61" s="765"/>
      <c r="AD61" s="781">
        <f t="shared" si="40"/>
        <v>0</v>
      </c>
      <c r="AE61" s="781">
        <f t="shared" si="5"/>
        <v>0</v>
      </c>
      <c r="AF61" s="781">
        <f t="shared" si="41"/>
        <v>0</v>
      </c>
      <c r="AG61" s="781">
        <f t="shared" si="42"/>
        <v>0</v>
      </c>
      <c r="AH61" s="781">
        <f t="shared" si="8"/>
        <v>0</v>
      </c>
      <c r="AI61" s="782">
        <f t="shared" si="43"/>
        <v>0</v>
      </c>
      <c r="AJ61" s="781">
        <f t="shared" si="44"/>
        <v>0</v>
      </c>
      <c r="AK61" s="781">
        <f t="shared" si="11"/>
        <v>0</v>
      </c>
      <c r="AL61" s="781">
        <f t="shared" si="45"/>
        <v>0</v>
      </c>
      <c r="AM61" s="781">
        <f t="shared" si="46"/>
        <v>0</v>
      </c>
      <c r="AN61" s="781">
        <f t="shared" si="14"/>
        <v>0</v>
      </c>
      <c r="AO61" s="781">
        <f t="shared" si="47"/>
        <v>0</v>
      </c>
      <c r="AP61" s="781">
        <f t="shared" si="48"/>
        <v>0</v>
      </c>
      <c r="AQ61" s="781">
        <f t="shared" si="17"/>
        <v>0</v>
      </c>
      <c r="AR61" s="781">
        <f t="shared" si="49"/>
        <v>0</v>
      </c>
      <c r="AS61" s="783">
        <f t="shared" si="19"/>
        <v>0</v>
      </c>
    </row>
    <row r="62" spans="1:45" ht="15" x14ac:dyDescent="0.25">
      <c r="A62" s="768"/>
      <c r="B62" s="719">
        <f t="shared" si="21"/>
        <v>54</v>
      </c>
      <c r="C62" s="170" t="str">
        <f t="shared" si="0"/>
        <v/>
      </c>
      <c r="D62" s="557"/>
      <c r="E62" s="170"/>
      <c r="F62" s="2078"/>
      <c r="G62" s="1862"/>
      <c r="H62" s="1926"/>
      <c r="I62" s="2008"/>
      <c r="J62" s="1926"/>
      <c r="K62" s="1926"/>
      <c r="L62" s="170"/>
      <c r="M62" s="2009">
        <v>0</v>
      </c>
      <c r="N62" s="2010">
        <v>1</v>
      </c>
      <c r="O62" s="773">
        <f t="shared" si="1"/>
        <v>0</v>
      </c>
      <c r="P62" s="2008" t="s">
        <v>39</v>
      </c>
      <c r="Q62" s="2008" t="s">
        <v>604</v>
      </c>
      <c r="R62" s="2011" t="s">
        <v>74</v>
      </c>
      <c r="S62" s="775">
        <f>SUMIF('Data Input sheet'!$B$118:$B$180,R62,'Data Input sheet'!$D$118:$D$180)</f>
        <v>152</v>
      </c>
      <c r="T62" s="2685">
        <f t="shared" si="20"/>
        <v>0</v>
      </c>
      <c r="U62" s="2013">
        <v>0</v>
      </c>
      <c r="V62" s="778">
        <f t="shared" si="22"/>
        <v>0</v>
      </c>
      <c r="W62" s="2010"/>
      <c r="X62" s="779"/>
      <c r="Y62" s="2012">
        <v>0</v>
      </c>
      <c r="Z62" s="780">
        <f t="shared" si="3"/>
        <v>0</v>
      </c>
      <c r="AA62" s="2007"/>
      <c r="AB62" s="2007"/>
      <c r="AC62" s="765"/>
      <c r="AD62" s="781">
        <f t="shared" si="40"/>
        <v>0</v>
      </c>
      <c r="AE62" s="781">
        <f t="shared" si="5"/>
        <v>0</v>
      </c>
      <c r="AF62" s="781">
        <f t="shared" si="41"/>
        <v>0</v>
      </c>
      <c r="AG62" s="781">
        <f t="shared" si="42"/>
        <v>0</v>
      </c>
      <c r="AH62" s="781">
        <f t="shared" si="8"/>
        <v>0</v>
      </c>
      <c r="AI62" s="782">
        <f t="shared" si="43"/>
        <v>0</v>
      </c>
      <c r="AJ62" s="781">
        <f t="shared" si="44"/>
        <v>0</v>
      </c>
      <c r="AK62" s="781">
        <f t="shared" si="11"/>
        <v>0</v>
      </c>
      <c r="AL62" s="781">
        <f t="shared" si="45"/>
        <v>0</v>
      </c>
      <c r="AM62" s="781">
        <f t="shared" si="46"/>
        <v>0</v>
      </c>
      <c r="AN62" s="781">
        <f t="shared" si="14"/>
        <v>0</v>
      </c>
      <c r="AO62" s="781">
        <f t="shared" si="47"/>
        <v>0</v>
      </c>
      <c r="AP62" s="781">
        <f t="shared" si="48"/>
        <v>0</v>
      </c>
      <c r="AQ62" s="781">
        <f t="shared" si="17"/>
        <v>0</v>
      </c>
      <c r="AR62" s="781">
        <f t="shared" si="49"/>
        <v>0</v>
      </c>
      <c r="AS62" s="783">
        <f t="shared" si="19"/>
        <v>0</v>
      </c>
    </row>
    <row r="63" spans="1:45" ht="15" x14ac:dyDescent="0.25">
      <c r="A63" s="768"/>
      <c r="B63" s="719">
        <f t="shared" si="21"/>
        <v>55</v>
      </c>
      <c r="C63" s="170" t="str">
        <f t="shared" si="0"/>
        <v/>
      </c>
      <c r="D63" s="557"/>
      <c r="E63" s="170"/>
      <c r="F63" s="2078"/>
      <c r="G63" s="1862"/>
      <c r="H63" s="1926"/>
      <c r="I63" s="2008"/>
      <c r="J63" s="1926"/>
      <c r="K63" s="1926"/>
      <c r="L63" s="170"/>
      <c r="M63" s="2009">
        <v>0</v>
      </c>
      <c r="N63" s="2010">
        <v>1</v>
      </c>
      <c r="O63" s="773">
        <f t="shared" si="1"/>
        <v>0</v>
      </c>
      <c r="P63" s="2008" t="s">
        <v>39</v>
      </c>
      <c r="Q63" s="2008" t="s">
        <v>604</v>
      </c>
      <c r="R63" s="2011" t="s">
        <v>74</v>
      </c>
      <c r="S63" s="775">
        <f>SUMIF('Data Input sheet'!$B$118:$B$180,R63,'Data Input sheet'!$D$118:$D$180)</f>
        <v>152</v>
      </c>
      <c r="T63" s="2685">
        <f t="shared" si="20"/>
        <v>0</v>
      </c>
      <c r="U63" s="2013">
        <v>0</v>
      </c>
      <c r="V63" s="778">
        <f t="shared" si="22"/>
        <v>0</v>
      </c>
      <c r="W63" s="2010"/>
      <c r="X63" s="779"/>
      <c r="Y63" s="2012">
        <v>0</v>
      </c>
      <c r="Z63" s="780">
        <f t="shared" si="3"/>
        <v>0</v>
      </c>
      <c r="AA63" s="2007"/>
      <c r="AB63" s="2007"/>
      <c r="AC63" s="765"/>
      <c r="AD63" s="781">
        <f t="shared" si="40"/>
        <v>0</v>
      </c>
      <c r="AE63" s="781">
        <f t="shared" si="5"/>
        <v>0</v>
      </c>
      <c r="AF63" s="781">
        <f t="shared" si="41"/>
        <v>0</v>
      </c>
      <c r="AG63" s="781">
        <f t="shared" si="42"/>
        <v>0</v>
      </c>
      <c r="AH63" s="781">
        <f t="shared" si="8"/>
        <v>0</v>
      </c>
      <c r="AI63" s="782">
        <f t="shared" si="43"/>
        <v>0</v>
      </c>
      <c r="AJ63" s="781">
        <f t="shared" si="44"/>
        <v>0</v>
      </c>
      <c r="AK63" s="781">
        <f t="shared" si="11"/>
        <v>0</v>
      </c>
      <c r="AL63" s="781">
        <f t="shared" si="45"/>
        <v>0</v>
      </c>
      <c r="AM63" s="781">
        <f t="shared" si="46"/>
        <v>0</v>
      </c>
      <c r="AN63" s="781">
        <f t="shared" si="14"/>
        <v>0</v>
      </c>
      <c r="AO63" s="781">
        <f t="shared" si="47"/>
        <v>0</v>
      </c>
      <c r="AP63" s="781">
        <f t="shared" si="48"/>
        <v>0</v>
      </c>
      <c r="AQ63" s="781">
        <f t="shared" si="17"/>
        <v>0</v>
      </c>
      <c r="AR63" s="781">
        <f t="shared" si="49"/>
        <v>0</v>
      </c>
      <c r="AS63" s="783">
        <f t="shared" si="19"/>
        <v>0</v>
      </c>
    </row>
    <row r="64" spans="1:45" ht="15" x14ac:dyDescent="0.25">
      <c r="A64" s="768"/>
      <c r="B64" s="719">
        <f t="shared" si="21"/>
        <v>56</v>
      </c>
      <c r="C64" s="170" t="str">
        <f t="shared" si="0"/>
        <v/>
      </c>
      <c r="D64" s="557"/>
      <c r="E64" s="170"/>
      <c r="F64" s="2078"/>
      <c r="G64" s="1862"/>
      <c r="H64" s="1926"/>
      <c r="I64" s="2008"/>
      <c r="J64" s="1926"/>
      <c r="K64" s="1926"/>
      <c r="L64" s="170"/>
      <c r="M64" s="2009">
        <v>0</v>
      </c>
      <c r="N64" s="2010">
        <v>1</v>
      </c>
      <c r="O64" s="773">
        <f t="shared" si="1"/>
        <v>0</v>
      </c>
      <c r="P64" s="2008" t="s">
        <v>39</v>
      </c>
      <c r="Q64" s="2008" t="s">
        <v>604</v>
      </c>
      <c r="R64" s="2011" t="s">
        <v>74</v>
      </c>
      <c r="S64" s="775">
        <f>SUMIF('Data Input sheet'!$B$118:$B$180,R64,'Data Input sheet'!$D$118:$D$180)</f>
        <v>152</v>
      </c>
      <c r="T64" s="2685">
        <f t="shared" si="20"/>
        <v>0</v>
      </c>
      <c r="U64" s="2013">
        <v>0</v>
      </c>
      <c r="V64" s="778">
        <f t="shared" si="22"/>
        <v>0</v>
      </c>
      <c r="W64" s="2010"/>
      <c r="X64" s="779"/>
      <c r="Y64" s="2012">
        <v>0</v>
      </c>
      <c r="Z64" s="780">
        <f t="shared" si="3"/>
        <v>0</v>
      </c>
      <c r="AA64" s="2007"/>
      <c r="AB64" s="2007"/>
      <c r="AC64" s="765"/>
      <c r="AD64" s="781">
        <f t="shared" si="40"/>
        <v>0</v>
      </c>
      <c r="AE64" s="781">
        <f t="shared" si="5"/>
        <v>0</v>
      </c>
      <c r="AF64" s="781">
        <f t="shared" si="41"/>
        <v>0</v>
      </c>
      <c r="AG64" s="781">
        <f t="shared" si="42"/>
        <v>0</v>
      </c>
      <c r="AH64" s="781">
        <f t="shared" si="8"/>
        <v>0</v>
      </c>
      <c r="AI64" s="782">
        <f t="shared" si="43"/>
        <v>0</v>
      </c>
      <c r="AJ64" s="781">
        <f t="shared" si="44"/>
        <v>0</v>
      </c>
      <c r="AK64" s="781">
        <f t="shared" si="11"/>
        <v>0</v>
      </c>
      <c r="AL64" s="781">
        <f t="shared" si="45"/>
        <v>0</v>
      </c>
      <c r="AM64" s="781">
        <f t="shared" si="46"/>
        <v>0</v>
      </c>
      <c r="AN64" s="781">
        <f t="shared" si="14"/>
        <v>0</v>
      </c>
      <c r="AO64" s="781">
        <f t="shared" si="47"/>
        <v>0</v>
      </c>
      <c r="AP64" s="781">
        <f t="shared" si="48"/>
        <v>0</v>
      </c>
      <c r="AQ64" s="781">
        <f t="shared" si="17"/>
        <v>0</v>
      </c>
      <c r="AR64" s="781">
        <f t="shared" si="49"/>
        <v>0</v>
      </c>
      <c r="AS64" s="783">
        <f t="shared" si="19"/>
        <v>0</v>
      </c>
    </row>
    <row r="65" spans="1:45" ht="15" x14ac:dyDescent="0.25">
      <c r="A65" s="768"/>
      <c r="B65" s="719">
        <f t="shared" si="21"/>
        <v>57</v>
      </c>
      <c r="C65" s="170" t="str">
        <f t="shared" si="0"/>
        <v/>
      </c>
      <c r="D65" s="557"/>
      <c r="E65" s="170"/>
      <c r="F65" s="2078"/>
      <c r="G65" s="1862"/>
      <c r="H65" s="1926"/>
      <c r="I65" s="2008"/>
      <c r="J65" s="1926"/>
      <c r="K65" s="1926"/>
      <c r="L65" s="170"/>
      <c r="M65" s="2009">
        <v>0</v>
      </c>
      <c r="N65" s="2010">
        <v>1</v>
      </c>
      <c r="O65" s="773">
        <f t="shared" si="1"/>
        <v>0</v>
      </c>
      <c r="P65" s="2008" t="s">
        <v>39</v>
      </c>
      <c r="Q65" s="2008" t="s">
        <v>604</v>
      </c>
      <c r="R65" s="2011" t="s">
        <v>74</v>
      </c>
      <c r="S65" s="775">
        <f>SUMIF('Data Input sheet'!$B$118:$B$180,R65,'Data Input sheet'!$D$118:$D$180)</f>
        <v>152</v>
      </c>
      <c r="T65" s="2685">
        <f t="shared" si="20"/>
        <v>0</v>
      </c>
      <c r="U65" s="2013">
        <v>0</v>
      </c>
      <c r="V65" s="778">
        <f t="shared" si="22"/>
        <v>0</v>
      </c>
      <c r="W65" s="2010"/>
      <c r="X65" s="779"/>
      <c r="Y65" s="2012">
        <v>0</v>
      </c>
      <c r="Z65" s="780">
        <f t="shared" si="3"/>
        <v>0</v>
      </c>
      <c r="AA65" s="2007"/>
      <c r="AB65" s="2007"/>
      <c r="AC65" s="765"/>
      <c r="AD65" s="781">
        <f t="shared" si="40"/>
        <v>0</v>
      </c>
      <c r="AE65" s="781">
        <f t="shared" si="5"/>
        <v>0</v>
      </c>
      <c r="AF65" s="781">
        <f t="shared" si="41"/>
        <v>0</v>
      </c>
      <c r="AG65" s="781">
        <f t="shared" si="42"/>
        <v>0</v>
      </c>
      <c r="AH65" s="781">
        <f t="shared" si="8"/>
        <v>0</v>
      </c>
      <c r="AI65" s="782">
        <f t="shared" si="43"/>
        <v>0</v>
      </c>
      <c r="AJ65" s="781">
        <f t="shared" si="44"/>
        <v>0</v>
      </c>
      <c r="AK65" s="781">
        <f t="shared" si="11"/>
        <v>0</v>
      </c>
      <c r="AL65" s="781">
        <f t="shared" si="45"/>
        <v>0</v>
      </c>
      <c r="AM65" s="781">
        <f t="shared" si="46"/>
        <v>0</v>
      </c>
      <c r="AN65" s="781">
        <f t="shared" si="14"/>
        <v>0</v>
      </c>
      <c r="AO65" s="781">
        <f t="shared" si="47"/>
        <v>0</v>
      </c>
      <c r="AP65" s="781">
        <f t="shared" si="48"/>
        <v>0</v>
      </c>
      <c r="AQ65" s="781">
        <f t="shared" si="17"/>
        <v>0</v>
      </c>
      <c r="AR65" s="781">
        <f t="shared" si="49"/>
        <v>0</v>
      </c>
      <c r="AS65" s="783">
        <f t="shared" si="19"/>
        <v>0</v>
      </c>
    </row>
    <row r="66" spans="1:45" ht="15" x14ac:dyDescent="0.25">
      <c r="A66" s="784"/>
      <c r="B66" s="719">
        <f t="shared" si="21"/>
        <v>58</v>
      </c>
      <c r="C66" s="170" t="str">
        <f t="shared" si="0"/>
        <v/>
      </c>
      <c r="D66" s="557"/>
      <c r="E66" s="170"/>
      <c r="F66" s="2078"/>
      <c r="G66" s="1862"/>
      <c r="H66" s="1926"/>
      <c r="I66" s="2008"/>
      <c r="J66" s="1926"/>
      <c r="K66" s="1926"/>
      <c r="L66" s="170"/>
      <c r="M66" s="2009">
        <v>0</v>
      </c>
      <c r="N66" s="2010">
        <v>1</v>
      </c>
      <c r="O66" s="773">
        <f t="shared" si="1"/>
        <v>0</v>
      </c>
      <c r="P66" s="2008" t="s">
        <v>39</v>
      </c>
      <c r="Q66" s="2008" t="s">
        <v>604</v>
      </c>
      <c r="R66" s="2011" t="s">
        <v>74</v>
      </c>
      <c r="S66" s="775">
        <f>SUMIF('Data Input sheet'!$B$118:$B$180,R66,'Data Input sheet'!$D$118:$D$180)</f>
        <v>152</v>
      </c>
      <c r="T66" s="2685">
        <f t="shared" si="20"/>
        <v>0</v>
      </c>
      <c r="U66" s="2013">
        <v>0</v>
      </c>
      <c r="V66" s="778">
        <f t="shared" si="22"/>
        <v>0</v>
      </c>
      <c r="W66" s="2010"/>
      <c r="X66" s="779"/>
      <c r="Y66" s="2012">
        <v>0</v>
      </c>
      <c r="Z66" s="780">
        <f t="shared" si="3"/>
        <v>0</v>
      </c>
      <c r="AA66" s="2007"/>
      <c r="AB66" s="2007"/>
      <c r="AC66" s="765"/>
      <c r="AD66" s="781">
        <f t="shared" si="40"/>
        <v>0</v>
      </c>
      <c r="AE66" s="781">
        <f t="shared" si="5"/>
        <v>0</v>
      </c>
      <c r="AF66" s="781">
        <f t="shared" si="41"/>
        <v>0</v>
      </c>
      <c r="AG66" s="781">
        <f t="shared" si="42"/>
        <v>0</v>
      </c>
      <c r="AH66" s="781">
        <f t="shared" si="8"/>
        <v>0</v>
      </c>
      <c r="AI66" s="782">
        <f t="shared" si="43"/>
        <v>0</v>
      </c>
      <c r="AJ66" s="781">
        <f t="shared" si="44"/>
        <v>0</v>
      </c>
      <c r="AK66" s="781">
        <f t="shared" si="11"/>
        <v>0</v>
      </c>
      <c r="AL66" s="781">
        <f t="shared" si="45"/>
        <v>0</v>
      </c>
      <c r="AM66" s="781">
        <f t="shared" si="46"/>
        <v>0</v>
      </c>
      <c r="AN66" s="781">
        <f t="shared" si="14"/>
        <v>0</v>
      </c>
      <c r="AO66" s="781">
        <f t="shared" si="47"/>
        <v>0</v>
      </c>
      <c r="AP66" s="781">
        <f t="shared" si="48"/>
        <v>0</v>
      </c>
      <c r="AQ66" s="781">
        <f t="shared" si="17"/>
        <v>0</v>
      </c>
      <c r="AR66" s="781">
        <f t="shared" si="49"/>
        <v>0</v>
      </c>
      <c r="AS66" s="783">
        <f t="shared" si="19"/>
        <v>0</v>
      </c>
    </row>
    <row r="67" spans="1:45" ht="15" x14ac:dyDescent="0.25">
      <c r="A67" s="784"/>
      <c r="B67" s="719">
        <f t="shared" si="21"/>
        <v>59</v>
      </c>
      <c r="C67" s="170" t="str">
        <f t="shared" si="0"/>
        <v/>
      </c>
      <c r="D67" s="557"/>
      <c r="E67" s="170"/>
      <c r="F67" s="2078"/>
      <c r="G67" s="1862"/>
      <c r="H67" s="1926"/>
      <c r="I67" s="2008"/>
      <c r="J67" s="1926"/>
      <c r="K67" s="1926"/>
      <c r="L67" s="170"/>
      <c r="M67" s="2009">
        <v>0</v>
      </c>
      <c r="N67" s="2010">
        <v>1</v>
      </c>
      <c r="O67" s="773">
        <f t="shared" si="1"/>
        <v>0</v>
      </c>
      <c r="P67" s="2008" t="s">
        <v>39</v>
      </c>
      <c r="Q67" s="2008" t="s">
        <v>604</v>
      </c>
      <c r="R67" s="2011" t="s">
        <v>74</v>
      </c>
      <c r="S67" s="775">
        <f>SUMIF('Data Input sheet'!$B$118:$B$180,R67,'Data Input sheet'!$D$118:$D$180)</f>
        <v>152</v>
      </c>
      <c r="T67" s="2685">
        <f t="shared" si="20"/>
        <v>0</v>
      </c>
      <c r="U67" s="2013">
        <v>0</v>
      </c>
      <c r="V67" s="778">
        <f t="shared" si="22"/>
        <v>0</v>
      </c>
      <c r="W67" s="2010"/>
      <c r="X67" s="779"/>
      <c r="Y67" s="2012">
        <v>0</v>
      </c>
      <c r="Z67" s="780">
        <f t="shared" si="3"/>
        <v>0</v>
      </c>
      <c r="AA67" s="2007"/>
      <c r="AB67" s="2007"/>
      <c r="AC67" s="765"/>
      <c r="AD67" s="781">
        <f t="shared" si="40"/>
        <v>0</v>
      </c>
      <c r="AE67" s="781">
        <f t="shared" si="5"/>
        <v>0</v>
      </c>
      <c r="AF67" s="781">
        <f t="shared" si="41"/>
        <v>0</v>
      </c>
      <c r="AG67" s="781">
        <f t="shared" si="42"/>
        <v>0</v>
      </c>
      <c r="AH67" s="781">
        <f t="shared" si="8"/>
        <v>0</v>
      </c>
      <c r="AI67" s="782">
        <f t="shared" si="43"/>
        <v>0</v>
      </c>
      <c r="AJ67" s="781">
        <f t="shared" si="44"/>
        <v>0</v>
      </c>
      <c r="AK67" s="781">
        <f t="shared" si="11"/>
        <v>0</v>
      </c>
      <c r="AL67" s="781">
        <f t="shared" si="45"/>
        <v>0</v>
      </c>
      <c r="AM67" s="781">
        <f t="shared" si="46"/>
        <v>0</v>
      </c>
      <c r="AN67" s="781">
        <f t="shared" si="14"/>
        <v>0</v>
      </c>
      <c r="AO67" s="781">
        <f t="shared" si="47"/>
        <v>0</v>
      </c>
      <c r="AP67" s="781">
        <f t="shared" si="48"/>
        <v>0</v>
      </c>
      <c r="AQ67" s="781">
        <f t="shared" si="17"/>
        <v>0</v>
      </c>
      <c r="AR67" s="781">
        <f t="shared" si="49"/>
        <v>0</v>
      </c>
      <c r="AS67" s="783">
        <f t="shared" si="19"/>
        <v>0</v>
      </c>
    </row>
    <row r="68" spans="1:45" ht="15" x14ac:dyDescent="0.25">
      <c r="A68" s="784"/>
      <c r="B68" s="719">
        <f t="shared" si="21"/>
        <v>60</v>
      </c>
      <c r="C68" s="170" t="str">
        <f t="shared" si="0"/>
        <v/>
      </c>
      <c r="D68" s="557"/>
      <c r="E68" s="170"/>
      <c r="F68" s="2078"/>
      <c r="G68" s="1862"/>
      <c r="H68" s="1926"/>
      <c r="I68" s="2008"/>
      <c r="J68" s="1926"/>
      <c r="K68" s="1926"/>
      <c r="L68" s="170"/>
      <c r="M68" s="2009">
        <v>0</v>
      </c>
      <c r="N68" s="2010">
        <v>1</v>
      </c>
      <c r="O68" s="773">
        <f t="shared" si="1"/>
        <v>0</v>
      </c>
      <c r="P68" s="2008" t="s">
        <v>39</v>
      </c>
      <c r="Q68" s="2008" t="s">
        <v>604</v>
      </c>
      <c r="R68" s="2011" t="s">
        <v>74</v>
      </c>
      <c r="S68" s="775">
        <f>SUMIF('Data Input sheet'!$B$118:$B$180,R68,'Data Input sheet'!$D$118:$D$180)</f>
        <v>152</v>
      </c>
      <c r="T68" s="2685">
        <f t="shared" si="20"/>
        <v>0</v>
      </c>
      <c r="U68" s="2013">
        <v>0</v>
      </c>
      <c r="V68" s="778">
        <f t="shared" si="22"/>
        <v>0</v>
      </c>
      <c r="W68" s="2010"/>
      <c r="X68" s="779"/>
      <c r="Y68" s="2012">
        <v>0</v>
      </c>
      <c r="Z68" s="780">
        <f t="shared" si="3"/>
        <v>0</v>
      </c>
      <c r="AA68" s="2007"/>
      <c r="AB68" s="2007"/>
      <c r="AC68" s="765"/>
      <c r="AD68" s="781">
        <f t="shared" si="40"/>
        <v>0</v>
      </c>
      <c r="AE68" s="781">
        <f t="shared" si="5"/>
        <v>0</v>
      </c>
      <c r="AF68" s="781">
        <f t="shared" si="41"/>
        <v>0</v>
      </c>
      <c r="AG68" s="781">
        <f t="shared" si="42"/>
        <v>0</v>
      </c>
      <c r="AH68" s="781">
        <f t="shared" si="8"/>
        <v>0</v>
      </c>
      <c r="AI68" s="782">
        <f t="shared" si="43"/>
        <v>0</v>
      </c>
      <c r="AJ68" s="781">
        <f t="shared" si="44"/>
        <v>0</v>
      </c>
      <c r="AK68" s="781">
        <f t="shared" si="11"/>
        <v>0</v>
      </c>
      <c r="AL68" s="781">
        <f t="shared" si="45"/>
        <v>0</v>
      </c>
      <c r="AM68" s="781">
        <f t="shared" si="46"/>
        <v>0</v>
      </c>
      <c r="AN68" s="781">
        <f t="shared" si="14"/>
        <v>0</v>
      </c>
      <c r="AO68" s="781">
        <f t="shared" si="47"/>
        <v>0</v>
      </c>
      <c r="AP68" s="781">
        <f t="shared" si="48"/>
        <v>0</v>
      </c>
      <c r="AQ68" s="781">
        <f t="shared" si="17"/>
        <v>0</v>
      </c>
      <c r="AR68" s="781">
        <f t="shared" si="49"/>
        <v>0</v>
      </c>
      <c r="AS68" s="783">
        <f t="shared" si="19"/>
        <v>0</v>
      </c>
    </row>
    <row r="69" spans="1:45" ht="15" x14ac:dyDescent="0.25">
      <c r="A69" s="784"/>
      <c r="B69" s="719">
        <f t="shared" si="21"/>
        <v>61</v>
      </c>
      <c r="C69" s="170" t="str">
        <f t="shared" si="0"/>
        <v/>
      </c>
      <c r="D69" s="557"/>
      <c r="E69" s="170"/>
      <c r="F69" s="2078"/>
      <c r="G69" s="1862"/>
      <c r="H69" s="1926"/>
      <c r="I69" s="2008"/>
      <c r="J69" s="1926"/>
      <c r="K69" s="1926"/>
      <c r="L69" s="170"/>
      <c r="M69" s="2009">
        <v>0</v>
      </c>
      <c r="N69" s="2010">
        <v>1</v>
      </c>
      <c r="O69" s="773">
        <f t="shared" si="1"/>
        <v>0</v>
      </c>
      <c r="P69" s="2008" t="s">
        <v>39</v>
      </c>
      <c r="Q69" s="2008" t="s">
        <v>604</v>
      </c>
      <c r="R69" s="2011" t="s">
        <v>74</v>
      </c>
      <c r="S69" s="775">
        <f>SUMIF('Data Input sheet'!$B$118:$B$180,R69,'Data Input sheet'!$D$118:$D$180)</f>
        <v>152</v>
      </c>
      <c r="T69" s="2685">
        <f t="shared" si="20"/>
        <v>0</v>
      </c>
      <c r="U69" s="2013">
        <v>0</v>
      </c>
      <c r="V69" s="778">
        <f t="shared" si="22"/>
        <v>0</v>
      </c>
      <c r="W69" s="2010"/>
      <c r="X69" s="779"/>
      <c r="Y69" s="2012">
        <v>0</v>
      </c>
      <c r="Z69" s="780">
        <f t="shared" si="3"/>
        <v>0</v>
      </c>
      <c r="AA69" s="2007"/>
      <c r="AB69" s="2007"/>
      <c r="AC69" s="765"/>
      <c r="AD69" s="781">
        <f t="shared" si="40"/>
        <v>0</v>
      </c>
      <c r="AE69" s="781">
        <f t="shared" si="5"/>
        <v>0</v>
      </c>
      <c r="AF69" s="781">
        <f t="shared" si="41"/>
        <v>0</v>
      </c>
      <c r="AG69" s="781">
        <f t="shared" si="42"/>
        <v>0</v>
      </c>
      <c r="AH69" s="781">
        <f t="shared" si="8"/>
        <v>0</v>
      </c>
      <c r="AI69" s="782">
        <f t="shared" si="43"/>
        <v>0</v>
      </c>
      <c r="AJ69" s="781">
        <f t="shared" si="44"/>
        <v>0</v>
      </c>
      <c r="AK69" s="781">
        <f t="shared" si="11"/>
        <v>0</v>
      </c>
      <c r="AL69" s="781">
        <f t="shared" si="45"/>
        <v>0</v>
      </c>
      <c r="AM69" s="781">
        <f t="shared" si="46"/>
        <v>0</v>
      </c>
      <c r="AN69" s="781">
        <f t="shared" si="14"/>
        <v>0</v>
      </c>
      <c r="AO69" s="781">
        <f t="shared" si="47"/>
        <v>0</v>
      </c>
      <c r="AP69" s="781">
        <f t="shared" si="48"/>
        <v>0</v>
      </c>
      <c r="AQ69" s="781">
        <f t="shared" si="17"/>
        <v>0</v>
      </c>
      <c r="AR69" s="781">
        <f t="shared" si="49"/>
        <v>0</v>
      </c>
      <c r="AS69" s="783">
        <f t="shared" si="19"/>
        <v>0</v>
      </c>
    </row>
    <row r="70" spans="1:45" ht="15" x14ac:dyDescent="0.25">
      <c r="A70" s="784"/>
      <c r="B70" s="719">
        <f t="shared" si="21"/>
        <v>62</v>
      </c>
      <c r="C70" s="170" t="str">
        <f t="shared" si="0"/>
        <v/>
      </c>
      <c r="D70" s="557"/>
      <c r="E70" s="170"/>
      <c r="F70" s="2078"/>
      <c r="G70" s="1862"/>
      <c r="H70" s="1926"/>
      <c r="I70" s="2008"/>
      <c r="J70" s="1926"/>
      <c r="K70" s="1926"/>
      <c r="L70" s="170"/>
      <c r="M70" s="2009">
        <v>0</v>
      </c>
      <c r="N70" s="2010">
        <v>1</v>
      </c>
      <c r="O70" s="773">
        <f t="shared" si="1"/>
        <v>0</v>
      </c>
      <c r="P70" s="2008" t="s">
        <v>39</v>
      </c>
      <c r="Q70" s="2008" t="s">
        <v>604</v>
      </c>
      <c r="R70" s="2011" t="s">
        <v>74</v>
      </c>
      <c r="S70" s="775">
        <f>SUMIF('Data Input sheet'!$B$118:$B$180,R70,'Data Input sheet'!$D$118:$D$180)</f>
        <v>152</v>
      </c>
      <c r="T70" s="2685">
        <f t="shared" si="20"/>
        <v>0</v>
      </c>
      <c r="U70" s="2013">
        <v>0</v>
      </c>
      <c r="V70" s="778">
        <f t="shared" si="22"/>
        <v>0</v>
      </c>
      <c r="W70" s="2010"/>
      <c r="X70" s="779"/>
      <c r="Y70" s="2012">
        <v>0</v>
      </c>
      <c r="Z70" s="780">
        <f t="shared" si="3"/>
        <v>0</v>
      </c>
      <c r="AA70" s="2007"/>
      <c r="AB70" s="2007"/>
      <c r="AC70" s="765"/>
      <c r="AD70" s="781">
        <f t="shared" si="40"/>
        <v>0</v>
      </c>
      <c r="AE70" s="781">
        <f t="shared" si="5"/>
        <v>0</v>
      </c>
      <c r="AF70" s="781">
        <f t="shared" si="41"/>
        <v>0</v>
      </c>
      <c r="AG70" s="781">
        <f t="shared" si="42"/>
        <v>0</v>
      </c>
      <c r="AH70" s="781">
        <f t="shared" si="8"/>
        <v>0</v>
      </c>
      <c r="AI70" s="782">
        <f t="shared" si="43"/>
        <v>0</v>
      </c>
      <c r="AJ70" s="781">
        <f t="shared" si="44"/>
        <v>0</v>
      </c>
      <c r="AK70" s="781">
        <f t="shared" si="11"/>
        <v>0</v>
      </c>
      <c r="AL70" s="781">
        <f t="shared" si="45"/>
        <v>0</v>
      </c>
      <c r="AM70" s="781">
        <f t="shared" si="46"/>
        <v>0</v>
      </c>
      <c r="AN70" s="781">
        <f t="shared" si="14"/>
        <v>0</v>
      </c>
      <c r="AO70" s="781">
        <f t="shared" si="47"/>
        <v>0</v>
      </c>
      <c r="AP70" s="781">
        <f t="shared" si="48"/>
        <v>0</v>
      </c>
      <c r="AQ70" s="781">
        <f t="shared" si="17"/>
        <v>0</v>
      </c>
      <c r="AR70" s="781">
        <f t="shared" si="49"/>
        <v>0</v>
      </c>
      <c r="AS70" s="783">
        <f t="shared" si="19"/>
        <v>0</v>
      </c>
    </row>
    <row r="71" spans="1:45" ht="15" x14ac:dyDescent="0.25">
      <c r="A71" s="768"/>
      <c r="B71" s="719">
        <f t="shared" si="21"/>
        <v>63</v>
      </c>
      <c r="C71" s="170" t="str">
        <f t="shared" si="0"/>
        <v/>
      </c>
      <c r="D71" s="557"/>
      <c r="E71" s="170"/>
      <c r="F71" s="2078"/>
      <c r="G71" s="1862"/>
      <c r="H71" s="1926"/>
      <c r="I71" s="2008"/>
      <c r="J71" s="1926"/>
      <c r="K71" s="1926"/>
      <c r="L71" s="170"/>
      <c r="M71" s="2009">
        <v>0</v>
      </c>
      <c r="N71" s="2010">
        <v>1</v>
      </c>
      <c r="O71" s="773">
        <f t="shared" si="1"/>
        <v>0</v>
      </c>
      <c r="P71" s="2008" t="s">
        <v>39</v>
      </c>
      <c r="Q71" s="2008" t="s">
        <v>604</v>
      </c>
      <c r="R71" s="2011" t="s">
        <v>74</v>
      </c>
      <c r="S71" s="775">
        <f>SUMIF('Data Input sheet'!$B$118:$B$180,R71,'Data Input sheet'!$D$118:$D$180)</f>
        <v>152</v>
      </c>
      <c r="T71" s="2685">
        <f t="shared" si="20"/>
        <v>0</v>
      </c>
      <c r="U71" s="2013">
        <v>0</v>
      </c>
      <c r="V71" s="778">
        <f t="shared" si="22"/>
        <v>0</v>
      </c>
      <c r="W71" s="2010"/>
      <c r="X71" s="779"/>
      <c r="Y71" s="2012">
        <v>0</v>
      </c>
      <c r="Z71" s="780">
        <f t="shared" si="3"/>
        <v>0</v>
      </c>
      <c r="AA71" s="2007"/>
      <c r="AB71" s="2007"/>
      <c r="AC71" s="765"/>
      <c r="AD71" s="781">
        <f t="shared" si="40"/>
        <v>0</v>
      </c>
      <c r="AE71" s="781">
        <f t="shared" si="5"/>
        <v>0</v>
      </c>
      <c r="AF71" s="781">
        <f t="shared" si="41"/>
        <v>0</v>
      </c>
      <c r="AG71" s="781">
        <f t="shared" si="42"/>
        <v>0</v>
      </c>
      <c r="AH71" s="781">
        <f t="shared" si="8"/>
        <v>0</v>
      </c>
      <c r="AI71" s="782">
        <f t="shared" si="43"/>
        <v>0</v>
      </c>
      <c r="AJ71" s="781">
        <f t="shared" si="44"/>
        <v>0</v>
      </c>
      <c r="AK71" s="781">
        <f t="shared" si="11"/>
        <v>0</v>
      </c>
      <c r="AL71" s="781">
        <f t="shared" si="45"/>
        <v>0</v>
      </c>
      <c r="AM71" s="781">
        <f t="shared" si="46"/>
        <v>0</v>
      </c>
      <c r="AN71" s="781">
        <f t="shared" si="14"/>
        <v>0</v>
      </c>
      <c r="AO71" s="781">
        <f t="shared" si="47"/>
        <v>0</v>
      </c>
      <c r="AP71" s="781">
        <f t="shared" si="48"/>
        <v>0</v>
      </c>
      <c r="AQ71" s="781">
        <f t="shared" si="17"/>
        <v>0</v>
      </c>
      <c r="AR71" s="781">
        <f t="shared" si="49"/>
        <v>0</v>
      </c>
      <c r="AS71" s="783">
        <f t="shared" si="19"/>
        <v>0</v>
      </c>
    </row>
    <row r="72" spans="1:45" ht="15" x14ac:dyDescent="0.25">
      <c r="A72" s="768"/>
      <c r="B72" s="719">
        <f t="shared" si="21"/>
        <v>64</v>
      </c>
      <c r="C72" s="170" t="str">
        <f t="shared" si="0"/>
        <v/>
      </c>
      <c r="D72" s="557"/>
      <c r="E72" s="170"/>
      <c r="F72" s="2078"/>
      <c r="G72" s="1862"/>
      <c r="H72" s="1926"/>
      <c r="I72" s="2008"/>
      <c r="J72" s="1926"/>
      <c r="K72" s="1926"/>
      <c r="L72" s="170"/>
      <c r="M72" s="2009">
        <v>0</v>
      </c>
      <c r="N72" s="2010">
        <v>1</v>
      </c>
      <c r="O72" s="773">
        <f t="shared" si="1"/>
        <v>0</v>
      </c>
      <c r="P72" s="2008" t="s">
        <v>39</v>
      </c>
      <c r="Q72" s="2008" t="s">
        <v>604</v>
      </c>
      <c r="R72" s="2011" t="s">
        <v>74</v>
      </c>
      <c r="S72" s="775">
        <f>SUMIF('Data Input sheet'!$B$118:$B$180,R72,'Data Input sheet'!$D$118:$D$180)</f>
        <v>152</v>
      </c>
      <c r="T72" s="2685">
        <f t="shared" si="20"/>
        <v>0</v>
      </c>
      <c r="U72" s="2013">
        <v>0</v>
      </c>
      <c r="V72" s="778">
        <f t="shared" si="22"/>
        <v>0</v>
      </c>
      <c r="W72" s="2010"/>
      <c r="X72" s="779"/>
      <c r="Y72" s="2012">
        <v>0</v>
      </c>
      <c r="Z72" s="780">
        <f t="shared" si="3"/>
        <v>0</v>
      </c>
      <c r="AA72" s="2007"/>
      <c r="AB72" s="2007"/>
      <c r="AC72" s="765"/>
      <c r="AD72" s="781">
        <f t="shared" si="40"/>
        <v>0</v>
      </c>
      <c r="AE72" s="781">
        <f t="shared" si="5"/>
        <v>0</v>
      </c>
      <c r="AF72" s="781">
        <f t="shared" si="41"/>
        <v>0</v>
      </c>
      <c r="AG72" s="781">
        <f t="shared" si="42"/>
        <v>0</v>
      </c>
      <c r="AH72" s="781">
        <f t="shared" si="8"/>
        <v>0</v>
      </c>
      <c r="AI72" s="782">
        <f t="shared" si="43"/>
        <v>0</v>
      </c>
      <c r="AJ72" s="781">
        <f t="shared" si="44"/>
        <v>0</v>
      </c>
      <c r="AK72" s="781">
        <f t="shared" si="11"/>
        <v>0</v>
      </c>
      <c r="AL72" s="781">
        <f t="shared" si="45"/>
        <v>0</v>
      </c>
      <c r="AM72" s="781">
        <f t="shared" si="46"/>
        <v>0</v>
      </c>
      <c r="AN72" s="781">
        <f t="shared" si="14"/>
        <v>0</v>
      </c>
      <c r="AO72" s="781">
        <f t="shared" si="47"/>
        <v>0</v>
      </c>
      <c r="AP72" s="781">
        <f t="shared" si="48"/>
        <v>0</v>
      </c>
      <c r="AQ72" s="781">
        <f t="shared" si="17"/>
        <v>0</v>
      </c>
      <c r="AR72" s="781">
        <f t="shared" si="49"/>
        <v>0</v>
      </c>
      <c r="AS72" s="783">
        <f t="shared" si="19"/>
        <v>0</v>
      </c>
    </row>
    <row r="73" spans="1:45" ht="15" x14ac:dyDescent="0.25">
      <c r="A73" s="768"/>
      <c r="B73" s="719">
        <f t="shared" si="21"/>
        <v>65</v>
      </c>
      <c r="C73" s="170" t="str">
        <f t="shared" ref="C73:C136" si="50">+F73&amp;I73</f>
        <v/>
      </c>
      <c r="D73" s="557"/>
      <c r="E73" s="170"/>
      <c r="F73" s="2078"/>
      <c r="G73" s="1862"/>
      <c r="H73" s="1926"/>
      <c r="I73" s="2008"/>
      <c r="J73" s="1926"/>
      <c r="K73" s="1926"/>
      <c r="L73" s="170"/>
      <c r="M73" s="2009">
        <v>0</v>
      </c>
      <c r="N73" s="2010">
        <v>1</v>
      </c>
      <c r="O73" s="773">
        <f t="shared" ref="O73:O136" si="51">+M73*N73</f>
        <v>0</v>
      </c>
      <c r="P73" s="2008" t="s">
        <v>39</v>
      </c>
      <c r="Q73" s="2008" t="s">
        <v>604</v>
      </c>
      <c r="R73" s="2011" t="s">
        <v>74</v>
      </c>
      <c r="S73" s="775">
        <f>SUMIF('Data Input sheet'!$B$118:$B$180,R73,'Data Input sheet'!$D$118:$D$180)</f>
        <v>152</v>
      </c>
      <c r="T73" s="2685">
        <f t="shared" ref="T73:T136" si="52">ROUND(O73*S73,0)</f>
        <v>0</v>
      </c>
      <c r="U73" s="2013">
        <v>0</v>
      </c>
      <c r="V73" s="778">
        <f t="shared" si="22"/>
        <v>0</v>
      </c>
      <c r="W73" s="2010"/>
      <c r="X73" s="779"/>
      <c r="Y73" s="2012">
        <v>0</v>
      </c>
      <c r="Z73" s="780">
        <f t="shared" ref="Z73:Z136" si="53">T73+V73+W73+Y73</f>
        <v>0</v>
      </c>
      <c r="AA73" s="2007"/>
      <c r="AB73" s="2007"/>
      <c r="AC73" s="765"/>
      <c r="AD73" s="781">
        <f t="shared" ref="AD73:AD104" si="54">IF(P73="E",+ROUND(H73*O73,0),0)</f>
        <v>0</v>
      </c>
      <c r="AE73" s="781">
        <f t="shared" ref="AE73:AE136" si="55">+AF73-AD73</f>
        <v>0</v>
      </c>
      <c r="AF73" s="781">
        <f t="shared" ref="AF73:AF104" si="56">+H73*O73</f>
        <v>0</v>
      </c>
      <c r="AG73" s="781">
        <f t="shared" ref="AG73:AG104" si="57">IF(P73="E",+ROUND(T73*H73,0),0)</f>
        <v>0</v>
      </c>
      <c r="AH73" s="781">
        <f t="shared" ref="AH73:AH136" si="58">+AI73-AG73</f>
        <v>0</v>
      </c>
      <c r="AI73" s="782">
        <f t="shared" ref="AI73:AI104" si="59">+H73*T73</f>
        <v>0</v>
      </c>
      <c r="AJ73" s="781">
        <f t="shared" ref="AJ73:AJ104" si="60">IF(P73="E",+ROUND(V73*H73,0),0)</f>
        <v>0</v>
      </c>
      <c r="AK73" s="781">
        <f t="shared" ref="AK73:AK136" si="61">+AL73-AJ73</f>
        <v>0</v>
      </c>
      <c r="AL73" s="781">
        <f t="shared" ref="AL73:AL104" si="62">ROUND(V73*H73,0)</f>
        <v>0</v>
      </c>
      <c r="AM73" s="781">
        <f t="shared" ref="AM73:AM104" si="63">IF(Q73="E",+ROUND(W73*H73,0),0)</f>
        <v>0</v>
      </c>
      <c r="AN73" s="781">
        <f t="shared" ref="AN73:AN136" si="64">+AO73-AM73</f>
        <v>0</v>
      </c>
      <c r="AO73" s="781">
        <f t="shared" ref="AO73:AO104" si="65">ROUND(W73*H73,0)</f>
        <v>0</v>
      </c>
      <c r="AP73" s="781">
        <f t="shared" ref="AP73:AP104" si="66">IF(P73="E",+ROUND(Y73*H73,0),0)</f>
        <v>0</v>
      </c>
      <c r="AQ73" s="781">
        <f t="shared" ref="AQ73:AQ136" si="67">+AR73-AP73</f>
        <v>0</v>
      </c>
      <c r="AR73" s="781">
        <f t="shared" ref="AR73:AR104" si="68">ROUND(Y73*H73,0)</f>
        <v>0</v>
      </c>
      <c r="AS73" s="783">
        <f t="shared" ref="AS73:AS136" si="69">+AR73+AO73+AL73+AI73</f>
        <v>0</v>
      </c>
    </row>
    <row r="74" spans="1:45" ht="15" x14ac:dyDescent="0.25">
      <c r="A74" s="768"/>
      <c r="B74" s="719">
        <f t="shared" si="21"/>
        <v>66</v>
      </c>
      <c r="C74" s="170" t="str">
        <f t="shared" si="50"/>
        <v/>
      </c>
      <c r="D74" s="557"/>
      <c r="E74" s="170"/>
      <c r="F74" s="2078"/>
      <c r="G74" s="1862"/>
      <c r="H74" s="1926"/>
      <c r="I74" s="2008"/>
      <c r="J74" s="1926"/>
      <c r="K74" s="1926"/>
      <c r="L74" s="170"/>
      <c r="M74" s="2009">
        <v>0</v>
      </c>
      <c r="N74" s="2010">
        <v>1</v>
      </c>
      <c r="O74" s="773">
        <f t="shared" si="51"/>
        <v>0</v>
      </c>
      <c r="P74" s="2008" t="s">
        <v>39</v>
      </c>
      <c r="Q74" s="2008" t="s">
        <v>604</v>
      </c>
      <c r="R74" s="2011" t="s">
        <v>74</v>
      </c>
      <c r="S74" s="775">
        <f>SUMIF('Data Input sheet'!$B$118:$B$180,R74,'Data Input sheet'!$D$118:$D$180)</f>
        <v>152</v>
      </c>
      <c r="T74" s="2685">
        <f t="shared" si="52"/>
        <v>0</v>
      </c>
      <c r="U74" s="2013">
        <v>0</v>
      </c>
      <c r="V74" s="778">
        <f t="shared" si="22"/>
        <v>0</v>
      </c>
      <c r="W74" s="2010"/>
      <c r="X74" s="779"/>
      <c r="Y74" s="2012">
        <v>0</v>
      </c>
      <c r="Z74" s="780">
        <f t="shared" si="53"/>
        <v>0</v>
      </c>
      <c r="AA74" s="2007"/>
      <c r="AB74" s="2007"/>
      <c r="AC74" s="765"/>
      <c r="AD74" s="781">
        <f t="shared" si="54"/>
        <v>0</v>
      </c>
      <c r="AE74" s="781">
        <f t="shared" si="55"/>
        <v>0</v>
      </c>
      <c r="AF74" s="781">
        <f t="shared" si="56"/>
        <v>0</v>
      </c>
      <c r="AG74" s="781">
        <f t="shared" si="57"/>
        <v>0</v>
      </c>
      <c r="AH74" s="781">
        <f t="shared" si="58"/>
        <v>0</v>
      </c>
      <c r="AI74" s="782">
        <f t="shared" si="59"/>
        <v>0</v>
      </c>
      <c r="AJ74" s="781">
        <f t="shared" si="60"/>
        <v>0</v>
      </c>
      <c r="AK74" s="781">
        <f t="shared" si="61"/>
        <v>0</v>
      </c>
      <c r="AL74" s="781">
        <f t="shared" si="62"/>
        <v>0</v>
      </c>
      <c r="AM74" s="781">
        <f t="shared" si="63"/>
        <v>0</v>
      </c>
      <c r="AN74" s="781">
        <f t="shared" si="64"/>
        <v>0</v>
      </c>
      <c r="AO74" s="781">
        <f t="shared" si="65"/>
        <v>0</v>
      </c>
      <c r="AP74" s="781">
        <f t="shared" si="66"/>
        <v>0</v>
      </c>
      <c r="AQ74" s="781">
        <f t="shared" si="67"/>
        <v>0</v>
      </c>
      <c r="AR74" s="781">
        <f t="shared" si="68"/>
        <v>0</v>
      </c>
      <c r="AS74" s="783">
        <f t="shared" si="69"/>
        <v>0</v>
      </c>
    </row>
    <row r="75" spans="1:45" ht="15" x14ac:dyDescent="0.25">
      <c r="A75" s="768"/>
      <c r="B75" s="719">
        <f t="shared" ref="B75:B138" si="70">B74+1</f>
        <v>67</v>
      </c>
      <c r="C75" s="170" t="str">
        <f t="shared" si="50"/>
        <v/>
      </c>
      <c r="D75" s="557"/>
      <c r="E75" s="170"/>
      <c r="F75" s="2078"/>
      <c r="G75" s="1862"/>
      <c r="H75" s="1926"/>
      <c r="I75" s="2008"/>
      <c r="J75" s="1926"/>
      <c r="K75" s="1926"/>
      <c r="L75" s="170"/>
      <c r="M75" s="2009">
        <v>0</v>
      </c>
      <c r="N75" s="2010">
        <v>1</v>
      </c>
      <c r="O75" s="773">
        <f t="shared" si="51"/>
        <v>0</v>
      </c>
      <c r="P75" s="2008" t="s">
        <v>39</v>
      </c>
      <c r="Q75" s="2008" t="s">
        <v>604</v>
      </c>
      <c r="R75" s="2011" t="s">
        <v>74</v>
      </c>
      <c r="S75" s="775">
        <f>SUMIF('Data Input sheet'!$B$118:$B$180,R75,'Data Input sheet'!$D$118:$D$180)</f>
        <v>152</v>
      </c>
      <c r="T75" s="2685">
        <f t="shared" si="52"/>
        <v>0</v>
      </c>
      <c r="U75" s="2013">
        <v>0</v>
      </c>
      <c r="V75" s="778">
        <f t="shared" ref="V75:V138" si="71">ROUND(U75*O75,0)</f>
        <v>0</v>
      </c>
      <c r="W75" s="2010"/>
      <c r="X75" s="779"/>
      <c r="Y75" s="2012">
        <v>0</v>
      </c>
      <c r="Z75" s="780">
        <f t="shared" si="53"/>
        <v>0</v>
      </c>
      <c r="AA75" s="2007"/>
      <c r="AB75" s="2007"/>
      <c r="AC75" s="765"/>
      <c r="AD75" s="781">
        <f t="shared" si="54"/>
        <v>0</v>
      </c>
      <c r="AE75" s="781">
        <f t="shared" si="55"/>
        <v>0</v>
      </c>
      <c r="AF75" s="781">
        <f t="shared" si="56"/>
        <v>0</v>
      </c>
      <c r="AG75" s="781">
        <f t="shared" si="57"/>
        <v>0</v>
      </c>
      <c r="AH75" s="781">
        <f t="shared" si="58"/>
        <v>0</v>
      </c>
      <c r="AI75" s="782">
        <f t="shared" si="59"/>
        <v>0</v>
      </c>
      <c r="AJ75" s="781">
        <f t="shared" si="60"/>
        <v>0</v>
      </c>
      <c r="AK75" s="781">
        <f t="shared" si="61"/>
        <v>0</v>
      </c>
      <c r="AL75" s="781">
        <f t="shared" si="62"/>
        <v>0</v>
      </c>
      <c r="AM75" s="781">
        <f t="shared" si="63"/>
        <v>0</v>
      </c>
      <c r="AN75" s="781">
        <f t="shared" si="64"/>
        <v>0</v>
      </c>
      <c r="AO75" s="781">
        <f t="shared" si="65"/>
        <v>0</v>
      </c>
      <c r="AP75" s="781">
        <f t="shared" si="66"/>
        <v>0</v>
      </c>
      <c r="AQ75" s="781">
        <f t="shared" si="67"/>
        <v>0</v>
      </c>
      <c r="AR75" s="781">
        <f t="shared" si="68"/>
        <v>0</v>
      </c>
      <c r="AS75" s="783">
        <f t="shared" si="69"/>
        <v>0</v>
      </c>
    </row>
    <row r="76" spans="1:45" ht="15" x14ac:dyDescent="0.25">
      <c r="A76" s="768"/>
      <c r="B76" s="719">
        <f t="shared" si="70"/>
        <v>68</v>
      </c>
      <c r="C76" s="170" t="str">
        <f t="shared" si="50"/>
        <v/>
      </c>
      <c r="D76" s="557"/>
      <c r="E76" s="170"/>
      <c r="F76" s="2078"/>
      <c r="G76" s="1862"/>
      <c r="H76" s="1926"/>
      <c r="I76" s="2008"/>
      <c r="J76" s="1926"/>
      <c r="K76" s="1926"/>
      <c r="L76" s="170"/>
      <c r="M76" s="2009">
        <v>0</v>
      </c>
      <c r="N76" s="2010">
        <v>1</v>
      </c>
      <c r="O76" s="773">
        <f t="shared" si="51"/>
        <v>0</v>
      </c>
      <c r="P76" s="2008" t="s">
        <v>39</v>
      </c>
      <c r="Q76" s="2008" t="s">
        <v>604</v>
      </c>
      <c r="R76" s="2011" t="s">
        <v>74</v>
      </c>
      <c r="S76" s="775">
        <f>SUMIF('Data Input sheet'!$B$118:$B$180,R76,'Data Input sheet'!$D$118:$D$180)</f>
        <v>152</v>
      </c>
      <c r="T76" s="2685">
        <f t="shared" si="52"/>
        <v>0</v>
      </c>
      <c r="U76" s="2013">
        <v>0</v>
      </c>
      <c r="V76" s="778">
        <f t="shared" si="71"/>
        <v>0</v>
      </c>
      <c r="W76" s="2010"/>
      <c r="X76" s="779"/>
      <c r="Y76" s="2012">
        <v>0</v>
      </c>
      <c r="Z76" s="780">
        <f t="shared" si="53"/>
        <v>0</v>
      </c>
      <c r="AA76" s="2007"/>
      <c r="AB76" s="2007"/>
      <c r="AC76" s="765"/>
      <c r="AD76" s="781">
        <f t="shared" si="54"/>
        <v>0</v>
      </c>
      <c r="AE76" s="781">
        <f t="shared" si="55"/>
        <v>0</v>
      </c>
      <c r="AF76" s="781">
        <f t="shared" si="56"/>
        <v>0</v>
      </c>
      <c r="AG76" s="781">
        <f t="shared" si="57"/>
        <v>0</v>
      </c>
      <c r="AH76" s="781">
        <f t="shared" si="58"/>
        <v>0</v>
      </c>
      <c r="AI76" s="782">
        <f t="shared" si="59"/>
        <v>0</v>
      </c>
      <c r="AJ76" s="781">
        <f t="shared" si="60"/>
        <v>0</v>
      </c>
      <c r="AK76" s="781">
        <f t="shared" si="61"/>
        <v>0</v>
      </c>
      <c r="AL76" s="781">
        <f t="shared" si="62"/>
        <v>0</v>
      </c>
      <c r="AM76" s="781">
        <f t="shared" si="63"/>
        <v>0</v>
      </c>
      <c r="AN76" s="781">
        <f t="shared" si="64"/>
        <v>0</v>
      </c>
      <c r="AO76" s="781">
        <f t="shared" si="65"/>
        <v>0</v>
      </c>
      <c r="AP76" s="781">
        <f t="shared" si="66"/>
        <v>0</v>
      </c>
      <c r="AQ76" s="781">
        <f t="shared" si="67"/>
        <v>0</v>
      </c>
      <c r="AR76" s="781">
        <f t="shared" si="68"/>
        <v>0</v>
      </c>
      <c r="AS76" s="783">
        <f t="shared" si="69"/>
        <v>0</v>
      </c>
    </row>
    <row r="77" spans="1:45" ht="15" x14ac:dyDescent="0.25">
      <c r="A77" s="768"/>
      <c r="B77" s="719">
        <f t="shared" si="70"/>
        <v>69</v>
      </c>
      <c r="C77" s="170" t="str">
        <f t="shared" si="50"/>
        <v/>
      </c>
      <c r="D77" s="557"/>
      <c r="E77" s="170"/>
      <c r="F77" s="2078"/>
      <c r="G77" s="1862"/>
      <c r="H77" s="1926"/>
      <c r="I77" s="2008"/>
      <c r="J77" s="1926"/>
      <c r="K77" s="1926"/>
      <c r="L77" s="170"/>
      <c r="M77" s="2009">
        <v>0</v>
      </c>
      <c r="N77" s="2010">
        <v>1</v>
      </c>
      <c r="O77" s="773">
        <f t="shared" si="51"/>
        <v>0</v>
      </c>
      <c r="P77" s="2008" t="s">
        <v>39</v>
      </c>
      <c r="Q77" s="2008" t="s">
        <v>604</v>
      </c>
      <c r="R77" s="2011" t="s">
        <v>74</v>
      </c>
      <c r="S77" s="775">
        <f>SUMIF('Data Input sheet'!$B$118:$B$180,R77,'Data Input sheet'!$D$118:$D$180)</f>
        <v>152</v>
      </c>
      <c r="T77" s="2685">
        <f t="shared" si="52"/>
        <v>0</v>
      </c>
      <c r="U77" s="2013">
        <v>0</v>
      </c>
      <c r="V77" s="778">
        <f t="shared" si="71"/>
        <v>0</v>
      </c>
      <c r="W77" s="2010"/>
      <c r="X77" s="779"/>
      <c r="Y77" s="2012">
        <v>0</v>
      </c>
      <c r="Z77" s="780">
        <f t="shared" si="53"/>
        <v>0</v>
      </c>
      <c r="AA77" s="2007"/>
      <c r="AB77" s="2007"/>
      <c r="AC77" s="765"/>
      <c r="AD77" s="781">
        <f t="shared" si="54"/>
        <v>0</v>
      </c>
      <c r="AE77" s="781">
        <f t="shared" si="55"/>
        <v>0</v>
      </c>
      <c r="AF77" s="781">
        <f t="shared" si="56"/>
        <v>0</v>
      </c>
      <c r="AG77" s="781">
        <f t="shared" si="57"/>
        <v>0</v>
      </c>
      <c r="AH77" s="781">
        <f t="shared" si="58"/>
        <v>0</v>
      </c>
      <c r="AI77" s="782">
        <f t="shared" si="59"/>
        <v>0</v>
      </c>
      <c r="AJ77" s="781">
        <f t="shared" si="60"/>
        <v>0</v>
      </c>
      <c r="AK77" s="781">
        <f t="shared" si="61"/>
        <v>0</v>
      </c>
      <c r="AL77" s="781">
        <f t="shared" si="62"/>
        <v>0</v>
      </c>
      <c r="AM77" s="781">
        <f t="shared" si="63"/>
        <v>0</v>
      </c>
      <c r="AN77" s="781">
        <f t="shared" si="64"/>
        <v>0</v>
      </c>
      <c r="AO77" s="781">
        <f t="shared" si="65"/>
        <v>0</v>
      </c>
      <c r="AP77" s="781">
        <f t="shared" si="66"/>
        <v>0</v>
      </c>
      <c r="AQ77" s="781">
        <f t="shared" si="67"/>
        <v>0</v>
      </c>
      <c r="AR77" s="781">
        <f t="shared" si="68"/>
        <v>0</v>
      </c>
      <c r="AS77" s="783">
        <f t="shared" si="69"/>
        <v>0</v>
      </c>
    </row>
    <row r="78" spans="1:45" ht="15" x14ac:dyDescent="0.25">
      <c r="A78" s="784"/>
      <c r="B78" s="719">
        <f t="shared" si="70"/>
        <v>70</v>
      </c>
      <c r="C78" s="170" t="str">
        <f t="shared" si="50"/>
        <v/>
      </c>
      <c r="D78" s="557"/>
      <c r="E78" s="170"/>
      <c r="F78" s="2078"/>
      <c r="G78" s="1862"/>
      <c r="H78" s="1926"/>
      <c r="I78" s="2008"/>
      <c r="J78" s="1926"/>
      <c r="K78" s="1926"/>
      <c r="L78" s="170"/>
      <c r="M78" s="2009">
        <v>0</v>
      </c>
      <c r="N78" s="2010">
        <v>1</v>
      </c>
      <c r="O78" s="773">
        <f t="shared" si="51"/>
        <v>0</v>
      </c>
      <c r="P78" s="2008" t="s">
        <v>39</v>
      </c>
      <c r="Q78" s="2008" t="s">
        <v>604</v>
      </c>
      <c r="R78" s="2011" t="s">
        <v>74</v>
      </c>
      <c r="S78" s="775">
        <f>SUMIF('Data Input sheet'!$B$118:$B$180,R78,'Data Input sheet'!$D$118:$D$180)</f>
        <v>152</v>
      </c>
      <c r="T78" s="2685">
        <f t="shared" si="52"/>
        <v>0</v>
      </c>
      <c r="U78" s="2013">
        <v>0</v>
      </c>
      <c r="V78" s="778">
        <f t="shared" si="71"/>
        <v>0</v>
      </c>
      <c r="W78" s="2010"/>
      <c r="X78" s="779"/>
      <c r="Y78" s="2012">
        <v>0</v>
      </c>
      <c r="Z78" s="780">
        <f t="shared" si="53"/>
        <v>0</v>
      </c>
      <c r="AA78" s="2007"/>
      <c r="AB78" s="2007"/>
      <c r="AC78" s="765"/>
      <c r="AD78" s="781">
        <f t="shared" si="54"/>
        <v>0</v>
      </c>
      <c r="AE78" s="781">
        <f t="shared" si="55"/>
        <v>0</v>
      </c>
      <c r="AF78" s="781">
        <f t="shared" si="56"/>
        <v>0</v>
      </c>
      <c r="AG78" s="781">
        <f t="shared" si="57"/>
        <v>0</v>
      </c>
      <c r="AH78" s="781">
        <f t="shared" si="58"/>
        <v>0</v>
      </c>
      <c r="AI78" s="782">
        <f t="shared" si="59"/>
        <v>0</v>
      </c>
      <c r="AJ78" s="781">
        <f t="shared" si="60"/>
        <v>0</v>
      </c>
      <c r="AK78" s="781">
        <f t="shared" si="61"/>
        <v>0</v>
      </c>
      <c r="AL78" s="781">
        <f t="shared" si="62"/>
        <v>0</v>
      </c>
      <c r="AM78" s="781">
        <f t="shared" si="63"/>
        <v>0</v>
      </c>
      <c r="AN78" s="781">
        <f t="shared" si="64"/>
        <v>0</v>
      </c>
      <c r="AO78" s="781">
        <f t="shared" si="65"/>
        <v>0</v>
      </c>
      <c r="AP78" s="781">
        <f t="shared" si="66"/>
        <v>0</v>
      </c>
      <c r="AQ78" s="781">
        <f t="shared" si="67"/>
        <v>0</v>
      </c>
      <c r="AR78" s="781">
        <f t="shared" si="68"/>
        <v>0</v>
      </c>
      <c r="AS78" s="783">
        <f t="shared" si="69"/>
        <v>0</v>
      </c>
    </row>
    <row r="79" spans="1:45" ht="15" x14ac:dyDescent="0.25">
      <c r="A79" s="784"/>
      <c r="B79" s="719">
        <f t="shared" si="70"/>
        <v>71</v>
      </c>
      <c r="C79" s="170" t="str">
        <f t="shared" si="50"/>
        <v/>
      </c>
      <c r="D79" s="557"/>
      <c r="E79" s="170"/>
      <c r="F79" s="2078"/>
      <c r="G79" s="1862"/>
      <c r="H79" s="1926"/>
      <c r="I79" s="2008"/>
      <c r="J79" s="1926"/>
      <c r="K79" s="1926"/>
      <c r="L79" s="170"/>
      <c r="M79" s="2009">
        <v>0</v>
      </c>
      <c r="N79" s="2010">
        <v>1</v>
      </c>
      <c r="O79" s="773">
        <f t="shared" si="51"/>
        <v>0</v>
      </c>
      <c r="P79" s="2008" t="s">
        <v>39</v>
      </c>
      <c r="Q79" s="2008" t="s">
        <v>604</v>
      </c>
      <c r="R79" s="2011" t="s">
        <v>74</v>
      </c>
      <c r="S79" s="775">
        <f>SUMIF('Data Input sheet'!$B$118:$B$180,R79,'Data Input sheet'!$D$118:$D$180)</f>
        <v>152</v>
      </c>
      <c r="T79" s="2685">
        <f t="shared" si="52"/>
        <v>0</v>
      </c>
      <c r="U79" s="2013">
        <v>0</v>
      </c>
      <c r="V79" s="778">
        <f t="shared" si="71"/>
        <v>0</v>
      </c>
      <c r="W79" s="2010"/>
      <c r="X79" s="779"/>
      <c r="Y79" s="2012">
        <v>0</v>
      </c>
      <c r="Z79" s="780">
        <f t="shared" si="53"/>
        <v>0</v>
      </c>
      <c r="AA79" s="2007"/>
      <c r="AB79" s="2007"/>
      <c r="AC79" s="765"/>
      <c r="AD79" s="781">
        <f t="shared" si="54"/>
        <v>0</v>
      </c>
      <c r="AE79" s="781">
        <f t="shared" si="55"/>
        <v>0</v>
      </c>
      <c r="AF79" s="781">
        <f t="shared" si="56"/>
        <v>0</v>
      </c>
      <c r="AG79" s="781">
        <f t="shared" si="57"/>
        <v>0</v>
      </c>
      <c r="AH79" s="781">
        <f t="shared" si="58"/>
        <v>0</v>
      </c>
      <c r="AI79" s="782">
        <f t="shared" si="59"/>
        <v>0</v>
      </c>
      <c r="AJ79" s="781">
        <f t="shared" si="60"/>
        <v>0</v>
      </c>
      <c r="AK79" s="781">
        <f t="shared" si="61"/>
        <v>0</v>
      </c>
      <c r="AL79" s="781">
        <f t="shared" si="62"/>
        <v>0</v>
      </c>
      <c r="AM79" s="781">
        <f t="shared" si="63"/>
        <v>0</v>
      </c>
      <c r="AN79" s="781">
        <f t="shared" si="64"/>
        <v>0</v>
      </c>
      <c r="AO79" s="781">
        <f t="shared" si="65"/>
        <v>0</v>
      </c>
      <c r="AP79" s="781">
        <f t="shared" si="66"/>
        <v>0</v>
      </c>
      <c r="AQ79" s="781">
        <f t="shared" si="67"/>
        <v>0</v>
      </c>
      <c r="AR79" s="781">
        <f t="shared" si="68"/>
        <v>0</v>
      </c>
      <c r="AS79" s="783">
        <f t="shared" si="69"/>
        <v>0</v>
      </c>
    </row>
    <row r="80" spans="1:45" ht="15" x14ac:dyDescent="0.25">
      <c r="A80" s="768"/>
      <c r="B80" s="719">
        <f t="shared" si="70"/>
        <v>72</v>
      </c>
      <c r="C80" s="170" t="str">
        <f t="shared" si="50"/>
        <v/>
      </c>
      <c r="D80" s="557"/>
      <c r="E80" s="170"/>
      <c r="F80" s="2078"/>
      <c r="G80" s="1862"/>
      <c r="H80" s="1926"/>
      <c r="I80" s="2008"/>
      <c r="J80" s="1926"/>
      <c r="K80" s="1926"/>
      <c r="L80" s="170"/>
      <c r="M80" s="2009">
        <v>0</v>
      </c>
      <c r="N80" s="2010">
        <v>1</v>
      </c>
      <c r="O80" s="773">
        <f t="shared" si="51"/>
        <v>0</v>
      </c>
      <c r="P80" s="2008" t="s">
        <v>39</v>
      </c>
      <c r="Q80" s="2008" t="s">
        <v>604</v>
      </c>
      <c r="R80" s="2011" t="s">
        <v>74</v>
      </c>
      <c r="S80" s="775">
        <f>SUMIF('Data Input sheet'!$B$118:$B$180,R80,'Data Input sheet'!$D$118:$D$180)</f>
        <v>152</v>
      </c>
      <c r="T80" s="2685">
        <f t="shared" si="52"/>
        <v>0</v>
      </c>
      <c r="U80" s="2013">
        <v>0</v>
      </c>
      <c r="V80" s="778">
        <f t="shared" si="71"/>
        <v>0</v>
      </c>
      <c r="W80" s="2010"/>
      <c r="X80" s="779"/>
      <c r="Y80" s="2012">
        <v>0</v>
      </c>
      <c r="Z80" s="780">
        <f t="shared" si="53"/>
        <v>0</v>
      </c>
      <c r="AA80" s="2007"/>
      <c r="AB80" s="2007"/>
      <c r="AC80" s="765"/>
      <c r="AD80" s="781">
        <f t="shared" si="54"/>
        <v>0</v>
      </c>
      <c r="AE80" s="781">
        <f t="shared" si="55"/>
        <v>0</v>
      </c>
      <c r="AF80" s="781">
        <f t="shared" si="56"/>
        <v>0</v>
      </c>
      <c r="AG80" s="781">
        <f t="shared" si="57"/>
        <v>0</v>
      </c>
      <c r="AH80" s="781">
        <f t="shared" si="58"/>
        <v>0</v>
      </c>
      <c r="AI80" s="782">
        <f t="shared" si="59"/>
        <v>0</v>
      </c>
      <c r="AJ80" s="781">
        <f t="shared" si="60"/>
        <v>0</v>
      </c>
      <c r="AK80" s="781">
        <f t="shared" si="61"/>
        <v>0</v>
      </c>
      <c r="AL80" s="781">
        <f t="shared" si="62"/>
        <v>0</v>
      </c>
      <c r="AM80" s="781">
        <f t="shared" si="63"/>
        <v>0</v>
      </c>
      <c r="AN80" s="781">
        <f t="shared" si="64"/>
        <v>0</v>
      </c>
      <c r="AO80" s="781">
        <f t="shared" si="65"/>
        <v>0</v>
      </c>
      <c r="AP80" s="781">
        <f t="shared" si="66"/>
        <v>0</v>
      </c>
      <c r="AQ80" s="781">
        <f t="shared" si="67"/>
        <v>0</v>
      </c>
      <c r="AR80" s="781">
        <f t="shared" si="68"/>
        <v>0</v>
      </c>
      <c r="AS80" s="783">
        <f t="shared" si="69"/>
        <v>0</v>
      </c>
    </row>
    <row r="81" spans="1:45" ht="15" x14ac:dyDescent="0.25">
      <c r="A81" s="768"/>
      <c r="B81" s="719">
        <f t="shared" si="70"/>
        <v>73</v>
      </c>
      <c r="C81" s="170" t="str">
        <f t="shared" si="50"/>
        <v/>
      </c>
      <c r="D81" s="557"/>
      <c r="E81" s="170"/>
      <c r="F81" s="2078"/>
      <c r="G81" s="1862"/>
      <c r="H81" s="1926"/>
      <c r="I81" s="2008"/>
      <c r="J81" s="1926"/>
      <c r="K81" s="1926"/>
      <c r="L81" s="170"/>
      <c r="M81" s="2009">
        <v>0</v>
      </c>
      <c r="N81" s="2010">
        <v>1</v>
      </c>
      <c r="O81" s="773">
        <f t="shared" si="51"/>
        <v>0</v>
      </c>
      <c r="P81" s="2008" t="s">
        <v>39</v>
      </c>
      <c r="Q81" s="2008" t="s">
        <v>604</v>
      </c>
      <c r="R81" s="2011" t="s">
        <v>74</v>
      </c>
      <c r="S81" s="775">
        <f>SUMIF('Data Input sheet'!$B$118:$B$180,R81,'Data Input sheet'!$D$118:$D$180)</f>
        <v>152</v>
      </c>
      <c r="T81" s="2685">
        <f t="shared" si="52"/>
        <v>0</v>
      </c>
      <c r="U81" s="2013">
        <v>0</v>
      </c>
      <c r="V81" s="778">
        <f t="shared" si="71"/>
        <v>0</v>
      </c>
      <c r="W81" s="2010"/>
      <c r="X81" s="779"/>
      <c r="Y81" s="2012">
        <v>0</v>
      </c>
      <c r="Z81" s="780">
        <f t="shared" si="53"/>
        <v>0</v>
      </c>
      <c r="AA81" s="2007"/>
      <c r="AB81" s="2007"/>
      <c r="AC81" s="765"/>
      <c r="AD81" s="781">
        <f t="shared" si="54"/>
        <v>0</v>
      </c>
      <c r="AE81" s="781">
        <f t="shared" si="55"/>
        <v>0</v>
      </c>
      <c r="AF81" s="781">
        <f t="shared" si="56"/>
        <v>0</v>
      </c>
      <c r="AG81" s="781">
        <f t="shared" si="57"/>
        <v>0</v>
      </c>
      <c r="AH81" s="781">
        <f t="shared" si="58"/>
        <v>0</v>
      </c>
      <c r="AI81" s="782">
        <f t="shared" si="59"/>
        <v>0</v>
      </c>
      <c r="AJ81" s="781">
        <f t="shared" si="60"/>
        <v>0</v>
      </c>
      <c r="AK81" s="781">
        <f t="shared" si="61"/>
        <v>0</v>
      </c>
      <c r="AL81" s="781">
        <f t="shared" si="62"/>
        <v>0</v>
      </c>
      <c r="AM81" s="781">
        <f t="shared" si="63"/>
        <v>0</v>
      </c>
      <c r="AN81" s="781">
        <f t="shared" si="64"/>
        <v>0</v>
      </c>
      <c r="AO81" s="781">
        <f t="shared" si="65"/>
        <v>0</v>
      </c>
      <c r="AP81" s="781">
        <f t="shared" si="66"/>
        <v>0</v>
      </c>
      <c r="AQ81" s="781">
        <f t="shared" si="67"/>
        <v>0</v>
      </c>
      <c r="AR81" s="781">
        <f t="shared" si="68"/>
        <v>0</v>
      </c>
      <c r="AS81" s="783">
        <f t="shared" si="69"/>
        <v>0</v>
      </c>
    </row>
    <row r="82" spans="1:45" ht="15" x14ac:dyDescent="0.25">
      <c r="A82" s="768"/>
      <c r="B82" s="719">
        <f t="shared" si="70"/>
        <v>74</v>
      </c>
      <c r="C82" s="170" t="str">
        <f t="shared" si="50"/>
        <v/>
      </c>
      <c r="D82" s="557"/>
      <c r="E82" s="170"/>
      <c r="F82" s="2078"/>
      <c r="G82" s="1862"/>
      <c r="H82" s="1926"/>
      <c r="I82" s="2008"/>
      <c r="J82" s="1926"/>
      <c r="K82" s="1926"/>
      <c r="L82" s="170"/>
      <c r="M82" s="2009">
        <v>0</v>
      </c>
      <c r="N82" s="2010">
        <v>1</v>
      </c>
      <c r="O82" s="773">
        <f t="shared" si="51"/>
        <v>0</v>
      </c>
      <c r="P82" s="2008" t="s">
        <v>39</v>
      </c>
      <c r="Q82" s="2008" t="s">
        <v>604</v>
      </c>
      <c r="R82" s="2011" t="s">
        <v>74</v>
      </c>
      <c r="S82" s="775">
        <f>SUMIF('Data Input sheet'!$B$118:$B$180,R82,'Data Input sheet'!$D$118:$D$180)</f>
        <v>152</v>
      </c>
      <c r="T82" s="2685">
        <f t="shared" si="52"/>
        <v>0</v>
      </c>
      <c r="U82" s="2013">
        <v>0</v>
      </c>
      <c r="V82" s="778">
        <f t="shared" si="71"/>
        <v>0</v>
      </c>
      <c r="W82" s="2010"/>
      <c r="X82" s="779"/>
      <c r="Y82" s="2012">
        <v>0</v>
      </c>
      <c r="Z82" s="780">
        <f t="shared" si="53"/>
        <v>0</v>
      </c>
      <c r="AA82" s="2007"/>
      <c r="AB82" s="2007"/>
      <c r="AC82" s="765"/>
      <c r="AD82" s="781">
        <f t="shared" si="54"/>
        <v>0</v>
      </c>
      <c r="AE82" s="781">
        <f t="shared" si="55"/>
        <v>0</v>
      </c>
      <c r="AF82" s="781">
        <f t="shared" si="56"/>
        <v>0</v>
      </c>
      <c r="AG82" s="781">
        <f t="shared" si="57"/>
        <v>0</v>
      </c>
      <c r="AH82" s="781">
        <f t="shared" si="58"/>
        <v>0</v>
      </c>
      <c r="AI82" s="782">
        <f t="shared" si="59"/>
        <v>0</v>
      </c>
      <c r="AJ82" s="781">
        <f t="shared" si="60"/>
        <v>0</v>
      </c>
      <c r="AK82" s="781">
        <f t="shared" si="61"/>
        <v>0</v>
      </c>
      <c r="AL82" s="781">
        <f t="shared" si="62"/>
        <v>0</v>
      </c>
      <c r="AM82" s="781">
        <f t="shared" si="63"/>
        <v>0</v>
      </c>
      <c r="AN82" s="781">
        <f t="shared" si="64"/>
        <v>0</v>
      </c>
      <c r="AO82" s="781">
        <f t="shared" si="65"/>
        <v>0</v>
      </c>
      <c r="AP82" s="781">
        <f t="shared" si="66"/>
        <v>0</v>
      </c>
      <c r="AQ82" s="781">
        <f t="shared" si="67"/>
        <v>0</v>
      </c>
      <c r="AR82" s="781">
        <f t="shared" si="68"/>
        <v>0</v>
      </c>
      <c r="AS82" s="783">
        <f t="shared" si="69"/>
        <v>0</v>
      </c>
    </row>
    <row r="83" spans="1:45" ht="15" x14ac:dyDescent="0.25">
      <c r="A83" s="768"/>
      <c r="B83" s="719">
        <f t="shared" si="70"/>
        <v>75</v>
      </c>
      <c r="C83" s="170" t="str">
        <f t="shared" si="50"/>
        <v/>
      </c>
      <c r="D83" s="557"/>
      <c r="E83" s="170"/>
      <c r="F83" s="2078"/>
      <c r="G83" s="1862"/>
      <c r="H83" s="1926"/>
      <c r="I83" s="2008"/>
      <c r="J83" s="1926"/>
      <c r="K83" s="1926"/>
      <c r="L83" s="170"/>
      <c r="M83" s="2009">
        <v>0</v>
      </c>
      <c r="N83" s="2010">
        <v>1</v>
      </c>
      <c r="O83" s="773">
        <f t="shared" si="51"/>
        <v>0</v>
      </c>
      <c r="P83" s="2008" t="s">
        <v>39</v>
      </c>
      <c r="Q83" s="2008" t="s">
        <v>604</v>
      </c>
      <c r="R83" s="2011" t="s">
        <v>74</v>
      </c>
      <c r="S83" s="775">
        <f>SUMIF('Data Input sheet'!$B$118:$B$180,R83,'Data Input sheet'!$D$118:$D$180)</f>
        <v>152</v>
      </c>
      <c r="T83" s="2685">
        <f t="shared" si="52"/>
        <v>0</v>
      </c>
      <c r="U83" s="2013">
        <v>0</v>
      </c>
      <c r="V83" s="778">
        <f t="shared" si="71"/>
        <v>0</v>
      </c>
      <c r="W83" s="2010"/>
      <c r="X83" s="779"/>
      <c r="Y83" s="2012">
        <v>0</v>
      </c>
      <c r="Z83" s="780">
        <f t="shared" si="53"/>
        <v>0</v>
      </c>
      <c r="AA83" s="2007"/>
      <c r="AB83" s="2007"/>
      <c r="AC83" s="765"/>
      <c r="AD83" s="781">
        <f t="shared" si="54"/>
        <v>0</v>
      </c>
      <c r="AE83" s="781">
        <f t="shared" si="55"/>
        <v>0</v>
      </c>
      <c r="AF83" s="781">
        <f t="shared" si="56"/>
        <v>0</v>
      </c>
      <c r="AG83" s="781">
        <f t="shared" si="57"/>
        <v>0</v>
      </c>
      <c r="AH83" s="781">
        <f t="shared" si="58"/>
        <v>0</v>
      </c>
      <c r="AI83" s="782">
        <f t="shared" si="59"/>
        <v>0</v>
      </c>
      <c r="AJ83" s="781">
        <f t="shared" si="60"/>
        <v>0</v>
      </c>
      <c r="AK83" s="781">
        <f t="shared" si="61"/>
        <v>0</v>
      </c>
      <c r="AL83" s="781">
        <f t="shared" si="62"/>
        <v>0</v>
      </c>
      <c r="AM83" s="781">
        <f t="shared" si="63"/>
        <v>0</v>
      </c>
      <c r="AN83" s="781">
        <f t="shared" si="64"/>
        <v>0</v>
      </c>
      <c r="AO83" s="781">
        <f t="shared" si="65"/>
        <v>0</v>
      </c>
      <c r="AP83" s="781">
        <f t="shared" si="66"/>
        <v>0</v>
      </c>
      <c r="AQ83" s="781">
        <f t="shared" si="67"/>
        <v>0</v>
      </c>
      <c r="AR83" s="781">
        <f t="shared" si="68"/>
        <v>0</v>
      </c>
      <c r="AS83" s="783">
        <f t="shared" si="69"/>
        <v>0</v>
      </c>
    </row>
    <row r="84" spans="1:45" ht="15" x14ac:dyDescent="0.25">
      <c r="A84" s="768"/>
      <c r="B84" s="719">
        <f t="shared" si="70"/>
        <v>76</v>
      </c>
      <c r="C84" s="170" t="str">
        <f t="shared" si="50"/>
        <v/>
      </c>
      <c r="D84" s="557"/>
      <c r="E84" s="170"/>
      <c r="F84" s="2078"/>
      <c r="G84" s="1862"/>
      <c r="H84" s="1926"/>
      <c r="I84" s="2008"/>
      <c r="J84" s="1926"/>
      <c r="K84" s="1926"/>
      <c r="L84" s="170"/>
      <c r="M84" s="2009">
        <v>0</v>
      </c>
      <c r="N84" s="2010">
        <v>1</v>
      </c>
      <c r="O84" s="773">
        <f t="shared" si="51"/>
        <v>0</v>
      </c>
      <c r="P84" s="2008" t="s">
        <v>39</v>
      </c>
      <c r="Q84" s="2008" t="s">
        <v>604</v>
      </c>
      <c r="R84" s="2011" t="s">
        <v>74</v>
      </c>
      <c r="S84" s="775">
        <f>SUMIF('Data Input sheet'!$B$118:$B$180,R84,'Data Input sheet'!$D$118:$D$180)</f>
        <v>152</v>
      </c>
      <c r="T84" s="2685">
        <f t="shared" si="52"/>
        <v>0</v>
      </c>
      <c r="U84" s="2013">
        <v>0</v>
      </c>
      <c r="V84" s="778">
        <f t="shared" si="71"/>
        <v>0</v>
      </c>
      <c r="W84" s="2010"/>
      <c r="X84" s="779"/>
      <c r="Y84" s="2012">
        <v>0</v>
      </c>
      <c r="Z84" s="780">
        <f t="shared" si="53"/>
        <v>0</v>
      </c>
      <c r="AA84" s="2007"/>
      <c r="AB84" s="2007"/>
      <c r="AC84" s="765"/>
      <c r="AD84" s="781">
        <f t="shared" si="54"/>
        <v>0</v>
      </c>
      <c r="AE84" s="781">
        <f t="shared" si="55"/>
        <v>0</v>
      </c>
      <c r="AF84" s="781">
        <f t="shared" si="56"/>
        <v>0</v>
      </c>
      <c r="AG84" s="781">
        <f t="shared" si="57"/>
        <v>0</v>
      </c>
      <c r="AH84" s="781">
        <f t="shared" si="58"/>
        <v>0</v>
      </c>
      <c r="AI84" s="782">
        <f t="shared" si="59"/>
        <v>0</v>
      </c>
      <c r="AJ84" s="781">
        <f t="shared" si="60"/>
        <v>0</v>
      </c>
      <c r="AK84" s="781">
        <f t="shared" si="61"/>
        <v>0</v>
      </c>
      <c r="AL84" s="781">
        <f t="shared" si="62"/>
        <v>0</v>
      </c>
      <c r="AM84" s="781">
        <f t="shared" si="63"/>
        <v>0</v>
      </c>
      <c r="AN84" s="781">
        <f t="shared" si="64"/>
        <v>0</v>
      </c>
      <c r="AO84" s="781">
        <f t="shared" si="65"/>
        <v>0</v>
      </c>
      <c r="AP84" s="781">
        <f t="shared" si="66"/>
        <v>0</v>
      </c>
      <c r="AQ84" s="781">
        <f t="shared" si="67"/>
        <v>0</v>
      </c>
      <c r="AR84" s="781">
        <f t="shared" si="68"/>
        <v>0</v>
      </c>
      <c r="AS84" s="783">
        <f t="shared" si="69"/>
        <v>0</v>
      </c>
    </row>
    <row r="85" spans="1:45" ht="15" x14ac:dyDescent="0.25">
      <c r="A85" s="768"/>
      <c r="B85" s="719">
        <f t="shared" si="70"/>
        <v>77</v>
      </c>
      <c r="C85" s="170" t="str">
        <f t="shared" si="50"/>
        <v/>
      </c>
      <c r="D85" s="557"/>
      <c r="E85" s="170"/>
      <c r="F85" s="2078"/>
      <c r="G85" s="1862"/>
      <c r="H85" s="1926"/>
      <c r="I85" s="2008"/>
      <c r="J85" s="1926"/>
      <c r="K85" s="1926"/>
      <c r="L85" s="170"/>
      <c r="M85" s="2009">
        <v>0</v>
      </c>
      <c r="N85" s="2010">
        <v>1</v>
      </c>
      <c r="O85" s="773">
        <f t="shared" si="51"/>
        <v>0</v>
      </c>
      <c r="P85" s="2008" t="s">
        <v>39</v>
      </c>
      <c r="Q85" s="2008" t="s">
        <v>604</v>
      </c>
      <c r="R85" s="2011" t="s">
        <v>74</v>
      </c>
      <c r="S85" s="775">
        <f>SUMIF('Data Input sheet'!$B$118:$B$180,R85,'Data Input sheet'!$D$118:$D$180)</f>
        <v>152</v>
      </c>
      <c r="T85" s="2685">
        <f t="shared" si="52"/>
        <v>0</v>
      </c>
      <c r="U85" s="2013">
        <v>0</v>
      </c>
      <c r="V85" s="778">
        <f t="shared" si="71"/>
        <v>0</v>
      </c>
      <c r="W85" s="2010"/>
      <c r="X85" s="779"/>
      <c r="Y85" s="2012">
        <v>0</v>
      </c>
      <c r="Z85" s="780">
        <f t="shared" si="53"/>
        <v>0</v>
      </c>
      <c r="AA85" s="2007"/>
      <c r="AB85" s="2007"/>
      <c r="AC85" s="765"/>
      <c r="AD85" s="781">
        <f t="shared" si="54"/>
        <v>0</v>
      </c>
      <c r="AE85" s="781">
        <f t="shared" si="55"/>
        <v>0</v>
      </c>
      <c r="AF85" s="781">
        <f t="shared" si="56"/>
        <v>0</v>
      </c>
      <c r="AG85" s="781">
        <f t="shared" si="57"/>
        <v>0</v>
      </c>
      <c r="AH85" s="781">
        <f t="shared" si="58"/>
        <v>0</v>
      </c>
      <c r="AI85" s="782">
        <f t="shared" si="59"/>
        <v>0</v>
      </c>
      <c r="AJ85" s="781">
        <f t="shared" si="60"/>
        <v>0</v>
      </c>
      <c r="AK85" s="781">
        <f t="shared" si="61"/>
        <v>0</v>
      </c>
      <c r="AL85" s="781">
        <f t="shared" si="62"/>
        <v>0</v>
      </c>
      <c r="AM85" s="781">
        <f t="shared" si="63"/>
        <v>0</v>
      </c>
      <c r="AN85" s="781">
        <f t="shared" si="64"/>
        <v>0</v>
      </c>
      <c r="AO85" s="781">
        <f t="shared" si="65"/>
        <v>0</v>
      </c>
      <c r="AP85" s="781">
        <f t="shared" si="66"/>
        <v>0</v>
      </c>
      <c r="AQ85" s="781">
        <f t="shared" si="67"/>
        <v>0</v>
      </c>
      <c r="AR85" s="781">
        <f t="shared" si="68"/>
        <v>0</v>
      </c>
      <c r="AS85" s="783">
        <f t="shared" si="69"/>
        <v>0</v>
      </c>
    </row>
    <row r="86" spans="1:45" ht="15" x14ac:dyDescent="0.25">
      <c r="A86" s="768"/>
      <c r="B86" s="719">
        <f t="shared" si="70"/>
        <v>78</v>
      </c>
      <c r="C86" s="170" t="str">
        <f t="shared" si="50"/>
        <v/>
      </c>
      <c r="D86" s="557"/>
      <c r="E86" s="170"/>
      <c r="F86" s="2078"/>
      <c r="G86" s="1862"/>
      <c r="H86" s="1926"/>
      <c r="I86" s="2008"/>
      <c r="J86" s="1926"/>
      <c r="K86" s="1926"/>
      <c r="L86" s="170"/>
      <c r="M86" s="2009">
        <v>0</v>
      </c>
      <c r="N86" s="2010">
        <v>1</v>
      </c>
      <c r="O86" s="773">
        <f t="shared" si="51"/>
        <v>0</v>
      </c>
      <c r="P86" s="2008" t="s">
        <v>39</v>
      </c>
      <c r="Q86" s="2008" t="s">
        <v>604</v>
      </c>
      <c r="R86" s="2011" t="s">
        <v>74</v>
      </c>
      <c r="S86" s="775">
        <f>SUMIF('Data Input sheet'!$B$118:$B$180,R86,'Data Input sheet'!$D$118:$D$180)</f>
        <v>152</v>
      </c>
      <c r="T86" s="2685">
        <f t="shared" si="52"/>
        <v>0</v>
      </c>
      <c r="U86" s="2013">
        <v>0</v>
      </c>
      <c r="V86" s="778">
        <f t="shared" si="71"/>
        <v>0</v>
      </c>
      <c r="W86" s="2010"/>
      <c r="X86" s="779"/>
      <c r="Y86" s="2012">
        <v>0</v>
      </c>
      <c r="Z86" s="780">
        <f t="shared" si="53"/>
        <v>0</v>
      </c>
      <c r="AA86" s="2007"/>
      <c r="AB86" s="2007"/>
      <c r="AC86" s="765"/>
      <c r="AD86" s="781">
        <f t="shared" si="54"/>
        <v>0</v>
      </c>
      <c r="AE86" s="781">
        <f t="shared" si="55"/>
        <v>0</v>
      </c>
      <c r="AF86" s="781">
        <f t="shared" si="56"/>
        <v>0</v>
      </c>
      <c r="AG86" s="781">
        <f t="shared" si="57"/>
        <v>0</v>
      </c>
      <c r="AH86" s="781">
        <f t="shared" si="58"/>
        <v>0</v>
      </c>
      <c r="AI86" s="782">
        <f t="shared" si="59"/>
        <v>0</v>
      </c>
      <c r="AJ86" s="781">
        <f t="shared" si="60"/>
        <v>0</v>
      </c>
      <c r="AK86" s="781">
        <f t="shared" si="61"/>
        <v>0</v>
      </c>
      <c r="AL86" s="781">
        <f t="shared" si="62"/>
        <v>0</v>
      </c>
      <c r="AM86" s="781">
        <f t="shared" si="63"/>
        <v>0</v>
      </c>
      <c r="AN86" s="781">
        <f t="shared" si="64"/>
        <v>0</v>
      </c>
      <c r="AO86" s="781">
        <f t="shared" si="65"/>
        <v>0</v>
      </c>
      <c r="AP86" s="781">
        <f t="shared" si="66"/>
        <v>0</v>
      </c>
      <c r="AQ86" s="781">
        <f t="shared" si="67"/>
        <v>0</v>
      </c>
      <c r="AR86" s="781">
        <f t="shared" si="68"/>
        <v>0</v>
      </c>
      <c r="AS86" s="783">
        <f t="shared" si="69"/>
        <v>0</v>
      </c>
    </row>
    <row r="87" spans="1:45" ht="15" x14ac:dyDescent="0.25">
      <c r="A87" s="768"/>
      <c r="B87" s="719">
        <f t="shared" si="70"/>
        <v>79</v>
      </c>
      <c r="C87" s="170" t="str">
        <f t="shared" si="50"/>
        <v/>
      </c>
      <c r="D87" s="557"/>
      <c r="E87" s="170"/>
      <c r="F87" s="2078"/>
      <c r="G87" s="1862"/>
      <c r="H87" s="1926"/>
      <c r="I87" s="2008"/>
      <c r="J87" s="1926"/>
      <c r="K87" s="1926"/>
      <c r="L87" s="170"/>
      <c r="M87" s="2009">
        <v>0</v>
      </c>
      <c r="N87" s="2010">
        <v>1</v>
      </c>
      <c r="O87" s="773">
        <f t="shared" si="51"/>
        <v>0</v>
      </c>
      <c r="P87" s="2008" t="s">
        <v>39</v>
      </c>
      <c r="Q87" s="2008" t="s">
        <v>604</v>
      </c>
      <c r="R87" s="2011" t="s">
        <v>74</v>
      </c>
      <c r="S87" s="775">
        <f>SUMIF('Data Input sheet'!$B$118:$B$180,R87,'Data Input sheet'!$D$118:$D$180)</f>
        <v>152</v>
      </c>
      <c r="T87" s="2685">
        <f t="shared" si="52"/>
        <v>0</v>
      </c>
      <c r="U87" s="2013">
        <v>0</v>
      </c>
      <c r="V87" s="778">
        <f t="shared" si="71"/>
        <v>0</v>
      </c>
      <c r="W87" s="2010"/>
      <c r="X87" s="779"/>
      <c r="Y87" s="2012">
        <v>0</v>
      </c>
      <c r="Z87" s="780">
        <f t="shared" si="53"/>
        <v>0</v>
      </c>
      <c r="AA87" s="2007"/>
      <c r="AB87" s="2007"/>
      <c r="AC87" s="765"/>
      <c r="AD87" s="781">
        <f t="shared" si="54"/>
        <v>0</v>
      </c>
      <c r="AE87" s="781">
        <f t="shared" si="55"/>
        <v>0</v>
      </c>
      <c r="AF87" s="781">
        <f t="shared" si="56"/>
        <v>0</v>
      </c>
      <c r="AG87" s="781">
        <f t="shared" si="57"/>
        <v>0</v>
      </c>
      <c r="AH87" s="781">
        <f t="shared" si="58"/>
        <v>0</v>
      </c>
      <c r="AI87" s="782">
        <f t="shared" si="59"/>
        <v>0</v>
      </c>
      <c r="AJ87" s="781">
        <f t="shared" si="60"/>
        <v>0</v>
      </c>
      <c r="AK87" s="781">
        <f t="shared" si="61"/>
        <v>0</v>
      </c>
      <c r="AL87" s="781">
        <f t="shared" si="62"/>
        <v>0</v>
      </c>
      <c r="AM87" s="781">
        <f t="shared" si="63"/>
        <v>0</v>
      </c>
      <c r="AN87" s="781">
        <f t="shared" si="64"/>
        <v>0</v>
      </c>
      <c r="AO87" s="781">
        <f t="shared" si="65"/>
        <v>0</v>
      </c>
      <c r="AP87" s="781">
        <f t="shared" si="66"/>
        <v>0</v>
      </c>
      <c r="AQ87" s="781">
        <f t="shared" si="67"/>
        <v>0</v>
      </c>
      <c r="AR87" s="781">
        <f t="shared" si="68"/>
        <v>0</v>
      </c>
      <c r="AS87" s="783">
        <f t="shared" si="69"/>
        <v>0</v>
      </c>
    </row>
    <row r="88" spans="1:45" ht="15" x14ac:dyDescent="0.25">
      <c r="A88" s="768"/>
      <c r="B88" s="719">
        <f t="shared" si="70"/>
        <v>80</v>
      </c>
      <c r="C88" s="170" t="str">
        <f t="shared" si="50"/>
        <v/>
      </c>
      <c r="D88" s="557"/>
      <c r="E88" s="170"/>
      <c r="F88" s="2078"/>
      <c r="G88" s="1862"/>
      <c r="H88" s="1926"/>
      <c r="I88" s="2008"/>
      <c r="J88" s="1926"/>
      <c r="K88" s="1926"/>
      <c r="L88" s="170"/>
      <c r="M88" s="2009">
        <v>0</v>
      </c>
      <c r="N88" s="2010">
        <v>1</v>
      </c>
      <c r="O88" s="773">
        <f t="shared" si="51"/>
        <v>0</v>
      </c>
      <c r="P88" s="2008" t="s">
        <v>39</v>
      </c>
      <c r="Q88" s="2008" t="s">
        <v>604</v>
      </c>
      <c r="R88" s="2011" t="s">
        <v>74</v>
      </c>
      <c r="S88" s="775">
        <f>SUMIF('Data Input sheet'!$B$118:$B$180,R88,'Data Input sheet'!$D$118:$D$180)</f>
        <v>152</v>
      </c>
      <c r="T88" s="2685">
        <f t="shared" si="52"/>
        <v>0</v>
      </c>
      <c r="U88" s="2013">
        <v>0</v>
      </c>
      <c r="V88" s="778">
        <f t="shared" si="71"/>
        <v>0</v>
      </c>
      <c r="W88" s="2010"/>
      <c r="X88" s="779"/>
      <c r="Y88" s="2012">
        <v>0</v>
      </c>
      <c r="Z88" s="780">
        <f t="shared" si="53"/>
        <v>0</v>
      </c>
      <c r="AA88" s="2007"/>
      <c r="AB88" s="2007"/>
      <c r="AC88" s="765"/>
      <c r="AD88" s="781">
        <f t="shared" si="54"/>
        <v>0</v>
      </c>
      <c r="AE88" s="781">
        <f t="shared" si="55"/>
        <v>0</v>
      </c>
      <c r="AF88" s="781">
        <f t="shared" si="56"/>
        <v>0</v>
      </c>
      <c r="AG88" s="781">
        <f t="shared" si="57"/>
        <v>0</v>
      </c>
      <c r="AH88" s="781">
        <f t="shared" si="58"/>
        <v>0</v>
      </c>
      <c r="AI88" s="782">
        <f t="shared" si="59"/>
        <v>0</v>
      </c>
      <c r="AJ88" s="781">
        <f t="shared" si="60"/>
        <v>0</v>
      </c>
      <c r="AK88" s="781">
        <f t="shared" si="61"/>
        <v>0</v>
      </c>
      <c r="AL88" s="781">
        <f t="shared" si="62"/>
        <v>0</v>
      </c>
      <c r="AM88" s="781">
        <f t="shared" si="63"/>
        <v>0</v>
      </c>
      <c r="AN88" s="781">
        <f t="shared" si="64"/>
        <v>0</v>
      </c>
      <c r="AO88" s="781">
        <f t="shared" si="65"/>
        <v>0</v>
      </c>
      <c r="AP88" s="781">
        <f t="shared" si="66"/>
        <v>0</v>
      </c>
      <c r="AQ88" s="781">
        <f t="shared" si="67"/>
        <v>0</v>
      </c>
      <c r="AR88" s="781">
        <f t="shared" si="68"/>
        <v>0</v>
      </c>
      <c r="AS88" s="783">
        <f t="shared" si="69"/>
        <v>0</v>
      </c>
    </row>
    <row r="89" spans="1:45" ht="15" x14ac:dyDescent="0.25">
      <c r="A89" s="768"/>
      <c r="B89" s="719">
        <f t="shared" si="70"/>
        <v>81</v>
      </c>
      <c r="C89" s="170" t="str">
        <f t="shared" si="50"/>
        <v/>
      </c>
      <c r="D89" s="557"/>
      <c r="E89" s="170"/>
      <c r="F89" s="2078"/>
      <c r="G89" s="1862"/>
      <c r="H89" s="1926"/>
      <c r="I89" s="2008"/>
      <c r="J89" s="1926"/>
      <c r="K89" s="1926"/>
      <c r="L89" s="170"/>
      <c r="M89" s="2009">
        <v>0</v>
      </c>
      <c r="N89" s="2010">
        <v>1</v>
      </c>
      <c r="O89" s="773">
        <f t="shared" si="51"/>
        <v>0</v>
      </c>
      <c r="P89" s="2008" t="s">
        <v>39</v>
      </c>
      <c r="Q89" s="2008" t="s">
        <v>604</v>
      </c>
      <c r="R89" s="2011" t="s">
        <v>74</v>
      </c>
      <c r="S89" s="775">
        <f>SUMIF('Data Input sheet'!$B$118:$B$180,R89,'Data Input sheet'!$D$118:$D$180)</f>
        <v>152</v>
      </c>
      <c r="T89" s="2685">
        <f t="shared" si="52"/>
        <v>0</v>
      </c>
      <c r="U89" s="2013">
        <v>0</v>
      </c>
      <c r="V89" s="778">
        <f t="shared" si="71"/>
        <v>0</v>
      </c>
      <c r="W89" s="2010"/>
      <c r="X89" s="779"/>
      <c r="Y89" s="2012">
        <v>0</v>
      </c>
      <c r="Z89" s="780">
        <f t="shared" si="53"/>
        <v>0</v>
      </c>
      <c r="AA89" s="2007"/>
      <c r="AB89" s="2007"/>
      <c r="AC89" s="765"/>
      <c r="AD89" s="781">
        <f t="shared" si="54"/>
        <v>0</v>
      </c>
      <c r="AE89" s="781">
        <f t="shared" si="55"/>
        <v>0</v>
      </c>
      <c r="AF89" s="781">
        <f t="shared" si="56"/>
        <v>0</v>
      </c>
      <c r="AG89" s="781">
        <f t="shared" si="57"/>
        <v>0</v>
      </c>
      <c r="AH89" s="781">
        <f t="shared" si="58"/>
        <v>0</v>
      </c>
      <c r="AI89" s="782">
        <f t="shared" si="59"/>
        <v>0</v>
      </c>
      <c r="AJ89" s="781">
        <f t="shared" si="60"/>
        <v>0</v>
      </c>
      <c r="AK89" s="781">
        <f t="shared" si="61"/>
        <v>0</v>
      </c>
      <c r="AL89" s="781">
        <f t="shared" si="62"/>
        <v>0</v>
      </c>
      <c r="AM89" s="781">
        <f t="shared" si="63"/>
        <v>0</v>
      </c>
      <c r="AN89" s="781">
        <f t="shared" si="64"/>
        <v>0</v>
      </c>
      <c r="AO89" s="781">
        <f t="shared" si="65"/>
        <v>0</v>
      </c>
      <c r="AP89" s="781">
        <f t="shared" si="66"/>
        <v>0</v>
      </c>
      <c r="AQ89" s="781">
        <f t="shared" si="67"/>
        <v>0</v>
      </c>
      <c r="AR89" s="781">
        <f t="shared" si="68"/>
        <v>0</v>
      </c>
      <c r="AS89" s="783">
        <f t="shared" si="69"/>
        <v>0</v>
      </c>
    </row>
    <row r="90" spans="1:45" ht="15" x14ac:dyDescent="0.25">
      <c r="A90" s="768"/>
      <c r="B90" s="719">
        <f t="shared" si="70"/>
        <v>82</v>
      </c>
      <c r="C90" s="170" t="str">
        <f t="shared" si="50"/>
        <v/>
      </c>
      <c r="D90" s="557"/>
      <c r="E90" s="170"/>
      <c r="F90" s="2078"/>
      <c r="G90" s="1862"/>
      <c r="H90" s="1926"/>
      <c r="I90" s="2008"/>
      <c r="J90" s="1926"/>
      <c r="K90" s="1926"/>
      <c r="L90" s="170"/>
      <c r="M90" s="2009">
        <v>0</v>
      </c>
      <c r="N90" s="2010">
        <v>1</v>
      </c>
      <c r="O90" s="773">
        <f t="shared" si="51"/>
        <v>0</v>
      </c>
      <c r="P90" s="2008" t="s">
        <v>39</v>
      </c>
      <c r="Q90" s="2008" t="s">
        <v>604</v>
      </c>
      <c r="R90" s="2011" t="s">
        <v>74</v>
      </c>
      <c r="S90" s="775">
        <f>SUMIF('Data Input sheet'!$B$118:$B$180,R90,'Data Input sheet'!$D$118:$D$180)</f>
        <v>152</v>
      </c>
      <c r="T90" s="2685">
        <f t="shared" si="52"/>
        <v>0</v>
      </c>
      <c r="U90" s="2013">
        <v>0</v>
      </c>
      <c r="V90" s="778">
        <f t="shared" si="71"/>
        <v>0</v>
      </c>
      <c r="W90" s="2010"/>
      <c r="X90" s="779"/>
      <c r="Y90" s="2012">
        <v>0</v>
      </c>
      <c r="Z90" s="780">
        <f t="shared" si="53"/>
        <v>0</v>
      </c>
      <c r="AA90" s="2007"/>
      <c r="AB90" s="2007"/>
      <c r="AC90" s="765"/>
      <c r="AD90" s="781">
        <f t="shared" si="54"/>
        <v>0</v>
      </c>
      <c r="AE90" s="781">
        <f t="shared" si="55"/>
        <v>0</v>
      </c>
      <c r="AF90" s="781">
        <f t="shared" si="56"/>
        <v>0</v>
      </c>
      <c r="AG90" s="781">
        <f t="shared" si="57"/>
        <v>0</v>
      </c>
      <c r="AH90" s="781">
        <f t="shared" si="58"/>
        <v>0</v>
      </c>
      <c r="AI90" s="782">
        <f t="shared" si="59"/>
        <v>0</v>
      </c>
      <c r="AJ90" s="781">
        <f t="shared" si="60"/>
        <v>0</v>
      </c>
      <c r="AK90" s="781">
        <f t="shared" si="61"/>
        <v>0</v>
      </c>
      <c r="AL90" s="781">
        <f t="shared" si="62"/>
        <v>0</v>
      </c>
      <c r="AM90" s="781">
        <f t="shared" si="63"/>
        <v>0</v>
      </c>
      <c r="AN90" s="781">
        <f t="shared" si="64"/>
        <v>0</v>
      </c>
      <c r="AO90" s="781">
        <f t="shared" si="65"/>
        <v>0</v>
      </c>
      <c r="AP90" s="781">
        <f t="shared" si="66"/>
        <v>0</v>
      </c>
      <c r="AQ90" s="781">
        <f t="shared" si="67"/>
        <v>0</v>
      </c>
      <c r="AR90" s="781">
        <f t="shared" si="68"/>
        <v>0</v>
      </c>
      <c r="AS90" s="783">
        <f t="shared" si="69"/>
        <v>0</v>
      </c>
    </row>
    <row r="91" spans="1:45" ht="15" x14ac:dyDescent="0.25">
      <c r="A91" s="768"/>
      <c r="B91" s="719">
        <f t="shared" si="70"/>
        <v>83</v>
      </c>
      <c r="C91" s="170" t="str">
        <f t="shared" si="50"/>
        <v/>
      </c>
      <c r="D91" s="557"/>
      <c r="E91" s="170"/>
      <c r="F91" s="2078"/>
      <c r="G91" s="1862"/>
      <c r="H91" s="1926"/>
      <c r="I91" s="2008"/>
      <c r="J91" s="1926"/>
      <c r="K91" s="1926"/>
      <c r="L91" s="170"/>
      <c r="M91" s="2009">
        <v>0</v>
      </c>
      <c r="N91" s="2010">
        <v>1</v>
      </c>
      <c r="O91" s="773">
        <f t="shared" si="51"/>
        <v>0</v>
      </c>
      <c r="P91" s="2008" t="s">
        <v>39</v>
      </c>
      <c r="Q91" s="2008" t="s">
        <v>604</v>
      </c>
      <c r="R91" s="2011" t="s">
        <v>74</v>
      </c>
      <c r="S91" s="775">
        <f>SUMIF('Data Input sheet'!$B$118:$B$180,R91,'Data Input sheet'!$D$118:$D$180)</f>
        <v>152</v>
      </c>
      <c r="T91" s="2685">
        <f t="shared" si="52"/>
        <v>0</v>
      </c>
      <c r="U91" s="2013">
        <v>0</v>
      </c>
      <c r="V91" s="778">
        <f t="shared" si="71"/>
        <v>0</v>
      </c>
      <c r="W91" s="2010"/>
      <c r="X91" s="779"/>
      <c r="Y91" s="2012">
        <v>0</v>
      </c>
      <c r="Z91" s="780">
        <f t="shared" si="53"/>
        <v>0</v>
      </c>
      <c r="AA91" s="2007"/>
      <c r="AB91" s="2007"/>
      <c r="AC91" s="765"/>
      <c r="AD91" s="781">
        <f t="shared" si="54"/>
        <v>0</v>
      </c>
      <c r="AE91" s="781">
        <f t="shared" si="55"/>
        <v>0</v>
      </c>
      <c r="AF91" s="781">
        <f t="shared" si="56"/>
        <v>0</v>
      </c>
      <c r="AG91" s="781">
        <f t="shared" si="57"/>
        <v>0</v>
      </c>
      <c r="AH91" s="781">
        <f t="shared" si="58"/>
        <v>0</v>
      </c>
      <c r="AI91" s="782">
        <f t="shared" si="59"/>
        <v>0</v>
      </c>
      <c r="AJ91" s="781">
        <f t="shared" si="60"/>
        <v>0</v>
      </c>
      <c r="AK91" s="781">
        <f t="shared" si="61"/>
        <v>0</v>
      </c>
      <c r="AL91" s="781">
        <f t="shared" si="62"/>
        <v>0</v>
      </c>
      <c r="AM91" s="781">
        <f t="shared" si="63"/>
        <v>0</v>
      </c>
      <c r="AN91" s="781">
        <f t="shared" si="64"/>
        <v>0</v>
      </c>
      <c r="AO91" s="781">
        <f t="shared" si="65"/>
        <v>0</v>
      </c>
      <c r="AP91" s="781">
        <f t="shared" si="66"/>
        <v>0</v>
      </c>
      <c r="AQ91" s="781">
        <f t="shared" si="67"/>
        <v>0</v>
      </c>
      <c r="AR91" s="781">
        <f t="shared" si="68"/>
        <v>0</v>
      </c>
      <c r="AS91" s="783">
        <f t="shared" si="69"/>
        <v>0</v>
      </c>
    </row>
    <row r="92" spans="1:45" ht="15" x14ac:dyDescent="0.25">
      <c r="A92" s="768"/>
      <c r="B92" s="719">
        <f t="shared" si="70"/>
        <v>84</v>
      </c>
      <c r="C92" s="170" t="str">
        <f t="shared" si="50"/>
        <v/>
      </c>
      <c r="D92" s="557"/>
      <c r="E92" s="170"/>
      <c r="F92" s="2078"/>
      <c r="G92" s="1862"/>
      <c r="H92" s="1926"/>
      <c r="I92" s="2008"/>
      <c r="J92" s="1926"/>
      <c r="K92" s="1926"/>
      <c r="L92" s="170"/>
      <c r="M92" s="2009">
        <v>0</v>
      </c>
      <c r="N92" s="2010">
        <v>1</v>
      </c>
      <c r="O92" s="773">
        <f t="shared" si="51"/>
        <v>0</v>
      </c>
      <c r="P92" s="2008" t="s">
        <v>39</v>
      </c>
      <c r="Q92" s="2008" t="s">
        <v>604</v>
      </c>
      <c r="R92" s="2011" t="s">
        <v>74</v>
      </c>
      <c r="S92" s="775">
        <f>SUMIF('Data Input sheet'!$B$118:$B$180,R92,'Data Input sheet'!$D$118:$D$180)</f>
        <v>152</v>
      </c>
      <c r="T92" s="2685">
        <f t="shared" si="52"/>
        <v>0</v>
      </c>
      <c r="U92" s="2013">
        <v>0</v>
      </c>
      <c r="V92" s="778">
        <f t="shared" si="71"/>
        <v>0</v>
      </c>
      <c r="W92" s="2010"/>
      <c r="X92" s="779"/>
      <c r="Y92" s="2012">
        <v>0</v>
      </c>
      <c r="Z92" s="780">
        <f t="shared" si="53"/>
        <v>0</v>
      </c>
      <c r="AA92" s="2007"/>
      <c r="AB92" s="2007"/>
      <c r="AC92" s="765"/>
      <c r="AD92" s="781">
        <f t="shared" si="54"/>
        <v>0</v>
      </c>
      <c r="AE92" s="781">
        <f t="shared" si="55"/>
        <v>0</v>
      </c>
      <c r="AF92" s="781">
        <f t="shared" si="56"/>
        <v>0</v>
      </c>
      <c r="AG92" s="781">
        <f t="shared" si="57"/>
        <v>0</v>
      </c>
      <c r="AH92" s="781">
        <f t="shared" si="58"/>
        <v>0</v>
      </c>
      <c r="AI92" s="782">
        <f t="shared" si="59"/>
        <v>0</v>
      </c>
      <c r="AJ92" s="781">
        <f t="shared" si="60"/>
        <v>0</v>
      </c>
      <c r="AK92" s="781">
        <f t="shared" si="61"/>
        <v>0</v>
      </c>
      <c r="AL92" s="781">
        <f t="shared" si="62"/>
        <v>0</v>
      </c>
      <c r="AM92" s="781">
        <f t="shared" si="63"/>
        <v>0</v>
      </c>
      <c r="AN92" s="781">
        <f t="shared" si="64"/>
        <v>0</v>
      </c>
      <c r="AO92" s="781">
        <f t="shared" si="65"/>
        <v>0</v>
      </c>
      <c r="AP92" s="781">
        <f t="shared" si="66"/>
        <v>0</v>
      </c>
      <c r="AQ92" s="781">
        <f t="shared" si="67"/>
        <v>0</v>
      </c>
      <c r="AR92" s="781">
        <f t="shared" si="68"/>
        <v>0</v>
      </c>
      <c r="AS92" s="783">
        <f t="shared" si="69"/>
        <v>0</v>
      </c>
    </row>
    <row r="93" spans="1:45" ht="15" x14ac:dyDescent="0.25">
      <c r="A93" s="768"/>
      <c r="B93" s="719">
        <f t="shared" si="70"/>
        <v>85</v>
      </c>
      <c r="C93" s="170" t="str">
        <f t="shared" si="50"/>
        <v/>
      </c>
      <c r="D93" s="557"/>
      <c r="E93" s="170"/>
      <c r="F93" s="2078"/>
      <c r="G93" s="1862"/>
      <c r="H93" s="1926"/>
      <c r="I93" s="2008"/>
      <c r="J93" s="1926"/>
      <c r="K93" s="1926"/>
      <c r="L93" s="170"/>
      <c r="M93" s="2009">
        <v>0</v>
      </c>
      <c r="N93" s="2010">
        <v>1</v>
      </c>
      <c r="O93" s="773">
        <f t="shared" si="51"/>
        <v>0</v>
      </c>
      <c r="P93" s="2008" t="s">
        <v>39</v>
      </c>
      <c r="Q93" s="2008" t="s">
        <v>604</v>
      </c>
      <c r="R93" s="2011" t="s">
        <v>74</v>
      </c>
      <c r="S93" s="775">
        <f>SUMIF('Data Input sheet'!$B$118:$B$180,R93,'Data Input sheet'!$D$118:$D$180)</f>
        <v>152</v>
      </c>
      <c r="T93" s="2685">
        <f t="shared" si="52"/>
        <v>0</v>
      </c>
      <c r="U93" s="2013">
        <v>0</v>
      </c>
      <c r="V93" s="778">
        <f t="shared" si="71"/>
        <v>0</v>
      </c>
      <c r="W93" s="2010"/>
      <c r="X93" s="779"/>
      <c r="Y93" s="2012">
        <v>0</v>
      </c>
      <c r="Z93" s="780">
        <f t="shared" si="53"/>
        <v>0</v>
      </c>
      <c r="AA93" s="2007"/>
      <c r="AB93" s="2007"/>
      <c r="AC93" s="765"/>
      <c r="AD93" s="781">
        <f t="shared" si="54"/>
        <v>0</v>
      </c>
      <c r="AE93" s="781">
        <f t="shared" si="55"/>
        <v>0</v>
      </c>
      <c r="AF93" s="781">
        <f t="shared" si="56"/>
        <v>0</v>
      </c>
      <c r="AG93" s="781">
        <f t="shared" si="57"/>
        <v>0</v>
      </c>
      <c r="AH93" s="781">
        <f t="shared" si="58"/>
        <v>0</v>
      </c>
      <c r="AI93" s="782">
        <f t="shared" si="59"/>
        <v>0</v>
      </c>
      <c r="AJ93" s="781">
        <f t="shared" si="60"/>
        <v>0</v>
      </c>
      <c r="AK93" s="781">
        <f t="shared" si="61"/>
        <v>0</v>
      </c>
      <c r="AL93" s="781">
        <f t="shared" si="62"/>
        <v>0</v>
      </c>
      <c r="AM93" s="781">
        <f t="shared" si="63"/>
        <v>0</v>
      </c>
      <c r="AN93" s="781">
        <f t="shared" si="64"/>
        <v>0</v>
      </c>
      <c r="AO93" s="781">
        <f t="shared" si="65"/>
        <v>0</v>
      </c>
      <c r="AP93" s="781">
        <f t="shared" si="66"/>
        <v>0</v>
      </c>
      <c r="AQ93" s="781">
        <f t="shared" si="67"/>
        <v>0</v>
      </c>
      <c r="AR93" s="781">
        <f t="shared" si="68"/>
        <v>0</v>
      </c>
      <c r="AS93" s="783">
        <f t="shared" si="69"/>
        <v>0</v>
      </c>
    </row>
    <row r="94" spans="1:45" ht="15" x14ac:dyDescent="0.25">
      <c r="A94" s="768"/>
      <c r="B94" s="719">
        <f t="shared" si="70"/>
        <v>86</v>
      </c>
      <c r="C94" s="170" t="str">
        <f t="shared" si="50"/>
        <v/>
      </c>
      <c r="D94" s="557"/>
      <c r="E94" s="170"/>
      <c r="F94" s="2078"/>
      <c r="G94" s="1862"/>
      <c r="H94" s="1926"/>
      <c r="I94" s="2008"/>
      <c r="J94" s="1926"/>
      <c r="K94" s="1926"/>
      <c r="L94" s="170"/>
      <c r="M94" s="2009">
        <v>0</v>
      </c>
      <c r="N94" s="2010">
        <v>1</v>
      </c>
      <c r="O94" s="773">
        <f t="shared" si="51"/>
        <v>0</v>
      </c>
      <c r="P94" s="2008" t="s">
        <v>39</v>
      </c>
      <c r="Q94" s="2008" t="s">
        <v>604</v>
      </c>
      <c r="R94" s="2011" t="s">
        <v>74</v>
      </c>
      <c r="S94" s="775">
        <f>SUMIF('Data Input sheet'!$B$118:$B$180,R94,'Data Input sheet'!$D$118:$D$180)</f>
        <v>152</v>
      </c>
      <c r="T94" s="2685">
        <f t="shared" si="52"/>
        <v>0</v>
      </c>
      <c r="U94" s="2013">
        <v>0</v>
      </c>
      <c r="V94" s="778">
        <f t="shared" si="71"/>
        <v>0</v>
      </c>
      <c r="W94" s="2010"/>
      <c r="X94" s="779"/>
      <c r="Y94" s="2012">
        <v>0</v>
      </c>
      <c r="Z94" s="780">
        <f t="shared" si="53"/>
        <v>0</v>
      </c>
      <c r="AA94" s="2007"/>
      <c r="AB94" s="2007"/>
      <c r="AC94" s="765"/>
      <c r="AD94" s="781">
        <f t="shared" si="54"/>
        <v>0</v>
      </c>
      <c r="AE94" s="781">
        <f t="shared" si="55"/>
        <v>0</v>
      </c>
      <c r="AF94" s="781">
        <f t="shared" si="56"/>
        <v>0</v>
      </c>
      <c r="AG94" s="781">
        <f t="shared" si="57"/>
        <v>0</v>
      </c>
      <c r="AH94" s="781">
        <f t="shared" si="58"/>
        <v>0</v>
      </c>
      <c r="AI94" s="782">
        <f t="shared" si="59"/>
        <v>0</v>
      </c>
      <c r="AJ94" s="781">
        <f t="shared" si="60"/>
        <v>0</v>
      </c>
      <c r="AK94" s="781">
        <f t="shared" si="61"/>
        <v>0</v>
      </c>
      <c r="AL94" s="781">
        <f t="shared" si="62"/>
        <v>0</v>
      </c>
      <c r="AM94" s="781">
        <f t="shared" si="63"/>
        <v>0</v>
      </c>
      <c r="AN94" s="781">
        <f t="shared" si="64"/>
        <v>0</v>
      </c>
      <c r="AO94" s="781">
        <f t="shared" si="65"/>
        <v>0</v>
      </c>
      <c r="AP94" s="781">
        <f t="shared" si="66"/>
        <v>0</v>
      </c>
      <c r="AQ94" s="781">
        <f t="shared" si="67"/>
        <v>0</v>
      </c>
      <c r="AR94" s="781">
        <f t="shared" si="68"/>
        <v>0</v>
      </c>
      <c r="AS94" s="783">
        <f t="shared" si="69"/>
        <v>0</v>
      </c>
    </row>
    <row r="95" spans="1:45" ht="15" x14ac:dyDescent="0.25">
      <c r="A95" s="768"/>
      <c r="B95" s="719">
        <f t="shared" si="70"/>
        <v>87</v>
      </c>
      <c r="C95" s="170" t="str">
        <f t="shared" si="50"/>
        <v/>
      </c>
      <c r="D95" s="557"/>
      <c r="E95" s="170"/>
      <c r="F95" s="2078"/>
      <c r="G95" s="1862"/>
      <c r="H95" s="1926"/>
      <c r="I95" s="2008"/>
      <c r="J95" s="1926"/>
      <c r="K95" s="1926"/>
      <c r="L95" s="170"/>
      <c r="M95" s="2009">
        <v>0</v>
      </c>
      <c r="N95" s="2010">
        <v>1</v>
      </c>
      <c r="O95" s="773">
        <f t="shared" si="51"/>
        <v>0</v>
      </c>
      <c r="P95" s="2008" t="s">
        <v>39</v>
      </c>
      <c r="Q95" s="2008" t="s">
        <v>604</v>
      </c>
      <c r="R95" s="2011" t="s">
        <v>74</v>
      </c>
      <c r="S95" s="775">
        <f>SUMIF('Data Input sheet'!$B$118:$B$180,R95,'Data Input sheet'!$D$118:$D$180)</f>
        <v>152</v>
      </c>
      <c r="T95" s="2685">
        <f t="shared" si="52"/>
        <v>0</v>
      </c>
      <c r="U95" s="2013">
        <v>0</v>
      </c>
      <c r="V95" s="778">
        <f t="shared" si="71"/>
        <v>0</v>
      </c>
      <c r="W95" s="2010"/>
      <c r="X95" s="779"/>
      <c r="Y95" s="2012">
        <v>0</v>
      </c>
      <c r="Z95" s="780">
        <f t="shared" si="53"/>
        <v>0</v>
      </c>
      <c r="AA95" s="2007"/>
      <c r="AB95" s="2007"/>
      <c r="AC95" s="765"/>
      <c r="AD95" s="781">
        <f t="shared" si="54"/>
        <v>0</v>
      </c>
      <c r="AE95" s="781">
        <f t="shared" si="55"/>
        <v>0</v>
      </c>
      <c r="AF95" s="781">
        <f t="shared" si="56"/>
        <v>0</v>
      </c>
      <c r="AG95" s="781">
        <f t="shared" si="57"/>
        <v>0</v>
      </c>
      <c r="AH95" s="781">
        <f t="shared" si="58"/>
        <v>0</v>
      </c>
      <c r="AI95" s="782">
        <f t="shared" si="59"/>
        <v>0</v>
      </c>
      <c r="AJ95" s="781">
        <f t="shared" si="60"/>
        <v>0</v>
      </c>
      <c r="AK95" s="781">
        <f t="shared" si="61"/>
        <v>0</v>
      </c>
      <c r="AL95" s="781">
        <f t="shared" si="62"/>
        <v>0</v>
      </c>
      <c r="AM95" s="781">
        <f t="shared" si="63"/>
        <v>0</v>
      </c>
      <c r="AN95" s="781">
        <f t="shared" si="64"/>
        <v>0</v>
      </c>
      <c r="AO95" s="781">
        <f t="shared" si="65"/>
        <v>0</v>
      </c>
      <c r="AP95" s="781">
        <f t="shared" si="66"/>
        <v>0</v>
      </c>
      <c r="AQ95" s="781">
        <f t="shared" si="67"/>
        <v>0</v>
      </c>
      <c r="AR95" s="781">
        <f t="shared" si="68"/>
        <v>0</v>
      </c>
      <c r="AS95" s="783">
        <f t="shared" si="69"/>
        <v>0</v>
      </c>
    </row>
    <row r="96" spans="1:45" ht="15" x14ac:dyDescent="0.25">
      <c r="A96" s="768"/>
      <c r="B96" s="719">
        <f t="shared" si="70"/>
        <v>88</v>
      </c>
      <c r="C96" s="170" t="str">
        <f t="shared" si="50"/>
        <v/>
      </c>
      <c r="D96" s="557"/>
      <c r="E96" s="170"/>
      <c r="F96" s="2078"/>
      <c r="G96" s="1862"/>
      <c r="H96" s="1926"/>
      <c r="I96" s="2008"/>
      <c r="J96" s="1926"/>
      <c r="K96" s="1926"/>
      <c r="L96" s="170"/>
      <c r="M96" s="2009">
        <v>0</v>
      </c>
      <c r="N96" s="2010">
        <v>1</v>
      </c>
      <c r="O96" s="773">
        <f t="shared" si="51"/>
        <v>0</v>
      </c>
      <c r="P96" s="2008" t="s">
        <v>39</v>
      </c>
      <c r="Q96" s="2008" t="s">
        <v>604</v>
      </c>
      <c r="R96" s="2011" t="s">
        <v>74</v>
      </c>
      <c r="S96" s="775">
        <f>SUMIF('Data Input sheet'!$B$118:$B$180,R96,'Data Input sheet'!$D$118:$D$180)</f>
        <v>152</v>
      </c>
      <c r="T96" s="2685">
        <f t="shared" si="52"/>
        <v>0</v>
      </c>
      <c r="U96" s="2013">
        <v>0</v>
      </c>
      <c r="V96" s="778">
        <f t="shared" si="71"/>
        <v>0</v>
      </c>
      <c r="W96" s="2010"/>
      <c r="X96" s="779"/>
      <c r="Y96" s="2012">
        <v>0</v>
      </c>
      <c r="Z96" s="780">
        <f t="shared" si="53"/>
        <v>0</v>
      </c>
      <c r="AA96" s="2007"/>
      <c r="AB96" s="2007"/>
      <c r="AC96" s="765"/>
      <c r="AD96" s="781">
        <f t="shared" si="54"/>
        <v>0</v>
      </c>
      <c r="AE96" s="781">
        <f t="shared" si="55"/>
        <v>0</v>
      </c>
      <c r="AF96" s="781">
        <f t="shared" si="56"/>
        <v>0</v>
      </c>
      <c r="AG96" s="781">
        <f t="shared" si="57"/>
        <v>0</v>
      </c>
      <c r="AH96" s="781">
        <f t="shared" si="58"/>
        <v>0</v>
      </c>
      <c r="AI96" s="782">
        <f t="shared" si="59"/>
        <v>0</v>
      </c>
      <c r="AJ96" s="781">
        <f t="shared" si="60"/>
        <v>0</v>
      </c>
      <c r="AK96" s="781">
        <f t="shared" si="61"/>
        <v>0</v>
      </c>
      <c r="AL96" s="781">
        <f t="shared" si="62"/>
        <v>0</v>
      </c>
      <c r="AM96" s="781">
        <f t="shared" si="63"/>
        <v>0</v>
      </c>
      <c r="AN96" s="781">
        <f t="shared" si="64"/>
        <v>0</v>
      </c>
      <c r="AO96" s="781">
        <f t="shared" si="65"/>
        <v>0</v>
      </c>
      <c r="AP96" s="781">
        <f t="shared" si="66"/>
        <v>0</v>
      </c>
      <c r="AQ96" s="781">
        <f t="shared" si="67"/>
        <v>0</v>
      </c>
      <c r="AR96" s="781">
        <f t="shared" si="68"/>
        <v>0</v>
      </c>
      <c r="AS96" s="783">
        <f t="shared" si="69"/>
        <v>0</v>
      </c>
    </row>
    <row r="97" spans="1:45" ht="15" x14ac:dyDescent="0.25">
      <c r="A97" s="768"/>
      <c r="B97" s="719">
        <f t="shared" si="70"/>
        <v>89</v>
      </c>
      <c r="C97" s="170" t="str">
        <f t="shared" si="50"/>
        <v/>
      </c>
      <c r="D97" s="557"/>
      <c r="E97" s="170"/>
      <c r="F97" s="2078"/>
      <c r="G97" s="1862"/>
      <c r="H97" s="1926"/>
      <c r="I97" s="2008"/>
      <c r="J97" s="1926"/>
      <c r="K97" s="1926"/>
      <c r="L97" s="170"/>
      <c r="M97" s="2009">
        <v>0</v>
      </c>
      <c r="N97" s="2010">
        <v>1</v>
      </c>
      <c r="O97" s="773">
        <f t="shared" si="51"/>
        <v>0</v>
      </c>
      <c r="P97" s="2008" t="s">
        <v>39</v>
      </c>
      <c r="Q97" s="2008" t="s">
        <v>604</v>
      </c>
      <c r="R97" s="2011" t="s">
        <v>74</v>
      </c>
      <c r="S97" s="775">
        <f>SUMIF('Data Input sheet'!$B$118:$B$180,R97,'Data Input sheet'!$D$118:$D$180)</f>
        <v>152</v>
      </c>
      <c r="T97" s="2685">
        <f t="shared" si="52"/>
        <v>0</v>
      </c>
      <c r="U97" s="2013">
        <v>0</v>
      </c>
      <c r="V97" s="778">
        <f t="shared" si="71"/>
        <v>0</v>
      </c>
      <c r="W97" s="2010"/>
      <c r="X97" s="779"/>
      <c r="Y97" s="2012">
        <v>0</v>
      </c>
      <c r="Z97" s="780">
        <f t="shared" si="53"/>
        <v>0</v>
      </c>
      <c r="AA97" s="2007"/>
      <c r="AB97" s="2007"/>
      <c r="AC97" s="765"/>
      <c r="AD97" s="781">
        <f t="shared" si="54"/>
        <v>0</v>
      </c>
      <c r="AE97" s="781">
        <f t="shared" si="55"/>
        <v>0</v>
      </c>
      <c r="AF97" s="781">
        <f t="shared" si="56"/>
        <v>0</v>
      </c>
      <c r="AG97" s="781">
        <f t="shared" si="57"/>
        <v>0</v>
      </c>
      <c r="AH97" s="781">
        <f t="shared" si="58"/>
        <v>0</v>
      </c>
      <c r="AI97" s="782">
        <f t="shared" si="59"/>
        <v>0</v>
      </c>
      <c r="AJ97" s="781">
        <f t="shared" si="60"/>
        <v>0</v>
      </c>
      <c r="AK97" s="781">
        <f t="shared" si="61"/>
        <v>0</v>
      </c>
      <c r="AL97" s="781">
        <f t="shared" si="62"/>
        <v>0</v>
      </c>
      <c r="AM97" s="781">
        <f t="shared" si="63"/>
        <v>0</v>
      </c>
      <c r="AN97" s="781">
        <f t="shared" si="64"/>
        <v>0</v>
      </c>
      <c r="AO97" s="781">
        <f t="shared" si="65"/>
        <v>0</v>
      </c>
      <c r="AP97" s="781">
        <f t="shared" si="66"/>
        <v>0</v>
      </c>
      <c r="AQ97" s="781">
        <f t="shared" si="67"/>
        <v>0</v>
      </c>
      <c r="AR97" s="781">
        <f t="shared" si="68"/>
        <v>0</v>
      </c>
      <c r="AS97" s="783">
        <f t="shared" si="69"/>
        <v>0</v>
      </c>
    </row>
    <row r="98" spans="1:45" ht="15" x14ac:dyDescent="0.25">
      <c r="A98" s="768"/>
      <c r="B98" s="719">
        <f t="shared" si="70"/>
        <v>90</v>
      </c>
      <c r="C98" s="170" t="str">
        <f t="shared" si="50"/>
        <v/>
      </c>
      <c r="D98" s="557"/>
      <c r="E98" s="170"/>
      <c r="F98" s="2078"/>
      <c r="G98" s="1862"/>
      <c r="H98" s="1926"/>
      <c r="I98" s="2008"/>
      <c r="J98" s="1926"/>
      <c r="K98" s="1926"/>
      <c r="L98" s="170"/>
      <c r="M98" s="2009">
        <v>0</v>
      </c>
      <c r="N98" s="2010">
        <v>1</v>
      </c>
      <c r="O98" s="773">
        <f t="shared" si="51"/>
        <v>0</v>
      </c>
      <c r="P98" s="2008" t="s">
        <v>39</v>
      </c>
      <c r="Q98" s="2008" t="s">
        <v>604</v>
      </c>
      <c r="R98" s="2011" t="s">
        <v>74</v>
      </c>
      <c r="S98" s="775">
        <f>SUMIF('Data Input sheet'!$B$118:$B$180,R98,'Data Input sheet'!$D$118:$D$180)</f>
        <v>152</v>
      </c>
      <c r="T98" s="2685">
        <f t="shared" si="52"/>
        <v>0</v>
      </c>
      <c r="U98" s="2013">
        <v>0</v>
      </c>
      <c r="V98" s="778">
        <f t="shared" si="71"/>
        <v>0</v>
      </c>
      <c r="W98" s="2010"/>
      <c r="X98" s="779"/>
      <c r="Y98" s="2012">
        <v>0</v>
      </c>
      <c r="Z98" s="780">
        <f t="shared" si="53"/>
        <v>0</v>
      </c>
      <c r="AA98" s="2007"/>
      <c r="AB98" s="2007"/>
      <c r="AC98" s="765"/>
      <c r="AD98" s="781">
        <f t="shared" si="54"/>
        <v>0</v>
      </c>
      <c r="AE98" s="781">
        <f t="shared" si="55"/>
        <v>0</v>
      </c>
      <c r="AF98" s="781">
        <f t="shared" si="56"/>
        <v>0</v>
      </c>
      <c r="AG98" s="781">
        <f t="shared" si="57"/>
        <v>0</v>
      </c>
      <c r="AH98" s="781">
        <f t="shared" si="58"/>
        <v>0</v>
      </c>
      <c r="AI98" s="782">
        <f t="shared" si="59"/>
        <v>0</v>
      </c>
      <c r="AJ98" s="781">
        <f t="shared" si="60"/>
        <v>0</v>
      </c>
      <c r="AK98" s="781">
        <f t="shared" si="61"/>
        <v>0</v>
      </c>
      <c r="AL98" s="781">
        <f t="shared" si="62"/>
        <v>0</v>
      </c>
      <c r="AM98" s="781">
        <f t="shared" si="63"/>
        <v>0</v>
      </c>
      <c r="AN98" s="781">
        <f t="shared" si="64"/>
        <v>0</v>
      </c>
      <c r="AO98" s="781">
        <f t="shared" si="65"/>
        <v>0</v>
      </c>
      <c r="AP98" s="781">
        <f t="shared" si="66"/>
        <v>0</v>
      </c>
      <c r="AQ98" s="781">
        <f t="shared" si="67"/>
        <v>0</v>
      </c>
      <c r="AR98" s="781">
        <f t="shared" si="68"/>
        <v>0</v>
      </c>
      <c r="AS98" s="783">
        <f t="shared" si="69"/>
        <v>0</v>
      </c>
    </row>
    <row r="99" spans="1:45" ht="15" x14ac:dyDescent="0.25">
      <c r="A99" s="768"/>
      <c r="B99" s="719">
        <f t="shared" si="70"/>
        <v>91</v>
      </c>
      <c r="C99" s="170" t="str">
        <f t="shared" si="50"/>
        <v/>
      </c>
      <c r="D99" s="557"/>
      <c r="E99" s="170"/>
      <c r="F99" s="2078"/>
      <c r="G99" s="1862"/>
      <c r="H99" s="1926"/>
      <c r="I99" s="2008"/>
      <c r="J99" s="1926"/>
      <c r="K99" s="1926"/>
      <c r="L99" s="170"/>
      <c r="M99" s="2009">
        <v>0</v>
      </c>
      <c r="N99" s="2010">
        <v>1</v>
      </c>
      <c r="O99" s="773">
        <f t="shared" si="51"/>
        <v>0</v>
      </c>
      <c r="P99" s="2008" t="s">
        <v>39</v>
      </c>
      <c r="Q99" s="2008" t="s">
        <v>604</v>
      </c>
      <c r="R99" s="2011" t="s">
        <v>74</v>
      </c>
      <c r="S99" s="775">
        <f>SUMIF('Data Input sheet'!$B$118:$B$180,R99,'Data Input sheet'!$D$118:$D$180)</f>
        <v>152</v>
      </c>
      <c r="T99" s="2685">
        <f t="shared" si="52"/>
        <v>0</v>
      </c>
      <c r="U99" s="2013">
        <v>0</v>
      </c>
      <c r="V99" s="778">
        <f t="shared" si="71"/>
        <v>0</v>
      </c>
      <c r="W99" s="2010"/>
      <c r="X99" s="779"/>
      <c r="Y99" s="2012">
        <v>0</v>
      </c>
      <c r="Z99" s="780">
        <f t="shared" si="53"/>
        <v>0</v>
      </c>
      <c r="AA99" s="2007"/>
      <c r="AB99" s="2007"/>
      <c r="AC99" s="765"/>
      <c r="AD99" s="781">
        <f t="shared" si="54"/>
        <v>0</v>
      </c>
      <c r="AE99" s="781">
        <f t="shared" si="55"/>
        <v>0</v>
      </c>
      <c r="AF99" s="781">
        <f t="shared" si="56"/>
        <v>0</v>
      </c>
      <c r="AG99" s="781">
        <f t="shared" si="57"/>
        <v>0</v>
      </c>
      <c r="AH99" s="781">
        <f t="shared" si="58"/>
        <v>0</v>
      </c>
      <c r="AI99" s="782">
        <f t="shared" si="59"/>
        <v>0</v>
      </c>
      <c r="AJ99" s="781">
        <f t="shared" si="60"/>
        <v>0</v>
      </c>
      <c r="AK99" s="781">
        <f t="shared" si="61"/>
        <v>0</v>
      </c>
      <c r="AL99" s="781">
        <f t="shared" si="62"/>
        <v>0</v>
      </c>
      <c r="AM99" s="781">
        <f t="shared" si="63"/>
        <v>0</v>
      </c>
      <c r="AN99" s="781">
        <f t="shared" si="64"/>
        <v>0</v>
      </c>
      <c r="AO99" s="781">
        <f t="shared" si="65"/>
        <v>0</v>
      </c>
      <c r="AP99" s="781">
        <f t="shared" si="66"/>
        <v>0</v>
      </c>
      <c r="AQ99" s="781">
        <f t="shared" si="67"/>
        <v>0</v>
      </c>
      <c r="AR99" s="781">
        <f t="shared" si="68"/>
        <v>0</v>
      </c>
      <c r="AS99" s="783">
        <f t="shared" si="69"/>
        <v>0</v>
      </c>
    </row>
    <row r="100" spans="1:45" ht="15" x14ac:dyDescent="0.25">
      <c r="A100" s="768"/>
      <c r="B100" s="719">
        <f t="shared" si="70"/>
        <v>92</v>
      </c>
      <c r="C100" s="170" t="str">
        <f t="shared" si="50"/>
        <v/>
      </c>
      <c r="D100" s="557"/>
      <c r="E100" s="170"/>
      <c r="F100" s="2078"/>
      <c r="G100" s="1862"/>
      <c r="H100" s="1926"/>
      <c r="I100" s="2008"/>
      <c r="J100" s="1926"/>
      <c r="K100" s="1926"/>
      <c r="L100" s="170"/>
      <c r="M100" s="2009">
        <v>0</v>
      </c>
      <c r="N100" s="2010">
        <v>1</v>
      </c>
      <c r="O100" s="773">
        <f t="shared" si="51"/>
        <v>0</v>
      </c>
      <c r="P100" s="2008" t="s">
        <v>39</v>
      </c>
      <c r="Q100" s="2008" t="s">
        <v>604</v>
      </c>
      <c r="R100" s="2011" t="s">
        <v>74</v>
      </c>
      <c r="S100" s="775">
        <f>SUMIF('Data Input sheet'!$B$118:$B$180,R100,'Data Input sheet'!$D$118:$D$180)</f>
        <v>152</v>
      </c>
      <c r="T100" s="2685">
        <f t="shared" si="52"/>
        <v>0</v>
      </c>
      <c r="U100" s="2013">
        <v>0</v>
      </c>
      <c r="V100" s="778">
        <f t="shared" si="71"/>
        <v>0</v>
      </c>
      <c r="W100" s="2010"/>
      <c r="X100" s="779"/>
      <c r="Y100" s="2012">
        <v>0</v>
      </c>
      <c r="Z100" s="780">
        <f t="shared" si="53"/>
        <v>0</v>
      </c>
      <c r="AA100" s="2007"/>
      <c r="AB100" s="2007"/>
      <c r="AC100" s="765"/>
      <c r="AD100" s="781">
        <f t="shared" si="54"/>
        <v>0</v>
      </c>
      <c r="AE100" s="781">
        <f t="shared" si="55"/>
        <v>0</v>
      </c>
      <c r="AF100" s="781">
        <f t="shared" si="56"/>
        <v>0</v>
      </c>
      <c r="AG100" s="781">
        <f t="shared" si="57"/>
        <v>0</v>
      </c>
      <c r="AH100" s="781">
        <f t="shared" si="58"/>
        <v>0</v>
      </c>
      <c r="AI100" s="782">
        <f t="shared" si="59"/>
        <v>0</v>
      </c>
      <c r="AJ100" s="781">
        <f t="shared" si="60"/>
        <v>0</v>
      </c>
      <c r="AK100" s="781">
        <f t="shared" si="61"/>
        <v>0</v>
      </c>
      <c r="AL100" s="781">
        <f t="shared" si="62"/>
        <v>0</v>
      </c>
      <c r="AM100" s="781">
        <f t="shared" si="63"/>
        <v>0</v>
      </c>
      <c r="AN100" s="781">
        <f t="shared" si="64"/>
        <v>0</v>
      </c>
      <c r="AO100" s="781">
        <f t="shared" si="65"/>
        <v>0</v>
      </c>
      <c r="AP100" s="781">
        <f t="shared" si="66"/>
        <v>0</v>
      </c>
      <c r="AQ100" s="781">
        <f t="shared" si="67"/>
        <v>0</v>
      </c>
      <c r="AR100" s="781">
        <f t="shared" si="68"/>
        <v>0</v>
      </c>
      <c r="AS100" s="783">
        <f t="shared" si="69"/>
        <v>0</v>
      </c>
    </row>
    <row r="101" spans="1:45" ht="15" x14ac:dyDescent="0.25">
      <c r="A101" s="768"/>
      <c r="B101" s="719">
        <f t="shared" si="70"/>
        <v>93</v>
      </c>
      <c r="C101" s="170" t="str">
        <f t="shared" si="50"/>
        <v/>
      </c>
      <c r="D101" s="557"/>
      <c r="E101" s="170"/>
      <c r="F101" s="2078"/>
      <c r="G101" s="1862"/>
      <c r="H101" s="1926"/>
      <c r="I101" s="2008"/>
      <c r="J101" s="1926"/>
      <c r="K101" s="1926"/>
      <c r="L101" s="170"/>
      <c r="M101" s="2009">
        <v>0</v>
      </c>
      <c r="N101" s="2010">
        <v>1</v>
      </c>
      <c r="O101" s="773">
        <f t="shared" si="51"/>
        <v>0</v>
      </c>
      <c r="P101" s="2008" t="s">
        <v>39</v>
      </c>
      <c r="Q101" s="2008" t="s">
        <v>604</v>
      </c>
      <c r="R101" s="2011" t="s">
        <v>74</v>
      </c>
      <c r="S101" s="775">
        <f>SUMIF('Data Input sheet'!$B$118:$B$180,R101,'Data Input sheet'!$D$118:$D$180)</f>
        <v>152</v>
      </c>
      <c r="T101" s="2685">
        <f t="shared" si="52"/>
        <v>0</v>
      </c>
      <c r="U101" s="2013">
        <v>0</v>
      </c>
      <c r="V101" s="778">
        <f t="shared" si="71"/>
        <v>0</v>
      </c>
      <c r="W101" s="2010"/>
      <c r="X101" s="779"/>
      <c r="Y101" s="2012">
        <v>0</v>
      </c>
      <c r="Z101" s="780">
        <f t="shared" si="53"/>
        <v>0</v>
      </c>
      <c r="AA101" s="2007"/>
      <c r="AB101" s="2007"/>
      <c r="AC101" s="765"/>
      <c r="AD101" s="781">
        <f t="shared" si="54"/>
        <v>0</v>
      </c>
      <c r="AE101" s="781">
        <f t="shared" si="55"/>
        <v>0</v>
      </c>
      <c r="AF101" s="781">
        <f t="shared" si="56"/>
        <v>0</v>
      </c>
      <c r="AG101" s="781">
        <f t="shared" si="57"/>
        <v>0</v>
      </c>
      <c r="AH101" s="781">
        <f t="shared" si="58"/>
        <v>0</v>
      </c>
      <c r="AI101" s="782">
        <f t="shared" si="59"/>
        <v>0</v>
      </c>
      <c r="AJ101" s="781">
        <f t="shared" si="60"/>
        <v>0</v>
      </c>
      <c r="AK101" s="781">
        <f t="shared" si="61"/>
        <v>0</v>
      </c>
      <c r="AL101" s="781">
        <f t="shared" si="62"/>
        <v>0</v>
      </c>
      <c r="AM101" s="781">
        <f t="shared" si="63"/>
        <v>0</v>
      </c>
      <c r="AN101" s="781">
        <f t="shared" si="64"/>
        <v>0</v>
      </c>
      <c r="AO101" s="781">
        <f t="shared" si="65"/>
        <v>0</v>
      </c>
      <c r="AP101" s="781">
        <f t="shared" si="66"/>
        <v>0</v>
      </c>
      <c r="AQ101" s="781">
        <f t="shared" si="67"/>
        <v>0</v>
      </c>
      <c r="AR101" s="781">
        <f t="shared" si="68"/>
        <v>0</v>
      </c>
      <c r="AS101" s="783">
        <f t="shared" si="69"/>
        <v>0</v>
      </c>
    </row>
    <row r="102" spans="1:45" ht="15" x14ac:dyDescent="0.25">
      <c r="A102" s="768"/>
      <c r="B102" s="719">
        <f t="shared" si="70"/>
        <v>94</v>
      </c>
      <c r="C102" s="170" t="str">
        <f t="shared" si="50"/>
        <v/>
      </c>
      <c r="D102" s="557"/>
      <c r="E102" s="170"/>
      <c r="F102" s="2078"/>
      <c r="G102" s="1862"/>
      <c r="H102" s="1926"/>
      <c r="I102" s="2008"/>
      <c r="J102" s="1926"/>
      <c r="K102" s="1926"/>
      <c r="L102" s="170"/>
      <c r="M102" s="2009">
        <v>0</v>
      </c>
      <c r="N102" s="2010">
        <v>1</v>
      </c>
      <c r="O102" s="773">
        <f t="shared" si="51"/>
        <v>0</v>
      </c>
      <c r="P102" s="2008" t="s">
        <v>39</v>
      </c>
      <c r="Q102" s="2008" t="s">
        <v>604</v>
      </c>
      <c r="R102" s="2011" t="s">
        <v>74</v>
      </c>
      <c r="S102" s="775">
        <f>SUMIF('Data Input sheet'!$B$118:$B$180,R102,'Data Input sheet'!$D$118:$D$180)</f>
        <v>152</v>
      </c>
      <c r="T102" s="2685">
        <f t="shared" si="52"/>
        <v>0</v>
      </c>
      <c r="U102" s="2013">
        <v>0</v>
      </c>
      <c r="V102" s="778">
        <f t="shared" si="71"/>
        <v>0</v>
      </c>
      <c r="W102" s="2010"/>
      <c r="X102" s="779"/>
      <c r="Y102" s="2012">
        <v>0</v>
      </c>
      <c r="Z102" s="780">
        <f t="shared" si="53"/>
        <v>0</v>
      </c>
      <c r="AA102" s="2007"/>
      <c r="AB102" s="2007"/>
      <c r="AC102" s="765"/>
      <c r="AD102" s="781">
        <f t="shared" si="54"/>
        <v>0</v>
      </c>
      <c r="AE102" s="781">
        <f t="shared" si="55"/>
        <v>0</v>
      </c>
      <c r="AF102" s="781">
        <f t="shared" si="56"/>
        <v>0</v>
      </c>
      <c r="AG102" s="781">
        <f t="shared" si="57"/>
        <v>0</v>
      </c>
      <c r="AH102" s="781">
        <f t="shared" si="58"/>
        <v>0</v>
      </c>
      <c r="AI102" s="782">
        <f t="shared" si="59"/>
        <v>0</v>
      </c>
      <c r="AJ102" s="781">
        <f t="shared" si="60"/>
        <v>0</v>
      </c>
      <c r="AK102" s="781">
        <f t="shared" si="61"/>
        <v>0</v>
      </c>
      <c r="AL102" s="781">
        <f t="shared" si="62"/>
        <v>0</v>
      </c>
      <c r="AM102" s="781">
        <f t="shared" si="63"/>
        <v>0</v>
      </c>
      <c r="AN102" s="781">
        <f t="shared" si="64"/>
        <v>0</v>
      </c>
      <c r="AO102" s="781">
        <f t="shared" si="65"/>
        <v>0</v>
      </c>
      <c r="AP102" s="781">
        <f t="shared" si="66"/>
        <v>0</v>
      </c>
      <c r="AQ102" s="781">
        <f t="shared" si="67"/>
        <v>0</v>
      </c>
      <c r="AR102" s="781">
        <f t="shared" si="68"/>
        <v>0</v>
      </c>
      <c r="AS102" s="783">
        <f t="shared" si="69"/>
        <v>0</v>
      </c>
    </row>
    <row r="103" spans="1:45" ht="15" x14ac:dyDescent="0.25">
      <c r="A103" s="768"/>
      <c r="B103" s="719">
        <f t="shared" si="70"/>
        <v>95</v>
      </c>
      <c r="C103" s="170" t="str">
        <f t="shared" si="50"/>
        <v/>
      </c>
      <c r="D103" s="557"/>
      <c r="E103" s="170"/>
      <c r="F103" s="2078"/>
      <c r="G103" s="1862"/>
      <c r="H103" s="1926"/>
      <c r="I103" s="2008"/>
      <c r="J103" s="1926"/>
      <c r="K103" s="1926"/>
      <c r="L103" s="170"/>
      <c r="M103" s="2009">
        <v>0</v>
      </c>
      <c r="N103" s="2010">
        <v>1</v>
      </c>
      <c r="O103" s="773">
        <f t="shared" si="51"/>
        <v>0</v>
      </c>
      <c r="P103" s="2008" t="s">
        <v>39</v>
      </c>
      <c r="Q103" s="2008" t="s">
        <v>604</v>
      </c>
      <c r="R103" s="2011" t="s">
        <v>74</v>
      </c>
      <c r="S103" s="775">
        <f>SUMIF('Data Input sheet'!$B$118:$B$180,R103,'Data Input sheet'!$D$118:$D$180)</f>
        <v>152</v>
      </c>
      <c r="T103" s="2685">
        <f t="shared" si="52"/>
        <v>0</v>
      </c>
      <c r="U103" s="2013">
        <v>0</v>
      </c>
      <c r="V103" s="778">
        <f t="shared" si="71"/>
        <v>0</v>
      </c>
      <c r="W103" s="2010"/>
      <c r="X103" s="779"/>
      <c r="Y103" s="2012">
        <v>0</v>
      </c>
      <c r="Z103" s="780">
        <f t="shared" si="53"/>
        <v>0</v>
      </c>
      <c r="AA103" s="2007"/>
      <c r="AB103" s="2007"/>
      <c r="AC103" s="765"/>
      <c r="AD103" s="781">
        <f t="shared" si="54"/>
        <v>0</v>
      </c>
      <c r="AE103" s="781">
        <f t="shared" si="55"/>
        <v>0</v>
      </c>
      <c r="AF103" s="781">
        <f t="shared" si="56"/>
        <v>0</v>
      </c>
      <c r="AG103" s="781">
        <f t="shared" si="57"/>
        <v>0</v>
      </c>
      <c r="AH103" s="781">
        <f t="shared" si="58"/>
        <v>0</v>
      </c>
      <c r="AI103" s="782">
        <f t="shared" si="59"/>
        <v>0</v>
      </c>
      <c r="AJ103" s="781">
        <f t="shared" si="60"/>
        <v>0</v>
      </c>
      <c r="AK103" s="781">
        <f t="shared" si="61"/>
        <v>0</v>
      </c>
      <c r="AL103" s="781">
        <f t="shared" si="62"/>
        <v>0</v>
      </c>
      <c r="AM103" s="781">
        <f t="shared" si="63"/>
        <v>0</v>
      </c>
      <c r="AN103" s="781">
        <f t="shared" si="64"/>
        <v>0</v>
      </c>
      <c r="AO103" s="781">
        <f t="shared" si="65"/>
        <v>0</v>
      </c>
      <c r="AP103" s="781">
        <f t="shared" si="66"/>
        <v>0</v>
      </c>
      <c r="AQ103" s="781">
        <f t="shared" si="67"/>
        <v>0</v>
      </c>
      <c r="AR103" s="781">
        <f t="shared" si="68"/>
        <v>0</v>
      </c>
      <c r="AS103" s="783">
        <f t="shared" si="69"/>
        <v>0</v>
      </c>
    </row>
    <row r="104" spans="1:45" ht="15" x14ac:dyDescent="0.25">
      <c r="A104" s="768"/>
      <c r="B104" s="719">
        <f t="shared" si="70"/>
        <v>96</v>
      </c>
      <c r="C104" s="170" t="str">
        <f t="shared" si="50"/>
        <v/>
      </c>
      <c r="D104" s="557"/>
      <c r="E104" s="170"/>
      <c r="F104" s="2078"/>
      <c r="G104" s="1862"/>
      <c r="H104" s="1926"/>
      <c r="I104" s="2008"/>
      <c r="J104" s="1926"/>
      <c r="K104" s="1926"/>
      <c r="L104" s="170"/>
      <c r="M104" s="2009">
        <v>0</v>
      </c>
      <c r="N104" s="2010">
        <v>1</v>
      </c>
      <c r="O104" s="773">
        <f t="shared" si="51"/>
        <v>0</v>
      </c>
      <c r="P104" s="2008" t="s">
        <v>39</v>
      </c>
      <c r="Q104" s="2008" t="s">
        <v>604</v>
      </c>
      <c r="R104" s="2011" t="s">
        <v>74</v>
      </c>
      <c r="S104" s="775">
        <f>SUMIF('Data Input sheet'!$B$118:$B$180,R104,'Data Input sheet'!$D$118:$D$180)</f>
        <v>152</v>
      </c>
      <c r="T104" s="2685">
        <f t="shared" si="52"/>
        <v>0</v>
      </c>
      <c r="U104" s="2013">
        <v>0</v>
      </c>
      <c r="V104" s="778">
        <f t="shared" si="71"/>
        <v>0</v>
      </c>
      <c r="W104" s="2010"/>
      <c r="X104" s="779"/>
      <c r="Y104" s="2012">
        <v>0</v>
      </c>
      <c r="Z104" s="780">
        <f t="shared" si="53"/>
        <v>0</v>
      </c>
      <c r="AA104" s="2007"/>
      <c r="AB104" s="2007"/>
      <c r="AC104" s="765"/>
      <c r="AD104" s="781">
        <f t="shared" si="54"/>
        <v>0</v>
      </c>
      <c r="AE104" s="781">
        <f t="shared" si="55"/>
        <v>0</v>
      </c>
      <c r="AF104" s="781">
        <f t="shared" si="56"/>
        <v>0</v>
      </c>
      <c r="AG104" s="781">
        <f t="shared" si="57"/>
        <v>0</v>
      </c>
      <c r="AH104" s="781">
        <f t="shared" si="58"/>
        <v>0</v>
      </c>
      <c r="AI104" s="782">
        <f t="shared" si="59"/>
        <v>0</v>
      </c>
      <c r="AJ104" s="781">
        <f t="shared" si="60"/>
        <v>0</v>
      </c>
      <c r="AK104" s="781">
        <f t="shared" si="61"/>
        <v>0</v>
      </c>
      <c r="AL104" s="781">
        <f t="shared" si="62"/>
        <v>0</v>
      </c>
      <c r="AM104" s="781">
        <f t="shared" si="63"/>
        <v>0</v>
      </c>
      <c r="AN104" s="781">
        <f t="shared" si="64"/>
        <v>0</v>
      </c>
      <c r="AO104" s="781">
        <f t="shared" si="65"/>
        <v>0</v>
      </c>
      <c r="AP104" s="781">
        <f t="shared" si="66"/>
        <v>0</v>
      </c>
      <c r="AQ104" s="781">
        <f t="shared" si="67"/>
        <v>0</v>
      </c>
      <c r="AR104" s="781">
        <f t="shared" si="68"/>
        <v>0</v>
      </c>
      <c r="AS104" s="783">
        <f t="shared" si="69"/>
        <v>0</v>
      </c>
    </row>
    <row r="105" spans="1:45" ht="15" x14ac:dyDescent="0.25">
      <c r="A105" s="768"/>
      <c r="B105" s="719">
        <f t="shared" si="70"/>
        <v>97</v>
      </c>
      <c r="C105" s="170" t="str">
        <f t="shared" si="50"/>
        <v/>
      </c>
      <c r="D105" s="557"/>
      <c r="E105" s="170"/>
      <c r="F105" s="2078"/>
      <c r="G105" s="1862"/>
      <c r="H105" s="1926"/>
      <c r="I105" s="2008"/>
      <c r="J105" s="1926"/>
      <c r="K105" s="1926"/>
      <c r="L105" s="170"/>
      <c r="M105" s="2009">
        <v>0</v>
      </c>
      <c r="N105" s="2010">
        <v>1</v>
      </c>
      <c r="O105" s="773">
        <f t="shared" si="51"/>
        <v>0</v>
      </c>
      <c r="P105" s="2008" t="s">
        <v>39</v>
      </c>
      <c r="Q105" s="2008" t="s">
        <v>604</v>
      </c>
      <c r="R105" s="2011" t="s">
        <v>74</v>
      </c>
      <c r="S105" s="775">
        <f>SUMIF('Data Input sheet'!$B$118:$B$180,R105,'Data Input sheet'!$D$118:$D$180)</f>
        <v>152</v>
      </c>
      <c r="T105" s="2685">
        <f t="shared" si="52"/>
        <v>0</v>
      </c>
      <c r="U105" s="2013">
        <v>0</v>
      </c>
      <c r="V105" s="778">
        <f t="shared" si="71"/>
        <v>0</v>
      </c>
      <c r="W105" s="2010"/>
      <c r="X105" s="779"/>
      <c r="Y105" s="2012">
        <v>0</v>
      </c>
      <c r="Z105" s="780">
        <f t="shared" si="53"/>
        <v>0</v>
      </c>
      <c r="AA105" s="2007"/>
      <c r="AB105" s="2007"/>
      <c r="AC105" s="765"/>
      <c r="AD105" s="781">
        <f t="shared" ref="AD105:AD136" si="72">IF(P105="E",+ROUND(H105*O105,0),0)</f>
        <v>0</v>
      </c>
      <c r="AE105" s="781">
        <f t="shared" si="55"/>
        <v>0</v>
      </c>
      <c r="AF105" s="781">
        <f t="shared" ref="AF105:AF136" si="73">+H105*O105</f>
        <v>0</v>
      </c>
      <c r="AG105" s="781">
        <f t="shared" ref="AG105:AG136" si="74">IF(P105="E",+ROUND(T105*H105,0),0)</f>
        <v>0</v>
      </c>
      <c r="AH105" s="781">
        <f t="shared" si="58"/>
        <v>0</v>
      </c>
      <c r="AI105" s="782">
        <f t="shared" ref="AI105:AI136" si="75">+H105*T105</f>
        <v>0</v>
      </c>
      <c r="AJ105" s="781">
        <f t="shared" ref="AJ105:AJ136" si="76">IF(P105="E",+ROUND(V105*H105,0),0)</f>
        <v>0</v>
      </c>
      <c r="AK105" s="781">
        <f t="shared" si="61"/>
        <v>0</v>
      </c>
      <c r="AL105" s="781">
        <f t="shared" ref="AL105:AL136" si="77">ROUND(V105*H105,0)</f>
        <v>0</v>
      </c>
      <c r="AM105" s="781">
        <f t="shared" ref="AM105:AM136" si="78">IF(Q105="E",+ROUND(W105*H105,0),0)</f>
        <v>0</v>
      </c>
      <c r="AN105" s="781">
        <f t="shared" si="64"/>
        <v>0</v>
      </c>
      <c r="AO105" s="781">
        <f t="shared" ref="AO105:AO136" si="79">ROUND(W105*H105,0)</f>
        <v>0</v>
      </c>
      <c r="AP105" s="781">
        <f t="shared" ref="AP105:AP136" si="80">IF(P105="E",+ROUND(Y105*H105,0),0)</f>
        <v>0</v>
      </c>
      <c r="AQ105" s="781">
        <f t="shared" si="67"/>
        <v>0</v>
      </c>
      <c r="AR105" s="781">
        <f t="shared" ref="AR105:AR136" si="81">ROUND(Y105*H105,0)</f>
        <v>0</v>
      </c>
      <c r="AS105" s="783">
        <f t="shared" si="69"/>
        <v>0</v>
      </c>
    </row>
    <row r="106" spans="1:45" ht="15" x14ac:dyDescent="0.25">
      <c r="A106" s="784"/>
      <c r="B106" s="719">
        <f t="shared" si="70"/>
        <v>98</v>
      </c>
      <c r="C106" s="170" t="str">
        <f t="shared" si="50"/>
        <v/>
      </c>
      <c r="D106" s="557"/>
      <c r="E106" s="170"/>
      <c r="F106" s="2078"/>
      <c r="G106" s="1862"/>
      <c r="H106" s="1926"/>
      <c r="I106" s="2008"/>
      <c r="J106" s="1926"/>
      <c r="K106" s="1926"/>
      <c r="L106" s="170"/>
      <c r="M106" s="2009">
        <v>0</v>
      </c>
      <c r="N106" s="2010">
        <v>1</v>
      </c>
      <c r="O106" s="773">
        <f t="shared" si="51"/>
        <v>0</v>
      </c>
      <c r="P106" s="2008" t="s">
        <v>39</v>
      </c>
      <c r="Q106" s="2008" t="s">
        <v>604</v>
      </c>
      <c r="R106" s="2011" t="s">
        <v>74</v>
      </c>
      <c r="S106" s="775">
        <f>SUMIF('Data Input sheet'!$B$118:$B$180,R106,'Data Input sheet'!$D$118:$D$180)</f>
        <v>152</v>
      </c>
      <c r="T106" s="2685">
        <f t="shared" si="52"/>
        <v>0</v>
      </c>
      <c r="U106" s="2013">
        <v>0</v>
      </c>
      <c r="V106" s="778">
        <f t="shared" si="71"/>
        <v>0</v>
      </c>
      <c r="W106" s="2010"/>
      <c r="X106" s="779"/>
      <c r="Y106" s="2012">
        <v>0</v>
      </c>
      <c r="Z106" s="780">
        <f t="shared" si="53"/>
        <v>0</v>
      </c>
      <c r="AA106" s="2007"/>
      <c r="AB106" s="2007"/>
      <c r="AC106" s="765"/>
      <c r="AD106" s="781">
        <f t="shared" si="72"/>
        <v>0</v>
      </c>
      <c r="AE106" s="781">
        <f t="shared" si="55"/>
        <v>0</v>
      </c>
      <c r="AF106" s="781">
        <f t="shared" si="73"/>
        <v>0</v>
      </c>
      <c r="AG106" s="781">
        <f t="shared" si="74"/>
        <v>0</v>
      </c>
      <c r="AH106" s="781">
        <f t="shared" si="58"/>
        <v>0</v>
      </c>
      <c r="AI106" s="782">
        <f t="shared" si="75"/>
        <v>0</v>
      </c>
      <c r="AJ106" s="781">
        <f t="shared" si="76"/>
        <v>0</v>
      </c>
      <c r="AK106" s="781">
        <f t="shared" si="61"/>
        <v>0</v>
      </c>
      <c r="AL106" s="781">
        <f t="shared" si="77"/>
        <v>0</v>
      </c>
      <c r="AM106" s="781">
        <f t="shared" si="78"/>
        <v>0</v>
      </c>
      <c r="AN106" s="781">
        <f t="shared" si="64"/>
        <v>0</v>
      </c>
      <c r="AO106" s="781">
        <f t="shared" si="79"/>
        <v>0</v>
      </c>
      <c r="AP106" s="781">
        <f t="shared" si="80"/>
        <v>0</v>
      </c>
      <c r="AQ106" s="781">
        <f t="shared" si="67"/>
        <v>0</v>
      </c>
      <c r="AR106" s="781">
        <f t="shared" si="81"/>
        <v>0</v>
      </c>
      <c r="AS106" s="783">
        <f t="shared" si="69"/>
        <v>0</v>
      </c>
    </row>
    <row r="107" spans="1:45" ht="15" x14ac:dyDescent="0.25">
      <c r="A107" s="784"/>
      <c r="B107" s="719">
        <f t="shared" si="70"/>
        <v>99</v>
      </c>
      <c r="C107" s="170" t="str">
        <f t="shared" si="50"/>
        <v/>
      </c>
      <c r="D107" s="557"/>
      <c r="E107" s="170"/>
      <c r="F107" s="2078"/>
      <c r="G107" s="1862"/>
      <c r="H107" s="1926"/>
      <c r="I107" s="2008"/>
      <c r="J107" s="1926"/>
      <c r="K107" s="1926"/>
      <c r="L107" s="170"/>
      <c r="M107" s="2009">
        <v>0</v>
      </c>
      <c r="N107" s="2010">
        <v>1</v>
      </c>
      <c r="O107" s="773">
        <f t="shared" si="51"/>
        <v>0</v>
      </c>
      <c r="P107" s="2008" t="s">
        <v>39</v>
      </c>
      <c r="Q107" s="2008" t="s">
        <v>604</v>
      </c>
      <c r="R107" s="2011" t="s">
        <v>74</v>
      </c>
      <c r="S107" s="775">
        <f>SUMIF('Data Input sheet'!$B$118:$B$180,R107,'Data Input sheet'!$D$118:$D$180)</f>
        <v>152</v>
      </c>
      <c r="T107" s="2685">
        <f t="shared" si="52"/>
        <v>0</v>
      </c>
      <c r="U107" s="2013">
        <v>0</v>
      </c>
      <c r="V107" s="778">
        <f t="shared" si="71"/>
        <v>0</v>
      </c>
      <c r="W107" s="2010"/>
      <c r="X107" s="779"/>
      <c r="Y107" s="2012">
        <v>0</v>
      </c>
      <c r="Z107" s="780">
        <f t="shared" si="53"/>
        <v>0</v>
      </c>
      <c r="AA107" s="2007"/>
      <c r="AB107" s="2007"/>
      <c r="AC107" s="765"/>
      <c r="AD107" s="781">
        <f t="shared" si="72"/>
        <v>0</v>
      </c>
      <c r="AE107" s="781">
        <f t="shared" si="55"/>
        <v>0</v>
      </c>
      <c r="AF107" s="781">
        <f t="shared" si="73"/>
        <v>0</v>
      </c>
      <c r="AG107" s="781">
        <f t="shared" si="74"/>
        <v>0</v>
      </c>
      <c r="AH107" s="781">
        <f t="shared" si="58"/>
        <v>0</v>
      </c>
      <c r="AI107" s="782">
        <f t="shared" si="75"/>
        <v>0</v>
      </c>
      <c r="AJ107" s="781">
        <f t="shared" si="76"/>
        <v>0</v>
      </c>
      <c r="AK107" s="781">
        <f t="shared" si="61"/>
        <v>0</v>
      </c>
      <c r="AL107" s="781">
        <f t="shared" si="77"/>
        <v>0</v>
      </c>
      <c r="AM107" s="781">
        <f t="shared" si="78"/>
        <v>0</v>
      </c>
      <c r="AN107" s="781">
        <f t="shared" si="64"/>
        <v>0</v>
      </c>
      <c r="AO107" s="781">
        <f t="shared" si="79"/>
        <v>0</v>
      </c>
      <c r="AP107" s="781">
        <f t="shared" si="80"/>
        <v>0</v>
      </c>
      <c r="AQ107" s="781">
        <f t="shared" si="67"/>
        <v>0</v>
      </c>
      <c r="AR107" s="781">
        <f t="shared" si="81"/>
        <v>0</v>
      </c>
      <c r="AS107" s="783">
        <f t="shared" si="69"/>
        <v>0</v>
      </c>
    </row>
    <row r="108" spans="1:45" ht="15" x14ac:dyDescent="0.25">
      <c r="A108" s="784"/>
      <c r="B108" s="719">
        <f t="shared" si="70"/>
        <v>100</v>
      </c>
      <c r="C108" s="170" t="str">
        <f t="shared" si="50"/>
        <v/>
      </c>
      <c r="D108" s="557"/>
      <c r="E108" s="170"/>
      <c r="F108" s="2078"/>
      <c r="G108" s="1862"/>
      <c r="H108" s="1926"/>
      <c r="I108" s="2008"/>
      <c r="J108" s="1926"/>
      <c r="K108" s="1926"/>
      <c r="L108" s="170"/>
      <c r="M108" s="2009">
        <v>0</v>
      </c>
      <c r="N108" s="2010">
        <v>1</v>
      </c>
      <c r="O108" s="773">
        <f t="shared" si="51"/>
        <v>0</v>
      </c>
      <c r="P108" s="2008" t="s">
        <v>39</v>
      </c>
      <c r="Q108" s="2008" t="s">
        <v>604</v>
      </c>
      <c r="R108" s="2011" t="s">
        <v>74</v>
      </c>
      <c r="S108" s="775">
        <f>SUMIF('Data Input sheet'!$B$118:$B$180,R108,'Data Input sheet'!$D$118:$D$180)</f>
        <v>152</v>
      </c>
      <c r="T108" s="2685">
        <f t="shared" si="52"/>
        <v>0</v>
      </c>
      <c r="U108" s="2013">
        <v>0</v>
      </c>
      <c r="V108" s="778">
        <f t="shared" si="71"/>
        <v>0</v>
      </c>
      <c r="W108" s="2010"/>
      <c r="X108" s="779"/>
      <c r="Y108" s="2012">
        <v>0</v>
      </c>
      <c r="Z108" s="780">
        <f t="shared" si="53"/>
        <v>0</v>
      </c>
      <c r="AA108" s="2007"/>
      <c r="AB108" s="2007"/>
      <c r="AC108" s="765"/>
      <c r="AD108" s="781">
        <f t="shared" si="72"/>
        <v>0</v>
      </c>
      <c r="AE108" s="781">
        <f t="shared" si="55"/>
        <v>0</v>
      </c>
      <c r="AF108" s="781">
        <f t="shared" si="73"/>
        <v>0</v>
      </c>
      <c r="AG108" s="781">
        <f t="shared" si="74"/>
        <v>0</v>
      </c>
      <c r="AH108" s="781">
        <f t="shared" si="58"/>
        <v>0</v>
      </c>
      <c r="AI108" s="782">
        <f t="shared" si="75"/>
        <v>0</v>
      </c>
      <c r="AJ108" s="781">
        <f t="shared" si="76"/>
        <v>0</v>
      </c>
      <c r="AK108" s="781">
        <f t="shared" si="61"/>
        <v>0</v>
      </c>
      <c r="AL108" s="781">
        <f t="shared" si="77"/>
        <v>0</v>
      </c>
      <c r="AM108" s="781">
        <f t="shared" si="78"/>
        <v>0</v>
      </c>
      <c r="AN108" s="781">
        <f t="shared" si="64"/>
        <v>0</v>
      </c>
      <c r="AO108" s="781">
        <f t="shared" si="79"/>
        <v>0</v>
      </c>
      <c r="AP108" s="781">
        <f t="shared" si="80"/>
        <v>0</v>
      </c>
      <c r="AQ108" s="781">
        <f t="shared" si="67"/>
        <v>0</v>
      </c>
      <c r="AR108" s="781">
        <f t="shared" si="81"/>
        <v>0</v>
      </c>
      <c r="AS108" s="783">
        <f t="shared" si="69"/>
        <v>0</v>
      </c>
    </row>
    <row r="109" spans="1:45" ht="15" x14ac:dyDescent="0.25">
      <c r="A109" s="784"/>
      <c r="B109" s="719">
        <f t="shared" si="70"/>
        <v>101</v>
      </c>
      <c r="C109" s="170" t="str">
        <f t="shared" si="50"/>
        <v/>
      </c>
      <c r="D109" s="557"/>
      <c r="E109" s="170"/>
      <c r="F109" s="2078"/>
      <c r="G109" s="1862"/>
      <c r="H109" s="1926"/>
      <c r="I109" s="2008"/>
      <c r="J109" s="1926"/>
      <c r="K109" s="1926"/>
      <c r="L109" s="170"/>
      <c r="M109" s="2009">
        <v>0</v>
      </c>
      <c r="N109" s="2010">
        <v>1</v>
      </c>
      <c r="O109" s="773">
        <f t="shared" si="51"/>
        <v>0</v>
      </c>
      <c r="P109" s="2008" t="s">
        <v>39</v>
      </c>
      <c r="Q109" s="2008" t="s">
        <v>604</v>
      </c>
      <c r="R109" s="2011" t="s">
        <v>74</v>
      </c>
      <c r="S109" s="775">
        <f>SUMIF('Data Input sheet'!$B$118:$B$180,R109,'Data Input sheet'!$D$118:$D$180)</f>
        <v>152</v>
      </c>
      <c r="T109" s="2685">
        <f t="shared" si="52"/>
        <v>0</v>
      </c>
      <c r="U109" s="2013">
        <v>0</v>
      </c>
      <c r="V109" s="778">
        <f t="shared" si="71"/>
        <v>0</v>
      </c>
      <c r="W109" s="2010"/>
      <c r="X109" s="779"/>
      <c r="Y109" s="2012">
        <v>0</v>
      </c>
      <c r="Z109" s="780">
        <f t="shared" si="53"/>
        <v>0</v>
      </c>
      <c r="AA109" s="2007"/>
      <c r="AB109" s="2007"/>
      <c r="AC109" s="765"/>
      <c r="AD109" s="781">
        <f t="shared" si="72"/>
        <v>0</v>
      </c>
      <c r="AE109" s="781">
        <f t="shared" si="55"/>
        <v>0</v>
      </c>
      <c r="AF109" s="781">
        <f t="shared" si="73"/>
        <v>0</v>
      </c>
      <c r="AG109" s="781">
        <f t="shared" si="74"/>
        <v>0</v>
      </c>
      <c r="AH109" s="781">
        <f t="shared" si="58"/>
        <v>0</v>
      </c>
      <c r="AI109" s="782">
        <f t="shared" si="75"/>
        <v>0</v>
      </c>
      <c r="AJ109" s="781">
        <f t="shared" si="76"/>
        <v>0</v>
      </c>
      <c r="AK109" s="781">
        <f t="shared" si="61"/>
        <v>0</v>
      </c>
      <c r="AL109" s="781">
        <f t="shared" si="77"/>
        <v>0</v>
      </c>
      <c r="AM109" s="781">
        <f t="shared" si="78"/>
        <v>0</v>
      </c>
      <c r="AN109" s="781">
        <f t="shared" si="64"/>
        <v>0</v>
      </c>
      <c r="AO109" s="781">
        <f t="shared" si="79"/>
        <v>0</v>
      </c>
      <c r="AP109" s="781">
        <f t="shared" si="80"/>
        <v>0</v>
      </c>
      <c r="AQ109" s="781">
        <f t="shared" si="67"/>
        <v>0</v>
      </c>
      <c r="AR109" s="781">
        <f t="shared" si="81"/>
        <v>0</v>
      </c>
      <c r="AS109" s="783">
        <f t="shared" si="69"/>
        <v>0</v>
      </c>
    </row>
    <row r="110" spans="1:45" ht="15" x14ac:dyDescent="0.25">
      <c r="A110" s="784"/>
      <c r="B110" s="719">
        <f t="shared" si="70"/>
        <v>102</v>
      </c>
      <c r="C110" s="170" t="str">
        <f t="shared" si="50"/>
        <v/>
      </c>
      <c r="D110" s="557"/>
      <c r="E110" s="170"/>
      <c r="F110" s="2078"/>
      <c r="G110" s="1862"/>
      <c r="H110" s="1926"/>
      <c r="I110" s="2008"/>
      <c r="J110" s="1926"/>
      <c r="K110" s="1926"/>
      <c r="L110" s="170"/>
      <c r="M110" s="2009">
        <v>0</v>
      </c>
      <c r="N110" s="2010">
        <v>1</v>
      </c>
      <c r="O110" s="773">
        <f t="shared" si="51"/>
        <v>0</v>
      </c>
      <c r="P110" s="2008" t="s">
        <v>39</v>
      </c>
      <c r="Q110" s="2008" t="s">
        <v>604</v>
      </c>
      <c r="R110" s="2011" t="s">
        <v>74</v>
      </c>
      <c r="S110" s="775">
        <f>SUMIF('Data Input sheet'!$B$118:$B$180,R110,'Data Input sheet'!$D$118:$D$180)</f>
        <v>152</v>
      </c>
      <c r="T110" s="2685">
        <f t="shared" si="52"/>
        <v>0</v>
      </c>
      <c r="U110" s="2013">
        <v>0</v>
      </c>
      <c r="V110" s="778">
        <f t="shared" si="71"/>
        <v>0</v>
      </c>
      <c r="W110" s="2010"/>
      <c r="X110" s="779"/>
      <c r="Y110" s="2012">
        <v>0</v>
      </c>
      <c r="Z110" s="780">
        <f t="shared" si="53"/>
        <v>0</v>
      </c>
      <c r="AA110" s="2007"/>
      <c r="AB110" s="2007"/>
      <c r="AC110" s="765"/>
      <c r="AD110" s="781">
        <f t="shared" si="72"/>
        <v>0</v>
      </c>
      <c r="AE110" s="781">
        <f t="shared" si="55"/>
        <v>0</v>
      </c>
      <c r="AF110" s="781">
        <f t="shared" si="73"/>
        <v>0</v>
      </c>
      <c r="AG110" s="781">
        <f t="shared" si="74"/>
        <v>0</v>
      </c>
      <c r="AH110" s="781">
        <f t="shared" si="58"/>
        <v>0</v>
      </c>
      <c r="AI110" s="782">
        <f t="shared" si="75"/>
        <v>0</v>
      </c>
      <c r="AJ110" s="781">
        <f t="shared" si="76"/>
        <v>0</v>
      </c>
      <c r="AK110" s="781">
        <f t="shared" si="61"/>
        <v>0</v>
      </c>
      <c r="AL110" s="781">
        <f t="shared" si="77"/>
        <v>0</v>
      </c>
      <c r="AM110" s="781">
        <f t="shared" si="78"/>
        <v>0</v>
      </c>
      <c r="AN110" s="781">
        <f t="shared" si="64"/>
        <v>0</v>
      </c>
      <c r="AO110" s="781">
        <f t="shared" si="79"/>
        <v>0</v>
      </c>
      <c r="AP110" s="781">
        <f t="shared" si="80"/>
        <v>0</v>
      </c>
      <c r="AQ110" s="781">
        <f t="shared" si="67"/>
        <v>0</v>
      </c>
      <c r="AR110" s="781">
        <f t="shared" si="81"/>
        <v>0</v>
      </c>
      <c r="AS110" s="783">
        <f t="shared" si="69"/>
        <v>0</v>
      </c>
    </row>
    <row r="111" spans="1:45" ht="15" x14ac:dyDescent="0.25">
      <c r="A111" s="784"/>
      <c r="B111" s="719">
        <f t="shared" si="70"/>
        <v>103</v>
      </c>
      <c r="C111" s="170" t="str">
        <f t="shared" si="50"/>
        <v/>
      </c>
      <c r="D111" s="557"/>
      <c r="E111" s="170"/>
      <c r="F111" s="2078"/>
      <c r="G111" s="1862"/>
      <c r="H111" s="1926"/>
      <c r="I111" s="2008"/>
      <c r="J111" s="1926"/>
      <c r="K111" s="1926"/>
      <c r="L111" s="170"/>
      <c r="M111" s="2009">
        <v>0</v>
      </c>
      <c r="N111" s="2010">
        <v>1</v>
      </c>
      <c r="O111" s="773">
        <f t="shared" si="51"/>
        <v>0</v>
      </c>
      <c r="P111" s="2008" t="s">
        <v>39</v>
      </c>
      <c r="Q111" s="2008" t="s">
        <v>604</v>
      </c>
      <c r="R111" s="2011" t="s">
        <v>74</v>
      </c>
      <c r="S111" s="775">
        <f>SUMIF('Data Input sheet'!$B$118:$B$180,R111,'Data Input sheet'!$D$118:$D$180)</f>
        <v>152</v>
      </c>
      <c r="T111" s="2685">
        <f t="shared" si="52"/>
        <v>0</v>
      </c>
      <c r="U111" s="2013">
        <v>0</v>
      </c>
      <c r="V111" s="778">
        <f t="shared" si="71"/>
        <v>0</v>
      </c>
      <c r="W111" s="2010"/>
      <c r="X111" s="779"/>
      <c r="Y111" s="2012">
        <v>0</v>
      </c>
      <c r="Z111" s="780">
        <f t="shared" si="53"/>
        <v>0</v>
      </c>
      <c r="AA111" s="2007"/>
      <c r="AB111" s="2007"/>
      <c r="AC111" s="765"/>
      <c r="AD111" s="781">
        <f t="shared" si="72"/>
        <v>0</v>
      </c>
      <c r="AE111" s="781">
        <f t="shared" si="55"/>
        <v>0</v>
      </c>
      <c r="AF111" s="781">
        <f t="shared" si="73"/>
        <v>0</v>
      </c>
      <c r="AG111" s="781">
        <f t="shared" si="74"/>
        <v>0</v>
      </c>
      <c r="AH111" s="781">
        <f t="shared" si="58"/>
        <v>0</v>
      </c>
      <c r="AI111" s="782">
        <f t="shared" si="75"/>
        <v>0</v>
      </c>
      <c r="AJ111" s="781">
        <f t="shared" si="76"/>
        <v>0</v>
      </c>
      <c r="AK111" s="781">
        <f t="shared" si="61"/>
        <v>0</v>
      </c>
      <c r="AL111" s="781">
        <f t="shared" si="77"/>
        <v>0</v>
      </c>
      <c r="AM111" s="781">
        <f t="shared" si="78"/>
        <v>0</v>
      </c>
      <c r="AN111" s="781">
        <f t="shared" si="64"/>
        <v>0</v>
      </c>
      <c r="AO111" s="781">
        <f t="shared" si="79"/>
        <v>0</v>
      </c>
      <c r="AP111" s="781">
        <f t="shared" si="80"/>
        <v>0</v>
      </c>
      <c r="AQ111" s="781">
        <f t="shared" si="67"/>
        <v>0</v>
      </c>
      <c r="AR111" s="781">
        <f t="shared" si="81"/>
        <v>0</v>
      </c>
      <c r="AS111" s="783">
        <f t="shared" si="69"/>
        <v>0</v>
      </c>
    </row>
    <row r="112" spans="1:45" ht="15" x14ac:dyDescent="0.25">
      <c r="A112" s="768"/>
      <c r="B112" s="719">
        <f t="shared" si="70"/>
        <v>104</v>
      </c>
      <c r="C112" s="170" t="str">
        <f t="shared" si="50"/>
        <v/>
      </c>
      <c r="D112" s="557"/>
      <c r="E112" s="170"/>
      <c r="F112" s="2078"/>
      <c r="G112" s="1862"/>
      <c r="H112" s="1926"/>
      <c r="I112" s="2008"/>
      <c r="J112" s="1926"/>
      <c r="K112" s="1926"/>
      <c r="L112" s="170"/>
      <c r="M112" s="2009">
        <v>0</v>
      </c>
      <c r="N112" s="2010">
        <v>1</v>
      </c>
      <c r="O112" s="773">
        <f t="shared" si="51"/>
        <v>0</v>
      </c>
      <c r="P112" s="2008" t="s">
        <v>39</v>
      </c>
      <c r="Q112" s="2008" t="s">
        <v>604</v>
      </c>
      <c r="R112" s="2011" t="s">
        <v>74</v>
      </c>
      <c r="S112" s="775">
        <f>SUMIF('Data Input sheet'!$B$118:$B$180,R112,'Data Input sheet'!$D$118:$D$180)</f>
        <v>152</v>
      </c>
      <c r="T112" s="2685">
        <f t="shared" si="52"/>
        <v>0</v>
      </c>
      <c r="U112" s="2013">
        <v>0</v>
      </c>
      <c r="V112" s="778">
        <f t="shared" si="71"/>
        <v>0</v>
      </c>
      <c r="W112" s="2010"/>
      <c r="X112" s="779"/>
      <c r="Y112" s="2012">
        <v>0</v>
      </c>
      <c r="Z112" s="780">
        <f t="shared" si="53"/>
        <v>0</v>
      </c>
      <c r="AA112" s="2007"/>
      <c r="AB112" s="2007"/>
      <c r="AC112" s="765"/>
      <c r="AD112" s="781">
        <f t="shared" si="72"/>
        <v>0</v>
      </c>
      <c r="AE112" s="781">
        <f t="shared" si="55"/>
        <v>0</v>
      </c>
      <c r="AF112" s="781">
        <f t="shared" si="73"/>
        <v>0</v>
      </c>
      <c r="AG112" s="781">
        <f t="shared" si="74"/>
        <v>0</v>
      </c>
      <c r="AH112" s="781">
        <f t="shared" si="58"/>
        <v>0</v>
      </c>
      <c r="AI112" s="782">
        <f t="shared" si="75"/>
        <v>0</v>
      </c>
      <c r="AJ112" s="781">
        <f t="shared" si="76"/>
        <v>0</v>
      </c>
      <c r="AK112" s="781">
        <f t="shared" si="61"/>
        <v>0</v>
      </c>
      <c r="AL112" s="781">
        <f t="shared" si="77"/>
        <v>0</v>
      </c>
      <c r="AM112" s="781">
        <f t="shared" si="78"/>
        <v>0</v>
      </c>
      <c r="AN112" s="781">
        <f t="shared" si="64"/>
        <v>0</v>
      </c>
      <c r="AO112" s="781">
        <f t="shared" si="79"/>
        <v>0</v>
      </c>
      <c r="AP112" s="781">
        <f t="shared" si="80"/>
        <v>0</v>
      </c>
      <c r="AQ112" s="781">
        <f t="shared" si="67"/>
        <v>0</v>
      </c>
      <c r="AR112" s="781">
        <f t="shared" si="81"/>
        <v>0</v>
      </c>
      <c r="AS112" s="783">
        <f t="shared" si="69"/>
        <v>0</v>
      </c>
    </row>
    <row r="113" spans="1:45" ht="15" x14ac:dyDescent="0.25">
      <c r="A113" s="768"/>
      <c r="B113" s="719">
        <f t="shared" si="70"/>
        <v>105</v>
      </c>
      <c r="C113" s="170" t="str">
        <f t="shared" si="50"/>
        <v/>
      </c>
      <c r="D113" s="557"/>
      <c r="E113" s="170"/>
      <c r="F113" s="2078"/>
      <c r="G113" s="1862"/>
      <c r="H113" s="1926"/>
      <c r="I113" s="2008"/>
      <c r="J113" s="1926"/>
      <c r="K113" s="1926"/>
      <c r="L113" s="170"/>
      <c r="M113" s="2009">
        <v>0</v>
      </c>
      <c r="N113" s="2010">
        <v>1</v>
      </c>
      <c r="O113" s="773">
        <f t="shared" si="51"/>
        <v>0</v>
      </c>
      <c r="P113" s="2008" t="s">
        <v>39</v>
      </c>
      <c r="Q113" s="2008" t="s">
        <v>604</v>
      </c>
      <c r="R113" s="2011" t="s">
        <v>74</v>
      </c>
      <c r="S113" s="775">
        <f>SUMIF('Data Input sheet'!$B$118:$B$180,R113,'Data Input sheet'!$D$118:$D$180)</f>
        <v>152</v>
      </c>
      <c r="T113" s="2685">
        <f t="shared" si="52"/>
        <v>0</v>
      </c>
      <c r="U113" s="2013">
        <v>0</v>
      </c>
      <c r="V113" s="778">
        <f t="shared" si="71"/>
        <v>0</v>
      </c>
      <c r="W113" s="2010"/>
      <c r="X113" s="779"/>
      <c r="Y113" s="2012">
        <v>0</v>
      </c>
      <c r="Z113" s="780">
        <f t="shared" si="53"/>
        <v>0</v>
      </c>
      <c r="AA113" s="2007"/>
      <c r="AB113" s="2007"/>
      <c r="AC113" s="765"/>
      <c r="AD113" s="781">
        <f t="shared" si="72"/>
        <v>0</v>
      </c>
      <c r="AE113" s="781">
        <f t="shared" si="55"/>
        <v>0</v>
      </c>
      <c r="AF113" s="781">
        <f t="shared" si="73"/>
        <v>0</v>
      </c>
      <c r="AG113" s="781">
        <f t="shared" si="74"/>
        <v>0</v>
      </c>
      <c r="AH113" s="781">
        <f t="shared" si="58"/>
        <v>0</v>
      </c>
      <c r="AI113" s="782">
        <f t="shared" si="75"/>
        <v>0</v>
      </c>
      <c r="AJ113" s="781">
        <f t="shared" si="76"/>
        <v>0</v>
      </c>
      <c r="AK113" s="781">
        <f t="shared" si="61"/>
        <v>0</v>
      </c>
      <c r="AL113" s="781">
        <f t="shared" si="77"/>
        <v>0</v>
      </c>
      <c r="AM113" s="781">
        <f t="shared" si="78"/>
        <v>0</v>
      </c>
      <c r="AN113" s="781">
        <f t="shared" si="64"/>
        <v>0</v>
      </c>
      <c r="AO113" s="781">
        <f t="shared" si="79"/>
        <v>0</v>
      </c>
      <c r="AP113" s="781">
        <f t="shared" si="80"/>
        <v>0</v>
      </c>
      <c r="AQ113" s="781">
        <f t="shared" si="67"/>
        <v>0</v>
      </c>
      <c r="AR113" s="781">
        <f t="shared" si="81"/>
        <v>0</v>
      </c>
      <c r="AS113" s="783">
        <f t="shared" si="69"/>
        <v>0</v>
      </c>
    </row>
    <row r="114" spans="1:45" ht="15" x14ac:dyDescent="0.25">
      <c r="A114" s="768"/>
      <c r="B114" s="719">
        <f t="shared" si="70"/>
        <v>106</v>
      </c>
      <c r="C114" s="170" t="str">
        <f t="shared" si="50"/>
        <v/>
      </c>
      <c r="D114" s="557"/>
      <c r="E114" s="170"/>
      <c r="F114" s="2078"/>
      <c r="G114" s="1862"/>
      <c r="H114" s="1926"/>
      <c r="I114" s="2008"/>
      <c r="J114" s="1926"/>
      <c r="K114" s="1926"/>
      <c r="L114" s="170"/>
      <c r="M114" s="2009">
        <v>0</v>
      </c>
      <c r="N114" s="2010">
        <v>1</v>
      </c>
      <c r="O114" s="773">
        <f t="shared" si="51"/>
        <v>0</v>
      </c>
      <c r="P114" s="2008" t="s">
        <v>39</v>
      </c>
      <c r="Q114" s="2008" t="s">
        <v>604</v>
      </c>
      <c r="R114" s="2011" t="s">
        <v>74</v>
      </c>
      <c r="S114" s="775">
        <f>SUMIF('Data Input sheet'!$B$118:$B$180,R114,'Data Input sheet'!$D$118:$D$180)</f>
        <v>152</v>
      </c>
      <c r="T114" s="2685">
        <f t="shared" si="52"/>
        <v>0</v>
      </c>
      <c r="U114" s="2013">
        <v>0</v>
      </c>
      <c r="V114" s="778">
        <f t="shared" si="71"/>
        <v>0</v>
      </c>
      <c r="W114" s="2010"/>
      <c r="X114" s="779"/>
      <c r="Y114" s="2012">
        <v>0</v>
      </c>
      <c r="Z114" s="780">
        <f t="shared" si="53"/>
        <v>0</v>
      </c>
      <c r="AA114" s="2007"/>
      <c r="AB114" s="2007"/>
      <c r="AC114" s="765"/>
      <c r="AD114" s="781">
        <f t="shared" si="72"/>
        <v>0</v>
      </c>
      <c r="AE114" s="781">
        <f t="shared" si="55"/>
        <v>0</v>
      </c>
      <c r="AF114" s="781">
        <f t="shared" si="73"/>
        <v>0</v>
      </c>
      <c r="AG114" s="781">
        <f t="shared" si="74"/>
        <v>0</v>
      </c>
      <c r="AH114" s="781">
        <f t="shared" si="58"/>
        <v>0</v>
      </c>
      <c r="AI114" s="782">
        <f t="shared" si="75"/>
        <v>0</v>
      </c>
      <c r="AJ114" s="781">
        <f t="shared" si="76"/>
        <v>0</v>
      </c>
      <c r="AK114" s="781">
        <f t="shared" si="61"/>
        <v>0</v>
      </c>
      <c r="AL114" s="781">
        <f t="shared" si="77"/>
        <v>0</v>
      </c>
      <c r="AM114" s="781">
        <f t="shared" si="78"/>
        <v>0</v>
      </c>
      <c r="AN114" s="781">
        <f t="shared" si="64"/>
        <v>0</v>
      </c>
      <c r="AO114" s="781">
        <f t="shared" si="79"/>
        <v>0</v>
      </c>
      <c r="AP114" s="781">
        <f t="shared" si="80"/>
        <v>0</v>
      </c>
      <c r="AQ114" s="781">
        <f t="shared" si="67"/>
        <v>0</v>
      </c>
      <c r="AR114" s="781">
        <f t="shared" si="81"/>
        <v>0</v>
      </c>
      <c r="AS114" s="783">
        <f t="shared" si="69"/>
        <v>0</v>
      </c>
    </row>
    <row r="115" spans="1:45" ht="15" x14ac:dyDescent="0.25">
      <c r="A115" s="768"/>
      <c r="B115" s="719">
        <f t="shared" si="70"/>
        <v>107</v>
      </c>
      <c r="C115" s="170" t="str">
        <f t="shared" si="50"/>
        <v/>
      </c>
      <c r="D115" s="557"/>
      <c r="E115" s="170"/>
      <c r="F115" s="2078"/>
      <c r="G115" s="1862"/>
      <c r="H115" s="1926"/>
      <c r="I115" s="2008"/>
      <c r="J115" s="1926"/>
      <c r="K115" s="1926"/>
      <c r="L115" s="170"/>
      <c r="M115" s="2009">
        <v>0</v>
      </c>
      <c r="N115" s="2010">
        <v>1</v>
      </c>
      <c r="O115" s="773">
        <f t="shared" si="51"/>
        <v>0</v>
      </c>
      <c r="P115" s="2008" t="s">
        <v>39</v>
      </c>
      <c r="Q115" s="2008" t="s">
        <v>604</v>
      </c>
      <c r="R115" s="2011" t="s">
        <v>74</v>
      </c>
      <c r="S115" s="775">
        <f>SUMIF('Data Input sheet'!$B$118:$B$180,R115,'Data Input sheet'!$D$118:$D$180)</f>
        <v>152</v>
      </c>
      <c r="T115" s="2685">
        <f t="shared" si="52"/>
        <v>0</v>
      </c>
      <c r="U115" s="2013">
        <v>0</v>
      </c>
      <c r="V115" s="778">
        <f t="shared" si="71"/>
        <v>0</v>
      </c>
      <c r="W115" s="2010"/>
      <c r="X115" s="779"/>
      <c r="Y115" s="2012">
        <v>0</v>
      </c>
      <c r="Z115" s="780">
        <f t="shared" si="53"/>
        <v>0</v>
      </c>
      <c r="AA115" s="2007"/>
      <c r="AB115" s="2007"/>
      <c r="AC115" s="765"/>
      <c r="AD115" s="781">
        <f t="shared" si="72"/>
        <v>0</v>
      </c>
      <c r="AE115" s="781">
        <f t="shared" si="55"/>
        <v>0</v>
      </c>
      <c r="AF115" s="781">
        <f t="shared" si="73"/>
        <v>0</v>
      </c>
      <c r="AG115" s="781">
        <f t="shared" si="74"/>
        <v>0</v>
      </c>
      <c r="AH115" s="781">
        <f t="shared" si="58"/>
        <v>0</v>
      </c>
      <c r="AI115" s="782">
        <f t="shared" si="75"/>
        <v>0</v>
      </c>
      <c r="AJ115" s="781">
        <f t="shared" si="76"/>
        <v>0</v>
      </c>
      <c r="AK115" s="781">
        <f t="shared" si="61"/>
        <v>0</v>
      </c>
      <c r="AL115" s="781">
        <f t="shared" si="77"/>
        <v>0</v>
      </c>
      <c r="AM115" s="781">
        <f t="shared" si="78"/>
        <v>0</v>
      </c>
      <c r="AN115" s="781">
        <f t="shared" si="64"/>
        <v>0</v>
      </c>
      <c r="AO115" s="781">
        <f t="shared" si="79"/>
        <v>0</v>
      </c>
      <c r="AP115" s="781">
        <f t="shared" si="80"/>
        <v>0</v>
      </c>
      <c r="AQ115" s="781">
        <f t="shared" si="67"/>
        <v>0</v>
      </c>
      <c r="AR115" s="781">
        <f t="shared" si="81"/>
        <v>0</v>
      </c>
      <c r="AS115" s="783">
        <f t="shared" si="69"/>
        <v>0</v>
      </c>
    </row>
    <row r="116" spans="1:45" ht="15" x14ac:dyDescent="0.25">
      <c r="A116" s="768"/>
      <c r="B116" s="719">
        <f t="shared" si="70"/>
        <v>108</v>
      </c>
      <c r="C116" s="170" t="str">
        <f t="shared" si="50"/>
        <v/>
      </c>
      <c r="D116" s="557"/>
      <c r="E116" s="170"/>
      <c r="F116" s="2078"/>
      <c r="G116" s="1862"/>
      <c r="H116" s="1926"/>
      <c r="I116" s="2008"/>
      <c r="J116" s="1926"/>
      <c r="K116" s="1926"/>
      <c r="L116" s="170"/>
      <c r="M116" s="2009">
        <v>0</v>
      </c>
      <c r="N116" s="2010">
        <v>1</v>
      </c>
      <c r="O116" s="773">
        <f t="shared" si="51"/>
        <v>0</v>
      </c>
      <c r="P116" s="2008" t="s">
        <v>39</v>
      </c>
      <c r="Q116" s="2008" t="s">
        <v>604</v>
      </c>
      <c r="R116" s="2011" t="s">
        <v>74</v>
      </c>
      <c r="S116" s="775">
        <f>SUMIF('Data Input sheet'!$B$118:$B$180,R116,'Data Input sheet'!$D$118:$D$180)</f>
        <v>152</v>
      </c>
      <c r="T116" s="2685">
        <f t="shared" si="52"/>
        <v>0</v>
      </c>
      <c r="U116" s="2013">
        <v>0</v>
      </c>
      <c r="V116" s="778">
        <f t="shared" si="71"/>
        <v>0</v>
      </c>
      <c r="W116" s="2010"/>
      <c r="X116" s="779"/>
      <c r="Y116" s="2012">
        <v>0</v>
      </c>
      <c r="Z116" s="780">
        <f t="shared" si="53"/>
        <v>0</v>
      </c>
      <c r="AA116" s="2007"/>
      <c r="AB116" s="2007"/>
      <c r="AC116" s="765"/>
      <c r="AD116" s="781">
        <f t="shared" si="72"/>
        <v>0</v>
      </c>
      <c r="AE116" s="781">
        <f t="shared" si="55"/>
        <v>0</v>
      </c>
      <c r="AF116" s="781">
        <f t="shared" si="73"/>
        <v>0</v>
      </c>
      <c r="AG116" s="781">
        <f t="shared" si="74"/>
        <v>0</v>
      </c>
      <c r="AH116" s="781">
        <f t="shared" si="58"/>
        <v>0</v>
      </c>
      <c r="AI116" s="782">
        <f t="shared" si="75"/>
        <v>0</v>
      </c>
      <c r="AJ116" s="781">
        <f t="shared" si="76"/>
        <v>0</v>
      </c>
      <c r="AK116" s="781">
        <f t="shared" si="61"/>
        <v>0</v>
      </c>
      <c r="AL116" s="781">
        <f t="shared" si="77"/>
        <v>0</v>
      </c>
      <c r="AM116" s="781">
        <f t="shared" si="78"/>
        <v>0</v>
      </c>
      <c r="AN116" s="781">
        <f t="shared" si="64"/>
        <v>0</v>
      </c>
      <c r="AO116" s="781">
        <f t="shared" si="79"/>
        <v>0</v>
      </c>
      <c r="AP116" s="781">
        <f t="shared" si="80"/>
        <v>0</v>
      </c>
      <c r="AQ116" s="781">
        <f t="shared" si="67"/>
        <v>0</v>
      </c>
      <c r="AR116" s="781">
        <f t="shared" si="81"/>
        <v>0</v>
      </c>
      <c r="AS116" s="783">
        <f t="shared" si="69"/>
        <v>0</v>
      </c>
    </row>
    <row r="117" spans="1:45" ht="15" x14ac:dyDescent="0.25">
      <c r="A117" s="768"/>
      <c r="B117" s="719">
        <f t="shared" si="70"/>
        <v>109</v>
      </c>
      <c r="C117" s="170" t="str">
        <f t="shared" si="50"/>
        <v/>
      </c>
      <c r="D117" s="557"/>
      <c r="E117" s="170"/>
      <c r="F117" s="2078"/>
      <c r="G117" s="1862"/>
      <c r="H117" s="1926"/>
      <c r="I117" s="2008"/>
      <c r="J117" s="1926"/>
      <c r="K117" s="1926"/>
      <c r="L117" s="170"/>
      <c r="M117" s="2009">
        <v>0</v>
      </c>
      <c r="N117" s="2010">
        <v>1</v>
      </c>
      <c r="O117" s="773">
        <f t="shared" si="51"/>
        <v>0</v>
      </c>
      <c r="P117" s="2008" t="s">
        <v>39</v>
      </c>
      <c r="Q117" s="2008" t="s">
        <v>604</v>
      </c>
      <c r="R117" s="2011" t="s">
        <v>74</v>
      </c>
      <c r="S117" s="775">
        <f>SUMIF('Data Input sheet'!$B$118:$B$180,R117,'Data Input sheet'!$D$118:$D$180)</f>
        <v>152</v>
      </c>
      <c r="T117" s="2685">
        <f t="shared" si="52"/>
        <v>0</v>
      </c>
      <c r="U117" s="2013">
        <v>0</v>
      </c>
      <c r="V117" s="778">
        <f t="shared" si="71"/>
        <v>0</v>
      </c>
      <c r="W117" s="2010"/>
      <c r="X117" s="779"/>
      <c r="Y117" s="2012">
        <v>0</v>
      </c>
      <c r="Z117" s="780">
        <f t="shared" si="53"/>
        <v>0</v>
      </c>
      <c r="AA117" s="2007"/>
      <c r="AB117" s="2007"/>
      <c r="AC117" s="765"/>
      <c r="AD117" s="781">
        <f t="shared" si="72"/>
        <v>0</v>
      </c>
      <c r="AE117" s="781">
        <f t="shared" si="55"/>
        <v>0</v>
      </c>
      <c r="AF117" s="781">
        <f t="shared" si="73"/>
        <v>0</v>
      </c>
      <c r="AG117" s="781">
        <f t="shared" si="74"/>
        <v>0</v>
      </c>
      <c r="AH117" s="781">
        <f t="shared" si="58"/>
        <v>0</v>
      </c>
      <c r="AI117" s="782">
        <f t="shared" si="75"/>
        <v>0</v>
      </c>
      <c r="AJ117" s="781">
        <f t="shared" si="76"/>
        <v>0</v>
      </c>
      <c r="AK117" s="781">
        <f t="shared" si="61"/>
        <v>0</v>
      </c>
      <c r="AL117" s="781">
        <f t="shared" si="77"/>
        <v>0</v>
      </c>
      <c r="AM117" s="781">
        <f t="shared" si="78"/>
        <v>0</v>
      </c>
      <c r="AN117" s="781">
        <f t="shared" si="64"/>
        <v>0</v>
      </c>
      <c r="AO117" s="781">
        <f t="shared" si="79"/>
        <v>0</v>
      </c>
      <c r="AP117" s="781">
        <f t="shared" si="80"/>
        <v>0</v>
      </c>
      <c r="AQ117" s="781">
        <f t="shared" si="67"/>
        <v>0</v>
      </c>
      <c r="AR117" s="781">
        <f t="shared" si="81"/>
        <v>0</v>
      </c>
      <c r="AS117" s="783">
        <f t="shared" si="69"/>
        <v>0</v>
      </c>
    </row>
    <row r="118" spans="1:45" ht="15" x14ac:dyDescent="0.25">
      <c r="A118" s="768"/>
      <c r="B118" s="719">
        <f t="shared" si="70"/>
        <v>110</v>
      </c>
      <c r="C118" s="170" t="str">
        <f t="shared" si="50"/>
        <v/>
      </c>
      <c r="D118" s="557"/>
      <c r="E118" s="170"/>
      <c r="F118" s="2078"/>
      <c r="G118" s="1862"/>
      <c r="H118" s="1926"/>
      <c r="I118" s="2008"/>
      <c r="J118" s="1926"/>
      <c r="K118" s="1926"/>
      <c r="L118" s="170"/>
      <c r="M118" s="2009">
        <v>0</v>
      </c>
      <c r="N118" s="2010">
        <v>1</v>
      </c>
      <c r="O118" s="773">
        <f t="shared" si="51"/>
        <v>0</v>
      </c>
      <c r="P118" s="2008" t="s">
        <v>39</v>
      </c>
      <c r="Q118" s="2008" t="s">
        <v>604</v>
      </c>
      <c r="R118" s="2011" t="s">
        <v>74</v>
      </c>
      <c r="S118" s="775">
        <f>SUMIF('Data Input sheet'!$B$118:$B$180,R118,'Data Input sheet'!$D$118:$D$180)</f>
        <v>152</v>
      </c>
      <c r="T118" s="2685">
        <f t="shared" si="52"/>
        <v>0</v>
      </c>
      <c r="U118" s="2013">
        <v>0</v>
      </c>
      <c r="V118" s="778">
        <f t="shared" si="71"/>
        <v>0</v>
      </c>
      <c r="W118" s="2010"/>
      <c r="X118" s="779"/>
      <c r="Y118" s="2012">
        <v>0</v>
      </c>
      <c r="Z118" s="780">
        <f t="shared" si="53"/>
        <v>0</v>
      </c>
      <c r="AA118" s="2007"/>
      <c r="AB118" s="2007"/>
      <c r="AC118" s="765"/>
      <c r="AD118" s="781">
        <f t="shared" si="72"/>
        <v>0</v>
      </c>
      <c r="AE118" s="781">
        <f t="shared" si="55"/>
        <v>0</v>
      </c>
      <c r="AF118" s="781">
        <f t="shared" si="73"/>
        <v>0</v>
      </c>
      <c r="AG118" s="781">
        <f t="shared" si="74"/>
        <v>0</v>
      </c>
      <c r="AH118" s="781">
        <f t="shared" si="58"/>
        <v>0</v>
      </c>
      <c r="AI118" s="782">
        <f t="shared" si="75"/>
        <v>0</v>
      </c>
      <c r="AJ118" s="781">
        <f t="shared" si="76"/>
        <v>0</v>
      </c>
      <c r="AK118" s="781">
        <f t="shared" si="61"/>
        <v>0</v>
      </c>
      <c r="AL118" s="781">
        <f t="shared" si="77"/>
        <v>0</v>
      </c>
      <c r="AM118" s="781">
        <f t="shared" si="78"/>
        <v>0</v>
      </c>
      <c r="AN118" s="781">
        <f t="shared" si="64"/>
        <v>0</v>
      </c>
      <c r="AO118" s="781">
        <f t="shared" si="79"/>
        <v>0</v>
      </c>
      <c r="AP118" s="781">
        <f t="shared" si="80"/>
        <v>0</v>
      </c>
      <c r="AQ118" s="781">
        <f t="shared" si="67"/>
        <v>0</v>
      </c>
      <c r="AR118" s="781">
        <f t="shared" si="81"/>
        <v>0</v>
      </c>
      <c r="AS118" s="783">
        <f t="shared" si="69"/>
        <v>0</v>
      </c>
    </row>
    <row r="119" spans="1:45" ht="15" x14ac:dyDescent="0.25">
      <c r="A119" s="768"/>
      <c r="B119" s="719">
        <f t="shared" si="70"/>
        <v>111</v>
      </c>
      <c r="C119" s="170" t="str">
        <f t="shared" si="50"/>
        <v/>
      </c>
      <c r="D119" s="557"/>
      <c r="E119" s="170"/>
      <c r="F119" s="2078"/>
      <c r="G119" s="1862"/>
      <c r="H119" s="1926"/>
      <c r="I119" s="2008"/>
      <c r="J119" s="1926"/>
      <c r="K119" s="1926"/>
      <c r="L119" s="170"/>
      <c r="M119" s="2009">
        <v>0</v>
      </c>
      <c r="N119" s="2010">
        <v>1</v>
      </c>
      <c r="O119" s="773">
        <f t="shared" si="51"/>
        <v>0</v>
      </c>
      <c r="P119" s="2008" t="s">
        <v>39</v>
      </c>
      <c r="Q119" s="2008" t="s">
        <v>604</v>
      </c>
      <c r="R119" s="2011" t="s">
        <v>74</v>
      </c>
      <c r="S119" s="775">
        <f>SUMIF('Data Input sheet'!$B$118:$B$180,R119,'Data Input sheet'!$D$118:$D$180)</f>
        <v>152</v>
      </c>
      <c r="T119" s="2685">
        <f t="shared" si="52"/>
        <v>0</v>
      </c>
      <c r="U119" s="2013">
        <v>0</v>
      </c>
      <c r="V119" s="778">
        <f t="shared" si="71"/>
        <v>0</v>
      </c>
      <c r="W119" s="2010"/>
      <c r="X119" s="779"/>
      <c r="Y119" s="2012">
        <v>0</v>
      </c>
      <c r="Z119" s="780">
        <f t="shared" si="53"/>
        <v>0</v>
      </c>
      <c r="AA119" s="2007"/>
      <c r="AB119" s="2007"/>
      <c r="AC119" s="765"/>
      <c r="AD119" s="781">
        <f t="shared" si="72"/>
        <v>0</v>
      </c>
      <c r="AE119" s="781">
        <f t="shared" si="55"/>
        <v>0</v>
      </c>
      <c r="AF119" s="781">
        <f t="shared" si="73"/>
        <v>0</v>
      </c>
      <c r="AG119" s="781">
        <f t="shared" si="74"/>
        <v>0</v>
      </c>
      <c r="AH119" s="781">
        <f t="shared" si="58"/>
        <v>0</v>
      </c>
      <c r="AI119" s="782">
        <f t="shared" si="75"/>
        <v>0</v>
      </c>
      <c r="AJ119" s="781">
        <f t="shared" si="76"/>
        <v>0</v>
      </c>
      <c r="AK119" s="781">
        <f t="shared" si="61"/>
        <v>0</v>
      </c>
      <c r="AL119" s="781">
        <f t="shared" si="77"/>
        <v>0</v>
      </c>
      <c r="AM119" s="781">
        <f t="shared" si="78"/>
        <v>0</v>
      </c>
      <c r="AN119" s="781">
        <f t="shared" si="64"/>
        <v>0</v>
      </c>
      <c r="AO119" s="781">
        <f t="shared" si="79"/>
        <v>0</v>
      </c>
      <c r="AP119" s="781">
        <f t="shared" si="80"/>
        <v>0</v>
      </c>
      <c r="AQ119" s="781">
        <f t="shared" si="67"/>
        <v>0</v>
      </c>
      <c r="AR119" s="781">
        <f t="shared" si="81"/>
        <v>0</v>
      </c>
      <c r="AS119" s="783">
        <f t="shared" si="69"/>
        <v>0</v>
      </c>
    </row>
    <row r="120" spans="1:45" ht="15" x14ac:dyDescent="0.25">
      <c r="A120" s="768"/>
      <c r="B120" s="719">
        <f t="shared" si="70"/>
        <v>112</v>
      </c>
      <c r="C120" s="170" t="str">
        <f t="shared" si="50"/>
        <v/>
      </c>
      <c r="D120" s="557"/>
      <c r="E120" s="170"/>
      <c r="F120" s="2078"/>
      <c r="G120" s="1862"/>
      <c r="H120" s="1926"/>
      <c r="I120" s="2008"/>
      <c r="J120" s="1926"/>
      <c r="K120" s="1926"/>
      <c r="L120" s="170"/>
      <c r="M120" s="2009">
        <v>0</v>
      </c>
      <c r="N120" s="2010">
        <v>1</v>
      </c>
      <c r="O120" s="773">
        <f t="shared" si="51"/>
        <v>0</v>
      </c>
      <c r="P120" s="2008" t="s">
        <v>39</v>
      </c>
      <c r="Q120" s="2008" t="s">
        <v>604</v>
      </c>
      <c r="R120" s="2011" t="s">
        <v>74</v>
      </c>
      <c r="S120" s="775">
        <f>SUMIF('Data Input sheet'!$B$118:$B$180,R120,'Data Input sheet'!$D$118:$D$180)</f>
        <v>152</v>
      </c>
      <c r="T120" s="2685">
        <f t="shared" si="52"/>
        <v>0</v>
      </c>
      <c r="U120" s="2013">
        <v>0</v>
      </c>
      <c r="V120" s="778">
        <f t="shared" si="71"/>
        <v>0</v>
      </c>
      <c r="W120" s="2010"/>
      <c r="X120" s="779"/>
      <c r="Y120" s="2012">
        <v>0</v>
      </c>
      <c r="Z120" s="780">
        <f t="shared" si="53"/>
        <v>0</v>
      </c>
      <c r="AA120" s="2007"/>
      <c r="AB120" s="2007"/>
      <c r="AC120" s="765"/>
      <c r="AD120" s="781">
        <f t="shared" si="72"/>
        <v>0</v>
      </c>
      <c r="AE120" s="781">
        <f t="shared" si="55"/>
        <v>0</v>
      </c>
      <c r="AF120" s="781">
        <f t="shared" si="73"/>
        <v>0</v>
      </c>
      <c r="AG120" s="781">
        <f t="shared" si="74"/>
        <v>0</v>
      </c>
      <c r="AH120" s="781">
        <f t="shared" si="58"/>
        <v>0</v>
      </c>
      <c r="AI120" s="782">
        <f t="shared" si="75"/>
        <v>0</v>
      </c>
      <c r="AJ120" s="781">
        <f t="shared" si="76"/>
        <v>0</v>
      </c>
      <c r="AK120" s="781">
        <f t="shared" si="61"/>
        <v>0</v>
      </c>
      <c r="AL120" s="781">
        <f t="shared" si="77"/>
        <v>0</v>
      </c>
      <c r="AM120" s="781">
        <f t="shared" si="78"/>
        <v>0</v>
      </c>
      <c r="AN120" s="781">
        <f t="shared" si="64"/>
        <v>0</v>
      </c>
      <c r="AO120" s="781">
        <f t="shared" si="79"/>
        <v>0</v>
      </c>
      <c r="AP120" s="781">
        <f t="shared" si="80"/>
        <v>0</v>
      </c>
      <c r="AQ120" s="781">
        <f t="shared" si="67"/>
        <v>0</v>
      </c>
      <c r="AR120" s="781">
        <f t="shared" si="81"/>
        <v>0</v>
      </c>
      <c r="AS120" s="783">
        <f t="shared" si="69"/>
        <v>0</v>
      </c>
    </row>
    <row r="121" spans="1:45" ht="15" x14ac:dyDescent="0.25">
      <c r="A121" s="768"/>
      <c r="B121" s="719">
        <f t="shared" si="70"/>
        <v>113</v>
      </c>
      <c r="C121" s="170" t="str">
        <f t="shared" si="50"/>
        <v/>
      </c>
      <c r="D121" s="557"/>
      <c r="E121" s="170"/>
      <c r="F121" s="2078"/>
      <c r="G121" s="1862"/>
      <c r="H121" s="1926"/>
      <c r="I121" s="2008"/>
      <c r="J121" s="1926"/>
      <c r="K121" s="1926"/>
      <c r="L121" s="170"/>
      <c r="M121" s="2009">
        <v>0</v>
      </c>
      <c r="N121" s="2010">
        <v>1</v>
      </c>
      <c r="O121" s="773">
        <f t="shared" si="51"/>
        <v>0</v>
      </c>
      <c r="P121" s="2008" t="s">
        <v>39</v>
      </c>
      <c r="Q121" s="2008" t="s">
        <v>604</v>
      </c>
      <c r="R121" s="2011" t="s">
        <v>74</v>
      </c>
      <c r="S121" s="775">
        <f>SUMIF('Data Input sheet'!$B$118:$B$180,R121,'Data Input sheet'!$D$118:$D$180)</f>
        <v>152</v>
      </c>
      <c r="T121" s="2685">
        <f t="shared" si="52"/>
        <v>0</v>
      </c>
      <c r="U121" s="2013">
        <v>0</v>
      </c>
      <c r="V121" s="778">
        <f t="shared" si="71"/>
        <v>0</v>
      </c>
      <c r="W121" s="2010"/>
      <c r="X121" s="779"/>
      <c r="Y121" s="2012">
        <v>0</v>
      </c>
      <c r="Z121" s="780">
        <f t="shared" si="53"/>
        <v>0</v>
      </c>
      <c r="AA121" s="2007"/>
      <c r="AB121" s="2007"/>
      <c r="AC121" s="765"/>
      <c r="AD121" s="781">
        <f t="shared" si="72"/>
        <v>0</v>
      </c>
      <c r="AE121" s="781">
        <f t="shared" si="55"/>
        <v>0</v>
      </c>
      <c r="AF121" s="781">
        <f t="shared" si="73"/>
        <v>0</v>
      </c>
      <c r="AG121" s="781">
        <f t="shared" si="74"/>
        <v>0</v>
      </c>
      <c r="AH121" s="781">
        <f t="shared" si="58"/>
        <v>0</v>
      </c>
      <c r="AI121" s="782">
        <f t="shared" si="75"/>
        <v>0</v>
      </c>
      <c r="AJ121" s="781">
        <f t="shared" si="76"/>
        <v>0</v>
      </c>
      <c r="AK121" s="781">
        <f t="shared" si="61"/>
        <v>0</v>
      </c>
      <c r="AL121" s="781">
        <f t="shared" si="77"/>
        <v>0</v>
      </c>
      <c r="AM121" s="781">
        <f t="shared" si="78"/>
        <v>0</v>
      </c>
      <c r="AN121" s="781">
        <f t="shared" si="64"/>
        <v>0</v>
      </c>
      <c r="AO121" s="781">
        <f t="shared" si="79"/>
        <v>0</v>
      </c>
      <c r="AP121" s="781">
        <f t="shared" si="80"/>
        <v>0</v>
      </c>
      <c r="AQ121" s="781">
        <f t="shared" si="67"/>
        <v>0</v>
      </c>
      <c r="AR121" s="781">
        <f t="shared" si="81"/>
        <v>0</v>
      </c>
      <c r="AS121" s="783">
        <f t="shared" si="69"/>
        <v>0</v>
      </c>
    </row>
    <row r="122" spans="1:45" ht="15" x14ac:dyDescent="0.25">
      <c r="A122" s="768"/>
      <c r="B122" s="719">
        <f t="shared" si="70"/>
        <v>114</v>
      </c>
      <c r="C122" s="170" t="str">
        <f t="shared" si="50"/>
        <v/>
      </c>
      <c r="D122" s="557"/>
      <c r="E122" s="170"/>
      <c r="F122" s="2078"/>
      <c r="G122" s="1862"/>
      <c r="H122" s="1926"/>
      <c r="I122" s="2008"/>
      <c r="J122" s="1926"/>
      <c r="K122" s="1926"/>
      <c r="L122" s="170"/>
      <c r="M122" s="2009">
        <v>0</v>
      </c>
      <c r="N122" s="2010">
        <v>1</v>
      </c>
      <c r="O122" s="773">
        <f t="shared" si="51"/>
        <v>0</v>
      </c>
      <c r="P122" s="2008" t="s">
        <v>39</v>
      </c>
      <c r="Q122" s="2008" t="s">
        <v>604</v>
      </c>
      <c r="R122" s="2011" t="s">
        <v>74</v>
      </c>
      <c r="S122" s="775">
        <f>SUMIF('Data Input sheet'!$B$118:$B$180,R122,'Data Input sheet'!$D$118:$D$180)</f>
        <v>152</v>
      </c>
      <c r="T122" s="2685">
        <f t="shared" si="52"/>
        <v>0</v>
      </c>
      <c r="U122" s="2013">
        <v>0</v>
      </c>
      <c r="V122" s="778">
        <f t="shared" si="71"/>
        <v>0</v>
      </c>
      <c r="W122" s="2010"/>
      <c r="X122" s="779"/>
      <c r="Y122" s="2012">
        <v>0</v>
      </c>
      <c r="Z122" s="780">
        <f t="shared" si="53"/>
        <v>0</v>
      </c>
      <c r="AA122" s="2007"/>
      <c r="AB122" s="2007"/>
      <c r="AC122" s="765"/>
      <c r="AD122" s="781">
        <f t="shared" si="72"/>
        <v>0</v>
      </c>
      <c r="AE122" s="781">
        <f t="shared" si="55"/>
        <v>0</v>
      </c>
      <c r="AF122" s="781">
        <f t="shared" si="73"/>
        <v>0</v>
      </c>
      <c r="AG122" s="781">
        <f t="shared" si="74"/>
        <v>0</v>
      </c>
      <c r="AH122" s="781">
        <f t="shared" si="58"/>
        <v>0</v>
      </c>
      <c r="AI122" s="782">
        <f t="shared" si="75"/>
        <v>0</v>
      </c>
      <c r="AJ122" s="781">
        <f t="shared" si="76"/>
        <v>0</v>
      </c>
      <c r="AK122" s="781">
        <f t="shared" si="61"/>
        <v>0</v>
      </c>
      <c r="AL122" s="781">
        <f t="shared" si="77"/>
        <v>0</v>
      </c>
      <c r="AM122" s="781">
        <f t="shared" si="78"/>
        <v>0</v>
      </c>
      <c r="AN122" s="781">
        <f t="shared" si="64"/>
        <v>0</v>
      </c>
      <c r="AO122" s="781">
        <f t="shared" si="79"/>
        <v>0</v>
      </c>
      <c r="AP122" s="781">
        <f t="shared" si="80"/>
        <v>0</v>
      </c>
      <c r="AQ122" s="781">
        <f t="shared" si="67"/>
        <v>0</v>
      </c>
      <c r="AR122" s="781">
        <f t="shared" si="81"/>
        <v>0</v>
      </c>
      <c r="AS122" s="783">
        <f t="shared" si="69"/>
        <v>0</v>
      </c>
    </row>
    <row r="123" spans="1:45" ht="15" x14ac:dyDescent="0.25">
      <c r="A123" s="768"/>
      <c r="B123" s="719">
        <f t="shared" si="70"/>
        <v>115</v>
      </c>
      <c r="C123" s="170" t="str">
        <f t="shared" si="50"/>
        <v/>
      </c>
      <c r="D123" s="557"/>
      <c r="E123" s="170"/>
      <c r="F123" s="2078"/>
      <c r="G123" s="1862"/>
      <c r="H123" s="1926"/>
      <c r="I123" s="2008"/>
      <c r="J123" s="1926"/>
      <c r="K123" s="1926"/>
      <c r="L123" s="170"/>
      <c r="M123" s="2009">
        <v>0</v>
      </c>
      <c r="N123" s="2010">
        <v>1</v>
      </c>
      <c r="O123" s="773">
        <f t="shared" si="51"/>
        <v>0</v>
      </c>
      <c r="P123" s="2008" t="s">
        <v>39</v>
      </c>
      <c r="Q123" s="2008" t="s">
        <v>604</v>
      </c>
      <c r="R123" s="2011" t="s">
        <v>74</v>
      </c>
      <c r="S123" s="775">
        <f>SUMIF('Data Input sheet'!$B$118:$B$180,R123,'Data Input sheet'!$D$118:$D$180)</f>
        <v>152</v>
      </c>
      <c r="T123" s="2685">
        <f t="shared" si="52"/>
        <v>0</v>
      </c>
      <c r="U123" s="2013">
        <v>0</v>
      </c>
      <c r="V123" s="778">
        <f t="shared" si="71"/>
        <v>0</v>
      </c>
      <c r="W123" s="2010"/>
      <c r="X123" s="779"/>
      <c r="Y123" s="2012">
        <v>0</v>
      </c>
      <c r="Z123" s="780">
        <f t="shared" si="53"/>
        <v>0</v>
      </c>
      <c r="AA123" s="2007"/>
      <c r="AB123" s="2007"/>
      <c r="AC123" s="765"/>
      <c r="AD123" s="781">
        <f t="shared" si="72"/>
        <v>0</v>
      </c>
      <c r="AE123" s="781">
        <f t="shared" si="55"/>
        <v>0</v>
      </c>
      <c r="AF123" s="781">
        <f t="shared" si="73"/>
        <v>0</v>
      </c>
      <c r="AG123" s="781">
        <f t="shared" si="74"/>
        <v>0</v>
      </c>
      <c r="AH123" s="781">
        <f t="shared" si="58"/>
        <v>0</v>
      </c>
      <c r="AI123" s="782">
        <f t="shared" si="75"/>
        <v>0</v>
      </c>
      <c r="AJ123" s="781">
        <f t="shared" si="76"/>
        <v>0</v>
      </c>
      <c r="AK123" s="781">
        <f t="shared" si="61"/>
        <v>0</v>
      </c>
      <c r="AL123" s="781">
        <f t="shared" si="77"/>
        <v>0</v>
      </c>
      <c r="AM123" s="781">
        <f t="shared" si="78"/>
        <v>0</v>
      </c>
      <c r="AN123" s="781">
        <f t="shared" si="64"/>
        <v>0</v>
      </c>
      <c r="AO123" s="781">
        <f t="shared" si="79"/>
        <v>0</v>
      </c>
      <c r="AP123" s="781">
        <f t="shared" si="80"/>
        <v>0</v>
      </c>
      <c r="AQ123" s="781">
        <f t="shared" si="67"/>
        <v>0</v>
      </c>
      <c r="AR123" s="781">
        <f t="shared" si="81"/>
        <v>0</v>
      </c>
      <c r="AS123" s="783">
        <f t="shared" si="69"/>
        <v>0</v>
      </c>
    </row>
    <row r="124" spans="1:45" ht="15" x14ac:dyDescent="0.25">
      <c r="A124" s="768"/>
      <c r="B124" s="719">
        <f t="shared" si="70"/>
        <v>116</v>
      </c>
      <c r="C124" s="170" t="str">
        <f t="shared" si="50"/>
        <v/>
      </c>
      <c r="D124" s="557"/>
      <c r="E124" s="170"/>
      <c r="F124" s="2078"/>
      <c r="G124" s="1862"/>
      <c r="H124" s="1926"/>
      <c r="I124" s="2008"/>
      <c r="J124" s="1926"/>
      <c r="K124" s="1926"/>
      <c r="L124" s="170"/>
      <c r="M124" s="2009">
        <v>0</v>
      </c>
      <c r="N124" s="2010">
        <v>1</v>
      </c>
      <c r="O124" s="773">
        <f t="shared" si="51"/>
        <v>0</v>
      </c>
      <c r="P124" s="2008" t="s">
        <v>39</v>
      </c>
      <c r="Q124" s="2008" t="s">
        <v>604</v>
      </c>
      <c r="R124" s="2011" t="s">
        <v>74</v>
      </c>
      <c r="S124" s="775">
        <f>SUMIF('Data Input sheet'!$B$118:$B$180,R124,'Data Input sheet'!$D$118:$D$180)</f>
        <v>152</v>
      </c>
      <c r="T124" s="2685">
        <f t="shared" si="52"/>
        <v>0</v>
      </c>
      <c r="U124" s="2013">
        <v>0</v>
      </c>
      <c r="V124" s="778">
        <f t="shared" si="71"/>
        <v>0</v>
      </c>
      <c r="W124" s="2010"/>
      <c r="X124" s="779"/>
      <c r="Y124" s="2012">
        <v>0</v>
      </c>
      <c r="Z124" s="780">
        <f t="shared" si="53"/>
        <v>0</v>
      </c>
      <c r="AA124" s="2007"/>
      <c r="AB124" s="2007"/>
      <c r="AC124" s="765"/>
      <c r="AD124" s="781">
        <f t="shared" si="72"/>
        <v>0</v>
      </c>
      <c r="AE124" s="781">
        <f t="shared" si="55"/>
        <v>0</v>
      </c>
      <c r="AF124" s="781">
        <f t="shared" si="73"/>
        <v>0</v>
      </c>
      <c r="AG124" s="781">
        <f t="shared" si="74"/>
        <v>0</v>
      </c>
      <c r="AH124" s="781">
        <f t="shared" si="58"/>
        <v>0</v>
      </c>
      <c r="AI124" s="782">
        <f t="shared" si="75"/>
        <v>0</v>
      </c>
      <c r="AJ124" s="781">
        <f t="shared" si="76"/>
        <v>0</v>
      </c>
      <c r="AK124" s="781">
        <f t="shared" si="61"/>
        <v>0</v>
      </c>
      <c r="AL124" s="781">
        <f t="shared" si="77"/>
        <v>0</v>
      </c>
      <c r="AM124" s="781">
        <f t="shared" si="78"/>
        <v>0</v>
      </c>
      <c r="AN124" s="781">
        <f t="shared" si="64"/>
        <v>0</v>
      </c>
      <c r="AO124" s="781">
        <f t="shared" si="79"/>
        <v>0</v>
      </c>
      <c r="AP124" s="781">
        <f t="shared" si="80"/>
        <v>0</v>
      </c>
      <c r="AQ124" s="781">
        <f t="shared" si="67"/>
        <v>0</v>
      </c>
      <c r="AR124" s="781">
        <f t="shared" si="81"/>
        <v>0</v>
      </c>
      <c r="AS124" s="783">
        <f t="shared" si="69"/>
        <v>0</v>
      </c>
    </row>
    <row r="125" spans="1:45" ht="15" x14ac:dyDescent="0.25">
      <c r="A125" s="768"/>
      <c r="B125" s="719">
        <f t="shared" si="70"/>
        <v>117</v>
      </c>
      <c r="C125" s="170" t="str">
        <f t="shared" si="50"/>
        <v/>
      </c>
      <c r="D125" s="557"/>
      <c r="E125" s="170"/>
      <c r="F125" s="2078"/>
      <c r="G125" s="1862"/>
      <c r="H125" s="1926"/>
      <c r="I125" s="2008"/>
      <c r="J125" s="1926"/>
      <c r="K125" s="1926"/>
      <c r="L125" s="170"/>
      <c r="M125" s="2009">
        <v>0</v>
      </c>
      <c r="N125" s="2010">
        <v>1</v>
      </c>
      <c r="O125" s="773">
        <f t="shared" si="51"/>
        <v>0</v>
      </c>
      <c r="P125" s="2008" t="s">
        <v>39</v>
      </c>
      <c r="Q125" s="2008" t="s">
        <v>604</v>
      </c>
      <c r="R125" s="2011" t="s">
        <v>74</v>
      </c>
      <c r="S125" s="775">
        <f>SUMIF('Data Input sheet'!$B$118:$B$180,R125,'Data Input sheet'!$D$118:$D$180)</f>
        <v>152</v>
      </c>
      <c r="T125" s="2685">
        <f t="shared" si="52"/>
        <v>0</v>
      </c>
      <c r="U125" s="2013">
        <v>0</v>
      </c>
      <c r="V125" s="778">
        <f t="shared" si="71"/>
        <v>0</v>
      </c>
      <c r="W125" s="2010"/>
      <c r="X125" s="779"/>
      <c r="Y125" s="2012">
        <v>0</v>
      </c>
      <c r="Z125" s="780">
        <f t="shared" si="53"/>
        <v>0</v>
      </c>
      <c r="AA125" s="2007"/>
      <c r="AB125" s="2007"/>
      <c r="AC125" s="765"/>
      <c r="AD125" s="781">
        <f t="shared" si="72"/>
        <v>0</v>
      </c>
      <c r="AE125" s="781">
        <f t="shared" si="55"/>
        <v>0</v>
      </c>
      <c r="AF125" s="781">
        <f t="shared" si="73"/>
        <v>0</v>
      </c>
      <c r="AG125" s="781">
        <f t="shared" si="74"/>
        <v>0</v>
      </c>
      <c r="AH125" s="781">
        <f t="shared" si="58"/>
        <v>0</v>
      </c>
      <c r="AI125" s="782">
        <f t="shared" si="75"/>
        <v>0</v>
      </c>
      <c r="AJ125" s="781">
        <f t="shared" si="76"/>
        <v>0</v>
      </c>
      <c r="AK125" s="781">
        <f t="shared" si="61"/>
        <v>0</v>
      </c>
      <c r="AL125" s="781">
        <f t="shared" si="77"/>
        <v>0</v>
      </c>
      <c r="AM125" s="781">
        <f t="shared" si="78"/>
        <v>0</v>
      </c>
      <c r="AN125" s="781">
        <f t="shared" si="64"/>
        <v>0</v>
      </c>
      <c r="AO125" s="781">
        <f t="shared" si="79"/>
        <v>0</v>
      </c>
      <c r="AP125" s="781">
        <f t="shared" si="80"/>
        <v>0</v>
      </c>
      <c r="AQ125" s="781">
        <f t="shared" si="67"/>
        <v>0</v>
      </c>
      <c r="AR125" s="781">
        <f t="shared" si="81"/>
        <v>0</v>
      </c>
      <c r="AS125" s="783">
        <f t="shared" si="69"/>
        <v>0</v>
      </c>
    </row>
    <row r="126" spans="1:45" ht="15" x14ac:dyDescent="0.25">
      <c r="A126" s="768"/>
      <c r="B126" s="719">
        <f t="shared" si="70"/>
        <v>118</v>
      </c>
      <c r="C126" s="170" t="str">
        <f t="shared" si="50"/>
        <v/>
      </c>
      <c r="D126" s="557"/>
      <c r="E126" s="170"/>
      <c r="F126" s="2078"/>
      <c r="G126" s="1862"/>
      <c r="H126" s="1926"/>
      <c r="I126" s="2008"/>
      <c r="J126" s="1926"/>
      <c r="K126" s="1926"/>
      <c r="L126" s="170"/>
      <c r="M126" s="2009">
        <v>0</v>
      </c>
      <c r="N126" s="2010">
        <v>1</v>
      </c>
      <c r="O126" s="773">
        <f t="shared" si="51"/>
        <v>0</v>
      </c>
      <c r="P126" s="2008" t="s">
        <v>39</v>
      </c>
      <c r="Q126" s="2008" t="s">
        <v>604</v>
      </c>
      <c r="R126" s="2011" t="s">
        <v>74</v>
      </c>
      <c r="S126" s="775">
        <f>SUMIF('Data Input sheet'!$B$118:$B$180,R126,'Data Input sheet'!$D$118:$D$180)</f>
        <v>152</v>
      </c>
      <c r="T126" s="2685">
        <f t="shared" si="52"/>
        <v>0</v>
      </c>
      <c r="U126" s="2013">
        <v>0</v>
      </c>
      <c r="V126" s="778">
        <f t="shared" si="71"/>
        <v>0</v>
      </c>
      <c r="W126" s="2010"/>
      <c r="X126" s="779"/>
      <c r="Y126" s="2012">
        <v>0</v>
      </c>
      <c r="Z126" s="780">
        <f t="shared" si="53"/>
        <v>0</v>
      </c>
      <c r="AA126" s="2007"/>
      <c r="AB126" s="2007"/>
      <c r="AC126" s="765"/>
      <c r="AD126" s="781">
        <f t="shared" si="72"/>
        <v>0</v>
      </c>
      <c r="AE126" s="781">
        <f t="shared" si="55"/>
        <v>0</v>
      </c>
      <c r="AF126" s="781">
        <f t="shared" si="73"/>
        <v>0</v>
      </c>
      <c r="AG126" s="781">
        <f t="shared" si="74"/>
        <v>0</v>
      </c>
      <c r="AH126" s="781">
        <f t="shared" si="58"/>
        <v>0</v>
      </c>
      <c r="AI126" s="782">
        <f t="shared" si="75"/>
        <v>0</v>
      </c>
      <c r="AJ126" s="781">
        <f t="shared" si="76"/>
        <v>0</v>
      </c>
      <c r="AK126" s="781">
        <f t="shared" si="61"/>
        <v>0</v>
      </c>
      <c r="AL126" s="781">
        <f t="shared" si="77"/>
        <v>0</v>
      </c>
      <c r="AM126" s="781">
        <f t="shared" si="78"/>
        <v>0</v>
      </c>
      <c r="AN126" s="781">
        <f t="shared" si="64"/>
        <v>0</v>
      </c>
      <c r="AO126" s="781">
        <f t="shared" si="79"/>
        <v>0</v>
      </c>
      <c r="AP126" s="781">
        <f t="shared" si="80"/>
        <v>0</v>
      </c>
      <c r="AQ126" s="781">
        <f t="shared" si="67"/>
        <v>0</v>
      </c>
      <c r="AR126" s="781">
        <f t="shared" si="81"/>
        <v>0</v>
      </c>
      <c r="AS126" s="783">
        <f t="shared" si="69"/>
        <v>0</v>
      </c>
    </row>
    <row r="127" spans="1:45" ht="15" x14ac:dyDescent="0.25">
      <c r="A127" s="768"/>
      <c r="B127" s="719">
        <f t="shared" si="70"/>
        <v>119</v>
      </c>
      <c r="C127" s="170" t="str">
        <f t="shared" si="50"/>
        <v/>
      </c>
      <c r="D127" s="557"/>
      <c r="E127" s="170"/>
      <c r="F127" s="2078"/>
      <c r="G127" s="1862"/>
      <c r="H127" s="1926"/>
      <c r="I127" s="2008"/>
      <c r="J127" s="1926"/>
      <c r="K127" s="1926"/>
      <c r="L127" s="170"/>
      <c r="M127" s="2009">
        <v>0</v>
      </c>
      <c r="N127" s="2010">
        <v>1</v>
      </c>
      <c r="O127" s="773">
        <f t="shared" si="51"/>
        <v>0</v>
      </c>
      <c r="P127" s="2008" t="s">
        <v>39</v>
      </c>
      <c r="Q127" s="2008" t="s">
        <v>604</v>
      </c>
      <c r="R127" s="2011" t="s">
        <v>74</v>
      </c>
      <c r="S127" s="775">
        <f>SUMIF('Data Input sheet'!$B$118:$B$180,R127,'Data Input sheet'!$D$118:$D$180)</f>
        <v>152</v>
      </c>
      <c r="T127" s="2685">
        <f t="shared" si="52"/>
        <v>0</v>
      </c>
      <c r="U127" s="2013">
        <v>0</v>
      </c>
      <c r="V127" s="778">
        <f t="shared" si="71"/>
        <v>0</v>
      </c>
      <c r="W127" s="2010"/>
      <c r="X127" s="779"/>
      <c r="Y127" s="2012">
        <v>0</v>
      </c>
      <c r="Z127" s="780">
        <f t="shared" si="53"/>
        <v>0</v>
      </c>
      <c r="AA127" s="2007"/>
      <c r="AB127" s="2007"/>
      <c r="AC127" s="765"/>
      <c r="AD127" s="781">
        <f t="shared" si="72"/>
        <v>0</v>
      </c>
      <c r="AE127" s="781">
        <f t="shared" si="55"/>
        <v>0</v>
      </c>
      <c r="AF127" s="781">
        <f t="shared" si="73"/>
        <v>0</v>
      </c>
      <c r="AG127" s="781">
        <f t="shared" si="74"/>
        <v>0</v>
      </c>
      <c r="AH127" s="781">
        <f t="shared" si="58"/>
        <v>0</v>
      </c>
      <c r="AI127" s="782">
        <f t="shared" si="75"/>
        <v>0</v>
      </c>
      <c r="AJ127" s="781">
        <f t="shared" si="76"/>
        <v>0</v>
      </c>
      <c r="AK127" s="781">
        <f t="shared" si="61"/>
        <v>0</v>
      </c>
      <c r="AL127" s="781">
        <f t="shared" si="77"/>
        <v>0</v>
      </c>
      <c r="AM127" s="781">
        <f t="shared" si="78"/>
        <v>0</v>
      </c>
      <c r="AN127" s="781">
        <f t="shared" si="64"/>
        <v>0</v>
      </c>
      <c r="AO127" s="781">
        <f t="shared" si="79"/>
        <v>0</v>
      </c>
      <c r="AP127" s="781">
        <f t="shared" si="80"/>
        <v>0</v>
      </c>
      <c r="AQ127" s="781">
        <f t="shared" si="67"/>
        <v>0</v>
      </c>
      <c r="AR127" s="781">
        <f t="shared" si="81"/>
        <v>0</v>
      </c>
      <c r="AS127" s="783">
        <f t="shared" si="69"/>
        <v>0</v>
      </c>
    </row>
    <row r="128" spans="1:45" ht="15" x14ac:dyDescent="0.25">
      <c r="A128" s="768"/>
      <c r="B128" s="719">
        <f t="shared" si="70"/>
        <v>120</v>
      </c>
      <c r="C128" s="170" t="str">
        <f t="shared" si="50"/>
        <v/>
      </c>
      <c r="D128" s="557"/>
      <c r="E128" s="170"/>
      <c r="F128" s="2078"/>
      <c r="G128" s="1862"/>
      <c r="H128" s="1926"/>
      <c r="I128" s="2008"/>
      <c r="J128" s="1926"/>
      <c r="K128" s="1926"/>
      <c r="L128" s="170"/>
      <c r="M128" s="2009">
        <v>0</v>
      </c>
      <c r="N128" s="2010">
        <v>1</v>
      </c>
      <c r="O128" s="773">
        <f t="shared" si="51"/>
        <v>0</v>
      </c>
      <c r="P128" s="2008" t="s">
        <v>39</v>
      </c>
      <c r="Q128" s="2008" t="s">
        <v>604</v>
      </c>
      <c r="R128" s="2011" t="s">
        <v>74</v>
      </c>
      <c r="S128" s="775">
        <f>SUMIF('Data Input sheet'!$B$118:$B$180,R128,'Data Input sheet'!$D$118:$D$180)</f>
        <v>152</v>
      </c>
      <c r="T128" s="2685">
        <f t="shared" si="52"/>
        <v>0</v>
      </c>
      <c r="U128" s="2013">
        <v>0</v>
      </c>
      <c r="V128" s="778">
        <f t="shared" si="71"/>
        <v>0</v>
      </c>
      <c r="W128" s="2010"/>
      <c r="X128" s="779"/>
      <c r="Y128" s="2012">
        <v>0</v>
      </c>
      <c r="Z128" s="780">
        <f t="shared" si="53"/>
        <v>0</v>
      </c>
      <c r="AA128" s="2007"/>
      <c r="AB128" s="2007"/>
      <c r="AC128" s="765"/>
      <c r="AD128" s="781">
        <f t="shared" si="72"/>
        <v>0</v>
      </c>
      <c r="AE128" s="781">
        <f t="shared" si="55"/>
        <v>0</v>
      </c>
      <c r="AF128" s="781">
        <f t="shared" si="73"/>
        <v>0</v>
      </c>
      <c r="AG128" s="781">
        <f t="shared" si="74"/>
        <v>0</v>
      </c>
      <c r="AH128" s="781">
        <f t="shared" si="58"/>
        <v>0</v>
      </c>
      <c r="AI128" s="782">
        <f t="shared" si="75"/>
        <v>0</v>
      </c>
      <c r="AJ128" s="781">
        <f t="shared" si="76"/>
        <v>0</v>
      </c>
      <c r="AK128" s="781">
        <f t="shared" si="61"/>
        <v>0</v>
      </c>
      <c r="AL128" s="781">
        <f t="shared" si="77"/>
        <v>0</v>
      </c>
      <c r="AM128" s="781">
        <f t="shared" si="78"/>
        <v>0</v>
      </c>
      <c r="AN128" s="781">
        <f t="shared" si="64"/>
        <v>0</v>
      </c>
      <c r="AO128" s="781">
        <f t="shared" si="79"/>
        <v>0</v>
      </c>
      <c r="AP128" s="781">
        <f t="shared" si="80"/>
        <v>0</v>
      </c>
      <c r="AQ128" s="781">
        <f t="shared" si="67"/>
        <v>0</v>
      </c>
      <c r="AR128" s="781">
        <f t="shared" si="81"/>
        <v>0</v>
      </c>
      <c r="AS128" s="783">
        <f t="shared" si="69"/>
        <v>0</v>
      </c>
    </row>
    <row r="129" spans="1:45" ht="15" x14ac:dyDescent="0.25">
      <c r="A129" s="768"/>
      <c r="B129" s="719">
        <f t="shared" si="70"/>
        <v>121</v>
      </c>
      <c r="C129" s="170" t="str">
        <f t="shared" si="50"/>
        <v/>
      </c>
      <c r="D129" s="557"/>
      <c r="E129" s="170"/>
      <c r="F129" s="2078"/>
      <c r="G129" s="1862"/>
      <c r="H129" s="1926"/>
      <c r="I129" s="2008"/>
      <c r="J129" s="1926"/>
      <c r="K129" s="1926"/>
      <c r="L129" s="170"/>
      <c r="M129" s="2009">
        <v>0</v>
      </c>
      <c r="N129" s="2010">
        <v>1</v>
      </c>
      <c r="O129" s="773">
        <f t="shared" si="51"/>
        <v>0</v>
      </c>
      <c r="P129" s="2008" t="s">
        <v>39</v>
      </c>
      <c r="Q129" s="2008" t="s">
        <v>604</v>
      </c>
      <c r="R129" s="2011" t="s">
        <v>74</v>
      </c>
      <c r="S129" s="775">
        <f>SUMIF('Data Input sheet'!$B$118:$B$180,R129,'Data Input sheet'!$D$118:$D$180)</f>
        <v>152</v>
      </c>
      <c r="T129" s="2685">
        <f t="shared" si="52"/>
        <v>0</v>
      </c>
      <c r="U129" s="2013">
        <v>0</v>
      </c>
      <c r="V129" s="778">
        <f t="shared" si="71"/>
        <v>0</v>
      </c>
      <c r="W129" s="2010"/>
      <c r="X129" s="779"/>
      <c r="Y129" s="2012">
        <v>0</v>
      </c>
      <c r="Z129" s="780">
        <f t="shared" si="53"/>
        <v>0</v>
      </c>
      <c r="AA129" s="2007"/>
      <c r="AB129" s="2007"/>
      <c r="AC129" s="765"/>
      <c r="AD129" s="781">
        <f t="shared" si="72"/>
        <v>0</v>
      </c>
      <c r="AE129" s="781">
        <f t="shared" si="55"/>
        <v>0</v>
      </c>
      <c r="AF129" s="781">
        <f t="shared" si="73"/>
        <v>0</v>
      </c>
      <c r="AG129" s="781">
        <f t="shared" si="74"/>
        <v>0</v>
      </c>
      <c r="AH129" s="781">
        <f t="shared" si="58"/>
        <v>0</v>
      </c>
      <c r="AI129" s="782">
        <f t="shared" si="75"/>
        <v>0</v>
      </c>
      <c r="AJ129" s="781">
        <f t="shared" si="76"/>
        <v>0</v>
      </c>
      <c r="AK129" s="781">
        <f t="shared" si="61"/>
        <v>0</v>
      </c>
      <c r="AL129" s="781">
        <f t="shared" si="77"/>
        <v>0</v>
      </c>
      <c r="AM129" s="781">
        <f t="shared" si="78"/>
        <v>0</v>
      </c>
      <c r="AN129" s="781">
        <f t="shared" si="64"/>
        <v>0</v>
      </c>
      <c r="AO129" s="781">
        <f t="shared" si="79"/>
        <v>0</v>
      </c>
      <c r="AP129" s="781">
        <f t="shared" si="80"/>
        <v>0</v>
      </c>
      <c r="AQ129" s="781">
        <f t="shared" si="67"/>
        <v>0</v>
      </c>
      <c r="AR129" s="781">
        <f t="shared" si="81"/>
        <v>0</v>
      </c>
      <c r="AS129" s="783">
        <f t="shared" si="69"/>
        <v>0</v>
      </c>
    </row>
    <row r="130" spans="1:45" ht="15" x14ac:dyDescent="0.25">
      <c r="A130" s="768"/>
      <c r="B130" s="719">
        <f t="shared" si="70"/>
        <v>122</v>
      </c>
      <c r="C130" s="170" t="str">
        <f t="shared" si="50"/>
        <v/>
      </c>
      <c r="D130" s="557"/>
      <c r="E130" s="170"/>
      <c r="F130" s="2078"/>
      <c r="G130" s="1862"/>
      <c r="H130" s="1926"/>
      <c r="I130" s="2008"/>
      <c r="J130" s="1926"/>
      <c r="K130" s="1926"/>
      <c r="L130" s="170"/>
      <c r="M130" s="2009">
        <v>0</v>
      </c>
      <c r="N130" s="2010">
        <v>1</v>
      </c>
      <c r="O130" s="773">
        <f t="shared" si="51"/>
        <v>0</v>
      </c>
      <c r="P130" s="2008" t="s">
        <v>39</v>
      </c>
      <c r="Q130" s="2008" t="s">
        <v>604</v>
      </c>
      <c r="R130" s="2011" t="s">
        <v>74</v>
      </c>
      <c r="S130" s="775">
        <f>SUMIF('Data Input sheet'!$B$118:$B$180,R130,'Data Input sheet'!$D$118:$D$180)</f>
        <v>152</v>
      </c>
      <c r="T130" s="2685">
        <f t="shared" si="52"/>
        <v>0</v>
      </c>
      <c r="U130" s="2013">
        <v>0</v>
      </c>
      <c r="V130" s="778">
        <f t="shared" si="71"/>
        <v>0</v>
      </c>
      <c r="W130" s="2010"/>
      <c r="X130" s="779"/>
      <c r="Y130" s="2012">
        <v>0</v>
      </c>
      <c r="Z130" s="780">
        <f t="shared" si="53"/>
        <v>0</v>
      </c>
      <c r="AA130" s="2007"/>
      <c r="AB130" s="2007"/>
      <c r="AC130" s="765"/>
      <c r="AD130" s="781">
        <f t="shared" si="72"/>
        <v>0</v>
      </c>
      <c r="AE130" s="781">
        <f t="shared" si="55"/>
        <v>0</v>
      </c>
      <c r="AF130" s="781">
        <f t="shared" si="73"/>
        <v>0</v>
      </c>
      <c r="AG130" s="781">
        <f t="shared" si="74"/>
        <v>0</v>
      </c>
      <c r="AH130" s="781">
        <f t="shared" si="58"/>
        <v>0</v>
      </c>
      <c r="AI130" s="782">
        <f t="shared" si="75"/>
        <v>0</v>
      </c>
      <c r="AJ130" s="781">
        <f t="shared" si="76"/>
        <v>0</v>
      </c>
      <c r="AK130" s="781">
        <f t="shared" si="61"/>
        <v>0</v>
      </c>
      <c r="AL130" s="781">
        <f t="shared" si="77"/>
        <v>0</v>
      </c>
      <c r="AM130" s="781">
        <f t="shared" si="78"/>
        <v>0</v>
      </c>
      <c r="AN130" s="781">
        <f t="shared" si="64"/>
        <v>0</v>
      </c>
      <c r="AO130" s="781">
        <f t="shared" si="79"/>
        <v>0</v>
      </c>
      <c r="AP130" s="781">
        <f t="shared" si="80"/>
        <v>0</v>
      </c>
      <c r="AQ130" s="781">
        <f t="shared" si="67"/>
        <v>0</v>
      </c>
      <c r="AR130" s="781">
        <f t="shared" si="81"/>
        <v>0</v>
      </c>
      <c r="AS130" s="783">
        <f t="shared" si="69"/>
        <v>0</v>
      </c>
    </row>
    <row r="131" spans="1:45" ht="15" x14ac:dyDescent="0.25">
      <c r="A131" s="768"/>
      <c r="B131" s="719">
        <f t="shared" si="70"/>
        <v>123</v>
      </c>
      <c r="C131" s="170" t="str">
        <f t="shared" si="50"/>
        <v/>
      </c>
      <c r="D131" s="557"/>
      <c r="E131" s="170"/>
      <c r="F131" s="2078"/>
      <c r="G131" s="1862"/>
      <c r="H131" s="1926"/>
      <c r="I131" s="2008"/>
      <c r="J131" s="1926"/>
      <c r="K131" s="1926"/>
      <c r="L131" s="170"/>
      <c r="M131" s="2009">
        <v>0</v>
      </c>
      <c r="N131" s="2010">
        <v>1</v>
      </c>
      <c r="O131" s="773">
        <f t="shared" si="51"/>
        <v>0</v>
      </c>
      <c r="P131" s="2008" t="s">
        <v>39</v>
      </c>
      <c r="Q131" s="2008" t="s">
        <v>604</v>
      </c>
      <c r="R131" s="2011" t="s">
        <v>74</v>
      </c>
      <c r="S131" s="775">
        <f>SUMIF('Data Input sheet'!$B$118:$B$180,R131,'Data Input sheet'!$D$118:$D$180)</f>
        <v>152</v>
      </c>
      <c r="T131" s="2685">
        <f t="shared" si="52"/>
        <v>0</v>
      </c>
      <c r="U131" s="2013">
        <v>0</v>
      </c>
      <c r="V131" s="778">
        <f t="shared" si="71"/>
        <v>0</v>
      </c>
      <c r="W131" s="2010"/>
      <c r="X131" s="779"/>
      <c r="Y131" s="2012">
        <v>0</v>
      </c>
      <c r="Z131" s="780">
        <f t="shared" si="53"/>
        <v>0</v>
      </c>
      <c r="AA131" s="2007"/>
      <c r="AB131" s="2007"/>
      <c r="AC131" s="765"/>
      <c r="AD131" s="781">
        <f t="shared" si="72"/>
        <v>0</v>
      </c>
      <c r="AE131" s="781">
        <f t="shared" si="55"/>
        <v>0</v>
      </c>
      <c r="AF131" s="781">
        <f t="shared" si="73"/>
        <v>0</v>
      </c>
      <c r="AG131" s="781">
        <f t="shared" si="74"/>
        <v>0</v>
      </c>
      <c r="AH131" s="781">
        <f t="shared" si="58"/>
        <v>0</v>
      </c>
      <c r="AI131" s="782">
        <f t="shared" si="75"/>
        <v>0</v>
      </c>
      <c r="AJ131" s="781">
        <f t="shared" si="76"/>
        <v>0</v>
      </c>
      <c r="AK131" s="781">
        <f t="shared" si="61"/>
        <v>0</v>
      </c>
      <c r="AL131" s="781">
        <f t="shared" si="77"/>
        <v>0</v>
      </c>
      <c r="AM131" s="781">
        <f t="shared" si="78"/>
        <v>0</v>
      </c>
      <c r="AN131" s="781">
        <f t="shared" si="64"/>
        <v>0</v>
      </c>
      <c r="AO131" s="781">
        <f t="shared" si="79"/>
        <v>0</v>
      </c>
      <c r="AP131" s="781">
        <f t="shared" si="80"/>
        <v>0</v>
      </c>
      <c r="AQ131" s="781">
        <f t="shared" si="67"/>
        <v>0</v>
      </c>
      <c r="AR131" s="781">
        <f t="shared" si="81"/>
        <v>0</v>
      </c>
      <c r="AS131" s="783">
        <f t="shared" si="69"/>
        <v>0</v>
      </c>
    </row>
    <row r="132" spans="1:45" ht="15" x14ac:dyDescent="0.25">
      <c r="A132" s="784"/>
      <c r="B132" s="719">
        <f t="shared" si="70"/>
        <v>124</v>
      </c>
      <c r="C132" s="170" t="str">
        <f t="shared" si="50"/>
        <v/>
      </c>
      <c r="D132" s="557"/>
      <c r="E132" s="170"/>
      <c r="F132" s="2078"/>
      <c r="G132" s="1862"/>
      <c r="H132" s="1926"/>
      <c r="I132" s="2008"/>
      <c r="J132" s="1926"/>
      <c r="K132" s="1926"/>
      <c r="L132" s="170"/>
      <c r="M132" s="2009">
        <v>0</v>
      </c>
      <c r="N132" s="2010">
        <v>1</v>
      </c>
      <c r="O132" s="773">
        <f t="shared" si="51"/>
        <v>0</v>
      </c>
      <c r="P132" s="2008" t="s">
        <v>39</v>
      </c>
      <c r="Q132" s="2008" t="s">
        <v>604</v>
      </c>
      <c r="R132" s="2011" t="s">
        <v>74</v>
      </c>
      <c r="S132" s="775">
        <f>SUMIF('Data Input sheet'!$B$118:$B$180,R132,'Data Input sheet'!$D$118:$D$180)</f>
        <v>152</v>
      </c>
      <c r="T132" s="2685">
        <f t="shared" si="52"/>
        <v>0</v>
      </c>
      <c r="U132" s="2013">
        <v>0</v>
      </c>
      <c r="V132" s="778">
        <f t="shared" si="71"/>
        <v>0</v>
      </c>
      <c r="W132" s="2010"/>
      <c r="X132" s="779"/>
      <c r="Y132" s="2012">
        <v>0</v>
      </c>
      <c r="Z132" s="780">
        <f t="shared" si="53"/>
        <v>0</v>
      </c>
      <c r="AA132" s="2007"/>
      <c r="AB132" s="2007"/>
      <c r="AC132" s="765"/>
      <c r="AD132" s="781">
        <f t="shared" si="72"/>
        <v>0</v>
      </c>
      <c r="AE132" s="781">
        <f t="shared" si="55"/>
        <v>0</v>
      </c>
      <c r="AF132" s="781">
        <f t="shared" si="73"/>
        <v>0</v>
      </c>
      <c r="AG132" s="781">
        <f t="shared" si="74"/>
        <v>0</v>
      </c>
      <c r="AH132" s="781">
        <f t="shared" si="58"/>
        <v>0</v>
      </c>
      <c r="AI132" s="782">
        <f t="shared" si="75"/>
        <v>0</v>
      </c>
      <c r="AJ132" s="781">
        <f t="shared" si="76"/>
        <v>0</v>
      </c>
      <c r="AK132" s="781">
        <f t="shared" si="61"/>
        <v>0</v>
      </c>
      <c r="AL132" s="781">
        <f t="shared" si="77"/>
        <v>0</v>
      </c>
      <c r="AM132" s="781">
        <f t="shared" si="78"/>
        <v>0</v>
      </c>
      <c r="AN132" s="781">
        <f t="shared" si="64"/>
        <v>0</v>
      </c>
      <c r="AO132" s="781">
        <f t="shared" si="79"/>
        <v>0</v>
      </c>
      <c r="AP132" s="781">
        <f t="shared" si="80"/>
        <v>0</v>
      </c>
      <c r="AQ132" s="781">
        <f t="shared" si="67"/>
        <v>0</v>
      </c>
      <c r="AR132" s="781">
        <f t="shared" si="81"/>
        <v>0</v>
      </c>
      <c r="AS132" s="783">
        <f t="shared" si="69"/>
        <v>0</v>
      </c>
    </row>
    <row r="133" spans="1:45" ht="15" x14ac:dyDescent="0.25">
      <c r="A133" s="784"/>
      <c r="B133" s="719">
        <f t="shared" si="70"/>
        <v>125</v>
      </c>
      <c r="C133" s="170" t="str">
        <f t="shared" si="50"/>
        <v/>
      </c>
      <c r="D133" s="557"/>
      <c r="E133" s="170"/>
      <c r="F133" s="2078"/>
      <c r="G133" s="1862"/>
      <c r="H133" s="1926"/>
      <c r="I133" s="2008"/>
      <c r="J133" s="1926"/>
      <c r="K133" s="1926"/>
      <c r="L133" s="170"/>
      <c r="M133" s="2009">
        <v>0</v>
      </c>
      <c r="N133" s="2010">
        <v>1</v>
      </c>
      <c r="O133" s="773">
        <f t="shared" si="51"/>
        <v>0</v>
      </c>
      <c r="P133" s="2008" t="s">
        <v>39</v>
      </c>
      <c r="Q133" s="2008" t="s">
        <v>604</v>
      </c>
      <c r="R133" s="2011" t="s">
        <v>74</v>
      </c>
      <c r="S133" s="775">
        <f>SUMIF('Data Input sheet'!$B$118:$B$180,R133,'Data Input sheet'!$D$118:$D$180)</f>
        <v>152</v>
      </c>
      <c r="T133" s="2685">
        <f t="shared" si="52"/>
        <v>0</v>
      </c>
      <c r="U133" s="2013">
        <v>0</v>
      </c>
      <c r="V133" s="778">
        <f t="shared" si="71"/>
        <v>0</v>
      </c>
      <c r="W133" s="2010"/>
      <c r="X133" s="779"/>
      <c r="Y133" s="2012">
        <v>0</v>
      </c>
      <c r="Z133" s="780">
        <f t="shared" si="53"/>
        <v>0</v>
      </c>
      <c r="AA133" s="2007"/>
      <c r="AB133" s="2007"/>
      <c r="AC133" s="765"/>
      <c r="AD133" s="781">
        <f t="shared" si="72"/>
        <v>0</v>
      </c>
      <c r="AE133" s="781">
        <f t="shared" si="55"/>
        <v>0</v>
      </c>
      <c r="AF133" s="781">
        <f t="shared" si="73"/>
        <v>0</v>
      </c>
      <c r="AG133" s="781">
        <f t="shared" si="74"/>
        <v>0</v>
      </c>
      <c r="AH133" s="781">
        <f t="shared" si="58"/>
        <v>0</v>
      </c>
      <c r="AI133" s="782">
        <f t="shared" si="75"/>
        <v>0</v>
      </c>
      <c r="AJ133" s="781">
        <f t="shared" si="76"/>
        <v>0</v>
      </c>
      <c r="AK133" s="781">
        <f t="shared" si="61"/>
        <v>0</v>
      </c>
      <c r="AL133" s="781">
        <f t="shared" si="77"/>
        <v>0</v>
      </c>
      <c r="AM133" s="781">
        <f t="shared" si="78"/>
        <v>0</v>
      </c>
      <c r="AN133" s="781">
        <f t="shared" si="64"/>
        <v>0</v>
      </c>
      <c r="AO133" s="781">
        <f t="shared" si="79"/>
        <v>0</v>
      </c>
      <c r="AP133" s="781">
        <f t="shared" si="80"/>
        <v>0</v>
      </c>
      <c r="AQ133" s="781">
        <f t="shared" si="67"/>
        <v>0</v>
      </c>
      <c r="AR133" s="781">
        <f t="shared" si="81"/>
        <v>0</v>
      </c>
      <c r="AS133" s="783">
        <f t="shared" si="69"/>
        <v>0</v>
      </c>
    </row>
    <row r="134" spans="1:45" ht="15" x14ac:dyDescent="0.25">
      <c r="A134" s="784"/>
      <c r="B134" s="719">
        <f t="shared" si="70"/>
        <v>126</v>
      </c>
      <c r="C134" s="170" t="str">
        <f t="shared" si="50"/>
        <v/>
      </c>
      <c r="D134" s="557"/>
      <c r="E134" s="170"/>
      <c r="F134" s="2078"/>
      <c r="G134" s="1862"/>
      <c r="H134" s="1926"/>
      <c r="I134" s="2008"/>
      <c r="J134" s="1926"/>
      <c r="K134" s="1926"/>
      <c r="L134" s="170"/>
      <c r="M134" s="2009">
        <v>0</v>
      </c>
      <c r="N134" s="2010">
        <v>1</v>
      </c>
      <c r="O134" s="773">
        <f t="shared" si="51"/>
        <v>0</v>
      </c>
      <c r="P134" s="2008" t="s">
        <v>39</v>
      </c>
      <c r="Q134" s="2008" t="s">
        <v>604</v>
      </c>
      <c r="R134" s="2011" t="s">
        <v>74</v>
      </c>
      <c r="S134" s="775">
        <f>SUMIF('Data Input sheet'!$B$118:$B$180,R134,'Data Input sheet'!$D$118:$D$180)</f>
        <v>152</v>
      </c>
      <c r="T134" s="2685">
        <f t="shared" si="52"/>
        <v>0</v>
      </c>
      <c r="U134" s="2013">
        <v>0</v>
      </c>
      <c r="V134" s="778">
        <f t="shared" si="71"/>
        <v>0</v>
      </c>
      <c r="W134" s="2010"/>
      <c r="X134" s="779"/>
      <c r="Y134" s="2012">
        <v>0</v>
      </c>
      <c r="Z134" s="780">
        <f t="shared" si="53"/>
        <v>0</v>
      </c>
      <c r="AA134" s="2007"/>
      <c r="AB134" s="2007"/>
      <c r="AC134" s="765"/>
      <c r="AD134" s="781">
        <f t="shared" si="72"/>
        <v>0</v>
      </c>
      <c r="AE134" s="781">
        <f t="shared" si="55"/>
        <v>0</v>
      </c>
      <c r="AF134" s="781">
        <f t="shared" si="73"/>
        <v>0</v>
      </c>
      <c r="AG134" s="781">
        <f t="shared" si="74"/>
        <v>0</v>
      </c>
      <c r="AH134" s="781">
        <f t="shared" si="58"/>
        <v>0</v>
      </c>
      <c r="AI134" s="782">
        <f t="shared" si="75"/>
        <v>0</v>
      </c>
      <c r="AJ134" s="781">
        <f t="shared" si="76"/>
        <v>0</v>
      </c>
      <c r="AK134" s="781">
        <f t="shared" si="61"/>
        <v>0</v>
      </c>
      <c r="AL134" s="781">
        <f t="shared" si="77"/>
        <v>0</v>
      </c>
      <c r="AM134" s="781">
        <f t="shared" si="78"/>
        <v>0</v>
      </c>
      <c r="AN134" s="781">
        <f t="shared" si="64"/>
        <v>0</v>
      </c>
      <c r="AO134" s="781">
        <f t="shared" si="79"/>
        <v>0</v>
      </c>
      <c r="AP134" s="781">
        <f t="shared" si="80"/>
        <v>0</v>
      </c>
      <c r="AQ134" s="781">
        <f t="shared" si="67"/>
        <v>0</v>
      </c>
      <c r="AR134" s="781">
        <f t="shared" si="81"/>
        <v>0</v>
      </c>
      <c r="AS134" s="783">
        <f t="shared" si="69"/>
        <v>0</v>
      </c>
    </row>
    <row r="135" spans="1:45" ht="15" x14ac:dyDescent="0.25">
      <c r="A135" s="784"/>
      <c r="B135" s="719">
        <f t="shared" si="70"/>
        <v>127</v>
      </c>
      <c r="C135" s="170" t="str">
        <f t="shared" si="50"/>
        <v/>
      </c>
      <c r="D135" s="557"/>
      <c r="E135" s="170"/>
      <c r="F135" s="2078"/>
      <c r="G135" s="1862"/>
      <c r="H135" s="1926"/>
      <c r="I135" s="2008"/>
      <c r="J135" s="1926"/>
      <c r="K135" s="1926"/>
      <c r="L135" s="170"/>
      <c r="M135" s="2009">
        <v>0</v>
      </c>
      <c r="N135" s="2010">
        <v>1</v>
      </c>
      <c r="O135" s="773">
        <f t="shared" si="51"/>
        <v>0</v>
      </c>
      <c r="P135" s="2008" t="s">
        <v>39</v>
      </c>
      <c r="Q135" s="2008" t="s">
        <v>604</v>
      </c>
      <c r="R135" s="2011" t="s">
        <v>74</v>
      </c>
      <c r="S135" s="775">
        <f>SUMIF('Data Input sheet'!$B$118:$B$180,R135,'Data Input sheet'!$D$118:$D$180)</f>
        <v>152</v>
      </c>
      <c r="T135" s="2685">
        <f t="shared" si="52"/>
        <v>0</v>
      </c>
      <c r="U135" s="2013">
        <v>0</v>
      </c>
      <c r="V135" s="778">
        <f t="shared" si="71"/>
        <v>0</v>
      </c>
      <c r="W135" s="2010"/>
      <c r="X135" s="779"/>
      <c r="Y135" s="2012">
        <v>0</v>
      </c>
      <c r="Z135" s="780">
        <f t="shared" si="53"/>
        <v>0</v>
      </c>
      <c r="AA135" s="2007"/>
      <c r="AB135" s="2007"/>
      <c r="AC135" s="765"/>
      <c r="AD135" s="781">
        <f t="shared" si="72"/>
        <v>0</v>
      </c>
      <c r="AE135" s="781">
        <f t="shared" si="55"/>
        <v>0</v>
      </c>
      <c r="AF135" s="781">
        <f t="shared" si="73"/>
        <v>0</v>
      </c>
      <c r="AG135" s="781">
        <f t="shared" si="74"/>
        <v>0</v>
      </c>
      <c r="AH135" s="781">
        <f t="shared" si="58"/>
        <v>0</v>
      </c>
      <c r="AI135" s="782">
        <f t="shared" si="75"/>
        <v>0</v>
      </c>
      <c r="AJ135" s="781">
        <f t="shared" si="76"/>
        <v>0</v>
      </c>
      <c r="AK135" s="781">
        <f t="shared" si="61"/>
        <v>0</v>
      </c>
      <c r="AL135" s="781">
        <f t="shared" si="77"/>
        <v>0</v>
      </c>
      <c r="AM135" s="781">
        <f t="shared" si="78"/>
        <v>0</v>
      </c>
      <c r="AN135" s="781">
        <f t="shared" si="64"/>
        <v>0</v>
      </c>
      <c r="AO135" s="781">
        <f t="shared" si="79"/>
        <v>0</v>
      </c>
      <c r="AP135" s="781">
        <f t="shared" si="80"/>
        <v>0</v>
      </c>
      <c r="AQ135" s="781">
        <f t="shared" si="67"/>
        <v>0</v>
      </c>
      <c r="AR135" s="781">
        <f t="shared" si="81"/>
        <v>0</v>
      </c>
      <c r="AS135" s="783">
        <f t="shared" si="69"/>
        <v>0</v>
      </c>
    </row>
    <row r="136" spans="1:45" ht="15" x14ac:dyDescent="0.25">
      <c r="A136" s="784"/>
      <c r="B136" s="719">
        <f t="shared" si="70"/>
        <v>128</v>
      </c>
      <c r="C136" s="170" t="str">
        <f t="shared" si="50"/>
        <v/>
      </c>
      <c r="D136" s="557"/>
      <c r="E136" s="170"/>
      <c r="F136" s="2078"/>
      <c r="G136" s="1862"/>
      <c r="H136" s="1926"/>
      <c r="I136" s="2008"/>
      <c r="J136" s="1926"/>
      <c r="K136" s="1926"/>
      <c r="L136" s="170"/>
      <c r="M136" s="2009">
        <v>0</v>
      </c>
      <c r="N136" s="2010">
        <v>1</v>
      </c>
      <c r="O136" s="773">
        <f t="shared" si="51"/>
        <v>0</v>
      </c>
      <c r="P136" s="2008" t="s">
        <v>39</v>
      </c>
      <c r="Q136" s="2008" t="s">
        <v>604</v>
      </c>
      <c r="R136" s="2011" t="s">
        <v>74</v>
      </c>
      <c r="S136" s="775">
        <f>SUMIF('Data Input sheet'!$B$118:$B$180,R136,'Data Input sheet'!$D$118:$D$180)</f>
        <v>152</v>
      </c>
      <c r="T136" s="2685">
        <f t="shared" si="52"/>
        <v>0</v>
      </c>
      <c r="U136" s="2013">
        <v>0</v>
      </c>
      <c r="V136" s="778">
        <f t="shared" si="71"/>
        <v>0</v>
      </c>
      <c r="W136" s="2010"/>
      <c r="X136" s="779"/>
      <c r="Y136" s="2012">
        <v>0</v>
      </c>
      <c r="Z136" s="780">
        <f t="shared" si="53"/>
        <v>0</v>
      </c>
      <c r="AA136" s="2007"/>
      <c r="AB136" s="2007"/>
      <c r="AC136" s="765"/>
      <c r="AD136" s="781">
        <f t="shared" si="72"/>
        <v>0</v>
      </c>
      <c r="AE136" s="781">
        <f t="shared" si="55"/>
        <v>0</v>
      </c>
      <c r="AF136" s="781">
        <f t="shared" si="73"/>
        <v>0</v>
      </c>
      <c r="AG136" s="781">
        <f t="shared" si="74"/>
        <v>0</v>
      </c>
      <c r="AH136" s="781">
        <f t="shared" si="58"/>
        <v>0</v>
      </c>
      <c r="AI136" s="782">
        <f t="shared" si="75"/>
        <v>0</v>
      </c>
      <c r="AJ136" s="781">
        <f t="shared" si="76"/>
        <v>0</v>
      </c>
      <c r="AK136" s="781">
        <f t="shared" si="61"/>
        <v>0</v>
      </c>
      <c r="AL136" s="781">
        <f t="shared" si="77"/>
        <v>0</v>
      </c>
      <c r="AM136" s="781">
        <f t="shared" si="78"/>
        <v>0</v>
      </c>
      <c r="AN136" s="781">
        <f t="shared" si="64"/>
        <v>0</v>
      </c>
      <c r="AO136" s="781">
        <f t="shared" si="79"/>
        <v>0</v>
      </c>
      <c r="AP136" s="781">
        <f t="shared" si="80"/>
        <v>0</v>
      </c>
      <c r="AQ136" s="781">
        <f t="shared" si="67"/>
        <v>0</v>
      </c>
      <c r="AR136" s="781">
        <f t="shared" si="81"/>
        <v>0</v>
      </c>
      <c r="AS136" s="783">
        <f t="shared" si="69"/>
        <v>0</v>
      </c>
    </row>
    <row r="137" spans="1:45" ht="15" x14ac:dyDescent="0.25">
      <c r="A137" s="768"/>
      <c r="B137" s="719">
        <f t="shared" si="70"/>
        <v>129</v>
      </c>
      <c r="C137" s="170" t="str">
        <f t="shared" ref="C137:C152" si="82">+F137&amp;I137</f>
        <v/>
      </c>
      <c r="D137" s="557"/>
      <c r="E137" s="170"/>
      <c r="F137" s="2078"/>
      <c r="G137" s="1862"/>
      <c r="H137" s="1926"/>
      <c r="I137" s="2008"/>
      <c r="J137" s="1926"/>
      <c r="K137" s="1926"/>
      <c r="L137" s="170"/>
      <c r="M137" s="2009">
        <v>0</v>
      </c>
      <c r="N137" s="2010">
        <v>1</v>
      </c>
      <c r="O137" s="773">
        <f t="shared" ref="O137:O146" si="83">+M137*N137</f>
        <v>0</v>
      </c>
      <c r="P137" s="2008" t="s">
        <v>39</v>
      </c>
      <c r="Q137" s="2008" t="s">
        <v>604</v>
      </c>
      <c r="R137" s="2011" t="s">
        <v>74</v>
      </c>
      <c r="S137" s="775">
        <f>SUMIF('Data Input sheet'!$B$118:$B$180,R137,'Data Input sheet'!$D$118:$D$180)</f>
        <v>152</v>
      </c>
      <c r="T137" s="2685">
        <f t="shared" ref="T137:T146" si="84">ROUND(O137*S137,0)</f>
        <v>0</v>
      </c>
      <c r="U137" s="2013">
        <v>0</v>
      </c>
      <c r="V137" s="778">
        <f t="shared" si="71"/>
        <v>0</v>
      </c>
      <c r="W137" s="2010"/>
      <c r="X137" s="779"/>
      <c r="Y137" s="2012">
        <v>0</v>
      </c>
      <c r="Z137" s="780">
        <f t="shared" ref="Z137:Z146" si="85">T137+V137+W137+Y137</f>
        <v>0</v>
      </c>
      <c r="AA137" s="2007"/>
      <c r="AB137" s="2007"/>
      <c r="AC137" s="765"/>
      <c r="AD137" s="781">
        <f t="shared" ref="AD137:AD152" si="86">IF(P137="E",+ROUND(H137*O137,0),0)</f>
        <v>0</v>
      </c>
      <c r="AE137" s="781">
        <f t="shared" ref="AE137:AE152" si="87">+AF137-AD137</f>
        <v>0</v>
      </c>
      <c r="AF137" s="781">
        <f t="shared" ref="AF137:AF152" si="88">+H137*O137</f>
        <v>0</v>
      </c>
      <c r="AG137" s="781">
        <f t="shared" ref="AG137:AG152" si="89">IF(P137="E",+ROUND(T137*H137,0),0)</f>
        <v>0</v>
      </c>
      <c r="AH137" s="781">
        <f t="shared" ref="AH137:AH152" si="90">+AI137-AG137</f>
        <v>0</v>
      </c>
      <c r="AI137" s="782">
        <f t="shared" ref="AI137:AI152" si="91">+H137*T137</f>
        <v>0</v>
      </c>
      <c r="AJ137" s="781">
        <f t="shared" ref="AJ137:AJ152" si="92">IF(P137="E",+ROUND(V137*H137,0),0)</f>
        <v>0</v>
      </c>
      <c r="AK137" s="781">
        <f t="shared" ref="AK137:AK152" si="93">+AL137-AJ137</f>
        <v>0</v>
      </c>
      <c r="AL137" s="781">
        <f t="shared" ref="AL137:AL152" si="94">ROUND(V137*H137,0)</f>
        <v>0</v>
      </c>
      <c r="AM137" s="781">
        <f t="shared" ref="AM137:AM152" si="95">IF(Q137="E",+ROUND(W137*H137,0),0)</f>
        <v>0</v>
      </c>
      <c r="AN137" s="781">
        <f t="shared" ref="AN137:AN152" si="96">+AO137-AM137</f>
        <v>0</v>
      </c>
      <c r="AO137" s="781">
        <f t="shared" ref="AO137:AO152" si="97">ROUND(W137*H137,0)</f>
        <v>0</v>
      </c>
      <c r="AP137" s="781">
        <f t="shared" ref="AP137:AP152" si="98">IF(P137="E",+ROUND(Y137*H137,0),0)</f>
        <v>0</v>
      </c>
      <c r="AQ137" s="781">
        <f t="shared" ref="AQ137:AQ152" si="99">+AR137-AP137</f>
        <v>0</v>
      </c>
      <c r="AR137" s="781">
        <f t="shared" ref="AR137:AR152" si="100">ROUND(Y137*H137,0)</f>
        <v>0</v>
      </c>
      <c r="AS137" s="783">
        <f t="shared" ref="AS137:AS153" si="101">+AR137+AO137+AL137+AI137</f>
        <v>0</v>
      </c>
    </row>
    <row r="138" spans="1:45" ht="15" x14ac:dyDescent="0.25">
      <c r="A138" s="768"/>
      <c r="B138" s="719">
        <f t="shared" si="70"/>
        <v>130</v>
      </c>
      <c r="C138" s="170" t="str">
        <f t="shared" si="82"/>
        <v/>
      </c>
      <c r="D138" s="557"/>
      <c r="E138" s="170"/>
      <c r="F138" s="2078"/>
      <c r="G138" s="1862"/>
      <c r="H138" s="1926"/>
      <c r="I138" s="2008"/>
      <c r="J138" s="1926"/>
      <c r="K138" s="1926"/>
      <c r="L138" s="170"/>
      <c r="M138" s="2009">
        <v>0</v>
      </c>
      <c r="N138" s="2010">
        <v>1</v>
      </c>
      <c r="O138" s="773">
        <f t="shared" si="83"/>
        <v>0</v>
      </c>
      <c r="P138" s="2008" t="s">
        <v>39</v>
      </c>
      <c r="Q138" s="2008" t="s">
        <v>604</v>
      </c>
      <c r="R138" s="2011" t="s">
        <v>74</v>
      </c>
      <c r="S138" s="775">
        <f>SUMIF('Data Input sheet'!$B$118:$B$180,R138,'Data Input sheet'!$D$118:$D$180)</f>
        <v>152</v>
      </c>
      <c r="T138" s="2685">
        <f t="shared" si="84"/>
        <v>0</v>
      </c>
      <c r="U138" s="2013">
        <v>0</v>
      </c>
      <c r="V138" s="778">
        <f t="shared" si="71"/>
        <v>0</v>
      </c>
      <c r="W138" s="2010"/>
      <c r="X138" s="779"/>
      <c r="Y138" s="2012">
        <v>0</v>
      </c>
      <c r="Z138" s="780">
        <f t="shared" si="85"/>
        <v>0</v>
      </c>
      <c r="AA138" s="2007"/>
      <c r="AB138" s="2007"/>
      <c r="AC138" s="765"/>
      <c r="AD138" s="781">
        <f t="shared" si="86"/>
        <v>0</v>
      </c>
      <c r="AE138" s="781">
        <f t="shared" si="87"/>
        <v>0</v>
      </c>
      <c r="AF138" s="781">
        <f t="shared" si="88"/>
        <v>0</v>
      </c>
      <c r="AG138" s="781">
        <f t="shared" si="89"/>
        <v>0</v>
      </c>
      <c r="AH138" s="781">
        <f t="shared" si="90"/>
        <v>0</v>
      </c>
      <c r="AI138" s="782">
        <f t="shared" si="91"/>
        <v>0</v>
      </c>
      <c r="AJ138" s="781">
        <f t="shared" si="92"/>
        <v>0</v>
      </c>
      <c r="AK138" s="781">
        <f t="shared" si="93"/>
        <v>0</v>
      </c>
      <c r="AL138" s="781">
        <f t="shared" si="94"/>
        <v>0</v>
      </c>
      <c r="AM138" s="781">
        <f t="shared" si="95"/>
        <v>0</v>
      </c>
      <c r="AN138" s="781">
        <f t="shared" si="96"/>
        <v>0</v>
      </c>
      <c r="AO138" s="781">
        <f t="shared" si="97"/>
        <v>0</v>
      </c>
      <c r="AP138" s="781">
        <f t="shared" si="98"/>
        <v>0</v>
      </c>
      <c r="AQ138" s="781">
        <f t="shared" si="99"/>
        <v>0</v>
      </c>
      <c r="AR138" s="781">
        <f t="shared" si="100"/>
        <v>0</v>
      </c>
      <c r="AS138" s="783">
        <f t="shared" si="101"/>
        <v>0</v>
      </c>
    </row>
    <row r="139" spans="1:45" ht="15" x14ac:dyDescent="0.25">
      <c r="A139" s="768"/>
      <c r="B139" s="719">
        <f t="shared" ref="B139:B154" si="102">B138+1</f>
        <v>131</v>
      </c>
      <c r="C139" s="170" t="str">
        <f t="shared" si="82"/>
        <v/>
      </c>
      <c r="D139" s="557"/>
      <c r="E139" s="170"/>
      <c r="F139" s="2078"/>
      <c r="G139" s="1862"/>
      <c r="H139" s="1926"/>
      <c r="I139" s="2008"/>
      <c r="J139" s="1926"/>
      <c r="K139" s="1926"/>
      <c r="L139" s="170"/>
      <c r="M139" s="2009">
        <v>0</v>
      </c>
      <c r="N139" s="2010">
        <v>1</v>
      </c>
      <c r="O139" s="773">
        <f t="shared" si="83"/>
        <v>0</v>
      </c>
      <c r="P139" s="2008" t="s">
        <v>39</v>
      </c>
      <c r="Q139" s="2008" t="s">
        <v>604</v>
      </c>
      <c r="R139" s="2011" t="s">
        <v>74</v>
      </c>
      <c r="S139" s="775">
        <f>SUMIF('Data Input sheet'!$B$118:$B$180,R139,'Data Input sheet'!$D$118:$D$180)</f>
        <v>152</v>
      </c>
      <c r="T139" s="2685">
        <f t="shared" si="84"/>
        <v>0</v>
      </c>
      <c r="U139" s="2013">
        <v>0</v>
      </c>
      <c r="V139" s="778">
        <f t="shared" ref="V139:V146" si="103">ROUND(U139*O139,0)</f>
        <v>0</v>
      </c>
      <c r="W139" s="2010"/>
      <c r="X139" s="779"/>
      <c r="Y139" s="2012">
        <v>0</v>
      </c>
      <c r="Z139" s="780">
        <f t="shared" si="85"/>
        <v>0</v>
      </c>
      <c r="AA139" s="2007"/>
      <c r="AB139" s="2007"/>
      <c r="AC139" s="765"/>
      <c r="AD139" s="781">
        <f t="shared" si="86"/>
        <v>0</v>
      </c>
      <c r="AE139" s="781">
        <f t="shared" si="87"/>
        <v>0</v>
      </c>
      <c r="AF139" s="781">
        <f t="shared" si="88"/>
        <v>0</v>
      </c>
      <c r="AG139" s="781">
        <f t="shared" si="89"/>
        <v>0</v>
      </c>
      <c r="AH139" s="781">
        <f t="shared" si="90"/>
        <v>0</v>
      </c>
      <c r="AI139" s="782">
        <f t="shared" si="91"/>
        <v>0</v>
      </c>
      <c r="AJ139" s="781">
        <f t="shared" si="92"/>
        <v>0</v>
      </c>
      <c r="AK139" s="781">
        <f t="shared" si="93"/>
        <v>0</v>
      </c>
      <c r="AL139" s="781">
        <f t="shared" si="94"/>
        <v>0</v>
      </c>
      <c r="AM139" s="781">
        <f t="shared" si="95"/>
        <v>0</v>
      </c>
      <c r="AN139" s="781">
        <f t="shared" si="96"/>
        <v>0</v>
      </c>
      <c r="AO139" s="781">
        <f t="shared" si="97"/>
        <v>0</v>
      </c>
      <c r="AP139" s="781">
        <f t="shared" si="98"/>
        <v>0</v>
      </c>
      <c r="AQ139" s="781">
        <f t="shared" si="99"/>
        <v>0</v>
      </c>
      <c r="AR139" s="781">
        <f t="shared" si="100"/>
        <v>0</v>
      </c>
      <c r="AS139" s="783">
        <f t="shared" si="101"/>
        <v>0</v>
      </c>
    </row>
    <row r="140" spans="1:45" ht="15" x14ac:dyDescent="0.25">
      <c r="A140" s="768"/>
      <c r="B140" s="719">
        <f t="shared" si="102"/>
        <v>132</v>
      </c>
      <c r="C140" s="170" t="str">
        <f t="shared" si="82"/>
        <v/>
      </c>
      <c r="D140" s="557"/>
      <c r="E140" s="170"/>
      <c r="F140" s="2078"/>
      <c r="G140" s="1862"/>
      <c r="H140" s="1926"/>
      <c r="I140" s="2008"/>
      <c r="J140" s="1926"/>
      <c r="K140" s="1926"/>
      <c r="L140" s="170"/>
      <c r="M140" s="2009">
        <v>0</v>
      </c>
      <c r="N140" s="2010">
        <v>1</v>
      </c>
      <c r="O140" s="773">
        <f t="shared" si="83"/>
        <v>0</v>
      </c>
      <c r="P140" s="2008" t="s">
        <v>39</v>
      </c>
      <c r="Q140" s="2008" t="s">
        <v>604</v>
      </c>
      <c r="R140" s="2011" t="s">
        <v>74</v>
      </c>
      <c r="S140" s="775">
        <f>SUMIF('Data Input sheet'!$B$118:$B$180,R140,'Data Input sheet'!$D$118:$D$180)</f>
        <v>152</v>
      </c>
      <c r="T140" s="2685">
        <f t="shared" si="84"/>
        <v>0</v>
      </c>
      <c r="U140" s="2013">
        <v>0</v>
      </c>
      <c r="V140" s="778">
        <f t="shared" si="103"/>
        <v>0</v>
      </c>
      <c r="W140" s="2010"/>
      <c r="X140" s="779"/>
      <c r="Y140" s="2012">
        <v>0</v>
      </c>
      <c r="Z140" s="780">
        <f t="shared" si="85"/>
        <v>0</v>
      </c>
      <c r="AA140" s="2007"/>
      <c r="AB140" s="2007"/>
      <c r="AC140" s="765"/>
      <c r="AD140" s="781">
        <f t="shared" si="86"/>
        <v>0</v>
      </c>
      <c r="AE140" s="781">
        <f t="shared" si="87"/>
        <v>0</v>
      </c>
      <c r="AF140" s="781">
        <f t="shared" si="88"/>
        <v>0</v>
      </c>
      <c r="AG140" s="781">
        <f t="shared" si="89"/>
        <v>0</v>
      </c>
      <c r="AH140" s="781">
        <f t="shared" si="90"/>
        <v>0</v>
      </c>
      <c r="AI140" s="782">
        <f t="shared" si="91"/>
        <v>0</v>
      </c>
      <c r="AJ140" s="781">
        <f t="shared" si="92"/>
        <v>0</v>
      </c>
      <c r="AK140" s="781">
        <f t="shared" si="93"/>
        <v>0</v>
      </c>
      <c r="AL140" s="781">
        <f t="shared" si="94"/>
        <v>0</v>
      </c>
      <c r="AM140" s="781">
        <f t="shared" si="95"/>
        <v>0</v>
      </c>
      <c r="AN140" s="781">
        <f t="shared" si="96"/>
        <v>0</v>
      </c>
      <c r="AO140" s="781">
        <f t="shared" si="97"/>
        <v>0</v>
      </c>
      <c r="AP140" s="781">
        <f t="shared" si="98"/>
        <v>0</v>
      </c>
      <c r="AQ140" s="781">
        <f t="shared" si="99"/>
        <v>0</v>
      </c>
      <c r="AR140" s="781">
        <f t="shared" si="100"/>
        <v>0</v>
      </c>
      <c r="AS140" s="783">
        <f t="shared" si="101"/>
        <v>0</v>
      </c>
    </row>
    <row r="141" spans="1:45" ht="15" x14ac:dyDescent="0.25">
      <c r="A141" s="768"/>
      <c r="B141" s="719">
        <f t="shared" si="102"/>
        <v>133</v>
      </c>
      <c r="C141" s="170" t="str">
        <f t="shared" si="82"/>
        <v/>
      </c>
      <c r="D141" s="557"/>
      <c r="E141" s="170"/>
      <c r="F141" s="2078"/>
      <c r="G141" s="1862"/>
      <c r="H141" s="1926"/>
      <c r="I141" s="2008"/>
      <c r="J141" s="1926"/>
      <c r="K141" s="1926"/>
      <c r="L141" s="170"/>
      <c r="M141" s="2009">
        <v>0</v>
      </c>
      <c r="N141" s="2010">
        <v>1</v>
      </c>
      <c r="O141" s="773">
        <f t="shared" si="83"/>
        <v>0</v>
      </c>
      <c r="P141" s="2008" t="s">
        <v>39</v>
      </c>
      <c r="Q141" s="2008" t="s">
        <v>604</v>
      </c>
      <c r="R141" s="2011" t="s">
        <v>74</v>
      </c>
      <c r="S141" s="775">
        <f>SUMIF('Data Input sheet'!$B$118:$B$180,R141,'Data Input sheet'!$D$118:$D$180)</f>
        <v>152</v>
      </c>
      <c r="T141" s="2685">
        <f t="shared" si="84"/>
        <v>0</v>
      </c>
      <c r="U141" s="2013">
        <v>0</v>
      </c>
      <c r="V141" s="778">
        <f t="shared" si="103"/>
        <v>0</v>
      </c>
      <c r="W141" s="2010"/>
      <c r="X141" s="779"/>
      <c r="Y141" s="2012">
        <v>0</v>
      </c>
      <c r="Z141" s="780">
        <f t="shared" si="85"/>
        <v>0</v>
      </c>
      <c r="AA141" s="2007"/>
      <c r="AB141" s="2007"/>
      <c r="AC141" s="765"/>
      <c r="AD141" s="781">
        <f t="shared" si="86"/>
        <v>0</v>
      </c>
      <c r="AE141" s="781">
        <f t="shared" si="87"/>
        <v>0</v>
      </c>
      <c r="AF141" s="781">
        <f t="shared" si="88"/>
        <v>0</v>
      </c>
      <c r="AG141" s="781">
        <f t="shared" si="89"/>
        <v>0</v>
      </c>
      <c r="AH141" s="781">
        <f t="shared" si="90"/>
        <v>0</v>
      </c>
      <c r="AI141" s="782">
        <f t="shared" si="91"/>
        <v>0</v>
      </c>
      <c r="AJ141" s="781">
        <f t="shared" si="92"/>
        <v>0</v>
      </c>
      <c r="AK141" s="781">
        <f t="shared" si="93"/>
        <v>0</v>
      </c>
      <c r="AL141" s="781">
        <f t="shared" si="94"/>
        <v>0</v>
      </c>
      <c r="AM141" s="781">
        <f t="shared" si="95"/>
        <v>0</v>
      </c>
      <c r="AN141" s="781">
        <f t="shared" si="96"/>
        <v>0</v>
      </c>
      <c r="AO141" s="781">
        <f t="shared" si="97"/>
        <v>0</v>
      </c>
      <c r="AP141" s="781">
        <f t="shared" si="98"/>
        <v>0</v>
      </c>
      <c r="AQ141" s="781">
        <f t="shared" si="99"/>
        <v>0</v>
      </c>
      <c r="AR141" s="781">
        <f t="shared" si="100"/>
        <v>0</v>
      </c>
      <c r="AS141" s="783">
        <f t="shared" si="101"/>
        <v>0</v>
      </c>
    </row>
    <row r="142" spans="1:45" ht="15" x14ac:dyDescent="0.25">
      <c r="A142" s="768"/>
      <c r="B142" s="719">
        <f t="shared" si="102"/>
        <v>134</v>
      </c>
      <c r="C142" s="170" t="str">
        <f t="shared" si="82"/>
        <v/>
      </c>
      <c r="D142" s="557"/>
      <c r="E142" s="170"/>
      <c r="F142" s="2078"/>
      <c r="G142" s="1862"/>
      <c r="H142" s="1926"/>
      <c r="I142" s="2008"/>
      <c r="J142" s="1926"/>
      <c r="K142" s="1926"/>
      <c r="L142" s="170"/>
      <c r="M142" s="2009">
        <v>0</v>
      </c>
      <c r="N142" s="2010">
        <v>1</v>
      </c>
      <c r="O142" s="773">
        <f t="shared" si="83"/>
        <v>0</v>
      </c>
      <c r="P142" s="2008" t="s">
        <v>39</v>
      </c>
      <c r="Q142" s="2008" t="s">
        <v>604</v>
      </c>
      <c r="R142" s="2011" t="s">
        <v>74</v>
      </c>
      <c r="S142" s="775">
        <f>SUMIF('Data Input sheet'!$B$118:$B$180,R142,'Data Input sheet'!$D$118:$D$180)</f>
        <v>152</v>
      </c>
      <c r="T142" s="2685">
        <f t="shared" si="84"/>
        <v>0</v>
      </c>
      <c r="U142" s="2013">
        <v>0</v>
      </c>
      <c r="V142" s="778">
        <f t="shared" si="103"/>
        <v>0</v>
      </c>
      <c r="W142" s="2010"/>
      <c r="X142" s="779"/>
      <c r="Y142" s="2012">
        <v>0</v>
      </c>
      <c r="Z142" s="780">
        <f t="shared" si="85"/>
        <v>0</v>
      </c>
      <c r="AA142" s="2007"/>
      <c r="AB142" s="2007"/>
      <c r="AC142" s="765"/>
      <c r="AD142" s="781">
        <f t="shared" si="86"/>
        <v>0</v>
      </c>
      <c r="AE142" s="781">
        <f t="shared" si="87"/>
        <v>0</v>
      </c>
      <c r="AF142" s="781">
        <f t="shared" si="88"/>
        <v>0</v>
      </c>
      <c r="AG142" s="781">
        <f t="shared" si="89"/>
        <v>0</v>
      </c>
      <c r="AH142" s="781">
        <f t="shared" si="90"/>
        <v>0</v>
      </c>
      <c r="AI142" s="782">
        <f t="shared" si="91"/>
        <v>0</v>
      </c>
      <c r="AJ142" s="781">
        <f t="shared" si="92"/>
        <v>0</v>
      </c>
      <c r="AK142" s="781">
        <f t="shared" si="93"/>
        <v>0</v>
      </c>
      <c r="AL142" s="781">
        <f t="shared" si="94"/>
        <v>0</v>
      </c>
      <c r="AM142" s="781">
        <f t="shared" si="95"/>
        <v>0</v>
      </c>
      <c r="AN142" s="781">
        <f t="shared" si="96"/>
        <v>0</v>
      </c>
      <c r="AO142" s="781">
        <f t="shared" si="97"/>
        <v>0</v>
      </c>
      <c r="AP142" s="781">
        <f t="shared" si="98"/>
        <v>0</v>
      </c>
      <c r="AQ142" s="781">
        <f t="shared" si="99"/>
        <v>0</v>
      </c>
      <c r="AR142" s="781">
        <f t="shared" si="100"/>
        <v>0</v>
      </c>
      <c r="AS142" s="783">
        <f t="shared" si="101"/>
        <v>0</v>
      </c>
    </row>
    <row r="143" spans="1:45" ht="15" x14ac:dyDescent="0.25">
      <c r="A143" s="768"/>
      <c r="B143" s="719">
        <f t="shared" si="102"/>
        <v>135</v>
      </c>
      <c r="C143" s="170" t="str">
        <f t="shared" si="82"/>
        <v/>
      </c>
      <c r="D143" s="557"/>
      <c r="E143" s="170"/>
      <c r="F143" s="2078"/>
      <c r="G143" s="1862"/>
      <c r="H143" s="1926"/>
      <c r="I143" s="2008"/>
      <c r="J143" s="1926"/>
      <c r="K143" s="1926"/>
      <c r="L143" s="170"/>
      <c r="M143" s="2009">
        <v>0</v>
      </c>
      <c r="N143" s="2010">
        <v>1</v>
      </c>
      <c r="O143" s="773">
        <f t="shared" si="83"/>
        <v>0</v>
      </c>
      <c r="P143" s="2008" t="s">
        <v>39</v>
      </c>
      <c r="Q143" s="2008" t="s">
        <v>604</v>
      </c>
      <c r="R143" s="2011" t="s">
        <v>74</v>
      </c>
      <c r="S143" s="775">
        <f>SUMIF('Data Input sheet'!$B$118:$B$180,R143,'Data Input sheet'!$D$118:$D$180)</f>
        <v>152</v>
      </c>
      <c r="T143" s="2685">
        <f t="shared" si="84"/>
        <v>0</v>
      </c>
      <c r="U143" s="2013">
        <v>0</v>
      </c>
      <c r="V143" s="778">
        <f t="shared" si="103"/>
        <v>0</v>
      </c>
      <c r="W143" s="2010"/>
      <c r="X143" s="779"/>
      <c r="Y143" s="2012">
        <v>0</v>
      </c>
      <c r="Z143" s="780">
        <f t="shared" si="85"/>
        <v>0</v>
      </c>
      <c r="AA143" s="2007"/>
      <c r="AB143" s="2007"/>
      <c r="AC143" s="765"/>
      <c r="AD143" s="781">
        <f t="shared" si="86"/>
        <v>0</v>
      </c>
      <c r="AE143" s="781">
        <f t="shared" si="87"/>
        <v>0</v>
      </c>
      <c r="AF143" s="781">
        <f t="shared" si="88"/>
        <v>0</v>
      </c>
      <c r="AG143" s="781">
        <f t="shared" si="89"/>
        <v>0</v>
      </c>
      <c r="AH143" s="781">
        <f t="shared" si="90"/>
        <v>0</v>
      </c>
      <c r="AI143" s="782">
        <f t="shared" si="91"/>
        <v>0</v>
      </c>
      <c r="AJ143" s="781">
        <f t="shared" si="92"/>
        <v>0</v>
      </c>
      <c r="AK143" s="781">
        <f t="shared" si="93"/>
        <v>0</v>
      </c>
      <c r="AL143" s="781">
        <f t="shared" si="94"/>
        <v>0</v>
      </c>
      <c r="AM143" s="781">
        <f t="shared" si="95"/>
        <v>0</v>
      </c>
      <c r="AN143" s="781">
        <f t="shared" si="96"/>
        <v>0</v>
      </c>
      <c r="AO143" s="781">
        <f t="shared" si="97"/>
        <v>0</v>
      </c>
      <c r="AP143" s="781">
        <f t="shared" si="98"/>
        <v>0</v>
      </c>
      <c r="AQ143" s="781">
        <f t="shared" si="99"/>
        <v>0</v>
      </c>
      <c r="AR143" s="781">
        <f t="shared" si="100"/>
        <v>0</v>
      </c>
      <c r="AS143" s="783">
        <f t="shared" si="101"/>
        <v>0</v>
      </c>
    </row>
    <row r="144" spans="1:45" ht="15" x14ac:dyDescent="0.25">
      <c r="A144" s="768"/>
      <c r="B144" s="719">
        <f t="shared" si="102"/>
        <v>136</v>
      </c>
      <c r="C144" s="170" t="str">
        <f t="shared" si="82"/>
        <v/>
      </c>
      <c r="D144" s="557"/>
      <c r="E144" s="170"/>
      <c r="F144" s="2078"/>
      <c r="G144" s="1862"/>
      <c r="H144" s="1926"/>
      <c r="I144" s="2008"/>
      <c r="J144" s="1926"/>
      <c r="K144" s="1926"/>
      <c r="L144" s="170"/>
      <c r="M144" s="2009">
        <v>0</v>
      </c>
      <c r="N144" s="2010">
        <v>1</v>
      </c>
      <c r="O144" s="773">
        <f t="shared" si="83"/>
        <v>0</v>
      </c>
      <c r="P144" s="2008" t="s">
        <v>39</v>
      </c>
      <c r="Q144" s="2008" t="s">
        <v>604</v>
      </c>
      <c r="R144" s="2011" t="s">
        <v>74</v>
      </c>
      <c r="S144" s="775">
        <f>SUMIF('Data Input sheet'!$B$118:$B$180,R144,'Data Input sheet'!$D$118:$D$180)</f>
        <v>152</v>
      </c>
      <c r="T144" s="2685">
        <f t="shared" si="84"/>
        <v>0</v>
      </c>
      <c r="U144" s="2013">
        <v>0</v>
      </c>
      <c r="V144" s="778">
        <f t="shared" si="103"/>
        <v>0</v>
      </c>
      <c r="W144" s="2010"/>
      <c r="X144" s="779"/>
      <c r="Y144" s="2012">
        <v>0</v>
      </c>
      <c r="Z144" s="780">
        <f t="shared" si="85"/>
        <v>0</v>
      </c>
      <c r="AA144" s="2007"/>
      <c r="AB144" s="2007"/>
      <c r="AC144" s="765"/>
      <c r="AD144" s="781">
        <f t="shared" si="86"/>
        <v>0</v>
      </c>
      <c r="AE144" s="781">
        <f t="shared" si="87"/>
        <v>0</v>
      </c>
      <c r="AF144" s="781">
        <f t="shared" si="88"/>
        <v>0</v>
      </c>
      <c r="AG144" s="781">
        <f t="shared" si="89"/>
        <v>0</v>
      </c>
      <c r="AH144" s="781">
        <f t="shared" si="90"/>
        <v>0</v>
      </c>
      <c r="AI144" s="782">
        <f t="shared" si="91"/>
        <v>0</v>
      </c>
      <c r="AJ144" s="781">
        <f t="shared" si="92"/>
        <v>0</v>
      </c>
      <c r="AK144" s="781">
        <f t="shared" si="93"/>
        <v>0</v>
      </c>
      <c r="AL144" s="781">
        <f t="shared" si="94"/>
        <v>0</v>
      </c>
      <c r="AM144" s="781">
        <f t="shared" si="95"/>
        <v>0</v>
      </c>
      <c r="AN144" s="781">
        <f t="shared" si="96"/>
        <v>0</v>
      </c>
      <c r="AO144" s="781">
        <f t="shared" si="97"/>
        <v>0</v>
      </c>
      <c r="AP144" s="781">
        <f t="shared" si="98"/>
        <v>0</v>
      </c>
      <c r="AQ144" s="781">
        <f t="shared" si="99"/>
        <v>0</v>
      </c>
      <c r="AR144" s="781">
        <f t="shared" si="100"/>
        <v>0</v>
      </c>
      <c r="AS144" s="783">
        <f t="shared" si="101"/>
        <v>0</v>
      </c>
    </row>
    <row r="145" spans="1:46" ht="15" x14ac:dyDescent="0.25">
      <c r="A145" s="768"/>
      <c r="B145" s="719">
        <f t="shared" si="102"/>
        <v>137</v>
      </c>
      <c r="C145" s="170" t="str">
        <f t="shared" si="82"/>
        <v/>
      </c>
      <c r="D145" s="557"/>
      <c r="E145" s="170"/>
      <c r="F145" s="2078"/>
      <c r="G145" s="1862"/>
      <c r="H145" s="1926"/>
      <c r="I145" s="2008"/>
      <c r="J145" s="1926"/>
      <c r="K145" s="1926"/>
      <c r="L145" s="170"/>
      <c r="M145" s="2009">
        <v>0</v>
      </c>
      <c r="N145" s="2010">
        <v>1</v>
      </c>
      <c r="O145" s="773">
        <f t="shared" si="83"/>
        <v>0</v>
      </c>
      <c r="P145" s="2008" t="s">
        <v>39</v>
      </c>
      <c r="Q145" s="2008" t="s">
        <v>604</v>
      </c>
      <c r="R145" s="2011" t="s">
        <v>74</v>
      </c>
      <c r="S145" s="775">
        <f>SUMIF('Data Input sheet'!$B$118:$B$180,R145,'Data Input sheet'!$D$118:$D$180)</f>
        <v>152</v>
      </c>
      <c r="T145" s="2685">
        <f t="shared" si="84"/>
        <v>0</v>
      </c>
      <c r="U145" s="2013">
        <v>0</v>
      </c>
      <c r="V145" s="778">
        <f t="shared" si="103"/>
        <v>0</v>
      </c>
      <c r="W145" s="2010"/>
      <c r="X145" s="779"/>
      <c r="Y145" s="2012">
        <v>0</v>
      </c>
      <c r="Z145" s="780">
        <f t="shared" si="85"/>
        <v>0</v>
      </c>
      <c r="AA145" s="2007"/>
      <c r="AB145" s="2007"/>
      <c r="AC145" s="765"/>
      <c r="AD145" s="781">
        <f t="shared" si="86"/>
        <v>0</v>
      </c>
      <c r="AE145" s="781">
        <f t="shared" si="87"/>
        <v>0</v>
      </c>
      <c r="AF145" s="781">
        <f t="shared" si="88"/>
        <v>0</v>
      </c>
      <c r="AG145" s="781">
        <f t="shared" si="89"/>
        <v>0</v>
      </c>
      <c r="AH145" s="781">
        <f t="shared" si="90"/>
        <v>0</v>
      </c>
      <c r="AI145" s="782">
        <f t="shared" si="91"/>
        <v>0</v>
      </c>
      <c r="AJ145" s="781">
        <f t="shared" si="92"/>
        <v>0</v>
      </c>
      <c r="AK145" s="781">
        <f t="shared" si="93"/>
        <v>0</v>
      </c>
      <c r="AL145" s="781">
        <f t="shared" si="94"/>
        <v>0</v>
      </c>
      <c r="AM145" s="781">
        <f t="shared" si="95"/>
        <v>0</v>
      </c>
      <c r="AN145" s="781">
        <f t="shared" si="96"/>
        <v>0</v>
      </c>
      <c r="AO145" s="781">
        <f t="shared" si="97"/>
        <v>0</v>
      </c>
      <c r="AP145" s="781">
        <f t="shared" si="98"/>
        <v>0</v>
      </c>
      <c r="AQ145" s="781">
        <f t="shared" si="99"/>
        <v>0</v>
      </c>
      <c r="AR145" s="781">
        <f t="shared" si="100"/>
        <v>0</v>
      </c>
      <c r="AS145" s="783">
        <f t="shared" si="101"/>
        <v>0</v>
      </c>
    </row>
    <row r="146" spans="1:46" ht="15" x14ac:dyDescent="0.25">
      <c r="A146" s="784"/>
      <c r="B146" s="719">
        <f t="shared" si="102"/>
        <v>138</v>
      </c>
      <c r="C146" s="170" t="str">
        <f t="shared" si="82"/>
        <v/>
      </c>
      <c r="D146" s="557"/>
      <c r="E146" s="170"/>
      <c r="F146" s="2078"/>
      <c r="G146" s="1862"/>
      <c r="H146" s="1926"/>
      <c r="I146" s="2008"/>
      <c r="J146" s="1926"/>
      <c r="K146" s="1926"/>
      <c r="L146" s="170"/>
      <c r="M146" s="2009"/>
      <c r="N146" s="2010">
        <v>1</v>
      </c>
      <c r="O146" s="773">
        <f t="shared" si="83"/>
        <v>0</v>
      </c>
      <c r="P146" s="2008" t="s">
        <v>39</v>
      </c>
      <c r="Q146" s="2008" t="s">
        <v>604</v>
      </c>
      <c r="R146" s="2011" t="s">
        <v>74</v>
      </c>
      <c r="S146" s="775">
        <f>SUMIF('Data Input sheet'!$B$118:$B$180,R146,'Data Input sheet'!$D$118:$D$180)</f>
        <v>152</v>
      </c>
      <c r="T146" s="2685">
        <f t="shared" si="84"/>
        <v>0</v>
      </c>
      <c r="U146" s="2013">
        <v>0</v>
      </c>
      <c r="V146" s="778">
        <f t="shared" si="103"/>
        <v>0</v>
      </c>
      <c r="W146" s="2010"/>
      <c r="X146" s="779"/>
      <c r="Y146" s="2012">
        <v>0</v>
      </c>
      <c r="Z146" s="780">
        <f t="shared" si="85"/>
        <v>0</v>
      </c>
      <c r="AA146" s="2007"/>
      <c r="AB146" s="2007"/>
      <c r="AC146" s="765"/>
      <c r="AD146" s="781">
        <f t="shared" si="86"/>
        <v>0</v>
      </c>
      <c r="AE146" s="781">
        <f t="shared" si="87"/>
        <v>0</v>
      </c>
      <c r="AF146" s="781">
        <f t="shared" si="88"/>
        <v>0</v>
      </c>
      <c r="AG146" s="781">
        <f t="shared" si="89"/>
        <v>0</v>
      </c>
      <c r="AH146" s="781">
        <f t="shared" si="90"/>
        <v>0</v>
      </c>
      <c r="AI146" s="782">
        <f t="shared" si="91"/>
        <v>0</v>
      </c>
      <c r="AJ146" s="781">
        <f t="shared" si="92"/>
        <v>0</v>
      </c>
      <c r="AK146" s="781">
        <f t="shared" si="93"/>
        <v>0</v>
      </c>
      <c r="AL146" s="781">
        <f t="shared" si="94"/>
        <v>0</v>
      </c>
      <c r="AM146" s="781">
        <f t="shared" si="95"/>
        <v>0</v>
      </c>
      <c r="AN146" s="781">
        <f t="shared" si="96"/>
        <v>0</v>
      </c>
      <c r="AO146" s="781">
        <f t="shared" si="97"/>
        <v>0</v>
      </c>
      <c r="AP146" s="781">
        <f t="shared" si="98"/>
        <v>0</v>
      </c>
      <c r="AQ146" s="781">
        <f t="shared" si="99"/>
        <v>0</v>
      </c>
      <c r="AR146" s="781">
        <f t="shared" si="100"/>
        <v>0</v>
      </c>
      <c r="AS146" s="783">
        <f t="shared" si="101"/>
        <v>0</v>
      </c>
    </row>
    <row r="147" spans="1:46" ht="15" x14ac:dyDescent="0.25">
      <c r="A147" s="784"/>
      <c r="B147" s="719">
        <f t="shared" si="102"/>
        <v>139</v>
      </c>
      <c r="C147" s="170" t="str">
        <f t="shared" si="82"/>
        <v/>
      </c>
      <c r="D147" s="557"/>
      <c r="E147" s="170"/>
      <c r="F147" s="170"/>
      <c r="G147" s="787"/>
      <c r="H147" s="784"/>
      <c r="I147" s="784"/>
      <c r="J147" s="784"/>
      <c r="K147" s="784"/>
      <c r="L147" s="170"/>
      <c r="M147" s="773"/>
      <c r="N147" s="773"/>
      <c r="O147" s="773"/>
      <c r="P147" s="788"/>
      <c r="Q147" s="788"/>
      <c r="R147" s="773"/>
      <c r="S147" s="773"/>
      <c r="T147" s="779"/>
      <c r="U147" s="789"/>
      <c r="V147" s="778"/>
      <c r="W147" s="778"/>
      <c r="X147" s="779"/>
      <c r="Y147" s="779"/>
      <c r="Z147" s="780"/>
      <c r="AA147" s="787"/>
      <c r="AB147" s="787"/>
      <c r="AC147" s="170"/>
      <c r="AD147" s="781">
        <f t="shared" si="86"/>
        <v>0</v>
      </c>
      <c r="AE147" s="781">
        <f t="shared" si="87"/>
        <v>0</v>
      </c>
      <c r="AF147" s="781">
        <f t="shared" si="88"/>
        <v>0</v>
      </c>
      <c r="AG147" s="781">
        <f t="shared" si="89"/>
        <v>0</v>
      </c>
      <c r="AH147" s="781">
        <f t="shared" si="90"/>
        <v>0</v>
      </c>
      <c r="AI147" s="782">
        <f t="shared" si="91"/>
        <v>0</v>
      </c>
      <c r="AJ147" s="781">
        <f t="shared" si="92"/>
        <v>0</v>
      </c>
      <c r="AK147" s="781">
        <f t="shared" si="93"/>
        <v>0</v>
      </c>
      <c r="AL147" s="781">
        <f t="shared" si="94"/>
        <v>0</v>
      </c>
      <c r="AM147" s="781">
        <f t="shared" si="95"/>
        <v>0</v>
      </c>
      <c r="AN147" s="781">
        <f t="shared" si="96"/>
        <v>0</v>
      </c>
      <c r="AO147" s="781">
        <f t="shared" si="97"/>
        <v>0</v>
      </c>
      <c r="AP147" s="781">
        <f t="shared" si="98"/>
        <v>0</v>
      </c>
      <c r="AQ147" s="781">
        <f t="shared" si="99"/>
        <v>0</v>
      </c>
      <c r="AR147" s="781">
        <f t="shared" si="100"/>
        <v>0</v>
      </c>
      <c r="AS147" s="783">
        <f t="shared" si="101"/>
        <v>0</v>
      </c>
    </row>
    <row r="148" spans="1:46" ht="15" x14ac:dyDescent="0.25">
      <c r="A148" s="784"/>
      <c r="B148" s="719">
        <f t="shared" si="102"/>
        <v>140</v>
      </c>
      <c r="C148" s="170" t="str">
        <f t="shared" si="82"/>
        <v/>
      </c>
      <c r="D148" s="557"/>
      <c r="E148" s="170"/>
      <c r="F148" s="170"/>
      <c r="G148" s="787"/>
      <c r="H148" s="784"/>
      <c r="I148" s="784"/>
      <c r="J148" s="784"/>
      <c r="K148" s="784"/>
      <c r="L148" s="170"/>
      <c r="M148" s="773"/>
      <c r="N148" s="773"/>
      <c r="O148" s="773"/>
      <c r="P148" s="788"/>
      <c r="Q148" s="788"/>
      <c r="R148" s="773"/>
      <c r="S148" s="773"/>
      <c r="T148" s="779"/>
      <c r="U148" s="789"/>
      <c r="V148" s="778"/>
      <c r="W148" s="778"/>
      <c r="X148" s="779"/>
      <c r="Y148" s="779"/>
      <c r="Z148" s="780"/>
      <c r="AA148" s="787"/>
      <c r="AB148" s="787"/>
      <c r="AC148" s="170"/>
      <c r="AD148" s="781">
        <f t="shared" si="86"/>
        <v>0</v>
      </c>
      <c r="AE148" s="781">
        <f t="shared" si="87"/>
        <v>0</v>
      </c>
      <c r="AF148" s="781">
        <f t="shared" si="88"/>
        <v>0</v>
      </c>
      <c r="AG148" s="781">
        <f t="shared" si="89"/>
        <v>0</v>
      </c>
      <c r="AH148" s="781">
        <f t="shared" si="90"/>
        <v>0</v>
      </c>
      <c r="AI148" s="782">
        <f t="shared" si="91"/>
        <v>0</v>
      </c>
      <c r="AJ148" s="781">
        <f t="shared" si="92"/>
        <v>0</v>
      </c>
      <c r="AK148" s="781">
        <f t="shared" si="93"/>
        <v>0</v>
      </c>
      <c r="AL148" s="781">
        <f t="shared" si="94"/>
        <v>0</v>
      </c>
      <c r="AM148" s="781">
        <f t="shared" si="95"/>
        <v>0</v>
      </c>
      <c r="AN148" s="781">
        <f t="shared" si="96"/>
        <v>0</v>
      </c>
      <c r="AO148" s="781">
        <f t="shared" si="97"/>
        <v>0</v>
      </c>
      <c r="AP148" s="781">
        <f t="shared" si="98"/>
        <v>0</v>
      </c>
      <c r="AQ148" s="781">
        <f t="shared" si="99"/>
        <v>0</v>
      </c>
      <c r="AR148" s="781">
        <f t="shared" si="100"/>
        <v>0</v>
      </c>
      <c r="AS148" s="783">
        <f t="shared" si="101"/>
        <v>0</v>
      </c>
    </row>
    <row r="149" spans="1:46" ht="15" x14ac:dyDescent="0.25">
      <c r="A149" s="784"/>
      <c r="B149" s="719">
        <f t="shared" si="102"/>
        <v>141</v>
      </c>
      <c r="C149" s="170" t="str">
        <f t="shared" si="82"/>
        <v/>
      </c>
      <c r="D149" s="557"/>
      <c r="E149" s="170"/>
      <c r="F149" s="170"/>
      <c r="G149" s="787"/>
      <c r="H149" s="784"/>
      <c r="I149" s="784"/>
      <c r="J149" s="784"/>
      <c r="K149" s="784"/>
      <c r="L149" s="170"/>
      <c r="M149" s="773"/>
      <c r="N149" s="773"/>
      <c r="O149" s="773"/>
      <c r="P149" s="788"/>
      <c r="Q149" s="788"/>
      <c r="R149" s="773"/>
      <c r="S149" s="773"/>
      <c r="T149" s="779"/>
      <c r="U149" s="789"/>
      <c r="V149" s="778"/>
      <c r="W149" s="778"/>
      <c r="X149" s="779"/>
      <c r="Y149" s="779"/>
      <c r="Z149" s="780"/>
      <c r="AA149" s="787"/>
      <c r="AB149" s="787"/>
      <c r="AC149" s="170"/>
      <c r="AD149" s="781">
        <f t="shared" si="86"/>
        <v>0</v>
      </c>
      <c r="AE149" s="781">
        <f t="shared" si="87"/>
        <v>0</v>
      </c>
      <c r="AF149" s="781">
        <f t="shared" si="88"/>
        <v>0</v>
      </c>
      <c r="AG149" s="781">
        <f t="shared" si="89"/>
        <v>0</v>
      </c>
      <c r="AH149" s="781">
        <f t="shared" si="90"/>
        <v>0</v>
      </c>
      <c r="AI149" s="782">
        <f t="shared" si="91"/>
        <v>0</v>
      </c>
      <c r="AJ149" s="781">
        <f t="shared" si="92"/>
        <v>0</v>
      </c>
      <c r="AK149" s="781">
        <f t="shared" si="93"/>
        <v>0</v>
      </c>
      <c r="AL149" s="781">
        <f t="shared" si="94"/>
        <v>0</v>
      </c>
      <c r="AM149" s="781">
        <f t="shared" si="95"/>
        <v>0</v>
      </c>
      <c r="AN149" s="781">
        <f t="shared" si="96"/>
        <v>0</v>
      </c>
      <c r="AO149" s="781">
        <f t="shared" si="97"/>
        <v>0</v>
      </c>
      <c r="AP149" s="781">
        <f t="shared" si="98"/>
        <v>0</v>
      </c>
      <c r="AQ149" s="781">
        <f t="shared" si="99"/>
        <v>0</v>
      </c>
      <c r="AR149" s="781">
        <f t="shared" si="100"/>
        <v>0</v>
      </c>
      <c r="AS149" s="783">
        <f t="shared" si="101"/>
        <v>0</v>
      </c>
    </row>
    <row r="150" spans="1:46" ht="15" x14ac:dyDescent="0.25">
      <c r="A150" s="784"/>
      <c r="B150" s="719">
        <f t="shared" si="102"/>
        <v>142</v>
      </c>
      <c r="C150" s="170" t="str">
        <f t="shared" si="82"/>
        <v/>
      </c>
      <c r="D150" s="557"/>
      <c r="E150" s="170"/>
      <c r="F150" s="170"/>
      <c r="G150" s="769"/>
      <c r="H150" s="784"/>
      <c r="I150" s="784"/>
      <c r="J150" s="784"/>
      <c r="K150" s="784"/>
      <c r="L150" s="170"/>
      <c r="M150" s="773"/>
      <c r="N150" s="773"/>
      <c r="O150" s="773"/>
      <c r="P150" s="788"/>
      <c r="Q150" s="788"/>
      <c r="R150" s="773"/>
      <c r="S150" s="773"/>
      <c r="T150" s="779"/>
      <c r="U150" s="789"/>
      <c r="V150" s="778"/>
      <c r="W150" s="778"/>
      <c r="X150" s="779"/>
      <c r="Y150" s="779"/>
      <c r="Z150" s="780"/>
      <c r="AA150" s="787"/>
      <c r="AB150" s="787"/>
      <c r="AC150" s="170"/>
      <c r="AD150" s="781">
        <f t="shared" si="86"/>
        <v>0</v>
      </c>
      <c r="AE150" s="781">
        <f t="shared" si="87"/>
        <v>0</v>
      </c>
      <c r="AF150" s="781">
        <f t="shared" si="88"/>
        <v>0</v>
      </c>
      <c r="AG150" s="781">
        <f t="shared" si="89"/>
        <v>0</v>
      </c>
      <c r="AH150" s="781">
        <f t="shared" si="90"/>
        <v>0</v>
      </c>
      <c r="AI150" s="782">
        <f t="shared" si="91"/>
        <v>0</v>
      </c>
      <c r="AJ150" s="781">
        <f t="shared" si="92"/>
        <v>0</v>
      </c>
      <c r="AK150" s="781">
        <f t="shared" si="93"/>
        <v>0</v>
      </c>
      <c r="AL150" s="781">
        <f t="shared" si="94"/>
        <v>0</v>
      </c>
      <c r="AM150" s="781">
        <f t="shared" si="95"/>
        <v>0</v>
      </c>
      <c r="AN150" s="781">
        <f t="shared" si="96"/>
        <v>0</v>
      </c>
      <c r="AO150" s="781">
        <f t="shared" si="97"/>
        <v>0</v>
      </c>
      <c r="AP150" s="781">
        <f t="shared" si="98"/>
        <v>0</v>
      </c>
      <c r="AQ150" s="781">
        <f t="shared" si="99"/>
        <v>0</v>
      </c>
      <c r="AR150" s="781">
        <f t="shared" si="100"/>
        <v>0</v>
      </c>
      <c r="AS150" s="783">
        <f t="shared" si="101"/>
        <v>0</v>
      </c>
    </row>
    <row r="151" spans="1:46" ht="15" x14ac:dyDescent="0.25">
      <c r="A151" s="784"/>
      <c r="B151" s="719">
        <f t="shared" si="102"/>
        <v>143</v>
      </c>
      <c r="C151" s="170" t="str">
        <f t="shared" si="82"/>
        <v/>
      </c>
      <c r="D151" s="557"/>
      <c r="E151" s="170"/>
      <c r="F151" s="170"/>
      <c r="G151" s="787"/>
      <c r="H151" s="784"/>
      <c r="I151" s="784"/>
      <c r="J151" s="784"/>
      <c r="K151" s="784"/>
      <c r="L151" s="170"/>
      <c r="M151" s="773"/>
      <c r="N151" s="773"/>
      <c r="O151" s="773"/>
      <c r="P151" s="788"/>
      <c r="Q151" s="788"/>
      <c r="R151" s="773"/>
      <c r="S151" s="773"/>
      <c r="T151" s="779"/>
      <c r="U151" s="789"/>
      <c r="V151" s="778"/>
      <c r="W151" s="778"/>
      <c r="X151" s="779"/>
      <c r="Y151" s="779"/>
      <c r="Z151" s="780"/>
      <c r="AA151" s="787"/>
      <c r="AB151" s="787"/>
      <c r="AC151" s="170"/>
      <c r="AD151" s="781">
        <f t="shared" si="86"/>
        <v>0</v>
      </c>
      <c r="AE151" s="781">
        <f t="shared" si="87"/>
        <v>0</v>
      </c>
      <c r="AF151" s="781">
        <f t="shared" si="88"/>
        <v>0</v>
      </c>
      <c r="AG151" s="781">
        <f t="shared" si="89"/>
        <v>0</v>
      </c>
      <c r="AH151" s="781">
        <f t="shared" si="90"/>
        <v>0</v>
      </c>
      <c r="AI151" s="782">
        <f t="shared" si="91"/>
        <v>0</v>
      </c>
      <c r="AJ151" s="781">
        <f t="shared" si="92"/>
        <v>0</v>
      </c>
      <c r="AK151" s="781">
        <f t="shared" si="93"/>
        <v>0</v>
      </c>
      <c r="AL151" s="781">
        <f t="shared" si="94"/>
        <v>0</v>
      </c>
      <c r="AM151" s="781">
        <f t="shared" si="95"/>
        <v>0</v>
      </c>
      <c r="AN151" s="781">
        <f t="shared" si="96"/>
        <v>0</v>
      </c>
      <c r="AO151" s="781">
        <f t="shared" si="97"/>
        <v>0</v>
      </c>
      <c r="AP151" s="781">
        <f t="shared" si="98"/>
        <v>0</v>
      </c>
      <c r="AQ151" s="781">
        <f t="shared" si="99"/>
        <v>0</v>
      </c>
      <c r="AR151" s="781">
        <f t="shared" si="100"/>
        <v>0</v>
      </c>
      <c r="AS151" s="783">
        <f t="shared" si="101"/>
        <v>0</v>
      </c>
    </row>
    <row r="152" spans="1:46" ht="15" x14ac:dyDescent="0.25">
      <c r="A152" s="784"/>
      <c r="B152" s="719">
        <f t="shared" si="102"/>
        <v>144</v>
      </c>
      <c r="C152" s="170" t="str">
        <f t="shared" si="82"/>
        <v/>
      </c>
      <c r="D152" s="557"/>
      <c r="E152" s="170"/>
      <c r="F152" s="170"/>
      <c r="G152" s="787"/>
      <c r="H152" s="784"/>
      <c r="I152" s="784"/>
      <c r="J152" s="784"/>
      <c r="K152" s="784"/>
      <c r="L152" s="170"/>
      <c r="M152" s="773"/>
      <c r="N152" s="773"/>
      <c r="O152" s="773"/>
      <c r="P152" s="788"/>
      <c r="Q152" s="788"/>
      <c r="R152" s="773"/>
      <c r="S152" s="773"/>
      <c r="T152" s="779"/>
      <c r="U152" s="789"/>
      <c r="V152" s="778"/>
      <c r="W152" s="778"/>
      <c r="X152" s="779"/>
      <c r="Y152" s="779"/>
      <c r="Z152" s="780"/>
      <c r="AA152" s="787"/>
      <c r="AB152" s="787"/>
      <c r="AC152" s="170"/>
      <c r="AD152" s="781">
        <f t="shared" si="86"/>
        <v>0</v>
      </c>
      <c r="AE152" s="781">
        <f t="shared" si="87"/>
        <v>0</v>
      </c>
      <c r="AF152" s="781">
        <f t="shared" si="88"/>
        <v>0</v>
      </c>
      <c r="AG152" s="781">
        <f t="shared" si="89"/>
        <v>0</v>
      </c>
      <c r="AH152" s="781">
        <f t="shared" si="90"/>
        <v>0</v>
      </c>
      <c r="AI152" s="782">
        <f t="shared" si="91"/>
        <v>0</v>
      </c>
      <c r="AJ152" s="781">
        <f t="shared" si="92"/>
        <v>0</v>
      </c>
      <c r="AK152" s="781">
        <f t="shared" si="93"/>
        <v>0</v>
      </c>
      <c r="AL152" s="781">
        <f t="shared" si="94"/>
        <v>0</v>
      </c>
      <c r="AM152" s="781">
        <f t="shared" si="95"/>
        <v>0</v>
      </c>
      <c r="AN152" s="781">
        <f t="shared" si="96"/>
        <v>0</v>
      </c>
      <c r="AO152" s="781">
        <f t="shared" si="97"/>
        <v>0</v>
      </c>
      <c r="AP152" s="781">
        <f t="shared" si="98"/>
        <v>0</v>
      </c>
      <c r="AQ152" s="781">
        <f t="shared" si="99"/>
        <v>0</v>
      </c>
      <c r="AR152" s="781">
        <f t="shared" si="100"/>
        <v>0</v>
      </c>
      <c r="AS152" s="783">
        <f t="shared" si="101"/>
        <v>0</v>
      </c>
    </row>
    <row r="153" spans="1:46" ht="15" x14ac:dyDescent="0.25">
      <c r="A153" s="784"/>
      <c r="B153" s="719">
        <f t="shared" si="102"/>
        <v>145</v>
      </c>
      <c r="C153" s="170"/>
      <c r="D153" s="557"/>
      <c r="E153" s="170"/>
      <c r="F153" s="170"/>
      <c r="G153" s="792" t="s">
        <v>592</v>
      </c>
      <c r="H153" s="784">
        <v>1</v>
      </c>
      <c r="I153" s="784"/>
      <c r="J153" s="784">
        <v>1</v>
      </c>
      <c r="K153" s="784"/>
      <c r="L153" s="170"/>
      <c r="M153" s="773"/>
      <c r="N153" s="773"/>
      <c r="O153" s="773"/>
      <c r="P153" s="793"/>
      <c r="Q153" s="793"/>
      <c r="R153" s="773"/>
      <c r="S153" s="773"/>
      <c r="T153" s="779"/>
      <c r="U153" s="789"/>
      <c r="V153" s="778"/>
      <c r="W153" s="778"/>
      <c r="X153" s="779"/>
      <c r="Y153" s="779"/>
      <c r="Z153" s="780"/>
      <c r="AA153" s="787"/>
      <c r="AB153" s="787"/>
      <c r="AC153" s="170"/>
      <c r="AD153" s="1816">
        <f t="shared" ref="AD153:AR153" si="104">SUM(AD9:AD147)</f>
        <v>0</v>
      </c>
      <c r="AE153" s="1816">
        <f t="shared" si="104"/>
        <v>17605.108172043012</v>
      </c>
      <c r="AF153" s="1816">
        <f t="shared" si="104"/>
        <v>17605.108172043012</v>
      </c>
      <c r="AG153" s="1816">
        <f t="shared" si="104"/>
        <v>0</v>
      </c>
      <c r="AH153" s="1816">
        <f t="shared" si="104"/>
        <v>2833234.15</v>
      </c>
      <c r="AI153" s="1816">
        <f t="shared" si="104"/>
        <v>2833234.15</v>
      </c>
      <c r="AJ153" s="1816">
        <f t="shared" si="104"/>
        <v>0</v>
      </c>
      <c r="AK153" s="1816">
        <f t="shared" si="104"/>
        <v>583466</v>
      </c>
      <c r="AL153" s="1816">
        <f t="shared" si="104"/>
        <v>583466</v>
      </c>
      <c r="AM153" s="1816">
        <f t="shared" si="104"/>
        <v>18171688</v>
      </c>
      <c r="AN153" s="1816">
        <f t="shared" si="104"/>
        <v>0</v>
      </c>
      <c r="AO153" s="1816">
        <f t="shared" si="104"/>
        <v>18171688</v>
      </c>
      <c r="AP153" s="1816">
        <f t="shared" si="104"/>
        <v>0</v>
      </c>
      <c r="AQ153" s="1816">
        <f t="shared" si="104"/>
        <v>139700</v>
      </c>
      <c r="AR153" s="1816">
        <f t="shared" si="104"/>
        <v>139700</v>
      </c>
      <c r="AS153" s="1816">
        <f t="shared" si="101"/>
        <v>21728088.149999999</v>
      </c>
    </row>
    <row r="154" spans="1:46" ht="15.75" thickBot="1" x14ac:dyDescent="0.3">
      <c r="A154" s="784"/>
      <c r="B154" s="719">
        <f t="shared" si="102"/>
        <v>146</v>
      </c>
      <c r="C154" s="170"/>
      <c r="D154" s="574"/>
      <c r="E154" s="576"/>
      <c r="F154" s="576"/>
      <c r="G154" s="796"/>
      <c r="H154" s="797"/>
      <c r="I154" s="797"/>
      <c r="J154" s="797"/>
      <c r="K154" s="797"/>
      <c r="L154" s="576"/>
      <c r="M154" s="798"/>
      <c r="N154" s="798"/>
      <c r="O154" s="798"/>
      <c r="P154" s="799"/>
      <c r="Q154" s="799"/>
      <c r="R154" s="798"/>
      <c r="S154" s="798"/>
      <c r="T154" s="800"/>
      <c r="U154" s="801"/>
      <c r="V154" s="802"/>
      <c r="W154" s="802"/>
      <c r="X154" s="800"/>
      <c r="Y154" s="800"/>
      <c r="Z154" s="803"/>
      <c r="AA154" s="796"/>
      <c r="AB154" s="796"/>
      <c r="AC154" s="804"/>
      <c r="AD154" s="805"/>
      <c r="AE154" s="805"/>
      <c r="AF154" s="576"/>
      <c r="AG154" s="576"/>
      <c r="AH154" s="576"/>
      <c r="AI154" s="806"/>
      <c r="AJ154" s="806"/>
      <c r="AK154" s="806"/>
      <c r="AL154" s="806"/>
      <c r="AM154" s="806"/>
      <c r="AN154" s="806"/>
      <c r="AO154" s="806"/>
      <c r="AP154" s="806"/>
      <c r="AQ154" s="806"/>
      <c r="AR154" s="806"/>
      <c r="AS154" s="806"/>
    </row>
    <row r="155" spans="1:46" ht="15.75" thickTop="1" x14ac:dyDescent="0.25">
      <c r="A155" s="170"/>
      <c r="B155" s="719"/>
      <c r="C155" s="170"/>
      <c r="D155" s="170"/>
      <c r="E155" s="170"/>
      <c r="F155" s="170"/>
      <c r="G155" s="170"/>
      <c r="H155" s="170"/>
      <c r="I155" s="170"/>
      <c r="J155" s="170"/>
      <c r="K155" s="170"/>
      <c r="L155" s="170"/>
      <c r="M155" s="170"/>
      <c r="N155" s="170"/>
      <c r="O155" s="170"/>
      <c r="P155" s="170"/>
      <c r="Q155" s="170"/>
      <c r="R155" s="170"/>
      <c r="S155" s="170"/>
      <c r="T155" s="170"/>
      <c r="U155" s="170"/>
      <c r="V155" s="170"/>
      <c r="W155" s="170"/>
      <c r="X155" s="170"/>
      <c r="Y155" s="170"/>
      <c r="Z155" s="170"/>
      <c r="AA155" s="170"/>
      <c r="AB155" s="170"/>
      <c r="AC155" s="170"/>
      <c r="AD155" s="170"/>
      <c r="AE155" s="170"/>
      <c r="AF155" s="170"/>
      <c r="AG155" s="170"/>
      <c r="AH155" s="170"/>
      <c r="AI155" s="170"/>
      <c r="AJ155" s="170"/>
      <c r="AK155" s="170"/>
      <c r="AL155" s="170"/>
      <c r="AM155" s="170"/>
      <c r="AN155" s="170"/>
      <c r="AO155" s="170"/>
      <c r="AP155" s="170"/>
      <c r="AQ155" s="170"/>
      <c r="AR155" s="170"/>
      <c r="AS155" s="170"/>
    </row>
    <row r="156" spans="1:46" ht="15" x14ac:dyDescent="0.25">
      <c r="A156" s="170"/>
      <c r="B156" s="719"/>
      <c r="C156" s="170"/>
      <c r="D156" s="168" t="s">
        <v>742</v>
      </c>
      <c r="E156" s="170"/>
      <c r="F156" s="170"/>
      <c r="G156" s="721"/>
      <c r="H156" s="170"/>
      <c r="I156" s="170"/>
      <c r="J156" s="170"/>
      <c r="K156" s="170"/>
      <c r="L156" s="170"/>
      <c r="M156" s="730"/>
      <c r="N156" s="730"/>
      <c r="O156" s="730"/>
      <c r="P156" s="731"/>
      <c r="Q156" s="731"/>
      <c r="R156" s="730"/>
      <c r="S156" s="730"/>
      <c r="T156" s="723"/>
      <c r="U156" s="724"/>
      <c r="V156" s="725"/>
      <c r="W156" s="725"/>
      <c r="X156" s="723"/>
      <c r="Y156" s="723"/>
      <c r="Z156" s="723"/>
      <c r="AA156" s="726"/>
      <c r="AB156" s="726"/>
      <c r="AC156" s="170"/>
      <c r="AD156" s="586"/>
      <c r="AE156" s="586"/>
      <c r="AF156" s="170"/>
      <c r="AG156" s="170"/>
      <c r="AH156" s="170"/>
      <c r="AI156" s="170"/>
      <c r="AJ156" s="170"/>
      <c r="AK156" s="170"/>
      <c r="AL156" s="170"/>
      <c r="AM156" s="170"/>
      <c r="AN156" s="170"/>
      <c r="AO156" s="170"/>
      <c r="AP156" s="170"/>
      <c r="AQ156" s="170"/>
      <c r="AR156" s="170"/>
      <c r="AS156" s="170"/>
      <c r="AT156" s="170"/>
    </row>
    <row r="157" spans="1:46" ht="15" x14ac:dyDescent="0.25">
      <c r="A157" s="170"/>
      <c r="B157" s="719"/>
      <c r="C157" s="170" t="str">
        <f t="shared" ref="C157:C220" si="105">+F157&amp;I157</f>
        <v>1ls</v>
      </c>
      <c r="D157" s="170"/>
      <c r="E157" s="170"/>
      <c r="F157" s="170">
        <f>+Parameters!D4</f>
        <v>1</v>
      </c>
      <c r="G157" s="170" t="str">
        <f>+Parameters!E4</f>
        <v>General mob / demob</v>
      </c>
      <c r="H157" s="586">
        <f>SUMIF($C$9:$C$153,$C157,H$9:H$153)</f>
        <v>1</v>
      </c>
      <c r="I157" s="170" t="str">
        <f>+Parameters!F4</f>
        <v>ls</v>
      </c>
      <c r="J157" s="170"/>
      <c r="K157" s="170"/>
      <c r="L157" s="170"/>
      <c r="M157" s="730"/>
      <c r="N157" s="730"/>
      <c r="O157" s="730"/>
      <c r="P157" s="731"/>
      <c r="Q157" s="731"/>
      <c r="R157" s="730"/>
      <c r="S157" s="730"/>
      <c r="T157" s="723"/>
      <c r="U157" s="724"/>
      <c r="V157" s="725"/>
      <c r="W157" s="725"/>
      <c r="X157" s="723"/>
      <c r="Y157" s="723"/>
      <c r="Z157" s="723"/>
      <c r="AA157" s="726"/>
      <c r="AB157" s="726"/>
      <c r="AC157" s="170"/>
      <c r="AD157" s="586">
        <f>SUMIF($F$9:$F$153,$F157,AD$9:AD$153)</f>
        <v>0</v>
      </c>
      <c r="AE157" s="586">
        <f t="shared" ref="AE157:AS172" si="106">SUMIF($F$9:$F$153,$F157,AE$9:AE$153)</f>
        <v>0</v>
      </c>
      <c r="AF157" s="586">
        <f t="shared" si="106"/>
        <v>0</v>
      </c>
      <c r="AG157" s="586">
        <f t="shared" si="106"/>
        <v>0</v>
      </c>
      <c r="AH157" s="586">
        <f t="shared" si="106"/>
        <v>157257.15000000002</v>
      </c>
      <c r="AI157" s="586">
        <f t="shared" si="106"/>
        <v>157257.15000000002</v>
      </c>
      <c r="AJ157" s="586">
        <f t="shared" si="106"/>
        <v>0</v>
      </c>
      <c r="AK157" s="586">
        <f t="shared" si="106"/>
        <v>0</v>
      </c>
      <c r="AL157" s="586">
        <f t="shared" si="106"/>
        <v>0</v>
      </c>
      <c r="AM157" s="586">
        <f t="shared" si="106"/>
        <v>0</v>
      </c>
      <c r="AN157" s="586">
        <f t="shared" si="106"/>
        <v>0</v>
      </c>
      <c r="AO157" s="586">
        <f t="shared" si="106"/>
        <v>0</v>
      </c>
      <c r="AP157" s="586">
        <f t="shared" si="106"/>
        <v>0</v>
      </c>
      <c r="AQ157" s="586">
        <f t="shared" si="106"/>
        <v>0</v>
      </c>
      <c r="AR157" s="586">
        <f t="shared" si="106"/>
        <v>0</v>
      </c>
      <c r="AS157" s="586">
        <f t="shared" si="106"/>
        <v>157257.15000000002</v>
      </c>
      <c r="AT157" s="170"/>
    </row>
    <row r="158" spans="1:46" ht="15" x14ac:dyDescent="0.25">
      <c r="A158" s="170"/>
      <c r="B158" s="719"/>
      <c r="C158" s="170" t="str">
        <f t="shared" si="105"/>
        <v>20</v>
      </c>
      <c r="D158" s="170"/>
      <c r="E158" s="170"/>
      <c r="F158" s="170">
        <f>+Parameters!D5</f>
        <v>2</v>
      </c>
      <c r="G158" s="170" t="str">
        <f>+Parameters!E5</f>
        <v>General site work - general inc roads/paving</v>
      </c>
      <c r="H158" s="586">
        <f t="shared" ref="H158:H221" si="107">SUMIF($C$9:$C$153,$C158,H$9:H$153)</f>
        <v>0</v>
      </c>
      <c r="I158" s="170">
        <f>+Parameters!F5</f>
        <v>0</v>
      </c>
      <c r="J158" s="170"/>
      <c r="K158" s="170"/>
      <c r="L158" s="170"/>
      <c r="M158" s="730"/>
      <c r="N158" s="730"/>
      <c r="O158" s="730"/>
      <c r="P158" s="731"/>
      <c r="Q158" s="731"/>
      <c r="R158" s="730"/>
      <c r="S158" s="730"/>
      <c r="T158" s="723"/>
      <c r="U158" s="724"/>
      <c r="V158" s="725"/>
      <c r="W158" s="725"/>
      <c r="X158" s="723"/>
      <c r="Y158" s="723"/>
      <c r="Z158" s="723"/>
      <c r="AA158" s="726"/>
      <c r="AB158" s="726"/>
      <c r="AC158" s="170"/>
      <c r="AD158" s="586">
        <f t="shared" ref="AD158:AS187" si="108">SUMIF($F$9:$F$153,$F158,AD$9:AD$153)</f>
        <v>0</v>
      </c>
      <c r="AE158" s="586">
        <f t="shared" si="106"/>
        <v>0</v>
      </c>
      <c r="AF158" s="586">
        <f t="shared" si="106"/>
        <v>0</v>
      </c>
      <c r="AG158" s="586">
        <f t="shared" si="106"/>
        <v>0</v>
      </c>
      <c r="AH158" s="586">
        <f t="shared" si="106"/>
        <v>0</v>
      </c>
      <c r="AI158" s="586">
        <f t="shared" si="106"/>
        <v>0</v>
      </c>
      <c r="AJ158" s="586">
        <f t="shared" si="106"/>
        <v>0</v>
      </c>
      <c r="AK158" s="586">
        <f t="shared" si="106"/>
        <v>0</v>
      </c>
      <c r="AL158" s="586">
        <f t="shared" si="106"/>
        <v>0</v>
      </c>
      <c r="AM158" s="586">
        <f t="shared" si="106"/>
        <v>0</v>
      </c>
      <c r="AN158" s="586">
        <f t="shared" si="106"/>
        <v>0</v>
      </c>
      <c r="AO158" s="586">
        <f t="shared" si="106"/>
        <v>0</v>
      </c>
      <c r="AP158" s="586">
        <f t="shared" si="106"/>
        <v>0</v>
      </c>
      <c r="AQ158" s="586">
        <f t="shared" si="106"/>
        <v>0</v>
      </c>
      <c r="AR158" s="586">
        <f t="shared" si="106"/>
        <v>0</v>
      </c>
      <c r="AS158" s="586">
        <f t="shared" si="106"/>
        <v>0</v>
      </c>
      <c r="AT158" s="170"/>
    </row>
    <row r="159" spans="1:46" ht="15" x14ac:dyDescent="0.25">
      <c r="A159" s="170"/>
      <c r="B159" s="719"/>
      <c r="C159" s="170" t="str">
        <f t="shared" si="105"/>
        <v>3ea</v>
      </c>
      <c r="D159" s="170"/>
      <c r="E159" s="170"/>
      <c r="F159" s="170">
        <f>+Parameters!D6</f>
        <v>3</v>
      </c>
      <c r="G159" s="170" t="str">
        <f>+Parameters!E6</f>
        <v>foundations - Poles - direct embed</v>
      </c>
      <c r="H159" s="586">
        <f t="shared" si="107"/>
        <v>0</v>
      </c>
      <c r="I159" s="170" t="str">
        <f>+Parameters!F6</f>
        <v>ea</v>
      </c>
      <c r="J159" s="170"/>
      <c r="K159" s="170"/>
      <c r="L159" s="170"/>
      <c r="M159" s="730"/>
      <c r="N159" s="730"/>
      <c r="O159" s="730"/>
      <c r="P159" s="731"/>
      <c r="Q159" s="731"/>
      <c r="R159" s="730"/>
      <c r="S159" s="730"/>
      <c r="T159" s="723"/>
      <c r="U159" s="724"/>
      <c r="V159" s="725"/>
      <c r="W159" s="725"/>
      <c r="X159" s="723"/>
      <c r="Y159" s="723"/>
      <c r="Z159" s="723"/>
      <c r="AA159" s="726"/>
      <c r="AB159" s="726"/>
      <c r="AC159" s="170"/>
      <c r="AD159" s="586">
        <f t="shared" si="108"/>
        <v>0</v>
      </c>
      <c r="AE159" s="586">
        <f t="shared" si="106"/>
        <v>0</v>
      </c>
      <c r="AF159" s="586">
        <f t="shared" si="106"/>
        <v>0</v>
      </c>
      <c r="AG159" s="586">
        <f t="shared" si="106"/>
        <v>0</v>
      </c>
      <c r="AH159" s="586">
        <f t="shared" si="106"/>
        <v>0</v>
      </c>
      <c r="AI159" s="586">
        <f t="shared" si="106"/>
        <v>0</v>
      </c>
      <c r="AJ159" s="586">
        <f t="shared" si="106"/>
        <v>0</v>
      </c>
      <c r="AK159" s="586">
        <f t="shared" si="106"/>
        <v>0</v>
      </c>
      <c r="AL159" s="586">
        <f t="shared" si="106"/>
        <v>0</v>
      </c>
      <c r="AM159" s="586">
        <f t="shared" si="106"/>
        <v>0</v>
      </c>
      <c r="AN159" s="586">
        <f t="shared" si="106"/>
        <v>0</v>
      </c>
      <c r="AO159" s="586">
        <f t="shared" si="106"/>
        <v>0</v>
      </c>
      <c r="AP159" s="586">
        <f t="shared" si="106"/>
        <v>0</v>
      </c>
      <c r="AQ159" s="586">
        <f t="shared" si="106"/>
        <v>0</v>
      </c>
      <c r="AR159" s="586">
        <f t="shared" si="106"/>
        <v>0</v>
      </c>
      <c r="AS159" s="586">
        <f t="shared" si="106"/>
        <v>0</v>
      </c>
      <c r="AT159" s="170"/>
    </row>
    <row r="160" spans="1:46" ht="15" x14ac:dyDescent="0.25">
      <c r="A160" s="170"/>
      <c r="B160" s="719"/>
      <c r="C160" s="170" t="str">
        <f t="shared" si="105"/>
        <v>40</v>
      </c>
      <c r="D160" s="170"/>
      <c r="E160" s="170"/>
      <c r="F160" s="170">
        <f>+Parameters!D7</f>
        <v>4</v>
      </c>
      <c r="G160" s="170" t="str">
        <f>+Parameters!E7</f>
        <v>foundations - Poles - formed conc.</v>
      </c>
      <c r="H160" s="586">
        <f t="shared" si="107"/>
        <v>0</v>
      </c>
      <c r="I160" s="170">
        <f>+Parameters!F7</f>
        <v>0</v>
      </c>
      <c r="J160" s="170"/>
      <c r="K160" s="170"/>
      <c r="L160" s="170"/>
      <c r="M160" s="730"/>
      <c r="N160" s="730"/>
      <c r="O160" s="730"/>
      <c r="P160" s="731"/>
      <c r="Q160" s="731"/>
      <c r="R160" s="730"/>
      <c r="S160" s="730"/>
      <c r="T160" s="723"/>
      <c r="U160" s="724"/>
      <c r="V160" s="725"/>
      <c r="W160" s="725"/>
      <c r="X160" s="723"/>
      <c r="Y160" s="723"/>
      <c r="Z160" s="723"/>
      <c r="AA160" s="726"/>
      <c r="AB160" s="726"/>
      <c r="AC160" s="170"/>
      <c r="AD160" s="586">
        <f t="shared" si="108"/>
        <v>0</v>
      </c>
      <c r="AE160" s="586">
        <f t="shared" si="106"/>
        <v>0</v>
      </c>
      <c r="AF160" s="586">
        <f t="shared" si="106"/>
        <v>0</v>
      </c>
      <c r="AG160" s="586">
        <f t="shared" si="106"/>
        <v>0</v>
      </c>
      <c r="AH160" s="586">
        <f t="shared" si="106"/>
        <v>0</v>
      </c>
      <c r="AI160" s="586">
        <f t="shared" si="106"/>
        <v>0</v>
      </c>
      <c r="AJ160" s="586">
        <f t="shared" si="106"/>
        <v>0</v>
      </c>
      <c r="AK160" s="586">
        <f t="shared" si="106"/>
        <v>0</v>
      </c>
      <c r="AL160" s="586">
        <f t="shared" si="106"/>
        <v>0</v>
      </c>
      <c r="AM160" s="586">
        <f t="shared" si="106"/>
        <v>0</v>
      </c>
      <c r="AN160" s="586">
        <f t="shared" si="106"/>
        <v>0</v>
      </c>
      <c r="AO160" s="586">
        <f t="shared" si="106"/>
        <v>0</v>
      </c>
      <c r="AP160" s="586">
        <f t="shared" si="106"/>
        <v>0</v>
      </c>
      <c r="AQ160" s="586">
        <f t="shared" si="106"/>
        <v>0</v>
      </c>
      <c r="AR160" s="586">
        <f t="shared" si="106"/>
        <v>0</v>
      </c>
      <c r="AS160" s="586">
        <f t="shared" si="106"/>
        <v>0</v>
      </c>
      <c r="AT160" s="170"/>
    </row>
    <row r="161" spans="1:46" ht="15" x14ac:dyDescent="0.25">
      <c r="A161" s="170"/>
      <c r="B161" s="719"/>
      <c r="C161" s="170" t="str">
        <f t="shared" si="105"/>
        <v>5cy</v>
      </c>
      <c r="D161" s="170"/>
      <c r="E161" s="170"/>
      <c r="F161" s="170">
        <f>+Parameters!D8</f>
        <v>5</v>
      </c>
      <c r="G161" s="170" t="str">
        <f>+Parameters!E8</f>
        <v>foundations - station</v>
      </c>
      <c r="H161" s="586">
        <f t="shared" si="107"/>
        <v>0</v>
      </c>
      <c r="I161" s="170" t="str">
        <f>+Parameters!F8</f>
        <v>cy</v>
      </c>
      <c r="J161" s="170"/>
      <c r="K161" s="170"/>
      <c r="L161" s="170"/>
      <c r="M161" s="730"/>
      <c r="N161" s="730"/>
      <c r="O161" s="730"/>
      <c r="P161" s="731"/>
      <c r="Q161" s="731"/>
      <c r="R161" s="730"/>
      <c r="S161" s="730"/>
      <c r="T161" s="723"/>
      <c r="U161" s="724"/>
      <c r="V161" s="725"/>
      <c r="W161" s="725"/>
      <c r="X161" s="723"/>
      <c r="Y161" s="723"/>
      <c r="Z161" s="723"/>
      <c r="AA161" s="726"/>
      <c r="AB161" s="726"/>
      <c r="AC161" s="170"/>
      <c r="AD161" s="586">
        <f t="shared" si="108"/>
        <v>0</v>
      </c>
      <c r="AE161" s="586">
        <f t="shared" si="106"/>
        <v>0</v>
      </c>
      <c r="AF161" s="586">
        <f t="shared" si="106"/>
        <v>0</v>
      </c>
      <c r="AG161" s="586">
        <f t="shared" si="106"/>
        <v>0</v>
      </c>
      <c r="AH161" s="586">
        <f t="shared" si="106"/>
        <v>0</v>
      </c>
      <c r="AI161" s="586">
        <f t="shared" si="106"/>
        <v>0</v>
      </c>
      <c r="AJ161" s="586">
        <f t="shared" si="106"/>
        <v>0</v>
      </c>
      <c r="AK161" s="586">
        <f t="shared" si="106"/>
        <v>0</v>
      </c>
      <c r="AL161" s="586">
        <f t="shared" si="106"/>
        <v>0</v>
      </c>
      <c r="AM161" s="586">
        <f t="shared" si="106"/>
        <v>0</v>
      </c>
      <c r="AN161" s="586">
        <f t="shared" si="106"/>
        <v>0</v>
      </c>
      <c r="AO161" s="586">
        <f t="shared" si="106"/>
        <v>0</v>
      </c>
      <c r="AP161" s="586">
        <f t="shared" si="106"/>
        <v>0</v>
      </c>
      <c r="AQ161" s="586">
        <f t="shared" si="106"/>
        <v>0</v>
      </c>
      <c r="AR161" s="586">
        <f t="shared" si="106"/>
        <v>0</v>
      </c>
      <c r="AS161" s="586">
        <f t="shared" si="106"/>
        <v>0</v>
      </c>
      <c r="AT161" s="170"/>
    </row>
    <row r="162" spans="1:46" ht="15" x14ac:dyDescent="0.25">
      <c r="A162" s="170"/>
      <c r="B162" s="719"/>
      <c r="C162" s="170" t="str">
        <f t="shared" si="105"/>
        <v>6cy</v>
      </c>
      <c r="D162" s="170"/>
      <c r="E162" s="170"/>
      <c r="F162" s="170">
        <f>+Parameters!D9</f>
        <v>6</v>
      </c>
      <c r="G162" s="170" t="str">
        <f>+Parameters!E9</f>
        <v>foundations - buildings</v>
      </c>
      <c r="H162" s="586">
        <f t="shared" si="107"/>
        <v>0</v>
      </c>
      <c r="I162" s="170" t="str">
        <f>+Parameters!F9</f>
        <v>cy</v>
      </c>
      <c r="J162" s="170"/>
      <c r="K162" s="170"/>
      <c r="L162" s="170"/>
      <c r="M162" s="730"/>
      <c r="N162" s="730"/>
      <c r="O162" s="730"/>
      <c r="P162" s="731"/>
      <c r="Q162" s="731"/>
      <c r="R162" s="730"/>
      <c r="S162" s="730"/>
      <c r="T162" s="723"/>
      <c r="U162" s="724"/>
      <c r="V162" s="725"/>
      <c r="W162" s="725"/>
      <c r="X162" s="723"/>
      <c r="Y162" s="723"/>
      <c r="Z162" s="723"/>
      <c r="AA162" s="726"/>
      <c r="AB162" s="726"/>
      <c r="AC162" s="170"/>
      <c r="AD162" s="586">
        <f t="shared" si="108"/>
        <v>0</v>
      </c>
      <c r="AE162" s="586">
        <f t="shared" si="106"/>
        <v>0</v>
      </c>
      <c r="AF162" s="586">
        <f t="shared" si="106"/>
        <v>0</v>
      </c>
      <c r="AG162" s="586">
        <f t="shared" si="106"/>
        <v>0</v>
      </c>
      <c r="AH162" s="586">
        <f t="shared" si="106"/>
        <v>0</v>
      </c>
      <c r="AI162" s="586">
        <f t="shared" si="106"/>
        <v>0</v>
      </c>
      <c r="AJ162" s="586">
        <f t="shared" si="106"/>
        <v>0</v>
      </c>
      <c r="AK162" s="586">
        <f t="shared" si="106"/>
        <v>0</v>
      </c>
      <c r="AL162" s="586">
        <f t="shared" si="106"/>
        <v>0</v>
      </c>
      <c r="AM162" s="586">
        <f t="shared" si="106"/>
        <v>0</v>
      </c>
      <c r="AN162" s="586">
        <f t="shared" si="106"/>
        <v>0</v>
      </c>
      <c r="AO162" s="586">
        <f t="shared" si="106"/>
        <v>0</v>
      </c>
      <c r="AP162" s="586">
        <f t="shared" si="106"/>
        <v>0</v>
      </c>
      <c r="AQ162" s="586">
        <f t="shared" si="106"/>
        <v>0</v>
      </c>
      <c r="AR162" s="586">
        <f t="shared" si="106"/>
        <v>0</v>
      </c>
      <c r="AS162" s="586">
        <f t="shared" si="106"/>
        <v>0</v>
      </c>
      <c r="AT162" s="170"/>
    </row>
    <row r="163" spans="1:46" ht="15" x14ac:dyDescent="0.25">
      <c r="A163" s="170"/>
      <c r="B163" s="719"/>
      <c r="C163" s="170" t="str">
        <f t="shared" si="105"/>
        <v>70</v>
      </c>
      <c r="D163" s="170"/>
      <c r="E163" s="170"/>
      <c r="F163" s="170">
        <f>+Parameters!D10</f>
        <v>7</v>
      </c>
      <c r="G163" s="170" t="str">
        <f>+Parameters!E10</f>
        <v>Piling / Caissons</v>
      </c>
      <c r="H163" s="586">
        <f t="shared" si="107"/>
        <v>0</v>
      </c>
      <c r="I163" s="170">
        <f>+Parameters!F10</f>
        <v>0</v>
      </c>
      <c r="J163" s="170"/>
      <c r="K163" s="170"/>
      <c r="L163" s="170"/>
      <c r="M163" s="730"/>
      <c r="N163" s="730"/>
      <c r="O163" s="730"/>
      <c r="P163" s="731"/>
      <c r="Q163" s="731"/>
      <c r="R163" s="730"/>
      <c r="S163" s="730"/>
      <c r="T163" s="723"/>
      <c r="U163" s="724"/>
      <c r="V163" s="725"/>
      <c r="W163" s="725"/>
      <c r="X163" s="723"/>
      <c r="Y163" s="723"/>
      <c r="Z163" s="723"/>
      <c r="AA163" s="726"/>
      <c r="AB163" s="726"/>
      <c r="AC163" s="170"/>
      <c r="AD163" s="586">
        <f t="shared" si="108"/>
        <v>0</v>
      </c>
      <c r="AE163" s="586">
        <f t="shared" si="106"/>
        <v>0</v>
      </c>
      <c r="AF163" s="586">
        <f t="shared" si="106"/>
        <v>0</v>
      </c>
      <c r="AG163" s="586">
        <f t="shared" si="106"/>
        <v>0</v>
      </c>
      <c r="AH163" s="586">
        <f t="shared" si="106"/>
        <v>0</v>
      </c>
      <c r="AI163" s="586">
        <f t="shared" si="106"/>
        <v>0</v>
      </c>
      <c r="AJ163" s="586">
        <f t="shared" si="106"/>
        <v>0</v>
      </c>
      <c r="AK163" s="586">
        <f t="shared" si="106"/>
        <v>0</v>
      </c>
      <c r="AL163" s="586">
        <f t="shared" si="106"/>
        <v>0</v>
      </c>
      <c r="AM163" s="586">
        <f t="shared" si="106"/>
        <v>0</v>
      </c>
      <c r="AN163" s="586">
        <f t="shared" si="106"/>
        <v>0</v>
      </c>
      <c r="AO163" s="586">
        <f t="shared" si="106"/>
        <v>0</v>
      </c>
      <c r="AP163" s="586">
        <f t="shared" si="106"/>
        <v>0</v>
      </c>
      <c r="AQ163" s="586">
        <f t="shared" si="106"/>
        <v>0</v>
      </c>
      <c r="AR163" s="586">
        <f t="shared" si="106"/>
        <v>0</v>
      </c>
      <c r="AS163" s="586">
        <f t="shared" si="106"/>
        <v>0</v>
      </c>
      <c r="AT163" s="170"/>
    </row>
    <row r="164" spans="1:46" ht="15" x14ac:dyDescent="0.25">
      <c r="A164" s="170"/>
      <c r="B164" s="719"/>
      <c r="C164" s="170" t="str">
        <f t="shared" si="105"/>
        <v>80</v>
      </c>
      <c r="D164" s="170"/>
      <c r="E164" s="170"/>
      <c r="F164" s="170">
        <f>+Parameters!D11</f>
        <v>8</v>
      </c>
      <c r="G164" s="170" t="str">
        <f>+Parameters!E11</f>
        <v>ROW work ( clearing/ Grubbing/ access roads)</v>
      </c>
      <c r="H164" s="586">
        <f t="shared" si="107"/>
        <v>0</v>
      </c>
      <c r="I164" s="170">
        <f>+Parameters!F11</f>
        <v>0</v>
      </c>
      <c r="J164" s="170"/>
      <c r="K164" s="170"/>
      <c r="L164" s="170"/>
      <c r="M164" s="730"/>
      <c r="N164" s="730"/>
      <c r="O164" s="730"/>
      <c r="P164" s="731"/>
      <c r="Q164" s="731"/>
      <c r="R164" s="730"/>
      <c r="S164" s="730"/>
      <c r="T164" s="723"/>
      <c r="U164" s="724"/>
      <c r="V164" s="725"/>
      <c r="W164" s="725"/>
      <c r="X164" s="723"/>
      <c r="Y164" s="723"/>
      <c r="Z164" s="723"/>
      <c r="AA164" s="726"/>
      <c r="AB164" s="726"/>
      <c r="AC164" s="170"/>
      <c r="AD164" s="586">
        <f t="shared" si="108"/>
        <v>0</v>
      </c>
      <c r="AE164" s="586">
        <f t="shared" si="106"/>
        <v>0</v>
      </c>
      <c r="AF164" s="586">
        <f t="shared" si="106"/>
        <v>0</v>
      </c>
      <c r="AG164" s="586">
        <f t="shared" si="106"/>
        <v>0</v>
      </c>
      <c r="AH164" s="586">
        <f t="shared" si="106"/>
        <v>0</v>
      </c>
      <c r="AI164" s="586">
        <f t="shared" si="106"/>
        <v>0</v>
      </c>
      <c r="AJ164" s="586">
        <f t="shared" si="106"/>
        <v>0</v>
      </c>
      <c r="AK164" s="586">
        <f t="shared" si="106"/>
        <v>0</v>
      </c>
      <c r="AL164" s="586">
        <f t="shared" si="106"/>
        <v>0</v>
      </c>
      <c r="AM164" s="586">
        <f t="shared" si="106"/>
        <v>0</v>
      </c>
      <c r="AN164" s="586">
        <f t="shared" si="106"/>
        <v>0</v>
      </c>
      <c r="AO164" s="586">
        <f t="shared" si="106"/>
        <v>0</v>
      </c>
      <c r="AP164" s="586">
        <f t="shared" si="106"/>
        <v>0</v>
      </c>
      <c r="AQ164" s="586">
        <f t="shared" si="106"/>
        <v>0</v>
      </c>
      <c r="AR164" s="586">
        <f t="shared" si="106"/>
        <v>0</v>
      </c>
      <c r="AS164" s="586">
        <f t="shared" si="106"/>
        <v>0</v>
      </c>
      <c r="AT164" s="170"/>
    </row>
    <row r="165" spans="1:46" ht="15" x14ac:dyDescent="0.25">
      <c r="A165" s="170"/>
      <c r="B165" s="719"/>
      <c r="C165" s="170" t="str">
        <f t="shared" si="105"/>
        <v>90</v>
      </c>
      <c r="D165" s="170"/>
      <c r="E165" s="170"/>
      <c r="F165" s="170">
        <f>+Parameters!D12</f>
        <v>9</v>
      </c>
      <c r="G165" s="170" t="str">
        <f>+Parameters!E12</f>
        <v>Mats</v>
      </c>
      <c r="H165" s="586">
        <f t="shared" si="107"/>
        <v>0</v>
      </c>
      <c r="I165" s="170">
        <f>+Parameters!F12</f>
        <v>0</v>
      </c>
      <c r="J165" s="170"/>
      <c r="K165" s="170"/>
      <c r="L165" s="170"/>
      <c r="M165" s="730"/>
      <c r="N165" s="730"/>
      <c r="O165" s="730"/>
      <c r="P165" s="731"/>
      <c r="Q165" s="731"/>
      <c r="R165" s="730"/>
      <c r="S165" s="730"/>
      <c r="T165" s="723"/>
      <c r="U165" s="724"/>
      <c r="V165" s="725"/>
      <c r="W165" s="725"/>
      <c r="X165" s="723"/>
      <c r="Y165" s="723"/>
      <c r="Z165" s="723"/>
      <c r="AA165" s="726"/>
      <c r="AB165" s="726"/>
      <c r="AC165" s="170"/>
      <c r="AD165" s="586">
        <f t="shared" si="108"/>
        <v>0</v>
      </c>
      <c r="AE165" s="586">
        <f t="shared" si="106"/>
        <v>0</v>
      </c>
      <c r="AF165" s="586">
        <f t="shared" si="106"/>
        <v>0</v>
      </c>
      <c r="AG165" s="586">
        <f t="shared" si="106"/>
        <v>0</v>
      </c>
      <c r="AH165" s="586">
        <f t="shared" si="106"/>
        <v>0</v>
      </c>
      <c r="AI165" s="586">
        <f t="shared" si="106"/>
        <v>0</v>
      </c>
      <c r="AJ165" s="586">
        <f t="shared" si="106"/>
        <v>0</v>
      </c>
      <c r="AK165" s="586">
        <f t="shared" si="106"/>
        <v>0</v>
      </c>
      <c r="AL165" s="586">
        <f t="shared" si="106"/>
        <v>0</v>
      </c>
      <c r="AM165" s="586">
        <f t="shared" si="106"/>
        <v>0</v>
      </c>
      <c r="AN165" s="586">
        <f t="shared" si="106"/>
        <v>0</v>
      </c>
      <c r="AO165" s="586">
        <f t="shared" si="106"/>
        <v>0</v>
      </c>
      <c r="AP165" s="586">
        <f t="shared" si="106"/>
        <v>0</v>
      </c>
      <c r="AQ165" s="586">
        <f t="shared" si="106"/>
        <v>0</v>
      </c>
      <c r="AR165" s="586">
        <f t="shared" si="106"/>
        <v>0</v>
      </c>
      <c r="AS165" s="586">
        <f t="shared" si="106"/>
        <v>0</v>
      </c>
      <c r="AT165" s="170"/>
    </row>
    <row r="166" spans="1:46" ht="15" x14ac:dyDescent="0.25">
      <c r="A166" s="170"/>
      <c r="B166" s="719"/>
      <c r="C166" s="170" t="str">
        <f t="shared" si="105"/>
        <v>100</v>
      </c>
      <c r="D166" s="170"/>
      <c r="E166" s="170"/>
      <c r="F166" s="170">
        <f>+Parameters!D13</f>
        <v>10</v>
      </c>
      <c r="G166" s="170" t="str">
        <f>+Parameters!E13</f>
        <v>Crane pads</v>
      </c>
      <c r="H166" s="586">
        <f t="shared" si="107"/>
        <v>0</v>
      </c>
      <c r="I166" s="170">
        <f>+Parameters!F13</f>
        <v>0</v>
      </c>
      <c r="J166" s="170"/>
      <c r="K166" s="170"/>
      <c r="L166" s="170"/>
      <c r="M166" s="730"/>
      <c r="N166" s="730"/>
      <c r="O166" s="730"/>
      <c r="P166" s="731"/>
      <c r="Q166" s="731"/>
      <c r="R166" s="730"/>
      <c r="S166" s="730"/>
      <c r="T166" s="723"/>
      <c r="U166" s="724"/>
      <c r="V166" s="725"/>
      <c r="W166" s="725"/>
      <c r="X166" s="723"/>
      <c r="Y166" s="723"/>
      <c r="Z166" s="723"/>
      <c r="AA166" s="726"/>
      <c r="AB166" s="726"/>
      <c r="AC166" s="170"/>
      <c r="AD166" s="586">
        <f t="shared" si="108"/>
        <v>0</v>
      </c>
      <c r="AE166" s="586">
        <f t="shared" si="106"/>
        <v>0</v>
      </c>
      <c r="AF166" s="586">
        <f t="shared" si="106"/>
        <v>0</v>
      </c>
      <c r="AG166" s="586">
        <f t="shared" si="106"/>
        <v>0</v>
      </c>
      <c r="AH166" s="586">
        <f t="shared" si="106"/>
        <v>0</v>
      </c>
      <c r="AI166" s="586">
        <f t="shared" si="106"/>
        <v>0</v>
      </c>
      <c r="AJ166" s="586">
        <f t="shared" si="106"/>
        <v>0</v>
      </c>
      <c r="AK166" s="586">
        <f t="shared" si="106"/>
        <v>0</v>
      </c>
      <c r="AL166" s="586">
        <f t="shared" si="106"/>
        <v>0</v>
      </c>
      <c r="AM166" s="586">
        <f t="shared" si="106"/>
        <v>0</v>
      </c>
      <c r="AN166" s="586">
        <f t="shared" si="106"/>
        <v>0</v>
      </c>
      <c r="AO166" s="586">
        <f t="shared" si="106"/>
        <v>0</v>
      </c>
      <c r="AP166" s="586">
        <f t="shared" si="106"/>
        <v>0</v>
      </c>
      <c r="AQ166" s="586">
        <f t="shared" si="106"/>
        <v>0</v>
      </c>
      <c r="AR166" s="586">
        <f t="shared" si="106"/>
        <v>0</v>
      </c>
      <c r="AS166" s="586">
        <f t="shared" si="106"/>
        <v>0</v>
      </c>
      <c r="AT166" s="170"/>
    </row>
    <row r="167" spans="1:46" ht="15" x14ac:dyDescent="0.25">
      <c r="A167" s="170"/>
      <c r="B167" s="719"/>
      <c r="C167" s="170" t="str">
        <f t="shared" si="105"/>
        <v>11cy</v>
      </c>
      <c r="D167" s="170"/>
      <c r="E167" s="170"/>
      <c r="F167" s="170">
        <f>+Parameters!D14</f>
        <v>11</v>
      </c>
      <c r="G167" s="170" t="str">
        <f>+Parameters!E14</f>
        <v>Excavation ( incl machine / hand / trench)</v>
      </c>
      <c r="H167" s="586">
        <f t="shared" si="107"/>
        <v>0</v>
      </c>
      <c r="I167" s="170" t="str">
        <f>+Parameters!F14</f>
        <v>cy</v>
      </c>
      <c r="J167" s="170"/>
      <c r="K167" s="170"/>
      <c r="L167" s="170"/>
      <c r="M167" s="730"/>
      <c r="N167" s="730"/>
      <c r="O167" s="730"/>
      <c r="P167" s="731"/>
      <c r="Q167" s="731"/>
      <c r="R167" s="730"/>
      <c r="S167" s="730"/>
      <c r="T167" s="723"/>
      <c r="U167" s="724"/>
      <c r="V167" s="725"/>
      <c r="W167" s="725"/>
      <c r="X167" s="723"/>
      <c r="Y167" s="723"/>
      <c r="Z167" s="723"/>
      <c r="AA167" s="726"/>
      <c r="AB167" s="726"/>
      <c r="AC167" s="170"/>
      <c r="AD167" s="586">
        <f t="shared" si="108"/>
        <v>0</v>
      </c>
      <c r="AE167" s="586">
        <f t="shared" si="106"/>
        <v>0</v>
      </c>
      <c r="AF167" s="586">
        <f t="shared" si="106"/>
        <v>0</v>
      </c>
      <c r="AG167" s="586">
        <f t="shared" si="106"/>
        <v>0</v>
      </c>
      <c r="AH167" s="586">
        <f t="shared" si="106"/>
        <v>0</v>
      </c>
      <c r="AI167" s="586">
        <f t="shared" si="106"/>
        <v>0</v>
      </c>
      <c r="AJ167" s="586">
        <f t="shared" si="106"/>
        <v>0</v>
      </c>
      <c r="AK167" s="586">
        <f t="shared" si="106"/>
        <v>0</v>
      </c>
      <c r="AL167" s="586">
        <f t="shared" si="106"/>
        <v>0</v>
      </c>
      <c r="AM167" s="586">
        <f t="shared" si="106"/>
        <v>0</v>
      </c>
      <c r="AN167" s="586">
        <f t="shared" si="106"/>
        <v>0</v>
      </c>
      <c r="AO167" s="586">
        <f t="shared" si="106"/>
        <v>0</v>
      </c>
      <c r="AP167" s="586">
        <f t="shared" si="106"/>
        <v>0</v>
      </c>
      <c r="AQ167" s="586">
        <f t="shared" si="106"/>
        <v>0</v>
      </c>
      <c r="AR167" s="586">
        <f t="shared" si="106"/>
        <v>0</v>
      </c>
      <c r="AS167" s="586">
        <f t="shared" si="106"/>
        <v>0</v>
      </c>
      <c r="AT167" s="170"/>
    </row>
    <row r="168" spans="1:46" ht="15" x14ac:dyDescent="0.25">
      <c r="A168" s="170"/>
      <c r="B168" s="719"/>
      <c r="C168" s="170" t="str">
        <f t="shared" si="105"/>
        <v>12cy</v>
      </c>
      <c r="D168" s="170"/>
      <c r="E168" s="170"/>
      <c r="F168" s="170">
        <f>+Parameters!D15</f>
        <v>12</v>
      </c>
      <c r="G168" s="170" t="str">
        <f>+Parameters!E15</f>
        <v>Rock Excavation</v>
      </c>
      <c r="H168" s="586">
        <f t="shared" si="107"/>
        <v>0</v>
      </c>
      <c r="I168" s="170" t="str">
        <f>+Parameters!F15</f>
        <v>cy</v>
      </c>
      <c r="J168" s="170"/>
      <c r="K168" s="170"/>
      <c r="L168" s="170"/>
      <c r="M168" s="730"/>
      <c r="N168" s="730"/>
      <c r="O168" s="730"/>
      <c r="P168" s="731"/>
      <c r="Q168" s="731"/>
      <c r="R168" s="730"/>
      <c r="S168" s="730"/>
      <c r="T168" s="723"/>
      <c r="U168" s="724"/>
      <c r="V168" s="725"/>
      <c r="W168" s="725"/>
      <c r="X168" s="723"/>
      <c r="Y168" s="723"/>
      <c r="Z168" s="723"/>
      <c r="AA168" s="726"/>
      <c r="AB168" s="726"/>
      <c r="AC168" s="170"/>
      <c r="AD168" s="586">
        <f t="shared" si="108"/>
        <v>0</v>
      </c>
      <c r="AE168" s="586">
        <f t="shared" si="106"/>
        <v>0</v>
      </c>
      <c r="AF168" s="586">
        <f t="shared" si="106"/>
        <v>0</v>
      </c>
      <c r="AG168" s="586">
        <f t="shared" si="106"/>
        <v>0</v>
      </c>
      <c r="AH168" s="586">
        <f t="shared" si="106"/>
        <v>0</v>
      </c>
      <c r="AI168" s="586">
        <f t="shared" si="106"/>
        <v>0</v>
      </c>
      <c r="AJ168" s="586">
        <f t="shared" si="106"/>
        <v>0</v>
      </c>
      <c r="AK168" s="586">
        <f t="shared" si="106"/>
        <v>0</v>
      </c>
      <c r="AL168" s="586">
        <f t="shared" si="106"/>
        <v>0</v>
      </c>
      <c r="AM168" s="586">
        <f t="shared" si="106"/>
        <v>0</v>
      </c>
      <c r="AN168" s="586">
        <f t="shared" si="106"/>
        <v>0</v>
      </c>
      <c r="AO168" s="586">
        <f t="shared" si="106"/>
        <v>0</v>
      </c>
      <c r="AP168" s="586">
        <f t="shared" si="106"/>
        <v>0</v>
      </c>
      <c r="AQ168" s="586">
        <f t="shared" si="106"/>
        <v>0</v>
      </c>
      <c r="AR168" s="586">
        <f t="shared" si="106"/>
        <v>0</v>
      </c>
      <c r="AS168" s="586">
        <f t="shared" si="106"/>
        <v>0</v>
      </c>
      <c r="AT168" s="170"/>
    </row>
    <row r="169" spans="1:46" ht="15" x14ac:dyDescent="0.25">
      <c r="A169" s="170"/>
      <c r="B169" s="719"/>
      <c r="C169" s="170" t="str">
        <f t="shared" si="105"/>
        <v>13cy</v>
      </c>
      <c r="D169" s="170"/>
      <c r="E169" s="170"/>
      <c r="F169" s="170">
        <f>+Parameters!D16</f>
        <v>13</v>
      </c>
      <c r="G169" s="170" t="str">
        <f>+Parameters!E16</f>
        <v>Soil disposal</v>
      </c>
      <c r="H169" s="586">
        <f t="shared" si="107"/>
        <v>0</v>
      </c>
      <c r="I169" s="170" t="str">
        <f>+Parameters!F16</f>
        <v>cy</v>
      </c>
      <c r="J169" s="170"/>
      <c r="K169" s="170"/>
      <c r="L169" s="170"/>
      <c r="M169" s="730"/>
      <c r="N169" s="730"/>
      <c r="O169" s="730"/>
      <c r="P169" s="731"/>
      <c r="Q169" s="731"/>
      <c r="R169" s="730"/>
      <c r="S169" s="730"/>
      <c r="T169" s="723"/>
      <c r="U169" s="724"/>
      <c r="V169" s="725"/>
      <c r="W169" s="725"/>
      <c r="X169" s="723"/>
      <c r="Y169" s="723"/>
      <c r="Z169" s="723"/>
      <c r="AA169" s="726"/>
      <c r="AB169" s="726"/>
      <c r="AC169" s="170"/>
      <c r="AD169" s="586">
        <f t="shared" si="108"/>
        <v>0</v>
      </c>
      <c r="AE169" s="586">
        <f t="shared" si="106"/>
        <v>0</v>
      </c>
      <c r="AF169" s="586">
        <f t="shared" si="106"/>
        <v>0</v>
      </c>
      <c r="AG169" s="586">
        <f t="shared" si="106"/>
        <v>0</v>
      </c>
      <c r="AH169" s="586">
        <f t="shared" si="106"/>
        <v>0</v>
      </c>
      <c r="AI169" s="586">
        <f t="shared" si="106"/>
        <v>0</v>
      </c>
      <c r="AJ169" s="586">
        <f t="shared" si="106"/>
        <v>0</v>
      </c>
      <c r="AK169" s="586">
        <f t="shared" si="106"/>
        <v>0</v>
      </c>
      <c r="AL169" s="586">
        <f t="shared" si="106"/>
        <v>0</v>
      </c>
      <c r="AM169" s="586">
        <f t="shared" si="106"/>
        <v>0</v>
      </c>
      <c r="AN169" s="586">
        <f t="shared" si="106"/>
        <v>0</v>
      </c>
      <c r="AO169" s="586">
        <f t="shared" si="106"/>
        <v>0</v>
      </c>
      <c r="AP169" s="586">
        <f t="shared" si="106"/>
        <v>0</v>
      </c>
      <c r="AQ169" s="586">
        <f t="shared" si="106"/>
        <v>0</v>
      </c>
      <c r="AR169" s="586">
        <f t="shared" si="106"/>
        <v>0</v>
      </c>
      <c r="AS169" s="586">
        <f t="shared" si="106"/>
        <v>0</v>
      </c>
      <c r="AT169" s="170"/>
    </row>
    <row r="170" spans="1:46" ht="15" x14ac:dyDescent="0.25">
      <c r="A170" s="170"/>
      <c r="B170" s="719"/>
      <c r="C170" s="170" t="str">
        <f t="shared" si="105"/>
        <v>14cy</v>
      </c>
      <c r="D170" s="170"/>
      <c r="E170" s="170"/>
      <c r="F170" s="170">
        <f>+Parameters!D17</f>
        <v>14</v>
      </c>
      <c r="G170" s="170" t="str">
        <f>+Parameters!E17</f>
        <v>Backfill - earth</v>
      </c>
      <c r="H170" s="586">
        <f t="shared" si="107"/>
        <v>0</v>
      </c>
      <c r="I170" s="170" t="str">
        <f>+Parameters!F17</f>
        <v>cy</v>
      </c>
      <c r="J170" s="170"/>
      <c r="K170" s="170"/>
      <c r="L170" s="170"/>
      <c r="M170" s="730"/>
      <c r="N170" s="730"/>
      <c r="O170" s="730"/>
      <c r="P170" s="731"/>
      <c r="Q170" s="731"/>
      <c r="R170" s="730"/>
      <c r="S170" s="730"/>
      <c r="T170" s="723"/>
      <c r="U170" s="724"/>
      <c r="V170" s="725"/>
      <c r="W170" s="725"/>
      <c r="X170" s="723"/>
      <c r="Y170" s="723"/>
      <c r="Z170" s="723"/>
      <c r="AA170" s="726"/>
      <c r="AB170" s="726"/>
      <c r="AC170" s="170"/>
      <c r="AD170" s="586">
        <f t="shared" si="108"/>
        <v>0</v>
      </c>
      <c r="AE170" s="586">
        <f t="shared" si="106"/>
        <v>0</v>
      </c>
      <c r="AF170" s="586">
        <f t="shared" si="106"/>
        <v>0</v>
      </c>
      <c r="AG170" s="586">
        <f t="shared" si="106"/>
        <v>0</v>
      </c>
      <c r="AH170" s="586">
        <f t="shared" si="106"/>
        <v>0</v>
      </c>
      <c r="AI170" s="586">
        <f t="shared" si="106"/>
        <v>0</v>
      </c>
      <c r="AJ170" s="586">
        <f t="shared" si="106"/>
        <v>0</v>
      </c>
      <c r="AK170" s="586">
        <f t="shared" si="106"/>
        <v>0</v>
      </c>
      <c r="AL170" s="586">
        <f t="shared" si="106"/>
        <v>0</v>
      </c>
      <c r="AM170" s="586">
        <f t="shared" si="106"/>
        <v>0</v>
      </c>
      <c r="AN170" s="586">
        <f t="shared" si="106"/>
        <v>0</v>
      </c>
      <c r="AO170" s="586">
        <f t="shared" si="106"/>
        <v>0</v>
      </c>
      <c r="AP170" s="586">
        <f t="shared" si="106"/>
        <v>0</v>
      </c>
      <c r="AQ170" s="586">
        <f t="shared" si="106"/>
        <v>0</v>
      </c>
      <c r="AR170" s="586">
        <f t="shared" si="106"/>
        <v>0</v>
      </c>
      <c r="AS170" s="586">
        <f t="shared" si="106"/>
        <v>0</v>
      </c>
      <c r="AT170" s="170"/>
    </row>
    <row r="171" spans="1:46" ht="15" x14ac:dyDescent="0.25">
      <c r="A171" s="170"/>
      <c r="B171" s="719"/>
      <c r="C171" s="170" t="str">
        <f t="shared" si="105"/>
        <v>15cy</v>
      </c>
      <c r="D171" s="170"/>
      <c r="E171" s="170"/>
      <c r="F171" s="170">
        <f>+Parameters!D18</f>
        <v>15</v>
      </c>
      <c r="G171" s="170" t="str">
        <f>+Parameters!E18</f>
        <v>Backfill- stone ( incl trap rock and surfacing)</v>
      </c>
      <c r="H171" s="586">
        <f t="shared" si="107"/>
        <v>0</v>
      </c>
      <c r="I171" s="170" t="str">
        <f>+Parameters!F18</f>
        <v>cy</v>
      </c>
      <c r="J171" s="170"/>
      <c r="K171" s="170"/>
      <c r="L171" s="170"/>
      <c r="M171" s="730"/>
      <c r="N171" s="730"/>
      <c r="O171" s="730"/>
      <c r="P171" s="731"/>
      <c r="Q171" s="731"/>
      <c r="R171" s="730"/>
      <c r="S171" s="730"/>
      <c r="T171" s="723"/>
      <c r="U171" s="724"/>
      <c r="V171" s="725"/>
      <c r="W171" s="725"/>
      <c r="X171" s="723"/>
      <c r="Y171" s="723"/>
      <c r="Z171" s="723"/>
      <c r="AA171" s="726"/>
      <c r="AB171" s="726"/>
      <c r="AC171" s="170"/>
      <c r="AD171" s="586">
        <f t="shared" si="108"/>
        <v>0</v>
      </c>
      <c r="AE171" s="586">
        <f t="shared" si="106"/>
        <v>0</v>
      </c>
      <c r="AF171" s="586">
        <f t="shared" si="106"/>
        <v>0</v>
      </c>
      <c r="AG171" s="586">
        <f t="shared" si="106"/>
        <v>0</v>
      </c>
      <c r="AH171" s="586">
        <f t="shared" si="106"/>
        <v>0</v>
      </c>
      <c r="AI171" s="586">
        <f t="shared" si="106"/>
        <v>0</v>
      </c>
      <c r="AJ171" s="586">
        <f t="shared" si="106"/>
        <v>0</v>
      </c>
      <c r="AK171" s="586">
        <f t="shared" si="106"/>
        <v>0</v>
      </c>
      <c r="AL171" s="586">
        <f t="shared" si="106"/>
        <v>0</v>
      </c>
      <c r="AM171" s="586">
        <f t="shared" si="106"/>
        <v>0</v>
      </c>
      <c r="AN171" s="586">
        <f t="shared" si="106"/>
        <v>0</v>
      </c>
      <c r="AO171" s="586">
        <f t="shared" si="106"/>
        <v>0</v>
      </c>
      <c r="AP171" s="586">
        <f t="shared" si="106"/>
        <v>0</v>
      </c>
      <c r="AQ171" s="586">
        <f t="shared" si="106"/>
        <v>0</v>
      </c>
      <c r="AR171" s="586">
        <f t="shared" si="106"/>
        <v>0</v>
      </c>
      <c r="AS171" s="586">
        <f t="shared" si="106"/>
        <v>0</v>
      </c>
      <c r="AT171" s="170"/>
    </row>
    <row r="172" spans="1:46" ht="15" x14ac:dyDescent="0.25">
      <c r="A172" s="170"/>
      <c r="B172" s="719"/>
      <c r="C172" s="170" t="str">
        <f t="shared" si="105"/>
        <v>16lf</v>
      </c>
      <c r="D172" s="170"/>
      <c r="E172" s="170"/>
      <c r="F172" s="170">
        <f>+Parameters!D19</f>
        <v>16</v>
      </c>
      <c r="G172" s="170" t="str">
        <f>+Parameters!E19</f>
        <v>Fence / Gates</v>
      </c>
      <c r="H172" s="586">
        <f t="shared" si="107"/>
        <v>0</v>
      </c>
      <c r="I172" s="170" t="str">
        <f>+Parameters!F19</f>
        <v>lf</v>
      </c>
      <c r="J172" s="170"/>
      <c r="K172" s="170"/>
      <c r="L172" s="170"/>
      <c r="M172" s="730"/>
      <c r="N172" s="730"/>
      <c r="O172" s="730"/>
      <c r="P172" s="731"/>
      <c r="Q172" s="731"/>
      <c r="R172" s="730"/>
      <c r="S172" s="730"/>
      <c r="T172" s="723"/>
      <c r="U172" s="724"/>
      <c r="V172" s="725"/>
      <c r="W172" s="725"/>
      <c r="X172" s="723"/>
      <c r="Y172" s="723"/>
      <c r="Z172" s="723"/>
      <c r="AA172" s="726"/>
      <c r="AB172" s="726"/>
      <c r="AC172" s="170"/>
      <c r="AD172" s="586">
        <f t="shared" si="108"/>
        <v>0</v>
      </c>
      <c r="AE172" s="586">
        <f t="shared" si="106"/>
        <v>0</v>
      </c>
      <c r="AF172" s="586">
        <f t="shared" si="106"/>
        <v>0</v>
      </c>
      <c r="AG172" s="586">
        <f t="shared" si="106"/>
        <v>0</v>
      </c>
      <c r="AH172" s="586">
        <f t="shared" si="106"/>
        <v>0</v>
      </c>
      <c r="AI172" s="586">
        <f t="shared" si="106"/>
        <v>0</v>
      </c>
      <c r="AJ172" s="586">
        <f t="shared" si="106"/>
        <v>0</v>
      </c>
      <c r="AK172" s="586">
        <f t="shared" si="106"/>
        <v>0</v>
      </c>
      <c r="AL172" s="586">
        <f t="shared" si="106"/>
        <v>0</v>
      </c>
      <c r="AM172" s="586">
        <f t="shared" si="106"/>
        <v>0</v>
      </c>
      <c r="AN172" s="586">
        <f t="shared" si="106"/>
        <v>0</v>
      </c>
      <c r="AO172" s="586">
        <f t="shared" si="106"/>
        <v>0</v>
      </c>
      <c r="AP172" s="586">
        <f t="shared" si="106"/>
        <v>0</v>
      </c>
      <c r="AQ172" s="586">
        <f t="shared" si="106"/>
        <v>0</v>
      </c>
      <c r="AR172" s="586">
        <f t="shared" si="106"/>
        <v>0</v>
      </c>
      <c r="AS172" s="586">
        <f t="shared" si="106"/>
        <v>0</v>
      </c>
      <c r="AT172" s="170"/>
    </row>
    <row r="173" spans="1:46" ht="15" x14ac:dyDescent="0.25">
      <c r="A173" s="170"/>
      <c r="B173" s="719"/>
      <c r="C173" s="170" t="str">
        <f t="shared" si="105"/>
        <v>17lf</v>
      </c>
      <c r="D173" s="170"/>
      <c r="E173" s="170"/>
      <c r="F173" s="170">
        <f>+Parameters!D20</f>
        <v>17</v>
      </c>
      <c r="G173" s="170" t="str">
        <f>+Parameters!E20</f>
        <v>CIP Fence, Gates, Balistic protection</v>
      </c>
      <c r="H173" s="586">
        <f t="shared" si="107"/>
        <v>0</v>
      </c>
      <c r="I173" s="170" t="str">
        <f>+Parameters!F20</f>
        <v>lf</v>
      </c>
      <c r="J173" s="170"/>
      <c r="K173" s="170"/>
      <c r="L173" s="170"/>
      <c r="M173" s="730"/>
      <c r="N173" s="730"/>
      <c r="O173" s="730"/>
      <c r="P173" s="731"/>
      <c r="Q173" s="731"/>
      <c r="R173" s="730"/>
      <c r="S173" s="730"/>
      <c r="T173" s="723"/>
      <c r="U173" s="724"/>
      <c r="V173" s="725"/>
      <c r="W173" s="725"/>
      <c r="X173" s="723"/>
      <c r="Y173" s="723"/>
      <c r="Z173" s="723"/>
      <c r="AA173" s="726"/>
      <c r="AB173" s="726"/>
      <c r="AC173" s="170"/>
      <c r="AD173" s="586">
        <f t="shared" si="108"/>
        <v>0</v>
      </c>
      <c r="AE173" s="586">
        <f t="shared" si="108"/>
        <v>0</v>
      </c>
      <c r="AF173" s="586">
        <f t="shared" si="108"/>
        <v>0</v>
      </c>
      <c r="AG173" s="586">
        <f t="shared" si="108"/>
        <v>0</v>
      </c>
      <c r="AH173" s="586">
        <f t="shared" si="108"/>
        <v>0</v>
      </c>
      <c r="AI173" s="586">
        <f t="shared" si="108"/>
        <v>0</v>
      </c>
      <c r="AJ173" s="586">
        <f t="shared" si="108"/>
        <v>0</v>
      </c>
      <c r="AK173" s="586">
        <f t="shared" si="108"/>
        <v>0</v>
      </c>
      <c r="AL173" s="586">
        <f t="shared" si="108"/>
        <v>0</v>
      </c>
      <c r="AM173" s="586">
        <f t="shared" si="108"/>
        <v>0</v>
      </c>
      <c r="AN173" s="586">
        <f t="shared" si="108"/>
        <v>0</v>
      </c>
      <c r="AO173" s="586">
        <f t="shared" si="108"/>
        <v>0</v>
      </c>
      <c r="AP173" s="586">
        <f t="shared" si="108"/>
        <v>0</v>
      </c>
      <c r="AQ173" s="586">
        <f t="shared" si="108"/>
        <v>0</v>
      </c>
      <c r="AR173" s="586">
        <f t="shared" si="108"/>
        <v>0</v>
      </c>
      <c r="AS173" s="586">
        <f t="shared" si="108"/>
        <v>0</v>
      </c>
      <c r="AT173" s="170"/>
    </row>
    <row r="174" spans="1:46" ht="15" x14ac:dyDescent="0.25">
      <c r="A174" s="170"/>
      <c r="B174" s="719"/>
      <c r="C174" s="170" t="str">
        <f t="shared" si="105"/>
        <v>180</v>
      </c>
      <c r="D174" s="170"/>
      <c r="E174" s="170"/>
      <c r="F174" s="170">
        <f>+Parameters!D21</f>
        <v>18</v>
      </c>
      <c r="G174" s="170" t="str">
        <f>+Parameters!E21</f>
        <v>Sound walls/ retaining walls</v>
      </c>
      <c r="H174" s="586">
        <f t="shared" si="107"/>
        <v>0</v>
      </c>
      <c r="I174" s="170">
        <f>+Parameters!F21</f>
        <v>0</v>
      </c>
      <c r="J174" s="170"/>
      <c r="K174" s="170"/>
      <c r="L174" s="170"/>
      <c r="M174" s="730"/>
      <c r="N174" s="730"/>
      <c r="O174" s="730"/>
      <c r="P174" s="731"/>
      <c r="Q174" s="731"/>
      <c r="R174" s="730"/>
      <c r="S174" s="730"/>
      <c r="T174" s="723"/>
      <c r="U174" s="724"/>
      <c r="V174" s="725"/>
      <c r="W174" s="725"/>
      <c r="X174" s="723"/>
      <c r="Y174" s="723"/>
      <c r="Z174" s="723"/>
      <c r="AA174" s="726"/>
      <c r="AB174" s="726"/>
      <c r="AC174" s="170"/>
      <c r="AD174" s="586">
        <f t="shared" si="108"/>
        <v>0</v>
      </c>
      <c r="AE174" s="586">
        <f t="shared" si="108"/>
        <v>0</v>
      </c>
      <c r="AF174" s="586">
        <f t="shared" si="108"/>
        <v>0</v>
      </c>
      <c r="AG174" s="586">
        <f t="shared" si="108"/>
        <v>0</v>
      </c>
      <c r="AH174" s="586">
        <f t="shared" si="108"/>
        <v>0</v>
      </c>
      <c r="AI174" s="586">
        <f t="shared" si="108"/>
        <v>0</v>
      </c>
      <c r="AJ174" s="586">
        <f t="shared" si="108"/>
        <v>0</v>
      </c>
      <c r="AK174" s="586">
        <f t="shared" si="108"/>
        <v>0</v>
      </c>
      <c r="AL174" s="586">
        <f t="shared" si="108"/>
        <v>0</v>
      </c>
      <c r="AM174" s="586">
        <f t="shared" si="108"/>
        <v>0</v>
      </c>
      <c r="AN174" s="586">
        <f t="shared" si="108"/>
        <v>0</v>
      </c>
      <c r="AO174" s="586">
        <f t="shared" si="108"/>
        <v>0</v>
      </c>
      <c r="AP174" s="586">
        <f t="shared" si="108"/>
        <v>0</v>
      </c>
      <c r="AQ174" s="586">
        <f t="shared" si="108"/>
        <v>0</v>
      </c>
      <c r="AR174" s="586">
        <f t="shared" si="108"/>
        <v>0</v>
      </c>
      <c r="AS174" s="586">
        <f t="shared" si="108"/>
        <v>0</v>
      </c>
      <c r="AT174" s="170"/>
    </row>
    <row r="175" spans="1:46" ht="15" x14ac:dyDescent="0.25">
      <c r="A175" s="170"/>
      <c r="B175" s="719"/>
      <c r="C175" s="170" t="str">
        <f t="shared" si="105"/>
        <v>190</v>
      </c>
      <c r="D175" s="170"/>
      <c r="E175" s="170"/>
      <c r="F175" s="170">
        <f>+Parameters!D22</f>
        <v>19</v>
      </c>
      <c r="G175" s="170" t="str">
        <f>+Parameters!E22</f>
        <v>Other</v>
      </c>
      <c r="H175" s="586">
        <f t="shared" si="107"/>
        <v>0</v>
      </c>
      <c r="I175" s="170">
        <f>+Parameters!F22</f>
        <v>0</v>
      </c>
      <c r="J175" s="170"/>
      <c r="K175" s="170"/>
      <c r="L175" s="170"/>
      <c r="M175" s="730"/>
      <c r="N175" s="730"/>
      <c r="O175" s="730"/>
      <c r="P175" s="731"/>
      <c r="Q175" s="731"/>
      <c r="R175" s="730"/>
      <c r="S175" s="730"/>
      <c r="T175" s="723"/>
      <c r="U175" s="724"/>
      <c r="V175" s="725"/>
      <c r="W175" s="725"/>
      <c r="X175" s="723"/>
      <c r="Y175" s="723"/>
      <c r="Z175" s="723"/>
      <c r="AA175" s="726"/>
      <c r="AB175" s="726"/>
      <c r="AC175" s="170"/>
      <c r="AD175" s="586">
        <f t="shared" si="108"/>
        <v>0</v>
      </c>
      <c r="AE175" s="586">
        <f t="shared" si="108"/>
        <v>0</v>
      </c>
      <c r="AF175" s="586">
        <f t="shared" si="108"/>
        <v>0</v>
      </c>
      <c r="AG175" s="586">
        <f t="shared" si="108"/>
        <v>0</v>
      </c>
      <c r="AH175" s="586">
        <f t="shared" si="108"/>
        <v>0</v>
      </c>
      <c r="AI175" s="586">
        <f t="shared" si="108"/>
        <v>0</v>
      </c>
      <c r="AJ175" s="586">
        <f t="shared" si="108"/>
        <v>0</v>
      </c>
      <c r="AK175" s="586">
        <f t="shared" si="108"/>
        <v>0</v>
      </c>
      <c r="AL175" s="586">
        <f t="shared" si="108"/>
        <v>0</v>
      </c>
      <c r="AM175" s="586">
        <f t="shared" si="108"/>
        <v>0</v>
      </c>
      <c r="AN175" s="586">
        <f t="shared" si="108"/>
        <v>0</v>
      </c>
      <c r="AO175" s="586">
        <f t="shared" si="108"/>
        <v>0</v>
      </c>
      <c r="AP175" s="586">
        <f t="shared" si="108"/>
        <v>0</v>
      </c>
      <c r="AQ175" s="586">
        <f t="shared" si="108"/>
        <v>0</v>
      </c>
      <c r="AR175" s="586">
        <f t="shared" si="108"/>
        <v>0</v>
      </c>
      <c r="AS175" s="586">
        <f t="shared" si="108"/>
        <v>0</v>
      </c>
      <c r="AT175" s="170"/>
    </row>
    <row r="176" spans="1:46" ht="15" x14ac:dyDescent="0.25">
      <c r="A176" s="170"/>
      <c r="B176" s="719"/>
      <c r="C176" s="170" t="str">
        <f t="shared" si="105"/>
        <v>200</v>
      </c>
      <c r="D176" s="170"/>
      <c r="E176" s="170"/>
      <c r="F176" s="170">
        <f>+Parameters!D23</f>
        <v>20</v>
      </c>
      <c r="G176" s="170" t="str">
        <f>+Parameters!E23</f>
        <v>Trench (Trenwa type)</v>
      </c>
      <c r="H176" s="586">
        <f t="shared" si="107"/>
        <v>0</v>
      </c>
      <c r="I176" s="170">
        <f>+Parameters!F23</f>
        <v>0</v>
      </c>
      <c r="J176" s="170"/>
      <c r="K176" s="170"/>
      <c r="L176" s="170"/>
      <c r="M176" s="730"/>
      <c r="N176" s="730"/>
      <c r="O176" s="730"/>
      <c r="P176" s="731"/>
      <c r="Q176" s="731"/>
      <c r="R176" s="730"/>
      <c r="S176" s="730"/>
      <c r="T176" s="723"/>
      <c r="U176" s="724"/>
      <c r="V176" s="725"/>
      <c r="W176" s="725"/>
      <c r="X176" s="723"/>
      <c r="Y176" s="723"/>
      <c r="Z176" s="723"/>
      <c r="AA176" s="726"/>
      <c r="AB176" s="726"/>
      <c r="AC176" s="170"/>
      <c r="AD176" s="586">
        <f t="shared" si="108"/>
        <v>0</v>
      </c>
      <c r="AE176" s="586">
        <f t="shared" si="108"/>
        <v>0</v>
      </c>
      <c r="AF176" s="586">
        <f t="shared" si="108"/>
        <v>0</v>
      </c>
      <c r="AG176" s="586">
        <f t="shared" si="108"/>
        <v>0</v>
      </c>
      <c r="AH176" s="586">
        <f t="shared" si="108"/>
        <v>0</v>
      </c>
      <c r="AI176" s="586">
        <f t="shared" si="108"/>
        <v>0</v>
      </c>
      <c r="AJ176" s="586">
        <f t="shared" si="108"/>
        <v>0</v>
      </c>
      <c r="AK176" s="586">
        <f t="shared" si="108"/>
        <v>0</v>
      </c>
      <c r="AL176" s="586">
        <f t="shared" si="108"/>
        <v>0</v>
      </c>
      <c r="AM176" s="586">
        <f t="shared" si="108"/>
        <v>0</v>
      </c>
      <c r="AN176" s="586">
        <f t="shared" si="108"/>
        <v>0</v>
      </c>
      <c r="AO176" s="586">
        <f t="shared" si="108"/>
        <v>0</v>
      </c>
      <c r="AP176" s="586">
        <f t="shared" si="108"/>
        <v>0</v>
      </c>
      <c r="AQ176" s="586">
        <f t="shared" si="108"/>
        <v>0</v>
      </c>
      <c r="AR176" s="586">
        <f t="shared" si="108"/>
        <v>0</v>
      </c>
      <c r="AS176" s="586">
        <f t="shared" si="108"/>
        <v>0</v>
      </c>
      <c r="AT176" s="170"/>
    </row>
    <row r="177" spans="1:46" ht="15" x14ac:dyDescent="0.25">
      <c r="A177" s="170"/>
      <c r="B177" s="719"/>
      <c r="C177" s="170" t="str">
        <f t="shared" si="105"/>
        <v>21lf</v>
      </c>
      <c r="D177" s="170"/>
      <c r="E177" s="170"/>
      <c r="F177" s="170">
        <f>+Parameters!D24</f>
        <v>21</v>
      </c>
      <c r="G177" s="170" t="str">
        <f>+Parameters!E24</f>
        <v>Ductbank ( incl conduit)</v>
      </c>
      <c r="H177" s="586">
        <f t="shared" si="107"/>
        <v>0</v>
      </c>
      <c r="I177" s="170" t="str">
        <f>+Parameters!F24</f>
        <v>lf</v>
      </c>
      <c r="J177" s="170"/>
      <c r="K177" s="170"/>
      <c r="L177" s="170"/>
      <c r="M177" s="730"/>
      <c r="N177" s="730"/>
      <c r="O177" s="730"/>
      <c r="P177" s="731"/>
      <c r="Q177" s="731"/>
      <c r="R177" s="730"/>
      <c r="S177" s="730"/>
      <c r="T177" s="723"/>
      <c r="U177" s="724"/>
      <c r="V177" s="725"/>
      <c r="W177" s="725"/>
      <c r="X177" s="723"/>
      <c r="Y177" s="723"/>
      <c r="Z177" s="723"/>
      <c r="AA177" s="726"/>
      <c r="AB177" s="726"/>
      <c r="AC177" s="170"/>
      <c r="AD177" s="586">
        <f t="shared" si="108"/>
        <v>0</v>
      </c>
      <c r="AE177" s="586">
        <f t="shared" si="108"/>
        <v>0</v>
      </c>
      <c r="AF177" s="586">
        <f t="shared" si="108"/>
        <v>0</v>
      </c>
      <c r="AG177" s="586">
        <f t="shared" si="108"/>
        <v>0</v>
      </c>
      <c r="AH177" s="586">
        <f t="shared" si="108"/>
        <v>0</v>
      </c>
      <c r="AI177" s="586">
        <f t="shared" si="108"/>
        <v>0</v>
      </c>
      <c r="AJ177" s="586">
        <f t="shared" si="108"/>
        <v>0</v>
      </c>
      <c r="AK177" s="586">
        <f t="shared" si="108"/>
        <v>0</v>
      </c>
      <c r="AL177" s="586">
        <f t="shared" si="108"/>
        <v>0</v>
      </c>
      <c r="AM177" s="586">
        <f t="shared" si="108"/>
        <v>0</v>
      </c>
      <c r="AN177" s="586">
        <f t="shared" si="108"/>
        <v>0</v>
      </c>
      <c r="AO177" s="586">
        <f t="shared" si="108"/>
        <v>0</v>
      </c>
      <c r="AP177" s="586">
        <f t="shared" si="108"/>
        <v>0</v>
      </c>
      <c r="AQ177" s="586">
        <f t="shared" si="108"/>
        <v>0</v>
      </c>
      <c r="AR177" s="586">
        <f t="shared" si="108"/>
        <v>0</v>
      </c>
      <c r="AS177" s="586">
        <f t="shared" si="108"/>
        <v>0</v>
      </c>
      <c r="AT177" s="170"/>
    </row>
    <row r="178" spans="1:46" ht="15" x14ac:dyDescent="0.25">
      <c r="A178" s="170"/>
      <c r="B178" s="719"/>
      <c r="C178" s="170" t="str">
        <f t="shared" si="105"/>
        <v>22lf</v>
      </c>
      <c r="D178" s="170"/>
      <c r="E178" s="170"/>
      <c r="F178" s="170">
        <f>+Parameters!D25</f>
        <v>22</v>
      </c>
      <c r="G178" s="170" t="str">
        <f>+Parameters!E25</f>
        <v>Conduit - AG</v>
      </c>
      <c r="H178" s="586">
        <f t="shared" si="107"/>
        <v>0</v>
      </c>
      <c r="I178" s="170" t="str">
        <f>+Parameters!F25</f>
        <v>lf</v>
      </c>
      <c r="J178" s="170"/>
      <c r="K178" s="170"/>
      <c r="L178" s="170"/>
      <c r="M178" s="730"/>
      <c r="N178" s="730"/>
      <c r="O178" s="730"/>
      <c r="P178" s="731"/>
      <c r="Q178" s="731"/>
      <c r="R178" s="730"/>
      <c r="S178" s="730"/>
      <c r="T178" s="723"/>
      <c r="U178" s="724"/>
      <c r="V178" s="725"/>
      <c r="W178" s="725"/>
      <c r="X178" s="723"/>
      <c r="Y178" s="723"/>
      <c r="Z178" s="723"/>
      <c r="AA178" s="726"/>
      <c r="AB178" s="726"/>
      <c r="AC178" s="170"/>
      <c r="AD178" s="586">
        <f t="shared" si="108"/>
        <v>0</v>
      </c>
      <c r="AE178" s="586">
        <f t="shared" si="108"/>
        <v>0</v>
      </c>
      <c r="AF178" s="586">
        <f t="shared" si="108"/>
        <v>0</v>
      </c>
      <c r="AG178" s="586">
        <f t="shared" si="108"/>
        <v>0</v>
      </c>
      <c r="AH178" s="586">
        <f t="shared" si="108"/>
        <v>0</v>
      </c>
      <c r="AI178" s="586">
        <f t="shared" si="108"/>
        <v>0</v>
      </c>
      <c r="AJ178" s="586">
        <f t="shared" si="108"/>
        <v>0</v>
      </c>
      <c r="AK178" s="586">
        <f t="shared" si="108"/>
        <v>0</v>
      </c>
      <c r="AL178" s="586">
        <f t="shared" si="108"/>
        <v>0</v>
      </c>
      <c r="AM178" s="586">
        <f t="shared" si="108"/>
        <v>0</v>
      </c>
      <c r="AN178" s="586">
        <f t="shared" si="108"/>
        <v>0</v>
      </c>
      <c r="AO178" s="586">
        <f t="shared" si="108"/>
        <v>0</v>
      </c>
      <c r="AP178" s="586">
        <f t="shared" si="108"/>
        <v>0</v>
      </c>
      <c r="AQ178" s="586">
        <f t="shared" si="108"/>
        <v>0</v>
      </c>
      <c r="AR178" s="586">
        <f t="shared" si="108"/>
        <v>0</v>
      </c>
      <c r="AS178" s="586">
        <f t="shared" si="108"/>
        <v>0</v>
      </c>
      <c r="AT178" s="170"/>
    </row>
    <row r="179" spans="1:46" ht="15" x14ac:dyDescent="0.25">
      <c r="A179" s="170"/>
      <c r="B179" s="719"/>
      <c r="C179" s="170" t="str">
        <f t="shared" si="105"/>
        <v>23lf</v>
      </c>
      <c r="D179" s="170"/>
      <c r="E179" s="170"/>
      <c r="F179" s="170">
        <f>+Parameters!D26</f>
        <v>23</v>
      </c>
      <c r="G179" s="170" t="str">
        <f>+Parameters!E26</f>
        <v>Conduit - UG ( excl ductbank)</v>
      </c>
      <c r="H179" s="586">
        <f t="shared" si="107"/>
        <v>0</v>
      </c>
      <c r="I179" s="170" t="str">
        <f>+Parameters!F26</f>
        <v>lf</v>
      </c>
      <c r="J179" s="170"/>
      <c r="K179" s="170"/>
      <c r="L179" s="170"/>
      <c r="M179" s="730"/>
      <c r="N179" s="730"/>
      <c r="O179" s="730"/>
      <c r="P179" s="731"/>
      <c r="Q179" s="731"/>
      <c r="R179" s="730"/>
      <c r="S179" s="730"/>
      <c r="T179" s="723"/>
      <c r="U179" s="724"/>
      <c r="V179" s="725"/>
      <c r="W179" s="725"/>
      <c r="X179" s="723"/>
      <c r="Y179" s="723"/>
      <c r="Z179" s="723"/>
      <c r="AA179" s="726"/>
      <c r="AB179" s="726"/>
      <c r="AC179" s="170"/>
      <c r="AD179" s="586">
        <f t="shared" si="108"/>
        <v>0</v>
      </c>
      <c r="AE179" s="586">
        <f t="shared" si="108"/>
        <v>0</v>
      </c>
      <c r="AF179" s="586">
        <f t="shared" si="108"/>
        <v>0</v>
      </c>
      <c r="AG179" s="586">
        <f t="shared" si="108"/>
        <v>0</v>
      </c>
      <c r="AH179" s="586">
        <f t="shared" si="108"/>
        <v>0</v>
      </c>
      <c r="AI179" s="586">
        <f t="shared" si="108"/>
        <v>0</v>
      </c>
      <c r="AJ179" s="586">
        <f t="shared" si="108"/>
        <v>0</v>
      </c>
      <c r="AK179" s="586">
        <f t="shared" si="108"/>
        <v>0</v>
      </c>
      <c r="AL179" s="586">
        <f t="shared" si="108"/>
        <v>0</v>
      </c>
      <c r="AM179" s="586">
        <f t="shared" si="108"/>
        <v>0</v>
      </c>
      <c r="AN179" s="586">
        <f t="shared" si="108"/>
        <v>0</v>
      </c>
      <c r="AO179" s="586">
        <f t="shared" si="108"/>
        <v>0</v>
      </c>
      <c r="AP179" s="586">
        <f t="shared" si="108"/>
        <v>0</v>
      </c>
      <c r="AQ179" s="586">
        <f t="shared" si="108"/>
        <v>0</v>
      </c>
      <c r="AR179" s="586">
        <f t="shared" si="108"/>
        <v>0</v>
      </c>
      <c r="AS179" s="586">
        <f t="shared" si="108"/>
        <v>0</v>
      </c>
      <c r="AT179" s="170"/>
    </row>
    <row r="180" spans="1:46" ht="15" x14ac:dyDescent="0.25">
      <c r="A180" s="170"/>
      <c r="B180" s="719"/>
      <c r="C180" s="170" t="str">
        <f t="shared" si="105"/>
        <v>24lf</v>
      </c>
      <c r="D180" s="170"/>
      <c r="E180" s="170"/>
      <c r="F180" s="170">
        <f>+Parameters!D27</f>
        <v>24</v>
      </c>
      <c r="G180" s="170" t="str">
        <f>+Parameters!E27</f>
        <v>Cable tray</v>
      </c>
      <c r="H180" s="586">
        <f t="shared" si="107"/>
        <v>0</v>
      </c>
      <c r="I180" s="170" t="str">
        <f>+Parameters!F27</f>
        <v>lf</v>
      </c>
      <c r="J180" s="170"/>
      <c r="K180" s="170"/>
      <c r="L180" s="170"/>
      <c r="M180" s="730"/>
      <c r="N180" s="730"/>
      <c r="O180" s="730"/>
      <c r="P180" s="731"/>
      <c r="Q180" s="731"/>
      <c r="R180" s="730"/>
      <c r="S180" s="730"/>
      <c r="T180" s="723"/>
      <c r="U180" s="724"/>
      <c r="V180" s="725"/>
      <c r="W180" s="725"/>
      <c r="X180" s="723"/>
      <c r="Y180" s="723"/>
      <c r="Z180" s="723"/>
      <c r="AA180" s="726"/>
      <c r="AB180" s="726"/>
      <c r="AC180" s="170"/>
      <c r="AD180" s="586">
        <f t="shared" si="108"/>
        <v>0</v>
      </c>
      <c r="AE180" s="586">
        <f t="shared" si="108"/>
        <v>0</v>
      </c>
      <c r="AF180" s="586">
        <f t="shared" si="108"/>
        <v>0</v>
      </c>
      <c r="AG180" s="586">
        <f t="shared" si="108"/>
        <v>0</v>
      </c>
      <c r="AH180" s="586">
        <f t="shared" si="108"/>
        <v>0</v>
      </c>
      <c r="AI180" s="586">
        <f t="shared" si="108"/>
        <v>0</v>
      </c>
      <c r="AJ180" s="586">
        <f t="shared" si="108"/>
        <v>0</v>
      </c>
      <c r="AK180" s="586">
        <f t="shared" si="108"/>
        <v>0</v>
      </c>
      <c r="AL180" s="586">
        <f t="shared" si="108"/>
        <v>0</v>
      </c>
      <c r="AM180" s="586">
        <f t="shared" si="108"/>
        <v>0</v>
      </c>
      <c r="AN180" s="586">
        <f t="shared" si="108"/>
        <v>0</v>
      </c>
      <c r="AO180" s="586">
        <f t="shared" si="108"/>
        <v>0</v>
      </c>
      <c r="AP180" s="586">
        <f t="shared" si="108"/>
        <v>0</v>
      </c>
      <c r="AQ180" s="586">
        <f t="shared" si="108"/>
        <v>0</v>
      </c>
      <c r="AR180" s="586">
        <f t="shared" si="108"/>
        <v>0</v>
      </c>
      <c r="AS180" s="586">
        <f t="shared" si="108"/>
        <v>0</v>
      </c>
      <c r="AT180" s="170"/>
    </row>
    <row r="181" spans="1:46" ht="15" x14ac:dyDescent="0.25">
      <c r="A181" s="170"/>
      <c r="B181" s="719"/>
      <c r="C181" s="170" t="str">
        <f t="shared" si="105"/>
        <v>25lf</v>
      </c>
      <c r="D181" s="170"/>
      <c r="E181" s="170"/>
      <c r="F181" s="170">
        <f>+Parameters!D28</f>
        <v>25</v>
      </c>
      <c r="G181" s="170" t="str">
        <f>+Parameters!E28</f>
        <v>Grounding</v>
      </c>
      <c r="H181" s="586">
        <f t="shared" si="107"/>
        <v>0</v>
      </c>
      <c r="I181" s="170" t="str">
        <f>+Parameters!F28</f>
        <v>lf</v>
      </c>
      <c r="J181" s="170"/>
      <c r="K181" s="170"/>
      <c r="L181" s="170"/>
      <c r="M181" s="730"/>
      <c r="N181" s="730"/>
      <c r="O181" s="730"/>
      <c r="P181" s="731"/>
      <c r="Q181" s="731"/>
      <c r="R181" s="730"/>
      <c r="S181" s="730"/>
      <c r="T181" s="723"/>
      <c r="U181" s="724"/>
      <c r="V181" s="725"/>
      <c r="W181" s="725"/>
      <c r="X181" s="723"/>
      <c r="Y181" s="723"/>
      <c r="Z181" s="723"/>
      <c r="AA181" s="726"/>
      <c r="AB181" s="726"/>
      <c r="AC181" s="170"/>
      <c r="AD181" s="586">
        <f t="shared" si="108"/>
        <v>0</v>
      </c>
      <c r="AE181" s="586">
        <f t="shared" si="108"/>
        <v>0</v>
      </c>
      <c r="AF181" s="586">
        <f t="shared" si="108"/>
        <v>0</v>
      </c>
      <c r="AG181" s="586">
        <f t="shared" si="108"/>
        <v>0</v>
      </c>
      <c r="AH181" s="586">
        <f t="shared" si="108"/>
        <v>0</v>
      </c>
      <c r="AI181" s="586">
        <f t="shared" si="108"/>
        <v>0</v>
      </c>
      <c r="AJ181" s="586">
        <f t="shared" si="108"/>
        <v>0</v>
      </c>
      <c r="AK181" s="586">
        <f t="shared" si="108"/>
        <v>0</v>
      </c>
      <c r="AL181" s="586">
        <f t="shared" si="108"/>
        <v>0</v>
      </c>
      <c r="AM181" s="586">
        <f t="shared" si="108"/>
        <v>0</v>
      </c>
      <c r="AN181" s="586">
        <f t="shared" si="108"/>
        <v>0</v>
      </c>
      <c r="AO181" s="586">
        <f t="shared" si="108"/>
        <v>0</v>
      </c>
      <c r="AP181" s="586">
        <f t="shared" si="108"/>
        <v>0</v>
      </c>
      <c r="AQ181" s="586">
        <f t="shared" si="108"/>
        <v>0</v>
      </c>
      <c r="AR181" s="586">
        <f t="shared" si="108"/>
        <v>0</v>
      </c>
      <c r="AS181" s="586">
        <f t="shared" si="108"/>
        <v>0</v>
      </c>
      <c r="AT181" s="170"/>
    </row>
    <row r="182" spans="1:46" ht="15" x14ac:dyDescent="0.25">
      <c r="A182" s="170"/>
      <c r="B182" s="719"/>
      <c r="C182" s="170" t="str">
        <f t="shared" si="105"/>
        <v>260</v>
      </c>
      <c r="D182" s="170"/>
      <c r="E182" s="170"/>
      <c r="F182" s="170">
        <f>+Parameters!D29</f>
        <v>26</v>
      </c>
      <c r="G182" s="170" t="str">
        <f>+Parameters!E29</f>
        <v>Lighting</v>
      </c>
      <c r="H182" s="586">
        <f t="shared" si="107"/>
        <v>0</v>
      </c>
      <c r="I182" s="170">
        <f>+Parameters!F29</f>
        <v>0</v>
      </c>
      <c r="J182" s="170"/>
      <c r="K182" s="170"/>
      <c r="L182" s="170"/>
      <c r="M182" s="730"/>
      <c r="N182" s="730"/>
      <c r="O182" s="730"/>
      <c r="P182" s="731"/>
      <c r="Q182" s="731"/>
      <c r="R182" s="730"/>
      <c r="S182" s="730"/>
      <c r="T182" s="723"/>
      <c r="U182" s="724"/>
      <c r="V182" s="725"/>
      <c r="W182" s="725"/>
      <c r="X182" s="723"/>
      <c r="Y182" s="723"/>
      <c r="Z182" s="723"/>
      <c r="AA182" s="726"/>
      <c r="AB182" s="726"/>
      <c r="AC182" s="170"/>
      <c r="AD182" s="586">
        <f t="shared" si="108"/>
        <v>0</v>
      </c>
      <c r="AE182" s="586">
        <f t="shared" si="108"/>
        <v>0</v>
      </c>
      <c r="AF182" s="586">
        <f t="shared" si="108"/>
        <v>0</v>
      </c>
      <c r="AG182" s="586">
        <f t="shared" si="108"/>
        <v>0</v>
      </c>
      <c r="AH182" s="586">
        <f t="shared" si="108"/>
        <v>0</v>
      </c>
      <c r="AI182" s="586">
        <f t="shared" si="108"/>
        <v>0</v>
      </c>
      <c r="AJ182" s="586">
        <f t="shared" si="108"/>
        <v>0</v>
      </c>
      <c r="AK182" s="586">
        <f t="shared" si="108"/>
        <v>0</v>
      </c>
      <c r="AL182" s="586">
        <f t="shared" si="108"/>
        <v>0</v>
      </c>
      <c r="AM182" s="586">
        <f t="shared" si="108"/>
        <v>0</v>
      </c>
      <c r="AN182" s="586">
        <f t="shared" si="108"/>
        <v>0</v>
      </c>
      <c r="AO182" s="586">
        <f t="shared" si="108"/>
        <v>0</v>
      </c>
      <c r="AP182" s="586">
        <f t="shared" si="108"/>
        <v>0</v>
      </c>
      <c r="AQ182" s="586">
        <f t="shared" si="108"/>
        <v>0</v>
      </c>
      <c r="AR182" s="586">
        <f t="shared" si="108"/>
        <v>0</v>
      </c>
      <c r="AS182" s="586">
        <f t="shared" si="108"/>
        <v>0</v>
      </c>
      <c r="AT182" s="170"/>
    </row>
    <row r="183" spans="1:46" ht="15" x14ac:dyDescent="0.25">
      <c r="A183" s="170"/>
      <c r="B183" s="719"/>
      <c r="C183" s="170" t="str">
        <f t="shared" si="105"/>
        <v>270</v>
      </c>
      <c r="D183" s="170"/>
      <c r="E183" s="170"/>
      <c r="F183" s="170">
        <f>+Parameters!D30</f>
        <v>27</v>
      </c>
      <c r="G183" s="170">
        <f>+Parameters!E30</f>
        <v>0</v>
      </c>
      <c r="H183" s="586">
        <f t="shared" si="107"/>
        <v>0</v>
      </c>
      <c r="I183" s="170">
        <f>+Parameters!F30</f>
        <v>0</v>
      </c>
      <c r="J183" s="170"/>
      <c r="K183" s="170"/>
      <c r="L183" s="170"/>
      <c r="M183" s="730"/>
      <c r="N183" s="730"/>
      <c r="O183" s="730"/>
      <c r="P183" s="731"/>
      <c r="Q183" s="731"/>
      <c r="R183" s="730"/>
      <c r="S183" s="730"/>
      <c r="T183" s="723"/>
      <c r="U183" s="724"/>
      <c r="V183" s="725"/>
      <c r="W183" s="725"/>
      <c r="X183" s="723"/>
      <c r="Y183" s="723"/>
      <c r="Z183" s="723"/>
      <c r="AA183" s="726"/>
      <c r="AB183" s="726"/>
      <c r="AC183" s="170"/>
      <c r="AD183" s="586">
        <f t="shared" si="108"/>
        <v>0</v>
      </c>
      <c r="AE183" s="586">
        <f t="shared" si="108"/>
        <v>0</v>
      </c>
      <c r="AF183" s="586">
        <f t="shared" si="108"/>
        <v>0</v>
      </c>
      <c r="AG183" s="586">
        <f t="shared" si="108"/>
        <v>0</v>
      </c>
      <c r="AH183" s="586">
        <f t="shared" si="108"/>
        <v>0</v>
      </c>
      <c r="AI183" s="586">
        <f t="shared" si="108"/>
        <v>0</v>
      </c>
      <c r="AJ183" s="586">
        <f t="shared" si="108"/>
        <v>0</v>
      </c>
      <c r="AK183" s="586">
        <f t="shared" si="108"/>
        <v>0</v>
      </c>
      <c r="AL183" s="586">
        <f t="shared" si="108"/>
        <v>0</v>
      </c>
      <c r="AM183" s="586">
        <f t="shared" si="108"/>
        <v>0</v>
      </c>
      <c r="AN183" s="586">
        <f t="shared" si="108"/>
        <v>0</v>
      </c>
      <c r="AO183" s="586">
        <f t="shared" si="108"/>
        <v>0</v>
      </c>
      <c r="AP183" s="586">
        <f t="shared" si="108"/>
        <v>0</v>
      </c>
      <c r="AQ183" s="586">
        <f t="shared" si="108"/>
        <v>0</v>
      </c>
      <c r="AR183" s="586">
        <f t="shared" si="108"/>
        <v>0</v>
      </c>
      <c r="AS183" s="586">
        <f t="shared" si="108"/>
        <v>0</v>
      </c>
      <c r="AT183" s="170"/>
    </row>
    <row r="184" spans="1:46" ht="15" x14ac:dyDescent="0.25">
      <c r="A184" s="170"/>
      <c r="B184" s="719"/>
      <c r="C184" s="170" t="str">
        <f t="shared" si="105"/>
        <v>280</v>
      </c>
      <c r="D184" s="170"/>
      <c r="E184" s="170"/>
      <c r="F184" s="170">
        <f>+Parameters!D31</f>
        <v>28</v>
      </c>
      <c r="G184" s="170">
        <f>+Parameters!E31</f>
        <v>0</v>
      </c>
      <c r="H184" s="586">
        <f t="shared" si="107"/>
        <v>0</v>
      </c>
      <c r="I184" s="170">
        <f>+Parameters!F31</f>
        <v>0</v>
      </c>
      <c r="J184" s="170"/>
      <c r="K184" s="170"/>
      <c r="L184" s="170"/>
      <c r="M184" s="730"/>
      <c r="N184" s="730"/>
      <c r="O184" s="730"/>
      <c r="P184" s="731"/>
      <c r="Q184" s="731"/>
      <c r="R184" s="730"/>
      <c r="S184" s="730"/>
      <c r="T184" s="723"/>
      <c r="U184" s="724"/>
      <c r="V184" s="725"/>
      <c r="W184" s="725"/>
      <c r="X184" s="723"/>
      <c r="Y184" s="723"/>
      <c r="Z184" s="723"/>
      <c r="AA184" s="726"/>
      <c r="AB184" s="726"/>
      <c r="AC184" s="170"/>
      <c r="AD184" s="586">
        <f t="shared" si="108"/>
        <v>0</v>
      </c>
      <c r="AE184" s="586">
        <f t="shared" si="108"/>
        <v>0</v>
      </c>
      <c r="AF184" s="586">
        <f t="shared" si="108"/>
        <v>0</v>
      </c>
      <c r="AG184" s="586">
        <f t="shared" si="108"/>
        <v>0</v>
      </c>
      <c r="AH184" s="586">
        <f t="shared" si="108"/>
        <v>0</v>
      </c>
      <c r="AI184" s="586">
        <f t="shared" si="108"/>
        <v>0</v>
      </c>
      <c r="AJ184" s="586">
        <f t="shared" si="108"/>
        <v>0</v>
      </c>
      <c r="AK184" s="586">
        <f t="shared" si="108"/>
        <v>0</v>
      </c>
      <c r="AL184" s="586">
        <f t="shared" si="108"/>
        <v>0</v>
      </c>
      <c r="AM184" s="586">
        <f t="shared" si="108"/>
        <v>0</v>
      </c>
      <c r="AN184" s="586">
        <f t="shared" si="108"/>
        <v>0</v>
      </c>
      <c r="AO184" s="586">
        <f t="shared" si="108"/>
        <v>0</v>
      </c>
      <c r="AP184" s="586">
        <f t="shared" si="108"/>
        <v>0</v>
      </c>
      <c r="AQ184" s="586">
        <f t="shared" si="108"/>
        <v>0</v>
      </c>
      <c r="AR184" s="586">
        <f t="shared" si="108"/>
        <v>0</v>
      </c>
      <c r="AS184" s="586">
        <f t="shared" si="108"/>
        <v>0</v>
      </c>
      <c r="AT184" s="170"/>
    </row>
    <row r="185" spans="1:46" ht="15" x14ac:dyDescent="0.25">
      <c r="A185" s="170"/>
      <c r="B185" s="719"/>
      <c r="C185" s="170" t="str">
        <f t="shared" si="105"/>
        <v>290</v>
      </c>
      <c r="D185" s="170"/>
      <c r="E185" s="170"/>
      <c r="F185" s="170">
        <f>+Parameters!D32</f>
        <v>29</v>
      </c>
      <c r="G185" s="170">
        <f>+Parameters!E32</f>
        <v>0</v>
      </c>
      <c r="H185" s="586">
        <f t="shared" si="107"/>
        <v>0</v>
      </c>
      <c r="I185" s="170">
        <f>+Parameters!F32</f>
        <v>0</v>
      </c>
      <c r="J185" s="170"/>
      <c r="K185" s="170"/>
      <c r="L185" s="170"/>
      <c r="M185" s="730"/>
      <c r="N185" s="730"/>
      <c r="O185" s="730"/>
      <c r="P185" s="731"/>
      <c r="Q185" s="731"/>
      <c r="R185" s="730"/>
      <c r="S185" s="730"/>
      <c r="T185" s="723"/>
      <c r="U185" s="724"/>
      <c r="V185" s="725"/>
      <c r="W185" s="725"/>
      <c r="X185" s="723"/>
      <c r="Y185" s="723"/>
      <c r="Z185" s="723"/>
      <c r="AA185" s="726"/>
      <c r="AB185" s="726"/>
      <c r="AC185" s="170"/>
      <c r="AD185" s="586">
        <f t="shared" si="108"/>
        <v>0</v>
      </c>
      <c r="AE185" s="586">
        <f t="shared" si="108"/>
        <v>0</v>
      </c>
      <c r="AF185" s="586">
        <f t="shared" si="108"/>
        <v>0</v>
      </c>
      <c r="AG185" s="586">
        <f t="shared" si="108"/>
        <v>0</v>
      </c>
      <c r="AH185" s="586">
        <f t="shared" si="108"/>
        <v>0</v>
      </c>
      <c r="AI185" s="586">
        <f t="shared" si="108"/>
        <v>0</v>
      </c>
      <c r="AJ185" s="586">
        <f t="shared" si="108"/>
        <v>0</v>
      </c>
      <c r="AK185" s="586">
        <f t="shared" si="108"/>
        <v>0</v>
      </c>
      <c r="AL185" s="586">
        <f t="shared" si="108"/>
        <v>0</v>
      </c>
      <c r="AM185" s="586">
        <f t="shared" si="108"/>
        <v>0</v>
      </c>
      <c r="AN185" s="586">
        <f t="shared" si="108"/>
        <v>0</v>
      </c>
      <c r="AO185" s="586">
        <f t="shared" si="108"/>
        <v>0</v>
      </c>
      <c r="AP185" s="586">
        <f t="shared" si="108"/>
        <v>0</v>
      </c>
      <c r="AQ185" s="586">
        <f t="shared" si="108"/>
        <v>0</v>
      </c>
      <c r="AR185" s="586">
        <f t="shared" si="108"/>
        <v>0</v>
      </c>
      <c r="AS185" s="586">
        <f t="shared" si="108"/>
        <v>0</v>
      </c>
      <c r="AT185" s="170"/>
    </row>
    <row r="186" spans="1:46" ht="15" x14ac:dyDescent="0.25">
      <c r="A186" s="170"/>
      <c r="B186" s="719"/>
      <c r="C186" s="170" t="str">
        <f t="shared" si="105"/>
        <v>30lf</v>
      </c>
      <c r="D186" s="170"/>
      <c r="E186" s="170"/>
      <c r="F186" s="170">
        <f>+Parameters!D33</f>
        <v>30</v>
      </c>
      <c r="G186" s="170" t="str">
        <f>+Parameters!E33</f>
        <v>Cable - UG - HPFF ( incl terms)</v>
      </c>
      <c r="H186" s="586">
        <f t="shared" si="107"/>
        <v>0</v>
      </c>
      <c r="I186" s="170" t="str">
        <f>+Parameters!F33</f>
        <v>lf</v>
      </c>
      <c r="J186" s="170"/>
      <c r="K186" s="170"/>
      <c r="L186" s="170"/>
      <c r="M186" s="730"/>
      <c r="N186" s="730"/>
      <c r="O186" s="730"/>
      <c r="P186" s="731"/>
      <c r="Q186" s="731"/>
      <c r="R186" s="730"/>
      <c r="S186" s="730"/>
      <c r="T186" s="723"/>
      <c r="U186" s="724"/>
      <c r="V186" s="725"/>
      <c r="W186" s="725"/>
      <c r="X186" s="723"/>
      <c r="Y186" s="723"/>
      <c r="Z186" s="723"/>
      <c r="AA186" s="726"/>
      <c r="AB186" s="726"/>
      <c r="AC186" s="170"/>
      <c r="AD186" s="586">
        <f t="shared" si="108"/>
        <v>0</v>
      </c>
      <c r="AE186" s="586">
        <f t="shared" si="108"/>
        <v>0</v>
      </c>
      <c r="AF186" s="586">
        <f t="shared" si="108"/>
        <v>0</v>
      </c>
      <c r="AG186" s="586">
        <f t="shared" si="108"/>
        <v>0</v>
      </c>
      <c r="AH186" s="586">
        <f t="shared" si="108"/>
        <v>0</v>
      </c>
      <c r="AI186" s="586">
        <f t="shared" si="108"/>
        <v>0</v>
      </c>
      <c r="AJ186" s="586">
        <f t="shared" si="108"/>
        <v>0</v>
      </c>
      <c r="AK186" s="586">
        <f t="shared" si="108"/>
        <v>0</v>
      </c>
      <c r="AL186" s="586">
        <f t="shared" si="108"/>
        <v>0</v>
      </c>
      <c r="AM186" s="586">
        <f t="shared" si="108"/>
        <v>0</v>
      </c>
      <c r="AN186" s="586">
        <f t="shared" si="108"/>
        <v>0</v>
      </c>
      <c r="AO186" s="586">
        <f t="shared" si="108"/>
        <v>0</v>
      </c>
      <c r="AP186" s="586">
        <f t="shared" si="108"/>
        <v>0</v>
      </c>
      <c r="AQ186" s="586">
        <f t="shared" si="108"/>
        <v>0</v>
      </c>
      <c r="AR186" s="586">
        <f t="shared" si="108"/>
        <v>0</v>
      </c>
      <c r="AS186" s="586">
        <f t="shared" si="108"/>
        <v>0</v>
      </c>
      <c r="AT186" s="170"/>
    </row>
    <row r="187" spans="1:46" ht="15" x14ac:dyDescent="0.25">
      <c r="A187" s="170"/>
      <c r="B187" s="719"/>
      <c r="C187" s="170" t="str">
        <f t="shared" si="105"/>
        <v>31lf</v>
      </c>
      <c r="D187" s="170"/>
      <c r="E187" s="170"/>
      <c r="F187" s="170">
        <f>+Parameters!D34</f>
        <v>31</v>
      </c>
      <c r="G187" s="170" t="str">
        <f>+Parameters!E34</f>
        <v>Cable - UG - XLPE ( incl terms)</v>
      </c>
      <c r="H187" s="586">
        <f t="shared" si="107"/>
        <v>0</v>
      </c>
      <c r="I187" s="170" t="str">
        <f>+Parameters!F34</f>
        <v>lf</v>
      </c>
      <c r="J187" s="170"/>
      <c r="K187" s="170"/>
      <c r="L187" s="170"/>
      <c r="M187" s="730"/>
      <c r="N187" s="730"/>
      <c r="O187" s="730"/>
      <c r="P187" s="731"/>
      <c r="Q187" s="731"/>
      <c r="R187" s="730"/>
      <c r="S187" s="730"/>
      <c r="T187" s="723"/>
      <c r="U187" s="724"/>
      <c r="V187" s="725"/>
      <c r="W187" s="725"/>
      <c r="X187" s="723"/>
      <c r="Y187" s="723"/>
      <c r="Z187" s="723"/>
      <c r="AA187" s="726"/>
      <c r="AB187" s="726"/>
      <c r="AC187" s="170"/>
      <c r="AD187" s="586">
        <f t="shared" si="108"/>
        <v>0</v>
      </c>
      <c r="AE187" s="586">
        <f t="shared" si="108"/>
        <v>0</v>
      </c>
      <c r="AF187" s="586">
        <f t="shared" si="108"/>
        <v>0</v>
      </c>
      <c r="AG187" s="586">
        <f t="shared" si="108"/>
        <v>0</v>
      </c>
      <c r="AH187" s="586">
        <f t="shared" si="108"/>
        <v>0</v>
      </c>
      <c r="AI187" s="586">
        <f t="shared" si="108"/>
        <v>0</v>
      </c>
      <c r="AJ187" s="586">
        <f t="shared" si="108"/>
        <v>0</v>
      </c>
      <c r="AK187" s="586">
        <f t="shared" si="108"/>
        <v>0</v>
      </c>
      <c r="AL187" s="586">
        <f t="shared" si="108"/>
        <v>0</v>
      </c>
      <c r="AM187" s="586">
        <f t="shared" si="108"/>
        <v>0</v>
      </c>
      <c r="AN187" s="586">
        <f t="shared" si="108"/>
        <v>0</v>
      </c>
      <c r="AO187" s="586">
        <f t="shared" si="108"/>
        <v>0</v>
      </c>
      <c r="AP187" s="586">
        <f t="shared" si="108"/>
        <v>0</v>
      </c>
      <c r="AQ187" s="586">
        <f t="shared" si="108"/>
        <v>0</v>
      </c>
      <c r="AR187" s="586">
        <f t="shared" si="108"/>
        <v>0</v>
      </c>
      <c r="AS187" s="586">
        <f t="shared" si="108"/>
        <v>0</v>
      </c>
      <c r="AT187" s="170"/>
    </row>
    <row r="188" spans="1:46" ht="15" x14ac:dyDescent="0.25">
      <c r="A188" s="170"/>
      <c r="B188" s="719"/>
      <c r="C188" s="170" t="str">
        <f t="shared" si="105"/>
        <v>32lf</v>
      </c>
      <c r="D188" s="170"/>
      <c r="E188" s="170"/>
      <c r="F188" s="170">
        <f>+Parameters!D35</f>
        <v>32</v>
      </c>
      <c r="G188" s="170" t="str">
        <f>+Parameters!E35</f>
        <v>Cable - AG under 115kv ( incl terms)</v>
      </c>
      <c r="H188" s="586">
        <f t="shared" si="107"/>
        <v>0</v>
      </c>
      <c r="I188" s="170" t="str">
        <f>+Parameters!F35</f>
        <v>lf</v>
      </c>
      <c r="J188" s="170"/>
      <c r="K188" s="170"/>
      <c r="L188" s="170"/>
      <c r="M188" s="730"/>
      <c r="N188" s="730"/>
      <c r="O188" s="730"/>
      <c r="P188" s="731"/>
      <c r="Q188" s="731"/>
      <c r="R188" s="730"/>
      <c r="S188" s="730"/>
      <c r="T188" s="723"/>
      <c r="U188" s="724"/>
      <c r="V188" s="725"/>
      <c r="W188" s="725"/>
      <c r="X188" s="723"/>
      <c r="Y188" s="723"/>
      <c r="Z188" s="723"/>
      <c r="AA188" s="726"/>
      <c r="AB188" s="726"/>
      <c r="AC188" s="170"/>
      <c r="AD188" s="586">
        <f t="shared" ref="AD188:AS203" si="109">SUMIF($F$9:$F$153,$F188,AD$9:AD$153)</f>
        <v>0</v>
      </c>
      <c r="AE188" s="586">
        <f t="shared" si="109"/>
        <v>0</v>
      </c>
      <c r="AF188" s="586">
        <f t="shared" si="109"/>
        <v>0</v>
      </c>
      <c r="AG188" s="586">
        <f t="shared" si="109"/>
        <v>0</v>
      </c>
      <c r="AH188" s="586">
        <f t="shared" si="109"/>
        <v>0</v>
      </c>
      <c r="AI188" s="586">
        <f t="shared" si="109"/>
        <v>0</v>
      </c>
      <c r="AJ188" s="586">
        <f t="shared" si="109"/>
        <v>0</v>
      </c>
      <c r="AK188" s="586">
        <f t="shared" si="109"/>
        <v>0</v>
      </c>
      <c r="AL188" s="586">
        <f t="shared" si="109"/>
        <v>0</v>
      </c>
      <c r="AM188" s="586">
        <f t="shared" si="109"/>
        <v>0</v>
      </c>
      <c r="AN188" s="586">
        <f t="shared" si="109"/>
        <v>0</v>
      </c>
      <c r="AO188" s="586">
        <f t="shared" si="109"/>
        <v>0</v>
      </c>
      <c r="AP188" s="586">
        <f t="shared" si="109"/>
        <v>0</v>
      </c>
      <c r="AQ188" s="586">
        <f t="shared" si="109"/>
        <v>0</v>
      </c>
      <c r="AR188" s="586">
        <f t="shared" si="109"/>
        <v>0</v>
      </c>
      <c r="AS188" s="586">
        <f t="shared" si="109"/>
        <v>0</v>
      </c>
      <c r="AT188" s="170"/>
    </row>
    <row r="189" spans="1:46" ht="15" x14ac:dyDescent="0.25">
      <c r="A189" s="170"/>
      <c r="B189" s="719"/>
      <c r="C189" s="170" t="str">
        <f t="shared" si="105"/>
        <v>33lf</v>
      </c>
      <c r="D189" s="170"/>
      <c r="E189" s="170"/>
      <c r="F189" s="170">
        <f>+Parameters!D36</f>
        <v>33</v>
      </c>
      <c r="G189" s="170" t="str">
        <f>+Parameters!E36</f>
        <v>Cable - AG 115 kv ( incl terms)</v>
      </c>
      <c r="H189" s="586">
        <f t="shared" si="107"/>
        <v>0</v>
      </c>
      <c r="I189" s="170" t="str">
        <f>+Parameters!F36</f>
        <v>lf</v>
      </c>
      <c r="J189" s="170"/>
      <c r="K189" s="170"/>
      <c r="L189" s="170"/>
      <c r="M189" s="730"/>
      <c r="N189" s="730"/>
      <c r="O189" s="730"/>
      <c r="P189" s="731"/>
      <c r="Q189" s="731"/>
      <c r="R189" s="730"/>
      <c r="S189" s="730"/>
      <c r="T189" s="723"/>
      <c r="U189" s="724"/>
      <c r="V189" s="725"/>
      <c r="W189" s="725"/>
      <c r="X189" s="723"/>
      <c r="Y189" s="723"/>
      <c r="Z189" s="723"/>
      <c r="AA189" s="726"/>
      <c r="AB189" s="726"/>
      <c r="AC189" s="170"/>
      <c r="AD189" s="586">
        <f t="shared" si="109"/>
        <v>0</v>
      </c>
      <c r="AE189" s="586">
        <f t="shared" si="109"/>
        <v>0</v>
      </c>
      <c r="AF189" s="586">
        <f t="shared" si="109"/>
        <v>0</v>
      </c>
      <c r="AG189" s="586">
        <f t="shared" si="109"/>
        <v>0</v>
      </c>
      <c r="AH189" s="586">
        <f t="shared" si="109"/>
        <v>0</v>
      </c>
      <c r="AI189" s="586">
        <f t="shared" si="109"/>
        <v>0</v>
      </c>
      <c r="AJ189" s="586">
        <f t="shared" si="109"/>
        <v>0</v>
      </c>
      <c r="AK189" s="586">
        <f t="shared" si="109"/>
        <v>0</v>
      </c>
      <c r="AL189" s="586">
        <f t="shared" si="109"/>
        <v>0</v>
      </c>
      <c r="AM189" s="586">
        <f t="shared" si="109"/>
        <v>0</v>
      </c>
      <c r="AN189" s="586">
        <f t="shared" si="109"/>
        <v>0</v>
      </c>
      <c r="AO189" s="586">
        <f t="shared" si="109"/>
        <v>0</v>
      </c>
      <c r="AP189" s="586">
        <f t="shared" si="109"/>
        <v>0</v>
      </c>
      <c r="AQ189" s="586">
        <f t="shared" si="109"/>
        <v>0</v>
      </c>
      <c r="AR189" s="586">
        <f t="shared" si="109"/>
        <v>0</v>
      </c>
      <c r="AS189" s="586">
        <f t="shared" si="109"/>
        <v>0</v>
      </c>
      <c r="AT189" s="170"/>
    </row>
    <row r="190" spans="1:46" ht="15" x14ac:dyDescent="0.25">
      <c r="A190" s="170"/>
      <c r="B190" s="719"/>
      <c r="C190" s="170" t="str">
        <f t="shared" si="105"/>
        <v>34lf</v>
      </c>
      <c r="D190" s="170"/>
      <c r="E190" s="170"/>
      <c r="F190" s="170">
        <f>+Parameters!D37</f>
        <v>34</v>
      </c>
      <c r="G190" s="170" t="str">
        <f>+Parameters!E37</f>
        <v>Cable - AG 345 kv ( incl terms)</v>
      </c>
      <c r="H190" s="586">
        <f t="shared" si="107"/>
        <v>0</v>
      </c>
      <c r="I190" s="170" t="str">
        <f>+Parameters!F37</f>
        <v>lf</v>
      </c>
      <c r="J190" s="170"/>
      <c r="K190" s="170"/>
      <c r="L190" s="170"/>
      <c r="M190" s="730"/>
      <c r="N190" s="730"/>
      <c r="O190" s="730"/>
      <c r="P190" s="731"/>
      <c r="Q190" s="731"/>
      <c r="R190" s="730"/>
      <c r="S190" s="730"/>
      <c r="T190" s="723"/>
      <c r="U190" s="724"/>
      <c r="V190" s="725"/>
      <c r="W190" s="725"/>
      <c r="X190" s="723"/>
      <c r="Y190" s="723"/>
      <c r="Z190" s="723"/>
      <c r="AA190" s="726"/>
      <c r="AB190" s="726"/>
      <c r="AC190" s="170"/>
      <c r="AD190" s="586">
        <f t="shared" si="109"/>
        <v>0</v>
      </c>
      <c r="AE190" s="586">
        <f t="shared" si="109"/>
        <v>0</v>
      </c>
      <c r="AF190" s="586">
        <f t="shared" si="109"/>
        <v>0</v>
      </c>
      <c r="AG190" s="586">
        <f t="shared" si="109"/>
        <v>0</v>
      </c>
      <c r="AH190" s="586">
        <f t="shared" si="109"/>
        <v>0</v>
      </c>
      <c r="AI190" s="586">
        <f t="shared" si="109"/>
        <v>0</v>
      </c>
      <c r="AJ190" s="586">
        <f t="shared" si="109"/>
        <v>0</v>
      </c>
      <c r="AK190" s="586">
        <f t="shared" si="109"/>
        <v>0</v>
      </c>
      <c r="AL190" s="586">
        <f t="shared" si="109"/>
        <v>0</v>
      </c>
      <c r="AM190" s="586">
        <f t="shared" si="109"/>
        <v>0</v>
      </c>
      <c r="AN190" s="586">
        <f t="shared" si="109"/>
        <v>0</v>
      </c>
      <c r="AO190" s="586">
        <f t="shared" si="109"/>
        <v>0</v>
      </c>
      <c r="AP190" s="586">
        <f t="shared" si="109"/>
        <v>0</v>
      </c>
      <c r="AQ190" s="586">
        <f t="shared" si="109"/>
        <v>0</v>
      </c>
      <c r="AR190" s="586">
        <f t="shared" si="109"/>
        <v>0</v>
      </c>
      <c r="AS190" s="586">
        <f t="shared" si="109"/>
        <v>0</v>
      </c>
      <c r="AT190" s="170"/>
    </row>
    <row r="191" spans="1:46" ht="15" x14ac:dyDescent="0.25">
      <c r="A191" s="170"/>
      <c r="B191" s="719"/>
      <c r="C191" s="170" t="str">
        <f t="shared" si="105"/>
        <v>35lf</v>
      </c>
      <c r="D191" s="170"/>
      <c r="E191" s="170"/>
      <c r="F191" s="170">
        <f>+Parameters!D38</f>
        <v>35</v>
      </c>
      <c r="G191" s="170" t="str">
        <f>+Parameters!E38</f>
        <v>Cable - OPGW / Shield ( incl terms)</v>
      </c>
      <c r="H191" s="586">
        <f t="shared" si="107"/>
        <v>0</v>
      </c>
      <c r="I191" s="170" t="str">
        <f>+Parameters!F38</f>
        <v>lf</v>
      </c>
      <c r="J191" s="170"/>
      <c r="K191" s="170"/>
      <c r="L191" s="170"/>
      <c r="M191" s="730"/>
      <c r="N191" s="730"/>
      <c r="O191" s="730"/>
      <c r="P191" s="731"/>
      <c r="Q191" s="731"/>
      <c r="R191" s="730"/>
      <c r="S191" s="730"/>
      <c r="T191" s="723"/>
      <c r="U191" s="724"/>
      <c r="V191" s="725"/>
      <c r="W191" s="725"/>
      <c r="X191" s="723"/>
      <c r="Y191" s="723"/>
      <c r="Z191" s="723"/>
      <c r="AA191" s="726"/>
      <c r="AB191" s="726"/>
      <c r="AC191" s="170"/>
      <c r="AD191" s="586">
        <f t="shared" si="109"/>
        <v>0</v>
      </c>
      <c r="AE191" s="586">
        <f t="shared" si="109"/>
        <v>0</v>
      </c>
      <c r="AF191" s="586">
        <f t="shared" si="109"/>
        <v>0</v>
      </c>
      <c r="AG191" s="586">
        <f t="shared" si="109"/>
        <v>0</v>
      </c>
      <c r="AH191" s="586">
        <f t="shared" si="109"/>
        <v>0</v>
      </c>
      <c r="AI191" s="586">
        <f t="shared" si="109"/>
        <v>0</v>
      </c>
      <c r="AJ191" s="586">
        <f t="shared" si="109"/>
        <v>0</v>
      </c>
      <c r="AK191" s="586">
        <f t="shared" si="109"/>
        <v>0</v>
      </c>
      <c r="AL191" s="586">
        <f t="shared" si="109"/>
        <v>0</v>
      </c>
      <c r="AM191" s="586">
        <f t="shared" si="109"/>
        <v>0</v>
      </c>
      <c r="AN191" s="586">
        <f t="shared" si="109"/>
        <v>0</v>
      </c>
      <c r="AO191" s="586">
        <f t="shared" si="109"/>
        <v>0</v>
      </c>
      <c r="AP191" s="586">
        <f t="shared" si="109"/>
        <v>0</v>
      </c>
      <c r="AQ191" s="586">
        <f t="shared" si="109"/>
        <v>0</v>
      </c>
      <c r="AR191" s="586">
        <f t="shared" si="109"/>
        <v>0</v>
      </c>
      <c r="AS191" s="586">
        <f t="shared" si="109"/>
        <v>0</v>
      </c>
      <c r="AT191" s="170"/>
    </row>
    <row r="192" spans="1:46" ht="15" x14ac:dyDescent="0.25">
      <c r="A192" s="170"/>
      <c r="B192" s="719"/>
      <c r="C192" s="170" t="str">
        <f t="shared" si="105"/>
        <v>36lf</v>
      </c>
      <c r="D192" s="170"/>
      <c r="E192" s="170"/>
      <c r="F192" s="170">
        <f>+Parameters!D39</f>
        <v>36</v>
      </c>
      <c r="G192" s="170" t="str">
        <f>+Parameters!E39</f>
        <v>Cable - Control ( incl terms)</v>
      </c>
      <c r="H192" s="586">
        <f t="shared" si="107"/>
        <v>0</v>
      </c>
      <c r="I192" s="170" t="str">
        <f>+Parameters!F39</f>
        <v>lf</v>
      </c>
      <c r="J192" s="170"/>
      <c r="K192" s="170"/>
      <c r="L192" s="170"/>
      <c r="M192" s="730"/>
      <c r="N192" s="730"/>
      <c r="O192" s="730"/>
      <c r="P192" s="731"/>
      <c r="Q192" s="731"/>
      <c r="R192" s="730"/>
      <c r="S192" s="730"/>
      <c r="T192" s="723"/>
      <c r="U192" s="724"/>
      <c r="V192" s="725"/>
      <c r="W192" s="725"/>
      <c r="X192" s="723"/>
      <c r="Y192" s="723"/>
      <c r="Z192" s="723"/>
      <c r="AA192" s="726"/>
      <c r="AB192" s="726"/>
      <c r="AC192" s="170"/>
      <c r="AD192" s="586">
        <f t="shared" si="109"/>
        <v>0</v>
      </c>
      <c r="AE192" s="586">
        <f t="shared" si="109"/>
        <v>0</v>
      </c>
      <c r="AF192" s="586">
        <f t="shared" si="109"/>
        <v>0</v>
      </c>
      <c r="AG192" s="586">
        <f t="shared" si="109"/>
        <v>0</v>
      </c>
      <c r="AH192" s="586">
        <f t="shared" si="109"/>
        <v>0</v>
      </c>
      <c r="AI192" s="586">
        <f t="shared" si="109"/>
        <v>0</v>
      </c>
      <c r="AJ192" s="586">
        <f t="shared" si="109"/>
        <v>0</v>
      </c>
      <c r="AK192" s="586">
        <f t="shared" si="109"/>
        <v>0</v>
      </c>
      <c r="AL192" s="586">
        <f t="shared" si="109"/>
        <v>0</v>
      </c>
      <c r="AM192" s="586">
        <f t="shared" si="109"/>
        <v>0</v>
      </c>
      <c r="AN192" s="586">
        <f t="shared" si="109"/>
        <v>0</v>
      </c>
      <c r="AO192" s="586">
        <f t="shared" si="109"/>
        <v>0</v>
      </c>
      <c r="AP192" s="586">
        <f t="shared" si="109"/>
        <v>0</v>
      </c>
      <c r="AQ192" s="586">
        <f t="shared" si="109"/>
        <v>0</v>
      </c>
      <c r="AR192" s="586">
        <f t="shared" si="109"/>
        <v>0</v>
      </c>
      <c r="AS192" s="586">
        <f t="shared" si="109"/>
        <v>0</v>
      </c>
      <c r="AT192" s="170"/>
    </row>
    <row r="193" spans="1:46" ht="15" x14ac:dyDescent="0.25">
      <c r="A193" s="170"/>
      <c r="B193" s="719"/>
      <c r="C193" s="170" t="str">
        <f t="shared" si="105"/>
        <v>37lf</v>
      </c>
      <c r="D193" s="170"/>
      <c r="E193" s="170"/>
      <c r="F193" s="170">
        <f>+Parameters!D40</f>
        <v>37</v>
      </c>
      <c r="G193" s="170" t="str">
        <f>+Parameters!E40</f>
        <v>Cable - Communication / Oher ( incl terms)</v>
      </c>
      <c r="H193" s="586">
        <f t="shared" si="107"/>
        <v>0</v>
      </c>
      <c r="I193" s="170" t="str">
        <f>+Parameters!F40</f>
        <v>lf</v>
      </c>
      <c r="J193" s="170"/>
      <c r="K193" s="170"/>
      <c r="L193" s="170"/>
      <c r="M193" s="730"/>
      <c r="N193" s="730"/>
      <c r="O193" s="730"/>
      <c r="P193" s="731"/>
      <c r="Q193" s="731"/>
      <c r="R193" s="730"/>
      <c r="S193" s="730"/>
      <c r="T193" s="723"/>
      <c r="U193" s="724"/>
      <c r="V193" s="725"/>
      <c r="W193" s="725"/>
      <c r="X193" s="723"/>
      <c r="Y193" s="723"/>
      <c r="Z193" s="723"/>
      <c r="AA193" s="726"/>
      <c r="AB193" s="726"/>
      <c r="AC193" s="170"/>
      <c r="AD193" s="586">
        <f t="shared" si="109"/>
        <v>0</v>
      </c>
      <c r="AE193" s="586">
        <f t="shared" si="109"/>
        <v>0</v>
      </c>
      <c r="AF193" s="586">
        <f t="shared" si="109"/>
        <v>0</v>
      </c>
      <c r="AG193" s="586">
        <f t="shared" si="109"/>
        <v>0</v>
      </c>
      <c r="AH193" s="586">
        <f t="shared" si="109"/>
        <v>0</v>
      </c>
      <c r="AI193" s="586">
        <f t="shared" si="109"/>
        <v>0</v>
      </c>
      <c r="AJ193" s="586">
        <f t="shared" si="109"/>
        <v>0</v>
      </c>
      <c r="AK193" s="586">
        <f t="shared" si="109"/>
        <v>0</v>
      </c>
      <c r="AL193" s="586">
        <f t="shared" si="109"/>
        <v>0</v>
      </c>
      <c r="AM193" s="586">
        <f t="shared" si="109"/>
        <v>0</v>
      </c>
      <c r="AN193" s="586">
        <f t="shared" si="109"/>
        <v>0</v>
      </c>
      <c r="AO193" s="586">
        <f t="shared" si="109"/>
        <v>0</v>
      </c>
      <c r="AP193" s="586">
        <f t="shared" si="109"/>
        <v>0</v>
      </c>
      <c r="AQ193" s="586">
        <f t="shared" si="109"/>
        <v>0</v>
      </c>
      <c r="AR193" s="586">
        <f t="shared" si="109"/>
        <v>0</v>
      </c>
      <c r="AS193" s="586">
        <f t="shared" si="109"/>
        <v>0</v>
      </c>
      <c r="AT193" s="170"/>
    </row>
    <row r="194" spans="1:46" ht="15" x14ac:dyDescent="0.25">
      <c r="A194" s="170"/>
      <c r="B194" s="719"/>
      <c r="C194" s="170" t="str">
        <f t="shared" si="105"/>
        <v>38lf</v>
      </c>
      <c r="D194" s="170"/>
      <c r="E194" s="170"/>
      <c r="F194" s="170">
        <f>+Parameters!D41</f>
        <v>38</v>
      </c>
      <c r="G194" s="170" t="str">
        <f>+Parameters!E41</f>
        <v>Cable - Power ( incl terms)</v>
      </c>
      <c r="H194" s="586">
        <f t="shared" si="107"/>
        <v>0</v>
      </c>
      <c r="I194" s="170" t="str">
        <f>+Parameters!F41</f>
        <v>lf</v>
      </c>
      <c r="J194" s="170"/>
      <c r="K194" s="170"/>
      <c r="L194" s="170"/>
      <c r="M194" s="730"/>
      <c r="N194" s="730"/>
      <c r="O194" s="730"/>
      <c r="P194" s="731"/>
      <c r="Q194" s="731"/>
      <c r="R194" s="730"/>
      <c r="S194" s="730"/>
      <c r="T194" s="723"/>
      <c r="U194" s="724"/>
      <c r="V194" s="725"/>
      <c r="W194" s="725"/>
      <c r="X194" s="723"/>
      <c r="Y194" s="723"/>
      <c r="Z194" s="723"/>
      <c r="AA194" s="726"/>
      <c r="AB194" s="726"/>
      <c r="AC194" s="170"/>
      <c r="AD194" s="586">
        <f t="shared" si="109"/>
        <v>0</v>
      </c>
      <c r="AE194" s="586">
        <f t="shared" si="109"/>
        <v>0</v>
      </c>
      <c r="AF194" s="586">
        <f t="shared" si="109"/>
        <v>0</v>
      </c>
      <c r="AG194" s="586">
        <f t="shared" si="109"/>
        <v>0</v>
      </c>
      <c r="AH194" s="586">
        <f t="shared" si="109"/>
        <v>0</v>
      </c>
      <c r="AI194" s="586">
        <f t="shared" si="109"/>
        <v>0</v>
      </c>
      <c r="AJ194" s="586">
        <f t="shared" si="109"/>
        <v>0</v>
      </c>
      <c r="AK194" s="586">
        <f t="shared" si="109"/>
        <v>0</v>
      </c>
      <c r="AL194" s="586">
        <f t="shared" si="109"/>
        <v>0</v>
      </c>
      <c r="AM194" s="586">
        <f t="shared" si="109"/>
        <v>0</v>
      </c>
      <c r="AN194" s="586">
        <f t="shared" si="109"/>
        <v>0</v>
      </c>
      <c r="AO194" s="586">
        <f t="shared" si="109"/>
        <v>0</v>
      </c>
      <c r="AP194" s="586">
        <f t="shared" si="109"/>
        <v>0</v>
      </c>
      <c r="AQ194" s="586">
        <f t="shared" si="109"/>
        <v>0</v>
      </c>
      <c r="AR194" s="586">
        <f t="shared" si="109"/>
        <v>0</v>
      </c>
      <c r="AS194" s="586">
        <f t="shared" si="109"/>
        <v>0</v>
      </c>
      <c r="AT194" s="170"/>
    </row>
    <row r="195" spans="1:46" ht="15" x14ac:dyDescent="0.25">
      <c r="A195" s="170"/>
      <c r="B195" s="719"/>
      <c r="C195" s="170" t="str">
        <f t="shared" si="105"/>
        <v>39lf</v>
      </c>
      <c r="D195" s="170"/>
      <c r="E195" s="170"/>
      <c r="F195" s="170">
        <f>+Parameters!D42</f>
        <v>39</v>
      </c>
      <c r="G195" s="170" t="str">
        <f>+Parameters!E42</f>
        <v>Cable - Other</v>
      </c>
      <c r="H195" s="586">
        <f t="shared" si="107"/>
        <v>0</v>
      </c>
      <c r="I195" s="170" t="str">
        <f>+Parameters!F42</f>
        <v>lf</v>
      </c>
      <c r="J195" s="170"/>
      <c r="K195" s="170"/>
      <c r="L195" s="170"/>
      <c r="M195" s="730"/>
      <c r="N195" s="730"/>
      <c r="O195" s="730"/>
      <c r="P195" s="731"/>
      <c r="Q195" s="731"/>
      <c r="R195" s="730"/>
      <c r="S195" s="730"/>
      <c r="T195" s="723"/>
      <c r="U195" s="724"/>
      <c r="V195" s="725"/>
      <c r="W195" s="725"/>
      <c r="X195" s="723"/>
      <c r="Y195" s="723"/>
      <c r="Z195" s="723"/>
      <c r="AA195" s="726"/>
      <c r="AB195" s="726"/>
      <c r="AC195" s="170"/>
      <c r="AD195" s="586">
        <f t="shared" si="109"/>
        <v>0</v>
      </c>
      <c r="AE195" s="586">
        <f t="shared" si="109"/>
        <v>0</v>
      </c>
      <c r="AF195" s="586">
        <f t="shared" si="109"/>
        <v>0</v>
      </c>
      <c r="AG195" s="586">
        <f t="shared" si="109"/>
        <v>0</v>
      </c>
      <c r="AH195" s="586">
        <f t="shared" si="109"/>
        <v>0</v>
      </c>
      <c r="AI195" s="586">
        <f t="shared" si="109"/>
        <v>0</v>
      </c>
      <c r="AJ195" s="586">
        <f t="shared" si="109"/>
        <v>0</v>
      </c>
      <c r="AK195" s="586">
        <f t="shared" si="109"/>
        <v>0</v>
      </c>
      <c r="AL195" s="586">
        <f t="shared" si="109"/>
        <v>0</v>
      </c>
      <c r="AM195" s="586">
        <f t="shared" si="109"/>
        <v>0</v>
      </c>
      <c r="AN195" s="586">
        <f t="shared" si="109"/>
        <v>0</v>
      </c>
      <c r="AO195" s="586">
        <f t="shared" si="109"/>
        <v>0</v>
      </c>
      <c r="AP195" s="586">
        <f t="shared" si="109"/>
        <v>0</v>
      </c>
      <c r="AQ195" s="586">
        <f t="shared" si="109"/>
        <v>0</v>
      </c>
      <c r="AR195" s="586">
        <f t="shared" si="109"/>
        <v>0</v>
      </c>
      <c r="AS195" s="586">
        <f t="shared" si="109"/>
        <v>0</v>
      </c>
      <c r="AT195" s="170"/>
    </row>
    <row r="196" spans="1:46" ht="15" x14ac:dyDescent="0.25">
      <c r="A196" s="170"/>
      <c r="B196" s="719"/>
      <c r="C196" s="170" t="str">
        <f t="shared" si="105"/>
        <v>400</v>
      </c>
      <c r="D196" s="170"/>
      <c r="E196" s="170"/>
      <c r="F196" s="170">
        <f>+Parameters!D43</f>
        <v>40</v>
      </c>
      <c r="G196" s="170" t="str">
        <f>+Parameters!E43</f>
        <v>Structures - buildings</v>
      </c>
      <c r="H196" s="586">
        <f t="shared" si="107"/>
        <v>0</v>
      </c>
      <c r="I196" s="170">
        <f>+Parameters!F43</f>
        <v>0</v>
      </c>
      <c r="J196" s="170"/>
      <c r="K196" s="170"/>
      <c r="L196" s="170"/>
      <c r="M196" s="730"/>
      <c r="N196" s="730"/>
      <c r="O196" s="730"/>
      <c r="P196" s="731"/>
      <c r="Q196" s="731"/>
      <c r="R196" s="730"/>
      <c r="S196" s="730"/>
      <c r="T196" s="723"/>
      <c r="U196" s="724"/>
      <c r="V196" s="725"/>
      <c r="W196" s="725"/>
      <c r="X196" s="723"/>
      <c r="Y196" s="723"/>
      <c r="Z196" s="723"/>
      <c r="AA196" s="726"/>
      <c r="AB196" s="726"/>
      <c r="AC196" s="170"/>
      <c r="AD196" s="586">
        <f t="shared" si="109"/>
        <v>0</v>
      </c>
      <c r="AE196" s="586">
        <f t="shared" si="109"/>
        <v>0</v>
      </c>
      <c r="AF196" s="586">
        <f t="shared" si="109"/>
        <v>0</v>
      </c>
      <c r="AG196" s="586">
        <f t="shared" si="109"/>
        <v>0</v>
      </c>
      <c r="AH196" s="586">
        <f t="shared" si="109"/>
        <v>0</v>
      </c>
      <c r="AI196" s="586">
        <f t="shared" si="109"/>
        <v>0</v>
      </c>
      <c r="AJ196" s="586">
        <f t="shared" si="109"/>
        <v>0</v>
      </c>
      <c r="AK196" s="586">
        <f t="shared" si="109"/>
        <v>0</v>
      </c>
      <c r="AL196" s="586">
        <f t="shared" si="109"/>
        <v>0</v>
      </c>
      <c r="AM196" s="586">
        <f t="shared" si="109"/>
        <v>0</v>
      </c>
      <c r="AN196" s="586">
        <f t="shared" si="109"/>
        <v>0</v>
      </c>
      <c r="AO196" s="586">
        <f t="shared" si="109"/>
        <v>0</v>
      </c>
      <c r="AP196" s="586">
        <f t="shared" si="109"/>
        <v>0</v>
      </c>
      <c r="AQ196" s="586">
        <f t="shared" si="109"/>
        <v>0</v>
      </c>
      <c r="AR196" s="586">
        <f t="shared" si="109"/>
        <v>0</v>
      </c>
      <c r="AS196" s="586">
        <f t="shared" si="109"/>
        <v>0</v>
      </c>
      <c r="AT196" s="170"/>
    </row>
    <row r="197" spans="1:46" ht="15" x14ac:dyDescent="0.25">
      <c r="A197" s="170"/>
      <c r="B197" s="719"/>
      <c r="C197" s="170" t="str">
        <f t="shared" si="105"/>
        <v>41ea</v>
      </c>
      <c r="D197" s="170"/>
      <c r="E197" s="170"/>
      <c r="F197" s="170">
        <f>+Parameters!D44</f>
        <v>41</v>
      </c>
      <c r="G197" s="170" t="str">
        <f>+Parameters!E44</f>
        <v>Structures - Poles - monopoles</v>
      </c>
      <c r="H197" s="586">
        <f t="shared" si="107"/>
        <v>0</v>
      </c>
      <c r="I197" s="170" t="str">
        <f>+Parameters!F44</f>
        <v>ea</v>
      </c>
      <c r="J197" s="170"/>
      <c r="K197" s="170"/>
      <c r="L197" s="170"/>
      <c r="M197" s="730"/>
      <c r="N197" s="730"/>
      <c r="O197" s="730"/>
      <c r="P197" s="731"/>
      <c r="Q197" s="731"/>
      <c r="R197" s="730"/>
      <c r="S197" s="730"/>
      <c r="T197" s="723"/>
      <c r="U197" s="724"/>
      <c r="V197" s="725"/>
      <c r="W197" s="725"/>
      <c r="X197" s="723"/>
      <c r="Y197" s="723"/>
      <c r="Z197" s="723"/>
      <c r="AA197" s="726"/>
      <c r="AB197" s="726"/>
      <c r="AC197" s="170"/>
      <c r="AD197" s="586">
        <f t="shared" si="109"/>
        <v>0</v>
      </c>
      <c r="AE197" s="586">
        <f t="shared" si="109"/>
        <v>0</v>
      </c>
      <c r="AF197" s="586">
        <f t="shared" si="109"/>
        <v>0</v>
      </c>
      <c r="AG197" s="586">
        <f t="shared" si="109"/>
        <v>0</v>
      </c>
      <c r="AH197" s="586">
        <f t="shared" si="109"/>
        <v>0</v>
      </c>
      <c r="AI197" s="586">
        <f t="shared" si="109"/>
        <v>0</v>
      </c>
      <c r="AJ197" s="586">
        <f t="shared" si="109"/>
        <v>0</v>
      </c>
      <c r="AK197" s="586">
        <f t="shared" si="109"/>
        <v>0</v>
      </c>
      <c r="AL197" s="586">
        <f t="shared" si="109"/>
        <v>0</v>
      </c>
      <c r="AM197" s="586">
        <f t="shared" si="109"/>
        <v>0</v>
      </c>
      <c r="AN197" s="586">
        <f t="shared" si="109"/>
        <v>0</v>
      </c>
      <c r="AO197" s="586">
        <f t="shared" si="109"/>
        <v>0</v>
      </c>
      <c r="AP197" s="586">
        <f t="shared" si="109"/>
        <v>0</v>
      </c>
      <c r="AQ197" s="586">
        <f t="shared" si="109"/>
        <v>0</v>
      </c>
      <c r="AR197" s="586">
        <f t="shared" si="109"/>
        <v>0</v>
      </c>
      <c r="AS197" s="586">
        <f t="shared" si="109"/>
        <v>0</v>
      </c>
      <c r="AT197" s="170"/>
    </row>
    <row r="198" spans="1:46" ht="15" x14ac:dyDescent="0.25">
      <c r="A198" s="170"/>
      <c r="B198" s="719"/>
      <c r="C198" s="170" t="str">
        <f t="shared" si="105"/>
        <v>42ea</v>
      </c>
      <c r="D198" s="170"/>
      <c r="E198" s="170"/>
      <c r="F198" s="170">
        <f>+Parameters!D45</f>
        <v>42</v>
      </c>
      <c r="G198" s="170" t="str">
        <f>+Parameters!E45</f>
        <v>Structures - Poles - frame</v>
      </c>
      <c r="H198" s="586">
        <f t="shared" si="107"/>
        <v>0</v>
      </c>
      <c r="I198" s="170" t="str">
        <f>+Parameters!F45</f>
        <v>ea</v>
      </c>
      <c r="J198" s="170"/>
      <c r="K198" s="170"/>
      <c r="L198" s="170"/>
      <c r="M198" s="730"/>
      <c r="N198" s="730"/>
      <c r="O198" s="730"/>
      <c r="P198" s="731"/>
      <c r="Q198" s="731"/>
      <c r="R198" s="730"/>
      <c r="S198" s="730"/>
      <c r="T198" s="723"/>
      <c r="U198" s="724"/>
      <c r="V198" s="725"/>
      <c r="W198" s="725"/>
      <c r="X198" s="723"/>
      <c r="Y198" s="723"/>
      <c r="Z198" s="723"/>
      <c r="AA198" s="726"/>
      <c r="AB198" s="726"/>
      <c r="AC198" s="170"/>
      <c r="AD198" s="586">
        <f t="shared" si="109"/>
        <v>0</v>
      </c>
      <c r="AE198" s="586">
        <f t="shared" si="109"/>
        <v>0</v>
      </c>
      <c r="AF198" s="586">
        <f t="shared" si="109"/>
        <v>0</v>
      </c>
      <c r="AG198" s="586">
        <f t="shared" si="109"/>
        <v>0</v>
      </c>
      <c r="AH198" s="586">
        <f t="shared" si="109"/>
        <v>0</v>
      </c>
      <c r="AI198" s="586">
        <f t="shared" si="109"/>
        <v>0</v>
      </c>
      <c r="AJ198" s="586">
        <f t="shared" si="109"/>
        <v>0</v>
      </c>
      <c r="AK198" s="586">
        <f t="shared" si="109"/>
        <v>0</v>
      </c>
      <c r="AL198" s="586">
        <f t="shared" si="109"/>
        <v>0</v>
      </c>
      <c r="AM198" s="586">
        <f t="shared" si="109"/>
        <v>0</v>
      </c>
      <c r="AN198" s="586">
        <f t="shared" si="109"/>
        <v>0</v>
      </c>
      <c r="AO198" s="586">
        <f t="shared" si="109"/>
        <v>0</v>
      </c>
      <c r="AP198" s="586">
        <f t="shared" si="109"/>
        <v>0</v>
      </c>
      <c r="AQ198" s="586">
        <f t="shared" si="109"/>
        <v>0</v>
      </c>
      <c r="AR198" s="586">
        <f t="shared" si="109"/>
        <v>0</v>
      </c>
      <c r="AS198" s="586">
        <f t="shared" si="109"/>
        <v>0</v>
      </c>
      <c r="AT198" s="170"/>
    </row>
    <row r="199" spans="1:46" ht="15" x14ac:dyDescent="0.25">
      <c r="A199" s="170"/>
      <c r="B199" s="719"/>
      <c r="C199" s="170" t="str">
        <f t="shared" si="105"/>
        <v>43ea</v>
      </c>
      <c r="D199" s="170"/>
      <c r="E199" s="170"/>
      <c r="F199" s="170">
        <f>+Parameters!D46</f>
        <v>43</v>
      </c>
      <c r="G199" s="170" t="str">
        <f>+Parameters!E46</f>
        <v>Structures - Poles - Guys</v>
      </c>
      <c r="H199" s="586">
        <f t="shared" si="107"/>
        <v>0</v>
      </c>
      <c r="I199" s="170" t="str">
        <f>+Parameters!F46</f>
        <v>ea</v>
      </c>
      <c r="J199" s="170"/>
      <c r="K199" s="170"/>
      <c r="L199" s="170"/>
      <c r="M199" s="730"/>
      <c r="N199" s="730"/>
      <c r="O199" s="730"/>
      <c r="P199" s="731"/>
      <c r="Q199" s="731"/>
      <c r="R199" s="730"/>
      <c r="S199" s="730"/>
      <c r="T199" s="723"/>
      <c r="U199" s="724"/>
      <c r="V199" s="725"/>
      <c r="W199" s="725"/>
      <c r="X199" s="723"/>
      <c r="Y199" s="723"/>
      <c r="Z199" s="723"/>
      <c r="AA199" s="726"/>
      <c r="AB199" s="726"/>
      <c r="AC199" s="170"/>
      <c r="AD199" s="586">
        <f t="shared" si="109"/>
        <v>0</v>
      </c>
      <c r="AE199" s="586">
        <f t="shared" si="109"/>
        <v>0</v>
      </c>
      <c r="AF199" s="586">
        <f t="shared" si="109"/>
        <v>0</v>
      </c>
      <c r="AG199" s="586">
        <f t="shared" si="109"/>
        <v>0</v>
      </c>
      <c r="AH199" s="586">
        <f t="shared" si="109"/>
        <v>0</v>
      </c>
      <c r="AI199" s="586">
        <f t="shared" si="109"/>
        <v>0</v>
      </c>
      <c r="AJ199" s="586">
        <f t="shared" si="109"/>
        <v>0</v>
      </c>
      <c r="AK199" s="586">
        <f t="shared" si="109"/>
        <v>0</v>
      </c>
      <c r="AL199" s="586">
        <f t="shared" si="109"/>
        <v>0</v>
      </c>
      <c r="AM199" s="586">
        <f t="shared" si="109"/>
        <v>0</v>
      </c>
      <c r="AN199" s="586">
        <f t="shared" si="109"/>
        <v>0</v>
      </c>
      <c r="AO199" s="586">
        <f t="shared" si="109"/>
        <v>0</v>
      </c>
      <c r="AP199" s="586">
        <f t="shared" si="109"/>
        <v>0</v>
      </c>
      <c r="AQ199" s="586">
        <f t="shared" si="109"/>
        <v>0</v>
      </c>
      <c r="AR199" s="586">
        <f t="shared" si="109"/>
        <v>0</v>
      </c>
      <c r="AS199" s="586">
        <f t="shared" si="109"/>
        <v>0</v>
      </c>
      <c r="AT199" s="170"/>
    </row>
    <row r="200" spans="1:46" ht="15" x14ac:dyDescent="0.25">
      <c r="A200" s="170"/>
      <c r="B200" s="719"/>
      <c r="C200" s="170" t="str">
        <f t="shared" si="105"/>
        <v>440</v>
      </c>
      <c r="D200" s="170"/>
      <c r="E200" s="170"/>
      <c r="F200" s="170">
        <f>+Parameters!D47</f>
        <v>44</v>
      </c>
      <c r="G200" s="170">
        <f>+Parameters!E47</f>
        <v>0</v>
      </c>
      <c r="H200" s="586">
        <f t="shared" si="107"/>
        <v>0</v>
      </c>
      <c r="I200" s="170">
        <f>+Parameters!F47</f>
        <v>0</v>
      </c>
      <c r="J200" s="170"/>
      <c r="K200" s="170"/>
      <c r="L200" s="170"/>
      <c r="M200" s="730"/>
      <c r="N200" s="730"/>
      <c r="O200" s="730"/>
      <c r="P200" s="731"/>
      <c r="Q200" s="731"/>
      <c r="R200" s="730"/>
      <c r="S200" s="730"/>
      <c r="T200" s="723"/>
      <c r="U200" s="724"/>
      <c r="V200" s="725"/>
      <c r="W200" s="725"/>
      <c r="X200" s="723"/>
      <c r="Y200" s="723"/>
      <c r="Z200" s="723"/>
      <c r="AA200" s="726"/>
      <c r="AB200" s="726"/>
      <c r="AC200" s="170"/>
      <c r="AD200" s="586">
        <f t="shared" si="109"/>
        <v>0</v>
      </c>
      <c r="AE200" s="586">
        <f t="shared" si="109"/>
        <v>0</v>
      </c>
      <c r="AF200" s="586">
        <f t="shared" si="109"/>
        <v>0</v>
      </c>
      <c r="AG200" s="586">
        <f t="shared" si="109"/>
        <v>0</v>
      </c>
      <c r="AH200" s="586">
        <f t="shared" si="109"/>
        <v>0</v>
      </c>
      <c r="AI200" s="586">
        <f t="shared" si="109"/>
        <v>0</v>
      </c>
      <c r="AJ200" s="586">
        <f t="shared" si="109"/>
        <v>0</v>
      </c>
      <c r="AK200" s="586">
        <f t="shared" si="109"/>
        <v>0</v>
      </c>
      <c r="AL200" s="586">
        <f t="shared" si="109"/>
        <v>0</v>
      </c>
      <c r="AM200" s="586">
        <f t="shared" si="109"/>
        <v>0</v>
      </c>
      <c r="AN200" s="586">
        <f t="shared" si="109"/>
        <v>0</v>
      </c>
      <c r="AO200" s="586">
        <f t="shared" si="109"/>
        <v>0</v>
      </c>
      <c r="AP200" s="586">
        <f t="shared" si="109"/>
        <v>0</v>
      </c>
      <c r="AQ200" s="586">
        <f t="shared" si="109"/>
        <v>0</v>
      </c>
      <c r="AR200" s="586">
        <f t="shared" si="109"/>
        <v>0</v>
      </c>
      <c r="AS200" s="586">
        <f t="shared" si="109"/>
        <v>0</v>
      </c>
      <c r="AT200" s="170"/>
    </row>
    <row r="201" spans="1:46" ht="15" x14ac:dyDescent="0.25">
      <c r="A201" s="170"/>
      <c r="B201" s="719"/>
      <c r="C201" s="170" t="str">
        <f t="shared" si="105"/>
        <v>45tn</v>
      </c>
      <c r="D201" s="170"/>
      <c r="E201" s="170"/>
      <c r="F201" s="170">
        <f>+Parameters!D48</f>
        <v>45</v>
      </c>
      <c r="G201" s="170" t="str">
        <f>+Parameters!E48</f>
        <v>Structures - S.S.</v>
      </c>
      <c r="H201" s="586">
        <f t="shared" si="107"/>
        <v>0</v>
      </c>
      <c r="I201" s="170" t="str">
        <f>+Parameters!F48</f>
        <v>tn</v>
      </c>
      <c r="J201" s="170"/>
      <c r="K201" s="170"/>
      <c r="L201" s="170"/>
      <c r="M201" s="730"/>
      <c r="N201" s="730"/>
      <c r="O201" s="730"/>
      <c r="P201" s="731"/>
      <c r="Q201" s="731"/>
      <c r="R201" s="730"/>
      <c r="S201" s="730"/>
      <c r="T201" s="723"/>
      <c r="U201" s="724"/>
      <c r="V201" s="725"/>
      <c r="W201" s="725"/>
      <c r="X201" s="723"/>
      <c r="Y201" s="723"/>
      <c r="Z201" s="723"/>
      <c r="AA201" s="726"/>
      <c r="AB201" s="726"/>
      <c r="AC201" s="170"/>
      <c r="AD201" s="586">
        <f t="shared" si="109"/>
        <v>0</v>
      </c>
      <c r="AE201" s="586">
        <f t="shared" si="109"/>
        <v>0</v>
      </c>
      <c r="AF201" s="586">
        <f t="shared" si="109"/>
        <v>0</v>
      </c>
      <c r="AG201" s="586">
        <f t="shared" si="109"/>
        <v>0</v>
      </c>
      <c r="AH201" s="586">
        <f t="shared" si="109"/>
        <v>0</v>
      </c>
      <c r="AI201" s="586">
        <f t="shared" si="109"/>
        <v>0</v>
      </c>
      <c r="AJ201" s="586">
        <f t="shared" si="109"/>
        <v>0</v>
      </c>
      <c r="AK201" s="586">
        <f t="shared" si="109"/>
        <v>0</v>
      </c>
      <c r="AL201" s="586">
        <f t="shared" si="109"/>
        <v>0</v>
      </c>
      <c r="AM201" s="586">
        <f t="shared" si="109"/>
        <v>0</v>
      </c>
      <c r="AN201" s="586">
        <f t="shared" si="109"/>
        <v>0</v>
      </c>
      <c r="AO201" s="586">
        <f t="shared" si="109"/>
        <v>0</v>
      </c>
      <c r="AP201" s="586">
        <f t="shared" si="109"/>
        <v>0</v>
      </c>
      <c r="AQ201" s="586">
        <f t="shared" si="109"/>
        <v>0</v>
      </c>
      <c r="AR201" s="586">
        <f t="shared" si="109"/>
        <v>0</v>
      </c>
      <c r="AS201" s="586">
        <f t="shared" si="109"/>
        <v>0</v>
      </c>
      <c r="AT201" s="170"/>
    </row>
    <row r="202" spans="1:46" ht="15" x14ac:dyDescent="0.25">
      <c r="A202" s="170"/>
      <c r="B202" s="719"/>
      <c r="C202" s="170" t="str">
        <f t="shared" si="105"/>
        <v>46tn</v>
      </c>
      <c r="D202" s="170"/>
      <c r="E202" s="170"/>
      <c r="F202" s="170">
        <f>+Parameters!D49</f>
        <v>46</v>
      </c>
      <c r="G202" s="170" t="str">
        <f>+Parameters!E49</f>
        <v>Structures - Platforms</v>
      </c>
      <c r="H202" s="586">
        <f t="shared" si="107"/>
        <v>0</v>
      </c>
      <c r="I202" s="170" t="str">
        <f>+Parameters!F49</f>
        <v>tn</v>
      </c>
      <c r="J202" s="170"/>
      <c r="K202" s="170"/>
      <c r="L202" s="170"/>
      <c r="M202" s="730"/>
      <c r="N202" s="730"/>
      <c r="O202" s="730"/>
      <c r="P202" s="731"/>
      <c r="Q202" s="731"/>
      <c r="R202" s="730"/>
      <c r="S202" s="730"/>
      <c r="T202" s="723"/>
      <c r="U202" s="724"/>
      <c r="V202" s="725"/>
      <c r="W202" s="725"/>
      <c r="X202" s="723"/>
      <c r="Y202" s="723"/>
      <c r="Z202" s="723"/>
      <c r="AA202" s="726"/>
      <c r="AB202" s="726"/>
      <c r="AC202" s="170"/>
      <c r="AD202" s="586">
        <f t="shared" si="109"/>
        <v>0</v>
      </c>
      <c r="AE202" s="586">
        <f t="shared" si="109"/>
        <v>0</v>
      </c>
      <c r="AF202" s="586">
        <f t="shared" si="109"/>
        <v>0</v>
      </c>
      <c r="AG202" s="586">
        <f t="shared" si="109"/>
        <v>0</v>
      </c>
      <c r="AH202" s="586">
        <f t="shared" si="109"/>
        <v>0</v>
      </c>
      <c r="AI202" s="586">
        <f t="shared" si="109"/>
        <v>0</v>
      </c>
      <c r="AJ202" s="586">
        <f t="shared" si="109"/>
        <v>0</v>
      </c>
      <c r="AK202" s="586">
        <f t="shared" si="109"/>
        <v>0</v>
      </c>
      <c r="AL202" s="586">
        <f t="shared" si="109"/>
        <v>0</v>
      </c>
      <c r="AM202" s="586">
        <f t="shared" si="109"/>
        <v>0</v>
      </c>
      <c r="AN202" s="586">
        <f t="shared" si="109"/>
        <v>0</v>
      </c>
      <c r="AO202" s="586">
        <f t="shared" si="109"/>
        <v>0</v>
      </c>
      <c r="AP202" s="586">
        <f t="shared" si="109"/>
        <v>0</v>
      </c>
      <c r="AQ202" s="586">
        <f t="shared" si="109"/>
        <v>0</v>
      </c>
      <c r="AR202" s="586">
        <f t="shared" si="109"/>
        <v>0</v>
      </c>
      <c r="AS202" s="586">
        <f t="shared" si="109"/>
        <v>0</v>
      </c>
      <c r="AT202" s="170"/>
    </row>
    <row r="203" spans="1:46" ht="15" x14ac:dyDescent="0.25">
      <c r="A203" s="170"/>
      <c r="B203" s="719"/>
      <c r="C203" s="170" t="str">
        <f t="shared" si="105"/>
        <v>470</v>
      </c>
      <c r="D203" s="170"/>
      <c r="E203" s="170"/>
      <c r="F203" s="170">
        <f>+Parameters!D50</f>
        <v>47</v>
      </c>
      <c r="G203" s="170">
        <f>+Parameters!E50</f>
        <v>0</v>
      </c>
      <c r="H203" s="586">
        <f t="shared" si="107"/>
        <v>0</v>
      </c>
      <c r="I203" s="170">
        <f>+Parameters!F50</f>
        <v>0</v>
      </c>
      <c r="J203" s="170"/>
      <c r="K203" s="170"/>
      <c r="L203" s="170"/>
      <c r="M203" s="730"/>
      <c r="N203" s="730"/>
      <c r="O203" s="730"/>
      <c r="P203" s="731"/>
      <c r="Q203" s="731"/>
      <c r="R203" s="730"/>
      <c r="S203" s="730"/>
      <c r="T203" s="723"/>
      <c r="U203" s="724"/>
      <c r="V203" s="725"/>
      <c r="W203" s="725"/>
      <c r="X203" s="723"/>
      <c r="Y203" s="723"/>
      <c r="Z203" s="723"/>
      <c r="AA203" s="726"/>
      <c r="AB203" s="726"/>
      <c r="AC203" s="170"/>
      <c r="AD203" s="586">
        <f t="shared" si="109"/>
        <v>0</v>
      </c>
      <c r="AE203" s="586">
        <f t="shared" si="109"/>
        <v>0</v>
      </c>
      <c r="AF203" s="586">
        <f t="shared" si="109"/>
        <v>0</v>
      </c>
      <c r="AG203" s="586">
        <f t="shared" si="109"/>
        <v>0</v>
      </c>
      <c r="AH203" s="586">
        <f t="shared" si="109"/>
        <v>0</v>
      </c>
      <c r="AI203" s="586">
        <f t="shared" si="109"/>
        <v>0</v>
      </c>
      <c r="AJ203" s="586">
        <f t="shared" si="109"/>
        <v>0</v>
      </c>
      <c r="AK203" s="586">
        <f t="shared" si="109"/>
        <v>0</v>
      </c>
      <c r="AL203" s="586">
        <f t="shared" si="109"/>
        <v>0</v>
      </c>
      <c r="AM203" s="586">
        <f t="shared" si="109"/>
        <v>0</v>
      </c>
      <c r="AN203" s="586">
        <f t="shared" si="109"/>
        <v>0</v>
      </c>
      <c r="AO203" s="586">
        <f t="shared" si="109"/>
        <v>0</v>
      </c>
      <c r="AP203" s="586">
        <f t="shared" si="109"/>
        <v>0</v>
      </c>
      <c r="AQ203" s="586">
        <f t="shared" si="109"/>
        <v>0</v>
      </c>
      <c r="AR203" s="586">
        <f t="shared" si="109"/>
        <v>0</v>
      </c>
      <c r="AS203" s="586">
        <f t="shared" ref="AE203:AS220" si="110">SUMIF($F$9:$F$153,$F203,AS$9:AS$153)</f>
        <v>0</v>
      </c>
      <c r="AT203" s="170"/>
    </row>
    <row r="204" spans="1:46" ht="15" x14ac:dyDescent="0.25">
      <c r="A204" s="170"/>
      <c r="B204" s="719"/>
      <c r="C204" s="170" t="str">
        <f t="shared" si="105"/>
        <v>480</v>
      </c>
      <c r="D204" s="170"/>
      <c r="E204" s="170"/>
      <c r="F204" s="170">
        <f>+Parameters!D51</f>
        <v>48</v>
      </c>
      <c r="G204" s="170">
        <f>+Parameters!E51</f>
        <v>0</v>
      </c>
      <c r="H204" s="586">
        <f t="shared" si="107"/>
        <v>0</v>
      </c>
      <c r="I204" s="170">
        <f>+Parameters!F51</f>
        <v>0</v>
      </c>
      <c r="J204" s="170"/>
      <c r="K204" s="170"/>
      <c r="L204" s="170"/>
      <c r="M204" s="730"/>
      <c r="N204" s="730"/>
      <c r="O204" s="730"/>
      <c r="P204" s="731"/>
      <c r="Q204" s="731"/>
      <c r="R204" s="730"/>
      <c r="S204" s="730"/>
      <c r="T204" s="723"/>
      <c r="U204" s="724"/>
      <c r="V204" s="725"/>
      <c r="W204" s="725"/>
      <c r="X204" s="723"/>
      <c r="Y204" s="723"/>
      <c r="Z204" s="723"/>
      <c r="AA204" s="726"/>
      <c r="AB204" s="726"/>
      <c r="AC204" s="170"/>
      <c r="AD204" s="586">
        <f t="shared" ref="AD204:AD235" si="111">SUMIF($F$9:$F$153,$F204,AD$9:AD$153)</f>
        <v>0</v>
      </c>
      <c r="AE204" s="586">
        <f t="shared" si="110"/>
        <v>0</v>
      </c>
      <c r="AF204" s="586">
        <f t="shared" si="110"/>
        <v>0</v>
      </c>
      <c r="AG204" s="586">
        <f t="shared" si="110"/>
        <v>0</v>
      </c>
      <c r="AH204" s="586">
        <f t="shared" si="110"/>
        <v>0</v>
      </c>
      <c r="AI204" s="586">
        <f t="shared" si="110"/>
        <v>0</v>
      </c>
      <c r="AJ204" s="586">
        <f t="shared" si="110"/>
        <v>0</v>
      </c>
      <c r="AK204" s="586">
        <f t="shared" si="110"/>
        <v>0</v>
      </c>
      <c r="AL204" s="586">
        <f t="shared" si="110"/>
        <v>0</v>
      </c>
      <c r="AM204" s="586">
        <f t="shared" si="110"/>
        <v>0</v>
      </c>
      <c r="AN204" s="586">
        <f t="shared" si="110"/>
        <v>0</v>
      </c>
      <c r="AO204" s="586">
        <f t="shared" si="110"/>
        <v>0</v>
      </c>
      <c r="AP204" s="586">
        <f t="shared" si="110"/>
        <v>0</v>
      </c>
      <c r="AQ204" s="586">
        <f t="shared" si="110"/>
        <v>0</v>
      </c>
      <c r="AR204" s="586">
        <f t="shared" si="110"/>
        <v>0</v>
      </c>
      <c r="AS204" s="586">
        <f t="shared" si="110"/>
        <v>0</v>
      </c>
      <c r="AT204" s="170"/>
    </row>
    <row r="205" spans="1:46" ht="15" x14ac:dyDescent="0.25">
      <c r="A205" s="170"/>
      <c r="B205" s="719"/>
      <c r="C205" s="170" t="str">
        <f t="shared" si="105"/>
        <v>49tn</v>
      </c>
      <c r="D205" s="170"/>
      <c r="E205" s="170"/>
      <c r="F205" s="170">
        <f>+Parameters!D52</f>
        <v>49</v>
      </c>
      <c r="G205" s="170" t="str">
        <f>+Parameters!E52</f>
        <v>Structures - Others</v>
      </c>
      <c r="H205" s="586">
        <f t="shared" si="107"/>
        <v>0</v>
      </c>
      <c r="I205" s="170" t="str">
        <f>+Parameters!F52</f>
        <v>tn</v>
      </c>
      <c r="J205" s="170"/>
      <c r="K205" s="170"/>
      <c r="L205" s="170"/>
      <c r="M205" s="730"/>
      <c r="N205" s="730"/>
      <c r="O205" s="730"/>
      <c r="P205" s="731"/>
      <c r="Q205" s="731"/>
      <c r="R205" s="730"/>
      <c r="S205" s="730"/>
      <c r="T205" s="723"/>
      <c r="U205" s="724"/>
      <c r="V205" s="725"/>
      <c r="W205" s="725"/>
      <c r="X205" s="723"/>
      <c r="Y205" s="723"/>
      <c r="Z205" s="723"/>
      <c r="AA205" s="726"/>
      <c r="AB205" s="726"/>
      <c r="AC205" s="170"/>
      <c r="AD205" s="586">
        <f t="shared" si="111"/>
        <v>0</v>
      </c>
      <c r="AE205" s="586">
        <f t="shared" si="110"/>
        <v>0</v>
      </c>
      <c r="AF205" s="586">
        <f t="shared" si="110"/>
        <v>0</v>
      </c>
      <c r="AG205" s="586">
        <f t="shared" si="110"/>
        <v>0</v>
      </c>
      <c r="AH205" s="586">
        <f t="shared" si="110"/>
        <v>0</v>
      </c>
      <c r="AI205" s="586">
        <f t="shared" si="110"/>
        <v>0</v>
      </c>
      <c r="AJ205" s="586">
        <f t="shared" si="110"/>
        <v>0</v>
      </c>
      <c r="AK205" s="586">
        <f t="shared" si="110"/>
        <v>0</v>
      </c>
      <c r="AL205" s="586">
        <f t="shared" si="110"/>
        <v>0</v>
      </c>
      <c r="AM205" s="586">
        <f t="shared" si="110"/>
        <v>0</v>
      </c>
      <c r="AN205" s="586">
        <f t="shared" si="110"/>
        <v>0</v>
      </c>
      <c r="AO205" s="586">
        <f t="shared" si="110"/>
        <v>0</v>
      </c>
      <c r="AP205" s="586">
        <f t="shared" si="110"/>
        <v>0</v>
      </c>
      <c r="AQ205" s="586">
        <f t="shared" si="110"/>
        <v>0</v>
      </c>
      <c r="AR205" s="586">
        <f t="shared" si="110"/>
        <v>0</v>
      </c>
      <c r="AS205" s="586">
        <f t="shared" si="110"/>
        <v>0</v>
      </c>
      <c r="AT205" s="170"/>
    </row>
    <row r="206" spans="1:46" ht="15" x14ac:dyDescent="0.25">
      <c r="A206" s="170"/>
      <c r="B206" s="719"/>
      <c r="C206" s="170" t="str">
        <f t="shared" si="105"/>
        <v>50ea</v>
      </c>
      <c r="D206" s="170"/>
      <c r="E206" s="170"/>
      <c r="F206" s="170">
        <f>+Parameters!D53</f>
        <v>50</v>
      </c>
      <c r="G206" s="170" t="str">
        <f>+Parameters!E53</f>
        <v>Major Eqt - Circuit Breakers</v>
      </c>
      <c r="H206" s="586">
        <f t="shared" si="107"/>
        <v>0</v>
      </c>
      <c r="I206" s="170" t="str">
        <f>+Parameters!F53</f>
        <v>ea</v>
      </c>
      <c r="J206" s="170"/>
      <c r="K206" s="170"/>
      <c r="L206" s="170"/>
      <c r="M206" s="730"/>
      <c r="N206" s="730"/>
      <c r="O206" s="730"/>
      <c r="P206" s="731"/>
      <c r="Q206" s="731"/>
      <c r="R206" s="730"/>
      <c r="S206" s="730"/>
      <c r="T206" s="723"/>
      <c r="U206" s="724"/>
      <c r="V206" s="725"/>
      <c r="W206" s="725"/>
      <c r="X206" s="723"/>
      <c r="Y206" s="723"/>
      <c r="Z206" s="723"/>
      <c r="AA206" s="726"/>
      <c r="AB206" s="726"/>
      <c r="AC206" s="170"/>
      <c r="AD206" s="586">
        <f t="shared" si="111"/>
        <v>0</v>
      </c>
      <c r="AE206" s="586">
        <f t="shared" si="110"/>
        <v>0</v>
      </c>
      <c r="AF206" s="586">
        <f t="shared" si="110"/>
        <v>0</v>
      </c>
      <c r="AG206" s="586">
        <f t="shared" si="110"/>
        <v>0</v>
      </c>
      <c r="AH206" s="586">
        <f t="shared" si="110"/>
        <v>0</v>
      </c>
      <c r="AI206" s="586">
        <f t="shared" si="110"/>
        <v>0</v>
      </c>
      <c r="AJ206" s="586">
        <f t="shared" si="110"/>
        <v>0</v>
      </c>
      <c r="AK206" s="586">
        <f t="shared" si="110"/>
        <v>0</v>
      </c>
      <c r="AL206" s="586">
        <f t="shared" si="110"/>
        <v>0</v>
      </c>
      <c r="AM206" s="586">
        <f t="shared" si="110"/>
        <v>0</v>
      </c>
      <c r="AN206" s="586">
        <f t="shared" si="110"/>
        <v>0</v>
      </c>
      <c r="AO206" s="586">
        <f t="shared" si="110"/>
        <v>0</v>
      </c>
      <c r="AP206" s="586">
        <f t="shared" si="110"/>
        <v>0</v>
      </c>
      <c r="AQ206" s="586">
        <f t="shared" si="110"/>
        <v>0</v>
      </c>
      <c r="AR206" s="586">
        <f t="shared" si="110"/>
        <v>0</v>
      </c>
      <c r="AS206" s="586">
        <f t="shared" si="110"/>
        <v>0</v>
      </c>
      <c r="AT206" s="170"/>
    </row>
    <row r="207" spans="1:46" ht="15" x14ac:dyDescent="0.25">
      <c r="A207" s="170"/>
      <c r="B207" s="719"/>
      <c r="C207" s="170" t="str">
        <f t="shared" si="105"/>
        <v>51ea</v>
      </c>
      <c r="D207" s="170"/>
      <c r="E207" s="170"/>
      <c r="F207" s="170">
        <f>+Parameters!D54</f>
        <v>51</v>
      </c>
      <c r="G207" s="170" t="str">
        <f>+Parameters!E54</f>
        <v>Major Eqt - Transformers</v>
      </c>
      <c r="H207" s="586">
        <f t="shared" si="107"/>
        <v>1</v>
      </c>
      <c r="I207" s="170" t="str">
        <f>+Parameters!F54</f>
        <v>ea</v>
      </c>
      <c r="J207" s="170"/>
      <c r="K207" s="170"/>
      <c r="L207" s="170"/>
      <c r="M207" s="730"/>
      <c r="N207" s="730"/>
      <c r="O207" s="730"/>
      <c r="P207" s="731"/>
      <c r="Q207" s="731"/>
      <c r="R207" s="730"/>
      <c r="S207" s="730"/>
      <c r="T207" s="723"/>
      <c r="U207" s="724"/>
      <c r="V207" s="725"/>
      <c r="W207" s="725"/>
      <c r="X207" s="723"/>
      <c r="Y207" s="723"/>
      <c r="Z207" s="723"/>
      <c r="AA207" s="726"/>
      <c r="AB207" s="726"/>
      <c r="AC207" s="170"/>
      <c r="AD207" s="586">
        <f t="shared" si="111"/>
        <v>0</v>
      </c>
      <c r="AE207" s="586">
        <f t="shared" si="110"/>
        <v>0</v>
      </c>
      <c r="AF207" s="586">
        <f t="shared" si="110"/>
        <v>0</v>
      </c>
      <c r="AG207" s="586">
        <f t="shared" si="110"/>
        <v>0</v>
      </c>
      <c r="AH207" s="586">
        <f t="shared" si="110"/>
        <v>0</v>
      </c>
      <c r="AI207" s="586">
        <f t="shared" si="110"/>
        <v>0</v>
      </c>
      <c r="AJ207" s="586">
        <f t="shared" si="110"/>
        <v>0</v>
      </c>
      <c r="AK207" s="586">
        <f t="shared" si="110"/>
        <v>0</v>
      </c>
      <c r="AL207" s="586">
        <f t="shared" si="110"/>
        <v>0</v>
      </c>
      <c r="AM207" s="586">
        <f t="shared" si="110"/>
        <v>630372</v>
      </c>
      <c r="AN207" s="586">
        <f t="shared" si="110"/>
        <v>0</v>
      </c>
      <c r="AO207" s="586">
        <f t="shared" si="110"/>
        <v>630372</v>
      </c>
      <c r="AP207" s="586">
        <f t="shared" si="110"/>
        <v>0</v>
      </c>
      <c r="AQ207" s="586">
        <f t="shared" si="110"/>
        <v>0</v>
      </c>
      <c r="AR207" s="586">
        <f t="shared" si="110"/>
        <v>0</v>
      </c>
      <c r="AS207" s="586">
        <f t="shared" si="110"/>
        <v>630372</v>
      </c>
      <c r="AT207" s="170"/>
    </row>
    <row r="208" spans="1:46" ht="15" x14ac:dyDescent="0.25">
      <c r="A208" s="170"/>
      <c r="B208" s="719"/>
      <c r="C208" s="170" t="str">
        <f t="shared" si="105"/>
        <v>52ea</v>
      </c>
      <c r="D208" s="170"/>
      <c r="E208" s="170"/>
      <c r="F208" s="170">
        <f>+Parameters!D55</f>
        <v>52</v>
      </c>
      <c r="G208" s="170" t="str">
        <f>+Parameters!E55</f>
        <v>Major Eqt - Circuit Switchers</v>
      </c>
      <c r="H208" s="586">
        <f t="shared" si="107"/>
        <v>0</v>
      </c>
      <c r="I208" s="170" t="str">
        <f>+Parameters!F55</f>
        <v>ea</v>
      </c>
      <c r="J208" s="170"/>
      <c r="K208" s="170"/>
      <c r="L208" s="170"/>
      <c r="M208" s="730"/>
      <c r="N208" s="730"/>
      <c r="O208" s="730"/>
      <c r="P208" s="731"/>
      <c r="Q208" s="731"/>
      <c r="R208" s="730"/>
      <c r="S208" s="730"/>
      <c r="T208" s="723"/>
      <c r="U208" s="724"/>
      <c r="V208" s="725"/>
      <c r="W208" s="725"/>
      <c r="X208" s="723"/>
      <c r="Y208" s="723"/>
      <c r="Z208" s="723"/>
      <c r="AA208" s="726"/>
      <c r="AB208" s="726"/>
      <c r="AC208" s="170"/>
      <c r="AD208" s="586">
        <f t="shared" si="111"/>
        <v>0</v>
      </c>
      <c r="AE208" s="586">
        <f t="shared" si="110"/>
        <v>0</v>
      </c>
      <c r="AF208" s="586">
        <f t="shared" si="110"/>
        <v>0</v>
      </c>
      <c r="AG208" s="586">
        <f t="shared" si="110"/>
        <v>0</v>
      </c>
      <c r="AH208" s="586">
        <f t="shared" si="110"/>
        <v>0</v>
      </c>
      <c r="AI208" s="586">
        <f t="shared" si="110"/>
        <v>0</v>
      </c>
      <c r="AJ208" s="586">
        <f t="shared" si="110"/>
        <v>0</v>
      </c>
      <c r="AK208" s="586">
        <f t="shared" si="110"/>
        <v>0</v>
      </c>
      <c r="AL208" s="586">
        <f t="shared" si="110"/>
        <v>0</v>
      </c>
      <c r="AM208" s="586">
        <f t="shared" si="110"/>
        <v>0</v>
      </c>
      <c r="AN208" s="586">
        <f t="shared" si="110"/>
        <v>0</v>
      </c>
      <c r="AO208" s="586">
        <f t="shared" si="110"/>
        <v>0</v>
      </c>
      <c r="AP208" s="586">
        <f t="shared" si="110"/>
        <v>0</v>
      </c>
      <c r="AQ208" s="586">
        <f t="shared" si="110"/>
        <v>0</v>
      </c>
      <c r="AR208" s="586">
        <f t="shared" si="110"/>
        <v>0</v>
      </c>
      <c r="AS208" s="586">
        <f t="shared" si="110"/>
        <v>0</v>
      </c>
      <c r="AT208" s="170"/>
    </row>
    <row r="209" spans="1:46" ht="15" x14ac:dyDescent="0.25">
      <c r="A209" s="170"/>
      <c r="B209" s="719"/>
      <c r="C209" s="170" t="str">
        <f t="shared" si="105"/>
        <v>53ea</v>
      </c>
      <c r="D209" s="170"/>
      <c r="E209" s="170"/>
      <c r="F209" s="170">
        <f>+Parameters!D56</f>
        <v>53</v>
      </c>
      <c r="G209" s="170" t="str">
        <f>+Parameters!E56</f>
        <v>Major Eqt - Disconect Switches</v>
      </c>
      <c r="H209" s="586">
        <f t="shared" si="107"/>
        <v>0</v>
      </c>
      <c r="I209" s="170" t="str">
        <f>+Parameters!F56</f>
        <v>ea</v>
      </c>
      <c r="J209" s="170"/>
      <c r="K209" s="170"/>
      <c r="L209" s="170"/>
      <c r="M209" s="730"/>
      <c r="N209" s="730"/>
      <c r="O209" s="730"/>
      <c r="P209" s="731"/>
      <c r="Q209" s="731"/>
      <c r="R209" s="730"/>
      <c r="S209" s="730"/>
      <c r="T209" s="723"/>
      <c r="U209" s="724"/>
      <c r="V209" s="725"/>
      <c r="W209" s="725"/>
      <c r="X209" s="723"/>
      <c r="Y209" s="723"/>
      <c r="Z209" s="723"/>
      <c r="AA209" s="726"/>
      <c r="AB209" s="726"/>
      <c r="AC209" s="170"/>
      <c r="AD209" s="586">
        <f t="shared" si="111"/>
        <v>0</v>
      </c>
      <c r="AE209" s="586">
        <f t="shared" si="110"/>
        <v>0</v>
      </c>
      <c r="AF209" s="586">
        <f t="shared" si="110"/>
        <v>0</v>
      </c>
      <c r="AG209" s="586">
        <f t="shared" si="110"/>
        <v>0</v>
      </c>
      <c r="AH209" s="586">
        <f t="shared" si="110"/>
        <v>0</v>
      </c>
      <c r="AI209" s="586">
        <f t="shared" si="110"/>
        <v>0</v>
      </c>
      <c r="AJ209" s="586">
        <f t="shared" si="110"/>
        <v>0</v>
      </c>
      <c r="AK209" s="586">
        <f t="shared" si="110"/>
        <v>0</v>
      </c>
      <c r="AL209" s="586">
        <f t="shared" si="110"/>
        <v>0</v>
      </c>
      <c r="AM209" s="586">
        <f t="shared" si="110"/>
        <v>0</v>
      </c>
      <c r="AN209" s="586">
        <f t="shared" si="110"/>
        <v>0</v>
      </c>
      <c r="AO209" s="586">
        <f t="shared" si="110"/>
        <v>0</v>
      </c>
      <c r="AP209" s="586">
        <f t="shared" si="110"/>
        <v>0</v>
      </c>
      <c r="AQ209" s="586">
        <f t="shared" si="110"/>
        <v>0</v>
      </c>
      <c r="AR209" s="586">
        <f t="shared" si="110"/>
        <v>0</v>
      </c>
      <c r="AS209" s="586">
        <f t="shared" si="110"/>
        <v>0</v>
      </c>
      <c r="AT209" s="170"/>
    </row>
    <row r="210" spans="1:46" ht="15" x14ac:dyDescent="0.25">
      <c r="A210" s="170"/>
      <c r="B210" s="719"/>
      <c r="C210" s="170" t="str">
        <f t="shared" si="105"/>
        <v>54ea</v>
      </c>
      <c r="D210" s="170"/>
      <c r="E210" s="170"/>
      <c r="F210" s="170">
        <f>+Parameters!D57</f>
        <v>54</v>
      </c>
      <c r="G210" s="170" t="str">
        <f>+Parameters!E57</f>
        <v>Major Eqt - Cap Banks</v>
      </c>
      <c r="H210" s="586">
        <f t="shared" si="107"/>
        <v>0</v>
      </c>
      <c r="I210" s="170" t="str">
        <f>+Parameters!F57</f>
        <v>ea</v>
      </c>
      <c r="J210" s="170"/>
      <c r="K210" s="170"/>
      <c r="L210" s="170"/>
      <c r="M210" s="730"/>
      <c r="N210" s="730"/>
      <c r="O210" s="730"/>
      <c r="P210" s="731"/>
      <c r="Q210" s="731"/>
      <c r="R210" s="730"/>
      <c r="S210" s="730"/>
      <c r="T210" s="723"/>
      <c r="U210" s="724"/>
      <c r="V210" s="725"/>
      <c r="W210" s="725"/>
      <c r="X210" s="723"/>
      <c r="Y210" s="723"/>
      <c r="Z210" s="723"/>
      <c r="AA210" s="726"/>
      <c r="AB210" s="726"/>
      <c r="AC210" s="170"/>
      <c r="AD210" s="586">
        <f t="shared" si="111"/>
        <v>0</v>
      </c>
      <c r="AE210" s="586">
        <f t="shared" si="110"/>
        <v>0</v>
      </c>
      <c r="AF210" s="586">
        <f t="shared" si="110"/>
        <v>0</v>
      </c>
      <c r="AG210" s="586">
        <f t="shared" si="110"/>
        <v>0</v>
      </c>
      <c r="AH210" s="586">
        <f t="shared" si="110"/>
        <v>0</v>
      </c>
      <c r="AI210" s="586">
        <f t="shared" si="110"/>
        <v>0</v>
      </c>
      <c r="AJ210" s="586">
        <f t="shared" si="110"/>
        <v>0</v>
      </c>
      <c r="AK210" s="586">
        <f t="shared" si="110"/>
        <v>0</v>
      </c>
      <c r="AL210" s="586">
        <f t="shared" si="110"/>
        <v>0</v>
      </c>
      <c r="AM210" s="586">
        <f t="shared" si="110"/>
        <v>0</v>
      </c>
      <c r="AN210" s="586">
        <f t="shared" si="110"/>
        <v>0</v>
      </c>
      <c r="AO210" s="586">
        <f t="shared" si="110"/>
        <v>0</v>
      </c>
      <c r="AP210" s="586">
        <f t="shared" si="110"/>
        <v>0</v>
      </c>
      <c r="AQ210" s="586">
        <f t="shared" si="110"/>
        <v>0</v>
      </c>
      <c r="AR210" s="586">
        <f t="shared" si="110"/>
        <v>0</v>
      </c>
      <c r="AS210" s="586">
        <f t="shared" si="110"/>
        <v>0</v>
      </c>
      <c r="AT210" s="170"/>
    </row>
    <row r="211" spans="1:46" ht="15" x14ac:dyDescent="0.25">
      <c r="A211" s="170"/>
      <c r="B211" s="719"/>
      <c r="C211" s="170" t="str">
        <f t="shared" si="105"/>
        <v>55ea</v>
      </c>
      <c r="D211" s="170"/>
      <c r="E211" s="170"/>
      <c r="F211" s="170">
        <f>+Parameters!D58</f>
        <v>55</v>
      </c>
      <c r="G211" s="170" t="str">
        <f>+Parameters!E58</f>
        <v>Major Eqt - Reactors</v>
      </c>
      <c r="H211" s="586">
        <f t="shared" si="107"/>
        <v>0</v>
      </c>
      <c r="I211" s="170" t="str">
        <f>+Parameters!F58</f>
        <v>ea</v>
      </c>
      <c r="J211" s="170"/>
      <c r="K211" s="170"/>
      <c r="L211" s="170"/>
      <c r="M211" s="730"/>
      <c r="N211" s="730"/>
      <c r="O211" s="730"/>
      <c r="P211" s="731"/>
      <c r="Q211" s="731"/>
      <c r="R211" s="730"/>
      <c r="S211" s="730"/>
      <c r="T211" s="723"/>
      <c r="U211" s="724"/>
      <c r="V211" s="725"/>
      <c r="W211" s="725"/>
      <c r="X211" s="723"/>
      <c r="Y211" s="723"/>
      <c r="Z211" s="723"/>
      <c r="AA211" s="726"/>
      <c r="AB211" s="726"/>
      <c r="AC211" s="170"/>
      <c r="AD211" s="586">
        <f t="shared" si="111"/>
        <v>0</v>
      </c>
      <c r="AE211" s="586">
        <f t="shared" si="110"/>
        <v>0</v>
      </c>
      <c r="AF211" s="586">
        <f t="shared" si="110"/>
        <v>0</v>
      </c>
      <c r="AG211" s="586">
        <f t="shared" si="110"/>
        <v>0</v>
      </c>
      <c r="AH211" s="586">
        <f t="shared" si="110"/>
        <v>0</v>
      </c>
      <c r="AI211" s="586">
        <f t="shared" si="110"/>
        <v>0</v>
      </c>
      <c r="AJ211" s="586">
        <f t="shared" si="110"/>
        <v>0</v>
      </c>
      <c r="AK211" s="586">
        <f t="shared" si="110"/>
        <v>0</v>
      </c>
      <c r="AL211" s="586">
        <f t="shared" si="110"/>
        <v>0</v>
      </c>
      <c r="AM211" s="586">
        <f t="shared" si="110"/>
        <v>0</v>
      </c>
      <c r="AN211" s="586">
        <f t="shared" si="110"/>
        <v>0</v>
      </c>
      <c r="AO211" s="586">
        <f t="shared" si="110"/>
        <v>0</v>
      </c>
      <c r="AP211" s="586">
        <f t="shared" si="110"/>
        <v>0</v>
      </c>
      <c r="AQ211" s="586">
        <f t="shared" si="110"/>
        <v>0</v>
      </c>
      <c r="AR211" s="586">
        <f t="shared" si="110"/>
        <v>0</v>
      </c>
      <c r="AS211" s="586">
        <f t="shared" si="110"/>
        <v>0</v>
      </c>
      <c r="AT211" s="170"/>
    </row>
    <row r="212" spans="1:46" ht="15" x14ac:dyDescent="0.25">
      <c r="A212" s="170"/>
      <c r="B212" s="719"/>
      <c r="C212" s="170" t="str">
        <f t="shared" si="105"/>
        <v>56ea</v>
      </c>
      <c r="D212" s="170"/>
      <c r="E212" s="170"/>
      <c r="F212" s="170">
        <f>+Parameters!D59</f>
        <v>56</v>
      </c>
      <c r="G212" s="170" t="str">
        <f>+Parameters!E59</f>
        <v>Major Eqt - GIS</v>
      </c>
      <c r="H212" s="586">
        <f t="shared" si="107"/>
        <v>0</v>
      </c>
      <c r="I212" s="170" t="str">
        <f>+Parameters!F59</f>
        <v>ea</v>
      </c>
      <c r="J212" s="170"/>
      <c r="K212" s="170"/>
      <c r="L212" s="170"/>
      <c r="M212" s="730"/>
      <c r="N212" s="730"/>
      <c r="O212" s="730"/>
      <c r="P212" s="731"/>
      <c r="Q212" s="731"/>
      <c r="R212" s="730"/>
      <c r="S212" s="730"/>
      <c r="T212" s="723"/>
      <c r="U212" s="724"/>
      <c r="V212" s="725"/>
      <c r="W212" s="725"/>
      <c r="X212" s="723"/>
      <c r="Y212" s="723"/>
      <c r="Z212" s="723"/>
      <c r="AA212" s="726"/>
      <c r="AB212" s="726"/>
      <c r="AC212" s="170"/>
      <c r="AD212" s="586">
        <f t="shared" si="111"/>
        <v>0</v>
      </c>
      <c r="AE212" s="586">
        <f t="shared" si="110"/>
        <v>0</v>
      </c>
      <c r="AF212" s="586">
        <f t="shared" si="110"/>
        <v>0</v>
      </c>
      <c r="AG212" s="586">
        <f t="shared" si="110"/>
        <v>0</v>
      </c>
      <c r="AH212" s="586">
        <f t="shared" si="110"/>
        <v>0</v>
      </c>
      <c r="AI212" s="586">
        <f t="shared" si="110"/>
        <v>0</v>
      </c>
      <c r="AJ212" s="586">
        <f t="shared" si="110"/>
        <v>0</v>
      </c>
      <c r="AK212" s="586">
        <f t="shared" si="110"/>
        <v>0</v>
      </c>
      <c r="AL212" s="586">
        <f t="shared" si="110"/>
        <v>0</v>
      </c>
      <c r="AM212" s="586">
        <f t="shared" si="110"/>
        <v>0</v>
      </c>
      <c r="AN212" s="586">
        <f t="shared" si="110"/>
        <v>0</v>
      </c>
      <c r="AO212" s="586">
        <f t="shared" si="110"/>
        <v>0</v>
      </c>
      <c r="AP212" s="586">
        <f t="shared" si="110"/>
        <v>0</v>
      </c>
      <c r="AQ212" s="586">
        <f t="shared" si="110"/>
        <v>0</v>
      </c>
      <c r="AR212" s="586">
        <f t="shared" si="110"/>
        <v>0</v>
      </c>
      <c r="AS212" s="586">
        <f t="shared" si="110"/>
        <v>0</v>
      </c>
      <c r="AT212" s="170"/>
    </row>
    <row r="213" spans="1:46" ht="15" x14ac:dyDescent="0.25">
      <c r="A213" s="170"/>
      <c r="B213" s="719"/>
      <c r="C213" s="170" t="str">
        <f t="shared" si="105"/>
        <v>57ea</v>
      </c>
      <c r="D213" s="170"/>
      <c r="E213" s="170"/>
      <c r="F213" s="170">
        <f>+Parameters!D60</f>
        <v>57</v>
      </c>
      <c r="G213" s="170" t="str">
        <f>+Parameters!E60</f>
        <v>Major Eqt - Switchgear</v>
      </c>
      <c r="H213" s="586">
        <f t="shared" si="107"/>
        <v>0</v>
      </c>
      <c r="I213" s="170" t="str">
        <f>+Parameters!F60</f>
        <v>ea</v>
      </c>
      <c r="J213" s="170"/>
      <c r="K213" s="170"/>
      <c r="L213" s="170"/>
      <c r="M213" s="730"/>
      <c r="N213" s="730"/>
      <c r="O213" s="730"/>
      <c r="P213" s="731"/>
      <c r="Q213" s="731"/>
      <c r="R213" s="730"/>
      <c r="S213" s="730"/>
      <c r="T213" s="723"/>
      <c r="U213" s="724"/>
      <c r="V213" s="725"/>
      <c r="W213" s="725"/>
      <c r="X213" s="723"/>
      <c r="Y213" s="723"/>
      <c r="Z213" s="723"/>
      <c r="AA213" s="726"/>
      <c r="AB213" s="726"/>
      <c r="AC213" s="170"/>
      <c r="AD213" s="586">
        <f t="shared" si="111"/>
        <v>0</v>
      </c>
      <c r="AE213" s="586">
        <f t="shared" si="110"/>
        <v>0</v>
      </c>
      <c r="AF213" s="586">
        <f t="shared" si="110"/>
        <v>0</v>
      </c>
      <c r="AG213" s="586">
        <f t="shared" si="110"/>
        <v>0</v>
      </c>
      <c r="AH213" s="586">
        <f t="shared" si="110"/>
        <v>0</v>
      </c>
      <c r="AI213" s="586">
        <f t="shared" si="110"/>
        <v>0</v>
      </c>
      <c r="AJ213" s="586">
        <f t="shared" si="110"/>
        <v>0</v>
      </c>
      <c r="AK213" s="586">
        <f t="shared" si="110"/>
        <v>0</v>
      </c>
      <c r="AL213" s="586">
        <f t="shared" si="110"/>
        <v>0</v>
      </c>
      <c r="AM213" s="586">
        <f t="shared" si="110"/>
        <v>0</v>
      </c>
      <c r="AN213" s="586">
        <f t="shared" si="110"/>
        <v>0</v>
      </c>
      <c r="AO213" s="586">
        <f t="shared" si="110"/>
        <v>0</v>
      </c>
      <c r="AP213" s="586">
        <f t="shared" si="110"/>
        <v>0</v>
      </c>
      <c r="AQ213" s="586">
        <f t="shared" si="110"/>
        <v>0</v>
      </c>
      <c r="AR213" s="586">
        <f t="shared" si="110"/>
        <v>0</v>
      </c>
      <c r="AS213" s="586">
        <f t="shared" si="110"/>
        <v>0</v>
      </c>
      <c r="AT213" s="170"/>
    </row>
    <row r="214" spans="1:46" ht="15" x14ac:dyDescent="0.25">
      <c r="A214" s="170"/>
      <c r="B214" s="719"/>
      <c r="C214" s="170" t="str">
        <f t="shared" si="105"/>
        <v>580</v>
      </c>
      <c r="D214" s="170"/>
      <c r="E214" s="170"/>
      <c r="F214" s="170">
        <f>+Parameters!D61</f>
        <v>58</v>
      </c>
      <c r="G214" s="170">
        <f>+Parameters!E61</f>
        <v>0</v>
      </c>
      <c r="H214" s="586">
        <f t="shared" si="107"/>
        <v>0</v>
      </c>
      <c r="I214" s="170">
        <f>+Parameters!F61</f>
        <v>0</v>
      </c>
      <c r="J214" s="170"/>
      <c r="K214" s="170"/>
      <c r="L214" s="170"/>
      <c r="M214" s="730"/>
      <c r="N214" s="730"/>
      <c r="O214" s="730"/>
      <c r="P214" s="731"/>
      <c r="Q214" s="731"/>
      <c r="R214" s="730"/>
      <c r="S214" s="730"/>
      <c r="T214" s="723"/>
      <c r="U214" s="724"/>
      <c r="V214" s="725"/>
      <c r="W214" s="725"/>
      <c r="X214" s="723"/>
      <c r="Y214" s="723"/>
      <c r="Z214" s="723"/>
      <c r="AA214" s="726"/>
      <c r="AB214" s="726"/>
      <c r="AC214" s="170"/>
      <c r="AD214" s="586">
        <f t="shared" si="111"/>
        <v>0</v>
      </c>
      <c r="AE214" s="586">
        <f t="shared" si="110"/>
        <v>0</v>
      </c>
      <c r="AF214" s="586">
        <f t="shared" si="110"/>
        <v>0</v>
      </c>
      <c r="AG214" s="586">
        <f t="shared" si="110"/>
        <v>0</v>
      </c>
      <c r="AH214" s="586">
        <f t="shared" si="110"/>
        <v>0</v>
      </c>
      <c r="AI214" s="586">
        <f t="shared" si="110"/>
        <v>0</v>
      </c>
      <c r="AJ214" s="586">
        <f t="shared" si="110"/>
        <v>0</v>
      </c>
      <c r="AK214" s="586">
        <f t="shared" si="110"/>
        <v>0</v>
      </c>
      <c r="AL214" s="586">
        <f t="shared" si="110"/>
        <v>0</v>
      </c>
      <c r="AM214" s="586">
        <f t="shared" si="110"/>
        <v>0</v>
      </c>
      <c r="AN214" s="586">
        <f t="shared" si="110"/>
        <v>0</v>
      </c>
      <c r="AO214" s="586">
        <f t="shared" si="110"/>
        <v>0</v>
      </c>
      <c r="AP214" s="586">
        <f t="shared" si="110"/>
        <v>0</v>
      </c>
      <c r="AQ214" s="586">
        <f t="shared" si="110"/>
        <v>0</v>
      </c>
      <c r="AR214" s="586">
        <f t="shared" si="110"/>
        <v>0</v>
      </c>
      <c r="AS214" s="586">
        <f t="shared" si="110"/>
        <v>0</v>
      </c>
      <c r="AT214" s="170"/>
    </row>
    <row r="215" spans="1:46" ht="15" x14ac:dyDescent="0.25">
      <c r="A215" s="170"/>
      <c r="B215" s="719"/>
      <c r="C215" s="170" t="str">
        <f t="shared" si="105"/>
        <v>59ea</v>
      </c>
      <c r="D215" s="170"/>
      <c r="E215" s="170"/>
      <c r="F215" s="170">
        <f>+Parameters!D62</f>
        <v>59</v>
      </c>
      <c r="G215" s="170" t="str">
        <f>+Parameters!E62</f>
        <v>Major Eqt - Other</v>
      </c>
      <c r="H215" s="586">
        <f t="shared" si="107"/>
        <v>5</v>
      </c>
      <c r="I215" s="170" t="str">
        <f>+Parameters!F62</f>
        <v>ea</v>
      </c>
      <c r="J215" s="170"/>
      <c r="K215" s="170"/>
      <c r="L215" s="170"/>
      <c r="M215" s="730"/>
      <c r="N215" s="730"/>
      <c r="O215" s="730"/>
      <c r="P215" s="731"/>
      <c r="Q215" s="731"/>
      <c r="R215" s="730"/>
      <c r="S215" s="730"/>
      <c r="T215" s="723"/>
      <c r="U215" s="724"/>
      <c r="V215" s="725"/>
      <c r="W215" s="725"/>
      <c r="X215" s="723"/>
      <c r="Y215" s="723"/>
      <c r="Z215" s="723"/>
      <c r="AA215" s="726"/>
      <c r="AB215" s="726"/>
      <c r="AC215" s="170"/>
      <c r="AD215" s="586">
        <f t="shared" si="111"/>
        <v>0</v>
      </c>
      <c r="AE215" s="586">
        <f t="shared" si="110"/>
        <v>16801.498172043011</v>
      </c>
      <c r="AF215" s="586">
        <f t="shared" si="110"/>
        <v>16801.498172043011</v>
      </c>
      <c r="AG215" s="586">
        <f t="shared" si="110"/>
        <v>0</v>
      </c>
      <c r="AH215" s="586">
        <f t="shared" si="110"/>
        <v>2553828</v>
      </c>
      <c r="AI215" s="586">
        <f t="shared" si="110"/>
        <v>2553828</v>
      </c>
      <c r="AJ215" s="586">
        <f t="shared" si="110"/>
        <v>0</v>
      </c>
      <c r="AK215" s="586">
        <f t="shared" si="110"/>
        <v>571251</v>
      </c>
      <c r="AL215" s="586">
        <f t="shared" si="110"/>
        <v>571251</v>
      </c>
      <c r="AM215" s="586">
        <f t="shared" si="110"/>
        <v>13991316</v>
      </c>
      <c r="AN215" s="586">
        <f t="shared" si="110"/>
        <v>0</v>
      </c>
      <c r="AO215" s="586">
        <f t="shared" si="110"/>
        <v>13991316</v>
      </c>
      <c r="AP215" s="586">
        <f t="shared" si="110"/>
        <v>0</v>
      </c>
      <c r="AQ215" s="586">
        <f t="shared" si="110"/>
        <v>0</v>
      </c>
      <c r="AR215" s="586">
        <f t="shared" si="110"/>
        <v>0</v>
      </c>
      <c r="AS215" s="586">
        <f t="shared" si="110"/>
        <v>17116395</v>
      </c>
      <c r="AT215" s="170"/>
    </row>
    <row r="216" spans="1:46" ht="15" x14ac:dyDescent="0.25">
      <c r="A216" s="170"/>
      <c r="B216" s="719"/>
      <c r="C216" s="170" t="str">
        <f t="shared" si="105"/>
        <v>600</v>
      </c>
      <c r="D216" s="170"/>
      <c r="E216" s="170"/>
      <c r="F216" s="170">
        <f>+Parameters!D63</f>
        <v>60</v>
      </c>
      <c r="G216" s="170">
        <f>+Parameters!E63</f>
        <v>0</v>
      </c>
      <c r="H216" s="586">
        <f t="shared" si="107"/>
        <v>0</v>
      </c>
      <c r="I216" s="170">
        <f>+Parameters!F63</f>
        <v>0</v>
      </c>
      <c r="J216" s="170"/>
      <c r="K216" s="170"/>
      <c r="L216" s="170"/>
      <c r="M216" s="730"/>
      <c r="N216" s="730"/>
      <c r="O216" s="730"/>
      <c r="P216" s="731"/>
      <c r="Q216" s="731"/>
      <c r="R216" s="730"/>
      <c r="S216" s="730"/>
      <c r="T216" s="723"/>
      <c r="U216" s="724"/>
      <c r="V216" s="725"/>
      <c r="W216" s="725"/>
      <c r="X216" s="723"/>
      <c r="Y216" s="723"/>
      <c r="Z216" s="723"/>
      <c r="AA216" s="726"/>
      <c r="AB216" s="726"/>
      <c r="AC216" s="170"/>
      <c r="AD216" s="586">
        <f t="shared" si="111"/>
        <v>0</v>
      </c>
      <c r="AE216" s="586">
        <f t="shared" si="110"/>
        <v>0</v>
      </c>
      <c r="AF216" s="586">
        <f t="shared" si="110"/>
        <v>0</v>
      </c>
      <c r="AG216" s="586">
        <f t="shared" si="110"/>
        <v>0</v>
      </c>
      <c r="AH216" s="586">
        <f t="shared" si="110"/>
        <v>0</v>
      </c>
      <c r="AI216" s="586">
        <f t="shared" si="110"/>
        <v>0</v>
      </c>
      <c r="AJ216" s="586">
        <f t="shared" si="110"/>
        <v>0</v>
      </c>
      <c r="AK216" s="586">
        <f t="shared" si="110"/>
        <v>0</v>
      </c>
      <c r="AL216" s="586">
        <f t="shared" si="110"/>
        <v>0</v>
      </c>
      <c r="AM216" s="586">
        <f t="shared" si="110"/>
        <v>0</v>
      </c>
      <c r="AN216" s="586">
        <f t="shared" si="110"/>
        <v>0</v>
      </c>
      <c r="AO216" s="586">
        <f t="shared" si="110"/>
        <v>0</v>
      </c>
      <c r="AP216" s="586">
        <f t="shared" si="110"/>
        <v>0</v>
      </c>
      <c r="AQ216" s="586">
        <f t="shared" si="110"/>
        <v>0</v>
      </c>
      <c r="AR216" s="586">
        <f t="shared" si="110"/>
        <v>0</v>
      </c>
      <c r="AS216" s="586">
        <f t="shared" si="110"/>
        <v>0</v>
      </c>
      <c r="AT216" s="170"/>
    </row>
    <row r="217" spans="1:46" ht="15" x14ac:dyDescent="0.25">
      <c r="A217" s="170"/>
      <c r="B217" s="719"/>
      <c r="C217" s="170" t="str">
        <f t="shared" si="105"/>
        <v>610</v>
      </c>
      <c r="D217" s="170"/>
      <c r="E217" s="170"/>
      <c r="F217" s="170">
        <f>+Parameters!D64</f>
        <v>61</v>
      </c>
      <c r="G217" s="170">
        <f>+Parameters!E64</f>
        <v>0</v>
      </c>
      <c r="H217" s="586">
        <f t="shared" si="107"/>
        <v>0</v>
      </c>
      <c r="I217" s="170">
        <f>+Parameters!F64</f>
        <v>0</v>
      </c>
      <c r="J217" s="170"/>
      <c r="K217" s="170"/>
      <c r="L217" s="170"/>
      <c r="M217" s="730"/>
      <c r="N217" s="730"/>
      <c r="O217" s="730"/>
      <c r="P217" s="731"/>
      <c r="Q217" s="731"/>
      <c r="R217" s="730"/>
      <c r="S217" s="730"/>
      <c r="T217" s="723"/>
      <c r="U217" s="724"/>
      <c r="V217" s="725"/>
      <c r="W217" s="725"/>
      <c r="X217" s="723"/>
      <c r="Y217" s="723"/>
      <c r="Z217" s="723"/>
      <c r="AA217" s="726"/>
      <c r="AB217" s="726"/>
      <c r="AC217" s="170"/>
      <c r="AD217" s="586">
        <f t="shared" si="111"/>
        <v>0</v>
      </c>
      <c r="AE217" s="586">
        <f t="shared" si="110"/>
        <v>0</v>
      </c>
      <c r="AF217" s="586">
        <f t="shared" si="110"/>
        <v>0</v>
      </c>
      <c r="AG217" s="586">
        <f t="shared" si="110"/>
        <v>0</v>
      </c>
      <c r="AH217" s="586">
        <f t="shared" si="110"/>
        <v>0</v>
      </c>
      <c r="AI217" s="586">
        <f t="shared" si="110"/>
        <v>0</v>
      </c>
      <c r="AJ217" s="586">
        <f t="shared" si="110"/>
        <v>0</v>
      </c>
      <c r="AK217" s="586">
        <f t="shared" si="110"/>
        <v>0</v>
      </c>
      <c r="AL217" s="586">
        <f t="shared" si="110"/>
        <v>0</v>
      </c>
      <c r="AM217" s="586">
        <f t="shared" si="110"/>
        <v>0</v>
      </c>
      <c r="AN217" s="586">
        <f t="shared" si="110"/>
        <v>0</v>
      </c>
      <c r="AO217" s="586">
        <f t="shared" si="110"/>
        <v>0</v>
      </c>
      <c r="AP217" s="586">
        <f t="shared" si="110"/>
        <v>0</v>
      </c>
      <c r="AQ217" s="586">
        <f t="shared" si="110"/>
        <v>0</v>
      </c>
      <c r="AR217" s="586">
        <f t="shared" si="110"/>
        <v>0</v>
      </c>
      <c r="AS217" s="586">
        <f t="shared" si="110"/>
        <v>0</v>
      </c>
      <c r="AT217" s="170"/>
    </row>
    <row r="218" spans="1:46" ht="15" x14ac:dyDescent="0.25">
      <c r="A218" s="170"/>
      <c r="B218" s="719"/>
      <c r="C218" s="170" t="str">
        <f t="shared" si="105"/>
        <v>620</v>
      </c>
      <c r="D218" s="170"/>
      <c r="E218" s="170"/>
      <c r="F218" s="170">
        <f>+Parameters!D65</f>
        <v>62</v>
      </c>
      <c r="G218" s="170">
        <f>+Parameters!E65</f>
        <v>0</v>
      </c>
      <c r="H218" s="586">
        <f t="shared" si="107"/>
        <v>0</v>
      </c>
      <c r="I218" s="170">
        <f>+Parameters!F65</f>
        <v>0</v>
      </c>
      <c r="J218" s="170"/>
      <c r="K218" s="170"/>
      <c r="L218" s="170"/>
      <c r="M218" s="730"/>
      <c r="N218" s="730"/>
      <c r="O218" s="730"/>
      <c r="P218" s="731"/>
      <c r="Q218" s="731"/>
      <c r="R218" s="730"/>
      <c r="S218" s="730"/>
      <c r="T218" s="723"/>
      <c r="U218" s="724"/>
      <c r="V218" s="725"/>
      <c r="W218" s="725"/>
      <c r="X218" s="723"/>
      <c r="Y218" s="723"/>
      <c r="Z218" s="723"/>
      <c r="AA218" s="726"/>
      <c r="AB218" s="726"/>
      <c r="AC218" s="170"/>
      <c r="AD218" s="586">
        <f t="shared" si="111"/>
        <v>0</v>
      </c>
      <c r="AE218" s="586">
        <f t="shared" si="110"/>
        <v>0</v>
      </c>
      <c r="AF218" s="586">
        <f t="shared" si="110"/>
        <v>0</v>
      </c>
      <c r="AG218" s="586">
        <f t="shared" si="110"/>
        <v>0</v>
      </c>
      <c r="AH218" s="586">
        <f t="shared" si="110"/>
        <v>0</v>
      </c>
      <c r="AI218" s="586">
        <f t="shared" si="110"/>
        <v>0</v>
      </c>
      <c r="AJ218" s="586">
        <f t="shared" si="110"/>
        <v>0</v>
      </c>
      <c r="AK218" s="586">
        <f t="shared" si="110"/>
        <v>0</v>
      </c>
      <c r="AL218" s="586">
        <f t="shared" si="110"/>
        <v>0</v>
      </c>
      <c r="AM218" s="586">
        <f t="shared" si="110"/>
        <v>0</v>
      </c>
      <c r="AN218" s="586">
        <f t="shared" si="110"/>
        <v>0</v>
      </c>
      <c r="AO218" s="586">
        <f t="shared" si="110"/>
        <v>0</v>
      </c>
      <c r="AP218" s="586">
        <f t="shared" si="110"/>
        <v>0</v>
      </c>
      <c r="AQ218" s="586">
        <f t="shared" si="110"/>
        <v>0</v>
      </c>
      <c r="AR218" s="586">
        <f t="shared" si="110"/>
        <v>0</v>
      </c>
      <c r="AS218" s="586">
        <f t="shared" si="110"/>
        <v>0</v>
      </c>
      <c r="AT218" s="170"/>
    </row>
    <row r="219" spans="1:46" ht="15" x14ac:dyDescent="0.25">
      <c r="A219" s="170"/>
      <c r="B219" s="719"/>
      <c r="C219" s="170" t="str">
        <f t="shared" si="105"/>
        <v>63lf</v>
      </c>
      <c r="D219" s="170"/>
      <c r="E219" s="170"/>
      <c r="F219" s="170">
        <f>+Parameters!D66</f>
        <v>63</v>
      </c>
      <c r="G219" s="170" t="str">
        <f>+Parameters!E66</f>
        <v>Misc. Eqt - Bus</v>
      </c>
      <c r="H219" s="586">
        <f t="shared" si="107"/>
        <v>0</v>
      </c>
      <c r="I219" s="170" t="str">
        <f>+Parameters!F66</f>
        <v>lf</v>
      </c>
      <c r="J219" s="170"/>
      <c r="K219" s="170"/>
      <c r="L219" s="170"/>
      <c r="M219" s="730"/>
      <c r="N219" s="730"/>
      <c r="O219" s="730"/>
      <c r="P219" s="731"/>
      <c r="Q219" s="731"/>
      <c r="R219" s="730"/>
      <c r="S219" s="730"/>
      <c r="T219" s="723"/>
      <c r="U219" s="724"/>
      <c r="V219" s="725"/>
      <c r="W219" s="725"/>
      <c r="X219" s="723"/>
      <c r="Y219" s="723"/>
      <c r="Z219" s="723"/>
      <c r="AA219" s="726"/>
      <c r="AB219" s="726"/>
      <c r="AC219" s="170"/>
      <c r="AD219" s="586">
        <f t="shared" si="111"/>
        <v>0</v>
      </c>
      <c r="AE219" s="586">
        <f t="shared" si="110"/>
        <v>0</v>
      </c>
      <c r="AF219" s="586">
        <f t="shared" si="110"/>
        <v>0</v>
      </c>
      <c r="AG219" s="586">
        <f t="shared" si="110"/>
        <v>0</v>
      </c>
      <c r="AH219" s="586">
        <f t="shared" si="110"/>
        <v>0</v>
      </c>
      <c r="AI219" s="586">
        <f t="shared" si="110"/>
        <v>0</v>
      </c>
      <c r="AJ219" s="586">
        <f t="shared" si="110"/>
        <v>0</v>
      </c>
      <c r="AK219" s="586">
        <f t="shared" si="110"/>
        <v>0</v>
      </c>
      <c r="AL219" s="586">
        <f t="shared" si="110"/>
        <v>0</v>
      </c>
      <c r="AM219" s="586">
        <f t="shared" si="110"/>
        <v>0</v>
      </c>
      <c r="AN219" s="586">
        <f t="shared" si="110"/>
        <v>0</v>
      </c>
      <c r="AO219" s="586">
        <f t="shared" si="110"/>
        <v>0</v>
      </c>
      <c r="AP219" s="586">
        <f t="shared" si="110"/>
        <v>0</v>
      </c>
      <c r="AQ219" s="586">
        <f t="shared" si="110"/>
        <v>0</v>
      </c>
      <c r="AR219" s="586">
        <f t="shared" si="110"/>
        <v>0</v>
      </c>
      <c r="AS219" s="586">
        <f t="shared" si="110"/>
        <v>0</v>
      </c>
      <c r="AT219" s="170"/>
    </row>
    <row r="220" spans="1:46" ht="15" x14ac:dyDescent="0.25">
      <c r="A220" s="170"/>
      <c r="B220" s="719"/>
      <c r="C220" s="170" t="str">
        <f t="shared" si="105"/>
        <v>64lf</v>
      </c>
      <c r="D220" s="170"/>
      <c r="E220" s="170"/>
      <c r="F220" s="170">
        <f>+Parameters!D67</f>
        <v>64</v>
      </c>
      <c r="G220" s="170" t="str">
        <f>+Parameters!E67</f>
        <v>Misc. Eqt - Conduit / Tray</v>
      </c>
      <c r="H220" s="586">
        <f t="shared" si="107"/>
        <v>0</v>
      </c>
      <c r="I220" s="170" t="str">
        <f>+Parameters!F67</f>
        <v>lf</v>
      </c>
      <c r="J220" s="170"/>
      <c r="K220" s="170"/>
      <c r="L220" s="170"/>
      <c r="M220" s="730"/>
      <c r="N220" s="730"/>
      <c r="O220" s="730"/>
      <c r="P220" s="731"/>
      <c r="Q220" s="731"/>
      <c r="R220" s="730"/>
      <c r="S220" s="730"/>
      <c r="T220" s="723"/>
      <c r="U220" s="724"/>
      <c r="V220" s="725"/>
      <c r="W220" s="725"/>
      <c r="X220" s="723"/>
      <c r="Y220" s="723"/>
      <c r="Z220" s="723"/>
      <c r="AA220" s="726"/>
      <c r="AB220" s="726"/>
      <c r="AC220" s="170"/>
      <c r="AD220" s="586">
        <f t="shared" si="111"/>
        <v>0</v>
      </c>
      <c r="AE220" s="586">
        <f t="shared" si="110"/>
        <v>0</v>
      </c>
      <c r="AF220" s="586">
        <f t="shared" si="110"/>
        <v>0</v>
      </c>
      <c r="AG220" s="586">
        <f t="shared" si="110"/>
        <v>0</v>
      </c>
      <c r="AH220" s="586">
        <f t="shared" si="110"/>
        <v>0</v>
      </c>
      <c r="AI220" s="586">
        <f t="shared" si="110"/>
        <v>0</v>
      </c>
      <c r="AJ220" s="586">
        <f t="shared" si="110"/>
        <v>0</v>
      </c>
      <c r="AK220" s="586">
        <f t="shared" si="110"/>
        <v>0</v>
      </c>
      <c r="AL220" s="586">
        <f t="shared" si="110"/>
        <v>0</v>
      </c>
      <c r="AM220" s="586">
        <f t="shared" si="110"/>
        <v>0</v>
      </c>
      <c r="AN220" s="586">
        <f t="shared" si="110"/>
        <v>0</v>
      </c>
      <c r="AO220" s="586">
        <f t="shared" si="110"/>
        <v>0</v>
      </c>
      <c r="AP220" s="586">
        <f t="shared" si="110"/>
        <v>0</v>
      </c>
      <c r="AQ220" s="586">
        <f t="shared" si="110"/>
        <v>0</v>
      </c>
      <c r="AR220" s="586">
        <f t="shared" si="110"/>
        <v>0</v>
      </c>
      <c r="AS220" s="586">
        <f t="shared" ref="AE220:AS237" si="112">SUMIF($F$9:$F$153,$F220,AS$9:AS$153)</f>
        <v>0</v>
      </c>
      <c r="AT220" s="170"/>
    </row>
    <row r="221" spans="1:46" ht="15" x14ac:dyDescent="0.25">
      <c r="A221" s="170"/>
      <c r="B221" s="719"/>
      <c r="C221" s="170" t="str">
        <f t="shared" ref="C221:C255" si="113">+F221&amp;I221</f>
        <v>65ea</v>
      </c>
      <c r="D221" s="170"/>
      <c r="E221" s="170"/>
      <c r="F221" s="170">
        <f>+Parameters!D68</f>
        <v>65</v>
      </c>
      <c r="G221" s="170" t="str">
        <f>+Parameters!E68</f>
        <v>Misc. Eqt - Insulators</v>
      </c>
      <c r="H221" s="586">
        <f t="shared" si="107"/>
        <v>0</v>
      </c>
      <c r="I221" s="170" t="str">
        <f>+Parameters!F68</f>
        <v>ea</v>
      </c>
      <c r="J221" s="170"/>
      <c r="K221" s="170"/>
      <c r="L221" s="170"/>
      <c r="M221" s="730"/>
      <c r="N221" s="730"/>
      <c r="O221" s="730"/>
      <c r="P221" s="731"/>
      <c r="Q221" s="731"/>
      <c r="R221" s="730"/>
      <c r="S221" s="730"/>
      <c r="T221" s="723"/>
      <c r="U221" s="724"/>
      <c r="V221" s="725"/>
      <c r="W221" s="725"/>
      <c r="X221" s="723"/>
      <c r="Y221" s="723"/>
      <c r="Z221" s="723"/>
      <c r="AA221" s="726"/>
      <c r="AB221" s="726"/>
      <c r="AC221" s="170"/>
      <c r="AD221" s="586">
        <f t="shared" si="111"/>
        <v>0</v>
      </c>
      <c r="AE221" s="586">
        <f t="shared" si="112"/>
        <v>0</v>
      </c>
      <c r="AF221" s="586">
        <f t="shared" si="112"/>
        <v>0</v>
      </c>
      <c r="AG221" s="586">
        <f t="shared" si="112"/>
        <v>0</v>
      </c>
      <c r="AH221" s="586">
        <f t="shared" si="112"/>
        <v>0</v>
      </c>
      <c r="AI221" s="586">
        <f t="shared" si="112"/>
        <v>0</v>
      </c>
      <c r="AJ221" s="586">
        <f t="shared" si="112"/>
        <v>0</v>
      </c>
      <c r="AK221" s="586">
        <f t="shared" si="112"/>
        <v>0</v>
      </c>
      <c r="AL221" s="586">
        <f t="shared" si="112"/>
        <v>0</v>
      </c>
      <c r="AM221" s="586">
        <f t="shared" si="112"/>
        <v>0</v>
      </c>
      <c r="AN221" s="586">
        <f t="shared" si="112"/>
        <v>0</v>
      </c>
      <c r="AO221" s="586">
        <f t="shared" si="112"/>
        <v>0</v>
      </c>
      <c r="AP221" s="586">
        <f t="shared" si="112"/>
        <v>0</v>
      </c>
      <c r="AQ221" s="586">
        <f t="shared" si="112"/>
        <v>0</v>
      </c>
      <c r="AR221" s="586">
        <f t="shared" si="112"/>
        <v>0</v>
      </c>
      <c r="AS221" s="586">
        <f t="shared" si="112"/>
        <v>0</v>
      </c>
      <c r="AT221" s="170"/>
    </row>
    <row r="222" spans="1:46" ht="15" x14ac:dyDescent="0.25">
      <c r="A222" s="170"/>
      <c r="B222" s="719"/>
      <c r="C222" s="170" t="str">
        <f t="shared" si="113"/>
        <v>66ea</v>
      </c>
      <c r="D222" s="170"/>
      <c r="E222" s="170"/>
      <c r="F222" s="170">
        <f>+Parameters!D69</f>
        <v>66</v>
      </c>
      <c r="G222" s="170" t="str">
        <f>+Parameters!E69</f>
        <v>Misc. Eqt - LA's</v>
      </c>
      <c r="H222" s="586">
        <f t="shared" ref="H222:H255" si="114">SUMIF($C$9:$C$153,$C222,H$9:H$153)</f>
        <v>0</v>
      </c>
      <c r="I222" s="170" t="str">
        <f>+Parameters!F69</f>
        <v>ea</v>
      </c>
      <c r="J222" s="170"/>
      <c r="K222" s="170"/>
      <c r="L222" s="170"/>
      <c r="M222" s="730"/>
      <c r="N222" s="730"/>
      <c r="O222" s="730"/>
      <c r="P222" s="731"/>
      <c r="Q222" s="731"/>
      <c r="R222" s="730"/>
      <c r="S222" s="730"/>
      <c r="T222" s="723"/>
      <c r="U222" s="724"/>
      <c r="V222" s="725"/>
      <c r="W222" s="725"/>
      <c r="X222" s="723"/>
      <c r="Y222" s="723"/>
      <c r="Z222" s="723"/>
      <c r="AA222" s="726"/>
      <c r="AB222" s="726"/>
      <c r="AC222" s="170"/>
      <c r="AD222" s="586">
        <f t="shared" si="111"/>
        <v>0</v>
      </c>
      <c r="AE222" s="586">
        <f t="shared" si="112"/>
        <v>0</v>
      </c>
      <c r="AF222" s="586">
        <f t="shared" si="112"/>
        <v>0</v>
      </c>
      <c r="AG222" s="586">
        <f t="shared" si="112"/>
        <v>0</v>
      </c>
      <c r="AH222" s="586">
        <f t="shared" si="112"/>
        <v>0</v>
      </c>
      <c r="AI222" s="586">
        <f t="shared" si="112"/>
        <v>0</v>
      </c>
      <c r="AJ222" s="586">
        <f t="shared" si="112"/>
        <v>0</v>
      </c>
      <c r="AK222" s="586">
        <f t="shared" si="112"/>
        <v>0</v>
      </c>
      <c r="AL222" s="586">
        <f t="shared" si="112"/>
        <v>0</v>
      </c>
      <c r="AM222" s="586">
        <f t="shared" si="112"/>
        <v>0</v>
      </c>
      <c r="AN222" s="586">
        <f t="shared" si="112"/>
        <v>0</v>
      </c>
      <c r="AO222" s="586">
        <f t="shared" si="112"/>
        <v>0</v>
      </c>
      <c r="AP222" s="586">
        <f t="shared" si="112"/>
        <v>0</v>
      </c>
      <c r="AQ222" s="586">
        <f t="shared" si="112"/>
        <v>0</v>
      </c>
      <c r="AR222" s="586">
        <f t="shared" si="112"/>
        <v>0</v>
      </c>
      <c r="AS222" s="586">
        <f t="shared" si="112"/>
        <v>0</v>
      </c>
      <c r="AT222" s="170"/>
    </row>
    <row r="223" spans="1:46" ht="15" x14ac:dyDescent="0.25">
      <c r="A223" s="170"/>
      <c r="B223" s="719"/>
      <c r="C223" s="170" t="str">
        <f t="shared" si="113"/>
        <v>67ea</v>
      </c>
      <c r="D223" s="170"/>
      <c r="E223" s="170"/>
      <c r="F223" s="170">
        <f>+Parameters!D70</f>
        <v>67</v>
      </c>
      <c r="G223" s="170" t="str">
        <f>+Parameters!E70</f>
        <v>Misc. Eqt - CCVT</v>
      </c>
      <c r="H223" s="586">
        <f t="shared" si="114"/>
        <v>0</v>
      </c>
      <c r="I223" s="170" t="str">
        <f>+Parameters!F70</f>
        <v>ea</v>
      </c>
      <c r="J223" s="170"/>
      <c r="K223" s="170"/>
      <c r="L223" s="170"/>
      <c r="M223" s="730"/>
      <c r="N223" s="730"/>
      <c r="O223" s="730"/>
      <c r="P223" s="731"/>
      <c r="Q223" s="731"/>
      <c r="R223" s="730"/>
      <c r="S223" s="730"/>
      <c r="T223" s="723"/>
      <c r="U223" s="724"/>
      <c r="V223" s="725"/>
      <c r="W223" s="725"/>
      <c r="X223" s="723"/>
      <c r="Y223" s="723"/>
      <c r="Z223" s="723"/>
      <c r="AA223" s="726"/>
      <c r="AB223" s="726"/>
      <c r="AC223" s="170"/>
      <c r="AD223" s="586">
        <f t="shared" si="111"/>
        <v>0</v>
      </c>
      <c r="AE223" s="586">
        <f t="shared" si="112"/>
        <v>0</v>
      </c>
      <c r="AF223" s="586">
        <f t="shared" si="112"/>
        <v>0</v>
      </c>
      <c r="AG223" s="586">
        <f t="shared" si="112"/>
        <v>0</v>
      </c>
      <c r="AH223" s="586">
        <f t="shared" si="112"/>
        <v>0</v>
      </c>
      <c r="AI223" s="586">
        <f t="shared" si="112"/>
        <v>0</v>
      </c>
      <c r="AJ223" s="586">
        <f t="shared" si="112"/>
        <v>0</v>
      </c>
      <c r="AK223" s="586">
        <f t="shared" si="112"/>
        <v>0</v>
      </c>
      <c r="AL223" s="586">
        <f t="shared" si="112"/>
        <v>0</v>
      </c>
      <c r="AM223" s="586">
        <f t="shared" si="112"/>
        <v>0</v>
      </c>
      <c r="AN223" s="586">
        <f t="shared" si="112"/>
        <v>0</v>
      </c>
      <c r="AO223" s="586">
        <f t="shared" si="112"/>
        <v>0</v>
      </c>
      <c r="AP223" s="586">
        <f t="shared" si="112"/>
        <v>0</v>
      </c>
      <c r="AQ223" s="586">
        <f t="shared" si="112"/>
        <v>0</v>
      </c>
      <c r="AR223" s="586">
        <f t="shared" si="112"/>
        <v>0</v>
      </c>
      <c r="AS223" s="586">
        <f t="shared" si="112"/>
        <v>0</v>
      </c>
      <c r="AT223" s="170"/>
    </row>
    <row r="224" spans="1:46" ht="15" x14ac:dyDescent="0.25">
      <c r="A224" s="170"/>
      <c r="B224" s="719"/>
      <c r="C224" s="170" t="str">
        <f t="shared" si="113"/>
        <v>680</v>
      </c>
      <c r="D224" s="170"/>
      <c r="E224" s="170"/>
      <c r="F224" s="170">
        <f>+Parameters!D71</f>
        <v>68</v>
      </c>
      <c r="G224" s="170">
        <f>+Parameters!E71</f>
        <v>0</v>
      </c>
      <c r="H224" s="586">
        <f t="shared" si="114"/>
        <v>0</v>
      </c>
      <c r="I224" s="170">
        <f>+Parameters!F71</f>
        <v>0</v>
      </c>
      <c r="J224" s="170"/>
      <c r="K224" s="170"/>
      <c r="L224" s="170"/>
      <c r="M224" s="730"/>
      <c r="N224" s="730"/>
      <c r="O224" s="730"/>
      <c r="P224" s="731"/>
      <c r="Q224" s="731"/>
      <c r="R224" s="730"/>
      <c r="S224" s="730"/>
      <c r="T224" s="723"/>
      <c r="U224" s="724"/>
      <c r="V224" s="725"/>
      <c r="W224" s="725"/>
      <c r="X224" s="723"/>
      <c r="Y224" s="723"/>
      <c r="Z224" s="723"/>
      <c r="AA224" s="726"/>
      <c r="AB224" s="726"/>
      <c r="AC224" s="170"/>
      <c r="AD224" s="586">
        <f t="shared" si="111"/>
        <v>0</v>
      </c>
      <c r="AE224" s="586">
        <f t="shared" si="112"/>
        <v>0</v>
      </c>
      <c r="AF224" s="586">
        <f t="shared" si="112"/>
        <v>0</v>
      </c>
      <c r="AG224" s="586">
        <f t="shared" si="112"/>
        <v>0</v>
      </c>
      <c r="AH224" s="586">
        <f t="shared" si="112"/>
        <v>0</v>
      </c>
      <c r="AI224" s="586">
        <f t="shared" si="112"/>
        <v>0</v>
      </c>
      <c r="AJ224" s="586">
        <f t="shared" si="112"/>
        <v>0</v>
      </c>
      <c r="AK224" s="586">
        <f t="shared" si="112"/>
        <v>0</v>
      </c>
      <c r="AL224" s="586">
        <f t="shared" si="112"/>
        <v>0</v>
      </c>
      <c r="AM224" s="586">
        <f t="shared" si="112"/>
        <v>0</v>
      </c>
      <c r="AN224" s="586">
        <f t="shared" si="112"/>
        <v>0</v>
      </c>
      <c r="AO224" s="586">
        <f t="shared" si="112"/>
        <v>0</v>
      </c>
      <c r="AP224" s="586">
        <f t="shared" si="112"/>
        <v>0</v>
      </c>
      <c r="AQ224" s="586">
        <f t="shared" si="112"/>
        <v>0</v>
      </c>
      <c r="AR224" s="586">
        <f t="shared" si="112"/>
        <v>0</v>
      </c>
      <c r="AS224" s="586">
        <f t="shared" si="112"/>
        <v>0</v>
      </c>
      <c r="AT224" s="170"/>
    </row>
    <row r="225" spans="1:46" ht="15" x14ac:dyDescent="0.25">
      <c r="A225" s="170"/>
      <c r="B225" s="719"/>
      <c r="C225" s="170" t="str">
        <f t="shared" si="113"/>
        <v>69ea</v>
      </c>
      <c r="D225" s="170"/>
      <c r="E225" s="170"/>
      <c r="F225" s="170">
        <f>+Parameters!D72</f>
        <v>69</v>
      </c>
      <c r="G225" s="170" t="str">
        <f>+Parameters!E72</f>
        <v>Misc. Eqt - Other</v>
      </c>
      <c r="H225" s="586">
        <f t="shared" si="114"/>
        <v>0</v>
      </c>
      <c r="I225" s="170" t="str">
        <f>+Parameters!F72</f>
        <v>ea</v>
      </c>
      <c r="J225" s="170"/>
      <c r="K225" s="170"/>
      <c r="L225" s="170"/>
      <c r="M225" s="730"/>
      <c r="N225" s="730"/>
      <c r="O225" s="730"/>
      <c r="P225" s="731"/>
      <c r="Q225" s="731"/>
      <c r="R225" s="730"/>
      <c r="S225" s="730"/>
      <c r="T225" s="723"/>
      <c r="U225" s="724"/>
      <c r="V225" s="725"/>
      <c r="W225" s="725"/>
      <c r="X225" s="723"/>
      <c r="Y225" s="723"/>
      <c r="Z225" s="723"/>
      <c r="AA225" s="726"/>
      <c r="AB225" s="726"/>
      <c r="AC225" s="170"/>
      <c r="AD225" s="586">
        <f t="shared" si="111"/>
        <v>0</v>
      </c>
      <c r="AE225" s="586">
        <f t="shared" si="112"/>
        <v>683.61</v>
      </c>
      <c r="AF225" s="586">
        <f t="shared" si="112"/>
        <v>683.61</v>
      </c>
      <c r="AG225" s="586">
        <f t="shared" si="112"/>
        <v>0</v>
      </c>
      <c r="AH225" s="586">
        <f t="shared" si="112"/>
        <v>103909</v>
      </c>
      <c r="AI225" s="586">
        <f t="shared" si="112"/>
        <v>103909</v>
      </c>
      <c r="AJ225" s="586">
        <f t="shared" si="112"/>
        <v>0</v>
      </c>
      <c r="AK225" s="586">
        <f t="shared" si="112"/>
        <v>10391</v>
      </c>
      <c r="AL225" s="586">
        <f t="shared" si="112"/>
        <v>10391</v>
      </c>
      <c r="AM225" s="586">
        <f t="shared" si="112"/>
        <v>0</v>
      </c>
      <c r="AN225" s="586">
        <f t="shared" si="112"/>
        <v>0</v>
      </c>
      <c r="AO225" s="586">
        <f t="shared" si="112"/>
        <v>0</v>
      </c>
      <c r="AP225" s="586">
        <f t="shared" si="112"/>
        <v>0</v>
      </c>
      <c r="AQ225" s="586">
        <f t="shared" si="112"/>
        <v>139700</v>
      </c>
      <c r="AR225" s="586">
        <f t="shared" si="112"/>
        <v>139700</v>
      </c>
      <c r="AS225" s="586">
        <f t="shared" si="112"/>
        <v>254000</v>
      </c>
      <c r="AT225" s="170"/>
    </row>
    <row r="226" spans="1:46" ht="15" x14ac:dyDescent="0.25">
      <c r="A226" s="170"/>
      <c r="B226" s="719"/>
      <c r="C226" s="170" t="str">
        <f t="shared" si="113"/>
        <v>700</v>
      </c>
      <c r="D226" s="170"/>
      <c r="E226" s="170"/>
      <c r="F226" s="170">
        <f>+Parameters!D73</f>
        <v>70</v>
      </c>
      <c r="G226" s="170" t="str">
        <f>+Parameters!E73</f>
        <v>Control house Buidling</v>
      </c>
      <c r="H226" s="586">
        <f t="shared" si="114"/>
        <v>0</v>
      </c>
      <c r="I226" s="170">
        <f>+Parameters!F73</f>
        <v>0</v>
      </c>
      <c r="J226" s="170"/>
      <c r="K226" s="170"/>
      <c r="L226" s="170"/>
      <c r="M226" s="730"/>
      <c r="N226" s="730"/>
      <c r="O226" s="730"/>
      <c r="P226" s="731"/>
      <c r="Q226" s="731"/>
      <c r="R226" s="730"/>
      <c r="S226" s="730"/>
      <c r="T226" s="723"/>
      <c r="U226" s="724"/>
      <c r="V226" s="725"/>
      <c r="W226" s="725"/>
      <c r="X226" s="723"/>
      <c r="Y226" s="723"/>
      <c r="Z226" s="723"/>
      <c r="AA226" s="726"/>
      <c r="AB226" s="726"/>
      <c r="AC226" s="170"/>
      <c r="AD226" s="586">
        <f t="shared" si="111"/>
        <v>0</v>
      </c>
      <c r="AE226" s="586">
        <f t="shared" si="112"/>
        <v>0</v>
      </c>
      <c r="AF226" s="586">
        <f t="shared" si="112"/>
        <v>0</v>
      </c>
      <c r="AG226" s="586">
        <f t="shared" si="112"/>
        <v>0</v>
      </c>
      <c r="AH226" s="586">
        <f t="shared" si="112"/>
        <v>0</v>
      </c>
      <c r="AI226" s="586">
        <f t="shared" si="112"/>
        <v>0</v>
      </c>
      <c r="AJ226" s="586">
        <f t="shared" si="112"/>
        <v>0</v>
      </c>
      <c r="AK226" s="586">
        <f t="shared" si="112"/>
        <v>0</v>
      </c>
      <c r="AL226" s="586">
        <f t="shared" si="112"/>
        <v>0</v>
      </c>
      <c r="AM226" s="586">
        <f t="shared" si="112"/>
        <v>0</v>
      </c>
      <c r="AN226" s="586">
        <f t="shared" si="112"/>
        <v>0</v>
      </c>
      <c r="AO226" s="586">
        <f t="shared" si="112"/>
        <v>0</v>
      </c>
      <c r="AP226" s="586">
        <f t="shared" si="112"/>
        <v>0</v>
      </c>
      <c r="AQ226" s="586">
        <f t="shared" si="112"/>
        <v>0</v>
      </c>
      <c r="AR226" s="586">
        <f t="shared" si="112"/>
        <v>0</v>
      </c>
      <c r="AS226" s="586">
        <f t="shared" si="112"/>
        <v>0</v>
      </c>
      <c r="AT226" s="170"/>
    </row>
    <row r="227" spans="1:46" ht="15" x14ac:dyDescent="0.25">
      <c r="A227" s="170"/>
      <c r="B227" s="719"/>
      <c r="C227" s="170" t="str">
        <f t="shared" si="113"/>
        <v>710</v>
      </c>
      <c r="D227" s="170"/>
      <c r="E227" s="170"/>
      <c r="F227" s="170">
        <f>+Parameters!D74</f>
        <v>71</v>
      </c>
      <c r="G227" s="170" t="str">
        <f>+Parameters!E74</f>
        <v>Pre-Eng Building</v>
      </c>
      <c r="H227" s="586">
        <f t="shared" si="114"/>
        <v>0</v>
      </c>
      <c r="I227" s="170">
        <f>+Parameters!F74</f>
        <v>0</v>
      </c>
      <c r="J227" s="170"/>
      <c r="K227" s="170"/>
      <c r="L227" s="170"/>
      <c r="M227" s="730"/>
      <c r="N227" s="730"/>
      <c r="O227" s="730"/>
      <c r="P227" s="731"/>
      <c r="Q227" s="731"/>
      <c r="R227" s="730"/>
      <c r="S227" s="730"/>
      <c r="T227" s="723"/>
      <c r="U227" s="724"/>
      <c r="V227" s="725"/>
      <c r="W227" s="725"/>
      <c r="X227" s="723"/>
      <c r="Y227" s="723"/>
      <c r="Z227" s="723"/>
      <c r="AA227" s="726"/>
      <c r="AB227" s="726"/>
      <c r="AC227" s="170"/>
      <c r="AD227" s="586">
        <f t="shared" si="111"/>
        <v>0</v>
      </c>
      <c r="AE227" s="586">
        <f t="shared" si="112"/>
        <v>0</v>
      </c>
      <c r="AF227" s="586">
        <f t="shared" si="112"/>
        <v>0</v>
      </c>
      <c r="AG227" s="586">
        <f t="shared" si="112"/>
        <v>0</v>
      </c>
      <c r="AH227" s="586">
        <f t="shared" si="112"/>
        <v>0</v>
      </c>
      <c r="AI227" s="586">
        <f t="shared" si="112"/>
        <v>0</v>
      </c>
      <c r="AJ227" s="586">
        <f t="shared" si="112"/>
        <v>0</v>
      </c>
      <c r="AK227" s="586">
        <f t="shared" si="112"/>
        <v>0</v>
      </c>
      <c r="AL227" s="586">
        <f t="shared" si="112"/>
        <v>0</v>
      </c>
      <c r="AM227" s="586">
        <f t="shared" si="112"/>
        <v>0</v>
      </c>
      <c r="AN227" s="586">
        <f t="shared" si="112"/>
        <v>0</v>
      </c>
      <c r="AO227" s="586">
        <f t="shared" si="112"/>
        <v>0</v>
      </c>
      <c r="AP227" s="586">
        <f t="shared" si="112"/>
        <v>0</v>
      </c>
      <c r="AQ227" s="586">
        <f t="shared" si="112"/>
        <v>0</v>
      </c>
      <c r="AR227" s="586">
        <f t="shared" si="112"/>
        <v>0</v>
      </c>
      <c r="AS227" s="586">
        <f t="shared" si="112"/>
        <v>0</v>
      </c>
      <c r="AT227" s="170"/>
    </row>
    <row r="228" spans="1:46" ht="15" x14ac:dyDescent="0.25">
      <c r="A228" s="170"/>
      <c r="B228" s="719"/>
      <c r="C228" s="170" t="str">
        <f t="shared" si="113"/>
        <v>720</v>
      </c>
      <c r="D228" s="170"/>
      <c r="E228" s="170"/>
      <c r="F228" s="170">
        <f>+Parameters!D75</f>
        <v>72</v>
      </c>
      <c r="G228" s="170">
        <f>+Parameters!E75</f>
        <v>0</v>
      </c>
      <c r="H228" s="586">
        <f t="shared" si="114"/>
        <v>0</v>
      </c>
      <c r="I228" s="170">
        <f>+Parameters!F75</f>
        <v>0</v>
      </c>
      <c r="J228" s="170"/>
      <c r="K228" s="170"/>
      <c r="L228" s="170"/>
      <c r="M228" s="730"/>
      <c r="N228" s="730"/>
      <c r="O228" s="730"/>
      <c r="P228" s="731"/>
      <c r="Q228" s="731"/>
      <c r="R228" s="730"/>
      <c r="S228" s="730"/>
      <c r="T228" s="723"/>
      <c r="U228" s="724"/>
      <c r="V228" s="725"/>
      <c r="W228" s="725"/>
      <c r="X228" s="723"/>
      <c r="Y228" s="723"/>
      <c r="Z228" s="723"/>
      <c r="AA228" s="726"/>
      <c r="AB228" s="726"/>
      <c r="AC228" s="170"/>
      <c r="AD228" s="586">
        <f t="shared" si="111"/>
        <v>0</v>
      </c>
      <c r="AE228" s="586">
        <f t="shared" si="112"/>
        <v>0</v>
      </c>
      <c r="AF228" s="586">
        <f t="shared" si="112"/>
        <v>0</v>
      </c>
      <c r="AG228" s="586">
        <f t="shared" si="112"/>
        <v>0</v>
      </c>
      <c r="AH228" s="586">
        <f t="shared" si="112"/>
        <v>0</v>
      </c>
      <c r="AI228" s="586">
        <f t="shared" si="112"/>
        <v>0</v>
      </c>
      <c r="AJ228" s="586">
        <f t="shared" si="112"/>
        <v>0</v>
      </c>
      <c r="AK228" s="586">
        <f t="shared" si="112"/>
        <v>0</v>
      </c>
      <c r="AL228" s="586">
        <f t="shared" si="112"/>
        <v>0</v>
      </c>
      <c r="AM228" s="586">
        <f t="shared" si="112"/>
        <v>0</v>
      </c>
      <c r="AN228" s="586">
        <f t="shared" si="112"/>
        <v>0</v>
      </c>
      <c r="AO228" s="586">
        <f t="shared" si="112"/>
        <v>0</v>
      </c>
      <c r="AP228" s="586">
        <f t="shared" si="112"/>
        <v>0</v>
      </c>
      <c r="AQ228" s="586">
        <f t="shared" si="112"/>
        <v>0</v>
      </c>
      <c r="AR228" s="586">
        <f t="shared" si="112"/>
        <v>0</v>
      </c>
      <c r="AS228" s="586">
        <f t="shared" si="112"/>
        <v>0</v>
      </c>
      <c r="AT228" s="170"/>
    </row>
    <row r="229" spans="1:46" ht="15" x14ac:dyDescent="0.25">
      <c r="A229" s="170"/>
      <c r="B229" s="719"/>
      <c r="C229" s="170" t="str">
        <f t="shared" si="113"/>
        <v>730</v>
      </c>
      <c r="D229" s="170"/>
      <c r="E229" s="170"/>
      <c r="F229" s="170">
        <f>+Parameters!D76</f>
        <v>73</v>
      </c>
      <c r="G229" s="170">
        <f>+Parameters!E76</f>
        <v>0</v>
      </c>
      <c r="H229" s="586">
        <f t="shared" si="114"/>
        <v>0</v>
      </c>
      <c r="I229" s="170">
        <f>+Parameters!F76</f>
        <v>0</v>
      </c>
      <c r="J229" s="170"/>
      <c r="K229" s="170"/>
      <c r="L229" s="170"/>
      <c r="M229" s="730"/>
      <c r="N229" s="730"/>
      <c r="O229" s="730"/>
      <c r="P229" s="731"/>
      <c r="Q229" s="731"/>
      <c r="R229" s="730"/>
      <c r="S229" s="730"/>
      <c r="T229" s="723"/>
      <c r="U229" s="724"/>
      <c r="V229" s="725"/>
      <c r="W229" s="725"/>
      <c r="X229" s="723"/>
      <c r="Y229" s="723"/>
      <c r="Z229" s="723"/>
      <c r="AA229" s="726"/>
      <c r="AB229" s="726"/>
      <c r="AC229" s="170"/>
      <c r="AD229" s="586">
        <f t="shared" si="111"/>
        <v>0</v>
      </c>
      <c r="AE229" s="586">
        <f t="shared" si="112"/>
        <v>0</v>
      </c>
      <c r="AF229" s="586">
        <f t="shared" si="112"/>
        <v>0</v>
      </c>
      <c r="AG229" s="586">
        <f t="shared" si="112"/>
        <v>0</v>
      </c>
      <c r="AH229" s="586">
        <f t="shared" si="112"/>
        <v>0</v>
      </c>
      <c r="AI229" s="586">
        <f t="shared" si="112"/>
        <v>0</v>
      </c>
      <c r="AJ229" s="586">
        <f t="shared" si="112"/>
        <v>0</v>
      </c>
      <c r="AK229" s="586">
        <f t="shared" si="112"/>
        <v>0</v>
      </c>
      <c r="AL229" s="586">
        <f t="shared" si="112"/>
        <v>0</v>
      </c>
      <c r="AM229" s="586">
        <f t="shared" si="112"/>
        <v>0</v>
      </c>
      <c r="AN229" s="586">
        <f t="shared" si="112"/>
        <v>0</v>
      </c>
      <c r="AO229" s="586">
        <f t="shared" si="112"/>
        <v>0</v>
      </c>
      <c r="AP229" s="586">
        <f t="shared" si="112"/>
        <v>0</v>
      </c>
      <c r="AQ229" s="586">
        <f t="shared" si="112"/>
        <v>0</v>
      </c>
      <c r="AR229" s="586">
        <f t="shared" si="112"/>
        <v>0</v>
      </c>
      <c r="AS229" s="586">
        <f t="shared" si="112"/>
        <v>0</v>
      </c>
      <c r="AT229" s="170"/>
    </row>
    <row r="230" spans="1:46" ht="15" x14ac:dyDescent="0.25">
      <c r="A230" s="170"/>
      <c r="B230" s="719"/>
      <c r="C230" s="170" t="str">
        <f t="shared" si="113"/>
        <v>740</v>
      </c>
      <c r="D230" s="170"/>
      <c r="E230" s="170"/>
      <c r="F230" s="170">
        <f>+Parameters!D77</f>
        <v>74</v>
      </c>
      <c r="G230" s="170">
        <f>+Parameters!E77</f>
        <v>0</v>
      </c>
      <c r="H230" s="586">
        <f t="shared" si="114"/>
        <v>0</v>
      </c>
      <c r="I230" s="170">
        <f>+Parameters!F77</f>
        <v>0</v>
      </c>
      <c r="J230" s="170"/>
      <c r="K230" s="170"/>
      <c r="L230" s="170"/>
      <c r="M230" s="730"/>
      <c r="N230" s="730"/>
      <c r="O230" s="730"/>
      <c r="P230" s="731"/>
      <c r="Q230" s="731"/>
      <c r="R230" s="730"/>
      <c r="S230" s="730"/>
      <c r="T230" s="723"/>
      <c r="U230" s="724"/>
      <c r="V230" s="725"/>
      <c r="W230" s="725"/>
      <c r="X230" s="723"/>
      <c r="Y230" s="723"/>
      <c r="Z230" s="723"/>
      <c r="AA230" s="726"/>
      <c r="AB230" s="726"/>
      <c r="AC230" s="170"/>
      <c r="AD230" s="586">
        <f t="shared" si="111"/>
        <v>0</v>
      </c>
      <c r="AE230" s="586">
        <f t="shared" si="112"/>
        <v>0</v>
      </c>
      <c r="AF230" s="586">
        <f t="shared" si="112"/>
        <v>0</v>
      </c>
      <c r="AG230" s="586">
        <f t="shared" si="112"/>
        <v>0</v>
      </c>
      <c r="AH230" s="586">
        <f t="shared" si="112"/>
        <v>0</v>
      </c>
      <c r="AI230" s="586">
        <f t="shared" si="112"/>
        <v>0</v>
      </c>
      <c r="AJ230" s="586">
        <f t="shared" si="112"/>
        <v>0</v>
      </c>
      <c r="AK230" s="586">
        <f t="shared" si="112"/>
        <v>0</v>
      </c>
      <c r="AL230" s="586">
        <f t="shared" si="112"/>
        <v>0</v>
      </c>
      <c r="AM230" s="586">
        <f t="shared" si="112"/>
        <v>0</v>
      </c>
      <c r="AN230" s="586">
        <f t="shared" si="112"/>
        <v>0</v>
      </c>
      <c r="AO230" s="586">
        <f t="shared" si="112"/>
        <v>0</v>
      </c>
      <c r="AP230" s="586">
        <f t="shared" si="112"/>
        <v>0</v>
      </c>
      <c r="AQ230" s="586">
        <f t="shared" si="112"/>
        <v>0</v>
      </c>
      <c r="AR230" s="586">
        <f t="shared" si="112"/>
        <v>0</v>
      </c>
      <c r="AS230" s="586">
        <f t="shared" si="112"/>
        <v>0</v>
      </c>
      <c r="AT230" s="170"/>
    </row>
    <row r="231" spans="1:46" ht="15" x14ac:dyDescent="0.25">
      <c r="A231" s="170"/>
      <c r="B231" s="719"/>
      <c r="C231" s="170" t="str">
        <f t="shared" si="113"/>
        <v>750</v>
      </c>
      <c r="D231" s="170"/>
      <c r="E231" s="170"/>
      <c r="F231" s="170">
        <f>+Parameters!D78</f>
        <v>75</v>
      </c>
      <c r="G231" s="170">
        <f>+Parameters!E78</f>
        <v>0</v>
      </c>
      <c r="H231" s="586">
        <f t="shared" si="114"/>
        <v>0</v>
      </c>
      <c r="I231" s="170">
        <f>+Parameters!F78</f>
        <v>0</v>
      </c>
      <c r="J231" s="170"/>
      <c r="K231" s="170"/>
      <c r="L231" s="170"/>
      <c r="M231" s="730"/>
      <c r="N231" s="730"/>
      <c r="O231" s="730"/>
      <c r="P231" s="731"/>
      <c r="Q231" s="731"/>
      <c r="R231" s="730"/>
      <c r="S231" s="730"/>
      <c r="T231" s="723"/>
      <c r="U231" s="724"/>
      <c r="V231" s="725"/>
      <c r="W231" s="725"/>
      <c r="X231" s="723"/>
      <c r="Y231" s="723"/>
      <c r="Z231" s="723"/>
      <c r="AA231" s="726"/>
      <c r="AB231" s="726"/>
      <c r="AC231" s="170"/>
      <c r="AD231" s="586">
        <f t="shared" si="111"/>
        <v>0</v>
      </c>
      <c r="AE231" s="586">
        <f t="shared" si="112"/>
        <v>0</v>
      </c>
      <c r="AF231" s="586">
        <f t="shared" si="112"/>
        <v>0</v>
      </c>
      <c r="AG231" s="586">
        <f t="shared" si="112"/>
        <v>0</v>
      </c>
      <c r="AH231" s="586">
        <f t="shared" si="112"/>
        <v>0</v>
      </c>
      <c r="AI231" s="586">
        <f t="shared" si="112"/>
        <v>0</v>
      </c>
      <c r="AJ231" s="586">
        <f t="shared" si="112"/>
        <v>0</v>
      </c>
      <c r="AK231" s="586">
        <f t="shared" si="112"/>
        <v>0</v>
      </c>
      <c r="AL231" s="586">
        <f t="shared" si="112"/>
        <v>0</v>
      </c>
      <c r="AM231" s="586">
        <f t="shared" si="112"/>
        <v>0</v>
      </c>
      <c r="AN231" s="586">
        <f t="shared" si="112"/>
        <v>0</v>
      </c>
      <c r="AO231" s="586">
        <f t="shared" si="112"/>
        <v>0</v>
      </c>
      <c r="AP231" s="586">
        <f t="shared" si="112"/>
        <v>0</v>
      </c>
      <c r="AQ231" s="586">
        <f t="shared" si="112"/>
        <v>0</v>
      </c>
      <c r="AR231" s="586">
        <f t="shared" si="112"/>
        <v>0</v>
      </c>
      <c r="AS231" s="586">
        <f t="shared" si="112"/>
        <v>0</v>
      </c>
      <c r="AT231" s="170"/>
    </row>
    <row r="232" spans="1:46" ht="15" x14ac:dyDescent="0.25">
      <c r="A232" s="170"/>
      <c r="B232" s="719"/>
      <c r="C232" s="170" t="str">
        <f t="shared" si="113"/>
        <v>760</v>
      </c>
      <c r="D232" s="170"/>
      <c r="E232" s="170"/>
      <c r="F232" s="170">
        <f>+Parameters!D79</f>
        <v>76</v>
      </c>
      <c r="G232" s="170">
        <f>+Parameters!E79</f>
        <v>0</v>
      </c>
      <c r="H232" s="586">
        <f t="shared" si="114"/>
        <v>0</v>
      </c>
      <c r="I232" s="170">
        <f>+Parameters!F79</f>
        <v>0</v>
      </c>
      <c r="J232" s="170"/>
      <c r="K232" s="170"/>
      <c r="L232" s="170"/>
      <c r="M232" s="730"/>
      <c r="N232" s="730"/>
      <c r="O232" s="730"/>
      <c r="P232" s="731"/>
      <c r="Q232" s="731"/>
      <c r="R232" s="730"/>
      <c r="S232" s="730"/>
      <c r="T232" s="723"/>
      <c r="U232" s="724"/>
      <c r="V232" s="725"/>
      <c r="W232" s="725"/>
      <c r="X232" s="723"/>
      <c r="Y232" s="723"/>
      <c r="Z232" s="723"/>
      <c r="AA232" s="726"/>
      <c r="AB232" s="726"/>
      <c r="AC232" s="170"/>
      <c r="AD232" s="586">
        <f t="shared" si="111"/>
        <v>0</v>
      </c>
      <c r="AE232" s="586">
        <f t="shared" si="112"/>
        <v>0</v>
      </c>
      <c r="AF232" s="586">
        <f t="shared" si="112"/>
        <v>0</v>
      </c>
      <c r="AG232" s="586">
        <f t="shared" si="112"/>
        <v>0</v>
      </c>
      <c r="AH232" s="586">
        <f t="shared" si="112"/>
        <v>0</v>
      </c>
      <c r="AI232" s="586">
        <f t="shared" si="112"/>
        <v>0</v>
      </c>
      <c r="AJ232" s="586">
        <f t="shared" si="112"/>
        <v>0</v>
      </c>
      <c r="AK232" s="586">
        <f t="shared" si="112"/>
        <v>0</v>
      </c>
      <c r="AL232" s="586">
        <f t="shared" si="112"/>
        <v>0</v>
      </c>
      <c r="AM232" s="586">
        <f t="shared" si="112"/>
        <v>0</v>
      </c>
      <c r="AN232" s="586">
        <f t="shared" si="112"/>
        <v>0</v>
      </c>
      <c r="AO232" s="586">
        <f t="shared" si="112"/>
        <v>0</v>
      </c>
      <c r="AP232" s="586">
        <f t="shared" si="112"/>
        <v>0</v>
      </c>
      <c r="AQ232" s="586">
        <f t="shared" si="112"/>
        <v>0</v>
      </c>
      <c r="AR232" s="586">
        <f t="shared" si="112"/>
        <v>0</v>
      </c>
      <c r="AS232" s="586">
        <f t="shared" si="112"/>
        <v>0</v>
      </c>
      <c r="AT232" s="170"/>
    </row>
    <row r="233" spans="1:46" ht="15" x14ac:dyDescent="0.25">
      <c r="A233" s="170"/>
      <c r="B233" s="719"/>
      <c r="C233" s="170" t="str">
        <f t="shared" si="113"/>
        <v>770</v>
      </c>
      <c r="D233" s="170"/>
      <c r="E233" s="170"/>
      <c r="F233" s="170">
        <f>+Parameters!D80</f>
        <v>77</v>
      </c>
      <c r="G233" s="170">
        <f>+Parameters!E80</f>
        <v>0</v>
      </c>
      <c r="H233" s="586">
        <f t="shared" si="114"/>
        <v>0</v>
      </c>
      <c r="I233" s="170">
        <f>+Parameters!F80</f>
        <v>0</v>
      </c>
      <c r="J233" s="170"/>
      <c r="K233" s="170"/>
      <c r="L233" s="170"/>
      <c r="M233" s="730"/>
      <c r="N233" s="730"/>
      <c r="O233" s="730"/>
      <c r="P233" s="731"/>
      <c r="Q233" s="731"/>
      <c r="R233" s="730"/>
      <c r="S233" s="730"/>
      <c r="T233" s="723"/>
      <c r="U233" s="724"/>
      <c r="V233" s="725"/>
      <c r="W233" s="725"/>
      <c r="X233" s="723"/>
      <c r="Y233" s="723"/>
      <c r="Z233" s="723"/>
      <c r="AA233" s="726"/>
      <c r="AB233" s="726"/>
      <c r="AC233" s="170"/>
      <c r="AD233" s="586">
        <f t="shared" si="111"/>
        <v>0</v>
      </c>
      <c r="AE233" s="586">
        <f t="shared" si="112"/>
        <v>0</v>
      </c>
      <c r="AF233" s="586">
        <f t="shared" si="112"/>
        <v>0</v>
      </c>
      <c r="AG233" s="586">
        <f t="shared" si="112"/>
        <v>0</v>
      </c>
      <c r="AH233" s="586">
        <f t="shared" si="112"/>
        <v>0</v>
      </c>
      <c r="AI233" s="586">
        <f t="shared" si="112"/>
        <v>0</v>
      </c>
      <c r="AJ233" s="586">
        <f t="shared" si="112"/>
        <v>0</v>
      </c>
      <c r="AK233" s="586">
        <f t="shared" si="112"/>
        <v>0</v>
      </c>
      <c r="AL233" s="586">
        <f t="shared" si="112"/>
        <v>0</v>
      </c>
      <c r="AM233" s="586">
        <f t="shared" si="112"/>
        <v>0</v>
      </c>
      <c r="AN233" s="586">
        <f t="shared" si="112"/>
        <v>0</v>
      </c>
      <c r="AO233" s="586">
        <f t="shared" si="112"/>
        <v>0</v>
      </c>
      <c r="AP233" s="586">
        <f t="shared" si="112"/>
        <v>0</v>
      </c>
      <c r="AQ233" s="586">
        <f t="shared" si="112"/>
        <v>0</v>
      </c>
      <c r="AR233" s="586">
        <f t="shared" si="112"/>
        <v>0</v>
      </c>
      <c r="AS233" s="586">
        <f t="shared" si="112"/>
        <v>0</v>
      </c>
      <c r="AT233" s="170"/>
    </row>
    <row r="234" spans="1:46" ht="15" x14ac:dyDescent="0.25">
      <c r="A234" s="170"/>
      <c r="B234" s="719"/>
      <c r="C234" s="170" t="str">
        <f t="shared" si="113"/>
        <v>780</v>
      </c>
      <c r="D234" s="170"/>
      <c r="E234" s="170"/>
      <c r="F234" s="170">
        <f>+Parameters!D81</f>
        <v>78</v>
      </c>
      <c r="G234" s="170">
        <f>+Parameters!E81</f>
        <v>0</v>
      </c>
      <c r="H234" s="586">
        <f t="shared" si="114"/>
        <v>0</v>
      </c>
      <c r="I234" s="170">
        <f>+Parameters!F81</f>
        <v>0</v>
      </c>
      <c r="J234" s="170"/>
      <c r="K234" s="170"/>
      <c r="L234" s="170"/>
      <c r="M234" s="730"/>
      <c r="N234" s="730"/>
      <c r="O234" s="730"/>
      <c r="P234" s="731"/>
      <c r="Q234" s="731"/>
      <c r="R234" s="730"/>
      <c r="S234" s="730"/>
      <c r="T234" s="723"/>
      <c r="U234" s="724"/>
      <c r="V234" s="725"/>
      <c r="W234" s="725"/>
      <c r="X234" s="723"/>
      <c r="Y234" s="723"/>
      <c r="Z234" s="723"/>
      <c r="AA234" s="726"/>
      <c r="AB234" s="726"/>
      <c r="AC234" s="170"/>
      <c r="AD234" s="586">
        <f t="shared" si="111"/>
        <v>0</v>
      </c>
      <c r="AE234" s="586">
        <f t="shared" si="112"/>
        <v>0</v>
      </c>
      <c r="AF234" s="586">
        <f t="shared" si="112"/>
        <v>0</v>
      </c>
      <c r="AG234" s="586">
        <f t="shared" si="112"/>
        <v>0</v>
      </c>
      <c r="AH234" s="586">
        <f t="shared" si="112"/>
        <v>0</v>
      </c>
      <c r="AI234" s="586">
        <f t="shared" si="112"/>
        <v>0</v>
      </c>
      <c r="AJ234" s="586">
        <f t="shared" si="112"/>
        <v>0</v>
      </c>
      <c r="AK234" s="586">
        <f t="shared" si="112"/>
        <v>0</v>
      </c>
      <c r="AL234" s="586">
        <f t="shared" si="112"/>
        <v>0</v>
      </c>
      <c r="AM234" s="586">
        <f t="shared" si="112"/>
        <v>0</v>
      </c>
      <c r="AN234" s="586">
        <f t="shared" si="112"/>
        <v>0</v>
      </c>
      <c r="AO234" s="586">
        <f t="shared" si="112"/>
        <v>0</v>
      </c>
      <c r="AP234" s="586">
        <f t="shared" si="112"/>
        <v>0</v>
      </c>
      <c r="AQ234" s="586">
        <f t="shared" si="112"/>
        <v>0</v>
      </c>
      <c r="AR234" s="586">
        <f t="shared" si="112"/>
        <v>0</v>
      </c>
      <c r="AS234" s="586">
        <f t="shared" si="112"/>
        <v>0</v>
      </c>
      <c r="AT234" s="170"/>
    </row>
    <row r="235" spans="1:46" ht="15" x14ac:dyDescent="0.25">
      <c r="A235" s="170"/>
      <c r="B235" s="719"/>
      <c r="C235" s="170" t="str">
        <f t="shared" si="113"/>
        <v>790</v>
      </c>
      <c r="D235" s="170"/>
      <c r="E235" s="170"/>
      <c r="F235" s="170">
        <f>+Parameters!D82</f>
        <v>79</v>
      </c>
      <c r="G235" s="170">
        <f>+Parameters!E82</f>
        <v>0</v>
      </c>
      <c r="H235" s="586">
        <f t="shared" si="114"/>
        <v>0</v>
      </c>
      <c r="I235" s="170">
        <f>+Parameters!F82</f>
        <v>0</v>
      </c>
      <c r="J235" s="170"/>
      <c r="K235" s="170"/>
      <c r="L235" s="170"/>
      <c r="M235" s="730"/>
      <c r="N235" s="730"/>
      <c r="O235" s="730"/>
      <c r="P235" s="731"/>
      <c r="Q235" s="731"/>
      <c r="R235" s="730"/>
      <c r="S235" s="730"/>
      <c r="T235" s="723"/>
      <c r="U235" s="724"/>
      <c r="V235" s="725"/>
      <c r="W235" s="725"/>
      <c r="X235" s="723"/>
      <c r="Y235" s="723"/>
      <c r="Z235" s="723"/>
      <c r="AA235" s="726"/>
      <c r="AB235" s="726"/>
      <c r="AC235" s="170"/>
      <c r="AD235" s="586">
        <f t="shared" si="111"/>
        <v>0</v>
      </c>
      <c r="AE235" s="586">
        <f t="shared" si="112"/>
        <v>0</v>
      </c>
      <c r="AF235" s="586">
        <f t="shared" si="112"/>
        <v>0</v>
      </c>
      <c r="AG235" s="586">
        <f t="shared" si="112"/>
        <v>0</v>
      </c>
      <c r="AH235" s="586">
        <f t="shared" si="112"/>
        <v>0</v>
      </c>
      <c r="AI235" s="586">
        <f t="shared" si="112"/>
        <v>0</v>
      </c>
      <c r="AJ235" s="586">
        <f t="shared" si="112"/>
        <v>0</v>
      </c>
      <c r="AK235" s="586">
        <f t="shared" si="112"/>
        <v>0</v>
      </c>
      <c r="AL235" s="586">
        <f t="shared" si="112"/>
        <v>0</v>
      </c>
      <c r="AM235" s="586">
        <f t="shared" si="112"/>
        <v>0</v>
      </c>
      <c r="AN235" s="586">
        <f t="shared" si="112"/>
        <v>0</v>
      </c>
      <c r="AO235" s="586">
        <f t="shared" si="112"/>
        <v>0</v>
      </c>
      <c r="AP235" s="586">
        <f t="shared" si="112"/>
        <v>0</v>
      </c>
      <c r="AQ235" s="586">
        <f t="shared" si="112"/>
        <v>0</v>
      </c>
      <c r="AR235" s="586">
        <f t="shared" si="112"/>
        <v>0</v>
      </c>
      <c r="AS235" s="586">
        <f t="shared" si="112"/>
        <v>0</v>
      </c>
      <c r="AT235" s="170"/>
    </row>
    <row r="236" spans="1:46" ht="15" x14ac:dyDescent="0.25">
      <c r="A236" s="170"/>
      <c r="B236" s="719"/>
      <c r="C236" s="170" t="str">
        <f t="shared" si="113"/>
        <v>800</v>
      </c>
      <c r="D236" s="170"/>
      <c r="E236" s="170"/>
      <c r="F236" s="170">
        <f>+Parameters!D83</f>
        <v>80</v>
      </c>
      <c r="G236" s="170" t="str">
        <f>+Parameters!E83</f>
        <v>Protection and Controls</v>
      </c>
      <c r="H236" s="586">
        <f t="shared" si="114"/>
        <v>0</v>
      </c>
      <c r="I236" s="170">
        <f>+Parameters!F83</f>
        <v>0</v>
      </c>
      <c r="J236" s="170"/>
      <c r="K236" s="170"/>
      <c r="L236" s="170"/>
      <c r="M236" s="730"/>
      <c r="N236" s="730"/>
      <c r="O236" s="730"/>
      <c r="P236" s="731"/>
      <c r="Q236" s="731"/>
      <c r="R236" s="730"/>
      <c r="S236" s="730"/>
      <c r="T236" s="723"/>
      <c r="U236" s="724"/>
      <c r="V236" s="725"/>
      <c r="W236" s="725"/>
      <c r="X236" s="723"/>
      <c r="Y236" s="723"/>
      <c r="Z236" s="723"/>
      <c r="AA236" s="726"/>
      <c r="AB236" s="726"/>
      <c r="AC236" s="170"/>
      <c r="AD236" s="586">
        <f t="shared" ref="AD236:AD257" si="115">SUMIF($F$9:$F$153,$F236,AD$9:AD$153)</f>
        <v>0</v>
      </c>
      <c r="AE236" s="586">
        <f t="shared" si="112"/>
        <v>0</v>
      </c>
      <c r="AF236" s="586">
        <f t="shared" si="112"/>
        <v>0</v>
      </c>
      <c r="AG236" s="586">
        <f t="shared" si="112"/>
        <v>0</v>
      </c>
      <c r="AH236" s="586">
        <f t="shared" si="112"/>
        <v>0</v>
      </c>
      <c r="AI236" s="586">
        <f t="shared" si="112"/>
        <v>0</v>
      </c>
      <c r="AJ236" s="586">
        <f t="shared" si="112"/>
        <v>0</v>
      </c>
      <c r="AK236" s="586">
        <f t="shared" si="112"/>
        <v>0</v>
      </c>
      <c r="AL236" s="586">
        <f t="shared" si="112"/>
        <v>0</v>
      </c>
      <c r="AM236" s="586">
        <f t="shared" si="112"/>
        <v>0</v>
      </c>
      <c r="AN236" s="586">
        <f t="shared" si="112"/>
        <v>0</v>
      </c>
      <c r="AO236" s="586">
        <f t="shared" si="112"/>
        <v>0</v>
      </c>
      <c r="AP236" s="586">
        <f t="shared" si="112"/>
        <v>0</v>
      </c>
      <c r="AQ236" s="586">
        <f t="shared" si="112"/>
        <v>0</v>
      </c>
      <c r="AR236" s="586">
        <f t="shared" si="112"/>
        <v>0</v>
      </c>
      <c r="AS236" s="586">
        <f t="shared" si="112"/>
        <v>0</v>
      </c>
      <c r="AT236" s="170"/>
    </row>
    <row r="237" spans="1:46" ht="15" x14ac:dyDescent="0.25">
      <c r="A237" s="170"/>
      <c r="B237" s="719"/>
      <c r="C237" s="170" t="str">
        <f t="shared" si="113"/>
        <v>81ea</v>
      </c>
      <c r="D237" s="170"/>
      <c r="E237" s="170"/>
      <c r="F237" s="170">
        <f>+Parameters!D84</f>
        <v>81</v>
      </c>
      <c r="G237" s="170" t="str">
        <f>+Parameters!E84</f>
        <v>Relays</v>
      </c>
      <c r="H237" s="586">
        <f t="shared" si="114"/>
        <v>0</v>
      </c>
      <c r="I237" s="170" t="str">
        <f>+Parameters!F84</f>
        <v>ea</v>
      </c>
      <c r="J237" s="170"/>
      <c r="K237" s="170"/>
      <c r="L237" s="170"/>
      <c r="M237" s="730"/>
      <c r="N237" s="730"/>
      <c r="O237" s="730"/>
      <c r="P237" s="731"/>
      <c r="Q237" s="731"/>
      <c r="R237" s="730"/>
      <c r="S237" s="730"/>
      <c r="T237" s="723"/>
      <c r="U237" s="724"/>
      <c r="V237" s="725"/>
      <c r="W237" s="725"/>
      <c r="X237" s="723"/>
      <c r="Y237" s="723"/>
      <c r="Z237" s="723"/>
      <c r="AA237" s="726"/>
      <c r="AB237" s="726"/>
      <c r="AC237" s="170"/>
      <c r="AD237" s="586">
        <f t="shared" si="115"/>
        <v>0</v>
      </c>
      <c r="AE237" s="586">
        <f t="shared" si="112"/>
        <v>0</v>
      </c>
      <c r="AF237" s="586">
        <f t="shared" si="112"/>
        <v>0</v>
      </c>
      <c r="AG237" s="586">
        <f t="shared" si="112"/>
        <v>0</v>
      </c>
      <c r="AH237" s="586">
        <f t="shared" si="112"/>
        <v>0</v>
      </c>
      <c r="AI237" s="586">
        <f t="shared" si="112"/>
        <v>0</v>
      </c>
      <c r="AJ237" s="586">
        <f t="shared" si="112"/>
        <v>0</v>
      </c>
      <c r="AK237" s="586">
        <f t="shared" si="112"/>
        <v>0</v>
      </c>
      <c r="AL237" s="586">
        <f t="shared" si="112"/>
        <v>0</v>
      </c>
      <c r="AM237" s="586">
        <f t="shared" si="112"/>
        <v>0</v>
      </c>
      <c r="AN237" s="586">
        <f t="shared" si="112"/>
        <v>0</v>
      </c>
      <c r="AO237" s="586">
        <f t="shared" si="112"/>
        <v>0</v>
      </c>
      <c r="AP237" s="586">
        <f t="shared" si="112"/>
        <v>0</v>
      </c>
      <c r="AQ237" s="586">
        <f t="shared" si="112"/>
        <v>0</v>
      </c>
      <c r="AR237" s="586">
        <f t="shared" si="112"/>
        <v>0</v>
      </c>
      <c r="AS237" s="586">
        <f t="shared" ref="AE237:AS254" si="116">SUMIF($F$9:$F$153,$F237,AS$9:AS$153)</f>
        <v>0</v>
      </c>
      <c r="AT237" s="170"/>
    </row>
    <row r="238" spans="1:46" ht="15" x14ac:dyDescent="0.25">
      <c r="A238" s="170"/>
      <c r="B238" s="719"/>
      <c r="C238" s="170" t="str">
        <f t="shared" si="113"/>
        <v>82ea</v>
      </c>
      <c r="D238" s="170"/>
      <c r="E238" s="170"/>
      <c r="F238" s="170">
        <f>+Parameters!D85</f>
        <v>82</v>
      </c>
      <c r="G238" s="170" t="str">
        <f>+Parameters!E85</f>
        <v>Cabinets</v>
      </c>
      <c r="H238" s="586">
        <f t="shared" si="114"/>
        <v>0</v>
      </c>
      <c r="I238" s="170" t="str">
        <f>+Parameters!F85</f>
        <v>ea</v>
      </c>
      <c r="J238" s="170"/>
      <c r="K238" s="170"/>
      <c r="L238" s="170"/>
      <c r="M238" s="730"/>
      <c r="N238" s="730"/>
      <c r="O238" s="730"/>
      <c r="P238" s="731"/>
      <c r="Q238" s="731"/>
      <c r="R238" s="730"/>
      <c r="S238" s="730"/>
      <c r="T238" s="723"/>
      <c r="U238" s="724"/>
      <c r="V238" s="725"/>
      <c r="W238" s="725"/>
      <c r="X238" s="723"/>
      <c r="Y238" s="723"/>
      <c r="Z238" s="723"/>
      <c r="AA238" s="726"/>
      <c r="AB238" s="726"/>
      <c r="AC238" s="170"/>
      <c r="AD238" s="586">
        <f t="shared" si="115"/>
        <v>0</v>
      </c>
      <c r="AE238" s="586">
        <f t="shared" si="116"/>
        <v>0</v>
      </c>
      <c r="AF238" s="586">
        <f t="shared" si="116"/>
        <v>0</v>
      </c>
      <c r="AG238" s="586">
        <f t="shared" si="116"/>
        <v>0</v>
      </c>
      <c r="AH238" s="586">
        <f t="shared" si="116"/>
        <v>0</v>
      </c>
      <c r="AI238" s="586">
        <f t="shared" si="116"/>
        <v>0</v>
      </c>
      <c r="AJ238" s="586">
        <f t="shared" si="116"/>
        <v>0</v>
      </c>
      <c r="AK238" s="586">
        <f t="shared" si="116"/>
        <v>0</v>
      </c>
      <c r="AL238" s="586">
        <f t="shared" si="116"/>
        <v>0</v>
      </c>
      <c r="AM238" s="586">
        <f t="shared" si="116"/>
        <v>0</v>
      </c>
      <c r="AN238" s="586">
        <f t="shared" si="116"/>
        <v>0</v>
      </c>
      <c r="AO238" s="586">
        <f t="shared" si="116"/>
        <v>0</v>
      </c>
      <c r="AP238" s="586">
        <f t="shared" si="116"/>
        <v>0</v>
      </c>
      <c r="AQ238" s="586">
        <f t="shared" si="116"/>
        <v>0</v>
      </c>
      <c r="AR238" s="586">
        <f t="shared" si="116"/>
        <v>0</v>
      </c>
      <c r="AS238" s="586">
        <f t="shared" si="116"/>
        <v>0</v>
      </c>
      <c r="AT238" s="170"/>
    </row>
    <row r="239" spans="1:46" ht="15" x14ac:dyDescent="0.25">
      <c r="A239" s="170"/>
      <c r="B239" s="719"/>
      <c r="C239" s="170" t="str">
        <f t="shared" si="113"/>
        <v>83ea</v>
      </c>
      <c r="D239" s="170"/>
      <c r="E239" s="170"/>
      <c r="F239" s="170">
        <f>+Parameters!D86</f>
        <v>83</v>
      </c>
      <c r="G239" s="170" t="str">
        <f>+Parameters!E86</f>
        <v>Comm. Eqt</v>
      </c>
      <c r="H239" s="586">
        <f t="shared" si="114"/>
        <v>0</v>
      </c>
      <c r="I239" s="170" t="str">
        <f>+Parameters!F86</f>
        <v>ea</v>
      </c>
      <c r="J239" s="170"/>
      <c r="K239" s="170"/>
      <c r="L239" s="170"/>
      <c r="M239" s="730"/>
      <c r="N239" s="730"/>
      <c r="O239" s="730"/>
      <c r="P239" s="731"/>
      <c r="Q239" s="731"/>
      <c r="R239" s="730"/>
      <c r="S239" s="730"/>
      <c r="T239" s="723"/>
      <c r="U239" s="724"/>
      <c r="V239" s="725"/>
      <c r="W239" s="725"/>
      <c r="X239" s="723"/>
      <c r="Y239" s="723"/>
      <c r="Z239" s="723"/>
      <c r="AA239" s="726"/>
      <c r="AB239" s="726"/>
      <c r="AC239" s="170"/>
      <c r="AD239" s="586">
        <f t="shared" si="115"/>
        <v>0</v>
      </c>
      <c r="AE239" s="586">
        <f t="shared" si="116"/>
        <v>0</v>
      </c>
      <c r="AF239" s="586">
        <f t="shared" si="116"/>
        <v>0</v>
      </c>
      <c r="AG239" s="586">
        <f t="shared" si="116"/>
        <v>0</v>
      </c>
      <c r="AH239" s="586">
        <f t="shared" si="116"/>
        <v>0</v>
      </c>
      <c r="AI239" s="586">
        <f t="shared" si="116"/>
        <v>0</v>
      </c>
      <c r="AJ239" s="586">
        <f t="shared" si="116"/>
        <v>0</v>
      </c>
      <c r="AK239" s="586">
        <f t="shared" si="116"/>
        <v>0</v>
      </c>
      <c r="AL239" s="586">
        <f t="shared" si="116"/>
        <v>0</v>
      </c>
      <c r="AM239" s="586">
        <f t="shared" si="116"/>
        <v>0</v>
      </c>
      <c r="AN239" s="586">
        <f t="shared" si="116"/>
        <v>0</v>
      </c>
      <c r="AO239" s="586">
        <f t="shared" si="116"/>
        <v>0</v>
      </c>
      <c r="AP239" s="586">
        <f t="shared" si="116"/>
        <v>0</v>
      </c>
      <c r="AQ239" s="586">
        <f t="shared" si="116"/>
        <v>0</v>
      </c>
      <c r="AR239" s="586">
        <f t="shared" si="116"/>
        <v>0</v>
      </c>
      <c r="AS239" s="586">
        <f t="shared" si="116"/>
        <v>0</v>
      </c>
      <c r="AT239" s="170"/>
    </row>
    <row r="240" spans="1:46" ht="15" x14ac:dyDescent="0.25">
      <c r="A240" s="170"/>
      <c r="B240" s="719"/>
      <c r="C240" s="170" t="str">
        <f t="shared" si="113"/>
        <v>84ea</v>
      </c>
      <c r="D240" s="170"/>
      <c r="E240" s="170"/>
      <c r="F240" s="170">
        <f>+Parameters!D87</f>
        <v>84</v>
      </c>
      <c r="G240" s="170" t="str">
        <f>+Parameters!E87</f>
        <v>SCADA</v>
      </c>
      <c r="H240" s="586">
        <f t="shared" si="114"/>
        <v>0</v>
      </c>
      <c r="I240" s="170" t="str">
        <f>+Parameters!F87</f>
        <v>ea</v>
      </c>
      <c r="J240" s="170"/>
      <c r="K240" s="170"/>
      <c r="L240" s="170"/>
      <c r="M240" s="730"/>
      <c r="N240" s="730"/>
      <c r="O240" s="730"/>
      <c r="P240" s="731"/>
      <c r="Q240" s="731"/>
      <c r="R240" s="730"/>
      <c r="S240" s="730"/>
      <c r="T240" s="723"/>
      <c r="U240" s="724"/>
      <c r="V240" s="725"/>
      <c r="W240" s="725"/>
      <c r="X240" s="723"/>
      <c r="Y240" s="723"/>
      <c r="Z240" s="723"/>
      <c r="AA240" s="726"/>
      <c r="AB240" s="726"/>
      <c r="AC240" s="170"/>
      <c r="AD240" s="586">
        <f t="shared" si="115"/>
        <v>0</v>
      </c>
      <c r="AE240" s="586">
        <f t="shared" si="116"/>
        <v>0</v>
      </c>
      <c r="AF240" s="586">
        <f t="shared" si="116"/>
        <v>0</v>
      </c>
      <c r="AG240" s="586">
        <f t="shared" si="116"/>
        <v>0</v>
      </c>
      <c r="AH240" s="586">
        <f t="shared" si="116"/>
        <v>0</v>
      </c>
      <c r="AI240" s="586">
        <f t="shared" si="116"/>
        <v>0</v>
      </c>
      <c r="AJ240" s="586">
        <f t="shared" si="116"/>
        <v>0</v>
      </c>
      <c r="AK240" s="586">
        <f t="shared" si="116"/>
        <v>0</v>
      </c>
      <c r="AL240" s="586">
        <f t="shared" si="116"/>
        <v>0</v>
      </c>
      <c r="AM240" s="586">
        <f t="shared" si="116"/>
        <v>0</v>
      </c>
      <c r="AN240" s="586">
        <f t="shared" si="116"/>
        <v>0</v>
      </c>
      <c r="AO240" s="586">
        <f t="shared" si="116"/>
        <v>0</v>
      </c>
      <c r="AP240" s="586">
        <f t="shared" si="116"/>
        <v>0</v>
      </c>
      <c r="AQ240" s="586">
        <f t="shared" si="116"/>
        <v>0</v>
      </c>
      <c r="AR240" s="586">
        <f t="shared" si="116"/>
        <v>0</v>
      </c>
      <c r="AS240" s="586">
        <f t="shared" si="116"/>
        <v>0</v>
      </c>
      <c r="AT240" s="170"/>
    </row>
    <row r="241" spans="1:46" ht="15" x14ac:dyDescent="0.25">
      <c r="A241" s="170"/>
      <c r="B241" s="719"/>
      <c r="C241" s="170" t="str">
        <f t="shared" si="113"/>
        <v>85ea</v>
      </c>
      <c r="D241" s="170"/>
      <c r="E241" s="170"/>
      <c r="F241" s="170">
        <f>+Parameters!D88</f>
        <v>85</v>
      </c>
      <c r="G241" s="170" t="str">
        <f>+Parameters!E88</f>
        <v>Batteries</v>
      </c>
      <c r="H241" s="586">
        <f t="shared" si="114"/>
        <v>0</v>
      </c>
      <c r="I241" s="170" t="str">
        <f>+Parameters!F88</f>
        <v>ea</v>
      </c>
      <c r="J241" s="170"/>
      <c r="K241" s="170"/>
      <c r="L241" s="170"/>
      <c r="M241" s="730"/>
      <c r="N241" s="730"/>
      <c r="O241" s="730"/>
      <c r="P241" s="731"/>
      <c r="Q241" s="731"/>
      <c r="R241" s="730"/>
      <c r="S241" s="730"/>
      <c r="T241" s="723"/>
      <c r="U241" s="724"/>
      <c r="V241" s="725"/>
      <c r="W241" s="725"/>
      <c r="X241" s="723"/>
      <c r="Y241" s="723"/>
      <c r="Z241" s="723"/>
      <c r="AA241" s="726"/>
      <c r="AB241" s="726"/>
      <c r="AC241" s="170"/>
      <c r="AD241" s="586">
        <f t="shared" si="115"/>
        <v>0</v>
      </c>
      <c r="AE241" s="586">
        <f t="shared" si="116"/>
        <v>0</v>
      </c>
      <c r="AF241" s="586">
        <f t="shared" si="116"/>
        <v>0</v>
      </c>
      <c r="AG241" s="586">
        <f t="shared" si="116"/>
        <v>0</v>
      </c>
      <c r="AH241" s="586">
        <f t="shared" si="116"/>
        <v>0</v>
      </c>
      <c r="AI241" s="586">
        <f t="shared" si="116"/>
        <v>0</v>
      </c>
      <c r="AJ241" s="586">
        <f t="shared" si="116"/>
        <v>0</v>
      </c>
      <c r="AK241" s="586">
        <f t="shared" si="116"/>
        <v>0</v>
      </c>
      <c r="AL241" s="586">
        <f t="shared" si="116"/>
        <v>0</v>
      </c>
      <c r="AM241" s="586">
        <f t="shared" si="116"/>
        <v>0</v>
      </c>
      <c r="AN241" s="586">
        <f t="shared" si="116"/>
        <v>0</v>
      </c>
      <c r="AO241" s="586">
        <f t="shared" si="116"/>
        <v>0</v>
      </c>
      <c r="AP241" s="586">
        <f t="shared" si="116"/>
        <v>0</v>
      </c>
      <c r="AQ241" s="586">
        <f t="shared" si="116"/>
        <v>0</v>
      </c>
      <c r="AR241" s="586">
        <f t="shared" si="116"/>
        <v>0</v>
      </c>
      <c r="AS241" s="586">
        <f t="shared" si="116"/>
        <v>0</v>
      </c>
      <c r="AT241" s="170"/>
    </row>
    <row r="242" spans="1:46" ht="15" x14ac:dyDescent="0.25">
      <c r="A242" s="170"/>
      <c r="B242" s="719"/>
      <c r="C242" s="170" t="str">
        <f t="shared" si="113"/>
        <v>860</v>
      </c>
      <c r="D242" s="170"/>
      <c r="E242" s="170"/>
      <c r="F242" s="170">
        <f>+Parameters!D89</f>
        <v>86</v>
      </c>
      <c r="G242" s="170">
        <f>+Parameters!E89</f>
        <v>0</v>
      </c>
      <c r="H242" s="586">
        <f t="shared" si="114"/>
        <v>0</v>
      </c>
      <c r="I242" s="170">
        <f>+Parameters!F89</f>
        <v>0</v>
      </c>
      <c r="J242" s="170"/>
      <c r="K242" s="170"/>
      <c r="L242" s="170"/>
      <c r="M242" s="730"/>
      <c r="N242" s="730"/>
      <c r="O242" s="730"/>
      <c r="P242" s="731"/>
      <c r="Q242" s="731"/>
      <c r="R242" s="730"/>
      <c r="S242" s="730"/>
      <c r="T242" s="723"/>
      <c r="U242" s="724"/>
      <c r="V242" s="725"/>
      <c r="W242" s="725"/>
      <c r="X242" s="723"/>
      <c r="Y242" s="723"/>
      <c r="Z242" s="723"/>
      <c r="AA242" s="726"/>
      <c r="AB242" s="726"/>
      <c r="AC242" s="170"/>
      <c r="AD242" s="586">
        <f t="shared" si="115"/>
        <v>0</v>
      </c>
      <c r="AE242" s="586">
        <f t="shared" si="116"/>
        <v>0</v>
      </c>
      <c r="AF242" s="586">
        <f t="shared" si="116"/>
        <v>0</v>
      </c>
      <c r="AG242" s="586">
        <f t="shared" si="116"/>
        <v>0</v>
      </c>
      <c r="AH242" s="586">
        <f t="shared" si="116"/>
        <v>0</v>
      </c>
      <c r="AI242" s="586">
        <f t="shared" si="116"/>
        <v>0</v>
      </c>
      <c r="AJ242" s="586">
        <f t="shared" si="116"/>
        <v>0</v>
      </c>
      <c r="AK242" s="586">
        <f t="shared" si="116"/>
        <v>0</v>
      </c>
      <c r="AL242" s="586">
        <f t="shared" si="116"/>
        <v>0</v>
      </c>
      <c r="AM242" s="586">
        <f t="shared" si="116"/>
        <v>0</v>
      </c>
      <c r="AN242" s="586">
        <f t="shared" si="116"/>
        <v>0</v>
      </c>
      <c r="AO242" s="586">
        <f t="shared" si="116"/>
        <v>0</v>
      </c>
      <c r="AP242" s="586">
        <f t="shared" si="116"/>
        <v>0</v>
      </c>
      <c r="AQ242" s="586">
        <f t="shared" si="116"/>
        <v>0</v>
      </c>
      <c r="AR242" s="586">
        <f t="shared" si="116"/>
        <v>0</v>
      </c>
      <c r="AS242" s="586">
        <f t="shared" si="116"/>
        <v>0</v>
      </c>
      <c r="AT242" s="170"/>
    </row>
    <row r="243" spans="1:46" ht="15" x14ac:dyDescent="0.25">
      <c r="A243" s="170"/>
      <c r="B243" s="719"/>
      <c r="C243" s="170" t="str">
        <f t="shared" si="113"/>
        <v>870</v>
      </c>
      <c r="D243" s="170"/>
      <c r="E243" s="170"/>
      <c r="F243" s="170">
        <f>+Parameters!D90</f>
        <v>87</v>
      </c>
      <c r="G243" s="170">
        <f>+Parameters!E90</f>
        <v>0</v>
      </c>
      <c r="H243" s="586">
        <f t="shared" si="114"/>
        <v>0</v>
      </c>
      <c r="I243" s="170">
        <f>+Parameters!F90</f>
        <v>0</v>
      </c>
      <c r="J243" s="170"/>
      <c r="K243" s="170"/>
      <c r="L243" s="170"/>
      <c r="M243" s="730"/>
      <c r="N243" s="730"/>
      <c r="O243" s="730"/>
      <c r="P243" s="731"/>
      <c r="Q243" s="731"/>
      <c r="R243" s="730"/>
      <c r="S243" s="730"/>
      <c r="T243" s="723"/>
      <c r="U243" s="724"/>
      <c r="V243" s="725"/>
      <c r="W243" s="725"/>
      <c r="X243" s="723"/>
      <c r="Y243" s="723"/>
      <c r="Z243" s="723"/>
      <c r="AA243" s="726"/>
      <c r="AB243" s="726"/>
      <c r="AC243" s="170"/>
      <c r="AD243" s="586">
        <f t="shared" si="115"/>
        <v>0</v>
      </c>
      <c r="AE243" s="586">
        <f t="shared" si="116"/>
        <v>0</v>
      </c>
      <c r="AF243" s="586">
        <f t="shared" si="116"/>
        <v>0</v>
      </c>
      <c r="AG243" s="586">
        <f t="shared" si="116"/>
        <v>0</v>
      </c>
      <c r="AH243" s="586">
        <f t="shared" si="116"/>
        <v>0</v>
      </c>
      <c r="AI243" s="586">
        <f t="shared" si="116"/>
        <v>0</v>
      </c>
      <c r="AJ243" s="586">
        <f t="shared" si="116"/>
        <v>0</v>
      </c>
      <c r="AK243" s="586">
        <f t="shared" si="116"/>
        <v>0</v>
      </c>
      <c r="AL243" s="586">
        <f t="shared" si="116"/>
        <v>0</v>
      </c>
      <c r="AM243" s="586">
        <f t="shared" si="116"/>
        <v>0</v>
      </c>
      <c r="AN243" s="586">
        <f t="shared" si="116"/>
        <v>0</v>
      </c>
      <c r="AO243" s="586">
        <f t="shared" si="116"/>
        <v>0</v>
      </c>
      <c r="AP243" s="586">
        <f t="shared" si="116"/>
        <v>0</v>
      </c>
      <c r="AQ243" s="586">
        <f t="shared" si="116"/>
        <v>0</v>
      </c>
      <c r="AR243" s="586">
        <f t="shared" si="116"/>
        <v>0</v>
      </c>
      <c r="AS243" s="586">
        <f t="shared" si="116"/>
        <v>0</v>
      </c>
      <c r="AT243" s="170"/>
    </row>
    <row r="244" spans="1:46" ht="15" x14ac:dyDescent="0.25">
      <c r="A244" s="170"/>
      <c r="B244" s="719"/>
      <c r="C244" s="170" t="str">
        <f t="shared" si="113"/>
        <v>880</v>
      </c>
      <c r="D244" s="170"/>
      <c r="E244" s="170"/>
      <c r="F244" s="170">
        <f>+Parameters!D91</f>
        <v>88</v>
      </c>
      <c r="G244" s="170">
        <f>+Parameters!E91</f>
        <v>0</v>
      </c>
      <c r="H244" s="586">
        <f t="shared" si="114"/>
        <v>0</v>
      </c>
      <c r="I244" s="170">
        <f>+Parameters!F91</f>
        <v>0</v>
      </c>
      <c r="J244" s="170"/>
      <c r="K244" s="170"/>
      <c r="L244" s="170"/>
      <c r="M244" s="730"/>
      <c r="N244" s="730"/>
      <c r="O244" s="730"/>
      <c r="P244" s="731"/>
      <c r="Q244" s="731"/>
      <c r="R244" s="730"/>
      <c r="S244" s="730"/>
      <c r="T244" s="723"/>
      <c r="U244" s="724"/>
      <c r="V244" s="725"/>
      <c r="W244" s="725"/>
      <c r="X244" s="723"/>
      <c r="Y244" s="723"/>
      <c r="Z244" s="723"/>
      <c r="AA244" s="726"/>
      <c r="AB244" s="726"/>
      <c r="AC244" s="170"/>
      <c r="AD244" s="586">
        <f t="shared" si="115"/>
        <v>0</v>
      </c>
      <c r="AE244" s="586">
        <f t="shared" si="116"/>
        <v>0</v>
      </c>
      <c r="AF244" s="586">
        <f t="shared" si="116"/>
        <v>0</v>
      </c>
      <c r="AG244" s="586">
        <f t="shared" si="116"/>
        <v>0</v>
      </c>
      <c r="AH244" s="586">
        <f t="shared" si="116"/>
        <v>0</v>
      </c>
      <c r="AI244" s="586">
        <f t="shared" si="116"/>
        <v>0</v>
      </c>
      <c r="AJ244" s="586">
        <f t="shared" si="116"/>
        <v>0</v>
      </c>
      <c r="AK244" s="586">
        <f t="shared" si="116"/>
        <v>0</v>
      </c>
      <c r="AL244" s="586">
        <f t="shared" si="116"/>
        <v>0</v>
      </c>
      <c r="AM244" s="586">
        <f t="shared" si="116"/>
        <v>0</v>
      </c>
      <c r="AN244" s="586">
        <f t="shared" si="116"/>
        <v>0</v>
      </c>
      <c r="AO244" s="586">
        <f t="shared" si="116"/>
        <v>0</v>
      </c>
      <c r="AP244" s="586">
        <f t="shared" si="116"/>
        <v>0</v>
      </c>
      <c r="AQ244" s="586">
        <f t="shared" si="116"/>
        <v>0</v>
      </c>
      <c r="AR244" s="586">
        <f t="shared" si="116"/>
        <v>0</v>
      </c>
      <c r="AS244" s="586">
        <f t="shared" si="116"/>
        <v>0</v>
      </c>
      <c r="AT244" s="170"/>
    </row>
    <row r="245" spans="1:46" ht="15" x14ac:dyDescent="0.25">
      <c r="A245" s="170"/>
      <c r="B245" s="719"/>
      <c r="C245" s="170" t="str">
        <f t="shared" si="113"/>
        <v>89ea</v>
      </c>
      <c r="D245" s="170"/>
      <c r="E245" s="170"/>
      <c r="F245" s="170">
        <f>+Parameters!D92</f>
        <v>89</v>
      </c>
      <c r="G245" s="170" t="str">
        <f>+Parameters!E92</f>
        <v>Misc. Protection and controls Eqt.</v>
      </c>
      <c r="H245" s="586">
        <f t="shared" si="114"/>
        <v>0</v>
      </c>
      <c r="I245" s="170" t="str">
        <f>+Parameters!F92</f>
        <v>ea</v>
      </c>
      <c r="J245" s="170"/>
      <c r="K245" s="170"/>
      <c r="L245" s="170"/>
      <c r="M245" s="730"/>
      <c r="N245" s="730"/>
      <c r="O245" s="730"/>
      <c r="P245" s="731"/>
      <c r="Q245" s="731"/>
      <c r="R245" s="730"/>
      <c r="S245" s="730"/>
      <c r="T245" s="723"/>
      <c r="U245" s="724"/>
      <c r="V245" s="725"/>
      <c r="W245" s="725"/>
      <c r="X245" s="723"/>
      <c r="Y245" s="723"/>
      <c r="Z245" s="723"/>
      <c r="AA245" s="726"/>
      <c r="AB245" s="726"/>
      <c r="AC245" s="170"/>
      <c r="AD245" s="586">
        <f t="shared" si="115"/>
        <v>0</v>
      </c>
      <c r="AE245" s="586">
        <f t="shared" si="116"/>
        <v>0</v>
      </c>
      <c r="AF245" s="586">
        <f t="shared" si="116"/>
        <v>0</v>
      </c>
      <c r="AG245" s="586">
        <f t="shared" si="116"/>
        <v>0</v>
      </c>
      <c r="AH245" s="586">
        <f t="shared" si="116"/>
        <v>0</v>
      </c>
      <c r="AI245" s="586">
        <f t="shared" si="116"/>
        <v>0</v>
      </c>
      <c r="AJ245" s="586">
        <f t="shared" si="116"/>
        <v>0</v>
      </c>
      <c r="AK245" s="586">
        <f t="shared" si="116"/>
        <v>0</v>
      </c>
      <c r="AL245" s="586">
        <f t="shared" si="116"/>
        <v>0</v>
      </c>
      <c r="AM245" s="586">
        <f t="shared" si="116"/>
        <v>0</v>
      </c>
      <c r="AN245" s="586">
        <f t="shared" si="116"/>
        <v>0</v>
      </c>
      <c r="AO245" s="586">
        <f t="shared" si="116"/>
        <v>0</v>
      </c>
      <c r="AP245" s="586">
        <f t="shared" si="116"/>
        <v>0</v>
      </c>
      <c r="AQ245" s="586">
        <f t="shared" si="116"/>
        <v>0</v>
      </c>
      <c r="AR245" s="586">
        <f t="shared" si="116"/>
        <v>0</v>
      </c>
      <c r="AS245" s="586">
        <f t="shared" si="116"/>
        <v>0</v>
      </c>
      <c r="AT245" s="170"/>
    </row>
    <row r="246" spans="1:46" ht="15" x14ac:dyDescent="0.25">
      <c r="A246" s="170"/>
      <c r="B246" s="719"/>
      <c r="C246" s="170" t="str">
        <f t="shared" si="113"/>
        <v>900</v>
      </c>
      <c r="D246" s="170"/>
      <c r="E246" s="170"/>
      <c r="F246" s="170">
        <f>+Parameters!D93</f>
        <v>90</v>
      </c>
      <c r="G246" s="170" t="str">
        <f>+Parameters!E93</f>
        <v>Environmental</v>
      </c>
      <c r="H246" s="586">
        <f t="shared" si="114"/>
        <v>0</v>
      </c>
      <c r="I246" s="170">
        <f>+Parameters!F93</f>
        <v>0</v>
      </c>
      <c r="J246" s="170"/>
      <c r="K246" s="170"/>
      <c r="L246" s="170"/>
      <c r="M246" s="730"/>
      <c r="N246" s="730"/>
      <c r="O246" s="730"/>
      <c r="P246" s="731"/>
      <c r="Q246" s="731"/>
      <c r="R246" s="730"/>
      <c r="S246" s="730"/>
      <c r="T246" s="723"/>
      <c r="U246" s="724"/>
      <c r="V246" s="725"/>
      <c r="W246" s="725"/>
      <c r="X246" s="723"/>
      <c r="Y246" s="723"/>
      <c r="Z246" s="723"/>
      <c r="AA246" s="726"/>
      <c r="AB246" s="726"/>
      <c r="AC246" s="170"/>
      <c r="AD246" s="586">
        <f t="shared" si="115"/>
        <v>0</v>
      </c>
      <c r="AE246" s="586">
        <f t="shared" si="116"/>
        <v>0</v>
      </c>
      <c r="AF246" s="586">
        <f t="shared" si="116"/>
        <v>0</v>
      </c>
      <c r="AG246" s="586">
        <f t="shared" si="116"/>
        <v>0</v>
      </c>
      <c r="AH246" s="586">
        <f t="shared" si="116"/>
        <v>0</v>
      </c>
      <c r="AI246" s="586">
        <f t="shared" si="116"/>
        <v>0</v>
      </c>
      <c r="AJ246" s="586">
        <f t="shared" si="116"/>
        <v>0</v>
      </c>
      <c r="AK246" s="586">
        <f t="shared" si="116"/>
        <v>0</v>
      </c>
      <c r="AL246" s="586">
        <f t="shared" si="116"/>
        <v>0</v>
      </c>
      <c r="AM246" s="586">
        <f t="shared" si="116"/>
        <v>0</v>
      </c>
      <c r="AN246" s="586">
        <f t="shared" si="116"/>
        <v>0</v>
      </c>
      <c r="AO246" s="586">
        <f t="shared" si="116"/>
        <v>0</v>
      </c>
      <c r="AP246" s="586">
        <f t="shared" si="116"/>
        <v>0</v>
      </c>
      <c r="AQ246" s="586">
        <f t="shared" si="116"/>
        <v>0</v>
      </c>
      <c r="AR246" s="586">
        <f t="shared" si="116"/>
        <v>0</v>
      </c>
      <c r="AS246" s="586">
        <f t="shared" si="116"/>
        <v>0</v>
      </c>
      <c r="AT246" s="170"/>
    </row>
    <row r="247" spans="1:46" ht="15" x14ac:dyDescent="0.25">
      <c r="A247" s="170"/>
      <c r="B247" s="719"/>
      <c r="C247" s="170" t="str">
        <f t="shared" si="113"/>
        <v>910</v>
      </c>
      <c r="D247" s="170"/>
      <c r="E247" s="170"/>
      <c r="F247" s="170">
        <f>+Parameters!D94</f>
        <v>91</v>
      </c>
      <c r="G247" s="170">
        <f>+Parameters!E94</f>
        <v>0</v>
      </c>
      <c r="H247" s="586">
        <f t="shared" si="114"/>
        <v>0</v>
      </c>
      <c r="I247" s="170">
        <f>+Parameters!F94</f>
        <v>0</v>
      </c>
      <c r="J247" s="170"/>
      <c r="K247" s="170"/>
      <c r="L247" s="170"/>
      <c r="M247" s="730"/>
      <c r="N247" s="730"/>
      <c r="O247" s="730"/>
      <c r="P247" s="731"/>
      <c r="Q247" s="731"/>
      <c r="R247" s="730"/>
      <c r="S247" s="730"/>
      <c r="T247" s="723"/>
      <c r="U247" s="724"/>
      <c r="V247" s="725"/>
      <c r="W247" s="725"/>
      <c r="X247" s="723"/>
      <c r="Y247" s="723"/>
      <c r="Z247" s="723"/>
      <c r="AA247" s="726"/>
      <c r="AB247" s="726"/>
      <c r="AC247" s="170"/>
      <c r="AD247" s="586">
        <f t="shared" si="115"/>
        <v>0</v>
      </c>
      <c r="AE247" s="586">
        <f t="shared" si="116"/>
        <v>0</v>
      </c>
      <c r="AF247" s="586">
        <f t="shared" si="116"/>
        <v>0</v>
      </c>
      <c r="AG247" s="586">
        <f t="shared" si="116"/>
        <v>0</v>
      </c>
      <c r="AH247" s="586">
        <f t="shared" si="116"/>
        <v>0</v>
      </c>
      <c r="AI247" s="586">
        <f t="shared" si="116"/>
        <v>0</v>
      </c>
      <c r="AJ247" s="586">
        <f t="shared" si="116"/>
        <v>0</v>
      </c>
      <c r="AK247" s="586">
        <f t="shared" si="116"/>
        <v>0</v>
      </c>
      <c r="AL247" s="586">
        <f t="shared" si="116"/>
        <v>0</v>
      </c>
      <c r="AM247" s="586">
        <f t="shared" si="116"/>
        <v>0</v>
      </c>
      <c r="AN247" s="586">
        <f t="shared" si="116"/>
        <v>0</v>
      </c>
      <c r="AO247" s="586">
        <f t="shared" si="116"/>
        <v>0</v>
      </c>
      <c r="AP247" s="586">
        <f t="shared" si="116"/>
        <v>0</v>
      </c>
      <c r="AQ247" s="586">
        <f t="shared" si="116"/>
        <v>0</v>
      </c>
      <c r="AR247" s="586">
        <f t="shared" si="116"/>
        <v>0</v>
      </c>
      <c r="AS247" s="586">
        <f t="shared" si="116"/>
        <v>0</v>
      </c>
      <c r="AT247" s="170"/>
    </row>
    <row r="248" spans="1:46" ht="15" x14ac:dyDescent="0.25">
      <c r="A248" s="170"/>
      <c r="B248" s="719"/>
      <c r="C248" s="170" t="str">
        <f t="shared" si="113"/>
        <v>920</v>
      </c>
      <c r="D248" s="170"/>
      <c r="E248" s="170"/>
      <c r="F248" s="170">
        <f>+Parameters!D95</f>
        <v>92</v>
      </c>
      <c r="G248" s="170">
        <f>+Parameters!E95</f>
        <v>0</v>
      </c>
      <c r="H248" s="586">
        <f t="shared" si="114"/>
        <v>0</v>
      </c>
      <c r="I248" s="170">
        <f>+Parameters!F95</f>
        <v>0</v>
      </c>
      <c r="J248" s="170"/>
      <c r="K248" s="170"/>
      <c r="L248" s="170"/>
      <c r="M248" s="730"/>
      <c r="N248" s="730"/>
      <c r="O248" s="730"/>
      <c r="P248" s="731"/>
      <c r="Q248" s="731"/>
      <c r="R248" s="730"/>
      <c r="S248" s="730"/>
      <c r="T248" s="723"/>
      <c r="U248" s="724"/>
      <c r="V248" s="725"/>
      <c r="W248" s="725"/>
      <c r="X248" s="723"/>
      <c r="Y248" s="723"/>
      <c r="Z248" s="723"/>
      <c r="AA248" s="726"/>
      <c r="AB248" s="726"/>
      <c r="AC248" s="170"/>
      <c r="AD248" s="586">
        <f t="shared" si="115"/>
        <v>0</v>
      </c>
      <c r="AE248" s="586">
        <f t="shared" si="116"/>
        <v>0</v>
      </c>
      <c r="AF248" s="586">
        <f t="shared" si="116"/>
        <v>0</v>
      </c>
      <c r="AG248" s="586">
        <f t="shared" si="116"/>
        <v>0</v>
      </c>
      <c r="AH248" s="586">
        <f t="shared" si="116"/>
        <v>0</v>
      </c>
      <c r="AI248" s="586">
        <f t="shared" si="116"/>
        <v>0</v>
      </c>
      <c r="AJ248" s="586">
        <f t="shared" si="116"/>
        <v>0</v>
      </c>
      <c r="AK248" s="586">
        <f t="shared" si="116"/>
        <v>0</v>
      </c>
      <c r="AL248" s="586">
        <f t="shared" si="116"/>
        <v>0</v>
      </c>
      <c r="AM248" s="586">
        <f t="shared" si="116"/>
        <v>0</v>
      </c>
      <c r="AN248" s="586">
        <f t="shared" si="116"/>
        <v>0</v>
      </c>
      <c r="AO248" s="586">
        <f t="shared" si="116"/>
        <v>0</v>
      </c>
      <c r="AP248" s="586">
        <f t="shared" si="116"/>
        <v>0</v>
      </c>
      <c r="AQ248" s="586">
        <f t="shared" si="116"/>
        <v>0</v>
      </c>
      <c r="AR248" s="586">
        <f t="shared" si="116"/>
        <v>0</v>
      </c>
      <c r="AS248" s="586">
        <f t="shared" si="116"/>
        <v>0</v>
      </c>
      <c r="AT248" s="170"/>
    </row>
    <row r="249" spans="1:46" ht="15" x14ac:dyDescent="0.25">
      <c r="A249" s="170"/>
      <c r="B249" s="719"/>
      <c r="C249" s="170" t="str">
        <f t="shared" si="113"/>
        <v>930</v>
      </c>
      <c r="D249" s="170"/>
      <c r="E249" s="170"/>
      <c r="F249" s="170">
        <f>+Parameters!D96</f>
        <v>93</v>
      </c>
      <c r="G249" s="170">
        <f>+Parameters!E96</f>
        <v>0</v>
      </c>
      <c r="H249" s="586">
        <f t="shared" si="114"/>
        <v>0</v>
      </c>
      <c r="I249" s="170">
        <f>+Parameters!F96</f>
        <v>0</v>
      </c>
      <c r="J249" s="170"/>
      <c r="K249" s="170"/>
      <c r="L249" s="170"/>
      <c r="M249" s="730"/>
      <c r="N249" s="730"/>
      <c r="O249" s="730"/>
      <c r="P249" s="731"/>
      <c r="Q249" s="731"/>
      <c r="R249" s="730"/>
      <c r="S249" s="730"/>
      <c r="T249" s="723"/>
      <c r="U249" s="724"/>
      <c r="V249" s="725"/>
      <c r="W249" s="725"/>
      <c r="X249" s="723"/>
      <c r="Y249" s="723"/>
      <c r="Z249" s="723"/>
      <c r="AA249" s="726"/>
      <c r="AB249" s="726"/>
      <c r="AC249" s="170"/>
      <c r="AD249" s="586">
        <f t="shared" si="115"/>
        <v>0</v>
      </c>
      <c r="AE249" s="586">
        <f t="shared" si="116"/>
        <v>0</v>
      </c>
      <c r="AF249" s="586">
        <f t="shared" si="116"/>
        <v>0</v>
      </c>
      <c r="AG249" s="586">
        <f t="shared" si="116"/>
        <v>0</v>
      </c>
      <c r="AH249" s="586">
        <f t="shared" si="116"/>
        <v>0</v>
      </c>
      <c r="AI249" s="586">
        <f t="shared" si="116"/>
        <v>0</v>
      </c>
      <c r="AJ249" s="586">
        <f t="shared" si="116"/>
        <v>0</v>
      </c>
      <c r="AK249" s="586">
        <f t="shared" si="116"/>
        <v>0</v>
      </c>
      <c r="AL249" s="586">
        <f t="shared" si="116"/>
        <v>0</v>
      </c>
      <c r="AM249" s="586">
        <f t="shared" si="116"/>
        <v>0</v>
      </c>
      <c r="AN249" s="586">
        <f t="shared" si="116"/>
        <v>0</v>
      </c>
      <c r="AO249" s="586">
        <f t="shared" si="116"/>
        <v>0</v>
      </c>
      <c r="AP249" s="586">
        <f t="shared" si="116"/>
        <v>0</v>
      </c>
      <c r="AQ249" s="586">
        <f t="shared" si="116"/>
        <v>0</v>
      </c>
      <c r="AR249" s="586">
        <f t="shared" si="116"/>
        <v>0</v>
      </c>
      <c r="AS249" s="586">
        <f t="shared" si="116"/>
        <v>0</v>
      </c>
      <c r="AT249" s="170"/>
    </row>
    <row r="250" spans="1:46" ht="15" x14ac:dyDescent="0.25">
      <c r="A250" s="170"/>
      <c r="B250" s="719"/>
      <c r="C250" s="170" t="str">
        <f t="shared" si="113"/>
        <v>940</v>
      </c>
      <c r="D250" s="170"/>
      <c r="E250" s="170"/>
      <c r="F250" s="170">
        <f>+Parameters!D97</f>
        <v>94</v>
      </c>
      <c r="G250" s="170">
        <f>+Parameters!E97</f>
        <v>0</v>
      </c>
      <c r="H250" s="586">
        <f t="shared" si="114"/>
        <v>0</v>
      </c>
      <c r="I250" s="170">
        <f>+Parameters!F97</f>
        <v>0</v>
      </c>
      <c r="J250" s="170"/>
      <c r="K250" s="170"/>
      <c r="L250" s="170"/>
      <c r="M250" s="730"/>
      <c r="N250" s="730"/>
      <c r="O250" s="730"/>
      <c r="P250" s="731"/>
      <c r="Q250" s="731"/>
      <c r="R250" s="730"/>
      <c r="S250" s="730"/>
      <c r="T250" s="723"/>
      <c r="U250" s="724"/>
      <c r="V250" s="725"/>
      <c r="W250" s="725"/>
      <c r="X250" s="723"/>
      <c r="Y250" s="723"/>
      <c r="Z250" s="723"/>
      <c r="AA250" s="726"/>
      <c r="AB250" s="726"/>
      <c r="AC250" s="170"/>
      <c r="AD250" s="586">
        <f t="shared" si="115"/>
        <v>0</v>
      </c>
      <c r="AE250" s="586">
        <f t="shared" si="116"/>
        <v>0</v>
      </c>
      <c r="AF250" s="586">
        <f t="shared" si="116"/>
        <v>0</v>
      </c>
      <c r="AG250" s="586">
        <f t="shared" si="116"/>
        <v>0</v>
      </c>
      <c r="AH250" s="586">
        <f t="shared" si="116"/>
        <v>0</v>
      </c>
      <c r="AI250" s="586">
        <f t="shared" si="116"/>
        <v>0</v>
      </c>
      <c r="AJ250" s="586">
        <f t="shared" si="116"/>
        <v>0</v>
      </c>
      <c r="AK250" s="586">
        <f t="shared" si="116"/>
        <v>0</v>
      </c>
      <c r="AL250" s="586">
        <f t="shared" si="116"/>
        <v>0</v>
      </c>
      <c r="AM250" s="586">
        <f t="shared" si="116"/>
        <v>0</v>
      </c>
      <c r="AN250" s="586">
        <f t="shared" si="116"/>
        <v>0</v>
      </c>
      <c r="AO250" s="586">
        <f t="shared" si="116"/>
        <v>0</v>
      </c>
      <c r="AP250" s="586">
        <f t="shared" si="116"/>
        <v>0</v>
      </c>
      <c r="AQ250" s="586">
        <f t="shared" si="116"/>
        <v>0</v>
      </c>
      <c r="AR250" s="586">
        <f t="shared" si="116"/>
        <v>0</v>
      </c>
      <c r="AS250" s="586">
        <f t="shared" si="116"/>
        <v>0</v>
      </c>
      <c r="AT250" s="170"/>
    </row>
    <row r="251" spans="1:46" ht="15" x14ac:dyDescent="0.25">
      <c r="A251" s="170"/>
      <c r="B251" s="719"/>
      <c r="C251" s="170" t="str">
        <f t="shared" si="113"/>
        <v>950</v>
      </c>
      <c r="D251" s="170"/>
      <c r="E251" s="170"/>
      <c r="F251" s="170">
        <f>+Parameters!D98</f>
        <v>95</v>
      </c>
      <c r="G251" s="170">
        <f>+Parameters!E98</f>
        <v>0</v>
      </c>
      <c r="H251" s="586">
        <f t="shared" si="114"/>
        <v>0</v>
      </c>
      <c r="I251" s="170">
        <f>+Parameters!F98</f>
        <v>0</v>
      </c>
      <c r="J251" s="170"/>
      <c r="K251" s="170"/>
      <c r="L251" s="170"/>
      <c r="M251" s="730"/>
      <c r="N251" s="730"/>
      <c r="O251" s="730"/>
      <c r="P251" s="731"/>
      <c r="Q251" s="731"/>
      <c r="R251" s="730"/>
      <c r="S251" s="730"/>
      <c r="T251" s="723"/>
      <c r="U251" s="724"/>
      <c r="V251" s="725"/>
      <c r="W251" s="725"/>
      <c r="X251" s="723"/>
      <c r="Y251" s="723"/>
      <c r="Z251" s="723"/>
      <c r="AA251" s="726"/>
      <c r="AB251" s="726"/>
      <c r="AC251" s="170"/>
      <c r="AD251" s="586">
        <f t="shared" si="115"/>
        <v>0</v>
      </c>
      <c r="AE251" s="586">
        <f t="shared" si="116"/>
        <v>0</v>
      </c>
      <c r="AF251" s="586">
        <f t="shared" si="116"/>
        <v>0</v>
      </c>
      <c r="AG251" s="586">
        <f t="shared" si="116"/>
        <v>0</v>
      </c>
      <c r="AH251" s="586">
        <f t="shared" si="116"/>
        <v>0</v>
      </c>
      <c r="AI251" s="586">
        <f t="shared" si="116"/>
        <v>0</v>
      </c>
      <c r="AJ251" s="586">
        <f t="shared" si="116"/>
        <v>0</v>
      </c>
      <c r="AK251" s="586">
        <f t="shared" si="116"/>
        <v>0</v>
      </c>
      <c r="AL251" s="586">
        <f t="shared" si="116"/>
        <v>0</v>
      </c>
      <c r="AM251" s="586">
        <f t="shared" si="116"/>
        <v>0</v>
      </c>
      <c r="AN251" s="586">
        <f t="shared" si="116"/>
        <v>0</v>
      </c>
      <c r="AO251" s="586">
        <f t="shared" si="116"/>
        <v>0</v>
      </c>
      <c r="AP251" s="586">
        <f t="shared" si="116"/>
        <v>0</v>
      </c>
      <c r="AQ251" s="586">
        <f t="shared" si="116"/>
        <v>0</v>
      </c>
      <c r="AR251" s="586">
        <f t="shared" si="116"/>
        <v>0</v>
      </c>
      <c r="AS251" s="586">
        <f t="shared" si="116"/>
        <v>0</v>
      </c>
      <c r="AT251" s="170"/>
    </row>
    <row r="252" spans="1:46" ht="15" x14ac:dyDescent="0.25">
      <c r="A252" s="170"/>
      <c r="B252" s="719"/>
      <c r="C252" s="170" t="str">
        <f t="shared" si="113"/>
        <v>960</v>
      </c>
      <c r="D252" s="170"/>
      <c r="E252" s="170"/>
      <c r="F252" s="170">
        <f>+Parameters!D99</f>
        <v>96</v>
      </c>
      <c r="G252" s="170">
        <f>+Parameters!E99</f>
        <v>0</v>
      </c>
      <c r="H252" s="586">
        <f t="shared" si="114"/>
        <v>0</v>
      </c>
      <c r="I252" s="170">
        <f>+Parameters!F99</f>
        <v>0</v>
      </c>
      <c r="J252" s="170"/>
      <c r="K252" s="170"/>
      <c r="L252" s="170"/>
      <c r="M252" s="730"/>
      <c r="N252" s="730"/>
      <c r="O252" s="730"/>
      <c r="P252" s="731"/>
      <c r="Q252" s="731"/>
      <c r="R252" s="730"/>
      <c r="S252" s="730"/>
      <c r="T252" s="723"/>
      <c r="U252" s="724"/>
      <c r="V252" s="725"/>
      <c r="W252" s="725"/>
      <c r="X252" s="723"/>
      <c r="Y252" s="723"/>
      <c r="Z252" s="723"/>
      <c r="AA252" s="726"/>
      <c r="AB252" s="726"/>
      <c r="AC252" s="170"/>
      <c r="AD252" s="586">
        <f t="shared" si="115"/>
        <v>0</v>
      </c>
      <c r="AE252" s="586">
        <f t="shared" si="116"/>
        <v>0</v>
      </c>
      <c r="AF252" s="586">
        <f t="shared" si="116"/>
        <v>0</v>
      </c>
      <c r="AG252" s="586">
        <f t="shared" si="116"/>
        <v>0</v>
      </c>
      <c r="AH252" s="586">
        <f t="shared" si="116"/>
        <v>0</v>
      </c>
      <c r="AI252" s="586">
        <f t="shared" si="116"/>
        <v>0</v>
      </c>
      <c r="AJ252" s="586">
        <f t="shared" si="116"/>
        <v>0</v>
      </c>
      <c r="AK252" s="586">
        <f t="shared" si="116"/>
        <v>0</v>
      </c>
      <c r="AL252" s="586">
        <f t="shared" si="116"/>
        <v>0</v>
      </c>
      <c r="AM252" s="586">
        <f t="shared" si="116"/>
        <v>0</v>
      </c>
      <c r="AN252" s="586">
        <f t="shared" si="116"/>
        <v>0</v>
      </c>
      <c r="AO252" s="586">
        <f t="shared" si="116"/>
        <v>0</v>
      </c>
      <c r="AP252" s="586">
        <f t="shared" si="116"/>
        <v>0</v>
      </c>
      <c r="AQ252" s="586">
        <f t="shared" si="116"/>
        <v>0</v>
      </c>
      <c r="AR252" s="586">
        <f t="shared" si="116"/>
        <v>0</v>
      </c>
      <c r="AS252" s="586">
        <f t="shared" si="116"/>
        <v>0</v>
      </c>
      <c r="AT252" s="170"/>
    </row>
    <row r="253" spans="1:46" ht="15" x14ac:dyDescent="0.25">
      <c r="A253" s="170"/>
      <c r="B253" s="719"/>
      <c r="C253" s="170" t="str">
        <f t="shared" si="113"/>
        <v>970</v>
      </c>
      <c r="D253" s="170"/>
      <c r="E253" s="170"/>
      <c r="F253" s="170">
        <f>+Parameters!D100</f>
        <v>97</v>
      </c>
      <c r="G253" s="170">
        <f>+Parameters!E100</f>
        <v>0</v>
      </c>
      <c r="H253" s="586">
        <f t="shared" si="114"/>
        <v>0</v>
      </c>
      <c r="I253" s="170">
        <f>+Parameters!F100</f>
        <v>0</v>
      </c>
      <c r="J253" s="170"/>
      <c r="K253" s="170"/>
      <c r="L253" s="170"/>
      <c r="M253" s="730"/>
      <c r="N253" s="730"/>
      <c r="O253" s="730"/>
      <c r="P253" s="731"/>
      <c r="Q253" s="731"/>
      <c r="R253" s="730"/>
      <c r="S253" s="730"/>
      <c r="T253" s="723"/>
      <c r="U253" s="724"/>
      <c r="V253" s="725"/>
      <c r="W253" s="725"/>
      <c r="X253" s="723"/>
      <c r="Y253" s="723"/>
      <c r="Z253" s="723"/>
      <c r="AA253" s="726"/>
      <c r="AB253" s="726"/>
      <c r="AC253" s="170"/>
      <c r="AD253" s="586">
        <f t="shared" si="115"/>
        <v>0</v>
      </c>
      <c r="AE253" s="586">
        <f t="shared" si="116"/>
        <v>0</v>
      </c>
      <c r="AF253" s="586">
        <f t="shared" si="116"/>
        <v>0</v>
      </c>
      <c r="AG253" s="586">
        <f t="shared" si="116"/>
        <v>0</v>
      </c>
      <c r="AH253" s="586">
        <f t="shared" si="116"/>
        <v>0</v>
      </c>
      <c r="AI253" s="586">
        <f t="shared" si="116"/>
        <v>0</v>
      </c>
      <c r="AJ253" s="586">
        <f t="shared" si="116"/>
        <v>0</v>
      </c>
      <c r="AK253" s="586">
        <f t="shared" si="116"/>
        <v>0</v>
      </c>
      <c r="AL253" s="586">
        <f t="shared" si="116"/>
        <v>0</v>
      </c>
      <c r="AM253" s="586">
        <f t="shared" si="116"/>
        <v>0</v>
      </c>
      <c r="AN253" s="586">
        <f t="shared" si="116"/>
        <v>0</v>
      </c>
      <c r="AO253" s="586">
        <f t="shared" si="116"/>
        <v>0</v>
      </c>
      <c r="AP253" s="586">
        <f t="shared" si="116"/>
        <v>0</v>
      </c>
      <c r="AQ253" s="586">
        <f t="shared" si="116"/>
        <v>0</v>
      </c>
      <c r="AR253" s="586">
        <f t="shared" si="116"/>
        <v>0</v>
      </c>
      <c r="AS253" s="586">
        <f t="shared" si="116"/>
        <v>0</v>
      </c>
      <c r="AT253" s="170"/>
    </row>
    <row r="254" spans="1:46" ht="15" x14ac:dyDescent="0.25">
      <c r="A254" s="170"/>
      <c r="B254" s="719"/>
      <c r="C254" s="170" t="str">
        <f t="shared" si="113"/>
        <v>980</v>
      </c>
      <c r="D254" s="170"/>
      <c r="E254" s="170"/>
      <c r="F254" s="170">
        <f>+Parameters!D101</f>
        <v>98</v>
      </c>
      <c r="G254" s="170">
        <f>+Parameters!E101</f>
        <v>0</v>
      </c>
      <c r="H254" s="586">
        <f t="shared" si="114"/>
        <v>0</v>
      </c>
      <c r="I254" s="170">
        <f>+Parameters!F101</f>
        <v>0</v>
      </c>
      <c r="J254" s="170"/>
      <c r="K254" s="170"/>
      <c r="L254" s="170"/>
      <c r="M254" s="730"/>
      <c r="N254" s="730"/>
      <c r="O254" s="730"/>
      <c r="P254" s="731"/>
      <c r="Q254" s="731"/>
      <c r="R254" s="730"/>
      <c r="S254" s="730"/>
      <c r="T254" s="723"/>
      <c r="U254" s="724"/>
      <c r="V254" s="725"/>
      <c r="W254" s="725"/>
      <c r="X254" s="723"/>
      <c r="Y254" s="723"/>
      <c r="Z254" s="723"/>
      <c r="AA254" s="726"/>
      <c r="AB254" s="726"/>
      <c r="AC254" s="170"/>
      <c r="AD254" s="586">
        <f t="shared" si="115"/>
        <v>0</v>
      </c>
      <c r="AE254" s="586">
        <f t="shared" si="116"/>
        <v>0</v>
      </c>
      <c r="AF254" s="586">
        <f t="shared" si="116"/>
        <v>0</v>
      </c>
      <c r="AG254" s="586">
        <f t="shared" si="116"/>
        <v>0</v>
      </c>
      <c r="AH254" s="586">
        <f t="shared" si="116"/>
        <v>0</v>
      </c>
      <c r="AI254" s="586">
        <f t="shared" si="116"/>
        <v>0</v>
      </c>
      <c r="AJ254" s="586">
        <f t="shared" si="116"/>
        <v>0</v>
      </c>
      <c r="AK254" s="586">
        <f t="shared" si="116"/>
        <v>0</v>
      </c>
      <c r="AL254" s="586">
        <f t="shared" si="116"/>
        <v>0</v>
      </c>
      <c r="AM254" s="586">
        <f t="shared" si="116"/>
        <v>0</v>
      </c>
      <c r="AN254" s="586">
        <f t="shared" si="116"/>
        <v>0</v>
      </c>
      <c r="AO254" s="586">
        <f t="shared" si="116"/>
        <v>0</v>
      </c>
      <c r="AP254" s="586">
        <f t="shared" si="116"/>
        <v>0</v>
      </c>
      <c r="AQ254" s="586">
        <f t="shared" si="116"/>
        <v>0</v>
      </c>
      <c r="AR254" s="586">
        <f t="shared" si="116"/>
        <v>0</v>
      </c>
      <c r="AS254" s="586">
        <f>SUMIF($F$9:$F$153,$F254,AS$9:AS$153)</f>
        <v>0</v>
      </c>
      <c r="AT254" s="170"/>
    </row>
    <row r="255" spans="1:46" ht="15" x14ac:dyDescent="0.25">
      <c r="A255" s="170"/>
      <c r="B255" s="719"/>
      <c r="C255" s="170" t="str">
        <f t="shared" si="113"/>
        <v>990</v>
      </c>
      <c r="D255" s="170"/>
      <c r="E255" s="170"/>
      <c r="F255" s="170">
        <f>+Parameters!D102</f>
        <v>99</v>
      </c>
      <c r="G255" s="170" t="str">
        <f>+Parameters!E102</f>
        <v>REMOVALS</v>
      </c>
      <c r="H255" s="586">
        <f t="shared" si="114"/>
        <v>0</v>
      </c>
      <c r="I255" s="170">
        <f>+Parameters!F102</f>
        <v>0</v>
      </c>
      <c r="J255" s="170"/>
      <c r="K255" s="170"/>
      <c r="L255" s="170"/>
      <c r="M255" s="730"/>
      <c r="N255" s="730"/>
      <c r="O255" s="730"/>
      <c r="P255" s="731"/>
      <c r="Q255" s="731"/>
      <c r="R255" s="730"/>
      <c r="S255" s="730"/>
      <c r="T255" s="723"/>
      <c r="U255" s="724"/>
      <c r="V255" s="725"/>
      <c r="W255" s="725"/>
      <c r="X255" s="723"/>
      <c r="Y255" s="723"/>
      <c r="Z255" s="723"/>
      <c r="AA255" s="726"/>
      <c r="AB255" s="726"/>
      <c r="AC255" s="170"/>
      <c r="AD255" s="586">
        <f t="shared" si="115"/>
        <v>0</v>
      </c>
      <c r="AE255" s="586">
        <f t="shared" ref="AE255:AR257" si="117">SUMIF($F$9:$F$153,$F255,AE$9:AE$153)</f>
        <v>0</v>
      </c>
      <c r="AF255" s="586">
        <f t="shared" si="117"/>
        <v>0</v>
      </c>
      <c r="AG255" s="586">
        <f t="shared" si="117"/>
        <v>0</v>
      </c>
      <c r="AH255" s="586">
        <f t="shared" si="117"/>
        <v>0</v>
      </c>
      <c r="AI255" s="586">
        <f t="shared" si="117"/>
        <v>0</v>
      </c>
      <c r="AJ255" s="586">
        <f t="shared" si="117"/>
        <v>0</v>
      </c>
      <c r="AK255" s="586">
        <f t="shared" si="117"/>
        <v>0</v>
      </c>
      <c r="AL255" s="586">
        <f t="shared" si="117"/>
        <v>0</v>
      </c>
      <c r="AM255" s="586">
        <f t="shared" si="117"/>
        <v>0</v>
      </c>
      <c r="AN255" s="586">
        <f t="shared" si="117"/>
        <v>0</v>
      </c>
      <c r="AO255" s="586">
        <f t="shared" si="117"/>
        <v>0</v>
      </c>
      <c r="AP255" s="586">
        <f t="shared" si="117"/>
        <v>0</v>
      </c>
      <c r="AQ255" s="586">
        <f t="shared" si="117"/>
        <v>0</v>
      </c>
      <c r="AR255" s="586">
        <f t="shared" si="117"/>
        <v>0</v>
      </c>
      <c r="AS255" s="586">
        <f>SUMIF($F$9:$F$153,$F255,AS$9:AS$153)</f>
        <v>0</v>
      </c>
      <c r="AT255" s="170"/>
    </row>
    <row r="256" spans="1:46" ht="15" x14ac:dyDescent="0.25">
      <c r="A256" s="170"/>
      <c r="B256" s="719"/>
      <c r="C256" s="170"/>
      <c r="D256" s="170"/>
      <c r="E256" s="170"/>
      <c r="F256" s="170">
        <f>+Parameters!D103</f>
        <v>0</v>
      </c>
      <c r="G256" s="170" t="str">
        <f>+Parameters!E103</f>
        <v>Uncoded amounts ( fix the coding before continuing)</v>
      </c>
      <c r="H256" s="586"/>
      <c r="I256" s="170">
        <f>+Parameters!F103</f>
        <v>0</v>
      </c>
      <c r="J256" s="170"/>
      <c r="K256" s="170"/>
      <c r="L256" s="170"/>
      <c r="M256" s="730"/>
      <c r="N256" s="730"/>
      <c r="O256" s="730"/>
      <c r="P256" s="731"/>
      <c r="Q256" s="731"/>
      <c r="R256" s="730"/>
      <c r="S256" s="730"/>
      <c r="T256" s="723"/>
      <c r="U256" s="724"/>
      <c r="V256" s="725"/>
      <c r="W256" s="725"/>
      <c r="X256" s="723"/>
      <c r="Y256" s="723"/>
      <c r="Z256" s="723"/>
      <c r="AA256" s="726"/>
      <c r="AB256" s="726"/>
      <c r="AC256" s="170"/>
      <c r="AD256" s="586">
        <f t="shared" si="115"/>
        <v>0</v>
      </c>
      <c r="AE256" s="586">
        <f t="shared" si="117"/>
        <v>0</v>
      </c>
      <c r="AF256" s="586">
        <f t="shared" si="117"/>
        <v>0</v>
      </c>
      <c r="AG256" s="586">
        <f t="shared" si="117"/>
        <v>0</v>
      </c>
      <c r="AH256" s="586">
        <f t="shared" si="117"/>
        <v>0</v>
      </c>
      <c r="AI256" s="586">
        <f t="shared" si="117"/>
        <v>0</v>
      </c>
      <c r="AJ256" s="586">
        <f t="shared" si="117"/>
        <v>0</v>
      </c>
      <c r="AK256" s="586">
        <f t="shared" si="117"/>
        <v>0</v>
      </c>
      <c r="AL256" s="586">
        <f t="shared" si="117"/>
        <v>0</v>
      </c>
      <c r="AM256" s="586">
        <f t="shared" si="117"/>
        <v>0</v>
      </c>
      <c r="AN256" s="586">
        <f t="shared" si="117"/>
        <v>0</v>
      </c>
      <c r="AO256" s="586">
        <f t="shared" si="117"/>
        <v>0</v>
      </c>
      <c r="AP256" s="586">
        <f t="shared" si="117"/>
        <v>0</v>
      </c>
      <c r="AQ256" s="586">
        <f t="shared" si="117"/>
        <v>0</v>
      </c>
      <c r="AR256" s="586">
        <f t="shared" si="117"/>
        <v>0</v>
      </c>
      <c r="AS256" s="586">
        <f>SUMIF($F$9:$F$153,$F256,AS$9:AS$153)</f>
        <v>0</v>
      </c>
      <c r="AT256" s="170"/>
    </row>
    <row r="257" spans="1:46" ht="15" x14ac:dyDescent="0.25">
      <c r="A257" s="170"/>
      <c r="B257" s="719"/>
      <c r="C257" s="170"/>
      <c r="D257" s="170"/>
      <c r="E257" s="170"/>
      <c r="F257" s="170">
        <f>+Parameters!D104</f>
        <v>0</v>
      </c>
      <c r="G257" s="170">
        <f>+Parameters!E104</f>
        <v>0</v>
      </c>
      <c r="H257" s="586"/>
      <c r="I257" s="170">
        <f>+Parameters!F104</f>
        <v>0</v>
      </c>
      <c r="J257" s="170"/>
      <c r="K257" s="170"/>
      <c r="L257" s="170"/>
      <c r="M257" s="730"/>
      <c r="N257" s="730"/>
      <c r="O257" s="730"/>
      <c r="P257" s="731"/>
      <c r="Q257" s="731"/>
      <c r="R257" s="730"/>
      <c r="S257" s="730"/>
      <c r="T257" s="723"/>
      <c r="U257" s="724"/>
      <c r="V257" s="725"/>
      <c r="W257" s="725"/>
      <c r="X257" s="723"/>
      <c r="Y257" s="723"/>
      <c r="Z257" s="723"/>
      <c r="AA257" s="726"/>
      <c r="AB257" s="726"/>
      <c r="AC257" s="170"/>
      <c r="AD257" s="586">
        <f t="shared" si="115"/>
        <v>0</v>
      </c>
      <c r="AE257" s="586">
        <f t="shared" si="117"/>
        <v>0</v>
      </c>
      <c r="AF257" s="586">
        <f t="shared" si="117"/>
        <v>0</v>
      </c>
      <c r="AG257" s="586">
        <f t="shared" si="117"/>
        <v>0</v>
      </c>
      <c r="AH257" s="586">
        <f t="shared" si="117"/>
        <v>0</v>
      </c>
      <c r="AI257" s="586">
        <f t="shared" si="117"/>
        <v>0</v>
      </c>
      <c r="AJ257" s="586">
        <f t="shared" si="117"/>
        <v>0</v>
      </c>
      <c r="AK257" s="586">
        <f t="shared" si="117"/>
        <v>0</v>
      </c>
      <c r="AL257" s="586">
        <f t="shared" si="117"/>
        <v>0</v>
      </c>
      <c r="AM257" s="586">
        <f t="shared" si="117"/>
        <v>0</v>
      </c>
      <c r="AN257" s="586">
        <f t="shared" si="117"/>
        <v>0</v>
      </c>
      <c r="AO257" s="586">
        <f t="shared" si="117"/>
        <v>0</v>
      </c>
      <c r="AP257" s="586">
        <f t="shared" si="117"/>
        <v>0</v>
      </c>
      <c r="AQ257" s="586">
        <f t="shared" si="117"/>
        <v>0</v>
      </c>
      <c r="AR257" s="586">
        <f t="shared" si="117"/>
        <v>0</v>
      </c>
      <c r="AS257" s="586">
        <f>SUMIF($F$9:$F$153,$F257,AS$9:AS$153)</f>
        <v>0</v>
      </c>
      <c r="AT257" s="170"/>
    </row>
    <row r="258" spans="1:46" ht="15" x14ac:dyDescent="0.25">
      <c r="A258" s="170"/>
      <c r="B258" s="719"/>
      <c r="C258" s="170"/>
      <c r="D258" s="170"/>
      <c r="E258" s="170"/>
      <c r="F258" s="170"/>
      <c r="G258" s="721"/>
      <c r="H258" s="170"/>
      <c r="I258" s="170"/>
      <c r="J258" s="170"/>
      <c r="K258" s="170"/>
      <c r="L258" s="170"/>
      <c r="M258" s="730"/>
      <c r="N258" s="730"/>
      <c r="O258" s="730"/>
      <c r="P258" s="731"/>
      <c r="Q258" s="731"/>
      <c r="R258" s="730"/>
      <c r="S258" s="730"/>
      <c r="T258" s="723"/>
      <c r="U258" s="724"/>
      <c r="V258" s="725"/>
      <c r="W258" s="725"/>
      <c r="X258" s="723"/>
      <c r="Y258" s="723"/>
      <c r="Z258" s="723"/>
      <c r="AA258" s="726"/>
      <c r="AB258" s="726"/>
      <c r="AC258" s="170"/>
      <c r="AD258" s="586"/>
      <c r="AE258" s="586"/>
      <c r="AF258" s="586"/>
      <c r="AG258" s="586"/>
      <c r="AH258" s="586"/>
      <c r="AI258" s="586"/>
      <c r="AJ258" s="586"/>
      <c r="AK258" s="586"/>
      <c r="AL258" s="586"/>
      <c r="AM258" s="586"/>
      <c r="AN258" s="586"/>
      <c r="AO258" s="586"/>
      <c r="AP258" s="586"/>
      <c r="AQ258" s="586"/>
      <c r="AR258" s="586"/>
      <c r="AS258" s="586"/>
      <c r="AT258" s="170"/>
    </row>
    <row r="259" spans="1:46" ht="15" x14ac:dyDescent="0.25">
      <c r="A259" s="170"/>
      <c r="B259" s="719"/>
      <c r="C259" s="170"/>
      <c r="D259" s="170"/>
      <c r="E259" s="170"/>
      <c r="F259" s="170"/>
      <c r="G259" s="721"/>
      <c r="H259" s="170"/>
      <c r="I259" s="170"/>
      <c r="J259" s="170"/>
      <c r="K259" s="170"/>
      <c r="L259" s="170"/>
      <c r="M259" s="730"/>
      <c r="N259" s="730"/>
      <c r="O259" s="730"/>
      <c r="P259" s="731"/>
      <c r="Q259" s="731"/>
      <c r="R259" s="730"/>
      <c r="S259" s="730"/>
      <c r="T259" s="723"/>
      <c r="U259" s="724"/>
      <c r="V259" s="725"/>
      <c r="W259" s="725"/>
      <c r="X259" s="723"/>
      <c r="Y259" s="723"/>
      <c r="Z259" s="723"/>
      <c r="AA259" s="726"/>
      <c r="AB259" s="726"/>
      <c r="AC259" s="170"/>
      <c r="AD259" s="586"/>
      <c r="AE259" s="586"/>
      <c r="AF259" s="586"/>
      <c r="AG259" s="586"/>
      <c r="AH259" s="586"/>
      <c r="AI259" s="586"/>
      <c r="AJ259" s="586"/>
      <c r="AK259" s="586"/>
      <c r="AL259" s="586"/>
      <c r="AM259" s="586"/>
      <c r="AN259" s="586"/>
      <c r="AO259" s="586"/>
      <c r="AP259" s="586"/>
      <c r="AQ259" s="586"/>
      <c r="AR259" s="586"/>
      <c r="AS259" s="586"/>
      <c r="AT259" s="170"/>
    </row>
    <row r="260" spans="1:46" ht="15" x14ac:dyDescent="0.25">
      <c r="A260" s="170"/>
      <c r="B260" s="719"/>
      <c r="C260" s="170"/>
      <c r="D260" s="170"/>
      <c r="E260" s="170"/>
      <c r="F260" s="170"/>
      <c r="G260" s="721"/>
      <c r="H260" s="170"/>
      <c r="I260" s="170"/>
      <c r="J260" s="170"/>
      <c r="K260" s="170"/>
      <c r="L260" s="170"/>
      <c r="M260" s="730"/>
      <c r="N260" s="730"/>
      <c r="O260" s="730"/>
      <c r="P260" s="731"/>
      <c r="Q260" s="731"/>
      <c r="R260" s="730"/>
      <c r="S260" s="730"/>
      <c r="T260" s="723"/>
      <c r="U260" s="724"/>
      <c r="V260" s="725"/>
      <c r="W260" s="725"/>
      <c r="X260" s="723"/>
      <c r="Y260" s="723"/>
      <c r="Z260" s="723"/>
      <c r="AA260" s="726"/>
      <c r="AB260" s="726"/>
      <c r="AC260" s="170"/>
      <c r="AD260" s="586"/>
      <c r="AE260" s="586"/>
      <c r="AF260" s="586"/>
      <c r="AG260" s="586"/>
      <c r="AH260" s="586"/>
      <c r="AI260" s="586"/>
      <c r="AJ260" s="586"/>
      <c r="AK260" s="586"/>
      <c r="AL260" s="586"/>
      <c r="AM260" s="586"/>
      <c r="AN260" s="586"/>
      <c r="AO260" s="586"/>
      <c r="AP260" s="586"/>
      <c r="AQ260" s="586"/>
      <c r="AR260" s="586"/>
      <c r="AS260" s="586"/>
      <c r="AT260" s="170"/>
    </row>
    <row r="261" spans="1:46" ht="15" x14ac:dyDescent="0.25">
      <c r="A261" s="170"/>
      <c r="B261" s="719"/>
      <c r="C261" s="170"/>
      <c r="D261" s="170"/>
      <c r="E261" s="170"/>
      <c r="F261" s="170"/>
      <c r="G261" s="721" t="s">
        <v>223</v>
      </c>
      <c r="H261" s="170"/>
      <c r="I261" s="170"/>
      <c r="J261" s="170"/>
      <c r="K261" s="170"/>
      <c r="L261" s="170"/>
      <c r="M261" s="730"/>
      <c r="N261" s="730"/>
      <c r="O261" s="730"/>
      <c r="P261" s="731"/>
      <c r="Q261" s="731"/>
      <c r="R261" s="730"/>
      <c r="S261" s="730"/>
      <c r="T261" s="723"/>
      <c r="U261" s="724"/>
      <c r="V261" s="725"/>
      <c r="W261" s="725"/>
      <c r="X261" s="723"/>
      <c r="Y261" s="723"/>
      <c r="Z261" s="723"/>
      <c r="AA261" s="726"/>
      <c r="AB261" s="726"/>
      <c r="AC261" s="170"/>
      <c r="AD261" s="586">
        <f t="shared" ref="AD261:AS261" si="118">SUM(AD157:AD260)</f>
        <v>0</v>
      </c>
      <c r="AE261" s="586">
        <f t="shared" si="118"/>
        <v>17485.108172043012</v>
      </c>
      <c r="AF261" s="586">
        <f t="shared" si="118"/>
        <v>17485.108172043012</v>
      </c>
      <c r="AG261" s="586">
        <f t="shared" si="118"/>
        <v>0</v>
      </c>
      <c r="AH261" s="586">
        <f t="shared" si="118"/>
        <v>2814994.15</v>
      </c>
      <c r="AI261" s="586">
        <f t="shared" si="118"/>
        <v>2814994.15</v>
      </c>
      <c r="AJ261" s="586">
        <f t="shared" si="118"/>
        <v>0</v>
      </c>
      <c r="AK261" s="586">
        <f t="shared" si="118"/>
        <v>581642</v>
      </c>
      <c r="AL261" s="586">
        <f t="shared" si="118"/>
        <v>581642</v>
      </c>
      <c r="AM261" s="586">
        <f t="shared" si="118"/>
        <v>14621688</v>
      </c>
      <c r="AN261" s="586">
        <f t="shared" si="118"/>
        <v>0</v>
      </c>
      <c r="AO261" s="586">
        <f t="shared" si="118"/>
        <v>14621688</v>
      </c>
      <c r="AP261" s="586">
        <f t="shared" si="118"/>
        <v>0</v>
      </c>
      <c r="AQ261" s="586">
        <f t="shared" si="118"/>
        <v>139700</v>
      </c>
      <c r="AR261" s="586">
        <f t="shared" si="118"/>
        <v>139700</v>
      </c>
      <c r="AS261" s="586">
        <f t="shared" si="118"/>
        <v>18158024.149999999</v>
      </c>
      <c r="AT261" s="170" t="s">
        <v>395</v>
      </c>
    </row>
    <row r="262" spans="1:46" ht="15" x14ac:dyDescent="0.25">
      <c r="A262" s="170"/>
      <c r="B262" s="719"/>
      <c r="C262" s="170"/>
      <c r="D262" s="170"/>
      <c r="E262" s="170"/>
      <c r="F262" s="170"/>
      <c r="G262" s="721"/>
      <c r="H262" s="170"/>
      <c r="I262" s="170"/>
      <c r="J262" s="170"/>
      <c r="K262" s="170"/>
      <c r="L262" s="170"/>
      <c r="M262" s="730"/>
      <c r="N262" s="730"/>
      <c r="O262" s="730"/>
      <c r="P262" s="731"/>
      <c r="Q262" s="731"/>
      <c r="R262" s="730"/>
      <c r="S262" s="730"/>
      <c r="T262" s="723"/>
      <c r="U262" s="724"/>
      <c r="V262" s="725"/>
      <c r="W262" s="725"/>
      <c r="X262" s="723"/>
      <c r="Y262" s="723"/>
      <c r="Z262" s="723"/>
      <c r="AA262" s="726"/>
      <c r="AB262" s="726"/>
      <c r="AC262" s="170"/>
      <c r="AD262" s="586"/>
      <c r="AE262" s="586"/>
      <c r="AF262" s="170"/>
      <c r="AG262" s="170"/>
      <c r="AH262" s="170"/>
      <c r="AI262" s="170"/>
      <c r="AJ262" s="170"/>
      <c r="AK262" s="170"/>
      <c r="AL262" s="170"/>
      <c r="AM262" s="170"/>
      <c r="AN262" s="170"/>
      <c r="AO262" s="170"/>
      <c r="AP262" s="170"/>
      <c r="AQ262" s="170"/>
      <c r="AR262" s="170"/>
      <c r="AS262" s="170"/>
      <c r="AT262" s="170"/>
    </row>
    <row r="263" spans="1:46" ht="15" x14ac:dyDescent="0.25">
      <c r="A263" s="170"/>
      <c r="B263" s="719"/>
      <c r="C263" s="170"/>
      <c r="D263" s="170"/>
      <c r="E263" s="170"/>
      <c r="F263" s="170"/>
      <c r="G263" s="721"/>
      <c r="H263" s="170"/>
      <c r="I263" s="170"/>
      <c r="J263" s="170"/>
      <c r="K263" s="170"/>
      <c r="L263" s="170"/>
      <c r="M263" s="730"/>
      <c r="N263" s="730"/>
      <c r="O263" s="730"/>
      <c r="P263" s="731"/>
      <c r="Q263" s="731"/>
      <c r="R263" s="730"/>
      <c r="S263" s="730"/>
      <c r="T263" s="723"/>
      <c r="U263" s="724"/>
      <c r="V263" s="725"/>
      <c r="W263" s="725"/>
      <c r="X263" s="723"/>
      <c r="Y263" s="723"/>
      <c r="Z263" s="723"/>
      <c r="AA263" s="726"/>
      <c r="AB263" s="726"/>
      <c r="AC263" s="170"/>
      <c r="AD263" s="586"/>
      <c r="AE263" s="586"/>
      <c r="AF263" s="170"/>
      <c r="AG263" s="170"/>
      <c r="AH263" s="170"/>
      <c r="AI263" s="170"/>
      <c r="AJ263" s="170"/>
      <c r="AK263" s="170"/>
      <c r="AL263" s="170"/>
      <c r="AM263" s="170"/>
      <c r="AN263" s="170"/>
      <c r="AO263" s="170"/>
      <c r="AP263" s="170"/>
      <c r="AQ263" s="170"/>
      <c r="AR263" s="170"/>
      <c r="AS263" s="170"/>
    </row>
    <row r="264" spans="1:46" ht="15" x14ac:dyDescent="0.25">
      <c r="A264" s="170"/>
      <c r="B264" s="719"/>
      <c r="C264" s="170"/>
      <c r="D264" s="170"/>
      <c r="E264" s="170"/>
      <c r="F264" s="170"/>
      <c r="G264" s="721"/>
      <c r="H264" s="170"/>
      <c r="I264" s="170"/>
      <c r="J264" s="170"/>
      <c r="K264" s="170"/>
      <c r="L264" s="170"/>
      <c r="M264" s="730"/>
      <c r="N264" s="730"/>
      <c r="O264" s="730"/>
      <c r="P264" s="731"/>
      <c r="Q264" s="731"/>
      <c r="R264" s="730"/>
      <c r="S264" s="730"/>
      <c r="T264" s="723"/>
      <c r="U264" s="724"/>
      <c r="V264" s="725"/>
      <c r="W264" s="725"/>
      <c r="X264" s="723"/>
      <c r="Y264" s="723"/>
      <c r="Z264" s="723"/>
      <c r="AA264" s="726"/>
      <c r="AB264" s="726"/>
      <c r="AC264" s="170"/>
      <c r="AD264" s="586"/>
      <c r="AE264" s="586"/>
      <c r="AF264" s="170"/>
      <c r="AG264" s="170"/>
      <c r="AH264" s="170"/>
      <c r="AI264" s="170"/>
      <c r="AJ264" s="170"/>
      <c r="AK264" s="170"/>
      <c r="AL264" s="170"/>
      <c r="AM264" s="170"/>
      <c r="AN264" s="170"/>
      <c r="AO264" s="170"/>
      <c r="AP264" s="170"/>
      <c r="AQ264" s="170"/>
      <c r="AR264" s="170"/>
      <c r="AS264" s="170"/>
    </row>
    <row r="265" spans="1:46" ht="15" x14ac:dyDescent="0.25">
      <c r="A265" s="170"/>
      <c r="B265" s="719"/>
      <c r="C265" s="170"/>
      <c r="D265" s="170"/>
      <c r="E265" s="170"/>
      <c r="F265" s="170"/>
      <c r="G265" s="721"/>
      <c r="H265" s="170"/>
      <c r="I265" s="170"/>
      <c r="J265" s="170"/>
      <c r="K265" s="170"/>
      <c r="L265" s="170"/>
      <c r="M265" s="730"/>
      <c r="N265" s="730"/>
      <c r="O265" s="730"/>
      <c r="P265" s="731"/>
      <c r="Q265" s="731"/>
      <c r="R265" s="730"/>
      <c r="S265" s="730"/>
      <c r="T265" s="723"/>
      <c r="U265" s="724"/>
      <c r="V265" s="725"/>
      <c r="W265" s="725"/>
      <c r="X265" s="723"/>
      <c r="Y265" s="723"/>
      <c r="Z265" s="723"/>
      <c r="AA265" s="726"/>
      <c r="AB265" s="726"/>
      <c r="AC265" s="170"/>
      <c r="AD265" s="586"/>
      <c r="AE265" s="586"/>
      <c r="AF265" s="170"/>
      <c r="AG265" s="170"/>
      <c r="AH265" s="170"/>
      <c r="AI265" s="170"/>
      <c r="AJ265" s="170"/>
      <c r="AK265" s="170"/>
      <c r="AL265" s="170"/>
      <c r="AM265" s="170"/>
      <c r="AN265" s="170"/>
      <c r="AO265" s="170"/>
      <c r="AP265" s="170"/>
      <c r="AQ265" s="170"/>
      <c r="AR265" s="170"/>
      <c r="AS265" s="170"/>
    </row>
    <row r="266" spans="1:46" ht="15" x14ac:dyDescent="0.25">
      <c r="A266" s="170"/>
      <c r="B266" s="719"/>
      <c r="C266" s="170"/>
      <c r="D266" s="170"/>
      <c r="E266" s="170"/>
      <c r="F266" s="170"/>
      <c r="G266" s="721"/>
      <c r="H266" s="170"/>
      <c r="I266" s="170"/>
      <c r="J266" s="170"/>
      <c r="K266" s="170"/>
      <c r="L266" s="170"/>
      <c r="M266" s="730"/>
      <c r="N266" s="730"/>
      <c r="O266" s="730"/>
      <c r="P266" s="731"/>
      <c r="Q266" s="731"/>
      <c r="R266" s="730"/>
      <c r="S266" s="730"/>
      <c r="T266" s="723"/>
      <c r="U266" s="724"/>
      <c r="V266" s="725"/>
      <c r="W266" s="725"/>
      <c r="X266" s="723"/>
      <c r="Y266" s="723"/>
      <c r="Z266" s="723"/>
      <c r="AA266" s="726"/>
      <c r="AB266" s="726"/>
      <c r="AC266" s="170"/>
      <c r="AD266" s="586"/>
      <c r="AE266" s="586"/>
      <c r="AF266" s="170"/>
      <c r="AG266" s="170"/>
      <c r="AH266" s="170"/>
      <c r="AI266" s="170"/>
      <c r="AJ266" s="170"/>
      <c r="AK266" s="170"/>
      <c r="AL266" s="170"/>
      <c r="AM266" s="170"/>
      <c r="AN266" s="170"/>
      <c r="AO266" s="170"/>
      <c r="AP266" s="170"/>
      <c r="AQ266" s="170"/>
      <c r="AR266" s="170"/>
      <c r="AS266" s="170"/>
    </row>
    <row r="267" spans="1:46" ht="15" x14ac:dyDescent="0.25">
      <c r="A267" s="170"/>
      <c r="B267" s="719"/>
      <c r="C267" s="170"/>
      <c r="D267" s="170"/>
      <c r="E267" s="170"/>
      <c r="F267" s="170"/>
      <c r="G267" s="721"/>
      <c r="H267" s="170"/>
      <c r="I267" s="170"/>
      <c r="J267" s="170"/>
      <c r="K267" s="170"/>
      <c r="L267" s="170"/>
      <c r="M267" s="730"/>
      <c r="N267" s="730"/>
      <c r="O267" s="730"/>
      <c r="P267" s="731"/>
      <c r="Q267" s="731"/>
      <c r="R267" s="730"/>
      <c r="S267" s="730"/>
      <c r="T267" s="723"/>
      <c r="U267" s="724"/>
      <c r="V267" s="725"/>
      <c r="W267" s="725"/>
      <c r="X267" s="723"/>
      <c r="Y267" s="723"/>
      <c r="Z267" s="723"/>
      <c r="AA267" s="726"/>
      <c r="AB267" s="726"/>
      <c r="AC267" s="170"/>
      <c r="AD267" s="586"/>
      <c r="AE267" s="586"/>
      <c r="AF267" s="170"/>
      <c r="AG267" s="170"/>
      <c r="AH267" s="170"/>
      <c r="AI267" s="170"/>
      <c r="AJ267" s="170"/>
      <c r="AK267" s="170"/>
      <c r="AL267" s="170"/>
      <c r="AM267" s="170"/>
      <c r="AN267" s="170"/>
      <c r="AO267" s="170"/>
      <c r="AP267" s="170"/>
      <c r="AQ267" s="170"/>
      <c r="AR267" s="170"/>
      <c r="AS267" s="170"/>
    </row>
    <row r="268" spans="1:46" ht="15" x14ac:dyDescent="0.25">
      <c r="A268" s="170"/>
      <c r="B268" s="719"/>
      <c r="C268" s="170"/>
      <c r="D268" s="170"/>
      <c r="E268" s="170"/>
      <c r="F268" s="170"/>
      <c r="G268" s="721"/>
      <c r="H268" s="170"/>
      <c r="I268" s="170"/>
      <c r="J268" s="170"/>
      <c r="K268" s="170"/>
      <c r="L268" s="170"/>
      <c r="M268" s="730"/>
      <c r="N268" s="730"/>
      <c r="O268" s="730"/>
      <c r="P268" s="731"/>
      <c r="Q268" s="731"/>
      <c r="R268" s="730"/>
      <c r="S268" s="730"/>
      <c r="T268" s="723"/>
      <c r="U268" s="724"/>
      <c r="V268" s="725"/>
      <c r="W268" s="725"/>
      <c r="X268" s="723"/>
      <c r="Y268" s="723"/>
      <c r="Z268" s="723"/>
      <c r="AA268" s="726"/>
      <c r="AB268" s="726"/>
      <c r="AC268" s="170"/>
      <c r="AD268" s="586"/>
      <c r="AE268" s="586"/>
      <c r="AF268" s="170"/>
      <c r="AG268" s="170"/>
      <c r="AH268" s="170"/>
      <c r="AI268" s="170"/>
      <c r="AJ268" s="170"/>
      <c r="AK268" s="170"/>
      <c r="AL268" s="170"/>
      <c r="AM268" s="170"/>
      <c r="AN268" s="170"/>
      <c r="AO268" s="170"/>
      <c r="AP268" s="170"/>
      <c r="AQ268" s="170"/>
      <c r="AR268" s="170"/>
      <c r="AS268" s="170"/>
    </row>
    <row r="269" spans="1:46" ht="15" x14ac:dyDescent="0.25">
      <c r="A269" s="170"/>
      <c r="B269" s="719"/>
      <c r="C269" s="170"/>
      <c r="D269" s="170"/>
      <c r="E269" s="170"/>
      <c r="F269" s="170"/>
      <c r="G269" s="721"/>
      <c r="H269" s="170"/>
      <c r="I269" s="170"/>
      <c r="J269" s="170"/>
      <c r="K269" s="170"/>
      <c r="L269" s="170"/>
      <c r="M269" s="730"/>
      <c r="N269" s="730"/>
      <c r="O269" s="730"/>
      <c r="P269" s="731"/>
      <c r="Q269" s="731"/>
      <c r="R269" s="730"/>
      <c r="S269" s="730"/>
      <c r="T269" s="723"/>
      <c r="U269" s="724"/>
      <c r="V269" s="725"/>
      <c r="W269" s="725"/>
      <c r="X269" s="723"/>
      <c r="Y269" s="723"/>
      <c r="Z269" s="723"/>
      <c r="AA269" s="726"/>
      <c r="AB269" s="726"/>
      <c r="AC269" s="170"/>
      <c r="AD269" s="586"/>
      <c r="AE269" s="586"/>
      <c r="AF269" s="170"/>
      <c r="AG269" s="170"/>
      <c r="AH269" s="170"/>
      <c r="AI269" s="170"/>
      <c r="AJ269" s="170"/>
      <c r="AK269" s="170"/>
      <c r="AL269" s="170"/>
      <c r="AM269" s="170"/>
      <c r="AN269" s="170"/>
      <c r="AO269" s="170"/>
      <c r="AP269" s="170"/>
      <c r="AQ269" s="170"/>
      <c r="AR269" s="170"/>
      <c r="AS269" s="170"/>
    </row>
    <row r="270" spans="1:46" ht="15" x14ac:dyDescent="0.25">
      <c r="A270" s="170"/>
      <c r="B270" s="719"/>
      <c r="C270" s="170"/>
      <c r="D270" s="170"/>
      <c r="E270" s="170"/>
      <c r="F270" s="170"/>
      <c r="G270" s="721"/>
      <c r="H270" s="170"/>
      <c r="I270" s="170"/>
      <c r="J270" s="170"/>
      <c r="K270" s="170"/>
      <c r="L270" s="170"/>
      <c r="M270" s="730"/>
      <c r="N270" s="730"/>
      <c r="O270" s="730"/>
      <c r="P270" s="731"/>
      <c r="Q270" s="731"/>
      <c r="R270" s="730"/>
      <c r="S270" s="730"/>
      <c r="T270" s="723"/>
      <c r="U270" s="724"/>
      <c r="V270" s="725"/>
      <c r="W270" s="725"/>
      <c r="X270" s="723"/>
      <c r="Y270" s="723"/>
      <c r="Z270" s="723"/>
      <c r="AA270" s="726"/>
      <c r="AB270" s="726"/>
      <c r="AC270" s="170"/>
      <c r="AD270" s="586"/>
      <c r="AE270" s="586"/>
      <c r="AF270" s="170"/>
      <c r="AG270" s="170"/>
      <c r="AH270" s="170"/>
      <c r="AI270" s="170"/>
      <c r="AJ270" s="170"/>
      <c r="AK270" s="170"/>
      <c r="AL270" s="170"/>
      <c r="AM270" s="170"/>
      <c r="AN270" s="170"/>
      <c r="AO270" s="170"/>
      <c r="AP270" s="170"/>
      <c r="AQ270" s="170"/>
      <c r="AR270" s="170"/>
      <c r="AS270" s="170"/>
    </row>
    <row r="271" spans="1:46" ht="15" x14ac:dyDescent="0.25">
      <c r="A271" s="170"/>
      <c r="B271" s="719"/>
      <c r="C271" s="170"/>
      <c r="D271" s="170"/>
      <c r="E271" s="170"/>
      <c r="F271" s="170"/>
      <c r="G271" s="721"/>
      <c r="H271" s="170"/>
      <c r="I271" s="170"/>
      <c r="J271" s="170"/>
      <c r="K271" s="170"/>
      <c r="L271" s="170"/>
      <c r="M271" s="730"/>
      <c r="N271" s="730"/>
      <c r="O271" s="730"/>
      <c r="P271" s="731"/>
      <c r="Q271" s="731"/>
      <c r="R271" s="730"/>
      <c r="S271" s="730"/>
      <c r="T271" s="723"/>
      <c r="U271" s="724"/>
      <c r="V271" s="725"/>
      <c r="W271" s="725"/>
      <c r="X271" s="723"/>
      <c r="Y271" s="723"/>
      <c r="Z271" s="723"/>
      <c r="AA271" s="726"/>
      <c r="AB271" s="726"/>
      <c r="AC271" s="170"/>
      <c r="AD271" s="586"/>
      <c r="AE271" s="586"/>
      <c r="AF271" s="170"/>
      <c r="AG271" s="170"/>
      <c r="AH271" s="170"/>
      <c r="AI271" s="170"/>
      <c r="AJ271" s="170"/>
      <c r="AK271" s="170"/>
      <c r="AL271" s="170"/>
      <c r="AM271" s="170"/>
      <c r="AN271" s="170"/>
      <c r="AO271" s="170"/>
      <c r="AP271" s="170"/>
      <c r="AQ271" s="170"/>
      <c r="AR271" s="170"/>
      <c r="AS271" s="170"/>
    </row>
    <row r="272" spans="1:46" ht="15" x14ac:dyDescent="0.25">
      <c r="A272" s="170"/>
      <c r="B272" s="719"/>
      <c r="C272" s="170"/>
      <c r="D272" s="170"/>
      <c r="E272" s="170"/>
      <c r="F272" s="170"/>
      <c r="G272" s="721"/>
      <c r="H272" s="170"/>
      <c r="I272" s="170"/>
      <c r="J272" s="170"/>
      <c r="K272" s="170"/>
      <c r="L272" s="170"/>
      <c r="M272" s="730"/>
      <c r="N272" s="730"/>
      <c r="O272" s="730"/>
      <c r="P272" s="731"/>
      <c r="Q272" s="731"/>
      <c r="R272" s="730"/>
      <c r="S272" s="730"/>
      <c r="T272" s="723"/>
      <c r="U272" s="724"/>
      <c r="V272" s="725"/>
      <c r="W272" s="725"/>
      <c r="X272" s="723"/>
      <c r="Y272" s="723"/>
      <c r="Z272" s="723"/>
      <c r="AA272" s="726"/>
      <c r="AB272" s="726"/>
      <c r="AC272" s="170"/>
      <c r="AD272" s="586"/>
      <c r="AE272" s="586"/>
      <c r="AF272" s="170"/>
      <c r="AG272" s="170"/>
      <c r="AH272" s="170"/>
      <c r="AI272" s="170"/>
      <c r="AJ272" s="170"/>
      <c r="AK272" s="170"/>
      <c r="AL272" s="170"/>
      <c r="AM272" s="170"/>
      <c r="AN272" s="170"/>
      <c r="AO272" s="170"/>
      <c r="AP272" s="170"/>
      <c r="AQ272" s="170"/>
      <c r="AR272" s="170"/>
      <c r="AS272" s="170"/>
    </row>
    <row r="273" spans="1:45" ht="15" x14ac:dyDescent="0.25">
      <c r="A273" s="170"/>
      <c r="B273" s="719"/>
      <c r="C273" s="170"/>
      <c r="D273" s="170"/>
      <c r="E273" s="170"/>
      <c r="F273" s="170"/>
      <c r="G273" s="721"/>
      <c r="H273" s="170"/>
      <c r="I273" s="170"/>
      <c r="J273" s="170"/>
      <c r="K273" s="170"/>
      <c r="L273" s="170"/>
      <c r="M273" s="730"/>
      <c r="N273" s="730"/>
      <c r="O273" s="730"/>
      <c r="P273" s="731"/>
      <c r="Q273" s="731"/>
      <c r="R273" s="730"/>
      <c r="S273" s="730"/>
      <c r="T273" s="723"/>
      <c r="U273" s="724"/>
      <c r="V273" s="725"/>
      <c r="W273" s="725"/>
      <c r="X273" s="723"/>
      <c r="Y273" s="723"/>
      <c r="Z273" s="723"/>
      <c r="AA273" s="726"/>
      <c r="AB273" s="726"/>
      <c r="AC273" s="170"/>
      <c r="AD273" s="586"/>
      <c r="AE273" s="586"/>
      <c r="AF273" s="170"/>
      <c r="AG273" s="170"/>
      <c r="AH273" s="170"/>
      <c r="AI273" s="170"/>
      <c r="AJ273" s="170"/>
      <c r="AK273" s="170"/>
      <c r="AL273" s="170"/>
      <c r="AM273" s="170"/>
      <c r="AN273" s="170"/>
      <c r="AO273" s="170"/>
      <c r="AP273" s="170"/>
      <c r="AQ273" s="170"/>
      <c r="AR273" s="170"/>
      <c r="AS273" s="170"/>
    </row>
    <row r="274" spans="1:45" ht="15" x14ac:dyDescent="0.25">
      <c r="A274" s="170"/>
      <c r="B274" s="719"/>
      <c r="C274" s="170"/>
      <c r="D274" s="170"/>
      <c r="E274" s="170"/>
      <c r="F274" s="170"/>
      <c r="G274" s="721"/>
      <c r="H274" s="170"/>
      <c r="I274" s="170"/>
      <c r="J274" s="170"/>
      <c r="K274" s="170"/>
      <c r="L274" s="170"/>
      <c r="M274" s="730"/>
      <c r="N274" s="730"/>
      <c r="O274" s="730"/>
      <c r="P274" s="731"/>
      <c r="Q274" s="731"/>
      <c r="R274" s="730"/>
      <c r="S274" s="730"/>
      <c r="T274" s="723"/>
      <c r="U274" s="724"/>
      <c r="V274" s="725"/>
      <c r="W274" s="725"/>
      <c r="X274" s="723"/>
      <c r="Y274" s="723"/>
      <c r="Z274" s="723"/>
      <c r="AA274" s="726"/>
      <c r="AB274" s="726"/>
      <c r="AC274" s="170"/>
      <c r="AD274" s="586"/>
      <c r="AE274" s="586"/>
      <c r="AF274" s="170"/>
      <c r="AG274" s="170"/>
      <c r="AH274" s="170"/>
      <c r="AI274" s="170"/>
      <c r="AJ274" s="170"/>
      <c r="AK274" s="170"/>
      <c r="AL274" s="170"/>
      <c r="AM274" s="170"/>
      <c r="AN274" s="170"/>
      <c r="AO274" s="170"/>
      <c r="AP274" s="170"/>
      <c r="AQ274" s="170"/>
      <c r="AR274" s="170"/>
      <c r="AS274" s="170"/>
    </row>
    <row r="275" spans="1:45" ht="15" x14ac:dyDescent="0.25">
      <c r="A275" s="170"/>
      <c r="B275" s="719"/>
      <c r="C275" s="170"/>
      <c r="D275" s="170"/>
      <c r="E275" s="170"/>
      <c r="F275" s="170"/>
      <c r="G275" s="721"/>
      <c r="H275" s="170"/>
      <c r="I275" s="170"/>
      <c r="J275" s="170"/>
      <c r="K275" s="170"/>
      <c r="L275" s="170"/>
      <c r="M275" s="730"/>
      <c r="N275" s="730"/>
      <c r="O275" s="730"/>
      <c r="P275" s="731"/>
      <c r="Q275" s="731"/>
      <c r="R275" s="730"/>
      <c r="S275" s="730"/>
      <c r="T275" s="723"/>
      <c r="U275" s="724"/>
      <c r="V275" s="725"/>
      <c r="W275" s="725"/>
      <c r="X275" s="723"/>
      <c r="Y275" s="723"/>
      <c r="Z275" s="723"/>
      <c r="AA275" s="726"/>
      <c r="AB275" s="726"/>
      <c r="AC275" s="170"/>
      <c r="AD275" s="586"/>
      <c r="AE275" s="586"/>
      <c r="AF275" s="170"/>
      <c r="AG275" s="170"/>
      <c r="AH275" s="170"/>
      <c r="AI275" s="170"/>
      <c r="AJ275" s="170"/>
      <c r="AK275" s="170"/>
      <c r="AL275" s="170"/>
      <c r="AM275" s="170"/>
      <c r="AN275" s="170"/>
      <c r="AO275" s="170"/>
      <c r="AP275" s="170"/>
      <c r="AQ275" s="170"/>
      <c r="AR275" s="170"/>
      <c r="AS275" s="170"/>
    </row>
    <row r="276" spans="1:45" ht="15" x14ac:dyDescent="0.25">
      <c r="A276" s="170"/>
      <c r="B276" s="719"/>
      <c r="C276" s="170"/>
      <c r="D276" s="170"/>
      <c r="E276" s="170"/>
      <c r="F276" s="170"/>
      <c r="G276" s="721"/>
      <c r="H276" s="170"/>
      <c r="I276" s="170"/>
      <c r="J276" s="170"/>
      <c r="K276" s="170"/>
      <c r="L276" s="170"/>
      <c r="M276" s="730"/>
      <c r="N276" s="730"/>
      <c r="O276" s="730"/>
      <c r="P276" s="731"/>
      <c r="Q276" s="731"/>
      <c r="R276" s="730"/>
      <c r="S276" s="730"/>
      <c r="T276" s="723"/>
      <c r="U276" s="724"/>
      <c r="V276" s="725"/>
      <c r="W276" s="725"/>
      <c r="X276" s="723"/>
      <c r="Y276" s="723"/>
      <c r="Z276" s="723"/>
      <c r="AA276" s="726"/>
      <c r="AB276" s="726"/>
      <c r="AC276" s="170"/>
      <c r="AD276" s="586"/>
      <c r="AE276" s="586"/>
      <c r="AF276" s="170"/>
      <c r="AG276" s="170"/>
      <c r="AH276" s="170"/>
      <c r="AI276" s="170"/>
      <c r="AJ276" s="170"/>
      <c r="AK276" s="170"/>
      <c r="AL276" s="170"/>
      <c r="AM276" s="170"/>
      <c r="AN276" s="170"/>
      <c r="AO276" s="170"/>
      <c r="AP276" s="170"/>
      <c r="AQ276" s="170"/>
      <c r="AR276" s="170"/>
      <c r="AS276" s="170"/>
    </row>
    <row r="277" spans="1:45" ht="15" x14ac:dyDescent="0.25">
      <c r="A277" s="170"/>
      <c r="B277" s="719"/>
      <c r="C277" s="170"/>
      <c r="D277" s="170"/>
      <c r="E277" s="170"/>
      <c r="F277" s="170"/>
      <c r="G277" s="721"/>
      <c r="H277" s="170"/>
      <c r="I277" s="170"/>
      <c r="J277" s="170"/>
      <c r="K277" s="170"/>
      <c r="L277" s="170"/>
      <c r="M277" s="730"/>
      <c r="N277" s="730"/>
      <c r="O277" s="730"/>
      <c r="P277" s="731"/>
      <c r="Q277" s="731"/>
      <c r="R277" s="730"/>
      <c r="S277" s="730"/>
      <c r="T277" s="723"/>
      <c r="U277" s="724"/>
      <c r="V277" s="725"/>
      <c r="W277" s="725"/>
      <c r="X277" s="723"/>
      <c r="Y277" s="723"/>
      <c r="Z277" s="723"/>
      <c r="AA277" s="726"/>
      <c r="AB277" s="726"/>
      <c r="AC277" s="170"/>
      <c r="AD277" s="586"/>
      <c r="AE277" s="586"/>
      <c r="AF277" s="170"/>
      <c r="AG277" s="170"/>
      <c r="AH277" s="170"/>
      <c r="AI277" s="170"/>
      <c r="AJ277" s="170"/>
      <c r="AK277" s="170"/>
      <c r="AL277" s="170"/>
      <c r="AM277" s="170"/>
      <c r="AN277" s="170"/>
      <c r="AO277" s="170"/>
      <c r="AP277" s="170"/>
      <c r="AQ277" s="170"/>
      <c r="AR277" s="170"/>
      <c r="AS277" s="170"/>
    </row>
    <row r="278" spans="1:45" ht="15" x14ac:dyDescent="0.25">
      <c r="A278" s="170"/>
      <c r="B278" s="719"/>
      <c r="C278" s="170"/>
      <c r="D278" s="170"/>
      <c r="E278" s="170"/>
      <c r="F278" s="170"/>
      <c r="G278" s="721"/>
      <c r="H278" s="170"/>
      <c r="I278" s="170"/>
      <c r="J278" s="170"/>
      <c r="K278" s="170"/>
      <c r="L278" s="170"/>
      <c r="M278" s="730"/>
      <c r="N278" s="730"/>
      <c r="O278" s="730"/>
      <c r="P278" s="731"/>
      <c r="Q278" s="731"/>
      <c r="R278" s="730"/>
      <c r="S278" s="730"/>
      <c r="T278" s="723"/>
      <c r="U278" s="724"/>
      <c r="V278" s="725"/>
      <c r="W278" s="725"/>
      <c r="X278" s="723"/>
      <c r="Y278" s="723"/>
      <c r="Z278" s="723"/>
      <c r="AA278" s="726"/>
      <c r="AB278" s="726"/>
      <c r="AC278" s="170"/>
      <c r="AD278" s="586"/>
      <c r="AE278" s="586"/>
      <c r="AF278" s="170"/>
      <c r="AG278" s="170"/>
      <c r="AH278" s="170"/>
      <c r="AI278" s="170"/>
      <c r="AJ278" s="170"/>
      <c r="AK278" s="170"/>
      <c r="AL278" s="170"/>
      <c r="AM278" s="170"/>
      <c r="AN278" s="170"/>
      <c r="AO278" s="170"/>
      <c r="AP278" s="170"/>
      <c r="AQ278" s="170"/>
      <c r="AR278" s="170"/>
      <c r="AS278" s="170"/>
    </row>
    <row r="279" spans="1:45" ht="15" x14ac:dyDescent="0.25">
      <c r="A279" s="170"/>
      <c r="B279" s="719"/>
      <c r="C279" s="170"/>
      <c r="D279" s="170"/>
      <c r="E279" s="170"/>
      <c r="F279" s="170"/>
      <c r="G279" s="721"/>
      <c r="H279" s="170"/>
      <c r="I279" s="170"/>
      <c r="J279" s="170"/>
      <c r="K279" s="170"/>
      <c r="L279" s="170"/>
      <c r="M279" s="730"/>
      <c r="N279" s="730"/>
      <c r="O279" s="730"/>
      <c r="P279" s="731"/>
      <c r="Q279" s="731"/>
      <c r="R279" s="730"/>
      <c r="S279" s="730"/>
      <c r="T279" s="723"/>
      <c r="U279" s="724"/>
      <c r="V279" s="725"/>
      <c r="W279" s="725"/>
      <c r="X279" s="723"/>
      <c r="Y279" s="723"/>
      <c r="Z279" s="723"/>
      <c r="AA279" s="726"/>
      <c r="AB279" s="726"/>
      <c r="AC279" s="170"/>
      <c r="AD279" s="586"/>
      <c r="AE279" s="586"/>
      <c r="AF279" s="170"/>
      <c r="AG279" s="170"/>
      <c r="AH279" s="170"/>
      <c r="AI279" s="170"/>
      <c r="AJ279" s="170"/>
      <c r="AK279" s="170"/>
      <c r="AL279" s="170"/>
      <c r="AM279" s="170"/>
      <c r="AN279" s="170"/>
      <c r="AO279" s="170"/>
      <c r="AP279" s="170"/>
      <c r="AQ279" s="170"/>
      <c r="AR279" s="170"/>
      <c r="AS279" s="170"/>
    </row>
    <row r="280" spans="1:45" ht="15" x14ac:dyDescent="0.25">
      <c r="A280" s="170"/>
      <c r="B280" s="719"/>
      <c r="C280" s="170"/>
      <c r="D280" s="170"/>
      <c r="E280" s="170"/>
      <c r="F280" s="170"/>
      <c r="G280" s="721"/>
      <c r="H280" s="170"/>
      <c r="I280" s="170"/>
      <c r="J280" s="170"/>
      <c r="K280" s="170"/>
      <c r="L280" s="170"/>
      <c r="M280" s="730"/>
      <c r="N280" s="730"/>
      <c r="O280" s="730"/>
      <c r="P280" s="731"/>
      <c r="Q280" s="731"/>
      <c r="R280" s="730"/>
      <c r="S280" s="730"/>
      <c r="T280" s="723"/>
      <c r="U280" s="724"/>
      <c r="V280" s="725"/>
      <c r="W280" s="725"/>
      <c r="X280" s="723"/>
      <c r="Y280" s="723"/>
      <c r="Z280" s="723"/>
      <c r="AA280" s="726"/>
      <c r="AB280" s="726"/>
      <c r="AC280" s="170"/>
      <c r="AD280" s="586"/>
      <c r="AE280" s="586"/>
      <c r="AF280" s="170"/>
      <c r="AG280" s="170"/>
      <c r="AH280" s="170"/>
      <c r="AI280" s="170"/>
      <c r="AJ280" s="170"/>
      <c r="AK280" s="170"/>
      <c r="AL280" s="170"/>
      <c r="AM280" s="170"/>
      <c r="AN280" s="170"/>
      <c r="AO280" s="170"/>
      <c r="AP280" s="170"/>
      <c r="AQ280" s="170"/>
      <c r="AR280" s="170"/>
      <c r="AS280" s="170"/>
    </row>
    <row r="281" spans="1:45" ht="15" x14ac:dyDescent="0.25">
      <c r="A281" s="170"/>
      <c r="B281" s="719"/>
      <c r="C281" s="170"/>
      <c r="D281" s="170"/>
      <c r="E281" s="170"/>
      <c r="F281" s="170"/>
      <c r="G281" s="721"/>
      <c r="H281" s="170"/>
      <c r="I281" s="170"/>
      <c r="J281" s="170"/>
      <c r="K281" s="170"/>
      <c r="L281" s="170"/>
      <c r="M281" s="730"/>
      <c r="N281" s="730"/>
      <c r="O281" s="730"/>
      <c r="P281" s="731"/>
      <c r="Q281" s="731"/>
      <c r="R281" s="730"/>
      <c r="S281" s="730"/>
      <c r="T281" s="723"/>
      <c r="U281" s="724"/>
      <c r="V281" s="725"/>
      <c r="W281" s="725"/>
      <c r="X281" s="723"/>
      <c r="Y281" s="723"/>
      <c r="Z281" s="723"/>
      <c r="AA281" s="726"/>
      <c r="AB281" s="726"/>
      <c r="AC281" s="170"/>
      <c r="AD281" s="586"/>
      <c r="AE281" s="586"/>
      <c r="AF281" s="170"/>
      <c r="AG281" s="170"/>
      <c r="AH281" s="170"/>
      <c r="AI281" s="170"/>
      <c r="AJ281" s="170"/>
      <c r="AK281" s="170"/>
      <c r="AL281" s="170"/>
      <c r="AM281" s="170"/>
      <c r="AN281" s="170"/>
      <c r="AO281" s="170"/>
      <c r="AP281" s="170"/>
      <c r="AQ281" s="170"/>
      <c r="AR281" s="170"/>
      <c r="AS281" s="170"/>
    </row>
    <row r="282" spans="1:45" ht="15" x14ac:dyDescent="0.25">
      <c r="A282" s="170"/>
      <c r="B282" s="719"/>
      <c r="C282" s="170"/>
      <c r="D282" s="170"/>
      <c r="E282" s="170"/>
      <c r="F282" s="170"/>
      <c r="G282" s="721"/>
      <c r="H282" s="170"/>
      <c r="I282" s="170"/>
      <c r="J282" s="170"/>
      <c r="K282" s="170"/>
      <c r="L282" s="170"/>
      <c r="M282" s="730"/>
      <c r="N282" s="730"/>
      <c r="O282" s="730"/>
      <c r="P282" s="731"/>
      <c r="Q282" s="731"/>
      <c r="R282" s="730"/>
      <c r="S282" s="730"/>
      <c r="T282" s="723"/>
      <c r="U282" s="724"/>
      <c r="V282" s="725"/>
      <c r="W282" s="725"/>
      <c r="X282" s="723"/>
      <c r="Y282" s="723"/>
      <c r="Z282" s="723"/>
      <c r="AA282" s="726"/>
      <c r="AB282" s="726"/>
      <c r="AC282" s="170"/>
      <c r="AD282" s="586"/>
      <c r="AE282" s="586"/>
      <c r="AF282" s="170"/>
      <c r="AG282" s="170"/>
      <c r="AH282" s="170"/>
      <c r="AI282" s="170"/>
      <c r="AJ282" s="170"/>
      <c r="AK282" s="170"/>
      <c r="AL282" s="170"/>
      <c r="AM282" s="170"/>
      <c r="AN282" s="170"/>
      <c r="AO282" s="170"/>
      <c r="AP282" s="170"/>
      <c r="AQ282" s="170"/>
      <c r="AR282" s="170"/>
      <c r="AS282" s="170"/>
    </row>
    <row r="283" spans="1:45" ht="15" x14ac:dyDescent="0.25">
      <c r="A283" s="170"/>
      <c r="B283" s="719"/>
      <c r="C283" s="170"/>
      <c r="D283" s="170"/>
      <c r="E283" s="170"/>
      <c r="F283" s="170"/>
      <c r="G283" s="721"/>
      <c r="H283" s="170"/>
      <c r="I283" s="170"/>
      <c r="J283" s="170"/>
      <c r="K283" s="170"/>
      <c r="L283" s="170"/>
      <c r="M283" s="730"/>
      <c r="N283" s="730"/>
      <c r="O283" s="730"/>
      <c r="P283" s="731"/>
      <c r="Q283" s="731"/>
      <c r="R283" s="730"/>
      <c r="S283" s="730"/>
      <c r="T283" s="723"/>
      <c r="U283" s="724"/>
      <c r="V283" s="725"/>
      <c r="W283" s="725"/>
      <c r="X283" s="723"/>
      <c r="Y283" s="723"/>
      <c r="Z283" s="723"/>
      <c r="AA283" s="726"/>
      <c r="AB283" s="726"/>
      <c r="AC283" s="170"/>
      <c r="AD283" s="586"/>
      <c r="AE283" s="586"/>
      <c r="AF283" s="170"/>
      <c r="AG283" s="170"/>
      <c r="AH283" s="170"/>
      <c r="AI283" s="170"/>
      <c r="AJ283" s="170"/>
      <c r="AK283" s="170"/>
      <c r="AL283" s="170"/>
      <c r="AM283" s="170"/>
      <c r="AN283" s="170"/>
      <c r="AO283" s="170"/>
      <c r="AP283" s="170"/>
      <c r="AQ283" s="170"/>
      <c r="AR283" s="170"/>
      <c r="AS283" s="170"/>
    </row>
    <row r="284" spans="1:45" ht="15" x14ac:dyDescent="0.25">
      <c r="A284" s="170"/>
      <c r="B284" s="719"/>
      <c r="C284" s="170"/>
      <c r="D284" s="170"/>
      <c r="E284" s="170"/>
      <c r="F284" s="170"/>
      <c r="G284" s="721"/>
      <c r="H284" s="170"/>
      <c r="I284" s="170"/>
      <c r="J284" s="170"/>
      <c r="K284" s="170"/>
      <c r="L284" s="170"/>
      <c r="M284" s="730"/>
      <c r="N284" s="730"/>
      <c r="O284" s="730"/>
      <c r="P284" s="731"/>
      <c r="Q284" s="731"/>
      <c r="R284" s="730"/>
      <c r="S284" s="730"/>
      <c r="T284" s="723"/>
      <c r="U284" s="724"/>
      <c r="V284" s="725"/>
      <c r="W284" s="725"/>
      <c r="X284" s="723"/>
      <c r="Y284" s="723"/>
      <c r="Z284" s="723"/>
      <c r="AA284" s="726"/>
      <c r="AB284" s="726"/>
      <c r="AC284" s="170"/>
      <c r="AD284" s="586"/>
      <c r="AE284" s="586"/>
      <c r="AF284" s="170"/>
      <c r="AG284" s="170"/>
      <c r="AH284" s="170"/>
      <c r="AI284" s="170"/>
      <c r="AJ284" s="170"/>
      <c r="AK284" s="170"/>
      <c r="AL284" s="170"/>
      <c r="AM284" s="170"/>
      <c r="AN284" s="170"/>
      <c r="AO284" s="170"/>
      <c r="AP284" s="170"/>
      <c r="AQ284" s="170"/>
      <c r="AR284" s="170"/>
      <c r="AS284" s="170"/>
    </row>
    <row r="285" spans="1:45" ht="15" x14ac:dyDescent="0.25">
      <c r="A285" s="170"/>
      <c r="B285" s="719"/>
      <c r="C285" s="170"/>
      <c r="D285" s="170"/>
      <c r="E285" s="170"/>
      <c r="F285" s="170"/>
      <c r="G285" s="721"/>
      <c r="H285" s="170"/>
      <c r="I285" s="170"/>
      <c r="J285" s="170"/>
      <c r="K285" s="170"/>
      <c r="L285" s="170"/>
      <c r="M285" s="730"/>
      <c r="N285" s="730"/>
      <c r="O285" s="730"/>
      <c r="P285" s="731"/>
      <c r="Q285" s="731"/>
      <c r="R285" s="730"/>
      <c r="S285" s="730"/>
      <c r="T285" s="723"/>
      <c r="U285" s="724"/>
      <c r="V285" s="725"/>
      <c r="W285" s="725"/>
      <c r="X285" s="723"/>
      <c r="Y285" s="723"/>
      <c r="Z285" s="723"/>
      <c r="AA285" s="726"/>
      <c r="AB285" s="726"/>
      <c r="AC285" s="170"/>
      <c r="AD285" s="586"/>
      <c r="AE285" s="586"/>
      <c r="AF285" s="170"/>
      <c r="AG285" s="170"/>
      <c r="AH285" s="170"/>
      <c r="AI285" s="170"/>
      <c r="AJ285" s="170"/>
      <c r="AK285" s="170"/>
      <c r="AL285" s="170"/>
      <c r="AM285" s="170"/>
      <c r="AN285" s="170"/>
      <c r="AO285" s="170"/>
      <c r="AP285" s="170"/>
      <c r="AQ285" s="170"/>
      <c r="AR285" s="170"/>
      <c r="AS285" s="170"/>
    </row>
    <row r="286" spans="1:45" ht="15" x14ac:dyDescent="0.25">
      <c r="A286" s="170"/>
      <c r="B286" s="719"/>
      <c r="C286" s="170"/>
      <c r="D286" s="170"/>
      <c r="E286" s="170"/>
      <c r="F286" s="170"/>
      <c r="G286" s="721"/>
      <c r="H286" s="170"/>
      <c r="I286" s="170"/>
      <c r="J286" s="170"/>
      <c r="K286" s="170"/>
      <c r="L286" s="170"/>
      <c r="M286" s="730"/>
      <c r="N286" s="730"/>
      <c r="O286" s="730"/>
      <c r="P286" s="731"/>
      <c r="Q286" s="731"/>
      <c r="R286" s="730"/>
      <c r="S286" s="730"/>
      <c r="T286" s="723"/>
      <c r="U286" s="724"/>
      <c r="V286" s="725"/>
      <c r="W286" s="725"/>
      <c r="X286" s="723"/>
      <c r="Y286" s="723"/>
      <c r="Z286" s="723"/>
      <c r="AA286" s="726"/>
      <c r="AB286" s="726"/>
      <c r="AC286" s="170"/>
      <c r="AD286" s="586"/>
      <c r="AE286" s="586"/>
      <c r="AF286" s="170"/>
      <c r="AG286" s="170"/>
      <c r="AH286" s="170"/>
      <c r="AI286" s="170"/>
      <c r="AJ286" s="170"/>
      <c r="AK286" s="170"/>
      <c r="AL286" s="170"/>
      <c r="AM286" s="170"/>
      <c r="AN286" s="170"/>
      <c r="AO286" s="170"/>
      <c r="AP286" s="170"/>
      <c r="AQ286" s="170"/>
      <c r="AR286" s="170"/>
      <c r="AS286" s="170"/>
    </row>
    <row r="287" spans="1:45" ht="15" x14ac:dyDescent="0.25">
      <c r="A287" s="170"/>
      <c r="B287" s="719"/>
      <c r="C287" s="170"/>
      <c r="D287" s="170"/>
      <c r="E287" s="170"/>
      <c r="F287" s="170"/>
      <c r="G287" s="721"/>
      <c r="H287" s="170"/>
      <c r="I287" s="170"/>
      <c r="J287" s="170"/>
      <c r="K287" s="170"/>
      <c r="L287" s="170"/>
      <c r="M287" s="730"/>
      <c r="N287" s="730"/>
      <c r="O287" s="730"/>
      <c r="P287" s="731"/>
      <c r="Q287" s="731"/>
      <c r="R287" s="730"/>
      <c r="S287" s="730"/>
      <c r="T287" s="723"/>
      <c r="U287" s="724"/>
      <c r="V287" s="725"/>
      <c r="W287" s="725"/>
      <c r="X287" s="723"/>
      <c r="Y287" s="723"/>
      <c r="Z287" s="723"/>
      <c r="AA287" s="726"/>
      <c r="AB287" s="726"/>
      <c r="AC287" s="170"/>
      <c r="AD287" s="586"/>
      <c r="AE287" s="586"/>
      <c r="AF287" s="170"/>
      <c r="AG287" s="170"/>
      <c r="AH287" s="170"/>
      <c r="AI287" s="170"/>
      <c r="AJ287" s="170"/>
      <c r="AK287" s="170"/>
      <c r="AL287" s="170"/>
      <c r="AM287" s="170"/>
      <c r="AN287" s="170"/>
      <c r="AO287" s="170"/>
      <c r="AP287" s="170"/>
      <c r="AQ287" s="170"/>
      <c r="AR287" s="170"/>
      <c r="AS287" s="170"/>
    </row>
    <row r="288" spans="1:45" ht="15" x14ac:dyDescent="0.25">
      <c r="A288" s="170"/>
      <c r="B288" s="719"/>
      <c r="C288" s="170"/>
      <c r="D288" s="170"/>
      <c r="E288" s="170"/>
      <c r="F288" s="170"/>
      <c r="G288" s="721"/>
      <c r="H288" s="170"/>
      <c r="I288" s="170"/>
      <c r="J288" s="170"/>
      <c r="K288" s="170"/>
      <c r="L288" s="170"/>
      <c r="M288" s="730"/>
      <c r="N288" s="730"/>
      <c r="O288" s="730"/>
      <c r="P288" s="731"/>
      <c r="Q288" s="731"/>
      <c r="R288" s="730"/>
      <c r="S288" s="730"/>
      <c r="T288" s="723"/>
      <c r="U288" s="724"/>
      <c r="V288" s="725"/>
      <c r="W288" s="725"/>
      <c r="X288" s="723"/>
      <c r="Y288" s="723"/>
      <c r="Z288" s="723"/>
      <c r="AA288" s="726"/>
      <c r="AB288" s="726"/>
      <c r="AC288" s="170"/>
      <c r="AD288" s="586"/>
      <c r="AE288" s="586"/>
      <c r="AF288" s="170"/>
      <c r="AG288" s="170"/>
      <c r="AH288" s="170"/>
      <c r="AI288" s="170"/>
      <c r="AJ288" s="170"/>
      <c r="AK288" s="170"/>
      <c r="AL288" s="170"/>
      <c r="AM288" s="170"/>
      <c r="AN288" s="170"/>
      <c r="AO288" s="170"/>
      <c r="AP288" s="170"/>
      <c r="AQ288" s="170"/>
      <c r="AR288" s="170"/>
      <c r="AS288" s="170"/>
    </row>
    <row r="289" spans="1:45" ht="15" x14ac:dyDescent="0.25">
      <c r="A289" s="170"/>
      <c r="B289" s="719"/>
      <c r="C289" s="170"/>
      <c r="D289" s="170"/>
      <c r="E289" s="170"/>
      <c r="F289" s="170"/>
      <c r="G289" s="721"/>
      <c r="H289" s="170"/>
      <c r="I289" s="170"/>
      <c r="J289" s="170"/>
      <c r="K289" s="170"/>
      <c r="L289" s="170"/>
      <c r="M289" s="730"/>
      <c r="N289" s="730"/>
      <c r="O289" s="730"/>
      <c r="P289" s="731"/>
      <c r="Q289" s="731"/>
      <c r="R289" s="730"/>
      <c r="S289" s="730"/>
      <c r="T289" s="723"/>
      <c r="U289" s="724"/>
      <c r="V289" s="725"/>
      <c r="W289" s="725"/>
      <c r="X289" s="723"/>
      <c r="Y289" s="723"/>
      <c r="Z289" s="723"/>
      <c r="AA289" s="726"/>
      <c r="AB289" s="726"/>
      <c r="AC289" s="170"/>
      <c r="AD289" s="586"/>
      <c r="AE289" s="586"/>
      <c r="AF289" s="170"/>
      <c r="AG289" s="170"/>
      <c r="AH289" s="170"/>
      <c r="AI289" s="170"/>
      <c r="AJ289" s="170"/>
      <c r="AK289" s="170"/>
      <c r="AL289" s="170"/>
      <c r="AM289" s="170"/>
      <c r="AN289" s="170"/>
      <c r="AO289" s="170"/>
      <c r="AP289" s="170"/>
      <c r="AQ289" s="170"/>
      <c r="AR289" s="170"/>
      <c r="AS289" s="170"/>
    </row>
    <row r="290" spans="1:45" ht="15" x14ac:dyDescent="0.25">
      <c r="A290" s="170"/>
      <c r="B290" s="719"/>
      <c r="C290" s="170"/>
      <c r="D290" s="170"/>
      <c r="E290" s="170"/>
      <c r="F290" s="170"/>
      <c r="G290" s="721"/>
      <c r="H290" s="170"/>
      <c r="I290" s="170"/>
      <c r="J290" s="170"/>
      <c r="K290" s="170"/>
      <c r="L290" s="170"/>
      <c r="M290" s="730"/>
      <c r="N290" s="730"/>
      <c r="O290" s="730"/>
      <c r="P290" s="731"/>
      <c r="Q290" s="731"/>
      <c r="R290" s="730"/>
      <c r="S290" s="730"/>
      <c r="T290" s="723"/>
      <c r="U290" s="724"/>
      <c r="V290" s="725"/>
      <c r="W290" s="725"/>
      <c r="X290" s="723"/>
      <c r="Y290" s="723"/>
      <c r="Z290" s="723"/>
      <c r="AA290" s="726"/>
      <c r="AB290" s="726"/>
      <c r="AC290" s="170"/>
      <c r="AD290" s="586"/>
      <c r="AE290" s="586"/>
      <c r="AF290" s="170"/>
      <c r="AG290" s="170"/>
      <c r="AH290" s="170"/>
      <c r="AI290" s="170"/>
      <c r="AJ290" s="170"/>
      <c r="AK290" s="170"/>
      <c r="AL290" s="170"/>
      <c r="AM290" s="170"/>
      <c r="AN290" s="170"/>
      <c r="AO290" s="170"/>
      <c r="AP290" s="170"/>
      <c r="AQ290" s="170"/>
      <c r="AR290" s="170"/>
      <c r="AS290" s="170"/>
    </row>
    <row r="291" spans="1:45" ht="15" x14ac:dyDescent="0.25">
      <c r="A291" s="170"/>
      <c r="B291" s="719"/>
      <c r="C291" s="170"/>
      <c r="D291" s="170"/>
      <c r="E291" s="170"/>
      <c r="F291" s="170"/>
      <c r="G291" s="721"/>
      <c r="H291" s="170"/>
      <c r="I291" s="170"/>
      <c r="J291" s="170"/>
      <c r="K291" s="170"/>
      <c r="L291" s="170"/>
      <c r="M291" s="730"/>
      <c r="N291" s="730"/>
      <c r="O291" s="730"/>
      <c r="P291" s="731"/>
      <c r="Q291" s="731"/>
      <c r="R291" s="730"/>
      <c r="S291" s="730"/>
      <c r="T291" s="723"/>
      <c r="U291" s="724"/>
      <c r="V291" s="725"/>
      <c r="W291" s="725"/>
      <c r="X291" s="723"/>
      <c r="Y291" s="723"/>
      <c r="Z291" s="723"/>
      <c r="AA291" s="726"/>
      <c r="AB291" s="726"/>
      <c r="AC291" s="170"/>
      <c r="AD291" s="586"/>
      <c r="AE291" s="586"/>
      <c r="AF291" s="170"/>
      <c r="AG291" s="170"/>
      <c r="AH291" s="170"/>
      <c r="AI291" s="170"/>
      <c r="AJ291" s="170"/>
      <c r="AK291" s="170"/>
      <c r="AL291" s="170"/>
      <c r="AM291" s="170"/>
      <c r="AN291" s="170"/>
      <c r="AO291" s="170"/>
      <c r="AP291" s="170"/>
      <c r="AQ291" s="170"/>
      <c r="AR291" s="170"/>
      <c r="AS291" s="170"/>
    </row>
    <row r="292" spans="1:45" ht="15" x14ac:dyDescent="0.25">
      <c r="A292" s="170"/>
      <c r="B292" s="719"/>
      <c r="C292" s="170"/>
      <c r="D292" s="170"/>
      <c r="E292" s="170"/>
      <c r="F292" s="170"/>
      <c r="G292" s="721"/>
      <c r="H292" s="170"/>
      <c r="I292" s="170"/>
      <c r="J292" s="170"/>
      <c r="K292" s="170"/>
      <c r="L292" s="170"/>
      <c r="M292" s="730"/>
      <c r="N292" s="730"/>
      <c r="O292" s="730"/>
      <c r="P292" s="731"/>
      <c r="Q292" s="731"/>
      <c r="R292" s="730"/>
      <c r="S292" s="730"/>
      <c r="T292" s="723"/>
      <c r="U292" s="724"/>
      <c r="V292" s="725"/>
      <c r="W292" s="725"/>
      <c r="X292" s="723"/>
      <c r="Y292" s="723"/>
      <c r="Z292" s="723"/>
      <c r="AA292" s="726"/>
      <c r="AB292" s="726"/>
      <c r="AC292" s="170"/>
      <c r="AD292" s="586"/>
      <c r="AE292" s="586"/>
      <c r="AF292" s="170"/>
      <c r="AG292" s="170"/>
      <c r="AH292" s="170"/>
      <c r="AI292" s="170"/>
      <c r="AJ292" s="170"/>
      <c r="AK292" s="170"/>
      <c r="AL292" s="170"/>
      <c r="AM292" s="170"/>
      <c r="AN292" s="170"/>
      <c r="AO292" s="170"/>
      <c r="AP292" s="170"/>
      <c r="AQ292" s="170"/>
      <c r="AR292" s="170"/>
      <c r="AS292" s="170"/>
    </row>
    <row r="293" spans="1:45" ht="15" x14ac:dyDescent="0.25">
      <c r="A293" s="170"/>
      <c r="B293" s="719"/>
      <c r="C293" s="170"/>
      <c r="D293" s="170"/>
      <c r="E293" s="170"/>
      <c r="F293" s="170"/>
      <c r="G293" s="721"/>
      <c r="H293" s="170"/>
      <c r="I293" s="170"/>
      <c r="J293" s="170"/>
      <c r="K293" s="170"/>
      <c r="L293" s="170"/>
      <c r="M293" s="730"/>
      <c r="N293" s="730"/>
      <c r="O293" s="730"/>
      <c r="P293" s="731"/>
      <c r="Q293" s="731"/>
      <c r="R293" s="730"/>
      <c r="S293" s="730"/>
      <c r="T293" s="723"/>
      <c r="U293" s="724"/>
      <c r="V293" s="725"/>
      <c r="W293" s="725"/>
      <c r="X293" s="723"/>
      <c r="Y293" s="723"/>
      <c r="Z293" s="723"/>
      <c r="AA293" s="726"/>
      <c r="AB293" s="726"/>
      <c r="AC293" s="170"/>
      <c r="AD293" s="586"/>
      <c r="AE293" s="586"/>
      <c r="AF293" s="170"/>
      <c r="AG293" s="170"/>
      <c r="AH293" s="170"/>
      <c r="AI293" s="170"/>
      <c r="AJ293" s="170"/>
      <c r="AK293" s="170"/>
      <c r="AL293" s="170"/>
      <c r="AM293" s="170"/>
      <c r="AN293" s="170"/>
      <c r="AO293" s="170"/>
      <c r="AP293" s="170"/>
      <c r="AQ293" s="170"/>
      <c r="AR293" s="170"/>
      <c r="AS293" s="170"/>
    </row>
    <row r="294" spans="1:45" ht="15" x14ac:dyDescent="0.25">
      <c r="A294" s="170"/>
      <c r="B294" s="719"/>
      <c r="C294" s="170"/>
      <c r="D294" s="170"/>
      <c r="E294" s="170"/>
      <c r="F294" s="170"/>
      <c r="G294" s="721"/>
      <c r="H294" s="170"/>
      <c r="I294" s="170"/>
      <c r="J294" s="170"/>
      <c r="K294" s="170"/>
      <c r="L294" s="170"/>
      <c r="M294" s="730"/>
      <c r="N294" s="730"/>
      <c r="O294" s="730"/>
      <c r="P294" s="731"/>
      <c r="Q294" s="731"/>
      <c r="R294" s="730"/>
      <c r="S294" s="730"/>
      <c r="T294" s="723"/>
      <c r="U294" s="724"/>
      <c r="V294" s="725"/>
      <c r="W294" s="725"/>
      <c r="X294" s="723"/>
      <c r="Y294" s="723"/>
      <c r="Z294" s="723"/>
      <c r="AA294" s="726"/>
      <c r="AB294" s="726"/>
      <c r="AC294" s="170"/>
      <c r="AD294" s="586"/>
      <c r="AE294" s="586"/>
      <c r="AF294" s="170"/>
      <c r="AG294" s="170"/>
      <c r="AH294" s="170"/>
      <c r="AI294" s="170"/>
      <c r="AJ294" s="170"/>
      <c r="AK294" s="170"/>
      <c r="AL294" s="170"/>
      <c r="AM294" s="170"/>
      <c r="AN294" s="170"/>
      <c r="AO294" s="170"/>
      <c r="AP294" s="170"/>
      <c r="AQ294" s="170"/>
      <c r="AR294" s="170"/>
      <c r="AS294" s="170"/>
    </row>
    <row r="295" spans="1:45" ht="15" x14ac:dyDescent="0.25">
      <c r="A295" s="170"/>
      <c r="B295" s="719"/>
      <c r="C295" s="170"/>
      <c r="D295" s="170"/>
      <c r="E295" s="170"/>
      <c r="F295" s="170"/>
      <c r="G295" s="721"/>
      <c r="H295" s="170"/>
      <c r="I295" s="170"/>
      <c r="J295" s="170"/>
      <c r="K295" s="170"/>
      <c r="L295" s="170"/>
      <c r="M295" s="730"/>
      <c r="N295" s="730"/>
      <c r="O295" s="730"/>
      <c r="P295" s="731"/>
      <c r="Q295" s="731"/>
      <c r="R295" s="730"/>
      <c r="S295" s="730"/>
      <c r="T295" s="723"/>
      <c r="U295" s="724"/>
      <c r="V295" s="725"/>
      <c r="W295" s="725"/>
      <c r="X295" s="723"/>
      <c r="Y295" s="723"/>
      <c r="Z295" s="723"/>
      <c r="AA295" s="726"/>
      <c r="AB295" s="726"/>
      <c r="AC295" s="170"/>
      <c r="AD295" s="586"/>
      <c r="AE295" s="586"/>
      <c r="AF295" s="170"/>
      <c r="AG295" s="170"/>
      <c r="AH295" s="170"/>
      <c r="AI295" s="170"/>
      <c r="AJ295" s="170"/>
      <c r="AK295" s="170"/>
      <c r="AL295" s="170"/>
      <c r="AM295" s="170"/>
      <c r="AN295" s="170"/>
      <c r="AO295" s="170"/>
      <c r="AP295" s="170"/>
      <c r="AQ295" s="170"/>
      <c r="AR295" s="170"/>
      <c r="AS295" s="170"/>
    </row>
    <row r="296" spans="1:45" ht="15" x14ac:dyDescent="0.25">
      <c r="A296" s="170"/>
      <c r="B296" s="719"/>
      <c r="C296" s="170"/>
      <c r="D296" s="170"/>
      <c r="E296" s="170"/>
      <c r="F296" s="170"/>
      <c r="G296" s="721"/>
      <c r="H296" s="170"/>
      <c r="I296" s="170"/>
      <c r="J296" s="170"/>
      <c r="K296" s="170"/>
      <c r="L296" s="170"/>
      <c r="M296" s="730"/>
      <c r="N296" s="730"/>
      <c r="O296" s="730"/>
      <c r="P296" s="731"/>
      <c r="Q296" s="731"/>
      <c r="R296" s="730"/>
      <c r="S296" s="730"/>
      <c r="T296" s="723"/>
      <c r="U296" s="724"/>
      <c r="V296" s="725"/>
      <c r="W296" s="725"/>
      <c r="X296" s="723"/>
      <c r="Y296" s="723"/>
      <c r="Z296" s="723"/>
      <c r="AA296" s="726"/>
      <c r="AB296" s="726"/>
      <c r="AC296" s="170"/>
      <c r="AD296" s="586"/>
      <c r="AE296" s="586"/>
      <c r="AF296" s="170"/>
      <c r="AG296" s="170"/>
      <c r="AH296" s="170"/>
      <c r="AI296" s="170"/>
      <c r="AJ296" s="170"/>
      <c r="AK296" s="170"/>
      <c r="AL296" s="170"/>
      <c r="AM296" s="170"/>
      <c r="AN296" s="170"/>
      <c r="AO296" s="170"/>
      <c r="AP296" s="170"/>
      <c r="AQ296" s="170"/>
      <c r="AR296" s="170"/>
      <c r="AS296" s="170"/>
    </row>
    <row r="297" spans="1:45" ht="15" x14ac:dyDescent="0.25">
      <c r="A297" s="170"/>
      <c r="B297" s="719"/>
      <c r="C297" s="170"/>
      <c r="D297" s="170"/>
      <c r="E297" s="170"/>
      <c r="F297" s="170"/>
      <c r="G297" s="721"/>
      <c r="H297" s="170"/>
      <c r="I297" s="170"/>
      <c r="J297" s="170"/>
      <c r="K297" s="170"/>
      <c r="L297" s="170"/>
      <c r="M297" s="730"/>
      <c r="N297" s="730"/>
      <c r="O297" s="730"/>
      <c r="P297" s="731"/>
      <c r="Q297" s="731"/>
      <c r="R297" s="730"/>
      <c r="S297" s="730"/>
      <c r="T297" s="723"/>
      <c r="U297" s="724"/>
      <c r="V297" s="725"/>
      <c r="W297" s="725"/>
      <c r="X297" s="723"/>
      <c r="Y297" s="723"/>
      <c r="Z297" s="723"/>
      <c r="AA297" s="726"/>
      <c r="AB297" s="726"/>
      <c r="AC297" s="170"/>
      <c r="AD297" s="586"/>
      <c r="AE297" s="586"/>
      <c r="AF297" s="170"/>
      <c r="AG297" s="170"/>
      <c r="AH297" s="170"/>
      <c r="AI297" s="170"/>
      <c r="AJ297" s="170"/>
      <c r="AK297" s="170"/>
      <c r="AL297" s="170"/>
      <c r="AM297" s="170"/>
      <c r="AN297" s="170"/>
      <c r="AO297" s="170"/>
      <c r="AP297" s="170"/>
      <c r="AQ297" s="170"/>
      <c r="AR297" s="170"/>
      <c r="AS297" s="170"/>
    </row>
    <row r="298" spans="1:45" ht="15" x14ac:dyDescent="0.25">
      <c r="A298" s="170"/>
      <c r="B298" s="719"/>
      <c r="C298" s="170"/>
      <c r="D298" s="170"/>
      <c r="E298" s="170"/>
      <c r="F298" s="170"/>
      <c r="G298" s="721"/>
      <c r="H298" s="170"/>
      <c r="I298" s="170"/>
      <c r="J298" s="170"/>
      <c r="K298" s="170"/>
      <c r="L298" s="170"/>
      <c r="M298" s="730"/>
      <c r="N298" s="730"/>
      <c r="O298" s="730"/>
      <c r="P298" s="731"/>
      <c r="Q298" s="731"/>
      <c r="R298" s="730"/>
      <c r="S298" s="730"/>
      <c r="T298" s="723"/>
      <c r="U298" s="724"/>
      <c r="V298" s="725"/>
      <c r="W298" s="725"/>
      <c r="X298" s="723"/>
      <c r="Y298" s="723"/>
      <c r="Z298" s="723"/>
      <c r="AA298" s="726"/>
      <c r="AB298" s="726"/>
      <c r="AC298" s="170"/>
      <c r="AD298" s="586"/>
      <c r="AE298" s="586"/>
      <c r="AF298" s="170"/>
      <c r="AG298" s="170"/>
      <c r="AH298" s="170"/>
      <c r="AI298" s="170"/>
      <c r="AJ298" s="170"/>
      <c r="AK298" s="170"/>
      <c r="AL298" s="170"/>
      <c r="AM298" s="170"/>
      <c r="AN298" s="170"/>
      <c r="AO298" s="170"/>
      <c r="AP298" s="170"/>
      <c r="AQ298" s="170"/>
      <c r="AR298" s="170"/>
      <c r="AS298" s="170"/>
    </row>
    <row r="299" spans="1:45" ht="15" x14ac:dyDescent="0.25">
      <c r="A299" s="170"/>
      <c r="B299" s="719"/>
      <c r="C299" s="170"/>
      <c r="D299" s="170"/>
      <c r="E299" s="170"/>
      <c r="F299" s="170"/>
      <c r="G299" s="721"/>
      <c r="H299" s="170"/>
      <c r="I299" s="170"/>
      <c r="J299" s="170"/>
      <c r="K299" s="170"/>
      <c r="L299" s="170"/>
      <c r="M299" s="730"/>
      <c r="N299" s="730"/>
      <c r="O299" s="730"/>
      <c r="P299" s="731"/>
      <c r="Q299" s="731"/>
      <c r="R299" s="730"/>
      <c r="S299" s="730"/>
      <c r="T299" s="723"/>
      <c r="U299" s="724"/>
      <c r="V299" s="725"/>
      <c r="W299" s="725"/>
      <c r="X299" s="723"/>
      <c r="Y299" s="723"/>
      <c r="Z299" s="723"/>
      <c r="AA299" s="726"/>
      <c r="AB299" s="726"/>
      <c r="AC299" s="170"/>
      <c r="AD299" s="586"/>
      <c r="AE299" s="586"/>
      <c r="AF299" s="170"/>
      <c r="AG299" s="170"/>
      <c r="AH299" s="170"/>
      <c r="AI299" s="170"/>
      <c r="AJ299" s="170"/>
      <c r="AK299" s="170"/>
      <c r="AL299" s="170"/>
      <c r="AM299" s="170"/>
      <c r="AN299" s="170"/>
      <c r="AO299" s="170"/>
      <c r="AP299" s="170"/>
      <c r="AQ299" s="170"/>
      <c r="AR299" s="170"/>
      <c r="AS299" s="170"/>
    </row>
    <row r="300" spans="1:45" ht="15" x14ac:dyDescent="0.25">
      <c r="A300" s="170"/>
      <c r="B300" s="719"/>
      <c r="C300" s="170"/>
      <c r="D300" s="170"/>
      <c r="E300" s="170"/>
      <c r="F300" s="170"/>
      <c r="G300" s="721"/>
      <c r="H300" s="170"/>
      <c r="I300" s="170"/>
      <c r="J300" s="170"/>
      <c r="K300" s="170"/>
      <c r="L300" s="170"/>
      <c r="M300" s="730"/>
      <c r="N300" s="730"/>
      <c r="O300" s="730"/>
      <c r="P300" s="731"/>
      <c r="Q300" s="731"/>
      <c r="R300" s="730"/>
      <c r="S300" s="730"/>
      <c r="T300" s="723"/>
      <c r="U300" s="724"/>
      <c r="V300" s="725"/>
      <c r="W300" s="725"/>
      <c r="X300" s="723"/>
      <c r="Y300" s="723"/>
      <c r="Z300" s="723"/>
      <c r="AA300" s="726"/>
      <c r="AB300" s="726"/>
      <c r="AC300" s="170"/>
      <c r="AD300" s="586"/>
      <c r="AE300" s="586"/>
      <c r="AF300" s="170"/>
      <c r="AG300" s="170"/>
      <c r="AH300" s="170"/>
      <c r="AI300" s="170"/>
      <c r="AJ300" s="170"/>
      <c r="AK300" s="170"/>
      <c r="AL300" s="170"/>
      <c r="AM300" s="170"/>
      <c r="AN300" s="170"/>
      <c r="AO300" s="170"/>
      <c r="AP300" s="170"/>
      <c r="AQ300" s="170"/>
      <c r="AR300" s="170"/>
      <c r="AS300" s="170"/>
    </row>
    <row r="301" spans="1:45" ht="15" x14ac:dyDescent="0.25">
      <c r="A301" s="170"/>
      <c r="B301" s="719"/>
      <c r="C301" s="170"/>
      <c r="D301" s="170"/>
      <c r="E301" s="170"/>
      <c r="F301" s="170"/>
      <c r="G301" s="721"/>
      <c r="H301" s="170"/>
      <c r="I301" s="170"/>
      <c r="J301" s="170"/>
      <c r="K301" s="170"/>
      <c r="L301" s="170"/>
      <c r="M301" s="730"/>
      <c r="N301" s="730"/>
      <c r="O301" s="730"/>
      <c r="P301" s="731"/>
      <c r="Q301" s="731"/>
      <c r="R301" s="730"/>
      <c r="S301" s="730"/>
      <c r="T301" s="723"/>
      <c r="U301" s="724"/>
      <c r="V301" s="725"/>
      <c r="W301" s="725"/>
      <c r="X301" s="723"/>
      <c r="Y301" s="723"/>
      <c r="Z301" s="723"/>
      <c r="AA301" s="726"/>
      <c r="AB301" s="726"/>
      <c r="AC301" s="170"/>
      <c r="AD301" s="586"/>
      <c r="AE301" s="586"/>
      <c r="AF301" s="170"/>
      <c r="AG301" s="170"/>
      <c r="AH301" s="170"/>
      <c r="AI301" s="170"/>
      <c r="AJ301" s="170"/>
      <c r="AK301" s="170"/>
      <c r="AL301" s="170"/>
      <c r="AM301" s="170"/>
      <c r="AN301" s="170"/>
      <c r="AO301" s="170"/>
      <c r="AP301" s="170"/>
      <c r="AQ301" s="170"/>
      <c r="AR301" s="170"/>
      <c r="AS301" s="170"/>
    </row>
    <row r="302" spans="1:45" ht="15" x14ac:dyDescent="0.25">
      <c r="A302" s="170"/>
      <c r="B302" s="719"/>
      <c r="C302" s="170"/>
      <c r="D302" s="170"/>
      <c r="E302" s="170"/>
      <c r="F302" s="170"/>
      <c r="G302" s="721"/>
      <c r="H302" s="170"/>
      <c r="I302" s="170"/>
      <c r="J302" s="170"/>
      <c r="K302" s="170"/>
      <c r="L302" s="170"/>
      <c r="M302" s="730"/>
      <c r="N302" s="730"/>
      <c r="O302" s="730"/>
      <c r="P302" s="731"/>
      <c r="Q302" s="731"/>
      <c r="R302" s="730"/>
      <c r="S302" s="730"/>
      <c r="T302" s="723"/>
      <c r="U302" s="724"/>
      <c r="V302" s="725"/>
      <c r="W302" s="725"/>
      <c r="X302" s="723"/>
      <c r="Y302" s="723"/>
      <c r="Z302" s="723"/>
      <c r="AA302" s="726"/>
      <c r="AB302" s="726"/>
      <c r="AC302" s="170"/>
      <c r="AD302" s="586"/>
      <c r="AE302" s="586"/>
      <c r="AF302" s="170"/>
      <c r="AG302" s="170"/>
      <c r="AH302" s="170"/>
      <c r="AI302" s="170"/>
      <c r="AJ302" s="170"/>
      <c r="AK302" s="170"/>
      <c r="AL302" s="170"/>
      <c r="AM302" s="170"/>
      <c r="AN302" s="170"/>
      <c r="AO302" s="170"/>
      <c r="AP302" s="170"/>
      <c r="AQ302" s="170"/>
      <c r="AR302" s="170"/>
      <c r="AS302" s="170"/>
    </row>
    <row r="303" spans="1:45" ht="15" x14ac:dyDescent="0.25">
      <c r="A303" s="170"/>
      <c r="B303" s="719"/>
      <c r="C303" s="170"/>
      <c r="D303" s="170"/>
      <c r="E303" s="170"/>
      <c r="F303" s="170"/>
      <c r="G303" s="721"/>
      <c r="H303" s="170"/>
      <c r="I303" s="170"/>
      <c r="J303" s="170"/>
      <c r="K303" s="170"/>
      <c r="L303" s="170"/>
      <c r="M303" s="730"/>
      <c r="N303" s="730"/>
      <c r="O303" s="730"/>
      <c r="P303" s="731"/>
      <c r="Q303" s="731"/>
      <c r="R303" s="730"/>
      <c r="S303" s="730"/>
      <c r="T303" s="723"/>
      <c r="U303" s="724"/>
      <c r="V303" s="725"/>
      <c r="W303" s="725"/>
      <c r="X303" s="723"/>
      <c r="Y303" s="723"/>
      <c r="Z303" s="723"/>
      <c r="AA303" s="726"/>
      <c r="AB303" s="726"/>
      <c r="AC303" s="170"/>
      <c r="AD303" s="586"/>
      <c r="AE303" s="586"/>
      <c r="AF303" s="170"/>
      <c r="AG303" s="170"/>
      <c r="AH303" s="170"/>
      <c r="AI303" s="170"/>
      <c r="AJ303" s="170"/>
      <c r="AK303" s="170"/>
      <c r="AL303" s="170"/>
      <c r="AM303" s="170"/>
      <c r="AN303" s="170"/>
      <c r="AO303" s="170"/>
      <c r="AP303" s="170"/>
      <c r="AQ303" s="170"/>
      <c r="AR303" s="170"/>
      <c r="AS303" s="170"/>
    </row>
    <row r="304" spans="1:45" ht="15" x14ac:dyDescent="0.25">
      <c r="A304" s="170"/>
      <c r="B304" s="719"/>
      <c r="C304" s="170"/>
      <c r="D304" s="170"/>
      <c r="E304" s="170"/>
      <c r="F304" s="170"/>
      <c r="G304" s="721"/>
      <c r="H304" s="170"/>
      <c r="I304" s="170"/>
      <c r="J304" s="170"/>
      <c r="K304" s="170"/>
      <c r="L304" s="170"/>
      <c r="M304" s="730"/>
      <c r="N304" s="730"/>
      <c r="O304" s="730"/>
      <c r="P304" s="731"/>
      <c r="Q304" s="731"/>
      <c r="R304" s="730"/>
      <c r="S304" s="730"/>
      <c r="T304" s="723"/>
      <c r="U304" s="724"/>
      <c r="V304" s="725"/>
      <c r="W304" s="725"/>
      <c r="X304" s="723"/>
      <c r="Y304" s="723"/>
      <c r="Z304" s="723"/>
      <c r="AA304" s="726"/>
      <c r="AB304" s="726"/>
      <c r="AC304" s="170"/>
      <c r="AD304" s="586"/>
      <c r="AE304" s="586"/>
      <c r="AF304" s="170"/>
      <c r="AG304" s="170"/>
      <c r="AH304" s="170"/>
      <c r="AI304" s="170"/>
      <c r="AJ304" s="170"/>
      <c r="AK304" s="170"/>
      <c r="AL304" s="170"/>
      <c r="AM304" s="170"/>
      <c r="AN304" s="170"/>
      <c r="AO304" s="170"/>
      <c r="AP304" s="170"/>
      <c r="AQ304" s="170"/>
      <c r="AR304" s="170"/>
      <c r="AS304" s="170"/>
    </row>
    <row r="305" spans="1:45" ht="15" x14ac:dyDescent="0.25">
      <c r="A305" s="170"/>
      <c r="B305" s="719"/>
      <c r="C305" s="170"/>
      <c r="D305" s="170"/>
      <c r="E305" s="170"/>
      <c r="F305" s="170"/>
      <c r="G305" s="721"/>
      <c r="H305" s="170"/>
      <c r="I305" s="170"/>
      <c r="J305" s="170"/>
      <c r="K305" s="170"/>
      <c r="L305" s="170"/>
      <c r="M305" s="730"/>
      <c r="N305" s="730"/>
      <c r="O305" s="730"/>
      <c r="P305" s="731"/>
      <c r="Q305" s="731"/>
      <c r="R305" s="730"/>
      <c r="S305" s="730"/>
      <c r="T305" s="723"/>
      <c r="U305" s="724"/>
      <c r="V305" s="725"/>
      <c r="W305" s="725"/>
      <c r="X305" s="723"/>
      <c r="Y305" s="723"/>
      <c r="Z305" s="723"/>
      <c r="AA305" s="726"/>
      <c r="AB305" s="726"/>
      <c r="AC305" s="170"/>
      <c r="AD305" s="586"/>
      <c r="AE305" s="586"/>
      <c r="AF305" s="170"/>
      <c r="AG305" s="170"/>
      <c r="AH305" s="170"/>
      <c r="AI305" s="170"/>
      <c r="AJ305" s="170"/>
      <c r="AK305" s="170"/>
      <c r="AL305" s="170"/>
      <c r="AM305" s="170"/>
      <c r="AN305" s="170"/>
      <c r="AO305" s="170"/>
      <c r="AP305" s="170"/>
      <c r="AQ305" s="170"/>
      <c r="AR305" s="170"/>
      <c r="AS305" s="170"/>
    </row>
    <row r="306" spans="1:45" ht="15" x14ac:dyDescent="0.25">
      <c r="A306" s="170"/>
      <c r="B306" s="719"/>
      <c r="C306" s="170"/>
      <c r="D306" s="170"/>
      <c r="E306" s="170"/>
      <c r="F306" s="170"/>
      <c r="G306" s="721"/>
      <c r="H306" s="170"/>
      <c r="I306" s="170"/>
      <c r="J306" s="170"/>
      <c r="K306" s="170"/>
      <c r="L306" s="170"/>
      <c r="M306" s="730"/>
      <c r="N306" s="730"/>
      <c r="O306" s="730"/>
      <c r="P306" s="731"/>
      <c r="Q306" s="731"/>
      <c r="R306" s="730"/>
      <c r="S306" s="730"/>
      <c r="T306" s="723"/>
      <c r="U306" s="724"/>
      <c r="V306" s="725"/>
      <c r="W306" s="725"/>
      <c r="X306" s="723"/>
      <c r="Y306" s="723"/>
      <c r="Z306" s="723"/>
      <c r="AA306" s="726"/>
      <c r="AB306" s="726"/>
      <c r="AC306" s="170"/>
      <c r="AD306" s="586"/>
      <c r="AE306" s="586"/>
      <c r="AF306" s="170"/>
      <c r="AG306" s="170"/>
      <c r="AH306" s="170"/>
      <c r="AI306" s="170"/>
      <c r="AJ306" s="170"/>
      <c r="AK306" s="170"/>
      <c r="AL306" s="170"/>
      <c r="AM306" s="170"/>
      <c r="AN306" s="170"/>
      <c r="AO306" s="170"/>
      <c r="AP306" s="170"/>
      <c r="AQ306" s="170"/>
      <c r="AR306" s="170"/>
      <c r="AS306" s="170"/>
    </row>
    <row r="307" spans="1:45" ht="15" x14ac:dyDescent="0.25">
      <c r="A307" s="170"/>
      <c r="B307" s="719"/>
      <c r="C307" s="170"/>
      <c r="D307" s="170"/>
      <c r="E307" s="170"/>
      <c r="F307" s="170"/>
      <c r="G307" s="721"/>
      <c r="H307" s="170"/>
      <c r="I307" s="170"/>
      <c r="J307" s="170"/>
      <c r="K307" s="170"/>
      <c r="L307" s="170"/>
      <c r="M307" s="730"/>
      <c r="N307" s="730"/>
      <c r="O307" s="730"/>
      <c r="P307" s="731"/>
      <c r="Q307" s="731"/>
      <c r="R307" s="730"/>
      <c r="S307" s="730"/>
      <c r="T307" s="723"/>
      <c r="U307" s="724"/>
      <c r="V307" s="725"/>
      <c r="W307" s="725"/>
      <c r="X307" s="723"/>
      <c r="Y307" s="723"/>
      <c r="Z307" s="723"/>
      <c r="AA307" s="726"/>
      <c r="AB307" s="726"/>
      <c r="AC307" s="170"/>
      <c r="AD307" s="586"/>
      <c r="AE307" s="586"/>
      <c r="AF307" s="170"/>
      <c r="AG307" s="170"/>
      <c r="AH307" s="170"/>
      <c r="AI307" s="170"/>
      <c r="AJ307" s="170"/>
      <c r="AK307" s="170"/>
      <c r="AL307" s="170"/>
      <c r="AM307" s="170"/>
      <c r="AN307" s="170"/>
      <c r="AO307" s="170"/>
      <c r="AP307" s="170"/>
      <c r="AQ307" s="170"/>
      <c r="AR307" s="170"/>
      <c r="AS307" s="170"/>
    </row>
    <row r="308" spans="1:45" ht="15" x14ac:dyDescent="0.25">
      <c r="A308" s="170"/>
      <c r="B308" s="719"/>
      <c r="C308" s="170"/>
      <c r="D308" s="170"/>
      <c r="E308" s="170"/>
      <c r="F308" s="170"/>
      <c r="G308" s="721"/>
      <c r="H308" s="170"/>
      <c r="I308" s="170"/>
      <c r="J308" s="170"/>
      <c r="K308" s="170"/>
      <c r="L308" s="170"/>
      <c r="M308" s="730"/>
      <c r="N308" s="730"/>
      <c r="O308" s="730"/>
      <c r="P308" s="731"/>
      <c r="Q308" s="731"/>
      <c r="R308" s="730"/>
      <c r="S308" s="730"/>
      <c r="T308" s="723"/>
      <c r="U308" s="724"/>
      <c r="V308" s="725"/>
      <c r="W308" s="725"/>
      <c r="X308" s="723"/>
      <c r="Y308" s="723"/>
      <c r="Z308" s="723"/>
      <c r="AA308" s="726"/>
      <c r="AB308" s="726"/>
      <c r="AC308" s="170"/>
      <c r="AD308" s="586"/>
      <c r="AE308" s="586"/>
      <c r="AF308" s="170"/>
      <c r="AG308" s="170"/>
      <c r="AH308" s="170"/>
      <c r="AI308" s="170"/>
      <c r="AJ308" s="170"/>
      <c r="AK308" s="170"/>
      <c r="AL308" s="170"/>
      <c r="AM308" s="170"/>
      <c r="AN308" s="170"/>
      <c r="AO308" s="170"/>
      <c r="AP308" s="170"/>
      <c r="AQ308" s="170"/>
      <c r="AR308" s="170"/>
      <c r="AS308" s="170"/>
    </row>
    <row r="309" spans="1:45" ht="15" x14ac:dyDescent="0.25">
      <c r="A309" s="170"/>
      <c r="B309" s="719"/>
      <c r="C309" s="170"/>
      <c r="D309" s="170"/>
      <c r="E309" s="170"/>
      <c r="F309" s="170"/>
      <c r="G309" s="721"/>
      <c r="H309" s="170"/>
      <c r="I309" s="170"/>
      <c r="J309" s="170"/>
      <c r="K309" s="170"/>
      <c r="L309" s="170"/>
      <c r="M309" s="730"/>
      <c r="N309" s="730"/>
      <c r="O309" s="730"/>
      <c r="P309" s="731"/>
      <c r="Q309" s="731"/>
      <c r="R309" s="730"/>
      <c r="S309" s="730"/>
      <c r="T309" s="723"/>
      <c r="U309" s="724"/>
      <c r="V309" s="725"/>
      <c r="W309" s="725"/>
      <c r="X309" s="723"/>
      <c r="Y309" s="723"/>
      <c r="Z309" s="723"/>
      <c r="AA309" s="726"/>
      <c r="AB309" s="726"/>
      <c r="AC309" s="170"/>
      <c r="AD309" s="586"/>
      <c r="AE309" s="586"/>
      <c r="AF309" s="170"/>
      <c r="AG309" s="170"/>
      <c r="AH309" s="170"/>
      <c r="AI309" s="170"/>
      <c r="AJ309" s="170"/>
      <c r="AK309" s="170"/>
      <c r="AL309" s="170"/>
      <c r="AM309" s="170"/>
      <c r="AN309" s="170"/>
      <c r="AO309" s="170"/>
      <c r="AP309" s="170"/>
      <c r="AQ309" s="170"/>
      <c r="AR309" s="170"/>
      <c r="AS309" s="170"/>
    </row>
    <row r="310" spans="1:45" ht="15" x14ac:dyDescent="0.25">
      <c r="A310" s="170"/>
      <c r="B310" s="719"/>
      <c r="C310" s="170"/>
      <c r="D310" s="170"/>
      <c r="E310" s="170"/>
      <c r="F310" s="170"/>
      <c r="G310" s="721"/>
      <c r="H310" s="170"/>
      <c r="I310" s="170"/>
      <c r="J310" s="170"/>
      <c r="K310" s="170"/>
      <c r="L310" s="170"/>
      <c r="M310" s="730"/>
      <c r="N310" s="730"/>
      <c r="O310" s="730"/>
      <c r="P310" s="731"/>
      <c r="Q310" s="731"/>
      <c r="R310" s="730"/>
      <c r="S310" s="730"/>
      <c r="T310" s="723"/>
      <c r="U310" s="724"/>
      <c r="V310" s="725"/>
      <c r="W310" s="725"/>
      <c r="X310" s="723"/>
      <c r="Y310" s="723"/>
      <c r="Z310" s="723"/>
      <c r="AA310" s="726"/>
      <c r="AB310" s="726"/>
      <c r="AC310" s="170"/>
      <c r="AD310" s="586"/>
      <c r="AE310" s="586"/>
      <c r="AF310" s="170"/>
      <c r="AG310" s="170"/>
      <c r="AH310" s="170"/>
      <c r="AI310" s="170"/>
      <c r="AJ310" s="170"/>
      <c r="AK310" s="170"/>
      <c r="AL310" s="170"/>
      <c r="AM310" s="170"/>
      <c r="AN310" s="170"/>
      <c r="AO310" s="170"/>
      <c r="AP310" s="170"/>
      <c r="AQ310" s="170"/>
      <c r="AR310" s="170"/>
      <c r="AS310" s="170"/>
    </row>
    <row r="311" spans="1:45" ht="15" x14ac:dyDescent="0.25">
      <c r="A311" s="170"/>
      <c r="B311" s="719"/>
      <c r="C311" s="170"/>
      <c r="D311" s="170"/>
      <c r="E311" s="170"/>
      <c r="F311" s="170"/>
      <c r="G311" s="721"/>
      <c r="H311" s="170"/>
      <c r="I311" s="170"/>
      <c r="J311" s="170"/>
      <c r="K311" s="170"/>
      <c r="L311" s="170"/>
      <c r="M311" s="730"/>
      <c r="N311" s="730"/>
      <c r="O311" s="730"/>
      <c r="P311" s="731"/>
      <c r="Q311" s="731"/>
      <c r="R311" s="730"/>
      <c r="S311" s="730"/>
      <c r="T311" s="723"/>
      <c r="U311" s="724"/>
      <c r="V311" s="725"/>
      <c r="W311" s="725"/>
      <c r="X311" s="723"/>
      <c r="Y311" s="723"/>
      <c r="Z311" s="723"/>
      <c r="AA311" s="726"/>
      <c r="AB311" s="726"/>
      <c r="AC311" s="170"/>
      <c r="AD311" s="586"/>
      <c r="AE311" s="586"/>
      <c r="AF311" s="170"/>
      <c r="AG311" s="170"/>
      <c r="AH311" s="170"/>
      <c r="AI311" s="170"/>
      <c r="AJ311" s="170"/>
      <c r="AK311" s="170"/>
      <c r="AL311" s="170"/>
      <c r="AM311" s="170"/>
      <c r="AN311" s="170"/>
      <c r="AO311" s="170"/>
      <c r="AP311" s="170"/>
      <c r="AQ311" s="170"/>
      <c r="AR311" s="170"/>
      <c r="AS311" s="170"/>
    </row>
    <row r="312" spans="1:45" ht="15" x14ac:dyDescent="0.25">
      <c r="A312" s="170"/>
      <c r="B312" s="719"/>
      <c r="C312" s="170"/>
      <c r="D312" s="170"/>
      <c r="E312" s="170"/>
      <c r="F312" s="170"/>
      <c r="G312" s="721"/>
      <c r="H312" s="170"/>
      <c r="I312" s="170"/>
      <c r="J312" s="170"/>
      <c r="K312" s="170"/>
      <c r="L312" s="170"/>
      <c r="M312" s="730"/>
      <c r="N312" s="730"/>
      <c r="O312" s="730"/>
      <c r="P312" s="731"/>
      <c r="Q312" s="731"/>
      <c r="R312" s="730"/>
      <c r="S312" s="730"/>
      <c r="T312" s="723"/>
      <c r="U312" s="724"/>
      <c r="V312" s="725"/>
      <c r="W312" s="725"/>
      <c r="X312" s="723"/>
      <c r="Y312" s="723"/>
      <c r="Z312" s="723"/>
      <c r="AA312" s="726"/>
      <c r="AB312" s="726"/>
      <c r="AC312" s="170"/>
      <c r="AD312" s="586"/>
      <c r="AE312" s="586"/>
      <c r="AF312" s="170"/>
      <c r="AG312" s="170"/>
      <c r="AH312" s="170"/>
      <c r="AI312" s="170"/>
      <c r="AJ312" s="170"/>
      <c r="AK312" s="170"/>
      <c r="AL312" s="170"/>
      <c r="AM312" s="170"/>
      <c r="AN312" s="170"/>
      <c r="AO312" s="170"/>
      <c r="AP312" s="170"/>
      <c r="AQ312" s="170"/>
      <c r="AR312" s="170"/>
      <c r="AS312" s="170"/>
    </row>
    <row r="313" spans="1:45" ht="15" x14ac:dyDescent="0.25">
      <c r="A313" s="170"/>
      <c r="B313" s="719"/>
      <c r="C313" s="170"/>
      <c r="D313" s="170"/>
      <c r="E313" s="170"/>
      <c r="F313" s="170"/>
      <c r="G313" s="721"/>
      <c r="H313" s="170"/>
      <c r="I313" s="170"/>
      <c r="J313" s="170"/>
      <c r="K313" s="170"/>
      <c r="L313" s="170"/>
      <c r="M313" s="730"/>
      <c r="N313" s="730"/>
      <c r="O313" s="730"/>
      <c r="P313" s="731"/>
      <c r="Q313" s="731"/>
      <c r="R313" s="730"/>
      <c r="S313" s="730"/>
      <c r="T313" s="723"/>
      <c r="U313" s="724"/>
      <c r="V313" s="725"/>
      <c r="W313" s="725"/>
      <c r="X313" s="723"/>
      <c r="Y313" s="723"/>
      <c r="Z313" s="723"/>
      <c r="AA313" s="726"/>
      <c r="AB313" s="726"/>
      <c r="AC313" s="170"/>
      <c r="AD313" s="586"/>
      <c r="AE313" s="586"/>
      <c r="AF313" s="170"/>
      <c r="AG313" s="170"/>
      <c r="AH313" s="170"/>
      <c r="AI313" s="170"/>
      <c r="AJ313" s="170"/>
      <c r="AK313" s="170"/>
      <c r="AL313" s="170"/>
      <c r="AM313" s="170"/>
      <c r="AN313" s="170"/>
      <c r="AO313" s="170"/>
      <c r="AP313" s="170"/>
      <c r="AQ313" s="170"/>
      <c r="AR313" s="170"/>
      <c r="AS313" s="170"/>
    </row>
    <row r="314" spans="1:45" ht="15" x14ac:dyDescent="0.25">
      <c r="A314" s="170"/>
      <c r="B314" s="719"/>
      <c r="C314" s="170"/>
      <c r="D314" s="170"/>
      <c r="E314" s="170"/>
      <c r="F314" s="170"/>
      <c r="G314" s="721"/>
      <c r="H314" s="170"/>
      <c r="I314" s="170"/>
      <c r="J314" s="170"/>
      <c r="K314" s="170"/>
      <c r="L314" s="170"/>
      <c r="M314" s="730"/>
      <c r="N314" s="730"/>
      <c r="O314" s="730"/>
      <c r="P314" s="731"/>
      <c r="Q314" s="731"/>
      <c r="R314" s="730"/>
      <c r="S314" s="730"/>
      <c r="T314" s="723"/>
      <c r="U314" s="724"/>
      <c r="V314" s="725"/>
      <c r="W314" s="725"/>
      <c r="X314" s="723"/>
      <c r="Y314" s="723"/>
      <c r="Z314" s="723"/>
      <c r="AA314" s="726"/>
      <c r="AB314" s="726"/>
      <c r="AC314" s="170"/>
      <c r="AD314" s="586"/>
      <c r="AE314" s="586"/>
      <c r="AF314" s="170"/>
      <c r="AG314" s="170"/>
      <c r="AH314" s="170"/>
      <c r="AI314" s="170"/>
      <c r="AJ314" s="170"/>
      <c r="AK314" s="170"/>
      <c r="AL314" s="170"/>
      <c r="AM314" s="170"/>
      <c r="AN314" s="170"/>
      <c r="AO314" s="170"/>
      <c r="AP314" s="170"/>
      <c r="AQ314" s="170"/>
      <c r="AR314" s="170"/>
      <c r="AS314" s="170"/>
    </row>
    <row r="315" spans="1:45" ht="15" x14ac:dyDescent="0.25">
      <c r="A315" s="170"/>
      <c r="B315" s="719"/>
      <c r="C315" s="170"/>
      <c r="D315" s="170"/>
      <c r="E315" s="170"/>
      <c r="F315" s="170"/>
      <c r="G315" s="721"/>
      <c r="H315" s="170"/>
      <c r="I315" s="170"/>
      <c r="J315" s="170"/>
      <c r="K315" s="170"/>
      <c r="L315" s="170"/>
      <c r="M315" s="730"/>
      <c r="N315" s="730"/>
      <c r="O315" s="730"/>
      <c r="P315" s="731"/>
      <c r="Q315" s="731"/>
      <c r="R315" s="730"/>
      <c r="S315" s="730"/>
      <c r="T315" s="723"/>
      <c r="U315" s="724"/>
      <c r="V315" s="725"/>
      <c r="W315" s="725"/>
      <c r="X315" s="723"/>
      <c r="Y315" s="723"/>
      <c r="Z315" s="723"/>
      <c r="AA315" s="726"/>
      <c r="AB315" s="726"/>
      <c r="AC315" s="170"/>
      <c r="AD315" s="586"/>
      <c r="AE315" s="586"/>
      <c r="AF315" s="170"/>
      <c r="AG315" s="170"/>
      <c r="AH315" s="170"/>
      <c r="AI315" s="170"/>
      <c r="AJ315" s="170"/>
      <c r="AK315" s="170"/>
      <c r="AL315" s="170"/>
      <c r="AM315" s="170"/>
      <c r="AN315" s="170"/>
      <c r="AO315" s="170"/>
      <c r="AP315" s="170"/>
      <c r="AQ315" s="170"/>
      <c r="AR315" s="170"/>
      <c r="AS315" s="170"/>
    </row>
    <row r="316" spans="1:45" ht="15" x14ac:dyDescent="0.25">
      <c r="A316" s="170"/>
      <c r="B316" s="719"/>
      <c r="C316" s="170"/>
      <c r="D316" s="170"/>
      <c r="E316" s="170"/>
      <c r="F316" s="170"/>
      <c r="G316" s="721"/>
      <c r="H316" s="170"/>
      <c r="I316" s="170"/>
      <c r="J316" s="170"/>
      <c r="K316" s="170"/>
      <c r="L316" s="170"/>
      <c r="M316" s="730"/>
      <c r="N316" s="730"/>
      <c r="O316" s="730"/>
      <c r="P316" s="731"/>
      <c r="Q316" s="731"/>
      <c r="R316" s="730"/>
      <c r="S316" s="730"/>
      <c r="T316" s="723"/>
      <c r="U316" s="724"/>
      <c r="V316" s="725"/>
      <c r="W316" s="725"/>
      <c r="X316" s="723"/>
      <c r="Y316" s="723"/>
      <c r="Z316" s="723"/>
      <c r="AA316" s="726"/>
      <c r="AB316" s="726"/>
      <c r="AC316" s="170"/>
      <c r="AD316" s="586"/>
      <c r="AE316" s="586"/>
      <c r="AF316" s="170"/>
      <c r="AG316" s="170"/>
      <c r="AH316" s="170"/>
      <c r="AI316" s="170"/>
      <c r="AJ316" s="170"/>
      <c r="AK316" s="170"/>
      <c r="AL316" s="170"/>
      <c r="AM316" s="170"/>
      <c r="AN316" s="170"/>
      <c r="AO316" s="170"/>
      <c r="AP316" s="170"/>
      <c r="AQ316" s="170"/>
      <c r="AR316" s="170"/>
      <c r="AS316" s="170"/>
    </row>
    <row r="317" spans="1:45" ht="15" x14ac:dyDescent="0.25">
      <c r="A317" s="170"/>
      <c r="B317" s="719"/>
      <c r="C317" s="170"/>
      <c r="D317" s="170"/>
      <c r="E317" s="170"/>
      <c r="F317" s="170"/>
      <c r="G317" s="721"/>
      <c r="H317" s="170"/>
      <c r="I317" s="170"/>
      <c r="J317" s="170"/>
      <c r="K317" s="170"/>
      <c r="L317" s="170"/>
      <c r="M317" s="730"/>
      <c r="N317" s="730"/>
      <c r="O317" s="730"/>
      <c r="P317" s="731"/>
      <c r="Q317" s="731"/>
      <c r="R317" s="730"/>
      <c r="S317" s="730"/>
      <c r="T317" s="723"/>
      <c r="U317" s="724"/>
      <c r="V317" s="725"/>
      <c r="W317" s="725"/>
      <c r="X317" s="723"/>
      <c r="Y317" s="723"/>
      <c r="Z317" s="723"/>
      <c r="AA317" s="726"/>
      <c r="AB317" s="726"/>
      <c r="AC317" s="170"/>
      <c r="AD317" s="586"/>
      <c r="AE317" s="586"/>
      <c r="AF317" s="170"/>
      <c r="AG317" s="170"/>
      <c r="AH317" s="170"/>
      <c r="AI317" s="170"/>
      <c r="AJ317" s="170"/>
      <c r="AK317" s="170"/>
      <c r="AL317" s="170"/>
      <c r="AM317" s="170"/>
      <c r="AN317" s="170"/>
      <c r="AO317" s="170"/>
      <c r="AP317" s="170"/>
      <c r="AQ317" s="170"/>
      <c r="AR317" s="170"/>
      <c r="AS317" s="170"/>
    </row>
    <row r="318" spans="1:45" ht="15" x14ac:dyDescent="0.25">
      <c r="A318" s="170"/>
      <c r="B318" s="719"/>
      <c r="C318" s="170"/>
      <c r="D318" s="170"/>
      <c r="E318" s="170"/>
      <c r="F318" s="170"/>
      <c r="G318" s="721"/>
      <c r="H318" s="170"/>
      <c r="I318" s="170"/>
      <c r="J318" s="170"/>
      <c r="K318" s="170"/>
      <c r="L318" s="170"/>
      <c r="M318" s="730"/>
      <c r="N318" s="730"/>
      <c r="O318" s="730"/>
      <c r="P318" s="731"/>
      <c r="Q318" s="731"/>
      <c r="R318" s="730"/>
      <c r="S318" s="730"/>
      <c r="T318" s="723"/>
      <c r="U318" s="724"/>
      <c r="V318" s="725"/>
      <c r="W318" s="725"/>
      <c r="X318" s="723"/>
      <c r="Y318" s="723"/>
      <c r="Z318" s="723"/>
      <c r="AA318" s="726"/>
      <c r="AB318" s="726"/>
      <c r="AC318" s="170"/>
      <c r="AD318" s="586"/>
      <c r="AE318" s="586"/>
      <c r="AF318" s="170"/>
      <c r="AG318" s="170"/>
      <c r="AH318" s="170"/>
      <c r="AI318" s="170"/>
      <c r="AJ318" s="170"/>
      <c r="AK318" s="170"/>
      <c r="AL318" s="170"/>
      <c r="AM318" s="170"/>
      <c r="AN318" s="170"/>
      <c r="AO318" s="170"/>
      <c r="AP318" s="170"/>
      <c r="AQ318" s="170"/>
      <c r="AR318" s="170"/>
      <c r="AS318" s="170"/>
    </row>
    <row r="319" spans="1:45" ht="15" x14ac:dyDescent="0.25">
      <c r="A319" s="170"/>
      <c r="B319" s="719"/>
      <c r="C319" s="170"/>
      <c r="D319" s="170"/>
      <c r="E319" s="170"/>
      <c r="F319" s="170"/>
      <c r="G319" s="721"/>
      <c r="H319" s="170"/>
      <c r="I319" s="170"/>
      <c r="J319" s="170"/>
      <c r="K319" s="170"/>
      <c r="L319" s="170"/>
      <c r="M319" s="730"/>
      <c r="N319" s="730"/>
      <c r="O319" s="730"/>
      <c r="P319" s="731"/>
      <c r="Q319" s="731"/>
      <c r="R319" s="730"/>
      <c r="S319" s="730"/>
      <c r="T319" s="723"/>
      <c r="U319" s="724"/>
      <c r="V319" s="725"/>
      <c r="W319" s="725"/>
      <c r="X319" s="723"/>
      <c r="Y319" s="723"/>
      <c r="Z319" s="723"/>
      <c r="AA319" s="726"/>
      <c r="AB319" s="726"/>
      <c r="AC319" s="170"/>
      <c r="AD319" s="586"/>
      <c r="AE319" s="586"/>
      <c r="AF319" s="170"/>
      <c r="AG319" s="170"/>
      <c r="AH319" s="170"/>
      <c r="AI319" s="170"/>
      <c r="AJ319" s="170"/>
      <c r="AK319" s="170"/>
      <c r="AL319" s="170"/>
      <c r="AM319" s="170"/>
      <c r="AN319" s="170"/>
      <c r="AO319" s="170"/>
      <c r="AP319" s="170"/>
      <c r="AQ319" s="170"/>
      <c r="AR319" s="170"/>
      <c r="AS319" s="170"/>
    </row>
    <row r="320" spans="1:45" ht="15" x14ac:dyDescent="0.25">
      <c r="A320" s="170"/>
      <c r="B320" s="719"/>
      <c r="C320" s="170"/>
      <c r="D320" s="170"/>
      <c r="E320" s="170"/>
      <c r="F320" s="170"/>
      <c r="G320" s="721"/>
      <c r="H320" s="170"/>
      <c r="I320" s="170"/>
      <c r="J320" s="170"/>
      <c r="K320" s="170"/>
      <c r="L320" s="170"/>
      <c r="M320" s="730"/>
      <c r="N320" s="730"/>
      <c r="O320" s="730"/>
      <c r="P320" s="731"/>
      <c r="Q320" s="731"/>
      <c r="R320" s="730"/>
      <c r="S320" s="730"/>
      <c r="T320" s="723"/>
      <c r="U320" s="724"/>
      <c r="V320" s="725"/>
      <c r="W320" s="725"/>
      <c r="X320" s="723"/>
      <c r="Y320" s="723"/>
      <c r="Z320" s="723"/>
      <c r="AA320" s="726"/>
      <c r="AB320" s="726"/>
      <c r="AC320" s="170"/>
      <c r="AD320" s="586"/>
      <c r="AE320" s="586"/>
      <c r="AF320" s="170"/>
      <c r="AG320" s="170"/>
      <c r="AH320" s="170"/>
      <c r="AI320" s="170"/>
      <c r="AJ320" s="170"/>
      <c r="AK320" s="170"/>
      <c r="AL320" s="170"/>
      <c r="AM320" s="170"/>
      <c r="AN320" s="170"/>
      <c r="AO320" s="170"/>
      <c r="AP320" s="170"/>
      <c r="AQ320" s="170"/>
      <c r="AR320" s="170"/>
      <c r="AS320" s="170"/>
    </row>
    <row r="321" spans="1:45" ht="15" x14ac:dyDescent="0.25">
      <c r="A321" s="170"/>
      <c r="B321" s="719"/>
      <c r="C321" s="170"/>
      <c r="D321" s="170"/>
      <c r="E321" s="170"/>
      <c r="F321" s="170"/>
      <c r="G321" s="721"/>
      <c r="H321" s="170"/>
      <c r="I321" s="170"/>
      <c r="J321" s="170"/>
      <c r="K321" s="170"/>
      <c r="L321" s="170"/>
      <c r="M321" s="730"/>
      <c r="N321" s="730"/>
      <c r="O321" s="730"/>
      <c r="P321" s="731"/>
      <c r="Q321" s="731"/>
      <c r="R321" s="730"/>
      <c r="S321" s="730"/>
      <c r="T321" s="723"/>
      <c r="U321" s="724"/>
      <c r="V321" s="725"/>
      <c r="W321" s="725"/>
      <c r="X321" s="723"/>
      <c r="Y321" s="723"/>
      <c r="Z321" s="723"/>
      <c r="AA321" s="726"/>
      <c r="AB321" s="726"/>
      <c r="AC321" s="170"/>
      <c r="AD321" s="586"/>
      <c r="AE321" s="586"/>
      <c r="AF321" s="170"/>
      <c r="AG321" s="170"/>
      <c r="AH321" s="170"/>
      <c r="AI321" s="170"/>
      <c r="AJ321" s="170"/>
      <c r="AK321" s="170"/>
      <c r="AL321" s="170"/>
      <c r="AM321" s="170"/>
      <c r="AN321" s="170"/>
      <c r="AO321" s="170"/>
      <c r="AP321" s="170"/>
      <c r="AQ321" s="170"/>
      <c r="AR321" s="170"/>
      <c r="AS321" s="170"/>
    </row>
    <row r="322" spans="1:45" ht="15" x14ac:dyDescent="0.25">
      <c r="A322" s="170"/>
      <c r="B322" s="719"/>
      <c r="C322" s="170"/>
      <c r="D322" s="170"/>
      <c r="E322" s="170"/>
      <c r="F322" s="170"/>
      <c r="G322" s="721"/>
      <c r="H322" s="170"/>
      <c r="I322" s="170"/>
      <c r="J322" s="170"/>
      <c r="K322" s="170"/>
      <c r="L322" s="170"/>
      <c r="M322" s="730"/>
      <c r="N322" s="730"/>
      <c r="O322" s="730"/>
      <c r="P322" s="731"/>
      <c r="Q322" s="731"/>
      <c r="R322" s="730"/>
      <c r="S322" s="730"/>
      <c r="T322" s="723"/>
      <c r="U322" s="724"/>
      <c r="V322" s="725"/>
      <c r="W322" s="725"/>
      <c r="X322" s="723"/>
      <c r="Y322" s="723"/>
      <c r="Z322" s="723"/>
      <c r="AA322" s="726"/>
      <c r="AB322" s="726"/>
      <c r="AC322" s="170"/>
      <c r="AD322" s="586"/>
      <c r="AE322" s="586"/>
      <c r="AF322" s="170"/>
      <c r="AG322" s="170"/>
      <c r="AH322" s="170"/>
      <c r="AI322" s="170"/>
      <c r="AJ322" s="170"/>
      <c r="AK322" s="170"/>
      <c r="AL322" s="170"/>
      <c r="AM322" s="170"/>
      <c r="AN322" s="170"/>
      <c r="AO322" s="170"/>
      <c r="AP322" s="170"/>
      <c r="AQ322" s="170"/>
      <c r="AR322" s="170"/>
      <c r="AS322" s="170"/>
    </row>
    <row r="323" spans="1:45" ht="15" x14ac:dyDescent="0.25">
      <c r="A323" s="170"/>
      <c r="B323" s="719"/>
      <c r="C323" s="170"/>
      <c r="D323" s="170"/>
      <c r="E323" s="170"/>
      <c r="F323" s="170"/>
      <c r="G323" s="721"/>
      <c r="H323" s="170"/>
      <c r="I323" s="170"/>
      <c r="J323" s="170"/>
      <c r="K323" s="170"/>
      <c r="L323" s="170"/>
      <c r="M323" s="730"/>
      <c r="N323" s="730"/>
      <c r="O323" s="730"/>
      <c r="P323" s="731"/>
      <c r="Q323" s="731"/>
      <c r="R323" s="730"/>
      <c r="S323" s="730"/>
      <c r="T323" s="723"/>
      <c r="U323" s="724"/>
      <c r="V323" s="725"/>
      <c r="W323" s="725"/>
      <c r="X323" s="723"/>
      <c r="Y323" s="723"/>
      <c r="Z323" s="723"/>
      <c r="AA323" s="726"/>
      <c r="AB323" s="726"/>
      <c r="AC323" s="170"/>
      <c r="AD323" s="586"/>
      <c r="AE323" s="586"/>
      <c r="AF323" s="170"/>
      <c r="AG323" s="170"/>
      <c r="AH323" s="170"/>
      <c r="AI323" s="170"/>
      <c r="AJ323" s="170"/>
      <c r="AK323" s="170"/>
      <c r="AL323" s="170"/>
      <c r="AM323" s="170"/>
      <c r="AN323" s="170"/>
      <c r="AO323" s="170"/>
      <c r="AP323" s="170"/>
      <c r="AQ323" s="170"/>
      <c r="AR323" s="170"/>
      <c r="AS323" s="170"/>
    </row>
    <row r="324" spans="1:45" ht="15" x14ac:dyDescent="0.25">
      <c r="A324" s="170"/>
      <c r="B324" s="719"/>
      <c r="C324" s="170"/>
      <c r="D324" s="170"/>
      <c r="E324" s="170"/>
      <c r="F324" s="170"/>
      <c r="G324" s="721"/>
      <c r="H324" s="170"/>
      <c r="I324" s="170"/>
      <c r="J324" s="170"/>
      <c r="K324" s="170"/>
      <c r="L324" s="170"/>
      <c r="M324" s="730"/>
      <c r="N324" s="730"/>
      <c r="O324" s="730"/>
      <c r="P324" s="731"/>
      <c r="Q324" s="731"/>
      <c r="R324" s="730"/>
      <c r="S324" s="730"/>
      <c r="T324" s="723"/>
      <c r="U324" s="724"/>
      <c r="V324" s="725"/>
      <c r="W324" s="725"/>
      <c r="X324" s="723"/>
      <c r="Y324" s="723"/>
      <c r="Z324" s="723"/>
      <c r="AA324" s="726"/>
      <c r="AB324" s="726"/>
      <c r="AC324" s="170"/>
      <c r="AD324" s="586"/>
      <c r="AE324" s="586"/>
      <c r="AF324" s="170"/>
      <c r="AG324" s="170"/>
      <c r="AH324" s="170"/>
      <c r="AI324" s="170"/>
      <c r="AJ324" s="170"/>
      <c r="AK324" s="170"/>
      <c r="AL324" s="170"/>
      <c r="AM324" s="170"/>
      <c r="AN324" s="170"/>
      <c r="AO324" s="170"/>
      <c r="AP324" s="170"/>
      <c r="AQ324" s="170"/>
      <c r="AR324" s="170"/>
      <c r="AS324" s="170"/>
    </row>
    <row r="325" spans="1:45" ht="15" x14ac:dyDescent="0.25">
      <c r="A325" s="170"/>
      <c r="B325" s="719"/>
      <c r="C325" s="170"/>
      <c r="D325" s="170"/>
      <c r="E325" s="170"/>
      <c r="F325" s="170"/>
      <c r="G325" s="721"/>
      <c r="H325" s="170"/>
      <c r="I325" s="170"/>
      <c r="J325" s="170"/>
      <c r="K325" s="170"/>
      <c r="L325" s="170"/>
      <c r="M325" s="730"/>
      <c r="N325" s="730"/>
      <c r="O325" s="730"/>
      <c r="P325" s="731"/>
      <c r="Q325" s="731"/>
      <c r="R325" s="730"/>
      <c r="S325" s="730"/>
      <c r="T325" s="723"/>
      <c r="U325" s="724"/>
      <c r="V325" s="725"/>
      <c r="W325" s="725"/>
      <c r="X325" s="723"/>
      <c r="Y325" s="723"/>
      <c r="Z325" s="723"/>
      <c r="AA325" s="726"/>
      <c r="AB325" s="726"/>
      <c r="AC325" s="170"/>
      <c r="AD325" s="586"/>
      <c r="AE325" s="586"/>
      <c r="AF325" s="170"/>
      <c r="AG325" s="170"/>
      <c r="AH325" s="170"/>
      <c r="AI325" s="170"/>
      <c r="AJ325" s="170"/>
      <c r="AK325" s="170"/>
      <c r="AL325" s="170"/>
      <c r="AM325" s="170"/>
      <c r="AN325" s="170"/>
      <c r="AO325" s="170"/>
      <c r="AP325" s="170"/>
      <c r="AQ325" s="170"/>
      <c r="AR325" s="170"/>
      <c r="AS325" s="170"/>
    </row>
    <row r="326" spans="1:45" ht="15" x14ac:dyDescent="0.25">
      <c r="A326" s="170"/>
      <c r="B326" s="719"/>
      <c r="C326" s="170"/>
      <c r="D326" s="170"/>
      <c r="E326" s="170"/>
      <c r="F326" s="170"/>
      <c r="G326" s="721"/>
      <c r="H326" s="170"/>
      <c r="I326" s="170"/>
      <c r="J326" s="170"/>
      <c r="K326" s="170"/>
      <c r="L326" s="170"/>
      <c r="M326" s="730"/>
      <c r="N326" s="730"/>
      <c r="O326" s="730"/>
      <c r="P326" s="731"/>
      <c r="Q326" s="731"/>
      <c r="R326" s="730"/>
      <c r="S326" s="730"/>
      <c r="T326" s="723"/>
      <c r="U326" s="724"/>
      <c r="V326" s="725"/>
      <c r="W326" s="725"/>
      <c r="X326" s="723"/>
      <c r="Y326" s="723"/>
      <c r="Z326" s="723"/>
      <c r="AA326" s="726"/>
      <c r="AB326" s="726"/>
      <c r="AC326" s="170"/>
      <c r="AD326" s="586"/>
      <c r="AE326" s="586"/>
      <c r="AF326" s="170"/>
      <c r="AG326" s="170"/>
      <c r="AH326" s="170"/>
      <c r="AI326" s="170"/>
      <c r="AJ326" s="170"/>
      <c r="AK326" s="170"/>
      <c r="AL326" s="170"/>
      <c r="AM326" s="170"/>
      <c r="AN326" s="170"/>
      <c r="AO326" s="170"/>
      <c r="AP326" s="170"/>
      <c r="AQ326" s="170"/>
      <c r="AR326" s="170"/>
      <c r="AS326" s="170"/>
    </row>
    <row r="327" spans="1:45" ht="15" x14ac:dyDescent="0.25">
      <c r="A327" s="170"/>
      <c r="B327" s="719"/>
      <c r="C327" s="170"/>
      <c r="D327" s="170"/>
      <c r="E327" s="170"/>
      <c r="F327" s="170"/>
      <c r="G327" s="721"/>
      <c r="H327" s="170"/>
      <c r="I327" s="170"/>
      <c r="J327" s="170"/>
      <c r="K327" s="170"/>
      <c r="L327" s="170"/>
      <c r="M327" s="730"/>
      <c r="N327" s="730"/>
      <c r="O327" s="730"/>
      <c r="P327" s="731"/>
      <c r="Q327" s="731"/>
      <c r="R327" s="730"/>
      <c r="S327" s="730"/>
      <c r="T327" s="723"/>
      <c r="U327" s="724"/>
      <c r="V327" s="725"/>
      <c r="W327" s="725"/>
      <c r="X327" s="723"/>
      <c r="Y327" s="723"/>
      <c r="Z327" s="723"/>
      <c r="AA327" s="726"/>
      <c r="AB327" s="726"/>
      <c r="AC327" s="170"/>
      <c r="AD327" s="586"/>
      <c r="AE327" s="586"/>
      <c r="AF327" s="170"/>
      <c r="AG327" s="170"/>
      <c r="AH327" s="170"/>
      <c r="AI327" s="170"/>
      <c r="AJ327" s="170"/>
      <c r="AK327" s="170"/>
      <c r="AL327" s="170"/>
      <c r="AM327" s="170"/>
      <c r="AN327" s="170"/>
      <c r="AO327" s="170"/>
      <c r="AP327" s="170"/>
      <c r="AQ327" s="170"/>
      <c r="AR327" s="170"/>
      <c r="AS327" s="170"/>
    </row>
    <row r="328" spans="1:45" ht="15" x14ac:dyDescent="0.25">
      <c r="A328" s="170"/>
      <c r="B328" s="719"/>
      <c r="C328" s="170"/>
      <c r="D328" s="170"/>
      <c r="E328" s="170"/>
      <c r="F328" s="170"/>
      <c r="G328" s="721"/>
      <c r="H328" s="170"/>
      <c r="I328" s="170"/>
      <c r="J328" s="170"/>
      <c r="K328" s="170"/>
      <c r="L328" s="170"/>
      <c r="M328" s="730"/>
      <c r="N328" s="730"/>
      <c r="O328" s="730"/>
      <c r="P328" s="731"/>
      <c r="Q328" s="731"/>
      <c r="R328" s="730"/>
      <c r="S328" s="730"/>
      <c r="T328" s="723"/>
      <c r="U328" s="724"/>
      <c r="V328" s="725"/>
      <c r="W328" s="725"/>
      <c r="X328" s="723"/>
      <c r="Y328" s="723"/>
      <c r="Z328" s="723"/>
      <c r="AA328" s="726"/>
      <c r="AB328" s="726"/>
      <c r="AC328" s="170"/>
      <c r="AD328" s="586"/>
      <c r="AE328" s="586"/>
      <c r="AF328" s="170"/>
      <c r="AG328" s="170"/>
      <c r="AH328" s="170"/>
      <c r="AI328" s="170"/>
      <c r="AJ328" s="170"/>
      <c r="AK328" s="170"/>
      <c r="AL328" s="170"/>
      <c r="AM328" s="170"/>
      <c r="AN328" s="170"/>
      <c r="AO328" s="170"/>
      <c r="AP328" s="170"/>
      <c r="AQ328" s="170"/>
      <c r="AR328" s="170"/>
      <c r="AS328" s="170"/>
    </row>
    <row r="329" spans="1:45" ht="15" x14ac:dyDescent="0.25">
      <c r="A329" s="170"/>
      <c r="B329" s="719"/>
      <c r="C329" s="170"/>
      <c r="D329" s="170"/>
      <c r="E329" s="170"/>
      <c r="F329" s="170"/>
      <c r="G329" s="721"/>
      <c r="H329" s="170"/>
      <c r="I329" s="170"/>
      <c r="J329" s="170"/>
      <c r="K329" s="170"/>
      <c r="L329" s="170"/>
      <c r="M329" s="730"/>
      <c r="N329" s="730"/>
      <c r="O329" s="730"/>
      <c r="P329" s="731"/>
      <c r="Q329" s="731"/>
      <c r="R329" s="730"/>
      <c r="S329" s="730"/>
      <c r="T329" s="723"/>
      <c r="U329" s="724"/>
      <c r="V329" s="725"/>
      <c r="W329" s="725"/>
      <c r="X329" s="723"/>
      <c r="Y329" s="723"/>
      <c r="Z329" s="723"/>
      <c r="AA329" s="726"/>
      <c r="AB329" s="726"/>
      <c r="AC329" s="170"/>
      <c r="AD329" s="586"/>
      <c r="AE329" s="586"/>
      <c r="AF329" s="170"/>
      <c r="AG329" s="170"/>
      <c r="AH329" s="170"/>
      <c r="AI329" s="170"/>
      <c r="AJ329" s="170"/>
      <c r="AK329" s="170"/>
      <c r="AL329" s="170"/>
      <c r="AM329" s="170"/>
      <c r="AN329" s="170"/>
      <c r="AO329" s="170"/>
      <c r="AP329" s="170"/>
      <c r="AQ329" s="170"/>
      <c r="AR329" s="170"/>
      <c r="AS329" s="170"/>
    </row>
    <row r="330" spans="1:45" ht="15" x14ac:dyDescent="0.25">
      <c r="A330" s="170"/>
      <c r="B330" s="719"/>
      <c r="C330" s="170"/>
      <c r="D330" s="170"/>
      <c r="E330" s="170"/>
      <c r="F330" s="170"/>
      <c r="G330" s="721"/>
      <c r="H330" s="170"/>
      <c r="I330" s="170"/>
      <c r="J330" s="170"/>
      <c r="K330" s="170"/>
      <c r="L330" s="170"/>
      <c r="M330" s="730"/>
      <c r="N330" s="730"/>
      <c r="O330" s="730"/>
      <c r="P330" s="731"/>
      <c r="Q330" s="731"/>
      <c r="R330" s="730"/>
      <c r="S330" s="730"/>
      <c r="T330" s="723"/>
      <c r="U330" s="724"/>
      <c r="V330" s="725"/>
      <c r="W330" s="725"/>
      <c r="X330" s="723"/>
      <c r="Y330" s="723"/>
      <c r="Z330" s="723"/>
      <c r="AA330" s="726"/>
      <c r="AB330" s="726"/>
      <c r="AC330" s="170"/>
      <c r="AD330" s="586"/>
      <c r="AE330" s="586"/>
      <c r="AF330" s="170"/>
      <c r="AG330" s="170"/>
      <c r="AH330" s="170"/>
      <c r="AI330" s="170"/>
      <c r="AJ330" s="170"/>
      <c r="AK330" s="170"/>
      <c r="AL330" s="170"/>
      <c r="AM330" s="170"/>
      <c r="AN330" s="170"/>
      <c r="AO330" s="170"/>
      <c r="AP330" s="170"/>
      <c r="AQ330" s="170"/>
      <c r="AR330" s="170"/>
      <c r="AS330" s="170"/>
    </row>
    <row r="331" spans="1:45" ht="15" x14ac:dyDescent="0.25">
      <c r="A331" s="170"/>
      <c r="B331" s="719"/>
      <c r="C331" s="170"/>
      <c r="D331" s="170"/>
      <c r="E331" s="170"/>
      <c r="F331" s="170"/>
      <c r="G331" s="721"/>
      <c r="H331" s="170"/>
      <c r="I331" s="170"/>
      <c r="J331" s="170"/>
      <c r="K331" s="170"/>
      <c r="L331" s="170"/>
      <c r="M331" s="730"/>
      <c r="N331" s="730"/>
      <c r="O331" s="730"/>
      <c r="P331" s="731"/>
      <c r="Q331" s="731"/>
      <c r="R331" s="730"/>
      <c r="S331" s="730"/>
      <c r="T331" s="723"/>
      <c r="U331" s="724"/>
      <c r="V331" s="725"/>
      <c r="W331" s="725"/>
      <c r="X331" s="723"/>
      <c r="Y331" s="723"/>
      <c r="Z331" s="723"/>
      <c r="AA331" s="726"/>
      <c r="AB331" s="726"/>
      <c r="AC331" s="170"/>
      <c r="AD331" s="586"/>
      <c r="AE331" s="586"/>
      <c r="AF331" s="170"/>
      <c r="AG331" s="170"/>
      <c r="AH331" s="170"/>
      <c r="AI331" s="170"/>
      <c r="AJ331" s="170"/>
      <c r="AK331" s="170"/>
      <c r="AL331" s="170"/>
      <c r="AM331" s="170"/>
      <c r="AN331" s="170"/>
      <c r="AO331" s="170"/>
      <c r="AP331" s="170"/>
      <c r="AQ331" s="170"/>
      <c r="AR331" s="170"/>
      <c r="AS331" s="170"/>
    </row>
    <row r="332" spans="1:45" ht="15" x14ac:dyDescent="0.25">
      <c r="A332" s="170"/>
      <c r="B332" s="719"/>
      <c r="C332" s="170"/>
      <c r="D332" s="170"/>
      <c r="E332" s="170"/>
      <c r="F332" s="170"/>
      <c r="G332" s="721"/>
      <c r="H332" s="170"/>
      <c r="I332" s="170"/>
      <c r="J332" s="170"/>
      <c r="K332" s="170"/>
      <c r="L332" s="170"/>
      <c r="M332" s="730"/>
      <c r="N332" s="730"/>
      <c r="O332" s="730"/>
      <c r="P332" s="731"/>
      <c r="Q332" s="731"/>
      <c r="R332" s="730"/>
      <c r="S332" s="730"/>
      <c r="T332" s="723"/>
      <c r="U332" s="724"/>
      <c r="V332" s="725"/>
      <c r="W332" s="725"/>
      <c r="X332" s="723"/>
      <c r="Y332" s="723"/>
      <c r="Z332" s="723"/>
      <c r="AA332" s="726"/>
      <c r="AB332" s="726"/>
      <c r="AC332" s="170"/>
      <c r="AD332" s="586"/>
      <c r="AE332" s="586"/>
      <c r="AF332" s="170"/>
      <c r="AG332" s="170"/>
      <c r="AH332" s="170"/>
      <c r="AI332" s="170"/>
      <c r="AJ332" s="170"/>
      <c r="AK332" s="170"/>
      <c r="AL332" s="170"/>
      <c r="AM332" s="170"/>
      <c r="AN332" s="170"/>
      <c r="AO332" s="170"/>
      <c r="AP332" s="170"/>
      <c r="AQ332" s="170"/>
      <c r="AR332" s="170"/>
      <c r="AS332" s="170"/>
    </row>
    <row r="333" spans="1:45" ht="15" x14ac:dyDescent="0.25">
      <c r="A333" s="170"/>
      <c r="B333" s="719"/>
      <c r="C333" s="170"/>
      <c r="D333" s="170"/>
      <c r="E333" s="170"/>
      <c r="F333" s="170"/>
      <c r="G333" s="721"/>
      <c r="H333" s="170"/>
      <c r="I333" s="170"/>
      <c r="J333" s="170"/>
      <c r="K333" s="170"/>
      <c r="L333" s="170"/>
      <c r="M333" s="730"/>
      <c r="N333" s="730"/>
      <c r="O333" s="730"/>
      <c r="P333" s="731"/>
      <c r="Q333" s="731"/>
      <c r="R333" s="730"/>
      <c r="S333" s="730"/>
      <c r="T333" s="723"/>
      <c r="U333" s="724"/>
      <c r="V333" s="725"/>
      <c r="W333" s="725"/>
      <c r="X333" s="723"/>
      <c r="Y333" s="723"/>
      <c r="Z333" s="723"/>
      <c r="AA333" s="726"/>
      <c r="AB333" s="726"/>
      <c r="AC333" s="170"/>
      <c r="AD333" s="586"/>
      <c r="AE333" s="586"/>
      <c r="AF333" s="170"/>
      <c r="AG333" s="170"/>
      <c r="AH333" s="170"/>
      <c r="AI333" s="170"/>
      <c r="AJ333" s="170"/>
      <c r="AK333" s="170"/>
      <c r="AL333" s="170"/>
      <c r="AM333" s="170"/>
      <c r="AN333" s="170"/>
      <c r="AO333" s="170"/>
      <c r="AP333" s="170"/>
      <c r="AQ333" s="170"/>
      <c r="AR333" s="170"/>
      <c r="AS333" s="170"/>
    </row>
    <row r="334" spans="1:45" ht="15" x14ac:dyDescent="0.25">
      <c r="A334" s="170"/>
      <c r="B334" s="719"/>
      <c r="C334" s="170"/>
      <c r="D334" s="170"/>
      <c r="E334" s="170"/>
      <c r="F334" s="170"/>
      <c r="G334" s="721"/>
      <c r="H334" s="170"/>
      <c r="I334" s="170"/>
      <c r="J334" s="170"/>
      <c r="K334" s="170"/>
      <c r="L334" s="170"/>
      <c r="M334" s="730"/>
      <c r="N334" s="730"/>
      <c r="O334" s="730"/>
      <c r="P334" s="731"/>
      <c r="Q334" s="731"/>
      <c r="R334" s="730"/>
      <c r="S334" s="730"/>
      <c r="T334" s="723"/>
      <c r="U334" s="724"/>
      <c r="V334" s="725"/>
      <c r="W334" s="725"/>
      <c r="X334" s="723"/>
      <c r="Y334" s="723"/>
      <c r="Z334" s="723"/>
      <c r="AA334" s="726"/>
      <c r="AB334" s="726"/>
      <c r="AC334" s="170"/>
      <c r="AD334" s="586"/>
      <c r="AE334" s="586"/>
      <c r="AF334" s="170"/>
      <c r="AG334" s="170"/>
      <c r="AH334" s="170"/>
      <c r="AI334" s="170"/>
      <c r="AJ334" s="170"/>
      <c r="AK334" s="170"/>
      <c r="AL334" s="170"/>
      <c r="AM334" s="170"/>
      <c r="AN334" s="170"/>
      <c r="AO334" s="170"/>
      <c r="AP334" s="170"/>
      <c r="AQ334" s="170"/>
      <c r="AR334" s="170"/>
      <c r="AS334" s="170"/>
    </row>
    <row r="335" spans="1:45" ht="15" x14ac:dyDescent="0.25">
      <c r="A335" s="170"/>
      <c r="B335" s="719"/>
      <c r="C335" s="170"/>
      <c r="D335" s="170"/>
      <c r="E335" s="170"/>
      <c r="F335" s="170"/>
      <c r="G335" s="721"/>
      <c r="H335" s="170"/>
      <c r="I335" s="170"/>
      <c r="J335" s="170"/>
      <c r="K335" s="170"/>
      <c r="L335" s="170"/>
      <c r="M335" s="730"/>
      <c r="N335" s="730"/>
      <c r="O335" s="730"/>
      <c r="P335" s="731"/>
      <c r="Q335" s="731"/>
      <c r="R335" s="730"/>
      <c r="S335" s="730"/>
      <c r="T335" s="723"/>
      <c r="U335" s="724"/>
      <c r="V335" s="725"/>
      <c r="W335" s="725"/>
      <c r="X335" s="723"/>
      <c r="Y335" s="723"/>
      <c r="Z335" s="723"/>
      <c r="AA335" s="726"/>
      <c r="AB335" s="726"/>
      <c r="AC335" s="170"/>
      <c r="AD335" s="586"/>
      <c r="AE335" s="586"/>
      <c r="AF335" s="170"/>
      <c r="AG335" s="170"/>
      <c r="AH335" s="170"/>
      <c r="AI335" s="170"/>
      <c r="AJ335" s="170"/>
      <c r="AK335" s="170"/>
      <c r="AL335" s="170"/>
      <c r="AM335" s="170"/>
      <c r="AN335" s="170"/>
      <c r="AO335" s="170"/>
      <c r="AP335" s="170"/>
      <c r="AQ335" s="170"/>
      <c r="AR335" s="170"/>
      <c r="AS335" s="170"/>
    </row>
    <row r="336" spans="1:45" ht="15" x14ac:dyDescent="0.25">
      <c r="A336" s="170"/>
      <c r="B336" s="719"/>
      <c r="C336" s="170"/>
      <c r="D336" s="170"/>
      <c r="E336" s="170"/>
      <c r="F336" s="170"/>
      <c r="G336" s="721"/>
      <c r="H336" s="170"/>
      <c r="I336" s="170"/>
      <c r="J336" s="170"/>
      <c r="K336" s="170"/>
      <c r="L336" s="170"/>
      <c r="M336" s="730"/>
      <c r="N336" s="730"/>
      <c r="O336" s="730"/>
      <c r="P336" s="731"/>
      <c r="Q336" s="731"/>
      <c r="R336" s="730"/>
      <c r="S336" s="730"/>
      <c r="T336" s="723"/>
      <c r="U336" s="724"/>
      <c r="V336" s="725"/>
      <c r="W336" s="725"/>
      <c r="X336" s="723"/>
      <c r="Y336" s="723"/>
      <c r="Z336" s="723"/>
      <c r="AA336" s="726"/>
      <c r="AB336" s="726"/>
      <c r="AC336" s="170"/>
      <c r="AD336" s="586"/>
      <c r="AE336" s="586"/>
      <c r="AF336" s="170"/>
      <c r="AG336" s="170"/>
      <c r="AH336" s="170"/>
      <c r="AI336" s="170"/>
      <c r="AJ336" s="170"/>
      <c r="AK336" s="170"/>
      <c r="AL336" s="170"/>
      <c r="AM336" s="170"/>
      <c r="AN336" s="170"/>
      <c r="AO336" s="170"/>
      <c r="AP336" s="170"/>
      <c r="AQ336" s="170"/>
      <c r="AR336" s="170"/>
      <c r="AS336" s="170"/>
    </row>
    <row r="337" spans="1:45" ht="15" x14ac:dyDescent="0.25">
      <c r="A337" s="170"/>
      <c r="B337" s="719"/>
      <c r="C337" s="170"/>
      <c r="D337" s="170"/>
      <c r="E337" s="170"/>
      <c r="F337" s="170"/>
      <c r="G337" s="721"/>
      <c r="H337" s="170"/>
      <c r="I337" s="170"/>
      <c r="J337" s="170"/>
      <c r="K337" s="170"/>
      <c r="L337" s="170"/>
      <c r="M337" s="730"/>
      <c r="N337" s="730"/>
      <c r="O337" s="730"/>
      <c r="P337" s="731"/>
      <c r="Q337" s="731"/>
      <c r="R337" s="730"/>
      <c r="S337" s="730"/>
      <c r="T337" s="723"/>
      <c r="U337" s="724"/>
      <c r="V337" s="725"/>
      <c r="W337" s="725"/>
      <c r="X337" s="723"/>
      <c r="Y337" s="723"/>
      <c r="Z337" s="723"/>
      <c r="AA337" s="726"/>
      <c r="AB337" s="726"/>
      <c r="AC337" s="170"/>
      <c r="AD337" s="586"/>
      <c r="AE337" s="586"/>
      <c r="AF337" s="170"/>
      <c r="AG337" s="170"/>
      <c r="AH337" s="170"/>
      <c r="AI337" s="170"/>
      <c r="AJ337" s="170"/>
      <c r="AK337" s="170"/>
      <c r="AL337" s="170"/>
      <c r="AM337" s="170"/>
      <c r="AN337" s="170"/>
      <c r="AO337" s="170"/>
      <c r="AP337" s="170"/>
      <c r="AQ337" s="170"/>
      <c r="AR337" s="170"/>
      <c r="AS337" s="170"/>
    </row>
    <row r="338" spans="1:45" ht="15" x14ac:dyDescent="0.25">
      <c r="A338" s="170"/>
      <c r="B338" s="719"/>
      <c r="C338" s="170"/>
      <c r="D338" s="170"/>
      <c r="E338" s="170"/>
      <c r="F338" s="170"/>
      <c r="G338" s="721"/>
      <c r="H338" s="170"/>
      <c r="I338" s="170"/>
      <c r="J338" s="170"/>
      <c r="K338" s="170"/>
      <c r="L338" s="170"/>
      <c r="M338" s="730"/>
      <c r="N338" s="730"/>
      <c r="O338" s="730"/>
      <c r="P338" s="731"/>
      <c r="Q338" s="731"/>
      <c r="R338" s="730"/>
      <c r="S338" s="730"/>
      <c r="T338" s="723"/>
      <c r="U338" s="724"/>
      <c r="V338" s="725"/>
      <c r="W338" s="725"/>
      <c r="X338" s="723"/>
      <c r="Y338" s="723"/>
      <c r="Z338" s="723"/>
      <c r="AA338" s="726"/>
      <c r="AB338" s="726"/>
      <c r="AC338" s="170"/>
      <c r="AD338" s="586"/>
      <c r="AE338" s="586"/>
      <c r="AF338" s="170"/>
      <c r="AG338" s="170"/>
      <c r="AH338" s="170"/>
      <c r="AI338" s="170"/>
      <c r="AJ338" s="170"/>
      <c r="AK338" s="170"/>
      <c r="AL338" s="170"/>
      <c r="AM338" s="170"/>
      <c r="AN338" s="170"/>
      <c r="AO338" s="170"/>
      <c r="AP338" s="170"/>
      <c r="AQ338" s="170"/>
      <c r="AR338" s="170"/>
      <c r="AS338" s="170"/>
    </row>
    <row r="339" spans="1:45" ht="15" x14ac:dyDescent="0.25">
      <c r="A339" s="170"/>
      <c r="B339" s="719"/>
      <c r="C339" s="170"/>
      <c r="D339" s="170"/>
      <c r="E339" s="170"/>
      <c r="F339" s="170"/>
      <c r="G339" s="721"/>
      <c r="H339" s="170"/>
      <c r="I339" s="170"/>
      <c r="J339" s="170"/>
      <c r="K339" s="170"/>
      <c r="L339" s="170"/>
      <c r="M339" s="730"/>
      <c r="N339" s="730"/>
      <c r="O339" s="730"/>
      <c r="P339" s="731"/>
      <c r="Q339" s="731"/>
      <c r="R339" s="730"/>
      <c r="S339" s="730"/>
      <c r="T339" s="723"/>
      <c r="U339" s="724"/>
      <c r="V339" s="725"/>
      <c r="W339" s="725"/>
      <c r="X339" s="723"/>
      <c r="Y339" s="723"/>
      <c r="Z339" s="723"/>
      <c r="AA339" s="726"/>
      <c r="AB339" s="726"/>
      <c r="AC339" s="170"/>
      <c r="AD339" s="586"/>
      <c r="AE339" s="586"/>
      <c r="AF339" s="170"/>
      <c r="AG339" s="170"/>
      <c r="AH339" s="170"/>
      <c r="AI339" s="170"/>
      <c r="AJ339" s="170"/>
      <c r="AK339" s="170"/>
      <c r="AL339" s="170"/>
      <c r="AM339" s="170"/>
      <c r="AN339" s="170"/>
      <c r="AO339" s="170"/>
      <c r="AP339" s="170"/>
      <c r="AQ339" s="170"/>
      <c r="AR339" s="170"/>
      <c r="AS339" s="170"/>
    </row>
    <row r="340" spans="1:45" ht="15" x14ac:dyDescent="0.25">
      <c r="A340" s="170"/>
      <c r="B340" s="719"/>
      <c r="C340" s="170"/>
      <c r="D340" s="170"/>
      <c r="E340" s="170"/>
      <c r="F340" s="170"/>
      <c r="G340" s="721"/>
      <c r="H340" s="170"/>
      <c r="I340" s="170"/>
      <c r="J340" s="170"/>
      <c r="K340" s="170"/>
      <c r="L340" s="170"/>
      <c r="M340" s="730"/>
      <c r="N340" s="730"/>
      <c r="O340" s="730"/>
      <c r="P340" s="731"/>
      <c r="Q340" s="731"/>
      <c r="R340" s="730"/>
      <c r="S340" s="730"/>
      <c r="T340" s="723"/>
      <c r="U340" s="724"/>
      <c r="V340" s="725"/>
      <c r="W340" s="725"/>
      <c r="X340" s="723"/>
      <c r="Y340" s="723"/>
      <c r="Z340" s="723"/>
      <c r="AA340" s="726"/>
      <c r="AB340" s="726"/>
      <c r="AC340" s="170"/>
      <c r="AD340" s="586"/>
      <c r="AE340" s="586"/>
      <c r="AF340" s="170"/>
      <c r="AG340" s="170"/>
      <c r="AH340" s="170"/>
      <c r="AI340" s="170"/>
      <c r="AJ340" s="170"/>
      <c r="AK340" s="170"/>
      <c r="AL340" s="170"/>
      <c r="AM340" s="170"/>
      <c r="AN340" s="170"/>
      <c r="AO340" s="170"/>
      <c r="AP340" s="170"/>
      <c r="AQ340" s="170"/>
      <c r="AR340" s="170"/>
      <c r="AS340" s="170"/>
    </row>
    <row r="341" spans="1:45" ht="15" x14ac:dyDescent="0.25">
      <c r="A341" s="170"/>
      <c r="B341" s="719"/>
      <c r="C341" s="170"/>
      <c r="D341" s="170"/>
      <c r="E341" s="170"/>
      <c r="F341" s="170"/>
      <c r="G341" s="721"/>
      <c r="H341" s="170"/>
      <c r="I341" s="170"/>
      <c r="J341" s="170"/>
      <c r="K341" s="170"/>
      <c r="L341" s="170"/>
      <c r="M341" s="730"/>
      <c r="N341" s="730"/>
      <c r="O341" s="730"/>
      <c r="P341" s="731"/>
      <c r="Q341" s="731"/>
      <c r="R341" s="730"/>
      <c r="S341" s="730"/>
      <c r="T341" s="723"/>
      <c r="U341" s="724"/>
      <c r="V341" s="725"/>
      <c r="W341" s="725"/>
      <c r="X341" s="723"/>
      <c r="Y341" s="723"/>
      <c r="Z341" s="723"/>
      <c r="AA341" s="726"/>
      <c r="AB341" s="726"/>
      <c r="AC341" s="170"/>
      <c r="AD341" s="586"/>
      <c r="AE341" s="586"/>
      <c r="AF341" s="170"/>
      <c r="AG341" s="170"/>
      <c r="AH341" s="170"/>
      <c r="AI341" s="170"/>
      <c r="AJ341" s="170"/>
      <c r="AK341" s="170"/>
      <c r="AL341" s="170"/>
      <c r="AM341" s="170"/>
      <c r="AN341" s="170"/>
      <c r="AO341" s="170"/>
      <c r="AP341" s="170"/>
      <c r="AQ341" s="170"/>
      <c r="AR341" s="170"/>
      <c r="AS341" s="170"/>
    </row>
    <row r="342" spans="1:45" ht="15" x14ac:dyDescent="0.25">
      <c r="A342" s="170"/>
      <c r="B342" s="719"/>
      <c r="C342" s="170"/>
      <c r="D342" s="170"/>
      <c r="E342" s="170"/>
      <c r="F342" s="170"/>
      <c r="G342" s="721"/>
      <c r="H342" s="170"/>
      <c r="I342" s="170"/>
      <c r="J342" s="170"/>
      <c r="K342" s="170"/>
      <c r="L342" s="170"/>
      <c r="M342" s="730"/>
      <c r="N342" s="730"/>
      <c r="O342" s="730"/>
      <c r="P342" s="731"/>
      <c r="Q342" s="731"/>
      <c r="R342" s="730"/>
      <c r="S342" s="730"/>
      <c r="T342" s="723"/>
      <c r="U342" s="724"/>
      <c r="V342" s="725"/>
      <c r="W342" s="725"/>
      <c r="X342" s="723"/>
      <c r="Y342" s="723"/>
      <c r="Z342" s="723"/>
      <c r="AA342" s="726"/>
      <c r="AB342" s="726"/>
      <c r="AC342" s="170"/>
      <c r="AD342" s="586"/>
      <c r="AE342" s="586"/>
      <c r="AF342" s="170"/>
      <c r="AG342" s="170"/>
      <c r="AH342" s="170"/>
      <c r="AI342" s="170"/>
      <c r="AJ342" s="170"/>
      <c r="AK342" s="170"/>
      <c r="AL342" s="170"/>
      <c r="AM342" s="170"/>
      <c r="AN342" s="170"/>
      <c r="AO342" s="170"/>
      <c r="AP342" s="170"/>
      <c r="AQ342" s="170"/>
      <c r="AR342" s="170"/>
      <c r="AS342" s="170"/>
    </row>
    <row r="343" spans="1:45" ht="15" x14ac:dyDescent="0.25">
      <c r="A343" s="170"/>
      <c r="B343" s="719"/>
      <c r="C343" s="170"/>
      <c r="D343" s="170"/>
      <c r="E343" s="170"/>
      <c r="F343" s="170"/>
      <c r="G343" s="721"/>
      <c r="H343" s="170"/>
      <c r="I343" s="170"/>
      <c r="J343" s="170"/>
      <c r="K343" s="170"/>
      <c r="L343" s="170"/>
      <c r="M343" s="730"/>
      <c r="N343" s="730"/>
      <c r="O343" s="730"/>
      <c r="P343" s="731"/>
      <c r="Q343" s="731"/>
      <c r="R343" s="730"/>
      <c r="S343" s="730"/>
      <c r="T343" s="723"/>
      <c r="U343" s="724"/>
      <c r="V343" s="725"/>
      <c r="W343" s="725"/>
      <c r="X343" s="723"/>
      <c r="Y343" s="723"/>
      <c r="Z343" s="723"/>
      <c r="AA343" s="726"/>
      <c r="AB343" s="726"/>
      <c r="AC343" s="170"/>
      <c r="AD343" s="586"/>
      <c r="AE343" s="586"/>
      <c r="AF343" s="170"/>
      <c r="AG343" s="170"/>
      <c r="AH343" s="170"/>
      <c r="AI343" s="170"/>
      <c r="AJ343" s="170"/>
      <c r="AK343" s="170"/>
      <c r="AL343" s="170"/>
      <c r="AM343" s="170"/>
      <c r="AN343" s="170"/>
      <c r="AO343" s="170"/>
      <c r="AP343" s="170"/>
      <c r="AQ343" s="170"/>
      <c r="AR343" s="170"/>
      <c r="AS343" s="170"/>
    </row>
    <row r="344" spans="1:45" ht="15" x14ac:dyDescent="0.25">
      <c r="A344" s="170"/>
      <c r="B344" s="719"/>
      <c r="C344" s="170"/>
      <c r="D344" s="170"/>
      <c r="E344" s="170"/>
      <c r="F344" s="170"/>
      <c r="G344" s="721"/>
      <c r="H344" s="170"/>
      <c r="I344" s="170"/>
      <c r="J344" s="170"/>
      <c r="K344" s="170"/>
      <c r="L344" s="170"/>
      <c r="M344" s="730"/>
      <c r="N344" s="730"/>
      <c r="O344" s="730"/>
      <c r="P344" s="731"/>
      <c r="Q344" s="731"/>
      <c r="R344" s="730"/>
      <c r="S344" s="730"/>
      <c r="T344" s="723"/>
      <c r="U344" s="724"/>
      <c r="V344" s="725"/>
      <c r="W344" s="725"/>
      <c r="X344" s="723"/>
      <c r="Y344" s="723"/>
      <c r="Z344" s="723"/>
      <c r="AA344" s="726"/>
      <c r="AB344" s="726"/>
      <c r="AC344" s="170"/>
      <c r="AD344" s="586"/>
      <c r="AE344" s="586"/>
      <c r="AF344" s="170"/>
      <c r="AG344" s="170"/>
      <c r="AH344" s="170"/>
      <c r="AI344" s="170"/>
      <c r="AJ344" s="170"/>
      <c r="AK344" s="170"/>
      <c r="AL344" s="170"/>
      <c r="AM344" s="170"/>
      <c r="AN344" s="170"/>
      <c r="AO344" s="170"/>
      <c r="AP344" s="170"/>
      <c r="AQ344" s="170"/>
      <c r="AR344" s="170"/>
      <c r="AS344" s="170"/>
    </row>
    <row r="345" spans="1:45" ht="15" x14ac:dyDescent="0.25">
      <c r="A345" s="170"/>
      <c r="B345" s="719"/>
      <c r="C345" s="170"/>
      <c r="D345" s="170"/>
      <c r="E345" s="170"/>
      <c r="F345" s="170"/>
      <c r="G345" s="721"/>
      <c r="H345" s="170"/>
      <c r="I345" s="170"/>
      <c r="J345" s="170"/>
      <c r="K345" s="170"/>
      <c r="L345" s="170"/>
      <c r="M345" s="730"/>
      <c r="N345" s="730"/>
      <c r="O345" s="730"/>
      <c r="P345" s="731"/>
      <c r="Q345" s="731"/>
      <c r="R345" s="730"/>
      <c r="S345" s="730"/>
      <c r="T345" s="723"/>
      <c r="U345" s="724"/>
      <c r="V345" s="725"/>
      <c r="W345" s="725"/>
      <c r="X345" s="723"/>
      <c r="Y345" s="723"/>
      <c r="Z345" s="723"/>
      <c r="AA345" s="726"/>
      <c r="AB345" s="726"/>
      <c r="AC345" s="170"/>
      <c r="AD345" s="586"/>
      <c r="AE345" s="586"/>
      <c r="AF345" s="170"/>
      <c r="AG345" s="170"/>
      <c r="AH345" s="170"/>
      <c r="AI345" s="170"/>
      <c r="AJ345" s="170"/>
      <c r="AK345" s="170"/>
      <c r="AL345" s="170"/>
      <c r="AM345" s="170"/>
      <c r="AN345" s="170"/>
      <c r="AO345" s="170"/>
      <c r="AP345" s="170"/>
      <c r="AQ345" s="170"/>
      <c r="AR345" s="170"/>
      <c r="AS345" s="170"/>
    </row>
    <row r="346" spans="1:45" ht="15" x14ac:dyDescent="0.25">
      <c r="A346" s="170"/>
      <c r="B346" s="719"/>
      <c r="C346" s="170"/>
      <c r="D346" s="170"/>
      <c r="E346" s="170"/>
      <c r="F346" s="170"/>
      <c r="G346" s="721"/>
      <c r="H346" s="170"/>
      <c r="I346" s="170"/>
      <c r="J346" s="170"/>
      <c r="K346" s="170"/>
      <c r="L346" s="170"/>
      <c r="M346" s="730"/>
      <c r="N346" s="730"/>
      <c r="O346" s="730"/>
      <c r="P346" s="731"/>
      <c r="Q346" s="731"/>
      <c r="R346" s="730"/>
      <c r="S346" s="730"/>
      <c r="T346" s="723"/>
      <c r="U346" s="724"/>
      <c r="V346" s="725"/>
      <c r="W346" s="725"/>
      <c r="X346" s="723"/>
      <c r="Y346" s="723"/>
      <c r="Z346" s="723"/>
      <c r="AA346" s="726"/>
      <c r="AB346" s="726"/>
      <c r="AC346" s="170"/>
      <c r="AD346" s="586"/>
      <c r="AE346" s="586"/>
      <c r="AF346" s="170"/>
      <c r="AG346" s="170"/>
      <c r="AH346" s="170"/>
      <c r="AI346" s="170"/>
      <c r="AJ346" s="170"/>
      <c r="AK346" s="170"/>
      <c r="AL346" s="170"/>
      <c r="AM346" s="170"/>
      <c r="AN346" s="170"/>
      <c r="AO346" s="170"/>
      <c r="AP346" s="170"/>
      <c r="AQ346" s="170"/>
      <c r="AR346" s="170"/>
      <c r="AS346" s="170"/>
    </row>
    <row r="347" spans="1:45" ht="15" x14ac:dyDescent="0.25">
      <c r="A347" s="170"/>
      <c r="B347" s="719"/>
      <c r="C347" s="170"/>
      <c r="D347" s="170"/>
      <c r="E347" s="170"/>
      <c r="F347" s="170"/>
      <c r="G347" s="721"/>
      <c r="H347" s="170"/>
      <c r="I347" s="170"/>
      <c r="J347" s="170"/>
      <c r="K347" s="170"/>
      <c r="L347" s="170"/>
      <c r="M347" s="730"/>
      <c r="N347" s="730"/>
      <c r="O347" s="730"/>
      <c r="P347" s="731"/>
      <c r="Q347" s="731"/>
      <c r="R347" s="730"/>
      <c r="S347" s="730"/>
      <c r="T347" s="723"/>
      <c r="U347" s="724"/>
      <c r="V347" s="725"/>
      <c r="W347" s="725"/>
      <c r="X347" s="723"/>
      <c r="Y347" s="723"/>
      <c r="Z347" s="723"/>
      <c r="AA347" s="726"/>
      <c r="AB347" s="726"/>
      <c r="AC347" s="170"/>
      <c r="AD347" s="586"/>
      <c r="AE347" s="586"/>
      <c r="AF347" s="170"/>
      <c r="AG347" s="170"/>
      <c r="AH347" s="170"/>
      <c r="AI347" s="170"/>
      <c r="AJ347" s="170"/>
      <c r="AK347" s="170"/>
      <c r="AL347" s="170"/>
      <c r="AM347" s="170"/>
      <c r="AN347" s="170"/>
      <c r="AO347" s="170"/>
      <c r="AP347" s="170"/>
      <c r="AQ347" s="170"/>
      <c r="AR347" s="170"/>
      <c r="AS347" s="170"/>
    </row>
    <row r="348" spans="1:45" ht="15" x14ac:dyDescent="0.25">
      <c r="A348" s="170"/>
      <c r="B348" s="719"/>
      <c r="C348" s="170"/>
      <c r="D348" s="170"/>
      <c r="E348" s="170"/>
      <c r="F348" s="170"/>
      <c r="G348" s="721"/>
      <c r="H348" s="170"/>
      <c r="I348" s="170"/>
      <c r="J348" s="170"/>
      <c r="K348" s="170"/>
      <c r="L348" s="170"/>
      <c r="M348" s="730"/>
      <c r="N348" s="730"/>
      <c r="O348" s="730"/>
      <c r="P348" s="731"/>
      <c r="Q348" s="731"/>
      <c r="R348" s="730"/>
      <c r="S348" s="730"/>
      <c r="T348" s="723"/>
      <c r="U348" s="724"/>
      <c r="V348" s="725"/>
      <c r="W348" s="725"/>
      <c r="X348" s="723"/>
      <c r="Y348" s="723"/>
      <c r="Z348" s="723"/>
      <c r="AA348" s="726"/>
      <c r="AB348" s="726"/>
      <c r="AC348" s="170"/>
      <c r="AD348" s="586"/>
      <c r="AE348" s="586"/>
      <c r="AF348" s="170"/>
      <c r="AG348" s="170"/>
      <c r="AH348" s="170"/>
      <c r="AI348" s="170"/>
      <c r="AJ348" s="170"/>
      <c r="AK348" s="170"/>
      <c r="AL348" s="170"/>
      <c r="AM348" s="170"/>
      <c r="AN348" s="170"/>
      <c r="AO348" s="170"/>
      <c r="AP348" s="170"/>
      <c r="AQ348" s="170"/>
      <c r="AR348" s="170"/>
      <c r="AS348" s="170"/>
    </row>
    <row r="349" spans="1:45" ht="15" x14ac:dyDescent="0.25">
      <c r="A349" s="170"/>
      <c r="B349" s="719"/>
      <c r="C349" s="170"/>
      <c r="D349" s="170"/>
      <c r="E349" s="170"/>
      <c r="F349" s="170"/>
      <c r="G349" s="721"/>
      <c r="H349" s="170"/>
      <c r="I349" s="170"/>
      <c r="J349" s="170"/>
      <c r="K349" s="170"/>
      <c r="L349" s="170"/>
      <c r="M349" s="730"/>
      <c r="N349" s="730"/>
      <c r="O349" s="730"/>
      <c r="P349" s="731"/>
      <c r="Q349" s="731"/>
      <c r="R349" s="730"/>
      <c r="S349" s="730"/>
      <c r="T349" s="723"/>
      <c r="U349" s="724"/>
      <c r="V349" s="725"/>
      <c r="W349" s="725"/>
      <c r="X349" s="723"/>
      <c r="Y349" s="723"/>
      <c r="Z349" s="723"/>
      <c r="AA349" s="726"/>
      <c r="AB349" s="726"/>
      <c r="AC349" s="170"/>
      <c r="AD349" s="586"/>
      <c r="AE349" s="586"/>
      <c r="AF349" s="170"/>
      <c r="AG349" s="170"/>
      <c r="AH349" s="170"/>
      <c r="AI349" s="170"/>
      <c r="AJ349" s="170"/>
      <c r="AK349" s="170"/>
      <c r="AL349" s="170"/>
      <c r="AM349" s="170"/>
      <c r="AN349" s="170"/>
      <c r="AO349" s="170"/>
      <c r="AP349" s="170"/>
      <c r="AQ349" s="170"/>
      <c r="AR349" s="170"/>
      <c r="AS349" s="170"/>
    </row>
    <row r="350" spans="1:45" ht="15" x14ac:dyDescent="0.25">
      <c r="A350" s="170"/>
      <c r="B350" s="719"/>
      <c r="C350" s="170"/>
      <c r="D350" s="170"/>
      <c r="E350" s="170"/>
      <c r="F350" s="170"/>
      <c r="G350" s="721"/>
      <c r="H350" s="170"/>
      <c r="I350" s="170"/>
      <c r="J350" s="170"/>
      <c r="K350" s="170"/>
      <c r="L350" s="170"/>
      <c r="M350" s="730"/>
      <c r="N350" s="730"/>
      <c r="O350" s="730"/>
      <c r="P350" s="731"/>
      <c r="Q350" s="731"/>
      <c r="R350" s="730"/>
      <c r="S350" s="730"/>
      <c r="T350" s="723"/>
      <c r="U350" s="724"/>
      <c r="V350" s="725"/>
      <c r="W350" s="725"/>
      <c r="X350" s="723"/>
      <c r="Y350" s="723"/>
      <c r="Z350" s="723"/>
      <c r="AA350" s="726"/>
      <c r="AB350" s="726"/>
      <c r="AC350" s="170"/>
      <c r="AD350" s="586"/>
      <c r="AE350" s="586"/>
      <c r="AF350" s="170"/>
      <c r="AG350" s="170"/>
      <c r="AH350" s="170"/>
      <c r="AI350" s="170"/>
      <c r="AJ350" s="170"/>
      <c r="AK350" s="170"/>
      <c r="AL350" s="170"/>
      <c r="AM350" s="170"/>
      <c r="AN350" s="170"/>
      <c r="AO350" s="170"/>
      <c r="AP350" s="170"/>
      <c r="AQ350" s="170"/>
      <c r="AR350" s="170"/>
      <c r="AS350" s="170"/>
    </row>
    <row r="351" spans="1:45" ht="15" x14ac:dyDescent="0.25">
      <c r="A351" s="170"/>
      <c r="B351" s="719"/>
      <c r="C351" s="170"/>
      <c r="D351" s="170"/>
      <c r="E351" s="170"/>
      <c r="F351" s="170"/>
      <c r="G351" s="721"/>
      <c r="H351" s="170"/>
      <c r="I351" s="170"/>
      <c r="J351" s="170"/>
      <c r="K351" s="170"/>
      <c r="L351" s="170"/>
      <c r="M351" s="730"/>
      <c r="N351" s="730"/>
      <c r="O351" s="730"/>
      <c r="P351" s="731"/>
      <c r="Q351" s="731"/>
      <c r="R351" s="730"/>
      <c r="S351" s="730"/>
      <c r="T351" s="723"/>
      <c r="U351" s="724"/>
      <c r="V351" s="725"/>
      <c r="W351" s="725"/>
      <c r="X351" s="723"/>
      <c r="Y351" s="723"/>
      <c r="Z351" s="723"/>
      <c r="AA351" s="726"/>
      <c r="AB351" s="726"/>
      <c r="AC351" s="170"/>
      <c r="AD351" s="586"/>
      <c r="AE351" s="586"/>
      <c r="AF351" s="170"/>
      <c r="AG351" s="170"/>
      <c r="AH351" s="170"/>
      <c r="AI351" s="170"/>
      <c r="AJ351" s="170"/>
      <c r="AK351" s="170"/>
      <c r="AL351" s="170"/>
      <c r="AM351" s="170"/>
      <c r="AN351" s="170"/>
      <c r="AO351" s="170"/>
      <c r="AP351" s="170"/>
      <c r="AQ351" s="170"/>
      <c r="AR351" s="170"/>
      <c r="AS351" s="170"/>
    </row>
    <row r="352" spans="1:45" ht="15" x14ac:dyDescent="0.25">
      <c r="A352" s="170"/>
      <c r="B352" s="719"/>
      <c r="C352" s="170"/>
      <c r="D352" s="170"/>
      <c r="E352" s="170"/>
      <c r="F352" s="170"/>
      <c r="G352" s="721"/>
      <c r="H352" s="170"/>
      <c r="I352" s="170"/>
      <c r="J352" s="170"/>
      <c r="K352" s="170"/>
      <c r="L352" s="170"/>
      <c r="M352" s="730"/>
      <c r="N352" s="730"/>
      <c r="O352" s="730"/>
      <c r="P352" s="731"/>
      <c r="Q352" s="731"/>
      <c r="R352" s="730"/>
      <c r="S352" s="730"/>
      <c r="T352" s="723"/>
      <c r="U352" s="724"/>
      <c r="V352" s="725"/>
      <c r="W352" s="725"/>
      <c r="X352" s="723"/>
      <c r="Y352" s="723"/>
      <c r="Z352" s="723"/>
      <c r="AA352" s="726"/>
      <c r="AB352" s="726"/>
      <c r="AC352" s="170"/>
      <c r="AD352" s="586"/>
      <c r="AE352" s="586"/>
      <c r="AF352" s="170"/>
      <c r="AG352" s="170"/>
      <c r="AH352" s="170"/>
      <c r="AI352" s="170"/>
      <c r="AJ352" s="170"/>
      <c r="AK352" s="170"/>
      <c r="AL352" s="170"/>
      <c r="AM352" s="170"/>
      <c r="AN352" s="170"/>
      <c r="AO352" s="170"/>
      <c r="AP352" s="170"/>
      <c r="AQ352" s="170"/>
      <c r="AR352" s="170"/>
      <c r="AS352" s="170"/>
    </row>
    <row r="353" spans="1:45" ht="15" x14ac:dyDescent="0.25">
      <c r="A353" s="170"/>
      <c r="B353" s="719"/>
      <c r="C353" s="170"/>
      <c r="D353" s="170"/>
      <c r="E353" s="170"/>
      <c r="F353" s="170"/>
      <c r="G353" s="721"/>
      <c r="H353" s="170"/>
      <c r="I353" s="170"/>
      <c r="J353" s="170"/>
      <c r="K353" s="170"/>
      <c r="L353" s="170"/>
      <c r="M353" s="730"/>
      <c r="N353" s="730"/>
      <c r="O353" s="730"/>
      <c r="P353" s="731"/>
      <c r="Q353" s="731"/>
      <c r="R353" s="730"/>
      <c r="S353" s="730"/>
      <c r="T353" s="723"/>
      <c r="U353" s="724"/>
      <c r="V353" s="725"/>
      <c r="W353" s="725"/>
      <c r="X353" s="723"/>
      <c r="Y353" s="723"/>
      <c r="Z353" s="723"/>
      <c r="AA353" s="726"/>
      <c r="AB353" s="726"/>
      <c r="AC353" s="170"/>
      <c r="AD353" s="586"/>
      <c r="AE353" s="586"/>
      <c r="AF353" s="170"/>
      <c r="AG353" s="170"/>
      <c r="AH353" s="170"/>
      <c r="AI353" s="170"/>
      <c r="AJ353" s="170"/>
      <c r="AK353" s="170"/>
      <c r="AL353" s="170"/>
      <c r="AM353" s="170"/>
      <c r="AN353" s="170"/>
      <c r="AO353" s="170"/>
      <c r="AP353" s="170"/>
      <c r="AQ353" s="170"/>
      <c r="AR353" s="170"/>
      <c r="AS353" s="170"/>
    </row>
    <row r="354" spans="1:45" ht="15" x14ac:dyDescent="0.25">
      <c r="A354" s="170"/>
      <c r="B354" s="719"/>
      <c r="C354" s="170"/>
      <c r="D354" s="170"/>
      <c r="E354" s="170"/>
      <c r="F354" s="170"/>
      <c r="G354" s="721"/>
      <c r="H354" s="170"/>
      <c r="I354" s="170"/>
      <c r="J354" s="170"/>
      <c r="K354" s="170"/>
      <c r="L354" s="170"/>
      <c r="M354" s="730"/>
      <c r="N354" s="730"/>
      <c r="O354" s="730"/>
      <c r="P354" s="731"/>
      <c r="Q354" s="731"/>
      <c r="R354" s="730"/>
      <c r="S354" s="730"/>
      <c r="T354" s="723"/>
      <c r="U354" s="724"/>
      <c r="V354" s="725"/>
      <c r="W354" s="725"/>
      <c r="X354" s="723"/>
      <c r="Y354" s="723"/>
      <c r="Z354" s="723"/>
      <c r="AA354" s="726"/>
      <c r="AB354" s="726"/>
      <c r="AC354" s="170"/>
      <c r="AD354" s="586"/>
      <c r="AE354" s="586"/>
      <c r="AF354" s="170"/>
      <c r="AG354" s="170"/>
      <c r="AH354" s="170"/>
      <c r="AI354" s="170"/>
      <c r="AJ354" s="170"/>
      <c r="AK354" s="170"/>
      <c r="AL354" s="170"/>
      <c r="AM354" s="170"/>
      <c r="AN354" s="170"/>
      <c r="AO354" s="170"/>
      <c r="AP354" s="170"/>
      <c r="AQ354" s="170"/>
      <c r="AR354" s="170"/>
      <c r="AS354" s="170"/>
    </row>
    <row r="355" spans="1:45" ht="15" x14ac:dyDescent="0.25">
      <c r="A355" s="170"/>
      <c r="B355" s="719"/>
      <c r="C355" s="170"/>
      <c r="D355" s="170"/>
      <c r="E355" s="170"/>
      <c r="F355" s="170"/>
      <c r="G355" s="721"/>
      <c r="H355" s="170"/>
      <c r="I355" s="170"/>
      <c r="J355" s="170"/>
      <c r="K355" s="170"/>
      <c r="L355" s="170"/>
      <c r="M355" s="730"/>
      <c r="N355" s="730"/>
      <c r="O355" s="730"/>
      <c r="P355" s="731"/>
      <c r="Q355" s="731"/>
      <c r="R355" s="730"/>
      <c r="S355" s="730"/>
      <c r="T355" s="723"/>
      <c r="U355" s="724"/>
      <c r="V355" s="725"/>
      <c r="W355" s="725"/>
      <c r="X355" s="723"/>
      <c r="Y355" s="723"/>
      <c r="Z355" s="723"/>
      <c r="AA355" s="726"/>
      <c r="AB355" s="726"/>
      <c r="AC355" s="170"/>
      <c r="AD355" s="586"/>
      <c r="AE355" s="586"/>
      <c r="AF355" s="170"/>
      <c r="AG355" s="170"/>
      <c r="AH355" s="170"/>
      <c r="AI355" s="170"/>
      <c r="AJ355" s="170"/>
      <c r="AK355" s="170"/>
      <c r="AL355" s="170"/>
      <c r="AM355" s="170"/>
      <c r="AN355" s="170"/>
      <c r="AO355" s="170"/>
      <c r="AP355" s="170"/>
      <c r="AQ355" s="170"/>
      <c r="AR355" s="170"/>
      <c r="AS355" s="170"/>
    </row>
    <row r="356" spans="1:45" ht="15" x14ac:dyDescent="0.25">
      <c r="A356" s="170"/>
      <c r="B356" s="719"/>
      <c r="C356" s="170"/>
      <c r="D356" s="170"/>
      <c r="E356" s="170"/>
      <c r="F356" s="170"/>
      <c r="G356" s="721"/>
      <c r="H356" s="170"/>
      <c r="I356" s="170"/>
      <c r="J356" s="170"/>
      <c r="K356" s="170"/>
      <c r="L356" s="170"/>
      <c r="M356" s="730"/>
      <c r="N356" s="730"/>
      <c r="O356" s="730"/>
      <c r="P356" s="731"/>
      <c r="Q356" s="731"/>
      <c r="R356" s="730"/>
      <c r="S356" s="730"/>
      <c r="T356" s="723"/>
      <c r="U356" s="724"/>
      <c r="V356" s="725"/>
      <c r="W356" s="725"/>
      <c r="X356" s="723"/>
      <c r="Y356" s="723"/>
      <c r="Z356" s="723"/>
      <c r="AA356" s="726"/>
      <c r="AB356" s="726"/>
      <c r="AC356" s="170"/>
      <c r="AD356" s="586"/>
      <c r="AE356" s="586"/>
      <c r="AF356" s="170"/>
      <c r="AG356" s="170"/>
      <c r="AH356" s="170"/>
      <c r="AI356" s="170"/>
      <c r="AJ356" s="170"/>
      <c r="AK356" s="170"/>
      <c r="AL356" s="170"/>
      <c r="AM356" s="170"/>
      <c r="AN356" s="170"/>
      <c r="AO356" s="170"/>
      <c r="AP356" s="170"/>
      <c r="AQ356" s="170"/>
      <c r="AR356" s="170"/>
      <c r="AS356" s="170"/>
    </row>
    <row r="357" spans="1:45" ht="15" x14ac:dyDescent="0.25">
      <c r="A357" s="170"/>
      <c r="B357" s="719"/>
      <c r="C357" s="170"/>
      <c r="D357" s="170"/>
      <c r="E357" s="170"/>
      <c r="F357" s="170"/>
      <c r="G357" s="721"/>
      <c r="H357" s="170"/>
      <c r="I357" s="170"/>
      <c r="J357" s="170"/>
      <c r="K357" s="170"/>
      <c r="L357" s="170"/>
      <c r="M357" s="730"/>
      <c r="N357" s="730"/>
      <c r="O357" s="730"/>
      <c r="P357" s="731"/>
      <c r="Q357" s="731"/>
      <c r="R357" s="730"/>
      <c r="S357" s="730"/>
      <c r="T357" s="723"/>
      <c r="U357" s="724"/>
      <c r="V357" s="725"/>
      <c r="W357" s="725"/>
      <c r="X357" s="723"/>
      <c r="Y357" s="723"/>
      <c r="Z357" s="723"/>
      <c r="AA357" s="726"/>
      <c r="AB357" s="726"/>
      <c r="AC357" s="170"/>
      <c r="AD357" s="586"/>
      <c r="AE357" s="586"/>
      <c r="AF357" s="170"/>
      <c r="AG357" s="170"/>
      <c r="AH357" s="170"/>
      <c r="AI357" s="170"/>
      <c r="AJ357" s="170"/>
      <c r="AK357" s="170"/>
      <c r="AL357" s="170"/>
      <c r="AM357" s="170"/>
      <c r="AN357" s="170"/>
      <c r="AO357" s="170"/>
      <c r="AP357" s="170"/>
      <c r="AQ357" s="170"/>
      <c r="AR357" s="170"/>
      <c r="AS357" s="170"/>
    </row>
    <row r="358" spans="1:45" ht="15" x14ac:dyDescent="0.25">
      <c r="A358" s="170"/>
      <c r="B358" s="719"/>
      <c r="C358" s="170"/>
      <c r="D358" s="170"/>
      <c r="E358" s="170"/>
      <c r="F358" s="170"/>
      <c r="G358" s="721"/>
      <c r="H358" s="170"/>
      <c r="I358" s="170"/>
      <c r="J358" s="170"/>
      <c r="K358" s="170"/>
      <c r="L358" s="170"/>
      <c r="M358" s="730"/>
      <c r="N358" s="730"/>
      <c r="O358" s="730"/>
      <c r="P358" s="731"/>
      <c r="Q358" s="731"/>
      <c r="R358" s="730"/>
      <c r="S358" s="730"/>
      <c r="T358" s="723"/>
      <c r="U358" s="724"/>
      <c r="V358" s="725"/>
      <c r="W358" s="725"/>
      <c r="X358" s="723"/>
      <c r="Y358" s="723"/>
      <c r="Z358" s="723"/>
      <c r="AA358" s="726"/>
      <c r="AB358" s="726"/>
      <c r="AC358" s="170"/>
      <c r="AD358" s="586"/>
      <c r="AE358" s="586"/>
      <c r="AF358" s="170"/>
      <c r="AG358" s="170"/>
      <c r="AH358" s="170"/>
      <c r="AI358" s="170"/>
      <c r="AJ358" s="170"/>
      <c r="AK358" s="170"/>
      <c r="AL358" s="170"/>
      <c r="AM358" s="170"/>
      <c r="AN358" s="170"/>
      <c r="AO358" s="170"/>
      <c r="AP358" s="170"/>
      <c r="AQ358" s="170"/>
      <c r="AR358" s="170"/>
      <c r="AS358" s="170"/>
    </row>
    <row r="359" spans="1:45" ht="15" x14ac:dyDescent="0.25">
      <c r="A359" s="170"/>
      <c r="B359" s="719"/>
      <c r="C359" s="170"/>
      <c r="D359" s="170"/>
      <c r="E359" s="170"/>
      <c r="F359" s="170"/>
      <c r="G359" s="721"/>
      <c r="H359" s="170"/>
      <c r="I359" s="170"/>
      <c r="J359" s="170"/>
      <c r="K359" s="170"/>
      <c r="L359" s="170"/>
      <c r="M359" s="730"/>
      <c r="N359" s="730"/>
      <c r="O359" s="730"/>
      <c r="P359" s="731"/>
      <c r="Q359" s="731"/>
      <c r="R359" s="730"/>
      <c r="S359" s="730"/>
      <c r="T359" s="723"/>
      <c r="U359" s="724"/>
      <c r="V359" s="725"/>
      <c r="W359" s="725"/>
      <c r="X359" s="723"/>
      <c r="Y359" s="723"/>
      <c r="Z359" s="723"/>
      <c r="AA359" s="726"/>
      <c r="AB359" s="726"/>
      <c r="AC359" s="170"/>
      <c r="AD359" s="586"/>
      <c r="AE359" s="586"/>
      <c r="AF359" s="170"/>
      <c r="AG359" s="170"/>
      <c r="AH359" s="170"/>
      <c r="AI359" s="170"/>
      <c r="AJ359" s="170"/>
      <c r="AK359" s="170"/>
      <c r="AL359" s="170"/>
      <c r="AM359" s="170"/>
      <c r="AN359" s="170"/>
      <c r="AO359" s="170"/>
      <c r="AP359" s="170"/>
      <c r="AQ359" s="170"/>
      <c r="AR359" s="170"/>
      <c r="AS359" s="170"/>
    </row>
    <row r="360" spans="1:45" ht="15" x14ac:dyDescent="0.25">
      <c r="A360" s="170"/>
      <c r="B360" s="719"/>
      <c r="C360" s="170"/>
      <c r="D360" s="170"/>
      <c r="E360" s="170"/>
      <c r="F360" s="170"/>
      <c r="G360" s="721"/>
      <c r="H360" s="170"/>
      <c r="I360" s="170"/>
      <c r="J360" s="170"/>
      <c r="K360" s="170"/>
      <c r="L360" s="170"/>
      <c r="M360" s="730"/>
      <c r="N360" s="730"/>
      <c r="O360" s="730"/>
      <c r="P360" s="731"/>
      <c r="Q360" s="731"/>
      <c r="R360" s="730"/>
      <c r="S360" s="730"/>
      <c r="T360" s="723"/>
      <c r="U360" s="724"/>
      <c r="V360" s="725"/>
      <c r="W360" s="725"/>
      <c r="X360" s="723"/>
      <c r="Y360" s="723"/>
      <c r="Z360" s="723"/>
      <c r="AA360" s="726"/>
      <c r="AB360" s="726"/>
      <c r="AC360" s="170"/>
      <c r="AD360" s="586"/>
      <c r="AE360" s="586"/>
      <c r="AF360" s="170"/>
      <c r="AG360" s="170"/>
      <c r="AH360" s="170"/>
      <c r="AI360" s="170"/>
      <c r="AJ360" s="170"/>
      <c r="AK360" s="170"/>
      <c r="AL360" s="170"/>
      <c r="AM360" s="170"/>
      <c r="AN360" s="170"/>
      <c r="AO360" s="170"/>
      <c r="AP360" s="170"/>
      <c r="AQ360" s="170"/>
      <c r="AR360" s="170"/>
      <c r="AS360" s="170"/>
    </row>
    <row r="361" spans="1:45" ht="15" x14ac:dyDescent="0.25">
      <c r="A361" s="170"/>
      <c r="B361" s="719"/>
      <c r="C361" s="170"/>
      <c r="D361" s="170"/>
      <c r="E361" s="170"/>
      <c r="F361" s="170"/>
      <c r="G361" s="721"/>
      <c r="H361" s="170"/>
      <c r="I361" s="170"/>
      <c r="J361" s="170"/>
      <c r="K361" s="170"/>
      <c r="L361" s="170"/>
      <c r="M361" s="730"/>
      <c r="N361" s="730"/>
      <c r="O361" s="730"/>
      <c r="P361" s="731"/>
      <c r="Q361" s="731"/>
      <c r="R361" s="730"/>
      <c r="S361" s="730"/>
      <c r="T361" s="723"/>
      <c r="U361" s="724"/>
      <c r="V361" s="725"/>
      <c r="W361" s="725"/>
      <c r="X361" s="723"/>
      <c r="Y361" s="723"/>
      <c r="Z361" s="723"/>
      <c r="AA361" s="726"/>
      <c r="AB361" s="726"/>
      <c r="AC361" s="170"/>
      <c r="AD361" s="586"/>
      <c r="AE361" s="586"/>
      <c r="AF361" s="170"/>
      <c r="AG361" s="170"/>
      <c r="AH361" s="170"/>
      <c r="AI361" s="170"/>
      <c r="AJ361" s="170"/>
      <c r="AK361" s="170"/>
      <c r="AL361" s="170"/>
      <c r="AM361" s="170"/>
      <c r="AN361" s="170"/>
      <c r="AO361" s="170"/>
      <c r="AP361" s="170"/>
      <c r="AQ361" s="170"/>
      <c r="AR361" s="170"/>
      <c r="AS361" s="170"/>
    </row>
    <row r="362" spans="1:45" ht="15" x14ac:dyDescent="0.25">
      <c r="A362" s="170"/>
      <c r="B362" s="719"/>
      <c r="C362" s="170"/>
      <c r="D362" s="170"/>
      <c r="E362" s="170"/>
      <c r="F362" s="170"/>
      <c r="G362" s="721"/>
      <c r="H362" s="170"/>
      <c r="I362" s="170"/>
      <c r="J362" s="170"/>
      <c r="K362" s="170"/>
      <c r="L362" s="170"/>
      <c r="M362" s="730"/>
      <c r="N362" s="730"/>
      <c r="O362" s="730"/>
      <c r="P362" s="731"/>
      <c r="Q362" s="731"/>
      <c r="R362" s="730"/>
      <c r="S362" s="730"/>
      <c r="T362" s="723"/>
      <c r="U362" s="724"/>
      <c r="V362" s="725"/>
      <c r="W362" s="725"/>
      <c r="X362" s="723"/>
      <c r="Y362" s="723"/>
      <c r="Z362" s="723"/>
      <c r="AA362" s="726"/>
      <c r="AB362" s="726"/>
      <c r="AC362" s="170"/>
      <c r="AD362" s="586"/>
      <c r="AE362" s="586"/>
      <c r="AF362" s="170"/>
      <c r="AG362" s="170"/>
      <c r="AH362" s="170"/>
      <c r="AI362" s="170"/>
      <c r="AJ362" s="170"/>
      <c r="AK362" s="170"/>
      <c r="AL362" s="170"/>
      <c r="AM362" s="170"/>
      <c r="AN362" s="170"/>
      <c r="AO362" s="170"/>
      <c r="AP362" s="170"/>
      <c r="AQ362" s="170"/>
      <c r="AR362" s="170"/>
      <c r="AS362" s="170"/>
    </row>
    <row r="363" spans="1:45" ht="15" x14ac:dyDescent="0.25">
      <c r="A363" s="170"/>
      <c r="B363" s="719"/>
      <c r="C363" s="170"/>
      <c r="D363" s="170"/>
      <c r="E363" s="170"/>
      <c r="F363" s="170"/>
      <c r="G363" s="721"/>
      <c r="H363" s="170"/>
      <c r="I363" s="170"/>
      <c r="J363" s="170"/>
      <c r="K363" s="170"/>
      <c r="L363" s="170"/>
      <c r="M363" s="730"/>
      <c r="N363" s="730"/>
      <c r="O363" s="730"/>
      <c r="P363" s="731"/>
      <c r="Q363" s="731"/>
      <c r="R363" s="730"/>
      <c r="S363" s="730"/>
      <c r="T363" s="723"/>
      <c r="U363" s="724"/>
      <c r="V363" s="725"/>
      <c r="W363" s="725"/>
      <c r="X363" s="723"/>
      <c r="Y363" s="723"/>
      <c r="Z363" s="723"/>
      <c r="AA363" s="726"/>
      <c r="AB363" s="726"/>
      <c r="AC363" s="170"/>
      <c r="AD363" s="586"/>
      <c r="AE363" s="586"/>
      <c r="AF363" s="170"/>
      <c r="AG363" s="170"/>
      <c r="AH363" s="170"/>
      <c r="AI363" s="170"/>
      <c r="AJ363" s="170"/>
      <c r="AK363" s="170"/>
      <c r="AL363" s="170"/>
      <c r="AM363" s="170"/>
      <c r="AN363" s="170"/>
      <c r="AO363" s="170"/>
      <c r="AP363" s="170"/>
      <c r="AQ363" s="170"/>
      <c r="AR363" s="170"/>
      <c r="AS363" s="170"/>
    </row>
    <row r="364" spans="1:45" ht="15" x14ac:dyDescent="0.25">
      <c r="A364" s="170"/>
      <c r="B364" s="719"/>
      <c r="C364" s="170"/>
      <c r="D364" s="170"/>
      <c r="E364" s="170"/>
      <c r="F364" s="170"/>
      <c r="G364" s="721"/>
      <c r="H364" s="170"/>
      <c r="I364" s="170"/>
      <c r="J364" s="170"/>
      <c r="K364" s="170"/>
      <c r="L364" s="170"/>
      <c r="M364" s="730"/>
      <c r="N364" s="730"/>
      <c r="O364" s="730"/>
      <c r="P364" s="731"/>
      <c r="Q364" s="731"/>
      <c r="R364" s="730"/>
      <c r="S364" s="730"/>
      <c r="T364" s="723"/>
      <c r="U364" s="724"/>
      <c r="V364" s="725"/>
      <c r="W364" s="725"/>
      <c r="X364" s="723"/>
      <c r="Y364" s="723"/>
      <c r="Z364" s="723"/>
      <c r="AA364" s="726"/>
      <c r="AB364" s="726"/>
      <c r="AC364" s="170"/>
      <c r="AD364" s="586"/>
      <c r="AE364" s="586"/>
      <c r="AF364" s="170"/>
      <c r="AG364" s="170"/>
      <c r="AH364" s="170"/>
      <c r="AI364" s="170"/>
      <c r="AJ364" s="170"/>
      <c r="AK364" s="170"/>
      <c r="AL364" s="170"/>
      <c r="AM364" s="170"/>
      <c r="AN364" s="170"/>
      <c r="AO364" s="170"/>
      <c r="AP364" s="170"/>
      <c r="AQ364" s="170"/>
      <c r="AR364" s="170"/>
      <c r="AS364" s="170"/>
    </row>
    <row r="365" spans="1:45" ht="15" x14ac:dyDescent="0.25">
      <c r="A365" s="170"/>
      <c r="B365" s="719"/>
      <c r="C365" s="170"/>
      <c r="D365" s="170"/>
      <c r="E365" s="170"/>
      <c r="F365" s="170"/>
      <c r="G365" s="721"/>
      <c r="H365" s="170"/>
      <c r="I365" s="170"/>
      <c r="J365" s="170"/>
      <c r="K365" s="170"/>
      <c r="L365" s="170"/>
      <c r="M365" s="730"/>
      <c r="N365" s="730"/>
      <c r="O365" s="730"/>
      <c r="P365" s="731"/>
      <c r="Q365" s="731"/>
      <c r="R365" s="730"/>
      <c r="S365" s="730"/>
      <c r="T365" s="723"/>
      <c r="U365" s="724"/>
      <c r="V365" s="725"/>
      <c r="W365" s="725"/>
      <c r="X365" s="723"/>
      <c r="Y365" s="723"/>
      <c r="Z365" s="723"/>
      <c r="AA365" s="726"/>
      <c r="AB365" s="726"/>
      <c r="AC365" s="170"/>
      <c r="AD365" s="586"/>
      <c r="AE365" s="586"/>
      <c r="AF365" s="170"/>
      <c r="AG365" s="170"/>
      <c r="AH365" s="170"/>
      <c r="AI365" s="170"/>
      <c r="AJ365" s="170"/>
      <c r="AK365" s="170"/>
      <c r="AL365" s="170"/>
      <c r="AM365" s="170"/>
      <c r="AN365" s="170"/>
      <c r="AO365" s="170"/>
      <c r="AP365" s="170"/>
      <c r="AQ365" s="170"/>
      <c r="AR365" s="170"/>
      <c r="AS365" s="170"/>
    </row>
    <row r="366" spans="1:45" ht="15" x14ac:dyDescent="0.25">
      <c r="A366" s="170"/>
      <c r="B366" s="719"/>
      <c r="C366" s="170"/>
      <c r="D366" s="170"/>
      <c r="E366" s="170"/>
      <c r="F366" s="170"/>
      <c r="G366" s="721"/>
      <c r="H366" s="170"/>
      <c r="I366" s="170"/>
      <c r="J366" s="170"/>
      <c r="K366" s="170"/>
      <c r="L366" s="170"/>
      <c r="M366" s="730"/>
      <c r="N366" s="730"/>
      <c r="O366" s="730"/>
      <c r="P366" s="731"/>
      <c r="Q366" s="731"/>
      <c r="R366" s="730"/>
      <c r="S366" s="730"/>
      <c r="T366" s="723"/>
      <c r="U366" s="724"/>
      <c r="V366" s="725"/>
      <c r="W366" s="725"/>
      <c r="X366" s="723"/>
      <c r="Y366" s="723"/>
      <c r="Z366" s="723"/>
      <c r="AA366" s="726"/>
      <c r="AB366" s="726"/>
      <c r="AC366" s="170"/>
      <c r="AD366" s="586"/>
      <c r="AE366" s="586"/>
      <c r="AF366" s="170"/>
      <c r="AG366" s="170"/>
      <c r="AH366" s="170"/>
      <c r="AI366" s="170"/>
      <c r="AJ366" s="170"/>
      <c r="AK366" s="170"/>
      <c r="AL366" s="170"/>
      <c r="AM366" s="170"/>
      <c r="AN366" s="170"/>
      <c r="AO366" s="170"/>
      <c r="AP366" s="170"/>
      <c r="AQ366" s="170"/>
      <c r="AR366" s="170"/>
      <c r="AS366" s="170"/>
    </row>
    <row r="367" spans="1:45" ht="15" x14ac:dyDescent="0.25">
      <c r="A367" s="170"/>
      <c r="B367" s="719"/>
      <c r="C367" s="170"/>
      <c r="D367" s="170"/>
      <c r="E367" s="170"/>
      <c r="F367" s="170"/>
      <c r="G367" s="721"/>
      <c r="H367" s="170"/>
      <c r="I367" s="170"/>
      <c r="J367" s="170"/>
      <c r="K367" s="170"/>
      <c r="L367" s="170"/>
      <c r="M367" s="730"/>
      <c r="N367" s="730"/>
      <c r="O367" s="730"/>
      <c r="P367" s="731"/>
      <c r="Q367" s="731"/>
      <c r="R367" s="730"/>
      <c r="S367" s="730"/>
      <c r="T367" s="723"/>
      <c r="U367" s="724"/>
      <c r="V367" s="725"/>
      <c r="W367" s="725"/>
      <c r="X367" s="723"/>
      <c r="Y367" s="723"/>
      <c r="Z367" s="723"/>
      <c r="AA367" s="726"/>
      <c r="AB367" s="726"/>
      <c r="AC367" s="170"/>
      <c r="AD367" s="586"/>
      <c r="AE367" s="586"/>
      <c r="AF367" s="170"/>
      <c r="AG367" s="170"/>
      <c r="AH367" s="170"/>
      <c r="AI367" s="170"/>
      <c r="AJ367" s="170"/>
      <c r="AK367" s="170"/>
      <c r="AL367" s="170"/>
      <c r="AM367" s="170"/>
      <c r="AN367" s="170"/>
      <c r="AO367" s="170"/>
      <c r="AP367" s="170"/>
      <c r="AQ367" s="170"/>
      <c r="AR367" s="170"/>
      <c r="AS367" s="170"/>
    </row>
    <row r="368" spans="1:45" ht="15" x14ac:dyDescent="0.25">
      <c r="A368" s="170"/>
      <c r="B368" s="719"/>
      <c r="C368" s="170"/>
      <c r="D368" s="170"/>
      <c r="E368" s="170"/>
      <c r="F368" s="170"/>
      <c r="G368" s="721"/>
      <c r="H368" s="170"/>
      <c r="I368" s="170"/>
      <c r="J368" s="170"/>
      <c r="K368" s="170"/>
      <c r="L368" s="170"/>
      <c r="M368" s="730"/>
      <c r="N368" s="730"/>
      <c r="O368" s="730"/>
      <c r="P368" s="731"/>
      <c r="Q368" s="731"/>
      <c r="R368" s="730"/>
      <c r="S368" s="730"/>
      <c r="T368" s="723"/>
      <c r="U368" s="724"/>
      <c r="V368" s="725"/>
      <c r="W368" s="725"/>
      <c r="X368" s="723"/>
      <c r="Y368" s="723"/>
      <c r="Z368" s="723"/>
      <c r="AA368" s="726"/>
      <c r="AB368" s="726"/>
      <c r="AC368" s="170"/>
      <c r="AD368" s="586"/>
      <c r="AE368" s="586"/>
      <c r="AF368" s="170"/>
      <c r="AG368" s="170"/>
      <c r="AH368" s="170"/>
      <c r="AI368" s="170"/>
      <c r="AJ368" s="170"/>
      <c r="AK368" s="170"/>
      <c r="AL368" s="170"/>
      <c r="AM368" s="170"/>
      <c r="AN368" s="170"/>
      <c r="AO368" s="170"/>
      <c r="AP368" s="170"/>
      <c r="AQ368" s="170"/>
      <c r="AR368" s="170"/>
      <c r="AS368" s="170"/>
    </row>
    <row r="369" spans="1:45" ht="15" x14ac:dyDescent="0.25">
      <c r="A369" s="170"/>
      <c r="B369" s="719"/>
      <c r="C369" s="170"/>
      <c r="D369" s="170"/>
      <c r="E369" s="170"/>
      <c r="F369" s="170"/>
      <c r="G369" s="721"/>
      <c r="H369" s="170"/>
      <c r="I369" s="170"/>
      <c r="J369" s="170"/>
      <c r="K369" s="170"/>
      <c r="L369" s="170"/>
      <c r="M369" s="730"/>
      <c r="N369" s="730"/>
      <c r="O369" s="730"/>
      <c r="P369" s="731"/>
      <c r="Q369" s="731"/>
      <c r="R369" s="730"/>
      <c r="S369" s="730"/>
      <c r="T369" s="723"/>
      <c r="U369" s="724"/>
      <c r="V369" s="725"/>
      <c r="W369" s="725"/>
      <c r="X369" s="723"/>
      <c r="Y369" s="723"/>
      <c r="Z369" s="723"/>
      <c r="AA369" s="726"/>
      <c r="AB369" s="726"/>
      <c r="AC369" s="170"/>
      <c r="AD369" s="586"/>
      <c r="AE369" s="586"/>
      <c r="AF369" s="170"/>
      <c r="AG369" s="170"/>
      <c r="AH369" s="170"/>
      <c r="AI369" s="170"/>
      <c r="AJ369" s="170"/>
      <c r="AK369" s="170"/>
      <c r="AL369" s="170"/>
      <c r="AM369" s="170"/>
      <c r="AN369" s="170"/>
      <c r="AO369" s="170"/>
      <c r="AP369" s="170"/>
      <c r="AQ369" s="170"/>
      <c r="AR369" s="170"/>
      <c r="AS369" s="170"/>
    </row>
    <row r="370" spans="1:45" ht="15" x14ac:dyDescent="0.25">
      <c r="A370" s="170"/>
      <c r="B370" s="719"/>
      <c r="C370" s="170"/>
      <c r="D370" s="170"/>
      <c r="E370" s="170"/>
      <c r="F370" s="170"/>
      <c r="G370" s="721"/>
      <c r="H370" s="170"/>
      <c r="I370" s="170"/>
      <c r="J370" s="170"/>
      <c r="K370" s="170"/>
      <c r="L370" s="170"/>
      <c r="M370" s="730"/>
      <c r="N370" s="730"/>
      <c r="O370" s="730"/>
      <c r="P370" s="731"/>
      <c r="Q370" s="731"/>
      <c r="R370" s="730"/>
      <c r="S370" s="730"/>
      <c r="T370" s="723"/>
      <c r="U370" s="724"/>
      <c r="V370" s="725"/>
      <c r="W370" s="725"/>
      <c r="X370" s="723"/>
      <c r="Y370" s="723"/>
      <c r="Z370" s="723"/>
      <c r="AA370" s="726"/>
      <c r="AB370" s="726"/>
      <c r="AC370" s="170"/>
      <c r="AD370" s="586"/>
      <c r="AE370" s="586"/>
      <c r="AF370" s="170"/>
      <c r="AG370" s="170"/>
      <c r="AH370" s="170"/>
      <c r="AI370" s="170"/>
      <c r="AJ370" s="170"/>
      <c r="AK370" s="170"/>
      <c r="AL370" s="170"/>
      <c r="AM370" s="170"/>
      <c r="AN370" s="170"/>
      <c r="AO370" s="170"/>
      <c r="AP370" s="170"/>
      <c r="AQ370" s="170"/>
      <c r="AR370" s="170"/>
      <c r="AS370" s="170"/>
    </row>
    <row r="371" spans="1:45" ht="15" x14ac:dyDescent="0.25">
      <c r="A371" s="170"/>
      <c r="B371" s="719"/>
      <c r="C371" s="170"/>
      <c r="D371" s="170"/>
      <c r="E371" s="170"/>
      <c r="F371" s="170"/>
      <c r="G371" s="721"/>
      <c r="H371" s="170"/>
      <c r="I371" s="170"/>
      <c r="J371" s="170"/>
      <c r="K371" s="170"/>
      <c r="L371" s="170"/>
      <c r="M371" s="730"/>
      <c r="N371" s="730"/>
      <c r="O371" s="730"/>
      <c r="P371" s="731"/>
      <c r="Q371" s="731"/>
      <c r="R371" s="730"/>
      <c r="S371" s="730"/>
      <c r="T371" s="723"/>
      <c r="U371" s="724"/>
      <c r="V371" s="725"/>
      <c r="W371" s="725"/>
      <c r="X371" s="723"/>
      <c r="Y371" s="723"/>
      <c r="Z371" s="723"/>
      <c r="AA371" s="726"/>
      <c r="AB371" s="726"/>
      <c r="AC371" s="170"/>
      <c r="AD371" s="586"/>
      <c r="AE371" s="586"/>
      <c r="AF371" s="170"/>
      <c r="AG371" s="170"/>
      <c r="AH371" s="170"/>
      <c r="AI371" s="170"/>
      <c r="AJ371" s="170"/>
      <c r="AK371" s="170"/>
      <c r="AL371" s="170"/>
      <c r="AM371" s="170"/>
      <c r="AN371" s="170"/>
      <c r="AO371" s="170"/>
      <c r="AP371" s="170"/>
      <c r="AQ371" s="170"/>
      <c r="AR371" s="170"/>
      <c r="AS371" s="170"/>
    </row>
    <row r="372" spans="1:45" ht="15" x14ac:dyDescent="0.25">
      <c r="A372" s="170"/>
      <c r="B372" s="719"/>
      <c r="C372" s="170"/>
      <c r="D372" s="170"/>
      <c r="E372" s="170"/>
      <c r="F372" s="170"/>
      <c r="G372" s="721"/>
      <c r="H372" s="170"/>
      <c r="I372" s="170"/>
      <c r="J372" s="170"/>
      <c r="K372" s="170"/>
      <c r="L372" s="170"/>
      <c r="M372" s="730"/>
      <c r="N372" s="730"/>
      <c r="O372" s="730"/>
      <c r="P372" s="731"/>
      <c r="Q372" s="731"/>
      <c r="R372" s="730"/>
      <c r="S372" s="730"/>
      <c r="T372" s="723"/>
      <c r="U372" s="724"/>
      <c r="V372" s="725"/>
      <c r="W372" s="725"/>
      <c r="X372" s="723"/>
      <c r="Y372" s="723"/>
      <c r="Z372" s="723"/>
      <c r="AA372" s="726"/>
      <c r="AB372" s="726"/>
      <c r="AC372" s="170"/>
      <c r="AD372" s="586"/>
      <c r="AE372" s="586"/>
      <c r="AF372" s="170"/>
      <c r="AG372" s="170"/>
      <c r="AH372" s="170"/>
      <c r="AI372" s="170"/>
      <c r="AJ372" s="170"/>
      <c r="AK372" s="170"/>
      <c r="AL372" s="170"/>
      <c r="AM372" s="170"/>
      <c r="AN372" s="170"/>
      <c r="AO372" s="170"/>
      <c r="AP372" s="170"/>
      <c r="AQ372" s="170"/>
      <c r="AR372" s="170"/>
      <c r="AS372" s="170"/>
    </row>
    <row r="373" spans="1:45" ht="15" x14ac:dyDescent="0.25">
      <c r="A373" s="170"/>
      <c r="B373" s="719"/>
      <c r="C373" s="170"/>
      <c r="D373" s="170"/>
      <c r="E373" s="170"/>
      <c r="F373" s="170"/>
      <c r="G373" s="721"/>
      <c r="H373" s="170"/>
      <c r="I373" s="170"/>
      <c r="J373" s="170"/>
      <c r="K373" s="170"/>
      <c r="L373" s="170"/>
      <c r="M373" s="730"/>
      <c r="N373" s="730"/>
      <c r="O373" s="730"/>
      <c r="P373" s="731"/>
      <c r="Q373" s="731"/>
      <c r="R373" s="730"/>
      <c r="S373" s="730"/>
      <c r="T373" s="723"/>
      <c r="U373" s="724"/>
      <c r="V373" s="725"/>
      <c r="W373" s="725"/>
      <c r="X373" s="723"/>
      <c r="Y373" s="723"/>
      <c r="Z373" s="723"/>
      <c r="AA373" s="726"/>
      <c r="AB373" s="726"/>
      <c r="AC373" s="170"/>
      <c r="AD373" s="586"/>
      <c r="AE373" s="586"/>
      <c r="AF373" s="170"/>
      <c r="AG373" s="170"/>
      <c r="AH373" s="170"/>
      <c r="AI373" s="170"/>
      <c r="AJ373" s="170"/>
      <c r="AK373" s="170"/>
      <c r="AL373" s="170"/>
      <c r="AM373" s="170"/>
      <c r="AN373" s="170"/>
      <c r="AO373" s="170"/>
      <c r="AP373" s="170"/>
      <c r="AQ373" s="170"/>
      <c r="AR373" s="170"/>
      <c r="AS373" s="170"/>
    </row>
    <row r="374" spans="1:45" ht="15" x14ac:dyDescent="0.25">
      <c r="A374" s="170"/>
      <c r="B374" s="719"/>
      <c r="C374" s="170"/>
      <c r="D374" s="170"/>
      <c r="E374" s="170"/>
      <c r="F374" s="170"/>
      <c r="G374" s="721"/>
      <c r="H374" s="170"/>
      <c r="I374" s="170"/>
      <c r="J374" s="170"/>
      <c r="K374" s="170"/>
      <c r="L374" s="170"/>
      <c r="M374" s="730"/>
      <c r="N374" s="730"/>
      <c r="O374" s="730"/>
      <c r="P374" s="731"/>
      <c r="Q374" s="731"/>
      <c r="R374" s="730"/>
      <c r="S374" s="730"/>
      <c r="T374" s="723"/>
      <c r="U374" s="724"/>
      <c r="V374" s="725"/>
      <c r="W374" s="725"/>
      <c r="X374" s="723"/>
      <c r="Y374" s="723"/>
      <c r="Z374" s="723"/>
      <c r="AA374" s="726"/>
      <c r="AB374" s="726"/>
      <c r="AC374" s="170"/>
      <c r="AD374" s="586"/>
      <c r="AE374" s="586"/>
      <c r="AF374" s="170"/>
      <c r="AG374" s="170"/>
      <c r="AH374" s="170"/>
      <c r="AI374" s="170"/>
      <c r="AJ374" s="170"/>
      <c r="AK374" s="170"/>
      <c r="AL374" s="170"/>
      <c r="AM374" s="170"/>
      <c r="AN374" s="170"/>
      <c r="AO374" s="170"/>
      <c r="AP374" s="170"/>
      <c r="AQ374" s="170"/>
      <c r="AR374" s="170"/>
      <c r="AS374" s="170"/>
    </row>
    <row r="375" spans="1:45" ht="15" x14ac:dyDescent="0.25">
      <c r="A375" s="170"/>
      <c r="B375" s="719"/>
      <c r="C375" s="170"/>
      <c r="D375" s="170"/>
      <c r="E375" s="170"/>
      <c r="F375" s="170"/>
      <c r="G375" s="721"/>
      <c r="H375" s="170"/>
      <c r="I375" s="170"/>
      <c r="J375" s="170"/>
      <c r="K375" s="170"/>
      <c r="L375" s="170"/>
      <c r="M375" s="730"/>
      <c r="N375" s="730"/>
      <c r="O375" s="730"/>
      <c r="P375" s="731"/>
      <c r="Q375" s="731"/>
      <c r="R375" s="730"/>
      <c r="S375" s="730"/>
      <c r="T375" s="723"/>
      <c r="U375" s="724"/>
      <c r="V375" s="725"/>
      <c r="W375" s="725"/>
      <c r="X375" s="723"/>
      <c r="Y375" s="723"/>
      <c r="Z375" s="723"/>
      <c r="AA375" s="726"/>
      <c r="AB375" s="726"/>
      <c r="AC375" s="170"/>
      <c r="AD375" s="586"/>
      <c r="AE375" s="586"/>
      <c r="AF375" s="170"/>
      <c r="AG375" s="170"/>
      <c r="AH375" s="170"/>
      <c r="AI375" s="170"/>
      <c r="AJ375" s="170"/>
      <c r="AK375" s="170"/>
      <c r="AL375" s="170"/>
      <c r="AM375" s="170"/>
      <c r="AN375" s="170"/>
      <c r="AO375" s="170"/>
      <c r="AP375" s="170"/>
      <c r="AQ375" s="170"/>
      <c r="AR375" s="170"/>
      <c r="AS375" s="170"/>
    </row>
    <row r="376" spans="1:45" ht="15" x14ac:dyDescent="0.25">
      <c r="A376" s="170"/>
      <c r="B376" s="719"/>
      <c r="C376" s="170"/>
      <c r="D376" s="170"/>
      <c r="E376" s="170"/>
      <c r="F376" s="170"/>
      <c r="G376" s="721"/>
      <c r="H376" s="170"/>
      <c r="I376" s="170"/>
      <c r="J376" s="170"/>
      <c r="K376" s="170"/>
      <c r="L376" s="170"/>
      <c r="M376" s="730"/>
      <c r="N376" s="730"/>
      <c r="O376" s="730"/>
      <c r="P376" s="731"/>
      <c r="Q376" s="731"/>
      <c r="R376" s="730"/>
      <c r="S376" s="730"/>
      <c r="T376" s="723"/>
      <c r="U376" s="724"/>
      <c r="V376" s="725"/>
      <c r="W376" s="725"/>
      <c r="X376" s="723"/>
      <c r="Y376" s="723"/>
      <c r="Z376" s="723"/>
      <c r="AA376" s="726"/>
      <c r="AB376" s="726"/>
      <c r="AC376" s="170"/>
      <c r="AD376" s="586"/>
      <c r="AE376" s="586"/>
      <c r="AF376" s="170"/>
      <c r="AG376" s="170"/>
      <c r="AH376" s="170"/>
      <c r="AI376" s="170"/>
      <c r="AJ376" s="170"/>
      <c r="AK376" s="170"/>
      <c r="AL376" s="170"/>
      <c r="AM376" s="170"/>
      <c r="AN376" s="170"/>
      <c r="AO376" s="170"/>
      <c r="AP376" s="170"/>
      <c r="AQ376" s="170"/>
      <c r="AR376" s="170"/>
      <c r="AS376" s="170"/>
    </row>
    <row r="377" spans="1:45" ht="15" x14ac:dyDescent="0.25">
      <c r="A377" s="170"/>
      <c r="B377" s="719"/>
      <c r="C377" s="170"/>
      <c r="D377" s="170"/>
      <c r="E377" s="170"/>
      <c r="F377" s="170"/>
      <c r="G377" s="721"/>
      <c r="H377" s="170"/>
      <c r="I377" s="170"/>
      <c r="J377" s="170"/>
      <c r="K377" s="170"/>
      <c r="L377" s="170"/>
      <c r="M377" s="730"/>
      <c r="N377" s="730"/>
      <c r="O377" s="730"/>
      <c r="P377" s="731"/>
      <c r="Q377" s="731"/>
      <c r="R377" s="730"/>
      <c r="S377" s="730"/>
      <c r="T377" s="723"/>
      <c r="U377" s="724"/>
      <c r="V377" s="725"/>
      <c r="W377" s="725"/>
      <c r="X377" s="723"/>
      <c r="Y377" s="723"/>
      <c r="Z377" s="723"/>
      <c r="AA377" s="726"/>
      <c r="AB377" s="726"/>
      <c r="AC377" s="170"/>
      <c r="AD377" s="586"/>
      <c r="AE377" s="586"/>
      <c r="AF377" s="170"/>
      <c r="AG377" s="170"/>
      <c r="AH377" s="170"/>
      <c r="AI377" s="170"/>
      <c r="AJ377" s="170"/>
      <c r="AK377" s="170"/>
      <c r="AL377" s="170"/>
      <c r="AM377" s="170"/>
      <c r="AN377" s="170"/>
      <c r="AO377" s="170"/>
      <c r="AP377" s="170"/>
      <c r="AQ377" s="170"/>
      <c r="AR377" s="170"/>
      <c r="AS377" s="170"/>
    </row>
    <row r="378" spans="1:45" ht="15" x14ac:dyDescent="0.25">
      <c r="A378" s="170"/>
      <c r="B378" s="719"/>
      <c r="C378" s="170"/>
      <c r="D378" s="170"/>
      <c r="E378" s="170"/>
      <c r="F378" s="170"/>
      <c r="G378" s="721"/>
      <c r="H378" s="170"/>
      <c r="I378" s="170"/>
      <c r="J378" s="170"/>
      <c r="K378" s="170"/>
      <c r="L378" s="170"/>
      <c r="M378" s="730"/>
      <c r="N378" s="730"/>
      <c r="O378" s="730"/>
      <c r="P378" s="731"/>
      <c r="Q378" s="731"/>
      <c r="R378" s="730"/>
      <c r="S378" s="730"/>
      <c r="T378" s="723"/>
      <c r="U378" s="724"/>
      <c r="V378" s="725"/>
      <c r="W378" s="725"/>
      <c r="X378" s="723"/>
      <c r="Y378" s="723"/>
      <c r="Z378" s="723"/>
      <c r="AA378" s="726"/>
      <c r="AB378" s="726"/>
      <c r="AC378" s="170"/>
      <c r="AD378" s="586"/>
      <c r="AE378" s="586"/>
      <c r="AF378" s="170"/>
      <c r="AG378" s="170"/>
      <c r="AH378" s="170"/>
      <c r="AI378" s="170"/>
      <c r="AJ378" s="170"/>
      <c r="AK378" s="170"/>
      <c r="AL378" s="170"/>
      <c r="AM378" s="170"/>
      <c r="AN378" s="170"/>
      <c r="AO378" s="170"/>
      <c r="AP378" s="170"/>
      <c r="AQ378" s="170"/>
      <c r="AR378" s="170"/>
      <c r="AS378" s="170"/>
    </row>
    <row r="379" spans="1:45" ht="15" x14ac:dyDescent="0.25">
      <c r="A379" s="170"/>
      <c r="B379" s="719"/>
      <c r="C379" s="170"/>
      <c r="D379" s="170"/>
      <c r="E379" s="170"/>
      <c r="F379" s="170"/>
      <c r="G379" s="721"/>
      <c r="H379" s="170"/>
      <c r="I379" s="170"/>
      <c r="J379" s="170"/>
      <c r="K379" s="170"/>
      <c r="L379" s="170"/>
      <c r="M379" s="730"/>
      <c r="N379" s="730"/>
      <c r="O379" s="730"/>
      <c r="P379" s="731"/>
      <c r="Q379" s="731"/>
      <c r="R379" s="730"/>
      <c r="S379" s="730"/>
      <c r="T379" s="723"/>
      <c r="U379" s="724"/>
      <c r="V379" s="725"/>
      <c r="W379" s="725"/>
      <c r="X379" s="723"/>
      <c r="Y379" s="723"/>
      <c r="Z379" s="723"/>
      <c r="AA379" s="726"/>
      <c r="AB379" s="726"/>
      <c r="AC379" s="170"/>
      <c r="AD379" s="586"/>
      <c r="AE379" s="586"/>
      <c r="AF379" s="170"/>
      <c r="AG379" s="170"/>
      <c r="AH379" s="170"/>
      <c r="AI379" s="170"/>
      <c r="AJ379" s="170"/>
      <c r="AK379" s="170"/>
      <c r="AL379" s="170"/>
      <c r="AM379" s="170"/>
      <c r="AN379" s="170"/>
      <c r="AO379" s="170"/>
      <c r="AP379" s="170"/>
      <c r="AQ379" s="170"/>
      <c r="AR379" s="170"/>
      <c r="AS379" s="170"/>
    </row>
    <row r="380" spans="1:45" ht="15" x14ac:dyDescent="0.25">
      <c r="A380" s="170"/>
      <c r="B380" s="719"/>
      <c r="C380" s="170"/>
      <c r="D380" s="170"/>
      <c r="E380" s="170"/>
      <c r="F380" s="170"/>
      <c r="G380" s="721"/>
      <c r="H380" s="170"/>
      <c r="I380" s="170"/>
      <c r="J380" s="170"/>
      <c r="K380" s="170"/>
      <c r="L380" s="170"/>
      <c r="M380" s="730"/>
      <c r="N380" s="730"/>
      <c r="O380" s="730"/>
      <c r="P380" s="731"/>
      <c r="Q380" s="731"/>
      <c r="R380" s="730"/>
      <c r="S380" s="730"/>
      <c r="T380" s="723"/>
      <c r="U380" s="724"/>
      <c r="V380" s="725"/>
      <c r="W380" s="725"/>
      <c r="X380" s="723"/>
      <c r="Y380" s="723"/>
      <c r="Z380" s="723"/>
      <c r="AA380" s="726"/>
      <c r="AB380" s="726"/>
      <c r="AC380" s="170"/>
      <c r="AD380" s="586"/>
      <c r="AE380" s="586"/>
      <c r="AF380" s="170"/>
      <c r="AG380" s="170"/>
      <c r="AH380" s="170"/>
      <c r="AI380" s="170"/>
      <c r="AJ380" s="170"/>
      <c r="AK380" s="170"/>
      <c r="AL380" s="170"/>
      <c r="AM380" s="170"/>
      <c r="AN380" s="170"/>
      <c r="AO380" s="170"/>
      <c r="AP380" s="170"/>
      <c r="AQ380" s="170"/>
      <c r="AR380" s="170"/>
      <c r="AS380" s="170"/>
    </row>
    <row r="381" spans="1:45" ht="15" x14ac:dyDescent="0.25">
      <c r="A381" s="170"/>
      <c r="B381" s="719"/>
      <c r="C381" s="170"/>
      <c r="D381" s="170"/>
      <c r="E381" s="170"/>
      <c r="F381" s="170"/>
      <c r="G381" s="721"/>
      <c r="H381" s="170"/>
      <c r="I381" s="170"/>
      <c r="J381" s="170"/>
      <c r="K381" s="170"/>
      <c r="L381" s="170"/>
      <c r="M381" s="730"/>
      <c r="N381" s="730"/>
      <c r="O381" s="730"/>
      <c r="P381" s="731"/>
      <c r="Q381" s="731"/>
      <c r="R381" s="730"/>
      <c r="S381" s="730"/>
      <c r="T381" s="723"/>
      <c r="U381" s="724"/>
      <c r="V381" s="725"/>
      <c r="W381" s="725"/>
      <c r="X381" s="723"/>
      <c r="Y381" s="723"/>
      <c r="Z381" s="723"/>
      <c r="AA381" s="726"/>
      <c r="AB381" s="726"/>
      <c r="AC381" s="170"/>
      <c r="AD381" s="586"/>
      <c r="AE381" s="586"/>
      <c r="AF381" s="170"/>
      <c r="AG381" s="170"/>
      <c r="AH381" s="170"/>
      <c r="AI381" s="170"/>
      <c r="AJ381" s="170"/>
      <c r="AK381" s="170"/>
      <c r="AL381" s="170"/>
      <c r="AM381" s="170"/>
      <c r="AN381" s="170"/>
      <c r="AO381" s="170"/>
      <c r="AP381" s="170"/>
      <c r="AQ381" s="170"/>
      <c r="AR381" s="170"/>
      <c r="AS381" s="170"/>
    </row>
    <row r="382" spans="1:45" ht="15" x14ac:dyDescent="0.25">
      <c r="A382" s="170"/>
      <c r="B382" s="719"/>
      <c r="C382" s="170"/>
      <c r="D382" s="170"/>
      <c r="E382" s="170"/>
      <c r="F382" s="170"/>
      <c r="G382" s="721"/>
      <c r="H382" s="170"/>
      <c r="I382" s="170"/>
      <c r="J382" s="170"/>
      <c r="K382" s="170"/>
      <c r="L382" s="170"/>
      <c r="M382" s="730"/>
      <c r="N382" s="730"/>
      <c r="O382" s="730"/>
      <c r="P382" s="731"/>
      <c r="Q382" s="731"/>
      <c r="R382" s="730"/>
      <c r="S382" s="730"/>
      <c r="T382" s="723"/>
      <c r="U382" s="724"/>
      <c r="V382" s="725"/>
      <c r="W382" s="725"/>
      <c r="X382" s="723"/>
      <c r="Y382" s="723"/>
      <c r="Z382" s="723"/>
      <c r="AA382" s="726"/>
      <c r="AB382" s="726"/>
      <c r="AC382" s="170"/>
      <c r="AD382" s="586"/>
      <c r="AE382" s="586"/>
      <c r="AF382" s="170"/>
      <c r="AG382" s="170"/>
      <c r="AH382" s="170"/>
      <c r="AI382" s="170"/>
      <c r="AJ382" s="170"/>
      <c r="AK382" s="170"/>
      <c r="AL382" s="170"/>
      <c r="AM382" s="170"/>
      <c r="AN382" s="170"/>
      <c r="AO382" s="170"/>
      <c r="AP382" s="170"/>
      <c r="AQ382" s="170"/>
      <c r="AR382" s="170"/>
      <c r="AS382" s="170"/>
    </row>
    <row r="383" spans="1:45" ht="15" x14ac:dyDescent="0.25">
      <c r="A383" s="170"/>
      <c r="B383" s="719"/>
      <c r="C383" s="170"/>
      <c r="D383" s="170"/>
      <c r="E383" s="170"/>
      <c r="F383" s="170"/>
      <c r="G383" s="721"/>
      <c r="H383" s="170"/>
      <c r="I383" s="170"/>
      <c r="J383" s="170"/>
      <c r="K383" s="170"/>
      <c r="L383" s="170"/>
      <c r="M383" s="730"/>
      <c r="N383" s="730"/>
      <c r="O383" s="730"/>
      <c r="P383" s="731"/>
      <c r="Q383" s="731"/>
      <c r="R383" s="730"/>
      <c r="S383" s="730"/>
      <c r="T383" s="723"/>
      <c r="U383" s="724"/>
      <c r="V383" s="725"/>
      <c r="W383" s="725"/>
      <c r="X383" s="723"/>
      <c r="Y383" s="723"/>
      <c r="Z383" s="723"/>
      <c r="AA383" s="726"/>
      <c r="AB383" s="726"/>
      <c r="AC383" s="170"/>
      <c r="AD383" s="586"/>
      <c r="AE383" s="586"/>
      <c r="AF383" s="170"/>
      <c r="AG383" s="170"/>
      <c r="AH383" s="170"/>
      <c r="AI383" s="170"/>
      <c r="AJ383" s="170"/>
      <c r="AK383" s="170"/>
      <c r="AL383" s="170"/>
      <c r="AM383" s="170"/>
      <c r="AN383" s="170"/>
      <c r="AO383" s="170"/>
      <c r="AP383" s="170"/>
      <c r="AQ383" s="170"/>
      <c r="AR383" s="170"/>
      <c r="AS383" s="170"/>
    </row>
    <row r="384" spans="1:45" ht="15" x14ac:dyDescent="0.25">
      <c r="A384" s="170"/>
      <c r="B384" s="719"/>
      <c r="C384" s="170"/>
      <c r="D384" s="170"/>
      <c r="E384" s="170"/>
      <c r="F384" s="170"/>
      <c r="G384" s="721"/>
      <c r="H384" s="170"/>
      <c r="I384" s="170"/>
      <c r="J384" s="170"/>
      <c r="K384" s="170"/>
      <c r="L384" s="170"/>
      <c r="M384" s="730"/>
      <c r="N384" s="730"/>
      <c r="O384" s="730"/>
      <c r="P384" s="731"/>
      <c r="Q384" s="731"/>
      <c r="R384" s="730"/>
      <c r="S384" s="730"/>
      <c r="T384" s="723"/>
      <c r="U384" s="724"/>
      <c r="V384" s="725"/>
      <c r="W384" s="725"/>
      <c r="X384" s="723"/>
      <c r="Y384" s="723"/>
      <c r="Z384" s="723"/>
      <c r="AA384" s="726"/>
      <c r="AB384" s="726"/>
      <c r="AC384" s="170"/>
      <c r="AD384" s="586"/>
      <c r="AE384" s="586"/>
      <c r="AF384" s="170"/>
      <c r="AG384" s="170"/>
      <c r="AH384" s="170"/>
      <c r="AI384" s="170"/>
      <c r="AJ384" s="170"/>
      <c r="AK384" s="170"/>
      <c r="AL384" s="170"/>
      <c r="AM384" s="170"/>
      <c r="AN384" s="170"/>
      <c r="AO384" s="170"/>
      <c r="AP384" s="170"/>
      <c r="AQ384" s="170"/>
      <c r="AR384" s="170"/>
      <c r="AS384" s="170"/>
    </row>
    <row r="385" spans="1:45" ht="15" x14ac:dyDescent="0.25">
      <c r="A385" s="170"/>
      <c r="B385" s="719"/>
      <c r="C385" s="170"/>
      <c r="D385" s="170"/>
      <c r="E385" s="170"/>
      <c r="F385" s="170"/>
      <c r="G385" s="721"/>
      <c r="H385" s="170"/>
      <c r="I385" s="170"/>
      <c r="J385" s="170"/>
      <c r="K385" s="170"/>
      <c r="L385" s="170"/>
      <c r="M385" s="730"/>
      <c r="N385" s="730"/>
      <c r="O385" s="730"/>
      <c r="P385" s="731"/>
      <c r="Q385" s="731"/>
      <c r="R385" s="730"/>
      <c r="S385" s="730"/>
      <c r="T385" s="723"/>
      <c r="U385" s="724"/>
      <c r="V385" s="725"/>
      <c r="W385" s="725"/>
      <c r="X385" s="723"/>
      <c r="Y385" s="723"/>
      <c r="Z385" s="723"/>
      <c r="AA385" s="726"/>
      <c r="AB385" s="726"/>
      <c r="AC385" s="170"/>
      <c r="AD385" s="586"/>
      <c r="AE385" s="586"/>
      <c r="AF385" s="170"/>
      <c r="AG385" s="170"/>
      <c r="AH385" s="170"/>
      <c r="AI385" s="170"/>
      <c r="AJ385" s="170"/>
      <c r="AK385" s="170"/>
      <c r="AL385" s="170"/>
      <c r="AM385" s="170"/>
      <c r="AN385" s="170"/>
      <c r="AO385" s="170"/>
      <c r="AP385" s="170"/>
      <c r="AQ385" s="170"/>
      <c r="AR385" s="170"/>
      <c r="AS385" s="170"/>
    </row>
    <row r="386" spans="1:45" ht="15" x14ac:dyDescent="0.25">
      <c r="A386" s="170"/>
      <c r="B386" s="719"/>
      <c r="C386" s="170"/>
      <c r="D386" s="170"/>
      <c r="E386" s="170"/>
      <c r="F386" s="170"/>
      <c r="G386" s="721"/>
      <c r="H386" s="170"/>
      <c r="I386" s="170"/>
      <c r="J386" s="170"/>
      <c r="K386" s="170"/>
      <c r="L386" s="170"/>
      <c r="M386" s="730"/>
      <c r="N386" s="730"/>
      <c r="O386" s="730"/>
      <c r="P386" s="731"/>
      <c r="Q386" s="731"/>
      <c r="R386" s="730"/>
      <c r="S386" s="730"/>
      <c r="T386" s="723"/>
      <c r="U386" s="724"/>
      <c r="V386" s="725"/>
      <c r="W386" s="725"/>
      <c r="X386" s="723"/>
      <c r="Y386" s="723"/>
      <c r="Z386" s="723"/>
      <c r="AA386" s="726"/>
      <c r="AB386" s="726"/>
      <c r="AC386" s="170"/>
      <c r="AD386" s="586"/>
      <c r="AE386" s="586"/>
      <c r="AF386" s="170"/>
      <c r="AG386" s="170"/>
      <c r="AH386" s="170"/>
      <c r="AI386" s="170"/>
      <c r="AJ386" s="170"/>
      <c r="AK386" s="170"/>
      <c r="AL386" s="170"/>
      <c r="AM386" s="170"/>
      <c r="AN386" s="170"/>
      <c r="AO386" s="170"/>
      <c r="AP386" s="170"/>
      <c r="AQ386" s="170"/>
      <c r="AR386" s="170"/>
      <c r="AS386" s="170"/>
    </row>
    <row r="387" spans="1:45" ht="15" x14ac:dyDescent="0.25">
      <c r="A387" s="170"/>
      <c r="B387" s="719"/>
      <c r="C387" s="170"/>
      <c r="D387" s="170"/>
      <c r="E387" s="170"/>
      <c r="F387" s="170"/>
      <c r="G387" s="721"/>
      <c r="H387" s="170"/>
      <c r="I387" s="170"/>
      <c r="J387" s="170"/>
      <c r="K387" s="170"/>
      <c r="L387" s="170"/>
      <c r="M387" s="730"/>
      <c r="N387" s="730"/>
      <c r="O387" s="730"/>
      <c r="P387" s="731"/>
      <c r="Q387" s="731"/>
      <c r="R387" s="730"/>
      <c r="S387" s="730"/>
      <c r="T387" s="723"/>
      <c r="U387" s="724"/>
      <c r="V387" s="725"/>
      <c r="W387" s="725"/>
      <c r="X387" s="723"/>
      <c r="Y387" s="723"/>
      <c r="Z387" s="723"/>
      <c r="AA387" s="726"/>
      <c r="AB387" s="726"/>
      <c r="AC387" s="170"/>
      <c r="AD387" s="586"/>
      <c r="AE387" s="586"/>
      <c r="AF387" s="170"/>
      <c r="AG387" s="170"/>
      <c r="AH387" s="170"/>
      <c r="AI387" s="170"/>
      <c r="AJ387" s="170"/>
      <c r="AK387" s="170"/>
      <c r="AL387" s="170"/>
      <c r="AM387" s="170"/>
      <c r="AN387" s="170"/>
      <c r="AO387" s="170"/>
      <c r="AP387" s="170"/>
      <c r="AQ387" s="170"/>
      <c r="AR387" s="170"/>
      <c r="AS387" s="170"/>
    </row>
    <row r="388" spans="1:45" ht="15" x14ac:dyDescent="0.25">
      <c r="A388" s="170"/>
      <c r="B388" s="719"/>
      <c r="C388" s="170"/>
      <c r="D388" s="170"/>
      <c r="E388" s="170"/>
      <c r="F388" s="170"/>
      <c r="G388" s="721"/>
      <c r="H388" s="170"/>
      <c r="I388" s="170"/>
      <c r="J388" s="170"/>
      <c r="K388" s="170"/>
      <c r="L388" s="170"/>
      <c r="M388" s="730"/>
      <c r="N388" s="730"/>
      <c r="O388" s="730"/>
      <c r="P388" s="731"/>
      <c r="Q388" s="731"/>
      <c r="R388" s="730"/>
      <c r="S388" s="730"/>
      <c r="T388" s="723"/>
      <c r="U388" s="724"/>
      <c r="V388" s="725"/>
      <c r="W388" s="725"/>
      <c r="X388" s="723"/>
      <c r="Y388" s="723"/>
      <c r="Z388" s="723"/>
      <c r="AA388" s="726"/>
      <c r="AB388" s="726"/>
      <c r="AC388" s="170"/>
      <c r="AD388" s="586"/>
      <c r="AE388" s="586"/>
      <c r="AF388" s="170"/>
      <c r="AG388" s="170"/>
      <c r="AH388" s="170"/>
      <c r="AI388" s="170"/>
      <c r="AJ388" s="170"/>
      <c r="AK388" s="170"/>
      <c r="AL388" s="170"/>
      <c r="AM388" s="170"/>
      <c r="AN388" s="170"/>
      <c r="AO388" s="170"/>
      <c r="AP388" s="170"/>
      <c r="AQ388" s="170"/>
      <c r="AR388" s="170"/>
      <c r="AS388" s="170"/>
    </row>
    <row r="389" spans="1:45" ht="15" x14ac:dyDescent="0.25">
      <c r="A389" s="170"/>
      <c r="B389" s="719"/>
      <c r="C389" s="170"/>
      <c r="D389" s="170"/>
      <c r="E389" s="170"/>
      <c r="F389" s="170"/>
      <c r="G389" s="721"/>
      <c r="H389" s="170"/>
      <c r="I389" s="170"/>
      <c r="J389" s="170"/>
      <c r="K389" s="170"/>
      <c r="L389" s="170"/>
      <c r="M389" s="730"/>
      <c r="N389" s="730"/>
      <c r="O389" s="730"/>
      <c r="P389" s="731"/>
      <c r="Q389" s="731"/>
      <c r="R389" s="730"/>
      <c r="S389" s="730"/>
      <c r="T389" s="723"/>
      <c r="U389" s="724"/>
      <c r="V389" s="725"/>
      <c r="W389" s="725"/>
      <c r="X389" s="723"/>
      <c r="Y389" s="723"/>
      <c r="Z389" s="723"/>
      <c r="AA389" s="726"/>
      <c r="AB389" s="726"/>
      <c r="AC389" s="170"/>
      <c r="AD389" s="586"/>
      <c r="AE389" s="586"/>
      <c r="AF389" s="170"/>
      <c r="AG389" s="170"/>
      <c r="AH389" s="170"/>
      <c r="AI389" s="170"/>
      <c r="AJ389" s="170"/>
      <c r="AK389" s="170"/>
      <c r="AL389" s="170"/>
      <c r="AM389" s="170"/>
      <c r="AN389" s="170"/>
      <c r="AO389" s="170"/>
      <c r="AP389" s="170"/>
      <c r="AQ389" s="170"/>
      <c r="AR389" s="170"/>
      <c r="AS389" s="170"/>
    </row>
    <row r="390" spans="1:45" ht="15" x14ac:dyDescent="0.25">
      <c r="A390" s="170"/>
      <c r="B390" s="719"/>
      <c r="C390" s="170"/>
      <c r="D390" s="170"/>
      <c r="E390" s="170"/>
      <c r="F390" s="170"/>
      <c r="G390" s="721"/>
      <c r="H390" s="170"/>
      <c r="I390" s="170"/>
      <c r="J390" s="170"/>
      <c r="K390" s="170"/>
      <c r="L390" s="170"/>
      <c r="M390" s="730"/>
      <c r="N390" s="730"/>
      <c r="O390" s="730"/>
      <c r="P390" s="731"/>
      <c r="Q390" s="731"/>
      <c r="R390" s="730"/>
      <c r="S390" s="730"/>
      <c r="T390" s="723"/>
      <c r="U390" s="724"/>
      <c r="V390" s="725"/>
      <c r="W390" s="725"/>
      <c r="X390" s="723"/>
      <c r="Y390" s="723"/>
      <c r="Z390" s="723"/>
      <c r="AA390" s="726"/>
      <c r="AB390" s="726"/>
      <c r="AC390" s="170"/>
      <c r="AD390" s="586"/>
      <c r="AE390" s="586"/>
      <c r="AF390" s="170"/>
      <c r="AG390" s="170"/>
      <c r="AH390" s="170"/>
      <c r="AI390" s="170"/>
      <c r="AJ390" s="170"/>
      <c r="AK390" s="170"/>
      <c r="AL390" s="170"/>
      <c r="AM390" s="170"/>
      <c r="AN390" s="170"/>
      <c r="AO390" s="170"/>
      <c r="AP390" s="170"/>
      <c r="AQ390" s="170"/>
      <c r="AR390" s="170"/>
      <c r="AS390" s="170"/>
    </row>
    <row r="391" spans="1:45" ht="15" x14ac:dyDescent="0.25">
      <c r="A391" s="170"/>
      <c r="B391" s="719"/>
      <c r="C391" s="170"/>
      <c r="D391" s="170"/>
      <c r="E391" s="170"/>
      <c r="F391" s="170"/>
      <c r="G391" s="721"/>
      <c r="H391" s="170"/>
      <c r="I391" s="170"/>
      <c r="J391" s="170"/>
      <c r="K391" s="170"/>
      <c r="L391" s="170"/>
      <c r="M391" s="730"/>
      <c r="N391" s="730"/>
      <c r="O391" s="730"/>
      <c r="P391" s="731"/>
      <c r="Q391" s="731"/>
      <c r="R391" s="730"/>
      <c r="S391" s="730"/>
      <c r="T391" s="723"/>
      <c r="U391" s="724"/>
      <c r="V391" s="725"/>
      <c r="W391" s="725"/>
      <c r="X391" s="723"/>
      <c r="Y391" s="723"/>
      <c r="Z391" s="723"/>
      <c r="AA391" s="726"/>
      <c r="AB391" s="726"/>
      <c r="AC391" s="170"/>
      <c r="AD391" s="586"/>
      <c r="AE391" s="586"/>
      <c r="AF391" s="170"/>
      <c r="AG391" s="170"/>
      <c r="AH391" s="170"/>
      <c r="AI391" s="170"/>
      <c r="AJ391" s="170"/>
      <c r="AK391" s="170"/>
      <c r="AL391" s="170"/>
      <c r="AM391" s="170"/>
      <c r="AN391" s="170"/>
      <c r="AO391" s="170"/>
      <c r="AP391" s="170"/>
      <c r="AQ391" s="170"/>
      <c r="AR391" s="170"/>
      <c r="AS391" s="170"/>
    </row>
    <row r="392" spans="1:45" ht="15" x14ac:dyDescent="0.25">
      <c r="A392" s="170"/>
      <c r="B392" s="719"/>
      <c r="C392" s="170"/>
      <c r="D392" s="170"/>
      <c r="E392" s="170"/>
      <c r="F392" s="170"/>
      <c r="G392" s="721"/>
      <c r="H392" s="170"/>
      <c r="I392" s="170"/>
      <c r="J392" s="170"/>
      <c r="K392" s="170"/>
      <c r="L392" s="170"/>
      <c r="M392" s="730"/>
      <c r="N392" s="730"/>
      <c r="O392" s="730"/>
      <c r="P392" s="731"/>
      <c r="Q392" s="731"/>
      <c r="R392" s="730"/>
      <c r="S392" s="730"/>
      <c r="T392" s="723"/>
      <c r="U392" s="724"/>
      <c r="V392" s="725"/>
      <c r="W392" s="725"/>
      <c r="X392" s="723"/>
      <c r="Y392" s="723"/>
      <c r="Z392" s="723"/>
      <c r="AA392" s="726"/>
      <c r="AB392" s="726"/>
      <c r="AC392" s="170"/>
      <c r="AD392" s="586"/>
      <c r="AE392" s="586"/>
      <c r="AF392" s="170"/>
      <c r="AG392" s="170"/>
      <c r="AH392" s="170"/>
      <c r="AI392" s="170"/>
      <c r="AJ392" s="170"/>
      <c r="AK392" s="170"/>
      <c r="AL392" s="170"/>
      <c r="AM392" s="170"/>
      <c r="AN392" s="170"/>
      <c r="AO392" s="170"/>
      <c r="AP392" s="170"/>
      <c r="AQ392" s="170"/>
      <c r="AR392" s="170"/>
      <c r="AS392" s="170"/>
    </row>
    <row r="393" spans="1:45" ht="15" x14ac:dyDescent="0.25">
      <c r="A393" s="170"/>
      <c r="B393" s="719"/>
      <c r="C393" s="170"/>
      <c r="D393" s="170"/>
      <c r="E393" s="170"/>
      <c r="F393" s="170"/>
      <c r="G393" s="721"/>
      <c r="H393" s="170"/>
      <c r="I393" s="170"/>
      <c r="J393" s="170"/>
      <c r="K393" s="170"/>
      <c r="L393" s="170"/>
      <c r="M393" s="730"/>
      <c r="N393" s="730"/>
      <c r="O393" s="730"/>
      <c r="P393" s="731"/>
      <c r="Q393" s="731"/>
      <c r="R393" s="730"/>
      <c r="S393" s="730"/>
      <c r="T393" s="723"/>
      <c r="U393" s="724"/>
      <c r="V393" s="725"/>
      <c r="W393" s="725"/>
      <c r="X393" s="723"/>
      <c r="Y393" s="723"/>
      <c r="Z393" s="723"/>
      <c r="AA393" s="726"/>
      <c r="AB393" s="726"/>
      <c r="AC393" s="170"/>
      <c r="AD393" s="586"/>
      <c r="AE393" s="586"/>
      <c r="AF393" s="170"/>
      <c r="AG393" s="170"/>
      <c r="AH393" s="170"/>
      <c r="AI393" s="170"/>
      <c r="AJ393" s="170"/>
      <c r="AK393" s="170"/>
      <c r="AL393" s="170"/>
      <c r="AM393" s="170"/>
      <c r="AN393" s="170"/>
      <c r="AO393" s="170"/>
      <c r="AP393" s="170"/>
      <c r="AQ393" s="170"/>
      <c r="AR393" s="170"/>
      <c r="AS393" s="170"/>
    </row>
    <row r="394" spans="1:45" ht="15" x14ac:dyDescent="0.25">
      <c r="A394" s="170"/>
      <c r="B394" s="719"/>
      <c r="C394" s="170"/>
      <c r="D394" s="170"/>
      <c r="E394" s="170"/>
      <c r="F394" s="170"/>
      <c r="G394" s="721"/>
      <c r="H394" s="170"/>
      <c r="I394" s="170"/>
      <c r="J394" s="170"/>
      <c r="K394" s="170"/>
      <c r="L394" s="170"/>
      <c r="M394" s="730"/>
      <c r="N394" s="730"/>
      <c r="O394" s="730"/>
      <c r="P394" s="731"/>
      <c r="Q394" s="731"/>
      <c r="R394" s="730"/>
      <c r="S394" s="730"/>
      <c r="T394" s="723"/>
      <c r="U394" s="724"/>
      <c r="V394" s="725"/>
      <c r="W394" s="725"/>
      <c r="X394" s="723"/>
      <c r="Y394" s="723"/>
      <c r="Z394" s="723"/>
      <c r="AA394" s="726"/>
      <c r="AB394" s="726"/>
      <c r="AC394" s="170"/>
      <c r="AD394" s="586"/>
      <c r="AE394" s="586"/>
      <c r="AF394" s="170"/>
      <c r="AG394" s="170"/>
      <c r="AH394" s="170"/>
      <c r="AI394" s="170"/>
      <c r="AJ394" s="170"/>
      <c r="AK394" s="170"/>
      <c r="AL394" s="170"/>
      <c r="AM394" s="170"/>
      <c r="AN394" s="170"/>
      <c r="AO394" s="170"/>
      <c r="AP394" s="170"/>
      <c r="AQ394" s="170"/>
      <c r="AR394" s="170"/>
      <c r="AS394" s="170"/>
    </row>
    <row r="395" spans="1:45" ht="15" x14ac:dyDescent="0.25">
      <c r="A395" s="170"/>
      <c r="B395" s="719"/>
      <c r="C395" s="170"/>
      <c r="D395" s="170"/>
      <c r="E395" s="170"/>
      <c r="F395" s="170"/>
      <c r="G395" s="721"/>
      <c r="H395" s="170"/>
      <c r="I395" s="170"/>
      <c r="J395" s="170"/>
      <c r="K395" s="170"/>
      <c r="L395" s="170"/>
      <c r="M395" s="730"/>
      <c r="N395" s="730"/>
      <c r="O395" s="730"/>
      <c r="P395" s="731"/>
      <c r="Q395" s="731"/>
      <c r="R395" s="730"/>
      <c r="S395" s="730"/>
      <c r="T395" s="723"/>
      <c r="U395" s="724"/>
      <c r="V395" s="725"/>
      <c r="W395" s="725"/>
      <c r="X395" s="723"/>
      <c r="Y395" s="723"/>
      <c r="Z395" s="723"/>
      <c r="AA395" s="726"/>
      <c r="AB395" s="726"/>
      <c r="AC395" s="170"/>
      <c r="AD395" s="586"/>
      <c r="AE395" s="586"/>
      <c r="AF395" s="170"/>
      <c r="AG395" s="170"/>
      <c r="AH395" s="170"/>
      <c r="AI395" s="170"/>
      <c r="AJ395" s="170"/>
      <c r="AK395" s="170"/>
      <c r="AL395" s="170"/>
      <c r="AM395" s="170"/>
      <c r="AN395" s="170"/>
      <c r="AO395" s="170"/>
      <c r="AP395" s="170"/>
      <c r="AQ395" s="170"/>
      <c r="AR395" s="170"/>
      <c r="AS395" s="170"/>
    </row>
    <row r="396" spans="1:45" ht="15" x14ac:dyDescent="0.25">
      <c r="A396" s="170"/>
      <c r="B396" s="719"/>
      <c r="C396" s="170"/>
      <c r="D396" s="170"/>
      <c r="E396" s="170"/>
      <c r="F396" s="170"/>
      <c r="G396" s="721"/>
      <c r="H396" s="170"/>
      <c r="I396" s="170"/>
      <c r="J396" s="170"/>
      <c r="K396" s="170"/>
      <c r="L396" s="170"/>
      <c r="M396" s="730"/>
      <c r="N396" s="730"/>
      <c r="O396" s="730"/>
      <c r="P396" s="731"/>
      <c r="Q396" s="731"/>
      <c r="R396" s="730"/>
      <c r="S396" s="730"/>
      <c r="T396" s="723"/>
      <c r="U396" s="724"/>
      <c r="V396" s="725"/>
      <c r="W396" s="725"/>
      <c r="X396" s="723"/>
      <c r="Y396" s="723"/>
      <c r="Z396" s="723"/>
      <c r="AA396" s="726"/>
      <c r="AB396" s="726"/>
      <c r="AC396" s="170"/>
      <c r="AD396" s="586"/>
      <c r="AE396" s="586"/>
      <c r="AF396" s="170"/>
      <c r="AG396" s="170"/>
      <c r="AH396" s="170"/>
      <c r="AI396" s="170"/>
      <c r="AJ396" s="170"/>
      <c r="AK396" s="170"/>
      <c r="AL396" s="170"/>
      <c r="AM396" s="170"/>
      <c r="AN396" s="170"/>
      <c r="AO396" s="170"/>
      <c r="AP396" s="170"/>
      <c r="AQ396" s="170"/>
      <c r="AR396" s="170"/>
      <c r="AS396" s="170"/>
    </row>
    <row r="397" spans="1:45" ht="15" x14ac:dyDescent="0.25">
      <c r="A397" s="170"/>
      <c r="B397" s="719"/>
      <c r="C397" s="170"/>
      <c r="D397" s="170"/>
      <c r="E397" s="170"/>
      <c r="F397" s="170"/>
      <c r="G397" s="721"/>
      <c r="H397" s="170"/>
      <c r="I397" s="170"/>
      <c r="J397" s="170"/>
      <c r="K397" s="170"/>
      <c r="L397" s="170"/>
      <c r="M397" s="730"/>
      <c r="N397" s="730"/>
      <c r="O397" s="730"/>
      <c r="P397" s="731"/>
      <c r="Q397" s="731"/>
      <c r="R397" s="730"/>
      <c r="S397" s="730"/>
      <c r="T397" s="723"/>
      <c r="U397" s="724"/>
      <c r="V397" s="725"/>
      <c r="W397" s="725"/>
      <c r="X397" s="723"/>
      <c r="Y397" s="723"/>
      <c r="Z397" s="723"/>
      <c r="AA397" s="726"/>
      <c r="AB397" s="726"/>
      <c r="AC397" s="170"/>
      <c r="AD397" s="586"/>
      <c r="AE397" s="586"/>
      <c r="AF397" s="170"/>
      <c r="AG397" s="170"/>
      <c r="AH397" s="170"/>
      <c r="AI397" s="170"/>
      <c r="AJ397" s="170"/>
      <c r="AK397" s="170"/>
      <c r="AL397" s="170"/>
      <c r="AM397" s="170"/>
      <c r="AN397" s="170"/>
      <c r="AO397" s="170"/>
      <c r="AP397" s="170"/>
      <c r="AQ397" s="170"/>
      <c r="AR397" s="170"/>
      <c r="AS397" s="170"/>
    </row>
    <row r="398" spans="1:45" ht="15" x14ac:dyDescent="0.25">
      <c r="A398" s="170"/>
      <c r="B398" s="719"/>
      <c r="C398" s="170"/>
      <c r="D398" s="170"/>
      <c r="E398" s="170"/>
      <c r="F398" s="170"/>
      <c r="G398" s="721"/>
      <c r="H398" s="170"/>
      <c r="I398" s="170"/>
      <c r="J398" s="170"/>
      <c r="K398" s="170"/>
      <c r="L398" s="170"/>
      <c r="M398" s="730"/>
      <c r="N398" s="730"/>
      <c r="O398" s="730"/>
      <c r="P398" s="731"/>
      <c r="Q398" s="731"/>
      <c r="R398" s="730"/>
      <c r="S398" s="730"/>
      <c r="T398" s="723"/>
      <c r="U398" s="724"/>
      <c r="V398" s="725"/>
      <c r="W398" s="725"/>
      <c r="X398" s="723"/>
      <c r="Y398" s="723"/>
      <c r="Z398" s="723"/>
      <c r="AA398" s="726"/>
      <c r="AB398" s="726"/>
      <c r="AC398" s="170"/>
      <c r="AD398" s="586"/>
      <c r="AE398" s="586"/>
      <c r="AF398" s="170"/>
      <c r="AG398" s="170"/>
      <c r="AH398" s="170"/>
      <c r="AI398" s="170"/>
      <c r="AJ398" s="170"/>
      <c r="AK398" s="170"/>
      <c r="AL398" s="170"/>
      <c r="AM398" s="170"/>
      <c r="AN398" s="170"/>
      <c r="AO398" s="170"/>
      <c r="AP398" s="170"/>
      <c r="AQ398" s="170"/>
      <c r="AR398" s="170"/>
      <c r="AS398" s="170"/>
    </row>
    <row r="399" spans="1:45" ht="15" x14ac:dyDescent="0.25">
      <c r="A399" s="170"/>
      <c r="B399" s="719"/>
      <c r="C399" s="170"/>
      <c r="D399" s="170"/>
      <c r="E399" s="170"/>
      <c r="F399" s="170"/>
      <c r="G399" s="721"/>
      <c r="H399" s="170"/>
      <c r="I399" s="170"/>
      <c r="J399" s="170"/>
      <c r="K399" s="170"/>
      <c r="L399" s="170"/>
      <c r="M399" s="730"/>
      <c r="N399" s="730"/>
      <c r="O399" s="730"/>
      <c r="P399" s="731"/>
      <c r="Q399" s="731"/>
      <c r="R399" s="730"/>
      <c r="S399" s="730"/>
      <c r="T399" s="723"/>
      <c r="U399" s="724"/>
      <c r="V399" s="725"/>
      <c r="W399" s="725"/>
      <c r="X399" s="723"/>
      <c r="Y399" s="723"/>
      <c r="Z399" s="723"/>
      <c r="AA399" s="726"/>
      <c r="AB399" s="726"/>
      <c r="AC399" s="170"/>
      <c r="AD399" s="586"/>
      <c r="AE399" s="586"/>
      <c r="AF399" s="170"/>
      <c r="AG399" s="170"/>
      <c r="AH399" s="170"/>
      <c r="AI399" s="170"/>
      <c r="AJ399" s="170"/>
      <c r="AK399" s="170"/>
      <c r="AL399" s="170"/>
      <c r="AM399" s="170"/>
      <c r="AN399" s="170"/>
      <c r="AO399" s="170"/>
      <c r="AP399" s="170"/>
      <c r="AQ399" s="170"/>
      <c r="AR399" s="170"/>
      <c r="AS399" s="170"/>
    </row>
    <row r="400" spans="1:45" ht="15" x14ac:dyDescent="0.25">
      <c r="A400" s="170"/>
      <c r="B400" s="719"/>
      <c r="C400" s="170"/>
      <c r="D400" s="170"/>
      <c r="E400" s="170"/>
      <c r="F400" s="170"/>
      <c r="G400" s="721"/>
      <c r="H400" s="170"/>
      <c r="I400" s="170"/>
      <c r="J400" s="170"/>
      <c r="K400" s="170"/>
      <c r="L400" s="170"/>
      <c r="M400" s="730"/>
      <c r="N400" s="730"/>
      <c r="O400" s="730"/>
      <c r="P400" s="731"/>
      <c r="Q400" s="731"/>
      <c r="R400" s="730"/>
      <c r="S400" s="730"/>
      <c r="T400" s="723"/>
      <c r="U400" s="724"/>
      <c r="V400" s="725"/>
      <c r="W400" s="725"/>
      <c r="X400" s="723"/>
      <c r="Y400" s="723"/>
      <c r="Z400" s="723"/>
      <c r="AA400" s="726"/>
      <c r="AB400" s="726"/>
      <c r="AC400" s="170"/>
      <c r="AD400" s="586"/>
      <c r="AE400" s="586"/>
      <c r="AF400" s="170"/>
      <c r="AG400" s="170"/>
      <c r="AH400" s="170"/>
      <c r="AI400" s="170"/>
      <c r="AJ400" s="170"/>
      <c r="AK400" s="170"/>
      <c r="AL400" s="170"/>
      <c r="AM400" s="170"/>
      <c r="AN400" s="170"/>
      <c r="AO400" s="170"/>
      <c r="AP400" s="170"/>
      <c r="AQ400" s="170"/>
      <c r="AR400" s="170"/>
      <c r="AS400" s="170"/>
    </row>
    <row r="401" spans="1:45" ht="15" x14ac:dyDescent="0.25">
      <c r="A401" s="170"/>
      <c r="B401" s="719"/>
      <c r="C401" s="170"/>
      <c r="D401" s="170"/>
      <c r="E401" s="170"/>
      <c r="F401" s="170"/>
      <c r="G401" s="721"/>
      <c r="H401" s="170"/>
      <c r="I401" s="170"/>
      <c r="J401" s="170"/>
      <c r="K401" s="170"/>
      <c r="L401" s="170"/>
      <c r="M401" s="730"/>
      <c r="N401" s="730"/>
      <c r="O401" s="730"/>
      <c r="P401" s="731"/>
      <c r="Q401" s="731"/>
      <c r="R401" s="730"/>
      <c r="S401" s="730"/>
      <c r="T401" s="723"/>
      <c r="U401" s="724"/>
      <c r="V401" s="725"/>
      <c r="W401" s="725"/>
      <c r="X401" s="723"/>
      <c r="Y401" s="723"/>
      <c r="Z401" s="723"/>
      <c r="AA401" s="726"/>
      <c r="AB401" s="726"/>
      <c r="AC401" s="170"/>
      <c r="AD401" s="586"/>
      <c r="AE401" s="586"/>
      <c r="AF401" s="170"/>
      <c r="AG401" s="170"/>
      <c r="AH401" s="170"/>
      <c r="AI401" s="170"/>
      <c r="AJ401" s="170"/>
      <c r="AK401" s="170"/>
      <c r="AL401" s="170"/>
      <c r="AM401" s="170"/>
      <c r="AN401" s="170"/>
      <c r="AO401" s="170"/>
      <c r="AP401" s="170"/>
      <c r="AQ401" s="170"/>
      <c r="AR401" s="170"/>
      <c r="AS401" s="170"/>
    </row>
    <row r="402" spans="1:45" ht="15" x14ac:dyDescent="0.25">
      <c r="A402" s="170"/>
      <c r="B402" s="719"/>
      <c r="C402" s="170"/>
      <c r="D402" s="170"/>
      <c r="E402" s="170"/>
      <c r="F402" s="170"/>
      <c r="G402" s="721"/>
      <c r="H402" s="170"/>
      <c r="I402" s="170"/>
      <c r="J402" s="170"/>
      <c r="K402" s="170"/>
      <c r="L402" s="170"/>
      <c r="M402" s="730"/>
      <c r="N402" s="730"/>
      <c r="O402" s="730"/>
      <c r="P402" s="731"/>
      <c r="Q402" s="731"/>
      <c r="R402" s="730"/>
      <c r="S402" s="730"/>
      <c r="T402" s="723"/>
      <c r="U402" s="724"/>
      <c r="V402" s="725"/>
      <c r="W402" s="725"/>
      <c r="X402" s="723"/>
      <c r="Y402" s="723"/>
      <c r="Z402" s="723"/>
      <c r="AA402" s="726"/>
      <c r="AB402" s="726"/>
      <c r="AC402" s="170"/>
      <c r="AD402" s="586"/>
      <c r="AE402" s="586"/>
      <c r="AF402" s="170"/>
      <c r="AG402" s="170"/>
      <c r="AH402" s="170"/>
      <c r="AI402" s="170"/>
      <c r="AJ402" s="170"/>
      <c r="AK402" s="170"/>
      <c r="AL402" s="170"/>
      <c r="AM402" s="170"/>
      <c r="AN402" s="170"/>
      <c r="AO402" s="170"/>
      <c r="AP402" s="170"/>
      <c r="AQ402" s="170"/>
      <c r="AR402" s="170"/>
      <c r="AS402" s="170"/>
    </row>
    <row r="403" spans="1:45" ht="15" x14ac:dyDescent="0.25">
      <c r="A403" s="170"/>
      <c r="B403" s="719"/>
      <c r="C403" s="170"/>
      <c r="D403" s="170"/>
      <c r="E403" s="170"/>
      <c r="F403" s="170"/>
      <c r="G403" s="721"/>
      <c r="H403" s="170"/>
      <c r="I403" s="170"/>
      <c r="J403" s="170"/>
      <c r="K403" s="170"/>
      <c r="L403" s="170"/>
      <c r="M403" s="730"/>
      <c r="N403" s="730"/>
      <c r="O403" s="730"/>
      <c r="P403" s="731"/>
      <c r="Q403" s="731"/>
      <c r="R403" s="730"/>
      <c r="S403" s="730"/>
      <c r="T403" s="723"/>
      <c r="U403" s="724"/>
      <c r="V403" s="725"/>
      <c r="W403" s="725"/>
      <c r="X403" s="723"/>
      <c r="Y403" s="723"/>
      <c r="Z403" s="723"/>
      <c r="AA403" s="726"/>
      <c r="AB403" s="726"/>
      <c r="AC403" s="170"/>
      <c r="AD403" s="586"/>
      <c r="AE403" s="586"/>
      <c r="AF403" s="170"/>
      <c r="AG403" s="170"/>
      <c r="AH403" s="170"/>
      <c r="AI403" s="170"/>
      <c r="AJ403" s="170"/>
      <c r="AK403" s="170"/>
      <c r="AL403" s="170"/>
      <c r="AM403" s="170"/>
      <c r="AN403" s="170"/>
      <c r="AO403" s="170"/>
      <c r="AP403" s="170"/>
      <c r="AQ403" s="170"/>
      <c r="AR403" s="170"/>
      <c r="AS403" s="170"/>
    </row>
    <row r="404" spans="1:45" ht="15" x14ac:dyDescent="0.25">
      <c r="A404" s="170"/>
      <c r="B404" s="719"/>
      <c r="C404" s="170"/>
      <c r="D404" s="170"/>
      <c r="E404" s="170"/>
      <c r="F404" s="170"/>
      <c r="G404" s="721"/>
      <c r="H404" s="170"/>
      <c r="I404" s="170"/>
      <c r="J404" s="170"/>
      <c r="K404" s="170"/>
      <c r="L404" s="170"/>
      <c r="M404" s="730"/>
      <c r="N404" s="730"/>
      <c r="O404" s="730"/>
      <c r="P404" s="731"/>
      <c r="Q404" s="731"/>
      <c r="R404" s="730"/>
      <c r="S404" s="730"/>
      <c r="T404" s="723"/>
      <c r="U404" s="724"/>
      <c r="V404" s="725"/>
      <c r="W404" s="725"/>
      <c r="X404" s="723"/>
      <c r="Y404" s="723"/>
      <c r="Z404" s="723"/>
      <c r="AA404" s="726"/>
      <c r="AB404" s="726"/>
      <c r="AC404" s="170"/>
      <c r="AD404" s="586"/>
      <c r="AE404" s="586"/>
      <c r="AF404" s="170"/>
      <c r="AG404" s="170"/>
      <c r="AH404" s="170"/>
      <c r="AI404" s="170"/>
      <c r="AJ404" s="170"/>
      <c r="AK404" s="170"/>
      <c r="AL404" s="170"/>
      <c r="AM404" s="170"/>
      <c r="AN404" s="170"/>
      <c r="AO404" s="170"/>
      <c r="AP404" s="170"/>
      <c r="AQ404" s="170"/>
      <c r="AR404" s="170"/>
      <c r="AS404" s="170"/>
    </row>
    <row r="405" spans="1:45" ht="15" x14ac:dyDescent="0.25">
      <c r="A405" s="170"/>
      <c r="B405" s="719"/>
      <c r="C405" s="170"/>
      <c r="D405" s="170"/>
      <c r="E405" s="170"/>
      <c r="F405" s="170"/>
      <c r="G405" s="721"/>
      <c r="H405" s="170"/>
      <c r="I405" s="170"/>
      <c r="J405" s="170"/>
      <c r="K405" s="170"/>
      <c r="L405" s="170"/>
      <c r="M405" s="730"/>
      <c r="N405" s="730"/>
      <c r="O405" s="730"/>
      <c r="P405" s="731"/>
      <c r="Q405" s="731"/>
      <c r="R405" s="730"/>
      <c r="S405" s="730"/>
      <c r="T405" s="723"/>
      <c r="U405" s="724"/>
      <c r="V405" s="725"/>
      <c r="W405" s="725"/>
      <c r="X405" s="723"/>
      <c r="Y405" s="723"/>
      <c r="Z405" s="723"/>
      <c r="AA405" s="726"/>
      <c r="AB405" s="726"/>
      <c r="AC405" s="170"/>
      <c r="AD405" s="586"/>
      <c r="AE405" s="586"/>
      <c r="AF405" s="170"/>
      <c r="AG405" s="170"/>
      <c r="AH405" s="170"/>
      <c r="AI405" s="170"/>
      <c r="AJ405" s="170"/>
      <c r="AK405" s="170"/>
      <c r="AL405" s="170"/>
      <c r="AM405" s="170"/>
      <c r="AN405" s="170"/>
      <c r="AO405" s="170"/>
      <c r="AP405" s="170"/>
      <c r="AQ405" s="170"/>
      <c r="AR405" s="170"/>
      <c r="AS405" s="170"/>
    </row>
    <row r="406" spans="1:45" ht="15" x14ac:dyDescent="0.25">
      <c r="A406" s="170"/>
      <c r="B406" s="719"/>
      <c r="C406" s="170"/>
      <c r="D406" s="170"/>
      <c r="E406" s="170"/>
      <c r="F406" s="170"/>
      <c r="G406" s="721"/>
      <c r="H406" s="170"/>
      <c r="I406" s="170"/>
      <c r="J406" s="170"/>
      <c r="K406" s="170"/>
      <c r="L406" s="170"/>
      <c r="M406" s="730"/>
      <c r="N406" s="730"/>
      <c r="O406" s="730"/>
      <c r="P406" s="731"/>
      <c r="Q406" s="731"/>
      <c r="R406" s="730"/>
      <c r="S406" s="730"/>
      <c r="T406" s="723"/>
      <c r="U406" s="724"/>
      <c r="V406" s="725"/>
      <c r="W406" s="725"/>
      <c r="X406" s="723"/>
      <c r="Y406" s="723"/>
      <c r="Z406" s="723"/>
      <c r="AA406" s="726"/>
      <c r="AB406" s="726"/>
      <c r="AC406" s="170"/>
      <c r="AD406" s="586"/>
      <c r="AE406" s="586"/>
      <c r="AF406" s="170"/>
      <c r="AG406" s="170"/>
      <c r="AH406" s="170"/>
      <c r="AI406" s="170"/>
      <c r="AJ406" s="170"/>
      <c r="AK406" s="170"/>
      <c r="AL406" s="170"/>
      <c r="AM406" s="170"/>
      <c r="AN406" s="170"/>
      <c r="AO406" s="170"/>
      <c r="AP406" s="170"/>
      <c r="AQ406" s="170"/>
      <c r="AR406" s="170"/>
      <c r="AS406" s="170"/>
    </row>
    <row r="407" spans="1:45" ht="15" x14ac:dyDescent="0.25">
      <c r="A407" s="170"/>
      <c r="B407" s="719"/>
      <c r="C407" s="170"/>
      <c r="D407" s="170"/>
      <c r="E407" s="170"/>
      <c r="F407" s="170"/>
      <c r="G407" s="721"/>
      <c r="H407" s="170"/>
      <c r="I407" s="170"/>
      <c r="J407" s="170"/>
      <c r="K407" s="170"/>
      <c r="L407" s="170"/>
      <c r="M407" s="730"/>
      <c r="N407" s="730"/>
      <c r="O407" s="730"/>
      <c r="P407" s="731"/>
      <c r="Q407" s="731"/>
      <c r="R407" s="730"/>
      <c r="S407" s="730"/>
      <c r="T407" s="723"/>
      <c r="U407" s="724"/>
      <c r="V407" s="725"/>
      <c r="W407" s="725"/>
      <c r="X407" s="723"/>
      <c r="Y407" s="723"/>
      <c r="Z407" s="723"/>
      <c r="AA407" s="726"/>
      <c r="AB407" s="726"/>
      <c r="AC407" s="170"/>
      <c r="AD407" s="586"/>
      <c r="AE407" s="586"/>
      <c r="AF407" s="170"/>
      <c r="AG407" s="170"/>
      <c r="AH407" s="170"/>
      <c r="AI407" s="170"/>
      <c r="AJ407" s="170"/>
      <c r="AK407" s="170"/>
      <c r="AL407" s="170"/>
      <c r="AM407" s="170"/>
      <c r="AN407" s="170"/>
      <c r="AO407" s="170"/>
      <c r="AP407" s="170"/>
      <c r="AQ407" s="170"/>
      <c r="AR407" s="170"/>
      <c r="AS407" s="170"/>
    </row>
    <row r="408" spans="1:45" ht="15" x14ac:dyDescent="0.25">
      <c r="A408" s="170"/>
      <c r="B408" s="719"/>
      <c r="C408" s="170"/>
      <c r="D408" s="170"/>
      <c r="E408" s="170"/>
      <c r="F408" s="170"/>
      <c r="G408" s="721"/>
      <c r="H408" s="170"/>
      <c r="I408" s="170"/>
      <c r="J408" s="170"/>
      <c r="K408" s="170"/>
      <c r="L408" s="170"/>
      <c r="M408" s="730"/>
      <c r="N408" s="730"/>
      <c r="O408" s="730"/>
      <c r="P408" s="731"/>
      <c r="Q408" s="731"/>
      <c r="R408" s="730"/>
      <c r="S408" s="730"/>
      <c r="T408" s="723"/>
      <c r="U408" s="724"/>
      <c r="V408" s="725"/>
      <c r="W408" s="725"/>
      <c r="X408" s="723"/>
      <c r="Y408" s="723"/>
      <c r="Z408" s="723"/>
      <c r="AA408" s="726"/>
      <c r="AB408" s="726"/>
      <c r="AC408" s="170"/>
      <c r="AD408" s="586"/>
      <c r="AE408" s="586"/>
      <c r="AF408" s="170"/>
      <c r="AG408" s="170"/>
      <c r="AH408" s="170"/>
      <c r="AI408" s="170"/>
      <c r="AJ408" s="170"/>
      <c r="AK408" s="170"/>
      <c r="AL408" s="170"/>
      <c r="AM408" s="170"/>
      <c r="AN408" s="170"/>
      <c r="AO408" s="170"/>
      <c r="AP408" s="170"/>
      <c r="AQ408" s="170"/>
      <c r="AR408" s="170"/>
      <c r="AS408" s="170"/>
    </row>
    <row r="409" spans="1:45" ht="15" x14ac:dyDescent="0.25">
      <c r="A409" s="170"/>
      <c r="B409" s="719"/>
      <c r="C409" s="170"/>
      <c r="D409" s="170"/>
      <c r="E409" s="170"/>
      <c r="F409" s="170"/>
      <c r="G409" s="721"/>
      <c r="H409" s="170"/>
      <c r="I409" s="170"/>
      <c r="J409" s="170"/>
      <c r="K409" s="170"/>
      <c r="L409" s="170"/>
      <c r="M409" s="730"/>
      <c r="N409" s="730"/>
      <c r="O409" s="730"/>
      <c r="P409" s="731"/>
      <c r="Q409" s="731"/>
      <c r="R409" s="730"/>
      <c r="S409" s="730"/>
      <c r="T409" s="723"/>
      <c r="U409" s="724"/>
      <c r="V409" s="725"/>
      <c r="W409" s="725"/>
      <c r="X409" s="723"/>
      <c r="Y409" s="723"/>
      <c r="Z409" s="723"/>
      <c r="AA409" s="726"/>
      <c r="AB409" s="726"/>
      <c r="AC409" s="170"/>
      <c r="AD409" s="586"/>
      <c r="AE409" s="586"/>
      <c r="AF409" s="170"/>
      <c r="AG409" s="170"/>
      <c r="AH409" s="170"/>
      <c r="AI409" s="170"/>
      <c r="AJ409" s="170"/>
      <c r="AK409" s="170"/>
      <c r="AL409" s="170"/>
      <c r="AM409" s="170"/>
      <c r="AN409" s="170"/>
      <c r="AO409" s="170"/>
      <c r="AP409" s="170"/>
      <c r="AQ409" s="170"/>
      <c r="AR409" s="170"/>
      <c r="AS409" s="170"/>
    </row>
    <row r="410" spans="1:45" ht="15" x14ac:dyDescent="0.25">
      <c r="A410" s="170"/>
      <c r="B410" s="719"/>
      <c r="C410" s="170"/>
      <c r="D410" s="170"/>
      <c r="E410" s="170"/>
      <c r="F410" s="170"/>
      <c r="G410" s="721"/>
      <c r="H410" s="170"/>
      <c r="I410" s="170"/>
      <c r="J410" s="170"/>
      <c r="K410" s="170"/>
      <c r="L410" s="170"/>
      <c r="M410" s="730"/>
      <c r="N410" s="730"/>
      <c r="O410" s="730"/>
      <c r="P410" s="731"/>
      <c r="Q410" s="731"/>
      <c r="R410" s="730"/>
      <c r="S410" s="730"/>
      <c r="T410" s="723"/>
      <c r="U410" s="724"/>
      <c r="V410" s="725"/>
      <c r="W410" s="725"/>
      <c r="X410" s="723"/>
      <c r="Y410" s="723"/>
      <c r="Z410" s="723"/>
      <c r="AA410" s="726"/>
      <c r="AB410" s="726"/>
      <c r="AC410" s="170"/>
      <c r="AD410" s="586"/>
      <c r="AE410" s="586"/>
      <c r="AF410" s="170"/>
      <c r="AG410" s="170"/>
      <c r="AH410" s="170"/>
      <c r="AI410" s="170"/>
      <c r="AJ410" s="170"/>
      <c r="AK410" s="170"/>
      <c r="AL410" s="170"/>
      <c r="AM410" s="170"/>
      <c r="AN410" s="170"/>
      <c r="AO410" s="170"/>
      <c r="AP410" s="170"/>
      <c r="AQ410" s="170"/>
      <c r="AR410" s="170"/>
      <c r="AS410" s="170"/>
    </row>
    <row r="411" spans="1:45" ht="15" x14ac:dyDescent="0.25">
      <c r="A411" s="170"/>
      <c r="B411" s="719"/>
      <c r="C411" s="170"/>
      <c r="D411" s="170"/>
      <c r="E411" s="170"/>
      <c r="F411" s="170"/>
      <c r="G411" s="721"/>
      <c r="H411" s="170"/>
      <c r="I411" s="170"/>
      <c r="J411" s="170"/>
      <c r="K411" s="170"/>
      <c r="L411" s="170"/>
      <c r="M411" s="730"/>
      <c r="N411" s="730"/>
      <c r="O411" s="730"/>
      <c r="P411" s="731"/>
      <c r="Q411" s="731"/>
      <c r="R411" s="730"/>
      <c r="S411" s="730"/>
      <c r="T411" s="723"/>
      <c r="U411" s="724"/>
      <c r="V411" s="725"/>
      <c r="W411" s="725"/>
      <c r="X411" s="723"/>
      <c r="Y411" s="723"/>
      <c r="Z411" s="723"/>
      <c r="AA411" s="726"/>
      <c r="AB411" s="726"/>
      <c r="AC411" s="170"/>
      <c r="AD411" s="586"/>
      <c r="AE411" s="586"/>
      <c r="AF411" s="170"/>
      <c r="AG411" s="170"/>
      <c r="AH411" s="170"/>
      <c r="AI411" s="170"/>
      <c r="AJ411" s="170"/>
      <c r="AK411" s="170"/>
      <c r="AL411" s="170"/>
      <c r="AM411" s="170"/>
      <c r="AN411" s="170"/>
      <c r="AO411" s="170"/>
      <c r="AP411" s="170"/>
      <c r="AQ411" s="170"/>
      <c r="AR411" s="170"/>
      <c r="AS411" s="170"/>
    </row>
    <row r="412" spans="1:45" ht="15" x14ac:dyDescent="0.25">
      <c r="A412" s="170"/>
      <c r="B412" s="719"/>
      <c r="C412" s="170"/>
      <c r="D412" s="170"/>
      <c r="E412" s="170"/>
      <c r="F412" s="170"/>
      <c r="G412" s="721"/>
      <c r="H412" s="170"/>
      <c r="I412" s="170"/>
      <c r="J412" s="170"/>
      <c r="K412" s="170"/>
      <c r="L412" s="170"/>
      <c r="M412" s="730"/>
      <c r="N412" s="730"/>
      <c r="O412" s="730"/>
      <c r="P412" s="731"/>
      <c r="Q412" s="731"/>
      <c r="R412" s="730"/>
      <c r="S412" s="730"/>
      <c r="T412" s="723"/>
      <c r="U412" s="724"/>
      <c r="V412" s="725"/>
      <c r="W412" s="725"/>
      <c r="X412" s="723"/>
      <c r="Y412" s="723"/>
      <c r="Z412" s="723"/>
      <c r="AA412" s="726"/>
      <c r="AB412" s="726"/>
      <c r="AC412" s="170"/>
      <c r="AD412" s="586"/>
      <c r="AE412" s="586"/>
      <c r="AF412" s="170"/>
      <c r="AG412" s="170"/>
      <c r="AH412" s="170"/>
      <c r="AI412" s="170"/>
      <c r="AJ412" s="170"/>
      <c r="AK412" s="170"/>
      <c r="AL412" s="170"/>
      <c r="AM412" s="170"/>
      <c r="AN412" s="170"/>
      <c r="AO412" s="170"/>
      <c r="AP412" s="170"/>
      <c r="AQ412" s="170"/>
      <c r="AR412" s="170"/>
      <c r="AS412" s="170"/>
    </row>
    <row r="413" spans="1:45" ht="15" x14ac:dyDescent="0.25">
      <c r="A413" s="170"/>
      <c r="B413" s="719"/>
      <c r="C413" s="170"/>
      <c r="D413" s="170"/>
      <c r="E413" s="170"/>
      <c r="F413" s="170"/>
      <c r="G413" s="721"/>
      <c r="H413" s="170"/>
      <c r="I413" s="170"/>
      <c r="J413" s="170"/>
      <c r="K413" s="170"/>
      <c r="L413" s="170"/>
      <c r="M413" s="730"/>
      <c r="N413" s="730"/>
      <c r="O413" s="730"/>
      <c r="P413" s="731"/>
      <c r="Q413" s="731"/>
      <c r="R413" s="730"/>
      <c r="S413" s="730"/>
      <c r="T413" s="723"/>
      <c r="U413" s="724"/>
      <c r="V413" s="725"/>
      <c r="W413" s="725"/>
      <c r="X413" s="723"/>
      <c r="Y413" s="723"/>
      <c r="Z413" s="723"/>
      <c r="AA413" s="726"/>
      <c r="AB413" s="726"/>
      <c r="AC413" s="170"/>
      <c r="AD413" s="586"/>
      <c r="AE413" s="586"/>
      <c r="AF413" s="170"/>
      <c r="AG413" s="170"/>
      <c r="AH413" s="170"/>
      <c r="AI413" s="170"/>
      <c r="AJ413" s="170"/>
      <c r="AK413" s="170"/>
      <c r="AL413" s="170"/>
      <c r="AM413" s="170"/>
      <c r="AN413" s="170"/>
      <c r="AO413" s="170"/>
      <c r="AP413" s="170"/>
      <c r="AQ413" s="170"/>
      <c r="AR413" s="170"/>
      <c r="AS413" s="170"/>
    </row>
    <row r="414" spans="1:45" ht="15" x14ac:dyDescent="0.25">
      <c r="A414" s="170"/>
      <c r="B414" s="719"/>
      <c r="C414" s="170"/>
      <c r="D414" s="170"/>
      <c r="E414" s="170"/>
      <c r="F414" s="170"/>
      <c r="G414" s="721"/>
      <c r="H414" s="170"/>
      <c r="I414" s="170"/>
      <c r="J414" s="170"/>
      <c r="K414" s="170"/>
      <c r="L414" s="170"/>
      <c r="M414" s="730"/>
      <c r="N414" s="730"/>
      <c r="O414" s="730"/>
      <c r="P414" s="731"/>
      <c r="Q414" s="731"/>
      <c r="R414" s="730"/>
      <c r="S414" s="730"/>
      <c r="T414" s="723"/>
      <c r="U414" s="724"/>
      <c r="V414" s="725"/>
      <c r="W414" s="725"/>
      <c r="X414" s="723"/>
      <c r="Y414" s="723"/>
      <c r="Z414" s="723"/>
      <c r="AA414" s="726"/>
      <c r="AB414" s="726"/>
      <c r="AC414" s="170"/>
      <c r="AD414" s="586"/>
      <c r="AE414" s="586"/>
      <c r="AF414" s="170"/>
      <c r="AG414" s="170"/>
      <c r="AH414" s="170"/>
      <c r="AI414" s="170"/>
      <c r="AJ414" s="170"/>
      <c r="AK414" s="170"/>
      <c r="AL414" s="170"/>
      <c r="AM414" s="170"/>
      <c r="AN414" s="170"/>
      <c r="AO414" s="170"/>
      <c r="AP414" s="170"/>
      <c r="AQ414" s="170"/>
      <c r="AR414" s="170"/>
      <c r="AS414" s="170"/>
    </row>
    <row r="415" spans="1:45" ht="15" x14ac:dyDescent="0.25">
      <c r="A415" s="170"/>
      <c r="B415" s="719"/>
      <c r="C415" s="170"/>
      <c r="D415" s="170"/>
      <c r="E415" s="170"/>
      <c r="F415" s="170"/>
      <c r="G415" s="721"/>
      <c r="H415" s="170"/>
      <c r="I415" s="170"/>
      <c r="J415" s="170"/>
      <c r="K415" s="170"/>
      <c r="L415" s="170"/>
      <c r="M415" s="730"/>
      <c r="N415" s="730"/>
      <c r="O415" s="730"/>
      <c r="P415" s="731"/>
      <c r="Q415" s="731"/>
      <c r="R415" s="730"/>
      <c r="S415" s="730"/>
      <c r="T415" s="723"/>
      <c r="U415" s="724"/>
      <c r="V415" s="725"/>
      <c r="W415" s="725"/>
      <c r="X415" s="723"/>
      <c r="Y415" s="723"/>
      <c r="Z415" s="723"/>
      <c r="AA415" s="726"/>
      <c r="AB415" s="726"/>
      <c r="AC415" s="170"/>
      <c r="AD415" s="586"/>
      <c r="AE415" s="586"/>
      <c r="AF415" s="170"/>
      <c r="AG415" s="170"/>
      <c r="AH415" s="170"/>
      <c r="AI415" s="170"/>
      <c r="AJ415" s="170"/>
      <c r="AK415" s="170"/>
      <c r="AL415" s="170"/>
      <c r="AM415" s="170"/>
      <c r="AN415" s="170"/>
      <c r="AO415" s="170"/>
      <c r="AP415" s="170"/>
      <c r="AQ415" s="170"/>
      <c r="AR415" s="170"/>
      <c r="AS415" s="170"/>
    </row>
    <row r="416" spans="1:45" ht="15" x14ac:dyDescent="0.25">
      <c r="A416" s="170"/>
      <c r="B416" s="719"/>
      <c r="C416" s="170"/>
      <c r="D416" s="170"/>
      <c r="E416" s="170"/>
      <c r="F416" s="170"/>
      <c r="G416" s="721"/>
      <c r="H416" s="170"/>
      <c r="I416" s="170"/>
      <c r="J416" s="170"/>
      <c r="K416" s="170"/>
      <c r="L416" s="170"/>
      <c r="M416" s="730"/>
      <c r="N416" s="730"/>
      <c r="O416" s="730"/>
      <c r="P416" s="731"/>
      <c r="Q416" s="731"/>
      <c r="R416" s="730"/>
      <c r="S416" s="730"/>
      <c r="T416" s="723"/>
      <c r="U416" s="724"/>
      <c r="V416" s="725"/>
      <c r="W416" s="725"/>
      <c r="X416" s="723"/>
      <c r="Y416" s="723"/>
      <c r="Z416" s="723"/>
      <c r="AA416" s="726"/>
      <c r="AB416" s="726"/>
      <c r="AC416" s="170"/>
      <c r="AD416" s="586"/>
      <c r="AE416" s="586"/>
      <c r="AF416" s="170"/>
      <c r="AG416" s="170"/>
      <c r="AH416" s="170"/>
      <c r="AI416" s="170"/>
      <c r="AJ416" s="170"/>
      <c r="AK416" s="170"/>
      <c r="AL416" s="170"/>
      <c r="AM416" s="170"/>
      <c r="AN416" s="170"/>
      <c r="AO416" s="170"/>
      <c r="AP416" s="170"/>
      <c r="AQ416" s="170"/>
      <c r="AR416" s="170"/>
      <c r="AS416" s="170"/>
    </row>
    <row r="417" spans="1:45" ht="15" x14ac:dyDescent="0.25">
      <c r="A417" s="170"/>
      <c r="B417" s="719"/>
      <c r="C417" s="170"/>
      <c r="D417" s="170"/>
      <c r="E417" s="170"/>
      <c r="F417" s="170"/>
      <c r="G417" s="721"/>
      <c r="H417" s="170"/>
      <c r="I417" s="170"/>
      <c r="J417" s="170"/>
      <c r="K417" s="170"/>
      <c r="L417" s="170"/>
      <c r="M417" s="730"/>
      <c r="N417" s="730"/>
      <c r="O417" s="730"/>
      <c r="P417" s="731"/>
      <c r="Q417" s="731"/>
      <c r="R417" s="730"/>
      <c r="S417" s="730"/>
      <c r="T417" s="723"/>
      <c r="U417" s="724"/>
      <c r="V417" s="725"/>
      <c r="W417" s="725"/>
      <c r="X417" s="723"/>
      <c r="Y417" s="723"/>
      <c r="Z417" s="723"/>
      <c r="AA417" s="726"/>
      <c r="AB417" s="726"/>
      <c r="AC417" s="170"/>
      <c r="AD417" s="586"/>
      <c r="AE417" s="586"/>
      <c r="AF417" s="170"/>
      <c r="AG417" s="170"/>
      <c r="AH417" s="170"/>
      <c r="AI417" s="170"/>
      <c r="AJ417" s="170"/>
      <c r="AK417" s="170"/>
      <c r="AL417" s="170"/>
      <c r="AM417" s="170"/>
      <c r="AN417" s="170"/>
      <c r="AO417" s="170"/>
      <c r="AP417" s="170"/>
      <c r="AQ417" s="170"/>
      <c r="AR417" s="170"/>
      <c r="AS417" s="170"/>
    </row>
    <row r="418" spans="1:45" ht="15" x14ac:dyDescent="0.25">
      <c r="A418" s="170"/>
      <c r="B418" s="719"/>
      <c r="C418" s="170"/>
      <c r="D418" s="170"/>
      <c r="E418" s="170"/>
      <c r="F418" s="170"/>
      <c r="G418" s="721"/>
      <c r="H418" s="170"/>
      <c r="I418" s="170"/>
      <c r="J418" s="170"/>
      <c r="K418" s="170"/>
      <c r="L418" s="170"/>
      <c r="M418" s="730"/>
      <c r="N418" s="730"/>
      <c r="O418" s="730"/>
      <c r="P418" s="731"/>
      <c r="Q418" s="731"/>
      <c r="R418" s="730"/>
      <c r="S418" s="730"/>
      <c r="T418" s="723"/>
      <c r="U418" s="724"/>
      <c r="V418" s="725"/>
      <c r="W418" s="725"/>
      <c r="X418" s="723"/>
      <c r="Y418" s="723"/>
      <c r="Z418" s="723"/>
      <c r="AA418" s="726"/>
      <c r="AB418" s="726"/>
      <c r="AC418" s="170"/>
      <c r="AD418" s="586"/>
      <c r="AE418" s="586"/>
      <c r="AF418" s="170"/>
      <c r="AG418" s="170"/>
      <c r="AH418" s="170"/>
      <c r="AI418" s="170"/>
      <c r="AJ418" s="170"/>
      <c r="AK418" s="170"/>
      <c r="AL418" s="170"/>
      <c r="AM418" s="170"/>
      <c r="AN418" s="170"/>
      <c r="AO418" s="170"/>
      <c r="AP418" s="170"/>
      <c r="AQ418" s="170"/>
      <c r="AR418" s="170"/>
      <c r="AS418" s="170"/>
    </row>
    <row r="419" spans="1:45" ht="15" x14ac:dyDescent="0.25">
      <c r="A419" s="170"/>
      <c r="B419" s="719"/>
      <c r="C419" s="170"/>
      <c r="D419" s="170"/>
      <c r="E419" s="170"/>
      <c r="F419" s="170"/>
      <c r="G419" s="721"/>
      <c r="H419" s="170"/>
      <c r="I419" s="170"/>
      <c r="J419" s="170"/>
      <c r="K419" s="170"/>
      <c r="L419" s="170"/>
      <c r="M419" s="730"/>
      <c r="N419" s="730"/>
      <c r="O419" s="730"/>
      <c r="P419" s="731"/>
      <c r="Q419" s="731"/>
      <c r="R419" s="730"/>
      <c r="S419" s="730"/>
      <c r="T419" s="723"/>
      <c r="U419" s="724"/>
      <c r="V419" s="725"/>
      <c r="W419" s="725"/>
      <c r="X419" s="723"/>
      <c r="Y419" s="723"/>
      <c r="Z419" s="723"/>
      <c r="AA419" s="726"/>
      <c r="AB419" s="726"/>
      <c r="AC419" s="170"/>
      <c r="AD419" s="586"/>
      <c r="AE419" s="586"/>
      <c r="AF419" s="170"/>
      <c r="AG419" s="170"/>
      <c r="AH419" s="170"/>
      <c r="AI419" s="170"/>
      <c r="AJ419" s="170"/>
      <c r="AK419" s="170"/>
      <c r="AL419" s="170"/>
      <c r="AM419" s="170"/>
      <c r="AN419" s="170"/>
      <c r="AO419" s="170"/>
      <c r="AP419" s="170"/>
      <c r="AQ419" s="170"/>
      <c r="AR419" s="170"/>
      <c r="AS419" s="170"/>
    </row>
    <row r="420" spans="1:45" ht="15" x14ac:dyDescent="0.25">
      <c r="A420" s="170"/>
      <c r="B420" s="719"/>
      <c r="C420" s="170"/>
      <c r="D420" s="170"/>
      <c r="E420" s="170"/>
      <c r="F420" s="170"/>
      <c r="G420" s="721"/>
      <c r="H420" s="170"/>
      <c r="I420" s="170"/>
      <c r="J420" s="170"/>
      <c r="K420" s="170"/>
      <c r="L420" s="170"/>
      <c r="M420" s="730"/>
      <c r="N420" s="730"/>
      <c r="O420" s="730"/>
      <c r="P420" s="731"/>
      <c r="Q420" s="731"/>
      <c r="R420" s="730"/>
      <c r="S420" s="730"/>
      <c r="T420" s="723"/>
      <c r="U420" s="724"/>
      <c r="V420" s="725"/>
      <c r="W420" s="725"/>
      <c r="X420" s="723"/>
      <c r="Y420" s="723"/>
      <c r="Z420" s="723"/>
      <c r="AA420" s="726"/>
      <c r="AB420" s="726"/>
      <c r="AC420" s="170"/>
      <c r="AD420" s="586"/>
      <c r="AE420" s="586"/>
      <c r="AF420" s="170"/>
      <c r="AG420" s="170"/>
      <c r="AH420" s="170"/>
      <c r="AI420" s="170"/>
      <c r="AJ420" s="170"/>
      <c r="AK420" s="170"/>
      <c r="AL420" s="170"/>
      <c r="AM420" s="170"/>
      <c r="AN420" s="170"/>
      <c r="AO420" s="170"/>
      <c r="AP420" s="170"/>
      <c r="AQ420" s="170"/>
      <c r="AR420" s="170"/>
      <c r="AS420" s="170"/>
    </row>
    <row r="421" spans="1:45" ht="15" x14ac:dyDescent="0.25">
      <c r="A421" s="170"/>
      <c r="B421" s="719"/>
      <c r="C421" s="170"/>
      <c r="D421" s="170"/>
      <c r="E421" s="170"/>
      <c r="F421" s="170"/>
      <c r="G421" s="721"/>
      <c r="H421" s="170"/>
      <c r="I421" s="170"/>
      <c r="J421" s="170"/>
      <c r="K421" s="170"/>
      <c r="L421" s="170"/>
      <c r="M421" s="730"/>
      <c r="N421" s="730"/>
      <c r="O421" s="730"/>
      <c r="P421" s="731"/>
      <c r="Q421" s="731"/>
      <c r="R421" s="730"/>
      <c r="S421" s="730"/>
      <c r="T421" s="723"/>
      <c r="U421" s="724"/>
      <c r="V421" s="725"/>
      <c r="W421" s="725"/>
      <c r="X421" s="723"/>
      <c r="Y421" s="723"/>
      <c r="Z421" s="723"/>
      <c r="AA421" s="726"/>
      <c r="AB421" s="726"/>
      <c r="AC421" s="170"/>
      <c r="AD421" s="586"/>
      <c r="AE421" s="586"/>
      <c r="AF421" s="170"/>
      <c r="AG421" s="170"/>
      <c r="AH421" s="170"/>
      <c r="AI421" s="170"/>
      <c r="AJ421" s="170"/>
      <c r="AK421" s="170"/>
      <c r="AL421" s="170"/>
      <c r="AM421" s="170"/>
      <c r="AN421" s="170"/>
      <c r="AO421" s="170"/>
      <c r="AP421" s="170"/>
      <c r="AQ421" s="170"/>
      <c r="AR421" s="170"/>
      <c r="AS421" s="170"/>
    </row>
    <row r="422" spans="1:45" ht="15" x14ac:dyDescent="0.25">
      <c r="A422" s="170"/>
      <c r="B422" s="719"/>
      <c r="C422" s="170"/>
      <c r="D422" s="170"/>
      <c r="E422" s="170"/>
      <c r="F422" s="170"/>
      <c r="G422" s="721"/>
      <c r="H422" s="170"/>
      <c r="I422" s="170"/>
      <c r="J422" s="170"/>
      <c r="K422" s="170"/>
      <c r="L422" s="170"/>
      <c r="M422" s="730"/>
      <c r="N422" s="730"/>
      <c r="O422" s="730"/>
      <c r="P422" s="731"/>
      <c r="Q422" s="731"/>
      <c r="R422" s="730"/>
      <c r="S422" s="730"/>
      <c r="T422" s="723"/>
      <c r="U422" s="724"/>
      <c r="V422" s="725"/>
      <c r="W422" s="725"/>
      <c r="X422" s="723"/>
      <c r="Y422" s="723"/>
      <c r="Z422" s="723"/>
      <c r="AA422" s="726"/>
      <c r="AB422" s="726"/>
      <c r="AC422" s="170"/>
      <c r="AD422" s="586"/>
      <c r="AE422" s="586"/>
      <c r="AF422" s="170"/>
      <c r="AG422" s="170"/>
      <c r="AH422" s="170"/>
      <c r="AI422" s="170"/>
      <c r="AJ422" s="170"/>
      <c r="AK422" s="170"/>
      <c r="AL422" s="170"/>
      <c r="AM422" s="170"/>
      <c r="AN422" s="170"/>
      <c r="AO422" s="170"/>
      <c r="AP422" s="170"/>
      <c r="AQ422" s="170"/>
      <c r="AR422" s="170"/>
      <c r="AS422" s="170"/>
    </row>
    <row r="423" spans="1:45" ht="15" x14ac:dyDescent="0.25">
      <c r="A423" s="170"/>
      <c r="B423" s="719"/>
      <c r="C423" s="170"/>
      <c r="D423" s="170"/>
      <c r="E423" s="170"/>
      <c r="F423" s="170"/>
      <c r="G423" s="721"/>
      <c r="H423" s="170"/>
      <c r="I423" s="170"/>
      <c r="J423" s="170"/>
      <c r="K423" s="170"/>
      <c r="L423" s="170"/>
      <c r="M423" s="730"/>
      <c r="N423" s="730"/>
      <c r="O423" s="730"/>
      <c r="P423" s="731"/>
      <c r="Q423" s="731"/>
      <c r="R423" s="730"/>
      <c r="S423" s="730"/>
      <c r="T423" s="723"/>
      <c r="U423" s="724"/>
      <c r="V423" s="725"/>
      <c r="W423" s="725"/>
      <c r="X423" s="723"/>
      <c r="Y423" s="723"/>
      <c r="Z423" s="723"/>
      <c r="AA423" s="726"/>
      <c r="AB423" s="726"/>
      <c r="AC423" s="170"/>
      <c r="AD423" s="586"/>
      <c r="AE423" s="586"/>
      <c r="AF423" s="170"/>
      <c r="AG423" s="170"/>
      <c r="AH423" s="170"/>
      <c r="AI423" s="170"/>
      <c r="AJ423" s="170"/>
      <c r="AK423" s="170"/>
      <c r="AL423" s="170"/>
      <c r="AM423" s="170"/>
      <c r="AN423" s="170"/>
      <c r="AO423" s="170"/>
      <c r="AP423" s="170"/>
      <c r="AQ423" s="170"/>
      <c r="AR423" s="170"/>
      <c r="AS423" s="170"/>
    </row>
    <row r="424" spans="1:45" ht="15" x14ac:dyDescent="0.25">
      <c r="A424" s="170"/>
      <c r="B424" s="719"/>
      <c r="C424" s="170"/>
      <c r="D424" s="170"/>
      <c r="E424" s="170"/>
      <c r="F424" s="170"/>
      <c r="G424" s="721"/>
      <c r="H424" s="170"/>
      <c r="I424" s="170"/>
      <c r="J424" s="170"/>
      <c r="K424" s="170"/>
      <c r="L424" s="170"/>
      <c r="M424" s="730"/>
      <c r="N424" s="730"/>
      <c r="O424" s="730"/>
      <c r="P424" s="731"/>
      <c r="Q424" s="731"/>
      <c r="R424" s="730"/>
      <c r="S424" s="730"/>
      <c r="T424" s="723"/>
      <c r="U424" s="724"/>
      <c r="V424" s="725"/>
      <c r="W424" s="725"/>
      <c r="X424" s="723"/>
      <c r="Y424" s="723"/>
      <c r="Z424" s="723"/>
      <c r="AA424" s="726"/>
      <c r="AB424" s="726"/>
      <c r="AC424" s="170"/>
      <c r="AD424" s="586"/>
      <c r="AE424" s="586"/>
      <c r="AF424" s="170"/>
      <c r="AG424" s="170"/>
      <c r="AH424" s="170"/>
      <c r="AI424" s="170"/>
      <c r="AJ424" s="170"/>
      <c r="AK424" s="170"/>
      <c r="AL424" s="170"/>
      <c r="AM424" s="170"/>
      <c r="AN424" s="170"/>
      <c r="AO424" s="170"/>
      <c r="AP424" s="170"/>
      <c r="AQ424" s="170"/>
      <c r="AR424" s="170"/>
      <c r="AS424" s="170"/>
    </row>
    <row r="425" spans="1:45" ht="15" x14ac:dyDescent="0.25">
      <c r="A425" s="170"/>
      <c r="B425" s="719"/>
      <c r="C425" s="170"/>
      <c r="D425" s="170"/>
      <c r="E425" s="170"/>
      <c r="F425" s="170"/>
      <c r="G425" s="721"/>
      <c r="H425" s="170"/>
      <c r="I425" s="170"/>
      <c r="J425" s="170"/>
      <c r="K425" s="170"/>
      <c r="L425" s="170"/>
      <c r="M425" s="730"/>
      <c r="N425" s="730"/>
      <c r="O425" s="730"/>
      <c r="P425" s="731"/>
      <c r="Q425" s="731"/>
      <c r="R425" s="730"/>
      <c r="S425" s="730"/>
      <c r="T425" s="723"/>
      <c r="U425" s="724"/>
      <c r="V425" s="725"/>
      <c r="W425" s="725"/>
      <c r="X425" s="723"/>
      <c r="Y425" s="723"/>
      <c r="Z425" s="723"/>
      <c r="AA425" s="726"/>
      <c r="AB425" s="726"/>
      <c r="AC425" s="170"/>
      <c r="AD425" s="586"/>
      <c r="AE425" s="586"/>
      <c r="AF425" s="170"/>
      <c r="AG425" s="170"/>
      <c r="AH425" s="170"/>
      <c r="AI425" s="170"/>
      <c r="AJ425" s="170"/>
      <c r="AK425" s="170"/>
      <c r="AL425" s="170"/>
      <c r="AM425" s="170"/>
      <c r="AN425" s="170"/>
      <c r="AO425" s="170"/>
      <c r="AP425" s="170"/>
      <c r="AQ425" s="170"/>
      <c r="AR425" s="170"/>
      <c r="AS425" s="170"/>
    </row>
    <row r="426" spans="1:45" ht="15" x14ac:dyDescent="0.25">
      <c r="A426" s="170"/>
      <c r="B426" s="719"/>
      <c r="C426" s="170"/>
      <c r="D426" s="170"/>
      <c r="E426" s="170"/>
      <c r="F426" s="170"/>
      <c r="G426" s="721"/>
      <c r="H426" s="170"/>
      <c r="I426" s="170"/>
      <c r="J426" s="170"/>
      <c r="K426" s="170"/>
      <c r="L426" s="170"/>
      <c r="M426" s="730"/>
      <c r="N426" s="730"/>
      <c r="O426" s="730"/>
      <c r="P426" s="731"/>
      <c r="Q426" s="731"/>
      <c r="R426" s="730"/>
      <c r="S426" s="730"/>
      <c r="T426" s="723"/>
      <c r="U426" s="724"/>
      <c r="V426" s="725"/>
      <c r="W426" s="725"/>
      <c r="X426" s="723"/>
      <c r="Y426" s="723"/>
      <c r="Z426" s="723"/>
      <c r="AA426" s="726"/>
      <c r="AB426" s="726"/>
      <c r="AC426" s="170"/>
      <c r="AD426" s="586"/>
      <c r="AE426" s="586"/>
      <c r="AF426" s="170"/>
      <c r="AG426" s="170"/>
      <c r="AH426" s="170"/>
      <c r="AI426" s="170"/>
      <c r="AJ426" s="170"/>
      <c r="AK426" s="170"/>
      <c r="AL426" s="170"/>
      <c r="AM426" s="170"/>
      <c r="AN426" s="170"/>
      <c r="AO426" s="170"/>
      <c r="AP426" s="170"/>
      <c r="AQ426" s="170"/>
      <c r="AR426" s="170"/>
      <c r="AS426" s="170"/>
    </row>
    <row r="427" spans="1:45" ht="15" x14ac:dyDescent="0.25">
      <c r="A427" s="170"/>
      <c r="B427" s="719"/>
      <c r="C427" s="170"/>
      <c r="D427" s="170"/>
      <c r="E427" s="170"/>
      <c r="F427" s="170"/>
      <c r="G427" s="721"/>
      <c r="H427" s="170"/>
      <c r="I427" s="170"/>
      <c r="J427" s="170"/>
      <c r="K427" s="170"/>
      <c r="L427" s="170"/>
      <c r="M427" s="730"/>
      <c r="N427" s="730"/>
      <c r="O427" s="730"/>
      <c r="P427" s="731"/>
      <c r="Q427" s="731"/>
      <c r="R427" s="730"/>
      <c r="S427" s="730"/>
      <c r="T427" s="723"/>
      <c r="U427" s="724"/>
      <c r="V427" s="725"/>
      <c r="W427" s="725"/>
      <c r="X427" s="723"/>
      <c r="Y427" s="723"/>
      <c r="Z427" s="723"/>
      <c r="AA427" s="726"/>
      <c r="AB427" s="726"/>
      <c r="AC427" s="170"/>
      <c r="AD427" s="586"/>
      <c r="AE427" s="586"/>
      <c r="AF427" s="170"/>
      <c r="AG427" s="170"/>
      <c r="AH427" s="170"/>
      <c r="AI427" s="170"/>
      <c r="AJ427" s="170"/>
      <c r="AK427" s="170"/>
      <c r="AL427" s="170"/>
      <c r="AM427" s="170"/>
      <c r="AN427" s="170"/>
      <c r="AO427" s="170"/>
      <c r="AP427" s="170"/>
      <c r="AQ427" s="170"/>
      <c r="AR427" s="170"/>
      <c r="AS427" s="170"/>
    </row>
    <row r="428" spans="1:45" ht="15" x14ac:dyDescent="0.25">
      <c r="A428" s="170"/>
      <c r="B428" s="719"/>
      <c r="C428" s="170"/>
      <c r="D428" s="170"/>
      <c r="E428" s="170"/>
      <c r="F428" s="170"/>
      <c r="G428" s="721"/>
      <c r="H428" s="170"/>
      <c r="I428" s="170"/>
      <c r="J428" s="170"/>
      <c r="K428" s="170"/>
      <c r="L428" s="170"/>
      <c r="M428" s="730"/>
      <c r="N428" s="730"/>
      <c r="O428" s="730"/>
      <c r="P428" s="731"/>
      <c r="Q428" s="731"/>
      <c r="R428" s="730"/>
      <c r="S428" s="730"/>
      <c r="T428" s="723"/>
      <c r="U428" s="724"/>
      <c r="V428" s="725"/>
      <c r="W428" s="725"/>
      <c r="X428" s="723"/>
      <c r="Y428" s="723"/>
      <c r="Z428" s="723"/>
      <c r="AA428" s="726"/>
      <c r="AB428" s="726"/>
      <c r="AC428" s="170"/>
      <c r="AD428" s="586"/>
      <c r="AE428" s="586"/>
      <c r="AF428" s="170"/>
      <c r="AG428" s="170"/>
      <c r="AH428" s="170"/>
      <c r="AI428" s="170"/>
      <c r="AJ428" s="170"/>
      <c r="AK428" s="170"/>
      <c r="AL428" s="170"/>
      <c r="AM428" s="170"/>
      <c r="AN428" s="170"/>
      <c r="AO428" s="170"/>
      <c r="AP428" s="170"/>
      <c r="AQ428" s="170"/>
      <c r="AR428" s="170"/>
      <c r="AS428" s="170"/>
    </row>
    <row r="429" spans="1:45" ht="15" x14ac:dyDescent="0.25">
      <c r="A429" s="170"/>
      <c r="B429" s="719"/>
      <c r="C429" s="170"/>
      <c r="D429" s="170"/>
      <c r="E429" s="170"/>
      <c r="F429" s="170"/>
      <c r="G429" s="721"/>
      <c r="H429" s="170"/>
      <c r="I429" s="170"/>
      <c r="J429" s="170"/>
      <c r="K429" s="170"/>
      <c r="L429" s="170"/>
      <c r="M429" s="730"/>
      <c r="N429" s="730"/>
      <c r="O429" s="730"/>
      <c r="P429" s="731"/>
      <c r="Q429" s="731"/>
      <c r="R429" s="730"/>
      <c r="S429" s="730"/>
      <c r="T429" s="723"/>
      <c r="U429" s="724"/>
      <c r="V429" s="725"/>
      <c r="W429" s="725"/>
      <c r="X429" s="723"/>
      <c r="Y429" s="723"/>
      <c r="Z429" s="723"/>
      <c r="AA429" s="726"/>
      <c r="AB429" s="726"/>
      <c r="AC429" s="170"/>
      <c r="AD429" s="586"/>
      <c r="AE429" s="586"/>
      <c r="AF429" s="170"/>
      <c r="AG429" s="170"/>
      <c r="AH429" s="170"/>
      <c r="AI429" s="170"/>
      <c r="AJ429" s="170"/>
      <c r="AK429" s="170"/>
      <c r="AL429" s="170"/>
      <c r="AM429" s="170"/>
      <c r="AN429" s="170"/>
      <c r="AO429" s="170"/>
      <c r="AP429" s="170"/>
      <c r="AQ429" s="170"/>
      <c r="AR429" s="170"/>
      <c r="AS429" s="170"/>
    </row>
    <row r="430" spans="1:45" ht="15" x14ac:dyDescent="0.25">
      <c r="A430" s="170"/>
      <c r="B430" s="719"/>
      <c r="C430" s="170"/>
      <c r="D430" s="170"/>
      <c r="E430" s="170"/>
      <c r="F430" s="170"/>
      <c r="G430" s="721"/>
      <c r="H430" s="170"/>
      <c r="I430" s="170"/>
      <c r="J430" s="170"/>
      <c r="K430" s="170"/>
      <c r="L430" s="170"/>
      <c r="M430" s="730"/>
      <c r="N430" s="730"/>
      <c r="O430" s="730"/>
      <c r="P430" s="731"/>
      <c r="Q430" s="731"/>
      <c r="R430" s="730"/>
      <c r="S430" s="730"/>
      <c r="T430" s="723"/>
      <c r="U430" s="724"/>
      <c r="V430" s="725"/>
      <c r="W430" s="725"/>
      <c r="X430" s="723"/>
      <c r="Y430" s="723"/>
      <c r="Z430" s="723"/>
      <c r="AA430" s="726"/>
      <c r="AB430" s="726"/>
      <c r="AC430" s="170"/>
      <c r="AD430" s="586"/>
      <c r="AE430" s="586"/>
      <c r="AF430" s="170"/>
      <c r="AG430" s="170"/>
      <c r="AH430" s="170"/>
      <c r="AI430" s="170"/>
      <c r="AJ430" s="170"/>
      <c r="AK430" s="170"/>
      <c r="AL430" s="170"/>
      <c r="AM430" s="170"/>
      <c r="AN430" s="170"/>
      <c r="AO430" s="170"/>
      <c r="AP430" s="170"/>
      <c r="AQ430" s="170"/>
      <c r="AR430" s="170"/>
      <c r="AS430" s="170"/>
    </row>
    <row r="431" spans="1:45" ht="15" x14ac:dyDescent="0.25">
      <c r="A431" s="170"/>
      <c r="B431" s="719"/>
      <c r="C431" s="170"/>
      <c r="D431" s="170"/>
      <c r="E431" s="170"/>
      <c r="F431" s="170"/>
      <c r="G431" s="721"/>
      <c r="H431" s="170"/>
      <c r="I431" s="170"/>
      <c r="J431" s="170"/>
      <c r="K431" s="170"/>
      <c r="L431" s="170"/>
      <c r="M431" s="730"/>
      <c r="N431" s="730"/>
      <c r="O431" s="730"/>
      <c r="P431" s="731"/>
      <c r="Q431" s="731"/>
      <c r="R431" s="730"/>
      <c r="S431" s="730"/>
      <c r="T431" s="723"/>
      <c r="U431" s="724"/>
      <c r="V431" s="725"/>
      <c r="W431" s="725"/>
      <c r="X431" s="723"/>
      <c r="Y431" s="723"/>
      <c r="Z431" s="723"/>
      <c r="AA431" s="726"/>
      <c r="AB431" s="726"/>
      <c r="AC431" s="170"/>
      <c r="AD431" s="586"/>
      <c r="AE431" s="586"/>
      <c r="AF431" s="170"/>
      <c r="AG431" s="170"/>
      <c r="AH431" s="170"/>
      <c r="AI431" s="170"/>
      <c r="AJ431" s="170"/>
      <c r="AK431" s="170"/>
      <c r="AL431" s="170"/>
      <c r="AM431" s="170"/>
      <c r="AN431" s="170"/>
      <c r="AO431" s="170"/>
      <c r="AP431" s="170"/>
      <c r="AQ431" s="170"/>
      <c r="AR431" s="170"/>
      <c r="AS431" s="170"/>
    </row>
    <row r="432" spans="1:45" ht="15" x14ac:dyDescent="0.25">
      <c r="A432" s="170"/>
      <c r="B432" s="719"/>
      <c r="C432" s="170"/>
      <c r="D432" s="170"/>
      <c r="E432" s="170"/>
      <c r="F432" s="170"/>
      <c r="G432" s="721"/>
      <c r="H432" s="170"/>
      <c r="I432" s="170"/>
      <c r="J432" s="170"/>
      <c r="K432" s="170"/>
      <c r="L432" s="170"/>
      <c r="M432" s="730"/>
      <c r="N432" s="730"/>
      <c r="O432" s="730"/>
      <c r="P432" s="731"/>
      <c r="Q432" s="731"/>
      <c r="R432" s="730"/>
      <c r="S432" s="730"/>
      <c r="T432" s="723"/>
      <c r="U432" s="724"/>
      <c r="V432" s="725"/>
      <c r="W432" s="725"/>
      <c r="X432" s="723"/>
      <c r="Y432" s="723"/>
      <c r="Z432" s="723"/>
      <c r="AA432" s="726"/>
      <c r="AB432" s="726"/>
      <c r="AC432" s="170"/>
      <c r="AD432" s="586"/>
      <c r="AE432" s="586"/>
      <c r="AF432" s="170"/>
      <c r="AG432" s="170"/>
      <c r="AH432" s="170"/>
      <c r="AI432" s="170"/>
      <c r="AJ432" s="170"/>
      <c r="AK432" s="170"/>
      <c r="AL432" s="170"/>
      <c r="AM432" s="170"/>
      <c r="AN432" s="170"/>
      <c r="AO432" s="170"/>
      <c r="AP432" s="170"/>
      <c r="AQ432" s="170"/>
      <c r="AR432" s="170"/>
      <c r="AS432" s="170"/>
    </row>
    <row r="433" spans="1:45" ht="15" x14ac:dyDescent="0.25">
      <c r="A433" s="170"/>
      <c r="B433" s="719"/>
      <c r="C433" s="170"/>
      <c r="D433" s="170"/>
      <c r="E433" s="170"/>
      <c r="F433" s="170"/>
      <c r="G433" s="721"/>
      <c r="H433" s="170"/>
      <c r="I433" s="170"/>
      <c r="J433" s="170"/>
      <c r="K433" s="170"/>
      <c r="L433" s="170"/>
      <c r="M433" s="730"/>
      <c r="N433" s="730"/>
      <c r="O433" s="730"/>
      <c r="P433" s="731"/>
      <c r="Q433" s="731"/>
      <c r="R433" s="730"/>
      <c r="S433" s="730"/>
      <c r="T433" s="723"/>
      <c r="U433" s="724"/>
      <c r="V433" s="725"/>
      <c r="W433" s="725"/>
      <c r="X433" s="723"/>
      <c r="Y433" s="723"/>
      <c r="Z433" s="723"/>
      <c r="AA433" s="726"/>
      <c r="AB433" s="726"/>
      <c r="AC433" s="170"/>
      <c r="AD433" s="586"/>
      <c r="AE433" s="586"/>
      <c r="AF433" s="170"/>
      <c r="AG433" s="170"/>
      <c r="AH433" s="170"/>
      <c r="AI433" s="170"/>
      <c r="AJ433" s="170"/>
      <c r="AK433" s="170"/>
      <c r="AL433" s="170"/>
      <c r="AM433" s="170"/>
      <c r="AN433" s="170"/>
      <c r="AO433" s="170"/>
      <c r="AP433" s="170"/>
      <c r="AQ433" s="170"/>
      <c r="AR433" s="170"/>
      <c r="AS433" s="170"/>
    </row>
    <row r="434" spans="1:45" ht="15" x14ac:dyDescent="0.25">
      <c r="A434" s="170"/>
      <c r="B434" s="719"/>
      <c r="C434" s="170"/>
      <c r="D434" s="170"/>
      <c r="E434" s="170"/>
      <c r="F434" s="170"/>
      <c r="G434" s="721"/>
      <c r="H434" s="170"/>
      <c r="I434" s="170"/>
      <c r="J434" s="170"/>
      <c r="K434" s="170"/>
      <c r="L434" s="170"/>
      <c r="M434" s="730"/>
      <c r="N434" s="730"/>
      <c r="O434" s="730"/>
      <c r="P434" s="731"/>
      <c r="Q434" s="731"/>
      <c r="R434" s="730"/>
      <c r="S434" s="730"/>
      <c r="T434" s="723"/>
      <c r="U434" s="724"/>
      <c r="V434" s="725"/>
      <c r="W434" s="725"/>
      <c r="X434" s="723"/>
      <c r="Y434" s="723"/>
      <c r="Z434" s="723"/>
      <c r="AA434" s="726"/>
      <c r="AB434" s="726"/>
      <c r="AC434" s="170"/>
      <c r="AD434" s="586"/>
      <c r="AE434" s="586"/>
      <c r="AF434" s="170"/>
      <c r="AG434" s="170"/>
      <c r="AH434" s="170"/>
      <c r="AI434" s="170"/>
      <c r="AJ434" s="170"/>
      <c r="AK434" s="170"/>
      <c r="AL434" s="170"/>
      <c r="AM434" s="170"/>
      <c r="AN434" s="170"/>
      <c r="AO434" s="170"/>
      <c r="AP434" s="170"/>
      <c r="AQ434" s="170"/>
      <c r="AR434" s="170"/>
      <c r="AS434" s="170"/>
    </row>
    <row r="435" spans="1:45" ht="15" x14ac:dyDescent="0.25">
      <c r="A435" s="170"/>
      <c r="B435" s="719"/>
      <c r="C435" s="170"/>
      <c r="D435" s="170"/>
      <c r="E435" s="170"/>
      <c r="F435" s="170"/>
      <c r="G435" s="721"/>
      <c r="H435" s="170"/>
      <c r="I435" s="170"/>
      <c r="J435" s="170"/>
      <c r="K435" s="170"/>
      <c r="L435" s="170"/>
      <c r="M435" s="730"/>
      <c r="N435" s="730"/>
      <c r="O435" s="730"/>
      <c r="P435" s="731"/>
      <c r="Q435" s="731"/>
      <c r="R435" s="730"/>
      <c r="S435" s="730"/>
      <c r="T435" s="723"/>
      <c r="U435" s="724"/>
      <c r="V435" s="725"/>
      <c r="W435" s="725"/>
      <c r="X435" s="723"/>
      <c r="Y435" s="723"/>
      <c r="Z435" s="723"/>
      <c r="AA435" s="726"/>
      <c r="AB435" s="726"/>
      <c r="AC435" s="170"/>
      <c r="AD435" s="586"/>
      <c r="AE435" s="586"/>
      <c r="AF435" s="170"/>
      <c r="AG435" s="170"/>
      <c r="AH435" s="170"/>
      <c r="AI435" s="170"/>
      <c r="AJ435" s="170"/>
      <c r="AK435" s="170"/>
      <c r="AL435" s="170"/>
      <c r="AM435" s="170"/>
      <c r="AN435" s="170"/>
      <c r="AO435" s="170"/>
      <c r="AP435" s="170"/>
      <c r="AQ435" s="170"/>
      <c r="AR435" s="170"/>
      <c r="AS435" s="170"/>
    </row>
    <row r="436" spans="1:45" ht="15" x14ac:dyDescent="0.25">
      <c r="A436" s="170"/>
      <c r="B436" s="719"/>
      <c r="C436" s="170"/>
      <c r="D436" s="170"/>
      <c r="E436" s="170"/>
      <c r="F436" s="170"/>
      <c r="G436" s="721"/>
      <c r="H436" s="170"/>
      <c r="I436" s="170"/>
      <c r="J436" s="170"/>
      <c r="K436" s="170"/>
      <c r="L436" s="170"/>
      <c r="M436" s="730"/>
      <c r="N436" s="730"/>
      <c r="O436" s="730"/>
      <c r="P436" s="731"/>
      <c r="Q436" s="731"/>
      <c r="R436" s="730"/>
      <c r="S436" s="730"/>
      <c r="T436" s="723"/>
      <c r="U436" s="724"/>
      <c r="V436" s="725"/>
      <c r="W436" s="725"/>
      <c r="X436" s="723"/>
      <c r="Y436" s="723"/>
      <c r="Z436" s="723"/>
      <c r="AA436" s="726"/>
      <c r="AB436" s="726"/>
      <c r="AC436" s="170"/>
      <c r="AD436" s="586"/>
      <c r="AE436" s="586"/>
      <c r="AF436" s="170"/>
      <c r="AG436" s="170"/>
      <c r="AH436" s="170"/>
      <c r="AI436" s="170"/>
      <c r="AJ436" s="170"/>
      <c r="AK436" s="170"/>
      <c r="AL436" s="170"/>
      <c r="AM436" s="170"/>
      <c r="AN436" s="170"/>
      <c r="AO436" s="170"/>
      <c r="AP436" s="170"/>
      <c r="AQ436" s="170"/>
      <c r="AR436" s="170"/>
      <c r="AS436" s="170"/>
    </row>
    <row r="437" spans="1:45" ht="15" x14ac:dyDescent="0.25">
      <c r="A437" s="170"/>
      <c r="B437" s="719"/>
      <c r="C437" s="170"/>
      <c r="D437" s="170"/>
      <c r="E437" s="170"/>
      <c r="F437" s="170"/>
      <c r="G437" s="721"/>
      <c r="H437" s="170"/>
      <c r="I437" s="170"/>
      <c r="J437" s="170"/>
      <c r="K437" s="170"/>
      <c r="L437" s="170"/>
      <c r="M437" s="730"/>
      <c r="N437" s="730"/>
      <c r="O437" s="730"/>
      <c r="P437" s="731"/>
      <c r="Q437" s="731"/>
      <c r="R437" s="730"/>
      <c r="S437" s="730"/>
      <c r="T437" s="723"/>
      <c r="U437" s="724"/>
      <c r="V437" s="725"/>
      <c r="W437" s="725"/>
      <c r="X437" s="723"/>
      <c r="Y437" s="723"/>
      <c r="Z437" s="723"/>
      <c r="AA437" s="726"/>
      <c r="AB437" s="726"/>
      <c r="AC437" s="170"/>
      <c r="AD437" s="586"/>
      <c r="AE437" s="586"/>
      <c r="AF437" s="170"/>
      <c r="AG437" s="170"/>
      <c r="AH437" s="170"/>
      <c r="AI437" s="170"/>
      <c r="AJ437" s="170"/>
      <c r="AK437" s="170"/>
      <c r="AL437" s="170"/>
      <c r="AM437" s="170"/>
      <c r="AN437" s="170"/>
      <c r="AO437" s="170"/>
      <c r="AP437" s="170"/>
      <c r="AQ437" s="170"/>
      <c r="AR437" s="170"/>
      <c r="AS437" s="170"/>
    </row>
    <row r="438" spans="1:45" ht="15" x14ac:dyDescent="0.25">
      <c r="A438" s="170"/>
      <c r="B438" s="719"/>
      <c r="C438" s="170"/>
      <c r="D438" s="170"/>
      <c r="E438" s="170"/>
      <c r="F438" s="170"/>
      <c r="G438" s="721"/>
      <c r="H438" s="170"/>
      <c r="I438" s="170"/>
      <c r="J438" s="170"/>
      <c r="K438" s="170"/>
      <c r="L438" s="170"/>
      <c r="M438" s="730"/>
      <c r="N438" s="730"/>
      <c r="O438" s="730"/>
      <c r="P438" s="731"/>
      <c r="Q438" s="731"/>
      <c r="R438" s="730"/>
      <c r="S438" s="730"/>
      <c r="T438" s="723"/>
      <c r="U438" s="724"/>
      <c r="V438" s="725"/>
      <c r="W438" s="725"/>
      <c r="X438" s="723"/>
      <c r="Y438" s="723"/>
      <c r="Z438" s="723"/>
      <c r="AA438" s="726"/>
      <c r="AB438" s="726"/>
      <c r="AC438" s="170"/>
      <c r="AD438" s="586"/>
      <c r="AE438" s="586"/>
      <c r="AF438" s="170"/>
      <c r="AG438" s="170"/>
      <c r="AH438" s="170"/>
      <c r="AI438" s="170"/>
      <c r="AJ438" s="170"/>
      <c r="AK438" s="170"/>
      <c r="AL438" s="170"/>
      <c r="AM438" s="170"/>
      <c r="AN438" s="170"/>
      <c r="AO438" s="170"/>
      <c r="AP438" s="170"/>
      <c r="AQ438" s="170"/>
      <c r="AR438" s="170"/>
      <c r="AS438" s="170"/>
    </row>
    <row r="439" spans="1:45" ht="15" x14ac:dyDescent="0.25">
      <c r="A439" s="170"/>
      <c r="B439" s="719"/>
      <c r="C439" s="170"/>
      <c r="D439" s="170"/>
      <c r="E439" s="170"/>
      <c r="F439" s="170"/>
      <c r="G439" s="721"/>
      <c r="H439" s="170"/>
      <c r="I439" s="170"/>
      <c r="J439" s="170"/>
      <c r="K439" s="170"/>
      <c r="L439" s="170"/>
      <c r="M439" s="730"/>
      <c r="N439" s="730"/>
      <c r="O439" s="730"/>
      <c r="P439" s="731"/>
      <c r="Q439" s="731"/>
      <c r="R439" s="730"/>
      <c r="S439" s="730"/>
      <c r="T439" s="723"/>
      <c r="U439" s="724"/>
      <c r="V439" s="725"/>
      <c r="W439" s="725"/>
      <c r="X439" s="723"/>
      <c r="Y439" s="723"/>
      <c r="Z439" s="723"/>
      <c r="AA439" s="726"/>
      <c r="AB439" s="726"/>
      <c r="AC439" s="170"/>
      <c r="AD439" s="586"/>
      <c r="AE439" s="586"/>
      <c r="AF439" s="170"/>
      <c r="AG439" s="170"/>
      <c r="AH439" s="170"/>
      <c r="AI439" s="170"/>
      <c r="AJ439" s="170"/>
      <c r="AK439" s="170"/>
      <c r="AL439" s="170"/>
      <c r="AM439" s="170"/>
      <c r="AN439" s="170"/>
      <c r="AO439" s="170"/>
      <c r="AP439" s="170"/>
      <c r="AQ439" s="170"/>
      <c r="AR439" s="170"/>
      <c r="AS439" s="170"/>
    </row>
    <row r="440" spans="1:45" ht="15" x14ac:dyDescent="0.25">
      <c r="A440" s="170"/>
      <c r="B440" s="719"/>
      <c r="C440" s="170"/>
      <c r="D440" s="170"/>
      <c r="E440" s="170"/>
      <c r="F440" s="170"/>
      <c r="G440" s="721"/>
      <c r="H440" s="170"/>
      <c r="I440" s="170"/>
      <c r="J440" s="170"/>
      <c r="K440" s="170"/>
      <c r="L440" s="170"/>
      <c r="M440" s="730"/>
      <c r="N440" s="730"/>
      <c r="O440" s="730"/>
      <c r="P440" s="731"/>
      <c r="Q440" s="731"/>
      <c r="R440" s="730"/>
      <c r="S440" s="730"/>
      <c r="T440" s="723"/>
      <c r="U440" s="724"/>
      <c r="V440" s="725"/>
      <c r="W440" s="725"/>
      <c r="X440" s="723"/>
      <c r="Y440" s="723"/>
      <c r="Z440" s="723"/>
      <c r="AA440" s="726"/>
      <c r="AB440" s="726"/>
      <c r="AC440" s="170"/>
      <c r="AD440" s="586"/>
      <c r="AE440" s="586"/>
      <c r="AF440" s="170"/>
      <c r="AG440" s="170"/>
      <c r="AH440" s="170"/>
      <c r="AI440" s="170"/>
      <c r="AJ440" s="170"/>
      <c r="AK440" s="170"/>
      <c r="AL440" s="170"/>
      <c r="AM440" s="170"/>
      <c r="AN440" s="170"/>
      <c r="AO440" s="170"/>
      <c r="AP440" s="170"/>
      <c r="AQ440" s="170"/>
      <c r="AR440" s="170"/>
      <c r="AS440" s="170"/>
    </row>
    <row r="441" spans="1:45" ht="15" x14ac:dyDescent="0.25">
      <c r="A441" s="170"/>
      <c r="B441" s="719"/>
      <c r="C441" s="170"/>
      <c r="D441" s="170"/>
      <c r="E441" s="170"/>
      <c r="F441" s="170"/>
      <c r="G441" s="721"/>
      <c r="H441" s="170"/>
      <c r="I441" s="170"/>
      <c r="J441" s="170"/>
      <c r="K441" s="170"/>
      <c r="L441" s="170"/>
      <c r="M441" s="730"/>
      <c r="N441" s="730"/>
      <c r="O441" s="730"/>
      <c r="P441" s="731"/>
      <c r="Q441" s="731"/>
      <c r="R441" s="730"/>
      <c r="S441" s="730"/>
      <c r="T441" s="723"/>
      <c r="U441" s="724"/>
      <c r="V441" s="725"/>
      <c r="W441" s="725"/>
      <c r="X441" s="723"/>
      <c r="Y441" s="723"/>
      <c r="Z441" s="723"/>
      <c r="AA441" s="726"/>
      <c r="AB441" s="726"/>
      <c r="AC441" s="170"/>
      <c r="AD441" s="586"/>
      <c r="AE441" s="586"/>
      <c r="AF441" s="170"/>
      <c r="AG441" s="170"/>
      <c r="AH441" s="170"/>
      <c r="AI441" s="170"/>
      <c r="AJ441" s="170"/>
      <c r="AK441" s="170"/>
      <c r="AL441" s="170"/>
      <c r="AM441" s="170"/>
      <c r="AN441" s="170"/>
      <c r="AO441" s="170"/>
      <c r="AP441" s="170"/>
      <c r="AQ441" s="170"/>
      <c r="AR441" s="170"/>
      <c r="AS441" s="170"/>
    </row>
    <row r="442" spans="1:45" ht="15" x14ac:dyDescent="0.25">
      <c r="A442" s="170"/>
      <c r="B442" s="719"/>
      <c r="C442" s="170"/>
      <c r="D442" s="170"/>
      <c r="E442" s="170"/>
      <c r="F442" s="170"/>
      <c r="G442" s="721"/>
      <c r="H442" s="170"/>
      <c r="I442" s="170"/>
      <c r="J442" s="170"/>
      <c r="K442" s="170"/>
      <c r="L442" s="170"/>
      <c r="M442" s="730"/>
      <c r="N442" s="730"/>
      <c r="O442" s="730"/>
      <c r="P442" s="731"/>
      <c r="Q442" s="731"/>
      <c r="R442" s="730"/>
      <c r="S442" s="730"/>
      <c r="T442" s="723"/>
      <c r="U442" s="724"/>
      <c r="V442" s="725"/>
      <c r="W442" s="725"/>
      <c r="X442" s="723"/>
      <c r="Y442" s="723"/>
      <c r="Z442" s="723"/>
      <c r="AA442" s="726"/>
      <c r="AB442" s="726"/>
      <c r="AC442" s="170"/>
      <c r="AD442" s="586"/>
      <c r="AE442" s="586"/>
      <c r="AF442" s="170"/>
      <c r="AG442" s="170"/>
      <c r="AH442" s="170"/>
      <c r="AI442" s="170"/>
      <c r="AJ442" s="170"/>
      <c r="AK442" s="170"/>
      <c r="AL442" s="170"/>
      <c r="AM442" s="170"/>
      <c r="AN442" s="170"/>
      <c r="AO442" s="170"/>
      <c r="AP442" s="170"/>
      <c r="AQ442" s="170"/>
      <c r="AR442" s="170"/>
      <c r="AS442" s="170"/>
    </row>
    <row r="443" spans="1:45" ht="15" x14ac:dyDescent="0.25">
      <c r="A443" s="170"/>
      <c r="B443" s="719"/>
      <c r="C443" s="170"/>
      <c r="D443" s="170"/>
      <c r="E443" s="170"/>
      <c r="F443" s="170"/>
      <c r="G443" s="721"/>
      <c r="H443" s="170"/>
      <c r="I443" s="170"/>
      <c r="J443" s="170"/>
      <c r="K443" s="170"/>
      <c r="L443" s="170"/>
      <c r="M443" s="730"/>
      <c r="N443" s="730"/>
      <c r="O443" s="730"/>
      <c r="P443" s="731"/>
      <c r="Q443" s="731"/>
      <c r="R443" s="730"/>
      <c r="S443" s="730"/>
      <c r="T443" s="723"/>
      <c r="U443" s="724"/>
      <c r="V443" s="725"/>
      <c r="W443" s="725"/>
      <c r="X443" s="723"/>
      <c r="Y443" s="723"/>
      <c r="Z443" s="723"/>
      <c r="AA443" s="726"/>
      <c r="AB443" s="726"/>
      <c r="AC443" s="170"/>
      <c r="AD443" s="586"/>
      <c r="AE443" s="586"/>
      <c r="AF443" s="170"/>
      <c r="AG443" s="170"/>
      <c r="AH443" s="170"/>
      <c r="AI443" s="170"/>
      <c r="AJ443" s="170"/>
      <c r="AK443" s="170"/>
      <c r="AL443" s="170"/>
      <c r="AM443" s="170"/>
      <c r="AN443" s="170"/>
      <c r="AO443" s="170"/>
      <c r="AP443" s="170"/>
      <c r="AQ443" s="170"/>
      <c r="AR443" s="170"/>
      <c r="AS443" s="170"/>
    </row>
    <row r="444" spans="1:45" ht="15" x14ac:dyDescent="0.25">
      <c r="A444" s="170"/>
      <c r="B444" s="719"/>
      <c r="C444" s="170"/>
      <c r="D444" s="170"/>
      <c r="E444" s="170"/>
      <c r="F444" s="170"/>
      <c r="G444" s="721"/>
      <c r="H444" s="170"/>
      <c r="I444" s="170"/>
      <c r="J444" s="170"/>
      <c r="K444" s="170"/>
      <c r="L444" s="170"/>
      <c r="M444" s="730"/>
      <c r="N444" s="730"/>
      <c r="O444" s="730"/>
      <c r="P444" s="731"/>
      <c r="Q444" s="731"/>
      <c r="R444" s="730"/>
      <c r="S444" s="730"/>
      <c r="T444" s="723"/>
      <c r="U444" s="724"/>
      <c r="V444" s="725"/>
      <c r="W444" s="725"/>
      <c r="X444" s="723"/>
      <c r="Y444" s="723"/>
      <c r="Z444" s="723"/>
      <c r="AA444" s="726"/>
      <c r="AB444" s="726"/>
      <c r="AC444" s="170"/>
      <c r="AD444" s="586"/>
      <c r="AE444" s="586"/>
      <c r="AF444" s="170"/>
      <c r="AG444" s="170"/>
      <c r="AH444" s="170"/>
      <c r="AI444" s="170"/>
      <c r="AJ444" s="170"/>
      <c r="AK444" s="170"/>
      <c r="AL444" s="170"/>
      <c r="AM444" s="170"/>
      <c r="AN444" s="170"/>
      <c r="AO444" s="170"/>
      <c r="AP444" s="170"/>
      <c r="AQ444" s="170"/>
      <c r="AR444" s="170"/>
      <c r="AS444" s="170"/>
    </row>
    <row r="445" spans="1:45" ht="15" x14ac:dyDescent="0.25">
      <c r="A445" s="170"/>
      <c r="B445" s="719"/>
      <c r="C445" s="170"/>
      <c r="D445" s="170"/>
      <c r="E445" s="170"/>
      <c r="F445" s="170"/>
      <c r="G445" s="721"/>
      <c r="H445" s="170"/>
      <c r="I445" s="170"/>
      <c r="J445" s="170"/>
      <c r="K445" s="170"/>
      <c r="L445" s="170"/>
      <c r="M445" s="730"/>
      <c r="N445" s="730"/>
      <c r="O445" s="730"/>
      <c r="P445" s="731"/>
      <c r="Q445" s="731"/>
      <c r="R445" s="730"/>
      <c r="S445" s="730"/>
      <c r="T445" s="723"/>
      <c r="U445" s="724"/>
      <c r="V445" s="725"/>
      <c r="W445" s="725"/>
      <c r="X445" s="723"/>
      <c r="Y445" s="723"/>
      <c r="Z445" s="723"/>
      <c r="AA445" s="726"/>
      <c r="AB445" s="726"/>
      <c r="AC445" s="170"/>
      <c r="AD445" s="586"/>
      <c r="AE445" s="586"/>
      <c r="AF445" s="170"/>
      <c r="AG445" s="170"/>
      <c r="AH445" s="170"/>
      <c r="AI445" s="170"/>
      <c r="AJ445" s="170"/>
      <c r="AK445" s="170"/>
      <c r="AL445" s="170"/>
      <c r="AM445" s="170"/>
      <c r="AN445" s="170"/>
      <c r="AO445" s="170"/>
      <c r="AP445" s="170"/>
      <c r="AQ445" s="170"/>
      <c r="AR445" s="170"/>
      <c r="AS445" s="170"/>
    </row>
    <row r="446" spans="1:45" ht="15" x14ac:dyDescent="0.25">
      <c r="A446" s="170"/>
      <c r="B446" s="719"/>
      <c r="C446" s="170"/>
      <c r="D446" s="170"/>
      <c r="E446" s="170"/>
      <c r="F446" s="170"/>
      <c r="G446" s="721"/>
      <c r="H446" s="170"/>
      <c r="I446" s="170"/>
      <c r="J446" s="170"/>
      <c r="K446" s="170"/>
      <c r="L446" s="170"/>
      <c r="M446" s="730"/>
      <c r="N446" s="730"/>
      <c r="O446" s="730"/>
      <c r="P446" s="731"/>
      <c r="Q446" s="731"/>
      <c r="R446" s="730"/>
      <c r="S446" s="730"/>
      <c r="T446" s="723"/>
      <c r="U446" s="724"/>
      <c r="V446" s="725"/>
      <c r="W446" s="725"/>
      <c r="X446" s="723"/>
      <c r="Y446" s="723"/>
      <c r="Z446" s="723"/>
      <c r="AA446" s="726"/>
      <c r="AB446" s="726"/>
      <c r="AC446" s="170"/>
      <c r="AD446" s="586"/>
      <c r="AE446" s="586"/>
      <c r="AF446" s="170"/>
      <c r="AG446" s="170"/>
      <c r="AH446" s="170"/>
      <c r="AI446" s="170"/>
      <c r="AJ446" s="170"/>
      <c r="AK446" s="170"/>
      <c r="AL446" s="170"/>
      <c r="AM446" s="170"/>
      <c r="AN446" s="170"/>
      <c r="AO446" s="170"/>
      <c r="AP446" s="170"/>
      <c r="AQ446" s="170"/>
      <c r="AR446" s="170"/>
      <c r="AS446" s="170"/>
    </row>
    <row r="447" spans="1:45" ht="15" x14ac:dyDescent="0.25">
      <c r="A447" s="170"/>
      <c r="B447" s="719"/>
      <c r="C447" s="170"/>
      <c r="D447" s="170"/>
      <c r="E447" s="170"/>
      <c r="F447" s="170"/>
      <c r="G447" s="721"/>
      <c r="H447" s="170"/>
      <c r="I447" s="170"/>
      <c r="J447" s="170"/>
      <c r="K447" s="170"/>
      <c r="L447" s="170"/>
      <c r="M447" s="730"/>
      <c r="N447" s="730"/>
      <c r="O447" s="730"/>
      <c r="P447" s="731"/>
      <c r="Q447" s="731"/>
      <c r="R447" s="730"/>
      <c r="S447" s="730"/>
      <c r="T447" s="723"/>
      <c r="U447" s="724"/>
      <c r="V447" s="725"/>
      <c r="W447" s="725"/>
      <c r="X447" s="723"/>
      <c r="Y447" s="723"/>
      <c r="Z447" s="723"/>
      <c r="AA447" s="726"/>
      <c r="AB447" s="726"/>
      <c r="AC447" s="170"/>
      <c r="AD447" s="586"/>
      <c r="AE447" s="586"/>
      <c r="AF447" s="170"/>
      <c r="AG447" s="170"/>
      <c r="AH447" s="170"/>
      <c r="AI447" s="170"/>
      <c r="AJ447" s="170"/>
      <c r="AK447" s="170"/>
      <c r="AL447" s="170"/>
      <c r="AM447" s="170"/>
      <c r="AN447" s="170"/>
      <c r="AO447" s="170"/>
      <c r="AP447" s="170"/>
      <c r="AQ447" s="170"/>
      <c r="AR447" s="170"/>
      <c r="AS447" s="170"/>
    </row>
    <row r="448" spans="1:45" ht="15" x14ac:dyDescent="0.25">
      <c r="A448" s="170"/>
      <c r="B448" s="719"/>
      <c r="C448" s="170"/>
      <c r="D448" s="170"/>
      <c r="E448" s="170"/>
      <c r="F448" s="170"/>
      <c r="G448" s="721"/>
      <c r="H448" s="170"/>
      <c r="I448" s="170"/>
      <c r="J448" s="170"/>
      <c r="K448" s="170"/>
      <c r="L448" s="170"/>
      <c r="M448" s="730"/>
      <c r="N448" s="730"/>
      <c r="O448" s="730"/>
      <c r="P448" s="731"/>
      <c r="Q448" s="731"/>
      <c r="R448" s="730"/>
      <c r="S448" s="730"/>
      <c r="T448" s="723"/>
      <c r="U448" s="724"/>
      <c r="V448" s="725"/>
      <c r="W448" s="725"/>
      <c r="X448" s="723"/>
      <c r="Y448" s="723"/>
      <c r="Z448" s="723"/>
      <c r="AA448" s="726"/>
      <c r="AB448" s="726"/>
      <c r="AC448" s="170"/>
      <c r="AD448" s="586"/>
      <c r="AE448" s="586"/>
      <c r="AF448" s="170"/>
      <c r="AG448" s="170"/>
      <c r="AH448" s="170"/>
      <c r="AI448" s="170"/>
      <c r="AJ448" s="170"/>
      <c r="AK448" s="170"/>
      <c r="AL448" s="170"/>
      <c r="AM448" s="170"/>
      <c r="AN448" s="170"/>
      <c r="AO448" s="170"/>
      <c r="AP448" s="170"/>
      <c r="AQ448" s="170"/>
      <c r="AR448" s="170"/>
      <c r="AS448" s="170"/>
    </row>
    <row r="449" spans="1:45" ht="15" x14ac:dyDescent="0.25">
      <c r="A449" s="170"/>
      <c r="B449" s="719"/>
      <c r="C449" s="170"/>
      <c r="D449" s="170"/>
      <c r="E449" s="170"/>
      <c r="F449" s="170"/>
      <c r="G449" s="721"/>
      <c r="H449" s="170"/>
      <c r="I449" s="170"/>
      <c r="J449" s="170"/>
      <c r="K449" s="170"/>
      <c r="L449" s="170"/>
      <c r="M449" s="730"/>
      <c r="N449" s="730"/>
      <c r="O449" s="730"/>
      <c r="P449" s="731"/>
      <c r="Q449" s="731"/>
      <c r="R449" s="730"/>
      <c r="S449" s="730"/>
      <c r="T449" s="723"/>
      <c r="U449" s="724"/>
      <c r="V449" s="725"/>
      <c r="W449" s="725"/>
      <c r="X449" s="723"/>
      <c r="Y449" s="723"/>
      <c r="Z449" s="723"/>
      <c r="AA449" s="726"/>
      <c r="AB449" s="726"/>
      <c r="AC449" s="170"/>
      <c r="AD449" s="586"/>
      <c r="AE449" s="586"/>
      <c r="AF449" s="170"/>
      <c r="AG449" s="170"/>
      <c r="AH449" s="170"/>
      <c r="AI449" s="170"/>
      <c r="AJ449" s="170"/>
      <c r="AK449" s="170"/>
      <c r="AL449" s="170"/>
      <c r="AM449" s="170"/>
      <c r="AN449" s="170"/>
      <c r="AO449" s="170"/>
      <c r="AP449" s="170"/>
      <c r="AQ449" s="170"/>
      <c r="AR449" s="170"/>
      <c r="AS449" s="170"/>
    </row>
    <row r="450" spans="1:45" ht="15" x14ac:dyDescent="0.25">
      <c r="A450" s="170"/>
      <c r="B450" s="719"/>
      <c r="C450" s="170"/>
      <c r="D450" s="170"/>
      <c r="E450" s="170"/>
      <c r="F450" s="170"/>
      <c r="G450" s="721"/>
      <c r="H450" s="170"/>
      <c r="I450" s="170"/>
      <c r="J450" s="170"/>
      <c r="K450" s="170"/>
      <c r="L450" s="170"/>
      <c r="M450" s="730"/>
      <c r="N450" s="730"/>
      <c r="O450" s="730"/>
      <c r="P450" s="731"/>
      <c r="Q450" s="731"/>
      <c r="R450" s="730"/>
      <c r="S450" s="730"/>
      <c r="T450" s="723"/>
      <c r="U450" s="724"/>
      <c r="V450" s="725"/>
      <c r="W450" s="725"/>
      <c r="X450" s="723"/>
      <c r="Y450" s="723"/>
      <c r="Z450" s="723"/>
      <c r="AA450" s="726"/>
      <c r="AB450" s="726"/>
      <c r="AC450" s="170"/>
      <c r="AD450" s="586"/>
      <c r="AE450" s="586"/>
      <c r="AF450" s="170"/>
      <c r="AG450" s="170"/>
      <c r="AH450" s="170"/>
      <c r="AI450" s="170"/>
      <c r="AJ450" s="170"/>
      <c r="AK450" s="170"/>
      <c r="AL450" s="170"/>
      <c r="AM450" s="170"/>
      <c r="AN450" s="170"/>
      <c r="AO450" s="170"/>
      <c r="AP450" s="170"/>
      <c r="AQ450" s="170"/>
      <c r="AR450" s="170"/>
      <c r="AS450" s="170"/>
    </row>
    <row r="451" spans="1:45" ht="15" x14ac:dyDescent="0.25">
      <c r="A451" s="170"/>
      <c r="B451" s="719"/>
      <c r="C451" s="170"/>
      <c r="D451" s="170"/>
      <c r="E451" s="170"/>
      <c r="F451" s="170"/>
      <c r="G451" s="721"/>
      <c r="H451" s="170"/>
      <c r="I451" s="170"/>
      <c r="J451" s="170"/>
      <c r="K451" s="170"/>
      <c r="L451" s="170"/>
      <c r="M451" s="730"/>
      <c r="N451" s="730"/>
      <c r="O451" s="730"/>
      <c r="P451" s="731"/>
      <c r="Q451" s="731"/>
      <c r="R451" s="730"/>
      <c r="S451" s="730"/>
      <c r="T451" s="723"/>
      <c r="U451" s="724"/>
      <c r="V451" s="725"/>
      <c r="W451" s="725"/>
      <c r="X451" s="723"/>
      <c r="Y451" s="723"/>
      <c r="Z451" s="723"/>
      <c r="AA451" s="726"/>
      <c r="AB451" s="726"/>
      <c r="AC451" s="170"/>
      <c r="AD451" s="586"/>
      <c r="AE451" s="586"/>
      <c r="AF451" s="170"/>
      <c r="AG451" s="170"/>
      <c r="AH451" s="170"/>
      <c r="AI451" s="170"/>
      <c r="AJ451" s="170"/>
      <c r="AK451" s="170"/>
      <c r="AL451" s="170"/>
      <c r="AM451" s="170"/>
      <c r="AN451" s="170"/>
      <c r="AO451" s="170"/>
      <c r="AP451" s="170"/>
      <c r="AQ451" s="170"/>
      <c r="AR451" s="170"/>
      <c r="AS451" s="170"/>
    </row>
    <row r="452" spans="1:45" ht="15" x14ac:dyDescent="0.25">
      <c r="A452" s="170"/>
      <c r="B452" s="719"/>
      <c r="C452" s="170"/>
      <c r="D452" s="170"/>
      <c r="E452" s="170"/>
      <c r="F452" s="170"/>
      <c r="G452" s="721"/>
      <c r="H452" s="170"/>
      <c r="I452" s="170"/>
      <c r="J452" s="170"/>
      <c r="K452" s="170"/>
      <c r="L452" s="170"/>
      <c r="M452" s="730"/>
      <c r="N452" s="730"/>
      <c r="O452" s="730"/>
      <c r="P452" s="731"/>
      <c r="Q452" s="731"/>
      <c r="R452" s="730"/>
      <c r="S452" s="730"/>
      <c r="T452" s="723"/>
      <c r="U452" s="724"/>
      <c r="V452" s="725"/>
      <c r="W452" s="725"/>
      <c r="X452" s="723"/>
      <c r="Y452" s="723"/>
      <c r="Z452" s="723"/>
      <c r="AA452" s="726"/>
      <c r="AB452" s="726"/>
      <c r="AC452" s="170"/>
      <c r="AD452" s="586"/>
      <c r="AE452" s="586"/>
      <c r="AF452" s="170"/>
      <c r="AG452" s="170"/>
      <c r="AH452" s="170"/>
      <c r="AI452" s="170"/>
      <c r="AJ452" s="170"/>
      <c r="AK452" s="170"/>
      <c r="AL452" s="170"/>
      <c r="AM452" s="170"/>
      <c r="AN452" s="170"/>
      <c r="AO452" s="170"/>
      <c r="AP452" s="170"/>
      <c r="AQ452" s="170"/>
      <c r="AR452" s="170"/>
      <c r="AS452" s="170"/>
    </row>
    <row r="453" spans="1:45" ht="15" x14ac:dyDescent="0.25">
      <c r="A453" s="170"/>
      <c r="B453" s="719"/>
      <c r="C453" s="170"/>
      <c r="D453" s="170"/>
      <c r="E453" s="170"/>
      <c r="F453" s="170"/>
      <c r="G453" s="721"/>
      <c r="H453" s="170"/>
      <c r="I453" s="170"/>
      <c r="J453" s="170"/>
      <c r="K453" s="170"/>
      <c r="L453" s="170"/>
      <c r="M453" s="730"/>
      <c r="N453" s="730"/>
      <c r="O453" s="730"/>
      <c r="P453" s="731"/>
      <c r="Q453" s="731"/>
      <c r="R453" s="730"/>
      <c r="S453" s="730"/>
      <c r="T453" s="723"/>
      <c r="U453" s="724"/>
      <c r="V453" s="725"/>
      <c r="W453" s="725"/>
      <c r="X453" s="723"/>
      <c r="Y453" s="723"/>
      <c r="Z453" s="723"/>
      <c r="AA453" s="726"/>
      <c r="AB453" s="726"/>
      <c r="AC453" s="170"/>
      <c r="AD453" s="586"/>
      <c r="AE453" s="586"/>
      <c r="AF453" s="170"/>
      <c r="AG453" s="170"/>
      <c r="AH453" s="170"/>
      <c r="AI453" s="170"/>
      <c r="AJ453" s="170"/>
      <c r="AK453" s="170"/>
      <c r="AL453" s="170"/>
      <c r="AM453" s="170"/>
      <c r="AN453" s="170"/>
      <c r="AO453" s="170"/>
      <c r="AP453" s="170"/>
      <c r="AQ453" s="170"/>
      <c r="AR453" s="170"/>
      <c r="AS453" s="170"/>
    </row>
    <row r="454" spans="1:45" ht="15" x14ac:dyDescent="0.25">
      <c r="A454" s="170"/>
      <c r="B454" s="719"/>
      <c r="C454" s="170"/>
      <c r="D454" s="170"/>
      <c r="E454" s="170"/>
      <c r="F454" s="170"/>
      <c r="G454" s="721"/>
      <c r="H454" s="170"/>
      <c r="I454" s="170"/>
      <c r="J454" s="170"/>
      <c r="K454" s="170"/>
      <c r="L454" s="170"/>
      <c r="M454" s="730"/>
      <c r="N454" s="730"/>
      <c r="O454" s="730"/>
      <c r="P454" s="731"/>
      <c r="Q454" s="731"/>
      <c r="R454" s="730"/>
      <c r="S454" s="730"/>
      <c r="T454" s="723"/>
      <c r="U454" s="724"/>
      <c r="V454" s="725"/>
      <c r="W454" s="725"/>
      <c r="X454" s="723"/>
      <c r="Y454" s="723"/>
      <c r="Z454" s="723"/>
      <c r="AA454" s="726"/>
      <c r="AB454" s="726"/>
      <c r="AC454" s="170"/>
      <c r="AD454" s="586"/>
      <c r="AE454" s="586"/>
      <c r="AF454" s="170"/>
      <c r="AG454" s="170"/>
      <c r="AH454" s="170"/>
      <c r="AI454" s="170"/>
      <c r="AJ454" s="170"/>
      <c r="AK454" s="170"/>
      <c r="AL454" s="170"/>
      <c r="AM454" s="170"/>
      <c r="AN454" s="170"/>
      <c r="AO454" s="170"/>
      <c r="AP454" s="170"/>
      <c r="AQ454" s="170"/>
      <c r="AR454" s="170"/>
      <c r="AS454" s="170"/>
    </row>
    <row r="455" spans="1:45" ht="15" x14ac:dyDescent="0.25">
      <c r="A455" s="170"/>
      <c r="B455" s="719"/>
      <c r="C455" s="170"/>
      <c r="D455" s="170"/>
      <c r="E455" s="170"/>
      <c r="F455" s="170"/>
      <c r="G455" s="721"/>
      <c r="H455" s="170"/>
      <c r="I455" s="170"/>
      <c r="J455" s="170"/>
      <c r="K455" s="170"/>
      <c r="L455" s="170"/>
      <c r="M455" s="730"/>
      <c r="N455" s="730"/>
      <c r="O455" s="730"/>
      <c r="P455" s="731"/>
      <c r="Q455" s="731"/>
      <c r="R455" s="730"/>
      <c r="S455" s="730"/>
      <c r="T455" s="723"/>
      <c r="U455" s="724"/>
      <c r="V455" s="725"/>
      <c r="W455" s="725"/>
      <c r="X455" s="723"/>
      <c r="Y455" s="723"/>
      <c r="Z455" s="723"/>
      <c r="AA455" s="726"/>
      <c r="AB455" s="726"/>
      <c r="AC455" s="170"/>
      <c r="AD455" s="586"/>
      <c r="AE455" s="586"/>
      <c r="AF455" s="170"/>
      <c r="AG455" s="170"/>
      <c r="AH455" s="170"/>
      <c r="AI455" s="170"/>
      <c r="AJ455" s="170"/>
      <c r="AK455" s="170"/>
      <c r="AL455" s="170"/>
      <c r="AM455" s="170"/>
      <c r="AN455" s="170"/>
      <c r="AO455" s="170"/>
      <c r="AP455" s="170"/>
      <c r="AQ455" s="170"/>
      <c r="AR455" s="170"/>
      <c r="AS455" s="170"/>
    </row>
    <row r="456" spans="1:45" ht="15" x14ac:dyDescent="0.25">
      <c r="A456" s="170"/>
      <c r="B456" s="719"/>
      <c r="C456" s="170"/>
      <c r="D456" s="170"/>
      <c r="E456" s="170"/>
      <c r="F456" s="170"/>
      <c r="G456" s="721"/>
      <c r="H456" s="170"/>
      <c r="I456" s="170"/>
      <c r="J456" s="170"/>
      <c r="K456" s="170"/>
      <c r="L456" s="170"/>
      <c r="M456" s="730"/>
      <c r="N456" s="730"/>
      <c r="O456" s="730"/>
      <c r="P456" s="731"/>
      <c r="Q456" s="731"/>
      <c r="R456" s="730"/>
      <c r="S456" s="730"/>
      <c r="T456" s="723"/>
      <c r="U456" s="724"/>
      <c r="V456" s="725"/>
      <c r="W456" s="725"/>
      <c r="X456" s="723"/>
      <c r="Y456" s="723"/>
      <c r="Z456" s="723"/>
      <c r="AA456" s="726"/>
      <c r="AB456" s="726"/>
      <c r="AC456" s="170"/>
      <c r="AD456" s="586"/>
      <c r="AE456" s="586"/>
      <c r="AF456" s="170"/>
      <c r="AG456" s="170"/>
      <c r="AH456" s="170"/>
      <c r="AI456" s="170"/>
      <c r="AJ456" s="170"/>
      <c r="AK456" s="170"/>
      <c r="AL456" s="170"/>
      <c r="AM456" s="170"/>
      <c r="AN456" s="170"/>
      <c r="AO456" s="170"/>
      <c r="AP456" s="170"/>
      <c r="AQ456" s="170"/>
      <c r="AR456" s="170"/>
      <c r="AS456" s="170"/>
    </row>
    <row r="457" spans="1:45" ht="15" x14ac:dyDescent="0.25">
      <c r="A457" s="170"/>
      <c r="B457" s="719"/>
      <c r="C457" s="170"/>
      <c r="D457" s="170"/>
      <c r="E457" s="170"/>
      <c r="F457" s="170"/>
      <c r="G457" s="721"/>
      <c r="H457" s="170"/>
      <c r="I457" s="170"/>
      <c r="J457" s="170"/>
      <c r="K457" s="170"/>
      <c r="L457" s="170"/>
      <c r="M457" s="730"/>
      <c r="N457" s="730"/>
      <c r="O457" s="730"/>
      <c r="P457" s="731"/>
      <c r="Q457" s="731"/>
      <c r="R457" s="730"/>
      <c r="S457" s="730"/>
      <c r="T457" s="723"/>
      <c r="U457" s="724"/>
      <c r="V457" s="725"/>
      <c r="W457" s="725"/>
      <c r="X457" s="723"/>
      <c r="Y457" s="723"/>
      <c r="Z457" s="723"/>
      <c r="AA457" s="726"/>
      <c r="AB457" s="726"/>
      <c r="AC457" s="170"/>
      <c r="AD457" s="586"/>
      <c r="AE457" s="586"/>
      <c r="AF457" s="170"/>
      <c r="AG457" s="170"/>
      <c r="AH457" s="170"/>
      <c r="AI457" s="170"/>
      <c r="AJ457" s="170"/>
      <c r="AK457" s="170"/>
      <c r="AL457" s="170"/>
      <c r="AM457" s="170"/>
      <c r="AN457" s="170"/>
      <c r="AO457" s="170"/>
      <c r="AP457" s="170"/>
      <c r="AQ457" s="170"/>
      <c r="AR457" s="170"/>
      <c r="AS457" s="170"/>
    </row>
    <row r="458" spans="1:45" ht="15" x14ac:dyDescent="0.25">
      <c r="A458" s="170"/>
      <c r="B458" s="719"/>
      <c r="C458" s="170"/>
      <c r="D458" s="170"/>
      <c r="E458" s="170"/>
      <c r="F458" s="170"/>
      <c r="G458" s="721"/>
      <c r="H458" s="170"/>
      <c r="I458" s="170"/>
      <c r="J458" s="170"/>
      <c r="K458" s="170"/>
      <c r="L458" s="170"/>
      <c r="M458" s="730"/>
      <c r="N458" s="730"/>
      <c r="O458" s="730"/>
      <c r="P458" s="731"/>
      <c r="Q458" s="731"/>
      <c r="R458" s="730"/>
      <c r="S458" s="730"/>
      <c r="T458" s="723"/>
      <c r="U458" s="724"/>
      <c r="V458" s="725"/>
      <c r="W458" s="725"/>
      <c r="X458" s="723"/>
      <c r="Y458" s="723"/>
      <c r="Z458" s="723"/>
      <c r="AA458" s="726"/>
      <c r="AB458" s="726"/>
      <c r="AC458" s="170"/>
      <c r="AD458" s="586"/>
      <c r="AE458" s="586"/>
      <c r="AF458" s="170"/>
      <c r="AG458" s="170"/>
      <c r="AH458" s="170"/>
      <c r="AI458" s="170"/>
      <c r="AJ458" s="170"/>
      <c r="AK458" s="170"/>
      <c r="AL458" s="170"/>
      <c r="AM458" s="170"/>
      <c r="AN458" s="170"/>
      <c r="AO458" s="170"/>
      <c r="AP458" s="170"/>
      <c r="AQ458" s="170"/>
      <c r="AR458" s="170"/>
      <c r="AS458" s="170"/>
    </row>
    <row r="459" spans="1:45" ht="15" x14ac:dyDescent="0.25">
      <c r="A459" s="170"/>
      <c r="B459" s="719"/>
      <c r="C459" s="170"/>
      <c r="D459" s="170"/>
      <c r="E459" s="170"/>
      <c r="F459" s="170"/>
      <c r="G459" s="721"/>
      <c r="H459" s="170"/>
      <c r="I459" s="170"/>
      <c r="J459" s="170"/>
      <c r="K459" s="170"/>
      <c r="L459" s="170"/>
      <c r="M459" s="730"/>
      <c r="N459" s="730"/>
      <c r="O459" s="730"/>
      <c r="P459" s="731"/>
      <c r="Q459" s="731"/>
      <c r="R459" s="730"/>
      <c r="S459" s="730"/>
      <c r="T459" s="723"/>
      <c r="U459" s="724"/>
      <c r="V459" s="725"/>
      <c r="W459" s="725"/>
      <c r="X459" s="723"/>
      <c r="Y459" s="723"/>
      <c r="Z459" s="723"/>
      <c r="AA459" s="726"/>
      <c r="AB459" s="726"/>
      <c r="AC459" s="170"/>
      <c r="AD459" s="586"/>
      <c r="AE459" s="586"/>
      <c r="AF459" s="170"/>
      <c r="AG459" s="170"/>
      <c r="AH459" s="170"/>
      <c r="AI459" s="170"/>
      <c r="AJ459" s="170"/>
      <c r="AK459" s="170"/>
      <c r="AL459" s="170"/>
      <c r="AM459" s="170"/>
      <c r="AN459" s="170"/>
      <c r="AO459" s="170"/>
      <c r="AP459" s="170"/>
      <c r="AQ459" s="170"/>
      <c r="AR459" s="170"/>
      <c r="AS459" s="170"/>
    </row>
    <row r="460" spans="1:45" ht="15" x14ac:dyDescent="0.25">
      <c r="A460" s="170"/>
      <c r="B460" s="719"/>
      <c r="C460" s="170"/>
      <c r="D460" s="170"/>
      <c r="E460" s="170"/>
      <c r="F460" s="170"/>
      <c r="G460" s="721"/>
      <c r="H460" s="170"/>
      <c r="I460" s="170"/>
      <c r="J460" s="170"/>
      <c r="K460" s="170"/>
      <c r="L460" s="170"/>
      <c r="M460" s="730"/>
      <c r="N460" s="730"/>
      <c r="O460" s="730"/>
      <c r="P460" s="731"/>
      <c r="Q460" s="731"/>
      <c r="R460" s="730"/>
      <c r="S460" s="730"/>
      <c r="T460" s="723"/>
      <c r="U460" s="724"/>
      <c r="V460" s="725"/>
      <c r="W460" s="725"/>
      <c r="X460" s="723"/>
      <c r="Y460" s="723"/>
      <c r="Z460" s="723"/>
      <c r="AA460" s="726"/>
      <c r="AB460" s="726"/>
      <c r="AC460" s="170"/>
      <c r="AD460" s="586"/>
      <c r="AE460" s="586"/>
      <c r="AF460" s="170"/>
      <c r="AG460" s="170"/>
      <c r="AH460" s="170"/>
      <c r="AI460" s="170"/>
      <c r="AJ460" s="170"/>
      <c r="AK460" s="170"/>
      <c r="AL460" s="170"/>
      <c r="AM460" s="170"/>
      <c r="AN460" s="170"/>
      <c r="AO460" s="170"/>
      <c r="AP460" s="170"/>
      <c r="AQ460" s="170"/>
      <c r="AR460" s="170"/>
      <c r="AS460" s="170"/>
    </row>
    <row r="461" spans="1:45" ht="15" x14ac:dyDescent="0.25">
      <c r="A461" s="170"/>
      <c r="B461" s="719"/>
      <c r="C461" s="170"/>
      <c r="D461" s="170"/>
      <c r="E461" s="170"/>
      <c r="F461" s="170"/>
      <c r="G461" s="721"/>
      <c r="H461" s="170"/>
      <c r="I461" s="170"/>
      <c r="J461" s="170"/>
      <c r="K461" s="170"/>
      <c r="L461" s="170"/>
      <c r="M461" s="730"/>
      <c r="N461" s="730"/>
      <c r="O461" s="730"/>
      <c r="P461" s="731"/>
      <c r="Q461" s="731"/>
      <c r="R461" s="730"/>
      <c r="S461" s="730"/>
      <c r="T461" s="723"/>
      <c r="U461" s="724"/>
      <c r="V461" s="725"/>
      <c r="W461" s="725"/>
      <c r="X461" s="723"/>
      <c r="Y461" s="723"/>
      <c r="Z461" s="723"/>
      <c r="AA461" s="726"/>
      <c r="AB461" s="726"/>
      <c r="AC461" s="170"/>
      <c r="AD461" s="586"/>
      <c r="AE461" s="586"/>
      <c r="AF461" s="170"/>
      <c r="AG461" s="170"/>
      <c r="AH461" s="170"/>
      <c r="AI461" s="170"/>
      <c r="AJ461" s="170"/>
      <c r="AK461" s="170"/>
      <c r="AL461" s="170"/>
      <c r="AM461" s="170"/>
      <c r="AN461" s="170"/>
      <c r="AO461" s="170"/>
      <c r="AP461" s="170"/>
      <c r="AQ461" s="170"/>
      <c r="AR461" s="170"/>
      <c r="AS461" s="170"/>
    </row>
    <row r="462" spans="1:45" ht="15" x14ac:dyDescent="0.25">
      <c r="A462" s="170"/>
      <c r="B462" s="719"/>
      <c r="C462" s="170"/>
      <c r="D462" s="170"/>
      <c r="E462" s="170"/>
      <c r="F462" s="170"/>
      <c r="G462" s="721"/>
      <c r="H462" s="170"/>
      <c r="I462" s="170"/>
      <c r="J462" s="170"/>
      <c r="K462" s="170"/>
      <c r="L462" s="170"/>
      <c r="M462" s="730"/>
      <c r="N462" s="730"/>
      <c r="O462" s="730"/>
      <c r="P462" s="731"/>
      <c r="Q462" s="731"/>
      <c r="R462" s="730"/>
      <c r="S462" s="730"/>
      <c r="T462" s="723"/>
      <c r="U462" s="724"/>
      <c r="V462" s="725"/>
      <c r="W462" s="725"/>
      <c r="X462" s="723"/>
      <c r="Y462" s="723"/>
      <c r="Z462" s="723"/>
      <c r="AA462" s="726"/>
      <c r="AB462" s="726"/>
      <c r="AC462" s="170"/>
      <c r="AD462" s="586"/>
      <c r="AE462" s="586"/>
      <c r="AF462" s="170"/>
      <c r="AG462" s="170"/>
      <c r="AH462" s="170"/>
      <c r="AI462" s="170"/>
      <c r="AJ462" s="170"/>
      <c r="AK462" s="170"/>
      <c r="AL462" s="170"/>
      <c r="AM462" s="170"/>
      <c r="AN462" s="170"/>
      <c r="AO462" s="170"/>
      <c r="AP462" s="170"/>
      <c r="AQ462" s="170"/>
      <c r="AR462" s="170"/>
      <c r="AS462" s="170"/>
    </row>
    <row r="463" spans="1:45" ht="15" x14ac:dyDescent="0.25">
      <c r="A463" s="170"/>
      <c r="B463" s="719"/>
      <c r="C463" s="170"/>
      <c r="D463" s="170"/>
      <c r="E463" s="170"/>
      <c r="F463" s="170"/>
      <c r="G463" s="721"/>
      <c r="H463" s="170"/>
      <c r="I463" s="170"/>
      <c r="J463" s="170"/>
      <c r="K463" s="170"/>
      <c r="L463" s="170"/>
      <c r="M463" s="730"/>
      <c r="N463" s="730"/>
      <c r="O463" s="730"/>
      <c r="P463" s="731"/>
      <c r="Q463" s="731"/>
      <c r="R463" s="730"/>
      <c r="S463" s="730"/>
      <c r="T463" s="723"/>
      <c r="U463" s="724"/>
      <c r="V463" s="725"/>
      <c r="W463" s="725"/>
      <c r="X463" s="723"/>
      <c r="Y463" s="723"/>
      <c r="Z463" s="723"/>
      <c r="AA463" s="726"/>
      <c r="AB463" s="726"/>
      <c r="AC463" s="170"/>
      <c r="AD463" s="586"/>
      <c r="AE463" s="586"/>
      <c r="AF463" s="170"/>
      <c r="AG463" s="170"/>
      <c r="AH463" s="170"/>
      <c r="AI463" s="170"/>
      <c r="AJ463" s="170"/>
      <c r="AK463" s="170"/>
      <c r="AL463" s="170"/>
      <c r="AM463" s="170"/>
      <c r="AN463" s="170"/>
      <c r="AO463" s="170"/>
      <c r="AP463" s="170"/>
      <c r="AQ463" s="170"/>
      <c r="AR463" s="170"/>
      <c r="AS463" s="170"/>
    </row>
    <row r="464" spans="1:45" ht="15" x14ac:dyDescent="0.25">
      <c r="A464" s="170"/>
      <c r="B464" s="719"/>
      <c r="C464" s="170"/>
      <c r="D464" s="170"/>
      <c r="E464" s="170"/>
      <c r="F464" s="170"/>
      <c r="G464" s="721"/>
      <c r="H464" s="170"/>
      <c r="I464" s="170"/>
      <c r="J464" s="170"/>
      <c r="K464" s="170"/>
      <c r="L464" s="170"/>
      <c r="M464" s="730"/>
      <c r="N464" s="730"/>
      <c r="O464" s="730"/>
      <c r="P464" s="731"/>
      <c r="Q464" s="731"/>
      <c r="R464" s="730"/>
      <c r="S464" s="730"/>
      <c r="T464" s="723"/>
      <c r="U464" s="724"/>
      <c r="V464" s="725"/>
      <c r="W464" s="725"/>
      <c r="X464" s="723"/>
      <c r="Y464" s="723"/>
      <c r="Z464" s="723"/>
      <c r="AA464" s="726"/>
      <c r="AB464" s="726"/>
      <c r="AC464" s="170"/>
      <c r="AD464" s="586"/>
      <c r="AE464" s="586"/>
      <c r="AF464" s="170"/>
      <c r="AG464" s="170"/>
      <c r="AH464" s="170"/>
      <c r="AI464" s="170"/>
      <c r="AJ464" s="170"/>
      <c r="AK464" s="170"/>
      <c r="AL464" s="170"/>
      <c r="AM464" s="170"/>
      <c r="AN464" s="170"/>
      <c r="AO464" s="170"/>
      <c r="AP464" s="170"/>
      <c r="AQ464" s="170"/>
      <c r="AR464" s="170"/>
      <c r="AS464" s="170"/>
    </row>
    <row r="465" spans="1:45" ht="15" x14ac:dyDescent="0.25">
      <c r="A465" s="170"/>
      <c r="B465" s="719"/>
      <c r="C465" s="170"/>
      <c r="D465" s="170"/>
      <c r="E465" s="170"/>
      <c r="F465" s="170"/>
      <c r="G465" s="721"/>
      <c r="H465" s="170"/>
      <c r="I465" s="170"/>
      <c r="J465" s="170"/>
      <c r="K465" s="170"/>
      <c r="L465" s="170"/>
      <c r="M465" s="730"/>
      <c r="N465" s="730"/>
      <c r="O465" s="730"/>
      <c r="P465" s="731"/>
      <c r="Q465" s="731"/>
      <c r="R465" s="730"/>
      <c r="S465" s="730"/>
      <c r="T465" s="723"/>
      <c r="U465" s="724"/>
      <c r="V465" s="725"/>
      <c r="W465" s="725"/>
      <c r="X465" s="723"/>
      <c r="Y465" s="723"/>
      <c r="Z465" s="723"/>
      <c r="AA465" s="726"/>
      <c r="AB465" s="726"/>
      <c r="AC465" s="170"/>
      <c r="AD465" s="586"/>
      <c r="AE465" s="586"/>
      <c r="AF465" s="170"/>
      <c r="AG465" s="170"/>
      <c r="AH465" s="170"/>
      <c r="AI465" s="170"/>
      <c r="AJ465" s="170"/>
      <c r="AK465" s="170"/>
      <c r="AL465" s="170"/>
      <c r="AM465" s="170"/>
      <c r="AN465" s="170"/>
      <c r="AO465" s="170"/>
      <c r="AP465" s="170"/>
      <c r="AQ465" s="170"/>
      <c r="AR465" s="170"/>
      <c r="AS465" s="170"/>
    </row>
    <row r="466" spans="1:45" ht="15" x14ac:dyDescent="0.25">
      <c r="A466" s="170"/>
      <c r="B466" s="719"/>
      <c r="C466" s="170"/>
      <c r="D466" s="170"/>
      <c r="E466" s="170"/>
      <c r="F466" s="170"/>
      <c r="G466" s="721"/>
      <c r="H466" s="170"/>
      <c r="I466" s="170"/>
      <c r="J466" s="170"/>
      <c r="K466" s="170"/>
      <c r="L466" s="170"/>
      <c r="M466" s="730"/>
      <c r="N466" s="730"/>
      <c r="O466" s="730"/>
      <c r="P466" s="731"/>
      <c r="Q466" s="731"/>
      <c r="R466" s="730"/>
      <c r="S466" s="730"/>
      <c r="T466" s="723"/>
      <c r="U466" s="724"/>
      <c r="V466" s="725"/>
      <c r="W466" s="725"/>
      <c r="X466" s="723"/>
      <c r="Y466" s="723"/>
      <c r="Z466" s="723"/>
      <c r="AA466" s="726"/>
      <c r="AB466" s="726"/>
      <c r="AC466" s="170"/>
      <c r="AD466" s="586"/>
      <c r="AE466" s="586"/>
      <c r="AF466" s="170"/>
      <c r="AG466" s="170"/>
      <c r="AH466" s="170"/>
      <c r="AI466" s="170"/>
      <c r="AJ466" s="170"/>
      <c r="AK466" s="170"/>
      <c r="AL466" s="170"/>
      <c r="AM466" s="170"/>
      <c r="AN466" s="170"/>
      <c r="AO466" s="170"/>
      <c r="AP466" s="170"/>
      <c r="AQ466" s="170"/>
      <c r="AR466" s="170"/>
      <c r="AS466" s="170"/>
    </row>
    <row r="467" spans="1:45" ht="15" x14ac:dyDescent="0.25">
      <c r="A467" s="170"/>
      <c r="B467" s="719"/>
      <c r="C467" s="170"/>
      <c r="D467" s="170"/>
      <c r="E467" s="170"/>
      <c r="F467" s="170"/>
      <c r="G467" s="721"/>
      <c r="H467" s="170"/>
      <c r="I467" s="170"/>
      <c r="J467" s="170"/>
      <c r="K467" s="170"/>
      <c r="L467" s="170"/>
      <c r="M467" s="730"/>
      <c r="N467" s="730"/>
      <c r="O467" s="730"/>
      <c r="P467" s="731"/>
      <c r="Q467" s="731"/>
      <c r="R467" s="730"/>
      <c r="S467" s="730"/>
      <c r="T467" s="723"/>
      <c r="U467" s="724"/>
      <c r="V467" s="725"/>
      <c r="W467" s="725"/>
      <c r="X467" s="723"/>
      <c r="Y467" s="723"/>
      <c r="Z467" s="723"/>
      <c r="AA467" s="726"/>
      <c r="AB467" s="726"/>
      <c r="AC467" s="170"/>
      <c r="AD467" s="586"/>
      <c r="AE467" s="586"/>
      <c r="AF467" s="170"/>
      <c r="AG467" s="170"/>
      <c r="AH467" s="170"/>
      <c r="AI467" s="170"/>
      <c r="AJ467" s="170"/>
      <c r="AK467" s="170"/>
      <c r="AL467" s="170"/>
      <c r="AM467" s="170"/>
      <c r="AN467" s="170"/>
      <c r="AO467" s="170"/>
      <c r="AP467" s="170"/>
      <c r="AQ467" s="170"/>
      <c r="AR467" s="170"/>
      <c r="AS467" s="170"/>
    </row>
    <row r="468" spans="1:45" ht="15" x14ac:dyDescent="0.25">
      <c r="A468" s="170"/>
      <c r="B468" s="719"/>
      <c r="C468" s="170"/>
      <c r="D468" s="170"/>
      <c r="E468" s="170"/>
      <c r="F468" s="170"/>
      <c r="G468" s="721"/>
      <c r="H468" s="170"/>
      <c r="I468" s="170"/>
      <c r="J468" s="170"/>
      <c r="K468" s="170"/>
      <c r="L468" s="170"/>
      <c r="M468" s="730"/>
      <c r="N468" s="730"/>
      <c r="O468" s="730"/>
      <c r="P468" s="731"/>
      <c r="Q468" s="731"/>
      <c r="R468" s="730"/>
      <c r="S468" s="730"/>
      <c r="T468" s="723"/>
      <c r="U468" s="724"/>
      <c r="V468" s="725"/>
      <c r="W468" s="725"/>
      <c r="X468" s="723"/>
      <c r="Y468" s="723"/>
      <c r="Z468" s="723"/>
      <c r="AA468" s="726"/>
      <c r="AB468" s="726"/>
      <c r="AC468" s="170"/>
      <c r="AD468" s="586"/>
      <c r="AE468" s="586"/>
      <c r="AF468" s="170"/>
      <c r="AG468" s="170"/>
      <c r="AH468" s="170"/>
      <c r="AI468" s="170"/>
      <c r="AJ468" s="170"/>
      <c r="AK468" s="170"/>
      <c r="AL468" s="170"/>
      <c r="AM468" s="170"/>
      <c r="AN468" s="170"/>
      <c r="AO468" s="170"/>
      <c r="AP468" s="170"/>
      <c r="AQ468" s="170"/>
      <c r="AR468" s="170"/>
      <c r="AS468" s="170"/>
    </row>
    <row r="469" spans="1:45" ht="15" x14ac:dyDescent="0.25">
      <c r="A469" s="170"/>
      <c r="B469" s="719"/>
      <c r="C469" s="170"/>
      <c r="D469" s="170"/>
      <c r="E469" s="170"/>
      <c r="F469" s="170"/>
      <c r="G469" s="721"/>
      <c r="H469" s="170"/>
      <c r="I469" s="170"/>
      <c r="J469" s="170"/>
      <c r="K469" s="170"/>
      <c r="L469" s="170"/>
      <c r="M469" s="730"/>
      <c r="N469" s="730"/>
      <c r="O469" s="730"/>
      <c r="P469" s="731"/>
      <c r="Q469" s="731"/>
      <c r="R469" s="730"/>
      <c r="S469" s="730"/>
      <c r="T469" s="723"/>
      <c r="U469" s="724"/>
      <c r="V469" s="725"/>
      <c r="W469" s="725"/>
      <c r="X469" s="723"/>
      <c r="Y469" s="723"/>
      <c r="Z469" s="723"/>
      <c r="AA469" s="726"/>
      <c r="AB469" s="726"/>
      <c r="AC469" s="170"/>
      <c r="AD469" s="586"/>
      <c r="AE469" s="586"/>
      <c r="AF469" s="170"/>
      <c r="AG469" s="170"/>
      <c r="AH469" s="170"/>
      <c r="AI469" s="170"/>
      <c r="AJ469" s="170"/>
      <c r="AK469" s="170"/>
      <c r="AL469" s="170"/>
      <c r="AM469" s="170"/>
      <c r="AN469" s="170"/>
      <c r="AO469" s="170"/>
      <c r="AP469" s="170"/>
      <c r="AQ469" s="170"/>
      <c r="AR469" s="170"/>
      <c r="AS469" s="170"/>
    </row>
    <row r="470" spans="1:45" ht="15" x14ac:dyDescent="0.25">
      <c r="A470" s="170"/>
      <c r="B470" s="719"/>
      <c r="C470" s="170"/>
      <c r="D470" s="170"/>
      <c r="E470" s="170"/>
      <c r="F470" s="170"/>
      <c r="G470" s="721"/>
      <c r="H470" s="170"/>
      <c r="I470" s="170"/>
      <c r="J470" s="170"/>
      <c r="K470" s="170"/>
      <c r="L470" s="170"/>
      <c r="M470" s="730"/>
      <c r="N470" s="730"/>
      <c r="O470" s="730"/>
      <c r="P470" s="731"/>
      <c r="Q470" s="731"/>
      <c r="R470" s="730"/>
      <c r="S470" s="730"/>
      <c r="T470" s="723"/>
      <c r="U470" s="724"/>
      <c r="V470" s="725"/>
      <c r="W470" s="725"/>
      <c r="X470" s="723"/>
      <c r="Y470" s="723"/>
      <c r="Z470" s="723"/>
      <c r="AA470" s="726"/>
      <c r="AB470" s="726"/>
      <c r="AC470" s="170"/>
      <c r="AD470" s="586"/>
      <c r="AE470" s="586"/>
      <c r="AF470" s="170"/>
      <c r="AG470" s="170"/>
      <c r="AH470" s="170"/>
      <c r="AI470" s="170"/>
      <c r="AJ470" s="170"/>
      <c r="AK470" s="170"/>
      <c r="AL470" s="170"/>
      <c r="AM470" s="170"/>
      <c r="AN470" s="170"/>
      <c r="AO470" s="170"/>
      <c r="AP470" s="170"/>
      <c r="AQ470" s="170"/>
      <c r="AR470" s="170"/>
      <c r="AS470" s="170"/>
    </row>
    <row r="471" spans="1:45" ht="15" x14ac:dyDescent="0.25">
      <c r="A471" s="170"/>
      <c r="B471" s="719"/>
      <c r="C471" s="170"/>
      <c r="D471" s="170"/>
      <c r="E471" s="170"/>
      <c r="F471" s="170"/>
      <c r="G471" s="721"/>
      <c r="H471" s="170"/>
      <c r="I471" s="170"/>
      <c r="J471" s="170"/>
      <c r="K471" s="170"/>
      <c r="L471" s="170"/>
      <c r="M471" s="730"/>
      <c r="N471" s="730"/>
      <c r="O471" s="730"/>
      <c r="P471" s="731"/>
      <c r="Q471" s="731"/>
      <c r="R471" s="730"/>
      <c r="S471" s="730"/>
      <c r="T471" s="723"/>
      <c r="U471" s="724"/>
      <c r="V471" s="725"/>
      <c r="W471" s="725"/>
      <c r="X471" s="723"/>
      <c r="Y471" s="723"/>
      <c r="Z471" s="723"/>
      <c r="AA471" s="726"/>
      <c r="AB471" s="726"/>
      <c r="AC471" s="170"/>
      <c r="AD471" s="586"/>
      <c r="AE471" s="586"/>
      <c r="AF471" s="170"/>
      <c r="AG471" s="170"/>
      <c r="AH471" s="170"/>
      <c r="AI471" s="170"/>
      <c r="AJ471" s="170"/>
      <c r="AK471" s="170"/>
      <c r="AL471" s="170"/>
      <c r="AM471" s="170"/>
      <c r="AN471" s="170"/>
      <c r="AO471" s="170"/>
      <c r="AP471" s="170"/>
      <c r="AQ471" s="170"/>
      <c r="AR471" s="170"/>
      <c r="AS471" s="170"/>
    </row>
    <row r="472" spans="1:45" ht="15" x14ac:dyDescent="0.25">
      <c r="A472" s="170"/>
      <c r="B472" s="719"/>
      <c r="C472" s="170"/>
      <c r="D472" s="170"/>
      <c r="E472" s="170"/>
      <c r="F472" s="170"/>
      <c r="G472" s="721"/>
      <c r="H472" s="170"/>
      <c r="I472" s="170"/>
      <c r="J472" s="170"/>
      <c r="K472" s="170"/>
      <c r="L472" s="170"/>
      <c r="M472" s="730"/>
      <c r="N472" s="730"/>
      <c r="O472" s="730"/>
      <c r="P472" s="731"/>
      <c r="Q472" s="731"/>
      <c r="R472" s="730"/>
      <c r="S472" s="730"/>
      <c r="T472" s="723"/>
      <c r="U472" s="724"/>
      <c r="V472" s="725"/>
      <c r="W472" s="725"/>
      <c r="X472" s="723"/>
      <c r="Y472" s="723"/>
      <c r="Z472" s="723"/>
      <c r="AA472" s="726"/>
      <c r="AB472" s="726"/>
      <c r="AC472" s="170"/>
      <c r="AD472" s="586"/>
      <c r="AE472" s="586"/>
      <c r="AF472" s="170"/>
      <c r="AG472" s="170"/>
      <c r="AH472" s="170"/>
      <c r="AI472" s="170"/>
      <c r="AJ472" s="170"/>
      <c r="AK472" s="170"/>
      <c r="AL472" s="170"/>
      <c r="AM472" s="170"/>
      <c r="AN472" s="170"/>
      <c r="AO472" s="170"/>
      <c r="AP472" s="170"/>
      <c r="AQ472" s="170"/>
      <c r="AR472" s="170"/>
      <c r="AS472" s="170"/>
    </row>
    <row r="473" spans="1:45" ht="15" x14ac:dyDescent="0.25">
      <c r="A473" s="170"/>
      <c r="B473" s="719"/>
      <c r="C473" s="170"/>
      <c r="D473" s="170"/>
      <c r="E473" s="170"/>
      <c r="F473" s="170"/>
      <c r="G473" s="721"/>
      <c r="H473" s="170"/>
      <c r="I473" s="170"/>
      <c r="J473" s="170"/>
      <c r="K473" s="170"/>
      <c r="L473" s="170"/>
      <c r="M473" s="730"/>
      <c r="N473" s="730"/>
      <c r="O473" s="730"/>
      <c r="P473" s="731"/>
      <c r="Q473" s="731"/>
      <c r="R473" s="730"/>
      <c r="S473" s="730"/>
      <c r="T473" s="723"/>
      <c r="U473" s="724"/>
      <c r="V473" s="725"/>
      <c r="W473" s="725"/>
      <c r="X473" s="723"/>
      <c r="Y473" s="723"/>
      <c r="Z473" s="723"/>
      <c r="AA473" s="726"/>
      <c r="AB473" s="726"/>
      <c r="AC473" s="170"/>
      <c r="AD473" s="586"/>
      <c r="AE473" s="586"/>
      <c r="AF473" s="170"/>
      <c r="AG473" s="170"/>
      <c r="AH473" s="170"/>
      <c r="AI473" s="170"/>
      <c r="AJ473" s="170"/>
      <c r="AK473" s="170"/>
      <c r="AL473" s="170"/>
      <c r="AM473" s="170"/>
      <c r="AN473" s="170"/>
      <c r="AO473" s="170"/>
      <c r="AP473" s="170"/>
      <c r="AQ473" s="170"/>
      <c r="AR473" s="170"/>
      <c r="AS473" s="170"/>
    </row>
    <row r="474" spans="1:45" ht="15" x14ac:dyDescent="0.25">
      <c r="A474" s="170"/>
      <c r="B474" s="719"/>
      <c r="C474" s="170"/>
      <c r="D474" s="170"/>
      <c r="E474" s="170"/>
      <c r="F474" s="170"/>
      <c r="G474" s="721"/>
      <c r="H474" s="170"/>
      <c r="I474" s="170"/>
      <c r="J474" s="170"/>
      <c r="K474" s="170"/>
      <c r="L474" s="170"/>
      <c r="M474" s="730"/>
      <c r="N474" s="730"/>
      <c r="O474" s="730"/>
      <c r="P474" s="731"/>
      <c r="Q474" s="731"/>
      <c r="R474" s="730"/>
      <c r="S474" s="730"/>
      <c r="T474" s="723"/>
      <c r="U474" s="724"/>
      <c r="V474" s="725"/>
      <c r="W474" s="725"/>
      <c r="X474" s="723"/>
      <c r="Y474" s="723"/>
      <c r="Z474" s="723"/>
      <c r="AA474" s="726"/>
      <c r="AB474" s="726"/>
      <c r="AC474" s="170"/>
      <c r="AD474" s="586"/>
      <c r="AE474" s="586"/>
      <c r="AF474" s="170"/>
      <c r="AG474" s="170"/>
      <c r="AH474" s="170"/>
      <c r="AI474" s="170"/>
      <c r="AJ474" s="170"/>
      <c r="AK474" s="170"/>
      <c r="AL474" s="170"/>
      <c r="AM474" s="170"/>
      <c r="AN474" s="170"/>
      <c r="AO474" s="170"/>
      <c r="AP474" s="170"/>
      <c r="AQ474" s="170"/>
      <c r="AR474" s="170"/>
      <c r="AS474" s="170"/>
    </row>
    <row r="475" spans="1:45" ht="15" x14ac:dyDescent="0.25">
      <c r="A475" s="170"/>
      <c r="B475" s="719"/>
      <c r="C475" s="170"/>
      <c r="D475" s="170"/>
      <c r="E475" s="170"/>
      <c r="F475" s="170"/>
      <c r="G475" s="721"/>
      <c r="H475" s="170"/>
      <c r="I475" s="170"/>
      <c r="J475" s="170"/>
      <c r="K475" s="170"/>
      <c r="L475" s="170"/>
      <c r="M475" s="730"/>
      <c r="N475" s="730"/>
      <c r="O475" s="730"/>
      <c r="P475" s="731"/>
      <c r="Q475" s="731"/>
      <c r="R475" s="730"/>
      <c r="S475" s="730"/>
      <c r="T475" s="723"/>
      <c r="U475" s="724"/>
      <c r="V475" s="725"/>
      <c r="W475" s="725"/>
      <c r="X475" s="723"/>
      <c r="Y475" s="723"/>
      <c r="Z475" s="723"/>
      <c r="AA475" s="726"/>
      <c r="AB475" s="726"/>
      <c r="AC475" s="170"/>
      <c r="AD475" s="586"/>
      <c r="AE475" s="586"/>
      <c r="AF475" s="170"/>
      <c r="AG475" s="170"/>
      <c r="AH475" s="170"/>
      <c r="AI475" s="170"/>
      <c r="AJ475" s="170"/>
      <c r="AK475" s="170"/>
      <c r="AL475" s="170"/>
      <c r="AM475" s="170"/>
      <c r="AN475" s="170"/>
      <c r="AO475" s="170"/>
      <c r="AP475" s="170"/>
      <c r="AQ475" s="170"/>
      <c r="AR475" s="170"/>
      <c r="AS475" s="170"/>
    </row>
    <row r="476" spans="1:45" ht="15" x14ac:dyDescent="0.25">
      <c r="A476" s="170"/>
      <c r="B476" s="719"/>
      <c r="C476" s="170"/>
      <c r="D476" s="170"/>
      <c r="E476" s="170"/>
      <c r="F476" s="170"/>
      <c r="G476" s="721"/>
      <c r="H476" s="170"/>
      <c r="I476" s="170"/>
      <c r="J476" s="170"/>
      <c r="K476" s="170"/>
      <c r="L476" s="170"/>
      <c r="M476" s="730"/>
      <c r="N476" s="730"/>
      <c r="O476" s="730"/>
      <c r="P476" s="731"/>
      <c r="Q476" s="731"/>
      <c r="R476" s="730"/>
      <c r="S476" s="730"/>
      <c r="T476" s="723"/>
      <c r="U476" s="724"/>
      <c r="V476" s="725"/>
      <c r="W476" s="725"/>
      <c r="X476" s="723"/>
      <c r="Y476" s="723"/>
      <c r="Z476" s="723"/>
      <c r="AA476" s="726"/>
      <c r="AB476" s="726"/>
      <c r="AC476" s="170"/>
      <c r="AD476" s="586"/>
      <c r="AE476" s="586"/>
      <c r="AF476" s="170"/>
      <c r="AG476" s="170"/>
      <c r="AH476" s="170"/>
      <c r="AI476" s="170"/>
      <c r="AJ476" s="170"/>
      <c r="AK476" s="170"/>
      <c r="AL476" s="170"/>
      <c r="AM476" s="170"/>
      <c r="AN476" s="170"/>
      <c r="AO476" s="170"/>
      <c r="AP476" s="170"/>
      <c r="AQ476" s="170"/>
      <c r="AR476" s="170"/>
      <c r="AS476" s="170"/>
    </row>
    <row r="477" spans="1:45" ht="15" x14ac:dyDescent="0.25">
      <c r="A477" s="170"/>
      <c r="B477" s="719"/>
      <c r="C477" s="170"/>
      <c r="D477" s="170"/>
      <c r="E477" s="170"/>
      <c r="F477" s="170"/>
      <c r="G477" s="721"/>
      <c r="H477" s="170"/>
      <c r="I477" s="170"/>
      <c r="J477" s="170"/>
      <c r="K477" s="170"/>
      <c r="L477" s="170"/>
      <c r="M477" s="730"/>
      <c r="N477" s="730"/>
      <c r="O477" s="730"/>
      <c r="P477" s="731"/>
      <c r="Q477" s="731"/>
      <c r="R477" s="730"/>
      <c r="S477" s="730"/>
      <c r="T477" s="723"/>
      <c r="U477" s="724"/>
      <c r="V477" s="725"/>
      <c r="W477" s="725"/>
      <c r="X477" s="723"/>
      <c r="Y477" s="723"/>
      <c r="Z477" s="723"/>
      <c r="AA477" s="726"/>
      <c r="AB477" s="726"/>
      <c r="AC477" s="170"/>
      <c r="AD477" s="586"/>
      <c r="AE477" s="586"/>
      <c r="AF477" s="170"/>
      <c r="AG477" s="170"/>
      <c r="AH477" s="170"/>
      <c r="AI477" s="170"/>
      <c r="AJ477" s="170"/>
      <c r="AK477" s="170"/>
      <c r="AL477" s="170"/>
      <c r="AM477" s="170"/>
      <c r="AN477" s="170"/>
      <c r="AO477" s="170"/>
      <c r="AP477" s="170"/>
      <c r="AQ477" s="170"/>
      <c r="AR477" s="170"/>
      <c r="AS477" s="170"/>
    </row>
    <row r="478" spans="1:45" ht="15" x14ac:dyDescent="0.25">
      <c r="A478" s="170"/>
      <c r="B478" s="719"/>
      <c r="C478" s="170"/>
      <c r="D478" s="170"/>
      <c r="E478" s="170"/>
      <c r="F478" s="170"/>
      <c r="G478" s="721"/>
      <c r="H478" s="170"/>
      <c r="I478" s="170"/>
      <c r="J478" s="170"/>
      <c r="K478" s="170"/>
      <c r="L478" s="170"/>
      <c r="M478" s="730"/>
      <c r="N478" s="730"/>
      <c r="O478" s="730"/>
      <c r="P478" s="731"/>
      <c r="Q478" s="731"/>
      <c r="R478" s="730"/>
      <c r="S478" s="730"/>
      <c r="T478" s="723"/>
      <c r="U478" s="724"/>
      <c r="V478" s="725"/>
      <c r="W478" s="725"/>
      <c r="X478" s="723"/>
      <c r="Y478" s="723"/>
      <c r="Z478" s="723"/>
      <c r="AA478" s="726"/>
      <c r="AB478" s="726"/>
      <c r="AC478" s="170"/>
      <c r="AD478" s="586"/>
      <c r="AE478" s="586"/>
      <c r="AF478" s="170"/>
      <c r="AG478" s="170"/>
      <c r="AH478" s="170"/>
      <c r="AI478" s="170"/>
      <c r="AJ478" s="170"/>
      <c r="AK478" s="170"/>
      <c r="AL478" s="170"/>
      <c r="AM478" s="170"/>
      <c r="AN478" s="170"/>
      <c r="AO478" s="170"/>
      <c r="AP478" s="170"/>
      <c r="AQ478" s="170"/>
      <c r="AR478" s="170"/>
      <c r="AS478" s="170"/>
    </row>
    <row r="479" spans="1:45" ht="15" x14ac:dyDescent="0.25">
      <c r="A479" s="170"/>
      <c r="B479" s="719"/>
      <c r="C479" s="170"/>
      <c r="D479" s="170"/>
      <c r="E479" s="170"/>
      <c r="F479" s="170"/>
      <c r="G479" s="721"/>
      <c r="H479" s="170"/>
      <c r="I479" s="170"/>
      <c r="J479" s="170"/>
      <c r="K479" s="170"/>
      <c r="L479" s="170"/>
      <c r="M479" s="730"/>
      <c r="N479" s="730"/>
      <c r="O479" s="730"/>
      <c r="P479" s="731"/>
      <c r="Q479" s="731"/>
      <c r="R479" s="730"/>
      <c r="S479" s="730"/>
      <c r="T479" s="723"/>
      <c r="U479" s="724"/>
      <c r="V479" s="725"/>
      <c r="W479" s="725"/>
      <c r="X479" s="723"/>
      <c r="Y479" s="723"/>
      <c r="Z479" s="723"/>
      <c r="AA479" s="726"/>
      <c r="AB479" s="726"/>
      <c r="AC479" s="170"/>
      <c r="AD479" s="586"/>
      <c r="AE479" s="586"/>
      <c r="AF479" s="170"/>
      <c r="AG479" s="170"/>
      <c r="AH479" s="170"/>
      <c r="AI479" s="170"/>
      <c r="AJ479" s="170"/>
      <c r="AK479" s="170"/>
      <c r="AL479" s="170"/>
      <c r="AM479" s="170"/>
      <c r="AN479" s="170"/>
      <c r="AO479" s="170"/>
      <c r="AP479" s="170"/>
      <c r="AQ479" s="170"/>
      <c r="AR479" s="170"/>
      <c r="AS479" s="170"/>
    </row>
    <row r="480" spans="1:45" ht="15" x14ac:dyDescent="0.25">
      <c r="A480" s="170"/>
      <c r="B480" s="719"/>
      <c r="C480" s="170"/>
      <c r="D480" s="170"/>
      <c r="E480" s="170"/>
      <c r="F480" s="170"/>
      <c r="G480" s="721"/>
      <c r="H480" s="170"/>
      <c r="I480" s="170"/>
      <c r="J480" s="170"/>
      <c r="K480" s="170"/>
      <c r="L480" s="170"/>
      <c r="M480" s="730"/>
      <c r="N480" s="730"/>
      <c r="O480" s="730"/>
      <c r="P480" s="731"/>
      <c r="Q480" s="731"/>
      <c r="R480" s="730"/>
      <c r="S480" s="730"/>
      <c r="T480" s="723"/>
      <c r="U480" s="724"/>
      <c r="V480" s="725"/>
      <c r="W480" s="725"/>
      <c r="X480" s="723"/>
      <c r="Y480" s="723"/>
      <c r="Z480" s="723"/>
      <c r="AA480" s="726"/>
      <c r="AB480" s="726"/>
      <c r="AC480" s="170"/>
      <c r="AD480" s="586"/>
      <c r="AE480" s="586"/>
      <c r="AF480" s="170"/>
      <c r="AG480" s="170"/>
      <c r="AH480" s="170"/>
      <c r="AI480" s="170"/>
      <c r="AJ480" s="170"/>
      <c r="AK480" s="170"/>
      <c r="AL480" s="170"/>
      <c r="AM480" s="170"/>
      <c r="AN480" s="170"/>
      <c r="AO480" s="170"/>
      <c r="AP480" s="170"/>
      <c r="AQ480" s="170"/>
      <c r="AR480" s="170"/>
      <c r="AS480" s="170"/>
    </row>
    <row r="481" spans="1:45" ht="15" x14ac:dyDescent="0.25">
      <c r="A481" s="170"/>
      <c r="B481" s="719"/>
      <c r="C481" s="170"/>
      <c r="D481" s="170"/>
      <c r="E481" s="170"/>
      <c r="F481" s="170"/>
      <c r="G481" s="721"/>
      <c r="H481" s="170"/>
      <c r="I481" s="170"/>
      <c r="J481" s="170"/>
      <c r="K481" s="170"/>
      <c r="L481" s="170"/>
      <c r="M481" s="730"/>
      <c r="N481" s="730"/>
      <c r="O481" s="730"/>
      <c r="P481" s="731"/>
      <c r="Q481" s="731"/>
      <c r="R481" s="730"/>
      <c r="S481" s="730"/>
      <c r="T481" s="723"/>
      <c r="U481" s="724"/>
      <c r="V481" s="725"/>
      <c r="W481" s="725"/>
      <c r="X481" s="723"/>
      <c r="Y481" s="723"/>
      <c r="Z481" s="723"/>
      <c r="AA481" s="726"/>
      <c r="AB481" s="726"/>
      <c r="AC481" s="170"/>
      <c r="AD481" s="586"/>
      <c r="AE481" s="586"/>
      <c r="AF481" s="170"/>
      <c r="AG481" s="170"/>
      <c r="AH481" s="170"/>
      <c r="AI481" s="170"/>
      <c r="AJ481" s="170"/>
      <c r="AK481" s="170"/>
      <c r="AL481" s="170"/>
      <c r="AM481" s="170"/>
      <c r="AN481" s="170"/>
      <c r="AO481" s="170"/>
      <c r="AP481" s="170"/>
      <c r="AQ481" s="170"/>
      <c r="AR481" s="170"/>
      <c r="AS481" s="170"/>
    </row>
    <row r="482" spans="1:45" ht="15" x14ac:dyDescent="0.25">
      <c r="A482" s="170"/>
      <c r="B482" s="719"/>
      <c r="C482" s="170"/>
      <c r="D482" s="170"/>
      <c r="E482" s="170"/>
      <c r="F482" s="170"/>
      <c r="G482" s="721"/>
      <c r="H482" s="170"/>
      <c r="I482" s="170"/>
      <c r="J482" s="170"/>
      <c r="K482" s="170"/>
      <c r="L482" s="170"/>
      <c r="M482" s="730"/>
      <c r="N482" s="730"/>
      <c r="O482" s="730"/>
      <c r="P482" s="731"/>
      <c r="Q482" s="731"/>
      <c r="R482" s="730"/>
      <c r="S482" s="730"/>
      <c r="T482" s="723"/>
      <c r="U482" s="724"/>
      <c r="V482" s="725"/>
      <c r="W482" s="725"/>
      <c r="X482" s="723"/>
      <c r="Y482" s="723"/>
      <c r="Z482" s="723"/>
      <c r="AA482" s="726"/>
      <c r="AB482" s="726"/>
      <c r="AC482" s="170"/>
      <c r="AD482" s="586"/>
      <c r="AE482" s="586"/>
      <c r="AF482" s="170"/>
      <c r="AG482" s="170"/>
      <c r="AH482" s="170"/>
      <c r="AI482" s="170"/>
      <c r="AJ482" s="170"/>
      <c r="AK482" s="170"/>
      <c r="AL482" s="170"/>
      <c r="AM482" s="170"/>
      <c r="AN482" s="170"/>
      <c r="AO482" s="170"/>
      <c r="AP482" s="170"/>
      <c r="AQ482" s="170"/>
      <c r="AR482" s="170"/>
      <c r="AS482" s="170"/>
    </row>
    <row r="483" spans="1:45" ht="15" x14ac:dyDescent="0.25">
      <c r="A483" s="170"/>
      <c r="B483" s="719"/>
      <c r="C483" s="170"/>
      <c r="D483" s="170"/>
      <c r="E483" s="170"/>
      <c r="F483" s="170"/>
      <c r="G483" s="721"/>
      <c r="H483" s="170"/>
      <c r="I483" s="170"/>
      <c r="J483" s="170"/>
      <c r="K483" s="170"/>
      <c r="L483" s="170"/>
      <c r="M483" s="730"/>
      <c r="N483" s="730"/>
      <c r="O483" s="730"/>
      <c r="P483" s="731"/>
      <c r="Q483" s="731"/>
      <c r="R483" s="730"/>
      <c r="S483" s="730"/>
      <c r="T483" s="723"/>
      <c r="U483" s="724"/>
      <c r="V483" s="725"/>
      <c r="W483" s="725"/>
      <c r="X483" s="723"/>
      <c r="Y483" s="723"/>
      <c r="Z483" s="723"/>
      <c r="AA483" s="726"/>
      <c r="AB483" s="726"/>
      <c r="AC483" s="170"/>
      <c r="AD483" s="586"/>
      <c r="AE483" s="586"/>
      <c r="AF483" s="170"/>
      <c r="AG483" s="170"/>
      <c r="AH483" s="170"/>
      <c r="AI483" s="170"/>
      <c r="AJ483" s="170"/>
      <c r="AK483" s="170"/>
      <c r="AL483" s="170"/>
      <c r="AM483" s="170"/>
      <c r="AN483" s="170"/>
      <c r="AO483" s="170"/>
      <c r="AP483" s="170"/>
      <c r="AQ483" s="170"/>
      <c r="AR483" s="170"/>
      <c r="AS483" s="170"/>
    </row>
    <row r="484" spans="1:45" ht="15" x14ac:dyDescent="0.25">
      <c r="A484" s="170"/>
      <c r="B484" s="719"/>
      <c r="C484" s="170"/>
      <c r="D484" s="170"/>
      <c r="E484" s="170"/>
      <c r="F484" s="170"/>
      <c r="G484" s="721"/>
      <c r="H484" s="170"/>
      <c r="I484" s="170"/>
      <c r="J484" s="170"/>
      <c r="K484" s="170"/>
      <c r="L484" s="170"/>
      <c r="M484" s="730"/>
      <c r="N484" s="730"/>
      <c r="O484" s="730"/>
      <c r="P484" s="731"/>
      <c r="Q484" s="731"/>
      <c r="R484" s="730"/>
      <c r="S484" s="730"/>
      <c r="T484" s="723"/>
      <c r="U484" s="724"/>
      <c r="V484" s="725"/>
      <c r="W484" s="725"/>
      <c r="X484" s="723"/>
      <c r="Y484" s="723"/>
      <c r="Z484" s="723"/>
      <c r="AA484" s="726"/>
      <c r="AB484" s="726"/>
      <c r="AC484" s="170"/>
      <c r="AD484" s="586"/>
      <c r="AE484" s="586"/>
      <c r="AF484" s="170"/>
      <c r="AG484" s="170"/>
      <c r="AH484" s="170"/>
      <c r="AI484" s="170"/>
      <c r="AJ484" s="170"/>
      <c r="AK484" s="170"/>
      <c r="AL484" s="170"/>
      <c r="AM484" s="170"/>
      <c r="AN484" s="170"/>
      <c r="AO484" s="170"/>
      <c r="AP484" s="170"/>
      <c r="AQ484" s="170"/>
      <c r="AR484" s="170"/>
      <c r="AS484" s="170"/>
    </row>
    <row r="485" spans="1:45" ht="15" x14ac:dyDescent="0.25">
      <c r="A485" s="170"/>
      <c r="B485" s="719"/>
      <c r="C485" s="170"/>
      <c r="D485" s="170"/>
      <c r="E485" s="170"/>
      <c r="F485" s="170"/>
      <c r="G485" s="721"/>
      <c r="H485" s="170"/>
      <c r="I485" s="170"/>
      <c r="J485" s="170"/>
      <c r="K485" s="170"/>
      <c r="L485" s="170"/>
      <c r="M485" s="730"/>
      <c r="N485" s="730"/>
      <c r="O485" s="730"/>
      <c r="P485" s="731"/>
      <c r="Q485" s="731"/>
      <c r="R485" s="730"/>
      <c r="S485" s="730"/>
      <c r="T485" s="723"/>
      <c r="U485" s="724"/>
      <c r="V485" s="725"/>
      <c r="W485" s="725"/>
      <c r="X485" s="723"/>
      <c r="Y485" s="723"/>
      <c r="Z485" s="723"/>
      <c r="AA485" s="726"/>
      <c r="AB485" s="726"/>
      <c r="AC485" s="170"/>
      <c r="AD485" s="586"/>
      <c r="AE485" s="586"/>
      <c r="AF485" s="170"/>
      <c r="AG485" s="170"/>
      <c r="AH485" s="170"/>
      <c r="AI485" s="170"/>
      <c r="AJ485" s="170"/>
      <c r="AK485" s="170"/>
      <c r="AL485" s="170"/>
      <c r="AM485" s="170"/>
      <c r="AN485" s="170"/>
      <c r="AO485" s="170"/>
      <c r="AP485" s="170"/>
      <c r="AQ485" s="170"/>
      <c r="AR485" s="170"/>
      <c r="AS485" s="170"/>
    </row>
    <row r="486" spans="1:45" ht="15" x14ac:dyDescent="0.25">
      <c r="A486" s="170"/>
      <c r="B486" s="719"/>
      <c r="C486" s="170"/>
      <c r="D486" s="170"/>
      <c r="E486" s="170"/>
      <c r="F486" s="170"/>
      <c r="G486" s="721"/>
      <c r="H486" s="170"/>
      <c r="I486" s="170"/>
      <c r="J486" s="170"/>
      <c r="K486" s="170"/>
      <c r="L486" s="170"/>
      <c r="M486" s="730"/>
      <c r="N486" s="730"/>
      <c r="O486" s="730"/>
      <c r="P486" s="731"/>
      <c r="Q486" s="731"/>
      <c r="R486" s="730"/>
      <c r="S486" s="730"/>
      <c r="T486" s="723"/>
      <c r="U486" s="724"/>
      <c r="V486" s="725"/>
      <c r="W486" s="725"/>
      <c r="X486" s="723"/>
      <c r="Y486" s="723"/>
      <c r="Z486" s="723"/>
      <c r="AA486" s="726"/>
      <c r="AB486" s="726"/>
      <c r="AC486" s="170"/>
      <c r="AD486" s="586"/>
      <c r="AE486" s="586"/>
      <c r="AF486" s="170"/>
      <c r="AG486" s="170"/>
      <c r="AH486" s="170"/>
      <c r="AI486" s="170"/>
      <c r="AJ486" s="170"/>
      <c r="AK486" s="170"/>
      <c r="AL486" s="170"/>
      <c r="AM486" s="170"/>
      <c r="AN486" s="170"/>
      <c r="AO486" s="170"/>
      <c r="AP486" s="170"/>
      <c r="AQ486" s="170"/>
      <c r="AR486" s="170"/>
      <c r="AS486" s="170"/>
    </row>
    <row r="487" spans="1:45" ht="15" x14ac:dyDescent="0.25">
      <c r="A487" s="170"/>
      <c r="B487" s="719"/>
      <c r="C487" s="170"/>
      <c r="D487" s="170"/>
      <c r="E487" s="170"/>
      <c r="F487" s="170"/>
      <c r="G487" s="721"/>
      <c r="H487" s="170"/>
      <c r="I487" s="170"/>
      <c r="J487" s="170"/>
      <c r="K487" s="170"/>
      <c r="L487" s="170"/>
      <c r="M487" s="730"/>
      <c r="N487" s="730"/>
      <c r="O487" s="730"/>
      <c r="P487" s="731"/>
      <c r="Q487" s="731"/>
      <c r="R487" s="730"/>
      <c r="S487" s="730"/>
      <c r="T487" s="723"/>
      <c r="U487" s="724"/>
      <c r="V487" s="725"/>
      <c r="W487" s="725"/>
      <c r="X487" s="723"/>
      <c r="Y487" s="723"/>
      <c r="Z487" s="723"/>
      <c r="AA487" s="726"/>
      <c r="AB487" s="726"/>
      <c r="AC487" s="170"/>
      <c r="AD487" s="586"/>
      <c r="AE487" s="586"/>
      <c r="AF487" s="170"/>
      <c r="AG487" s="170"/>
      <c r="AH487" s="170"/>
      <c r="AI487" s="170"/>
      <c r="AJ487" s="170"/>
      <c r="AK487" s="170"/>
      <c r="AL487" s="170"/>
      <c r="AM487" s="170"/>
      <c r="AN487" s="170"/>
      <c r="AO487" s="170"/>
      <c r="AP487" s="170"/>
      <c r="AQ487" s="170"/>
      <c r="AR487" s="170"/>
      <c r="AS487" s="170"/>
    </row>
    <row r="488" spans="1:45" ht="15" x14ac:dyDescent="0.25">
      <c r="A488" s="170"/>
      <c r="B488" s="719"/>
      <c r="C488" s="170"/>
      <c r="D488" s="170"/>
      <c r="E488" s="170"/>
      <c r="F488" s="170"/>
      <c r="G488" s="721"/>
      <c r="H488" s="170"/>
      <c r="I488" s="170"/>
      <c r="J488" s="170"/>
      <c r="K488" s="170"/>
      <c r="L488" s="170"/>
      <c r="M488" s="730"/>
      <c r="N488" s="730"/>
      <c r="O488" s="730"/>
      <c r="P488" s="731"/>
      <c r="Q488" s="731"/>
      <c r="R488" s="730"/>
      <c r="S488" s="730"/>
      <c r="T488" s="723"/>
      <c r="U488" s="724"/>
      <c r="V488" s="725"/>
      <c r="W488" s="725"/>
      <c r="X488" s="723"/>
      <c r="Y488" s="723"/>
      <c r="Z488" s="723"/>
      <c r="AA488" s="726"/>
      <c r="AB488" s="726"/>
      <c r="AC488" s="170"/>
      <c r="AD488" s="586"/>
      <c r="AE488" s="586"/>
      <c r="AF488" s="170"/>
      <c r="AG488" s="170"/>
      <c r="AH488" s="170"/>
      <c r="AI488" s="170"/>
      <c r="AJ488" s="170"/>
      <c r="AK488" s="170"/>
      <c r="AL488" s="170"/>
      <c r="AM488" s="170"/>
      <c r="AN488" s="170"/>
      <c r="AO488" s="170"/>
      <c r="AP488" s="170"/>
      <c r="AQ488" s="170"/>
      <c r="AR488" s="170"/>
      <c r="AS488" s="170"/>
    </row>
    <row r="489" spans="1:45" ht="15" x14ac:dyDescent="0.25">
      <c r="A489" s="170"/>
      <c r="B489" s="719"/>
      <c r="C489" s="170"/>
      <c r="D489" s="170"/>
      <c r="E489" s="170"/>
      <c r="F489" s="170"/>
      <c r="G489" s="721"/>
      <c r="H489" s="170"/>
      <c r="I489" s="170"/>
      <c r="J489" s="170"/>
      <c r="K489" s="170"/>
      <c r="L489" s="170"/>
      <c r="M489" s="730"/>
      <c r="N489" s="730"/>
      <c r="O489" s="730"/>
      <c r="P489" s="731"/>
      <c r="Q489" s="731"/>
      <c r="R489" s="730"/>
      <c r="S489" s="730"/>
      <c r="T489" s="723"/>
      <c r="U489" s="724"/>
      <c r="V489" s="725"/>
      <c r="W489" s="725"/>
      <c r="X489" s="723"/>
      <c r="Y489" s="723"/>
      <c r="Z489" s="723"/>
      <c r="AA489" s="726"/>
      <c r="AB489" s="726"/>
      <c r="AC489" s="170"/>
      <c r="AD489" s="586"/>
      <c r="AE489" s="586"/>
      <c r="AF489" s="170"/>
      <c r="AG489" s="170"/>
      <c r="AH489" s="170"/>
      <c r="AI489" s="170"/>
      <c r="AJ489" s="170"/>
      <c r="AK489" s="170"/>
      <c r="AL489" s="170"/>
      <c r="AM489" s="170"/>
      <c r="AN489" s="170"/>
      <c r="AO489" s="170"/>
      <c r="AP489" s="170"/>
      <c r="AQ489" s="170"/>
      <c r="AR489" s="170"/>
      <c r="AS489" s="170"/>
    </row>
    <row r="490" spans="1:45" ht="15" x14ac:dyDescent="0.25">
      <c r="A490" s="170"/>
      <c r="B490" s="719"/>
      <c r="C490" s="170"/>
      <c r="D490" s="170"/>
      <c r="E490" s="170"/>
      <c r="F490" s="170"/>
      <c r="G490" s="721"/>
      <c r="H490" s="170"/>
      <c r="I490" s="170"/>
      <c r="J490" s="170"/>
      <c r="K490" s="170"/>
      <c r="L490" s="170"/>
      <c r="M490" s="730"/>
      <c r="N490" s="730"/>
      <c r="O490" s="730"/>
      <c r="P490" s="731"/>
      <c r="Q490" s="731"/>
      <c r="R490" s="730"/>
      <c r="S490" s="730"/>
      <c r="T490" s="723"/>
      <c r="U490" s="724"/>
      <c r="V490" s="725"/>
      <c r="W490" s="725"/>
      <c r="X490" s="723"/>
      <c r="Y490" s="723"/>
      <c r="Z490" s="723"/>
      <c r="AA490" s="726"/>
      <c r="AB490" s="726"/>
      <c r="AC490" s="170"/>
      <c r="AD490" s="586"/>
      <c r="AE490" s="586"/>
      <c r="AF490" s="170"/>
      <c r="AG490" s="170"/>
      <c r="AH490" s="170"/>
      <c r="AI490" s="170"/>
      <c r="AJ490" s="170"/>
      <c r="AK490" s="170"/>
      <c r="AL490" s="170"/>
      <c r="AM490" s="170"/>
      <c r="AN490" s="170"/>
      <c r="AO490" s="170"/>
      <c r="AP490" s="170"/>
      <c r="AQ490" s="170"/>
      <c r="AR490" s="170"/>
      <c r="AS490" s="170"/>
    </row>
    <row r="491" spans="1:45" ht="15" x14ac:dyDescent="0.25">
      <c r="A491" s="170"/>
      <c r="B491" s="719"/>
      <c r="C491" s="170"/>
      <c r="D491" s="170"/>
      <c r="E491" s="170"/>
      <c r="F491" s="170"/>
      <c r="G491" s="721"/>
      <c r="H491" s="170"/>
      <c r="I491" s="170"/>
      <c r="J491" s="170"/>
      <c r="K491" s="170"/>
      <c r="L491" s="170"/>
      <c r="M491" s="730"/>
      <c r="N491" s="730"/>
      <c r="O491" s="730"/>
      <c r="P491" s="731"/>
      <c r="Q491" s="731"/>
      <c r="R491" s="730"/>
      <c r="S491" s="730"/>
      <c r="T491" s="723"/>
      <c r="U491" s="724"/>
      <c r="V491" s="725"/>
      <c r="W491" s="725"/>
      <c r="X491" s="723"/>
      <c r="Y491" s="723"/>
      <c r="Z491" s="723"/>
      <c r="AA491" s="726"/>
      <c r="AB491" s="726"/>
      <c r="AC491" s="170"/>
      <c r="AD491" s="586"/>
      <c r="AE491" s="586"/>
      <c r="AF491" s="170"/>
      <c r="AG491" s="170"/>
      <c r="AH491" s="170"/>
      <c r="AI491" s="170"/>
      <c r="AJ491" s="170"/>
      <c r="AK491" s="170"/>
      <c r="AL491" s="170"/>
      <c r="AM491" s="170"/>
      <c r="AN491" s="170"/>
      <c r="AO491" s="170"/>
      <c r="AP491" s="170"/>
      <c r="AQ491" s="170"/>
      <c r="AR491" s="170"/>
      <c r="AS491" s="170"/>
    </row>
    <row r="492" spans="1:45" ht="15" x14ac:dyDescent="0.25">
      <c r="A492" s="170"/>
      <c r="B492" s="719"/>
      <c r="C492" s="170"/>
      <c r="D492" s="170"/>
      <c r="E492" s="170"/>
      <c r="F492" s="170"/>
      <c r="G492" s="721"/>
      <c r="H492" s="170"/>
      <c r="I492" s="170"/>
      <c r="J492" s="170"/>
      <c r="K492" s="170"/>
      <c r="L492" s="170"/>
      <c r="M492" s="730"/>
      <c r="N492" s="730"/>
      <c r="O492" s="730"/>
      <c r="P492" s="731"/>
      <c r="Q492" s="731"/>
      <c r="R492" s="730"/>
      <c r="S492" s="730"/>
      <c r="T492" s="723"/>
      <c r="U492" s="724"/>
      <c r="V492" s="725"/>
      <c r="W492" s="725"/>
      <c r="X492" s="723"/>
      <c r="Y492" s="723"/>
      <c r="Z492" s="723"/>
      <c r="AA492" s="726"/>
      <c r="AB492" s="726"/>
      <c r="AC492" s="170"/>
      <c r="AD492" s="586"/>
      <c r="AE492" s="586"/>
      <c r="AF492" s="170"/>
      <c r="AG492" s="170"/>
      <c r="AH492" s="170"/>
      <c r="AI492" s="170"/>
      <c r="AJ492" s="170"/>
      <c r="AK492" s="170"/>
      <c r="AL492" s="170"/>
      <c r="AM492" s="170"/>
      <c r="AN492" s="170"/>
      <c r="AO492" s="170"/>
      <c r="AP492" s="170"/>
      <c r="AQ492" s="170"/>
      <c r="AR492" s="170"/>
      <c r="AS492" s="170"/>
    </row>
    <row r="493" spans="1:45" ht="15" x14ac:dyDescent="0.25">
      <c r="A493" s="170"/>
      <c r="B493" s="719"/>
      <c r="C493" s="170"/>
      <c r="D493" s="170"/>
      <c r="E493" s="170"/>
      <c r="F493" s="170"/>
      <c r="G493" s="721"/>
      <c r="H493" s="170"/>
      <c r="I493" s="170"/>
      <c r="J493" s="170"/>
      <c r="K493" s="170"/>
      <c r="L493" s="170"/>
      <c r="M493" s="730"/>
      <c r="N493" s="730"/>
      <c r="O493" s="730"/>
      <c r="P493" s="731"/>
      <c r="Q493" s="731"/>
      <c r="R493" s="730"/>
      <c r="S493" s="730"/>
      <c r="T493" s="723"/>
      <c r="U493" s="724"/>
      <c r="V493" s="725"/>
      <c r="W493" s="725"/>
      <c r="X493" s="723"/>
      <c r="Y493" s="723"/>
      <c r="Z493" s="723"/>
      <c r="AA493" s="726"/>
      <c r="AB493" s="726"/>
      <c r="AC493" s="170"/>
      <c r="AD493" s="586"/>
      <c r="AE493" s="586"/>
      <c r="AF493" s="170"/>
      <c r="AG493" s="170"/>
      <c r="AH493" s="170"/>
      <c r="AI493" s="170"/>
      <c r="AJ493" s="170"/>
      <c r="AK493" s="170"/>
      <c r="AL493" s="170"/>
      <c r="AM493" s="170"/>
      <c r="AN493" s="170"/>
      <c r="AO493" s="170"/>
      <c r="AP493" s="170"/>
      <c r="AQ493" s="170"/>
      <c r="AR493" s="170"/>
      <c r="AS493" s="170"/>
    </row>
    <row r="494" spans="1:45" ht="15" x14ac:dyDescent="0.25">
      <c r="A494" s="170"/>
      <c r="B494" s="719"/>
      <c r="C494" s="170"/>
      <c r="D494" s="170"/>
      <c r="E494" s="170"/>
      <c r="F494" s="170"/>
      <c r="G494" s="721"/>
      <c r="H494" s="170"/>
      <c r="I494" s="170"/>
      <c r="J494" s="170"/>
      <c r="K494" s="170"/>
      <c r="L494" s="170"/>
      <c r="M494" s="730"/>
      <c r="N494" s="730"/>
      <c r="O494" s="730"/>
      <c r="P494" s="731"/>
      <c r="Q494" s="731"/>
      <c r="R494" s="730"/>
      <c r="S494" s="730"/>
      <c r="T494" s="723"/>
      <c r="U494" s="724"/>
      <c r="V494" s="725"/>
      <c r="W494" s="725"/>
      <c r="X494" s="723"/>
      <c r="Y494" s="723"/>
      <c r="Z494" s="723"/>
      <c r="AA494" s="726"/>
      <c r="AB494" s="726"/>
      <c r="AC494" s="170"/>
      <c r="AD494" s="586"/>
      <c r="AE494" s="586"/>
      <c r="AF494" s="170"/>
      <c r="AG494" s="170"/>
      <c r="AH494" s="170"/>
      <c r="AI494" s="170"/>
      <c r="AJ494" s="170"/>
      <c r="AK494" s="170"/>
      <c r="AL494" s="170"/>
      <c r="AM494" s="170"/>
      <c r="AN494" s="170"/>
      <c r="AO494" s="170"/>
      <c r="AP494" s="170"/>
      <c r="AQ494" s="170"/>
      <c r="AR494" s="170"/>
      <c r="AS494" s="170"/>
    </row>
    <row r="495" spans="1:45" ht="15" x14ac:dyDescent="0.25">
      <c r="A495" s="170"/>
      <c r="B495" s="719"/>
      <c r="C495" s="170"/>
      <c r="D495" s="170"/>
      <c r="E495" s="170"/>
      <c r="F495" s="170"/>
      <c r="G495" s="721"/>
      <c r="H495" s="170"/>
      <c r="I495" s="170"/>
      <c r="J495" s="170"/>
      <c r="K495" s="170"/>
      <c r="L495" s="170"/>
      <c r="M495" s="730"/>
      <c r="N495" s="730"/>
      <c r="O495" s="730"/>
      <c r="P495" s="731"/>
      <c r="Q495" s="731"/>
      <c r="R495" s="730"/>
      <c r="S495" s="730"/>
      <c r="T495" s="723"/>
      <c r="U495" s="724"/>
      <c r="V495" s="725"/>
      <c r="W495" s="725"/>
      <c r="X495" s="723"/>
      <c r="Y495" s="723"/>
      <c r="Z495" s="723"/>
      <c r="AA495" s="726"/>
      <c r="AB495" s="726"/>
      <c r="AC495" s="170"/>
      <c r="AD495" s="586"/>
      <c r="AE495" s="586"/>
      <c r="AF495" s="170"/>
      <c r="AG495" s="170"/>
      <c r="AH495" s="170"/>
      <c r="AI495" s="170"/>
      <c r="AJ495" s="170"/>
      <c r="AK495" s="170"/>
      <c r="AL495" s="170"/>
      <c r="AM495" s="170"/>
      <c r="AN495" s="170"/>
      <c r="AO495" s="170"/>
      <c r="AP495" s="170"/>
      <c r="AQ495" s="170"/>
      <c r="AR495" s="170"/>
      <c r="AS495" s="170"/>
    </row>
    <row r="496" spans="1:45" ht="15" x14ac:dyDescent="0.25">
      <c r="A496" s="170"/>
      <c r="B496" s="719"/>
      <c r="C496" s="170"/>
      <c r="D496" s="170"/>
      <c r="E496" s="170"/>
      <c r="F496" s="170"/>
      <c r="G496" s="721"/>
      <c r="H496" s="170"/>
      <c r="I496" s="170"/>
      <c r="J496" s="170"/>
      <c r="K496" s="170"/>
      <c r="L496" s="170"/>
      <c r="M496" s="730"/>
      <c r="N496" s="730"/>
      <c r="O496" s="730"/>
      <c r="P496" s="731"/>
      <c r="Q496" s="731"/>
      <c r="R496" s="730"/>
      <c r="S496" s="730"/>
      <c r="T496" s="723"/>
      <c r="U496" s="724"/>
      <c r="V496" s="725"/>
      <c r="W496" s="725"/>
      <c r="X496" s="723"/>
      <c r="Y496" s="723"/>
      <c r="Z496" s="723"/>
      <c r="AA496" s="726"/>
      <c r="AB496" s="726"/>
      <c r="AC496" s="170"/>
      <c r="AD496" s="586"/>
      <c r="AE496" s="586"/>
      <c r="AF496" s="170"/>
      <c r="AG496" s="170"/>
      <c r="AH496" s="170"/>
      <c r="AI496" s="170"/>
      <c r="AJ496" s="170"/>
      <c r="AK496" s="170"/>
      <c r="AL496" s="170"/>
      <c r="AM496" s="170"/>
      <c r="AN496" s="170"/>
      <c r="AO496" s="170"/>
      <c r="AP496" s="170"/>
      <c r="AQ496" s="170"/>
      <c r="AR496" s="170"/>
      <c r="AS496" s="170"/>
    </row>
    <row r="497" spans="1:45" ht="15" x14ac:dyDescent="0.25">
      <c r="A497" s="170"/>
      <c r="B497" s="719"/>
      <c r="C497" s="170"/>
      <c r="D497" s="170"/>
      <c r="E497" s="170"/>
      <c r="F497" s="170"/>
      <c r="G497" s="721"/>
      <c r="H497" s="170"/>
      <c r="I497" s="170"/>
      <c r="J497" s="170"/>
      <c r="K497" s="170"/>
      <c r="L497" s="170"/>
      <c r="M497" s="730"/>
      <c r="N497" s="730"/>
      <c r="O497" s="730"/>
      <c r="P497" s="731"/>
      <c r="Q497" s="731"/>
      <c r="R497" s="730"/>
      <c r="S497" s="730"/>
      <c r="T497" s="723"/>
      <c r="U497" s="724"/>
      <c r="V497" s="725"/>
      <c r="W497" s="725"/>
      <c r="X497" s="723"/>
      <c r="Y497" s="723"/>
      <c r="Z497" s="723"/>
      <c r="AA497" s="726"/>
      <c r="AB497" s="726"/>
      <c r="AC497" s="170"/>
      <c r="AD497" s="586"/>
      <c r="AE497" s="586"/>
      <c r="AF497" s="170"/>
      <c r="AG497" s="170"/>
      <c r="AH497" s="170"/>
      <c r="AI497" s="170"/>
      <c r="AJ497" s="170"/>
      <c r="AK497" s="170"/>
      <c r="AL497" s="170"/>
      <c r="AM497" s="170"/>
      <c r="AN497" s="170"/>
      <c r="AO497" s="170"/>
      <c r="AP497" s="170"/>
      <c r="AQ497" s="170"/>
      <c r="AR497" s="170"/>
      <c r="AS497" s="170"/>
    </row>
    <row r="498" spans="1:45" ht="15" x14ac:dyDescent="0.25">
      <c r="A498" s="170"/>
      <c r="B498" s="719"/>
      <c r="C498" s="170"/>
      <c r="D498" s="170"/>
      <c r="E498" s="170"/>
      <c r="F498" s="170"/>
      <c r="G498" s="721"/>
      <c r="H498" s="170"/>
      <c r="I498" s="170"/>
      <c r="J498" s="170"/>
      <c r="K498" s="170"/>
      <c r="L498" s="170"/>
      <c r="M498" s="730"/>
      <c r="N498" s="730"/>
      <c r="O498" s="730"/>
      <c r="P498" s="731"/>
      <c r="Q498" s="731"/>
      <c r="R498" s="730"/>
      <c r="S498" s="730"/>
      <c r="T498" s="723"/>
      <c r="U498" s="724"/>
      <c r="V498" s="725"/>
      <c r="W498" s="725"/>
      <c r="X498" s="723"/>
      <c r="Y498" s="723"/>
      <c r="Z498" s="723"/>
      <c r="AA498" s="726"/>
      <c r="AB498" s="726"/>
      <c r="AC498" s="170"/>
      <c r="AD498" s="586"/>
      <c r="AE498" s="586"/>
      <c r="AF498" s="170"/>
      <c r="AG498" s="170"/>
      <c r="AH498" s="170"/>
      <c r="AI498" s="170"/>
      <c r="AJ498" s="170"/>
      <c r="AK498" s="170"/>
      <c r="AL498" s="170"/>
      <c r="AM498" s="170"/>
      <c r="AN498" s="170"/>
      <c r="AO498" s="170"/>
      <c r="AP498" s="170"/>
      <c r="AQ498" s="170"/>
      <c r="AR498" s="170"/>
      <c r="AS498" s="170"/>
    </row>
    <row r="499" spans="1:45" ht="15" x14ac:dyDescent="0.25">
      <c r="A499" s="170"/>
      <c r="B499" s="719"/>
      <c r="C499" s="170"/>
      <c r="D499" s="170"/>
      <c r="E499" s="170"/>
      <c r="F499" s="170"/>
      <c r="G499" s="721"/>
      <c r="H499" s="170"/>
      <c r="I499" s="170"/>
      <c r="J499" s="170"/>
      <c r="K499" s="170"/>
      <c r="L499" s="170"/>
      <c r="M499" s="730"/>
      <c r="N499" s="730"/>
      <c r="O499" s="730"/>
      <c r="P499" s="731"/>
      <c r="Q499" s="731"/>
      <c r="R499" s="730"/>
      <c r="S499" s="730"/>
      <c r="T499" s="723"/>
      <c r="U499" s="724"/>
      <c r="V499" s="725"/>
      <c r="W499" s="725"/>
      <c r="X499" s="723"/>
      <c r="Y499" s="723"/>
      <c r="Z499" s="723"/>
      <c r="AA499" s="726"/>
      <c r="AB499" s="726"/>
      <c r="AC499" s="170"/>
      <c r="AD499" s="586"/>
      <c r="AE499" s="586"/>
      <c r="AF499" s="170"/>
      <c r="AG499" s="170"/>
      <c r="AH499" s="170"/>
      <c r="AI499" s="170"/>
      <c r="AJ499" s="170"/>
      <c r="AK499" s="170"/>
      <c r="AL499" s="170"/>
      <c r="AM499" s="170"/>
      <c r="AN499" s="170"/>
      <c r="AO499" s="170"/>
      <c r="AP499" s="170"/>
      <c r="AQ499" s="170"/>
      <c r="AR499" s="170"/>
      <c r="AS499" s="170"/>
    </row>
    <row r="500" spans="1:45" ht="15" x14ac:dyDescent="0.25">
      <c r="A500" s="170"/>
      <c r="B500" s="719"/>
      <c r="C500" s="170"/>
      <c r="D500" s="170"/>
      <c r="E500" s="170"/>
      <c r="F500" s="170"/>
      <c r="G500" s="721"/>
      <c r="H500" s="170"/>
      <c r="I500" s="170"/>
      <c r="J500" s="170"/>
      <c r="K500" s="170"/>
      <c r="L500" s="170"/>
      <c r="M500" s="730"/>
      <c r="N500" s="730"/>
      <c r="O500" s="730"/>
      <c r="P500" s="731"/>
      <c r="Q500" s="731"/>
      <c r="R500" s="730"/>
      <c r="S500" s="730"/>
      <c r="T500" s="723"/>
      <c r="U500" s="724"/>
      <c r="V500" s="725"/>
      <c r="W500" s="725"/>
      <c r="X500" s="723"/>
      <c r="Y500" s="723"/>
      <c r="Z500" s="723"/>
      <c r="AA500" s="726"/>
      <c r="AB500" s="726"/>
      <c r="AC500" s="170"/>
      <c r="AD500" s="586"/>
      <c r="AE500" s="586"/>
      <c r="AF500" s="170"/>
      <c r="AG500" s="170"/>
      <c r="AH500" s="170"/>
      <c r="AI500" s="170"/>
      <c r="AJ500" s="170"/>
      <c r="AK500" s="170"/>
      <c r="AL500" s="170"/>
      <c r="AM500" s="170"/>
      <c r="AN500" s="170"/>
      <c r="AO500" s="170"/>
      <c r="AP500" s="170"/>
      <c r="AQ500" s="170"/>
      <c r="AR500" s="170"/>
      <c r="AS500" s="170"/>
    </row>
    <row r="501" spans="1:45" ht="15" x14ac:dyDescent="0.25">
      <c r="A501" s="170"/>
      <c r="B501" s="719"/>
      <c r="C501" s="170"/>
      <c r="D501" s="170"/>
      <c r="E501" s="170"/>
      <c r="F501" s="170"/>
      <c r="G501" s="721"/>
      <c r="H501" s="170"/>
      <c r="I501" s="170"/>
      <c r="J501" s="170"/>
      <c r="K501" s="170"/>
      <c r="L501" s="170"/>
      <c r="M501" s="730"/>
      <c r="N501" s="730"/>
      <c r="O501" s="730"/>
      <c r="P501" s="731"/>
      <c r="Q501" s="731"/>
      <c r="R501" s="730"/>
      <c r="S501" s="730"/>
      <c r="T501" s="723"/>
      <c r="U501" s="724"/>
      <c r="V501" s="725"/>
      <c r="W501" s="725"/>
      <c r="X501" s="723"/>
      <c r="Y501" s="723"/>
      <c r="Z501" s="723"/>
      <c r="AA501" s="726"/>
      <c r="AB501" s="726"/>
      <c r="AC501" s="170"/>
      <c r="AD501" s="586"/>
      <c r="AE501" s="586"/>
      <c r="AF501" s="170"/>
      <c r="AG501" s="170"/>
      <c r="AH501" s="170"/>
      <c r="AI501" s="170"/>
      <c r="AJ501" s="170"/>
      <c r="AK501" s="170"/>
      <c r="AL501" s="170"/>
      <c r="AM501" s="170"/>
      <c r="AN501" s="170"/>
      <c r="AO501" s="170"/>
      <c r="AP501" s="170"/>
      <c r="AQ501" s="170"/>
      <c r="AR501" s="170"/>
      <c r="AS501" s="170"/>
    </row>
    <row r="502" spans="1:45" ht="15" x14ac:dyDescent="0.25">
      <c r="A502" s="170"/>
      <c r="B502" s="719"/>
      <c r="C502" s="170"/>
      <c r="D502" s="170"/>
      <c r="E502" s="170"/>
      <c r="F502" s="170"/>
      <c r="G502" s="721"/>
      <c r="H502" s="170"/>
      <c r="I502" s="170"/>
      <c r="J502" s="170"/>
      <c r="K502" s="170"/>
      <c r="L502" s="170"/>
      <c r="M502" s="730"/>
      <c r="N502" s="730"/>
      <c r="O502" s="730"/>
      <c r="P502" s="731"/>
      <c r="Q502" s="731"/>
      <c r="R502" s="730"/>
      <c r="S502" s="730"/>
      <c r="T502" s="723"/>
      <c r="U502" s="724"/>
      <c r="V502" s="725"/>
      <c r="W502" s="725"/>
      <c r="X502" s="723"/>
      <c r="Y502" s="723"/>
      <c r="Z502" s="723"/>
      <c r="AA502" s="726"/>
      <c r="AB502" s="726"/>
      <c r="AC502" s="170"/>
      <c r="AD502" s="586"/>
      <c r="AE502" s="586"/>
      <c r="AF502" s="170"/>
      <c r="AG502" s="170"/>
      <c r="AH502" s="170"/>
      <c r="AI502" s="170"/>
      <c r="AJ502" s="170"/>
      <c r="AK502" s="170"/>
      <c r="AL502" s="170"/>
      <c r="AM502" s="170"/>
      <c r="AN502" s="170"/>
      <c r="AO502" s="170"/>
      <c r="AP502" s="170"/>
      <c r="AQ502" s="170"/>
      <c r="AR502" s="170"/>
      <c r="AS502" s="170"/>
    </row>
    <row r="503" spans="1:45" ht="15" x14ac:dyDescent="0.25">
      <c r="A503" s="170"/>
      <c r="B503" s="719"/>
      <c r="C503" s="170"/>
      <c r="D503" s="170"/>
      <c r="E503" s="170"/>
      <c r="F503" s="170"/>
      <c r="G503" s="721"/>
      <c r="H503" s="170"/>
      <c r="I503" s="170"/>
      <c r="J503" s="170"/>
      <c r="K503" s="170"/>
      <c r="L503" s="170"/>
      <c r="M503" s="730"/>
      <c r="N503" s="730"/>
      <c r="O503" s="730"/>
      <c r="P503" s="731"/>
      <c r="Q503" s="731"/>
      <c r="R503" s="730"/>
      <c r="S503" s="730"/>
      <c r="T503" s="723"/>
      <c r="U503" s="724"/>
      <c r="V503" s="725"/>
      <c r="W503" s="725"/>
      <c r="X503" s="723"/>
      <c r="Y503" s="723"/>
      <c r="Z503" s="723"/>
      <c r="AA503" s="726"/>
      <c r="AB503" s="726"/>
      <c r="AC503" s="170"/>
      <c r="AD503" s="586"/>
      <c r="AE503" s="586"/>
      <c r="AF503" s="170"/>
      <c r="AG503" s="170"/>
      <c r="AH503" s="170"/>
      <c r="AI503" s="170"/>
      <c r="AJ503" s="170"/>
      <c r="AK503" s="170"/>
      <c r="AL503" s="170"/>
      <c r="AM503" s="170"/>
      <c r="AN503" s="170"/>
      <c r="AO503" s="170"/>
      <c r="AP503" s="170"/>
      <c r="AQ503" s="170"/>
      <c r="AR503" s="170"/>
      <c r="AS503" s="170"/>
    </row>
    <row r="504" spans="1:45" ht="15" x14ac:dyDescent="0.25">
      <c r="A504" s="170"/>
      <c r="B504" s="719"/>
      <c r="C504" s="170"/>
      <c r="D504" s="170"/>
      <c r="E504" s="170"/>
      <c r="F504" s="170"/>
      <c r="G504" s="721"/>
      <c r="H504" s="170"/>
      <c r="I504" s="170"/>
      <c r="J504" s="170"/>
      <c r="K504" s="170"/>
      <c r="L504" s="170"/>
      <c r="M504" s="730"/>
      <c r="N504" s="730"/>
      <c r="O504" s="730"/>
      <c r="P504" s="731"/>
      <c r="Q504" s="731"/>
      <c r="R504" s="730"/>
      <c r="S504" s="730"/>
      <c r="T504" s="723"/>
      <c r="U504" s="724"/>
      <c r="V504" s="725"/>
      <c r="W504" s="725"/>
      <c r="X504" s="723"/>
      <c r="Y504" s="723"/>
      <c r="Z504" s="723"/>
      <c r="AA504" s="726"/>
      <c r="AB504" s="726"/>
      <c r="AC504" s="170"/>
      <c r="AD504" s="586"/>
      <c r="AE504" s="586"/>
      <c r="AF504" s="170"/>
      <c r="AG504" s="170"/>
      <c r="AH504" s="170"/>
      <c r="AI504" s="170"/>
      <c r="AJ504" s="170"/>
      <c r="AK504" s="170"/>
      <c r="AL504" s="170"/>
      <c r="AM504" s="170"/>
      <c r="AN504" s="170"/>
      <c r="AO504" s="170"/>
      <c r="AP504" s="170"/>
      <c r="AQ504" s="170"/>
      <c r="AR504" s="170"/>
      <c r="AS504" s="170"/>
    </row>
    <row r="505" spans="1:45" ht="15" x14ac:dyDescent="0.25">
      <c r="A505" s="170"/>
      <c r="B505" s="719"/>
      <c r="C505" s="170"/>
      <c r="D505" s="170"/>
      <c r="E505" s="170"/>
      <c r="F505" s="170"/>
      <c r="G505" s="721"/>
      <c r="H505" s="170"/>
      <c r="I505" s="170"/>
      <c r="J505" s="170"/>
      <c r="K505" s="170"/>
      <c r="L505" s="170"/>
      <c r="M505" s="730"/>
      <c r="N505" s="730"/>
      <c r="O505" s="730"/>
      <c r="P505" s="731"/>
      <c r="Q505" s="731"/>
      <c r="R505" s="730"/>
      <c r="S505" s="730"/>
      <c r="T505" s="723"/>
      <c r="U505" s="724"/>
      <c r="V505" s="725"/>
      <c r="W505" s="725"/>
      <c r="X505" s="723"/>
      <c r="Y505" s="723"/>
      <c r="Z505" s="723"/>
      <c r="AA505" s="726"/>
      <c r="AB505" s="726"/>
      <c r="AC505" s="170"/>
      <c r="AD505" s="586"/>
      <c r="AE505" s="586"/>
      <c r="AF505" s="170"/>
      <c r="AG505" s="170"/>
      <c r="AH505" s="170"/>
      <c r="AI505" s="170"/>
      <c r="AJ505" s="170"/>
      <c r="AK505" s="170"/>
      <c r="AL505" s="170"/>
      <c r="AM505" s="170"/>
      <c r="AN505" s="170"/>
      <c r="AO505" s="170"/>
      <c r="AP505" s="170"/>
      <c r="AQ505" s="170"/>
      <c r="AR505" s="170"/>
      <c r="AS505" s="170"/>
    </row>
    <row r="506" spans="1:45" ht="15" x14ac:dyDescent="0.25">
      <c r="A506" s="170"/>
      <c r="B506" s="719"/>
      <c r="C506" s="170"/>
      <c r="D506" s="170"/>
      <c r="E506" s="170"/>
      <c r="F506" s="170"/>
      <c r="G506" s="721"/>
      <c r="H506" s="170"/>
      <c r="I506" s="170"/>
      <c r="J506" s="170"/>
      <c r="K506" s="170"/>
      <c r="L506" s="170"/>
      <c r="M506" s="730"/>
      <c r="N506" s="730"/>
      <c r="O506" s="730"/>
      <c r="P506" s="731"/>
      <c r="Q506" s="731"/>
      <c r="R506" s="730"/>
      <c r="S506" s="730"/>
      <c r="T506" s="723"/>
      <c r="U506" s="724"/>
      <c r="V506" s="725"/>
      <c r="W506" s="725"/>
      <c r="X506" s="723"/>
      <c r="Y506" s="723"/>
      <c r="Z506" s="723"/>
      <c r="AA506" s="726"/>
      <c r="AB506" s="726"/>
      <c r="AC506" s="170"/>
      <c r="AD506" s="586"/>
      <c r="AE506" s="586"/>
      <c r="AF506" s="170"/>
      <c r="AG506" s="170"/>
      <c r="AH506" s="170"/>
      <c r="AI506" s="170"/>
      <c r="AJ506" s="170"/>
      <c r="AK506" s="170"/>
      <c r="AL506" s="170"/>
      <c r="AM506" s="170"/>
      <c r="AN506" s="170"/>
      <c r="AO506" s="170"/>
      <c r="AP506" s="170"/>
      <c r="AQ506" s="170"/>
      <c r="AR506" s="170"/>
      <c r="AS506" s="170"/>
    </row>
    <row r="507" spans="1:45" ht="15" x14ac:dyDescent="0.25">
      <c r="A507" s="170"/>
      <c r="B507" s="719"/>
      <c r="C507" s="170"/>
      <c r="D507" s="170"/>
      <c r="E507" s="170"/>
      <c r="F507" s="170"/>
      <c r="G507" s="721"/>
      <c r="H507" s="170"/>
      <c r="I507" s="170"/>
      <c r="J507" s="170"/>
      <c r="K507" s="170"/>
      <c r="L507" s="170"/>
      <c r="M507" s="730"/>
      <c r="N507" s="730"/>
      <c r="O507" s="730"/>
      <c r="P507" s="731"/>
      <c r="Q507" s="731"/>
      <c r="R507" s="730"/>
      <c r="S507" s="730"/>
      <c r="T507" s="723"/>
      <c r="U507" s="724"/>
      <c r="V507" s="725"/>
      <c r="W507" s="725"/>
      <c r="X507" s="723"/>
      <c r="Y507" s="723"/>
      <c r="Z507" s="723"/>
      <c r="AA507" s="726"/>
      <c r="AB507" s="726"/>
      <c r="AC507" s="170"/>
      <c r="AD507" s="586"/>
      <c r="AE507" s="586"/>
      <c r="AF507" s="170"/>
      <c r="AG507" s="170"/>
      <c r="AH507" s="170"/>
      <c r="AI507" s="170"/>
      <c r="AJ507" s="170"/>
      <c r="AK507" s="170"/>
      <c r="AL507" s="170"/>
      <c r="AM507" s="170"/>
      <c r="AN507" s="170"/>
      <c r="AO507" s="170"/>
      <c r="AP507" s="170"/>
      <c r="AQ507" s="170"/>
      <c r="AR507" s="170"/>
      <c r="AS507" s="170"/>
    </row>
    <row r="508" spans="1:45" ht="15" x14ac:dyDescent="0.25">
      <c r="A508" s="170"/>
      <c r="B508" s="719"/>
      <c r="C508" s="170"/>
      <c r="D508" s="170"/>
      <c r="E508" s="170"/>
      <c r="F508" s="170"/>
      <c r="G508" s="721"/>
      <c r="H508" s="170"/>
      <c r="I508" s="170"/>
      <c r="J508" s="170"/>
      <c r="K508" s="170"/>
      <c r="L508" s="170"/>
      <c r="M508" s="730"/>
      <c r="N508" s="730"/>
      <c r="O508" s="730"/>
      <c r="P508" s="731"/>
      <c r="Q508" s="731"/>
      <c r="R508" s="730"/>
      <c r="S508" s="730"/>
      <c r="T508" s="723"/>
      <c r="U508" s="724"/>
      <c r="V508" s="725"/>
      <c r="W508" s="725"/>
      <c r="X508" s="723"/>
      <c r="Y508" s="723"/>
      <c r="Z508" s="723"/>
      <c r="AA508" s="726"/>
      <c r="AB508" s="726"/>
      <c r="AC508" s="170"/>
      <c r="AD508" s="586"/>
      <c r="AE508" s="586"/>
      <c r="AF508" s="170"/>
      <c r="AG508" s="170"/>
      <c r="AH508" s="170"/>
      <c r="AI508" s="170"/>
      <c r="AJ508" s="170"/>
      <c r="AK508" s="170"/>
      <c r="AL508" s="170"/>
      <c r="AM508" s="170"/>
      <c r="AN508" s="170"/>
      <c r="AO508" s="170"/>
      <c r="AP508" s="170"/>
      <c r="AQ508" s="170"/>
      <c r="AR508" s="170"/>
      <c r="AS508" s="170"/>
    </row>
    <row r="509" spans="1:45" ht="15" x14ac:dyDescent="0.25">
      <c r="A509" s="170"/>
      <c r="B509" s="719"/>
      <c r="C509" s="170"/>
      <c r="D509" s="170"/>
      <c r="E509" s="170"/>
      <c r="F509" s="170"/>
      <c r="G509" s="721"/>
      <c r="H509" s="170"/>
      <c r="I509" s="170"/>
      <c r="J509" s="170"/>
      <c r="K509" s="170"/>
      <c r="L509" s="170"/>
      <c r="M509" s="730"/>
      <c r="N509" s="730"/>
      <c r="O509" s="730"/>
      <c r="P509" s="731"/>
      <c r="Q509" s="731"/>
      <c r="R509" s="730"/>
      <c r="S509" s="730"/>
      <c r="T509" s="723"/>
      <c r="U509" s="724"/>
      <c r="V509" s="725"/>
      <c r="W509" s="725"/>
      <c r="X509" s="723"/>
      <c r="Y509" s="723"/>
      <c r="Z509" s="723"/>
      <c r="AA509" s="726"/>
      <c r="AB509" s="726"/>
      <c r="AC509" s="170"/>
      <c r="AD509" s="586"/>
      <c r="AE509" s="586"/>
      <c r="AF509" s="170"/>
      <c r="AG509" s="170"/>
      <c r="AH509" s="170"/>
      <c r="AI509" s="170"/>
      <c r="AJ509" s="170"/>
      <c r="AK509" s="170"/>
      <c r="AL509" s="170"/>
      <c r="AM509" s="170"/>
      <c r="AN509" s="170"/>
      <c r="AO509" s="170"/>
      <c r="AP509" s="170"/>
      <c r="AQ509" s="170"/>
      <c r="AR509" s="170"/>
      <c r="AS509" s="170"/>
    </row>
    <row r="510" spans="1:45" ht="15" x14ac:dyDescent="0.25">
      <c r="A510" s="170"/>
      <c r="B510" s="719"/>
      <c r="C510" s="170"/>
      <c r="D510" s="170"/>
      <c r="E510" s="170"/>
      <c r="F510" s="170"/>
      <c r="G510" s="721"/>
      <c r="H510" s="170"/>
      <c r="I510" s="170"/>
      <c r="J510" s="170"/>
      <c r="K510" s="170"/>
      <c r="L510" s="170"/>
      <c r="M510" s="730"/>
      <c r="N510" s="730"/>
      <c r="O510" s="730"/>
      <c r="P510" s="731"/>
      <c r="Q510" s="731"/>
      <c r="R510" s="730"/>
      <c r="S510" s="730"/>
      <c r="T510" s="723"/>
      <c r="U510" s="724"/>
      <c r="V510" s="725"/>
      <c r="W510" s="725"/>
      <c r="X510" s="723"/>
      <c r="Y510" s="723"/>
      <c r="Z510" s="723"/>
      <c r="AA510" s="726"/>
      <c r="AB510" s="726"/>
      <c r="AC510" s="170"/>
      <c r="AD510" s="586"/>
      <c r="AE510" s="586"/>
      <c r="AF510" s="170"/>
      <c r="AG510" s="170"/>
      <c r="AH510" s="170"/>
      <c r="AI510" s="170"/>
      <c r="AJ510" s="170"/>
      <c r="AK510" s="170"/>
      <c r="AL510" s="170"/>
      <c r="AM510" s="170"/>
      <c r="AN510" s="170"/>
      <c r="AO510" s="170"/>
      <c r="AP510" s="170"/>
      <c r="AQ510" s="170"/>
      <c r="AR510" s="170"/>
      <c r="AS510" s="170"/>
    </row>
    <row r="511" spans="1:45" ht="15" x14ac:dyDescent="0.25">
      <c r="A511" s="170"/>
      <c r="B511" s="719"/>
      <c r="C511" s="170"/>
      <c r="D511" s="170"/>
      <c r="E511" s="170"/>
      <c r="F511" s="170"/>
      <c r="G511" s="721"/>
      <c r="H511" s="170"/>
      <c r="I511" s="170"/>
      <c r="J511" s="170"/>
      <c r="K511" s="170"/>
      <c r="L511" s="170"/>
      <c r="M511" s="730"/>
      <c r="N511" s="730"/>
      <c r="O511" s="730"/>
      <c r="P511" s="731"/>
      <c r="Q511" s="731"/>
      <c r="R511" s="730"/>
      <c r="S511" s="730"/>
      <c r="T511" s="723"/>
      <c r="U511" s="724"/>
      <c r="V511" s="725"/>
      <c r="W511" s="725"/>
      <c r="X511" s="723"/>
      <c r="Y511" s="723"/>
      <c r="Z511" s="723"/>
      <c r="AA511" s="726"/>
      <c r="AB511" s="726"/>
      <c r="AC511" s="170"/>
      <c r="AD511" s="586"/>
      <c r="AE511" s="586"/>
      <c r="AF511" s="170"/>
      <c r="AG511" s="170"/>
      <c r="AH511" s="170"/>
      <c r="AI511" s="170"/>
      <c r="AJ511" s="170"/>
      <c r="AK511" s="170"/>
      <c r="AL511" s="170"/>
      <c r="AM511" s="170"/>
      <c r="AN511" s="170"/>
      <c r="AO511" s="170"/>
      <c r="AP511" s="170"/>
      <c r="AQ511" s="170"/>
      <c r="AR511" s="170"/>
      <c r="AS511" s="170"/>
    </row>
    <row r="512" spans="1:45" ht="15" x14ac:dyDescent="0.25">
      <c r="A512" s="170"/>
      <c r="B512" s="719"/>
      <c r="C512" s="170"/>
      <c r="D512" s="170"/>
      <c r="E512" s="170"/>
      <c r="F512" s="170"/>
      <c r="G512" s="721"/>
      <c r="H512" s="170"/>
      <c r="I512" s="170"/>
      <c r="J512" s="170"/>
      <c r="K512" s="170"/>
      <c r="L512" s="170"/>
      <c r="M512" s="730"/>
      <c r="N512" s="730"/>
      <c r="O512" s="730"/>
      <c r="P512" s="731"/>
      <c r="Q512" s="731"/>
      <c r="R512" s="730"/>
      <c r="S512" s="730"/>
      <c r="T512" s="723"/>
      <c r="U512" s="724"/>
      <c r="V512" s="725"/>
      <c r="W512" s="725"/>
      <c r="X512" s="723"/>
      <c r="Y512" s="723"/>
      <c r="Z512" s="723"/>
      <c r="AA512" s="726"/>
      <c r="AB512" s="726"/>
      <c r="AC512" s="170"/>
      <c r="AD512" s="586"/>
      <c r="AE512" s="586"/>
      <c r="AF512" s="170"/>
      <c r="AG512" s="170"/>
      <c r="AH512" s="170"/>
      <c r="AI512" s="170"/>
      <c r="AJ512" s="170"/>
      <c r="AK512" s="170"/>
      <c r="AL512" s="170"/>
      <c r="AM512" s="170"/>
      <c r="AN512" s="170"/>
      <c r="AO512" s="170"/>
      <c r="AP512" s="170"/>
      <c r="AQ512" s="170"/>
      <c r="AR512" s="170"/>
      <c r="AS512" s="170"/>
    </row>
    <row r="513" spans="1:45" ht="15" x14ac:dyDescent="0.25">
      <c r="A513" s="170"/>
      <c r="B513" s="719"/>
      <c r="C513" s="170"/>
      <c r="D513" s="170"/>
      <c r="E513" s="170"/>
      <c r="F513" s="170"/>
      <c r="G513" s="721"/>
      <c r="H513" s="170"/>
      <c r="I513" s="170"/>
      <c r="J513" s="170"/>
      <c r="K513" s="170"/>
      <c r="L513" s="170"/>
      <c r="M513" s="730"/>
      <c r="N513" s="730"/>
      <c r="O513" s="730"/>
      <c r="P513" s="731"/>
      <c r="Q513" s="731"/>
      <c r="R513" s="730"/>
      <c r="S513" s="730"/>
      <c r="T513" s="723"/>
      <c r="U513" s="724"/>
      <c r="V513" s="725"/>
      <c r="W513" s="725"/>
      <c r="X513" s="723"/>
      <c r="Y513" s="723"/>
      <c r="Z513" s="723"/>
      <c r="AA513" s="726"/>
      <c r="AB513" s="726"/>
      <c r="AC513" s="170"/>
      <c r="AD513" s="586"/>
      <c r="AE513" s="586"/>
      <c r="AF513" s="170"/>
      <c r="AG513" s="170"/>
      <c r="AH513" s="170"/>
      <c r="AI513" s="170"/>
      <c r="AJ513" s="170"/>
      <c r="AK513" s="170"/>
      <c r="AL513" s="170"/>
      <c r="AM513" s="170"/>
      <c r="AN513" s="170"/>
      <c r="AO513" s="170"/>
      <c r="AP513" s="170"/>
      <c r="AQ513" s="170"/>
      <c r="AR513" s="170"/>
      <c r="AS513" s="170"/>
    </row>
    <row r="514" spans="1:45" ht="15" x14ac:dyDescent="0.25">
      <c r="A514" s="170"/>
      <c r="B514" s="719"/>
      <c r="C514" s="170"/>
      <c r="D514" s="170"/>
      <c r="E514" s="170"/>
      <c r="F514" s="170"/>
      <c r="G514" s="721"/>
      <c r="H514" s="170"/>
      <c r="I514" s="170"/>
      <c r="J514" s="170"/>
      <c r="K514" s="170"/>
      <c r="L514" s="170"/>
      <c r="M514" s="730"/>
      <c r="N514" s="730"/>
      <c r="O514" s="730"/>
      <c r="P514" s="731"/>
      <c r="Q514" s="731"/>
      <c r="R514" s="730"/>
      <c r="S514" s="730"/>
      <c r="T514" s="723"/>
      <c r="U514" s="724"/>
      <c r="V514" s="725"/>
      <c r="W514" s="725"/>
      <c r="X514" s="723"/>
      <c r="Y514" s="723"/>
      <c r="Z514" s="723"/>
      <c r="AA514" s="726"/>
      <c r="AB514" s="726"/>
      <c r="AC514" s="170"/>
      <c r="AD514" s="586"/>
      <c r="AE514" s="586"/>
      <c r="AF514" s="170"/>
      <c r="AG514" s="170"/>
      <c r="AH514" s="170"/>
      <c r="AI514" s="170"/>
      <c r="AJ514" s="170"/>
      <c r="AK514" s="170"/>
      <c r="AL514" s="170"/>
      <c r="AM514" s="170"/>
      <c r="AN514" s="170"/>
      <c r="AO514" s="170"/>
      <c r="AP514" s="170"/>
      <c r="AQ514" s="170"/>
      <c r="AR514" s="170"/>
      <c r="AS514" s="170"/>
    </row>
    <row r="515" spans="1:45" ht="15" x14ac:dyDescent="0.25">
      <c r="A515" s="170"/>
      <c r="B515" s="719"/>
      <c r="C515" s="170"/>
      <c r="D515" s="170"/>
      <c r="E515" s="170"/>
      <c r="F515" s="170"/>
      <c r="G515" s="721"/>
      <c r="H515" s="170"/>
      <c r="I515" s="170"/>
      <c r="J515" s="170"/>
      <c r="K515" s="170"/>
      <c r="L515" s="170"/>
      <c r="M515" s="730"/>
      <c r="N515" s="730"/>
      <c r="O515" s="730"/>
      <c r="P515" s="731"/>
      <c r="Q515" s="731"/>
      <c r="R515" s="730"/>
      <c r="S515" s="730"/>
      <c r="T515" s="723"/>
      <c r="U515" s="724"/>
      <c r="V515" s="725"/>
      <c r="W515" s="725"/>
      <c r="X515" s="723"/>
      <c r="Y515" s="723"/>
      <c r="Z515" s="723"/>
      <c r="AA515" s="726"/>
      <c r="AB515" s="726"/>
      <c r="AC515" s="170"/>
      <c r="AD515" s="586"/>
      <c r="AE515" s="586"/>
      <c r="AF515" s="170"/>
      <c r="AG515" s="170"/>
      <c r="AH515" s="170"/>
      <c r="AI515" s="170"/>
      <c r="AJ515" s="170"/>
      <c r="AK515" s="170"/>
      <c r="AL515" s="170"/>
      <c r="AM515" s="170"/>
      <c r="AN515" s="170"/>
      <c r="AO515" s="170"/>
      <c r="AP515" s="170"/>
      <c r="AQ515" s="170"/>
      <c r="AR515" s="170"/>
      <c r="AS515" s="170"/>
    </row>
    <row r="516" spans="1:45" ht="15" x14ac:dyDescent="0.25">
      <c r="A516" s="170"/>
      <c r="B516" s="719"/>
      <c r="C516" s="170"/>
      <c r="D516" s="170"/>
      <c r="E516" s="170"/>
      <c r="F516" s="170"/>
      <c r="G516" s="721"/>
      <c r="H516" s="170"/>
      <c r="I516" s="170"/>
      <c r="J516" s="170"/>
      <c r="K516" s="170"/>
      <c r="L516" s="170"/>
      <c r="M516" s="730"/>
      <c r="N516" s="730"/>
      <c r="O516" s="730"/>
      <c r="P516" s="731"/>
      <c r="Q516" s="731"/>
      <c r="R516" s="730"/>
      <c r="S516" s="730"/>
      <c r="T516" s="723"/>
      <c r="U516" s="724"/>
      <c r="V516" s="725"/>
      <c r="W516" s="725"/>
      <c r="X516" s="723"/>
      <c r="Y516" s="723"/>
      <c r="Z516" s="723"/>
      <c r="AA516" s="726"/>
      <c r="AB516" s="726"/>
      <c r="AC516" s="170"/>
      <c r="AD516" s="586"/>
      <c r="AE516" s="586"/>
      <c r="AF516" s="170"/>
      <c r="AG516" s="170"/>
      <c r="AH516" s="170"/>
      <c r="AI516" s="170"/>
      <c r="AJ516" s="170"/>
      <c r="AK516" s="170"/>
      <c r="AL516" s="170"/>
      <c r="AM516" s="170"/>
      <c r="AN516" s="170"/>
      <c r="AO516" s="170"/>
      <c r="AP516" s="170"/>
      <c r="AQ516" s="170"/>
      <c r="AR516" s="170"/>
      <c r="AS516" s="170"/>
    </row>
    <row r="517" spans="1:45" ht="15" x14ac:dyDescent="0.25">
      <c r="A517" s="170"/>
      <c r="B517" s="719"/>
      <c r="C517" s="170"/>
      <c r="D517" s="170"/>
      <c r="E517" s="170"/>
      <c r="F517" s="170"/>
      <c r="G517" s="721"/>
      <c r="H517" s="170"/>
      <c r="I517" s="170"/>
      <c r="J517" s="170"/>
      <c r="K517" s="170"/>
      <c r="L517" s="170"/>
      <c r="M517" s="730"/>
      <c r="N517" s="730"/>
      <c r="O517" s="730"/>
      <c r="P517" s="731"/>
      <c r="Q517" s="731"/>
      <c r="R517" s="730"/>
      <c r="S517" s="730"/>
      <c r="T517" s="723"/>
      <c r="U517" s="724"/>
      <c r="V517" s="725"/>
      <c r="W517" s="725"/>
      <c r="X517" s="723"/>
      <c r="Y517" s="723"/>
      <c r="Z517" s="723"/>
      <c r="AA517" s="726"/>
      <c r="AB517" s="726"/>
      <c r="AC517" s="170"/>
      <c r="AD517" s="586"/>
      <c r="AE517" s="586"/>
      <c r="AF517" s="170"/>
      <c r="AG517" s="170"/>
      <c r="AH517" s="170"/>
      <c r="AI517" s="170"/>
      <c r="AJ517" s="170"/>
      <c r="AK517" s="170"/>
      <c r="AL517" s="170"/>
      <c r="AM517" s="170"/>
      <c r="AN517" s="170"/>
      <c r="AO517" s="170"/>
      <c r="AP517" s="170"/>
      <c r="AQ517" s="170"/>
      <c r="AR517" s="170"/>
      <c r="AS517" s="170"/>
    </row>
    <row r="518" spans="1:45" ht="15" x14ac:dyDescent="0.25">
      <c r="A518" s="170"/>
      <c r="B518" s="719"/>
      <c r="C518" s="170"/>
      <c r="D518" s="170"/>
      <c r="E518" s="170"/>
      <c r="F518" s="170"/>
      <c r="G518" s="721"/>
      <c r="H518" s="170"/>
      <c r="I518" s="170"/>
      <c r="J518" s="170"/>
      <c r="K518" s="170"/>
      <c r="L518" s="170"/>
      <c r="M518" s="730"/>
      <c r="N518" s="730"/>
      <c r="O518" s="730"/>
      <c r="P518" s="731"/>
      <c r="Q518" s="731"/>
      <c r="R518" s="730"/>
      <c r="S518" s="730"/>
      <c r="T518" s="723"/>
      <c r="U518" s="724"/>
      <c r="V518" s="725"/>
      <c r="W518" s="725"/>
      <c r="X518" s="723"/>
      <c r="Y518" s="723"/>
      <c r="Z518" s="723"/>
      <c r="AA518" s="726"/>
      <c r="AB518" s="726"/>
      <c r="AC518" s="170"/>
      <c r="AD518" s="586"/>
      <c r="AE518" s="586"/>
      <c r="AF518" s="170"/>
      <c r="AG518" s="170"/>
      <c r="AH518" s="170"/>
      <c r="AI518" s="170"/>
      <c r="AJ518" s="170"/>
      <c r="AK518" s="170"/>
      <c r="AL518" s="170"/>
      <c r="AM518" s="170"/>
      <c r="AN518" s="170"/>
      <c r="AO518" s="170"/>
      <c r="AP518" s="170"/>
      <c r="AQ518" s="170"/>
      <c r="AR518" s="170"/>
      <c r="AS518" s="170"/>
    </row>
    <row r="519" spans="1:45" ht="15" x14ac:dyDescent="0.25">
      <c r="A519" s="170"/>
      <c r="B519" s="719"/>
      <c r="C519" s="170"/>
      <c r="D519" s="170"/>
      <c r="E519" s="170"/>
      <c r="F519" s="170"/>
      <c r="G519" s="721"/>
      <c r="H519" s="170"/>
      <c r="I519" s="170"/>
      <c r="J519" s="170"/>
      <c r="K519" s="170"/>
      <c r="L519" s="170"/>
      <c r="M519" s="730"/>
      <c r="N519" s="730"/>
      <c r="O519" s="730"/>
      <c r="P519" s="731"/>
      <c r="Q519" s="731"/>
      <c r="R519" s="730"/>
      <c r="S519" s="730"/>
      <c r="T519" s="723"/>
      <c r="U519" s="724"/>
      <c r="V519" s="725"/>
      <c r="W519" s="725"/>
      <c r="X519" s="723"/>
      <c r="Y519" s="723"/>
      <c r="Z519" s="723"/>
      <c r="AA519" s="726"/>
      <c r="AB519" s="726"/>
      <c r="AC519" s="170"/>
      <c r="AD519" s="586"/>
      <c r="AE519" s="586"/>
      <c r="AF519" s="170"/>
      <c r="AG519" s="170"/>
      <c r="AH519" s="170"/>
      <c r="AI519" s="170"/>
      <c r="AJ519" s="170"/>
      <c r="AK519" s="170"/>
      <c r="AL519" s="170"/>
      <c r="AM519" s="170"/>
      <c r="AN519" s="170"/>
      <c r="AO519" s="170"/>
      <c r="AP519" s="170"/>
      <c r="AQ519" s="170"/>
      <c r="AR519" s="170"/>
      <c r="AS519" s="170"/>
    </row>
    <row r="520" spans="1:45" ht="15" x14ac:dyDescent="0.25">
      <c r="A520" s="170"/>
      <c r="B520" s="719"/>
      <c r="C520" s="170"/>
      <c r="D520" s="170"/>
      <c r="E520" s="170"/>
      <c r="F520" s="170"/>
      <c r="G520" s="721"/>
      <c r="H520" s="170"/>
      <c r="I520" s="170"/>
      <c r="J520" s="170"/>
      <c r="K520" s="170"/>
      <c r="L520" s="170"/>
      <c r="M520" s="730"/>
      <c r="N520" s="730"/>
      <c r="O520" s="730"/>
      <c r="P520" s="731"/>
      <c r="Q520" s="731"/>
      <c r="R520" s="730"/>
      <c r="S520" s="730"/>
      <c r="T520" s="723"/>
      <c r="U520" s="724"/>
      <c r="V520" s="725"/>
      <c r="W520" s="725"/>
      <c r="X520" s="723"/>
      <c r="Y520" s="723"/>
      <c r="Z520" s="723"/>
      <c r="AA520" s="726"/>
      <c r="AB520" s="726"/>
      <c r="AC520" s="170"/>
      <c r="AD520" s="586"/>
      <c r="AE520" s="586"/>
      <c r="AF520" s="170"/>
      <c r="AG520" s="170"/>
      <c r="AH520" s="170"/>
      <c r="AI520" s="170"/>
      <c r="AJ520" s="170"/>
      <c r="AK520" s="170"/>
      <c r="AL520" s="170"/>
      <c r="AM520" s="170"/>
      <c r="AN520" s="170"/>
      <c r="AO520" s="170"/>
      <c r="AP520" s="170"/>
      <c r="AQ520" s="170"/>
      <c r="AR520" s="170"/>
      <c r="AS520" s="170"/>
    </row>
    <row r="521" spans="1:45" ht="15" x14ac:dyDescent="0.25">
      <c r="A521" s="170"/>
      <c r="B521" s="719"/>
      <c r="C521" s="170"/>
      <c r="D521" s="170"/>
      <c r="E521" s="170"/>
      <c r="F521" s="170"/>
      <c r="G521" s="721"/>
      <c r="H521" s="170"/>
      <c r="I521" s="170"/>
      <c r="J521" s="170"/>
      <c r="K521" s="170"/>
      <c r="L521" s="170"/>
      <c r="M521" s="730"/>
      <c r="N521" s="730"/>
      <c r="O521" s="730"/>
      <c r="P521" s="731"/>
      <c r="Q521" s="731"/>
      <c r="R521" s="730"/>
      <c r="S521" s="730"/>
      <c r="T521" s="723"/>
      <c r="U521" s="724"/>
      <c r="V521" s="725"/>
      <c r="W521" s="725"/>
      <c r="X521" s="723"/>
      <c r="Y521" s="723"/>
      <c r="Z521" s="723"/>
      <c r="AA521" s="726"/>
      <c r="AB521" s="726"/>
      <c r="AC521" s="170"/>
      <c r="AD521" s="586"/>
      <c r="AE521" s="586"/>
      <c r="AF521" s="170"/>
      <c r="AG521" s="170"/>
      <c r="AH521" s="170"/>
      <c r="AI521" s="170"/>
      <c r="AJ521" s="170"/>
      <c r="AK521" s="170"/>
      <c r="AL521" s="170"/>
      <c r="AM521" s="170"/>
      <c r="AN521" s="170"/>
      <c r="AO521" s="170"/>
      <c r="AP521" s="170"/>
      <c r="AQ521" s="170"/>
      <c r="AR521" s="170"/>
      <c r="AS521" s="170"/>
    </row>
    <row r="522" spans="1:45" ht="15" x14ac:dyDescent="0.25">
      <c r="A522" s="170"/>
      <c r="B522" s="719"/>
      <c r="C522" s="170"/>
      <c r="D522" s="170"/>
      <c r="E522" s="170"/>
      <c r="F522" s="170"/>
      <c r="G522" s="721"/>
      <c r="H522" s="170"/>
      <c r="I522" s="170"/>
      <c r="J522" s="170"/>
      <c r="K522" s="170"/>
      <c r="L522" s="170"/>
      <c r="M522" s="730"/>
      <c r="N522" s="730"/>
      <c r="O522" s="730"/>
      <c r="P522" s="731"/>
      <c r="Q522" s="731"/>
      <c r="R522" s="730"/>
      <c r="S522" s="730"/>
      <c r="T522" s="723"/>
      <c r="U522" s="724"/>
      <c r="V522" s="725"/>
      <c r="W522" s="725"/>
      <c r="X522" s="723"/>
      <c r="Y522" s="723"/>
      <c r="Z522" s="723"/>
      <c r="AA522" s="726"/>
      <c r="AB522" s="726"/>
      <c r="AC522" s="170"/>
      <c r="AD522" s="586"/>
      <c r="AE522" s="586"/>
      <c r="AF522" s="170"/>
      <c r="AG522" s="170"/>
      <c r="AH522" s="170"/>
      <c r="AI522" s="170"/>
      <c r="AJ522" s="170"/>
      <c r="AK522" s="170"/>
      <c r="AL522" s="170"/>
      <c r="AM522" s="170"/>
      <c r="AN522" s="170"/>
      <c r="AO522" s="170"/>
      <c r="AP522" s="170"/>
      <c r="AQ522" s="170"/>
      <c r="AR522" s="170"/>
      <c r="AS522" s="170"/>
    </row>
    <row r="523" spans="1:45" ht="15" x14ac:dyDescent="0.25">
      <c r="A523" s="170"/>
      <c r="B523" s="719"/>
      <c r="C523" s="170"/>
      <c r="D523" s="170"/>
      <c r="E523" s="170"/>
      <c r="F523" s="170"/>
      <c r="G523" s="721"/>
      <c r="H523" s="170"/>
      <c r="I523" s="170"/>
      <c r="J523" s="170"/>
      <c r="K523" s="170"/>
      <c r="L523" s="170"/>
      <c r="M523" s="730"/>
      <c r="N523" s="730"/>
      <c r="O523" s="730"/>
      <c r="P523" s="731"/>
      <c r="Q523" s="731"/>
      <c r="R523" s="730"/>
      <c r="S523" s="730"/>
      <c r="T523" s="723"/>
      <c r="U523" s="724"/>
      <c r="V523" s="725"/>
      <c r="W523" s="725"/>
      <c r="X523" s="723"/>
      <c r="Y523" s="723"/>
      <c r="Z523" s="723"/>
      <c r="AA523" s="726"/>
      <c r="AB523" s="726"/>
      <c r="AC523" s="170"/>
      <c r="AD523" s="586"/>
      <c r="AE523" s="586"/>
      <c r="AF523" s="170"/>
      <c r="AG523" s="170"/>
      <c r="AH523" s="170"/>
      <c r="AI523" s="170"/>
      <c r="AJ523" s="170"/>
      <c r="AK523" s="170"/>
      <c r="AL523" s="170"/>
      <c r="AM523" s="170"/>
      <c r="AN523" s="170"/>
      <c r="AO523" s="170"/>
      <c r="AP523" s="170"/>
      <c r="AQ523" s="170"/>
      <c r="AR523" s="170"/>
      <c r="AS523" s="170"/>
    </row>
    <row r="524" spans="1:45" ht="15" x14ac:dyDescent="0.25">
      <c r="A524" s="170"/>
      <c r="B524" s="719"/>
      <c r="C524" s="170"/>
      <c r="D524" s="170"/>
      <c r="E524" s="170"/>
      <c r="F524" s="170"/>
      <c r="G524" s="721"/>
      <c r="H524" s="170"/>
      <c r="I524" s="170"/>
      <c r="J524" s="170"/>
      <c r="K524" s="170"/>
      <c r="L524" s="170"/>
      <c r="M524" s="730"/>
      <c r="N524" s="730"/>
      <c r="O524" s="730"/>
      <c r="P524" s="731"/>
      <c r="Q524" s="731"/>
      <c r="R524" s="730"/>
      <c r="S524" s="730"/>
      <c r="T524" s="723"/>
      <c r="U524" s="724"/>
      <c r="V524" s="725"/>
      <c r="W524" s="725"/>
      <c r="X524" s="723"/>
      <c r="Y524" s="723"/>
      <c r="Z524" s="723"/>
      <c r="AA524" s="726"/>
      <c r="AB524" s="726"/>
      <c r="AC524" s="170"/>
      <c r="AD524" s="586"/>
      <c r="AE524" s="586"/>
      <c r="AF524" s="170"/>
      <c r="AG524" s="170"/>
      <c r="AH524" s="170"/>
      <c r="AI524" s="170"/>
      <c r="AJ524" s="170"/>
      <c r="AK524" s="170"/>
      <c r="AL524" s="170"/>
      <c r="AM524" s="170"/>
      <c r="AN524" s="170"/>
      <c r="AO524" s="170"/>
      <c r="AP524" s="170"/>
      <c r="AQ524" s="170"/>
      <c r="AR524" s="170"/>
      <c r="AS524" s="170"/>
    </row>
    <row r="525" spans="1:45" ht="15" x14ac:dyDescent="0.25">
      <c r="A525" s="170"/>
      <c r="B525" s="719"/>
      <c r="C525" s="170"/>
      <c r="D525" s="170"/>
      <c r="E525" s="170"/>
      <c r="F525" s="170"/>
      <c r="G525" s="721"/>
      <c r="H525" s="170"/>
      <c r="I525" s="170"/>
      <c r="J525" s="170"/>
      <c r="K525" s="170"/>
      <c r="L525" s="170"/>
      <c r="M525" s="730"/>
      <c r="N525" s="730"/>
      <c r="O525" s="730"/>
      <c r="P525" s="731"/>
      <c r="Q525" s="731"/>
      <c r="R525" s="730"/>
      <c r="S525" s="730"/>
      <c r="T525" s="723"/>
      <c r="U525" s="724"/>
      <c r="V525" s="725"/>
      <c r="W525" s="725"/>
      <c r="X525" s="723"/>
      <c r="Y525" s="723"/>
      <c r="Z525" s="723"/>
      <c r="AA525" s="726"/>
      <c r="AB525" s="726"/>
      <c r="AC525" s="170"/>
      <c r="AD525" s="586"/>
      <c r="AE525" s="586"/>
      <c r="AF525" s="170"/>
      <c r="AG525" s="170"/>
      <c r="AH525" s="170"/>
      <c r="AI525" s="170"/>
      <c r="AJ525" s="170"/>
      <c r="AK525" s="170"/>
      <c r="AL525" s="170"/>
      <c r="AM525" s="170"/>
      <c r="AN525" s="170"/>
      <c r="AO525" s="170"/>
      <c r="AP525" s="170"/>
      <c r="AQ525" s="170"/>
      <c r="AR525" s="170"/>
      <c r="AS525" s="170"/>
    </row>
    <row r="526" spans="1:45" ht="15" x14ac:dyDescent="0.25">
      <c r="A526" s="170"/>
      <c r="B526" s="719"/>
      <c r="C526" s="170"/>
      <c r="D526" s="170"/>
      <c r="E526" s="170"/>
      <c r="F526" s="170"/>
      <c r="G526" s="721"/>
      <c r="H526" s="170"/>
      <c r="I526" s="170"/>
      <c r="J526" s="170"/>
      <c r="K526" s="170"/>
      <c r="L526" s="170"/>
      <c r="M526" s="730"/>
      <c r="N526" s="730"/>
      <c r="O526" s="730"/>
      <c r="P526" s="731"/>
      <c r="Q526" s="731"/>
      <c r="R526" s="730"/>
      <c r="S526" s="730"/>
      <c r="T526" s="723"/>
      <c r="U526" s="724"/>
      <c r="V526" s="725"/>
      <c r="W526" s="725"/>
      <c r="X526" s="723"/>
      <c r="Y526" s="723"/>
      <c r="Z526" s="723"/>
      <c r="AA526" s="726"/>
      <c r="AB526" s="726"/>
      <c r="AC526" s="170"/>
      <c r="AD526" s="586"/>
      <c r="AE526" s="586"/>
      <c r="AF526" s="170"/>
      <c r="AG526" s="170"/>
      <c r="AH526" s="170"/>
      <c r="AI526" s="170"/>
      <c r="AJ526" s="170"/>
      <c r="AK526" s="170"/>
      <c r="AL526" s="170"/>
      <c r="AM526" s="170"/>
      <c r="AN526" s="170"/>
      <c r="AO526" s="170"/>
      <c r="AP526" s="170"/>
      <c r="AQ526" s="170"/>
      <c r="AR526" s="170"/>
      <c r="AS526" s="170"/>
    </row>
    <row r="527" spans="1:45" ht="15" x14ac:dyDescent="0.25">
      <c r="A527" s="170"/>
      <c r="B527" s="719"/>
      <c r="C527" s="170"/>
      <c r="D527" s="170"/>
      <c r="E527" s="170"/>
      <c r="F527" s="170"/>
      <c r="G527" s="721"/>
      <c r="H527" s="170"/>
      <c r="I527" s="170"/>
      <c r="J527" s="170"/>
      <c r="K527" s="170"/>
      <c r="L527" s="170"/>
      <c r="M527" s="730"/>
      <c r="N527" s="730"/>
      <c r="O527" s="730"/>
      <c r="P527" s="731"/>
      <c r="Q527" s="731"/>
      <c r="R527" s="730"/>
      <c r="S527" s="730"/>
      <c r="T527" s="723"/>
      <c r="U527" s="724"/>
      <c r="V527" s="725"/>
      <c r="W527" s="725"/>
      <c r="X527" s="723"/>
      <c r="Y527" s="723"/>
      <c r="Z527" s="723"/>
      <c r="AA527" s="726"/>
      <c r="AB527" s="726"/>
      <c r="AC527" s="170"/>
      <c r="AD527" s="586"/>
      <c r="AE527" s="586"/>
      <c r="AF527" s="170"/>
      <c r="AG527" s="170"/>
      <c r="AH527" s="170"/>
      <c r="AI527" s="170"/>
      <c r="AJ527" s="170"/>
      <c r="AK527" s="170"/>
      <c r="AL527" s="170"/>
      <c r="AM527" s="170"/>
      <c r="AN527" s="170"/>
      <c r="AO527" s="170"/>
      <c r="AP527" s="170"/>
      <c r="AQ527" s="170"/>
      <c r="AR527" s="170"/>
      <c r="AS527" s="170"/>
    </row>
    <row r="528" spans="1:45" ht="15" x14ac:dyDescent="0.25">
      <c r="A528" s="170"/>
      <c r="B528" s="719"/>
      <c r="C528" s="170"/>
      <c r="D528" s="170"/>
      <c r="E528" s="170"/>
      <c r="F528" s="170"/>
      <c r="G528" s="721"/>
      <c r="H528" s="170"/>
      <c r="I528" s="170"/>
      <c r="J528" s="170"/>
      <c r="K528" s="170"/>
      <c r="L528" s="170"/>
      <c r="M528" s="730"/>
      <c r="N528" s="730"/>
      <c r="O528" s="730"/>
      <c r="P528" s="731"/>
      <c r="Q528" s="731"/>
      <c r="R528" s="730"/>
      <c r="S528" s="730"/>
      <c r="T528" s="723"/>
      <c r="U528" s="724"/>
      <c r="V528" s="725"/>
      <c r="W528" s="725"/>
      <c r="X528" s="723"/>
      <c r="Y528" s="723"/>
      <c r="Z528" s="723"/>
      <c r="AA528" s="726"/>
      <c r="AB528" s="726"/>
      <c r="AC528" s="170"/>
      <c r="AD528" s="586"/>
      <c r="AE528" s="586"/>
      <c r="AF528" s="170"/>
      <c r="AG528" s="170"/>
      <c r="AH528" s="170"/>
      <c r="AI528" s="170"/>
      <c r="AJ528" s="170"/>
      <c r="AK528" s="170"/>
      <c r="AL528" s="170"/>
      <c r="AM528" s="170"/>
      <c r="AN528" s="170"/>
      <c r="AO528" s="170"/>
      <c r="AP528" s="170"/>
      <c r="AQ528" s="170"/>
      <c r="AR528" s="170"/>
      <c r="AS528" s="170"/>
    </row>
    <row r="529" spans="1:45" ht="15" x14ac:dyDescent="0.25">
      <c r="A529" s="170"/>
      <c r="B529" s="719"/>
      <c r="C529" s="170"/>
      <c r="D529" s="170"/>
      <c r="E529" s="170"/>
      <c r="F529" s="170"/>
      <c r="G529" s="721"/>
      <c r="H529" s="170"/>
      <c r="I529" s="170"/>
      <c r="J529" s="170"/>
      <c r="K529" s="170"/>
      <c r="L529" s="170"/>
      <c r="M529" s="730"/>
      <c r="N529" s="730"/>
      <c r="O529" s="730"/>
      <c r="P529" s="731"/>
      <c r="Q529" s="731"/>
      <c r="R529" s="730"/>
      <c r="S529" s="730"/>
      <c r="T529" s="723"/>
      <c r="U529" s="724"/>
      <c r="V529" s="725"/>
      <c r="W529" s="725"/>
      <c r="X529" s="723"/>
      <c r="Y529" s="723"/>
      <c r="Z529" s="723"/>
      <c r="AA529" s="726"/>
      <c r="AB529" s="726"/>
      <c r="AC529" s="170"/>
      <c r="AD529" s="586"/>
      <c r="AE529" s="586"/>
      <c r="AF529" s="170"/>
      <c r="AG529" s="170"/>
      <c r="AH529" s="170"/>
      <c r="AI529" s="170"/>
      <c r="AJ529" s="170"/>
      <c r="AK529" s="170"/>
      <c r="AL529" s="170"/>
      <c r="AM529" s="170"/>
      <c r="AN529" s="170"/>
      <c r="AO529" s="170"/>
      <c r="AP529" s="170"/>
      <c r="AQ529" s="170"/>
      <c r="AR529" s="170"/>
      <c r="AS529" s="170"/>
    </row>
    <row r="530" spans="1:45" ht="15" x14ac:dyDescent="0.25">
      <c r="A530" s="170"/>
      <c r="B530" s="719"/>
      <c r="C530" s="170"/>
      <c r="D530" s="170"/>
      <c r="E530" s="170"/>
      <c r="F530" s="170"/>
      <c r="G530" s="721"/>
      <c r="H530" s="170"/>
      <c r="I530" s="170"/>
      <c r="J530" s="170"/>
      <c r="K530" s="170"/>
      <c r="L530" s="170"/>
      <c r="M530" s="730"/>
      <c r="N530" s="730"/>
      <c r="O530" s="730"/>
      <c r="P530" s="731"/>
      <c r="Q530" s="731"/>
      <c r="R530" s="730"/>
      <c r="S530" s="730"/>
      <c r="T530" s="723"/>
      <c r="U530" s="724"/>
      <c r="V530" s="725"/>
      <c r="W530" s="725"/>
      <c r="X530" s="723"/>
      <c r="Y530" s="723"/>
      <c r="Z530" s="723"/>
      <c r="AA530" s="726"/>
      <c r="AB530" s="726"/>
      <c r="AC530" s="170"/>
      <c r="AD530" s="586"/>
      <c r="AE530" s="586"/>
      <c r="AF530" s="170"/>
      <c r="AG530" s="170"/>
      <c r="AH530" s="170"/>
      <c r="AI530" s="170"/>
      <c r="AJ530" s="170"/>
      <c r="AK530" s="170"/>
      <c r="AL530" s="170"/>
      <c r="AM530" s="170"/>
      <c r="AN530" s="170"/>
      <c r="AO530" s="170"/>
      <c r="AP530" s="170"/>
      <c r="AQ530" s="170"/>
      <c r="AR530" s="170"/>
      <c r="AS530" s="170"/>
    </row>
    <row r="531" spans="1:45" ht="15" x14ac:dyDescent="0.25">
      <c r="A531" s="170"/>
      <c r="B531" s="719"/>
      <c r="C531" s="170"/>
      <c r="D531" s="170"/>
      <c r="E531" s="170"/>
      <c r="F531" s="170"/>
      <c r="G531" s="721"/>
      <c r="H531" s="170"/>
      <c r="I531" s="170"/>
      <c r="J531" s="170"/>
      <c r="K531" s="170"/>
      <c r="L531" s="170"/>
      <c r="M531" s="730"/>
      <c r="N531" s="730"/>
      <c r="O531" s="730"/>
      <c r="P531" s="731"/>
      <c r="Q531" s="731"/>
      <c r="R531" s="730"/>
      <c r="S531" s="730"/>
      <c r="T531" s="723"/>
      <c r="U531" s="724"/>
      <c r="V531" s="725"/>
      <c r="W531" s="725"/>
      <c r="X531" s="723"/>
      <c r="Y531" s="723"/>
      <c r="Z531" s="723"/>
      <c r="AA531" s="726"/>
      <c r="AB531" s="726"/>
      <c r="AC531" s="170"/>
      <c r="AD531" s="586"/>
      <c r="AE531" s="586"/>
      <c r="AF531" s="170"/>
      <c r="AG531" s="170"/>
      <c r="AH531" s="170"/>
      <c r="AI531" s="170"/>
      <c r="AJ531" s="170"/>
      <c r="AK531" s="170"/>
      <c r="AL531" s="170"/>
      <c r="AM531" s="170"/>
      <c r="AN531" s="170"/>
      <c r="AO531" s="170"/>
      <c r="AP531" s="170"/>
      <c r="AQ531" s="170"/>
      <c r="AR531" s="170"/>
      <c r="AS531" s="170"/>
    </row>
    <row r="532" spans="1:45" ht="15" x14ac:dyDescent="0.25">
      <c r="A532" s="170"/>
      <c r="B532" s="719"/>
      <c r="C532" s="170"/>
      <c r="D532" s="170"/>
      <c r="E532" s="170"/>
      <c r="F532" s="170"/>
      <c r="G532" s="721"/>
      <c r="H532" s="170"/>
      <c r="I532" s="170"/>
      <c r="J532" s="170"/>
      <c r="K532" s="170"/>
      <c r="L532" s="170"/>
      <c r="M532" s="730"/>
      <c r="N532" s="730"/>
      <c r="O532" s="730"/>
      <c r="P532" s="731"/>
      <c r="Q532" s="731"/>
      <c r="R532" s="730"/>
      <c r="S532" s="730"/>
      <c r="T532" s="723"/>
      <c r="U532" s="724"/>
      <c r="V532" s="725"/>
      <c r="W532" s="725"/>
      <c r="X532" s="723"/>
      <c r="Y532" s="723"/>
      <c r="Z532" s="723"/>
      <c r="AA532" s="726"/>
      <c r="AB532" s="726"/>
      <c r="AC532" s="170"/>
      <c r="AD532" s="586"/>
      <c r="AE532" s="586"/>
      <c r="AF532" s="170"/>
      <c r="AG532" s="170"/>
      <c r="AH532" s="170"/>
      <c r="AI532" s="170"/>
      <c r="AJ532" s="170"/>
      <c r="AK532" s="170"/>
      <c r="AL532" s="170"/>
      <c r="AM532" s="170"/>
      <c r="AN532" s="170"/>
      <c r="AO532" s="170"/>
      <c r="AP532" s="170"/>
      <c r="AQ532" s="170"/>
      <c r="AR532" s="170"/>
      <c r="AS532" s="170"/>
    </row>
    <row r="533" spans="1:45" ht="15" x14ac:dyDescent="0.25">
      <c r="A533" s="170"/>
      <c r="B533" s="719"/>
      <c r="C533" s="170"/>
      <c r="D533" s="170"/>
      <c r="E533" s="170"/>
      <c r="F533" s="170"/>
      <c r="G533" s="721"/>
      <c r="H533" s="170"/>
      <c r="I533" s="170"/>
      <c r="J533" s="170"/>
      <c r="K533" s="170"/>
      <c r="L533" s="170"/>
      <c r="M533" s="730"/>
      <c r="N533" s="730"/>
      <c r="O533" s="730"/>
      <c r="P533" s="731"/>
      <c r="Q533" s="731"/>
      <c r="R533" s="730"/>
      <c r="S533" s="730"/>
      <c r="T533" s="723"/>
      <c r="U533" s="724"/>
      <c r="V533" s="725"/>
      <c r="W533" s="725"/>
      <c r="X533" s="723"/>
      <c r="Y533" s="723"/>
      <c r="Z533" s="723"/>
      <c r="AA533" s="726"/>
      <c r="AB533" s="726"/>
      <c r="AC533" s="170"/>
      <c r="AD533" s="586"/>
      <c r="AE533" s="586"/>
      <c r="AF533" s="170"/>
      <c r="AG533" s="170"/>
      <c r="AH533" s="170"/>
      <c r="AI533" s="170"/>
      <c r="AJ533" s="170"/>
      <c r="AK533" s="170"/>
      <c r="AL533" s="170"/>
      <c r="AM533" s="170"/>
      <c r="AN533" s="170"/>
      <c r="AO533" s="170"/>
      <c r="AP533" s="170"/>
      <c r="AQ533" s="170"/>
      <c r="AR533" s="170"/>
      <c r="AS533" s="170"/>
    </row>
    <row r="534" spans="1:45" ht="15" x14ac:dyDescent="0.25">
      <c r="A534" s="170"/>
      <c r="B534" s="719"/>
      <c r="C534" s="170"/>
      <c r="D534" s="170"/>
      <c r="E534" s="170"/>
      <c r="F534" s="170"/>
      <c r="G534" s="721"/>
      <c r="H534" s="170"/>
      <c r="I534" s="170"/>
      <c r="J534" s="170"/>
      <c r="K534" s="170"/>
      <c r="L534" s="170"/>
      <c r="M534" s="730"/>
      <c r="N534" s="730"/>
      <c r="O534" s="730"/>
      <c r="P534" s="731"/>
      <c r="Q534" s="731"/>
      <c r="R534" s="730"/>
      <c r="S534" s="730"/>
      <c r="T534" s="723"/>
      <c r="U534" s="724"/>
      <c r="V534" s="725"/>
      <c r="W534" s="725"/>
      <c r="X534" s="723"/>
      <c r="Y534" s="723"/>
      <c r="Z534" s="723"/>
      <c r="AA534" s="726"/>
      <c r="AB534" s="726"/>
      <c r="AC534" s="170"/>
      <c r="AD534" s="586"/>
      <c r="AE534" s="586"/>
      <c r="AF534" s="170"/>
      <c r="AG534" s="170"/>
      <c r="AH534" s="170"/>
      <c r="AI534" s="170"/>
      <c r="AJ534" s="170"/>
      <c r="AK534" s="170"/>
      <c r="AL534" s="170"/>
      <c r="AM534" s="170"/>
      <c r="AN534" s="170"/>
      <c r="AO534" s="170"/>
      <c r="AP534" s="170"/>
      <c r="AQ534" s="170"/>
      <c r="AR534" s="170"/>
      <c r="AS534" s="170"/>
    </row>
    <row r="535" spans="1:45" ht="15" x14ac:dyDescent="0.25">
      <c r="A535" s="170"/>
      <c r="B535" s="719"/>
      <c r="C535" s="170"/>
      <c r="D535" s="170"/>
      <c r="E535" s="170"/>
      <c r="F535" s="170"/>
      <c r="G535" s="721"/>
      <c r="H535" s="170"/>
      <c r="I535" s="170"/>
      <c r="J535" s="170"/>
      <c r="K535" s="170"/>
      <c r="L535" s="170"/>
      <c r="M535" s="730"/>
      <c r="N535" s="730"/>
      <c r="O535" s="730"/>
      <c r="P535" s="731"/>
      <c r="Q535" s="731"/>
      <c r="R535" s="730"/>
      <c r="S535" s="730"/>
      <c r="T535" s="723"/>
      <c r="U535" s="724"/>
      <c r="V535" s="725"/>
      <c r="W535" s="725"/>
      <c r="X535" s="723"/>
      <c r="Y535" s="723"/>
      <c r="Z535" s="723"/>
      <c r="AA535" s="726"/>
      <c r="AB535" s="726"/>
      <c r="AC535" s="170"/>
      <c r="AD535" s="586"/>
      <c r="AE535" s="586"/>
      <c r="AF535" s="170"/>
      <c r="AG535" s="170"/>
      <c r="AH535" s="170"/>
      <c r="AI535" s="170"/>
      <c r="AJ535" s="170"/>
      <c r="AK535" s="170"/>
      <c r="AL535" s="170"/>
      <c r="AM535" s="170"/>
      <c r="AN535" s="170"/>
      <c r="AO535" s="170"/>
      <c r="AP535" s="170"/>
      <c r="AQ535" s="170"/>
      <c r="AR535" s="170"/>
      <c r="AS535" s="170"/>
    </row>
    <row r="536" spans="1:45" ht="15" x14ac:dyDescent="0.25">
      <c r="A536" s="170"/>
      <c r="B536" s="719"/>
      <c r="C536" s="170"/>
      <c r="D536" s="170"/>
      <c r="E536" s="170"/>
      <c r="F536" s="170"/>
      <c r="G536" s="721"/>
      <c r="H536" s="170"/>
      <c r="I536" s="170"/>
      <c r="J536" s="170"/>
      <c r="K536" s="170"/>
      <c r="L536" s="170"/>
      <c r="M536" s="730"/>
      <c r="N536" s="730"/>
      <c r="O536" s="730"/>
      <c r="P536" s="731"/>
      <c r="Q536" s="731"/>
      <c r="R536" s="730"/>
      <c r="S536" s="730"/>
      <c r="T536" s="723"/>
      <c r="U536" s="724"/>
      <c r="V536" s="725"/>
      <c r="W536" s="725"/>
      <c r="X536" s="723"/>
      <c r="Y536" s="723"/>
      <c r="Z536" s="723"/>
      <c r="AA536" s="726"/>
      <c r="AB536" s="726"/>
      <c r="AC536" s="170"/>
      <c r="AD536" s="586"/>
      <c r="AE536" s="586"/>
      <c r="AF536" s="170"/>
      <c r="AG536" s="170"/>
      <c r="AH536" s="170"/>
      <c r="AI536" s="170"/>
      <c r="AJ536" s="170"/>
      <c r="AK536" s="170"/>
      <c r="AL536" s="170"/>
      <c r="AM536" s="170"/>
      <c r="AN536" s="170"/>
      <c r="AO536" s="170"/>
      <c r="AP536" s="170"/>
      <c r="AQ536" s="170"/>
      <c r="AR536" s="170"/>
      <c r="AS536" s="170"/>
    </row>
    <row r="537" spans="1:45" ht="15" x14ac:dyDescent="0.25">
      <c r="A537" s="170"/>
      <c r="B537" s="719"/>
      <c r="C537" s="170"/>
      <c r="D537" s="170"/>
      <c r="E537" s="170"/>
      <c r="F537" s="170"/>
      <c r="G537" s="721"/>
      <c r="H537" s="170"/>
      <c r="I537" s="170"/>
      <c r="J537" s="170"/>
      <c r="K537" s="170"/>
      <c r="L537" s="170"/>
      <c r="M537" s="730"/>
      <c r="N537" s="730"/>
      <c r="O537" s="730"/>
      <c r="P537" s="731"/>
      <c r="Q537" s="731"/>
      <c r="R537" s="730"/>
      <c r="S537" s="730"/>
      <c r="T537" s="723"/>
      <c r="U537" s="724"/>
      <c r="V537" s="725"/>
      <c r="W537" s="725"/>
      <c r="X537" s="723"/>
      <c r="Y537" s="723"/>
      <c r="Z537" s="723"/>
      <c r="AA537" s="726"/>
      <c r="AB537" s="726"/>
      <c r="AC537" s="170"/>
      <c r="AD537" s="586"/>
      <c r="AE537" s="586"/>
      <c r="AF537" s="170"/>
      <c r="AG537" s="170"/>
      <c r="AH537" s="170"/>
      <c r="AI537" s="170"/>
      <c r="AJ537" s="170"/>
      <c r="AK537" s="170"/>
      <c r="AL537" s="170"/>
      <c r="AM537" s="170"/>
      <c r="AN537" s="170"/>
      <c r="AO537" s="170"/>
      <c r="AP537" s="170"/>
      <c r="AQ537" s="170"/>
      <c r="AR537" s="170"/>
      <c r="AS537" s="170"/>
    </row>
    <row r="538" spans="1:45" ht="15" x14ac:dyDescent="0.25">
      <c r="A538" s="170"/>
      <c r="B538" s="719"/>
      <c r="C538" s="170"/>
      <c r="D538" s="170"/>
      <c r="E538" s="170"/>
      <c r="F538" s="170"/>
      <c r="G538" s="721"/>
      <c r="H538" s="170"/>
      <c r="I538" s="170"/>
      <c r="J538" s="170"/>
      <c r="K538" s="170"/>
      <c r="L538" s="170"/>
      <c r="M538" s="730"/>
      <c r="N538" s="730"/>
      <c r="O538" s="730"/>
      <c r="P538" s="731"/>
      <c r="Q538" s="731"/>
      <c r="R538" s="730"/>
      <c r="S538" s="730"/>
      <c r="T538" s="723"/>
      <c r="U538" s="724"/>
      <c r="V538" s="725"/>
      <c r="W538" s="725"/>
      <c r="X538" s="723"/>
      <c r="Y538" s="723"/>
      <c r="Z538" s="723"/>
      <c r="AA538" s="726"/>
      <c r="AB538" s="726"/>
      <c r="AC538" s="170"/>
      <c r="AD538" s="586"/>
      <c r="AE538" s="586"/>
      <c r="AF538" s="170"/>
      <c r="AG538" s="170"/>
      <c r="AH538" s="170"/>
      <c r="AI538" s="170"/>
      <c r="AJ538" s="170"/>
      <c r="AK538" s="170"/>
      <c r="AL538" s="170"/>
      <c r="AM538" s="170"/>
      <c r="AN538" s="170"/>
      <c r="AO538" s="170"/>
      <c r="AP538" s="170"/>
      <c r="AQ538" s="170"/>
      <c r="AR538" s="170"/>
      <c r="AS538" s="170"/>
    </row>
    <row r="539" spans="1:45" ht="15" x14ac:dyDescent="0.25">
      <c r="A539" s="170"/>
      <c r="B539" s="719"/>
      <c r="C539" s="170"/>
      <c r="D539" s="170"/>
      <c r="E539" s="170"/>
      <c r="F539" s="170"/>
      <c r="G539" s="721"/>
      <c r="H539" s="170"/>
      <c r="I539" s="170"/>
      <c r="J539" s="170"/>
      <c r="K539" s="170"/>
      <c r="L539" s="170"/>
      <c r="M539" s="730"/>
      <c r="N539" s="730"/>
      <c r="O539" s="730"/>
      <c r="P539" s="731"/>
      <c r="Q539" s="731"/>
      <c r="R539" s="730"/>
      <c r="S539" s="730"/>
      <c r="T539" s="723"/>
      <c r="U539" s="724"/>
      <c r="V539" s="725"/>
      <c r="W539" s="725"/>
      <c r="X539" s="723"/>
      <c r="Y539" s="723"/>
      <c r="Z539" s="723"/>
      <c r="AA539" s="726"/>
      <c r="AB539" s="726"/>
      <c r="AC539" s="170"/>
      <c r="AD539" s="586"/>
      <c r="AE539" s="586"/>
      <c r="AF539" s="170"/>
      <c r="AG539" s="170"/>
      <c r="AH539" s="170"/>
      <c r="AI539" s="170"/>
      <c r="AJ539" s="170"/>
      <c r="AK539" s="170"/>
      <c r="AL539" s="170"/>
      <c r="AM539" s="170"/>
      <c r="AN539" s="170"/>
      <c r="AO539" s="170"/>
      <c r="AP539" s="170"/>
      <c r="AQ539" s="170"/>
      <c r="AR539" s="170"/>
      <c r="AS539" s="170"/>
    </row>
    <row r="540" spans="1:45" ht="15" x14ac:dyDescent="0.25">
      <c r="A540" s="170"/>
      <c r="B540" s="719"/>
      <c r="C540" s="170"/>
      <c r="D540" s="170"/>
      <c r="E540" s="170"/>
      <c r="F540" s="170"/>
      <c r="G540" s="721"/>
      <c r="H540" s="170"/>
      <c r="I540" s="170"/>
      <c r="J540" s="170"/>
      <c r="K540" s="170"/>
      <c r="L540" s="170"/>
      <c r="M540" s="730"/>
      <c r="N540" s="730"/>
      <c r="O540" s="730"/>
      <c r="P540" s="731"/>
      <c r="Q540" s="731"/>
      <c r="R540" s="730"/>
      <c r="S540" s="730"/>
      <c r="T540" s="723"/>
      <c r="U540" s="724"/>
      <c r="V540" s="725"/>
      <c r="W540" s="725"/>
      <c r="X540" s="723"/>
      <c r="Y540" s="723"/>
      <c r="Z540" s="723"/>
      <c r="AA540" s="726"/>
      <c r="AB540" s="726"/>
      <c r="AC540" s="170"/>
      <c r="AD540" s="586"/>
      <c r="AE540" s="586"/>
      <c r="AF540" s="170"/>
      <c r="AG540" s="170"/>
      <c r="AH540" s="170"/>
      <c r="AI540" s="170"/>
      <c r="AJ540" s="170"/>
      <c r="AK540" s="170"/>
      <c r="AL540" s="170"/>
      <c r="AM540" s="170"/>
      <c r="AN540" s="170"/>
      <c r="AO540" s="170"/>
      <c r="AP540" s="170"/>
      <c r="AQ540" s="170"/>
      <c r="AR540" s="170"/>
      <c r="AS540" s="170"/>
    </row>
    <row r="541" spans="1:45" ht="15" x14ac:dyDescent="0.25">
      <c r="A541" s="170"/>
      <c r="B541" s="719"/>
      <c r="C541" s="170"/>
      <c r="D541" s="170"/>
      <c r="E541" s="170"/>
      <c r="F541" s="170"/>
      <c r="G541" s="721"/>
      <c r="H541" s="170"/>
      <c r="I541" s="170"/>
      <c r="J541" s="170"/>
      <c r="K541" s="170"/>
      <c r="L541" s="170"/>
      <c r="M541" s="730"/>
      <c r="N541" s="730"/>
      <c r="O541" s="730"/>
      <c r="P541" s="731"/>
      <c r="Q541" s="731"/>
      <c r="R541" s="730"/>
      <c r="S541" s="730"/>
      <c r="T541" s="723"/>
      <c r="U541" s="724"/>
      <c r="V541" s="725"/>
      <c r="W541" s="725"/>
      <c r="X541" s="723"/>
      <c r="Y541" s="723"/>
      <c r="Z541" s="723"/>
      <c r="AA541" s="726"/>
      <c r="AB541" s="726"/>
      <c r="AC541" s="170"/>
      <c r="AD541" s="586"/>
      <c r="AE541" s="586"/>
      <c r="AF541" s="170"/>
      <c r="AG541" s="170"/>
      <c r="AH541" s="170"/>
      <c r="AI541" s="170"/>
      <c r="AJ541" s="170"/>
      <c r="AK541" s="170"/>
      <c r="AL541" s="170"/>
      <c r="AM541" s="170"/>
      <c r="AN541" s="170"/>
      <c r="AO541" s="170"/>
      <c r="AP541" s="170"/>
      <c r="AQ541" s="170"/>
      <c r="AR541" s="170"/>
      <c r="AS541" s="170"/>
    </row>
    <row r="542" spans="1:45" ht="15" x14ac:dyDescent="0.25">
      <c r="A542" s="170"/>
      <c r="B542" s="719"/>
      <c r="C542" s="170"/>
      <c r="D542" s="170"/>
      <c r="E542" s="170"/>
      <c r="F542" s="170"/>
      <c r="G542" s="721"/>
      <c r="H542" s="170"/>
      <c r="I542" s="170"/>
      <c r="J542" s="170"/>
      <c r="K542" s="170"/>
      <c r="L542" s="170"/>
      <c r="M542" s="730"/>
      <c r="N542" s="730"/>
      <c r="O542" s="730"/>
      <c r="P542" s="731"/>
      <c r="Q542" s="731"/>
      <c r="R542" s="730"/>
      <c r="S542" s="730"/>
      <c r="T542" s="723"/>
      <c r="U542" s="724"/>
      <c r="V542" s="725"/>
      <c r="W542" s="725"/>
      <c r="X542" s="723"/>
      <c r="Y542" s="723"/>
      <c r="Z542" s="723"/>
      <c r="AA542" s="726"/>
      <c r="AB542" s="726"/>
      <c r="AC542" s="170"/>
      <c r="AD542" s="586"/>
      <c r="AE542" s="586"/>
      <c r="AF542" s="170"/>
      <c r="AG542" s="170"/>
      <c r="AH542" s="170"/>
      <c r="AI542" s="170"/>
      <c r="AJ542" s="170"/>
      <c r="AK542" s="170"/>
      <c r="AL542" s="170"/>
      <c r="AM542" s="170"/>
      <c r="AN542" s="170"/>
      <c r="AO542" s="170"/>
      <c r="AP542" s="170"/>
      <c r="AQ542" s="170"/>
      <c r="AR542" s="170"/>
      <c r="AS542" s="170"/>
    </row>
    <row r="543" spans="1:45" ht="15" x14ac:dyDescent="0.25">
      <c r="A543" s="170"/>
      <c r="B543" s="719"/>
      <c r="C543" s="170"/>
      <c r="D543" s="170"/>
      <c r="E543" s="170"/>
      <c r="F543" s="170"/>
      <c r="G543" s="721"/>
      <c r="H543" s="170"/>
      <c r="I543" s="170"/>
      <c r="J543" s="170"/>
      <c r="K543" s="170"/>
      <c r="L543" s="170"/>
      <c r="M543" s="730"/>
      <c r="N543" s="730"/>
      <c r="O543" s="730"/>
      <c r="P543" s="731"/>
      <c r="Q543" s="731"/>
      <c r="R543" s="730"/>
      <c r="S543" s="730"/>
      <c r="T543" s="723"/>
      <c r="U543" s="724"/>
      <c r="V543" s="725"/>
      <c r="W543" s="725"/>
      <c r="X543" s="723"/>
      <c r="Y543" s="723"/>
      <c r="Z543" s="723"/>
      <c r="AA543" s="726"/>
      <c r="AB543" s="726"/>
      <c r="AC543" s="170"/>
      <c r="AD543" s="586"/>
      <c r="AE543" s="586"/>
      <c r="AF543" s="170"/>
      <c r="AG543" s="170"/>
      <c r="AH543" s="170"/>
      <c r="AI543" s="170"/>
      <c r="AJ543" s="170"/>
      <c r="AK543" s="170"/>
      <c r="AL543" s="170"/>
      <c r="AM543" s="170"/>
      <c r="AN543" s="170"/>
      <c r="AO543" s="170"/>
      <c r="AP543" s="170"/>
      <c r="AQ543" s="170"/>
      <c r="AR543" s="170"/>
      <c r="AS543" s="170"/>
    </row>
    <row r="544" spans="1:45" ht="15" x14ac:dyDescent="0.25">
      <c r="A544" s="170"/>
      <c r="B544" s="719"/>
      <c r="C544" s="170"/>
      <c r="D544" s="170"/>
      <c r="E544" s="170"/>
      <c r="F544" s="170"/>
      <c r="G544" s="721"/>
      <c r="H544" s="170"/>
      <c r="I544" s="170"/>
      <c r="J544" s="170"/>
      <c r="K544" s="170"/>
      <c r="L544" s="170"/>
      <c r="M544" s="730"/>
      <c r="N544" s="730"/>
      <c r="O544" s="730"/>
      <c r="P544" s="731"/>
      <c r="Q544" s="731"/>
      <c r="R544" s="730"/>
      <c r="S544" s="730"/>
      <c r="T544" s="723"/>
      <c r="U544" s="724"/>
      <c r="V544" s="725"/>
      <c r="W544" s="725"/>
      <c r="X544" s="723"/>
      <c r="Y544" s="723"/>
      <c r="Z544" s="723"/>
      <c r="AA544" s="726"/>
      <c r="AB544" s="726"/>
      <c r="AC544" s="170"/>
      <c r="AD544" s="586"/>
      <c r="AE544" s="586"/>
      <c r="AF544" s="170"/>
      <c r="AG544" s="170"/>
      <c r="AH544" s="170"/>
      <c r="AI544" s="170"/>
      <c r="AJ544" s="170"/>
      <c r="AK544" s="170"/>
      <c r="AL544" s="170"/>
      <c r="AM544" s="170"/>
      <c r="AN544" s="170"/>
      <c r="AO544" s="170"/>
      <c r="AP544" s="170"/>
      <c r="AQ544" s="170"/>
      <c r="AR544" s="170"/>
      <c r="AS544" s="170"/>
    </row>
    <row r="545" spans="1:45" ht="15" x14ac:dyDescent="0.25">
      <c r="A545" s="170"/>
      <c r="B545" s="719"/>
      <c r="C545" s="170"/>
      <c r="D545" s="170"/>
      <c r="E545" s="170"/>
      <c r="F545" s="170"/>
      <c r="G545" s="721"/>
      <c r="H545" s="170"/>
      <c r="I545" s="170"/>
      <c r="J545" s="170"/>
      <c r="K545" s="170"/>
      <c r="L545" s="170"/>
      <c r="M545" s="730"/>
      <c r="N545" s="730"/>
      <c r="O545" s="730"/>
      <c r="P545" s="731"/>
      <c r="Q545" s="731"/>
      <c r="R545" s="730"/>
      <c r="S545" s="730"/>
      <c r="T545" s="723"/>
      <c r="U545" s="724"/>
      <c r="V545" s="725"/>
      <c r="W545" s="725"/>
      <c r="X545" s="723"/>
      <c r="Y545" s="723"/>
      <c r="Z545" s="723"/>
      <c r="AA545" s="726"/>
      <c r="AB545" s="726"/>
      <c r="AC545" s="170"/>
      <c r="AD545" s="586"/>
      <c r="AE545" s="586"/>
      <c r="AF545" s="170"/>
      <c r="AG545" s="170"/>
      <c r="AH545" s="170"/>
      <c r="AI545" s="170"/>
      <c r="AJ545" s="170"/>
      <c r="AK545" s="170"/>
      <c r="AL545" s="170"/>
      <c r="AM545" s="170"/>
      <c r="AN545" s="170"/>
      <c r="AO545" s="170"/>
      <c r="AP545" s="170"/>
      <c r="AQ545" s="170"/>
      <c r="AR545" s="170"/>
      <c r="AS545" s="170"/>
    </row>
    <row r="546" spans="1:45" ht="15" x14ac:dyDescent="0.25">
      <c r="A546" s="170"/>
      <c r="B546" s="719"/>
      <c r="C546" s="170"/>
      <c r="D546" s="170"/>
      <c r="E546" s="170"/>
      <c r="F546" s="170"/>
      <c r="G546" s="721"/>
      <c r="H546" s="170"/>
      <c r="I546" s="170"/>
      <c r="J546" s="170"/>
      <c r="K546" s="170"/>
      <c r="L546" s="170"/>
      <c r="M546" s="730"/>
      <c r="N546" s="730"/>
      <c r="O546" s="730"/>
      <c r="P546" s="731"/>
      <c r="Q546" s="731"/>
      <c r="R546" s="730"/>
      <c r="S546" s="730"/>
      <c r="T546" s="723"/>
      <c r="U546" s="724"/>
      <c r="V546" s="725"/>
      <c r="W546" s="725"/>
      <c r="X546" s="723"/>
      <c r="Y546" s="723"/>
      <c r="Z546" s="723"/>
      <c r="AA546" s="726"/>
      <c r="AB546" s="726"/>
      <c r="AC546" s="170"/>
      <c r="AD546" s="586"/>
      <c r="AE546" s="586"/>
      <c r="AF546" s="170"/>
      <c r="AG546" s="170"/>
      <c r="AH546" s="170"/>
      <c r="AI546" s="170"/>
      <c r="AJ546" s="170"/>
      <c r="AK546" s="170"/>
      <c r="AL546" s="170"/>
      <c r="AM546" s="170"/>
      <c r="AN546" s="170"/>
      <c r="AO546" s="170"/>
      <c r="AP546" s="170"/>
      <c r="AQ546" s="170"/>
      <c r="AR546" s="170"/>
      <c r="AS546" s="170"/>
    </row>
    <row r="547" spans="1:45" ht="15" x14ac:dyDescent="0.25">
      <c r="A547" s="170"/>
      <c r="B547" s="719"/>
      <c r="C547" s="170"/>
      <c r="D547" s="170"/>
      <c r="E547" s="170"/>
      <c r="F547" s="170"/>
      <c r="G547" s="721"/>
      <c r="H547" s="170"/>
      <c r="I547" s="170"/>
      <c r="J547" s="170"/>
      <c r="K547" s="170"/>
      <c r="L547" s="170"/>
      <c r="M547" s="730"/>
      <c r="N547" s="730"/>
      <c r="O547" s="730"/>
      <c r="P547" s="731"/>
      <c r="Q547" s="731"/>
      <c r="R547" s="730"/>
      <c r="S547" s="730"/>
      <c r="T547" s="723"/>
      <c r="U547" s="724"/>
      <c r="V547" s="725"/>
      <c r="W547" s="725"/>
      <c r="X547" s="723"/>
      <c r="Y547" s="723"/>
      <c r="Z547" s="723"/>
      <c r="AA547" s="726"/>
      <c r="AB547" s="726"/>
      <c r="AC547" s="170"/>
      <c r="AD547" s="586"/>
      <c r="AE547" s="586"/>
      <c r="AF547" s="170"/>
      <c r="AG547" s="170"/>
      <c r="AH547" s="170"/>
      <c r="AI547" s="170"/>
      <c r="AJ547" s="170"/>
      <c r="AK547" s="170"/>
      <c r="AL547" s="170"/>
      <c r="AM547" s="170"/>
      <c r="AN547" s="170"/>
      <c r="AO547" s="170"/>
      <c r="AP547" s="170"/>
      <c r="AQ547" s="170"/>
      <c r="AR547" s="170"/>
      <c r="AS547" s="170"/>
    </row>
    <row r="548" spans="1:45" ht="15" x14ac:dyDescent="0.25">
      <c r="A548" s="170"/>
      <c r="B548" s="719"/>
      <c r="C548" s="170"/>
      <c r="D548" s="170"/>
      <c r="E548" s="170"/>
      <c r="F548" s="170"/>
      <c r="G548" s="721"/>
      <c r="H548" s="170"/>
      <c r="I548" s="170"/>
      <c r="J548" s="170"/>
      <c r="K548" s="170"/>
      <c r="L548" s="170"/>
      <c r="M548" s="730"/>
      <c r="N548" s="730"/>
      <c r="O548" s="730"/>
      <c r="P548" s="731"/>
      <c r="Q548" s="731"/>
      <c r="R548" s="730"/>
      <c r="S548" s="730"/>
      <c r="T548" s="723"/>
      <c r="U548" s="724"/>
      <c r="V548" s="725"/>
      <c r="W548" s="725"/>
      <c r="X548" s="723"/>
      <c r="Y548" s="723"/>
      <c r="Z548" s="723"/>
      <c r="AA548" s="726"/>
      <c r="AB548" s="726"/>
      <c r="AC548" s="170"/>
      <c r="AD548" s="586"/>
      <c r="AE548" s="586"/>
      <c r="AF548" s="170"/>
      <c r="AG548" s="170"/>
      <c r="AH548" s="170"/>
      <c r="AI548" s="170"/>
      <c r="AJ548" s="170"/>
      <c r="AK548" s="170"/>
      <c r="AL548" s="170"/>
      <c r="AM548" s="170"/>
      <c r="AN548" s="170"/>
      <c r="AO548" s="170"/>
      <c r="AP548" s="170"/>
      <c r="AQ548" s="170"/>
      <c r="AR548" s="170"/>
      <c r="AS548" s="170"/>
    </row>
    <row r="549" spans="1:45" ht="15" x14ac:dyDescent="0.25">
      <c r="A549" s="170"/>
      <c r="B549" s="719"/>
      <c r="C549" s="170"/>
      <c r="D549" s="170"/>
      <c r="E549" s="170"/>
      <c r="F549" s="170"/>
      <c r="G549" s="721"/>
      <c r="H549" s="170"/>
      <c r="I549" s="170"/>
      <c r="J549" s="170"/>
      <c r="K549" s="170"/>
      <c r="L549" s="170"/>
      <c r="M549" s="730"/>
      <c r="N549" s="730"/>
      <c r="O549" s="730"/>
      <c r="P549" s="731"/>
      <c r="Q549" s="731"/>
      <c r="R549" s="730"/>
      <c r="S549" s="730"/>
      <c r="T549" s="723"/>
      <c r="U549" s="724"/>
      <c r="V549" s="725"/>
      <c r="W549" s="725"/>
      <c r="X549" s="723"/>
      <c r="Y549" s="723"/>
      <c r="Z549" s="723"/>
      <c r="AA549" s="726"/>
      <c r="AB549" s="726"/>
      <c r="AC549" s="170"/>
      <c r="AD549" s="586"/>
      <c r="AE549" s="586"/>
      <c r="AF549" s="170"/>
      <c r="AG549" s="170"/>
      <c r="AH549" s="170"/>
      <c r="AI549" s="170"/>
      <c r="AJ549" s="170"/>
      <c r="AK549" s="170"/>
      <c r="AL549" s="170"/>
      <c r="AM549" s="170"/>
      <c r="AN549" s="170"/>
      <c r="AO549" s="170"/>
      <c r="AP549" s="170"/>
      <c r="AQ549" s="170"/>
      <c r="AR549" s="170"/>
      <c r="AS549" s="170"/>
    </row>
    <row r="550" spans="1:45" ht="15" x14ac:dyDescent="0.25">
      <c r="A550" s="170"/>
      <c r="B550" s="719"/>
      <c r="C550" s="170"/>
      <c r="D550" s="170"/>
      <c r="E550" s="170"/>
      <c r="F550" s="170"/>
      <c r="G550" s="721"/>
      <c r="H550" s="170"/>
      <c r="I550" s="170"/>
      <c r="J550" s="170"/>
      <c r="K550" s="170"/>
      <c r="L550" s="170"/>
      <c r="M550" s="730"/>
      <c r="N550" s="730"/>
      <c r="O550" s="730"/>
      <c r="P550" s="731"/>
      <c r="Q550" s="731"/>
      <c r="R550" s="730"/>
      <c r="S550" s="730"/>
      <c r="T550" s="723"/>
      <c r="U550" s="724"/>
      <c r="V550" s="725"/>
      <c r="W550" s="725"/>
      <c r="X550" s="723"/>
      <c r="Y550" s="723"/>
      <c r="Z550" s="723"/>
      <c r="AA550" s="726"/>
      <c r="AB550" s="726"/>
      <c r="AC550" s="170"/>
      <c r="AD550" s="586"/>
      <c r="AE550" s="586"/>
      <c r="AF550" s="170"/>
      <c r="AG550" s="170"/>
      <c r="AH550" s="170"/>
      <c r="AI550" s="170"/>
      <c r="AJ550" s="170"/>
      <c r="AK550" s="170"/>
      <c r="AL550" s="170"/>
      <c r="AM550" s="170"/>
      <c r="AN550" s="170"/>
      <c r="AO550" s="170"/>
      <c r="AP550" s="170"/>
      <c r="AQ550" s="170"/>
      <c r="AR550" s="170"/>
      <c r="AS550" s="170"/>
    </row>
    <row r="551" spans="1:45" ht="15" x14ac:dyDescent="0.25">
      <c r="A551" s="170"/>
      <c r="B551" s="719"/>
      <c r="C551" s="170"/>
      <c r="D551" s="170"/>
      <c r="E551" s="170"/>
      <c r="F551" s="170"/>
      <c r="G551" s="721"/>
      <c r="H551" s="170"/>
      <c r="I551" s="170"/>
      <c r="J551" s="170"/>
      <c r="K551" s="170"/>
      <c r="L551" s="170"/>
      <c r="M551" s="730"/>
      <c r="N551" s="730"/>
      <c r="O551" s="730"/>
      <c r="P551" s="731"/>
      <c r="Q551" s="731"/>
      <c r="R551" s="730"/>
      <c r="S551" s="730"/>
      <c r="T551" s="723"/>
      <c r="U551" s="724"/>
      <c r="V551" s="725"/>
      <c r="W551" s="725"/>
      <c r="X551" s="723"/>
      <c r="Y551" s="723"/>
      <c r="Z551" s="723"/>
      <c r="AA551" s="726"/>
      <c r="AB551" s="726"/>
      <c r="AC551" s="170"/>
      <c r="AD551" s="586"/>
      <c r="AE551" s="586"/>
      <c r="AF551" s="170"/>
      <c r="AG551" s="170"/>
      <c r="AH551" s="170"/>
      <c r="AI551" s="170"/>
      <c r="AJ551" s="170"/>
      <c r="AK551" s="170"/>
      <c r="AL551" s="170"/>
      <c r="AM551" s="170"/>
      <c r="AN551" s="170"/>
      <c r="AO551" s="170"/>
      <c r="AP551" s="170"/>
      <c r="AQ551" s="170"/>
      <c r="AR551" s="170"/>
      <c r="AS551" s="170"/>
    </row>
    <row r="552" spans="1:45" ht="15" x14ac:dyDescent="0.25">
      <c r="A552" s="170"/>
      <c r="B552" s="719"/>
      <c r="C552" s="170"/>
      <c r="D552" s="170"/>
      <c r="E552" s="170"/>
      <c r="F552" s="170"/>
      <c r="G552" s="721"/>
      <c r="H552" s="170"/>
      <c r="I552" s="170"/>
      <c r="J552" s="170"/>
      <c r="K552" s="170"/>
      <c r="L552" s="170"/>
      <c r="M552" s="730"/>
      <c r="N552" s="730"/>
      <c r="O552" s="730"/>
      <c r="P552" s="731"/>
      <c r="Q552" s="731"/>
      <c r="R552" s="730"/>
      <c r="S552" s="730"/>
      <c r="T552" s="723"/>
      <c r="U552" s="724"/>
      <c r="V552" s="725"/>
      <c r="W552" s="725"/>
      <c r="X552" s="723"/>
      <c r="Y552" s="723"/>
      <c r="Z552" s="723"/>
      <c r="AA552" s="726"/>
      <c r="AB552" s="726"/>
      <c r="AC552" s="170"/>
      <c r="AD552" s="586"/>
      <c r="AE552" s="586"/>
      <c r="AF552" s="170"/>
      <c r="AG552" s="170"/>
      <c r="AH552" s="170"/>
      <c r="AI552" s="170"/>
      <c r="AJ552" s="170"/>
      <c r="AK552" s="170"/>
      <c r="AL552" s="170"/>
      <c r="AM552" s="170"/>
      <c r="AN552" s="170"/>
      <c r="AO552" s="170"/>
      <c r="AP552" s="170"/>
      <c r="AQ552" s="170"/>
      <c r="AR552" s="170"/>
      <c r="AS552" s="170"/>
    </row>
    <row r="553" spans="1:45" ht="15" x14ac:dyDescent="0.25">
      <c r="A553" s="170"/>
      <c r="B553" s="719"/>
      <c r="C553" s="170"/>
      <c r="D553" s="170"/>
      <c r="E553" s="170"/>
      <c r="F553" s="170"/>
      <c r="G553" s="721"/>
      <c r="H553" s="170"/>
      <c r="I553" s="170"/>
      <c r="J553" s="170"/>
      <c r="K553" s="170"/>
      <c r="L553" s="170"/>
      <c r="M553" s="730"/>
      <c r="N553" s="730"/>
      <c r="O553" s="730"/>
      <c r="P553" s="731"/>
      <c r="Q553" s="731"/>
      <c r="R553" s="730"/>
      <c r="S553" s="730"/>
      <c r="T553" s="723"/>
      <c r="U553" s="724"/>
      <c r="V553" s="725"/>
      <c r="W553" s="725"/>
      <c r="X553" s="723"/>
      <c r="Y553" s="723"/>
      <c r="Z553" s="723"/>
      <c r="AA553" s="726"/>
      <c r="AB553" s="726"/>
      <c r="AC553" s="170"/>
      <c r="AD553" s="586"/>
      <c r="AE553" s="586"/>
      <c r="AF553" s="170"/>
      <c r="AG553" s="170"/>
      <c r="AH553" s="170"/>
      <c r="AI553" s="170"/>
      <c r="AJ553" s="170"/>
      <c r="AK553" s="170"/>
      <c r="AL553" s="170"/>
      <c r="AM553" s="170"/>
      <c r="AN553" s="170"/>
      <c r="AO553" s="170"/>
      <c r="AP553" s="170"/>
      <c r="AQ553" s="170"/>
      <c r="AR553" s="170"/>
      <c r="AS553" s="170"/>
    </row>
    <row r="554" spans="1:45" ht="15" x14ac:dyDescent="0.25">
      <c r="A554" s="170"/>
      <c r="B554" s="719"/>
      <c r="C554" s="170"/>
      <c r="D554" s="170"/>
      <c r="E554" s="170"/>
      <c r="F554" s="170"/>
      <c r="G554" s="721"/>
      <c r="H554" s="170"/>
      <c r="I554" s="170"/>
      <c r="J554" s="170"/>
      <c r="K554" s="170"/>
      <c r="L554" s="170"/>
      <c r="M554" s="730"/>
      <c r="N554" s="730"/>
      <c r="O554" s="730"/>
      <c r="P554" s="731"/>
      <c r="Q554" s="731"/>
      <c r="R554" s="730"/>
      <c r="S554" s="730"/>
      <c r="T554" s="723"/>
      <c r="U554" s="724"/>
      <c r="V554" s="725"/>
      <c r="W554" s="725"/>
      <c r="X554" s="723"/>
      <c r="Y554" s="723"/>
      <c r="Z554" s="723"/>
      <c r="AA554" s="726"/>
      <c r="AB554" s="726"/>
      <c r="AC554" s="170"/>
      <c r="AD554" s="586"/>
      <c r="AE554" s="586"/>
      <c r="AF554" s="170"/>
      <c r="AG554" s="170"/>
      <c r="AH554" s="170"/>
      <c r="AI554" s="170"/>
      <c r="AJ554" s="170"/>
      <c r="AK554" s="170"/>
      <c r="AL554" s="170"/>
      <c r="AM554" s="170"/>
      <c r="AN554" s="170"/>
      <c r="AO554" s="170"/>
      <c r="AP554" s="170"/>
      <c r="AQ554" s="170"/>
      <c r="AR554" s="170"/>
      <c r="AS554" s="170"/>
    </row>
    <row r="555" spans="1:45" ht="15" x14ac:dyDescent="0.25">
      <c r="A555" s="170"/>
      <c r="B555" s="719"/>
      <c r="C555" s="170"/>
      <c r="D555" s="170"/>
      <c r="E555" s="170"/>
      <c r="F555" s="170"/>
      <c r="G555" s="721"/>
      <c r="H555" s="170"/>
      <c r="I555" s="170"/>
      <c r="J555" s="170"/>
      <c r="K555" s="170"/>
      <c r="L555" s="170"/>
      <c r="M555" s="730"/>
      <c r="N555" s="730"/>
      <c r="O555" s="730"/>
      <c r="P555" s="731"/>
      <c r="Q555" s="731"/>
      <c r="R555" s="730"/>
      <c r="S555" s="730"/>
      <c r="T555" s="723"/>
      <c r="U555" s="724"/>
      <c r="V555" s="725"/>
      <c r="W555" s="725"/>
      <c r="X555" s="723"/>
      <c r="Y555" s="723"/>
      <c r="Z555" s="723"/>
      <c r="AA555" s="726"/>
      <c r="AB555" s="726"/>
      <c r="AC555" s="170"/>
      <c r="AD555" s="586"/>
      <c r="AE555" s="586"/>
      <c r="AF555" s="170"/>
      <c r="AG555" s="170"/>
      <c r="AH555" s="170"/>
      <c r="AI555" s="170"/>
      <c r="AJ555" s="170"/>
      <c r="AK555" s="170"/>
      <c r="AL555" s="170"/>
      <c r="AM555" s="170"/>
      <c r="AN555" s="170"/>
      <c r="AO555" s="170"/>
      <c r="AP555" s="170"/>
      <c r="AQ555" s="170"/>
      <c r="AR555" s="170"/>
      <c r="AS555" s="170"/>
    </row>
    <row r="556" spans="1:45" ht="15" x14ac:dyDescent="0.25">
      <c r="A556" s="170"/>
      <c r="B556" s="719"/>
      <c r="C556" s="170"/>
      <c r="D556" s="170"/>
      <c r="E556" s="170"/>
      <c r="F556" s="170"/>
      <c r="G556" s="721"/>
      <c r="H556" s="170"/>
      <c r="I556" s="170"/>
      <c r="J556" s="170"/>
      <c r="K556" s="170"/>
      <c r="L556" s="170"/>
      <c r="M556" s="730"/>
      <c r="N556" s="730"/>
      <c r="O556" s="730"/>
      <c r="P556" s="731"/>
      <c r="Q556" s="731"/>
      <c r="R556" s="730"/>
      <c r="S556" s="730"/>
      <c r="T556" s="723"/>
      <c r="U556" s="724"/>
      <c r="V556" s="725"/>
      <c r="W556" s="725"/>
      <c r="X556" s="723"/>
      <c r="Y556" s="723"/>
      <c r="Z556" s="723"/>
      <c r="AA556" s="726"/>
      <c r="AB556" s="726"/>
      <c r="AC556" s="170"/>
      <c r="AD556" s="586"/>
      <c r="AE556" s="586"/>
      <c r="AF556" s="170"/>
      <c r="AG556" s="170"/>
      <c r="AH556" s="170"/>
      <c r="AI556" s="170"/>
      <c r="AJ556" s="170"/>
      <c r="AK556" s="170"/>
      <c r="AL556" s="170"/>
      <c r="AM556" s="170"/>
      <c r="AN556" s="170"/>
      <c r="AO556" s="170"/>
      <c r="AP556" s="170"/>
      <c r="AQ556" s="170"/>
      <c r="AR556" s="170"/>
      <c r="AS556" s="170"/>
    </row>
    <row r="557" spans="1:45" ht="15" x14ac:dyDescent="0.25">
      <c r="A557" s="170"/>
      <c r="B557" s="719"/>
      <c r="C557" s="170"/>
      <c r="D557" s="170"/>
      <c r="E557" s="170"/>
      <c r="F557" s="170"/>
      <c r="G557" s="721"/>
      <c r="H557" s="170"/>
      <c r="I557" s="170"/>
      <c r="J557" s="170"/>
      <c r="K557" s="170"/>
      <c r="L557" s="170"/>
      <c r="M557" s="730"/>
      <c r="N557" s="730"/>
      <c r="O557" s="730"/>
      <c r="P557" s="731"/>
      <c r="Q557" s="731"/>
      <c r="R557" s="730"/>
      <c r="S557" s="730"/>
      <c r="T557" s="723"/>
      <c r="U557" s="724"/>
      <c r="V557" s="725"/>
      <c r="W557" s="725"/>
      <c r="X557" s="723"/>
      <c r="Y557" s="723"/>
      <c r="Z557" s="723"/>
      <c r="AA557" s="726"/>
      <c r="AB557" s="726"/>
      <c r="AC557" s="170"/>
      <c r="AD557" s="586"/>
      <c r="AE557" s="586"/>
      <c r="AF557" s="170"/>
      <c r="AG557" s="170"/>
      <c r="AH557" s="170"/>
      <c r="AI557" s="170"/>
      <c r="AJ557" s="170"/>
      <c r="AK557" s="170"/>
      <c r="AL557" s="170"/>
      <c r="AM557" s="170"/>
      <c r="AN557" s="170"/>
      <c r="AO557" s="170"/>
      <c r="AP557" s="170"/>
      <c r="AQ557" s="170"/>
      <c r="AR557" s="170"/>
      <c r="AS557" s="170"/>
    </row>
    <row r="558" spans="1:45" ht="15" x14ac:dyDescent="0.25">
      <c r="A558" s="170"/>
      <c r="B558" s="719"/>
      <c r="C558" s="170"/>
      <c r="D558" s="170"/>
      <c r="E558" s="170"/>
      <c r="F558" s="170"/>
      <c r="G558" s="721"/>
      <c r="H558" s="170"/>
      <c r="I558" s="170"/>
      <c r="J558" s="170"/>
      <c r="K558" s="170"/>
      <c r="L558" s="170"/>
      <c r="M558" s="730"/>
      <c r="N558" s="730"/>
      <c r="O558" s="730"/>
      <c r="P558" s="731"/>
      <c r="Q558" s="731"/>
      <c r="R558" s="730"/>
      <c r="S558" s="730"/>
      <c r="T558" s="723"/>
      <c r="U558" s="724"/>
      <c r="V558" s="725"/>
      <c r="W558" s="725"/>
      <c r="X558" s="723"/>
      <c r="Y558" s="723"/>
      <c r="Z558" s="723"/>
      <c r="AA558" s="726"/>
      <c r="AB558" s="726"/>
      <c r="AC558" s="170"/>
      <c r="AD558" s="586"/>
      <c r="AE558" s="586"/>
      <c r="AF558" s="170"/>
      <c r="AG558" s="170"/>
      <c r="AH558" s="170"/>
      <c r="AI558" s="170"/>
      <c r="AJ558" s="170"/>
      <c r="AK558" s="170"/>
      <c r="AL558" s="170"/>
      <c r="AM558" s="170"/>
      <c r="AN558" s="170"/>
      <c r="AO558" s="170"/>
      <c r="AP558" s="170"/>
      <c r="AQ558" s="170"/>
      <c r="AR558" s="170"/>
      <c r="AS558" s="170"/>
    </row>
    <row r="559" spans="1:45" ht="15" x14ac:dyDescent="0.25">
      <c r="A559" s="170"/>
      <c r="B559" s="719"/>
      <c r="C559" s="170"/>
      <c r="D559" s="170"/>
      <c r="E559" s="170"/>
      <c r="F559" s="170"/>
      <c r="G559" s="721"/>
      <c r="H559" s="170"/>
      <c r="I559" s="170"/>
      <c r="J559" s="170"/>
      <c r="K559" s="170"/>
      <c r="L559" s="170"/>
      <c r="M559" s="730"/>
      <c r="N559" s="730"/>
      <c r="O559" s="730"/>
      <c r="P559" s="731"/>
      <c r="Q559" s="731"/>
      <c r="R559" s="730"/>
      <c r="S559" s="730"/>
      <c r="T559" s="723"/>
      <c r="U559" s="724"/>
      <c r="V559" s="725"/>
      <c r="W559" s="725"/>
      <c r="X559" s="723"/>
      <c r="Y559" s="723"/>
      <c r="Z559" s="723"/>
      <c r="AA559" s="726"/>
      <c r="AB559" s="726"/>
      <c r="AC559" s="170"/>
      <c r="AD559" s="586"/>
      <c r="AE559" s="586"/>
      <c r="AF559" s="170"/>
      <c r="AG559" s="170"/>
      <c r="AH559" s="170"/>
      <c r="AI559" s="170"/>
      <c r="AJ559" s="170"/>
      <c r="AK559" s="170"/>
      <c r="AL559" s="170"/>
      <c r="AM559" s="170"/>
      <c r="AN559" s="170"/>
      <c r="AO559" s="170"/>
      <c r="AP559" s="170"/>
      <c r="AQ559" s="170"/>
      <c r="AR559" s="170"/>
      <c r="AS559" s="170"/>
    </row>
    <row r="560" spans="1:45" ht="15" x14ac:dyDescent="0.25">
      <c r="A560" s="170"/>
      <c r="B560" s="719"/>
      <c r="C560" s="170"/>
      <c r="D560" s="170"/>
      <c r="E560" s="170"/>
      <c r="F560" s="170"/>
      <c r="G560" s="721"/>
      <c r="H560" s="170"/>
      <c r="I560" s="170"/>
      <c r="J560" s="170"/>
      <c r="K560" s="170"/>
      <c r="L560" s="170"/>
      <c r="M560" s="730"/>
      <c r="N560" s="730"/>
      <c r="O560" s="730"/>
      <c r="P560" s="731"/>
      <c r="Q560" s="731"/>
      <c r="R560" s="730"/>
      <c r="S560" s="730"/>
      <c r="T560" s="723"/>
      <c r="U560" s="724"/>
      <c r="V560" s="725"/>
      <c r="W560" s="725"/>
      <c r="X560" s="723"/>
      <c r="Y560" s="723"/>
      <c r="Z560" s="723"/>
      <c r="AA560" s="726"/>
      <c r="AB560" s="726"/>
      <c r="AC560" s="170"/>
      <c r="AD560" s="586"/>
      <c r="AE560" s="586"/>
      <c r="AF560" s="170"/>
      <c r="AG560" s="170"/>
      <c r="AH560" s="170"/>
      <c r="AI560" s="170"/>
      <c r="AJ560" s="170"/>
      <c r="AK560" s="170"/>
      <c r="AL560" s="170"/>
      <c r="AM560" s="170"/>
      <c r="AN560" s="170"/>
      <c r="AO560" s="170"/>
      <c r="AP560" s="170"/>
      <c r="AQ560" s="170"/>
      <c r="AR560" s="170"/>
      <c r="AS560" s="170"/>
    </row>
    <row r="561" spans="1:45" ht="15" x14ac:dyDescent="0.25">
      <c r="A561" s="170"/>
      <c r="B561" s="719"/>
      <c r="C561" s="170"/>
      <c r="D561" s="170"/>
      <c r="E561" s="170"/>
      <c r="F561" s="170"/>
      <c r="G561" s="721"/>
      <c r="H561" s="170"/>
      <c r="I561" s="170"/>
      <c r="J561" s="170"/>
      <c r="K561" s="170"/>
      <c r="L561" s="170"/>
      <c r="M561" s="730"/>
      <c r="N561" s="730"/>
      <c r="O561" s="730"/>
      <c r="P561" s="731"/>
      <c r="Q561" s="731"/>
      <c r="R561" s="730"/>
      <c r="S561" s="730"/>
      <c r="T561" s="723"/>
      <c r="U561" s="724"/>
      <c r="V561" s="725"/>
      <c r="W561" s="725"/>
      <c r="X561" s="723"/>
      <c r="Y561" s="723"/>
      <c r="Z561" s="723"/>
      <c r="AA561" s="726"/>
      <c r="AB561" s="726"/>
      <c r="AC561" s="170"/>
      <c r="AD561" s="586"/>
      <c r="AE561" s="586"/>
      <c r="AF561" s="170"/>
      <c r="AG561" s="170"/>
      <c r="AH561" s="170"/>
      <c r="AI561" s="170"/>
      <c r="AJ561" s="170"/>
      <c r="AK561" s="170"/>
      <c r="AL561" s="170"/>
      <c r="AM561" s="170"/>
      <c r="AN561" s="170"/>
      <c r="AO561" s="170"/>
      <c r="AP561" s="170"/>
      <c r="AQ561" s="170"/>
      <c r="AR561" s="170"/>
      <c r="AS561" s="170"/>
    </row>
    <row r="562" spans="1:45" ht="15" x14ac:dyDescent="0.25">
      <c r="A562" s="170"/>
      <c r="B562" s="719"/>
      <c r="C562" s="170"/>
      <c r="D562" s="170"/>
      <c r="E562" s="170"/>
      <c r="F562" s="170"/>
      <c r="G562" s="721"/>
      <c r="H562" s="170"/>
      <c r="I562" s="170"/>
      <c r="J562" s="170"/>
      <c r="K562" s="170"/>
      <c r="L562" s="170"/>
      <c r="M562" s="730"/>
      <c r="N562" s="730"/>
      <c r="O562" s="730"/>
      <c r="P562" s="731"/>
      <c r="Q562" s="731"/>
      <c r="R562" s="730"/>
      <c r="S562" s="730"/>
      <c r="T562" s="723"/>
      <c r="U562" s="724"/>
      <c r="V562" s="725"/>
      <c r="W562" s="725"/>
      <c r="X562" s="723"/>
      <c r="Y562" s="723"/>
      <c r="Z562" s="723"/>
      <c r="AA562" s="726"/>
      <c r="AB562" s="726"/>
      <c r="AC562" s="170"/>
      <c r="AD562" s="586"/>
      <c r="AE562" s="586"/>
      <c r="AF562" s="170"/>
      <c r="AG562" s="170"/>
      <c r="AH562" s="170"/>
      <c r="AI562" s="170"/>
      <c r="AJ562" s="170"/>
      <c r="AK562" s="170"/>
      <c r="AL562" s="170"/>
      <c r="AM562" s="170"/>
      <c r="AN562" s="170"/>
      <c r="AO562" s="170"/>
      <c r="AP562" s="170"/>
      <c r="AQ562" s="170"/>
      <c r="AR562" s="170"/>
      <c r="AS562" s="170"/>
    </row>
    <row r="563" spans="1:45" ht="15" x14ac:dyDescent="0.25">
      <c r="A563" s="170"/>
      <c r="B563" s="719"/>
      <c r="C563" s="170"/>
      <c r="D563" s="170"/>
      <c r="E563" s="170"/>
      <c r="F563" s="170"/>
      <c r="G563" s="721"/>
      <c r="H563" s="170"/>
      <c r="I563" s="170"/>
      <c r="J563" s="170"/>
      <c r="K563" s="170"/>
      <c r="L563" s="170"/>
      <c r="M563" s="730"/>
      <c r="N563" s="730"/>
      <c r="O563" s="730"/>
      <c r="P563" s="731"/>
      <c r="Q563" s="731"/>
      <c r="R563" s="730"/>
      <c r="S563" s="730"/>
      <c r="T563" s="723"/>
      <c r="U563" s="724"/>
      <c r="V563" s="725"/>
      <c r="W563" s="725"/>
      <c r="X563" s="723"/>
      <c r="Y563" s="723"/>
      <c r="Z563" s="723"/>
      <c r="AA563" s="726"/>
      <c r="AB563" s="726"/>
      <c r="AC563" s="170"/>
      <c r="AD563" s="586"/>
      <c r="AE563" s="586"/>
      <c r="AF563" s="170"/>
      <c r="AG563" s="170"/>
      <c r="AH563" s="170"/>
      <c r="AI563" s="170"/>
      <c r="AJ563" s="170"/>
      <c r="AK563" s="170"/>
      <c r="AL563" s="170"/>
      <c r="AM563" s="170"/>
      <c r="AN563" s="170"/>
      <c r="AO563" s="170"/>
      <c r="AP563" s="170"/>
      <c r="AQ563" s="170"/>
      <c r="AR563" s="170"/>
      <c r="AS563" s="170"/>
    </row>
    <row r="564" spans="1:45" ht="15" x14ac:dyDescent="0.25">
      <c r="A564" s="170"/>
      <c r="B564" s="719"/>
      <c r="C564" s="170"/>
      <c r="D564" s="170"/>
      <c r="E564" s="170"/>
      <c r="F564" s="170"/>
      <c r="G564" s="721"/>
      <c r="H564" s="170"/>
      <c r="I564" s="170"/>
      <c r="J564" s="170"/>
      <c r="K564" s="170"/>
      <c r="L564" s="170"/>
      <c r="M564" s="730"/>
      <c r="N564" s="730"/>
      <c r="O564" s="730"/>
      <c r="P564" s="731"/>
      <c r="Q564" s="731"/>
      <c r="R564" s="730"/>
      <c r="S564" s="730"/>
      <c r="T564" s="723"/>
      <c r="U564" s="724"/>
      <c r="V564" s="725"/>
      <c r="W564" s="725"/>
      <c r="X564" s="723"/>
      <c r="Y564" s="723"/>
      <c r="Z564" s="723"/>
      <c r="AA564" s="726"/>
      <c r="AB564" s="726"/>
      <c r="AC564" s="170"/>
      <c r="AD564" s="586"/>
      <c r="AE564" s="586"/>
      <c r="AF564" s="170"/>
      <c r="AG564" s="170"/>
      <c r="AH564" s="170"/>
      <c r="AI564" s="170"/>
      <c r="AJ564" s="170"/>
      <c r="AK564" s="170"/>
      <c r="AL564" s="170"/>
      <c r="AM564" s="170"/>
      <c r="AN564" s="170"/>
      <c r="AO564" s="170"/>
      <c r="AP564" s="170"/>
      <c r="AQ564" s="170"/>
      <c r="AR564" s="170"/>
      <c r="AS564" s="170"/>
    </row>
    <row r="565" spans="1:45" ht="15" x14ac:dyDescent="0.25">
      <c r="A565" s="170"/>
      <c r="B565" s="719"/>
      <c r="C565" s="170"/>
      <c r="D565" s="170"/>
      <c r="E565" s="170"/>
      <c r="F565" s="170"/>
      <c r="G565" s="721"/>
      <c r="H565" s="170"/>
      <c r="I565" s="170"/>
      <c r="J565" s="170"/>
      <c r="K565" s="170"/>
      <c r="L565" s="170"/>
      <c r="M565" s="730"/>
      <c r="N565" s="730"/>
      <c r="O565" s="730"/>
      <c r="P565" s="731"/>
      <c r="Q565" s="731"/>
      <c r="R565" s="730"/>
      <c r="S565" s="730"/>
      <c r="T565" s="723"/>
      <c r="U565" s="724"/>
      <c r="V565" s="725"/>
      <c r="W565" s="725"/>
      <c r="X565" s="723"/>
      <c r="Y565" s="723"/>
      <c r="Z565" s="723"/>
      <c r="AA565" s="726"/>
      <c r="AB565" s="726"/>
      <c r="AC565" s="170"/>
      <c r="AD565" s="586"/>
      <c r="AE565" s="586"/>
      <c r="AF565" s="170"/>
      <c r="AG565" s="170"/>
      <c r="AH565" s="170"/>
      <c r="AI565" s="170"/>
      <c r="AJ565" s="170"/>
      <c r="AK565" s="170"/>
      <c r="AL565" s="170"/>
      <c r="AM565" s="170"/>
      <c r="AN565" s="170"/>
      <c r="AO565" s="170"/>
      <c r="AP565" s="170"/>
      <c r="AQ565" s="170"/>
      <c r="AR565" s="170"/>
      <c r="AS565" s="170"/>
    </row>
    <row r="566" spans="1:45" ht="15" x14ac:dyDescent="0.25">
      <c r="A566" s="170"/>
      <c r="B566" s="719"/>
      <c r="C566" s="170"/>
      <c r="D566" s="170"/>
      <c r="E566" s="170"/>
      <c r="F566" s="170"/>
      <c r="G566" s="721"/>
      <c r="H566" s="170"/>
      <c r="I566" s="170"/>
      <c r="J566" s="170"/>
      <c r="K566" s="170"/>
      <c r="L566" s="170"/>
      <c r="M566" s="730"/>
      <c r="N566" s="730"/>
      <c r="O566" s="730"/>
      <c r="P566" s="731"/>
      <c r="Q566" s="731"/>
      <c r="R566" s="730"/>
      <c r="S566" s="730"/>
      <c r="T566" s="723"/>
      <c r="U566" s="724"/>
      <c r="V566" s="725"/>
      <c r="W566" s="725"/>
      <c r="X566" s="723"/>
      <c r="Y566" s="723"/>
      <c r="Z566" s="723"/>
      <c r="AA566" s="726"/>
      <c r="AB566" s="726"/>
      <c r="AC566" s="170"/>
      <c r="AD566" s="586"/>
      <c r="AE566" s="586"/>
      <c r="AF566" s="170"/>
      <c r="AG566" s="170"/>
      <c r="AH566" s="170"/>
      <c r="AI566" s="170"/>
      <c r="AJ566" s="170"/>
      <c r="AK566" s="170"/>
      <c r="AL566" s="170"/>
      <c r="AM566" s="170"/>
      <c r="AN566" s="170"/>
      <c r="AO566" s="170"/>
      <c r="AP566" s="170"/>
      <c r="AQ566" s="170"/>
      <c r="AR566" s="170"/>
      <c r="AS566" s="170"/>
    </row>
    <row r="567" spans="1:45" ht="15" x14ac:dyDescent="0.25">
      <c r="A567" s="170"/>
      <c r="B567" s="719"/>
      <c r="C567" s="170"/>
      <c r="D567" s="170"/>
      <c r="E567" s="170"/>
      <c r="F567" s="170"/>
      <c r="G567" s="721"/>
      <c r="H567" s="170"/>
      <c r="I567" s="170"/>
      <c r="J567" s="170"/>
      <c r="K567" s="170"/>
      <c r="L567" s="170"/>
      <c r="M567" s="730"/>
      <c r="N567" s="730"/>
      <c r="O567" s="730"/>
      <c r="P567" s="731"/>
      <c r="Q567" s="731"/>
      <c r="R567" s="730"/>
      <c r="S567" s="730"/>
      <c r="T567" s="723"/>
      <c r="U567" s="724"/>
      <c r="V567" s="725"/>
      <c r="W567" s="725"/>
      <c r="X567" s="723"/>
      <c r="Y567" s="723"/>
      <c r="Z567" s="723"/>
      <c r="AA567" s="726"/>
      <c r="AB567" s="726"/>
      <c r="AC567" s="170"/>
      <c r="AD567" s="586"/>
      <c r="AE567" s="586"/>
      <c r="AF567" s="170"/>
      <c r="AG567" s="170"/>
      <c r="AH567" s="170"/>
      <c r="AI567" s="170"/>
      <c r="AJ567" s="170"/>
      <c r="AK567" s="170"/>
      <c r="AL567" s="170"/>
      <c r="AM567" s="170"/>
      <c r="AN567" s="170"/>
      <c r="AO567" s="170"/>
      <c r="AP567" s="170"/>
      <c r="AQ567" s="170"/>
      <c r="AR567" s="170"/>
      <c r="AS567" s="170"/>
    </row>
    <row r="568" spans="1:45" ht="15" x14ac:dyDescent="0.25">
      <c r="A568" s="170"/>
      <c r="B568" s="719"/>
      <c r="C568" s="170"/>
      <c r="D568" s="170"/>
      <c r="E568" s="170"/>
      <c r="F568" s="170"/>
      <c r="G568" s="721"/>
      <c r="H568" s="170"/>
      <c r="I568" s="170"/>
      <c r="J568" s="170"/>
      <c r="K568" s="170"/>
      <c r="L568" s="170"/>
      <c r="M568" s="730"/>
      <c r="N568" s="730"/>
      <c r="O568" s="730"/>
      <c r="P568" s="731"/>
      <c r="Q568" s="731"/>
      <c r="R568" s="730"/>
      <c r="S568" s="730"/>
      <c r="T568" s="723"/>
      <c r="U568" s="724"/>
      <c r="V568" s="725"/>
      <c r="W568" s="725"/>
      <c r="X568" s="723"/>
      <c r="Y568" s="723"/>
      <c r="Z568" s="723"/>
      <c r="AA568" s="726"/>
      <c r="AB568" s="726"/>
      <c r="AC568" s="170"/>
      <c r="AD568" s="586"/>
      <c r="AE568" s="586"/>
      <c r="AF568" s="170"/>
      <c r="AG568" s="170"/>
      <c r="AH568" s="170"/>
      <c r="AI568" s="170"/>
      <c r="AJ568" s="170"/>
      <c r="AK568" s="170"/>
      <c r="AL568" s="170"/>
      <c r="AM568" s="170"/>
      <c r="AN568" s="170"/>
      <c r="AO568" s="170"/>
      <c r="AP568" s="170"/>
      <c r="AQ568" s="170"/>
      <c r="AR568" s="170"/>
      <c r="AS568" s="170"/>
    </row>
    <row r="569" spans="1:45" ht="15" x14ac:dyDescent="0.25">
      <c r="A569" s="170"/>
      <c r="B569" s="719"/>
      <c r="C569" s="170"/>
      <c r="D569" s="170"/>
      <c r="E569" s="170"/>
      <c r="F569" s="170"/>
      <c r="G569" s="721"/>
      <c r="H569" s="170"/>
      <c r="I569" s="170"/>
      <c r="J569" s="170"/>
      <c r="K569" s="170"/>
      <c r="L569" s="170"/>
      <c r="M569" s="730"/>
      <c r="N569" s="730"/>
      <c r="O569" s="730"/>
      <c r="P569" s="731"/>
      <c r="Q569" s="731"/>
      <c r="R569" s="730"/>
      <c r="S569" s="730"/>
      <c r="T569" s="723"/>
      <c r="U569" s="724"/>
      <c r="V569" s="725"/>
      <c r="W569" s="725"/>
      <c r="X569" s="723"/>
      <c r="Y569" s="723"/>
      <c r="Z569" s="723"/>
      <c r="AA569" s="726"/>
      <c r="AB569" s="726"/>
      <c r="AC569" s="170"/>
      <c r="AD569" s="586"/>
      <c r="AE569" s="586"/>
      <c r="AF569" s="170"/>
      <c r="AG569" s="170"/>
      <c r="AH569" s="170"/>
      <c r="AI569" s="170"/>
      <c r="AJ569" s="170"/>
      <c r="AK569" s="170"/>
      <c r="AL569" s="170"/>
      <c r="AM569" s="170"/>
      <c r="AN569" s="170"/>
      <c r="AO569" s="170"/>
      <c r="AP569" s="170"/>
      <c r="AQ569" s="170"/>
      <c r="AR569" s="170"/>
      <c r="AS569" s="170"/>
    </row>
    <row r="570" spans="1:45" ht="15" x14ac:dyDescent="0.25">
      <c r="A570" s="170"/>
      <c r="B570" s="719"/>
      <c r="C570" s="170"/>
      <c r="D570" s="170"/>
      <c r="E570" s="170"/>
      <c r="F570" s="170"/>
      <c r="G570" s="721"/>
      <c r="H570" s="170"/>
      <c r="I570" s="170"/>
      <c r="J570" s="170"/>
      <c r="K570" s="170"/>
      <c r="L570" s="170"/>
      <c r="M570" s="730"/>
      <c r="N570" s="730"/>
      <c r="O570" s="730"/>
      <c r="P570" s="731"/>
      <c r="Q570" s="731"/>
      <c r="R570" s="730"/>
      <c r="S570" s="730"/>
      <c r="T570" s="723"/>
      <c r="U570" s="724"/>
      <c r="V570" s="725"/>
      <c r="W570" s="725"/>
      <c r="X570" s="723"/>
      <c r="Y570" s="723"/>
      <c r="Z570" s="723"/>
      <c r="AA570" s="726"/>
      <c r="AB570" s="726"/>
      <c r="AC570" s="170"/>
      <c r="AD570" s="586"/>
      <c r="AE570" s="586"/>
      <c r="AF570" s="170"/>
      <c r="AG570" s="170"/>
      <c r="AH570" s="170"/>
      <c r="AI570" s="170"/>
      <c r="AJ570" s="170"/>
      <c r="AK570" s="170"/>
      <c r="AL570" s="170"/>
      <c r="AM570" s="170"/>
      <c r="AN570" s="170"/>
      <c r="AO570" s="170"/>
      <c r="AP570" s="170"/>
      <c r="AQ570" s="170"/>
      <c r="AR570" s="170"/>
      <c r="AS570" s="170"/>
    </row>
    <row r="571" spans="1:45" ht="15" x14ac:dyDescent="0.25">
      <c r="A571" s="170"/>
      <c r="B571" s="719"/>
      <c r="C571" s="170"/>
      <c r="D571" s="170"/>
      <c r="E571" s="170"/>
      <c r="F571" s="170"/>
      <c r="G571" s="721"/>
      <c r="H571" s="170"/>
      <c r="I571" s="170"/>
      <c r="J571" s="170"/>
      <c r="K571" s="170"/>
      <c r="L571" s="170"/>
      <c r="M571" s="730"/>
      <c r="N571" s="730"/>
      <c r="O571" s="730"/>
      <c r="P571" s="731"/>
      <c r="Q571" s="731"/>
      <c r="R571" s="730"/>
      <c r="S571" s="730"/>
      <c r="T571" s="723"/>
      <c r="U571" s="724"/>
      <c r="V571" s="725"/>
      <c r="W571" s="725"/>
      <c r="X571" s="723"/>
      <c r="Y571" s="723"/>
      <c r="Z571" s="723"/>
      <c r="AA571" s="726"/>
      <c r="AB571" s="726"/>
      <c r="AC571" s="170"/>
      <c r="AD571" s="586"/>
      <c r="AE571" s="586"/>
      <c r="AF571" s="170"/>
      <c r="AG571" s="170"/>
      <c r="AH571" s="170"/>
      <c r="AI571" s="170"/>
      <c r="AJ571" s="170"/>
      <c r="AK571" s="170"/>
      <c r="AL571" s="170"/>
      <c r="AM571" s="170"/>
      <c r="AN571" s="170"/>
      <c r="AO571" s="170"/>
      <c r="AP571" s="170"/>
      <c r="AQ571" s="170"/>
      <c r="AR571" s="170"/>
      <c r="AS571" s="170"/>
    </row>
    <row r="572" spans="1:45" ht="15" x14ac:dyDescent="0.25">
      <c r="A572" s="170"/>
      <c r="B572" s="719"/>
      <c r="C572" s="170"/>
      <c r="D572" s="170"/>
      <c r="E572" s="170"/>
      <c r="F572" s="170"/>
      <c r="G572" s="721"/>
      <c r="H572" s="170"/>
      <c r="I572" s="170"/>
      <c r="J572" s="170"/>
      <c r="K572" s="170"/>
      <c r="L572" s="170"/>
      <c r="M572" s="730"/>
      <c r="N572" s="730"/>
      <c r="O572" s="730"/>
      <c r="P572" s="731"/>
      <c r="Q572" s="731"/>
      <c r="R572" s="730"/>
      <c r="S572" s="730"/>
      <c r="T572" s="723"/>
      <c r="U572" s="724"/>
      <c r="V572" s="725"/>
      <c r="W572" s="725"/>
      <c r="X572" s="723"/>
      <c r="Y572" s="723"/>
      <c r="Z572" s="723"/>
      <c r="AA572" s="726"/>
      <c r="AB572" s="726"/>
      <c r="AC572" s="170"/>
      <c r="AD572" s="586"/>
      <c r="AE572" s="586"/>
      <c r="AF572" s="170"/>
      <c r="AG572" s="170"/>
      <c r="AH572" s="170"/>
      <c r="AI572" s="170"/>
      <c r="AJ572" s="170"/>
      <c r="AK572" s="170"/>
      <c r="AL572" s="170"/>
      <c r="AM572" s="170"/>
      <c r="AN572" s="170"/>
      <c r="AO572" s="170"/>
      <c r="AP572" s="170"/>
      <c r="AQ572" s="170"/>
      <c r="AR572" s="170"/>
      <c r="AS572" s="170"/>
    </row>
    <row r="573" spans="1:45" ht="15" x14ac:dyDescent="0.25">
      <c r="A573" s="170"/>
      <c r="B573" s="719"/>
      <c r="C573" s="170"/>
      <c r="D573" s="170"/>
      <c r="E573" s="170"/>
      <c r="F573" s="170"/>
      <c r="G573" s="721"/>
      <c r="H573" s="170"/>
      <c r="I573" s="170"/>
      <c r="J573" s="170"/>
      <c r="K573" s="170"/>
      <c r="L573" s="170"/>
      <c r="M573" s="730"/>
      <c r="N573" s="730"/>
      <c r="O573" s="730"/>
      <c r="P573" s="731"/>
      <c r="Q573" s="731"/>
      <c r="R573" s="730"/>
      <c r="S573" s="730"/>
      <c r="T573" s="723"/>
      <c r="U573" s="724"/>
      <c r="V573" s="725"/>
      <c r="W573" s="725"/>
      <c r="X573" s="723"/>
      <c r="Y573" s="723"/>
      <c r="Z573" s="723"/>
      <c r="AA573" s="726"/>
      <c r="AB573" s="726"/>
      <c r="AC573" s="170"/>
      <c r="AD573" s="586"/>
      <c r="AE573" s="586"/>
      <c r="AF573" s="170"/>
      <c r="AG573" s="170"/>
      <c r="AH573" s="170"/>
      <c r="AI573" s="170"/>
      <c r="AJ573" s="170"/>
      <c r="AK573" s="170"/>
      <c r="AL573" s="170"/>
      <c r="AM573" s="170"/>
      <c r="AN573" s="170"/>
      <c r="AO573" s="170"/>
      <c r="AP573" s="170"/>
      <c r="AQ573" s="170"/>
      <c r="AR573" s="170"/>
      <c r="AS573" s="170"/>
    </row>
    <row r="574" spans="1:45" ht="15" x14ac:dyDescent="0.25">
      <c r="A574" s="170"/>
      <c r="B574" s="719"/>
      <c r="C574" s="170"/>
      <c r="D574" s="170"/>
      <c r="E574" s="170"/>
      <c r="F574" s="170"/>
      <c r="G574" s="721"/>
      <c r="H574" s="170"/>
      <c r="I574" s="170"/>
      <c r="J574" s="170"/>
      <c r="K574" s="170"/>
      <c r="L574" s="170"/>
      <c r="M574" s="730"/>
      <c r="N574" s="730"/>
      <c r="O574" s="730"/>
      <c r="P574" s="731"/>
      <c r="Q574" s="731"/>
      <c r="R574" s="730"/>
      <c r="S574" s="730"/>
      <c r="T574" s="723"/>
      <c r="U574" s="724"/>
      <c r="V574" s="725"/>
      <c r="W574" s="725"/>
      <c r="X574" s="723"/>
      <c r="Y574" s="723"/>
      <c r="Z574" s="723"/>
      <c r="AA574" s="726"/>
      <c r="AB574" s="726"/>
      <c r="AC574" s="170"/>
      <c r="AD574" s="586"/>
      <c r="AE574" s="586"/>
      <c r="AF574" s="170"/>
      <c r="AG574" s="170"/>
      <c r="AH574" s="170"/>
      <c r="AI574" s="170"/>
      <c r="AJ574" s="170"/>
      <c r="AK574" s="170"/>
      <c r="AL574" s="170"/>
      <c r="AM574" s="170"/>
      <c r="AN574" s="170"/>
      <c r="AO574" s="170"/>
      <c r="AP574" s="170"/>
      <c r="AQ574" s="170"/>
      <c r="AR574" s="170"/>
      <c r="AS574" s="170"/>
    </row>
    <row r="575" spans="1:45" ht="15" x14ac:dyDescent="0.25">
      <c r="A575" s="170"/>
      <c r="B575" s="719"/>
      <c r="C575" s="170"/>
      <c r="D575" s="170"/>
      <c r="E575" s="170"/>
      <c r="F575" s="170"/>
      <c r="G575" s="721"/>
      <c r="H575" s="170"/>
      <c r="I575" s="170"/>
      <c r="J575" s="170"/>
      <c r="K575" s="170"/>
      <c r="L575" s="170"/>
      <c r="M575" s="730"/>
      <c r="N575" s="730"/>
      <c r="O575" s="730"/>
      <c r="P575" s="731"/>
      <c r="Q575" s="731"/>
      <c r="R575" s="730"/>
      <c r="S575" s="730"/>
      <c r="T575" s="723"/>
      <c r="U575" s="724"/>
      <c r="V575" s="725"/>
      <c r="W575" s="725"/>
      <c r="X575" s="723"/>
      <c r="Y575" s="723"/>
      <c r="Z575" s="723"/>
      <c r="AA575" s="726"/>
      <c r="AB575" s="726"/>
      <c r="AC575" s="170"/>
      <c r="AD575" s="586"/>
      <c r="AE575" s="586"/>
      <c r="AF575" s="170"/>
      <c r="AG575" s="170"/>
      <c r="AH575" s="170"/>
      <c r="AI575" s="170"/>
      <c r="AJ575" s="170"/>
      <c r="AK575" s="170"/>
      <c r="AL575" s="170"/>
      <c r="AM575" s="170"/>
      <c r="AN575" s="170"/>
      <c r="AO575" s="170"/>
      <c r="AP575" s="170"/>
      <c r="AQ575" s="170"/>
      <c r="AR575" s="170"/>
      <c r="AS575" s="170"/>
    </row>
    <row r="576" spans="1:45" ht="15" x14ac:dyDescent="0.25">
      <c r="A576" s="170"/>
      <c r="B576" s="719"/>
      <c r="C576" s="170"/>
      <c r="D576" s="170"/>
      <c r="E576" s="170"/>
      <c r="F576" s="170"/>
      <c r="G576" s="721"/>
      <c r="H576" s="170"/>
      <c r="I576" s="170"/>
      <c r="J576" s="170"/>
      <c r="K576" s="170"/>
      <c r="L576" s="170"/>
      <c r="M576" s="730"/>
      <c r="N576" s="730"/>
      <c r="O576" s="730"/>
      <c r="P576" s="731"/>
      <c r="Q576" s="731"/>
      <c r="R576" s="730"/>
      <c r="S576" s="730"/>
      <c r="T576" s="723"/>
      <c r="U576" s="724"/>
      <c r="V576" s="725"/>
      <c r="W576" s="725"/>
      <c r="X576" s="723"/>
      <c r="Y576" s="723"/>
      <c r="Z576" s="723"/>
      <c r="AA576" s="726"/>
      <c r="AB576" s="726"/>
      <c r="AC576" s="170"/>
      <c r="AD576" s="586"/>
      <c r="AE576" s="586"/>
      <c r="AF576" s="170"/>
      <c r="AG576" s="170"/>
      <c r="AH576" s="170"/>
      <c r="AI576" s="170"/>
      <c r="AJ576" s="170"/>
      <c r="AK576" s="170"/>
      <c r="AL576" s="170"/>
      <c r="AM576" s="170"/>
      <c r="AN576" s="170"/>
      <c r="AO576" s="170"/>
      <c r="AP576" s="170"/>
      <c r="AQ576" s="170"/>
      <c r="AR576" s="170"/>
      <c r="AS576" s="170"/>
    </row>
    <row r="577" spans="1:45" ht="15" x14ac:dyDescent="0.25">
      <c r="A577" s="170"/>
      <c r="B577" s="719"/>
      <c r="C577" s="170"/>
      <c r="D577" s="170"/>
      <c r="E577" s="170"/>
      <c r="F577" s="170"/>
      <c r="G577" s="721"/>
      <c r="H577" s="170"/>
      <c r="I577" s="170"/>
      <c r="J577" s="170"/>
      <c r="K577" s="170"/>
      <c r="L577" s="170"/>
      <c r="M577" s="730"/>
      <c r="N577" s="730"/>
      <c r="O577" s="730"/>
      <c r="P577" s="731"/>
      <c r="Q577" s="731"/>
      <c r="R577" s="730"/>
      <c r="S577" s="730"/>
      <c r="T577" s="723"/>
      <c r="U577" s="724"/>
      <c r="V577" s="725"/>
      <c r="W577" s="725"/>
      <c r="X577" s="723"/>
      <c r="Y577" s="723"/>
      <c r="Z577" s="723"/>
      <c r="AA577" s="726"/>
      <c r="AB577" s="726"/>
      <c r="AC577" s="170"/>
      <c r="AD577" s="586"/>
      <c r="AE577" s="586"/>
      <c r="AF577" s="170"/>
      <c r="AG577" s="170"/>
      <c r="AH577" s="170"/>
      <c r="AI577" s="170"/>
      <c r="AJ577" s="170"/>
      <c r="AK577" s="170"/>
      <c r="AL577" s="170"/>
      <c r="AM577" s="170"/>
      <c r="AN577" s="170"/>
      <c r="AO577" s="170"/>
      <c r="AP577" s="170"/>
      <c r="AQ577" s="170"/>
      <c r="AR577" s="170"/>
      <c r="AS577" s="170"/>
    </row>
    <row r="578" spans="1:45" ht="15" x14ac:dyDescent="0.25">
      <c r="A578" s="170"/>
      <c r="B578" s="719"/>
      <c r="C578" s="170"/>
      <c r="D578" s="170"/>
      <c r="E578" s="170"/>
      <c r="F578" s="170"/>
      <c r="G578" s="721"/>
      <c r="H578" s="170"/>
      <c r="I578" s="170"/>
      <c r="J578" s="170"/>
      <c r="K578" s="170"/>
      <c r="L578" s="170"/>
      <c r="M578" s="730"/>
      <c r="N578" s="730"/>
      <c r="O578" s="730"/>
      <c r="P578" s="731"/>
      <c r="Q578" s="731"/>
      <c r="R578" s="730"/>
      <c r="S578" s="730"/>
      <c r="T578" s="723"/>
      <c r="U578" s="724"/>
      <c r="V578" s="725"/>
      <c r="W578" s="725"/>
      <c r="X578" s="723"/>
      <c r="Y578" s="723"/>
      <c r="Z578" s="723"/>
      <c r="AA578" s="726"/>
      <c r="AB578" s="726"/>
      <c r="AC578" s="170"/>
      <c r="AD578" s="586"/>
      <c r="AE578" s="586"/>
      <c r="AF578" s="170"/>
      <c r="AG578" s="170"/>
      <c r="AH578" s="170"/>
      <c r="AI578" s="170"/>
      <c r="AJ578" s="170"/>
      <c r="AK578" s="170"/>
      <c r="AL578" s="170"/>
      <c r="AM578" s="170"/>
      <c r="AN578" s="170"/>
      <c r="AO578" s="170"/>
      <c r="AP578" s="170"/>
      <c r="AQ578" s="170"/>
      <c r="AR578" s="170"/>
      <c r="AS578" s="170"/>
    </row>
    <row r="579" spans="1:45" ht="15" x14ac:dyDescent="0.25">
      <c r="A579" s="170"/>
      <c r="B579" s="719"/>
      <c r="C579" s="170"/>
      <c r="D579" s="170"/>
      <c r="E579" s="170"/>
      <c r="F579" s="170"/>
      <c r="G579" s="721"/>
      <c r="H579" s="170"/>
      <c r="I579" s="170"/>
      <c r="J579" s="170"/>
      <c r="K579" s="170"/>
      <c r="L579" s="170"/>
      <c r="M579" s="730"/>
      <c r="N579" s="730"/>
      <c r="O579" s="730"/>
      <c r="P579" s="731"/>
      <c r="Q579" s="731"/>
      <c r="R579" s="730"/>
      <c r="S579" s="730"/>
      <c r="T579" s="723"/>
      <c r="U579" s="724"/>
      <c r="V579" s="725"/>
      <c r="W579" s="725"/>
      <c r="X579" s="723"/>
      <c r="Y579" s="723"/>
      <c r="Z579" s="723"/>
      <c r="AA579" s="726"/>
      <c r="AB579" s="726"/>
      <c r="AC579" s="170"/>
      <c r="AD579" s="586"/>
      <c r="AE579" s="586"/>
      <c r="AF579" s="170"/>
      <c r="AG579" s="170"/>
      <c r="AH579" s="170"/>
      <c r="AI579" s="170"/>
      <c r="AJ579" s="170"/>
      <c r="AK579" s="170"/>
      <c r="AL579" s="170"/>
      <c r="AM579" s="170"/>
      <c r="AN579" s="170"/>
      <c r="AO579" s="170"/>
      <c r="AP579" s="170"/>
      <c r="AQ579" s="170"/>
      <c r="AR579" s="170"/>
      <c r="AS579" s="170"/>
    </row>
    <row r="580" spans="1:45" ht="15" x14ac:dyDescent="0.25">
      <c r="A580" s="170"/>
      <c r="B580" s="719"/>
      <c r="C580" s="170"/>
      <c r="D580" s="170"/>
      <c r="E580" s="170"/>
      <c r="F580" s="170"/>
      <c r="G580" s="721"/>
      <c r="H580" s="170"/>
      <c r="I580" s="170"/>
      <c r="J580" s="170"/>
      <c r="K580" s="170"/>
      <c r="L580" s="170"/>
      <c r="M580" s="730"/>
      <c r="N580" s="730"/>
      <c r="O580" s="730"/>
      <c r="P580" s="731"/>
      <c r="Q580" s="731"/>
      <c r="R580" s="730"/>
      <c r="S580" s="730"/>
      <c r="T580" s="723"/>
      <c r="U580" s="724"/>
      <c r="V580" s="725"/>
      <c r="W580" s="725"/>
      <c r="X580" s="723"/>
      <c r="Y580" s="723"/>
      <c r="Z580" s="723"/>
      <c r="AA580" s="726"/>
      <c r="AB580" s="726"/>
      <c r="AC580" s="170"/>
      <c r="AD580" s="586"/>
      <c r="AE580" s="586"/>
      <c r="AF580" s="170"/>
      <c r="AG580" s="170"/>
      <c r="AH580" s="170"/>
      <c r="AI580" s="170"/>
      <c r="AJ580" s="170"/>
      <c r="AK580" s="170"/>
      <c r="AL580" s="170"/>
      <c r="AM580" s="170"/>
      <c r="AN580" s="170"/>
      <c r="AO580" s="170"/>
      <c r="AP580" s="170"/>
      <c r="AQ580" s="170"/>
      <c r="AR580" s="170"/>
      <c r="AS580" s="170"/>
    </row>
    <row r="581" spans="1:45" ht="15" x14ac:dyDescent="0.25">
      <c r="A581" s="170"/>
      <c r="B581" s="719"/>
      <c r="C581" s="170"/>
      <c r="D581" s="170"/>
      <c r="E581" s="170"/>
      <c r="F581" s="170"/>
      <c r="G581" s="721"/>
      <c r="H581" s="170"/>
      <c r="I581" s="170"/>
      <c r="J581" s="170"/>
      <c r="K581" s="170"/>
      <c r="L581" s="170"/>
      <c r="M581" s="730"/>
      <c r="N581" s="730"/>
      <c r="O581" s="730"/>
      <c r="P581" s="731"/>
      <c r="Q581" s="731"/>
      <c r="R581" s="730"/>
      <c r="S581" s="730"/>
      <c r="T581" s="723"/>
      <c r="U581" s="724"/>
      <c r="V581" s="725"/>
      <c r="W581" s="725"/>
      <c r="X581" s="723"/>
      <c r="Y581" s="723"/>
      <c r="Z581" s="723"/>
      <c r="AA581" s="726"/>
      <c r="AB581" s="726"/>
      <c r="AC581" s="170"/>
      <c r="AD581" s="586"/>
      <c r="AE581" s="586"/>
      <c r="AF581" s="170"/>
      <c r="AG581" s="170"/>
      <c r="AH581" s="170"/>
      <c r="AI581" s="170"/>
      <c r="AJ581" s="170"/>
      <c r="AK581" s="170"/>
      <c r="AL581" s="170"/>
      <c r="AM581" s="170"/>
      <c r="AN581" s="170"/>
      <c r="AO581" s="170"/>
      <c r="AP581" s="170"/>
      <c r="AQ581" s="170"/>
      <c r="AR581" s="170"/>
      <c r="AS581" s="170"/>
    </row>
    <row r="582" spans="1:45" ht="15" x14ac:dyDescent="0.25">
      <c r="A582" s="170"/>
      <c r="B582" s="719"/>
      <c r="C582" s="170"/>
      <c r="D582" s="170"/>
      <c r="E582" s="170"/>
      <c r="F582" s="170"/>
      <c r="G582" s="721"/>
      <c r="H582" s="170"/>
      <c r="I582" s="170"/>
      <c r="J582" s="170"/>
      <c r="K582" s="170"/>
      <c r="L582" s="170"/>
      <c r="M582" s="730"/>
      <c r="N582" s="730"/>
      <c r="O582" s="730"/>
      <c r="P582" s="731"/>
      <c r="Q582" s="731"/>
      <c r="R582" s="730"/>
      <c r="S582" s="730"/>
      <c r="T582" s="723"/>
      <c r="U582" s="724"/>
      <c r="V582" s="725"/>
      <c r="W582" s="725"/>
      <c r="X582" s="723"/>
      <c r="Y582" s="723"/>
      <c r="Z582" s="723"/>
      <c r="AA582" s="726"/>
      <c r="AB582" s="726"/>
      <c r="AC582" s="170"/>
      <c r="AD582" s="586"/>
      <c r="AE582" s="586"/>
      <c r="AF582" s="170"/>
      <c r="AG582" s="170"/>
      <c r="AH582" s="170"/>
      <c r="AI582" s="170"/>
      <c r="AJ582" s="170"/>
      <c r="AK582" s="170"/>
      <c r="AL582" s="170"/>
      <c r="AM582" s="170"/>
      <c r="AN582" s="170"/>
      <c r="AO582" s="170"/>
      <c r="AP582" s="170"/>
      <c r="AQ582" s="170"/>
      <c r="AR582" s="170"/>
      <c r="AS582" s="170"/>
    </row>
    <row r="583" spans="1:45" ht="15" x14ac:dyDescent="0.25">
      <c r="A583" s="170"/>
      <c r="B583" s="719"/>
      <c r="C583" s="170"/>
      <c r="D583" s="170"/>
      <c r="E583" s="170"/>
      <c r="F583" s="170"/>
      <c r="G583" s="721"/>
      <c r="H583" s="170"/>
      <c r="I583" s="170"/>
      <c r="J583" s="170"/>
      <c r="K583" s="170"/>
      <c r="L583" s="170"/>
      <c r="M583" s="730"/>
      <c r="N583" s="730"/>
      <c r="O583" s="730"/>
      <c r="P583" s="731"/>
      <c r="Q583" s="731"/>
      <c r="R583" s="730"/>
      <c r="S583" s="730"/>
      <c r="T583" s="723"/>
      <c r="U583" s="724"/>
      <c r="V583" s="725"/>
      <c r="W583" s="725"/>
      <c r="X583" s="723"/>
      <c r="Y583" s="723"/>
      <c r="Z583" s="723"/>
      <c r="AA583" s="726"/>
      <c r="AB583" s="726"/>
      <c r="AC583" s="170"/>
      <c r="AD583" s="586"/>
      <c r="AE583" s="586"/>
      <c r="AF583" s="170"/>
      <c r="AG583" s="170"/>
      <c r="AH583" s="170"/>
      <c r="AI583" s="170"/>
      <c r="AJ583" s="170"/>
      <c r="AK583" s="170"/>
      <c r="AL583" s="170"/>
      <c r="AM583" s="170"/>
      <c r="AN583" s="170"/>
      <c r="AO583" s="170"/>
      <c r="AP583" s="170"/>
      <c r="AQ583" s="170"/>
      <c r="AR583" s="170"/>
      <c r="AS583" s="170"/>
    </row>
    <row r="584" spans="1:45" ht="15" x14ac:dyDescent="0.25">
      <c r="A584" s="170"/>
      <c r="B584" s="719"/>
      <c r="C584" s="170"/>
      <c r="D584" s="170"/>
      <c r="E584" s="170"/>
      <c r="F584" s="170"/>
      <c r="G584" s="721"/>
      <c r="H584" s="170"/>
      <c r="I584" s="170"/>
      <c r="J584" s="170"/>
      <c r="K584" s="170"/>
      <c r="L584" s="170"/>
      <c r="M584" s="730"/>
      <c r="N584" s="730"/>
      <c r="O584" s="730"/>
      <c r="P584" s="731"/>
      <c r="Q584" s="731"/>
      <c r="R584" s="730"/>
      <c r="S584" s="730"/>
      <c r="T584" s="723"/>
      <c r="U584" s="724"/>
      <c r="V584" s="725"/>
      <c r="W584" s="725"/>
      <c r="X584" s="723"/>
      <c r="Y584" s="723"/>
      <c r="Z584" s="723"/>
      <c r="AA584" s="726"/>
      <c r="AB584" s="726"/>
      <c r="AC584" s="170"/>
      <c r="AD584" s="586"/>
      <c r="AE584" s="586"/>
      <c r="AF584" s="170"/>
      <c r="AG584" s="170"/>
      <c r="AH584" s="170"/>
      <c r="AI584" s="170"/>
      <c r="AJ584" s="170"/>
      <c r="AK584" s="170"/>
      <c r="AL584" s="170"/>
      <c r="AM584" s="170"/>
      <c r="AN584" s="170"/>
      <c r="AO584" s="170"/>
      <c r="AP584" s="170"/>
      <c r="AQ584" s="170"/>
      <c r="AR584" s="170"/>
      <c r="AS584" s="170"/>
    </row>
    <row r="585" spans="1:45" ht="15" x14ac:dyDescent="0.25">
      <c r="A585" s="170"/>
      <c r="B585" s="719"/>
      <c r="C585" s="170"/>
      <c r="D585" s="170"/>
      <c r="E585" s="170"/>
      <c r="F585" s="170"/>
      <c r="G585" s="721"/>
      <c r="H585" s="170"/>
      <c r="I585" s="170"/>
      <c r="J585" s="170"/>
      <c r="K585" s="170"/>
      <c r="L585" s="170"/>
      <c r="M585" s="730"/>
      <c r="N585" s="730"/>
      <c r="O585" s="730"/>
      <c r="P585" s="731"/>
      <c r="Q585" s="731"/>
      <c r="R585" s="730"/>
      <c r="S585" s="730"/>
      <c r="T585" s="723"/>
      <c r="U585" s="724"/>
      <c r="V585" s="725"/>
      <c r="W585" s="725"/>
      <c r="X585" s="723"/>
      <c r="Y585" s="723"/>
      <c r="Z585" s="723"/>
      <c r="AA585" s="726"/>
      <c r="AB585" s="726"/>
      <c r="AC585" s="170"/>
      <c r="AD585" s="586"/>
      <c r="AE585" s="586"/>
      <c r="AF585" s="170"/>
      <c r="AG585" s="170"/>
      <c r="AH585" s="170"/>
      <c r="AI585" s="170"/>
      <c r="AJ585" s="170"/>
      <c r="AK585" s="170"/>
      <c r="AL585" s="170"/>
      <c r="AM585" s="170"/>
      <c r="AN585" s="170"/>
      <c r="AO585" s="170"/>
      <c r="AP585" s="170"/>
      <c r="AQ585" s="170"/>
      <c r="AR585" s="170"/>
      <c r="AS585" s="170"/>
    </row>
    <row r="586" spans="1:45" ht="15" x14ac:dyDescent="0.25">
      <c r="A586" s="170"/>
      <c r="B586" s="719"/>
      <c r="C586" s="170"/>
      <c r="D586" s="170"/>
      <c r="E586" s="170"/>
      <c r="F586" s="170"/>
      <c r="G586" s="721"/>
      <c r="H586" s="170"/>
      <c r="I586" s="170"/>
      <c r="J586" s="170"/>
      <c r="K586" s="170"/>
      <c r="L586" s="170"/>
      <c r="M586" s="730"/>
      <c r="N586" s="730"/>
      <c r="O586" s="730"/>
      <c r="P586" s="731"/>
      <c r="Q586" s="731"/>
      <c r="R586" s="730"/>
      <c r="S586" s="730"/>
      <c r="T586" s="723"/>
      <c r="U586" s="724"/>
      <c r="V586" s="725"/>
      <c r="W586" s="725"/>
      <c r="X586" s="723"/>
      <c r="Y586" s="723"/>
      <c r="Z586" s="723"/>
      <c r="AA586" s="726"/>
      <c r="AB586" s="726"/>
      <c r="AC586" s="170"/>
      <c r="AD586" s="586"/>
      <c r="AE586" s="586"/>
      <c r="AF586" s="170"/>
      <c r="AG586" s="170"/>
      <c r="AH586" s="170"/>
      <c r="AI586" s="170"/>
      <c r="AJ586" s="170"/>
      <c r="AK586" s="170"/>
      <c r="AL586" s="170"/>
      <c r="AM586" s="170"/>
      <c r="AN586" s="170"/>
      <c r="AO586" s="170"/>
      <c r="AP586" s="170"/>
      <c r="AQ586" s="170"/>
      <c r="AR586" s="170"/>
      <c r="AS586" s="170"/>
    </row>
    <row r="587" spans="1:45" ht="15" x14ac:dyDescent="0.25">
      <c r="A587" s="170"/>
      <c r="B587" s="719"/>
      <c r="C587" s="170"/>
      <c r="D587" s="170"/>
      <c r="E587" s="170"/>
      <c r="F587" s="170"/>
      <c r="G587" s="721"/>
      <c r="H587" s="170"/>
      <c r="I587" s="170"/>
      <c r="J587" s="170"/>
      <c r="K587" s="170"/>
      <c r="L587" s="170"/>
      <c r="M587" s="730"/>
      <c r="N587" s="730"/>
      <c r="O587" s="730"/>
      <c r="P587" s="731"/>
      <c r="Q587" s="731"/>
      <c r="R587" s="730"/>
      <c r="S587" s="730"/>
      <c r="T587" s="723"/>
      <c r="U587" s="724"/>
      <c r="V587" s="725"/>
      <c r="W587" s="725"/>
      <c r="X587" s="723"/>
      <c r="Y587" s="723"/>
      <c r="Z587" s="723"/>
      <c r="AA587" s="726"/>
      <c r="AB587" s="726"/>
      <c r="AC587" s="170"/>
      <c r="AD587" s="586"/>
      <c r="AE587" s="586"/>
      <c r="AF587" s="170"/>
      <c r="AG587" s="170"/>
      <c r="AH587" s="170"/>
      <c r="AI587" s="170"/>
      <c r="AJ587" s="170"/>
      <c r="AK587" s="170"/>
      <c r="AL587" s="170"/>
      <c r="AM587" s="170"/>
      <c r="AN587" s="170"/>
      <c r="AO587" s="170"/>
      <c r="AP587" s="170"/>
      <c r="AQ587" s="170"/>
      <c r="AR587" s="170"/>
      <c r="AS587" s="170"/>
    </row>
    <row r="588" spans="1:45" ht="15" x14ac:dyDescent="0.25">
      <c r="A588" s="170"/>
      <c r="B588" s="719"/>
      <c r="C588" s="170"/>
      <c r="D588" s="170"/>
      <c r="E588" s="170"/>
      <c r="F588" s="170"/>
      <c r="G588" s="721"/>
      <c r="H588" s="170"/>
      <c r="I588" s="170"/>
      <c r="J588" s="170"/>
      <c r="K588" s="170"/>
      <c r="L588" s="170"/>
      <c r="M588" s="730"/>
      <c r="N588" s="730"/>
      <c r="O588" s="730"/>
      <c r="P588" s="731"/>
      <c r="Q588" s="731"/>
      <c r="R588" s="730"/>
      <c r="S588" s="730"/>
      <c r="T588" s="723"/>
      <c r="U588" s="724"/>
      <c r="V588" s="725"/>
      <c r="W588" s="725"/>
      <c r="X588" s="723"/>
      <c r="Y588" s="723"/>
      <c r="Z588" s="723"/>
      <c r="AA588" s="726"/>
      <c r="AB588" s="726"/>
      <c r="AC588" s="170"/>
      <c r="AD588" s="586"/>
      <c r="AE588" s="586"/>
      <c r="AF588" s="170"/>
      <c r="AG588" s="170"/>
      <c r="AH588" s="170"/>
      <c r="AI588" s="170"/>
      <c r="AJ588" s="170"/>
      <c r="AK588" s="170"/>
      <c r="AL588" s="170"/>
      <c r="AM588" s="170"/>
      <c r="AN588" s="170"/>
      <c r="AO588" s="170"/>
      <c r="AP588" s="170"/>
      <c r="AQ588" s="170"/>
      <c r="AR588" s="170"/>
      <c r="AS588" s="170"/>
    </row>
    <row r="589" spans="1:45" ht="15" x14ac:dyDescent="0.25">
      <c r="A589" s="170"/>
      <c r="B589" s="719"/>
      <c r="C589" s="170"/>
      <c r="D589" s="170"/>
      <c r="E589" s="170"/>
      <c r="F589" s="170"/>
      <c r="G589" s="721"/>
      <c r="H589" s="170"/>
      <c r="I589" s="170"/>
      <c r="J589" s="170"/>
      <c r="K589" s="170"/>
      <c r="L589" s="170"/>
      <c r="M589" s="730"/>
      <c r="N589" s="730"/>
      <c r="O589" s="730"/>
      <c r="P589" s="731"/>
      <c r="Q589" s="731"/>
      <c r="R589" s="730"/>
      <c r="S589" s="730"/>
      <c r="T589" s="723"/>
      <c r="U589" s="724"/>
      <c r="V589" s="725"/>
      <c r="W589" s="725"/>
      <c r="X589" s="723"/>
      <c r="Y589" s="723"/>
      <c r="Z589" s="723"/>
      <c r="AA589" s="726"/>
      <c r="AB589" s="726"/>
      <c r="AC589" s="170"/>
      <c r="AD589" s="586"/>
      <c r="AE589" s="586"/>
      <c r="AF589" s="170"/>
      <c r="AG589" s="170"/>
      <c r="AH589" s="170"/>
      <c r="AI589" s="170"/>
      <c r="AJ589" s="170"/>
      <c r="AK589" s="170"/>
      <c r="AL589" s="170"/>
      <c r="AM589" s="170"/>
      <c r="AN589" s="170"/>
      <c r="AO589" s="170"/>
      <c r="AP589" s="170"/>
      <c r="AQ589" s="170"/>
      <c r="AR589" s="170"/>
      <c r="AS589" s="170"/>
    </row>
    <row r="590" spans="1:45" ht="15" x14ac:dyDescent="0.25">
      <c r="A590" s="170"/>
      <c r="B590" s="719"/>
      <c r="C590" s="170"/>
      <c r="D590" s="170"/>
      <c r="E590" s="170"/>
      <c r="F590" s="170"/>
      <c r="G590" s="721"/>
      <c r="H590" s="170"/>
      <c r="I590" s="170"/>
      <c r="J590" s="170"/>
      <c r="K590" s="170"/>
      <c r="L590" s="170"/>
      <c r="M590" s="730"/>
      <c r="N590" s="730"/>
      <c r="O590" s="730"/>
      <c r="P590" s="731"/>
      <c r="Q590" s="731"/>
      <c r="R590" s="730"/>
      <c r="S590" s="730"/>
      <c r="T590" s="723"/>
      <c r="U590" s="724"/>
      <c r="V590" s="725"/>
      <c r="W590" s="725"/>
      <c r="X590" s="723"/>
      <c r="Y590" s="723"/>
      <c r="Z590" s="723"/>
      <c r="AA590" s="726"/>
      <c r="AB590" s="726"/>
      <c r="AC590" s="170"/>
      <c r="AD590" s="586"/>
      <c r="AE590" s="586"/>
      <c r="AF590" s="170"/>
      <c r="AG590" s="170"/>
      <c r="AH590" s="170"/>
      <c r="AI590" s="170"/>
      <c r="AJ590" s="170"/>
      <c r="AK590" s="170"/>
      <c r="AL590" s="170"/>
      <c r="AM590" s="170"/>
      <c r="AN590" s="170"/>
      <c r="AO590" s="170"/>
      <c r="AP590" s="170"/>
      <c r="AQ590" s="170"/>
      <c r="AR590" s="170"/>
      <c r="AS590" s="170"/>
    </row>
    <row r="591" spans="1:45" ht="15" x14ac:dyDescent="0.25">
      <c r="A591" s="170"/>
      <c r="B591" s="719"/>
      <c r="C591" s="170"/>
      <c r="D591" s="170"/>
      <c r="E591" s="170"/>
      <c r="F591" s="170"/>
      <c r="G591" s="721"/>
      <c r="H591" s="170"/>
      <c r="I591" s="170"/>
      <c r="J591" s="170"/>
      <c r="K591" s="170"/>
      <c r="L591" s="170"/>
      <c r="M591" s="730"/>
      <c r="N591" s="730"/>
      <c r="O591" s="730"/>
      <c r="P591" s="731"/>
      <c r="Q591" s="731"/>
      <c r="R591" s="730"/>
      <c r="S591" s="730"/>
      <c r="T591" s="723"/>
      <c r="U591" s="724"/>
      <c r="V591" s="725"/>
      <c r="W591" s="725"/>
      <c r="X591" s="723"/>
      <c r="Y591" s="723"/>
      <c r="Z591" s="723"/>
      <c r="AA591" s="726"/>
      <c r="AB591" s="726"/>
      <c r="AC591" s="170"/>
      <c r="AD591" s="586"/>
      <c r="AE591" s="586"/>
      <c r="AF591" s="170"/>
      <c r="AG591" s="170"/>
      <c r="AH591" s="170"/>
      <c r="AI591" s="170"/>
      <c r="AJ591" s="170"/>
      <c r="AK591" s="170"/>
      <c r="AL591" s="170"/>
      <c r="AM591" s="170"/>
      <c r="AN591" s="170"/>
      <c r="AO591" s="170"/>
      <c r="AP591" s="170"/>
      <c r="AQ591" s="170"/>
      <c r="AR591" s="170"/>
      <c r="AS591" s="170"/>
    </row>
    <row r="592" spans="1:45" ht="15" x14ac:dyDescent="0.25">
      <c r="A592" s="170"/>
      <c r="B592" s="719"/>
      <c r="C592" s="170"/>
      <c r="D592" s="170"/>
      <c r="E592" s="170"/>
      <c r="F592" s="170"/>
      <c r="G592" s="721"/>
      <c r="H592" s="170"/>
      <c r="I592" s="170"/>
      <c r="J592" s="170"/>
      <c r="K592" s="170"/>
      <c r="L592" s="170"/>
      <c r="M592" s="730"/>
      <c r="N592" s="730"/>
      <c r="O592" s="730"/>
      <c r="P592" s="731"/>
      <c r="Q592" s="731"/>
      <c r="R592" s="730"/>
      <c r="S592" s="730"/>
      <c r="T592" s="723"/>
      <c r="U592" s="724"/>
      <c r="V592" s="725"/>
      <c r="W592" s="725"/>
      <c r="X592" s="723"/>
      <c r="Y592" s="723"/>
      <c r="Z592" s="723"/>
      <c r="AA592" s="726"/>
      <c r="AB592" s="726"/>
      <c r="AC592" s="170"/>
      <c r="AD592" s="586"/>
      <c r="AE592" s="586"/>
      <c r="AF592" s="170"/>
      <c r="AG592" s="170"/>
      <c r="AH592" s="170"/>
      <c r="AI592" s="170"/>
      <c r="AJ592" s="170"/>
      <c r="AK592" s="170"/>
      <c r="AL592" s="170"/>
      <c r="AM592" s="170"/>
      <c r="AN592" s="170"/>
      <c r="AO592" s="170"/>
      <c r="AP592" s="170"/>
      <c r="AQ592" s="170"/>
      <c r="AR592" s="170"/>
      <c r="AS592" s="170"/>
    </row>
    <row r="593" spans="1:45" ht="15" x14ac:dyDescent="0.25">
      <c r="A593" s="170"/>
      <c r="B593" s="719"/>
      <c r="C593" s="170"/>
      <c r="D593" s="170"/>
      <c r="E593" s="170"/>
      <c r="F593" s="170"/>
      <c r="G593" s="721"/>
      <c r="H593" s="170"/>
      <c r="I593" s="170"/>
      <c r="J593" s="170"/>
      <c r="K593" s="170"/>
      <c r="L593" s="170"/>
      <c r="M593" s="730"/>
      <c r="N593" s="730"/>
      <c r="O593" s="730"/>
      <c r="P593" s="731"/>
      <c r="Q593" s="731"/>
      <c r="R593" s="730"/>
      <c r="S593" s="730"/>
      <c r="T593" s="723"/>
      <c r="U593" s="724"/>
      <c r="V593" s="725"/>
      <c r="W593" s="725"/>
      <c r="X593" s="723"/>
      <c r="Y593" s="723"/>
      <c r="Z593" s="723"/>
      <c r="AA593" s="726"/>
      <c r="AB593" s="726"/>
      <c r="AC593" s="170"/>
      <c r="AD593" s="586"/>
      <c r="AE593" s="586"/>
      <c r="AF593" s="170"/>
      <c r="AG593" s="170"/>
      <c r="AH593" s="170"/>
      <c r="AI593" s="170"/>
      <c r="AJ593" s="170"/>
      <c r="AK593" s="170"/>
      <c r="AL593" s="170"/>
      <c r="AM593" s="170"/>
      <c r="AN593" s="170"/>
      <c r="AO593" s="170"/>
      <c r="AP593" s="170"/>
      <c r="AQ593" s="170"/>
      <c r="AR593" s="170"/>
      <c r="AS593" s="170"/>
    </row>
    <row r="594" spans="1:45" ht="15" x14ac:dyDescent="0.25">
      <c r="A594" s="170"/>
      <c r="B594" s="719"/>
      <c r="C594" s="170"/>
      <c r="D594" s="170"/>
      <c r="E594" s="170"/>
      <c r="F594" s="170"/>
      <c r="G594" s="721"/>
      <c r="H594" s="170"/>
      <c r="I594" s="170"/>
      <c r="J594" s="170"/>
      <c r="K594" s="170"/>
      <c r="L594" s="170"/>
      <c r="M594" s="730"/>
      <c r="N594" s="730"/>
      <c r="O594" s="730"/>
      <c r="P594" s="731"/>
      <c r="Q594" s="731"/>
      <c r="R594" s="730"/>
      <c r="S594" s="730"/>
      <c r="T594" s="723"/>
      <c r="U594" s="724"/>
      <c r="V594" s="725"/>
      <c r="W594" s="725"/>
      <c r="X594" s="723"/>
      <c r="Y594" s="723"/>
      <c r="Z594" s="723"/>
      <c r="AA594" s="726"/>
      <c r="AB594" s="726"/>
      <c r="AC594" s="170"/>
      <c r="AD594" s="586"/>
      <c r="AE594" s="586"/>
      <c r="AF594" s="170"/>
      <c r="AG594" s="170"/>
      <c r="AH594" s="170"/>
      <c r="AI594" s="170"/>
      <c r="AJ594" s="170"/>
      <c r="AK594" s="170"/>
      <c r="AL594" s="170"/>
      <c r="AM594" s="170"/>
      <c r="AN594" s="170"/>
      <c r="AO594" s="170"/>
      <c r="AP594" s="170"/>
      <c r="AQ594" s="170"/>
      <c r="AR594" s="170"/>
      <c r="AS594" s="170"/>
    </row>
    <row r="595" spans="1:45" ht="15" x14ac:dyDescent="0.25">
      <c r="A595" s="170"/>
      <c r="B595" s="719"/>
      <c r="C595" s="170"/>
      <c r="D595" s="170"/>
      <c r="E595" s="170"/>
      <c r="F595" s="170"/>
      <c r="G595" s="721"/>
      <c r="H595" s="170"/>
      <c r="I595" s="170"/>
      <c r="J595" s="170"/>
      <c r="K595" s="170"/>
      <c r="L595" s="170"/>
      <c r="M595" s="730"/>
      <c r="N595" s="730"/>
      <c r="O595" s="730"/>
      <c r="P595" s="731"/>
      <c r="Q595" s="731"/>
      <c r="R595" s="730"/>
      <c r="S595" s="730"/>
      <c r="T595" s="723"/>
      <c r="U595" s="724"/>
      <c r="V595" s="725"/>
      <c r="W595" s="725"/>
      <c r="X595" s="723"/>
      <c r="Y595" s="723"/>
      <c r="Z595" s="723"/>
      <c r="AA595" s="726"/>
      <c r="AB595" s="726"/>
      <c r="AC595" s="170"/>
      <c r="AD595" s="586"/>
      <c r="AE595" s="586"/>
      <c r="AF595" s="170"/>
      <c r="AG595" s="170"/>
      <c r="AH595" s="170"/>
      <c r="AI595" s="170"/>
      <c r="AJ595" s="170"/>
      <c r="AK595" s="170"/>
      <c r="AL595" s="170"/>
      <c r="AM595" s="170"/>
      <c r="AN595" s="170"/>
      <c r="AO595" s="170"/>
      <c r="AP595" s="170"/>
      <c r="AQ595" s="170"/>
      <c r="AR595" s="170"/>
      <c r="AS595" s="170"/>
    </row>
    <row r="596" spans="1:45" ht="15" x14ac:dyDescent="0.25">
      <c r="A596" s="170"/>
      <c r="B596" s="719"/>
      <c r="C596" s="170"/>
      <c r="D596" s="170"/>
      <c r="E596" s="170"/>
      <c r="F596" s="170"/>
      <c r="G596" s="721"/>
      <c r="H596" s="170"/>
      <c r="I596" s="170"/>
      <c r="J596" s="170"/>
      <c r="K596" s="170"/>
      <c r="L596" s="170"/>
      <c r="M596" s="730"/>
      <c r="N596" s="730"/>
      <c r="O596" s="730"/>
      <c r="P596" s="731"/>
      <c r="Q596" s="731"/>
      <c r="R596" s="730"/>
      <c r="S596" s="730"/>
      <c r="T596" s="723"/>
      <c r="U596" s="724"/>
      <c r="V596" s="725"/>
      <c r="W596" s="725"/>
      <c r="X596" s="723"/>
      <c r="Y596" s="723"/>
      <c r="Z596" s="723"/>
      <c r="AA596" s="726"/>
      <c r="AB596" s="726"/>
      <c r="AC596" s="170"/>
      <c r="AD596" s="586"/>
      <c r="AE596" s="586"/>
      <c r="AF596" s="170"/>
      <c r="AG596" s="170"/>
      <c r="AH596" s="170"/>
      <c r="AI596" s="170"/>
      <c r="AJ596" s="170"/>
      <c r="AK596" s="170"/>
      <c r="AL596" s="170"/>
      <c r="AM596" s="170"/>
      <c r="AN596" s="170"/>
      <c r="AO596" s="170"/>
      <c r="AP596" s="170"/>
      <c r="AQ596" s="170"/>
      <c r="AR596" s="170"/>
      <c r="AS596" s="170"/>
    </row>
    <row r="597" spans="1:45" ht="15" x14ac:dyDescent="0.25">
      <c r="A597" s="170"/>
      <c r="B597" s="719"/>
      <c r="C597" s="170"/>
      <c r="D597" s="170"/>
      <c r="E597" s="170"/>
      <c r="F597" s="170"/>
      <c r="G597" s="721"/>
      <c r="H597" s="170"/>
      <c r="I597" s="170"/>
      <c r="J597" s="170"/>
      <c r="K597" s="170"/>
      <c r="L597" s="170"/>
      <c r="M597" s="730"/>
      <c r="N597" s="730"/>
      <c r="O597" s="730"/>
      <c r="P597" s="731"/>
      <c r="Q597" s="731"/>
      <c r="R597" s="730"/>
      <c r="S597" s="730"/>
      <c r="T597" s="723"/>
      <c r="U597" s="724"/>
      <c r="V597" s="725"/>
      <c r="W597" s="725"/>
      <c r="X597" s="723"/>
      <c r="Y597" s="723"/>
      <c r="Z597" s="723"/>
      <c r="AA597" s="726"/>
      <c r="AB597" s="726"/>
      <c r="AC597" s="170"/>
      <c r="AD597" s="586"/>
      <c r="AE597" s="586"/>
      <c r="AF597" s="170"/>
      <c r="AG597" s="170"/>
      <c r="AH597" s="170"/>
      <c r="AI597" s="170"/>
      <c r="AJ597" s="170"/>
      <c r="AK597" s="170"/>
      <c r="AL597" s="170"/>
      <c r="AM597" s="170"/>
      <c r="AN597" s="170"/>
      <c r="AO597" s="170"/>
      <c r="AP597" s="170"/>
      <c r="AQ597" s="170"/>
      <c r="AR597" s="170"/>
      <c r="AS597" s="170"/>
    </row>
    <row r="598" spans="1:45" ht="15" x14ac:dyDescent="0.25">
      <c r="A598" s="170"/>
      <c r="B598" s="719"/>
      <c r="C598" s="170"/>
      <c r="D598" s="170"/>
      <c r="E598" s="170"/>
      <c r="F598" s="170"/>
      <c r="G598" s="721"/>
      <c r="H598" s="170"/>
      <c r="I598" s="170"/>
      <c r="J598" s="170"/>
      <c r="K598" s="170"/>
      <c r="L598" s="170"/>
      <c r="M598" s="730"/>
      <c r="N598" s="730"/>
      <c r="O598" s="730"/>
      <c r="P598" s="731"/>
      <c r="Q598" s="731"/>
      <c r="R598" s="730"/>
      <c r="S598" s="730"/>
      <c r="T598" s="723"/>
      <c r="U598" s="724"/>
      <c r="V598" s="725"/>
      <c r="W598" s="725"/>
      <c r="X598" s="723"/>
      <c r="Y598" s="723"/>
      <c r="Z598" s="723"/>
      <c r="AA598" s="726"/>
      <c r="AB598" s="726"/>
      <c r="AC598" s="170"/>
      <c r="AD598" s="586"/>
      <c r="AE598" s="586"/>
      <c r="AF598" s="170"/>
      <c r="AG598" s="170"/>
      <c r="AH598" s="170"/>
      <c r="AI598" s="170"/>
      <c r="AJ598" s="170"/>
      <c r="AK598" s="170"/>
      <c r="AL598" s="170"/>
      <c r="AM598" s="170"/>
      <c r="AN598" s="170"/>
      <c r="AO598" s="170"/>
      <c r="AP598" s="170"/>
      <c r="AQ598" s="170"/>
      <c r="AR598" s="170"/>
      <c r="AS598" s="170"/>
    </row>
    <row r="599" spans="1:45" ht="15" x14ac:dyDescent="0.25">
      <c r="A599" s="170"/>
      <c r="B599" s="719"/>
      <c r="C599" s="170"/>
      <c r="D599" s="170"/>
      <c r="E599" s="170"/>
      <c r="F599" s="170"/>
      <c r="G599" s="721"/>
      <c r="H599" s="170"/>
      <c r="I599" s="170"/>
      <c r="J599" s="170"/>
      <c r="K599" s="170"/>
      <c r="L599" s="170"/>
      <c r="M599" s="730"/>
      <c r="N599" s="730"/>
      <c r="O599" s="730"/>
      <c r="P599" s="731"/>
      <c r="Q599" s="731"/>
      <c r="R599" s="730"/>
      <c r="S599" s="730"/>
      <c r="T599" s="723"/>
      <c r="U599" s="724"/>
      <c r="V599" s="725"/>
      <c r="W599" s="725"/>
      <c r="X599" s="723"/>
      <c r="Y599" s="723"/>
      <c r="Z599" s="723"/>
      <c r="AA599" s="726"/>
      <c r="AB599" s="726"/>
      <c r="AC599" s="170"/>
      <c r="AD599" s="586"/>
      <c r="AE599" s="586"/>
      <c r="AF599" s="170"/>
      <c r="AG599" s="170"/>
      <c r="AH599" s="170"/>
      <c r="AI599" s="170"/>
      <c r="AJ599" s="170"/>
      <c r="AK599" s="170"/>
      <c r="AL599" s="170"/>
      <c r="AM599" s="170"/>
      <c r="AN599" s="170"/>
      <c r="AO599" s="170"/>
      <c r="AP599" s="170"/>
      <c r="AQ599" s="170"/>
      <c r="AR599" s="170"/>
      <c r="AS599" s="170"/>
    </row>
    <row r="600" spans="1:45" ht="15" x14ac:dyDescent="0.25">
      <c r="A600" s="170"/>
      <c r="B600" s="719"/>
      <c r="C600" s="170"/>
      <c r="D600" s="170"/>
      <c r="E600" s="170"/>
      <c r="F600" s="170"/>
      <c r="G600" s="721"/>
      <c r="H600" s="170"/>
      <c r="I600" s="170"/>
      <c r="J600" s="170"/>
      <c r="K600" s="170"/>
      <c r="L600" s="170"/>
      <c r="M600" s="730"/>
      <c r="N600" s="730"/>
      <c r="O600" s="730"/>
      <c r="P600" s="731"/>
      <c r="Q600" s="731"/>
      <c r="R600" s="730"/>
      <c r="S600" s="730"/>
      <c r="T600" s="723"/>
      <c r="U600" s="724"/>
      <c r="V600" s="725"/>
      <c r="W600" s="725"/>
      <c r="X600" s="723"/>
      <c r="Y600" s="723"/>
      <c r="Z600" s="723"/>
      <c r="AA600" s="726"/>
      <c r="AB600" s="726"/>
      <c r="AC600" s="170"/>
      <c r="AD600" s="586"/>
      <c r="AE600" s="586"/>
      <c r="AF600" s="170"/>
      <c r="AG600" s="170"/>
      <c r="AH600" s="170"/>
      <c r="AI600" s="170"/>
      <c r="AJ600" s="170"/>
      <c r="AK600" s="170"/>
      <c r="AL600" s="170"/>
      <c r="AM600" s="170"/>
      <c r="AN600" s="170"/>
      <c r="AO600" s="170"/>
      <c r="AP600" s="170"/>
      <c r="AQ600" s="170"/>
      <c r="AR600" s="170"/>
      <c r="AS600" s="170"/>
    </row>
    <row r="601" spans="1:45" ht="15" x14ac:dyDescent="0.25">
      <c r="A601" s="170"/>
      <c r="B601" s="719"/>
      <c r="C601" s="170"/>
      <c r="D601" s="170"/>
      <c r="E601" s="170"/>
      <c r="F601" s="170"/>
      <c r="G601" s="721"/>
      <c r="H601" s="170"/>
      <c r="I601" s="170"/>
      <c r="J601" s="170"/>
      <c r="K601" s="170"/>
      <c r="L601" s="170"/>
      <c r="M601" s="730"/>
      <c r="N601" s="730"/>
      <c r="O601" s="730"/>
      <c r="P601" s="731"/>
      <c r="Q601" s="731"/>
      <c r="R601" s="730"/>
      <c r="S601" s="730"/>
      <c r="T601" s="723"/>
      <c r="U601" s="724"/>
      <c r="V601" s="725"/>
      <c r="W601" s="725"/>
      <c r="X601" s="723"/>
      <c r="Y601" s="723"/>
      <c r="Z601" s="723"/>
      <c r="AA601" s="726"/>
      <c r="AB601" s="726"/>
      <c r="AC601" s="170"/>
      <c r="AD601" s="586"/>
      <c r="AE601" s="586"/>
      <c r="AF601" s="170"/>
      <c r="AG601" s="170"/>
      <c r="AH601" s="170"/>
      <c r="AI601" s="170"/>
      <c r="AJ601" s="170"/>
      <c r="AK601" s="170"/>
      <c r="AL601" s="170"/>
      <c r="AM601" s="170"/>
      <c r="AN601" s="170"/>
      <c r="AO601" s="170"/>
      <c r="AP601" s="170"/>
      <c r="AQ601" s="170"/>
      <c r="AR601" s="170"/>
      <c r="AS601" s="170"/>
    </row>
    <row r="602" spans="1:45" ht="15" x14ac:dyDescent="0.25">
      <c r="A602" s="170"/>
      <c r="B602" s="719"/>
      <c r="C602" s="170"/>
      <c r="D602" s="170"/>
      <c r="E602" s="170"/>
      <c r="F602" s="170"/>
      <c r="G602" s="721"/>
      <c r="H602" s="170"/>
      <c r="I602" s="170"/>
      <c r="J602" s="170"/>
      <c r="K602" s="170"/>
      <c r="L602" s="170"/>
      <c r="M602" s="730"/>
      <c r="N602" s="730"/>
      <c r="O602" s="730"/>
      <c r="P602" s="731"/>
      <c r="Q602" s="731"/>
      <c r="R602" s="730"/>
      <c r="S602" s="730"/>
      <c r="T602" s="723"/>
      <c r="U602" s="724"/>
      <c r="V602" s="725"/>
      <c r="W602" s="725"/>
      <c r="X602" s="723"/>
      <c r="Y602" s="723"/>
      <c r="Z602" s="723"/>
      <c r="AA602" s="726"/>
      <c r="AB602" s="726"/>
      <c r="AC602" s="170"/>
      <c r="AD602" s="586"/>
      <c r="AE602" s="586"/>
      <c r="AF602" s="170"/>
      <c r="AG602" s="170"/>
      <c r="AH602" s="170"/>
      <c r="AI602" s="170"/>
      <c r="AJ602" s="170"/>
      <c r="AK602" s="170"/>
      <c r="AL602" s="170"/>
      <c r="AM602" s="170"/>
      <c r="AN602" s="170"/>
      <c r="AO602" s="170"/>
      <c r="AP602" s="170"/>
      <c r="AQ602" s="170"/>
      <c r="AR602" s="170"/>
      <c r="AS602" s="170"/>
    </row>
    <row r="603" spans="1:45" ht="15" x14ac:dyDescent="0.25">
      <c r="A603" s="170"/>
      <c r="B603" s="719"/>
      <c r="C603" s="170"/>
      <c r="D603" s="170"/>
      <c r="E603" s="170"/>
      <c r="F603" s="170"/>
      <c r="G603" s="721"/>
      <c r="H603" s="170"/>
      <c r="I603" s="170"/>
      <c r="J603" s="170"/>
      <c r="K603" s="170"/>
      <c r="L603" s="170"/>
      <c r="M603" s="730"/>
      <c r="N603" s="730"/>
      <c r="O603" s="730"/>
      <c r="P603" s="731"/>
      <c r="Q603" s="731"/>
      <c r="R603" s="730"/>
      <c r="S603" s="730"/>
      <c r="T603" s="723"/>
      <c r="U603" s="724"/>
      <c r="V603" s="725"/>
      <c r="W603" s="725"/>
      <c r="X603" s="723"/>
      <c r="Y603" s="723"/>
      <c r="Z603" s="723"/>
      <c r="AA603" s="726"/>
      <c r="AB603" s="726"/>
      <c r="AC603" s="170"/>
      <c r="AD603" s="586"/>
      <c r="AE603" s="586"/>
      <c r="AF603" s="170"/>
      <c r="AG603" s="170"/>
      <c r="AH603" s="170"/>
      <c r="AI603" s="170"/>
      <c r="AJ603" s="170"/>
      <c r="AK603" s="170"/>
      <c r="AL603" s="170"/>
      <c r="AM603" s="170"/>
      <c r="AN603" s="170"/>
      <c r="AO603" s="170"/>
      <c r="AP603" s="170"/>
      <c r="AQ603" s="170"/>
      <c r="AR603" s="170"/>
      <c r="AS603" s="170"/>
    </row>
    <row r="604" spans="1:45" ht="15" x14ac:dyDescent="0.25">
      <c r="A604" s="170"/>
      <c r="B604" s="719"/>
      <c r="C604" s="170"/>
      <c r="D604" s="170"/>
      <c r="E604" s="170"/>
      <c r="F604" s="170"/>
      <c r="G604" s="721"/>
      <c r="H604" s="170"/>
      <c r="I604" s="170"/>
      <c r="J604" s="170"/>
      <c r="K604" s="170"/>
      <c r="L604" s="170"/>
      <c r="M604" s="730"/>
      <c r="N604" s="730"/>
      <c r="O604" s="730"/>
      <c r="P604" s="731"/>
      <c r="Q604" s="731"/>
      <c r="R604" s="730"/>
      <c r="S604" s="730"/>
      <c r="T604" s="723"/>
      <c r="U604" s="724"/>
      <c r="V604" s="725"/>
      <c r="W604" s="725"/>
      <c r="X604" s="723"/>
      <c r="Y604" s="723"/>
      <c r="Z604" s="723"/>
      <c r="AA604" s="726"/>
      <c r="AB604" s="726"/>
      <c r="AC604" s="170"/>
      <c r="AD604" s="586"/>
      <c r="AE604" s="586"/>
      <c r="AF604" s="170"/>
      <c r="AG604" s="170"/>
      <c r="AH604" s="170"/>
      <c r="AI604" s="170"/>
      <c r="AJ604" s="170"/>
      <c r="AK604" s="170"/>
      <c r="AL604" s="170"/>
      <c r="AM604" s="170"/>
      <c r="AN604" s="170"/>
      <c r="AO604" s="170"/>
      <c r="AP604" s="170"/>
      <c r="AQ604" s="170"/>
      <c r="AR604" s="170"/>
      <c r="AS604" s="170"/>
    </row>
    <row r="605" spans="1:45" ht="15" x14ac:dyDescent="0.25">
      <c r="A605" s="170"/>
      <c r="B605" s="719"/>
      <c r="C605" s="170"/>
      <c r="D605" s="170"/>
      <c r="E605" s="170"/>
      <c r="F605" s="170"/>
      <c r="G605" s="721"/>
      <c r="H605" s="170"/>
      <c r="I605" s="170"/>
      <c r="J605" s="170"/>
      <c r="K605" s="170"/>
      <c r="L605" s="170"/>
      <c r="M605" s="730"/>
      <c r="N605" s="730"/>
      <c r="O605" s="730"/>
      <c r="P605" s="731"/>
      <c r="Q605" s="731"/>
      <c r="R605" s="730"/>
      <c r="S605" s="730"/>
      <c r="T605" s="723"/>
      <c r="U605" s="724"/>
      <c r="V605" s="725"/>
      <c r="W605" s="725"/>
      <c r="X605" s="723"/>
      <c r="Y605" s="723"/>
      <c r="Z605" s="723"/>
      <c r="AA605" s="726"/>
      <c r="AB605" s="726"/>
      <c r="AC605" s="170"/>
      <c r="AD605" s="586"/>
      <c r="AE605" s="586"/>
      <c r="AF605" s="170"/>
      <c r="AG605" s="170"/>
      <c r="AH605" s="170"/>
      <c r="AI605" s="170"/>
      <c r="AJ605" s="170"/>
      <c r="AK605" s="170"/>
      <c r="AL605" s="170"/>
      <c r="AM605" s="170"/>
      <c r="AN605" s="170"/>
      <c r="AO605" s="170"/>
      <c r="AP605" s="170"/>
      <c r="AQ605" s="170"/>
      <c r="AR605" s="170"/>
      <c r="AS605" s="170"/>
    </row>
    <row r="606" spans="1:45" ht="15" x14ac:dyDescent="0.25">
      <c r="A606" s="170"/>
      <c r="B606" s="719"/>
      <c r="C606" s="170"/>
      <c r="D606" s="170"/>
      <c r="E606" s="170"/>
      <c r="F606" s="170"/>
      <c r="G606" s="721"/>
      <c r="H606" s="170"/>
      <c r="I606" s="170"/>
      <c r="J606" s="170"/>
      <c r="K606" s="170"/>
      <c r="L606" s="170"/>
      <c r="M606" s="730"/>
      <c r="N606" s="730"/>
      <c r="O606" s="730"/>
      <c r="P606" s="731"/>
      <c r="Q606" s="731"/>
      <c r="R606" s="730"/>
      <c r="S606" s="730"/>
      <c r="T606" s="723"/>
      <c r="U606" s="724"/>
      <c r="V606" s="725"/>
      <c r="W606" s="725"/>
      <c r="X606" s="723"/>
      <c r="Y606" s="723"/>
      <c r="Z606" s="723"/>
      <c r="AA606" s="726"/>
      <c r="AB606" s="726"/>
      <c r="AC606" s="170"/>
      <c r="AD606" s="586"/>
      <c r="AE606" s="586"/>
      <c r="AF606" s="170"/>
      <c r="AG606" s="170"/>
      <c r="AH606" s="170"/>
      <c r="AI606" s="170"/>
      <c r="AJ606" s="170"/>
      <c r="AK606" s="170"/>
      <c r="AL606" s="170"/>
      <c r="AM606" s="170"/>
      <c r="AN606" s="170"/>
      <c r="AO606" s="170"/>
      <c r="AP606" s="170"/>
      <c r="AQ606" s="170"/>
      <c r="AR606" s="170"/>
      <c r="AS606" s="170"/>
    </row>
    <row r="607" spans="1:45" ht="15" x14ac:dyDescent="0.25">
      <c r="A607" s="170"/>
      <c r="B607" s="719"/>
      <c r="C607" s="170"/>
      <c r="D607" s="170"/>
      <c r="E607" s="170"/>
      <c r="F607" s="170"/>
      <c r="G607" s="721"/>
      <c r="H607" s="170"/>
      <c r="I607" s="170"/>
      <c r="J607" s="170"/>
      <c r="K607" s="170"/>
      <c r="L607" s="170"/>
      <c r="M607" s="730"/>
      <c r="N607" s="730"/>
      <c r="O607" s="730"/>
      <c r="P607" s="731"/>
      <c r="Q607" s="731"/>
      <c r="R607" s="730"/>
      <c r="S607" s="730"/>
      <c r="T607" s="723"/>
      <c r="U607" s="724"/>
      <c r="V607" s="725"/>
      <c r="W607" s="725"/>
      <c r="X607" s="723"/>
      <c r="Y607" s="723"/>
      <c r="Z607" s="723"/>
      <c r="AA607" s="726"/>
      <c r="AB607" s="726"/>
      <c r="AC607" s="170"/>
      <c r="AD607" s="586"/>
      <c r="AE607" s="586"/>
      <c r="AF607" s="170"/>
      <c r="AG607" s="170"/>
      <c r="AH607" s="170"/>
      <c r="AI607" s="170"/>
      <c r="AJ607" s="170"/>
      <c r="AK607" s="170"/>
      <c r="AL607" s="170"/>
      <c r="AM607" s="170"/>
      <c r="AN607" s="170"/>
      <c r="AO607" s="170"/>
      <c r="AP607" s="170"/>
      <c r="AQ607" s="170"/>
      <c r="AR607" s="170"/>
      <c r="AS607" s="170"/>
    </row>
    <row r="608" spans="1:45" ht="15" x14ac:dyDescent="0.25">
      <c r="A608" s="170"/>
      <c r="B608" s="719"/>
      <c r="C608" s="170"/>
      <c r="D608" s="170"/>
      <c r="E608" s="170"/>
      <c r="F608" s="170"/>
      <c r="G608" s="721"/>
      <c r="H608" s="170"/>
      <c r="I608" s="170"/>
      <c r="J608" s="170"/>
      <c r="K608" s="170"/>
      <c r="L608" s="170"/>
      <c r="M608" s="730"/>
      <c r="N608" s="730"/>
      <c r="O608" s="730"/>
      <c r="P608" s="731"/>
      <c r="Q608" s="731"/>
      <c r="R608" s="730"/>
      <c r="S608" s="730"/>
      <c r="T608" s="723"/>
      <c r="U608" s="724"/>
      <c r="V608" s="725"/>
      <c r="W608" s="725"/>
      <c r="X608" s="723"/>
      <c r="Y608" s="723"/>
      <c r="Z608" s="723"/>
      <c r="AA608" s="726"/>
      <c r="AB608" s="726"/>
      <c r="AC608" s="170"/>
      <c r="AD608" s="586"/>
      <c r="AE608" s="586"/>
      <c r="AF608" s="170"/>
      <c r="AG608" s="170"/>
      <c r="AH608" s="170"/>
      <c r="AI608" s="170"/>
      <c r="AJ608" s="170"/>
      <c r="AK608" s="170"/>
      <c r="AL608" s="170"/>
      <c r="AM608" s="170"/>
      <c r="AN608" s="170"/>
      <c r="AO608" s="170"/>
      <c r="AP608" s="170"/>
      <c r="AQ608" s="170"/>
      <c r="AR608" s="170"/>
      <c r="AS608" s="170"/>
    </row>
    <row r="609" spans="1:45" ht="15" x14ac:dyDescent="0.25">
      <c r="A609" s="170"/>
      <c r="B609" s="719"/>
      <c r="C609" s="170"/>
      <c r="D609" s="170"/>
      <c r="E609" s="170"/>
      <c r="F609" s="170"/>
      <c r="G609" s="721"/>
      <c r="H609" s="170"/>
      <c r="I609" s="170"/>
      <c r="J609" s="170"/>
      <c r="K609" s="170"/>
      <c r="L609" s="170"/>
      <c r="M609" s="730"/>
      <c r="N609" s="730"/>
      <c r="O609" s="730"/>
      <c r="P609" s="731"/>
      <c r="Q609" s="731"/>
      <c r="R609" s="730"/>
      <c r="S609" s="730"/>
      <c r="T609" s="723"/>
      <c r="U609" s="724"/>
      <c r="V609" s="725"/>
      <c r="W609" s="725"/>
      <c r="X609" s="723"/>
      <c r="Y609" s="723"/>
      <c r="Z609" s="723"/>
      <c r="AA609" s="726"/>
      <c r="AB609" s="726"/>
      <c r="AC609" s="170"/>
      <c r="AD609" s="586"/>
      <c r="AE609" s="586"/>
      <c r="AF609" s="170"/>
      <c r="AG609" s="170"/>
      <c r="AH609" s="170"/>
      <c r="AI609" s="170"/>
      <c r="AJ609" s="170"/>
      <c r="AK609" s="170"/>
      <c r="AL609" s="170"/>
      <c r="AM609" s="170"/>
      <c r="AN609" s="170"/>
      <c r="AO609" s="170"/>
      <c r="AP609" s="170"/>
      <c r="AQ609" s="170"/>
      <c r="AR609" s="170"/>
      <c r="AS609" s="170"/>
    </row>
    <row r="610" spans="1:45" ht="15" x14ac:dyDescent="0.25">
      <c r="A610" s="170"/>
      <c r="B610" s="719"/>
      <c r="C610" s="170"/>
      <c r="D610" s="170"/>
      <c r="E610" s="170"/>
      <c r="F610" s="170"/>
      <c r="G610" s="721"/>
      <c r="H610" s="170"/>
      <c r="I610" s="170"/>
      <c r="J610" s="170"/>
      <c r="K610" s="170"/>
      <c r="L610" s="170"/>
      <c r="M610" s="730"/>
      <c r="N610" s="730"/>
      <c r="O610" s="730"/>
      <c r="P610" s="731"/>
      <c r="Q610" s="731"/>
      <c r="R610" s="730"/>
      <c r="S610" s="730"/>
      <c r="T610" s="723"/>
      <c r="U610" s="724"/>
      <c r="V610" s="725"/>
      <c r="W610" s="725"/>
      <c r="X610" s="723"/>
      <c r="Y610" s="723"/>
      <c r="Z610" s="723"/>
      <c r="AA610" s="726"/>
      <c r="AB610" s="726"/>
      <c r="AC610" s="170"/>
      <c r="AD610" s="586"/>
      <c r="AE610" s="586"/>
      <c r="AF610" s="170"/>
      <c r="AG610" s="170"/>
      <c r="AH610" s="170"/>
      <c r="AI610" s="170"/>
      <c r="AJ610" s="170"/>
      <c r="AK610" s="170"/>
      <c r="AL610" s="170"/>
      <c r="AM610" s="170"/>
      <c r="AN610" s="170"/>
      <c r="AO610" s="170"/>
      <c r="AP610" s="170"/>
      <c r="AQ610" s="170"/>
      <c r="AR610" s="170"/>
      <c r="AS610" s="170"/>
    </row>
    <row r="611" spans="1:45" ht="15" x14ac:dyDescent="0.25">
      <c r="A611" s="170"/>
      <c r="B611" s="719"/>
      <c r="C611" s="170"/>
      <c r="D611" s="170"/>
      <c r="E611" s="170"/>
      <c r="F611" s="170"/>
      <c r="G611" s="721"/>
      <c r="H611" s="170"/>
      <c r="I611" s="170"/>
      <c r="J611" s="170"/>
      <c r="K611" s="170"/>
      <c r="L611" s="170"/>
      <c r="M611" s="730"/>
      <c r="N611" s="730"/>
      <c r="O611" s="730"/>
      <c r="P611" s="731"/>
      <c r="Q611" s="731"/>
      <c r="R611" s="730"/>
      <c r="S611" s="730"/>
      <c r="T611" s="723"/>
      <c r="U611" s="724"/>
      <c r="V611" s="725"/>
      <c r="W611" s="725"/>
      <c r="X611" s="723"/>
      <c r="Y611" s="723"/>
      <c r="Z611" s="723"/>
      <c r="AA611" s="726"/>
      <c r="AB611" s="726"/>
      <c r="AC611" s="170"/>
      <c r="AD611" s="586"/>
      <c r="AE611" s="586"/>
      <c r="AF611" s="170"/>
      <c r="AG611" s="170"/>
      <c r="AH611" s="170"/>
      <c r="AI611" s="170"/>
      <c r="AJ611" s="170"/>
      <c r="AK611" s="170"/>
      <c r="AL611" s="170"/>
      <c r="AM611" s="170"/>
      <c r="AN611" s="170"/>
      <c r="AO611" s="170"/>
      <c r="AP611" s="170"/>
      <c r="AQ611" s="170"/>
      <c r="AR611" s="170"/>
      <c r="AS611" s="170"/>
    </row>
    <row r="612" spans="1:45" ht="15" x14ac:dyDescent="0.25">
      <c r="A612" s="170"/>
      <c r="B612" s="719"/>
      <c r="C612" s="170"/>
      <c r="D612" s="170"/>
      <c r="E612" s="170"/>
      <c r="F612" s="170"/>
      <c r="G612" s="721"/>
      <c r="H612" s="170"/>
      <c r="I612" s="170"/>
      <c r="J612" s="170"/>
      <c r="K612" s="170"/>
      <c r="L612" s="170"/>
      <c r="M612" s="730"/>
      <c r="N612" s="730"/>
      <c r="O612" s="730"/>
      <c r="P612" s="731"/>
      <c r="Q612" s="731"/>
      <c r="R612" s="730"/>
      <c r="S612" s="730"/>
      <c r="T612" s="723"/>
      <c r="U612" s="724"/>
      <c r="V612" s="725"/>
      <c r="W612" s="725"/>
      <c r="X612" s="723"/>
      <c r="Y612" s="723"/>
      <c r="Z612" s="723"/>
      <c r="AA612" s="726"/>
      <c r="AB612" s="726"/>
      <c r="AC612" s="170"/>
      <c r="AD612" s="586"/>
      <c r="AE612" s="586"/>
      <c r="AF612" s="170"/>
      <c r="AG612" s="170"/>
      <c r="AH612" s="170"/>
      <c r="AI612" s="170"/>
      <c r="AJ612" s="170"/>
      <c r="AK612" s="170"/>
      <c r="AL612" s="170"/>
      <c r="AM612" s="170"/>
      <c r="AN612" s="170"/>
      <c r="AO612" s="170"/>
      <c r="AP612" s="170"/>
      <c r="AQ612" s="170"/>
      <c r="AR612" s="170"/>
      <c r="AS612" s="170"/>
    </row>
    <row r="613" spans="1:45" ht="15" x14ac:dyDescent="0.25">
      <c r="A613" s="170"/>
      <c r="B613" s="719"/>
      <c r="C613" s="170"/>
      <c r="D613" s="170"/>
      <c r="E613" s="170"/>
      <c r="F613" s="170"/>
      <c r="G613" s="721"/>
      <c r="H613" s="170"/>
      <c r="I613" s="170"/>
      <c r="J613" s="170"/>
      <c r="K613" s="170"/>
      <c r="L613" s="170"/>
      <c r="M613" s="730"/>
      <c r="N613" s="730"/>
      <c r="O613" s="730"/>
      <c r="P613" s="731"/>
      <c r="Q613" s="731"/>
      <c r="R613" s="730"/>
      <c r="S613" s="730"/>
      <c r="T613" s="723"/>
      <c r="U613" s="724"/>
      <c r="V613" s="725"/>
      <c r="W613" s="725"/>
      <c r="X613" s="723"/>
      <c r="Y613" s="723"/>
      <c r="Z613" s="723"/>
      <c r="AA613" s="726"/>
      <c r="AB613" s="726"/>
      <c r="AC613" s="170"/>
      <c r="AD613" s="586"/>
      <c r="AE613" s="586"/>
      <c r="AF613" s="170"/>
      <c r="AG613" s="170"/>
      <c r="AH613" s="170"/>
      <c r="AI613" s="170"/>
      <c r="AJ613" s="170"/>
      <c r="AK613" s="170"/>
      <c r="AL613" s="170"/>
      <c r="AM613" s="170"/>
      <c r="AN613" s="170"/>
      <c r="AO613" s="170"/>
      <c r="AP613" s="170"/>
      <c r="AQ613" s="170"/>
      <c r="AR613" s="170"/>
      <c r="AS613" s="170"/>
    </row>
    <row r="614" spans="1:45" ht="15" x14ac:dyDescent="0.25">
      <c r="A614" s="170"/>
      <c r="B614" s="719"/>
      <c r="C614" s="170"/>
      <c r="D614" s="170"/>
      <c r="E614" s="170"/>
      <c r="F614" s="170"/>
      <c r="G614" s="721"/>
      <c r="H614" s="170"/>
      <c r="I614" s="170"/>
      <c r="J614" s="170"/>
      <c r="K614" s="170"/>
      <c r="L614" s="170"/>
      <c r="M614" s="730"/>
      <c r="N614" s="730"/>
      <c r="O614" s="730"/>
      <c r="P614" s="731"/>
      <c r="Q614" s="731"/>
      <c r="R614" s="730"/>
      <c r="S614" s="730"/>
      <c r="T614" s="723"/>
      <c r="U614" s="724"/>
      <c r="V614" s="725"/>
      <c r="W614" s="725"/>
      <c r="X614" s="723"/>
      <c r="Y614" s="723"/>
      <c r="Z614" s="723"/>
      <c r="AA614" s="726"/>
      <c r="AB614" s="726"/>
      <c r="AC614" s="170"/>
      <c r="AD614" s="586"/>
      <c r="AE614" s="586"/>
      <c r="AF614" s="170"/>
      <c r="AG614" s="170"/>
      <c r="AH614" s="170"/>
      <c r="AI614" s="170"/>
      <c r="AJ614" s="170"/>
      <c r="AK614" s="170"/>
      <c r="AL614" s="170"/>
      <c r="AM614" s="170"/>
      <c r="AN614" s="170"/>
      <c r="AO614" s="170"/>
      <c r="AP614" s="170"/>
      <c r="AQ614" s="170"/>
      <c r="AR614" s="170"/>
      <c r="AS614" s="170"/>
    </row>
    <row r="615" spans="1:45" ht="15" x14ac:dyDescent="0.25">
      <c r="A615" s="170"/>
      <c r="B615" s="719"/>
      <c r="C615" s="170"/>
      <c r="D615" s="170"/>
      <c r="E615" s="170"/>
      <c r="F615" s="170"/>
      <c r="G615" s="721"/>
      <c r="H615" s="170"/>
      <c r="I615" s="170"/>
      <c r="J615" s="170"/>
      <c r="K615" s="170"/>
      <c r="L615" s="170"/>
      <c r="M615" s="730"/>
      <c r="N615" s="730"/>
      <c r="O615" s="730"/>
      <c r="P615" s="731"/>
      <c r="Q615" s="731"/>
      <c r="R615" s="730"/>
      <c r="S615" s="730"/>
      <c r="T615" s="723"/>
      <c r="U615" s="724"/>
      <c r="V615" s="725"/>
      <c r="W615" s="725"/>
      <c r="X615" s="723"/>
      <c r="Y615" s="723"/>
      <c r="Z615" s="723"/>
      <c r="AA615" s="726"/>
      <c r="AB615" s="726"/>
      <c r="AC615" s="170"/>
      <c r="AD615" s="586"/>
      <c r="AE615" s="586"/>
      <c r="AF615" s="170"/>
      <c r="AG615" s="170"/>
      <c r="AH615" s="170"/>
      <c r="AI615" s="170"/>
      <c r="AJ615" s="170"/>
      <c r="AK615" s="170"/>
      <c r="AL615" s="170"/>
      <c r="AM615" s="170"/>
      <c r="AN615" s="170"/>
      <c r="AO615" s="170"/>
      <c r="AP615" s="170"/>
      <c r="AQ615" s="170"/>
      <c r="AR615" s="170"/>
      <c r="AS615" s="170"/>
    </row>
    <row r="616" spans="1:45" ht="15" x14ac:dyDescent="0.25">
      <c r="A616" s="170"/>
      <c r="B616" s="719"/>
      <c r="C616" s="170"/>
      <c r="D616" s="170"/>
      <c r="E616" s="170"/>
      <c r="F616" s="170"/>
      <c r="G616" s="721"/>
      <c r="H616" s="170"/>
      <c r="I616" s="170"/>
      <c r="J616" s="170"/>
      <c r="K616" s="170"/>
      <c r="L616" s="170"/>
      <c r="M616" s="730"/>
      <c r="N616" s="730"/>
      <c r="O616" s="730"/>
      <c r="P616" s="731"/>
      <c r="Q616" s="731"/>
      <c r="R616" s="730"/>
      <c r="S616" s="730"/>
      <c r="T616" s="723"/>
      <c r="U616" s="724"/>
      <c r="V616" s="725"/>
      <c r="W616" s="725"/>
      <c r="X616" s="723"/>
      <c r="Y616" s="723"/>
      <c r="Z616" s="723"/>
      <c r="AA616" s="726"/>
      <c r="AB616" s="726"/>
      <c r="AC616" s="170"/>
      <c r="AD616" s="586"/>
      <c r="AE616" s="586"/>
      <c r="AF616" s="170"/>
      <c r="AG616" s="170"/>
      <c r="AH616" s="170"/>
      <c r="AI616" s="170"/>
      <c r="AJ616" s="170"/>
      <c r="AK616" s="170"/>
      <c r="AL616" s="170"/>
      <c r="AM616" s="170"/>
      <c r="AN616" s="170"/>
      <c r="AO616" s="170"/>
      <c r="AP616" s="170"/>
      <c r="AQ616" s="170"/>
      <c r="AR616" s="170"/>
      <c r="AS616" s="170"/>
    </row>
    <row r="617" spans="1:45" ht="15" x14ac:dyDescent="0.25">
      <c r="A617" s="170"/>
      <c r="B617" s="719"/>
      <c r="C617" s="170"/>
      <c r="D617" s="170"/>
      <c r="E617" s="170"/>
      <c r="F617" s="170"/>
      <c r="G617" s="721"/>
      <c r="H617" s="170"/>
      <c r="I617" s="170"/>
      <c r="J617" s="170"/>
      <c r="K617" s="170"/>
      <c r="L617" s="170"/>
      <c r="M617" s="730"/>
      <c r="N617" s="730"/>
      <c r="O617" s="730"/>
      <c r="P617" s="731"/>
      <c r="Q617" s="731"/>
      <c r="R617" s="730"/>
      <c r="S617" s="730"/>
      <c r="T617" s="723"/>
      <c r="U617" s="724"/>
      <c r="V617" s="725"/>
      <c r="W617" s="725"/>
      <c r="X617" s="723"/>
      <c r="Y617" s="723"/>
      <c r="Z617" s="723"/>
      <c r="AA617" s="726"/>
      <c r="AB617" s="726"/>
      <c r="AC617" s="170"/>
      <c r="AD617" s="586"/>
      <c r="AE617" s="586"/>
      <c r="AF617" s="170"/>
      <c r="AG617" s="170"/>
      <c r="AH617" s="170"/>
      <c r="AI617" s="170"/>
      <c r="AJ617" s="170"/>
      <c r="AK617" s="170"/>
      <c r="AL617" s="170"/>
      <c r="AM617" s="170"/>
      <c r="AN617" s="170"/>
      <c r="AO617" s="170"/>
      <c r="AP617" s="170"/>
      <c r="AQ617" s="170"/>
      <c r="AR617" s="170"/>
      <c r="AS617" s="170"/>
    </row>
    <row r="618" spans="1:45" ht="15" x14ac:dyDescent="0.25">
      <c r="A618" s="170"/>
      <c r="B618" s="719"/>
      <c r="C618" s="170"/>
      <c r="D618" s="170"/>
      <c r="E618" s="170"/>
      <c r="F618" s="170"/>
      <c r="G618" s="721"/>
      <c r="H618" s="170"/>
      <c r="I618" s="170"/>
      <c r="J618" s="170"/>
      <c r="K618" s="170"/>
      <c r="L618" s="170"/>
      <c r="M618" s="730"/>
      <c r="N618" s="730"/>
      <c r="O618" s="730"/>
      <c r="P618" s="731"/>
      <c r="Q618" s="731"/>
      <c r="R618" s="730"/>
      <c r="S618" s="730"/>
      <c r="T618" s="723"/>
      <c r="U618" s="724"/>
      <c r="V618" s="725"/>
      <c r="W618" s="725"/>
      <c r="X618" s="723"/>
      <c r="Y618" s="723"/>
      <c r="Z618" s="723"/>
      <c r="AA618" s="726"/>
      <c r="AB618" s="726"/>
      <c r="AC618" s="170"/>
      <c r="AD618" s="586"/>
      <c r="AE618" s="586"/>
      <c r="AF618" s="170"/>
      <c r="AG618" s="170"/>
      <c r="AH618" s="170"/>
      <c r="AI618" s="170"/>
      <c r="AJ618" s="170"/>
      <c r="AK618" s="170"/>
      <c r="AL618" s="170"/>
      <c r="AM618" s="170"/>
      <c r="AN618" s="170"/>
      <c r="AO618" s="170"/>
      <c r="AP618" s="170"/>
      <c r="AQ618" s="170"/>
      <c r="AR618" s="170"/>
      <c r="AS618" s="170"/>
    </row>
    <row r="619" spans="1:45" ht="15" x14ac:dyDescent="0.25">
      <c r="A619" s="170"/>
      <c r="B619" s="719"/>
      <c r="C619" s="170"/>
      <c r="D619" s="170"/>
      <c r="E619" s="170"/>
      <c r="F619" s="170"/>
      <c r="G619" s="721"/>
      <c r="H619" s="170"/>
      <c r="I619" s="170"/>
      <c r="J619" s="170"/>
      <c r="K619" s="170"/>
      <c r="L619" s="170"/>
      <c r="M619" s="730"/>
      <c r="N619" s="730"/>
      <c r="O619" s="730"/>
      <c r="P619" s="731"/>
      <c r="Q619" s="731"/>
      <c r="R619" s="730"/>
      <c r="S619" s="730"/>
      <c r="T619" s="723"/>
      <c r="U619" s="724"/>
      <c r="V619" s="725"/>
      <c r="W619" s="725"/>
      <c r="X619" s="723"/>
      <c r="Y619" s="723"/>
      <c r="Z619" s="723"/>
      <c r="AA619" s="726"/>
      <c r="AB619" s="726"/>
      <c r="AC619" s="170"/>
      <c r="AD619" s="586"/>
      <c r="AE619" s="586"/>
      <c r="AF619" s="170"/>
      <c r="AG619" s="170"/>
      <c r="AH619" s="170"/>
      <c r="AI619" s="170"/>
      <c r="AJ619" s="170"/>
      <c r="AK619" s="170"/>
      <c r="AL619" s="170"/>
      <c r="AM619" s="170"/>
      <c r="AN619" s="170"/>
      <c r="AO619" s="170"/>
      <c r="AP619" s="170"/>
      <c r="AQ619" s="170"/>
      <c r="AR619" s="170"/>
      <c r="AS619" s="170"/>
    </row>
    <row r="620" spans="1:45" ht="15" x14ac:dyDescent="0.25">
      <c r="A620" s="170"/>
      <c r="B620" s="719"/>
      <c r="C620" s="170"/>
      <c r="D620" s="170"/>
      <c r="E620" s="170"/>
      <c r="F620" s="170"/>
      <c r="G620" s="721"/>
      <c r="H620" s="170"/>
      <c r="I620" s="170"/>
      <c r="J620" s="170"/>
      <c r="K620" s="170"/>
      <c r="L620" s="170"/>
      <c r="M620" s="730"/>
      <c r="N620" s="730"/>
      <c r="O620" s="730"/>
      <c r="P620" s="731"/>
      <c r="Q620" s="731"/>
      <c r="R620" s="730"/>
      <c r="S620" s="730"/>
      <c r="T620" s="723"/>
      <c r="U620" s="724"/>
      <c r="V620" s="725"/>
      <c r="W620" s="725"/>
      <c r="X620" s="723"/>
      <c r="Y620" s="723"/>
      <c r="Z620" s="723"/>
      <c r="AA620" s="726"/>
      <c r="AB620" s="726"/>
      <c r="AC620" s="170"/>
      <c r="AD620" s="586"/>
      <c r="AE620" s="586"/>
      <c r="AF620" s="170"/>
      <c r="AG620" s="170"/>
      <c r="AH620" s="170"/>
      <c r="AI620" s="170"/>
      <c r="AJ620" s="170"/>
      <c r="AK620" s="170"/>
      <c r="AL620" s="170"/>
      <c r="AM620" s="170"/>
      <c r="AN620" s="170"/>
      <c r="AO620" s="170"/>
      <c r="AP620" s="170"/>
      <c r="AQ620" s="170"/>
      <c r="AR620" s="170"/>
      <c r="AS620" s="170"/>
    </row>
    <row r="621" spans="1:45" ht="15" x14ac:dyDescent="0.25">
      <c r="A621" s="170"/>
      <c r="B621" s="719"/>
      <c r="C621" s="170"/>
      <c r="D621" s="170"/>
      <c r="E621" s="170"/>
      <c r="F621" s="170"/>
      <c r="G621" s="721"/>
      <c r="H621" s="170"/>
      <c r="I621" s="170"/>
      <c r="J621" s="170"/>
      <c r="K621" s="170"/>
      <c r="L621" s="170"/>
      <c r="M621" s="730"/>
      <c r="N621" s="730"/>
      <c r="O621" s="730"/>
      <c r="P621" s="731"/>
      <c r="Q621" s="731"/>
      <c r="R621" s="730"/>
      <c r="S621" s="730"/>
      <c r="T621" s="723"/>
      <c r="U621" s="724"/>
      <c r="V621" s="725"/>
      <c r="W621" s="725"/>
      <c r="X621" s="723"/>
      <c r="Y621" s="723"/>
      <c r="Z621" s="723"/>
      <c r="AA621" s="726"/>
      <c r="AB621" s="726"/>
      <c r="AC621" s="170"/>
      <c r="AD621" s="586"/>
      <c r="AE621" s="586"/>
      <c r="AF621" s="170"/>
      <c r="AG621" s="170"/>
      <c r="AH621" s="170"/>
      <c r="AI621" s="170"/>
      <c r="AJ621" s="170"/>
      <c r="AK621" s="170"/>
      <c r="AL621" s="170"/>
      <c r="AM621" s="170"/>
      <c r="AN621" s="170"/>
      <c r="AO621" s="170"/>
      <c r="AP621" s="170"/>
      <c r="AQ621" s="170"/>
      <c r="AR621" s="170"/>
      <c r="AS621" s="170"/>
    </row>
    <row r="622" spans="1:45" ht="15" x14ac:dyDescent="0.25">
      <c r="A622" s="170"/>
      <c r="B622" s="719"/>
      <c r="C622" s="170"/>
      <c r="D622" s="170"/>
      <c r="E622" s="170"/>
      <c r="F622" s="170"/>
      <c r="G622" s="721"/>
      <c r="H622" s="170"/>
      <c r="I622" s="170"/>
      <c r="J622" s="170"/>
      <c r="K622" s="170"/>
      <c r="L622" s="170"/>
      <c r="M622" s="730"/>
      <c r="N622" s="730"/>
      <c r="O622" s="730"/>
      <c r="P622" s="731"/>
      <c r="Q622" s="731"/>
      <c r="R622" s="730"/>
      <c r="S622" s="730"/>
      <c r="T622" s="723"/>
      <c r="U622" s="724"/>
      <c r="V622" s="725"/>
      <c r="W622" s="725"/>
      <c r="X622" s="723"/>
      <c r="Y622" s="723"/>
      <c r="Z622" s="723"/>
      <c r="AA622" s="726"/>
      <c r="AB622" s="726"/>
      <c r="AC622" s="170"/>
      <c r="AD622" s="586"/>
      <c r="AE622" s="586"/>
      <c r="AF622" s="170"/>
      <c r="AG622" s="170"/>
      <c r="AH622" s="170"/>
      <c r="AI622" s="170"/>
      <c r="AJ622" s="170"/>
      <c r="AK622" s="170"/>
      <c r="AL622" s="170"/>
      <c r="AM622" s="170"/>
      <c r="AN622" s="170"/>
      <c r="AO622" s="170"/>
      <c r="AP622" s="170"/>
      <c r="AQ622" s="170"/>
      <c r="AR622" s="170"/>
      <c r="AS622" s="170"/>
    </row>
    <row r="623" spans="1:45" ht="15" x14ac:dyDescent="0.25">
      <c r="A623" s="170"/>
      <c r="B623" s="719"/>
      <c r="C623" s="170"/>
      <c r="D623" s="170"/>
      <c r="E623" s="170"/>
      <c r="F623" s="170"/>
      <c r="G623" s="721"/>
      <c r="H623" s="170"/>
      <c r="I623" s="170"/>
      <c r="J623" s="170"/>
      <c r="K623" s="170"/>
      <c r="L623" s="170"/>
      <c r="M623" s="730"/>
      <c r="N623" s="730"/>
      <c r="O623" s="730"/>
      <c r="P623" s="731"/>
      <c r="Q623" s="731"/>
      <c r="R623" s="730"/>
      <c r="S623" s="730"/>
      <c r="T623" s="723"/>
      <c r="U623" s="724"/>
      <c r="V623" s="725"/>
      <c r="W623" s="725"/>
      <c r="X623" s="723"/>
      <c r="Y623" s="723"/>
      <c r="Z623" s="723"/>
      <c r="AA623" s="726"/>
      <c r="AB623" s="726"/>
      <c r="AC623" s="170"/>
      <c r="AD623" s="586"/>
      <c r="AE623" s="586"/>
      <c r="AF623" s="170"/>
      <c r="AG623" s="170"/>
      <c r="AH623" s="170"/>
      <c r="AI623" s="170"/>
      <c r="AJ623" s="170"/>
      <c r="AK623" s="170"/>
      <c r="AL623" s="170"/>
      <c r="AM623" s="170"/>
      <c r="AN623" s="170"/>
      <c r="AO623" s="170"/>
      <c r="AP623" s="170"/>
      <c r="AQ623" s="170"/>
      <c r="AR623" s="170"/>
      <c r="AS623" s="170"/>
    </row>
    <row r="624" spans="1:45" ht="15" x14ac:dyDescent="0.25">
      <c r="A624" s="170"/>
      <c r="B624" s="719"/>
      <c r="C624" s="170"/>
      <c r="D624" s="170"/>
      <c r="E624" s="170"/>
      <c r="F624" s="170"/>
      <c r="G624" s="721"/>
      <c r="H624" s="170"/>
      <c r="I624" s="170"/>
      <c r="J624" s="170"/>
      <c r="K624" s="170"/>
      <c r="L624" s="170"/>
      <c r="M624" s="730"/>
      <c r="N624" s="730"/>
      <c r="O624" s="730"/>
      <c r="P624" s="731"/>
      <c r="Q624" s="731"/>
      <c r="R624" s="730"/>
      <c r="S624" s="730"/>
      <c r="T624" s="723"/>
      <c r="U624" s="724"/>
      <c r="V624" s="725"/>
      <c r="W624" s="725"/>
      <c r="X624" s="723"/>
      <c r="Y624" s="723"/>
      <c r="Z624" s="723"/>
      <c r="AA624" s="726"/>
      <c r="AB624" s="726"/>
      <c r="AC624" s="170"/>
      <c r="AD624" s="586"/>
      <c r="AE624" s="586"/>
      <c r="AF624" s="170"/>
      <c r="AG624" s="170"/>
      <c r="AH624" s="170"/>
      <c r="AI624" s="170"/>
      <c r="AJ624" s="170"/>
      <c r="AK624" s="170"/>
      <c r="AL624" s="170"/>
      <c r="AM624" s="170"/>
      <c r="AN624" s="170"/>
      <c r="AO624" s="170"/>
      <c r="AP624" s="170"/>
      <c r="AQ624" s="170"/>
      <c r="AR624" s="170"/>
      <c r="AS624" s="170"/>
    </row>
    <row r="625" spans="1:45" ht="15" x14ac:dyDescent="0.25">
      <c r="A625" s="170"/>
      <c r="B625" s="719"/>
      <c r="C625" s="170"/>
      <c r="D625" s="170"/>
      <c r="E625" s="170"/>
      <c r="F625" s="170"/>
      <c r="G625" s="721"/>
      <c r="H625" s="170"/>
      <c r="I625" s="170"/>
      <c r="J625" s="170"/>
      <c r="K625" s="170"/>
      <c r="L625" s="170"/>
      <c r="M625" s="730"/>
      <c r="N625" s="730"/>
      <c r="O625" s="730"/>
      <c r="P625" s="731"/>
      <c r="Q625" s="731"/>
      <c r="R625" s="730"/>
      <c r="S625" s="730"/>
      <c r="T625" s="723"/>
      <c r="U625" s="724"/>
      <c r="V625" s="725"/>
      <c r="W625" s="725"/>
      <c r="X625" s="723"/>
      <c r="Y625" s="723"/>
      <c r="Z625" s="723"/>
      <c r="AA625" s="726"/>
      <c r="AB625" s="726"/>
      <c r="AC625" s="170"/>
      <c r="AD625" s="586"/>
      <c r="AE625" s="586"/>
      <c r="AF625" s="170"/>
      <c r="AG625" s="170"/>
      <c r="AH625" s="170"/>
      <c r="AI625" s="170"/>
      <c r="AJ625" s="170"/>
      <c r="AK625" s="170"/>
      <c r="AL625" s="170"/>
      <c r="AM625" s="170"/>
      <c r="AN625" s="170"/>
      <c r="AO625" s="170"/>
      <c r="AP625" s="170"/>
      <c r="AQ625" s="170"/>
      <c r="AR625" s="170"/>
      <c r="AS625" s="170"/>
    </row>
    <row r="626" spans="1:45" ht="15" x14ac:dyDescent="0.25">
      <c r="A626" s="170"/>
      <c r="B626" s="719"/>
      <c r="C626" s="170"/>
      <c r="D626" s="170"/>
      <c r="E626" s="170"/>
      <c r="F626" s="170"/>
      <c r="G626" s="721"/>
      <c r="H626" s="170"/>
      <c r="I626" s="170"/>
      <c r="J626" s="170"/>
      <c r="K626" s="170"/>
      <c r="L626" s="170"/>
      <c r="M626" s="730"/>
      <c r="N626" s="730"/>
      <c r="O626" s="730"/>
      <c r="P626" s="731"/>
      <c r="Q626" s="731"/>
      <c r="R626" s="730"/>
      <c r="S626" s="730"/>
      <c r="T626" s="723"/>
      <c r="U626" s="724"/>
      <c r="V626" s="725"/>
      <c r="W626" s="725"/>
      <c r="X626" s="723"/>
      <c r="Y626" s="723"/>
      <c r="Z626" s="723"/>
      <c r="AA626" s="726"/>
      <c r="AB626" s="726"/>
      <c r="AC626" s="170"/>
      <c r="AD626" s="586"/>
      <c r="AE626" s="586"/>
      <c r="AF626" s="170"/>
      <c r="AG626" s="170"/>
      <c r="AH626" s="170"/>
      <c r="AI626" s="170"/>
      <c r="AJ626" s="170"/>
      <c r="AK626" s="170"/>
      <c r="AL626" s="170"/>
      <c r="AM626" s="170"/>
      <c r="AN626" s="170"/>
      <c r="AO626" s="170"/>
      <c r="AP626" s="170"/>
      <c r="AQ626" s="170"/>
      <c r="AR626" s="170"/>
      <c r="AS626" s="170"/>
    </row>
    <row r="627" spans="1:45" ht="15" x14ac:dyDescent="0.25">
      <c r="A627" s="170"/>
      <c r="B627" s="719"/>
      <c r="C627" s="170"/>
      <c r="D627" s="170"/>
      <c r="E627" s="170"/>
      <c r="F627" s="170"/>
      <c r="G627" s="721"/>
      <c r="H627" s="170"/>
      <c r="I627" s="170"/>
      <c r="J627" s="170"/>
      <c r="K627" s="170"/>
      <c r="L627" s="170"/>
      <c r="M627" s="730"/>
      <c r="N627" s="730"/>
      <c r="O627" s="730"/>
      <c r="P627" s="731"/>
      <c r="Q627" s="731"/>
      <c r="R627" s="730"/>
      <c r="S627" s="730"/>
      <c r="T627" s="723"/>
      <c r="U627" s="724"/>
      <c r="V627" s="725"/>
      <c r="W627" s="725"/>
      <c r="X627" s="723"/>
      <c r="Y627" s="723"/>
      <c r="Z627" s="723"/>
      <c r="AA627" s="726"/>
      <c r="AB627" s="726"/>
      <c r="AC627" s="170"/>
      <c r="AD627" s="586"/>
      <c r="AE627" s="586"/>
      <c r="AF627" s="170"/>
      <c r="AG627" s="170"/>
      <c r="AH627" s="170"/>
      <c r="AI627" s="170"/>
      <c r="AJ627" s="170"/>
      <c r="AK627" s="170"/>
      <c r="AL627" s="170"/>
      <c r="AM627" s="170"/>
      <c r="AN627" s="170"/>
      <c r="AO627" s="170"/>
      <c r="AP627" s="170"/>
      <c r="AQ627" s="170"/>
      <c r="AR627" s="170"/>
      <c r="AS627" s="170"/>
    </row>
    <row r="628" spans="1:45" ht="15" x14ac:dyDescent="0.25">
      <c r="A628" s="170"/>
      <c r="B628" s="719"/>
      <c r="C628" s="170"/>
      <c r="D628" s="170"/>
      <c r="E628" s="170"/>
      <c r="F628" s="170"/>
      <c r="G628" s="721"/>
      <c r="H628" s="170"/>
      <c r="I628" s="170"/>
      <c r="J628" s="170"/>
      <c r="K628" s="170"/>
      <c r="L628" s="170"/>
      <c r="M628" s="730"/>
      <c r="N628" s="730"/>
      <c r="O628" s="730"/>
      <c r="P628" s="731"/>
      <c r="Q628" s="731"/>
      <c r="R628" s="730"/>
      <c r="S628" s="730"/>
      <c r="T628" s="723"/>
      <c r="U628" s="724"/>
      <c r="V628" s="725"/>
      <c r="W628" s="725"/>
      <c r="X628" s="723"/>
      <c r="Y628" s="723"/>
      <c r="Z628" s="723"/>
      <c r="AA628" s="726"/>
      <c r="AB628" s="726"/>
      <c r="AC628" s="170"/>
      <c r="AD628" s="586"/>
      <c r="AE628" s="586"/>
      <c r="AF628" s="170"/>
      <c r="AG628" s="170"/>
      <c r="AH628" s="170"/>
      <c r="AI628" s="170"/>
      <c r="AJ628" s="170"/>
      <c r="AK628" s="170"/>
      <c r="AL628" s="170"/>
      <c r="AM628" s="170"/>
      <c r="AN628" s="170"/>
      <c r="AO628" s="170"/>
      <c r="AP628" s="170"/>
      <c r="AQ628" s="170"/>
      <c r="AR628" s="170"/>
      <c r="AS628" s="170"/>
    </row>
    <row r="629" spans="1:45" ht="15" x14ac:dyDescent="0.25">
      <c r="A629" s="170"/>
      <c r="B629" s="719"/>
      <c r="C629" s="170"/>
      <c r="D629" s="170"/>
      <c r="E629" s="170"/>
      <c r="F629" s="170"/>
      <c r="G629" s="721"/>
      <c r="H629" s="170"/>
      <c r="I629" s="170"/>
      <c r="J629" s="170"/>
      <c r="K629" s="170"/>
      <c r="L629" s="170"/>
      <c r="M629" s="730"/>
      <c r="N629" s="730"/>
      <c r="O629" s="730"/>
      <c r="P629" s="731"/>
      <c r="Q629" s="731"/>
      <c r="R629" s="730"/>
      <c r="S629" s="730"/>
      <c r="T629" s="723"/>
      <c r="U629" s="724"/>
      <c r="V629" s="725"/>
      <c r="W629" s="725"/>
      <c r="X629" s="723"/>
      <c r="Y629" s="723"/>
      <c r="Z629" s="723"/>
      <c r="AA629" s="726"/>
      <c r="AB629" s="726"/>
      <c r="AC629" s="170"/>
      <c r="AD629" s="586"/>
      <c r="AE629" s="586"/>
      <c r="AF629" s="170"/>
      <c r="AG629" s="170"/>
      <c r="AH629" s="170"/>
      <c r="AI629" s="170"/>
      <c r="AJ629" s="170"/>
      <c r="AK629" s="170"/>
      <c r="AL629" s="170"/>
      <c r="AM629" s="170"/>
      <c r="AN629" s="170"/>
      <c r="AO629" s="170"/>
      <c r="AP629" s="170"/>
      <c r="AQ629" s="170"/>
      <c r="AR629" s="170"/>
      <c r="AS629" s="170"/>
    </row>
    <row r="630" spans="1:45" ht="15" x14ac:dyDescent="0.25">
      <c r="A630" s="170"/>
      <c r="B630" s="719"/>
      <c r="C630" s="170"/>
      <c r="D630" s="170"/>
      <c r="E630" s="170"/>
      <c r="F630" s="170"/>
      <c r="G630" s="721"/>
      <c r="H630" s="170"/>
      <c r="I630" s="170"/>
      <c r="J630" s="170"/>
      <c r="K630" s="170"/>
      <c r="L630" s="170"/>
      <c r="M630" s="730"/>
      <c r="N630" s="730"/>
      <c r="O630" s="730"/>
      <c r="P630" s="731"/>
      <c r="Q630" s="731"/>
      <c r="R630" s="730"/>
      <c r="S630" s="730"/>
      <c r="T630" s="723"/>
      <c r="U630" s="724"/>
      <c r="V630" s="725"/>
      <c r="W630" s="725"/>
      <c r="X630" s="723"/>
      <c r="Y630" s="723"/>
      <c r="Z630" s="723"/>
      <c r="AA630" s="726"/>
      <c r="AB630" s="726"/>
      <c r="AC630" s="170"/>
      <c r="AD630" s="586"/>
      <c r="AE630" s="586"/>
      <c r="AF630" s="170"/>
      <c r="AG630" s="170"/>
      <c r="AH630" s="170"/>
      <c r="AI630" s="170"/>
      <c r="AJ630" s="170"/>
      <c r="AK630" s="170"/>
      <c r="AL630" s="170"/>
      <c r="AM630" s="170"/>
      <c r="AN630" s="170"/>
      <c r="AO630" s="170"/>
      <c r="AP630" s="170"/>
      <c r="AQ630" s="170"/>
      <c r="AR630" s="170"/>
      <c r="AS630" s="170"/>
    </row>
    <row r="631" spans="1:45" ht="15" x14ac:dyDescent="0.25">
      <c r="A631" s="170"/>
      <c r="B631" s="719"/>
      <c r="C631" s="170"/>
      <c r="D631" s="170"/>
      <c r="E631" s="170"/>
      <c r="F631" s="170"/>
      <c r="G631" s="721"/>
      <c r="H631" s="170"/>
      <c r="I631" s="170"/>
      <c r="J631" s="170"/>
      <c r="K631" s="170"/>
      <c r="L631" s="170"/>
      <c r="M631" s="730"/>
      <c r="N631" s="730"/>
      <c r="O631" s="730"/>
      <c r="P631" s="731"/>
      <c r="Q631" s="731"/>
      <c r="R631" s="730"/>
      <c r="S631" s="730"/>
      <c r="T631" s="723"/>
      <c r="U631" s="724"/>
      <c r="V631" s="725"/>
      <c r="W631" s="725"/>
      <c r="X631" s="723"/>
      <c r="Y631" s="723"/>
      <c r="Z631" s="723"/>
      <c r="AA631" s="726"/>
      <c r="AB631" s="726"/>
      <c r="AC631" s="170"/>
      <c r="AD631" s="586"/>
      <c r="AE631" s="586"/>
      <c r="AF631" s="170"/>
      <c r="AG631" s="170"/>
      <c r="AH631" s="170"/>
      <c r="AI631" s="170"/>
      <c r="AJ631" s="170"/>
      <c r="AK631" s="170"/>
      <c r="AL631" s="170"/>
      <c r="AM631" s="170"/>
      <c r="AN631" s="170"/>
      <c r="AO631" s="170"/>
      <c r="AP631" s="170"/>
      <c r="AQ631" s="170"/>
      <c r="AR631" s="170"/>
      <c r="AS631" s="170"/>
    </row>
    <row r="632" spans="1:45" ht="15" x14ac:dyDescent="0.25">
      <c r="A632" s="170"/>
      <c r="B632" s="719"/>
      <c r="C632" s="170"/>
      <c r="D632" s="170"/>
      <c r="E632" s="170"/>
      <c r="F632" s="170"/>
      <c r="G632" s="721"/>
      <c r="H632" s="170"/>
      <c r="I632" s="170"/>
      <c r="J632" s="170"/>
      <c r="K632" s="170"/>
      <c r="L632" s="170"/>
      <c r="M632" s="730"/>
      <c r="N632" s="730"/>
      <c r="O632" s="730"/>
      <c r="P632" s="731"/>
      <c r="Q632" s="731"/>
      <c r="R632" s="730"/>
      <c r="S632" s="730"/>
      <c r="T632" s="723"/>
      <c r="U632" s="724"/>
      <c r="V632" s="725"/>
      <c r="W632" s="725"/>
      <c r="X632" s="723"/>
      <c r="Y632" s="723"/>
      <c r="Z632" s="723"/>
      <c r="AA632" s="726"/>
      <c r="AB632" s="726"/>
      <c r="AC632" s="170"/>
      <c r="AD632" s="586"/>
      <c r="AE632" s="586"/>
      <c r="AF632" s="170"/>
      <c r="AG632" s="170"/>
      <c r="AH632" s="170"/>
      <c r="AI632" s="170"/>
      <c r="AJ632" s="170"/>
      <c r="AK632" s="170"/>
      <c r="AL632" s="170"/>
      <c r="AM632" s="170"/>
      <c r="AN632" s="170"/>
      <c r="AO632" s="170"/>
      <c r="AP632" s="170"/>
      <c r="AQ632" s="170"/>
      <c r="AR632" s="170"/>
      <c r="AS632" s="170"/>
    </row>
    <row r="633" spans="1:45" ht="15" x14ac:dyDescent="0.25">
      <c r="A633" s="170"/>
      <c r="B633" s="719"/>
      <c r="C633" s="170"/>
      <c r="D633" s="170"/>
      <c r="E633" s="170"/>
      <c r="F633" s="170"/>
      <c r="G633" s="721"/>
      <c r="H633" s="170"/>
      <c r="I633" s="170"/>
      <c r="J633" s="170"/>
      <c r="K633" s="170"/>
      <c r="L633" s="170"/>
      <c r="M633" s="730"/>
      <c r="N633" s="730"/>
      <c r="O633" s="730"/>
      <c r="P633" s="731"/>
      <c r="Q633" s="731"/>
      <c r="R633" s="730"/>
      <c r="S633" s="730"/>
      <c r="T633" s="723"/>
      <c r="U633" s="724"/>
      <c r="V633" s="725"/>
      <c r="W633" s="725"/>
      <c r="X633" s="723"/>
      <c r="Y633" s="723"/>
      <c r="Z633" s="723"/>
      <c r="AA633" s="726"/>
      <c r="AB633" s="726"/>
      <c r="AC633" s="170"/>
      <c r="AD633" s="586"/>
      <c r="AE633" s="586"/>
      <c r="AF633" s="170"/>
      <c r="AG633" s="170"/>
      <c r="AH633" s="170"/>
      <c r="AI633" s="170"/>
      <c r="AJ633" s="170"/>
      <c r="AK633" s="170"/>
      <c r="AL633" s="170"/>
      <c r="AM633" s="170"/>
      <c r="AN633" s="170"/>
      <c r="AO633" s="170"/>
      <c r="AP633" s="170"/>
      <c r="AQ633" s="170"/>
      <c r="AR633" s="170"/>
      <c r="AS633" s="170"/>
    </row>
    <row r="634" spans="1:45" ht="15" x14ac:dyDescent="0.25">
      <c r="A634" s="170"/>
      <c r="B634" s="719"/>
      <c r="C634" s="170"/>
      <c r="D634" s="170"/>
      <c r="E634" s="170"/>
      <c r="F634" s="170"/>
      <c r="G634" s="721"/>
      <c r="H634" s="170"/>
      <c r="I634" s="170"/>
      <c r="J634" s="170"/>
      <c r="K634" s="170"/>
      <c r="L634" s="170"/>
      <c r="M634" s="730"/>
      <c r="N634" s="730"/>
      <c r="O634" s="730"/>
      <c r="P634" s="731"/>
      <c r="Q634" s="731"/>
      <c r="R634" s="730"/>
      <c r="S634" s="730"/>
      <c r="T634" s="723"/>
      <c r="U634" s="724"/>
      <c r="V634" s="725"/>
      <c r="W634" s="725"/>
      <c r="X634" s="723"/>
      <c r="Y634" s="723"/>
      <c r="Z634" s="723"/>
      <c r="AA634" s="726"/>
      <c r="AB634" s="726"/>
      <c r="AC634" s="170"/>
      <c r="AD634" s="586"/>
      <c r="AE634" s="586"/>
      <c r="AF634" s="170"/>
      <c r="AG634" s="170"/>
      <c r="AH634" s="170"/>
      <c r="AI634" s="170"/>
      <c r="AJ634" s="170"/>
      <c r="AK634" s="170"/>
      <c r="AL634" s="170"/>
      <c r="AM634" s="170"/>
      <c r="AN634" s="170"/>
      <c r="AO634" s="170"/>
      <c r="AP634" s="170"/>
      <c r="AQ634" s="170"/>
      <c r="AR634" s="170"/>
      <c r="AS634" s="170"/>
    </row>
    <row r="635" spans="1:45" ht="15" x14ac:dyDescent="0.25">
      <c r="A635" s="170"/>
      <c r="B635" s="719"/>
      <c r="C635" s="170"/>
      <c r="D635" s="170"/>
      <c r="E635" s="170"/>
      <c r="F635" s="170"/>
      <c r="G635" s="721"/>
      <c r="H635" s="170"/>
      <c r="I635" s="170"/>
      <c r="J635" s="170"/>
      <c r="K635" s="170"/>
      <c r="L635" s="170"/>
      <c r="M635" s="730"/>
      <c r="N635" s="730"/>
      <c r="O635" s="730"/>
      <c r="P635" s="731"/>
      <c r="Q635" s="731"/>
      <c r="R635" s="730"/>
      <c r="S635" s="730"/>
      <c r="T635" s="723"/>
      <c r="U635" s="724"/>
      <c r="V635" s="725"/>
      <c r="W635" s="725"/>
      <c r="X635" s="723"/>
      <c r="Y635" s="723"/>
      <c r="Z635" s="723"/>
      <c r="AA635" s="726"/>
      <c r="AB635" s="726"/>
      <c r="AC635" s="170"/>
      <c r="AD635" s="586"/>
      <c r="AE635" s="586"/>
      <c r="AF635" s="170"/>
      <c r="AG635" s="170"/>
      <c r="AH635" s="170"/>
      <c r="AI635" s="170"/>
      <c r="AJ635" s="170"/>
      <c r="AK635" s="170"/>
      <c r="AL635" s="170"/>
      <c r="AM635" s="170"/>
      <c r="AN635" s="170"/>
      <c r="AO635" s="170"/>
      <c r="AP635" s="170"/>
      <c r="AQ635" s="170"/>
      <c r="AR635" s="170"/>
      <c r="AS635" s="170"/>
    </row>
    <row r="636" spans="1:45" ht="15" x14ac:dyDescent="0.25">
      <c r="A636" s="170"/>
      <c r="B636" s="719"/>
      <c r="C636" s="170"/>
      <c r="D636" s="170"/>
      <c r="E636" s="170"/>
      <c r="F636" s="170"/>
      <c r="G636" s="721"/>
      <c r="H636" s="170"/>
      <c r="I636" s="170"/>
      <c r="J636" s="170"/>
      <c r="K636" s="170"/>
      <c r="L636" s="170"/>
      <c r="M636" s="730"/>
      <c r="N636" s="730"/>
      <c r="O636" s="730"/>
      <c r="P636" s="731"/>
      <c r="Q636" s="731"/>
      <c r="R636" s="730"/>
      <c r="S636" s="730"/>
      <c r="T636" s="723"/>
      <c r="U636" s="724"/>
      <c r="V636" s="725"/>
      <c r="W636" s="725"/>
      <c r="X636" s="723"/>
      <c r="Y636" s="723"/>
      <c r="Z636" s="723"/>
      <c r="AA636" s="726"/>
      <c r="AB636" s="726"/>
      <c r="AC636" s="170"/>
      <c r="AD636" s="586"/>
      <c r="AE636" s="586"/>
      <c r="AF636" s="170"/>
      <c r="AG636" s="170"/>
      <c r="AH636" s="170"/>
      <c r="AI636" s="170"/>
      <c r="AJ636" s="170"/>
      <c r="AK636" s="170"/>
      <c r="AL636" s="170"/>
      <c r="AM636" s="170"/>
      <c r="AN636" s="170"/>
      <c r="AO636" s="170"/>
      <c r="AP636" s="170"/>
      <c r="AQ636" s="170"/>
      <c r="AR636" s="170"/>
      <c r="AS636" s="170"/>
    </row>
    <row r="637" spans="1:45" ht="15" x14ac:dyDescent="0.25">
      <c r="A637" s="170"/>
      <c r="B637" s="719"/>
      <c r="C637" s="170"/>
      <c r="D637" s="170"/>
      <c r="E637" s="170"/>
      <c r="F637" s="170"/>
      <c r="G637" s="721"/>
      <c r="H637" s="170"/>
      <c r="I637" s="170"/>
      <c r="J637" s="170"/>
      <c r="K637" s="170"/>
      <c r="L637" s="170"/>
      <c r="M637" s="730"/>
      <c r="N637" s="730"/>
      <c r="O637" s="730"/>
      <c r="P637" s="731"/>
      <c r="Q637" s="731"/>
      <c r="R637" s="730"/>
      <c r="S637" s="730"/>
      <c r="T637" s="723"/>
      <c r="U637" s="724"/>
      <c r="V637" s="725"/>
      <c r="W637" s="725"/>
      <c r="X637" s="723"/>
      <c r="Y637" s="723"/>
      <c r="Z637" s="723"/>
      <c r="AA637" s="726"/>
      <c r="AB637" s="726"/>
      <c r="AC637" s="170"/>
      <c r="AD637" s="586"/>
      <c r="AE637" s="586"/>
      <c r="AF637" s="170"/>
      <c r="AG637" s="170"/>
      <c r="AH637" s="170"/>
      <c r="AI637" s="170"/>
      <c r="AJ637" s="170"/>
      <c r="AK637" s="170"/>
      <c r="AL637" s="170"/>
      <c r="AM637" s="170"/>
      <c r="AN637" s="170"/>
      <c r="AO637" s="170"/>
      <c r="AP637" s="170"/>
      <c r="AQ637" s="170"/>
      <c r="AR637" s="170"/>
      <c r="AS637" s="170"/>
    </row>
    <row r="638" spans="1:45" ht="15" x14ac:dyDescent="0.25">
      <c r="A638" s="170"/>
      <c r="B638" s="719"/>
      <c r="C638" s="170"/>
      <c r="D638" s="170"/>
      <c r="E638" s="170"/>
      <c r="F638" s="170"/>
      <c r="G638" s="721"/>
      <c r="H638" s="170"/>
      <c r="I638" s="170"/>
      <c r="J638" s="170"/>
      <c r="K638" s="170"/>
      <c r="L638" s="170"/>
      <c r="M638" s="730"/>
      <c r="N638" s="730"/>
      <c r="O638" s="730"/>
      <c r="P638" s="731"/>
      <c r="Q638" s="731"/>
      <c r="R638" s="730"/>
      <c r="S638" s="730"/>
      <c r="T638" s="723"/>
      <c r="U638" s="724"/>
      <c r="V638" s="725"/>
      <c r="W638" s="725"/>
      <c r="X638" s="723"/>
      <c r="Y638" s="723"/>
      <c r="Z638" s="723"/>
      <c r="AA638" s="726"/>
      <c r="AB638" s="726"/>
      <c r="AC638" s="170"/>
      <c r="AD638" s="586"/>
      <c r="AE638" s="586"/>
      <c r="AF638" s="170"/>
      <c r="AG638" s="170"/>
      <c r="AH638" s="170"/>
      <c r="AI638" s="170"/>
      <c r="AJ638" s="170"/>
      <c r="AK638" s="170"/>
      <c r="AL638" s="170"/>
      <c r="AM638" s="170"/>
      <c r="AN638" s="170"/>
      <c r="AO638" s="170"/>
      <c r="AP638" s="170"/>
      <c r="AQ638" s="170"/>
      <c r="AR638" s="170"/>
      <c r="AS638" s="170"/>
    </row>
    <row r="639" spans="1:45" ht="15" x14ac:dyDescent="0.25">
      <c r="A639" s="170"/>
      <c r="B639" s="719"/>
      <c r="C639" s="170"/>
      <c r="D639" s="170"/>
      <c r="E639" s="170"/>
      <c r="F639" s="170"/>
      <c r="G639" s="721"/>
      <c r="H639" s="170"/>
      <c r="I639" s="170"/>
      <c r="J639" s="170"/>
      <c r="K639" s="170"/>
      <c r="L639" s="170"/>
      <c r="M639" s="730"/>
      <c r="N639" s="730"/>
      <c r="O639" s="730"/>
      <c r="P639" s="731"/>
      <c r="Q639" s="731"/>
      <c r="R639" s="730"/>
      <c r="S639" s="730"/>
      <c r="T639" s="723"/>
      <c r="U639" s="724"/>
      <c r="V639" s="725"/>
      <c r="W639" s="725"/>
      <c r="X639" s="723"/>
      <c r="Y639" s="723"/>
      <c r="Z639" s="723"/>
      <c r="AA639" s="726"/>
      <c r="AB639" s="726"/>
      <c r="AC639" s="170"/>
      <c r="AD639" s="586"/>
      <c r="AE639" s="586"/>
      <c r="AF639" s="170"/>
      <c r="AG639" s="170"/>
      <c r="AH639" s="170"/>
      <c r="AI639" s="170"/>
      <c r="AJ639" s="170"/>
      <c r="AK639" s="170"/>
      <c r="AL639" s="170"/>
      <c r="AM639" s="170"/>
      <c r="AN639" s="170"/>
      <c r="AO639" s="170"/>
      <c r="AP639" s="170"/>
      <c r="AQ639" s="170"/>
      <c r="AR639" s="170"/>
      <c r="AS639" s="170"/>
    </row>
    <row r="640" spans="1:45" ht="15" x14ac:dyDescent="0.25">
      <c r="A640" s="170"/>
      <c r="B640" s="719"/>
      <c r="C640" s="170"/>
      <c r="D640" s="170"/>
      <c r="E640" s="170"/>
      <c r="F640" s="170"/>
      <c r="G640" s="721"/>
      <c r="H640" s="170"/>
      <c r="I640" s="170"/>
      <c r="J640" s="170"/>
      <c r="K640" s="170"/>
      <c r="L640" s="170"/>
      <c r="M640" s="730"/>
      <c r="N640" s="730"/>
      <c r="O640" s="730"/>
      <c r="P640" s="731"/>
      <c r="Q640" s="731"/>
      <c r="R640" s="730"/>
      <c r="S640" s="730"/>
      <c r="T640" s="723"/>
      <c r="U640" s="724"/>
      <c r="V640" s="725"/>
      <c r="W640" s="725"/>
      <c r="X640" s="723"/>
      <c r="Y640" s="723"/>
      <c r="Z640" s="723"/>
      <c r="AA640" s="726"/>
      <c r="AB640" s="726"/>
      <c r="AC640" s="170"/>
      <c r="AD640" s="586"/>
      <c r="AE640" s="586"/>
      <c r="AF640" s="170"/>
      <c r="AG640" s="170"/>
      <c r="AH640" s="170"/>
      <c r="AI640" s="170"/>
      <c r="AJ640" s="170"/>
      <c r="AK640" s="170"/>
      <c r="AL640" s="170"/>
      <c r="AM640" s="170"/>
      <c r="AN640" s="170"/>
      <c r="AO640" s="170"/>
      <c r="AP640" s="170"/>
      <c r="AQ640" s="170"/>
      <c r="AR640" s="170"/>
      <c r="AS640" s="170"/>
    </row>
    <row r="641" spans="1:45" ht="15" x14ac:dyDescent="0.25">
      <c r="A641" s="170"/>
      <c r="B641" s="719"/>
      <c r="C641" s="170"/>
      <c r="D641" s="170"/>
      <c r="E641" s="170"/>
      <c r="F641" s="170"/>
      <c r="G641" s="721"/>
      <c r="H641" s="170"/>
      <c r="I641" s="170"/>
      <c r="J641" s="170"/>
      <c r="K641" s="170"/>
      <c r="L641" s="170"/>
      <c r="M641" s="730"/>
      <c r="N641" s="730"/>
      <c r="O641" s="730"/>
      <c r="P641" s="731"/>
      <c r="Q641" s="731"/>
      <c r="R641" s="730"/>
      <c r="S641" s="730"/>
      <c r="T641" s="723"/>
      <c r="U641" s="724"/>
      <c r="V641" s="725"/>
      <c r="W641" s="725"/>
      <c r="X641" s="723"/>
      <c r="Y641" s="723"/>
      <c r="Z641" s="723"/>
      <c r="AA641" s="726"/>
      <c r="AB641" s="726"/>
      <c r="AC641" s="170"/>
      <c r="AD641" s="586"/>
      <c r="AE641" s="586"/>
      <c r="AF641" s="170"/>
      <c r="AG641" s="170"/>
      <c r="AH641" s="170"/>
      <c r="AI641" s="170"/>
      <c r="AJ641" s="170"/>
      <c r="AK641" s="170"/>
      <c r="AL641" s="170"/>
      <c r="AM641" s="170"/>
      <c r="AN641" s="170"/>
      <c r="AO641" s="170"/>
      <c r="AP641" s="170"/>
      <c r="AQ641" s="170"/>
      <c r="AR641" s="170"/>
      <c r="AS641" s="170"/>
    </row>
    <row r="642" spans="1:45" ht="15" x14ac:dyDescent="0.25">
      <c r="A642" s="170"/>
      <c r="B642" s="719"/>
      <c r="C642" s="170"/>
      <c r="D642" s="170"/>
      <c r="E642" s="170"/>
      <c r="F642" s="170"/>
      <c r="G642" s="721"/>
      <c r="H642" s="170"/>
      <c r="I642" s="170"/>
      <c r="J642" s="170"/>
      <c r="K642" s="170"/>
      <c r="L642" s="170"/>
      <c r="M642" s="730"/>
      <c r="N642" s="730"/>
      <c r="O642" s="730"/>
      <c r="P642" s="731"/>
      <c r="Q642" s="731"/>
      <c r="R642" s="730"/>
      <c r="S642" s="730"/>
      <c r="T642" s="723"/>
      <c r="U642" s="724"/>
      <c r="V642" s="725"/>
      <c r="W642" s="725"/>
      <c r="X642" s="723"/>
      <c r="Y642" s="723"/>
      <c r="Z642" s="723"/>
      <c r="AA642" s="726"/>
      <c r="AB642" s="726"/>
      <c r="AC642" s="170"/>
      <c r="AD642" s="586"/>
      <c r="AE642" s="586"/>
      <c r="AF642" s="170"/>
      <c r="AG642" s="170"/>
      <c r="AH642" s="170"/>
      <c r="AI642" s="170"/>
      <c r="AJ642" s="170"/>
      <c r="AK642" s="170"/>
      <c r="AL642" s="170"/>
      <c r="AM642" s="170"/>
      <c r="AN642" s="170"/>
      <c r="AO642" s="170"/>
      <c r="AP642" s="170"/>
      <c r="AQ642" s="170"/>
      <c r="AR642" s="170"/>
      <c r="AS642" s="170"/>
    </row>
    <row r="643" spans="1:45" ht="15" x14ac:dyDescent="0.25">
      <c r="A643" s="170"/>
      <c r="B643" s="719"/>
      <c r="C643" s="170"/>
      <c r="D643" s="170"/>
      <c r="E643" s="170"/>
      <c r="F643" s="170"/>
      <c r="G643" s="721"/>
      <c r="H643" s="170"/>
      <c r="I643" s="170"/>
      <c r="J643" s="170"/>
      <c r="K643" s="170"/>
      <c r="L643" s="170"/>
      <c r="M643" s="730"/>
      <c r="N643" s="730"/>
      <c r="O643" s="730"/>
      <c r="P643" s="731"/>
      <c r="Q643" s="731"/>
      <c r="R643" s="730"/>
      <c r="S643" s="730"/>
      <c r="T643" s="723"/>
      <c r="U643" s="724"/>
      <c r="V643" s="725"/>
      <c r="W643" s="725"/>
      <c r="X643" s="723"/>
      <c r="Y643" s="723"/>
      <c r="Z643" s="723"/>
      <c r="AA643" s="726"/>
      <c r="AB643" s="726"/>
      <c r="AC643" s="170"/>
      <c r="AD643" s="586"/>
      <c r="AE643" s="586"/>
      <c r="AF643" s="170"/>
      <c r="AG643" s="170"/>
      <c r="AH643" s="170"/>
      <c r="AI643" s="170"/>
      <c r="AJ643" s="170"/>
      <c r="AK643" s="170"/>
      <c r="AL643" s="170"/>
      <c r="AM643" s="170"/>
      <c r="AN643" s="170"/>
      <c r="AO643" s="170"/>
      <c r="AP643" s="170"/>
      <c r="AQ643" s="170"/>
      <c r="AR643" s="170"/>
      <c r="AS643" s="170"/>
    </row>
    <row r="644" spans="1:45" ht="15" x14ac:dyDescent="0.25">
      <c r="A644" s="170"/>
      <c r="B644" s="719"/>
      <c r="C644" s="170"/>
      <c r="D644" s="170"/>
      <c r="E644" s="170"/>
      <c r="F644" s="170"/>
      <c r="G644" s="721"/>
      <c r="H644" s="170"/>
      <c r="I644" s="170"/>
      <c r="J644" s="170"/>
      <c r="K644" s="170"/>
      <c r="L644" s="170"/>
      <c r="M644" s="730"/>
      <c r="N644" s="730"/>
      <c r="O644" s="730"/>
      <c r="P644" s="731"/>
      <c r="Q644" s="731"/>
      <c r="R644" s="730"/>
      <c r="S644" s="730"/>
      <c r="T644" s="723"/>
      <c r="U644" s="724"/>
      <c r="V644" s="725"/>
      <c r="W644" s="725"/>
      <c r="X644" s="723"/>
      <c r="Y644" s="723"/>
      <c r="Z644" s="723"/>
      <c r="AA644" s="726"/>
      <c r="AB644" s="726"/>
      <c r="AC644" s="170"/>
      <c r="AD644" s="586"/>
      <c r="AE644" s="586"/>
      <c r="AF644" s="170"/>
      <c r="AG644" s="170"/>
      <c r="AH644" s="170"/>
      <c r="AI644" s="170"/>
      <c r="AJ644" s="170"/>
      <c r="AK644" s="170"/>
      <c r="AL644" s="170"/>
      <c r="AM644" s="170"/>
      <c r="AN644" s="170"/>
      <c r="AO644" s="170"/>
      <c r="AP644" s="170"/>
      <c r="AQ644" s="170"/>
      <c r="AR644" s="170"/>
      <c r="AS644" s="170"/>
    </row>
    <row r="645" spans="1:45" ht="15" x14ac:dyDescent="0.25">
      <c r="A645" s="170"/>
      <c r="B645" s="719"/>
      <c r="C645" s="170"/>
      <c r="D645" s="170"/>
      <c r="E645" s="170"/>
      <c r="F645" s="170"/>
      <c r="G645" s="721"/>
      <c r="H645" s="170"/>
      <c r="I645" s="170"/>
      <c r="J645" s="170"/>
      <c r="K645" s="170"/>
      <c r="L645" s="170"/>
      <c r="M645" s="730"/>
      <c r="N645" s="730"/>
      <c r="O645" s="730"/>
      <c r="P645" s="731"/>
      <c r="Q645" s="731"/>
      <c r="R645" s="730"/>
      <c r="S645" s="730"/>
      <c r="T645" s="723"/>
      <c r="U645" s="724"/>
      <c r="V645" s="725"/>
      <c r="W645" s="725"/>
      <c r="X645" s="723"/>
      <c r="Y645" s="723"/>
      <c r="Z645" s="723"/>
      <c r="AA645" s="726"/>
      <c r="AB645" s="726"/>
      <c r="AC645" s="170"/>
      <c r="AD645" s="586"/>
      <c r="AE645" s="586"/>
      <c r="AF645" s="170"/>
      <c r="AG645" s="170"/>
      <c r="AH645" s="170"/>
      <c r="AI645" s="170"/>
      <c r="AJ645" s="170"/>
      <c r="AK645" s="170"/>
      <c r="AL645" s="170"/>
      <c r="AM645" s="170"/>
      <c r="AN645" s="170"/>
      <c r="AO645" s="170"/>
      <c r="AP645" s="170"/>
      <c r="AQ645" s="170"/>
      <c r="AR645" s="170"/>
      <c r="AS645" s="170"/>
    </row>
    <row r="646" spans="1:45" ht="15" x14ac:dyDescent="0.25">
      <c r="A646" s="170"/>
      <c r="B646" s="719"/>
      <c r="C646" s="170"/>
      <c r="D646" s="170"/>
      <c r="E646" s="170"/>
      <c r="F646" s="170"/>
      <c r="G646" s="721"/>
      <c r="H646" s="170"/>
      <c r="I646" s="170"/>
      <c r="J646" s="170"/>
      <c r="K646" s="170"/>
      <c r="L646" s="170"/>
      <c r="M646" s="730"/>
      <c r="N646" s="730"/>
      <c r="O646" s="730"/>
      <c r="P646" s="731"/>
      <c r="Q646" s="731"/>
      <c r="R646" s="730"/>
      <c r="S646" s="730"/>
      <c r="T646" s="723"/>
      <c r="U646" s="724"/>
      <c r="V646" s="725"/>
      <c r="W646" s="725"/>
      <c r="X646" s="723"/>
      <c r="Y646" s="723"/>
      <c r="Z646" s="723"/>
      <c r="AA646" s="726"/>
      <c r="AB646" s="726"/>
      <c r="AC646" s="170"/>
      <c r="AD646" s="586"/>
      <c r="AE646" s="586"/>
      <c r="AF646" s="170"/>
      <c r="AG646" s="170"/>
      <c r="AH646" s="170"/>
      <c r="AI646" s="170"/>
      <c r="AJ646" s="170"/>
      <c r="AK646" s="170"/>
      <c r="AL646" s="170"/>
      <c r="AM646" s="170"/>
      <c r="AN646" s="170"/>
      <c r="AO646" s="170"/>
      <c r="AP646" s="170"/>
      <c r="AQ646" s="170"/>
      <c r="AR646" s="170"/>
      <c r="AS646" s="170"/>
    </row>
    <row r="647" spans="1:45" ht="15" x14ac:dyDescent="0.25">
      <c r="A647" s="170"/>
      <c r="B647" s="719"/>
      <c r="C647" s="170"/>
      <c r="D647" s="170"/>
      <c r="E647" s="170"/>
      <c r="F647" s="170"/>
      <c r="G647" s="721"/>
      <c r="H647" s="170"/>
      <c r="I647" s="170"/>
      <c r="J647" s="170"/>
      <c r="K647" s="170"/>
      <c r="L647" s="170"/>
      <c r="M647" s="730"/>
      <c r="N647" s="730"/>
      <c r="O647" s="730"/>
      <c r="P647" s="731"/>
      <c r="Q647" s="731"/>
      <c r="R647" s="730"/>
      <c r="S647" s="730"/>
      <c r="T647" s="723"/>
      <c r="U647" s="724"/>
      <c r="V647" s="725"/>
      <c r="W647" s="725"/>
      <c r="X647" s="723"/>
      <c r="Y647" s="723"/>
      <c r="Z647" s="723"/>
      <c r="AA647" s="726"/>
      <c r="AB647" s="726"/>
      <c r="AC647" s="170"/>
      <c r="AD647" s="586"/>
      <c r="AE647" s="586"/>
      <c r="AF647" s="170"/>
      <c r="AG647" s="170"/>
      <c r="AH647" s="170"/>
      <c r="AI647" s="170"/>
      <c r="AJ647" s="170"/>
      <c r="AK647" s="170"/>
      <c r="AL647" s="170"/>
      <c r="AM647" s="170"/>
      <c r="AN647" s="170"/>
      <c r="AO647" s="170"/>
      <c r="AP647" s="170"/>
      <c r="AQ647" s="170"/>
      <c r="AR647" s="170"/>
      <c r="AS647" s="170"/>
    </row>
    <row r="648" spans="1:45" ht="15" x14ac:dyDescent="0.25">
      <c r="A648" s="170"/>
      <c r="B648" s="719"/>
      <c r="C648" s="170"/>
      <c r="D648" s="170"/>
      <c r="E648" s="170"/>
      <c r="F648" s="170"/>
      <c r="G648" s="721"/>
      <c r="H648" s="170"/>
      <c r="I648" s="170"/>
      <c r="J648" s="170"/>
      <c r="K648" s="170"/>
      <c r="L648" s="170"/>
      <c r="M648" s="730"/>
      <c r="N648" s="730"/>
      <c r="O648" s="730"/>
      <c r="P648" s="731"/>
      <c r="Q648" s="731"/>
      <c r="R648" s="730"/>
      <c r="S648" s="730"/>
      <c r="T648" s="723"/>
      <c r="U648" s="724"/>
      <c r="V648" s="725"/>
      <c r="W648" s="725"/>
      <c r="X648" s="723"/>
      <c r="Y648" s="723"/>
      <c r="Z648" s="723"/>
      <c r="AA648" s="726"/>
      <c r="AB648" s="726"/>
      <c r="AC648" s="170"/>
      <c r="AD648" s="586"/>
      <c r="AE648" s="586"/>
      <c r="AF648" s="170"/>
      <c r="AG648" s="170"/>
      <c r="AH648" s="170"/>
      <c r="AI648" s="170"/>
      <c r="AJ648" s="170"/>
      <c r="AK648" s="170"/>
      <c r="AL648" s="170"/>
      <c r="AM648" s="170"/>
      <c r="AN648" s="170"/>
      <c r="AO648" s="170"/>
      <c r="AP648" s="170"/>
      <c r="AQ648" s="170"/>
      <c r="AR648" s="170"/>
      <c r="AS648" s="170"/>
    </row>
    <row r="649" spans="1:45" ht="15" x14ac:dyDescent="0.25">
      <c r="A649" s="170"/>
      <c r="B649" s="719"/>
      <c r="C649" s="170"/>
      <c r="D649" s="170"/>
      <c r="E649" s="170"/>
      <c r="F649" s="170"/>
      <c r="G649" s="721"/>
      <c r="H649" s="170"/>
      <c r="I649" s="170"/>
      <c r="J649" s="170"/>
      <c r="K649" s="170"/>
      <c r="L649" s="170"/>
      <c r="M649" s="730"/>
      <c r="N649" s="730"/>
      <c r="O649" s="730"/>
      <c r="P649" s="731"/>
      <c r="Q649" s="731"/>
      <c r="R649" s="730"/>
      <c r="S649" s="730"/>
      <c r="T649" s="723"/>
      <c r="U649" s="724"/>
      <c r="V649" s="725"/>
      <c r="W649" s="725"/>
      <c r="X649" s="723"/>
      <c r="Y649" s="723"/>
      <c r="Z649" s="723"/>
      <c r="AA649" s="726"/>
      <c r="AB649" s="726"/>
      <c r="AC649" s="170"/>
      <c r="AD649" s="586"/>
      <c r="AE649" s="586"/>
      <c r="AF649" s="170"/>
      <c r="AG649" s="170"/>
      <c r="AH649" s="170"/>
      <c r="AI649" s="170"/>
      <c r="AJ649" s="170"/>
      <c r="AK649" s="170"/>
      <c r="AL649" s="170"/>
      <c r="AM649" s="170"/>
      <c r="AN649" s="170"/>
      <c r="AO649" s="170"/>
      <c r="AP649" s="170"/>
      <c r="AQ649" s="170"/>
      <c r="AR649" s="170"/>
      <c r="AS649" s="170"/>
    </row>
    <row r="650" spans="1:45" ht="15" x14ac:dyDescent="0.25">
      <c r="A650" s="170"/>
      <c r="B650" s="719"/>
      <c r="C650" s="170"/>
      <c r="D650" s="170"/>
      <c r="E650" s="170"/>
      <c r="F650" s="170"/>
      <c r="G650" s="721"/>
      <c r="H650" s="170"/>
      <c r="I650" s="170"/>
      <c r="J650" s="170"/>
      <c r="K650" s="170"/>
      <c r="L650" s="170"/>
      <c r="M650" s="730"/>
      <c r="N650" s="730"/>
      <c r="O650" s="730"/>
      <c r="P650" s="731"/>
      <c r="Q650" s="731"/>
      <c r="R650" s="730"/>
      <c r="S650" s="730"/>
      <c r="T650" s="723"/>
      <c r="U650" s="724"/>
      <c r="V650" s="725"/>
      <c r="W650" s="725"/>
      <c r="X650" s="723"/>
      <c r="Y650" s="723"/>
      <c r="Z650" s="723"/>
      <c r="AA650" s="726"/>
      <c r="AB650" s="726"/>
      <c r="AC650" s="170"/>
      <c r="AD650" s="586"/>
      <c r="AE650" s="586"/>
      <c r="AF650" s="170"/>
      <c r="AG650" s="170"/>
      <c r="AH650" s="170"/>
      <c r="AI650" s="170"/>
      <c r="AJ650" s="170"/>
      <c r="AK650" s="170"/>
      <c r="AL650" s="170"/>
      <c r="AM650" s="170"/>
      <c r="AN650" s="170"/>
      <c r="AO650" s="170"/>
      <c r="AP650" s="170"/>
      <c r="AQ650" s="170"/>
      <c r="AR650" s="170"/>
      <c r="AS650" s="170"/>
    </row>
    <row r="651" spans="1:45" ht="15" x14ac:dyDescent="0.25">
      <c r="A651" s="170"/>
      <c r="B651" s="719"/>
      <c r="C651" s="170"/>
      <c r="D651" s="170"/>
      <c r="E651" s="170"/>
      <c r="F651" s="170"/>
      <c r="G651" s="721"/>
      <c r="H651" s="170"/>
      <c r="I651" s="170"/>
      <c r="J651" s="170"/>
      <c r="K651" s="170"/>
      <c r="L651" s="170"/>
      <c r="M651" s="730"/>
      <c r="N651" s="730"/>
      <c r="O651" s="730"/>
      <c r="P651" s="731"/>
      <c r="Q651" s="731"/>
      <c r="R651" s="730"/>
      <c r="S651" s="730"/>
      <c r="T651" s="723"/>
      <c r="U651" s="724"/>
      <c r="V651" s="725"/>
      <c r="W651" s="725"/>
      <c r="X651" s="723"/>
      <c r="Y651" s="723"/>
      <c r="Z651" s="723"/>
      <c r="AA651" s="726"/>
      <c r="AB651" s="726"/>
      <c r="AC651" s="170"/>
      <c r="AD651" s="586"/>
      <c r="AE651" s="586"/>
      <c r="AF651" s="170"/>
      <c r="AG651" s="170"/>
      <c r="AH651" s="170"/>
      <c r="AI651" s="170"/>
      <c r="AJ651" s="170"/>
      <c r="AK651" s="170"/>
      <c r="AL651" s="170"/>
      <c r="AM651" s="170"/>
      <c r="AN651" s="170"/>
      <c r="AO651" s="170"/>
      <c r="AP651" s="170"/>
      <c r="AQ651" s="170"/>
      <c r="AR651" s="170"/>
      <c r="AS651" s="170"/>
    </row>
    <row r="652" spans="1:45" ht="15" x14ac:dyDescent="0.25">
      <c r="A652" s="170"/>
      <c r="B652" s="719"/>
      <c r="C652" s="170"/>
      <c r="D652" s="170"/>
      <c r="E652" s="170"/>
      <c r="F652" s="170"/>
      <c r="G652" s="721"/>
      <c r="H652" s="170"/>
      <c r="I652" s="170"/>
      <c r="J652" s="170"/>
      <c r="K652" s="170"/>
      <c r="L652" s="170"/>
      <c r="M652" s="730"/>
      <c r="N652" s="730"/>
      <c r="O652" s="730"/>
      <c r="P652" s="731"/>
      <c r="Q652" s="731"/>
      <c r="R652" s="730"/>
      <c r="S652" s="730"/>
      <c r="T652" s="723"/>
      <c r="U652" s="724"/>
      <c r="V652" s="725"/>
      <c r="W652" s="725"/>
      <c r="X652" s="723"/>
      <c r="Y652" s="723"/>
      <c r="Z652" s="723"/>
      <c r="AA652" s="726"/>
      <c r="AB652" s="726"/>
      <c r="AC652" s="170"/>
      <c r="AD652" s="586"/>
      <c r="AE652" s="586"/>
      <c r="AF652" s="170"/>
      <c r="AG652" s="170"/>
      <c r="AH652" s="170"/>
      <c r="AI652" s="170"/>
      <c r="AJ652" s="170"/>
      <c r="AK652" s="170"/>
      <c r="AL652" s="170"/>
      <c r="AM652" s="170"/>
      <c r="AN652" s="170"/>
      <c r="AO652" s="170"/>
      <c r="AP652" s="170"/>
      <c r="AQ652" s="170"/>
      <c r="AR652" s="170"/>
      <c r="AS652" s="170"/>
    </row>
    <row r="653" spans="1:45" ht="15" x14ac:dyDescent="0.25">
      <c r="A653" s="170"/>
      <c r="B653" s="719"/>
      <c r="C653" s="170"/>
      <c r="D653" s="170"/>
      <c r="E653" s="170"/>
      <c r="F653" s="170"/>
      <c r="G653" s="721"/>
      <c r="H653" s="170"/>
      <c r="I653" s="170"/>
      <c r="J653" s="170"/>
      <c r="K653" s="170"/>
      <c r="L653" s="170"/>
      <c r="M653" s="730"/>
      <c r="N653" s="730"/>
      <c r="O653" s="730"/>
      <c r="P653" s="731"/>
      <c r="Q653" s="731"/>
      <c r="R653" s="730"/>
      <c r="S653" s="730"/>
      <c r="T653" s="723"/>
      <c r="U653" s="724"/>
      <c r="V653" s="725"/>
      <c r="W653" s="725"/>
      <c r="X653" s="723"/>
      <c r="Y653" s="723"/>
      <c r="Z653" s="723"/>
      <c r="AA653" s="726"/>
      <c r="AB653" s="726"/>
      <c r="AC653" s="170"/>
      <c r="AD653" s="586"/>
      <c r="AE653" s="586"/>
      <c r="AF653" s="170"/>
      <c r="AG653" s="170"/>
      <c r="AH653" s="170"/>
      <c r="AI653" s="170"/>
      <c r="AJ653" s="170"/>
      <c r="AK653" s="170"/>
      <c r="AL653" s="170"/>
      <c r="AM653" s="170"/>
      <c r="AN653" s="170"/>
      <c r="AO653" s="170"/>
      <c r="AP653" s="170"/>
      <c r="AQ653" s="170"/>
      <c r="AR653" s="170"/>
      <c r="AS653" s="170"/>
    </row>
    <row r="654" spans="1:45" ht="15" x14ac:dyDescent="0.25">
      <c r="A654" s="170"/>
      <c r="B654" s="719"/>
      <c r="C654" s="170"/>
      <c r="D654" s="170"/>
      <c r="E654" s="170"/>
      <c r="F654" s="170"/>
      <c r="G654" s="721"/>
      <c r="H654" s="170"/>
      <c r="I654" s="170"/>
      <c r="J654" s="170"/>
      <c r="K654" s="170"/>
      <c r="L654" s="170"/>
      <c r="M654" s="730"/>
      <c r="N654" s="730"/>
      <c r="O654" s="730"/>
      <c r="P654" s="731"/>
      <c r="Q654" s="731"/>
      <c r="R654" s="730"/>
      <c r="S654" s="730"/>
      <c r="T654" s="723"/>
      <c r="U654" s="724"/>
      <c r="V654" s="725"/>
      <c r="W654" s="725"/>
      <c r="X654" s="723"/>
      <c r="Y654" s="723"/>
      <c r="Z654" s="723"/>
      <c r="AA654" s="726"/>
      <c r="AB654" s="726"/>
      <c r="AC654" s="170"/>
      <c r="AD654" s="586"/>
      <c r="AE654" s="586"/>
      <c r="AF654" s="170"/>
      <c r="AG654" s="170"/>
      <c r="AH654" s="170"/>
      <c r="AI654" s="170"/>
      <c r="AJ654" s="170"/>
      <c r="AK654" s="170"/>
      <c r="AL654" s="170"/>
      <c r="AM654" s="170"/>
      <c r="AN654" s="170"/>
      <c r="AO654" s="170"/>
      <c r="AP654" s="170"/>
      <c r="AQ654" s="170"/>
      <c r="AR654" s="170"/>
      <c r="AS654" s="170"/>
    </row>
    <row r="655" spans="1:45" ht="15" x14ac:dyDescent="0.25">
      <c r="A655" s="170"/>
      <c r="B655" s="719"/>
      <c r="C655" s="170"/>
      <c r="D655" s="170"/>
      <c r="E655" s="170"/>
      <c r="F655" s="170"/>
      <c r="G655" s="721"/>
      <c r="H655" s="170"/>
      <c r="I655" s="170"/>
      <c r="J655" s="170"/>
      <c r="K655" s="170"/>
      <c r="L655" s="170"/>
      <c r="M655" s="730"/>
      <c r="N655" s="730"/>
      <c r="O655" s="730"/>
      <c r="P655" s="731"/>
      <c r="Q655" s="731"/>
      <c r="R655" s="730"/>
      <c r="S655" s="730"/>
      <c r="T655" s="723"/>
      <c r="U655" s="724"/>
      <c r="V655" s="725"/>
      <c r="W655" s="725"/>
      <c r="X655" s="723"/>
      <c r="Y655" s="723"/>
      <c r="Z655" s="723"/>
      <c r="AA655" s="726"/>
      <c r="AB655" s="726"/>
      <c r="AC655" s="170"/>
      <c r="AD655" s="586"/>
      <c r="AE655" s="586"/>
      <c r="AF655" s="170"/>
      <c r="AG655" s="170"/>
      <c r="AH655" s="170"/>
      <c r="AI655" s="170"/>
      <c r="AJ655" s="170"/>
      <c r="AK655" s="170"/>
      <c r="AL655" s="170"/>
      <c r="AM655" s="170"/>
      <c r="AN655" s="170"/>
      <c r="AO655" s="170"/>
      <c r="AP655" s="170"/>
      <c r="AQ655" s="170"/>
      <c r="AR655" s="170"/>
      <c r="AS655" s="170"/>
    </row>
    <row r="656" spans="1:45" ht="15" x14ac:dyDescent="0.25">
      <c r="A656" s="170"/>
      <c r="B656" s="719"/>
      <c r="C656" s="170"/>
      <c r="D656" s="170"/>
      <c r="E656" s="170"/>
      <c r="F656" s="170"/>
      <c r="G656" s="721"/>
      <c r="H656" s="170"/>
      <c r="I656" s="170"/>
      <c r="J656" s="170"/>
      <c r="K656" s="170"/>
      <c r="L656" s="170"/>
      <c r="M656" s="730"/>
      <c r="N656" s="730"/>
      <c r="O656" s="730"/>
      <c r="P656" s="731"/>
      <c r="Q656" s="731"/>
      <c r="R656" s="730"/>
      <c r="S656" s="730"/>
      <c r="T656" s="723"/>
      <c r="U656" s="724"/>
      <c r="V656" s="725"/>
      <c r="W656" s="725"/>
      <c r="X656" s="723"/>
      <c r="Y656" s="723"/>
      <c r="Z656" s="723"/>
      <c r="AA656" s="726"/>
      <c r="AB656" s="726"/>
      <c r="AC656" s="170"/>
      <c r="AD656" s="586"/>
      <c r="AE656" s="586"/>
      <c r="AF656" s="170"/>
      <c r="AG656" s="170"/>
      <c r="AH656" s="170"/>
      <c r="AI656" s="170"/>
      <c r="AJ656" s="170"/>
      <c r="AK656" s="170"/>
      <c r="AL656" s="170"/>
      <c r="AM656" s="170"/>
      <c r="AN656" s="170"/>
      <c r="AO656" s="170"/>
      <c r="AP656" s="170"/>
      <c r="AQ656" s="170"/>
      <c r="AR656" s="170"/>
      <c r="AS656" s="170"/>
    </row>
    <row r="657" spans="1:45" ht="15" x14ac:dyDescent="0.25">
      <c r="A657" s="170"/>
      <c r="B657" s="719"/>
      <c r="C657" s="170"/>
      <c r="D657" s="170"/>
      <c r="E657" s="170"/>
      <c r="F657" s="170"/>
      <c r="G657" s="721"/>
      <c r="H657" s="170"/>
      <c r="I657" s="170"/>
      <c r="J657" s="170"/>
      <c r="K657" s="170"/>
      <c r="L657" s="170"/>
      <c r="M657" s="730"/>
      <c r="N657" s="730"/>
      <c r="O657" s="730"/>
      <c r="P657" s="731"/>
      <c r="Q657" s="731"/>
      <c r="R657" s="730"/>
      <c r="S657" s="730"/>
      <c r="T657" s="723"/>
      <c r="U657" s="724"/>
      <c r="V657" s="725"/>
      <c r="W657" s="725"/>
      <c r="X657" s="723"/>
      <c r="Y657" s="723"/>
      <c r="Z657" s="723"/>
      <c r="AA657" s="726"/>
      <c r="AB657" s="726"/>
      <c r="AC657" s="170"/>
      <c r="AD657" s="586"/>
      <c r="AE657" s="586"/>
      <c r="AF657" s="170"/>
      <c r="AG657" s="170"/>
      <c r="AH657" s="170"/>
      <c r="AI657" s="170"/>
      <c r="AJ657" s="170"/>
      <c r="AK657" s="170"/>
      <c r="AL657" s="170"/>
      <c r="AM657" s="170"/>
      <c r="AN657" s="170"/>
      <c r="AO657" s="170"/>
      <c r="AP657" s="170"/>
      <c r="AQ657" s="170"/>
      <c r="AR657" s="170"/>
      <c r="AS657" s="170"/>
    </row>
    <row r="658" spans="1:45" ht="15" x14ac:dyDescent="0.25">
      <c r="A658" s="170"/>
      <c r="B658" s="719"/>
      <c r="C658" s="170"/>
      <c r="D658" s="170"/>
      <c r="E658" s="170"/>
      <c r="F658" s="170"/>
      <c r="G658" s="721"/>
      <c r="H658" s="170"/>
      <c r="I658" s="170"/>
      <c r="J658" s="170"/>
      <c r="K658" s="170"/>
      <c r="L658" s="170"/>
      <c r="M658" s="730"/>
      <c r="N658" s="730"/>
      <c r="O658" s="730"/>
      <c r="P658" s="731"/>
      <c r="Q658" s="731"/>
      <c r="R658" s="730"/>
      <c r="S658" s="730"/>
      <c r="T658" s="723"/>
      <c r="U658" s="724"/>
      <c r="V658" s="725"/>
      <c r="W658" s="725"/>
      <c r="X658" s="723"/>
      <c r="Y658" s="723"/>
      <c r="Z658" s="723"/>
      <c r="AA658" s="726"/>
      <c r="AB658" s="726"/>
      <c r="AC658" s="170"/>
      <c r="AD658" s="586"/>
      <c r="AE658" s="586"/>
      <c r="AF658" s="170"/>
      <c r="AG658" s="170"/>
      <c r="AH658" s="170"/>
      <c r="AI658" s="170"/>
      <c r="AJ658" s="170"/>
      <c r="AK658" s="170"/>
      <c r="AL658" s="170"/>
      <c r="AM658" s="170"/>
      <c r="AN658" s="170"/>
      <c r="AO658" s="170"/>
      <c r="AP658" s="170"/>
      <c r="AQ658" s="170"/>
      <c r="AR658" s="170"/>
      <c r="AS658" s="170"/>
    </row>
    <row r="659" spans="1:45" ht="15" x14ac:dyDescent="0.25">
      <c r="A659" s="170"/>
      <c r="B659" s="719"/>
      <c r="C659" s="170"/>
      <c r="D659" s="170"/>
      <c r="E659" s="170"/>
      <c r="F659" s="170"/>
      <c r="G659" s="721"/>
      <c r="H659" s="170"/>
      <c r="I659" s="170"/>
      <c r="J659" s="170"/>
      <c r="K659" s="170"/>
      <c r="L659" s="170"/>
      <c r="M659" s="730"/>
      <c r="N659" s="730"/>
      <c r="O659" s="730"/>
      <c r="P659" s="731"/>
      <c r="Q659" s="731"/>
      <c r="R659" s="730"/>
      <c r="S659" s="730"/>
      <c r="T659" s="723"/>
      <c r="U659" s="724"/>
      <c r="V659" s="725"/>
      <c r="W659" s="725"/>
      <c r="X659" s="723"/>
      <c r="Y659" s="723"/>
      <c r="Z659" s="723"/>
      <c r="AA659" s="726"/>
      <c r="AB659" s="726"/>
      <c r="AC659" s="170"/>
      <c r="AD659" s="586"/>
      <c r="AE659" s="586"/>
      <c r="AF659" s="170"/>
      <c r="AG659" s="170"/>
      <c r="AH659" s="170"/>
      <c r="AI659" s="170"/>
      <c r="AJ659" s="170"/>
      <c r="AK659" s="170"/>
      <c r="AL659" s="170"/>
      <c r="AM659" s="170"/>
      <c r="AN659" s="170"/>
      <c r="AO659" s="170"/>
      <c r="AP659" s="170"/>
      <c r="AQ659" s="170"/>
      <c r="AR659" s="170"/>
      <c r="AS659" s="170"/>
    </row>
    <row r="660" spans="1:45" ht="15" x14ac:dyDescent="0.25">
      <c r="A660" s="170"/>
      <c r="B660" s="719"/>
      <c r="C660" s="170"/>
      <c r="D660" s="170"/>
      <c r="E660" s="170"/>
      <c r="F660" s="170"/>
      <c r="G660" s="721"/>
      <c r="H660" s="170"/>
      <c r="I660" s="170"/>
      <c r="J660" s="170"/>
      <c r="K660" s="170"/>
      <c r="L660" s="170"/>
      <c r="M660" s="730"/>
      <c r="N660" s="730"/>
      <c r="O660" s="730"/>
      <c r="P660" s="731"/>
      <c r="Q660" s="731"/>
      <c r="R660" s="730"/>
      <c r="S660" s="730"/>
      <c r="T660" s="723"/>
      <c r="U660" s="724"/>
      <c r="V660" s="725"/>
      <c r="W660" s="725"/>
      <c r="X660" s="723"/>
      <c r="Y660" s="723"/>
      <c r="Z660" s="723"/>
      <c r="AA660" s="726"/>
      <c r="AB660" s="726"/>
      <c r="AC660" s="170"/>
      <c r="AD660" s="586"/>
      <c r="AE660" s="586"/>
      <c r="AF660" s="170"/>
      <c r="AG660" s="170"/>
      <c r="AH660" s="170"/>
      <c r="AI660" s="170"/>
      <c r="AJ660" s="170"/>
      <c r="AK660" s="170"/>
      <c r="AL660" s="170"/>
      <c r="AM660" s="170"/>
      <c r="AN660" s="170"/>
      <c r="AO660" s="170"/>
      <c r="AP660" s="170"/>
      <c r="AQ660" s="170"/>
      <c r="AR660" s="170"/>
      <c r="AS660" s="170"/>
    </row>
    <row r="661" spans="1:45" ht="15" x14ac:dyDescent="0.25">
      <c r="A661" s="170"/>
      <c r="B661" s="719"/>
      <c r="C661" s="170"/>
      <c r="D661" s="170"/>
      <c r="E661" s="170"/>
      <c r="F661" s="170"/>
      <c r="G661" s="721"/>
      <c r="H661" s="170"/>
      <c r="I661" s="170"/>
      <c r="J661" s="170"/>
      <c r="K661" s="170"/>
      <c r="L661" s="170"/>
      <c r="M661" s="730"/>
      <c r="N661" s="730"/>
      <c r="O661" s="730"/>
      <c r="P661" s="731"/>
      <c r="Q661" s="731"/>
      <c r="R661" s="730"/>
      <c r="S661" s="730"/>
      <c r="T661" s="723"/>
      <c r="U661" s="724"/>
      <c r="V661" s="725"/>
      <c r="W661" s="725"/>
      <c r="X661" s="723"/>
      <c r="Y661" s="723"/>
      <c r="Z661" s="723"/>
      <c r="AA661" s="726"/>
      <c r="AB661" s="726"/>
      <c r="AC661" s="170"/>
      <c r="AD661" s="586"/>
      <c r="AE661" s="586"/>
      <c r="AF661" s="170"/>
      <c r="AG661" s="170"/>
      <c r="AH661" s="170"/>
      <c r="AI661" s="170"/>
      <c r="AJ661" s="170"/>
      <c r="AK661" s="170"/>
      <c r="AL661" s="170"/>
      <c r="AM661" s="170"/>
      <c r="AN661" s="170"/>
      <c r="AO661" s="170"/>
      <c r="AP661" s="170"/>
      <c r="AQ661" s="170"/>
      <c r="AR661" s="170"/>
      <c r="AS661" s="170"/>
    </row>
    <row r="662" spans="1:45" ht="15" x14ac:dyDescent="0.25">
      <c r="A662" s="170"/>
      <c r="B662" s="719"/>
      <c r="C662" s="170"/>
      <c r="D662" s="170"/>
      <c r="E662" s="170"/>
      <c r="F662" s="170"/>
      <c r="G662" s="721"/>
      <c r="H662" s="170"/>
      <c r="I662" s="170"/>
      <c r="J662" s="170"/>
      <c r="K662" s="170"/>
      <c r="L662" s="170"/>
      <c r="M662" s="730"/>
      <c r="N662" s="730"/>
      <c r="O662" s="730"/>
      <c r="P662" s="731"/>
      <c r="Q662" s="731"/>
      <c r="R662" s="730"/>
      <c r="S662" s="730"/>
      <c r="T662" s="723"/>
      <c r="U662" s="724"/>
      <c r="V662" s="725"/>
      <c r="W662" s="725"/>
      <c r="X662" s="723"/>
      <c r="Y662" s="723"/>
      <c r="Z662" s="723"/>
      <c r="AA662" s="726"/>
      <c r="AB662" s="726"/>
      <c r="AC662" s="170"/>
      <c r="AD662" s="586"/>
      <c r="AE662" s="586"/>
      <c r="AF662" s="170"/>
      <c r="AG662" s="170"/>
      <c r="AH662" s="170"/>
      <c r="AI662" s="170"/>
      <c r="AJ662" s="170"/>
      <c r="AK662" s="170"/>
      <c r="AL662" s="170"/>
      <c r="AM662" s="170"/>
      <c r="AN662" s="170"/>
      <c r="AO662" s="170"/>
      <c r="AP662" s="170"/>
      <c r="AQ662" s="170"/>
      <c r="AR662" s="170"/>
      <c r="AS662" s="170"/>
    </row>
    <row r="663" spans="1:45" ht="15" x14ac:dyDescent="0.25">
      <c r="A663" s="170"/>
      <c r="B663" s="719"/>
      <c r="C663" s="170"/>
      <c r="D663" s="170"/>
      <c r="E663" s="170"/>
      <c r="F663" s="170"/>
      <c r="G663" s="721"/>
      <c r="H663" s="170"/>
      <c r="I663" s="170"/>
      <c r="J663" s="170"/>
      <c r="K663" s="170"/>
      <c r="L663" s="170"/>
      <c r="M663" s="730"/>
      <c r="N663" s="730"/>
      <c r="O663" s="730"/>
      <c r="P663" s="731"/>
      <c r="Q663" s="731"/>
      <c r="R663" s="730"/>
      <c r="S663" s="730"/>
      <c r="T663" s="723"/>
      <c r="U663" s="724"/>
      <c r="V663" s="725"/>
      <c r="W663" s="725"/>
      <c r="X663" s="723"/>
      <c r="Y663" s="723"/>
      <c r="Z663" s="723"/>
      <c r="AA663" s="726"/>
      <c r="AB663" s="726"/>
      <c r="AC663" s="170"/>
      <c r="AD663" s="586"/>
      <c r="AE663" s="586"/>
      <c r="AF663" s="170"/>
      <c r="AG663" s="170"/>
      <c r="AH663" s="170"/>
      <c r="AI663" s="170"/>
      <c r="AJ663" s="170"/>
      <c r="AK663" s="170"/>
      <c r="AL663" s="170"/>
      <c r="AM663" s="170"/>
      <c r="AN663" s="170"/>
      <c r="AO663" s="170"/>
      <c r="AP663" s="170"/>
      <c r="AQ663" s="170"/>
      <c r="AR663" s="170"/>
      <c r="AS663" s="170"/>
    </row>
    <row r="664" spans="1:45" ht="15" x14ac:dyDescent="0.25">
      <c r="A664" s="170"/>
      <c r="B664" s="719"/>
      <c r="C664" s="170"/>
      <c r="D664" s="170"/>
      <c r="E664" s="170"/>
      <c r="F664" s="170"/>
      <c r="G664" s="721"/>
      <c r="H664" s="170"/>
      <c r="I664" s="170"/>
      <c r="J664" s="170"/>
      <c r="K664" s="170"/>
      <c r="L664" s="170"/>
      <c r="M664" s="730"/>
      <c r="N664" s="730"/>
      <c r="O664" s="730"/>
      <c r="P664" s="731"/>
      <c r="Q664" s="731"/>
      <c r="R664" s="730"/>
      <c r="S664" s="730"/>
      <c r="T664" s="723"/>
      <c r="U664" s="724"/>
      <c r="V664" s="725"/>
      <c r="W664" s="725"/>
      <c r="X664" s="723"/>
      <c r="Y664" s="723"/>
      <c r="Z664" s="723"/>
      <c r="AA664" s="726"/>
      <c r="AB664" s="726"/>
      <c r="AC664" s="170"/>
      <c r="AD664" s="586"/>
      <c r="AE664" s="586"/>
      <c r="AF664" s="170"/>
      <c r="AG664" s="170"/>
      <c r="AH664" s="170"/>
      <c r="AI664" s="170"/>
      <c r="AJ664" s="170"/>
      <c r="AK664" s="170"/>
      <c r="AL664" s="170"/>
      <c r="AM664" s="170"/>
      <c r="AN664" s="170"/>
      <c r="AO664" s="170"/>
      <c r="AP664" s="170"/>
      <c r="AQ664" s="170"/>
      <c r="AR664" s="170"/>
      <c r="AS664" s="170"/>
    </row>
    <row r="665" spans="1:45" ht="15" x14ac:dyDescent="0.25">
      <c r="A665" s="170"/>
      <c r="B665" s="719"/>
      <c r="C665" s="170"/>
      <c r="D665" s="170"/>
      <c r="E665" s="170"/>
      <c r="F665" s="170"/>
      <c r="G665" s="721"/>
      <c r="H665" s="170"/>
      <c r="I665" s="170"/>
      <c r="J665" s="170"/>
      <c r="K665" s="170"/>
      <c r="L665" s="170"/>
      <c r="M665" s="730"/>
      <c r="N665" s="730"/>
      <c r="O665" s="730"/>
      <c r="P665" s="731"/>
      <c r="Q665" s="731"/>
      <c r="R665" s="730"/>
      <c r="S665" s="730"/>
      <c r="T665" s="723"/>
      <c r="U665" s="724"/>
      <c r="V665" s="725"/>
      <c r="W665" s="725"/>
      <c r="X665" s="723"/>
      <c r="Y665" s="723"/>
      <c r="Z665" s="723"/>
      <c r="AA665" s="726"/>
      <c r="AB665" s="726"/>
      <c r="AC665" s="170"/>
      <c r="AD665" s="586"/>
      <c r="AE665" s="586"/>
      <c r="AF665" s="170"/>
      <c r="AG665" s="170"/>
      <c r="AH665" s="170"/>
      <c r="AI665" s="170"/>
      <c r="AJ665" s="170"/>
      <c r="AK665" s="170"/>
      <c r="AL665" s="170"/>
      <c r="AM665" s="170"/>
      <c r="AN665" s="170"/>
      <c r="AO665" s="170"/>
      <c r="AP665" s="170"/>
      <c r="AQ665" s="170"/>
      <c r="AR665" s="170"/>
      <c r="AS665" s="170"/>
    </row>
    <row r="666" spans="1:45" ht="15" x14ac:dyDescent="0.25">
      <c r="A666" s="170"/>
      <c r="B666" s="719"/>
      <c r="C666" s="170"/>
      <c r="D666" s="170"/>
      <c r="E666" s="170"/>
      <c r="F666" s="170"/>
      <c r="G666" s="721"/>
      <c r="H666" s="170"/>
      <c r="I666" s="170"/>
      <c r="J666" s="170"/>
      <c r="K666" s="170"/>
      <c r="L666" s="170"/>
      <c r="M666" s="730"/>
      <c r="N666" s="730"/>
      <c r="O666" s="730"/>
      <c r="P666" s="731"/>
      <c r="Q666" s="731"/>
      <c r="R666" s="730"/>
      <c r="S666" s="730"/>
      <c r="T666" s="723"/>
      <c r="U666" s="724"/>
      <c r="V666" s="725"/>
      <c r="W666" s="725"/>
      <c r="X666" s="723"/>
      <c r="Y666" s="723"/>
      <c r="Z666" s="723"/>
      <c r="AA666" s="726"/>
      <c r="AB666" s="726"/>
      <c r="AC666" s="170"/>
      <c r="AD666" s="586"/>
      <c r="AE666" s="586"/>
      <c r="AF666" s="170"/>
      <c r="AG666" s="170"/>
      <c r="AH666" s="170"/>
      <c r="AI666" s="170"/>
      <c r="AJ666" s="170"/>
      <c r="AK666" s="170"/>
      <c r="AL666" s="170"/>
      <c r="AM666" s="170"/>
      <c r="AN666" s="170"/>
      <c r="AO666" s="170"/>
      <c r="AP666" s="170"/>
      <c r="AQ666" s="170"/>
      <c r="AR666" s="170"/>
      <c r="AS666" s="170"/>
    </row>
    <row r="667" spans="1:45" ht="15" x14ac:dyDescent="0.25">
      <c r="A667" s="170"/>
      <c r="B667" s="719"/>
      <c r="C667" s="170"/>
      <c r="D667" s="170"/>
      <c r="E667" s="170"/>
      <c r="F667" s="170"/>
      <c r="G667" s="721"/>
      <c r="H667" s="170"/>
      <c r="I667" s="170"/>
      <c r="J667" s="170"/>
      <c r="K667" s="170"/>
      <c r="L667" s="170"/>
      <c r="M667" s="730"/>
      <c r="N667" s="730"/>
      <c r="O667" s="730"/>
      <c r="P667" s="731"/>
      <c r="Q667" s="731"/>
      <c r="R667" s="730"/>
      <c r="S667" s="730"/>
      <c r="T667" s="723"/>
      <c r="U667" s="724"/>
      <c r="V667" s="725"/>
      <c r="W667" s="725"/>
      <c r="X667" s="723"/>
      <c r="Y667" s="723"/>
      <c r="Z667" s="723"/>
      <c r="AA667" s="726"/>
      <c r="AB667" s="726"/>
      <c r="AC667" s="170"/>
      <c r="AD667" s="586"/>
      <c r="AE667" s="586"/>
      <c r="AF667" s="170"/>
      <c r="AG667" s="170"/>
      <c r="AH667" s="170"/>
      <c r="AI667" s="170"/>
      <c r="AJ667" s="170"/>
      <c r="AK667" s="170"/>
      <c r="AL667" s="170"/>
      <c r="AM667" s="170"/>
      <c r="AN667" s="170"/>
      <c r="AO667" s="170"/>
      <c r="AP667" s="170"/>
      <c r="AQ667" s="170"/>
      <c r="AR667" s="170"/>
      <c r="AS667" s="170"/>
    </row>
    <row r="668" spans="1:45" ht="15" x14ac:dyDescent="0.25">
      <c r="A668" s="170"/>
      <c r="B668" s="719"/>
      <c r="C668" s="170"/>
      <c r="D668" s="170"/>
      <c r="E668" s="170"/>
      <c r="F668" s="170"/>
      <c r="G668" s="721"/>
      <c r="H668" s="170"/>
      <c r="I668" s="170"/>
      <c r="J668" s="170"/>
      <c r="K668" s="170"/>
      <c r="L668" s="170"/>
      <c r="M668" s="730"/>
      <c r="N668" s="730"/>
      <c r="O668" s="730"/>
      <c r="P668" s="731"/>
      <c r="Q668" s="731"/>
      <c r="R668" s="730"/>
      <c r="S668" s="730"/>
      <c r="T668" s="723"/>
      <c r="U668" s="724"/>
      <c r="V668" s="725"/>
      <c r="W668" s="725"/>
      <c r="X668" s="723"/>
      <c r="Y668" s="723"/>
      <c r="Z668" s="723"/>
      <c r="AA668" s="726"/>
      <c r="AB668" s="726"/>
      <c r="AC668" s="170"/>
      <c r="AD668" s="586"/>
      <c r="AE668" s="586"/>
      <c r="AF668" s="170"/>
      <c r="AG668" s="170"/>
      <c r="AH668" s="170"/>
      <c r="AI668" s="170"/>
      <c r="AJ668" s="170"/>
      <c r="AK668" s="170"/>
      <c r="AL668" s="170"/>
      <c r="AM668" s="170"/>
      <c r="AN668" s="170"/>
      <c r="AO668" s="170"/>
      <c r="AP668" s="170"/>
      <c r="AQ668" s="170"/>
      <c r="AR668" s="170"/>
      <c r="AS668" s="170"/>
    </row>
    <row r="669" spans="1:45" ht="15" x14ac:dyDescent="0.25">
      <c r="A669" s="170"/>
      <c r="B669" s="719"/>
      <c r="C669" s="170"/>
      <c r="D669" s="170"/>
      <c r="E669" s="170"/>
      <c r="F669" s="170"/>
      <c r="G669" s="721"/>
      <c r="H669" s="170"/>
      <c r="I669" s="170"/>
      <c r="J669" s="170"/>
      <c r="K669" s="170"/>
      <c r="L669" s="170"/>
      <c r="M669" s="730"/>
      <c r="N669" s="730"/>
      <c r="O669" s="730"/>
      <c r="P669" s="731"/>
      <c r="Q669" s="731"/>
      <c r="R669" s="730"/>
      <c r="S669" s="730"/>
      <c r="T669" s="723"/>
      <c r="U669" s="724"/>
      <c r="V669" s="725"/>
      <c r="W669" s="725"/>
      <c r="X669" s="723"/>
      <c r="Y669" s="723"/>
      <c r="Z669" s="723"/>
      <c r="AA669" s="726"/>
      <c r="AB669" s="726"/>
      <c r="AC669" s="170"/>
      <c r="AD669" s="586"/>
      <c r="AE669" s="586"/>
      <c r="AF669" s="170"/>
      <c r="AG669" s="170"/>
      <c r="AH669" s="170"/>
      <c r="AI669" s="170"/>
      <c r="AJ669" s="170"/>
      <c r="AK669" s="170"/>
      <c r="AL669" s="170"/>
      <c r="AM669" s="170"/>
      <c r="AN669" s="170"/>
      <c r="AO669" s="170"/>
      <c r="AP669" s="170"/>
      <c r="AQ669" s="170"/>
      <c r="AR669" s="170"/>
      <c r="AS669" s="170"/>
    </row>
    <row r="670" spans="1:45" ht="15" x14ac:dyDescent="0.25">
      <c r="A670" s="170"/>
      <c r="B670" s="719"/>
      <c r="C670" s="170"/>
      <c r="D670" s="170"/>
      <c r="E670" s="170"/>
      <c r="F670" s="170"/>
      <c r="G670" s="721"/>
      <c r="H670" s="170"/>
      <c r="I670" s="170"/>
      <c r="J670" s="170"/>
      <c r="K670" s="170"/>
      <c r="L670" s="170"/>
      <c r="M670" s="730"/>
      <c r="N670" s="730"/>
      <c r="O670" s="730"/>
      <c r="P670" s="731"/>
      <c r="Q670" s="731"/>
      <c r="R670" s="730"/>
      <c r="S670" s="730"/>
      <c r="T670" s="723"/>
      <c r="U670" s="724"/>
      <c r="V670" s="725"/>
      <c r="W670" s="725"/>
      <c r="X670" s="723"/>
      <c r="Y670" s="723"/>
      <c r="Z670" s="723"/>
      <c r="AA670" s="726"/>
      <c r="AB670" s="726"/>
      <c r="AC670" s="170"/>
      <c r="AD670" s="586"/>
      <c r="AE670" s="586"/>
      <c r="AF670" s="170"/>
      <c r="AG670" s="170"/>
      <c r="AH670" s="170"/>
      <c r="AI670" s="170"/>
      <c r="AJ670" s="170"/>
      <c r="AK670" s="170"/>
      <c r="AL670" s="170"/>
      <c r="AM670" s="170"/>
      <c r="AN670" s="170"/>
      <c r="AO670" s="170"/>
      <c r="AP670" s="170"/>
      <c r="AQ670" s="170"/>
      <c r="AR670" s="170"/>
      <c r="AS670" s="170"/>
    </row>
    <row r="671" spans="1:45" ht="15" x14ac:dyDescent="0.25">
      <c r="A671" s="170"/>
      <c r="B671" s="719"/>
      <c r="C671" s="170"/>
      <c r="D671" s="170"/>
      <c r="E671" s="170"/>
      <c r="F671" s="170"/>
      <c r="G671" s="721"/>
      <c r="H671" s="170"/>
      <c r="I671" s="170"/>
      <c r="J671" s="170"/>
      <c r="K671" s="170"/>
      <c r="L671" s="170"/>
      <c r="M671" s="730"/>
      <c r="N671" s="730"/>
      <c r="O671" s="730"/>
      <c r="P671" s="731"/>
      <c r="Q671" s="731"/>
      <c r="R671" s="730"/>
      <c r="S671" s="730"/>
      <c r="T671" s="723"/>
      <c r="U671" s="724"/>
      <c r="V671" s="725"/>
      <c r="W671" s="725"/>
      <c r="X671" s="723"/>
      <c r="Y671" s="723"/>
      <c r="Z671" s="723"/>
      <c r="AA671" s="726"/>
      <c r="AB671" s="726"/>
      <c r="AC671" s="170"/>
      <c r="AD671" s="586"/>
      <c r="AE671" s="586"/>
      <c r="AF671" s="170"/>
      <c r="AG671" s="170"/>
      <c r="AH671" s="170"/>
      <c r="AI671" s="170"/>
      <c r="AJ671" s="170"/>
      <c r="AK671" s="170"/>
      <c r="AL671" s="170"/>
      <c r="AM671" s="170"/>
      <c r="AN671" s="170"/>
      <c r="AO671" s="170"/>
      <c r="AP671" s="170"/>
      <c r="AQ671" s="170"/>
      <c r="AR671" s="170"/>
      <c r="AS671" s="170"/>
    </row>
    <row r="672" spans="1:45" ht="15" x14ac:dyDescent="0.25">
      <c r="A672" s="170"/>
      <c r="B672" s="719"/>
      <c r="C672" s="170"/>
      <c r="D672" s="170"/>
      <c r="E672" s="170"/>
      <c r="F672" s="170"/>
      <c r="G672" s="721"/>
      <c r="H672" s="170"/>
      <c r="I672" s="170"/>
      <c r="J672" s="170"/>
      <c r="K672" s="170"/>
      <c r="L672" s="170"/>
      <c r="M672" s="730"/>
      <c r="N672" s="730"/>
      <c r="O672" s="730"/>
      <c r="P672" s="731"/>
      <c r="Q672" s="731"/>
      <c r="R672" s="730"/>
      <c r="S672" s="730"/>
      <c r="T672" s="723"/>
      <c r="U672" s="724"/>
      <c r="V672" s="725"/>
      <c r="W672" s="725"/>
      <c r="X672" s="723"/>
      <c r="Y672" s="723"/>
      <c r="Z672" s="723"/>
      <c r="AA672" s="726"/>
      <c r="AB672" s="726"/>
      <c r="AC672" s="170"/>
      <c r="AD672" s="586"/>
      <c r="AE672" s="586"/>
      <c r="AF672" s="170"/>
      <c r="AG672" s="170"/>
      <c r="AH672" s="170"/>
      <c r="AI672" s="170"/>
      <c r="AJ672" s="170"/>
      <c r="AK672" s="170"/>
      <c r="AL672" s="170"/>
      <c r="AM672" s="170"/>
      <c r="AN672" s="170"/>
      <c r="AO672" s="170"/>
      <c r="AP672" s="170"/>
      <c r="AQ672" s="170"/>
      <c r="AR672" s="170"/>
      <c r="AS672" s="170"/>
    </row>
    <row r="673" spans="1:45" ht="15" x14ac:dyDescent="0.25">
      <c r="A673" s="170"/>
      <c r="B673" s="719"/>
      <c r="C673" s="170"/>
      <c r="D673" s="170"/>
      <c r="E673" s="170"/>
      <c r="F673" s="170"/>
      <c r="G673" s="721"/>
      <c r="H673" s="170"/>
      <c r="I673" s="170"/>
      <c r="J673" s="170"/>
      <c r="K673" s="170"/>
      <c r="L673" s="170"/>
      <c r="M673" s="730"/>
      <c r="N673" s="730"/>
      <c r="O673" s="730"/>
      <c r="P673" s="731"/>
      <c r="Q673" s="731"/>
      <c r="R673" s="730"/>
      <c r="S673" s="730"/>
      <c r="T673" s="723"/>
      <c r="U673" s="724"/>
      <c r="V673" s="725"/>
      <c r="W673" s="725"/>
      <c r="X673" s="723"/>
      <c r="Y673" s="723"/>
      <c r="Z673" s="723"/>
      <c r="AA673" s="726"/>
      <c r="AB673" s="726"/>
      <c r="AC673" s="170"/>
      <c r="AD673" s="586"/>
      <c r="AE673" s="586"/>
      <c r="AF673" s="170"/>
      <c r="AG673" s="170"/>
      <c r="AH673" s="170"/>
      <c r="AI673" s="170"/>
      <c r="AJ673" s="170"/>
      <c r="AK673" s="170"/>
      <c r="AL673" s="170"/>
      <c r="AM673" s="170"/>
      <c r="AN673" s="170"/>
      <c r="AO673" s="170"/>
      <c r="AP673" s="170"/>
      <c r="AQ673" s="170"/>
      <c r="AR673" s="170"/>
      <c r="AS673" s="170"/>
    </row>
    <row r="674" spans="1:45" ht="15" x14ac:dyDescent="0.25">
      <c r="A674" s="170"/>
      <c r="B674" s="719"/>
      <c r="C674" s="170"/>
      <c r="D674" s="170"/>
      <c r="E674" s="170"/>
      <c r="F674" s="170"/>
      <c r="G674" s="721"/>
      <c r="H674" s="170"/>
      <c r="I674" s="170"/>
      <c r="J674" s="170"/>
      <c r="K674" s="170"/>
      <c r="L674" s="170"/>
      <c r="M674" s="730"/>
      <c r="N674" s="730"/>
      <c r="O674" s="730"/>
      <c r="P674" s="731"/>
      <c r="Q674" s="731"/>
      <c r="R674" s="730"/>
      <c r="S674" s="730"/>
      <c r="T674" s="723"/>
      <c r="U674" s="724"/>
      <c r="V674" s="725"/>
      <c r="W674" s="725"/>
      <c r="X674" s="723"/>
      <c r="Y674" s="723"/>
      <c r="Z674" s="723"/>
      <c r="AA674" s="726"/>
      <c r="AB674" s="726"/>
      <c r="AC674" s="170"/>
      <c r="AD674" s="586"/>
      <c r="AE674" s="586"/>
      <c r="AF674" s="170"/>
      <c r="AG674" s="170"/>
      <c r="AH674" s="170"/>
      <c r="AI674" s="170"/>
      <c r="AJ674" s="170"/>
      <c r="AK674" s="170"/>
      <c r="AL674" s="170"/>
      <c r="AM674" s="170"/>
      <c r="AN674" s="170"/>
      <c r="AO674" s="170"/>
      <c r="AP674" s="170"/>
      <c r="AQ674" s="170"/>
      <c r="AR674" s="170"/>
      <c r="AS674" s="170"/>
    </row>
    <row r="675" spans="1:45" ht="15" x14ac:dyDescent="0.25">
      <c r="A675" s="170"/>
      <c r="B675" s="719"/>
      <c r="C675" s="170"/>
      <c r="D675" s="170"/>
      <c r="E675" s="170"/>
      <c r="F675" s="170"/>
      <c r="G675" s="721"/>
      <c r="H675" s="170"/>
      <c r="I675" s="170"/>
      <c r="J675" s="170"/>
      <c r="K675" s="170"/>
      <c r="L675" s="170"/>
      <c r="M675" s="730"/>
      <c r="N675" s="730"/>
      <c r="O675" s="730"/>
      <c r="P675" s="731"/>
      <c r="Q675" s="731"/>
      <c r="R675" s="730"/>
      <c r="S675" s="730"/>
      <c r="T675" s="723"/>
      <c r="U675" s="724"/>
      <c r="V675" s="725"/>
      <c r="W675" s="725"/>
      <c r="X675" s="723"/>
      <c r="Y675" s="723"/>
      <c r="Z675" s="723"/>
      <c r="AA675" s="726"/>
      <c r="AB675" s="726"/>
      <c r="AC675" s="170"/>
      <c r="AD675" s="586"/>
      <c r="AE675" s="586"/>
      <c r="AF675" s="170"/>
      <c r="AG675" s="170"/>
      <c r="AH675" s="170"/>
      <c r="AI675" s="170"/>
      <c r="AJ675" s="170"/>
      <c r="AK675" s="170"/>
      <c r="AL675" s="170"/>
      <c r="AM675" s="170"/>
      <c r="AN675" s="170"/>
      <c r="AO675" s="170"/>
      <c r="AP675" s="170"/>
      <c r="AQ675" s="170"/>
      <c r="AR675" s="170"/>
      <c r="AS675" s="170"/>
    </row>
    <row r="676" spans="1:45" ht="15" x14ac:dyDescent="0.25">
      <c r="A676" s="170"/>
      <c r="B676" s="719"/>
      <c r="C676" s="170"/>
      <c r="D676" s="170"/>
      <c r="E676" s="170"/>
      <c r="F676" s="170"/>
      <c r="G676" s="721"/>
      <c r="H676" s="170"/>
      <c r="I676" s="170"/>
      <c r="J676" s="170"/>
      <c r="K676" s="170"/>
      <c r="L676" s="170"/>
      <c r="M676" s="730"/>
      <c r="N676" s="730"/>
      <c r="O676" s="730"/>
      <c r="P676" s="731"/>
      <c r="Q676" s="731"/>
      <c r="R676" s="730"/>
      <c r="S676" s="730"/>
      <c r="T676" s="723"/>
      <c r="U676" s="724"/>
      <c r="V676" s="725"/>
      <c r="W676" s="725"/>
      <c r="X676" s="723"/>
      <c r="Y676" s="723"/>
      <c r="Z676" s="723"/>
      <c r="AA676" s="726"/>
      <c r="AB676" s="726"/>
      <c r="AC676" s="170"/>
      <c r="AD676" s="586"/>
      <c r="AE676" s="586"/>
      <c r="AF676" s="170"/>
      <c r="AG676" s="170"/>
      <c r="AH676" s="170"/>
      <c r="AI676" s="170"/>
      <c r="AJ676" s="170"/>
      <c r="AK676" s="170"/>
      <c r="AL676" s="170"/>
      <c r="AM676" s="170"/>
      <c r="AN676" s="170"/>
      <c r="AO676" s="170"/>
      <c r="AP676" s="170"/>
      <c r="AQ676" s="170"/>
      <c r="AR676" s="170"/>
      <c r="AS676" s="170"/>
    </row>
    <row r="677" spans="1:45" ht="15" x14ac:dyDescent="0.25">
      <c r="A677" s="170"/>
      <c r="B677" s="719"/>
      <c r="C677" s="170"/>
      <c r="D677" s="170"/>
      <c r="E677" s="170"/>
      <c r="F677" s="170"/>
      <c r="G677" s="721"/>
      <c r="H677" s="170"/>
      <c r="I677" s="170"/>
      <c r="J677" s="170"/>
      <c r="K677" s="170"/>
      <c r="L677" s="170"/>
      <c r="M677" s="730"/>
      <c r="N677" s="730"/>
      <c r="O677" s="730"/>
      <c r="P677" s="731"/>
      <c r="Q677" s="731"/>
      <c r="R677" s="730"/>
      <c r="S677" s="730"/>
      <c r="T677" s="723"/>
      <c r="U677" s="724"/>
      <c r="V677" s="725"/>
      <c r="W677" s="725"/>
      <c r="X677" s="723"/>
      <c r="Y677" s="723"/>
      <c r="Z677" s="723"/>
      <c r="AA677" s="726"/>
      <c r="AB677" s="726"/>
      <c r="AC677" s="170"/>
      <c r="AD677" s="586"/>
      <c r="AE677" s="586"/>
      <c r="AF677" s="170"/>
      <c r="AG677" s="170"/>
      <c r="AH677" s="170"/>
      <c r="AI677" s="170"/>
      <c r="AJ677" s="170"/>
      <c r="AK677" s="170"/>
      <c r="AL677" s="170"/>
      <c r="AM677" s="170"/>
      <c r="AN677" s="170"/>
      <c r="AO677" s="170"/>
      <c r="AP677" s="170"/>
      <c r="AQ677" s="170"/>
      <c r="AR677" s="170"/>
      <c r="AS677" s="170"/>
    </row>
    <row r="678" spans="1:45" ht="15" x14ac:dyDescent="0.25">
      <c r="A678" s="170"/>
      <c r="B678" s="719"/>
      <c r="C678" s="170"/>
      <c r="D678" s="170"/>
      <c r="E678" s="170"/>
      <c r="F678" s="170"/>
      <c r="G678" s="721"/>
      <c r="H678" s="170"/>
      <c r="I678" s="170"/>
      <c r="J678" s="170"/>
      <c r="K678" s="170"/>
      <c r="L678" s="170"/>
      <c r="M678" s="730"/>
      <c r="N678" s="730"/>
      <c r="O678" s="730"/>
      <c r="P678" s="731"/>
      <c r="Q678" s="731"/>
      <c r="R678" s="730"/>
      <c r="S678" s="730"/>
      <c r="T678" s="723"/>
      <c r="U678" s="724"/>
      <c r="V678" s="725"/>
      <c r="W678" s="725"/>
      <c r="X678" s="723"/>
      <c r="Y678" s="723"/>
      <c r="Z678" s="723"/>
      <c r="AA678" s="726"/>
      <c r="AB678" s="726"/>
      <c r="AC678" s="170"/>
      <c r="AD678" s="586"/>
      <c r="AE678" s="586"/>
      <c r="AF678" s="170"/>
      <c r="AG678" s="170"/>
      <c r="AH678" s="170"/>
      <c r="AI678" s="170"/>
      <c r="AJ678" s="170"/>
      <c r="AK678" s="170"/>
      <c r="AL678" s="170"/>
      <c r="AM678" s="170"/>
      <c r="AN678" s="170"/>
      <c r="AO678" s="170"/>
      <c r="AP678" s="170"/>
      <c r="AQ678" s="170"/>
      <c r="AR678" s="170"/>
      <c r="AS678" s="170"/>
    </row>
    <row r="679" spans="1:45" ht="15" x14ac:dyDescent="0.25">
      <c r="A679" s="170"/>
      <c r="B679" s="719"/>
      <c r="C679" s="170"/>
      <c r="D679" s="170"/>
      <c r="E679" s="170"/>
      <c r="F679" s="170"/>
      <c r="G679" s="721"/>
      <c r="H679" s="170"/>
      <c r="I679" s="170"/>
      <c r="J679" s="170"/>
      <c r="K679" s="170"/>
      <c r="L679" s="170"/>
      <c r="M679" s="730"/>
      <c r="N679" s="730"/>
      <c r="O679" s="730"/>
      <c r="P679" s="731"/>
      <c r="Q679" s="731"/>
      <c r="R679" s="730"/>
      <c r="S679" s="730"/>
      <c r="T679" s="723"/>
      <c r="U679" s="724"/>
      <c r="V679" s="725"/>
      <c r="W679" s="725"/>
      <c r="X679" s="723"/>
      <c r="Y679" s="723"/>
      <c r="Z679" s="723"/>
      <c r="AA679" s="726"/>
      <c r="AB679" s="726"/>
      <c r="AC679" s="170"/>
      <c r="AD679" s="586"/>
      <c r="AE679" s="586"/>
      <c r="AF679" s="170"/>
      <c r="AG679" s="170"/>
      <c r="AH679" s="170"/>
      <c r="AI679" s="170"/>
      <c r="AJ679" s="170"/>
      <c r="AK679" s="170"/>
      <c r="AL679" s="170"/>
      <c r="AM679" s="170"/>
      <c r="AN679" s="170"/>
      <c r="AO679" s="170"/>
      <c r="AP679" s="170"/>
      <c r="AQ679" s="170"/>
      <c r="AR679" s="170"/>
      <c r="AS679" s="170"/>
    </row>
    <row r="680" spans="1:45" ht="15" x14ac:dyDescent="0.25">
      <c r="A680" s="170"/>
      <c r="B680" s="719"/>
      <c r="C680" s="170"/>
      <c r="D680" s="170"/>
      <c r="E680" s="170"/>
      <c r="F680" s="170"/>
      <c r="G680" s="721"/>
      <c r="H680" s="170"/>
      <c r="I680" s="170"/>
      <c r="J680" s="170"/>
      <c r="K680" s="170"/>
      <c r="L680" s="170"/>
      <c r="M680" s="730"/>
      <c r="N680" s="730"/>
      <c r="O680" s="730"/>
      <c r="P680" s="731"/>
      <c r="Q680" s="731"/>
      <c r="R680" s="730"/>
      <c r="S680" s="730"/>
      <c r="T680" s="723"/>
      <c r="U680" s="724"/>
      <c r="V680" s="725"/>
      <c r="W680" s="725"/>
      <c r="X680" s="723"/>
      <c r="Y680" s="723"/>
      <c r="Z680" s="723"/>
      <c r="AA680" s="726"/>
      <c r="AB680" s="726"/>
      <c r="AC680" s="170"/>
      <c r="AD680" s="586"/>
      <c r="AE680" s="586"/>
      <c r="AF680" s="170"/>
      <c r="AG680" s="170"/>
      <c r="AH680" s="170"/>
      <c r="AI680" s="170"/>
      <c r="AJ680" s="170"/>
      <c r="AK680" s="170"/>
      <c r="AL680" s="170"/>
      <c r="AM680" s="170"/>
      <c r="AN680" s="170"/>
      <c r="AO680" s="170"/>
      <c r="AP680" s="170"/>
      <c r="AQ680" s="170"/>
      <c r="AR680" s="170"/>
      <c r="AS680" s="170"/>
    </row>
    <row r="681" spans="1:45" ht="15" x14ac:dyDescent="0.25">
      <c r="A681" s="170"/>
      <c r="B681" s="719"/>
      <c r="C681" s="170"/>
      <c r="D681" s="170"/>
      <c r="E681" s="170"/>
      <c r="F681" s="170"/>
      <c r="G681" s="721"/>
      <c r="H681" s="170"/>
      <c r="I681" s="170"/>
      <c r="J681" s="170"/>
      <c r="K681" s="170"/>
      <c r="L681" s="170"/>
      <c r="M681" s="730"/>
      <c r="N681" s="730"/>
      <c r="O681" s="730"/>
      <c r="P681" s="731"/>
      <c r="Q681" s="731"/>
      <c r="R681" s="730"/>
      <c r="S681" s="730"/>
      <c r="T681" s="723"/>
      <c r="U681" s="724"/>
      <c r="V681" s="725"/>
      <c r="W681" s="725"/>
      <c r="X681" s="723"/>
      <c r="Y681" s="723"/>
      <c r="Z681" s="723"/>
      <c r="AA681" s="726"/>
      <c r="AB681" s="726"/>
      <c r="AC681" s="170"/>
      <c r="AD681" s="586"/>
      <c r="AE681" s="586"/>
      <c r="AF681" s="170"/>
      <c r="AG681" s="170"/>
      <c r="AH681" s="170"/>
      <c r="AI681" s="170"/>
      <c r="AJ681" s="170"/>
      <c r="AK681" s="170"/>
      <c r="AL681" s="170"/>
      <c r="AM681" s="170"/>
      <c r="AN681" s="170"/>
      <c r="AO681" s="170"/>
      <c r="AP681" s="170"/>
      <c r="AQ681" s="170"/>
      <c r="AR681" s="170"/>
      <c r="AS681" s="170"/>
    </row>
    <row r="682" spans="1:45" ht="15" x14ac:dyDescent="0.25">
      <c r="A682" s="170"/>
      <c r="B682" s="719"/>
      <c r="C682" s="170"/>
      <c r="D682" s="170"/>
      <c r="E682" s="170"/>
      <c r="F682" s="170"/>
      <c r="G682" s="721"/>
      <c r="H682" s="170"/>
      <c r="I682" s="170"/>
      <c r="J682" s="170"/>
      <c r="K682" s="170"/>
      <c r="L682" s="170"/>
      <c r="M682" s="730"/>
      <c r="N682" s="730"/>
      <c r="O682" s="730"/>
      <c r="P682" s="731"/>
      <c r="Q682" s="731"/>
      <c r="R682" s="730"/>
      <c r="S682" s="730"/>
      <c r="T682" s="723"/>
      <c r="U682" s="724"/>
      <c r="V682" s="725"/>
      <c r="W682" s="725"/>
      <c r="X682" s="723"/>
      <c r="Y682" s="723"/>
      <c r="Z682" s="723"/>
      <c r="AA682" s="726"/>
      <c r="AB682" s="726"/>
      <c r="AC682" s="170"/>
      <c r="AD682" s="586"/>
      <c r="AE682" s="586"/>
      <c r="AF682" s="170"/>
      <c r="AG682" s="170"/>
      <c r="AH682" s="170"/>
      <c r="AI682" s="170"/>
      <c r="AJ682" s="170"/>
      <c r="AK682" s="170"/>
      <c r="AL682" s="170"/>
      <c r="AM682" s="170"/>
      <c r="AN682" s="170"/>
      <c r="AO682" s="170"/>
      <c r="AP682" s="170"/>
      <c r="AQ682" s="170"/>
      <c r="AR682" s="170"/>
      <c r="AS682" s="170"/>
    </row>
    <row r="683" spans="1:45" ht="15" x14ac:dyDescent="0.25">
      <c r="A683" s="170"/>
      <c r="B683" s="719"/>
      <c r="C683" s="170"/>
      <c r="D683" s="170"/>
      <c r="E683" s="170"/>
      <c r="F683" s="170"/>
      <c r="G683" s="721"/>
      <c r="H683" s="170"/>
      <c r="I683" s="170"/>
      <c r="J683" s="170"/>
      <c r="K683" s="170"/>
      <c r="L683" s="170"/>
      <c r="M683" s="730"/>
      <c r="N683" s="730"/>
      <c r="O683" s="730"/>
      <c r="P683" s="731"/>
      <c r="Q683" s="731"/>
      <c r="R683" s="730"/>
      <c r="S683" s="730"/>
      <c r="T683" s="723"/>
      <c r="U683" s="724"/>
      <c r="V683" s="725"/>
      <c r="W683" s="725"/>
      <c r="X683" s="723"/>
      <c r="Y683" s="723"/>
      <c r="Z683" s="723"/>
      <c r="AA683" s="726"/>
      <c r="AB683" s="726"/>
      <c r="AC683" s="170"/>
      <c r="AD683" s="586"/>
      <c r="AE683" s="586"/>
      <c r="AF683" s="170"/>
      <c r="AG683" s="170"/>
      <c r="AH683" s="170"/>
      <c r="AI683" s="170"/>
      <c r="AJ683" s="170"/>
      <c r="AK683" s="170"/>
      <c r="AL683" s="170"/>
      <c r="AM683" s="170"/>
      <c r="AN683" s="170"/>
      <c r="AO683" s="170"/>
      <c r="AP683" s="170"/>
      <c r="AQ683" s="170"/>
      <c r="AR683" s="170"/>
      <c r="AS683" s="170"/>
    </row>
    <row r="684" spans="1:45" ht="15" x14ac:dyDescent="0.25">
      <c r="A684" s="170"/>
      <c r="B684" s="719"/>
      <c r="C684" s="170"/>
      <c r="D684" s="170"/>
      <c r="E684" s="170"/>
      <c r="F684" s="170"/>
      <c r="G684" s="721"/>
      <c r="H684" s="170"/>
      <c r="I684" s="170"/>
      <c r="J684" s="170"/>
      <c r="K684" s="170"/>
      <c r="L684" s="170"/>
      <c r="M684" s="730"/>
      <c r="N684" s="730"/>
      <c r="O684" s="730"/>
      <c r="P684" s="731"/>
      <c r="Q684" s="731"/>
      <c r="R684" s="730"/>
      <c r="S684" s="730"/>
      <c r="T684" s="723"/>
      <c r="U684" s="724"/>
      <c r="V684" s="725"/>
      <c r="W684" s="725"/>
      <c r="X684" s="723"/>
      <c r="Y684" s="723"/>
      <c r="Z684" s="723"/>
      <c r="AA684" s="726"/>
      <c r="AB684" s="726"/>
      <c r="AC684" s="170"/>
      <c r="AD684" s="586"/>
      <c r="AE684" s="586"/>
      <c r="AF684" s="170"/>
      <c r="AG684" s="170"/>
      <c r="AH684" s="170"/>
      <c r="AI684" s="170"/>
      <c r="AJ684" s="170"/>
      <c r="AK684" s="170"/>
      <c r="AL684" s="170"/>
      <c r="AM684" s="170"/>
      <c r="AN684" s="170"/>
      <c r="AO684" s="170"/>
      <c r="AP684" s="170"/>
      <c r="AQ684" s="170"/>
      <c r="AR684" s="170"/>
      <c r="AS684" s="170"/>
    </row>
    <row r="685" spans="1:45" ht="15" x14ac:dyDescent="0.25">
      <c r="A685" s="170"/>
      <c r="B685" s="719"/>
      <c r="C685" s="170"/>
      <c r="D685" s="170"/>
      <c r="E685" s="170"/>
      <c r="F685" s="170"/>
      <c r="G685" s="721"/>
      <c r="H685" s="170"/>
      <c r="I685" s="170"/>
      <c r="J685" s="170"/>
      <c r="K685" s="170"/>
      <c r="L685" s="170"/>
      <c r="M685" s="730"/>
      <c r="N685" s="730"/>
      <c r="O685" s="730"/>
      <c r="P685" s="731"/>
      <c r="Q685" s="731"/>
      <c r="R685" s="730"/>
      <c r="S685" s="730"/>
      <c r="T685" s="723"/>
      <c r="U685" s="724"/>
      <c r="V685" s="725"/>
      <c r="W685" s="725"/>
      <c r="X685" s="723"/>
      <c r="Y685" s="723"/>
      <c r="Z685" s="723"/>
      <c r="AA685" s="726"/>
      <c r="AB685" s="726"/>
      <c r="AC685" s="170"/>
      <c r="AD685" s="586"/>
      <c r="AE685" s="586"/>
      <c r="AF685" s="170"/>
      <c r="AG685" s="170"/>
      <c r="AH685" s="170"/>
      <c r="AI685" s="170"/>
      <c r="AJ685" s="170"/>
      <c r="AK685" s="170"/>
      <c r="AL685" s="170"/>
      <c r="AM685" s="170"/>
      <c r="AN685" s="170"/>
      <c r="AO685" s="170"/>
      <c r="AP685" s="170"/>
      <c r="AQ685" s="170"/>
      <c r="AR685" s="170"/>
      <c r="AS685" s="170"/>
    </row>
    <row r="686" spans="1:45" ht="15" x14ac:dyDescent="0.25">
      <c r="A686" s="170"/>
      <c r="B686" s="719"/>
      <c r="C686" s="170"/>
      <c r="D686" s="170"/>
      <c r="E686" s="170"/>
      <c r="F686" s="170"/>
      <c r="G686" s="721"/>
      <c r="H686" s="170"/>
      <c r="I686" s="170"/>
      <c r="J686" s="170"/>
      <c r="K686" s="170"/>
      <c r="L686" s="170"/>
      <c r="M686" s="730"/>
      <c r="N686" s="730"/>
      <c r="O686" s="730"/>
      <c r="P686" s="731"/>
      <c r="Q686" s="731"/>
      <c r="R686" s="730"/>
      <c r="S686" s="730"/>
      <c r="T686" s="723"/>
      <c r="U686" s="724"/>
      <c r="V686" s="725"/>
      <c r="W686" s="725"/>
      <c r="X686" s="723"/>
      <c r="Y686" s="723"/>
      <c r="Z686" s="723"/>
      <c r="AA686" s="726"/>
      <c r="AB686" s="726"/>
      <c r="AC686" s="170"/>
      <c r="AD686" s="586"/>
      <c r="AE686" s="586"/>
      <c r="AF686" s="170"/>
      <c r="AG686" s="170"/>
      <c r="AH686" s="170"/>
      <c r="AI686" s="170"/>
      <c r="AJ686" s="170"/>
      <c r="AK686" s="170"/>
      <c r="AL686" s="170"/>
      <c r="AM686" s="170"/>
      <c r="AN686" s="170"/>
      <c r="AO686" s="170"/>
      <c r="AP686" s="170"/>
      <c r="AQ686" s="170"/>
      <c r="AR686" s="170"/>
      <c r="AS686" s="170"/>
    </row>
    <row r="687" spans="1:45" ht="15" x14ac:dyDescent="0.25">
      <c r="A687" s="170"/>
      <c r="B687" s="719"/>
      <c r="C687" s="170"/>
      <c r="D687" s="170"/>
      <c r="E687" s="170"/>
      <c r="F687" s="170"/>
      <c r="G687" s="721"/>
      <c r="H687" s="170"/>
      <c r="I687" s="170"/>
      <c r="J687" s="170"/>
      <c r="K687" s="170"/>
      <c r="L687" s="170"/>
      <c r="M687" s="730"/>
      <c r="N687" s="730"/>
      <c r="O687" s="730"/>
      <c r="P687" s="731"/>
      <c r="Q687" s="731"/>
      <c r="R687" s="730"/>
      <c r="S687" s="730"/>
      <c r="T687" s="723"/>
      <c r="U687" s="724"/>
      <c r="V687" s="725"/>
      <c r="W687" s="725"/>
      <c r="X687" s="723"/>
      <c r="Y687" s="723"/>
      <c r="Z687" s="723"/>
      <c r="AA687" s="726"/>
      <c r="AB687" s="726"/>
      <c r="AC687" s="170"/>
      <c r="AD687" s="586"/>
      <c r="AE687" s="586"/>
      <c r="AF687" s="170"/>
      <c r="AG687" s="170"/>
      <c r="AH687" s="170"/>
      <c r="AI687" s="170"/>
      <c r="AJ687" s="170"/>
      <c r="AK687" s="170"/>
      <c r="AL687" s="170"/>
      <c r="AM687" s="170"/>
      <c r="AN687" s="170"/>
      <c r="AO687" s="170"/>
      <c r="AP687" s="170"/>
      <c r="AQ687" s="170"/>
      <c r="AR687" s="170"/>
      <c r="AS687" s="170"/>
    </row>
    <row r="688" spans="1:45" ht="15" x14ac:dyDescent="0.25">
      <c r="A688" s="170"/>
      <c r="B688" s="719"/>
      <c r="C688" s="170"/>
      <c r="D688" s="170"/>
      <c r="E688" s="170"/>
      <c r="F688" s="170"/>
      <c r="G688" s="721"/>
      <c r="H688" s="170"/>
      <c r="I688" s="170"/>
      <c r="J688" s="170"/>
      <c r="K688" s="170"/>
      <c r="L688" s="170"/>
      <c r="M688" s="730"/>
      <c r="N688" s="730"/>
      <c r="O688" s="730"/>
      <c r="P688" s="731"/>
      <c r="Q688" s="731"/>
      <c r="R688" s="730"/>
      <c r="S688" s="730"/>
      <c r="T688" s="723"/>
      <c r="U688" s="724"/>
      <c r="V688" s="725"/>
      <c r="W688" s="725"/>
      <c r="X688" s="723"/>
      <c r="Y688" s="723"/>
      <c r="Z688" s="723"/>
      <c r="AA688" s="726"/>
      <c r="AB688" s="726"/>
      <c r="AC688" s="170"/>
      <c r="AD688" s="586"/>
      <c r="AE688" s="586"/>
      <c r="AF688" s="170"/>
      <c r="AG688" s="170"/>
      <c r="AH688" s="170"/>
      <c r="AI688" s="170"/>
      <c r="AJ688" s="170"/>
      <c r="AK688" s="170"/>
      <c r="AL688" s="170"/>
      <c r="AM688" s="170"/>
      <c r="AN688" s="170"/>
      <c r="AO688" s="170"/>
      <c r="AP688" s="170"/>
      <c r="AQ688" s="170"/>
      <c r="AR688" s="170"/>
      <c r="AS688" s="170"/>
    </row>
    <row r="689" spans="1:45" ht="15" x14ac:dyDescent="0.25">
      <c r="A689" s="170"/>
      <c r="B689" s="719"/>
      <c r="C689" s="170"/>
      <c r="D689" s="170"/>
      <c r="E689" s="170"/>
      <c r="F689" s="170"/>
      <c r="G689" s="721"/>
      <c r="H689" s="170"/>
      <c r="I689" s="170"/>
      <c r="J689" s="170"/>
      <c r="K689" s="170"/>
      <c r="L689" s="170"/>
      <c r="M689" s="730"/>
      <c r="N689" s="730"/>
      <c r="O689" s="730"/>
      <c r="P689" s="731"/>
      <c r="Q689" s="731"/>
      <c r="R689" s="730"/>
      <c r="S689" s="730"/>
      <c r="T689" s="723"/>
      <c r="U689" s="724"/>
      <c r="V689" s="725"/>
      <c r="W689" s="725"/>
      <c r="X689" s="723"/>
      <c r="Y689" s="723"/>
      <c r="Z689" s="723"/>
      <c r="AA689" s="726"/>
      <c r="AB689" s="726"/>
      <c r="AC689" s="170"/>
      <c r="AD689" s="586"/>
      <c r="AE689" s="586"/>
      <c r="AF689" s="170"/>
      <c r="AG689" s="170"/>
      <c r="AH689" s="170"/>
      <c r="AI689" s="170"/>
      <c r="AJ689" s="170"/>
      <c r="AK689" s="170"/>
      <c r="AL689" s="170"/>
      <c r="AM689" s="170"/>
      <c r="AN689" s="170"/>
      <c r="AO689" s="170"/>
      <c r="AP689" s="170"/>
      <c r="AQ689" s="170"/>
      <c r="AR689" s="170"/>
      <c r="AS689" s="170"/>
    </row>
    <row r="690" spans="1:45" ht="15" x14ac:dyDescent="0.25">
      <c r="A690" s="170"/>
      <c r="B690" s="719"/>
      <c r="C690" s="170"/>
      <c r="D690" s="170"/>
      <c r="E690" s="170"/>
      <c r="F690" s="170"/>
      <c r="G690" s="721"/>
      <c r="H690" s="170"/>
      <c r="I690" s="170"/>
      <c r="J690" s="170"/>
      <c r="K690" s="170"/>
      <c r="L690" s="170"/>
      <c r="M690" s="730"/>
      <c r="N690" s="730"/>
      <c r="O690" s="730"/>
      <c r="P690" s="731"/>
      <c r="Q690" s="731"/>
      <c r="R690" s="730"/>
      <c r="S690" s="730"/>
      <c r="T690" s="723"/>
      <c r="U690" s="724"/>
      <c r="V690" s="725"/>
      <c r="W690" s="725"/>
      <c r="X690" s="723"/>
      <c r="Y690" s="723"/>
      <c r="Z690" s="723"/>
      <c r="AA690" s="726"/>
      <c r="AB690" s="726"/>
      <c r="AC690" s="170"/>
      <c r="AD690" s="586"/>
      <c r="AE690" s="586"/>
      <c r="AF690" s="170"/>
      <c r="AG690" s="170"/>
      <c r="AH690" s="170"/>
      <c r="AI690" s="170"/>
      <c r="AJ690" s="170"/>
      <c r="AK690" s="170"/>
      <c r="AL690" s="170"/>
      <c r="AM690" s="170"/>
      <c r="AN690" s="170"/>
      <c r="AO690" s="170"/>
      <c r="AP690" s="170"/>
      <c r="AQ690" s="170"/>
      <c r="AR690" s="170"/>
      <c r="AS690" s="170"/>
    </row>
    <row r="691" spans="1:45" ht="15" x14ac:dyDescent="0.25">
      <c r="A691" s="170"/>
      <c r="B691" s="719"/>
      <c r="C691" s="170"/>
      <c r="D691" s="170"/>
      <c r="E691" s="170"/>
      <c r="F691" s="170"/>
      <c r="G691" s="721"/>
      <c r="H691" s="170"/>
      <c r="I691" s="170"/>
      <c r="J691" s="170"/>
      <c r="K691" s="170"/>
      <c r="L691" s="170"/>
      <c r="M691" s="730"/>
      <c r="N691" s="730"/>
      <c r="O691" s="730"/>
      <c r="P691" s="731"/>
      <c r="Q691" s="731"/>
      <c r="R691" s="730"/>
      <c r="S691" s="730"/>
      <c r="T691" s="723"/>
      <c r="U691" s="724"/>
      <c r="V691" s="725"/>
      <c r="W691" s="725"/>
      <c r="X691" s="723"/>
      <c r="Y691" s="723"/>
      <c r="Z691" s="723"/>
      <c r="AA691" s="726"/>
      <c r="AB691" s="726"/>
      <c r="AC691" s="170"/>
      <c r="AD691" s="586"/>
      <c r="AE691" s="586"/>
      <c r="AF691" s="170"/>
      <c r="AG691" s="170"/>
      <c r="AH691" s="170"/>
      <c r="AI691" s="170"/>
      <c r="AJ691" s="170"/>
      <c r="AK691" s="170"/>
      <c r="AL691" s="170"/>
      <c r="AM691" s="170"/>
      <c r="AN691" s="170"/>
      <c r="AO691" s="170"/>
      <c r="AP691" s="170"/>
      <c r="AQ691" s="170"/>
      <c r="AR691" s="170"/>
      <c r="AS691" s="170"/>
    </row>
    <row r="692" spans="1:45" ht="15" x14ac:dyDescent="0.25">
      <c r="A692" s="170"/>
      <c r="B692" s="719"/>
      <c r="C692" s="170"/>
      <c r="D692" s="170"/>
      <c r="E692" s="170"/>
      <c r="F692" s="170"/>
      <c r="G692" s="721"/>
      <c r="H692" s="170"/>
      <c r="I692" s="170"/>
      <c r="J692" s="170"/>
      <c r="K692" s="170"/>
      <c r="L692" s="170"/>
      <c r="M692" s="730"/>
      <c r="N692" s="730"/>
      <c r="O692" s="730"/>
      <c r="P692" s="731"/>
      <c r="Q692" s="731"/>
      <c r="R692" s="730"/>
      <c r="S692" s="730"/>
      <c r="T692" s="723"/>
      <c r="U692" s="724"/>
      <c r="V692" s="725"/>
      <c r="W692" s="725"/>
      <c r="X692" s="723"/>
      <c r="Y692" s="723"/>
      <c r="Z692" s="723"/>
      <c r="AA692" s="726"/>
      <c r="AB692" s="726"/>
      <c r="AC692" s="170"/>
      <c r="AD692" s="586"/>
      <c r="AE692" s="586"/>
      <c r="AF692" s="170"/>
      <c r="AG692" s="170"/>
      <c r="AH692" s="170"/>
      <c r="AI692" s="170"/>
      <c r="AJ692" s="170"/>
      <c r="AK692" s="170"/>
      <c r="AL692" s="170"/>
      <c r="AM692" s="170"/>
      <c r="AN692" s="170"/>
      <c r="AO692" s="170"/>
      <c r="AP692" s="170"/>
      <c r="AQ692" s="170"/>
      <c r="AR692" s="170"/>
      <c r="AS692" s="170"/>
    </row>
    <row r="693" spans="1:45" ht="15" x14ac:dyDescent="0.25">
      <c r="A693" s="170"/>
      <c r="B693" s="719"/>
      <c r="C693" s="170"/>
      <c r="D693" s="170"/>
      <c r="E693" s="170"/>
      <c r="F693" s="170"/>
      <c r="G693" s="721"/>
      <c r="H693" s="170"/>
      <c r="I693" s="170"/>
      <c r="J693" s="170"/>
      <c r="K693" s="170"/>
      <c r="L693" s="170"/>
      <c r="M693" s="730"/>
      <c r="N693" s="730"/>
      <c r="O693" s="730"/>
      <c r="P693" s="731"/>
      <c r="Q693" s="731"/>
      <c r="R693" s="730"/>
      <c r="S693" s="730"/>
      <c r="T693" s="723"/>
      <c r="U693" s="724"/>
      <c r="V693" s="725"/>
      <c r="W693" s="725"/>
      <c r="X693" s="723"/>
      <c r="Y693" s="723"/>
      <c r="Z693" s="723"/>
      <c r="AA693" s="726"/>
      <c r="AB693" s="726"/>
      <c r="AC693" s="170"/>
      <c r="AD693" s="586"/>
      <c r="AE693" s="586"/>
      <c r="AF693" s="170"/>
      <c r="AG693" s="170"/>
      <c r="AH693" s="170"/>
      <c r="AI693" s="170"/>
      <c r="AJ693" s="170"/>
      <c r="AK693" s="170"/>
      <c r="AL693" s="170"/>
      <c r="AM693" s="170"/>
      <c r="AN693" s="170"/>
      <c r="AO693" s="170"/>
      <c r="AP693" s="170"/>
      <c r="AQ693" s="170"/>
      <c r="AR693" s="170"/>
      <c r="AS693" s="170"/>
    </row>
    <row r="694" spans="1:45" ht="15" x14ac:dyDescent="0.25">
      <c r="A694" s="170"/>
      <c r="B694" s="719"/>
      <c r="C694" s="170"/>
      <c r="D694" s="170"/>
      <c r="E694" s="170"/>
      <c r="F694" s="170"/>
      <c r="G694" s="721"/>
      <c r="H694" s="170"/>
      <c r="I694" s="170"/>
      <c r="J694" s="170"/>
      <c r="K694" s="170"/>
      <c r="L694" s="170"/>
      <c r="M694" s="730"/>
      <c r="N694" s="730"/>
      <c r="O694" s="730"/>
      <c r="P694" s="731"/>
      <c r="Q694" s="731"/>
      <c r="R694" s="730"/>
      <c r="S694" s="730"/>
      <c r="T694" s="723"/>
      <c r="U694" s="724"/>
      <c r="V694" s="725"/>
      <c r="W694" s="725"/>
      <c r="X694" s="723"/>
      <c r="Y694" s="723"/>
      <c r="Z694" s="723"/>
      <c r="AA694" s="726"/>
      <c r="AB694" s="726"/>
      <c r="AC694" s="170"/>
      <c r="AD694" s="586"/>
      <c r="AE694" s="586"/>
      <c r="AF694" s="170"/>
      <c r="AG694" s="170"/>
      <c r="AH694" s="170"/>
      <c r="AI694" s="170"/>
      <c r="AJ694" s="170"/>
      <c r="AK694" s="170"/>
      <c r="AL694" s="170"/>
      <c r="AM694" s="170"/>
      <c r="AN694" s="170"/>
      <c r="AO694" s="170"/>
      <c r="AP694" s="170"/>
      <c r="AQ694" s="170"/>
      <c r="AR694" s="170"/>
      <c r="AS694" s="170"/>
    </row>
    <row r="695" spans="1:45" ht="15" x14ac:dyDescent="0.25">
      <c r="A695" s="170"/>
      <c r="B695" s="719"/>
      <c r="C695" s="170"/>
      <c r="D695" s="170"/>
      <c r="E695" s="170"/>
      <c r="F695" s="170"/>
      <c r="G695" s="721"/>
      <c r="H695" s="170"/>
      <c r="I695" s="170"/>
      <c r="J695" s="170"/>
      <c r="K695" s="170"/>
      <c r="L695" s="170"/>
      <c r="M695" s="730"/>
      <c r="N695" s="730"/>
      <c r="O695" s="730"/>
      <c r="P695" s="731"/>
      <c r="Q695" s="731"/>
      <c r="R695" s="730"/>
      <c r="S695" s="730"/>
      <c r="T695" s="723"/>
      <c r="U695" s="724"/>
      <c r="V695" s="725"/>
      <c r="W695" s="725"/>
      <c r="X695" s="723"/>
      <c r="Y695" s="723"/>
      <c r="Z695" s="723"/>
      <c r="AA695" s="726"/>
      <c r="AB695" s="726"/>
      <c r="AC695" s="170"/>
      <c r="AD695" s="586"/>
      <c r="AE695" s="586"/>
      <c r="AF695" s="170"/>
      <c r="AG695" s="170"/>
      <c r="AH695" s="170"/>
      <c r="AI695" s="170"/>
      <c r="AJ695" s="170"/>
      <c r="AK695" s="170"/>
      <c r="AL695" s="170"/>
      <c r="AM695" s="170"/>
      <c r="AN695" s="170"/>
      <c r="AO695" s="170"/>
      <c r="AP695" s="170"/>
      <c r="AQ695" s="170"/>
      <c r="AR695" s="170"/>
      <c r="AS695" s="170"/>
    </row>
    <row r="696" spans="1:45" ht="15" x14ac:dyDescent="0.25">
      <c r="A696" s="170"/>
      <c r="B696" s="719"/>
      <c r="C696" s="170"/>
      <c r="D696" s="170"/>
      <c r="E696" s="170"/>
      <c r="F696" s="170"/>
      <c r="G696" s="721"/>
      <c r="H696" s="170"/>
      <c r="I696" s="170"/>
      <c r="J696" s="170"/>
      <c r="K696" s="170"/>
      <c r="L696" s="170"/>
      <c r="M696" s="730"/>
      <c r="N696" s="730"/>
      <c r="O696" s="730"/>
      <c r="P696" s="731"/>
      <c r="Q696" s="731"/>
      <c r="R696" s="730"/>
      <c r="S696" s="730"/>
      <c r="T696" s="723"/>
      <c r="U696" s="724"/>
      <c r="V696" s="725"/>
      <c r="W696" s="725"/>
      <c r="X696" s="723"/>
      <c r="Y696" s="723"/>
      <c r="Z696" s="723"/>
      <c r="AA696" s="726"/>
      <c r="AB696" s="726"/>
      <c r="AC696" s="170"/>
      <c r="AD696" s="586"/>
      <c r="AE696" s="586"/>
      <c r="AF696" s="170"/>
      <c r="AG696" s="170"/>
      <c r="AH696" s="170"/>
      <c r="AI696" s="170"/>
      <c r="AJ696" s="170"/>
      <c r="AK696" s="170"/>
      <c r="AL696" s="170"/>
      <c r="AM696" s="170"/>
      <c r="AN696" s="170"/>
      <c r="AO696" s="170"/>
      <c r="AP696" s="170"/>
      <c r="AQ696" s="170"/>
      <c r="AR696" s="170"/>
      <c r="AS696" s="170"/>
    </row>
    <row r="697" spans="1:45" ht="15" x14ac:dyDescent="0.25">
      <c r="A697" s="170"/>
      <c r="B697" s="719"/>
      <c r="C697" s="170"/>
      <c r="D697" s="170"/>
      <c r="E697" s="170"/>
      <c r="F697" s="170"/>
      <c r="G697" s="721"/>
      <c r="H697" s="170"/>
      <c r="I697" s="170"/>
      <c r="J697" s="170"/>
      <c r="K697" s="170"/>
      <c r="L697" s="170"/>
      <c r="M697" s="730"/>
      <c r="N697" s="730"/>
      <c r="O697" s="730"/>
      <c r="P697" s="731"/>
      <c r="Q697" s="731"/>
      <c r="R697" s="730"/>
      <c r="S697" s="730"/>
      <c r="T697" s="723"/>
      <c r="U697" s="724"/>
      <c r="V697" s="725"/>
      <c r="W697" s="725"/>
      <c r="X697" s="723"/>
      <c r="Y697" s="723"/>
      <c r="Z697" s="723"/>
      <c r="AA697" s="726"/>
      <c r="AB697" s="726"/>
      <c r="AC697" s="170"/>
      <c r="AD697" s="586"/>
      <c r="AE697" s="586"/>
      <c r="AF697" s="170"/>
      <c r="AG697" s="170"/>
      <c r="AH697" s="170"/>
      <c r="AI697" s="170"/>
      <c r="AJ697" s="170"/>
      <c r="AK697" s="170"/>
      <c r="AL697" s="170"/>
      <c r="AM697" s="170"/>
      <c r="AN697" s="170"/>
      <c r="AO697" s="170"/>
      <c r="AP697" s="170"/>
      <c r="AQ697" s="170"/>
      <c r="AR697" s="170"/>
      <c r="AS697" s="170"/>
    </row>
    <row r="698" spans="1:45" ht="15" x14ac:dyDescent="0.25">
      <c r="A698" s="170"/>
      <c r="B698" s="719"/>
      <c r="C698" s="170"/>
      <c r="D698" s="170"/>
      <c r="E698" s="170"/>
      <c r="F698" s="170"/>
      <c r="G698" s="721"/>
      <c r="H698" s="170"/>
      <c r="I698" s="170"/>
      <c r="J698" s="170"/>
      <c r="K698" s="170"/>
      <c r="L698" s="170"/>
      <c r="M698" s="730"/>
      <c r="N698" s="730"/>
      <c r="O698" s="730"/>
      <c r="P698" s="731"/>
      <c r="Q698" s="731"/>
      <c r="R698" s="730"/>
      <c r="S698" s="730"/>
      <c r="T698" s="723"/>
      <c r="U698" s="724"/>
      <c r="V698" s="725"/>
      <c r="W698" s="725"/>
      <c r="X698" s="723"/>
      <c r="Y698" s="723"/>
      <c r="Z698" s="723"/>
      <c r="AA698" s="726"/>
      <c r="AB698" s="726"/>
      <c r="AC698" s="170"/>
      <c r="AD698" s="586"/>
      <c r="AE698" s="586"/>
      <c r="AF698" s="170"/>
      <c r="AG698" s="170"/>
      <c r="AH698" s="170"/>
      <c r="AI698" s="170"/>
      <c r="AJ698" s="170"/>
      <c r="AK698" s="170"/>
      <c r="AL698" s="170"/>
      <c r="AM698" s="170"/>
      <c r="AN698" s="170"/>
      <c r="AO698" s="170"/>
      <c r="AP698" s="170"/>
      <c r="AQ698" s="170"/>
      <c r="AR698" s="170"/>
      <c r="AS698" s="170"/>
    </row>
    <row r="699" spans="1:45" ht="15" x14ac:dyDescent="0.25">
      <c r="A699" s="170"/>
      <c r="B699" s="719"/>
      <c r="C699" s="170"/>
      <c r="D699" s="170"/>
      <c r="E699" s="170"/>
      <c r="F699" s="170"/>
      <c r="G699" s="721"/>
      <c r="H699" s="170"/>
      <c r="I699" s="170"/>
      <c r="J699" s="170"/>
      <c r="K699" s="170"/>
      <c r="L699" s="170"/>
      <c r="M699" s="730"/>
      <c r="N699" s="730"/>
      <c r="O699" s="730"/>
      <c r="P699" s="731"/>
      <c r="Q699" s="731"/>
      <c r="R699" s="730"/>
      <c r="S699" s="730"/>
      <c r="T699" s="723"/>
      <c r="U699" s="724"/>
      <c r="V699" s="725"/>
      <c r="W699" s="725"/>
      <c r="X699" s="723"/>
      <c r="Y699" s="723"/>
      <c r="Z699" s="723"/>
      <c r="AA699" s="726"/>
      <c r="AB699" s="726"/>
      <c r="AC699" s="170"/>
      <c r="AD699" s="586"/>
      <c r="AE699" s="586"/>
      <c r="AF699" s="170"/>
      <c r="AG699" s="170"/>
      <c r="AH699" s="170"/>
      <c r="AI699" s="170"/>
      <c r="AJ699" s="170"/>
      <c r="AK699" s="170"/>
      <c r="AL699" s="170"/>
      <c r="AM699" s="170"/>
      <c r="AN699" s="170"/>
      <c r="AO699" s="170"/>
      <c r="AP699" s="170"/>
      <c r="AQ699" s="170"/>
      <c r="AR699" s="170"/>
      <c r="AS699" s="170"/>
    </row>
    <row r="700" spans="1:45" ht="15" x14ac:dyDescent="0.25">
      <c r="A700" s="170"/>
      <c r="B700" s="719"/>
      <c r="C700" s="170"/>
      <c r="D700" s="170"/>
      <c r="E700" s="170"/>
      <c r="F700" s="170"/>
      <c r="G700" s="721"/>
      <c r="H700" s="170"/>
      <c r="I700" s="170"/>
      <c r="J700" s="170"/>
      <c r="K700" s="170"/>
      <c r="L700" s="170"/>
      <c r="M700" s="730"/>
      <c r="N700" s="730"/>
      <c r="O700" s="730"/>
      <c r="P700" s="731"/>
      <c r="Q700" s="731"/>
      <c r="R700" s="730"/>
      <c r="S700" s="730"/>
      <c r="T700" s="723"/>
      <c r="U700" s="724"/>
      <c r="V700" s="725"/>
      <c r="W700" s="725"/>
      <c r="X700" s="723"/>
      <c r="Y700" s="723"/>
      <c r="Z700" s="723"/>
      <c r="AA700" s="726"/>
      <c r="AB700" s="726"/>
      <c r="AC700" s="170"/>
      <c r="AD700" s="586"/>
      <c r="AE700" s="586"/>
      <c r="AF700" s="170"/>
      <c r="AG700" s="170"/>
      <c r="AH700" s="170"/>
      <c r="AI700" s="170"/>
      <c r="AJ700" s="170"/>
      <c r="AK700" s="170"/>
      <c r="AL700" s="170"/>
      <c r="AM700" s="170"/>
      <c r="AN700" s="170"/>
      <c r="AO700" s="170"/>
      <c r="AP700" s="170"/>
      <c r="AQ700" s="170"/>
      <c r="AR700" s="170"/>
      <c r="AS700" s="170"/>
    </row>
    <row r="701" spans="1:45" ht="15" x14ac:dyDescent="0.25">
      <c r="A701" s="170"/>
      <c r="B701" s="719"/>
      <c r="C701" s="170"/>
      <c r="D701" s="170"/>
      <c r="E701" s="170"/>
      <c r="F701" s="170"/>
      <c r="G701" s="721"/>
      <c r="H701" s="170"/>
      <c r="I701" s="170"/>
      <c r="J701" s="170"/>
      <c r="K701" s="170"/>
      <c r="L701" s="170"/>
      <c r="M701" s="730"/>
      <c r="N701" s="730"/>
      <c r="O701" s="730"/>
      <c r="P701" s="731"/>
      <c r="Q701" s="731"/>
      <c r="R701" s="730"/>
      <c r="S701" s="730"/>
      <c r="T701" s="723"/>
      <c r="U701" s="724"/>
      <c r="V701" s="725"/>
      <c r="W701" s="725"/>
      <c r="X701" s="723"/>
      <c r="Y701" s="723"/>
      <c r="Z701" s="723"/>
      <c r="AA701" s="726"/>
      <c r="AB701" s="726"/>
      <c r="AC701" s="170"/>
      <c r="AD701" s="586"/>
      <c r="AE701" s="586"/>
      <c r="AF701" s="170"/>
      <c r="AG701" s="170"/>
      <c r="AH701" s="170"/>
      <c r="AI701" s="170"/>
      <c r="AJ701" s="170"/>
      <c r="AK701" s="170"/>
      <c r="AL701" s="170"/>
      <c r="AM701" s="170"/>
      <c r="AN701" s="170"/>
      <c r="AO701" s="170"/>
      <c r="AP701" s="170"/>
      <c r="AQ701" s="170"/>
      <c r="AR701" s="170"/>
      <c r="AS701" s="170"/>
    </row>
    <row r="702" spans="1:45" ht="15" x14ac:dyDescent="0.25">
      <c r="A702" s="170"/>
      <c r="B702" s="719"/>
      <c r="C702" s="170"/>
      <c r="D702" s="170"/>
      <c r="E702" s="170"/>
      <c r="F702" s="170"/>
      <c r="G702" s="721"/>
      <c r="H702" s="170"/>
      <c r="I702" s="170"/>
      <c r="J702" s="170"/>
      <c r="K702" s="170"/>
      <c r="L702" s="170"/>
      <c r="M702" s="730"/>
      <c r="N702" s="730"/>
      <c r="O702" s="730"/>
      <c r="P702" s="731"/>
      <c r="Q702" s="731"/>
      <c r="R702" s="730"/>
      <c r="S702" s="730"/>
      <c r="T702" s="723"/>
      <c r="U702" s="724"/>
      <c r="V702" s="725"/>
      <c r="W702" s="725"/>
      <c r="X702" s="723"/>
      <c r="Y702" s="723"/>
      <c r="Z702" s="723"/>
      <c r="AA702" s="726"/>
      <c r="AB702" s="726"/>
      <c r="AC702" s="170"/>
      <c r="AD702" s="586"/>
      <c r="AE702" s="586"/>
      <c r="AF702" s="170"/>
      <c r="AG702" s="170"/>
      <c r="AH702" s="170"/>
      <c r="AI702" s="170"/>
      <c r="AJ702" s="170"/>
      <c r="AK702" s="170"/>
      <c r="AL702" s="170"/>
      <c r="AM702" s="170"/>
      <c r="AN702" s="170"/>
      <c r="AO702" s="170"/>
      <c r="AP702" s="170"/>
      <c r="AQ702" s="170"/>
      <c r="AR702" s="170"/>
      <c r="AS702" s="170"/>
    </row>
    <row r="703" spans="1:45" ht="15" x14ac:dyDescent="0.25">
      <c r="A703" s="170"/>
      <c r="B703" s="719"/>
      <c r="C703" s="170"/>
      <c r="D703" s="170"/>
      <c r="E703" s="170"/>
      <c r="F703" s="170"/>
      <c r="G703" s="721"/>
      <c r="H703" s="170"/>
      <c r="I703" s="170"/>
      <c r="J703" s="170"/>
      <c r="K703" s="170"/>
      <c r="L703" s="170"/>
      <c r="M703" s="730"/>
      <c r="N703" s="730"/>
      <c r="O703" s="730"/>
      <c r="P703" s="731"/>
      <c r="Q703" s="731"/>
      <c r="R703" s="730"/>
      <c r="S703" s="730"/>
      <c r="T703" s="723"/>
      <c r="U703" s="724"/>
      <c r="V703" s="725"/>
      <c r="W703" s="725"/>
      <c r="X703" s="723"/>
      <c r="Y703" s="723"/>
      <c r="Z703" s="723"/>
      <c r="AA703" s="726"/>
      <c r="AB703" s="726"/>
      <c r="AC703" s="170"/>
      <c r="AD703" s="586"/>
      <c r="AE703" s="586"/>
      <c r="AF703" s="170"/>
      <c r="AG703" s="170"/>
      <c r="AH703" s="170"/>
      <c r="AI703" s="170"/>
      <c r="AJ703" s="170"/>
      <c r="AK703" s="170"/>
      <c r="AL703" s="170"/>
      <c r="AM703" s="170"/>
      <c r="AN703" s="170"/>
      <c r="AO703" s="170"/>
      <c r="AP703" s="170"/>
      <c r="AQ703" s="170"/>
      <c r="AR703" s="170"/>
      <c r="AS703" s="170"/>
    </row>
    <row r="704" spans="1:45" ht="15" x14ac:dyDescent="0.25">
      <c r="A704" s="170"/>
      <c r="B704" s="719"/>
      <c r="C704" s="170"/>
      <c r="D704" s="170"/>
      <c r="E704" s="170"/>
      <c r="F704" s="170"/>
      <c r="G704" s="721"/>
      <c r="H704" s="170"/>
      <c r="I704" s="170"/>
      <c r="J704" s="170"/>
      <c r="K704" s="170"/>
      <c r="L704" s="170"/>
      <c r="M704" s="730"/>
      <c r="N704" s="730"/>
      <c r="O704" s="730"/>
      <c r="P704" s="731"/>
      <c r="Q704" s="731"/>
      <c r="R704" s="730"/>
      <c r="S704" s="730"/>
      <c r="T704" s="723"/>
      <c r="U704" s="724"/>
      <c r="V704" s="725"/>
      <c r="W704" s="725"/>
      <c r="X704" s="723"/>
      <c r="Y704" s="723"/>
      <c r="Z704" s="723"/>
      <c r="AA704" s="726"/>
      <c r="AB704" s="726"/>
      <c r="AC704" s="170"/>
      <c r="AD704" s="586"/>
      <c r="AE704" s="586"/>
      <c r="AF704" s="170"/>
      <c r="AG704" s="170"/>
      <c r="AH704" s="170"/>
      <c r="AI704" s="170"/>
      <c r="AJ704" s="170"/>
      <c r="AK704" s="170"/>
      <c r="AL704" s="170"/>
      <c r="AM704" s="170"/>
      <c r="AN704" s="170"/>
      <c r="AO704" s="170"/>
      <c r="AP704" s="170"/>
      <c r="AQ704" s="170"/>
      <c r="AR704" s="170"/>
      <c r="AS704" s="170"/>
    </row>
    <row r="705" spans="1:45" ht="15" x14ac:dyDescent="0.25">
      <c r="A705" s="170"/>
      <c r="B705" s="719"/>
      <c r="C705" s="170"/>
      <c r="D705" s="170"/>
      <c r="E705" s="170"/>
      <c r="F705" s="170"/>
      <c r="G705" s="721"/>
      <c r="H705" s="170"/>
      <c r="I705" s="170"/>
      <c r="J705" s="170"/>
      <c r="K705" s="170"/>
      <c r="L705" s="170"/>
      <c r="M705" s="730"/>
      <c r="N705" s="730"/>
      <c r="O705" s="730"/>
      <c r="P705" s="731"/>
      <c r="Q705" s="731"/>
      <c r="R705" s="730"/>
      <c r="S705" s="730"/>
      <c r="T705" s="723"/>
      <c r="U705" s="724"/>
      <c r="V705" s="725"/>
      <c r="W705" s="725"/>
      <c r="X705" s="723"/>
      <c r="Y705" s="723"/>
      <c r="Z705" s="723"/>
      <c r="AA705" s="726"/>
      <c r="AB705" s="726"/>
      <c r="AC705" s="170"/>
      <c r="AD705" s="586"/>
      <c r="AE705" s="586"/>
      <c r="AF705" s="170"/>
      <c r="AG705" s="170"/>
      <c r="AH705" s="170"/>
      <c r="AI705" s="170"/>
      <c r="AJ705" s="170"/>
      <c r="AK705" s="170"/>
      <c r="AL705" s="170"/>
      <c r="AM705" s="170"/>
      <c r="AN705" s="170"/>
      <c r="AO705" s="170"/>
      <c r="AP705" s="170"/>
      <c r="AQ705" s="170"/>
      <c r="AR705" s="170"/>
      <c r="AS705" s="170"/>
    </row>
    <row r="706" spans="1:45" ht="15" x14ac:dyDescent="0.25">
      <c r="A706" s="170"/>
      <c r="B706" s="719"/>
      <c r="C706" s="170"/>
      <c r="D706" s="170"/>
      <c r="E706" s="170"/>
      <c r="F706" s="170"/>
      <c r="G706" s="721"/>
      <c r="H706" s="170"/>
      <c r="I706" s="170"/>
      <c r="J706" s="170"/>
      <c r="K706" s="170"/>
      <c r="L706" s="170"/>
      <c r="M706" s="730"/>
      <c r="N706" s="730"/>
      <c r="O706" s="730"/>
      <c r="P706" s="731"/>
      <c r="Q706" s="731"/>
      <c r="R706" s="730"/>
      <c r="S706" s="730"/>
      <c r="T706" s="723"/>
      <c r="U706" s="724"/>
      <c r="V706" s="725"/>
      <c r="W706" s="725"/>
      <c r="X706" s="723"/>
      <c r="Y706" s="723"/>
      <c r="Z706" s="723"/>
      <c r="AA706" s="726"/>
      <c r="AB706" s="726"/>
      <c r="AC706" s="170"/>
      <c r="AD706" s="586"/>
      <c r="AE706" s="586"/>
      <c r="AF706" s="170"/>
      <c r="AG706" s="170"/>
      <c r="AH706" s="170"/>
      <c r="AI706" s="170"/>
      <c r="AJ706" s="170"/>
      <c r="AK706" s="170"/>
      <c r="AL706" s="170"/>
      <c r="AM706" s="170"/>
      <c r="AN706" s="170"/>
      <c r="AO706" s="170"/>
      <c r="AP706" s="170"/>
      <c r="AQ706" s="170"/>
      <c r="AR706" s="170"/>
      <c r="AS706" s="170"/>
    </row>
    <row r="707" spans="1:45" ht="15" x14ac:dyDescent="0.25">
      <c r="A707" s="170"/>
      <c r="B707" s="719"/>
      <c r="C707" s="170"/>
      <c r="D707" s="170"/>
      <c r="E707" s="170"/>
      <c r="F707" s="170"/>
      <c r="G707" s="721"/>
      <c r="H707" s="170"/>
      <c r="I707" s="170"/>
      <c r="J707" s="170"/>
      <c r="K707" s="170"/>
      <c r="L707" s="170"/>
      <c r="M707" s="730"/>
      <c r="N707" s="730"/>
      <c r="O707" s="730"/>
      <c r="P707" s="731"/>
      <c r="Q707" s="731"/>
      <c r="R707" s="730"/>
      <c r="S707" s="730"/>
      <c r="T707" s="723"/>
      <c r="U707" s="724"/>
      <c r="V707" s="725"/>
      <c r="W707" s="725"/>
      <c r="X707" s="723"/>
      <c r="Y707" s="723"/>
      <c r="Z707" s="723"/>
      <c r="AA707" s="726"/>
      <c r="AB707" s="726"/>
      <c r="AC707" s="170"/>
      <c r="AD707" s="586"/>
      <c r="AE707" s="586"/>
      <c r="AF707" s="170"/>
      <c r="AG707" s="170"/>
      <c r="AH707" s="170"/>
      <c r="AI707" s="170"/>
      <c r="AJ707" s="170"/>
      <c r="AK707" s="170"/>
      <c r="AL707" s="170"/>
      <c r="AM707" s="170"/>
      <c r="AN707" s="170"/>
      <c r="AO707" s="170"/>
      <c r="AP707" s="170"/>
      <c r="AQ707" s="170"/>
      <c r="AR707" s="170"/>
      <c r="AS707" s="170"/>
    </row>
    <row r="708" spans="1:45" ht="15" x14ac:dyDescent="0.25">
      <c r="A708" s="170"/>
      <c r="B708" s="719"/>
      <c r="C708" s="170"/>
      <c r="D708" s="170"/>
      <c r="E708" s="170"/>
      <c r="F708" s="170"/>
      <c r="G708" s="721"/>
      <c r="H708" s="170"/>
      <c r="I708" s="170"/>
      <c r="J708" s="170"/>
      <c r="K708" s="170"/>
      <c r="L708" s="170"/>
      <c r="M708" s="730"/>
      <c r="N708" s="730"/>
      <c r="O708" s="730"/>
      <c r="P708" s="731"/>
      <c r="Q708" s="731"/>
      <c r="R708" s="730"/>
      <c r="S708" s="730"/>
      <c r="T708" s="723"/>
      <c r="U708" s="724"/>
      <c r="V708" s="725"/>
      <c r="W708" s="725"/>
      <c r="X708" s="723"/>
      <c r="Y708" s="723"/>
      <c r="Z708" s="723"/>
      <c r="AA708" s="726"/>
      <c r="AB708" s="726"/>
      <c r="AC708" s="170"/>
      <c r="AD708" s="586"/>
      <c r="AE708" s="586"/>
      <c r="AF708" s="170"/>
      <c r="AG708" s="170"/>
      <c r="AH708" s="170"/>
      <c r="AI708" s="170"/>
      <c r="AJ708" s="170"/>
      <c r="AK708" s="170"/>
      <c r="AL708" s="170"/>
      <c r="AM708" s="170"/>
      <c r="AN708" s="170"/>
      <c r="AO708" s="170"/>
      <c r="AP708" s="170"/>
      <c r="AQ708" s="170"/>
      <c r="AR708" s="170"/>
      <c r="AS708" s="170"/>
    </row>
    <row r="709" spans="1:45" ht="15" x14ac:dyDescent="0.25">
      <c r="A709" s="170"/>
      <c r="B709" s="719"/>
      <c r="C709" s="170"/>
      <c r="D709" s="170"/>
      <c r="E709" s="170"/>
      <c r="F709" s="170"/>
      <c r="G709" s="721"/>
      <c r="H709" s="170"/>
      <c r="I709" s="170"/>
      <c r="J709" s="170"/>
      <c r="K709" s="170"/>
      <c r="L709" s="170"/>
      <c r="M709" s="730"/>
      <c r="N709" s="730"/>
      <c r="O709" s="730"/>
      <c r="P709" s="731"/>
      <c r="Q709" s="731"/>
      <c r="R709" s="730"/>
      <c r="S709" s="730"/>
      <c r="T709" s="723"/>
      <c r="U709" s="724"/>
      <c r="V709" s="725"/>
      <c r="W709" s="725"/>
      <c r="X709" s="723"/>
      <c r="Y709" s="723"/>
      <c r="Z709" s="723"/>
      <c r="AA709" s="726"/>
      <c r="AB709" s="726"/>
      <c r="AC709" s="170"/>
      <c r="AD709" s="586"/>
      <c r="AE709" s="586"/>
      <c r="AF709" s="170"/>
      <c r="AG709" s="170"/>
      <c r="AH709" s="170"/>
      <c r="AI709" s="170"/>
      <c r="AJ709" s="170"/>
      <c r="AK709" s="170"/>
      <c r="AL709" s="170"/>
      <c r="AM709" s="170"/>
      <c r="AN709" s="170"/>
      <c r="AO709" s="170"/>
      <c r="AP709" s="170"/>
      <c r="AQ709" s="170"/>
      <c r="AR709" s="170"/>
      <c r="AS709" s="170"/>
    </row>
    <row r="710" spans="1:45" ht="15" x14ac:dyDescent="0.25">
      <c r="A710" s="170"/>
      <c r="B710" s="719"/>
      <c r="C710" s="170"/>
      <c r="D710" s="170"/>
      <c r="E710" s="170"/>
      <c r="F710" s="170"/>
      <c r="G710" s="721"/>
      <c r="H710" s="170"/>
      <c r="I710" s="170"/>
      <c r="J710" s="170"/>
      <c r="K710" s="170"/>
      <c r="L710" s="170"/>
      <c r="M710" s="730"/>
      <c r="N710" s="730"/>
      <c r="O710" s="730"/>
      <c r="P710" s="731"/>
      <c r="Q710" s="731"/>
      <c r="R710" s="730"/>
      <c r="S710" s="730"/>
      <c r="T710" s="723"/>
      <c r="U710" s="724"/>
      <c r="V710" s="725"/>
      <c r="W710" s="725"/>
      <c r="X710" s="723"/>
      <c r="Y710" s="723"/>
      <c r="Z710" s="723"/>
      <c r="AA710" s="726"/>
      <c r="AB710" s="726"/>
      <c r="AC710" s="170"/>
      <c r="AD710" s="586"/>
      <c r="AE710" s="586"/>
      <c r="AF710" s="170"/>
      <c r="AG710" s="170"/>
      <c r="AH710" s="170"/>
      <c r="AI710" s="170"/>
      <c r="AJ710" s="170"/>
      <c r="AK710" s="170"/>
      <c r="AL710" s="170"/>
      <c r="AM710" s="170"/>
      <c r="AN710" s="170"/>
      <c r="AO710" s="170"/>
      <c r="AP710" s="170"/>
      <c r="AQ710" s="170"/>
      <c r="AR710" s="170"/>
      <c r="AS710" s="170"/>
    </row>
    <row r="711" spans="1:45" ht="15" x14ac:dyDescent="0.25">
      <c r="A711" s="170"/>
      <c r="B711" s="719"/>
      <c r="C711" s="170"/>
      <c r="D711" s="170"/>
      <c r="E711" s="170"/>
      <c r="F711" s="170"/>
      <c r="G711" s="721"/>
      <c r="H711" s="170"/>
      <c r="I711" s="170"/>
      <c r="J711" s="170"/>
      <c r="K711" s="170"/>
      <c r="L711" s="170"/>
      <c r="M711" s="730"/>
      <c r="N711" s="730"/>
      <c r="O711" s="730"/>
      <c r="P711" s="731"/>
      <c r="Q711" s="731"/>
      <c r="R711" s="730"/>
      <c r="S711" s="730"/>
      <c r="T711" s="723"/>
      <c r="U711" s="724"/>
      <c r="V711" s="725"/>
      <c r="W711" s="725"/>
      <c r="X711" s="723"/>
      <c r="Y711" s="723"/>
      <c r="Z711" s="723"/>
      <c r="AA711" s="726"/>
      <c r="AB711" s="726"/>
      <c r="AC711" s="170"/>
      <c r="AD711" s="586"/>
      <c r="AE711" s="586"/>
      <c r="AF711" s="170"/>
      <c r="AG711" s="170"/>
      <c r="AH711" s="170"/>
      <c r="AI711" s="170"/>
      <c r="AJ711" s="170"/>
      <c r="AK711" s="170"/>
      <c r="AL711" s="170"/>
      <c r="AM711" s="170"/>
      <c r="AN711" s="170"/>
      <c r="AO711" s="170"/>
      <c r="AP711" s="170"/>
      <c r="AQ711" s="170"/>
      <c r="AR711" s="170"/>
      <c r="AS711" s="170"/>
    </row>
    <row r="712" spans="1:45" ht="15" x14ac:dyDescent="0.25">
      <c r="A712" s="170"/>
      <c r="B712" s="719"/>
      <c r="C712" s="170"/>
      <c r="D712" s="170"/>
      <c r="E712" s="170"/>
      <c r="F712" s="170"/>
      <c r="G712" s="721"/>
      <c r="H712" s="170"/>
      <c r="I712" s="170"/>
      <c r="J712" s="170"/>
      <c r="K712" s="170"/>
      <c r="L712" s="170"/>
      <c r="M712" s="730"/>
      <c r="N712" s="730"/>
      <c r="O712" s="730"/>
      <c r="P712" s="731"/>
      <c r="Q712" s="731"/>
      <c r="R712" s="730"/>
      <c r="S712" s="730"/>
      <c r="T712" s="723"/>
      <c r="U712" s="724"/>
      <c r="V712" s="725"/>
      <c r="W712" s="725"/>
      <c r="X712" s="723"/>
      <c r="Y712" s="723"/>
      <c r="Z712" s="723"/>
      <c r="AA712" s="726"/>
      <c r="AB712" s="726"/>
      <c r="AC712" s="170"/>
      <c r="AD712" s="586"/>
      <c r="AE712" s="586"/>
      <c r="AF712" s="170"/>
      <c r="AG712" s="170"/>
      <c r="AH712" s="170"/>
      <c r="AI712" s="170"/>
      <c r="AJ712" s="170"/>
      <c r="AK712" s="170"/>
      <c r="AL712" s="170"/>
      <c r="AM712" s="170"/>
      <c r="AN712" s="170"/>
      <c r="AO712" s="170"/>
      <c r="AP712" s="170"/>
      <c r="AQ712" s="170"/>
      <c r="AR712" s="170"/>
      <c r="AS712" s="170"/>
    </row>
    <row r="713" spans="1:45" ht="15" x14ac:dyDescent="0.25">
      <c r="A713" s="170"/>
      <c r="B713" s="719"/>
      <c r="C713" s="170"/>
      <c r="D713" s="170"/>
      <c r="E713" s="170"/>
      <c r="F713" s="170"/>
      <c r="G713" s="721"/>
      <c r="H713" s="170"/>
      <c r="I713" s="170"/>
      <c r="J713" s="170"/>
      <c r="K713" s="170"/>
      <c r="L713" s="170"/>
      <c r="M713" s="730"/>
      <c r="N713" s="730"/>
      <c r="O713" s="730"/>
      <c r="P713" s="731"/>
      <c r="Q713" s="731"/>
      <c r="R713" s="730"/>
      <c r="S713" s="730"/>
      <c r="T713" s="723"/>
      <c r="U713" s="724"/>
      <c r="V713" s="725"/>
      <c r="W713" s="725"/>
      <c r="X713" s="723"/>
      <c r="Y713" s="723"/>
      <c r="Z713" s="723"/>
      <c r="AA713" s="726"/>
      <c r="AB713" s="726"/>
      <c r="AC713" s="170"/>
      <c r="AD713" s="586"/>
      <c r="AE713" s="586"/>
      <c r="AF713" s="170"/>
      <c r="AG713" s="170"/>
      <c r="AH713" s="170"/>
      <c r="AI713" s="170"/>
      <c r="AJ713" s="170"/>
      <c r="AK713" s="170"/>
      <c r="AL713" s="170"/>
      <c r="AM713" s="170"/>
      <c r="AN713" s="170"/>
      <c r="AO713" s="170"/>
      <c r="AP713" s="170"/>
      <c r="AQ713" s="170"/>
      <c r="AR713" s="170"/>
      <c r="AS713" s="170"/>
    </row>
    <row r="714" spans="1:45" ht="15" x14ac:dyDescent="0.25">
      <c r="A714" s="170"/>
      <c r="B714" s="719"/>
      <c r="C714" s="170"/>
      <c r="D714" s="170"/>
      <c r="E714" s="170"/>
      <c r="F714" s="170"/>
      <c r="G714" s="721"/>
      <c r="H714" s="170"/>
      <c r="I714" s="170"/>
      <c r="J714" s="170"/>
      <c r="K714" s="170"/>
      <c r="L714" s="170"/>
      <c r="M714" s="730"/>
      <c r="N714" s="730"/>
      <c r="O714" s="730"/>
      <c r="P714" s="731"/>
      <c r="Q714" s="731"/>
      <c r="R714" s="730"/>
      <c r="S714" s="730"/>
      <c r="T714" s="723"/>
      <c r="U714" s="724"/>
      <c r="V714" s="725"/>
      <c r="W714" s="725"/>
      <c r="X714" s="723"/>
      <c r="Y714" s="723"/>
      <c r="Z714" s="723"/>
      <c r="AA714" s="726"/>
      <c r="AB714" s="726"/>
      <c r="AC714" s="170"/>
      <c r="AD714" s="586"/>
      <c r="AE714" s="586"/>
      <c r="AF714" s="170"/>
      <c r="AG714" s="170"/>
      <c r="AH714" s="170"/>
      <c r="AI714" s="170"/>
      <c r="AJ714" s="170"/>
      <c r="AK714" s="170"/>
      <c r="AL714" s="170"/>
      <c r="AM714" s="170"/>
      <c r="AN714" s="170"/>
      <c r="AO714" s="170"/>
      <c r="AP714" s="170"/>
      <c r="AQ714" s="170"/>
      <c r="AR714" s="170"/>
      <c r="AS714" s="170"/>
    </row>
    <row r="715" spans="1:45" ht="15" x14ac:dyDescent="0.25">
      <c r="A715" s="170"/>
      <c r="B715" s="719"/>
      <c r="C715" s="170"/>
      <c r="D715" s="170"/>
      <c r="E715" s="170"/>
      <c r="F715" s="170"/>
      <c r="G715" s="721"/>
      <c r="H715" s="170"/>
      <c r="I715" s="170"/>
      <c r="J715" s="170"/>
      <c r="K715" s="170"/>
      <c r="L715" s="170"/>
      <c r="M715" s="730"/>
      <c r="N715" s="730"/>
      <c r="O715" s="730"/>
      <c r="P715" s="731"/>
      <c r="Q715" s="731"/>
      <c r="R715" s="730"/>
      <c r="S715" s="730"/>
      <c r="T715" s="723"/>
      <c r="U715" s="724"/>
      <c r="V715" s="725"/>
      <c r="W715" s="725"/>
      <c r="X715" s="723"/>
      <c r="Y715" s="723"/>
      <c r="Z715" s="723"/>
      <c r="AA715" s="726"/>
      <c r="AB715" s="726"/>
      <c r="AC715" s="170"/>
      <c r="AD715" s="586"/>
      <c r="AE715" s="586"/>
      <c r="AF715" s="170"/>
      <c r="AG715" s="170"/>
      <c r="AH715" s="170"/>
      <c r="AI715" s="170"/>
      <c r="AJ715" s="170"/>
      <c r="AK715" s="170"/>
      <c r="AL715" s="170"/>
      <c r="AM715" s="170"/>
      <c r="AN715" s="170"/>
      <c r="AO715" s="170"/>
      <c r="AP715" s="170"/>
      <c r="AQ715" s="170"/>
      <c r="AR715" s="170"/>
      <c r="AS715" s="170"/>
    </row>
    <row r="716" spans="1:45" ht="15" x14ac:dyDescent="0.25">
      <c r="A716" s="170"/>
      <c r="B716" s="719"/>
      <c r="C716" s="170"/>
      <c r="D716" s="170"/>
      <c r="E716" s="170"/>
      <c r="F716" s="170"/>
      <c r="G716" s="721"/>
      <c r="H716" s="170"/>
      <c r="I716" s="170"/>
      <c r="J716" s="170"/>
      <c r="K716" s="170"/>
      <c r="L716" s="170"/>
      <c r="M716" s="730"/>
      <c r="N716" s="730"/>
      <c r="O716" s="730"/>
      <c r="P716" s="731"/>
      <c r="Q716" s="731"/>
      <c r="R716" s="730"/>
      <c r="S716" s="730"/>
      <c r="T716" s="723"/>
      <c r="U716" s="724"/>
      <c r="V716" s="725"/>
      <c r="W716" s="725"/>
      <c r="X716" s="723"/>
      <c r="Y716" s="723"/>
      <c r="Z716" s="723"/>
      <c r="AA716" s="726"/>
      <c r="AB716" s="726"/>
      <c r="AC716" s="170"/>
      <c r="AD716" s="586"/>
      <c r="AE716" s="586"/>
      <c r="AF716" s="170"/>
      <c r="AG716" s="170"/>
      <c r="AH716" s="170"/>
      <c r="AI716" s="170"/>
      <c r="AJ716" s="170"/>
      <c r="AK716" s="170"/>
      <c r="AL716" s="170"/>
      <c r="AM716" s="170"/>
      <c r="AN716" s="170"/>
      <c r="AO716" s="170"/>
      <c r="AP716" s="170"/>
      <c r="AQ716" s="170"/>
      <c r="AR716" s="170"/>
      <c r="AS716" s="170"/>
    </row>
    <row r="717" spans="1:45" ht="15" x14ac:dyDescent="0.25">
      <c r="A717" s="170"/>
      <c r="B717" s="719"/>
      <c r="C717" s="170"/>
      <c r="D717" s="170"/>
      <c r="E717" s="170"/>
      <c r="F717" s="170"/>
      <c r="G717" s="721"/>
      <c r="H717" s="170"/>
      <c r="I717" s="170"/>
      <c r="J717" s="170"/>
      <c r="K717" s="170"/>
      <c r="L717" s="170"/>
      <c r="M717" s="730"/>
      <c r="N717" s="730"/>
      <c r="O717" s="730"/>
      <c r="P717" s="731"/>
      <c r="Q717" s="731"/>
      <c r="R717" s="730"/>
      <c r="S717" s="730"/>
      <c r="T717" s="723"/>
      <c r="U717" s="724"/>
      <c r="V717" s="725"/>
      <c r="W717" s="725"/>
      <c r="X717" s="723"/>
      <c r="Y717" s="723"/>
      <c r="Z717" s="723"/>
      <c r="AA717" s="726"/>
      <c r="AB717" s="726"/>
      <c r="AC717" s="170"/>
      <c r="AD717" s="586"/>
      <c r="AE717" s="586"/>
      <c r="AF717" s="170"/>
      <c r="AG717" s="170"/>
      <c r="AH717" s="170"/>
      <c r="AI717" s="170"/>
      <c r="AJ717" s="170"/>
      <c r="AK717" s="170"/>
      <c r="AL717" s="170"/>
      <c r="AM717" s="170"/>
      <c r="AN717" s="170"/>
      <c r="AO717" s="170"/>
      <c r="AP717" s="170"/>
      <c r="AQ717" s="170"/>
      <c r="AR717" s="170"/>
      <c r="AS717" s="170"/>
    </row>
    <row r="718" spans="1:45" ht="15" x14ac:dyDescent="0.25">
      <c r="A718" s="170"/>
      <c r="B718" s="719"/>
      <c r="C718" s="170"/>
      <c r="D718" s="170"/>
      <c r="E718" s="170"/>
      <c r="F718" s="170"/>
      <c r="G718" s="721"/>
      <c r="H718" s="170"/>
      <c r="I718" s="170"/>
      <c r="J718" s="170"/>
      <c r="K718" s="170"/>
      <c r="L718" s="170"/>
      <c r="M718" s="730"/>
      <c r="N718" s="730"/>
      <c r="O718" s="730"/>
      <c r="P718" s="731"/>
      <c r="Q718" s="731"/>
      <c r="R718" s="730"/>
      <c r="S718" s="730"/>
      <c r="T718" s="723"/>
      <c r="U718" s="724"/>
      <c r="V718" s="725"/>
      <c r="W718" s="725"/>
      <c r="X718" s="723"/>
      <c r="Y718" s="723"/>
      <c r="Z718" s="723"/>
      <c r="AA718" s="726"/>
      <c r="AB718" s="726"/>
      <c r="AC718" s="170"/>
      <c r="AD718" s="586"/>
      <c r="AE718" s="586"/>
      <c r="AF718" s="170"/>
      <c r="AG718" s="170"/>
      <c r="AH718" s="170"/>
      <c r="AI718" s="170"/>
      <c r="AJ718" s="170"/>
      <c r="AK718" s="170"/>
      <c r="AL718" s="170"/>
      <c r="AM718" s="170"/>
      <c r="AN718" s="170"/>
      <c r="AO718" s="170"/>
      <c r="AP718" s="170"/>
      <c r="AQ718" s="170"/>
      <c r="AR718" s="170"/>
      <c r="AS718" s="170"/>
    </row>
    <row r="719" spans="1:45" ht="15" x14ac:dyDescent="0.25">
      <c r="A719" s="170"/>
      <c r="B719" s="719"/>
      <c r="C719" s="170"/>
      <c r="D719" s="170"/>
      <c r="E719" s="170"/>
      <c r="F719" s="170"/>
      <c r="G719" s="721"/>
      <c r="H719" s="170"/>
      <c r="I719" s="170"/>
      <c r="J719" s="170"/>
      <c r="K719" s="170"/>
      <c r="L719" s="170"/>
      <c r="M719" s="730"/>
      <c r="N719" s="730"/>
      <c r="O719" s="730"/>
      <c r="P719" s="731"/>
      <c r="Q719" s="731"/>
      <c r="R719" s="730"/>
      <c r="S719" s="730"/>
      <c r="T719" s="723"/>
      <c r="U719" s="724"/>
      <c r="V719" s="725"/>
      <c r="W719" s="725"/>
      <c r="X719" s="723"/>
      <c r="Y719" s="723"/>
      <c r="Z719" s="723"/>
      <c r="AA719" s="726"/>
      <c r="AB719" s="726"/>
      <c r="AC719" s="170"/>
      <c r="AD719" s="586"/>
      <c r="AE719" s="586"/>
      <c r="AF719" s="170"/>
      <c r="AG719" s="170"/>
      <c r="AH719" s="170"/>
      <c r="AI719" s="170"/>
      <c r="AJ719" s="170"/>
      <c r="AK719" s="170"/>
      <c r="AL719" s="170"/>
      <c r="AM719" s="170"/>
      <c r="AN719" s="170"/>
      <c r="AO719" s="170"/>
      <c r="AP719" s="170"/>
      <c r="AQ719" s="170"/>
      <c r="AR719" s="170"/>
      <c r="AS719" s="170"/>
    </row>
    <row r="720" spans="1:45" ht="15" x14ac:dyDescent="0.25">
      <c r="A720" s="170"/>
      <c r="B720" s="719"/>
      <c r="C720" s="170"/>
      <c r="D720" s="170"/>
      <c r="E720" s="170"/>
      <c r="F720" s="170"/>
      <c r="G720" s="721"/>
      <c r="H720" s="170"/>
      <c r="I720" s="170"/>
      <c r="J720" s="170"/>
      <c r="K720" s="170"/>
      <c r="L720" s="170"/>
      <c r="M720" s="730"/>
      <c r="N720" s="730"/>
      <c r="O720" s="730"/>
      <c r="P720" s="731"/>
      <c r="Q720" s="731"/>
      <c r="R720" s="730"/>
      <c r="S720" s="730"/>
      <c r="T720" s="723"/>
      <c r="U720" s="724"/>
      <c r="V720" s="725"/>
      <c r="W720" s="725"/>
      <c r="X720" s="723"/>
      <c r="Y720" s="723"/>
      <c r="Z720" s="723"/>
      <c r="AA720" s="726"/>
      <c r="AB720" s="726"/>
      <c r="AC720" s="170"/>
      <c r="AD720" s="586"/>
      <c r="AE720" s="586"/>
      <c r="AF720" s="170"/>
      <c r="AG720" s="170"/>
      <c r="AH720" s="170"/>
      <c r="AI720" s="170"/>
      <c r="AJ720" s="170"/>
      <c r="AK720" s="170"/>
      <c r="AL720" s="170"/>
      <c r="AM720" s="170"/>
      <c r="AN720" s="170"/>
      <c r="AO720" s="170"/>
      <c r="AP720" s="170"/>
      <c r="AQ720" s="170"/>
      <c r="AR720" s="170"/>
      <c r="AS720" s="170"/>
    </row>
    <row r="721" spans="1:45" ht="15" x14ac:dyDescent="0.25">
      <c r="A721" s="170"/>
      <c r="B721" s="719"/>
      <c r="C721" s="170"/>
      <c r="D721" s="170"/>
      <c r="E721" s="170"/>
      <c r="F721" s="170"/>
      <c r="G721" s="721"/>
      <c r="H721" s="170"/>
      <c r="I721" s="170"/>
      <c r="J721" s="170"/>
      <c r="K721" s="170"/>
      <c r="L721" s="170"/>
      <c r="M721" s="730"/>
      <c r="N721" s="730"/>
      <c r="O721" s="730"/>
      <c r="P721" s="731"/>
      <c r="Q721" s="731"/>
      <c r="R721" s="730"/>
      <c r="S721" s="730"/>
      <c r="T721" s="723"/>
      <c r="U721" s="724"/>
      <c r="V721" s="725"/>
      <c r="W721" s="725"/>
      <c r="X721" s="723"/>
      <c r="Y721" s="723"/>
      <c r="Z721" s="723"/>
      <c r="AA721" s="726"/>
      <c r="AB721" s="726"/>
      <c r="AC721" s="170"/>
      <c r="AD721" s="586"/>
      <c r="AE721" s="586"/>
      <c r="AF721" s="170"/>
      <c r="AG721" s="170"/>
      <c r="AH721" s="170"/>
      <c r="AI721" s="170"/>
      <c r="AJ721" s="170"/>
      <c r="AK721" s="170"/>
      <c r="AL721" s="170"/>
      <c r="AM721" s="170"/>
      <c r="AN721" s="170"/>
      <c r="AO721" s="170"/>
      <c r="AP721" s="170"/>
      <c r="AQ721" s="170"/>
      <c r="AR721" s="170"/>
      <c r="AS721" s="170"/>
    </row>
    <row r="722" spans="1:45" ht="15" x14ac:dyDescent="0.25">
      <c r="A722" s="170"/>
      <c r="B722" s="719"/>
      <c r="C722" s="170"/>
      <c r="D722" s="170"/>
      <c r="E722" s="170"/>
      <c r="F722" s="170"/>
      <c r="G722" s="721"/>
      <c r="H722" s="170"/>
      <c r="I722" s="170"/>
      <c r="J722" s="170"/>
      <c r="K722" s="170"/>
      <c r="L722" s="170"/>
      <c r="M722" s="730"/>
      <c r="N722" s="730"/>
      <c r="O722" s="730"/>
      <c r="P722" s="731"/>
      <c r="Q722" s="731"/>
      <c r="R722" s="730"/>
      <c r="S722" s="730"/>
      <c r="T722" s="723"/>
      <c r="U722" s="724"/>
      <c r="V722" s="725"/>
      <c r="W722" s="725"/>
      <c r="X722" s="723"/>
      <c r="Y722" s="723"/>
      <c r="Z722" s="723"/>
      <c r="AA722" s="726"/>
      <c r="AB722" s="726"/>
      <c r="AC722" s="170"/>
      <c r="AD722" s="586"/>
      <c r="AE722" s="586"/>
      <c r="AF722" s="170"/>
      <c r="AG722" s="170"/>
      <c r="AH722" s="170"/>
      <c r="AI722" s="170"/>
      <c r="AJ722" s="170"/>
      <c r="AK722" s="170"/>
      <c r="AL722" s="170"/>
      <c r="AM722" s="170"/>
      <c r="AN722" s="170"/>
      <c r="AO722" s="170"/>
      <c r="AP722" s="170"/>
      <c r="AQ722" s="170"/>
      <c r="AR722" s="170"/>
      <c r="AS722" s="170"/>
    </row>
    <row r="723" spans="1:45" ht="15" x14ac:dyDescent="0.25">
      <c r="A723" s="170"/>
      <c r="B723" s="719"/>
      <c r="C723" s="170"/>
      <c r="D723" s="170"/>
      <c r="E723" s="170"/>
      <c r="F723" s="170"/>
      <c r="G723" s="721"/>
      <c r="H723" s="170"/>
      <c r="I723" s="170"/>
      <c r="J723" s="170"/>
      <c r="K723" s="170"/>
      <c r="L723" s="170"/>
      <c r="M723" s="730"/>
      <c r="N723" s="730"/>
      <c r="O723" s="730"/>
      <c r="P723" s="731"/>
      <c r="Q723" s="731"/>
      <c r="R723" s="730"/>
      <c r="S723" s="730"/>
      <c r="T723" s="723"/>
      <c r="U723" s="724"/>
      <c r="V723" s="725"/>
      <c r="W723" s="725"/>
      <c r="X723" s="723"/>
      <c r="Y723" s="723"/>
      <c r="Z723" s="723"/>
      <c r="AA723" s="726"/>
      <c r="AB723" s="726"/>
      <c r="AC723" s="170"/>
      <c r="AD723" s="586"/>
      <c r="AE723" s="586"/>
      <c r="AF723" s="170"/>
      <c r="AG723" s="170"/>
      <c r="AH723" s="170"/>
      <c r="AI723" s="170"/>
      <c r="AJ723" s="170"/>
      <c r="AK723" s="170"/>
      <c r="AL723" s="170"/>
      <c r="AM723" s="170"/>
      <c r="AN723" s="170"/>
      <c r="AO723" s="170"/>
      <c r="AP723" s="170"/>
      <c r="AQ723" s="170"/>
      <c r="AR723" s="170"/>
      <c r="AS723" s="170"/>
    </row>
    <row r="724" spans="1:45" ht="15" x14ac:dyDescent="0.25">
      <c r="A724" s="170"/>
      <c r="B724" s="719"/>
      <c r="C724" s="170"/>
      <c r="D724" s="170"/>
      <c r="E724" s="170"/>
      <c r="F724" s="170"/>
      <c r="G724" s="721"/>
      <c r="H724" s="170"/>
      <c r="I724" s="170"/>
      <c r="J724" s="170"/>
      <c r="K724" s="170"/>
      <c r="L724" s="170"/>
      <c r="M724" s="730"/>
      <c r="N724" s="730"/>
      <c r="O724" s="730"/>
      <c r="P724" s="731"/>
      <c r="Q724" s="731"/>
      <c r="R724" s="730"/>
      <c r="S724" s="730"/>
      <c r="T724" s="723"/>
      <c r="U724" s="724"/>
      <c r="V724" s="725"/>
      <c r="W724" s="725"/>
      <c r="X724" s="723"/>
      <c r="Y724" s="723"/>
      <c r="Z724" s="723"/>
      <c r="AA724" s="726"/>
      <c r="AB724" s="726"/>
      <c r="AC724" s="170"/>
      <c r="AD724" s="586"/>
      <c r="AE724" s="586"/>
      <c r="AF724" s="170"/>
      <c r="AG724" s="170"/>
      <c r="AH724" s="170"/>
      <c r="AI724" s="170"/>
      <c r="AJ724" s="170"/>
      <c r="AK724" s="170"/>
      <c r="AL724" s="170"/>
      <c r="AM724" s="170"/>
      <c r="AN724" s="170"/>
      <c r="AO724" s="170"/>
      <c r="AP724" s="170"/>
      <c r="AQ724" s="170"/>
      <c r="AR724" s="170"/>
      <c r="AS724" s="170"/>
    </row>
    <row r="725" spans="1:45" ht="15" x14ac:dyDescent="0.25">
      <c r="A725" s="170"/>
      <c r="B725" s="719"/>
      <c r="C725" s="170"/>
      <c r="D725" s="170"/>
      <c r="E725" s="170"/>
      <c r="F725" s="170"/>
      <c r="G725" s="721"/>
      <c r="H725" s="170"/>
      <c r="I725" s="170"/>
      <c r="J725" s="170"/>
      <c r="K725" s="170"/>
      <c r="L725" s="170"/>
      <c r="M725" s="730"/>
      <c r="N725" s="730"/>
      <c r="O725" s="730"/>
      <c r="P725" s="731"/>
      <c r="Q725" s="731"/>
      <c r="R725" s="730"/>
      <c r="S725" s="730"/>
      <c r="T725" s="723"/>
      <c r="U725" s="724"/>
      <c r="V725" s="725"/>
      <c r="W725" s="725"/>
      <c r="X725" s="723"/>
      <c r="Y725" s="723"/>
      <c r="Z725" s="723"/>
      <c r="AA725" s="726"/>
      <c r="AB725" s="726"/>
      <c r="AC725" s="170"/>
      <c r="AD725" s="586"/>
      <c r="AE725" s="586"/>
      <c r="AF725" s="170"/>
      <c r="AG725" s="170"/>
      <c r="AH725" s="170"/>
      <c r="AI725" s="170"/>
      <c r="AJ725" s="170"/>
      <c r="AK725" s="170"/>
      <c r="AL725" s="170"/>
      <c r="AM725" s="170"/>
      <c r="AN725" s="170"/>
      <c r="AO725" s="170"/>
      <c r="AP725" s="170"/>
      <c r="AQ725" s="170"/>
      <c r="AR725" s="170"/>
      <c r="AS725" s="170"/>
    </row>
    <row r="726" spans="1:45" ht="15" x14ac:dyDescent="0.25">
      <c r="A726" s="170"/>
      <c r="B726" s="719"/>
      <c r="C726" s="170"/>
      <c r="D726" s="170"/>
      <c r="E726" s="170"/>
      <c r="F726" s="170"/>
      <c r="G726" s="721"/>
      <c r="H726" s="170"/>
      <c r="I726" s="170"/>
      <c r="J726" s="170"/>
      <c r="K726" s="170"/>
      <c r="L726" s="170"/>
      <c r="M726" s="730"/>
      <c r="N726" s="730"/>
      <c r="O726" s="730"/>
      <c r="P726" s="731"/>
      <c r="Q726" s="731"/>
      <c r="R726" s="730"/>
      <c r="S726" s="730"/>
      <c r="T726" s="723"/>
      <c r="U726" s="724"/>
      <c r="V726" s="725"/>
      <c r="W726" s="725"/>
      <c r="X726" s="723"/>
      <c r="Y726" s="723"/>
      <c r="Z726" s="723"/>
      <c r="AA726" s="726"/>
      <c r="AB726" s="726"/>
      <c r="AC726" s="170"/>
      <c r="AD726" s="586"/>
      <c r="AE726" s="586"/>
      <c r="AF726" s="170"/>
      <c r="AG726" s="170"/>
      <c r="AH726" s="170"/>
      <c r="AI726" s="170"/>
      <c r="AJ726" s="170"/>
      <c r="AK726" s="170"/>
      <c r="AL726" s="170"/>
      <c r="AM726" s="170"/>
      <c r="AN726" s="170"/>
      <c r="AO726" s="170"/>
      <c r="AP726" s="170"/>
      <c r="AQ726" s="170"/>
      <c r="AR726" s="170"/>
      <c r="AS726" s="170"/>
    </row>
    <row r="727" spans="1:45" ht="15" x14ac:dyDescent="0.25">
      <c r="A727" s="170"/>
      <c r="B727" s="719"/>
      <c r="C727" s="170"/>
      <c r="D727" s="170"/>
      <c r="E727" s="170"/>
      <c r="F727" s="170"/>
      <c r="G727" s="721"/>
      <c r="H727" s="170"/>
      <c r="I727" s="170"/>
      <c r="J727" s="170"/>
      <c r="K727" s="170"/>
      <c r="L727" s="170"/>
      <c r="M727" s="730"/>
      <c r="N727" s="730"/>
      <c r="O727" s="730"/>
      <c r="P727" s="731"/>
      <c r="Q727" s="731"/>
      <c r="R727" s="730"/>
      <c r="S727" s="730"/>
      <c r="T727" s="723"/>
      <c r="U727" s="724"/>
      <c r="V727" s="725"/>
      <c r="W727" s="725"/>
      <c r="X727" s="723"/>
      <c r="Y727" s="723"/>
      <c r="Z727" s="723"/>
      <c r="AA727" s="726"/>
      <c r="AB727" s="726"/>
      <c r="AC727" s="170"/>
      <c r="AD727" s="586"/>
      <c r="AE727" s="586"/>
      <c r="AF727" s="170"/>
      <c r="AG727" s="170"/>
      <c r="AH727" s="170"/>
      <c r="AI727" s="170"/>
      <c r="AJ727" s="170"/>
      <c r="AK727" s="170"/>
      <c r="AL727" s="170"/>
      <c r="AM727" s="170"/>
      <c r="AN727" s="170"/>
      <c r="AO727" s="170"/>
      <c r="AP727" s="170"/>
      <c r="AQ727" s="170"/>
      <c r="AR727" s="170"/>
      <c r="AS727" s="170"/>
    </row>
    <row r="728" spans="1:45" ht="15" x14ac:dyDescent="0.25">
      <c r="A728" s="170"/>
      <c r="B728" s="719"/>
      <c r="C728" s="170"/>
      <c r="D728" s="170"/>
      <c r="E728" s="170"/>
      <c r="F728" s="170"/>
      <c r="G728" s="721"/>
      <c r="H728" s="170"/>
      <c r="I728" s="170"/>
      <c r="J728" s="170"/>
      <c r="K728" s="170"/>
      <c r="L728" s="170"/>
      <c r="M728" s="730"/>
      <c r="N728" s="730"/>
      <c r="O728" s="730"/>
      <c r="P728" s="731"/>
      <c r="Q728" s="731"/>
      <c r="R728" s="730"/>
      <c r="S728" s="730"/>
      <c r="T728" s="723"/>
      <c r="U728" s="724"/>
      <c r="V728" s="725"/>
      <c r="W728" s="725"/>
      <c r="X728" s="723"/>
      <c r="Y728" s="723"/>
      <c r="Z728" s="723"/>
      <c r="AA728" s="726"/>
      <c r="AB728" s="726"/>
      <c r="AC728" s="170"/>
      <c r="AD728" s="586"/>
      <c r="AE728" s="586"/>
      <c r="AF728" s="170"/>
      <c r="AG728" s="170"/>
      <c r="AH728" s="170"/>
      <c r="AI728" s="170"/>
      <c r="AJ728" s="170"/>
      <c r="AK728" s="170"/>
      <c r="AL728" s="170"/>
      <c r="AM728" s="170"/>
      <c r="AN728" s="170"/>
      <c r="AO728" s="170"/>
      <c r="AP728" s="170"/>
      <c r="AQ728" s="170"/>
      <c r="AR728" s="170"/>
      <c r="AS728" s="170"/>
    </row>
    <row r="729" spans="1:45" ht="15" x14ac:dyDescent="0.25">
      <c r="A729" s="170"/>
      <c r="B729" s="719"/>
      <c r="C729" s="170"/>
      <c r="D729" s="170"/>
      <c r="E729" s="170"/>
      <c r="F729" s="170"/>
      <c r="G729" s="721"/>
      <c r="H729" s="170"/>
      <c r="I729" s="170"/>
      <c r="J729" s="170"/>
      <c r="K729" s="170"/>
      <c r="L729" s="170"/>
      <c r="M729" s="730"/>
      <c r="N729" s="730"/>
      <c r="O729" s="730"/>
      <c r="P729" s="731"/>
      <c r="Q729" s="731"/>
      <c r="R729" s="730"/>
      <c r="S729" s="730"/>
      <c r="T729" s="723"/>
      <c r="U729" s="724"/>
      <c r="V729" s="725"/>
      <c r="W729" s="725"/>
      <c r="X729" s="723"/>
      <c r="Y729" s="723"/>
      <c r="Z729" s="723"/>
      <c r="AA729" s="726"/>
      <c r="AB729" s="726"/>
      <c r="AC729" s="170"/>
      <c r="AD729" s="586"/>
      <c r="AE729" s="586"/>
      <c r="AF729" s="170"/>
      <c r="AG729" s="170"/>
      <c r="AH729" s="170"/>
      <c r="AI729" s="170"/>
      <c r="AJ729" s="170"/>
      <c r="AK729" s="170"/>
      <c r="AL729" s="170"/>
      <c r="AM729" s="170"/>
      <c r="AN729" s="170"/>
      <c r="AO729" s="170"/>
      <c r="AP729" s="170"/>
      <c r="AQ729" s="170"/>
      <c r="AR729" s="170"/>
      <c r="AS729" s="170"/>
    </row>
    <row r="730" spans="1:45" ht="15" x14ac:dyDescent="0.25">
      <c r="A730" s="170"/>
      <c r="B730" s="719"/>
      <c r="C730" s="170"/>
      <c r="D730" s="170"/>
      <c r="E730" s="170"/>
      <c r="F730" s="170"/>
      <c r="G730" s="721"/>
      <c r="H730" s="170"/>
      <c r="I730" s="170"/>
      <c r="J730" s="170"/>
      <c r="K730" s="170"/>
      <c r="L730" s="170"/>
      <c r="M730" s="730"/>
      <c r="N730" s="730"/>
      <c r="O730" s="730"/>
      <c r="P730" s="731"/>
      <c r="Q730" s="731"/>
      <c r="R730" s="730"/>
      <c r="S730" s="730"/>
      <c r="T730" s="723"/>
      <c r="U730" s="724"/>
      <c r="V730" s="725"/>
      <c r="W730" s="725"/>
      <c r="X730" s="723"/>
      <c r="Y730" s="723"/>
      <c r="Z730" s="723"/>
      <c r="AA730" s="726"/>
      <c r="AB730" s="726"/>
      <c r="AC730" s="170"/>
      <c r="AD730" s="586"/>
      <c r="AE730" s="586"/>
      <c r="AF730" s="170"/>
      <c r="AG730" s="170"/>
      <c r="AH730" s="170"/>
      <c r="AI730" s="170"/>
      <c r="AJ730" s="170"/>
      <c r="AK730" s="170"/>
      <c r="AL730" s="170"/>
      <c r="AM730" s="170"/>
      <c r="AN730" s="170"/>
      <c r="AO730" s="170"/>
      <c r="AP730" s="170"/>
      <c r="AQ730" s="170"/>
      <c r="AR730" s="170"/>
      <c r="AS730" s="170"/>
    </row>
    <row r="731" spans="1:45" ht="15" x14ac:dyDescent="0.25">
      <c r="A731" s="170"/>
      <c r="B731" s="719"/>
      <c r="C731" s="170"/>
      <c r="D731" s="170"/>
      <c r="E731" s="170"/>
      <c r="F731" s="170"/>
      <c r="G731" s="721"/>
      <c r="H731" s="170"/>
      <c r="I731" s="170"/>
      <c r="J731" s="170"/>
      <c r="K731" s="170"/>
      <c r="L731" s="170"/>
      <c r="M731" s="730"/>
      <c r="N731" s="730"/>
      <c r="O731" s="730"/>
      <c r="P731" s="731"/>
      <c r="Q731" s="731"/>
      <c r="R731" s="730"/>
      <c r="S731" s="730"/>
      <c r="T731" s="723"/>
      <c r="U731" s="724"/>
      <c r="V731" s="725"/>
      <c r="W731" s="725"/>
      <c r="X731" s="723"/>
      <c r="Y731" s="723"/>
      <c r="Z731" s="723"/>
      <c r="AA731" s="726"/>
      <c r="AB731" s="726"/>
      <c r="AC731" s="170"/>
      <c r="AD731" s="586"/>
      <c r="AE731" s="586"/>
      <c r="AF731" s="170"/>
      <c r="AG731" s="170"/>
      <c r="AH731" s="170"/>
      <c r="AI731" s="170"/>
      <c r="AJ731" s="170"/>
      <c r="AK731" s="170"/>
      <c r="AL731" s="170"/>
      <c r="AM731" s="170"/>
      <c r="AN731" s="170"/>
      <c r="AO731" s="170"/>
      <c r="AP731" s="170"/>
      <c r="AQ731" s="170"/>
      <c r="AR731" s="170"/>
      <c r="AS731" s="170"/>
    </row>
    <row r="732" spans="1:45" ht="15" x14ac:dyDescent="0.25">
      <c r="A732" s="170"/>
      <c r="B732" s="719"/>
      <c r="C732" s="170"/>
      <c r="D732" s="170"/>
      <c r="E732" s="170"/>
      <c r="F732" s="170"/>
      <c r="G732" s="721"/>
      <c r="H732" s="170"/>
      <c r="I732" s="170"/>
      <c r="J732" s="170"/>
      <c r="K732" s="170"/>
      <c r="L732" s="170"/>
      <c r="M732" s="730"/>
      <c r="N732" s="730"/>
      <c r="O732" s="730"/>
      <c r="P732" s="731"/>
      <c r="Q732" s="731"/>
      <c r="R732" s="730"/>
      <c r="S732" s="730"/>
      <c r="T732" s="723"/>
      <c r="U732" s="724"/>
      <c r="V732" s="725"/>
      <c r="W732" s="725"/>
      <c r="X732" s="723"/>
      <c r="Y732" s="723"/>
      <c r="Z732" s="723"/>
      <c r="AA732" s="726"/>
      <c r="AB732" s="726"/>
      <c r="AC732" s="170"/>
      <c r="AD732" s="586"/>
      <c r="AE732" s="586"/>
      <c r="AF732" s="170"/>
      <c r="AG732" s="170"/>
      <c r="AH732" s="170"/>
      <c r="AI732" s="170"/>
      <c r="AJ732" s="170"/>
      <c r="AK732" s="170"/>
      <c r="AL732" s="170"/>
      <c r="AM732" s="170"/>
      <c r="AN732" s="170"/>
      <c r="AO732" s="170"/>
      <c r="AP732" s="170"/>
      <c r="AQ732" s="170"/>
      <c r="AR732" s="170"/>
      <c r="AS732" s="170"/>
    </row>
    <row r="733" spans="1:45" ht="15" x14ac:dyDescent="0.25">
      <c r="A733" s="170"/>
      <c r="B733" s="719"/>
      <c r="C733" s="170"/>
      <c r="D733" s="170"/>
      <c r="E733" s="170"/>
      <c r="F733" s="170"/>
      <c r="G733" s="721"/>
      <c r="H733" s="170"/>
      <c r="I733" s="170"/>
      <c r="J733" s="170"/>
      <c r="K733" s="170"/>
      <c r="L733" s="170"/>
      <c r="M733" s="730"/>
      <c r="N733" s="730"/>
      <c r="O733" s="730"/>
      <c r="P733" s="731"/>
      <c r="Q733" s="731"/>
      <c r="R733" s="730"/>
      <c r="S733" s="730"/>
      <c r="T733" s="723"/>
      <c r="U733" s="724"/>
      <c r="V733" s="725"/>
      <c r="W733" s="725"/>
      <c r="X733" s="723"/>
      <c r="Y733" s="723"/>
      <c r="Z733" s="723"/>
      <c r="AA733" s="726"/>
      <c r="AB733" s="726"/>
      <c r="AC733" s="170"/>
      <c r="AD733" s="586"/>
      <c r="AE733" s="586"/>
      <c r="AF733" s="170"/>
      <c r="AG733" s="170"/>
      <c r="AH733" s="170"/>
      <c r="AI733" s="170"/>
      <c r="AJ733" s="170"/>
      <c r="AK733" s="170"/>
      <c r="AL733" s="170"/>
      <c r="AM733" s="170"/>
      <c r="AN733" s="170"/>
      <c r="AO733" s="170"/>
      <c r="AP733" s="170"/>
      <c r="AQ733" s="170"/>
      <c r="AR733" s="170"/>
      <c r="AS733" s="170"/>
    </row>
    <row r="734" spans="1:45" ht="15" x14ac:dyDescent="0.25">
      <c r="A734" s="170"/>
      <c r="B734" s="719"/>
      <c r="C734" s="170"/>
      <c r="D734" s="170"/>
      <c r="E734" s="170"/>
      <c r="F734" s="170"/>
      <c r="G734" s="721"/>
      <c r="H734" s="170"/>
      <c r="I734" s="170"/>
      <c r="J734" s="170"/>
      <c r="K734" s="170"/>
      <c r="L734" s="170"/>
      <c r="M734" s="730"/>
      <c r="N734" s="730"/>
      <c r="O734" s="730"/>
      <c r="P734" s="731"/>
      <c r="Q734" s="731"/>
      <c r="R734" s="730"/>
      <c r="S734" s="730"/>
      <c r="T734" s="723"/>
      <c r="U734" s="724"/>
      <c r="V734" s="725"/>
      <c r="W734" s="725"/>
      <c r="X734" s="723"/>
      <c r="Y734" s="723"/>
      <c r="Z734" s="723"/>
      <c r="AA734" s="726"/>
      <c r="AB734" s="726"/>
      <c r="AC734" s="170"/>
      <c r="AD734" s="586"/>
      <c r="AE734" s="586"/>
      <c r="AF734" s="170"/>
      <c r="AG734" s="170"/>
      <c r="AH734" s="170"/>
      <c r="AI734" s="170"/>
      <c r="AJ734" s="170"/>
      <c r="AK734" s="170"/>
      <c r="AL734" s="170"/>
      <c r="AM734" s="170"/>
      <c r="AN734" s="170"/>
      <c r="AO734" s="170"/>
      <c r="AP734" s="170"/>
      <c r="AQ734" s="170"/>
      <c r="AR734" s="170"/>
      <c r="AS734" s="170"/>
    </row>
    <row r="735" spans="1:45" ht="15" x14ac:dyDescent="0.25">
      <c r="A735" s="170"/>
      <c r="B735" s="719"/>
      <c r="C735" s="170"/>
      <c r="D735" s="170"/>
      <c r="E735" s="170"/>
      <c r="F735" s="170"/>
      <c r="G735" s="721"/>
      <c r="H735" s="170"/>
      <c r="I735" s="170"/>
      <c r="J735" s="170"/>
      <c r="K735" s="170"/>
      <c r="L735" s="170"/>
      <c r="M735" s="730"/>
      <c r="N735" s="730"/>
      <c r="O735" s="730"/>
      <c r="P735" s="731"/>
      <c r="Q735" s="731"/>
      <c r="R735" s="730"/>
      <c r="S735" s="730"/>
      <c r="T735" s="723"/>
      <c r="U735" s="724"/>
      <c r="V735" s="725"/>
      <c r="W735" s="725"/>
      <c r="X735" s="723"/>
      <c r="Y735" s="723"/>
      <c r="Z735" s="723"/>
      <c r="AA735" s="726"/>
      <c r="AB735" s="726"/>
      <c r="AC735" s="170"/>
      <c r="AD735" s="586"/>
      <c r="AE735" s="586"/>
      <c r="AF735" s="170"/>
      <c r="AG735" s="170"/>
      <c r="AH735" s="170"/>
      <c r="AI735" s="170"/>
      <c r="AJ735" s="170"/>
      <c r="AK735" s="170"/>
      <c r="AL735" s="170"/>
      <c r="AM735" s="170"/>
      <c r="AN735" s="170"/>
      <c r="AO735" s="170"/>
      <c r="AP735" s="170"/>
      <c r="AQ735" s="170"/>
      <c r="AR735" s="170"/>
      <c r="AS735" s="170"/>
    </row>
    <row r="736" spans="1:45" ht="15" x14ac:dyDescent="0.25">
      <c r="A736" s="170"/>
      <c r="B736" s="719"/>
      <c r="C736" s="170"/>
      <c r="D736" s="170"/>
      <c r="E736" s="170"/>
      <c r="F736" s="170"/>
      <c r="G736" s="721"/>
      <c r="H736" s="170"/>
      <c r="I736" s="170"/>
      <c r="J736" s="170"/>
      <c r="K736" s="170"/>
      <c r="L736" s="170"/>
      <c r="M736" s="730"/>
      <c r="N736" s="730"/>
      <c r="O736" s="730"/>
      <c r="P736" s="731"/>
      <c r="Q736" s="731"/>
      <c r="R736" s="730"/>
      <c r="S736" s="730"/>
      <c r="T736" s="723"/>
      <c r="U736" s="724"/>
      <c r="V736" s="725"/>
      <c r="W736" s="725"/>
      <c r="X736" s="723"/>
      <c r="Y736" s="723"/>
      <c r="Z736" s="723"/>
      <c r="AA736" s="726"/>
      <c r="AB736" s="726"/>
      <c r="AC736" s="170"/>
      <c r="AD736" s="586"/>
      <c r="AE736" s="586"/>
      <c r="AF736" s="170"/>
      <c r="AG736" s="170"/>
      <c r="AH736" s="170"/>
      <c r="AI736" s="170"/>
      <c r="AJ736" s="170"/>
      <c r="AK736" s="170"/>
      <c r="AL736" s="170"/>
      <c r="AM736" s="170"/>
      <c r="AN736" s="170"/>
      <c r="AO736" s="170"/>
      <c r="AP736" s="170"/>
      <c r="AQ736" s="170"/>
      <c r="AR736" s="170"/>
      <c r="AS736" s="170"/>
    </row>
    <row r="737" spans="1:45" ht="15" x14ac:dyDescent="0.25">
      <c r="A737" s="170"/>
      <c r="B737" s="719"/>
      <c r="C737" s="170"/>
      <c r="D737" s="170"/>
      <c r="E737" s="170"/>
      <c r="F737" s="170"/>
      <c r="G737" s="721"/>
      <c r="H737" s="170"/>
      <c r="I737" s="170"/>
      <c r="J737" s="170"/>
      <c r="K737" s="170"/>
      <c r="L737" s="170"/>
      <c r="M737" s="730"/>
      <c r="N737" s="730"/>
      <c r="O737" s="730"/>
      <c r="P737" s="731"/>
      <c r="Q737" s="731"/>
      <c r="R737" s="730"/>
      <c r="S737" s="730"/>
      <c r="T737" s="723"/>
      <c r="U737" s="724"/>
      <c r="V737" s="725"/>
      <c r="W737" s="725"/>
      <c r="X737" s="723"/>
      <c r="Y737" s="723"/>
      <c r="Z737" s="723"/>
      <c r="AA737" s="726"/>
      <c r="AB737" s="726"/>
      <c r="AC737" s="170"/>
      <c r="AD737" s="586"/>
      <c r="AE737" s="586"/>
      <c r="AF737" s="170"/>
      <c r="AG737" s="170"/>
      <c r="AH737" s="170"/>
      <c r="AI737" s="170"/>
      <c r="AJ737" s="170"/>
      <c r="AK737" s="170"/>
      <c r="AL737" s="170"/>
      <c r="AM737" s="170"/>
      <c r="AN737" s="170"/>
      <c r="AO737" s="170"/>
      <c r="AP737" s="170"/>
      <c r="AQ737" s="170"/>
      <c r="AR737" s="170"/>
      <c r="AS737" s="170"/>
    </row>
    <row r="738" spans="1:45" ht="15" x14ac:dyDescent="0.25">
      <c r="A738" s="170"/>
      <c r="B738" s="719"/>
      <c r="C738" s="170"/>
      <c r="D738" s="170"/>
      <c r="E738" s="170"/>
      <c r="F738" s="170"/>
      <c r="G738" s="721"/>
      <c r="H738" s="170"/>
      <c r="I738" s="170"/>
      <c r="J738" s="170"/>
      <c r="K738" s="170"/>
      <c r="L738" s="170"/>
      <c r="M738" s="730"/>
      <c r="N738" s="730"/>
      <c r="O738" s="730"/>
      <c r="P738" s="731"/>
      <c r="Q738" s="731"/>
      <c r="R738" s="730"/>
      <c r="S738" s="730"/>
      <c r="T738" s="723"/>
      <c r="U738" s="724"/>
      <c r="V738" s="725"/>
      <c r="W738" s="725"/>
      <c r="X738" s="723"/>
      <c r="Y738" s="723"/>
      <c r="Z738" s="723"/>
      <c r="AA738" s="726"/>
      <c r="AB738" s="726"/>
      <c r="AC738" s="170"/>
      <c r="AD738" s="586"/>
      <c r="AE738" s="586"/>
      <c r="AF738" s="170"/>
      <c r="AG738" s="170"/>
      <c r="AH738" s="170"/>
      <c r="AI738" s="170"/>
      <c r="AJ738" s="170"/>
      <c r="AK738" s="170"/>
      <c r="AL738" s="170"/>
      <c r="AM738" s="170"/>
      <c r="AN738" s="170"/>
      <c r="AO738" s="170"/>
      <c r="AP738" s="170"/>
      <c r="AQ738" s="170"/>
      <c r="AR738" s="170"/>
      <c r="AS738" s="170"/>
    </row>
    <row r="739" spans="1:45" ht="15" x14ac:dyDescent="0.25">
      <c r="A739" s="170"/>
      <c r="B739" s="719"/>
      <c r="C739" s="170"/>
      <c r="D739" s="170"/>
      <c r="E739" s="170"/>
      <c r="F739" s="170"/>
      <c r="G739" s="721"/>
      <c r="H739" s="170"/>
      <c r="I739" s="170"/>
      <c r="J739" s="170"/>
      <c r="K739" s="170"/>
      <c r="L739" s="170"/>
      <c r="M739" s="730"/>
      <c r="N739" s="730"/>
      <c r="O739" s="730"/>
      <c r="P739" s="731"/>
      <c r="Q739" s="731"/>
      <c r="R739" s="730"/>
      <c r="S739" s="730"/>
      <c r="T739" s="723"/>
      <c r="U739" s="724"/>
      <c r="V739" s="725"/>
      <c r="W739" s="725"/>
      <c r="X739" s="723"/>
      <c r="Y739" s="723"/>
      <c r="Z739" s="723"/>
      <c r="AA739" s="726"/>
      <c r="AB739" s="726"/>
      <c r="AC739" s="170"/>
      <c r="AD739" s="586"/>
      <c r="AE739" s="586"/>
      <c r="AF739" s="170"/>
      <c r="AG739" s="170"/>
      <c r="AH739" s="170"/>
      <c r="AI739" s="170"/>
      <c r="AJ739" s="170"/>
      <c r="AK739" s="170"/>
      <c r="AL739" s="170"/>
      <c r="AM739" s="170"/>
      <c r="AN739" s="170"/>
      <c r="AO739" s="170"/>
      <c r="AP739" s="170"/>
      <c r="AQ739" s="170"/>
      <c r="AR739" s="170"/>
      <c r="AS739" s="170"/>
    </row>
    <row r="740" spans="1:45" ht="15" x14ac:dyDescent="0.25">
      <c r="A740" s="170"/>
      <c r="B740" s="719"/>
      <c r="C740" s="170"/>
      <c r="D740" s="170"/>
      <c r="E740" s="170"/>
      <c r="F740" s="170"/>
      <c r="G740" s="721"/>
      <c r="H740" s="170"/>
      <c r="I740" s="170"/>
      <c r="J740" s="170"/>
      <c r="K740" s="170"/>
      <c r="L740" s="170"/>
      <c r="M740" s="730"/>
      <c r="N740" s="730"/>
      <c r="O740" s="730"/>
      <c r="P740" s="731"/>
      <c r="Q740" s="731"/>
      <c r="R740" s="730"/>
      <c r="S740" s="730"/>
      <c r="T740" s="723"/>
      <c r="U740" s="724"/>
      <c r="V740" s="725"/>
      <c r="W740" s="725"/>
      <c r="X740" s="723"/>
      <c r="Y740" s="723"/>
      <c r="Z740" s="723"/>
      <c r="AA740" s="726"/>
      <c r="AB740" s="726"/>
      <c r="AC740" s="170"/>
      <c r="AD740" s="586"/>
      <c r="AE740" s="586"/>
      <c r="AF740" s="170"/>
      <c r="AG740" s="170"/>
      <c r="AH740" s="170"/>
      <c r="AI740" s="170"/>
      <c r="AJ740" s="170"/>
      <c r="AK740" s="170"/>
      <c r="AL740" s="170"/>
      <c r="AM740" s="170"/>
      <c r="AN740" s="170"/>
      <c r="AO740" s="170"/>
      <c r="AP740" s="170"/>
      <c r="AQ740" s="170"/>
      <c r="AR740" s="170"/>
      <c r="AS740" s="170"/>
    </row>
    <row r="741" spans="1:45" ht="15" x14ac:dyDescent="0.25">
      <c r="A741" s="170"/>
      <c r="B741" s="719"/>
      <c r="C741" s="170"/>
      <c r="D741" s="170"/>
      <c r="E741" s="170"/>
      <c r="F741" s="170"/>
      <c r="G741" s="721"/>
      <c r="H741" s="170"/>
      <c r="I741" s="170"/>
      <c r="J741" s="170"/>
      <c r="K741" s="170"/>
      <c r="L741" s="170"/>
      <c r="M741" s="730"/>
      <c r="N741" s="730"/>
      <c r="O741" s="730"/>
      <c r="P741" s="731"/>
      <c r="Q741" s="731"/>
      <c r="R741" s="730"/>
      <c r="S741" s="730"/>
      <c r="T741" s="723"/>
      <c r="U741" s="724"/>
      <c r="V741" s="725"/>
      <c r="W741" s="725"/>
      <c r="X741" s="723"/>
      <c r="Y741" s="723"/>
      <c r="Z741" s="723"/>
      <c r="AA741" s="726"/>
      <c r="AB741" s="726"/>
      <c r="AC741" s="170"/>
      <c r="AD741" s="586"/>
      <c r="AE741" s="586"/>
      <c r="AF741" s="170"/>
      <c r="AG741" s="170"/>
      <c r="AH741" s="170"/>
      <c r="AI741" s="170"/>
      <c r="AJ741" s="170"/>
      <c r="AK741" s="170"/>
      <c r="AL741" s="170"/>
      <c r="AM741" s="170"/>
      <c r="AN741" s="170"/>
      <c r="AO741" s="170"/>
      <c r="AP741" s="170"/>
      <c r="AQ741" s="170"/>
      <c r="AR741" s="170"/>
      <c r="AS741" s="170"/>
    </row>
    <row r="742" spans="1:45" ht="15" x14ac:dyDescent="0.25">
      <c r="A742" s="170"/>
      <c r="B742" s="719"/>
      <c r="C742" s="170"/>
      <c r="D742" s="170"/>
      <c r="E742" s="170"/>
      <c r="F742" s="170"/>
      <c r="G742" s="721"/>
      <c r="H742" s="170"/>
      <c r="I742" s="170"/>
      <c r="J742" s="170"/>
      <c r="K742" s="170"/>
      <c r="L742" s="170"/>
      <c r="M742" s="730"/>
      <c r="N742" s="730"/>
      <c r="O742" s="730"/>
      <c r="P742" s="731"/>
      <c r="Q742" s="731"/>
      <c r="R742" s="730"/>
      <c r="S742" s="730"/>
      <c r="T742" s="723"/>
      <c r="U742" s="724"/>
      <c r="V742" s="725"/>
      <c r="W742" s="725"/>
      <c r="X742" s="723"/>
      <c r="Y742" s="723"/>
      <c r="Z742" s="723"/>
      <c r="AA742" s="726"/>
      <c r="AB742" s="726"/>
      <c r="AC742" s="170"/>
      <c r="AD742" s="586"/>
      <c r="AE742" s="586"/>
      <c r="AF742" s="170"/>
      <c r="AG742" s="170"/>
      <c r="AH742" s="170"/>
      <c r="AI742" s="170"/>
      <c r="AJ742" s="170"/>
      <c r="AK742" s="170"/>
      <c r="AL742" s="170"/>
      <c r="AM742" s="170"/>
      <c r="AN742" s="170"/>
      <c r="AO742" s="170"/>
      <c r="AP742" s="170"/>
      <c r="AQ742" s="170"/>
      <c r="AR742" s="170"/>
      <c r="AS742" s="170"/>
    </row>
    <row r="743" spans="1:45" ht="15" x14ac:dyDescent="0.25">
      <c r="A743" s="170"/>
      <c r="B743" s="719"/>
      <c r="C743" s="170"/>
      <c r="D743" s="170"/>
      <c r="E743" s="170"/>
      <c r="F743" s="170"/>
      <c r="G743" s="721"/>
      <c r="H743" s="170"/>
      <c r="I743" s="170"/>
      <c r="J743" s="170"/>
      <c r="K743" s="170"/>
      <c r="L743" s="170"/>
      <c r="M743" s="730"/>
      <c r="N743" s="730"/>
      <c r="O743" s="730"/>
      <c r="P743" s="731"/>
      <c r="Q743" s="731"/>
      <c r="R743" s="730"/>
      <c r="S743" s="730"/>
      <c r="T743" s="723"/>
      <c r="U743" s="724"/>
      <c r="V743" s="725"/>
      <c r="W743" s="725"/>
      <c r="X743" s="723"/>
      <c r="Y743" s="723"/>
      <c r="Z743" s="723"/>
      <c r="AA743" s="726"/>
      <c r="AB743" s="726"/>
      <c r="AC743" s="170"/>
      <c r="AD743" s="586"/>
      <c r="AE743" s="586"/>
      <c r="AF743" s="170"/>
      <c r="AG743" s="170"/>
      <c r="AH743" s="170"/>
      <c r="AI743" s="170"/>
      <c r="AJ743" s="170"/>
      <c r="AK743" s="170"/>
      <c r="AL743" s="170"/>
      <c r="AM743" s="170"/>
      <c r="AN743" s="170"/>
      <c r="AO743" s="170"/>
      <c r="AP743" s="170"/>
      <c r="AQ743" s="170"/>
      <c r="AR743" s="170"/>
      <c r="AS743" s="170"/>
    </row>
    <row r="744" spans="1:45" ht="15" x14ac:dyDescent="0.25">
      <c r="A744" s="170"/>
      <c r="B744" s="719"/>
      <c r="C744" s="170"/>
      <c r="D744" s="170"/>
      <c r="E744" s="170"/>
      <c r="F744" s="170"/>
      <c r="G744" s="721"/>
      <c r="H744" s="170"/>
      <c r="I744" s="170"/>
      <c r="J744" s="170"/>
      <c r="K744" s="170"/>
      <c r="L744" s="170"/>
      <c r="M744" s="730"/>
      <c r="N744" s="730"/>
      <c r="O744" s="730"/>
      <c r="P744" s="731"/>
      <c r="Q744" s="731"/>
      <c r="R744" s="730"/>
      <c r="S744" s="730"/>
      <c r="T744" s="723"/>
      <c r="U744" s="724"/>
      <c r="V744" s="725"/>
      <c r="W744" s="725"/>
      <c r="X744" s="723"/>
      <c r="Y744" s="723"/>
      <c r="Z744" s="723"/>
      <c r="AA744" s="726"/>
      <c r="AB744" s="726"/>
      <c r="AC744" s="170"/>
      <c r="AD744" s="586"/>
      <c r="AE744" s="586"/>
      <c r="AF744" s="170"/>
      <c r="AG744" s="170"/>
      <c r="AH744" s="170"/>
      <c r="AI744" s="170"/>
      <c r="AJ744" s="170"/>
      <c r="AK744" s="170"/>
      <c r="AL744" s="170"/>
      <c r="AM744" s="170"/>
      <c r="AN744" s="170"/>
      <c r="AO744" s="170"/>
      <c r="AP744" s="170"/>
      <c r="AQ744" s="170"/>
      <c r="AR744" s="170"/>
      <c r="AS744" s="170"/>
    </row>
    <row r="745" spans="1:45" ht="15" x14ac:dyDescent="0.25">
      <c r="A745" s="170"/>
      <c r="B745" s="719"/>
      <c r="C745" s="170"/>
      <c r="D745" s="170"/>
      <c r="E745" s="170"/>
      <c r="F745" s="170"/>
      <c r="G745" s="721"/>
      <c r="H745" s="170"/>
      <c r="I745" s="170"/>
      <c r="J745" s="170"/>
      <c r="K745" s="170"/>
      <c r="L745" s="170"/>
      <c r="M745" s="730"/>
      <c r="N745" s="730"/>
      <c r="O745" s="730"/>
      <c r="P745" s="731"/>
      <c r="Q745" s="731"/>
      <c r="R745" s="730"/>
      <c r="S745" s="730"/>
      <c r="T745" s="723"/>
      <c r="U745" s="724"/>
      <c r="V745" s="725"/>
      <c r="W745" s="725"/>
      <c r="X745" s="723"/>
      <c r="Y745" s="723"/>
      <c r="Z745" s="723"/>
      <c r="AA745" s="726"/>
      <c r="AB745" s="726"/>
      <c r="AC745" s="170"/>
      <c r="AD745" s="586"/>
      <c r="AE745" s="586"/>
      <c r="AF745" s="170"/>
      <c r="AG745" s="170"/>
      <c r="AH745" s="170"/>
      <c r="AI745" s="170"/>
      <c r="AJ745" s="170"/>
      <c r="AK745" s="170"/>
      <c r="AL745" s="170"/>
      <c r="AM745" s="170"/>
      <c r="AN745" s="170"/>
      <c r="AO745" s="170"/>
      <c r="AP745" s="170"/>
      <c r="AQ745" s="170"/>
      <c r="AR745" s="170"/>
      <c r="AS745" s="170"/>
    </row>
    <row r="746" spans="1:45" ht="15" x14ac:dyDescent="0.25">
      <c r="A746" s="170"/>
      <c r="B746" s="719"/>
      <c r="C746" s="170"/>
      <c r="D746" s="170"/>
      <c r="E746" s="170"/>
      <c r="F746" s="170"/>
      <c r="G746" s="721"/>
      <c r="H746" s="170"/>
      <c r="I746" s="170"/>
      <c r="J746" s="170"/>
      <c r="K746" s="170"/>
      <c r="L746" s="170"/>
      <c r="M746" s="730"/>
      <c r="N746" s="730"/>
      <c r="O746" s="730"/>
      <c r="P746" s="731"/>
      <c r="Q746" s="731"/>
      <c r="R746" s="730"/>
      <c r="S746" s="730"/>
      <c r="T746" s="723"/>
      <c r="U746" s="724"/>
      <c r="V746" s="725"/>
      <c r="W746" s="725"/>
      <c r="X746" s="723"/>
      <c r="Y746" s="723"/>
      <c r="Z746" s="723"/>
      <c r="AA746" s="726"/>
      <c r="AB746" s="726"/>
      <c r="AC746" s="170"/>
      <c r="AD746" s="586"/>
      <c r="AE746" s="586"/>
      <c r="AF746" s="170"/>
      <c r="AG746" s="170"/>
      <c r="AH746" s="170"/>
      <c r="AI746" s="170"/>
      <c r="AJ746" s="170"/>
      <c r="AK746" s="170"/>
      <c r="AL746" s="170"/>
      <c r="AM746" s="170"/>
      <c r="AN746" s="170"/>
      <c r="AO746" s="170"/>
      <c r="AP746" s="170"/>
      <c r="AQ746" s="170"/>
      <c r="AR746" s="170"/>
      <c r="AS746" s="170"/>
    </row>
    <row r="747" spans="1:45" ht="15" x14ac:dyDescent="0.25">
      <c r="A747" s="170"/>
      <c r="B747" s="719"/>
      <c r="C747" s="170"/>
      <c r="D747" s="170"/>
      <c r="E747" s="170"/>
      <c r="F747" s="170"/>
      <c r="G747" s="721"/>
      <c r="H747" s="170"/>
      <c r="I747" s="170"/>
      <c r="J747" s="170"/>
      <c r="K747" s="170"/>
      <c r="L747" s="170"/>
      <c r="M747" s="730"/>
      <c r="N747" s="730"/>
      <c r="O747" s="730"/>
      <c r="P747" s="731"/>
      <c r="Q747" s="731"/>
      <c r="R747" s="730"/>
      <c r="S747" s="730"/>
      <c r="T747" s="723"/>
      <c r="U747" s="724"/>
      <c r="V747" s="725"/>
      <c r="W747" s="725"/>
      <c r="X747" s="723"/>
      <c r="Y747" s="723"/>
      <c r="Z747" s="723"/>
      <c r="AA747" s="726"/>
      <c r="AB747" s="726"/>
      <c r="AC747" s="170"/>
      <c r="AD747" s="586"/>
      <c r="AE747" s="586"/>
      <c r="AF747" s="170"/>
      <c r="AG747" s="170"/>
      <c r="AH747" s="170"/>
      <c r="AI747" s="170"/>
      <c r="AJ747" s="170"/>
      <c r="AK747" s="170"/>
      <c r="AL747" s="170"/>
      <c r="AM747" s="170"/>
      <c r="AN747" s="170"/>
      <c r="AO747" s="170"/>
      <c r="AP747" s="170"/>
      <c r="AQ747" s="170"/>
      <c r="AR747" s="170"/>
      <c r="AS747" s="170"/>
    </row>
    <row r="748" spans="1:45" ht="15" x14ac:dyDescent="0.25">
      <c r="A748" s="170"/>
      <c r="B748" s="719"/>
      <c r="C748" s="170"/>
      <c r="D748" s="170"/>
      <c r="E748" s="170"/>
      <c r="F748" s="170"/>
      <c r="G748" s="721"/>
      <c r="H748" s="170"/>
      <c r="I748" s="170"/>
      <c r="J748" s="170"/>
      <c r="K748" s="170"/>
      <c r="L748" s="170"/>
      <c r="M748" s="730"/>
      <c r="N748" s="730"/>
      <c r="O748" s="730"/>
      <c r="P748" s="731"/>
      <c r="Q748" s="731"/>
      <c r="R748" s="730"/>
      <c r="S748" s="730"/>
      <c r="T748" s="723"/>
      <c r="U748" s="724"/>
      <c r="V748" s="725"/>
      <c r="W748" s="725"/>
      <c r="X748" s="723"/>
      <c r="Y748" s="723"/>
      <c r="Z748" s="723"/>
      <c r="AA748" s="726"/>
      <c r="AB748" s="726"/>
      <c r="AC748" s="170"/>
      <c r="AD748" s="586"/>
      <c r="AE748" s="586"/>
      <c r="AF748" s="170"/>
      <c r="AG748" s="170"/>
      <c r="AH748" s="170"/>
      <c r="AI748" s="170"/>
      <c r="AJ748" s="170"/>
      <c r="AK748" s="170"/>
      <c r="AL748" s="170"/>
      <c r="AM748" s="170"/>
      <c r="AN748" s="170"/>
      <c r="AO748" s="170"/>
      <c r="AP748" s="170"/>
      <c r="AQ748" s="170"/>
      <c r="AR748" s="170"/>
      <c r="AS748" s="170"/>
    </row>
    <row r="749" spans="1:45" ht="15" x14ac:dyDescent="0.25">
      <c r="A749" s="170"/>
      <c r="B749" s="719"/>
      <c r="C749" s="170"/>
      <c r="D749" s="170"/>
      <c r="E749" s="170"/>
      <c r="F749" s="170"/>
      <c r="G749" s="721"/>
      <c r="H749" s="170"/>
      <c r="I749" s="170"/>
      <c r="J749" s="170"/>
      <c r="K749" s="170"/>
      <c r="L749" s="170"/>
      <c r="M749" s="730"/>
      <c r="N749" s="730"/>
      <c r="O749" s="730"/>
      <c r="P749" s="731"/>
      <c r="Q749" s="731"/>
      <c r="R749" s="730"/>
      <c r="S749" s="730"/>
      <c r="T749" s="723"/>
      <c r="U749" s="724"/>
      <c r="V749" s="725"/>
      <c r="W749" s="725"/>
      <c r="X749" s="723"/>
      <c r="Y749" s="723"/>
      <c r="Z749" s="723"/>
      <c r="AA749" s="726"/>
      <c r="AB749" s="726"/>
      <c r="AC749" s="170"/>
      <c r="AD749" s="586"/>
      <c r="AE749" s="586"/>
      <c r="AF749" s="170"/>
      <c r="AG749" s="170"/>
      <c r="AH749" s="170"/>
      <c r="AI749" s="170"/>
      <c r="AJ749" s="170"/>
      <c r="AK749" s="170"/>
      <c r="AL749" s="170"/>
      <c r="AM749" s="170"/>
      <c r="AN749" s="170"/>
      <c r="AO749" s="170"/>
      <c r="AP749" s="170"/>
      <c r="AQ749" s="170"/>
      <c r="AR749" s="170"/>
      <c r="AS749" s="170"/>
    </row>
    <row r="750" spans="1:45" ht="15" x14ac:dyDescent="0.25">
      <c r="A750" s="170"/>
      <c r="B750" s="719"/>
      <c r="C750" s="170"/>
      <c r="D750" s="170"/>
      <c r="E750" s="170"/>
      <c r="F750" s="170"/>
      <c r="G750" s="721"/>
      <c r="H750" s="170"/>
      <c r="I750" s="170"/>
      <c r="J750" s="170"/>
      <c r="K750" s="170"/>
      <c r="L750" s="170"/>
      <c r="M750" s="730"/>
      <c r="N750" s="730"/>
      <c r="O750" s="730"/>
      <c r="P750" s="731"/>
      <c r="Q750" s="731"/>
      <c r="R750" s="730"/>
      <c r="S750" s="730"/>
      <c r="T750" s="723"/>
      <c r="U750" s="724"/>
      <c r="V750" s="725"/>
      <c r="W750" s="725"/>
      <c r="X750" s="723"/>
      <c r="Y750" s="723"/>
      <c r="Z750" s="723"/>
      <c r="AA750" s="726"/>
      <c r="AB750" s="726"/>
      <c r="AC750" s="170"/>
      <c r="AD750" s="586"/>
      <c r="AE750" s="586"/>
      <c r="AF750" s="170"/>
      <c r="AG750" s="170"/>
      <c r="AH750" s="170"/>
      <c r="AI750" s="170"/>
      <c r="AJ750" s="170"/>
      <c r="AK750" s="170"/>
      <c r="AL750" s="170"/>
      <c r="AM750" s="170"/>
      <c r="AN750" s="170"/>
      <c r="AO750" s="170"/>
      <c r="AP750" s="170"/>
      <c r="AQ750" s="170"/>
      <c r="AR750" s="170"/>
      <c r="AS750" s="170"/>
    </row>
    <row r="751" spans="1:45" ht="15" x14ac:dyDescent="0.25">
      <c r="A751" s="170"/>
      <c r="B751" s="719"/>
      <c r="C751" s="170"/>
      <c r="D751" s="170"/>
      <c r="E751" s="170"/>
      <c r="F751" s="170"/>
      <c r="G751" s="721"/>
      <c r="H751" s="170"/>
      <c r="I751" s="170"/>
      <c r="J751" s="170"/>
      <c r="K751" s="170"/>
      <c r="L751" s="170"/>
      <c r="M751" s="730"/>
      <c r="N751" s="730"/>
      <c r="O751" s="730"/>
      <c r="P751" s="731"/>
      <c r="Q751" s="731"/>
      <c r="R751" s="730"/>
      <c r="S751" s="730"/>
      <c r="T751" s="723"/>
      <c r="U751" s="724"/>
      <c r="V751" s="725"/>
      <c r="W751" s="725"/>
      <c r="X751" s="723"/>
      <c r="Y751" s="723"/>
      <c r="Z751" s="723"/>
      <c r="AA751" s="726"/>
      <c r="AB751" s="726"/>
      <c r="AC751" s="170"/>
      <c r="AD751" s="586"/>
      <c r="AE751" s="586"/>
      <c r="AF751" s="170"/>
      <c r="AG751" s="170"/>
      <c r="AH751" s="170"/>
      <c r="AI751" s="170"/>
      <c r="AJ751" s="170"/>
      <c r="AK751" s="170"/>
      <c r="AL751" s="170"/>
      <c r="AM751" s="170"/>
      <c r="AN751" s="170"/>
      <c r="AO751" s="170"/>
      <c r="AP751" s="170"/>
      <c r="AQ751" s="170"/>
      <c r="AR751" s="170"/>
      <c r="AS751" s="170"/>
    </row>
    <row r="752" spans="1:45" ht="12.6" customHeight="1" x14ac:dyDescent="0.25">
      <c r="B752" s="719"/>
    </row>
    <row r="753" spans="2:2" ht="12.6" customHeight="1" x14ac:dyDescent="0.25">
      <c r="B753" s="719"/>
    </row>
    <row r="754" spans="2:2" ht="12.6" customHeight="1" x14ac:dyDescent="0.25">
      <c r="B754" s="719"/>
    </row>
    <row r="755" spans="2:2" ht="12.6" customHeight="1" x14ac:dyDescent="0.25">
      <c r="B755" s="719"/>
    </row>
    <row r="756" spans="2:2" ht="12.6" customHeight="1" x14ac:dyDescent="0.25">
      <c r="B756" s="719"/>
    </row>
    <row r="757" spans="2:2" ht="12.6" customHeight="1" x14ac:dyDescent="0.25">
      <c r="B757" s="719"/>
    </row>
    <row r="758" spans="2:2" ht="12.6" customHeight="1" x14ac:dyDescent="0.25">
      <c r="B758" s="719"/>
    </row>
    <row r="759" spans="2:2" ht="12.6" customHeight="1" x14ac:dyDescent="0.25">
      <c r="B759" s="719"/>
    </row>
    <row r="760" spans="2:2" ht="12.6" customHeight="1" x14ac:dyDescent="0.25">
      <c r="B760" s="719"/>
    </row>
    <row r="761" spans="2:2" ht="12.6" customHeight="1" x14ac:dyDescent="0.25">
      <c r="B761" s="719"/>
    </row>
    <row r="762" spans="2:2" ht="12.6" customHeight="1" x14ac:dyDescent="0.25">
      <c r="B762" s="719"/>
    </row>
    <row r="763" spans="2:2" ht="12.6" customHeight="1" x14ac:dyDescent="0.25">
      <c r="B763" s="719"/>
    </row>
    <row r="764" spans="2:2" ht="12.6" customHeight="1" x14ac:dyDescent="0.25">
      <c r="B764" s="719"/>
    </row>
    <row r="765" spans="2:2" ht="12.6" customHeight="1" x14ac:dyDescent="0.25">
      <c r="B765" s="719"/>
    </row>
    <row r="766" spans="2:2" ht="12.6" customHeight="1" x14ac:dyDescent="0.25">
      <c r="B766" s="719"/>
    </row>
    <row r="767" spans="2:2" ht="12.6" customHeight="1" x14ac:dyDescent="0.25">
      <c r="B767" s="719"/>
    </row>
    <row r="768" spans="2:2" ht="12.6" customHeight="1" x14ac:dyDescent="0.25">
      <c r="B768" s="719"/>
    </row>
    <row r="769" spans="2:2" ht="12.6" customHeight="1" x14ac:dyDescent="0.25">
      <c r="B769" s="719"/>
    </row>
    <row r="770" spans="2:2" ht="12.6" customHeight="1" x14ac:dyDescent="0.25">
      <c r="B770" s="719"/>
    </row>
    <row r="771" spans="2:2" ht="12.6" customHeight="1" x14ac:dyDescent="0.25">
      <c r="B771" s="719"/>
    </row>
    <row r="772" spans="2:2" ht="12.6" customHeight="1" x14ac:dyDescent="0.25">
      <c r="B772" s="719"/>
    </row>
    <row r="773" spans="2:2" ht="12.6" customHeight="1" x14ac:dyDescent="0.25">
      <c r="B773" s="719"/>
    </row>
    <row r="774" spans="2:2" ht="12.6" customHeight="1" x14ac:dyDescent="0.25">
      <c r="B774" s="719"/>
    </row>
    <row r="775" spans="2:2" ht="12.6" customHeight="1" x14ac:dyDescent="0.25">
      <c r="B775" s="719"/>
    </row>
    <row r="776" spans="2:2" ht="12.6" customHeight="1" x14ac:dyDescent="0.25">
      <c r="B776" s="719"/>
    </row>
    <row r="777" spans="2:2" ht="12.6" customHeight="1" x14ac:dyDescent="0.25">
      <c r="B777" s="719"/>
    </row>
    <row r="778" spans="2:2" ht="12.6" customHeight="1" x14ac:dyDescent="0.25">
      <c r="B778" s="719"/>
    </row>
    <row r="779" spans="2:2" ht="12.6" customHeight="1" x14ac:dyDescent="0.25">
      <c r="B779" s="719"/>
    </row>
    <row r="780" spans="2:2" ht="12.6" customHeight="1" x14ac:dyDescent="0.25">
      <c r="B780" s="719"/>
    </row>
    <row r="781" spans="2:2" ht="12.6" customHeight="1" x14ac:dyDescent="0.25">
      <c r="B781" s="719"/>
    </row>
    <row r="782" spans="2:2" ht="12.6" customHeight="1" x14ac:dyDescent="0.25">
      <c r="B782" s="719"/>
    </row>
    <row r="783" spans="2:2" ht="12.6" customHeight="1" x14ac:dyDescent="0.25">
      <c r="B783" s="719"/>
    </row>
    <row r="784" spans="2:2" ht="12.6" customHeight="1" x14ac:dyDescent="0.25">
      <c r="B784" s="719"/>
    </row>
    <row r="785" spans="2:2" ht="12.6" customHeight="1" x14ac:dyDescent="0.25">
      <c r="B785" s="719"/>
    </row>
    <row r="786" spans="2:2" ht="12.6" customHeight="1" x14ac:dyDescent="0.25">
      <c r="B786" s="719"/>
    </row>
    <row r="787" spans="2:2" ht="12.6" customHeight="1" x14ac:dyDescent="0.25">
      <c r="B787" s="719"/>
    </row>
    <row r="788" spans="2:2" ht="12.6" customHeight="1" x14ac:dyDescent="0.25">
      <c r="B788" s="719"/>
    </row>
    <row r="789" spans="2:2" ht="12.6" customHeight="1" x14ac:dyDescent="0.25">
      <c r="B789" s="719"/>
    </row>
    <row r="790" spans="2:2" ht="12.6" customHeight="1" x14ac:dyDescent="0.25">
      <c r="B790" s="719"/>
    </row>
    <row r="791" spans="2:2" ht="12.6" customHeight="1" x14ac:dyDescent="0.25">
      <c r="B791" s="719"/>
    </row>
    <row r="792" spans="2:2" ht="12.6" customHeight="1" x14ac:dyDescent="0.25">
      <c r="B792" s="719"/>
    </row>
    <row r="793" spans="2:2" ht="12.6" customHeight="1" x14ac:dyDescent="0.25">
      <c r="B793" s="719"/>
    </row>
    <row r="794" spans="2:2" ht="12.6" customHeight="1" x14ac:dyDescent="0.25">
      <c r="B794" s="719"/>
    </row>
    <row r="795" spans="2:2" ht="12.6" customHeight="1" x14ac:dyDescent="0.25">
      <c r="B795" s="719"/>
    </row>
    <row r="796" spans="2:2" ht="12.6" customHeight="1" x14ac:dyDescent="0.25">
      <c r="B796" s="719"/>
    </row>
    <row r="797" spans="2:2" ht="12.6" customHeight="1" x14ac:dyDescent="0.25">
      <c r="B797" s="719"/>
    </row>
    <row r="798" spans="2:2" ht="12.6" customHeight="1" x14ac:dyDescent="0.25">
      <c r="B798" s="719"/>
    </row>
    <row r="799" spans="2:2" ht="12.6" customHeight="1" x14ac:dyDescent="0.25">
      <c r="B799" s="719"/>
    </row>
  </sheetData>
  <sheetProtection algorithmName="SHA-512" hashValue="tFv+l5jvuVMvS5AbiS6IulCgBvY8I+NnJBMCbbB62jah0+BFk+s3jWrwtJDO/gt6DVEkjw3rCEcENJ6hmrslOw==" saltValue="l+XV1Rn+gBHIHCXxc9Q3bg==" spinCount="100000" sheet="1" scenarios="1" formatCells="0" formatColumns="0" formatRows="0" autoFilter="0"/>
  <autoFilter ref="D8:AB146" xr:uid="{4F1DB165-B9BD-48C7-9A38-93256B6971B2}"/>
  <conditionalFormatting sqref="F9:F146">
    <cfRule type="cellIs" dxfId="215" priority="1" operator="equal">
      <formula>0</formula>
    </cfRule>
  </conditionalFormatting>
  <dataValidations count="2">
    <dataValidation type="list" allowBlank="1" showInputMessage="1" showErrorMessage="1" sqref="P9:Q146" xr:uid="{E487F5FE-3BF5-4440-A7E8-05B80374B678}">
      <formula1>"E, Other"</formula1>
    </dataValidation>
    <dataValidation type="list" allowBlank="1" showInputMessage="1" showErrorMessage="1" sqref="F9" xr:uid="{24DCF300-DB99-415E-BBC7-08A46468D213}">
      <formula1>$F$157:$F$255</formula1>
    </dataValidation>
  </dataValidations>
  <printOptions horizontalCentered="1"/>
  <pageMargins left="0.7" right="0.21" top="0.5" bottom="0.34" header="0.16" footer="0.16"/>
  <pageSetup scale="63" fitToHeight="0" orientation="landscape"/>
  <headerFooter alignWithMargins="0">
    <oddFooter>&amp;Cpage &amp;P of &amp;N</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3274D004-A0C5-4E7C-BA1A-BFB1479BBB14}">
          <x14:formula1>
            <xm:f>Parameters!$D$311:$D$351</xm:f>
          </x14:formula1>
          <xm:sqref>K9 I9:I146</xm:sqref>
        </x14:dataValidation>
        <x14:dataValidation type="list" allowBlank="1" showInputMessage="1" showErrorMessage="1" xr:uid="{69D14BC9-1F7A-441B-8369-5F4B1083F053}">
          <x14:formula1>
            <xm:f>'Data Input sheet'!$B$118:$B$179</xm:f>
          </x14:formula1>
          <xm:sqref>R9:R146</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15A4-B73A-4EBB-AF58-BEBD1FAF5C51}">
  <sheetPr codeName="Sheet40">
    <tabColor rgb="FFFFFF00"/>
  </sheetPr>
  <dimension ref="B2:AA190"/>
  <sheetViews>
    <sheetView showZeros="0" topLeftCell="A43" zoomScale="120" zoomScaleNormal="120" workbookViewId="0">
      <selection activeCell="H31" sqref="H31"/>
    </sheetView>
  </sheetViews>
  <sheetFormatPr defaultColWidth="9.42578125" defaultRowHeight="12.75" outlineLevelRow="1" outlineLevelCol="1" x14ac:dyDescent="0.25"/>
  <cols>
    <col min="1" max="1" width="4" style="2126" customWidth="1"/>
    <col min="2" max="2" width="29.5703125" style="2126" customWidth="1" outlineLevel="1"/>
    <col min="3" max="3" width="21.5703125" style="2126" customWidth="1" outlineLevel="1"/>
    <col min="4" max="5" width="27.5703125" style="2126" customWidth="1"/>
    <col min="6" max="6" width="23" style="2126" customWidth="1"/>
    <col min="7" max="8" width="9.42578125" style="2126"/>
    <col min="9" max="9" width="12" style="2126" customWidth="1"/>
    <col min="10" max="10" width="9.42578125" style="2126"/>
    <col min="11" max="13" width="9.5703125" style="2126" customWidth="1"/>
    <col min="14" max="14" width="12" style="2126" customWidth="1"/>
    <col min="15" max="15" width="12.5703125" style="2126" customWidth="1"/>
    <col min="16" max="16" width="21.42578125" style="2126" customWidth="1"/>
    <col min="17" max="17" width="12.5703125" style="2126" customWidth="1"/>
    <col min="18" max="16384" width="9.42578125" style="2126"/>
  </cols>
  <sheetData>
    <row r="2" spans="2:19" x14ac:dyDescent="0.25">
      <c r="D2" s="2126" t="s">
        <v>2061</v>
      </c>
    </row>
    <row r="5" spans="2:19" x14ac:dyDescent="0.25">
      <c r="D5" s="2126" t="s">
        <v>2288</v>
      </c>
    </row>
    <row r="6" spans="2:19" x14ac:dyDescent="0.25">
      <c r="D6" s="2126" t="s">
        <v>2062</v>
      </c>
    </row>
    <row r="7" spans="2:19" x14ac:dyDescent="0.25">
      <c r="D7" s="2126" t="s">
        <v>2289</v>
      </c>
    </row>
    <row r="8" spans="2:19" x14ac:dyDescent="0.25">
      <c r="D8" s="2126" t="s">
        <v>2063</v>
      </c>
    </row>
    <row r="9" spans="2:19" x14ac:dyDescent="0.25">
      <c r="D9" s="2126" t="s">
        <v>2064</v>
      </c>
    </row>
    <row r="13" spans="2:19" ht="15.75" x14ac:dyDescent="0.25">
      <c r="D13" s="2127" t="s">
        <v>2065</v>
      </c>
      <c r="E13" s="2127"/>
      <c r="S13" s="2126" t="s">
        <v>2254</v>
      </c>
    </row>
    <row r="14" spans="2:19" x14ac:dyDescent="0.25">
      <c r="P14" s="2130" t="s">
        <v>2267</v>
      </c>
      <c r="S14" s="2039" t="s">
        <v>2166</v>
      </c>
    </row>
    <row r="15" spans="2:19" ht="38.25" x14ac:dyDescent="0.25">
      <c r="B15" s="2128" t="s">
        <v>2066</v>
      </c>
      <c r="C15" s="2128" t="s">
        <v>2066</v>
      </c>
      <c r="D15" s="2129" t="s">
        <v>2067</v>
      </c>
      <c r="E15" s="2130" t="s">
        <v>2068</v>
      </c>
      <c r="F15" s="2130" t="s">
        <v>2069</v>
      </c>
      <c r="G15" s="2131" t="s">
        <v>2070</v>
      </c>
      <c r="H15" s="2163" t="s">
        <v>2071</v>
      </c>
      <c r="I15" s="2163" t="s">
        <v>2072</v>
      </c>
      <c r="J15" s="2163" t="s">
        <v>2073</v>
      </c>
      <c r="K15" s="2163" t="s">
        <v>2074</v>
      </c>
      <c r="L15" s="2163" t="s">
        <v>2075</v>
      </c>
      <c r="M15" s="2131" t="s">
        <v>2076</v>
      </c>
      <c r="N15" s="2131" t="s">
        <v>2077</v>
      </c>
      <c r="O15" s="2130"/>
      <c r="P15" s="2130" t="s">
        <v>2264</v>
      </c>
      <c r="Q15" s="2130" t="s">
        <v>2268</v>
      </c>
      <c r="R15" s="2132" t="s">
        <v>2269</v>
      </c>
    </row>
    <row r="17" spans="2:27" ht="15" x14ac:dyDescent="0.25">
      <c r="B17" s="2126" t="str">
        <f>+D17&amp;" "&amp;E17&amp;" "&amp;F17</f>
        <v>115kV monopole  De-Energized</v>
      </c>
      <c r="C17" s="2126" t="str">
        <f>+D17&amp;" "&amp;F17</f>
        <v>115kV De-Energized</v>
      </c>
      <c r="D17" s="2126" t="s">
        <v>2078</v>
      </c>
      <c r="E17" s="2126" t="s">
        <v>2079</v>
      </c>
      <c r="F17" s="2126" t="s">
        <v>2080</v>
      </c>
      <c r="G17" s="2133" t="s">
        <v>2081</v>
      </c>
      <c r="H17" s="2165">
        <v>0</v>
      </c>
      <c r="I17" s="2165"/>
      <c r="J17" s="2165"/>
      <c r="K17" s="586">
        <f>SUM(H17:J17)</f>
        <v>0</v>
      </c>
      <c r="L17" s="586">
        <f>+(+H17+I17+J17)*1</f>
        <v>0</v>
      </c>
      <c r="M17" s="2165">
        <v>95</v>
      </c>
      <c r="N17" s="586">
        <f>+L17*M17</f>
        <v>0</v>
      </c>
      <c r="P17" s="2126" t="s">
        <v>2270</v>
      </c>
      <c r="Q17" s="2126" t="s">
        <v>2270</v>
      </c>
      <c r="R17" s="2126" t="s">
        <v>2270</v>
      </c>
      <c r="S17" t="str">
        <f>+T17&amp;", "&amp;U17&amp;", "&amp;V17&amp;", "&amp;W17&amp;", "&amp;X17&amp;", "&amp;Z17&amp;", "&amp;Y17&amp;", "&amp;AA17</f>
        <v>Structure, 115kV, H frame, Dead end, 80-99ft, Deeneergized, New, Concrete Caisson Fnd</v>
      </c>
      <c r="T17" s="2126" t="s">
        <v>2164</v>
      </c>
      <c r="U17" s="2126" t="s">
        <v>2078</v>
      </c>
      <c r="V17" s="2126" t="s">
        <v>2084</v>
      </c>
      <c r="W17" s="2126" t="s">
        <v>2252</v>
      </c>
      <c r="X17" s="2126" t="s">
        <v>2161</v>
      </c>
      <c r="Y17" s="2126" t="s">
        <v>908</v>
      </c>
      <c r="Z17" s="2126" t="s">
        <v>2253</v>
      </c>
      <c r="AA17" s="2126" t="s">
        <v>2158</v>
      </c>
    </row>
    <row r="18" spans="2:27" ht="15" x14ac:dyDescent="0.25">
      <c r="B18" s="2126" t="str">
        <f t="shared" ref="B18:B45" si="0">+D18&amp;" "&amp;E18&amp;" "&amp;F18</f>
        <v>115kV monopole  De-Energized</v>
      </c>
      <c r="C18" s="2126" t="str">
        <f t="shared" ref="C18:C45" si="1">+D18&amp;" "&amp;F18</f>
        <v>115kV De-Energized</v>
      </c>
      <c r="D18" s="2126" t="s">
        <v>2078</v>
      </c>
      <c r="E18" s="2126" t="s">
        <v>2079</v>
      </c>
      <c r="F18" s="2126" t="s">
        <v>2080</v>
      </c>
      <c r="G18" s="2134" t="s">
        <v>2082</v>
      </c>
      <c r="H18" s="2165"/>
      <c r="I18" s="2165"/>
      <c r="J18" s="2165"/>
      <c r="K18" s="586">
        <f>SUM(H18:J18)</f>
        <v>0</v>
      </c>
      <c r="L18" s="586">
        <f>+(+H18+I18+J18)*1</f>
        <v>0</v>
      </c>
      <c r="M18" s="2165">
        <v>120</v>
      </c>
      <c r="N18" s="586">
        <f t="shared" ref="N18:N45" si="2">+L18*M18</f>
        <v>0</v>
      </c>
      <c r="P18" s="2126" t="s">
        <v>2270</v>
      </c>
      <c r="Q18" s="2126" t="s">
        <v>2270</v>
      </c>
      <c r="R18" s="2126" t="s">
        <v>2270</v>
      </c>
    </row>
    <row r="19" spans="2:27" ht="15" x14ac:dyDescent="0.25">
      <c r="B19" s="2126" t="str">
        <f t="shared" si="0"/>
        <v>115kV monopole  Live line/DNO</v>
      </c>
      <c r="C19" s="2126" t="str">
        <f t="shared" si="1"/>
        <v>115kV Live line/DNO</v>
      </c>
      <c r="D19" s="2126" t="s">
        <v>2078</v>
      </c>
      <c r="E19" s="2126" t="s">
        <v>2079</v>
      </c>
      <c r="F19" s="2135" t="s">
        <v>2083</v>
      </c>
      <c r="G19" s="2133" t="s">
        <v>2081</v>
      </c>
      <c r="H19" s="2165"/>
      <c r="I19" s="2165"/>
      <c r="J19" s="2165"/>
      <c r="K19" s="586">
        <f t="shared" ref="K19:K27" si="3">SUM(H19:J19)</f>
        <v>0</v>
      </c>
      <c r="L19" s="586">
        <f t="shared" ref="L19:L20" si="4">+(+H19+I19+J19)*1</f>
        <v>0</v>
      </c>
      <c r="M19" s="2165">
        <f>+$M$17</f>
        <v>95</v>
      </c>
      <c r="N19" s="586">
        <f t="shared" si="2"/>
        <v>0</v>
      </c>
      <c r="P19" s="2126" t="s">
        <v>2270</v>
      </c>
      <c r="Q19" s="2126" t="s">
        <v>2270</v>
      </c>
      <c r="R19" s="2126" t="s">
        <v>2270</v>
      </c>
    </row>
    <row r="20" spans="2:27" ht="15" x14ac:dyDescent="0.25">
      <c r="B20" s="2126" t="str">
        <f t="shared" si="0"/>
        <v>115kV monopole  Live line/DNO</v>
      </c>
      <c r="C20" s="2126" t="str">
        <f t="shared" si="1"/>
        <v>115kV Live line/DNO</v>
      </c>
      <c r="D20" s="2126" t="s">
        <v>2078</v>
      </c>
      <c r="E20" s="2126" t="s">
        <v>2079</v>
      </c>
      <c r="F20" s="2135" t="s">
        <v>2083</v>
      </c>
      <c r="G20" s="2134" t="s">
        <v>2082</v>
      </c>
      <c r="H20" s="2165"/>
      <c r="I20" s="2165"/>
      <c r="J20" s="2165"/>
      <c r="K20" s="586">
        <f t="shared" ref="K20" si="5">SUM(H20:J20)</f>
        <v>0</v>
      </c>
      <c r="L20" s="586">
        <f t="shared" si="4"/>
        <v>0</v>
      </c>
      <c r="M20" s="2165">
        <f>+$M$18</f>
        <v>120</v>
      </c>
      <c r="N20" s="586">
        <f t="shared" si="2"/>
        <v>0</v>
      </c>
      <c r="P20" s="2126" t="s">
        <v>2270</v>
      </c>
      <c r="Q20" s="2126" t="s">
        <v>2270</v>
      </c>
      <c r="R20" s="2126" t="s">
        <v>2270</v>
      </c>
    </row>
    <row r="21" spans="2:27" ht="15" x14ac:dyDescent="0.25">
      <c r="F21" s="2135"/>
      <c r="G21" s="2134"/>
      <c r="H21" s="586"/>
      <c r="I21" s="586"/>
      <c r="J21" s="586"/>
      <c r="K21" s="586"/>
      <c r="L21" s="586"/>
      <c r="M21" s="2165"/>
      <c r="N21" s="586"/>
    </row>
    <row r="22" spans="2:27" ht="15" x14ac:dyDescent="0.25">
      <c r="B22" s="2126" t="str">
        <f t="shared" si="0"/>
        <v>115kV H frame De-Energized</v>
      </c>
      <c r="C22" s="2126" t="str">
        <f t="shared" si="1"/>
        <v>115kV De-Energized</v>
      </c>
      <c r="D22" s="2126" t="s">
        <v>2078</v>
      </c>
      <c r="E22" s="2135" t="s">
        <v>2084</v>
      </c>
      <c r="F22" s="2126" t="s">
        <v>2080</v>
      </c>
      <c r="G22" s="2133" t="s">
        <v>2081</v>
      </c>
      <c r="H22" s="2165"/>
      <c r="I22" s="2165"/>
      <c r="J22" s="2165"/>
      <c r="K22" s="586">
        <f t="shared" si="3"/>
        <v>0</v>
      </c>
      <c r="L22" s="586">
        <f>+(+H22+I22+J22)*2</f>
        <v>0</v>
      </c>
      <c r="M22" s="2165">
        <f>+$M$17</f>
        <v>95</v>
      </c>
      <c r="N22" s="586">
        <f t="shared" si="2"/>
        <v>0</v>
      </c>
      <c r="P22" s="2126" t="s">
        <v>2269</v>
      </c>
      <c r="Q22" s="2126" t="s">
        <v>2269</v>
      </c>
      <c r="R22" s="2126" t="s">
        <v>2269</v>
      </c>
    </row>
    <row r="23" spans="2:27" ht="15" x14ac:dyDescent="0.25">
      <c r="B23" s="2126" t="str">
        <f t="shared" si="0"/>
        <v>115kV H frame De-Energized</v>
      </c>
      <c r="C23" s="2126" t="str">
        <f t="shared" si="1"/>
        <v>115kV De-Energized</v>
      </c>
      <c r="D23" s="2126" t="s">
        <v>2078</v>
      </c>
      <c r="E23" s="2135" t="s">
        <v>2084</v>
      </c>
      <c r="F23" s="2126" t="s">
        <v>2080</v>
      </c>
      <c r="G23" s="2134" t="s">
        <v>2082</v>
      </c>
      <c r="H23" s="2165"/>
      <c r="I23" s="2165"/>
      <c r="J23" s="2165"/>
      <c r="K23" s="586">
        <f t="shared" ref="K23:K25" si="6">SUM(H23:J23)</f>
        <v>0</v>
      </c>
      <c r="L23" s="586">
        <f t="shared" ref="L23:L25" si="7">+(+H23+I23+J23)*2</f>
        <v>0</v>
      </c>
      <c r="M23" s="2165">
        <f>+$M$18</f>
        <v>120</v>
      </c>
      <c r="N23" s="586">
        <f t="shared" si="2"/>
        <v>0</v>
      </c>
      <c r="P23" s="2126" t="s">
        <v>2269</v>
      </c>
      <c r="Q23" s="2126" t="s">
        <v>2269</v>
      </c>
      <c r="R23" s="2126" t="s">
        <v>2269</v>
      </c>
    </row>
    <row r="24" spans="2:27" ht="15" x14ac:dyDescent="0.25">
      <c r="B24" s="2126" t="str">
        <f t="shared" si="0"/>
        <v>115kV H frame Live line/DNO</v>
      </c>
      <c r="C24" s="2126" t="str">
        <f t="shared" si="1"/>
        <v>115kV Live line/DNO</v>
      </c>
      <c r="D24" s="2126" t="s">
        <v>2078</v>
      </c>
      <c r="E24" s="2135" t="s">
        <v>2084</v>
      </c>
      <c r="F24" s="2135" t="s">
        <v>2083</v>
      </c>
      <c r="G24" s="2133" t="s">
        <v>2081</v>
      </c>
      <c r="H24" s="2165"/>
      <c r="I24" s="2165"/>
      <c r="J24" s="2165"/>
      <c r="K24" s="586">
        <f t="shared" si="6"/>
        <v>0</v>
      </c>
      <c r="L24" s="586">
        <f t="shared" si="7"/>
        <v>0</v>
      </c>
      <c r="M24" s="2165">
        <f>+$M$17</f>
        <v>95</v>
      </c>
      <c r="N24" s="586">
        <f t="shared" si="2"/>
        <v>0</v>
      </c>
      <c r="P24" s="2126" t="s">
        <v>2269</v>
      </c>
      <c r="Q24" s="2126" t="s">
        <v>2269</v>
      </c>
      <c r="R24" s="2126" t="s">
        <v>2269</v>
      </c>
    </row>
    <row r="25" spans="2:27" ht="15" x14ac:dyDescent="0.25">
      <c r="B25" s="2126" t="str">
        <f t="shared" si="0"/>
        <v>115kV H frame Live line/DNO</v>
      </c>
      <c r="C25" s="2126" t="str">
        <f t="shared" si="1"/>
        <v>115kV Live line/DNO</v>
      </c>
      <c r="D25" s="2126" t="s">
        <v>2078</v>
      </c>
      <c r="E25" s="2135" t="s">
        <v>2084</v>
      </c>
      <c r="F25" s="2135" t="s">
        <v>2083</v>
      </c>
      <c r="G25" s="2134" t="s">
        <v>2082</v>
      </c>
      <c r="H25" s="2165"/>
      <c r="I25" s="2165"/>
      <c r="J25" s="2165"/>
      <c r="K25" s="586">
        <f t="shared" si="6"/>
        <v>0</v>
      </c>
      <c r="L25" s="586">
        <f t="shared" si="7"/>
        <v>0</v>
      </c>
      <c r="M25" s="2165">
        <f>+$M$18</f>
        <v>120</v>
      </c>
      <c r="N25" s="586">
        <f t="shared" si="2"/>
        <v>0</v>
      </c>
      <c r="P25" s="2126" t="s">
        <v>2269</v>
      </c>
      <c r="Q25" s="2126" t="s">
        <v>2269</v>
      </c>
      <c r="R25" s="2126" t="s">
        <v>2269</v>
      </c>
    </row>
    <row r="26" spans="2:27" ht="15" x14ac:dyDescent="0.25">
      <c r="E26" s="2135"/>
      <c r="F26" s="2135"/>
      <c r="G26" s="2134"/>
      <c r="H26" s="586"/>
      <c r="I26" s="586"/>
      <c r="J26" s="586"/>
      <c r="K26" s="586"/>
      <c r="L26" s="586"/>
      <c r="M26" s="2165"/>
      <c r="N26" s="586"/>
    </row>
    <row r="27" spans="2:27" ht="15" x14ac:dyDescent="0.25">
      <c r="B27" s="2126" t="str">
        <f t="shared" si="0"/>
        <v>115kV Horz - 3 pole De-Energized</v>
      </c>
      <c r="C27" s="2126" t="str">
        <f t="shared" si="1"/>
        <v>115kV De-Energized</v>
      </c>
      <c r="D27" s="2126" t="s">
        <v>2078</v>
      </c>
      <c r="E27" s="2134" t="s">
        <v>2085</v>
      </c>
      <c r="F27" s="2126" t="s">
        <v>2080</v>
      </c>
      <c r="G27" s="2133" t="s">
        <v>2081</v>
      </c>
      <c r="H27" s="2165"/>
      <c r="I27" s="2165"/>
      <c r="J27" s="2165"/>
      <c r="K27" s="586">
        <f t="shared" si="3"/>
        <v>0</v>
      </c>
      <c r="L27" s="586">
        <f>+(+H27+I27+J27)*3</f>
        <v>0</v>
      </c>
      <c r="M27" s="2165">
        <f>+$M$17</f>
        <v>95</v>
      </c>
      <c r="N27" s="586">
        <f t="shared" si="2"/>
        <v>0</v>
      </c>
      <c r="P27" s="2126" t="s">
        <v>2269</v>
      </c>
      <c r="Q27" s="2126" t="s">
        <v>2269</v>
      </c>
      <c r="R27" s="2126" t="s">
        <v>2269</v>
      </c>
    </row>
    <row r="28" spans="2:27" ht="15" x14ac:dyDescent="0.25">
      <c r="B28" s="2126" t="str">
        <f t="shared" si="0"/>
        <v>115kV Horz - 3 pole De-Energized</v>
      </c>
      <c r="C28" s="2126" t="str">
        <f t="shared" si="1"/>
        <v>115kV De-Energized</v>
      </c>
      <c r="D28" s="2126" t="s">
        <v>2078</v>
      </c>
      <c r="E28" s="2134" t="s">
        <v>2085</v>
      </c>
      <c r="F28" s="2126" t="s">
        <v>2080</v>
      </c>
      <c r="G28" s="2134" t="s">
        <v>2082</v>
      </c>
      <c r="H28" s="2165"/>
      <c r="I28" s="2165"/>
      <c r="J28" s="2165"/>
      <c r="K28" s="586">
        <f t="shared" ref="K28:K30" si="8">SUM(H28:J28)</f>
        <v>0</v>
      </c>
      <c r="L28" s="586">
        <f t="shared" ref="L28:L30" si="9">+(+H28+I28+J28)*3</f>
        <v>0</v>
      </c>
      <c r="M28" s="2165">
        <f>+$M$18</f>
        <v>120</v>
      </c>
      <c r="N28" s="586">
        <f t="shared" si="2"/>
        <v>0</v>
      </c>
      <c r="P28" s="2126" t="s">
        <v>2269</v>
      </c>
      <c r="Q28" s="2126" t="s">
        <v>2269</v>
      </c>
      <c r="R28" s="2126" t="s">
        <v>2269</v>
      </c>
    </row>
    <row r="29" spans="2:27" ht="15" x14ac:dyDescent="0.25">
      <c r="B29" s="2126" t="str">
        <f t="shared" si="0"/>
        <v>115kV Horz - 3 pole Live line/DNO</v>
      </c>
      <c r="C29" s="2126" t="str">
        <f t="shared" si="1"/>
        <v>115kV Live line/DNO</v>
      </c>
      <c r="D29" s="2126" t="s">
        <v>2078</v>
      </c>
      <c r="E29" s="2134" t="s">
        <v>2085</v>
      </c>
      <c r="F29" s="2135" t="s">
        <v>2083</v>
      </c>
      <c r="G29" s="2133" t="s">
        <v>2081</v>
      </c>
      <c r="H29" s="2165">
        <v>0</v>
      </c>
      <c r="I29" s="2165"/>
      <c r="J29" s="2165"/>
      <c r="K29" s="586">
        <f t="shared" si="8"/>
        <v>0</v>
      </c>
      <c r="L29" s="586">
        <f t="shared" si="9"/>
        <v>0</v>
      </c>
      <c r="M29" s="2165">
        <f>+$M$17</f>
        <v>95</v>
      </c>
      <c r="N29" s="586">
        <f t="shared" si="2"/>
        <v>0</v>
      </c>
      <c r="P29" s="2126" t="s">
        <v>2269</v>
      </c>
      <c r="Q29" s="2126" t="s">
        <v>2269</v>
      </c>
      <c r="R29" s="2126" t="s">
        <v>2269</v>
      </c>
    </row>
    <row r="30" spans="2:27" ht="15" x14ac:dyDescent="0.25">
      <c r="B30" s="2126" t="str">
        <f t="shared" si="0"/>
        <v>115kV Horz - 3 pole Live line/DNO</v>
      </c>
      <c r="C30" s="2126" t="str">
        <f t="shared" si="1"/>
        <v>115kV Live line/DNO</v>
      </c>
      <c r="D30" s="2126" t="s">
        <v>2078</v>
      </c>
      <c r="E30" s="2134" t="s">
        <v>2085</v>
      </c>
      <c r="F30" s="2135" t="s">
        <v>2083</v>
      </c>
      <c r="G30" s="2134" t="s">
        <v>2082</v>
      </c>
      <c r="H30" s="2165">
        <v>0</v>
      </c>
      <c r="I30" s="2165"/>
      <c r="J30" s="2165"/>
      <c r="K30" s="586">
        <f t="shared" si="8"/>
        <v>0</v>
      </c>
      <c r="L30" s="586">
        <f t="shared" si="9"/>
        <v>0</v>
      </c>
      <c r="M30" s="2165">
        <f>+$M$18</f>
        <v>120</v>
      </c>
      <c r="N30" s="586">
        <f t="shared" si="2"/>
        <v>0</v>
      </c>
      <c r="P30" s="2126" t="s">
        <v>2269</v>
      </c>
      <c r="Q30" s="2126" t="s">
        <v>2269</v>
      </c>
      <c r="R30" s="2126" t="s">
        <v>2269</v>
      </c>
    </row>
    <row r="31" spans="2:27" ht="15" x14ac:dyDescent="0.25">
      <c r="C31" s="2126" t="str">
        <f t="shared" si="1"/>
        <v xml:space="preserve"> </v>
      </c>
      <c r="G31" s="2135"/>
      <c r="H31" s="586"/>
      <c r="I31" s="586"/>
      <c r="J31" s="586"/>
      <c r="K31" s="586"/>
      <c r="L31" s="586"/>
      <c r="M31" s="2166"/>
      <c r="N31" s="586">
        <f t="shared" si="2"/>
        <v>0</v>
      </c>
    </row>
    <row r="32" spans="2:27" ht="15" x14ac:dyDescent="0.25">
      <c r="B32" s="2126" t="str">
        <f t="shared" si="0"/>
        <v>345kV monopole  De-Energized</v>
      </c>
      <c r="C32" s="2126" t="str">
        <f t="shared" si="1"/>
        <v>345kV De-Energized</v>
      </c>
      <c r="D32" s="2126" t="s">
        <v>2086</v>
      </c>
      <c r="E32" s="2126" t="s">
        <v>2079</v>
      </c>
      <c r="F32" s="2126" t="s">
        <v>2080</v>
      </c>
      <c r="G32" s="2133" t="s">
        <v>2277</v>
      </c>
      <c r="H32" s="2165"/>
      <c r="I32" s="2165"/>
      <c r="J32" s="2165"/>
      <c r="K32" s="586">
        <f>SUM(H32:J32)</f>
        <v>0</v>
      </c>
      <c r="L32" s="586">
        <f>+(+H32+I32+J32)*1</f>
        <v>0</v>
      </c>
      <c r="M32" s="2165">
        <v>130</v>
      </c>
      <c r="N32" s="586">
        <f t="shared" si="2"/>
        <v>0</v>
      </c>
      <c r="P32" s="2126" t="s">
        <v>2270</v>
      </c>
      <c r="Q32" s="2126" t="s">
        <v>2270</v>
      </c>
      <c r="R32" s="2126" t="s">
        <v>2270</v>
      </c>
    </row>
    <row r="33" spans="2:18" ht="15" x14ac:dyDescent="0.25">
      <c r="B33" s="2126" t="str">
        <f t="shared" si="0"/>
        <v>345kV monopole  De-Energized</v>
      </c>
      <c r="C33" s="2126" t="str">
        <f t="shared" si="1"/>
        <v>345kV De-Energized</v>
      </c>
      <c r="D33" s="2126" t="s">
        <v>2086</v>
      </c>
      <c r="E33" s="2126" t="s">
        <v>2079</v>
      </c>
      <c r="F33" s="2126" t="s">
        <v>2080</v>
      </c>
      <c r="G33" s="2134" t="s">
        <v>2278</v>
      </c>
      <c r="H33" s="2165"/>
      <c r="I33" s="2165"/>
      <c r="J33" s="2165"/>
      <c r="K33" s="586">
        <f>SUM(H33:J33)</f>
        <v>0</v>
      </c>
      <c r="L33" s="586">
        <f>+(+H33+I33+J33)*1</f>
        <v>0</v>
      </c>
      <c r="M33" s="2165">
        <v>150</v>
      </c>
      <c r="N33" s="586">
        <f t="shared" si="2"/>
        <v>0</v>
      </c>
      <c r="P33" s="2126" t="s">
        <v>2270</v>
      </c>
      <c r="Q33" s="2126" t="s">
        <v>2270</v>
      </c>
      <c r="R33" s="2126" t="s">
        <v>2270</v>
      </c>
    </row>
    <row r="34" spans="2:18" ht="15" x14ac:dyDescent="0.25">
      <c r="B34" s="2126" t="str">
        <f t="shared" si="0"/>
        <v>345kV monopole  Live line/DNO</v>
      </c>
      <c r="C34" s="2126" t="str">
        <f t="shared" si="1"/>
        <v>345kV Live line/DNO</v>
      </c>
      <c r="D34" s="2126" t="s">
        <v>2086</v>
      </c>
      <c r="E34" s="2126" t="s">
        <v>2079</v>
      </c>
      <c r="F34" s="2135" t="s">
        <v>2083</v>
      </c>
      <c r="G34" s="2133" t="s">
        <v>2277</v>
      </c>
      <c r="H34" s="2165"/>
      <c r="I34" s="2165"/>
      <c r="J34" s="2165"/>
      <c r="K34" s="586">
        <f t="shared" ref="K34:K45" si="10">SUM(H34:J34)</f>
        <v>0</v>
      </c>
      <c r="L34" s="586">
        <f t="shared" ref="L34:L35" si="11">+(+H34+I34+J34)*1</f>
        <v>0</v>
      </c>
      <c r="M34" s="2165">
        <v>130</v>
      </c>
      <c r="N34" s="586">
        <f t="shared" si="2"/>
        <v>0</v>
      </c>
      <c r="P34" s="2126" t="s">
        <v>2270</v>
      </c>
      <c r="Q34" s="2126" t="s">
        <v>2270</v>
      </c>
      <c r="R34" s="2126" t="s">
        <v>2270</v>
      </c>
    </row>
    <row r="35" spans="2:18" ht="15" x14ac:dyDescent="0.25">
      <c r="B35" s="2126" t="str">
        <f t="shared" si="0"/>
        <v>345kV monopole  Live line/DNO</v>
      </c>
      <c r="C35" s="2126" t="str">
        <f t="shared" si="1"/>
        <v>345kV Live line/DNO</v>
      </c>
      <c r="D35" s="2126" t="s">
        <v>2086</v>
      </c>
      <c r="E35" s="2126" t="s">
        <v>2079</v>
      </c>
      <c r="F35" s="2135" t="s">
        <v>2083</v>
      </c>
      <c r="G35" s="2134" t="s">
        <v>2278</v>
      </c>
      <c r="H35" s="2165"/>
      <c r="I35" s="2165"/>
      <c r="J35" s="2165"/>
      <c r="K35" s="586">
        <f t="shared" si="10"/>
        <v>0</v>
      </c>
      <c r="L35" s="586">
        <f t="shared" si="11"/>
        <v>0</v>
      </c>
      <c r="M35" s="2165">
        <v>150</v>
      </c>
      <c r="N35" s="586">
        <f t="shared" si="2"/>
        <v>0</v>
      </c>
      <c r="P35" s="2126" t="s">
        <v>2270</v>
      </c>
      <c r="Q35" s="2126" t="s">
        <v>2270</v>
      </c>
      <c r="R35" s="2126" t="s">
        <v>2270</v>
      </c>
    </row>
    <row r="36" spans="2:18" ht="15" x14ac:dyDescent="0.25">
      <c r="F36" s="2135"/>
      <c r="G36" s="2134"/>
      <c r="H36" s="586"/>
      <c r="I36" s="586"/>
      <c r="J36" s="586"/>
      <c r="K36" s="586"/>
      <c r="L36" s="586"/>
      <c r="M36" s="2165"/>
      <c r="N36" s="586"/>
    </row>
    <row r="37" spans="2:18" ht="15" x14ac:dyDescent="0.25">
      <c r="B37" s="2126" t="str">
        <f t="shared" si="0"/>
        <v>345kV H frame De-Energized</v>
      </c>
      <c r="C37" s="2126" t="str">
        <f t="shared" si="1"/>
        <v>345kV De-Energized</v>
      </c>
      <c r="D37" s="2126" t="s">
        <v>2086</v>
      </c>
      <c r="E37" s="2135" t="s">
        <v>2084</v>
      </c>
      <c r="F37" s="2126" t="s">
        <v>2080</v>
      </c>
      <c r="G37" s="2133" t="s">
        <v>2081</v>
      </c>
      <c r="H37" s="2165"/>
      <c r="I37" s="2165"/>
      <c r="J37" s="2165"/>
      <c r="K37" s="586">
        <f t="shared" si="10"/>
        <v>0</v>
      </c>
      <c r="L37" s="586">
        <f>+(+H37+I37+J37)*2</f>
        <v>0</v>
      </c>
      <c r="M37" s="2165">
        <f>+$M$17</f>
        <v>95</v>
      </c>
      <c r="N37" s="586">
        <f t="shared" si="2"/>
        <v>0</v>
      </c>
      <c r="P37" s="2126" t="s">
        <v>2269</v>
      </c>
      <c r="Q37" s="2126" t="s">
        <v>2269</v>
      </c>
      <c r="R37" s="2126" t="s">
        <v>2269</v>
      </c>
    </row>
    <row r="38" spans="2:18" ht="15" x14ac:dyDescent="0.25">
      <c r="B38" s="2126" t="str">
        <f t="shared" si="0"/>
        <v>345kV H frame De-Energized</v>
      </c>
      <c r="C38" s="2126" t="str">
        <f t="shared" si="1"/>
        <v>345kV De-Energized</v>
      </c>
      <c r="D38" s="2126" t="s">
        <v>2086</v>
      </c>
      <c r="E38" s="2135" t="s">
        <v>2084</v>
      </c>
      <c r="F38" s="2126" t="s">
        <v>2080</v>
      </c>
      <c r="G38" s="2134" t="s">
        <v>2082</v>
      </c>
      <c r="H38" s="2165"/>
      <c r="I38" s="2165"/>
      <c r="J38" s="2165"/>
      <c r="K38" s="586">
        <f t="shared" si="10"/>
        <v>0</v>
      </c>
      <c r="L38" s="586">
        <f t="shared" ref="L38:L40" si="12">+(+H38+I38+J38)*2</f>
        <v>0</v>
      </c>
      <c r="M38" s="2165">
        <f>+$M$18</f>
        <v>120</v>
      </c>
      <c r="N38" s="586">
        <f t="shared" si="2"/>
        <v>0</v>
      </c>
      <c r="P38" s="2126" t="s">
        <v>2269</v>
      </c>
      <c r="Q38" s="2126" t="s">
        <v>2269</v>
      </c>
      <c r="R38" s="2126" t="s">
        <v>2269</v>
      </c>
    </row>
    <row r="39" spans="2:18" ht="15" x14ac:dyDescent="0.25">
      <c r="B39" s="2126" t="str">
        <f t="shared" si="0"/>
        <v>345kV H frame Live line/DNO</v>
      </c>
      <c r="C39" s="2126" t="str">
        <f t="shared" si="1"/>
        <v>345kV Live line/DNO</v>
      </c>
      <c r="D39" s="2126" t="s">
        <v>2086</v>
      </c>
      <c r="E39" s="2135" t="s">
        <v>2084</v>
      </c>
      <c r="F39" s="2135" t="s">
        <v>2083</v>
      </c>
      <c r="G39" s="2133" t="s">
        <v>2081</v>
      </c>
      <c r="H39" s="2165"/>
      <c r="I39" s="2165"/>
      <c r="J39" s="2165"/>
      <c r="K39" s="586">
        <f t="shared" si="10"/>
        <v>0</v>
      </c>
      <c r="L39" s="586">
        <f t="shared" si="12"/>
        <v>0</v>
      </c>
      <c r="M39" s="2165">
        <f>+$M$17</f>
        <v>95</v>
      </c>
      <c r="N39" s="586">
        <f t="shared" si="2"/>
        <v>0</v>
      </c>
      <c r="P39" s="2126" t="s">
        <v>2269</v>
      </c>
      <c r="Q39" s="2126" t="s">
        <v>2269</v>
      </c>
      <c r="R39" s="2126" t="s">
        <v>2269</v>
      </c>
    </row>
    <row r="40" spans="2:18" ht="15" x14ac:dyDescent="0.25">
      <c r="B40" s="2126" t="str">
        <f t="shared" si="0"/>
        <v>345kV H frame Live line/DNO</v>
      </c>
      <c r="C40" s="2126" t="str">
        <f t="shared" si="1"/>
        <v>345kV Live line/DNO</v>
      </c>
      <c r="D40" s="2126" t="s">
        <v>2086</v>
      </c>
      <c r="E40" s="2135" t="s">
        <v>2084</v>
      </c>
      <c r="F40" s="2135" t="s">
        <v>2083</v>
      </c>
      <c r="G40" s="2134" t="s">
        <v>2082</v>
      </c>
      <c r="H40" s="2165"/>
      <c r="I40" s="2165"/>
      <c r="J40" s="2165"/>
      <c r="K40" s="586">
        <f t="shared" si="10"/>
        <v>0</v>
      </c>
      <c r="L40" s="586">
        <f t="shared" si="12"/>
        <v>0</v>
      </c>
      <c r="M40" s="2165">
        <f>+$M$18</f>
        <v>120</v>
      </c>
      <c r="N40" s="586">
        <f t="shared" si="2"/>
        <v>0</v>
      </c>
      <c r="P40" s="2126" t="s">
        <v>2269</v>
      </c>
      <c r="Q40" s="2126" t="s">
        <v>2269</v>
      </c>
      <c r="R40" s="2126" t="s">
        <v>2269</v>
      </c>
    </row>
    <row r="41" spans="2:18" ht="15" x14ac:dyDescent="0.25">
      <c r="E41" s="2135"/>
      <c r="F41" s="2135"/>
      <c r="G41" s="2134"/>
      <c r="H41" s="586"/>
      <c r="I41" s="586"/>
      <c r="J41" s="586"/>
      <c r="K41" s="586"/>
      <c r="L41" s="586"/>
      <c r="M41" s="2165"/>
      <c r="N41" s="586"/>
    </row>
    <row r="42" spans="2:18" ht="15" x14ac:dyDescent="0.25">
      <c r="B42" s="2126" t="str">
        <f t="shared" si="0"/>
        <v>345kV Horz - 3 pole De-Energized</v>
      </c>
      <c r="C42" s="2126" t="str">
        <f t="shared" si="1"/>
        <v>345kV De-Energized</v>
      </c>
      <c r="D42" s="2126" t="s">
        <v>2086</v>
      </c>
      <c r="E42" s="2134" t="s">
        <v>2085</v>
      </c>
      <c r="F42" s="2126" t="s">
        <v>2080</v>
      </c>
      <c r="G42" s="2133" t="s">
        <v>2081</v>
      </c>
      <c r="H42" s="2165"/>
      <c r="I42" s="2165"/>
      <c r="J42" s="2165"/>
      <c r="K42" s="586">
        <f t="shared" si="10"/>
        <v>0</v>
      </c>
      <c r="L42" s="586">
        <f>+(+H42+I42+J42)*3</f>
        <v>0</v>
      </c>
      <c r="M42" s="2165">
        <f>+$M$17</f>
        <v>95</v>
      </c>
      <c r="N42" s="586">
        <f t="shared" si="2"/>
        <v>0</v>
      </c>
      <c r="P42" s="2126" t="s">
        <v>2269</v>
      </c>
      <c r="Q42" s="2126" t="s">
        <v>2269</v>
      </c>
      <c r="R42" s="2126" t="s">
        <v>2269</v>
      </c>
    </row>
    <row r="43" spans="2:18" ht="15" x14ac:dyDescent="0.25">
      <c r="B43" s="2126" t="str">
        <f t="shared" si="0"/>
        <v>345kV Horz - 3 pole De-Energized</v>
      </c>
      <c r="C43" s="2126" t="str">
        <f t="shared" si="1"/>
        <v>345kV De-Energized</v>
      </c>
      <c r="D43" s="2126" t="s">
        <v>2086</v>
      </c>
      <c r="E43" s="2134" t="s">
        <v>2085</v>
      </c>
      <c r="F43" s="2126" t="s">
        <v>2080</v>
      </c>
      <c r="G43" s="2134" t="s">
        <v>2082</v>
      </c>
      <c r="H43" s="2165"/>
      <c r="I43" s="2165"/>
      <c r="J43" s="2165"/>
      <c r="K43" s="586">
        <f t="shared" si="10"/>
        <v>0</v>
      </c>
      <c r="L43" s="586">
        <f t="shared" ref="L43:L45" si="13">+(+H43+I43+J43)*3</f>
        <v>0</v>
      </c>
      <c r="M43" s="2165">
        <f>+$M$18</f>
        <v>120</v>
      </c>
      <c r="N43" s="586">
        <f t="shared" si="2"/>
        <v>0</v>
      </c>
      <c r="P43" s="2126" t="s">
        <v>2269</v>
      </c>
      <c r="Q43" s="2126" t="s">
        <v>2269</v>
      </c>
      <c r="R43" s="2126" t="s">
        <v>2269</v>
      </c>
    </row>
    <row r="44" spans="2:18" ht="15" x14ac:dyDescent="0.25">
      <c r="B44" s="2126" t="str">
        <f t="shared" si="0"/>
        <v>345kV Horz - 3 pole Live line/DNO</v>
      </c>
      <c r="C44" s="2126" t="str">
        <f t="shared" si="1"/>
        <v>345kV Live line/DNO</v>
      </c>
      <c r="D44" s="2126" t="s">
        <v>2086</v>
      </c>
      <c r="E44" s="2134" t="s">
        <v>2085</v>
      </c>
      <c r="F44" s="2135" t="s">
        <v>2083</v>
      </c>
      <c r="G44" s="2133" t="s">
        <v>2081</v>
      </c>
      <c r="H44" s="2165"/>
      <c r="I44" s="2165"/>
      <c r="J44" s="2165"/>
      <c r="K44" s="586">
        <f t="shared" si="10"/>
        <v>0</v>
      </c>
      <c r="L44" s="586">
        <f t="shared" si="13"/>
        <v>0</v>
      </c>
      <c r="M44" s="2165">
        <f>+$M$17</f>
        <v>95</v>
      </c>
      <c r="N44" s="586">
        <f t="shared" si="2"/>
        <v>0</v>
      </c>
      <c r="P44" s="2126" t="s">
        <v>2269</v>
      </c>
      <c r="Q44" s="2126" t="s">
        <v>2269</v>
      </c>
      <c r="R44" s="2126" t="s">
        <v>2269</v>
      </c>
    </row>
    <row r="45" spans="2:18" ht="15" x14ac:dyDescent="0.25">
      <c r="B45" s="2126" t="str">
        <f t="shared" si="0"/>
        <v>345kV Horz - 3 pole Live line/DNO</v>
      </c>
      <c r="C45" s="2126" t="str">
        <f t="shared" si="1"/>
        <v>345kV Live line/DNO</v>
      </c>
      <c r="D45" s="2126" t="s">
        <v>2086</v>
      </c>
      <c r="E45" s="2134" t="s">
        <v>2085</v>
      </c>
      <c r="F45" s="2135" t="s">
        <v>2083</v>
      </c>
      <c r="G45" s="2134" t="s">
        <v>2082</v>
      </c>
      <c r="H45" s="2165"/>
      <c r="I45" s="2165"/>
      <c r="J45" s="2165"/>
      <c r="K45" s="586">
        <f t="shared" si="10"/>
        <v>0</v>
      </c>
      <c r="L45" s="586">
        <f t="shared" si="13"/>
        <v>0</v>
      </c>
      <c r="M45" s="2165">
        <f>+$M$18</f>
        <v>120</v>
      </c>
      <c r="N45" s="586">
        <f t="shared" si="2"/>
        <v>0</v>
      </c>
      <c r="P45" s="2126" t="s">
        <v>2269</v>
      </c>
      <c r="Q45" s="2126" t="s">
        <v>2269</v>
      </c>
      <c r="R45" s="2126" t="s">
        <v>2269</v>
      </c>
    </row>
    <row r="46" spans="2:18" ht="15" x14ac:dyDescent="0.25">
      <c r="H46" s="586"/>
      <c r="I46" s="586"/>
      <c r="J46" s="586"/>
      <c r="K46" s="586"/>
      <c r="L46" s="586"/>
      <c r="M46" s="586"/>
      <c r="N46" s="586"/>
    </row>
    <row r="47" spans="2:18" x14ac:dyDescent="0.25">
      <c r="D47" s="2136" t="s">
        <v>2087</v>
      </c>
      <c r="E47" s="2136"/>
      <c r="F47" s="2136"/>
      <c r="G47" s="2136"/>
      <c r="H47" s="2137">
        <f>SUM(H17:H45)</f>
        <v>0</v>
      </c>
      <c r="I47" s="2137">
        <f>SUM(I17:I45)</f>
        <v>0</v>
      </c>
      <c r="J47" s="2137">
        <f>SUM(J17:J45)</f>
        <v>0</v>
      </c>
      <c r="K47" s="2137">
        <f>SUM(K17:K45)</f>
        <v>0</v>
      </c>
      <c r="L47" s="2137">
        <f>SUM(L17:L45)</f>
        <v>0</v>
      </c>
      <c r="M47" s="2137"/>
      <c r="N47" s="2137">
        <f>SUM(N17:N45)</f>
        <v>0</v>
      </c>
    </row>
    <row r="48" spans="2:18" ht="38.25" x14ac:dyDescent="0.25">
      <c r="H48" s="2163" t="s">
        <v>2071</v>
      </c>
      <c r="I48" s="2163" t="s">
        <v>2072</v>
      </c>
      <c r="J48" s="2163" t="s">
        <v>2073</v>
      </c>
      <c r="K48" s="2163" t="s">
        <v>2074</v>
      </c>
      <c r="L48" s="2163" t="s">
        <v>2075</v>
      </c>
      <c r="M48" s="2131" t="s">
        <v>2076</v>
      </c>
      <c r="N48" s="2131" t="s">
        <v>2260</v>
      </c>
    </row>
    <row r="49" spans="3:18" ht="15" outlineLevel="1" x14ac:dyDescent="0.25">
      <c r="C49" s="2138"/>
      <c r="D49" s="2139" t="s">
        <v>2088</v>
      </c>
      <c r="E49" s="2139"/>
      <c r="F49" s="2139"/>
      <c r="G49" s="2139"/>
      <c r="H49" s="1384"/>
      <c r="I49" s="1384"/>
      <c r="J49" s="1384"/>
      <c r="K49" s="1384"/>
      <c r="L49" s="1384"/>
      <c r="M49" s="1384"/>
      <c r="N49" s="1384"/>
      <c r="O49" s="2139"/>
      <c r="P49" s="2139"/>
      <c r="Q49" s="2139"/>
      <c r="R49" s="2140"/>
    </row>
    <row r="50" spans="3:18" ht="15" outlineLevel="1" x14ac:dyDescent="0.25">
      <c r="C50" s="2141" t="str">
        <f>+E17</f>
        <v xml:space="preserve">monopole </v>
      </c>
      <c r="H50" s="565">
        <f t="shared" ref="H50:J52" si="14">SUMIF($E$17:$E$45,$C50,H$17:H$45)</f>
        <v>0</v>
      </c>
      <c r="I50" s="565">
        <f t="shared" si="14"/>
        <v>0</v>
      </c>
      <c r="J50" s="565">
        <f t="shared" si="14"/>
        <v>0</v>
      </c>
      <c r="K50" s="565">
        <f>+K17+K18+K19+K20+K32+K33+K34+K35</f>
        <v>0</v>
      </c>
      <c r="L50" s="565">
        <f>SUMIF($E$17:$E$45,$C50,L$17:L$45)</f>
        <v>0</v>
      </c>
      <c r="M50" s="565"/>
      <c r="N50" s="565">
        <f>SUMIF($E$17:$E$45,$C50,N$17:N$45)</f>
        <v>0</v>
      </c>
      <c r="R50" s="2142"/>
    </row>
    <row r="51" spans="3:18" ht="15" outlineLevel="1" x14ac:dyDescent="0.25">
      <c r="C51" s="2141" t="str">
        <f>+E22</f>
        <v>H frame</v>
      </c>
      <c r="H51" s="565">
        <f t="shared" si="14"/>
        <v>0</v>
      </c>
      <c r="I51" s="565">
        <f t="shared" si="14"/>
        <v>0</v>
      </c>
      <c r="J51" s="565">
        <f t="shared" si="14"/>
        <v>0</v>
      </c>
      <c r="K51" s="565">
        <f>+K22+K23+K24+K25+K37+K38+K39+K40</f>
        <v>0</v>
      </c>
      <c r="L51" s="565">
        <f>SUMIF($E$17:$E$45,$C51,L$17:L$45)</f>
        <v>0</v>
      </c>
      <c r="M51" s="565"/>
      <c r="N51" s="565">
        <f>SUMIF($E$17:$E$45,$C51,N$17:N$45)</f>
        <v>0</v>
      </c>
      <c r="R51" s="2142"/>
    </row>
    <row r="52" spans="3:18" ht="15" outlineLevel="1" x14ac:dyDescent="0.25">
      <c r="C52" s="2141" t="str">
        <f>+E27</f>
        <v>Horz - 3 pole</v>
      </c>
      <c r="H52" s="565">
        <f t="shared" si="14"/>
        <v>0</v>
      </c>
      <c r="I52" s="565">
        <f t="shared" si="14"/>
        <v>0</v>
      </c>
      <c r="J52" s="565">
        <f t="shared" si="14"/>
        <v>0</v>
      </c>
      <c r="K52" s="565">
        <f>+K27+K28+K29+K30+K42+K43+K44+K45</f>
        <v>0</v>
      </c>
      <c r="L52" s="565">
        <f>SUMIF($E$17:$E$45,$C52,L$17:L$45)</f>
        <v>0</v>
      </c>
      <c r="M52" s="565"/>
      <c r="N52" s="565">
        <f>SUMIF($E$17:$E$45,$C52,N$17:N$45)</f>
        <v>0</v>
      </c>
      <c r="R52" s="2142"/>
    </row>
    <row r="53" spans="3:18" ht="15" outlineLevel="1" x14ac:dyDescent="0.25">
      <c r="C53" s="2143"/>
      <c r="D53" s="2144"/>
      <c r="E53" s="2144"/>
      <c r="F53" s="2144"/>
      <c r="G53" s="2144"/>
      <c r="H53" s="2145">
        <f>+H50+H51+H52</f>
        <v>0</v>
      </c>
      <c r="I53" s="2145">
        <f>+I50+I51+I52</f>
        <v>0</v>
      </c>
      <c r="J53" s="2145">
        <f>+J50+J51+J52</f>
        <v>0</v>
      </c>
      <c r="K53" s="2146">
        <f>+K50+K51+K52</f>
        <v>0</v>
      </c>
      <c r="L53" s="2145">
        <f>+L50+L51+L52</f>
        <v>0</v>
      </c>
      <c r="M53" s="2145"/>
      <c r="N53" s="2145">
        <f>+N50+N51+N52</f>
        <v>0</v>
      </c>
      <c r="O53" s="2144"/>
      <c r="P53" s="2144"/>
      <c r="Q53" s="2144"/>
      <c r="R53" s="2147"/>
    </row>
    <row r="54" spans="3:18" ht="38.25" outlineLevel="1" x14ac:dyDescent="0.25">
      <c r="H54" s="2163" t="s">
        <v>2071</v>
      </c>
      <c r="I54" s="2163" t="s">
        <v>2072</v>
      </c>
      <c r="J54" s="2163" t="s">
        <v>2073</v>
      </c>
      <c r="K54" s="2163" t="s">
        <v>2074</v>
      </c>
      <c r="L54" s="2163" t="s">
        <v>2075</v>
      </c>
      <c r="M54" s="2131" t="s">
        <v>2076</v>
      </c>
      <c r="N54" s="2131" t="s">
        <v>2259</v>
      </c>
    </row>
    <row r="55" spans="3:18" ht="15" outlineLevel="1" x14ac:dyDescent="0.25">
      <c r="C55" s="2138"/>
      <c r="D55" s="2139" t="s">
        <v>2089</v>
      </c>
      <c r="E55" s="2139"/>
      <c r="F55" s="2139"/>
      <c r="G55" s="2139"/>
      <c r="H55" s="1384"/>
      <c r="I55" s="1384"/>
      <c r="J55" s="1384"/>
      <c r="K55" s="1384"/>
      <c r="L55" s="1384"/>
      <c r="M55" s="1384"/>
      <c r="N55" s="1384"/>
      <c r="O55" s="2139"/>
      <c r="P55" s="2139"/>
      <c r="Q55" s="2139"/>
      <c r="R55" s="2140"/>
    </row>
    <row r="56" spans="3:18" ht="15" outlineLevel="1" x14ac:dyDescent="0.25">
      <c r="C56" s="2141" t="str">
        <f>+C17</f>
        <v>115kV De-Energized</v>
      </c>
      <c r="H56" s="565">
        <f t="shared" ref="H56:L59" si="15">SUMIF($C$17:$C$45,$C56,H$17:H$45)</f>
        <v>0</v>
      </c>
      <c r="I56" s="565">
        <f t="shared" si="15"/>
        <v>0</v>
      </c>
      <c r="J56" s="565">
        <f t="shared" si="15"/>
        <v>0</v>
      </c>
      <c r="K56" s="565">
        <f t="shared" si="15"/>
        <v>0</v>
      </c>
      <c r="L56" s="565">
        <f t="shared" si="15"/>
        <v>0</v>
      </c>
      <c r="M56" s="565"/>
      <c r="N56" s="565"/>
      <c r="R56" s="2142"/>
    </row>
    <row r="57" spans="3:18" ht="15" outlineLevel="1" x14ac:dyDescent="0.25">
      <c r="C57" s="2141" t="str">
        <f>+C19</f>
        <v>115kV Live line/DNO</v>
      </c>
      <c r="H57" s="565">
        <f t="shared" si="15"/>
        <v>0</v>
      </c>
      <c r="I57" s="565">
        <f t="shared" si="15"/>
        <v>0</v>
      </c>
      <c r="J57" s="565">
        <f t="shared" si="15"/>
        <v>0</v>
      </c>
      <c r="K57" s="565">
        <f t="shared" si="15"/>
        <v>0</v>
      </c>
      <c r="L57" s="565">
        <f t="shared" si="15"/>
        <v>0</v>
      </c>
      <c r="M57" s="565"/>
      <c r="N57" s="565"/>
      <c r="R57" s="2142"/>
    </row>
    <row r="58" spans="3:18" ht="15" outlineLevel="1" x14ac:dyDescent="0.25">
      <c r="C58" s="2141" t="str">
        <f>+C32</f>
        <v>345kV De-Energized</v>
      </c>
      <c r="H58" s="565">
        <f t="shared" si="15"/>
        <v>0</v>
      </c>
      <c r="I58" s="565">
        <f t="shared" si="15"/>
        <v>0</v>
      </c>
      <c r="J58" s="565">
        <f t="shared" si="15"/>
        <v>0</v>
      </c>
      <c r="K58" s="565">
        <f t="shared" si="15"/>
        <v>0</v>
      </c>
      <c r="L58" s="565">
        <f t="shared" si="15"/>
        <v>0</v>
      </c>
      <c r="M58" s="565"/>
      <c r="N58" s="565"/>
      <c r="R58" s="2142"/>
    </row>
    <row r="59" spans="3:18" ht="15" outlineLevel="1" x14ac:dyDescent="0.25">
      <c r="C59" s="2141" t="str">
        <f>+C34</f>
        <v>345kV Live line/DNO</v>
      </c>
      <c r="H59" s="565">
        <f t="shared" si="15"/>
        <v>0</v>
      </c>
      <c r="I59" s="565">
        <f t="shared" si="15"/>
        <v>0</v>
      </c>
      <c r="J59" s="565">
        <f t="shared" si="15"/>
        <v>0</v>
      </c>
      <c r="K59" s="565">
        <f t="shared" si="15"/>
        <v>0</v>
      </c>
      <c r="L59" s="565">
        <f t="shared" si="15"/>
        <v>0</v>
      </c>
      <c r="M59" s="565"/>
      <c r="N59" s="565"/>
      <c r="R59" s="2142"/>
    </row>
    <row r="60" spans="3:18" ht="15" outlineLevel="1" x14ac:dyDescent="0.25">
      <c r="C60" s="2141"/>
      <c r="H60" s="565"/>
      <c r="I60" s="565"/>
      <c r="J60" s="565"/>
      <c r="K60" s="565"/>
      <c r="L60" s="565"/>
      <c r="M60" s="565"/>
      <c r="N60" s="565"/>
      <c r="R60" s="2142"/>
    </row>
    <row r="61" spans="3:18" ht="15" outlineLevel="1" x14ac:dyDescent="0.25">
      <c r="C61" s="2143"/>
      <c r="D61" s="2144"/>
      <c r="E61" s="2144"/>
      <c r="F61" s="2144"/>
      <c r="G61" s="2144"/>
      <c r="H61" s="2145">
        <f>SUM(H56:H59)</f>
        <v>0</v>
      </c>
      <c r="I61" s="2145">
        <f>SUM(I56:I59)</f>
        <v>0</v>
      </c>
      <c r="J61" s="2145">
        <f>SUM(J56:J59)</f>
        <v>0</v>
      </c>
      <c r="K61" s="2146">
        <f>SUM(K56:K59)</f>
        <v>0</v>
      </c>
      <c r="L61" s="2145">
        <f>SUM(L56:L59)</f>
        <v>0</v>
      </c>
      <c r="M61" s="2145"/>
      <c r="N61" s="2145"/>
      <c r="O61" s="2144"/>
      <c r="P61" s="2144"/>
      <c r="Q61" s="2144"/>
      <c r="R61" s="2147"/>
    </row>
    <row r="62" spans="3:18" ht="25.5" outlineLevel="1" x14ac:dyDescent="0.25">
      <c r="H62" s="2163" t="s">
        <v>2071</v>
      </c>
      <c r="I62" s="2163" t="s">
        <v>2072</v>
      </c>
      <c r="J62" s="2163" t="s">
        <v>2073</v>
      </c>
      <c r="K62" s="2163" t="s">
        <v>2074</v>
      </c>
      <c r="L62" s="2163" t="s">
        <v>2075</v>
      </c>
    </row>
    <row r="63" spans="3:18" ht="15" outlineLevel="1" x14ac:dyDescent="0.25">
      <c r="C63" s="2138"/>
      <c r="D63" s="2139" t="s">
        <v>2090</v>
      </c>
      <c r="E63" s="2139"/>
      <c r="F63" s="2139"/>
      <c r="G63" s="2139"/>
      <c r="H63" s="1384"/>
      <c r="I63" s="1384"/>
      <c r="J63" s="1384"/>
      <c r="K63" s="1384"/>
      <c r="L63" s="1384"/>
      <c r="M63" s="2139"/>
      <c r="N63" s="2139"/>
      <c r="O63" s="2139"/>
      <c r="P63" s="2139"/>
      <c r="Q63" s="2139"/>
      <c r="R63" s="2140"/>
    </row>
    <row r="64" spans="3:18" ht="15" outlineLevel="1" x14ac:dyDescent="0.25">
      <c r="C64" s="2141" t="s">
        <v>2091</v>
      </c>
      <c r="H64" s="565">
        <f t="shared" ref="H64:L76" si="16">SUMIF($B$17:$B$45,$C64,H$17:H$45)</f>
        <v>0</v>
      </c>
      <c r="I64" s="565">
        <f t="shared" si="16"/>
        <v>0</v>
      </c>
      <c r="J64" s="565">
        <f t="shared" si="16"/>
        <v>0</v>
      </c>
      <c r="K64" s="565">
        <f t="shared" si="16"/>
        <v>0</v>
      </c>
      <c r="L64" s="565">
        <f t="shared" si="16"/>
        <v>0</v>
      </c>
      <c r="R64" s="2142"/>
    </row>
    <row r="65" spans="3:18" ht="15" outlineLevel="1" x14ac:dyDescent="0.25">
      <c r="C65" s="2141" t="s">
        <v>2092</v>
      </c>
      <c r="H65" s="565">
        <f t="shared" si="16"/>
        <v>0</v>
      </c>
      <c r="I65" s="565">
        <f t="shared" si="16"/>
        <v>0</v>
      </c>
      <c r="J65" s="565">
        <f t="shared" si="16"/>
        <v>0</v>
      </c>
      <c r="K65" s="565">
        <f t="shared" si="16"/>
        <v>0</v>
      </c>
      <c r="L65" s="565">
        <f t="shared" si="16"/>
        <v>0</v>
      </c>
      <c r="R65" s="2142"/>
    </row>
    <row r="66" spans="3:18" ht="15" outlineLevel="1" x14ac:dyDescent="0.25">
      <c r="C66" s="2141" t="s">
        <v>2093</v>
      </c>
      <c r="H66" s="565">
        <f t="shared" si="16"/>
        <v>0</v>
      </c>
      <c r="I66" s="565">
        <f t="shared" si="16"/>
        <v>0</v>
      </c>
      <c r="J66" s="565">
        <f t="shared" si="16"/>
        <v>0</v>
      </c>
      <c r="K66" s="565">
        <f t="shared" si="16"/>
        <v>0</v>
      </c>
      <c r="L66" s="565">
        <f t="shared" si="16"/>
        <v>0</v>
      </c>
      <c r="R66" s="2142"/>
    </row>
    <row r="67" spans="3:18" ht="15" outlineLevel="1" x14ac:dyDescent="0.25">
      <c r="C67" s="2141" t="s">
        <v>2094</v>
      </c>
      <c r="H67" s="565">
        <f t="shared" si="16"/>
        <v>0</v>
      </c>
      <c r="I67" s="565">
        <f t="shared" si="16"/>
        <v>0</v>
      </c>
      <c r="J67" s="565">
        <f t="shared" si="16"/>
        <v>0</v>
      </c>
      <c r="K67" s="565">
        <f t="shared" si="16"/>
        <v>0</v>
      </c>
      <c r="L67" s="565">
        <f t="shared" si="16"/>
        <v>0</v>
      </c>
      <c r="R67" s="2142"/>
    </row>
    <row r="68" spans="3:18" ht="15" outlineLevel="1" x14ac:dyDescent="0.25">
      <c r="C68" s="2141" t="s">
        <v>2095</v>
      </c>
      <c r="H68" s="565">
        <f t="shared" si="16"/>
        <v>0</v>
      </c>
      <c r="I68" s="565">
        <f t="shared" si="16"/>
        <v>0</v>
      </c>
      <c r="J68" s="565">
        <f t="shared" si="16"/>
        <v>0</v>
      </c>
      <c r="K68" s="565">
        <f t="shared" si="16"/>
        <v>0</v>
      </c>
      <c r="L68" s="565">
        <f t="shared" si="16"/>
        <v>0</v>
      </c>
      <c r="R68" s="2142"/>
    </row>
    <row r="69" spans="3:18" ht="15" outlineLevel="1" x14ac:dyDescent="0.25">
      <c r="C69" s="2141" t="s">
        <v>2096</v>
      </c>
      <c r="H69" s="565">
        <f t="shared" si="16"/>
        <v>0</v>
      </c>
      <c r="I69" s="565">
        <f t="shared" si="16"/>
        <v>0</v>
      </c>
      <c r="J69" s="565">
        <f t="shared" si="16"/>
        <v>0</v>
      </c>
      <c r="K69" s="565">
        <f t="shared" si="16"/>
        <v>0</v>
      </c>
      <c r="L69" s="565">
        <f t="shared" si="16"/>
        <v>0</v>
      </c>
      <c r="R69" s="2142"/>
    </row>
    <row r="70" spans="3:18" ht="15" outlineLevel="1" x14ac:dyDescent="0.25">
      <c r="C70" s="2141"/>
      <c r="H70" s="565">
        <f t="shared" si="16"/>
        <v>0</v>
      </c>
      <c r="I70" s="565">
        <f t="shared" si="16"/>
        <v>0</v>
      </c>
      <c r="J70" s="565">
        <f t="shared" si="16"/>
        <v>0</v>
      </c>
      <c r="K70" s="565">
        <f t="shared" si="16"/>
        <v>0</v>
      </c>
      <c r="L70" s="565">
        <f t="shared" si="16"/>
        <v>0</v>
      </c>
      <c r="R70" s="2142"/>
    </row>
    <row r="71" spans="3:18" ht="15" outlineLevel="1" x14ac:dyDescent="0.25">
      <c r="C71" s="2141" t="s">
        <v>2097</v>
      </c>
      <c r="H71" s="565">
        <f t="shared" si="16"/>
        <v>0</v>
      </c>
      <c r="I71" s="565">
        <f t="shared" si="16"/>
        <v>0</v>
      </c>
      <c r="J71" s="565">
        <f t="shared" si="16"/>
        <v>0</v>
      </c>
      <c r="K71" s="565">
        <f t="shared" si="16"/>
        <v>0</v>
      </c>
      <c r="L71" s="565">
        <f t="shared" si="16"/>
        <v>0</v>
      </c>
      <c r="R71" s="2142"/>
    </row>
    <row r="72" spans="3:18" ht="15" outlineLevel="1" x14ac:dyDescent="0.25">
      <c r="C72" s="2141" t="s">
        <v>2098</v>
      </c>
      <c r="H72" s="565">
        <f t="shared" si="16"/>
        <v>0</v>
      </c>
      <c r="I72" s="565">
        <f t="shared" si="16"/>
        <v>0</v>
      </c>
      <c r="J72" s="565">
        <f t="shared" si="16"/>
        <v>0</v>
      </c>
      <c r="K72" s="565">
        <f t="shared" si="16"/>
        <v>0</v>
      </c>
      <c r="L72" s="565">
        <f t="shared" si="16"/>
        <v>0</v>
      </c>
      <c r="R72" s="2142"/>
    </row>
    <row r="73" spans="3:18" ht="15" outlineLevel="1" x14ac:dyDescent="0.25">
      <c r="C73" s="2141" t="s">
        <v>2099</v>
      </c>
      <c r="H73" s="565">
        <f t="shared" si="16"/>
        <v>0</v>
      </c>
      <c r="I73" s="565">
        <f t="shared" si="16"/>
        <v>0</v>
      </c>
      <c r="J73" s="565">
        <f t="shared" si="16"/>
        <v>0</v>
      </c>
      <c r="K73" s="565">
        <f t="shared" si="16"/>
        <v>0</v>
      </c>
      <c r="L73" s="565">
        <f t="shared" si="16"/>
        <v>0</v>
      </c>
      <c r="R73" s="2142"/>
    </row>
    <row r="74" spans="3:18" ht="15" outlineLevel="1" x14ac:dyDescent="0.25">
      <c r="C74" s="2141" t="s">
        <v>2100</v>
      </c>
      <c r="H74" s="565">
        <f t="shared" si="16"/>
        <v>0</v>
      </c>
      <c r="I74" s="565">
        <f t="shared" si="16"/>
        <v>0</v>
      </c>
      <c r="J74" s="565">
        <f t="shared" si="16"/>
        <v>0</v>
      </c>
      <c r="K74" s="565">
        <f t="shared" si="16"/>
        <v>0</v>
      </c>
      <c r="L74" s="565">
        <f t="shared" si="16"/>
        <v>0</v>
      </c>
      <c r="R74" s="2142"/>
    </row>
    <row r="75" spans="3:18" ht="15" outlineLevel="1" x14ac:dyDescent="0.25">
      <c r="C75" s="2141" t="s">
        <v>2101</v>
      </c>
      <c r="H75" s="565">
        <f t="shared" si="16"/>
        <v>0</v>
      </c>
      <c r="I75" s="565">
        <f t="shared" si="16"/>
        <v>0</v>
      </c>
      <c r="J75" s="565">
        <f t="shared" si="16"/>
        <v>0</v>
      </c>
      <c r="K75" s="565">
        <f t="shared" si="16"/>
        <v>0</v>
      </c>
      <c r="L75" s="565">
        <f t="shared" si="16"/>
        <v>0</v>
      </c>
      <c r="R75" s="2142"/>
    </row>
    <row r="76" spans="3:18" ht="15" outlineLevel="1" x14ac:dyDescent="0.25">
      <c r="C76" s="2141" t="s">
        <v>2102</v>
      </c>
      <c r="H76" s="565">
        <f t="shared" si="16"/>
        <v>0</v>
      </c>
      <c r="I76" s="565">
        <f t="shared" si="16"/>
        <v>0</v>
      </c>
      <c r="J76" s="565">
        <f t="shared" si="16"/>
        <v>0</v>
      </c>
      <c r="K76" s="565">
        <f t="shared" si="16"/>
        <v>0</v>
      </c>
      <c r="L76" s="565">
        <f t="shared" si="16"/>
        <v>0</v>
      </c>
      <c r="R76" s="2142"/>
    </row>
    <row r="77" spans="3:18" ht="15" outlineLevel="1" x14ac:dyDescent="0.25">
      <c r="C77" s="2141"/>
      <c r="H77" s="565"/>
      <c r="I77" s="565"/>
      <c r="J77" s="565"/>
      <c r="K77" s="565"/>
      <c r="L77" s="565"/>
      <c r="R77" s="2142"/>
    </row>
    <row r="78" spans="3:18" ht="15" outlineLevel="1" x14ac:dyDescent="0.25">
      <c r="C78" s="2143"/>
      <c r="D78" s="2144"/>
      <c r="E78" s="2144"/>
      <c r="F78" s="2144"/>
      <c r="G78" s="2144"/>
      <c r="H78" s="2145">
        <f>SUM(H64:H76)</f>
        <v>0</v>
      </c>
      <c r="I78" s="2145">
        <f>SUM(I64:I76)</f>
        <v>0</v>
      </c>
      <c r="J78" s="2145">
        <f>SUM(J64:J76)</f>
        <v>0</v>
      </c>
      <c r="K78" s="2146">
        <f>SUM(K64:K76)</f>
        <v>0</v>
      </c>
      <c r="L78" s="2145">
        <f>SUM(L64:L76)</f>
        <v>0</v>
      </c>
      <c r="M78" s="2144"/>
      <c r="N78" s="2144"/>
      <c r="O78" s="2144"/>
      <c r="P78" s="2144"/>
      <c r="Q78" s="2144"/>
      <c r="R78" s="2147"/>
    </row>
    <row r="79" spans="3:18" ht="15" x14ac:dyDescent="0.25">
      <c r="H79" s="565"/>
      <c r="I79" s="565"/>
      <c r="J79" s="565"/>
      <c r="K79" s="565"/>
      <c r="L79" s="565"/>
      <c r="M79" s="565"/>
      <c r="N79" s="565"/>
    </row>
    <row r="80" spans="3:18" ht="15" x14ac:dyDescent="0.25">
      <c r="H80" s="565"/>
      <c r="I80" s="565"/>
      <c r="J80" s="565"/>
      <c r="K80" s="565"/>
      <c r="L80" s="565"/>
      <c r="M80" s="565"/>
      <c r="N80" s="565"/>
    </row>
    <row r="81" spans="4:14" ht="15" x14ac:dyDescent="0.25">
      <c r="H81" s="565"/>
      <c r="I81" s="565"/>
      <c r="J81" s="565"/>
      <c r="K81" s="565"/>
      <c r="L81" s="565"/>
      <c r="M81" s="565"/>
      <c r="N81" s="565"/>
    </row>
    <row r="82" spans="4:14" ht="15" x14ac:dyDescent="0.25">
      <c r="H82" s="565"/>
      <c r="I82" s="565"/>
      <c r="J82" s="565"/>
      <c r="K82" s="565"/>
      <c r="L82" s="565"/>
      <c r="M82" s="565"/>
      <c r="N82" s="565"/>
    </row>
    <row r="83" spans="4:14" ht="15" x14ac:dyDescent="0.25">
      <c r="H83" s="565"/>
      <c r="I83" s="565"/>
      <c r="J83" s="565"/>
      <c r="K83" s="565"/>
      <c r="L83" s="565"/>
      <c r="M83" s="565"/>
      <c r="N83" s="565"/>
    </row>
    <row r="84" spans="4:14" ht="15.75" x14ac:dyDescent="0.25">
      <c r="D84" s="2127" t="s">
        <v>2103</v>
      </c>
      <c r="E84" s="2127"/>
    </row>
    <row r="85" spans="4:14" x14ac:dyDescent="0.25">
      <c r="D85" s="2126" t="s">
        <v>2104</v>
      </c>
      <c r="F85" s="2126" t="s">
        <v>2105</v>
      </c>
    </row>
    <row r="86" spans="4:14" ht="25.5" x14ac:dyDescent="0.25">
      <c r="F86" s="2126" t="s">
        <v>2106</v>
      </c>
      <c r="G86" s="2167">
        <v>0.1</v>
      </c>
      <c r="H86" s="2148" t="s">
        <v>2107</v>
      </c>
      <c r="I86" s="2148"/>
      <c r="J86" s="2165">
        <f>+N47</f>
        <v>0</v>
      </c>
      <c r="K86" s="2167">
        <v>0.4</v>
      </c>
      <c r="L86" s="586">
        <f>+J86*K86*G86</f>
        <v>0</v>
      </c>
      <c r="M86" s="2126" t="s">
        <v>2108</v>
      </c>
    </row>
    <row r="87" spans="4:14" ht="15" x14ac:dyDescent="0.25">
      <c r="G87" s="2165">
        <v>2</v>
      </c>
      <c r="H87" s="2126" t="s">
        <v>2109</v>
      </c>
      <c r="K87" s="2164">
        <f>+K86</f>
        <v>0.4</v>
      </c>
      <c r="L87" s="2149">
        <f>+G87*L47*K87</f>
        <v>0</v>
      </c>
      <c r="M87" s="2126" t="s">
        <v>2108</v>
      </c>
    </row>
    <row r="88" spans="4:14" x14ac:dyDescent="0.25">
      <c r="F88" s="2126" t="s">
        <v>2110</v>
      </c>
      <c r="L88" s="2150">
        <f>+L86+L87</f>
        <v>0</v>
      </c>
      <c r="M88" s="2139" t="s">
        <v>2108</v>
      </c>
    </row>
    <row r="90" spans="4:14" x14ac:dyDescent="0.25">
      <c r="D90" s="2126" t="s">
        <v>1673</v>
      </c>
      <c r="F90" s="2126" t="s">
        <v>2295</v>
      </c>
      <c r="J90" s="2168">
        <f>+L47</f>
        <v>0</v>
      </c>
    </row>
    <row r="92" spans="4:14" x14ac:dyDescent="0.25">
      <c r="J92" s="2126" t="s">
        <v>34</v>
      </c>
      <c r="K92" s="2126" t="s">
        <v>2323</v>
      </c>
      <c r="L92" s="2126" t="s">
        <v>2322</v>
      </c>
    </row>
    <row r="93" spans="4:14" ht="15" x14ac:dyDescent="0.25">
      <c r="D93" s="2126" t="s">
        <v>2111</v>
      </c>
      <c r="J93" s="2167">
        <f>+L93*K93</f>
        <v>0</v>
      </c>
      <c r="K93" s="2173">
        <f>IF($K$47=0,0,1)</f>
        <v>0</v>
      </c>
      <c r="L93" s="2167">
        <v>0.04</v>
      </c>
    </row>
    <row r="94" spans="4:14" ht="15" x14ac:dyDescent="0.25">
      <c r="D94" s="2126" t="s">
        <v>2255</v>
      </c>
      <c r="J94" s="2167">
        <f>+L94*K94</f>
        <v>0</v>
      </c>
      <c r="K94" s="2173">
        <f>IF($K$47=0,0,1)</f>
        <v>0</v>
      </c>
      <c r="L94" s="2167">
        <v>0.04</v>
      </c>
    </row>
    <row r="95" spans="4:14" ht="15" x14ac:dyDescent="0.25">
      <c r="D95" s="2126" t="s">
        <v>2112</v>
      </c>
      <c r="F95" s="2126" t="s">
        <v>2113</v>
      </c>
      <c r="J95" s="2167">
        <f>+L95*K95</f>
        <v>0</v>
      </c>
      <c r="K95" s="2173">
        <f>IF($K$47=0,0,1)</f>
        <v>0</v>
      </c>
      <c r="L95" s="2167">
        <v>0.1</v>
      </c>
    </row>
    <row r="96" spans="4:14" ht="15" x14ac:dyDescent="0.25">
      <c r="D96" s="2126" t="s">
        <v>79</v>
      </c>
      <c r="F96" s="2126" t="s">
        <v>512</v>
      </c>
      <c r="J96" s="2167">
        <v>0</v>
      </c>
    </row>
    <row r="97" spans="4:14" ht="15" x14ac:dyDescent="0.25">
      <c r="J97" s="2167"/>
    </row>
    <row r="99" spans="4:14" ht="25.5" x14ac:dyDescent="0.25">
      <c r="D99" s="2126" t="s">
        <v>463</v>
      </c>
      <c r="F99" s="2148" t="s">
        <v>2114</v>
      </c>
      <c r="G99" s="2148"/>
      <c r="H99" s="2148"/>
      <c r="I99" s="2148"/>
      <c r="J99" s="2169">
        <v>2021</v>
      </c>
    </row>
    <row r="101" spans="4:14" x14ac:dyDescent="0.25">
      <c r="D101" s="2126" t="s">
        <v>2115</v>
      </c>
      <c r="E101" s="2126" t="s">
        <v>2287</v>
      </c>
      <c r="J101" s="2126" t="s">
        <v>2290</v>
      </c>
      <c r="K101" s="2126" t="s">
        <v>437</v>
      </c>
    </row>
    <row r="102" spans="4:14" ht="15" x14ac:dyDescent="0.25">
      <c r="F102" s="2151" t="s">
        <v>2279</v>
      </c>
      <c r="J102" s="2170">
        <f>+H56</f>
        <v>0</v>
      </c>
      <c r="K102" s="2167">
        <v>1</v>
      </c>
      <c r="L102" s="2126">
        <f>+J102*K102</f>
        <v>0</v>
      </c>
    </row>
    <row r="103" spans="4:14" ht="15" x14ac:dyDescent="0.25">
      <c r="F103" s="2151" t="s">
        <v>2280</v>
      </c>
      <c r="J103" s="2170">
        <f>+I56+J56</f>
        <v>0</v>
      </c>
      <c r="K103" s="2167">
        <v>1</v>
      </c>
      <c r="L103" s="2126">
        <f t="shared" ref="L103:L109" si="17">+J103*K103</f>
        <v>0</v>
      </c>
    </row>
    <row r="104" spans="4:14" ht="15" x14ac:dyDescent="0.25">
      <c r="F104" s="2151" t="s">
        <v>2281</v>
      </c>
      <c r="J104" s="2170">
        <f>+H57</f>
        <v>0</v>
      </c>
      <c r="K104" s="2167">
        <v>1</v>
      </c>
      <c r="L104" s="2126">
        <f t="shared" si="17"/>
        <v>0</v>
      </c>
    </row>
    <row r="105" spans="4:14" ht="15" x14ac:dyDescent="0.25">
      <c r="F105" s="2151" t="s">
        <v>2282</v>
      </c>
      <c r="J105" s="2170">
        <f>+I57+J57</f>
        <v>0</v>
      </c>
      <c r="K105" s="2167">
        <v>1</v>
      </c>
      <c r="L105" s="2126">
        <f t="shared" si="17"/>
        <v>0</v>
      </c>
    </row>
    <row r="106" spans="4:14" ht="15" x14ac:dyDescent="0.25">
      <c r="F106" s="2151" t="s">
        <v>2283</v>
      </c>
      <c r="J106" s="2170">
        <f>+H58</f>
        <v>0</v>
      </c>
      <c r="K106" s="2167">
        <v>1</v>
      </c>
      <c r="L106" s="2126">
        <f t="shared" si="17"/>
        <v>0</v>
      </c>
    </row>
    <row r="107" spans="4:14" ht="15" x14ac:dyDescent="0.25">
      <c r="F107" s="2151" t="s">
        <v>2284</v>
      </c>
      <c r="J107" s="2170">
        <f>+I58+J58</f>
        <v>0</v>
      </c>
      <c r="K107" s="2167">
        <v>1</v>
      </c>
      <c r="L107" s="2126">
        <f t="shared" si="17"/>
        <v>0</v>
      </c>
    </row>
    <row r="108" spans="4:14" ht="15" x14ac:dyDescent="0.25">
      <c r="F108" s="2151" t="s">
        <v>2285</v>
      </c>
      <c r="J108" s="2170">
        <f>+H59</f>
        <v>0</v>
      </c>
      <c r="K108" s="2167">
        <v>1</v>
      </c>
      <c r="L108" s="2126">
        <f t="shared" si="17"/>
        <v>0</v>
      </c>
    </row>
    <row r="109" spans="4:14" ht="15" x14ac:dyDescent="0.25">
      <c r="F109" s="2151" t="s">
        <v>2286</v>
      </c>
      <c r="J109" s="2170">
        <f>+I59+J59</f>
        <v>0</v>
      </c>
      <c r="K109" s="2167">
        <v>1</v>
      </c>
      <c r="L109" s="2126">
        <f t="shared" si="17"/>
        <v>0</v>
      </c>
    </row>
    <row r="110" spans="4:14" x14ac:dyDescent="0.25">
      <c r="F110" s="2126" t="s">
        <v>2116</v>
      </c>
      <c r="J110" s="2152">
        <f>SUM(J102:J109)</f>
        <v>0</v>
      </c>
      <c r="L110" s="2152">
        <f>SUM(L102:L109)</f>
        <v>0</v>
      </c>
    </row>
    <row r="111" spans="4:14" x14ac:dyDescent="0.25">
      <c r="J111" s="2153"/>
      <c r="L111" s="2153"/>
    </row>
    <row r="112" spans="4:14" x14ac:dyDescent="0.25">
      <c r="L112" s="2153"/>
      <c r="M112" s="2126" t="s">
        <v>2117</v>
      </c>
      <c r="N112" s="2126" t="s">
        <v>2118</v>
      </c>
    </row>
    <row r="113" spans="4:17" ht="15" x14ac:dyDescent="0.25">
      <c r="D113" s="2126" t="s">
        <v>1517</v>
      </c>
      <c r="F113" s="2151" t="s">
        <v>2078</v>
      </c>
      <c r="J113" s="2165">
        <f>+L113*M113</f>
        <v>0</v>
      </c>
      <c r="K113" s="2126" t="s">
        <v>2119</v>
      </c>
      <c r="L113" s="2153"/>
      <c r="M113" s="2171">
        <v>100</v>
      </c>
      <c r="N113" s="2154">
        <f>SUM(K17:K30)</f>
        <v>0</v>
      </c>
      <c r="O113" s="2154">
        <f>+N113*M113</f>
        <v>0</v>
      </c>
      <c r="P113" s="2171"/>
      <c r="Q113" s="586"/>
    </row>
    <row r="114" spans="4:17" ht="15" x14ac:dyDescent="0.25">
      <c r="F114" s="2151" t="s">
        <v>2086</v>
      </c>
      <c r="J114" s="2165">
        <f>+L114*M114</f>
        <v>0</v>
      </c>
      <c r="K114" s="2126" t="s">
        <v>2119</v>
      </c>
      <c r="L114" s="2153"/>
      <c r="M114" s="2171">
        <v>100</v>
      </c>
      <c r="N114" s="2154">
        <f>SUM(K32:K45)</f>
        <v>0</v>
      </c>
      <c r="O114" s="2154">
        <f>+N114*M114</f>
        <v>0</v>
      </c>
      <c r="P114" s="2171"/>
      <c r="Q114" s="586"/>
    </row>
    <row r="115" spans="4:17" ht="15" x14ac:dyDescent="0.25">
      <c r="F115" s="2151" t="s">
        <v>2120</v>
      </c>
      <c r="J115" s="2165">
        <f>+L115*M115</f>
        <v>0</v>
      </c>
      <c r="K115" s="2126" t="s">
        <v>2119</v>
      </c>
      <c r="L115" s="2153"/>
      <c r="M115" s="2171">
        <v>0</v>
      </c>
      <c r="N115" s="2168">
        <v>0</v>
      </c>
      <c r="O115" s="2154">
        <f>+N115*M115</f>
        <v>0</v>
      </c>
      <c r="P115" s="2171"/>
      <c r="Q115" s="586"/>
    </row>
    <row r="116" spans="4:17" x14ac:dyDescent="0.25">
      <c r="L116" s="2153"/>
    </row>
    <row r="117" spans="4:17" x14ac:dyDescent="0.25">
      <c r="F117" s="2126" t="s">
        <v>2121</v>
      </c>
      <c r="J117" s="2155"/>
      <c r="N117" s="2155">
        <f>SUM(N113:N115)</f>
        <v>0</v>
      </c>
      <c r="O117" s="2155">
        <f>SUM(O113:O115)</f>
        <v>0</v>
      </c>
      <c r="P117" s="2126" t="s">
        <v>2257</v>
      </c>
      <c r="Q117" s="2155"/>
    </row>
    <row r="118" spans="4:17" x14ac:dyDescent="0.25">
      <c r="K118" s="2126" t="s">
        <v>2256</v>
      </c>
    </row>
    <row r="119" spans="4:17" x14ac:dyDescent="0.25">
      <c r="J119" s="2126" t="s">
        <v>2118</v>
      </c>
      <c r="K119" s="2126" t="s">
        <v>2122</v>
      </c>
      <c r="L119" s="2126" t="s">
        <v>506</v>
      </c>
      <c r="N119" s="2126" t="s">
        <v>2123</v>
      </c>
    </row>
    <row r="120" spans="4:17" ht="15" x14ac:dyDescent="0.25">
      <c r="D120" s="2126" t="s">
        <v>2124</v>
      </c>
      <c r="F120" s="2126" t="s">
        <v>2125</v>
      </c>
      <c r="G120" s="2168">
        <v>0</v>
      </c>
      <c r="H120" s="2126" t="s">
        <v>2126</v>
      </c>
      <c r="J120" s="2154">
        <f>+H50</f>
        <v>0</v>
      </c>
      <c r="K120" s="2154">
        <f>+G120*J120</f>
        <v>0</v>
      </c>
      <c r="L120" s="2167">
        <v>0</v>
      </c>
      <c r="M120" s="2167"/>
      <c r="N120" s="2154">
        <f t="shared" ref="N120:N127" si="18">+K120*L120</f>
        <v>0</v>
      </c>
    </row>
    <row r="121" spans="4:17" ht="15" x14ac:dyDescent="0.25">
      <c r="F121" s="2126" t="s">
        <v>2125</v>
      </c>
      <c r="G121" s="2168">
        <v>7</v>
      </c>
      <c r="H121" s="2126" t="s">
        <v>2127</v>
      </c>
      <c r="J121" s="2154">
        <f>+I50</f>
        <v>0</v>
      </c>
      <c r="K121" s="2154">
        <f t="shared" ref="K121:K128" si="19">+G121*J121</f>
        <v>0</v>
      </c>
      <c r="L121" s="2167">
        <v>1</v>
      </c>
      <c r="M121" s="2167"/>
      <c r="N121" s="2154">
        <f t="shared" si="18"/>
        <v>0</v>
      </c>
    </row>
    <row r="122" spans="4:17" ht="15" x14ac:dyDescent="0.25">
      <c r="F122" s="2126" t="s">
        <v>2125</v>
      </c>
      <c r="G122" s="2168">
        <v>11</v>
      </c>
      <c r="H122" s="2126" t="s">
        <v>2128</v>
      </c>
      <c r="J122" s="2154">
        <f>+J50</f>
        <v>0</v>
      </c>
      <c r="K122" s="2154">
        <f t="shared" si="19"/>
        <v>0</v>
      </c>
      <c r="L122" s="2167">
        <v>1</v>
      </c>
      <c r="M122" s="2167"/>
      <c r="N122" s="2154">
        <f t="shared" si="18"/>
        <v>0</v>
      </c>
    </row>
    <row r="123" spans="4:17" ht="15" x14ac:dyDescent="0.25">
      <c r="F123" s="2126" t="s">
        <v>2129</v>
      </c>
      <c r="G123" s="2168">
        <v>0</v>
      </c>
      <c r="H123" s="2126" t="s">
        <v>2126</v>
      </c>
      <c r="J123" s="2154">
        <f>+H51</f>
        <v>0</v>
      </c>
      <c r="K123" s="2154">
        <f t="shared" si="19"/>
        <v>0</v>
      </c>
      <c r="L123" s="2167">
        <v>0</v>
      </c>
      <c r="M123" s="2167"/>
      <c r="N123" s="2154">
        <f t="shared" si="18"/>
        <v>0</v>
      </c>
    </row>
    <row r="124" spans="4:17" ht="15" x14ac:dyDescent="0.25">
      <c r="F124" s="2126" t="s">
        <v>2129</v>
      </c>
      <c r="G124" s="2168">
        <v>8</v>
      </c>
      <c r="H124" s="2126" t="s">
        <v>2127</v>
      </c>
      <c r="J124" s="2154">
        <f>+I51</f>
        <v>0</v>
      </c>
      <c r="K124" s="2154">
        <f t="shared" si="19"/>
        <v>0</v>
      </c>
      <c r="L124" s="2167">
        <v>1</v>
      </c>
      <c r="M124" s="2167"/>
      <c r="N124" s="2154">
        <f t="shared" si="18"/>
        <v>0</v>
      </c>
    </row>
    <row r="125" spans="4:17" ht="15" x14ac:dyDescent="0.25">
      <c r="F125" s="2126" t="s">
        <v>2129</v>
      </c>
      <c r="G125" s="2168">
        <v>11</v>
      </c>
      <c r="H125" s="2126" t="s">
        <v>2128</v>
      </c>
      <c r="J125" s="2154">
        <f>+J51</f>
        <v>0</v>
      </c>
      <c r="K125" s="2154">
        <f t="shared" si="19"/>
        <v>0</v>
      </c>
      <c r="L125" s="2167">
        <v>1</v>
      </c>
      <c r="M125" s="2167"/>
      <c r="N125" s="2154">
        <f t="shared" si="18"/>
        <v>0</v>
      </c>
    </row>
    <row r="126" spans="4:17" ht="15" x14ac:dyDescent="0.25">
      <c r="F126" s="2126" t="s">
        <v>2130</v>
      </c>
      <c r="G126" s="2168">
        <v>0</v>
      </c>
      <c r="H126" s="2126" t="s">
        <v>2126</v>
      </c>
      <c r="J126" s="2154">
        <f>+H52</f>
        <v>0</v>
      </c>
      <c r="K126" s="2154">
        <f t="shared" si="19"/>
        <v>0</v>
      </c>
      <c r="L126" s="2167">
        <v>0</v>
      </c>
      <c r="M126" s="2167"/>
      <c r="N126" s="2154">
        <f t="shared" si="18"/>
        <v>0</v>
      </c>
    </row>
    <row r="127" spans="4:17" ht="15" x14ac:dyDescent="0.25">
      <c r="F127" s="2126" t="s">
        <v>2130</v>
      </c>
      <c r="G127" s="2168">
        <v>9</v>
      </c>
      <c r="H127" s="2126" t="s">
        <v>2127</v>
      </c>
      <c r="J127" s="2154">
        <f>+I52</f>
        <v>0</v>
      </c>
      <c r="K127" s="2154">
        <f t="shared" si="19"/>
        <v>0</v>
      </c>
      <c r="L127" s="2167">
        <v>1</v>
      </c>
      <c r="M127" s="2167"/>
      <c r="N127" s="2154">
        <f t="shared" si="18"/>
        <v>0</v>
      </c>
    </row>
    <row r="128" spans="4:17" ht="15" x14ac:dyDescent="0.25">
      <c r="F128" s="2126" t="s">
        <v>2130</v>
      </c>
      <c r="G128" s="2168">
        <v>20</v>
      </c>
      <c r="H128" s="2126" t="s">
        <v>2128</v>
      </c>
      <c r="J128" s="2154">
        <f>+J52</f>
        <v>0</v>
      </c>
      <c r="K128" s="2154">
        <f t="shared" si="19"/>
        <v>0</v>
      </c>
      <c r="L128" s="2167">
        <v>1</v>
      </c>
      <c r="M128" s="2167"/>
      <c r="N128" s="2154">
        <f>+K128*L128</f>
        <v>0</v>
      </c>
    </row>
    <row r="129" spans="4:14" x14ac:dyDescent="0.25">
      <c r="J129" s="2154"/>
    </row>
    <row r="130" spans="4:14" x14ac:dyDescent="0.25">
      <c r="F130" s="2126" t="s">
        <v>2131</v>
      </c>
      <c r="J130" s="2154">
        <f>SUM(J120:J128)</f>
        <v>0</v>
      </c>
      <c r="K130" s="2154">
        <f>SUM(K120:K128)</f>
        <v>0</v>
      </c>
      <c r="N130" s="2155">
        <f>SUM(N120:N128)</f>
        <v>0</v>
      </c>
    </row>
    <row r="132" spans="4:14" x14ac:dyDescent="0.25">
      <c r="D132" s="2126" t="s">
        <v>2291</v>
      </c>
      <c r="G132" s="2126" t="s">
        <v>2132</v>
      </c>
      <c r="J132" s="2126" t="s">
        <v>2118</v>
      </c>
      <c r="K132" s="2126" t="s">
        <v>2133</v>
      </c>
      <c r="L132" s="2126" t="s">
        <v>2134</v>
      </c>
    </row>
    <row r="133" spans="4:14" x14ac:dyDescent="0.25">
      <c r="F133" s="2134" t="str">
        <f t="shared" ref="F133:F145" si="20">+C64</f>
        <v>115kV monopole  De-Energized</v>
      </c>
      <c r="G133" s="2168">
        <v>3</v>
      </c>
      <c r="H133" s="2126" t="s">
        <v>2135</v>
      </c>
      <c r="J133" s="2154">
        <f>+K64</f>
        <v>0</v>
      </c>
      <c r="K133" s="2154">
        <f>+G133*J133</f>
        <v>0</v>
      </c>
      <c r="N133" s="2126" t="s">
        <v>2297</v>
      </c>
    </row>
    <row r="134" spans="4:14" x14ac:dyDescent="0.25">
      <c r="F134" s="2134" t="str">
        <f t="shared" si="20"/>
        <v>115kV monopole  Live line/DNO</v>
      </c>
      <c r="G134" s="2168">
        <v>3</v>
      </c>
      <c r="H134" s="2126" t="s">
        <v>2135</v>
      </c>
      <c r="J134" s="2154">
        <f t="shared" ref="J134:J145" si="21">+K65</f>
        <v>0</v>
      </c>
      <c r="K134" s="2154">
        <f>+G134*J134</f>
        <v>0</v>
      </c>
      <c r="N134" s="2126" t="s">
        <v>2297</v>
      </c>
    </row>
    <row r="135" spans="4:14" x14ac:dyDescent="0.25">
      <c r="F135" s="2134" t="str">
        <f t="shared" si="20"/>
        <v>115kV H frame De-Energized</v>
      </c>
      <c r="G135" s="2168">
        <v>6</v>
      </c>
      <c r="H135" s="2126" t="s">
        <v>2135</v>
      </c>
      <c r="J135" s="2154">
        <f t="shared" si="21"/>
        <v>0</v>
      </c>
      <c r="K135" s="2154">
        <f>+G135*J135</f>
        <v>0</v>
      </c>
      <c r="M135" s="2154"/>
      <c r="N135" s="2126" t="s">
        <v>2298</v>
      </c>
    </row>
    <row r="136" spans="4:14" x14ac:dyDescent="0.25">
      <c r="F136" s="2134" t="str">
        <f t="shared" si="20"/>
        <v>115kV H frame Live line/DNO</v>
      </c>
      <c r="G136" s="2168">
        <v>3</v>
      </c>
      <c r="H136" s="2126" t="s">
        <v>2135</v>
      </c>
      <c r="J136" s="2154">
        <f t="shared" si="21"/>
        <v>0</v>
      </c>
      <c r="K136" s="2154">
        <f t="shared" ref="K136:K138" si="22">+G136*J136</f>
        <v>0</v>
      </c>
      <c r="L136" s="2155"/>
      <c r="M136" s="2154"/>
      <c r="N136" s="2126" t="s">
        <v>2297</v>
      </c>
    </row>
    <row r="137" spans="4:14" x14ac:dyDescent="0.25">
      <c r="F137" s="2134" t="str">
        <f t="shared" si="20"/>
        <v>115kV Horz - 3 pole De-Energized</v>
      </c>
      <c r="G137" s="2168">
        <v>9</v>
      </c>
      <c r="H137" s="2126" t="s">
        <v>2135</v>
      </c>
      <c r="J137" s="2154">
        <f t="shared" si="21"/>
        <v>0</v>
      </c>
      <c r="K137" s="2154">
        <f t="shared" si="22"/>
        <v>0</v>
      </c>
      <c r="L137" s="2155">
        <f>+K133+K135+K137</f>
        <v>0</v>
      </c>
      <c r="M137" s="2154" t="s">
        <v>2136</v>
      </c>
      <c r="N137" s="2126" t="s">
        <v>2296</v>
      </c>
    </row>
    <row r="138" spans="4:14" x14ac:dyDescent="0.25">
      <c r="F138" s="2134" t="str">
        <f t="shared" si="20"/>
        <v>115kV Horz - 3 pole Live line/DNO</v>
      </c>
      <c r="G138" s="2168">
        <v>3</v>
      </c>
      <c r="H138" s="2126" t="s">
        <v>2135</v>
      </c>
      <c r="J138" s="2154">
        <f t="shared" si="21"/>
        <v>0</v>
      </c>
      <c r="K138" s="2154">
        <f t="shared" si="22"/>
        <v>0</v>
      </c>
      <c r="L138" s="2155">
        <f>+K134+K136+K138</f>
        <v>0</v>
      </c>
      <c r="M138" s="2154" t="s">
        <v>2137</v>
      </c>
      <c r="N138" s="2126" t="s">
        <v>2297</v>
      </c>
    </row>
    <row r="139" spans="4:14" ht="14.25" customHeight="1" x14ac:dyDescent="0.25">
      <c r="F139" s="2134">
        <f t="shared" si="20"/>
        <v>0</v>
      </c>
      <c r="G139" s="2168"/>
      <c r="J139" s="2154">
        <f t="shared" si="21"/>
        <v>0</v>
      </c>
      <c r="L139" s="2154"/>
      <c r="M139" s="2154"/>
    </row>
    <row r="140" spans="4:14" ht="14.25" customHeight="1" x14ac:dyDescent="0.25">
      <c r="F140" s="2134" t="str">
        <f t="shared" si="20"/>
        <v>345kV monopole  De-Energized</v>
      </c>
      <c r="G140" s="2168">
        <f>+G133</f>
        <v>3</v>
      </c>
      <c r="H140" s="2126" t="s">
        <v>2135</v>
      </c>
      <c r="J140" s="2154">
        <f t="shared" si="21"/>
        <v>0</v>
      </c>
      <c r="K140" s="2154">
        <f t="shared" ref="K140:K142" si="23">+G140*J140</f>
        <v>0</v>
      </c>
      <c r="L140" s="2154"/>
      <c r="M140" s="2154"/>
      <c r="N140" s="2126" t="s">
        <v>2297</v>
      </c>
    </row>
    <row r="141" spans="4:14" ht="14.25" customHeight="1" x14ac:dyDescent="0.25">
      <c r="F141" s="2134" t="str">
        <f t="shared" si="20"/>
        <v>345kV monopole  Live line/DNO</v>
      </c>
      <c r="G141" s="2168">
        <f t="shared" ref="G141:G145" si="24">+G134</f>
        <v>3</v>
      </c>
      <c r="H141" s="2126" t="s">
        <v>2135</v>
      </c>
      <c r="J141" s="2154">
        <f t="shared" si="21"/>
        <v>0</v>
      </c>
      <c r="K141" s="2154">
        <f t="shared" si="23"/>
        <v>0</v>
      </c>
      <c r="L141" s="2154"/>
      <c r="M141" s="2154"/>
      <c r="N141" s="2126" t="s">
        <v>2297</v>
      </c>
    </row>
    <row r="142" spans="4:14" ht="14.25" customHeight="1" x14ac:dyDescent="0.25">
      <c r="F142" s="2134" t="str">
        <f t="shared" si="20"/>
        <v>345kV H frame De-Energized</v>
      </c>
      <c r="G142" s="2168">
        <f t="shared" si="24"/>
        <v>6</v>
      </c>
      <c r="H142" s="2126" t="s">
        <v>2135</v>
      </c>
      <c r="J142" s="2154">
        <f t="shared" si="21"/>
        <v>0</v>
      </c>
      <c r="K142" s="2154">
        <f t="shared" si="23"/>
        <v>0</v>
      </c>
      <c r="L142" s="2154"/>
      <c r="M142" s="2154"/>
      <c r="N142" s="2126" t="s">
        <v>2298</v>
      </c>
    </row>
    <row r="143" spans="4:14" x14ac:dyDescent="0.25">
      <c r="F143" s="2134" t="str">
        <f t="shared" si="20"/>
        <v>345kV H frame Live line/DNO</v>
      </c>
      <c r="G143" s="2168">
        <f t="shared" si="24"/>
        <v>3</v>
      </c>
      <c r="H143" s="2126" t="s">
        <v>2135</v>
      </c>
      <c r="J143" s="2154">
        <f t="shared" si="21"/>
        <v>0</v>
      </c>
      <c r="K143" s="2154">
        <f>+G143*J143</f>
        <v>0</v>
      </c>
      <c r="N143" s="2126" t="s">
        <v>2297</v>
      </c>
    </row>
    <row r="144" spans="4:14" x14ac:dyDescent="0.25">
      <c r="F144" s="2134" t="str">
        <f t="shared" si="20"/>
        <v>345kV Horz - 3 pole De-Energized</v>
      </c>
      <c r="G144" s="2168">
        <f t="shared" si="24"/>
        <v>9</v>
      </c>
      <c r="H144" s="2126" t="s">
        <v>2135</v>
      </c>
      <c r="J144" s="2154">
        <f t="shared" si="21"/>
        <v>0</v>
      </c>
      <c r="K144" s="2154">
        <f>+G144*J144</f>
        <v>0</v>
      </c>
      <c r="L144" s="2155">
        <f>+K140+K142+K144</f>
        <v>0</v>
      </c>
      <c r="M144" s="2154" t="s">
        <v>2136</v>
      </c>
      <c r="N144" s="2126" t="s">
        <v>2296</v>
      </c>
    </row>
    <row r="145" spans="4:14" x14ac:dyDescent="0.25">
      <c r="F145" s="2134" t="str">
        <f t="shared" si="20"/>
        <v>345kV Horz - 3 pole Live line/DNO</v>
      </c>
      <c r="G145" s="2168">
        <f t="shared" si="24"/>
        <v>3</v>
      </c>
      <c r="H145" s="2126" t="s">
        <v>2135</v>
      </c>
      <c r="J145" s="2154">
        <f t="shared" si="21"/>
        <v>0</v>
      </c>
      <c r="K145" s="2154">
        <f>+G145*J145</f>
        <v>0</v>
      </c>
      <c r="L145" s="2155">
        <f>+K141+K143+K145</f>
        <v>0</v>
      </c>
      <c r="M145" s="2154" t="s">
        <v>2137</v>
      </c>
      <c r="N145" s="2126" t="s">
        <v>2297</v>
      </c>
    </row>
    <row r="147" spans="4:14" x14ac:dyDescent="0.25">
      <c r="F147" s="2126" t="s">
        <v>2138</v>
      </c>
      <c r="J147" s="2154">
        <f>SUM(J133:J146)</f>
        <v>0</v>
      </c>
      <c r="K147" s="2154">
        <f>SUM(K133:K146)</f>
        <v>0</v>
      </c>
      <c r="L147" s="2154">
        <f>+L138+L145+L137+L144</f>
        <v>0</v>
      </c>
      <c r="M147" s="2154"/>
    </row>
    <row r="150" spans="4:14" ht="15" x14ac:dyDescent="0.25">
      <c r="D150" s="2126" t="s">
        <v>2139</v>
      </c>
      <c r="F150" s="2126" t="s">
        <v>2309</v>
      </c>
      <c r="L150" s="2167">
        <v>1</v>
      </c>
    </row>
    <row r="151" spans="4:14" x14ac:dyDescent="0.25">
      <c r="F151" s="2126" t="s">
        <v>2303</v>
      </c>
      <c r="L151" s="2154">
        <f>+N47</f>
        <v>0</v>
      </c>
    </row>
    <row r="152" spans="4:14" x14ac:dyDescent="0.25">
      <c r="F152" s="2126" t="s">
        <v>2140</v>
      </c>
      <c r="J152" s="2154">
        <f>+L47</f>
        <v>0</v>
      </c>
      <c r="K152" s="2126" t="s">
        <v>2300</v>
      </c>
      <c r="L152" s="2154">
        <f>-J152*10</f>
        <v>0</v>
      </c>
    </row>
    <row r="153" spans="4:14" x14ac:dyDescent="0.25">
      <c r="F153" s="2126" t="s">
        <v>2304</v>
      </c>
      <c r="J153" s="2154">
        <f>SUM(L22:L25)+SUM(L27:L30)+SUM(L37:L40)+SUM(L42:L45)</f>
        <v>0</v>
      </c>
      <c r="K153" s="2126" t="s">
        <v>2300</v>
      </c>
      <c r="L153" s="2154">
        <f>-J153*10</f>
        <v>0</v>
      </c>
    </row>
    <row r="154" spans="4:14" x14ac:dyDescent="0.25">
      <c r="F154" s="2126" t="s">
        <v>2299</v>
      </c>
      <c r="J154" s="2126">
        <v>25</v>
      </c>
      <c r="K154" s="2126" t="s">
        <v>2108</v>
      </c>
      <c r="L154" s="2154">
        <f>(+L47*J154)/1</f>
        <v>0</v>
      </c>
    </row>
    <row r="155" spans="4:14" x14ac:dyDescent="0.25">
      <c r="F155" s="2126" t="s">
        <v>2301</v>
      </c>
      <c r="L155" s="2154">
        <f>SUM(L151:L154)</f>
        <v>0</v>
      </c>
    </row>
    <row r="156" spans="4:14" x14ac:dyDescent="0.25">
      <c r="F156" s="2126" t="s">
        <v>2302</v>
      </c>
      <c r="L156" s="2172">
        <v>1</v>
      </c>
    </row>
    <row r="157" spans="4:14" x14ac:dyDescent="0.25">
      <c r="F157" s="2126" t="s">
        <v>2141</v>
      </c>
      <c r="L157" s="2155">
        <f>+L155/L156*L150</f>
        <v>0</v>
      </c>
    </row>
    <row r="160" spans="4:14" ht="15" x14ac:dyDescent="0.25">
      <c r="D160" s="2126" t="s">
        <v>2142</v>
      </c>
      <c r="F160" s="2126" t="s">
        <v>2143</v>
      </c>
      <c r="L160" s="2167">
        <v>1</v>
      </c>
    </row>
    <row r="161" spans="4:16" x14ac:dyDescent="0.25">
      <c r="F161" s="2126" t="s">
        <v>2144</v>
      </c>
      <c r="L161" s="2155">
        <f>+L160*L47</f>
        <v>0</v>
      </c>
    </row>
    <row r="164" spans="4:16" x14ac:dyDescent="0.25">
      <c r="D164" s="2126" t="s">
        <v>2145</v>
      </c>
      <c r="F164" s="2126" t="s">
        <v>2292</v>
      </c>
    </row>
    <row r="166" spans="4:16" ht="25.5" x14ac:dyDescent="0.25">
      <c r="G166" s="2156"/>
      <c r="J166" s="2126" t="s">
        <v>2118</v>
      </c>
      <c r="K166" s="2156" t="s">
        <v>2146</v>
      </c>
      <c r="L166" s="2126" t="s">
        <v>506</v>
      </c>
      <c r="N166" s="2126" t="s">
        <v>2123</v>
      </c>
    </row>
    <row r="167" spans="4:16" ht="15" x14ac:dyDescent="0.25">
      <c r="F167" s="2126" t="s">
        <v>2125</v>
      </c>
      <c r="G167" s="2156"/>
      <c r="H167" s="2126" t="s">
        <v>2126</v>
      </c>
      <c r="J167" s="2154">
        <f t="shared" ref="J167:J175" si="25">+J120</f>
        <v>0</v>
      </c>
      <c r="K167" s="2154">
        <v>2</v>
      </c>
      <c r="L167" s="2167">
        <v>0.25</v>
      </c>
      <c r="N167" s="2154">
        <f>+J167*K167*L167</f>
        <v>0</v>
      </c>
      <c r="P167" s="2126" t="s">
        <v>2147</v>
      </c>
    </row>
    <row r="168" spans="4:16" ht="15" x14ac:dyDescent="0.25">
      <c r="F168" s="2126" t="s">
        <v>2125</v>
      </c>
      <c r="G168" s="2156"/>
      <c r="H168" s="2126" t="s">
        <v>2127</v>
      </c>
      <c r="J168" s="2154">
        <f t="shared" si="25"/>
        <v>0</v>
      </c>
      <c r="K168" s="2154">
        <v>2</v>
      </c>
      <c r="L168" s="2167">
        <f>+L167</f>
        <v>0.25</v>
      </c>
      <c r="N168" s="2154">
        <f t="shared" ref="N168:N175" si="26">+J168*K168*L168</f>
        <v>0</v>
      </c>
      <c r="P168" s="2126" t="s">
        <v>2147</v>
      </c>
    </row>
    <row r="169" spans="4:16" ht="15" x14ac:dyDescent="0.25">
      <c r="F169" s="2126" t="s">
        <v>2125</v>
      </c>
      <c r="G169" s="2156"/>
      <c r="H169" s="2126" t="s">
        <v>2128</v>
      </c>
      <c r="J169" s="2154">
        <f t="shared" si="25"/>
        <v>0</v>
      </c>
      <c r="K169" s="2154">
        <v>2</v>
      </c>
      <c r="L169" s="2167">
        <f t="shared" ref="L169:L175" si="27">+L168</f>
        <v>0.25</v>
      </c>
      <c r="N169" s="2154">
        <f t="shared" si="26"/>
        <v>0</v>
      </c>
      <c r="P169" s="2126" t="s">
        <v>2147</v>
      </c>
    </row>
    <row r="170" spans="4:16" ht="15" x14ac:dyDescent="0.25">
      <c r="F170" s="2126" t="s">
        <v>2129</v>
      </c>
      <c r="G170" s="2156"/>
      <c r="H170" s="2126" t="s">
        <v>2126</v>
      </c>
      <c r="J170" s="2154">
        <f t="shared" si="25"/>
        <v>0</v>
      </c>
      <c r="K170" s="2154">
        <v>3</v>
      </c>
      <c r="L170" s="2167">
        <f t="shared" si="27"/>
        <v>0.25</v>
      </c>
      <c r="N170" s="2154">
        <f t="shared" si="26"/>
        <v>0</v>
      </c>
      <c r="P170" s="2126" t="s">
        <v>2148</v>
      </c>
    </row>
    <row r="171" spans="4:16" ht="15" x14ac:dyDescent="0.25">
      <c r="F171" s="2126" t="s">
        <v>2129</v>
      </c>
      <c r="G171" s="2156"/>
      <c r="H171" s="2126" t="s">
        <v>2127</v>
      </c>
      <c r="J171" s="2154">
        <f t="shared" si="25"/>
        <v>0</v>
      </c>
      <c r="K171" s="2154">
        <v>3</v>
      </c>
      <c r="L171" s="2167">
        <f t="shared" si="27"/>
        <v>0.25</v>
      </c>
      <c r="N171" s="2154">
        <f t="shared" si="26"/>
        <v>0</v>
      </c>
      <c r="P171" s="2126" t="s">
        <v>2148</v>
      </c>
    </row>
    <row r="172" spans="4:16" ht="15" x14ac:dyDescent="0.25">
      <c r="F172" s="2126" t="s">
        <v>2129</v>
      </c>
      <c r="G172" s="2156"/>
      <c r="H172" s="2126" t="s">
        <v>2128</v>
      </c>
      <c r="J172" s="2154">
        <f t="shared" si="25"/>
        <v>0</v>
      </c>
      <c r="K172" s="2154">
        <v>3</v>
      </c>
      <c r="L172" s="2167">
        <f t="shared" si="27"/>
        <v>0.25</v>
      </c>
      <c r="N172" s="2154">
        <f t="shared" si="26"/>
        <v>0</v>
      </c>
      <c r="P172" s="2126" t="s">
        <v>2148</v>
      </c>
    </row>
    <row r="173" spans="4:16" ht="15" x14ac:dyDescent="0.25">
      <c r="F173" s="2126" t="s">
        <v>2130</v>
      </c>
      <c r="G173" s="2156"/>
      <c r="H173" s="2126" t="s">
        <v>2126</v>
      </c>
      <c r="J173" s="2154">
        <f t="shared" si="25"/>
        <v>0</v>
      </c>
      <c r="K173" s="2154">
        <v>3</v>
      </c>
      <c r="L173" s="2167">
        <f t="shared" si="27"/>
        <v>0.25</v>
      </c>
      <c r="N173" s="2154">
        <f t="shared" si="26"/>
        <v>0</v>
      </c>
      <c r="P173" s="2126" t="s">
        <v>2149</v>
      </c>
    </row>
    <row r="174" spans="4:16" ht="15" x14ac:dyDescent="0.25">
      <c r="F174" s="2126" t="s">
        <v>2130</v>
      </c>
      <c r="G174" s="2156"/>
      <c r="H174" s="2126" t="s">
        <v>2127</v>
      </c>
      <c r="J174" s="2154">
        <f t="shared" si="25"/>
        <v>0</v>
      </c>
      <c r="K174" s="2154">
        <v>3</v>
      </c>
      <c r="L174" s="2167">
        <f t="shared" si="27"/>
        <v>0.25</v>
      </c>
      <c r="N174" s="2154">
        <f t="shared" si="26"/>
        <v>0</v>
      </c>
      <c r="P174" s="2126" t="s">
        <v>2149</v>
      </c>
    </row>
    <row r="175" spans="4:16" ht="15" x14ac:dyDescent="0.25">
      <c r="F175" s="2126" t="s">
        <v>2130</v>
      </c>
      <c r="G175" s="2156"/>
      <c r="H175" s="2126" t="s">
        <v>2128</v>
      </c>
      <c r="J175" s="2154">
        <f t="shared" si="25"/>
        <v>0</v>
      </c>
      <c r="K175" s="2154">
        <v>3</v>
      </c>
      <c r="L175" s="2167">
        <f t="shared" si="27"/>
        <v>0.25</v>
      </c>
      <c r="N175" s="2154">
        <f t="shared" si="26"/>
        <v>0</v>
      </c>
      <c r="P175" s="2126" t="s">
        <v>2149</v>
      </c>
    </row>
    <row r="176" spans="4:16" x14ac:dyDescent="0.25">
      <c r="J176" s="2154"/>
    </row>
    <row r="177" spans="4:16" x14ac:dyDescent="0.25">
      <c r="F177" s="2126" t="s">
        <v>2150</v>
      </c>
      <c r="J177" s="2155">
        <f>SUM(J167:J175)</f>
        <v>0</v>
      </c>
      <c r="K177" s="2154"/>
      <c r="N177" s="2155">
        <f>SUM(N167:N175)</f>
        <v>0</v>
      </c>
    </row>
    <row r="180" spans="4:16" x14ac:dyDescent="0.25">
      <c r="D180" s="2126" t="s">
        <v>393</v>
      </c>
      <c r="F180" s="2126" t="str">
        <f>+C50</f>
        <v xml:space="preserve">monopole </v>
      </c>
      <c r="J180" s="2154">
        <f>+K50</f>
        <v>0</v>
      </c>
      <c r="P180" s="2126" t="s">
        <v>2293</v>
      </c>
    </row>
    <row r="181" spans="4:16" x14ac:dyDescent="0.25">
      <c r="F181" s="2126" t="str">
        <f>+C51</f>
        <v>H frame</v>
      </c>
      <c r="J181" s="2154">
        <f>+K51</f>
        <v>0</v>
      </c>
      <c r="P181" s="2126" t="s">
        <v>2293</v>
      </c>
    </row>
    <row r="182" spans="4:16" x14ac:dyDescent="0.25">
      <c r="F182" s="2126" t="str">
        <f>+C52</f>
        <v>Horz - 3 pole</v>
      </c>
      <c r="J182" s="2154">
        <f>+K52</f>
        <v>0</v>
      </c>
      <c r="P182" s="2126" t="s">
        <v>2293</v>
      </c>
    </row>
    <row r="184" spans="4:16" x14ac:dyDescent="0.25">
      <c r="F184" s="2126" t="s">
        <v>216</v>
      </c>
      <c r="J184" s="2154">
        <f>SUM(J180:J183)</f>
        <v>0</v>
      </c>
    </row>
    <row r="186" spans="4:16" x14ac:dyDescent="0.25">
      <c r="M186" s="2126" t="s">
        <v>2323</v>
      </c>
      <c r="N186" s="2126" t="s">
        <v>2322</v>
      </c>
    </row>
    <row r="187" spans="4:16" ht="15" x14ac:dyDescent="0.25">
      <c r="D187" s="2126" t="s">
        <v>107</v>
      </c>
      <c r="F187" s="2126" t="s">
        <v>2294</v>
      </c>
      <c r="L187" s="2167">
        <f>+M187*N187</f>
        <v>0</v>
      </c>
      <c r="M187" s="2173">
        <f>IF($K$47=0,0,1)</f>
        <v>0</v>
      </c>
      <c r="N187" s="2167">
        <v>0.1</v>
      </c>
    </row>
    <row r="188" spans="4:16" x14ac:dyDescent="0.25">
      <c r="M188" s="2173">
        <f>IF($K$47=0,0,1)</f>
        <v>0</v>
      </c>
    </row>
    <row r="189" spans="4:16" ht="15" x14ac:dyDescent="0.25">
      <c r="D189" s="2126" t="s">
        <v>310</v>
      </c>
      <c r="F189" s="2126" t="s">
        <v>2294</v>
      </c>
      <c r="L189" s="2167">
        <f>+M189*N189</f>
        <v>0</v>
      </c>
      <c r="M189" s="2173">
        <f>IF($K$47=0,0,1)</f>
        <v>0</v>
      </c>
      <c r="N189" s="2167">
        <v>0.05</v>
      </c>
    </row>
    <row r="190" spans="4:16" x14ac:dyDescent="0.25">
      <c r="M190" s="2173">
        <f>IF($K$47=0,0,1)</f>
        <v>0</v>
      </c>
    </row>
  </sheetData>
  <sheetProtection algorithmName="SHA-512" hashValue="ywomqwkci7I4UqCt/rbarcE4ZwmER3CvSAKy1y9hPkFY5OPmiaQn33Kw4oFYo1sNHR2p+xTYeZ0mP3ESm4WQvg==" saltValue="5vaIRTJF/qh2mDPa/z1oGA==" spinCount="100000" sheet="1" scenarios="1" formatCells="0" formatColumns="0" formatRows="0" autoFilter="0"/>
  <pageMargins left="0.7" right="0.7" top="0.75" bottom="0.75" header="0.3" footer="0.3"/>
  <pageSetup orientation="portrait" horizontalDpi="4294967293" verticalDpi="0"/>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9A199-A132-46FC-8528-51BFF9EC1D30}">
  <sheetPr codeName="Sheet4">
    <tabColor rgb="FFFFC000"/>
    <pageSetUpPr autoPageBreaks="0" fitToPage="1"/>
  </sheetPr>
  <dimension ref="A1:BM369"/>
  <sheetViews>
    <sheetView showZeros="0" topLeftCell="A6" zoomScaleNormal="100" workbookViewId="0">
      <pane xSplit="9" ySplit="3" topLeftCell="J9" activePane="bottomRight" state="frozen"/>
      <selection activeCell="A6" sqref="A6"/>
      <selection pane="topRight" activeCell="J6" sqref="J6"/>
      <selection pane="bottomLeft" activeCell="A9" sqref="A9"/>
      <selection pane="bottomRight" activeCell="T9" sqref="T9"/>
    </sheetView>
  </sheetViews>
  <sheetFormatPr defaultColWidth="8.5703125" defaultRowHeight="13.35" customHeight="1" outlineLevelCol="1" x14ac:dyDescent="0.25"/>
  <cols>
    <col min="1" max="1" width="2.5703125" customWidth="1"/>
    <col min="2" max="2" width="3.5703125" customWidth="1"/>
    <col min="3" max="3" width="4.42578125" customWidth="1"/>
    <col min="4" max="6" width="3.42578125" customWidth="1" outlineLevel="1"/>
    <col min="7" max="7" width="45.5703125" customWidth="1"/>
    <col min="8" max="8" width="8.42578125" customWidth="1"/>
    <col min="9" max="9" width="8.5703125" customWidth="1"/>
    <col min="10" max="10" width="12" customWidth="1"/>
    <col min="11" max="11" width="8.42578125" customWidth="1"/>
    <col min="12" max="12" width="6.5703125" customWidth="1" outlineLevel="1"/>
    <col min="13" max="16" width="8.42578125" customWidth="1" outlineLevel="1"/>
    <col min="17" max="17" width="8.5703125" customWidth="1" outlineLevel="1"/>
    <col min="18" max="18" width="8.42578125" customWidth="1" outlineLevel="1"/>
    <col min="19" max="19" width="8.5703125" customWidth="1" outlineLevel="1"/>
    <col min="20" max="20" width="14" customWidth="1" outlineLevel="1"/>
    <col min="21" max="21" width="13.42578125" customWidth="1" outlineLevel="1"/>
    <col min="22" max="22" width="14.5703125" customWidth="1" outlineLevel="1"/>
    <col min="23" max="23" width="13.42578125" customWidth="1" outlineLevel="1"/>
    <col min="24" max="24" width="13" customWidth="1" outlineLevel="1"/>
    <col min="25" max="25" width="13.42578125" customWidth="1" outlineLevel="1"/>
    <col min="26" max="26" width="16" customWidth="1"/>
    <col min="27" max="27" width="40.5703125" customWidth="1"/>
    <col min="28" max="28" width="47.42578125" customWidth="1" outlineLevel="1"/>
    <col min="29" max="29" width="4"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3.5703125" customWidth="1"/>
    <col min="49" max="49" width="16.5703125" customWidth="1"/>
    <col min="50" max="50" width="108.42578125" customWidth="1"/>
    <col min="53" max="53" width="57.42578125" customWidth="1"/>
    <col min="54" max="54" width="41.5703125" style="160" customWidth="1"/>
    <col min="57" max="57" width="9.42578125" customWidth="1"/>
    <col min="58" max="58" width="13.42578125" customWidth="1"/>
    <col min="59" max="59" width="14.42578125" customWidth="1"/>
    <col min="60" max="61" width="12.5703125" customWidth="1"/>
    <col min="62" max="62" width="21.5703125" customWidth="1"/>
    <col min="64" max="64" width="39.5703125" style="160" customWidth="1"/>
    <col min="65" max="65" width="11.42578125" customWidth="1"/>
  </cols>
  <sheetData>
    <row r="1" spans="1:65" ht="15" x14ac:dyDescent="0.25">
      <c r="A1" s="170"/>
      <c r="B1" s="719"/>
      <c r="C1" s="170"/>
      <c r="D1" s="170"/>
      <c r="E1" s="170"/>
      <c r="F1" s="170"/>
      <c r="G1" s="2295" t="str">
        <f>+Cover!C5</f>
        <v>Project Title: Battery Storage - Hyde Park</v>
      </c>
      <c r="H1" s="170"/>
      <c r="I1" s="170"/>
      <c r="J1" s="170"/>
      <c r="K1" s="170"/>
      <c r="L1" s="170"/>
      <c r="M1" s="720"/>
      <c r="N1" s="720"/>
      <c r="O1" s="720"/>
      <c r="P1" s="722"/>
      <c r="Q1" s="722"/>
      <c r="R1" s="720"/>
      <c r="S1" s="720"/>
      <c r="T1" s="723"/>
      <c r="U1" s="724"/>
      <c r="V1" s="725"/>
      <c r="W1" s="725"/>
      <c r="X1" s="723"/>
      <c r="Y1" s="723"/>
      <c r="Z1" s="723"/>
      <c r="AA1" s="726"/>
      <c r="AB1" s="726"/>
      <c r="AC1" s="170"/>
      <c r="AD1" s="586"/>
      <c r="AE1" s="586"/>
      <c r="AF1" s="727"/>
      <c r="AG1" s="727"/>
      <c r="AH1" s="727"/>
      <c r="AI1" s="170"/>
      <c r="AJ1" s="170"/>
      <c r="AK1" s="170"/>
      <c r="AL1" s="170"/>
      <c r="AM1" s="170"/>
      <c r="AN1" s="170"/>
      <c r="AO1" s="170"/>
      <c r="AP1" s="170"/>
      <c r="AQ1" s="170"/>
      <c r="AR1" s="170"/>
      <c r="AS1" s="170"/>
      <c r="AT1" s="170"/>
      <c r="AU1" s="170"/>
      <c r="AV1" s="170"/>
      <c r="AW1" s="828"/>
      <c r="AX1" s="726"/>
    </row>
    <row r="2" spans="1:65" ht="15" x14ac:dyDescent="0.25">
      <c r="A2" s="170"/>
      <c r="B2" s="719"/>
      <c r="C2" s="170"/>
      <c r="D2" s="170"/>
      <c r="E2" s="170"/>
      <c r="F2" s="170"/>
      <c r="G2" s="2295" t="str">
        <f>+Cover!C8</f>
        <v>Project Number: 21334</v>
      </c>
      <c r="H2" s="170"/>
      <c r="I2" s="170"/>
      <c r="J2" s="170"/>
      <c r="K2" s="170"/>
      <c r="L2" s="170"/>
      <c r="M2" s="720"/>
      <c r="N2" s="720"/>
      <c r="O2" s="720"/>
      <c r="P2" s="722"/>
      <c r="Q2" s="722"/>
      <c r="R2" s="720"/>
      <c r="S2" s="720"/>
      <c r="T2" s="723"/>
      <c r="U2" s="720"/>
      <c r="V2" s="728"/>
      <c r="W2" s="728"/>
      <c r="X2" s="729"/>
      <c r="Y2" s="729"/>
      <c r="Z2" s="723"/>
      <c r="AA2" s="726"/>
      <c r="AB2" s="726"/>
      <c r="AC2" s="170"/>
      <c r="AD2" s="586"/>
      <c r="AE2" s="586"/>
      <c r="AF2" s="170"/>
      <c r="AG2" s="170"/>
      <c r="AH2" s="170"/>
      <c r="AI2" s="170"/>
      <c r="AJ2" s="170"/>
      <c r="AK2" s="170"/>
      <c r="AL2" s="170"/>
      <c r="AM2" s="170"/>
      <c r="AN2" s="170"/>
      <c r="AO2" s="170"/>
      <c r="AP2" s="170"/>
      <c r="AQ2" s="170"/>
      <c r="AR2" s="170"/>
      <c r="AS2" s="735" t="str" cm="1">
        <f t="array" ref="AS2:AT2">+Cover!R8:S8</f>
        <v>Estimate done by: PAG</v>
      </c>
      <c r="AT2" s="170">
        <v>0</v>
      </c>
      <c r="AU2" s="170"/>
      <c r="AV2" s="170"/>
      <c r="AW2" s="828"/>
      <c r="AX2" s="726"/>
    </row>
    <row r="3" spans="1:65" ht="15" x14ac:dyDescent="0.25">
      <c r="A3" s="170"/>
      <c r="B3" s="719"/>
      <c r="C3" s="170"/>
      <c r="D3" s="170"/>
      <c r="E3" s="170"/>
      <c r="F3" s="170"/>
      <c r="G3" s="2295" t="str">
        <f>+Cover!C9</f>
        <v>WO &amp; Task #: 80089926</v>
      </c>
      <c r="H3" s="170"/>
      <c r="I3" s="170"/>
      <c r="J3" s="170"/>
      <c r="K3" s="170"/>
      <c r="L3" s="170"/>
      <c r="M3" s="730"/>
      <c r="N3" s="730"/>
      <c r="O3" s="730"/>
      <c r="P3" s="731"/>
      <c r="Q3" s="731"/>
      <c r="R3" s="720"/>
      <c r="S3" s="720"/>
      <c r="T3" s="723"/>
      <c r="U3" s="720"/>
      <c r="V3" s="732"/>
      <c r="W3" s="723"/>
      <c r="X3" s="733" t="s">
        <v>552</v>
      </c>
      <c r="Y3" s="734">
        <f>'Data Input sheet'!D185</f>
        <v>2.5375000000000001</v>
      </c>
      <c r="Z3" s="723"/>
      <c r="AA3" s="726"/>
      <c r="AB3" s="726"/>
      <c r="AC3" s="170"/>
      <c r="AD3" s="586"/>
      <c r="AE3" s="586"/>
      <c r="AF3" s="170"/>
      <c r="AG3" s="170"/>
      <c r="AH3" s="170"/>
      <c r="AI3" s="170"/>
      <c r="AJ3" s="170"/>
      <c r="AK3" s="170"/>
      <c r="AL3" s="170"/>
      <c r="AM3" s="170"/>
      <c r="AN3" s="170"/>
      <c r="AO3" s="170"/>
      <c r="AP3" s="170"/>
      <c r="AQ3" s="170"/>
      <c r="AR3" s="170"/>
      <c r="AS3" s="735" t="str">
        <f>+Cover!R6</f>
        <v>Date of Estimate:12/08/2023</v>
      </c>
      <c r="AT3" s="170"/>
      <c r="AU3" s="170"/>
      <c r="AV3" s="170"/>
      <c r="AW3" s="828"/>
      <c r="AX3" s="726"/>
    </row>
    <row r="4" spans="1:65" ht="15.75" thickBot="1" x14ac:dyDescent="0.3">
      <c r="A4" s="170"/>
      <c r="B4" s="719"/>
      <c r="C4" s="170"/>
      <c r="D4" s="170"/>
      <c r="E4" s="170"/>
      <c r="F4" s="170"/>
      <c r="G4" s="2295" t="str">
        <f>+Cover!R5</f>
        <v>Estimate #: E-23-373</v>
      </c>
      <c r="H4" s="170"/>
      <c r="I4" s="170"/>
      <c r="J4" s="170"/>
      <c r="K4" s="170"/>
      <c r="L4" s="170"/>
      <c r="M4" s="730"/>
      <c r="N4" s="730"/>
      <c r="O4" s="730"/>
      <c r="P4" s="731"/>
      <c r="Q4" s="731"/>
      <c r="R4" s="720"/>
      <c r="S4" s="720"/>
      <c r="T4" s="723"/>
      <c r="U4" s="720"/>
      <c r="V4" s="728"/>
      <c r="W4" s="728"/>
      <c r="X4" s="723"/>
      <c r="Y4" s="723"/>
      <c r="Z4" s="729"/>
      <c r="AA4" s="726"/>
      <c r="AB4" s="726"/>
      <c r="AC4" s="170"/>
      <c r="AD4" s="586"/>
      <c r="AE4" s="586"/>
      <c r="AF4" s="170"/>
      <c r="AG4" s="170"/>
      <c r="AH4" s="170"/>
      <c r="AI4" s="170"/>
      <c r="AJ4" s="170"/>
      <c r="AK4" s="170"/>
      <c r="AL4" s="170"/>
      <c r="AM4" s="170"/>
      <c r="AN4" s="170"/>
      <c r="AO4" s="170"/>
      <c r="AP4" s="170"/>
      <c r="AQ4" s="170"/>
      <c r="AR4" s="170"/>
      <c r="AS4" s="735" t="str">
        <f>+Cover!C10</f>
        <v>Estimate revision #: 00</v>
      </c>
      <c r="AT4" s="170"/>
      <c r="AU4" s="170"/>
      <c r="AV4" s="170"/>
      <c r="AW4" s="828" t="s">
        <v>628</v>
      </c>
      <c r="AX4" s="726"/>
    </row>
    <row r="5" spans="1:65" ht="16.5" thickTop="1" thickBot="1" x14ac:dyDescent="0.3">
      <c r="A5" s="170"/>
      <c r="B5" s="719"/>
      <c r="C5" s="170"/>
      <c r="D5" s="736" t="s">
        <v>553</v>
      </c>
      <c r="E5" s="548"/>
      <c r="F5" s="548"/>
      <c r="G5" s="737"/>
      <c r="H5" s="548"/>
      <c r="I5" s="548"/>
      <c r="J5" s="548"/>
      <c r="K5" s="548"/>
      <c r="L5" s="548"/>
      <c r="M5" s="738"/>
      <c r="N5" s="738"/>
      <c r="O5" s="738"/>
      <c r="P5" s="739"/>
      <c r="Q5" s="739"/>
      <c r="R5" s="740"/>
      <c r="S5" s="740"/>
      <c r="T5" s="741"/>
      <c r="U5" s="742"/>
      <c r="V5" s="743"/>
      <c r="W5" s="743"/>
      <c r="X5" s="741"/>
      <c r="Y5" s="741"/>
      <c r="Z5" s="744"/>
      <c r="AA5" s="745"/>
      <c r="AB5" s="745"/>
      <c r="AC5" s="548"/>
      <c r="AD5" s="746"/>
      <c r="AE5" s="746"/>
      <c r="AF5" s="548"/>
      <c r="AG5" s="548"/>
      <c r="AH5" s="548"/>
      <c r="AI5" s="548"/>
      <c r="AJ5" s="548"/>
      <c r="AK5" s="548"/>
      <c r="AL5" s="548"/>
      <c r="AM5" s="548"/>
      <c r="AN5" s="548"/>
      <c r="AO5" s="548"/>
      <c r="AP5" s="548"/>
      <c r="AQ5" s="548"/>
      <c r="AR5" s="548"/>
      <c r="AS5" s="548"/>
      <c r="AT5" s="747"/>
      <c r="AU5" s="170"/>
      <c r="AV5" s="170"/>
      <c r="AW5" s="829"/>
      <c r="AX5" s="745"/>
    </row>
    <row r="6" spans="1:65" ht="16.5" thickBot="1" x14ac:dyDescent="0.3">
      <c r="A6" s="170"/>
      <c r="B6" s="719"/>
      <c r="C6" s="170"/>
      <c r="D6" s="2014"/>
      <c r="E6" s="2014"/>
      <c r="F6" s="2014"/>
      <c r="G6" s="2014" t="s">
        <v>554</v>
      </c>
      <c r="H6" s="2015"/>
      <c r="I6" s="2015"/>
      <c r="J6" s="2015"/>
      <c r="K6" s="2015"/>
      <c r="L6" s="2015"/>
      <c r="M6" s="2015"/>
      <c r="N6" s="2015"/>
      <c r="O6" s="2015"/>
      <c r="P6" s="2016"/>
      <c r="Q6" s="2016"/>
      <c r="R6" s="2015"/>
      <c r="S6" s="2015"/>
      <c r="T6" s="2015"/>
      <c r="U6" s="2015"/>
      <c r="V6" s="2015"/>
      <c r="W6" s="2015"/>
      <c r="X6" s="2015"/>
      <c r="Y6" s="2017"/>
      <c r="Z6" s="2017"/>
      <c r="AA6" s="2018"/>
      <c r="AB6" s="2019"/>
      <c r="AC6" s="170"/>
      <c r="AD6" s="755" t="s">
        <v>555</v>
      </c>
      <c r="AE6" s="756"/>
      <c r="AF6" s="757"/>
      <c r="AG6" s="757"/>
      <c r="AH6" s="757"/>
      <c r="AI6" s="757"/>
      <c r="AJ6" s="757"/>
      <c r="AK6" s="757"/>
      <c r="AL6" s="757"/>
      <c r="AM6" s="757"/>
      <c r="AN6" s="757"/>
      <c r="AO6" s="757"/>
      <c r="AP6" s="757"/>
      <c r="AQ6" s="757"/>
      <c r="AR6" s="757"/>
      <c r="AS6" s="758"/>
      <c r="AT6" s="759"/>
      <c r="AU6" s="170"/>
      <c r="AV6" s="170"/>
      <c r="AW6" s="754"/>
      <c r="AX6" s="754"/>
    </row>
    <row r="7" spans="1:65" ht="15.75" thickBot="1" x14ac:dyDescent="0.3">
      <c r="A7" s="170"/>
      <c r="B7" s="719"/>
      <c r="C7" s="170"/>
      <c r="D7" s="2020"/>
      <c r="E7" s="378"/>
      <c r="F7" s="378"/>
      <c r="G7" s="2021"/>
      <c r="H7" s="378"/>
      <c r="I7" s="378"/>
      <c r="J7" s="378"/>
      <c r="K7" s="378"/>
      <c r="L7" s="378"/>
      <c r="M7" s="2022"/>
      <c r="N7" s="2022"/>
      <c r="O7" s="2022"/>
      <c r="P7" s="2023"/>
      <c r="Q7" s="2023"/>
      <c r="R7" s="2022"/>
      <c r="S7" s="2022"/>
      <c r="T7" s="2024"/>
      <c r="U7" s="2025"/>
      <c r="V7" s="2026"/>
      <c r="W7" s="2026"/>
      <c r="X7" s="2024"/>
      <c r="Y7" s="2024"/>
      <c r="Z7" s="2024"/>
      <c r="AA7" s="2027"/>
      <c r="AB7" s="2027"/>
      <c r="AC7" s="170"/>
      <c r="AD7" s="584"/>
      <c r="AE7" s="584"/>
      <c r="AF7" s="376"/>
      <c r="AG7" s="376"/>
      <c r="AH7" s="376"/>
      <c r="AI7" s="376"/>
      <c r="AJ7" s="376"/>
      <c r="AK7" s="376"/>
      <c r="AL7" s="762"/>
      <c r="AM7" s="762"/>
      <c r="AN7" s="762"/>
      <c r="AO7" s="762"/>
      <c r="AP7" s="762"/>
      <c r="AQ7" s="762"/>
      <c r="AR7" s="762"/>
      <c r="AS7" s="762"/>
      <c r="AT7" s="759"/>
      <c r="AU7" s="170"/>
      <c r="AV7" s="170"/>
      <c r="AW7" s="828"/>
      <c r="AX7" s="726"/>
      <c r="BM7" s="7">
        <v>0.25</v>
      </c>
    </row>
    <row r="8" spans="1:65" ht="64.5" thickBot="1" x14ac:dyDescent="0.3">
      <c r="A8" s="170"/>
      <c r="B8" s="719"/>
      <c r="C8" s="170"/>
      <c r="D8" s="2028" t="s">
        <v>630</v>
      </c>
      <c r="E8" s="2028" t="s">
        <v>631</v>
      </c>
      <c r="F8" s="2028" t="s">
        <v>632</v>
      </c>
      <c r="G8" s="2014" t="s">
        <v>206</v>
      </c>
      <c r="H8" s="2029" t="s">
        <v>557</v>
      </c>
      <c r="I8" s="2029" t="s">
        <v>556</v>
      </c>
      <c r="J8" s="2014" t="s">
        <v>560</v>
      </c>
      <c r="K8" s="2014" t="s">
        <v>559</v>
      </c>
      <c r="L8" s="2030" t="s">
        <v>561</v>
      </c>
      <c r="M8" s="2030" t="s">
        <v>562</v>
      </c>
      <c r="N8" s="2030" t="s">
        <v>563</v>
      </c>
      <c r="O8" s="2030" t="s">
        <v>564</v>
      </c>
      <c r="P8" s="2030" t="s">
        <v>565</v>
      </c>
      <c r="Q8" s="2030" t="s">
        <v>566</v>
      </c>
      <c r="R8" s="2030" t="s">
        <v>567</v>
      </c>
      <c r="S8" s="2030" t="s">
        <v>568</v>
      </c>
      <c r="T8" s="2030" t="s">
        <v>569</v>
      </c>
      <c r="U8" s="2030" t="s">
        <v>1740</v>
      </c>
      <c r="V8" s="2030" t="s">
        <v>571</v>
      </c>
      <c r="W8" s="2030" t="s">
        <v>572</v>
      </c>
      <c r="X8" s="2030" t="s">
        <v>573</v>
      </c>
      <c r="Y8" s="2030" t="s">
        <v>574</v>
      </c>
      <c r="Z8" s="2030" t="s">
        <v>575</v>
      </c>
      <c r="AA8" s="2030" t="s">
        <v>1</v>
      </c>
      <c r="AB8" s="2031" t="s">
        <v>633</v>
      </c>
      <c r="AC8" s="170"/>
      <c r="AD8" s="766" t="s">
        <v>577</v>
      </c>
      <c r="AE8" s="766" t="s">
        <v>578</v>
      </c>
      <c r="AF8" s="766" t="s">
        <v>558</v>
      </c>
      <c r="AG8" s="766" t="s">
        <v>579</v>
      </c>
      <c r="AH8" s="766" t="s">
        <v>580</v>
      </c>
      <c r="AI8" s="766" t="s">
        <v>581</v>
      </c>
      <c r="AJ8" s="766" t="s">
        <v>582</v>
      </c>
      <c r="AK8" s="766" t="s">
        <v>583</v>
      </c>
      <c r="AL8" s="766" t="s">
        <v>584</v>
      </c>
      <c r="AM8" s="766" t="s">
        <v>585</v>
      </c>
      <c r="AN8" s="766" t="s">
        <v>586</v>
      </c>
      <c r="AO8" s="766" t="s">
        <v>587</v>
      </c>
      <c r="AP8" s="766" t="s">
        <v>588</v>
      </c>
      <c r="AQ8" s="766" t="s">
        <v>589</v>
      </c>
      <c r="AR8" s="766" t="s">
        <v>590</v>
      </c>
      <c r="AS8" s="767" t="s">
        <v>591</v>
      </c>
      <c r="AT8" s="759"/>
      <c r="AU8" s="170"/>
      <c r="AV8" s="170"/>
      <c r="AW8" s="831" t="s">
        <v>634</v>
      </c>
      <c r="AX8" s="764" t="s">
        <v>635</v>
      </c>
      <c r="BM8" s="2029" t="s">
        <v>2773</v>
      </c>
    </row>
    <row r="9" spans="1:65" ht="15" x14ac:dyDescent="0.25">
      <c r="A9" s="768"/>
      <c r="B9" s="719">
        <v>1</v>
      </c>
      <c r="C9" s="170"/>
      <c r="D9" s="557"/>
      <c r="E9" s="170"/>
      <c r="F9" s="170"/>
      <c r="G9" s="785"/>
      <c r="H9" s="770"/>
      <c r="I9" s="768"/>
      <c r="J9" s="770"/>
      <c r="K9" s="770"/>
      <c r="L9" s="170"/>
      <c r="M9" s="771">
        <v>0</v>
      </c>
      <c r="N9" s="772">
        <v>1</v>
      </c>
      <c r="O9" s="773">
        <f>+M9*N9</f>
        <v>0</v>
      </c>
      <c r="P9" s="768" t="s">
        <v>39</v>
      </c>
      <c r="Q9" s="768" t="s">
        <v>39</v>
      </c>
      <c r="R9" s="774" t="s">
        <v>73</v>
      </c>
      <c r="S9" s="778">
        <f>SUMIF('Data Input sheet'!$B$118:$B$180,R9,'Data Input sheet'!$D$118:$D$180)</f>
        <v>119</v>
      </c>
      <c r="T9" s="772">
        <f>+O9*S9</f>
        <v>0</v>
      </c>
      <c r="U9" s="772"/>
      <c r="V9" s="778">
        <f>ROUND(U9*T9,0)</f>
        <v>0</v>
      </c>
      <c r="W9" s="772"/>
      <c r="X9" s="779"/>
      <c r="Y9" s="776">
        <v>0</v>
      </c>
      <c r="Z9" s="780">
        <f>T9+V9+W9+Y9</f>
        <v>0</v>
      </c>
      <c r="AA9" s="769"/>
      <c r="AB9" s="769"/>
      <c r="AC9" s="170">
        <v>0</v>
      </c>
      <c r="AD9" s="781">
        <f t="shared" ref="AD9:AD19" si="0">IF(P9="E",+ROUND(H9*O9,0),0)</f>
        <v>0</v>
      </c>
      <c r="AE9" s="781">
        <f t="shared" ref="AE9:AE10" si="1">+AF9-AD9</f>
        <v>0</v>
      </c>
      <c r="AF9" s="781">
        <f t="shared" ref="AF9:AF19" si="2">+H9*O9</f>
        <v>0</v>
      </c>
      <c r="AG9" s="781">
        <f t="shared" ref="AG9:AG19" si="3">IF(P9="E",+ROUND(T9*H9,0),0)</f>
        <v>0</v>
      </c>
      <c r="AH9" s="781">
        <f t="shared" ref="AH9:AH10" si="4">+AI9-AG9</f>
        <v>0</v>
      </c>
      <c r="AI9" s="782">
        <f t="shared" ref="AI9:AI19" si="5">+H9*T9</f>
        <v>0</v>
      </c>
      <c r="AJ9" s="781">
        <f t="shared" ref="AJ9:AJ19" si="6">IF(P9="E",+ROUND(V9*H9,0),0)</f>
        <v>0</v>
      </c>
      <c r="AK9" s="781">
        <f t="shared" ref="AK9:AK10" si="7">+AL9-AJ9</f>
        <v>0</v>
      </c>
      <c r="AL9" s="781">
        <f t="shared" ref="AL9:AL19" si="8">ROUND(V9*H9,0)</f>
        <v>0</v>
      </c>
      <c r="AM9" s="781">
        <f t="shared" ref="AM9:AM19" si="9">IF(Q9="E",+ROUND(W9*H9,0),0)</f>
        <v>0</v>
      </c>
      <c r="AN9" s="781">
        <f t="shared" ref="AN9:AN10" si="10">+AO9-AM9</f>
        <v>0</v>
      </c>
      <c r="AO9" s="781">
        <f t="shared" ref="AO9:AO19" si="11">ROUND(W9*H9,0)</f>
        <v>0</v>
      </c>
      <c r="AP9" s="781">
        <f t="shared" ref="AP9:AP19" si="12">IF(P9="E",+ROUND(Y9*H9,0),0)</f>
        <v>0</v>
      </c>
      <c r="AQ9" s="781">
        <f t="shared" ref="AQ9:AQ10" si="13">+AR9-AP9</f>
        <v>0</v>
      </c>
      <c r="AR9" s="781">
        <f t="shared" ref="AR9:AR19" si="14">ROUND(Y9*H9,0)</f>
        <v>0</v>
      </c>
      <c r="AS9" s="783">
        <f t="shared" ref="AS9:AS10" si="15">+AR9+AO9+AL9+AI9</f>
        <v>0</v>
      </c>
      <c r="AT9" s="759"/>
      <c r="AU9" s="170"/>
      <c r="AV9" s="170"/>
      <c r="AW9" s="832"/>
      <c r="AX9" s="833"/>
    </row>
    <row r="10" spans="1:65" ht="15" x14ac:dyDescent="0.25">
      <c r="A10" s="784"/>
      <c r="B10" s="719">
        <f>+B9+1</f>
        <v>2</v>
      </c>
      <c r="C10" s="170" t="str">
        <f t="shared" ref="C10:C73" si="16">+F10&amp;I10</f>
        <v/>
      </c>
      <c r="D10" s="557"/>
      <c r="E10" s="170"/>
      <c r="F10" s="170"/>
      <c r="G10" s="835" t="s">
        <v>636</v>
      </c>
      <c r="H10" s="784">
        <v>1</v>
      </c>
      <c r="I10" s="784"/>
      <c r="J10" s="784"/>
      <c r="K10" s="784"/>
      <c r="L10" s="170"/>
      <c r="M10" s="773"/>
      <c r="N10" s="773"/>
      <c r="O10" s="773"/>
      <c r="P10" s="793"/>
      <c r="Q10" s="793"/>
      <c r="R10" s="773"/>
      <c r="S10" s="778"/>
      <c r="T10" s="778"/>
      <c r="U10" s="778"/>
      <c r="V10" s="778"/>
      <c r="W10" s="778"/>
      <c r="X10" s="779"/>
      <c r="Y10" s="779"/>
      <c r="Z10" s="780"/>
      <c r="AA10" s="787"/>
      <c r="AB10" s="787"/>
      <c r="AC10" s="170">
        <v>0</v>
      </c>
      <c r="AD10" s="781">
        <f t="shared" si="0"/>
        <v>0</v>
      </c>
      <c r="AE10" s="781">
        <f t="shared" si="1"/>
        <v>0</v>
      </c>
      <c r="AF10" s="781">
        <f t="shared" si="2"/>
        <v>0</v>
      </c>
      <c r="AG10" s="781">
        <f t="shared" si="3"/>
        <v>0</v>
      </c>
      <c r="AH10" s="781">
        <f t="shared" si="4"/>
        <v>0</v>
      </c>
      <c r="AI10" s="782">
        <f t="shared" si="5"/>
        <v>0</v>
      </c>
      <c r="AJ10" s="781">
        <f t="shared" si="6"/>
        <v>0</v>
      </c>
      <c r="AK10" s="781">
        <f t="shared" si="7"/>
        <v>0</v>
      </c>
      <c r="AL10" s="781">
        <f t="shared" si="8"/>
        <v>0</v>
      </c>
      <c r="AM10" s="781">
        <f t="shared" si="9"/>
        <v>0</v>
      </c>
      <c r="AN10" s="781">
        <f t="shared" si="10"/>
        <v>0</v>
      </c>
      <c r="AO10" s="781">
        <f t="shared" si="11"/>
        <v>0</v>
      </c>
      <c r="AP10" s="781">
        <f t="shared" si="12"/>
        <v>0</v>
      </c>
      <c r="AQ10" s="781">
        <f t="shared" si="13"/>
        <v>0</v>
      </c>
      <c r="AR10" s="781">
        <f t="shared" si="14"/>
        <v>0</v>
      </c>
      <c r="AS10" s="783">
        <f t="shared" si="15"/>
        <v>0</v>
      </c>
      <c r="AT10" s="759"/>
      <c r="AU10" s="170"/>
      <c r="AV10" s="170"/>
      <c r="AW10" s="836"/>
      <c r="AX10" s="787"/>
    </row>
    <row r="11" spans="1:65" ht="15" x14ac:dyDescent="0.25">
      <c r="A11" s="784"/>
      <c r="B11" s="719">
        <f t="shared" ref="B11:B15" si="17">+B10+1</f>
        <v>3</v>
      </c>
      <c r="C11" s="170" t="str">
        <f t="shared" si="16"/>
        <v>2Day</v>
      </c>
      <c r="D11" s="557"/>
      <c r="E11" s="170"/>
      <c r="F11" s="170">
        <v>2</v>
      </c>
      <c r="G11" s="2007" t="s">
        <v>638</v>
      </c>
      <c r="H11" s="1926"/>
      <c r="I11" s="2008" t="s">
        <v>639</v>
      </c>
      <c r="J11" s="1926"/>
      <c r="K11" s="1926"/>
      <c r="L11" s="170"/>
      <c r="M11" s="2009"/>
      <c r="N11" s="2010">
        <v>1</v>
      </c>
      <c r="O11" s="773">
        <f>+M11*N11</f>
        <v>0</v>
      </c>
      <c r="P11" s="2008" t="s">
        <v>39</v>
      </c>
      <c r="Q11" s="2008" t="s">
        <v>39</v>
      </c>
      <c r="R11" s="2011" t="s">
        <v>73</v>
      </c>
      <c r="S11" s="778">
        <f>SUMIF('Data Input sheet'!$B$118:$B$180,R11,'Data Input sheet'!$D$118:$D$180)</f>
        <v>119</v>
      </c>
      <c r="T11" s="2010">
        <f>S11*O11</f>
        <v>0</v>
      </c>
      <c r="U11" s="2010"/>
      <c r="V11" s="778">
        <f>ROUND(U11*O11,0)</f>
        <v>0</v>
      </c>
      <c r="W11" s="2010"/>
      <c r="X11" s="779"/>
      <c r="Y11" s="2012"/>
      <c r="Z11" s="780">
        <f>T11+V11+W11+Y11</f>
        <v>0</v>
      </c>
      <c r="AA11" s="2007"/>
      <c r="AB11" s="2007"/>
      <c r="AC11" s="765">
        <v>0</v>
      </c>
      <c r="AD11" s="781">
        <f t="shared" si="0"/>
        <v>0</v>
      </c>
      <c r="AE11" s="781">
        <f t="shared" ref="AE11:AE135" si="18">+AF11-AD11</f>
        <v>0</v>
      </c>
      <c r="AF11" s="781">
        <f t="shared" si="2"/>
        <v>0</v>
      </c>
      <c r="AG11" s="781">
        <f t="shared" si="3"/>
        <v>0</v>
      </c>
      <c r="AH11" s="781">
        <f t="shared" ref="AH11:AH135" si="19">+AI11-AG11</f>
        <v>0</v>
      </c>
      <c r="AI11" s="782">
        <f t="shared" si="5"/>
        <v>0</v>
      </c>
      <c r="AJ11" s="781">
        <f t="shared" si="6"/>
        <v>0</v>
      </c>
      <c r="AK11" s="781">
        <f t="shared" ref="AK11:AK135" si="20">+AL11-AJ11</f>
        <v>0</v>
      </c>
      <c r="AL11" s="781">
        <f t="shared" si="8"/>
        <v>0</v>
      </c>
      <c r="AM11" s="781">
        <f t="shared" si="9"/>
        <v>0</v>
      </c>
      <c r="AN11" s="781">
        <f t="shared" ref="AN11:AN135" si="21">+AO11-AM11</f>
        <v>0</v>
      </c>
      <c r="AO11" s="781">
        <f t="shared" si="11"/>
        <v>0</v>
      </c>
      <c r="AP11" s="781">
        <f t="shared" si="12"/>
        <v>0</v>
      </c>
      <c r="AQ11" s="781">
        <f t="shared" ref="AQ11:AQ135" si="22">+AR11-AP11</f>
        <v>0</v>
      </c>
      <c r="AR11" s="781">
        <f t="shared" si="14"/>
        <v>0</v>
      </c>
      <c r="AS11" s="783">
        <f t="shared" ref="AS11:AS135" si="23">+AR11+AO11+AL11+AI11</f>
        <v>0</v>
      </c>
      <c r="AT11" s="759"/>
    </row>
    <row r="12" spans="1:65" ht="15" x14ac:dyDescent="0.25">
      <c r="A12" s="784"/>
      <c r="B12" s="719">
        <f t="shared" si="17"/>
        <v>4</v>
      </c>
      <c r="C12" s="170" t="str">
        <f t="shared" si="16"/>
        <v>1LS</v>
      </c>
      <c r="D12" s="557"/>
      <c r="E12" s="170"/>
      <c r="F12" s="170">
        <v>1</v>
      </c>
      <c r="G12" s="2007" t="s">
        <v>84</v>
      </c>
      <c r="H12" s="1926">
        <v>1</v>
      </c>
      <c r="I12" s="2008" t="s">
        <v>640</v>
      </c>
      <c r="J12" s="1926"/>
      <c r="K12" s="1926"/>
      <c r="L12" s="2219">
        <v>0.05</v>
      </c>
      <c r="M12" s="2009">
        <v>0</v>
      </c>
      <c r="N12" s="2010">
        <v>1</v>
      </c>
      <c r="O12" s="773">
        <f>+M12*N12</f>
        <v>0</v>
      </c>
      <c r="P12" s="2008" t="s">
        <v>39</v>
      </c>
      <c r="Q12" s="2008" t="s">
        <v>39</v>
      </c>
      <c r="R12" s="2011" t="s">
        <v>73</v>
      </c>
      <c r="S12" s="778">
        <f>SUMIF('Data Input sheet'!$B$118:$B$180,R12,'Data Input sheet'!$D$118:$D$180)</f>
        <v>119</v>
      </c>
      <c r="T12" s="2010">
        <f>+(SUM($AS$11,$AS$13:$AS$260)-(SUM($AM$11,$AM$13:$AM$260)+SUM($AP$11,$AP$13:$AP$260)))*L12</f>
        <v>0</v>
      </c>
      <c r="U12" s="2010"/>
      <c r="V12" s="778"/>
      <c r="W12" s="2010"/>
      <c r="X12" s="779"/>
      <c r="Y12" s="2012"/>
      <c r="Z12" s="780">
        <f>T12+V12+W12+Y12</f>
        <v>0</v>
      </c>
      <c r="AA12" s="2007" t="str">
        <f>+"Ave "&amp;$L$12*100&amp; "% of total contractor cost"</f>
        <v>Ave 5% of total contractor cost</v>
      </c>
      <c r="AB12" s="2007"/>
      <c r="AC12" s="765">
        <v>0</v>
      </c>
      <c r="AD12" s="781">
        <f t="shared" si="0"/>
        <v>0</v>
      </c>
      <c r="AE12" s="781">
        <f t="shared" si="18"/>
        <v>0</v>
      </c>
      <c r="AF12" s="781">
        <f t="shared" si="2"/>
        <v>0</v>
      </c>
      <c r="AG12" s="781">
        <f t="shared" si="3"/>
        <v>0</v>
      </c>
      <c r="AH12" s="781">
        <f t="shared" si="19"/>
        <v>0</v>
      </c>
      <c r="AI12" s="782">
        <f t="shared" si="5"/>
        <v>0</v>
      </c>
      <c r="AJ12" s="781">
        <f t="shared" si="6"/>
        <v>0</v>
      </c>
      <c r="AK12" s="781">
        <f t="shared" si="20"/>
        <v>0</v>
      </c>
      <c r="AL12" s="781">
        <f t="shared" si="8"/>
        <v>0</v>
      </c>
      <c r="AM12" s="781">
        <f t="shared" si="9"/>
        <v>0</v>
      </c>
      <c r="AN12" s="781">
        <f t="shared" si="21"/>
        <v>0</v>
      </c>
      <c r="AO12" s="781">
        <f t="shared" si="11"/>
        <v>0</v>
      </c>
      <c r="AP12" s="781">
        <f t="shared" si="12"/>
        <v>0</v>
      </c>
      <c r="AQ12" s="781">
        <f t="shared" si="22"/>
        <v>0</v>
      </c>
      <c r="AR12" s="781">
        <f t="shared" si="14"/>
        <v>0</v>
      </c>
      <c r="AS12" s="783">
        <f t="shared" si="23"/>
        <v>0</v>
      </c>
      <c r="AT12" s="759"/>
    </row>
    <row r="13" spans="1:65" ht="15" x14ac:dyDescent="0.25">
      <c r="A13" s="784"/>
      <c r="B13" s="719">
        <f t="shared" si="17"/>
        <v>5</v>
      </c>
      <c r="C13" s="170" t="str">
        <f t="shared" si="16"/>
        <v>2Day</v>
      </c>
      <c r="D13" s="557"/>
      <c r="E13" s="170"/>
      <c r="F13" s="170">
        <v>2</v>
      </c>
      <c r="G13" s="2007"/>
      <c r="H13" s="1926"/>
      <c r="I13" s="2008" t="s">
        <v>639</v>
      </c>
      <c r="J13" s="1926"/>
      <c r="K13" s="1926"/>
      <c r="L13" s="170"/>
      <c r="M13" s="2009"/>
      <c r="N13" s="2010">
        <v>1</v>
      </c>
      <c r="O13" s="773">
        <f>+M13*N13</f>
        <v>0</v>
      </c>
      <c r="P13" s="2008" t="s">
        <v>39</v>
      </c>
      <c r="Q13" s="2008" t="s">
        <v>39</v>
      </c>
      <c r="R13" s="2011" t="s">
        <v>73</v>
      </c>
      <c r="S13" s="778">
        <f>SUMIF('Data Input sheet'!$B$118:$B$180,R13,'Data Input sheet'!$D$118:$D$180)</f>
        <v>119</v>
      </c>
      <c r="T13" s="2010">
        <f>O13*S13</f>
        <v>0</v>
      </c>
      <c r="U13" s="2010"/>
      <c r="V13" s="778">
        <f>ROUND(U13*O13,0)</f>
        <v>0</v>
      </c>
      <c r="W13" s="2010"/>
      <c r="X13" s="779"/>
      <c r="Y13" s="2012">
        <v>0</v>
      </c>
      <c r="Z13" s="780">
        <f>T13+V13+W13+Y13</f>
        <v>0</v>
      </c>
      <c r="AA13" s="2007"/>
      <c r="AB13" s="2007"/>
      <c r="AC13" s="765">
        <v>0</v>
      </c>
      <c r="AD13" s="781">
        <f t="shared" si="0"/>
        <v>0</v>
      </c>
      <c r="AE13" s="781">
        <f t="shared" si="18"/>
        <v>0</v>
      </c>
      <c r="AF13" s="781">
        <f t="shared" si="2"/>
        <v>0</v>
      </c>
      <c r="AG13" s="781">
        <f t="shared" si="3"/>
        <v>0</v>
      </c>
      <c r="AH13" s="781">
        <f t="shared" si="19"/>
        <v>0</v>
      </c>
      <c r="AI13" s="782">
        <f t="shared" si="5"/>
        <v>0</v>
      </c>
      <c r="AJ13" s="781">
        <f t="shared" si="6"/>
        <v>0</v>
      </c>
      <c r="AK13" s="781">
        <f t="shared" si="20"/>
        <v>0</v>
      </c>
      <c r="AL13" s="781">
        <f t="shared" si="8"/>
        <v>0</v>
      </c>
      <c r="AM13" s="781">
        <f t="shared" si="9"/>
        <v>0</v>
      </c>
      <c r="AN13" s="781">
        <f t="shared" si="21"/>
        <v>0</v>
      </c>
      <c r="AO13" s="781">
        <f t="shared" si="11"/>
        <v>0</v>
      </c>
      <c r="AP13" s="781">
        <f t="shared" si="12"/>
        <v>0</v>
      </c>
      <c r="AQ13" s="781">
        <f t="shared" si="22"/>
        <v>0</v>
      </c>
      <c r="AR13" s="781">
        <f t="shared" si="14"/>
        <v>0</v>
      </c>
      <c r="AS13" s="783">
        <f t="shared" si="23"/>
        <v>0</v>
      </c>
      <c r="AT13" s="759"/>
    </row>
    <row r="14" spans="1:65" ht="15" x14ac:dyDescent="0.25">
      <c r="A14" s="784"/>
      <c r="B14" s="719">
        <f t="shared" si="17"/>
        <v>6</v>
      </c>
      <c r="C14" s="170" t="str">
        <f t="shared" si="16"/>
        <v/>
      </c>
      <c r="D14" s="557"/>
      <c r="E14" s="170"/>
      <c r="F14" s="557"/>
      <c r="G14" s="787"/>
      <c r="H14" s="784"/>
      <c r="I14" s="784"/>
      <c r="J14" s="784"/>
      <c r="K14" s="784"/>
      <c r="L14" s="170"/>
      <c r="M14" s="773"/>
      <c r="N14" s="773"/>
      <c r="O14" s="773"/>
      <c r="P14" s="788"/>
      <c r="Q14" s="788"/>
      <c r="R14" s="773"/>
      <c r="S14" s="778"/>
      <c r="T14" s="778"/>
      <c r="U14" s="778"/>
      <c r="V14" s="778"/>
      <c r="W14" s="778"/>
      <c r="X14" s="779"/>
      <c r="Y14" s="779"/>
      <c r="Z14" s="780"/>
      <c r="AA14" s="785"/>
      <c r="AB14" s="785"/>
      <c r="AC14" s="170">
        <v>0</v>
      </c>
      <c r="AD14" s="781">
        <f t="shared" si="0"/>
        <v>0</v>
      </c>
      <c r="AE14" s="781">
        <f t="shared" si="18"/>
        <v>0</v>
      </c>
      <c r="AF14" s="781">
        <f t="shared" si="2"/>
        <v>0</v>
      </c>
      <c r="AG14" s="781">
        <f t="shared" si="3"/>
        <v>0</v>
      </c>
      <c r="AH14" s="781">
        <f t="shared" si="19"/>
        <v>0</v>
      </c>
      <c r="AI14" s="782">
        <f t="shared" si="5"/>
        <v>0</v>
      </c>
      <c r="AJ14" s="781">
        <f t="shared" si="6"/>
        <v>0</v>
      </c>
      <c r="AK14" s="781">
        <f t="shared" si="20"/>
        <v>0</v>
      </c>
      <c r="AL14" s="781">
        <f t="shared" si="8"/>
        <v>0</v>
      </c>
      <c r="AM14" s="781">
        <f t="shared" si="9"/>
        <v>0</v>
      </c>
      <c r="AN14" s="781">
        <f t="shared" si="21"/>
        <v>0</v>
      </c>
      <c r="AO14" s="781">
        <f t="shared" si="11"/>
        <v>0</v>
      </c>
      <c r="AP14" s="781">
        <f t="shared" si="12"/>
        <v>0</v>
      </c>
      <c r="AQ14" s="781">
        <f t="shared" si="22"/>
        <v>0</v>
      </c>
      <c r="AR14" s="781">
        <f t="shared" si="14"/>
        <v>0</v>
      </c>
      <c r="AS14" s="783">
        <f t="shared" si="23"/>
        <v>0</v>
      </c>
      <c r="AT14" s="759"/>
      <c r="AU14" s="170"/>
      <c r="AV14" s="170"/>
      <c r="AW14" s="837"/>
      <c r="AX14" s="838"/>
    </row>
    <row r="15" spans="1:65" ht="15.75" thickBot="1" x14ac:dyDescent="0.3">
      <c r="A15" s="784"/>
      <c r="B15" s="719">
        <f t="shared" si="17"/>
        <v>7</v>
      </c>
      <c r="C15" s="170" t="str">
        <f t="shared" si="16"/>
        <v/>
      </c>
      <c r="D15" s="557"/>
      <c r="E15" s="170"/>
      <c r="F15" s="557"/>
      <c r="G15" s="787"/>
      <c r="H15" s="784"/>
      <c r="I15" s="784"/>
      <c r="J15" s="784"/>
      <c r="K15" s="784"/>
      <c r="L15" s="170"/>
      <c r="M15" s="773"/>
      <c r="N15" s="773"/>
      <c r="O15" s="773"/>
      <c r="P15" s="788"/>
      <c r="Q15" s="788"/>
      <c r="R15" s="773"/>
      <c r="S15" s="778"/>
      <c r="T15" s="778"/>
      <c r="U15" s="778"/>
      <c r="V15" s="778"/>
      <c r="W15" s="778"/>
      <c r="X15" s="779"/>
      <c r="Y15" s="779"/>
      <c r="Z15" s="780"/>
      <c r="AA15" s="785"/>
      <c r="AB15" s="785"/>
      <c r="AC15" s="170">
        <v>0</v>
      </c>
      <c r="AD15" s="781">
        <f t="shared" si="0"/>
        <v>0</v>
      </c>
      <c r="AE15" s="781">
        <f t="shared" si="18"/>
        <v>0</v>
      </c>
      <c r="AF15" s="781">
        <f t="shared" si="2"/>
        <v>0</v>
      </c>
      <c r="AG15" s="781">
        <f t="shared" si="3"/>
        <v>0</v>
      </c>
      <c r="AH15" s="781">
        <f t="shared" si="19"/>
        <v>0</v>
      </c>
      <c r="AI15" s="782">
        <f t="shared" si="5"/>
        <v>0</v>
      </c>
      <c r="AJ15" s="781">
        <f t="shared" si="6"/>
        <v>0</v>
      </c>
      <c r="AK15" s="781">
        <f t="shared" si="20"/>
        <v>0</v>
      </c>
      <c r="AL15" s="781">
        <f t="shared" si="8"/>
        <v>0</v>
      </c>
      <c r="AM15" s="781">
        <f t="shared" si="9"/>
        <v>0</v>
      </c>
      <c r="AN15" s="781">
        <f t="shared" si="21"/>
        <v>0</v>
      </c>
      <c r="AO15" s="781">
        <f t="shared" si="11"/>
        <v>0</v>
      </c>
      <c r="AP15" s="781">
        <f t="shared" si="12"/>
        <v>0</v>
      </c>
      <c r="AQ15" s="781">
        <f t="shared" si="22"/>
        <v>0</v>
      </c>
      <c r="AR15" s="781">
        <f t="shared" si="14"/>
        <v>0</v>
      </c>
      <c r="AS15" s="783">
        <f t="shared" si="23"/>
        <v>0</v>
      </c>
      <c r="AT15" s="759"/>
      <c r="AU15" s="170"/>
      <c r="AV15" s="170"/>
      <c r="AW15" s="837"/>
      <c r="AX15" s="838"/>
    </row>
    <row r="16" spans="1:65" ht="15.75" thickBot="1" x14ac:dyDescent="0.3">
      <c r="A16" s="784"/>
      <c r="B16" s="719">
        <f t="shared" ref="B16:B139" si="24">+B15+1</f>
        <v>8</v>
      </c>
      <c r="C16" s="170" t="str">
        <f t="shared" si="16"/>
        <v/>
      </c>
      <c r="D16" s="557"/>
      <c r="E16" s="170"/>
      <c r="F16" s="557"/>
      <c r="G16" s="2158" t="s">
        <v>642</v>
      </c>
      <c r="H16" s="784"/>
      <c r="I16" s="784"/>
      <c r="J16" s="784"/>
      <c r="K16" s="784"/>
      <c r="L16" s="170"/>
      <c r="M16" s="773"/>
      <c r="N16" s="773"/>
      <c r="O16" s="773"/>
      <c r="P16" s="788"/>
      <c r="Q16" s="788"/>
      <c r="R16" s="773"/>
      <c r="S16" s="778"/>
      <c r="T16" s="778"/>
      <c r="U16" s="778"/>
      <c r="V16" s="778"/>
      <c r="W16" s="778"/>
      <c r="X16" s="779"/>
      <c r="Y16" s="779"/>
      <c r="Z16" s="780"/>
      <c r="AA16" s="785"/>
      <c r="AB16" s="785"/>
      <c r="AC16" s="170">
        <v>0</v>
      </c>
      <c r="AD16" s="781">
        <f t="shared" si="0"/>
        <v>0</v>
      </c>
      <c r="AE16" s="781">
        <f t="shared" si="18"/>
        <v>0</v>
      </c>
      <c r="AF16" s="781">
        <f t="shared" si="2"/>
        <v>0</v>
      </c>
      <c r="AG16" s="781">
        <f t="shared" si="3"/>
        <v>0</v>
      </c>
      <c r="AH16" s="781">
        <f t="shared" si="19"/>
        <v>0</v>
      </c>
      <c r="AI16" s="782">
        <f t="shared" si="5"/>
        <v>0</v>
      </c>
      <c r="AJ16" s="781">
        <f t="shared" si="6"/>
        <v>0</v>
      </c>
      <c r="AK16" s="781">
        <f t="shared" si="20"/>
        <v>0</v>
      </c>
      <c r="AL16" s="781">
        <f t="shared" si="8"/>
        <v>0</v>
      </c>
      <c r="AM16" s="781">
        <f t="shared" si="9"/>
        <v>0</v>
      </c>
      <c r="AN16" s="781">
        <f t="shared" si="21"/>
        <v>0</v>
      </c>
      <c r="AO16" s="781">
        <f t="shared" si="11"/>
        <v>0</v>
      </c>
      <c r="AP16" s="781">
        <f t="shared" si="12"/>
        <v>0</v>
      </c>
      <c r="AQ16" s="781">
        <f t="shared" si="22"/>
        <v>0</v>
      </c>
      <c r="AR16" s="781">
        <f t="shared" si="14"/>
        <v>0</v>
      </c>
      <c r="AS16" s="783">
        <f t="shared" si="23"/>
        <v>0</v>
      </c>
      <c r="AT16" s="759"/>
      <c r="AU16" s="170"/>
      <c r="AV16" s="170"/>
      <c r="AW16" s="837"/>
      <c r="AX16" s="838"/>
    </row>
    <row r="17" spans="1:65" ht="51" x14ac:dyDescent="0.25">
      <c r="A17" s="784"/>
      <c r="B17" s="719">
        <f t="shared" si="24"/>
        <v>9</v>
      </c>
      <c r="C17" s="170" t="str">
        <f t="shared" si="16"/>
        <v/>
      </c>
      <c r="D17" s="557"/>
      <c r="E17" s="170"/>
      <c r="F17" s="170"/>
      <c r="G17" s="2007" t="s">
        <v>1368</v>
      </c>
      <c r="H17" s="1926"/>
      <c r="I17" s="2008"/>
      <c r="J17" s="1926"/>
      <c r="K17" s="1926"/>
      <c r="L17" s="170"/>
      <c r="M17" s="2009"/>
      <c r="N17" s="2010"/>
      <c r="O17" s="773"/>
      <c r="P17" s="2008"/>
      <c r="Q17" s="2008"/>
      <c r="R17" s="2011"/>
      <c r="S17" s="778"/>
      <c r="T17" s="2010"/>
      <c r="U17" s="2010"/>
      <c r="V17" s="778"/>
      <c r="W17" s="2010"/>
      <c r="X17" s="779"/>
      <c r="Y17" s="2012"/>
      <c r="Z17" s="780"/>
      <c r="AA17" s="2007"/>
      <c r="AB17" s="2007"/>
      <c r="AC17" s="765">
        <v>0</v>
      </c>
      <c r="AD17" s="781">
        <f t="shared" si="0"/>
        <v>0</v>
      </c>
      <c r="AE17" s="781">
        <f t="shared" si="18"/>
        <v>0</v>
      </c>
      <c r="AF17" s="781">
        <f t="shared" si="2"/>
        <v>0</v>
      </c>
      <c r="AG17" s="781">
        <f t="shared" si="3"/>
        <v>0</v>
      </c>
      <c r="AH17" s="781">
        <f t="shared" si="19"/>
        <v>0</v>
      </c>
      <c r="AI17" s="782">
        <f t="shared" si="5"/>
        <v>0</v>
      </c>
      <c r="AJ17" s="781">
        <f t="shared" si="6"/>
        <v>0</v>
      </c>
      <c r="AK17" s="781">
        <f t="shared" si="20"/>
        <v>0</v>
      </c>
      <c r="AL17" s="781">
        <f t="shared" si="8"/>
        <v>0</v>
      </c>
      <c r="AM17" s="781">
        <f t="shared" si="9"/>
        <v>0</v>
      </c>
      <c r="AN17" s="781">
        <f t="shared" si="21"/>
        <v>0</v>
      </c>
      <c r="AO17" s="781">
        <f t="shared" si="11"/>
        <v>0</v>
      </c>
      <c r="AP17" s="781">
        <f t="shared" si="12"/>
        <v>0</v>
      </c>
      <c r="AQ17" s="781">
        <f t="shared" si="22"/>
        <v>0</v>
      </c>
      <c r="AR17" s="781">
        <f t="shared" si="14"/>
        <v>0</v>
      </c>
      <c r="AS17" s="783">
        <f t="shared" si="23"/>
        <v>0</v>
      </c>
      <c r="AT17" s="759"/>
    </row>
    <row r="18" spans="1:65" ht="51" x14ac:dyDescent="0.25">
      <c r="A18" s="784"/>
      <c r="B18" s="719">
        <f t="shared" si="24"/>
        <v>10</v>
      </c>
      <c r="C18" s="170" t="str">
        <f t="shared" si="16"/>
        <v/>
      </c>
      <c r="D18" s="557"/>
      <c r="E18" s="170"/>
      <c r="F18" s="170"/>
      <c r="G18" s="2007" t="s">
        <v>1369</v>
      </c>
      <c r="H18" s="1926"/>
      <c r="I18" s="2008"/>
      <c r="J18" s="1926"/>
      <c r="K18" s="1926"/>
      <c r="L18" s="170"/>
      <c r="M18" s="2009"/>
      <c r="N18" s="2010"/>
      <c r="O18" s="773"/>
      <c r="P18" s="2008"/>
      <c r="Q18" s="2008"/>
      <c r="R18" s="2011"/>
      <c r="S18" s="778"/>
      <c r="T18" s="2010"/>
      <c r="U18" s="2010"/>
      <c r="V18" s="778"/>
      <c r="W18" s="2010"/>
      <c r="X18" s="779"/>
      <c r="Y18" s="2012"/>
      <c r="Z18" s="780"/>
      <c r="AA18" s="2007"/>
      <c r="AB18" s="2007"/>
      <c r="AC18" s="765">
        <v>0</v>
      </c>
      <c r="AD18" s="781">
        <f t="shared" si="0"/>
        <v>0</v>
      </c>
      <c r="AE18" s="781">
        <f t="shared" si="18"/>
        <v>0</v>
      </c>
      <c r="AF18" s="781">
        <f t="shared" si="2"/>
        <v>0</v>
      </c>
      <c r="AG18" s="781">
        <f t="shared" si="3"/>
        <v>0</v>
      </c>
      <c r="AH18" s="781">
        <f t="shared" si="19"/>
        <v>0</v>
      </c>
      <c r="AI18" s="782">
        <f t="shared" si="5"/>
        <v>0</v>
      </c>
      <c r="AJ18" s="781">
        <f t="shared" si="6"/>
        <v>0</v>
      </c>
      <c r="AK18" s="781">
        <f t="shared" si="20"/>
        <v>0</v>
      </c>
      <c r="AL18" s="781">
        <f t="shared" si="8"/>
        <v>0</v>
      </c>
      <c r="AM18" s="781">
        <f t="shared" si="9"/>
        <v>0</v>
      </c>
      <c r="AN18" s="781">
        <f t="shared" si="21"/>
        <v>0</v>
      </c>
      <c r="AO18" s="781">
        <f t="shared" si="11"/>
        <v>0</v>
      </c>
      <c r="AP18" s="781">
        <f t="shared" si="12"/>
        <v>0</v>
      </c>
      <c r="AQ18" s="781">
        <f t="shared" si="22"/>
        <v>0</v>
      </c>
      <c r="AR18" s="781">
        <f t="shared" si="14"/>
        <v>0</v>
      </c>
      <c r="AS18" s="783">
        <f t="shared" si="23"/>
        <v>0</v>
      </c>
      <c r="AT18" s="759"/>
      <c r="BA18" t="s">
        <v>2152</v>
      </c>
      <c r="BB18" s="160" t="s">
        <v>2153</v>
      </c>
    </row>
    <row r="19" spans="1:65" ht="15.75" x14ac:dyDescent="0.25">
      <c r="A19" s="784"/>
      <c r="B19" s="719">
        <f t="shared" si="24"/>
        <v>11</v>
      </c>
      <c r="C19" s="170" t="str">
        <f t="shared" si="16"/>
        <v/>
      </c>
      <c r="D19" s="557"/>
      <c r="E19" s="170"/>
      <c r="F19" s="557"/>
      <c r="G19" s="2161" t="s">
        <v>2248</v>
      </c>
      <c r="H19" s="1485"/>
      <c r="I19" s="1485"/>
      <c r="J19" s="1485"/>
      <c r="K19" s="1485"/>
      <c r="L19" s="170"/>
      <c r="M19" s="1486"/>
      <c r="N19" s="1486"/>
      <c r="O19" s="1486"/>
      <c r="P19" s="788"/>
      <c r="Q19" s="788"/>
      <c r="R19" s="773"/>
      <c r="S19" s="778"/>
      <c r="T19" s="778"/>
      <c r="U19" s="778"/>
      <c r="V19" s="778"/>
      <c r="W19" s="778"/>
      <c r="X19" s="734" t="s">
        <v>573</v>
      </c>
      <c r="Y19" s="734"/>
      <c r="Z19" s="780"/>
      <c r="AA19" s="787"/>
      <c r="AB19" s="787"/>
      <c r="AC19" s="170">
        <v>0</v>
      </c>
      <c r="AD19" s="781">
        <f t="shared" si="0"/>
        <v>0</v>
      </c>
      <c r="AE19" s="781">
        <f t="shared" si="18"/>
        <v>0</v>
      </c>
      <c r="AF19" s="781">
        <f t="shared" si="2"/>
        <v>0</v>
      </c>
      <c r="AG19" s="781">
        <f t="shared" si="3"/>
        <v>0</v>
      </c>
      <c r="AH19" s="781">
        <f t="shared" si="19"/>
        <v>0</v>
      </c>
      <c r="AI19" s="782">
        <f t="shared" si="5"/>
        <v>0</v>
      </c>
      <c r="AJ19" s="781">
        <f t="shared" si="6"/>
        <v>0</v>
      </c>
      <c r="AK19" s="781">
        <f t="shared" si="20"/>
        <v>0</v>
      </c>
      <c r="AL19" s="781">
        <f t="shared" si="8"/>
        <v>0</v>
      </c>
      <c r="AM19" s="781">
        <f t="shared" si="9"/>
        <v>0</v>
      </c>
      <c r="AN19" s="781">
        <f t="shared" si="21"/>
        <v>0</v>
      </c>
      <c r="AO19" s="781">
        <f t="shared" si="11"/>
        <v>0</v>
      </c>
      <c r="AP19" s="781">
        <f t="shared" si="12"/>
        <v>0</v>
      </c>
      <c r="AQ19" s="781">
        <f t="shared" si="22"/>
        <v>0</v>
      </c>
      <c r="AR19" s="781">
        <f t="shared" si="14"/>
        <v>0</v>
      </c>
      <c r="AS19" s="783">
        <f t="shared" si="23"/>
        <v>0</v>
      </c>
      <c r="AT19" s="759"/>
      <c r="AU19" s="170"/>
      <c r="AV19" s="170"/>
      <c r="AW19" s="836"/>
      <c r="AX19" s="787"/>
    </row>
    <row r="20" spans="1:65" ht="15" x14ac:dyDescent="0.25">
      <c r="A20" s="784"/>
      <c r="B20" s="719"/>
      <c r="C20" s="170" t="str">
        <f t="shared" si="16"/>
        <v/>
      </c>
      <c r="D20" s="557"/>
      <c r="E20" s="170"/>
      <c r="F20" s="170"/>
      <c r="G20" s="1620" t="s">
        <v>2073</v>
      </c>
      <c r="H20" s="1485"/>
      <c r="I20" s="1485"/>
      <c r="J20" s="1485"/>
      <c r="K20" s="1485"/>
      <c r="L20" s="170"/>
      <c r="M20" s="1486"/>
      <c r="N20" s="1486"/>
      <c r="O20" s="1486"/>
      <c r="P20" s="788"/>
      <c r="Q20" s="788"/>
      <c r="R20" s="773"/>
      <c r="S20" s="778"/>
      <c r="T20" s="778"/>
      <c r="U20" s="778"/>
      <c r="V20" s="778"/>
      <c r="W20" s="778"/>
      <c r="X20" s="734"/>
      <c r="Y20" s="734"/>
      <c r="Z20" s="780"/>
      <c r="AA20" s="787"/>
      <c r="AB20" s="787"/>
      <c r="AC20" s="170"/>
      <c r="AD20" s="781"/>
      <c r="AE20" s="781"/>
      <c r="AF20" s="781"/>
      <c r="AG20" s="781"/>
      <c r="AH20" s="781"/>
      <c r="AI20" s="782"/>
      <c r="AJ20" s="781"/>
      <c r="AK20" s="781"/>
      <c r="AL20" s="781"/>
      <c r="AM20" s="781"/>
      <c r="AN20" s="781"/>
      <c r="AO20" s="781"/>
      <c r="AP20" s="781"/>
      <c r="AQ20" s="781"/>
      <c r="AR20" s="781"/>
      <c r="AS20" s="783"/>
      <c r="AT20" s="759"/>
      <c r="AU20" s="170"/>
      <c r="AV20" s="170"/>
      <c r="AW20" s="918"/>
      <c r="AX20" s="721"/>
    </row>
    <row r="21" spans="1:65" ht="30" x14ac:dyDescent="0.25">
      <c r="A21" s="784"/>
      <c r="B21" s="719">
        <f>+B19+1</f>
        <v>12</v>
      </c>
      <c r="C21" s="170" t="str">
        <f t="shared" si="16"/>
        <v>41Ea</v>
      </c>
      <c r="D21" s="557"/>
      <c r="E21" s="170"/>
      <c r="F21" s="170">
        <v>41</v>
      </c>
      <c r="G21" s="2007" t="s">
        <v>2166</v>
      </c>
      <c r="H21" s="1926">
        <v>0</v>
      </c>
      <c r="I21" s="2008" t="s">
        <v>1416</v>
      </c>
      <c r="J21" s="1926"/>
      <c r="K21" s="1926"/>
      <c r="L21" s="170"/>
      <c r="M21" s="2009">
        <v>79</v>
      </c>
      <c r="N21" s="2010">
        <v>1</v>
      </c>
      <c r="O21" s="773">
        <f t="shared" ref="O21:O60" si="25">+M21*N21</f>
        <v>79</v>
      </c>
      <c r="P21" s="2008" t="s">
        <v>39</v>
      </c>
      <c r="Q21" s="2008" t="s">
        <v>604</v>
      </c>
      <c r="R21" s="2011" t="s">
        <v>74</v>
      </c>
      <c r="S21" s="778">
        <f>SUMIF('Data Input sheet'!$B$118:$B$180,R21,'Data Input sheet'!$D$118:$D$180)</f>
        <v>152</v>
      </c>
      <c r="T21" s="2010">
        <f t="shared" ref="T21:T60" si="26">S21*O21</f>
        <v>12008</v>
      </c>
      <c r="U21" s="2010">
        <v>61</v>
      </c>
      <c r="V21" s="778">
        <f t="shared" ref="V21:V60" si="27">ROUND(U21*O21,0)</f>
        <v>4819</v>
      </c>
      <c r="W21" s="2010">
        <f>ROUND(+BM21*(1+$BM$7),-2)</f>
        <v>62500</v>
      </c>
      <c r="X21" s="779"/>
      <c r="Y21" s="2012"/>
      <c r="Z21" s="780">
        <f t="shared" ref="Z21:Z60" si="28">T21+V21+W21+Y21</f>
        <v>79327</v>
      </c>
      <c r="AA21" s="2007"/>
      <c r="AB21" s="2007"/>
      <c r="AC21" s="765"/>
      <c r="AD21" s="781">
        <f t="shared" ref="AD21:AD60" si="29">IF(P21="E",+ROUND(H21*O21,0),0)</f>
        <v>0</v>
      </c>
      <c r="AE21" s="781">
        <f t="shared" ref="AE21:AE60" si="30">+AF21-AD21</f>
        <v>0</v>
      </c>
      <c r="AF21" s="781">
        <f t="shared" ref="AF21:AF60" si="31">+H21*O21</f>
        <v>0</v>
      </c>
      <c r="AG21" s="781">
        <f t="shared" ref="AG21:AG60" si="32">IF(P21="E",+ROUND(T21*H21,0),0)</f>
        <v>0</v>
      </c>
      <c r="AH21" s="781">
        <f t="shared" ref="AH21:AH60" si="33">+AI21-AG21</f>
        <v>0</v>
      </c>
      <c r="AI21" s="782">
        <f t="shared" ref="AI21:AI60" si="34">+H21*T21</f>
        <v>0</v>
      </c>
      <c r="AJ21" s="781">
        <f t="shared" ref="AJ21:AJ60" si="35">IF(P21="E",+ROUND(V21*H21,0),0)</f>
        <v>0</v>
      </c>
      <c r="AK21" s="781">
        <f t="shared" ref="AK21:AK60" si="36">+AL21-AJ21</f>
        <v>0</v>
      </c>
      <c r="AL21" s="781">
        <f t="shared" ref="AL21:AL60" si="37">ROUND(V21*H21,0)</f>
        <v>0</v>
      </c>
      <c r="AM21" s="781">
        <f t="shared" ref="AM21:AM60" si="38">IF(Q21="E",+ROUND(W21*H21,0),0)</f>
        <v>0</v>
      </c>
      <c r="AN21" s="781">
        <f t="shared" ref="AN21:AN60" si="39">+AO21-AM21</f>
        <v>0</v>
      </c>
      <c r="AO21" s="781">
        <f t="shared" ref="AO21:AO60" si="40">ROUND(W21*H21,0)</f>
        <v>0</v>
      </c>
      <c r="AP21" s="781">
        <f t="shared" ref="AP21:AP60" si="41">IF(P21="E",+ROUND(Y21*H21,0),0)</f>
        <v>0</v>
      </c>
      <c r="AQ21" s="781">
        <f t="shared" ref="AQ21:AQ60" si="42">+AR21-AP21</f>
        <v>0</v>
      </c>
      <c r="AR21" s="781">
        <f t="shared" ref="AR21:AR60" si="43">ROUND(Y21*H21,0)</f>
        <v>0</v>
      </c>
      <c r="AS21" s="783">
        <f t="shared" ref="AS21:AS60" si="44">+AR21+AO21+AL21+AI21</f>
        <v>0</v>
      </c>
      <c r="AT21" s="759"/>
      <c r="BA21" s="2007" t="s">
        <v>1407</v>
      </c>
      <c r="BB21" s="160" t="str">
        <f>+BC21&amp;", "&amp;BD21&amp;", "&amp;BE21&amp;", "&amp;BF21&amp;", "&amp;BG21&amp;", "&amp;BI21&amp;", "&amp;BH21&amp;", "&amp;BJ21</f>
        <v>Structure, 115kV, H frame, Dead End, 80-99ft, New, Deenergized, Concrete Caisson Fnd</v>
      </c>
      <c r="BC21" s="9" t="s">
        <v>2164</v>
      </c>
      <c r="BD21" t="s">
        <v>2078</v>
      </c>
      <c r="BE21" s="9" t="s">
        <v>2084</v>
      </c>
      <c r="BF21" t="s">
        <v>2159</v>
      </c>
      <c r="BG21" t="s">
        <v>2161</v>
      </c>
      <c r="BH21" t="s">
        <v>2157</v>
      </c>
      <c r="BI21" t="s">
        <v>908</v>
      </c>
      <c r="BJ21" t="s">
        <v>2158</v>
      </c>
      <c r="BM21" s="2010">
        <v>50000</v>
      </c>
    </row>
    <row r="22" spans="1:65" ht="30" x14ac:dyDescent="0.25">
      <c r="A22" s="784"/>
      <c r="B22" s="719">
        <f t="shared" si="24"/>
        <v>13</v>
      </c>
      <c r="C22" s="170" t="str">
        <f t="shared" si="16"/>
        <v>41Ea</v>
      </c>
      <c r="D22" s="557"/>
      <c r="E22" s="170"/>
      <c r="F22" s="170">
        <v>41</v>
      </c>
      <c r="G22" s="2007" t="s">
        <v>2168</v>
      </c>
      <c r="H22" s="1926">
        <v>0</v>
      </c>
      <c r="I22" s="2008" t="s">
        <v>1416</v>
      </c>
      <c r="J22" s="1926"/>
      <c r="K22" s="1926"/>
      <c r="L22" s="170"/>
      <c r="M22" s="2009">
        <v>86</v>
      </c>
      <c r="N22" s="2010">
        <v>1</v>
      </c>
      <c r="O22" s="773">
        <f t="shared" si="25"/>
        <v>86</v>
      </c>
      <c r="P22" s="2008" t="s">
        <v>39</v>
      </c>
      <c r="Q22" s="2008" t="s">
        <v>604</v>
      </c>
      <c r="R22" s="2011" t="s">
        <v>74</v>
      </c>
      <c r="S22" s="778">
        <f>SUMIF('Data Input sheet'!$B$118:$B$180,R22,'Data Input sheet'!$D$118:$D$180)</f>
        <v>152</v>
      </c>
      <c r="T22" s="2010">
        <f t="shared" si="26"/>
        <v>13072</v>
      </c>
      <c r="U22" s="2010">
        <v>59</v>
      </c>
      <c r="V22" s="778">
        <f t="shared" si="27"/>
        <v>5074</v>
      </c>
      <c r="W22" s="2010">
        <f t="shared" ref="W22:W37" si="45">ROUND(+BM22*(1+$BM$7),-2)</f>
        <v>27500</v>
      </c>
      <c r="X22" s="779"/>
      <c r="Y22" s="2012"/>
      <c r="Z22" s="780">
        <f t="shared" si="28"/>
        <v>45646</v>
      </c>
      <c r="AA22" s="2007"/>
      <c r="AB22" s="2007"/>
      <c r="AC22" s="765"/>
      <c r="AD22" s="781">
        <f t="shared" si="29"/>
        <v>0</v>
      </c>
      <c r="AE22" s="781">
        <f t="shared" si="30"/>
        <v>0</v>
      </c>
      <c r="AF22" s="781">
        <f t="shared" si="31"/>
        <v>0</v>
      </c>
      <c r="AG22" s="781">
        <f t="shared" si="32"/>
        <v>0</v>
      </c>
      <c r="AH22" s="781">
        <f t="shared" si="33"/>
        <v>0</v>
      </c>
      <c r="AI22" s="782">
        <f t="shared" si="34"/>
        <v>0</v>
      </c>
      <c r="AJ22" s="781">
        <f t="shared" si="35"/>
        <v>0</v>
      </c>
      <c r="AK22" s="781">
        <f t="shared" si="36"/>
        <v>0</v>
      </c>
      <c r="AL22" s="781">
        <f t="shared" si="37"/>
        <v>0</v>
      </c>
      <c r="AM22" s="781">
        <f t="shared" si="38"/>
        <v>0</v>
      </c>
      <c r="AN22" s="781">
        <f t="shared" si="39"/>
        <v>0</v>
      </c>
      <c r="AO22" s="781">
        <f t="shared" si="40"/>
        <v>0</v>
      </c>
      <c r="AP22" s="781">
        <f t="shared" si="41"/>
        <v>0</v>
      </c>
      <c r="AQ22" s="781">
        <f t="shared" si="42"/>
        <v>0</v>
      </c>
      <c r="AR22" s="781">
        <f t="shared" si="43"/>
        <v>0</v>
      </c>
      <c r="AS22" s="783">
        <f t="shared" si="44"/>
        <v>0</v>
      </c>
      <c r="AT22" s="759"/>
      <c r="BA22" s="2007" t="s">
        <v>1408</v>
      </c>
      <c r="BB22" s="160" t="str">
        <f>+BC22&amp;", "&amp;BD22&amp;", "&amp;BE22&amp;", "&amp;BF22&amp;", "&amp;BG22&amp;", "&amp;BI22&amp;", "&amp;BH22&amp;", "&amp;BJ22</f>
        <v>Structure, 115kV, H frame, Dead End, 80-99ft, New, Deenergized, Direct Embedment Fnd</v>
      </c>
      <c r="BC22" s="9" t="s">
        <v>2164</v>
      </c>
      <c r="BD22" t="s">
        <v>2078</v>
      </c>
      <c r="BE22" s="9" t="s">
        <v>2084</v>
      </c>
      <c r="BF22" t="s">
        <v>2159</v>
      </c>
      <c r="BG22" t="s">
        <v>2161</v>
      </c>
      <c r="BH22" t="s">
        <v>2157</v>
      </c>
      <c r="BI22" t="s">
        <v>908</v>
      </c>
      <c r="BJ22" t="s">
        <v>2163</v>
      </c>
      <c r="BM22" s="2010">
        <v>22000</v>
      </c>
    </row>
    <row r="23" spans="1:65" ht="30" x14ac:dyDescent="0.25">
      <c r="A23" s="784"/>
      <c r="B23" s="719">
        <f t="shared" si="24"/>
        <v>14</v>
      </c>
      <c r="C23" s="170" t="str">
        <f t="shared" si="16"/>
        <v>41Ea</v>
      </c>
      <c r="D23" s="557"/>
      <c r="E23" s="170"/>
      <c r="F23" s="170">
        <v>41</v>
      </c>
      <c r="G23" s="2007" t="s">
        <v>2167</v>
      </c>
      <c r="H23" s="1926"/>
      <c r="I23" s="2008" t="s">
        <v>1416</v>
      </c>
      <c r="J23" s="1926"/>
      <c r="K23" s="1926"/>
      <c r="L23" s="170"/>
      <c r="M23" s="2009">
        <v>172</v>
      </c>
      <c r="N23" s="2010">
        <v>1</v>
      </c>
      <c r="O23" s="773">
        <f t="shared" si="25"/>
        <v>172</v>
      </c>
      <c r="P23" s="2008" t="s">
        <v>39</v>
      </c>
      <c r="Q23" s="2008" t="s">
        <v>604</v>
      </c>
      <c r="R23" s="2011" t="s">
        <v>74</v>
      </c>
      <c r="S23" s="778">
        <f>SUMIF('Data Input sheet'!$B$118:$B$180,R23,'Data Input sheet'!$D$118:$D$180)</f>
        <v>152</v>
      </c>
      <c r="T23" s="2010">
        <f t="shared" si="26"/>
        <v>26144</v>
      </c>
      <c r="U23" s="2010">
        <v>60</v>
      </c>
      <c r="V23" s="778">
        <f t="shared" si="27"/>
        <v>10320</v>
      </c>
      <c r="W23" s="2010">
        <f t="shared" si="45"/>
        <v>62500</v>
      </c>
      <c r="X23" s="779"/>
      <c r="Y23" s="2012"/>
      <c r="Z23" s="780">
        <f t="shared" si="28"/>
        <v>98964</v>
      </c>
      <c r="AA23" s="2007"/>
      <c r="AB23" s="2007"/>
      <c r="AC23" s="765"/>
      <c r="AD23" s="781">
        <f t="shared" si="29"/>
        <v>0</v>
      </c>
      <c r="AE23" s="781">
        <f t="shared" si="30"/>
        <v>0</v>
      </c>
      <c r="AF23" s="781">
        <f t="shared" si="31"/>
        <v>0</v>
      </c>
      <c r="AG23" s="781">
        <f t="shared" si="32"/>
        <v>0</v>
      </c>
      <c r="AH23" s="781">
        <f t="shared" si="33"/>
        <v>0</v>
      </c>
      <c r="AI23" s="782">
        <f t="shared" si="34"/>
        <v>0</v>
      </c>
      <c r="AJ23" s="781">
        <f t="shared" si="35"/>
        <v>0</v>
      </c>
      <c r="AK23" s="781">
        <f t="shared" si="36"/>
        <v>0</v>
      </c>
      <c r="AL23" s="781">
        <f t="shared" si="37"/>
        <v>0</v>
      </c>
      <c r="AM23" s="781">
        <f t="shared" si="38"/>
        <v>0</v>
      </c>
      <c r="AN23" s="781">
        <f t="shared" si="39"/>
        <v>0</v>
      </c>
      <c r="AO23" s="781">
        <f t="shared" si="40"/>
        <v>0</v>
      </c>
      <c r="AP23" s="781">
        <f t="shared" si="41"/>
        <v>0</v>
      </c>
      <c r="AQ23" s="781">
        <f t="shared" si="42"/>
        <v>0</v>
      </c>
      <c r="AR23" s="781">
        <f t="shared" si="43"/>
        <v>0</v>
      </c>
      <c r="AS23" s="783">
        <f t="shared" si="44"/>
        <v>0</v>
      </c>
      <c r="AT23" s="759"/>
      <c r="BA23" s="2007" t="s">
        <v>2151</v>
      </c>
      <c r="BB23" s="160" t="str">
        <f>+BC23&amp;", "&amp;BD23&amp;", "&amp;BE23&amp;", "&amp;BF23&amp;", "&amp;BG23&amp;", "&amp;BI23&amp;", "&amp;BH23&amp;", "&amp;BJ23</f>
        <v>Structure, 115kV, H frame, Dead End, 80-99ft, Repl., Deenergized, Concrete Caisson Fnd</v>
      </c>
      <c r="BC23" s="9" t="s">
        <v>2164</v>
      </c>
      <c r="BD23" t="s">
        <v>2078</v>
      </c>
      <c r="BE23" s="9" t="s">
        <v>2084</v>
      </c>
      <c r="BF23" t="s">
        <v>2159</v>
      </c>
      <c r="BG23" t="s">
        <v>2161</v>
      </c>
      <c r="BH23" t="s">
        <v>2157</v>
      </c>
      <c r="BI23" t="s">
        <v>2165</v>
      </c>
      <c r="BJ23" t="s">
        <v>2158</v>
      </c>
      <c r="BM23" s="2010">
        <v>50000</v>
      </c>
    </row>
    <row r="24" spans="1:65" ht="30" x14ac:dyDescent="0.25">
      <c r="A24" s="784"/>
      <c r="B24" s="719">
        <f t="shared" si="24"/>
        <v>15</v>
      </c>
      <c r="C24" s="170" t="str">
        <f t="shared" si="16"/>
        <v>41Ea</v>
      </c>
      <c r="D24" s="557"/>
      <c r="E24" s="170"/>
      <c r="F24" s="170">
        <v>41</v>
      </c>
      <c r="G24" s="2007" t="s">
        <v>2258</v>
      </c>
      <c r="H24" s="1926">
        <v>0</v>
      </c>
      <c r="I24" s="2008" t="s">
        <v>1416</v>
      </c>
      <c r="J24" s="1926"/>
      <c r="K24" s="1926"/>
      <c r="L24" s="170"/>
      <c r="M24" s="2009">
        <v>125</v>
      </c>
      <c r="N24" s="2010">
        <v>1</v>
      </c>
      <c r="O24" s="773">
        <f t="shared" ref="O24" si="46">+M24*N24</f>
        <v>125</v>
      </c>
      <c r="P24" s="2008" t="s">
        <v>39</v>
      </c>
      <c r="Q24" s="2008" t="s">
        <v>604</v>
      </c>
      <c r="R24" s="2011" t="s">
        <v>74</v>
      </c>
      <c r="S24" s="778">
        <f>SUMIF('Data Input sheet'!$B$118:$B$180,R24,'Data Input sheet'!$D$118:$D$180)</f>
        <v>152</v>
      </c>
      <c r="T24" s="2010">
        <f t="shared" ref="T24" si="47">S24*O24</f>
        <v>19000</v>
      </c>
      <c r="U24" s="2010">
        <v>60</v>
      </c>
      <c r="V24" s="778">
        <f t="shared" ref="V24" si="48">ROUND(U24*O24,0)</f>
        <v>7500</v>
      </c>
      <c r="W24" s="2010">
        <f t="shared" si="45"/>
        <v>27500</v>
      </c>
      <c r="X24" s="779"/>
      <c r="Y24" s="2012"/>
      <c r="Z24" s="780">
        <f t="shared" ref="Z24" si="49">T24+V24+W24+Y24</f>
        <v>54000</v>
      </c>
      <c r="AA24" s="2007"/>
      <c r="AB24" s="2007"/>
      <c r="AC24" s="765"/>
      <c r="AD24" s="781">
        <f t="shared" ref="AD24" si="50">IF(P24="E",+ROUND(H24*O24,0),0)</f>
        <v>0</v>
      </c>
      <c r="AE24" s="781">
        <f t="shared" ref="AE24" si="51">+AF24-AD24</f>
        <v>0</v>
      </c>
      <c r="AF24" s="781">
        <f t="shared" ref="AF24" si="52">+H24*O24</f>
        <v>0</v>
      </c>
      <c r="AG24" s="781">
        <f t="shared" ref="AG24" si="53">IF(P24="E",+ROUND(T24*H24,0),0)</f>
        <v>0</v>
      </c>
      <c r="AH24" s="781">
        <f t="shared" ref="AH24" si="54">+AI24-AG24</f>
        <v>0</v>
      </c>
      <c r="AI24" s="782">
        <f t="shared" ref="AI24" si="55">+H24*T24</f>
        <v>0</v>
      </c>
      <c r="AJ24" s="781">
        <f t="shared" ref="AJ24" si="56">IF(P24="E",+ROUND(V24*H24,0),0)</f>
        <v>0</v>
      </c>
      <c r="AK24" s="781">
        <f t="shared" ref="AK24" si="57">+AL24-AJ24</f>
        <v>0</v>
      </c>
      <c r="AL24" s="781">
        <f t="shared" ref="AL24" si="58">ROUND(V24*H24,0)</f>
        <v>0</v>
      </c>
      <c r="AM24" s="781">
        <f t="shared" ref="AM24" si="59">IF(Q24="E",+ROUND(W24*H24,0),0)</f>
        <v>0</v>
      </c>
      <c r="AN24" s="781">
        <f t="shared" ref="AN24" si="60">+AO24-AM24</f>
        <v>0</v>
      </c>
      <c r="AO24" s="781">
        <f t="shared" ref="AO24" si="61">ROUND(W24*H24,0)</f>
        <v>0</v>
      </c>
      <c r="AP24" s="781">
        <f t="shared" ref="AP24" si="62">IF(P24="E",+ROUND(Y24*H24,0),0)</f>
        <v>0</v>
      </c>
      <c r="AQ24" s="781">
        <f t="shared" ref="AQ24" si="63">+AR24-AP24</f>
        <v>0</v>
      </c>
      <c r="AR24" s="781">
        <f t="shared" ref="AR24" si="64">ROUND(Y24*H24,0)</f>
        <v>0</v>
      </c>
      <c r="AS24" s="783">
        <f t="shared" ref="AS24" si="65">+AR24+AO24+AL24+AI24</f>
        <v>0</v>
      </c>
      <c r="AT24" s="759"/>
      <c r="BA24" s="2007" t="s">
        <v>2151</v>
      </c>
      <c r="BB24" s="160" t="str">
        <f>+BC24&amp;", "&amp;BD24&amp;", "&amp;BE24&amp;", "&amp;BF24&amp;", "&amp;BG24&amp;", "&amp;BI24&amp;", "&amp;BH24&amp;", "&amp;BJ24</f>
        <v>Structure, 115kV, H frame, Dead End, 80-99ft, Repl., Deenergized, Direct Embedment Fnd</v>
      </c>
      <c r="BC24" s="9" t="s">
        <v>2164</v>
      </c>
      <c r="BD24" t="s">
        <v>2078</v>
      </c>
      <c r="BE24" s="9" t="s">
        <v>2084</v>
      </c>
      <c r="BF24" t="s">
        <v>2159</v>
      </c>
      <c r="BG24" t="s">
        <v>2161</v>
      </c>
      <c r="BH24" t="s">
        <v>2157</v>
      </c>
      <c r="BI24" t="s">
        <v>2165</v>
      </c>
      <c r="BJ24" t="s">
        <v>2163</v>
      </c>
      <c r="BM24" s="2010">
        <v>22000</v>
      </c>
    </row>
    <row r="25" spans="1:65" ht="30" x14ac:dyDescent="0.25">
      <c r="A25" s="784"/>
      <c r="B25" s="719">
        <f>+B23+1</f>
        <v>15</v>
      </c>
      <c r="C25" s="170" t="str">
        <f t="shared" si="16"/>
        <v>41Ea</v>
      </c>
      <c r="D25" s="557"/>
      <c r="E25" s="170"/>
      <c r="F25" s="170">
        <v>41</v>
      </c>
      <c r="G25" s="2007" t="s">
        <v>2169</v>
      </c>
      <c r="H25" s="1926">
        <f>+'Structure replacements'!$J$24+'Structure replacements'!$J$25</f>
        <v>0</v>
      </c>
      <c r="I25" s="2008" t="s">
        <v>1416</v>
      </c>
      <c r="J25" s="1926"/>
      <c r="K25" s="1926"/>
      <c r="L25" s="170"/>
      <c r="M25" s="2009">
        <v>385</v>
      </c>
      <c r="N25" s="2010">
        <v>1</v>
      </c>
      <c r="O25" s="773">
        <f t="shared" si="25"/>
        <v>385</v>
      </c>
      <c r="P25" s="2008" t="s">
        <v>39</v>
      </c>
      <c r="Q25" s="2008" t="s">
        <v>604</v>
      </c>
      <c r="R25" s="2011" t="s">
        <v>74</v>
      </c>
      <c r="S25" s="778">
        <f>SUMIF('Data Input sheet'!$B$118:$B$180,R25,'Data Input sheet'!$D$118:$D$180)</f>
        <v>152</v>
      </c>
      <c r="T25" s="2010">
        <f t="shared" si="26"/>
        <v>58520</v>
      </c>
      <c r="U25" s="2010">
        <v>60</v>
      </c>
      <c r="V25" s="778">
        <f t="shared" si="27"/>
        <v>23100</v>
      </c>
      <c r="W25" s="2010">
        <f t="shared" si="45"/>
        <v>27500</v>
      </c>
      <c r="X25" s="779"/>
      <c r="Y25" s="2012"/>
      <c r="Z25" s="780">
        <f t="shared" si="28"/>
        <v>109120</v>
      </c>
      <c r="AA25" s="2007"/>
      <c r="AB25" s="2007"/>
      <c r="AC25" s="765"/>
      <c r="AD25" s="781">
        <f t="shared" si="29"/>
        <v>0</v>
      </c>
      <c r="AE25" s="781">
        <f t="shared" si="30"/>
        <v>0</v>
      </c>
      <c r="AF25" s="781">
        <f t="shared" si="31"/>
        <v>0</v>
      </c>
      <c r="AG25" s="781">
        <f t="shared" si="32"/>
        <v>0</v>
      </c>
      <c r="AH25" s="781">
        <f t="shared" si="33"/>
        <v>0</v>
      </c>
      <c r="AI25" s="782">
        <f t="shared" si="34"/>
        <v>0</v>
      </c>
      <c r="AJ25" s="781">
        <f t="shared" si="35"/>
        <v>0</v>
      </c>
      <c r="AK25" s="781">
        <f t="shared" si="36"/>
        <v>0</v>
      </c>
      <c r="AL25" s="781">
        <f t="shared" si="37"/>
        <v>0</v>
      </c>
      <c r="AM25" s="781">
        <f t="shared" si="38"/>
        <v>0</v>
      </c>
      <c r="AN25" s="781">
        <f t="shared" si="39"/>
        <v>0</v>
      </c>
      <c r="AO25" s="781">
        <f t="shared" si="40"/>
        <v>0</v>
      </c>
      <c r="AP25" s="781">
        <f t="shared" si="41"/>
        <v>0</v>
      </c>
      <c r="AQ25" s="781">
        <f t="shared" si="42"/>
        <v>0</v>
      </c>
      <c r="AR25" s="781">
        <f t="shared" si="43"/>
        <v>0</v>
      </c>
      <c r="AS25" s="783">
        <f t="shared" si="44"/>
        <v>0</v>
      </c>
      <c r="AT25" s="759"/>
      <c r="BA25" s="2007" t="s">
        <v>1409</v>
      </c>
      <c r="BB25" s="160" t="str">
        <f>+BC25&amp;", "&amp;BD25&amp;", "&amp;BE25&amp;", "&amp;BF25&amp;", "&amp;BG25&amp;", "&amp;BI25&amp;", "&amp;BH25&amp;", "&amp;BJ25</f>
        <v>Structure, 115kV, H frame, Dead End, 80-99ft, Repl., Live line, Direct Embedment Fnd</v>
      </c>
      <c r="BC25" s="9" t="s">
        <v>2164</v>
      </c>
      <c r="BD25" t="s">
        <v>2078</v>
      </c>
      <c r="BE25" s="9" t="s">
        <v>2084</v>
      </c>
      <c r="BF25" t="s">
        <v>2159</v>
      </c>
      <c r="BG25" t="s">
        <v>2161</v>
      </c>
      <c r="BH25" t="s">
        <v>2162</v>
      </c>
      <c r="BI25" t="s">
        <v>2165</v>
      </c>
      <c r="BJ25" t="s">
        <v>2163</v>
      </c>
      <c r="BM25" s="2010">
        <v>22000</v>
      </c>
    </row>
    <row r="26" spans="1:65" ht="15" x14ac:dyDescent="0.25">
      <c r="A26" s="784"/>
      <c r="B26" s="719"/>
      <c r="C26" s="170" t="str">
        <f t="shared" si="16"/>
        <v>Ea</v>
      </c>
      <c r="D26" s="557"/>
      <c r="E26" s="170"/>
      <c r="F26" s="170"/>
      <c r="G26" s="1620" t="s">
        <v>2263</v>
      </c>
      <c r="H26" s="1926"/>
      <c r="I26" s="2008" t="s">
        <v>1416</v>
      </c>
      <c r="J26" s="1926"/>
      <c r="K26" s="1926"/>
      <c r="L26" s="170"/>
      <c r="M26" s="2009">
        <v>0</v>
      </c>
      <c r="N26" s="2010">
        <v>1</v>
      </c>
      <c r="O26" s="773">
        <f t="shared" si="25"/>
        <v>0</v>
      </c>
      <c r="P26" s="2008" t="s">
        <v>39</v>
      </c>
      <c r="Q26" s="2008" t="s">
        <v>604</v>
      </c>
      <c r="R26" s="2011" t="s">
        <v>74</v>
      </c>
      <c r="S26" s="778">
        <f>SUMIF('Data Input sheet'!$B$118:$B$180,R26,'Data Input sheet'!$D$118:$D$180)</f>
        <v>152</v>
      </c>
      <c r="T26" s="2010">
        <f t="shared" si="26"/>
        <v>0</v>
      </c>
      <c r="U26" s="2010">
        <v>0</v>
      </c>
      <c r="V26" s="778">
        <f t="shared" si="27"/>
        <v>0</v>
      </c>
      <c r="W26" s="2010">
        <v>0</v>
      </c>
      <c r="X26" s="779"/>
      <c r="Y26" s="2012"/>
      <c r="Z26" s="780">
        <f t="shared" si="28"/>
        <v>0</v>
      </c>
      <c r="AA26" s="2007"/>
      <c r="AB26" s="2007"/>
      <c r="AC26" s="765"/>
      <c r="AD26" s="781">
        <f t="shared" si="29"/>
        <v>0</v>
      </c>
      <c r="AE26" s="781">
        <f t="shared" si="30"/>
        <v>0</v>
      </c>
      <c r="AF26" s="781">
        <f t="shared" si="31"/>
        <v>0</v>
      </c>
      <c r="AG26" s="781">
        <f t="shared" si="32"/>
        <v>0</v>
      </c>
      <c r="AH26" s="781">
        <f t="shared" si="33"/>
        <v>0</v>
      </c>
      <c r="AI26" s="782">
        <f t="shared" si="34"/>
        <v>0</v>
      </c>
      <c r="AJ26" s="781">
        <f t="shared" si="35"/>
        <v>0</v>
      </c>
      <c r="AK26" s="781">
        <f t="shared" si="36"/>
        <v>0</v>
      </c>
      <c r="AL26" s="781">
        <f t="shared" si="37"/>
        <v>0</v>
      </c>
      <c r="AM26" s="781">
        <f t="shared" si="38"/>
        <v>0</v>
      </c>
      <c r="AN26" s="781">
        <f t="shared" si="39"/>
        <v>0</v>
      </c>
      <c r="AO26" s="781">
        <f t="shared" si="40"/>
        <v>0</v>
      </c>
      <c r="AP26" s="781">
        <f t="shared" si="41"/>
        <v>0</v>
      </c>
      <c r="AQ26" s="781">
        <f t="shared" si="42"/>
        <v>0</v>
      </c>
      <c r="AR26" s="781">
        <f t="shared" si="43"/>
        <v>0</v>
      </c>
      <c r="AS26" s="783">
        <f t="shared" si="44"/>
        <v>0</v>
      </c>
      <c r="AT26" s="759"/>
      <c r="BA26" s="2007"/>
      <c r="BC26" s="9"/>
      <c r="BE26" s="9"/>
      <c r="BF26" s="9"/>
      <c r="BG26" s="9"/>
      <c r="BH26" s="9"/>
      <c r="BI26" s="9"/>
      <c r="BJ26" s="9"/>
      <c r="BM26" s="2010">
        <v>0</v>
      </c>
    </row>
    <row r="27" spans="1:65" ht="45" x14ac:dyDescent="0.25">
      <c r="A27" s="784"/>
      <c r="B27" s="719">
        <f>+B25+1</f>
        <v>16</v>
      </c>
      <c r="C27" s="170" t="str">
        <f t="shared" si="16"/>
        <v>41Ea</v>
      </c>
      <c r="D27" s="557"/>
      <c r="E27" s="170"/>
      <c r="F27" s="170">
        <v>41</v>
      </c>
      <c r="G27" s="2007" t="s">
        <v>2170</v>
      </c>
      <c r="H27" s="1926"/>
      <c r="I27" s="2008" t="s">
        <v>1416</v>
      </c>
      <c r="J27" s="1926"/>
      <c r="K27" s="1926"/>
      <c r="L27" s="170"/>
      <c r="M27" s="2009">
        <v>75</v>
      </c>
      <c r="N27" s="2010">
        <v>1</v>
      </c>
      <c r="O27" s="773">
        <f t="shared" si="25"/>
        <v>75</v>
      </c>
      <c r="P27" s="2008" t="s">
        <v>39</v>
      </c>
      <c r="Q27" s="2008" t="s">
        <v>604</v>
      </c>
      <c r="R27" s="2011" t="s">
        <v>74</v>
      </c>
      <c r="S27" s="778">
        <f>SUMIF('Data Input sheet'!$B$118:$B$180,R27,'Data Input sheet'!$D$118:$D$180)</f>
        <v>152</v>
      </c>
      <c r="T27" s="2010">
        <f t="shared" si="26"/>
        <v>11400</v>
      </c>
      <c r="U27" s="2010">
        <v>67</v>
      </c>
      <c r="V27" s="778">
        <f t="shared" si="27"/>
        <v>5025</v>
      </c>
      <c r="W27" s="2010">
        <f t="shared" si="45"/>
        <v>45000</v>
      </c>
      <c r="X27" s="779"/>
      <c r="Y27" s="2012"/>
      <c r="Z27" s="780">
        <f t="shared" si="28"/>
        <v>61425</v>
      </c>
      <c r="AA27" s="2007"/>
      <c r="AB27" s="2007"/>
      <c r="AC27" s="765"/>
      <c r="AD27" s="781">
        <f t="shared" si="29"/>
        <v>0</v>
      </c>
      <c r="AE27" s="781">
        <f t="shared" si="30"/>
        <v>0</v>
      </c>
      <c r="AF27" s="781">
        <f t="shared" si="31"/>
        <v>0</v>
      </c>
      <c r="AG27" s="781">
        <f t="shared" si="32"/>
        <v>0</v>
      </c>
      <c r="AH27" s="781">
        <f t="shared" si="33"/>
        <v>0</v>
      </c>
      <c r="AI27" s="782">
        <f t="shared" si="34"/>
        <v>0</v>
      </c>
      <c r="AJ27" s="781">
        <f t="shared" si="35"/>
        <v>0</v>
      </c>
      <c r="AK27" s="781">
        <f t="shared" si="36"/>
        <v>0</v>
      </c>
      <c r="AL27" s="781">
        <f t="shared" si="37"/>
        <v>0</v>
      </c>
      <c r="AM27" s="781">
        <f t="shared" si="38"/>
        <v>0</v>
      </c>
      <c r="AN27" s="781">
        <f t="shared" si="39"/>
        <v>0</v>
      </c>
      <c r="AO27" s="781">
        <f t="shared" si="40"/>
        <v>0</v>
      </c>
      <c r="AP27" s="781">
        <f t="shared" si="41"/>
        <v>0</v>
      </c>
      <c r="AQ27" s="781">
        <f t="shared" si="42"/>
        <v>0</v>
      </c>
      <c r="AR27" s="781">
        <f t="shared" si="43"/>
        <v>0</v>
      </c>
      <c r="AS27" s="783">
        <f t="shared" si="44"/>
        <v>0</v>
      </c>
      <c r="AT27" s="759"/>
      <c r="BA27" s="2007" t="s">
        <v>1410</v>
      </c>
      <c r="BB27" s="160" t="str">
        <f>+BC27&amp;", "&amp;BD27&amp;", "&amp;BE27&amp;", "&amp;BF27&amp;", "&amp;BG27&amp;", "&amp;BI27&amp;", "&amp;BH27&amp;", "&amp;BJ27</f>
        <v>Structure, 115kV, H frame, Running Angle, 80-99ft, New, Deenergized, Concrete Caisson Fnd</v>
      </c>
      <c r="BC27" s="9" t="s">
        <v>2164</v>
      </c>
      <c r="BD27" t="s">
        <v>2078</v>
      </c>
      <c r="BE27" s="9" t="s">
        <v>2084</v>
      </c>
      <c r="BF27" t="s">
        <v>2160</v>
      </c>
      <c r="BG27" t="s">
        <v>2161</v>
      </c>
      <c r="BH27" t="s">
        <v>2157</v>
      </c>
      <c r="BI27" t="s">
        <v>908</v>
      </c>
      <c r="BJ27" t="s">
        <v>2158</v>
      </c>
      <c r="BM27" s="2010">
        <v>36000</v>
      </c>
    </row>
    <row r="28" spans="1:65" ht="45" x14ac:dyDescent="0.25">
      <c r="A28" s="784"/>
      <c r="B28" s="719">
        <f t="shared" si="24"/>
        <v>17</v>
      </c>
      <c r="C28" s="170" t="str">
        <f t="shared" si="16"/>
        <v>41Ea</v>
      </c>
      <c r="D28" s="557"/>
      <c r="E28" s="170"/>
      <c r="F28" s="170">
        <v>41</v>
      </c>
      <c r="G28" s="2007" t="s">
        <v>2172</v>
      </c>
      <c r="H28" s="1926">
        <v>0</v>
      </c>
      <c r="I28" s="2008" t="s">
        <v>1416</v>
      </c>
      <c r="J28" s="1926"/>
      <c r="K28" s="1926"/>
      <c r="L28" s="170"/>
      <c r="M28" s="2009">
        <v>81</v>
      </c>
      <c r="N28" s="2010">
        <v>1</v>
      </c>
      <c r="O28" s="773">
        <f t="shared" si="25"/>
        <v>81</v>
      </c>
      <c r="P28" s="2008" t="s">
        <v>39</v>
      </c>
      <c r="Q28" s="2008" t="s">
        <v>604</v>
      </c>
      <c r="R28" s="2011" t="s">
        <v>74</v>
      </c>
      <c r="S28" s="778">
        <f>SUMIF('Data Input sheet'!$B$118:$B$180,R28,'Data Input sheet'!$D$118:$D$180)</f>
        <v>152</v>
      </c>
      <c r="T28" s="2010">
        <f t="shared" si="26"/>
        <v>12312</v>
      </c>
      <c r="U28" s="2010">
        <v>61</v>
      </c>
      <c r="V28" s="778">
        <f t="shared" si="27"/>
        <v>4941</v>
      </c>
      <c r="W28" s="2010">
        <f t="shared" si="45"/>
        <v>25000</v>
      </c>
      <c r="X28" s="779"/>
      <c r="Y28" s="2012"/>
      <c r="Z28" s="780">
        <f t="shared" si="28"/>
        <v>42253</v>
      </c>
      <c r="AA28" s="2007"/>
      <c r="AB28" s="2007"/>
      <c r="AC28" s="765"/>
      <c r="AD28" s="781">
        <f t="shared" si="29"/>
        <v>0</v>
      </c>
      <c r="AE28" s="781">
        <f t="shared" si="30"/>
        <v>0</v>
      </c>
      <c r="AF28" s="781">
        <f t="shared" si="31"/>
        <v>0</v>
      </c>
      <c r="AG28" s="781">
        <f t="shared" si="32"/>
        <v>0</v>
      </c>
      <c r="AH28" s="781">
        <f t="shared" si="33"/>
        <v>0</v>
      </c>
      <c r="AI28" s="782">
        <f t="shared" si="34"/>
        <v>0</v>
      </c>
      <c r="AJ28" s="781">
        <f t="shared" si="35"/>
        <v>0</v>
      </c>
      <c r="AK28" s="781">
        <f t="shared" si="36"/>
        <v>0</v>
      </c>
      <c r="AL28" s="781">
        <f t="shared" si="37"/>
        <v>0</v>
      </c>
      <c r="AM28" s="781">
        <f t="shared" si="38"/>
        <v>0</v>
      </c>
      <c r="AN28" s="781">
        <f t="shared" si="39"/>
        <v>0</v>
      </c>
      <c r="AO28" s="781">
        <f t="shared" si="40"/>
        <v>0</v>
      </c>
      <c r="AP28" s="781">
        <f t="shared" si="41"/>
        <v>0</v>
      </c>
      <c r="AQ28" s="781">
        <f t="shared" si="42"/>
        <v>0</v>
      </c>
      <c r="AR28" s="781">
        <f t="shared" si="43"/>
        <v>0</v>
      </c>
      <c r="AS28" s="783">
        <f t="shared" si="44"/>
        <v>0</v>
      </c>
      <c r="AT28" s="759"/>
      <c r="BA28" s="2007" t="s">
        <v>1412</v>
      </c>
      <c r="BB28" s="160" t="str">
        <f>+BC28&amp;", "&amp;BD28&amp;", "&amp;BE28&amp;", "&amp;BF28&amp;", "&amp;BG28&amp;", "&amp;BI28&amp;", "&amp;BH28&amp;", "&amp;BJ28</f>
        <v>Structure, 115kV, H frame, Running Angle, 80-99ft, New, Deenergized, Direct Embedment Fnd</v>
      </c>
      <c r="BC28" s="9" t="s">
        <v>2164</v>
      </c>
      <c r="BD28" t="s">
        <v>2078</v>
      </c>
      <c r="BE28" s="9" t="s">
        <v>2084</v>
      </c>
      <c r="BF28" t="s">
        <v>2160</v>
      </c>
      <c r="BG28" t="s">
        <v>2161</v>
      </c>
      <c r="BH28" t="s">
        <v>2157</v>
      </c>
      <c r="BI28" t="s">
        <v>908</v>
      </c>
      <c r="BJ28" t="s">
        <v>2163</v>
      </c>
      <c r="BM28" s="2010">
        <v>20000</v>
      </c>
    </row>
    <row r="29" spans="1:65" ht="45" x14ac:dyDescent="0.25">
      <c r="A29" s="784"/>
      <c r="B29" s="719">
        <f t="shared" si="24"/>
        <v>18</v>
      </c>
      <c r="C29" s="170" t="str">
        <f t="shared" si="16"/>
        <v>41Ea</v>
      </c>
      <c r="D29" s="557"/>
      <c r="E29" s="170"/>
      <c r="F29" s="170">
        <v>41</v>
      </c>
      <c r="G29" s="2007" t="s">
        <v>2171</v>
      </c>
      <c r="H29" s="1926"/>
      <c r="I29" s="2008" t="s">
        <v>1416</v>
      </c>
      <c r="J29" s="1926"/>
      <c r="K29" s="1926"/>
      <c r="L29" s="170"/>
      <c r="M29" s="2009">
        <v>145</v>
      </c>
      <c r="N29" s="2010">
        <v>1</v>
      </c>
      <c r="O29" s="773">
        <f t="shared" si="25"/>
        <v>145</v>
      </c>
      <c r="P29" s="2008" t="s">
        <v>39</v>
      </c>
      <c r="Q29" s="2008" t="s">
        <v>604</v>
      </c>
      <c r="R29" s="2011" t="s">
        <v>74</v>
      </c>
      <c r="S29" s="778">
        <f>SUMIF('Data Input sheet'!$B$118:$B$180,R29,'Data Input sheet'!$D$118:$D$180)</f>
        <v>152</v>
      </c>
      <c r="T29" s="2010">
        <f t="shared" si="26"/>
        <v>22040</v>
      </c>
      <c r="U29" s="2010">
        <v>60</v>
      </c>
      <c r="V29" s="778">
        <f t="shared" si="27"/>
        <v>8700</v>
      </c>
      <c r="W29" s="2010">
        <f t="shared" si="45"/>
        <v>45000</v>
      </c>
      <c r="X29" s="779"/>
      <c r="Y29" s="2012"/>
      <c r="Z29" s="780">
        <f t="shared" si="28"/>
        <v>75740</v>
      </c>
      <c r="AA29" s="2007"/>
      <c r="AB29" s="2007"/>
      <c r="AC29" s="765"/>
      <c r="AD29" s="781">
        <f t="shared" si="29"/>
        <v>0</v>
      </c>
      <c r="AE29" s="781">
        <f t="shared" si="30"/>
        <v>0</v>
      </c>
      <c r="AF29" s="781">
        <f t="shared" si="31"/>
        <v>0</v>
      </c>
      <c r="AG29" s="781">
        <f t="shared" si="32"/>
        <v>0</v>
      </c>
      <c r="AH29" s="781">
        <f t="shared" si="33"/>
        <v>0</v>
      </c>
      <c r="AI29" s="782">
        <f t="shared" si="34"/>
        <v>0</v>
      </c>
      <c r="AJ29" s="781">
        <f t="shared" si="35"/>
        <v>0</v>
      </c>
      <c r="AK29" s="781">
        <f t="shared" si="36"/>
        <v>0</v>
      </c>
      <c r="AL29" s="781">
        <f t="shared" si="37"/>
        <v>0</v>
      </c>
      <c r="AM29" s="781">
        <f t="shared" si="38"/>
        <v>0</v>
      </c>
      <c r="AN29" s="781">
        <f t="shared" si="39"/>
        <v>0</v>
      </c>
      <c r="AO29" s="781">
        <f t="shared" si="40"/>
        <v>0</v>
      </c>
      <c r="AP29" s="781">
        <f t="shared" si="41"/>
        <v>0</v>
      </c>
      <c r="AQ29" s="781">
        <f t="shared" si="42"/>
        <v>0</v>
      </c>
      <c r="AR29" s="781">
        <f t="shared" si="43"/>
        <v>0</v>
      </c>
      <c r="AS29" s="783">
        <f t="shared" si="44"/>
        <v>0</v>
      </c>
      <c r="AT29" s="759"/>
      <c r="BA29" s="2007" t="s">
        <v>1411</v>
      </c>
      <c r="BB29" s="160" t="str">
        <f>+BC29&amp;", "&amp;BD29&amp;", "&amp;BE29&amp;", "&amp;BF29&amp;", "&amp;BG29&amp;", "&amp;BI29&amp;", "&amp;BH29&amp;", "&amp;BJ29</f>
        <v>Structure, 115kV, H frame, Running Angle, 80-99ft, Repl., Deenergized, Concrete Caisson Fnd</v>
      </c>
      <c r="BC29" s="9" t="s">
        <v>2164</v>
      </c>
      <c r="BD29" t="s">
        <v>2078</v>
      </c>
      <c r="BE29" s="9" t="s">
        <v>2084</v>
      </c>
      <c r="BF29" t="s">
        <v>2160</v>
      </c>
      <c r="BG29" t="s">
        <v>2161</v>
      </c>
      <c r="BH29" t="s">
        <v>2157</v>
      </c>
      <c r="BI29" t="s">
        <v>2165</v>
      </c>
      <c r="BJ29" t="s">
        <v>2158</v>
      </c>
      <c r="BM29" s="2010">
        <v>36000</v>
      </c>
    </row>
    <row r="30" spans="1:65" ht="30.75" customHeight="1" x14ac:dyDescent="0.25">
      <c r="A30" s="784"/>
      <c r="B30" s="719">
        <f t="shared" si="24"/>
        <v>19</v>
      </c>
      <c r="C30" s="170" t="str">
        <f t="shared" si="16"/>
        <v>41Ea</v>
      </c>
      <c r="D30" s="557"/>
      <c r="E30" s="170"/>
      <c r="F30" s="170">
        <v>41</v>
      </c>
      <c r="G30" s="2007" t="s">
        <v>2261</v>
      </c>
      <c r="H30" s="1926">
        <f>+'Structure replacements'!$I$22+'Structure replacements'!$I$23</f>
        <v>0</v>
      </c>
      <c r="I30" s="2008" t="s">
        <v>1416</v>
      </c>
      <c r="J30" s="1926"/>
      <c r="K30" s="1926"/>
      <c r="L30" s="170"/>
      <c r="M30" s="2009">
        <v>125</v>
      </c>
      <c r="N30" s="2010">
        <v>1</v>
      </c>
      <c r="O30" s="773">
        <f t="shared" ref="O30" si="66">+M30*N30</f>
        <v>125</v>
      </c>
      <c r="P30" s="2008" t="s">
        <v>39</v>
      </c>
      <c r="Q30" s="2008" t="s">
        <v>604</v>
      </c>
      <c r="R30" s="2011" t="s">
        <v>74</v>
      </c>
      <c r="S30" s="778">
        <f>SUMIF('Data Input sheet'!$B$118:$B$180,R30,'Data Input sheet'!$D$118:$D$180)</f>
        <v>152</v>
      </c>
      <c r="T30" s="2010">
        <f t="shared" ref="T30" si="67">S30*O30</f>
        <v>19000</v>
      </c>
      <c r="U30" s="2010">
        <v>60</v>
      </c>
      <c r="V30" s="778">
        <f t="shared" ref="V30" si="68">ROUND(U30*O30,0)</f>
        <v>7500</v>
      </c>
      <c r="W30" s="2010">
        <f t="shared" si="45"/>
        <v>25000</v>
      </c>
      <c r="X30" s="779"/>
      <c r="Y30" s="2012"/>
      <c r="Z30" s="780">
        <f t="shared" ref="Z30" si="69">T30+V30+W30+Y30</f>
        <v>51500</v>
      </c>
      <c r="AA30" s="2007"/>
      <c r="AB30" s="2007"/>
      <c r="AC30" s="765"/>
      <c r="AD30" s="781">
        <f t="shared" ref="AD30" si="70">IF(P30="E",+ROUND(H30*O30,0),0)</f>
        <v>0</v>
      </c>
      <c r="AE30" s="781">
        <f t="shared" ref="AE30" si="71">+AF30-AD30</f>
        <v>0</v>
      </c>
      <c r="AF30" s="781">
        <f t="shared" ref="AF30" si="72">+H30*O30</f>
        <v>0</v>
      </c>
      <c r="AG30" s="781">
        <f t="shared" ref="AG30" si="73">IF(P30="E",+ROUND(T30*H30,0),0)</f>
        <v>0</v>
      </c>
      <c r="AH30" s="781">
        <f t="shared" ref="AH30" si="74">+AI30-AG30</f>
        <v>0</v>
      </c>
      <c r="AI30" s="782">
        <f t="shared" ref="AI30" si="75">+H30*T30</f>
        <v>0</v>
      </c>
      <c r="AJ30" s="781">
        <f t="shared" ref="AJ30" si="76">IF(P30="E",+ROUND(V30*H30,0),0)</f>
        <v>0</v>
      </c>
      <c r="AK30" s="781">
        <f t="shared" ref="AK30" si="77">+AL30-AJ30</f>
        <v>0</v>
      </c>
      <c r="AL30" s="781">
        <f t="shared" ref="AL30" si="78">ROUND(V30*H30,0)</f>
        <v>0</v>
      </c>
      <c r="AM30" s="781">
        <f t="shared" ref="AM30" si="79">IF(Q30="E",+ROUND(W30*H30,0),0)</f>
        <v>0</v>
      </c>
      <c r="AN30" s="781">
        <f t="shared" ref="AN30" si="80">+AO30-AM30</f>
        <v>0</v>
      </c>
      <c r="AO30" s="781">
        <f t="shared" ref="AO30" si="81">ROUND(W30*H30,0)</f>
        <v>0</v>
      </c>
      <c r="AP30" s="781">
        <f t="shared" ref="AP30" si="82">IF(P30="E",+ROUND(Y30*H30,0),0)</f>
        <v>0</v>
      </c>
      <c r="AQ30" s="781">
        <f t="shared" ref="AQ30" si="83">+AR30-AP30</f>
        <v>0</v>
      </c>
      <c r="AR30" s="781">
        <f t="shared" ref="AR30" si="84">ROUND(Y30*H30,0)</f>
        <v>0</v>
      </c>
      <c r="AS30" s="783">
        <f t="shared" ref="AS30" si="85">+AR30+AO30+AL30+AI30</f>
        <v>0</v>
      </c>
      <c r="AT30" s="759"/>
      <c r="BA30" s="2007" t="s">
        <v>1411</v>
      </c>
      <c r="BB30" s="160" t="str">
        <f>+BC30&amp;", "&amp;BD30&amp;", "&amp;BE30&amp;", "&amp;BF30&amp;", "&amp;BG30&amp;", "&amp;BI30&amp;", "&amp;BH30&amp;", "&amp;BJ30</f>
        <v>Structure, 115kV, H frame, Running Angle, 80-99ft, Repl., Deenergized, Direct Embedment Fnd</v>
      </c>
      <c r="BC30" s="9" t="s">
        <v>2164</v>
      </c>
      <c r="BD30" t="s">
        <v>2078</v>
      </c>
      <c r="BE30" s="9" t="s">
        <v>2084</v>
      </c>
      <c r="BF30" t="s">
        <v>2160</v>
      </c>
      <c r="BG30" t="s">
        <v>2161</v>
      </c>
      <c r="BH30" t="s">
        <v>2157</v>
      </c>
      <c r="BI30" t="s">
        <v>2165</v>
      </c>
      <c r="BJ30" t="s">
        <v>2163</v>
      </c>
      <c r="BM30" s="2010">
        <v>20000</v>
      </c>
    </row>
    <row r="31" spans="1:65" ht="30" x14ac:dyDescent="0.25">
      <c r="A31" s="784"/>
      <c r="B31" s="719">
        <f>+B29+1</f>
        <v>19</v>
      </c>
      <c r="C31" s="170" t="str">
        <f t="shared" si="16"/>
        <v>41Ea</v>
      </c>
      <c r="D31" s="557"/>
      <c r="E31" s="170"/>
      <c r="F31" s="170">
        <v>41</v>
      </c>
      <c r="G31" s="2007" t="s">
        <v>2188</v>
      </c>
      <c r="H31" s="1926">
        <f>+'Structure replacements'!$I$24+'Structure replacements'!$I$25</f>
        <v>0</v>
      </c>
      <c r="I31" s="2008" t="s">
        <v>1416</v>
      </c>
      <c r="J31" s="1926"/>
      <c r="K31" s="1926"/>
      <c r="L31" s="170"/>
      <c r="M31" s="2009">
        <v>231</v>
      </c>
      <c r="N31" s="2010">
        <v>1</v>
      </c>
      <c r="O31" s="773">
        <f t="shared" si="25"/>
        <v>231</v>
      </c>
      <c r="P31" s="2008" t="s">
        <v>39</v>
      </c>
      <c r="Q31" s="2008" t="s">
        <v>604</v>
      </c>
      <c r="R31" s="2011" t="s">
        <v>74</v>
      </c>
      <c r="S31" s="778">
        <f>SUMIF('Data Input sheet'!$B$118:$B$180,R31,'Data Input sheet'!$D$118:$D$180)</f>
        <v>152</v>
      </c>
      <c r="T31" s="2010">
        <f t="shared" si="26"/>
        <v>35112</v>
      </c>
      <c r="U31" s="2010">
        <v>60</v>
      </c>
      <c r="V31" s="778">
        <f t="shared" si="27"/>
        <v>13860</v>
      </c>
      <c r="W31" s="2010">
        <f t="shared" si="45"/>
        <v>25000</v>
      </c>
      <c r="X31" s="779"/>
      <c r="Y31" s="2012"/>
      <c r="Z31" s="780">
        <f t="shared" si="28"/>
        <v>73972</v>
      </c>
      <c r="AA31" s="2007"/>
      <c r="AB31" s="2007"/>
      <c r="AC31" s="765"/>
      <c r="AD31" s="781">
        <f t="shared" si="29"/>
        <v>0</v>
      </c>
      <c r="AE31" s="781">
        <f t="shared" si="30"/>
        <v>0</v>
      </c>
      <c r="AF31" s="781">
        <f t="shared" si="31"/>
        <v>0</v>
      </c>
      <c r="AG31" s="781">
        <f t="shared" si="32"/>
        <v>0</v>
      </c>
      <c r="AH31" s="781">
        <f t="shared" si="33"/>
        <v>0</v>
      </c>
      <c r="AI31" s="782">
        <f t="shared" si="34"/>
        <v>0</v>
      </c>
      <c r="AJ31" s="781">
        <f t="shared" si="35"/>
        <v>0</v>
      </c>
      <c r="AK31" s="781">
        <f t="shared" si="36"/>
        <v>0</v>
      </c>
      <c r="AL31" s="781">
        <f t="shared" si="37"/>
        <v>0</v>
      </c>
      <c r="AM31" s="781">
        <f t="shared" si="38"/>
        <v>0</v>
      </c>
      <c r="AN31" s="781">
        <f t="shared" si="39"/>
        <v>0</v>
      </c>
      <c r="AO31" s="781">
        <f t="shared" si="40"/>
        <v>0</v>
      </c>
      <c r="AP31" s="781">
        <f t="shared" si="41"/>
        <v>0</v>
      </c>
      <c r="AQ31" s="781">
        <f t="shared" si="42"/>
        <v>0</v>
      </c>
      <c r="AR31" s="781">
        <f t="shared" si="43"/>
        <v>0</v>
      </c>
      <c r="AS31" s="783">
        <f t="shared" si="44"/>
        <v>0</v>
      </c>
      <c r="AT31" s="759"/>
      <c r="BA31" s="2007" t="s">
        <v>1413</v>
      </c>
      <c r="BB31" s="160" t="str">
        <f>+BC31&amp;", "&amp;BD31&amp;", "&amp;BE31&amp;", "&amp;BF31&amp;", "&amp;BG31&amp;", "&amp;BI31&amp;", "&amp;BH31&amp;", "&amp;BJ31</f>
        <v>Structure, 115kV, H frame, Running Angle, 80-99ft, Repl., Live line, Direct Embedment Fnd</v>
      </c>
      <c r="BC31" s="9" t="s">
        <v>2164</v>
      </c>
      <c r="BD31" t="s">
        <v>2078</v>
      </c>
      <c r="BE31" s="9" t="s">
        <v>2084</v>
      </c>
      <c r="BF31" t="s">
        <v>2160</v>
      </c>
      <c r="BG31" t="s">
        <v>2161</v>
      </c>
      <c r="BH31" t="s">
        <v>2162</v>
      </c>
      <c r="BI31" t="s">
        <v>2165</v>
      </c>
      <c r="BJ31" t="s">
        <v>2163</v>
      </c>
      <c r="BM31" s="2010">
        <v>20000</v>
      </c>
    </row>
    <row r="32" spans="1:65" ht="15" x14ac:dyDescent="0.25">
      <c r="A32" s="784"/>
      <c r="B32" s="719"/>
      <c r="C32" s="170" t="str">
        <f t="shared" si="16"/>
        <v>Ea</v>
      </c>
      <c r="D32" s="557"/>
      <c r="E32" s="170"/>
      <c r="F32" s="170"/>
      <c r="G32" s="1620" t="s">
        <v>2264</v>
      </c>
      <c r="H32" s="1926"/>
      <c r="I32" s="2008" t="s">
        <v>1416</v>
      </c>
      <c r="J32" s="1926"/>
      <c r="K32" s="1926"/>
      <c r="L32" s="170"/>
      <c r="M32" s="2009">
        <v>0</v>
      </c>
      <c r="N32" s="2010">
        <v>1</v>
      </c>
      <c r="O32" s="773">
        <f t="shared" si="25"/>
        <v>0</v>
      </c>
      <c r="P32" s="2008" t="s">
        <v>39</v>
      </c>
      <c r="Q32" s="2008" t="s">
        <v>604</v>
      </c>
      <c r="R32" s="2011" t="s">
        <v>74</v>
      </c>
      <c r="S32" s="778">
        <f>SUMIF('Data Input sheet'!$B$118:$B$180,R32,'Data Input sheet'!$D$118:$D$180)</f>
        <v>152</v>
      </c>
      <c r="T32" s="2010">
        <f t="shared" si="26"/>
        <v>0</v>
      </c>
      <c r="U32" s="2010">
        <v>0</v>
      </c>
      <c r="V32" s="778">
        <f t="shared" si="27"/>
        <v>0</v>
      </c>
      <c r="W32" s="2010">
        <v>0</v>
      </c>
      <c r="X32" s="779"/>
      <c r="Y32" s="2012"/>
      <c r="Z32" s="780">
        <f t="shared" si="28"/>
        <v>0</v>
      </c>
      <c r="AA32" s="2007"/>
      <c r="AB32" s="2007"/>
      <c r="AC32" s="765"/>
      <c r="AD32" s="781">
        <f t="shared" si="29"/>
        <v>0</v>
      </c>
      <c r="AE32" s="781">
        <f t="shared" si="30"/>
        <v>0</v>
      </c>
      <c r="AF32" s="781">
        <f t="shared" si="31"/>
        <v>0</v>
      </c>
      <c r="AG32" s="781">
        <f t="shared" si="32"/>
        <v>0</v>
      </c>
      <c r="AH32" s="781">
        <f t="shared" si="33"/>
        <v>0</v>
      </c>
      <c r="AI32" s="782">
        <f t="shared" si="34"/>
        <v>0</v>
      </c>
      <c r="AJ32" s="781">
        <f t="shared" si="35"/>
        <v>0</v>
      </c>
      <c r="AK32" s="781">
        <f t="shared" si="36"/>
        <v>0</v>
      </c>
      <c r="AL32" s="781">
        <f t="shared" si="37"/>
        <v>0</v>
      </c>
      <c r="AM32" s="781">
        <f t="shared" si="38"/>
        <v>0</v>
      </c>
      <c r="AN32" s="781">
        <f t="shared" si="39"/>
        <v>0</v>
      </c>
      <c r="AO32" s="781">
        <f t="shared" si="40"/>
        <v>0</v>
      </c>
      <c r="AP32" s="781">
        <f t="shared" si="41"/>
        <v>0</v>
      </c>
      <c r="AQ32" s="781">
        <f t="shared" si="42"/>
        <v>0</v>
      </c>
      <c r="AR32" s="781">
        <f t="shared" si="43"/>
        <v>0</v>
      </c>
      <c r="AS32" s="783">
        <f t="shared" si="44"/>
        <v>0</v>
      </c>
      <c r="AT32" s="759"/>
      <c r="BA32" s="2007"/>
      <c r="BC32" s="9"/>
      <c r="BE32" s="9"/>
      <c r="BF32" s="9"/>
      <c r="BG32" s="9"/>
      <c r="BH32" s="9"/>
      <c r="BI32" s="9"/>
      <c r="BJ32" s="9"/>
      <c r="BM32" s="2010">
        <v>0</v>
      </c>
    </row>
    <row r="33" spans="1:65" ht="30" x14ac:dyDescent="0.25">
      <c r="A33" s="784"/>
      <c r="B33" s="719">
        <f>+B31+1</f>
        <v>20</v>
      </c>
      <c r="C33" s="170" t="str">
        <f t="shared" si="16"/>
        <v>41Ea</v>
      </c>
      <c r="D33" s="557"/>
      <c r="E33" s="170"/>
      <c r="F33" s="170">
        <v>41</v>
      </c>
      <c r="G33" s="2007" t="s">
        <v>2173</v>
      </c>
      <c r="H33" s="1926">
        <v>0</v>
      </c>
      <c r="I33" s="2008" t="s">
        <v>1416</v>
      </c>
      <c r="J33" s="1926"/>
      <c r="K33" s="1926"/>
      <c r="L33" s="170"/>
      <c r="M33" s="2009">
        <v>51</v>
      </c>
      <c r="N33" s="2010">
        <v>1</v>
      </c>
      <c r="O33" s="773">
        <f t="shared" si="25"/>
        <v>51</v>
      </c>
      <c r="P33" s="2008" t="s">
        <v>39</v>
      </c>
      <c r="Q33" s="2008" t="s">
        <v>604</v>
      </c>
      <c r="R33" s="2011" t="s">
        <v>74</v>
      </c>
      <c r="S33" s="778">
        <f>SUMIF('Data Input sheet'!$B$118:$B$180,R33,'Data Input sheet'!$D$118:$D$180)</f>
        <v>152</v>
      </c>
      <c r="T33" s="2010">
        <f t="shared" si="26"/>
        <v>7752</v>
      </c>
      <c r="U33" s="2010">
        <v>59</v>
      </c>
      <c r="V33" s="778">
        <f t="shared" si="27"/>
        <v>3009</v>
      </c>
      <c r="W33" s="2010">
        <f t="shared" si="45"/>
        <v>33800</v>
      </c>
      <c r="X33" s="779"/>
      <c r="Y33" s="2012"/>
      <c r="Z33" s="780">
        <f t="shared" si="28"/>
        <v>44561</v>
      </c>
      <c r="AA33" s="2007"/>
      <c r="AB33" s="2007"/>
      <c r="AC33" s="765"/>
      <c r="AD33" s="781">
        <f t="shared" si="29"/>
        <v>0</v>
      </c>
      <c r="AE33" s="781">
        <f t="shared" si="30"/>
        <v>0</v>
      </c>
      <c r="AF33" s="781">
        <f t="shared" si="31"/>
        <v>0</v>
      </c>
      <c r="AG33" s="781">
        <f t="shared" si="32"/>
        <v>0</v>
      </c>
      <c r="AH33" s="781">
        <f t="shared" si="33"/>
        <v>0</v>
      </c>
      <c r="AI33" s="782">
        <f t="shared" si="34"/>
        <v>0</v>
      </c>
      <c r="AJ33" s="781">
        <f t="shared" si="35"/>
        <v>0</v>
      </c>
      <c r="AK33" s="781">
        <f t="shared" si="36"/>
        <v>0</v>
      </c>
      <c r="AL33" s="781">
        <f t="shared" si="37"/>
        <v>0</v>
      </c>
      <c r="AM33" s="781">
        <f t="shared" si="38"/>
        <v>0</v>
      </c>
      <c r="AN33" s="781">
        <f t="shared" si="39"/>
        <v>0</v>
      </c>
      <c r="AO33" s="781">
        <f t="shared" si="40"/>
        <v>0</v>
      </c>
      <c r="AP33" s="781">
        <f t="shared" si="41"/>
        <v>0</v>
      </c>
      <c r="AQ33" s="781">
        <f t="shared" si="42"/>
        <v>0</v>
      </c>
      <c r="AR33" s="781">
        <f t="shared" si="43"/>
        <v>0</v>
      </c>
      <c r="AS33" s="783">
        <f t="shared" si="44"/>
        <v>0</v>
      </c>
      <c r="AT33" s="759"/>
      <c r="BA33" s="2007" t="s">
        <v>1414</v>
      </c>
      <c r="BB33" s="160" t="str">
        <f>+BC33&amp;", "&amp;BD33&amp;", "&amp;BE33&amp;", "&amp;BF33&amp;", "&amp;BG33&amp;", "&amp;BI33&amp;", "&amp;BH33&amp;", "&amp;BJ33</f>
        <v>Structure, 115kV, H frame, Tangent, 80-99ft, New, Deenergized, Concrete Caisson Fnd</v>
      </c>
      <c r="BC33" s="9" t="s">
        <v>2164</v>
      </c>
      <c r="BD33" t="s">
        <v>2078</v>
      </c>
      <c r="BE33" s="9" t="s">
        <v>2084</v>
      </c>
      <c r="BF33" t="s">
        <v>2071</v>
      </c>
      <c r="BG33" t="s">
        <v>2161</v>
      </c>
      <c r="BH33" t="s">
        <v>2157</v>
      </c>
      <c r="BI33" t="s">
        <v>908</v>
      </c>
      <c r="BJ33" t="s">
        <v>2158</v>
      </c>
      <c r="BM33" s="2010">
        <v>27000</v>
      </c>
    </row>
    <row r="34" spans="1:65" ht="30" x14ac:dyDescent="0.25">
      <c r="A34" s="784"/>
      <c r="B34" s="719">
        <f t="shared" si="24"/>
        <v>21</v>
      </c>
      <c r="C34" s="170" t="str">
        <f t="shared" si="16"/>
        <v>41Ea</v>
      </c>
      <c r="D34" s="557"/>
      <c r="E34" s="170"/>
      <c r="F34" s="170">
        <v>41</v>
      </c>
      <c r="G34" s="2007" t="s">
        <v>2175</v>
      </c>
      <c r="H34" s="1926">
        <v>0</v>
      </c>
      <c r="I34" s="2008" t="s">
        <v>1416</v>
      </c>
      <c r="J34" s="1926"/>
      <c r="K34" s="1926"/>
      <c r="L34" s="170"/>
      <c r="M34" s="2009">
        <v>58</v>
      </c>
      <c r="N34" s="2010">
        <v>1</v>
      </c>
      <c r="O34" s="773">
        <f t="shared" si="25"/>
        <v>58</v>
      </c>
      <c r="P34" s="2008" t="s">
        <v>39</v>
      </c>
      <c r="Q34" s="2008" t="s">
        <v>604</v>
      </c>
      <c r="R34" s="2011" t="s">
        <v>74</v>
      </c>
      <c r="S34" s="778">
        <f>SUMIF('Data Input sheet'!$B$118:$B$180,R34,'Data Input sheet'!$D$118:$D$180)</f>
        <v>152</v>
      </c>
      <c r="T34" s="2010">
        <f t="shared" si="26"/>
        <v>8816</v>
      </c>
      <c r="U34" s="2010">
        <v>59</v>
      </c>
      <c r="V34" s="778">
        <f t="shared" si="27"/>
        <v>3422</v>
      </c>
      <c r="W34" s="2010">
        <f t="shared" si="45"/>
        <v>20600</v>
      </c>
      <c r="X34" s="779"/>
      <c r="Y34" s="2012"/>
      <c r="Z34" s="780">
        <f t="shared" si="28"/>
        <v>32838</v>
      </c>
      <c r="AA34" s="2007"/>
      <c r="AB34" s="2007"/>
      <c r="AC34" s="765"/>
      <c r="AD34" s="781">
        <f t="shared" si="29"/>
        <v>0</v>
      </c>
      <c r="AE34" s="781">
        <f t="shared" si="30"/>
        <v>0</v>
      </c>
      <c r="AF34" s="781">
        <f t="shared" si="31"/>
        <v>0</v>
      </c>
      <c r="AG34" s="781">
        <f t="shared" si="32"/>
        <v>0</v>
      </c>
      <c r="AH34" s="781">
        <f t="shared" si="33"/>
        <v>0</v>
      </c>
      <c r="AI34" s="782">
        <f t="shared" si="34"/>
        <v>0</v>
      </c>
      <c r="AJ34" s="781">
        <f t="shared" si="35"/>
        <v>0</v>
      </c>
      <c r="AK34" s="781">
        <f t="shared" si="36"/>
        <v>0</v>
      </c>
      <c r="AL34" s="781">
        <f t="shared" si="37"/>
        <v>0</v>
      </c>
      <c r="AM34" s="781">
        <f t="shared" si="38"/>
        <v>0</v>
      </c>
      <c r="AN34" s="781">
        <f t="shared" si="39"/>
        <v>0</v>
      </c>
      <c r="AO34" s="781">
        <f t="shared" si="40"/>
        <v>0</v>
      </c>
      <c r="AP34" s="781">
        <f t="shared" si="41"/>
        <v>0</v>
      </c>
      <c r="AQ34" s="781">
        <f t="shared" si="42"/>
        <v>0</v>
      </c>
      <c r="AR34" s="781">
        <f t="shared" si="43"/>
        <v>0</v>
      </c>
      <c r="AS34" s="783">
        <f t="shared" si="44"/>
        <v>0</v>
      </c>
      <c r="AT34" s="759"/>
      <c r="BA34" s="2007" t="s">
        <v>1370</v>
      </c>
      <c r="BB34" s="160" t="str">
        <f>+BC34&amp;", "&amp;BD34&amp;", "&amp;BE34&amp;", "&amp;BF34&amp;", "&amp;BG34&amp;", "&amp;BI34&amp;", "&amp;BH34&amp;", "&amp;BJ34</f>
        <v>Structure, 115kV, H frame, Tangent, 80-99ft, New, Deenergized, Direct Embedment Fnd</v>
      </c>
      <c r="BC34" s="9" t="s">
        <v>2164</v>
      </c>
      <c r="BD34" t="s">
        <v>2078</v>
      </c>
      <c r="BE34" s="9" t="s">
        <v>2084</v>
      </c>
      <c r="BF34" t="s">
        <v>2071</v>
      </c>
      <c r="BG34" t="s">
        <v>2161</v>
      </c>
      <c r="BH34" t="s">
        <v>2157</v>
      </c>
      <c r="BI34" t="s">
        <v>908</v>
      </c>
      <c r="BJ34" t="s">
        <v>2163</v>
      </c>
      <c r="BM34" s="2010">
        <v>16500</v>
      </c>
    </row>
    <row r="35" spans="1:65" ht="30" x14ac:dyDescent="0.25">
      <c r="A35" s="784"/>
      <c r="B35" s="719">
        <f t="shared" si="24"/>
        <v>22</v>
      </c>
      <c r="C35" s="170" t="str">
        <f t="shared" si="16"/>
        <v>41Ea</v>
      </c>
      <c r="D35" s="557"/>
      <c r="E35" s="170"/>
      <c r="F35" s="170">
        <v>41</v>
      </c>
      <c r="G35" s="2007" t="s">
        <v>2174</v>
      </c>
      <c r="H35" s="1926"/>
      <c r="I35" s="2008" t="s">
        <v>1416</v>
      </c>
      <c r="J35" s="1926"/>
      <c r="K35" s="1926"/>
      <c r="L35" s="170"/>
      <c r="M35" s="2009">
        <v>81</v>
      </c>
      <c r="N35" s="2010">
        <v>1</v>
      </c>
      <c r="O35" s="773">
        <f t="shared" si="25"/>
        <v>81</v>
      </c>
      <c r="P35" s="2008" t="s">
        <v>39</v>
      </c>
      <c r="Q35" s="2008" t="s">
        <v>604</v>
      </c>
      <c r="R35" s="2011" t="s">
        <v>74</v>
      </c>
      <c r="S35" s="778">
        <f>SUMIF('Data Input sheet'!$B$118:$B$180,R35,'Data Input sheet'!$D$118:$D$180)</f>
        <v>152</v>
      </c>
      <c r="T35" s="2010">
        <f t="shared" si="26"/>
        <v>12312</v>
      </c>
      <c r="U35" s="2010">
        <v>60</v>
      </c>
      <c r="V35" s="778">
        <f t="shared" si="27"/>
        <v>4860</v>
      </c>
      <c r="W35" s="2010">
        <f t="shared" si="45"/>
        <v>33800</v>
      </c>
      <c r="X35" s="779"/>
      <c r="Y35" s="2012"/>
      <c r="Z35" s="780">
        <f t="shared" si="28"/>
        <v>50972</v>
      </c>
      <c r="AA35" s="2007"/>
      <c r="AB35" s="2007"/>
      <c r="AC35" s="765"/>
      <c r="AD35" s="781">
        <f t="shared" si="29"/>
        <v>0</v>
      </c>
      <c r="AE35" s="781">
        <f t="shared" si="30"/>
        <v>0</v>
      </c>
      <c r="AF35" s="781">
        <f t="shared" si="31"/>
        <v>0</v>
      </c>
      <c r="AG35" s="781">
        <f t="shared" si="32"/>
        <v>0</v>
      </c>
      <c r="AH35" s="781">
        <f t="shared" si="33"/>
        <v>0</v>
      </c>
      <c r="AI35" s="782">
        <f t="shared" si="34"/>
        <v>0</v>
      </c>
      <c r="AJ35" s="781">
        <f t="shared" si="35"/>
        <v>0</v>
      </c>
      <c r="AK35" s="781">
        <f t="shared" si="36"/>
        <v>0</v>
      </c>
      <c r="AL35" s="781">
        <f t="shared" si="37"/>
        <v>0</v>
      </c>
      <c r="AM35" s="781">
        <f t="shared" si="38"/>
        <v>0</v>
      </c>
      <c r="AN35" s="781">
        <f t="shared" si="39"/>
        <v>0</v>
      </c>
      <c r="AO35" s="781">
        <f t="shared" si="40"/>
        <v>0</v>
      </c>
      <c r="AP35" s="781">
        <f t="shared" si="41"/>
        <v>0</v>
      </c>
      <c r="AQ35" s="781">
        <f t="shared" si="42"/>
        <v>0</v>
      </c>
      <c r="AR35" s="781">
        <f t="shared" si="43"/>
        <v>0</v>
      </c>
      <c r="AS35" s="783">
        <f t="shared" si="44"/>
        <v>0</v>
      </c>
      <c r="AT35" s="759"/>
      <c r="BA35" s="2007" t="s">
        <v>1415</v>
      </c>
      <c r="BB35" s="160" t="str">
        <f>+BC35&amp;", "&amp;BD35&amp;", "&amp;BE35&amp;", "&amp;BF35&amp;", "&amp;BG35&amp;", "&amp;BI35&amp;", "&amp;BH35&amp;", "&amp;BJ35</f>
        <v>Structure, 115kV, H frame, Tangent, 80-99ft, Repl., Deenergized, Concrete Caisson Fnd</v>
      </c>
      <c r="BC35" s="9" t="s">
        <v>2164</v>
      </c>
      <c r="BD35" t="s">
        <v>2078</v>
      </c>
      <c r="BE35" s="9" t="s">
        <v>2084</v>
      </c>
      <c r="BF35" t="s">
        <v>2071</v>
      </c>
      <c r="BG35" t="s">
        <v>2161</v>
      </c>
      <c r="BH35" t="s">
        <v>2157</v>
      </c>
      <c r="BI35" t="s">
        <v>2165</v>
      </c>
      <c r="BJ35" t="s">
        <v>2158</v>
      </c>
      <c r="BM35" s="2010">
        <v>27000</v>
      </c>
    </row>
    <row r="36" spans="1:65" ht="30" x14ac:dyDescent="0.25">
      <c r="A36" s="784"/>
      <c r="B36" s="719">
        <f t="shared" si="24"/>
        <v>23</v>
      </c>
      <c r="C36" s="170" t="str">
        <f t="shared" si="16"/>
        <v>41Ea</v>
      </c>
      <c r="D36" s="557"/>
      <c r="E36" s="170"/>
      <c r="F36" s="170">
        <v>41</v>
      </c>
      <c r="G36" s="2007" t="s">
        <v>2262</v>
      </c>
      <c r="H36" s="1926">
        <f>+'Structure replacements'!$H$22+'Structure replacements'!$H$23</f>
        <v>0</v>
      </c>
      <c r="I36" s="2008" t="s">
        <v>1416</v>
      </c>
      <c r="J36" s="1926"/>
      <c r="K36" s="1926"/>
      <c r="L36" s="170"/>
      <c r="M36" s="2009">
        <v>100</v>
      </c>
      <c r="N36" s="2010">
        <v>1</v>
      </c>
      <c r="O36" s="773">
        <f t="shared" ref="O36" si="86">+M36*N36</f>
        <v>100</v>
      </c>
      <c r="P36" s="2008" t="s">
        <v>39</v>
      </c>
      <c r="Q36" s="2008" t="s">
        <v>604</v>
      </c>
      <c r="R36" s="2011" t="s">
        <v>74</v>
      </c>
      <c r="S36" s="778">
        <f>SUMIF('Data Input sheet'!$B$118:$B$180,R36,'Data Input sheet'!$D$118:$D$180)</f>
        <v>152</v>
      </c>
      <c r="T36" s="2010">
        <f t="shared" ref="T36" si="87">S36*O36</f>
        <v>15200</v>
      </c>
      <c r="U36" s="2010">
        <v>60</v>
      </c>
      <c r="V36" s="778">
        <f t="shared" ref="V36" si="88">ROUND(U36*O36,0)</f>
        <v>6000</v>
      </c>
      <c r="W36" s="2010">
        <f t="shared" si="45"/>
        <v>20600</v>
      </c>
      <c r="X36" s="779"/>
      <c r="Y36" s="2012"/>
      <c r="Z36" s="780">
        <f t="shared" ref="Z36" si="89">T36+V36+W36+Y36</f>
        <v>41800</v>
      </c>
      <c r="AA36" s="2007"/>
      <c r="AB36" s="2007"/>
      <c r="AC36" s="765"/>
      <c r="AD36" s="781">
        <f t="shared" ref="AD36" si="90">IF(P36="E",+ROUND(H36*O36,0),0)</f>
        <v>0</v>
      </c>
      <c r="AE36" s="781">
        <f t="shared" ref="AE36" si="91">+AF36-AD36</f>
        <v>0</v>
      </c>
      <c r="AF36" s="781">
        <f t="shared" ref="AF36" si="92">+H36*O36</f>
        <v>0</v>
      </c>
      <c r="AG36" s="781">
        <f t="shared" ref="AG36" si="93">IF(P36="E",+ROUND(T36*H36,0),0)</f>
        <v>0</v>
      </c>
      <c r="AH36" s="781">
        <f t="shared" ref="AH36" si="94">+AI36-AG36</f>
        <v>0</v>
      </c>
      <c r="AI36" s="782">
        <f t="shared" ref="AI36" si="95">+H36*T36</f>
        <v>0</v>
      </c>
      <c r="AJ36" s="781">
        <f t="shared" ref="AJ36" si="96">IF(P36="E",+ROUND(V36*H36,0),0)</f>
        <v>0</v>
      </c>
      <c r="AK36" s="781">
        <f t="shared" ref="AK36" si="97">+AL36-AJ36</f>
        <v>0</v>
      </c>
      <c r="AL36" s="781">
        <f t="shared" ref="AL36" si="98">ROUND(V36*H36,0)</f>
        <v>0</v>
      </c>
      <c r="AM36" s="781">
        <f t="shared" ref="AM36" si="99">IF(Q36="E",+ROUND(W36*H36,0),0)</f>
        <v>0</v>
      </c>
      <c r="AN36" s="781">
        <f t="shared" ref="AN36" si="100">+AO36-AM36</f>
        <v>0</v>
      </c>
      <c r="AO36" s="781">
        <f t="shared" ref="AO36" si="101">ROUND(W36*H36,0)</f>
        <v>0</v>
      </c>
      <c r="AP36" s="781">
        <f t="shared" ref="AP36" si="102">IF(P36="E",+ROUND(Y36*H36,0),0)</f>
        <v>0</v>
      </c>
      <c r="AQ36" s="781">
        <f t="shared" ref="AQ36" si="103">+AR36-AP36</f>
        <v>0</v>
      </c>
      <c r="AR36" s="781">
        <f t="shared" ref="AR36" si="104">ROUND(Y36*H36,0)</f>
        <v>0</v>
      </c>
      <c r="AS36" s="783">
        <f t="shared" ref="AS36" si="105">+AR36+AO36+AL36+AI36</f>
        <v>0</v>
      </c>
      <c r="AT36" s="759"/>
      <c r="BA36" s="2007" t="s">
        <v>1415</v>
      </c>
      <c r="BB36" s="160" t="str">
        <f>+BC36&amp;", "&amp;BD36&amp;", "&amp;BE36&amp;", "&amp;BF36&amp;", "&amp;BG36&amp;", "&amp;BI36&amp;", "&amp;BH36&amp;", "&amp;BJ36</f>
        <v>Structure, 115kV, H frame, Tangent, 80-99ft, Repl., Deenergized, Direct Embedment Fnd</v>
      </c>
      <c r="BC36" s="9" t="s">
        <v>2164</v>
      </c>
      <c r="BD36" t="s">
        <v>2078</v>
      </c>
      <c r="BE36" s="9" t="s">
        <v>2084</v>
      </c>
      <c r="BF36" t="s">
        <v>2071</v>
      </c>
      <c r="BG36" t="s">
        <v>2161</v>
      </c>
      <c r="BH36" t="s">
        <v>2157</v>
      </c>
      <c r="BI36" t="s">
        <v>2165</v>
      </c>
      <c r="BJ36" t="s">
        <v>2163</v>
      </c>
      <c r="BM36" s="2010">
        <v>16500</v>
      </c>
    </row>
    <row r="37" spans="1:65" ht="30" x14ac:dyDescent="0.25">
      <c r="A37" s="784"/>
      <c r="B37" s="719">
        <f>+B35+1</f>
        <v>23</v>
      </c>
      <c r="C37" s="170" t="str">
        <f t="shared" si="16"/>
        <v>41Ea</v>
      </c>
      <c r="D37" s="557"/>
      <c r="E37" s="170"/>
      <c r="F37" s="170">
        <v>41</v>
      </c>
      <c r="G37" s="2007" t="s">
        <v>2176</v>
      </c>
      <c r="H37" s="1926">
        <f>+'Structure replacements'!$H$24+'Structure replacements'!$H$25</f>
        <v>0</v>
      </c>
      <c r="I37" s="2008" t="s">
        <v>1416</v>
      </c>
      <c r="J37" s="1926"/>
      <c r="K37" s="1926"/>
      <c r="L37" s="170"/>
      <c r="M37" s="2009">
        <v>153</v>
      </c>
      <c r="N37" s="2010">
        <v>1</v>
      </c>
      <c r="O37" s="773">
        <f t="shared" si="25"/>
        <v>153</v>
      </c>
      <c r="P37" s="2008" t="s">
        <v>39</v>
      </c>
      <c r="Q37" s="2008" t="s">
        <v>604</v>
      </c>
      <c r="R37" s="2011" t="s">
        <v>74</v>
      </c>
      <c r="S37" s="778">
        <f>SUMIF('Data Input sheet'!$B$118:$B$180,R37,'Data Input sheet'!$D$118:$D$180)</f>
        <v>152</v>
      </c>
      <c r="T37" s="2010">
        <f t="shared" si="26"/>
        <v>23256</v>
      </c>
      <c r="U37" s="2010">
        <v>60</v>
      </c>
      <c r="V37" s="778">
        <f t="shared" si="27"/>
        <v>9180</v>
      </c>
      <c r="W37" s="2010">
        <f t="shared" si="45"/>
        <v>20600</v>
      </c>
      <c r="X37" s="779"/>
      <c r="Y37" s="2012"/>
      <c r="Z37" s="780">
        <f t="shared" si="28"/>
        <v>53036</v>
      </c>
      <c r="AA37" s="2007"/>
      <c r="AB37" s="2007"/>
      <c r="AC37" s="765"/>
      <c r="AD37" s="781">
        <f t="shared" si="29"/>
        <v>0</v>
      </c>
      <c r="AE37" s="781">
        <f t="shared" si="30"/>
        <v>0</v>
      </c>
      <c r="AF37" s="781">
        <f t="shared" si="31"/>
        <v>0</v>
      </c>
      <c r="AG37" s="781">
        <f t="shared" si="32"/>
        <v>0</v>
      </c>
      <c r="AH37" s="781">
        <f t="shared" si="33"/>
        <v>0</v>
      </c>
      <c r="AI37" s="782">
        <f t="shared" si="34"/>
        <v>0</v>
      </c>
      <c r="AJ37" s="781">
        <f t="shared" si="35"/>
        <v>0</v>
      </c>
      <c r="AK37" s="781">
        <f t="shared" si="36"/>
        <v>0</v>
      </c>
      <c r="AL37" s="781">
        <f t="shared" si="37"/>
        <v>0</v>
      </c>
      <c r="AM37" s="781">
        <f t="shared" si="38"/>
        <v>0</v>
      </c>
      <c r="AN37" s="781">
        <f t="shared" si="39"/>
        <v>0</v>
      </c>
      <c r="AO37" s="781">
        <f t="shared" si="40"/>
        <v>0</v>
      </c>
      <c r="AP37" s="781">
        <f t="shared" si="41"/>
        <v>0</v>
      </c>
      <c r="AQ37" s="781">
        <f t="shared" si="42"/>
        <v>0</v>
      </c>
      <c r="AR37" s="781">
        <f t="shared" si="43"/>
        <v>0</v>
      </c>
      <c r="AS37" s="783">
        <f t="shared" si="44"/>
        <v>0</v>
      </c>
      <c r="AT37" s="759"/>
      <c r="BA37" s="2007" t="s">
        <v>1371</v>
      </c>
      <c r="BB37" s="160" t="str">
        <f>+BC37&amp;", "&amp;BD37&amp;", "&amp;BE37&amp;", "&amp;BF37&amp;", "&amp;BG37&amp;", "&amp;BI37&amp;", "&amp;BH37&amp;", "&amp;BJ37</f>
        <v>Structure, 115kV, H frame, Tangent, 80-99ft, Repl., Live line, Direct Embedment Fnd</v>
      </c>
      <c r="BC37" s="9" t="s">
        <v>2164</v>
      </c>
      <c r="BD37" t="s">
        <v>2078</v>
      </c>
      <c r="BE37" s="9" t="s">
        <v>2084</v>
      </c>
      <c r="BF37" t="s">
        <v>2071</v>
      </c>
      <c r="BG37" t="s">
        <v>2161</v>
      </c>
      <c r="BH37" t="s">
        <v>2162</v>
      </c>
      <c r="BI37" t="s">
        <v>2165</v>
      </c>
      <c r="BJ37" t="s">
        <v>2163</v>
      </c>
      <c r="BM37" s="2010">
        <v>16500</v>
      </c>
    </row>
    <row r="38" spans="1:65" ht="15.75" x14ac:dyDescent="0.25">
      <c r="A38" s="784"/>
      <c r="B38" s="719"/>
      <c r="C38" s="170" t="str">
        <f t="shared" si="16"/>
        <v/>
      </c>
      <c r="D38" s="557"/>
      <c r="E38" s="170"/>
      <c r="F38" s="170"/>
      <c r="G38" s="2161" t="s">
        <v>2249</v>
      </c>
      <c r="H38" s="1926"/>
      <c r="I38" s="2008"/>
      <c r="J38" s="1926"/>
      <c r="K38" s="1926"/>
      <c r="L38" s="170"/>
      <c r="M38" s="2009">
        <v>0</v>
      </c>
      <c r="N38" s="2010">
        <v>1</v>
      </c>
      <c r="O38" s="773">
        <f t="shared" si="25"/>
        <v>0</v>
      </c>
      <c r="P38" s="2008" t="s">
        <v>39</v>
      </c>
      <c r="Q38" s="2008" t="s">
        <v>604</v>
      </c>
      <c r="R38" s="2011" t="s">
        <v>74</v>
      </c>
      <c r="S38" s="778">
        <f>SUMIF('Data Input sheet'!$B$118:$B$180,R38,'Data Input sheet'!$D$118:$D$180)</f>
        <v>152</v>
      </c>
      <c r="T38" s="2010">
        <f t="shared" si="26"/>
        <v>0</v>
      </c>
      <c r="U38" s="2010">
        <v>0</v>
      </c>
      <c r="V38" s="778">
        <f t="shared" si="27"/>
        <v>0</v>
      </c>
      <c r="W38" s="2010">
        <v>0</v>
      </c>
      <c r="X38" s="779"/>
      <c r="Y38" s="2012"/>
      <c r="Z38" s="780">
        <f t="shared" si="28"/>
        <v>0</v>
      </c>
      <c r="AA38" s="2007"/>
      <c r="AB38" s="2007"/>
      <c r="AC38" s="765"/>
      <c r="AD38" s="781">
        <f t="shared" si="29"/>
        <v>0</v>
      </c>
      <c r="AE38" s="781">
        <f t="shared" si="30"/>
        <v>0</v>
      </c>
      <c r="AF38" s="781">
        <f t="shared" si="31"/>
        <v>0</v>
      </c>
      <c r="AG38" s="781">
        <f t="shared" si="32"/>
        <v>0</v>
      </c>
      <c r="AH38" s="781">
        <f t="shared" si="33"/>
        <v>0</v>
      </c>
      <c r="AI38" s="782">
        <f t="shared" si="34"/>
        <v>0</v>
      </c>
      <c r="AJ38" s="781">
        <f t="shared" si="35"/>
        <v>0</v>
      </c>
      <c r="AK38" s="781">
        <f t="shared" si="36"/>
        <v>0</v>
      </c>
      <c r="AL38" s="781">
        <f t="shared" si="37"/>
        <v>0</v>
      </c>
      <c r="AM38" s="781">
        <f t="shared" si="38"/>
        <v>0</v>
      </c>
      <c r="AN38" s="781">
        <f t="shared" si="39"/>
        <v>0</v>
      </c>
      <c r="AO38" s="781">
        <f t="shared" si="40"/>
        <v>0</v>
      </c>
      <c r="AP38" s="781">
        <f t="shared" si="41"/>
        <v>0</v>
      </c>
      <c r="AQ38" s="781">
        <f t="shared" si="42"/>
        <v>0</v>
      </c>
      <c r="AR38" s="781">
        <f t="shared" si="43"/>
        <v>0</v>
      </c>
      <c r="AS38" s="783">
        <f t="shared" si="44"/>
        <v>0</v>
      </c>
      <c r="AT38" s="759"/>
      <c r="BA38" s="2007"/>
      <c r="BC38" s="9"/>
      <c r="BE38" s="9"/>
      <c r="BF38" s="9"/>
      <c r="BG38" s="9"/>
      <c r="BH38" s="9"/>
      <c r="BI38" s="9"/>
      <c r="BJ38" s="9"/>
      <c r="BM38" s="2010">
        <v>0</v>
      </c>
    </row>
    <row r="39" spans="1:65" ht="15" x14ac:dyDescent="0.25">
      <c r="A39" s="784"/>
      <c r="B39" s="719"/>
      <c r="C39" s="170" t="str">
        <f t="shared" si="16"/>
        <v/>
      </c>
      <c r="D39" s="557"/>
      <c r="E39" s="170"/>
      <c r="F39" s="170"/>
      <c r="G39" s="1620" t="s">
        <v>2073</v>
      </c>
      <c r="H39" s="1926"/>
      <c r="I39" s="2008"/>
      <c r="J39" s="1926"/>
      <c r="K39" s="1926"/>
      <c r="L39" s="170"/>
      <c r="M39" s="2009"/>
      <c r="N39" s="2010"/>
      <c r="O39" s="773"/>
      <c r="P39" s="2008"/>
      <c r="Q39" s="2008"/>
      <c r="R39" s="2011"/>
      <c r="S39" s="778"/>
      <c r="T39" s="2010"/>
      <c r="U39" s="2010"/>
      <c r="V39" s="778"/>
      <c r="W39" s="2010"/>
      <c r="X39" s="779"/>
      <c r="Y39" s="2012"/>
      <c r="Z39" s="780"/>
      <c r="AA39" s="2007"/>
      <c r="AB39" s="2007"/>
      <c r="AC39" s="765"/>
      <c r="AD39" s="781"/>
      <c r="AE39" s="781"/>
      <c r="AF39" s="781"/>
      <c r="AG39" s="781"/>
      <c r="AH39" s="781"/>
      <c r="AI39" s="782"/>
      <c r="AJ39" s="781"/>
      <c r="AK39" s="781"/>
      <c r="AL39" s="781"/>
      <c r="AM39" s="781"/>
      <c r="AN39" s="781"/>
      <c r="AO39" s="781"/>
      <c r="AP39" s="781"/>
      <c r="AQ39" s="781"/>
      <c r="AR39" s="781"/>
      <c r="AS39" s="783"/>
      <c r="AT39" s="759"/>
      <c r="BA39" s="2007"/>
      <c r="BC39" s="9"/>
      <c r="BE39" s="9"/>
      <c r="BF39" s="9"/>
      <c r="BG39" s="9"/>
      <c r="BH39" s="9"/>
      <c r="BI39" s="9"/>
      <c r="BJ39" s="9"/>
      <c r="BM39" s="2010"/>
    </row>
    <row r="40" spans="1:65" ht="30" x14ac:dyDescent="0.25">
      <c r="A40" s="784"/>
      <c r="B40" s="719">
        <f>+B38+1</f>
        <v>1</v>
      </c>
      <c r="C40" s="170" t="str">
        <f t="shared" si="16"/>
        <v>41Ea</v>
      </c>
      <c r="D40" s="557"/>
      <c r="E40" s="170"/>
      <c r="F40" s="170">
        <v>41</v>
      </c>
      <c r="G40" s="2007" t="s">
        <v>2223</v>
      </c>
      <c r="H40" s="1926"/>
      <c r="I40" s="2008" t="s">
        <v>1416</v>
      </c>
      <c r="J40" s="1926"/>
      <c r="K40" s="1926"/>
      <c r="L40" s="170"/>
      <c r="M40" s="2009">
        <f>ROUND(79*1.4,-1)</f>
        <v>110</v>
      </c>
      <c r="N40" s="2010">
        <v>1</v>
      </c>
      <c r="O40" s="773">
        <f t="shared" si="25"/>
        <v>110</v>
      </c>
      <c r="P40" s="2008" t="s">
        <v>39</v>
      </c>
      <c r="Q40" s="2008" t="s">
        <v>604</v>
      </c>
      <c r="R40" s="2011" t="s">
        <v>74</v>
      </c>
      <c r="S40" s="778">
        <f>SUMIF('Data Input sheet'!$B$118:$B$180,R40,'Data Input sheet'!$D$118:$D$180)</f>
        <v>152</v>
      </c>
      <c r="T40" s="2010">
        <f t="shared" si="26"/>
        <v>16720</v>
      </c>
      <c r="U40" s="2010">
        <v>61</v>
      </c>
      <c r="V40" s="778">
        <f t="shared" si="27"/>
        <v>6710</v>
      </c>
      <c r="W40" s="2010">
        <f t="shared" ref="W40:W56" si="106">ROUND(+BM40*(1+$BM$7),-2)</f>
        <v>78100</v>
      </c>
      <c r="X40" s="779"/>
      <c r="Y40" s="2012"/>
      <c r="Z40" s="780">
        <f t="shared" si="28"/>
        <v>101530</v>
      </c>
      <c r="AA40" s="2007"/>
      <c r="AB40" s="2007"/>
      <c r="AC40" s="765"/>
      <c r="AD40" s="781">
        <f t="shared" si="29"/>
        <v>0</v>
      </c>
      <c r="AE40" s="781">
        <f t="shared" si="30"/>
        <v>0</v>
      </c>
      <c r="AF40" s="781">
        <f t="shared" si="31"/>
        <v>0</v>
      </c>
      <c r="AG40" s="781">
        <f t="shared" si="32"/>
        <v>0</v>
      </c>
      <c r="AH40" s="781">
        <f t="shared" si="33"/>
        <v>0</v>
      </c>
      <c r="AI40" s="782">
        <f t="shared" si="34"/>
        <v>0</v>
      </c>
      <c r="AJ40" s="781">
        <f t="shared" si="35"/>
        <v>0</v>
      </c>
      <c r="AK40" s="781">
        <f t="shared" si="36"/>
        <v>0</v>
      </c>
      <c r="AL40" s="781">
        <f t="shared" si="37"/>
        <v>0</v>
      </c>
      <c r="AM40" s="781">
        <f t="shared" si="38"/>
        <v>0</v>
      </c>
      <c r="AN40" s="781">
        <f t="shared" si="39"/>
        <v>0</v>
      </c>
      <c r="AO40" s="781">
        <f t="shared" si="40"/>
        <v>0</v>
      </c>
      <c r="AP40" s="781">
        <f t="shared" si="41"/>
        <v>0</v>
      </c>
      <c r="AQ40" s="781">
        <f t="shared" si="42"/>
        <v>0</v>
      </c>
      <c r="AR40" s="781">
        <f t="shared" si="43"/>
        <v>0</v>
      </c>
      <c r="AS40" s="783">
        <f t="shared" si="44"/>
        <v>0</v>
      </c>
      <c r="AT40" s="759"/>
      <c r="BA40" s="2007" t="s">
        <v>1407</v>
      </c>
      <c r="BB40" s="160" t="str">
        <f>+BC40&amp;", "&amp;BD40&amp;", "&amp;BE40&amp;", "&amp;BF40&amp;", "&amp;BG40&amp;", "&amp;BI40&amp;", "&amp;BH40&amp;", "&amp;BJ40</f>
        <v>Structure, 115kV, H frame, Dead End, 80-99ft, New, Deenergized, Concrete Caisson Fnd</v>
      </c>
      <c r="BC40" s="9" t="s">
        <v>2164</v>
      </c>
      <c r="BD40" t="s">
        <v>2078</v>
      </c>
      <c r="BE40" s="9" t="s">
        <v>2084</v>
      </c>
      <c r="BF40" t="s">
        <v>2159</v>
      </c>
      <c r="BG40" t="s">
        <v>2161</v>
      </c>
      <c r="BH40" t="s">
        <v>2157</v>
      </c>
      <c r="BI40" t="s">
        <v>908</v>
      </c>
      <c r="BJ40" t="s">
        <v>2158</v>
      </c>
      <c r="BM40" s="2010">
        <f>50000*1.25</f>
        <v>62500</v>
      </c>
    </row>
    <row r="41" spans="1:65" ht="30" x14ac:dyDescent="0.25">
      <c r="A41" s="784"/>
      <c r="B41" s="719">
        <f t="shared" si="24"/>
        <v>2</v>
      </c>
      <c r="C41" s="170" t="str">
        <f t="shared" si="16"/>
        <v>41Ea</v>
      </c>
      <c r="D41" s="557"/>
      <c r="E41" s="170"/>
      <c r="F41" s="170">
        <v>41</v>
      </c>
      <c r="G41" s="2007" t="s">
        <v>2224</v>
      </c>
      <c r="H41" s="1926">
        <v>0</v>
      </c>
      <c r="I41" s="2008" t="s">
        <v>1416</v>
      </c>
      <c r="J41" s="1926"/>
      <c r="K41" s="1926"/>
      <c r="L41" s="170"/>
      <c r="M41" s="2009">
        <f>ROUND(86*1.4,-1)</f>
        <v>120</v>
      </c>
      <c r="N41" s="2010">
        <v>1</v>
      </c>
      <c r="O41" s="773">
        <f t="shared" si="25"/>
        <v>120</v>
      </c>
      <c r="P41" s="2008" t="s">
        <v>39</v>
      </c>
      <c r="Q41" s="2008" t="s">
        <v>604</v>
      </c>
      <c r="R41" s="2011" t="s">
        <v>74</v>
      </c>
      <c r="S41" s="778">
        <f>SUMIF('Data Input sheet'!$B$118:$B$180,R41,'Data Input sheet'!$D$118:$D$180)</f>
        <v>152</v>
      </c>
      <c r="T41" s="2010">
        <f t="shared" si="26"/>
        <v>18240</v>
      </c>
      <c r="U41" s="2010">
        <v>59</v>
      </c>
      <c r="V41" s="778">
        <f t="shared" si="27"/>
        <v>7080</v>
      </c>
      <c r="W41" s="2010">
        <f t="shared" si="106"/>
        <v>34400</v>
      </c>
      <c r="X41" s="779"/>
      <c r="Y41" s="2012"/>
      <c r="Z41" s="780">
        <f t="shared" si="28"/>
        <v>59720</v>
      </c>
      <c r="AA41" s="2007"/>
      <c r="AB41" s="2007"/>
      <c r="AC41" s="765"/>
      <c r="AD41" s="781">
        <f t="shared" si="29"/>
        <v>0</v>
      </c>
      <c r="AE41" s="781">
        <f t="shared" si="30"/>
        <v>0</v>
      </c>
      <c r="AF41" s="781">
        <f t="shared" si="31"/>
        <v>0</v>
      </c>
      <c r="AG41" s="781">
        <f t="shared" si="32"/>
        <v>0</v>
      </c>
      <c r="AH41" s="781">
        <f t="shared" si="33"/>
        <v>0</v>
      </c>
      <c r="AI41" s="782">
        <f t="shared" si="34"/>
        <v>0</v>
      </c>
      <c r="AJ41" s="781">
        <f t="shared" si="35"/>
        <v>0</v>
      </c>
      <c r="AK41" s="781">
        <f t="shared" si="36"/>
        <v>0</v>
      </c>
      <c r="AL41" s="781">
        <f t="shared" si="37"/>
        <v>0</v>
      </c>
      <c r="AM41" s="781">
        <f t="shared" si="38"/>
        <v>0</v>
      </c>
      <c r="AN41" s="781">
        <f t="shared" si="39"/>
        <v>0</v>
      </c>
      <c r="AO41" s="781">
        <f t="shared" si="40"/>
        <v>0</v>
      </c>
      <c r="AP41" s="781">
        <f t="shared" si="41"/>
        <v>0</v>
      </c>
      <c r="AQ41" s="781">
        <f t="shared" si="42"/>
        <v>0</v>
      </c>
      <c r="AR41" s="781">
        <f t="shared" si="43"/>
        <v>0</v>
      </c>
      <c r="AS41" s="783">
        <f t="shared" si="44"/>
        <v>0</v>
      </c>
      <c r="AT41" s="759"/>
      <c r="BA41" s="2007" t="s">
        <v>1408</v>
      </c>
      <c r="BB41" s="160" t="str">
        <f>+BC41&amp;", "&amp;BD41&amp;", "&amp;BE41&amp;", "&amp;BF41&amp;", "&amp;BG41&amp;", "&amp;BI41&amp;", "&amp;BH41&amp;", "&amp;BJ41</f>
        <v>Structure, 115kV, H frame, Dead End, 80-99ft, New, Deenergized, Direct Embedment Fnd</v>
      </c>
      <c r="BC41" s="9" t="s">
        <v>2164</v>
      </c>
      <c r="BD41" t="s">
        <v>2078</v>
      </c>
      <c r="BE41" s="9" t="s">
        <v>2084</v>
      </c>
      <c r="BF41" t="s">
        <v>2159</v>
      </c>
      <c r="BG41" t="s">
        <v>2161</v>
      </c>
      <c r="BH41" t="s">
        <v>2157</v>
      </c>
      <c r="BI41" t="s">
        <v>908</v>
      </c>
      <c r="BJ41" t="s">
        <v>2163</v>
      </c>
      <c r="BM41" s="2010">
        <f>22000*1.25</f>
        <v>27500</v>
      </c>
    </row>
    <row r="42" spans="1:65" ht="30" x14ac:dyDescent="0.25">
      <c r="A42" s="784"/>
      <c r="B42" s="719">
        <f t="shared" si="24"/>
        <v>3</v>
      </c>
      <c r="C42" s="170" t="str">
        <f t="shared" si="16"/>
        <v>41Ea</v>
      </c>
      <c r="D42" s="557"/>
      <c r="E42" s="170"/>
      <c r="F42" s="170">
        <v>41</v>
      </c>
      <c r="G42" s="2007" t="s">
        <v>2225</v>
      </c>
      <c r="H42" s="1926"/>
      <c r="I42" s="2008" t="s">
        <v>1416</v>
      </c>
      <c r="J42" s="1926"/>
      <c r="K42" s="1926"/>
      <c r="L42" s="170"/>
      <c r="M42" s="2009">
        <f>ROUND(172*1.4,-1)</f>
        <v>240</v>
      </c>
      <c r="N42" s="2010">
        <v>1</v>
      </c>
      <c r="O42" s="773">
        <f t="shared" si="25"/>
        <v>240</v>
      </c>
      <c r="P42" s="2008" t="s">
        <v>39</v>
      </c>
      <c r="Q42" s="2008" t="s">
        <v>604</v>
      </c>
      <c r="R42" s="2011" t="s">
        <v>74</v>
      </c>
      <c r="S42" s="778">
        <f>SUMIF('Data Input sheet'!$B$118:$B$180,R42,'Data Input sheet'!$D$118:$D$180)</f>
        <v>152</v>
      </c>
      <c r="T42" s="2010">
        <f t="shared" si="26"/>
        <v>36480</v>
      </c>
      <c r="U42" s="2010">
        <v>60</v>
      </c>
      <c r="V42" s="778">
        <f t="shared" si="27"/>
        <v>14400</v>
      </c>
      <c r="W42" s="2010">
        <f t="shared" si="106"/>
        <v>78100</v>
      </c>
      <c r="X42" s="779"/>
      <c r="Y42" s="2012"/>
      <c r="Z42" s="780">
        <f t="shared" si="28"/>
        <v>128980</v>
      </c>
      <c r="AA42" s="2007"/>
      <c r="AB42" s="2007"/>
      <c r="AC42" s="765"/>
      <c r="AD42" s="781">
        <f t="shared" si="29"/>
        <v>0</v>
      </c>
      <c r="AE42" s="781">
        <f t="shared" si="30"/>
        <v>0</v>
      </c>
      <c r="AF42" s="781">
        <f t="shared" si="31"/>
        <v>0</v>
      </c>
      <c r="AG42" s="781">
        <f t="shared" si="32"/>
        <v>0</v>
      </c>
      <c r="AH42" s="781">
        <f t="shared" si="33"/>
        <v>0</v>
      </c>
      <c r="AI42" s="782">
        <f t="shared" si="34"/>
        <v>0</v>
      </c>
      <c r="AJ42" s="781">
        <f t="shared" si="35"/>
        <v>0</v>
      </c>
      <c r="AK42" s="781">
        <f t="shared" si="36"/>
        <v>0</v>
      </c>
      <c r="AL42" s="781">
        <f t="shared" si="37"/>
        <v>0</v>
      </c>
      <c r="AM42" s="781">
        <f t="shared" si="38"/>
        <v>0</v>
      </c>
      <c r="AN42" s="781">
        <f t="shared" si="39"/>
        <v>0</v>
      </c>
      <c r="AO42" s="781">
        <f t="shared" si="40"/>
        <v>0</v>
      </c>
      <c r="AP42" s="781">
        <f t="shared" si="41"/>
        <v>0</v>
      </c>
      <c r="AQ42" s="781">
        <f t="shared" si="42"/>
        <v>0</v>
      </c>
      <c r="AR42" s="781">
        <f t="shared" si="43"/>
        <v>0</v>
      </c>
      <c r="AS42" s="783">
        <f t="shared" si="44"/>
        <v>0</v>
      </c>
      <c r="AT42" s="759"/>
      <c r="BA42" s="2007" t="s">
        <v>2151</v>
      </c>
      <c r="BB42" s="160" t="str">
        <f>+BC42&amp;", "&amp;BD42&amp;", "&amp;BE42&amp;", "&amp;BF42&amp;", "&amp;BG42&amp;", "&amp;BI42&amp;", "&amp;BH42&amp;", "&amp;BJ42</f>
        <v>Structure, 115kV, H frame, Dead End, 80-99ft, Repl., Deenergized, Concrete Caisson Fnd</v>
      </c>
      <c r="BC42" s="9" t="s">
        <v>2164</v>
      </c>
      <c r="BD42" t="s">
        <v>2078</v>
      </c>
      <c r="BE42" s="9" t="s">
        <v>2084</v>
      </c>
      <c r="BF42" t="s">
        <v>2159</v>
      </c>
      <c r="BG42" t="s">
        <v>2161</v>
      </c>
      <c r="BH42" t="s">
        <v>2157</v>
      </c>
      <c r="BI42" t="s">
        <v>2165</v>
      </c>
      <c r="BJ42" t="s">
        <v>2158</v>
      </c>
      <c r="BM42" s="2010">
        <f>50000*1.25</f>
        <v>62500</v>
      </c>
    </row>
    <row r="43" spans="1:65" ht="30" x14ac:dyDescent="0.25">
      <c r="A43" s="784"/>
      <c r="B43" s="719">
        <f t="shared" si="24"/>
        <v>4</v>
      </c>
      <c r="C43" s="170" t="str">
        <f t="shared" si="16"/>
        <v>41Ea</v>
      </c>
      <c r="D43" s="557"/>
      <c r="E43" s="170"/>
      <c r="F43" s="170">
        <v>41</v>
      </c>
      <c r="G43" s="2007" t="s">
        <v>2258</v>
      </c>
      <c r="H43" s="1926">
        <v>0</v>
      </c>
      <c r="I43" s="2008" t="s">
        <v>1416</v>
      </c>
      <c r="J43" s="1926"/>
      <c r="K43" s="1926"/>
      <c r="L43" s="170"/>
      <c r="M43" s="2009">
        <f>ROUND(125*1.4,-1)</f>
        <v>180</v>
      </c>
      <c r="N43" s="2010">
        <v>1</v>
      </c>
      <c r="O43" s="773">
        <f t="shared" ref="O43" si="107">+M43*N43</f>
        <v>180</v>
      </c>
      <c r="P43" s="2008" t="s">
        <v>39</v>
      </c>
      <c r="Q43" s="2008" t="s">
        <v>604</v>
      </c>
      <c r="R43" s="2011" t="s">
        <v>74</v>
      </c>
      <c r="S43" s="778">
        <f>SUMIF('Data Input sheet'!$B$118:$B$180,R43,'Data Input sheet'!$D$118:$D$180)</f>
        <v>152</v>
      </c>
      <c r="T43" s="2010">
        <f t="shared" ref="T43" si="108">S43*O43</f>
        <v>27360</v>
      </c>
      <c r="U43" s="2010">
        <v>60</v>
      </c>
      <c r="V43" s="778">
        <f t="shared" ref="V43" si="109">ROUND(U43*O43,0)</f>
        <v>10800</v>
      </c>
      <c r="W43" s="2010">
        <f t="shared" si="106"/>
        <v>34400</v>
      </c>
      <c r="X43" s="779"/>
      <c r="Y43" s="2012"/>
      <c r="Z43" s="780">
        <f t="shared" ref="Z43" si="110">T43+V43+W43+Y43</f>
        <v>72560</v>
      </c>
      <c r="AA43" s="2007"/>
      <c r="AB43" s="2007"/>
      <c r="AC43" s="765"/>
      <c r="AD43" s="781">
        <f t="shared" ref="AD43" si="111">IF(P43="E",+ROUND(H43*O43,0),0)</f>
        <v>0</v>
      </c>
      <c r="AE43" s="781">
        <f t="shared" ref="AE43" si="112">+AF43-AD43</f>
        <v>0</v>
      </c>
      <c r="AF43" s="781">
        <f t="shared" ref="AF43" si="113">+H43*O43</f>
        <v>0</v>
      </c>
      <c r="AG43" s="781">
        <f t="shared" ref="AG43" si="114">IF(P43="E",+ROUND(T43*H43,0),0)</f>
        <v>0</v>
      </c>
      <c r="AH43" s="781">
        <f t="shared" ref="AH43" si="115">+AI43-AG43</f>
        <v>0</v>
      </c>
      <c r="AI43" s="782">
        <f t="shared" ref="AI43" si="116">+H43*T43</f>
        <v>0</v>
      </c>
      <c r="AJ43" s="781">
        <f t="shared" ref="AJ43" si="117">IF(P43="E",+ROUND(V43*H43,0),0)</f>
        <v>0</v>
      </c>
      <c r="AK43" s="781">
        <f t="shared" ref="AK43" si="118">+AL43-AJ43</f>
        <v>0</v>
      </c>
      <c r="AL43" s="781">
        <f t="shared" ref="AL43" si="119">ROUND(V43*H43,0)</f>
        <v>0</v>
      </c>
      <c r="AM43" s="781">
        <f t="shared" ref="AM43" si="120">IF(Q43="E",+ROUND(W43*H43,0),0)</f>
        <v>0</v>
      </c>
      <c r="AN43" s="781">
        <f t="shared" ref="AN43" si="121">+AO43-AM43</f>
        <v>0</v>
      </c>
      <c r="AO43" s="781">
        <f t="shared" ref="AO43" si="122">ROUND(W43*H43,0)</f>
        <v>0</v>
      </c>
      <c r="AP43" s="781">
        <f t="shared" ref="AP43" si="123">IF(P43="E",+ROUND(Y43*H43,0),0)</f>
        <v>0</v>
      </c>
      <c r="AQ43" s="781">
        <f t="shared" ref="AQ43" si="124">+AR43-AP43</f>
        <v>0</v>
      </c>
      <c r="AR43" s="781">
        <f t="shared" ref="AR43" si="125">ROUND(Y43*H43,0)</f>
        <v>0</v>
      </c>
      <c r="AS43" s="783">
        <f t="shared" ref="AS43" si="126">+AR43+AO43+AL43+AI43</f>
        <v>0</v>
      </c>
      <c r="AT43" s="759"/>
      <c r="BA43" s="2007" t="s">
        <v>2151</v>
      </c>
      <c r="BB43" s="160" t="str">
        <f>+BC43&amp;", "&amp;BD43&amp;", "&amp;BE43&amp;", "&amp;BF43&amp;", "&amp;BG43&amp;", "&amp;BI43&amp;", "&amp;BH43&amp;", "&amp;BJ43</f>
        <v>Structure, 115kV, H frame, Dead End, 80-99ft, Repl., Deenergized, Direct Embedment Fnd</v>
      </c>
      <c r="BC43" s="9" t="s">
        <v>2164</v>
      </c>
      <c r="BD43" t="s">
        <v>2078</v>
      </c>
      <c r="BE43" s="9" t="s">
        <v>2084</v>
      </c>
      <c r="BF43" t="s">
        <v>2159</v>
      </c>
      <c r="BG43" t="s">
        <v>2161</v>
      </c>
      <c r="BH43" t="s">
        <v>2157</v>
      </c>
      <c r="BI43" t="s">
        <v>2165</v>
      </c>
      <c r="BJ43" t="s">
        <v>2163</v>
      </c>
      <c r="BM43" s="2010">
        <f>22000*1.25</f>
        <v>27500</v>
      </c>
    </row>
    <row r="44" spans="1:65" ht="30" x14ac:dyDescent="0.25">
      <c r="A44" s="784"/>
      <c r="B44" s="719">
        <f>+B42+1</f>
        <v>4</v>
      </c>
      <c r="C44" s="170" t="str">
        <f t="shared" si="16"/>
        <v>41Ea</v>
      </c>
      <c r="D44" s="557"/>
      <c r="E44" s="170"/>
      <c r="F44" s="170">
        <v>41</v>
      </c>
      <c r="G44" s="2007" t="s">
        <v>2226</v>
      </c>
      <c r="H44" s="1926">
        <f>+'Structure replacements'!$J$29+'Structure replacements'!$J$30</f>
        <v>0</v>
      </c>
      <c r="I44" s="2008" t="s">
        <v>1416</v>
      </c>
      <c r="J44" s="1926"/>
      <c r="K44" s="1926"/>
      <c r="L44" s="170"/>
      <c r="M44" s="2009">
        <f>ROUND(385*1.4,-1)</f>
        <v>540</v>
      </c>
      <c r="N44" s="2010">
        <v>1</v>
      </c>
      <c r="O44" s="773">
        <f t="shared" si="25"/>
        <v>540</v>
      </c>
      <c r="P44" s="2008" t="s">
        <v>39</v>
      </c>
      <c r="Q44" s="2008" t="s">
        <v>604</v>
      </c>
      <c r="R44" s="2011" t="s">
        <v>74</v>
      </c>
      <c r="S44" s="778">
        <f>SUMIF('Data Input sheet'!$B$118:$B$180,R44,'Data Input sheet'!$D$118:$D$180)</f>
        <v>152</v>
      </c>
      <c r="T44" s="2010">
        <f t="shared" si="26"/>
        <v>82080</v>
      </c>
      <c r="U44" s="2010">
        <v>60</v>
      </c>
      <c r="V44" s="778">
        <f t="shared" si="27"/>
        <v>32400</v>
      </c>
      <c r="W44" s="2010">
        <f t="shared" si="106"/>
        <v>34400</v>
      </c>
      <c r="X44" s="779"/>
      <c r="Y44" s="2012"/>
      <c r="Z44" s="780">
        <f t="shared" si="28"/>
        <v>148880</v>
      </c>
      <c r="AA44" s="2007"/>
      <c r="AB44" s="2007"/>
      <c r="AC44" s="765"/>
      <c r="AD44" s="781">
        <f t="shared" si="29"/>
        <v>0</v>
      </c>
      <c r="AE44" s="781">
        <f t="shared" si="30"/>
        <v>0</v>
      </c>
      <c r="AF44" s="781">
        <f t="shared" si="31"/>
        <v>0</v>
      </c>
      <c r="AG44" s="781">
        <f t="shared" si="32"/>
        <v>0</v>
      </c>
      <c r="AH44" s="781">
        <f t="shared" si="33"/>
        <v>0</v>
      </c>
      <c r="AI44" s="782">
        <f t="shared" si="34"/>
        <v>0</v>
      </c>
      <c r="AJ44" s="781">
        <f t="shared" si="35"/>
        <v>0</v>
      </c>
      <c r="AK44" s="781">
        <f t="shared" si="36"/>
        <v>0</v>
      </c>
      <c r="AL44" s="781">
        <f t="shared" si="37"/>
        <v>0</v>
      </c>
      <c r="AM44" s="781">
        <f t="shared" si="38"/>
        <v>0</v>
      </c>
      <c r="AN44" s="781">
        <f t="shared" si="39"/>
        <v>0</v>
      </c>
      <c r="AO44" s="781">
        <f t="shared" si="40"/>
        <v>0</v>
      </c>
      <c r="AP44" s="781">
        <f t="shared" si="41"/>
        <v>0</v>
      </c>
      <c r="AQ44" s="781">
        <f t="shared" si="42"/>
        <v>0</v>
      </c>
      <c r="AR44" s="781">
        <f t="shared" si="43"/>
        <v>0</v>
      </c>
      <c r="AS44" s="783">
        <f t="shared" si="44"/>
        <v>0</v>
      </c>
      <c r="AT44" s="759"/>
      <c r="BA44" s="2007" t="s">
        <v>1409</v>
      </c>
      <c r="BB44" s="160" t="str">
        <f>+BC44&amp;", "&amp;BD44&amp;", "&amp;BE44&amp;", "&amp;BF44&amp;", "&amp;BG44&amp;", "&amp;BI44&amp;", "&amp;BH44&amp;", "&amp;BJ44</f>
        <v>Structure, 115kV, H frame, Dead End, 80-99ft, Repl., Live line, Direct Embedment Fnd</v>
      </c>
      <c r="BC44" s="9" t="s">
        <v>2164</v>
      </c>
      <c r="BD44" t="s">
        <v>2078</v>
      </c>
      <c r="BE44" s="9" t="s">
        <v>2084</v>
      </c>
      <c r="BF44" t="s">
        <v>2159</v>
      </c>
      <c r="BG44" t="s">
        <v>2161</v>
      </c>
      <c r="BH44" t="s">
        <v>2162</v>
      </c>
      <c r="BI44" t="s">
        <v>2165</v>
      </c>
      <c r="BJ44" t="s">
        <v>2163</v>
      </c>
      <c r="BM44" s="2010">
        <f>22000*1.25</f>
        <v>27500</v>
      </c>
    </row>
    <row r="45" spans="1:65" ht="15" x14ac:dyDescent="0.25">
      <c r="A45" s="784"/>
      <c r="B45" s="719"/>
      <c r="C45" s="170" t="str">
        <f t="shared" si="16"/>
        <v>Ea</v>
      </c>
      <c r="D45" s="557"/>
      <c r="E45" s="170"/>
      <c r="F45" s="170"/>
      <c r="G45" s="1620" t="s">
        <v>2263</v>
      </c>
      <c r="H45" s="1926"/>
      <c r="I45" s="2008" t="s">
        <v>1416</v>
      </c>
      <c r="J45" s="1926"/>
      <c r="K45" s="1926"/>
      <c r="L45" s="170"/>
      <c r="M45" s="2009">
        <v>0</v>
      </c>
      <c r="N45" s="2010">
        <v>1</v>
      </c>
      <c r="O45" s="773">
        <f t="shared" si="25"/>
        <v>0</v>
      </c>
      <c r="P45" s="2008" t="s">
        <v>39</v>
      </c>
      <c r="Q45" s="2008" t="s">
        <v>604</v>
      </c>
      <c r="R45" s="2011" t="s">
        <v>74</v>
      </c>
      <c r="S45" s="778">
        <f>SUMIF('Data Input sheet'!$B$118:$B$180,R45,'Data Input sheet'!$D$118:$D$180)</f>
        <v>152</v>
      </c>
      <c r="T45" s="2010">
        <f t="shared" si="26"/>
        <v>0</v>
      </c>
      <c r="U45" s="2010">
        <v>0</v>
      </c>
      <c r="V45" s="778">
        <f t="shared" si="27"/>
        <v>0</v>
      </c>
      <c r="W45" s="2010">
        <v>0</v>
      </c>
      <c r="X45" s="779"/>
      <c r="Y45" s="2012"/>
      <c r="Z45" s="780">
        <f t="shared" si="28"/>
        <v>0</v>
      </c>
      <c r="AA45" s="2007"/>
      <c r="AB45" s="2007"/>
      <c r="AC45" s="765"/>
      <c r="AD45" s="781">
        <f t="shared" si="29"/>
        <v>0</v>
      </c>
      <c r="AE45" s="781">
        <f t="shared" si="30"/>
        <v>0</v>
      </c>
      <c r="AF45" s="781">
        <f t="shared" si="31"/>
        <v>0</v>
      </c>
      <c r="AG45" s="781">
        <f t="shared" si="32"/>
        <v>0</v>
      </c>
      <c r="AH45" s="781">
        <f t="shared" si="33"/>
        <v>0</v>
      </c>
      <c r="AI45" s="782">
        <f t="shared" si="34"/>
        <v>0</v>
      </c>
      <c r="AJ45" s="781">
        <f t="shared" si="35"/>
        <v>0</v>
      </c>
      <c r="AK45" s="781">
        <f t="shared" si="36"/>
        <v>0</v>
      </c>
      <c r="AL45" s="781">
        <f t="shared" si="37"/>
        <v>0</v>
      </c>
      <c r="AM45" s="781">
        <f t="shared" si="38"/>
        <v>0</v>
      </c>
      <c r="AN45" s="781">
        <f t="shared" si="39"/>
        <v>0</v>
      </c>
      <c r="AO45" s="781">
        <f t="shared" si="40"/>
        <v>0</v>
      </c>
      <c r="AP45" s="781">
        <f t="shared" si="41"/>
        <v>0</v>
      </c>
      <c r="AQ45" s="781">
        <f t="shared" si="42"/>
        <v>0</v>
      </c>
      <c r="AR45" s="781">
        <f t="shared" si="43"/>
        <v>0</v>
      </c>
      <c r="AS45" s="783">
        <f t="shared" si="44"/>
        <v>0</v>
      </c>
      <c r="AT45" s="759"/>
      <c r="BA45" s="2007"/>
      <c r="BC45" s="9"/>
      <c r="BE45" s="9"/>
      <c r="BF45" s="9"/>
      <c r="BG45" s="9"/>
      <c r="BH45" s="9"/>
      <c r="BI45" s="9"/>
      <c r="BJ45" s="9"/>
      <c r="BM45" s="2010">
        <v>0</v>
      </c>
    </row>
    <row r="46" spans="1:65" ht="45" x14ac:dyDescent="0.25">
      <c r="A46" s="784"/>
      <c r="B46" s="719">
        <f>+B44+1</f>
        <v>5</v>
      </c>
      <c r="C46" s="170" t="str">
        <f t="shared" si="16"/>
        <v>41Ea</v>
      </c>
      <c r="D46" s="557"/>
      <c r="E46" s="170"/>
      <c r="F46" s="170">
        <v>41</v>
      </c>
      <c r="G46" s="2007" t="s">
        <v>2227</v>
      </c>
      <c r="H46" s="1926"/>
      <c r="I46" s="2008" t="s">
        <v>1416</v>
      </c>
      <c r="J46" s="1926"/>
      <c r="K46" s="1926"/>
      <c r="L46" s="170"/>
      <c r="M46" s="2009">
        <f>ROUND(75*1.4,-1)</f>
        <v>110</v>
      </c>
      <c r="N46" s="2010">
        <v>1</v>
      </c>
      <c r="O46" s="773">
        <f t="shared" si="25"/>
        <v>110</v>
      </c>
      <c r="P46" s="2008" t="s">
        <v>39</v>
      </c>
      <c r="Q46" s="2008" t="s">
        <v>604</v>
      </c>
      <c r="R46" s="2011" t="s">
        <v>74</v>
      </c>
      <c r="S46" s="778">
        <f>SUMIF('Data Input sheet'!$B$118:$B$180,R46,'Data Input sheet'!$D$118:$D$180)</f>
        <v>152</v>
      </c>
      <c r="T46" s="2010">
        <f t="shared" si="26"/>
        <v>16720</v>
      </c>
      <c r="U46" s="2010">
        <v>67</v>
      </c>
      <c r="V46" s="778">
        <f t="shared" si="27"/>
        <v>7370</v>
      </c>
      <c r="W46" s="2010">
        <f t="shared" si="106"/>
        <v>56300</v>
      </c>
      <c r="X46" s="779"/>
      <c r="Y46" s="2012"/>
      <c r="Z46" s="780">
        <f t="shared" si="28"/>
        <v>80390</v>
      </c>
      <c r="AA46" s="2007"/>
      <c r="AB46" s="2007"/>
      <c r="AC46" s="765"/>
      <c r="AD46" s="781">
        <f t="shared" si="29"/>
        <v>0</v>
      </c>
      <c r="AE46" s="781">
        <f t="shared" si="30"/>
        <v>0</v>
      </c>
      <c r="AF46" s="781">
        <f t="shared" si="31"/>
        <v>0</v>
      </c>
      <c r="AG46" s="781">
        <f t="shared" si="32"/>
        <v>0</v>
      </c>
      <c r="AH46" s="781">
        <f t="shared" si="33"/>
        <v>0</v>
      </c>
      <c r="AI46" s="782">
        <f t="shared" si="34"/>
        <v>0</v>
      </c>
      <c r="AJ46" s="781">
        <f t="shared" si="35"/>
        <v>0</v>
      </c>
      <c r="AK46" s="781">
        <f t="shared" si="36"/>
        <v>0</v>
      </c>
      <c r="AL46" s="781">
        <f t="shared" si="37"/>
        <v>0</v>
      </c>
      <c r="AM46" s="781">
        <f t="shared" si="38"/>
        <v>0</v>
      </c>
      <c r="AN46" s="781">
        <f t="shared" si="39"/>
        <v>0</v>
      </c>
      <c r="AO46" s="781">
        <f t="shared" si="40"/>
        <v>0</v>
      </c>
      <c r="AP46" s="781">
        <f t="shared" si="41"/>
        <v>0</v>
      </c>
      <c r="AQ46" s="781">
        <f t="shared" si="42"/>
        <v>0</v>
      </c>
      <c r="AR46" s="781">
        <f t="shared" si="43"/>
        <v>0</v>
      </c>
      <c r="AS46" s="783">
        <f t="shared" si="44"/>
        <v>0</v>
      </c>
      <c r="AT46" s="759"/>
      <c r="BA46" s="2007" t="s">
        <v>1410</v>
      </c>
      <c r="BB46" s="160" t="str">
        <f>+BC46&amp;", "&amp;BD46&amp;", "&amp;BE46&amp;", "&amp;BF46&amp;", "&amp;BG46&amp;", "&amp;BI46&amp;", "&amp;BH46&amp;", "&amp;BJ46</f>
        <v>Structure, 115kV, H frame, Running Angle, 80-99ft, New, Deenergized, Concrete Caisson Fnd</v>
      </c>
      <c r="BC46" s="9" t="s">
        <v>2164</v>
      </c>
      <c r="BD46" t="s">
        <v>2078</v>
      </c>
      <c r="BE46" s="9" t="s">
        <v>2084</v>
      </c>
      <c r="BF46" t="s">
        <v>2160</v>
      </c>
      <c r="BG46" t="s">
        <v>2161</v>
      </c>
      <c r="BH46" t="s">
        <v>2157</v>
      </c>
      <c r="BI46" t="s">
        <v>908</v>
      </c>
      <c r="BJ46" t="s">
        <v>2158</v>
      </c>
      <c r="BM46" s="2010">
        <f>36000*1.25</f>
        <v>45000</v>
      </c>
    </row>
    <row r="47" spans="1:65" ht="45" x14ac:dyDescent="0.25">
      <c r="A47" s="784"/>
      <c r="B47" s="719">
        <f t="shared" si="24"/>
        <v>6</v>
      </c>
      <c r="C47" s="170" t="str">
        <f t="shared" si="16"/>
        <v>41Ea</v>
      </c>
      <c r="D47" s="557"/>
      <c r="E47" s="170"/>
      <c r="F47" s="170">
        <v>41</v>
      </c>
      <c r="G47" s="2007" t="s">
        <v>2228</v>
      </c>
      <c r="H47" s="1926"/>
      <c r="I47" s="2008" t="s">
        <v>1416</v>
      </c>
      <c r="J47" s="1926"/>
      <c r="K47" s="1926"/>
      <c r="L47" s="170"/>
      <c r="M47" s="2009">
        <f>ROUND(81*1.4,-1)</f>
        <v>110</v>
      </c>
      <c r="N47" s="2010">
        <v>1</v>
      </c>
      <c r="O47" s="773">
        <f t="shared" si="25"/>
        <v>110</v>
      </c>
      <c r="P47" s="2008" t="s">
        <v>39</v>
      </c>
      <c r="Q47" s="2008" t="s">
        <v>604</v>
      </c>
      <c r="R47" s="2011" t="s">
        <v>74</v>
      </c>
      <c r="S47" s="778">
        <f>SUMIF('Data Input sheet'!$B$118:$B$180,R47,'Data Input sheet'!$D$118:$D$180)</f>
        <v>152</v>
      </c>
      <c r="T47" s="2010">
        <f t="shared" si="26"/>
        <v>16720</v>
      </c>
      <c r="U47" s="2010">
        <v>61</v>
      </c>
      <c r="V47" s="778">
        <f t="shared" si="27"/>
        <v>6710</v>
      </c>
      <c r="W47" s="2010">
        <f t="shared" si="106"/>
        <v>31300</v>
      </c>
      <c r="X47" s="779"/>
      <c r="Y47" s="2012"/>
      <c r="Z47" s="780">
        <f t="shared" si="28"/>
        <v>54730</v>
      </c>
      <c r="AA47" s="2007"/>
      <c r="AB47" s="2007"/>
      <c r="AC47" s="765"/>
      <c r="AD47" s="781">
        <f t="shared" si="29"/>
        <v>0</v>
      </c>
      <c r="AE47" s="781">
        <f t="shared" si="30"/>
        <v>0</v>
      </c>
      <c r="AF47" s="781">
        <f t="shared" si="31"/>
        <v>0</v>
      </c>
      <c r="AG47" s="781">
        <f t="shared" si="32"/>
        <v>0</v>
      </c>
      <c r="AH47" s="781">
        <f t="shared" si="33"/>
        <v>0</v>
      </c>
      <c r="AI47" s="782">
        <f t="shared" si="34"/>
        <v>0</v>
      </c>
      <c r="AJ47" s="781">
        <f t="shared" si="35"/>
        <v>0</v>
      </c>
      <c r="AK47" s="781">
        <f t="shared" si="36"/>
        <v>0</v>
      </c>
      <c r="AL47" s="781">
        <f t="shared" si="37"/>
        <v>0</v>
      </c>
      <c r="AM47" s="781">
        <f t="shared" si="38"/>
        <v>0</v>
      </c>
      <c r="AN47" s="781">
        <f t="shared" si="39"/>
        <v>0</v>
      </c>
      <c r="AO47" s="781">
        <f t="shared" si="40"/>
        <v>0</v>
      </c>
      <c r="AP47" s="781">
        <f t="shared" si="41"/>
        <v>0</v>
      </c>
      <c r="AQ47" s="781">
        <f t="shared" si="42"/>
        <v>0</v>
      </c>
      <c r="AR47" s="781">
        <f t="shared" si="43"/>
        <v>0</v>
      </c>
      <c r="AS47" s="783">
        <f t="shared" si="44"/>
        <v>0</v>
      </c>
      <c r="AT47" s="759"/>
      <c r="BA47" s="2007" t="s">
        <v>1412</v>
      </c>
      <c r="BB47" s="160" t="str">
        <f>+BC47&amp;", "&amp;BD47&amp;", "&amp;BE47&amp;", "&amp;BF47&amp;", "&amp;BG47&amp;", "&amp;BI47&amp;", "&amp;BH47&amp;", "&amp;BJ47</f>
        <v>Structure, 115kV, H frame, Running Angle, 80-99ft, New, Deenergized, Direct Embedment Fnd</v>
      </c>
      <c r="BC47" s="9" t="s">
        <v>2164</v>
      </c>
      <c r="BD47" t="s">
        <v>2078</v>
      </c>
      <c r="BE47" s="9" t="s">
        <v>2084</v>
      </c>
      <c r="BF47" t="s">
        <v>2160</v>
      </c>
      <c r="BG47" t="s">
        <v>2161</v>
      </c>
      <c r="BH47" t="s">
        <v>2157</v>
      </c>
      <c r="BI47" t="s">
        <v>908</v>
      </c>
      <c r="BJ47" t="s">
        <v>2163</v>
      </c>
      <c r="BM47" s="2010">
        <f>20000*1.25</f>
        <v>25000</v>
      </c>
    </row>
    <row r="48" spans="1:65" ht="45" x14ac:dyDescent="0.25">
      <c r="A48" s="784"/>
      <c r="B48" s="719">
        <f t="shared" si="24"/>
        <v>7</v>
      </c>
      <c r="C48" s="170" t="str">
        <f t="shared" si="16"/>
        <v>41Ea</v>
      </c>
      <c r="D48" s="557"/>
      <c r="E48" s="170"/>
      <c r="F48" s="170">
        <v>41</v>
      </c>
      <c r="G48" s="2007" t="s">
        <v>2229</v>
      </c>
      <c r="H48" s="1926">
        <v>0</v>
      </c>
      <c r="I48" s="2008" t="s">
        <v>1416</v>
      </c>
      <c r="J48" s="1926"/>
      <c r="K48" s="1926"/>
      <c r="L48" s="170"/>
      <c r="M48" s="2009">
        <f>ROUND(145*1.4,-1)</f>
        <v>200</v>
      </c>
      <c r="N48" s="2010">
        <v>1</v>
      </c>
      <c r="O48" s="773">
        <f t="shared" si="25"/>
        <v>200</v>
      </c>
      <c r="P48" s="2008" t="s">
        <v>39</v>
      </c>
      <c r="Q48" s="2008" t="s">
        <v>604</v>
      </c>
      <c r="R48" s="2011" t="s">
        <v>74</v>
      </c>
      <c r="S48" s="778">
        <f>SUMIF('Data Input sheet'!$B$118:$B$180,R48,'Data Input sheet'!$D$118:$D$180)</f>
        <v>152</v>
      </c>
      <c r="T48" s="2010">
        <f t="shared" si="26"/>
        <v>30400</v>
      </c>
      <c r="U48" s="2010">
        <v>60</v>
      </c>
      <c r="V48" s="778">
        <f t="shared" si="27"/>
        <v>12000</v>
      </c>
      <c r="W48" s="2010">
        <f t="shared" si="106"/>
        <v>56300</v>
      </c>
      <c r="X48" s="779"/>
      <c r="Y48" s="2012"/>
      <c r="Z48" s="780">
        <f t="shared" si="28"/>
        <v>98700</v>
      </c>
      <c r="AA48" s="2007"/>
      <c r="AB48" s="2007"/>
      <c r="AC48" s="765"/>
      <c r="AD48" s="781">
        <f t="shared" si="29"/>
        <v>0</v>
      </c>
      <c r="AE48" s="781">
        <f t="shared" si="30"/>
        <v>0</v>
      </c>
      <c r="AF48" s="781">
        <f t="shared" si="31"/>
        <v>0</v>
      </c>
      <c r="AG48" s="781">
        <f t="shared" si="32"/>
        <v>0</v>
      </c>
      <c r="AH48" s="781">
        <f t="shared" si="33"/>
        <v>0</v>
      </c>
      <c r="AI48" s="782">
        <f t="shared" si="34"/>
        <v>0</v>
      </c>
      <c r="AJ48" s="781">
        <f t="shared" si="35"/>
        <v>0</v>
      </c>
      <c r="AK48" s="781">
        <f t="shared" si="36"/>
        <v>0</v>
      </c>
      <c r="AL48" s="781">
        <f t="shared" si="37"/>
        <v>0</v>
      </c>
      <c r="AM48" s="781">
        <f t="shared" si="38"/>
        <v>0</v>
      </c>
      <c r="AN48" s="781">
        <f t="shared" si="39"/>
        <v>0</v>
      </c>
      <c r="AO48" s="781">
        <f t="shared" si="40"/>
        <v>0</v>
      </c>
      <c r="AP48" s="781">
        <f t="shared" si="41"/>
        <v>0</v>
      </c>
      <c r="AQ48" s="781">
        <f t="shared" si="42"/>
        <v>0</v>
      </c>
      <c r="AR48" s="781">
        <f t="shared" si="43"/>
        <v>0</v>
      </c>
      <c r="AS48" s="783">
        <f t="shared" si="44"/>
        <v>0</v>
      </c>
      <c r="AT48" s="759"/>
      <c r="BA48" s="2007" t="s">
        <v>1411</v>
      </c>
      <c r="BB48" s="160" t="str">
        <f>+BC48&amp;", "&amp;BD48&amp;", "&amp;BE48&amp;", "&amp;BF48&amp;", "&amp;BG48&amp;", "&amp;BI48&amp;", "&amp;BH48&amp;", "&amp;BJ48</f>
        <v>Structure, 115kV, H frame, Running Angle, 80-99ft, Repl., Deenergized, Concrete Caisson Fnd</v>
      </c>
      <c r="BC48" s="9" t="s">
        <v>2164</v>
      </c>
      <c r="BD48" t="s">
        <v>2078</v>
      </c>
      <c r="BE48" s="9" t="s">
        <v>2084</v>
      </c>
      <c r="BF48" t="s">
        <v>2160</v>
      </c>
      <c r="BG48" t="s">
        <v>2161</v>
      </c>
      <c r="BH48" t="s">
        <v>2157</v>
      </c>
      <c r="BI48" t="s">
        <v>2165</v>
      </c>
      <c r="BJ48" t="s">
        <v>2158</v>
      </c>
      <c r="BM48" s="2010">
        <f>36000*1.25</f>
        <v>45000</v>
      </c>
    </row>
    <row r="49" spans="1:65" ht="45" x14ac:dyDescent="0.25">
      <c r="A49" s="784"/>
      <c r="B49" s="719">
        <f t="shared" si="24"/>
        <v>8</v>
      </c>
      <c r="C49" s="170" t="str">
        <f t="shared" si="16"/>
        <v>41Ea</v>
      </c>
      <c r="D49" s="557"/>
      <c r="E49" s="170"/>
      <c r="F49" s="170">
        <v>41</v>
      </c>
      <c r="G49" s="2007" t="s">
        <v>2261</v>
      </c>
      <c r="H49" s="1926">
        <f>+'Structure replacements'!$I$27+'Structure replacements'!$I$28</f>
        <v>0</v>
      </c>
      <c r="I49" s="2008" t="s">
        <v>1416</v>
      </c>
      <c r="J49" s="1926"/>
      <c r="K49" s="1926"/>
      <c r="L49" s="170"/>
      <c r="M49" s="2009">
        <f>ROUND(125*1.4,-1)</f>
        <v>180</v>
      </c>
      <c r="N49" s="2010">
        <v>1</v>
      </c>
      <c r="O49" s="773">
        <f t="shared" ref="O49" si="127">+M49*N49</f>
        <v>180</v>
      </c>
      <c r="P49" s="2008" t="s">
        <v>39</v>
      </c>
      <c r="Q49" s="2008" t="s">
        <v>604</v>
      </c>
      <c r="R49" s="2011" t="s">
        <v>74</v>
      </c>
      <c r="S49" s="778">
        <f>SUMIF('Data Input sheet'!$B$118:$B$180,R49,'Data Input sheet'!$D$118:$D$180)</f>
        <v>152</v>
      </c>
      <c r="T49" s="2010">
        <f t="shared" ref="T49" si="128">S49*O49</f>
        <v>27360</v>
      </c>
      <c r="U49" s="2010">
        <v>60</v>
      </c>
      <c r="V49" s="778">
        <f t="shared" ref="V49" si="129">ROUND(U49*O49,0)</f>
        <v>10800</v>
      </c>
      <c r="W49" s="2010">
        <f t="shared" si="106"/>
        <v>31300</v>
      </c>
      <c r="X49" s="779"/>
      <c r="Y49" s="2012"/>
      <c r="Z49" s="780">
        <f t="shared" ref="Z49" si="130">T49+V49+W49+Y49</f>
        <v>69460</v>
      </c>
      <c r="AA49" s="2007"/>
      <c r="AB49" s="2007"/>
      <c r="AC49" s="765"/>
      <c r="AD49" s="781">
        <f t="shared" ref="AD49" si="131">IF(P49="E",+ROUND(H49*O49,0),0)</f>
        <v>0</v>
      </c>
      <c r="AE49" s="781">
        <f t="shared" ref="AE49" si="132">+AF49-AD49</f>
        <v>0</v>
      </c>
      <c r="AF49" s="781">
        <f t="shared" ref="AF49" si="133">+H49*O49</f>
        <v>0</v>
      </c>
      <c r="AG49" s="781">
        <f t="shared" ref="AG49" si="134">IF(P49="E",+ROUND(T49*H49,0),0)</f>
        <v>0</v>
      </c>
      <c r="AH49" s="781">
        <f t="shared" ref="AH49" si="135">+AI49-AG49</f>
        <v>0</v>
      </c>
      <c r="AI49" s="782">
        <f t="shared" ref="AI49" si="136">+H49*T49</f>
        <v>0</v>
      </c>
      <c r="AJ49" s="781">
        <f t="shared" ref="AJ49" si="137">IF(P49="E",+ROUND(V49*H49,0),0)</f>
        <v>0</v>
      </c>
      <c r="AK49" s="781">
        <f t="shared" ref="AK49" si="138">+AL49-AJ49</f>
        <v>0</v>
      </c>
      <c r="AL49" s="781">
        <f t="shared" ref="AL49" si="139">ROUND(V49*H49,0)</f>
        <v>0</v>
      </c>
      <c r="AM49" s="781">
        <f t="shared" ref="AM49" si="140">IF(Q49="E",+ROUND(W49*H49,0),0)</f>
        <v>0</v>
      </c>
      <c r="AN49" s="781">
        <f t="shared" ref="AN49" si="141">+AO49-AM49</f>
        <v>0</v>
      </c>
      <c r="AO49" s="781">
        <f t="shared" ref="AO49" si="142">ROUND(W49*H49,0)</f>
        <v>0</v>
      </c>
      <c r="AP49" s="781">
        <f t="shared" ref="AP49" si="143">IF(P49="E",+ROUND(Y49*H49,0),0)</f>
        <v>0</v>
      </c>
      <c r="AQ49" s="781">
        <f t="shared" ref="AQ49" si="144">+AR49-AP49</f>
        <v>0</v>
      </c>
      <c r="AR49" s="781">
        <f t="shared" ref="AR49" si="145">ROUND(Y49*H49,0)</f>
        <v>0</v>
      </c>
      <c r="AS49" s="783">
        <f t="shared" ref="AS49" si="146">+AR49+AO49+AL49+AI49</f>
        <v>0</v>
      </c>
      <c r="AT49" s="759"/>
      <c r="BA49" s="2007" t="s">
        <v>1411</v>
      </c>
      <c r="BB49" s="160" t="str">
        <f>+BC49&amp;", "&amp;BD49&amp;", "&amp;BE49&amp;", "&amp;BF49&amp;", "&amp;BG49&amp;", "&amp;BI49&amp;", "&amp;BH49&amp;", "&amp;BJ49</f>
        <v>Structure, 115kV, H frame, Running Angle, 80-99ft, Repl., Deenergized, Direct Embedment Fnd</v>
      </c>
      <c r="BC49" s="9" t="s">
        <v>2164</v>
      </c>
      <c r="BD49" t="s">
        <v>2078</v>
      </c>
      <c r="BE49" s="9" t="s">
        <v>2084</v>
      </c>
      <c r="BF49" t="s">
        <v>2160</v>
      </c>
      <c r="BG49" t="s">
        <v>2161</v>
      </c>
      <c r="BH49" t="s">
        <v>2157</v>
      </c>
      <c r="BI49" t="s">
        <v>2165</v>
      </c>
      <c r="BJ49" t="s">
        <v>2163</v>
      </c>
      <c r="BM49" s="2010">
        <f>20000*1.25</f>
        <v>25000</v>
      </c>
    </row>
    <row r="50" spans="1:65" ht="30" x14ac:dyDescent="0.25">
      <c r="A50" s="784"/>
      <c r="B50" s="719">
        <f>+B48+1</f>
        <v>8</v>
      </c>
      <c r="C50" s="170" t="str">
        <f t="shared" si="16"/>
        <v>41Ea</v>
      </c>
      <c r="D50" s="557"/>
      <c r="E50" s="170"/>
      <c r="F50" s="170">
        <v>41</v>
      </c>
      <c r="G50" s="2007" t="s">
        <v>2230</v>
      </c>
      <c r="H50" s="1926">
        <f>+'Structure replacements'!$I$29+'Structure replacements'!$I$30</f>
        <v>0</v>
      </c>
      <c r="I50" s="2008" t="s">
        <v>1416</v>
      </c>
      <c r="J50" s="1926"/>
      <c r="K50" s="1926"/>
      <c r="L50" s="170"/>
      <c r="M50" s="2009">
        <f>ROUND(231*1.4,-1)</f>
        <v>320</v>
      </c>
      <c r="N50" s="2010">
        <v>1</v>
      </c>
      <c r="O50" s="773">
        <f t="shared" si="25"/>
        <v>320</v>
      </c>
      <c r="P50" s="2008" t="s">
        <v>39</v>
      </c>
      <c r="Q50" s="2008" t="s">
        <v>604</v>
      </c>
      <c r="R50" s="2011" t="s">
        <v>74</v>
      </c>
      <c r="S50" s="778">
        <f>SUMIF('Data Input sheet'!$B$118:$B$180,R50,'Data Input sheet'!$D$118:$D$180)</f>
        <v>152</v>
      </c>
      <c r="T50" s="2010">
        <f t="shared" si="26"/>
        <v>48640</v>
      </c>
      <c r="U50" s="2010">
        <v>60</v>
      </c>
      <c r="V50" s="778">
        <f t="shared" si="27"/>
        <v>19200</v>
      </c>
      <c r="W50" s="2010">
        <f t="shared" si="106"/>
        <v>31300</v>
      </c>
      <c r="X50" s="779"/>
      <c r="Y50" s="2012"/>
      <c r="Z50" s="780">
        <f t="shared" si="28"/>
        <v>99140</v>
      </c>
      <c r="AA50" s="2007"/>
      <c r="AB50" s="2007"/>
      <c r="AC50" s="765"/>
      <c r="AD50" s="781">
        <f t="shared" si="29"/>
        <v>0</v>
      </c>
      <c r="AE50" s="781">
        <f t="shared" si="30"/>
        <v>0</v>
      </c>
      <c r="AF50" s="781">
        <f t="shared" si="31"/>
        <v>0</v>
      </c>
      <c r="AG50" s="781">
        <f t="shared" si="32"/>
        <v>0</v>
      </c>
      <c r="AH50" s="781">
        <f t="shared" si="33"/>
        <v>0</v>
      </c>
      <c r="AI50" s="782">
        <f t="shared" si="34"/>
        <v>0</v>
      </c>
      <c r="AJ50" s="781">
        <f t="shared" si="35"/>
        <v>0</v>
      </c>
      <c r="AK50" s="781">
        <f t="shared" si="36"/>
        <v>0</v>
      </c>
      <c r="AL50" s="781">
        <f t="shared" si="37"/>
        <v>0</v>
      </c>
      <c r="AM50" s="781">
        <f t="shared" si="38"/>
        <v>0</v>
      </c>
      <c r="AN50" s="781">
        <f t="shared" si="39"/>
        <v>0</v>
      </c>
      <c r="AO50" s="781">
        <f t="shared" si="40"/>
        <v>0</v>
      </c>
      <c r="AP50" s="781">
        <f t="shared" si="41"/>
        <v>0</v>
      </c>
      <c r="AQ50" s="781">
        <f t="shared" si="42"/>
        <v>0</v>
      </c>
      <c r="AR50" s="781">
        <f t="shared" si="43"/>
        <v>0</v>
      </c>
      <c r="AS50" s="783">
        <f t="shared" si="44"/>
        <v>0</v>
      </c>
      <c r="AT50" s="759"/>
      <c r="BA50" s="2007" t="s">
        <v>1413</v>
      </c>
      <c r="BB50" s="160" t="str">
        <f>+BC50&amp;", "&amp;BD50&amp;", "&amp;BE50&amp;", "&amp;BF50&amp;", "&amp;BG50&amp;", "&amp;BI50&amp;", "&amp;BH50&amp;", "&amp;BJ50</f>
        <v>Structure, 115kV, H frame, Running Angle, 80-99ft, Repl., Live line, Direct Embedment Fnd</v>
      </c>
      <c r="BC50" s="9" t="s">
        <v>2164</v>
      </c>
      <c r="BD50" t="s">
        <v>2078</v>
      </c>
      <c r="BE50" s="9" t="s">
        <v>2084</v>
      </c>
      <c r="BF50" t="s">
        <v>2160</v>
      </c>
      <c r="BG50" t="s">
        <v>2161</v>
      </c>
      <c r="BH50" t="s">
        <v>2162</v>
      </c>
      <c r="BI50" t="s">
        <v>2165</v>
      </c>
      <c r="BJ50" t="s">
        <v>2163</v>
      </c>
      <c r="BM50" s="2010">
        <f>20000*1.25</f>
        <v>25000</v>
      </c>
    </row>
    <row r="51" spans="1:65" ht="15" x14ac:dyDescent="0.25">
      <c r="A51" s="784"/>
      <c r="B51" s="719"/>
      <c r="C51" s="170" t="str">
        <f t="shared" si="16"/>
        <v>Ea</v>
      </c>
      <c r="D51" s="557"/>
      <c r="E51" s="170"/>
      <c r="F51" s="170"/>
      <c r="G51" s="1620" t="s">
        <v>2264</v>
      </c>
      <c r="H51" s="1926"/>
      <c r="I51" s="2008" t="s">
        <v>1416</v>
      </c>
      <c r="J51" s="1926"/>
      <c r="K51" s="1926"/>
      <c r="L51" s="170"/>
      <c r="M51" s="2009">
        <v>0</v>
      </c>
      <c r="N51" s="2010">
        <v>1</v>
      </c>
      <c r="O51" s="773">
        <f t="shared" si="25"/>
        <v>0</v>
      </c>
      <c r="P51" s="2008" t="s">
        <v>39</v>
      </c>
      <c r="Q51" s="2008" t="s">
        <v>604</v>
      </c>
      <c r="R51" s="2011" t="s">
        <v>74</v>
      </c>
      <c r="S51" s="778">
        <f>SUMIF('Data Input sheet'!$B$118:$B$180,R51,'Data Input sheet'!$D$118:$D$180)</f>
        <v>152</v>
      </c>
      <c r="T51" s="2010">
        <f t="shared" si="26"/>
        <v>0</v>
      </c>
      <c r="U51" s="2010">
        <v>0</v>
      </c>
      <c r="V51" s="778">
        <f t="shared" si="27"/>
        <v>0</v>
      </c>
      <c r="W51" s="2010">
        <v>0</v>
      </c>
      <c r="X51" s="779"/>
      <c r="Y51" s="2012"/>
      <c r="Z51" s="780">
        <f t="shared" si="28"/>
        <v>0</v>
      </c>
      <c r="AA51" s="2007"/>
      <c r="AB51" s="2007"/>
      <c r="AC51" s="765"/>
      <c r="AD51" s="781">
        <f t="shared" si="29"/>
        <v>0</v>
      </c>
      <c r="AE51" s="781">
        <f t="shared" si="30"/>
        <v>0</v>
      </c>
      <c r="AF51" s="781">
        <f t="shared" si="31"/>
        <v>0</v>
      </c>
      <c r="AG51" s="781">
        <f t="shared" si="32"/>
        <v>0</v>
      </c>
      <c r="AH51" s="781">
        <f t="shared" si="33"/>
        <v>0</v>
      </c>
      <c r="AI51" s="782">
        <f t="shared" si="34"/>
        <v>0</v>
      </c>
      <c r="AJ51" s="781">
        <f t="shared" si="35"/>
        <v>0</v>
      </c>
      <c r="AK51" s="781">
        <f t="shared" si="36"/>
        <v>0</v>
      </c>
      <c r="AL51" s="781">
        <f t="shared" si="37"/>
        <v>0</v>
      </c>
      <c r="AM51" s="781">
        <f t="shared" si="38"/>
        <v>0</v>
      </c>
      <c r="AN51" s="781">
        <f t="shared" si="39"/>
        <v>0</v>
      </c>
      <c r="AO51" s="781">
        <f t="shared" si="40"/>
        <v>0</v>
      </c>
      <c r="AP51" s="781">
        <f t="shared" si="41"/>
        <v>0</v>
      </c>
      <c r="AQ51" s="781">
        <f t="shared" si="42"/>
        <v>0</v>
      </c>
      <c r="AR51" s="781">
        <f t="shared" si="43"/>
        <v>0</v>
      </c>
      <c r="AS51" s="783">
        <f t="shared" si="44"/>
        <v>0</v>
      </c>
      <c r="AT51" s="759"/>
      <c r="BA51" s="2007"/>
      <c r="BC51" s="9"/>
      <c r="BE51" s="9"/>
      <c r="BF51" s="9"/>
      <c r="BG51" s="9"/>
      <c r="BH51" s="9"/>
      <c r="BI51" s="9"/>
      <c r="BJ51" s="9"/>
      <c r="BM51" s="2010">
        <v>0</v>
      </c>
    </row>
    <row r="52" spans="1:65" ht="30" x14ac:dyDescent="0.25">
      <c r="A52" s="784"/>
      <c r="B52" s="719">
        <f>+B50+1</f>
        <v>9</v>
      </c>
      <c r="C52" s="170" t="str">
        <f t="shared" si="16"/>
        <v>41Ea</v>
      </c>
      <c r="D52" s="557"/>
      <c r="E52" s="170"/>
      <c r="F52" s="170">
        <v>41</v>
      </c>
      <c r="G52" s="2007" t="s">
        <v>2231</v>
      </c>
      <c r="H52" s="1926"/>
      <c r="I52" s="2008" t="s">
        <v>1416</v>
      </c>
      <c r="J52" s="1926"/>
      <c r="K52" s="1926"/>
      <c r="L52" s="170"/>
      <c r="M52" s="2009">
        <f>ROUND(51*1.4,-1)</f>
        <v>70</v>
      </c>
      <c r="N52" s="2010">
        <v>1</v>
      </c>
      <c r="O52" s="773">
        <f t="shared" si="25"/>
        <v>70</v>
      </c>
      <c r="P52" s="2008" t="s">
        <v>39</v>
      </c>
      <c r="Q52" s="2008" t="s">
        <v>604</v>
      </c>
      <c r="R52" s="2011" t="s">
        <v>74</v>
      </c>
      <c r="S52" s="778">
        <f>SUMIF('Data Input sheet'!$B$118:$B$180,R52,'Data Input sheet'!$D$118:$D$180)</f>
        <v>152</v>
      </c>
      <c r="T52" s="2010">
        <f t="shared" si="26"/>
        <v>10640</v>
      </c>
      <c r="U52" s="2010">
        <v>59</v>
      </c>
      <c r="V52" s="778">
        <f t="shared" si="27"/>
        <v>4130</v>
      </c>
      <c r="W52" s="2010">
        <f t="shared" si="106"/>
        <v>42200</v>
      </c>
      <c r="X52" s="779"/>
      <c r="Y52" s="2012"/>
      <c r="Z52" s="780">
        <f t="shared" si="28"/>
        <v>56970</v>
      </c>
      <c r="AA52" s="2007"/>
      <c r="AB52" s="2007"/>
      <c r="AC52" s="765"/>
      <c r="AD52" s="781">
        <f t="shared" si="29"/>
        <v>0</v>
      </c>
      <c r="AE52" s="781">
        <f t="shared" si="30"/>
        <v>0</v>
      </c>
      <c r="AF52" s="781">
        <f t="shared" si="31"/>
        <v>0</v>
      </c>
      <c r="AG52" s="781">
        <f t="shared" si="32"/>
        <v>0</v>
      </c>
      <c r="AH52" s="781">
        <f t="shared" si="33"/>
        <v>0</v>
      </c>
      <c r="AI52" s="782">
        <f t="shared" si="34"/>
        <v>0</v>
      </c>
      <c r="AJ52" s="781">
        <f t="shared" si="35"/>
        <v>0</v>
      </c>
      <c r="AK52" s="781">
        <f t="shared" si="36"/>
        <v>0</v>
      </c>
      <c r="AL52" s="781">
        <f t="shared" si="37"/>
        <v>0</v>
      </c>
      <c r="AM52" s="781">
        <f t="shared" si="38"/>
        <v>0</v>
      </c>
      <c r="AN52" s="781">
        <f t="shared" si="39"/>
        <v>0</v>
      </c>
      <c r="AO52" s="781">
        <f t="shared" si="40"/>
        <v>0</v>
      </c>
      <c r="AP52" s="781">
        <f t="shared" si="41"/>
        <v>0</v>
      </c>
      <c r="AQ52" s="781">
        <f t="shared" si="42"/>
        <v>0</v>
      </c>
      <c r="AR52" s="781">
        <f t="shared" si="43"/>
        <v>0</v>
      </c>
      <c r="AS52" s="783">
        <f t="shared" si="44"/>
        <v>0</v>
      </c>
      <c r="AT52" s="759"/>
      <c r="BA52" s="2007" t="s">
        <v>1414</v>
      </c>
      <c r="BB52" s="160" t="str">
        <f>+BC52&amp;", "&amp;BD52&amp;", "&amp;BE52&amp;", "&amp;BF52&amp;", "&amp;BG52&amp;", "&amp;BI52&amp;", "&amp;BH52&amp;", "&amp;BJ52</f>
        <v>Structure, 115kV, H frame, Tangent, 80-99ft, New, Deenergized, Concrete Caisson Fnd</v>
      </c>
      <c r="BC52" s="9" t="s">
        <v>2164</v>
      </c>
      <c r="BD52" t="s">
        <v>2078</v>
      </c>
      <c r="BE52" s="9" t="s">
        <v>2084</v>
      </c>
      <c r="BF52" t="s">
        <v>2071</v>
      </c>
      <c r="BG52" t="s">
        <v>2161</v>
      </c>
      <c r="BH52" t="s">
        <v>2157</v>
      </c>
      <c r="BI52" t="s">
        <v>908</v>
      </c>
      <c r="BJ52" t="s">
        <v>2158</v>
      </c>
      <c r="BM52" s="2010">
        <f>27000*1.25</f>
        <v>33750</v>
      </c>
    </row>
    <row r="53" spans="1:65" ht="30" x14ac:dyDescent="0.25">
      <c r="A53" s="784"/>
      <c r="B53" s="719">
        <f t="shared" si="24"/>
        <v>10</v>
      </c>
      <c r="C53" s="170" t="str">
        <f t="shared" si="16"/>
        <v>41Ea</v>
      </c>
      <c r="D53" s="557"/>
      <c r="E53" s="170"/>
      <c r="F53" s="170">
        <v>41</v>
      </c>
      <c r="G53" s="2007" t="s">
        <v>2232</v>
      </c>
      <c r="H53" s="1926"/>
      <c r="I53" s="2008" t="s">
        <v>1416</v>
      </c>
      <c r="J53" s="1926"/>
      <c r="K53" s="1926"/>
      <c r="L53" s="170"/>
      <c r="M53" s="2009">
        <f>ROUND(58*1.4,-1)</f>
        <v>80</v>
      </c>
      <c r="N53" s="2010">
        <v>1</v>
      </c>
      <c r="O53" s="773">
        <f t="shared" si="25"/>
        <v>80</v>
      </c>
      <c r="P53" s="2008" t="s">
        <v>39</v>
      </c>
      <c r="Q53" s="2008" t="s">
        <v>604</v>
      </c>
      <c r="R53" s="2011" t="s">
        <v>74</v>
      </c>
      <c r="S53" s="778">
        <f>SUMIF('Data Input sheet'!$B$118:$B$180,R53,'Data Input sheet'!$D$118:$D$180)</f>
        <v>152</v>
      </c>
      <c r="T53" s="2010">
        <f t="shared" si="26"/>
        <v>12160</v>
      </c>
      <c r="U53" s="2010">
        <v>59</v>
      </c>
      <c r="V53" s="778">
        <f t="shared" si="27"/>
        <v>4720</v>
      </c>
      <c r="W53" s="2010">
        <f t="shared" si="106"/>
        <v>25800</v>
      </c>
      <c r="X53" s="779"/>
      <c r="Y53" s="2012"/>
      <c r="Z53" s="780">
        <f t="shared" si="28"/>
        <v>42680</v>
      </c>
      <c r="AA53" s="2007"/>
      <c r="AB53" s="2007"/>
      <c r="AC53" s="765"/>
      <c r="AD53" s="781">
        <f t="shared" si="29"/>
        <v>0</v>
      </c>
      <c r="AE53" s="781">
        <f t="shared" si="30"/>
        <v>0</v>
      </c>
      <c r="AF53" s="781">
        <f t="shared" si="31"/>
        <v>0</v>
      </c>
      <c r="AG53" s="781">
        <f t="shared" si="32"/>
        <v>0</v>
      </c>
      <c r="AH53" s="781">
        <f t="shared" si="33"/>
        <v>0</v>
      </c>
      <c r="AI53" s="782">
        <f t="shared" si="34"/>
        <v>0</v>
      </c>
      <c r="AJ53" s="781">
        <f t="shared" si="35"/>
        <v>0</v>
      </c>
      <c r="AK53" s="781">
        <f t="shared" si="36"/>
        <v>0</v>
      </c>
      <c r="AL53" s="781">
        <f t="shared" si="37"/>
        <v>0</v>
      </c>
      <c r="AM53" s="781">
        <f t="shared" si="38"/>
        <v>0</v>
      </c>
      <c r="AN53" s="781">
        <f t="shared" si="39"/>
        <v>0</v>
      </c>
      <c r="AO53" s="781">
        <f t="shared" si="40"/>
        <v>0</v>
      </c>
      <c r="AP53" s="781">
        <f t="shared" si="41"/>
        <v>0</v>
      </c>
      <c r="AQ53" s="781">
        <f t="shared" si="42"/>
        <v>0</v>
      </c>
      <c r="AR53" s="781">
        <f t="shared" si="43"/>
        <v>0</v>
      </c>
      <c r="AS53" s="783">
        <f t="shared" si="44"/>
        <v>0</v>
      </c>
      <c r="AT53" s="759"/>
      <c r="BA53" s="2007" t="s">
        <v>1370</v>
      </c>
      <c r="BB53" s="160" t="str">
        <f>+BC53&amp;", "&amp;BD53&amp;", "&amp;BE53&amp;", "&amp;BF53&amp;", "&amp;BG53&amp;", "&amp;BI53&amp;", "&amp;BH53&amp;", "&amp;BJ53</f>
        <v>Structure, 115kV, H frame, Tangent, 80-99ft, New, Deenergized, Direct Embedment Fnd</v>
      </c>
      <c r="BC53" s="9" t="s">
        <v>2164</v>
      </c>
      <c r="BD53" t="s">
        <v>2078</v>
      </c>
      <c r="BE53" s="9" t="s">
        <v>2084</v>
      </c>
      <c r="BF53" t="s">
        <v>2071</v>
      </c>
      <c r="BG53" t="s">
        <v>2161</v>
      </c>
      <c r="BH53" t="s">
        <v>2157</v>
      </c>
      <c r="BI53" t="s">
        <v>908</v>
      </c>
      <c r="BJ53" t="s">
        <v>2163</v>
      </c>
      <c r="BM53" s="2010">
        <f>16500*1.25</f>
        <v>20625</v>
      </c>
    </row>
    <row r="54" spans="1:65" ht="30" x14ac:dyDescent="0.25">
      <c r="A54" s="784"/>
      <c r="B54" s="719">
        <f t="shared" si="24"/>
        <v>11</v>
      </c>
      <c r="C54" s="170" t="str">
        <f t="shared" si="16"/>
        <v>41Ea</v>
      </c>
      <c r="D54" s="557"/>
      <c r="E54" s="170"/>
      <c r="F54" s="170">
        <v>41</v>
      </c>
      <c r="G54" s="2007" t="s">
        <v>2233</v>
      </c>
      <c r="H54" s="1926"/>
      <c r="I54" s="2008" t="s">
        <v>1416</v>
      </c>
      <c r="J54" s="1926"/>
      <c r="K54" s="1926"/>
      <c r="L54" s="170"/>
      <c r="M54" s="2009">
        <f>ROUND(81*1.4,-1)</f>
        <v>110</v>
      </c>
      <c r="N54" s="2010">
        <v>1</v>
      </c>
      <c r="O54" s="773">
        <f t="shared" si="25"/>
        <v>110</v>
      </c>
      <c r="P54" s="2008" t="s">
        <v>39</v>
      </c>
      <c r="Q54" s="2008" t="s">
        <v>604</v>
      </c>
      <c r="R54" s="2011" t="s">
        <v>74</v>
      </c>
      <c r="S54" s="778">
        <f>SUMIF('Data Input sheet'!$B$118:$B$180,R54,'Data Input sheet'!$D$118:$D$180)</f>
        <v>152</v>
      </c>
      <c r="T54" s="2010">
        <f t="shared" si="26"/>
        <v>16720</v>
      </c>
      <c r="U54" s="2010">
        <v>60</v>
      </c>
      <c r="V54" s="778">
        <f t="shared" si="27"/>
        <v>6600</v>
      </c>
      <c r="W54" s="2010">
        <f t="shared" si="106"/>
        <v>42200</v>
      </c>
      <c r="X54" s="779"/>
      <c r="Y54" s="2012"/>
      <c r="Z54" s="780">
        <f t="shared" si="28"/>
        <v>65520</v>
      </c>
      <c r="AA54" s="2007"/>
      <c r="AB54" s="2007"/>
      <c r="AC54" s="765"/>
      <c r="AD54" s="781">
        <f t="shared" si="29"/>
        <v>0</v>
      </c>
      <c r="AE54" s="781">
        <f t="shared" si="30"/>
        <v>0</v>
      </c>
      <c r="AF54" s="781">
        <f t="shared" si="31"/>
        <v>0</v>
      </c>
      <c r="AG54" s="781">
        <f t="shared" si="32"/>
        <v>0</v>
      </c>
      <c r="AH54" s="781">
        <f t="shared" si="33"/>
        <v>0</v>
      </c>
      <c r="AI54" s="782">
        <f t="shared" si="34"/>
        <v>0</v>
      </c>
      <c r="AJ54" s="781">
        <f t="shared" si="35"/>
        <v>0</v>
      </c>
      <c r="AK54" s="781">
        <f t="shared" si="36"/>
        <v>0</v>
      </c>
      <c r="AL54" s="781">
        <f t="shared" si="37"/>
        <v>0</v>
      </c>
      <c r="AM54" s="781">
        <f t="shared" si="38"/>
        <v>0</v>
      </c>
      <c r="AN54" s="781">
        <f t="shared" si="39"/>
        <v>0</v>
      </c>
      <c r="AO54" s="781">
        <f t="shared" si="40"/>
        <v>0</v>
      </c>
      <c r="AP54" s="781">
        <f t="shared" si="41"/>
        <v>0</v>
      </c>
      <c r="AQ54" s="781">
        <f t="shared" si="42"/>
        <v>0</v>
      </c>
      <c r="AR54" s="781">
        <f t="shared" si="43"/>
        <v>0</v>
      </c>
      <c r="AS54" s="783">
        <f t="shared" si="44"/>
        <v>0</v>
      </c>
      <c r="AT54" s="759"/>
      <c r="BA54" s="2007" t="s">
        <v>1415</v>
      </c>
      <c r="BB54" s="160" t="str">
        <f>+BC54&amp;", "&amp;BD54&amp;", "&amp;BE54&amp;", "&amp;BF54&amp;", "&amp;BG54&amp;", "&amp;BI54&amp;", "&amp;BH54&amp;", "&amp;BJ54</f>
        <v>Structure, 115kV, H frame, Tangent, 80-99ft, Repl., Deenergized, Concrete Caisson Fnd</v>
      </c>
      <c r="BC54" s="9" t="s">
        <v>2164</v>
      </c>
      <c r="BD54" t="s">
        <v>2078</v>
      </c>
      <c r="BE54" s="9" t="s">
        <v>2084</v>
      </c>
      <c r="BF54" t="s">
        <v>2071</v>
      </c>
      <c r="BG54" t="s">
        <v>2161</v>
      </c>
      <c r="BH54" t="s">
        <v>2157</v>
      </c>
      <c r="BI54" t="s">
        <v>2165</v>
      </c>
      <c r="BJ54" t="s">
        <v>2158</v>
      </c>
      <c r="BM54" s="2010">
        <f>27000*1.25</f>
        <v>33750</v>
      </c>
    </row>
    <row r="55" spans="1:65" ht="30" x14ac:dyDescent="0.25">
      <c r="A55" s="784"/>
      <c r="B55" s="719">
        <f t="shared" si="24"/>
        <v>12</v>
      </c>
      <c r="C55" s="170" t="str">
        <f t="shared" si="16"/>
        <v>41Ea</v>
      </c>
      <c r="D55" s="557"/>
      <c r="E55" s="170"/>
      <c r="F55" s="170">
        <v>41</v>
      </c>
      <c r="G55" s="2007" t="s">
        <v>2262</v>
      </c>
      <c r="H55" s="1926">
        <f>+'Structure replacements'!$H$27+'Structure replacements'!$H$28</f>
        <v>0</v>
      </c>
      <c r="I55" s="2008" t="s">
        <v>1416</v>
      </c>
      <c r="J55" s="1926"/>
      <c r="K55" s="1926"/>
      <c r="L55" s="170"/>
      <c r="M55" s="2009">
        <f>ROUND(70*1.4,-1)</f>
        <v>100</v>
      </c>
      <c r="N55" s="2010">
        <v>1</v>
      </c>
      <c r="O55" s="773">
        <f t="shared" ref="O55" si="147">+M55*N55</f>
        <v>100</v>
      </c>
      <c r="P55" s="2008" t="s">
        <v>39</v>
      </c>
      <c r="Q55" s="2008" t="s">
        <v>604</v>
      </c>
      <c r="R55" s="2011" t="s">
        <v>74</v>
      </c>
      <c r="S55" s="778">
        <f>SUMIF('Data Input sheet'!$B$118:$B$180,R55,'Data Input sheet'!$D$118:$D$180)</f>
        <v>152</v>
      </c>
      <c r="T55" s="2010">
        <f t="shared" ref="T55" si="148">S55*O55</f>
        <v>15200</v>
      </c>
      <c r="U55" s="2010">
        <v>60</v>
      </c>
      <c r="V55" s="778">
        <f t="shared" ref="V55" si="149">ROUND(U55*O55,0)</f>
        <v>6000</v>
      </c>
      <c r="W55" s="2010">
        <f t="shared" si="106"/>
        <v>25800</v>
      </c>
      <c r="X55" s="779"/>
      <c r="Y55" s="2012"/>
      <c r="Z55" s="780">
        <f t="shared" ref="Z55" si="150">T55+V55+W55+Y55</f>
        <v>47000</v>
      </c>
      <c r="AA55" s="2007"/>
      <c r="AB55" s="2007"/>
      <c r="AC55" s="765"/>
      <c r="AD55" s="781">
        <f t="shared" ref="AD55" si="151">IF(P55="E",+ROUND(H55*O55,0),0)</f>
        <v>0</v>
      </c>
      <c r="AE55" s="781">
        <f t="shared" ref="AE55" si="152">+AF55-AD55</f>
        <v>0</v>
      </c>
      <c r="AF55" s="781">
        <f t="shared" ref="AF55" si="153">+H55*O55</f>
        <v>0</v>
      </c>
      <c r="AG55" s="781">
        <f t="shared" ref="AG55" si="154">IF(P55="E",+ROUND(T55*H55,0),0)</f>
        <v>0</v>
      </c>
      <c r="AH55" s="781">
        <f t="shared" ref="AH55" si="155">+AI55-AG55</f>
        <v>0</v>
      </c>
      <c r="AI55" s="782">
        <f t="shared" ref="AI55" si="156">+H55*T55</f>
        <v>0</v>
      </c>
      <c r="AJ55" s="781">
        <f t="shared" ref="AJ55" si="157">IF(P55="E",+ROUND(V55*H55,0),0)</f>
        <v>0</v>
      </c>
      <c r="AK55" s="781">
        <f t="shared" ref="AK55" si="158">+AL55-AJ55</f>
        <v>0</v>
      </c>
      <c r="AL55" s="781">
        <f t="shared" ref="AL55" si="159">ROUND(V55*H55,0)</f>
        <v>0</v>
      </c>
      <c r="AM55" s="781">
        <f t="shared" ref="AM55" si="160">IF(Q55="E",+ROUND(W55*H55,0),0)</f>
        <v>0</v>
      </c>
      <c r="AN55" s="781">
        <f t="shared" ref="AN55" si="161">+AO55-AM55</f>
        <v>0</v>
      </c>
      <c r="AO55" s="781">
        <f t="shared" ref="AO55" si="162">ROUND(W55*H55,0)</f>
        <v>0</v>
      </c>
      <c r="AP55" s="781">
        <f t="shared" ref="AP55" si="163">IF(P55="E",+ROUND(Y55*H55,0),0)</f>
        <v>0</v>
      </c>
      <c r="AQ55" s="781">
        <f t="shared" ref="AQ55" si="164">+AR55-AP55</f>
        <v>0</v>
      </c>
      <c r="AR55" s="781">
        <f t="shared" ref="AR55" si="165">ROUND(Y55*H55,0)</f>
        <v>0</v>
      </c>
      <c r="AS55" s="783">
        <f t="shared" ref="AS55" si="166">+AR55+AO55+AL55+AI55</f>
        <v>0</v>
      </c>
      <c r="AT55" s="759"/>
      <c r="BA55" s="2007" t="s">
        <v>1415</v>
      </c>
      <c r="BB55" s="160" t="str">
        <f>+BC55&amp;", "&amp;BD55&amp;", "&amp;BE55&amp;", "&amp;BF55&amp;", "&amp;BG55&amp;", "&amp;BI55&amp;", "&amp;BH55&amp;", "&amp;BJ55</f>
        <v>Structure, 115kV, H frame, Tangent, 80-99ft, Repl., Deenergized, Direct Embedment Fnd</v>
      </c>
      <c r="BC55" s="9" t="s">
        <v>2164</v>
      </c>
      <c r="BD55" t="s">
        <v>2078</v>
      </c>
      <c r="BE55" s="9" t="s">
        <v>2084</v>
      </c>
      <c r="BF55" t="s">
        <v>2071</v>
      </c>
      <c r="BG55" t="s">
        <v>2161</v>
      </c>
      <c r="BH55" t="s">
        <v>2157</v>
      </c>
      <c r="BI55" t="s">
        <v>2165</v>
      </c>
      <c r="BJ55" t="s">
        <v>2163</v>
      </c>
      <c r="BM55" s="2010">
        <f>16500*1.25</f>
        <v>20625</v>
      </c>
    </row>
    <row r="56" spans="1:65" ht="30" x14ac:dyDescent="0.25">
      <c r="A56" s="784"/>
      <c r="B56" s="719">
        <f>+B54+1</f>
        <v>12</v>
      </c>
      <c r="C56" s="170" t="str">
        <f t="shared" si="16"/>
        <v>41Ea</v>
      </c>
      <c r="D56" s="557"/>
      <c r="E56" s="170"/>
      <c r="F56" s="170">
        <v>41</v>
      </c>
      <c r="G56" s="2007" t="s">
        <v>2234</v>
      </c>
      <c r="H56" s="1926">
        <f>+'Structure replacements'!$H$29+'Structure replacements'!$H$30</f>
        <v>0</v>
      </c>
      <c r="I56" s="2008" t="s">
        <v>1416</v>
      </c>
      <c r="J56" s="1926"/>
      <c r="K56" s="1926"/>
      <c r="L56" s="170"/>
      <c r="M56" s="2009">
        <f>ROUND(153*1.4,-1)</f>
        <v>210</v>
      </c>
      <c r="N56" s="2010">
        <v>1</v>
      </c>
      <c r="O56" s="773">
        <f t="shared" si="25"/>
        <v>210</v>
      </c>
      <c r="P56" s="2008" t="s">
        <v>39</v>
      </c>
      <c r="Q56" s="2008" t="s">
        <v>604</v>
      </c>
      <c r="R56" s="2011" t="s">
        <v>74</v>
      </c>
      <c r="S56" s="778">
        <f>SUMIF('Data Input sheet'!$B$118:$B$180,R56,'Data Input sheet'!$D$118:$D$180)</f>
        <v>152</v>
      </c>
      <c r="T56" s="2010">
        <f t="shared" si="26"/>
        <v>31920</v>
      </c>
      <c r="U56" s="2010">
        <v>60</v>
      </c>
      <c r="V56" s="778">
        <f t="shared" si="27"/>
        <v>12600</v>
      </c>
      <c r="W56" s="2010">
        <f t="shared" si="106"/>
        <v>25800</v>
      </c>
      <c r="X56" s="779"/>
      <c r="Y56" s="2012"/>
      <c r="Z56" s="780">
        <f t="shared" si="28"/>
        <v>70320</v>
      </c>
      <c r="AA56" s="2007"/>
      <c r="AB56" s="2007"/>
      <c r="AC56" s="765"/>
      <c r="AD56" s="781">
        <f t="shared" si="29"/>
        <v>0</v>
      </c>
      <c r="AE56" s="781">
        <f t="shared" si="30"/>
        <v>0</v>
      </c>
      <c r="AF56" s="781">
        <f t="shared" si="31"/>
        <v>0</v>
      </c>
      <c r="AG56" s="781">
        <f t="shared" si="32"/>
        <v>0</v>
      </c>
      <c r="AH56" s="781">
        <f t="shared" si="33"/>
        <v>0</v>
      </c>
      <c r="AI56" s="782">
        <f t="shared" si="34"/>
        <v>0</v>
      </c>
      <c r="AJ56" s="781">
        <f t="shared" si="35"/>
        <v>0</v>
      </c>
      <c r="AK56" s="781">
        <f t="shared" si="36"/>
        <v>0</v>
      </c>
      <c r="AL56" s="781">
        <f t="shared" si="37"/>
        <v>0</v>
      </c>
      <c r="AM56" s="781">
        <f t="shared" si="38"/>
        <v>0</v>
      </c>
      <c r="AN56" s="781">
        <f t="shared" si="39"/>
        <v>0</v>
      </c>
      <c r="AO56" s="781">
        <f t="shared" si="40"/>
        <v>0</v>
      </c>
      <c r="AP56" s="781">
        <f t="shared" si="41"/>
        <v>0</v>
      </c>
      <c r="AQ56" s="781">
        <f t="shared" si="42"/>
        <v>0</v>
      </c>
      <c r="AR56" s="781">
        <f t="shared" si="43"/>
        <v>0</v>
      </c>
      <c r="AS56" s="783">
        <f t="shared" si="44"/>
        <v>0</v>
      </c>
      <c r="AT56" s="759"/>
      <c r="BA56" s="2007" t="s">
        <v>1371</v>
      </c>
      <c r="BB56" s="160" t="str">
        <f>+BC56&amp;", "&amp;BD56&amp;", "&amp;BE56&amp;", "&amp;BF56&amp;", "&amp;BG56&amp;", "&amp;BI56&amp;", "&amp;BH56&amp;", "&amp;BJ56</f>
        <v>Structure, 115kV, H frame, Tangent, 80-99ft, Repl., Live line, Direct Embedment Fnd</v>
      </c>
      <c r="BC56" s="9" t="s">
        <v>2164</v>
      </c>
      <c r="BD56" t="s">
        <v>2078</v>
      </c>
      <c r="BE56" s="9" t="s">
        <v>2084</v>
      </c>
      <c r="BF56" t="s">
        <v>2071</v>
      </c>
      <c r="BG56" t="s">
        <v>2161</v>
      </c>
      <c r="BH56" t="s">
        <v>2162</v>
      </c>
      <c r="BI56" t="s">
        <v>2165</v>
      </c>
      <c r="BJ56" t="s">
        <v>2163</v>
      </c>
      <c r="BM56" s="2010">
        <f>16500*1.25</f>
        <v>20625</v>
      </c>
    </row>
    <row r="57" spans="1:65" ht="15.75" x14ac:dyDescent="0.25">
      <c r="A57" s="784"/>
      <c r="B57" s="719"/>
      <c r="C57" s="170" t="str">
        <f t="shared" si="16"/>
        <v/>
      </c>
      <c r="D57" s="557"/>
      <c r="E57" s="170"/>
      <c r="F57" s="170"/>
      <c r="G57" s="2161" t="s">
        <v>2247</v>
      </c>
      <c r="H57" s="1926"/>
      <c r="I57" s="2008"/>
      <c r="J57" s="1926"/>
      <c r="K57" s="1926"/>
      <c r="L57" s="170"/>
      <c r="M57" s="2009">
        <v>0</v>
      </c>
      <c r="N57" s="2010">
        <v>1</v>
      </c>
      <c r="O57" s="773">
        <f t="shared" si="25"/>
        <v>0</v>
      </c>
      <c r="P57" s="2008" t="s">
        <v>39</v>
      </c>
      <c r="Q57" s="2008" t="s">
        <v>604</v>
      </c>
      <c r="R57" s="2011" t="s">
        <v>74</v>
      </c>
      <c r="S57" s="778">
        <f>SUMIF('Data Input sheet'!$B$118:$B$180,R57,'Data Input sheet'!$D$118:$D$180)</f>
        <v>152</v>
      </c>
      <c r="T57" s="2010">
        <f t="shared" si="26"/>
        <v>0</v>
      </c>
      <c r="U57" s="2010">
        <v>0</v>
      </c>
      <c r="V57" s="778">
        <f t="shared" si="27"/>
        <v>0</v>
      </c>
      <c r="W57" s="2010">
        <v>0</v>
      </c>
      <c r="X57" s="779"/>
      <c r="Y57" s="2012"/>
      <c r="Z57" s="780">
        <f t="shared" si="28"/>
        <v>0</v>
      </c>
      <c r="AA57" s="2007"/>
      <c r="AB57" s="2007"/>
      <c r="AC57" s="765"/>
      <c r="AD57" s="781">
        <f t="shared" si="29"/>
        <v>0</v>
      </c>
      <c r="AE57" s="781">
        <f t="shared" si="30"/>
        <v>0</v>
      </c>
      <c r="AF57" s="781">
        <f t="shared" si="31"/>
        <v>0</v>
      </c>
      <c r="AG57" s="781">
        <f t="shared" si="32"/>
        <v>0</v>
      </c>
      <c r="AH57" s="781">
        <f t="shared" si="33"/>
        <v>0</v>
      </c>
      <c r="AI57" s="782">
        <f t="shared" si="34"/>
        <v>0</v>
      </c>
      <c r="AJ57" s="781">
        <f t="shared" si="35"/>
        <v>0</v>
      </c>
      <c r="AK57" s="781">
        <f t="shared" si="36"/>
        <v>0</v>
      </c>
      <c r="AL57" s="781">
        <f t="shared" si="37"/>
        <v>0</v>
      </c>
      <c r="AM57" s="781">
        <f t="shared" si="38"/>
        <v>0</v>
      </c>
      <c r="AN57" s="781">
        <f t="shared" si="39"/>
        <v>0</v>
      </c>
      <c r="AO57" s="781">
        <f t="shared" si="40"/>
        <v>0</v>
      </c>
      <c r="AP57" s="781">
        <f t="shared" si="41"/>
        <v>0</v>
      </c>
      <c r="AQ57" s="781">
        <f t="shared" si="42"/>
        <v>0</v>
      </c>
      <c r="AR57" s="781">
        <f t="shared" si="43"/>
        <v>0</v>
      </c>
      <c r="AS57" s="783">
        <f t="shared" si="44"/>
        <v>0</v>
      </c>
      <c r="AT57" s="759"/>
      <c r="BA57" s="2007"/>
      <c r="BC57" s="9"/>
      <c r="BE57" s="9"/>
      <c r="BF57" s="9"/>
      <c r="BG57" s="9"/>
      <c r="BH57" s="9"/>
      <c r="BI57" s="9"/>
      <c r="BJ57" s="9"/>
      <c r="BM57" s="2010">
        <v>0</v>
      </c>
    </row>
    <row r="58" spans="1:65" ht="15" x14ac:dyDescent="0.25">
      <c r="A58" s="784"/>
      <c r="B58" s="719"/>
      <c r="C58" s="170" t="str">
        <f t="shared" si="16"/>
        <v/>
      </c>
      <c r="D58" s="557"/>
      <c r="E58" s="170"/>
      <c r="F58" s="170"/>
      <c r="G58" s="1620" t="s">
        <v>2073</v>
      </c>
      <c r="H58" s="1926"/>
      <c r="I58" s="2008"/>
      <c r="J58" s="1926"/>
      <c r="K58" s="1926"/>
      <c r="L58" s="170"/>
      <c r="M58" s="2009"/>
      <c r="N58" s="2010"/>
      <c r="O58" s="773"/>
      <c r="P58" s="2008"/>
      <c r="Q58" s="2008"/>
      <c r="R58" s="2011"/>
      <c r="S58" s="778"/>
      <c r="T58" s="2010"/>
      <c r="U58" s="2010"/>
      <c r="V58" s="778"/>
      <c r="W58" s="2010"/>
      <c r="X58" s="779"/>
      <c r="Y58" s="2012"/>
      <c r="Z58" s="780"/>
      <c r="AA58" s="2007"/>
      <c r="AB58" s="2007"/>
      <c r="AC58" s="765"/>
      <c r="AD58" s="781"/>
      <c r="AE58" s="781"/>
      <c r="AF58" s="781"/>
      <c r="AG58" s="781"/>
      <c r="AH58" s="781"/>
      <c r="AI58" s="782"/>
      <c r="AJ58" s="781"/>
      <c r="AK58" s="781"/>
      <c r="AL58" s="781"/>
      <c r="AM58" s="781"/>
      <c r="AN58" s="781"/>
      <c r="AO58" s="781"/>
      <c r="AP58" s="781"/>
      <c r="AQ58" s="781"/>
      <c r="AR58" s="781"/>
      <c r="AS58" s="783"/>
      <c r="AT58" s="759"/>
      <c r="BA58" s="2007"/>
      <c r="BC58" s="9"/>
      <c r="BE58" s="9"/>
      <c r="BF58" s="9"/>
      <c r="BG58" s="9"/>
      <c r="BH58" s="9"/>
      <c r="BI58" s="9"/>
      <c r="BJ58" s="9"/>
      <c r="BM58" s="2010"/>
    </row>
    <row r="59" spans="1:65" ht="45" x14ac:dyDescent="0.25">
      <c r="A59" s="784"/>
      <c r="B59" s="719">
        <f>+B37+1</f>
        <v>24</v>
      </c>
      <c r="C59" s="170" t="str">
        <f t="shared" si="16"/>
        <v>41Ea</v>
      </c>
      <c r="D59" s="557"/>
      <c r="E59" s="170"/>
      <c r="F59" s="170">
        <v>41</v>
      </c>
      <c r="G59" s="2007" t="s">
        <v>2191</v>
      </c>
      <c r="H59" s="1926">
        <v>0</v>
      </c>
      <c r="I59" s="2008" t="s">
        <v>1416</v>
      </c>
      <c r="J59" s="1926"/>
      <c r="K59" s="1926"/>
      <c r="L59" s="170"/>
      <c r="M59" s="2009">
        <v>110</v>
      </c>
      <c r="N59" s="2010">
        <v>1</v>
      </c>
      <c r="O59" s="773">
        <f t="shared" si="25"/>
        <v>110</v>
      </c>
      <c r="P59" s="2008" t="s">
        <v>39</v>
      </c>
      <c r="Q59" s="2008" t="s">
        <v>604</v>
      </c>
      <c r="R59" s="2011" t="s">
        <v>74</v>
      </c>
      <c r="S59" s="778">
        <f>SUMIF('Data Input sheet'!$B$118:$B$180,R59,'Data Input sheet'!$D$118:$D$180)</f>
        <v>152</v>
      </c>
      <c r="T59" s="2010">
        <f t="shared" si="26"/>
        <v>16720</v>
      </c>
      <c r="U59" s="2010">
        <v>78</v>
      </c>
      <c r="V59" s="778">
        <f t="shared" si="27"/>
        <v>8580</v>
      </c>
      <c r="W59" s="2010">
        <f t="shared" ref="W59:W78" si="167">ROUND(+BM59*(1+$BM$7),-2)</f>
        <v>62500</v>
      </c>
      <c r="X59" s="779"/>
      <c r="Y59" s="2012"/>
      <c r="Z59" s="780">
        <f t="shared" si="28"/>
        <v>87800</v>
      </c>
      <c r="AA59" s="2007"/>
      <c r="AB59" s="2007"/>
      <c r="AC59" s="765"/>
      <c r="AD59" s="781">
        <f t="shared" si="29"/>
        <v>0</v>
      </c>
      <c r="AE59" s="781">
        <f t="shared" si="30"/>
        <v>0</v>
      </c>
      <c r="AF59" s="781">
        <f t="shared" si="31"/>
        <v>0</v>
      </c>
      <c r="AG59" s="781">
        <f t="shared" si="32"/>
        <v>0</v>
      </c>
      <c r="AH59" s="781">
        <f t="shared" si="33"/>
        <v>0</v>
      </c>
      <c r="AI59" s="782">
        <f t="shared" si="34"/>
        <v>0</v>
      </c>
      <c r="AJ59" s="781">
        <f t="shared" si="35"/>
        <v>0</v>
      </c>
      <c r="AK59" s="781">
        <f t="shared" si="36"/>
        <v>0</v>
      </c>
      <c r="AL59" s="781">
        <f t="shared" si="37"/>
        <v>0</v>
      </c>
      <c r="AM59" s="781">
        <f t="shared" si="38"/>
        <v>0</v>
      </c>
      <c r="AN59" s="781">
        <f t="shared" si="39"/>
        <v>0</v>
      </c>
      <c r="AO59" s="781">
        <f t="shared" si="40"/>
        <v>0</v>
      </c>
      <c r="AP59" s="781">
        <f t="shared" si="41"/>
        <v>0</v>
      </c>
      <c r="AQ59" s="781">
        <f t="shared" si="42"/>
        <v>0</v>
      </c>
      <c r="AR59" s="781">
        <f t="shared" si="43"/>
        <v>0</v>
      </c>
      <c r="AS59" s="783">
        <f t="shared" si="44"/>
        <v>0</v>
      </c>
      <c r="AT59" s="759"/>
      <c r="BA59" s="2007" t="s">
        <v>1374</v>
      </c>
      <c r="BB59" s="160" t="str">
        <f t="shared" ref="BB59:BB64" si="168">+BC59&amp;", "&amp;BD59&amp;", "&amp;BE59&amp;", "&amp;BF59&amp;", "&amp;BG59&amp;", "&amp;BI59&amp;", "&amp;BH59&amp;", "&amp;BJ59</f>
        <v>Structure, 115kV, Monopole, Dead End, 120-139ft, New, Deenergized, Concrete Caisson Fnd</v>
      </c>
      <c r="BC59" s="9" t="s">
        <v>2164</v>
      </c>
      <c r="BD59" t="s">
        <v>2078</v>
      </c>
      <c r="BE59" t="s">
        <v>2211</v>
      </c>
      <c r="BF59" t="s">
        <v>2159</v>
      </c>
      <c r="BG59" t="s">
        <v>2154</v>
      </c>
      <c r="BH59" t="s">
        <v>2157</v>
      </c>
      <c r="BI59" t="s">
        <v>908</v>
      </c>
      <c r="BJ59" t="s">
        <v>2158</v>
      </c>
      <c r="BM59" s="2010">
        <v>50000</v>
      </c>
    </row>
    <row r="60" spans="1:65" ht="45" x14ac:dyDescent="0.25">
      <c r="A60" s="784"/>
      <c r="B60" s="719">
        <f t="shared" si="24"/>
        <v>25</v>
      </c>
      <c r="C60" s="170" t="str">
        <f t="shared" si="16"/>
        <v>41Ea</v>
      </c>
      <c r="D60" s="557"/>
      <c r="E60" s="170"/>
      <c r="F60" s="170">
        <v>41</v>
      </c>
      <c r="G60" s="2007" t="s">
        <v>2192</v>
      </c>
      <c r="H60" s="1926"/>
      <c r="I60" s="2008" t="s">
        <v>1416</v>
      </c>
      <c r="J60" s="1926"/>
      <c r="K60" s="1926"/>
      <c r="L60" s="170"/>
      <c r="M60" s="2009">
        <v>92</v>
      </c>
      <c r="N60" s="2010">
        <v>1</v>
      </c>
      <c r="O60" s="773">
        <f t="shared" si="25"/>
        <v>92</v>
      </c>
      <c r="P60" s="2008" t="s">
        <v>39</v>
      </c>
      <c r="Q60" s="2008" t="s">
        <v>604</v>
      </c>
      <c r="R60" s="2011" t="s">
        <v>74</v>
      </c>
      <c r="S60" s="778">
        <f>SUMIF('Data Input sheet'!$B$118:$B$180,R60,'Data Input sheet'!$D$118:$D$180)</f>
        <v>152</v>
      </c>
      <c r="T60" s="2010">
        <f t="shared" si="26"/>
        <v>13984</v>
      </c>
      <c r="U60" s="2010">
        <v>63</v>
      </c>
      <c r="V60" s="778">
        <f t="shared" si="27"/>
        <v>5796</v>
      </c>
      <c r="W60" s="2010">
        <f t="shared" si="167"/>
        <v>11300</v>
      </c>
      <c r="X60" s="779"/>
      <c r="Y60" s="2012"/>
      <c r="Z60" s="780">
        <f t="shared" si="28"/>
        <v>31080</v>
      </c>
      <c r="AA60" s="2007"/>
      <c r="AB60" s="2007"/>
      <c r="AC60" s="765"/>
      <c r="AD60" s="781">
        <f t="shared" si="29"/>
        <v>0</v>
      </c>
      <c r="AE60" s="781">
        <f t="shared" si="30"/>
        <v>0</v>
      </c>
      <c r="AF60" s="781">
        <f t="shared" si="31"/>
        <v>0</v>
      </c>
      <c r="AG60" s="781">
        <f t="shared" si="32"/>
        <v>0</v>
      </c>
      <c r="AH60" s="781">
        <f t="shared" si="33"/>
        <v>0</v>
      </c>
      <c r="AI60" s="782">
        <f t="shared" si="34"/>
        <v>0</v>
      </c>
      <c r="AJ60" s="781">
        <f t="shared" si="35"/>
        <v>0</v>
      </c>
      <c r="AK60" s="781">
        <f t="shared" si="36"/>
        <v>0</v>
      </c>
      <c r="AL60" s="781">
        <f t="shared" si="37"/>
        <v>0</v>
      </c>
      <c r="AM60" s="781">
        <f t="shared" si="38"/>
        <v>0</v>
      </c>
      <c r="AN60" s="781">
        <f t="shared" si="39"/>
        <v>0</v>
      </c>
      <c r="AO60" s="781">
        <f t="shared" si="40"/>
        <v>0</v>
      </c>
      <c r="AP60" s="781">
        <f t="shared" si="41"/>
        <v>0</v>
      </c>
      <c r="AQ60" s="781">
        <f t="shared" si="42"/>
        <v>0</v>
      </c>
      <c r="AR60" s="781">
        <f t="shared" si="43"/>
        <v>0</v>
      </c>
      <c r="AS60" s="783">
        <f t="shared" si="44"/>
        <v>0</v>
      </c>
      <c r="AT60" s="759"/>
      <c r="BA60" s="2007" t="s">
        <v>1379</v>
      </c>
      <c r="BB60" s="160" t="str">
        <f t="shared" si="168"/>
        <v>Structure, 115kV, Monopole, Dead End, 60-119ft, New, Deenergized, Direct Embedment Fnd</v>
      </c>
      <c r="BC60" s="9" t="s">
        <v>2164</v>
      </c>
      <c r="BD60" t="s">
        <v>2078</v>
      </c>
      <c r="BE60" t="s">
        <v>2211</v>
      </c>
      <c r="BF60" s="9" t="s">
        <v>2159</v>
      </c>
      <c r="BG60" s="9" t="s">
        <v>2155</v>
      </c>
      <c r="BH60" s="9" t="s">
        <v>2157</v>
      </c>
      <c r="BI60" s="9" t="s">
        <v>908</v>
      </c>
      <c r="BJ60" s="9" t="s">
        <v>2163</v>
      </c>
      <c r="BM60" s="2010">
        <v>9000</v>
      </c>
    </row>
    <row r="61" spans="1:65" ht="45" x14ac:dyDescent="0.25">
      <c r="A61" s="784"/>
      <c r="B61" s="719">
        <f t="shared" si="24"/>
        <v>26</v>
      </c>
      <c r="C61" s="170" t="str">
        <f t="shared" si="16"/>
        <v>41Ea</v>
      </c>
      <c r="D61" s="557"/>
      <c r="E61" s="170"/>
      <c r="F61" s="170">
        <v>41</v>
      </c>
      <c r="G61" s="2007" t="s">
        <v>2193</v>
      </c>
      <c r="H61" s="1926">
        <f>+'Structure replacements'!$J$17+'Structure replacements'!$J$18</f>
        <v>0</v>
      </c>
      <c r="I61" s="2008" t="s">
        <v>1416</v>
      </c>
      <c r="J61" s="1926"/>
      <c r="K61" s="1926"/>
      <c r="L61" s="170"/>
      <c r="M61" s="2009">
        <v>159</v>
      </c>
      <c r="N61" s="2010">
        <v>1</v>
      </c>
      <c r="O61" s="773">
        <f t="shared" ref="O61:O94" si="169">+M61*N61</f>
        <v>159</v>
      </c>
      <c r="P61" s="2008" t="s">
        <v>39</v>
      </c>
      <c r="Q61" s="2008" t="s">
        <v>604</v>
      </c>
      <c r="R61" s="2011" t="s">
        <v>74</v>
      </c>
      <c r="S61" s="778">
        <f>SUMIF('Data Input sheet'!$B$118:$B$180,R61,'Data Input sheet'!$D$118:$D$180)</f>
        <v>152</v>
      </c>
      <c r="T61" s="2010">
        <f t="shared" ref="T61:T94" si="170">S61*O61</f>
        <v>24168</v>
      </c>
      <c r="U61" s="2010">
        <v>60</v>
      </c>
      <c r="V61" s="778">
        <f t="shared" ref="V61:V94" si="171">ROUND(U61*O61,0)</f>
        <v>9540</v>
      </c>
      <c r="W61" s="2010">
        <f t="shared" si="167"/>
        <v>50000</v>
      </c>
      <c r="X61" s="779"/>
      <c r="Y61" s="2012"/>
      <c r="Z61" s="780">
        <f t="shared" ref="Z61:Z94" si="172">T61+V61+W61+Y61</f>
        <v>83708</v>
      </c>
      <c r="AA61" s="2007"/>
      <c r="AB61" s="2007"/>
      <c r="AC61" s="765"/>
      <c r="AD61" s="781">
        <f t="shared" ref="AD61:AD94" si="173">IF(P61="E",+ROUND(H61*O61,0),0)</f>
        <v>0</v>
      </c>
      <c r="AE61" s="781">
        <f t="shared" ref="AE61:AE94" si="174">+AF61-AD61</f>
        <v>0</v>
      </c>
      <c r="AF61" s="781">
        <f t="shared" ref="AF61:AF94" si="175">+H61*O61</f>
        <v>0</v>
      </c>
      <c r="AG61" s="781">
        <f t="shared" ref="AG61:AG94" si="176">IF(P61="E",+ROUND(T61*H61,0),0)</f>
        <v>0</v>
      </c>
      <c r="AH61" s="781">
        <f t="shared" ref="AH61:AH94" si="177">+AI61-AG61</f>
        <v>0</v>
      </c>
      <c r="AI61" s="782">
        <f t="shared" ref="AI61:AI94" si="178">+H61*T61</f>
        <v>0</v>
      </c>
      <c r="AJ61" s="781">
        <f t="shared" ref="AJ61:AJ94" si="179">IF(P61="E",+ROUND(V61*H61,0),0)</f>
        <v>0</v>
      </c>
      <c r="AK61" s="781">
        <f t="shared" ref="AK61:AK94" si="180">+AL61-AJ61</f>
        <v>0</v>
      </c>
      <c r="AL61" s="781">
        <f t="shared" ref="AL61:AL94" si="181">ROUND(V61*H61,0)</f>
        <v>0</v>
      </c>
      <c r="AM61" s="781">
        <f t="shared" ref="AM61:AM94" si="182">IF(Q61="E",+ROUND(W61*H61,0),0)</f>
        <v>0</v>
      </c>
      <c r="AN61" s="781">
        <f t="shared" ref="AN61:AN94" si="183">+AO61-AM61</f>
        <v>0</v>
      </c>
      <c r="AO61" s="781">
        <f t="shared" ref="AO61:AO94" si="184">ROUND(W61*H61,0)</f>
        <v>0</v>
      </c>
      <c r="AP61" s="781">
        <f t="shared" ref="AP61:AP94" si="185">IF(P61="E",+ROUND(Y61*H61,0),0)</f>
        <v>0</v>
      </c>
      <c r="AQ61" s="781">
        <f t="shared" ref="AQ61:AQ94" si="186">+AR61-AP61</f>
        <v>0</v>
      </c>
      <c r="AR61" s="781">
        <f t="shared" ref="AR61:AR94" si="187">ROUND(Y61*H61,0)</f>
        <v>0</v>
      </c>
      <c r="AS61" s="783">
        <f t="shared" ref="AS61:AS94" si="188">+AR61+AO61+AL61+AI61</f>
        <v>0</v>
      </c>
      <c r="AT61" s="759"/>
      <c r="BA61" s="2007" t="s">
        <v>1377</v>
      </c>
      <c r="BB61" s="160" t="str">
        <f t="shared" si="168"/>
        <v>Structure, 115kV, Monopole, Dead End, 60-119ft, Repl., Deenergized, Concrete Caisson Fnd</v>
      </c>
      <c r="BC61" s="9" t="s">
        <v>2164</v>
      </c>
      <c r="BD61" t="s">
        <v>2078</v>
      </c>
      <c r="BE61" t="s">
        <v>2211</v>
      </c>
      <c r="BF61" s="9" t="s">
        <v>2159</v>
      </c>
      <c r="BG61" s="9" t="s">
        <v>2155</v>
      </c>
      <c r="BH61" s="9" t="s">
        <v>2157</v>
      </c>
      <c r="BI61" s="9" t="s">
        <v>2165</v>
      </c>
      <c r="BJ61" s="9" t="s">
        <v>2158</v>
      </c>
      <c r="BM61" s="2010">
        <v>40000</v>
      </c>
    </row>
    <row r="62" spans="1:65" ht="45" x14ac:dyDescent="0.25">
      <c r="A62" s="784"/>
      <c r="B62" s="719">
        <f t="shared" si="24"/>
        <v>27</v>
      </c>
      <c r="C62" s="170" t="str">
        <f t="shared" si="16"/>
        <v>41Ea</v>
      </c>
      <c r="D62" s="557"/>
      <c r="E62" s="170"/>
      <c r="F62" s="170">
        <v>41</v>
      </c>
      <c r="G62" s="2007" t="s">
        <v>2194</v>
      </c>
      <c r="H62" s="1926"/>
      <c r="I62" s="2008" t="s">
        <v>1416</v>
      </c>
      <c r="J62" s="1926"/>
      <c r="K62" s="1926"/>
      <c r="L62" s="170"/>
      <c r="M62" s="2009">
        <v>140</v>
      </c>
      <c r="N62" s="2010">
        <v>1</v>
      </c>
      <c r="O62" s="773">
        <f t="shared" si="169"/>
        <v>140</v>
      </c>
      <c r="P62" s="2008" t="s">
        <v>39</v>
      </c>
      <c r="Q62" s="2008" t="s">
        <v>604</v>
      </c>
      <c r="R62" s="2011" t="s">
        <v>74</v>
      </c>
      <c r="S62" s="778">
        <f>SUMIF('Data Input sheet'!$B$118:$B$180,R62,'Data Input sheet'!$D$118:$D$180)</f>
        <v>152</v>
      </c>
      <c r="T62" s="2010">
        <f t="shared" si="170"/>
        <v>21280</v>
      </c>
      <c r="U62" s="2010">
        <v>60</v>
      </c>
      <c r="V62" s="778">
        <f t="shared" si="171"/>
        <v>8400</v>
      </c>
      <c r="W62" s="2010">
        <f t="shared" si="167"/>
        <v>11300</v>
      </c>
      <c r="X62" s="779"/>
      <c r="Y62" s="2012"/>
      <c r="Z62" s="780">
        <f t="shared" si="172"/>
        <v>40980</v>
      </c>
      <c r="AA62" s="2007"/>
      <c r="AB62" s="2007"/>
      <c r="AC62" s="765"/>
      <c r="AD62" s="781">
        <f t="shared" si="173"/>
        <v>0</v>
      </c>
      <c r="AE62" s="781">
        <f t="shared" si="174"/>
        <v>0</v>
      </c>
      <c r="AF62" s="781">
        <f t="shared" si="175"/>
        <v>0</v>
      </c>
      <c r="AG62" s="781">
        <f t="shared" si="176"/>
        <v>0</v>
      </c>
      <c r="AH62" s="781">
        <f t="shared" si="177"/>
        <v>0</v>
      </c>
      <c r="AI62" s="782">
        <f t="shared" si="178"/>
        <v>0</v>
      </c>
      <c r="AJ62" s="781">
        <f t="shared" si="179"/>
        <v>0</v>
      </c>
      <c r="AK62" s="781">
        <f t="shared" si="180"/>
        <v>0</v>
      </c>
      <c r="AL62" s="781">
        <f t="shared" si="181"/>
        <v>0</v>
      </c>
      <c r="AM62" s="781">
        <f t="shared" si="182"/>
        <v>0</v>
      </c>
      <c r="AN62" s="781">
        <f t="shared" si="183"/>
        <v>0</v>
      </c>
      <c r="AO62" s="781">
        <f t="shared" si="184"/>
        <v>0</v>
      </c>
      <c r="AP62" s="781">
        <f t="shared" si="185"/>
        <v>0</v>
      </c>
      <c r="AQ62" s="781">
        <f t="shared" si="186"/>
        <v>0</v>
      </c>
      <c r="AR62" s="781">
        <f t="shared" si="187"/>
        <v>0</v>
      </c>
      <c r="AS62" s="783">
        <f t="shared" si="188"/>
        <v>0</v>
      </c>
      <c r="AT62" s="759"/>
      <c r="BA62" s="2007" t="s">
        <v>1372</v>
      </c>
      <c r="BB62" s="160" t="str">
        <f t="shared" si="168"/>
        <v>Structure, 115kV, Monopole, Dead End, 60-119ft, Repl., Deenergized, Direct Embedment Fnd</v>
      </c>
      <c r="BC62" s="9" t="s">
        <v>2164</v>
      </c>
      <c r="BD62" t="s">
        <v>2078</v>
      </c>
      <c r="BE62" t="s">
        <v>2211</v>
      </c>
      <c r="BF62" s="9" t="s">
        <v>2159</v>
      </c>
      <c r="BG62" s="9" t="s">
        <v>2155</v>
      </c>
      <c r="BH62" s="9" t="s">
        <v>2157</v>
      </c>
      <c r="BI62" s="9" t="s">
        <v>2165</v>
      </c>
      <c r="BJ62" s="9" t="s">
        <v>2163</v>
      </c>
      <c r="BM62" s="2010">
        <v>9000</v>
      </c>
    </row>
    <row r="63" spans="1:65" ht="30" x14ac:dyDescent="0.25">
      <c r="A63" s="784"/>
      <c r="B63" s="719">
        <f t="shared" si="24"/>
        <v>28</v>
      </c>
      <c r="C63" s="170" t="str">
        <f t="shared" si="16"/>
        <v>41Ea</v>
      </c>
      <c r="D63" s="557"/>
      <c r="E63" s="170"/>
      <c r="F63" s="170">
        <v>41</v>
      </c>
      <c r="G63" s="2007" t="s">
        <v>2195</v>
      </c>
      <c r="H63" s="1926">
        <f>+'Structure replacements'!$J$19+'Structure replacements'!$J$20</f>
        <v>0</v>
      </c>
      <c r="I63" s="2008" t="s">
        <v>1416</v>
      </c>
      <c r="J63" s="1926"/>
      <c r="K63" s="1926"/>
      <c r="L63" s="170"/>
      <c r="M63" s="2009">
        <v>186</v>
      </c>
      <c r="N63" s="2010">
        <v>1</v>
      </c>
      <c r="O63" s="773">
        <f t="shared" si="169"/>
        <v>186</v>
      </c>
      <c r="P63" s="2008" t="s">
        <v>39</v>
      </c>
      <c r="Q63" s="2008" t="s">
        <v>604</v>
      </c>
      <c r="R63" s="2011" t="s">
        <v>74</v>
      </c>
      <c r="S63" s="778">
        <f>SUMIF('Data Input sheet'!$B$118:$B$180,R63,'Data Input sheet'!$D$118:$D$180)</f>
        <v>152</v>
      </c>
      <c r="T63" s="2010">
        <f t="shared" si="170"/>
        <v>28272</v>
      </c>
      <c r="U63" s="2010">
        <v>65</v>
      </c>
      <c r="V63" s="778">
        <f t="shared" si="171"/>
        <v>12090</v>
      </c>
      <c r="W63" s="2010">
        <f t="shared" si="167"/>
        <v>50000</v>
      </c>
      <c r="X63" s="779"/>
      <c r="Y63" s="2012"/>
      <c r="Z63" s="780">
        <f t="shared" si="172"/>
        <v>90362</v>
      </c>
      <c r="AA63" s="2007"/>
      <c r="AB63" s="2007"/>
      <c r="AC63" s="765"/>
      <c r="AD63" s="781">
        <f t="shared" si="173"/>
        <v>0</v>
      </c>
      <c r="AE63" s="781">
        <f t="shared" si="174"/>
        <v>0</v>
      </c>
      <c r="AF63" s="781">
        <f t="shared" si="175"/>
        <v>0</v>
      </c>
      <c r="AG63" s="781">
        <f t="shared" si="176"/>
        <v>0</v>
      </c>
      <c r="AH63" s="781">
        <f t="shared" si="177"/>
        <v>0</v>
      </c>
      <c r="AI63" s="782">
        <f t="shared" si="178"/>
        <v>0</v>
      </c>
      <c r="AJ63" s="781">
        <f t="shared" si="179"/>
        <v>0</v>
      </c>
      <c r="AK63" s="781">
        <f t="shared" si="180"/>
        <v>0</v>
      </c>
      <c r="AL63" s="781">
        <f t="shared" si="181"/>
        <v>0</v>
      </c>
      <c r="AM63" s="781">
        <f t="shared" si="182"/>
        <v>0</v>
      </c>
      <c r="AN63" s="781">
        <f t="shared" si="183"/>
        <v>0</v>
      </c>
      <c r="AO63" s="781">
        <f t="shared" si="184"/>
        <v>0</v>
      </c>
      <c r="AP63" s="781">
        <f t="shared" si="185"/>
        <v>0</v>
      </c>
      <c r="AQ63" s="781">
        <f t="shared" si="186"/>
        <v>0</v>
      </c>
      <c r="AR63" s="781">
        <f t="shared" si="187"/>
        <v>0</v>
      </c>
      <c r="AS63" s="783">
        <f t="shared" si="188"/>
        <v>0</v>
      </c>
      <c r="AT63" s="759"/>
      <c r="BA63" s="2007" t="s">
        <v>1378</v>
      </c>
      <c r="BB63" s="160" t="str">
        <f t="shared" si="168"/>
        <v>Structure, 115kV, Monopole, Dead End, 60-119ft, Repl., Live line, Concrete Caisson Fnd</v>
      </c>
      <c r="BC63" s="9" t="s">
        <v>2164</v>
      </c>
      <c r="BD63" t="s">
        <v>2078</v>
      </c>
      <c r="BE63" t="s">
        <v>2211</v>
      </c>
      <c r="BF63" s="9" t="s">
        <v>2159</v>
      </c>
      <c r="BG63" s="9" t="s">
        <v>2155</v>
      </c>
      <c r="BH63" s="9" t="s">
        <v>2162</v>
      </c>
      <c r="BI63" s="9" t="s">
        <v>2165</v>
      </c>
      <c r="BJ63" s="9" t="s">
        <v>2158</v>
      </c>
      <c r="BM63" s="2010">
        <v>40000</v>
      </c>
    </row>
    <row r="64" spans="1:65" ht="45" x14ac:dyDescent="0.25">
      <c r="A64" s="784"/>
      <c r="B64" s="719">
        <f t="shared" si="24"/>
        <v>29</v>
      </c>
      <c r="C64" s="170" t="str">
        <f t="shared" si="16"/>
        <v>41Ea</v>
      </c>
      <c r="D64" s="557"/>
      <c r="E64" s="170"/>
      <c r="F64" s="170">
        <v>41</v>
      </c>
      <c r="G64" s="2007" t="s">
        <v>2196</v>
      </c>
      <c r="H64" s="1926"/>
      <c r="I64" s="2008" t="s">
        <v>1416</v>
      </c>
      <c r="J64" s="1926"/>
      <c r="K64" s="1926"/>
      <c r="L64" s="170"/>
      <c r="M64" s="2009">
        <v>159</v>
      </c>
      <c r="N64" s="2010">
        <v>1</v>
      </c>
      <c r="O64" s="773">
        <f t="shared" si="169"/>
        <v>159</v>
      </c>
      <c r="P64" s="2008" t="s">
        <v>39</v>
      </c>
      <c r="Q64" s="2008" t="s">
        <v>604</v>
      </c>
      <c r="R64" s="2011" t="s">
        <v>74</v>
      </c>
      <c r="S64" s="778">
        <f>SUMIF('Data Input sheet'!$B$118:$B$180,R64,'Data Input sheet'!$D$118:$D$180)</f>
        <v>152</v>
      </c>
      <c r="T64" s="2010">
        <f t="shared" si="170"/>
        <v>24168</v>
      </c>
      <c r="U64" s="2010">
        <v>60</v>
      </c>
      <c r="V64" s="778">
        <f t="shared" si="171"/>
        <v>9540</v>
      </c>
      <c r="W64" s="2010">
        <f t="shared" si="167"/>
        <v>11300</v>
      </c>
      <c r="X64" s="779"/>
      <c r="Y64" s="2012"/>
      <c r="Z64" s="780">
        <f t="shared" si="172"/>
        <v>45008</v>
      </c>
      <c r="AA64" s="2007"/>
      <c r="AB64" s="2007"/>
      <c r="AC64" s="765"/>
      <c r="AD64" s="781">
        <f t="shared" si="173"/>
        <v>0</v>
      </c>
      <c r="AE64" s="781">
        <f t="shared" si="174"/>
        <v>0</v>
      </c>
      <c r="AF64" s="781">
        <f t="shared" si="175"/>
        <v>0</v>
      </c>
      <c r="AG64" s="781">
        <f t="shared" si="176"/>
        <v>0</v>
      </c>
      <c r="AH64" s="781">
        <f t="shared" si="177"/>
        <v>0</v>
      </c>
      <c r="AI64" s="782">
        <f t="shared" si="178"/>
        <v>0</v>
      </c>
      <c r="AJ64" s="781">
        <f t="shared" si="179"/>
        <v>0</v>
      </c>
      <c r="AK64" s="781">
        <f t="shared" si="180"/>
        <v>0</v>
      </c>
      <c r="AL64" s="781">
        <f t="shared" si="181"/>
        <v>0</v>
      </c>
      <c r="AM64" s="781">
        <f t="shared" si="182"/>
        <v>0</v>
      </c>
      <c r="AN64" s="781">
        <f t="shared" si="183"/>
        <v>0</v>
      </c>
      <c r="AO64" s="781">
        <f t="shared" si="184"/>
        <v>0</v>
      </c>
      <c r="AP64" s="781">
        <f t="shared" si="185"/>
        <v>0</v>
      </c>
      <c r="AQ64" s="781">
        <f t="shared" si="186"/>
        <v>0</v>
      </c>
      <c r="AR64" s="781">
        <f t="shared" si="187"/>
        <v>0</v>
      </c>
      <c r="AS64" s="783">
        <f t="shared" si="188"/>
        <v>0</v>
      </c>
      <c r="AT64" s="759"/>
      <c r="BA64" s="2007" t="s">
        <v>1373</v>
      </c>
      <c r="BB64" s="160" t="str">
        <f t="shared" si="168"/>
        <v>Structure, 115kV, Monopole, Dead End, 60-119ft, Repl., Live line, Direct Embedment Fnd</v>
      </c>
      <c r="BC64" s="9" t="s">
        <v>2164</v>
      </c>
      <c r="BD64" t="s">
        <v>2078</v>
      </c>
      <c r="BE64" t="s">
        <v>2211</v>
      </c>
      <c r="BF64" s="9" t="s">
        <v>2159</v>
      </c>
      <c r="BG64" s="9" t="s">
        <v>2155</v>
      </c>
      <c r="BH64" s="9" t="s">
        <v>2162</v>
      </c>
      <c r="BI64" s="9" t="s">
        <v>2165</v>
      </c>
      <c r="BJ64" s="9" t="s">
        <v>2163</v>
      </c>
      <c r="BM64" s="2010">
        <v>9000</v>
      </c>
    </row>
    <row r="65" spans="1:65" ht="15" x14ac:dyDescent="0.25">
      <c r="A65" s="784"/>
      <c r="B65" s="719"/>
      <c r="C65" s="170" t="str">
        <f t="shared" si="16"/>
        <v>Ea</v>
      </c>
      <c r="D65" s="557"/>
      <c r="E65" s="170"/>
      <c r="F65" s="170"/>
      <c r="G65" s="1620" t="s">
        <v>2263</v>
      </c>
      <c r="H65" s="1926"/>
      <c r="I65" s="2008" t="s">
        <v>1416</v>
      </c>
      <c r="J65" s="1926"/>
      <c r="K65" s="1926"/>
      <c r="L65" s="170"/>
      <c r="M65" s="2009">
        <v>0</v>
      </c>
      <c r="N65" s="2010">
        <v>1</v>
      </c>
      <c r="O65" s="773">
        <f t="shared" si="169"/>
        <v>0</v>
      </c>
      <c r="P65" s="2008" t="s">
        <v>39</v>
      </c>
      <c r="Q65" s="2008" t="s">
        <v>604</v>
      </c>
      <c r="R65" s="2011" t="s">
        <v>74</v>
      </c>
      <c r="S65" s="778">
        <f>SUMIF('Data Input sheet'!$B$118:$B$180,R65,'Data Input sheet'!$D$118:$D$180)</f>
        <v>152</v>
      </c>
      <c r="T65" s="2010">
        <f t="shared" si="170"/>
        <v>0</v>
      </c>
      <c r="U65" s="2010">
        <v>0</v>
      </c>
      <c r="V65" s="778">
        <f t="shared" si="171"/>
        <v>0</v>
      </c>
      <c r="W65" s="2010">
        <v>0</v>
      </c>
      <c r="X65" s="779"/>
      <c r="Y65" s="2012"/>
      <c r="Z65" s="780">
        <f t="shared" si="172"/>
        <v>0</v>
      </c>
      <c r="AA65" s="2007"/>
      <c r="AB65" s="2007"/>
      <c r="AC65" s="765"/>
      <c r="AD65" s="781">
        <f t="shared" si="173"/>
        <v>0</v>
      </c>
      <c r="AE65" s="781">
        <f t="shared" si="174"/>
        <v>0</v>
      </c>
      <c r="AF65" s="781">
        <f t="shared" si="175"/>
        <v>0</v>
      </c>
      <c r="AG65" s="781">
        <f t="shared" si="176"/>
        <v>0</v>
      </c>
      <c r="AH65" s="781">
        <f t="shared" si="177"/>
        <v>0</v>
      </c>
      <c r="AI65" s="782">
        <f t="shared" si="178"/>
        <v>0</v>
      </c>
      <c r="AJ65" s="781">
        <f t="shared" si="179"/>
        <v>0</v>
      </c>
      <c r="AK65" s="781">
        <f t="shared" si="180"/>
        <v>0</v>
      </c>
      <c r="AL65" s="781">
        <f t="shared" si="181"/>
        <v>0</v>
      </c>
      <c r="AM65" s="781">
        <f t="shared" si="182"/>
        <v>0</v>
      </c>
      <c r="AN65" s="781">
        <f t="shared" si="183"/>
        <v>0</v>
      </c>
      <c r="AO65" s="781">
        <f t="shared" si="184"/>
        <v>0</v>
      </c>
      <c r="AP65" s="781">
        <f t="shared" si="185"/>
        <v>0</v>
      </c>
      <c r="AQ65" s="781">
        <f t="shared" si="186"/>
        <v>0</v>
      </c>
      <c r="AR65" s="781">
        <f t="shared" si="187"/>
        <v>0</v>
      </c>
      <c r="AS65" s="783">
        <f t="shared" si="188"/>
        <v>0</v>
      </c>
      <c r="AT65" s="759"/>
      <c r="BA65" s="2007"/>
      <c r="BC65" s="9"/>
      <c r="BE65" s="9"/>
      <c r="BF65" s="9"/>
      <c r="BG65" s="9"/>
      <c r="BH65" s="9"/>
      <c r="BI65" s="9"/>
      <c r="BJ65" s="9"/>
      <c r="BM65" s="2010">
        <v>0</v>
      </c>
    </row>
    <row r="66" spans="1:65" ht="45" x14ac:dyDescent="0.25">
      <c r="A66" s="784"/>
      <c r="B66" s="719">
        <f>+B64+1</f>
        <v>30</v>
      </c>
      <c r="C66" s="170" t="str">
        <f t="shared" si="16"/>
        <v>41Ea</v>
      </c>
      <c r="D66" s="557"/>
      <c r="E66" s="170"/>
      <c r="F66" s="170">
        <v>41</v>
      </c>
      <c r="G66" s="2007" t="s">
        <v>2197</v>
      </c>
      <c r="H66" s="1926"/>
      <c r="I66" s="2008" t="s">
        <v>1416</v>
      </c>
      <c r="J66" s="1926"/>
      <c r="K66" s="1926"/>
      <c r="L66" s="170"/>
      <c r="M66" s="2009">
        <v>97</v>
      </c>
      <c r="N66" s="2010">
        <v>1</v>
      </c>
      <c r="O66" s="773">
        <f t="shared" si="169"/>
        <v>97</v>
      </c>
      <c r="P66" s="2008" t="s">
        <v>39</v>
      </c>
      <c r="Q66" s="2008" t="s">
        <v>604</v>
      </c>
      <c r="R66" s="2011" t="s">
        <v>74</v>
      </c>
      <c r="S66" s="778">
        <f>SUMIF('Data Input sheet'!$B$118:$B$180,R66,'Data Input sheet'!$D$118:$D$180)</f>
        <v>152</v>
      </c>
      <c r="T66" s="2010">
        <f t="shared" si="170"/>
        <v>14744</v>
      </c>
      <c r="U66" s="2010">
        <v>71</v>
      </c>
      <c r="V66" s="778">
        <f t="shared" si="171"/>
        <v>6887</v>
      </c>
      <c r="W66" s="2010">
        <f t="shared" si="167"/>
        <v>56300</v>
      </c>
      <c r="X66" s="779"/>
      <c r="Y66" s="2012"/>
      <c r="Z66" s="780">
        <f t="shared" si="172"/>
        <v>77931</v>
      </c>
      <c r="AA66" s="2007"/>
      <c r="AB66" s="2007"/>
      <c r="AC66" s="765"/>
      <c r="AD66" s="781">
        <f t="shared" si="173"/>
        <v>0</v>
      </c>
      <c r="AE66" s="781">
        <f t="shared" si="174"/>
        <v>0</v>
      </c>
      <c r="AF66" s="781">
        <f t="shared" si="175"/>
        <v>0</v>
      </c>
      <c r="AG66" s="781">
        <f t="shared" si="176"/>
        <v>0</v>
      </c>
      <c r="AH66" s="781">
        <f t="shared" si="177"/>
        <v>0</v>
      </c>
      <c r="AI66" s="782">
        <f t="shared" si="178"/>
        <v>0</v>
      </c>
      <c r="AJ66" s="781">
        <f t="shared" si="179"/>
        <v>0</v>
      </c>
      <c r="AK66" s="781">
        <f t="shared" si="180"/>
        <v>0</v>
      </c>
      <c r="AL66" s="781">
        <f t="shared" si="181"/>
        <v>0</v>
      </c>
      <c r="AM66" s="781">
        <f t="shared" si="182"/>
        <v>0</v>
      </c>
      <c r="AN66" s="781">
        <f t="shared" si="183"/>
        <v>0</v>
      </c>
      <c r="AO66" s="781">
        <f t="shared" si="184"/>
        <v>0</v>
      </c>
      <c r="AP66" s="781">
        <f t="shared" si="185"/>
        <v>0</v>
      </c>
      <c r="AQ66" s="781">
        <f t="shared" si="186"/>
        <v>0</v>
      </c>
      <c r="AR66" s="781">
        <f t="shared" si="187"/>
        <v>0</v>
      </c>
      <c r="AS66" s="783">
        <f t="shared" si="188"/>
        <v>0</v>
      </c>
      <c r="AT66" s="759"/>
      <c r="BA66" s="2007" t="s">
        <v>1375</v>
      </c>
      <c r="BB66" s="160" t="str">
        <f t="shared" ref="BB66:BB71" si="189">+BC66&amp;", "&amp;BD66&amp;", "&amp;BE66&amp;", "&amp;BF66&amp;", "&amp;BG66&amp;", "&amp;BI66&amp;", "&amp;BH66&amp;", "&amp;BJ66</f>
        <v>Structure, 115kV, Monopole, Running angle, 120-139ft, New, Deenergized, Concrete Caisson Fnd</v>
      </c>
      <c r="BC66" s="9" t="s">
        <v>2164</v>
      </c>
      <c r="BD66" t="s">
        <v>2078</v>
      </c>
      <c r="BE66" t="s">
        <v>2211</v>
      </c>
      <c r="BF66" t="s">
        <v>2156</v>
      </c>
      <c r="BG66" t="s">
        <v>2154</v>
      </c>
      <c r="BH66" s="9" t="s">
        <v>2157</v>
      </c>
      <c r="BI66" s="9" t="s">
        <v>908</v>
      </c>
      <c r="BJ66" s="9" t="s">
        <v>2158</v>
      </c>
      <c r="BM66" s="2010">
        <v>45000</v>
      </c>
    </row>
    <row r="67" spans="1:65" ht="45" x14ac:dyDescent="0.25">
      <c r="A67" s="784"/>
      <c r="B67" s="719">
        <f t="shared" si="24"/>
        <v>31</v>
      </c>
      <c r="C67" s="170" t="str">
        <f t="shared" si="16"/>
        <v>41Ea</v>
      </c>
      <c r="D67" s="557"/>
      <c r="E67" s="170"/>
      <c r="F67" s="170">
        <v>41</v>
      </c>
      <c r="G67" s="2007" t="s">
        <v>2198</v>
      </c>
      <c r="H67" s="1926">
        <v>0</v>
      </c>
      <c r="I67" s="2008" t="s">
        <v>1416</v>
      </c>
      <c r="J67" s="1926"/>
      <c r="K67" s="1926"/>
      <c r="L67" s="170"/>
      <c r="M67" s="2009">
        <v>86</v>
      </c>
      <c r="N67" s="2010">
        <v>1</v>
      </c>
      <c r="O67" s="773">
        <f t="shared" si="169"/>
        <v>86</v>
      </c>
      <c r="P67" s="2008" t="s">
        <v>39</v>
      </c>
      <c r="Q67" s="2008" t="s">
        <v>604</v>
      </c>
      <c r="R67" s="2011" t="s">
        <v>74</v>
      </c>
      <c r="S67" s="778">
        <f>SUMIF('Data Input sheet'!$B$118:$B$180,R67,'Data Input sheet'!$D$118:$D$180)</f>
        <v>152</v>
      </c>
      <c r="T67" s="2010">
        <f t="shared" si="170"/>
        <v>13072</v>
      </c>
      <c r="U67" s="2010">
        <v>60</v>
      </c>
      <c r="V67" s="778">
        <f t="shared" si="171"/>
        <v>5160</v>
      </c>
      <c r="W67" s="2010">
        <f t="shared" si="167"/>
        <v>11600</v>
      </c>
      <c r="X67" s="779"/>
      <c r="Y67" s="2012"/>
      <c r="Z67" s="780">
        <f t="shared" si="172"/>
        <v>29832</v>
      </c>
      <c r="AA67" s="2007"/>
      <c r="AB67" s="2007"/>
      <c r="AC67" s="765"/>
      <c r="AD67" s="781">
        <f t="shared" si="173"/>
        <v>0</v>
      </c>
      <c r="AE67" s="781">
        <f t="shared" si="174"/>
        <v>0</v>
      </c>
      <c r="AF67" s="781">
        <f t="shared" si="175"/>
        <v>0</v>
      </c>
      <c r="AG67" s="781">
        <f t="shared" si="176"/>
        <v>0</v>
      </c>
      <c r="AH67" s="781">
        <f t="shared" si="177"/>
        <v>0</v>
      </c>
      <c r="AI67" s="782">
        <f t="shared" si="178"/>
        <v>0</v>
      </c>
      <c r="AJ67" s="781">
        <f t="shared" si="179"/>
        <v>0</v>
      </c>
      <c r="AK67" s="781">
        <f t="shared" si="180"/>
        <v>0</v>
      </c>
      <c r="AL67" s="781">
        <f t="shared" si="181"/>
        <v>0</v>
      </c>
      <c r="AM67" s="781">
        <f t="shared" si="182"/>
        <v>0</v>
      </c>
      <c r="AN67" s="781">
        <f t="shared" si="183"/>
        <v>0</v>
      </c>
      <c r="AO67" s="781">
        <f t="shared" si="184"/>
        <v>0</v>
      </c>
      <c r="AP67" s="781">
        <f t="shared" si="185"/>
        <v>0</v>
      </c>
      <c r="AQ67" s="781">
        <f t="shared" si="186"/>
        <v>0</v>
      </c>
      <c r="AR67" s="781">
        <f t="shared" si="187"/>
        <v>0</v>
      </c>
      <c r="AS67" s="783">
        <f t="shared" si="188"/>
        <v>0</v>
      </c>
      <c r="AT67" s="759"/>
      <c r="BA67" s="2007" t="s">
        <v>1387</v>
      </c>
      <c r="BB67" s="160" t="str">
        <f t="shared" si="189"/>
        <v>Structure, 115kV, Monopole, Running Angle, 60-119ft, New, Deenergized, Direct Embedment Fnd</v>
      </c>
      <c r="BC67" s="9" t="s">
        <v>2164</v>
      </c>
      <c r="BD67" t="s">
        <v>2078</v>
      </c>
      <c r="BE67" t="s">
        <v>2211</v>
      </c>
      <c r="BF67" s="9" t="s">
        <v>2160</v>
      </c>
      <c r="BG67" s="9" t="s">
        <v>2155</v>
      </c>
      <c r="BH67" s="9" t="s">
        <v>2157</v>
      </c>
      <c r="BI67" s="9" t="s">
        <v>908</v>
      </c>
      <c r="BJ67" s="9" t="s">
        <v>2163</v>
      </c>
      <c r="BM67" s="2010">
        <v>9300</v>
      </c>
    </row>
    <row r="68" spans="1:65" ht="45" x14ac:dyDescent="0.25">
      <c r="A68" s="784"/>
      <c r="B68" s="719">
        <f t="shared" si="24"/>
        <v>32</v>
      </c>
      <c r="C68" s="170" t="str">
        <f t="shared" si="16"/>
        <v>41Ea</v>
      </c>
      <c r="D68" s="557"/>
      <c r="E68" s="170"/>
      <c r="F68" s="170">
        <v>41</v>
      </c>
      <c r="G68" s="2007" t="s">
        <v>2199</v>
      </c>
      <c r="H68" s="1926">
        <f>+'Structure replacements'!$I$17+'Structure replacements'!$I$18</f>
        <v>0</v>
      </c>
      <c r="I68" s="2008" t="s">
        <v>1416</v>
      </c>
      <c r="J68" s="1926"/>
      <c r="K68" s="1926"/>
      <c r="L68" s="170"/>
      <c r="M68" s="2009">
        <v>115</v>
      </c>
      <c r="N68" s="2010">
        <v>1</v>
      </c>
      <c r="O68" s="773">
        <f t="shared" si="169"/>
        <v>115</v>
      </c>
      <c r="P68" s="2008" t="s">
        <v>39</v>
      </c>
      <c r="Q68" s="2008" t="s">
        <v>604</v>
      </c>
      <c r="R68" s="2011" t="s">
        <v>74</v>
      </c>
      <c r="S68" s="778">
        <f>SUMIF('Data Input sheet'!$B$118:$B$180,R68,'Data Input sheet'!$D$118:$D$180)</f>
        <v>152</v>
      </c>
      <c r="T68" s="2010">
        <f t="shared" si="170"/>
        <v>17480</v>
      </c>
      <c r="U68" s="2010">
        <v>60</v>
      </c>
      <c r="V68" s="778">
        <f t="shared" si="171"/>
        <v>6900</v>
      </c>
      <c r="W68" s="2010">
        <f t="shared" si="167"/>
        <v>57500</v>
      </c>
      <c r="X68" s="779"/>
      <c r="Y68" s="2012"/>
      <c r="Z68" s="780">
        <f t="shared" si="172"/>
        <v>81880</v>
      </c>
      <c r="AA68" s="2007"/>
      <c r="AB68" s="2007"/>
      <c r="AC68" s="765"/>
      <c r="AD68" s="781">
        <f t="shared" si="173"/>
        <v>0</v>
      </c>
      <c r="AE68" s="781">
        <f t="shared" si="174"/>
        <v>0</v>
      </c>
      <c r="AF68" s="781">
        <f t="shared" si="175"/>
        <v>0</v>
      </c>
      <c r="AG68" s="781">
        <f t="shared" si="176"/>
        <v>0</v>
      </c>
      <c r="AH68" s="781">
        <f t="shared" si="177"/>
        <v>0</v>
      </c>
      <c r="AI68" s="782">
        <f t="shared" si="178"/>
        <v>0</v>
      </c>
      <c r="AJ68" s="781">
        <f t="shared" si="179"/>
        <v>0</v>
      </c>
      <c r="AK68" s="781">
        <f t="shared" si="180"/>
        <v>0</v>
      </c>
      <c r="AL68" s="781">
        <f t="shared" si="181"/>
        <v>0</v>
      </c>
      <c r="AM68" s="781">
        <f t="shared" si="182"/>
        <v>0</v>
      </c>
      <c r="AN68" s="781">
        <f t="shared" si="183"/>
        <v>0</v>
      </c>
      <c r="AO68" s="781">
        <f t="shared" si="184"/>
        <v>0</v>
      </c>
      <c r="AP68" s="781">
        <f t="shared" si="185"/>
        <v>0</v>
      </c>
      <c r="AQ68" s="781">
        <f t="shared" si="186"/>
        <v>0</v>
      </c>
      <c r="AR68" s="781">
        <f t="shared" si="187"/>
        <v>0</v>
      </c>
      <c r="AS68" s="783">
        <f t="shared" si="188"/>
        <v>0</v>
      </c>
      <c r="AT68" s="759"/>
      <c r="BA68" s="2007" t="s">
        <v>1385</v>
      </c>
      <c r="BB68" s="160" t="str">
        <f t="shared" si="189"/>
        <v>Structure, 115kV, Monopole, Running Angle, 60-119ft, Repl., Deenergized, Concrete Caisson Fnd</v>
      </c>
      <c r="BC68" s="9" t="s">
        <v>2164</v>
      </c>
      <c r="BD68" t="s">
        <v>2078</v>
      </c>
      <c r="BE68" t="s">
        <v>2211</v>
      </c>
      <c r="BF68" s="9" t="s">
        <v>2160</v>
      </c>
      <c r="BG68" s="9" t="s">
        <v>2155</v>
      </c>
      <c r="BH68" s="9" t="s">
        <v>2157</v>
      </c>
      <c r="BI68" s="9" t="s">
        <v>2165</v>
      </c>
      <c r="BJ68" s="9" t="s">
        <v>2158</v>
      </c>
      <c r="BM68" s="2010">
        <v>46000</v>
      </c>
    </row>
    <row r="69" spans="1:65" ht="45" x14ac:dyDescent="0.25">
      <c r="A69" s="784"/>
      <c r="B69" s="719">
        <f t="shared" si="24"/>
        <v>33</v>
      </c>
      <c r="C69" s="170" t="str">
        <f t="shared" si="16"/>
        <v>41Ea</v>
      </c>
      <c r="D69" s="557"/>
      <c r="E69" s="170"/>
      <c r="F69" s="170">
        <v>41</v>
      </c>
      <c r="G69" s="2007" t="s">
        <v>2200</v>
      </c>
      <c r="H69" s="1926"/>
      <c r="I69" s="2008" t="s">
        <v>1416</v>
      </c>
      <c r="J69" s="1926"/>
      <c r="K69" s="1926"/>
      <c r="L69" s="170"/>
      <c r="M69" s="2009">
        <v>114</v>
      </c>
      <c r="N69" s="2010">
        <v>1</v>
      </c>
      <c r="O69" s="773">
        <f t="shared" si="169"/>
        <v>114</v>
      </c>
      <c r="P69" s="2008" t="s">
        <v>39</v>
      </c>
      <c r="Q69" s="2008" t="s">
        <v>604</v>
      </c>
      <c r="R69" s="2011" t="s">
        <v>74</v>
      </c>
      <c r="S69" s="778">
        <f>SUMIF('Data Input sheet'!$B$118:$B$180,R69,'Data Input sheet'!$D$118:$D$180)</f>
        <v>152</v>
      </c>
      <c r="T69" s="2010">
        <f t="shared" si="170"/>
        <v>17328</v>
      </c>
      <c r="U69" s="2010">
        <v>49</v>
      </c>
      <c r="V69" s="778">
        <f t="shared" si="171"/>
        <v>5586</v>
      </c>
      <c r="W69" s="2010">
        <f t="shared" si="167"/>
        <v>11600</v>
      </c>
      <c r="X69" s="779"/>
      <c r="Y69" s="2012"/>
      <c r="Z69" s="780">
        <f t="shared" si="172"/>
        <v>34514</v>
      </c>
      <c r="AA69" s="2007"/>
      <c r="AB69" s="2007"/>
      <c r="AC69" s="765"/>
      <c r="AD69" s="781">
        <f t="shared" si="173"/>
        <v>0</v>
      </c>
      <c r="AE69" s="781">
        <f t="shared" si="174"/>
        <v>0</v>
      </c>
      <c r="AF69" s="781">
        <f t="shared" si="175"/>
        <v>0</v>
      </c>
      <c r="AG69" s="781">
        <f t="shared" si="176"/>
        <v>0</v>
      </c>
      <c r="AH69" s="781">
        <f t="shared" si="177"/>
        <v>0</v>
      </c>
      <c r="AI69" s="782">
        <f t="shared" si="178"/>
        <v>0</v>
      </c>
      <c r="AJ69" s="781">
        <f t="shared" si="179"/>
        <v>0</v>
      </c>
      <c r="AK69" s="781">
        <f t="shared" si="180"/>
        <v>0</v>
      </c>
      <c r="AL69" s="781">
        <f t="shared" si="181"/>
        <v>0</v>
      </c>
      <c r="AM69" s="781">
        <f t="shared" si="182"/>
        <v>0</v>
      </c>
      <c r="AN69" s="781">
        <f t="shared" si="183"/>
        <v>0</v>
      </c>
      <c r="AO69" s="781">
        <f t="shared" si="184"/>
        <v>0</v>
      </c>
      <c r="AP69" s="781">
        <f t="shared" si="185"/>
        <v>0</v>
      </c>
      <c r="AQ69" s="781">
        <f t="shared" si="186"/>
        <v>0</v>
      </c>
      <c r="AR69" s="781">
        <f t="shared" si="187"/>
        <v>0</v>
      </c>
      <c r="AS69" s="783">
        <f t="shared" si="188"/>
        <v>0</v>
      </c>
      <c r="AT69" s="759"/>
      <c r="BA69" s="2007" t="s">
        <v>1388</v>
      </c>
      <c r="BB69" s="160" t="str">
        <f t="shared" si="189"/>
        <v>Structure, 115kV, Monopole, Running Angle, 60-119ft, Repl., Deenergized, Direct Embedment Fnd</v>
      </c>
      <c r="BC69" s="9" t="s">
        <v>2164</v>
      </c>
      <c r="BD69" t="s">
        <v>2078</v>
      </c>
      <c r="BE69" t="s">
        <v>2211</v>
      </c>
      <c r="BF69" s="9" t="s">
        <v>2160</v>
      </c>
      <c r="BG69" s="9" t="s">
        <v>2155</v>
      </c>
      <c r="BH69" s="9" t="s">
        <v>2157</v>
      </c>
      <c r="BI69" s="9" t="s">
        <v>2165</v>
      </c>
      <c r="BJ69" s="9" t="s">
        <v>2163</v>
      </c>
      <c r="BM69" s="2010">
        <v>9300</v>
      </c>
    </row>
    <row r="70" spans="1:65" ht="45" x14ac:dyDescent="0.25">
      <c r="A70" s="784"/>
      <c r="B70" s="719">
        <f t="shared" si="24"/>
        <v>34</v>
      </c>
      <c r="C70" s="170" t="str">
        <f t="shared" si="16"/>
        <v>41Ea</v>
      </c>
      <c r="D70" s="557"/>
      <c r="E70" s="170"/>
      <c r="F70" s="170">
        <v>41</v>
      </c>
      <c r="G70" s="2007" t="s">
        <v>2201</v>
      </c>
      <c r="H70" s="1926">
        <f>+'Structure replacements'!$I$19+'Structure replacements'!$I$20</f>
        <v>0</v>
      </c>
      <c r="I70" s="2008" t="s">
        <v>1416</v>
      </c>
      <c r="J70" s="1926"/>
      <c r="K70" s="1926"/>
      <c r="L70" s="170"/>
      <c r="M70" s="2009">
        <v>129</v>
      </c>
      <c r="N70" s="2010">
        <v>1</v>
      </c>
      <c r="O70" s="773">
        <f t="shared" si="169"/>
        <v>129</v>
      </c>
      <c r="P70" s="2008" t="s">
        <v>39</v>
      </c>
      <c r="Q70" s="2008" t="s">
        <v>604</v>
      </c>
      <c r="R70" s="2011" t="s">
        <v>74</v>
      </c>
      <c r="S70" s="778">
        <f>SUMIF('Data Input sheet'!$B$118:$B$180,R70,'Data Input sheet'!$D$118:$D$180)</f>
        <v>152</v>
      </c>
      <c r="T70" s="2010">
        <f t="shared" si="170"/>
        <v>19608</v>
      </c>
      <c r="U70" s="2010">
        <v>60</v>
      </c>
      <c r="V70" s="778">
        <f t="shared" si="171"/>
        <v>7740</v>
      </c>
      <c r="W70" s="2010">
        <f t="shared" si="167"/>
        <v>57500</v>
      </c>
      <c r="X70" s="779"/>
      <c r="Y70" s="2012"/>
      <c r="Z70" s="780">
        <f t="shared" si="172"/>
        <v>84848</v>
      </c>
      <c r="AA70" s="2007"/>
      <c r="AB70" s="2007"/>
      <c r="AC70" s="765"/>
      <c r="AD70" s="781">
        <f t="shared" si="173"/>
        <v>0</v>
      </c>
      <c r="AE70" s="781">
        <f t="shared" si="174"/>
        <v>0</v>
      </c>
      <c r="AF70" s="781">
        <f t="shared" si="175"/>
        <v>0</v>
      </c>
      <c r="AG70" s="781">
        <f t="shared" si="176"/>
        <v>0</v>
      </c>
      <c r="AH70" s="781">
        <f t="shared" si="177"/>
        <v>0</v>
      </c>
      <c r="AI70" s="782">
        <f t="shared" si="178"/>
        <v>0</v>
      </c>
      <c r="AJ70" s="781">
        <f t="shared" si="179"/>
        <v>0</v>
      </c>
      <c r="AK70" s="781">
        <f t="shared" si="180"/>
        <v>0</v>
      </c>
      <c r="AL70" s="781">
        <f t="shared" si="181"/>
        <v>0</v>
      </c>
      <c r="AM70" s="781">
        <f t="shared" si="182"/>
        <v>0</v>
      </c>
      <c r="AN70" s="781">
        <f t="shared" si="183"/>
        <v>0</v>
      </c>
      <c r="AO70" s="781">
        <f t="shared" si="184"/>
        <v>0</v>
      </c>
      <c r="AP70" s="781">
        <f t="shared" si="185"/>
        <v>0</v>
      </c>
      <c r="AQ70" s="781">
        <f t="shared" si="186"/>
        <v>0</v>
      </c>
      <c r="AR70" s="781">
        <f t="shared" si="187"/>
        <v>0</v>
      </c>
      <c r="AS70" s="783">
        <f t="shared" si="188"/>
        <v>0</v>
      </c>
      <c r="AT70" s="759"/>
      <c r="BA70" s="2007" t="s">
        <v>1386</v>
      </c>
      <c r="BB70" s="160" t="str">
        <f t="shared" si="189"/>
        <v>Structure, 115kV, Monopole, Running Angle, 60-119ft, Repl., Live line, Concrete Caisson Fnd</v>
      </c>
      <c r="BC70" s="9" t="s">
        <v>2164</v>
      </c>
      <c r="BD70" t="s">
        <v>2078</v>
      </c>
      <c r="BE70" t="s">
        <v>2211</v>
      </c>
      <c r="BF70" s="9" t="s">
        <v>2160</v>
      </c>
      <c r="BG70" s="9" t="s">
        <v>2155</v>
      </c>
      <c r="BH70" s="9" t="s">
        <v>2162</v>
      </c>
      <c r="BI70" s="9" t="s">
        <v>2165</v>
      </c>
      <c r="BJ70" s="9" t="s">
        <v>2158</v>
      </c>
      <c r="BM70" s="2010">
        <v>46000</v>
      </c>
    </row>
    <row r="71" spans="1:65" ht="45" x14ac:dyDescent="0.25">
      <c r="A71" s="784"/>
      <c r="B71" s="719">
        <f t="shared" si="24"/>
        <v>35</v>
      </c>
      <c r="C71" s="170" t="str">
        <f t="shared" si="16"/>
        <v>41Ea</v>
      </c>
      <c r="D71" s="557"/>
      <c r="E71" s="170"/>
      <c r="F71" s="170">
        <v>41</v>
      </c>
      <c r="G71" s="2007" t="s">
        <v>2202</v>
      </c>
      <c r="H71" s="1926"/>
      <c r="I71" s="2008" t="s">
        <v>1416</v>
      </c>
      <c r="J71" s="1926"/>
      <c r="K71" s="1926"/>
      <c r="L71" s="170"/>
      <c r="M71" s="2009">
        <v>154</v>
      </c>
      <c r="N71" s="2010">
        <v>1</v>
      </c>
      <c r="O71" s="773">
        <f t="shared" si="169"/>
        <v>154</v>
      </c>
      <c r="P71" s="2008" t="s">
        <v>39</v>
      </c>
      <c r="Q71" s="2008" t="s">
        <v>604</v>
      </c>
      <c r="R71" s="2011" t="s">
        <v>74</v>
      </c>
      <c r="S71" s="778">
        <f>SUMIF('Data Input sheet'!$B$118:$B$180,R71,'Data Input sheet'!$D$118:$D$180)</f>
        <v>152</v>
      </c>
      <c r="T71" s="2010">
        <f t="shared" si="170"/>
        <v>23408</v>
      </c>
      <c r="U71" s="2010">
        <v>59</v>
      </c>
      <c r="V71" s="778">
        <f t="shared" si="171"/>
        <v>9086</v>
      </c>
      <c r="W71" s="2010">
        <f t="shared" si="167"/>
        <v>11600</v>
      </c>
      <c r="X71" s="779"/>
      <c r="Y71" s="2012"/>
      <c r="Z71" s="780">
        <f t="shared" si="172"/>
        <v>44094</v>
      </c>
      <c r="AA71" s="2007"/>
      <c r="AB71" s="2007"/>
      <c r="AC71" s="765"/>
      <c r="AD71" s="781">
        <f t="shared" si="173"/>
        <v>0</v>
      </c>
      <c r="AE71" s="781">
        <f t="shared" si="174"/>
        <v>0</v>
      </c>
      <c r="AF71" s="781">
        <f t="shared" si="175"/>
        <v>0</v>
      </c>
      <c r="AG71" s="781">
        <f t="shared" si="176"/>
        <v>0</v>
      </c>
      <c r="AH71" s="781">
        <f t="shared" si="177"/>
        <v>0</v>
      </c>
      <c r="AI71" s="782">
        <f t="shared" si="178"/>
        <v>0</v>
      </c>
      <c r="AJ71" s="781">
        <f t="shared" si="179"/>
        <v>0</v>
      </c>
      <c r="AK71" s="781">
        <f t="shared" si="180"/>
        <v>0</v>
      </c>
      <c r="AL71" s="781">
        <f t="shared" si="181"/>
        <v>0</v>
      </c>
      <c r="AM71" s="781">
        <f t="shared" si="182"/>
        <v>0</v>
      </c>
      <c r="AN71" s="781">
        <f t="shared" si="183"/>
        <v>0</v>
      </c>
      <c r="AO71" s="781">
        <f t="shared" si="184"/>
        <v>0</v>
      </c>
      <c r="AP71" s="781">
        <f t="shared" si="185"/>
        <v>0</v>
      </c>
      <c r="AQ71" s="781">
        <f t="shared" si="186"/>
        <v>0</v>
      </c>
      <c r="AR71" s="781">
        <f t="shared" si="187"/>
        <v>0</v>
      </c>
      <c r="AS71" s="783">
        <f t="shared" si="188"/>
        <v>0</v>
      </c>
      <c r="AT71" s="759"/>
      <c r="BA71" s="2007" t="s">
        <v>1389</v>
      </c>
      <c r="BB71" s="160" t="str">
        <f t="shared" si="189"/>
        <v>Structure, 115kV, Monopole, Running Angle, 60-119ft, Repl., Live line, Direct Embedment Fnd</v>
      </c>
      <c r="BC71" s="9" t="s">
        <v>2164</v>
      </c>
      <c r="BD71" t="s">
        <v>2078</v>
      </c>
      <c r="BE71" t="s">
        <v>2211</v>
      </c>
      <c r="BF71" s="9" t="s">
        <v>2160</v>
      </c>
      <c r="BG71" s="9" t="s">
        <v>2155</v>
      </c>
      <c r="BH71" s="9" t="s">
        <v>2162</v>
      </c>
      <c r="BI71" s="9" t="s">
        <v>2165</v>
      </c>
      <c r="BJ71" s="9" t="s">
        <v>2163</v>
      </c>
      <c r="BM71" s="2010">
        <v>9300</v>
      </c>
    </row>
    <row r="72" spans="1:65" ht="15" x14ac:dyDescent="0.25">
      <c r="A72" s="784"/>
      <c r="B72" s="719"/>
      <c r="C72" s="170" t="str">
        <f t="shared" si="16"/>
        <v>Ea</v>
      </c>
      <c r="D72" s="557"/>
      <c r="E72" s="170"/>
      <c r="F72" s="170"/>
      <c r="G72" s="1620" t="s">
        <v>2264</v>
      </c>
      <c r="H72" s="1926"/>
      <c r="I72" s="2008" t="s">
        <v>1416</v>
      </c>
      <c r="J72" s="1926"/>
      <c r="K72" s="1926"/>
      <c r="L72" s="170"/>
      <c r="M72" s="2009">
        <v>0</v>
      </c>
      <c r="N72" s="2010">
        <v>1</v>
      </c>
      <c r="O72" s="773">
        <f t="shared" si="169"/>
        <v>0</v>
      </c>
      <c r="P72" s="2008" t="s">
        <v>39</v>
      </c>
      <c r="Q72" s="2008" t="s">
        <v>604</v>
      </c>
      <c r="R72" s="2011" t="s">
        <v>74</v>
      </c>
      <c r="S72" s="778">
        <f>SUMIF('Data Input sheet'!$B$118:$B$180,R72,'Data Input sheet'!$D$118:$D$180)</f>
        <v>152</v>
      </c>
      <c r="T72" s="2010">
        <f t="shared" si="170"/>
        <v>0</v>
      </c>
      <c r="U72" s="2010">
        <v>0</v>
      </c>
      <c r="V72" s="778">
        <f t="shared" si="171"/>
        <v>0</v>
      </c>
      <c r="W72" s="2010">
        <v>0</v>
      </c>
      <c r="X72" s="779"/>
      <c r="Y72" s="2012"/>
      <c r="Z72" s="780">
        <f t="shared" si="172"/>
        <v>0</v>
      </c>
      <c r="AA72" s="2007"/>
      <c r="AB72" s="2007"/>
      <c r="AC72" s="765"/>
      <c r="AD72" s="781">
        <f t="shared" si="173"/>
        <v>0</v>
      </c>
      <c r="AE72" s="781">
        <f t="shared" si="174"/>
        <v>0</v>
      </c>
      <c r="AF72" s="781">
        <f t="shared" si="175"/>
        <v>0</v>
      </c>
      <c r="AG72" s="781">
        <f t="shared" si="176"/>
        <v>0</v>
      </c>
      <c r="AH72" s="781">
        <f t="shared" si="177"/>
        <v>0</v>
      </c>
      <c r="AI72" s="782">
        <f t="shared" si="178"/>
        <v>0</v>
      </c>
      <c r="AJ72" s="781">
        <f t="shared" si="179"/>
        <v>0</v>
      </c>
      <c r="AK72" s="781">
        <f t="shared" si="180"/>
        <v>0</v>
      </c>
      <c r="AL72" s="781">
        <f t="shared" si="181"/>
        <v>0</v>
      </c>
      <c r="AM72" s="781">
        <f t="shared" si="182"/>
        <v>0</v>
      </c>
      <c r="AN72" s="781">
        <f t="shared" si="183"/>
        <v>0</v>
      </c>
      <c r="AO72" s="781">
        <f t="shared" si="184"/>
        <v>0</v>
      </c>
      <c r="AP72" s="781">
        <f t="shared" si="185"/>
        <v>0</v>
      </c>
      <c r="AQ72" s="781">
        <f t="shared" si="186"/>
        <v>0</v>
      </c>
      <c r="AR72" s="781">
        <f t="shared" si="187"/>
        <v>0</v>
      </c>
      <c r="AS72" s="783">
        <f t="shared" si="188"/>
        <v>0</v>
      </c>
      <c r="AT72" s="759"/>
      <c r="BA72" s="2007"/>
      <c r="BC72" s="9"/>
      <c r="BE72" s="9"/>
      <c r="BF72" s="9"/>
      <c r="BG72" s="9"/>
      <c r="BH72" s="9"/>
      <c r="BI72" s="9"/>
      <c r="BJ72" s="9"/>
      <c r="BM72" s="2010">
        <v>0</v>
      </c>
    </row>
    <row r="73" spans="1:65" ht="45" x14ac:dyDescent="0.25">
      <c r="A73" s="784"/>
      <c r="B73" s="719">
        <f>+B71+1</f>
        <v>36</v>
      </c>
      <c r="C73" s="170" t="str">
        <f t="shared" si="16"/>
        <v>41Ea</v>
      </c>
      <c r="D73" s="557"/>
      <c r="E73" s="170"/>
      <c r="F73" s="170">
        <v>41</v>
      </c>
      <c r="G73" s="2007" t="s">
        <v>2203</v>
      </c>
      <c r="H73" s="1926"/>
      <c r="I73" s="2008" t="s">
        <v>1416</v>
      </c>
      <c r="J73" s="1926"/>
      <c r="K73" s="1926"/>
      <c r="L73" s="170"/>
      <c r="M73" s="2009">
        <v>88</v>
      </c>
      <c r="N73" s="2010">
        <v>1</v>
      </c>
      <c r="O73" s="773">
        <f t="shared" si="169"/>
        <v>88</v>
      </c>
      <c r="P73" s="2008" t="s">
        <v>39</v>
      </c>
      <c r="Q73" s="2008" t="s">
        <v>604</v>
      </c>
      <c r="R73" s="2011" t="s">
        <v>74</v>
      </c>
      <c r="S73" s="778">
        <f>SUMIF('Data Input sheet'!$B$118:$B$180,R73,'Data Input sheet'!$D$118:$D$180)</f>
        <v>152</v>
      </c>
      <c r="T73" s="2010">
        <f t="shared" si="170"/>
        <v>13376</v>
      </c>
      <c r="U73" s="2010">
        <v>67</v>
      </c>
      <c r="V73" s="778">
        <f t="shared" si="171"/>
        <v>5896</v>
      </c>
      <c r="W73" s="2010">
        <f t="shared" si="167"/>
        <v>30000</v>
      </c>
      <c r="X73" s="779"/>
      <c r="Y73" s="2012"/>
      <c r="Z73" s="780">
        <f t="shared" si="172"/>
        <v>49272</v>
      </c>
      <c r="AA73" s="2007"/>
      <c r="AB73" s="2007"/>
      <c r="AC73" s="765"/>
      <c r="AD73" s="781">
        <f t="shared" si="173"/>
        <v>0</v>
      </c>
      <c r="AE73" s="781">
        <f t="shared" si="174"/>
        <v>0</v>
      </c>
      <c r="AF73" s="781">
        <f t="shared" si="175"/>
        <v>0</v>
      </c>
      <c r="AG73" s="781">
        <f t="shared" si="176"/>
        <v>0</v>
      </c>
      <c r="AH73" s="781">
        <f t="shared" si="177"/>
        <v>0</v>
      </c>
      <c r="AI73" s="782">
        <f t="shared" si="178"/>
        <v>0</v>
      </c>
      <c r="AJ73" s="781">
        <f t="shared" si="179"/>
        <v>0</v>
      </c>
      <c r="AK73" s="781">
        <f t="shared" si="180"/>
        <v>0</v>
      </c>
      <c r="AL73" s="781">
        <f t="shared" si="181"/>
        <v>0</v>
      </c>
      <c r="AM73" s="781">
        <f t="shared" si="182"/>
        <v>0</v>
      </c>
      <c r="AN73" s="781">
        <f t="shared" si="183"/>
        <v>0</v>
      </c>
      <c r="AO73" s="781">
        <f t="shared" si="184"/>
        <v>0</v>
      </c>
      <c r="AP73" s="781">
        <f t="shared" si="185"/>
        <v>0</v>
      </c>
      <c r="AQ73" s="781">
        <f t="shared" si="186"/>
        <v>0</v>
      </c>
      <c r="AR73" s="781">
        <f t="shared" si="187"/>
        <v>0</v>
      </c>
      <c r="AS73" s="783">
        <f t="shared" si="188"/>
        <v>0</v>
      </c>
      <c r="AT73" s="759"/>
      <c r="BA73" s="2007" t="s">
        <v>1376</v>
      </c>
      <c r="BB73" s="160" t="str">
        <f t="shared" ref="BB73:BB78" si="190">+BC73&amp;", "&amp;BD73&amp;", "&amp;BE73&amp;", "&amp;BF73&amp;", "&amp;BG73&amp;", "&amp;BI73&amp;", "&amp;BH73&amp;", "&amp;BJ73</f>
        <v>Structure, 115kV, Monopole, Tangent, 120-139ft, New, Deenergized, Concrete Caisson Fnd</v>
      </c>
      <c r="BC73" s="9" t="s">
        <v>2164</v>
      </c>
      <c r="BD73" t="s">
        <v>2078</v>
      </c>
      <c r="BE73" t="s">
        <v>2211</v>
      </c>
      <c r="BF73" s="9" t="s">
        <v>2071</v>
      </c>
      <c r="BG73" t="s">
        <v>2154</v>
      </c>
      <c r="BH73" s="9" t="s">
        <v>2157</v>
      </c>
      <c r="BI73" s="9" t="s">
        <v>908</v>
      </c>
      <c r="BJ73" s="9" t="s">
        <v>2158</v>
      </c>
      <c r="BM73" s="2010">
        <v>24000</v>
      </c>
    </row>
    <row r="74" spans="1:65" ht="45" x14ac:dyDescent="0.25">
      <c r="A74" s="784"/>
      <c r="B74" s="719">
        <f t="shared" si="24"/>
        <v>37</v>
      </c>
      <c r="C74" s="170" t="str">
        <f t="shared" ref="C74:C137" si="191">+F74&amp;I74</f>
        <v>41Ea</v>
      </c>
      <c r="D74" s="557"/>
      <c r="E74" s="170"/>
      <c r="F74" s="170">
        <v>41</v>
      </c>
      <c r="G74" s="2007" t="s">
        <v>2204</v>
      </c>
      <c r="H74" s="1926"/>
      <c r="I74" s="2008" t="s">
        <v>1416</v>
      </c>
      <c r="J74" s="1926"/>
      <c r="K74" s="1926"/>
      <c r="L74" s="170"/>
      <c r="M74" s="2009">
        <v>90</v>
      </c>
      <c r="N74" s="2010">
        <v>1</v>
      </c>
      <c r="O74" s="773">
        <f t="shared" si="169"/>
        <v>90</v>
      </c>
      <c r="P74" s="2008" t="s">
        <v>39</v>
      </c>
      <c r="Q74" s="2008" t="s">
        <v>604</v>
      </c>
      <c r="R74" s="2011" t="s">
        <v>74</v>
      </c>
      <c r="S74" s="778">
        <f>SUMIF('Data Input sheet'!$B$118:$B$180,R74,'Data Input sheet'!$D$118:$D$180)</f>
        <v>152</v>
      </c>
      <c r="T74" s="2010">
        <f t="shared" si="170"/>
        <v>13680</v>
      </c>
      <c r="U74" s="2010">
        <v>54</v>
      </c>
      <c r="V74" s="778">
        <f t="shared" si="171"/>
        <v>4860</v>
      </c>
      <c r="W74" s="2010">
        <f t="shared" si="167"/>
        <v>10800</v>
      </c>
      <c r="X74" s="779"/>
      <c r="Y74" s="2012"/>
      <c r="Z74" s="780">
        <f t="shared" si="172"/>
        <v>29340</v>
      </c>
      <c r="AA74" s="2007"/>
      <c r="AB74" s="2007"/>
      <c r="AC74" s="765"/>
      <c r="AD74" s="781">
        <f t="shared" si="173"/>
        <v>0</v>
      </c>
      <c r="AE74" s="781">
        <f t="shared" si="174"/>
        <v>0</v>
      </c>
      <c r="AF74" s="781">
        <f t="shared" si="175"/>
        <v>0</v>
      </c>
      <c r="AG74" s="781">
        <f t="shared" si="176"/>
        <v>0</v>
      </c>
      <c r="AH74" s="781">
        <f t="shared" si="177"/>
        <v>0</v>
      </c>
      <c r="AI74" s="782">
        <f t="shared" si="178"/>
        <v>0</v>
      </c>
      <c r="AJ74" s="781">
        <f t="shared" si="179"/>
        <v>0</v>
      </c>
      <c r="AK74" s="781">
        <f t="shared" si="180"/>
        <v>0</v>
      </c>
      <c r="AL74" s="781">
        <f t="shared" si="181"/>
        <v>0</v>
      </c>
      <c r="AM74" s="781">
        <f t="shared" si="182"/>
        <v>0</v>
      </c>
      <c r="AN74" s="781">
        <f t="shared" si="183"/>
        <v>0</v>
      </c>
      <c r="AO74" s="781">
        <f t="shared" si="184"/>
        <v>0</v>
      </c>
      <c r="AP74" s="781">
        <f t="shared" si="185"/>
        <v>0</v>
      </c>
      <c r="AQ74" s="781">
        <f t="shared" si="186"/>
        <v>0</v>
      </c>
      <c r="AR74" s="781">
        <f t="shared" si="187"/>
        <v>0</v>
      </c>
      <c r="AS74" s="783">
        <f t="shared" si="188"/>
        <v>0</v>
      </c>
      <c r="AT74" s="759"/>
      <c r="BA74" s="2007" t="s">
        <v>1392</v>
      </c>
      <c r="BB74" s="160" t="str">
        <f t="shared" si="190"/>
        <v>Structure, 115kV, Monopole, Tangent, 60-119ft, New, Deenergized, Direct Embedment Fnd</v>
      </c>
      <c r="BC74" s="9" t="s">
        <v>2164</v>
      </c>
      <c r="BD74" t="s">
        <v>2078</v>
      </c>
      <c r="BE74" t="s">
        <v>2211</v>
      </c>
      <c r="BF74" s="9" t="s">
        <v>2071</v>
      </c>
      <c r="BG74" s="9" t="s">
        <v>2155</v>
      </c>
      <c r="BH74" s="9" t="s">
        <v>2157</v>
      </c>
      <c r="BI74" s="9" t="s">
        <v>908</v>
      </c>
      <c r="BJ74" s="9" t="s">
        <v>2163</v>
      </c>
      <c r="BM74" s="2010">
        <v>8600</v>
      </c>
    </row>
    <row r="75" spans="1:65" ht="45" x14ac:dyDescent="0.25">
      <c r="A75" s="784"/>
      <c r="B75" s="719">
        <f t="shared" si="24"/>
        <v>38</v>
      </c>
      <c r="C75" s="170" t="str">
        <f t="shared" si="191"/>
        <v>41Ea</v>
      </c>
      <c r="D75" s="557"/>
      <c r="E75" s="170"/>
      <c r="F75" s="170">
        <v>41</v>
      </c>
      <c r="G75" s="2007" t="s">
        <v>2205</v>
      </c>
      <c r="H75" s="1926">
        <f>+'Structure replacements'!$H$17+'Structure replacements'!$H$18</f>
        <v>0</v>
      </c>
      <c r="I75" s="2008" t="s">
        <v>1416</v>
      </c>
      <c r="J75" s="1926"/>
      <c r="K75" s="1926"/>
      <c r="L75" s="170"/>
      <c r="M75" s="2009">
        <v>123</v>
      </c>
      <c r="N75" s="2010">
        <v>1</v>
      </c>
      <c r="O75" s="773">
        <f t="shared" si="169"/>
        <v>123</v>
      </c>
      <c r="P75" s="2008" t="s">
        <v>39</v>
      </c>
      <c r="Q75" s="2008" t="s">
        <v>604</v>
      </c>
      <c r="R75" s="2011" t="s">
        <v>74</v>
      </c>
      <c r="S75" s="778">
        <f>SUMIF('Data Input sheet'!$B$118:$B$180,R75,'Data Input sheet'!$D$118:$D$180)</f>
        <v>152</v>
      </c>
      <c r="T75" s="2010">
        <f t="shared" si="170"/>
        <v>18696</v>
      </c>
      <c r="U75" s="2010">
        <v>60</v>
      </c>
      <c r="V75" s="778">
        <f t="shared" si="171"/>
        <v>7380</v>
      </c>
      <c r="W75" s="2010">
        <f t="shared" si="167"/>
        <v>23100</v>
      </c>
      <c r="X75" s="779"/>
      <c r="Y75" s="2012"/>
      <c r="Z75" s="780">
        <f t="shared" si="172"/>
        <v>49176</v>
      </c>
      <c r="AA75" s="2007"/>
      <c r="AB75" s="2007"/>
      <c r="AC75" s="765"/>
      <c r="AD75" s="781">
        <f t="shared" si="173"/>
        <v>0</v>
      </c>
      <c r="AE75" s="781">
        <f t="shared" si="174"/>
        <v>0</v>
      </c>
      <c r="AF75" s="781">
        <f t="shared" si="175"/>
        <v>0</v>
      </c>
      <c r="AG75" s="781">
        <f t="shared" si="176"/>
        <v>0</v>
      </c>
      <c r="AH75" s="781">
        <f t="shared" si="177"/>
        <v>0</v>
      </c>
      <c r="AI75" s="782">
        <f t="shared" si="178"/>
        <v>0</v>
      </c>
      <c r="AJ75" s="781">
        <f t="shared" si="179"/>
        <v>0</v>
      </c>
      <c r="AK75" s="781">
        <f t="shared" si="180"/>
        <v>0</v>
      </c>
      <c r="AL75" s="781">
        <f t="shared" si="181"/>
        <v>0</v>
      </c>
      <c r="AM75" s="781">
        <f t="shared" si="182"/>
        <v>0</v>
      </c>
      <c r="AN75" s="781">
        <f t="shared" si="183"/>
        <v>0</v>
      </c>
      <c r="AO75" s="781">
        <f t="shared" si="184"/>
        <v>0</v>
      </c>
      <c r="AP75" s="781">
        <f t="shared" si="185"/>
        <v>0</v>
      </c>
      <c r="AQ75" s="781">
        <f t="shared" si="186"/>
        <v>0</v>
      </c>
      <c r="AR75" s="781">
        <f t="shared" si="187"/>
        <v>0</v>
      </c>
      <c r="AS75" s="783">
        <f t="shared" si="188"/>
        <v>0</v>
      </c>
      <c r="AT75" s="759"/>
      <c r="BA75" s="2007" t="s">
        <v>1390</v>
      </c>
      <c r="BB75" s="160" t="str">
        <f t="shared" si="190"/>
        <v>Structure, 115kV, Monopole, Tangent, 60-119ft, Repl., Deenergized, Concrete Caisson Fnd</v>
      </c>
      <c r="BC75" s="9" t="s">
        <v>2164</v>
      </c>
      <c r="BD75" t="s">
        <v>2078</v>
      </c>
      <c r="BE75" t="s">
        <v>2211</v>
      </c>
      <c r="BF75" s="9" t="s">
        <v>2071</v>
      </c>
      <c r="BG75" s="9" t="s">
        <v>2155</v>
      </c>
      <c r="BH75" s="9" t="s">
        <v>2157</v>
      </c>
      <c r="BI75" s="9" t="s">
        <v>2165</v>
      </c>
      <c r="BJ75" s="9" t="s">
        <v>2158</v>
      </c>
      <c r="BM75" s="2010">
        <v>18500</v>
      </c>
    </row>
    <row r="76" spans="1:65" ht="45" x14ac:dyDescent="0.25">
      <c r="A76" s="784"/>
      <c r="B76" s="719">
        <f t="shared" si="24"/>
        <v>39</v>
      </c>
      <c r="C76" s="170" t="str">
        <f t="shared" si="191"/>
        <v>41Ea</v>
      </c>
      <c r="D76" s="557"/>
      <c r="E76" s="170"/>
      <c r="F76" s="170">
        <v>41</v>
      </c>
      <c r="G76" s="2007" t="s">
        <v>2206</v>
      </c>
      <c r="H76" s="1926"/>
      <c r="I76" s="2008" t="s">
        <v>1416</v>
      </c>
      <c r="J76" s="1926"/>
      <c r="K76" s="1926"/>
      <c r="L76" s="170"/>
      <c r="M76" s="2009">
        <v>102</v>
      </c>
      <c r="N76" s="2010">
        <v>1</v>
      </c>
      <c r="O76" s="773">
        <f t="shared" si="169"/>
        <v>102</v>
      </c>
      <c r="P76" s="2008" t="s">
        <v>39</v>
      </c>
      <c r="Q76" s="2008" t="s">
        <v>604</v>
      </c>
      <c r="R76" s="2011" t="s">
        <v>74</v>
      </c>
      <c r="S76" s="778">
        <f>SUMIF('Data Input sheet'!$B$118:$B$180,R76,'Data Input sheet'!$D$118:$D$180)</f>
        <v>152</v>
      </c>
      <c r="T76" s="2010">
        <f t="shared" si="170"/>
        <v>15504</v>
      </c>
      <c r="U76" s="2010">
        <v>81</v>
      </c>
      <c r="V76" s="778">
        <f t="shared" si="171"/>
        <v>8262</v>
      </c>
      <c r="W76" s="2010">
        <f t="shared" si="167"/>
        <v>10800</v>
      </c>
      <c r="X76" s="779"/>
      <c r="Y76" s="2012"/>
      <c r="Z76" s="780">
        <f t="shared" si="172"/>
        <v>34566</v>
      </c>
      <c r="AA76" s="2007"/>
      <c r="AB76" s="2007"/>
      <c r="AC76" s="765"/>
      <c r="AD76" s="781">
        <f t="shared" si="173"/>
        <v>0</v>
      </c>
      <c r="AE76" s="781">
        <f t="shared" si="174"/>
        <v>0</v>
      </c>
      <c r="AF76" s="781">
        <f t="shared" si="175"/>
        <v>0</v>
      </c>
      <c r="AG76" s="781">
        <f t="shared" si="176"/>
        <v>0</v>
      </c>
      <c r="AH76" s="781">
        <f t="shared" si="177"/>
        <v>0</v>
      </c>
      <c r="AI76" s="782">
        <f t="shared" si="178"/>
        <v>0</v>
      </c>
      <c r="AJ76" s="781">
        <f t="shared" si="179"/>
        <v>0</v>
      </c>
      <c r="AK76" s="781">
        <f t="shared" si="180"/>
        <v>0</v>
      </c>
      <c r="AL76" s="781">
        <f t="shared" si="181"/>
        <v>0</v>
      </c>
      <c r="AM76" s="781">
        <f t="shared" si="182"/>
        <v>0</v>
      </c>
      <c r="AN76" s="781">
        <f t="shared" si="183"/>
        <v>0</v>
      </c>
      <c r="AO76" s="781">
        <f t="shared" si="184"/>
        <v>0</v>
      </c>
      <c r="AP76" s="781">
        <f t="shared" si="185"/>
        <v>0</v>
      </c>
      <c r="AQ76" s="781">
        <f t="shared" si="186"/>
        <v>0</v>
      </c>
      <c r="AR76" s="781">
        <f t="shared" si="187"/>
        <v>0</v>
      </c>
      <c r="AS76" s="783">
        <f t="shared" si="188"/>
        <v>0</v>
      </c>
      <c r="AT76" s="759"/>
      <c r="BA76" s="2007" t="s">
        <v>1393</v>
      </c>
      <c r="BB76" s="160" t="str">
        <f t="shared" si="190"/>
        <v>Structure, 115kV, Monopole, Tangent, 60-119ft, Repl., Deenergized, Direct Embedment Fnd</v>
      </c>
      <c r="BC76" s="9" t="s">
        <v>2164</v>
      </c>
      <c r="BD76" t="s">
        <v>2078</v>
      </c>
      <c r="BE76" t="s">
        <v>2211</v>
      </c>
      <c r="BF76" s="9" t="s">
        <v>2071</v>
      </c>
      <c r="BG76" s="9" t="s">
        <v>2155</v>
      </c>
      <c r="BH76" s="9" t="s">
        <v>2157</v>
      </c>
      <c r="BI76" s="9" t="s">
        <v>2165</v>
      </c>
      <c r="BJ76" s="9" t="s">
        <v>2163</v>
      </c>
      <c r="BM76" s="2010">
        <v>8600</v>
      </c>
    </row>
    <row r="77" spans="1:65" ht="30" x14ac:dyDescent="0.25">
      <c r="A77" s="784"/>
      <c r="B77" s="719">
        <f t="shared" si="24"/>
        <v>40</v>
      </c>
      <c r="C77" s="170" t="str">
        <f t="shared" si="191"/>
        <v>41Ea</v>
      </c>
      <c r="D77" s="557"/>
      <c r="E77" s="170"/>
      <c r="F77" s="170">
        <v>41</v>
      </c>
      <c r="G77" s="2007" t="s">
        <v>2207</v>
      </c>
      <c r="H77" s="1926">
        <f>+'Structure replacements'!$H$19+'Structure replacements'!$H$20</f>
        <v>0</v>
      </c>
      <c r="I77" s="2008" t="s">
        <v>1416</v>
      </c>
      <c r="J77" s="1926"/>
      <c r="K77" s="1926"/>
      <c r="L77" s="170"/>
      <c r="M77" s="2009">
        <v>146</v>
      </c>
      <c r="N77" s="2010">
        <v>1</v>
      </c>
      <c r="O77" s="773">
        <f t="shared" si="169"/>
        <v>146</v>
      </c>
      <c r="P77" s="2008" t="s">
        <v>39</v>
      </c>
      <c r="Q77" s="2008" t="s">
        <v>604</v>
      </c>
      <c r="R77" s="2011" t="s">
        <v>74</v>
      </c>
      <c r="S77" s="778">
        <f>SUMIF('Data Input sheet'!$B$118:$B$180,R77,'Data Input sheet'!$D$118:$D$180)</f>
        <v>152</v>
      </c>
      <c r="T77" s="2010">
        <f t="shared" si="170"/>
        <v>22192</v>
      </c>
      <c r="U77" s="2010">
        <v>60</v>
      </c>
      <c r="V77" s="778">
        <f t="shared" si="171"/>
        <v>8760</v>
      </c>
      <c r="W77" s="2010">
        <f t="shared" si="167"/>
        <v>23100</v>
      </c>
      <c r="X77" s="779"/>
      <c r="Y77" s="2012"/>
      <c r="Z77" s="780">
        <f t="shared" si="172"/>
        <v>54052</v>
      </c>
      <c r="AA77" s="2007"/>
      <c r="AB77" s="2007"/>
      <c r="AC77" s="765"/>
      <c r="AD77" s="781">
        <f t="shared" si="173"/>
        <v>0</v>
      </c>
      <c r="AE77" s="781">
        <f t="shared" si="174"/>
        <v>0</v>
      </c>
      <c r="AF77" s="781">
        <f t="shared" si="175"/>
        <v>0</v>
      </c>
      <c r="AG77" s="781">
        <f t="shared" si="176"/>
        <v>0</v>
      </c>
      <c r="AH77" s="781">
        <f t="shared" si="177"/>
        <v>0</v>
      </c>
      <c r="AI77" s="782">
        <f t="shared" si="178"/>
        <v>0</v>
      </c>
      <c r="AJ77" s="781">
        <f t="shared" si="179"/>
        <v>0</v>
      </c>
      <c r="AK77" s="781">
        <f t="shared" si="180"/>
        <v>0</v>
      </c>
      <c r="AL77" s="781">
        <f t="shared" si="181"/>
        <v>0</v>
      </c>
      <c r="AM77" s="781">
        <f t="shared" si="182"/>
        <v>0</v>
      </c>
      <c r="AN77" s="781">
        <f t="shared" si="183"/>
        <v>0</v>
      </c>
      <c r="AO77" s="781">
        <f t="shared" si="184"/>
        <v>0</v>
      </c>
      <c r="AP77" s="781">
        <f t="shared" si="185"/>
        <v>0</v>
      </c>
      <c r="AQ77" s="781">
        <f t="shared" si="186"/>
        <v>0</v>
      </c>
      <c r="AR77" s="781">
        <f t="shared" si="187"/>
        <v>0</v>
      </c>
      <c r="AS77" s="783">
        <f t="shared" si="188"/>
        <v>0</v>
      </c>
      <c r="AT77" s="759"/>
      <c r="BA77" s="2007" t="s">
        <v>1391</v>
      </c>
      <c r="BB77" s="160" t="str">
        <f t="shared" si="190"/>
        <v>Structure, 115kV, Monopole, Tangent, 60-119ft, Repl., Live line, Concrete Caisson Fnd</v>
      </c>
      <c r="BC77" s="9" t="s">
        <v>2164</v>
      </c>
      <c r="BD77" t="s">
        <v>2078</v>
      </c>
      <c r="BE77" t="s">
        <v>2211</v>
      </c>
      <c r="BF77" s="9" t="s">
        <v>2071</v>
      </c>
      <c r="BG77" s="9" t="s">
        <v>2155</v>
      </c>
      <c r="BH77" s="9" t="s">
        <v>2162</v>
      </c>
      <c r="BI77" s="9" t="s">
        <v>2165</v>
      </c>
      <c r="BJ77" s="9" t="s">
        <v>2158</v>
      </c>
      <c r="BM77" s="2010">
        <v>18500</v>
      </c>
    </row>
    <row r="78" spans="1:65" ht="45" x14ac:dyDescent="0.25">
      <c r="A78" s="784"/>
      <c r="B78" s="719">
        <f t="shared" si="24"/>
        <v>41</v>
      </c>
      <c r="C78" s="170" t="str">
        <f t="shared" si="191"/>
        <v>41Ea</v>
      </c>
      <c r="D78" s="557"/>
      <c r="E78" s="170"/>
      <c r="F78" s="170">
        <v>41</v>
      </c>
      <c r="G78" s="2007" t="s">
        <v>2208</v>
      </c>
      <c r="H78" s="1926"/>
      <c r="I78" s="2008" t="s">
        <v>1416</v>
      </c>
      <c r="J78" s="1926"/>
      <c r="K78" s="1926"/>
      <c r="L78" s="170"/>
      <c r="M78" s="2009">
        <v>109</v>
      </c>
      <c r="N78" s="2010">
        <v>1</v>
      </c>
      <c r="O78" s="773">
        <f t="shared" si="169"/>
        <v>109</v>
      </c>
      <c r="P78" s="2008" t="s">
        <v>39</v>
      </c>
      <c r="Q78" s="2008" t="s">
        <v>604</v>
      </c>
      <c r="R78" s="2011" t="s">
        <v>74</v>
      </c>
      <c r="S78" s="778">
        <f>SUMIF('Data Input sheet'!$B$118:$B$180,R78,'Data Input sheet'!$D$118:$D$180)</f>
        <v>152</v>
      </c>
      <c r="T78" s="2010">
        <f t="shared" si="170"/>
        <v>16568</v>
      </c>
      <c r="U78" s="2010">
        <v>60</v>
      </c>
      <c r="V78" s="778">
        <f t="shared" si="171"/>
        <v>6540</v>
      </c>
      <c r="W78" s="2010">
        <f t="shared" si="167"/>
        <v>10800</v>
      </c>
      <c r="X78" s="779"/>
      <c r="Y78" s="2012"/>
      <c r="Z78" s="780">
        <f t="shared" si="172"/>
        <v>33908</v>
      </c>
      <c r="AA78" s="2007"/>
      <c r="AB78" s="2007"/>
      <c r="AC78" s="765"/>
      <c r="AD78" s="781">
        <f t="shared" si="173"/>
        <v>0</v>
      </c>
      <c r="AE78" s="781">
        <f t="shared" si="174"/>
        <v>0</v>
      </c>
      <c r="AF78" s="781">
        <f t="shared" si="175"/>
        <v>0</v>
      </c>
      <c r="AG78" s="781">
        <f t="shared" si="176"/>
        <v>0</v>
      </c>
      <c r="AH78" s="781">
        <f t="shared" si="177"/>
        <v>0</v>
      </c>
      <c r="AI78" s="782">
        <f t="shared" si="178"/>
        <v>0</v>
      </c>
      <c r="AJ78" s="781">
        <f t="shared" si="179"/>
        <v>0</v>
      </c>
      <c r="AK78" s="781">
        <f t="shared" si="180"/>
        <v>0</v>
      </c>
      <c r="AL78" s="781">
        <f t="shared" si="181"/>
        <v>0</v>
      </c>
      <c r="AM78" s="781">
        <f t="shared" si="182"/>
        <v>0</v>
      </c>
      <c r="AN78" s="781">
        <f t="shared" si="183"/>
        <v>0</v>
      </c>
      <c r="AO78" s="781">
        <f t="shared" si="184"/>
        <v>0</v>
      </c>
      <c r="AP78" s="781">
        <f t="shared" si="185"/>
        <v>0</v>
      </c>
      <c r="AQ78" s="781">
        <f t="shared" si="186"/>
        <v>0</v>
      </c>
      <c r="AR78" s="781">
        <f t="shared" si="187"/>
        <v>0</v>
      </c>
      <c r="AS78" s="783">
        <f t="shared" si="188"/>
        <v>0</v>
      </c>
      <c r="AT78" s="759"/>
      <c r="BA78" s="2007" t="s">
        <v>1394</v>
      </c>
      <c r="BB78" s="160" t="str">
        <f t="shared" si="190"/>
        <v>Structure, 115kV, Monopole, Tangent, 60-119ft, Repl., Live line, Direct Embedment Fnd</v>
      </c>
      <c r="BC78" s="9" t="s">
        <v>2164</v>
      </c>
      <c r="BD78" t="s">
        <v>2078</v>
      </c>
      <c r="BE78" t="s">
        <v>2211</v>
      </c>
      <c r="BF78" s="9" t="s">
        <v>2071</v>
      </c>
      <c r="BG78" s="9" t="s">
        <v>2155</v>
      </c>
      <c r="BH78" s="9" t="s">
        <v>2162</v>
      </c>
      <c r="BI78" s="9" t="s">
        <v>2165</v>
      </c>
      <c r="BJ78" s="9" t="s">
        <v>2163</v>
      </c>
      <c r="BM78" s="2010">
        <v>8600</v>
      </c>
    </row>
    <row r="79" spans="1:65" ht="15.75" x14ac:dyDescent="0.25">
      <c r="A79" s="784"/>
      <c r="B79" s="719"/>
      <c r="C79" s="170" t="str">
        <f t="shared" si="191"/>
        <v>Ea</v>
      </c>
      <c r="D79" s="557"/>
      <c r="E79" s="170"/>
      <c r="F79" s="170"/>
      <c r="G79" s="2162" t="s">
        <v>2251</v>
      </c>
      <c r="H79" s="1926"/>
      <c r="I79" s="2008" t="s">
        <v>1416</v>
      </c>
      <c r="J79" s="1926"/>
      <c r="K79" s="1926"/>
      <c r="L79" s="170"/>
      <c r="M79" s="2009">
        <v>0</v>
      </c>
      <c r="N79" s="2010">
        <v>1</v>
      </c>
      <c r="O79" s="773">
        <f t="shared" si="169"/>
        <v>0</v>
      </c>
      <c r="P79" s="2008" t="s">
        <v>39</v>
      </c>
      <c r="Q79" s="2008" t="s">
        <v>604</v>
      </c>
      <c r="R79" s="2011" t="s">
        <v>74</v>
      </c>
      <c r="S79" s="778">
        <f>SUMIF('Data Input sheet'!$B$118:$B$180,R79,'Data Input sheet'!$D$118:$D$180)</f>
        <v>152</v>
      </c>
      <c r="T79" s="2010">
        <f t="shared" si="170"/>
        <v>0</v>
      </c>
      <c r="U79" s="2010">
        <v>0</v>
      </c>
      <c r="V79" s="778">
        <f t="shared" si="171"/>
        <v>0</v>
      </c>
      <c r="W79" s="2010">
        <v>0</v>
      </c>
      <c r="X79" s="779"/>
      <c r="Y79" s="2012"/>
      <c r="Z79" s="780">
        <f t="shared" si="172"/>
        <v>0</v>
      </c>
      <c r="AA79" s="2007"/>
      <c r="AB79" s="2007"/>
      <c r="AC79" s="765"/>
      <c r="AD79" s="781">
        <f t="shared" si="173"/>
        <v>0</v>
      </c>
      <c r="AE79" s="781">
        <f t="shared" si="174"/>
        <v>0</v>
      </c>
      <c r="AF79" s="781">
        <f t="shared" si="175"/>
        <v>0</v>
      </c>
      <c r="AG79" s="781">
        <f t="shared" si="176"/>
        <v>0</v>
      </c>
      <c r="AH79" s="781">
        <f t="shared" si="177"/>
        <v>0</v>
      </c>
      <c r="AI79" s="782">
        <f t="shared" si="178"/>
        <v>0</v>
      </c>
      <c r="AJ79" s="781">
        <f t="shared" si="179"/>
        <v>0</v>
      </c>
      <c r="AK79" s="781">
        <f t="shared" si="180"/>
        <v>0</v>
      </c>
      <c r="AL79" s="781">
        <f t="shared" si="181"/>
        <v>0</v>
      </c>
      <c r="AM79" s="781">
        <f t="shared" si="182"/>
        <v>0</v>
      </c>
      <c r="AN79" s="781">
        <f t="shared" si="183"/>
        <v>0</v>
      </c>
      <c r="AO79" s="781">
        <f t="shared" si="184"/>
        <v>0</v>
      </c>
      <c r="AP79" s="781">
        <f t="shared" si="185"/>
        <v>0</v>
      </c>
      <c r="AQ79" s="781">
        <f t="shared" si="186"/>
        <v>0</v>
      </c>
      <c r="AR79" s="781">
        <f t="shared" si="187"/>
        <v>0</v>
      </c>
      <c r="AS79" s="783">
        <f t="shared" si="188"/>
        <v>0</v>
      </c>
      <c r="AT79" s="759"/>
      <c r="BA79" s="2007"/>
      <c r="BC79" s="9"/>
      <c r="BE79" s="9"/>
      <c r="BF79" s="9"/>
      <c r="BG79" s="9"/>
      <c r="BH79" s="9"/>
      <c r="BI79" s="9"/>
      <c r="BJ79" s="9"/>
      <c r="BM79" s="2010">
        <v>0</v>
      </c>
    </row>
    <row r="80" spans="1:65" ht="15" x14ac:dyDescent="0.25">
      <c r="A80" s="784"/>
      <c r="B80" s="719"/>
      <c r="C80" s="170" t="str">
        <f t="shared" si="191"/>
        <v/>
      </c>
      <c r="D80" s="557"/>
      <c r="E80" s="170"/>
      <c r="F80" s="170"/>
      <c r="G80" s="2160" t="s">
        <v>2265</v>
      </c>
      <c r="H80" s="1926"/>
      <c r="I80" s="2008"/>
      <c r="J80" s="1926"/>
      <c r="K80" s="1926"/>
      <c r="L80" s="170"/>
      <c r="M80" s="2009"/>
      <c r="N80" s="2010"/>
      <c r="O80" s="773"/>
      <c r="P80" s="2008"/>
      <c r="Q80" s="2008"/>
      <c r="R80" s="2011"/>
      <c r="S80" s="778"/>
      <c r="T80" s="2010"/>
      <c r="U80" s="2010"/>
      <c r="V80" s="778"/>
      <c r="W80" s="2010"/>
      <c r="X80" s="779"/>
      <c r="Y80" s="2012"/>
      <c r="Z80" s="780"/>
      <c r="AA80" s="2007"/>
      <c r="AB80" s="2007"/>
      <c r="AC80" s="765"/>
      <c r="AD80" s="781"/>
      <c r="AE80" s="781"/>
      <c r="AF80" s="781"/>
      <c r="AG80" s="781"/>
      <c r="AH80" s="781"/>
      <c r="AI80" s="782"/>
      <c r="AJ80" s="781"/>
      <c r="AK80" s="781"/>
      <c r="AL80" s="781"/>
      <c r="AM80" s="781"/>
      <c r="AN80" s="781"/>
      <c r="AO80" s="781"/>
      <c r="AP80" s="781"/>
      <c r="AQ80" s="781"/>
      <c r="AR80" s="781"/>
      <c r="AS80" s="783"/>
      <c r="AT80" s="759"/>
      <c r="BA80" s="2007"/>
      <c r="BC80" s="9"/>
      <c r="BE80" s="9"/>
      <c r="BF80" s="9"/>
      <c r="BG80" s="9"/>
      <c r="BH80" s="9"/>
      <c r="BI80" s="9"/>
      <c r="BJ80" s="9"/>
      <c r="BM80" s="2010"/>
    </row>
    <row r="81" spans="1:65" ht="30" x14ac:dyDescent="0.25">
      <c r="A81" s="784"/>
      <c r="B81" s="719">
        <f>+B78+1</f>
        <v>42</v>
      </c>
      <c r="C81" s="170" t="str">
        <f t="shared" si="191"/>
        <v>41Ea</v>
      </c>
      <c r="D81" s="557"/>
      <c r="E81" s="170"/>
      <c r="F81" s="170">
        <v>41</v>
      </c>
      <c r="G81" s="2007" t="s">
        <v>2189</v>
      </c>
      <c r="H81" s="1926"/>
      <c r="I81" s="2008" t="s">
        <v>1416</v>
      </c>
      <c r="J81" s="1926"/>
      <c r="K81" s="1926"/>
      <c r="L81" s="170"/>
      <c r="M81" s="2009">
        <v>80</v>
      </c>
      <c r="N81" s="2010">
        <v>1</v>
      </c>
      <c r="O81" s="773">
        <f t="shared" si="169"/>
        <v>80</v>
      </c>
      <c r="P81" s="2008" t="s">
        <v>39</v>
      </c>
      <c r="Q81" s="2008" t="s">
        <v>604</v>
      </c>
      <c r="R81" s="2011" t="s">
        <v>74</v>
      </c>
      <c r="S81" s="778">
        <f>SUMIF('Data Input sheet'!$B$118:$B$180,R81,'Data Input sheet'!$D$118:$D$180)</f>
        <v>152</v>
      </c>
      <c r="T81" s="2010">
        <f t="shared" si="170"/>
        <v>12160</v>
      </c>
      <c r="U81" s="2010">
        <v>60</v>
      </c>
      <c r="V81" s="778">
        <f t="shared" si="171"/>
        <v>4800</v>
      </c>
      <c r="W81" s="2010">
        <f t="shared" ref="W81:W95" si="192">ROUND(+BM81*(1+$BM$7),-2)</f>
        <v>75000</v>
      </c>
      <c r="X81" s="779"/>
      <c r="Y81" s="2012"/>
      <c r="Z81" s="780">
        <f t="shared" si="172"/>
        <v>91960</v>
      </c>
      <c r="AA81" s="2007"/>
      <c r="AB81" s="2007"/>
      <c r="AC81" s="765"/>
      <c r="AD81" s="781">
        <f t="shared" si="173"/>
        <v>0</v>
      </c>
      <c r="AE81" s="781">
        <f t="shared" si="174"/>
        <v>0</v>
      </c>
      <c r="AF81" s="781">
        <f t="shared" si="175"/>
        <v>0</v>
      </c>
      <c r="AG81" s="781">
        <f t="shared" si="176"/>
        <v>0</v>
      </c>
      <c r="AH81" s="781">
        <f t="shared" si="177"/>
        <v>0</v>
      </c>
      <c r="AI81" s="782">
        <f t="shared" si="178"/>
        <v>0</v>
      </c>
      <c r="AJ81" s="781">
        <f t="shared" si="179"/>
        <v>0</v>
      </c>
      <c r="AK81" s="781">
        <f t="shared" si="180"/>
        <v>0</v>
      </c>
      <c r="AL81" s="781">
        <f t="shared" si="181"/>
        <v>0</v>
      </c>
      <c r="AM81" s="781">
        <f t="shared" si="182"/>
        <v>0</v>
      </c>
      <c r="AN81" s="781">
        <f t="shared" si="183"/>
        <v>0</v>
      </c>
      <c r="AO81" s="781">
        <f t="shared" si="184"/>
        <v>0</v>
      </c>
      <c r="AP81" s="781">
        <f t="shared" si="185"/>
        <v>0</v>
      </c>
      <c r="AQ81" s="781">
        <f t="shared" si="186"/>
        <v>0</v>
      </c>
      <c r="AR81" s="781">
        <f t="shared" si="187"/>
        <v>0</v>
      </c>
      <c r="AS81" s="783">
        <f t="shared" si="188"/>
        <v>0</v>
      </c>
      <c r="AT81" s="759"/>
      <c r="BA81" s="2007" t="s">
        <v>1395</v>
      </c>
      <c r="BB81" s="160" t="str">
        <f>+BC81&amp;", "&amp;BD81&amp;", "&amp;BE81&amp;", "&amp;BF81&amp;", "&amp;BG81&amp;", "&amp;BI81&amp;", "&amp;BH81&amp;", "&amp;BJ81</f>
        <v>Structure, 345kV, H frame, Dead End, 80-99ft, New, Deenergized, Concrete Caisson Fnd</v>
      </c>
      <c r="BC81" s="9" t="s">
        <v>2164</v>
      </c>
      <c r="BD81" s="9" t="s">
        <v>2086</v>
      </c>
      <c r="BE81" s="9" t="s">
        <v>2084</v>
      </c>
      <c r="BF81" s="9" t="s">
        <v>2159</v>
      </c>
      <c r="BG81" s="9" t="s">
        <v>2161</v>
      </c>
      <c r="BH81" s="9" t="s">
        <v>2157</v>
      </c>
      <c r="BI81" s="9" t="s">
        <v>908</v>
      </c>
      <c r="BJ81" s="9" t="s">
        <v>2158</v>
      </c>
      <c r="BM81" s="2010">
        <v>60000</v>
      </c>
    </row>
    <row r="82" spans="1:65" ht="30" x14ac:dyDescent="0.25">
      <c r="A82" s="784"/>
      <c r="B82" s="719">
        <f t="shared" si="24"/>
        <v>43</v>
      </c>
      <c r="C82" s="170" t="str">
        <f t="shared" si="191"/>
        <v>41Ea</v>
      </c>
      <c r="D82" s="557"/>
      <c r="E82" s="170"/>
      <c r="F82" s="170">
        <v>41</v>
      </c>
      <c r="G82" s="2007" t="s">
        <v>2178</v>
      </c>
      <c r="H82" s="1926"/>
      <c r="I82" s="2008" t="s">
        <v>1416</v>
      </c>
      <c r="J82" s="1926"/>
      <c r="K82" s="1926"/>
      <c r="L82" s="170"/>
      <c r="M82" s="2009">
        <v>94</v>
      </c>
      <c r="N82" s="2010">
        <v>1</v>
      </c>
      <c r="O82" s="773">
        <f t="shared" si="169"/>
        <v>94</v>
      </c>
      <c r="P82" s="2008" t="s">
        <v>39</v>
      </c>
      <c r="Q82" s="2008" t="s">
        <v>604</v>
      </c>
      <c r="R82" s="2011" t="s">
        <v>74</v>
      </c>
      <c r="S82" s="778">
        <f>SUMIF('Data Input sheet'!$B$118:$B$180,R82,'Data Input sheet'!$D$118:$D$180)</f>
        <v>152</v>
      </c>
      <c r="T82" s="2010">
        <f t="shared" si="170"/>
        <v>14288</v>
      </c>
      <c r="U82" s="2010">
        <v>60</v>
      </c>
      <c r="V82" s="778">
        <f t="shared" si="171"/>
        <v>5640</v>
      </c>
      <c r="W82" s="2010">
        <f t="shared" si="192"/>
        <v>21900</v>
      </c>
      <c r="X82" s="779"/>
      <c r="Y82" s="2012"/>
      <c r="Z82" s="780">
        <f t="shared" si="172"/>
        <v>41828</v>
      </c>
      <c r="AA82" s="2007"/>
      <c r="AB82" s="2007"/>
      <c r="AC82" s="765"/>
      <c r="AD82" s="781">
        <f t="shared" si="173"/>
        <v>0</v>
      </c>
      <c r="AE82" s="781">
        <f t="shared" si="174"/>
        <v>0</v>
      </c>
      <c r="AF82" s="781">
        <f t="shared" si="175"/>
        <v>0</v>
      </c>
      <c r="AG82" s="781">
        <f t="shared" si="176"/>
        <v>0</v>
      </c>
      <c r="AH82" s="781">
        <f t="shared" si="177"/>
        <v>0</v>
      </c>
      <c r="AI82" s="782">
        <f t="shared" si="178"/>
        <v>0</v>
      </c>
      <c r="AJ82" s="781">
        <f t="shared" si="179"/>
        <v>0</v>
      </c>
      <c r="AK82" s="781">
        <f t="shared" si="180"/>
        <v>0</v>
      </c>
      <c r="AL82" s="781">
        <f t="shared" si="181"/>
        <v>0</v>
      </c>
      <c r="AM82" s="781">
        <f t="shared" si="182"/>
        <v>0</v>
      </c>
      <c r="AN82" s="781">
        <f t="shared" si="183"/>
        <v>0</v>
      </c>
      <c r="AO82" s="781">
        <f t="shared" si="184"/>
        <v>0</v>
      </c>
      <c r="AP82" s="781">
        <f t="shared" si="185"/>
        <v>0</v>
      </c>
      <c r="AQ82" s="781">
        <f t="shared" si="186"/>
        <v>0</v>
      </c>
      <c r="AR82" s="781">
        <f t="shared" si="187"/>
        <v>0</v>
      </c>
      <c r="AS82" s="783">
        <f t="shared" si="188"/>
        <v>0</v>
      </c>
      <c r="AT82" s="759"/>
      <c r="BA82" s="2007" t="s">
        <v>1381</v>
      </c>
      <c r="BB82" s="160" t="str">
        <f>+BC82&amp;", "&amp;BD82&amp;", "&amp;BE82&amp;", "&amp;BF82&amp;", "&amp;BG82&amp;", "&amp;BI82&amp;", "&amp;BH82&amp;", "&amp;BJ82</f>
        <v>Structure, 345kV, H frame, Dead End, 80-99ft, New, Deenergized, Direct Embedment Fnd</v>
      </c>
      <c r="BC82" s="9" t="s">
        <v>2164</v>
      </c>
      <c r="BD82" s="9" t="s">
        <v>2086</v>
      </c>
      <c r="BE82" s="9" t="s">
        <v>2084</v>
      </c>
      <c r="BF82" s="9" t="s">
        <v>2159</v>
      </c>
      <c r="BG82" s="9" t="s">
        <v>2161</v>
      </c>
      <c r="BH82" s="9" t="s">
        <v>2157</v>
      </c>
      <c r="BI82" s="9" t="s">
        <v>908</v>
      </c>
      <c r="BJ82" s="9" t="s">
        <v>2163</v>
      </c>
      <c r="BM82" s="2010">
        <v>17500</v>
      </c>
    </row>
    <row r="83" spans="1:65" ht="30" x14ac:dyDescent="0.25">
      <c r="A83" s="784"/>
      <c r="B83" s="719">
        <f>+B81+1</f>
        <v>43</v>
      </c>
      <c r="C83" s="170" t="str">
        <f t="shared" si="191"/>
        <v>41Ea</v>
      </c>
      <c r="D83" s="557"/>
      <c r="E83" s="170"/>
      <c r="F83" s="170">
        <v>41</v>
      </c>
      <c r="G83" s="2007" t="s">
        <v>2266</v>
      </c>
      <c r="H83" s="1926"/>
      <c r="I83" s="2008" t="s">
        <v>1416</v>
      </c>
      <c r="J83" s="1926"/>
      <c r="K83" s="1926"/>
      <c r="L83" s="170"/>
      <c r="M83" s="2009">
        <v>350</v>
      </c>
      <c r="N83" s="2010">
        <v>1</v>
      </c>
      <c r="O83" s="773">
        <f t="shared" ref="O83" si="193">+M83*N83</f>
        <v>350</v>
      </c>
      <c r="P83" s="2008" t="s">
        <v>39</v>
      </c>
      <c r="Q83" s="2008" t="s">
        <v>604</v>
      </c>
      <c r="R83" s="2011" t="s">
        <v>74</v>
      </c>
      <c r="S83" s="778">
        <f>SUMIF('Data Input sheet'!$B$118:$B$180,R83,'Data Input sheet'!$D$118:$D$180)</f>
        <v>152</v>
      </c>
      <c r="T83" s="2010">
        <f t="shared" ref="T83" si="194">S83*O83</f>
        <v>53200</v>
      </c>
      <c r="U83" s="2010">
        <v>60</v>
      </c>
      <c r="V83" s="778">
        <f t="shared" ref="V83" si="195">ROUND(U83*O83,0)</f>
        <v>21000</v>
      </c>
      <c r="W83" s="2010">
        <f t="shared" si="192"/>
        <v>75000</v>
      </c>
      <c r="X83" s="779"/>
      <c r="Y83" s="2012"/>
      <c r="Z83" s="780">
        <f t="shared" ref="Z83" si="196">T83+V83+W83+Y83</f>
        <v>149200</v>
      </c>
      <c r="AA83" s="2007"/>
      <c r="AB83" s="2007"/>
      <c r="AC83" s="765"/>
      <c r="AD83" s="781">
        <f t="shared" ref="AD83" si="197">IF(P83="E",+ROUND(H83*O83,0),0)</f>
        <v>0</v>
      </c>
      <c r="AE83" s="781">
        <f t="shared" ref="AE83" si="198">+AF83-AD83</f>
        <v>0</v>
      </c>
      <c r="AF83" s="781">
        <f t="shared" ref="AF83" si="199">+H83*O83</f>
        <v>0</v>
      </c>
      <c r="AG83" s="781">
        <f t="shared" ref="AG83" si="200">IF(P83="E",+ROUND(T83*H83,0),0)</f>
        <v>0</v>
      </c>
      <c r="AH83" s="781">
        <f t="shared" ref="AH83" si="201">+AI83-AG83</f>
        <v>0</v>
      </c>
      <c r="AI83" s="782">
        <f t="shared" ref="AI83" si="202">+H83*T83</f>
        <v>0</v>
      </c>
      <c r="AJ83" s="781">
        <f t="shared" ref="AJ83" si="203">IF(P83="E",+ROUND(V83*H83,0),0)</f>
        <v>0</v>
      </c>
      <c r="AK83" s="781">
        <f t="shared" ref="AK83" si="204">+AL83-AJ83</f>
        <v>0</v>
      </c>
      <c r="AL83" s="781">
        <f t="shared" ref="AL83" si="205">ROUND(V83*H83,0)</f>
        <v>0</v>
      </c>
      <c r="AM83" s="781">
        <f t="shared" ref="AM83" si="206">IF(Q83="E",+ROUND(W83*H83,0),0)</f>
        <v>0</v>
      </c>
      <c r="AN83" s="781">
        <f t="shared" ref="AN83" si="207">+AO83-AM83</f>
        <v>0</v>
      </c>
      <c r="AO83" s="781">
        <f t="shared" ref="AO83" si="208">ROUND(W83*H83,0)</f>
        <v>0</v>
      </c>
      <c r="AP83" s="781">
        <f t="shared" ref="AP83" si="209">IF(P83="E",+ROUND(Y83*H83,0),0)</f>
        <v>0</v>
      </c>
      <c r="AQ83" s="781">
        <f t="shared" ref="AQ83" si="210">+AR83-AP83</f>
        <v>0</v>
      </c>
      <c r="AR83" s="781">
        <f t="shared" ref="AR83" si="211">ROUND(Y83*H83,0)</f>
        <v>0</v>
      </c>
      <c r="AS83" s="783">
        <f t="shared" ref="AS83" si="212">+AR83+AO83+AL83+AI83</f>
        <v>0</v>
      </c>
      <c r="AT83" s="759"/>
      <c r="BA83" s="2007" t="s">
        <v>1382</v>
      </c>
      <c r="BB83" s="160" t="str">
        <f>+BC83&amp;", "&amp;BD83&amp;", "&amp;BE83&amp;", "&amp;BF83&amp;", "&amp;BG83&amp;", "&amp;BI83&amp;", "&amp;BH83&amp;", "&amp;BJ83</f>
        <v>Structure, 345kV, H frame, Dead End, 80-99ft, Repl., Deenergized, Concrete Caisson Fnd</v>
      </c>
      <c r="BC83" s="9" t="s">
        <v>2164</v>
      </c>
      <c r="BD83" s="9" t="s">
        <v>2086</v>
      </c>
      <c r="BE83" s="9" t="s">
        <v>2084</v>
      </c>
      <c r="BF83" s="9" t="s">
        <v>2159</v>
      </c>
      <c r="BG83" s="9" t="s">
        <v>2161</v>
      </c>
      <c r="BH83" s="9" t="s">
        <v>2157</v>
      </c>
      <c r="BI83" s="9" t="s">
        <v>2165</v>
      </c>
      <c r="BJ83" s="9" t="s">
        <v>2158</v>
      </c>
      <c r="BM83" s="2010">
        <v>60000</v>
      </c>
    </row>
    <row r="84" spans="1:65" ht="30" x14ac:dyDescent="0.25">
      <c r="A84" s="784"/>
      <c r="B84" s="719">
        <f>+B82+1</f>
        <v>44</v>
      </c>
      <c r="C84" s="170" t="str">
        <f t="shared" si="191"/>
        <v>41Ea</v>
      </c>
      <c r="D84" s="557"/>
      <c r="E84" s="170"/>
      <c r="F84" s="170">
        <v>41</v>
      </c>
      <c r="G84" s="2007" t="s">
        <v>2179</v>
      </c>
      <c r="H84" s="1926">
        <f>+'Structure replacements'!$J$37+'Structure replacements'!$J$38</f>
        <v>0</v>
      </c>
      <c r="I84" s="2008" t="s">
        <v>1416</v>
      </c>
      <c r="J84" s="1926"/>
      <c r="K84" s="1926"/>
      <c r="L84" s="170"/>
      <c r="M84" s="2009">
        <v>179</v>
      </c>
      <c r="N84" s="2010">
        <v>1</v>
      </c>
      <c r="O84" s="773">
        <f t="shared" si="169"/>
        <v>179</v>
      </c>
      <c r="P84" s="2008" t="s">
        <v>39</v>
      </c>
      <c r="Q84" s="2008" t="s">
        <v>604</v>
      </c>
      <c r="R84" s="2011" t="s">
        <v>74</v>
      </c>
      <c r="S84" s="778">
        <f>SUMIF('Data Input sheet'!$B$118:$B$180,R84,'Data Input sheet'!$D$118:$D$180)</f>
        <v>152</v>
      </c>
      <c r="T84" s="2010">
        <f t="shared" si="170"/>
        <v>27208</v>
      </c>
      <c r="U84" s="2010">
        <v>60</v>
      </c>
      <c r="V84" s="778">
        <f t="shared" si="171"/>
        <v>10740</v>
      </c>
      <c r="W84" s="2010">
        <f t="shared" si="192"/>
        <v>21900</v>
      </c>
      <c r="X84" s="779"/>
      <c r="Y84" s="2012"/>
      <c r="Z84" s="780">
        <f t="shared" si="172"/>
        <v>59848</v>
      </c>
      <c r="AA84" s="2007"/>
      <c r="AB84" s="2007"/>
      <c r="AC84" s="765"/>
      <c r="AD84" s="781">
        <f t="shared" si="173"/>
        <v>0</v>
      </c>
      <c r="AE84" s="781">
        <f t="shared" si="174"/>
        <v>0</v>
      </c>
      <c r="AF84" s="781">
        <f t="shared" si="175"/>
        <v>0</v>
      </c>
      <c r="AG84" s="781">
        <f t="shared" si="176"/>
        <v>0</v>
      </c>
      <c r="AH84" s="781">
        <f t="shared" si="177"/>
        <v>0</v>
      </c>
      <c r="AI84" s="782">
        <f t="shared" si="178"/>
        <v>0</v>
      </c>
      <c r="AJ84" s="781">
        <f t="shared" si="179"/>
        <v>0</v>
      </c>
      <c r="AK84" s="781">
        <f t="shared" si="180"/>
        <v>0</v>
      </c>
      <c r="AL84" s="781">
        <f t="shared" si="181"/>
        <v>0</v>
      </c>
      <c r="AM84" s="781">
        <f t="shared" si="182"/>
        <v>0</v>
      </c>
      <c r="AN84" s="781">
        <f t="shared" si="183"/>
        <v>0</v>
      </c>
      <c r="AO84" s="781">
        <f t="shared" si="184"/>
        <v>0</v>
      </c>
      <c r="AP84" s="781">
        <f t="shared" si="185"/>
        <v>0</v>
      </c>
      <c r="AQ84" s="781">
        <f t="shared" si="186"/>
        <v>0</v>
      </c>
      <c r="AR84" s="781">
        <f t="shared" si="187"/>
        <v>0</v>
      </c>
      <c r="AS84" s="783">
        <f t="shared" si="188"/>
        <v>0</v>
      </c>
      <c r="AT84" s="759"/>
      <c r="BA84" s="2007" t="s">
        <v>1382</v>
      </c>
      <c r="BB84" s="160" t="str">
        <f>+BC84&amp;", "&amp;BD84&amp;", "&amp;BE84&amp;", "&amp;BF84&amp;", "&amp;BG84&amp;", "&amp;BI84&amp;", "&amp;BH84&amp;", "&amp;BJ84</f>
        <v>Structure, 345kV, H frame, Dead End, 80-99ft, Repl., Deenergized, Direct Embedment Fnd</v>
      </c>
      <c r="BC84" s="9" t="s">
        <v>2164</v>
      </c>
      <c r="BD84" s="9" t="s">
        <v>2086</v>
      </c>
      <c r="BE84" s="9" t="s">
        <v>2084</v>
      </c>
      <c r="BF84" s="9" t="s">
        <v>2159</v>
      </c>
      <c r="BG84" s="9" t="s">
        <v>2161</v>
      </c>
      <c r="BH84" s="9" t="s">
        <v>2157</v>
      </c>
      <c r="BI84" s="9" t="s">
        <v>2165</v>
      </c>
      <c r="BJ84" s="9" t="s">
        <v>2163</v>
      </c>
      <c r="BM84" s="2010">
        <v>17500</v>
      </c>
    </row>
    <row r="85" spans="1:65" ht="30" x14ac:dyDescent="0.25">
      <c r="A85" s="784"/>
      <c r="B85" s="719">
        <f>+B84+1</f>
        <v>45</v>
      </c>
      <c r="C85" s="170" t="str">
        <f t="shared" si="191"/>
        <v>41Ea</v>
      </c>
      <c r="D85" s="557"/>
      <c r="E85" s="170"/>
      <c r="F85" s="170">
        <v>41</v>
      </c>
      <c r="G85" s="2007" t="s">
        <v>2177</v>
      </c>
      <c r="H85" s="1926">
        <f>+'Structure replacements'!$J$39+'Structure replacements'!$J$40</f>
        <v>0</v>
      </c>
      <c r="I85" s="2008" t="s">
        <v>1416</v>
      </c>
      <c r="J85" s="1926"/>
      <c r="K85" s="1926"/>
      <c r="L85" s="170"/>
      <c r="M85" s="2009">
        <v>436</v>
      </c>
      <c r="N85" s="2010">
        <v>1</v>
      </c>
      <c r="O85" s="773">
        <f t="shared" si="169"/>
        <v>436</v>
      </c>
      <c r="P85" s="2008" t="s">
        <v>39</v>
      </c>
      <c r="Q85" s="2008" t="s">
        <v>604</v>
      </c>
      <c r="R85" s="2011" t="s">
        <v>74</v>
      </c>
      <c r="S85" s="778">
        <f>SUMIF('Data Input sheet'!$B$118:$B$180,R85,'Data Input sheet'!$D$118:$D$180)</f>
        <v>152</v>
      </c>
      <c r="T85" s="2010">
        <f t="shared" si="170"/>
        <v>66272</v>
      </c>
      <c r="U85" s="2010">
        <v>60</v>
      </c>
      <c r="V85" s="778">
        <f t="shared" si="171"/>
        <v>26160</v>
      </c>
      <c r="W85" s="2010">
        <f t="shared" si="192"/>
        <v>75000</v>
      </c>
      <c r="X85" s="779"/>
      <c r="Y85" s="2012"/>
      <c r="Z85" s="780">
        <f t="shared" si="172"/>
        <v>167432</v>
      </c>
      <c r="AA85" s="2007"/>
      <c r="AB85" s="2007"/>
      <c r="AC85" s="765"/>
      <c r="AD85" s="781">
        <f t="shared" si="173"/>
        <v>0</v>
      </c>
      <c r="AE85" s="781">
        <f t="shared" si="174"/>
        <v>0</v>
      </c>
      <c r="AF85" s="781">
        <f t="shared" si="175"/>
        <v>0</v>
      </c>
      <c r="AG85" s="781">
        <f t="shared" si="176"/>
        <v>0</v>
      </c>
      <c r="AH85" s="781">
        <f t="shared" si="177"/>
        <v>0</v>
      </c>
      <c r="AI85" s="782">
        <f t="shared" si="178"/>
        <v>0</v>
      </c>
      <c r="AJ85" s="781">
        <f t="shared" si="179"/>
        <v>0</v>
      </c>
      <c r="AK85" s="781">
        <f t="shared" si="180"/>
        <v>0</v>
      </c>
      <c r="AL85" s="781">
        <f t="shared" si="181"/>
        <v>0</v>
      </c>
      <c r="AM85" s="781">
        <f t="shared" si="182"/>
        <v>0</v>
      </c>
      <c r="AN85" s="781">
        <f t="shared" si="183"/>
        <v>0</v>
      </c>
      <c r="AO85" s="781">
        <f t="shared" si="184"/>
        <v>0</v>
      </c>
      <c r="AP85" s="781">
        <f t="shared" si="185"/>
        <v>0</v>
      </c>
      <c r="AQ85" s="781">
        <f t="shared" si="186"/>
        <v>0</v>
      </c>
      <c r="AR85" s="781">
        <f t="shared" si="187"/>
        <v>0</v>
      </c>
      <c r="AS85" s="783">
        <f t="shared" si="188"/>
        <v>0</v>
      </c>
      <c r="AT85" s="759"/>
      <c r="BA85" s="2007" t="s">
        <v>1380</v>
      </c>
      <c r="BB85" s="160" t="str">
        <f>+BC85&amp;", "&amp;BD85&amp;", "&amp;BE85&amp;", "&amp;BF85&amp;", "&amp;BG85&amp;", "&amp;BI85&amp;", "&amp;BH85&amp;", "&amp;BJ85</f>
        <v>Structure, 345kV, H frame, Dead End, 80-99ft, Repl., Live line, Concrete Caisson Fnd</v>
      </c>
      <c r="BC85" s="9" t="s">
        <v>2164</v>
      </c>
      <c r="BD85" s="9" t="s">
        <v>2086</v>
      </c>
      <c r="BE85" s="9" t="s">
        <v>2084</v>
      </c>
      <c r="BF85" s="9" t="s">
        <v>2159</v>
      </c>
      <c r="BG85" s="9" t="s">
        <v>2161</v>
      </c>
      <c r="BH85" s="9" t="s">
        <v>2162</v>
      </c>
      <c r="BI85" s="9" t="s">
        <v>2165</v>
      </c>
      <c r="BJ85" s="9" t="s">
        <v>2158</v>
      </c>
      <c r="BM85" s="2010">
        <v>60000</v>
      </c>
    </row>
    <row r="86" spans="1:65" ht="15" x14ac:dyDescent="0.25">
      <c r="A86" s="784"/>
      <c r="B86" s="719"/>
      <c r="C86" s="170" t="str">
        <f t="shared" si="191"/>
        <v>Ea</v>
      </c>
      <c r="D86" s="557"/>
      <c r="E86" s="170"/>
      <c r="F86" s="170"/>
      <c r="G86" s="2160" t="s">
        <v>2263</v>
      </c>
      <c r="H86" s="1926"/>
      <c r="I86" s="2008" t="s">
        <v>1416</v>
      </c>
      <c r="J86" s="1926"/>
      <c r="K86" s="1926"/>
      <c r="L86" s="170"/>
      <c r="M86" s="2009">
        <v>0</v>
      </c>
      <c r="N86" s="2010">
        <v>1</v>
      </c>
      <c r="O86" s="773">
        <f t="shared" si="169"/>
        <v>0</v>
      </c>
      <c r="P86" s="2008" t="s">
        <v>39</v>
      </c>
      <c r="Q86" s="2008" t="s">
        <v>604</v>
      </c>
      <c r="R86" s="2011" t="s">
        <v>74</v>
      </c>
      <c r="S86" s="778">
        <f>SUMIF('Data Input sheet'!$B$118:$B$180,R86,'Data Input sheet'!$D$118:$D$180)</f>
        <v>152</v>
      </c>
      <c r="T86" s="2010">
        <f t="shared" si="170"/>
        <v>0</v>
      </c>
      <c r="U86" s="2010">
        <v>0</v>
      </c>
      <c r="V86" s="778">
        <f t="shared" si="171"/>
        <v>0</v>
      </c>
      <c r="W86" s="2010">
        <v>0</v>
      </c>
      <c r="X86" s="779"/>
      <c r="Y86" s="2012"/>
      <c r="Z86" s="780">
        <f t="shared" si="172"/>
        <v>0</v>
      </c>
      <c r="AA86" s="2007"/>
      <c r="AB86" s="2007"/>
      <c r="AC86" s="765"/>
      <c r="AD86" s="781">
        <f t="shared" si="173"/>
        <v>0</v>
      </c>
      <c r="AE86" s="781">
        <f t="shared" si="174"/>
        <v>0</v>
      </c>
      <c r="AF86" s="781">
        <f t="shared" si="175"/>
        <v>0</v>
      </c>
      <c r="AG86" s="781">
        <f t="shared" si="176"/>
        <v>0</v>
      </c>
      <c r="AH86" s="781">
        <f t="shared" si="177"/>
        <v>0</v>
      </c>
      <c r="AI86" s="782">
        <f t="shared" si="178"/>
        <v>0</v>
      </c>
      <c r="AJ86" s="781">
        <f t="shared" si="179"/>
        <v>0</v>
      </c>
      <c r="AK86" s="781">
        <f t="shared" si="180"/>
        <v>0</v>
      </c>
      <c r="AL86" s="781">
        <f t="shared" si="181"/>
        <v>0</v>
      </c>
      <c r="AM86" s="781">
        <f t="shared" si="182"/>
        <v>0</v>
      </c>
      <c r="AN86" s="781">
        <f t="shared" si="183"/>
        <v>0</v>
      </c>
      <c r="AO86" s="781">
        <f t="shared" si="184"/>
        <v>0</v>
      </c>
      <c r="AP86" s="781">
        <f t="shared" si="185"/>
        <v>0</v>
      </c>
      <c r="AQ86" s="781">
        <f t="shared" si="186"/>
        <v>0</v>
      </c>
      <c r="AR86" s="781">
        <f t="shared" si="187"/>
        <v>0</v>
      </c>
      <c r="AS86" s="783">
        <f t="shared" si="188"/>
        <v>0</v>
      </c>
      <c r="AT86" s="759"/>
      <c r="BA86" s="2007"/>
      <c r="BC86" s="9"/>
      <c r="BE86" s="9"/>
      <c r="BF86" s="9"/>
      <c r="BG86" s="9"/>
      <c r="BH86" s="9"/>
      <c r="BI86" s="9"/>
      <c r="BJ86" s="9"/>
      <c r="BM86" s="2010">
        <v>0</v>
      </c>
    </row>
    <row r="87" spans="1:65" ht="45" x14ac:dyDescent="0.25">
      <c r="A87" s="784"/>
      <c r="B87" s="719">
        <f>+B85+1</f>
        <v>46</v>
      </c>
      <c r="C87" s="170" t="str">
        <f t="shared" si="191"/>
        <v>41Ea</v>
      </c>
      <c r="D87" s="557"/>
      <c r="E87" s="170"/>
      <c r="F87" s="170">
        <v>41</v>
      </c>
      <c r="G87" s="2007" t="s">
        <v>2180</v>
      </c>
      <c r="H87" s="1926"/>
      <c r="I87" s="2008" t="s">
        <v>1416</v>
      </c>
      <c r="J87" s="1926"/>
      <c r="K87" s="1926"/>
      <c r="L87" s="170"/>
      <c r="M87" s="2009">
        <v>80</v>
      </c>
      <c r="N87" s="2010">
        <v>1</v>
      </c>
      <c r="O87" s="773">
        <f t="shared" si="169"/>
        <v>80</v>
      </c>
      <c r="P87" s="2008" t="s">
        <v>39</v>
      </c>
      <c r="Q87" s="2008" t="s">
        <v>604</v>
      </c>
      <c r="R87" s="2011" t="s">
        <v>74</v>
      </c>
      <c r="S87" s="778">
        <f>SUMIF('Data Input sheet'!$B$118:$B$180,R87,'Data Input sheet'!$D$118:$D$180)</f>
        <v>152</v>
      </c>
      <c r="T87" s="2010">
        <f t="shared" si="170"/>
        <v>12160</v>
      </c>
      <c r="U87" s="2010">
        <v>54</v>
      </c>
      <c r="V87" s="778">
        <f t="shared" si="171"/>
        <v>4320</v>
      </c>
      <c r="W87" s="2010">
        <f t="shared" si="192"/>
        <v>56300</v>
      </c>
      <c r="X87" s="779"/>
      <c r="Y87" s="2012"/>
      <c r="Z87" s="780">
        <f t="shared" si="172"/>
        <v>72780</v>
      </c>
      <c r="AA87" s="2007"/>
      <c r="AB87" s="2007"/>
      <c r="AC87" s="765"/>
      <c r="AD87" s="781">
        <f t="shared" si="173"/>
        <v>0</v>
      </c>
      <c r="AE87" s="781">
        <f t="shared" si="174"/>
        <v>0</v>
      </c>
      <c r="AF87" s="781">
        <f t="shared" si="175"/>
        <v>0</v>
      </c>
      <c r="AG87" s="781">
        <f t="shared" si="176"/>
        <v>0</v>
      </c>
      <c r="AH87" s="781">
        <f t="shared" si="177"/>
        <v>0</v>
      </c>
      <c r="AI87" s="782">
        <f t="shared" si="178"/>
        <v>0</v>
      </c>
      <c r="AJ87" s="781">
        <f t="shared" si="179"/>
        <v>0</v>
      </c>
      <c r="AK87" s="781">
        <f t="shared" si="180"/>
        <v>0</v>
      </c>
      <c r="AL87" s="781">
        <f t="shared" si="181"/>
        <v>0</v>
      </c>
      <c r="AM87" s="781">
        <f t="shared" si="182"/>
        <v>0</v>
      </c>
      <c r="AN87" s="781">
        <f t="shared" si="183"/>
        <v>0</v>
      </c>
      <c r="AO87" s="781">
        <f t="shared" si="184"/>
        <v>0</v>
      </c>
      <c r="AP87" s="781">
        <f t="shared" si="185"/>
        <v>0</v>
      </c>
      <c r="AQ87" s="781">
        <f t="shared" si="186"/>
        <v>0</v>
      </c>
      <c r="AR87" s="781">
        <f t="shared" si="187"/>
        <v>0</v>
      </c>
      <c r="AS87" s="783">
        <f t="shared" si="188"/>
        <v>0</v>
      </c>
      <c r="AT87" s="759"/>
      <c r="BA87" s="2007" t="s">
        <v>1383</v>
      </c>
      <c r="BB87" s="160" t="str">
        <f>+BC87&amp;", "&amp;BD87&amp;", "&amp;BE87&amp;", "&amp;BF87&amp;", "&amp;BG87&amp;", "&amp;BI87&amp;", "&amp;BH87&amp;", "&amp;BJ87</f>
        <v>Structure, 345kV, H frame, Running Angle, 80-99ft, New, Deenergized, Concrete Caisson Fnd</v>
      </c>
      <c r="BC87" s="9" t="s">
        <v>2164</v>
      </c>
      <c r="BD87" s="9" t="s">
        <v>2086</v>
      </c>
      <c r="BE87" s="9" t="s">
        <v>2084</v>
      </c>
      <c r="BF87" s="9" t="s">
        <v>2160</v>
      </c>
      <c r="BG87" s="9" t="s">
        <v>2161</v>
      </c>
      <c r="BH87" s="9" t="s">
        <v>2157</v>
      </c>
      <c r="BI87" s="9" t="s">
        <v>908</v>
      </c>
      <c r="BJ87" s="9" t="s">
        <v>2158</v>
      </c>
      <c r="BM87" s="2010">
        <v>45000</v>
      </c>
    </row>
    <row r="88" spans="1:65" ht="45" x14ac:dyDescent="0.25">
      <c r="A88" s="784"/>
      <c r="B88" s="719">
        <f t="shared" si="24"/>
        <v>47</v>
      </c>
      <c r="C88" s="170" t="str">
        <f t="shared" si="191"/>
        <v>41Ea</v>
      </c>
      <c r="D88" s="557"/>
      <c r="E88" s="170"/>
      <c r="F88" s="170">
        <v>41</v>
      </c>
      <c r="G88" s="2007" t="s">
        <v>2182</v>
      </c>
      <c r="H88" s="1926">
        <v>0</v>
      </c>
      <c r="I88" s="2008" t="s">
        <v>1416</v>
      </c>
      <c r="J88" s="1926"/>
      <c r="K88" s="1926"/>
      <c r="L88" s="170"/>
      <c r="M88" s="2009">
        <v>87</v>
      </c>
      <c r="N88" s="2010">
        <v>1</v>
      </c>
      <c r="O88" s="773">
        <f t="shared" si="169"/>
        <v>87</v>
      </c>
      <c r="P88" s="2008" t="s">
        <v>39</v>
      </c>
      <c r="Q88" s="2008" t="s">
        <v>604</v>
      </c>
      <c r="R88" s="2011" t="s">
        <v>74</v>
      </c>
      <c r="S88" s="778">
        <f>SUMIF('Data Input sheet'!$B$118:$B$180,R88,'Data Input sheet'!$D$118:$D$180)</f>
        <v>152</v>
      </c>
      <c r="T88" s="2010">
        <f t="shared" si="170"/>
        <v>13224</v>
      </c>
      <c r="U88" s="2010">
        <v>60</v>
      </c>
      <c r="V88" s="778">
        <f t="shared" si="171"/>
        <v>5220</v>
      </c>
      <c r="W88" s="2010">
        <f t="shared" si="192"/>
        <v>52500</v>
      </c>
      <c r="X88" s="779"/>
      <c r="Y88" s="2012"/>
      <c r="Z88" s="780">
        <f t="shared" si="172"/>
        <v>70944</v>
      </c>
      <c r="AA88" s="2007"/>
      <c r="AB88" s="2007"/>
      <c r="AC88" s="765"/>
      <c r="AD88" s="781">
        <f t="shared" si="173"/>
        <v>0</v>
      </c>
      <c r="AE88" s="781">
        <f t="shared" si="174"/>
        <v>0</v>
      </c>
      <c r="AF88" s="781">
        <f t="shared" si="175"/>
        <v>0</v>
      </c>
      <c r="AG88" s="781">
        <f t="shared" si="176"/>
        <v>0</v>
      </c>
      <c r="AH88" s="781">
        <f t="shared" si="177"/>
        <v>0</v>
      </c>
      <c r="AI88" s="782">
        <f t="shared" si="178"/>
        <v>0</v>
      </c>
      <c r="AJ88" s="781">
        <f t="shared" si="179"/>
        <v>0</v>
      </c>
      <c r="AK88" s="781">
        <f t="shared" si="180"/>
        <v>0</v>
      </c>
      <c r="AL88" s="781">
        <f t="shared" si="181"/>
        <v>0</v>
      </c>
      <c r="AM88" s="781">
        <f t="shared" si="182"/>
        <v>0</v>
      </c>
      <c r="AN88" s="781">
        <f t="shared" si="183"/>
        <v>0</v>
      </c>
      <c r="AO88" s="781">
        <f t="shared" si="184"/>
        <v>0</v>
      </c>
      <c r="AP88" s="781">
        <f t="shared" si="185"/>
        <v>0</v>
      </c>
      <c r="AQ88" s="781">
        <f t="shared" si="186"/>
        <v>0</v>
      </c>
      <c r="AR88" s="781">
        <f t="shared" si="187"/>
        <v>0</v>
      </c>
      <c r="AS88" s="783">
        <f t="shared" si="188"/>
        <v>0</v>
      </c>
      <c r="AT88" s="759"/>
      <c r="BA88" s="2007" t="s">
        <v>1397</v>
      </c>
      <c r="BB88" s="160" t="str">
        <f>+BC88&amp;", "&amp;BD88&amp;", "&amp;BE88&amp;", "&amp;BF88&amp;", "&amp;BG88&amp;", "&amp;BI88&amp;", "&amp;BH88&amp;", "&amp;BJ88</f>
        <v>Structure, 345kV, H frame, Running Angle, 80-99ft, New, Deenergized, Direct Embedment Fnd</v>
      </c>
      <c r="BC88" s="9" t="s">
        <v>2164</v>
      </c>
      <c r="BD88" s="9" t="s">
        <v>2086</v>
      </c>
      <c r="BE88" s="9" t="s">
        <v>2084</v>
      </c>
      <c r="BF88" s="9" t="s">
        <v>2160</v>
      </c>
      <c r="BG88" s="9" t="s">
        <v>2161</v>
      </c>
      <c r="BH88" s="9" t="s">
        <v>2157</v>
      </c>
      <c r="BI88" s="9" t="s">
        <v>908</v>
      </c>
      <c r="BJ88" s="9" t="s">
        <v>2163</v>
      </c>
      <c r="BM88" s="2010">
        <v>42000</v>
      </c>
    </row>
    <row r="89" spans="1:65" ht="45" x14ac:dyDescent="0.25">
      <c r="A89" s="784"/>
      <c r="B89" s="719">
        <f t="shared" si="24"/>
        <v>48</v>
      </c>
      <c r="C89" s="170" t="str">
        <f t="shared" si="191"/>
        <v>41Ea</v>
      </c>
      <c r="D89" s="557"/>
      <c r="E89" s="170"/>
      <c r="F89" s="170">
        <v>41</v>
      </c>
      <c r="G89" s="2007" t="s">
        <v>2183</v>
      </c>
      <c r="H89" s="1926">
        <f>+'Structure replacements'!$I$37+'Structure replacements'!$I$38</f>
        <v>0</v>
      </c>
      <c r="I89" s="2008" t="s">
        <v>1416</v>
      </c>
      <c r="J89" s="1926"/>
      <c r="K89" s="1926"/>
      <c r="L89" s="170"/>
      <c r="M89" s="2009">
        <v>148</v>
      </c>
      <c r="N89" s="2010">
        <v>1</v>
      </c>
      <c r="O89" s="773">
        <f t="shared" si="169"/>
        <v>148</v>
      </c>
      <c r="P89" s="2008" t="s">
        <v>39</v>
      </c>
      <c r="Q89" s="2008" t="s">
        <v>604</v>
      </c>
      <c r="R89" s="2011" t="s">
        <v>74</v>
      </c>
      <c r="S89" s="778">
        <f>SUMIF('Data Input sheet'!$B$118:$B$180,R89,'Data Input sheet'!$D$118:$D$180)</f>
        <v>152</v>
      </c>
      <c r="T89" s="2010">
        <f t="shared" si="170"/>
        <v>22496</v>
      </c>
      <c r="U89" s="2010">
        <v>19</v>
      </c>
      <c r="V89" s="778">
        <f t="shared" si="171"/>
        <v>2812</v>
      </c>
      <c r="W89" s="2010">
        <f t="shared" si="192"/>
        <v>52500</v>
      </c>
      <c r="X89" s="779"/>
      <c r="Y89" s="2012"/>
      <c r="Z89" s="780">
        <f t="shared" si="172"/>
        <v>77808</v>
      </c>
      <c r="AA89" s="2007"/>
      <c r="AB89" s="2007"/>
      <c r="AC89" s="765"/>
      <c r="AD89" s="781">
        <f t="shared" si="173"/>
        <v>0</v>
      </c>
      <c r="AE89" s="781">
        <f t="shared" si="174"/>
        <v>0</v>
      </c>
      <c r="AF89" s="781">
        <f t="shared" si="175"/>
        <v>0</v>
      </c>
      <c r="AG89" s="781">
        <f t="shared" si="176"/>
        <v>0</v>
      </c>
      <c r="AH89" s="781">
        <f t="shared" si="177"/>
        <v>0</v>
      </c>
      <c r="AI89" s="782">
        <f t="shared" si="178"/>
        <v>0</v>
      </c>
      <c r="AJ89" s="781">
        <f t="shared" si="179"/>
        <v>0</v>
      </c>
      <c r="AK89" s="781">
        <f t="shared" si="180"/>
        <v>0</v>
      </c>
      <c r="AL89" s="781">
        <f t="shared" si="181"/>
        <v>0</v>
      </c>
      <c r="AM89" s="781">
        <f t="shared" si="182"/>
        <v>0</v>
      </c>
      <c r="AN89" s="781">
        <f t="shared" si="183"/>
        <v>0</v>
      </c>
      <c r="AO89" s="781">
        <f t="shared" si="184"/>
        <v>0</v>
      </c>
      <c r="AP89" s="781">
        <f t="shared" si="185"/>
        <v>0</v>
      </c>
      <c r="AQ89" s="781">
        <f t="shared" si="186"/>
        <v>0</v>
      </c>
      <c r="AR89" s="781">
        <f t="shared" si="187"/>
        <v>0</v>
      </c>
      <c r="AS89" s="783">
        <f t="shared" si="188"/>
        <v>0</v>
      </c>
      <c r="AT89" s="759"/>
      <c r="BA89" s="2007" t="s">
        <v>1398</v>
      </c>
      <c r="BB89" s="160" t="str">
        <f>+BC89&amp;", "&amp;BD89&amp;", "&amp;BE89&amp;", "&amp;BF89&amp;", "&amp;BG89&amp;", "&amp;BI89&amp;", "&amp;BH89&amp;", "&amp;BJ89</f>
        <v>Structure, 345kV, H frame, Running Angle, 80-99ft, Repl., Deenergized, Direct Embedment Fnd</v>
      </c>
      <c r="BC89" s="9" t="s">
        <v>2164</v>
      </c>
      <c r="BD89" s="9" t="s">
        <v>2086</v>
      </c>
      <c r="BE89" s="9" t="s">
        <v>2084</v>
      </c>
      <c r="BF89" s="9" t="s">
        <v>2160</v>
      </c>
      <c r="BG89" s="9" t="s">
        <v>2161</v>
      </c>
      <c r="BH89" s="9" t="s">
        <v>2157</v>
      </c>
      <c r="BI89" s="9" t="s">
        <v>2165</v>
      </c>
      <c r="BJ89" s="9" t="s">
        <v>2163</v>
      </c>
      <c r="BM89" s="2010">
        <v>42000</v>
      </c>
    </row>
    <row r="90" spans="1:65" ht="30" x14ac:dyDescent="0.25">
      <c r="A90" s="784"/>
      <c r="B90" s="719">
        <f t="shared" si="24"/>
        <v>49</v>
      </c>
      <c r="C90" s="170" t="str">
        <f t="shared" si="191"/>
        <v>41Ea</v>
      </c>
      <c r="D90" s="557"/>
      <c r="E90" s="170"/>
      <c r="F90" s="170">
        <v>41</v>
      </c>
      <c r="G90" s="2007" t="s">
        <v>2181</v>
      </c>
      <c r="H90" s="1926"/>
      <c r="I90" s="2008" t="s">
        <v>1416</v>
      </c>
      <c r="J90" s="1926"/>
      <c r="K90" s="1926"/>
      <c r="L90" s="170"/>
      <c r="M90" s="2009">
        <v>210</v>
      </c>
      <c r="N90" s="2010">
        <v>1</v>
      </c>
      <c r="O90" s="773">
        <f t="shared" si="169"/>
        <v>210</v>
      </c>
      <c r="P90" s="2008" t="s">
        <v>39</v>
      </c>
      <c r="Q90" s="2008" t="s">
        <v>604</v>
      </c>
      <c r="R90" s="2011" t="s">
        <v>74</v>
      </c>
      <c r="S90" s="778">
        <f>SUMIF('Data Input sheet'!$B$118:$B$180,R90,'Data Input sheet'!$D$118:$D$180)</f>
        <v>152</v>
      </c>
      <c r="T90" s="2010">
        <f t="shared" si="170"/>
        <v>31920</v>
      </c>
      <c r="U90" s="2010">
        <v>60</v>
      </c>
      <c r="V90" s="778">
        <f t="shared" si="171"/>
        <v>12600</v>
      </c>
      <c r="W90" s="2010">
        <f t="shared" si="192"/>
        <v>56300</v>
      </c>
      <c r="X90" s="779"/>
      <c r="Y90" s="2012"/>
      <c r="Z90" s="780">
        <f t="shared" si="172"/>
        <v>100820</v>
      </c>
      <c r="AA90" s="2007"/>
      <c r="AB90" s="2007"/>
      <c r="AC90" s="765"/>
      <c r="AD90" s="781">
        <f t="shared" si="173"/>
        <v>0</v>
      </c>
      <c r="AE90" s="781">
        <f t="shared" si="174"/>
        <v>0</v>
      </c>
      <c r="AF90" s="781">
        <f t="shared" si="175"/>
        <v>0</v>
      </c>
      <c r="AG90" s="781">
        <f t="shared" si="176"/>
        <v>0</v>
      </c>
      <c r="AH90" s="781">
        <f t="shared" si="177"/>
        <v>0</v>
      </c>
      <c r="AI90" s="782">
        <f t="shared" si="178"/>
        <v>0</v>
      </c>
      <c r="AJ90" s="781">
        <f t="shared" si="179"/>
        <v>0</v>
      </c>
      <c r="AK90" s="781">
        <f t="shared" si="180"/>
        <v>0</v>
      </c>
      <c r="AL90" s="781">
        <f t="shared" si="181"/>
        <v>0</v>
      </c>
      <c r="AM90" s="781">
        <f t="shared" si="182"/>
        <v>0</v>
      </c>
      <c r="AN90" s="781">
        <f t="shared" si="183"/>
        <v>0</v>
      </c>
      <c r="AO90" s="781">
        <f t="shared" si="184"/>
        <v>0</v>
      </c>
      <c r="AP90" s="781">
        <f t="shared" si="185"/>
        <v>0</v>
      </c>
      <c r="AQ90" s="781">
        <f t="shared" si="186"/>
        <v>0</v>
      </c>
      <c r="AR90" s="781">
        <f t="shared" si="187"/>
        <v>0</v>
      </c>
      <c r="AS90" s="783">
        <f t="shared" si="188"/>
        <v>0</v>
      </c>
      <c r="AT90" s="759"/>
      <c r="BA90" s="2007" t="s">
        <v>1384</v>
      </c>
      <c r="BB90" s="160" t="str">
        <f>+BC90&amp;", "&amp;BD90&amp;", "&amp;BE90&amp;", "&amp;BF90&amp;", "&amp;BG90&amp;", "&amp;BI90&amp;", "&amp;BH90&amp;", "&amp;BJ90</f>
        <v>Structure, 345kV, H frame, Running Angle, 80-99ft, Repl., Live line, Concrete Caisson Fnd</v>
      </c>
      <c r="BC90" s="9" t="s">
        <v>2164</v>
      </c>
      <c r="BD90" s="9" t="s">
        <v>2086</v>
      </c>
      <c r="BE90" s="9" t="s">
        <v>2084</v>
      </c>
      <c r="BF90" s="9" t="s">
        <v>2160</v>
      </c>
      <c r="BG90" s="9" t="s">
        <v>2161</v>
      </c>
      <c r="BH90" s="9" t="s">
        <v>2162</v>
      </c>
      <c r="BI90" s="9" t="s">
        <v>2165</v>
      </c>
      <c r="BJ90" s="9" t="s">
        <v>2158</v>
      </c>
      <c r="BM90" s="2010">
        <v>45000</v>
      </c>
    </row>
    <row r="91" spans="1:65" ht="15" x14ac:dyDescent="0.25">
      <c r="A91" s="784"/>
      <c r="B91" s="719"/>
      <c r="C91" s="170" t="str">
        <f t="shared" si="191"/>
        <v/>
      </c>
      <c r="D91" s="557"/>
      <c r="E91" s="170"/>
      <c r="F91" s="170"/>
      <c r="G91" s="2160" t="s">
        <v>2264</v>
      </c>
      <c r="H91" s="1926"/>
      <c r="I91" s="2008"/>
      <c r="J91" s="1926"/>
      <c r="K91" s="1926"/>
      <c r="L91" s="170"/>
      <c r="M91" s="2009"/>
      <c r="N91" s="2010"/>
      <c r="O91" s="773"/>
      <c r="P91" s="2008"/>
      <c r="Q91" s="2008"/>
      <c r="R91" s="2011"/>
      <c r="S91" s="778"/>
      <c r="T91" s="2010"/>
      <c r="U91" s="2010"/>
      <c r="V91" s="778"/>
      <c r="W91" s="2010"/>
      <c r="X91" s="779"/>
      <c r="Y91" s="2012"/>
      <c r="Z91" s="780"/>
      <c r="AA91" s="2007"/>
      <c r="AB91" s="2007"/>
      <c r="AC91" s="765"/>
      <c r="AD91" s="781"/>
      <c r="AE91" s="781"/>
      <c r="AF91" s="781"/>
      <c r="AG91" s="781"/>
      <c r="AH91" s="781"/>
      <c r="AI91" s="782"/>
      <c r="AJ91" s="781"/>
      <c r="AK91" s="781"/>
      <c r="AL91" s="781"/>
      <c r="AM91" s="781"/>
      <c r="AN91" s="781"/>
      <c r="AO91" s="781"/>
      <c r="AP91" s="781"/>
      <c r="AQ91" s="781"/>
      <c r="AR91" s="781"/>
      <c r="AS91" s="783"/>
      <c r="AT91" s="759"/>
      <c r="BA91" s="2007"/>
      <c r="BC91" s="9"/>
      <c r="BD91" s="9"/>
      <c r="BE91" s="9"/>
      <c r="BF91" s="9"/>
      <c r="BG91" s="9"/>
      <c r="BH91" s="9"/>
      <c r="BI91" s="9"/>
      <c r="BJ91" s="9"/>
      <c r="BM91" s="2010"/>
    </row>
    <row r="92" spans="1:65" ht="30" x14ac:dyDescent="0.25">
      <c r="A92" s="784"/>
      <c r="B92" s="719">
        <f>+B90+1</f>
        <v>50</v>
      </c>
      <c r="C92" s="170" t="str">
        <f t="shared" si="191"/>
        <v>41Ea</v>
      </c>
      <c r="D92" s="557"/>
      <c r="E92" s="170"/>
      <c r="F92" s="170">
        <v>41</v>
      </c>
      <c r="G92" s="2007" t="s">
        <v>2184</v>
      </c>
      <c r="H92" s="1926">
        <f>+'Structure replacements'!$I$39+'Structure replacements'!$I$40</f>
        <v>0</v>
      </c>
      <c r="I92" s="2008" t="s">
        <v>1416</v>
      </c>
      <c r="J92" s="1926"/>
      <c r="K92" s="1926"/>
      <c r="L92" s="170"/>
      <c r="M92" s="2009">
        <v>108</v>
      </c>
      <c r="N92" s="2010">
        <v>1</v>
      </c>
      <c r="O92" s="773">
        <f t="shared" si="169"/>
        <v>108</v>
      </c>
      <c r="P92" s="2008" t="s">
        <v>39</v>
      </c>
      <c r="Q92" s="2008" t="s">
        <v>604</v>
      </c>
      <c r="R92" s="2011" t="s">
        <v>74</v>
      </c>
      <c r="S92" s="778">
        <f>SUMIF('Data Input sheet'!$B$118:$B$180,R92,'Data Input sheet'!$D$118:$D$180)</f>
        <v>152</v>
      </c>
      <c r="T92" s="2010">
        <f t="shared" si="170"/>
        <v>16416</v>
      </c>
      <c r="U92" s="2010">
        <v>44</v>
      </c>
      <c r="V92" s="778">
        <f t="shared" si="171"/>
        <v>4752</v>
      </c>
      <c r="W92" s="2010">
        <f t="shared" si="192"/>
        <v>35000</v>
      </c>
      <c r="X92" s="779"/>
      <c r="Y92" s="2012"/>
      <c r="Z92" s="780">
        <f t="shared" si="172"/>
        <v>56168</v>
      </c>
      <c r="AA92" s="2007"/>
      <c r="AB92" s="2007"/>
      <c r="AC92" s="765"/>
      <c r="AD92" s="781">
        <f t="shared" si="173"/>
        <v>0</v>
      </c>
      <c r="AE92" s="781">
        <f t="shared" si="174"/>
        <v>0</v>
      </c>
      <c r="AF92" s="781">
        <f t="shared" si="175"/>
        <v>0</v>
      </c>
      <c r="AG92" s="781">
        <f t="shared" si="176"/>
        <v>0</v>
      </c>
      <c r="AH92" s="781">
        <f t="shared" si="177"/>
        <v>0</v>
      </c>
      <c r="AI92" s="782">
        <f t="shared" si="178"/>
        <v>0</v>
      </c>
      <c r="AJ92" s="781">
        <f t="shared" si="179"/>
        <v>0</v>
      </c>
      <c r="AK92" s="781">
        <f t="shared" si="180"/>
        <v>0</v>
      </c>
      <c r="AL92" s="781">
        <f t="shared" si="181"/>
        <v>0</v>
      </c>
      <c r="AM92" s="781">
        <f t="shared" si="182"/>
        <v>0</v>
      </c>
      <c r="AN92" s="781">
        <f t="shared" si="183"/>
        <v>0</v>
      </c>
      <c r="AO92" s="781">
        <f t="shared" si="184"/>
        <v>0</v>
      </c>
      <c r="AP92" s="781">
        <f t="shared" si="185"/>
        <v>0</v>
      </c>
      <c r="AQ92" s="781">
        <f t="shared" si="186"/>
        <v>0</v>
      </c>
      <c r="AR92" s="781">
        <f t="shared" si="187"/>
        <v>0</v>
      </c>
      <c r="AS92" s="783">
        <f t="shared" si="188"/>
        <v>0</v>
      </c>
      <c r="AT92" s="759"/>
      <c r="BA92" s="2007" t="s">
        <v>1399</v>
      </c>
      <c r="BB92" s="160" t="str">
        <f>+BC92&amp;", "&amp;BD92&amp;", "&amp;BE92&amp;", "&amp;BF92&amp;", "&amp;BG92&amp;", "&amp;BI92&amp;", "&amp;BH92&amp;", "&amp;BJ92</f>
        <v>Structure, 345kV, H frame, Tangent, 80-99ft, New, Deenergized, Concrete Caisson Fnd</v>
      </c>
      <c r="BC92" s="9" t="s">
        <v>2164</v>
      </c>
      <c r="BD92" s="9" t="s">
        <v>2086</v>
      </c>
      <c r="BE92" s="9" t="s">
        <v>2084</v>
      </c>
      <c r="BF92" s="9" t="s">
        <v>2071</v>
      </c>
      <c r="BG92" s="9" t="s">
        <v>2161</v>
      </c>
      <c r="BH92" s="9" t="s">
        <v>2157</v>
      </c>
      <c r="BI92" s="9" t="s">
        <v>908</v>
      </c>
      <c r="BJ92" s="9" t="s">
        <v>2158</v>
      </c>
      <c r="BM92" s="2010">
        <v>28000</v>
      </c>
    </row>
    <row r="93" spans="1:65" ht="30" x14ac:dyDescent="0.25">
      <c r="A93" s="784"/>
      <c r="B93" s="719">
        <f>+B92+1</f>
        <v>51</v>
      </c>
      <c r="C93" s="170" t="str">
        <f t="shared" si="191"/>
        <v>41Ea</v>
      </c>
      <c r="D93" s="557"/>
      <c r="E93" s="170"/>
      <c r="F93" s="170">
        <v>41</v>
      </c>
      <c r="G93" s="2007" t="s">
        <v>2186</v>
      </c>
      <c r="H93" s="1926"/>
      <c r="I93" s="2008" t="s">
        <v>1416</v>
      </c>
      <c r="J93" s="1926"/>
      <c r="K93" s="1926"/>
      <c r="L93" s="170"/>
      <c r="M93" s="2009">
        <v>118</v>
      </c>
      <c r="N93" s="2010">
        <v>1</v>
      </c>
      <c r="O93" s="773">
        <f t="shared" si="169"/>
        <v>118</v>
      </c>
      <c r="P93" s="2008" t="s">
        <v>39</v>
      </c>
      <c r="Q93" s="2008" t="s">
        <v>604</v>
      </c>
      <c r="R93" s="2011" t="s">
        <v>74</v>
      </c>
      <c r="S93" s="778">
        <f>SUMIF('Data Input sheet'!$B$118:$B$180,R93,'Data Input sheet'!$D$118:$D$180)</f>
        <v>152</v>
      </c>
      <c r="T93" s="2010">
        <f t="shared" si="170"/>
        <v>17936</v>
      </c>
      <c r="U93" s="2010">
        <v>60</v>
      </c>
      <c r="V93" s="778">
        <f t="shared" si="171"/>
        <v>7080</v>
      </c>
      <c r="W93" s="2010">
        <f t="shared" si="192"/>
        <v>35000</v>
      </c>
      <c r="X93" s="779"/>
      <c r="Y93" s="2012"/>
      <c r="Z93" s="780">
        <f t="shared" si="172"/>
        <v>60016</v>
      </c>
      <c r="AA93" s="2007"/>
      <c r="AB93" s="2007"/>
      <c r="AC93" s="765"/>
      <c r="AD93" s="781">
        <f t="shared" si="173"/>
        <v>0</v>
      </c>
      <c r="AE93" s="781">
        <f t="shared" si="174"/>
        <v>0</v>
      </c>
      <c r="AF93" s="781">
        <f t="shared" si="175"/>
        <v>0</v>
      </c>
      <c r="AG93" s="781">
        <f t="shared" si="176"/>
        <v>0</v>
      </c>
      <c r="AH93" s="781">
        <f t="shared" si="177"/>
        <v>0</v>
      </c>
      <c r="AI93" s="782">
        <f t="shared" si="178"/>
        <v>0</v>
      </c>
      <c r="AJ93" s="781">
        <f t="shared" si="179"/>
        <v>0</v>
      </c>
      <c r="AK93" s="781">
        <f t="shared" si="180"/>
        <v>0</v>
      </c>
      <c r="AL93" s="781">
        <f t="shared" si="181"/>
        <v>0</v>
      </c>
      <c r="AM93" s="781">
        <f t="shared" si="182"/>
        <v>0</v>
      </c>
      <c r="AN93" s="781">
        <f t="shared" si="183"/>
        <v>0</v>
      </c>
      <c r="AO93" s="781">
        <f t="shared" si="184"/>
        <v>0</v>
      </c>
      <c r="AP93" s="781">
        <f t="shared" si="185"/>
        <v>0</v>
      </c>
      <c r="AQ93" s="781">
        <f t="shared" si="186"/>
        <v>0</v>
      </c>
      <c r="AR93" s="781">
        <f t="shared" si="187"/>
        <v>0</v>
      </c>
      <c r="AS93" s="783">
        <f t="shared" si="188"/>
        <v>0</v>
      </c>
      <c r="AT93" s="759"/>
      <c r="BA93" s="2007" t="s">
        <v>1401</v>
      </c>
      <c r="BB93" s="160" t="str">
        <f>+BC93&amp;", "&amp;BD93&amp;", "&amp;BE93&amp;", "&amp;BF93&amp;", "&amp;BG93&amp;", "&amp;BI93&amp;", "&amp;BH93&amp;", "&amp;BJ93</f>
        <v>Structure, 345kV, H frame, Tangent, 80-99ft, New, Deenergized, Direct Embedment Fnd</v>
      </c>
      <c r="BC93" s="9" t="s">
        <v>2164</v>
      </c>
      <c r="BD93" s="9" t="s">
        <v>2086</v>
      </c>
      <c r="BE93" s="9" t="s">
        <v>2084</v>
      </c>
      <c r="BF93" s="9" t="s">
        <v>2071</v>
      </c>
      <c r="BG93" s="9" t="s">
        <v>2161</v>
      </c>
      <c r="BH93" s="9" t="s">
        <v>2157</v>
      </c>
      <c r="BI93" s="9" t="s">
        <v>908</v>
      </c>
      <c r="BJ93" s="9" t="s">
        <v>2163</v>
      </c>
      <c r="BM93" s="2010">
        <v>28000</v>
      </c>
    </row>
    <row r="94" spans="1:65" ht="30" x14ac:dyDescent="0.25">
      <c r="A94" s="784"/>
      <c r="B94" s="719">
        <f t="shared" si="24"/>
        <v>52</v>
      </c>
      <c r="C94" s="170" t="str">
        <f t="shared" si="191"/>
        <v>41Ea</v>
      </c>
      <c r="D94" s="557"/>
      <c r="E94" s="170"/>
      <c r="F94" s="170">
        <v>41</v>
      </c>
      <c r="G94" s="2007" t="s">
        <v>2185</v>
      </c>
      <c r="H94" s="1926">
        <f>+'Structure replacements'!$H$37+'Structure replacements'!$H$38</f>
        <v>0</v>
      </c>
      <c r="I94" s="2008" t="s">
        <v>1416</v>
      </c>
      <c r="J94" s="1926"/>
      <c r="K94" s="1926"/>
      <c r="L94" s="170"/>
      <c r="M94" s="2009">
        <v>155</v>
      </c>
      <c r="N94" s="2010">
        <v>1</v>
      </c>
      <c r="O94" s="773">
        <f t="shared" si="169"/>
        <v>155</v>
      </c>
      <c r="P94" s="2008" t="s">
        <v>39</v>
      </c>
      <c r="Q94" s="2008" t="s">
        <v>604</v>
      </c>
      <c r="R94" s="2011" t="s">
        <v>74</v>
      </c>
      <c r="S94" s="778">
        <f>SUMIF('Data Input sheet'!$B$118:$B$180,R94,'Data Input sheet'!$D$118:$D$180)</f>
        <v>152</v>
      </c>
      <c r="T94" s="2010">
        <f t="shared" si="170"/>
        <v>23560</v>
      </c>
      <c r="U94" s="2010">
        <v>60</v>
      </c>
      <c r="V94" s="778">
        <f t="shared" si="171"/>
        <v>9300</v>
      </c>
      <c r="W94" s="2010">
        <f t="shared" si="192"/>
        <v>35000</v>
      </c>
      <c r="X94" s="779"/>
      <c r="Y94" s="2012"/>
      <c r="Z94" s="780">
        <f t="shared" si="172"/>
        <v>67860</v>
      </c>
      <c r="AA94" s="2007"/>
      <c r="AB94" s="2007"/>
      <c r="AC94" s="765"/>
      <c r="AD94" s="781">
        <f t="shared" si="173"/>
        <v>0</v>
      </c>
      <c r="AE94" s="781">
        <f t="shared" si="174"/>
        <v>0</v>
      </c>
      <c r="AF94" s="781">
        <f t="shared" si="175"/>
        <v>0</v>
      </c>
      <c r="AG94" s="781">
        <f t="shared" si="176"/>
        <v>0</v>
      </c>
      <c r="AH94" s="781">
        <f t="shared" si="177"/>
        <v>0</v>
      </c>
      <c r="AI94" s="782">
        <f t="shared" si="178"/>
        <v>0</v>
      </c>
      <c r="AJ94" s="781">
        <f t="shared" si="179"/>
        <v>0</v>
      </c>
      <c r="AK94" s="781">
        <f t="shared" si="180"/>
        <v>0</v>
      </c>
      <c r="AL94" s="781">
        <f t="shared" si="181"/>
        <v>0</v>
      </c>
      <c r="AM94" s="781">
        <f t="shared" si="182"/>
        <v>0</v>
      </c>
      <c r="AN94" s="781">
        <f t="shared" si="183"/>
        <v>0</v>
      </c>
      <c r="AO94" s="781">
        <f t="shared" si="184"/>
        <v>0</v>
      </c>
      <c r="AP94" s="781">
        <f t="shared" si="185"/>
        <v>0</v>
      </c>
      <c r="AQ94" s="781">
        <f t="shared" si="186"/>
        <v>0</v>
      </c>
      <c r="AR94" s="781">
        <f t="shared" si="187"/>
        <v>0</v>
      </c>
      <c r="AS94" s="783">
        <f t="shared" si="188"/>
        <v>0</v>
      </c>
      <c r="AT94" s="759"/>
      <c r="BA94" s="2007" t="s">
        <v>1400</v>
      </c>
      <c r="BB94" s="160" t="str">
        <f>+BC94&amp;", "&amp;BD94&amp;", "&amp;BE94&amp;", "&amp;BF94&amp;", "&amp;BG94&amp;", "&amp;BI94&amp;", "&amp;BH94&amp;", "&amp;BJ94</f>
        <v>Structure, 345kV, H frame, Tangent, 80-99ft, Repl., Live line, Concrete Caisson Fnd</v>
      </c>
      <c r="BC94" s="9" t="s">
        <v>2164</v>
      </c>
      <c r="BD94" s="9" t="s">
        <v>2086</v>
      </c>
      <c r="BE94" s="9" t="s">
        <v>2084</v>
      </c>
      <c r="BF94" s="9" t="s">
        <v>2071</v>
      </c>
      <c r="BG94" s="9" t="s">
        <v>2161</v>
      </c>
      <c r="BH94" s="9" t="s">
        <v>2162</v>
      </c>
      <c r="BI94" s="9" t="s">
        <v>2165</v>
      </c>
      <c r="BJ94" s="9" t="s">
        <v>2158</v>
      </c>
      <c r="BM94" s="2010">
        <v>28000</v>
      </c>
    </row>
    <row r="95" spans="1:65" ht="30" x14ac:dyDescent="0.25">
      <c r="A95" s="784"/>
      <c r="B95" s="719">
        <f t="shared" si="24"/>
        <v>53</v>
      </c>
      <c r="C95" s="170" t="str">
        <f t="shared" si="191"/>
        <v>41Ea</v>
      </c>
      <c r="D95" s="557"/>
      <c r="E95" s="170"/>
      <c r="F95" s="170">
        <v>41</v>
      </c>
      <c r="G95" s="2007" t="s">
        <v>2187</v>
      </c>
      <c r="H95" s="1926">
        <f>+'Structure replacements'!$H$39+'Structure replacements'!$H$40</f>
        <v>0</v>
      </c>
      <c r="I95" s="2008" t="s">
        <v>1416</v>
      </c>
      <c r="J95" s="1926"/>
      <c r="K95" s="1926"/>
      <c r="L95" s="170"/>
      <c r="M95" s="2009">
        <v>94</v>
      </c>
      <c r="N95" s="2010">
        <v>1</v>
      </c>
      <c r="O95" s="773">
        <f t="shared" ref="O95:O129" si="213">+M95*N95</f>
        <v>94</v>
      </c>
      <c r="P95" s="2008" t="s">
        <v>39</v>
      </c>
      <c r="Q95" s="2008" t="s">
        <v>604</v>
      </c>
      <c r="R95" s="2011" t="s">
        <v>74</v>
      </c>
      <c r="S95" s="778">
        <f>SUMIF('Data Input sheet'!$B$118:$B$180,R95,'Data Input sheet'!$D$118:$D$180)</f>
        <v>152</v>
      </c>
      <c r="T95" s="2010">
        <f t="shared" ref="T95:T129" si="214">S95*O95</f>
        <v>14288</v>
      </c>
      <c r="U95" s="2010">
        <v>60</v>
      </c>
      <c r="V95" s="778">
        <f t="shared" ref="V95:V129" si="215">ROUND(U95*O95,0)</f>
        <v>5640</v>
      </c>
      <c r="W95" s="2010">
        <f t="shared" si="192"/>
        <v>35000</v>
      </c>
      <c r="X95" s="779"/>
      <c r="Y95" s="2012"/>
      <c r="Z95" s="780">
        <f t="shared" ref="Z95:Z129" si="216">T95+V95+W95+Y95</f>
        <v>54928</v>
      </c>
      <c r="AA95" s="2007"/>
      <c r="AB95" s="2007"/>
      <c r="AC95" s="765"/>
      <c r="AD95" s="781">
        <f t="shared" ref="AD95:AD129" si="217">IF(P95="E",+ROUND(H95*O95,0),0)</f>
        <v>0</v>
      </c>
      <c r="AE95" s="781">
        <f t="shared" ref="AE95:AE129" si="218">+AF95-AD95</f>
        <v>0</v>
      </c>
      <c r="AF95" s="781">
        <f t="shared" ref="AF95:AF129" si="219">+H95*O95</f>
        <v>0</v>
      </c>
      <c r="AG95" s="781">
        <f t="shared" ref="AG95:AG129" si="220">IF(P95="E",+ROUND(T95*H95,0),0)</f>
        <v>0</v>
      </c>
      <c r="AH95" s="781">
        <f t="shared" ref="AH95:AH129" si="221">+AI95-AG95</f>
        <v>0</v>
      </c>
      <c r="AI95" s="782">
        <f t="shared" ref="AI95:AI129" si="222">+H95*T95</f>
        <v>0</v>
      </c>
      <c r="AJ95" s="781">
        <f t="shared" ref="AJ95:AJ129" si="223">IF(P95="E",+ROUND(V95*H95,0),0)</f>
        <v>0</v>
      </c>
      <c r="AK95" s="781">
        <f t="shared" ref="AK95:AK129" si="224">+AL95-AJ95</f>
        <v>0</v>
      </c>
      <c r="AL95" s="781">
        <f t="shared" ref="AL95:AL129" si="225">ROUND(V95*H95,0)</f>
        <v>0</v>
      </c>
      <c r="AM95" s="781">
        <f t="shared" ref="AM95:AM129" si="226">IF(Q95="E",+ROUND(W95*H95,0),0)</f>
        <v>0</v>
      </c>
      <c r="AN95" s="781">
        <f t="shared" ref="AN95:AN129" si="227">+AO95-AM95</f>
        <v>0</v>
      </c>
      <c r="AO95" s="781">
        <f t="shared" ref="AO95:AO129" si="228">ROUND(W95*H95,0)</f>
        <v>0</v>
      </c>
      <c r="AP95" s="781">
        <f t="shared" ref="AP95:AP129" si="229">IF(P95="E",+ROUND(Y95*H95,0),0)</f>
        <v>0</v>
      </c>
      <c r="AQ95" s="781">
        <f t="shared" ref="AQ95:AQ129" si="230">+AR95-AP95</f>
        <v>0</v>
      </c>
      <c r="AR95" s="781">
        <f t="shared" ref="AR95:AR129" si="231">ROUND(Y95*H95,0)</f>
        <v>0</v>
      </c>
      <c r="AS95" s="783">
        <f t="shared" ref="AS95:AS129" si="232">+AR95+AO95+AL95+AI95</f>
        <v>0</v>
      </c>
      <c r="AT95" s="759"/>
      <c r="BA95" s="2007" t="s">
        <v>1417</v>
      </c>
      <c r="BB95" s="160" t="str">
        <f>+BC95&amp;", "&amp;BD95&amp;", "&amp;BE95&amp;", "&amp;BF95&amp;", "&amp;BG95&amp;", "&amp;BI95&amp;", "&amp;BH95&amp;", "&amp;BJ95</f>
        <v>Structure, 345kV, H frame, Tangent, 80-99ft, Repl., Live line, Direct Embedment Fnd</v>
      </c>
      <c r="BC95" s="9" t="s">
        <v>2164</v>
      </c>
      <c r="BD95" s="9" t="s">
        <v>2086</v>
      </c>
      <c r="BE95" s="9" t="s">
        <v>2084</v>
      </c>
      <c r="BF95" s="9" t="s">
        <v>2071</v>
      </c>
      <c r="BG95" s="9" t="s">
        <v>2161</v>
      </c>
      <c r="BH95" s="9" t="s">
        <v>2162</v>
      </c>
      <c r="BI95" s="9" t="s">
        <v>2165</v>
      </c>
      <c r="BJ95" s="9" t="s">
        <v>2163</v>
      </c>
      <c r="BM95" s="2010">
        <v>28000</v>
      </c>
    </row>
    <row r="96" spans="1:65" ht="30" x14ac:dyDescent="0.25">
      <c r="A96" s="784"/>
      <c r="B96" s="719">
        <f t="shared" si="24"/>
        <v>54</v>
      </c>
      <c r="C96" s="170" t="str">
        <f t="shared" si="191"/>
        <v>41Ea</v>
      </c>
      <c r="D96" s="557"/>
      <c r="E96" s="170"/>
      <c r="F96" s="170">
        <v>41</v>
      </c>
      <c r="G96" s="2007" t="s">
        <v>2957</v>
      </c>
      <c r="H96" s="1926">
        <f>+'Structure replacements'!$H$39+'Structure replacements'!$H$40</f>
        <v>0</v>
      </c>
      <c r="I96" s="2008" t="s">
        <v>1416</v>
      </c>
      <c r="J96" s="1926"/>
      <c r="K96" s="1926"/>
      <c r="L96" s="170"/>
      <c r="M96" s="2009">
        <v>105</v>
      </c>
      <c r="N96" s="2010">
        <v>1</v>
      </c>
      <c r="O96" s="773">
        <f t="shared" ref="O96" si="233">+M96*N96</f>
        <v>105</v>
      </c>
      <c r="P96" s="2008" t="s">
        <v>39</v>
      </c>
      <c r="Q96" s="2008" t="s">
        <v>604</v>
      </c>
      <c r="R96" s="2011" t="s">
        <v>74</v>
      </c>
      <c r="S96" s="778">
        <f>SUMIF('Data Input sheet'!$B$118:$B$180,R96,'Data Input sheet'!$D$118:$D$180)</f>
        <v>152</v>
      </c>
      <c r="T96" s="2010">
        <f t="shared" ref="T96" si="234">S96*O96</f>
        <v>15960</v>
      </c>
      <c r="U96" s="2010">
        <v>60</v>
      </c>
      <c r="V96" s="778">
        <f t="shared" ref="V96" si="235">ROUND(U96*O96,0)</f>
        <v>6300</v>
      </c>
      <c r="W96" s="2010">
        <f t="shared" ref="W96" si="236">ROUND(+BM96*(1+$BM$7),-2)</f>
        <v>35000</v>
      </c>
      <c r="X96" s="779"/>
      <c r="Y96" s="2012"/>
      <c r="Z96" s="780">
        <f t="shared" ref="Z96" si="237">T96+V96+W96+Y96</f>
        <v>57260</v>
      </c>
      <c r="AA96" s="2007"/>
      <c r="AB96" s="2007"/>
      <c r="AC96" s="765"/>
      <c r="AD96" s="781">
        <f t="shared" ref="AD96" si="238">IF(P96="E",+ROUND(H96*O96,0),0)</f>
        <v>0</v>
      </c>
      <c r="AE96" s="781">
        <f t="shared" ref="AE96" si="239">+AF96-AD96</f>
        <v>0</v>
      </c>
      <c r="AF96" s="781">
        <f t="shared" ref="AF96" si="240">+H96*O96</f>
        <v>0</v>
      </c>
      <c r="AG96" s="781">
        <f t="shared" ref="AG96" si="241">IF(P96="E",+ROUND(T96*H96,0),0)</f>
        <v>0</v>
      </c>
      <c r="AH96" s="781">
        <f t="shared" ref="AH96" si="242">+AI96-AG96</f>
        <v>0</v>
      </c>
      <c r="AI96" s="782">
        <f t="shared" ref="AI96" si="243">+H96*T96</f>
        <v>0</v>
      </c>
      <c r="AJ96" s="781">
        <f t="shared" ref="AJ96" si="244">IF(P96="E",+ROUND(V96*H96,0),0)</f>
        <v>0</v>
      </c>
      <c r="AK96" s="781">
        <f t="shared" ref="AK96" si="245">+AL96-AJ96</f>
        <v>0</v>
      </c>
      <c r="AL96" s="781">
        <f t="shared" ref="AL96" si="246">ROUND(V96*H96,0)</f>
        <v>0</v>
      </c>
      <c r="AM96" s="781">
        <f t="shared" ref="AM96" si="247">IF(Q96="E",+ROUND(W96*H96,0),0)</f>
        <v>0</v>
      </c>
      <c r="AN96" s="781">
        <f t="shared" ref="AN96" si="248">+AO96-AM96</f>
        <v>0</v>
      </c>
      <c r="AO96" s="781">
        <f t="shared" ref="AO96" si="249">ROUND(W96*H96,0)</f>
        <v>0</v>
      </c>
      <c r="AP96" s="781">
        <f t="shared" ref="AP96" si="250">IF(P96="E",+ROUND(Y96*H96,0),0)</f>
        <v>0</v>
      </c>
      <c r="AQ96" s="781">
        <f t="shared" ref="AQ96" si="251">+AR96-AP96</f>
        <v>0</v>
      </c>
      <c r="AR96" s="781">
        <f t="shared" ref="AR96" si="252">ROUND(Y96*H96,0)</f>
        <v>0</v>
      </c>
      <c r="AS96" s="783">
        <f t="shared" ref="AS96" si="253">+AR96+AO96+AL96+AI96</f>
        <v>0</v>
      </c>
      <c r="AT96" s="759"/>
      <c r="BA96" s="2007" t="s">
        <v>2956</v>
      </c>
      <c r="BB96" s="160" t="str">
        <f>+BC96&amp;", "&amp;BD96&amp;", "&amp;BE96&amp;", "&amp;BF96&amp;", "&amp;BG96&amp;", "&amp;BI96&amp;", "&amp;BH96&amp;", "&amp;BJ96</f>
        <v>Structure, 345kV, H frame, Tangent, 80-99ft, Repl., Deenergized, Direct Embedment Fnd</v>
      </c>
      <c r="BC96" s="9" t="s">
        <v>2164</v>
      </c>
      <c r="BD96" s="9" t="s">
        <v>2086</v>
      </c>
      <c r="BE96" s="9" t="s">
        <v>2084</v>
      </c>
      <c r="BF96" s="9" t="s">
        <v>2071</v>
      </c>
      <c r="BG96" s="9" t="s">
        <v>2161</v>
      </c>
      <c r="BH96" s="9" t="s">
        <v>2157</v>
      </c>
      <c r="BI96" s="9" t="s">
        <v>2165</v>
      </c>
      <c r="BJ96" s="9" t="s">
        <v>2163</v>
      </c>
      <c r="BM96" s="2010">
        <v>28000</v>
      </c>
    </row>
    <row r="97" spans="1:65" ht="15.75" x14ac:dyDescent="0.25">
      <c r="A97" s="784"/>
      <c r="B97" s="719"/>
      <c r="C97" s="170" t="str">
        <f t="shared" si="191"/>
        <v>Ea</v>
      </c>
      <c r="D97" s="557"/>
      <c r="E97" s="170"/>
      <c r="F97" s="170"/>
      <c r="G97" s="2162" t="s">
        <v>2250</v>
      </c>
      <c r="H97" s="1926"/>
      <c r="I97" s="2008" t="s">
        <v>1416</v>
      </c>
      <c r="J97" s="1926"/>
      <c r="K97" s="1926"/>
      <c r="L97" s="170"/>
      <c r="M97" s="2009">
        <v>0</v>
      </c>
      <c r="N97" s="2010">
        <v>1</v>
      </c>
      <c r="O97" s="773">
        <f t="shared" si="213"/>
        <v>0</v>
      </c>
      <c r="P97" s="2008" t="s">
        <v>39</v>
      </c>
      <c r="Q97" s="2008" t="s">
        <v>604</v>
      </c>
      <c r="R97" s="2011" t="s">
        <v>74</v>
      </c>
      <c r="S97" s="778">
        <f>SUMIF('Data Input sheet'!$B$118:$B$180,R97,'Data Input sheet'!$D$118:$D$180)</f>
        <v>152</v>
      </c>
      <c r="T97" s="2010">
        <f t="shared" si="214"/>
        <v>0</v>
      </c>
      <c r="U97" s="2010">
        <v>0</v>
      </c>
      <c r="V97" s="778">
        <f t="shared" si="215"/>
        <v>0</v>
      </c>
      <c r="W97" s="2010">
        <v>0</v>
      </c>
      <c r="X97" s="779"/>
      <c r="Y97" s="2012"/>
      <c r="Z97" s="780">
        <f t="shared" si="216"/>
        <v>0</v>
      </c>
      <c r="AA97" s="2007"/>
      <c r="AB97" s="2007"/>
      <c r="AC97" s="765"/>
      <c r="AD97" s="781">
        <f t="shared" si="217"/>
        <v>0</v>
      </c>
      <c r="AE97" s="781">
        <f t="shared" si="218"/>
        <v>0</v>
      </c>
      <c r="AF97" s="781">
        <f t="shared" si="219"/>
        <v>0</v>
      </c>
      <c r="AG97" s="781">
        <f t="shared" si="220"/>
        <v>0</v>
      </c>
      <c r="AH97" s="781">
        <f t="shared" si="221"/>
        <v>0</v>
      </c>
      <c r="AI97" s="782">
        <f t="shared" si="222"/>
        <v>0</v>
      </c>
      <c r="AJ97" s="781">
        <f t="shared" si="223"/>
        <v>0</v>
      </c>
      <c r="AK97" s="781">
        <f t="shared" si="224"/>
        <v>0</v>
      </c>
      <c r="AL97" s="781">
        <f t="shared" si="225"/>
        <v>0</v>
      </c>
      <c r="AM97" s="781">
        <f t="shared" si="226"/>
        <v>0</v>
      </c>
      <c r="AN97" s="781">
        <f t="shared" si="227"/>
        <v>0</v>
      </c>
      <c r="AO97" s="781">
        <f t="shared" si="228"/>
        <v>0</v>
      </c>
      <c r="AP97" s="781">
        <f t="shared" si="229"/>
        <v>0</v>
      </c>
      <c r="AQ97" s="781">
        <f t="shared" si="230"/>
        <v>0</v>
      </c>
      <c r="AR97" s="781">
        <f t="shared" si="231"/>
        <v>0</v>
      </c>
      <c r="AS97" s="783">
        <f t="shared" si="232"/>
        <v>0</v>
      </c>
      <c r="AT97" s="759"/>
      <c r="BA97" s="2007"/>
      <c r="BC97" s="9"/>
      <c r="BE97" s="9"/>
      <c r="BF97" s="9"/>
      <c r="BG97" s="9"/>
      <c r="BH97" s="9"/>
      <c r="BI97" s="9"/>
      <c r="BJ97" s="9"/>
      <c r="BM97" s="2010">
        <v>0</v>
      </c>
    </row>
    <row r="98" spans="1:65" ht="15" x14ac:dyDescent="0.25">
      <c r="A98" s="784"/>
      <c r="B98" s="719"/>
      <c r="C98" s="170" t="str">
        <f t="shared" si="191"/>
        <v/>
      </c>
      <c r="D98" s="557"/>
      <c r="E98" s="170"/>
      <c r="F98" s="170"/>
      <c r="G98" s="2160" t="s">
        <v>2265</v>
      </c>
      <c r="H98" s="1926"/>
      <c r="I98" s="2008"/>
      <c r="J98" s="1926"/>
      <c r="K98" s="1926"/>
      <c r="L98" s="170"/>
      <c r="M98" s="2009"/>
      <c r="N98" s="2010"/>
      <c r="O98" s="773"/>
      <c r="P98" s="2008"/>
      <c r="Q98" s="2008"/>
      <c r="R98" s="2011"/>
      <c r="S98" s="778"/>
      <c r="T98" s="2010"/>
      <c r="U98" s="2010"/>
      <c r="V98" s="778"/>
      <c r="W98" s="2010"/>
      <c r="X98" s="779"/>
      <c r="Y98" s="2012"/>
      <c r="Z98" s="780"/>
      <c r="AA98" s="2007"/>
      <c r="AB98" s="2007"/>
      <c r="AC98" s="765"/>
      <c r="AD98" s="781"/>
      <c r="AE98" s="781"/>
      <c r="AF98" s="781"/>
      <c r="AG98" s="781"/>
      <c r="AH98" s="781"/>
      <c r="AI98" s="782"/>
      <c r="AJ98" s="781"/>
      <c r="AK98" s="781"/>
      <c r="AL98" s="781"/>
      <c r="AM98" s="781"/>
      <c r="AN98" s="781"/>
      <c r="AO98" s="781"/>
      <c r="AP98" s="781"/>
      <c r="AQ98" s="781"/>
      <c r="AR98" s="781"/>
      <c r="AS98" s="783"/>
      <c r="AT98" s="759"/>
      <c r="BA98" s="2007"/>
      <c r="BC98" s="9"/>
      <c r="BE98" s="9"/>
      <c r="BF98" s="9"/>
      <c r="BG98" s="9"/>
      <c r="BH98" s="9"/>
      <c r="BI98" s="9"/>
      <c r="BJ98" s="9"/>
      <c r="BM98" s="2010"/>
    </row>
    <row r="99" spans="1:65" ht="30" x14ac:dyDescent="0.25">
      <c r="A99" s="784"/>
      <c r="B99" s="719">
        <f>+B95+1</f>
        <v>54</v>
      </c>
      <c r="C99" s="170" t="str">
        <f t="shared" si="191"/>
        <v>41Ea</v>
      </c>
      <c r="D99" s="557"/>
      <c r="E99" s="170"/>
      <c r="F99" s="170">
        <v>41</v>
      </c>
      <c r="G99" s="2007" t="s">
        <v>2235</v>
      </c>
      <c r="H99" s="1926"/>
      <c r="I99" s="2008" t="s">
        <v>1416</v>
      </c>
      <c r="J99" s="1926"/>
      <c r="K99" s="1926"/>
      <c r="L99" s="170"/>
      <c r="M99" s="2009">
        <f>ROUND(80*1.4,-1)</f>
        <v>110</v>
      </c>
      <c r="N99" s="2010">
        <v>1</v>
      </c>
      <c r="O99" s="773">
        <f t="shared" si="213"/>
        <v>110</v>
      </c>
      <c r="P99" s="2008" t="s">
        <v>39</v>
      </c>
      <c r="Q99" s="2008" t="s">
        <v>604</v>
      </c>
      <c r="R99" s="2011" t="s">
        <v>74</v>
      </c>
      <c r="S99" s="778">
        <f>SUMIF('Data Input sheet'!$B$118:$B$180,R99,'Data Input sheet'!$D$118:$D$180)</f>
        <v>152</v>
      </c>
      <c r="T99" s="2010">
        <f t="shared" si="214"/>
        <v>16720</v>
      </c>
      <c r="U99" s="2010">
        <v>60</v>
      </c>
      <c r="V99" s="778">
        <f t="shared" si="215"/>
        <v>6600</v>
      </c>
      <c r="W99" s="2010">
        <f t="shared" ref="W99:W103" si="254">ROUND(+BM99*(1+$BM$7),-2)</f>
        <v>93800</v>
      </c>
      <c r="X99" s="779"/>
      <c r="Y99" s="2012"/>
      <c r="Z99" s="780">
        <f t="shared" si="216"/>
        <v>117120</v>
      </c>
      <c r="AA99" s="2007"/>
      <c r="AB99" s="2007"/>
      <c r="AC99" s="765"/>
      <c r="AD99" s="781">
        <f t="shared" si="217"/>
        <v>0</v>
      </c>
      <c r="AE99" s="781">
        <f t="shared" si="218"/>
        <v>0</v>
      </c>
      <c r="AF99" s="781">
        <f t="shared" si="219"/>
        <v>0</v>
      </c>
      <c r="AG99" s="781">
        <f t="shared" si="220"/>
        <v>0</v>
      </c>
      <c r="AH99" s="781">
        <f t="shared" si="221"/>
        <v>0</v>
      </c>
      <c r="AI99" s="782">
        <f t="shared" si="222"/>
        <v>0</v>
      </c>
      <c r="AJ99" s="781">
        <f t="shared" si="223"/>
        <v>0</v>
      </c>
      <c r="AK99" s="781">
        <f t="shared" si="224"/>
        <v>0</v>
      </c>
      <c r="AL99" s="781">
        <f t="shared" si="225"/>
        <v>0</v>
      </c>
      <c r="AM99" s="781">
        <f t="shared" si="226"/>
        <v>0</v>
      </c>
      <c r="AN99" s="781">
        <f t="shared" si="227"/>
        <v>0</v>
      </c>
      <c r="AO99" s="781">
        <f t="shared" si="228"/>
        <v>0</v>
      </c>
      <c r="AP99" s="781">
        <f t="shared" si="229"/>
        <v>0</v>
      </c>
      <c r="AQ99" s="781">
        <f t="shared" si="230"/>
        <v>0</v>
      </c>
      <c r="AR99" s="781">
        <f t="shared" si="231"/>
        <v>0</v>
      </c>
      <c r="AS99" s="783">
        <f t="shared" si="232"/>
        <v>0</v>
      </c>
      <c r="AT99" s="759"/>
      <c r="BA99" s="2007" t="s">
        <v>1395</v>
      </c>
      <c r="BB99" s="160" t="str">
        <f>+BC99&amp;", "&amp;BD99&amp;", "&amp;BE99&amp;", "&amp;BF99&amp;", "&amp;BG99&amp;", "&amp;BI99&amp;", "&amp;BH99&amp;", "&amp;BJ99</f>
        <v>Structure, 345kV, H frame, Dead End, 80-99ft, New, Deenergized, Concrete Caisson Fnd</v>
      </c>
      <c r="BC99" s="9" t="s">
        <v>2164</v>
      </c>
      <c r="BD99" s="9" t="s">
        <v>2086</v>
      </c>
      <c r="BE99" s="9" t="s">
        <v>2084</v>
      </c>
      <c r="BF99" s="9" t="s">
        <v>2159</v>
      </c>
      <c r="BG99" s="9" t="s">
        <v>2161</v>
      </c>
      <c r="BH99" s="9" t="s">
        <v>2157</v>
      </c>
      <c r="BI99" s="9" t="s">
        <v>908</v>
      </c>
      <c r="BJ99" s="9" t="s">
        <v>2158</v>
      </c>
      <c r="BM99" s="2010">
        <f>60000*1.25</f>
        <v>75000</v>
      </c>
    </row>
    <row r="100" spans="1:65" ht="30" x14ac:dyDescent="0.25">
      <c r="A100" s="784"/>
      <c r="B100" s="719">
        <f t="shared" si="24"/>
        <v>55</v>
      </c>
      <c r="C100" s="170" t="str">
        <f t="shared" si="191"/>
        <v>41Ea</v>
      </c>
      <c r="D100" s="557"/>
      <c r="E100" s="170"/>
      <c r="F100" s="170">
        <v>41</v>
      </c>
      <c r="G100" s="2007" t="s">
        <v>2236</v>
      </c>
      <c r="H100" s="1926"/>
      <c r="I100" s="2008" t="s">
        <v>1416</v>
      </c>
      <c r="J100" s="1926"/>
      <c r="K100" s="1926"/>
      <c r="L100" s="170"/>
      <c r="M100" s="2009">
        <f>ROUND(94*1.4,-1)</f>
        <v>130</v>
      </c>
      <c r="N100" s="2010">
        <v>1</v>
      </c>
      <c r="O100" s="773">
        <f t="shared" si="213"/>
        <v>130</v>
      </c>
      <c r="P100" s="2008" t="s">
        <v>39</v>
      </c>
      <c r="Q100" s="2008" t="s">
        <v>604</v>
      </c>
      <c r="R100" s="2011" t="s">
        <v>74</v>
      </c>
      <c r="S100" s="778">
        <f>SUMIF('Data Input sheet'!$B$118:$B$180,R100,'Data Input sheet'!$D$118:$D$180)</f>
        <v>152</v>
      </c>
      <c r="T100" s="2010">
        <f t="shared" si="214"/>
        <v>19760</v>
      </c>
      <c r="U100" s="2010">
        <v>60</v>
      </c>
      <c r="V100" s="778">
        <f t="shared" si="215"/>
        <v>7800</v>
      </c>
      <c r="W100" s="2010">
        <f t="shared" si="254"/>
        <v>27300</v>
      </c>
      <c r="X100" s="779"/>
      <c r="Y100" s="2012"/>
      <c r="Z100" s="780">
        <f t="shared" si="216"/>
        <v>54860</v>
      </c>
      <c r="AA100" s="2007"/>
      <c r="AB100" s="2007"/>
      <c r="AC100" s="765"/>
      <c r="AD100" s="781">
        <f t="shared" si="217"/>
        <v>0</v>
      </c>
      <c r="AE100" s="781">
        <f t="shared" si="218"/>
        <v>0</v>
      </c>
      <c r="AF100" s="781">
        <f t="shared" si="219"/>
        <v>0</v>
      </c>
      <c r="AG100" s="781">
        <f t="shared" si="220"/>
        <v>0</v>
      </c>
      <c r="AH100" s="781">
        <f t="shared" si="221"/>
        <v>0</v>
      </c>
      <c r="AI100" s="782">
        <f t="shared" si="222"/>
        <v>0</v>
      </c>
      <c r="AJ100" s="781">
        <f t="shared" si="223"/>
        <v>0</v>
      </c>
      <c r="AK100" s="781">
        <f t="shared" si="224"/>
        <v>0</v>
      </c>
      <c r="AL100" s="781">
        <f t="shared" si="225"/>
        <v>0</v>
      </c>
      <c r="AM100" s="781">
        <f t="shared" si="226"/>
        <v>0</v>
      </c>
      <c r="AN100" s="781">
        <f t="shared" si="227"/>
        <v>0</v>
      </c>
      <c r="AO100" s="781">
        <f t="shared" si="228"/>
        <v>0</v>
      </c>
      <c r="AP100" s="781">
        <f t="shared" si="229"/>
        <v>0</v>
      </c>
      <c r="AQ100" s="781">
        <f t="shared" si="230"/>
        <v>0</v>
      </c>
      <c r="AR100" s="781">
        <f t="shared" si="231"/>
        <v>0</v>
      </c>
      <c r="AS100" s="783">
        <f t="shared" si="232"/>
        <v>0</v>
      </c>
      <c r="AT100" s="759"/>
      <c r="BA100" s="2007" t="s">
        <v>1381</v>
      </c>
      <c r="BB100" s="160" t="str">
        <f>+BC100&amp;", "&amp;BD100&amp;", "&amp;BE100&amp;", "&amp;BF100&amp;", "&amp;BG100&amp;", "&amp;BI100&amp;", "&amp;BH100&amp;", "&amp;BJ100</f>
        <v>Structure, 345kV, H frame, Dead End, 80-99ft, New, Deenergized, Direct Embedment Fnd</v>
      </c>
      <c r="BC100" s="9" t="s">
        <v>2164</v>
      </c>
      <c r="BD100" s="9" t="s">
        <v>2086</v>
      </c>
      <c r="BE100" s="9" t="s">
        <v>2084</v>
      </c>
      <c r="BF100" s="9" t="s">
        <v>2159</v>
      </c>
      <c r="BG100" s="9" t="s">
        <v>2161</v>
      </c>
      <c r="BH100" s="9" t="s">
        <v>2157</v>
      </c>
      <c r="BI100" s="9" t="s">
        <v>908</v>
      </c>
      <c r="BJ100" s="9" t="s">
        <v>2163</v>
      </c>
      <c r="BM100" s="2010">
        <f>17500*1.25</f>
        <v>21875</v>
      </c>
    </row>
    <row r="101" spans="1:65" ht="30" x14ac:dyDescent="0.25">
      <c r="A101" s="784"/>
      <c r="B101" s="719">
        <f>+B99+1</f>
        <v>55</v>
      </c>
      <c r="C101" s="170" t="str">
        <f t="shared" si="191"/>
        <v>41Ea</v>
      </c>
      <c r="D101" s="557"/>
      <c r="E101" s="170"/>
      <c r="F101" s="170">
        <v>41</v>
      </c>
      <c r="G101" s="2007" t="s">
        <v>2266</v>
      </c>
      <c r="H101" s="1926"/>
      <c r="I101" s="2008" t="s">
        <v>1416</v>
      </c>
      <c r="J101" s="1926"/>
      <c r="K101" s="1926"/>
      <c r="L101" s="170"/>
      <c r="M101" s="2009">
        <f>ROUND(375*1.4,-1)</f>
        <v>530</v>
      </c>
      <c r="N101" s="2010">
        <v>1</v>
      </c>
      <c r="O101" s="773">
        <f t="shared" ref="O101" si="255">+M101*N101</f>
        <v>530</v>
      </c>
      <c r="P101" s="2008" t="s">
        <v>39</v>
      </c>
      <c r="Q101" s="2008" t="s">
        <v>604</v>
      </c>
      <c r="R101" s="2011" t="s">
        <v>74</v>
      </c>
      <c r="S101" s="778">
        <f>SUMIF('Data Input sheet'!$B$118:$B$180,R101,'Data Input sheet'!$D$118:$D$180)</f>
        <v>152</v>
      </c>
      <c r="T101" s="2010">
        <f t="shared" ref="T101" si="256">S101*O101</f>
        <v>80560</v>
      </c>
      <c r="U101" s="2010">
        <v>60</v>
      </c>
      <c r="V101" s="778">
        <f t="shared" ref="V101" si="257">ROUND(U101*O101,0)</f>
        <v>31800</v>
      </c>
      <c r="W101" s="2010">
        <f t="shared" si="254"/>
        <v>93800</v>
      </c>
      <c r="X101" s="779"/>
      <c r="Y101" s="2012"/>
      <c r="Z101" s="780">
        <f t="shared" ref="Z101" si="258">T101+V101+W101+Y101</f>
        <v>206160</v>
      </c>
      <c r="AA101" s="2007"/>
      <c r="AB101" s="2007"/>
      <c r="AC101" s="765"/>
      <c r="AD101" s="781">
        <f t="shared" ref="AD101" si="259">IF(P101="E",+ROUND(H101*O101,0),0)</f>
        <v>0</v>
      </c>
      <c r="AE101" s="781">
        <f t="shared" ref="AE101" si="260">+AF101-AD101</f>
        <v>0</v>
      </c>
      <c r="AF101" s="781">
        <f t="shared" ref="AF101" si="261">+H101*O101</f>
        <v>0</v>
      </c>
      <c r="AG101" s="781">
        <f t="shared" ref="AG101" si="262">IF(P101="E",+ROUND(T101*H101,0),0)</f>
        <v>0</v>
      </c>
      <c r="AH101" s="781">
        <f t="shared" ref="AH101" si="263">+AI101-AG101</f>
        <v>0</v>
      </c>
      <c r="AI101" s="782">
        <f t="shared" ref="AI101" si="264">+H101*T101</f>
        <v>0</v>
      </c>
      <c r="AJ101" s="781">
        <f t="shared" ref="AJ101" si="265">IF(P101="E",+ROUND(V101*H101,0),0)</f>
        <v>0</v>
      </c>
      <c r="AK101" s="781">
        <f t="shared" ref="AK101" si="266">+AL101-AJ101</f>
        <v>0</v>
      </c>
      <c r="AL101" s="781">
        <f t="shared" ref="AL101" si="267">ROUND(V101*H101,0)</f>
        <v>0</v>
      </c>
      <c r="AM101" s="781">
        <f t="shared" ref="AM101" si="268">IF(Q101="E",+ROUND(W101*H101,0),0)</f>
        <v>0</v>
      </c>
      <c r="AN101" s="781">
        <f t="shared" ref="AN101" si="269">+AO101-AM101</f>
        <v>0</v>
      </c>
      <c r="AO101" s="781">
        <f t="shared" ref="AO101" si="270">ROUND(W101*H101,0)</f>
        <v>0</v>
      </c>
      <c r="AP101" s="781">
        <f t="shared" ref="AP101" si="271">IF(P101="E",+ROUND(Y101*H101,0),0)</f>
        <v>0</v>
      </c>
      <c r="AQ101" s="781">
        <f t="shared" ref="AQ101" si="272">+AR101-AP101</f>
        <v>0</v>
      </c>
      <c r="AR101" s="781">
        <f t="shared" ref="AR101" si="273">ROUND(Y101*H101,0)</f>
        <v>0</v>
      </c>
      <c r="AS101" s="783">
        <f t="shared" ref="AS101" si="274">+AR101+AO101+AL101+AI101</f>
        <v>0</v>
      </c>
      <c r="AT101" s="759"/>
      <c r="BA101" s="2007" t="s">
        <v>1382</v>
      </c>
      <c r="BB101" s="160" t="str">
        <f>+BC101&amp;", "&amp;BD101&amp;", "&amp;BE101&amp;", "&amp;BF101&amp;", "&amp;BG101&amp;", "&amp;BI101&amp;", "&amp;BH101&amp;", "&amp;BJ101</f>
        <v>Structure, 345kV, H frame, Dead End, 80-99ft, Repl., Deenergized, Concrete Caisson Fnd</v>
      </c>
      <c r="BC101" s="9" t="s">
        <v>2164</v>
      </c>
      <c r="BD101" s="9" t="s">
        <v>2086</v>
      </c>
      <c r="BE101" s="9" t="s">
        <v>2084</v>
      </c>
      <c r="BF101" s="9" t="s">
        <v>2159</v>
      </c>
      <c r="BG101" s="9" t="s">
        <v>2161</v>
      </c>
      <c r="BH101" s="9" t="s">
        <v>2157</v>
      </c>
      <c r="BI101" s="9" t="s">
        <v>2165</v>
      </c>
      <c r="BJ101" s="9" t="s">
        <v>2158</v>
      </c>
      <c r="BM101" s="2010">
        <v>75000</v>
      </c>
    </row>
    <row r="102" spans="1:65" ht="30" x14ac:dyDescent="0.25">
      <c r="A102" s="784"/>
      <c r="B102" s="719">
        <f>+B100+1</f>
        <v>56</v>
      </c>
      <c r="C102" s="170" t="str">
        <f t="shared" si="191"/>
        <v>41Ea</v>
      </c>
      <c r="D102" s="557"/>
      <c r="E102" s="170"/>
      <c r="F102" s="170">
        <v>41</v>
      </c>
      <c r="G102" s="2007" t="s">
        <v>2237</v>
      </c>
      <c r="H102" s="1926">
        <f>+'Structure replacements'!$J$42+'Structure replacements'!$J$43</f>
        <v>0</v>
      </c>
      <c r="I102" s="2008" t="s">
        <v>1416</v>
      </c>
      <c r="J102" s="1926"/>
      <c r="K102" s="1926"/>
      <c r="L102" s="170"/>
      <c r="M102" s="2009">
        <f>ROUND(179*1.4,-1)</f>
        <v>250</v>
      </c>
      <c r="N102" s="2010">
        <v>1</v>
      </c>
      <c r="O102" s="773">
        <f t="shared" si="213"/>
        <v>250</v>
      </c>
      <c r="P102" s="2008" t="s">
        <v>39</v>
      </c>
      <c r="Q102" s="2008" t="s">
        <v>604</v>
      </c>
      <c r="R102" s="2011" t="s">
        <v>74</v>
      </c>
      <c r="S102" s="778">
        <f>SUMIF('Data Input sheet'!$B$118:$B$180,R102,'Data Input sheet'!$D$118:$D$180)</f>
        <v>152</v>
      </c>
      <c r="T102" s="2010">
        <f t="shared" si="214"/>
        <v>38000</v>
      </c>
      <c r="U102" s="2010">
        <v>60</v>
      </c>
      <c r="V102" s="778">
        <f t="shared" si="215"/>
        <v>15000</v>
      </c>
      <c r="W102" s="2010">
        <f t="shared" si="254"/>
        <v>27300</v>
      </c>
      <c r="X102" s="779"/>
      <c r="Y102" s="2012"/>
      <c r="Z102" s="780">
        <f t="shared" si="216"/>
        <v>80300</v>
      </c>
      <c r="AA102" s="2007"/>
      <c r="AB102" s="2007"/>
      <c r="AC102" s="765"/>
      <c r="AD102" s="781">
        <f t="shared" si="217"/>
        <v>0</v>
      </c>
      <c r="AE102" s="781">
        <f t="shared" si="218"/>
        <v>0</v>
      </c>
      <c r="AF102" s="781">
        <f t="shared" si="219"/>
        <v>0</v>
      </c>
      <c r="AG102" s="781">
        <f t="shared" si="220"/>
        <v>0</v>
      </c>
      <c r="AH102" s="781">
        <f t="shared" si="221"/>
        <v>0</v>
      </c>
      <c r="AI102" s="782">
        <f t="shared" si="222"/>
        <v>0</v>
      </c>
      <c r="AJ102" s="781">
        <f t="shared" si="223"/>
        <v>0</v>
      </c>
      <c r="AK102" s="781">
        <f t="shared" si="224"/>
        <v>0</v>
      </c>
      <c r="AL102" s="781">
        <f t="shared" si="225"/>
        <v>0</v>
      </c>
      <c r="AM102" s="781">
        <f t="shared" si="226"/>
        <v>0</v>
      </c>
      <c r="AN102" s="781">
        <f t="shared" si="227"/>
        <v>0</v>
      </c>
      <c r="AO102" s="781">
        <f t="shared" si="228"/>
        <v>0</v>
      </c>
      <c r="AP102" s="781">
        <f t="shared" si="229"/>
        <v>0</v>
      </c>
      <c r="AQ102" s="781">
        <f t="shared" si="230"/>
        <v>0</v>
      </c>
      <c r="AR102" s="781">
        <f t="shared" si="231"/>
        <v>0</v>
      </c>
      <c r="AS102" s="783">
        <f t="shared" si="232"/>
        <v>0</v>
      </c>
      <c r="AT102" s="759"/>
      <c r="BA102" s="2007" t="s">
        <v>1382</v>
      </c>
      <c r="BB102" s="160" t="str">
        <f>+BC102&amp;", "&amp;BD102&amp;", "&amp;BE102&amp;", "&amp;BF102&amp;", "&amp;BG102&amp;", "&amp;BI102&amp;", "&amp;BH102&amp;", "&amp;BJ102</f>
        <v>Structure, 345kV, H frame, Dead End, 80-99ft, Repl., Deenergized, Direct Embedment Fnd</v>
      </c>
      <c r="BC102" s="9" t="s">
        <v>2164</v>
      </c>
      <c r="BD102" s="9" t="s">
        <v>2086</v>
      </c>
      <c r="BE102" s="9" t="s">
        <v>2084</v>
      </c>
      <c r="BF102" s="9" t="s">
        <v>2159</v>
      </c>
      <c r="BG102" s="9" t="s">
        <v>2161</v>
      </c>
      <c r="BH102" s="9" t="s">
        <v>2157</v>
      </c>
      <c r="BI102" s="9" t="s">
        <v>2165</v>
      </c>
      <c r="BJ102" s="9" t="s">
        <v>2163</v>
      </c>
      <c r="BM102" s="2010">
        <f>17500*1.25</f>
        <v>21875</v>
      </c>
    </row>
    <row r="103" spans="1:65" ht="30" x14ac:dyDescent="0.25">
      <c r="A103" s="784"/>
      <c r="B103" s="719">
        <f t="shared" si="24"/>
        <v>57</v>
      </c>
      <c r="C103" s="170" t="str">
        <f t="shared" si="191"/>
        <v>41Ea</v>
      </c>
      <c r="D103" s="557"/>
      <c r="E103" s="170"/>
      <c r="F103" s="170">
        <v>41</v>
      </c>
      <c r="G103" s="2007" t="s">
        <v>2238</v>
      </c>
      <c r="H103" s="1926">
        <f>+'Structure replacements'!$J$44+'Structure replacements'!$J$45</f>
        <v>0</v>
      </c>
      <c r="I103" s="2008" t="s">
        <v>1416</v>
      </c>
      <c r="J103" s="1926"/>
      <c r="K103" s="1926"/>
      <c r="L103" s="170"/>
      <c r="M103" s="2009">
        <f>ROUND(436*1.4,-1)</f>
        <v>610</v>
      </c>
      <c r="N103" s="2010">
        <v>1</v>
      </c>
      <c r="O103" s="773">
        <f t="shared" si="213"/>
        <v>610</v>
      </c>
      <c r="P103" s="2008" t="s">
        <v>39</v>
      </c>
      <c r="Q103" s="2008" t="s">
        <v>604</v>
      </c>
      <c r="R103" s="2011" t="s">
        <v>74</v>
      </c>
      <c r="S103" s="778">
        <f>SUMIF('Data Input sheet'!$B$118:$B$180,R103,'Data Input sheet'!$D$118:$D$180)</f>
        <v>152</v>
      </c>
      <c r="T103" s="2010">
        <f t="shared" si="214"/>
        <v>92720</v>
      </c>
      <c r="U103" s="2010">
        <v>60</v>
      </c>
      <c r="V103" s="778">
        <f t="shared" si="215"/>
        <v>36600</v>
      </c>
      <c r="W103" s="2010">
        <f t="shared" si="254"/>
        <v>93800</v>
      </c>
      <c r="X103" s="779"/>
      <c r="Y103" s="2012"/>
      <c r="Z103" s="780">
        <f t="shared" si="216"/>
        <v>223120</v>
      </c>
      <c r="AA103" s="2007"/>
      <c r="AB103" s="2007"/>
      <c r="AC103" s="765"/>
      <c r="AD103" s="781">
        <f t="shared" si="217"/>
        <v>0</v>
      </c>
      <c r="AE103" s="781">
        <f t="shared" si="218"/>
        <v>0</v>
      </c>
      <c r="AF103" s="781">
        <f t="shared" si="219"/>
        <v>0</v>
      </c>
      <c r="AG103" s="781">
        <f t="shared" si="220"/>
        <v>0</v>
      </c>
      <c r="AH103" s="781">
        <f t="shared" si="221"/>
        <v>0</v>
      </c>
      <c r="AI103" s="782">
        <f t="shared" si="222"/>
        <v>0</v>
      </c>
      <c r="AJ103" s="781">
        <f t="shared" si="223"/>
        <v>0</v>
      </c>
      <c r="AK103" s="781">
        <f t="shared" si="224"/>
        <v>0</v>
      </c>
      <c r="AL103" s="781">
        <f t="shared" si="225"/>
        <v>0</v>
      </c>
      <c r="AM103" s="781">
        <f t="shared" si="226"/>
        <v>0</v>
      </c>
      <c r="AN103" s="781">
        <f t="shared" si="227"/>
        <v>0</v>
      </c>
      <c r="AO103" s="781">
        <f t="shared" si="228"/>
        <v>0</v>
      </c>
      <c r="AP103" s="781">
        <f t="shared" si="229"/>
        <v>0</v>
      </c>
      <c r="AQ103" s="781">
        <f t="shared" si="230"/>
        <v>0</v>
      </c>
      <c r="AR103" s="781">
        <f t="shared" si="231"/>
        <v>0</v>
      </c>
      <c r="AS103" s="783">
        <f t="shared" si="232"/>
        <v>0</v>
      </c>
      <c r="AT103" s="759"/>
      <c r="BA103" s="2007" t="s">
        <v>1380</v>
      </c>
      <c r="BB103" s="160" t="str">
        <f>+BC103&amp;", "&amp;BD103&amp;", "&amp;BE103&amp;", "&amp;BF103&amp;", "&amp;BG103&amp;", "&amp;BI103&amp;", "&amp;BH103&amp;", "&amp;BJ103</f>
        <v>Structure, 345kV, H frame, Dead End, 80-99ft, Repl., Live line, Concrete Caisson Fnd</v>
      </c>
      <c r="BC103" s="9" t="s">
        <v>2164</v>
      </c>
      <c r="BD103" s="9" t="s">
        <v>2086</v>
      </c>
      <c r="BE103" s="9" t="s">
        <v>2084</v>
      </c>
      <c r="BF103" s="9" t="s">
        <v>2159</v>
      </c>
      <c r="BG103" s="9" t="s">
        <v>2161</v>
      </c>
      <c r="BH103" s="9" t="s">
        <v>2162</v>
      </c>
      <c r="BI103" s="9" t="s">
        <v>2165</v>
      </c>
      <c r="BJ103" s="9" t="s">
        <v>2158</v>
      </c>
      <c r="BM103" s="2010">
        <f>60000*1.25</f>
        <v>75000</v>
      </c>
    </row>
    <row r="104" spans="1:65" ht="15" x14ac:dyDescent="0.25">
      <c r="A104" s="784"/>
      <c r="B104" s="719"/>
      <c r="C104" s="170" t="str">
        <f t="shared" si="191"/>
        <v>Ea</v>
      </c>
      <c r="D104" s="557"/>
      <c r="E104" s="170"/>
      <c r="F104" s="170"/>
      <c r="G104" s="2160" t="s">
        <v>2263</v>
      </c>
      <c r="H104" s="1926"/>
      <c r="I104" s="2008" t="s">
        <v>1416</v>
      </c>
      <c r="J104" s="1926"/>
      <c r="K104" s="1926"/>
      <c r="L104" s="170"/>
      <c r="M104" s="2009">
        <v>0</v>
      </c>
      <c r="N104" s="2010">
        <v>1</v>
      </c>
      <c r="O104" s="773">
        <f t="shared" si="213"/>
        <v>0</v>
      </c>
      <c r="P104" s="2008" t="s">
        <v>39</v>
      </c>
      <c r="Q104" s="2008" t="s">
        <v>604</v>
      </c>
      <c r="R104" s="2011" t="s">
        <v>74</v>
      </c>
      <c r="S104" s="778">
        <f>SUMIF('Data Input sheet'!$B$118:$B$180,R104,'Data Input sheet'!$D$118:$D$180)</f>
        <v>152</v>
      </c>
      <c r="T104" s="2010">
        <f t="shared" si="214"/>
        <v>0</v>
      </c>
      <c r="U104" s="2010">
        <v>0</v>
      </c>
      <c r="V104" s="778">
        <f t="shared" si="215"/>
        <v>0</v>
      </c>
      <c r="W104" s="2010">
        <v>0</v>
      </c>
      <c r="X104" s="779"/>
      <c r="Y104" s="2012"/>
      <c r="Z104" s="780">
        <f t="shared" si="216"/>
        <v>0</v>
      </c>
      <c r="AA104" s="2007"/>
      <c r="AB104" s="2007"/>
      <c r="AC104" s="765"/>
      <c r="AD104" s="781">
        <f t="shared" si="217"/>
        <v>0</v>
      </c>
      <c r="AE104" s="781">
        <f t="shared" si="218"/>
        <v>0</v>
      </c>
      <c r="AF104" s="781">
        <f t="shared" si="219"/>
        <v>0</v>
      </c>
      <c r="AG104" s="781">
        <f t="shared" si="220"/>
        <v>0</v>
      </c>
      <c r="AH104" s="781">
        <f t="shared" si="221"/>
        <v>0</v>
      </c>
      <c r="AI104" s="782">
        <f t="shared" si="222"/>
        <v>0</v>
      </c>
      <c r="AJ104" s="781">
        <f t="shared" si="223"/>
        <v>0</v>
      </c>
      <c r="AK104" s="781">
        <f t="shared" si="224"/>
        <v>0</v>
      </c>
      <c r="AL104" s="781">
        <f t="shared" si="225"/>
        <v>0</v>
      </c>
      <c r="AM104" s="781">
        <f t="shared" si="226"/>
        <v>0</v>
      </c>
      <c r="AN104" s="781">
        <f t="shared" si="227"/>
        <v>0</v>
      </c>
      <c r="AO104" s="781">
        <f t="shared" si="228"/>
        <v>0</v>
      </c>
      <c r="AP104" s="781">
        <f t="shared" si="229"/>
        <v>0</v>
      </c>
      <c r="AQ104" s="781">
        <f t="shared" si="230"/>
        <v>0</v>
      </c>
      <c r="AR104" s="781">
        <f t="shared" si="231"/>
        <v>0</v>
      </c>
      <c r="AS104" s="783">
        <f t="shared" si="232"/>
        <v>0</v>
      </c>
      <c r="AT104" s="759"/>
      <c r="BA104" s="2007"/>
      <c r="BC104" s="9"/>
      <c r="BE104" s="9"/>
      <c r="BF104" s="9"/>
      <c r="BG104" s="9"/>
      <c r="BH104" s="9"/>
      <c r="BI104" s="9"/>
      <c r="BJ104" s="9"/>
      <c r="BM104" s="2010">
        <v>0</v>
      </c>
    </row>
    <row r="105" spans="1:65" ht="45" x14ac:dyDescent="0.25">
      <c r="A105" s="784"/>
      <c r="B105" s="719">
        <f>+B103+1</f>
        <v>58</v>
      </c>
      <c r="C105" s="170" t="str">
        <f t="shared" si="191"/>
        <v>41Ea</v>
      </c>
      <c r="D105" s="557"/>
      <c r="E105" s="170"/>
      <c r="F105" s="170">
        <v>41</v>
      </c>
      <c r="G105" s="2007" t="s">
        <v>2239</v>
      </c>
      <c r="H105" s="1926"/>
      <c r="I105" s="2008" t="s">
        <v>1416</v>
      </c>
      <c r="J105" s="1926"/>
      <c r="K105" s="1926"/>
      <c r="L105" s="170"/>
      <c r="M105" s="2009">
        <f>ROUND(80*1.4,-1)</f>
        <v>110</v>
      </c>
      <c r="N105" s="2010">
        <v>1</v>
      </c>
      <c r="O105" s="773">
        <f t="shared" si="213"/>
        <v>110</v>
      </c>
      <c r="P105" s="2008" t="s">
        <v>39</v>
      </c>
      <c r="Q105" s="2008" t="s">
        <v>604</v>
      </c>
      <c r="R105" s="2011" t="s">
        <v>74</v>
      </c>
      <c r="S105" s="778">
        <f>SUMIF('Data Input sheet'!$B$118:$B$180,R105,'Data Input sheet'!$D$118:$D$180)</f>
        <v>152</v>
      </c>
      <c r="T105" s="2010">
        <f t="shared" si="214"/>
        <v>16720</v>
      </c>
      <c r="U105" s="2010">
        <v>54</v>
      </c>
      <c r="V105" s="778">
        <f t="shared" si="215"/>
        <v>5940</v>
      </c>
      <c r="W105" s="2010">
        <f t="shared" ref="W105:W108" si="275">ROUND(+BM105*(1+$BM$7),-2)</f>
        <v>70300</v>
      </c>
      <c r="X105" s="779"/>
      <c r="Y105" s="2012"/>
      <c r="Z105" s="780">
        <f t="shared" si="216"/>
        <v>92960</v>
      </c>
      <c r="AA105" s="2007"/>
      <c r="AB105" s="2007"/>
      <c r="AC105" s="765"/>
      <c r="AD105" s="781">
        <f t="shared" si="217"/>
        <v>0</v>
      </c>
      <c r="AE105" s="781">
        <f t="shared" si="218"/>
        <v>0</v>
      </c>
      <c r="AF105" s="781">
        <f t="shared" si="219"/>
        <v>0</v>
      </c>
      <c r="AG105" s="781">
        <f t="shared" si="220"/>
        <v>0</v>
      </c>
      <c r="AH105" s="781">
        <f t="shared" si="221"/>
        <v>0</v>
      </c>
      <c r="AI105" s="782">
        <f t="shared" si="222"/>
        <v>0</v>
      </c>
      <c r="AJ105" s="781">
        <f t="shared" si="223"/>
        <v>0</v>
      </c>
      <c r="AK105" s="781">
        <f t="shared" si="224"/>
        <v>0</v>
      </c>
      <c r="AL105" s="781">
        <f t="shared" si="225"/>
        <v>0</v>
      </c>
      <c r="AM105" s="781">
        <f t="shared" si="226"/>
        <v>0</v>
      </c>
      <c r="AN105" s="781">
        <f t="shared" si="227"/>
        <v>0</v>
      </c>
      <c r="AO105" s="781">
        <f t="shared" si="228"/>
        <v>0</v>
      </c>
      <c r="AP105" s="781">
        <f t="shared" si="229"/>
        <v>0</v>
      </c>
      <c r="AQ105" s="781">
        <f t="shared" si="230"/>
        <v>0</v>
      </c>
      <c r="AR105" s="781">
        <f t="shared" si="231"/>
        <v>0</v>
      </c>
      <c r="AS105" s="783">
        <f t="shared" si="232"/>
        <v>0</v>
      </c>
      <c r="AT105" s="759"/>
      <c r="BA105" s="2007" t="s">
        <v>1383</v>
      </c>
      <c r="BB105" s="160" t="str">
        <f>+BC105&amp;", "&amp;BD105&amp;", "&amp;BE105&amp;", "&amp;BF105&amp;", "&amp;BG105&amp;", "&amp;BI105&amp;", "&amp;BH105&amp;", "&amp;BJ105</f>
        <v>Structure, 345kV, H frame, Running Angle, 80-99ft, New, Deenergized, Concrete Caisson Fnd</v>
      </c>
      <c r="BC105" s="9" t="s">
        <v>2164</v>
      </c>
      <c r="BD105" s="9" t="s">
        <v>2086</v>
      </c>
      <c r="BE105" s="9" t="s">
        <v>2084</v>
      </c>
      <c r="BF105" s="9" t="s">
        <v>2160</v>
      </c>
      <c r="BG105" s="9" t="s">
        <v>2161</v>
      </c>
      <c r="BH105" s="9" t="s">
        <v>2157</v>
      </c>
      <c r="BI105" s="9" t="s">
        <v>908</v>
      </c>
      <c r="BJ105" s="9" t="s">
        <v>2158</v>
      </c>
      <c r="BM105" s="2010">
        <f>45000*1.25</f>
        <v>56250</v>
      </c>
    </row>
    <row r="106" spans="1:65" ht="45" x14ac:dyDescent="0.25">
      <c r="A106" s="784"/>
      <c r="B106" s="719">
        <f t="shared" si="24"/>
        <v>59</v>
      </c>
      <c r="C106" s="170" t="str">
        <f t="shared" si="191"/>
        <v>41Ea</v>
      </c>
      <c r="D106" s="557"/>
      <c r="E106" s="170"/>
      <c r="F106" s="170">
        <v>41</v>
      </c>
      <c r="G106" s="2007" t="s">
        <v>2240</v>
      </c>
      <c r="H106" s="1926"/>
      <c r="I106" s="2008" t="s">
        <v>1416</v>
      </c>
      <c r="J106" s="1926"/>
      <c r="K106" s="1926"/>
      <c r="L106" s="170"/>
      <c r="M106" s="2009">
        <f>ROUND(87*1.4,-1)</f>
        <v>120</v>
      </c>
      <c r="N106" s="2010">
        <v>1</v>
      </c>
      <c r="O106" s="773">
        <f t="shared" si="213"/>
        <v>120</v>
      </c>
      <c r="P106" s="2008" t="s">
        <v>39</v>
      </c>
      <c r="Q106" s="2008" t="s">
        <v>604</v>
      </c>
      <c r="R106" s="2011" t="s">
        <v>74</v>
      </c>
      <c r="S106" s="778">
        <f>SUMIF('Data Input sheet'!$B$118:$B$180,R106,'Data Input sheet'!$D$118:$D$180)</f>
        <v>152</v>
      </c>
      <c r="T106" s="2010">
        <f t="shared" si="214"/>
        <v>18240</v>
      </c>
      <c r="U106" s="2010">
        <v>60</v>
      </c>
      <c r="V106" s="778">
        <f t="shared" si="215"/>
        <v>7200</v>
      </c>
      <c r="W106" s="2010">
        <f t="shared" si="275"/>
        <v>65600</v>
      </c>
      <c r="X106" s="779"/>
      <c r="Y106" s="2012"/>
      <c r="Z106" s="780">
        <f t="shared" si="216"/>
        <v>91040</v>
      </c>
      <c r="AA106" s="2007"/>
      <c r="AB106" s="2007"/>
      <c r="AC106" s="765"/>
      <c r="AD106" s="781">
        <f t="shared" si="217"/>
        <v>0</v>
      </c>
      <c r="AE106" s="781">
        <f t="shared" si="218"/>
        <v>0</v>
      </c>
      <c r="AF106" s="781">
        <f t="shared" si="219"/>
        <v>0</v>
      </c>
      <c r="AG106" s="781">
        <f t="shared" si="220"/>
        <v>0</v>
      </c>
      <c r="AH106" s="781">
        <f t="shared" si="221"/>
        <v>0</v>
      </c>
      <c r="AI106" s="782">
        <f t="shared" si="222"/>
        <v>0</v>
      </c>
      <c r="AJ106" s="781">
        <f t="shared" si="223"/>
        <v>0</v>
      </c>
      <c r="AK106" s="781">
        <f t="shared" si="224"/>
        <v>0</v>
      </c>
      <c r="AL106" s="781">
        <f t="shared" si="225"/>
        <v>0</v>
      </c>
      <c r="AM106" s="781">
        <f t="shared" si="226"/>
        <v>0</v>
      </c>
      <c r="AN106" s="781">
        <f t="shared" si="227"/>
        <v>0</v>
      </c>
      <c r="AO106" s="781">
        <f t="shared" si="228"/>
        <v>0</v>
      </c>
      <c r="AP106" s="781">
        <f t="shared" si="229"/>
        <v>0</v>
      </c>
      <c r="AQ106" s="781">
        <f t="shared" si="230"/>
        <v>0</v>
      </c>
      <c r="AR106" s="781">
        <f t="shared" si="231"/>
        <v>0</v>
      </c>
      <c r="AS106" s="783">
        <f t="shared" si="232"/>
        <v>0</v>
      </c>
      <c r="AT106" s="759"/>
      <c r="BA106" s="2007" t="s">
        <v>1397</v>
      </c>
      <c r="BB106" s="160" t="str">
        <f>+BC106&amp;", "&amp;BD106&amp;", "&amp;BE106&amp;", "&amp;BF106&amp;", "&amp;BG106&amp;", "&amp;BI106&amp;", "&amp;BH106&amp;", "&amp;BJ106</f>
        <v>Structure, 345kV, H frame, Running Angle, 80-99ft, New, Deenergized, Direct Embedment Fnd</v>
      </c>
      <c r="BC106" s="9" t="s">
        <v>2164</v>
      </c>
      <c r="BD106" s="9" t="s">
        <v>2086</v>
      </c>
      <c r="BE106" s="9" t="s">
        <v>2084</v>
      </c>
      <c r="BF106" s="9" t="s">
        <v>2160</v>
      </c>
      <c r="BG106" s="9" t="s">
        <v>2161</v>
      </c>
      <c r="BH106" s="9" t="s">
        <v>2157</v>
      </c>
      <c r="BI106" s="9" t="s">
        <v>908</v>
      </c>
      <c r="BJ106" s="9" t="s">
        <v>2163</v>
      </c>
      <c r="BM106" s="2010">
        <f>42000*1.25</f>
        <v>52500</v>
      </c>
    </row>
    <row r="107" spans="1:65" ht="45" x14ac:dyDescent="0.25">
      <c r="A107" s="784"/>
      <c r="B107" s="719">
        <f t="shared" si="24"/>
        <v>60</v>
      </c>
      <c r="C107" s="170" t="str">
        <f t="shared" si="191"/>
        <v>41Ea</v>
      </c>
      <c r="D107" s="557"/>
      <c r="E107" s="170"/>
      <c r="F107" s="170">
        <v>41</v>
      </c>
      <c r="G107" s="2007" t="s">
        <v>2241</v>
      </c>
      <c r="H107" s="1926">
        <f>+'Structure replacements'!$I$42+'Structure replacements'!$I$43</f>
        <v>0</v>
      </c>
      <c r="I107" s="2008" t="s">
        <v>1416</v>
      </c>
      <c r="J107" s="1926"/>
      <c r="K107" s="1926"/>
      <c r="L107" s="170"/>
      <c r="M107" s="2009">
        <f>ROUND(148*1.4,-1)</f>
        <v>210</v>
      </c>
      <c r="N107" s="2010">
        <v>1</v>
      </c>
      <c r="O107" s="773">
        <f t="shared" si="213"/>
        <v>210</v>
      </c>
      <c r="P107" s="2008" t="s">
        <v>39</v>
      </c>
      <c r="Q107" s="2008" t="s">
        <v>604</v>
      </c>
      <c r="R107" s="2011" t="s">
        <v>74</v>
      </c>
      <c r="S107" s="778">
        <f>SUMIF('Data Input sheet'!$B$118:$B$180,R107,'Data Input sheet'!$D$118:$D$180)</f>
        <v>152</v>
      </c>
      <c r="T107" s="2010">
        <f t="shared" si="214"/>
        <v>31920</v>
      </c>
      <c r="U107" s="2010">
        <v>19</v>
      </c>
      <c r="V107" s="778">
        <f t="shared" si="215"/>
        <v>3990</v>
      </c>
      <c r="W107" s="2010">
        <f t="shared" si="275"/>
        <v>65600</v>
      </c>
      <c r="X107" s="779"/>
      <c r="Y107" s="2012"/>
      <c r="Z107" s="780">
        <f t="shared" si="216"/>
        <v>101510</v>
      </c>
      <c r="AA107" s="2007"/>
      <c r="AB107" s="2007"/>
      <c r="AC107" s="765"/>
      <c r="AD107" s="781">
        <f t="shared" si="217"/>
        <v>0</v>
      </c>
      <c r="AE107" s="781">
        <f t="shared" si="218"/>
        <v>0</v>
      </c>
      <c r="AF107" s="781">
        <f t="shared" si="219"/>
        <v>0</v>
      </c>
      <c r="AG107" s="781">
        <f t="shared" si="220"/>
        <v>0</v>
      </c>
      <c r="AH107" s="781">
        <f t="shared" si="221"/>
        <v>0</v>
      </c>
      <c r="AI107" s="782">
        <f t="shared" si="222"/>
        <v>0</v>
      </c>
      <c r="AJ107" s="781">
        <f t="shared" si="223"/>
        <v>0</v>
      </c>
      <c r="AK107" s="781">
        <f t="shared" si="224"/>
        <v>0</v>
      </c>
      <c r="AL107" s="781">
        <f t="shared" si="225"/>
        <v>0</v>
      </c>
      <c r="AM107" s="781">
        <f t="shared" si="226"/>
        <v>0</v>
      </c>
      <c r="AN107" s="781">
        <f t="shared" si="227"/>
        <v>0</v>
      </c>
      <c r="AO107" s="781">
        <f t="shared" si="228"/>
        <v>0</v>
      </c>
      <c r="AP107" s="781">
        <f t="shared" si="229"/>
        <v>0</v>
      </c>
      <c r="AQ107" s="781">
        <f t="shared" si="230"/>
        <v>0</v>
      </c>
      <c r="AR107" s="781">
        <f t="shared" si="231"/>
        <v>0</v>
      </c>
      <c r="AS107" s="783">
        <f t="shared" si="232"/>
        <v>0</v>
      </c>
      <c r="AT107" s="759"/>
      <c r="BA107" s="2007" t="s">
        <v>1398</v>
      </c>
      <c r="BB107" s="160" t="str">
        <f>+BC107&amp;", "&amp;BD107&amp;", "&amp;BE107&amp;", "&amp;BF107&amp;", "&amp;BG107&amp;", "&amp;BI107&amp;", "&amp;BH107&amp;", "&amp;BJ107</f>
        <v>Structure, 345kV, H frame, Running Angle, 80-99ft, Repl., Deenergized, Direct Embedment Fnd</v>
      </c>
      <c r="BC107" s="9" t="s">
        <v>2164</v>
      </c>
      <c r="BD107" s="9" t="s">
        <v>2086</v>
      </c>
      <c r="BE107" s="9" t="s">
        <v>2084</v>
      </c>
      <c r="BF107" s="9" t="s">
        <v>2160</v>
      </c>
      <c r="BG107" s="9" t="s">
        <v>2161</v>
      </c>
      <c r="BH107" s="9" t="s">
        <v>2157</v>
      </c>
      <c r="BI107" s="9" t="s">
        <v>2165</v>
      </c>
      <c r="BJ107" s="9" t="s">
        <v>2163</v>
      </c>
      <c r="BM107" s="2010">
        <f>42000*1.25</f>
        <v>52500</v>
      </c>
    </row>
    <row r="108" spans="1:65" ht="30" x14ac:dyDescent="0.25">
      <c r="A108" s="784"/>
      <c r="B108" s="719">
        <f t="shared" si="24"/>
        <v>61</v>
      </c>
      <c r="C108" s="170" t="str">
        <f t="shared" si="191"/>
        <v>41Ea</v>
      </c>
      <c r="D108" s="557"/>
      <c r="E108" s="170"/>
      <c r="F108" s="170">
        <v>41</v>
      </c>
      <c r="G108" s="2007" t="s">
        <v>2242</v>
      </c>
      <c r="H108" s="1926"/>
      <c r="I108" s="2008" t="s">
        <v>1416</v>
      </c>
      <c r="J108" s="1926"/>
      <c r="K108" s="1926"/>
      <c r="L108" s="170"/>
      <c r="M108" s="2009">
        <f>ROUND(210*1.4,-1)</f>
        <v>290</v>
      </c>
      <c r="N108" s="2010">
        <v>1</v>
      </c>
      <c r="O108" s="773">
        <f t="shared" si="213"/>
        <v>290</v>
      </c>
      <c r="P108" s="2008" t="s">
        <v>39</v>
      </c>
      <c r="Q108" s="2008" t="s">
        <v>604</v>
      </c>
      <c r="R108" s="2011" t="s">
        <v>74</v>
      </c>
      <c r="S108" s="778">
        <f>SUMIF('Data Input sheet'!$B$118:$B$180,R108,'Data Input sheet'!$D$118:$D$180)</f>
        <v>152</v>
      </c>
      <c r="T108" s="2010">
        <f t="shared" si="214"/>
        <v>44080</v>
      </c>
      <c r="U108" s="2010">
        <v>60</v>
      </c>
      <c r="V108" s="778">
        <f t="shared" si="215"/>
        <v>17400</v>
      </c>
      <c r="W108" s="2010">
        <f t="shared" si="275"/>
        <v>70300</v>
      </c>
      <c r="X108" s="779"/>
      <c r="Y108" s="2012"/>
      <c r="Z108" s="780">
        <f t="shared" si="216"/>
        <v>131780</v>
      </c>
      <c r="AA108" s="2007"/>
      <c r="AB108" s="2007"/>
      <c r="AC108" s="765"/>
      <c r="AD108" s="781">
        <f t="shared" si="217"/>
        <v>0</v>
      </c>
      <c r="AE108" s="781">
        <f t="shared" si="218"/>
        <v>0</v>
      </c>
      <c r="AF108" s="781">
        <f t="shared" si="219"/>
        <v>0</v>
      </c>
      <c r="AG108" s="781">
        <f t="shared" si="220"/>
        <v>0</v>
      </c>
      <c r="AH108" s="781">
        <f t="shared" si="221"/>
        <v>0</v>
      </c>
      <c r="AI108" s="782">
        <f t="shared" si="222"/>
        <v>0</v>
      </c>
      <c r="AJ108" s="781">
        <f t="shared" si="223"/>
        <v>0</v>
      </c>
      <c r="AK108" s="781">
        <f t="shared" si="224"/>
        <v>0</v>
      </c>
      <c r="AL108" s="781">
        <f t="shared" si="225"/>
        <v>0</v>
      </c>
      <c r="AM108" s="781">
        <f t="shared" si="226"/>
        <v>0</v>
      </c>
      <c r="AN108" s="781">
        <f t="shared" si="227"/>
        <v>0</v>
      </c>
      <c r="AO108" s="781">
        <f t="shared" si="228"/>
        <v>0</v>
      </c>
      <c r="AP108" s="781">
        <f t="shared" si="229"/>
        <v>0</v>
      </c>
      <c r="AQ108" s="781">
        <f t="shared" si="230"/>
        <v>0</v>
      </c>
      <c r="AR108" s="781">
        <f t="shared" si="231"/>
        <v>0</v>
      </c>
      <c r="AS108" s="783">
        <f t="shared" si="232"/>
        <v>0</v>
      </c>
      <c r="AT108" s="759"/>
      <c r="BA108" s="2007" t="s">
        <v>1384</v>
      </c>
      <c r="BB108" s="160" t="str">
        <f>+BC108&amp;", "&amp;BD108&amp;", "&amp;BE108&amp;", "&amp;BF108&amp;", "&amp;BG108&amp;", "&amp;BI108&amp;", "&amp;BH108&amp;", "&amp;BJ108</f>
        <v>Structure, 345kV, H frame, Running Angle, 80-99ft, Repl., Live line, Concrete Caisson Fnd</v>
      </c>
      <c r="BC108" s="9" t="s">
        <v>2164</v>
      </c>
      <c r="BD108" s="9" t="s">
        <v>2086</v>
      </c>
      <c r="BE108" s="9" t="s">
        <v>2084</v>
      </c>
      <c r="BF108" s="9" t="s">
        <v>2160</v>
      </c>
      <c r="BG108" s="9" t="s">
        <v>2161</v>
      </c>
      <c r="BH108" s="9" t="s">
        <v>2162</v>
      </c>
      <c r="BI108" s="9" t="s">
        <v>2165</v>
      </c>
      <c r="BJ108" s="9" t="s">
        <v>2158</v>
      </c>
      <c r="BM108" s="2010">
        <f>45000*1.25</f>
        <v>56250</v>
      </c>
    </row>
    <row r="109" spans="1:65" ht="15" x14ac:dyDescent="0.25">
      <c r="A109" s="784"/>
      <c r="B109" s="719"/>
      <c r="C109" s="170" t="str">
        <f t="shared" si="191"/>
        <v/>
      </c>
      <c r="D109" s="557"/>
      <c r="E109" s="170"/>
      <c r="F109" s="170"/>
      <c r="G109" s="2160" t="s">
        <v>2264</v>
      </c>
      <c r="H109" s="1926"/>
      <c r="I109" s="2008"/>
      <c r="J109" s="1926"/>
      <c r="K109" s="1926"/>
      <c r="L109" s="170"/>
      <c r="M109" s="2009"/>
      <c r="N109" s="2010"/>
      <c r="O109" s="773"/>
      <c r="P109" s="2008"/>
      <c r="Q109" s="2008"/>
      <c r="R109" s="2011"/>
      <c r="S109" s="778"/>
      <c r="T109" s="2010"/>
      <c r="U109" s="2010"/>
      <c r="V109" s="778"/>
      <c r="W109" s="2010"/>
      <c r="X109" s="779"/>
      <c r="Y109" s="2012"/>
      <c r="Z109" s="780"/>
      <c r="AA109" s="2007"/>
      <c r="AB109" s="2007"/>
      <c r="AC109" s="765"/>
      <c r="AD109" s="781"/>
      <c r="AE109" s="781"/>
      <c r="AF109" s="781"/>
      <c r="AG109" s="781"/>
      <c r="AH109" s="781"/>
      <c r="AI109" s="782"/>
      <c r="AJ109" s="781"/>
      <c r="AK109" s="781"/>
      <c r="AL109" s="781"/>
      <c r="AM109" s="781"/>
      <c r="AN109" s="781"/>
      <c r="AO109" s="781"/>
      <c r="AP109" s="781"/>
      <c r="AQ109" s="781"/>
      <c r="AR109" s="781"/>
      <c r="AS109" s="783"/>
      <c r="AT109" s="759"/>
      <c r="BA109" s="2007"/>
      <c r="BC109" s="9"/>
      <c r="BD109" s="9"/>
      <c r="BE109" s="9"/>
      <c r="BF109" s="9"/>
      <c r="BG109" s="9"/>
      <c r="BH109" s="9"/>
      <c r="BI109" s="9"/>
      <c r="BJ109" s="9"/>
      <c r="BM109" s="2010"/>
    </row>
    <row r="110" spans="1:65" ht="30" x14ac:dyDescent="0.25">
      <c r="A110" s="784"/>
      <c r="B110" s="719">
        <f>+B108+1</f>
        <v>62</v>
      </c>
      <c r="C110" s="170" t="str">
        <f t="shared" si="191"/>
        <v>41Ea</v>
      </c>
      <c r="D110" s="557"/>
      <c r="E110" s="170"/>
      <c r="F110" s="170">
        <v>41</v>
      </c>
      <c r="G110" s="2007" t="s">
        <v>2243</v>
      </c>
      <c r="H110" s="1926">
        <f>+'Structure replacements'!$I$44+'Structure replacements'!$I$45</f>
        <v>0</v>
      </c>
      <c r="I110" s="2008" t="s">
        <v>1416</v>
      </c>
      <c r="J110" s="1926"/>
      <c r="K110" s="1926"/>
      <c r="L110" s="170"/>
      <c r="M110" s="2009">
        <f>ROUND(47*1.4,-1)</f>
        <v>70</v>
      </c>
      <c r="N110" s="2010">
        <v>1</v>
      </c>
      <c r="O110" s="773">
        <f t="shared" si="213"/>
        <v>70</v>
      </c>
      <c r="P110" s="2008" t="s">
        <v>39</v>
      </c>
      <c r="Q110" s="2008" t="s">
        <v>604</v>
      </c>
      <c r="R110" s="2011" t="s">
        <v>74</v>
      </c>
      <c r="S110" s="778">
        <f>SUMIF('Data Input sheet'!$B$118:$B$180,R110,'Data Input sheet'!$D$118:$D$180)</f>
        <v>152</v>
      </c>
      <c r="T110" s="2010">
        <f t="shared" si="214"/>
        <v>10640</v>
      </c>
      <c r="U110" s="2010">
        <v>44</v>
      </c>
      <c r="V110" s="778">
        <f t="shared" si="215"/>
        <v>3080</v>
      </c>
      <c r="W110" s="2010">
        <f t="shared" ref="W110:W113" si="276">ROUND(+BM110*(1+$BM$7),-2)</f>
        <v>43800</v>
      </c>
      <c r="X110" s="779"/>
      <c r="Y110" s="2012"/>
      <c r="Z110" s="780">
        <f t="shared" si="216"/>
        <v>57520</v>
      </c>
      <c r="AA110" s="2007"/>
      <c r="AB110" s="2007"/>
      <c r="AC110" s="765"/>
      <c r="AD110" s="781">
        <f t="shared" si="217"/>
        <v>0</v>
      </c>
      <c r="AE110" s="781">
        <f t="shared" si="218"/>
        <v>0</v>
      </c>
      <c r="AF110" s="781">
        <f t="shared" si="219"/>
        <v>0</v>
      </c>
      <c r="AG110" s="781">
        <f t="shared" si="220"/>
        <v>0</v>
      </c>
      <c r="AH110" s="781">
        <f t="shared" si="221"/>
        <v>0</v>
      </c>
      <c r="AI110" s="782">
        <f t="shared" si="222"/>
        <v>0</v>
      </c>
      <c r="AJ110" s="781">
        <f t="shared" si="223"/>
        <v>0</v>
      </c>
      <c r="AK110" s="781">
        <f t="shared" si="224"/>
        <v>0</v>
      </c>
      <c r="AL110" s="781">
        <f t="shared" si="225"/>
        <v>0</v>
      </c>
      <c r="AM110" s="781">
        <f t="shared" si="226"/>
        <v>0</v>
      </c>
      <c r="AN110" s="781">
        <f t="shared" si="227"/>
        <v>0</v>
      </c>
      <c r="AO110" s="781">
        <f t="shared" si="228"/>
        <v>0</v>
      </c>
      <c r="AP110" s="781">
        <f t="shared" si="229"/>
        <v>0</v>
      </c>
      <c r="AQ110" s="781">
        <f t="shared" si="230"/>
        <v>0</v>
      </c>
      <c r="AR110" s="781">
        <f t="shared" si="231"/>
        <v>0</v>
      </c>
      <c r="AS110" s="783">
        <f t="shared" si="232"/>
        <v>0</v>
      </c>
      <c r="AT110" s="759"/>
      <c r="BA110" s="2007" t="s">
        <v>1399</v>
      </c>
      <c r="BB110" s="160" t="str">
        <f>+BC110&amp;", "&amp;BD110&amp;", "&amp;BE110&amp;", "&amp;BF110&amp;", "&amp;BG110&amp;", "&amp;BI110&amp;", "&amp;BH110&amp;", "&amp;BJ110</f>
        <v>Structure, 345kV, H frame, Tangent, 80-99ft, New, Deenergized, Concrete Caisson Fnd</v>
      </c>
      <c r="BC110" s="9" t="s">
        <v>2164</v>
      </c>
      <c r="BD110" s="9" t="s">
        <v>2086</v>
      </c>
      <c r="BE110" s="9" t="s">
        <v>2084</v>
      </c>
      <c r="BF110" s="9" t="s">
        <v>2071</v>
      </c>
      <c r="BG110" s="9" t="s">
        <v>2161</v>
      </c>
      <c r="BH110" s="9" t="s">
        <v>2157</v>
      </c>
      <c r="BI110" s="9" t="s">
        <v>908</v>
      </c>
      <c r="BJ110" s="9" t="s">
        <v>2158</v>
      </c>
      <c r="BM110" s="2010">
        <f>28000*1.25</f>
        <v>35000</v>
      </c>
    </row>
    <row r="111" spans="1:65" ht="30" x14ac:dyDescent="0.25">
      <c r="A111" s="784"/>
      <c r="B111" s="719">
        <f>+B110+1</f>
        <v>63</v>
      </c>
      <c r="C111" s="170" t="str">
        <f t="shared" si="191"/>
        <v>41Ea</v>
      </c>
      <c r="D111" s="557"/>
      <c r="E111" s="170"/>
      <c r="F111" s="170">
        <v>41</v>
      </c>
      <c r="G111" s="2007" t="s">
        <v>2244</v>
      </c>
      <c r="H111" s="1926">
        <v>0</v>
      </c>
      <c r="I111" s="2008" t="s">
        <v>1416</v>
      </c>
      <c r="J111" s="1926"/>
      <c r="K111" s="1926"/>
      <c r="L111" s="170"/>
      <c r="M111" s="2009">
        <f>ROUND(45*1.4,-1)</f>
        <v>60</v>
      </c>
      <c r="N111" s="2010">
        <v>1</v>
      </c>
      <c r="O111" s="773">
        <f t="shared" si="213"/>
        <v>60</v>
      </c>
      <c r="P111" s="2008" t="s">
        <v>39</v>
      </c>
      <c r="Q111" s="2008" t="s">
        <v>604</v>
      </c>
      <c r="R111" s="2011" t="s">
        <v>74</v>
      </c>
      <c r="S111" s="778">
        <f>SUMIF('Data Input sheet'!$B$118:$B$180,R111,'Data Input sheet'!$D$118:$D$180)</f>
        <v>152</v>
      </c>
      <c r="T111" s="2010">
        <f t="shared" si="214"/>
        <v>9120</v>
      </c>
      <c r="U111" s="2010">
        <v>60</v>
      </c>
      <c r="V111" s="778">
        <f t="shared" si="215"/>
        <v>3600</v>
      </c>
      <c r="W111" s="2010">
        <f t="shared" si="276"/>
        <v>43800</v>
      </c>
      <c r="X111" s="779"/>
      <c r="Y111" s="2012"/>
      <c r="Z111" s="780">
        <f t="shared" si="216"/>
        <v>56520</v>
      </c>
      <c r="AA111" s="2007"/>
      <c r="AB111" s="2007"/>
      <c r="AC111" s="765"/>
      <c r="AD111" s="781">
        <f t="shared" si="217"/>
        <v>0</v>
      </c>
      <c r="AE111" s="781">
        <f t="shared" si="218"/>
        <v>0</v>
      </c>
      <c r="AF111" s="781">
        <f t="shared" si="219"/>
        <v>0</v>
      </c>
      <c r="AG111" s="781">
        <f t="shared" si="220"/>
        <v>0</v>
      </c>
      <c r="AH111" s="781">
        <f t="shared" si="221"/>
        <v>0</v>
      </c>
      <c r="AI111" s="782">
        <f t="shared" si="222"/>
        <v>0</v>
      </c>
      <c r="AJ111" s="781">
        <f t="shared" si="223"/>
        <v>0</v>
      </c>
      <c r="AK111" s="781">
        <f t="shared" si="224"/>
        <v>0</v>
      </c>
      <c r="AL111" s="781">
        <f t="shared" si="225"/>
        <v>0</v>
      </c>
      <c r="AM111" s="781">
        <f t="shared" si="226"/>
        <v>0</v>
      </c>
      <c r="AN111" s="781">
        <f t="shared" si="227"/>
        <v>0</v>
      </c>
      <c r="AO111" s="781">
        <f t="shared" si="228"/>
        <v>0</v>
      </c>
      <c r="AP111" s="781">
        <f t="shared" si="229"/>
        <v>0</v>
      </c>
      <c r="AQ111" s="781">
        <f t="shared" si="230"/>
        <v>0</v>
      </c>
      <c r="AR111" s="781">
        <f t="shared" si="231"/>
        <v>0</v>
      </c>
      <c r="AS111" s="783">
        <f t="shared" si="232"/>
        <v>0</v>
      </c>
      <c r="AT111" s="759"/>
      <c r="BA111" s="2007" t="s">
        <v>1401</v>
      </c>
      <c r="BB111" s="160" t="str">
        <f>+BC111&amp;", "&amp;BD111&amp;", "&amp;BE111&amp;", "&amp;BF111&amp;", "&amp;BG111&amp;", "&amp;BI111&amp;", "&amp;BH111&amp;", "&amp;BJ111</f>
        <v>Structure, 345kV, H frame, Tangent, 80-99ft, New, Deenergized, Direct Embedment Fnd</v>
      </c>
      <c r="BC111" s="9" t="s">
        <v>2164</v>
      </c>
      <c r="BD111" s="9" t="s">
        <v>2086</v>
      </c>
      <c r="BE111" s="9" t="s">
        <v>2084</v>
      </c>
      <c r="BF111" s="9" t="s">
        <v>2071</v>
      </c>
      <c r="BG111" s="9" t="s">
        <v>2161</v>
      </c>
      <c r="BH111" s="9" t="s">
        <v>2157</v>
      </c>
      <c r="BI111" s="9" t="s">
        <v>908</v>
      </c>
      <c r="BJ111" s="9" t="s">
        <v>2163</v>
      </c>
      <c r="BM111" s="2010">
        <f>28000*1.25</f>
        <v>35000</v>
      </c>
    </row>
    <row r="112" spans="1:65" ht="30" x14ac:dyDescent="0.25">
      <c r="A112" s="784"/>
      <c r="B112" s="719">
        <f t="shared" si="24"/>
        <v>64</v>
      </c>
      <c r="C112" s="170" t="str">
        <f t="shared" si="191"/>
        <v>41Ea</v>
      </c>
      <c r="D112" s="557"/>
      <c r="E112" s="170"/>
      <c r="F112" s="170">
        <v>41</v>
      </c>
      <c r="G112" s="2007" t="s">
        <v>2245</v>
      </c>
      <c r="H112" s="1926">
        <f>+'Structure replacements'!$H$42+'Structure replacements'!$H$43</f>
        <v>0</v>
      </c>
      <c r="I112" s="2008" t="s">
        <v>1416</v>
      </c>
      <c r="J112" s="1926"/>
      <c r="K112" s="1926"/>
      <c r="L112" s="170"/>
      <c r="M112" s="2009">
        <f>ROUND(155*1.4,-1)</f>
        <v>220</v>
      </c>
      <c r="N112" s="2010">
        <v>1</v>
      </c>
      <c r="O112" s="773">
        <f t="shared" si="213"/>
        <v>220</v>
      </c>
      <c r="P112" s="2008" t="s">
        <v>39</v>
      </c>
      <c r="Q112" s="2008" t="s">
        <v>604</v>
      </c>
      <c r="R112" s="2011" t="s">
        <v>74</v>
      </c>
      <c r="S112" s="778">
        <f>SUMIF('Data Input sheet'!$B$118:$B$180,R112,'Data Input sheet'!$D$118:$D$180)</f>
        <v>152</v>
      </c>
      <c r="T112" s="2010">
        <f t="shared" si="214"/>
        <v>33440</v>
      </c>
      <c r="U112" s="2010">
        <v>60</v>
      </c>
      <c r="V112" s="778">
        <f t="shared" si="215"/>
        <v>13200</v>
      </c>
      <c r="W112" s="2010">
        <f t="shared" si="276"/>
        <v>43800</v>
      </c>
      <c r="X112" s="779"/>
      <c r="Y112" s="2012"/>
      <c r="Z112" s="780">
        <f t="shared" si="216"/>
        <v>90440</v>
      </c>
      <c r="AA112" s="2007"/>
      <c r="AB112" s="2007"/>
      <c r="AC112" s="765"/>
      <c r="AD112" s="781">
        <f t="shared" si="217"/>
        <v>0</v>
      </c>
      <c r="AE112" s="781">
        <f t="shared" si="218"/>
        <v>0</v>
      </c>
      <c r="AF112" s="781">
        <f t="shared" si="219"/>
        <v>0</v>
      </c>
      <c r="AG112" s="781">
        <f t="shared" si="220"/>
        <v>0</v>
      </c>
      <c r="AH112" s="781">
        <f t="shared" si="221"/>
        <v>0</v>
      </c>
      <c r="AI112" s="782">
        <f t="shared" si="222"/>
        <v>0</v>
      </c>
      <c r="AJ112" s="781">
        <f t="shared" si="223"/>
        <v>0</v>
      </c>
      <c r="AK112" s="781">
        <f t="shared" si="224"/>
        <v>0</v>
      </c>
      <c r="AL112" s="781">
        <f t="shared" si="225"/>
        <v>0</v>
      </c>
      <c r="AM112" s="781">
        <f t="shared" si="226"/>
        <v>0</v>
      </c>
      <c r="AN112" s="781">
        <f t="shared" si="227"/>
        <v>0</v>
      </c>
      <c r="AO112" s="781">
        <f t="shared" si="228"/>
        <v>0</v>
      </c>
      <c r="AP112" s="781">
        <f t="shared" si="229"/>
        <v>0</v>
      </c>
      <c r="AQ112" s="781">
        <f t="shared" si="230"/>
        <v>0</v>
      </c>
      <c r="AR112" s="781">
        <f t="shared" si="231"/>
        <v>0</v>
      </c>
      <c r="AS112" s="783">
        <f t="shared" si="232"/>
        <v>0</v>
      </c>
      <c r="AT112" s="759"/>
      <c r="BA112" s="2007" t="s">
        <v>1400</v>
      </c>
      <c r="BB112" s="160" t="str">
        <f>+BC112&amp;", "&amp;BD112&amp;", "&amp;BE112&amp;", "&amp;BF112&amp;", "&amp;BG112&amp;", "&amp;BI112&amp;", "&amp;BH112&amp;", "&amp;BJ112</f>
        <v>Structure, 345kV, H frame, Tangent, 80-99ft, Repl., Live line, Concrete Caisson Fnd</v>
      </c>
      <c r="BC112" s="9" t="s">
        <v>2164</v>
      </c>
      <c r="BD112" s="9" t="s">
        <v>2086</v>
      </c>
      <c r="BE112" s="9" t="s">
        <v>2084</v>
      </c>
      <c r="BF112" s="9" t="s">
        <v>2071</v>
      </c>
      <c r="BG112" s="9" t="s">
        <v>2161</v>
      </c>
      <c r="BH112" s="9" t="s">
        <v>2162</v>
      </c>
      <c r="BI112" s="9" t="s">
        <v>2165</v>
      </c>
      <c r="BJ112" s="9" t="s">
        <v>2158</v>
      </c>
      <c r="BM112" s="2010">
        <f>28000*1.25</f>
        <v>35000</v>
      </c>
    </row>
    <row r="113" spans="1:65" ht="30" x14ac:dyDescent="0.25">
      <c r="A113" s="784"/>
      <c r="B113" s="719">
        <f t="shared" si="24"/>
        <v>65</v>
      </c>
      <c r="C113" s="170" t="str">
        <f t="shared" si="191"/>
        <v>41Ea</v>
      </c>
      <c r="D113" s="557"/>
      <c r="E113" s="170"/>
      <c r="F113" s="170">
        <v>41</v>
      </c>
      <c r="G113" s="2007" t="s">
        <v>2246</v>
      </c>
      <c r="H113" s="1926">
        <f>+'Structure replacements'!$H$44++'Structure replacements'!$H$45</f>
        <v>0</v>
      </c>
      <c r="I113" s="2008" t="s">
        <v>1416</v>
      </c>
      <c r="J113" s="1926"/>
      <c r="K113" s="1926"/>
      <c r="L113" s="170"/>
      <c r="M113" s="2009">
        <f>ROUND(94*1.4,-1)</f>
        <v>130</v>
      </c>
      <c r="N113" s="2010">
        <v>1</v>
      </c>
      <c r="O113" s="773">
        <f t="shared" si="213"/>
        <v>130</v>
      </c>
      <c r="P113" s="2008" t="s">
        <v>39</v>
      </c>
      <c r="Q113" s="2008" t="s">
        <v>604</v>
      </c>
      <c r="R113" s="2011" t="s">
        <v>74</v>
      </c>
      <c r="S113" s="778">
        <f>SUMIF('Data Input sheet'!$B$118:$B$180,R113,'Data Input sheet'!$D$118:$D$180)</f>
        <v>152</v>
      </c>
      <c r="T113" s="2010">
        <f t="shared" si="214"/>
        <v>19760</v>
      </c>
      <c r="U113" s="2010">
        <v>60</v>
      </c>
      <c r="V113" s="778">
        <f t="shared" si="215"/>
        <v>7800</v>
      </c>
      <c r="W113" s="2010">
        <f t="shared" si="276"/>
        <v>43800</v>
      </c>
      <c r="X113" s="779"/>
      <c r="Y113" s="2012"/>
      <c r="Z113" s="780">
        <f t="shared" si="216"/>
        <v>71360</v>
      </c>
      <c r="AA113" s="2007"/>
      <c r="AB113" s="2007"/>
      <c r="AC113" s="765"/>
      <c r="AD113" s="781">
        <f t="shared" si="217"/>
        <v>0</v>
      </c>
      <c r="AE113" s="781">
        <f t="shared" si="218"/>
        <v>0</v>
      </c>
      <c r="AF113" s="781">
        <f t="shared" si="219"/>
        <v>0</v>
      </c>
      <c r="AG113" s="781">
        <f t="shared" si="220"/>
        <v>0</v>
      </c>
      <c r="AH113" s="781">
        <f t="shared" si="221"/>
        <v>0</v>
      </c>
      <c r="AI113" s="782">
        <f t="shared" si="222"/>
        <v>0</v>
      </c>
      <c r="AJ113" s="781">
        <f t="shared" si="223"/>
        <v>0</v>
      </c>
      <c r="AK113" s="781">
        <f t="shared" si="224"/>
        <v>0</v>
      </c>
      <c r="AL113" s="781">
        <f t="shared" si="225"/>
        <v>0</v>
      </c>
      <c r="AM113" s="781">
        <f t="shared" si="226"/>
        <v>0</v>
      </c>
      <c r="AN113" s="781">
        <f t="shared" si="227"/>
        <v>0</v>
      </c>
      <c r="AO113" s="781">
        <f t="shared" si="228"/>
        <v>0</v>
      </c>
      <c r="AP113" s="781">
        <f t="shared" si="229"/>
        <v>0</v>
      </c>
      <c r="AQ113" s="781">
        <f t="shared" si="230"/>
        <v>0</v>
      </c>
      <c r="AR113" s="781">
        <f t="shared" si="231"/>
        <v>0</v>
      </c>
      <c r="AS113" s="783">
        <f t="shared" si="232"/>
        <v>0</v>
      </c>
      <c r="AT113" s="759"/>
      <c r="BA113" s="2007" t="s">
        <v>1417</v>
      </c>
      <c r="BB113" s="160" t="str">
        <f>+BC113&amp;", "&amp;BD113&amp;", "&amp;BE113&amp;", "&amp;BF113&amp;", "&amp;BG113&amp;", "&amp;BI113&amp;", "&amp;BH113&amp;", "&amp;BJ113</f>
        <v>Structure, 345kV, H frame, Tangent, 80-99ft, Repl., Live line, Direct Embedment Fnd</v>
      </c>
      <c r="BC113" s="9" t="s">
        <v>2164</v>
      </c>
      <c r="BD113" s="9" t="s">
        <v>2086</v>
      </c>
      <c r="BE113" s="9" t="s">
        <v>2084</v>
      </c>
      <c r="BF113" s="9" t="s">
        <v>2071</v>
      </c>
      <c r="BG113" s="9" t="s">
        <v>2161</v>
      </c>
      <c r="BH113" s="9" t="s">
        <v>2162</v>
      </c>
      <c r="BI113" s="9" t="s">
        <v>2165</v>
      </c>
      <c r="BJ113" s="9" t="s">
        <v>2163</v>
      </c>
      <c r="BM113" s="2010">
        <f>28000*1.25</f>
        <v>35000</v>
      </c>
    </row>
    <row r="114" spans="1:65" ht="30" x14ac:dyDescent="0.25">
      <c r="A114" s="784"/>
      <c r="B114" s="719">
        <f t="shared" si="24"/>
        <v>66</v>
      </c>
      <c r="C114" s="170" t="str">
        <f t="shared" si="191"/>
        <v>41Ea</v>
      </c>
      <c r="D114" s="557"/>
      <c r="E114" s="170"/>
      <c r="F114" s="170">
        <v>41</v>
      </c>
      <c r="G114" s="2007" t="s">
        <v>2955</v>
      </c>
      <c r="H114" s="1926">
        <f>+'Structure replacements'!$H$44++'Structure replacements'!$H$45</f>
        <v>0</v>
      </c>
      <c r="I114" s="2008" t="s">
        <v>1416</v>
      </c>
      <c r="J114" s="1926"/>
      <c r="K114" s="1926"/>
      <c r="L114" s="170"/>
      <c r="M114" s="2009">
        <v>105</v>
      </c>
      <c r="N114" s="2010">
        <v>1</v>
      </c>
      <c r="O114" s="773">
        <f t="shared" ref="O114" si="277">+M114*N114</f>
        <v>105</v>
      </c>
      <c r="P114" s="2008" t="s">
        <v>39</v>
      </c>
      <c r="Q114" s="2008" t="s">
        <v>604</v>
      </c>
      <c r="R114" s="2011" t="s">
        <v>74</v>
      </c>
      <c r="S114" s="778">
        <f>SUMIF('Data Input sheet'!$B$118:$B$180,R114,'Data Input sheet'!$D$118:$D$180)</f>
        <v>152</v>
      </c>
      <c r="T114" s="2010">
        <f t="shared" ref="T114" si="278">S114*O114</f>
        <v>15960</v>
      </c>
      <c r="U114" s="2010">
        <v>60</v>
      </c>
      <c r="V114" s="778">
        <f t="shared" ref="V114" si="279">ROUND(U114*O114,0)</f>
        <v>6300</v>
      </c>
      <c r="W114" s="2010">
        <v>40250</v>
      </c>
      <c r="X114" s="779"/>
      <c r="Y114" s="2012"/>
      <c r="Z114" s="780">
        <f t="shared" ref="Z114" si="280">T114+V114+W114+Y114</f>
        <v>62510</v>
      </c>
      <c r="AA114" s="2007"/>
      <c r="AB114" s="2007"/>
      <c r="AC114" s="765"/>
      <c r="AD114" s="781">
        <f t="shared" ref="AD114" si="281">IF(P114="E",+ROUND(H114*O114,0),0)</f>
        <v>0</v>
      </c>
      <c r="AE114" s="781">
        <f t="shared" ref="AE114" si="282">+AF114-AD114</f>
        <v>0</v>
      </c>
      <c r="AF114" s="781">
        <f t="shared" ref="AF114" si="283">+H114*O114</f>
        <v>0</v>
      </c>
      <c r="AG114" s="781">
        <f t="shared" ref="AG114" si="284">IF(P114="E",+ROUND(T114*H114,0),0)</f>
        <v>0</v>
      </c>
      <c r="AH114" s="781">
        <f t="shared" ref="AH114" si="285">+AI114-AG114</f>
        <v>0</v>
      </c>
      <c r="AI114" s="782">
        <f t="shared" ref="AI114" si="286">+H114*T114</f>
        <v>0</v>
      </c>
      <c r="AJ114" s="781">
        <f t="shared" ref="AJ114" si="287">IF(P114="E",+ROUND(V114*H114,0),0)</f>
        <v>0</v>
      </c>
      <c r="AK114" s="781">
        <f t="shared" ref="AK114" si="288">+AL114-AJ114</f>
        <v>0</v>
      </c>
      <c r="AL114" s="781">
        <f t="shared" ref="AL114" si="289">ROUND(V114*H114,0)</f>
        <v>0</v>
      </c>
      <c r="AM114" s="781">
        <f t="shared" ref="AM114" si="290">IF(Q114="E",+ROUND(W114*H114,0),0)</f>
        <v>0</v>
      </c>
      <c r="AN114" s="781">
        <f t="shared" ref="AN114" si="291">+AO114-AM114</f>
        <v>0</v>
      </c>
      <c r="AO114" s="781">
        <f t="shared" ref="AO114" si="292">ROUND(W114*H114,0)</f>
        <v>0</v>
      </c>
      <c r="AP114" s="781">
        <f t="shared" ref="AP114" si="293">IF(P114="E",+ROUND(Y114*H114,0),0)</f>
        <v>0</v>
      </c>
      <c r="AQ114" s="781">
        <f t="shared" ref="AQ114" si="294">+AR114-AP114</f>
        <v>0</v>
      </c>
      <c r="AR114" s="781">
        <f t="shared" ref="AR114" si="295">ROUND(Y114*H114,0)</f>
        <v>0</v>
      </c>
      <c r="AS114" s="783">
        <f t="shared" ref="AS114" si="296">+AR114+AO114+AL114+AI114</f>
        <v>0</v>
      </c>
      <c r="AT114" s="759"/>
      <c r="BA114" s="2007" t="s">
        <v>2956</v>
      </c>
      <c r="BB114" s="160" t="str">
        <f>+BC114&amp;", "&amp;BD114&amp;", "&amp;BE114&amp;", "&amp;BF114&amp;", "&amp;BG114&amp;", "&amp;BI114&amp;", "&amp;BH114&amp;", "&amp;BJ114</f>
        <v>Structure, 345kV, H frame, Tangent, 80-99ft, Repl., Deenergized, Direct Embedment Fnd</v>
      </c>
      <c r="BC114" s="9" t="s">
        <v>2164</v>
      </c>
      <c r="BD114" s="9" t="s">
        <v>2086</v>
      </c>
      <c r="BE114" s="9" t="s">
        <v>2084</v>
      </c>
      <c r="BF114" s="9" t="s">
        <v>2071</v>
      </c>
      <c r="BG114" s="9" t="s">
        <v>2161</v>
      </c>
      <c r="BH114" s="9" t="s">
        <v>2157</v>
      </c>
      <c r="BI114" s="9" t="s">
        <v>2165</v>
      </c>
      <c r="BJ114" s="9" t="s">
        <v>2163</v>
      </c>
      <c r="BM114" s="2010">
        <f>28000*1.25</f>
        <v>35000</v>
      </c>
    </row>
    <row r="115" spans="1:65" ht="15" x14ac:dyDescent="0.25">
      <c r="A115" s="784"/>
      <c r="B115" s="719"/>
      <c r="C115" s="170" t="str">
        <f t="shared" si="191"/>
        <v/>
      </c>
      <c r="D115" s="557"/>
      <c r="E115" s="170"/>
      <c r="F115" s="170"/>
      <c r="G115" s="2007"/>
      <c r="H115" s="1926"/>
      <c r="I115" s="2008"/>
      <c r="J115" s="1926"/>
      <c r="K115" s="1926"/>
      <c r="L115" s="170"/>
      <c r="M115" s="2009">
        <v>0</v>
      </c>
      <c r="N115" s="2010">
        <v>1</v>
      </c>
      <c r="O115" s="773">
        <f t="shared" si="213"/>
        <v>0</v>
      </c>
      <c r="P115" s="2008" t="s">
        <v>39</v>
      </c>
      <c r="Q115" s="2008" t="s">
        <v>604</v>
      </c>
      <c r="R115" s="2011" t="s">
        <v>74</v>
      </c>
      <c r="S115" s="778">
        <f>SUMIF('Data Input sheet'!$B$118:$B$180,R115,'Data Input sheet'!$D$118:$D$180)</f>
        <v>152</v>
      </c>
      <c r="T115" s="2010">
        <f t="shared" si="214"/>
        <v>0</v>
      </c>
      <c r="U115" s="2010">
        <v>0</v>
      </c>
      <c r="V115" s="778">
        <f t="shared" si="215"/>
        <v>0</v>
      </c>
      <c r="W115" s="2010">
        <v>0</v>
      </c>
      <c r="X115" s="779"/>
      <c r="Y115" s="2012"/>
      <c r="Z115" s="780">
        <f t="shared" si="216"/>
        <v>0</v>
      </c>
      <c r="AA115" s="2007"/>
      <c r="AB115" s="2007"/>
      <c r="AC115" s="765"/>
      <c r="AD115" s="781">
        <f t="shared" si="217"/>
        <v>0</v>
      </c>
      <c r="AE115" s="781">
        <f t="shared" si="218"/>
        <v>0</v>
      </c>
      <c r="AF115" s="781">
        <f t="shared" si="219"/>
        <v>0</v>
      </c>
      <c r="AG115" s="781">
        <f t="shared" si="220"/>
        <v>0</v>
      </c>
      <c r="AH115" s="781">
        <f t="shared" si="221"/>
        <v>0</v>
      </c>
      <c r="AI115" s="782">
        <f t="shared" si="222"/>
        <v>0</v>
      </c>
      <c r="AJ115" s="781">
        <f t="shared" si="223"/>
        <v>0</v>
      </c>
      <c r="AK115" s="781">
        <f t="shared" si="224"/>
        <v>0</v>
      </c>
      <c r="AL115" s="781">
        <f t="shared" si="225"/>
        <v>0</v>
      </c>
      <c r="AM115" s="781">
        <f t="shared" si="226"/>
        <v>0</v>
      </c>
      <c r="AN115" s="781">
        <f t="shared" si="227"/>
        <v>0</v>
      </c>
      <c r="AO115" s="781">
        <f t="shared" si="228"/>
        <v>0</v>
      </c>
      <c r="AP115" s="781">
        <f t="shared" si="229"/>
        <v>0</v>
      </c>
      <c r="AQ115" s="781">
        <f t="shared" si="230"/>
        <v>0</v>
      </c>
      <c r="AR115" s="781">
        <f t="shared" si="231"/>
        <v>0</v>
      </c>
      <c r="AS115" s="783">
        <f t="shared" si="232"/>
        <v>0</v>
      </c>
      <c r="AT115" s="759"/>
      <c r="BA115" s="2007"/>
      <c r="BC115" s="9"/>
      <c r="BE115" s="9"/>
      <c r="BF115" s="9"/>
      <c r="BG115" s="9"/>
      <c r="BH115" s="9"/>
      <c r="BI115" s="9"/>
      <c r="BJ115" s="9"/>
      <c r="BM115" s="2010">
        <v>0</v>
      </c>
    </row>
    <row r="116" spans="1:65" ht="15.75" x14ac:dyDescent="0.25">
      <c r="A116" s="784"/>
      <c r="B116" s="719"/>
      <c r="C116" s="170" t="str">
        <f t="shared" si="191"/>
        <v/>
      </c>
      <c r="D116" s="557"/>
      <c r="E116" s="170"/>
      <c r="F116" s="170"/>
      <c r="G116" s="2162" t="s">
        <v>2271</v>
      </c>
      <c r="H116" s="1926"/>
      <c r="I116" s="2008"/>
      <c r="J116" s="1926"/>
      <c r="K116" s="1926"/>
      <c r="L116" s="170"/>
      <c r="M116" s="2009">
        <v>0</v>
      </c>
      <c r="N116" s="2010">
        <v>1</v>
      </c>
      <c r="O116" s="773">
        <f t="shared" si="213"/>
        <v>0</v>
      </c>
      <c r="P116" s="2008" t="s">
        <v>39</v>
      </c>
      <c r="Q116" s="2008" t="s">
        <v>604</v>
      </c>
      <c r="R116" s="2011" t="s">
        <v>74</v>
      </c>
      <c r="S116" s="778">
        <f>SUMIF('Data Input sheet'!$B$118:$B$180,R116,'Data Input sheet'!$D$118:$D$180)</f>
        <v>152</v>
      </c>
      <c r="T116" s="2010">
        <f t="shared" si="214"/>
        <v>0</v>
      </c>
      <c r="U116" s="2010">
        <v>0</v>
      </c>
      <c r="V116" s="778">
        <f t="shared" si="215"/>
        <v>0</v>
      </c>
      <c r="W116" s="2010">
        <v>0</v>
      </c>
      <c r="X116" s="779"/>
      <c r="Y116" s="2012"/>
      <c r="Z116" s="780">
        <f t="shared" si="216"/>
        <v>0</v>
      </c>
      <c r="AA116" s="2007"/>
      <c r="AB116" s="2007"/>
      <c r="AC116" s="765"/>
      <c r="AD116" s="781">
        <f t="shared" si="217"/>
        <v>0</v>
      </c>
      <c r="AE116" s="781">
        <f t="shared" si="218"/>
        <v>0</v>
      </c>
      <c r="AF116" s="781">
        <f t="shared" si="219"/>
        <v>0</v>
      </c>
      <c r="AG116" s="781">
        <f t="shared" si="220"/>
        <v>0</v>
      </c>
      <c r="AH116" s="781">
        <f t="shared" si="221"/>
        <v>0</v>
      </c>
      <c r="AI116" s="782">
        <f t="shared" si="222"/>
        <v>0</v>
      </c>
      <c r="AJ116" s="781">
        <f t="shared" si="223"/>
        <v>0</v>
      </c>
      <c r="AK116" s="781">
        <f t="shared" si="224"/>
        <v>0</v>
      </c>
      <c r="AL116" s="781">
        <f t="shared" si="225"/>
        <v>0</v>
      </c>
      <c r="AM116" s="781">
        <f t="shared" si="226"/>
        <v>0</v>
      </c>
      <c r="AN116" s="781">
        <f t="shared" si="227"/>
        <v>0</v>
      </c>
      <c r="AO116" s="781">
        <f t="shared" si="228"/>
        <v>0</v>
      </c>
      <c r="AP116" s="781">
        <f t="shared" si="229"/>
        <v>0</v>
      </c>
      <c r="AQ116" s="781">
        <f t="shared" si="230"/>
        <v>0</v>
      </c>
      <c r="AR116" s="781">
        <f t="shared" si="231"/>
        <v>0</v>
      </c>
      <c r="AS116" s="783">
        <f t="shared" si="232"/>
        <v>0</v>
      </c>
      <c r="AT116" s="759"/>
      <c r="BA116" s="2007"/>
      <c r="BC116" s="9"/>
      <c r="BE116" s="9"/>
      <c r="BF116" s="9"/>
      <c r="BG116" s="9"/>
      <c r="BH116" s="9"/>
      <c r="BI116" s="9"/>
      <c r="BJ116" s="9"/>
      <c r="BM116" s="2010">
        <v>0</v>
      </c>
    </row>
    <row r="117" spans="1:65" ht="15" x14ac:dyDescent="0.25">
      <c r="A117" s="784"/>
      <c r="B117" s="719"/>
      <c r="C117" s="170" t="str">
        <f t="shared" si="191"/>
        <v/>
      </c>
      <c r="D117" s="557"/>
      <c r="E117" s="170"/>
      <c r="F117" s="170"/>
      <c r="G117" s="2160" t="s">
        <v>2265</v>
      </c>
      <c r="H117" s="1926"/>
      <c r="I117" s="2008"/>
      <c r="J117" s="1926"/>
      <c r="K117" s="1926"/>
      <c r="L117" s="170"/>
      <c r="M117" s="2009"/>
      <c r="N117" s="2010"/>
      <c r="O117" s="773"/>
      <c r="P117" s="2008"/>
      <c r="Q117" s="2008"/>
      <c r="R117" s="2011"/>
      <c r="S117" s="778"/>
      <c r="T117" s="2010"/>
      <c r="U117" s="2010"/>
      <c r="V117" s="778"/>
      <c r="W117" s="2010"/>
      <c r="X117" s="779"/>
      <c r="Y117" s="2012"/>
      <c r="Z117" s="780"/>
      <c r="AA117" s="2007"/>
      <c r="AB117" s="2007"/>
      <c r="AC117" s="765"/>
      <c r="AD117" s="781"/>
      <c r="AE117" s="781"/>
      <c r="AF117" s="781"/>
      <c r="AG117" s="781"/>
      <c r="AH117" s="781"/>
      <c r="AI117" s="782"/>
      <c r="AJ117" s="781"/>
      <c r="AK117" s="781"/>
      <c r="AL117" s="781"/>
      <c r="AM117" s="781"/>
      <c r="AN117" s="781"/>
      <c r="AO117" s="781"/>
      <c r="AP117" s="781"/>
      <c r="AQ117" s="781"/>
      <c r="AR117" s="781"/>
      <c r="AS117" s="783"/>
      <c r="AT117" s="759"/>
      <c r="BA117" s="2007"/>
      <c r="BC117" s="9"/>
      <c r="BE117" s="9"/>
      <c r="BF117" s="9"/>
      <c r="BG117" s="9"/>
      <c r="BH117" s="9"/>
      <c r="BI117" s="9"/>
      <c r="BJ117" s="9"/>
      <c r="BM117" s="2010"/>
    </row>
    <row r="118" spans="1:65" ht="45" x14ac:dyDescent="0.25">
      <c r="A118" s="784"/>
      <c r="B118" s="719">
        <f>+B95+1</f>
        <v>54</v>
      </c>
      <c r="C118" s="170" t="str">
        <f t="shared" si="191"/>
        <v>41Ea</v>
      </c>
      <c r="D118" s="557"/>
      <c r="E118" s="170"/>
      <c r="F118" s="170">
        <v>41</v>
      </c>
      <c r="G118" s="2007" t="s">
        <v>2209</v>
      </c>
      <c r="H118" s="1926">
        <f>+'Structure replacements'!$J$32+'Structure replacements'!$J$33</f>
        <v>0</v>
      </c>
      <c r="I118" s="2008" t="s">
        <v>1416</v>
      </c>
      <c r="J118" s="1926"/>
      <c r="K118" s="1926"/>
      <c r="L118" s="170"/>
      <c r="M118" s="2009">
        <v>191</v>
      </c>
      <c r="N118" s="2010">
        <v>1</v>
      </c>
      <c r="O118" s="773">
        <f t="shared" si="213"/>
        <v>191</v>
      </c>
      <c r="P118" s="2008" t="s">
        <v>39</v>
      </c>
      <c r="Q118" s="2008" t="s">
        <v>604</v>
      </c>
      <c r="R118" s="2011" t="s">
        <v>74</v>
      </c>
      <c r="S118" s="778">
        <f>SUMIF('Data Input sheet'!$B$118:$B$180,R118,'Data Input sheet'!$D$118:$D$180)</f>
        <v>152</v>
      </c>
      <c r="T118" s="2010">
        <f t="shared" si="214"/>
        <v>29032</v>
      </c>
      <c r="U118" s="2010">
        <v>97</v>
      </c>
      <c r="V118" s="778">
        <f t="shared" si="215"/>
        <v>18527</v>
      </c>
      <c r="W118" s="2010">
        <f t="shared" ref="W118:W119" si="297">ROUND(+BM118*(1+$BM$7),-2)</f>
        <v>107500</v>
      </c>
      <c r="X118" s="779"/>
      <c r="Y118" s="2012"/>
      <c r="Z118" s="780">
        <f t="shared" si="216"/>
        <v>155059</v>
      </c>
      <c r="AA118" s="2007"/>
      <c r="AB118" s="2007"/>
      <c r="AC118" s="765"/>
      <c r="AD118" s="781">
        <f t="shared" si="217"/>
        <v>0</v>
      </c>
      <c r="AE118" s="781">
        <f t="shared" si="218"/>
        <v>0</v>
      </c>
      <c r="AF118" s="781">
        <f t="shared" si="219"/>
        <v>0</v>
      </c>
      <c r="AG118" s="781">
        <f t="shared" si="220"/>
        <v>0</v>
      </c>
      <c r="AH118" s="781">
        <f t="shared" si="221"/>
        <v>0</v>
      </c>
      <c r="AI118" s="782">
        <f t="shared" si="222"/>
        <v>0</v>
      </c>
      <c r="AJ118" s="781">
        <f t="shared" si="223"/>
        <v>0</v>
      </c>
      <c r="AK118" s="781">
        <f t="shared" si="224"/>
        <v>0</v>
      </c>
      <c r="AL118" s="781">
        <f t="shared" si="225"/>
        <v>0</v>
      </c>
      <c r="AM118" s="781">
        <f t="shared" si="226"/>
        <v>0</v>
      </c>
      <c r="AN118" s="781">
        <f t="shared" si="227"/>
        <v>0</v>
      </c>
      <c r="AO118" s="781">
        <f t="shared" si="228"/>
        <v>0</v>
      </c>
      <c r="AP118" s="781">
        <f t="shared" si="229"/>
        <v>0</v>
      </c>
      <c r="AQ118" s="781">
        <f t="shared" si="230"/>
        <v>0</v>
      </c>
      <c r="AR118" s="781">
        <f t="shared" si="231"/>
        <v>0</v>
      </c>
      <c r="AS118" s="783">
        <f t="shared" si="232"/>
        <v>0</v>
      </c>
      <c r="AT118" s="759"/>
      <c r="BA118" s="2007" t="s">
        <v>1402</v>
      </c>
      <c r="BB118" s="160" t="str">
        <f>+BC118&amp;", "&amp;BD118&amp;", "&amp;BE118&amp;", "&amp;BF118&amp;", "&amp;BG118&amp;", "&amp;BI118&amp;", "&amp;BH118&amp;", "&amp;BJ118</f>
        <v>Structure, 345kV, Monopole, Dead End, 120-139ft, Repl., Deenergized, Concrete Caisson Fnd</v>
      </c>
      <c r="BC118" s="9" t="s">
        <v>2164</v>
      </c>
      <c r="BD118" s="9" t="s">
        <v>2086</v>
      </c>
      <c r="BE118" t="s">
        <v>2211</v>
      </c>
      <c r="BF118" s="9" t="s">
        <v>2159</v>
      </c>
      <c r="BG118" s="9" t="s">
        <v>2154</v>
      </c>
      <c r="BH118" s="9" t="s">
        <v>2157</v>
      </c>
      <c r="BI118" s="9" t="s">
        <v>2165</v>
      </c>
      <c r="BJ118" s="9" t="s">
        <v>2158</v>
      </c>
      <c r="BM118" s="2010">
        <v>86000</v>
      </c>
    </row>
    <row r="119" spans="1:65" ht="30" x14ac:dyDescent="0.25">
      <c r="A119" s="784"/>
      <c r="B119" s="719">
        <f t="shared" si="24"/>
        <v>55</v>
      </c>
      <c r="C119" s="170" t="str">
        <f t="shared" si="191"/>
        <v>41Ea</v>
      </c>
      <c r="D119" s="557"/>
      <c r="E119" s="170"/>
      <c r="F119" s="170">
        <v>41</v>
      </c>
      <c r="G119" s="2007" t="s">
        <v>1405</v>
      </c>
      <c r="H119" s="1926">
        <f>+'Structure replacements'!$J$34+'Structure replacements'!$J$35</f>
        <v>0</v>
      </c>
      <c r="I119" s="2008" t="s">
        <v>1416</v>
      </c>
      <c r="J119" s="1926"/>
      <c r="K119" s="1926"/>
      <c r="L119" s="170"/>
      <c r="M119" s="2009">
        <v>381</v>
      </c>
      <c r="N119" s="2010">
        <v>1</v>
      </c>
      <c r="O119" s="773">
        <f t="shared" si="213"/>
        <v>381</v>
      </c>
      <c r="P119" s="2008" t="s">
        <v>39</v>
      </c>
      <c r="Q119" s="2008" t="s">
        <v>604</v>
      </c>
      <c r="R119" s="2011" t="s">
        <v>74</v>
      </c>
      <c r="S119" s="778">
        <f>SUMIF('Data Input sheet'!$B$118:$B$180,R119,'Data Input sheet'!$D$118:$D$180)</f>
        <v>152</v>
      </c>
      <c r="T119" s="2010">
        <f t="shared" si="214"/>
        <v>57912</v>
      </c>
      <c r="U119" s="2010">
        <v>60</v>
      </c>
      <c r="V119" s="778">
        <f t="shared" si="215"/>
        <v>22860</v>
      </c>
      <c r="W119" s="2010">
        <f t="shared" si="297"/>
        <v>152500</v>
      </c>
      <c r="X119" s="779"/>
      <c r="Y119" s="2012"/>
      <c r="Z119" s="780">
        <f t="shared" si="216"/>
        <v>233272</v>
      </c>
      <c r="AA119" s="2007"/>
      <c r="AB119" s="2007"/>
      <c r="AC119" s="765"/>
      <c r="AD119" s="781">
        <f t="shared" si="217"/>
        <v>0</v>
      </c>
      <c r="AE119" s="781">
        <f t="shared" si="218"/>
        <v>0</v>
      </c>
      <c r="AF119" s="781">
        <f t="shared" si="219"/>
        <v>0</v>
      </c>
      <c r="AG119" s="781">
        <f t="shared" si="220"/>
        <v>0</v>
      </c>
      <c r="AH119" s="781">
        <f t="shared" si="221"/>
        <v>0</v>
      </c>
      <c r="AI119" s="782">
        <f t="shared" si="222"/>
        <v>0</v>
      </c>
      <c r="AJ119" s="781">
        <f t="shared" si="223"/>
        <v>0</v>
      </c>
      <c r="AK119" s="781">
        <f t="shared" si="224"/>
        <v>0</v>
      </c>
      <c r="AL119" s="781">
        <f t="shared" si="225"/>
        <v>0</v>
      </c>
      <c r="AM119" s="781">
        <f t="shared" si="226"/>
        <v>0</v>
      </c>
      <c r="AN119" s="781">
        <f t="shared" si="227"/>
        <v>0</v>
      </c>
      <c r="AO119" s="781">
        <f t="shared" si="228"/>
        <v>0</v>
      </c>
      <c r="AP119" s="781">
        <f t="shared" si="229"/>
        <v>0</v>
      </c>
      <c r="AQ119" s="781">
        <f t="shared" si="230"/>
        <v>0</v>
      </c>
      <c r="AR119" s="781">
        <f t="shared" si="231"/>
        <v>0</v>
      </c>
      <c r="AS119" s="783">
        <f t="shared" si="232"/>
        <v>0</v>
      </c>
      <c r="AT119" s="759"/>
      <c r="BA119" s="2007" t="s">
        <v>1405</v>
      </c>
      <c r="BB119" s="160" t="str">
        <f>+BC119&amp;", "&amp;BD119&amp;", "&amp;BE119&amp;", "&amp;BF119&amp;", "&amp;BG119&amp;", "&amp;BI119&amp;", "&amp;BH119&amp;", "&amp;BJ119</f>
        <v>Structure, 345kV, Monopole, Dead End, 140+, Repl., Deenergized, Concrete Caisson Fnd</v>
      </c>
      <c r="BC119" s="9" t="s">
        <v>2164</v>
      </c>
      <c r="BD119" s="9" t="s">
        <v>2086</v>
      </c>
      <c r="BE119" t="s">
        <v>2211</v>
      </c>
      <c r="BF119" s="9" t="s">
        <v>2159</v>
      </c>
      <c r="BG119" s="9" t="s">
        <v>2272</v>
      </c>
      <c r="BH119" s="9" t="s">
        <v>2157</v>
      </c>
      <c r="BI119" s="9" t="s">
        <v>2165</v>
      </c>
      <c r="BJ119" s="9" t="s">
        <v>2158</v>
      </c>
      <c r="BM119" s="2010">
        <v>122000</v>
      </c>
    </row>
    <row r="120" spans="1:65" ht="15" x14ac:dyDescent="0.25">
      <c r="A120" s="784"/>
      <c r="B120" s="719"/>
      <c r="C120" s="170" t="str">
        <f t="shared" si="191"/>
        <v>Ea</v>
      </c>
      <c r="D120" s="557"/>
      <c r="E120" s="170"/>
      <c r="F120" s="170"/>
      <c r="G120" s="2160" t="s">
        <v>2263</v>
      </c>
      <c r="H120" s="1926"/>
      <c r="I120" s="2008" t="s">
        <v>1416</v>
      </c>
      <c r="J120" s="1926"/>
      <c r="K120" s="1926"/>
      <c r="L120" s="170"/>
      <c r="M120" s="2009">
        <v>0</v>
      </c>
      <c r="N120" s="2010">
        <v>1</v>
      </c>
      <c r="O120" s="773">
        <f t="shared" si="213"/>
        <v>0</v>
      </c>
      <c r="P120" s="2008" t="s">
        <v>39</v>
      </c>
      <c r="Q120" s="2008" t="s">
        <v>604</v>
      </c>
      <c r="R120" s="2011" t="s">
        <v>74</v>
      </c>
      <c r="S120" s="778">
        <f>SUMIF('Data Input sheet'!$B$118:$B$180,R120,'Data Input sheet'!$D$118:$D$180)</f>
        <v>152</v>
      </c>
      <c r="T120" s="2010">
        <f t="shared" si="214"/>
        <v>0</v>
      </c>
      <c r="U120" s="2010">
        <v>0</v>
      </c>
      <c r="V120" s="778">
        <f t="shared" si="215"/>
        <v>0</v>
      </c>
      <c r="W120" s="2010">
        <v>0</v>
      </c>
      <c r="X120" s="779"/>
      <c r="Y120" s="2012"/>
      <c r="Z120" s="780">
        <f t="shared" si="216"/>
        <v>0</v>
      </c>
      <c r="AA120" s="2007"/>
      <c r="AB120" s="2007"/>
      <c r="AC120" s="765"/>
      <c r="AD120" s="781">
        <f t="shared" si="217"/>
        <v>0</v>
      </c>
      <c r="AE120" s="781">
        <f t="shared" si="218"/>
        <v>0</v>
      </c>
      <c r="AF120" s="781">
        <f t="shared" si="219"/>
        <v>0</v>
      </c>
      <c r="AG120" s="781">
        <f t="shared" si="220"/>
        <v>0</v>
      </c>
      <c r="AH120" s="781">
        <f t="shared" si="221"/>
        <v>0</v>
      </c>
      <c r="AI120" s="782">
        <f t="shared" si="222"/>
        <v>0</v>
      </c>
      <c r="AJ120" s="781">
        <f t="shared" si="223"/>
        <v>0</v>
      </c>
      <c r="AK120" s="781">
        <f t="shared" si="224"/>
        <v>0</v>
      </c>
      <c r="AL120" s="781">
        <f t="shared" si="225"/>
        <v>0</v>
      </c>
      <c r="AM120" s="781">
        <f t="shared" si="226"/>
        <v>0</v>
      </c>
      <c r="AN120" s="781">
        <f t="shared" si="227"/>
        <v>0</v>
      </c>
      <c r="AO120" s="781">
        <f t="shared" si="228"/>
        <v>0</v>
      </c>
      <c r="AP120" s="781">
        <f t="shared" si="229"/>
        <v>0</v>
      </c>
      <c r="AQ120" s="781">
        <f t="shared" si="230"/>
        <v>0</v>
      </c>
      <c r="AR120" s="781">
        <f t="shared" si="231"/>
        <v>0</v>
      </c>
      <c r="AS120" s="783">
        <f t="shared" si="232"/>
        <v>0</v>
      </c>
      <c r="AT120" s="759"/>
      <c r="BA120" s="2007"/>
      <c r="BC120" s="9"/>
      <c r="BE120" s="9"/>
      <c r="BF120" s="9"/>
      <c r="BG120" s="9"/>
      <c r="BH120" s="9"/>
      <c r="BI120" s="9"/>
      <c r="BJ120" s="9"/>
      <c r="BM120" s="2010">
        <v>0</v>
      </c>
    </row>
    <row r="121" spans="1:65" ht="45" x14ac:dyDescent="0.25">
      <c r="A121" s="784"/>
      <c r="B121" s="719">
        <f>+B119+1</f>
        <v>56</v>
      </c>
      <c r="C121" s="170" t="str">
        <f t="shared" si="191"/>
        <v>41Ea</v>
      </c>
      <c r="D121" s="557"/>
      <c r="E121" s="170"/>
      <c r="F121" s="170">
        <v>41</v>
      </c>
      <c r="G121" s="2007" t="s">
        <v>2210</v>
      </c>
      <c r="H121" s="1926">
        <f>+'Structure replacements'!$I$32+'Structure replacements'!$I$33</f>
        <v>0</v>
      </c>
      <c r="I121" s="2008" t="s">
        <v>1416</v>
      </c>
      <c r="J121" s="1926"/>
      <c r="K121" s="1926"/>
      <c r="L121" s="170"/>
      <c r="M121" s="2009">
        <v>113</v>
      </c>
      <c r="N121" s="2010">
        <v>1</v>
      </c>
      <c r="O121" s="773">
        <f t="shared" si="213"/>
        <v>113</v>
      </c>
      <c r="P121" s="2008" t="s">
        <v>39</v>
      </c>
      <c r="Q121" s="2008" t="s">
        <v>604</v>
      </c>
      <c r="R121" s="2011" t="s">
        <v>74</v>
      </c>
      <c r="S121" s="778">
        <f>SUMIF('Data Input sheet'!$B$118:$B$180,R121,'Data Input sheet'!$D$118:$D$180)</f>
        <v>152</v>
      </c>
      <c r="T121" s="2010">
        <f t="shared" si="214"/>
        <v>17176</v>
      </c>
      <c r="U121" s="2010">
        <v>102</v>
      </c>
      <c r="V121" s="778">
        <f t="shared" si="215"/>
        <v>11526</v>
      </c>
      <c r="W121" s="2010">
        <f t="shared" ref="W121:W122" si="298">ROUND(+BM121*(1+$BM$7),-2)</f>
        <v>60000</v>
      </c>
      <c r="X121" s="779"/>
      <c r="Y121" s="2012"/>
      <c r="Z121" s="780">
        <f t="shared" si="216"/>
        <v>88702</v>
      </c>
      <c r="AA121" s="2007"/>
      <c r="AB121" s="2007"/>
      <c r="AC121" s="765"/>
      <c r="AD121" s="781">
        <f t="shared" si="217"/>
        <v>0</v>
      </c>
      <c r="AE121" s="781">
        <f t="shared" si="218"/>
        <v>0</v>
      </c>
      <c r="AF121" s="781">
        <f t="shared" si="219"/>
        <v>0</v>
      </c>
      <c r="AG121" s="781">
        <f t="shared" si="220"/>
        <v>0</v>
      </c>
      <c r="AH121" s="781">
        <f t="shared" si="221"/>
        <v>0</v>
      </c>
      <c r="AI121" s="782">
        <f t="shared" si="222"/>
        <v>0</v>
      </c>
      <c r="AJ121" s="781">
        <f t="shared" si="223"/>
        <v>0</v>
      </c>
      <c r="AK121" s="781">
        <f t="shared" si="224"/>
        <v>0</v>
      </c>
      <c r="AL121" s="781">
        <f t="shared" si="225"/>
        <v>0</v>
      </c>
      <c r="AM121" s="781">
        <f t="shared" si="226"/>
        <v>0</v>
      </c>
      <c r="AN121" s="781">
        <f t="shared" si="227"/>
        <v>0</v>
      </c>
      <c r="AO121" s="781">
        <f t="shared" si="228"/>
        <v>0</v>
      </c>
      <c r="AP121" s="781">
        <f t="shared" si="229"/>
        <v>0</v>
      </c>
      <c r="AQ121" s="781">
        <f t="shared" si="230"/>
        <v>0</v>
      </c>
      <c r="AR121" s="781">
        <f t="shared" si="231"/>
        <v>0</v>
      </c>
      <c r="AS121" s="783">
        <f t="shared" si="232"/>
        <v>0</v>
      </c>
      <c r="AT121" s="759"/>
      <c r="BA121" s="2007" t="s">
        <v>1403</v>
      </c>
      <c r="BB121" s="160" t="str">
        <f>+BC121&amp;", "&amp;BD121&amp;", "&amp;BE121&amp;", "&amp;BF121&amp;", "&amp;BG121&amp;", "&amp;BI121&amp;", "&amp;BH121&amp;", "&amp;BJ121</f>
        <v>Structure, 345kV, Monopole, Running Angle, 120-139ft, Repl., Deenergized, Concrete Caisson Fnd</v>
      </c>
      <c r="BC121" s="9" t="s">
        <v>2164</v>
      </c>
      <c r="BD121" s="9" t="s">
        <v>2086</v>
      </c>
      <c r="BE121" t="s">
        <v>2211</v>
      </c>
      <c r="BF121" s="9" t="s">
        <v>2160</v>
      </c>
      <c r="BG121" s="9" t="s">
        <v>2154</v>
      </c>
      <c r="BH121" s="9" t="s">
        <v>2157</v>
      </c>
      <c r="BI121" s="9" t="s">
        <v>2165</v>
      </c>
      <c r="BJ121" s="9" t="s">
        <v>2158</v>
      </c>
      <c r="BM121" s="2010">
        <v>48000</v>
      </c>
    </row>
    <row r="122" spans="1:65" ht="45" x14ac:dyDescent="0.25">
      <c r="A122" s="784"/>
      <c r="B122" s="719">
        <f t="shared" si="24"/>
        <v>57</v>
      </c>
      <c r="C122" s="170" t="str">
        <f t="shared" si="191"/>
        <v>41Ea</v>
      </c>
      <c r="D122" s="557"/>
      <c r="E122" s="170"/>
      <c r="F122" s="170">
        <v>41</v>
      </c>
      <c r="G122" s="2007" t="s">
        <v>1406</v>
      </c>
      <c r="H122" s="1926">
        <f>+'Structure replacements'!$I$34+'Structure replacements'!$I$35</f>
        <v>0</v>
      </c>
      <c r="I122" s="2008" t="s">
        <v>1416</v>
      </c>
      <c r="J122" s="1926"/>
      <c r="K122" s="1926"/>
      <c r="L122" s="170"/>
      <c r="M122" s="2009">
        <v>259</v>
      </c>
      <c r="N122" s="2010">
        <v>1</v>
      </c>
      <c r="O122" s="773">
        <f t="shared" si="213"/>
        <v>259</v>
      </c>
      <c r="P122" s="2008" t="s">
        <v>39</v>
      </c>
      <c r="Q122" s="2008" t="s">
        <v>604</v>
      </c>
      <c r="R122" s="2011" t="s">
        <v>74</v>
      </c>
      <c r="S122" s="778">
        <f>SUMIF('Data Input sheet'!$B$118:$B$180,R122,'Data Input sheet'!$D$118:$D$180)</f>
        <v>152</v>
      </c>
      <c r="T122" s="2010">
        <f t="shared" si="214"/>
        <v>39368</v>
      </c>
      <c r="U122" s="2010">
        <v>60</v>
      </c>
      <c r="V122" s="778">
        <f t="shared" si="215"/>
        <v>15540</v>
      </c>
      <c r="W122" s="2010">
        <f t="shared" si="298"/>
        <v>90000</v>
      </c>
      <c r="X122" s="779"/>
      <c r="Y122" s="2012"/>
      <c r="Z122" s="780">
        <f t="shared" si="216"/>
        <v>144908</v>
      </c>
      <c r="AA122" s="2007"/>
      <c r="AB122" s="2007"/>
      <c r="AC122" s="765"/>
      <c r="AD122" s="781">
        <f t="shared" si="217"/>
        <v>0</v>
      </c>
      <c r="AE122" s="781">
        <f t="shared" si="218"/>
        <v>0</v>
      </c>
      <c r="AF122" s="781">
        <f t="shared" si="219"/>
        <v>0</v>
      </c>
      <c r="AG122" s="781">
        <f t="shared" si="220"/>
        <v>0</v>
      </c>
      <c r="AH122" s="781">
        <f t="shared" si="221"/>
        <v>0</v>
      </c>
      <c r="AI122" s="782">
        <f t="shared" si="222"/>
        <v>0</v>
      </c>
      <c r="AJ122" s="781">
        <f t="shared" si="223"/>
        <v>0</v>
      </c>
      <c r="AK122" s="781">
        <f t="shared" si="224"/>
        <v>0</v>
      </c>
      <c r="AL122" s="781">
        <f t="shared" si="225"/>
        <v>0</v>
      </c>
      <c r="AM122" s="781">
        <f t="shared" si="226"/>
        <v>0</v>
      </c>
      <c r="AN122" s="781">
        <f t="shared" si="227"/>
        <v>0</v>
      </c>
      <c r="AO122" s="781">
        <f t="shared" si="228"/>
        <v>0</v>
      </c>
      <c r="AP122" s="781">
        <f t="shared" si="229"/>
        <v>0</v>
      </c>
      <c r="AQ122" s="781">
        <f t="shared" si="230"/>
        <v>0</v>
      </c>
      <c r="AR122" s="781">
        <f t="shared" si="231"/>
        <v>0</v>
      </c>
      <c r="AS122" s="783">
        <f t="shared" si="232"/>
        <v>0</v>
      </c>
      <c r="AT122" s="759"/>
      <c r="BA122" s="2007" t="s">
        <v>1406</v>
      </c>
      <c r="BB122" s="160" t="str">
        <f>+BC122&amp;", "&amp;BD122&amp;", "&amp;BE122&amp;", "&amp;BF122&amp;", "&amp;BG122&amp;", "&amp;BI122&amp;", "&amp;BH122&amp;", "&amp;BJ122</f>
        <v>Structure, 345kV, Monopole, Running Angle, 140+, Repl., Deenergized, Concrete Caisson Fnd</v>
      </c>
      <c r="BC122" s="9" t="s">
        <v>2164</v>
      </c>
      <c r="BD122" s="9" t="s">
        <v>2086</v>
      </c>
      <c r="BE122" t="s">
        <v>2211</v>
      </c>
      <c r="BF122" s="9" t="s">
        <v>2160</v>
      </c>
      <c r="BG122" s="9" t="s">
        <v>2272</v>
      </c>
      <c r="BH122" s="9" t="s">
        <v>2157</v>
      </c>
      <c r="BI122" s="9" t="s">
        <v>2165</v>
      </c>
      <c r="BJ122" s="9" t="s">
        <v>2158</v>
      </c>
      <c r="BM122" s="2010">
        <v>72000</v>
      </c>
    </row>
    <row r="123" spans="1:65" ht="15" x14ac:dyDescent="0.25">
      <c r="A123" s="784"/>
      <c r="B123" s="719"/>
      <c r="C123" s="170" t="str">
        <f t="shared" si="191"/>
        <v>Ea</v>
      </c>
      <c r="D123" s="557"/>
      <c r="E123" s="170"/>
      <c r="F123" s="170"/>
      <c r="G123" s="2160" t="s">
        <v>2264</v>
      </c>
      <c r="H123" s="1926"/>
      <c r="I123" s="2008" t="s">
        <v>1416</v>
      </c>
      <c r="J123" s="1926"/>
      <c r="K123" s="1926"/>
      <c r="L123" s="170"/>
      <c r="M123" s="2009">
        <v>0</v>
      </c>
      <c r="N123" s="2010">
        <v>1</v>
      </c>
      <c r="O123" s="773">
        <f t="shared" si="213"/>
        <v>0</v>
      </c>
      <c r="P123" s="2008" t="s">
        <v>39</v>
      </c>
      <c r="Q123" s="2008" t="s">
        <v>604</v>
      </c>
      <c r="R123" s="2011" t="s">
        <v>74</v>
      </c>
      <c r="S123" s="778">
        <f>SUMIF('Data Input sheet'!$B$118:$B$180,R123,'Data Input sheet'!$D$118:$D$180)</f>
        <v>152</v>
      </c>
      <c r="T123" s="2010">
        <f t="shared" si="214"/>
        <v>0</v>
      </c>
      <c r="U123" s="2010">
        <v>0</v>
      </c>
      <c r="V123" s="778">
        <f t="shared" si="215"/>
        <v>0</v>
      </c>
      <c r="W123" s="2010">
        <v>0</v>
      </c>
      <c r="X123" s="779"/>
      <c r="Y123" s="2012"/>
      <c r="Z123" s="780">
        <f t="shared" si="216"/>
        <v>0</v>
      </c>
      <c r="AA123" s="2007"/>
      <c r="AB123" s="2007"/>
      <c r="AC123" s="765"/>
      <c r="AD123" s="781">
        <f t="shared" si="217"/>
        <v>0</v>
      </c>
      <c r="AE123" s="781">
        <f t="shared" si="218"/>
        <v>0</v>
      </c>
      <c r="AF123" s="781">
        <f t="shared" si="219"/>
        <v>0</v>
      </c>
      <c r="AG123" s="781">
        <f t="shared" si="220"/>
        <v>0</v>
      </c>
      <c r="AH123" s="781">
        <f t="shared" si="221"/>
        <v>0</v>
      </c>
      <c r="AI123" s="782">
        <f t="shared" si="222"/>
        <v>0</v>
      </c>
      <c r="AJ123" s="781">
        <f t="shared" si="223"/>
        <v>0</v>
      </c>
      <c r="AK123" s="781">
        <f t="shared" si="224"/>
        <v>0</v>
      </c>
      <c r="AL123" s="781">
        <f t="shared" si="225"/>
        <v>0</v>
      </c>
      <c r="AM123" s="781">
        <f t="shared" si="226"/>
        <v>0</v>
      </c>
      <c r="AN123" s="781">
        <f t="shared" si="227"/>
        <v>0</v>
      </c>
      <c r="AO123" s="781">
        <f t="shared" si="228"/>
        <v>0</v>
      </c>
      <c r="AP123" s="781">
        <f t="shared" si="229"/>
        <v>0</v>
      </c>
      <c r="AQ123" s="781">
        <f t="shared" si="230"/>
        <v>0</v>
      </c>
      <c r="AR123" s="781">
        <f t="shared" si="231"/>
        <v>0</v>
      </c>
      <c r="AS123" s="783">
        <f t="shared" si="232"/>
        <v>0</v>
      </c>
      <c r="AT123" s="759"/>
      <c r="BA123" s="2007"/>
      <c r="BC123" s="9"/>
      <c r="BE123" s="9"/>
      <c r="BF123" s="9"/>
      <c r="BG123" s="9"/>
      <c r="BH123" s="9"/>
      <c r="BI123" s="9"/>
      <c r="BJ123" s="9"/>
      <c r="BM123" s="2010">
        <v>0</v>
      </c>
    </row>
    <row r="124" spans="1:65" ht="45" x14ac:dyDescent="0.25">
      <c r="A124" s="784"/>
      <c r="B124" s="719">
        <f>+B122+1</f>
        <v>58</v>
      </c>
      <c r="C124" s="170" t="str">
        <f t="shared" si="191"/>
        <v>41Ea</v>
      </c>
      <c r="D124" s="557"/>
      <c r="E124" s="170"/>
      <c r="F124" s="170">
        <v>41</v>
      </c>
      <c r="G124" s="2007" t="s">
        <v>2190</v>
      </c>
      <c r="H124" s="1926">
        <f>+'Structure replacements'!$H$32+'Structure replacements'!$H$33</f>
        <v>0</v>
      </c>
      <c r="I124" s="2008" t="s">
        <v>1416</v>
      </c>
      <c r="J124" s="1926"/>
      <c r="K124" s="1926"/>
      <c r="L124" s="170"/>
      <c r="M124" s="2009">
        <v>106</v>
      </c>
      <c r="N124" s="2010">
        <v>1</v>
      </c>
      <c r="O124" s="773">
        <f t="shared" si="213"/>
        <v>106</v>
      </c>
      <c r="P124" s="2008" t="s">
        <v>39</v>
      </c>
      <c r="Q124" s="2008" t="s">
        <v>604</v>
      </c>
      <c r="R124" s="2011" t="s">
        <v>74</v>
      </c>
      <c r="S124" s="778">
        <f>SUMIF('Data Input sheet'!$B$118:$B$180,R124,'Data Input sheet'!$D$118:$D$180)</f>
        <v>152</v>
      </c>
      <c r="T124" s="2010">
        <f t="shared" si="214"/>
        <v>16112</v>
      </c>
      <c r="U124" s="2010">
        <v>104</v>
      </c>
      <c r="V124" s="778">
        <f t="shared" si="215"/>
        <v>11024</v>
      </c>
      <c r="W124" s="2010">
        <f t="shared" ref="W124:W127" si="299">ROUND(+BM124*(1+$BM$7),-2)</f>
        <v>55000</v>
      </c>
      <c r="X124" s="779"/>
      <c r="Y124" s="2012"/>
      <c r="Z124" s="780">
        <f t="shared" si="216"/>
        <v>82136</v>
      </c>
      <c r="AA124" s="2007"/>
      <c r="AB124" s="2007"/>
      <c r="AC124" s="765"/>
      <c r="AD124" s="781">
        <f t="shared" si="217"/>
        <v>0</v>
      </c>
      <c r="AE124" s="781">
        <f t="shared" si="218"/>
        <v>0</v>
      </c>
      <c r="AF124" s="781">
        <f t="shared" si="219"/>
        <v>0</v>
      </c>
      <c r="AG124" s="781">
        <f t="shared" si="220"/>
        <v>0</v>
      </c>
      <c r="AH124" s="781">
        <f t="shared" si="221"/>
        <v>0</v>
      </c>
      <c r="AI124" s="782">
        <f t="shared" si="222"/>
        <v>0</v>
      </c>
      <c r="AJ124" s="781">
        <f t="shared" si="223"/>
        <v>0</v>
      </c>
      <c r="AK124" s="781">
        <f t="shared" si="224"/>
        <v>0</v>
      </c>
      <c r="AL124" s="781">
        <f t="shared" si="225"/>
        <v>0</v>
      </c>
      <c r="AM124" s="781">
        <f t="shared" si="226"/>
        <v>0</v>
      </c>
      <c r="AN124" s="781">
        <f t="shared" si="227"/>
        <v>0</v>
      </c>
      <c r="AO124" s="781">
        <f t="shared" si="228"/>
        <v>0</v>
      </c>
      <c r="AP124" s="781">
        <f t="shared" si="229"/>
        <v>0</v>
      </c>
      <c r="AQ124" s="781">
        <f t="shared" si="230"/>
        <v>0</v>
      </c>
      <c r="AR124" s="781">
        <f t="shared" si="231"/>
        <v>0</v>
      </c>
      <c r="AS124" s="783">
        <f t="shared" si="232"/>
        <v>0</v>
      </c>
      <c r="AT124" s="759"/>
      <c r="BA124" s="2007" t="s">
        <v>1404</v>
      </c>
      <c r="BB124" s="160" t="str">
        <f>+BC124&amp;", "&amp;BD124&amp;", "&amp;BE124&amp;", "&amp;BF124&amp;", "&amp;BG124&amp;", "&amp;BI124&amp;", "&amp;BH124&amp;", "&amp;BJ124</f>
        <v>Structure, 345kV, Monopole, Tangent, 120-139ft, Repl., Deenergized, Concrete Caisson Fnd</v>
      </c>
      <c r="BC124" s="9" t="s">
        <v>2164</v>
      </c>
      <c r="BD124" s="9" t="s">
        <v>2086</v>
      </c>
      <c r="BE124" t="s">
        <v>2211</v>
      </c>
      <c r="BF124" s="9" t="s">
        <v>2071</v>
      </c>
      <c r="BG124" s="9" t="s">
        <v>2154</v>
      </c>
      <c r="BH124" s="9" t="s">
        <v>2157</v>
      </c>
      <c r="BI124" s="9" t="s">
        <v>2165</v>
      </c>
      <c r="BJ124" s="9" t="s">
        <v>2158</v>
      </c>
      <c r="BM124" s="2010">
        <v>44000</v>
      </c>
    </row>
    <row r="125" spans="1:65" ht="30" x14ac:dyDescent="0.25">
      <c r="A125" s="784"/>
      <c r="B125" s="719">
        <f>+B123+1</f>
        <v>1</v>
      </c>
      <c r="C125" s="170" t="str">
        <f t="shared" si="191"/>
        <v>41Ea</v>
      </c>
      <c r="D125" s="557"/>
      <c r="E125" s="170"/>
      <c r="F125" s="170">
        <v>41</v>
      </c>
      <c r="G125" s="2007" t="s">
        <v>2275</v>
      </c>
      <c r="H125" s="1926">
        <f>+'Structure replacements'!$H$34+'Structure replacements'!$H$35</f>
        <v>0</v>
      </c>
      <c r="I125" s="2008" t="s">
        <v>1416</v>
      </c>
      <c r="J125" s="1926"/>
      <c r="K125" s="1926"/>
      <c r="L125" s="170"/>
      <c r="M125" s="2009">
        <v>150</v>
      </c>
      <c r="N125" s="2010">
        <v>1</v>
      </c>
      <c r="O125" s="773">
        <f t="shared" ref="O125" si="300">+M125*N125</f>
        <v>150</v>
      </c>
      <c r="P125" s="2008" t="s">
        <v>39</v>
      </c>
      <c r="Q125" s="2008" t="s">
        <v>604</v>
      </c>
      <c r="R125" s="2011" t="s">
        <v>74</v>
      </c>
      <c r="S125" s="778">
        <f>SUMIF('Data Input sheet'!$B$118:$B$180,R125,'Data Input sheet'!$D$118:$D$180)</f>
        <v>152</v>
      </c>
      <c r="T125" s="2010">
        <f t="shared" ref="T125" si="301">S125*O125</f>
        <v>22800</v>
      </c>
      <c r="U125" s="2010">
        <v>104</v>
      </c>
      <c r="V125" s="778">
        <f t="shared" ref="V125" si="302">ROUND(U125*O125,0)</f>
        <v>15600</v>
      </c>
      <c r="W125" s="2010">
        <f t="shared" si="299"/>
        <v>55000</v>
      </c>
      <c r="X125" s="779"/>
      <c r="Y125" s="2012"/>
      <c r="Z125" s="780">
        <f t="shared" ref="Z125" si="303">T125+V125+W125+Y125</f>
        <v>93400</v>
      </c>
      <c r="AA125" s="2007"/>
      <c r="AB125" s="2007"/>
      <c r="AC125" s="765"/>
      <c r="AD125" s="781">
        <f t="shared" ref="AD125" si="304">IF(P125="E",+ROUND(H125*O125,0),0)</f>
        <v>0</v>
      </c>
      <c r="AE125" s="781">
        <f t="shared" ref="AE125" si="305">+AF125-AD125</f>
        <v>0</v>
      </c>
      <c r="AF125" s="781">
        <f t="shared" ref="AF125" si="306">+H125*O125</f>
        <v>0</v>
      </c>
      <c r="AG125" s="781">
        <f t="shared" ref="AG125" si="307">IF(P125="E",+ROUND(T125*H125,0),0)</f>
        <v>0</v>
      </c>
      <c r="AH125" s="781">
        <f t="shared" ref="AH125" si="308">+AI125-AG125</f>
        <v>0</v>
      </c>
      <c r="AI125" s="782">
        <f t="shared" ref="AI125" si="309">+H125*T125</f>
        <v>0</v>
      </c>
      <c r="AJ125" s="781">
        <f t="shared" ref="AJ125" si="310">IF(P125="E",+ROUND(V125*H125,0),0)</f>
        <v>0</v>
      </c>
      <c r="AK125" s="781">
        <f t="shared" ref="AK125" si="311">+AL125-AJ125</f>
        <v>0</v>
      </c>
      <c r="AL125" s="781">
        <f t="shared" ref="AL125" si="312">ROUND(V125*H125,0)</f>
        <v>0</v>
      </c>
      <c r="AM125" s="781">
        <f t="shared" ref="AM125" si="313">IF(Q125="E",+ROUND(W125*H125,0),0)</f>
        <v>0</v>
      </c>
      <c r="AN125" s="781">
        <f t="shared" ref="AN125" si="314">+AO125-AM125</f>
        <v>0</v>
      </c>
      <c r="AO125" s="781">
        <f t="shared" ref="AO125" si="315">ROUND(W125*H125,0)</f>
        <v>0</v>
      </c>
      <c r="AP125" s="781">
        <f t="shared" ref="AP125" si="316">IF(P125="E",+ROUND(Y125*H125,0),0)</f>
        <v>0</v>
      </c>
      <c r="AQ125" s="781">
        <f t="shared" ref="AQ125" si="317">+AR125-AP125</f>
        <v>0</v>
      </c>
      <c r="AR125" s="781">
        <f t="shared" ref="AR125" si="318">ROUND(Y125*H125,0)</f>
        <v>0</v>
      </c>
      <c r="AS125" s="783">
        <f t="shared" ref="AS125" si="319">+AR125+AO125+AL125+AI125</f>
        <v>0</v>
      </c>
      <c r="AT125" s="759"/>
      <c r="BA125" s="2007" t="s">
        <v>1404</v>
      </c>
      <c r="BB125" s="160" t="str">
        <f>+BC125&amp;", "&amp;BD125&amp;", "&amp;BE125&amp;", "&amp;BF125&amp;", "&amp;BG125&amp;", "&amp;BI125&amp;", "&amp;BH125&amp;", "&amp;BJ125</f>
        <v>Structure, 345kV, Monopole, Tangent, 120-139ft, Repl., Live linie, Concrete Caisson Fnd</v>
      </c>
      <c r="BC125" s="9" t="s">
        <v>2164</v>
      </c>
      <c r="BD125" s="9" t="s">
        <v>2086</v>
      </c>
      <c r="BE125" t="s">
        <v>2211</v>
      </c>
      <c r="BF125" s="9" t="s">
        <v>2071</v>
      </c>
      <c r="BG125" s="9" t="s">
        <v>2154</v>
      </c>
      <c r="BH125" s="9" t="s">
        <v>2274</v>
      </c>
      <c r="BI125" s="9" t="s">
        <v>2165</v>
      </c>
      <c r="BJ125" s="9" t="s">
        <v>2158</v>
      </c>
      <c r="BM125" s="2010">
        <v>44000</v>
      </c>
    </row>
    <row r="126" spans="1:65" ht="30" x14ac:dyDescent="0.25">
      <c r="A126" s="784"/>
      <c r="B126" s="719">
        <f>+B124+1</f>
        <v>59</v>
      </c>
      <c r="C126" s="170" t="str">
        <f t="shared" si="191"/>
        <v>41Ea</v>
      </c>
      <c r="D126" s="557"/>
      <c r="E126" s="170"/>
      <c r="F126" s="170">
        <v>41</v>
      </c>
      <c r="G126" s="2007" t="s">
        <v>2273</v>
      </c>
      <c r="H126" s="1926"/>
      <c r="I126" s="2008" t="s">
        <v>1416</v>
      </c>
      <c r="J126" s="1926"/>
      <c r="K126" s="1926"/>
      <c r="L126" s="170"/>
      <c r="M126" s="2009">
        <v>269</v>
      </c>
      <c r="N126" s="2010">
        <v>1</v>
      </c>
      <c r="O126" s="773">
        <f t="shared" si="213"/>
        <v>269</v>
      </c>
      <c r="P126" s="2008" t="s">
        <v>39</v>
      </c>
      <c r="Q126" s="2008" t="s">
        <v>604</v>
      </c>
      <c r="R126" s="2011" t="s">
        <v>74</v>
      </c>
      <c r="S126" s="778">
        <f>SUMIF('Data Input sheet'!$B$118:$B$180,R126,'Data Input sheet'!$D$118:$D$180)</f>
        <v>152</v>
      </c>
      <c r="T126" s="2010">
        <f t="shared" si="214"/>
        <v>40888</v>
      </c>
      <c r="U126" s="2010">
        <v>60</v>
      </c>
      <c r="V126" s="778">
        <f t="shared" si="215"/>
        <v>16140</v>
      </c>
      <c r="W126" s="2010">
        <f t="shared" si="299"/>
        <v>100000</v>
      </c>
      <c r="X126" s="779"/>
      <c r="Y126" s="2012"/>
      <c r="Z126" s="780">
        <f t="shared" si="216"/>
        <v>157028</v>
      </c>
      <c r="AA126" s="2007"/>
      <c r="AB126" s="2007"/>
      <c r="AC126" s="765"/>
      <c r="AD126" s="781">
        <f t="shared" si="217"/>
        <v>0</v>
      </c>
      <c r="AE126" s="781">
        <f t="shared" si="218"/>
        <v>0</v>
      </c>
      <c r="AF126" s="781">
        <f t="shared" si="219"/>
        <v>0</v>
      </c>
      <c r="AG126" s="781">
        <f t="shared" si="220"/>
        <v>0</v>
      </c>
      <c r="AH126" s="781">
        <f t="shared" si="221"/>
        <v>0</v>
      </c>
      <c r="AI126" s="782">
        <f t="shared" si="222"/>
        <v>0</v>
      </c>
      <c r="AJ126" s="781">
        <f t="shared" si="223"/>
        <v>0</v>
      </c>
      <c r="AK126" s="781">
        <f t="shared" si="224"/>
        <v>0</v>
      </c>
      <c r="AL126" s="781">
        <f t="shared" si="225"/>
        <v>0</v>
      </c>
      <c r="AM126" s="781">
        <f t="shared" si="226"/>
        <v>0</v>
      </c>
      <c r="AN126" s="781">
        <f t="shared" si="227"/>
        <v>0</v>
      </c>
      <c r="AO126" s="781">
        <f t="shared" si="228"/>
        <v>0</v>
      </c>
      <c r="AP126" s="781">
        <f t="shared" si="229"/>
        <v>0</v>
      </c>
      <c r="AQ126" s="781">
        <f t="shared" si="230"/>
        <v>0</v>
      </c>
      <c r="AR126" s="781">
        <f t="shared" si="231"/>
        <v>0</v>
      </c>
      <c r="AS126" s="783">
        <f t="shared" si="232"/>
        <v>0</v>
      </c>
      <c r="AT126" s="759"/>
      <c r="BA126" s="2007" t="s">
        <v>1396</v>
      </c>
      <c r="BB126" s="160" t="str">
        <f>+BC126&amp;", "&amp;BD126&amp;", "&amp;BE126&amp;", "&amp;BF126&amp;", "&amp;BG126&amp;", "&amp;BI126&amp;", "&amp;BH126&amp;", "&amp;BJ126</f>
        <v>Structure, 345kV, Monopole, Tangent, 140+, Repl., Deenergized, Concrete Caisson Fnd</v>
      </c>
      <c r="BC126" s="9" t="s">
        <v>2164</v>
      </c>
      <c r="BD126" s="9" t="s">
        <v>2086</v>
      </c>
      <c r="BE126" t="s">
        <v>2211</v>
      </c>
      <c r="BF126" s="9" t="s">
        <v>2071</v>
      </c>
      <c r="BG126" s="9" t="s">
        <v>2272</v>
      </c>
      <c r="BH126" s="9" t="s">
        <v>2157</v>
      </c>
      <c r="BI126" s="9" t="s">
        <v>2165</v>
      </c>
      <c r="BJ126" s="9" t="s">
        <v>2158</v>
      </c>
      <c r="BM126" s="2010">
        <v>80000</v>
      </c>
    </row>
    <row r="127" spans="1:65" ht="30" x14ac:dyDescent="0.25">
      <c r="A127" s="784"/>
      <c r="B127" s="719">
        <f>+B125+1</f>
        <v>2</v>
      </c>
      <c r="C127" s="170" t="str">
        <f t="shared" si="191"/>
        <v>41Ea</v>
      </c>
      <c r="D127" s="557"/>
      <c r="E127" s="170"/>
      <c r="F127" s="170">
        <v>41</v>
      </c>
      <c r="G127" s="2007" t="s">
        <v>2276</v>
      </c>
      <c r="H127" s="1926"/>
      <c r="I127" s="2008" t="s">
        <v>1416</v>
      </c>
      <c r="J127" s="1926"/>
      <c r="K127" s="1926"/>
      <c r="L127" s="170"/>
      <c r="M127" s="2009">
        <v>350</v>
      </c>
      <c r="N127" s="2010">
        <v>1</v>
      </c>
      <c r="O127" s="773">
        <f t="shared" ref="O127" si="320">+M127*N127</f>
        <v>350</v>
      </c>
      <c r="P127" s="2008" t="s">
        <v>39</v>
      </c>
      <c r="Q127" s="2008" t="s">
        <v>604</v>
      </c>
      <c r="R127" s="2011" t="s">
        <v>74</v>
      </c>
      <c r="S127" s="778">
        <f>SUMIF('Data Input sheet'!$B$118:$B$180,R127,'Data Input sheet'!$D$118:$D$180)</f>
        <v>152</v>
      </c>
      <c r="T127" s="2010">
        <f t="shared" ref="T127" si="321">S127*O127</f>
        <v>53200</v>
      </c>
      <c r="U127" s="2010">
        <v>60</v>
      </c>
      <c r="V127" s="778">
        <f t="shared" ref="V127" si="322">ROUND(U127*O127,0)</f>
        <v>21000</v>
      </c>
      <c r="W127" s="2010">
        <f t="shared" si="299"/>
        <v>100000</v>
      </c>
      <c r="X127" s="779"/>
      <c r="Y127" s="2012"/>
      <c r="Z127" s="780">
        <f t="shared" ref="Z127" si="323">T127+V127+W127+Y127</f>
        <v>174200</v>
      </c>
      <c r="AA127" s="2007"/>
      <c r="AB127" s="2007"/>
      <c r="AC127" s="765"/>
      <c r="AD127" s="781">
        <f t="shared" ref="AD127" si="324">IF(P127="E",+ROUND(H127*O127,0),0)</f>
        <v>0</v>
      </c>
      <c r="AE127" s="781">
        <f t="shared" ref="AE127" si="325">+AF127-AD127</f>
        <v>0</v>
      </c>
      <c r="AF127" s="781">
        <f t="shared" ref="AF127" si="326">+H127*O127</f>
        <v>0</v>
      </c>
      <c r="AG127" s="781">
        <f t="shared" ref="AG127" si="327">IF(P127="E",+ROUND(T127*H127,0),0)</f>
        <v>0</v>
      </c>
      <c r="AH127" s="781">
        <f t="shared" ref="AH127" si="328">+AI127-AG127</f>
        <v>0</v>
      </c>
      <c r="AI127" s="782">
        <f t="shared" ref="AI127" si="329">+H127*T127</f>
        <v>0</v>
      </c>
      <c r="AJ127" s="781">
        <f t="shared" ref="AJ127" si="330">IF(P127="E",+ROUND(V127*H127,0),0)</f>
        <v>0</v>
      </c>
      <c r="AK127" s="781">
        <f t="shared" ref="AK127" si="331">+AL127-AJ127</f>
        <v>0</v>
      </c>
      <c r="AL127" s="781">
        <f t="shared" ref="AL127" si="332">ROUND(V127*H127,0)</f>
        <v>0</v>
      </c>
      <c r="AM127" s="781">
        <f t="shared" ref="AM127" si="333">IF(Q127="E",+ROUND(W127*H127,0),0)</f>
        <v>0</v>
      </c>
      <c r="AN127" s="781">
        <f t="shared" ref="AN127" si="334">+AO127-AM127</f>
        <v>0</v>
      </c>
      <c r="AO127" s="781">
        <f t="shared" ref="AO127" si="335">ROUND(W127*H127,0)</f>
        <v>0</v>
      </c>
      <c r="AP127" s="781">
        <f t="shared" ref="AP127" si="336">IF(P127="E",+ROUND(Y127*H127,0),0)</f>
        <v>0</v>
      </c>
      <c r="AQ127" s="781">
        <f t="shared" ref="AQ127" si="337">+AR127-AP127</f>
        <v>0</v>
      </c>
      <c r="AR127" s="781">
        <f t="shared" ref="AR127" si="338">ROUND(Y127*H127,0)</f>
        <v>0</v>
      </c>
      <c r="AS127" s="783">
        <f t="shared" ref="AS127" si="339">+AR127+AO127+AL127+AI127</f>
        <v>0</v>
      </c>
      <c r="AT127" s="759"/>
      <c r="BA127" s="2007" t="s">
        <v>1396</v>
      </c>
      <c r="BB127" s="160" t="str">
        <f>+BC127&amp;", "&amp;BD127&amp;", "&amp;BE127&amp;", "&amp;BF127&amp;", "&amp;BG127&amp;", "&amp;BI127&amp;", "&amp;BH127&amp;", "&amp;BJ127</f>
        <v>Structure, 345kV, Monopole, Tangent, 140+, Repl., Live linie, Concrete Caisson Fnd</v>
      </c>
      <c r="BC127" s="9" t="s">
        <v>2164</v>
      </c>
      <c r="BD127" s="9" t="s">
        <v>2086</v>
      </c>
      <c r="BE127" t="s">
        <v>2211</v>
      </c>
      <c r="BF127" s="9" t="s">
        <v>2071</v>
      </c>
      <c r="BG127" s="9" t="s">
        <v>2272</v>
      </c>
      <c r="BH127" s="9" t="s">
        <v>2274</v>
      </c>
      <c r="BI127" s="9" t="s">
        <v>2165</v>
      </c>
      <c r="BJ127" s="9" t="s">
        <v>2158</v>
      </c>
      <c r="BM127" s="2010">
        <v>80000</v>
      </c>
    </row>
    <row r="128" spans="1:65" ht="15" x14ac:dyDescent="0.25">
      <c r="A128" s="784"/>
      <c r="B128" s="719">
        <f>+B126+1</f>
        <v>60</v>
      </c>
      <c r="C128" s="170" t="str">
        <f t="shared" si="191"/>
        <v/>
      </c>
      <c r="D128" s="557"/>
      <c r="E128" s="170"/>
      <c r="F128" s="170"/>
      <c r="G128" s="2007"/>
      <c r="H128" s="1926"/>
      <c r="I128" s="2008"/>
      <c r="J128" s="1926">
        <v>0</v>
      </c>
      <c r="K128" s="1926"/>
      <c r="L128" s="170"/>
      <c r="M128" s="2009">
        <v>0</v>
      </c>
      <c r="N128" s="2010">
        <v>1</v>
      </c>
      <c r="O128" s="773">
        <f t="shared" si="213"/>
        <v>0</v>
      </c>
      <c r="P128" s="2008" t="s">
        <v>39</v>
      </c>
      <c r="Q128" s="2008" t="s">
        <v>604</v>
      </c>
      <c r="R128" s="2011" t="s">
        <v>74</v>
      </c>
      <c r="S128" s="778">
        <f>SUMIF('Data Input sheet'!$B$118:$B$180,R128,'Data Input sheet'!$D$118:$D$180)</f>
        <v>152</v>
      </c>
      <c r="T128" s="2010">
        <f t="shared" si="214"/>
        <v>0</v>
      </c>
      <c r="U128" s="2010">
        <v>0</v>
      </c>
      <c r="V128" s="778">
        <f t="shared" si="215"/>
        <v>0</v>
      </c>
      <c r="W128" s="2010">
        <v>0</v>
      </c>
      <c r="X128" s="779"/>
      <c r="Y128" s="2012"/>
      <c r="Z128" s="780">
        <f t="shared" si="216"/>
        <v>0</v>
      </c>
      <c r="AA128" s="2007"/>
      <c r="AB128" s="2007"/>
      <c r="AC128" s="765"/>
      <c r="AD128" s="781">
        <f t="shared" si="217"/>
        <v>0</v>
      </c>
      <c r="AE128" s="781">
        <f t="shared" si="218"/>
        <v>0</v>
      </c>
      <c r="AF128" s="781">
        <f t="shared" si="219"/>
        <v>0</v>
      </c>
      <c r="AG128" s="781">
        <f t="shared" si="220"/>
        <v>0</v>
      </c>
      <c r="AH128" s="781">
        <f t="shared" si="221"/>
        <v>0</v>
      </c>
      <c r="AI128" s="782">
        <f t="shared" si="222"/>
        <v>0</v>
      </c>
      <c r="AJ128" s="781">
        <f t="shared" si="223"/>
        <v>0</v>
      </c>
      <c r="AK128" s="781">
        <f t="shared" si="224"/>
        <v>0</v>
      </c>
      <c r="AL128" s="781">
        <f t="shared" si="225"/>
        <v>0</v>
      </c>
      <c r="AM128" s="781">
        <f t="shared" si="226"/>
        <v>0</v>
      </c>
      <c r="AN128" s="781">
        <f t="shared" si="227"/>
        <v>0</v>
      </c>
      <c r="AO128" s="781">
        <f t="shared" si="228"/>
        <v>0</v>
      </c>
      <c r="AP128" s="781">
        <f t="shared" si="229"/>
        <v>0</v>
      </c>
      <c r="AQ128" s="781">
        <f t="shared" si="230"/>
        <v>0</v>
      </c>
      <c r="AR128" s="781">
        <f t="shared" si="231"/>
        <v>0</v>
      </c>
      <c r="AS128" s="783">
        <f t="shared" si="232"/>
        <v>0</v>
      </c>
      <c r="AT128" s="759"/>
      <c r="BA128" s="2007"/>
      <c r="BC128" s="9"/>
      <c r="BE128" s="9"/>
      <c r="BF128" s="9"/>
      <c r="BG128" s="9"/>
      <c r="BH128" s="9"/>
      <c r="BI128" s="9"/>
      <c r="BJ128" s="9"/>
      <c r="BM128" s="2010">
        <v>0</v>
      </c>
    </row>
    <row r="129" spans="1:65" ht="15" x14ac:dyDescent="0.25">
      <c r="A129" s="784"/>
      <c r="B129" s="719">
        <f t="shared" si="24"/>
        <v>61</v>
      </c>
      <c r="C129" s="170" t="str">
        <f t="shared" si="191"/>
        <v/>
      </c>
      <c r="D129" s="557"/>
      <c r="E129" s="170"/>
      <c r="F129" s="170"/>
      <c r="G129" s="2007"/>
      <c r="H129" s="1926"/>
      <c r="I129" s="2008"/>
      <c r="J129" s="1926">
        <v>0</v>
      </c>
      <c r="K129" s="1926"/>
      <c r="L129" s="170"/>
      <c r="M129" s="2009">
        <v>0</v>
      </c>
      <c r="N129" s="2010">
        <v>1</v>
      </c>
      <c r="O129" s="773">
        <f t="shared" si="213"/>
        <v>0</v>
      </c>
      <c r="P129" s="2008" t="s">
        <v>39</v>
      </c>
      <c r="Q129" s="2008" t="s">
        <v>604</v>
      </c>
      <c r="R129" s="2011" t="s">
        <v>74</v>
      </c>
      <c r="S129" s="778">
        <f>SUMIF('Data Input sheet'!$B$118:$B$180,R129,'Data Input sheet'!$D$118:$D$180)</f>
        <v>152</v>
      </c>
      <c r="T129" s="2010">
        <f t="shared" si="214"/>
        <v>0</v>
      </c>
      <c r="U129" s="2010">
        <v>0</v>
      </c>
      <c r="V129" s="778">
        <f t="shared" si="215"/>
        <v>0</v>
      </c>
      <c r="W129" s="2010">
        <v>0</v>
      </c>
      <c r="X129" s="779"/>
      <c r="Y129" s="2012"/>
      <c r="Z129" s="780">
        <f t="shared" si="216"/>
        <v>0</v>
      </c>
      <c r="AA129" s="2007"/>
      <c r="AB129" s="2007"/>
      <c r="AC129" s="765"/>
      <c r="AD129" s="781">
        <f t="shared" si="217"/>
        <v>0</v>
      </c>
      <c r="AE129" s="781">
        <f t="shared" si="218"/>
        <v>0</v>
      </c>
      <c r="AF129" s="781">
        <f t="shared" si="219"/>
        <v>0</v>
      </c>
      <c r="AG129" s="781">
        <f t="shared" si="220"/>
        <v>0</v>
      </c>
      <c r="AH129" s="781">
        <f t="shared" si="221"/>
        <v>0</v>
      </c>
      <c r="AI129" s="782">
        <f t="shared" si="222"/>
        <v>0</v>
      </c>
      <c r="AJ129" s="781">
        <f t="shared" si="223"/>
        <v>0</v>
      </c>
      <c r="AK129" s="781">
        <f t="shared" si="224"/>
        <v>0</v>
      </c>
      <c r="AL129" s="781">
        <f t="shared" si="225"/>
        <v>0</v>
      </c>
      <c r="AM129" s="781">
        <f t="shared" si="226"/>
        <v>0</v>
      </c>
      <c r="AN129" s="781">
        <f t="shared" si="227"/>
        <v>0</v>
      </c>
      <c r="AO129" s="781">
        <f t="shared" si="228"/>
        <v>0</v>
      </c>
      <c r="AP129" s="781">
        <f t="shared" si="229"/>
        <v>0</v>
      </c>
      <c r="AQ129" s="781">
        <f t="shared" si="230"/>
        <v>0</v>
      </c>
      <c r="AR129" s="781">
        <f t="shared" si="231"/>
        <v>0</v>
      </c>
      <c r="AS129" s="783">
        <f t="shared" si="232"/>
        <v>0</v>
      </c>
      <c r="AT129" s="759"/>
      <c r="BA129" s="2007"/>
      <c r="BC129" s="9"/>
      <c r="BE129" s="9"/>
      <c r="BF129" s="9"/>
      <c r="BG129" s="9"/>
      <c r="BH129" s="9"/>
      <c r="BI129" s="9"/>
      <c r="BJ129" s="9"/>
      <c r="BM129" s="2010">
        <v>0</v>
      </c>
    </row>
    <row r="130" spans="1:65" ht="15" x14ac:dyDescent="0.25">
      <c r="A130" s="784"/>
      <c r="B130" s="719">
        <f t="shared" si="24"/>
        <v>62</v>
      </c>
      <c r="C130" s="170" t="str">
        <f t="shared" si="191"/>
        <v/>
      </c>
      <c r="D130" s="557"/>
      <c r="E130" s="170"/>
      <c r="F130" s="557"/>
      <c r="G130" s="721"/>
      <c r="H130" s="784"/>
      <c r="I130" s="784"/>
      <c r="J130" s="784"/>
      <c r="K130" s="784"/>
      <c r="L130" s="170"/>
      <c r="M130" s="773"/>
      <c r="N130" s="773"/>
      <c r="O130" s="773"/>
      <c r="P130" s="788"/>
      <c r="Q130" s="788"/>
      <c r="R130" s="773"/>
      <c r="S130" s="778"/>
      <c r="T130" s="778"/>
      <c r="U130" s="778">
        <v>0</v>
      </c>
      <c r="V130" s="778">
        <f t="shared" ref="V130:V144" si="340">ROUND(U130*O130,0)</f>
        <v>0</v>
      </c>
      <c r="W130" s="778"/>
      <c r="X130" s="779"/>
      <c r="Y130" s="779"/>
      <c r="Z130" s="780"/>
      <c r="AA130" s="787"/>
      <c r="AB130" s="787"/>
      <c r="AC130" s="170"/>
      <c r="AD130" s="781">
        <f t="shared" ref="AD130" si="341">IF(P130="E",+ROUND(H130*O130,0),0)</f>
        <v>0</v>
      </c>
      <c r="AE130" s="781">
        <f t="shared" si="18"/>
        <v>0</v>
      </c>
      <c r="AF130" s="781">
        <f t="shared" ref="AF130" si="342">+H130*O130</f>
        <v>0</v>
      </c>
      <c r="AG130" s="781">
        <f t="shared" ref="AG130" si="343">IF(P130="E",+ROUND(T130*H130,0),0)</f>
        <v>0</v>
      </c>
      <c r="AH130" s="781">
        <f t="shared" si="19"/>
        <v>0</v>
      </c>
      <c r="AI130" s="782">
        <f t="shared" ref="AI130" si="344">+H130*T130</f>
        <v>0</v>
      </c>
      <c r="AJ130" s="781">
        <f t="shared" ref="AJ130" si="345">IF(P130="E",+ROUND(V130*H130,0),0)</f>
        <v>0</v>
      </c>
      <c r="AK130" s="781">
        <f t="shared" si="20"/>
        <v>0</v>
      </c>
      <c r="AL130" s="781">
        <f t="shared" ref="AL130" si="346">ROUND(V130*H130,0)</f>
        <v>0</v>
      </c>
      <c r="AM130" s="781">
        <f t="shared" ref="AM130" si="347">IF(Q130="E",+ROUND(W130*H130,0),0)</f>
        <v>0</v>
      </c>
      <c r="AN130" s="781">
        <f t="shared" si="21"/>
        <v>0</v>
      </c>
      <c r="AO130" s="781">
        <f t="shared" ref="AO130" si="348">ROUND(W130*H130,0)</f>
        <v>0</v>
      </c>
      <c r="AP130" s="781">
        <f t="shared" ref="AP130" si="349">IF(P130="E",+ROUND(Y130*H130,0),0)</f>
        <v>0</v>
      </c>
      <c r="AQ130" s="781">
        <f t="shared" si="22"/>
        <v>0</v>
      </c>
      <c r="AR130" s="781">
        <f t="shared" ref="AR130" si="350">ROUND(Y130*H130,0)</f>
        <v>0</v>
      </c>
      <c r="AS130" s="783">
        <f t="shared" si="23"/>
        <v>0</v>
      </c>
      <c r="AT130" s="759"/>
      <c r="AU130" s="170"/>
      <c r="AV130" s="170"/>
      <c r="AW130" s="836"/>
      <c r="AX130" s="787"/>
      <c r="BM130" s="778"/>
    </row>
    <row r="131" spans="1:65" ht="15.75" thickBot="1" x14ac:dyDescent="0.3">
      <c r="A131" s="784"/>
      <c r="B131" s="719">
        <f t="shared" si="24"/>
        <v>63</v>
      </c>
      <c r="C131" s="170" t="str">
        <f t="shared" si="191"/>
        <v/>
      </c>
      <c r="D131" s="557"/>
      <c r="E131" s="170"/>
      <c r="F131" s="557"/>
      <c r="G131" s="721"/>
      <c r="H131" s="784"/>
      <c r="I131" s="784"/>
      <c r="J131" s="784"/>
      <c r="K131" s="784"/>
      <c r="L131" s="170"/>
      <c r="M131" s="773"/>
      <c r="N131" s="773"/>
      <c r="O131" s="773"/>
      <c r="P131" s="788"/>
      <c r="Q131" s="788"/>
      <c r="R131" s="773"/>
      <c r="S131" s="778"/>
      <c r="T131" s="778"/>
      <c r="U131" s="778">
        <v>0</v>
      </c>
      <c r="V131" s="778">
        <f t="shared" si="340"/>
        <v>0</v>
      </c>
      <c r="W131" s="778"/>
      <c r="X131" s="779"/>
      <c r="Y131" s="779"/>
      <c r="Z131" s="780"/>
      <c r="AA131" s="787"/>
      <c r="AB131" s="787"/>
      <c r="AC131" s="170"/>
      <c r="AD131" s="781"/>
      <c r="AE131" s="781"/>
      <c r="AF131" s="781"/>
      <c r="AG131" s="781"/>
      <c r="AH131" s="781"/>
      <c r="AI131" s="782"/>
      <c r="AJ131" s="781"/>
      <c r="AK131" s="781"/>
      <c r="AL131" s="781"/>
      <c r="AM131" s="781"/>
      <c r="AN131" s="781"/>
      <c r="AO131" s="781"/>
      <c r="AP131" s="781"/>
      <c r="AQ131" s="781"/>
      <c r="AR131" s="781"/>
      <c r="AS131" s="783"/>
      <c r="AT131" s="759"/>
      <c r="AU131" s="170"/>
      <c r="AV131" s="170"/>
      <c r="AW131" s="836"/>
      <c r="AX131" s="787"/>
      <c r="BM131" s="778"/>
    </row>
    <row r="132" spans="1:65" ht="15.75" thickBot="1" x14ac:dyDescent="0.3">
      <c r="A132" s="784"/>
      <c r="B132" s="719">
        <f t="shared" si="24"/>
        <v>64</v>
      </c>
      <c r="C132" s="170" t="str">
        <f t="shared" si="191"/>
        <v/>
      </c>
      <c r="D132" s="557"/>
      <c r="E132" s="170"/>
      <c r="F132" s="557"/>
      <c r="G132" s="839" t="s">
        <v>669</v>
      </c>
      <c r="H132" s="784">
        <v>1</v>
      </c>
      <c r="I132" s="784"/>
      <c r="J132" s="784"/>
      <c r="K132" s="784"/>
      <c r="L132" s="170"/>
      <c r="M132" s="773"/>
      <c r="N132" s="773"/>
      <c r="O132" s="773"/>
      <c r="P132" s="788"/>
      <c r="Q132" s="788"/>
      <c r="R132" s="773"/>
      <c r="S132" s="778"/>
      <c r="T132" s="778"/>
      <c r="U132" s="778">
        <v>0</v>
      </c>
      <c r="V132" s="778">
        <f t="shared" si="340"/>
        <v>0</v>
      </c>
      <c r="W132" s="778"/>
      <c r="X132" s="779"/>
      <c r="Y132" s="779"/>
      <c r="Z132" s="780"/>
      <c r="AA132" s="787"/>
      <c r="AB132" s="787"/>
      <c r="AC132" s="170"/>
      <c r="AD132" s="781">
        <f t="shared" ref="AD132:AD163" si="351">IF(P132="E",+ROUND(H132*O132,0),0)</f>
        <v>0</v>
      </c>
      <c r="AE132" s="781">
        <f t="shared" si="18"/>
        <v>0</v>
      </c>
      <c r="AF132" s="781">
        <f t="shared" ref="AF132:AF163" si="352">+H132*O132</f>
        <v>0</v>
      </c>
      <c r="AG132" s="781">
        <f t="shared" ref="AG132:AG163" si="353">IF(P132="E",+ROUND(T132*H132,0),0)</f>
        <v>0</v>
      </c>
      <c r="AH132" s="781">
        <f t="shared" si="19"/>
        <v>0</v>
      </c>
      <c r="AI132" s="782">
        <f t="shared" ref="AI132:AI163" si="354">+H132*T132</f>
        <v>0</v>
      </c>
      <c r="AJ132" s="781">
        <f t="shared" ref="AJ132:AJ163" si="355">IF(P132="E",+ROUND(V132*H132,0),0)</f>
        <v>0</v>
      </c>
      <c r="AK132" s="781">
        <f t="shared" si="20"/>
        <v>0</v>
      </c>
      <c r="AL132" s="781">
        <f t="shared" ref="AL132:AL163" si="356">ROUND(V132*H132,0)</f>
        <v>0</v>
      </c>
      <c r="AM132" s="781">
        <f t="shared" ref="AM132:AM163" si="357">IF(Q132="E",+ROUND(W132*H132,0),0)</f>
        <v>0</v>
      </c>
      <c r="AN132" s="781">
        <f t="shared" si="21"/>
        <v>0</v>
      </c>
      <c r="AO132" s="781">
        <f t="shared" ref="AO132:AO163" si="358">ROUND(W132*H132,0)</f>
        <v>0</v>
      </c>
      <c r="AP132" s="781">
        <f t="shared" ref="AP132:AP163" si="359">IF(P132="E",+ROUND(Y132*H132,0),0)</f>
        <v>0</v>
      </c>
      <c r="AQ132" s="781">
        <f t="shared" si="22"/>
        <v>0</v>
      </c>
      <c r="AR132" s="781">
        <f t="shared" ref="AR132:AR163" si="360">ROUND(Y132*H132,0)</f>
        <v>0</v>
      </c>
      <c r="AS132" s="783">
        <f t="shared" si="23"/>
        <v>0</v>
      </c>
      <c r="AT132" s="759"/>
      <c r="AU132" s="170"/>
      <c r="AV132" s="170"/>
      <c r="AW132" s="836"/>
      <c r="AX132" s="787"/>
      <c r="BM132" s="778"/>
    </row>
    <row r="133" spans="1:65" ht="15" x14ac:dyDescent="0.25">
      <c r="A133" s="784"/>
      <c r="B133" s="719">
        <f t="shared" si="24"/>
        <v>65</v>
      </c>
      <c r="C133" s="170" t="str">
        <f t="shared" si="191"/>
        <v/>
      </c>
      <c r="D133" s="557"/>
      <c r="E133" s="170"/>
      <c r="F133" s="557"/>
      <c r="G133" s="792" t="s">
        <v>670</v>
      </c>
      <c r="H133" s="784"/>
      <c r="I133" s="784"/>
      <c r="J133" s="784"/>
      <c r="K133" s="784"/>
      <c r="L133" s="170"/>
      <c r="M133" s="773"/>
      <c r="N133" s="773"/>
      <c r="O133" s="773"/>
      <c r="P133" s="788"/>
      <c r="Q133" s="788"/>
      <c r="R133" s="773"/>
      <c r="S133" s="778"/>
      <c r="T133" s="778"/>
      <c r="U133" s="778">
        <v>0</v>
      </c>
      <c r="V133" s="778">
        <f t="shared" si="340"/>
        <v>0</v>
      </c>
      <c r="W133" s="778"/>
      <c r="X133" s="779"/>
      <c r="Y133" s="779"/>
      <c r="Z133" s="780"/>
      <c r="AA133" s="787"/>
      <c r="AB133" s="787"/>
      <c r="AC133" s="170"/>
      <c r="AD133" s="781">
        <f t="shared" si="351"/>
        <v>0</v>
      </c>
      <c r="AE133" s="781">
        <f t="shared" si="18"/>
        <v>0</v>
      </c>
      <c r="AF133" s="781">
        <f t="shared" si="352"/>
        <v>0</v>
      </c>
      <c r="AG133" s="781">
        <f t="shared" si="353"/>
        <v>0</v>
      </c>
      <c r="AH133" s="781">
        <f t="shared" si="19"/>
        <v>0</v>
      </c>
      <c r="AI133" s="782">
        <f t="shared" si="354"/>
        <v>0</v>
      </c>
      <c r="AJ133" s="781">
        <f t="shared" si="355"/>
        <v>0</v>
      </c>
      <c r="AK133" s="781">
        <f t="shared" si="20"/>
        <v>0</v>
      </c>
      <c r="AL133" s="781">
        <f t="shared" si="356"/>
        <v>0</v>
      </c>
      <c r="AM133" s="781">
        <f t="shared" si="357"/>
        <v>0</v>
      </c>
      <c r="AN133" s="781">
        <f t="shared" si="21"/>
        <v>0</v>
      </c>
      <c r="AO133" s="781">
        <f t="shared" si="358"/>
        <v>0</v>
      </c>
      <c r="AP133" s="781">
        <f t="shared" si="359"/>
        <v>0</v>
      </c>
      <c r="AQ133" s="781">
        <f t="shared" si="22"/>
        <v>0</v>
      </c>
      <c r="AR133" s="781">
        <f t="shared" si="360"/>
        <v>0</v>
      </c>
      <c r="AS133" s="783">
        <f t="shared" si="23"/>
        <v>0</v>
      </c>
      <c r="AT133" s="759"/>
      <c r="AU133" s="170"/>
      <c r="AV133" s="170"/>
      <c r="AW133" s="836"/>
      <c r="AX133" s="787"/>
      <c r="BM133" s="778"/>
    </row>
    <row r="134" spans="1:65" ht="15" x14ac:dyDescent="0.25">
      <c r="A134" s="784"/>
      <c r="B134" s="719">
        <f t="shared" si="24"/>
        <v>66</v>
      </c>
      <c r="C134" s="170" t="str">
        <f t="shared" si="191"/>
        <v>3EA</v>
      </c>
      <c r="D134" s="557"/>
      <c r="E134" s="170"/>
      <c r="F134" s="170">
        <v>3</v>
      </c>
      <c r="G134" s="2007" t="s">
        <v>652</v>
      </c>
      <c r="H134" s="1926"/>
      <c r="I134" s="2008" t="s">
        <v>732</v>
      </c>
      <c r="J134" s="1926">
        <f>(7*17*4)/27</f>
        <v>17.62962962962963</v>
      </c>
      <c r="K134" s="1926" t="s">
        <v>671</v>
      </c>
      <c r="L134" s="170"/>
      <c r="M134" s="2009">
        <v>220</v>
      </c>
      <c r="N134" s="2010">
        <v>1</v>
      </c>
      <c r="O134" s="773">
        <f t="shared" ref="O134:O140" si="361">+M134*N134</f>
        <v>220</v>
      </c>
      <c r="P134" s="2008" t="s">
        <v>39</v>
      </c>
      <c r="Q134" s="2008" t="s">
        <v>39</v>
      </c>
      <c r="R134" s="2011" t="s">
        <v>73</v>
      </c>
      <c r="S134" s="778">
        <f>SUMIF('Data Input sheet'!$B$118:$B$180,R134,'Data Input sheet'!$D$118:$D$180)</f>
        <v>119</v>
      </c>
      <c r="T134" s="2010">
        <f t="shared" ref="T134:T140" si="362">+O134*S134</f>
        <v>26180</v>
      </c>
      <c r="U134" s="2010">
        <v>55</v>
      </c>
      <c r="V134" s="778">
        <f t="shared" si="340"/>
        <v>12100</v>
      </c>
      <c r="W134" s="2010">
        <v>16675.88</v>
      </c>
      <c r="X134" s="779"/>
      <c r="Y134" s="2012">
        <v>364</v>
      </c>
      <c r="Z134" s="780">
        <f t="shared" ref="Z134:Z140" si="363">T134+V134+W134+Y134</f>
        <v>55319.880000000005</v>
      </c>
      <c r="AA134" s="2007" t="s">
        <v>672</v>
      </c>
      <c r="AB134" s="2007"/>
      <c r="AC134" s="765"/>
      <c r="AD134" s="781">
        <f t="shared" si="351"/>
        <v>0</v>
      </c>
      <c r="AE134" s="781">
        <f t="shared" si="18"/>
        <v>0</v>
      </c>
      <c r="AF134" s="781">
        <f t="shared" si="352"/>
        <v>0</v>
      </c>
      <c r="AG134" s="781">
        <f t="shared" si="353"/>
        <v>0</v>
      </c>
      <c r="AH134" s="781">
        <f t="shared" si="19"/>
        <v>0</v>
      </c>
      <c r="AI134" s="782">
        <f t="shared" si="354"/>
        <v>0</v>
      </c>
      <c r="AJ134" s="781">
        <f t="shared" si="355"/>
        <v>0</v>
      </c>
      <c r="AK134" s="781">
        <f t="shared" si="20"/>
        <v>0</v>
      </c>
      <c r="AL134" s="781">
        <f t="shared" si="356"/>
        <v>0</v>
      </c>
      <c r="AM134" s="781">
        <f t="shared" si="357"/>
        <v>0</v>
      </c>
      <c r="AN134" s="781">
        <f t="shared" si="21"/>
        <v>0</v>
      </c>
      <c r="AO134" s="781">
        <f t="shared" si="358"/>
        <v>0</v>
      </c>
      <c r="AP134" s="781">
        <f t="shared" si="359"/>
        <v>0</v>
      </c>
      <c r="AQ134" s="781">
        <f t="shared" si="22"/>
        <v>0</v>
      </c>
      <c r="AR134" s="781">
        <f t="shared" si="360"/>
        <v>0</v>
      </c>
      <c r="AS134" s="783">
        <f t="shared" si="23"/>
        <v>0</v>
      </c>
      <c r="AT134" s="759"/>
      <c r="AX134" t="s">
        <v>673</v>
      </c>
      <c r="BM134" s="2010">
        <v>16675.88</v>
      </c>
    </row>
    <row r="135" spans="1:65" ht="15" x14ac:dyDescent="0.25">
      <c r="A135" s="784"/>
      <c r="B135" s="719">
        <f t="shared" si="24"/>
        <v>67</v>
      </c>
      <c r="C135" s="170" t="str">
        <f t="shared" si="191"/>
        <v>3EA</v>
      </c>
      <c r="D135" s="557"/>
      <c r="E135" s="170"/>
      <c r="F135" s="170">
        <v>3</v>
      </c>
      <c r="G135" s="2007" t="s">
        <v>674</v>
      </c>
      <c r="H135" s="1926"/>
      <c r="I135" s="2008" t="s">
        <v>732</v>
      </c>
      <c r="J135" s="1926">
        <f>(8*25*4)/27</f>
        <v>29.62962962962963</v>
      </c>
      <c r="K135" s="1926" t="s">
        <v>671</v>
      </c>
      <c r="L135" s="170"/>
      <c r="M135" s="2009">
        <v>350</v>
      </c>
      <c r="N135" s="2010">
        <v>1</v>
      </c>
      <c r="O135" s="773">
        <f t="shared" si="361"/>
        <v>350</v>
      </c>
      <c r="P135" s="2008" t="s">
        <v>39</v>
      </c>
      <c r="Q135" s="2008" t="s">
        <v>39</v>
      </c>
      <c r="R135" s="2011" t="s">
        <v>73</v>
      </c>
      <c r="S135" s="778">
        <f>SUMIF('Data Input sheet'!$B$118:$B$180,R135,'Data Input sheet'!$D$118:$D$180)</f>
        <v>119</v>
      </c>
      <c r="T135" s="2010">
        <f t="shared" si="362"/>
        <v>41650</v>
      </c>
      <c r="U135" s="2010">
        <v>55</v>
      </c>
      <c r="V135" s="778">
        <f t="shared" si="340"/>
        <v>19250</v>
      </c>
      <c r="W135" s="2010">
        <v>28934.193600000002</v>
      </c>
      <c r="X135" s="779"/>
      <c r="Y135" s="2012">
        <v>364</v>
      </c>
      <c r="Z135" s="780">
        <f t="shared" si="363"/>
        <v>90198.193599999999</v>
      </c>
      <c r="AA135" s="2007" t="s">
        <v>675</v>
      </c>
      <c r="AB135" s="2007"/>
      <c r="AC135" s="765"/>
      <c r="AD135" s="781">
        <f t="shared" si="351"/>
        <v>0</v>
      </c>
      <c r="AE135" s="781">
        <f t="shared" si="18"/>
        <v>0</v>
      </c>
      <c r="AF135" s="781">
        <f t="shared" si="352"/>
        <v>0</v>
      </c>
      <c r="AG135" s="781">
        <f t="shared" si="353"/>
        <v>0</v>
      </c>
      <c r="AH135" s="781">
        <f t="shared" si="19"/>
        <v>0</v>
      </c>
      <c r="AI135" s="782">
        <f t="shared" si="354"/>
        <v>0</v>
      </c>
      <c r="AJ135" s="781">
        <f t="shared" si="355"/>
        <v>0</v>
      </c>
      <c r="AK135" s="781">
        <f t="shared" si="20"/>
        <v>0</v>
      </c>
      <c r="AL135" s="781">
        <f t="shared" si="356"/>
        <v>0</v>
      </c>
      <c r="AM135" s="781">
        <f t="shared" si="357"/>
        <v>0</v>
      </c>
      <c r="AN135" s="781">
        <f t="shared" si="21"/>
        <v>0</v>
      </c>
      <c r="AO135" s="781">
        <f t="shared" si="358"/>
        <v>0</v>
      </c>
      <c r="AP135" s="781">
        <f t="shared" si="359"/>
        <v>0</v>
      </c>
      <c r="AQ135" s="781">
        <f t="shared" si="22"/>
        <v>0</v>
      </c>
      <c r="AR135" s="781">
        <f t="shared" si="360"/>
        <v>0</v>
      </c>
      <c r="AS135" s="783">
        <f t="shared" si="23"/>
        <v>0</v>
      </c>
      <c r="AT135" s="759"/>
      <c r="AX135" t="s">
        <v>676</v>
      </c>
      <c r="BM135" s="2010">
        <v>28934.193600000002</v>
      </c>
    </row>
    <row r="136" spans="1:65" ht="15" x14ac:dyDescent="0.25">
      <c r="A136" s="784"/>
      <c r="B136" s="719">
        <f t="shared" si="24"/>
        <v>68</v>
      </c>
      <c r="C136" s="170" t="str">
        <f t="shared" si="191"/>
        <v>3EA</v>
      </c>
      <c r="D136" s="557"/>
      <c r="E136" s="170"/>
      <c r="F136" s="170">
        <v>3</v>
      </c>
      <c r="G136" s="2007" t="s">
        <v>677</v>
      </c>
      <c r="H136" s="1926"/>
      <c r="I136" s="2008" t="s">
        <v>732</v>
      </c>
      <c r="J136" s="1926">
        <f>(8*27*4)/27</f>
        <v>32</v>
      </c>
      <c r="K136" s="1926" t="s">
        <v>671</v>
      </c>
      <c r="L136" s="170"/>
      <c r="M136" s="2009">
        <v>370</v>
      </c>
      <c r="N136" s="2010">
        <v>1</v>
      </c>
      <c r="O136" s="773">
        <f t="shared" si="361"/>
        <v>370</v>
      </c>
      <c r="P136" s="2008" t="s">
        <v>39</v>
      </c>
      <c r="Q136" s="2008" t="s">
        <v>39</v>
      </c>
      <c r="R136" s="2011" t="s">
        <v>73</v>
      </c>
      <c r="S136" s="778">
        <f>SUMIF('Data Input sheet'!$B$118:$B$180,R136,'Data Input sheet'!$D$118:$D$180)</f>
        <v>119</v>
      </c>
      <c r="T136" s="2010">
        <f t="shared" si="362"/>
        <v>44030</v>
      </c>
      <c r="U136" s="2010">
        <v>55</v>
      </c>
      <c r="V136" s="778">
        <f t="shared" si="340"/>
        <v>20350</v>
      </c>
      <c r="W136" s="2010">
        <v>31249.982400000001</v>
      </c>
      <c r="X136" s="779"/>
      <c r="Y136" s="2012">
        <v>364</v>
      </c>
      <c r="Z136" s="780">
        <f t="shared" si="363"/>
        <v>95993.982400000008</v>
      </c>
      <c r="AA136" s="2007" t="s">
        <v>678</v>
      </c>
      <c r="AB136" s="2007"/>
      <c r="AC136" s="765"/>
      <c r="AD136" s="781">
        <f t="shared" si="351"/>
        <v>0</v>
      </c>
      <c r="AE136" s="781">
        <f t="shared" ref="AE136:AE216" si="364">+AF136-AD136</f>
        <v>0</v>
      </c>
      <c r="AF136" s="781">
        <f t="shared" si="352"/>
        <v>0</v>
      </c>
      <c r="AG136" s="781">
        <f t="shared" si="353"/>
        <v>0</v>
      </c>
      <c r="AH136" s="781">
        <f t="shared" ref="AH136:AH216" si="365">+AI136-AG136</f>
        <v>0</v>
      </c>
      <c r="AI136" s="782">
        <f t="shared" si="354"/>
        <v>0</v>
      </c>
      <c r="AJ136" s="781">
        <f t="shared" si="355"/>
        <v>0</v>
      </c>
      <c r="AK136" s="781">
        <f t="shared" ref="AK136:AK216" si="366">+AL136-AJ136</f>
        <v>0</v>
      </c>
      <c r="AL136" s="781">
        <f t="shared" si="356"/>
        <v>0</v>
      </c>
      <c r="AM136" s="781">
        <f t="shared" si="357"/>
        <v>0</v>
      </c>
      <c r="AN136" s="781">
        <f t="shared" ref="AN136:AN216" si="367">+AO136-AM136</f>
        <v>0</v>
      </c>
      <c r="AO136" s="781">
        <f t="shared" si="358"/>
        <v>0</v>
      </c>
      <c r="AP136" s="781">
        <f t="shared" si="359"/>
        <v>0</v>
      </c>
      <c r="AQ136" s="781">
        <f t="shared" ref="AQ136:AQ216" si="368">+AR136-AP136</f>
        <v>0</v>
      </c>
      <c r="AR136" s="781">
        <f t="shared" si="360"/>
        <v>0</v>
      </c>
      <c r="AS136" s="783">
        <f t="shared" ref="AS136:AS216" si="369">+AR136+AO136+AL136+AI136</f>
        <v>0</v>
      </c>
      <c r="AT136" s="759"/>
      <c r="AX136" t="s">
        <v>679</v>
      </c>
      <c r="BM136" s="2010">
        <v>31249.982400000001</v>
      </c>
    </row>
    <row r="137" spans="1:65" ht="15" x14ac:dyDescent="0.25">
      <c r="A137" s="784"/>
      <c r="B137" s="719">
        <f t="shared" si="24"/>
        <v>69</v>
      </c>
      <c r="C137" s="170" t="str">
        <f t="shared" si="191"/>
        <v>3EA</v>
      </c>
      <c r="D137" s="557"/>
      <c r="E137" s="170"/>
      <c r="F137" s="170">
        <v>3</v>
      </c>
      <c r="G137" s="2007" t="s">
        <v>680</v>
      </c>
      <c r="H137" s="1926"/>
      <c r="I137" s="2008" t="s">
        <v>732</v>
      </c>
      <c r="J137" s="1926">
        <f>(9*25*4)/27</f>
        <v>33.333333333333336</v>
      </c>
      <c r="K137" s="1926" t="s">
        <v>671</v>
      </c>
      <c r="L137" s="170"/>
      <c r="M137" s="2009">
        <v>380</v>
      </c>
      <c r="N137" s="2010">
        <v>1</v>
      </c>
      <c r="O137" s="773">
        <f t="shared" si="361"/>
        <v>380</v>
      </c>
      <c r="P137" s="2008" t="s">
        <v>39</v>
      </c>
      <c r="Q137" s="2008" t="s">
        <v>39</v>
      </c>
      <c r="R137" s="2011" t="s">
        <v>73</v>
      </c>
      <c r="S137" s="778">
        <f>SUMIF('Data Input sheet'!$B$118:$B$180,R137,'Data Input sheet'!$D$118:$D$180)</f>
        <v>119</v>
      </c>
      <c r="T137" s="2010">
        <f t="shared" si="362"/>
        <v>45220</v>
      </c>
      <c r="U137" s="2010">
        <v>55</v>
      </c>
      <c r="V137" s="778">
        <f t="shared" si="340"/>
        <v>20900</v>
      </c>
      <c r="W137" s="2010">
        <v>33571.595200000003</v>
      </c>
      <c r="X137" s="779"/>
      <c r="Y137" s="2012">
        <v>364</v>
      </c>
      <c r="Z137" s="780">
        <f t="shared" si="363"/>
        <v>100055.59520000001</v>
      </c>
      <c r="AA137" s="2007" t="s">
        <v>681</v>
      </c>
      <c r="AB137" s="2007"/>
      <c r="AC137" s="765"/>
      <c r="AD137" s="781">
        <f t="shared" si="351"/>
        <v>0</v>
      </c>
      <c r="AE137" s="781">
        <f t="shared" si="364"/>
        <v>0</v>
      </c>
      <c r="AF137" s="781">
        <f t="shared" si="352"/>
        <v>0</v>
      </c>
      <c r="AG137" s="781">
        <f t="shared" si="353"/>
        <v>0</v>
      </c>
      <c r="AH137" s="781">
        <f t="shared" si="365"/>
        <v>0</v>
      </c>
      <c r="AI137" s="782">
        <f t="shared" si="354"/>
        <v>0</v>
      </c>
      <c r="AJ137" s="781">
        <f t="shared" si="355"/>
        <v>0</v>
      </c>
      <c r="AK137" s="781">
        <f t="shared" si="366"/>
        <v>0</v>
      </c>
      <c r="AL137" s="781">
        <f t="shared" si="356"/>
        <v>0</v>
      </c>
      <c r="AM137" s="781">
        <f t="shared" si="357"/>
        <v>0</v>
      </c>
      <c r="AN137" s="781">
        <f t="shared" si="367"/>
        <v>0</v>
      </c>
      <c r="AO137" s="781">
        <f t="shared" si="358"/>
        <v>0</v>
      </c>
      <c r="AP137" s="781">
        <f t="shared" si="359"/>
        <v>0</v>
      </c>
      <c r="AQ137" s="781">
        <f t="shared" si="368"/>
        <v>0</v>
      </c>
      <c r="AR137" s="781">
        <f t="shared" si="360"/>
        <v>0</v>
      </c>
      <c r="AS137" s="783">
        <f t="shared" si="369"/>
        <v>0</v>
      </c>
      <c r="AT137" s="759"/>
      <c r="AX137" t="s">
        <v>679</v>
      </c>
      <c r="BM137" s="2010">
        <v>33571.595200000003</v>
      </c>
    </row>
    <row r="138" spans="1:65" ht="25.5" x14ac:dyDescent="0.25">
      <c r="A138" s="784"/>
      <c r="B138" s="719">
        <f t="shared" si="24"/>
        <v>70</v>
      </c>
      <c r="C138" s="170" t="str">
        <f t="shared" ref="C138:C208" si="370">+F138&amp;I138</f>
        <v>3EA</v>
      </c>
      <c r="D138" s="557"/>
      <c r="E138" s="170"/>
      <c r="F138" s="170">
        <v>3</v>
      </c>
      <c r="G138" s="2007" t="s">
        <v>653</v>
      </c>
      <c r="H138" s="1926"/>
      <c r="I138" s="2008" t="s">
        <v>732</v>
      </c>
      <c r="J138" s="1926">
        <f>(7*25*4)/27</f>
        <v>25.925925925925927</v>
      </c>
      <c r="K138" s="1926" t="s">
        <v>671</v>
      </c>
      <c r="L138" s="170"/>
      <c r="M138" s="2009">
        <v>310</v>
      </c>
      <c r="N138" s="2010">
        <v>1</v>
      </c>
      <c r="O138" s="773">
        <f t="shared" si="361"/>
        <v>310</v>
      </c>
      <c r="P138" s="2008" t="s">
        <v>39</v>
      </c>
      <c r="Q138" s="2008" t="s">
        <v>39</v>
      </c>
      <c r="R138" s="2011" t="s">
        <v>73</v>
      </c>
      <c r="S138" s="778">
        <f>SUMIF('Data Input sheet'!$B$118:$B$180,R138,'Data Input sheet'!$D$118:$D$180)</f>
        <v>119</v>
      </c>
      <c r="T138" s="2010">
        <f t="shared" si="362"/>
        <v>36890</v>
      </c>
      <c r="U138" s="2010">
        <v>55</v>
      </c>
      <c r="V138" s="778">
        <f t="shared" si="340"/>
        <v>17050</v>
      </c>
      <c r="W138" s="2010">
        <v>24522.981600000003</v>
      </c>
      <c r="X138" s="779"/>
      <c r="Y138" s="2012">
        <v>364</v>
      </c>
      <c r="Z138" s="780">
        <f t="shared" si="363"/>
        <v>78826.981599999999</v>
      </c>
      <c r="AA138" s="2007" t="s">
        <v>682</v>
      </c>
      <c r="AB138" s="2007"/>
      <c r="AC138" s="765"/>
      <c r="AD138" s="781">
        <f t="shared" si="351"/>
        <v>0</v>
      </c>
      <c r="AE138" s="781">
        <f t="shared" si="364"/>
        <v>0</v>
      </c>
      <c r="AF138" s="781">
        <f t="shared" si="352"/>
        <v>0</v>
      </c>
      <c r="AG138" s="781">
        <f t="shared" si="353"/>
        <v>0</v>
      </c>
      <c r="AH138" s="781">
        <f t="shared" si="365"/>
        <v>0</v>
      </c>
      <c r="AI138" s="782">
        <f t="shared" si="354"/>
        <v>0</v>
      </c>
      <c r="AJ138" s="781">
        <f t="shared" si="355"/>
        <v>0</v>
      </c>
      <c r="AK138" s="781">
        <f t="shared" si="366"/>
        <v>0</v>
      </c>
      <c r="AL138" s="781">
        <f t="shared" si="356"/>
        <v>0</v>
      </c>
      <c r="AM138" s="781">
        <f t="shared" si="357"/>
        <v>0</v>
      </c>
      <c r="AN138" s="781">
        <f t="shared" si="367"/>
        <v>0</v>
      </c>
      <c r="AO138" s="781">
        <f t="shared" si="358"/>
        <v>0</v>
      </c>
      <c r="AP138" s="781">
        <f t="shared" si="359"/>
        <v>0</v>
      </c>
      <c r="AQ138" s="781">
        <f t="shared" si="368"/>
        <v>0</v>
      </c>
      <c r="AR138" s="781">
        <f t="shared" si="360"/>
        <v>0</v>
      </c>
      <c r="AS138" s="783">
        <f t="shared" si="369"/>
        <v>0</v>
      </c>
      <c r="AT138" s="759"/>
      <c r="BM138" s="2010">
        <v>24522.981600000003</v>
      </c>
    </row>
    <row r="139" spans="1:65" ht="15" x14ac:dyDescent="0.25">
      <c r="A139" s="784"/>
      <c r="B139" s="719">
        <f t="shared" si="24"/>
        <v>71</v>
      </c>
      <c r="C139" s="170" t="str">
        <f t="shared" si="370"/>
        <v>3EA</v>
      </c>
      <c r="D139" s="557"/>
      <c r="E139" s="170"/>
      <c r="F139" s="170">
        <v>3</v>
      </c>
      <c r="G139" s="2007" t="s">
        <v>654</v>
      </c>
      <c r="H139" s="1926"/>
      <c r="I139" s="2008" t="s">
        <v>732</v>
      </c>
      <c r="J139" s="1926">
        <f>(8*27*4)/27</f>
        <v>32</v>
      </c>
      <c r="K139" s="1926" t="s">
        <v>671</v>
      </c>
      <c r="L139" s="170"/>
      <c r="M139" s="2009">
        <v>370</v>
      </c>
      <c r="N139" s="2010">
        <v>1</v>
      </c>
      <c r="O139" s="773">
        <f t="shared" si="361"/>
        <v>370</v>
      </c>
      <c r="P139" s="2008" t="s">
        <v>39</v>
      </c>
      <c r="Q139" s="2008" t="s">
        <v>39</v>
      </c>
      <c r="R139" s="2011" t="s">
        <v>73</v>
      </c>
      <c r="S139" s="778">
        <f>SUMIF('Data Input sheet'!$B$118:$B$180,R139,'Data Input sheet'!$D$118:$D$180)</f>
        <v>119</v>
      </c>
      <c r="T139" s="2010">
        <f t="shared" si="362"/>
        <v>44030</v>
      </c>
      <c r="U139" s="2010">
        <v>55</v>
      </c>
      <c r="V139" s="778">
        <f t="shared" si="340"/>
        <v>20350</v>
      </c>
      <c r="W139" s="2010">
        <v>31249.982400000001</v>
      </c>
      <c r="X139" s="779"/>
      <c r="Y139" s="2012">
        <v>364</v>
      </c>
      <c r="Z139" s="780">
        <f t="shared" si="363"/>
        <v>95993.982400000008</v>
      </c>
      <c r="AA139" s="2007" t="s">
        <v>683</v>
      </c>
      <c r="AB139" s="2007"/>
      <c r="AC139" s="765"/>
      <c r="AD139" s="781">
        <f t="shared" si="351"/>
        <v>0</v>
      </c>
      <c r="AE139" s="781">
        <f t="shared" si="364"/>
        <v>0</v>
      </c>
      <c r="AF139" s="781">
        <f t="shared" si="352"/>
        <v>0</v>
      </c>
      <c r="AG139" s="781">
        <f t="shared" si="353"/>
        <v>0</v>
      </c>
      <c r="AH139" s="781">
        <f t="shared" si="365"/>
        <v>0</v>
      </c>
      <c r="AI139" s="782">
        <f t="shared" si="354"/>
        <v>0</v>
      </c>
      <c r="AJ139" s="781">
        <f t="shared" si="355"/>
        <v>0</v>
      </c>
      <c r="AK139" s="781">
        <f t="shared" si="366"/>
        <v>0</v>
      </c>
      <c r="AL139" s="781">
        <f t="shared" si="356"/>
        <v>0</v>
      </c>
      <c r="AM139" s="781">
        <f t="shared" si="357"/>
        <v>0</v>
      </c>
      <c r="AN139" s="781">
        <f t="shared" si="367"/>
        <v>0</v>
      </c>
      <c r="AO139" s="781">
        <f t="shared" si="358"/>
        <v>0</v>
      </c>
      <c r="AP139" s="781">
        <f t="shared" si="359"/>
        <v>0</v>
      </c>
      <c r="AQ139" s="781">
        <f t="shared" si="368"/>
        <v>0</v>
      </c>
      <c r="AR139" s="781">
        <f t="shared" si="360"/>
        <v>0</v>
      </c>
      <c r="AS139" s="783">
        <f t="shared" si="369"/>
        <v>0</v>
      </c>
      <c r="AT139" s="759"/>
      <c r="AX139" t="s">
        <v>676</v>
      </c>
      <c r="BM139" s="2010">
        <v>31249.982400000001</v>
      </c>
    </row>
    <row r="140" spans="1:65" ht="25.5" x14ac:dyDescent="0.25">
      <c r="A140" s="784"/>
      <c r="B140" s="719">
        <f t="shared" ref="B140:B221" si="371">+B139+1</f>
        <v>72</v>
      </c>
      <c r="C140" s="170" t="str">
        <f t="shared" si="370"/>
        <v>3EA</v>
      </c>
      <c r="D140" s="557"/>
      <c r="E140" s="170"/>
      <c r="F140" s="170">
        <v>3</v>
      </c>
      <c r="G140" s="2007" t="s">
        <v>655</v>
      </c>
      <c r="H140" s="1926"/>
      <c r="I140" s="2008" t="s">
        <v>732</v>
      </c>
      <c r="J140" s="1926">
        <f>(9*30*4)/27</f>
        <v>40</v>
      </c>
      <c r="K140" s="1926" t="s">
        <v>671</v>
      </c>
      <c r="L140" s="170"/>
      <c r="M140" s="2009">
        <v>450</v>
      </c>
      <c r="N140" s="2010">
        <v>1</v>
      </c>
      <c r="O140" s="773">
        <f t="shared" si="361"/>
        <v>450</v>
      </c>
      <c r="P140" s="2008" t="s">
        <v>39</v>
      </c>
      <c r="Q140" s="2008" t="s">
        <v>39</v>
      </c>
      <c r="R140" s="2011" t="s">
        <v>73</v>
      </c>
      <c r="S140" s="778">
        <f>SUMIF('Data Input sheet'!$B$118:$B$180,R140,'Data Input sheet'!$D$118:$D$180)</f>
        <v>119</v>
      </c>
      <c r="T140" s="2010">
        <f t="shared" si="362"/>
        <v>53550</v>
      </c>
      <c r="U140" s="2010">
        <v>55</v>
      </c>
      <c r="V140" s="778">
        <f t="shared" si="340"/>
        <v>24750</v>
      </c>
      <c r="W140" s="2010">
        <v>40287.468000000001</v>
      </c>
      <c r="X140" s="779"/>
      <c r="Y140" s="2012">
        <v>364</v>
      </c>
      <c r="Z140" s="780">
        <f t="shared" si="363"/>
        <v>118951.46799999999</v>
      </c>
      <c r="AA140" s="2007" t="s">
        <v>684</v>
      </c>
      <c r="AB140" s="2007"/>
      <c r="AC140" s="765"/>
      <c r="AD140" s="781">
        <f t="shared" si="351"/>
        <v>0</v>
      </c>
      <c r="AE140" s="781">
        <f t="shared" si="364"/>
        <v>0</v>
      </c>
      <c r="AF140" s="781">
        <f t="shared" si="352"/>
        <v>0</v>
      </c>
      <c r="AG140" s="781">
        <f t="shared" si="353"/>
        <v>0</v>
      </c>
      <c r="AH140" s="781">
        <f t="shared" si="365"/>
        <v>0</v>
      </c>
      <c r="AI140" s="782">
        <f t="shared" si="354"/>
        <v>0</v>
      </c>
      <c r="AJ140" s="781">
        <f t="shared" si="355"/>
        <v>0</v>
      </c>
      <c r="AK140" s="781">
        <f t="shared" si="366"/>
        <v>0</v>
      </c>
      <c r="AL140" s="781">
        <f t="shared" si="356"/>
        <v>0</v>
      </c>
      <c r="AM140" s="781">
        <f t="shared" si="357"/>
        <v>0</v>
      </c>
      <c r="AN140" s="781">
        <f t="shared" si="367"/>
        <v>0</v>
      </c>
      <c r="AO140" s="781">
        <f t="shared" si="358"/>
        <v>0</v>
      </c>
      <c r="AP140" s="781">
        <f t="shared" si="359"/>
        <v>0</v>
      </c>
      <c r="AQ140" s="781">
        <f t="shared" si="368"/>
        <v>0</v>
      </c>
      <c r="AR140" s="781">
        <f t="shared" si="360"/>
        <v>0</v>
      </c>
      <c r="AS140" s="783">
        <f t="shared" si="369"/>
        <v>0</v>
      </c>
      <c r="AT140" s="759"/>
      <c r="AX140" t="s">
        <v>679</v>
      </c>
      <c r="BM140" s="2010">
        <v>40287.468000000001</v>
      </c>
    </row>
    <row r="141" spans="1:65" ht="15" x14ac:dyDescent="0.25">
      <c r="A141" s="784"/>
      <c r="B141" s="719">
        <f t="shared" si="371"/>
        <v>73</v>
      </c>
      <c r="C141" s="170" t="str">
        <f t="shared" si="370"/>
        <v/>
      </c>
      <c r="D141" s="557"/>
      <c r="E141" s="170"/>
      <c r="F141" s="557"/>
      <c r="G141" s="787"/>
      <c r="H141" s="784"/>
      <c r="I141" s="784"/>
      <c r="J141" s="784"/>
      <c r="K141" s="784"/>
      <c r="L141" s="170"/>
      <c r="M141" s="773"/>
      <c r="N141" s="773"/>
      <c r="O141" s="773"/>
      <c r="P141" s="788"/>
      <c r="Q141" s="788"/>
      <c r="R141" s="773"/>
      <c r="S141" s="778"/>
      <c r="T141" s="778"/>
      <c r="U141" s="778">
        <v>0</v>
      </c>
      <c r="V141" s="778">
        <f t="shared" si="340"/>
        <v>0</v>
      </c>
      <c r="W141" s="778"/>
      <c r="X141" s="779"/>
      <c r="Y141" s="779"/>
      <c r="Z141" s="780"/>
      <c r="AA141" s="787"/>
      <c r="AB141" s="787"/>
      <c r="AC141" s="170"/>
      <c r="AD141" s="781">
        <f t="shared" si="351"/>
        <v>0</v>
      </c>
      <c r="AE141" s="781">
        <f t="shared" si="364"/>
        <v>0</v>
      </c>
      <c r="AF141" s="781">
        <f t="shared" si="352"/>
        <v>0</v>
      </c>
      <c r="AG141" s="781">
        <f t="shared" si="353"/>
        <v>0</v>
      </c>
      <c r="AH141" s="781">
        <f t="shared" si="365"/>
        <v>0</v>
      </c>
      <c r="AI141" s="782">
        <f t="shared" si="354"/>
        <v>0</v>
      </c>
      <c r="AJ141" s="781">
        <f t="shared" si="355"/>
        <v>0</v>
      </c>
      <c r="AK141" s="781">
        <f t="shared" si="366"/>
        <v>0</v>
      </c>
      <c r="AL141" s="781">
        <f t="shared" si="356"/>
        <v>0</v>
      </c>
      <c r="AM141" s="781">
        <f t="shared" si="357"/>
        <v>0</v>
      </c>
      <c r="AN141" s="781">
        <f t="shared" si="367"/>
        <v>0</v>
      </c>
      <c r="AO141" s="781">
        <f t="shared" si="358"/>
        <v>0</v>
      </c>
      <c r="AP141" s="781">
        <f t="shared" si="359"/>
        <v>0</v>
      </c>
      <c r="AQ141" s="781">
        <f t="shared" si="368"/>
        <v>0</v>
      </c>
      <c r="AR141" s="781">
        <f t="shared" si="360"/>
        <v>0</v>
      </c>
      <c r="AS141" s="783">
        <f t="shared" si="369"/>
        <v>0</v>
      </c>
      <c r="AT141" s="759"/>
      <c r="AU141" s="170"/>
      <c r="AV141" s="170"/>
      <c r="AW141" s="836"/>
      <c r="AX141" s="787"/>
      <c r="BM141" s="778"/>
    </row>
    <row r="142" spans="1:65" ht="15" x14ac:dyDescent="0.25">
      <c r="A142" s="784"/>
      <c r="B142" s="719">
        <f t="shared" si="371"/>
        <v>74</v>
      </c>
      <c r="C142" s="170" t="str">
        <f t="shared" si="370"/>
        <v/>
      </c>
      <c r="D142" s="557"/>
      <c r="E142" s="170"/>
      <c r="F142" s="557"/>
      <c r="G142" s="792" t="s">
        <v>685</v>
      </c>
      <c r="H142" s="784"/>
      <c r="I142" s="784"/>
      <c r="J142" s="784"/>
      <c r="K142" s="784"/>
      <c r="L142" s="170"/>
      <c r="M142" s="773"/>
      <c r="N142" s="773"/>
      <c r="O142" s="773"/>
      <c r="P142" s="788"/>
      <c r="Q142" s="788"/>
      <c r="R142" s="773"/>
      <c r="S142" s="778"/>
      <c r="T142" s="778"/>
      <c r="U142" s="778">
        <v>0</v>
      </c>
      <c r="V142" s="778">
        <f t="shared" si="340"/>
        <v>0</v>
      </c>
      <c r="W142" s="778"/>
      <c r="X142" s="779"/>
      <c r="Y142" s="779"/>
      <c r="Z142" s="780"/>
      <c r="AA142" s="787"/>
      <c r="AB142" s="787"/>
      <c r="AC142" s="170"/>
      <c r="AD142" s="781">
        <f t="shared" si="351"/>
        <v>0</v>
      </c>
      <c r="AE142" s="781">
        <f t="shared" si="364"/>
        <v>0</v>
      </c>
      <c r="AF142" s="781">
        <f t="shared" si="352"/>
        <v>0</v>
      </c>
      <c r="AG142" s="781">
        <f t="shared" si="353"/>
        <v>0</v>
      </c>
      <c r="AH142" s="781">
        <f t="shared" si="365"/>
        <v>0</v>
      </c>
      <c r="AI142" s="782">
        <f t="shared" si="354"/>
        <v>0</v>
      </c>
      <c r="AJ142" s="781">
        <f t="shared" si="355"/>
        <v>0</v>
      </c>
      <c r="AK142" s="781">
        <f t="shared" si="366"/>
        <v>0</v>
      </c>
      <c r="AL142" s="781">
        <f t="shared" si="356"/>
        <v>0</v>
      </c>
      <c r="AM142" s="781">
        <f t="shared" si="357"/>
        <v>0</v>
      </c>
      <c r="AN142" s="781">
        <f t="shared" si="367"/>
        <v>0</v>
      </c>
      <c r="AO142" s="781">
        <f t="shared" si="358"/>
        <v>0</v>
      </c>
      <c r="AP142" s="781">
        <f t="shared" si="359"/>
        <v>0</v>
      </c>
      <c r="AQ142" s="781">
        <f t="shared" si="368"/>
        <v>0</v>
      </c>
      <c r="AR142" s="781">
        <f t="shared" si="360"/>
        <v>0</v>
      </c>
      <c r="AS142" s="783">
        <f t="shared" si="369"/>
        <v>0</v>
      </c>
      <c r="AT142" s="759"/>
      <c r="AU142" s="170"/>
      <c r="AV142" s="170"/>
      <c r="AW142" s="836"/>
      <c r="AX142" s="787"/>
      <c r="BM142" s="778"/>
    </row>
    <row r="143" spans="1:65" ht="15" x14ac:dyDescent="0.25">
      <c r="A143" s="784"/>
      <c r="B143" s="719">
        <f t="shared" si="371"/>
        <v>75</v>
      </c>
      <c r="C143" s="170" t="str">
        <f t="shared" si="370"/>
        <v>3EA</v>
      </c>
      <c r="D143" s="557"/>
      <c r="E143" s="170"/>
      <c r="F143" s="170">
        <v>3</v>
      </c>
      <c r="G143" s="2007" t="s">
        <v>656</v>
      </c>
      <c r="H143" s="1926"/>
      <c r="I143" s="2008" t="s">
        <v>732</v>
      </c>
      <c r="J143" s="1926"/>
      <c r="K143" s="1926"/>
      <c r="L143" s="170"/>
      <c r="M143" s="2009">
        <v>220</v>
      </c>
      <c r="N143" s="2010">
        <v>1</v>
      </c>
      <c r="O143" s="773">
        <f t="shared" ref="O143:O169" si="372">+M143*N143</f>
        <v>220</v>
      </c>
      <c r="P143" s="2008" t="s">
        <v>39</v>
      </c>
      <c r="Q143" s="2008" t="s">
        <v>39</v>
      </c>
      <c r="R143" s="2011" t="s">
        <v>73</v>
      </c>
      <c r="S143" s="778">
        <f>SUMIF('Data Input sheet'!$B$118:$B$180,R143,'Data Input sheet'!$D$118:$D$180)</f>
        <v>119</v>
      </c>
      <c r="T143" s="2010">
        <f t="shared" ref="T143:T169" si="373">+O143*S143</f>
        <v>26180</v>
      </c>
      <c r="U143" s="2010">
        <v>55</v>
      </c>
      <c r="V143" s="778">
        <f t="shared" si="340"/>
        <v>12100</v>
      </c>
      <c r="W143" s="2010">
        <v>17718.122500000001</v>
      </c>
      <c r="X143" s="779"/>
      <c r="Y143" s="2012">
        <v>364</v>
      </c>
      <c r="Z143" s="780">
        <f t="shared" ref="Z143:Z169" si="374">T143+V143+W143+Y143</f>
        <v>56362.122499999998</v>
      </c>
      <c r="AA143" s="2007"/>
      <c r="AB143" s="2007"/>
      <c r="AC143" s="765"/>
      <c r="AD143" s="781">
        <f t="shared" si="351"/>
        <v>0</v>
      </c>
      <c r="AE143" s="781">
        <f t="shared" si="364"/>
        <v>0</v>
      </c>
      <c r="AF143" s="781">
        <f t="shared" si="352"/>
        <v>0</v>
      </c>
      <c r="AG143" s="781">
        <f t="shared" si="353"/>
        <v>0</v>
      </c>
      <c r="AH143" s="781">
        <f t="shared" si="365"/>
        <v>0</v>
      </c>
      <c r="AI143" s="782">
        <f t="shared" si="354"/>
        <v>0</v>
      </c>
      <c r="AJ143" s="781">
        <f t="shared" si="355"/>
        <v>0</v>
      </c>
      <c r="AK143" s="781">
        <f t="shared" si="366"/>
        <v>0</v>
      </c>
      <c r="AL143" s="781">
        <f t="shared" si="356"/>
        <v>0</v>
      </c>
      <c r="AM143" s="781">
        <f t="shared" si="357"/>
        <v>0</v>
      </c>
      <c r="AN143" s="781">
        <f t="shared" si="367"/>
        <v>0</v>
      </c>
      <c r="AO143" s="781">
        <f t="shared" si="358"/>
        <v>0</v>
      </c>
      <c r="AP143" s="781">
        <f t="shared" si="359"/>
        <v>0</v>
      </c>
      <c r="AQ143" s="781">
        <f t="shared" si="368"/>
        <v>0</v>
      </c>
      <c r="AR143" s="781">
        <f t="shared" si="360"/>
        <v>0</v>
      </c>
      <c r="AS143" s="783">
        <f t="shared" si="369"/>
        <v>0</v>
      </c>
      <c r="AT143" s="759"/>
      <c r="AX143" t="s">
        <v>673</v>
      </c>
      <c r="BM143" s="2010">
        <v>17718.122500000001</v>
      </c>
    </row>
    <row r="144" spans="1:65" ht="15" x14ac:dyDescent="0.25">
      <c r="A144" s="784"/>
      <c r="B144" s="719">
        <f t="shared" si="371"/>
        <v>76</v>
      </c>
      <c r="C144" s="170" t="str">
        <f t="shared" si="370"/>
        <v>3EA</v>
      </c>
      <c r="D144" s="557"/>
      <c r="E144" s="170"/>
      <c r="F144" s="170">
        <v>3</v>
      </c>
      <c r="G144" s="2007" t="s">
        <v>657</v>
      </c>
      <c r="H144" s="1926"/>
      <c r="I144" s="2008" t="s">
        <v>732</v>
      </c>
      <c r="J144" s="1926"/>
      <c r="K144" s="1926"/>
      <c r="L144" s="170"/>
      <c r="M144" s="2009">
        <v>350</v>
      </c>
      <c r="N144" s="2010">
        <v>1</v>
      </c>
      <c r="O144" s="773">
        <f t="shared" si="372"/>
        <v>350</v>
      </c>
      <c r="P144" s="2008" t="s">
        <v>39</v>
      </c>
      <c r="Q144" s="2008" t="s">
        <v>39</v>
      </c>
      <c r="R144" s="2011" t="s">
        <v>73</v>
      </c>
      <c r="S144" s="778">
        <f>SUMIF('Data Input sheet'!$B$118:$B$180,R144,'Data Input sheet'!$D$118:$D$180)</f>
        <v>119</v>
      </c>
      <c r="T144" s="2010">
        <f t="shared" si="373"/>
        <v>41650</v>
      </c>
      <c r="U144" s="2010">
        <v>55</v>
      </c>
      <c r="V144" s="778">
        <f t="shared" si="340"/>
        <v>19250</v>
      </c>
      <c r="W144" s="2010">
        <v>30742.580700000002</v>
      </c>
      <c r="X144" s="779"/>
      <c r="Y144" s="2012">
        <v>364</v>
      </c>
      <c r="Z144" s="780">
        <f t="shared" si="374"/>
        <v>92006.580700000006</v>
      </c>
      <c r="AA144" s="2007"/>
      <c r="AB144" s="2007"/>
      <c r="AC144" s="765"/>
      <c r="AD144" s="781">
        <f t="shared" si="351"/>
        <v>0</v>
      </c>
      <c r="AE144" s="781">
        <f t="shared" si="364"/>
        <v>0</v>
      </c>
      <c r="AF144" s="781">
        <f t="shared" si="352"/>
        <v>0</v>
      </c>
      <c r="AG144" s="781">
        <f t="shared" si="353"/>
        <v>0</v>
      </c>
      <c r="AH144" s="781">
        <f t="shared" si="365"/>
        <v>0</v>
      </c>
      <c r="AI144" s="782">
        <f t="shared" si="354"/>
        <v>0</v>
      </c>
      <c r="AJ144" s="781">
        <f t="shared" si="355"/>
        <v>0</v>
      </c>
      <c r="AK144" s="781">
        <f t="shared" si="366"/>
        <v>0</v>
      </c>
      <c r="AL144" s="781">
        <f t="shared" si="356"/>
        <v>0</v>
      </c>
      <c r="AM144" s="781">
        <f t="shared" si="357"/>
        <v>0</v>
      </c>
      <c r="AN144" s="781">
        <f t="shared" si="367"/>
        <v>0</v>
      </c>
      <c r="AO144" s="781">
        <f t="shared" si="358"/>
        <v>0</v>
      </c>
      <c r="AP144" s="781">
        <f t="shared" si="359"/>
        <v>0</v>
      </c>
      <c r="AQ144" s="781">
        <f t="shared" si="368"/>
        <v>0</v>
      </c>
      <c r="AR144" s="781">
        <f t="shared" si="360"/>
        <v>0</v>
      </c>
      <c r="AS144" s="783">
        <f t="shared" si="369"/>
        <v>0</v>
      </c>
      <c r="AT144" s="759"/>
      <c r="BM144" s="2010">
        <v>30742.580700000002</v>
      </c>
    </row>
    <row r="145" spans="1:65" ht="15" x14ac:dyDescent="0.25">
      <c r="A145" s="784"/>
      <c r="B145" s="719">
        <f t="shared" si="371"/>
        <v>77</v>
      </c>
      <c r="C145" s="170" t="str">
        <f t="shared" si="370"/>
        <v>3EA</v>
      </c>
      <c r="D145" s="557"/>
      <c r="E145" s="170"/>
      <c r="F145" s="170">
        <v>3</v>
      </c>
      <c r="G145" s="2007" t="s">
        <v>658</v>
      </c>
      <c r="H145" s="1926"/>
      <c r="I145" s="2008" t="s">
        <v>732</v>
      </c>
      <c r="J145" s="1926"/>
      <c r="K145" s="1926"/>
      <c r="L145" s="170"/>
      <c r="M145" s="2009">
        <v>370</v>
      </c>
      <c r="N145" s="2010">
        <v>1</v>
      </c>
      <c r="O145" s="773">
        <f t="shared" si="372"/>
        <v>370</v>
      </c>
      <c r="P145" s="2008" t="s">
        <v>39</v>
      </c>
      <c r="Q145" s="2008" t="s">
        <v>39</v>
      </c>
      <c r="R145" s="2011" t="s">
        <v>73</v>
      </c>
      <c r="S145" s="778">
        <f>SUMIF('Data Input sheet'!$B$118:$B$180,R145,'Data Input sheet'!$D$118:$D$180)</f>
        <v>119</v>
      </c>
      <c r="T145" s="2010">
        <f t="shared" si="373"/>
        <v>44030</v>
      </c>
      <c r="U145" s="2010">
        <v>55</v>
      </c>
      <c r="V145" s="778">
        <f t="shared" ref="V145:V226" si="375">ROUND(U145*O145,0)</f>
        <v>20350</v>
      </c>
      <c r="W145" s="2010">
        <v>33203.106299999999</v>
      </c>
      <c r="X145" s="779"/>
      <c r="Y145" s="2012">
        <v>364</v>
      </c>
      <c r="Z145" s="780">
        <f t="shared" si="374"/>
        <v>97947.106299999999</v>
      </c>
      <c r="AA145" s="2007"/>
      <c r="AB145" s="2007"/>
      <c r="AC145" s="765"/>
      <c r="AD145" s="781">
        <f t="shared" si="351"/>
        <v>0</v>
      </c>
      <c r="AE145" s="781">
        <f t="shared" si="364"/>
        <v>0</v>
      </c>
      <c r="AF145" s="781">
        <f t="shared" si="352"/>
        <v>0</v>
      </c>
      <c r="AG145" s="781">
        <f t="shared" si="353"/>
        <v>0</v>
      </c>
      <c r="AH145" s="781">
        <f t="shared" si="365"/>
        <v>0</v>
      </c>
      <c r="AI145" s="782">
        <f t="shared" si="354"/>
        <v>0</v>
      </c>
      <c r="AJ145" s="781">
        <f t="shared" si="355"/>
        <v>0</v>
      </c>
      <c r="AK145" s="781">
        <f t="shared" si="366"/>
        <v>0</v>
      </c>
      <c r="AL145" s="781">
        <f t="shared" si="356"/>
        <v>0</v>
      </c>
      <c r="AM145" s="781">
        <f t="shared" si="357"/>
        <v>0</v>
      </c>
      <c r="AN145" s="781">
        <f t="shared" si="367"/>
        <v>0</v>
      </c>
      <c r="AO145" s="781">
        <f t="shared" si="358"/>
        <v>0</v>
      </c>
      <c r="AP145" s="781">
        <f t="shared" si="359"/>
        <v>0</v>
      </c>
      <c r="AQ145" s="781">
        <f t="shared" si="368"/>
        <v>0</v>
      </c>
      <c r="AR145" s="781">
        <f t="shared" si="360"/>
        <v>0</v>
      </c>
      <c r="AS145" s="783">
        <f t="shared" si="369"/>
        <v>0</v>
      </c>
      <c r="AT145" s="759"/>
      <c r="BM145" s="2010">
        <v>33203.106299999999</v>
      </c>
    </row>
    <row r="146" spans="1:65" ht="15" x14ac:dyDescent="0.25">
      <c r="A146" s="784"/>
      <c r="B146" s="719">
        <f t="shared" si="371"/>
        <v>78</v>
      </c>
      <c r="C146" s="170" t="str">
        <f t="shared" si="370"/>
        <v>3EA</v>
      </c>
      <c r="D146" s="557"/>
      <c r="E146" s="170"/>
      <c r="F146" s="170">
        <v>3</v>
      </c>
      <c r="G146" s="2007" t="s">
        <v>659</v>
      </c>
      <c r="H146" s="1926"/>
      <c r="I146" s="2008" t="s">
        <v>732</v>
      </c>
      <c r="J146" s="1926"/>
      <c r="K146" s="1926"/>
      <c r="L146" s="170"/>
      <c r="M146" s="2009">
        <v>410</v>
      </c>
      <c r="N146" s="2010">
        <v>1</v>
      </c>
      <c r="O146" s="773">
        <f t="shared" si="372"/>
        <v>410</v>
      </c>
      <c r="P146" s="2008" t="s">
        <v>39</v>
      </c>
      <c r="Q146" s="2008" t="s">
        <v>39</v>
      </c>
      <c r="R146" s="2011" t="s">
        <v>73</v>
      </c>
      <c r="S146" s="778">
        <f>SUMIF('Data Input sheet'!$B$118:$B$180,R146,'Data Input sheet'!$D$118:$D$180)</f>
        <v>119</v>
      </c>
      <c r="T146" s="2010">
        <f t="shared" si="373"/>
        <v>48790</v>
      </c>
      <c r="U146" s="2010">
        <v>55</v>
      </c>
      <c r="V146" s="778">
        <f t="shared" si="375"/>
        <v>22550</v>
      </c>
      <c r="W146" s="2010">
        <v>35669.819900000002</v>
      </c>
      <c r="X146" s="779"/>
      <c r="Y146" s="2012">
        <v>364</v>
      </c>
      <c r="Z146" s="780">
        <f t="shared" si="374"/>
        <v>107373.8199</v>
      </c>
      <c r="AA146" s="2007"/>
      <c r="AB146" s="2007"/>
      <c r="AC146" s="765"/>
      <c r="AD146" s="781">
        <f t="shared" si="351"/>
        <v>0</v>
      </c>
      <c r="AE146" s="781">
        <f t="shared" si="364"/>
        <v>0</v>
      </c>
      <c r="AF146" s="781">
        <f t="shared" si="352"/>
        <v>0</v>
      </c>
      <c r="AG146" s="781">
        <f t="shared" si="353"/>
        <v>0</v>
      </c>
      <c r="AH146" s="781">
        <f t="shared" si="365"/>
        <v>0</v>
      </c>
      <c r="AI146" s="782">
        <f t="shared" si="354"/>
        <v>0</v>
      </c>
      <c r="AJ146" s="781">
        <f t="shared" si="355"/>
        <v>0</v>
      </c>
      <c r="AK146" s="781">
        <f t="shared" si="366"/>
        <v>0</v>
      </c>
      <c r="AL146" s="781">
        <f t="shared" si="356"/>
        <v>0</v>
      </c>
      <c r="AM146" s="781">
        <f t="shared" si="357"/>
        <v>0</v>
      </c>
      <c r="AN146" s="781">
        <f t="shared" si="367"/>
        <v>0</v>
      </c>
      <c r="AO146" s="781">
        <f t="shared" si="358"/>
        <v>0</v>
      </c>
      <c r="AP146" s="781">
        <f t="shared" si="359"/>
        <v>0</v>
      </c>
      <c r="AQ146" s="781">
        <f t="shared" si="368"/>
        <v>0</v>
      </c>
      <c r="AR146" s="781">
        <f t="shared" si="360"/>
        <v>0</v>
      </c>
      <c r="AS146" s="783">
        <f t="shared" si="369"/>
        <v>0</v>
      </c>
      <c r="AT146" s="759"/>
      <c r="BM146" s="2010">
        <v>35669.819900000002</v>
      </c>
    </row>
    <row r="147" spans="1:65" ht="15" x14ac:dyDescent="0.25">
      <c r="A147" s="784"/>
      <c r="B147" s="719">
        <f t="shared" si="371"/>
        <v>79</v>
      </c>
      <c r="C147" s="170" t="str">
        <f t="shared" si="370"/>
        <v>3EA</v>
      </c>
      <c r="D147" s="557"/>
      <c r="E147" s="170"/>
      <c r="F147" s="170">
        <v>3</v>
      </c>
      <c r="G147" s="2007" t="s">
        <v>686</v>
      </c>
      <c r="H147" s="1926"/>
      <c r="I147" s="2008" t="s">
        <v>732</v>
      </c>
      <c r="J147" s="1926"/>
      <c r="K147" s="1926"/>
      <c r="L147" s="170"/>
      <c r="M147" s="2009">
        <v>230</v>
      </c>
      <c r="N147" s="2010">
        <v>1</v>
      </c>
      <c r="O147" s="773">
        <f t="shared" si="372"/>
        <v>230</v>
      </c>
      <c r="P147" s="2008" t="s">
        <v>39</v>
      </c>
      <c r="Q147" s="2008" t="s">
        <v>39</v>
      </c>
      <c r="R147" s="2011" t="s">
        <v>73</v>
      </c>
      <c r="S147" s="778">
        <f>SUMIF('Data Input sheet'!$B$118:$B$180,R147,'Data Input sheet'!$D$118:$D$180)</f>
        <v>119</v>
      </c>
      <c r="T147" s="2010">
        <f t="shared" si="373"/>
        <v>27370</v>
      </c>
      <c r="U147" s="2010">
        <v>55</v>
      </c>
      <c r="V147" s="778">
        <f t="shared" si="375"/>
        <v>12650</v>
      </c>
      <c r="W147" s="2010">
        <v>21887.092500000002</v>
      </c>
      <c r="X147" s="779"/>
      <c r="Y147" s="2012">
        <v>364</v>
      </c>
      <c r="Z147" s="780">
        <f t="shared" si="374"/>
        <v>62271.092499999999</v>
      </c>
      <c r="AA147" s="2007"/>
      <c r="AB147" s="2007"/>
      <c r="AC147" s="765"/>
      <c r="AD147" s="781">
        <f t="shared" si="351"/>
        <v>0</v>
      </c>
      <c r="AE147" s="781">
        <f t="shared" si="364"/>
        <v>0</v>
      </c>
      <c r="AF147" s="781">
        <f t="shared" si="352"/>
        <v>0</v>
      </c>
      <c r="AG147" s="781">
        <f t="shared" si="353"/>
        <v>0</v>
      </c>
      <c r="AH147" s="781">
        <f t="shared" si="365"/>
        <v>0</v>
      </c>
      <c r="AI147" s="782">
        <f t="shared" si="354"/>
        <v>0</v>
      </c>
      <c r="AJ147" s="781">
        <f t="shared" si="355"/>
        <v>0</v>
      </c>
      <c r="AK147" s="781">
        <f t="shared" si="366"/>
        <v>0</v>
      </c>
      <c r="AL147" s="781">
        <f t="shared" si="356"/>
        <v>0</v>
      </c>
      <c r="AM147" s="781">
        <f t="shared" si="357"/>
        <v>0</v>
      </c>
      <c r="AN147" s="781">
        <f t="shared" si="367"/>
        <v>0</v>
      </c>
      <c r="AO147" s="781">
        <f t="shared" si="358"/>
        <v>0</v>
      </c>
      <c r="AP147" s="781">
        <f t="shared" si="359"/>
        <v>0</v>
      </c>
      <c r="AQ147" s="781">
        <f t="shared" si="368"/>
        <v>0</v>
      </c>
      <c r="AR147" s="781">
        <f t="shared" si="360"/>
        <v>0</v>
      </c>
      <c r="AS147" s="783">
        <f t="shared" si="369"/>
        <v>0</v>
      </c>
      <c r="AT147" s="759"/>
      <c r="BM147" s="2010">
        <v>21887.092500000002</v>
      </c>
    </row>
    <row r="148" spans="1:65" ht="15" x14ac:dyDescent="0.25">
      <c r="A148" s="784"/>
      <c r="B148" s="719">
        <f t="shared" si="371"/>
        <v>80</v>
      </c>
      <c r="C148" s="170" t="str">
        <f t="shared" si="370"/>
        <v>3EA</v>
      </c>
      <c r="D148" s="557"/>
      <c r="E148" s="170"/>
      <c r="F148" s="170">
        <v>3</v>
      </c>
      <c r="G148" s="2007" t="s">
        <v>687</v>
      </c>
      <c r="H148" s="1926"/>
      <c r="I148" s="2008" t="s">
        <v>732</v>
      </c>
      <c r="J148" s="1926"/>
      <c r="K148" s="1926"/>
      <c r="L148" s="170"/>
      <c r="M148" s="2009">
        <v>350</v>
      </c>
      <c r="N148" s="2010">
        <v>1</v>
      </c>
      <c r="O148" s="773">
        <f t="shared" si="372"/>
        <v>350</v>
      </c>
      <c r="P148" s="2008" t="s">
        <v>39</v>
      </c>
      <c r="Q148" s="2008" t="s">
        <v>39</v>
      </c>
      <c r="R148" s="2011" t="s">
        <v>73</v>
      </c>
      <c r="S148" s="778">
        <f>SUMIF('Data Input sheet'!$B$118:$B$180,R148,'Data Input sheet'!$D$118:$D$180)</f>
        <v>119</v>
      </c>
      <c r="T148" s="2010">
        <f t="shared" si="373"/>
        <v>41650</v>
      </c>
      <c r="U148" s="2010">
        <v>55</v>
      </c>
      <c r="V148" s="778">
        <f t="shared" si="375"/>
        <v>19250</v>
      </c>
      <c r="W148" s="2010">
        <v>37976.129100000006</v>
      </c>
      <c r="X148" s="779"/>
      <c r="Y148" s="2012">
        <v>364</v>
      </c>
      <c r="Z148" s="780">
        <f t="shared" si="374"/>
        <v>99240.129100000006</v>
      </c>
      <c r="AA148" s="2007"/>
      <c r="AB148" s="2007"/>
      <c r="AC148" s="765"/>
      <c r="AD148" s="781">
        <f t="shared" si="351"/>
        <v>0</v>
      </c>
      <c r="AE148" s="781">
        <f t="shared" si="364"/>
        <v>0</v>
      </c>
      <c r="AF148" s="781">
        <f t="shared" si="352"/>
        <v>0</v>
      </c>
      <c r="AG148" s="781">
        <f t="shared" si="353"/>
        <v>0</v>
      </c>
      <c r="AH148" s="781">
        <f t="shared" si="365"/>
        <v>0</v>
      </c>
      <c r="AI148" s="782">
        <f t="shared" si="354"/>
        <v>0</v>
      </c>
      <c r="AJ148" s="781">
        <f t="shared" si="355"/>
        <v>0</v>
      </c>
      <c r="AK148" s="781">
        <f t="shared" si="366"/>
        <v>0</v>
      </c>
      <c r="AL148" s="781">
        <f t="shared" si="356"/>
        <v>0</v>
      </c>
      <c r="AM148" s="781">
        <f t="shared" si="357"/>
        <v>0</v>
      </c>
      <c r="AN148" s="781">
        <f t="shared" si="367"/>
        <v>0</v>
      </c>
      <c r="AO148" s="781">
        <f t="shared" si="358"/>
        <v>0</v>
      </c>
      <c r="AP148" s="781">
        <f t="shared" si="359"/>
        <v>0</v>
      </c>
      <c r="AQ148" s="781">
        <f t="shared" si="368"/>
        <v>0</v>
      </c>
      <c r="AR148" s="781">
        <f t="shared" si="360"/>
        <v>0</v>
      </c>
      <c r="AS148" s="783">
        <f t="shared" si="369"/>
        <v>0</v>
      </c>
      <c r="AT148" s="759"/>
      <c r="BM148" s="2010">
        <v>37976.129100000006</v>
      </c>
    </row>
    <row r="149" spans="1:65" ht="15" x14ac:dyDescent="0.25">
      <c r="A149" s="784"/>
      <c r="B149" s="719">
        <f t="shared" si="371"/>
        <v>81</v>
      </c>
      <c r="C149" s="170" t="str">
        <f t="shared" si="370"/>
        <v>3EA</v>
      </c>
      <c r="D149" s="557"/>
      <c r="E149" s="170"/>
      <c r="F149" s="170">
        <v>3</v>
      </c>
      <c r="G149" s="2007" t="s">
        <v>688</v>
      </c>
      <c r="H149" s="1926"/>
      <c r="I149" s="2008" t="s">
        <v>732</v>
      </c>
      <c r="J149" s="1926"/>
      <c r="K149" s="1926"/>
      <c r="L149" s="170"/>
      <c r="M149" s="2009">
        <v>410</v>
      </c>
      <c r="N149" s="2010">
        <v>1</v>
      </c>
      <c r="O149" s="773">
        <f t="shared" si="372"/>
        <v>410</v>
      </c>
      <c r="P149" s="2008" t="s">
        <v>39</v>
      </c>
      <c r="Q149" s="2008" t="s">
        <v>39</v>
      </c>
      <c r="R149" s="2011" t="s">
        <v>73</v>
      </c>
      <c r="S149" s="778">
        <f>SUMIF('Data Input sheet'!$B$118:$B$180,R149,'Data Input sheet'!$D$118:$D$180)</f>
        <v>119</v>
      </c>
      <c r="T149" s="2010">
        <f t="shared" si="373"/>
        <v>48790</v>
      </c>
      <c r="U149" s="2010">
        <v>55</v>
      </c>
      <c r="V149" s="778">
        <f t="shared" si="375"/>
        <v>22550</v>
      </c>
      <c r="W149" s="2010">
        <v>41015.601900000001</v>
      </c>
      <c r="X149" s="779"/>
      <c r="Y149" s="2012">
        <v>364</v>
      </c>
      <c r="Z149" s="780">
        <f t="shared" si="374"/>
        <v>112719.60190000001</v>
      </c>
      <c r="AA149" s="2007"/>
      <c r="AB149" s="2007"/>
      <c r="AC149" s="765"/>
      <c r="AD149" s="781">
        <f t="shared" si="351"/>
        <v>0</v>
      </c>
      <c r="AE149" s="781">
        <f t="shared" si="364"/>
        <v>0</v>
      </c>
      <c r="AF149" s="781">
        <f t="shared" si="352"/>
        <v>0</v>
      </c>
      <c r="AG149" s="781">
        <f t="shared" si="353"/>
        <v>0</v>
      </c>
      <c r="AH149" s="781">
        <f t="shared" si="365"/>
        <v>0</v>
      </c>
      <c r="AI149" s="782">
        <f t="shared" si="354"/>
        <v>0</v>
      </c>
      <c r="AJ149" s="781">
        <f t="shared" si="355"/>
        <v>0</v>
      </c>
      <c r="AK149" s="781">
        <f t="shared" si="366"/>
        <v>0</v>
      </c>
      <c r="AL149" s="781">
        <f t="shared" si="356"/>
        <v>0</v>
      </c>
      <c r="AM149" s="781">
        <f t="shared" si="357"/>
        <v>0</v>
      </c>
      <c r="AN149" s="781">
        <f t="shared" si="367"/>
        <v>0</v>
      </c>
      <c r="AO149" s="781">
        <f t="shared" si="358"/>
        <v>0</v>
      </c>
      <c r="AP149" s="781">
        <f t="shared" si="359"/>
        <v>0</v>
      </c>
      <c r="AQ149" s="781">
        <f t="shared" si="368"/>
        <v>0</v>
      </c>
      <c r="AR149" s="781">
        <f t="shared" si="360"/>
        <v>0</v>
      </c>
      <c r="AS149" s="783">
        <f t="shared" si="369"/>
        <v>0</v>
      </c>
      <c r="AT149" s="759"/>
      <c r="BM149" s="2010">
        <v>41015.601900000001</v>
      </c>
    </row>
    <row r="150" spans="1:65" ht="15" x14ac:dyDescent="0.25">
      <c r="A150" s="784"/>
      <c r="B150" s="719">
        <f t="shared" si="371"/>
        <v>82</v>
      </c>
      <c r="C150" s="170" t="str">
        <f t="shared" si="370"/>
        <v>3EA</v>
      </c>
      <c r="D150" s="557"/>
      <c r="E150" s="170"/>
      <c r="F150" s="170">
        <v>3</v>
      </c>
      <c r="G150" s="2007" t="s">
        <v>660</v>
      </c>
      <c r="H150" s="1926"/>
      <c r="I150" s="2008" t="s">
        <v>732</v>
      </c>
      <c r="J150" s="1926"/>
      <c r="K150" s="1926"/>
      <c r="L150" s="170"/>
      <c r="M150" s="2009">
        <v>240</v>
      </c>
      <c r="N150" s="2010">
        <v>1</v>
      </c>
      <c r="O150" s="773">
        <f t="shared" si="372"/>
        <v>240</v>
      </c>
      <c r="P150" s="2008" t="s">
        <v>39</v>
      </c>
      <c r="Q150" s="2008" t="s">
        <v>39</v>
      </c>
      <c r="R150" s="2011" t="s">
        <v>73</v>
      </c>
      <c r="S150" s="778">
        <f>SUMIF('Data Input sheet'!$B$118:$B$180,R150,'Data Input sheet'!$D$118:$D$180)</f>
        <v>119</v>
      </c>
      <c r="T150" s="2010">
        <f t="shared" si="373"/>
        <v>28560</v>
      </c>
      <c r="U150" s="2010">
        <v>55</v>
      </c>
      <c r="V150" s="778">
        <f t="shared" si="375"/>
        <v>13200</v>
      </c>
      <c r="W150" s="2010">
        <v>32186.413350000006</v>
      </c>
      <c r="X150" s="779"/>
      <c r="Y150" s="2012">
        <v>364</v>
      </c>
      <c r="Z150" s="780">
        <f t="shared" si="374"/>
        <v>74310.413350000003</v>
      </c>
      <c r="AA150" s="2007" t="s">
        <v>661</v>
      </c>
      <c r="AB150" s="2007"/>
      <c r="AC150" s="765"/>
      <c r="AD150" s="781">
        <f t="shared" si="351"/>
        <v>0</v>
      </c>
      <c r="AE150" s="781">
        <f t="shared" si="364"/>
        <v>0</v>
      </c>
      <c r="AF150" s="781">
        <f t="shared" si="352"/>
        <v>0</v>
      </c>
      <c r="AG150" s="781">
        <f t="shared" si="353"/>
        <v>0</v>
      </c>
      <c r="AH150" s="781">
        <f t="shared" si="365"/>
        <v>0</v>
      </c>
      <c r="AI150" s="782">
        <f t="shared" si="354"/>
        <v>0</v>
      </c>
      <c r="AJ150" s="781">
        <f t="shared" si="355"/>
        <v>0</v>
      </c>
      <c r="AK150" s="781">
        <f t="shared" si="366"/>
        <v>0</v>
      </c>
      <c r="AL150" s="781">
        <f t="shared" si="356"/>
        <v>0</v>
      </c>
      <c r="AM150" s="781">
        <f t="shared" si="357"/>
        <v>0</v>
      </c>
      <c r="AN150" s="781">
        <f t="shared" si="367"/>
        <v>0</v>
      </c>
      <c r="AO150" s="781">
        <f t="shared" si="358"/>
        <v>0</v>
      </c>
      <c r="AP150" s="781">
        <f t="shared" si="359"/>
        <v>0</v>
      </c>
      <c r="AQ150" s="781">
        <f t="shared" si="368"/>
        <v>0</v>
      </c>
      <c r="AR150" s="781">
        <f t="shared" si="360"/>
        <v>0</v>
      </c>
      <c r="AS150" s="783">
        <f t="shared" si="369"/>
        <v>0</v>
      </c>
      <c r="AT150" s="759"/>
      <c r="BM150" s="2010">
        <v>32186.413350000006</v>
      </c>
    </row>
    <row r="151" spans="1:65" ht="15" x14ac:dyDescent="0.25">
      <c r="A151" s="784"/>
      <c r="B151" s="719">
        <f t="shared" si="371"/>
        <v>83</v>
      </c>
      <c r="C151" s="170" t="str">
        <f t="shared" si="370"/>
        <v>3EA</v>
      </c>
      <c r="D151" s="557"/>
      <c r="E151" s="170"/>
      <c r="F151" s="170">
        <v>3</v>
      </c>
      <c r="G151" s="2007" t="s">
        <v>662</v>
      </c>
      <c r="H151" s="1926"/>
      <c r="I151" s="2008" t="s">
        <v>732</v>
      </c>
      <c r="J151" s="1926"/>
      <c r="K151" s="1926"/>
      <c r="L151" s="170"/>
      <c r="M151" s="2009">
        <v>370</v>
      </c>
      <c r="N151" s="2010">
        <v>1</v>
      </c>
      <c r="O151" s="773">
        <f t="shared" si="372"/>
        <v>370</v>
      </c>
      <c r="P151" s="2008" t="s">
        <v>39</v>
      </c>
      <c r="Q151" s="2008" t="s">
        <v>39</v>
      </c>
      <c r="R151" s="2011" t="s">
        <v>73</v>
      </c>
      <c r="S151" s="778">
        <f>SUMIF('Data Input sheet'!$B$118:$B$180,R151,'Data Input sheet'!$D$118:$D$180)</f>
        <v>119</v>
      </c>
      <c r="T151" s="2010">
        <f t="shared" si="373"/>
        <v>44030</v>
      </c>
      <c r="U151" s="2010">
        <v>55</v>
      </c>
      <c r="V151" s="778">
        <f t="shared" si="375"/>
        <v>20350</v>
      </c>
      <c r="W151" s="2010">
        <v>41015.601900000001</v>
      </c>
      <c r="X151" s="779"/>
      <c r="Y151" s="2012">
        <v>364</v>
      </c>
      <c r="Z151" s="780">
        <f t="shared" si="374"/>
        <v>105759.60190000001</v>
      </c>
      <c r="AA151" s="2007" t="s">
        <v>661</v>
      </c>
      <c r="AB151" s="2007"/>
      <c r="AC151" s="765"/>
      <c r="AD151" s="781">
        <f t="shared" si="351"/>
        <v>0</v>
      </c>
      <c r="AE151" s="781">
        <f t="shared" si="364"/>
        <v>0</v>
      </c>
      <c r="AF151" s="781">
        <f t="shared" si="352"/>
        <v>0</v>
      </c>
      <c r="AG151" s="781">
        <f t="shared" si="353"/>
        <v>0</v>
      </c>
      <c r="AH151" s="781">
        <f t="shared" si="365"/>
        <v>0</v>
      </c>
      <c r="AI151" s="782">
        <f t="shared" si="354"/>
        <v>0</v>
      </c>
      <c r="AJ151" s="781">
        <f t="shared" si="355"/>
        <v>0</v>
      </c>
      <c r="AK151" s="781">
        <f t="shared" si="366"/>
        <v>0</v>
      </c>
      <c r="AL151" s="781">
        <f t="shared" si="356"/>
        <v>0</v>
      </c>
      <c r="AM151" s="781">
        <f t="shared" si="357"/>
        <v>0</v>
      </c>
      <c r="AN151" s="781">
        <f t="shared" si="367"/>
        <v>0</v>
      </c>
      <c r="AO151" s="781">
        <f t="shared" si="358"/>
        <v>0</v>
      </c>
      <c r="AP151" s="781">
        <f t="shared" si="359"/>
        <v>0</v>
      </c>
      <c r="AQ151" s="781">
        <f t="shared" si="368"/>
        <v>0</v>
      </c>
      <c r="AR151" s="781">
        <f t="shared" si="360"/>
        <v>0</v>
      </c>
      <c r="AS151" s="783">
        <f t="shared" si="369"/>
        <v>0</v>
      </c>
      <c r="AT151" s="759"/>
      <c r="BM151" s="2010">
        <v>41015.601900000001</v>
      </c>
    </row>
    <row r="152" spans="1:65" ht="15" x14ac:dyDescent="0.25">
      <c r="A152" s="784"/>
      <c r="B152" s="719">
        <f t="shared" si="371"/>
        <v>84</v>
      </c>
      <c r="C152" s="170" t="str">
        <f t="shared" si="370"/>
        <v>3EA</v>
      </c>
      <c r="D152" s="557"/>
      <c r="E152" s="170"/>
      <c r="F152" s="170">
        <v>3</v>
      </c>
      <c r="G152" s="2007" t="s">
        <v>663</v>
      </c>
      <c r="H152" s="1926"/>
      <c r="I152" s="2008" t="s">
        <v>732</v>
      </c>
      <c r="J152" s="1926"/>
      <c r="K152" s="1926"/>
      <c r="L152" s="170"/>
      <c r="M152" s="2009">
        <v>420</v>
      </c>
      <c r="N152" s="2010">
        <v>1</v>
      </c>
      <c r="O152" s="773">
        <f t="shared" si="372"/>
        <v>420</v>
      </c>
      <c r="P152" s="2008" t="s">
        <v>39</v>
      </c>
      <c r="Q152" s="2008" t="s">
        <v>39</v>
      </c>
      <c r="R152" s="2011" t="s">
        <v>73</v>
      </c>
      <c r="S152" s="778">
        <f>SUMIF('Data Input sheet'!$B$118:$B$180,R152,'Data Input sheet'!$D$118:$D$180)</f>
        <v>119</v>
      </c>
      <c r="T152" s="2010">
        <f t="shared" si="373"/>
        <v>49980</v>
      </c>
      <c r="U152" s="2010">
        <v>55</v>
      </c>
      <c r="V152" s="778">
        <f t="shared" si="375"/>
        <v>23100</v>
      </c>
      <c r="W152" s="2010">
        <v>55521.166837500001</v>
      </c>
      <c r="X152" s="779"/>
      <c r="Y152" s="2012">
        <v>364</v>
      </c>
      <c r="Z152" s="780">
        <f t="shared" si="374"/>
        <v>128965.1668375</v>
      </c>
      <c r="AA152" s="2007" t="s">
        <v>664</v>
      </c>
      <c r="AB152" s="2007"/>
      <c r="AC152" s="765"/>
      <c r="AD152" s="781">
        <f t="shared" si="351"/>
        <v>0</v>
      </c>
      <c r="AE152" s="781">
        <f t="shared" si="364"/>
        <v>0</v>
      </c>
      <c r="AF152" s="781">
        <f t="shared" si="352"/>
        <v>0</v>
      </c>
      <c r="AG152" s="781">
        <f t="shared" si="353"/>
        <v>0</v>
      </c>
      <c r="AH152" s="781">
        <f t="shared" si="365"/>
        <v>0</v>
      </c>
      <c r="AI152" s="782">
        <f t="shared" si="354"/>
        <v>0</v>
      </c>
      <c r="AJ152" s="781">
        <f t="shared" si="355"/>
        <v>0</v>
      </c>
      <c r="AK152" s="781">
        <f t="shared" si="366"/>
        <v>0</v>
      </c>
      <c r="AL152" s="781">
        <f t="shared" si="356"/>
        <v>0</v>
      </c>
      <c r="AM152" s="781">
        <f t="shared" si="357"/>
        <v>0</v>
      </c>
      <c r="AN152" s="781">
        <f t="shared" si="367"/>
        <v>0</v>
      </c>
      <c r="AO152" s="781">
        <f t="shared" si="358"/>
        <v>0</v>
      </c>
      <c r="AP152" s="781">
        <f t="shared" si="359"/>
        <v>0</v>
      </c>
      <c r="AQ152" s="781">
        <f t="shared" si="368"/>
        <v>0</v>
      </c>
      <c r="AR152" s="781">
        <f t="shared" si="360"/>
        <v>0</v>
      </c>
      <c r="AS152" s="783">
        <f t="shared" si="369"/>
        <v>0</v>
      </c>
      <c r="AT152" s="759"/>
      <c r="BM152" s="2010">
        <v>55521.166837500001</v>
      </c>
    </row>
    <row r="153" spans="1:65" ht="15" x14ac:dyDescent="0.25">
      <c r="A153" s="784"/>
      <c r="B153" s="719">
        <f t="shared" si="371"/>
        <v>85</v>
      </c>
      <c r="C153" s="170" t="str">
        <f t="shared" si="370"/>
        <v>3EA</v>
      </c>
      <c r="D153" s="557"/>
      <c r="E153" s="170"/>
      <c r="F153" s="170">
        <v>3</v>
      </c>
      <c r="G153" s="2007" t="s">
        <v>663</v>
      </c>
      <c r="H153" s="1926">
        <v>0</v>
      </c>
      <c r="I153" s="2008" t="s">
        <v>732</v>
      </c>
      <c r="J153" s="1926"/>
      <c r="K153" s="1926"/>
      <c r="L153" s="170"/>
      <c r="M153" s="2009">
        <v>410</v>
      </c>
      <c r="N153" s="2010">
        <v>1</v>
      </c>
      <c r="O153" s="773">
        <f t="shared" si="372"/>
        <v>410</v>
      </c>
      <c r="P153" s="2008" t="s">
        <v>39</v>
      </c>
      <c r="Q153" s="2008" t="s">
        <v>39</v>
      </c>
      <c r="R153" s="2011" t="s">
        <v>73</v>
      </c>
      <c r="S153" s="778">
        <f>SUMIF('Data Input sheet'!$B$118:$B$180,R153,'Data Input sheet'!$D$118:$D$180)</f>
        <v>119</v>
      </c>
      <c r="T153" s="2010">
        <f t="shared" si="373"/>
        <v>48790</v>
      </c>
      <c r="U153" s="2010">
        <v>55</v>
      </c>
      <c r="V153" s="778">
        <f t="shared" si="375"/>
        <v>22550</v>
      </c>
      <c r="W153" s="2010">
        <v>52877.301749999999</v>
      </c>
      <c r="X153" s="779"/>
      <c r="Y153" s="2012">
        <v>364</v>
      </c>
      <c r="Z153" s="780">
        <f t="shared" si="374"/>
        <v>124581.30175</v>
      </c>
      <c r="AA153" s="2007" t="s">
        <v>689</v>
      </c>
      <c r="AB153" s="2007"/>
      <c r="AC153" s="765"/>
      <c r="AD153" s="781">
        <f t="shared" si="351"/>
        <v>0</v>
      </c>
      <c r="AE153" s="781">
        <f t="shared" si="364"/>
        <v>0</v>
      </c>
      <c r="AF153" s="781">
        <f t="shared" si="352"/>
        <v>0</v>
      </c>
      <c r="AG153" s="781">
        <f t="shared" si="353"/>
        <v>0</v>
      </c>
      <c r="AH153" s="781">
        <f t="shared" si="365"/>
        <v>0</v>
      </c>
      <c r="AI153" s="782">
        <f t="shared" si="354"/>
        <v>0</v>
      </c>
      <c r="AJ153" s="781">
        <f t="shared" si="355"/>
        <v>0</v>
      </c>
      <c r="AK153" s="781">
        <f t="shared" si="366"/>
        <v>0</v>
      </c>
      <c r="AL153" s="781">
        <f t="shared" si="356"/>
        <v>0</v>
      </c>
      <c r="AM153" s="781">
        <f t="shared" si="357"/>
        <v>0</v>
      </c>
      <c r="AN153" s="781">
        <f t="shared" si="367"/>
        <v>0</v>
      </c>
      <c r="AO153" s="781">
        <f t="shared" si="358"/>
        <v>0</v>
      </c>
      <c r="AP153" s="781">
        <f t="shared" si="359"/>
        <v>0</v>
      </c>
      <c r="AQ153" s="781">
        <f t="shared" si="368"/>
        <v>0</v>
      </c>
      <c r="AR153" s="781">
        <f t="shared" si="360"/>
        <v>0</v>
      </c>
      <c r="AS153" s="783">
        <f t="shared" si="369"/>
        <v>0</v>
      </c>
      <c r="AT153" s="759"/>
      <c r="BM153" s="2010">
        <v>52877.301749999999</v>
      </c>
    </row>
    <row r="154" spans="1:65" ht="15" x14ac:dyDescent="0.25">
      <c r="A154" s="784"/>
      <c r="B154" s="719">
        <f t="shared" si="371"/>
        <v>86</v>
      </c>
      <c r="C154" s="170" t="str">
        <f t="shared" si="370"/>
        <v>3EA</v>
      </c>
      <c r="D154" s="557"/>
      <c r="E154" s="170"/>
      <c r="F154" s="170">
        <v>3</v>
      </c>
      <c r="G154" s="2007" t="s">
        <v>665</v>
      </c>
      <c r="H154" s="1926"/>
      <c r="I154" s="2008" t="s">
        <v>732</v>
      </c>
      <c r="J154" s="1926"/>
      <c r="K154" s="1926"/>
      <c r="L154" s="170"/>
      <c r="M154" s="2009">
        <v>260</v>
      </c>
      <c r="N154" s="2010">
        <v>1</v>
      </c>
      <c r="O154" s="773">
        <f t="shared" si="372"/>
        <v>260</v>
      </c>
      <c r="P154" s="2008" t="s">
        <v>39</v>
      </c>
      <c r="Q154" s="2008" t="s">
        <v>39</v>
      </c>
      <c r="R154" s="2011" t="s">
        <v>73</v>
      </c>
      <c r="S154" s="778">
        <f>SUMIF('Data Input sheet'!$B$118:$B$180,R154,'Data Input sheet'!$D$118:$D$180)</f>
        <v>119</v>
      </c>
      <c r="T154" s="2010">
        <f t="shared" si="373"/>
        <v>30940</v>
      </c>
      <c r="U154" s="2010">
        <v>55</v>
      </c>
      <c r="V154" s="778">
        <f t="shared" si="375"/>
        <v>14300</v>
      </c>
      <c r="W154" s="2010">
        <v>31163.050749999999</v>
      </c>
      <c r="X154" s="779"/>
      <c r="Y154" s="2012">
        <v>364</v>
      </c>
      <c r="Z154" s="780">
        <f t="shared" si="374"/>
        <v>76767.050749999995</v>
      </c>
      <c r="AA154" s="2007"/>
      <c r="AB154" s="2007"/>
      <c r="AC154" s="765"/>
      <c r="AD154" s="781">
        <f t="shared" si="351"/>
        <v>0</v>
      </c>
      <c r="AE154" s="781">
        <f t="shared" si="364"/>
        <v>0</v>
      </c>
      <c r="AF154" s="781">
        <f t="shared" si="352"/>
        <v>0</v>
      </c>
      <c r="AG154" s="781">
        <f t="shared" si="353"/>
        <v>0</v>
      </c>
      <c r="AH154" s="781">
        <f t="shared" si="365"/>
        <v>0</v>
      </c>
      <c r="AI154" s="782">
        <f t="shared" si="354"/>
        <v>0</v>
      </c>
      <c r="AJ154" s="781">
        <f t="shared" si="355"/>
        <v>0</v>
      </c>
      <c r="AK154" s="781">
        <f t="shared" si="366"/>
        <v>0</v>
      </c>
      <c r="AL154" s="781">
        <f t="shared" si="356"/>
        <v>0</v>
      </c>
      <c r="AM154" s="781">
        <f t="shared" si="357"/>
        <v>0</v>
      </c>
      <c r="AN154" s="781">
        <f t="shared" si="367"/>
        <v>0</v>
      </c>
      <c r="AO154" s="781">
        <f t="shared" si="358"/>
        <v>0</v>
      </c>
      <c r="AP154" s="781">
        <f t="shared" si="359"/>
        <v>0</v>
      </c>
      <c r="AQ154" s="781">
        <f t="shared" si="368"/>
        <v>0</v>
      </c>
      <c r="AR154" s="781">
        <f t="shared" si="360"/>
        <v>0</v>
      </c>
      <c r="AS154" s="783">
        <f t="shared" si="369"/>
        <v>0</v>
      </c>
      <c r="AT154" s="759"/>
      <c r="BM154" s="2010">
        <v>31163.050749999999</v>
      </c>
    </row>
    <row r="155" spans="1:65" ht="15" x14ac:dyDescent="0.25">
      <c r="A155" s="784"/>
      <c r="B155" s="719">
        <f t="shared" si="371"/>
        <v>87</v>
      </c>
      <c r="C155" s="170" t="str">
        <f t="shared" si="370"/>
        <v>3EA</v>
      </c>
      <c r="D155" s="557"/>
      <c r="E155" s="170"/>
      <c r="F155" s="170">
        <v>3</v>
      </c>
      <c r="G155" s="2007" t="s">
        <v>666</v>
      </c>
      <c r="H155" s="1926"/>
      <c r="I155" s="2008" t="s">
        <v>732</v>
      </c>
      <c r="J155" s="1926"/>
      <c r="K155" s="1926"/>
      <c r="L155" s="170"/>
      <c r="M155" s="2009">
        <v>360</v>
      </c>
      <c r="N155" s="2010">
        <v>1</v>
      </c>
      <c r="O155" s="773">
        <f t="shared" si="372"/>
        <v>360</v>
      </c>
      <c r="P155" s="2008" t="s">
        <v>39</v>
      </c>
      <c r="Q155" s="2008" t="s">
        <v>39</v>
      </c>
      <c r="R155" s="2011" t="s">
        <v>73</v>
      </c>
      <c r="S155" s="778">
        <f>SUMIF('Data Input sheet'!$B$118:$B$180,R155,'Data Input sheet'!$D$118:$D$180)</f>
        <v>119</v>
      </c>
      <c r="T155" s="2010">
        <f t="shared" si="373"/>
        <v>42840</v>
      </c>
      <c r="U155" s="2010">
        <v>55</v>
      </c>
      <c r="V155" s="778">
        <f t="shared" si="375"/>
        <v>19800</v>
      </c>
      <c r="W155" s="2010">
        <v>54070.774289999994</v>
      </c>
      <c r="X155" s="779"/>
      <c r="Y155" s="2012">
        <v>364</v>
      </c>
      <c r="Z155" s="780">
        <f t="shared" si="374"/>
        <v>117074.77429</v>
      </c>
      <c r="AA155" s="2007"/>
      <c r="AB155" s="2007"/>
      <c r="AC155" s="765"/>
      <c r="AD155" s="781">
        <f t="shared" si="351"/>
        <v>0</v>
      </c>
      <c r="AE155" s="781">
        <f t="shared" si="364"/>
        <v>0</v>
      </c>
      <c r="AF155" s="781">
        <f t="shared" si="352"/>
        <v>0</v>
      </c>
      <c r="AG155" s="781">
        <f t="shared" si="353"/>
        <v>0</v>
      </c>
      <c r="AH155" s="781">
        <f t="shared" si="365"/>
        <v>0</v>
      </c>
      <c r="AI155" s="782">
        <f t="shared" si="354"/>
        <v>0</v>
      </c>
      <c r="AJ155" s="781">
        <f t="shared" si="355"/>
        <v>0</v>
      </c>
      <c r="AK155" s="781">
        <f t="shared" si="366"/>
        <v>0</v>
      </c>
      <c r="AL155" s="781">
        <f t="shared" si="356"/>
        <v>0</v>
      </c>
      <c r="AM155" s="781">
        <f t="shared" si="357"/>
        <v>0</v>
      </c>
      <c r="AN155" s="781">
        <f t="shared" si="367"/>
        <v>0</v>
      </c>
      <c r="AO155" s="781">
        <f t="shared" si="358"/>
        <v>0</v>
      </c>
      <c r="AP155" s="781">
        <f t="shared" si="359"/>
        <v>0</v>
      </c>
      <c r="AQ155" s="781">
        <f t="shared" si="368"/>
        <v>0</v>
      </c>
      <c r="AR155" s="781">
        <f t="shared" si="360"/>
        <v>0</v>
      </c>
      <c r="AS155" s="783">
        <f t="shared" si="369"/>
        <v>0</v>
      </c>
      <c r="AT155" s="759"/>
      <c r="BM155" s="2010">
        <v>54070.774289999994</v>
      </c>
    </row>
    <row r="156" spans="1:65" ht="15" x14ac:dyDescent="0.25">
      <c r="A156" s="784"/>
      <c r="B156" s="719">
        <f t="shared" si="371"/>
        <v>88</v>
      </c>
      <c r="C156" s="170" t="str">
        <f t="shared" si="370"/>
        <v>3EA</v>
      </c>
      <c r="D156" s="557"/>
      <c r="E156" s="170"/>
      <c r="F156" s="170">
        <v>3</v>
      </c>
      <c r="G156" s="2007" t="s">
        <v>667</v>
      </c>
      <c r="H156" s="1926"/>
      <c r="I156" s="2008" t="s">
        <v>732</v>
      </c>
      <c r="J156" s="1926"/>
      <c r="K156" s="1926"/>
      <c r="L156" s="170"/>
      <c r="M156" s="2009">
        <v>430</v>
      </c>
      <c r="N156" s="2010">
        <v>1</v>
      </c>
      <c r="O156" s="773">
        <f t="shared" si="372"/>
        <v>430</v>
      </c>
      <c r="P156" s="2008" t="s">
        <v>39</v>
      </c>
      <c r="Q156" s="2008" t="s">
        <v>39</v>
      </c>
      <c r="R156" s="2011" t="s">
        <v>73</v>
      </c>
      <c r="S156" s="778">
        <f>SUMIF('Data Input sheet'!$B$118:$B$180,R156,'Data Input sheet'!$D$118:$D$180)</f>
        <v>119</v>
      </c>
      <c r="T156" s="2010">
        <f t="shared" si="373"/>
        <v>51170</v>
      </c>
      <c r="U156" s="2010">
        <v>55</v>
      </c>
      <c r="V156" s="778">
        <f t="shared" si="375"/>
        <v>23650</v>
      </c>
      <c r="W156" s="2010">
        <v>62736.918530000003</v>
      </c>
      <c r="X156" s="779"/>
      <c r="Y156" s="2012">
        <v>364</v>
      </c>
      <c r="Z156" s="780">
        <f t="shared" si="374"/>
        <v>137920.91853</v>
      </c>
      <c r="AA156" s="2007"/>
      <c r="AB156" s="2007"/>
      <c r="AC156" s="765"/>
      <c r="AD156" s="781">
        <f t="shared" si="351"/>
        <v>0</v>
      </c>
      <c r="AE156" s="781">
        <f t="shared" si="364"/>
        <v>0</v>
      </c>
      <c r="AF156" s="781">
        <f t="shared" si="352"/>
        <v>0</v>
      </c>
      <c r="AG156" s="781">
        <f t="shared" si="353"/>
        <v>0</v>
      </c>
      <c r="AH156" s="781">
        <f t="shared" si="365"/>
        <v>0</v>
      </c>
      <c r="AI156" s="782">
        <f t="shared" si="354"/>
        <v>0</v>
      </c>
      <c r="AJ156" s="781">
        <f t="shared" si="355"/>
        <v>0</v>
      </c>
      <c r="AK156" s="781">
        <f t="shared" si="366"/>
        <v>0</v>
      </c>
      <c r="AL156" s="781">
        <f t="shared" si="356"/>
        <v>0</v>
      </c>
      <c r="AM156" s="781">
        <f t="shared" si="357"/>
        <v>0</v>
      </c>
      <c r="AN156" s="781">
        <f t="shared" si="367"/>
        <v>0</v>
      </c>
      <c r="AO156" s="781">
        <f t="shared" si="358"/>
        <v>0</v>
      </c>
      <c r="AP156" s="781">
        <f t="shared" si="359"/>
        <v>0</v>
      </c>
      <c r="AQ156" s="781">
        <f t="shared" si="368"/>
        <v>0</v>
      </c>
      <c r="AR156" s="781">
        <f t="shared" si="360"/>
        <v>0</v>
      </c>
      <c r="AS156" s="783">
        <f t="shared" si="369"/>
        <v>0</v>
      </c>
      <c r="AT156" s="759"/>
      <c r="BM156" s="2010">
        <v>62736.918530000003</v>
      </c>
    </row>
    <row r="157" spans="1:65" ht="15" x14ac:dyDescent="0.25">
      <c r="A157" s="784"/>
      <c r="B157" s="719">
        <f t="shared" si="371"/>
        <v>89</v>
      </c>
      <c r="C157" s="170" t="str">
        <f t="shared" si="370"/>
        <v>3EA</v>
      </c>
      <c r="D157" s="557"/>
      <c r="E157" s="170"/>
      <c r="F157" s="170">
        <v>3</v>
      </c>
      <c r="G157" s="2007" t="s">
        <v>690</v>
      </c>
      <c r="H157" s="1926"/>
      <c r="I157" s="2008" t="s">
        <v>732</v>
      </c>
      <c r="J157" s="1926"/>
      <c r="K157" s="1926"/>
      <c r="L157" s="170"/>
      <c r="M157" s="2009">
        <v>450</v>
      </c>
      <c r="N157" s="2010">
        <v>1</v>
      </c>
      <c r="O157" s="773">
        <f t="shared" si="372"/>
        <v>450</v>
      </c>
      <c r="P157" s="2008" t="s">
        <v>39</v>
      </c>
      <c r="Q157" s="2008" t="s">
        <v>39</v>
      </c>
      <c r="R157" s="2011" t="s">
        <v>73</v>
      </c>
      <c r="S157" s="778">
        <f>SUMIF('Data Input sheet'!$B$118:$B$180,R157,'Data Input sheet'!$D$118:$D$180)</f>
        <v>119</v>
      </c>
      <c r="T157" s="2010">
        <f t="shared" si="373"/>
        <v>53550</v>
      </c>
      <c r="U157" s="2010">
        <v>55</v>
      </c>
      <c r="V157" s="778">
        <f t="shared" si="375"/>
        <v>24750</v>
      </c>
      <c r="W157" s="2010">
        <v>45827.321865000005</v>
      </c>
      <c r="X157" s="779"/>
      <c r="Y157" s="2012">
        <v>364</v>
      </c>
      <c r="Z157" s="780">
        <f t="shared" si="374"/>
        <v>124491.32186500001</v>
      </c>
      <c r="AA157" s="2007" t="s">
        <v>661</v>
      </c>
      <c r="AB157" s="2007"/>
      <c r="AC157" s="765"/>
      <c r="AD157" s="781">
        <f t="shared" si="351"/>
        <v>0</v>
      </c>
      <c r="AE157" s="781">
        <f t="shared" si="364"/>
        <v>0</v>
      </c>
      <c r="AF157" s="781">
        <f t="shared" si="352"/>
        <v>0</v>
      </c>
      <c r="AG157" s="781">
        <f t="shared" si="353"/>
        <v>0</v>
      </c>
      <c r="AH157" s="781">
        <f t="shared" si="365"/>
        <v>0</v>
      </c>
      <c r="AI157" s="782">
        <f t="shared" si="354"/>
        <v>0</v>
      </c>
      <c r="AJ157" s="781">
        <f t="shared" si="355"/>
        <v>0</v>
      </c>
      <c r="AK157" s="781">
        <f t="shared" si="366"/>
        <v>0</v>
      </c>
      <c r="AL157" s="781">
        <f t="shared" si="356"/>
        <v>0</v>
      </c>
      <c r="AM157" s="781">
        <f t="shared" si="357"/>
        <v>0</v>
      </c>
      <c r="AN157" s="781">
        <f t="shared" si="367"/>
        <v>0</v>
      </c>
      <c r="AO157" s="781">
        <f t="shared" si="358"/>
        <v>0</v>
      </c>
      <c r="AP157" s="781">
        <f t="shared" si="359"/>
        <v>0</v>
      </c>
      <c r="AQ157" s="781">
        <f t="shared" si="368"/>
        <v>0</v>
      </c>
      <c r="AR157" s="781">
        <f t="shared" si="360"/>
        <v>0</v>
      </c>
      <c r="AS157" s="783">
        <f t="shared" si="369"/>
        <v>0</v>
      </c>
      <c r="AT157" s="759"/>
      <c r="BM157" s="2010">
        <v>45827.321865000005</v>
      </c>
    </row>
    <row r="158" spans="1:65" ht="15" x14ac:dyDescent="0.25">
      <c r="A158" s="784"/>
      <c r="B158" s="719">
        <f t="shared" si="371"/>
        <v>90</v>
      </c>
      <c r="C158" s="170" t="str">
        <f t="shared" si="370"/>
        <v>3EA</v>
      </c>
      <c r="D158" s="557"/>
      <c r="E158" s="170"/>
      <c r="F158" s="170">
        <v>3</v>
      </c>
      <c r="G158" s="2007" t="s">
        <v>691</v>
      </c>
      <c r="H158" s="1926"/>
      <c r="I158" s="2008" t="s">
        <v>732</v>
      </c>
      <c r="J158" s="1926"/>
      <c r="K158" s="1926"/>
      <c r="L158" s="170"/>
      <c r="M158" s="2009">
        <v>450</v>
      </c>
      <c r="N158" s="2010">
        <v>1</v>
      </c>
      <c r="O158" s="773">
        <f t="shared" si="372"/>
        <v>450</v>
      </c>
      <c r="P158" s="2008" t="s">
        <v>39</v>
      </c>
      <c r="Q158" s="2008" t="s">
        <v>39</v>
      </c>
      <c r="R158" s="2011" t="s">
        <v>73</v>
      </c>
      <c r="S158" s="778">
        <f>SUMIF('Data Input sheet'!$B$118:$B$180,R158,'Data Input sheet'!$D$118:$D$180)</f>
        <v>119</v>
      </c>
      <c r="T158" s="2010">
        <f t="shared" si="373"/>
        <v>53550</v>
      </c>
      <c r="U158" s="2010">
        <v>55</v>
      </c>
      <c r="V158" s="778">
        <f t="shared" si="375"/>
        <v>24750</v>
      </c>
      <c r="W158" s="2010">
        <v>58398.404609999998</v>
      </c>
      <c r="X158" s="779"/>
      <c r="Y158" s="2012">
        <v>364</v>
      </c>
      <c r="Z158" s="780">
        <f t="shared" si="374"/>
        <v>137062.40461</v>
      </c>
      <c r="AA158" s="2007" t="s">
        <v>661</v>
      </c>
      <c r="AB158" s="2007"/>
      <c r="AC158" s="765"/>
      <c r="AD158" s="781">
        <f t="shared" si="351"/>
        <v>0</v>
      </c>
      <c r="AE158" s="781">
        <f t="shared" si="364"/>
        <v>0</v>
      </c>
      <c r="AF158" s="781">
        <f t="shared" si="352"/>
        <v>0</v>
      </c>
      <c r="AG158" s="781">
        <f t="shared" si="353"/>
        <v>0</v>
      </c>
      <c r="AH158" s="781">
        <f t="shared" si="365"/>
        <v>0</v>
      </c>
      <c r="AI158" s="782">
        <f t="shared" si="354"/>
        <v>0</v>
      </c>
      <c r="AJ158" s="781">
        <f t="shared" si="355"/>
        <v>0</v>
      </c>
      <c r="AK158" s="781">
        <f t="shared" si="366"/>
        <v>0</v>
      </c>
      <c r="AL158" s="781">
        <f t="shared" si="356"/>
        <v>0</v>
      </c>
      <c r="AM158" s="781">
        <f t="shared" si="357"/>
        <v>0</v>
      </c>
      <c r="AN158" s="781">
        <f t="shared" si="367"/>
        <v>0</v>
      </c>
      <c r="AO158" s="781">
        <f t="shared" si="358"/>
        <v>0</v>
      </c>
      <c r="AP158" s="781">
        <f t="shared" si="359"/>
        <v>0</v>
      </c>
      <c r="AQ158" s="781">
        <f t="shared" si="368"/>
        <v>0</v>
      </c>
      <c r="AR158" s="781">
        <f t="shared" si="360"/>
        <v>0</v>
      </c>
      <c r="AS158" s="783">
        <f t="shared" si="369"/>
        <v>0</v>
      </c>
      <c r="AT158" s="759"/>
      <c r="BM158" s="2010">
        <v>58398.404609999998</v>
      </c>
    </row>
    <row r="159" spans="1:65" ht="15" x14ac:dyDescent="0.25">
      <c r="A159" s="784"/>
      <c r="B159" s="719">
        <f t="shared" si="371"/>
        <v>91</v>
      </c>
      <c r="C159" s="170" t="str">
        <f t="shared" si="370"/>
        <v>3EA</v>
      </c>
      <c r="D159" s="557"/>
      <c r="E159" s="170"/>
      <c r="F159" s="170">
        <v>3</v>
      </c>
      <c r="G159" s="2007" t="s">
        <v>692</v>
      </c>
      <c r="H159" s="1926"/>
      <c r="I159" s="2008" t="s">
        <v>732</v>
      </c>
      <c r="J159" s="1926"/>
      <c r="K159" s="1926"/>
      <c r="L159" s="170"/>
      <c r="M159" s="2009">
        <v>470</v>
      </c>
      <c r="N159" s="2010">
        <v>1</v>
      </c>
      <c r="O159" s="773">
        <f t="shared" si="372"/>
        <v>470</v>
      </c>
      <c r="P159" s="2008" t="s">
        <v>39</v>
      </c>
      <c r="Q159" s="2008" t="s">
        <v>39</v>
      </c>
      <c r="R159" s="2011" t="s">
        <v>73</v>
      </c>
      <c r="S159" s="778">
        <f>SUMIF('Data Input sheet'!$B$118:$B$180,R159,'Data Input sheet'!$D$118:$D$180)</f>
        <v>119</v>
      </c>
      <c r="T159" s="2010">
        <f t="shared" si="373"/>
        <v>55930</v>
      </c>
      <c r="U159" s="2010">
        <v>55</v>
      </c>
      <c r="V159" s="778">
        <f t="shared" si="375"/>
        <v>25850</v>
      </c>
      <c r="W159" s="2010">
        <v>75287.205824999997</v>
      </c>
      <c r="X159" s="779"/>
      <c r="Y159" s="2012">
        <v>364</v>
      </c>
      <c r="Z159" s="780">
        <f t="shared" si="374"/>
        <v>157431.20582500001</v>
      </c>
      <c r="AA159" s="2007" t="s">
        <v>664</v>
      </c>
      <c r="AB159" s="2007"/>
      <c r="AC159" s="765"/>
      <c r="AD159" s="781">
        <f t="shared" si="351"/>
        <v>0</v>
      </c>
      <c r="AE159" s="781">
        <f t="shared" si="364"/>
        <v>0</v>
      </c>
      <c r="AF159" s="781">
        <f t="shared" si="352"/>
        <v>0</v>
      </c>
      <c r="AG159" s="781">
        <f t="shared" si="353"/>
        <v>0</v>
      </c>
      <c r="AH159" s="781">
        <f t="shared" si="365"/>
        <v>0</v>
      </c>
      <c r="AI159" s="782">
        <f t="shared" si="354"/>
        <v>0</v>
      </c>
      <c r="AJ159" s="781">
        <f t="shared" si="355"/>
        <v>0</v>
      </c>
      <c r="AK159" s="781">
        <f t="shared" si="366"/>
        <v>0</v>
      </c>
      <c r="AL159" s="781">
        <f t="shared" si="356"/>
        <v>0</v>
      </c>
      <c r="AM159" s="781">
        <f t="shared" si="357"/>
        <v>0</v>
      </c>
      <c r="AN159" s="781">
        <f t="shared" si="367"/>
        <v>0</v>
      </c>
      <c r="AO159" s="781">
        <f t="shared" si="358"/>
        <v>0</v>
      </c>
      <c r="AP159" s="781">
        <f t="shared" si="359"/>
        <v>0</v>
      </c>
      <c r="AQ159" s="781">
        <f t="shared" si="368"/>
        <v>0</v>
      </c>
      <c r="AR159" s="781">
        <f t="shared" si="360"/>
        <v>0</v>
      </c>
      <c r="AS159" s="783">
        <f t="shared" si="369"/>
        <v>0</v>
      </c>
      <c r="AT159" s="759"/>
      <c r="BM159" s="2010">
        <v>75287.205824999997</v>
      </c>
    </row>
    <row r="160" spans="1:65" ht="15" x14ac:dyDescent="0.25">
      <c r="A160" s="784"/>
      <c r="B160" s="719">
        <f t="shared" si="371"/>
        <v>92</v>
      </c>
      <c r="C160" s="170" t="str">
        <f t="shared" si="370"/>
        <v>3EA</v>
      </c>
      <c r="D160" s="557"/>
      <c r="E160" s="170"/>
      <c r="F160" s="170">
        <v>3</v>
      </c>
      <c r="G160" s="2007" t="s">
        <v>692</v>
      </c>
      <c r="H160" s="1926"/>
      <c r="I160" s="2008" t="s">
        <v>732</v>
      </c>
      <c r="J160" s="1926"/>
      <c r="K160" s="1926"/>
      <c r="L160" s="170"/>
      <c r="M160" s="2009">
        <v>460</v>
      </c>
      <c r="N160" s="2010">
        <v>1</v>
      </c>
      <c r="O160" s="773">
        <f t="shared" si="372"/>
        <v>460</v>
      </c>
      <c r="P160" s="2008" t="s">
        <v>39</v>
      </c>
      <c r="Q160" s="2008" t="s">
        <v>39</v>
      </c>
      <c r="R160" s="2011" t="s">
        <v>73</v>
      </c>
      <c r="S160" s="778">
        <f>SUMIF('Data Input sheet'!$B$118:$B$180,R160,'Data Input sheet'!$D$118:$D$180)</f>
        <v>119</v>
      </c>
      <c r="T160" s="2010">
        <f t="shared" si="373"/>
        <v>54740</v>
      </c>
      <c r="U160" s="2010">
        <v>55</v>
      </c>
      <c r="V160" s="778">
        <f t="shared" si="375"/>
        <v>25300</v>
      </c>
      <c r="W160" s="2010">
        <v>68740.492274999997</v>
      </c>
      <c r="X160" s="779"/>
      <c r="Y160" s="2012">
        <v>364</v>
      </c>
      <c r="Z160" s="780">
        <f t="shared" si="374"/>
        <v>149144.492275</v>
      </c>
      <c r="AA160" s="2007" t="s">
        <v>689</v>
      </c>
      <c r="AB160" s="2007"/>
      <c r="AC160" s="765"/>
      <c r="AD160" s="781">
        <f t="shared" si="351"/>
        <v>0</v>
      </c>
      <c r="AE160" s="781">
        <f t="shared" si="364"/>
        <v>0</v>
      </c>
      <c r="AF160" s="781">
        <f t="shared" si="352"/>
        <v>0</v>
      </c>
      <c r="AG160" s="781">
        <f t="shared" si="353"/>
        <v>0</v>
      </c>
      <c r="AH160" s="781">
        <f t="shared" si="365"/>
        <v>0</v>
      </c>
      <c r="AI160" s="782">
        <f t="shared" si="354"/>
        <v>0</v>
      </c>
      <c r="AJ160" s="781">
        <f t="shared" si="355"/>
        <v>0</v>
      </c>
      <c r="AK160" s="781">
        <f t="shared" si="366"/>
        <v>0</v>
      </c>
      <c r="AL160" s="781">
        <f t="shared" si="356"/>
        <v>0</v>
      </c>
      <c r="AM160" s="781">
        <f t="shared" si="357"/>
        <v>0</v>
      </c>
      <c r="AN160" s="781">
        <f t="shared" si="367"/>
        <v>0</v>
      </c>
      <c r="AO160" s="781">
        <f t="shared" si="358"/>
        <v>0</v>
      </c>
      <c r="AP160" s="781">
        <f t="shared" si="359"/>
        <v>0</v>
      </c>
      <c r="AQ160" s="781">
        <f t="shared" si="368"/>
        <v>0</v>
      </c>
      <c r="AR160" s="781">
        <f t="shared" si="360"/>
        <v>0</v>
      </c>
      <c r="AS160" s="783">
        <f t="shared" si="369"/>
        <v>0</v>
      </c>
      <c r="AT160" s="759"/>
      <c r="BM160" s="2010">
        <v>68740.492274999997</v>
      </c>
    </row>
    <row r="161" spans="1:65" ht="15" x14ac:dyDescent="0.25">
      <c r="A161" s="784"/>
      <c r="B161" s="719">
        <f t="shared" si="371"/>
        <v>93</v>
      </c>
      <c r="C161" s="170" t="str">
        <f t="shared" si="370"/>
        <v>3EA</v>
      </c>
      <c r="D161" s="557"/>
      <c r="E161" s="170"/>
      <c r="F161" s="170">
        <v>3</v>
      </c>
      <c r="G161" s="2007" t="s">
        <v>693</v>
      </c>
      <c r="H161" s="1926"/>
      <c r="I161" s="2008" t="s">
        <v>732</v>
      </c>
      <c r="J161" s="1926"/>
      <c r="K161" s="1926"/>
      <c r="L161" s="170"/>
      <c r="M161" s="2009">
        <v>400</v>
      </c>
      <c r="N161" s="2010">
        <v>1</v>
      </c>
      <c r="O161" s="773">
        <f t="shared" si="372"/>
        <v>400</v>
      </c>
      <c r="P161" s="2008" t="s">
        <v>39</v>
      </c>
      <c r="Q161" s="2008" t="s">
        <v>39</v>
      </c>
      <c r="R161" s="2011" t="s">
        <v>73</v>
      </c>
      <c r="S161" s="778">
        <f>SUMIF('Data Input sheet'!$B$118:$B$180,R161,'Data Input sheet'!$D$118:$D$180)</f>
        <v>119</v>
      </c>
      <c r="T161" s="2010">
        <f t="shared" si="373"/>
        <v>47600</v>
      </c>
      <c r="U161" s="2010">
        <v>55</v>
      </c>
      <c r="V161" s="778">
        <f t="shared" si="375"/>
        <v>22000</v>
      </c>
      <c r="W161" s="2010">
        <v>29182.79</v>
      </c>
      <c r="X161" s="779"/>
      <c r="Y161" s="2012">
        <v>364</v>
      </c>
      <c r="Z161" s="780">
        <f t="shared" si="374"/>
        <v>99146.790000000008</v>
      </c>
      <c r="AA161" s="2007"/>
      <c r="AB161" s="2007"/>
      <c r="AC161" s="765"/>
      <c r="AD161" s="781">
        <f t="shared" si="351"/>
        <v>0</v>
      </c>
      <c r="AE161" s="781">
        <f t="shared" si="364"/>
        <v>0</v>
      </c>
      <c r="AF161" s="781">
        <f t="shared" si="352"/>
        <v>0</v>
      </c>
      <c r="AG161" s="781">
        <f t="shared" si="353"/>
        <v>0</v>
      </c>
      <c r="AH161" s="781">
        <f t="shared" si="365"/>
        <v>0</v>
      </c>
      <c r="AI161" s="782">
        <f t="shared" si="354"/>
        <v>0</v>
      </c>
      <c r="AJ161" s="781">
        <f t="shared" si="355"/>
        <v>0</v>
      </c>
      <c r="AK161" s="781">
        <f t="shared" si="366"/>
        <v>0</v>
      </c>
      <c r="AL161" s="781">
        <f t="shared" si="356"/>
        <v>0</v>
      </c>
      <c r="AM161" s="781">
        <f t="shared" si="357"/>
        <v>0</v>
      </c>
      <c r="AN161" s="781">
        <f t="shared" si="367"/>
        <v>0</v>
      </c>
      <c r="AO161" s="781">
        <f t="shared" si="358"/>
        <v>0</v>
      </c>
      <c r="AP161" s="781">
        <f t="shared" si="359"/>
        <v>0</v>
      </c>
      <c r="AQ161" s="781">
        <f t="shared" si="368"/>
        <v>0</v>
      </c>
      <c r="AR161" s="781">
        <f t="shared" si="360"/>
        <v>0</v>
      </c>
      <c r="AS161" s="783">
        <f t="shared" si="369"/>
        <v>0</v>
      </c>
      <c r="AT161" s="759"/>
      <c r="BM161" s="2010">
        <v>29182.79</v>
      </c>
    </row>
    <row r="162" spans="1:65" ht="15" x14ac:dyDescent="0.25">
      <c r="A162" s="784"/>
      <c r="B162" s="719">
        <f t="shared" si="371"/>
        <v>94</v>
      </c>
      <c r="C162" s="170" t="str">
        <f t="shared" si="370"/>
        <v>3EA</v>
      </c>
      <c r="D162" s="557"/>
      <c r="E162" s="170"/>
      <c r="F162" s="170">
        <v>3</v>
      </c>
      <c r="G162" s="2007" t="s">
        <v>694</v>
      </c>
      <c r="H162" s="1926"/>
      <c r="I162" s="2008" t="s">
        <v>732</v>
      </c>
      <c r="J162" s="1926"/>
      <c r="K162" s="1926"/>
      <c r="L162" s="170"/>
      <c r="M162" s="2009">
        <v>430</v>
      </c>
      <c r="N162" s="2010">
        <v>1</v>
      </c>
      <c r="O162" s="773">
        <f t="shared" si="372"/>
        <v>430</v>
      </c>
      <c r="P162" s="2008" t="s">
        <v>39</v>
      </c>
      <c r="Q162" s="2008" t="s">
        <v>39</v>
      </c>
      <c r="R162" s="2011" t="s">
        <v>73</v>
      </c>
      <c r="S162" s="778">
        <f>SUMIF('Data Input sheet'!$B$118:$B$180,R162,'Data Input sheet'!$D$118:$D$180)</f>
        <v>119</v>
      </c>
      <c r="T162" s="2010">
        <f t="shared" si="373"/>
        <v>51170</v>
      </c>
      <c r="U162" s="2010">
        <v>55</v>
      </c>
      <c r="V162" s="778">
        <f t="shared" si="375"/>
        <v>23650</v>
      </c>
      <c r="W162" s="2010">
        <v>50634.838800000005</v>
      </c>
      <c r="X162" s="779"/>
      <c r="Y162" s="2012">
        <v>364</v>
      </c>
      <c r="Z162" s="780">
        <f t="shared" si="374"/>
        <v>125818.8388</v>
      </c>
      <c r="AA162" s="2007"/>
      <c r="AB162" s="2007"/>
      <c r="AC162" s="765"/>
      <c r="AD162" s="781">
        <f t="shared" si="351"/>
        <v>0</v>
      </c>
      <c r="AE162" s="781">
        <f t="shared" si="364"/>
        <v>0</v>
      </c>
      <c r="AF162" s="781">
        <f t="shared" si="352"/>
        <v>0</v>
      </c>
      <c r="AG162" s="781">
        <f t="shared" si="353"/>
        <v>0</v>
      </c>
      <c r="AH162" s="781">
        <f t="shared" si="365"/>
        <v>0</v>
      </c>
      <c r="AI162" s="782">
        <f t="shared" si="354"/>
        <v>0</v>
      </c>
      <c r="AJ162" s="781">
        <f t="shared" si="355"/>
        <v>0</v>
      </c>
      <c r="AK162" s="781">
        <f t="shared" si="366"/>
        <v>0</v>
      </c>
      <c r="AL162" s="781">
        <f t="shared" si="356"/>
        <v>0</v>
      </c>
      <c r="AM162" s="781">
        <f t="shared" si="357"/>
        <v>0</v>
      </c>
      <c r="AN162" s="781">
        <f t="shared" si="367"/>
        <v>0</v>
      </c>
      <c r="AO162" s="781">
        <f t="shared" si="358"/>
        <v>0</v>
      </c>
      <c r="AP162" s="781">
        <f t="shared" si="359"/>
        <v>0</v>
      </c>
      <c r="AQ162" s="781">
        <f t="shared" si="368"/>
        <v>0</v>
      </c>
      <c r="AR162" s="781">
        <f t="shared" si="360"/>
        <v>0</v>
      </c>
      <c r="AS162" s="783">
        <f t="shared" si="369"/>
        <v>0</v>
      </c>
      <c r="AT162" s="759"/>
      <c r="BM162" s="2010">
        <v>50634.838800000005</v>
      </c>
    </row>
    <row r="163" spans="1:65" ht="15" x14ac:dyDescent="0.25">
      <c r="A163" s="784"/>
      <c r="B163" s="719">
        <f t="shared" si="371"/>
        <v>95</v>
      </c>
      <c r="C163" s="170" t="str">
        <f t="shared" si="370"/>
        <v>3EA</v>
      </c>
      <c r="D163" s="557"/>
      <c r="E163" s="170"/>
      <c r="F163" s="170">
        <v>3</v>
      </c>
      <c r="G163" s="2007" t="s">
        <v>695</v>
      </c>
      <c r="H163" s="1926"/>
      <c r="I163" s="2008" t="s">
        <v>732</v>
      </c>
      <c r="J163" s="1926"/>
      <c r="K163" s="1926"/>
      <c r="L163" s="170"/>
      <c r="M163" s="2009">
        <v>460</v>
      </c>
      <c r="N163" s="2010">
        <v>1</v>
      </c>
      <c r="O163" s="773">
        <f t="shared" si="372"/>
        <v>460</v>
      </c>
      <c r="P163" s="2008" t="s">
        <v>39</v>
      </c>
      <c r="Q163" s="2008" t="s">
        <v>39</v>
      </c>
      <c r="R163" s="2011" t="s">
        <v>73</v>
      </c>
      <c r="S163" s="778">
        <f>SUMIF('Data Input sheet'!$B$118:$B$180,R163,'Data Input sheet'!$D$118:$D$180)</f>
        <v>119</v>
      </c>
      <c r="T163" s="2010">
        <f t="shared" si="373"/>
        <v>54740</v>
      </c>
      <c r="U163" s="2010">
        <v>55</v>
      </c>
      <c r="V163" s="778">
        <f t="shared" si="375"/>
        <v>25300</v>
      </c>
      <c r="W163" s="2010">
        <v>54687.469200000007</v>
      </c>
      <c r="X163" s="779"/>
      <c r="Y163" s="2012">
        <v>364</v>
      </c>
      <c r="Z163" s="780">
        <f t="shared" si="374"/>
        <v>135091.46919999999</v>
      </c>
      <c r="AA163" s="2007"/>
      <c r="AB163" s="2007"/>
      <c r="AC163" s="765"/>
      <c r="AD163" s="781">
        <f t="shared" si="351"/>
        <v>0</v>
      </c>
      <c r="AE163" s="781">
        <f t="shared" si="364"/>
        <v>0</v>
      </c>
      <c r="AF163" s="781">
        <f t="shared" si="352"/>
        <v>0</v>
      </c>
      <c r="AG163" s="781">
        <f t="shared" si="353"/>
        <v>0</v>
      </c>
      <c r="AH163" s="781">
        <f t="shared" si="365"/>
        <v>0</v>
      </c>
      <c r="AI163" s="782">
        <f t="shared" si="354"/>
        <v>0</v>
      </c>
      <c r="AJ163" s="781">
        <f t="shared" si="355"/>
        <v>0</v>
      </c>
      <c r="AK163" s="781">
        <f t="shared" si="366"/>
        <v>0</v>
      </c>
      <c r="AL163" s="781">
        <f t="shared" si="356"/>
        <v>0</v>
      </c>
      <c r="AM163" s="781">
        <f t="shared" si="357"/>
        <v>0</v>
      </c>
      <c r="AN163" s="781">
        <f t="shared" si="367"/>
        <v>0</v>
      </c>
      <c r="AO163" s="781">
        <f t="shared" si="358"/>
        <v>0</v>
      </c>
      <c r="AP163" s="781">
        <f t="shared" si="359"/>
        <v>0</v>
      </c>
      <c r="AQ163" s="781">
        <f t="shared" si="368"/>
        <v>0</v>
      </c>
      <c r="AR163" s="781">
        <f t="shared" si="360"/>
        <v>0</v>
      </c>
      <c r="AS163" s="783">
        <f t="shared" si="369"/>
        <v>0</v>
      </c>
      <c r="AT163" s="759"/>
      <c r="BM163" s="2010">
        <v>54687.469200000007</v>
      </c>
    </row>
    <row r="164" spans="1:65" ht="15" x14ac:dyDescent="0.25">
      <c r="A164" s="784"/>
      <c r="B164" s="719">
        <f t="shared" si="371"/>
        <v>96</v>
      </c>
      <c r="C164" s="170" t="str">
        <f t="shared" si="370"/>
        <v>3EA</v>
      </c>
      <c r="D164" s="557"/>
      <c r="E164" s="170"/>
      <c r="F164" s="170">
        <v>3</v>
      </c>
      <c r="G164" s="2007" t="s">
        <v>668</v>
      </c>
      <c r="H164" s="1926"/>
      <c r="I164" s="2008" t="s">
        <v>732</v>
      </c>
      <c r="J164" s="1926"/>
      <c r="K164" s="1926"/>
      <c r="L164" s="170"/>
      <c r="M164" s="2009">
        <v>450</v>
      </c>
      <c r="N164" s="2010">
        <v>1</v>
      </c>
      <c r="O164" s="773">
        <f t="shared" si="372"/>
        <v>450</v>
      </c>
      <c r="P164" s="2008" t="s">
        <v>39</v>
      </c>
      <c r="Q164" s="2008" t="s">
        <v>39</v>
      </c>
      <c r="R164" s="2011" t="s">
        <v>73</v>
      </c>
      <c r="S164" s="778">
        <f>SUMIF('Data Input sheet'!$B$118:$B$180,R164,'Data Input sheet'!$D$118:$D$180)</f>
        <v>119</v>
      </c>
      <c r="T164" s="2010">
        <f t="shared" si="373"/>
        <v>53550</v>
      </c>
      <c r="U164" s="2010">
        <v>55</v>
      </c>
      <c r="V164" s="778">
        <f t="shared" si="375"/>
        <v>24750</v>
      </c>
      <c r="W164" s="2010">
        <v>62736.918530000003</v>
      </c>
      <c r="X164" s="779"/>
      <c r="Y164" s="2012">
        <v>364</v>
      </c>
      <c r="Z164" s="780">
        <f t="shared" si="374"/>
        <v>141400.91853</v>
      </c>
      <c r="AA164" s="2007"/>
      <c r="AB164" s="2007"/>
      <c r="AC164" s="765"/>
      <c r="AD164" s="781">
        <f t="shared" ref="AD164:AD208" si="376">IF(P164="E",+ROUND(H164*O164,0),0)</f>
        <v>0</v>
      </c>
      <c r="AE164" s="781">
        <f t="shared" si="364"/>
        <v>0</v>
      </c>
      <c r="AF164" s="781">
        <f t="shared" ref="AF164:AF208" si="377">+H164*O164</f>
        <v>0</v>
      </c>
      <c r="AG164" s="781">
        <f t="shared" ref="AG164:AG208" si="378">IF(P164="E",+ROUND(T164*H164,0),0)</f>
        <v>0</v>
      </c>
      <c r="AH164" s="781">
        <f t="shared" si="365"/>
        <v>0</v>
      </c>
      <c r="AI164" s="782">
        <f t="shared" ref="AI164:AI208" si="379">+H164*T164</f>
        <v>0</v>
      </c>
      <c r="AJ164" s="781">
        <f t="shared" ref="AJ164:AJ208" si="380">IF(P164="E",+ROUND(V164*H164,0),0)</f>
        <v>0</v>
      </c>
      <c r="AK164" s="781">
        <f t="shared" si="366"/>
        <v>0</v>
      </c>
      <c r="AL164" s="781">
        <f t="shared" ref="AL164:AL208" si="381">ROUND(V164*H164,0)</f>
        <v>0</v>
      </c>
      <c r="AM164" s="781">
        <f t="shared" ref="AM164:AM208" si="382">IF(Q164="E",+ROUND(W164*H164,0),0)</f>
        <v>0</v>
      </c>
      <c r="AN164" s="781">
        <f t="shared" si="367"/>
        <v>0</v>
      </c>
      <c r="AO164" s="781">
        <f t="shared" ref="AO164:AO208" si="383">ROUND(W164*H164,0)</f>
        <v>0</v>
      </c>
      <c r="AP164" s="781">
        <f t="shared" ref="AP164:AP208" si="384">IF(P164="E",+ROUND(Y164*H164,0),0)</f>
        <v>0</v>
      </c>
      <c r="AQ164" s="781">
        <f t="shared" si="368"/>
        <v>0</v>
      </c>
      <c r="AR164" s="781">
        <f t="shared" ref="AR164:AR208" si="385">ROUND(Y164*H164,0)</f>
        <v>0</v>
      </c>
      <c r="AS164" s="783">
        <f t="shared" si="369"/>
        <v>0</v>
      </c>
      <c r="AT164" s="759"/>
      <c r="BM164" s="2010">
        <v>62736.918530000003</v>
      </c>
    </row>
    <row r="165" spans="1:65" ht="15" x14ac:dyDescent="0.25">
      <c r="A165" s="784"/>
      <c r="B165" s="719">
        <f t="shared" si="371"/>
        <v>97</v>
      </c>
      <c r="C165" s="170" t="str">
        <f t="shared" si="370"/>
        <v>3EA</v>
      </c>
      <c r="D165" s="557"/>
      <c r="E165" s="170"/>
      <c r="F165" s="170">
        <v>3</v>
      </c>
      <c r="G165" s="2007" t="s">
        <v>696</v>
      </c>
      <c r="H165" s="1926"/>
      <c r="I165" s="2008" t="s">
        <v>732</v>
      </c>
      <c r="J165" s="1926"/>
      <c r="K165" s="1926"/>
      <c r="L165" s="170"/>
      <c r="M165" s="2009">
        <v>470</v>
      </c>
      <c r="N165" s="2010">
        <v>1</v>
      </c>
      <c r="O165" s="773">
        <f t="shared" si="372"/>
        <v>470</v>
      </c>
      <c r="P165" s="2008" t="s">
        <v>39</v>
      </c>
      <c r="Q165" s="2008" t="s">
        <v>39</v>
      </c>
      <c r="R165" s="2011" t="s">
        <v>73</v>
      </c>
      <c r="S165" s="778">
        <f>SUMIF('Data Input sheet'!$B$118:$B$180,R165,'Data Input sheet'!$D$118:$D$180)</f>
        <v>119</v>
      </c>
      <c r="T165" s="2010">
        <f t="shared" si="373"/>
        <v>55930</v>
      </c>
      <c r="U165" s="2010">
        <v>55</v>
      </c>
      <c r="V165" s="778">
        <f t="shared" si="375"/>
        <v>25850</v>
      </c>
      <c r="W165" s="2010">
        <v>52264.604535000013</v>
      </c>
      <c r="X165" s="779"/>
      <c r="Y165" s="2012">
        <v>364</v>
      </c>
      <c r="Z165" s="780">
        <f t="shared" si="374"/>
        <v>134408.60453500002</v>
      </c>
      <c r="AA165" s="2007" t="s">
        <v>661</v>
      </c>
      <c r="AB165" s="2007"/>
      <c r="AC165" s="765"/>
      <c r="AD165" s="781">
        <f t="shared" si="376"/>
        <v>0</v>
      </c>
      <c r="AE165" s="781">
        <f t="shared" si="364"/>
        <v>0</v>
      </c>
      <c r="AF165" s="781">
        <f t="shared" si="377"/>
        <v>0</v>
      </c>
      <c r="AG165" s="781">
        <f t="shared" si="378"/>
        <v>0</v>
      </c>
      <c r="AH165" s="781">
        <f t="shared" si="365"/>
        <v>0</v>
      </c>
      <c r="AI165" s="782">
        <f t="shared" si="379"/>
        <v>0</v>
      </c>
      <c r="AJ165" s="781">
        <f t="shared" si="380"/>
        <v>0</v>
      </c>
      <c r="AK165" s="781">
        <f t="shared" si="366"/>
        <v>0</v>
      </c>
      <c r="AL165" s="781">
        <f t="shared" si="381"/>
        <v>0</v>
      </c>
      <c r="AM165" s="781">
        <f t="shared" si="382"/>
        <v>0</v>
      </c>
      <c r="AN165" s="781">
        <f t="shared" si="367"/>
        <v>0</v>
      </c>
      <c r="AO165" s="781">
        <f t="shared" si="383"/>
        <v>0</v>
      </c>
      <c r="AP165" s="781">
        <f t="shared" si="384"/>
        <v>0</v>
      </c>
      <c r="AQ165" s="781">
        <f t="shared" si="368"/>
        <v>0</v>
      </c>
      <c r="AR165" s="781">
        <f t="shared" si="385"/>
        <v>0</v>
      </c>
      <c r="AS165" s="783">
        <f t="shared" si="369"/>
        <v>0</v>
      </c>
      <c r="AT165" s="759"/>
      <c r="BM165" s="2010">
        <v>52264.604535000013</v>
      </c>
    </row>
    <row r="166" spans="1:65" ht="15" x14ac:dyDescent="0.25">
      <c r="A166" s="784"/>
      <c r="B166" s="719">
        <f t="shared" si="371"/>
        <v>98</v>
      </c>
      <c r="C166" s="170" t="str">
        <f t="shared" si="370"/>
        <v>3EA</v>
      </c>
      <c r="D166" s="557"/>
      <c r="E166" s="170"/>
      <c r="F166" s="170">
        <v>3</v>
      </c>
      <c r="G166" s="2007" t="s">
        <v>697</v>
      </c>
      <c r="H166" s="1926"/>
      <c r="I166" s="2008" t="s">
        <v>732</v>
      </c>
      <c r="J166" s="1926"/>
      <c r="K166" s="1926"/>
      <c r="L166" s="170"/>
      <c r="M166" s="2009">
        <v>470</v>
      </c>
      <c r="N166" s="2010">
        <v>1</v>
      </c>
      <c r="O166" s="773">
        <f t="shared" si="372"/>
        <v>470</v>
      </c>
      <c r="P166" s="2008" t="s">
        <v>39</v>
      </c>
      <c r="Q166" s="2008" t="s">
        <v>39</v>
      </c>
      <c r="R166" s="2011" t="s">
        <v>73</v>
      </c>
      <c r="S166" s="778">
        <f>SUMIF('Data Input sheet'!$B$118:$B$180,R166,'Data Input sheet'!$D$118:$D$180)</f>
        <v>119</v>
      </c>
      <c r="T166" s="2010">
        <f t="shared" si="373"/>
        <v>55930</v>
      </c>
      <c r="U166" s="2010">
        <v>55</v>
      </c>
      <c r="V166" s="778">
        <f t="shared" si="375"/>
        <v>25850</v>
      </c>
      <c r="W166" s="2010">
        <v>60104.295215250007</v>
      </c>
      <c r="X166" s="779"/>
      <c r="Y166" s="2012">
        <v>364</v>
      </c>
      <c r="Z166" s="780">
        <f t="shared" si="374"/>
        <v>142248.29521524999</v>
      </c>
      <c r="AA166" s="2007" t="s">
        <v>661</v>
      </c>
      <c r="AB166" s="2007"/>
      <c r="AC166" s="765"/>
      <c r="AD166" s="781">
        <f t="shared" si="376"/>
        <v>0</v>
      </c>
      <c r="AE166" s="781">
        <f t="shared" si="364"/>
        <v>0</v>
      </c>
      <c r="AF166" s="781">
        <f t="shared" si="377"/>
        <v>0</v>
      </c>
      <c r="AG166" s="781">
        <f t="shared" si="378"/>
        <v>0</v>
      </c>
      <c r="AH166" s="781">
        <f t="shared" si="365"/>
        <v>0</v>
      </c>
      <c r="AI166" s="782">
        <f t="shared" si="379"/>
        <v>0</v>
      </c>
      <c r="AJ166" s="781">
        <f t="shared" si="380"/>
        <v>0</v>
      </c>
      <c r="AK166" s="781">
        <f t="shared" si="366"/>
        <v>0</v>
      </c>
      <c r="AL166" s="781">
        <f t="shared" si="381"/>
        <v>0</v>
      </c>
      <c r="AM166" s="781">
        <f t="shared" si="382"/>
        <v>0</v>
      </c>
      <c r="AN166" s="781">
        <f t="shared" si="367"/>
        <v>0</v>
      </c>
      <c r="AO166" s="781">
        <f t="shared" si="383"/>
        <v>0</v>
      </c>
      <c r="AP166" s="781">
        <f t="shared" si="384"/>
        <v>0</v>
      </c>
      <c r="AQ166" s="781">
        <f t="shared" si="368"/>
        <v>0</v>
      </c>
      <c r="AR166" s="781">
        <f t="shared" si="385"/>
        <v>0</v>
      </c>
      <c r="AS166" s="783">
        <f t="shared" si="369"/>
        <v>0</v>
      </c>
      <c r="AT166" s="759"/>
      <c r="BM166" s="2010">
        <v>60104.295215250007</v>
      </c>
    </row>
    <row r="167" spans="1:65" ht="15" x14ac:dyDescent="0.25">
      <c r="A167" s="784"/>
      <c r="B167" s="719">
        <f t="shared" si="371"/>
        <v>99</v>
      </c>
      <c r="C167" s="170" t="str">
        <f t="shared" si="370"/>
        <v>3EA</v>
      </c>
      <c r="D167" s="557"/>
      <c r="E167" s="170"/>
      <c r="F167" s="170">
        <v>3</v>
      </c>
      <c r="G167" s="2007" t="s">
        <v>698</v>
      </c>
      <c r="H167" s="1926"/>
      <c r="I167" s="2008" t="s">
        <v>732</v>
      </c>
      <c r="J167" s="1926"/>
      <c r="K167" s="1926"/>
      <c r="L167" s="170"/>
      <c r="M167" s="2009">
        <v>450</v>
      </c>
      <c r="N167" s="2010">
        <v>1</v>
      </c>
      <c r="O167" s="773">
        <f t="shared" si="372"/>
        <v>450</v>
      </c>
      <c r="P167" s="2008" t="s">
        <v>39</v>
      </c>
      <c r="Q167" s="2008" t="s">
        <v>39</v>
      </c>
      <c r="R167" s="2011" t="s">
        <v>73</v>
      </c>
      <c r="S167" s="778">
        <f>SUMIF('Data Input sheet'!$B$118:$B$180,R167,'Data Input sheet'!$D$118:$D$180)</f>
        <v>119</v>
      </c>
      <c r="T167" s="2010">
        <f t="shared" si="373"/>
        <v>53550</v>
      </c>
      <c r="U167" s="2010">
        <v>55</v>
      </c>
      <c r="V167" s="778">
        <f t="shared" si="375"/>
        <v>24750</v>
      </c>
      <c r="W167" s="2010">
        <v>86021.967138249995</v>
      </c>
      <c r="X167" s="779"/>
      <c r="Y167" s="2012">
        <v>364</v>
      </c>
      <c r="Z167" s="780">
        <f t="shared" si="374"/>
        <v>164685.96713825001</v>
      </c>
      <c r="AA167" s="2007" t="s">
        <v>664</v>
      </c>
      <c r="AB167" s="2007"/>
      <c r="AC167" s="765"/>
      <c r="AD167" s="781">
        <f t="shared" si="376"/>
        <v>0</v>
      </c>
      <c r="AE167" s="781">
        <f t="shared" si="364"/>
        <v>0</v>
      </c>
      <c r="AF167" s="781">
        <f t="shared" si="377"/>
        <v>0</v>
      </c>
      <c r="AG167" s="781">
        <f t="shared" si="378"/>
        <v>0</v>
      </c>
      <c r="AH167" s="781">
        <f t="shared" si="365"/>
        <v>0</v>
      </c>
      <c r="AI167" s="782">
        <f t="shared" si="379"/>
        <v>0</v>
      </c>
      <c r="AJ167" s="781">
        <f t="shared" si="380"/>
        <v>0</v>
      </c>
      <c r="AK167" s="781">
        <f t="shared" si="366"/>
        <v>0</v>
      </c>
      <c r="AL167" s="781">
        <f t="shared" si="381"/>
        <v>0</v>
      </c>
      <c r="AM167" s="781">
        <f t="shared" si="382"/>
        <v>0</v>
      </c>
      <c r="AN167" s="781">
        <f t="shared" si="367"/>
        <v>0</v>
      </c>
      <c r="AO167" s="781">
        <f t="shared" si="383"/>
        <v>0</v>
      </c>
      <c r="AP167" s="781">
        <f t="shared" si="384"/>
        <v>0</v>
      </c>
      <c r="AQ167" s="781">
        <f t="shared" si="368"/>
        <v>0</v>
      </c>
      <c r="AR167" s="781">
        <f t="shared" si="385"/>
        <v>0</v>
      </c>
      <c r="AS167" s="783">
        <f t="shared" si="369"/>
        <v>0</v>
      </c>
      <c r="AT167" s="759"/>
      <c r="BM167" s="2010">
        <v>86021.967138249995</v>
      </c>
    </row>
    <row r="168" spans="1:65" ht="15" x14ac:dyDescent="0.25">
      <c r="A168" s="784"/>
      <c r="B168" s="719">
        <f t="shared" si="371"/>
        <v>100</v>
      </c>
      <c r="C168" s="170" t="str">
        <f t="shared" si="370"/>
        <v>3EA</v>
      </c>
      <c r="D168" s="557"/>
      <c r="E168" s="170"/>
      <c r="F168" s="170">
        <v>3</v>
      </c>
      <c r="G168" s="2007" t="s">
        <v>698</v>
      </c>
      <c r="H168" s="1926"/>
      <c r="I168" s="2008" t="s">
        <v>732</v>
      </c>
      <c r="J168" s="1926"/>
      <c r="K168" s="1926"/>
      <c r="L168" s="170"/>
      <c r="M168" s="2009">
        <v>450</v>
      </c>
      <c r="N168" s="2010">
        <v>1</v>
      </c>
      <c r="O168" s="773">
        <f t="shared" si="372"/>
        <v>450</v>
      </c>
      <c r="P168" s="2008" t="s">
        <v>39</v>
      </c>
      <c r="Q168" s="2008" t="s">
        <v>39</v>
      </c>
      <c r="R168" s="2011" t="s">
        <v>73</v>
      </c>
      <c r="S168" s="778">
        <f>SUMIF('Data Input sheet'!$B$118:$B$180,R168,'Data Input sheet'!$D$118:$D$180)</f>
        <v>119</v>
      </c>
      <c r="T168" s="2010">
        <f t="shared" si="373"/>
        <v>53550</v>
      </c>
      <c r="U168" s="2010">
        <v>55</v>
      </c>
      <c r="V168" s="778">
        <f t="shared" si="375"/>
        <v>24750</v>
      </c>
      <c r="W168" s="2010">
        <v>82281.881610500015</v>
      </c>
      <c r="X168" s="779"/>
      <c r="Y168" s="2012">
        <v>364</v>
      </c>
      <c r="Z168" s="780">
        <f t="shared" si="374"/>
        <v>160945.88161050002</v>
      </c>
      <c r="AA168" s="2007" t="s">
        <v>689</v>
      </c>
      <c r="AB168" s="2007"/>
      <c r="AC168" s="765"/>
      <c r="AD168" s="781">
        <f t="shared" si="376"/>
        <v>0</v>
      </c>
      <c r="AE168" s="781">
        <f t="shared" si="364"/>
        <v>0</v>
      </c>
      <c r="AF168" s="781">
        <f t="shared" si="377"/>
        <v>0</v>
      </c>
      <c r="AG168" s="781">
        <f t="shared" si="378"/>
        <v>0</v>
      </c>
      <c r="AH168" s="781">
        <f t="shared" si="365"/>
        <v>0</v>
      </c>
      <c r="AI168" s="782">
        <f t="shared" si="379"/>
        <v>0</v>
      </c>
      <c r="AJ168" s="781">
        <f t="shared" si="380"/>
        <v>0</v>
      </c>
      <c r="AK168" s="781">
        <f t="shared" si="366"/>
        <v>0</v>
      </c>
      <c r="AL168" s="781">
        <f t="shared" si="381"/>
        <v>0</v>
      </c>
      <c r="AM168" s="781">
        <f t="shared" si="382"/>
        <v>0</v>
      </c>
      <c r="AN168" s="781">
        <f t="shared" si="367"/>
        <v>0</v>
      </c>
      <c r="AO168" s="781">
        <f t="shared" si="383"/>
        <v>0</v>
      </c>
      <c r="AP168" s="781">
        <f t="shared" si="384"/>
        <v>0</v>
      </c>
      <c r="AQ168" s="781">
        <f t="shared" si="368"/>
        <v>0</v>
      </c>
      <c r="AR168" s="781">
        <f t="shared" si="385"/>
        <v>0</v>
      </c>
      <c r="AS168" s="783">
        <f t="shared" si="369"/>
        <v>0</v>
      </c>
      <c r="AT168" s="759"/>
      <c r="BM168" s="2010">
        <v>82281.881610500015</v>
      </c>
    </row>
    <row r="169" spans="1:65" ht="15" x14ac:dyDescent="0.25">
      <c r="A169" s="784"/>
      <c r="B169" s="719">
        <f t="shared" si="371"/>
        <v>101</v>
      </c>
      <c r="C169" s="170" t="str">
        <f t="shared" si="370"/>
        <v>3</v>
      </c>
      <c r="D169" s="557"/>
      <c r="E169" s="170"/>
      <c r="F169" s="557">
        <v>3</v>
      </c>
      <c r="G169" s="785"/>
      <c r="H169" s="770"/>
      <c r="I169" s="768"/>
      <c r="J169" s="770"/>
      <c r="K169" s="770"/>
      <c r="L169" s="170"/>
      <c r="M169" s="771">
        <v>0</v>
      </c>
      <c r="N169" s="772">
        <v>1</v>
      </c>
      <c r="O169" s="773">
        <f t="shared" si="372"/>
        <v>0</v>
      </c>
      <c r="P169" s="768" t="s">
        <v>39</v>
      </c>
      <c r="Q169" s="768" t="s">
        <v>39</v>
      </c>
      <c r="R169" s="774" t="s">
        <v>73</v>
      </c>
      <c r="S169" s="778">
        <f>SUMIF('Data Input sheet'!$B$118:$B$180,R169,'Data Input sheet'!$D$118:$D$180)</f>
        <v>119</v>
      </c>
      <c r="T169" s="772">
        <f t="shared" si="373"/>
        <v>0</v>
      </c>
      <c r="U169" s="772">
        <v>0</v>
      </c>
      <c r="V169" s="778">
        <f t="shared" si="375"/>
        <v>0</v>
      </c>
      <c r="W169" s="772"/>
      <c r="X169" s="779"/>
      <c r="Y169" s="776">
        <v>0</v>
      </c>
      <c r="Z169" s="780">
        <f t="shared" si="374"/>
        <v>0</v>
      </c>
      <c r="AA169" s="769"/>
      <c r="AB169" s="769"/>
      <c r="AC169" s="170"/>
      <c r="AD169" s="781">
        <f t="shared" si="376"/>
        <v>0</v>
      </c>
      <c r="AE169" s="781">
        <f t="shared" si="364"/>
        <v>0</v>
      </c>
      <c r="AF169" s="781">
        <f t="shared" si="377"/>
        <v>0</v>
      </c>
      <c r="AG169" s="781">
        <f t="shared" si="378"/>
        <v>0</v>
      </c>
      <c r="AH169" s="781">
        <f t="shared" si="365"/>
        <v>0</v>
      </c>
      <c r="AI169" s="782">
        <f t="shared" si="379"/>
        <v>0</v>
      </c>
      <c r="AJ169" s="781">
        <f t="shared" si="380"/>
        <v>0</v>
      </c>
      <c r="AK169" s="781">
        <f t="shared" si="366"/>
        <v>0</v>
      </c>
      <c r="AL169" s="781">
        <f t="shared" si="381"/>
        <v>0</v>
      </c>
      <c r="AM169" s="781">
        <f t="shared" si="382"/>
        <v>0</v>
      </c>
      <c r="AN169" s="781">
        <f t="shared" si="367"/>
        <v>0</v>
      </c>
      <c r="AO169" s="781">
        <f t="shared" si="383"/>
        <v>0</v>
      </c>
      <c r="AP169" s="781">
        <f t="shared" si="384"/>
        <v>0</v>
      </c>
      <c r="AQ169" s="781">
        <f t="shared" si="368"/>
        <v>0</v>
      </c>
      <c r="AR169" s="781">
        <f t="shared" si="385"/>
        <v>0</v>
      </c>
      <c r="AS169" s="783">
        <f t="shared" si="369"/>
        <v>0</v>
      </c>
      <c r="AT169" s="759"/>
      <c r="AU169" s="170"/>
      <c r="AV169" s="170"/>
      <c r="AW169" s="832"/>
      <c r="AX169" s="833"/>
      <c r="BM169" s="772"/>
    </row>
    <row r="170" spans="1:65" ht="15" x14ac:dyDescent="0.25">
      <c r="A170" s="784"/>
      <c r="B170" s="719">
        <f t="shared" si="371"/>
        <v>102</v>
      </c>
      <c r="C170" s="170" t="str">
        <f t="shared" si="370"/>
        <v/>
      </c>
      <c r="D170" s="557"/>
      <c r="E170" s="170"/>
      <c r="F170" s="557"/>
      <c r="G170" s="792" t="s">
        <v>699</v>
      </c>
      <c r="H170" s="784">
        <v>1</v>
      </c>
      <c r="I170" s="784"/>
      <c r="J170" s="784"/>
      <c r="K170" s="784"/>
      <c r="L170" s="170"/>
      <c r="M170" s="773"/>
      <c r="N170" s="773"/>
      <c r="O170" s="773"/>
      <c r="P170" s="788"/>
      <c r="Q170" s="788"/>
      <c r="R170" s="773"/>
      <c r="S170" s="778"/>
      <c r="T170" s="778"/>
      <c r="U170" s="778">
        <v>0</v>
      </c>
      <c r="V170" s="778">
        <f t="shared" si="375"/>
        <v>0</v>
      </c>
      <c r="W170" s="778"/>
      <c r="X170" s="779"/>
      <c r="Y170" s="779"/>
      <c r="Z170" s="780"/>
      <c r="AA170" s="787"/>
      <c r="AB170" s="787"/>
      <c r="AC170" s="170"/>
      <c r="AD170" s="781">
        <f t="shared" si="376"/>
        <v>0</v>
      </c>
      <c r="AE170" s="781">
        <f t="shared" si="364"/>
        <v>0</v>
      </c>
      <c r="AF170" s="781">
        <f t="shared" si="377"/>
        <v>0</v>
      </c>
      <c r="AG170" s="781">
        <f t="shared" si="378"/>
        <v>0</v>
      </c>
      <c r="AH170" s="781">
        <f t="shared" si="365"/>
        <v>0</v>
      </c>
      <c r="AI170" s="782">
        <f t="shared" si="379"/>
        <v>0</v>
      </c>
      <c r="AJ170" s="781">
        <f t="shared" si="380"/>
        <v>0</v>
      </c>
      <c r="AK170" s="781">
        <f t="shared" si="366"/>
        <v>0</v>
      </c>
      <c r="AL170" s="781">
        <f t="shared" si="381"/>
        <v>0</v>
      </c>
      <c r="AM170" s="781">
        <f t="shared" si="382"/>
        <v>0</v>
      </c>
      <c r="AN170" s="781">
        <f t="shared" si="367"/>
        <v>0</v>
      </c>
      <c r="AO170" s="781">
        <f t="shared" si="383"/>
        <v>0</v>
      </c>
      <c r="AP170" s="781">
        <f t="shared" si="384"/>
        <v>0</v>
      </c>
      <c r="AQ170" s="781">
        <f t="shared" si="368"/>
        <v>0</v>
      </c>
      <c r="AR170" s="781">
        <f t="shared" si="385"/>
        <v>0</v>
      </c>
      <c r="AS170" s="783">
        <f t="shared" si="369"/>
        <v>0</v>
      </c>
      <c r="AT170" s="759"/>
      <c r="AU170" s="170"/>
      <c r="AV170" s="170"/>
      <c r="AW170" s="836"/>
      <c r="AX170" s="787"/>
      <c r="BM170" s="778"/>
    </row>
    <row r="171" spans="1:65" ht="15" x14ac:dyDescent="0.25">
      <c r="A171" s="784"/>
      <c r="B171" s="719">
        <f t="shared" si="371"/>
        <v>103</v>
      </c>
      <c r="C171" s="170" t="str">
        <f t="shared" si="370"/>
        <v/>
      </c>
      <c r="D171" s="557"/>
      <c r="E171" s="170"/>
      <c r="F171" s="557"/>
      <c r="G171" s="721"/>
      <c r="H171" s="784"/>
      <c r="I171" s="784"/>
      <c r="J171" s="784"/>
      <c r="K171" s="784"/>
      <c r="L171" s="170"/>
      <c r="M171" s="773"/>
      <c r="N171" s="773"/>
      <c r="O171" s="773"/>
      <c r="P171" s="788"/>
      <c r="Q171" s="788"/>
      <c r="R171" s="773"/>
      <c r="S171" s="778"/>
      <c r="T171" s="778"/>
      <c r="U171" s="778">
        <v>0</v>
      </c>
      <c r="V171" s="778">
        <f t="shared" si="375"/>
        <v>0</v>
      </c>
      <c r="W171" s="778"/>
      <c r="X171" s="779"/>
      <c r="Y171" s="779"/>
      <c r="Z171" s="780"/>
      <c r="AA171" s="787"/>
      <c r="AB171" s="787"/>
      <c r="AC171" s="170"/>
      <c r="AD171" s="781">
        <f t="shared" si="376"/>
        <v>0</v>
      </c>
      <c r="AE171" s="781">
        <f t="shared" si="364"/>
        <v>0</v>
      </c>
      <c r="AF171" s="781">
        <f t="shared" si="377"/>
        <v>0</v>
      </c>
      <c r="AG171" s="781">
        <f t="shared" si="378"/>
        <v>0</v>
      </c>
      <c r="AH171" s="781">
        <f t="shared" si="365"/>
        <v>0</v>
      </c>
      <c r="AI171" s="782">
        <f t="shared" si="379"/>
        <v>0</v>
      </c>
      <c r="AJ171" s="781">
        <f t="shared" si="380"/>
        <v>0</v>
      </c>
      <c r="AK171" s="781">
        <f t="shared" si="366"/>
        <v>0</v>
      </c>
      <c r="AL171" s="781">
        <f t="shared" si="381"/>
        <v>0</v>
      </c>
      <c r="AM171" s="781">
        <f t="shared" si="382"/>
        <v>0</v>
      </c>
      <c r="AN171" s="781">
        <f t="shared" si="367"/>
        <v>0</v>
      </c>
      <c r="AO171" s="781">
        <f t="shared" si="383"/>
        <v>0</v>
      </c>
      <c r="AP171" s="781">
        <f t="shared" si="384"/>
        <v>0</v>
      </c>
      <c r="AQ171" s="781">
        <f t="shared" si="368"/>
        <v>0</v>
      </c>
      <c r="AR171" s="781">
        <f t="shared" si="385"/>
        <v>0</v>
      </c>
      <c r="AS171" s="783">
        <f t="shared" si="369"/>
        <v>0</v>
      </c>
      <c r="AT171" s="759"/>
      <c r="AU171" s="170"/>
      <c r="AV171" s="170"/>
      <c r="AW171" s="836"/>
      <c r="AX171" s="787"/>
      <c r="BM171" s="778"/>
    </row>
    <row r="172" spans="1:65" s="361" customFormat="1" ht="51" x14ac:dyDescent="0.25">
      <c r="A172" s="866"/>
      <c r="B172" s="2053">
        <f t="shared" si="371"/>
        <v>104</v>
      </c>
      <c r="C172" s="170" t="str">
        <f t="shared" si="370"/>
        <v>12CY</v>
      </c>
      <c r="D172" s="2054"/>
      <c r="F172" s="361">
        <v>12</v>
      </c>
      <c r="G172" s="2068" t="s">
        <v>700</v>
      </c>
      <c r="H172" s="2056"/>
      <c r="I172" s="2051" t="s">
        <v>671</v>
      </c>
      <c r="J172" s="2056"/>
      <c r="K172" s="2056"/>
      <c r="M172" s="2057">
        <v>35</v>
      </c>
      <c r="N172" s="2058">
        <v>1</v>
      </c>
      <c r="O172" s="2059">
        <f>+M172*N172</f>
        <v>35</v>
      </c>
      <c r="P172" s="2051" t="s">
        <v>39</v>
      </c>
      <c r="Q172" s="2051" t="s">
        <v>39</v>
      </c>
      <c r="R172" s="2052" t="s">
        <v>73</v>
      </c>
      <c r="S172" s="2061">
        <f>SUMIF('Data Input sheet'!$B$118:$B$180,R172,'Data Input sheet'!$D$118:$D$180)</f>
        <v>119</v>
      </c>
      <c r="T172" s="2058">
        <f t="shared" ref="T172:T191" si="386">+O172*S172</f>
        <v>4165</v>
      </c>
      <c r="U172" s="2058">
        <v>70</v>
      </c>
      <c r="V172" s="2061">
        <f t="shared" si="375"/>
        <v>2450</v>
      </c>
      <c r="W172" s="2058"/>
      <c r="X172" s="2062"/>
      <c r="Y172" s="2060">
        <v>0</v>
      </c>
      <c r="Z172" s="2063">
        <f t="shared" ref="Z172:Z191" si="387">T172+V172+W172+Y172</f>
        <v>6615</v>
      </c>
      <c r="AA172" s="2068" t="s">
        <v>1884</v>
      </c>
      <c r="AB172" s="2055"/>
      <c r="AC172" s="2064"/>
      <c r="AD172" s="2065">
        <f t="shared" si="376"/>
        <v>0</v>
      </c>
      <c r="AE172" s="2065">
        <f t="shared" si="364"/>
        <v>0</v>
      </c>
      <c r="AF172" s="2065">
        <f t="shared" si="377"/>
        <v>0</v>
      </c>
      <c r="AG172" s="2065">
        <f t="shared" si="378"/>
        <v>0</v>
      </c>
      <c r="AH172" s="2065">
        <f t="shared" si="365"/>
        <v>0</v>
      </c>
      <c r="AI172" s="2066">
        <f t="shared" si="379"/>
        <v>0</v>
      </c>
      <c r="AJ172" s="2065">
        <f t="shared" si="380"/>
        <v>0</v>
      </c>
      <c r="AK172" s="2065">
        <f t="shared" si="366"/>
        <v>0</v>
      </c>
      <c r="AL172" s="2065">
        <f t="shared" si="381"/>
        <v>0</v>
      </c>
      <c r="AM172" s="2065">
        <f t="shared" si="382"/>
        <v>0</v>
      </c>
      <c r="AN172" s="2065">
        <f t="shared" si="367"/>
        <v>0</v>
      </c>
      <c r="AO172" s="2065">
        <f t="shared" si="383"/>
        <v>0</v>
      </c>
      <c r="AP172" s="2065">
        <f t="shared" si="384"/>
        <v>0</v>
      </c>
      <c r="AQ172" s="2065">
        <f t="shared" si="368"/>
        <v>0</v>
      </c>
      <c r="AR172" s="2065">
        <f t="shared" si="385"/>
        <v>0</v>
      </c>
      <c r="AS172" s="2067">
        <f t="shared" si="369"/>
        <v>0</v>
      </c>
      <c r="AT172" s="759"/>
      <c r="BB172" s="2157"/>
      <c r="BL172" s="2157"/>
      <c r="BM172" s="2058"/>
    </row>
    <row r="173" spans="1:65" ht="15" x14ac:dyDescent="0.25">
      <c r="A173" s="784"/>
      <c r="B173" s="719">
        <f t="shared" si="371"/>
        <v>105</v>
      </c>
      <c r="C173" s="170" t="str">
        <f t="shared" si="370"/>
        <v>12LF</v>
      </c>
      <c r="D173" s="557"/>
      <c r="E173" s="170"/>
      <c r="F173" s="170">
        <v>12</v>
      </c>
      <c r="G173" s="2007" t="s">
        <v>3537</v>
      </c>
      <c r="H173" s="1926">
        <f>+'Structure replacements'!$L$88-H177</f>
        <v>0</v>
      </c>
      <c r="I173" s="2008" t="s">
        <v>728</v>
      </c>
      <c r="J173" s="1926"/>
      <c r="K173" s="1926"/>
      <c r="L173" s="170"/>
      <c r="M173" s="2009">
        <v>0</v>
      </c>
      <c r="N173" s="2010">
        <v>1</v>
      </c>
      <c r="O173" s="773">
        <f>+M173*N173</f>
        <v>0</v>
      </c>
      <c r="P173" s="2008" t="s">
        <v>39</v>
      </c>
      <c r="Q173" s="2051" t="s">
        <v>39</v>
      </c>
      <c r="R173" s="2011" t="s">
        <v>73</v>
      </c>
      <c r="S173" s="778">
        <f>SUMIF('Data Input sheet'!$B$118:$B$180,R173,'Data Input sheet'!$D$118:$D$180)</f>
        <v>119</v>
      </c>
      <c r="T173" s="2010">
        <f t="shared" si="386"/>
        <v>0</v>
      </c>
      <c r="U173" s="2010">
        <v>0</v>
      </c>
      <c r="V173" s="778">
        <f t="shared" si="375"/>
        <v>0</v>
      </c>
      <c r="W173" s="2010">
        <v>0</v>
      </c>
      <c r="X173" s="779"/>
      <c r="Y173" s="2012">
        <v>1825</v>
      </c>
      <c r="Z173" s="780">
        <f t="shared" si="387"/>
        <v>1825</v>
      </c>
      <c r="AA173" s="2007"/>
      <c r="AB173" s="2007"/>
      <c r="AC173" s="765"/>
      <c r="AD173" s="781">
        <f t="shared" si="376"/>
        <v>0</v>
      </c>
      <c r="AE173" s="781">
        <f t="shared" si="364"/>
        <v>0</v>
      </c>
      <c r="AF173" s="781">
        <f t="shared" si="377"/>
        <v>0</v>
      </c>
      <c r="AG173" s="781">
        <f t="shared" si="378"/>
        <v>0</v>
      </c>
      <c r="AH173" s="781">
        <f t="shared" si="365"/>
        <v>0</v>
      </c>
      <c r="AI173" s="782">
        <f t="shared" si="379"/>
        <v>0</v>
      </c>
      <c r="AJ173" s="781">
        <f t="shared" si="380"/>
        <v>0</v>
      </c>
      <c r="AK173" s="781">
        <f t="shared" si="366"/>
        <v>0</v>
      </c>
      <c r="AL173" s="781">
        <f t="shared" si="381"/>
        <v>0</v>
      </c>
      <c r="AM173" s="781">
        <f t="shared" si="382"/>
        <v>0</v>
      </c>
      <c r="AN173" s="781">
        <f t="shared" si="367"/>
        <v>0</v>
      </c>
      <c r="AO173" s="781">
        <f t="shared" si="383"/>
        <v>0</v>
      </c>
      <c r="AP173" s="781">
        <f t="shared" si="384"/>
        <v>0</v>
      </c>
      <c r="AQ173" s="781">
        <f t="shared" si="368"/>
        <v>0</v>
      </c>
      <c r="AR173" s="781">
        <f t="shared" si="385"/>
        <v>0</v>
      </c>
      <c r="AS173" s="783">
        <f t="shared" si="369"/>
        <v>0</v>
      </c>
      <c r="AT173" s="759"/>
      <c r="AX173" t="s">
        <v>3544</v>
      </c>
      <c r="BM173" s="2010">
        <v>0</v>
      </c>
    </row>
    <row r="174" spans="1:65" ht="15" x14ac:dyDescent="0.25">
      <c r="A174" s="784"/>
      <c r="B174" s="719">
        <f t="shared" si="371"/>
        <v>106</v>
      </c>
      <c r="C174" s="170" t="str">
        <f t="shared" ref="C174" si="388">+F174&amp;I174</f>
        <v>12LF</v>
      </c>
      <c r="D174" s="557"/>
      <c r="E174" s="170"/>
      <c r="F174" s="170">
        <v>12</v>
      </c>
      <c r="G174" s="2007" t="s">
        <v>3538</v>
      </c>
      <c r="H174" s="1926">
        <f>+'Structure replacements'!$L$88-H178</f>
        <v>0</v>
      </c>
      <c r="I174" s="2008" t="s">
        <v>728</v>
      </c>
      <c r="J174" s="1926"/>
      <c r="K174" s="1926"/>
      <c r="L174" s="170"/>
      <c r="M174" s="2009">
        <v>0</v>
      </c>
      <c r="N174" s="2010">
        <v>1</v>
      </c>
      <c r="O174" s="773">
        <f>+M174*N174</f>
        <v>0</v>
      </c>
      <c r="P174" s="2008" t="s">
        <v>39</v>
      </c>
      <c r="Q174" s="2051" t="s">
        <v>39</v>
      </c>
      <c r="R174" s="2011" t="s">
        <v>73</v>
      </c>
      <c r="S174" s="778">
        <f>SUMIF('Data Input sheet'!$B$118:$B$180,R174,'Data Input sheet'!$D$118:$D$180)</f>
        <v>119</v>
      </c>
      <c r="T174" s="2010">
        <f t="shared" ref="T174" si="389">+O174*S174</f>
        <v>0</v>
      </c>
      <c r="U174" s="2010">
        <v>0</v>
      </c>
      <c r="V174" s="778">
        <f t="shared" ref="V174" si="390">ROUND(U174*O174,0)</f>
        <v>0</v>
      </c>
      <c r="W174" s="2010">
        <v>0</v>
      </c>
      <c r="X174" s="779"/>
      <c r="Y174" s="2012">
        <v>2300</v>
      </c>
      <c r="Z174" s="780">
        <f t="shared" ref="Z174" si="391">T174+V174+W174+Y174</f>
        <v>2300</v>
      </c>
      <c r="AA174" s="2007"/>
      <c r="AB174" s="2007"/>
      <c r="AC174" s="765"/>
      <c r="AD174" s="781">
        <f t="shared" ref="AD174" si="392">IF(P174="E",+ROUND(H174*O174,0),0)</f>
        <v>0</v>
      </c>
      <c r="AE174" s="781">
        <f t="shared" ref="AE174" si="393">+AF174-AD174</f>
        <v>0</v>
      </c>
      <c r="AF174" s="781">
        <f t="shared" ref="AF174" si="394">+H174*O174</f>
        <v>0</v>
      </c>
      <c r="AG174" s="781">
        <f t="shared" ref="AG174" si="395">IF(P174="E",+ROUND(T174*H174,0),0)</f>
        <v>0</v>
      </c>
      <c r="AH174" s="781">
        <f t="shared" ref="AH174" si="396">+AI174-AG174</f>
        <v>0</v>
      </c>
      <c r="AI174" s="782">
        <f t="shared" ref="AI174" si="397">+H174*T174</f>
        <v>0</v>
      </c>
      <c r="AJ174" s="781">
        <f t="shared" ref="AJ174" si="398">IF(P174="E",+ROUND(V174*H174,0),0)</f>
        <v>0</v>
      </c>
      <c r="AK174" s="781">
        <f t="shared" ref="AK174" si="399">+AL174-AJ174</f>
        <v>0</v>
      </c>
      <c r="AL174" s="781">
        <f t="shared" ref="AL174" si="400">ROUND(V174*H174,0)</f>
        <v>0</v>
      </c>
      <c r="AM174" s="781">
        <f t="shared" ref="AM174" si="401">IF(Q174="E",+ROUND(W174*H174,0),0)</f>
        <v>0</v>
      </c>
      <c r="AN174" s="781">
        <f t="shared" ref="AN174" si="402">+AO174-AM174</f>
        <v>0</v>
      </c>
      <c r="AO174" s="781">
        <f t="shared" ref="AO174" si="403">ROUND(W174*H174,0)</f>
        <v>0</v>
      </c>
      <c r="AP174" s="781">
        <f t="shared" ref="AP174" si="404">IF(P174="E",+ROUND(Y174*H174,0),0)</f>
        <v>0</v>
      </c>
      <c r="AQ174" s="781">
        <f t="shared" ref="AQ174" si="405">+AR174-AP174</f>
        <v>0</v>
      </c>
      <c r="AR174" s="781">
        <f t="shared" ref="AR174" si="406">ROUND(Y174*H174,0)</f>
        <v>0</v>
      </c>
      <c r="AS174" s="783">
        <f t="shared" ref="AS174" si="407">+AR174+AO174+AL174+AI174</f>
        <v>0</v>
      </c>
      <c r="AT174" s="759"/>
      <c r="AX174" t="s">
        <v>3544</v>
      </c>
      <c r="BM174" s="2010">
        <v>0</v>
      </c>
    </row>
    <row r="175" spans="1:65" ht="15" x14ac:dyDescent="0.25">
      <c r="A175" s="784"/>
      <c r="B175" s="719">
        <f t="shared" si="371"/>
        <v>107</v>
      </c>
      <c r="C175" s="170" t="str">
        <f t="shared" ref="C175:C176" si="408">+F175&amp;I175</f>
        <v>12LF</v>
      </c>
      <c r="D175" s="557"/>
      <c r="E175" s="170"/>
      <c r="F175" s="170">
        <v>12</v>
      </c>
      <c r="G175" s="2007" t="s">
        <v>3539</v>
      </c>
      <c r="H175" s="1926">
        <f>+'Structure replacements'!$L$88-H182</f>
        <v>0</v>
      </c>
      <c r="I175" s="2008" t="s">
        <v>728</v>
      </c>
      <c r="J175" s="1926"/>
      <c r="K175" s="1926"/>
      <c r="L175" s="170"/>
      <c r="M175" s="2009">
        <v>0</v>
      </c>
      <c r="N175" s="2010">
        <v>1</v>
      </c>
      <c r="O175" s="773">
        <f>+M175*N175</f>
        <v>0</v>
      </c>
      <c r="P175" s="2008" t="s">
        <v>39</v>
      </c>
      <c r="Q175" s="2051" t="s">
        <v>39</v>
      </c>
      <c r="R175" s="2011" t="s">
        <v>73</v>
      </c>
      <c r="S175" s="778">
        <f>SUMIF('Data Input sheet'!$B$118:$B$180,R175,'Data Input sheet'!$D$118:$D$180)</f>
        <v>119</v>
      </c>
      <c r="T175" s="2010">
        <f t="shared" ref="T175:T176" si="409">+O175*S175</f>
        <v>0</v>
      </c>
      <c r="U175" s="2010">
        <v>0</v>
      </c>
      <c r="V175" s="778">
        <f t="shared" ref="V175:V176" si="410">ROUND(U175*O175,0)</f>
        <v>0</v>
      </c>
      <c r="W175" s="2010">
        <v>0</v>
      </c>
      <c r="X175" s="779"/>
      <c r="Y175" s="2012">
        <v>3300</v>
      </c>
      <c r="Z175" s="780">
        <f t="shared" ref="Z175:Z176" si="411">T175+V175+W175+Y175</f>
        <v>3300</v>
      </c>
      <c r="AA175" s="2007"/>
      <c r="AB175" s="2007"/>
      <c r="AC175" s="765"/>
      <c r="AD175" s="781">
        <f t="shared" ref="AD175:AD176" si="412">IF(P175="E",+ROUND(H175*O175,0),0)</f>
        <v>0</v>
      </c>
      <c r="AE175" s="781">
        <f t="shared" ref="AE175:AE176" si="413">+AF175-AD175</f>
        <v>0</v>
      </c>
      <c r="AF175" s="781">
        <f t="shared" ref="AF175:AF176" si="414">+H175*O175</f>
        <v>0</v>
      </c>
      <c r="AG175" s="781">
        <f t="shared" ref="AG175:AG176" si="415">IF(P175="E",+ROUND(T175*H175,0),0)</f>
        <v>0</v>
      </c>
      <c r="AH175" s="781">
        <f t="shared" ref="AH175:AH176" si="416">+AI175-AG175</f>
        <v>0</v>
      </c>
      <c r="AI175" s="782">
        <f t="shared" ref="AI175:AI176" si="417">+H175*T175</f>
        <v>0</v>
      </c>
      <c r="AJ175" s="781">
        <f t="shared" ref="AJ175:AJ176" si="418">IF(P175="E",+ROUND(V175*H175,0),0)</f>
        <v>0</v>
      </c>
      <c r="AK175" s="781">
        <f t="shared" ref="AK175:AK176" si="419">+AL175-AJ175</f>
        <v>0</v>
      </c>
      <c r="AL175" s="781">
        <f t="shared" ref="AL175:AL176" si="420">ROUND(V175*H175,0)</f>
        <v>0</v>
      </c>
      <c r="AM175" s="781">
        <f t="shared" ref="AM175:AM176" si="421">IF(Q175="E",+ROUND(W175*H175,0),0)</f>
        <v>0</v>
      </c>
      <c r="AN175" s="781">
        <f t="shared" ref="AN175:AN176" si="422">+AO175-AM175</f>
        <v>0</v>
      </c>
      <c r="AO175" s="781">
        <f t="shared" ref="AO175:AO176" si="423">ROUND(W175*H175,0)</f>
        <v>0</v>
      </c>
      <c r="AP175" s="781">
        <f t="shared" ref="AP175:AP176" si="424">IF(P175="E",+ROUND(Y175*H175,0),0)</f>
        <v>0</v>
      </c>
      <c r="AQ175" s="781">
        <f t="shared" ref="AQ175:AQ176" si="425">+AR175-AP175</f>
        <v>0</v>
      </c>
      <c r="AR175" s="781">
        <f t="shared" ref="AR175:AR176" si="426">ROUND(Y175*H175,0)</f>
        <v>0</v>
      </c>
      <c r="AS175" s="783">
        <f t="shared" ref="AS175:AS176" si="427">+AR175+AO175+AL175+AI175</f>
        <v>0</v>
      </c>
      <c r="AT175" s="759"/>
      <c r="AX175" t="s">
        <v>3544</v>
      </c>
      <c r="BM175" s="2010">
        <v>0</v>
      </c>
    </row>
    <row r="176" spans="1:65" ht="15" x14ac:dyDescent="0.25">
      <c r="A176" s="784"/>
      <c r="B176" s="719">
        <f t="shared" si="371"/>
        <v>108</v>
      </c>
      <c r="C176" s="170" t="str">
        <f t="shared" si="408"/>
        <v>12LF</v>
      </c>
      <c r="D176" s="557"/>
      <c r="E176" s="170"/>
      <c r="F176" s="170">
        <v>12</v>
      </c>
      <c r="G176" s="2007" t="s">
        <v>3540</v>
      </c>
      <c r="H176" s="1926">
        <f>+'Structure replacements'!$L$88-H183</f>
        <v>0</v>
      </c>
      <c r="I176" s="2008" t="s">
        <v>728</v>
      </c>
      <c r="J176" s="1926"/>
      <c r="K176" s="1926"/>
      <c r="L176" s="170"/>
      <c r="M176" s="2009">
        <v>0</v>
      </c>
      <c r="N176" s="2010">
        <v>1</v>
      </c>
      <c r="O176" s="773">
        <f>+M176*N176</f>
        <v>0</v>
      </c>
      <c r="P176" s="2008" t="s">
        <v>39</v>
      </c>
      <c r="Q176" s="2051" t="s">
        <v>39</v>
      </c>
      <c r="R176" s="2011" t="s">
        <v>73</v>
      </c>
      <c r="S176" s="778">
        <f>SUMIF('Data Input sheet'!$B$118:$B$180,R176,'Data Input sheet'!$D$118:$D$180)</f>
        <v>119</v>
      </c>
      <c r="T176" s="2010">
        <f t="shared" si="409"/>
        <v>0</v>
      </c>
      <c r="U176" s="2010">
        <v>0</v>
      </c>
      <c r="V176" s="778">
        <f t="shared" si="410"/>
        <v>0</v>
      </c>
      <c r="W176" s="2010">
        <v>0</v>
      </c>
      <c r="X176" s="779"/>
      <c r="Y176" s="2012">
        <v>5000</v>
      </c>
      <c r="Z176" s="780">
        <f t="shared" si="411"/>
        <v>5000</v>
      </c>
      <c r="AA176" s="2007"/>
      <c r="AB176" s="2007"/>
      <c r="AC176" s="765"/>
      <c r="AD176" s="781">
        <f t="shared" si="412"/>
        <v>0</v>
      </c>
      <c r="AE176" s="781">
        <f t="shared" si="413"/>
        <v>0</v>
      </c>
      <c r="AF176" s="781">
        <f t="shared" si="414"/>
        <v>0</v>
      </c>
      <c r="AG176" s="781">
        <f t="shared" si="415"/>
        <v>0</v>
      </c>
      <c r="AH176" s="781">
        <f t="shared" si="416"/>
        <v>0</v>
      </c>
      <c r="AI176" s="782">
        <f t="shared" si="417"/>
        <v>0</v>
      </c>
      <c r="AJ176" s="781">
        <f t="shared" si="418"/>
        <v>0</v>
      </c>
      <c r="AK176" s="781">
        <f t="shared" si="419"/>
        <v>0</v>
      </c>
      <c r="AL176" s="781">
        <f t="shared" si="420"/>
        <v>0</v>
      </c>
      <c r="AM176" s="781">
        <f t="shared" si="421"/>
        <v>0</v>
      </c>
      <c r="AN176" s="781">
        <f t="shared" si="422"/>
        <v>0</v>
      </c>
      <c r="AO176" s="781">
        <f t="shared" si="423"/>
        <v>0</v>
      </c>
      <c r="AP176" s="781">
        <f t="shared" si="424"/>
        <v>0</v>
      </c>
      <c r="AQ176" s="781">
        <f t="shared" si="425"/>
        <v>0</v>
      </c>
      <c r="AR176" s="781">
        <f t="shared" si="426"/>
        <v>0</v>
      </c>
      <c r="AS176" s="783">
        <f t="shared" si="427"/>
        <v>0</v>
      </c>
      <c r="AT176" s="759"/>
      <c r="AX176" t="s">
        <v>3544</v>
      </c>
      <c r="BM176" s="2010">
        <v>0</v>
      </c>
    </row>
    <row r="177" spans="1:65" ht="15" x14ac:dyDescent="0.25">
      <c r="A177" s="784"/>
      <c r="B177" s="719">
        <f>+B173+1</f>
        <v>106</v>
      </c>
      <c r="C177" s="170" t="str">
        <f t="shared" si="370"/>
        <v>12LF</v>
      </c>
      <c r="D177" s="557"/>
      <c r="E177" s="170"/>
      <c r="F177" s="170">
        <v>12</v>
      </c>
      <c r="G177" s="2007" t="s">
        <v>3535</v>
      </c>
      <c r="H177" s="1926">
        <f>IF(H182+H186+H187+H188=0,0,+'Structure replacements'!$L$88*(H182/(+H182+H186+H187+H188)))</f>
        <v>0</v>
      </c>
      <c r="I177" s="2008" t="s">
        <v>728</v>
      </c>
      <c r="J177" s="1926"/>
      <c r="K177" s="1926"/>
      <c r="L177" s="170"/>
      <c r="M177" s="2009">
        <v>0</v>
      </c>
      <c r="N177" s="2010">
        <v>1</v>
      </c>
      <c r="O177" s="773">
        <v>0</v>
      </c>
      <c r="P177" s="2008" t="s">
        <v>39</v>
      </c>
      <c r="Q177" s="2051" t="s">
        <v>39</v>
      </c>
      <c r="R177" s="2011" t="s">
        <v>73</v>
      </c>
      <c r="S177" s="778">
        <f>SUMIF('Data Input sheet'!$B$118:$B$180,R177,'Data Input sheet'!$D$118:$D$180)</f>
        <v>119</v>
      </c>
      <c r="T177" s="2010">
        <f t="shared" si="386"/>
        <v>0</v>
      </c>
      <c r="U177" s="2010">
        <v>0</v>
      </c>
      <c r="V177" s="778">
        <f t="shared" si="375"/>
        <v>0</v>
      </c>
      <c r="W177" s="2010">
        <v>0</v>
      </c>
      <c r="X177" s="779"/>
      <c r="Y177" s="2012">
        <v>5800</v>
      </c>
      <c r="Z177" s="780">
        <f t="shared" si="387"/>
        <v>5800</v>
      </c>
      <c r="AA177" s="2007"/>
      <c r="AB177" s="2007"/>
      <c r="AC177" s="765"/>
      <c r="AD177" s="781">
        <f t="shared" si="376"/>
        <v>0</v>
      </c>
      <c r="AE177" s="781">
        <f t="shared" si="364"/>
        <v>0</v>
      </c>
      <c r="AF177" s="781">
        <f t="shared" si="377"/>
        <v>0</v>
      </c>
      <c r="AG177" s="781">
        <f t="shared" si="378"/>
        <v>0</v>
      </c>
      <c r="AH177" s="781">
        <f t="shared" si="365"/>
        <v>0</v>
      </c>
      <c r="AI177" s="782">
        <f t="shared" si="379"/>
        <v>0</v>
      </c>
      <c r="AJ177" s="781">
        <f t="shared" si="380"/>
        <v>0</v>
      </c>
      <c r="AK177" s="781">
        <f t="shared" si="366"/>
        <v>0</v>
      </c>
      <c r="AL177" s="781">
        <f t="shared" si="381"/>
        <v>0</v>
      </c>
      <c r="AM177" s="781">
        <f t="shared" si="382"/>
        <v>0</v>
      </c>
      <c r="AN177" s="781">
        <f t="shared" si="367"/>
        <v>0</v>
      </c>
      <c r="AO177" s="781">
        <f t="shared" si="383"/>
        <v>0</v>
      </c>
      <c r="AP177" s="781">
        <f t="shared" si="384"/>
        <v>0</v>
      </c>
      <c r="AQ177" s="781">
        <f t="shared" si="368"/>
        <v>0</v>
      </c>
      <c r="AR177" s="781">
        <f t="shared" si="385"/>
        <v>0</v>
      </c>
      <c r="AS177" s="783">
        <f t="shared" si="369"/>
        <v>0</v>
      </c>
      <c r="AT177" s="759"/>
      <c r="AX177" t="s">
        <v>3544</v>
      </c>
      <c r="BM177" s="2010">
        <v>0</v>
      </c>
    </row>
    <row r="178" spans="1:65" ht="15" x14ac:dyDescent="0.25">
      <c r="A178" s="784"/>
      <c r="B178" s="719">
        <f t="shared" si="371"/>
        <v>107</v>
      </c>
      <c r="C178" s="170" t="str">
        <f t="shared" ref="C178" si="428">+F178&amp;I178</f>
        <v>12LF</v>
      </c>
      <c r="D178" s="557"/>
      <c r="E178" s="170"/>
      <c r="F178" s="170">
        <v>12</v>
      </c>
      <c r="G178" s="2007" t="s">
        <v>3536</v>
      </c>
      <c r="H178" s="1926">
        <f>IF(H183+H187+H188+H189=0,0,+'Structure replacements'!$L$88*(H183/(+H183+H187+H188+H189)))</f>
        <v>0</v>
      </c>
      <c r="I178" s="2008" t="s">
        <v>728</v>
      </c>
      <c r="J178" s="1926"/>
      <c r="K178" s="1926"/>
      <c r="L178" s="170"/>
      <c r="M178" s="2009">
        <v>0</v>
      </c>
      <c r="N178" s="2010">
        <v>1</v>
      </c>
      <c r="O178" s="773">
        <v>0</v>
      </c>
      <c r="P178" s="2008" t="s">
        <v>39</v>
      </c>
      <c r="Q178" s="2051" t="s">
        <v>39</v>
      </c>
      <c r="R178" s="2011" t="s">
        <v>73</v>
      </c>
      <c r="S178" s="778">
        <f>SUMIF('Data Input sheet'!$B$118:$B$180,R178,'Data Input sheet'!$D$118:$D$180)</f>
        <v>119</v>
      </c>
      <c r="T178" s="2010">
        <f t="shared" ref="T178" si="429">+O178*S178</f>
        <v>0</v>
      </c>
      <c r="U178" s="2010">
        <v>0</v>
      </c>
      <c r="V178" s="778">
        <f t="shared" ref="V178" si="430">ROUND(U178*O178,0)</f>
        <v>0</v>
      </c>
      <c r="W178" s="2010">
        <v>0</v>
      </c>
      <c r="X178" s="779"/>
      <c r="Y178" s="2012">
        <v>8000</v>
      </c>
      <c r="Z178" s="780">
        <f t="shared" ref="Z178" si="431">T178+V178+W178+Y178</f>
        <v>8000</v>
      </c>
      <c r="AA178" s="2007"/>
      <c r="AB178" s="2007"/>
      <c r="AC178" s="765"/>
      <c r="AD178" s="781">
        <f t="shared" ref="AD178" si="432">IF(P178="E",+ROUND(H178*O178,0),0)</f>
        <v>0</v>
      </c>
      <c r="AE178" s="781">
        <f t="shared" ref="AE178" si="433">+AF178-AD178</f>
        <v>0</v>
      </c>
      <c r="AF178" s="781">
        <f t="shared" ref="AF178" si="434">+H178*O178</f>
        <v>0</v>
      </c>
      <c r="AG178" s="781">
        <f t="shared" ref="AG178" si="435">IF(P178="E",+ROUND(T178*H178,0),0)</f>
        <v>0</v>
      </c>
      <c r="AH178" s="781">
        <f t="shared" ref="AH178" si="436">+AI178-AG178</f>
        <v>0</v>
      </c>
      <c r="AI178" s="782">
        <f t="shared" ref="AI178" si="437">+H178*T178</f>
        <v>0</v>
      </c>
      <c r="AJ178" s="781">
        <f t="shared" ref="AJ178" si="438">IF(P178="E",+ROUND(V178*H178,0),0)</f>
        <v>0</v>
      </c>
      <c r="AK178" s="781">
        <f t="shared" ref="AK178" si="439">+AL178-AJ178</f>
        <v>0</v>
      </c>
      <c r="AL178" s="781">
        <f t="shared" ref="AL178" si="440">ROUND(V178*H178,0)</f>
        <v>0</v>
      </c>
      <c r="AM178" s="781">
        <f t="shared" ref="AM178" si="441">IF(Q178="E",+ROUND(W178*H178,0),0)</f>
        <v>0</v>
      </c>
      <c r="AN178" s="781">
        <f t="shared" ref="AN178" si="442">+AO178-AM178</f>
        <v>0</v>
      </c>
      <c r="AO178" s="781">
        <f t="shared" ref="AO178" si="443">ROUND(W178*H178,0)</f>
        <v>0</v>
      </c>
      <c r="AP178" s="781">
        <f t="shared" ref="AP178" si="444">IF(P178="E",+ROUND(Y178*H178,0),0)</f>
        <v>0</v>
      </c>
      <c r="AQ178" s="781">
        <f t="shared" ref="AQ178" si="445">+AR178-AP178</f>
        <v>0</v>
      </c>
      <c r="AR178" s="781">
        <f t="shared" ref="AR178" si="446">ROUND(Y178*H178,0)</f>
        <v>0</v>
      </c>
      <c r="AS178" s="783">
        <f t="shared" ref="AS178" si="447">+AR178+AO178+AL178+AI178</f>
        <v>0</v>
      </c>
      <c r="AT178" s="759"/>
      <c r="AX178" t="s">
        <v>3544</v>
      </c>
      <c r="BM178" s="2010">
        <v>0</v>
      </c>
    </row>
    <row r="179" spans="1:65" ht="15" x14ac:dyDescent="0.25">
      <c r="A179" s="784"/>
      <c r="B179" s="719">
        <f t="shared" si="371"/>
        <v>108</v>
      </c>
      <c r="C179" s="170" t="str">
        <f t="shared" ref="C179:C181" si="448">+F179&amp;I179</f>
        <v>12LF</v>
      </c>
      <c r="D179" s="557"/>
      <c r="E179" s="170"/>
      <c r="F179" s="170">
        <v>12</v>
      </c>
      <c r="G179" s="2007" t="s">
        <v>3541</v>
      </c>
      <c r="H179" s="1926">
        <f>IF(H184+H188+H189+H190=0,0,+'Structure replacements'!$L$88*(H184/(+H184+H188+H189+H190)))</f>
        <v>0</v>
      </c>
      <c r="I179" s="2008" t="s">
        <v>728</v>
      </c>
      <c r="J179" s="1926"/>
      <c r="K179" s="1926"/>
      <c r="L179" s="170"/>
      <c r="M179" s="2009">
        <v>0</v>
      </c>
      <c r="N179" s="2010">
        <v>1</v>
      </c>
      <c r="O179" s="773">
        <v>0</v>
      </c>
      <c r="P179" s="2008" t="s">
        <v>39</v>
      </c>
      <c r="Q179" s="2051" t="s">
        <v>39</v>
      </c>
      <c r="R179" s="2011" t="s">
        <v>73</v>
      </c>
      <c r="S179" s="778">
        <f>SUMIF('Data Input sheet'!$B$118:$B$180,R179,'Data Input sheet'!$D$118:$D$180)</f>
        <v>119</v>
      </c>
      <c r="T179" s="2010">
        <f t="shared" ref="T179:T181" si="449">+O179*S179</f>
        <v>0</v>
      </c>
      <c r="U179" s="2010">
        <v>0</v>
      </c>
      <c r="V179" s="778">
        <f t="shared" ref="V179:V181" si="450">ROUND(U179*O179,0)</f>
        <v>0</v>
      </c>
      <c r="W179" s="2010">
        <v>0</v>
      </c>
      <c r="X179" s="779"/>
      <c r="Y179" s="2012">
        <v>9100</v>
      </c>
      <c r="Z179" s="780">
        <f t="shared" ref="Z179:Z181" si="451">T179+V179+W179+Y179</f>
        <v>9100</v>
      </c>
      <c r="AA179" s="2007"/>
      <c r="AB179" s="2007"/>
      <c r="AC179" s="765"/>
      <c r="AD179" s="781">
        <f t="shared" ref="AD179:AD181" si="452">IF(P179="E",+ROUND(H179*O179,0),0)</f>
        <v>0</v>
      </c>
      <c r="AE179" s="781">
        <f t="shared" ref="AE179:AE181" si="453">+AF179-AD179</f>
        <v>0</v>
      </c>
      <c r="AF179" s="781">
        <f t="shared" ref="AF179:AF181" si="454">+H179*O179</f>
        <v>0</v>
      </c>
      <c r="AG179" s="781">
        <f t="shared" ref="AG179:AG181" si="455">IF(P179="E",+ROUND(T179*H179,0),0)</f>
        <v>0</v>
      </c>
      <c r="AH179" s="781">
        <f t="shared" ref="AH179:AH181" si="456">+AI179-AG179</f>
        <v>0</v>
      </c>
      <c r="AI179" s="782">
        <f t="shared" ref="AI179:AI181" si="457">+H179*T179</f>
        <v>0</v>
      </c>
      <c r="AJ179" s="781">
        <f t="shared" ref="AJ179:AJ181" si="458">IF(P179="E",+ROUND(V179*H179,0),0)</f>
        <v>0</v>
      </c>
      <c r="AK179" s="781">
        <f t="shared" ref="AK179:AK181" si="459">+AL179-AJ179</f>
        <v>0</v>
      </c>
      <c r="AL179" s="781">
        <f t="shared" ref="AL179:AL181" si="460">ROUND(V179*H179,0)</f>
        <v>0</v>
      </c>
      <c r="AM179" s="781">
        <f t="shared" ref="AM179:AM181" si="461">IF(Q179="E",+ROUND(W179*H179,0),0)</f>
        <v>0</v>
      </c>
      <c r="AN179" s="781">
        <f t="shared" ref="AN179:AN181" si="462">+AO179-AM179</f>
        <v>0</v>
      </c>
      <c r="AO179" s="781">
        <f t="shared" ref="AO179:AO181" si="463">ROUND(W179*H179,0)</f>
        <v>0</v>
      </c>
      <c r="AP179" s="781">
        <f t="shared" ref="AP179:AP181" si="464">IF(P179="E",+ROUND(Y179*H179,0),0)</f>
        <v>0</v>
      </c>
      <c r="AQ179" s="781">
        <f t="shared" ref="AQ179:AQ181" si="465">+AR179-AP179</f>
        <v>0</v>
      </c>
      <c r="AR179" s="781">
        <f t="shared" ref="AR179:AR181" si="466">ROUND(Y179*H179,0)</f>
        <v>0</v>
      </c>
      <c r="AS179" s="783">
        <f t="shared" ref="AS179:AS181" si="467">+AR179+AO179+AL179+AI179</f>
        <v>0</v>
      </c>
      <c r="AT179" s="759"/>
      <c r="AX179" t="s">
        <v>3544</v>
      </c>
      <c r="BM179" s="2010">
        <v>0</v>
      </c>
    </row>
    <row r="180" spans="1:65" ht="15" x14ac:dyDescent="0.25">
      <c r="A180" s="784"/>
      <c r="B180" s="719">
        <f t="shared" si="371"/>
        <v>109</v>
      </c>
      <c r="C180" s="170" t="str">
        <f t="shared" si="448"/>
        <v>12LF</v>
      </c>
      <c r="D180" s="557"/>
      <c r="E180" s="170"/>
      <c r="F180" s="170">
        <v>12</v>
      </c>
      <c r="G180" s="2007" t="s">
        <v>3542</v>
      </c>
      <c r="H180" s="1926">
        <f>IF(H185+H189+H190+H191=0,0,+'Structure replacements'!$L$88*(H185/(+H185+H189+H190+H191)))</f>
        <v>0</v>
      </c>
      <c r="I180" s="2008" t="s">
        <v>728</v>
      </c>
      <c r="J180" s="1926"/>
      <c r="K180" s="1926"/>
      <c r="L180" s="170"/>
      <c r="M180" s="2009">
        <v>0</v>
      </c>
      <c r="N180" s="2010">
        <v>1</v>
      </c>
      <c r="O180" s="773">
        <v>0</v>
      </c>
      <c r="P180" s="2008" t="s">
        <v>39</v>
      </c>
      <c r="Q180" s="2051" t="s">
        <v>39</v>
      </c>
      <c r="R180" s="2011" t="s">
        <v>73</v>
      </c>
      <c r="S180" s="778">
        <f>SUMIF('Data Input sheet'!$B$118:$B$180,R180,'Data Input sheet'!$D$118:$D$180)</f>
        <v>119</v>
      </c>
      <c r="T180" s="2010">
        <f t="shared" si="449"/>
        <v>0</v>
      </c>
      <c r="U180" s="2010">
        <v>0</v>
      </c>
      <c r="V180" s="778">
        <f t="shared" si="450"/>
        <v>0</v>
      </c>
      <c r="W180" s="2010">
        <v>0</v>
      </c>
      <c r="X180" s="779"/>
      <c r="Y180" s="2012">
        <v>12000</v>
      </c>
      <c r="Z180" s="780">
        <f t="shared" si="451"/>
        <v>12000</v>
      </c>
      <c r="AA180" s="2007"/>
      <c r="AB180" s="2007"/>
      <c r="AC180" s="765"/>
      <c r="AD180" s="781">
        <f t="shared" si="452"/>
        <v>0</v>
      </c>
      <c r="AE180" s="781">
        <f t="shared" si="453"/>
        <v>0</v>
      </c>
      <c r="AF180" s="781">
        <f t="shared" si="454"/>
        <v>0</v>
      </c>
      <c r="AG180" s="781">
        <f t="shared" si="455"/>
        <v>0</v>
      </c>
      <c r="AH180" s="781">
        <f t="shared" si="456"/>
        <v>0</v>
      </c>
      <c r="AI180" s="782">
        <f t="shared" si="457"/>
        <v>0</v>
      </c>
      <c r="AJ180" s="781">
        <f t="shared" si="458"/>
        <v>0</v>
      </c>
      <c r="AK180" s="781">
        <f t="shared" si="459"/>
        <v>0</v>
      </c>
      <c r="AL180" s="781">
        <f t="shared" si="460"/>
        <v>0</v>
      </c>
      <c r="AM180" s="781">
        <f t="shared" si="461"/>
        <v>0</v>
      </c>
      <c r="AN180" s="781">
        <f t="shared" si="462"/>
        <v>0</v>
      </c>
      <c r="AO180" s="781">
        <f t="shared" si="463"/>
        <v>0</v>
      </c>
      <c r="AP180" s="781">
        <f t="shared" si="464"/>
        <v>0</v>
      </c>
      <c r="AQ180" s="781">
        <f t="shared" si="465"/>
        <v>0</v>
      </c>
      <c r="AR180" s="781">
        <f t="shared" si="466"/>
        <v>0</v>
      </c>
      <c r="AS180" s="783">
        <f t="shared" si="467"/>
        <v>0</v>
      </c>
      <c r="AT180" s="759"/>
      <c r="AX180" t="s">
        <v>3544</v>
      </c>
      <c r="BM180" s="2010">
        <v>0</v>
      </c>
    </row>
    <row r="181" spans="1:65" ht="15" x14ac:dyDescent="0.25">
      <c r="A181" s="784"/>
      <c r="B181" s="719">
        <f t="shared" si="371"/>
        <v>110</v>
      </c>
      <c r="C181" s="170" t="str">
        <f t="shared" si="448"/>
        <v>12LF</v>
      </c>
      <c r="D181" s="557"/>
      <c r="E181" s="170"/>
      <c r="F181" s="170">
        <v>12</v>
      </c>
      <c r="G181" s="2007" t="s">
        <v>3543</v>
      </c>
      <c r="H181" s="1926">
        <f>IF(H186+H190+H191+H192=0,0,+'Structure replacements'!$L$88*(H186/(+H186+H190+H191+H192)))</f>
        <v>0</v>
      </c>
      <c r="I181" s="2008" t="s">
        <v>728</v>
      </c>
      <c r="J181" s="1926"/>
      <c r="K181" s="1926"/>
      <c r="L181" s="170"/>
      <c r="M181" s="2009">
        <v>0</v>
      </c>
      <c r="N181" s="2010">
        <v>1</v>
      </c>
      <c r="O181" s="773">
        <v>0</v>
      </c>
      <c r="P181" s="2008" t="s">
        <v>39</v>
      </c>
      <c r="Q181" s="2051" t="s">
        <v>39</v>
      </c>
      <c r="R181" s="2011" t="s">
        <v>73</v>
      </c>
      <c r="S181" s="778">
        <f>SUMIF('Data Input sheet'!$B$118:$B$180,R181,'Data Input sheet'!$D$118:$D$180)</f>
        <v>119</v>
      </c>
      <c r="T181" s="2010">
        <f t="shared" si="449"/>
        <v>0</v>
      </c>
      <c r="U181" s="2010">
        <v>0</v>
      </c>
      <c r="V181" s="778">
        <f t="shared" si="450"/>
        <v>0</v>
      </c>
      <c r="W181" s="2010">
        <v>0</v>
      </c>
      <c r="X181" s="779"/>
      <c r="Y181" s="2012">
        <v>14200</v>
      </c>
      <c r="Z181" s="780">
        <f t="shared" si="451"/>
        <v>14200</v>
      </c>
      <c r="AA181" s="2007"/>
      <c r="AB181" s="2007"/>
      <c r="AC181" s="765"/>
      <c r="AD181" s="781">
        <f t="shared" si="452"/>
        <v>0</v>
      </c>
      <c r="AE181" s="781">
        <f t="shared" si="453"/>
        <v>0</v>
      </c>
      <c r="AF181" s="781">
        <f t="shared" si="454"/>
        <v>0</v>
      </c>
      <c r="AG181" s="781">
        <f t="shared" si="455"/>
        <v>0</v>
      </c>
      <c r="AH181" s="781">
        <f t="shared" si="456"/>
        <v>0</v>
      </c>
      <c r="AI181" s="782">
        <f t="shared" si="457"/>
        <v>0</v>
      </c>
      <c r="AJ181" s="781">
        <f t="shared" si="458"/>
        <v>0</v>
      </c>
      <c r="AK181" s="781">
        <f t="shared" si="459"/>
        <v>0</v>
      </c>
      <c r="AL181" s="781">
        <f t="shared" si="460"/>
        <v>0</v>
      </c>
      <c r="AM181" s="781">
        <f t="shared" si="461"/>
        <v>0</v>
      </c>
      <c r="AN181" s="781">
        <f t="shared" si="462"/>
        <v>0</v>
      </c>
      <c r="AO181" s="781">
        <f t="shared" si="463"/>
        <v>0</v>
      </c>
      <c r="AP181" s="781">
        <f t="shared" si="464"/>
        <v>0</v>
      </c>
      <c r="AQ181" s="781">
        <f t="shared" si="465"/>
        <v>0</v>
      </c>
      <c r="AR181" s="781">
        <f t="shared" si="466"/>
        <v>0</v>
      </c>
      <c r="AS181" s="783">
        <f t="shared" si="467"/>
        <v>0</v>
      </c>
      <c r="AT181" s="759"/>
      <c r="AX181" t="s">
        <v>3544</v>
      </c>
      <c r="BM181" s="2010">
        <v>0</v>
      </c>
    </row>
    <row r="182" spans="1:65" ht="25.5" x14ac:dyDescent="0.25">
      <c r="A182" s="784"/>
      <c r="B182" s="719">
        <f>+B177+1</f>
        <v>107</v>
      </c>
      <c r="C182" s="170" t="str">
        <f t="shared" si="370"/>
        <v>4EA</v>
      </c>
      <c r="D182" s="557"/>
      <c r="E182" s="170"/>
      <c r="F182" s="170">
        <v>4</v>
      </c>
      <c r="G182" s="2007" t="s">
        <v>2212</v>
      </c>
      <c r="H182" s="1926">
        <v>0</v>
      </c>
      <c r="I182" s="2008" t="s">
        <v>732</v>
      </c>
      <c r="J182" s="1926"/>
      <c r="K182" s="1926"/>
      <c r="L182" s="170"/>
      <c r="M182" s="2009">
        <v>111</v>
      </c>
      <c r="N182" s="2010">
        <v>1</v>
      </c>
      <c r="O182" s="773">
        <f t="shared" ref="O182:O191" si="468">+M182*N182</f>
        <v>111</v>
      </c>
      <c r="P182" s="2008" t="s">
        <v>39</v>
      </c>
      <c r="Q182" s="2051" t="s">
        <v>39</v>
      </c>
      <c r="R182" s="2011" t="s">
        <v>73</v>
      </c>
      <c r="S182" s="778">
        <f>SUMIF('Data Input sheet'!$B$118:$B$180,R182,'Data Input sheet'!$D$118:$D$180)</f>
        <v>119</v>
      </c>
      <c r="T182" s="2010">
        <f t="shared" si="386"/>
        <v>13209</v>
      </c>
      <c r="U182" s="2010">
        <v>33</v>
      </c>
      <c r="V182" s="778">
        <f t="shared" si="375"/>
        <v>3663</v>
      </c>
      <c r="W182" s="2010">
        <f>8200+10000</f>
        <v>18200</v>
      </c>
      <c r="X182" s="779"/>
      <c r="Y182" s="2012">
        <v>0</v>
      </c>
      <c r="Z182" s="780">
        <f t="shared" si="387"/>
        <v>35072</v>
      </c>
      <c r="AA182" s="2007" t="s">
        <v>2783</v>
      </c>
      <c r="AB182" s="2007"/>
      <c r="AC182" s="765"/>
      <c r="AD182" s="781">
        <f t="shared" si="376"/>
        <v>0</v>
      </c>
      <c r="AE182" s="781">
        <f t="shared" si="364"/>
        <v>0</v>
      </c>
      <c r="AF182" s="781">
        <f t="shared" si="377"/>
        <v>0</v>
      </c>
      <c r="AG182" s="781">
        <f t="shared" si="378"/>
        <v>0</v>
      </c>
      <c r="AH182" s="781">
        <f t="shared" si="365"/>
        <v>0</v>
      </c>
      <c r="AI182" s="782">
        <f t="shared" si="379"/>
        <v>0</v>
      </c>
      <c r="AJ182" s="781">
        <f t="shared" si="380"/>
        <v>0</v>
      </c>
      <c r="AK182" s="781">
        <f t="shared" si="366"/>
        <v>0</v>
      </c>
      <c r="AL182" s="781">
        <f t="shared" si="381"/>
        <v>0</v>
      </c>
      <c r="AM182" s="781">
        <f t="shared" si="382"/>
        <v>0</v>
      </c>
      <c r="AN182" s="781">
        <f t="shared" si="367"/>
        <v>0</v>
      </c>
      <c r="AO182" s="781">
        <f t="shared" si="383"/>
        <v>0</v>
      </c>
      <c r="AP182" s="781">
        <f t="shared" si="384"/>
        <v>0</v>
      </c>
      <c r="AQ182" s="781">
        <f t="shared" si="368"/>
        <v>0</v>
      </c>
      <c r="AR182" s="781">
        <f t="shared" si="385"/>
        <v>0</v>
      </c>
      <c r="AS182" s="783">
        <f t="shared" si="369"/>
        <v>0</v>
      </c>
      <c r="AT182" s="759"/>
      <c r="BM182" s="2010">
        <v>8200</v>
      </c>
    </row>
    <row r="183" spans="1:65" ht="25.5" x14ac:dyDescent="0.25">
      <c r="A183" s="784"/>
      <c r="B183" s="719">
        <f t="shared" si="371"/>
        <v>108</v>
      </c>
      <c r="C183" s="170" t="str">
        <f t="shared" si="370"/>
        <v>4EA</v>
      </c>
      <c r="D183" s="557"/>
      <c r="E183" s="170"/>
      <c r="F183" s="727">
        <v>4</v>
      </c>
      <c r="G183" s="2007" t="s">
        <v>2784</v>
      </c>
      <c r="H183" s="1926">
        <v>0</v>
      </c>
      <c r="I183" s="2008" t="s">
        <v>732</v>
      </c>
      <c r="J183" s="1926"/>
      <c r="K183" s="1926"/>
      <c r="L183" s="170"/>
      <c r="M183" s="2009">
        <v>180</v>
      </c>
      <c r="N183" s="2010">
        <v>1</v>
      </c>
      <c r="O183" s="773">
        <f t="shared" ref="O183:O185" si="469">+M183*N183</f>
        <v>180</v>
      </c>
      <c r="P183" s="2008" t="s">
        <v>39</v>
      </c>
      <c r="Q183" s="2051" t="s">
        <v>39</v>
      </c>
      <c r="R183" s="2011" t="s">
        <v>73</v>
      </c>
      <c r="S183" s="778">
        <f>SUMIF('Data Input sheet'!$B$118:$B$180,R183,'Data Input sheet'!$D$118:$D$180)</f>
        <v>119</v>
      </c>
      <c r="T183" s="2010">
        <f t="shared" ref="T183:T185" si="470">+O183*S183</f>
        <v>21420</v>
      </c>
      <c r="U183" s="2010">
        <v>33</v>
      </c>
      <c r="V183" s="778">
        <f t="shared" ref="V183:V185" si="471">ROUND(U183*O183,0)</f>
        <v>5940</v>
      </c>
      <c r="W183" s="2010">
        <f>14000+12000</f>
        <v>26000</v>
      </c>
      <c r="X183" s="779"/>
      <c r="Y183" s="2012">
        <v>0</v>
      </c>
      <c r="Z183" s="780">
        <f t="shared" ref="Z183:Z185" si="472">T183+V183+W183+Y183</f>
        <v>53360</v>
      </c>
      <c r="AA183" s="2007" t="s">
        <v>2783</v>
      </c>
      <c r="AB183" s="2007"/>
      <c r="AC183" s="765"/>
      <c r="AD183" s="781">
        <f t="shared" ref="AD183:AD185" si="473">IF(P183="E",+ROUND(H183*O183,0),0)</f>
        <v>0</v>
      </c>
      <c r="AE183" s="781">
        <f t="shared" ref="AE183:AE185" si="474">+AF183-AD183</f>
        <v>0</v>
      </c>
      <c r="AF183" s="781">
        <f t="shared" ref="AF183:AF185" si="475">+H183*O183</f>
        <v>0</v>
      </c>
      <c r="AG183" s="781">
        <f t="shared" ref="AG183:AG185" si="476">IF(P183="E",+ROUND(T183*H183,0),0)</f>
        <v>0</v>
      </c>
      <c r="AH183" s="781">
        <f t="shared" ref="AH183:AH185" si="477">+AI183-AG183</f>
        <v>0</v>
      </c>
      <c r="AI183" s="782">
        <f t="shared" ref="AI183:AI185" si="478">+H183*T183</f>
        <v>0</v>
      </c>
      <c r="AJ183" s="781">
        <f t="shared" ref="AJ183:AJ185" si="479">IF(P183="E",+ROUND(V183*H183,0),0)</f>
        <v>0</v>
      </c>
      <c r="AK183" s="781">
        <f t="shared" ref="AK183:AK185" si="480">+AL183-AJ183</f>
        <v>0</v>
      </c>
      <c r="AL183" s="781">
        <f t="shared" ref="AL183:AL185" si="481">ROUND(V183*H183,0)</f>
        <v>0</v>
      </c>
      <c r="AM183" s="781">
        <f t="shared" ref="AM183:AM185" si="482">IF(Q183="E",+ROUND(W183*H183,0),0)</f>
        <v>0</v>
      </c>
      <c r="AN183" s="781">
        <f t="shared" ref="AN183:AN185" si="483">+AO183-AM183</f>
        <v>0</v>
      </c>
      <c r="AO183" s="781">
        <f t="shared" ref="AO183:AO185" si="484">ROUND(W183*H183,0)</f>
        <v>0</v>
      </c>
      <c r="AP183" s="781">
        <f t="shared" ref="AP183:AP185" si="485">IF(P183="E",+ROUND(Y183*H183,0),0)</f>
        <v>0</v>
      </c>
      <c r="AQ183" s="781">
        <f t="shared" ref="AQ183:AQ185" si="486">+AR183-AP183</f>
        <v>0</v>
      </c>
      <c r="AR183" s="781">
        <f t="shared" ref="AR183:AR185" si="487">ROUND(Y183*H183,0)</f>
        <v>0</v>
      </c>
      <c r="AS183" s="783">
        <f t="shared" ref="AS183:AS185" si="488">+AR183+AO183+AL183+AI183</f>
        <v>0</v>
      </c>
      <c r="AT183" s="759"/>
      <c r="BM183" s="2010">
        <v>8200</v>
      </c>
    </row>
    <row r="184" spans="1:65" ht="25.5" x14ac:dyDescent="0.25">
      <c r="A184" s="784"/>
      <c r="B184" s="719">
        <f t="shared" si="371"/>
        <v>109</v>
      </c>
      <c r="C184" s="170" t="str">
        <f t="shared" si="370"/>
        <v>4EA</v>
      </c>
      <c r="D184" s="557"/>
      <c r="E184" s="170"/>
      <c r="F184" s="727">
        <v>4</v>
      </c>
      <c r="G184" s="2007" t="s">
        <v>2785</v>
      </c>
      <c r="H184" s="1926">
        <f>-(-H23-H25-H29-H31-H35-H37-H42-H44-H48-H50-H54-H56-H61-H63-H65-H68-H70-H72-H75-H77-H83-H85-H87-H89-H92-H94-H97--H103-H104-H105-H107-H110-H112-H115-H120-H121-H123-H124-H126-H128)</f>
        <v>0</v>
      </c>
      <c r="I184" s="2008" t="s">
        <v>732</v>
      </c>
      <c r="J184" s="1926"/>
      <c r="K184" s="1926"/>
      <c r="L184" s="170"/>
      <c r="M184" s="2009">
        <v>200</v>
      </c>
      <c r="N184" s="2010">
        <v>1</v>
      </c>
      <c r="O184" s="773">
        <f t="shared" si="469"/>
        <v>200</v>
      </c>
      <c r="P184" s="2008" t="s">
        <v>39</v>
      </c>
      <c r="Q184" s="2051" t="s">
        <v>39</v>
      </c>
      <c r="R184" s="2011" t="s">
        <v>73</v>
      </c>
      <c r="S184" s="778">
        <f>SUMIF('Data Input sheet'!$B$118:$B$180,R184,'Data Input sheet'!$D$118:$D$180)</f>
        <v>119</v>
      </c>
      <c r="T184" s="2010">
        <f t="shared" si="470"/>
        <v>23800</v>
      </c>
      <c r="U184" s="2010">
        <v>33</v>
      </c>
      <c r="V184" s="778">
        <f t="shared" si="471"/>
        <v>6600</v>
      </c>
      <c r="W184" s="2010">
        <f>18000+15000</f>
        <v>33000</v>
      </c>
      <c r="X184" s="779"/>
      <c r="Y184" s="2012">
        <v>0</v>
      </c>
      <c r="Z184" s="780">
        <f t="shared" si="472"/>
        <v>63400</v>
      </c>
      <c r="AA184" s="2007" t="s">
        <v>2783</v>
      </c>
      <c r="AB184" s="2007"/>
      <c r="AC184" s="765"/>
      <c r="AD184" s="781">
        <f t="shared" si="473"/>
        <v>0</v>
      </c>
      <c r="AE184" s="781">
        <f t="shared" si="474"/>
        <v>0</v>
      </c>
      <c r="AF184" s="781">
        <f t="shared" si="475"/>
        <v>0</v>
      </c>
      <c r="AG184" s="781">
        <f t="shared" si="476"/>
        <v>0</v>
      </c>
      <c r="AH184" s="781">
        <f t="shared" si="477"/>
        <v>0</v>
      </c>
      <c r="AI184" s="782">
        <f t="shared" si="478"/>
        <v>0</v>
      </c>
      <c r="AJ184" s="781">
        <f t="shared" si="479"/>
        <v>0</v>
      </c>
      <c r="AK184" s="781">
        <f t="shared" si="480"/>
        <v>0</v>
      </c>
      <c r="AL184" s="781">
        <f t="shared" si="481"/>
        <v>0</v>
      </c>
      <c r="AM184" s="781">
        <f t="shared" si="482"/>
        <v>0</v>
      </c>
      <c r="AN184" s="781">
        <f t="shared" si="483"/>
        <v>0</v>
      </c>
      <c r="AO184" s="781">
        <f t="shared" si="484"/>
        <v>0</v>
      </c>
      <c r="AP184" s="781">
        <f t="shared" si="485"/>
        <v>0</v>
      </c>
      <c r="AQ184" s="781">
        <f t="shared" si="486"/>
        <v>0</v>
      </c>
      <c r="AR184" s="781">
        <f t="shared" si="487"/>
        <v>0</v>
      </c>
      <c r="AS184" s="783">
        <f t="shared" si="488"/>
        <v>0</v>
      </c>
      <c r="AT184" s="759"/>
      <c r="BM184" s="2010">
        <v>8200</v>
      </c>
    </row>
    <row r="185" spans="1:65" ht="15" x14ac:dyDescent="0.25">
      <c r="A185" s="784"/>
      <c r="B185" s="719">
        <f>+B177+1</f>
        <v>107</v>
      </c>
      <c r="C185" s="170" t="str">
        <f t="shared" si="370"/>
        <v>3EA</v>
      </c>
      <c r="D185" s="557"/>
      <c r="E185" s="170"/>
      <c r="F185" s="727">
        <v>3</v>
      </c>
      <c r="G185" s="2007" t="s">
        <v>2790</v>
      </c>
      <c r="H185" s="1926">
        <f>+(H182+H183+H184)+(0.1*(+H188+H187+H186))</f>
        <v>0</v>
      </c>
      <c r="I185" s="2008" t="s">
        <v>732</v>
      </c>
      <c r="J185" s="1926"/>
      <c r="K185" s="1926"/>
      <c r="L185" s="170"/>
      <c r="M185" s="2009">
        <v>60</v>
      </c>
      <c r="N185" s="2010">
        <v>1</v>
      </c>
      <c r="O185" s="773">
        <f t="shared" si="469"/>
        <v>60</v>
      </c>
      <c r="P185" s="2008" t="s">
        <v>39</v>
      </c>
      <c r="Q185" s="2051" t="s">
        <v>39</v>
      </c>
      <c r="R185" s="2011" t="s">
        <v>73</v>
      </c>
      <c r="S185" s="778">
        <f>SUMIF('Data Input sheet'!$B$118:$B$180,R185,'Data Input sheet'!$D$118:$D$180)</f>
        <v>119</v>
      </c>
      <c r="T185" s="2010">
        <f t="shared" si="470"/>
        <v>7140</v>
      </c>
      <c r="U185" s="2010">
        <v>50</v>
      </c>
      <c r="V185" s="778">
        <f t="shared" si="471"/>
        <v>3000</v>
      </c>
      <c r="W185" s="2010">
        <v>500</v>
      </c>
      <c r="X185" s="779"/>
      <c r="Y185" s="2012">
        <v>0</v>
      </c>
      <c r="Z185" s="780">
        <f t="shared" si="472"/>
        <v>10640</v>
      </c>
      <c r="AA185" s="2007" t="s">
        <v>2791</v>
      </c>
      <c r="AB185" s="2007"/>
      <c r="AC185" s="765"/>
      <c r="AD185" s="781">
        <f t="shared" si="473"/>
        <v>0</v>
      </c>
      <c r="AE185" s="781">
        <f t="shared" si="474"/>
        <v>0</v>
      </c>
      <c r="AF185" s="781">
        <f t="shared" si="475"/>
        <v>0</v>
      </c>
      <c r="AG185" s="781">
        <f t="shared" si="476"/>
        <v>0</v>
      </c>
      <c r="AH185" s="781">
        <f t="shared" si="477"/>
        <v>0</v>
      </c>
      <c r="AI185" s="782">
        <f t="shared" si="478"/>
        <v>0</v>
      </c>
      <c r="AJ185" s="781">
        <f t="shared" si="479"/>
        <v>0</v>
      </c>
      <c r="AK185" s="781">
        <f t="shared" si="480"/>
        <v>0</v>
      </c>
      <c r="AL185" s="781">
        <f t="shared" si="481"/>
        <v>0</v>
      </c>
      <c r="AM185" s="781">
        <f t="shared" si="482"/>
        <v>0</v>
      </c>
      <c r="AN185" s="781">
        <f t="shared" si="483"/>
        <v>0</v>
      </c>
      <c r="AO185" s="781">
        <f t="shared" si="484"/>
        <v>0</v>
      </c>
      <c r="AP185" s="781">
        <f t="shared" si="485"/>
        <v>0</v>
      </c>
      <c r="AQ185" s="781">
        <f t="shared" si="486"/>
        <v>0</v>
      </c>
      <c r="AR185" s="781">
        <f t="shared" si="487"/>
        <v>0</v>
      </c>
      <c r="AS185" s="783">
        <f t="shared" si="488"/>
        <v>0</v>
      </c>
      <c r="AT185" s="759"/>
      <c r="AX185" t="s">
        <v>701</v>
      </c>
      <c r="BM185" s="2010">
        <v>2117.5500000000002</v>
      </c>
    </row>
    <row r="186" spans="1:65" ht="25.5" x14ac:dyDescent="0.25">
      <c r="A186" s="784"/>
      <c r="B186" s="719">
        <f>+B182+1</f>
        <v>108</v>
      </c>
      <c r="C186" s="170" t="str">
        <f t="shared" si="370"/>
        <v>3EA</v>
      </c>
      <c r="D186" s="557"/>
      <c r="E186" s="170"/>
      <c r="F186" s="170">
        <v>3</v>
      </c>
      <c r="G186" s="2007" t="s">
        <v>2213</v>
      </c>
      <c r="H186" s="1926">
        <v>0</v>
      </c>
      <c r="I186" s="2008" t="s">
        <v>732</v>
      </c>
      <c r="J186" s="1926"/>
      <c r="K186" s="1926"/>
      <c r="L186" s="170"/>
      <c r="M186" s="2009">
        <v>45</v>
      </c>
      <c r="N186" s="2010">
        <v>1</v>
      </c>
      <c r="O186" s="773">
        <f t="shared" si="468"/>
        <v>45</v>
      </c>
      <c r="P186" s="2008" t="s">
        <v>39</v>
      </c>
      <c r="Q186" s="2051" t="s">
        <v>39</v>
      </c>
      <c r="R186" s="2011" t="s">
        <v>73</v>
      </c>
      <c r="S186" s="778">
        <f>SUMIF('Data Input sheet'!$B$118:$B$180,R186,'Data Input sheet'!$D$118:$D$180)</f>
        <v>119</v>
      </c>
      <c r="T186" s="2010">
        <f t="shared" si="386"/>
        <v>5355</v>
      </c>
      <c r="U186" s="2010">
        <v>70</v>
      </c>
      <c r="V186" s="778">
        <f t="shared" si="375"/>
        <v>3150</v>
      </c>
      <c r="W186" s="2010">
        <v>2117.5500000000002</v>
      </c>
      <c r="X186" s="779"/>
      <c r="Y186" s="2012">
        <v>0</v>
      </c>
      <c r="Z186" s="780">
        <f t="shared" si="387"/>
        <v>10622.55</v>
      </c>
      <c r="AA186" s="2007" t="s">
        <v>702</v>
      </c>
      <c r="AB186" s="2007"/>
      <c r="AC186" s="765"/>
      <c r="AD186" s="781">
        <f t="shared" si="376"/>
        <v>0</v>
      </c>
      <c r="AE186" s="781">
        <f t="shared" si="364"/>
        <v>0</v>
      </c>
      <c r="AF186" s="781">
        <f t="shared" si="377"/>
        <v>0</v>
      </c>
      <c r="AG186" s="781">
        <f t="shared" si="378"/>
        <v>0</v>
      </c>
      <c r="AH186" s="781">
        <f t="shared" si="365"/>
        <v>0</v>
      </c>
      <c r="AI186" s="782">
        <f t="shared" si="379"/>
        <v>0</v>
      </c>
      <c r="AJ186" s="781">
        <f t="shared" si="380"/>
        <v>0</v>
      </c>
      <c r="AK186" s="781">
        <f t="shared" si="366"/>
        <v>0</v>
      </c>
      <c r="AL186" s="781">
        <f t="shared" si="381"/>
        <v>0</v>
      </c>
      <c r="AM186" s="781">
        <f t="shared" si="382"/>
        <v>0</v>
      </c>
      <c r="AN186" s="781">
        <f t="shared" si="367"/>
        <v>0</v>
      </c>
      <c r="AO186" s="781">
        <f t="shared" si="383"/>
        <v>0</v>
      </c>
      <c r="AP186" s="781">
        <f t="shared" si="384"/>
        <v>0</v>
      </c>
      <c r="AQ186" s="781">
        <f t="shared" si="368"/>
        <v>0</v>
      </c>
      <c r="AR186" s="781">
        <f t="shared" si="385"/>
        <v>0</v>
      </c>
      <c r="AS186" s="783">
        <f t="shared" si="369"/>
        <v>0</v>
      </c>
      <c r="AT186" s="759"/>
      <c r="AX186" t="s">
        <v>701</v>
      </c>
      <c r="BM186" s="2010">
        <v>2117.5500000000002</v>
      </c>
    </row>
    <row r="187" spans="1:65" ht="25.5" x14ac:dyDescent="0.25">
      <c r="A187" s="784"/>
      <c r="B187" s="719">
        <f t="shared" si="371"/>
        <v>109</v>
      </c>
      <c r="C187" s="170" t="str">
        <f t="shared" si="370"/>
        <v>3EA</v>
      </c>
      <c r="D187" s="557"/>
      <c r="E187" s="170"/>
      <c r="F187" s="170">
        <v>3</v>
      </c>
      <c r="G187" s="2007" t="s">
        <v>2214</v>
      </c>
      <c r="H187" s="1926">
        <f>+'Structure replacements'!J90-H182</f>
        <v>0</v>
      </c>
      <c r="I187" s="2008" t="s">
        <v>732</v>
      </c>
      <c r="J187" s="1926"/>
      <c r="K187" s="1926"/>
      <c r="L187" s="170"/>
      <c r="M187" s="2009">
        <v>55</v>
      </c>
      <c r="N187" s="2010">
        <v>1</v>
      </c>
      <c r="O187" s="773">
        <f t="shared" si="468"/>
        <v>55</v>
      </c>
      <c r="P187" s="2008" t="s">
        <v>39</v>
      </c>
      <c r="Q187" s="2051" t="s">
        <v>39</v>
      </c>
      <c r="R187" s="2011" t="s">
        <v>73</v>
      </c>
      <c r="S187" s="778">
        <f>SUMIF('Data Input sheet'!$B$118:$B$180,R187,'Data Input sheet'!$D$118:$D$180)</f>
        <v>119</v>
      </c>
      <c r="T187" s="2010">
        <f t="shared" si="386"/>
        <v>6545</v>
      </c>
      <c r="U187" s="2010">
        <v>70</v>
      </c>
      <c r="V187" s="778">
        <f t="shared" si="375"/>
        <v>3850</v>
      </c>
      <c r="W187" s="2010">
        <v>2541.06</v>
      </c>
      <c r="X187" s="779"/>
      <c r="Y187" s="2012">
        <v>0</v>
      </c>
      <c r="Z187" s="780">
        <f t="shared" si="387"/>
        <v>12936.06</v>
      </c>
      <c r="AA187" s="2007" t="s">
        <v>702</v>
      </c>
      <c r="AB187" s="2007"/>
      <c r="AC187" s="765"/>
      <c r="AD187" s="781">
        <f t="shared" si="376"/>
        <v>0</v>
      </c>
      <c r="AE187" s="781">
        <f t="shared" si="364"/>
        <v>0</v>
      </c>
      <c r="AF187" s="781">
        <f t="shared" si="377"/>
        <v>0</v>
      </c>
      <c r="AG187" s="781">
        <f t="shared" si="378"/>
        <v>0</v>
      </c>
      <c r="AH187" s="781">
        <f t="shared" si="365"/>
        <v>0</v>
      </c>
      <c r="AI187" s="782">
        <f t="shared" si="379"/>
        <v>0</v>
      </c>
      <c r="AJ187" s="781">
        <f t="shared" si="380"/>
        <v>0</v>
      </c>
      <c r="AK187" s="781">
        <f t="shared" si="366"/>
        <v>0</v>
      </c>
      <c r="AL187" s="781">
        <f t="shared" si="381"/>
        <v>0</v>
      </c>
      <c r="AM187" s="781">
        <f t="shared" si="382"/>
        <v>0</v>
      </c>
      <c r="AN187" s="781">
        <f t="shared" si="367"/>
        <v>0</v>
      </c>
      <c r="AO187" s="781">
        <f t="shared" si="383"/>
        <v>0</v>
      </c>
      <c r="AP187" s="781">
        <f t="shared" si="384"/>
        <v>0</v>
      </c>
      <c r="AQ187" s="781">
        <f t="shared" si="368"/>
        <v>0</v>
      </c>
      <c r="AR187" s="781">
        <f t="shared" si="385"/>
        <v>0</v>
      </c>
      <c r="AS187" s="783">
        <f t="shared" si="369"/>
        <v>0</v>
      </c>
      <c r="AT187" s="759"/>
      <c r="AX187" t="s">
        <v>701</v>
      </c>
      <c r="BM187" s="2010">
        <v>2541.06</v>
      </c>
    </row>
    <row r="188" spans="1:65" ht="25.5" x14ac:dyDescent="0.25">
      <c r="A188" s="784"/>
      <c r="B188" s="719">
        <f t="shared" si="371"/>
        <v>110</v>
      </c>
      <c r="C188" s="170" t="str">
        <f t="shared" si="370"/>
        <v>3EA</v>
      </c>
      <c r="D188" s="557"/>
      <c r="E188" s="170"/>
      <c r="F188" s="170">
        <v>3</v>
      </c>
      <c r="G188" s="2007" t="s">
        <v>2215</v>
      </c>
      <c r="H188" s="1926"/>
      <c r="I188" s="2008" t="s">
        <v>732</v>
      </c>
      <c r="J188" s="1926"/>
      <c r="K188" s="1926"/>
      <c r="L188" s="170"/>
      <c r="M188" s="2009">
        <v>65</v>
      </c>
      <c r="N188" s="2010">
        <v>1</v>
      </c>
      <c r="O188" s="773">
        <f t="shared" si="468"/>
        <v>65</v>
      </c>
      <c r="P188" s="2008" t="s">
        <v>39</v>
      </c>
      <c r="Q188" s="2051" t="s">
        <v>39</v>
      </c>
      <c r="R188" s="2011" t="s">
        <v>73</v>
      </c>
      <c r="S188" s="778">
        <f>SUMIF('Data Input sheet'!$B$118:$B$180,R188,'Data Input sheet'!$D$118:$D$180)</f>
        <v>119</v>
      </c>
      <c r="T188" s="2010">
        <f t="shared" si="386"/>
        <v>7735</v>
      </c>
      <c r="U188" s="2010">
        <v>70</v>
      </c>
      <c r="V188" s="778">
        <f t="shared" si="375"/>
        <v>4550</v>
      </c>
      <c r="W188" s="2010">
        <v>2964.57</v>
      </c>
      <c r="X188" s="779"/>
      <c r="Y188" s="2012">
        <v>0</v>
      </c>
      <c r="Z188" s="780">
        <f t="shared" si="387"/>
        <v>15249.57</v>
      </c>
      <c r="AA188" s="2007" t="s">
        <v>702</v>
      </c>
      <c r="AB188" s="2007"/>
      <c r="AC188" s="765"/>
      <c r="AD188" s="781">
        <f t="shared" si="376"/>
        <v>0</v>
      </c>
      <c r="AE188" s="781">
        <f t="shared" si="364"/>
        <v>0</v>
      </c>
      <c r="AF188" s="781">
        <f t="shared" si="377"/>
        <v>0</v>
      </c>
      <c r="AG188" s="781">
        <f t="shared" si="378"/>
        <v>0</v>
      </c>
      <c r="AH188" s="781">
        <f t="shared" si="365"/>
        <v>0</v>
      </c>
      <c r="AI188" s="782">
        <f t="shared" si="379"/>
        <v>0</v>
      </c>
      <c r="AJ188" s="781">
        <f t="shared" si="380"/>
        <v>0</v>
      </c>
      <c r="AK188" s="781">
        <f t="shared" si="366"/>
        <v>0</v>
      </c>
      <c r="AL188" s="781">
        <f t="shared" si="381"/>
        <v>0</v>
      </c>
      <c r="AM188" s="781">
        <f t="shared" si="382"/>
        <v>0</v>
      </c>
      <c r="AN188" s="781">
        <f t="shared" si="367"/>
        <v>0</v>
      </c>
      <c r="AO188" s="781">
        <f t="shared" si="383"/>
        <v>0</v>
      </c>
      <c r="AP188" s="781">
        <f t="shared" si="384"/>
        <v>0</v>
      </c>
      <c r="AQ188" s="781">
        <f t="shared" si="368"/>
        <v>0</v>
      </c>
      <c r="AR188" s="781">
        <f t="shared" si="385"/>
        <v>0</v>
      </c>
      <c r="AS188" s="783">
        <f t="shared" si="369"/>
        <v>0</v>
      </c>
      <c r="AT188" s="759"/>
      <c r="AX188" t="s">
        <v>701</v>
      </c>
      <c r="BM188" s="2010">
        <v>2964.57</v>
      </c>
    </row>
    <row r="189" spans="1:65" ht="15" x14ac:dyDescent="0.25">
      <c r="A189" s="784"/>
      <c r="B189" s="719">
        <f t="shared" si="371"/>
        <v>111</v>
      </c>
      <c r="C189" s="170" t="str">
        <f t="shared" si="370"/>
        <v>43EA</v>
      </c>
      <c r="D189" s="557"/>
      <c r="E189" s="170"/>
      <c r="F189" s="170">
        <v>43</v>
      </c>
      <c r="G189" s="2007" t="s">
        <v>703</v>
      </c>
      <c r="H189" s="1926">
        <f>+'Structure replacements'!N130</f>
        <v>0</v>
      </c>
      <c r="I189" s="2008" t="s">
        <v>732</v>
      </c>
      <c r="J189" s="1926"/>
      <c r="K189" s="1926"/>
      <c r="L189" s="170"/>
      <c r="M189" s="2009">
        <v>15</v>
      </c>
      <c r="N189" s="2010">
        <v>1</v>
      </c>
      <c r="O189" s="773">
        <f t="shared" si="468"/>
        <v>15</v>
      </c>
      <c r="P189" s="2008" t="s">
        <v>39</v>
      </c>
      <c r="Q189" s="2051" t="s">
        <v>39</v>
      </c>
      <c r="R189" s="2011" t="s">
        <v>73</v>
      </c>
      <c r="S189" s="778">
        <f>SUMIF('Data Input sheet'!$B$118:$B$180,R189,'Data Input sheet'!$D$118:$D$180)</f>
        <v>119</v>
      </c>
      <c r="T189" s="2010">
        <f t="shared" si="386"/>
        <v>1785</v>
      </c>
      <c r="U189" s="2010">
        <v>28</v>
      </c>
      <c r="V189" s="778">
        <f t="shared" si="375"/>
        <v>420</v>
      </c>
      <c r="W189" s="2010">
        <f t="shared" ref="W189:W191" si="489">ROUND(+BM189*(1+$BM$7),0)</f>
        <v>625</v>
      </c>
      <c r="X189" s="779"/>
      <c r="Y189" s="2012">
        <v>0</v>
      </c>
      <c r="Z189" s="780">
        <f t="shared" si="387"/>
        <v>2830</v>
      </c>
      <c r="AA189" s="2007"/>
      <c r="AB189" s="2007"/>
      <c r="AC189" s="765"/>
      <c r="AD189" s="781">
        <f t="shared" si="376"/>
        <v>0</v>
      </c>
      <c r="AE189" s="781">
        <f t="shared" si="364"/>
        <v>0</v>
      </c>
      <c r="AF189" s="781">
        <f t="shared" si="377"/>
        <v>0</v>
      </c>
      <c r="AG189" s="781">
        <f t="shared" si="378"/>
        <v>0</v>
      </c>
      <c r="AH189" s="781">
        <f t="shared" si="365"/>
        <v>0</v>
      </c>
      <c r="AI189" s="782">
        <f t="shared" si="379"/>
        <v>0</v>
      </c>
      <c r="AJ189" s="781">
        <f t="shared" si="380"/>
        <v>0</v>
      </c>
      <c r="AK189" s="781">
        <f t="shared" si="366"/>
        <v>0</v>
      </c>
      <c r="AL189" s="781">
        <f t="shared" si="381"/>
        <v>0</v>
      </c>
      <c r="AM189" s="781">
        <f t="shared" si="382"/>
        <v>0</v>
      </c>
      <c r="AN189" s="781">
        <f t="shared" si="367"/>
        <v>0</v>
      </c>
      <c r="AO189" s="781">
        <f t="shared" si="383"/>
        <v>0</v>
      </c>
      <c r="AP189" s="781">
        <f t="shared" si="384"/>
        <v>0</v>
      </c>
      <c r="AQ189" s="781">
        <f t="shared" si="368"/>
        <v>0</v>
      </c>
      <c r="AR189" s="781">
        <f t="shared" si="385"/>
        <v>0</v>
      </c>
      <c r="AS189" s="783">
        <f t="shared" si="369"/>
        <v>0</v>
      </c>
      <c r="AT189" s="759"/>
      <c r="AX189" t="s">
        <v>704</v>
      </c>
      <c r="BM189" s="2010">
        <v>500</v>
      </c>
    </row>
    <row r="190" spans="1:65" ht="15" x14ac:dyDescent="0.25">
      <c r="A190" s="784"/>
      <c r="B190" s="719">
        <f t="shared" si="371"/>
        <v>112</v>
      </c>
      <c r="C190" s="170" t="str">
        <f t="shared" si="370"/>
        <v>43EA</v>
      </c>
      <c r="D190" s="557"/>
      <c r="E190" s="170"/>
      <c r="F190" s="170">
        <v>43</v>
      </c>
      <c r="G190" s="2007" t="s">
        <v>705</v>
      </c>
      <c r="H190" s="1926"/>
      <c r="I190" s="2008" t="s">
        <v>732</v>
      </c>
      <c r="J190" s="1926"/>
      <c r="K190" s="1926"/>
      <c r="L190" s="170"/>
      <c r="M190" s="2009">
        <v>19</v>
      </c>
      <c r="N190" s="2010">
        <v>1</v>
      </c>
      <c r="O190" s="773">
        <f t="shared" si="468"/>
        <v>19</v>
      </c>
      <c r="P190" s="2008" t="s">
        <v>39</v>
      </c>
      <c r="Q190" s="2051" t="s">
        <v>39</v>
      </c>
      <c r="R190" s="2011" t="s">
        <v>73</v>
      </c>
      <c r="S190" s="778">
        <f>SUMIF('Data Input sheet'!$B$118:$B$180,R190,'Data Input sheet'!$D$118:$D$180)</f>
        <v>119</v>
      </c>
      <c r="T190" s="2010">
        <f t="shared" si="386"/>
        <v>2261</v>
      </c>
      <c r="U190" s="2010">
        <v>28</v>
      </c>
      <c r="V190" s="778">
        <f t="shared" si="375"/>
        <v>532</v>
      </c>
      <c r="W190" s="2010">
        <f t="shared" si="489"/>
        <v>625</v>
      </c>
      <c r="X190" s="779"/>
      <c r="Y190" s="2012">
        <v>0</v>
      </c>
      <c r="Z190" s="780">
        <f t="shared" si="387"/>
        <v>3418</v>
      </c>
      <c r="AA190" s="2007"/>
      <c r="AB190" s="2007"/>
      <c r="AC190" s="765"/>
      <c r="AD190" s="781">
        <f t="shared" si="376"/>
        <v>0</v>
      </c>
      <c r="AE190" s="781">
        <f t="shared" si="364"/>
        <v>0</v>
      </c>
      <c r="AF190" s="781">
        <f t="shared" si="377"/>
        <v>0</v>
      </c>
      <c r="AG190" s="781">
        <f t="shared" si="378"/>
        <v>0</v>
      </c>
      <c r="AH190" s="781">
        <f t="shared" si="365"/>
        <v>0</v>
      </c>
      <c r="AI190" s="782">
        <f t="shared" si="379"/>
        <v>0</v>
      </c>
      <c r="AJ190" s="781">
        <f t="shared" si="380"/>
        <v>0</v>
      </c>
      <c r="AK190" s="781">
        <f t="shared" si="366"/>
        <v>0</v>
      </c>
      <c r="AL190" s="781">
        <f t="shared" si="381"/>
        <v>0</v>
      </c>
      <c r="AM190" s="781">
        <f t="shared" si="382"/>
        <v>0</v>
      </c>
      <c r="AN190" s="781">
        <f t="shared" si="367"/>
        <v>0</v>
      </c>
      <c r="AO190" s="781">
        <f t="shared" si="383"/>
        <v>0</v>
      </c>
      <c r="AP190" s="781">
        <f t="shared" si="384"/>
        <v>0</v>
      </c>
      <c r="AQ190" s="781">
        <f t="shared" si="368"/>
        <v>0</v>
      </c>
      <c r="AR190" s="781">
        <f t="shared" si="385"/>
        <v>0</v>
      </c>
      <c r="AS190" s="783">
        <f t="shared" si="369"/>
        <v>0</v>
      </c>
      <c r="AT190" s="759"/>
      <c r="AX190" t="s">
        <v>704</v>
      </c>
      <c r="BM190" s="2010">
        <v>500</v>
      </c>
    </row>
    <row r="191" spans="1:65" ht="15" x14ac:dyDescent="0.25">
      <c r="A191" s="784"/>
      <c r="B191" s="719">
        <f t="shared" si="371"/>
        <v>113</v>
      </c>
      <c r="C191" s="170" t="str">
        <f t="shared" si="370"/>
        <v>43EA</v>
      </c>
      <c r="D191" s="557"/>
      <c r="E191" s="170"/>
      <c r="F191" s="170">
        <v>43</v>
      </c>
      <c r="G191" s="2007" t="s">
        <v>706</v>
      </c>
      <c r="H191" s="1926"/>
      <c r="I191" s="2008" t="s">
        <v>732</v>
      </c>
      <c r="J191" s="1926"/>
      <c r="K191" s="1926"/>
      <c r="L191" s="170"/>
      <c r="M191" s="2009">
        <v>21.5</v>
      </c>
      <c r="N191" s="2010">
        <v>1</v>
      </c>
      <c r="O191" s="773">
        <f t="shared" si="468"/>
        <v>21.5</v>
      </c>
      <c r="P191" s="2008" t="s">
        <v>39</v>
      </c>
      <c r="Q191" s="2051" t="s">
        <v>39</v>
      </c>
      <c r="R191" s="2011" t="s">
        <v>73</v>
      </c>
      <c r="S191" s="778">
        <f>SUMIF('Data Input sheet'!$B$118:$B$180,R191,'Data Input sheet'!$D$118:$D$180)</f>
        <v>119</v>
      </c>
      <c r="T191" s="2010">
        <f t="shared" si="386"/>
        <v>2558.5</v>
      </c>
      <c r="U191" s="2010">
        <v>28</v>
      </c>
      <c r="V191" s="778">
        <f t="shared" si="375"/>
        <v>602</v>
      </c>
      <c r="W191" s="2010">
        <f t="shared" si="489"/>
        <v>625</v>
      </c>
      <c r="X191" s="779"/>
      <c r="Y191" s="2012">
        <v>0</v>
      </c>
      <c r="Z191" s="780">
        <f t="shared" si="387"/>
        <v>3785.5</v>
      </c>
      <c r="AA191" s="2007"/>
      <c r="AB191" s="2007"/>
      <c r="AC191" s="765"/>
      <c r="AD191" s="781">
        <f t="shared" si="376"/>
        <v>0</v>
      </c>
      <c r="AE191" s="781">
        <f t="shared" si="364"/>
        <v>0</v>
      </c>
      <c r="AF191" s="781">
        <f t="shared" si="377"/>
        <v>0</v>
      </c>
      <c r="AG191" s="781">
        <f t="shared" si="378"/>
        <v>0</v>
      </c>
      <c r="AH191" s="781">
        <f t="shared" si="365"/>
        <v>0</v>
      </c>
      <c r="AI191" s="782">
        <f t="shared" si="379"/>
        <v>0</v>
      </c>
      <c r="AJ191" s="781">
        <f t="shared" si="380"/>
        <v>0</v>
      </c>
      <c r="AK191" s="781">
        <f t="shared" si="366"/>
        <v>0</v>
      </c>
      <c r="AL191" s="781">
        <f t="shared" si="381"/>
        <v>0</v>
      </c>
      <c r="AM191" s="781">
        <f t="shared" si="382"/>
        <v>0</v>
      </c>
      <c r="AN191" s="781">
        <f t="shared" si="367"/>
        <v>0</v>
      </c>
      <c r="AO191" s="781">
        <f t="shared" si="383"/>
        <v>0</v>
      </c>
      <c r="AP191" s="781">
        <f t="shared" si="384"/>
        <v>0</v>
      </c>
      <c r="AQ191" s="781">
        <f t="shared" si="368"/>
        <v>0</v>
      </c>
      <c r="AR191" s="781">
        <f t="shared" si="385"/>
        <v>0</v>
      </c>
      <c r="AS191" s="783">
        <f t="shared" si="369"/>
        <v>0</v>
      </c>
      <c r="AT191" s="759"/>
      <c r="AX191" t="s">
        <v>704</v>
      </c>
      <c r="BM191" s="2010">
        <v>500</v>
      </c>
    </row>
    <row r="192" spans="1:65" ht="15" x14ac:dyDescent="0.25">
      <c r="A192" s="784"/>
      <c r="B192" s="719">
        <f t="shared" si="371"/>
        <v>114</v>
      </c>
      <c r="C192" s="170" t="str">
        <f t="shared" si="370"/>
        <v/>
      </c>
      <c r="D192" s="557"/>
      <c r="E192" s="170"/>
      <c r="F192" s="170"/>
      <c r="G192" s="2007"/>
      <c r="H192" s="1926"/>
      <c r="I192" s="2008"/>
      <c r="J192" s="1926"/>
      <c r="K192" s="1926"/>
      <c r="L192" s="170"/>
      <c r="M192" s="2009"/>
      <c r="N192" s="2010"/>
      <c r="O192" s="773"/>
      <c r="P192" s="2008"/>
      <c r="Q192" s="2008"/>
      <c r="R192" s="2011"/>
      <c r="S192" s="778"/>
      <c r="T192" s="2010"/>
      <c r="U192" s="2010">
        <v>0</v>
      </c>
      <c r="V192" s="778">
        <f t="shared" si="375"/>
        <v>0</v>
      </c>
      <c r="W192" s="2010"/>
      <c r="X192" s="779"/>
      <c r="Y192" s="2012"/>
      <c r="Z192" s="780"/>
      <c r="AA192" s="2007"/>
      <c r="AB192" s="2007"/>
      <c r="AC192" s="765"/>
      <c r="AD192" s="781">
        <f t="shared" si="376"/>
        <v>0</v>
      </c>
      <c r="AE192" s="781">
        <f t="shared" si="364"/>
        <v>0</v>
      </c>
      <c r="AF192" s="781">
        <f t="shared" si="377"/>
        <v>0</v>
      </c>
      <c r="AG192" s="781">
        <f t="shared" si="378"/>
        <v>0</v>
      </c>
      <c r="AH192" s="781">
        <f t="shared" si="365"/>
        <v>0</v>
      </c>
      <c r="AI192" s="782">
        <f t="shared" si="379"/>
        <v>0</v>
      </c>
      <c r="AJ192" s="781">
        <f t="shared" si="380"/>
        <v>0</v>
      </c>
      <c r="AK192" s="781">
        <f t="shared" si="366"/>
        <v>0</v>
      </c>
      <c r="AL192" s="781">
        <f t="shared" si="381"/>
        <v>0</v>
      </c>
      <c r="AM192" s="781">
        <f t="shared" si="382"/>
        <v>0</v>
      </c>
      <c r="AN192" s="781">
        <f t="shared" si="367"/>
        <v>0</v>
      </c>
      <c r="AO192" s="781">
        <f t="shared" si="383"/>
        <v>0</v>
      </c>
      <c r="AP192" s="781">
        <f t="shared" si="384"/>
        <v>0</v>
      </c>
      <c r="AQ192" s="781">
        <f t="shared" si="368"/>
        <v>0</v>
      </c>
      <c r="AR192" s="781">
        <f t="shared" si="385"/>
        <v>0</v>
      </c>
      <c r="AS192" s="783">
        <f t="shared" si="369"/>
        <v>0</v>
      </c>
      <c r="AT192" s="759"/>
      <c r="BM192" s="2010"/>
    </row>
    <row r="193" spans="1:65" ht="15" x14ac:dyDescent="0.25">
      <c r="A193" s="784"/>
      <c r="B193" s="719">
        <f t="shared" si="371"/>
        <v>115</v>
      </c>
      <c r="C193" s="170" t="str">
        <f t="shared" si="370"/>
        <v/>
      </c>
      <c r="D193" s="557"/>
      <c r="E193" s="170"/>
      <c r="F193" s="170"/>
      <c r="G193" s="2007"/>
      <c r="H193" s="1926"/>
      <c r="I193" s="2008"/>
      <c r="J193" s="1926"/>
      <c r="K193" s="1926"/>
      <c r="L193" s="170"/>
      <c r="M193" s="2009"/>
      <c r="N193" s="2010"/>
      <c r="O193" s="773"/>
      <c r="P193" s="2008"/>
      <c r="Q193" s="2008"/>
      <c r="R193" s="2011"/>
      <c r="S193" s="778"/>
      <c r="T193" s="2010"/>
      <c r="U193" s="2010">
        <v>0</v>
      </c>
      <c r="V193" s="778">
        <f t="shared" si="375"/>
        <v>0</v>
      </c>
      <c r="W193" s="2010"/>
      <c r="X193" s="779"/>
      <c r="Y193" s="2012"/>
      <c r="Z193" s="780"/>
      <c r="AA193" s="2007"/>
      <c r="AB193" s="2007"/>
      <c r="AC193" s="765"/>
      <c r="AD193" s="781">
        <f t="shared" si="376"/>
        <v>0</v>
      </c>
      <c r="AE193" s="781">
        <f t="shared" si="364"/>
        <v>0</v>
      </c>
      <c r="AF193" s="781">
        <f t="shared" si="377"/>
        <v>0</v>
      </c>
      <c r="AG193" s="781">
        <f t="shared" si="378"/>
        <v>0</v>
      </c>
      <c r="AH193" s="781">
        <f t="shared" si="365"/>
        <v>0</v>
      </c>
      <c r="AI193" s="782">
        <f t="shared" si="379"/>
        <v>0</v>
      </c>
      <c r="AJ193" s="781">
        <f t="shared" si="380"/>
        <v>0</v>
      </c>
      <c r="AK193" s="781">
        <f t="shared" si="366"/>
        <v>0</v>
      </c>
      <c r="AL193" s="781">
        <f t="shared" si="381"/>
        <v>0</v>
      </c>
      <c r="AM193" s="781">
        <f t="shared" si="382"/>
        <v>0</v>
      </c>
      <c r="AN193" s="781">
        <f t="shared" si="367"/>
        <v>0</v>
      </c>
      <c r="AO193" s="781">
        <f t="shared" si="383"/>
        <v>0</v>
      </c>
      <c r="AP193" s="781">
        <f t="shared" si="384"/>
        <v>0</v>
      </c>
      <c r="AQ193" s="781">
        <f t="shared" si="368"/>
        <v>0</v>
      </c>
      <c r="AR193" s="781">
        <f t="shared" si="385"/>
        <v>0</v>
      </c>
      <c r="AS193" s="783">
        <f t="shared" si="369"/>
        <v>0</v>
      </c>
      <c r="AT193" s="759"/>
      <c r="BM193" s="2010"/>
    </row>
    <row r="194" spans="1:65" ht="15.75" thickBot="1" x14ac:dyDescent="0.3">
      <c r="A194" s="784"/>
      <c r="B194" s="719">
        <f t="shared" si="371"/>
        <v>116</v>
      </c>
      <c r="C194" s="170" t="str">
        <f t="shared" si="370"/>
        <v/>
      </c>
      <c r="D194" s="557"/>
      <c r="E194" s="170"/>
      <c r="F194" s="557"/>
      <c r="G194" s="787"/>
      <c r="H194" s="784"/>
      <c r="I194" s="784"/>
      <c r="J194" s="784"/>
      <c r="K194" s="784"/>
      <c r="L194" s="170"/>
      <c r="M194" s="773"/>
      <c r="N194" s="773"/>
      <c r="O194" s="773"/>
      <c r="P194" s="788"/>
      <c r="Q194" s="788"/>
      <c r="R194" s="773"/>
      <c r="S194" s="778"/>
      <c r="T194" s="778"/>
      <c r="U194" s="778">
        <v>0</v>
      </c>
      <c r="V194" s="778">
        <f t="shared" si="375"/>
        <v>0</v>
      </c>
      <c r="W194" s="778"/>
      <c r="X194" s="779"/>
      <c r="Y194" s="779"/>
      <c r="Z194" s="780"/>
      <c r="AA194" s="787"/>
      <c r="AB194" s="787"/>
      <c r="AC194" s="170"/>
      <c r="AD194" s="781">
        <f t="shared" si="376"/>
        <v>0</v>
      </c>
      <c r="AE194" s="781">
        <f t="shared" si="364"/>
        <v>0</v>
      </c>
      <c r="AF194" s="781">
        <f t="shared" si="377"/>
        <v>0</v>
      </c>
      <c r="AG194" s="781">
        <f t="shared" si="378"/>
        <v>0</v>
      </c>
      <c r="AH194" s="781">
        <f t="shared" si="365"/>
        <v>0</v>
      </c>
      <c r="AI194" s="782">
        <f t="shared" si="379"/>
        <v>0</v>
      </c>
      <c r="AJ194" s="781">
        <f t="shared" si="380"/>
        <v>0</v>
      </c>
      <c r="AK194" s="781">
        <f t="shared" si="366"/>
        <v>0</v>
      </c>
      <c r="AL194" s="781">
        <f t="shared" si="381"/>
        <v>0</v>
      </c>
      <c r="AM194" s="781">
        <f t="shared" si="382"/>
        <v>0</v>
      </c>
      <c r="AN194" s="781">
        <f t="shared" si="367"/>
        <v>0</v>
      </c>
      <c r="AO194" s="781">
        <f t="shared" si="383"/>
        <v>0</v>
      </c>
      <c r="AP194" s="781">
        <f t="shared" si="384"/>
        <v>0</v>
      </c>
      <c r="AQ194" s="781">
        <f t="shared" si="368"/>
        <v>0</v>
      </c>
      <c r="AR194" s="781">
        <f t="shared" si="385"/>
        <v>0</v>
      </c>
      <c r="AS194" s="783">
        <f t="shared" si="369"/>
        <v>0</v>
      </c>
      <c r="AT194" s="759"/>
      <c r="AU194" s="170"/>
      <c r="AV194" s="170"/>
      <c r="AW194" s="836"/>
      <c r="AX194" s="787"/>
      <c r="BM194" s="778"/>
    </row>
    <row r="195" spans="1:65" ht="15.75" thickBot="1" x14ac:dyDescent="0.3">
      <c r="A195" s="784"/>
      <c r="B195" s="719">
        <f t="shared" si="371"/>
        <v>117</v>
      </c>
      <c r="C195" s="170" t="str">
        <f t="shared" si="370"/>
        <v/>
      </c>
      <c r="D195" s="557"/>
      <c r="E195" s="170"/>
      <c r="F195" s="557"/>
      <c r="G195" s="841" t="s">
        <v>629</v>
      </c>
      <c r="H195" s="784">
        <v>1</v>
      </c>
      <c r="I195" s="784"/>
      <c r="J195" s="784"/>
      <c r="K195" s="784"/>
      <c r="L195" s="170"/>
      <c r="M195" s="773"/>
      <c r="N195" s="773"/>
      <c r="O195" s="773"/>
      <c r="P195" s="788"/>
      <c r="Q195" s="788"/>
      <c r="R195" s="773"/>
      <c r="S195" s="778"/>
      <c r="T195" s="778"/>
      <c r="U195" s="778">
        <v>0</v>
      </c>
      <c r="V195" s="778">
        <f t="shared" si="375"/>
        <v>0</v>
      </c>
      <c r="W195" s="778"/>
      <c r="X195" s="779"/>
      <c r="Y195" s="779"/>
      <c r="Z195" s="780"/>
      <c r="AA195" s="787"/>
      <c r="AB195" s="787"/>
      <c r="AC195" s="170"/>
      <c r="AD195" s="781">
        <f t="shared" si="376"/>
        <v>0</v>
      </c>
      <c r="AE195" s="781">
        <f t="shared" si="364"/>
        <v>0</v>
      </c>
      <c r="AF195" s="781">
        <f t="shared" si="377"/>
        <v>0</v>
      </c>
      <c r="AG195" s="781">
        <f t="shared" si="378"/>
        <v>0</v>
      </c>
      <c r="AH195" s="781">
        <f t="shared" si="365"/>
        <v>0</v>
      </c>
      <c r="AI195" s="782">
        <f t="shared" si="379"/>
        <v>0</v>
      </c>
      <c r="AJ195" s="781">
        <f t="shared" si="380"/>
        <v>0</v>
      </c>
      <c r="AK195" s="781">
        <f t="shared" si="366"/>
        <v>0</v>
      </c>
      <c r="AL195" s="781">
        <f t="shared" si="381"/>
        <v>0</v>
      </c>
      <c r="AM195" s="781">
        <f t="shared" si="382"/>
        <v>0</v>
      </c>
      <c r="AN195" s="781">
        <f t="shared" si="367"/>
        <v>0</v>
      </c>
      <c r="AO195" s="781">
        <f t="shared" si="383"/>
        <v>0</v>
      </c>
      <c r="AP195" s="781">
        <f t="shared" si="384"/>
        <v>0</v>
      </c>
      <c r="AQ195" s="781">
        <f t="shared" si="368"/>
        <v>0</v>
      </c>
      <c r="AR195" s="781">
        <f t="shared" si="385"/>
        <v>0</v>
      </c>
      <c r="AS195" s="783">
        <f t="shared" si="369"/>
        <v>0</v>
      </c>
      <c r="AT195" s="759"/>
      <c r="AU195" s="170"/>
      <c r="AV195" s="170"/>
      <c r="AW195" s="836"/>
      <c r="AX195" s="787"/>
      <c r="BM195" s="778"/>
    </row>
    <row r="196" spans="1:65" ht="15" x14ac:dyDescent="0.25">
      <c r="A196" s="784"/>
      <c r="B196" s="719">
        <f t="shared" si="371"/>
        <v>118</v>
      </c>
      <c r="C196" s="170" t="str">
        <f t="shared" si="370"/>
        <v/>
      </c>
      <c r="D196" s="557"/>
      <c r="E196" s="170"/>
      <c r="F196" s="557"/>
      <c r="G196" s="787"/>
      <c r="H196" s="784"/>
      <c r="I196" s="784"/>
      <c r="J196" s="784"/>
      <c r="K196" s="784"/>
      <c r="L196" s="170"/>
      <c r="M196" s="773"/>
      <c r="N196" s="773"/>
      <c r="O196" s="773"/>
      <c r="P196" s="788"/>
      <c r="Q196" s="788"/>
      <c r="R196" s="773"/>
      <c r="S196" s="778"/>
      <c r="T196" s="778"/>
      <c r="U196" s="778">
        <v>0</v>
      </c>
      <c r="V196" s="778">
        <f t="shared" si="375"/>
        <v>0</v>
      </c>
      <c r="W196" s="778"/>
      <c r="X196" s="779"/>
      <c r="Y196" s="779"/>
      <c r="Z196" s="780"/>
      <c r="AA196" s="787"/>
      <c r="AB196" s="787"/>
      <c r="AC196" s="170"/>
      <c r="AD196" s="781">
        <f t="shared" si="376"/>
        <v>0</v>
      </c>
      <c r="AE196" s="781">
        <f t="shared" si="364"/>
        <v>0</v>
      </c>
      <c r="AF196" s="781">
        <f t="shared" si="377"/>
        <v>0</v>
      </c>
      <c r="AG196" s="781">
        <f t="shared" si="378"/>
        <v>0</v>
      </c>
      <c r="AH196" s="781">
        <f t="shared" si="365"/>
        <v>0</v>
      </c>
      <c r="AI196" s="782">
        <f t="shared" si="379"/>
        <v>0</v>
      </c>
      <c r="AJ196" s="781">
        <f t="shared" si="380"/>
        <v>0</v>
      </c>
      <c r="AK196" s="781">
        <f t="shared" si="366"/>
        <v>0</v>
      </c>
      <c r="AL196" s="781">
        <f t="shared" si="381"/>
        <v>0</v>
      </c>
      <c r="AM196" s="781">
        <f t="shared" si="382"/>
        <v>0</v>
      </c>
      <c r="AN196" s="781">
        <f t="shared" si="367"/>
        <v>0</v>
      </c>
      <c r="AO196" s="781">
        <f t="shared" si="383"/>
        <v>0</v>
      </c>
      <c r="AP196" s="781">
        <f t="shared" si="384"/>
        <v>0</v>
      </c>
      <c r="AQ196" s="781">
        <f t="shared" si="368"/>
        <v>0</v>
      </c>
      <c r="AR196" s="781">
        <f t="shared" si="385"/>
        <v>0</v>
      </c>
      <c r="AS196" s="783">
        <f t="shared" si="369"/>
        <v>0</v>
      </c>
      <c r="AT196" s="759"/>
      <c r="AU196" s="170"/>
      <c r="AV196" s="170"/>
      <c r="AW196" s="836"/>
      <c r="AX196" s="787"/>
      <c r="BM196" s="778"/>
    </row>
    <row r="197" spans="1:65" ht="15" x14ac:dyDescent="0.25">
      <c r="A197" s="784"/>
      <c r="B197" s="719">
        <f t="shared" si="371"/>
        <v>119</v>
      </c>
      <c r="C197" s="170" t="str">
        <f t="shared" si="370"/>
        <v>34Ckt. Ft</v>
      </c>
      <c r="D197" s="557"/>
      <c r="E197" s="170"/>
      <c r="F197" s="170">
        <v>34</v>
      </c>
      <c r="G197" s="2007" t="s">
        <v>2217</v>
      </c>
      <c r="H197" s="1926"/>
      <c r="I197" s="2008" t="s">
        <v>1331</v>
      </c>
      <c r="J197" s="1926"/>
      <c r="K197" s="1926"/>
      <c r="L197" s="170"/>
      <c r="M197" s="2009">
        <v>20</v>
      </c>
      <c r="N197" s="2010">
        <v>1</v>
      </c>
      <c r="O197" s="773">
        <f t="shared" ref="O197:O238" si="490">+M197*N197</f>
        <v>20</v>
      </c>
      <c r="P197" s="2008" t="s">
        <v>39</v>
      </c>
      <c r="Q197" s="2008" t="s">
        <v>604</v>
      </c>
      <c r="R197" s="2011" t="s">
        <v>74</v>
      </c>
      <c r="S197" s="778">
        <f>SUMIF('Data Input sheet'!$B$118:$B$180,R197,'Data Input sheet'!$D$118:$D$180)</f>
        <v>152</v>
      </c>
      <c r="T197" s="2010">
        <f t="shared" ref="T197:T238" si="491">+O197*S197</f>
        <v>3040</v>
      </c>
      <c r="U197" s="2010">
        <v>14</v>
      </c>
      <c r="V197" s="778">
        <f t="shared" si="375"/>
        <v>280</v>
      </c>
      <c r="W197" s="2010">
        <v>3350.6620932096007</v>
      </c>
      <c r="X197" s="779"/>
      <c r="Y197" s="2012">
        <v>0</v>
      </c>
      <c r="Z197" s="780">
        <f t="shared" ref="Z197:Z238" si="492">T197+V197+W197+Y197</f>
        <v>6670.6620932096012</v>
      </c>
      <c r="AA197" s="2007" t="s">
        <v>707</v>
      </c>
      <c r="AB197" s="2007" t="s">
        <v>2868</v>
      </c>
      <c r="AC197" s="765"/>
      <c r="AD197" s="781">
        <f t="shared" si="376"/>
        <v>0</v>
      </c>
      <c r="AE197" s="781">
        <f t="shared" si="364"/>
        <v>0</v>
      </c>
      <c r="AF197" s="781">
        <f t="shared" si="377"/>
        <v>0</v>
      </c>
      <c r="AG197" s="781">
        <f t="shared" si="378"/>
        <v>0</v>
      </c>
      <c r="AH197" s="781">
        <f t="shared" si="365"/>
        <v>0</v>
      </c>
      <c r="AI197" s="782">
        <f t="shared" si="379"/>
        <v>0</v>
      </c>
      <c r="AJ197" s="781">
        <f t="shared" si="380"/>
        <v>0</v>
      </c>
      <c r="AK197" s="781">
        <f t="shared" si="366"/>
        <v>0</v>
      </c>
      <c r="AL197" s="781">
        <f t="shared" si="381"/>
        <v>0</v>
      </c>
      <c r="AM197" s="781">
        <f t="shared" si="382"/>
        <v>0</v>
      </c>
      <c r="AN197" s="781">
        <f t="shared" si="367"/>
        <v>0</v>
      </c>
      <c r="AO197" s="781">
        <f t="shared" si="383"/>
        <v>0</v>
      </c>
      <c r="AP197" s="781">
        <f t="shared" si="384"/>
        <v>0</v>
      </c>
      <c r="AQ197" s="781">
        <f t="shared" si="368"/>
        <v>0</v>
      </c>
      <c r="AR197" s="781">
        <f t="shared" si="385"/>
        <v>0</v>
      </c>
      <c r="AS197" s="783">
        <f t="shared" si="369"/>
        <v>0</v>
      </c>
      <c r="AT197" s="759"/>
      <c r="BM197" s="2010">
        <v>3350.6620932096007</v>
      </c>
    </row>
    <row r="198" spans="1:65" ht="15" x14ac:dyDescent="0.25">
      <c r="A198" s="784"/>
      <c r="B198" s="719">
        <f t="shared" si="371"/>
        <v>120</v>
      </c>
      <c r="C198" s="170" t="str">
        <f t="shared" si="370"/>
        <v>34Ckt. Ft</v>
      </c>
      <c r="D198" s="557"/>
      <c r="E198" s="170"/>
      <c r="F198" s="170">
        <v>34</v>
      </c>
      <c r="G198" s="2007" t="s">
        <v>2216</v>
      </c>
      <c r="H198" s="1926"/>
      <c r="I198" s="2008" t="s">
        <v>1331</v>
      </c>
      <c r="J198" s="1926"/>
      <c r="K198" s="1926"/>
      <c r="L198" s="170"/>
      <c r="M198" s="2009">
        <v>7.86</v>
      </c>
      <c r="N198" s="2010">
        <v>1</v>
      </c>
      <c r="O198" s="773">
        <f t="shared" si="490"/>
        <v>7.86</v>
      </c>
      <c r="P198" s="2008" t="s">
        <v>39</v>
      </c>
      <c r="Q198" s="2008" t="s">
        <v>604</v>
      </c>
      <c r="R198" s="2011" t="s">
        <v>74</v>
      </c>
      <c r="S198" s="778">
        <f>SUMIF('Data Input sheet'!$B$118:$B$180,R198,'Data Input sheet'!$D$118:$D$180)</f>
        <v>152</v>
      </c>
      <c r="T198" s="2010">
        <f t="shared" si="491"/>
        <v>1194.72</v>
      </c>
      <c r="U198" s="2010">
        <v>14</v>
      </c>
      <c r="V198" s="778">
        <f t="shared" si="375"/>
        <v>110</v>
      </c>
      <c r="W198" s="2010">
        <v>594.88</v>
      </c>
      <c r="X198" s="779"/>
      <c r="Y198" s="2012">
        <v>0</v>
      </c>
      <c r="Z198" s="780">
        <f t="shared" si="492"/>
        <v>1899.6</v>
      </c>
      <c r="AA198" s="2007" t="s">
        <v>708</v>
      </c>
      <c r="AB198" s="2007" t="s">
        <v>2868</v>
      </c>
      <c r="AC198" s="765"/>
      <c r="AD198" s="781">
        <f t="shared" si="376"/>
        <v>0</v>
      </c>
      <c r="AE198" s="781">
        <f t="shared" si="364"/>
        <v>0</v>
      </c>
      <c r="AF198" s="781">
        <f t="shared" si="377"/>
        <v>0</v>
      </c>
      <c r="AG198" s="781">
        <f t="shared" si="378"/>
        <v>0</v>
      </c>
      <c r="AH198" s="781">
        <f t="shared" si="365"/>
        <v>0</v>
      </c>
      <c r="AI198" s="782">
        <f t="shared" si="379"/>
        <v>0</v>
      </c>
      <c r="AJ198" s="781">
        <f t="shared" si="380"/>
        <v>0</v>
      </c>
      <c r="AK198" s="781">
        <f t="shared" si="366"/>
        <v>0</v>
      </c>
      <c r="AL198" s="781">
        <f t="shared" si="381"/>
        <v>0</v>
      </c>
      <c r="AM198" s="781">
        <f t="shared" si="382"/>
        <v>0</v>
      </c>
      <c r="AN198" s="781">
        <f t="shared" si="367"/>
        <v>0</v>
      </c>
      <c r="AO198" s="781">
        <f t="shared" si="383"/>
        <v>0</v>
      </c>
      <c r="AP198" s="781">
        <f t="shared" si="384"/>
        <v>0</v>
      </c>
      <c r="AQ198" s="781">
        <f t="shared" si="368"/>
        <v>0</v>
      </c>
      <c r="AR198" s="781">
        <f t="shared" si="385"/>
        <v>0</v>
      </c>
      <c r="AS198" s="783">
        <f t="shared" si="369"/>
        <v>0</v>
      </c>
      <c r="AT198" s="759"/>
      <c r="BM198" s="2010">
        <v>594.88</v>
      </c>
    </row>
    <row r="199" spans="1:65" ht="15" x14ac:dyDescent="0.25">
      <c r="A199" s="784"/>
      <c r="B199" s="719">
        <f t="shared" si="371"/>
        <v>121</v>
      </c>
      <c r="C199" s="170" t="str">
        <f t="shared" si="370"/>
        <v>33Ckt. Ft</v>
      </c>
      <c r="D199" s="557"/>
      <c r="E199" s="170"/>
      <c r="F199" s="170">
        <v>33</v>
      </c>
      <c r="G199" s="2007" t="s">
        <v>2218</v>
      </c>
      <c r="H199" s="1926"/>
      <c r="I199" s="2008" t="s">
        <v>1331</v>
      </c>
      <c r="J199" s="1926"/>
      <c r="K199" s="1926"/>
      <c r="L199" s="170"/>
      <c r="M199" s="2009">
        <v>17</v>
      </c>
      <c r="N199" s="2010">
        <v>1</v>
      </c>
      <c r="O199" s="773">
        <f t="shared" si="490"/>
        <v>17</v>
      </c>
      <c r="P199" s="2008" t="s">
        <v>39</v>
      </c>
      <c r="Q199" s="2008" t="s">
        <v>604</v>
      </c>
      <c r="R199" s="2011" t="s">
        <v>74</v>
      </c>
      <c r="S199" s="778">
        <f>SUMIF('Data Input sheet'!$B$118:$B$180,R199,'Data Input sheet'!$D$118:$D$180)</f>
        <v>152</v>
      </c>
      <c r="T199" s="2010">
        <f t="shared" si="491"/>
        <v>2584</v>
      </c>
      <c r="U199" s="2010">
        <v>14</v>
      </c>
      <c r="V199" s="778">
        <f t="shared" si="375"/>
        <v>238</v>
      </c>
      <c r="W199" s="2010">
        <v>3009.3909540864001</v>
      </c>
      <c r="X199" s="779"/>
      <c r="Y199" s="2012">
        <v>0</v>
      </c>
      <c r="Z199" s="780">
        <f t="shared" si="492"/>
        <v>5831.3909540864006</v>
      </c>
      <c r="AA199" s="2007" t="s">
        <v>709</v>
      </c>
      <c r="AB199" s="2007" t="s">
        <v>2868</v>
      </c>
      <c r="AC199" s="765"/>
      <c r="AD199" s="781">
        <f t="shared" si="376"/>
        <v>0</v>
      </c>
      <c r="AE199" s="781">
        <f t="shared" si="364"/>
        <v>0</v>
      </c>
      <c r="AF199" s="781">
        <f t="shared" si="377"/>
        <v>0</v>
      </c>
      <c r="AG199" s="781">
        <f t="shared" si="378"/>
        <v>0</v>
      </c>
      <c r="AH199" s="781">
        <f t="shared" si="365"/>
        <v>0</v>
      </c>
      <c r="AI199" s="782">
        <f t="shared" si="379"/>
        <v>0</v>
      </c>
      <c r="AJ199" s="781">
        <f t="shared" si="380"/>
        <v>0</v>
      </c>
      <c r="AK199" s="781">
        <f t="shared" si="366"/>
        <v>0</v>
      </c>
      <c r="AL199" s="781">
        <f t="shared" si="381"/>
        <v>0</v>
      </c>
      <c r="AM199" s="781">
        <f t="shared" si="382"/>
        <v>0</v>
      </c>
      <c r="AN199" s="781">
        <f t="shared" si="367"/>
        <v>0</v>
      </c>
      <c r="AO199" s="781">
        <f t="shared" si="383"/>
        <v>0</v>
      </c>
      <c r="AP199" s="781">
        <f t="shared" si="384"/>
        <v>0</v>
      </c>
      <c r="AQ199" s="781">
        <f t="shared" si="368"/>
        <v>0</v>
      </c>
      <c r="AR199" s="781">
        <f t="shared" si="385"/>
        <v>0</v>
      </c>
      <c r="AS199" s="783">
        <f t="shared" si="369"/>
        <v>0</v>
      </c>
      <c r="AT199" s="759"/>
      <c r="BM199" s="2010">
        <v>3009.3909540864001</v>
      </c>
    </row>
    <row r="200" spans="1:65" ht="25.5" x14ac:dyDescent="0.25">
      <c r="A200" s="784"/>
      <c r="B200" s="719">
        <f t="shared" si="371"/>
        <v>122</v>
      </c>
      <c r="C200" s="170" t="str">
        <f t="shared" si="370"/>
        <v>33EA</v>
      </c>
      <c r="D200" s="557"/>
      <c r="E200" s="170"/>
      <c r="F200" s="170">
        <v>33</v>
      </c>
      <c r="G200" s="2007" t="s">
        <v>3333</v>
      </c>
      <c r="H200" s="1926">
        <f>+'Structure replacements'!L137</f>
        <v>0</v>
      </c>
      <c r="I200" s="2008" t="s">
        <v>732</v>
      </c>
      <c r="J200" s="1926"/>
      <c r="K200" s="1926"/>
      <c r="L200" s="170"/>
      <c r="M200" s="2009">
        <v>10</v>
      </c>
      <c r="N200" s="2010">
        <v>1</v>
      </c>
      <c r="O200" s="773">
        <f t="shared" si="490"/>
        <v>10</v>
      </c>
      <c r="P200" s="2008" t="s">
        <v>39</v>
      </c>
      <c r="Q200" s="2008" t="s">
        <v>604</v>
      </c>
      <c r="R200" s="2011" t="s">
        <v>74</v>
      </c>
      <c r="S200" s="778">
        <f>SUMIF('Data Input sheet'!$B$118:$B$180,R200,'Data Input sheet'!$D$118:$D$180)</f>
        <v>152</v>
      </c>
      <c r="T200" s="2010">
        <f t="shared" si="491"/>
        <v>1520</v>
      </c>
      <c r="U200" s="2010">
        <v>14</v>
      </c>
      <c r="V200" s="778">
        <f t="shared" si="375"/>
        <v>140</v>
      </c>
      <c r="W200" s="2010">
        <v>375</v>
      </c>
      <c r="X200" s="779"/>
      <c r="Y200" s="2012">
        <v>0</v>
      </c>
      <c r="Z200" s="780">
        <f t="shared" si="492"/>
        <v>2035</v>
      </c>
      <c r="AA200" s="2007" t="s">
        <v>2366</v>
      </c>
      <c r="AB200" s="2007" t="s">
        <v>3293</v>
      </c>
      <c r="AC200" s="765"/>
      <c r="AD200" s="781">
        <f t="shared" si="376"/>
        <v>0</v>
      </c>
      <c r="AE200" s="781">
        <f t="shared" si="364"/>
        <v>0</v>
      </c>
      <c r="AF200" s="781">
        <f t="shared" si="377"/>
        <v>0</v>
      </c>
      <c r="AG200" s="781">
        <f t="shared" si="378"/>
        <v>0</v>
      </c>
      <c r="AH200" s="781">
        <f t="shared" si="365"/>
        <v>0</v>
      </c>
      <c r="AI200" s="782">
        <f t="shared" si="379"/>
        <v>0</v>
      </c>
      <c r="AJ200" s="781">
        <f t="shared" si="380"/>
        <v>0</v>
      </c>
      <c r="AK200" s="781">
        <f t="shared" si="366"/>
        <v>0</v>
      </c>
      <c r="AL200" s="781">
        <f t="shared" si="381"/>
        <v>0</v>
      </c>
      <c r="AM200" s="781">
        <f t="shared" si="382"/>
        <v>0</v>
      </c>
      <c r="AN200" s="781">
        <f t="shared" si="367"/>
        <v>0</v>
      </c>
      <c r="AO200" s="781">
        <f t="shared" si="383"/>
        <v>0</v>
      </c>
      <c r="AP200" s="781">
        <f t="shared" si="384"/>
        <v>0</v>
      </c>
      <c r="AQ200" s="781">
        <f t="shared" si="368"/>
        <v>0</v>
      </c>
      <c r="AR200" s="781">
        <f t="shared" si="385"/>
        <v>0</v>
      </c>
      <c r="AS200" s="783">
        <f t="shared" si="369"/>
        <v>0</v>
      </c>
      <c r="AT200" s="759"/>
      <c r="AX200" t="s">
        <v>710</v>
      </c>
      <c r="BM200" s="2010">
        <v>350</v>
      </c>
    </row>
    <row r="201" spans="1:65" ht="25.5" x14ac:dyDescent="0.25">
      <c r="A201" s="784"/>
      <c r="B201" s="719">
        <f t="shared" si="371"/>
        <v>123</v>
      </c>
      <c r="C201" s="170" t="str">
        <f t="shared" si="370"/>
        <v>33EA</v>
      </c>
      <c r="D201" s="557"/>
      <c r="E201" s="170"/>
      <c r="F201" s="170">
        <v>33</v>
      </c>
      <c r="G201" s="2007" t="s">
        <v>3334</v>
      </c>
      <c r="H201" s="1926">
        <f>+'Structure replacements'!L138</f>
        <v>0</v>
      </c>
      <c r="I201" s="2008" t="s">
        <v>732</v>
      </c>
      <c r="J201" s="1926"/>
      <c r="K201" s="1926"/>
      <c r="L201" s="170"/>
      <c r="M201" s="2009">
        <v>10</v>
      </c>
      <c r="N201" s="2010">
        <v>1</v>
      </c>
      <c r="O201" s="773">
        <f t="shared" si="490"/>
        <v>10</v>
      </c>
      <c r="P201" s="2008" t="s">
        <v>39</v>
      </c>
      <c r="Q201" s="2008" t="s">
        <v>604</v>
      </c>
      <c r="R201" s="2011" t="s">
        <v>74</v>
      </c>
      <c r="S201" s="778">
        <f>SUMIF('Data Input sheet'!$B$118:$B$180,R201,'Data Input sheet'!$D$118:$D$180)</f>
        <v>152</v>
      </c>
      <c r="T201" s="2010">
        <f t="shared" si="491"/>
        <v>1520</v>
      </c>
      <c r="U201" s="2010">
        <v>14</v>
      </c>
      <c r="V201" s="778">
        <f t="shared" si="375"/>
        <v>140</v>
      </c>
      <c r="W201" s="2010">
        <v>637</v>
      </c>
      <c r="X201" s="779"/>
      <c r="Y201" s="2012">
        <v>0</v>
      </c>
      <c r="Z201" s="780">
        <f t="shared" si="492"/>
        <v>2297</v>
      </c>
      <c r="AA201" s="2007" t="s">
        <v>2366</v>
      </c>
      <c r="AB201" s="2007" t="s">
        <v>3293</v>
      </c>
      <c r="AC201" s="765"/>
      <c r="AD201" s="781">
        <f t="shared" si="376"/>
        <v>0</v>
      </c>
      <c r="AE201" s="781">
        <f t="shared" si="364"/>
        <v>0</v>
      </c>
      <c r="AF201" s="781">
        <f t="shared" si="377"/>
        <v>0</v>
      </c>
      <c r="AG201" s="781">
        <f t="shared" si="378"/>
        <v>0</v>
      </c>
      <c r="AH201" s="781">
        <f t="shared" si="365"/>
        <v>0</v>
      </c>
      <c r="AI201" s="782">
        <f t="shared" si="379"/>
        <v>0</v>
      </c>
      <c r="AJ201" s="781">
        <f t="shared" si="380"/>
        <v>0</v>
      </c>
      <c r="AK201" s="781">
        <f t="shared" si="366"/>
        <v>0</v>
      </c>
      <c r="AL201" s="781">
        <f t="shared" si="381"/>
        <v>0</v>
      </c>
      <c r="AM201" s="781">
        <f t="shared" si="382"/>
        <v>0</v>
      </c>
      <c r="AN201" s="781">
        <f t="shared" si="367"/>
        <v>0</v>
      </c>
      <c r="AO201" s="781">
        <f t="shared" si="383"/>
        <v>0</v>
      </c>
      <c r="AP201" s="781">
        <f t="shared" si="384"/>
        <v>0</v>
      </c>
      <c r="AQ201" s="781">
        <f t="shared" si="368"/>
        <v>0</v>
      </c>
      <c r="AR201" s="781">
        <f t="shared" si="385"/>
        <v>0</v>
      </c>
      <c r="AS201" s="783">
        <f t="shared" si="369"/>
        <v>0</v>
      </c>
      <c r="AT201" s="759"/>
      <c r="AX201" t="s">
        <v>710</v>
      </c>
      <c r="BM201" s="2010">
        <v>350</v>
      </c>
    </row>
    <row r="202" spans="1:65" ht="25.5" x14ac:dyDescent="0.25">
      <c r="A202" s="784"/>
      <c r="B202" s="719"/>
      <c r="C202" s="170" t="str">
        <f t="shared" si="370"/>
        <v>33EA</v>
      </c>
      <c r="D202" s="557"/>
      <c r="E202" s="170"/>
      <c r="F202" s="170">
        <v>33</v>
      </c>
      <c r="G202" s="2007" t="s">
        <v>3335</v>
      </c>
      <c r="H202" s="1926"/>
      <c r="I202" s="2008" t="s">
        <v>732</v>
      </c>
      <c r="J202" s="1926"/>
      <c r="K202" s="1926"/>
      <c r="L202" s="170"/>
      <c r="M202" s="2009">
        <v>15</v>
      </c>
      <c r="N202" s="2010">
        <v>1</v>
      </c>
      <c r="O202" s="773">
        <f t="shared" ref="O202:O203" si="493">+M202*N202</f>
        <v>15</v>
      </c>
      <c r="P202" s="2008" t="s">
        <v>39</v>
      </c>
      <c r="Q202" s="2008" t="s">
        <v>604</v>
      </c>
      <c r="R202" s="2011" t="s">
        <v>74</v>
      </c>
      <c r="S202" s="778">
        <f>SUMIF('Data Input sheet'!$B$118:$B$180,R202,'Data Input sheet'!$D$118:$D$180)</f>
        <v>152</v>
      </c>
      <c r="T202" s="2010">
        <f t="shared" ref="T202:T203" si="494">+O202*S202</f>
        <v>2280</v>
      </c>
      <c r="U202" s="2010">
        <v>14</v>
      </c>
      <c r="V202" s="778">
        <f t="shared" ref="V202:V203" si="495">ROUND(U202*O202,0)</f>
        <v>210</v>
      </c>
      <c r="W202" s="2010">
        <v>375</v>
      </c>
      <c r="X202" s="779"/>
      <c r="Y202" s="2012"/>
      <c r="Z202" s="780"/>
      <c r="AA202" s="2007" t="s">
        <v>2366</v>
      </c>
      <c r="AB202" s="2007" t="s">
        <v>3293</v>
      </c>
      <c r="AC202" s="765"/>
      <c r="AD202" s="781">
        <f t="shared" ref="AD202:AD203" si="496">IF(P202="E",+ROUND(H202*O202,0),0)</f>
        <v>0</v>
      </c>
      <c r="AE202" s="781">
        <f t="shared" ref="AE202:AE203" si="497">+AF202-AD202</f>
        <v>0</v>
      </c>
      <c r="AF202" s="781">
        <f t="shared" ref="AF202:AF203" si="498">+H202*O202</f>
        <v>0</v>
      </c>
      <c r="AG202" s="781">
        <f t="shared" ref="AG202:AG203" si="499">IF(P202="E",+ROUND(T202*H202,0),0)</f>
        <v>0</v>
      </c>
      <c r="AH202" s="781">
        <f t="shared" ref="AH202:AH203" si="500">+AI202-AG202</f>
        <v>0</v>
      </c>
      <c r="AI202" s="782">
        <f t="shared" ref="AI202:AI203" si="501">+H202*T202</f>
        <v>0</v>
      </c>
      <c r="AJ202" s="781">
        <f t="shared" ref="AJ202:AJ203" si="502">IF(P202="E",+ROUND(V202*H202,0),0)</f>
        <v>0</v>
      </c>
      <c r="AK202" s="781">
        <f t="shared" ref="AK202:AK203" si="503">+AL202-AJ202</f>
        <v>0</v>
      </c>
      <c r="AL202" s="781">
        <f t="shared" ref="AL202:AL203" si="504">ROUND(V202*H202,0)</f>
        <v>0</v>
      </c>
      <c r="AM202" s="781">
        <f t="shared" ref="AM202:AM203" si="505">IF(Q202="E",+ROUND(W202*H202,0),0)</f>
        <v>0</v>
      </c>
      <c r="AN202" s="781">
        <f t="shared" ref="AN202:AN203" si="506">+AO202-AM202</f>
        <v>0</v>
      </c>
      <c r="AO202" s="781">
        <f t="shared" ref="AO202:AO203" si="507">ROUND(W202*H202,0)</f>
        <v>0</v>
      </c>
      <c r="AP202" s="781">
        <f t="shared" ref="AP202:AP203" si="508">IF(P202="E",+ROUND(Y202*H202,0),0)</f>
        <v>0</v>
      </c>
      <c r="AQ202" s="781">
        <f t="shared" ref="AQ202:AQ203" si="509">+AR202-AP202</f>
        <v>0</v>
      </c>
      <c r="AR202" s="781">
        <f t="shared" ref="AR202:AR203" si="510">ROUND(Y202*H202,0)</f>
        <v>0</v>
      </c>
      <c r="AS202" s="783">
        <f t="shared" ref="AS202:AS203" si="511">+AR202+AO202+AL202+AI202</f>
        <v>0</v>
      </c>
      <c r="AT202" s="759"/>
      <c r="BM202" s="2010"/>
    </row>
    <row r="203" spans="1:65" ht="25.5" x14ac:dyDescent="0.25">
      <c r="A203" s="784"/>
      <c r="B203" s="719"/>
      <c r="C203" s="170" t="str">
        <f t="shared" si="370"/>
        <v>33EA</v>
      </c>
      <c r="D203" s="557"/>
      <c r="E203" s="170"/>
      <c r="F203" s="170">
        <v>33</v>
      </c>
      <c r="G203" s="2007" t="s">
        <v>3336</v>
      </c>
      <c r="H203" s="1926"/>
      <c r="I203" s="2008" t="s">
        <v>732</v>
      </c>
      <c r="J203" s="1926"/>
      <c r="K203" s="1926"/>
      <c r="L203" s="170"/>
      <c r="M203" s="2009">
        <v>15</v>
      </c>
      <c r="N203" s="2010">
        <v>1</v>
      </c>
      <c r="O203" s="773">
        <f t="shared" si="493"/>
        <v>15</v>
      </c>
      <c r="P203" s="2008" t="s">
        <v>39</v>
      </c>
      <c r="Q203" s="2008" t="s">
        <v>604</v>
      </c>
      <c r="R203" s="2011" t="s">
        <v>74</v>
      </c>
      <c r="S203" s="778">
        <f>SUMIF('Data Input sheet'!$B$118:$B$180,R203,'Data Input sheet'!$D$118:$D$180)</f>
        <v>152</v>
      </c>
      <c r="T203" s="2010">
        <f t="shared" si="494"/>
        <v>2280</v>
      </c>
      <c r="U203" s="2010">
        <v>14</v>
      </c>
      <c r="V203" s="778">
        <f t="shared" si="495"/>
        <v>210</v>
      </c>
      <c r="W203" s="2010">
        <v>637</v>
      </c>
      <c r="X203" s="779"/>
      <c r="Y203" s="2012"/>
      <c r="Z203" s="780"/>
      <c r="AA203" s="2007" t="s">
        <v>2366</v>
      </c>
      <c r="AB203" s="2007" t="s">
        <v>3293</v>
      </c>
      <c r="AC203" s="765"/>
      <c r="AD203" s="781">
        <f t="shared" si="496"/>
        <v>0</v>
      </c>
      <c r="AE203" s="781">
        <f t="shared" si="497"/>
        <v>0</v>
      </c>
      <c r="AF203" s="781">
        <f t="shared" si="498"/>
        <v>0</v>
      </c>
      <c r="AG203" s="781">
        <f t="shared" si="499"/>
        <v>0</v>
      </c>
      <c r="AH203" s="781">
        <f t="shared" si="500"/>
        <v>0</v>
      </c>
      <c r="AI203" s="782">
        <f t="shared" si="501"/>
        <v>0</v>
      </c>
      <c r="AJ203" s="781">
        <f t="shared" si="502"/>
        <v>0</v>
      </c>
      <c r="AK203" s="781">
        <f t="shared" si="503"/>
        <v>0</v>
      </c>
      <c r="AL203" s="781">
        <f t="shared" si="504"/>
        <v>0</v>
      </c>
      <c r="AM203" s="781">
        <f t="shared" si="505"/>
        <v>0</v>
      </c>
      <c r="AN203" s="781">
        <f t="shared" si="506"/>
        <v>0</v>
      </c>
      <c r="AO203" s="781">
        <f t="shared" si="507"/>
        <v>0</v>
      </c>
      <c r="AP203" s="781">
        <f t="shared" si="508"/>
        <v>0</v>
      </c>
      <c r="AQ203" s="781">
        <f t="shared" si="509"/>
        <v>0</v>
      </c>
      <c r="AR203" s="781">
        <f t="shared" si="510"/>
        <v>0</v>
      </c>
      <c r="AS203" s="783">
        <f t="shared" si="511"/>
        <v>0</v>
      </c>
      <c r="AT203" s="759"/>
      <c r="BM203" s="2010"/>
    </row>
    <row r="204" spans="1:65" ht="15" x14ac:dyDescent="0.25">
      <c r="A204" s="784"/>
      <c r="B204" s="719">
        <f>+B201+1</f>
        <v>124</v>
      </c>
      <c r="C204" s="170" t="str">
        <f t="shared" si="370"/>
        <v/>
      </c>
      <c r="D204" s="557"/>
      <c r="E204" s="170"/>
      <c r="F204" s="170"/>
      <c r="G204" s="2007"/>
      <c r="H204" s="1926"/>
      <c r="I204" s="2008"/>
      <c r="J204" s="1926"/>
      <c r="K204" s="1926"/>
      <c r="L204" s="170"/>
      <c r="M204" s="2009"/>
      <c r="N204" s="2010">
        <v>1</v>
      </c>
      <c r="O204" s="773">
        <f t="shared" si="490"/>
        <v>0</v>
      </c>
      <c r="P204" s="2008" t="s">
        <v>39</v>
      </c>
      <c r="Q204" s="2008" t="s">
        <v>604</v>
      </c>
      <c r="R204" s="2011" t="s">
        <v>74</v>
      </c>
      <c r="S204" s="778">
        <f>SUMIF('Data Input sheet'!$B$118:$B$180,R204,'Data Input sheet'!$D$118:$D$180)</f>
        <v>152</v>
      </c>
      <c r="T204" s="2010">
        <f t="shared" si="491"/>
        <v>0</v>
      </c>
      <c r="U204" s="2010">
        <v>0</v>
      </c>
      <c r="V204" s="778">
        <f t="shared" si="375"/>
        <v>0</v>
      </c>
      <c r="W204" s="2010"/>
      <c r="X204" s="779"/>
      <c r="Y204" s="2012">
        <v>0</v>
      </c>
      <c r="Z204" s="780">
        <f t="shared" si="492"/>
        <v>0</v>
      </c>
      <c r="AA204" s="2007"/>
      <c r="AB204" s="2007"/>
      <c r="AC204" s="765"/>
      <c r="AD204" s="781">
        <f t="shared" si="376"/>
        <v>0</v>
      </c>
      <c r="AE204" s="781">
        <f t="shared" si="364"/>
        <v>0</v>
      </c>
      <c r="AF204" s="781">
        <f t="shared" si="377"/>
        <v>0</v>
      </c>
      <c r="AG204" s="781">
        <f t="shared" si="378"/>
        <v>0</v>
      </c>
      <c r="AH204" s="781">
        <f t="shared" si="365"/>
        <v>0</v>
      </c>
      <c r="AI204" s="782">
        <f t="shared" si="379"/>
        <v>0</v>
      </c>
      <c r="AJ204" s="781">
        <f t="shared" si="380"/>
        <v>0</v>
      </c>
      <c r="AK204" s="781">
        <f t="shared" si="366"/>
        <v>0</v>
      </c>
      <c r="AL204" s="781">
        <f t="shared" si="381"/>
        <v>0</v>
      </c>
      <c r="AM204" s="781">
        <f t="shared" si="382"/>
        <v>0</v>
      </c>
      <c r="AN204" s="781">
        <f t="shared" si="367"/>
        <v>0</v>
      </c>
      <c r="AO204" s="781">
        <f t="shared" si="383"/>
        <v>0</v>
      </c>
      <c r="AP204" s="781">
        <f t="shared" si="384"/>
        <v>0</v>
      </c>
      <c r="AQ204" s="781">
        <f t="shared" si="368"/>
        <v>0</v>
      </c>
      <c r="AR204" s="781">
        <f t="shared" si="385"/>
        <v>0</v>
      </c>
      <c r="AS204" s="783">
        <f t="shared" si="369"/>
        <v>0</v>
      </c>
      <c r="AT204" s="759"/>
      <c r="BM204" s="2010"/>
    </row>
    <row r="205" spans="1:65" ht="15" x14ac:dyDescent="0.25">
      <c r="A205" s="784"/>
      <c r="B205" s="719">
        <f t="shared" si="371"/>
        <v>125</v>
      </c>
      <c r="C205" s="170" t="str">
        <f t="shared" si="370"/>
        <v>25EA</v>
      </c>
      <c r="D205" s="557"/>
      <c r="E205" s="170"/>
      <c r="F205" s="170">
        <v>25</v>
      </c>
      <c r="G205" s="2007" t="s">
        <v>2219</v>
      </c>
      <c r="H205" s="2159">
        <f>+'Structure replacements'!N177</f>
        <v>0</v>
      </c>
      <c r="I205" s="2008" t="s">
        <v>732</v>
      </c>
      <c r="J205" s="1926"/>
      <c r="K205" s="1926"/>
      <c r="L205" s="170"/>
      <c r="M205" s="2009">
        <v>10</v>
      </c>
      <c r="N205" s="2010">
        <v>1</v>
      </c>
      <c r="O205" s="773">
        <f t="shared" si="490"/>
        <v>10</v>
      </c>
      <c r="P205" s="2008" t="s">
        <v>39</v>
      </c>
      <c r="Q205" s="2008" t="s">
        <v>604</v>
      </c>
      <c r="R205" s="2011" t="s">
        <v>74</v>
      </c>
      <c r="S205" s="778">
        <f>SUMIF('Data Input sheet'!$B$118:$B$180,R205,'Data Input sheet'!$D$118:$D$180)</f>
        <v>152</v>
      </c>
      <c r="T205" s="2010">
        <f t="shared" si="491"/>
        <v>1520</v>
      </c>
      <c r="U205" s="2010">
        <v>14</v>
      </c>
      <c r="V205" s="778">
        <f t="shared" si="375"/>
        <v>140</v>
      </c>
      <c r="W205" s="2010">
        <v>1240.9859604480002</v>
      </c>
      <c r="X205" s="779"/>
      <c r="Y205" s="2012">
        <v>0</v>
      </c>
      <c r="Z205" s="780">
        <f t="shared" si="492"/>
        <v>2900.9859604480002</v>
      </c>
      <c r="AA205" s="2007" t="s">
        <v>711</v>
      </c>
      <c r="AB205" s="2007"/>
      <c r="AC205" s="765"/>
      <c r="AD205" s="781">
        <f t="shared" si="376"/>
        <v>0</v>
      </c>
      <c r="AE205" s="781">
        <f t="shared" si="364"/>
        <v>0</v>
      </c>
      <c r="AF205" s="781">
        <f t="shared" si="377"/>
        <v>0</v>
      </c>
      <c r="AG205" s="781">
        <f t="shared" si="378"/>
        <v>0</v>
      </c>
      <c r="AH205" s="781">
        <f t="shared" si="365"/>
        <v>0</v>
      </c>
      <c r="AI205" s="782">
        <f t="shared" si="379"/>
        <v>0</v>
      </c>
      <c r="AJ205" s="781">
        <f t="shared" si="380"/>
        <v>0</v>
      </c>
      <c r="AK205" s="781">
        <f t="shared" si="366"/>
        <v>0</v>
      </c>
      <c r="AL205" s="781">
        <f t="shared" si="381"/>
        <v>0</v>
      </c>
      <c r="AM205" s="781">
        <f t="shared" si="382"/>
        <v>0</v>
      </c>
      <c r="AN205" s="781">
        <f t="shared" si="367"/>
        <v>0</v>
      </c>
      <c r="AO205" s="781">
        <f t="shared" si="383"/>
        <v>0</v>
      </c>
      <c r="AP205" s="781">
        <f t="shared" si="384"/>
        <v>0</v>
      </c>
      <c r="AQ205" s="781">
        <f t="shared" si="368"/>
        <v>0</v>
      </c>
      <c r="AR205" s="781">
        <f t="shared" si="385"/>
        <v>0</v>
      </c>
      <c r="AS205" s="783">
        <f t="shared" si="369"/>
        <v>0</v>
      </c>
      <c r="AT205" s="759"/>
      <c r="BM205" s="2010">
        <v>1240.9859604480002</v>
      </c>
    </row>
    <row r="206" spans="1:65" ht="15" x14ac:dyDescent="0.25">
      <c r="A206" s="784"/>
      <c r="B206" s="719"/>
      <c r="C206" s="170" t="str">
        <f t="shared" si="370"/>
        <v/>
      </c>
      <c r="D206" s="557"/>
      <c r="E206" s="170"/>
      <c r="F206" s="170"/>
      <c r="G206" s="2007"/>
      <c r="H206" s="2159"/>
      <c r="I206" s="2008"/>
      <c r="J206" s="1926"/>
      <c r="K206" s="1926"/>
      <c r="L206" s="170"/>
      <c r="M206" s="2009"/>
      <c r="N206" s="2010">
        <v>1</v>
      </c>
      <c r="O206" s="773">
        <f t="shared" ref="O206" si="512">+M206*N206</f>
        <v>0</v>
      </c>
      <c r="P206" s="2008" t="s">
        <v>39</v>
      </c>
      <c r="Q206" s="2008" t="s">
        <v>604</v>
      </c>
      <c r="R206" s="2011" t="s">
        <v>74</v>
      </c>
      <c r="S206" s="778">
        <f>SUMIF('Data Input sheet'!$B$118:$B$180,R206,'Data Input sheet'!$D$118:$D$180)</f>
        <v>152</v>
      </c>
      <c r="T206" s="2010">
        <f t="shared" ref="T206" si="513">+O206*S206</f>
        <v>0</v>
      </c>
      <c r="U206" s="2010"/>
      <c r="V206" s="778">
        <f t="shared" ref="V206" si="514">ROUND(U206*O206,0)</f>
        <v>0</v>
      </c>
      <c r="W206" s="2010"/>
      <c r="X206" s="779"/>
      <c r="Y206" s="2012">
        <v>0</v>
      </c>
      <c r="Z206" s="780">
        <f t="shared" ref="Z206" si="515">T206+V206+W206+Y206</f>
        <v>0</v>
      </c>
      <c r="AA206" s="2007"/>
      <c r="AB206" s="2007"/>
      <c r="AC206" s="765"/>
      <c r="AD206" s="781">
        <f t="shared" ref="AD206" si="516">IF(P206="E",+ROUND(H206*O206,0),0)</f>
        <v>0</v>
      </c>
      <c r="AE206" s="781">
        <f t="shared" ref="AE206" si="517">+AF206-AD206</f>
        <v>0</v>
      </c>
      <c r="AF206" s="781">
        <f t="shared" ref="AF206" si="518">+H206*O206</f>
        <v>0</v>
      </c>
      <c r="AG206" s="781">
        <f t="shared" ref="AG206" si="519">IF(P206="E",+ROUND(T206*H206,0),0)</f>
        <v>0</v>
      </c>
      <c r="AH206" s="781">
        <f t="shared" ref="AH206" si="520">+AI206-AG206</f>
        <v>0</v>
      </c>
      <c r="AI206" s="782">
        <f t="shared" ref="AI206" si="521">+H206*T206</f>
        <v>0</v>
      </c>
      <c r="AJ206" s="781">
        <f t="shared" ref="AJ206" si="522">IF(P206="E",+ROUND(V206*H206,0),0)</f>
        <v>0</v>
      </c>
      <c r="AK206" s="781">
        <f t="shared" ref="AK206" si="523">+AL206-AJ206</f>
        <v>0</v>
      </c>
      <c r="AL206" s="781">
        <f t="shared" ref="AL206" si="524">ROUND(V206*H206,0)</f>
        <v>0</v>
      </c>
      <c r="AM206" s="781">
        <f t="shared" ref="AM206" si="525">IF(Q206="E",+ROUND(W206*H206,0),0)</f>
        <v>0</v>
      </c>
      <c r="AN206" s="781">
        <f t="shared" ref="AN206" si="526">+AO206-AM206</f>
        <v>0</v>
      </c>
      <c r="AO206" s="781">
        <f t="shared" ref="AO206" si="527">ROUND(W206*H206,0)</f>
        <v>0</v>
      </c>
      <c r="AP206" s="781">
        <f t="shared" ref="AP206" si="528">IF(P206="E",+ROUND(Y206*H206,0),0)</f>
        <v>0</v>
      </c>
      <c r="AQ206" s="781">
        <f t="shared" ref="AQ206" si="529">+AR206-AP206</f>
        <v>0</v>
      </c>
      <c r="AR206" s="781">
        <f t="shared" ref="AR206" si="530">ROUND(Y206*H206,0)</f>
        <v>0</v>
      </c>
      <c r="AS206" s="783">
        <f t="shared" ref="AS206" si="531">+AR206+AO206+AL206+AI206</f>
        <v>0</v>
      </c>
      <c r="AT206" s="759"/>
      <c r="BM206" s="2010"/>
    </row>
    <row r="207" spans="1:65" ht="25.5" x14ac:dyDescent="0.25">
      <c r="A207" s="784"/>
      <c r="B207" s="719">
        <f>+B205+1</f>
        <v>126</v>
      </c>
      <c r="C207" s="170" t="str">
        <f t="shared" si="370"/>
        <v>34EA</v>
      </c>
      <c r="D207" s="557"/>
      <c r="E207" s="170"/>
      <c r="F207" s="170">
        <v>34</v>
      </c>
      <c r="G207" s="2007" t="s">
        <v>3330</v>
      </c>
      <c r="H207" s="1926">
        <f>+'Structure replacements'!L144</f>
        <v>0</v>
      </c>
      <c r="I207" s="2008" t="s">
        <v>732</v>
      </c>
      <c r="J207" s="1926"/>
      <c r="K207" s="1926"/>
      <c r="L207" s="170"/>
      <c r="M207" s="2009">
        <v>12</v>
      </c>
      <c r="N207" s="2010">
        <v>1</v>
      </c>
      <c r="O207" s="773">
        <f t="shared" si="490"/>
        <v>12</v>
      </c>
      <c r="P207" s="2008" t="s">
        <v>39</v>
      </c>
      <c r="Q207" s="2008" t="s">
        <v>604</v>
      </c>
      <c r="R207" s="2011" t="s">
        <v>74</v>
      </c>
      <c r="S207" s="778">
        <f>SUMIF('Data Input sheet'!$B$118:$B$180,R207,'Data Input sheet'!$D$118:$D$180)</f>
        <v>152</v>
      </c>
      <c r="T207" s="2010">
        <f t="shared" si="491"/>
        <v>1824</v>
      </c>
      <c r="U207" s="2010">
        <v>14</v>
      </c>
      <c r="V207" s="778">
        <f t="shared" si="375"/>
        <v>168</v>
      </c>
      <c r="W207" s="2010">
        <v>810</v>
      </c>
      <c r="X207" s="779"/>
      <c r="Y207" s="2012">
        <v>0</v>
      </c>
      <c r="Z207" s="780">
        <f t="shared" si="492"/>
        <v>2802</v>
      </c>
      <c r="AA207" s="2007" t="s">
        <v>2366</v>
      </c>
      <c r="AB207" s="2007" t="s">
        <v>3293</v>
      </c>
      <c r="AC207" s="765"/>
      <c r="AD207" s="781">
        <f t="shared" si="376"/>
        <v>0</v>
      </c>
      <c r="AE207" s="781">
        <f t="shared" si="364"/>
        <v>0</v>
      </c>
      <c r="AF207" s="781">
        <f t="shared" si="377"/>
        <v>0</v>
      </c>
      <c r="AG207" s="781">
        <f t="shared" si="378"/>
        <v>0</v>
      </c>
      <c r="AH207" s="781">
        <f t="shared" si="365"/>
        <v>0</v>
      </c>
      <c r="AI207" s="782">
        <f t="shared" si="379"/>
        <v>0</v>
      </c>
      <c r="AJ207" s="781">
        <f t="shared" si="380"/>
        <v>0</v>
      </c>
      <c r="AK207" s="781">
        <f t="shared" si="366"/>
        <v>0</v>
      </c>
      <c r="AL207" s="781">
        <f t="shared" si="381"/>
        <v>0</v>
      </c>
      <c r="AM207" s="781">
        <f t="shared" si="382"/>
        <v>0</v>
      </c>
      <c r="AN207" s="781">
        <f t="shared" si="367"/>
        <v>0</v>
      </c>
      <c r="AO207" s="781">
        <f t="shared" si="383"/>
        <v>0</v>
      </c>
      <c r="AP207" s="781">
        <f t="shared" si="384"/>
        <v>0</v>
      </c>
      <c r="AQ207" s="781">
        <f t="shared" si="368"/>
        <v>0</v>
      </c>
      <c r="AR207" s="781">
        <f t="shared" si="385"/>
        <v>0</v>
      </c>
      <c r="AS207" s="783">
        <f t="shared" si="369"/>
        <v>0</v>
      </c>
      <c r="AT207" s="759"/>
      <c r="AX207" t="s">
        <v>710</v>
      </c>
      <c r="BM207" s="2010">
        <v>500</v>
      </c>
    </row>
    <row r="208" spans="1:65" ht="25.5" x14ac:dyDescent="0.25">
      <c r="A208" s="784"/>
      <c r="B208" s="719">
        <f t="shared" si="371"/>
        <v>127</v>
      </c>
      <c r="C208" s="170" t="str">
        <f t="shared" si="370"/>
        <v>34EA</v>
      </c>
      <c r="D208" s="557"/>
      <c r="E208" s="170"/>
      <c r="F208" s="170">
        <v>34</v>
      </c>
      <c r="G208" s="2007" t="s">
        <v>3329</v>
      </c>
      <c r="H208" s="1926">
        <f>+'Structure replacements'!L145</f>
        <v>0</v>
      </c>
      <c r="I208" s="2008" t="s">
        <v>732</v>
      </c>
      <c r="J208" s="1926"/>
      <c r="K208" s="1926"/>
      <c r="L208" s="170"/>
      <c r="M208" s="2009">
        <v>12</v>
      </c>
      <c r="N208" s="2010">
        <v>1</v>
      </c>
      <c r="O208" s="773">
        <f t="shared" si="490"/>
        <v>12</v>
      </c>
      <c r="P208" s="2008" t="s">
        <v>39</v>
      </c>
      <c r="Q208" s="2008" t="s">
        <v>604</v>
      </c>
      <c r="R208" s="2011" t="s">
        <v>74</v>
      </c>
      <c r="S208" s="778">
        <f>SUMIF('Data Input sheet'!$B$118:$B$180,R208,'Data Input sheet'!$D$118:$D$180)</f>
        <v>152</v>
      </c>
      <c r="T208" s="2010">
        <f t="shared" si="491"/>
        <v>1824</v>
      </c>
      <c r="U208" s="2010">
        <v>14</v>
      </c>
      <c r="V208" s="778">
        <f t="shared" si="375"/>
        <v>168</v>
      </c>
      <c r="W208" s="2010">
        <v>2391</v>
      </c>
      <c r="X208" s="779"/>
      <c r="Y208" s="2012">
        <v>0</v>
      </c>
      <c r="Z208" s="780">
        <f t="shared" si="492"/>
        <v>4383</v>
      </c>
      <c r="AA208" s="2007" t="s">
        <v>2366</v>
      </c>
      <c r="AB208" s="2007" t="s">
        <v>3293</v>
      </c>
      <c r="AC208" s="765"/>
      <c r="AD208" s="781">
        <f t="shared" si="376"/>
        <v>0</v>
      </c>
      <c r="AE208" s="781">
        <f t="shared" si="364"/>
        <v>0</v>
      </c>
      <c r="AF208" s="781">
        <f t="shared" si="377"/>
        <v>0</v>
      </c>
      <c r="AG208" s="781">
        <f t="shared" si="378"/>
        <v>0</v>
      </c>
      <c r="AH208" s="781">
        <f t="shared" si="365"/>
        <v>0</v>
      </c>
      <c r="AI208" s="782">
        <f t="shared" si="379"/>
        <v>0</v>
      </c>
      <c r="AJ208" s="781">
        <f t="shared" si="380"/>
        <v>0</v>
      </c>
      <c r="AK208" s="781">
        <f t="shared" si="366"/>
        <v>0</v>
      </c>
      <c r="AL208" s="781">
        <f t="shared" si="381"/>
        <v>0</v>
      </c>
      <c r="AM208" s="781">
        <f t="shared" si="382"/>
        <v>0</v>
      </c>
      <c r="AN208" s="781">
        <f t="shared" si="367"/>
        <v>0</v>
      </c>
      <c r="AO208" s="781">
        <f t="shared" si="383"/>
        <v>0</v>
      </c>
      <c r="AP208" s="781">
        <f t="shared" si="384"/>
        <v>0</v>
      </c>
      <c r="AQ208" s="781">
        <f t="shared" si="368"/>
        <v>0</v>
      </c>
      <c r="AR208" s="781">
        <f t="shared" si="385"/>
        <v>0</v>
      </c>
      <c r="AS208" s="783">
        <f t="shared" si="369"/>
        <v>0</v>
      </c>
      <c r="AT208" s="759"/>
      <c r="AX208" t="s">
        <v>710</v>
      </c>
      <c r="BM208" s="2010">
        <v>500</v>
      </c>
    </row>
    <row r="209" spans="1:65" ht="25.5" x14ac:dyDescent="0.25">
      <c r="A209" s="784"/>
      <c r="B209" s="719"/>
      <c r="C209" s="170" t="str">
        <f t="shared" ref="C209:C258" si="532">+F209&amp;I209</f>
        <v>34EA</v>
      </c>
      <c r="D209" s="557"/>
      <c r="E209" s="170"/>
      <c r="F209" s="170">
        <v>34</v>
      </c>
      <c r="G209" s="2007" t="s">
        <v>3331</v>
      </c>
      <c r="H209" s="1926"/>
      <c r="I209" s="2008" t="s">
        <v>732</v>
      </c>
      <c r="J209" s="1926"/>
      <c r="K209" s="1926"/>
      <c r="L209" s="170"/>
      <c r="M209" s="2009">
        <v>17</v>
      </c>
      <c r="N209" s="2010">
        <v>1</v>
      </c>
      <c r="O209" s="773">
        <f t="shared" ref="O209:O211" si="533">+M209*N209</f>
        <v>17</v>
      </c>
      <c r="P209" s="2008" t="s">
        <v>39</v>
      </c>
      <c r="Q209" s="2008" t="s">
        <v>604</v>
      </c>
      <c r="R209" s="2011" t="s">
        <v>74</v>
      </c>
      <c r="S209" s="778">
        <f>SUMIF('Data Input sheet'!$B$118:$B$180,R209,'Data Input sheet'!$D$118:$D$180)</f>
        <v>152</v>
      </c>
      <c r="T209" s="2010">
        <f t="shared" ref="T209:T211" si="534">+O209*S209</f>
        <v>2584</v>
      </c>
      <c r="U209" s="2010">
        <v>14</v>
      </c>
      <c r="V209" s="778">
        <f t="shared" ref="V209:V211" si="535">ROUND(U209*O209,0)</f>
        <v>238</v>
      </c>
      <c r="W209" s="2010">
        <v>810</v>
      </c>
      <c r="X209" s="779"/>
      <c r="Y209" s="2012">
        <v>0</v>
      </c>
      <c r="Z209" s="780">
        <f t="shared" ref="Z209:Z211" si="536">T209+V209+W209+Y209</f>
        <v>3632</v>
      </c>
      <c r="AA209" s="2007" t="s">
        <v>2366</v>
      </c>
      <c r="AB209" s="2007" t="s">
        <v>3293</v>
      </c>
      <c r="AC209" s="765"/>
      <c r="AD209" s="781">
        <f t="shared" ref="AD209:AD211" si="537">IF(P209="E",+ROUND(H209*O209,0),0)</f>
        <v>0</v>
      </c>
      <c r="AE209" s="781">
        <f t="shared" ref="AE209:AE211" si="538">+AF209-AD209</f>
        <v>0</v>
      </c>
      <c r="AF209" s="781">
        <f t="shared" ref="AF209:AF211" si="539">+H209*O209</f>
        <v>0</v>
      </c>
      <c r="AG209" s="781">
        <f t="shared" ref="AG209:AG211" si="540">IF(P209="E",+ROUND(T209*H209,0),0)</f>
        <v>0</v>
      </c>
      <c r="AH209" s="781">
        <f t="shared" ref="AH209:AH211" si="541">+AI209-AG209</f>
        <v>0</v>
      </c>
      <c r="AI209" s="782">
        <f t="shared" ref="AI209:AI211" si="542">+H209*T209</f>
        <v>0</v>
      </c>
      <c r="AJ209" s="781">
        <f t="shared" ref="AJ209:AJ211" si="543">IF(P209="E",+ROUND(V209*H209,0),0)</f>
        <v>0</v>
      </c>
      <c r="AK209" s="781">
        <f t="shared" ref="AK209:AK211" si="544">+AL209-AJ209</f>
        <v>0</v>
      </c>
      <c r="AL209" s="781">
        <f t="shared" ref="AL209:AL211" si="545">ROUND(V209*H209,0)</f>
        <v>0</v>
      </c>
      <c r="AM209" s="781">
        <f t="shared" ref="AM209:AM211" si="546">IF(Q209="E",+ROUND(W209*H209,0),0)</f>
        <v>0</v>
      </c>
      <c r="AN209" s="781">
        <f t="shared" ref="AN209:AN211" si="547">+AO209-AM209</f>
        <v>0</v>
      </c>
      <c r="AO209" s="781">
        <f t="shared" ref="AO209:AO211" si="548">ROUND(W209*H209,0)</f>
        <v>0</v>
      </c>
      <c r="AP209" s="781">
        <f t="shared" ref="AP209:AP211" si="549">IF(P209="E",+ROUND(Y209*H209,0),0)</f>
        <v>0</v>
      </c>
      <c r="AQ209" s="781">
        <f t="shared" ref="AQ209:AQ211" si="550">+AR209-AP209</f>
        <v>0</v>
      </c>
      <c r="AR209" s="781">
        <f t="shared" ref="AR209:AR211" si="551">ROUND(Y209*H209,0)</f>
        <v>0</v>
      </c>
      <c r="AS209" s="783">
        <f t="shared" ref="AS209:AS211" si="552">+AR209+AO209+AL209+AI209</f>
        <v>0</v>
      </c>
      <c r="AT209" s="759"/>
      <c r="BM209" s="2010"/>
    </row>
    <row r="210" spans="1:65" ht="25.5" x14ac:dyDescent="0.25">
      <c r="A210" s="784"/>
      <c r="B210" s="719"/>
      <c r="C210" s="170" t="str">
        <f t="shared" si="532"/>
        <v>34EA</v>
      </c>
      <c r="D210" s="557"/>
      <c r="E210" s="170"/>
      <c r="F210" s="170">
        <v>34</v>
      </c>
      <c r="G210" s="2007" t="s">
        <v>3332</v>
      </c>
      <c r="H210" s="1926"/>
      <c r="I210" s="2008" t="s">
        <v>732</v>
      </c>
      <c r="J210" s="1926"/>
      <c r="K210" s="1926"/>
      <c r="L210" s="170"/>
      <c r="M210" s="2009">
        <v>17</v>
      </c>
      <c r="N210" s="2010">
        <v>1</v>
      </c>
      <c r="O210" s="773">
        <f t="shared" si="533"/>
        <v>17</v>
      </c>
      <c r="P210" s="2008" t="s">
        <v>39</v>
      </c>
      <c r="Q210" s="2008" t="s">
        <v>604</v>
      </c>
      <c r="R210" s="2011" t="s">
        <v>74</v>
      </c>
      <c r="S210" s="778">
        <f>SUMIF('Data Input sheet'!$B$118:$B$180,R210,'Data Input sheet'!$D$118:$D$180)</f>
        <v>152</v>
      </c>
      <c r="T210" s="2010">
        <f t="shared" si="534"/>
        <v>2584</v>
      </c>
      <c r="U210" s="2010">
        <v>14</v>
      </c>
      <c r="V210" s="778">
        <f t="shared" si="535"/>
        <v>238</v>
      </c>
      <c r="W210" s="2010">
        <v>2391</v>
      </c>
      <c r="X210" s="779"/>
      <c r="Y210" s="2012">
        <v>0</v>
      </c>
      <c r="Z210" s="780">
        <f t="shared" si="536"/>
        <v>5213</v>
      </c>
      <c r="AA210" s="2007" t="s">
        <v>2366</v>
      </c>
      <c r="AB210" s="2007" t="s">
        <v>3293</v>
      </c>
      <c r="AC210" s="765"/>
      <c r="AD210" s="781">
        <f t="shared" si="537"/>
        <v>0</v>
      </c>
      <c r="AE210" s="781">
        <f t="shared" si="538"/>
        <v>0</v>
      </c>
      <c r="AF210" s="781">
        <f t="shared" si="539"/>
        <v>0</v>
      </c>
      <c r="AG210" s="781">
        <f t="shared" si="540"/>
        <v>0</v>
      </c>
      <c r="AH210" s="781">
        <f t="shared" si="541"/>
        <v>0</v>
      </c>
      <c r="AI210" s="782">
        <f t="shared" si="542"/>
        <v>0</v>
      </c>
      <c r="AJ210" s="781">
        <f t="shared" si="543"/>
        <v>0</v>
      </c>
      <c r="AK210" s="781">
        <f t="shared" si="544"/>
        <v>0</v>
      </c>
      <c r="AL210" s="781">
        <f t="shared" si="545"/>
        <v>0</v>
      </c>
      <c r="AM210" s="781">
        <f t="shared" si="546"/>
        <v>0</v>
      </c>
      <c r="AN210" s="781">
        <f t="shared" si="547"/>
        <v>0</v>
      </c>
      <c r="AO210" s="781">
        <f t="shared" si="548"/>
        <v>0</v>
      </c>
      <c r="AP210" s="781">
        <f t="shared" si="549"/>
        <v>0</v>
      </c>
      <c r="AQ210" s="781">
        <f t="shared" si="550"/>
        <v>0</v>
      </c>
      <c r="AR210" s="781">
        <f t="shared" si="551"/>
        <v>0</v>
      </c>
      <c r="AS210" s="783">
        <f t="shared" si="552"/>
        <v>0</v>
      </c>
      <c r="AT210" s="759"/>
      <c r="BM210" s="2010"/>
    </row>
    <row r="211" spans="1:65" ht="15" x14ac:dyDescent="0.25">
      <c r="A211" s="784"/>
      <c r="B211" s="719"/>
      <c r="C211" s="170" t="str">
        <f t="shared" si="532"/>
        <v/>
      </c>
      <c r="D211" s="557"/>
      <c r="E211" s="170"/>
      <c r="F211" s="170"/>
      <c r="G211" s="2007"/>
      <c r="H211" s="1926"/>
      <c r="I211" s="2008"/>
      <c r="J211" s="1926"/>
      <c r="K211" s="1926"/>
      <c r="L211" s="170"/>
      <c r="M211" s="2009"/>
      <c r="N211" s="2010">
        <v>1</v>
      </c>
      <c r="O211" s="773">
        <f t="shared" si="533"/>
        <v>0</v>
      </c>
      <c r="P211" s="2008" t="s">
        <v>39</v>
      </c>
      <c r="Q211" s="2008" t="s">
        <v>604</v>
      </c>
      <c r="R211" s="2011" t="s">
        <v>74</v>
      </c>
      <c r="S211" s="778">
        <f>SUMIF('Data Input sheet'!$B$118:$B$180,R211,'Data Input sheet'!$D$118:$D$180)</f>
        <v>152</v>
      </c>
      <c r="T211" s="2010">
        <f t="shared" si="534"/>
        <v>0</v>
      </c>
      <c r="U211" s="2010"/>
      <c r="V211" s="778">
        <f t="shared" si="535"/>
        <v>0</v>
      </c>
      <c r="W211" s="2010"/>
      <c r="X211" s="779"/>
      <c r="Y211" s="2012">
        <v>0</v>
      </c>
      <c r="Z211" s="780">
        <f t="shared" si="536"/>
        <v>0</v>
      </c>
      <c r="AA211" s="2007"/>
      <c r="AB211" s="2007"/>
      <c r="AC211" s="765"/>
      <c r="AD211" s="781">
        <f t="shared" si="537"/>
        <v>0</v>
      </c>
      <c r="AE211" s="781">
        <f t="shared" si="538"/>
        <v>0</v>
      </c>
      <c r="AF211" s="781">
        <f t="shared" si="539"/>
        <v>0</v>
      </c>
      <c r="AG211" s="781">
        <f t="shared" si="540"/>
        <v>0</v>
      </c>
      <c r="AH211" s="781">
        <f t="shared" si="541"/>
        <v>0</v>
      </c>
      <c r="AI211" s="782">
        <f t="shared" si="542"/>
        <v>0</v>
      </c>
      <c r="AJ211" s="781">
        <f t="shared" si="543"/>
        <v>0</v>
      </c>
      <c r="AK211" s="781">
        <f t="shared" si="544"/>
        <v>0</v>
      </c>
      <c r="AL211" s="781">
        <f t="shared" si="545"/>
        <v>0</v>
      </c>
      <c r="AM211" s="781">
        <f t="shared" si="546"/>
        <v>0</v>
      </c>
      <c r="AN211" s="781">
        <f t="shared" si="547"/>
        <v>0</v>
      </c>
      <c r="AO211" s="781">
        <f t="shared" si="548"/>
        <v>0</v>
      </c>
      <c r="AP211" s="781">
        <f t="shared" si="549"/>
        <v>0</v>
      </c>
      <c r="AQ211" s="781">
        <f t="shared" si="550"/>
        <v>0</v>
      </c>
      <c r="AR211" s="781">
        <f t="shared" si="551"/>
        <v>0</v>
      </c>
      <c r="AS211" s="783">
        <f t="shared" si="552"/>
        <v>0</v>
      </c>
      <c r="AT211" s="759"/>
      <c r="BM211" s="2010"/>
    </row>
    <row r="212" spans="1:65" ht="25.5" x14ac:dyDescent="0.25">
      <c r="A212" s="784"/>
      <c r="B212" s="719">
        <f>+B208+1</f>
        <v>128</v>
      </c>
      <c r="C212" s="170" t="str">
        <f t="shared" si="532"/>
        <v>33Ckt. Mi</v>
      </c>
      <c r="D212" s="557"/>
      <c r="E212" s="170"/>
      <c r="F212" s="727">
        <v>33</v>
      </c>
      <c r="G212" s="2007" t="s">
        <v>2891</v>
      </c>
      <c r="H212" s="1926">
        <v>0</v>
      </c>
      <c r="I212" s="2008" t="s">
        <v>1330</v>
      </c>
      <c r="J212" s="1926"/>
      <c r="K212" s="1926"/>
      <c r="L212" s="170"/>
      <c r="M212" s="2009">
        <v>700</v>
      </c>
      <c r="N212" s="2010">
        <v>1</v>
      </c>
      <c r="O212" s="773">
        <f t="shared" si="490"/>
        <v>700</v>
      </c>
      <c r="P212" s="2008" t="s">
        <v>39</v>
      </c>
      <c r="Q212" s="2008" t="s">
        <v>604</v>
      </c>
      <c r="R212" s="2011" t="s">
        <v>74</v>
      </c>
      <c r="S212" s="778">
        <f>SUMIF('Data Input sheet'!$B$118:$B$180,R212,'Data Input sheet'!$D$118:$D$180)</f>
        <v>152</v>
      </c>
      <c r="T212" s="2010">
        <f t="shared" si="491"/>
        <v>106400</v>
      </c>
      <c r="U212" s="2010">
        <v>14</v>
      </c>
      <c r="V212" s="778">
        <f t="shared" si="375"/>
        <v>9800</v>
      </c>
      <c r="W212" s="2010">
        <f>5280*3*(2.1*2.32)</f>
        <v>77172.479999999996</v>
      </c>
      <c r="X212" s="779"/>
      <c r="Y212" s="2012">
        <v>0</v>
      </c>
      <c r="Z212" s="780">
        <f t="shared" si="492"/>
        <v>193372.47999999998</v>
      </c>
      <c r="AA212" s="2007" t="s">
        <v>713</v>
      </c>
      <c r="AB212" s="2007" t="s">
        <v>2887</v>
      </c>
      <c r="AC212" s="765"/>
      <c r="AD212" s="781">
        <f t="shared" ref="AD212:AD249" si="553">IF(P212="E",+ROUND(H212*O212,0),0)</f>
        <v>0</v>
      </c>
      <c r="AE212" s="781">
        <f t="shared" si="364"/>
        <v>0</v>
      </c>
      <c r="AF212" s="781">
        <f t="shared" ref="AF212:AF249" si="554">+H212*O212</f>
        <v>0</v>
      </c>
      <c r="AG212" s="781">
        <f t="shared" ref="AG212:AG249" si="555">IF(P212="E",+ROUND(T212*H212,0),0)</f>
        <v>0</v>
      </c>
      <c r="AH212" s="781">
        <f t="shared" si="365"/>
        <v>0</v>
      </c>
      <c r="AI212" s="782">
        <f t="shared" ref="AI212:AI249" si="556">+H212*T212</f>
        <v>0</v>
      </c>
      <c r="AJ212" s="781">
        <f t="shared" ref="AJ212:AJ249" si="557">IF(P212="E",+ROUND(V212*H212,0),0)</f>
        <v>0</v>
      </c>
      <c r="AK212" s="781">
        <f t="shared" si="366"/>
        <v>0</v>
      </c>
      <c r="AL212" s="781">
        <f t="shared" ref="AL212:AL249" si="558">ROUND(V212*H212,0)</f>
        <v>0</v>
      </c>
      <c r="AM212" s="781">
        <f t="shared" ref="AM212:AM249" si="559">IF(Q212="E",+ROUND(W212*H212,0),0)</f>
        <v>0</v>
      </c>
      <c r="AN212" s="781">
        <f t="shared" si="367"/>
        <v>0</v>
      </c>
      <c r="AO212" s="781">
        <f t="shared" ref="AO212:AO249" si="560">ROUND(W212*H212,0)</f>
        <v>0</v>
      </c>
      <c r="AP212" s="781">
        <f t="shared" ref="AP212:AP249" si="561">IF(P212="E",+ROUND(Y212*H212,0),0)</f>
        <v>0</v>
      </c>
      <c r="AQ212" s="781">
        <f t="shared" si="368"/>
        <v>0</v>
      </c>
      <c r="AR212" s="781">
        <f t="shared" ref="AR212:AR249" si="562">ROUND(Y212*H212,0)</f>
        <v>0</v>
      </c>
      <c r="AS212" s="783">
        <f t="shared" si="369"/>
        <v>0</v>
      </c>
      <c r="AT212" s="759"/>
      <c r="AW212">
        <v>513348</v>
      </c>
      <c r="AX212" t="s">
        <v>714</v>
      </c>
      <c r="BM212" s="2010">
        <f>5280*3*2.1</f>
        <v>33264</v>
      </c>
    </row>
    <row r="213" spans="1:65" ht="25.5" x14ac:dyDescent="0.25">
      <c r="A213" s="784"/>
      <c r="B213" s="719">
        <f t="shared" si="371"/>
        <v>129</v>
      </c>
      <c r="C213" s="170" t="str">
        <f t="shared" si="532"/>
        <v>33Ckt. Mi</v>
      </c>
      <c r="D213" s="557"/>
      <c r="E213" s="170"/>
      <c r="F213" s="727">
        <v>33</v>
      </c>
      <c r="G213" s="2007" t="s">
        <v>2892</v>
      </c>
      <c r="H213" s="1926"/>
      <c r="I213" s="2008" t="s">
        <v>1330</v>
      </c>
      <c r="J213" s="1926"/>
      <c r="K213" s="1926"/>
      <c r="L213" s="170"/>
      <c r="M213" s="2009">
        <v>750</v>
      </c>
      <c r="N213" s="2010">
        <v>1</v>
      </c>
      <c r="O213" s="773">
        <f t="shared" si="490"/>
        <v>750</v>
      </c>
      <c r="P213" s="2008" t="s">
        <v>39</v>
      </c>
      <c r="Q213" s="2008" t="s">
        <v>604</v>
      </c>
      <c r="R213" s="2011" t="s">
        <v>74</v>
      </c>
      <c r="S213" s="778">
        <f>SUMIF('Data Input sheet'!$B$118:$B$180,R213,'Data Input sheet'!$D$118:$D$180)</f>
        <v>152</v>
      </c>
      <c r="T213" s="2010">
        <f t="shared" si="491"/>
        <v>114000</v>
      </c>
      <c r="U213" s="2010">
        <v>14</v>
      </c>
      <c r="V213" s="778">
        <f t="shared" si="375"/>
        <v>10500</v>
      </c>
      <c r="W213" s="2010">
        <f>5280*3*(2.5*2.32)</f>
        <v>91872</v>
      </c>
      <c r="X213" s="779"/>
      <c r="Y213" s="2012">
        <v>0</v>
      </c>
      <c r="Z213" s="780">
        <f t="shared" si="492"/>
        <v>216372</v>
      </c>
      <c r="AA213" s="2007" t="s">
        <v>713</v>
      </c>
      <c r="AB213" s="2007" t="s">
        <v>2887</v>
      </c>
      <c r="AC213" s="765"/>
      <c r="AD213" s="781">
        <f t="shared" si="553"/>
        <v>0</v>
      </c>
      <c r="AE213" s="781">
        <f t="shared" si="364"/>
        <v>0</v>
      </c>
      <c r="AF213" s="781">
        <f t="shared" si="554"/>
        <v>0</v>
      </c>
      <c r="AG213" s="781">
        <f t="shared" si="555"/>
        <v>0</v>
      </c>
      <c r="AH213" s="781">
        <f t="shared" si="365"/>
        <v>0</v>
      </c>
      <c r="AI213" s="782">
        <f t="shared" si="556"/>
        <v>0</v>
      </c>
      <c r="AJ213" s="781">
        <f t="shared" si="557"/>
        <v>0</v>
      </c>
      <c r="AK213" s="781">
        <f t="shared" si="366"/>
        <v>0</v>
      </c>
      <c r="AL213" s="781">
        <f t="shared" si="558"/>
        <v>0</v>
      </c>
      <c r="AM213" s="781">
        <f t="shared" si="559"/>
        <v>0</v>
      </c>
      <c r="AN213" s="781">
        <f t="shared" si="367"/>
        <v>0</v>
      </c>
      <c r="AO213" s="781">
        <f t="shared" si="560"/>
        <v>0</v>
      </c>
      <c r="AP213" s="781">
        <f t="shared" si="561"/>
        <v>0</v>
      </c>
      <c r="AQ213" s="781">
        <f t="shared" si="368"/>
        <v>0</v>
      </c>
      <c r="AR213" s="781">
        <f t="shared" si="562"/>
        <v>0</v>
      </c>
      <c r="AS213" s="783">
        <f t="shared" si="369"/>
        <v>0</v>
      </c>
      <c r="AT213" s="759"/>
      <c r="AW213">
        <v>313349</v>
      </c>
      <c r="AX213" t="s">
        <v>714</v>
      </c>
      <c r="BM213" s="2010">
        <f>5280*3*2.5</f>
        <v>39600</v>
      </c>
    </row>
    <row r="214" spans="1:65" ht="25.5" x14ac:dyDescent="0.25">
      <c r="A214" s="784"/>
      <c r="B214" s="719">
        <f t="shared" si="371"/>
        <v>130</v>
      </c>
      <c r="C214" s="170" t="str">
        <f t="shared" si="532"/>
        <v>33Ckt. Mi</v>
      </c>
      <c r="D214" s="557"/>
      <c r="E214" s="170"/>
      <c r="F214" s="727">
        <v>33</v>
      </c>
      <c r="G214" s="2007" t="s">
        <v>2893</v>
      </c>
      <c r="H214" s="1926"/>
      <c r="I214" s="2008" t="s">
        <v>1330</v>
      </c>
      <c r="J214" s="1926"/>
      <c r="K214" s="1926"/>
      <c r="L214" s="170"/>
      <c r="M214" s="2009">
        <v>800</v>
      </c>
      <c r="N214" s="2010">
        <v>1</v>
      </c>
      <c r="O214" s="773">
        <f t="shared" si="490"/>
        <v>800</v>
      </c>
      <c r="P214" s="2008" t="s">
        <v>39</v>
      </c>
      <c r="Q214" s="2008" t="s">
        <v>604</v>
      </c>
      <c r="R214" s="2011" t="s">
        <v>74</v>
      </c>
      <c r="S214" s="778">
        <f>SUMIF('Data Input sheet'!$B$118:$B$180,R214,'Data Input sheet'!$D$118:$D$180)</f>
        <v>152</v>
      </c>
      <c r="T214" s="2010">
        <f t="shared" si="491"/>
        <v>121600</v>
      </c>
      <c r="U214" s="2010">
        <v>14</v>
      </c>
      <c r="V214" s="778">
        <f t="shared" si="375"/>
        <v>11200</v>
      </c>
      <c r="W214" s="2010">
        <f>5280*3*(3.15*2.32)</f>
        <v>115758.71999999999</v>
      </c>
      <c r="X214" s="779"/>
      <c r="Y214" s="2012">
        <v>0</v>
      </c>
      <c r="Z214" s="780">
        <f t="shared" si="492"/>
        <v>248558.71999999997</v>
      </c>
      <c r="AA214" s="2007" t="s">
        <v>713</v>
      </c>
      <c r="AB214" s="2007" t="s">
        <v>2887</v>
      </c>
      <c r="AC214" s="765"/>
      <c r="AD214" s="781">
        <f t="shared" si="553"/>
        <v>0</v>
      </c>
      <c r="AE214" s="781">
        <f t="shared" si="364"/>
        <v>0</v>
      </c>
      <c r="AF214" s="781">
        <f t="shared" si="554"/>
        <v>0</v>
      </c>
      <c r="AG214" s="781">
        <f t="shared" si="555"/>
        <v>0</v>
      </c>
      <c r="AH214" s="781">
        <f t="shared" si="365"/>
        <v>0</v>
      </c>
      <c r="AI214" s="782">
        <f t="shared" si="556"/>
        <v>0</v>
      </c>
      <c r="AJ214" s="781">
        <f t="shared" si="557"/>
        <v>0</v>
      </c>
      <c r="AK214" s="781">
        <f t="shared" si="366"/>
        <v>0</v>
      </c>
      <c r="AL214" s="781">
        <f t="shared" si="558"/>
        <v>0</v>
      </c>
      <c r="AM214" s="781">
        <f t="shared" si="559"/>
        <v>0</v>
      </c>
      <c r="AN214" s="781">
        <f t="shared" si="367"/>
        <v>0</v>
      </c>
      <c r="AO214" s="781">
        <f t="shared" si="560"/>
        <v>0</v>
      </c>
      <c r="AP214" s="781">
        <f t="shared" si="561"/>
        <v>0</v>
      </c>
      <c r="AQ214" s="781">
        <f t="shared" si="368"/>
        <v>0</v>
      </c>
      <c r="AR214" s="781">
        <f t="shared" si="562"/>
        <v>0</v>
      </c>
      <c r="AS214" s="783">
        <f t="shared" si="369"/>
        <v>0</v>
      </c>
      <c r="AT214" s="759"/>
      <c r="AW214">
        <v>513351</v>
      </c>
      <c r="AX214" t="s">
        <v>714</v>
      </c>
      <c r="BM214" s="2010">
        <f>5280*3*3.15</f>
        <v>49896</v>
      </c>
    </row>
    <row r="215" spans="1:65" ht="25.5" x14ac:dyDescent="0.25">
      <c r="A215" s="784"/>
      <c r="B215" s="719">
        <f t="shared" si="371"/>
        <v>131</v>
      </c>
      <c r="C215" s="170" t="str">
        <f t="shared" si="532"/>
        <v>33Ckt. Mi</v>
      </c>
      <c r="D215" s="557"/>
      <c r="E215" s="170"/>
      <c r="F215" s="727">
        <v>33</v>
      </c>
      <c r="G215" s="2007" t="s">
        <v>2895</v>
      </c>
      <c r="H215" s="1926"/>
      <c r="I215" s="2008" t="s">
        <v>1330</v>
      </c>
      <c r="J215" s="1926"/>
      <c r="K215" s="1926"/>
      <c r="L215" s="170"/>
      <c r="M215" s="2009">
        <f>800*1.85</f>
        <v>1480</v>
      </c>
      <c r="N215" s="2010">
        <v>1</v>
      </c>
      <c r="O215" s="773">
        <f t="shared" ref="O215" si="563">+M215*N215</f>
        <v>1480</v>
      </c>
      <c r="P215" s="2008" t="s">
        <v>39</v>
      </c>
      <c r="Q215" s="2008" t="s">
        <v>604</v>
      </c>
      <c r="R215" s="2011" t="s">
        <v>74</v>
      </c>
      <c r="S215" s="778">
        <f>SUMIF('Data Input sheet'!$B$118:$B$180,R215,'Data Input sheet'!$D$118:$D$180)</f>
        <v>152</v>
      </c>
      <c r="T215" s="2010">
        <f t="shared" ref="T215" si="564">+O215*S215</f>
        <v>224960</v>
      </c>
      <c r="U215" s="2010">
        <v>14</v>
      </c>
      <c r="V215" s="778">
        <f t="shared" ref="V215" si="565">ROUND(U215*O215,0)</f>
        <v>20720</v>
      </c>
      <c r="W215" s="2010">
        <f>5280*3*(3.15*2.32)*2</f>
        <v>231517.43999999997</v>
      </c>
      <c r="X215" s="779"/>
      <c r="Y215" s="2012">
        <v>0</v>
      </c>
      <c r="Z215" s="780">
        <f t="shared" ref="Z215" si="566">T215+V215+W215+Y215</f>
        <v>477197.43999999994</v>
      </c>
      <c r="AA215" s="2007" t="s">
        <v>713</v>
      </c>
      <c r="AB215" s="2007" t="s">
        <v>2887</v>
      </c>
      <c r="AC215" s="765"/>
      <c r="AD215" s="781">
        <f t="shared" ref="AD215" si="567">IF(P215="E",+ROUND(H215*O215,0),0)</f>
        <v>0</v>
      </c>
      <c r="AE215" s="781">
        <f t="shared" ref="AE215" si="568">+AF215-AD215</f>
        <v>0</v>
      </c>
      <c r="AF215" s="781">
        <f t="shared" ref="AF215" si="569">+H215*O215</f>
        <v>0</v>
      </c>
      <c r="AG215" s="781">
        <f t="shared" ref="AG215" si="570">IF(P215="E",+ROUND(T215*H215,0),0)</f>
        <v>0</v>
      </c>
      <c r="AH215" s="781">
        <f t="shared" ref="AH215" si="571">+AI215-AG215</f>
        <v>0</v>
      </c>
      <c r="AI215" s="782">
        <f t="shared" ref="AI215" si="572">+H215*T215</f>
        <v>0</v>
      </c>
      <c r="AJ215" s="781">
        <f t="shared" ref="AJ215" si="573">IF(P215="E",+ROUND(V215*H215,0),0)</f>
        <v>0</v>
      </c>
      <c r="AK215" s="781">
        <f t="shared" ref="AK215" si="574">+AL215-AJ215</f>
        <v>0</v>
      </c>
      <c r="AL215" s="781">
        <f t="shared" ref="AL215" si="575">ROUND(V215*H215,0)</f>
        <v>0</v>
      </c>
      <c r="AM215" s="781">
        <f t="shared" ref="AM215" si="576">IF(Q215="E",+ROUND(W215*H215,0),0)</f>
        <v>0</v>
      </c>
      <c r="AN215" s="781">
        <f t="shared" ref="AN215" si="577">+AO215-AM215</f>
        <v>0</v>
      </c>
      <c r="AO215" s="781">
        <f t="shared" ref="AO215" si="578">ROUND(W215*H215,0)</f>
        <v>0</v>
      </c>
      <c r="AP215" s="781">
        <f t="shared" ref="AP215" si="579">IF(P215="E",+ROUND(Y215*H215,0),0)</f>
        <v>0</v>
      </c>
      <c r="AQ215" s="781">
        <f t="shared" ref="AQ215" si="580">+AR215-AP215</f>
        <v>0</v>
      </c>
      <c r="AR215" s="781">
        <f t="shared" ref="AR215" si="581">ROUND(Y215*H215,0)</f>
        <v>0</v>
      </c>
      <c r="AS215" s="783">
        <f t="shared" ref="AS215" si="582">+AR215+AO215+AL215+AI215</f>
        <v>0</v>
      </c>
      <c r="AT215" s="759"/>
      <c r="AW215">
        <v>513351</v>
      </c>
      <c r="AX215" t="s">
        <v>714</v>
      </c>
      <c r="BM215" s="2010">
        <f>5280*3*3.15</f>
        <v>49896</v>
      </c>
    </row>
    <row r="216" spans="1:65" ht="25.5" x14ac:dyDescent="0.25">
      <c r="A216" s="784"/>
      <c r="B216" s="719">
        <f>+B214+1</f>
        <v>131</v>
      </c>
      <c r="C216" s="170" t="str">
        <f t="shared" si="532"/>
        <v>33Ckt. Mi</v>
      </c>
      <c r="D216" s="557"/>
      <c r="E216" s="170"/>
      <c r="F216" s="727">
        <v>33</v>
      </c>
      <c r="G216" s="2007" t="s">
        <v>2889</v>
      </c>
      <c r="H216" s="1926"/>
      <c r="I216" s="2008" t="s">
        <v>1330</v>
      </c>
      <c r="J216" s="1926"/>
      <c r="K216" s="1926"/>
      <c r="L216" s="170"/>
      <c r="M216" s="2009">
        <v>850</v>
      </c>
      <c r="N216" s="2010">
        <v>1</v>
      </c>
      <c r="O216" s="773">
        <f t="shared" si="490"/>
        <v>850</v>
      </c>
      <c r="P216" s="2008" t="s">
        <v>39</v>
      </c>
      <c r="Q216" s="2008" t="s">
        <v>604</v>
      </c>
      <c r="R216" s="2011" t="s">
        <v>74</v>
      </c>
      <c r="S216" s="778">
        <f>SUMIF('Data Input sheet'!$B$118:$B$180,R216,'Data Input sheet'!$D$118:$D$180)</f>
        <v>152</v>
      </c>
      <c r="T216" s="2010">
        <f t="shared" si="491"/>
        <v>129200</v>
      </c>
      <c r="U216" s="2010">
        <v>14</v>
      </c>
      <c r="V216" s="778">
        <f t="shared" si="375"/>
        <v>11900</v>
      </c>
      <c r="W216" s="2010">
        <f>5280*3*(3.25*2.32)</f>
        <v>119433.59999999999</v>
      </c>
      <c r="X216" s="779"/>
      <c r="Y216" s="2012">
        <v>0</v>
      </c>
      <c r="Z216" s="780">
        <f t="shared" si="492"/>
        <v>260533.59999999998</v>
      </c>
      <c r="AA216" s="2007" t="s">
        <v>713</v>
      </c>
      <c r="AB216" s="2007" t="s">
        <v>2896</v>
      </c>
      <c r="AC216" s="765"/>
      <c r="AD216" s="781">
        <f t="shared" si="553"/>
        <v>0</v>
      </c>
      <c r="AE216" s="781">
        <f t="shared" si="364"/>
        <v>0</v>
      </c>
      <c r="AF216" s="781">
        <f t="shared" si="554"/>
        <v>0</v>
      </c>
      <c r="AG216" s="781">
        <f t="shared" si="555"/>
        <v>0</v>
      </c>
      <c r="AH216" s="781">
        <f t="shared" si="365"/>
        <v>0</v>
      </c>
      <c r="AI216" s="782">
        <f t="shared" si="556"/>
        <v>0</v>
      </c>
      <c r="AJ216" s="781">
        <f t="shared" si="557"/>
        <v>0</v>
      </c>
      <c r="AK216" s="781">
        <f t="shared" si="366"/>
        <v>0</v>
      </c>
      <c r="AL216" s="781">
        <f t="shared" si="558"/>
        <v>0</v>
      </c>
      <c r="AM216" s="781">
        <f t="shared" si="559"/>
        <v>0</v>
      </c>
      <c r="AN216" s="781">
        <f t="shared" si="367"/>
        <v>0</v>
      </c>
      <c r="AO216" s="781">
        <f t="shared" si="560"/>
        <v>0</v>
      </c>
      <c r="AP216" s="781">
        <f t="shared" si="561"/>
        <v>0</v>
      </c>
      <c r="AQ216" s="781">
        <f t="shared" si="368"/>
        <v>0</v>
      </c>
      <c r="AR216" s="781">
        <f t="shared" si="562"/>
        <v>0</v>
      </c>
      <c r="AS216" s="783">
        <f t="shared" si="369"/>
        <v>0</v>
      </c>
      <c r="AT216" s="759"/>
      <c r="AW216">
        <v>513336</v>
      </c>
      <c r="AX216" t="s">
        <v>714</v>
      </c>
      <c r="BM216" s="2010">
        <f>5280*3*3.25</f>
        <v>51480</v>
      </c>
    </row>
    <row r="217" spans="1:65" ht="25.5" x14ac:dyDescent="0.25">
      <c r="A217" s="784"/>
      <c r="B217" s="719">
        <f t="shared" si="371"/>
        <v>132</v>
      </c>
      <c r="C217" s="170" t="str">
        <f t="shared" si="532"/>
        <v>33Ckt. Mi</v>
      </c>
      <c r="D217" s="557"/>
      <c r="E217" s="170"/>
      <c r="F217" s="727">
        <v>33</v>
      </c>
      <c r="G217" s="2007" t="s">
        <v>2890</v>
      </c>
      <c r="H217" s="1926"/>
      <c r="I217" s="2008" t="s">
        <v>1330</v>
      </c>
      <c r="J217" s="1926"/>
      <c r="K217" s="1926"/>
      <c r="L217" s="170"/>
      <c r="M217" s="2009">
        <f>850*1.85</f>
        <v>1572.5</v>
      </c>
      <c r="N217" s="2010">
        <v>1</v>
      </c>
      <c r="O217" s="773">
        <f t="shared" ref="O217" si="583">+M217*N217</f>
        <v>1572.5</v>
      </c>
      <c r="P217" s="2008" t="s">
        <v>39</v>
      </c>
      <c r="Q217" s="2008" t="s">
        <v>604</v>
      </c>
      <c r="R217" s="2011" t="s">
        <v>74</v>
      </c>
      <c r="S217" s="778">
        <f>SUMIF('Data Input sheet'!$B$118:$B$180,R217,'Data Input sheet'!$D$118:$D$180)</f>
        <v>152</v>
      </c>
      <c r="T217" s="2010">
        <f t="shared" ref="T217" si="584">+O217*S217</f>
        <v>239020</v>
      </c>
      <c r="U217" s="2010">
        <v>14</v>
      </c>
      <c r="V217" s="778">
        <f t="shared" ref="V217" si="585">ROUND(U217*O217,0)</f>
        <v>22015</v>
      </c>
      <c r="W217" s="2010">
        <f>5280*3*(3.25*2.32)*2</f>
        <v>238867.19999999998</v>
      </c>
      <c r="X217" s="779"/>
      <c r="Y217" s="2012">
        <v>0</v>
      </c>
      <c r="Z217" s="780">
        <f t="shared" ref="Z217" si="586">T217+V217+W217+Y217</f>
        <v>499902.19999999995</v>
      </c>
      <c r="AA217" s="2007" t="s">
        <v>713</v>
      </c>
      <c r="AB217" s="2007" t="s">
        <v>2886</v>
      </c>
      <c r="AC217" s="765"/>
      <c r="AD217" s="781">
        <f t="shared" ref="AD217" si="587">IF(P217="E",+ROUND(H217*O217,0),0)</f>
        <v>0</v>
      </c>
      <c r="AE217" s="781">
        <f t="shared" ref="AE217" si="588">+AF217-AD217</f>
        <v>0</v>
      </c>
      <c r="AF217" s="781">
        <f t="shared" ref="AF217" si="589">+H217*O217</f>
        <v>0</v>
      </c>
      <c r="AG217" s="781">
        <f t="shared" ref="AG217" si="590">IF(P217="E",+ROUND(T217*H217,0),0)</f>
        <v>0</v>
      </c>
      <c r="AH217" s="781">
        <f t="shared" ref="AH217" si="591">+AI217-AG217</f>
        <v>0</v>
      </c>
      <c r="AI217" s="782">
        <f t="shared" ref="AI217" si="592">+H217*T217</f>
        <v>0</v>
      </c>
      <c r="AJ217" s="781">
        <f t="shared" ref="AJ217" si="593">IF(P217="E",+ROUND(V217*H217,0),0)</f>
        <v>0</v>
      </c>
      <c r="AK217" s="781">
        <f t="shared" ref="AK217" si="594">+AL217-AJ217</f>
        <v>0</v>
      </c>
      <c r="AL217" s="781">
        <f t="shared" ref="AL217" si="595">ROUND(V217*H217,0)</f>
        <v>0</v>
      </c>
      <c r="AM217" s="781">
        <f t="shared" ref="AM217" si="596">IF(Q217="E",+ROUND(W217*H217,0),0)</f>
        <v>0</v>
      </c>
      <c r="AN217" s="781">
        <f t="shared" ref="AN217" si="597">+AO217-AM217</f>
        <v>0</v>
      </c>
      <c r="AO217" s="781">
        <f t="shared" ref="AO217" si="598">ROUND(W217*H217,0)</f>
        <v>0</v>
      </c>
      <c r="AP217" s="781">
        <f t="shared" ref="AP217" si="599">IF(P217="E",+ROUND(Y217*H217,0),0)</f>
        <v>0</v>
      </c>
      <c r="AQ217" s="781">
        <f t="shared" ref="AQ217" si="600">+AR217-AP217</f>
        <v>0</v>
      </c>
      <c r="AR217" s="781">
        <f t="shared" ref="AR217" si="601">ROUND(Y217*H217,0)</f>
        <v>0</v>
      </c>
      <c r="AS217" s="783">
        <f t="shared" ref="AS217" si="602">+AR217+AO217+AL217+AI217</f>
        <v>0</v>
      </c>
      <c r="AT217" s="759"/>
      <c r="AW217">
        <v>513336</v>
      </c>
      <c r="AX217" t="s">
        <v>714</v>
      </c>
      <c r="BM217" s="2010">
        <f>5280*3*3.25</f>
        <v>51480</v>
      </c>
    </row>
    <row r="218" spans="1:65" ht="25.5" x14ac:dyDescent="0.25">
      <c r="A218" s="784"/>
      <c r="B218" s="719">
        <f>+B216+1</f>
        <v>132</v>
      </c>
      <c r="C218" s="170" t="str">
        <f t="shared" si="532"/>
        <v>33Ckt. Mi</v>
      </c>
      <c r="D218" s="557"/>
      <c r="E218" s="170"/>
      <c r="F218" s="727">
        <v>33</v>
      </c>
      <c r="G218" s="2007" t="s">
        <v>2894</v>
      </c>
      <c r="H218" s="1926"/>
      <c r="I218" s="2008" t="s">
        <v>1330</v>
      </c>
      <c r="J218" s="1926"/>
      <c r="K218" s="1926"/>
      <c r="L218" s="170"/>
      <c r="M218" s="2009">
        <v>1000</v>
      </c>
      <c r="N218" s="2010">
        <v>1</v>
      </c>
      <c r="O218" s="773">
        <f t="shared" si="490"/>
        <v>1000</v>
      </c>
      <c r="P218" s="2008" t="s">
        <v>39</v>
      </c>
      <c r="Q218" s="2008" t="s">
        <v>604</v>
      </c>
      <c r="R218" s="2011" t="s">
        <v>74</v>
      </c>
      <c r="S218" s="778">
        <f>SUMIF('Data Input sheet'!$B$118:$B$180,R218,'Data Input sheet'!$D$118:$D$180)</f>
        <v>152</v>
      </c>
      <c r="T218" s="2010">
        <f t="shared" si="491"/>
        <v>152000</v>
      </c>
      <c r="U218" s="2010">
        <v>14</v>
      </c>
      <c r="V218" s="778">
        <f t="shared" si="375"/>
        <v>14000</v>
      </c>
      <c r="W218" s="2010">
        <f>5280*3*(3.5*2.32)</f>
        <v>128620.79999999999</v>
      </c>
      <c r="X218" s="779"/>
      <c r="Y218" s="2012">
        <v>0</v>
      </c>
      <c r="Z218" s="780">
        <f t="shared" si="492"/>
        <v>294620.79999999999</v>
      </c>
      <c r="AA218" s="2007" t="s">
        <v>713</v>
      </c>
      <c r="AB218" s="2007" t="s">
        <v>2887</v>
      </c>
      <c r="AC218" s="765"/>
      <c r="AD218" s="781">
        <f t="shared" si="553"/>
        <v>0</v>
      </c>
      <c r="AE218" s="781">
        <f t="shared" ref="AE218:AE235" si="603">+AF218-AD218</f>
        <v>0</v>
      </c>
      <c r="AF218" s="781">
        <f t="shared" si="554"/>
        <v>0</v>
      </c>
      <c r="AG218" s="781">
        <f t="shared" si="555"/>
        <v>0</v>
      </c>
      <c r="AH218" s="781">
        <f t="shared" ref="AH218:AH235" si="604">+AI218-AG218</f>
        <v>0</v>
      </c>
      <c r="AI218" s="782">
        <f t="shared" si="556"/>
        <v>0</v>
      </c>
      <c r="AJ218" s="781">
        <f t="shared" si="557"/>
        <v>0</v>
      </c>
      <c r="AK218" s="781">
        <f t="shared" ref="AK218:AK235" si="605">+AL218-AJ218</f>
        <v>0</v>
      </c>
      <c r="AL218" s="781">
        <f t="shared" si="558"/>
        <v>0</v>
      </c>
      <c r="AM218" s="781">
        <f t="shared" si="559"/>
        <v>0</v>
      </c>
      <c r="AN218" s="781">
        <f t="shared" ref="AN218:AN235" si="606">+AO218-AM218</f>
        <v>0</v>
      </c>
      <c r="AO218" s="781">
        <f t="shared" si="560"/>
        <v>0</v>
      </c>
      <c r="AP218" s="781">
        <f t="shared" si="561"/>
        <v>0</v>
      </c>
      <c r="AQ218" s="781">
        <f t="shared" ref="AQ218:AQ235" si="607">+AR218-AP218</f>
        <v>0</v>
      </c>
      <c r="AR218" s="781">
        <f t="shared" si="562"/>
        <v>0</v>
      </c>
      <c r="AS218" s="783">
        <f t="shared" ref="AS218:AS235" si="608">+AR218+AO218+AL218+AI218</f>
        <v>0</v>
      </c>
      <c r="AT218" s="759"/>
      <c r="AW218">
        <v>513352</v>
      </c>
      <c r="AX218" t="s">
        <v>714</v>
      </c>
      <c r="BM218" s="2010">
        <f>5280*3*3.5</f>
        <v>55440</v>
      </c>
    </row>
    <row r="219" spans="1:65" ht="15" x14ac:dyDescent="0.25">
      <c r="A219" s="784"/>
      <c r="B219" s="719">
        <f>+B218+1</f>
        <v>133</v>
      </c>
      <c r="C219" s="170" t="str">
        <f t="shared" si="532"/>
        <v>33</v>
      </c>
      <c r="D219" s="557"/>
      <c r="E219" s="170"/>
      <c r="F219" s="170">
        <v>33</v>
      </c>
      <c r="G219" s="2007"/>
      <c r="H219" s="1926"/>
      <c r="I219" s="2008"/>
      <c r="J219" s="1926"/>
      <c r="K219" s="1926"/>
      <c r="L219" s="170"/>
      <c r="M219" s="2009"/>
      <c r="N219" s="2010">
        <v>1</v>
      </c>
      <c r="O219" s="773">
        <f t="shared" si="490"/>
        <v>0</v>
      </c>
      <c r="P219" s="2008" t="s">
        <v>39</v>
      </c>
      <c r="Q219" s="2008" t="s">
        <v>604</v>
      </c>
      <c r="R219" s="2011" t="s">
        <v>74</v>
      </c>
      <c r="S219" s="778">
        <f>SUMIF('Data Input sheet'!$B$118:$B$180,R219,'Data Input sheet'!$D$118:$D$180)</f>
        <v>152</v>
      </c>
      <c r="T219" s="2010">
        <f t="shared" si="491"/>
        <v>0</v>
      </c>
      <c r="U219" s="2010">
        <v>0</v>
      </c>
      <c r="V219" s="778">
        <f t="shared" si="375"/>
        <v>0</v>
      </c>
      <c r="W219" s="2010"/>
      <c r="X219" s="779"/>
      <c r="Y219" s="2012">
        <v>0</v>
      </c>
      <c r="Z219" s="780">
        <f t="shared" si="492"/>
        <v>0</v>
      </c>
      <c r="AA219" s="2007" t="s">
        <v>713</v>
      </c>
      <c r="AB219" s="2007"/>
      <c r="AC219" s="765"/>
      <c r="AD219" s="781">
        <f t="shared" si="553"/>
        <v>0</v>
      </c>
      <c r="AE219" s="781">
        <f t="shared" si="603"/>
        <v>0</v>
      </c>
      <c r="AF219" s="781">
        <f t="shared" si="554"/>
        <v>0</v>
      </c>
      <c r="AG219" s="781">
        <f t="shared" si="555"/>
        <v>0</v>
      </c>
      <c r="AH219" s="781">
        <f t="shared" si="604"/>
        <v>0</v>
      </c>
      <c r="AI219" s="782">
        <f t="shared" si="556"/>
        <v>0</v>
      </c>
      <c r="AJ219" s="781">
        <f t="shared" si="557"/>
        <v>0</v>
      </c>
      <c r="AK219" s="781">
        <f t="shared" si="605"/>
        <v>0</v>
      </c>
      <c r="AL219" s="781">
        <f t="shared" si="558"/>
        <v>0</v>
      </c>
      <c r="AM219" s="781">
        <f t="shared" si="559"/>
        <v>0</v>
      </c>
      <c r="AN219" s="781">
        <f t="shared" si="606"/>
        <v>0</v>
      </c>
      <c r="AO219" s="781">
        <f t="shared" si="560"/>
        <v>0</v>
      </c>
      <c r="AP219" s="781">
        <f t="shared" si="561"/>
        <v>0</v>
      </c>
      <c r="AQ219" s="781">
        <f t="shared" si="607"/>
        <v>0</v>
      </c>
      <c r="AR219" s="781">
        <f t="shared" si="562"/>
        <v>0</v>
      </c>
      <c r="AS219" s="783">
        <f t="shared" si="608"/>
        <v>0</v>
      </c>
      <c r="AT219" s="759"/>
      <c r="AX219" t="s">
        <v>714</v>
      </c>
      <c r="BM219" s="2010"/>
    </row>
    <row r="220" spans="1:65" ht="25.5" x14ac:dyDescent="0.25">
      <c r="A220" s="784"/>
      <c r="B220" s="719">
        <f t="shared" si="371"/>
        <v>134</v>
      </c>
      <c r="C220" s="170" t="str">
        <f t="shared" si="532"/>
        <v>35Mile</v>
      </c>
      <c r="D220" s="557"/>
      <c r="E220" s="170"/>
      <c r="F220" s="170">
        <v>35</v>
      </c>
      <c r="G220" s="2007" t="s">
        <v>715</v>
      </c>
      <c r="H220" s="1926"/>
      <c r="I220" s="2008" t="s">
        <v>1329</v>
      </c>
      <c r="J220" s="1926"/>
      <c r="K220" s="1926"/>
      <c r="L220" s="170"/>
      <c r="M220" s="2009">
        <v>375</v>
      </c>
      <c r="N220" s="2010">
        <v>1</v>
      </c>
      <c r="O220" s="773">
        <f t="shared" si="490"/>
        <v>375</v>
      </c>
      <c r="P220" s="2008" t="s">
        <v>39</v>
      </c>
      <c r="Q220" s="2008" t="s">
        <v>604</v>
      </c>
      <c r="R220" s="2011" t="s">
        <v>74</v>
      </c>
      <c r="S220" s="778">
        <f>SUMIF('Data Input sheet'!$B$118:$B$180,R220,'Data Input sheet'!$D$118:$D$180)</f>
        <v>152</v>
      </c>
      <c r="T220" s="2010">
        <f t="shared" si="491"/>
        <v>57000</v>
      </c>
      <c r="U220" s="2010">
        <v>14</v>
      </c>
      <c r="V220" s="778">
        <f t="shared" si="375"/>
        <v>5250</v>
      </c>
      <c r="W220" s="2010">
        <f>(5280*1.4)+(800)</f>
        <v>8191.9999999999991</v>
      </c>
      <c r="X220" s="779"/>
      <c r="Y220" s="2012">
        <v>0</v>
      </c>
      <c r="Z220" s="780">
        <f t="shared" si="492"/>
        <v>70442</v>
      </c>
      <c r="AA220" s="2007" t="s">
        <v>716</v>
      </c>
      <c r="AB220" s="2007"/>
      <c r="AC220" s="765"/>
      <c r="AD220" s="781">
        <f t="shared" si="553"/>
        <v>0</v>
      </c>
      <c r="AE220" s="781">
        <f t="shared" si="603"/>
        <v>0</v>
      </c>
      <c r="AF220" s="781">
        <f t="shared" si="554"/>
        <v>0</v>
      </c>
      <c r="AG220" s="781">
        <f t="shared" si="555"/>
        <v>0</v>
      </c>
      <c r="AH220" s="781">
        <f t="shared" si="604"/>
        <v>0</v>
      </c>
      <c r="AI220" s="782">
        <f t="shared" si="556"/>
        <v>0</v>
      </c>
      <c r="AJ220" s="781">
        <f t="shared" si="557"/>
        <v>0</v>
      </c>
      <c r="AK220" s="781">
        <f t="shared" si="605"/>
        <v>0</v>
      </c>
      <c r="AL220" s="781">
        <f t="shared" si="558"/>
        <v>0</v>
      </c>
      <c r="AM220" s="781">
        <f t="shared" si="559"/>
        <v>0</v>
      </c>
      <c r="AN220" s="781">
        <f t="shared" si="606"/>
        <v>0</v>
      </c>
      <c r="AO220" s="781">
        <f t="shared" si="560"/>
        <v>0</v>
      </c>
      <c r="AP220" s="781">
        <f t="shared" si="561"/>
        <v>0</v>
      </c>
      <c r="AQ220" s="781">
        <f t="shared" si="607"/>
        <v>0</v>
      </c>
      <c r="AR220" s="781">
        <f t="shared" si="562"/>
        <v>0</v>
      </c>
      <c r="AS220" s="783">
        <f t="shared" si="608"/>
        <v>0</v>
      </c>
      <c r="AT220" s="759"/>
      <c r="AW220">
        <v>582785</v>
      </c>
      <c r="AX220" t="s">
        <v>717</v>
      </c>
      <c r="BM220" s="2010">
        <f>(5280*1.4)+(800)</f>
        <v>8191.9999999999991</v>
      </c>
    </row>
    <row r="221" spans="1:65" ht="25.5" x14ac:dyDescent="0.25">
      <c r="A221" s="784"/>
      <c r="B221" s="719">
        <f t="shared" si="371"/>
        <v>135</v>
      </c>
      <c r="C221" s="170" t="str">
        <f t="shared" si="532"/>
        <v>35Mile</v>
      </c>
      <c r="D221" s="557"/>
      <c r="E221" s="170"/>
      <c r="F221" s="170">
        <v>35</v>
      </c>
      <c r="G221" s="2007" t="s">
        <v>718</v>
      </c>
      <c r="H221" s="1926"/>
      <c r="I221" s="2008" t="s">
        <v>1329</v>
      </c>
      <c r="J221" s="1926"/>
      <c r="K221" s="1926"/>
      <c r="L221" s="170"/>
      <c r="M221" s="2009">
        <v>275</v>
      </c>
      <c r="N221" s="2010">
        <v>1</v>
      </c>
      <c r="O221" s="773">
        <f t="shared" si="490"/>
        <v>275</v>
      </c>
      <c r="P221" s="2008" t="s">
        <v>39</v>
      </c>
      <c r="Q221" s="2008" t="s">
        <v>604</v>
      </c>
      <c r="R221" s="2011" t="s">
        <v>74</v>
      </c>
      <c r="S221" s="778">
        <f>SUMIF('Data Input sheet'!$B$118:$B$180,R221,'Data Input sheet'!$D$118:$D$180)</f>
        <v>152</v>
      </c>
      <c r="T221" s="2010">
        <f t="shared" si="491"/>
        <v>41800</v>
      </c>
      <c r="U221" s="2010">
        <v>14</v>
      </c>
      <c r="V221" s="778">
        <f t="shared" si="375"/>
        <v>3850</v>
      </c>
      <c r="W221" s="2010">
        <f>(5280*1.4)+(800)</f>
        <v>8191.9999999999991</v>
      </c>
      <c r="X221" s="779"/>
      <c r="Y221" s="2012">
        <v>0</v>
      </c>
      <c r="Z221" s="780">
        <f t="shared" si="492"/>
        <v>53842</v>
      </c>
      <c r="AA221" s="2007" t="s">
        <v>716</v>
      </c>
      <c r="AB221" s="2007"/>
      <c r="AC221" s="765"/>
      <c r="AD221" s="781">
        <f t="shared" si="553"/>
        <v>0</v>
      </c>
      <c r="AE221" s="781">
        <f t="shared" si="603"/>
        <v>0</v>
      </c>
      <c r="AF221" s="781">
        <f t="shared" si="554"/>
        <v>0</v>
      </c>
      <c r="AG221" s="781">
        <f t="shared" si="555"/>
        <v>0</v>
      </c>
      <c r="AH221" s="781">
        <f t="shared" si="604"/>
        <v>0</v>
      </c>
      <c r="AI221" s="782">
        <f t="shared" si="556"/>
        <v>0</v>
      </c>
      <c r="AJ221" s="781">
        <f t="shared" si="557"/>
        <v>0</v>
      </c>
      <c r="AK221" s="781">
        <f t="shared" si="605"/>
        <v>0</v>
      </c>
      <c r="AL221" s="781">
        <f t="shared" si="558"/>
        <v>0</v>
      </c>
      <c r="AM221" s="781">
        <f t="shared" si="559"/>
        <v>0</v>
      </c>
      <c r="AN221" s="781">
        <f t="shared" si="606"/>
        <v>0</v>
      </c>
      <c r="AO221" s="781">
        <f t="shared" si="560"/>
        <v>0</v>
      </c>
      <c r="AP221" s="781">
        <f t="shared" si="561"/>
        <v>0</v>
      </c>
      <c r="AQ221" s="781">
        <f t="shared" si="607"/>
        <v>0</v>
      </c>
      <c r="AR221" s="781">
        <f t="shared" si="562"/>
        <v>0</v>
      </c>
      <c r="AS221" s="783">
        <f t="shared" si="608"/>
        <v>0</v>
      </c>
      <c r="AT221" s="759"/>
      <c r="AW221">
        <v>582785</v>
      </c>
      <c r="AX221" t="s">
        <v>717</v>
      </c>
      <c r="BM221" s="2010">
        <f>(5280*1.4)+(800)</f>
        <v>8191.9999999999991</v>
      </c>
    </row>
    <row r="222" spans="1:65" ht="15" x14ac:dyDescent="0.25">
      <c r="A222" s="784"/>
      <c r="B222" s="719">
        <f t="shared" ref="B222:B262" si="609">+B221+1</f>
        <v>136</v>
      </c>
      <c r="C222" s="170" t="str">
        <f t="shared" si="532"/>
        <v>35EA</v>
      </c>
      <c r="D222" s="557"/>
      <c r="E222" s="170"/>
      <c r="F222" s="170">
        <v>35</v>
      </c>
      <c r="G222" s="2007" t="s">
        <v>1127</v>
      </c>
      <c r="H222" s="1926">
        <v>0</v>
      </c>
      <c r="I222" s="2008" t="s">
        <v>732</v>
      </c>
      <c r="J222" s="1926"/>
      <c r="K222" s="1926"/>
      <c r="L222" s="170"/>
      <c r="M222" s="2009">
        <v>20</v>
      </c>
      <c r="N222" s="2010">
        <v>1</v>
      </c>
      <c r="O222" s="773">
        <f t="shared" si="490"/>
        <v>20</v>
      </c>
      <c r="P222" s="2008" t="s">
        <v>39</v>
      </c>
      <c r="Q222" s="2008" t="s">
        <v>604</v>
      </c>
      <c r="R222" s="2011" t="s">
        <v>74</v>
      </c>
      <c r="S222" s="778">
        <f>SUMIF('Data Input sheet'!$B$118:$B$180,R222,'Data Input sheet'!$D$118:$D$180)</f>
        <v>152</v>
      </c>
      <c r="T222" s="2010">
        <f t="shared" si="491"/>
        <v>3040</v>
      </c>
      <c r="U222" s="2010">
        <v>28</v>
      </c>
      <c r="V222" s="778">
        <f t="shared" si="375"/>
        <v>560</v>
      </c>
      <c r="W222" s="2010">
        <v>3000</v>
      </c>
      <c r="X222" s="779"/>
      <c r="Y222" s="2012">
        <v>0</v>
      </c>
      <c r="Z222" s="780">
        <f t="shared" si="492"/>
        <v>6600</v>
      </c>
      <c r="AA222" s="2007" t="s">
        <v>1128</v>
      </c>
      <c r="AB222" s="2007"/>
      <c r="AC222" s="765"/>
      <c r="AD222" s="781">
        <f t="shared" si="553"/>
        <v>0</v>
      </c>
      <c r="AE222" s="781">
        <f t="shared" si="603"/>
        <v>0</v>
      </c>
      <c r="AF222" s="781">
        <f t="shared" si="554"/>
        <v>0</v>
      </c>
      <c r="AG222" s="781">
        <f t="shared" si="555"/>
        <v>0</v>
      </c>
      <c r="AH222" s="781">
        <f t="shared" si="604"/>
        <v>0</v>
      </c>
      <c r="AI222" s="782">
        <f t="shared" si="556"/>
        <v>0</v>
      </c>
      <c r="AJ222" s="781">
        <f t="shared" si="557"/>
        <v>0</v>
      </c>
      <c r="AK222" s="781">
        <f t="shared" si="605"/>
        <v>0</v>
      </c>
      <c r="AL222" s="781">
        <f t="shared" si="558"/>
        <v>0</v>
      </c>
      <c r="AM222" s="781">
        <f t="shared" si="559"/>
        <v>0</v>
      </c>
      <c r="AN222" s="781">
        <f t="shared" si="606"/>
        <v>0</v>
      </c>
      <c r="AO222" s="781">
        <f t="shared" si="560"/>
        <v>0</v>
      </c>
      <c r="AP222" s="781">
        <f t="shared" si="561"/>
        <v>0</v>
      </c>
      <c r="AQ222" s="781">
        <f t="shared" si="607"/>
        <v>0</v>
      </c>
      <c r="AR222" s="781">
        <f t="shared" si="562"/>
        <v>0</v>
      </c>
      <c r="AS222" s="783">
        <f t="shared" si="608"/>
        <v>0</v>
      </c>
      <c r="AT222" s="759"/>
      <c r="BM222" s="2010">
        <v>3000</v>
      </c>
    </row>
    <row r="223" spans="1:65" ht="15" x14ac:dyDescent="0.25">
      <c r="A223" s="784"/>
      <c r="B223" s="719">
        <f t="shared" si="609"/>
        <v>137</v>
      </c>
      <c r="C223" s="170" t="str">
        <f t="shared" si="532"/>
        <v>35EA</v>
      </c>
      <c r="D223" s="557"/>
      <c r="E223" s="170"/>
      <c r="F223" s="170">
        <v>35</v>
      </c>
      <c r="G223" s="2007" t="s">
        <v>1129</v>
      </c>
      <c r="H223" s="1926">
        <v>0</v>
      </c>
      <c r="I223" s="2008" t="s">
        <v>732</v>
      </c>
      <c r="J223" s="1926"/>
      <c r="K223" s="1926"/>
      <c r="L223" s="170"/>
      <c r="M223" s="2009">
        <v>32</v>
      </c>
      <c r="N223" s="2010">
        <v>1</v>
      </c>
      <c r="O223" s="773">
        <f t="shared" si="490"/>
        <v>32</v>
      </c>
      <c r="P223" s="2008" t="s">
        <v>39</v>
      </c>
      <c r="Q223" s="2008" t="s">
        <v>604</v>
      </c>
      <c r="R223" s="2011" t="s">
        <v>79</v>
      </c>
      <c r="S223" s="778">
        <f>SUMIF('Data Input sheet'!$B$118:$B$180,R223,'Data Input sheet'!$D$118:$D$180)</f>
        <v>284</v>
      </c>
      <c r="T223" s="2010">
        <f t="shared" si="491"/>
        <v>9088</v>
      </c>
      <c r="U223" s="2010">
        <v>54</v>
      </c>
      <c r="V223" s="778">
        <f t="shared" si="375"/>
        <v>1728</v>
      </c>
      <c r="W223" s="2010">
        <v>200</v>
      </c>
      <c r="X223" s="779"/>
      <c r="Y223" s="2012">
        <v>0</v>
      </c>
      <c r="Z223" s="780">
        <f t="shared" si="492"/>
        <v>11016</v>
      </c>
      <c r="AA223" s="2007" t="s">
        <v>1130</v>
      </c>
      <c r="AB223" s="2007"/>
      <c r="AC223" s="765"/>
      <c r="AD223" s="781">
        <f t="shared" si="553"/>
        <v>0</v>
      </c>
      <c r="AE223" s="781">
        <f t="shared" si="603"/>
        <v>0</v>
      </c>
      <c r="AF223" s="781">
        <f t="shared" si="554"/>
        <v>0</v>
      </c>
      <c r="AG223" s="781">
        <f t="shared" si="555"/>
        <v>0</v>
      </c>
      <c r="AH223" s="781">
        <f t="shared" si="604"/>
        <v>0</v>
      </c>
      <c r="AI223" s="782">
        <f t="shared" si="556"/>
        <v>0</v>
      </c>
      <c r="AJ223" s="781">
        <f t="shared" si="557"/>
        <v>0</v>
      </c>
      <c r="AK223" s="781">
        <f t="shared" si="605"/>
        <v>0</v>
      </c>
      <c r="AL223" s="781">
        <f t="shared" si="558"/>
        <v>0</v>
      </c>
      <c r="AM223" s="781">
        <f t="shared" si="559"/>
        <v>0</v>
      </c>
      <c r="AN223" s="781">
        <f t="shared" si="606"/>
        <v>0</v>
      </c>
      <c r="AO223" s="781">
        <f t="shared" si="560"/>
        <v>0</v>
      </c>
      <c r="AP223" s="781">
        <f t="shared" si="561"/>
        <v>0</v>
      </c>
      <c r="AQ223" s="781">
        <f t="shared" si="607"/>
        <v>0</v>
      </c>
      <c r="AR223" s="781">
        <f t="shared" si="562"/>
        <v>0</v>
      </c>
      <c r="AS223" s="783">
        <f t="shared" si="608"/>
        <v>0</v>
      </c>
      <c r="AT223" s="759"/>
      <c r="BM223" s="2010">
        <v>200</v>
      </c>
    </row>
    <row r="224" spans="1:65" ht="15" x14ac:dyDescent="0.25">
      <c r="A224" s="784"/>
      <c r="B224" s="719">
        <f t="shared" si="609"/>
        <v>138</v>
      </c>
      <c r="C224" s="170" t="str">
        <f t="shared" si="532"/>
        <v>35Mile</v>
      </c>
      <c r="D224" s="557"/>
      <c r="E224" s="170"/>
      <c r="F224" s="727">
        <v>35</v>
      </c>
      <c r="G224" s="2007" t="s">
        <v>2220</v>
      </c>
      <c r="H224" s="1926"/>
      <c r="I224" s="2008" t="s">
        <v>1329</v>
      </c>
      <c r="J224" s="1926"/>
      <c r="K224" s="1926"/>
      <c r="L224" s="170"/>
      <c r="M224" s="2009">
        <v>120</v>
      </c>
      <c r="N224" s="2010">
        <v>1</v>
      </c>
      <c r="O224" s="773">
        <f t="shared" si="490"/>
        <v>120</v>
      </c>
      <c r="P224" s="2008" t="s">
        <v>39</v>
      </c>
      <c r="Q224" s="2008" t="s">
        <v>604</v>
      </c>
      <c r="R224" s="2011" t="s">
        <v>74</v>
      </c>
      <c r="S224" s="778">
        <f>SUMIF('Data Input sheet'!$B$118:$B$180,R224,'Data Input sheet'!$D$118:$D$180)</f>
        <v>152</v>
      </c>
      <c r="T224" s="2010">
        <f t="shared" si="491"/>
        <v>18240</v>
      </c>
      <c r="U224" s="2010">
        <v>14</v>
      </c>
      <c r="V224" s="778">
        <f t="shared" si="375"/>
        <v>1680</v>
      </c>
      <c r="W224" s="2010">
        <f>(26246.8530634752*2)</f>
        <v>52493.706126950397</v>
      </c>
      <c r="X224" s="779"/>
      <c r="Y224" s="2012">
        <v>0</v>
      </c>
      <c r="Z224" s="780">
        <f t="shared" si="492"/>
        <v>72413.70612695039</v>
      </c>
      <c r="AA224" s="2007" t="s">
        <v>719</v>
      </c>
      <c r="AB224" s="2007" t="s">
        <v>2867</v>
      </c>
      <c r="AC224" s="765"/>
      <c r="AD224" s="781">
        <f t="shared" si="553"/>
        <v>0</v>
      </c>
      <c r="AE224" s="781">
        <f t="shared" si="603"/>
        <v>0</v>
      </c>
      <c r="AF224" s="781">
        <f t="shared" si="554"/>
        <v>0</v>
      </c>
      <c r="AG224" s="781">
        <f t="shared" si="555"/>
        <v>0</v>
      </c>
      <c r="AH224" s="781">
        <f t="shared" si="604"/>
        <v>0</v>
      </c>
      <c r="AI224" s="782">
        <f t="shared" si="556"/>
        <v>0</v>
      </c>
      <c r="AJ224" s="781">
        <f t="shared" si="557"/>
        <v>0</v>
      </c>
      <c r="AK224" s="781">
        <f t="shared" si="605"/>
        <v>0</v>
      </c>
      <c r="AL224" s="781">
        <f t="shared" si="558"/>
        <v>0</v>
      </c>
      <c r="AM224" s="781">
        <f t="shared" si="559"/>
        <v>0</v>
      </c>
      <c r="AN224" s="781">
        <f t="shared" si="606"/>
        <v>0</v>
      </c>
      <c r="AO224" s="781">
        <f t="shared" si="560"/>
        <v>0</v>
      </c>
      <c r="AP224" s="781">
        <f t="shared" si="561"/>
        <v>0</v>
      </c>
      <c r="AQ224" s="781">
        <f t="shared" si="607"/>
        <v>0</v>
      </c>
      <c r="AR224" s="781">
        <f t="shared" si="562"/>
        <v>0</v>
      </c>
      <c r="AS224" s="783">
        <f t="shared" si="608"/>
        <v>0</v>
      </c>
      <c r="AT224" s="759"/>
      <c r="BM224" s="2010">
        <v>26246.853063475202</v>
      </c>
    </row>
    <row r="225" spans="1:65" ht="15" x14ac:dyDescent="0.25">
      <c r="A225" s="784"/>
      <c r="B225" s="719">
        <f t="shared" si="609"/>
        <v>139</v>
      </c>
      <c r="C225" s="170" t="str">
        <f t="shared" si="532"/>
        <v>33</v>
      </c>
      <c r="D225" s="557"/>
      <c r="E225" s="170"/>
      <c r="F225" s="170">
        <v>33</v>
      </c>
      <c r="G225" s="2007"/>
      <c r="H225" s="1926"/>
      <c r="I225" s="2008"/>
      <c r="J225" s="1926"/>
      <c r="K225" s="1926"/>
      <c r="L225" s="170"/>
      <c r="M225" s="2009"/>
      <c r="N225" s="2010">
        <v>1</v>
      </c>
      <c r="O225" s="773">
        <f t="shared" si="490"/>
        <v>0</v>
      </c>
      <c r="P225" s="2008" t="s">
        <v>39</v>
      </c>
      <c r="Q225" s="2008" t="s">
        <v>604</v>
      </c>
      <c r="R225" s="2011" t="s">
        <v>74</v>
      </c>
      <c r="S225" s="778">
        <f>SUMIF('Data Input sheet'!$B$118:$B$180,R225,'Data Input sheet'!$D$118:$D$180)</f>
        <v>152</v>
      </c>
      <c r="T225" s="2010">
        <f t="shared" si="491"/>
        <v>0</v>
      </c>
      <c r="U225" s="2010">
        <v>0</v>
      </c>
      <c r="V225" s="778">
        <f t="shared" si="375"/>
        <v>0</v>
      </c>
      <c r="W225" s="2010"/>
      <c r="X225" s="779"/>
      <c r="Y225" s="2012">
        <v>0</v>
      </c>
      <c r="Z225" s="780">
        <f t="shared" si="492"/>
        <v>0</v>
      </c>
      <c r="AA225" s="2007" t="s">
        <v>713</v>
      </c>
      <c r="AB225" s="2007"/>
      <c r="AC225" s="765"/>
      <c r="AD225" s="781">
        <f t="shared" si="553"/>
        <v>0</v>
      </c>
      <c r="AE225" s="781">
        <f t="shared" si="603"/>
        <v>0</v>
      </c>
      <c r="AF225" s="781">
        <f t="shared" si="554"/>
        <v>0</v>
      </c>
      <c r="AG225" s="781">
        <f t="shared" si="555"/>
        <v>0</v>
      </c>
      <c r="AH225" s="781">
        <f t="shared" si="604"/>
        <v>0</v>
      </c>
      <c r="AI225" s="782">
        <f t="shared" si="556"/>
        <v>0</v>
      </c>
      <c r="AJ225" s="781">
        <f t="shared" si="557"/>
        <v>0</v>
      </c>
      <c r="AK225" s="781">
        <f t="shared" si="605"/>
        <v>0</v>
      </c>
      <c r="AL225" s="781">
        <f t="shared" si="558"/>
        <v>0</v>
      </c>
      <c r="AM225" s="781">
        <f t="shared" si="559"/>
        <v>0</v>
      </c>
      <c r="AN225" s="781">
        <f t="shared" si="606"/>
        <v>0</v>
      </c>
      <c r="AO225" s="781">
        <f t="shared" si="560"/>
        <v>0</v>
      </c>
      <c r="AP225" s="781">
        <f t="shared" si="561"/>
        <v>0</v>
      </c>
      <c r="AQ225" s="781">
        <f t="shared" si="607"/>
        <v>0</v>
      </c>
      <c r="AR225" s="781">
        <f t="shared" si="562"/>
        <v>0</v>
      </c>
      <c r="AS225" s="783">
        <f t="shared" si="608"/>
        <v>0</v>
      </c>
      <c r="AT225" s="759"/>
      <c r="AX225" t="s">
        <v>714</v>
      </c>
      <c r="BM225" s="2010"/>
    </row>
    <row r="226" spans="1:65" ht="15" x14ac:dyDescent="0.25">
      <c r="A226" s="784"/>
      <c r="B226" s="719">
        <f t="shared" si="609"/>
        <v>140</v>
      </c>
      <c r="C226" s="170" t="str">
        <f t="shared" si="532"/>
        <v>25Mile</v>
      </c>
      <c r="D226" s="557"/>
      <c r="E226" s="170"/>
      <c r="F226" s="727">
        <v>25</v>
      </c>
      <c r="G226" s="2007" t="s">
        <v>720</v>
      </c>
      <c r="H226" s="1926"/>
      <c r="I226" s="2008" t="s">
        <v>1329</v>
      </c>
      <c r="J226" s="1926"/>
      <c r="K226" s="1926"/>
      <c r="L226" s="170"/>
      <c r="M226" s="2009">
        <v>300</v>
      </c>
      <c r="N226" s="2010">
        <v>1</v>
      </c>
      <c r="O226" s="773">
        <f t="shared" si="490"/>
        <v>300</v>
      </c>
      <c r="P226" s="2008" t="s">
        <v>39</v>
      </c>
      <c r="Q226" s="2008" t="s">
        <v>604</v>
      </c>
      <c r="R226" s="2011" t="s">
        <v>74</v>
      </c>
      <c r="S226" s="778">
        <f>SUMIF('Data Input sheet'!$B$118:$B$180,R226,'Data Input sheet'!$D$118:$D$180)</f>
        <v>152</v>
      </c>
      <c r="T226" s="2010">
        <f t="shared" si="491"/>
        <v>45600</v>
      </c>
      <c r="U226" s="2010">
        <v>14</v>
      </c>
      <c r="V226" s="778">
        <f t="shared" si="375"/>
        <v>4200</v>
      </c>
      <c r="W226" s="2010">
        <f>(4914.30440337408*2)</f>
        <v>9828.6088067481596</v>
      </c>
      <c r="X226" s="779"/>
      <c r="Y226" s="2012">
        <v>0</v>
      </c>
      <c r="Z226" s="780">
        <f t="shared" si="492"/>
        <v>59628.608806748161</v>
      </c>
      <c r="AA226" s="2007" t="s">
        <v>721</v>
      </c>
      <c r="AB226" s="2007" t="s">
        <v>2867</v>
      </c>
      <c r="AC226" s="765"/>
      <c r="AD226" s="781">
        <f t="shared" si="553"/>
        <v>0</v>
      </c>
      <c r="AE226" s="781">
        <f t="shared" si="603"/>
        <v>0</v>
      </c>
      <c r="AF226" s="781">
        <f t="shared" si="554"/>
        <v>0</v>
      </c>
      <c r="AG226" s="781">
        <f t="shared" si="555"/>
        <v>0</v>
      </c>
      <c r="AH226" s="781">
        <f t="shared" si="604"/>
        <v>0</v>
      </c>
      <c r="AI226" s="782">
        <f t="shared" si="556"/>
        <v>0</v>
      </c>
      <c r="AJ226" s="781">
        <f t="shared" si="557"/>
        <v>0</v>
      </c>
      <c r="AK226" s="781">
        <f t="shared" si="605"/>
        <v>0</v>
      </c>
      <c r="AL226" s="781">
        <f t="shared" si="558"/>
        <v>0</v>
      </c>
      <c r="AM226" s="781">
        <f t="shared" si="559"/>
        <v>0</v>
      </c>
      <c r="AN226" s="781">
        <f t="shared" si="606"/>
        <v>0</v>
      </c>
      <c r="AO226" s="781">
        <f t="shared" si="560"/>
        <v>0</v>
      </c>
      <c r="AP226" s="781">
        <f t="shared" si="561"/>
        <v>0</v>
      </c>
      <c r="AQ226" s="781">
        <f t="shared" si="607"/>
        <v>0</v>
      </c>
      <c r="AR226" s="781">
        <f t="shared" si="562"/>
        <v>0</v>
      </c>
      <c r="AS226" s="783">
        <f t="shared" si="608"/>
        <v>0</v>
      </c>
      <c r="AT226" s="759"/>
      <c r="BM226" s="2010">
        <v>4914.3044033740798</v>
      </c>
    </row>
    <row r="227" spans="1:65" ht="15" x14ac:dyDescent="0.25">
      <c r="A227" s="784"/>
      <c r="B227" s="719">
        <f t="shared" si="609"/>
        <v>141</v>
      </c>
      <c r="C227" s="170" t="str">
        <f t="shared" si="532"/>
        <v>25EA</v>
      </c>
      <c r="D227" s="557"/>
      <c r="E227" s="170"/>
      <c r="F227" s="727">
        <v>25</v>
      </c>
      <c r="G227" s="2007" t="s">
        <v>722</v>
      </c>
      <c r="H227" s="1926">
        <f>+'Structure replacements'!L47</f>
        <v>0</v>
      </c>
      <c r="I227" s="2008" t="s">
        <v>732</v>
      </c>
      <c r="J227" s="1926"/>
      <c r="K227" s="1926"/>
      <c r="L227" s="170"/>
      <c r="M227" s="2009">
        <v>20</v>
      </c>
      <c r="N227" s="2010">
        <v>1</v>
      </c>
      <c r="O227" s="773">
        <f t="shared" si="490"/>
        <v>20</v>
      </c>
      <c r="P227" s="2008" t="s">
        <v>39</v>
      </c>
      <c r="Q227" s="2008" t="s">
        <v>604</v>
      </c>
      <c r="R227" s="2011" t="s">
        <v>74</v>
      </c>
      <c r="S227" s="778">
        <f>SUMIF('Data Input sheet'!$B$118:$B$180,R227,'Data Input sheet'!$D$118:$D$180)</f>
        <v>152</v>
      </c>
      <c r="T227" s="2010">
        <f t="shared" si="491"/>
        <v>3040</v>
      </c>
      <c r="U227" s="2010">
        <v>28</v>
      </c>
      <c r="V227" s="778">
        <f t="shared" ref="V227:V238" si="610">ROUND(U227*O227,0)</f>
        <v>560</v>
      </c>
      <c r="W227" s="2010">
        <f>(286.5928)*2</f>
        <v>573.18560000000002</v>
      </c>
      <c r="X227" s="779"/>
      <c r="Y227" s="2012">
        <v>0</v>
      </c>
      <c r="Z227" s="780">
        <f t="shared" si="492"/>
        <v>4173.1855999999998</v>
      </c>
      <c r="AA227" s="2007" t="s">
        <v>723</v>
      </c>
      <c r="AB227" s="2007" t="s">
        <v>2867</v>
      </c>
      <c r="AC227" s="765"/>
      <c r="AD227" s="781">
        <f t="shared" si="553"/>
        <v>0</v>
      </c>
      <c r="AE227" s="781">
        <f t="shared" si="603"/>
        <v>0</v>
      </c>
      <c r="AF227" s="781">
        <f t="shared" si="554"/>
        <v>0</v>
      </c>
      <c r="AG227" s="781">
        <f t="shared" si="555"/>
        <v>0</v>
      </c>
      <c r="AH227" s="781">
        <f t="shared" si="604"/>
        <v>0</v>
      </c>
      <c r="AI227" s="782">
        <f t="shared" si="556"/>
        <v>0</v>
      </c>
      <c r="AJ227" s="781">
        <f t="shared" si="557"/>
        <v>0</v>
      </c>
      <c r="AK227" s="781">
        <f t="shared" si="605"/>
        <v>0</v>
      </c>
      <c r="AL227" s="781">
        <f t="shared" si="558"/>
        <v>0</v>
      </c>
      <c r="AM227" s="781">
        <f t="shared" si="559"/>
        <v>0</v>
      </c>
      <c r="AN227" s="781">
        <f t="shared" si="606"/>
        <v>0</v>
      </c>
      <c r="AO227" s="781">
        <f t="shared" si="560"/>
        <v>0</v>
      </c>
      <c r="AP227" s="781">
        <f t="shared" si="561"/>
        <v>0</v>
      </c>
      <c r="AQ227" s="781">
        <f t="shared" si="607"/>
        <v>0</v>
      </c>
      <c r="AR227" s="781">
        <f t="shared" si="562"/>
        <v>0</v>
      </c>
      <c r="AS227" s="783">
        <f t="shared" si="608"/>
        <v>0</v>
      </c>
      <c r="AT227" s="759"/>
      <c r="BM227" s="2010">
        <v>286.59280000000001</v>
      </c>
    </row>
    <row r="228" spans="1:65" ht="25.5" x14ac:dyDescent="0.25">
      <c r="A228" s="784"/>
      <c r="B228" s="719">
        <f t="shared" si="609"/>
        <v>142</v>
      </c>
      <c r="C228" s="170" t="str">
        <f t="shared" si="532"/>
        <v>33EA</v>
      </c>
      <c r="D228" s="557"/>
      <c r="E228" s="170"/>
      <c r="F228" s="170">
        <v>33</v>
      </c>
      <c r="G228" s="2007" t="s">
        <v>724</v>
      </c>
      <c r="H228" s="1926"/>
      <c r="I228" s="2008" t="s">
        <v>732</v>
      </c>
      <c r="J228" s="1926"/>
      <c r="K228" s="1926"/>
      <c r="L228" s="170"/>
      <c r="M228" s="2009">
        <v>50</v>
      </c>
      <c r="N228" s="2010">
        <v>1</v>
      </c>
      <c r="O228" s="773">
        <f t="shared" si="490"/>
        <v>50</v>
      </c>
      <c r="P228" s="2008" t="s">
        <v>39</v>
      </c>
      <c r="Q228" s="2008" t="s">
        <v>604</v>
      </c>
      <c r="R228" s="2011" t="s">
        <v>74</v>
      </c>
      <c r="S228" s="778">
        <f>SUMIF('Data Input sheet'!$B$118:$B$180,R228,'Data Input sheet'!$D$118:$D$180)</f>
        <v>152</v>
      </c>
      <c r="T228" s="2010">
        <f t="shared" si="491"/>
        <v>7600</v>
      </c>
      <c r="U228" s="2010">
        <v>28</v>
      </c>
      <c r="V228" s="778">
        <f t="shared" si="610"/>
        <v>1400</v>
      </c>
      <c r="W228" s="2010">
        <v>7000</v>
      </c>
      <c r="X228" s="779"/>
      <c r="Y228" s="2012">
        <v>0</v>
      </c>
      <c r="Z228" s="780">
        <f t="shared" si="492"/>
        <v>16000</v>
      </c>
      <c r="AA228" s="2007" t="s">
        <v>725</v>
      </c>
      <c r="AB228" s="2007"/>
      <c r="AC228" s="765"/>
      <c r="AD228" s="781">
        <f t="shared" si="553"/>
        <v>0</v>
      </c>
      <c r="AE228" s="781">
        <f t="shared" si="603"/>
        <v>0</v>
      </c>
      <c r="AF228" s="781">
        <f t="shared" si="554"/>
        <v>0</v>
      </c>
      <c r="AG228" s="781">
        <f t="shared" si="555"/>
        <v>0</v>
      </c>
      <c r="AH228" s="781">
        <f t="shared" si="604"/>
        <v>0</v>
      </c>
      <c r="AI228" s="782">
        <f t="shared" si="556"/>
        <v>0</v>
      </c>
      <c r="AJ228" s="781">
        <f t="shared" si="557"/>
        <v>0</v>
      </c>
      <c r="AK228" s="781">
        <f t="shared" si="605"/>
        <v>0</v>
      </c>
      <c r="AL228" s="781">
        <f t="shared" si="558"/>
        <v>0</v>
      </c>
      <c r="AM228" s="781">
        <f t="shared" si="559"/>
        <v>0</v>
      </c>
      <c r="AN228" s="781">
        <f t="shared" si="606"/>
        <v>0</v>
      </c>
      <c r="AO228" s="781">
        <f t="shared" si="560"/>
        <v>0</v>
      </c>
      <c r="AP228" s="781">
        <f t="shared" si="561"/>
        <v>0</v>
      </c>
      <c r="AQ228" s="781">
        <f t="shared" si="607"/>
        <v>0</v>
      </c>
      <c r="AR228" s="781">
        <f t="shared" si="562"/>
        <v>0</v>
      </c>
      <c r="AS228" s="783">
        <f t="shared" si="608"/>
        <v>0</v>
      </c>
      <c r="AT228" s="759"/>
      <c r="BM228" s="2010">
        <v>7000</v>
      </c>
    </row>
    <row r="229" spans="1:65" ht="25.5" x14ac:dyDescent="0.25">
      <c r="A229" s="784"/>
      <c r="B229" s="719">
        <f t="shared" si="609"/>
        <v>143</v>
      </c>
      <c r="C229" s="170" t="str">
        <f t="shared" si="532"/>
        <v>34EA</v>
      </c>
      <c r="D229" s="557"/>
      <c r="E229" s="170"/>
      <c r="F229" s="170">
        <v>34</v>
      </c>
      <c r="G229" s="2007" t="s">
        <v>726</v>
      </c>
      <c r="H229" s="1926"/>
      <c r="I229" s="2008" t="s">
        <v>732</v>
      </c>
      <c r="J229" s="1926"/>
      <c r="K229" s="1926"/>
      <c r="L229" s="170"/>
      <c r="M229" s="2009">
        <v>100</v>
      </c>
      <c r="N229" s="2010">
        <v>1</v>
      </c>
      <c r="O229" s="773">
        <f t="shared" si="490"/>
        <v>100</v>
      </c>
      <c r="P229" s="2008" t="s">
        <v>39</v>
      </c>
      <c r="Q229" s="2008" t="s">
        <v>604</v>
      </c>
      <c r="R229" s="2011" t="s">
        <v>74</v>
      </c>
      <c r="S229" s="778">
        <f>SUMIF('Data Input sheet'!$B$118:$B$180,R229,'Data Input sheet'!$D$118:$D$180)</f>
        <v>152</v>
      </c>
      <c r="T229" s="2010">
        <f t="shared" si="491"/>
        <v>15200</v>
      </c>
      <c r="U229" s="2010">
        <v>28</v>
      </c>
      <c r="V229" s="778">
        <f t="shared" si="610"/>
        <v>2800</v>
      </c>
      <c r="W229" s="2010">
        <v>7000</v>
      </c>
      <c r="X229" s="779"/>
      <c r="Y229" s="2012">
        <v>0</v>
      </c>
      <c r="Z229" s="780">
        <f t="shared" si="492"/>
        <v>25000</v>
      </c>
      <c r="AA229" s="2007" t="s">
        <v>725</v>
      </c>
      <c r="AB229" s="2007"/>
      <c r="AC229" s="765"/>
      <c r="AD229" s="781">
        <f t="shared" si="553"/>
        <v>0</v>
      </c>
      <c r="AE229" s="781">
        <f t="shared" si="603"/>
        <v>0</v>
      </c>
      <c r="AF229" s="781">
        <f t="shared" si="554"/>
        <v>0</v>
      </c>
      <c r="AG229" s="781">
        <f t="shared" si="555"/>
        <v>0</v>
      </c>
      <c r="AH229" s="781">
        <f t="shared" si="604"/>
        <v>0</v>
      </c>
      <c r="AI229" s="782">
        <f t="shared" si="556"/>
        <v>0</v>
      </c>
      <c r="AJ229" s="781">
        <f t="shared" si="557"/>
        <v>0</v>
      </c>
      <c r="AK229" s="781">
        <f t="shared" si="605"/>
        <v>0</v>
      </c>
      <c r="AL229" s="781">
        <f t="shared" si="558"/>
        <v>0</v>
      </c>
      <c r="AM229" s="781">
        <f t="shared" si="559"/>
        <v>0</v>
      </c>
      <c r="AN229" s="781">
        <f t="shared" si="606"/>
        <v>0</v>
      </c>
      <c r="AO229" s="781">
        <f t="shared" si="560"/>
        <v>0</v>
      </c>
      <c r="AP229" s="781">
        <f t="shared" si="561"/>
        <v>0</v>
      </c>
      <c r="AQ229" s="781">
        <f t="shared" si="607"/>
        <v>0</v>
      </c>
      <c r="AR229" s="781">
        <f t="shared" si="562"/>
        <v>0</v>
      </c>
      <c r="AS229" s="783">
        <f t="shared" si="608"/>
        <v>0</v>
      </c>
      <c r="AT229" s="759"/>
      <c r="BM229" s="2010">
        <v>7000</v>
      </c>
    </row>
    <row r="230" spans="1:65" ht="38.25" x14ac:dyDescent="0.25">
      <c r="A230" s="784"/>
      <c r="B230" s="719">
        <f t="shared" si="609"/>
        <v>144</v>
      </c>
      <c r="C230" s="170" t="str">
        <f t="shared" si="532"/>
        <v>25LF</v>
      </c>
      <c r="D230" s="557"/>
      <c r="E230" s="170"/>
      <c r="F230" s="170">
        <v>25</v>
      </c>
      <c r="G230" s="2007" t="s">
        <v>727</v>
      </c>
      <c r="H230" s="1926"/>
      <c r="I230" s="2008" t="s">
        <v>728</v>
      </c>
      <c r="J230" s="1926"/>
      <c r="K230" s="1926"/>
      <c r="L230" s="170"/>
      <c r="M230" s="2009">
        <v>0</v>
      </c>
      <c r="N230" s="2010">
        <v>1</v>
      </c>
      <c r="O230" s="773">
        <f t="shared" si="490"/>
        <v>0</v>
      </c>
      <c r="P230" s="2008" t="s">
        <v>39</v>
      </c>
      <c r="Q230" s="2008" t="s">
        <v>604</v>
      </c>
      <c r="R230" s="2011" t="s">
        <v>74</v>
      </c>
      <c r="S230" s="778">
        <f>SUMIF('Data Input sheet'!$B$118:$B$180,R230,'Data Input sheet'!$D$118:$D$180)</f>
        <v>152</v>
      </c>
      <c r="T230" s="2010">
        <f t="shared" si="491"/>
        <v>0</v>
      </c>
      <c r="U230" s="2010">
        <v>0</v>
      </c>
      <c r="V230" s="778">
        <f t="shared" si="610"/>
        <v>0</v>
      </c>
      <c r="W230" s="2010"/>
      <c r="X230" s="779"/>
      <c r="Y230" s="2012">
        <v>54.51</v>
      </c>
      <c r="Z230" s="780">
        <f t="shared" si="492"/>
        <v>54.51</v>
      </c>
      <c r="AA230" s="2007" t="s">
        <v>729</v>
      </c>
      <c r="AB230" s="2007"/>
      <c r="AC230" s="765"/>
      <c r="AD230" s="781">
        <f t="shared" si="553"/>
        <v>0</v>
      </c>
      <c r="AE230" s="781">
        <f t="shared" si="603"/>
        <v>0</v>
      </c>
      <c r="AF230" s="781">
        <f t="shared" si="554"/>
        <v>0</v>
      </c>
      <c r="AG230" s="781">
        <f t="shared" si="555"/>
        <v>0</v>
      </c>
      <c r="AH230" s="781">
        <f t="shared" si="604"/>
        <v>0</v>
      </c>
      <c r="AI230" s="782">
        <f t="shared" si="556"/>
        <v>0</v>
      </c>
      <c r="AJ230" s="781">
        <f t="shared" si="557"/>
        <v>0</v>
      </c>
      <c r="AK230" s="781">
        <f t="shared" si="605"/>
        <v>0</v>
      </c>
      <c r="AL230" s="781">
        <f t="shared" si="558"/>
        <v>0</v>
      </c>
      <c r="AM230" s="781">
        <f t="shared" si="559"/>
        <v>0</v>
      </c>
      <c r="AN230" s="781">
        <f t="shared" si="606"/>
        <v>0</v>
      </c>
      <c r="AO230" s="781">
        <f t="shared" si="560"/>
        <v>0</v>
      </c>
      <c r="AP230" s="781">
        <f t="shared" si="561"/>
        <v>0</v>
      </c>
      <c r="AQ230" s="781">
        <f t="shared" si="607"/>
        <v>0</v>
      </c>
      <c r="AR230" s="781">
        <f t="shared" si="562"/>
        <v>0</v>
      </c>
      <c r="AS230" s="783">
        <f t="shared" si="608"/>
        <v>0</v>
      </c>
      <c r="AT230" s="759"/>
      <c r="BM230" s="2010"/>
    </row>
    <row r="231" spans="1:65" ht="15" x14ac:dyDescent="0.25">
      <c r="A231" s="784"/>
      <c r="B231" s="719">
        <f t="shared" si="609"/>
        <v>145</v>
      </c>
      <c r="C231" s="170" t="str">
        <f t="shared" si="532"/>
        <v>49EA</v>
      </c>
      <c r="D231" s="557"/>
      <c r="E231" s="170"/>
      <c r="F231" s="170">
        <v>49</v>
      </c>
      <c r="G231" s="2007" t="s">
        <v>2221</v>
      </c>
      <c r="H231" s="1926">
        <f>+'Structure replacements'!L157</f>
        <v>0</v>
      </c>
      <c r="I231" s="2008" t="s">
        <v>732</v>
      </c>
      <c r="J231" s="1926"/>
      <c r="K231" s="1926"/>
      <c r="L231" s="170"/>
      <c r="M231" s="2009">
        <v>0.2</v>
      </c>
      <c r="N231" s="2010">
        <v>1</v>
      </c>
      <c r="O231" s="773">
        <f t="shared" si="490"/>
        <v>0.2</v>
      </c>
      <c r="P231" s="2008" t="s">
        <v>39</v>
      </c>
      <c r="Q231" s="2008" t="s">
        <v>604</v>
      </c>
      <c r="R231" s="2011" t="s">
        <v>74</v>
      </c>
      <c r="S231" s="778">
        <f>SUMIF('Data Input sheet'!$B$118:$B$180,R231,'Data Input sheet'!$D$118:$D$180)</f>
        <v>152</v>
      </c>
      <c r="T231" s="2010">
        <f t="shared" si="491"/>
        <v>30.400000000000002</v>
      </c>
      <c r="U231" s="2010">
        <v>30</v>
      </c>
      <c r="V231" s="778">
        <f t="shared" si="610"/>
        <v>6</v>
      </c>
      <c r="W231" s="2010">
        <f>ROUND(+BM231*(1+$BM$7),0)</f>
        <v>50</v>
      </c>
      <c r="X231" s="779">
        <v>0</v>
      </c>
      <c r="Y231" s="2012">
        <v>0</v>
      </c>
      <c r="Z231" s="780">
        <f t="shared" si="492"/>
        <v>86.4</v>
      </c>
      <c r="AA231" s="2007" t="s">
        <v>730</v>
      </c>
      <c r="AB231" s="2007"/>
      <c r="AC231" s="765"/>
      <c r="AD231" s="781">
        <f t="shared" si="553"/>
        <v>0</v>
      </c>
      <c r="AE231" s="781">
        <f t="shared" si="603"/>
        <v>0</v>
      </c>
      <c r="AF231" s="781">
        <f t="shared" si="554"/>
        <v>0</v>
      </c>
      <c r="AG231" s="781">
        <f t="shared" si="555"/>
        <v>0</v>
      </c>
      <c r="AH231" s="781">
        <f t="shared" si="604"/>
        <v>0</v>
      </c>
      <c r="AI231" s="782">
        <f t="shared" si="556"/>
        <v>0</v>
      </c>
      <c r="AJ231" s="781">
        <f t="shared" si="557"/>
        <v>0</v>
      </c>
      <c r="AK231" s="781">
        <f t="shared" si="605"/>
        <v>0</v>
      </c>
      <c r="AL231" s="781">
        <f t="shared" si="558"/>
        <v>0</v>
      </c>
      <c r="AM231" s="781">
        <f t="shared" si="559"/>
        <v>0</v>
      </c>
      <c r="AN231" s="781">
        <f t="shared" si="606"/>
        <v>0</v>
      </c>
      <c r="AO231" s="781">
        <f t="shared" si="560"/>
        <v>0</v>
      </c>
      <c r="AP231" s="781">
        <f t="shared" si="561"/>
        <v>0</v>
      </c>
      <c r="AQ231" s="781">
        <f t="shared" si="607"/>
        <v>0</v>
      </c>
      <c r="AR231" s="781">
        <f t="shared" si="562"/>
        <v>0</v>
      </c>
      <c r="AS231" s="783">
        <f t="shared" si="608"/>
        <v>0</v>
      </c>
      <c r="AT231" s="759"/>
      <c r="BM231" s="2010">
        <v>40</v>
      </c>
    </row>
    <row r="232" spans="1:65" ht="15" x14ac:dyDescent="0.25">
      <c r="A232" s="784"/>
      <c r="B232" s="719">
        <f t="shared" si="609"/>
        <v>146</v>
      </c>
      <c r="C232" s="170" t="str">
        <f t="shared" si="532"/>
        <v>49EA</v>
      </c>
      <c r="D232" s="557"/>
      <c r="E232" s="170"/>
      <c r="F232" s="170">
        <v>49</v>
      </c>
      <c r="G232" s="2007" t="s">
        <v>2222</v>
      </c>
      <c r="H232" s="1926"/>
      <c r="I232" s="2008" t="s">
        <v>732</v>
      </c>
      <c r="J232" s="1926"/>
      <c r="K232" s="1926"/>
      <c r="L232" s="170"/>
      <c r="M232" s="2009">
        <v>0.3</v>
      </c>
      <c r="N232" s="2010">
        <v>1</v>
      </c>
      <c r="O232" s="773">
        <f t="shared" si="490"/>
        <v>0.3</v>
      </c>
      <c r="P232" s="2008" t="s">
        <v>39</v>
      </c>
      <c r="Q232" s="2008" t="s">
        <v>604</v>
      </c>
      <c r="R232" s="2011" t="s">
        <v>74</v>
      </c>
      <c r="S232" s="778">
        <f>SUMIF('Data Input sheet'!$B$118:$B$180,R232,'Data Input sheet'!$D$118:$D$180)</f>
        <v>152</v>
      </c>
      <c r="T232" s="2010">
        <f t="shared" si="491"/>
        <v>45.6</v>
      </c>
      <c r="U232" s="2010">
        <v>27</v>
      </c>
      <c r="V232" s="778">
        <f t="shared" si="610"/>
        <v>8</v>
      </c>
      <c r="W232" s="2010">
        <f t="shared" ref="W232" si="611">ROUND(+BM232*(1+$BM$7),0)</f>
        <v>143</v>
      </c>
      <c r="X232" s="779">
        <v>0</v>
      </c>
      <c r="Y232" s="2012">
        <v>0</v>
      </c>
      <c r="Z232" s="780">
        <f t="shared" si="492"/>
        <v>196.6</v>
      </c>
      <c r="AA232" s="2007" t="s">
        <v>730</v>
      </c>
      <c r="AB232" s="2007"/>
      <c r="AC232" s="765"/>
      <c r="AD232" s="781">
        <f t="shared" si="553"/>
        <v>0</v>
      </c>
      <c r="AE232" s="781">
        <f t="shared" si="603"/>
        <v>0</v>
      </c>
      <c r="AF232" s="781">
        <f t="shared" si="554"/>
        <v>0</v>
      </c>
      <c r="AG232" s="781">
        <f t="shared" si="555"/>
        <v>0</v>
      </c>
      <c r="AH232" s="781">
        <f t="shared" si="604"/>
        <v>0</v>
      </c>
      <c r="AI232" s="782">
        <f t="shared" si="556"/>
        <v>0</v>
      </c>
      <c r="AJ232" s="781">
        <f t="shared" si="557"/>
        <v>0</v>
      </c>
      <c r="AK232" s="781">
        <f t="shared" si="605"/>
        <v>0</v>
      </c>
      <c r="AL232" s="781">
        <f t="shared" si="558"/>
        <v>0</v>
      </c>
      <c r="AM232" s="781">
        <f t="shared" si="559"/>
        <v>0</v>
      </c>
      <c r="AN232" s="781">
        <f t="shared" si="606"/>
        <v>0</v>
      </c>
      <c r="AO232" s="781">
        <f t="shared" si="560"/>
        <v>0</v>
      </c>
      <c r="AP232" s="781">
        <f t="shared" si="561"/>
        <v>0</v>
      </c>
      <c r="AQ232" s="781">
        <f t="shared" si="607"/>
        <v>0</v>
      </c>
      <c r="AR232" s="781">
        <f t="shared" si="562"/>
        <v>0</v>
      </c>
      <c r="AS232" s="783">
        <f t="shared" si="608"/>
        <v>0</v>
      </c>
      <c r="AT232" s="759"/>
      <c r="BM232" s="2010">
        <v>114</v>
      </c>
    </row>
    <row r="233" spans="1:65" ht="51" x14ac:dyDescent="0.25">
      <c r="A233" s="784"/>
      <c r="B233" s="719">
        <f t="shared" si="609"/>
        <v>147</v>
      </c>
      <c r="C233" s="170" t="str">
        <f t="shared" si="532"/>
        <v>49EA</v>
      </c>
      <c r="D233" s="557"/>
      <c r="E233" s="170"/>
      <c r="F233" s="170">
        <v>49</v>
      </c>
      <c r="G233" s="2007" t="s">
        <v>731</v>
      </c>
      <c r="H233" s="1926">
        <f>+'Structure replacements'!L161</f>
        <v>0</v>
      </c>
      <c r="I233" s="2008" t="s">
        <v>732</v>
      </c>
      <c r="J233" s="1926"/>
      <c r="K233" s="1926"/>
      <c r="L233" s="170"/>
      <c r="M233" s="2009">
        <v>6</v>
      </c>
      <c r="N233" s="2010">
        <v>1</v>
      </c>
      <c r="O233" s="773">
        <f t="shared" si="490"/>
        <v>6</v>
      </c>
      <c r="P233" s="2008" t="s">
        <v>39</v>
      </c>
      <c r="Q233" s="2008" t="s">
        <v>604</v>
      </c>
      <c r="R233" s="2011" t="s">
        <v>74</v>
      </c>
      <c r="S233" s="778">
        <f>SUMIF('Data Input sheet'!$B$118:$B$180,R233,'Data Input sheet'!$D$118:$D$180)</f>
        <v>152</v>
      </c>
      <c r="T233" s="2010">
        <f t="shared" si="491"/>
        <v>912</v>
      </c>
      <c r="U233" s="2010">
        <v>70</v>
      </c>
      <c r="V233" s="778">
        <f t="shared" si="610"/>
        <v>420</v>
      </c>
      <c r="W233" s="2010">
        <v>1000</v>
      </c>
      <c r="X233" s="779"/>
      <c r="Y233" s="2012">
        <v>54.51</v>
      </c>
      <c r="Z233" s="780">
        <f t="shared" si="492"/>
        <v>2386.5100000000002</v>
      </c>
      <c r="AA233" s="2007" t="s">
        <v>733</v>
      </c>
      <c r="AB233" s="2007"/>
      <c r="AC233" s="765"/>
      <c r="AD233" s="781">
        <f t="shared" si="553"/>
        <v>0</v>
      </c>
      <c r="AE233" s="781">
        <f t="shared" si="603"/>
        <v>0</v>
      </c>
      <c r="AF233" s="781">
        <f t="shared" si="554"/>
        <v>0</v>
      </c>
      <c r="AG233" s="781">
        <f t="shared" si="555"/>
        <v>0</v>
      </c>
      <c r="AH233" s="781">
        <f t="shared" si="604"/>
        <v>0</v>
      </c>
      <c r="AI233" s="782">
        <f t="shared" si="556"/>
        <v>0</v>
      </c>
      <c r="AJ233" s="781">
        <f t="shared" si="557"/>
        <v>0</v>
      </c>
      <c r="AK233" s="781">
        <f t="shared" si="605"/>
        <v>0</v>
      </c>
      <c r="AL233" s="781">
        <f t="shared" si="558"/>
        <v>0</v>
      </c>
      <c r="AM233" s="781">
        <f t="shared" si="559"/>
        <v>0</v>
      </c>
      <c r="AN233" s="781">
        <f t="shared" si="606"/>
        <v>0</v>
      </c>
      <c r="AO233" s="781">
        <f t="shared" si="560"/>
        <v>0</v>
      </c>
      <c r="AP233" s="781">
        <f t="shared" si="561"/>
        <v>0</v>
      </c>
      <c r="AQ233" s="781">
        <f t="shared" si="607"/>
        <v>0</v>
      </c>
      <c r="AR233" s="781">
        <f t="shared" si="562"/>
        <v>0</v>
      </c>
      <c r="AS233" s="783">
        <f t="shared" si="608"/>
        <v>0</v>
      </c>
      <c r="AT233" s="759"/>
      <c r="BM233" s="2010">
        <v>1000</v>
      </c>
    </row>
    <row r="234" spans="1:65" ht="15" x14ac:dyDescent="0.25">
      <c r="A234" s="784"/>
      <c r="B234" s="719">
        <f t="shared" si="609"/>
        <v>148</v>
      </c>
      <c r="C234" s="170" t="str">
        <f t="shared" si="532"/>
        <v>99Mile</v>
      </c>
      <c r="D234" s="557"/>
      <c r="E234" s="170"/>
      <c r="F234" s="170">
        <v>99</v>
      </c>
      <c r="G234" s="2007" t="s">
        <v>734</v>
      </c>
      <c r="H234" s="1926">
        <v>0</v>
      </c>
      <c r="I234" s="2008" t="s">
        <v>1329</v>
      </c>
      <c r="J234" s="1926"/>
      <c r="K234" s="1926"/>
      <c r="L234" s="170"/>
      <c r="M234" s="2009">
        <v>720</v>
      </c>
      <c r="N234" s="2010">
        <v>1</v>
      </c>
      <c r="O234" s="773">
        <f t="shared" si="490"/>
        <v>720</v>
      </c>
      <c r="P234" s="2008" t="s">
        <v>39</v>
      </c>
      <c r="Q234" s="2008" t="s">
        <v>604</v>
      </c>
      <c r="R234" s="2011" t="s">
        <v>74</v>
      </c>
      <c r="S234" s="778">
        <f>SUMIF('Data Input sheet'!$B$118:$B$180,R234,'Data Input sheet'!$D$118:$D$180)</f>
        <v>152</v>
      </c>
      <c r="T234" s="2010">
        <f t="shared" si="491"/>
        <v>109440</v>
      </c>
      <c r="U234" s="2010">
        <v>35</v>
      </c>
      <c r="V234" s="778">
        <f t="shared" si="610"/>
        <v>25200</v>
      </c>
      <c r="W234" s="2010"/>
      <c r="X234" s="779"/>
      <c r="Y234" s="2012">
        <v>0</v>
      </c>
      <c r="Z234" s="780">
        <f t="shared" si="492"/>
        <v>134640</v>
      </c>
      <c r="AA234" s="2007"/>
      <c r="AB234" s="2007"/>
      <c r="AC234" s="765"/>
      <c r="AD234" s="781">
        <f t="shared" si="553"/>
        <v>0</v>
      </c>
      <c r="AE234" s="781">
        <f t="shared" si="603"/>
        <v>0</v>
      </c>
      <c r="AF234" s="781">
        <f t="shared" si="554"/>
        <v>0</v>
      </c>
      <c r="AG234" s="781">
        <f t="shared" si="555"/>
        <v>0</v>
      </c>
      <c r="AH234" s="781">
        <f t="shared" si="604"/>
        <v>0</v>
      </c>
      <c r="AI234" s="782">
        <f t="shared" si="556"/>
        <v>0</v>
      </c>
      <c r="AJ234" s="781">
        <f t="shared" si="557"/>
        <v>0</v>
      </c>
      <c r="AK234" s="781">
        <f t="shared" si="605"/>
        <v>0</v>
      </c>
      <c r="AL234" s="781">
        <f t="shared" si="558"/>
        <v>0</v>
      </c>
      <c r="AM234" s="781">
        <f t="shared" si="559"/>
        <v>0</v>
      </c>
      <c r="AN234" s="781">
        <f t="shared" si="606"/>
        <v>0</v>
      </c>
      <c r="AO234" s="781">
        <f t="shared" si="560"/>
        <v>0</v>
      </c>
      <c r="AP234" s="781">
        <f t="shared" si="561"/>
        <v>0</v>
      </c>
      <c r="AQ234" s="781">
        <f t="shared" si="607"/>
        <v>0</v>
      </c>
      <c r="AR234" s="781">
        <f t="shared" si="562"/>
        <v>0</v>
      </c>
      <c r="AS234" s="783">
        <f t="shared" si="608"/>
        <v>0</v>
      </c>
      <c r="AT234" s="759"/>
      <c r="BM234" s="2010"/>
    </row>
    <row r="235" spans="1:65" ht="15" x14ac:dyDescent="0.25">
      <c r="A235" s="784"/>
      <c r="B235" s="719">
        <f t="shared" si="609"/>
        <v>149</v>
      </c>
      <c r="C235" s="170" t="str">
        <f t="shared" si="532"/>
        <v>99Mile</v>
      </c>
      <c r="D235" s="557"/>
      <c r="E235" s="170"/>
      <c r="F235" s="170">
        <v>99</v>
      </c>
      <c r="G235" s="2007" t="s">
        <v>735</v>
      </c>
      <c r="H235" s="1926">
        <v>0</v>
      </c>
      <c r="I235" s="2008" t="s">
        <v>1329</v>
      </c>
      <c r="J235" s="1926"/>
      <c r="K235" s="1926"/>
      <c r="L235" s="170"/>
      <c r="M235" s="2009">
        <v>1080</v>
      </c>
      <c r="N235" s="2010">
        <v>1</v>
      </c>
      <c r="O235" s="773">
        <f t="shared" si="490"/>
        <v>1080</v>
      </c>
      <c r="P235" s="2008" t="s">
        <v>39</v>
      </c>
      <c r="Q235" s="2008" t="s">
        <v>604</v>
      </c>
      <c r="R235" s="2011" t="s">
        <v>74</v>
      </c>
      <c r="S235" s="778">
        <f>SUMIF('Data Input sheet'!$B$118:$B$180,R235,'Data Input sheet'!$D$118:$D$180)</f>
        <v>152</v>
      </c>
      <c r="T235" s="2010">
        <f t="shared" si="491"/>
        <v>164160</v>
      </c>
      <c r="U235" s="2010">
        <v>35</v>
      </c>
      <c r="V235" s="778">
        <f t="shared" si="610"/>
        <v>37800</v>
      </c>
      <c r="W235" s="2010"/>
      <c r="X235" s="779"/>
      <c r="Y235" s="2012">
        <v>0</v>
      </c>
      <c r="Z235" s="780">
        <f t="shared" si="492"/>
        <v>201960</v>
      </c>
      <c r="AA235" s="2007"/>
      <c r="AB235" s="2007"/>
      <c r="AC235" s="765"/>
      <c r="AD235" s="781">
        <f t="shared" si="553"/>
        <v>0</v>
      </c>
      <c r="AE235" s="781">
        <f t="shared" si="603"/>
        <v>0</v>
      </c>
      <c r="AF235" s="781">
        <f t="shared" si="554"/>
        <v>0</v>
      </c>
      <c r="AG235" s="781">
        <f t="shared" si="555"/>
        <v>0</v>
      </c>
      <c r="AH235" s="781">
        <f t="shared" si="604"/>
        <v>0</v>
      </c>
      <c r="AI235" s="782">
        <f t="shared" si="556"/>
        <v>0</v>
      </c>
      <c r="AJ235" s="781">
        <f t="shared" si="557"/>
        <v>0</v>
      </c>
      <c r="AK235" s="781">
        <f t="shared" si="605"/>
        <v>0</v>
      </c>
      <c r="AL235" s="781">
        <f t="shared" si="558"/>
        <v>0</v>
      </c>
      <c r="AM235" s="781">
        <f t="shared" si="559"/>
        <v>0</v>
      </c>
      <c r="AN235" s="781">
        <f t="shared" si="606"/>
        <v>0</v>
      </c>
      <c r="AO235" s="781">
        <f t="shared" si="560"/>
        <v>0</v>
      </c>
      <c r="AP235" s="781">
        <f t="shared" si="561"/>
        <v>0</v>
      </c>
      <c r="AQ235" s="781">
        <f t="shared" si="607"/>
        <v>0</v>
      </c>
      <c r="AR235" s="781">
        <f t="shared" si="562"/>
        <v>0</v>
      </c>
      <c r="AS235" s="783">
        <f t="shared" si="608"/>
        <v>0</v>
      </c>
      <c r="AT235" s="759"/>
      <c r="BM235" s="2010"/>
    </row>
    <row r="236" spans="1:65" ht="15" x14ac:dyDescent="0.25">
      <c r="A236" s="784"/>
      <c r="B236" s="719">
        <f t="shared" si="609"/>
        <v>150</v>
      </c>
      <c r="C236" s="170" t="str">
        <f t="shared" si="532"/>
        <v>99Ea</v>
      </c>
      <c r="D236" s="557"/>
      <c r="E236" s="170"/>
      <c r="F236" s="727">
        <v>99</v>
      </c>
      <c r="G236" s="2007" t="s">
        <v>2779</v>
      </c>
      <c r="H236" s="1926">
        <v>0</v>
      </c>
      <c r="I236" s="2008" t="s">
        <v>1416</v>
      </c>
      <c r="J236" s="1926"/>
      <c r="K236" s="1926"/>
      <c r="L236" s="170"/>
      <c r="M236" s="2009">
        <v>50</v>
      </c>
      <c r="N236" s="2010">
        <v>1</v>
      </c>
      <c r="O236" s="773">
        <f t="shared" ref="O236:O237" si="612">+M236*N236</f>
        <v>50</v>
      </c>
      <c r="P236" s="2008" t="s">
        <v>39</v>
      </c>
      <c r="Q236" s="2008" t="s">
        <v>604</v>
      </c>
      <c r="R236" s="2011" t="s">
        <v>74</v>
      </c>
      <c r="S236" s="778">
        <f>SUMIF('Data Input sheet'!$B$118:$B$180,R236,'Data Input sheet'!$D$118:$D$180)</f>
        <v>152</v>
      </c>
      <c r="T236" s="2010">
        <f t="shared" ref="T236:T237" si="613">+O236*S236</f>
        <v>7600</v>
      </c>
      <c r="U236" s="2010">
        <v>35</v>
      </c>
      <c r="V236" s="778">
        <f t="shared" ref="V236:V237" si="614">ROUND(U236*O236,0)</f>
        <v>1750</v>
      </c>
      <c r="W236" s="2010">
        <v>5000</v>
      </c>
      <c r="X236" s="779"/>
      <c r="Y236" s="2012">
        <v>0</v>
      </c>
      <c r="Z236" s="780">
        <f t="shared" ref="Z236:Z237" si="615">T236+V236+W236+Y236</f>
        <v>14350</v>
      </c>
      <c r="AA236" s="2007"/>
      <c r="AB236" s="2007" t="s">
        <v>2781</v>
      </c>
      <c r="AC236" s="765"/>
      <c r="AD236" s="781">
        <f t="shared" ref="AD236:AD237" si="616">IF(P236="E",+ROUND(H236*O236,0),0)</f>
        <v>0</v>
      </c>
      <c r="AE236" s="781">
        <f t="shared" ref="AE236:AE237" si="617">+AF236-AD236</f>
        <v>0</v>
      </c>
      <c r="AF236" s="781">
        <f t="shared" ref="AF236:AF237" si="618">+H236*O236</f>
        <v>0</v>
      </c>
      <c r="AG236" s="781">
        <f t="shared" ref="AG236:AG237" si="619">IF(P236="E",+ROUND(T236*H236,0),0)</f>
        <v>0</v>
      </c>
      <c r="AH236" s="781">
        <f t="shared" ref="AH236:AH237" si="620">+AI236-AG236</f>
        <v>0</v>
      </c>
      <c r="AI236" s="782">
        <f t="shared" ref="AI236:AI237" si="621">+H236*T236</f>
        <v>0</v>
      </c>
      <c r="AJ236" s="781">
        <f t="shared" ref="AJ236:AJ237" si="622">IF(P236="E",+ROUND(V236*H236,0),0)</f>
        <v>0</v>
      </c>
      <c r="AK236" s="781">
        <f t="shared" ref="AK236:AK237" si="623">+AL236-AJ236</f>
        <v>0</v>
      </c>
      <c r="AL236" s="781">
        <f t="shared" ref="AL236:AL237" si="624">ROUND(V236*H236,0)</f>
        <v>0</v>
      </c>
      <c r="AM236" s="781">
        <f t="shared" ref="AM236:AM237" si="625">IF(Q236="E",+ROUND(W236*H236,0),0)</f>
        <v>0</v>
      </c>
      <c r="AN236" s="781">
        <f t="shared" ref="AN236:AN237" si="626">+AO236-AM236</f>
        <v>0</v>
      </c>
      <c r="AO236" s="781">
        <f t="shared" ref="AO236:AO237" si="627">ROUND(W236*H236,0)</f>
        <v>0</v>
      </c>
      <c r="AP236" s="781">
        <f t="shared" ref="AP236:AP237" si="628">IF(P236="E",+ROUND(Y236*H236,0),0)</f>
        <v>0</v>
      </c>
      <c r="AQ236" s="781">
        <f t="shared" ref="AQ236:AQ237" si="629">+AR236-AP236</f>
        <v>0</v>
      </c>
      <c r="AR236" s="781">
        <f t="shared" ref="AR236:AR237" si="630">ROUND(Y236*H236,0)</f>
        <v>0</v>
      </c>
      <c r="AS236" s="783">
        <f t="shared" ref="AS236:AS237" si="631">+AR236+AO236+AL236+AI236</f>
        <v>0</v>
      </c>
      <c r="AT236" s="759"/>
      <c r="BM236" s="2010"/>
    </row>
    <row r="237" spans="1:65" ht="15" x14ac:dyDescent="0.25">
      <c r="A237" s="784"/>
      <c r="B237" s="719">
        <f t="shared" si="609"/>
        <v>151</v>
      </c>
      <c r="C237" s="170" t="str">
        <f t="shared" si="532"/>
        <v>99Ea</v>
      </c>
      <c r="D237" s="557"/>
      <c r="E237" s="170"/>
      <c r="F237" s="727">
        <v>99</v>
      </c>
      <c r="G237" s="2007" t="s">
        <v>2780</v>
      </c>
      <c r="H237" s="1926">
        <v>0</v>
      </c>
      <c r="I237" s="2008" t="s">
        <v>1416</v>
      </c>
      <c r="J237" s="1926"/>
      <c r="K237" s="1926"/>
      <c r="L237" s="170"/>
      <c r="M237" s="2009">
        <v>100</v>
      </c>
      <c r="N237" s="2010">
        <v>1</v>
      </c>
      <c r="O237" s="773">
        <f t="shared" si="612"/>
        <v>100</v>
      </c>
      <c r="P237" s="2008" t="s">
        <v>39</v>
      </c>
      <c r="Q237" s="2008" t="s">
        <v>604</v>
      </c>
      <c r="R237" s="2011" t="s">
        <v>74</v>
      </c>
      <c r="S237" s="778">
        <f>SUMIF('Data Input sheet'!$B$118:$B$180,R237,'Data Input sheet'!$D$118:$D$180)</f>
        <v>152</v>
      </c>
      <c r="T237" s="2010">
        <f t="shared" si="613"/>
        <v>15200</v>
      </c>
      <c r="U237" s="2010">
        <v>35</v>
      </c>
      <c r="V237" s="778">
        <f t="shared" si="614"/>
        <v>3500</v>
      </c>
      <c r="W237" s="2010">
        <v>55000</v>
      </c>
      <c r="X237" s="779"/>
      <c r="Y237" s="2012">
        <v>0</v>
      </c>
      <c r="Z237" s="780">
        <f t="shared" si="615"/>
        <v>73700</v>
      </c>
      <c r="AA237" s="2007"/>
      <c r="AB237" s="2007" t="s">
        <v>2782</v>
      </c>
      <c r="AC237" s="765"/>
      <c r="AD237" s="781">
        <f t="shared" si="616"/>
        <v>0</v>
      </c>
      <c r="AE237" s="781">
        <f t="shared" si="617"/>
        <v>0</v>
      </c>
      <c r="AF237" s="781">
        <f t="shared" si="618"/>
        <v>0</v>
      </c>
      <c r="AG237" s="781">
        <f t="shared" si="619"/>
        <v>0</v>
      </c>
      <c r="AH237" s="781">
        <f t="shared" si="620"/>
        <v>0</v>
      </c>
      <c r="AI237" s="782">
        <f t="shared" si="621"/>
        <v>0</v>
      </c>
      <c r="AJ237" s="781">
        <f t="shared" si="622"/>
        <v>0</v>
      </c>
      <c r="AK237" s="781">
        <f t="shared" si="623"/>
        <v>0</v>
      </c>
      <c r="AL237" s="781">
        <f t="shared" si="624"/>
        <v>0</v>
      </c>
      <c r="AM237" s="781">
        <f t="shared" si="625"/>
        <v>0</v>
      </c>
      <c r="AN237" s="781">
        <f t="shared" si="626"/>
        <v>0</v>
      </c>
      <c r="AO237" s="781">
        <f t="shared" si="627"/>
        <v>0</v>
      </c>
      <c r="AP237" s="781">
        <f t="shared" si="628"/>
        <v>0</v>
      </c>
      <c r="AQ237" s="781">
        <f t="shared" si="629"/>
        <v>0</v>
      </c>
      <c r="AR237" s="781">
        <f t="shared" si="630"/>
        <v>0</v>
      </c>
      <c r="AS237" s="783">
        <f t="shared" si="631"/>
        <v>0</v>
      </c>
      <c r="AT237" s="759"/>
      <c r="BM237" s="2010"/>
    </row>
    <row r="238" spans="1:65" ht="25.5" x14ac:dyDescent="0.25">
      <c r="A238" s="784"/>
      <c r="B238" s="719">
        <f>+B235+1</f>
        <v>150</v>
      </c>
      <c r="C238" s="170" t="str">
        <f t="shared" si="532"/>
        <v>99Ckt. Mi</v>
      </c>
      <c r="D238" s="557"/>
      <c r="E238" s="170"/>
      <c r="F238" s="170">
        <v>99</v>
      </c>
      <c r="G238" s="2007" t="s">
        <v>736</v>
      </c>
      <c r="H238" s="1926">
        <v>0</v>
      </c>
      <c r="I238" s="2008" t="s">
        <v>1330</v>
      </c>
      <c r="J238" s="1926"/>
      <c r="K238" s="1926"/>
      <c r="L238" s="170"/>
      <c r="M238" s="2009">
        <v>20</v>
      </c>
      <c r="N238" s="2010">
        <v>1</v>
      </c>
      <c r="O238" s="773">
        <f t="shared" si="490"/>
        <v>20</v>
      </c>
      <c r="P238" s="2008" t="s">
        <v>39</v>
      </c>
      <c r="Q238" s="2008" t="s">
        <v>604</v>
      </c>
      <c r="R238" s="2011" t="s">
        <v>74</v>
      </c>
      <c r="S238" s="778">
        <f>SUMIF('Data Input sheet'!$B$118:$B$180,R238,'Data Input sheet'!$D$118:$D$180)</f>
        <v>152</v>
      </c>
      <c r="T238" s="2010">
        <f t="shared" si="491"/>
        <v>3040</v>
      </c>
      <c r="U238" s="2010">
        <v>35</v>
      </c>
      <c r="V238" s="778">
        <f t="shared" si="610"/>
        <v>700</v>
      </c>
      <c r="W238" s="2010">
        <v>1000</v>
      </c>
      <c r="X238" s="779"/>
      <c r="Y238" s="2012">
        <v>0</v>
      </c>
      <c r="Z238" s="780">
        <f t="shared" si="492"/>
        <v>4740</v>
      </c>
      <c r="AA238" s="2007"/>
      <c r="AB238" s="2007"/>
      <c r="AC238" s="765"/>
      <c r="AD238" s="781">
        <f t="shared" si="553"/>
        <v>0</v>
      </c>
      <c r="AE238" s="781">
        <f t="shared" ref="AE238:AE260" si="632">+AF238-AD238</f>
        <v>0</v>
      </c>
      <c r="AF238" s="781">
        <f t="shared" si="554"/>
        <v>0</v>
      </c>
      <c r="AG238" s="781">
        <f t="shared" si="555"/>
        <v>0</v>
      </c>
      <c r="AH238" s="781">
        <f t="shared" ref="AH238:AH260" si="633">+AI238-AG238</f>
        <v>0</v>
      </c>
      <c r="AI238" s="782">
        <f t="shared" si="556"/>
        <v>0</v>
      </c>
      <c r="AJ238" s="781">
        <f t="shared" si="557"/>
        <v>0</v>
      </c>
      <c r="AK238" s="781">
        <f t="shared" ref="AK238:AK260" si="634">+AL238-AJ238</f>
        <v>0</v>
      </c>
      <c r="AL238" s="781">
        <f t="shared" si="558"/>
        <v>0</v>
      </c>
      <c r="AM238" s="781">
        <f t="shared" si="559"/>
        <v>0</v>
      </c>
      <c r="AN238" s="781">
        <f t="shared" ref="AN238:AN260" si="635">+AO238-AM238</f>
        <v>0</v>
      </c>
      <c r="AO238" s="781">
        <f t="shared" si="560"/>
        <v>0</v>
      </c>
      <c r="AP238" s="781">
        <f t="shared" si="561"/>
        <v>0</v>
      </c>
      <c r="AQ238" s="781">
        <f t="shared" ref="AQ238:AQ260" si="636">+AR238-AP238</f>
        <v>0</v>
      </c>
      <c r="AR238" s="781">
        <f t="shared" si="562"/>
        <v>0</v>
      </c>
      <c r="AS238" s="783">
        <f t="shared" ref="AS238:AS260" si="637">+AR238+AO238+AL238+AI238</f>
        <v>0</v>
      </c>
      <c r="AT238" s="759"/>
      <c r="BM238" s="2010">
        <v>1000</v>
      </c>
    </row>
    <row r="239" spans="1:65" ht="15" x14ac:dyDescent="0.25">
      <c r="A239" s="784"/>
      <c r="B239" s="719">
        <f t="shared" si="609"/>
        <v>151</v>
      </c>
      <c r="C239" s="170" t="str">
        <f t="shared" si="532"/>
        <v/>
      </c>
      <c r="D239" s="557"/>
      <c r="E239" s="170"/>
      <c r="F239" s="170"/>
      <c r="G239" s="2007"/>
      <c r="H239" s="1926"/>
      <c r="I239" s="2008"/>
      <c r="J239" s="1926"/>
      <c r="K239" s="1926"/>
      <c r="L239" s="170"/>
      <c r="M239" s="2009"/>
      <c r="N239" s="2010"/>
      <c r="O239" s="773"/>
      <c r="P239" s="2008"/>
      <c r="Q239" s="2008"/>
      <c r="R239" s="2011"/>
      <c r="S239" s="778"/>
      <c r="T239" s="2010"/>
      <c r="U239" s="2010">
        <v>0</v>
      </c>
      <c r="V239" s="778"/>
      <c r="W239" s="2010"/>
      <c r="X239" s="779"/>
      <c r="Y239" s="2012"/>
      <c r="Z239" s="780"/>
      <c r="AA239" s="2007"/>
      <c r="AB239" s="2007"/>
      <c r="AC239" s="765"/>
      <c r="AD239" s="781">
        <f t="shared" si="553"/>
        <v>0</v>
      </c>
      <c r="AE239" s="781">
        <f t="shared" si="632"/>
        <v>0</v>
      </c>
      <c r="AF239" s="781">
        <f t="shared" si="554"/>
        <v>0</v>
      </c>
      <c r="AG239" s="781">
        <f t="shared" si="555"/>
        <v>0</v>
      </c>
      <c r="AH239" s="781">
        <f t="shared" si="633"/>
        <v>0</v>
      </c>
      <c r="AI239" s="782">
        <f t="shared" si="556"/>
        <v>0</v>
      </c>
      <c r="AJ239" s="781">
        <f t="shared" si="557"/>
        <v>0</v>
      </c>
      <c r="AK239" s="781">
        <f t="shared" si="634"/>
        <v>0</v>
      </c>
      <c r="AL239" s="781">
        <f t="shared" si="558"/>
        <v>0</v>
      </c>
      <c r="AM239" s="781">
        <f t="shared" si="559"/>
        <v>0</v>
      </c>
      <c r="AN239" s="781">
        <f t="shared" si="635"/>
        <v>0</v>
      </c>
      <c r="AO239" s="781">
        <f t="shared" si="560"/>
        <v>0</v>
      </c>
      <c r="AP239" s="781">
        <f t="shared" si="561"/>
        <v>0</v>
      </c>
      <c r="AQ239" s="781">
        <f t="shared" si="636"/>
        <v>0</v>
      </c>
      <c r="AR239" s="781">
        <f t="shared" si="562"/>
        <v>0</v>
      </c>
      <c r="AS239" s="783">
        <f t="shared" si="637"/>
        <v>0</v>
      </c>
      <c r="AT239" s="759"/>
      <c r="BM239" s="2010"/>
    </row>
    <row r="240" spans="1:65" ht="15" x14ac:dyDescent="0.25">
      <c r="A240" s="784"/>
      <c r="B240" s="719">
        <f t="shared" si="609"/>
        <v>152</v>
      </c>
      <c r="C240" s="170" t="str">
        <f t="shared" si="532"/>
        <v/>
      </c>
      <c r="D240" s="557"/>
      <c r="E240" s="170"/>
      <c r="F240" s="170"/>
      <c r="G240" s="2007"/>
      <c r="H240" s="1926"/>
      <c r="I240" s="2008"/>
      <c r="J240" s="1926"/>
      <c r="K240" s="1926"/>
      <c r="L240" s="170"/>
      <c r="M240" s="2009"/>
      <c r="N240" s="2010"/>
      <c r="O240" s="773"/>
      <c r="P240" s="2008"/>
      <c r="Q240" s="2008"/>
      <c r="R240" s="2011"/>
      <c r="S240" s="778"/>
      <c r="T240" s="2010"/>
      <c r="U240" s="2010">
        <v>0</v>
      </c>
      <c r="V240" s="778"/>
      <c r="W240" s="2010"/>
      <c r="X240" s="779"/>
      <c r="Y240" s="2012"/>
      <c r="Z240" s="780"/>
      <c r="AA240" s="2007"/>
      <c r="AB240" s="2007"/>
      <c r="AC240" s="765">
        <v>0</v>
      </c>
      <c r="AD240" s="781">
        <f t="shared" si="553"/>
        <v>0</v>
      </c>
      <c r="AE240" s="781">
        <f t="shared" si="632"/>
        <v>0</v>
      </c>
      <c r="AF240" s="781">
        <f t="shared" si="554"/>
        <v>0</v>
      </c>
      <c r="AG240" s="781">
        <f t="shared" si="555"/>
        <v>0</v>
      </c>
      <c r="AH240" s="781">
        <f t="shared" si="633"/>
        <v>0</v>
      </c>
      <c r="AI240" s="782">
        <f t="shared" si="556"/>
        <v>0</v>
      </c>
      <c r="AJ240" s="781">
        <f t="shared" si="557"/>
        <v>0</v>
      </c>
      <c r="AK240" s="781">
        <f t="shared" si="634"/>
        <v>0</v>
      </c>
      <c r="AL240" s="781">
        <f t="shared" si="558"/>
        <v>0</v>
      </c>
      <c r="AM240" s="781">
        <f t="shared" si="559"/>
        <v>0</v>
      </c>
      <c r="AN240" s="781">
        <f t="shared" si="635"/>
        <v>0</v>
      </c>
      <c r="AO240" s="781">
        <f t="shared" si="560"/>
        <v>0</v>
      </c>
      <c r="AP240" s="781">
        <f t="shared" si="561"/>
        <v>0</v>
      </c>
      <c r="AQ240" s="781">
        <f t="shared" si="636"/>
        <v>0</v>
      </c>
      <c r="AR240" s="781">
        <f t="shared" si="562"/>
        <v>0</v>
      </c>
      <c r="AS240" s="783">
        <f t="shared" si="637"/>
        <v>0</v>
      </c>
      <c r="AT240" s="759"/>
      <c r="BM240" s="2010"/>
    </row>
    <row r="241" spans="1:65" ht="15" x14ac:dyDescent="0.25">
      <c r="A241" s="784"/>
      <c r="B241" s="719"/>
      <c r="C241" s="170" t="str">
        <f t="shared" si="532"/>
        <v/>
      </c>
      <c r="D241" s="557"/>
      <c r="E241" s="170"/>
      <c r="F241" s="170"/>
      <c r="G241" s="2007"/>
      <c r="H241" s="1926"/>
      <c r="I241" s="2008"/>
      <c r="J241" s="1926"/>
      <c r="K241" s="1926"/>
      <c r="L241" s="170"/>
      <c r="M241" s="2009"/>
      <c r="N241" s="2010"/>
      <c r="O241" s="773"/>
      <c r="P241" s="2008"/>
      <c r="Q241" s="2008"/>
      <c r="R241" s="2011"/>
      <c r="S241" s="778"/>
      <c r="T241" s="2010"/>
      <c r="U241" s="2010">
        <v>0</v>
      </c>
      <c r="V241" s="778"/>
      <c r="W241" s="2010"/>
      <c r="X241" s="779"/>
      <c r="Y241" s="2012"/>
      <c r="Z241" s="780"/>
      <c r="AA241" s="2007"/>
      <c r="AB241" s="2007"/>
      <c r="AC241" s="765">
        <v>0</v>
      </c>
      <c r="AD241" s="781"/>
      <c r="AE241" s="781"/>
      <c r="AF241" s="781"/>
      <c r="AG241" s="781"/>
      <c r="AH241" s="781"/>
      <c r="AI241" s="782"/>
      <c r="AJ241" s="781"/>
      <c r="AK241" s="781"/>
      <c r="AL241" s="781"/>
      <c r="AM241" s="781"/>
      <c r="AN241" s="781"/>
      <c r="AO241" s="781"/>
      <c r="AP241" s="781"/>
      <c r="AQ241" s="781"/>
      <c r="AR241" s="781"/>
      <c r="AS241" s="783"/>
      <c r="AT241" s="759"/>
      <c r="BM241" s="2010"/>
    </row>
    <row r="242" spans="1:65" ht="15.75" thickBot="1" x14ac:dyDescent="0.3">
      <c r="A242" s="784"/>
      <c r="B242" s="719">
        <f>+B240+1</f>
        <v>153</v>
      </c>
      <c r="C242" s="170" t="str">
        <f t="shared" si="532"/>
        <v/>
      </c>
      <c r="D242" s="557"/>
      <c r="E242" s="170"/>
      <c r="F242" s="557"/>
      <c r="G242" s="787"/>
      <c r="H242" s="784"/>
      <c r="I242" s="784"/>
      <c r="J242" s="784"/>
      <c r="K242" s="784"/>
      <c r="L242" s="170"/>
      <c r="M242" s="773"/>
      <c r="N242" s="773"/>
      <c r="O242" s="773"/>
      <c r="P242" s="788"/>
      <c r="Q242" s="788"/>
      <c r="R242" s="773"/>
      <c r="S242" s="778"/>
      <c r="T242" s="778"/>
      <c r="U242" s="778">
        <v>0</v>
      </c>
      <c r="V242" s="778"/>
      <c r="W242" s="778"/>
      <c r="X242" s="779"/>
      <c r="Y242" s="779"/>
      <c r="Z242" s="780"/>
      <c r="AA242" s="787"/>
      <c r="AB242" s="787"/>
      <c r="AC242" s="170">
        <v>0</v>
      </c>
      <c r="AD242" s="781">
        <f t="shared" si="553"/>
        <v>0</v>
      </c>
      <c r="AE242" s="781">
        <f t="shared" si="632"/>
        <v>0</v>
      </c>
      <c r="AF242" s="781">
        <f t="shared" si="554"/>
        <v>0</v>
      </c>
      <c r="AG242" s="781">
        <f t="shared" si="555"/>
        <v>0</v>
      </c>
      <c r="AH242" s="781">
        <f t="shared" si="633"/>
        <v>0</v>
      </c>
      <c r="AI242" s="782">
        <f t="shared" si="556"/>
        <v>0</v>
      </c>
      <c r="AJ242" s="781">
        <f t="shared" si="557"/>
        <v>0</v>
      </c>
      <c r="AK242" s="781">
        <f t="shared" si="634"/>
        <v>0</v>
      </c>
      <c r="AL242" s="781">
        <f t="shared" si="558"/>
        <v>0</v>
      </c>
      <c r="AM242" s="781">
        <f t="shared" si="559"/>
        <v>0</v>
      </c>
      <c r="AN242" s="781">
        <f t="shared" si="635"/>
        <v>0</v>
      </c>
      <c r="AO242" s="781">
        <f t="shared" si="560"/>
        <v>0</v>
      </c>
      <c r="AP242" s="781">
        <f t="shared" si="561"/>
        <v>0</v>
      </c>
      <c r="AQ242" s="781">
        <f t="shared" si="636"/>
        <v>0</v>
      </c>
      <c r="AR242" s="781">
        <f t="shared" si="562"/>
        <v>0</v>
      </c>
      <c r="AS242" s="783">
        <f t="shared" si="637"/>
        <v>0</v>
      </c>
      <c r="AT242" s="759"/>
      <c r="AU242" s="170"/>
      <c r="AV242" s="170"/>
      <c r="AW242" s="836"/>
      <c r="AX242" s="787"/>
    </row>
    <row r="243" spans="1:65" ht="15.75" thickBot="1" x14ac:dyDescent="0.3">
      <c r="A243" s="784"/>
      <c r="B243" s="719">
        <f t="shared" si="609"/>
        <v>154</v>
      </c>
      <c r="C243" s="170" t="str">
        <f t="shared" si="532"/>
        <v/>
      </c>
      <c r="D243" s="557"/>
      <c r="E243" s="170"/>
      <c r="F243" s="557"/>
      <c r="G243" s="839" t="s">
        <v>737</v>
      </c>
      <c r="H243" s="784">
        <v>1</v>
      </c>
      <c r="I243" s="784"/>
      <c r="J243" s="784"/>
      <c r="K243" s="784"/>
      <c r="L243" s="170"/>
      <c r="M243" s="773"/>
      <c r="N243" s="773"/>
      <c r="O243" s="773"/>
      <c r="P243" s="788"/>
      <c r="Q243" s="788"/>
      <c r="R243" s="773"/>
      <c r="S243" s="778"/>
      <c r="T243" s="778"/>
      <c r="U243" s="778">
        <v>0</v>
      </c>
      <c r="V243" s="778"/>
      <c r="W243" s="778"/>
      <c r="X243" s="779"/>
      <c r="Y243" s="779"/>
      <c r="Z243" s="780"/>
      <c r="AA243" s="787"/>
      <c r="AB243" s="787"/>
      <c r="AC243" s="170">
        <v>0</v>
      </c>
      <c r="AD243" s="781">
        <f t="shared" si="553"/>
        <v>0</v>
      </c>
      <c r="AE243" s="781">
        <f t="shared" si="632"/>
        <v>0</v>
      </c>
      <c r="AF243" s="781">
        <f t="shared" si="554"/>
        <v>0</v>
      </c>
      <c r="AG243" s="781">
        <f t="shared" si="555"/>
        <v>0</v>
      </c>
      <c r="AH243" s="781">
        <f t="shared" si="633"/>
        <v>0</v>
      </c>
      <c r="AI243" s="782">
        <f t="shared" si="556"/>
        <v>0</v>
      </c>
      <c r="AJ243" s="781">
        <f t="shared" si="557"/>
        <v>0</v>
      </c>
      <c r="AK243" s="781">
        <f t="shared" si="634"/>
        <v>0</v>
      </c>
      <c r="AL243" s="781">
        <f t="shared" si="558"/>
        <v>0</v>
      </c>
      <c r="AM243" s="781">
        <f t="shared" si="559"/>
        <v>0</v>
      </c>
      <c r="AN243" s="781">
        <f t="shared" si="635"/>
        <v>0</v>
      </c>
      <c r="AO243" s="781">
        <f t="shared" si="560"/>
        <v>0</v>
      </c>
      <c r="AP243" s="781">
        <f t="shared" si="561"/>
        <v>0</v>
      </c>
      <c r="AQ243" s="781">
        <f t="shared" si="636"/>
        <v>0</v>
      </c>
      <c r="AR243" s="781">
        <f t="shared" si="562"/>
        <v>0</v>
      </c>
      <c r="AS243" s="783">
        <f t="shared" si="637"/>
        <v>0</v>
      </c>
      <c r="AT243" s="759"/>
      <c r="AU243" s="170"/>
      <c r="AV243" s="170"/>
      <c r="AW243" s="836"/>
      <c r="AX243" s="787"/>
    </row>
    <row r="244" spans="1:65" ht="15" x14ac:dyDescent="0.25">
      <c r="A244" s="784"/>
      <c r="B244" s="719">
        <f t="shared" si="609"/>
        <v>155</v>
      </c>
      <c r="C244" s="170" t="str">
        <f t="shared" si="532"/>
        <v/>
      </c>
      <c r="D244" s="557"/>
      <c r="E244" s="170"/>
      <c r="F244" s="557"/>
      <c r="G244" s="787"/>
      <c r="H244" s="784"/>
      <c r="I244" s="784"/>
      <c r="J244" s="784"/>
      <c r="K244" s="784"/>
      <c r="L244" s="170"/>
      <c r="M244" s="773"/>
      <c r="N244" s="773"/>
      <c r="O244" s="773"/>
      <c r="P244" s="788"/>
      <c r="Q244" s="788"/>
      <c r="R244" s="773"/>
      <c r="S244" s="778"/>
      <c r="T244" s="778"/>
      <c r="U244" s="778">
        <v>0</v>
      </c>
      <c r="V244" s="778"/>
      <c r="W244" s="778"/>
      <c r="X244" s="779"/>
      <c r="Y244" s="779"/>
      <c r="Z244" s="780"/>
      <c r="AA244" s="787"/>
      <c r="AB244" s="787"/>
      <c r="AC244" s="170">
        <v>0</v>
      </c>
      <c r="AD244" s="781">
        <f t="shared" si="553"/>
        <v>0</v>
      </c>
      <c r="AE244" s="781">
        <f t="shared" si="632"/>
        <v>0</v>
      </c>
      <c r="AF244" s="781">
        <f t="shared" si="554"/>
        <v>0</v>
      </c>
      <c r="AG244" s="781">
        <f t="shared" si="555"/>
        <v>0</v>
      </c>
      <c r="AH244" s="781">
        <f t="shared" si="633"/>
        <v>0</v>
      </c>
      <c r="AI244" s="782">
        <f t="shared" si="556"/>
        <v>0</v>
      </c>
      <c r="AJ244" s="781">
        <f t="shared" si="557"/>
        <v>0</v>
      </c>
      <c r="AK244" s="781">
        <f t="shared" si="634"/>
        <v>0</v>
      </c>
      <c r="AL244" s="781">
        <f t="shared" si="558"/>
        <v>0</v>
      </c>
      <c r="AM244" s="781">
        <f t="shared" si="559"/>
        <v>0</v>
      </c>
      <c r="AN244" s="781">
        <f t="shared" si="635"/>
        <v>0</v>
      </c>
      <c r="AO244" s="781">
        <f t="shared" si="560"/>
        <v>0</v>
      </c>
      <c r="AP244" s="781">
        <f t="shared" si="561"/>
        <v>0</v>
      </c>
      <c r="AQ244" s="781">
        <f t="shared" si="636"/>
        <v>0</v>
      </c>
      <c r="AR244" s="781">
        <f t="shared" si="562"/>
        <v>0</v>
      </c>
      <c r="AS244" s="783">
        <f t="shared" si="637"/>
        <v>0</v>
      </c>
      <c r="AT244" s="759"/>
      <c r="AU244" s="170"/>
      <c r="AV244" s="170"/>
      <c r="AW244" s="836"/>
      <c r="AX244" s="787"/>
    </row>
    <row r="245" spans="1:65" ht="15" x14ac:dyDescent="0.25">
      <c r="A245" s="784"/>
      <c r="B245" s="719">
        <f t="shared" si="609"/>
        <v>156</v>
      </c>
      <c r="C245" s="170" t="str">
        <f t="shared" si="532"/>
        <v>10LS</v>
      </c>
      <c r="D245" s="557"/>
      <c r="E245" s="170"/>
      <c r="F245" s="170">
        <v>10</v>
      </c>
      <c r="G245" s="2007" t="s">
        <v>1504</v>
      </c>
      <c r="H245" s="1926">
        <v>1</v>
      </c>
      <c r="I245" s="2008" t="s">
        <v>640</v>
      </c>
      <c r="J245" s="1926"/>
      <c r="K245" s="1926"/>
      <c r="L245" s="170"/>
      <c r="M245" s="2009"/>
      <c r="N245" s="2010">
        <v>1</v>
      </c>
      <c r="O245" s="773">
        <f t="shared" ref="O245:O253" si="638">+M245*N245</f>
        <v>0</v>
      </c>
      <c r="P245" s="2008" t="s">
        <v>39</v>
      </c>
      <c r="Q245" s="2008" t="s">
        <v>39</v>
      </c>
      <c r="R245" s="2011" t="s">
        <v>73</v>
      </c>
      <c r="S245" s="781">
        <f>SUMIF('Data Input sheet'!$B$118:$B$180,R245,'Data Input sheet'!$D$118:$D$180)</f>
        <v>119</v>
      </c>
      <c r="T245" s="2223">
        <f>'OH Civil WS'!AI522+'OH Civil WS'!AI523+'OH Civil WS'!AI524+'OH Civil WS'!AI525</f>
        <v>0</v>
      </c>
      <c r="U245" s="2223">
        <v>0</v>
      </c>
      <c r="V245" s="781">
        <f>'OH Civil WS'!AL522+'OH Civil WS'!AL523+'OH Civil WS'!AL524+'OH Civil WS'!AL525</f>
        <v>0</v>
      </c>
      <c r="W245" s="2223">
        <f>'OH Civil WS'!AO522+'OH Civil WS'!AO523+'OH Civil WS'!AO524+'OH Civil WS'!AO525</f>
        <v>0</v>
      </c>
      <c r="X245" s="2377"/>
      <c r="Y245" s="2378"/>
      <c r="Z245" s="2379">
        <f t="shared" ref="Z245:Z253" si="639">T245+V245+W245+Y245</f>
        <v>0</v>
      </c>
      <c r="AA245" s="2007" t="s">
        <v>1505</v>
      </c>
      <c r="AB245" s="2007"/>
      <c r="AC245" s="765"/>
      <c r="AD245" s="781">
        <f t="shared" si="553"/>
        <v>0</v>
      </c>
      <c r="AE245" s="781">
        <f t="shared" si="632"/>
        <v>0</v>
      </c>
      <c r="AF245" s="781">
        <f t="shared" si="554"/>
        <v>0</v>
      </c>
      <c r="AG245" s="781">
        <f t="shared" si="555"/>
        <v>0</v>
      </c>
      <c r="AH245" s="781">
        <f t="shared" si="633"/>
        <v>0</v>
      </c>
      <c r="AI245" s="782">
        <f t="shared" si="556"/>
        <v>0</v>
      </c>
      <c r="AJ245" s="781">
        <f t="shared" si="557"/>
        <v>0</v>
      </c>
      <c r="AK245" s="781">
        <f t="shared" si="634"/>
        <v>0</v>
      </c>
      <c r="AL245" s="781">
        <f t="shared" si="558"/>
        <v>0</v>
      </c>
      <c r="AM245" s="781">
        <f t="shared" si="559"/>
        <v>0</v>
      </c>
      <c r="AN245" s="781">
        <f t="shared" si="635"/>
        <v>0</v>
      </c>
      <c r="AO245" s="781">
        <f t="shared" si="560"/>
        <v>0</v>
      </c>
      <c r="AP245" s="781">
        <f t="shared" si="561"/>
        <v>0</v>
      </c>
      <c r="AQ245" s="781">
        <f t="shared" si="636"/>
        <v>0</v>
      </c>
      <c r="AR245" s="781">
        <f t="shared" si="562"/>
        <v>0</v>
      </c>
      <c r="AS245" s="783">
        <f t="shared" si="637"/>
        <v>0</v>
      </c>
      <c r="AT245" s="759"/>
    </row>
    <row r="246" spans="1:65" ht="25.5" x14ac:dyDescent="0.25">
      <c r="A246" s="784"/>
      <c r="B246" s="719">
        <f t="shared" si="609"/>
        <v>157</v>
      </c>
      <c r="C246" s="170" t="str">
        <f t="shared" si="532"/>
        <v>8LS</v>
      </c>
      <c r="D246" s="557"/>
      <c r="E246" s="170"/>
      <c r="F246" s="170">
        <v>8</v>
      </c>
      <c r="G246" s="2007" t="s">
        <v>1506</v>
      </c>
      <c r="H246" s="1926">
        <v>1</v>
      </c>
      <c r="I246" s="2008" t="s">
        <v>640</v>
      </c>
      <c r="J246" s="2223">
        <f>+'OH Civil WS'!AC526</f>
        <v>0</v>
      </c>
      <c r="K246" s="1926" t="s">
        <v>728</v>
      </c>
      <c r="L246" s="170"/>
      <c r="M246" s="2009"/>
      <c r="N246" s="2010">
        <v>1</v>
      </c>
      <c r="O246" s="773">
        <f t="shared" si="638"/>
        <v>0</v>
      </c>
      <c r="P246" s="2008" t="s">
        <v>39</v>
      </c>
      <c r="Q246" s="2008" t="s">
        <v>39</v>
      </c>
      <c r="R246" s="2011" t="s">
        <v>73</v>
      </c>
      <c r="S246" s="781">
        <f>SUMIF('Data Input sheet'!$B$118:$B$180,R246,'Data Input sheet'!$D$118:$D$180)</f>
        <v>119</v>
      </c>
      <c r="T246" s="2223">
        <f>'OH Civil WS'!AI526</f>
        <v>0</v>
      </c>
      <c r="U246" s="2223">
        <v>0</v>
      </c>
      <c r="V246" s="781">
        <f>'OH Civil WS'!AL526</f>
        <v>0</v>
      </c>
      <c r="W246" s="2223">
        <f>'OH Civil WS'!AO526</f>
        <v>0</v>
      </c>
      <c r="X246" s="2377"/>
      <c r="Y246" s="2378"/>
      <c r="Z246" s="2379">
        <f t="shared" si="639"/>
        <v>0</v>
      </c>
      <c r="AA246" s="2007" t="s">
        <v>1505</v>
      </c>
      <c r="AB246" s="2007"/>
      <c r="AC246" s="765"/>
      <c r="AD246" s="781">
        <f t="shared" si="553"/>
        <v>0</v>
      </c>
      <c r="AE246" s="781">
        <f t="shared" si="632"/>
        <v>0</v>
      </c>
      <c r="AF246" s="781">
        <f t="shared" si="554"/>
        <v>0</v>
      </c>
      <c r="AG246" s="781">
        <f t="shared" si="555"/>
        <v>0</v>
      </c>
      <c r="AH246" s="781">
        <f t="shared" si="633"/>
        <v>0</v>
      </c>
      <c r="AI246" s="782">
        <f t="shared" si="556"/>
        <v>0</v>
      </c>
      <c r="AJ246" s="781">
        <f t="shared" si="557"/>
        <v>0</v>
      </c>
      <c r="AK246" s="781">
        <f t="shared" si="634"/>
        <v>0</v>
      </c>
      <c r="AL246" s="781">
        <f t="shared" si="558"/>
        <v>0</v>
      </c>
      <c r="AM246" s="781">
        <f t="shared" si="559"/>
        <v>0</v>
      </c>
      <c r="AN246" s="781">
        <f t="shared" si="635"/>
        <v>0</v>
      </c>
      <c r="AO246" s="781">
        <f t="shared" si="560"/>
        <v>0</v>
      </c>
      <c r="AP246" s="781">
        <f t="shared" si="561"/>
        <v>0</v>
      </c>
      <c r="AQ246" s="781">
        <f t="shared" si="636"/>
        <v>0</v>
      </c>
      <c r="AR246" s="781">
        <f t="shared" si="562"/>
        <v>0</v>
      </c>
      <c r="AS246" s="783">
        <f t="shared" si="637"/>
        <v>0</v>
      </c>
      <c r="AT246" s="759"/>
    </row>
    <row r="247" spans="1:65" ht="15" x14ac:dyDescent="0.25">
      <c r="A247" s="784"/>
      <c r="B247" s="719">
        <f t="shared" si="609"/>
        <v>158</v>
      </c>
      <c r="C247" s="170" t="str">
        <f t="shared" si="532"/>
        <v>10LS</v>
      </c>
      <c r="D247" s="557"/>
      <c r="E247" s="170"/>
      <c r="F247" s="170">
        <v>10</v>
      </c>
      <c r="G247" s="2007" t="s">
        <v>2409</v>
      </c>
      <c r="H247" s="1926">
        <v>1</v>
      </c>
      <c r="I247" s="2008" t="s">
        <v>640</v>
      </c>
      <c r="J247" s="2223">
        <f>+'OH Civil WS'!AC527</f>
        <v>0</v>
      </c>
      <c r="K247" s="1926" t="s">
        <v>728</v>
      </c>
      <c r="L247" s="170"/>
      <c r="M247" s="2009"/>
      <c r="N247" s="2010">
        <v>1</v>
      </c>
      <c r="O247" s="773">
        <f t="shared" si="638"/>
        <v>0</v>
      </c>
      <c r="P247" s="2008" t="s">
        <v>39</v>
      </c>
      <c r="Q247" s="2008" t="s">
        <v>39</v>
      </c>
      <c r="R247" s="2011" t="s">
        <v>73</v>
      </c>
      <c r="S247" s="781">
        <f>SUMIF('Data Input sheet'!$B$118:$B$180,R247,'Data Input sheet'!$D$118:$D$180)</f>
        <v>119</v>
      </c>
      <c r="T247" s="2223">
        <f>SUM('OH Civil WS'!AI527:AI527)</f>
        <v>0</v>
      </c>
      <c r="U247" s="2223">
        <v>0</v>
      </c>
      <c r="V247" s="781">
        <f>SUM('OH Civil WS'!AL527:AL527)</f>
        <v>0</v>
      </c>
      <c r="W247" s="2223">
        <f>SUM('OH Civil WS'!AO527:AO527)</f>
        <v>0</v>
      </c>
      <c r="X247" s="2377"/>
      <c r="Y247" s="2378"/>
      <c r="Z247" s="2379">
        <f t="shared" si="639"/>
        <v>0</v>
      </c>
      <c r="AA247" s="2007" t="s">
        <v>1505</v>
      </c>
      <c r="AB247" s="2007"/>
      <c r="AC247" s="765"/>
      <c r="AD247" s="781">
        <f t="shared" si="553"/>
        <v>0</v>
      </c>
      <c r="AE247" s="781">
        <f t="shared" si="632"/>
        <v>0</v>
      </c>
      <c r="AF247" s="781">
        <f t="shared" si="554"/>
        <v>0</v>
      </c>
      <c r="AG247" s="781">
        <f t="shared" si="555"/>
        <v>0</v>
      </c>
      <c r="AH247" s="781">
        <f t="shared" si="633"/>
        <v>0</v>
      </c>
      <c r="AI247" s="782">
        <f t="shared" si="556"/>
        <v>0</v>
      </c>
      <c r="AJ247" s="781">
        <f t="shared" si="557"/>
        <v>0</v>
      </c>
      <c r="AK247" s="781">
        <f t="shared" si="634"/>
        <v>0</v>
      </c>
      <c r="AL247" s="781">
        <f t="shared" si="558"/>
        <v>0</v>
      </c>
      <c r="AM247" s="781">
        <f t="shared" si="559"/>
        <v>0</v>
      </c>
      <c r="AN247" s="781">
        <f t="shared" si="635"/>
        <v>0</v>
      </c>
      <c r="AO247" s="781">
        <f t="shared" si="560"/>
        <v>0</v>
      </c>
      <c r="AP247" s="781">
        <f t="shared" si="561"/>
        <v>0</v>
      </c>
      <c r="AQ247" s="781">
        <f t="shared" si="636"/>
        <v>0</v>
      </c>
      <c r="AR247" s="781">
        <f t="shared" si="562"/>
        <v>0</v>
      </c>
      <c r="AS247" s="783">
        <f t="shared" si="637"/>
        <v>0</v>
      </c>
      <c r="AT247" s="759"/>
    </row>
    <row r="248" spans="1:65" ht="15" x14ac:dyDescent="0.25">
      <c r="A248" s="784"/>
      <c r="B248" s="719">
        <f t="shared" si="609"/>
        <v>159</v>
      </c>
      <c r="C248" s="170" t="str">
        <f t="shared" si="532"/>
        <v>10LS</v>
      </c>
      <c r="D248" s="557"/>
      <c r="E248" s="170"/>
      <c r="F248" s="170">
        <v>10</v>
      </c>
      <c r="G248" s="2007" t="s">
        <v>2408</v>
      </c>
      <c r="H248" s="1926">
        <v>1</v>
      </c>
      <c r="I248" s="2008" t="s">
        <v>640</v>
      </c>
      <c r="J248" s="2223">
        <f>+'OH Civil WS'!AC528</f>
        <v>0</v>
      </c>
      <c r="K248" s="1926" t="s">
        <v>728</v>
      </c>
      <c r="L248" s="170"/>
      <c r="M248" s="2009"/>
      <c r="N248" s="2010">
        <v>1</v>
      </c>
      <c r="O248" s="773">
        <f t="shared" ref="O248" si="640">+M248*N248</f>
        <v>0</v>
      </c>
      <c r="P248" s="2008" t="s">
        <v>39</v>
      </c>
      <c r="Q248" s="2008" t="s">
        <v>39</v>
      </c>
      <c r="R248" s="2011" t="s">
        <v>73</v>
      </c>
      <c r="S248" s="781">
        <f>SUMIF('Data Input sheet'!$B$118:$B$180,R248,'Data Input sheet'!$D$118:$D$180)</f>
        <v>119</v>
      </c>
      <c r="T248" s="2223">
        <f>SUM('OH Civil WS'!AI528:AI528)</f>
        <v>0</v>
      </c>
      <c r="U248" s="2223">
        <v>0</v>
      </c>
      <c r="V248" s="781">
        <f>SUM('OH Civil WS'!AL528:AL528)</f>
        <v>0</v>
      </c>
      <c r="W248" s="2223">
        <f>SUM('OH Civil WS'!AO528:AO528)</f>
        <v>0</v>
      </c>
      <c r="X248" s="2377"/>
      <c r="Y248" s="2378"/>
      <c r="Z248" s="2379">
        <f t="shared" ref="Z248" si="641">T248+V248+W248+Y248</f>
        <v>0</v>
      </c>
      <c r="AA248" s="2007" t="s">
        <v>1505</v>
      </c>
      <c r="AB248" s="2007"/>
      <c r="AC248" s="765"/>
      <c r="AD248" s="781">
        <f t="shared" ref="AD248" si="642">IF(P248="E",+ROUND(H248*O248,0),0)</f>
        <v>0</v>
      </c>
      <c r="AE248" s="781">
        <f t="shared" ref="AE248" si="643">+AF248-AD248</f>
        <v>0</v>
      </c>
      <c r="AF248" s="781">
        <f t="shared" ref="AF248" si="644">+H248*O248</f>
        <v>0</v>
      </c>
      <c r="AG248" s="781">
        <f t="shared" ref="AG248" si="645">IF(P248="E",+ROUND(T248*H248,0),0)</f>
        <v>0</v>
      </c>
      <c r="AH248" s="781">
        <f t="shared" ref="AH248" si="646">+AI248-AG248</f>
        <v>0</v>
      </c>
      <c r="AI248" s="782">
        <f t="shared" ref="AI248" si="647">+H248*T248</f>
        <v>0</v>
      </c>
      <c r="AJ248" s="781">
        <f t="shared" ref="AJ248" si="648">IF(P248="E",+ROUND(V248*H248,0),0)</f>
        <v>0</v>
      </c>
      <c r="AK248" s="781">
        <f t="shared" ref="AK248" si="649">+AL248-AJ248</f>
        <v>0</v>
      </c>
      <c r="AL248" s="781">
        <f t="shared" ref="AL248" si="650">ROUND(V248*H248,0)</f>
        <v>0</v>
      </c>
      <c r="AM248" s="781">
        <f t="shared" ref="AM248" si="651">IF(Q248="E",+ROUND(W248*H248,0),0)</f>
        <v>0</v>
      </c>
      <c r="AN248" s="781">
        <f t="shared" ref="AN248" si="652">+AO248-AM248</f>
        <v>0</v>
      </c>
      <c r="AO248" s="781">
        <f t="shared" ref="AO248" si="653">ROUND(W248*H248,0)</f>
        <v>0</v>
      </c>
      <c r="AP248" s="781">
        <f t="shared" ref="AP248" si="654">IF(P248="E",+ROUND(Y248*H248,0),0)</f>
        <v>0</v>
      </c>
      <c r="AQ248" s="781">
        <f t="shared" ref="AQ248" si="655">+AR248-AP248</f>
        <v>0</v>
      </c>
      <c r="AR248" s="781">
        <f t="shared" ref="AR248" si="656">ROUND(Y248*H248,0)</f>
        <v>0</v>
      </c>
      <c r="AS248" s="783">
        <f t="shared" ref="AS248" si="657">+AR248+AO248+AL248+AI248</f>
        <v>0</v>
      </c>
      <c r="AT248" s="759"/>
    </row>
    <row r="249" spans="1:65" ht="38.25" x14ac:dyDescent="0.25">
      <c r="A249" s="784"/>
      <c r="B249" s="719">
        <f>+B247+1</f>
        <v>159</v>
      </c>
      <c r="C249" s="170" t="str">
        <f t="shared" si="532"/>
        <v>10LS</v>
      </c>
      <c r="D249" s="557"/>
      <c r="E249" s="170"/>
      <c r="F249" s="170">
        <v>10</v>
      </c>
      <c r="G249" s="2007" t="s">
        <v>1507</v>
      </c>
      <c r="H249" s="1926">
        <v>1</v>
      </c>
      <c r="I249" s="2008" t="s">
        <v>640</v>
      </c>
      <c r="J249" s="1926"/>
      <c r="K249" s="1926"/>
      <c r="L249" s="170"/>
      <c r="M249" s="2009"/>
      <c r="N249" s="2010">
        <v>1</v>
      </c>
      <c r="O249" s="773">
        <f t="shared" si="638"/>
        <v>0</v>
      </c>
      <c r="P249" s="2008" t="s">
        <v>39</v>
      </c>
      <c r="Q249" s="2008" t="s">
        <v>39</v>
      </c>
      <c r="R249" s="2011" t="s">
        <v>73</v>
      </c>
      <c r="S249" s="781">
        <f>SUMIF('Data Input sheet'!$B$118:$B$180,R249,'Data Input sheet'!$D$118:$D$180)</f>
        <v>119</v>
      </c>
      <c r="T249" s="2223">
        <f>SUM('OH Civil WS'!AI529:AI530)</f>
        <v>0</v>
      </c>
      <c r="U249" s="2223">
        <v>0</v>
      </c>
      <c r="V249" s="781">
        <f>SUM('OH Civil WS'!AL529:AL530)</f>
        <v>0</v>
      </c>
      <c r="W249" s="2223">
        <f>SUM('OH Civil WS'!AO529:AO530)</f>
        <v>0</v>
      </c>
      <c r="X249" s="2377"/>
      <c r="Y249" s="2378"/>
      <c r="Z249" s="2379">
        <f t="shared" si="639"/>
        <v>0</v>
      </c>
      <c r="AA249" s="2007" t="s">
        <v>1508</v>
      </c>
      <c r="AB249" s="2007"/>
      <c r="AC249" s="765"/>
      <c r="AD249" s="781">
        <f t="shared" si="553"/>
        <v>0</v>
      </c>
      <c r="AE249" s="781">
        <f t="shared" si="632"/>
        <v>0</v>
      </c>
      <c r="AF249" s="781">
        <f t="shared" si="554"/>
        <v>0</v>
      </c>
      <c r="AG249" s="781">
        <f t="shared" si="555"/>
        <v>0</v>
      </c>
      <c r="AH249" s="781">
        <f t="shared" si="633"/>
        <v>0</v>
      </c>
      <c r="AI249" s="782">
        <f t="shared" si="556"/>
        <v>0</v>
      </c>
      <c r="AJ249" s="781">
        <f t="shared" si="557"/>
        <v>0</v>
      </c>
      <c r="AK249" s="781">
        <f t="shared" si="634"/>
        <v>0</v>
      </c>
      <c r="AL249" s="781">
        <f t="shared" si="558"/>
        <v>0</v>
      </c>
      <c r="AM249" s="781">
        <f t="shared" si="559"/>
        <v>0</v>
      </c>
      <c r="AN249" s="781">
        <f t="shared" si="635"/>
        <v>0</v>
      </c>
      <c r="AO249" s="781">
        <f t="shared" si="560"/>
        <v>0</v>
      </c>
      <c r="AP249" s="781">
        <f t="shared" si="561"/>
        <v>0</v>
      </c>
      <c r="AQ249" s="781">
        <f t="shared" si="636"/>
        <v>0</v>
      </c>
      <c r="AR249" s="781">
        <f t="shared" si="562"/>
        <v>0</v>
      </c>
      <c r="AS249" s="783">
        <f t="shared" si="637"/>
        <v>0</v>
      </c>
      <c r="AT249" s="759"/>
    </row>
    <row r="250" spans="1:65" ht="15" x14ac:dyDescent="0.25">
      <c r="A250" s="784"/>
      <c r="B250" s="719">
        <f t="shared" si="609"/>
        <v>160</v>
      </c>
      <c r="C250" s="170" t="str">
        <f t="shared" si="532"/>
        <v>10LS</v>
      </c>
      <c r="D250" s="557"/>
      <c r="E250" s="170"/>
      <c r="F250" s="170">
        <v>10</v>
      </c>
      <c r="G250" s="2007" t="s">
        <v>1509</v>
      </c>
      <c r="H250" s="1926">
        <v>1</v>
      </c>
      <c r="I250" s="2008" t="s">
        <v>640</v>
      </c>
      <c r="J250" s="2223">
        <f>SUM('OH Civil WS'!AC535:AC543)</f>
        <v>0</v>
      </c>
      <c r="K250" s="1926" t="s">
        <v>2406</v>
      </c>
      <c r="L250" s="170"/>
      <c r="M250" s="2009"/>
      <c r="N250" s="2010">
        <v>1</v>
      </c>
      <c r="O250" s="773">
        <f t="shared" si="638"/>
        <v>0</v>
      </c>
      <c r="P250" s="2008" t="s">
        <v>39</v>
      </c>
      <c r="Q250" s="2008" t="s">
        <v>39</v>
      </c>
      <c r="R250" s="2011" t="s">
        <v>73</v>
      </c>
      <c r="S250" s="781">
        <f>SUMIF('Data Input sheet'!$B$118:$B$180,R250,'Data Input sheet'!$D$118:$D$180)</f>
        <v>119</v>
      </c>
      <c r="T250" s="2223">
        <f>SUM('OH Civil WS'!AI535:AI543)</f>
        <v>0</v>
      </c>
      <c r="U250" s="2223">
        <v>0</v>
      </c>
      <c r="V250" s="781">
        <f>SUM('OH Civil WS'!AL535:AL543)</f>
        <v>0</v>
      </c>
      <c r="W250" s="2223">
        <f>SUM('OH Civil WS'!AO535:AO543)</f>
        <v>0</v>
      </c>
      <c r="X250" s="2377"/>
      <c r="Y250" s="2378"/>
      <c r="Z250" s="2379">
        <f t="shared" si="639"/>
        <v>0</v>
      </c>
      <c r="AA250" s="2007" t="s">
        <v>1505</v>
      </c>
      <c r="AB250" s="2007"/>
      <c r="AC250" s="765"/>
      <c r="AD250" s="781">
        <f t="shared" ref="AD250:AD260" si="658">IF(P250="E",+ROUND(H250*O250,0),0)</f>
        <v>0</v>
      </c>
      <c r="AE250" s="781">
        <f t="shared" si="632"/>
        <v>0</v>
      </c>
      <c r="AF250" s="781">
        <f t="shared" ref="AF250:AF260" si="659">+H250*O250</f>
        <v>0</v>
      </c>
      <c r="AG250" s="781">
        <f t="shared" ref="AG250:AG260" si="660">IF(P250="E",+ROUND(T250*H250,0),0)</f>
        <v>0</v>
      </c>
      <c r="AH250" s="781">
        <f t="shared" si="633"/>
        <v>0</v>
      </c>
      <c r="AI250" s="782">
        <f t="shared" ref="AI250:AI260" si="661">+H250*T250</f>
        <v>0</v>
      </c>
      <c r="AJ250" s="781">
        <f t="shared" ref="AJ250:AJ260" si="662">IF(P250="E",+ROUND(V250*H250,0),0)</f>
        <v>0</v>
      </c>
      <c r="AK250" s="781">
        <f t="shared" si="634"/>
        <v>0</v>
      </c>
      <c r="AL250" s="781">
        <f t="shared" ref="AL250:AL260" si="663">ROUND(V250*H250,0)</f>
        <v>0</v>
      </c>
      <c r="AM250" s="781">
        <f t="shared" ref="AM250:AM260" si="664">IF(Q250="E",+ROUND(W250*H250,0),0)</f>
        <v>0</v>
      </c>
      <c r="AN250" s="781">
        <f t="shared" si="635"/>
        <v>0</v>
      </c>
      <c r="AO250" s="781">
        <f t="shared" ref="AO250:AO260" si="665">ROUND(W250*H250,0)</f>
        <v>0</v>
      </c>
      <c r="AP250" s="781">
        <f t="shared" ref="AP250:AP260" si="666">IF(P250="E",+ROUND(Y250*H250,0),0)</f>
        <v>0</v>
      </c>
      <c r="AQ250" s="781">
        <f t="shared" si="636"/>
        <v>0</v>
      </c>
      <c r="AR250" s="781">
        <f t="shared" ref="AR250:AR260" si="667">ROUND(Y250*H250,0)</f>
        <v>0</v>
      </c>
      <c r="AS250" s="783">
        <f t="shared" si="637"/>
        <v>0</v>
      </c>
      <c r="AT250" s="759"/>
      <c r="AX250" t="s">
        <v>741</v>
      </c>
    </row>
    <row r="251" spans="1:65" ht="15" x14ac:dyDescent="0.25">
      <c r="A251" s="784"/>
      <c r="B251" s="719">
        <f t="shared" si="609"/>
        <v>161</v>
      </c>
      <c r="C251" s="170" t="str">
        <f t="shared" si="532"/>
        <v>10LS</v>
      </c>
      <c r="D251" s="557"/>
      <c r="E251" s="170"/>
      <c r="F251" s="170">
        <v>10</v>
      </c>
      <c r="G251" s="2007" t="s">
        <v>1510</v>
      </c>
      <c r="H251" s="1926">
        <v>1</v>
      </c>
      <c r="I251" s="2008" t="s">
        <v>640</v>
      </c>
      <c r="J251" s="2223">
        <f>SUM('OH Civil WS'!AC544:AC552)</f>
        <v>0</v>
      </c>
      <c r="K251" s="1926" t="s">
        <v>2406</v>
      </c>
      <c r="L251" s="170"/>
      <c r="M251" s="2009"/>
      <c r="N251" s="2010">
        <v>1</v>
      </c>
      <c r="O251" s="773">
        <f t="shared" si="638"/>
        <v>0</v>
      </c>
      <c r="P251" s="2008" t="s">
        <v>39</v>
      </c>
      <c r="Q251" s="2008" t="s">
        <v>39</v>
      </c>
      <c r="R251" s="2011" t="s">
        <v>73</v>
      </c>
      <c r="S251" s="781">
        <f>SUMIF('Data Input sheet'!$B$118:$B$180,R251,'Data Input sheet'!$D$118:$D$180)</f>
        <v>119</v>
      </c>
      <c r="T251" s="2223">
        <f>SUM('OH Civil WS'!AH544:AI552)</f>
        <v>0</v>
      </c>
      <c r="U251" s="2223">
        <v>0</v>
      </c>
      <c r="V251" s="781">
        <f>SUM('OH Civil WS'!AL544:AL552)</f>
        <v>0</v>
      </c>
      <c r="W251" s="2223">
        <f>SUM('OH Civil WS'!AO544:AO552)</f>
        <v>0</v>
      </c>
      <c r="X251" s="2377"/>
      <c r="Y251" s="2378"/>
      <c r="Z251" s="2379">
        <f t="shared" si="639"/>
        <v>0</v>
      </c>
      <c r="AA251" s="2007" t="s">
        <v>1505</v>
      </c>
      <c r="AB251" s="2007"/>
      <c r="AC251" s="765"/>
      <c r="AD251" s="781">
        <f t="shared" si="658"/>
        <v>0</v>
      </c>
      <c r="AE251" s="781">
        <f t="shared" si="632"/>
        <v>0</v>
      </c>
      <c r="AF251" s="781">
        <f t="shared" si="659"/>
        <v>0</v>
      </c>
      <c r="AG251" s="781">
        <f t="shared" si="660"/>
        <v>0</v>
      </c>
      <c r="AH251" s="781">
        <f t="shared" si="633"/>
        <v>0</v>
      </c>
      <c r="AI251" s="782">
        <f t="shared" si="661"/>
        <v>0</v>
      </c>
      <c r="AJ251" s="781">
        <f t="shared" si="662"/>
        <v>0</v>
      </c>
      <c r="AK251" s="781">
        <f t="shared" si="634"/>
        <v>0</v>
      </c>
      <c r="AL251" s="781">
        <f t="shared" si="663"/>
        <v>0</v>
      </c>
      <c r="AM251" s="781">
        <f t="shared" si="664"/>
        <v>0</v>
      </c>
      <c r="AN251" s="781">
        <f t="shared" si="635"/>
        <v>0</v>
      </c>
      <c r="AO251" s="781">
        <f t="shared" si="665"/>
        <v>0</v>
      </c>
      <c r="AP251" s="781">
        <f t="shared" si="666"/>
        <v>0</v>
      </c>
      <c r="AQ251" s="781">
        <f t="shared" si="636"/>
        <v>0</v>
      </c>
      <c r="AR251" s="781">
        <f t="shared" si="667"/>
        <v>0</v>
      </c>
      <c r="AS251" s="783">
        <f t="shared" si="637"/>
        <v>0</v>
      </c>
      <c r="AT251" s="759"/>
    </row>
    <row r="252" spans="1:65" ht="25.5" x14ac:dyDescent="0.25">
      <c r="A252" s="784"/>
      <c r="B252" s="719">
        <f t="shared" si="609"/>
        <v>162</v>
      </c>
      <c r="C252" s="170" t="str">
        <f t="shared" si="532"/>
        <v>8LS</v>
      </c>
      <c r="D252" s="557"/>
      <c r="E252" s="170"/>
      <c r="F252" s="170">
        <v>8</v>
      </c>
      <c r="G252" s="2007" t="s">
        <v>1511</v>
      </c>
      <c r="H252" s="1926">
        <v>1</v>
      </c>
      <c r="I252" s="2008" t="s">
        <v>640</v>
      </c>
      <c r="J252" s="1926"/>
      <c r="K252" s="1926"/>
      <c r="L252" s="170"/>
      <c r="M252" s="2009"/>
      <c r="N252" s="2010">
        <v>1</v>
      </c>
      <c r="O252" s="773">
        <f t="shared" si="638"/>
        <v>0</v>
      </c>
      <c r="P252" s="2008" t="s">
        <v>39</v>
      </c>
      <c r="Q252" s="2008" t="s">
        <v>39</v>
      </c>
      <c r="R252" s="2011" t="s">
        <v>73</v>
      </c>
      <c r="S252" s="781">
        <f>SUMIF('Data Input sheet'!$B$118:$B$180,R252,'Data Input sheet'!$D$118:$D$180)</f>
        <v>119</v>
      </c>
      <c r="T252" s="2223">
        <f>'OH Civil WS'!AI553</f>
        <v>0</v>
      </c>
      <c r="U252" s="2223">
        <v>0</v>
      </c>
      <c r="V252" s="781">
        <f>'OH Civil WS'!AL553</f>
        <v>0</v>
      </c>
      <c r="W252" s="2223">
        <f>'OH Civil WS'!AO553</f>
        <v>0</v>
      </c>
      <c r="X252" s="2377"/>
      <c r="Y252" s="2378"/>
      <c r="Z252" s="2379">
        <f t="shared" si="639"/>
        <v>0</v>
      </c>
      <c r="AA252" s="2007" t="s">
        <v>1505</v>
      </c>
      <c r="AB252" s="2007"/>
      <c r="AC252" s="765"/>
      <c r="AD252" s="781">
        <f t="shared" si="658"/>
        <v>0</v>
      </c>
      <c r="AE252" s="781">
        <f t="shared" si="632"/>
        <v>0</v>
      </c>
      <c r="AF252" s="781">
        <f t="shared" si="659"/>
        <v>0</v>
      </c>
      <c r="AG252" s="781">
        <f t="shared" si="660"/>
        <v>0</v>
      </c>
      <c r="AH252" s="781">
        <f t="shared" si="633"/>
        <v>0</v>
      </c>
      <c r="AI252" s="782">
        <f t="shared" si="661"/>
        <v>0</v>
      </c>
      <c r="AJ252" s="781">
        <f t="shared" si="662"/>
        <v>0</v>
      </c>
      <c r="AK252" s="781">
        <f t="shared" si="634"/>
        <v>0</v>
      </c>
      <c r="AL252" s="781">
        <f t="shared" si="663"/>
        <v>0</v>
      </c>
      <c r="AM252" s="781">
        <f t="shared" si="664"/>
        <v>0</v>
      </c>
      <c r="AN252" s="781">
        <f t="shared" si="635"/>
        <v>0</v>
      </c>
      <c r="AO252" s="781">
        <f t="shared" si="665"/>
        <v>0</v>
      </c>
      <c r="AP252" s="781">
        <f t="shared" si="666"/>
        <v>0</v>
      </c>
      <c r="AQ252" s="781">
        <f t="shared" si="636"/>
        <v>0</v>
      </c>
      <c r="AR252" s="781">
        <f t="shared" si="667"/>
        <v>0</v>
      </c>
      <c r="AS252" s="783">
        <f t="shared" si="637"/>
        <v>0</v>
      </c>
      <c r="AT252" s="759"/>
    </row>
    <row r="253" spans="1:65" ht="15" x14ac:dyDescent="0.25">
      <c r="A253" s="784"/>
      <c r="B253" s="719">
        <f t="shared" si="609"/>
        <v>163</v>
      </c>
      <c r="C253" s="170" t="str">
        <f t="shared" si="532"/>
        <v>10LS</v>
      </c>
      <c r="D253" s="557"/>
      <c r="E253" s="170"/>
      <c r="F253" s="170">
        <v>10</v>
      </c>
      <c r="G253" s="2007" t="s">
        <v>1512</v>
      </c>
      <c r="H253" s="1926">
        <v>1</v>
      </c>
      <c r="I253" s="2008" t="s">
        <v>640</v>
      </c>
      <c r="J253" s="1926"/>
      <c r="K253" s="1926"/>
      <c r="L253" s="170"/>
      <c r="M253" s="2009"/>
      <c r="N253" s="2010">
        <v>1</v>
      </c>
      <c r="O253" s="773">
        <f t="shared" si="638"/>
        <v>0</v>
      </c>
      <c r="P253" s="2008" t="s">
        <v>39</v>
      </c>
      <c r="Q253" s="2008" t="s">
        <v>39</v>
      </c>
      <c r="R253" s="2011" t="s">
        <v>73</v>
      </c>
      <c r="S253" s="781">
        <f>SUMIF('Data Input sheet'!$B$118:$B$180,R253,'Data Input sheet'!$D$118:$D$180)</f>
        <v>119</v>
      </c>
      <c r="T253" s="2223">
        <f>SUM('OH Civil WS'!AI531:AI533)</f>
        <v>0</v>
      </c>
      <c r="U253" s="2223">
        <v>0</v>
      </c>
      <c r="V253" s="781">
        <f>SUM('OH Civil WS'!AL531:AL533)</f>
        <v>0</v>
      </c>
      <c r="W253" s="2223">
        <f>SUM('OH Civil WS'!AO531:AO533)</f>
        <v>0</v>
      </c>
      <c r="X253" s="2377"/>
      <c r="Y253" s="2378"/>
      <c r="Z253" s="2379">
        <f t="shared" si="639"/>
        <v>0</v>
      </c>
      <c r="AA253" s="2007" t="s">
        <v>1505</v>
      </c>
      <c r="AB253" s="2007"/>
      <c r="AC253" s="765"/>
      <c r="AD253" s="781">
        <f t="shared" si="658"/>
        <v>0</v>
      </c>
      <c r="AE253" s="781">
        <f t="shared" si="632"/>
        <v>0</v>
      </c>
      <c r="AF253" s="781">
        <f t="shared" si="659"/>
        <v>0</v>
      </c>
      <c r="AG253" s="781">
        <f t="shared" si="660"/>
        <v>0</v>
      </c>
      <c r="AH253" s="781">
        <f t="shared" si="633"/>
        <v>0</v>
      </c>
      <c r="AI253" s="782">
        <f t="shared" si="661"/>
        <v>0</v>
      </c>
      <c r="AJ253" s="781">
        <f t="shared" si="662"/>
        <v>0</v>
      </c>
      <c r="AK253" s="781">
        <f t="shared" si="634"/>
        <v>0</v>
      </c>
      <c r="AL253" s="781">
        <f t="shared" si="663"/>
        <v>0</v>
      </c>
      <c r="AM253" s="781">
        <f t="shared" si="664"/>
        <v>0</v>
      </c>
      <c r="AN253" s="781">
        <f t="shared" si="635"/>
        <v>0</v>
      </c>
      <c r="AO253" s="781">
        <f t="shared" si="665"/>
        <v>0</v>
      </c>
      <c r="AP253" s="781">
        <f t="shared" si="666"/>
        <v>0</v>
      </c>
      <c r="AQ253" s="781">
        <f t="shared" si="636"/>
        <v>0</v>
      </c>
      <c r="AR253" s="781">
        <f t="shared" si="667"/>
        <v>0</v>
      </c>
      <c r="AS253" s="783">
        <f t="shared" si="637"/>
        <v>0</v>
      </c>
      <c r="AT253" s="759"/>
    </row>
    <row r="254" spans="1:65" ht="15" x14ac:dyDescent="0.25">
      <c r="A254" s="784"/>
      <c r="B254" s="719">
        <f t="shared" si="609"/>
        <v>164</v>
      </c>
      <c r="C254" s="170" t="str">
        <f t="shared" si="532"/>
        <v/>
      </c>
      <c r="D254" s="557"/>
      <c r="E254" s="170"/>
      <c r="F254" s="170"/>
      <c r="G254" s="2007"/>
      <c r="H254" s="1926"/>
      <c r="I254" s="2008"/>
      <c r="J254" s="1926"/>
      <c r="K254" s="1926"/>
      <c r="L254" s="170"/>
      <c r="M254" s="2009"/>
      <c r="N254" s="2010"/>
      <c r="O254" s="773"/>
      <c r="P254" s="2008"/>
      <c r="Q254" s="2008"/>
      <c r="R254" s="2011"/>
      <c r="S254" s="2377"/>
      <c r="T254" s="2378"/>
      <c r="U254" s="2380"/>
      <c r="V254" s="781"/>
      <c r="W254" s="2223"/>
      <c r="X254" s="2377"/>
      <c r="Y254" s="2378"/>
      <c r="Z254" s="2379"/>
      <c r="AA254" s="2007" t="s">
        <v>96</v>
      </c>
      <c r="AB254" s="2007"/>
      <c r="AC254" s="765"/>
      <c r="AD254" s="781">
        <f t="shared" si="658"/>
        <v>0</v>
      </c>
      <c r="AE254" s="781">
        <f t="shared" si="632"/>
        <v>0</v>
      </c>
      <c r="AF254" s="781">
        <f t="shared" si="659"/>
        <v>0</v>
      </c>
      <c r="AG254" s="781">
        <f t="shared" si="660"/>
        <v>0</v>
      </c>
      <c r="AH254" s="781">
        <f t="shared" si="633"/>
        <v>0</v>
      </c>
      <c r="AI254" s="782">
        <f t="shared" si="661"/>
        <v>0</v>
      </c>
      <c r="AJ254" s="781">
        <f t="shared" si="662"/>
        <v>0</v>
      </c>
      <c r="AK254" s="781">
        <f t="shared" si="634"/>
        <v>0</v>
      </c>
      <c r="AL254" s="781">
        <f t="shared" si="663"/>
        <v>0</v>
      </c>
      <c r="AM254" s="781">
        <f t="shared" si="664"/>
        <v>0</v>
      </c>
      <c r="AN254" s="781">
        <f t="shared" si="635"/>
        <v>0</v>
      </c>
      <c r="AO254" s="781">
        <f t="shared" si="665"/>
        <v>0</v>
      </c>
      <c r="AP254" s="781">
        <f t="shared" si="666"/>
        <v>0</v>
      </c>
      <c r="AQ254" s="781">
        <f t="shared" si="636"/>
        <v>0</v>
      </c>
      <c r="AR254" s="781">
        <f t="shared" si="667"/>
        <v>0</v>
      </c>
      <c r="AS254" s="783">
        <f t="shared" si="637"/>
        <v>0</v>
      </c>
      <c r="AT254" s="759"/>
    </row>
    <row r="255" spans="1:65" ht="15" x14ac:dyDescent="0.25">
      <c r="A255" s="784"/>
      <c r="B255" s="719">
        <f t="shared" si="609"/>
        <v>165</v>
      </c>
      <c r="C255" s="170" t="str">
        <f t="shared" si="532"/>
        <v/>
      </c>
      <c r="D255" s="557"/>
      <c r="E255" s="170"/>
      <c r="F255" s="170"/>
      <c r="G255" s="2007"/>
      <c r="H255" s="1926"/>
      <c r="I255" s="2008"/>
      <c r="J255" s="1926"/>
      <c r="K255" s="1926"/>
      <c r="L255" s="170"/>
      <c r="M255" s="2009"/>
      <c r="N255" s="2010"/>
      <c r="O255" s="773"/>
      <c r="P255" s="2008"/>
      <c r="Q255" s="2008"/>
      <c r="R255" s="2011"/>
      <c r="S255" s="775"/>
      <c r="T255" s="2012"/>
      <c r="U255" s="2013"/>
      <c r="V255" s="778"/>
      <c r="W255" s="2010"/>
      <c r="X255" s="779"/>
      <c r="Y255" s="2012"/>
      <c r="Z255" s="780"/>
      <c r="AA255" s="2007"/>
      <c r="AB255" s="2007"/>
      <c r="AC255" s="765"/>
      <c r="AD255" s="781">
        <f t="shared" si="658"/>
        <v>0</v>
      </c>
      <c r="AE255" s="781">
        <f t="shared" si="632"/>
        <v>0</v>
      </c>
      <c r="AF255" s="781">
        <f t="shared" si="659"/>
        <v>0</v>
      </c>
      <c r="AG255" s="781">
        <f t="shared" si="660"/>
        <v>0</v>
      </c>
      <c r="AH255" s="781">
        <f t="shared" si="633"/>
        <v>0</v>
      </c>
      <c r="AI255" s="782">
        <f t="shared" si="661"/>
        <v>0</v>
      </c>
      <c r="AJ255" s="781">
        <f t="shared" si="662"/>
        <v>0</v>
      </c>
      <c r="AK255" s="781">
        <f t="shared" si="634"/>
        <v>0</v>
      </c>
      <c r="AL255" s="781">
        <f t="shared" si="663"/>
        <v>0</v>
      </c>
      <c r="AM255" s="781">
        <f t="shared" si="664"/>
        <v>0</v>
      </c>
      <c r="AN255" s="781">
        <f t="shared" si="635"/>
        <v>0</v>
      </c>
      <c r="AO255" s="781">
        <f t="shared" si="665"/>
        <v>0</v>
      </c>
      <c r="AP255" s="781">
        <f t="shared" si="666"/>
        <v>0</v>
      </c>
      <c r="AQ255" s="781">
        <f t="shared" si="636"/>
        <v>0</v>
      </c>
      <c r="AR255" s="781">
        <f t="shared" si="667"/>
        <v>0</v>
      </c>
      <c r="AS255" s="783">
        <f t="shared" si="637"/>
        <v>0</v>
      </c>
      <c r="AT255" s="759"/>
    </row>
    <row r="256" spans="1:65" ht="15" x14ac:dyDescent="0.25">
      <c r="A256" s="784"/>
      <c r="B256" s="719">
        <f t="shared" si="609"/>
        <v>166</v>
      </c>
      <c r="C256" s="170" t="str">
        <f t="shared" si="532"/>
        <v/>
      </c>
      <c r="D256" s="557"/>
      <c r="E256" s="170"/>
      <c r="F256" s="170"/>
      <c r="G256" s="2007"/>
      <c r="H256" s="1926"/>
      <c r="I256" s="2008"/>
      <c r="J256" s="1926"/>
      <c r="K256" s="1926"/>
      <c r="L256" s="170"/>
      <c r="M256" s="2009"/>
      <c r="N256" s="2010"/>
      <c r="O256" s="773"/>
      <c r="P256" s="2008"/>
      <c r="Q256" s="2008"/>
      <c r="R256" s="2011"/>
      <c r="S256" s="775"/>
      <c r="T256" s="2012"/>
      <c r="U256" s="2013"/>
      <c r="V256" s="778"/>
      <c r="W256" s="2010"/>
      <c r="X256" s="779"/>
      <c r="Y256" s="2012"/>
      <c r="Z256" s="780"/>
      <c r="AA256" s="2007"/>
      <c r="AB256" s="2007"/>
      <c r="AC256" s="765"/>
      <c r="AD256" s="781">
        <f t="shared" si="658"/>
        <v>0</v>
      </c>
      <c r="AE256" s="781">
        <f t="shared" si="632"/>
        <v>0</v>
      </c>
      <c r="AF256" s="781">
        <f t="shared" si="659"/>
        <v>0</v>
      </c>
      <c r="AG256" s="781">
        <f t="shared" si="660"/>
        <v>0</v>
      </c>
      <c r="AH256" s="781">
        <f t="shared" si="633"/>
        <v>0</v>
      </c>
      <c r="AI256" s="782">
        <f t="shared" si="661"/>
        <v>0</v>
      </c>
      <c r="AJ256" s="781">
        <f t="shared" si="662"/>
        <v>0</v>
      </c>
      <c r="AK256" s="781">
        <f t="shared" si="634"/>
        <v>0</v>
      </c>
      <c r="AL256" s="781">
        <f t="shared" si="663"/>
        <v>0</v>
      </c>
      <c r="AM256" s="781">
        <f t="shared" si="664"/>
        <v>0</v>
      </c>
      <c r="AN256" s="781">
        <f t="shared" si="635"/>
        <v>0</v>
      </c>
      <c r="AO256" s="781">
        <f t="shared" si="665"/>
        <v>0</v>
      </c>
      <c r="AP256" s="781">
        <f t="shared" si="666"/>
        <v>0</v>
      </c>
      <c r="AQ256" s="781">
        <f t="shared" si="636"/>
        <v>0</v>
      </c>
      <c r="AR256" s="781">
        <f t="shared" si="667"/>
        <v>0</v>
      </c>
      <c r="AS256" s="783">
        <f t="shared" si="637"/>
        <v>0</v>
      </c>
      <c r="AT256" s="759"/>
    </row>
    <row r="257" spans="1:50" ht="15" x14ac:dyDescent="0.25">
      <c r="A257" s="784"/>
      <c r="B257" s="719">
        <f t="shared" si="609"/>
        <v>167</v>
      </c>
      <c r="C257" s="170" t="str">
        <f t="shared" si="532"/>
        <v/>
      </c>
      <c r="D257" s="557"/>
      <c r="E257" s="170"/>
      <c r="F257" s="170"/>
      <c r="G257" s="2007"/>
      <c r="H257" s="1926"/>
      <c r="I257" s="2008"/>
      <c r="J257" s="1926"/>
      <c r="K257" s="1926"/>
      <c r="L257" s="170"/>
      <c r="M257" s="2009"/>
      <c r="N257" s="2010"/>
      <c r="O257" s="773"/>
      <c r="P257" s="2008"/>
      <c r="Q257" s="2008"/>
      <c r="R257" s="2011"/>
      <c r="S257" s="775"/>
      <c r="T257" s="2012"/>
      <c r="U257" s="2013"/>
      <c r="V257" s="778"/>
      <c r="W257" s="2010"/>
      <c r="X257" s="779"/>
      <c r="Y257" s="2012"/>
      <c r="Z257" s="780"/>
      <c r="AA257" s="2007"/>
      <c r="AB257" s="2007"/>
      <c r="AC257" s="765"/>
      <c r="AD257" s="781">
        <f t="shared" si="658"/>
        <v>0</v>
      </c>
      <c r="AE257" s="781">
        <f t="shared" si="632"/>
        <v>0</v>
      </c>
      <c r="AF257" s="781">
        <f t="shared" si="659"/>
        <v>0</v>
      </c>
      <c r="AG257" s="781">
        <f t="shared" si="660"/>
        <v>0</v>
      </c>
      <c r="AH257" s="781">
        <f t="shared" si="633"/>
        <v>0</v>
      </c>
      <c r="AI257" s="782">
        <f t="shared" si="661"/>
        <v>0</v>
      </c>
      <c r="AJ257" s="781">
        <f t="shared" si="662"/>
        <v>0</v>
      </c>
      <c r="AK257" s="781">
        <f t="shared" si="634"/>
        <v>0</v>
      </c>
      <c r="AL257" s="781">
        <f t="shared" si="663"/>
        <v>0</v>
      </c>
      <c r="AM257" s="781">
        <f t="shared" si="664"/>
        <v>0</v>
      </c>
      <c r="AN257" s="781">
        <f t="shared" si="635"/>
        <v>0</v>
      </c>
      <c r="AO257" s="781">
        <f t="shared" si="665"/>
        <v>0</v>
      </c>
      <c r="AP257" s="781">
        <f t="shared" si="666"/>
        <v>0</v>
      </c>
      <c r="AQ257" s="781">
        <f t="shared" si="636"/>
        <v>0</v>
      </c>
      <c r="AR257" s="781">
        <f t="shared" si="667"/>
        <v>0</v>
      </c>
      <c r="AS257" s="783">
        <f t="shared" si="637"/>
        <v>0</v>
      </c>
      <c r="AT257" s="759"/>
    </row>
    <row r="258" spans="1:50" ht="15" x14ac:dyDescent="0.25">
      <c r="A258" s="784"/>
      <c r="B258" s="719">
        <f t="shared" si="609"/>
        <v>168</v>
      </c>
      <c r="C258" s="170" t="str">
        <f t="shared" si="532"/>
        <v/>
      </c>
      <c r="D258" s="557"/>
      <c r="E258" s="170"/>
      <c r="F258" s="170"/>
      <c r="G258" s="2007"/>
      <c r="H258" s="1926"/>
      <c r="I258" s="2008"/>
      <c r="J258" s="1926"/>
      <c r="K258" s="1926"/>
      <c r="L258" s="170"/>
      <c r="M258" s="2009"/>
      <c r="N258" s="2010"/>
      <c r="O258" s="773"/>
      <c r="P258" s="2008"/>
      <c r="Q258" s="2008"/>
      <c r="R258" s="2011"/>
      <c r="S258" s="775"/>
      <c r="T258" s="2012"/>
      <c r="U258" s="2013"/>
      <c r="V258" s="778"/>
      <c r="W258" s="2010"/>
      <c r="X258" s="779"/>
      <c r="Y258" s="2012"/>
      <c r="Z258" s="780"/>
      <c r="AA258" s="2007"/>
      <c r="AB258" s="2007"/>
      <c r="AC258" s="765"/>
      <c r="AD258" s="781">
        <f t="shared" si="658"/>
        <v>0</v>
      </c>
      <c r="AE258" s="781">
        <f t="shared" si="632"/>
        <v>0</v>
      </c>
      <c r="AF258" s="781">
        <f t="shared" si="659"/>
        <v>0</v>
      </c>
      <c r="AG258" s="781">
        <f t="shared" si="660"/>
        <v>0</v>
      </c>
      <c r="AH258" s="781">
        <f t="shared" si="633"/>
        <v>0</v>
      </c>
      <c r="AI258" s="782">
        <f t="shared" si="661"/>
        <v>0</v>
      </c>
      <c r="AJ258" s="781">
        <f t="shared" si="662"/>
        <v>0</v>
      </c>
      <c r="AK258" s="781">
        <f t="shared" si="634"/>
        <v>0</v>
      </c>
      <c r="AL258" s="781">
        <f t="shared" si="663"/>
        <v>0</v>
      </c>
      <c r="AM258" s="781">
        <f t="shared" si="664"/>
        <v>0</v>
      </c>
      <c r="AN258" s="781">
        <f t="shared" si="635"/>
        <v>0</v>
      </c>
      <c r="AO258" s="781">
        <f t="shared" si="665"/>
        <v>0</v>
      </c>
      <c r="AP258" s="781">
        <f t="shared" si="666"/>
        <v>0</v>
      </c>
      <c r="AQ258" s="781">
        <f t="shared" si="636"/>
        <v>0</v>
      </c>
      <c r="AR258" s="781">
        <f t="shared" si="667"/>
        <v>0</v>
      </c>
      <c r="AS258" s="783">
        <f t="shared" si="637"/>
        <v>0</v>
      </c>
      <c r="AT258" s="759"/>
    </row>
    <row r="259" spans="1:50" ht="15" x14ac:dyDescent="0.25">
      <c r="A259" s="784"/>
      <c r="B259" s="719">
        <f t="shared" si="609"/>
        <v>169</v>
      </c>
      <c r="C259" s="170"/>
      <c r="D259" s="557"/>
      <c r="E259" s="170"/>
      <c r="F259" s="170"/>
      <c r="G259" s="787"/>
      <c r="H259" s="784"/>
      <c r="I259" s="784"/>
      <c r="J259" s="784"/>
      <c r="K259" s="784"/>
      <c r="L259" s="170"/>
      <c r="M259" s="773"/>
      <c r="N259" s="773"/>
      <c r="O259" s="773"/>
      <c r="P259" s="788"/>
      <c r="Q259" s="788"/>
      <c r="R259" s="773"/>
      <c r="S259" s="773"/>
      <c r="T259" s="779"/>
      <c r="U259" s="789"/>
      <c r="V259" s="778"/>
      <c r="W259" s="778"/>
      <c r="X259" s="779"/>
      <c r="Y259" s="779"/>
      <c r="Z259" s="780"/>
      <c r="AA259" s="787"/>
      <c r="AB259" s="787"/>
      <c r="AC259" s="170"/>
      <c r="AD259" s="781">
        <f t="shared" si="658"/>
        <v>0</v>
      </c>
      <c r="AE259" s="781">
        <f t="shared" si="632"/>
        <v>0</v>
      </c>
      <c r="AF259" s="781">
        <f t="shared" si="659"/>
        <v>0</v>
      </c>
      <c r="AG259" s="781">
        <f t="shared" si="660"/>
        <v>0</v>
      </c>
      <c r="AH259" s="781">
        <f t="shared" si="633"/>
        <v>0</v>
      </c>
      <c r="AI259" s="782">
        <f t="shared" si="661"/>
        <v>0</v>
      </c>
      <c r="AJ259" s="781">
        <f t="shared" si="662"/>
        <v>0</v>
      </c>
      <c r="AK259" s="781">
        <f t="shared" si="634"/>
        <v>0</v>
      </c>
      <c r="AL259" s="781">
        <f t="shared" si="663"/>
        <v>0</v>
      </c>
      <c r="AM259" s="781">
        <f t="shared" si="664"/>
        <v>0</v>
      </c>
      <c r="AN259" s="781">
        <f t="shared" si="635"/>
        <v>0</v>
      </c>
      <c r="AO259" s="781">
        <f t="shared" si="665"/>
        <v>0</v>
      </c>
      <c r="AP259" s="781">
        <f t="shared" si="666"/>
        <v>0</v>
      </c>
      <c r="AQ259" s="781">
        <f t="shared" si="636"/>
        <v>0</v>
      </c>
      <c r="AR259" s="781">
        <f t="shared" si="667"/>
        <v>0</v>
      </c>
      <c r="AS259" s="783">
        <f t="shared" si="637"/>
        <v>0</v>
      </c>
      <c r="AT259" s="759"/>
      <c r="AU259" s="170"/>
      <c r="AV259" s="170"/>
      <c r="AW259" s="836"/>
      <c r="AX259" s="787"/>
    </row>
    <row r="260" spans="1:50" ht="15" x14ac:dyDescent="0.25">
      <c r="A260" s="784"/>
      <c r="B260" s="719">
        <f t="shared" si="609"/>
        <v>170</v>
      </c>
      <c r="C260" s="170"/>
      <c r="D260" s="557"/>
      <c r="E260" s="170"/>
      <c r="F260" s="170"/>
      <c r="G260" s="787"/>
      <c r="H260" s="784"/>
      <c r="I260" s="784"/>
      <c r="J260" s="784"/>
      <c r="K260" s="784"/>
      <c r="L260" s="170"/>
      <c r="M260" s="773"/>
      <c r="N260" s="773"/>
      <c r="O260" s="773"/>
      <c r="P260" s="788"/>
      <c r="Q260" s="788"/>
      <c r="R260" s="773"/>
      <c r="S260" s="773"/>
      <c r="T260" s="779"/>
      <c r="U260" s="789"/>
      <c r="V260" s="778"/>
      <c r="W260" s="778"/>
      <c r="X260" s="779"/>
      <c r="Y260" s="779"/>
      <c r="Z260" s="780"/>
      <c r="AA260" s="787"/>
      <c r="AB260" s="787"/>
      <c r="AC260" s="170"/>
      <c r="AD260" s="781">
        <f t="shared" si="658"/>
        <v>0</v>
      </c>
      <c r="AE260" s="781">
        <f t="shared" si="632"/>
        <v>0</v>
      </c>
      <c r="AF260" s="781">
        <f t="shared" si="659"/>
        <v>0</v>
      </c>
      <c r="AG260" s="781">
        <f t="shared" si="660"/>
        <v>0</v>
      </c>
      <c r="AH260" s="781">
        <f t="shared" si="633"/>
        <v>0</v>
      </c>
      <c r="AI260" s="782">
        <f t="shared" si="661"/>
        <v>0</v>
      </c>
      <c r="AJ260" s="781">
        <f t="shared" si="662"/>
        <v>0</v>
      </c>
      <c r="AK260" s="781">
        <f t="shared" si="634"/>
        <v>0</v>
      </c>
      <c r="AL260" s="781">
        <f t="shared" si="663"/>
        <v>0</v>
      </c>
      <c r="AM260" s="781">
        <f t="shared" si="664"/>
        <v>0</v>
      </c>
      <c r="AN260" s="781">
        <f t="shared" si="635"/>
        <v>0</v>
      </c>
      <c r="AO260" s="781">
        <f t="shared" si="665"/>
        <v>0</v>
      </c>
      <c r="AP260" s="781">
        <f t="shared" si="666"/>
        <v>0</v>
      </c>
      <c r="AQ260" s="781">
        <f t="shared" si="636"/>
        <v>0</v>
      </c>
      <c r="AR260" s="781">
        <f t="shared" si="667"/>
        <v>0</v>
      </c>
      <c r="AS260" s="783">
        <f t="shared" si="637"/>
        <v>0</v>
      </c>
      <c r="AT260" s="759"/>
      <c r="AU260" s="170"/>
      <c r="AV260" s="170"/>
      <c r="AW260" s="836"/>
      <c r="AX260" s="787"/>
    </row>
    <row r="261" spans="1:50" ht="15" x14ac:dyDescent="0.25">
      <c r="A261" s="784"/>
      <c r="B261" s="719">
        <f t="shared" si="609"/>
        <v>171</v>
      </c>
      <c r="C261" s="170"/>
      <c r="D261" s="557"/>
      <c r="E261" s="170"/>
      <c r="F261" s="170"/>
      <c r="G261" s="792" t="s">
        <v>592</v>
      </c>
      <c r="H261" s="1071">
        <v>1</v>
      </c>
      <c r="I261" s="1071"/>
      <c r="J261" s="1071">
        <v>1</v>
      </c>
      <c r="K261" s="1071"/>
      <c r="L261" s="1072"/>
      <c r="M261" s="1073"/>
      <c r="N261" s="1073"/>
      <c r="O261" s="1073"/>
      <c r="P261" s="1074"/>
      <c r="Q261" s="1074"/>
      <c r="R261" s="1073"/>
      <c r="S261" s="1073"/>
      <c r="T261" s="1075"/>
      <c r="U261" s="1076"/>
      <c r="V261" s="1077"/>
      <c r="W261" s="1077"/>
      <c r="X261" s="1075"/>
      <c r="Y261" s="1075"/>
      <c r="Z261" s="1078"/>
      <c r="AA261" s="1079"/>
      <c r="AB261" s="1079"/>
      <c r="AC261" s="170"/>
      <c r="AD261" s="1080">
        <f t="shared" ref="AD261:AS261" si="668">SUM(AD10:AD260)</f>
        <v>0</v>
      </c>
      <c r="AE261" s="1080">
        <f t="shared" si="668"/>
        <v>0</v>
      </c>
      <c r="AF261" s="1080">
        <f t="shared" si="668"/>
        <v>0</v>
      </c>
      <c r="AG261" s="1080">
        <f t="shared" si="668"/>
        <v>0</v>
      </c>
      <c r="AH261" s="1080">
        <f t="shared" si="668"/>
        <v>0</v>
      </c>
      <c r="AI261" s="1080">
        <f t="shared" si="668"/>
        <v>0</v>
      </c>
      <c r="AJ261" s="1080">
        <f t="shared" si="668"/>
        <v>0</v>
      </c>
      <c r="AK261" s="1080">
        <f t="shared" si="668"/>
        <v>0</v>
      </c>
      <c r="AL261" s="1080">
        <f t="shared" si="668"/>
        <v>0</v>
      </c>
      <c r="AM261" s="1080">
        <f t="shared" si="668"/>
        <v>0</v>
      </c>
      <c r="AN261" s="1080">
        <f t="shared" si="668"/>
        <v>0</v>
      </c>
      <c r="AO261" s="1080">
        <f t="shared" si="668"/>
        <v>0</v>
      </c>
      <c r="AP261" s="1080">
        <f t="shared" si="668"/>
        <v>0</v>
      </c>
      <c r="AQ261" s="1080">
        <f t="shared" si="668"/>
        <v>0</v>
      </c>
      <c r="AR261" s="1080">
        <f t="shared" si="668"/>
        <v>0</v>
      </c>
      <c r="AS261" s="1080">
        <f t="shared" si="668"/>
        <v>0</v>
      </c>
      <c r="AT261" s="795"/>
      <c r="AU261" s="170"/>
      <c r="AV261" s="170"/>
      <c r="AW261" s="836"/>
      <c r="AX261" s="787"/>
    </row>
    <row r="262" spans="1:50" ht="15.75" thickBot="1" x14ac:dyDescent="0.3">
      <c r="A262" s="784"/>
      <c r="B262" s="719">
        <f t="shared" si="609"/>
        <v>172</v>
      </c>
      <c r="C262" s="170"/>
      <c r="D262" s="574"/>
      <c r="E262" s="576"/>
      <c r="F262" s="576"/>
      <c r="G262" s="796"/>
      <c r="H262" s="797"/>
      <c r="I262" s="797"/>
      <c r="J262" s="797"/>
      <c r="K262" s="797"/>
      <c r="L262" s="576"/>
      <c r="M262" s="798"/>
      <c r="N262" s="798"/>
      <c r="O262" s="798"/>
      <c r="P262" s="799"/>
      <c r="Q262" s="799"/>
      <c r="R262" s="798"/>
      <c r="S262" s="798"/>
      <c r="T262" s="800"/>
      <c r="U262" s="801"/>
      <c r="V262" s="802"/>
      <c r="W262" s="802"/>
      <c r="X262" s="800"/>
      <c r="Y262" s="800"/>
      <c r="Z262" s="803"/>
      <c r="AA262" s="796"/>
      <c r="AB262" s="796"/>
      <c r="AC262" s="576"/>
      <c r="AD262" s="805"/>
      <c r="AE262" s="805"/>
      <c r="AF262" s="576"/>
      <c r="AG262" s="576"/>
      <c r="AH262" s="576"/>
      <c r="AI262" s="806"/>
      <c r="AJ262" s="806"/>
      <c r="AK262" s="806"/>
      <c r="AL262" s="806"/>
      <c r="AM262" s="806"/>
      <c r="AN262" s="806"/>
      <c r="AO262" s="806"/>
      <c r="AP262" s="806"/>
      <c r="AQ262" s="806"/>
      <c r="AR262" s="806"/>
      <c r="AS262" s="806"/>
      <c r="AT262" s="587"/>
      <c r="AU262" s="170"/>
      <c r="AV262" s="170"/>
      <c r="AW262" s="843"/>
      <c r="AX262" s="796"/>
    </row>
    <row r="263" spans="1:50" ht="15.75" thickTop="1" x14ac:dyDescent="0.25">
      <c r="A263" s="170"/>
      <c r="B263" s="719"/>
      <c r="C263" s="170"/>
      <c r="D263" s="170"/>
      <c r="E263" s="170"/>
      <c r="F263" s="170"/>
      <c r="G263" s="170"/>
      <c r="H263" s="170"/>
      <c r="I263" s="170"/>
      <c r="J263" s="170"/>
      <c r="K263" s="170"/>
      <c r="L263" s="170"/>
      <c r="M263" s="170"/>
      <c r="N263" s="170"/>
      <c r="O263" s="170"/>
      <c r="P263" s="170"/>
      <c r="Q263" s="170"/>
      <c r="R263" s="170"/>
      <c r="S263" s="170"/>
      <c r="T263" s="170"/>
      <c r="U263" s="170"/>
      <c r="V263" s="170"/>
      <c r="W263" s="170"/>
      <c r="X263" s="170"/>
      <c r="Y263" s="170"/>
      <c r="Z263" s="170"/>
      <c r="AA263" s="170"/>
      <c r="AB263" s="170"/>
      <c r="AC263" s="170"/>
      <c r="AD263" s="170"/>
      <c r="AE263" s="170"/>
      <c r="AF263" s="170"/>
      <c r="AG263" s="170"/>
      <c r="AH263" s="170"/>
      <c r="AI263" s="170"/>
      <c r="AJ263" s="170"/>
      <c r="AK263" s="170"/>
      <c r="AL263" s="170"/>
      <c r="AM263" s="170"/>
      <c r="AN263" s="170"/>
      <c r="AO263" s="170"/>
      <c r="AP263" s="170"/>
      <c r="AQ263" s="170"/>
      <c r="AR263" s="170"/>
      <c r="AS263" s="170"/>
      <c r="AT263" s="170"/>
      <c r="AU263" s="170"/>
      <c r="AV263" s="170"/>
      <c r="AW263" s="376"/>
      <c r="AX263" s="170"/>
    </row>
    <row r="264" spans="1:50" ht="15" x14ac:dyDescent="0.25">
      <c r="A264" s="170"/>
      <c r="B264" s="719"/>
      <c r="C264" s="170"/>
      <c r="D264" s="168" t="s">
        <v>742</v>
      </c>
      <c r="E264" s="170"/>
      <c r="F264" s="170"/>
      <c r="G264" s="721"/>
      <c r="H264" s="170"/>
      <c r="I264" s="170"/>
      <c r="J264" s="170"/>
      <c r="K264" s="170"/>
      <c r="L264" s="170"/>
      <c r="M264" s="730"/>
      <c r="N264" s="730"/>
      <c r="O264" s="730"/>
      <c r="P264" s="731"/>
      <c r="Q264" s="731"/>
      <c r="R264" s="730"/>
      <c r="S264" s="730"/>
      <c r="T264" s="723"/>
      <c r="U264" s="724"/>
      <c r="V264" s="725"/>
      <c r="W264" s="725"/>
      <c r="X264" s="723"/>
      <c r="Y264" s="723"/>
      <c r="Z264" s="723"/>
      <c r="AA264" s="726"/>
      <c r="AB264" s="726"/>
      <c r="AC264" s="170"/>
      <c r="AD264" s="586"/>
      <c r="AE264" s="586"/>
      <c r="AF264" s="170"/>
      <c r="AG264" s="170"/>
      <c r="AH264" s="170"/>
      <c r="AI264" s="170"/>
      <c r="AJ264" s="170"/>
      <c r="AK264" s="170"/>
      <c r="AL264" s="170"/>
      <c r="AM264" s="170"/>
      <c r="AN264" s="170"/>
      <c r="AO264" s="170"/>
      <c r="AP264" s="170"/>
      <c r="AQ264" s="170"/>
      <c r="AR264" s="170"/>
      <c r="AS264" s="170"/>
      <c r="AT264" s="170"/>
      <c r="AU264" s="170"/>
      <c r="AV264" s="170"/>
      <c r="AW264" s="828"/>
      <c r="AX264" s="726"/>
    </row>
    <row r="265" spans="1:50" ht="15" x14ac:dyDescent="0.25">
      <c r="A265" s="170"/>
      <c r="B265" s="719"/>
      <c r="C265" s="170" t="str">
        <f t="shared" ref="C265:C328" si="669">+F265&amp;I265</f>
        <v>1ls</v>
      </c>
      <c r="D265" s="170"/>
      <c r="E265" s="170"/>
      <c r="F265" s="170">
        <f>+Parameters!D4</f>
        <v>1</v>
      </c>
      <c r="G265" s="170" t="str">
        <f>+Parameters!E4</f>
        <v>General mob / demob</v>
      </c>
      <c r="H265" s="586">
        <f t="shared" ref="H265:H296" si="670">SUMIF($C$9:$C$262,$C265,H$9:H$262)</f>
        <v>1</v>
      </c>
      <c r="I265" s="170" t="str">
        <f>+Parameters!F4</f>
        <v>ls</v>
      </c>
      <c r="J265" s="170"/>
      <c r="K265" s="170"/>
      <c r="L265" s="170"/>
      <c r="M265" s="730"/>
      <c r="N265" s="730"/>
      <c r="O265" s="730"/>
      <c r="P265" s="731"/>
      <c r="Q265" s="731"/>
      <c r="R265" s="730"/>
      <c r="S265" s="730"/>
      <c r="T265" s="723"/>
      <c r="U265" s="724"/>
      <c r="V265" s="725"/>
      <c r="W265" s="725"/>
      <c r="X265" s="723"/>
      <c r="Y265" s="723"/>
      <c r="Z265" s="723"/>
      <c r="AA265" s="726"/>
      <c r="AB265" s="726"/>
      <c r="AC265" s="170"/>
      <c r="AD265" s="586">
        <f t="shared" ref="AD265:AS274" si="671">SUMIF($F$9:$F$262,$F265,AD$9:AD$262)</f>
        <v>0</v>
      </c>
      <c r="AE265" s="586">
        <f t="shared" si="671"/>
        <v>0</v>
      </c>
      <c r="AF265" s="586">
        <f t="shared" si="671"/>
        <v>0</v>
      </c>
      <c r="AG265" s="586">
        <f t="shared" si="671"/>
        <v>0</v>
      </c>
      <c r="AH265" s="586">
        <f t="shared" si="671"/>
        <v>0</v>
      </c>
      <c r="AI265" s="586">
        <f t="shared" si="671"/>
        <v>0</v>
      </c>
      <c r="AJ265" s="586">
        <f t="shared" si="671"/>
        <v>0</v>
      </c>
      <c r="AK265" s="586">
        <f t="shared" si="671"/>
        <v>0</v>
      </c>
      <c r="AL265" s="586">
        <f t="shared" si="671"/>
        <v>0</v>
      </c>
      <c r="AM265" s="586">
        <f t="shared" si="671"/>
        <v>0</v>
      </c>
      <c r="AN265" s="586">
        <f t="shared" si="671"/>
        <v>0</v>
      </c>
      <c r="AO265" s="586">
        <f t="shared" si="671"/>
        <v>0</v>
      </c>
      <c r="AP265" s="586">
        <f t="shared" si="671"/>
        <v>0</v>
      </c>
      <c r="AQ265" s="586">
        <f t="shared" si="671"/>
        <v>0</v>
      </c>
      <c r="AR265" s="586">
        <f t="shared" si="671"/>
        <v>0</v>
      </c>
      <c r="AS265" s="586">
        <f t="shared" si="671"/>
        <v>0</v>
      </c>
      <c r="AT265" s="170"/>
      <c r="AU265" s="170"/>
      <c r="AV265" s="170"/>
      <c r="AW265" s="828"/>
      <c r="AX265" s="726"/>
    </row>
    <row r="266" spans="1:50" ht="15" x14ac:dyDescent="0.25">
      <c r="A266" s="170"/>
      <c r="B266" s="719"/>
      <c r="C266" s="170" t="str">
        <f t="shared" si="669"/>
        <v>20</v>
      </c>
      <c r="D266" s="170"/>
      <c r="E266" s="170"/>
      <c r="F266" s="170">
        <f>+Parameters!D5</f>
        <v>2</v>
      </c>
      <c r="G266" s="170" t="str">
        <f>+Parameters!E5</f>
        <v>General site work - general inc roads/paving</v>
      </c>
      <c r="H266" s="586">
        <f t="shared" si="670"/>
        <v>0</v>
      </c>
      <c r="I266" s="170">
        <f>+Parameters!F5</f>
        <v>0</v>
      </c>
      <c r="J266" s="170"/>
      <c r="K266" s="170"/>
      <c r="L266" s="170"/>
      <c r="M266" s="730"/>
      <c r="N266" s="730"/>
      <c r="O266" s="730"/>
      <c r="P266" s="731"/>
      <c r="Q266" s="731"/>
      <c r="R266" s="730"/>
      <c r="S266" s="730"/>
      <c r="T266" s="723"/>
      <c r="U266" s="724"/>
      <c r="V266" s="725"/>
      <c r="W266" s="725"/>
      <c r="X266" s="723"/>
      <c r="Y266" s="723"/>
      <c r="Z266" s="723"/>
      <c r="AA266" s="726"/>
      <c r="AB266" s="726"/>
      <c r="AC266" s="170"/>
      <c r="AD266" s="586">
        <f t="shared" si="671"/>
        <v>0</v>
      </c>
      <c r="AE266" s="586">
        <f t="shared" si="671"/>
        <v>0</v>
      </c>
      <c r="AF266" s="586">
        <f t="shared" si="671"/>
        <v>0</v>
      </c>
      <c r="AG266" s="586">
        <f t="shared" si="671"/>
        <v>0</v>
      </c>
      <c r="AH266" s="586">
        <f t="shared" si="671"/>
        <v>0</v>
      </c>
      <c r="AI266" s="586">
        <f t="shared" si="671"/>
        <v>0</v>
      </c>
      <c r="AJ266" s="586">
        <f t="shared" si="671"/>
        <v>0</v>
      </c>
      <c r="AK266" s="586">
        <f t="shared" si="671"/>
        <v>0</v>
      </c>
      <c r="AL266" s="586">
        <f t="shared" si="671"/>
        <v>0</v>
      </c>
      <c r="AM266" s="586">
        <f t="shared" si="671"/>
        <v>0</v>
      </c>
      <c r="AN266" s="586">
        <f t="shared" si="671"/>
        <v>0</v>
      </c>
      <c r="AO266" s="586">
        <f t="shared" si="671"/>
        <v>0</v>
      </c>
      <c r="AP266" s="586">
        <f t="shared" si="671"/>
        <v>0</v>
      </c>
      <c r="AQ266" s="586">
        <f t="shared" si="671"/>
        <v>0</v>
      </c>
      <c r="AR266" s="586">
        <f t="shared" si="671"/>
        <v>0</v>
      </c>
      <c r="AS266" s="586">
        <f t="shared" si="671"/>
        <v>0</v>
      </c>
      <c r="AT266" s="170"/>
      <c r="AU266" s="170"/>
      <c r="AV266" s="170"/>
      <c r="AW266" s="828"/>
      <c r="AX266" s="726"/>
    </row>
    <row r="267" spans="1:50" ht="15" x14ac:dyDescent="0.25">
      <c r="A267" s="170"/>
      <c r="B267" s="719"/>
      <c r="C267" s="170" t="str">
        <f t="shared" si="669"/>
        <v>3ea</v>
      </c>
      <c r="D267" s="170"/>
      <c r="E267" s="170"/>
      <c r="F267" s="170">
        <f>+Parameters!D6</f>
        <v>3</v>
      </c>
      <c r="G267" s="170" t="str">
        <f>+Parameters!E6</f>
        <v>foundations - Poles - direct embed</v>
      </c>
      <c r="H267" s="586">
        <f t="shared" si="670"/>
        <v>0</v>
      </c>
      <c r="I267" s="170" t="str">
        <f>+Parameters!F6</f>
        <v>ea</v>
      </c>
      <c r="J267" s="170"/>
      <c r="K267" s="170"/>
      <c r="L267" s="170"/>
      <c r="M267" s="730"/>
      <c r="N267" s="730"/>
      <c r="O267" s="730"/>
      <c r="P267" s="731"/>
      <c r="Q267" s="731"/>
      <c r="R267" s="730"/>
      <c r="S267" s="730"/>
      <c r="T267" s="723"/>
      <c r="U267" s="724"/>
      <c r="V267" s="725"/>
      <c r="W267" s="725"/>
      <c r="X267" s="723"/>
      <c r="Y267" s="723"/>
      <c r="Z267" s="723"/>
      <c r="AA267" s="726"/>
      <c r="AB267" s="726"/>
      <c r="AC267" s="170"/>
      <c r="AD267" s="586">
        <f t="shared" si="671"/>
        <v>0</v>
      </c>
      <c r="AE267" s="586">
        <f t="shared" si="671"/>
        <v>0</v>
      </c>
      <c r="AF267" s="586">
        <f t="shared" si="671"/>
        <v>0</v>
      </c>
      <c r="AG267" s="586">
        <f t="shared" si="671"/>
        <v>0</v>
      </c>
      <c r="AH267" s="586">
        <f t="shared" si="671"/>
        <v>0</v>
      </c>
      <c r="AI267" s="586">
        <f t="shared" si="671"/>
        <v>0</v>
      </c>
      <c r="AJ267" s="586">
        <f t="shared" si="671"/>
        <v>0</v>
      </c>
      <c r="AK267" s="586">
        <f t="shared" si="671"/>
        <v>0</v>
      </c>
      <c r="AL267" s="586">
        <f t="shared" si="671"/>
        <v>0</v>
      </c>
      <c r="AM267" s="586">
        <f t="shared" si="671"/>
        <v>0</v>
      </c>
      <c r="AN267" s="586">
        <f t="shared" si="671"/>
        <v>0</v>
      </c>
      <c r="AO267" s="586">
        <f t="shared" si="671"/>
        <v>0</v>
      </c>
      <c r="AP267" s="586">
        <f t="shared" si="671"/>
        <v>0</v>
      </c>
      <c r="AQ267" s="586">
        <f t="shared" si="671"/>
        <v>0</v>
      </c>
      <c r="AR267" s="586">
        <f t="shared" si="671"/>
        <v>0</v>
      </c>
      <c r="AS267" s="586">
        <f t="shared" si="671"/>
        <v>0</v>
      </c>
      <c r="AT267" s="170"/>
      <c r="AU267" s="170"/>
      <c r="AV267" s="170"/>
      <c r="AW267" s="828"/>
      <c r="AX267" s="726"/>
    </row>
    <row r="268" spans="1:50" ht="15" x14ac:dyDescent="0.25">
      <c r="A268" s="170"/>
      <c r="B268" s="719"/>
      <c r="C268" s="170" t="str">
        <f t="shared" si="669"/>
        <v>40</v>
      </c>
      <c r="D268" s="170"/>
      <c r="E268" s="170"/>
      <c r="F268" s="170">
        <f>+Parameters!D7</f>
        <v>4</v>
      </c>
      <c r="G268" s="170" t="str">
        <f>+Parameters!E7</f>
        <v>foundations - Poles - formed conc.</v>
      </c>
      <c r="H268" s="586">
        <f t="shared" si="670"/>
        <v>0</v>
      </c>
      <c r="I268" s="170">
        <f>+Parameters!F7</f>
        <v>0</v>
      </c>
      <c r="J268" s="170"/>
      <c r="K268" s="170"/>
      <c r="L268" s="170"/>
      <c r="M268" s="730"/>
      <c r="N268" s="730"/>
      <c r="O268" s="730"/>
      <c r="P268" s="731"/>
      <c r="Q268" s="731"/>
      <c r="R268" s="730"/>
      <c r="S268" s="730"/>
      <c r="T268" s="723"/>
      <c r="U268" s="724"/>
      <c r="V268" s="725"/>
      <c r="W268" s="725"/>
      <c r="X268" s="723"/>
      <c r="Y268" s="723"/>
      <c r="Z268" s="723"/>
      <c r="AA268" s="726"/>
      <c r="AB268" s="726"/>
      <c r="AC268" s="170"/>
      <c r="AD268" s="586">
        <f t="shared" si="671"/>
        <v>0</v>
      </c>
      <c r="AE268" s="586">
        <f t="shared" si="671"/>
        <v>0</v>
      </c>
      <c r="AF268" s="586">
        <f t="shared" si="671"/>
        <v>0</v>
      </c>
      <c r="AG268" s="586">
        <f t="shared" si="671"/>
        <v>0</v>
      </c>
      <c r="AH268" s="586">
        <f t="shared" si="671"/>
        <v>0</v>
      </c>
      <c r="AI268" s="586">
        <f t="shared" si="671"/>
        <v>0</v>
      </c>
      <c r="AJ268" s="586">
        <f t="shared" si="671"/>
        <v>0</v>
      </c>
      <c r="AK268" s="586">
        <f t="shared" si="671"/>
        <v>0</v>
      </c>
      <c r="AL268" s="586">
        <f t="shared" si="671"/>
        <v>0</v>
      </c>
      <c r="AM268" s="586">
        <f t="shared" si="671"/>
        <v>0</v>
      </c>
      <c r="AN268" s="586">
        <f t="shared" si="671"/>
        <v>0</v>
      </c>
      <c r="AO268" s="586">
        <f t="shared" si="671"/>
        <v>0</v>
      </c>
      <c r="AP268" s="586">
        <f t="shared" si="671"/>
        <v>0</v>
      </c>
      <c r="AQ268" s="586">
        <f t="shared" si="671"/>
        <v>0</v>
      </c>
      <c r="AR268" s="586">
        <f t="shared" si="671"/>
        <v>0</v>
      </c>
      <c r="AS268" s="586">
        <f t="shared" si="671"/>
        <v>0</v>
      </c>
      <c r="AT268" s="170"/>
      <c r="AU268" s="170"/>
      <c r="AV268" s="170"/>
      <c r="AW268" s="828"/>
      <c r="AX268" s="726"/>
    </row>
    <row r="269" spans="1:50" ht="15" x14ac:dyDescent="0.25">
      <c r="A269" s="170"/>
      <c r="B269" s="719"/>
      <c r="C269" s="170" t="str">
        <f t="shared" si="669"/>
        <v>5cy</v>
      </c>
      <c r="D269" s="170"/>
      <c r="E269" s="170"/>
      <c r="F269" s="170">
        <f>+Parameters!D8</f>
        <v>5</v>
      </c>
      <c r="G269" s="170" t="str">
        <f>+Parameters!E8</f>
        <v>foundations - station</v>
      </c>
      <c r="H269" s="586">
        <f t="shared" si="670"/>
        <v>0</v>
      </c>
      <c r="I269" s="170" t="str">
        <f>+Parameters!F8</f>
        <v>cy</v>
      </c>
      <c r="J269" s="170"/>
      <c r="K269" s="170"/>
      <c r="L269" s="170"/>
      <c r="M269" s="730"/>
      <c r="N269" s="730"/>
      <c r="O269" s="730"/>
      <c r="P269" s="731"/>
      <c r="Q269" s="731"/>
      <c r="R269" s="730"/>
      <c r="S269" s="730"/>
      <c r="T269" s="723"/>
      <c r="U269" s="724"/>
      <c r="V269" s="725"/>
      <c r="W269" s="725"/>
      <c r="X269" s="723"/>
      <c r="Y269" s="723"/>
      <c r="Z269" s="723"/>
      <c r="AA269" s="726"/>
      <c r="AB269" s="726"/>
      <c r="AC269" s="170"/>
      <c r="AD269" s="586">
        <f t="shared" si="671"/>
        <v>0</v>
      </c>
      <c r="AE269" s="586">
        <f t="shared" si="671"/>
        <v>0</v>
      </c>
      <c r="AF269" s="586">
        <f t="shared" si="671"/>
        <v>0</v>
      </c>
      <c r="AG269" s="586">
        <f t="shared" si="671"/>
        <v>0</v>
      </c>
      <c r="AH269" s="586">
        <f t="shared" si="671"/>
        <v>0</v>
      </c>
      <c r="AI269" s="586">
        <f t="shared" si="671"/>
        <v>0</v>
      </c>
      <c r="AJ269" s="586">
        <f t="shared" si="671"/>
        <v>0</v>
      </c>
      <c r="AK269" s="586">
        <f t="shared" si="671"/>
        <v>0</v>
      </c>
      <c r="AL269" s="586">
        <f t="shared" si="671"/>
        <v>0</v>
      </c>
      <c r="AM269" s="586">
        <f t="shared" si="671"/>
        <v>0</v>
      </c>
      <c r="AN269" s="586">
        <f t="shared" si="671"/>
        <v>0</v>
      </c>
      <c r="AO269" s="586">
        <f t="shared" si="671"/>
        <v>0</v>
      </c>
      <c r="AP269" s="586">
        <f t="shared" si="671"/>
        <v>0</v>
      </c>
      <c r="AQ269" s="586">
        <f t="shared" si="671"/>
        <v>0</v>
      </c>
      <c r="AR269" s="586">
        <f t="shared" si="671"/>
        <v>0</v>
      </c>
      <c r="AS269" s="586">
        <f t="shared" si="671"/>
        <v>0</v>
      </c>
      <c r="AT269" s="170"/>
      <c r="AU269" s="170"/>
      <c r="AV269" s="170"/>
      <c r="AW269" s="828"/>
      <c r="AX269" s="726"/>
    </row>
    <row r="270" spans="1:50" ht="15" x14ac:dyDescent="0.25">
      <c r="A270" s="170"/>
      <c r="B270" s="719"/>
      <c r="C270" s="170" t="str">
        <f t="shared" si="669"/>
        <v>6cy</v>
      </c>
      <c r="D270" s="170"/>
      <c r="E270" s="170"/>
      <c r="F270" s="170">
        <f>+Parameters!D9</f>
        <v>6</v>
      </c>
      <c r="G270" s="170" t="str">
        <f>+Parameters!E9</f>
        <v>foundations - buildings</v>
      </c>
      <c r="H270" s="586">
        <f t="shared" si="670"/>
        <v>0</v>
      </c>
      <c r="I270" s="170" t="str">
        <f>+Parameters!F9</f>
        <v>cy</v>
      </c>
      <c r="J270" s="170"/>
      <c r="K270" s="170"/>
      <c r="L270" s="170"/>
      <c r="M270" s="730"/>
      <c r="N270" s="730"/>
      <c r="O270" s="730"/>
      <c r="P270" s="731"/>
      <c r="Q270" s="731"/>
      <c r="R270" s="730"/>
      <c r="S270" s="730"/>
      <c r="T270" s="723"/>
      <c r="U270" s="724"/>
      <c r="V270" s="725"/>
      <c r="W270" s="725"/>
      <c r="X270" s="723"/>
      <c r="Y270" s="723"/>
      <c r="Z270" s="723"/>
      <c r="AA270" s="726"/>
      <c r="AB270" s="726"/>
      <c r="AC270" s="170"/>
      <c r="AD270" s="586">
        <f t="shared" si="671"/>
        <v>0</v>
      </c>
      <c r="AE270" s="586">
        <f t="shared" si="671"/>
        <v>0</v>
      </c>
      <c r="AF270" s="586">
        <f t="shared" si="671"/>
        <v>0</v>
      </c>
      <c r="AG270" s="586">
        <f t="shared" si="671"/>
        <v>0</v>
      </c>
      <c r="AH270" s="586">
        <f t="shared" si="671"/>
        <v>0</v>
      </c>
      <c r="AI270" s="586">
        <f t="shared" si="671"/>
        <v>0</v>
      </c>
      <c r="AJ270" s="586">
        <f t="shared" si="671"/>
        <v>0</v>
      </c>
      <c r="AK270" s="586">
        <f t="shared" si="671"/>
        <v>0</v>
      </c>
      <c r="AL270" s="586">
        <f t="shared" si="671"/>
        <v>0</v>
      </c>
      <c r="AM270" s="586">
        <f t="shared" si="671"/>
        <v>0</v>
      </c>
      <c r="AN270" s="586">
        <f t="shared" si="671"/>
        <v>0</v>
      </c>
      <c r="AO270" s="586">
        <f t="shared" si="671"/>
        <v>0</v>
      </c>
      <c r="AP270" s="586">
        <f t="shared" si="671"/>
        <v>0</v>
      </c>
      <c r="AQ270" s="586">
        <f t="shared" si="671"/>
        <v>0</v>
      </c>
      <c r="AR270" s="586">
        <f t="shared" si="671"/>
        <v>0</v>
      </c>
      <c r="AS270" s="586">
        <f t="shared" si="671"/>
        <v>0</v>
      </c>
      <c r="AT270" s="170"/>
      <c r="AU270" s="170"/>
      <c r="AV270" s="170"/>
      <c r="AW270" s="828"/>
      <c r="AX270" s="726"/>
    </row>
    <row r="271" spans="1:50" ht="15" x14ac:dyDescent="0.25">
      <c r="A271" s="170"/>
      <c r="B271" s="719"/>
      <c r="C271" s="170" t="str">
        <f t="shared" si="669"/>
        <v>70</v>
      </c>
      <c r="D271" s="170"/>
      <c r="E271" s="170"/>
      <c r="F271" s="170">
        <f>+Parameters!D10</f>
        <v>7</v>
      </c>
      <c r="G271" s="170" t="str">
        <f>+Parameters!E10</f>
        <v>Piling / Caissons</v>
      </c>
      <c r="H271" s="586">
        <f t="shared" si="670"/>
        <v>0</v>
      </c>
      <c r="I271" s="170">
        <f>+Parameters!F10</f>
        <v>0</v>
      </c>
      <c r="J271" s="170"/>
      <c r="K271" s="170"/>
      <c r="L271" s="170"/>
      <c r="M271" s="730"/>
      <c r="N271" s="730"/>
      <c r="O271" s="730"/>
      <c r="P271" s="731"/>
      <c r="Q271" s="731"/>
      <c r="R271" s="730"/>
      <c r="S271" s="730"/>
      <c r="T271" s="723"/>
      <c r="U271" s="724"/>
      <c r="V271" s="725"/>
      <c r="W271" s="725"/>
      <c r="X271" s="723"/>
      <c r="Y271" s="723"/>
      <c r="Z271" s="723"/>
      <c r="AA271" s="726"/>
      <c r="AB271" s="726"/>
      <c r="AC271" s="170"/>
      <c r="AD271" s="586">
        <f t="shared" si="671"/>
        <v>0</v>
      </c>
      <c r="AE271" s="586">
        <f t="shared" si="671"/>
        <v>0</v>
      </c>
      <c r="AF271" s="586">
        <f t="shared" si="671"/>
        <v>0</v>
      </c>
      <c r="AG271" s="586">
        <f t="shared" si="671"/>
        <v>0</v>
      </c>
      <c r="AH271" s="586">
        <f t="shared" si="671"/>
        <v>0</v>
      </c>
      <c r="AI271" s="586">
        <f t="shared" si="671"/>
        <v>0</v>
      </c>
      <c r="AJ271" s="586">
        <f t="shared" si="671"/>
        <v>0</v>
      </c>
      <c r="AK271" s="586">
        <f t="shared" si="671"/>
        <v>0</v>
      </c>
      <c r="AL271" s="586">
        <f t="shared" si="671"/>
        <v>0</v>
      </c>
      <c r="AM271" s="586">
        <f t="shared" si="671"/>
        <v>0</v>
      </c>
      <c r="AN271" s="586">
        <f t="shared" si="671"/>
        <v>0</v>
      </c>
      <c r="AO271" s="586">
        <f t="shared" si="671"/>
        <v>0</v>
      </c>
      <c r="AP271" s="586">
        <f t="shared" si="671"/>
        <v>0</v>
      </c>
      <c r="AQ271" s="586">
        <f t="shared" si="671"/>
        <v>0</v>
      </c>
      <c r="AR271" s="586">
        <f t="shared" si="671"/>
        <v>0</v>
      </c>
      <c r="AS271" s="586">
        <f t="shared" si="671"/>
        <v>0</v>
      </c>
      <c r="AT271" s="170"/>
      <c r="AU271" s="170"/>
      <c r="AV271" s="170"/>
      <c r="AW271" s="828"/>
      <c r="AX271" s="726"/>
    </row>
    <row r="272" spans="1:50" ht="15" x14ac:dyDescent="0.25">
      <c r="A272" s="170"/>
      <c r="B272" s="719"/>
      <c r="C272" s="170" t="str">
        <f t="shared" si="669"/>
        <v>80</v>
      </c>
      <c r="D272" s="170"/>
      <c r="E272" s="170"/>
      <c r="F272" s="170">
        <f>+Parameters!D11</f>
        <v>8</v>
      </c>
      <c r="G272" s="170" t="str">
        <f>+Parameters!E11</f>
        <v>ROW work ( clearing/ Grubbing/ access roads)</v>
      </c>
      <c r="H272" s="586">
        <f t="shared" si="670"/>
        <v>0</v>
      </c>
      <c r="I272" s="170">
        <f>+Parameters!F11</f>
        <v>0</v>
      </c>
      <c r="J272" s="170"/>
      <c r="K272" s="170"/>
      <c r="L272" s="170"/>
      <c r="M272" s="730"/>
      <c r="N272" s="730"/>
      <c r="O272" s="730"/>
      <c r="P272" s="731"/>
      <c r="Q272" s="731"/>
      <c r="R272" s="730"/>
      <c r="S272" s="730"/>
      <c r="T272" s="723"/>
      <c r="U272" s="724"/>
      <c r="V272" s="725"/>
      <c r="W272" s="725"/>
      <c r="X272" s="723"/>
      <c r="Y272" s="723"/>
      <c r="Z272" s="723"/>
      <c r="AA272" s="726"/>
      <c r="AB272" s="726"/>
      <c r="AC272" s="170"/>
      <c r="AD272" s="586">
        <f t="shared" si="671"/>
        <v>0</v>
      </c>
      <c r="AE272" s="586">
        <f t="shared" si="671"/>
        <v>0</v>
      </c>
      <c r="AF272" s="586">
        <f t="shared" si="671"/>
        <v>0</v>
      </c>
      <c r="AG272" s="586">
        <f t="shared" si="671"/>
        <v>0</v>
      </c>
      <c r="AH272" s="586">
        <f t="shared" si="671"/>
        <v>0</v>
      </c>
      <c r="AI272" s="586">
        <f t="shared" si="671"/>
        <v>0</v>
      </c>
      <c r="AJ272" s="586">
        <f t="shared" si="671"/>
        <v>0</v>
      </c>
      <c r="AK272" s="586">
        <f t="shared" si="671"/>
        <v>0</v>
      </c>
      <c r="AL272" s="586">
        <f t="shared" si="671"/>
        <v>0</v>
      </c>
      <c r="AM272" s="586">
        <f t="shared" si="671"/>
        <v>0</v>
      </c>
      <c r="AN272" s="586">
        <f t="shared" si="671"/>
        <v>0</v>
      </c>
      <c r="AO272" s="586">
        <f t="shared" si="671"/>
        <v>0</v>
      </c>
      <c r="AP272" s="586">
        <f t="shared" si="671"/>
        <v>0</v>
      </c>
      <c r="AQ272" s="586">
        <f t="shared" si="671"/>
        <v>0</v>
      </c>
      <c r="AR272" s="586">
        <f t="shared" si="671"/>
        <v>0</v>
      </c>
      <c r="AS272" s="586">
        <f t="shared" si="671"/>
        <v>0</v>
      </c>
      <c r="AT272" s="170"/>
      <c r="AU272" s="170"/>
      <c r="AV272" s="170"/>
      <c r="AW272" s="828"/>
      <c r="AX272" s="726"/>
    </row>
    <row r="273" spans="1:50" ht="15" x14ac:dyDescent="0.25">
      <c r="A273" s="170"/>
      <c r="B273" s="719"/>
      <c r="C273" s="170" t="str">
        <f t="shared" si="669"/>
        <v>90</v>
      </c>
      <c r="D273" s="170"/>
      <c r="E273" s="170"/>
      <c r="F273" s="170">
        <f>+Parameters!D12</f>
        <v>9</v>
      </c>
      <c r="G273" s="170" t="str">
        <f>+Parameters!E12</f>
        <v>Mats</v>
      </c>
      <c r="H273" s="586">
        <f t="shared" si="670"/>
        <v>0</v>
      </c>
      <c r="I273" s="170">
        <f>+Parameters!F12</f>
        <v>0</v>
      </c>
      <c r="J273" s="170"/>
      <c r="K273" s="170"/>
      <c r="L273" s="170"/>
      <c r="M273" s="730"/>
      <c r="N273" s="730"/>
      <c r="O273" s="730"/>
      <c r="P273" s="731"/>
      <c r="Q273" s="731"/>
      <c r="R273" s="730"/>
      <c r="S273" s="730"/>
      <c r="T273" s="723"/>
      <c r="U273" s="724"/>
      <c r="V273" s="725"/>
      <c r="W273" s="725"/>
      <c r="X273" s="723"/>
      <c r="Y273" s="723"/>
      <c r="Z273" s="723"/>
      <c r="AA273" s="726"/>
      <c r="AB273" s="726"/>
      <c r="AC273" s="170"/>
      <c r="AD273" s="586">
        <f t="shared" si="671"/>
        <v>0</v>
      </c>
      <c r="AE273" s="586">
        <f t="shared" si="671"/>
        <v>0</v>
      </c>
      <c r="AF273" s="586">
        <f t="shared" si="671"/>
        <v>0</v>
      </c>
      <c r="AG273" s="586">
        <f t="shared" si="671"/>
        <v>0</v>
      </c>
      <c r="AH273" s="586">
        <f t="shared" si="671"/>
        <v>0</v>
      </c>
      <c r="AI273" s="586">
        <f t="shared" si="671"/>
        <v>0</v>
      </c>
      <c r="AJ273" s="586">
        <f t="shared" si="671"/>
        <v>0</v>
      </c>
      <c r="AK273" s="586">
        <f t="shared" si="671"/>
        <v>0</v>
      </c>
      <c r="AL273" s="586">
        <f t="shared" si="671"/>
        <v>0</v>
      </c>
      <c r="AM273" s="586">
        <f t="shared" si="671"/>
        <v>0</v>
      </c>
      <c r="AN273" s="586">
        <f t="shared" si="671"/>
        <v>0</v>
      </c>
      <c r="AO273" s="586">
        <f t="shared" si="671"/>
        <v>0</v>
      </c>
      <c r="AP273" s="586">
        <f t="shared" si="671"/>
        <v>0</v>
      </c>
      <c r="AQ273" s="586">
        <f t="shared" si="671"/>
        <v>0</v>
      </c>
      <c r="AR273" s="586">
        <f t="shared" si="671"/>
        <v>0</v>
      </c>
      <c r="AS273" s="586">
        <f t="shared" si="671"/>
        <v>0</v>
      </c>
      <c r="AT273" s="170"/>
      <c r="AU273" s="170"/>
      <c r="AV273" s="170"/>
      <c r="AW273" s="828"/>
      <c r="AX273" s="726"/>
    </row>
    <row r="274" spans="1:50" ht="15" x14ac:dyDescent="0.25">
      <c r="A274" s="170"/>
      <c r="B274" s="719"/>
      <c r="C274" s="170" t="str">
        <f t="shared" si="669"/>
        <v>100</v>
      </c>
      <c r="D274" s="170"/>
      <c r="E274" s="170"/>
      <c r="F274" s="170">
        <f>+Parameters!D13</f>
        <v>10</v>
      </c>
      <c r="G274" s="170" t="str">
        <f>+Parameters!E13</f>
        <v>Crane pads</v>
      </c>
      <c r="H274" s="586">
        <f t="shared" si="670"/>
        <v>0</v>
      </c>
      <c r="I274" s="170">
        <f>+Parameters!F13</f>
        <v>0</v>
      </c>
      <c r="J274" s="170"/>
      <c r="K274" s="170"/>
      <c r="L274" s="170"/>
      <c r="M274" s="730"/>
      <c r="N274" s="730"/>
      <c r="O274" s="730"/>
      <c r="P274" s="731"/>
      <c r="Q274" s="731"/>
      <c r="R274" s="730"/>
      <c r="S274" s="730"/>
      <c r="T274" s="723"/>
      <c r="U274" s="724"/>
      <c r="V274" s="725"/>
      <c r="W274" s="725"/>
      <c r="X274" s="723"/>
      <c r="Y274" s="723"/>
      <c r="Z274" s="723"/>
      <c r="AA274" s="726"/>
      <c r="AB274" s="726"/>
      <c r="AC274" s="170"/>
      <c r="AD274" s="586">
        <f t="shared" si="671"/>
        <v>0</v>
      </c>
      <c r="AE274" s="586">
        <f t="shared" si="671"/>
        <v>0</v>
      </c>
      <c r="AF274" s="586">
        <f t="shared" si="671"/>
        <v>0</v>
      </c>
      <c r="AG274" s="586">
        <f t="shared" si="671"/>
        <v>0</v>
      </c>
      <c r="AH274" s="586">
        <f t="shared" si="671"/>
        <v>0</v>
      </c>
      <c r="AI274" s="586">
        <f t="shared" si="671"/>
        <v>0</v>
      </c>
      <c r="AJ274" s="586">
        <f t="shared" si="671"/>
        <v>0</v>
      </c>
      <c r="AK274" s="586">
        <f t="shared" si="671"/>
        <v>0</v>
      </c>
      <c r="AL274" s="586">
        <f t="shared" si="671"/>
        <v>0</v>
      </c>
      <c r="AM274" s="586">
        <f t="shared" si="671"/>
        <v>0</v>
      </c>
      <c r="AN274" s="586">
        <f t="shared" si="671"/>
        <v>0</v>
      </c>
      <c r="AO274" s="586">
        <f t="shared" si="671"/>
        <v>0</v>
      </c>
      <c r="AP274" s="586">
        <f t="shared" si="671"/>
        <v>0</v>
      </c>
      <c r="AQ274" s="586">
        <f t="shared" si="671"/>
        <v>0</v>
      </c>
      <c r="AR274" s="586">
        <f t="shared" si="671"/>
        <v>0</v>
      </c>
      <c r="AS274" s="586">
        <f t="shared" si="671"/>
        <v>0</v>
      </c>
      <c r="AT274" s="170"/>
      <c r="AU274" s="170"/>
      <c r="AV274" s="170"/>
      <c r="AW274" s="828"/>
      <c r="AX274" s="726"/>
    </row>
    <row r="275" spans="1:50" ht="15" x14ac:dyDescent="0.25">
      <c r="A275" s="170"/>
      <c r="B275" s="719"/>
      <c r="C275" s="170" t="str">
        <f t="shared" si="669"/>
        <v>11cy</v>
      </c>
      <c r="D275" s="170"/>
      <c r="E275" s="170"/>
      <c r="F275" s="170">
        <f>+Parameters!D14</f>
        <v>11</v>
      </c>
      <c r="G275" s="170" t="str">
        <f>+Parameters!E14</f>
        <v>Excavation ( incl machine / hand / trench)</v>
      </c>
      <c r="H275" s="586">
        <f t="shared" si="670"/>
        <v>0</v>
      </c>
      <c r="I275" s="170" t="str">
        <f>+Parameters!F14</f>
        <v>cy</v>
      </c>
      <c r="J275" s="170"/>
      <c r="K275" s="170"/>
      <c r="L275" s="170"/>
      <c r="M275" s="730"/>
      <c r="N275" s="730"/>
      <c r="O275" s="730"/>
      <c r="P275" s="731"/>
      <c r="Q275" s="731"/>
      <c r="R275" s="730"/>
      <c r="S275" s="730"/>
      <c r="T275" s="723"/>
      <c r="U275" s="724"/>
      <c r="V275" s="725"/>
      <c r="W275" s="725"/>
      <c r="X275" s="723"/>
      <c r="Y275" s="723"/>
      <c r="Z275" s="723"/>
      <c r="AA275" s="726"/>
      <c r="AB275" s="726"/>
      <c r="AC275" s="170"/>
      <c r="AD275" s="586">
        <f t="shared" ref="AD275:AS284" si="672">SUMIF($F$9:$F$262,$F275,AD$9:AD$262)</f>
        <v>0</v>
      </c>
      <c r="AE275" s="586">
        <f t="shared" si="672"/>
        <v>0</v>
      </c>
      <c r="AF275" s="586">
        <f t="shared" si="672"/>
        <v>0</v>
      </c>
      <c r="AG275" s="586">
        <f t="shared" si="672"/>
        <v>0</v>
      </c>
      <c r="AH275" s="586">
        <f t="shared" si="672"/>
        <v>0</v>
      </c>
      <c r="AI275" s="586">
        <f t="shared" si="672"/>
        <v>0</v>
      </c>
      <c r="AJ275" s="586">
        <f t="shared" si="672"/>
        <v>0</v>
      </c>
      <c r="AK275" s="586">
        <f t="shared" si="672"/>
        <v>0</v>
      </c>
      <c r="AL275" s="586">
        <f t="shared" si="672"/>
        <v>0</v>
      </c>
      <c r="AM275" s="586">
        <f t="shared" si="672"/>
        <v>0</v>
      </c>
      <c r="AN275" s="586">
        <f t="shared" si="672"/>
        <v>0</v>
      </c>
      <c r="AO275" s="586">
        <f t="shared" si="672"/>
        <v>0</v>
      </c>
      <c r="AP275" s="586">
        <f t="shared" si="672"/>
        <v>0</v>
      </c>
      <c r="AQ275" s="586">
        <f t="shared" si="672"/>
        <v>0</v>
      </c>
      <c r="AR275" s="586">
        <f t="shared" si="672"/>
        <v>0</v>
      </c>
      <c r="AS275" s="586">
        <f t="shared" si="672"/>
        <v>0</v>
      </c>
      <c r="AT275" s="170"/>
      <c r="AU275" s="170"/>
      <c r="AV275" s="170"/>
      <c r="AW275" s="828"/>
      <c r="AX275" s="726"/>
    </row>
    <row r="276" spans="1:50" ht="15" x14ac:dyDescent="0.25">
      <c r="A276" s="170"/>
      <c r="B276" s="719"/>
      <c r="C276" s="170" t="str">
        <f t="shared" si="669"/>
        <v>12cy</v>
      </c>
      <c r="D276" s="170"/>
      <c r="E276" s="170"/>
      <c r="F276" s="170">
        <f>+Parameters!D15</f>
        <v>12</v>
      </c>
      <c r="G276" s="170" t="str">
        <f>+Parameters!E15</f>
        <v>Rock Excavation</v>
      </c>
      <c r="H276" s="586">
        <f t="shared" si="670"/>
        <v>0</v>
      </c>
      <c r="I276" s="170" t="str">
        <f>+Parameters!F15</f>
        <v>cy</v>
      </c>
      <c r="J276" s="170"/>
      <c r="K276" s="170"/>
      <c r="L276" s="170"/>
      <c r="M276" s="730"/>
      <c r="N276" s="730"/>
      <c r="O276" s="730"/>
      <c r="P276" s="731"/>
      <c r="Q276" s="731"/>
      <c r="R276" s="730"/>
      <c r="S276" s="730"/>
      <c r="T276" s="723"/>
      <c r="U276" s="724"/>
      <c r="V276" s="725"/>
      <c r="W276" s="725"/>
      <c r="X276" s="723"/>
      <c r="Y276" s="723"/>
      <c r="Z276" s="723"/>
      <c r="AA276" s="726"/>
      <c r="AB276" s="726"/>
      <c r="AC276" s="170"/>
      <c r="AD276" s="586">
        <f t="shared" si="672"/>
        <v>0</v>
      </c>
      <c r="AE276" s="586">
        <f t="shared" si="672"/>
        <v>0</v>
      </c>
      <c r="AF276" s="586">
        <f t="shared" si="672"/>
        <v>0</v>
      </c>
      <c r="AG276" s="586">
        <f t="shared" si="672"/>
        <v>0</v>
      </c>
      <c r="AH276" s="586">
        <f t="shared" si="672"/>
        <v>0</v>
      </c>
      <c r="AI276" s="586">
        <f t="shared" si="672"/>
        <v>0</v>
      </c>
      <c r="AJ276" s="586">
        <f t="shared" si="672"/>
        <v>0</v>
      </c>
      <c r="AK276" s="586">
        <f t="shared" si="672"/>
        <v>0</v>
      </c>
      <c r="AL276" s="586">
        <f t="shared" si="672"/>
        <v>0</v>
      </c>
      <c r="AM276" s="586">
        <f t="shared" si="672"/>
        <v>0</v>
      </c>
      <c r="AN276" s="586">
        <f t="shared" si="672"/>
        <v>0</v>
      </c>
      <c r="AO276" s="586">
        <f t="shared" si="672"/>
        <v>0</v>
      </c>
      <c r="AP276" s="586">
        <f t="shared" si="672"/>
        <v>0</v>
      </c>
      <c r="AQ276" s="586">
        <f t="shared" si="672"/>
        <v>0</v>
      </c>
      <c r="AR276" s="586">
        <f t="shared" si="672"/>
        <v>0</v>
      </c>
      <c r="AS276" s="586">
        <f t="shared" si="672"/>
        <v>0</v>
      </c>
      <c r="AT276" s="170"/>
      <c r="AU276" s="170"/>
      <c r="AV276" s="170"/>
      <c r="AW276" s="828"/>
      <c r="AX276" s="726"/>
    </row>
    <row r="277" spans="1:50" ht="15" x14ac:dyDescent="0.25">
      <c r="A277" s="170"/>
      <c r="B277" s="719"/>
      <c r="C277" s="170" t="str">
        <f t="shared" si="669"/>
        <v>13cy</v>
      </c>
      <c r="D277" s="170"/>
      <c r="E277" s="170"/>
      <c r="F277" s="170">
        <f>+Parameters!D16</f>
        <v>13</v>
      </c>
      <c r="G277" s="170" t="str">
        <f>+Parameters!E16</f>
        <v>Soil disposal</v>
      </c>
      <c r="H277" s="586">
        <f t="shared" si="670"/>
        <v>0</v>
      </c>
      <c r="I277" s="170" t="str">
        <f>+Parameters!F16</f>
        <v>cy</v>
      </c>
      <c r="J277" s="170"/>
      <c r="K277" s="170"/>
      <c r="L277" s="170"/>
      <c r="M277" s="730"/>
      <c r="N277" s="730"/>
      <c r="O277" s="730"/>
      <c r="P277" s="731"/>
      <c r="Q277" s="731"/>
      <c r="R277" s="730"/>
      <c r="S277" s="730"/>
      <c r="T277" s="723"/>
      <c r="U277" s="724"/>
      <c r="V277" s="725"/>
      <c r="W277" s="725"/>
      <c r="X277" s="723"/>
      <c r="Y277" s="723"/>
      <c r="Z277" s="723"/>
      <c r="AA277" s="726"/>
      <c r="AB277" s="726"/>
      <c r="AC277" s="170"/>
      <c r="AD277" s="586">
        <f t="shared" si="672"/>
        <v>0</v>
      </c>
      <c r="AE277" s="586">
        <f t="shared" si="672"/>
        <v>0</v>
      </c>
      <c r="AF277" s="586">
        <f t="shared" si="672"/>
        <v>0</v>
      </c>
      <c r="AG277" s="586">
        <f t="shared" si="672"/>
        <v>0</v>
      </c>
      <c r="AH277" s="586">
        <f t="shared" si="672"/>
        <v>0</v>
      </c>
      <c r="AI277" s="586">
        <f t="shared" si="672"/>
        <v>0</v>
      </c>
      <c r="AJ277" s="586">
        <f t="shared" si="672"/>
        <v>0</v>
      </c>
      <c r="AK277" s="586">
        <f t="shared" si="672"/>
        <v>0</v>
      </c>
      <c r="AL277" s="586">
        <f t="shared" si="672"/>
        <v>0</v>
      </c>
      <c r="AM277" s="586">
        <f t="shared" si="672"/>
        <v>0</v>
      </c>
      <c r="AN277" s="586">
        <f t="shared" si="672"/>
        <v>0</v>
      </c>
      <c r="AO277" s="586">
        <f t="shared" si="672"/>
        <v>0</v>
      </c>
      <c r="AP277" s="586">
        <f t="shared" si="672"/>
        <v>0</v>
      </c>
      <c r="AQ277" s="586">
        <f t="shared" si="672"/>
        <v>0</v>
      </c>
      <c r="AR277" s="586">
        <f t="shared" si="672"/>
        <v>0</v>
      </c>
      <c r="AS277" s="586">
        <f t="shared" si="672"/>
        <v>0</v>
      </c>
      <c r="AT277" s="170"/>
      <c r="AU277" s="170"/>
      <c r="AV277" s="170"/>
      <c r="AW277" s="828"/>
      <c r="AX277" s="726"/>
    </row>
    <row r="278" spans="1:50" ht="15" x14ac:dyDescent="0.25">
      <c r="A278" s="170"/>
      <c r="B278" s="719"/>
      <c r="C278" s="170" t="str">
        <f t="shared" si="669"/>
        <v>14cy</v>
      </c>
      <c r="D278" s="170"/>
      <c r="E278" s="170"/>
      <c r="F278" s="170">
        <f>+Parameters!D17</f>
        <v>14</v>
      </c>
      <c r="G278" s="170" t="str">
        <f>+Parameters!E17</f>
        <v>Backfill - earth</v>
      </c>
      <c r="H278" s="586">
        <f t="shared" si="670"/>
        <v>0</v>
      </c>
      <c r="I278" s="170" t="str">
        <f>+Parameters!F17</f>
        <v>cy</v>
      </c>
      <c r="J278" s="170"/>
      <c r="K278" s="170"/>
      <c r="L278" s="170"/>
      <c r="M278" s="730"/>
      <c r="N278" s="730"/>
      <c r="O278" s="730"/>
      <c r="P278" s="731"/>
      <c r="Q278" s="731"/>
      <c r="R278" s="730"/>
      <c r="S278" s="730"/>
      <c r="T278" s="723"/>
      <c r="U278" s="724"/>
      <c r="V278" s="725"/>
      <c r="W278" s="725"/>
      <c r="X278" s="723"/>
      <c r="Y278" s="723"/>
      <c r="Z278" s="723"/>
      <c r="AA278" s="726"/>
      <c r="AB278" s="726"/>
      <c r="AC278" s="170"/>
      <c r="AD278" s="586">
        <f t="shared" si="672"/>
        <v>0</v>
      </c>
      <c r="AE278" s="586">
        <f t="shared" si="672"/>
        <v>0</v>
      </c>
      <c r="AF278" s="586">
        <f t="shared" si="672"/>
        <v>0</v>
      </c>
      <c r="AG278" s="586">
        <f t="shared" si="672"/>
        <v>0</v>
      </c>
      <c r="AH278" s="586">
        <f t="shared" si="672"/>
        <v>0</v>
      </c>
      <c r="AI278" s="586">
        <f t="shared" si="672"/>
        <v>0</v>
      </c>
      <c r="AJ278" s="586">
        <f t="shared" si="672"/>
        <v>0</v>
      </c>
      <c r="AK278" s="586">
        <f t="shared" si="672"/>
        <v>0</v>
      </c>
      <c r="AL278" s="586">
        <f t="shared" si="672"/>
        <v>0</v>
      </c>
      <c r="AM278" s="586">
        <f t="shared" si="672"/>
        <v>0</v>
      </c>
      <c r="AN278" s="586">
        <f t="shared" si="672"/>
        <v>0</v>
      </c>
      <c r="AO278" s="586">
        <f t="shared" si="672"/>
        <v>0</v>
      </c>
      <c r="AP278" s="586">
        <f t="shared" si="672"/>
        <v>0</v>
      </c>
      <c r="AQ278" s="586">
        <f t="shared" si="672"/>
        <v>0</v>
      </c>
      <c r="AR278" s="586">
        <f t="shared" si="672"/>
        <v>0</v>
      </c>
      <c r="AS278" s="586">
        <f t="shared" si="672"/>
        <v>0</v>
      </c>
      <c r="AT278" s="170"/>
      <c r="AU278" s="170"/>
      <c r="AV278" s="170"/>
      <c r="AW278" s="828"/>
      <c r="AX278" s="726"/>
    </row>
    <row r="279" spans="1:50" ht="15" x14ac:dyDescent="0.25">
      <c r="A279" s="170"/>
      <c r="B279" s="719"/>
      <c r="C279" s="170" t="str">
        <f t="shared" si="669"/>
        <v>15cy</v>
      </c>
      <c r="D279" s="170"/>
      <c r="E279" s="170"/>
      <c r="F279" s="170">
        <f>+Parameters!D18</f>
        <v>15</v>
      </c>
      <c r="G279" s="170" t="str">
        <f>+Parameters!E18</f>
        <v>Backfill- stone ( incl trap rock and surfacing)</v>
      </c>
      <c r="H279" s="586">
        <f t="shared" si="670"/>
        <v>0</v>
      </c>
      <c r="I279" s="170" t="str">
        <f>+Parameters!F18</f>
        <v>cy</v>
      </c>
      <c r="J279" s="170"/>
      <c r="K279" s="170"/>
      <c r="L279" s="170"/>
      <c r="M279" s="730"/>
      <c r="N279" s="730"/>
      <c r="O279" s="730"/>
      <c r="P279" s="731"/>
      <c r="Q279" s="731"/>
      <c r="R279" s="730"/>
      <c r="S279" s="730"/>
      <c r="T279" s="723"/>
      <c r="U279" s="724"/>
      <c r="V279" s="725"/>
      <c r="W279" s="725"/>
      <c r="X279" s="723"/>
      <c r="Y279" s="723"/>
      <c r="Z279" s="723"/>
      <c r="AA279" s="726"/>
      <c r="AB279" s="726"/>
      <c r="AC279" s="170"/>
      <c r="AD279" s="586">
        <f t="shared" si="672"/>
        <v>0</v>
      </c>
      <c r="AE279" s="586">
        <f t="shared" si="672"/>
        <v>0</v>
      </c>
      <c r="AF279" s="586">
        <f t="shared" si="672"/>
        <v>0</v>
      </c>
      <c r="AG279" s="586">
        <f t="shared" si="672"/>
        <v>0</v>
      </c>
      <c r="AH279" s="586">
        <f t="shared" si="672"/>
        <v>0</v>
      </c>
      <c r="AI279" s="586">
        <f t="shared" si="672"/>
        <v>0</v>
      </c>
      <c r="AJ279" s="586">
        <f t="shared" si="672"/>
        <v>0</v>
      </c>
      <c r="AK279" s="586">
        <f t="shared" si="672"/>
        <v>0</v>
      </c>
      <c r="AL279" s="586">
        <f t="shared" si="672"/>
        <v>0</v>
      </c>
      <c r="AM279" s="586">
        <f t="shared" si="672"/>
        <v>0</v>
      </c>
      <c r="AN279" s="586">
        <f t="shared" si="672"/>
        <v>0</v>
      </c>
      <c r="AO279" s="586">
        <f t="shared" si="672"/>
        <v>0</v>
      </c>
      <c r="AP279" s="586">
        <f t="shared" si="672"/>
        <v>0</v>
      </c>
      <c r="AQ279" s="586">
        <f t="shared" si="672"/>
        <v>0</v>
      </c>
      <c r="AR279" s="586">
        <f t="shared" si="672"/>
        <v>0</v>
      </c>
      <c r="AS279" s="586">
        <f t="shared" si="672"/>
        <v>0</v>
      </c>
      <c r="AT279" s="170"/>
      <c r="AU279" s="170"/>
      <c r="AV279" s="170"/>
      <c r="AW279" s="828"/>
      <c r="AX279" s="726"/>
    </row>
    <row r="280" spans="1:50" ht="15" x14ac:dyDescent="0.25">
      <c r="A280" s="170"/>
      <c r="B280" s="719"/>
      <c r="C280" s="170" t="str">
        <f t="shared" si="669"/>
        <v>16lf</v>
      </c>
      <c r="D280" s="170"/>
      <c r="E280" s="170"/>
      <c r="F280" s="170">
        <f>+Parameters!D19</f>
        <v>16</v>
      </c>
      <c r="G280" s="170" t="str">
        <f>+Parameters!E19</f>
        <v>Fence / Gates</v>
      </c>
      <c r="H280" s="586">
        <f t="shared" si="670"/>
        <v>0</v>
      </c>
      <c r="I280" s="170" t="str">
        <f>+Parameters!F19</f>
        <v>lf</v>
      </c>
      <c r="J280" s="170"/>
      <c r="K280" s="170"/>
      <c r="L280" s="170"/>
      <c r="M280" s="730"/>
      <c r="N280" s="730"/>
      <c r="O280" s="730"/>
      <c r="P280" s="731"/>
      <c r="Q280" s="731"/>
      <c r="R280" s="730"/>
      <c r="S280" s="730"/>
      <c r="T280" s="723"/>
      <c r="U280" s="724"/>
      <c r="V280" s="725"/>
      <c r="W280" s="725"/>
      <c r="X280" s="723"/>
      <c r="Y280" s="723"/>
      <c r="Z280" s="723"/>
      <c r="AA280" s="726"/>
      <c r="AB280" s="726"/>
      <c r="AC280" s="170"/>
      <c r="AD280" s="586">
        <f t="shared" si="672"/>
        <v>0</v>
      </c>
      <c r="AE280" s="586">
        <f t="shared" si="672"/>
        <v>0</v>
      </c>
      <c r="AF280" s="586">
        <f t="shared" si="672"/>
        <v>0</v>
      </c>
      <c r="AG280" s="586">
        <f t="shared" si="672"/>
        <v>0</v>
      </c>
      <c r="AH280" s="586">
        <f t="shared" si="672"/>
        <v>0</v>
      </c>
      <c r="AI280" s="586">
        <f t="shared" si="672"/>
        <v>0</v>
      </c>
      <c r="AJ280" s="586">
        <f t="shared" si="672"/>
        <v>0</v>
      </c>
      <c r="AK280" s="586">
        <f t="shared" si="672"/>
        <v>0</v>
      </c>
      <c r="AL280" s="586">
        <f t="shared" si="672"/>
        <v>0</v>
      </c>
      <c r="AM280" s="586">
        <f t="shared" si="672"/>
        <v>0</v>
      </c>
      <c r="AN280" s="586">
        <f t="shared" si="672"/>
        <v>0</v>
      </c>
      <c r="AO280" s="586">
        <f t="shared" si="672"/>
        <v>0</v>
      </c>
      <c r="AP280" s="586">
        <f t="shared" si="672"/>
        <v>0</v>
      </c>
      <c r="AQ280" s="586">
        <f t="shared" si="672"/>
        <v>0</v>
      </c>
      <c r="AR280" s="586">
        <f t="shared" si="672"/>
        <v>0</v>
      </c>
      <c r="AS280" s="586">
        <f t="shared" si="672"/>
        <v>0</v>
      </c>
      <c r="AT280" s="170"/>
      <c r="AU280" s="170"/>
      <c r="AV280" s="170"/>
      <c r="AW280" s="828"/>
      <c r="AX280" s="726"/>
    </row>
    <row r="281" spans="1:50" ht="15" x14ac:dyDescent="0.25">
      <c r="A281" s="170"/>
      <c r="B281" s="719"/>
      <c r="C281" s="170" t="str">
        <f t="shared" si="669"/>
        <v>17lf</v>
      </c>
      <c r="D281" s="170"/>
      <c r="E281" s="170"/>
      <c r="F281" s="170">
        <f>+Parameters!D20</f>
        <v>17</v>
      </c>
      <c r="G281" s="170" t="str">
        <f>+Parameters!E20</f>
        <v>CIP Fence, Gates, Balistic protection</v>
      </c>
      <c r="H281" s="586">
        <f t="shared" si="670"/>
        <v>0</v>
      </c>
      <c r="I281" s="170" t="str">
        <f>+Parameters!F20</f>
        <v>lf</v>
      </c>
      <c r="J281" s="170"/>
      <c r="K281" s="170"/>
      <c r="L281" s="170"/>
      <c r="M281" s="730"/>
      <c r="N281" s="730"/>
      <c r="O281" s="730"/>
      <c r="P281" s="731"/>
      <c r="Q281" s="731"/>
      <c r="R281" s="730"/>
      <c r="S281" s="730"/>
      <c r="T281" s="723"/>
      <c r="U281" s="724"/>
      <c r="V281" s="725"/>
      <c r="W281" s="725"/>
      <c r="X281" s="723"/>
      <c r="Y281" s="723"/>
      <c r="Z281" s="723"/>
      <c r="AA281" s="726"/>
      <c r="AB281" s="726"/>
      <c r="AC281" s="170"/>
      <c r="AD281" s="586">
        <f t="shared" si="672"/>
        <v>0</v>
      </c>
      <c r="AE281" s="586">
        <f t="shared" si="672"/>
        <v>0</v>
      </c>
      <c r="AF281" s="586">
        <f t="shared" si="672"/>
        <v>0</v>
      </c>
      <c r="AG281" s="586">
        <f t="shared" si="672"/>
        <v>0</v>
      </c>
      <c r="AH281" s="586">
        <f t="shared" si="672"/>
        <v>0</v>
      </c>
      <c r="AI281" s="586">
        <f t="shared" si="672"/>
        <v>0</v>
      </c>
      <c r="AJ281" s="586">
        <f t="shared" si="672"/>
        <v>0</v>
      </c>
      <c r="AK281" s="586">
        <f t="shared" si="672"/>
        <v>0</v>
      </c>
      <c r="AL281" s="586">
        <f t="shared" si="672"/>
        <v>0</v>
      </c>
      <c r="AM281" s="586">
        <f t="shared" si="672"/>
        <v>0</v>
      </c>
      <c r="AN281" s="586">
        <f t="shared" si="672"/>
        <v>0</v>
      </c>
      <c r="AO281" s="586">
        <f t="shared" si="672"/>
        <v>0</v>
      </c>
      <c r="AP281" s="586">
        <f t="shared" si="672"/>
        <v>0</v>
      </c>
      <c r="AQ281" s="586">
        <f t="shared" si="672"/>
        <v>0</v>
      </c>
      <c r="AR281" s="586">
        <f t="shared" si="672"/>
        <v>0</v>
      </c>
      <c r="AS281" s="586">
        <f t="shared" si="672"/>
        <v>0</v>
      </c>
      <c r="AT281" s="170"/>
      <c r="AU281" s="170"/>
      <c r="AV281" s="170"/>
      <c r="AW281" s="828"/>
      <c r="AX281" s="726"/>
    </row>
    <row r="282" spans="1:50" ht="15" x14ac:dyDescent="0.25">
      <c r="A282" s="170"/>
      <c r="B282" s="719"/>
      <c r="C282" s="170" t="str">
        <f t="shared" si="669"/>
        <v>180</v>
      </c>
      <c r="D282" s="170"/>
      <c r="E282" s="170"/>
      <c r="F282" s="170">
        <f>+Parameters!D21</f>
        <v>18</v>
      </c>
      <c r="G282" s="170" t="str">
        <f>+Parameters!E21</f>
        <v>Sound walls/ retaining walls</v>
      </c>
      <c r="H282" s="586">
        <f t="shared" si="670"/>
        <v>0</v>
      </c>
      <c r="I282" s="170">
        <f>+Parameters!F21</f>
        <v>0</v>
      </c>
      <c r="J282" s="170"/>
      <c r="K282" s="170"/>
      <c r="L282" s="170"/>
      <c r="M282" s="730"/>
      <c r="N282" s="730"/>
      <c r="O282" s="730"/>
      <c r="P282" s="731"/>
      <c r="Q282" s="731"/>
      <c r="R282" s="730"/>
      <c r="S282" s="730"/>
      <c r="T282" s="723"/>
      <c r="U282" s="724"/>
      <c r="V282" s="725"/>
      <c r="W282" s="725"/>
      <c r="X282" s="723"/>
      <c r="Y282" s="723"/>
      <c r="Z282" s="723"/>
      <c r="AA282" s="726"/>
      <c r="AB282" s="726"/>
      <c r="AC282" s="170"/>
      <c r="AD282" s="586">
        <f t="shared" si="672"/>
        <v>0</v>
      </c>
      <c r="AE282" s="586">
        <f t="shared" si="672"/>
        <v>0</v>
      </c>
      <c r="AF282" s="586">
        <f t="shared" si="672"/>
        <v>0</v>
      </c>
      <c r="AG282" s="586">
        <f t="shared" si="672"/>
        <v>0</v>
      </c>
      <c r="AH282" s="586">
        <f t="shared" si="672"/>
        <v>0</v>
      </c>
      <c r="AI282" s="586">
        <f t="shared" si="672"/>
        <v>0</v>
      </c>
      <c r="AJ282" s="586">
        <f t="shared" si="672"/>
        <v>0</v>
      </c>
      <c r="AK282" s="586">
        <f t="shared" si="672"/>
        <v>0</v>
      </c>
      <c r="AL282" s="586">
        <f t="shared" si="672"/>
        <v>0</v>
      </c>
      <c r="AM282" s="586">
        <f t="shared" si="672"/>
        <v>0</v>
      </c>
      <c r="AN282" s="586">
        <f t="shared" si="672"/>
        <v>0</v>
      </c>
      <c r="AO282" s="586">
        <f t="shared" si="672"/>
        <v>0</v>
      </c>
      <c r="AP282" s="586">
        <f t="shared" si="672"/>
        <v>0</v>
      </c>
      <c r="AQ282" s="586">
        <f t="shared" si="672"/>
        <v>0</v>
      </c>
      <c r="AR282" s="586">
        <f t="shared" si="672"/>
        <v>0</v>
      </c>
      <c r="AS282" s="586">
        <f t="shared" si="672"/>
        <v>0</v>
      </c>
      <c r="AT282" s="170"/>
      <c r="AU282" s="170"/>
      <c r="AV282" s="170"/>
      <c r="AW282" s="828"/>
      <c r="AX282" s="726"/>
    </row>
    <row r="283" spans="1:50" ht="15" x14ac:dyDescent="0.25">
      <c r="A283" s="170"/>
      <c r="B283" s="719"/>
      <c r="C283" s="170" t="str">
        <f t="shared" si="669"/>
        <v>190</v>
      </c>
      <c r="D283" s="170"/>
      <c r="E283" s="170"/>
      <c r="F283" s="170">
        <f>+Parameters!D22</f>
        <v>19</v>
      </c>
      <c r="G283" s="170" t="str">
        <f>+Parameters!E22</f>
        <v>Other</v>
      </c>
      <c r="H283" s="586">
        <f t="shared" si="670"/>
        <v>0</v>
      </c>
      <c r="I283" s="170">
        <f>+Parameters!F22</f>
        <v>0</v>
      </c>
      <c r="J283" s="170"/>
      <c r="K283" s="170"/>
      <c r="L283" s="170"/>
      <c r="M283" s="730"/>
      <c r="N283" s="730"/>
      <c r="O283" s="730"/>
      <c r="P283" s="731"/>
      <c r="Q283" s="731"/>
      <c r="R283" s="730"/>
      <c r="S283" s="730"/>
      <c r="T283" s="723"/>
      <c r="U283" s="724"/>
      <c r="V283" s="725"/>
      <c r="W283" s="725"/>
      <c r="X283" s="723"/>
      <c r="Y283" s="723"/>
      <c r="Z283" s="723"/>
      <c r="AA283" s="726"/>
      <c r="AB283" s="726"/>
      <c r="AC283" s="170"/>
      <c r="AD283" s="586">
        <f t="shared" si="672"/>
        <v>0</v>
      </c>
      <c r="AE283" s="586">
        <f t="shared" si="672"/>
        <v>0</v>
      </c>
      <c r="AF283" s="586">
        <f t="shared" si="672"/>
        <v>0</v>
      </c>
      <c r="AG283" s="586">
        <f t="shared" si="672"/>
        <v>0</v>
      </c>
      <c r="AH283" s="586">
        <f t="shared" si="672"/>
        <v>0</v>
      </c>
      <c r="AI283" s="586">
        <f t="shared" si="672"/>
        <v>0</v>
      </c>
      <c r="AJ283" s="586">
        <f t="shared" si="672"/>
        <v>0</v>
      </c>
      <c r="AK283" s="586">
        <f t="shared" si="672"/>
        <v>0</v>
      </c>
      <c r="AL283" s="586">
        <f t="shared" si="672"/>
        <v>0</v>
      </c>
      <c r="AM283" s="586">
        <f t="shared" si="672"/>
        <v>0</v>
      </c>
      <c r="AN283" s="586">
        <f t="shared" si="672"/>
        <v>0</v>
      </c>
      <c r="AO283" s="586">
        <f t="shared" si="672"/>
        <v>0</v>
      </c>
      <c r="AP283" s="586">
        <f t="shared" si="672"/>
        <v>0</v>
      </c>
      <c r="AQ283" s="586">
        <f t="shared" si="672"/>
        <v>0</v>
      </c>
      <c r="AR283" s="586">
        <f t="shared" si="672"/>
        <v>0</v>
      </c>
      <c r="AS283" s="586">
        <f t="shared" si="672"/>
        <v>0</v>
      </c>
      <c r="AT283" s="170"/>
      <c r="AU283" s="170"/>
      <c r="AV283" s="170"/>
      <c r="AW283" s="828"/>
      <c r="AX283" s="726"/>
    </row>
    <row r="284" spans="1:50" ht="15" x14ac:dyDescent="0.25">
      <c r="A284" s="170"/>
      <c r="B284" s="719"/>
      <c r="C284" s="170" t="str">
        <f t="shared" si="669"/>
        <v>200</v>
      </c>
      <c r="D284" s="170"/>
      <c r="E284" s="170"/>
      <c r="F284" s="170">
        <f>+Parameters!D23</f>
        <v>20</v>
      </c>
      <c r="G284" s="170" t="str">
        <f>+Parameters!E23</f>
        <v>Trench (Trenwa type)</v>
      </c>
      <c r="H284" s="586">
        <f t="shared" si="670"/>
        <v>0</v>
      </c>
      <c r="I284" s="170">
        <f>+Parameters!F23</f>
        <v>0</v>
      </c>
      <c r="J284" s="170"/>
      <c r="K284" s="170"/>
      <c r="L284" s="170"/>
      <c r="M284" s="730"/>
      <c r="N284" s="730"/>
      <c r="O284" s="730"/>
      <c r="P284" s="731"/>
      <c r="Q284" s="731"/>
      <c r="R284" s="730"/>
      <c r="S284" s="730"/>
      <c r="T284" s="723"/>
      <c r="U284" s="724"/>
      <c r="V284" s="725"/>
      <c r="W284" s="725"/>
      <c r="X284" s="723"/>
      <c r="Y284" s="723"/>
      <c r="Z284" s="723"/>
      <c r="AA284" s="726"/>
      <c r="AB284" s="726"/>
      <c r="AC284" s="170"/>
      <c r="AD284" s="586">
        <f t="shared" si="672"/>
        <v>0</v>
      </c>
      <c r="AE284" s="586">
        <f t="shared" si="672"/>
        <v>0</v>
      </c>
      <c r="AF284" s="586">
        <f t="shared" si="672"/>
        <v>0</v>
      </c>
      <c r="AG284" s="586">
        <f t="shared" si="672"/>
        <v>0</v>
      </c>
      <c r="AH284" s="586">
        <f t="shared" si="672"/>
        <v>0</v>
      </c>
      <c r="AI284" s="586">
        <f t="shared" si="672"/>
        <v>0</v>
      </c>
      <c r="AJ284" s="586">
        <f t="shared" si="672"/>
        <v>0</v>
      </c>
      <c r="AK284" s="586">
        <f t="shared" si="672"/>
        <v>0</v>
      </c>
      <c r="AL284" s="586">
        <f t="shared" si="672"/>
        <v>0</v>
      </c>
      <c r="AM284" s="586">
        <f t="shared" si="672"/>
        <v>0</v>
      </c>
      <c r="AN284" s="586">
        <f t="shared" si="672"/>
        <v>0</v>
      </c>
      <c r="AO284" s="586">
        <f t="shared" si="672"/>
        <v>0</v>
      </c>
      <c r="AP284" s="586">
        <f t="shared" si="672"/>
        <v>0</v>
      </c>
      <c r="AQ284" s="586">
        <f t="shared" si="672"/>
        <v>0</v>
      </c>
      <c r="AR284" s="586">
        <f t="shared" si="672"/>
        <v>0</v>
      </c>
      <c r="AS284" s="586">
        <f t="shared" si="672"/>
        <v>0</v>
      </c>
      <c r="AT284" s="170"/>
      <c r="AU284" s="170"/>
      <c r="AV284" s="170"/>
      <c r="AW284" s="828"/>
      <c r="AX284" s="726"/>
    </row>
    <row r="285" spans="1:50" ht="15" x14ac:dyDescent="0.25">
      <c r="A285" s="170"/>
      <c r="B285" s="719"/>
      <c r="C285" s="170" t="str">
        <f t="shared" si="669"/>
        <v>21lf</v>
      </c>
      <c r="D285" s="170"/>
      <c r="E285" s="170"/>
      <c r="F285" s="170">
        <f>+Parameters!D24</f>
        <v>21</v>
      </c>
      <c r="G285" s="170" t="str">
        <f>+Parameters!E24</f>
        <v>Ductbank ( incl conduit)</v>
      </c>
      <c r="H285" s="586">
        <f t="shared" si="670"/>
        <v>0</v>
      </c>
      <c r="I285" s="170" t="str">
        <f>+Parameters!F24</f>
        <v>lf</v>
      </c>
      <c r="J285" s="170"/>
      <c r="K285" s="170"/>
      <c r="L285" s="170"/>
      <c r="M285" s="730"/>
      <c r="N285" s="730"/>
      <c r="O285" s="730"/>
      <c r="P285" s="731"/>
      <c r="Q285" s="731"/>
      <c r="R285" s="730"/>
      <c r="S285" s="730"/>
      <c r="T285" s="723"/>
      <c r="U285" s="724"/>
      <c r="V285" s="725"/>
      <c r="W285" s="725"/>
      <c r="X285" s="723"/>
      <c r="Y285" s="723"/>
      <c r="Z285" s="723"/>
      <c r="AA285" s="726"/>
      <c r="AB285" s="726"/>
      <c r="AC285" s="170"/>
      <c r="AD285" s="586">
        <f t="shared" ref="AD285:AS294" si="673">SUMIF($F$9:$F$262,$F285,AD$9:AD$262)</f>
        <v>0</v>
      </c>
      <c r="AE285" s="586">
        <f t="shared" si="673"/>
        <v>0</v>
      </c>
      <c r="AF285" s="586">
        <f t="shared" si="673"/>
        <v>0</v>
      </c>
      <c r="AG285" s="586">
        <f t="shared" si="673"/>
        <v>0</v>
      </c>
      <c r="AH285" s="586">
        <f t="shared" si="673"/>
        <v>0</v>
      </c>
      <c r="AI285" s="586">
        <f t="shared" si="673"/>
        <v>0</v>
      </c>
      <c r="AJ285" s="586">
        <f t="shared" si="673"/>
        <v>0</v>
      </c>
      <c r="AK285" s="586">
        <f t="shared" si="673"/>
        <v>0</v>
      </c>
      <c r="AL285" s="586">
        <f t="shared" si="673"/>
        <v>0</v>
      </c>
      <c r="AM285" s="586">
        <f t="shared" si="673"/>
        <v>0</v>
      </c>
      <c r="AN285" s="586">
        <f t="shared" si="673"/>
        <v>0</v>
      </c>
      <c r="AO285" s="586">
        <f t="shared" si="673"/>
        <v>0</v>
      </c>
      <c r="AP285" s="586">
        <f t="shared" si="673"/>
        <v>0</v>
      </c>
      <c r="AQ285" s="586">
        <f t="shared" si="673"/>
        <v>0</v>
      </c>
      <c r="AR285" s="586">
        <f t="shared" si="673"/>
        <v>0</v>
      </c>
      <c r="AS285" s="586">
        <f t="shared" si="673"/>
        <v>0</v>
      </c>
      <c r="AT285" s="170"/>
      <c r="AU285" s="170"/>
      <c r="AV285" s="170"/>
      <c r="AW285" s="828"/>
      <c r="AX285" s="726"/>
    </row>
    <row r="286" spans="1:50" ht="15" x14ac:dyDescent="0.25">
      <c r="A286" s="170"/>
      <c r="B286" s="719"/>
      <c r="C286" s="170" t="str">
        <f t="shared" si="669"/>
        <v>22lf</v>
      </c>
      <c r="D286" s="170"/>
      <c r="E286" s="170"/>
      <c r="F286" s="170">
        <f>+Parameters!D25</f>
        <v>22</v>
      </c>
      <c r="G286" s="170" t="str">
        <f>+Parameters!E25</f>
        <v>Conduit - AG</v>
      </c>
      <c r="H286" s="586">
        <f t="shared" si="670"/>
        <v>0</v>
      </c>
      <c r="I286" s="170" t="str">
        <f>+Parameters!F25</f>
        <v>lf</v>
      </c>
      <c r="J286" s="170"/>
      <c r="K286" s="170"/>
      <c r="L286" s="170"/>
      <c r="M286" s="730"/>
      <c r="N286" s="730"/>
      <c r="O286" s="730"/>
      <c r="P286" s="731"/>
      <c r="Q286" s="731"/>
      <c r="R286" s="730"/>
      <c r="S286" s="730"/>
      <c r="T286" s="723"/>
      <c r="U286" s="724"/>
      <c r="V286" s="725"/>
      <c r="W286" s="725"/>
      <c r="X286" s="723"/>
      <c r="Y286" s="723"/>
      <c r="Z286" s="723"/>
      <c r="AA286" s="726"/>
      <c r="AB286" s="726"/>
      <c r="AC286" s="170"/>
      <c r="AD286" s="586">
        <f t="shared" si="673"/>
        <v>0</v>
      </c>
      <c r="AE286" s="586">
        <f t="shared" si="673"/>
        <v>0</v>
      </c>
      <c r="AF286" s="586">
        <f t="shared" si="673"/>
        <v>0</v>
      </c>
      <c r="AG286" s="586">
        <f t="shared" si="673"/>
        <v>0</v>
      </c>
      <c r="AH286" s="586">
        <f t="shared" si="673"/>
        <v>0</v>
      </c>
      <c r="AI286" s="586">
        <f t="shared" si="673"/>
        <v>0</v>
      </c>
      <c r="AJ286" s="586">
        <f t="shared" si="673"/>
        <v>0</v>
      </c>
      <c r="AK286" s="586">
        <f t="shared" si="673"/>
        <v>0</v>
      </c>
      <c r="AL286" s="586">
        <f t="shared" si="673"/>
        <v>0</v>
      </c>
      <c r="AM286" s="586">
        <f t="shared" si="673"/>
        <v>0</v>
      </c>
      <c r="AN286" s="586">
        <f t="shared" si="673"/>
        <v>0</v>
      </c>
      <c r="AO286" s="586">
        <f t="shared" si="673"/>
        <v>0</v>
      </c>
      <c r="AP286" s="586">
        <f t="shared" si="673"/>
        <v>0</v>
      </c>
      <c r="AQ286" s="586">
        <f t="shared" si="673"/>
        <v>0</v>
      </c>
      <c r="AR286" s="586">
        <f t="shared" si="673"/>
        <v>0</v>
      </c>
      <c r="AS286" s="586">
        <f t="shared" si="673"/>
        <v>0</v>
      </c>
      <c r="AT286" s="170"/>
      <c r="AU286" s="170"/>
      <c r="AV286" s="170"/>
      <c r="AW286" s="828"/>
      <c r="AX286" s="726"/>
    </row>
    <row r="287" spans="1:50" ht="15" x14ac:dyDescent="0.25">
      <c r="A287" s="170"/>
      <c r="B287" s="719"/>
      <c r="C287" s="170" t="str">
        <f t="shared" si="669"/>
        <v>23lf</v>
      </c>
      <c r="D287" s="170"/>
      <c r="E287" s="170"/>
      <c r="F287" s="170">
        <f>+Parameters!D26</f>
        <v>23</v>
      </c>
      <c r="G287" s="170" t="str">
        <f>+Parameters!E26</f>
        <v>Conduit - UG ( excl ductbank)</v>
      </c>
      <c r="H287" s="586">
        <f t="shared" si="670"/>
        <v>0</v>
      </c>
      <c r="I287" s="170" t="str">
        <f>+Parameters!F26</f>
        <v>lf</v>
      </c>
      <c r="J287" s="170"/>
      <c r="K287" s="170"/>
      <c r="L287" s="170"/>
      <c r="M287" s="730"/>
      <c r="N287" s="730"/>
      <c r="O287" s="730"/>
      <c r="P287" s="731"/>
      <c r="Q287" s="731"/>
      <c r="R287" s="730"/>
      <c r="S287" s="730"/>
      <c r="T287" s="723"/>
      <c r="U287" s="724"/>
      <c r="V287" s="725"/>
      <c r="W287" s="725"/>
      <c r="X287" s="723"/>
      <c r="Y287" s="723"/>
      <c r="Z287" s="723"/>
      <c r="AA287" s="726"/>
      <c r="AB287" s="726"/>
      <c r="AC287" s="170"/>
      <c r="AD287" s="586">
        <f t="shared" si="673"/>
        <v>0</v>
      </c>
      <c r="AE287" s="586">
        <f t="shared" si="673"/>
        <v>0</v>
      </c>
      <c r="AF287" s="586">
        <f t="shared" si="673"/>
        <v>0</v>
      </c>
      <c r="AG287" s="586">
        <f t="shared" si="673"/>
        <v>0</v>
      </c>
      <c r="AH287" s="586">
        <f t="shared" si="673"/>
        <v>0</v>
      </c>
      <c r="AI287" s="586">
        <f t="shared" si="673"/>
        <v>0</v>
      </c>
      <c r="AJ287" s="586">
        <f t="shared" si="673"/>
        <v>0</v>
      </c>
      <c r="AK287" s="586">
        <f t="shared" si="673"/>
        <v>0</v>
      </c>
      <c r="AL287" s="586">
        <f t="shared" si="673"/>
        <v>0</v>
      </c>
      <c r="AM287" s="586">
        <f t="shared" si="673"/>
        <v>0</v>
      </c>
      <c r="AN287" s="586">
        <f t="shared" si="673"/>
        <v>0</v>
      </c>
      <c r="AO287" s="586">
        <f t="shared" si="673"/>
        <v>0</v>
      </c>
      <c r="AP287" s="586">
        <f t="shared" si="673"/>
        <v>0</v>
      </c>
      <c r="AQ287" s="586">
        <f t="shared" si="673"/>
        <v>0</v>
      </c>
      <c r="AR287" s="586">
        <f t="shared" si="673"/>
        <v>0</v>
      </c>
      <c r="AS287" s="586">
        <f t="shared" si="673"/>
        <v>0</v>
      </c>
      <c r="AT287" s="170"/>
      <c r="AU287" s="170"/>
      <c r="AV287" s="170"/>
      <c r="AW287" s="828"/>
      <c r="AX287" s="726"/>
    </row>
    <row r="288" spans="1:50" ht="15" x14ac:dyDescent="0.25">
      <c r="A288" s="170"/>
      <c r="B288" s="719"/>
      <c r="C288" s="170" t="str">
        <f t="shared" si="669"/>
        <v>24lf</v>
      </c>
      <c r="D288" s="170"/>
      <c r="E288" s="170"/>
      <c r="F288" s="170">
        <f>+Parameters!D27</f>
        <v>24</v>
      </c>
      <c r="G288" s="170" t="str">
        <f>+Parameters!E27</f>
        <v>Cable tray</v>
      </c>
      <c r="H288" s="586">
        <f t="shared" si="670"/>
        <v>0</v>
      </c>
      <c r="I288" s="170" t="str">
        <f>+Parameters!F27</f>
        <v>lf</v>
      </c>
      <c r="J288" s="170"/>
      <c r="K288" s="170"/>
      <c r="L288" s="170"/>
      <c r="M288" s="730"/>
      <c r="N288" s="730"/>
      <c r="O288" s="730"/>
      <c r="P288" s="731"/>
      <c r="Q288" s="731"/>
      <c r="R288" s="730"/>
      <c r="S288" s="730"/>
      <c r="T288" s="723"/>
      <c r="U288" s="724"/>
      <c r="V288" s="725"/>
      <c r="W288" s="725"/>
      <c r="X288" s="723"/>
      <c r="Y288" s="723"/>
      <c r="Z288" s="723"/>
      <c r="AA288" s="726"/>
      <c r="AB288" s="726"/>
      <c r="AC288" s="170"/>
      <c r="AD288" s="586">
        <f t="shared" si="673"/>
        <v>0</v>
      </c>
      <c r="AE288" s="586">
        <f t="shared" si="673"/>
        <v>0</v>
      </c>
      <c r="AF288" s="586">
        <f t="shared" si="673"/>
        <v>0</v>
      </c>
      <c r="AG288" s="586">
        <f t="shared" si="673"/>
        <v>0</v>
      </c>
      <c r="AH288" s="586">
        <f t="shared" si="673"/>
        <v>0</v>
      </c>
      <c r="AI288" s="586">
        <f t="shared" si="673"/>
        <v>0</v>
      </c>
      <c r="AJ288" s="586">
        <f t="shared" si="673"/>
        <v>0</v>
      </c>
      <c r="AK288" s="586">
        <f t="shared" si="673"/>
        <v>0</v>
      </c>
      <c r="AL288" s="586">
        <f t="shared" si="673"/>
        <v>0</v>
      </c>
      <c r="AM288" s="586">
        <f t="shared" si="673"/>
        <v>0</v>
      </c>
      <c r="AN288" s="586">
        <f t="shared" si="673"/>
        <v>0</v>
      </c>
      <c r="AO288" s="586">
        <f t="shared" si="673"/>
        <v>0</v>
      </c>
      <c r="AP288" s="586">
        <f t="shared" si="673"/>
        <v>0</v>
      </c>
      <c r="AQ288" s="586">
        <f t="shared" si="673"/>
        <v>0</v>
      </c>
      <c r="AR288" s="586">
        <f t="shared" si="673"/>
        <v>0</v>
      </c>
      <c r="AS288" s="586">
        <f t="shared" si="673"/>
        <v>0</v>
      </c>
      <c r="AT288" s="170"/>
      <c r="AU288" s="170"/>
      <c r="AV288" s="170"/>
      <c r="AW288" s="828"/>
      <c r="AX288" s="726"/>
    </row>
    <row r="289" spans="1:50" ht="15" x14ac:dyDescent="0.25">
      <c r="A289" s="170"/>
      <c r="B289" s="719"/>
      <c r="C289" s="170" t="str">
        <f t="shared" si="669"/>
        <v>25lf</v>
      </c>
      <c r="D289" s="170"/>
      <c r="E289" s="170"/>
      <c r="F289" s="170">
        <f>+Parameters!D28</f>
        <v>25</v>
      </c>
      <c r="G289" s="170" t="str">
        <f>+Parameters!E28</f>
        <v>Grounding</v>
      </c>
      <c r="H289" s="586">
        <f t="shared" si="670"/>
        <v>0</v>
      </c>
      <c r="I289" s="170" t="str">
        <f>+Parameters!F28</f>
        <v>lf</v>
      </c>
      <c r="J289" s="170"/>
      <c r="K289" s="170"/>
      <c r="L289" s="170"/>
      <c r="M289" s="730"/>
      <c r="N289" s="730"/>
      <c r="O289" s="730"/>
      <c r="P289" s="731"/>
      <c r="Q289" s="731"/>
      <c r="R289" s="730"/>
      <c r="S289" s="730"/>
      <c r="T289" s="723"/>
      <c r="U289" s="724"/>
      <c r="V289" s="725"/>
      <c r="W289" s="725"/>
      <c r="X289" s="723"/>
      <c r="Y289" s="723"/>
      <c r="Z289" s="723"/>
      <c r="AA289" s="726"/>
      <c r="AB289" s="726"/>
      <c r="AC289" s="170"/>
      <c r="AD289" s="586">
        <f t="shared" si="673"/>
        <v>0</v>
      </c>
      <c r="AE289" s="586">
        <f t="shared" si="673"/>
        <v>0</v>
      </c>
      <c r="AF289" s="586">
        <f t="shared" si="673"/>
        <v>0</v>
      </c>
      <c r="AG289" s="586">
        <f t="shared" si="673"/>
        <v>0</v>
      </c>
      <c r="AH289" s="586">
        <f t="shared" si="673"/>
        <v>0</v>
      </c>
      <c r="AI289" s="586">
        <f t="shared" si="673"/>
        <v>0</v>
      </c>
      <c r="AJ289" s="586">
        <f t="shared" si="673"/>
        <v>0</v>
      </c>
      <c r="AK289" s="586">
        <f t="shared" si="673"/>
        <v>0</v>
      </c>
      <c r="AL289" s="586">
        <f t="shared" si="673"/>
        <v>0</v>
      </c>
      <c r="AM289" s="586">
        <f t="shared" si="673"/>
        <v>0</v>
      </c>
      <c r="AN289" s="586">
        <f t="shared" si="673"/>
        <v>0</v>
      </c>
      <c r="AO289" s="586">
        <f t="shared" si="673"/>
        <v>0</v>
      </c>
      <c r="AP289" s="586">
        <f t="shared" si="673"/>
        <v>0</v>
      </c>
      <c r="AQ289" s="586">
        <f t="shared" si="673"/>
        <v>0</v>
      </c>
      <c r="AR289" s="586">
        <f t="shared" si="673"/>
        <v>0</v>
      </c>
      <c r="AS289" s="586">
        <f t="shared" si="673"/>
        <v>0</v>
      </c>
      <c r="AT289" s="170"/>
      <c r="AU289" s="170"/>
      <c r="AV289" s="170"/>
      <c r="AW289" s="828"/>
      <c r="AX289" s="726"/>
    </row>
    <row r="290" spans="1:50" ht="15" x14ac:dyDescent="0.25">
      <c r="A290" s="170"/>
      <c r="B290" s="719"/>
      <c r="C290" s="170" t="str">
        <f t="shared" si="669"/>
        <v>260</v>
      </c>
      <c r="D290" s="170"/>
      <c r="E290" s="170"/>
      <c r="F290" s="170">
        <f>+Parameters!D29</f>
        <v>26</v>
      </c>
      <c r="G290" s="170" t="str">
        <f>+Parameters!E29</f>
        <v>Lighting</v>
      </c>
      <c r="H290" s="586">
        <f t="shared" si="670"/>
        <v>0</v>
      </c>
      <c r="I290" s="170">
        <f>+Parameters!F29</f>
        <v>0</v>
      </c>
      <c r="J290" s="170"/>
      <c r="K290" s="170"/>
      <c r="L290" s="170"/>
      <c r="M290" s="730"/>
      <c r="N290" s="730"/>
      <c r="O290" s="730"/>
      <c r="P290" s="731"/>
      <c r="Q290" s="731"/>
      <c r="R290" s="730"/>
      <c r="S290" s="730"/>
      <c r="T290" s="723"/>
      <c r="U290" s="724"/>
      <c r="V290" s="725"/>
      <c r="W290" s="725"/>
      <c r="X290" s="723"/>
      <c r="Y290" s="723"/>
      <c r="Z290" s="723"/>
      <c r="AA290" s="726"/>
      <c r="AB290" s="726"/>
      <c r="AC290" s="170"/>
      <c r="AD290" s="586">
        <f t="shared" si="673"/>
        <v>0</v>
      </c>
      <c r="AE290" s="586">
        <f t="shared" si="673"/>
        <v>0</v>
      </c>
      <c r="AF290" s="586">
        <f t="shared" si="673"/>
        <v>0</v>
      </c>
      <c r="AG290" s="586">
        <f t="shared" si="673"/>
        <v>0</v>
      </c>
      <c r="AH290" s="586">
        <f t="shared" si="673"/>
        <v>0</v>
      </c>
      <c r="AI290" s="586">
        <f t="shared" si="673"/>
        <v>0</v>
      </c>
      <c r="AJ290" s="586">
        <f t="shared" si="673"/>
        <v>0</v>
      </c>
      <c r="AK290" s="586">
        <f t="shared" si="673"/>
        <v>0</v>
      </c>
      <c r="AL290" s="586">
        <f t="shared" si="673"/>
        <v>0</v>
      </c>
      <c r="AM290" s="586">
        <f t="shared" si="673"/>
        <v>0</v>
      </c>
      <c r="AN290" s="586">
        <f t="shared" si="673"/>
        <v>0</v>
      </c>
      <c r="AO290" s="586">
        <f t="shared" si="673"/>
        <v>0</v>
      </c>
      <c r="AP290" s="586">
        <f t="shared" si="673"/>
        <v>0</v>
      </c>
      <c r="AQ290" s="586">
        <f t="shared" si="673"/>
        <v>0</v>
      </c>
      <c r="AR290" s="586">
        <f t="shared" si="673"/>
        <v>0</v>
      </c>
      <c r="AS290" s="586">
        <f t="shared" si="673"/>
        <v>0</v>
      </c>
      <c r="AT290" s="170"/>
      <c r="AU290" s="170"/>
      <c r="AV290" s="170"/>
      <c r="AW290" s="828"/>
      <c r="AX290" s="726"/>
    </row>
    <row r="291" spans="1:50" ht="15" x14ac:dyDescent="0.25">
      <c r="A291" s="170"/>
      <c r="B291" s="719"/>
      <c r="C291" s="170" t="str">
        <f t="shared" si="669"/>
        <v>270</v>
      </c>
      <c r="D291" s="170"/>
      <c r="E291" s="170"/>
      <c r="F291" s="170">
        <f>+Parameters!D30</f>
        <v>27</v>
      </c>
      <c r="G291" s="170">
        <f>+Parameters!E30</f>
        <v>0</v>
      </c>
      <c r="H291" s="586">
        <f t="shared" si="670"/>
        <v>0</v>
      </c>
      <c r="I291" s="170">
        <f>+Parameters!F30</f>
        <v>0</v>
      </c>
      <c r="J291" s="170"/>
      <c r="K291" s="170"/>
      <c r="L291" s="170"/>
      <c r="M291" s="730"/>
      <c r="N291" s="730"/>
      <c r="O291" s="730"/>
      <c r="P291" s="731"/>
      <c r="Q291" s="731"/>
      <c r="R291" s="730"/>
      <c r="S291" s="730"/>
      <c r="T291" s="723"/>
      <c r="U291" s="724"/>
      <c r="V291" s="725"/>
      <c r="W291" s="725"/>
      <c r="X291" s="723"/>
      <c r="Y291" s="723"/>
      <c r="Z291" s="723"/>
      <c r="AA291" s="726"/>
      <c r="AB291" s="726"/>
      <c r="AC291" s="170"/>
      <c r="AD291" s="586">
        <f t="shared" si="673"/>
        <v>0</v>
      </c>
      <c r="AE291" s="586">
        <f t="shared" si="673"/>
        <v>0</v>
      </c>
      <c r="AF291" s="586">
        <f t="shared" si="673"/>
        <v>0</v>
      </c>
      <c r="AG291" s="586">
        <f t="shared" si="673"/>
        <v>0</v>
      </c>
      <c r="AH291" s="586">
        <f t="shared" si="673"/>
        <v>0</v>
      </c>
      <c r="AI291" s="586">
        <f t="shared" si="673"/>
        <v>0</v>
      </c>
      <c r="AJ291" s="586">
        <f t="shared" si="673"/>
        <v>0</v>
      </c>
      <c r="AK291" s="586">
        <f t="shared" si="673"/>
        <v>0</v>
      </c>
      <c r="AL291" s="586">
        <f t="shared" si="673"/>
        <v>0</v>
      </c>
      <c r="AM291" s="586">
        <f t="shared" si="673"/>
        <v>0</v>
      </c>
      <c r="AN291" s="586">
        <f t="shared" si="673"/>
        <v>0</v>
      </c>
      <c r="AO291" s="586">
        <f t="shared" si="673"/>
        <v>0</v>
      </c>
      <c r="AP291" s="586">
        <f t="shared" si="673"/>
        <v>0</v>
      </c>
      <c r="AQ291" s="586">
        <f t="shared" si="673"/>
        <v>0</v>
      </c>
      <c r="AR291" s="586">
        <f t="shared" si="673"/>
        <v>0</v>
      </c>
      <c r="AS291" s="586">
        <f t="shared" si="673"/>
        <v>0</v>
      </c>
      <c r="AT291" s="170"/>
      <c r="AU291" s="170"/>
      <c r="AV291" s="170"/>
      <c r="AW291" s="828"/>
      <c r="AX291" s="726"/>
    </row>
    <row r="292" spans="1:50" ht="15" x14ac:dyDescent="0.25">
      <c r="A292" s="170"/>
      <c r="B292" s="719"/>
      <c r="C292" s="170" t="str">
        <f t="shared" si="669"/>
        <v>280</v>
      </c>
      <c r="D292" s="170"/>
      <c r="E292" s="170"/>
      <c r="F292" s="170">
        <f>+Parameters!D31</f>
        <v>28</v>
      </c>
      <c r="G292" s="170">
        <f>+Parameters!E31</f>
        <v>0</v>
      </c>
      <c r="H292" s="586">
        <f t="shared" si="670"/>
        <v>0</v>
      </c>
      <c r="I292" s="170">
        <f>+Parameters!F31</f>
        <v>0</v>
      </c>
      <c r="J292" s="170"/>
      <c r="K292" s="170"/>
      <c r="L292" s="170"/>
      <c r="M292" s="730"/>
      <c r="N292" s="730"/>
      <c r="O292" s="730"/>
      <c r="P292" s="731"/>
      <c r="Q292" s="731"/>
      <c r="R292" s="730"/>
      <c r="S292" s="730"/>
      <c r="T292" s="723"/>
      <c r="U292" s="724"/>
      <c r="V292" s="725"/>
      <c r="W292" s="725"/>
      <c r="X292" s="723"/>
      <c r="Y292" s="723"/>
      <c r="Z292" s="723"/>
      <c r="AA292" s="726"/>
      <c r="AB292" s="726"/>
      <c r="AC292" s="170"/>
      <c r="AD292" s="586">
        <f t="shared" si="673"/>
        <v>0</v>
      </c>
      <c r="AE292" s="586">
        <f t="shared" si="673"/>
        <v>0</v>
      </c>
      <c r="AF292" s="586">
        <f t="shared" si="673"/>
        <v>0</v>
      </c>
      <c r="AG292" s="586">
        <f t="shared" si="673"/>
        <v>0</v>
      </c>
      <c r="AH292" s="586">
        <f t="shared" si="673"/>
        <v>0</v>
      </c>
      <c r="AI292" s="586">
        <f t="shared" si="673"/>
        <v>0</v>
      </c>
      <c r="AJ292" s="586">
        <f t="shared" si="673"/>
        <v>0</v>
      </c>
      <c r="AK292" s="586">
        <f t="shared" si="673"/>
        <v>0</v>
      </c>
      <c r="AL292" s="586">
        <f t="shared" si="673"/>
        <v>0</v>
      </c>
      <c r="AM292" s="586">
        <f t="shared" si="673"/>
        <v>0</v>
      </c>
      <c r="AN292" s="586">
        <f t="shared" si="673"/>
        <v>0</v>
      </c>
      <c r="AO292" s="586">
        <f t="shared" si="673"/>
        <v>0</v>
      </c>
      <c r="AP292" s="586">
        <f t="shared" si="673"/>
        <v>0</v>
      </c>
      <c r="AQ292" s="586">
        <f t="shared" si="673"/>
        <v>0</v>
      </c>
      <c r="AR292" s="586">
        <f t="shared" si="673"/>
        <v>0</v>
      </c>
      <c r="AS292" s="586">
        <f t="shared" si="673"/>
        <v>0</v>
      </c>
      <c r="AT292" s="170"/>
      <c r="AU292" s="170"/>
      <c r="AV292" s="170"/>
      <c r="AW292" s="828"/>
      <c r="AX292" s="726"/>
    </row>
    <row r="293" spans="1:50" ht="15" x14ac:dyDescent="0.25">
      <c r="A293" s="170"/>
      <c r="B293" s="719"/>
      <c r="C293" s="170" t="str">
        <f t="shared" si="669"/>
        <v>290</v>
      </c>
      <c r="D293" s="170"/>
      <c r="E293" s="170"/>
      <c r="F293" s="170">
        <f>+Parameters!D32</f>
        <v>29</v>
      </c>
      <c r="G293" s="170">
        <f>+Parameters!E32</f>
        <v>0</v>
      </c>
      <c r="H293" s="586">
        <f t="shared" si="670"/>
        <v>0</v>
      </c>
      <c r="I293" s="170">
        <f>+Parameters!F32</f>
        <v>0</v>
      </c>
      <c r="J293" s="170"/>
      <c r="K293" s="170"/>
      <c r="L293" s="170"/>
      <c r="M293" s="730"/>
      <c r="N293" s="730"/>
      <c r="O293" s="730"/>
      <c r="P293" s="731"/>
      <c r="Q293" s="731"/>
      <c r="R293" s="730"/>
      <c r="S293" s="730"/>
      <c r="T293" s="723"/>
      <c r="U293" s="724"/>
      <c r="V293" s="725"/>
      <c r="W293" s="725"/>
      <c r="X293" s="723"/>
      <c r="Y293" s="723"/>
      <c r="Z293" s="723"/>
      <c r="AA293" s="726"/>
      <c r="AB293" s="726"/>
      <c r="AC293" s="170"/>
      <c r="AD293" s="586">
        <f t="shared" si="673"/>
        <v>0</v>
      </c>
      <c r="AE293" s="586">
        <f t="shared" si="673"/>
        <v>0</v>
      </c>
      <c r="AF293" s="586">
        <f t="shared" si="673"/>
        <v>0</v>
      </c>
      <c r="AG293" s="586">
        <f t="shared" si="673"/>
        <v>0</v>
      </c>
      <c r="AH293" s="586">
        <f t="shared" si="673"/>
        <v>0</v>
      </c>
      <c r="AI293" s="586">
        <f t="shared" si="673"/>
        <v>0</v>
      </c>
      <c r="AJ293" s="586">
        <f t="shared" si="673"/>
        <v>0</v>
      </c>
      <c r="AK293" s="586">
        <f t="shared" si="673"/>
        <v>0</v>
      </c>
      <c r="AL293" s="586">
        <f t="shared" si="673"/>
        <v>0</v>
      </c>
      <c r="AM293" s="586">
        <f t="shared" si="673"/>
        <v>0</v>
      </c>
      <c r="AN293" s="586">
        <f t="shared" si="673"/>
        <v>0</v>
      </c>
      <c r="AO293" s="586">
        <f t="shared" si="673"/>
        <v>0</v>
      </c>
      <c r="AP293" s="586">
        <f t="shared" si="673"/>
        <v>0</v>
      </c>
      <c r="AQ293" s="586">
        <f t="shared" si="673"/>
        <v>0</v>
      </c>
      <c r="AR293" s="586">
        <f t="shared" si="673"/>
        <v>0</v>
      </c>
      <c r="AS293" s="586">
        <f t="shared" si="673"/>
        <v>0</v>
      </c>
      <c r="AT293" s="170"/>
      <c r="AU293" s="170"/>
      <c r="AV293" s="170"/>
      <c r="AW293" s="828"/>
      <c r="AX293" s="726"/>
    </row>
    <row r="294" spans="1:50" ht="15" x14ac:dyDescent="0.25">
      <c r="A294" s="170"/>
      <c r="B294" s="719"/>
      <c r="C294" s="170" t="str">
        <f t="shared" si="669"/>
        <v>30lf</v>
      </c>
      <c r="D294" s="170"/>
      <c r="E294" s="170"/>
      <c r="F294" s="170">
        <f>+Parameters!D33</f>
        <v>30</v>
      </c>
      <c r="G294" s="170" t="str">
        <f>+Parameters!E33</f>
        <v>Cable - UG - HPFF ( incl terms)</v>
      </c>
      <c r="H294" s="586">
        <f t="shared" si="670"/>
        <v>0</v>
      </c>
      <c r="I294" s="170" t="str">
        <f>+Parameters!F33</f>
        <v>lf</v>
      </c>
      <c r="J294" s="170"/>
      <c r="K294" s="170"/>
      <c r="L294" s="170"/>
      <c r="M294" s="730"/>
      <c r="N294" s="730"/>
      <c r="O294" s="730"/>
      <c r="P294" s="731"/>
      <c r="Q294" s="731"/>
      <c r="R294" s="730"/>
      <c r="S294" s="730"/>
      <c r="T294" s="723"/>
      <c r="U294" s="724"/>
      <c r="V294" s="725"/>
      <c r="W294" s="725"/>
      <c r="X294" s="723"/>
      <c r="Y294" s="723"/>
      <c r="Z294" s="723"/>
      <c r="AA294" s="726"/>
      <c r="AB294" s="726"/>
      <c r="AC294" s="170"/>
      <c r="AD294" s="586">
        <f t="shared" si="673"/>
        <v>0</v>
      </c>
      <c r="AE294" s="586">
        <f t="shared" si="673"/>
        <v>0</v>
      </c>
      <c r="AF294" s="586">
        <f t="shared" si="673"/>
        <v>0</v>
      </c>
      <c r="AG294" s="586">
        <f t="shared" si="673"/>
        <v>0</v>
      </c>
      <c r="AH294" s="586">
        <f t="shared" si="673"/>
        <v>0</v>
      </c>
      <c r="AI294" s="586">
        <f t="shared" si="673"/>
        <v>0</v>
      </c>
      <c r="AJ294" s="586">
        <f t="shared" si="673"/>
        <v>0</v>
      </c>
      <c r="AK294" s="586">
        <f t="shared" si="673"/>
        <v>0</v>
      </c>
      <c r="AL294" s="586">
        <f t="shared" si="673"/>
        <v>0</v>
      </c>
      <c r="AM294" s="586">
        <f t="shared" si="673"/>
        <v>0</v>
      </c>
      <c r="AN294" s="586">
        <f t="shared" si="673"/>
        <v>0</v>
      </c>
      <c r="AO294" s="586">
        <f t="shared" si="673"/>
        <v>0</v>
      </c>
      <c r="AP294" s="586">
        <f t="shared" si="673"/>
        <v>0</v>
      </c>
      <c r="AQ294" s="586">
        <f t="shared" si="673"/>
        <v>0</v>
      </c>
      <c r="AR294" s="586">
        <f t="shared" si="673"/>
        <v>0</v>
      </c>
      <c r="AS294" s="586">
        <f t="shared" si="673"/>
        <v>0</v>
      </c>
      <c r="AT294" s="170"/>
      <c r="AU294" s="170"/>
      <c r="AV294" s="170"/>
      <c r="AW294" s="828"/>
      <c r="AX294" s="726"/>
    </row>
    <row r="295" spans="1:50" ht="15" x14ac:dyDescent="0.25">
      <c r="A295" s="170"/>
      <c r="B295" s="719"/>
      <c r="C295" s="170" t="str">
        <f t="shared" si="669"/>
        <v>31lf</v>
      </c>
      <c r="D295" s="170"/>
      <c r="E295" s="170"/>
      <c r="F295" s="170">
        <f>+Parameters!D34</f>
        <v>31</v>
      </c>
      <c r="G295" s="170" t="str">
        <f>+Parameters!E34</f>
        <v>Cable - UG - XLPE ( incl terms)</v>
      </c>
      <c r="H295" s="586">
        <f t="shared" si="670"/>
        <v>0</v>
      </c>
      <c r="I295" s="170" t="str">
        <f>+Parameters!F34</f>
        <v>lf</v>
      </c>
      <c r="J295" s="170"/>
      <c r="K295" s="170"/>
      <c r="L295" s="170"/>
      <c r="M295" s="730"/>
      <c r="N295" s="730"/>
      <c r="O295" s="730"/>
      <c r="P295" s="731"/>
      <c r="Q295" s="731"/>
      <c r="R295" s="730"/>
      <c r="S295" s="730"/>
      <c r="T295" s="723"/>
      <c r="U295" s="724"/>
      <c r="V295" s="725"/>
      <c r="W295" s="725"/>
      <c r="X295" s="723"/>
      <c r="Y295" s="723"/>
      <c r="Z295" s="723"/>
      <c r="AA295" s="726"/>
      <c r="AB295" s="726"/>
      <c r="AC295" s="170"/>
      <c r="AD295" s="586">
        <f t="shared" ref="AD295:AS304" si="674">SUMIF($F$9:$F$262,$F295,AD$9:AD$262)</f>
        <v>0</v>
      </c>
      <c r="AE295" s="586">
        <f t="shared" si="674"/>
        <v>0</v>
      </c>
      <c r="AF295" s="586">
        <f t="shared" si="674"/>
        <v>0</v>
      </c>
      <c r="AG295" s="586">
        <f t="shared" si="674"/>
        <v>0</v>
      </c>
      <c r="AH295" s="586">
        <f t="shared" si="674"/>
        <v>0</v>
      </c>
      <c r="AI295" s="586">
        <f t="shared" si="674"/>
        <v>0</v>
      </c>
      <c r="AJ295" s="586">
        <f t="shared" si="674"/>
        <v>0</v>
      </c>
      <c r="AK295" s="586">
        <f t="shared" si="674"/>
        <v>0</v>
      </c>
      <c r="AL295" s="586">
        <f t="shared" si="674"/>
        <v>0</v>
      </c>
      <c r="AM295" s="586">
        <f t="shared" si="674"/>
        <v>0</v>
      </c>
      <c r="AN295" s="586">
        <f t="shared" si="674"/>
        <v>0</v>
      </c>
      <c r="AO295" s="586">
        <f t="shared" si="674"/>
        <v>0</v>
      </c>
      <c r="AP295" s="586">
        <f t="shared" si="674"/>
        <v>0</v>
      </c>
      <c r="AQ295" s="586">
        <f t="shared" si="674"/>
        <v>0</v>
      </c>
      <c r="AR295" s="586">
        <f t="shared" si="674"/>
        <v>0</v>
      </c>
      <c r="AS295" s="586">
        <f t="shared" si="674"/>
        <v>0</v>
      </c>
      <c r="AT295" s="170"/>
      <c r="AU295" s="170"/>
      <c r="AV295" s="170"/>
      <c r="AW295" s="828"/>
      <c r="AX295" s="726"/>
    </row>
    <row r="296" spans="1:50" ht="15" x14ac:dyDescent="0.25">
      <c r="A296" s="170"/>
      <c r="B296" s="719"/>
      <c r="C296" s="170" t="str">
        <f t="shared" si="669"/>
        <v>32lf</v>
      </c>
      <c r="D296" s="170"/>
      <c r="E296" s="170"/>
      <c r="F296" s="170">
        <f>+Parameters!D35</f>
        <v>32</v>
      </c>
      <c r="G296" s="170" t="str">
        <f>+Parameters!E35</f>
        <v>Cable - AG under 115kv ( incl terms)</v>
      </c>
      <c r="H296" s="586">
        <f t="shared" si="670"/>
        <v>0</v>
      </c>
      <c r="I296" s="170" t="str">
        <f>+Parameters!F35</f>
        <v>lf</v>
      </c>
      <c r="J296" s="170"/>
      <c r="K296" s="170"/>
      <c r="L296" s="170"/>
      <c r="M296" s="730"/>
      <c r="N296" s="730"/>
      <c r="O296" s="730"/>
      <c r="P296" s="731"/>
      <c r="Q296" s="731"/>
      <c r="R296" s="730"/>
      <c r="S296" s="730"/>
      <c r="T296" s="723"/>
      <c r="U296" s="724"/>
      <c r="V296" s="725"/>
      <c r="W296" s="725"/>
      <c r="X296" s="723"/>
      <c r="Y296" s="723"/>
      <c r="Z296" s="723"/>
      <c r="AA296" s="726"/>
      <c r="AB296" s="726"/>
      <c r="AC296" s="170"/>
      <c r="AD296" s="586">
        <f t="shared" si="674"/>
        <v>0</v>
      </c>
      <c r="AE296" s="586">
        <f t="shared" si="674"/>
        <v>0</v>
      </c>
      <c r="AF296" s="586">
        <f t="shared" si="674"/>
        <v>0</v>
      </c>
      <c r="AG296" s="586">
        <f t="shared" si="674"/>
        <v>0</v>
      </c>
      <c r="AH296" s="586">
        <f t="shared" si="674"/>
        <v>0</v>
      </c>
      <c r="AI296" s="586">
        <f t="shared" si="674"/>
        <v>0</v>
      </c>
      <c r="AJ296" s="586">
        <f t="shared" si="674"/>
        <v>0</v>
      </c>
      <c r="AK296" s="586">
        <f t="shared" si="674"/>
        <v>0</v>
      </c>
      <c r="AL296" s="586">
        <f t="shared" si="674"/>
        <v>0</v>
      </c>
      <c r="AM296" s="586">
        <f t="shared" si="674"/>
        <v>0</v>
      </c>
      <c r="AN296" s="586">
        <f t="shared" si="674"/>
        <v>0</v>
      </c>
      <c r="AO296" s="586">
        <f t="shared" si="674"/>
        <v>0</v>
      </c>
      <c r="AP296" s="586">
        <f t="shared" si="674"/>
        <v>0</v>
      </c>
      <c r="AQ296" s="586">
        <f t="shared" si="674"/>
        <v>0</v>
      </c>
      <c r="AR296" s="586">
        <f t="shared" si="674"/>
        <v>0</v>
      </c>
      <c r="AS296" s="586">
        <f t="shared" si="674"/>
        <v>0</v>
      </c>
      <c r="AT296" s="170"/>
      <c r="AU296" s="170"/>
      <c r="AV296" s="170"/>
      <c r="AW296" s="828"/>
      <c r="AX296" s="726"/>
    </row>
    <row r="297" spans="1:50" ht="15" x14ac:dyDescent="0.25">
      <c r="A297" s="170"/>
      <c r="B297" s="719"/>
      <c r="C297" s="170" t="str">
        <f t="shared" si="669"/>
        <v>33lf</v>
      </c>
      <c r="D297" s="170"/>
      <c r="E297" s="170"/>
      <c r="F297" s="170">
        <f>+Parameters!D36</f>
        <v>33</v>
      </c>
      <c r="G297" s="170" t="str">
        <f>+Parameters!E36</f>
        <v>Cable - AG 115 kv ( incl terms)</v>
      </c>
      <c r="H297" s="586">
        <f t="shared" ref="H297:H328" si="675">SUMIF($C$9:$C$262,$C297,H$9:H$262)</f>
        <v>0</v>
      </c>
      <c r="I297" s="170" t="str">
        <f>+Parameters!F36</f>
        <v>lf</v>
      </c>
      <c r="J297" s="170"/>
      <c r="K297" s="170"/>
      <c r="L297" s="170"/>
      <c r="M297" s="730"/>
      <c r="N297" s="730"/>
      <c r="O297" s="730"/>
      <c r="P297" s="731"/>
      <c r="Q297" s="731"/>
      <c r="R297" s="730"/>
      <c r="S297" s="730"/>
      <c r="T297" s="723"/>
      <c r="U297" s="724"/>
      <c r="V297" s="725"/>
      <c r="W297" s="725"/>
      <c r="X297" s="723"/>
      <c r="Y297" s="723"/>
      <c r="Z297" s="723"/>
      <c r="AA297" s="726"/>
      <c r="AB297" s="726"/>
      <c r="AC297" s="170"/>
      <c r="AD297" s="586">
        <f t="shared" si="674"/>
        <v>0</v>
      </c>
      <c r="AE297" s="586">
        <f t="shared" si="674"/>
        <v>0</v>
      </c>
      <c r="AF297" s="586">
        <f t="shared" si="674"/>
        <v>0</v>
      </c>
      <c r="AG297" s="586">
        <f t="shared" si="674"/>
        <v>0</v>
      </c>
      <c r="AH297" s="586">
        <f t="shared" si="674"/>
        <v>0</v>
      </c>
      <c r="AI297" s="586">
        <f t="shared" si="674"/>
        <v>0</v>
      </c>
      <c r="AJ297" s="586">
        <f t="shared" si="674"/>
        <v>0</v>
      </c>
      <c r="AK297" s="586">
        <f t="shared" si="674"/>
        <v>0</v>
      </c>
      <c r="AL297" s="586">
        <f t="shared" si="674"/>
        <v>0</v>
      </c>
      <c r="AM297" s="586">
        <f t="shared" si="674"/>
        <v>0</v>
      </c>
      <c r="AN297" s="586">
        <f t="shared" si="674"/>
        <v>0</v>
      </c>
      <c r="AO297" s="586">
        <f t="shared" si="674"/>
        <v>0</v>
      </c>
      <c r="AP297" s="586">
        <f t="shared" si="674"/>
        <v>0</v>
      </c>
      <c r="AQ297" s="586">
        <f t="shared" si="674"/>
        <v>0</v>
      </c>
      <c r="AR297" s="586">
        <f t="shared" si="674"/>
        <v>0</v>
      </c>
      <c r="AS297" s="586">
        <f t="shared" si="674"/>
        <v>0</v>
      </c>
      <c r="AT297" s="170"/>
      <c r="AU297" s="170"/>
      <c r="AV297" s="170"/>
      <c r="AW297" s="828"/>
      <c r="AX297" s="726"/>
    </row>
    <row r="298" spans="1:50" ht="15" x14ac:dyDescent="0.25">
      <c r="A298" s="170"/>
      <c r="B298" s="719"/>
      <c r="C298" s="170" t="str">
        <f t="shared" si="669"/>
        <v>34lf</v>
      </c>
      <c r="D298" s="170"/>
      <c r="E298" s="170"/>
      <c r="F298" s="170">
        <f>+Parameters!D37</f>
        <v>34</v>
      </c>
      <c r="G298" s="170" t="str">
        <f>+Parameters!E37</f>
        <v>Cable - AG 345 kv ( incl terms)</v>
      </c>
      <c r="H298" s="586">
        <f t="shared" si="675"/>
        <v>0</v>
      </c>
      <c r="I298" s="170" t="str">
        <f>+Parameters!F37</f>
        <v>lf</v>
      </c>
      <c r="J298" s="170"/>
      <c r="K298" s="170"/>
      <c r="L298" s="170"/>
      <c r="M298" s="730"/>
      <c r="N298" s="730"/>
      <c r="O298" s="730"/>
      <c r="P298" s="731"/>
      <c r="Q298" s="731"/>
      <c r="R298" s="730"/>
      <c r="S298" s="730"/>
      <c r="T298" s="723"/>
      <c r="U298" s="724"/>
      <c r="V298" s="725"/>
      <c r="W298" s="725"/>
      <c r="X298" s="723"/>
      <c r="Y298" s="723"/>
      <c r="Z298" s="723"/>
      <c r="AA298" s="726"/>
      <c r="AB298" s="726"/>
      <c r="AC298" s="170"/>
      <c r="AD298" s="586">
        <f t="shared" si="674"/>
        <v>0</v>
      </c>
      <c r="AE298" s="586">
        <f t="shared" si="674"/>
        <v>0</v>
      </c>
      <c r="AF298" s="586">
        <f t="shared" si="674"/>
        <v>0</v>
      </c>
      <c r="AG298" s="586">
        <f t="shared" si="674"/>
        <v>0</v>
      </c>
      <c r="AH298" s="586">
        <f t="shared" si="674"/>
        <v>0</v>
      </c>
      <c r="AI298" s="586">
        <f t="shared" si="674"/>
        <v>0</v>
      </c>
      <c r="AJ298" s="586">
        <f t="shared" si="674"/>
        <v>0</v>
      </c>
      <c r="AK298" s="586">
        <f t="shared" si="674"/>
        <v>0</v>
      </c>
      <c r="AL298" s="586">
        <f t="shared" si="674"/>
        <v>0</v>
      </c>
      <c r="AM298" s="586">
        <f t="shared" si="674"/>
        <v>0</v>
      </c>
      <c r="AN298" s="586">
        <f t="shared" si="674"/>
        <v>0</v>
      </c>
      <c r="AO298" s="586">
        <f t="shared" si="674"/>
        <v>0</v>
      </c>
      <c r="AP298" s="586">
        <f t="shared" si="674"/>
        <v>0</v>
      </c>
      <c r="AQ298" s="586">
        <f t="shared" si="674"/>
        <v>0</v>
      </c>
      <c r="AR298" s="586">
        <f t="shared" si="674"/>
        <v>0</v>
      </c>
      <c r="AS298" s="586">
        <f t="shared" si="674"/>
        <v>0</v>
      </c>
      <c r="AT298" s="170"/>
      <c r="AU298" s="170"/>
      <c r="AV298" s="170"/>
      <c r="AW298" s="828"/>
      <c r="AX298" s="726"/>
    </row>
    <row r="299" spans="1:50" ht="15" x14ac:dyDescent="0.25">
      <c r="A299" s="170"/>
      <c r="B299" s="719"/>
      <c r="C299" s="170" t="str">
        <f t="shared" si="669"/>
        <v>35lf</v>
      </c>
      <c r="D299" s="170"/>
      <c r="E299" s="170"/>
      <c r="F299" s="170">
        <f>+Parameters!D38</f>
        <v>35</v>
      </c>
      <c r="G299" s="170" t="str">
        <f>+Parameters!E38</f>
        <v>Cable - OPGW / Shield ( incl terms)</v>
      </c>
      <c r="H299" s="586">
        <f t="shared" si="675"/>
        <v>0</v>
      </c>
      <c r="I299" s="170" t="str">
        <f>+Parameters!F38</f>
        <v>lf</v>
      </c>
      <c r="J299" s="170"/>
      <c r="K299" s="170"/>
      <c r="L299" s="170"/>
      <c r="M299" s="730"/>
      <c r="N299" s="730"/>
      <c r="O299" s="730"/>
      <c r="P299" s="731"/>
      <c r="Q299" s="731"/>
      <c r="R299" s="730"/>
      <c r="S299" s="730"/>
      <c r="T299" s="723"/>
      <c r="U299" s="724"/>
      <c r="V299" s="725"/>
      <c r="W299" s="725"/>
      <c r="X299" s="723"/>
      <c r="Y299" s="723"/>
      <c r="Z299" s="723"/>
      <c r="AA299" s="726"/>
      <c r="AB299" s="726"/>
      <c r="AC299" s="170"/>
      <c r="AD299" s="586">
        <f t="shared" si="674"/>
        <v>0</v>
      </c>
      <c r="AE299" s="586">
        <f t="shared" si="674"/>
        <v>0</v>
      </c>
      <c r="AF299" s="586">
        <f t="shared" si="674"/>
        <v>0</v>
      </c>
      <c r="AG299" s="586">
        <f t="shared" si="674"/>
        <v>0</v>
      </c>
      <c r="AH299" s="586">
        <f t="shared" si="674"/>
        <v>0</v>
      </c>
      <c r="AI299" s="586">
        <f t="shared" si="674"/>
        <v>0</v>
      </c>
      <c r="AJ299" s="586">
        <f t="shared" si="674"/>
        <v>0</v>
      </c>
      <c r="AK299" s="586">
        <f t="shared" si="674"/>
        <v>0</v>
      </c>
      <c r="AL299" s="586">
        <f t="shared" si="674"/>
        <v>0</v>
      </c>
      <c r="AM299" s="586">
        <f t="shared" si="674"/>
        <v>0</v>
      </c>
      <c r="AN299" s="586">
        <f t="shared" si="674"/>
        <v>0</v>
      </c>
      <c r="AO299" s="586">
        <f t="shared" si="674"/>
        <v>0</v>
      </c>
      <c r="AP299" s="586">
        <f t="shared" si="674"/>
        <v>0</v>
      </c>
      <c r="AQ299" s="586">
        <f t="shared" si="674"/>
        <v>0</v>
      </c>
      <c r="AR299" s="586">
        <f t="shared" si="674"/>
        <v>0</v>
      </c>
      <c r="AS299" s="586">
        <f t="shared" si="674"/>
        <v>0</v>
      </c>
      <c r="AT299" s="170"/>
      <c r="AU299" s="170"/>
      <c r="AV299" s="170"/>
      <c r="AW299" s="828"/>
      <c r="AX299" s="726"/>
    </row>
    <row r="300" spans="1:50" ht="15" x14ac:dyDescent="0.25">
      <c r="A300" s="170"/>
      <c r="B300" s="719"/>
      <c r="C300" s="170" t="str">
        <f t="shared" si="669"/>
        <v>36lf</v>
      </c>
      <c r="D300" s="170"/>
      <c r="E300" s="170"/>
      <c r="F300" s="170">
        <f>+Parameters!D39</f>
        <v>36</v>
      </c>
      <c r="G300" s="170" t="str">
        <f>+Parameters!E39</f>
        <v>Cable - Control ( incl terms)</v>
      </c>
      <c r="H300" s="586">
        <f t="shared" si="675"/>
        <v>0</v>
      </c>
      <c r="I300" s="170" t="str">
        <f>+Parameters!F39</f>
        <v>lf</v>
      </c>
      <c r="J300" s="170"/>
      <c r="K300" s="170"/>
      <c r="L300" s="170"/>
      <c r="M300" s="730"/>
      <c r="N300" s="730"/>
      <c r="O300" s="730"/>
      <c r="P300" s="731"/>
      <c r="Q300" s="731"/>
      <c r="R300" s="730"/>
      <c r="S300" s="730"/>
      <c r="T300" s="723"/>
      <c r="U300" s="724"/>
      <c r="V300" s="725"/>
      <c r="W300" s="725"/>
      <c r="X300" s="723"/>
      <c r="Y300" s="723"/>
      <c r="Z300" s="723"/>
      <c r="AA300" s="726"/>
      <c r="AB300" s="726"/>
      <c r="AC300" s="170"/>
      <c r="AD300" s="586">
        <f t="shared" si="674"/>
        <v>0</v>
      </c>
      <c r="AE300" s="586">
        <f t="shared" si="674"/>
        <v>0</v>
      </c>
      <c r="AF300" s="586">
        <f t="shared" si="674"/>
        <v>0</v>
      </c>
      <c r="AG300" s="586">
        <f t="shared" si="674"/>
        <v>0</v>
      </c>
      <c r="AH300" s="586">
        <f t="shared" si="674"/>
        <v>0</v>
      </c>
      <c r="AI300" s="586">
        <f t="shared" si="674"/>
        <v>0</v>
      </c>
      <c r="AJ300" s="586">
        <f t="shared" si="674"/>
        <v>0</v>
      </c>
      <c r="AK300" s="586">
        <f t="shared" si="674"/>
        <v>0</v>
      </c>
      <c r="AL300" s="586">
        <f t="shared" si="674"/>
        <v>0</v>
      </c>
      <c r="AM300" s="586">
        <f t="shared" si="674"/>
        <v>0</v>
      </c>
      <c r="AN300" s="586">
        <f t="shared" si="674"/>
        <v>0</v>
      </c>
      <c r="AO300" s="586">
        <f t="shared" si="674"/>
        <v>0</v>
      </c>
      <c r="AP300" s="586">
        <f t="shared" si="674"/>
        <v>0</v>
      </c>
      <c r="AQ300" s="586">
        <f t="shared" si="674"/>
        <v>0</v>
      </c>
      <c r="AR300" s="586">
        <f t="shared" si="674"/>
        <v>0</v>
      </c>
      <c r="AS300" s="586">
        <f t="shared" si="674"/>
        <v>0</v>
      </c>
      <c r="AT300" s="170"/>
      <c r="AU300" s="170"/>
      <c r="AV300" s="170"/>
      <c r="AW300" s="828"/>
      <c r="AX300" s="726"/>
    </row>
    <row r="301" spans="1:50" ht="15" x14ac:dyDescent="0.25">
      <c r="A301" s="170"/>
      <c r="B301" s="719"/>
      <c r="C301" s="170" t="str">
        <f t="shared" si="669"/>
        <v>37lf</v>
      </c>
      <c r="D301" s="170"/>
      <c r="E301" s="170"/>
      <c r="F301" s="170">
        <f>+Parameters!D40</f>
        <v>37</v>
      </c>
      <c r="G301" s="170" t="str">
        <f>+Parameters!E40</f>
        <v>Cable - Communication / Oher ( incl terms)</v>
      </c>
      <c r="H301" s="586">
        <f t="shared" si="675"/>
        <v>0</v>
      </c>
      <c r="I301" s="170" t="str">
        <f>+Parameters!F40</f>
        <v>lf</v>
      </c>
      <c r="J301" s="170"/>
      <c r="K301" s="170"/>
      <c r="L301" s="170"/>
      <c r="M301" s="730"/>
      <c r="N301" s="730"/>
      <c r="O301" s="730"/>
      <c r="P301" s="731"/>
      <c r="Q301" s="731"/>
      <c r="R301" s="730"/>
      <c r="S301" s="730"/>
      <c r="T301" s="723"/>
      <c r="U301" s="724"/>
      <c r="V301" s="725"/>
      <c r="W301" s="725"/>
      <c r="X301" s="723"/>
      <c r="Y301" s="723"/>
      <c r="Z301" s="723"/>
      <c r="AA301" s="726"/>
      <c r="AB301" s="726"/>
      <c r="AC301" s="170"/>
      <c r="AD301" s="586">
        <f t="shared" si="674"/>
        <v>0</v>
      </c>
      <c r="AE301" s="586">
        <f t="shared" si="674"/>
        <v>0</v>
      </c>
      <c r="AF301" s="586">
        <f t="shared" si="674"/>
        <v>0</v>
      </c>
      <c r="AG301" s="586">
        <f t="shared" si="674"/>
        <v>0</v>
      </c>
      <c r="AH301" s="586">
        <f t="shared" si="674"/>
        <v>0</v>
      </c>
      <c r="AI301" s="586">
        <f t="shared" si="674"/>
        <v>0</v>
      </c>
      <c r="AJ301" s="586">
        <f t="shared" si="674"/>
        <v>0</v>
      </c>
      <c r="AK301" s="586">
        <f t="shared" si="674"/>
        <v>0</v>
      </c>
      <c r="AL301" s="586">
        <f t="shared" si="674"/>
        <v>0</v>
      </c>
      <c r="AM301" s="586">
        <f t="shared" si="674"/>
        <v>0</v>
      </c>
      <c r="AN301" s="586">
        <f t="shared" si="674"/>
        <v>0</v>
      </c>
      <c r="AO301" s="586">
        <f t="shared" si="674"/>
        <v>0</v>
      </c>
      <c r="AP301" s="586">
        <f t="shared" si="674"/>
        <v>0</v>
      </c>
      <c r="AQ301" s="586">
        <f t="shared" si="674"/>
        <v>0</v>
      </c>
      <c r="AR301" s="586">
        <f t="shared" si="674"/>
        <v>0</v>
      </c>
      <c r="AS301" s="586">
        <f t="shared" si="674"/>
        <v>0</v>
      </c>
      <c r="AT301" s="170"/>
      <c r="AU301" s="170"/>
      <c r="AV301" s="170"/>
      <c r="AW301" s="828"/>
      <c r="AX301" s="726"/>
    </row>
    <row r="302" spans="1:50" ht="15" x14ac:dyDescent="0.25">
      <c r="A302" s="170"/>
      <c r="B302" s="719"/>
      <c r="C302" s="170" t="str">
        <f t="shared" si="669"/>
        <v>38lf</v>
      </c>
      <c r="D302" s="170"/>
      <c r="E302" s="170"/>
      <c r="F302" s="170">
        <f>+Parameters!D41</f>
        <v>38</v>
      </c>
      <c r="G302" s="170" t="str">
        <f>+Parameters!E41</f>
        <v>Cable - Power ( incl terms)</v>
      </c>
      <c r="H302" s="586">
        <f t="shared" si="675"/>
        <v>0</v>
      </c>
      <c r="I302" s="170" t="str">
        <f>+Parameters!F41</f>
        <v>lf</v>
      </c>
      <c r="J302" s="170"/>
      <c r="K302" s="170"/>
      <c r="L302" s="170"/>
      <c r="M302" s="730"/>
      <c r="N302" s="730"/>
      <c r="O302" s="730"/>
      <c r="P302" s="731"/>
      <c r="Q302" s="731"/>
      <c r="R302" s="730"/>
      <c r="S302" s="730"/>
      <c r="T302" s="723"/>
      <c r="U302" s="724"/>
      <c r="V302" s="725"/>
      <c r="W302" s="725"/>
      <c r="X302" s="723"/>
      <c r="Y302" s="723"/>
      <c r="Z302" s="723"/>
      <c r="AA302" s="726"/>
      <c r="AB302" s="726"/>
      <c r="AC302" s="170"/>
      <c r="AD302" s="586">
        <f t="shared" si="674"/>
        <v>0</v>
      </c>
      <c r="AE302" s="586">
        <f t="shared" si="674"/>
        <v>0</v>
      </c>
      <c r="AF302" s="586">
        <f t="shared" si="674"/>
        <v>0</v>
      </c>
      <c r="AG302" s="586">
        <f t="shared" si="674"/>
        <v>0</v>
      </c>
      <c r="AH302" s="586">
        <f t="shared" si="674"/>
        <v>0</v>
      </c>
      <c r="AI302" s="586">
        <f t="shared" si="674"/>
        <v>0</v>
      </c>
      <c r="AJ302" s="586">
        <f t="shared" si="674"/>
        <v>0</v>
      </c>
      <c r="AK302" s="586">
        <f t="shared" si="674"/>
        <v>0</v>
      </c>
      <c r="AL302" s="586">
        <f t="shared" si="674"/>
        <v>0</v>
      </c>
      <c r="AM302" s="586">
        <f t="shared" si="674"/>
        <v>0</v>
      </c>
      <c r="AN302" s="586">
        <f t="shared" si="674"/>
        <v>0</v>
      </c>
      <c r="AO302" s="586">
        <f t="shared" si="674"/>
        <v>0</v>
      </c>
      <c r="AP302" s="586">
        <f t="shared" si="674"/>
        <v>0</v>
      </c>
      <c r="AQ302" s="586">
        <f t="shared" si="674"/>
        <v>0</v>
      </c>
      <c r="AR302" s="586">
        <f t="shared" si="674"/>
        <v>0</v>
      </c>
      <c r="AS302" s="586">
        <f t="shared" si="674"/>
        <v>0</v>
      </c>
      <c r="AT302" s="170"/>
      <c r="AU302" s="170"/>
      <c r="AV302" s="170"/>
      <c r="AW302" s="828"/>
      <c r="AX302" s="726"/>
    </row>
    <row r="303" spans="1:50" ht="15" x14ac:dyDescent="0.25">
      <c r="A303" s="170"/>
      <c r="B303" s="719"/>
      <c r="C303" s="170" t="str">
        <f t="shared" si="669"/>
        <v>39lf</v>
      </c>
      <c r="D303" s="170"/>
      <c r="E303" s="170"/>
      <c r="F303" s="170">
        <f>+Parameters!D42</f>
        <v>39</v>
      </c>
      <c r="G303" s="170" t="str">
        <f>+Parameters!E42</f>
        <v>Cable - Other</v>
      </c>
      <c r="H303" s="586">
        <f t="shared" si="675"/>
        <v>0</v>
      </c>
      <c r="I303" s="170" t="str">
        <f>+Parameters!F42</f>
        <v>lf</v>
      </c>
      <c r="J303" s="170"/>
      <c r="K303" s="170"/>
      <c r="L303" s="170"/>
      <c r="M303" s="730"/>
      <c r="N303" s="730"/>
      <c r="O303" s="730"/>
      <c r="P303" s="731"/>
      <c r="Q303" s="731"/>
      <c r="R303" s="730"/>
      <c r="S303" s="730"/>
      <c r="T303" s="723"/>
      <c r="U303" s="724"/>
      <c r="V303" s="725"/>
      <c r="W303" s="725"/>
      <c r="X303" s="723"/>
      <c r="Y303" s="723"/>
      <c r="Z303" s="723"/>
      <c r="AA303" s="726"/>
      <c r="AB303" s="726"/>
      <c r="AC303" s="170"/>
      <c r="AD303" s="586">
        <f t="shared" si="674"/>
        <v>0</v>
      </c>
      <c r="AE303" s="586">
        <f t="shared" si="674"/>
        <v>0</v>
      </c>
      <c r="AF303" s="586">
        <f t="shared" si="674"/>
        <v>0</v>
      </c>
      <c r="AG303" s="586">
        <f t="shared" si="674"/>
        <v>0</v>
      </c>
      <c r="AH303" s="586">
        <f t="shared" si="674"/>
        <v>0</v>
      </c>
      <c r="AI303" s="586">
        <f t="shared" si="674"/>
        <v>0</v>
      </c>
      <c r="AJ303" s="586">
        <f t="shared" si="674"/>
        <v>0</v>
      </c>
      <c r="AK303" s="586">
        <f t="shared" si="674"/>
        <v>0</v>
      </c>
      <c r="AL303" s="586">
        <f t="shared" si="674"/>
        <v>0</v>
      </c>
      <c r="AM303" s="586">
        <f t="shared" si="674"/>
        <v>0</v>
      </c>
      <c r="AN303" s="586">
        <f t="shared" si="674"/>
        <v>0</v>
      </c>
      <c r="AO303" s="586">
        <f t="shared" si="674"/>
        <v>0</v>
      </c>
      <c r="AP303" s="586">
        <f t="shared" si="674"/>
        <v>0</v>
      </c>
      <c r="AQ303" s="586">
        <f t="shared" si="674"/>
        <v>0</v>
      </c>
      <c r="AR303" s="586">
        <f t="shared" si="674"/>
        <v>0</v>
      </c>
      <c r="AS303" s="586">
        <f t="shared" si="674"/>
        <v>0</v>
      </c>
      <c r="AT303" s="170"/>
      <c r="AU303" s="170"/>
      <c r="AV303" s="170"/>
      <c r="AW303" s="828"/>
      <c r="AX303" s="726"/>
    </row>
    <row r="304" spans="1:50" ht="15" x14ac:dyDescent="0.25">
      <c r="A304" s="170"/>
      <c r="B304" s="719"/>
      <c r="C304" s="170" t="str">
        <f t="shared" si="669"/>
        <v>400</v>
      </c>
      <c r="D304" s="170"/>
      <c r="E304" s="170"/>
      <c r="F304" s="170">
        <f>+Parameters!D43</f>
        <v>40</v>
      </c>
      <c r="G304" s="170" t="str">
        <f>+Parameters!E43</f>
        <v>Structures - buildings</v>
      </c>
      <c r="H304" s="586">
        <f t="shared" si="675"/>
        <v>0</v>
      </c>
      <c r="I304" s="170">
        <f>+Parameters!F43</f>
        <v>0</v>
      </c>
      <c r="J304" s="170"/>
      <c r="K304" s="170"/>
      <c r="L304" s="170"/>
      <c r="M304" s="730"/>
      <c r="N304" s="730"/>
      <c r="O304" s="730"/>
      <c r="P304" s="731"/>
      <c r="Q304" s="731"/>
      <c r="R304" s="730"/>
      <c r="S304" s="730"/>
      <c r="T304" s="723"/>
      <c r="U304" s="724"/>
      <c r="V304" s="725"/>
      <c r="W304" s="725"/>
      <c r="X304" s="723"/>
      <c r="Y304" s="723"/>
      <c r="Z304" s="723"/>
      <c r="AA304" s="726"/>
      <c r="AB304" s="726"/>
      <c r="AC304" s="170"/>
      <c r="AD304" s="586">
        <f t="shared" si="674"/>
        <v>0</v>
      </c>
      <c r="AE304" s="586">
        <f t="shared" si="674"/>
        <v>0</v>
      </c>
      <c r="AF304" s="586">
        <f t="shared" si="674"/>
        <v>0</v>
      </c>
      <c r="AG304" s="586">
        <f t="shared" si="674"/>
        <v>0</v>
      </c>
      <c r="AH304" s="586">
        <f t="shared" si="674"/>
        <v>0</v>
      </c>
      <c r="AI304" s="586">
        <f t="shared" si="674"/>
        <v>0</v>
      </c>
      <c r="AJ304" s="586">
        <f t="shared" si="674"/>
        <v>0</v>
      </c>
      <c r="AK304" s="586">
        <f t="shared" si="674"/>
        <v>0</v>
      </c>
      <c r="AL304" s="586">
        <f t="shared" si="674"/>
        <v>0</v>
      </c>
      <c r="AM304" s="586">
        <f t="shared" si="674"/>
        <v>0</v>
      </c>
      <c r="AN304" s="586">
        <f t="shared" si="674"/>
        <v>0</v>
      </c>
      <c r="AO304" s="586">
        <f t="shared" si="674"/>
        <v>0</v>
      </c>
      <c r="AP304" s="586">
        <f t="shared" si="674"/>
        <v>0</v>
      </c>
      <c r="AQ304" s="586">
        <f t="shared" si="674"/>
        <v>0</v>
      </c>
      <c r="AR304" s="586">
        <f t="shared" si="674"/>
        <v>0</v>
      </c>
      <c r="AS304" s="586">
        <f t="shared" si="674"/>
        <v>0</v>
      </c>
      <c r="AT304" s="170"/>
      <c r="AU304" s="170"/>
      <c r="AV304" s="170"/>
      <c r="AW304" s="828"/>
      <c r="AX304" s="726"/>
    </row>
    <row r="305" spans="1:50" ht="15" x14ac:dyDescent="0.25">
      <c r="A305" s="170"/>
      <c r="B305" s="719"/>
      <c r="C305" s="170" t="str">
        <f t="shared" si="669"/>
        <v>41ea</v>
      </c>
      <c r="D305" s="170"/>
      <c r="E305" s="170"/>
      <c r="F305" s="170">
        <f>+Parameters!D44</f>
        <v>41</v>
      </c>
      <c r="G305" s="170" t="str">
        <f>+Parameters!E44</f>
        <v>Structures - Poles - monopoles</v>
      </c>
      <c r="H305" s="586">
        <f t="shared" si="675"/>
        <v>0</v>
      </c>
      <c r="I305" s="170" t="str">
        <f>+Parameters!F44</f>
        <v>ea</v>
      </c>
      <c r="J305" s="170"/>
      <c r="K305" s="170"/>
      <c r="L305" s="170"/>
      <c r="M305" s="730"/>
      <c r="N305" s="730"/>
      <c r="O305" s="730"/>
      <c r="P305" s="731"/>
      <c r="Q305" s="731"/>
      <c r="R305" s="730"/>
      <c r="S305" s="730"/>
      <c r="T305" s="723"/>
      <c r="U305" s="724"/>
      <c r="V305" s="725"/>
      <c r="W305" s="725"/>
      <c r="X305" s="723"/>
      <c r="Y305" s="723"/>
      <c r="Z305" s="723"/>
      <c r="AA305" s="726"/>
      <c r="AB305" s="726"/>
      <c r="AC305" s="170"/>
      <c r="AD305" s="586">
        <f t="shared" ref="AD305:AS314" si="676">SUMIF($F$9:$F$262,$F305,AD$9:AD$262)</f>
        <v>0</v>
      </c>
      <c r="AE305" s="586">
        <f t="shared" si="676"/>
        <v>0</v>
      </c>
      <c r="AF305" s="586">
        <f t="shared" si="676"/>
        <v>0</v>
      </c>
      <c r="AG305" s="586">
        <f t="shared" si="676"/>
        <v>0</v>
      </c>
      <c r="AH305" s="586">
        <f t="shared" si="676"/>
        <v>0</v>
      </c>
      <c r="AI305" s="586">
        <f t="shared" si="676"/>
        <v>0</v>
      </c>
      <c r="AJ305" s="586">
        <f t="shared" si="676"/>
        <v>0</v>
      </c>
      <c r="AK305" s="586">
        <f t="shared" si="676"/>
        <v>0</v>
      </c>
      <c r="AL305" s="586">
        <f t="shared" si="676"/>
        <v>0</v>
      </c>
      <c r="AM305" s="586">
        <f t="shared" si="676"/>
        <v>0</v>
      </c>
      <c r="AN305" s="586">
        <f t="shared" si="676"/>
        <v>0</v>
      </c>
      <c r="AO305" s="586">
        <f t="shared" si="676"/>
        <v>0</v>
      </c>
      <c r="AP305" s="586">
        <f t="shared" si="676"/>
        <v>0</v>
      </c>
      <c r="AQ305" s="586">
        <f t="shared" si="676"/>
        <v>0</v>
      </c>
      <c r="AR305" s="586">
        <f t="shared" si="676"/>
        <v>0</v>
      </c>
      <c r="AS305" s="586">
        <f t="shared" si="676"/>
        <v>0</v>
      </c>
      <c r="AT305" s="170"/>
      <c r="AU305" s="170"/>
      <c r="AV305" s="170"/>
      <c r="AW305" s="828"/>
      <c r="AX305" s="726"/>
    </row>
    <row r="306" spans="1:50" ht="15" x14ac:dyDescent="0.25">
      <c r="A306" s="170"/>
      <c r="B306" s="719"/>
      <c r="C306" s="170" t="str">
        <f t="shared" si="669"/>
        <v>42ea</v>
      </c>
      <c r="D306" s="170"/>
      <c r="E306" s="170"/>
      <c r="F306" s="170">
        <f>+Parameters!D45</f>
        <v>42</v>
      </c>
      <c r="G306" s="170" t="str">
        <f>+Parameters!E45</f>
        <v>Structures - Poles - frame</v>
      </c>
      <c r="H306" s="586">
        <f t="shared" si="675"/>
        <v>0</v>
      </c>
      <c r="I306" s="170" t="str">
        <f>+Parameters!F45</f>
        <v>ea</v>
      </c>
      <c r="J306" s="170"/>
      <c r="K306" s="170"/>
      <c r="L306" s="170"/>
      <c r="M306" s="730"/>
      <c r="N306" s="730"/>
      <c r="O306" s="730"/>
      <c r="P306" s="731"/>
      <c r="Q306" s="731"/>
      <c r="R306" s="730"/>
      <c r="S306" s="730"/>
      <c r="T306" s="723"/>
      <c r="U306" s="724"/>
      <c r="V306" s="725"/>
      <c r="W306" s="725"/>
      <c r="X306" s="723"/>
      <c r="Y306" s="723"/>
      <c r="Z306" s="723"/>
      <c r="AA306" s="726"/>
      <c r="AB306" s="726"/>
      <c r="AC306" s="170"/>
      <c r="AD306" s="586">
        <f t="shared" si="676"/>
        <v>0</v>
      </c>
      <c r="AE306" s="586">
        <f t="shared" si="676"/>
        <v>0</v>
      </c>
      <c r="AF306" s="586">
        <f t="shared" si="676"/>
        <v>0</v>
      </c>
      <c r="AG306" s="586">
        <f t="shared" si="676"/>
        <v>0</v>
      </c>
      <c r="AH306" s="586">
        <f t="shared" si="676"/>
        <v>0</v>
      </c>
      <c r="AI306" s="586">
        <f t="shared" si="676"/>
        <v>0</v>
      </c>
      <c r="AJ306" s="586">
        <f t="shared" si="676"/>
        <v>0</v>
      </c>
      <c r="AK306" s="586">
        <f t="shared" si="676"/>
        <v>0</v>
      </c>
      <c r="AL306" s="586">
        <f t="shared" si="676"/>
        <v>0</v>
      </c>
      <c r="AM306" s="586">
        <f t="shared" si="676"/>
        <v>0</v>
      </c>
      <c r="AN306" s="586">
        <f t="shared" si="676"/>
        <v>0</v>
      </c>
      <c r="AO306" s="586">
        <f t="shared" si="676"/>
        <v>0</v>
      </c>
      <c r="AP306" s="586">
        <f t="shared" si="676"/>
        <v>0</v>
      </c>
      <c r="AQ306" s="586">
        <f t="shared" si="676"/>
        <v>0</v>
      </c>
      <c r="AR306" s="586">
        <f t="shared" si="676"/>
        <v>0</v>
      </c>
      <c r="AS306" s="586">
        <f t="shared" si="676"/>
        <v>0</v>
      </c>
      <c r="AT306" s="170"/>
      <c r="AU306" s="170"/>
      <c r="AV306" s="170"/>
      <c r="AW306" s="828"/>
      <c r="AX306" s="726"/>
    </row>
    <row r="307" spans="1:50" ht="15" x14ac:dyDescent="0.25">
      <c r="A307" s="170"/>
      <c r="B307" s="719"/>
      <c r="C307" s="170" t="str">
        <f t="shared" si="669"/>
        <v>43ea</v>
      </c>
      <c r="D307" s="170"/>
      <c r="E307" s="170"/>
      <c r="F307" s="170">
        <f>+Parameters!D46</f>
        <v>43</v>
      </c>
      <c r="G307" s="170" t="str">
        <f>+Parameters!E46</f>
        <v>Structures - Poles - Guys</v>
      </c>
      <c r="H307" s="586">
        <f t="shared" si="675"/>
        <v>0</v>
      </c>
      <c r="I307" s="170" t="str">
        <f>+Parameters!F46</f>
        <v>ea</v>
      </c>
      <c r="J307" s="170"/>
      <c r="K307" s="170"/>
      <c r="L307" s="170"/>
      <c r="M307" s="730"/>
      <c r="N307" s="730"/>
      <c r="O307" s="730"/>
      <c r="P307" s="731"/>
      <c r="Q307" s="731"/>
      <c r="R307" s="730"/>
      <c r="S307" s="730"/>
      <c r="T307" s="723"/>
      <c r="U307" s="724"/>
      <c r="V307" s="725"/>
      <c r="W307" s="725"/>
      <c r="X307" s="723"/>
      <c r="Y307" s="723"/>
      <c r="Z307" s="723"/>
      <c r="AA307" s="726"/>
      <c r="AB307" s="726"/>
      <c r="AC307" s="170"/>
      <c r="AD307" s="586">
        <f t="shared" si="676"/>
        <v>0</v>
      </c>
      <c r="AE307" s="586">
        <f t="shared" si="676"/>
        <v>0</v>
      </c>
      <c r="AF307" s="586">
        <f t="shared" si="676"/>
        <v>0</v>
      </c>
      <c r="AG307" s="586">
        <f t="shared" si="676"/>
        <v>0</v>
      </c>
      <c r="AH307" s="586">
        <f t="shared" si="676"/>
        <v>0</v>
      </c>
      <c r="AI307" s="586">
        <f t="shared" si="676"/>
        <v>0</v>
      </c>
      <c r="AJ307" s="586">
        <f t="shared" si="676"/>
        <v>0</v>
      </c>
      <c r="AK307" s="586">
        <f t="shared" si="676"/>
        <v>0</v>
      </c>
      <c r="AL307" s="586">
        <f t="shared" si="676"/>
        <v>0</v>
      </c>
      <c r="AM307" s="586">
        <f t="shared" si="676"/>
        <v>0</v>
      </c>
      <c r="AN307" s="586">
        <f t="shared" si="676"/>
        <v>0</v>
      </c>
      <c r="AO307" s="586">
        <f t="shared" si="676"/>
        <v>0</v>
      </c>
      <c r="AP307" s="586">
        <f t="shared" si="676"/>
        <v>0</v>
      </c>
      <c r="AQ307" s="586">
        <f t="shared" si="676"/>
        <v>0</v>
      </c>
      <c r="AR307" s="586">
        <f t="shared" si="676"/>
        <v>0</v>
      </c>
      <c r="AS307" s="586">
        <f t="shared" si="676"/>
        <v>0</v>
      </c>
      <c r="AT307" s="170"/>
      <c r="AU307" s="170"/>
      <c r="AV307" s="170"/>
      <c r="AW307" s="828"/>
      <c r="AX307" s="726"/>
    </row>
    <row r="308" spans="1:50" ht="15" x14ac:dyDescent="0.25">
      <c r="A308" s="170"/>
      <c r="B308" s="719"/>
      <c r="C308" s="170" t="str">
        <f t="shared" si="669"/>
        <v>440</v>
      </c>
      <c r="D308" s="170"/>
      <c r="E308" s="170"/>
      <c r="F308" s="170">
        <f>+Parameters!D47</f>
        <v>44</v>
      </c>
      <c r="G308" s="170">
        <f>+Parameters!E47</f>
        <v>0</v>
      </c>
      <c r="H308" s="586">
        <f t="shared" si="675"/>
        <v>0</v>
      </c>
      <c r="I308" s="170">
        <f>+Parameters!F47</f>
        <v>0</v>
      </c>
      <c r="J308" s="170"/>
      <c r="K308" s="170"/>
      <c r="L308" s="170"/>
      <c r="M308" s="730"/>
      <c r="N308" s="730"/>
      <c r="O308" s="730"/>
      <c r="P308" s="731"/>
      <c r="Q308" s="731"/>
      <c r="R308" s="730"/>
      <c r="S308" s="730"/>
      <c r="T308" s="723"/>
      <c r="U308" s="724"/>
      <c r="V308" s="725"/>
      <c r="W308" s="725"/>
      <c r="X308" s="723"/>
      <c r="Y308" s="723"/>
      <c r="Z308" s="723"/>
      <c r="AA308" s="726"/>
      <c r="AB308" s="726"/>
      <c r="AC308" s="170"/>
      <c r="AD308" s="586">
        <f t="shared" si="676"/>
        <v>0</v>
      </c>
      <c r="AE308" s="586">
        <f t="shared" si="676"/>
        <v>0</v>
      </c>
      <c r="AF308" s="586">
        <f t="shared" si="676"/>
        <v>0</v>
      </c>
      <c r="AG308" s="586">
        <f t="shared" si="676"/>
        <v>0</v>
      </c>
      <c r="AH308" s="586">
        <f t="shared" si="676"/>
        <v>0</v>
      </c>
      <c r="AI308" s="586">
        <f t="shared" si="676"/>
        <v>0</v>
      </c>
      <c r="AJ308" s="586">
        <f t="shared" si="676"/>
        <v>0</v>
      </c>
      <c r="AK308" s="586">
        <f t="shared" si="676"/>
        <v>0</v>
      </c>
      <c r="AL308" s="586">
        <f t="shared" si="676"/>
        <v>0</v>
      </c>
      <c r="AM308" s="586">
        <f t="shared" si="676"/>
        <v>0</v>
      </c>
      <c r="AN308" s="586">
        <f t="shared" si="676"/>
        <v>0</v>
      </c>
      <c r="AO308" s="586">
        <f t="shared" si="676"/>
        <v>0</v>
      </c>
      <c r="AP308" s="586">
        <f t="shared" si="676"/>
        <v>0</v>
      </c>
      <c r="AQ308" s="586">
        <f t="shared" si="676"/>
        <v>0</v>
      </c>
      <c r="AR308" s="586">
        <f t="shared" si="676"/>
        <v>0</v>
      </c>
      <c r="AS308" s="586">
        <f t="shared" si="676"/>
        <v>0</v>
      </c>
      <c r="AT308" s="170"/>
      <c r="AU308" s="170"/>
      <c r="AV308" s="170"/>
      <c r="AW308" s="828"/>
      <c r="AX308" s="726"/>
    </row>
    <row r="309" spans="1:50" ht="15" x14ac:dyDescent="0.25">
      <c r="A309" s="170"/>
      <c r="B309" s="719"/>
      <c r="C309" s="170" t="str">
        <f t="shared" si="669"/>
        <v>45tn</v>
      </c>
      <c r="D309" s="170"/>
      <c r="E309" s="170"/>
      <c r="F309" s="170">
        <f>+Parameters!D48</f>
        <v>45</v>
      </c>
      <c r="G309" s="170" t="str">
        <f>+Parameters!E48</f>
        <v>Structures - S.S.</v>
      </c>
      <c r="H309" s="586">
        <f t="shared" si="675"/>
        <v>0</v>
      </c>
      <c r="I309" s="170" t="str">
        <f>+Parameters!F48</f>
        <v>tn</v>
      </c>
      <c r="J309" s="170"/>
      <c r="K309" s="170"/>
      <c r="L309" s="170"/>
      <c r="M309" s="730"/>
      <c r="N309" s="730"/>
      <c r="O309" s="730"/>
      <c r="P309" s="731"/>
      <c r="Q309" s="731"/>
      <c r="R309" s="730"/>
      <c r="S309" s="730"/>
      <c r="T309" s="723"/>
      <c r="U309" s="724"/>
      <c r="V309" s="725"/>
      <c r="W309" s="725"/>
      <c r="X309" s="723"/>
      <c r="Y309" s="723"/>
      <c r="Z309" s="723"/>
      <c r="AA309" s="726"/>
      <c r="AB309" s="726"/>
      <c r="AC309" s="170"/>
      <c r="AD309" s="586">
        <f t="shared" si="676"/>
        <v>0</v>
      </c>
      <c r="AE309" s="586">
        <f t="shared" si="676"/>
        <v>0</v>
      </c>
      <c r="AF309" s="586">
        <f t="shared" si="676"/>
        <v>0</v>
      </c>
      <c r="AG309" s="586">
        <f t="shared" si="676"/>
        <v>0</v>
      </c>
      <c r="AH309" s="586">
        <f t="shared" si="676"/>
        <v>0</v>
      </c>
      <c r="AI309" s="586">
        <f t="shared" si="676"/>
        <v>0</v>
      </c>
      <c r="AJ309" s="586">
        <f t="shared" si="676"/>
        <v>0</v>
      </c>
      <c r="AK309" s="586">
        <f t="shared" si="676"/>
        <v>0</v>
      </c>
      <c r="AL309" s="586">
        <f t="shared" si="676"/>
        <v>0</v>
      </c>
      <c r="AM309" s="586">
        <f t="shared" si="676"/>
        <v>0</v>
      </c>
      <c r="AN309" s="586">
        <f t="shared" si="676"/>
        <v>0</v>
      </c>
      <c r="AO309" s="586">
        <f t="shared" si="676"/>
        <v>0</v>
      </c>
      <c r="AP309" s="586">
        <f t="shared" si="676"/>
        <v>0</v>
      </c>
      <c r="AQ309" s="586">
        <f t="shared" si="676"/>
        <v>0</v>
      </c>
      <c r="AR309" s="586">
        <f t="shared" si="676"/>
        <v>0</v>
      </c>
      <c r="AS309" s="586">
        <f t="shared" si="676"/>
        <v>0</v>
      </c>
      <c r="AT309" s="170"/>
      <c r="AU309" s="170"/>
      <c r="AV309" s="170"/>
      <c r="AW309" s="828"/>
      <c r="AX309" s="726"/>
    </row>
    <row r="310" spans="1:50" ht="15" x14ac:dyDescent="0.25">
      <c r="A310" s="170"/>
      <c r="B310" s="719"/>
      <c r="C310" s="170" t="str">
        <f t="shared" si="669"/>
        <v>46tn</v>
      </c>
      <c r="D310" s="170"/>
      <c r="E310" s="170"/>
      <c r="F310" s="170">
        <f>+Parameters!D49</f>
        <v>46</v>
      </c>
      <c r="G310" s="170" t="str">
        <f>+Parameters!E49</f>
        <v>Structures - Platforms</v>
      </c>
      <c r="H310" s="586">
        <f t="shared" si="675"/>
        <v>0</v>
      </c>
      <c r="I310" s="170" t="str">
        <f>+Parameters!F49</f>
        <v>tn</v>
      </c>
      <c r="J310" s="170"/>
      <c r="K310" s="170"/>
      <c r="L310" s="170"/>
      <c r="M310" s="730"/>
      <c r="N310" s="730"/>
      <c r="O310" s="730"/>
      <c r="P310" s="731"/>
      <c r="Q310" s="731"/>
      <c r="R310" s="730"/>
      <c r="S310" s="730"/>
      <c r="T310" s="723"/>
      <c r="U310" s="724"/>
      <c r="V310" s="725"/>
      <c r="W310" s="725"/>
      <c r="X310" s="723"/>
      <c r="Y310" s="723"/>
      <c r="Z310" s="723"/>
      <c r="AA310" s="726"/>
      <c r="AB310" s="726"/>
      <c r="AC310" s="170"/>
      <c r="AD310" s="586">
        <f t="shared" si="676"/>
        <v>0</v>
      </c>
      <c r="AE310" s="586">
        <f t="shared" si="676"/>
        <v>0</v>
      </c>
      <c r="AF310" s="586">
        <f t="shared" si="676"/>
        <v>0</v>
      </c>
      <c r="AG310" s="586">
        <f t="shared" si="676"/>
        <v>0</v>
      </c>
      <c r="AH310" s="586">
        <f t="shared" si="676"/>
        <v>0</v>
      </c>
      <c r="AI310" s="586">
        <f t="shared" si="676"/>
        <v>0</v>
      </c>
      <c r="AJ310" s="586">
        <f t="shared" si="676"/>
        <v>0</v>
      </c>
      <c r="AK310" s="586">
        <f t="shared" si="676"/>
        <v>0</v>
      </c>
      <c r="AL310" s="586">
        <f t="shared" si="676"/>
        <v>0</v>
      </c>
      <c r="AM310" s="586">
        <f t="shared" si="676"/>
        <v>0</v>
      </c>
      <c r="AN310" s="586">
        <f t="shared" si="676"/>
        <v>0</v>
      </c>
      <c r="AO310" s="586">
        <f t="shared" si="676"/>
        <v>0</v>
      </c>
      <c r="AP310" s="586">
        <f t="shared" si="676"/>
        <v>0</v>
      </c>
      <c r="AQ310" s="586">
        <f t="shared" si="676"/>
        <v>0</v>
      </c>
      <c r="AR310" s="586">
        <f t="shared" si="676"/>
        <v>0</v>
      </c>
      <c r="AS310" s="586">
        <f t="shared" si="676"/>
        <v>0</v>
      </c>
      <c r="AT310" s="170"/>
      <c r="AU310" s="170"/>
      <c r="AV310" s="170"/>
      <c r="AW310" s="828"/>
      <c r="AX310" s="726"/>
    </row>
    <row r="311" spans="1:50" ht="15" x14ac:dyDescent="0.25">
      <c r="A311" s="170"/>
      <c r="B311" s="719"/>
      <c r="C311" s="170" t="str">
        <f t="shared" si="669"/>
        <v>470</v>
      </c>
      <c r="D311" s="170"/>
      <c r="E311" s="170"/>
      <c r="F311" s="170">
        <f>+Parameters!D50</f>
        <v>47</v>
      </c>
      <c r="G311" s="170">
        <f>+Parameters!E50</f>
        <v>0</v>
      </c>
      <c r="H311" s="586">
        <f t="shared" si="675"/>
        <v>0</v>
      </c>
      <c r="I311" s="170">
        <f>+Parameters!F50</f>
        <v>0</v>
      </c>
      <c r="J311" s="170"/>
      <c r="K311" s="170"/>
      <c r="L311" s="170"/>
      <c r="M311" s="730"/>
      <c r="N311" s="730"/>
      <c r="O311" s="730"/>
      <c r="P311" s="731"/>
      <c r="Q311" s="731"/>
      <c r="R311" s="730"/>
      <c r="S311" s="730"/>
      <c r="T311" s="723"/>
      <c r="U311" s="724"/>
      <c r="V311" s="725"/>
      <c r="W311" s="725"/>
      <c r="X311" s="723"/>
      <c r="Y311" s="723"/>
      <c r="Z311" s="723"/>
      <c r="AA311" s="726"/>
      <c r="AB311" s="726"/>
      <c r="AC311" s="170"/>
      <c r="AD311" s="586">
        <f t="shared" si="676"/>
        <v>0</v>
      </c>
      <c r="AE311" s="586">
        <f t="shared" si="676"/>
        <v>0</v>
      </c>
      <c r="AF311" s="586">
        <f t="shared" si="676"/>
        <v>0</v>
      </c>
      <c r="AG311" s="586">
        <f t="shared" si="676"/>
        <v>0</v>
      </c>
      <c r="AH311" s="586">
        <f t="shared" si="676"/>
        <v>0</v>
      </c>
      <c r="AI311" s="586">
        <f t="shared" si="676"/>
        <v>0</v>
      </c>
      <c r="AJ311" s="586">
        <f t="shared" si="676"/>
        <v>0</v>
      </c>
      <c r="AK311" s="586">
        <f t="shared" si="676"/>
        <v>0</v>
      </c>
      <c r="AL311" s="586">
        <f t="shared" si="676"/>
        <v>0</v>
      </c>
      <c r="AM311" s="586">
        <f t="shared" si="676"/>
        <v>0</v>
      </c>
      <c r="AN311" s="586">
        <f t="shared" si="676"/>
        <v>0</v>
      </c>
      <c r="AO311" s="586">
        <f t="shared" si="676"/>
        <v>0</v>
      </c>
      <c r="AP311" s="586">
        <f t="shared" si="676"/>
        <v>0</v>
      </c>
      <c r="AQ311" s="586">
        <f t="shared" si="676"/>
        <v>0</v>
      </c>
      <c r="AR311" s="586">
        <f t="shared" si="676"/>
        <v>0</v>
      </c>
      <c r="AS311" s="586">
        <f t="shared" si="676"/>
        <v>0</v>
      </c>
      <c r="AT311" s="170"/>
      <c r="AU311" s="170"/>
      <c r="AV311" s="170"/>
      <c r="AW311" s="828"/>
      <c r="AX311" s="726"/>
    </row>
    <row r="312" spans="1:50" ht="15" x14ac:dyDescent="0.25">
      <c r="A312" s="170"/>
      <c r="B312" s="719"/>
      <c r="C312" s="170" t="str">
        <f t="shared" si="669"/>
        <v>480</v>
      </c>
      <c r="D312" s="170"/>
      <c r="E312" s="170"/>
      <c r="F312" s="170">
        <f>+Parameters!D51</f>
        <v>48</v>
      </c>
      <c r="G312" s="170">
        <f>+Parameters!E51</f>
        <v>0</v>
      </c>
      <c r="H312" s="586">
        <f t="shared" si="675"/>
        <v>0</v>
      </c>
      <c r="I312" s="170">
        <f>+Parameters!F51</f>
        <v>0</v>
      </c>
      <c r="J312" s="170"/>
      <c r="K312" s="170"/>
      <c r="L312" s="170"/>
      <c r="M312" s="730"/>
      <c r="N312" s="730"/>
      <c r="O312" s="730"/>
      <c r="P312" s="731"/>
      <c r="Q312" s="731"/>
      <c r="R312" s="730"/>
      <c r="S312" s="730"/>
      <c r="T312" s="723"/>
      <c r="U312" s="724"/>
      <c r="V312" s="725"/>
      <c r="W312" s="725"/>
      <c r="X312" s="723"/>
      <c r="Y312" s="723"/>
      <c r="Z312" s="723"/>
      <c r="AA312" s="726"/>
      <c r="AB312" s="726"/>
      <c r="AC312" s="170"/>
      <c r="AD312" s="586">
        <f t="shared" si="676"/>
        <v>0</v>
      </c>
      <c r="AE312" s="586">
        <f t="shared" si="676"/>
        <v>0</v>
      </c>
      <c r="AF312" s="586">
        <f t="shared" si="676"/>
        <v>0</v>
      </c>
      <c r="AG312" s="586">
        <f t="shared" si="676"/>
        <v>0</v>
      </c>
      <c r="AH312" s="586">
        <f t="shared" si="676"/>
        <v>0</v>
      </c>
      <c r="AI312" s="586">
        <f t="shared" si="676"/>
        <v>0</v>
      </c>
      <c r="AJ312" s="586">
        <f t="shared" si="676"/>
        <v>0</v>
      </c>
      <c r="AK312" s="586">
        <f t="shared" si="676"/>
        <v>0</v>
      </c>
      <c r="AL312" s="586">
        <f t="shared" si="676"/>
        <v>0</v>
      </c>
      <c r="AM312" s="586">
        <f t="shared" si="676"/>
        <v>0</v>
      </c>
      <c r="AN312" s="586">
        <f t="shared" si="676"/>
        <v>0</v>
      </c>
      <c r="AO312" s="586">
        <f t="shared" si="676"/>
        <v>0</v>
      </c>
      <c r="AP312" s="586">
        <f t="shared" si="676"/>
        <v>0</v>
      </c>
      <c r="AQ312" s="586">
        <f t="shared" si="676"/>
        <v>0</v>
      </c>
      <c r="AR312" s="586">
        <f t="shared" si="676"/>
        <v>0</v>
      </c>
      <c r="AS312" s="586">
        <f t="shared" si="676"/>
        <v>0</v>
      </c>
      <c r="AT312" s="170"/>
      <c r="AU312" s="170"/>
      <c r="AV312" s="170"/>
      <c r="AW312" s="828"/>
      <c r="AX312" s="726"/>
    </row>
    <row r="313" spans="1:50" ht="15" x14ac:dyDescent="0.25">
      <c r="A313" s="170"/>
      <c r="B313" s="719"/>
      <c r="C313" s="170" t="str">
        <f t="shared" si="669"/>
        <v>49tn</v>
      </c>
      <c r="D313" s="170"/>
      <c r="E313" s="170"/>
      <c r="F313" s="170">
        <f>+Parameters!D52</f>
        <v>49</v>
      </c>
      <c r="G313" s="170" t="str">
        <f>+Parameters!E52</f>
        <v>Structures - Others</v>
      </c>
      <c r="H313" s="586">
        <f t="shared" si="675"/>
        <v>0</v>
      </c>
      <c r="I313" s="170" t="str">
        <f>+Parameters!F52</f>
        <v>tn</v>
      </c>
      <c r="J313" s="170"/>
      <c r="K313" s="170"/>
      <c r="L313" s="170"/>
      <c r="M313" s="730"/>
      <c r="N313" s="730"/>
      <c r="O313" s="730"/>
      <c r="P313" s="731"/>
      <c r="Q313" s="731"/>
      <c r="R313" s="730"/>
      <c r="S313" s="730"/>
      <c r="T313" s="723"/>
      <c r="U313" s="724"/>
      <c r="V313" s="725"/>
      <c r="W313" s="725"/>
      <c r="X313" s="723"/>
      <c r="Y313" s="723"/>
      <c r="Z313" s="723"/>
      <c r="AA313" s="726"/>
      <c r="AB313" s="726"/>
      <c r="AC313" s="170"/>
      <c r="AD313" s="586">
        <f t="shared" si="676"/>
        <v>0</v>
      </c>
      <c r="AE313" s="586">
        <f t="shared" si="676"/>
        <v>0</v>
      </c>
      <c r="AF313" s="586">
        <f t="shared" si="676"/>
        <v>0</v>
      </c>
      <c r="AG313" s="586">
        <f t="shared" si="676"/>
        <v>0</v>
      </c>
      <c r="AH313" s="586">
        <f t="shared" si="676"/>
        <v>0</v>
      </c>
      <c r="AI313" s="586">
        <f t="shared" si="676"/>
        <v>0</v>
      </c>
      <c r="AJ313" s="586">
        <f t="shared" si="676"/>
        <v>0</v>
      </c>
      <c r="AK313" s="586">
        <f t="shared" si="676"/>
        <v>0</v>
      </c>
      <c r="AL313" s="586">
        <f t="shared" si="676"/>
        <v>0</v>
      </c>
      <c r="AM313" s="586">
        <f t="shared" si="676"/>
        <v>0</v>
      </c>
      <c r="AN313" s="586">
        <f t="shared" si="676"/>
        <v>0</v>
      </c>
      <c r="AO313" s="586">
        <f t="shared" si="676"/>
        <v>0</v>
      </c>
      <c r="AP313" s="586">
        <f t="shared" si="676"/>
        <v>0</v>
      </c>
      <c r="AQ313" s="586">
        <f t="shared" si="676"/>
        <v>0</v>
      </c>
      <c r="AR313" s="586">
        <f t="shared" si="676"/>
        <v>0</v>
      </c>
      <c r="AS313" s="586">
        <f t="shared" si="676"/>
        <v>0</v>
      </c>
      <c r="AT313" s="170"/>
      <c r="AU313" s="170"/>
      <c r="AV313" s="170"/>
      <c r="AW313" s="828"/>
      <c r="AX313" s="726"/>
    </row>
    <row r="314" spans="1:50" ht="15" x14ac:dyDescent="0.25">
      <c r="A314" s="170"/>
      <c r="B314" s="719"/>
      <c r="C314" s="170" t="str">
        <f t="shared" si="669"/>
        <v>50ea</v>
      </c>
      <c r="D314" s="170"/>
      <c r="E314" s="170"/>
      <c r="F314" s="170">
        <f>+Parameters!D53</f>
        <v>50</v>
      </c>
      <c r="G314" s="170" t="str">
        <f>+Parameters!E53</f>
        <v>Major Eqt - Circuit Breakers</v>
      </c>
      <c r="H314" s="586">
        <f t="shared" si="675"/>
        <v>0</v>
      </c>
      <c r="I314" s="170" t="str">
        <f>+Parameters!F53</f>
        <v>ea</v>
      </c>
      <c r="J314" s="170"/>
      <c r="K314" s="170"/>
      <c r="L314" s="170"/>
      <c r="M314" s="730"/>
      <c r="N314" s="730"/>
      <c r="O314" s="730"/>
      <c r="P314" s="731"/>
      <c r="Q314" s="731"/>
      <c r="R314" s="730"/>
      <c r="S314" s="730"/>
      <c r="T314" s="723"/>
      <c r="U314" s="724"/>
      <c r="V314" s="725"/>
      <c r="W314" s="725"/>
      <c r="X314" s="723"/>
      <c r="Y314" s="723"/>
      <c r="Z314" s="723"/>
      <c r="AA314" s="726"/>
      <c r="AB314" s="726"/>
      <c r="AC314" s="170"/>
      <c r="AD314" s="586">
        <f t="shared" si="676"/>
        <v>0</v>
      </c>
      <c r="AE314" s="586">
        <f t="shared" si="676"/>
        <v>0</v>
      </c>
      <c r="AF314" s="586">
        <f t="shared" si="676"/>
        <v>0</v>
      </c>
      <c r="AG314" s="586">
        <f t="shared" si="676"/>
        <v>0</v>
      </c>
      <c r="AH314" s="586">
        <f t="shared" si="676"/>
        <v>0</v>
      </c>
      <c r="AI314" s="586">
        <f t="shared" si="676"/>
        <v>0</v>
      </c>
      <c r="AJ314" s="586">
        <f t="shared" si="676"/>
        <v>0</v>
      </c>
      <c r="AK314" s="586">
        <f t="shared" si="676"/>
        <v>0</v>
      </c>
      <c r="AL314" s="586">
        <f t="shared" si="676"/>
        <v>0</v>
      </c>
      <c r="AM314" s="586">
        <f t="shared" si="676"/>
        <v>0</v>
      </c>
      <c r="AN314" s="586">
        <f t="shared" si="676"/>
        <v>0</v>
      </c>
      <c r="AO314" s="586">
        <f t="shared" si="676"/>
        <v>0</v>
      </c>
      <c r="AP314" s="586">
        <f t="shared" si="676"/>
        <v>0</v>
      </c>
      <c r="AQ314" s="586">
        <f t="shared" si="676"/>
        <v>0</v>
      </c>
      <c r="AR314" s="586">
        <f t="shared" si="676"/>
        <v>0</v>
      </c>
      <c r="AS314" s="586">
        <f t="shared" si="676"/>
        <v>0</v>
      </c>
      <c r="AT314" s="170"/>
      <c r="AU314" s="170"/>
      <c r="AV314" s="170"/>
      <c r="AW314" s="828"/>
      <c r="AX314" s="726"/>
    </row>
    <row r="315" spans="1:50" ht="15" x14ac:dyDescent="0.25">
      <c r="A315" s="170"/>
      <c r="B315" s="719"/>
      <c r="C315" s="170" t="str">
        <f t="shared" si="669"/>
        <v>51ea</v>
      </c>
      <c r="D315" s="170"/>
      <c r="E315" s="170"/>
      <c r="F315" s="170">
        <f>+Parameters!D54</f>
        <v>51</v>
      </c>
      <c r="G315" s="170" t="str">
        <f>+Parameters!E54</f>
        <v>Major Eqt - Transformers</v>
      </c>
      <c r="H315" s="586">
        <f t="shared" si="675"/>
        <v>0</v>
      </c>
      <c r="I315" s="170" t="str">
        <f>+Parameters!F54</f>
        <v>ea</v>
      </c>
      <c r="J315" s="170"/>
      <c r="K315" s="170"/>
      <c r="L315" s="170"/>
      <c r="M315" s="730"/>
      <c r="N315" s="730"/>
      <c r="O315" s="730"/>
      <c r="P315" s="731"/>
      <c r="Q315" s="731"/>
      <c r="R315" s="730"/>
      <c r="S315" s="730"/>
      <c r="T315" s="723"/>
      <c r="U315" s="724"/>
      <c r="V315" s="725"/>
      <c r="W315" s="725"/>
      <c r="X315" s="723"/>
      <c r="Y315" s="723"/>
      <c r="Z315" s="723"/>
      <c r="AA315" s="726"/>
      <c r="AB315" s="726"/>
      <c r="AC315" s="170"/>
      <c r="AD315" s="586">
        <f t="shared" ref="AD315:AS324" si="677">SUMIF($F$9:$F$262,$F315,AD$9:AD$262)</f>
        <v>0</v>
      </c>
      <c r="AE315" s="586">
        <f t="shared" si="677"/>
        <v>0</v>
      </c>
      <c r="AF315" s="586">
        <f t="shared" si="677"/>
        <v>0</v>
      </c>
      <c r="AG315" s="586">
        <f t="shared" si="677"/>
        <v>0</v>
      </c>
      <c r="AH315" s="586">
        <f t="shared" si="677"/>
        <v>0</v>
      </c>
      <c r="AI315" s="586">
        <f t="shared" si="677"/>
        <v>0</v>
      </c>
      <c r="AJ315" s="586">
        <f t="shared" si="677"/>
        <v>0</v>
      </c>
      <c r="AK315" s="586">
        <f t="shared" si="677"/>
        <v>0</v>
      </c>
      <c r="AL315" s="586">
        <f t="shared" si="677"/>
        <v>0</v>
      </c>
      <c r="AM315" s="586">
        <f t="shared" si="677"/>
        <v>0</v>
      </c>
      <c r="AN315" s="586">
        <f t="shared" si="677"/>
        <v>0</v>
      </c>
      <c r="AO315" s="586">
        <f t="shared" si="677"/>
        <v>0</v>
      </c>
      <c r="AP315" s="586">
        <f t="shared" si="677"/>
        <v>0</v>
      </c>
      <c r="AQ315" s="586">
        <f t="shared" si="677"/>
        <v>0</v>
      </c>
      <c r="AR315" s="586">
        <f t="shared" si="677"/>
        <v>0</v>
      </c>
      <c r="AS315" s="586">
        <f t="shared" si="677"/>
        <v>0</v>
      </c>
      <c r="AT315" s="170"/>
      <c r="AU315" s="170"/>
      <c r="AV315" s="170"/>
      <c r="AW315" s="828"/>
      <c r="AX315" s="726"/>
    </row>
    <row r="316" spans="1:50" ht="15" x14ac:dyDescent="0.25">
      <c r="A316" s="170"/>
      <c r="B316" s="719"/>
      <c r="C316" s="170" t="str">
        <f t="shared" si="669"/>
        <v>52ea</v>
      </c>
      <c r="D316" s="170"/>
      <c r="E316" s="170"/>
      <c r="F316" s="170">
        <f>+Parameters!D55</f>
        <v>52</v>
      </c>
      <c r="G316" s="170" t="str">
        <f>+Parameters!E55</f>
        <v>Major Eqt - Circuit Switchers</v>
      </c>
      <c r="H316" s="586">
        <f t="shared" si="675"/>
        <v>0</v>
      </c>
      <c r="I316" s="170" t="str">
        <f>+Parameters!F55</f>
        <v>ea</v>
      </c>
      <c r="J316" s="170"/>
      <c r="K316" s="170"/>
      <c r="L316" s="170"/>
      <c r="M316" s="730"/>
      <c r="N316" s="730"/>
      <c r="O316" s="730"/>
      <c r="P316" s="731"/>
      <c r="Q316" s="731"/>
      <c r="R316" s="730"/>
      <c r="S316" s="730"/>
      <c r="T316" s="723"/>
      <c r="U316" s="724"/>
      <c r="V316" s="725"/>
      <c r="W316" s="725"/>
      <c r="X316" s="723"/>
      <c r="Y316" s="723"/>
      <c r="Z316" s="723"/>
      <c r="AA316" s="726"/>
      <c r="AB316" s="726"/>
      <c r="AC316" s="170"/>
      <c r="AD316" s="586">
        <f t="shared" si="677"/>
        <v>0</v>
      </c>
      <c r="AE316" s="586">
        <f t="shared" si="677"/>
        <v>0</v>
      </c>
      <c r="AF316" s="586">
        <f t="shared" si="677"/>
        <v>0</v>
      </c>
      <c r="AG316" s="586">
        <f t="shared" si="677"/>
        <v>0</v>
      </c>
      <c r="AH316" s="586">
        <f t="shared" si="677"/>
        <v>0</v>
      </c>
      <c r="AI316" s="586">
        <f t="shared" si="677"/>
        <v>0</v>
      </c>
      <c r="AJ316" s="586">
        <f t="shared" si="677"/>
        <v>0</v>
      </c>
      <c r="AK316" s="586">
        <f t="shared" si="677"/>
        <v>0</v>
      </c>
      <c r="AL316" s="586">
        <f t="shared" si="677"/>
        <v>0</v>
      </c>
      <c r="AM316" s="586">
        <f t="shared" si="677"/>
        <v>0</v>
      </c>
      <c r="AN316" s="586">
        <f t="shared" si="677"/>
        <v>0</v>
      </c>
      <c r="AO316" s="586">
        <f t="shared" si="677"/>
        <v>0</v>
      </c>
      <c r="AP316" s="586">
        <f t="shared" si="677"/>
        <v>0</v>
      </c>
      <c r="AQ316" s="586">
        <f t="shared" si="677"/>
        <v>0</v>
      </c>
      <c r="AR316" s="586">
        <f t="shared" si="677"/>
        <v>0</v>
      </c>
      <c r="AS316" s="586">
        <f t="shared" si="677"/>
        <v>0</v>
      </c>
      <c r="AT316" s="170"/>
      <c r="AU316" s="170"/>
      <c r="AV316" s="170"/>
      <c r="AW316" s="828"/>
      <c r="AX316" s="726"/>
    </row>
    <row r="317" spans="1:50" ht="15" x14ac:dyDescent="0.25">
      <c r="A317" s="170"/>
      <c r="B317" s="719"/>
      <c r="C317" s="170" t="str">
        <f t="shared" si="669"/>
        <v>53ea</v>
      </c>
      <c r="D317" s="170"/>
      <c r="E317" s="170"/>
      <c r="F317" s="170">
        <f>+Parameters!D56</f>
        <v>53</v>
      </c>
      <c r="G317" s="170" t="str">
        <f>+Parameters!E56</f>
        <v>Major Eqt - Disconect Switches</v>
      </c>
      <c r="H317" s="586">
        <f t="shared" si="675"/>
        <v>0</v>
      </c>
      <c r="I317" s="170" t="str">
        <f>+Parameters!F56</f>
        <v>ea</v>
      </c>
      <c r="J317" s="170"/>
      <c r="K317" s="170"/>
      <c r="L317" s="170"/>
      <c r="M317" s="730"/>
      <c r="N317" s="730"/>
      <c r="O317" s="730"/>
      <c r="P317" s="731"/>
      <c r="Q317" s="731"/>
      <c r="R317" s="730"/>
      <c r="S317" s="730"/>
      <c r="T317" s="723"/>
      <c r="U317" s="724"/>
      <c r="V317" s="725"/>
      <c r="W317" s="725"/>
      <c r="X317" s="723"/>
      <c r="Y317" s="723"/>
      <c r="Z317" s="723"/>
      <c r="AA317" s="726"/>
      <c r="AB317" s="726"/>
      <c r="AC317" s="170"/>
      <c r="AD317" s="586">
        <f t="shared" si="677"/>
        <v>0</v>
      </c>
      <c r="AE317" s="586">
        <f t="shared" si="677"/>
        <v>0</v>
      </c>
      <c r="AF317" s="586">
        <f t="shared" si="677"/>
        <v>0</v>
      </c>
      <c r="AG317" s="586">
        <f t="shared" si="677"/>
        <v>0</v>
      </c>
      <c r="AH317" s="586">
        <f t="shared" si="677"/>
        <v>0</v>
      </c>
      <c r="AI317" s="586">
        <f t="shared" si="677"/>
        <v>0</v>
      </c>
      <c r="AJ317" s="586">
        <f t="shared" si="677"/>
        <v>0</v>
      </c>
      <c r="AK317" s="586">
        <f t="shared" si="677"/>
        <v>0</v>
      </c>
      <c r="AL317" s="586">
        <f t="shared" si="677"/>
        <v>0</v>
      </c>
      <c r="AM317" s="586">
        <f t="shared" si="677"/>
        <v>0</v>
      </c>
      <c r="AN317" s="586">
        <f t="shared" si="677"/>
        <v>0</v>
      </c>
      <c r="AO317" s="586">
        <f t="shared" si="677"/>
        <v>0</v>
      </c>
      <c r="AP317" s="586">
        <f t="shared" si="677"/>
        <v>0</v>
      </c>
      <c r="AQ317" s="586">
        <f t="shared" si="677"/>
        <v>0</v>
      </c>
      <c r="AR317" s="586">
        <f t="shared" si="677"/>
        <v>0</v>
      </c>
      <c r="AS317" s="586">
        <f t="shared" si="677"/>
        <v>0</v>
      </c>
      <c r="AT317" s="170"/>
      <c r="AU317" s="170"/>
      <c r="AV317" s="170"/>
      <c r="AW317" s="828"/>
      <c r="AX317" s="726"/>
    </row>
    <row r="318" spans="1:50" ht="15" x14ac:dyDescent="0.25">
      <c r="A318" s="170"/>
      <c r="B318" s="719"/>
      <c r="C318" s="170" t="str">
        <f t="shared" si="669"/>
        <v>54ea</v>
      </c>
      <c r="D318" s="170"/>
      <c r="E318" s="170"/>
      <c r="F318" s="170">
        <f>+Parameters!D57</f>
        <v>54</v>
      </c>
      <c r="G318" s="170" t="str">
        <f>+Parameters!E57</f>
        <v>Major Eqt - Cap Banks</v>
      </c>
      <c r="H318" s="586">
        <f t="shared" si="675"/>
        <v>0</v>
      </c>
      <c r="I318" s="170" t="str">
        <f>+Parameters!F57</f>
        <v>ea</v>
      </c>
      <c r="J318" s="170"/>
      <c r="K318" s="170"/>
      <c r="L318" s="170"/>
      <c r="M318" s="730"/>
      <c r="N318" s="730"/>
      <c r="O318" s="730"/>
      <c r="P318" s="731"/>
      <c r="Q318" s="731"/>
      <c r="R318" s="730"/>
      <c r="S318" s="730"/>
      <c r="T318" s="723"/>
      <c r="U318" s="724"/>
      <c r="V318" s="725"/>
      <c r="W318" s="725"/>
      <c r="X318" s="723"/>
      <c r="Y318" s="723"/>
      <c r="Z318" s="723"/>
      <c r="AA318" s="726"/>
      <c r="AB318" s="726"/>
      <c r="AC318" s="170"/>
      <c r="AD318" s="586">
        <f t="shared" si="677"/>
        <v>0</v>
      </c>
      <c r="AE318" s="586">
        <f t="shared" si="677"/>
        <v>0</v>
      </c>
      <c r="AF318" s="586">
        <f t="shared" si="677"/>
        <v>0</v>
      </c>
      <c r="AG318" s="586">
        <f t="shared" si="677"/>
        <v>0</v>
      </c>
      <c r="AH318" s="586">
        <f t="shared" si="677"/>
        <v>0</v>
      </c>
      <c r="AI318" s="586">
        <f t="shared" si="677"/>
        <v>0</v>
      </c>
      <c r="AJ318" s="586">
        <f t="shared" si="677"/>
        <v>0</v>
      </c>
      <c r="AK318" s="586">
        <f t="shared" si="677"/>
        <v>0</v>
      </c>
      <c r="AL318" s="586">
        <f t="shared" si="677"/>
        <v>0</v>
      </c>
      <c r="AM318" s="586">
        <f t="shared" si="677"/>
        <v>0</v>
      </c>
      <c r="AN318" s="586">
        <f t="shared" si="677"/>
        <v>0</v>
      </c>
      <c r="AO318" s="586">
        <f t="shared" si="677"/>
        <v>0</v>
      </c>
      <c r="AP318" s="586">
        <f t="shared" si="677"/>
        <v>0</v>
      </c>
      <c r="AQ318" s="586">
        <f t="shared" si="677"/>
        <v>0</v>
      </c>
      <c r="AR318" s="586">
        <f t="shared" si="677"/>
        <v>0</v>
      </c>
      <c r="AS318" s="586">
        <f t="shared" si="677"/>
        <v>0</v>
      </c>
      <c r="AT318" s="170"/>
      <c r="AU318" s="170"/>
      <c r="AV318" s="170"/>
      <c r="AW318" s="828"/>
      <c r="AX318" s="726"/>
    </row>
    <row r="319" spans="1:50" ht="15" x14ac:dyDescent="0.25">
      <c r="A319" s="170"/>
      <c r="B319" s="719"/>
      <c r="C319" s="170" t="str">
        <f t="shared" si="669"/>
        <v>55ea</v>
      </c>
      <c r="D319" s="170"/>
      <c r="E319" s="170"/>
      <c r="F319" s="170">
        <f>+Parameters!D58</f>
        <v>55</v>
      </c>
      <c r="G319" s="170" t="str">
        <f>+Parameters!E58</f>
        <v>Major Eqt - Reactors</v>
      </c>
      <c r="H319" s="586">
        <f t="shared" si="675"/>
        <v>0</v>
      </c>
      <c r="I319" s="170" t="str">
        <f>+Parameters!F58</f>
        <v>ea</v>
      </c>
      <c r="J319" s="170"/>
      <c r="K319" s="170"/>
      <c r="L319" s="170"/>
      <c r="M319" s="730"/>
      <c r="N319" s="730"/>
      <c r="O319" s="730"/>
      <c r="P319" s="731"/>
      <c r="Q319" s="731"/>
      <c r="R319" s="730"/>
      <c r="S319" s="730"/>
      <c r="T319" s="723"/>
      <c r="U319" s="724"/>
      <c r="V319" s="725"/>
      <c r="W319" s="725"/>
      <c r="X319" s="723"/>
      <c r="Y319" s="723"/>
      <c r="Z319" s="723"/>
      <c r="AA319" s="726"/>
      <c r="AB319" s="726"/>
      <c r="AC319" s="170"/>
      <c r="AD319" s="586">
        <f t="shared" si="677"/>
        <v>0</v>
      </c>
      <c r="AE319" s="586">
        <f t="shared" si="677"/>
        <v>0</v>
      </c>
      <c r="AF319" s="586">
        <f t="shared" si="677"/>
        <v>0</v>
      </c>
      <c r="AG319" s="586">
        <f t="shared" si="677"/>
        <v>0</v>
      </c>
      <c r="AH319" s="586">
        <f t="shared" si="677"/>
        <v>0</v>
      </c>
      <c r="AI319" s="586">
        <f t="shared" si="677"/>
        <v>0</v>
      </c>
      <c r="AJ319" s="586">
        <f t="shared" si="677"/>
        <v>0</v>
      </c>
      <c r="AK319" s="586">
        <f t="shared" si="677"/>
        <v>0</v>
      </c>
      <c r="AL319" s="586">
        <f t="shared" si="677"/>
        <v>0</v>
      </c>
      <c r="AM319" s="586">
        <f t="shared" si="677"/>
        <v>0</v>
      </c>
      <c r="AN319" s="586">
        <f t="shared" si="677"/>
        <v>0</v>
      </c>
      <c r="AO319" s="586">
        <f t="shared" si="677"/>
        <v>0</v>
      </c>
      <c r="AP319" s="586">
        <f t="shared" si="677"/>
        <v>0</v>
      </c>
      <c r="AQ319" s="586">
        <f t="shared" si="677"/>
        <v>0</v>
      </c>
      <c r="AR319" s="586">
        <f t="shared" si="677"/>
        <v>0</v>
      </c>
      <c r="AS319" s="586">
        <f t="shared" si="677"/>
        <v>0</v>
      </c>
      <c r="AT319" s="170"/>
      <c r="AU319" s="170"/>
      <c r="AV319" s="170"/>
      <c r="AW319" s="828"/>
      <c r="AX319" s="726"/>
    </row>
    <row r="320" spans="1:50" ht="15" x14ac:dyDescent="0.25">
      <c r="A320" s="170"/>
      <c r="B320" s="719"/>
      <c r="C320" s="170" t="str">
        <f t="shared" si="669"/>
        <v>56ea</v>
      </c>
      <c r="D320" s="170"/>
      <c r="E320" s="170"/>
      <c r="F320" s="170">
        <f>+Parameters!D59</f>
        <v>56</v>
      </c>
      <c r="G320" s="170" t="str">
        <f>+Parameters!E59</f>
        <v>Major Eqt - GIS</v>
      </c>
      <c r="H320" s="586">
        <f t="shared" si="675"/>
        <v>0</v>
      </c>
      <c r="I320" s="170" t="str">
        <f>+Parameters!F59</f>
        <v>ea</v>
      </c>
      <c r="J320" s="170"/>
      <c r="K320" s="170"/>
      <c r="L320" s="170"/>
      <c r="M320" s="730"/>
      <c r="N320" s="730"/>
      <c r="O320" s="730"/>
      <c r="P320" s="731"/>
      <c r="Q320" s="731"/>
      <c r="R320" s="730"/>
      <c r="S320" s="730"/>
      <c r="T320" s="723"/>
      <c r="U320" s="724"/>
      <c r="V320" s="725"/>
      <c r="W320" s="725"/>
      <c r="X320" s="723"/>
      <c r="Y320" s="723"/>
      <c r="Z320" s="723"/>
      <c r="AA320" s="726"/>
      <c r="AB320" s="726"/>
      <c r="AC320" s="170"/>
      <c r="AD320" s="586">
        <f t="shared" si="677"/>
        <v>0</v>
      </c>
      <c r="AE320" s="586">
        <f t="shared" si="677"/>
        <v>0</v>
      </c>
      <c r="AF320" s="586">
        <f t="shared" si="677"/>
        <v>0</v>
      </c>
      <c r="AG320" s="586">
        <f t="shared" si="677"/>
        <v>0</v>
      </c>
      <c r="AH320" s="586">
        <f t="shared" si="677"/>
        <v>0</v>
      </c>
      <c r="AI320" s="586">
        <f t="shared" si="677"/>
        <v>0</v>
      </c>
      <c r="AJ320" s="586">
        <f t="shared" si="677"/>
        <v>0</v>
      </c>
      <c r="AK320" s="586">
        <f t="shared" si="677"/>
        <v>0</v>
      </c>
      <c r="AL320" s="586">
        <f t="shared" si="677"/>
        <v>0</v>
      </c>
      <c r="AM320" s="586">
        <f t="shared" si="677"/>
        <v>0</v>
      </c>
      <c r="AN320" s="586">
        <f t="shared" si="677"/>
        <v>0</v>
      </c>
      <c r="AO320" s="586">
        <f t="shared" si="677"/>
        <v>0</v>
      </c>
      <c r="AP320" s="586">
        <f t="shared" si="677"/>
        <v>0</v>
      </c>
      <c r="AQ320" s="586">
        <f t="shared" si="677"/>
        <v>0</v>
      </c>
      <c r="AR320" s="586">
        <f t="shared" si="677"/>
        <v>0</v>
      </c>
      <c r="AS320" s="586">
        <f t="shared" si="677"/>
        <v>0</v>
      </c>
      <c r="AT320" s="170"/>
      <c r="AU320" s="170"/>
      <c r="AV320" s="170"/>
      <c r="AW320" s="828"/>
      <c r="AX320" s="726"/>
    </row>
    <row r="321" spans="1:50" ht="15" x14ac:dyDescent="0.25">
      <c r="A321" s="170"/>
      <c r="B321" s="719"/>
      <c r="C321" s="170" t="str">
        <f t="shared" si="669"/>
        <v>57ea</v>
      </c>
      <c r="D321" s="170"/>
      <c r="E321" s="170"/>
      <c r="F321" s="170">
        <f>+Parameters!D60</f>
        <v>57</v>
      </c>
      <c r="G321" s="170" t="str">
        <f>+Parameters!E60</f>
        <v>Major Eqt - Switchgear</v>
      </c>
      <c r="H321" s="586">
        <f t="shared" si="675"/>
        <v>0</v>
      </c>
      <c r="I321" s="170" t="str">
        <f>+Parameters!F60</f>
        <v>ea</v>
      </c>
      <c r="J321" s="170"/>
      <c r="K321" s="170"/>
      <c r="L321" s="170"/>
      <c r="M321" s="730"/>
      <c r="N321" s="730"/>
      <c r="O321" s="730"/>
      <c r="P321" s="731"/>
      <c r="Q321" s="731"/>
      <c r="R321" s="730"/>
      <c r="S321" s="730"/>
      <c r="T321" s="723"/>
      <c r="U321" s="724"/>
      <c r="V321" s="725"/>
      <c r="W321" s="725"/>
      <c r="X321" s="723"/>
      <c r="Y321" s="723"/>
      <c r="Z321" s="723"/>
      <c r="AA321" s="726"/>
      <c r="AB321" s="726"/>
      <c r="AC321" s="170"/>
      <c r="AD321" s="586">
        <f t="shared" si="677"/>
        <v>0</v>
      </c>
      <c r="AE321" s="586">
        <f t="shared" si="677"/>
        <v>0</v>
      </c>
      <c r="AF321" s="586">
        <f t="shared" si="677"/>
        <v>0</v>
      </c>
      <c r="AG321" s="586">
        <f t="shared" si="677"/>
        <v>0</v>
      </c>
      <c r="AH321" s="586">
        <f t="shared" si="677"/>
        <v>0</v>
      </c>
      <c r="AI321" s="586">
        <f t="shared" si="677"/>
        <v>0</v>
      </c>
      <c r="AJ321" s="586">
        <f t="shared" si="677"/>
        <v>0</v>
      </c>
      <c r="AK321" s="586">
        <f t="shared" si="677"/>
        <v>0</v>
      </c>
      <c r="AL321" s="586">
        <f t="shared" si="677"/>
        <v>0</v>
      </c>
      <c r="AM321" s="586">
        <f t="shared" si="677"/>
        <v>0</v>
      </c>
      <c r="AN321" s="586">
        <f t="shared" si="677"/>
        <v>0</v>
      </c>
      <c r="AO321" s="586">
        <f t="shared" si="677"/>
        <v>0</v>
      </c>
      <c r="AP321" s="586">
        <f t="shared" si="677"/>
        <v>0</v>
      </c>
      <c r="AQ321" s="586">
        <f t="shared" si="677"/>
        <v>0</v>
      </c>
      <c r="AR321" s="586">
        <f t="shared" si="677"/>
        <v>0</v>
      </c>
      <c r="AS321" s="586">
        <f t="shared" si="677"/>
        <v>0</v>
      </c>
      <c r="AT321" s="170"/>
      <c r="AU321" s="170"/>
      <c r="AV321" s="170"/>
      <c r="AW321" s="828"/>
      <c r="AX321" s="726"/>
    </row>
    <row r="322" spans="1:50" ht="15" x14ac:dyDescent="0.25">
      <c r="A322" s="170"/>
      <c r="B322" s="719"/>
      <c r="C322" s="170" t="str">
        <f t="shared" si="669"/>
        <v>580</v>
      </c>
      <c r="D322" s="170"/>
      <c r="E322" s="170"/>
      <c r="F322" s="170">
        <f>+Parameters!D61</f>
        <v>58</v>
      </c>
      <c r="G322" s="170">
        <f>+Parameters!E61</f>
        <v>0</v>
      </c>
      <c r="H322" s="586">
        <f t="shared" si="675"/>
        <v>0</v>
      </c>
      <c r="I322" s="170">
        <f>+Parameters!F61</f>
        <v>0</v>
      </c>
      <c r="J322" s="170"/>
      <c r="K322" s="170"/>
      <c r="L322" s="170"/>
      <c r="M322" s="730"/>
      <c r="N322" s="730"/>
      <c r="O322" s="730"/>
      <c r="P322" s="731"/>
      <c r="Q322" s="731"/>
      <c r="R322" s="730"/>
      <c r="S322" s="730"/>
      <c r="T322" s="723"/>
      <c r="U322" s="724"/>
      <c r="V322" s="725"/>
      <c r="W322" s="725"/>
      <c r="X322" s="723"/>
      <c r="Y322" s="723"/>
      <c r="Z322" s="723"/>
      <c r="AA322" s="726"/>
      <c r="AB322" s="726"/>
      <c r="AC322" s="170"/>
      <c r="AD322" s="586">
        <f t="shared" si="677"/>
        <v>0</v>
      </c>
      <c r="AE322" s="586">
        <f t="shared" si="677"/>
        <v>0</v>
      </c>
      <c r="AF322" s="586">
        <f t="shared" si="677"/>
        <v>0</v>
      </c>
      <c r="AG322" s="586">
        <f t="shared" si="677"/>
        <v>0</v>
      </c>
      <c r="AH322" s="586">
        <f t="shared" si="677"/>
        <v>0</v>
      </c>
      <c r="AI322" s="586">
        <f t="shared" si="677"/>
        <v>0</v>
      </c>
      <c r="AJ322" s="586">
        <f t="shared" si="677"/>
        <v>0</v>
      </c>
      <c r="AK322" s="586">
        <f t="shared" si="677"/>
        <v>0</v>
      </c>
      <c r="AL322" s="586">
        <f t="shared" si="677"/>
        <v>0</v>
      </c>
      <c r="AM322" s="586">
        <f t="shared" si="677"/>
        <v>0</v>
      </c>
      <c r="AN322" s="586">
        <f t="shared" si="677"/>
        <v>0</v>
      </c>
      <c r="AO322" s="586">
        <f t="shared" si="677"/>
        <v>0</v>
      </c>
      <c r="AP322" s="586">
        <f t="shared" si="677"/>
        <v>0</v>
      </c>
      <c r="AQ322" s="586">
        <f t="shared" si="677"/>
        <v>0</v>
      </c>
      <c r="AR322" s="586">
        <f t="shared" si="677"/>
        <v>0</v>
      </c>
      <c r="AS322" s="586">
        <f t="shared" si="677"/>
        <v>0</v>
      </c>
      <c r="AT322" s="170"/>
      <c r="AU322" s="170"/>
      <c r="AV322" s="170"/>
      <c r="AW322" s="828"/>
      <c r="AX322" s="726"/>
    </row>
    <row r="323" spans="1:50" ht="15" x14ac:dyDescent="0.25">
      <c r="A323" s="170"/>
      <c r="B323" s="719"/>
      <c r="C323" s="170" t="str">
        <f t="shared" si="669"/>
        <v>59ea</v>
      </c>
      <c r="D323" s="170"/>
      <c r="E323" s="170"/>
      <c r="F323" s="170">
        <f>+Parameters!D62</f>
        <v>59</v>
      </c>
      <c r="G323" s="170" t="str">
        <f>+Parameters!E62</f>
        <v>Major Eqt - Other</v>
      </c>
      <c r="H323" s="586">
        <f t="shared" si="675"/>
        <v>0</v>
      </c>
      <c r="I323" s="170" t="str">
        <f>+Parameters!F62</f>
        <v>ea</v>
      </c>
      <c r="J323" s="170"/>
      <c r="K323" s="170"/>
      <c r="L323" s="170"/>
      <c r="M323" s="730"/>
      <c r="N323" s="730"/>
      <c r="O323" s="730"/>
      <c r="P323" s="731"/>
      <c r="Q323" s="731"/>
      <c r="R323" s="730"/>
      <c r="S323" s="730"/>
      <c r="T323" s="723"/>
      <c r="U323" s="724"/>
      <c r="V323" s="725"/>
      <c r="W323" s="725"/>
      <c r="X323" s="723"/>
      <c r="Y323" s="723"/>
      <c r="Z323" s="723"/>
      <c r="AA323" s="726"/>
      <c r="AB323" s="726"/>
      <c r="AC323" s="170"/>
      <c r="AD323" s="586">
        <f t="shared" si="677"/>
        <v>0</v>
      </c>
      <c r="AE323" s="586">
        <f t="shared" si="677"/>
        <v>0</v>
      </c>
      <c r="AF323" s="586">
        <f t="shared" si="677"/>
        <v>0</v>
      </c>
      <c r="AG323" s="586">
        <f t="shared" si="677"/>
        <v>0</v>
      </c>
      <c r="AH323" s="586">
        <f t="shared" si="677"/>
        <v>0</v>
      </c>
      <c r="AI323" s="586">
        <f t="shared" si="677"/>
        <v>0</v>
      </c>
      <c r="AJ323" s="586">
        <f t="shared" si="677"/>
        <v>0</v>
      </c>
      <c r="AK323" s="586">
        <f t="shared" si="677"/>
        <v>0</v>
      </c>
      <c r="AL323" s="586">
        <f t="shared" si="677"/>
        <v>0</v>
      </c>
      <c r="AM323" s="586">
        <f t="shared" si="677"/>
        <v>0</v>
      </c>
      <c r="AN323" s="586">
        <f t="shared" si="677"/>
        <v>0</v>
      </c>
      <c r="AO323" s="586">
        <f t="shared" si="677"/>
        <v>0</v>
      </c>
      <c r="AP323" s="586">
        <f t="shared" si="677"/>
        <v>0</v>
      </c>
      <c r="AQ323" s="586">
        <f t="shared" si="677"/>
        <v>0</v>
      </c>
      <c r="AR323" s="586">
        <f t="shared" si="677"/>
        <v>0</v>
      </c>
      <c r="AS323" s="586">
        <f t="shared" si="677"/>
        <v>0</v>
      </c>
      <c r="AT323" s="170"/>
      <c r="AU323" s="170"/>
      <c r="AV323" s="170"/>
      <c r="AW323" s="828"/>
      <c r="AX323" s="726"/>
    </row>
    <row r="324" spans="1:50" ht="15" x14ac:dyDescent="0.25">
      <c r="A324" s="170"/>
      <c r="B324" s="719"/>
      <c r="C324" s="170" t="str">
        <f t="shared" si="669"/>
        <v>600</v>
      </c>
      <c r="D324" s="170"/>
      <c r="E324" s="170"/>
      <c r="F324" s="170">
        <f>+Parameters!D63</f>
        <v>60</v>
      </c>
      <c r="G324" s="170">
        <f>+Parameters!E63</f>
        <v>0</v>
      </c>
      <c r="H324" s="586">
        <f t="shared" si="675"/>
        <v>0</v>
      </c>
      <c r="I324" s="170">
        <f>+Parameters!F63</f>
        <v>0</v>
      </c>
      <c r="J324" s="170"/>
      <c r="K324" s="170"/>
      <c r="L324" s="170"/>
      <c r="M324" s="730"/>
      <c r="N324" s="730"/>
      <c r="O324" s="730"/>
      <c r="P324" s="731"/>
      <c r="Q324" s="731"/>
      <c r="R324" s="730"/>
      <c r="S324" s="730"/>
      <c r="T324" s="723"/>
      <c r="U324" s="724"/>
      <c r="V324" s="725"/>
      <c r="W324" s="725"/>
      <c r="X324" s="723"/>
      <c r="Y324" s="723"/>
      <c r="Z324" s="723"/>
      <c r="AA324" s="726"/>
      <c r="AB324" s="726"/>
      <c r="AC324" s="170"/>
      <c r="AD324" s="586">
        <f t="shared" si="677"/>
        <v>0</v>
      </c>
      <c r="AE324" s="586">
        <f t="shared" si="677"/>
        <v>0</v>
      </c>
      <c r="AF324" s="586">
        <f t="shared" si="677"/>
        <v>0</v>
      </c>
      <c r="AG324" s="586">
        <f t="shared" si="677"/>
        <v>0</v>
      </c>
      <c r="AH324" s="586">
        <f t="shared" si="677"/>
        <v>0</v>
      </c>
      <c r="AI324" s="586">
        <f t="shared" si="677"/>
        <v>0</v>
      </c>
      <c r="AJ324" s="586">
        <f t="shared" si="677"/>
        <v>0</v>
      </c>
      <c r="AK324" s="586">
        <f t="shared" si="677"/>
        <v>0</v>
      </c>
      <c r="AL324" s="586">
        <f t="shared" si="677"/>
        <v>0</v>
      </c>
      <c r="AM324" s="586">
        <f t="shared" si="677"/>
        <v>0</v>
      </c>
      <c r="AN324" s="586">
        <f t="shared" si="677"/>
        <v>0</v>
      </c>
      <c r="AO324" s="586">
        <f t="shared" si="677"/>
        <v>0</v>
      </c>
      <c r="AP324" s="586">
        <f t="shared" si="677"/>
        <v>0</v>
      </c>
      <c r="AQ324" s="586">
        <f t="shared" si="677"/>
        <v>0</v>
      </c>
      <c r="AR324" s="586">
        <f t="shared" si="677"/>
        <v>0</v>
      </c>
      <c r="AS324" s="586">
        <f t="shared" si="677"/>
        <v>0</v>
      </c>
      <c r="AT324" s="170"/>
      <c r="AU324" s="170"/>
      <c r="AV324" s="170"/>
      <c r="AW324" s="828"/>
      <c r="AX324" s="726"/>
    </row>
    <row r="325" spans="1:50" ht="15" x14ac:dyDescent="0.25">
      <c r="A325" s="170"/>
      <c r="B325" s="719"/>
      <c r="C325" s="170" t="str">
        <f t="shared" si="669"/>
        <v>610</v>
      </c>
      <c r="D325" s="170"/>
      <c r="E325" s="170"/>
      <c r="F325" s="170">
        <f>+Parameters!D64</f>
        <v>61</v>
      </c>
      <c r="G325" s="170">
        <f>+Parameters!E64</f>
        <v>0</v>
      </c>
      <c r="H325" s="586">
        <f t="shared" si="675"/>
        <v>0</v>
      </c>
      <c r="I325" s="170">
        <f>+Parameters!F64</f>
        <v>0</v>
      </c>
      <c r="J325" s="170"/>
      <c r="K325" s="170"/>
      <c r="L325" s="170"/>
      <c r="M325" s="730"/>
      <c r="N325" s="730"/>
      <c r="O325" s="730"/>
      <c r="P325" s="731"/>
      <c r="Q325" s="731"/>
      <c r="R325" s="730"/>
      <c r="S325" s="730"/>
      <c r="T325" s="723"/>
      <c r="U325" s="724"/>
      <c r="V325" s="725"/>
      <c r="W325" s="725"/>
      <c r="X325" s="723"/>
      <c r="Y325" s="723"/>
      <c r="Z325" s="723"/>
      <c r="AA325" s="726"/>
      <c r="AB325" s="726"/>
      <c r="AC325" s="170"/>
      <c r="AD325" s="586">
        <f t="shared" ref="AD325:AS334" si="678">SUMIF($F$9:$F$262,$F325,AD$9:AD$262)</f>
        <v>0</v>
      </c>
      <c r="AE325" s="586">
        <f t="shared" si="678"/>
        <v>0</v>
      </c>
      <c r="AF325" s="586">
        <f t="shared" si="678"/>
        <v>0</v>
      </c>
      <c r="AG325" s="586">
        <f t="shared" si="678"/>
        <v>0</v>
      </c>
      <c r="AH325" s="586">
        <f t="shared" si="678"/>
        <v>0</v>
      </c>
      <c r="AI325" s="586">
        <f t="shared" si="678"/>
        <v>0</v>
      </c>
      <c r="AJ325" s="586">
        <f t="shared" si="678"/>
        <v>0</v>
      </c>
      <c r="AK325" s="586">
        <f t="shared" si="678"/>
        <v>0</v>
      </c>
      <c r="AL325" s="586">
        <f t="shared" si="678"/>
        <v>0</v>
      </c>
      <c r="AM325" s="586">
        <f t="shared" si="678"/>
        <v>0</v>
      </c>
      <c r="AN325" s="586">
        <f t="shared" si="678"/>
        <v>0</v>
      </c>
      <c r="AO325" s="586">
        <f t="shared" si="678"/>
        <v>0</v>
      </c>
      <c r="AP325" s="586">
        <f t="shared" si="678"/>
        <v>0</v>
      </c>
      <c r="AQ325" s="586">
        <f t="shared" si="678"/>
        <v>0</v>
      </c>
      <c r="AR325" s="586">
        <f t="shared" si="678"/>
        <v>0</v>
      </c>
      <c r="AS325" s="586">
        <f t="shared" si="678"/>
        <v>0</v>
      </c>
      <c r="AT325" s="170"/>
      <c r="AU325" s="170"/>
      <c r="AV325" s="170"/>
      <c r="AW325" s="828"/>
      <c r="AX325" s="726"/>
    </row>
    <row r="326" spans="1:50" ht="15" x14ac:dyDescent="0.25">
      <c r="A326" s="170"/>
      <c r="B326" s="719"/>
      <c r="C326" s="170" t="str">
        <f t="shared" si="669"/>
        <v>620</v>
      </c>
      <c r="D326" s="170"/>
      <c r="E326" s="170"/>
      <c r="F326" s="170">
        <f>+Parameters!D65</f>
        <v>62</v>
      </c>
      <c r="G326" s="170">
        <f>+Parameters!E65</f>
        <v>0</v>
      </c>
      <c r="H326" s="586">
        <f t="shared" si="675"/>
        <v>0</v>
      </c>
      <c r="I326" s="170">
        <f>+Parameters!F65</f>
        <v>0</v>
      </c>
      <c r="J326" s="170"/>
      <c r="K326" s="170"/>
      <c r="L326" s="170"/>
      <c r="M326" s="730"/>
      <c r="N326" s="730"/>
      <c r="O326" s="730"/>
      <c r="P326" s="731"/>
      <c r="Q326" s="731"/>
      <c r="R326" s="730"/>
      <c r="S326" s="730"/>
      <c r="T326" s="723"/>
      <c r="U326" s="724"/>
      <c r="V326" s="725"/>
      <c r="W326" s="725"/>
      <c r="X326" s="723"/>
      <c r="Y326" s="723"/>
      <c r="Z326" s="723"/>
      <c r="AA326" s="726"/>
      <c r="AB326" s="726"/>
      <c r="AC326" s="170"/>
      <c r="AD326" s="586">
        <f t="shared" si="678"/>
        <v>0</v>
      </c>
      <c r="AE326" s="586">
        <f t="shared" si="678"/>
        <v>0</v>
      </c>
      <c r="AF326" s="586">
        <f t="shared" si="678"/>
        <v>0</v>
      </c>
      <c r="AG326" s="586">
        <f t="shared" si="678"/>
        <v>0</v>
      </c>
      <c r="AH326" s="586">
        <f t="shared" si="678"/>
        <v>0</v>
      </c>
      <c r="AI326" s="586">
        <f t="shared" si="678"/>
        <v>0</v>
      </c>
      <c r="AJ326" s="586">
        <f t="shared" si="678"/>
        <v>0</v>
      </c>
      <c r="AK326" s="586">
        <f t="shared" si="678"/>
        <v>0</v>
      </c>
      <c r="AL326" s="586">
        <f t="shared" si="678"/>
        <v>0</v>
      </c>
      <c r="AM326" s="586">
        <f t="shared" si="678"/>
        <v>0</v>
      </c>
      <c r="AN326" s="586">
        <f t="shared" si="678"/>
        <v>0</v>
      </c>
      <c r="AO326" s="586">
        <f t="shared" si="678"/>
        <v>0</v>
      </c>
      <c r="AP326" s="586">
        <f t="shared" si="678"/>
        <v>0</v>
      </c>
      <c r="AQ326" s="586">
        <f t="shared" si="678"/>
        <v>0</v>
      </c>
      <c r="AR326" s="586">
        <f t="shared" si="678"/>
        <v>0</v>
      </c>
      <c r="AS326" s="586">
        <f t="shared" si="678"/>
        <v>0</v>
      </c>
      <c r="AT326" s="170"/>
      <c r="AU326" s="170"/>
      <c r="AV326" s="170"/>
      <c r="AW326" s="828"/>
      <c r="AX326" s="726"/>
    </row>
    <row r="327" spans="1:50" ht="15" x14ac:dyDescent="0.25">
      <c r="A327" s="170"/>
      <c r="B327" s="719"/>
      <c r="C327" s="170" t="str">
        <f t="shared" si="669"/>
        <v>63lf</v>
      </c>
      <c r="D327" s="170"/>
      <c r="E327" s="170"/>
      <c r="F327" s="170">
        <f>+Parameters!D66</f>
        <v>63</v>
      </c>
      <c r="G327" s="170" t="str">
        <f>+Parameters!E66</f>
        <v>Misc. Eqt - Bus</v>
      </c>
      <c r="H327" s="586">
        <f t="shared" si="675"/>
        <v>0</v>
      </c>
      <c r="I327" s="170" t="str">
        <f>+Parameters!F66</f>
        <v>lf</v>
      </c>
      <c r="J327" s="170"/>
      <c r="K327" s="170"/>
      <c r="L327" s="170"/>
      <c r="M327" s="730"/>
      <c r="N327" s="730"/>
      <c r="O327" s="730"/>
      <c r="P327" s="731"/>
      <c r="Q327" s="731"/>
      <c r="R327" s="730"/>
      <c r="S327" s="730"/>
      <c r="T327" s="723"/>
      <c r="U327" s="724"/>
      <c r="V327" s="725"/>
      <c r="W327" s="725"/>
      <c r="X327" s="723"/>
      <c r="Y327" s="723"/>
      <c r="Z327" s="723"/>
      <c r="AA327" s="726"/>
      <c r="AB327" s="726"/>
      <c r="AC327" s="170"/>
      <c r="AD327" s="586">
        <f t="shared" si="678"/>
        <v>0</v>
      </c>
      <c r="AE327" s="586">
        <f t="shared" si="678"/>
        <v>0</v>
      </c>
      <c r="AF327" s="586">
        <f t="shared" si="678"/>
        <v>0</v>
      </c>
      <c r="AG327" s="586">
        <f t="shared" si="678"/>
        <v>0</v>
      </c>
      <c r="AH327" s="586">
        <f t="shared" si="678"/>
        <v>0</v>
      </c>
      <c r="AI327" s="586">
        <f t="shared" si="678"/>
        <v>0</v>
      </c>
      <c r="AJ327" s="586">
        <f t="shared" si="678"/>
        <v>0</v>
      </c>
      <c r="AK327" s="586">
        <f t="shared" si="678"/>
        <v>0</v>
      </c>
      <c r="AL327" s="586">
        <f t="shared" si="678"/>
        <v>0</v>
      </c>
      <c r="AM327" s="586">
        <f t="shared" si="678"/>
        <v>0</v>
      </c>
      <c r="AN327" s="586">
        <f t="shared" si="678"/>
        <v>0</v>
      </c>
      <c r="AO327" s="586">
        <f t="shared" si="678"/>
        <v>0</v>
      </c>
      <c r="AP327" s="586">
        <f t="shared" si="678"/>
        <v>0</v>
      </c>
      <c r="AQ327" s="586">
        <f t="shared" si="678"/>
        <v>0</v>
      </c>
      <c r="AR327" s="586">
        <f t="shared" si="678"/>
        <v>0</v>
      </c>
      <c r="AS327" s="586">
        <f t="shared" si="678"/>
        <v>0</v>
      </c>
      <c r="AT327" s="170"/>
      <c r="AU327" s="170"/>
      <c r="AV327" s="170"/>
      <c r="AW327" s="828"/>
      <c r="AX327" s="726"/>
    </row>
    <row r="328" spans="1:50" ht="15" x14ac:dyDescent="0.25">
      <c r="A328" s="170"/>
      <c r="B328" s="719"/>
      <c r="C328" s="170" t="str">
        <f t="shared" si="669"/>
        <v>64lf</v>
      </c>
      <c r="D328" s="170"/>
      <c r="E328" s="170"/>
      <c r="F328" s="170">
        <f>+Parameters!D67</f>
        <v>64</v>
      </c>
      <c r="G328" s="170" t="str">
        <f>+Parameters!E67</f>
        <v>Misc. Eqt - Conduit / Tray</v>
      </c>
      <c r="H328" s="586">
        <f t="shared" si="675"/>
        <v>0</v>
      </c>
      <c r="I328" s="170" t="str">
        <f>+Parameters!F67</f>
        <v>lf</v>
      </c>
      <c r="J328" s="170"/>
      <c r="K328" s="170"/>
      <c r="L328" s="170"/>
      <c r="M328" s="730"/>
      <c r="N328" s="730"/>
      <c r="O328" s="730"/>
      <c r="P328" s="731"/>
      <c r="Q328" s="731"/>
      <c r="R328" s="730"/>
      <c r="S328" s="730"/>
      <c r="T328" s="723"/>
      <c r="U328" s="724"/>
      <c r="V328" s="725"/>
      <c r="W328" s="725"/>
      <c r="X328" s="723"/>
      <c r="Y328" s="723"/>
      <c r="Z328" s="723"/>
      <c r="AA328" s="726"/>
      <c r="AB328" s="726"/>
      <c r="AC328" s="170"/>
      <c r="AD328" s="586">
        <f t="shared" si="678"/>
        <v>0</v>
      </c>
      <c r="AE328" s="586">
        <f t="shared" si="678"/>
        <v>0</v>
      </c>
      <c r="AF328" s="586">
        <f t="shared" si="678"/>
        <v>0</v>
      </c>
      <c r="AG328" s="586">
        <f t="shared" si="678"/>
        <v>0</v>
      </c>
      <c r="AH328" s="586">
        <f t="shared" si="678"/>
        <v>0</v>
      </c>
      <c r="AI328" s="586">
        <f t="shared" si="678"/>
        <v>0</v>
      </c>
      <c r="AJ328" s="586">
        <f t="shared" si="678"/>
        <v>0</v>
      </c>
      <c r="AK328" s="586">
        <f t="shared" si="678"/>
        <v>0</v>
      </c>
      <c r="AL328" s="586">
        <f t="shared" si="678"/>
        <v>0</v>
      </c>
      <c r="AM328" s="586">
        <f t="shared" si="678"/>
        <v>0</v>
      </c>
      <c r="AN328" s="586">
        <f t="shared" si="678"/>
        <v>0</v>
      </c>
      <c r="AO328" s="586">
        <f t="shared" si="678"/>
        <v>0</v>
      </c>
      <c r="AP328" s="586">
        <f t="shared" si="678"/>
        <v>0</v>
      </c>
      <c r="AQ328" s="586">
        <f t="shared" si="678"/>
        <v>0</v>
      </c>
      <c r="AR328" s="586">
        <f t="shared" si="678"/>
        <v>0</v>
      </c>
      <c r="AS328" s="586">
        <f t="shared" si="678"/>
        <v>0</v>
      </c>
      <c r="AT328" s="170"/>
      <c r="AU328" s="170"/>
      <c r="AV328" s="170"/>
      <c r="AW328" s="828"/>
      <c r="AX328" s="726"/>
    </row>
    <row r="329" spans="1:50" ht="15" x14ac:dyDescent="0.25">
      <c r="A329" s="170"/>
      <c r="B329" s="719"/>
      <c r="C329" s="170" t="str">
        <f t="shared" ref="C329:C363" si="679">+F329&amp;I329</f>
        <v>65ea</v>
      </c>
      <c r="D329" s="170"/>
      <c r="E329" s="170"/>
      <c r="F329" s="170">
        <f>+Parameters!D68</f>
        <v>65</v>
      </c>
      <c r="G329" s="170" t="str">
        <f>+Parameters!E68</f>
        <v>Misc. Eqt - Insulators</v>
      </c>
      <c r="H329" s="586">
        <f t="shared" ref="H329:H363" si="680">SUMIF($C$9:$C$262,$C329,H$9:H$262)</f>
        <v>0</v>
      </c>
      <c r="I329" s="170" t="str">
        <f>+Parameters!F68</f>
        <v>ea</v>
      </c>
      <c r="J329" s="170"/>
      <c r="K329" s="170"/>
      <c r="L329" s="170"/>
      <c r="M329" s="730"/>
      <c r="N329" s="730"/>
      <c r="O329" s="730"/>
      <c r="P329" s="731"/>
      <c r="Q329" s="731"/>
      <c r="R329" s="730"/>
      <c r="S329" s="730"/>
      <c r="T329" s="723"/>
      <c r="U329" s="724"/>
      <c r="V329" s="725"/>
      <c r="W329" s="725"/>
      <c r="X329" s="723"/>
      <c r="Y329" s="723"/>
      <c r="Z329" s="723"/>
      <c r="AA329" s="726"/>
      <c r="AB329" s="726"/>
      <c r="AC329" s="170"/>
      <c r="AD329" s="586">
        <f t="shared" si="678"/>
        <v>0</v>
      </c>
      <c r="AE329" s="586">
        <f t="shared" si="678"/>
        <v>0</v>
      </c>
      <c r="AF329" s="586">
        <f t="shared" si="678"/>
        <v>0</v>
      </c>
      <c r="AG329" s="586">
        <f t="shared" si="678"/>
        <v>0</v>
      </c>
      <c r="AH329" s="586">
        <f t="shared" si="678"/>
        <v>0</v>
      </c>
      <c r="AI329" s="586">
        <f t="shared" si="678"/>
        <v>0</v>
      </c>
      <c r="AJ329" s="586">
        <f t="shared" si="678"/>
        <v>0</v>
      </c>
      <c r="AK329" s="586">
        <f t="shared" si="678"/>
        <v>0</v>
      </c>
      <c r="AL329" s="586">
        <f t="shared" si="678"/>
        <v>0</v>
      </c>
      <c r="AM329" s="586">
        <f t="shared" si="678"/>
        <v>0</v>
      </c>
      <c r="AN329" s="586">
        <f t="shared" si="678"/>
        <v>0</v>
      </c>
      <c r="AO329" s="586">
        <f t="shared" si="678"/>
        <v>0</v>
      </c>
      <c r="AP329" s="586">
        <f t="shared" si="678"/>
        <v>0</v>
      </c>
      <c r="AQ329" s="586">
        <f t="shared" si="678"/>
        <v>0</v>
      </c>
      <c r="AR329" s="586">
        <f t="shared" si="678"/>
        <v>0</v>
      </c>
      <c r="AS329" s="586">
        <f t="shared" si="678"/>
        <v>0</v>
      </c>
      <c r="AT329" s="170"/>
      <c r="AU329" s="170"/>
      <c r="AV329" s="170"/>
      <c r="AW329" s="828"/>
      <c r="AX329" s="726"/>
    </row>
    <row r="330" spans="1:50" ht="15" x14ac:dyDescent="0.25">
      <c r="A330" s="170"/>
      <c r="B330" s="719"/>
      <c r="C330" s="170" t="str">
        <f t="shared" si="679"/>
        <v>66ea</v>
      </c>
      <c r="D330" s="170"/>
      <c r="E330" s="170"/>
      <c r="F330" s="170">
        <f>+Parameters!D69</f>
        <v>66</v>
      </c>
      <c r="G330" s="170" t="str">
        <f>+Parameters!E69</f>
        <v>Misc. Eqt - LA's</v>
      </c>
      <c r="H330" s="586">
        <f t="shared" si="680"/>
        <v>0</v>
      </c>
      <c r="I330" s="170" t="str">
        <f>+Parameters!F69</f>
        <v>ea</v>
      </c>
      <c r="J330" s="170"/>
      <c r="K330" s="170"/>
      <c r="L330" s="170"/>
      <c r="M330" s="730"/>
      <c r="N330" s="730"/>
      <c r="O330" s="730"/>
      <c r="P330" s="731"/>
      <c r="Q330" s="731"/>
      <c r="R330" s="730"/>
      <c r="S330" s="730"/>
      <c r="T330" s="723"/>
      <c r="U330" s="724"/>
      <c r="V330" s="725"/>
      <c r="W330" s="725"/>
      <c r="X330" s="723"/>
      <c r="Y330" s="723"/>
      <c r="Z330" s="723"/>
      <c r="AA330" s="726"/>
      <c r="AB330" s="726"/>
      <c r="AC330" s="170"/>
      <c r="AD330" s="586">
        <f t="shared" si="678"/>
        <v>0</v>
      </c>
      <c r="AE330" s="586">
        <f t="shared" si="678"/>
        <v>0</v>
      </c>
      <c r="AF330" s="586">
        <f t="shared" si="678"/>
        <v>0</v>
      </c>
      <c r="AG330" s="586">
        <f t="shared" si="678"/>
        <v>0</v>
      </c>
      <c r="AH330" s="586">
        <f t="shared" si="678"/>
        <v>0</v>
      </c>
      <c r="AI330" s="586">
        <f t="shared" si="678"/>
        <v>0</v>
      </c>
      <c r="AJ330" s="586">
        <f t="shared" si="678"/>
        <v>0</v>
      </c>
      <c r="AK330" s="586">
        <f t="shared" si="678"/>
        <v>0</v>
      </c>
      <c r="AL330" s="586">
        <f t="shared" si="678"/>
        <v>0</v>
      </c>
      <c r="AM330" s="586">
        <f t="shared" si="678"/>
        <v>0</v>
      </c>
      <c r="AN330" s="586">
        <f t="shared" si="678"/>
        <v>0</v>
      </c>
      <c r="AO330" s="586">
        <f t="shared" si="678"/>
        <v>0</v>
      </c>
      <c r="AP330" s="586">
        <f t="shared" si="678"/>
        <v>0</v>
      </c>
      <c r="AQ330" s="586">
        <f t="shared" si="678"/>
        <v>0</v>
      </c>
      <c r="AR330" s="586">
        <f t="shared" si="678"/>
        <v>0</v>
      </c>
      <c r="AS330" s="586">
        <f t="shared" si="678"/>
        <v>0</v>
      </c>
      <c r="AT330" s="170"/>
      <c r="AU330" s="170"/>
      <c r="AV330" s="170"/>
      <c r="AW330" s="828"/>
      <c r="AX330" s="726"/>
    </row>
    <row r="331" spans="1:50" ht="15" x14ac:dyDescent="0.25">
      <c r="A331" s="170"/>
      <c r="B331" s="719"/>
      <c r="C331" s="170" t="str">
        <f t="shared" si="679"/>
        <v>67ea</v>
      </c>
      <c r="D331" s="170"/>
      <c r="E331" s="170"/>
      <c r="F331" s="170">
        <f>+Parameters!D70</f>
        <v>67</v>
      </c>
      <c r="G331" s="170" t="str">
        <f>+Parameters!E70</f>
        <v>Misc. Eqt - CCVT</v>
      </c>
      <c r="H331" s="586">
        <f t="shared" si="680"/>
        <v>0</v>
      </c>
      <c r="I331" s="170" t="str">
        <f>+Parameters!F70</f>
        <v>ea</v>
      </c>
      <c r="J331" s="170"/>
      <c r="K331" s="170"/>
      <c r="L331" s="170"/>
      <c r="M331" s="730"/>
      <c r="N331" s="730"/>
      <c r="O331" s="730"/>
      <c r="P331" s="731"/>
      <c r="Q331" s="731"/>
      <c r="R331" s="730"/>
      <c r="S331" s="730"/>
      <c r="T331" s="723"/>
      <c r="U331" s="724"/>
      <c r="V331" s="725"/>
      <c r="W331" s="725"/>
      <c r="X331" s="723"/>
      <c r="Y331" s="723"/>
      <c r="Z331" s="723"/>
      <c r="AA331" s="726"/>
      <c r="AB331" s="726"/>
      <c r="AC331" s="170"/>
      <c r="AD331" s="586">
        <f t="shared" si="678"/>
        <v>0</v>
      </c>
      <c r="AE331" s="586">
        <f t="shared" si="678"/>
        <v>0</v>
      </c>
      <c r="AF331" s="586">
        <f t="shared" si="678"/>
        <v>0</v>
      </c>
      <c r="AG331" s="586">
        <f t="shared" si="678"/>
        <v>0</v>
      </c>
      <c r="AH331" s="586">
        <f t="shared" si="678"/>
        <v>0</v>
      </c>
      <c r="AI331" s="586">
        <f t="shared" si="678"/>
        <v>0</v>
      </c>
      <c r="AJ331" s="586">
        <f t="shared" si="678"/>
        <v>0</v>
      </c>
      <c r="AK331" s="586">
        <f t="shared" si="678"/>
        <v>0</v>
      </c>
      <c r="AL331" s="586">
        <f t="shared" si="678"/>
        <v>0</v>
      </c>
      <c r="AM331" s="586">
        <f t="shared" si="678"/>
        <v>0</v>
      </c>
      <c r="AN331" s="586">
        <f t="shared" si="678"/>
        <v>0</v>
      </c>
      <c r="AO331" s="586">
        <f t="shared" si="678"/>
        <v>0</v>
      </c>
      <c r="AP331" s="586">
        <f t="shared" si="678"/>
        <v>0</v>
      </c>
      <c r="AQ331" s="586">
        <f t="shared" si="678"/>
        <v>0</v>
      </c>
      <c r="AR331" s="586">
        <f t="shared" si="678"/>
        <v>0</v>
      </c>
      <c r="AS331" s="586">
        <f t="shared" si="678"/>
        <v>0</v>
      </c>
      <c r="AT331" s="170"/>
      <c r="AU331" s="170"/>
      <c r="AV331" s="170"/>
      <c r="AW331" s="828"/>
      <c r="AX331" s="726"/>
    </row>
    <row r="332" spans="1:50" ht="15" x14ac:dyDescent="0.25">
      <c r="A332" s="170"/>
      <c r="B332" s="719"/>
      <c r="C332" s="170" t="str">
        <f t="shared" si="679"/>
        <v>680</v>
      </c>
      <c r="D332" s="170"/>
      <c r="E332" s="170"/>
      <c r="F332" s="170">
        <f>+Parameters!D71</f>
        <v>68</v>
      </c>
      <c r="G332" s="170">
        <f>+Parameters!E71</f>
        <v>0</v>
      </c>
      <c r="H332" s="586">
        <f t="shared" si="680"/>
        <v>0</v>
      </c>
      <c r="I332" s="170">
        <f>+Parameters!F71</f>
        <v>0</v>
      </c>
      <c r="J332" s="170"/>
      <c r="K332" s="170"/>
      <c r="L332" s="170"/>
      <c r="M332" s="730"/>
      <c r="N332" s="730"/>
      <c r="O332" s="730"/>
      <c r="P332" s="731"/>
      <c r="Q332" s="731"/>
      <c r="R332" s="730"/>
      <c r="S332" s="730"/>
      <c r="T332" s="723"/>
      <c r="U332" s="724"/>
      <c r="V332" s="725"/>
      <c r="W332" s="725"/>
      <c r="X332" s="723"/>
      <c r="Y332" s="723"/>
      <c r="Z332" s="723"/>
      <c r="AA332" s="726"/>
      <c r="AB332" s="726"/>
      <c r="AC332" s="170"/>
      <c r="AD332" s="586">
        <f t="shared" si="678"/>
        <v>0</v>
      </c>
      <c r="AE332" s="586">
        <f t="shared" si="678"/>
        <v>0</v>
      </c>
      <c r="AF332" s="586">
        <f t="shared" si="678"/>
        <v>0</v>
      </c>
      <c r="AG332" s="586">
        <f t="shared" si="678"/>
        <v>0</v>
      </c>
      <c r="AH332" s="586">
        <f t="shared" si="678"/>
        <v>0</v>
      </c>
      <c r="AI332" s="586">
        <f t="shared" si="678"/>
        <v>0</v>
      </c>
      <c r="AJ332" s="586">
        <f t="shared" si="678"/>
        <v>0</v>
      </c>
      <c r="AK332" s="586">
        <f t="shared" si="678"/>
        <v>0</v>
      </c>
      <c r="AL332" s="586">
        <f t="shared" si="678"/>
        <v>0</v>
      </c>
      <c r="AM332" s="586">
        <f t="shared" si="678"/>
        <v>0</v>
      </c>
      <c r="AN332" s="586">
        <f t="shared" si="678"/>
        <v>0</v>
      </c>
      <c r="AO332" s="586">
        <f t="shared" si="678"/>
        <v>0</v>
      </c>
      <c r="AP332" s="586">
        <f t="shared" si="678"/>
        <v>0</v>
      </c>
      <c r="AQ332" s="586">
        <f t="shared" si="678"/>
        <v>0</v>
      </c>
      <c r="AR332" s="586">
        <f t="shared" si="678"/>
        <v>0</v>
      </c>
      <c r="AS332" s="586">
        <f t="shared" si="678"/>
        <v>0</v>
      </c>
      <c r="AT332" s="170"/>
      <c r="AU332" s="170"/>
      <c r="AV332" s="170"/>
      <c r="AW332" s="828"/>
      <c r="AX332" s="726"/>
    </row>
    <row r="333" spans="1:50" ht="15" x14ac:dyDescent="0.25">
      <c r="A333" s="170"/>
      <c r="B333" s="719"/>
      <c r="C333" s="170" t="str">
        <f t="shared" si="679"/>
        <v>69ea</v>
      </c>
      <c r="D333" s="170"/>
      <c r="E333" s="170"/>
      <c r="F333" s="170">
        <f>+Parameters!D72</f>
        <v>69</v>
      </c>
      <c r="G333" s="170" t="str">
        <f>+Parameters!E72</f>
        <v>Misc. Eqt - Other</v>
      </c>
      <c r="H333" s="586">
        <f t="shared" si="680"/>
        <v>0</v>
      </c>
      <c r="I333" s="170" t="str">
        <f>+Parameters!F72</f>
        <v>ea</v>
      </c>
      <c r="J333" s="170"/>
      <c r="K333" s="170"/>
      <c r="L333" s="170"/>
      <c r="M333" s="730"/>
      <c r="N333" s="730"/>
      <c r="O333" s="730"/>
      <c r="P333" s="731"/>
      <c r="Q333" s="731"/>
      <c r="R333" s="730"/>
      <c r="S333" s="730"/>
      <c r="T333" s="723"/>
      <c r="U333" s="724"/>
      <c r="V333" s="725"/>
      <c r="W333" s="725"/>
      <c r="X333" s="723"/>
      <c r="Y333" s="723"/>
      <c r="Z333" s="723"/>
      <c r="AA333" s="726"/>
      <c r="AB333" s="726"/>
      <c r="AC333" s="170"/>
      <c r="AD333" s="586">
        <f t="shared" si="678"/>
        <v>0</v>
      </c>
      <c r="AE333" s="586">
        <f t="shared" si="678"/>
        <v>0</v>
      </c>
      <c r="AF333" s="586">
        <f t="shared" si="678"/>
        <v>0</v>
      </c>
      <c r="AG333" s="586">
        <f t="shared" si="678"/>
        <v>0</v>
      </c>
      <c r="AH333" s="586">
        <f t="shared" si="678"/>
        <v>0</v>
      </c>
      <c r="AI333" s="586">
        <f t="shared" si="678"/>
        <v>0</v>
      </c>
      <c r="AJ333" s="586">
        <f t="shared" si="678"/>
        <v>0</v>
      </c>
      <c r="AK333" s="586">
        <f t="shared" si="678"/>
        <v>0</v>
      </c>
      <c r="AL333" s="586">
        <f t="shared" si="678"/>
        <v>0</v>
      </c>
      <c r="AM333" s="586">
        <f t="shared" si="678"/>
        <v>0</v>
      </c>
      <c r="AN333" s="586">
        <f t="shared" si="678"/>
        <v>0</v>
      </c>
      <c r="AO333" s="586">
        <f t="shared" si="678"/>
        <v>0</v>
      </c>
      <c r="AP333" s="586">
        <f t="shared" si="678"/>
        <v>0</v>
      </c>
      <c r="AQ333" s="586">
        <f t="shared" si="678"/>
        <v>0</v>
      </c>
      <c r="AR333" s="586">
        <f t="shared" si="678"/>
        <v>0</v>
      </c>
      <c r="AS333" s="586">
        <f t="shared" si="678"/>
        <v>0</v>
      </c>
      <c r="AT333" s="170"/>
      <c r="AU333" s="170"/>
      <c r="AV333" s="170"/>
      <c r="AW333" s="828"/>
      <c r="AX333" s="726"/>
    </row>
    <row r="334" spans="1:50" ht="15" x14ac:dyDescent="0.25">
      <c r="A334" s="170"/>
      <c r="B334" s="719"/>
      <c r="C334" s="170" t="str">
        <f t="shared" si="679"/>
        <v>700</v>
      </c>
      <c r="D334" s="170"/>
      <c r="E334" s="170"/>
      <c r="F334" s="170">
        <f>+Parameters!D73</f>
        <v>70</v>
      </c>
      <c r="G334" s="170" t="str">
        <f>+Parameters!E73</f>
        <v>Control house Buidling</v>
      </c>
      <c r="H334" s="586">
        <f t="shared" si="680"/>
        <v>0</v>
      </c>
      <c r="I334" s="170">
        <f>+Parameters!F73</f>
        <v>0</v>
      </c>
      <c r="J334" s="170"/>
      <c r="K334" s="170"/>
      <c r="L334" s="170"/>
      <c r="M334" s="730"/>
      <c r="N334" s="730"/>
      <c r="O334" s="730"/>
      <c r="P334" s="731"/>
      <c r="Q334" s="731"/>
      <c r="R334" s="730"/>
      <c r="S334" s="730"/>
      <c r="T334" s="723"/>
      <c r="U334" s="724"/>
      <c r="V334" s="725"/>
      <c r="W334" s="725"/>
      <c r="X334" s="723"/>
      <c r="Y334" s="723"/>
      <c r="Z334" s="723"/>
      <c r="AA334" s="726"/>
      <c r="AB334" s="726"/>
      <c r="AC334" s="170"/>
      <c r="AD334" s="586">
        <f t="shared" si="678"/>
        <v>0</v>
      </c>
      <c r="AE334" s="586">
        <f t="shared" si="678"/>
        <v>0</v>
      </c>
      <c r="AF334" s="586">
        <f t="shared" si="678"/>
        <v>0</v>
      </c>
      <c r="AG334" s="586">
        <f t="shared" si="678"/>
        <v>0</v>
      </c>
      <c r="AH334" s="586">
        <f t="shared" si="678"/>
        <v>0</v>
      </c>
      <c r="AI334" s="586">
        <f t="shared" si="678"/>
        <v>0</v>
      </c>
      <c r="AJ334" s="586">
        <f t="shared" si="678"/>
        <v>0</v>
      </c>
      <c r="AK334" s="586">
        <f t="shared" si="678"/>
        <v>0</v>
      </c>
      <c r="AL334" s="586">
        <f t="shared" si="678"/>
        <v>0</v>
      </c>
      <c r="AM334" s="586">
        <f t="shared" si="678"/>
        <v>0</v>
      </c>
      <c r="AN334" s="586">
        <f t="shared" si="678"/>
        <v>0</v>
      </c>
      <c r="AO334" s="586">
        <f t="shared" si="678"/>
        <v>0</v>
      </c>
      <c r="AP334" s="586">
        <f t="shared" si="678"/>
        <v>0</v>
      </c>
      <c r="AQ334" s="586">
        <f t="shared" si="678"/>
        <v>0</v>
      </c>
      <c r="AR334" s="586">
        <f t="shared" si="678"/>
        <v>0</v>
      </c>
      <c r="AS334" s="586">
        <f t="shared" si="678"/>
        <v>0</v>
      </c>
      <c r="AT334" s="170"/>
      <c r="AU334" s="170"/>
      <c r="AV334" s="170"/>
      <c r="AW334" s="828"/>
      <c r="AX334" s="726"/>
    </row>
    <row r="335" spans="1:50" ht="15" x14ac:dyDescent="0.25">
      <c r="A335" s="170"/>
      <c r="B335" s="719"/>
      <c r="C335" s="170" t="str">
        <f t="shared" si="679"/>
        <v>710</v>
      </c>
      <c r="D335" s="170"/>
      <c r="E335" s="170"/>
      <c r="F335" s="170">
        <f>+Parameters!D74</f>
        <v>71</v>
      </c>
      <c r="G335" s="170" t="str">
        <f>+Parameters!E74</f>
        <v>Pre-Eng Building</v>
      </c>
      <c r="H335" s="586">
        <f t="shared" si="680"/>
        <v>0</v>
      </c>
      <c r="I335" s="170">
        <f>+Parameters!F74</f>
        <v>0</v>
      </c>
      <c r="J335" s="170"/>
      <c r="K335" s="170"/>
      <c r="L335" s="170"/>
      <c r="M335" s="730"/>
      <c r="N335" s="730"/>
      <c r="O335" s="730"/>
      <c r="P335" s="731"/>
      <c r="Q335" s="731"/>
      <c r="R335" s="730"/>
      <c r="S335" s="730"/>
      <c r="T335" s="723"/>
      <c r="U335" s="724"/>
      <c r="V335" s="725"/>
      <c r="W335" s="725"/>
      <c r="X335" s="723"/>
      <c r="Y335" s="723"/>
      <c r="Z335" s="723"/>
      <c r="AA335" s="726"/>
      <c r="AB335" s="726"/>
      <c r="AC335" s="170"/>
      <c r="AD335" s="586">
        <f t="shared" ref="AD335:AS344" si="681">SUMIF($F$9:$F$262,$F335,AD$9:AD$262)</f>
        <v>0</v>
      </c>
      <c r="AE335" s="586">
        <f t="shared" si="681"/>
        <v>0</v>
      </c>
      <c r="AF335" s="586">
        <f t="shared" si="681"/>
        <v>0</v>
      </c>
      <c r="AG335" s="586">
        <f t="shared" si="681"/>
        <v>0</v>
      </c>
      <c r="AH335" s="586">
        <f t="shared" si="681"/>
        <v>0</v>
      </c>
      <c r="AI335" s="586">
        <f t="shared" si="681"/>
        <v>0</v>
      </c>
      <c r="AJ335" s="586">
        <f t="shared" si="681"/>
        <v>0</v>
      </c>
      <c r="AK335" s="586">
        <f t="shared" si="681"/>
        <v>0</v>
      </c>
      <c r="AL335" s="586">
        <f t="shared" si="681"/>
        <v>0</v>
      </c>
      <c r="AM335" s="586">
        <f t="shared" si="681"/>
        <v>0</v>
      </c>
      <c r="AN335" s="586">
        <f t="shared" si="681"/>
        <v>0</v>
      </c>
      <c r="AO335" s="586">
        <f t="shared" si="681"/>
        <v>0</v>
      </c>
      <c r="AP335" s="586">
        <f t="shared" si="681"/>
        <v>0</v>
      </c>
      <c r="AQ335" s="586">
        <f t="shared" si="681"/>
        <v>0</v>
      </c>
      <c r="AR335" s="586">
        <f t="shared" si="681"/>
        <v>0</v>
      </c>
      <c r="AS335" s="586">
        <f t="shared" si="681"/>
        <v>0</v>
      </c>
      <c r="AT335" s="170"/>
      <c r="AU335" s="170"/>
      <c r="AV335" s="170"/>
      <c r="AW335" s="828"/>
      <c r="AX335" s="726"/>
    </row>
    <row r="336" spans="1:50" ht="15" x14ac:dyDescent="0.25">
      <c r="A336" s="170"/>
      <c r="B336" s="719"/>
      <c r="C336" s="170" t="str">
        <f t="shared" si="679"/>
        <v>720</v>
      </c>
      <c r="D336" s="170"/>
      <c r="E336" s="170"/>
      <c r="F336" s="170">
        <f>+Parameters!D75</f>
        <v>72</v>
      </c>
      <c r="G336" s="170">
        <f>+Parameters!E75</f>
        <v>0</v>
      </c>
      <c r="H336" s="586">
        <f t="shared" si="680"/>
        <v>0</v>
      </c>
      <c r="I336" s="170">
        <f>+Parameters!F75</f>
        <v>0</v>
      </c>
      <c r="J336" s="170"/>
      <c r="K336" s="170"/>
      <c r="L336" s="170"/>
      <c r="M336" s="730"/>
      <c r="N336" s="730"/>
      <c r="O336" s="730"/>
      <c r="P336" s="731"/>
      <c r="Q336" s="731"/>
      <c r="R336" s="730"/>
      <c r="S336" s="730"/>
      <c r="T336" s="723"/>
      <c r="U336" s="724"/>
      <c r="V336" s="725"/>
      <c r="W336" s="725"/>
      <c r="X336" s="723"/>
      <c r="Y336" s="723"/>
      <c r="Z336" s="723"/>
      <c r="AA336" s="726"/>
      <c r="AB336" s="726"/>
      <c r="AC336" s="170"/>
      <c r="AD336" s="586">
        <f t="shared" si="681"/>
        <v>0</v>
      </c>
      <c r="AE336" s="586">
        <f t="shared" si="681"/>
        <v>0</v>
      </c>
      <c r="AF336" s="586">
        <f t="shared" si="681"/>
        <v>0</v>
      </c>
      <c r="AG336" s="586">
        <f t="shared" si="681"/>
        <v>0</v>
      </c>
      <c r="AH336" s="586">
        <f t="shared" si="681"/>
        <v>0</v>
      </c>
      <c r="AI336" s="586">
        <f t="shared" si="681"/>
        <v>0</v>
      </c>
      <c r="AJ336" s="586">
        <f t="shared" si="681"/>
        <v>0</v>
      </c>
      <c r="AK336" s="586">
        <f t="shared" si="681"/>
        <v>0</v>
      </c>
      <c r="AL336" s="586">
        <f t="shared" si="681"/>
        <v>0</v>
      </c>
      <c r="AM336" s="586">
        <f t="shared" si="681"/>
        <v>0</v>
      </c>
      <c r="AN336" s="586">
        <f t="shared" si="681"/>
        <v>0</v>
      </c>
      <c r="AO336" s="586">
        <f t="shared" si="681"/>
        <v>0</v>
      </c>
      <c r="AP336" s="586">
        <f t="shared" si="681"/>
        <v>0</v>
      </c>
      <c r="AQ336" s="586">
        <f t="shared" si="681"/>
        <v>0</v>
      </c>
      <c r="AR336" s="586">
        <f t="shared" si="681"/>
        <v>0</v>
      </c>
      <c r="AS336" s="586">
        <f t="shared" si="681"/>
        <v>0</v>
      </c>
      <c r="AT336" s="170"/>
      <c r="AU336" s="170"/>
      <c r="AV336" s="170"/>
      <c r="AW336" s="828"/>
      <c r="AX336" s="726"/>
    </row>
    <row r="337" spans="1:50" ht="15" x14ac:dyDescent="0.25">
      <c r="A337" s="170"/>
      <c r="B337" s="719"/>
      <c r="C337" s="170" t="str">
        <f t="shared" si="679"/>
        <v>730</v>
      </c>
      <c r="D337" s="170"/>
      <c r="E337" s="170"/>
      <c r="F337" s="170">
        <f>+Parameters!D76</f>
        <v>73</v>
      </c>
      <c r="G337" s="170">
        <f>+Parameters!E76</f>
        <v>0</v>
      </c>
      <c r="H337" s="586">
        <f t="shared" si="680"/>
        <v>0</v>
      </c>
      <c r="I337" s="170">
        <f>+Parameters!F76</f>
        <v>0</v>
      </c>
      <c r="J337" s="170"/>
      <c r="K337" s="170"/>
      <c r="L337" s="170"/>
      <c r="M337" s="730"/>
      <c r="N337" s="730"/>
      <c r="O337" s="730"/>
      <c r="P337" s="731"/>
      <c r="Q337" s="731"/>
      <c r="R337" s="730"/>
      <c r="S337" s="730"/>
      <c r="T337" s="723"/>
      <c r="U337" s="724"/>
      <c r="V337" s="725"/>
      <c r="W337" s="725"/>
      <c r="X337" s="723"/>
      <c r="Y337" s="723"/>
      <c r="Z337" s="723"/>
      <c r="AA337" s="726"/>
      <c r="AB337" s="726"/>
      <c r="AC337" s="170"/>
      <c r="AD337" s="586">
        <f t="shared" si="681"/>
        <v>0</v>
      </c>
      <c r="AE337" s="586">
        <f t="shared" si="681"/>
        <v>0</v>
      </c>
      <c r="AF337" s="586">
        <f t="shared" si="681"/>
        <v>0</v>
      </c>
      <c r="AG337" s="586">
        <f t="shared" si="681"/>
        <v>0</v>
      </c>
      <c r="AH337" s="586">
        <f t="shared" si="681"/>
        <v>0</v>
      </c>
      <c r="AI337" s="586">
        <f t="shared" si="681"/>
        <v>0</v>
      </c>
      <c r="AJ337" s="586">
        <f t="shared" si="681"/>
        <v>0</v>
      </c>
      <c r="AK337" s="586">
        <f t="shared" si="681"/>
        <v>0</v>
      </c>
      <c r="AL337" s="586">
        <f t="shared" si="681"/>
        <v>0</v>
      </c>
      <c r="AM337" s="586">
        <f t="shared" si="681"/>
        <v>0</v>
      </c>
      <c r="AN337" s="586">
        <f t="shared" si="681"/>
        <v>0</v>
      </c>
      <c r="AO337" s="586">
        <f t="shared" si="681"/>
        <v>0</v>
      </c>
      <c r="AP337" s="586">
        <f t="shared" si="681"/>
        <v>0</v>
      </c>
      <c r="AQ337" s="586">
        <f t="shared" si="681"/>
        <v>0</v>
      </c>
      <c r="AR337" s="586">
        <f t="shared" si="681"/>
        <v>0</v>
      </c>
      <c r="AS337" s="586">
        <f t="shared" si="681"/>
        <v>0</v>
      </c>
      <c r="AT337" s="170"/>
      <c r="AU337" s="170"/>
      <c r="AV337" s="170"/>
      <c r="AW337" s="828"/>
      <c r="AX337" s="726"/>
    </row>
    <row r="338" spans="1:50" ht="15" x14ac:dyDescent="0.25">
      <c r="A338" s="170"/>
      <c r="B338" s="719"/>
      <c r="C338" s="170" t="str">
        <f t="shared" si="679"/>
        <v>740</v>
      </c>
      <c r="D338" s="170"/>
      <c r="E338" s="170"/>
      <c r="F338" s="170">
        <f>+Parameters!D77</f>
        <v>74</v>
      </c>
      <c r="G338" s="170">
        <f>+Parameters!E77</f>
        <v>0</v>
      </c>
      <c r="H338" s="586">
        <f t="shared" si="680"/>
        <v>0</v>
      </c>
      <c r="I338" s="170">
        <f>+Parameters!F77</f>
        <v>0</v>
      </c>
      <c r="J338" s="170"/>
      <c r="K338" s="170"/>
      <c r="L338" s="170"/>
      <c r="M338" s="730"/>
      <c r="N338" s="730"/>
      <c r="O338" s="730"/>
      <c r="P338" s="731"/>
      <c r="Q338" s="731"/>
      <c r="R338" s="730"/>
      <c r="S338" s="730"/>
      <c r="T338" s="723"/>
      <c r="U338" s="724"/>
      <c r="V338" s="725"/>
      <c r="W338" s="725"/>
      <c r="X338" s="723"/>
      <c r="Y338" s="723"/>
      <c r="Z338" s="723"/>
      <c r="AA338" s="726"/>
      <c r="AB338" s="726"/>
      <c r="AC338" s="170"/>
      <c r="AD338" s="586">
        <f t="shared" si="681"/>
        <v>0</v>
      </c>
      <c r="AE338" s="586">
        <f t="shared" si="681"/>
        <v>0</v>
      </c>
      <c r="AF338" s="586">
        <f t="shared" si="681"/>
        <v>0</v>
      </c>
      <c r="AG338" s="586">
        <f t="shared" si="681"/>
        <v>0</v>
      </c>
      <c r="AH338" s="586">
        <f t="shared" si="681"/>
        <v>0</v>
      </c>
      <c r="AI338" s="586">
        <f t="shared" si="681"/>
        <v>0</v>
      </c>
      <c r="AJ338" s="586">
        <f t="shared" si="681"/>
        <v>0</v>
      </c>
      <c r="AK338" s="586">
        <f t="shared" si="681"/>
        <v>0</v>
      </c>
      <c r="AL338" s="586">
        <f t="shared" si="681"/>
        <v>0</v>
      </c>
      <c r="AM338" s="586">
        <f t="shared" si="681"/>
        <v>0</v>
      </c>
      <c r="AN338" s="586">
        <f t="shared" si="681"/>
        <v>0</v>
      </c>
      <c r="AO338" s="586">
        <f t="shared" si="681"/>
        <v>0</v>
      </c>
      <c r="AP338" s="586">
        <f t="shared" si="681"/>
        <v>0</v>
      </c>
      <c r="AQ338" s="586">
        <f t="shared" si="681"/>
        <v>0</v>
      </c>
      <c r="AR338" s="586">
        <f t="shared" si="681"/>
        <v>0</v>
      </c>
      <c r="AS338" s="586">
        <f t="shared" si="681"/>
        <v>0</v>
      </c>
      <c r="AT338" s="170"/>
      <c r="AU338" s="170"/>
      <c r="AV338" s="170"/>
      <c r="AW338" s="828"/>
      <c r="AX338" s="726"/>
    </row>
    <row r="339" spans="1:50" ht="15" x14ac:dyDescent="0.25">
      <c r="A339" s="170"/>
      <c r="B339" s="719"/>
      <c r="C339" s="170" t="str">
        <f t="shared" si="679"/>
        <v>750</v>
      </c>
      <c r="D339" s="170"/>
      <c r="E339" s="170"/>
      <c r="F339" s="170">
        <f>+Parameters!D78</f>
        <v>75</v>
      </c>
      <c r="G339" s="170">
        <f>+Parameters!E78</f>
        <v>0</v>
      </c>
      <c r="H339" s="586">
        <f t="shared" si="680"/>
        <v>0</v>
      </c>
      <c r="I339" s="170">
        <f>+Parameters!F78</f>
        <v>0</v>
      </c>
      <c r="J339" s="170"/>
      <c r="K339" s="170"/>
      <c r="L339" s="170"/>
      <c r="M339" s="730"/>
      <c r="N339" s="730"/>
      <c r="O339" s="730"/>
      <c r="P339" s="731"/>
      <c r="Q339" s="731"/>
      <c r="R339" s="730"/>
      <c r="S339" s="730"/>
      <c r="T339" s="723"/>
      <c r="U339" s="724"/>
      <c r="V339" s="725"/>
      <c r="W339" s="725"/>
      <c r="X339" s="723"/>
      <c r="Y339" s="723"/>
      <c r="Z339" s="723"/>
      <c r="AA339" s="726"/>
      <c r="AB339" s="726"/>
      <c r="AC339" s="170"/>
      <c r="AD339" s="586">
        <f t="shared" si="681"/>
        <v>0</v>
      </c>
      <c r="AE339" s="586">
        <f t="shared" si="681"/>
        <v>0</v>
      </c>
      <c r="AF339" s="586">
        <f t="shared" si="681"/>
        <v>0</v>
      </c>
      <c r="AG339" s="586">
        <f t="shared" si="681"/>
        <v>0</v>
      </c>
      <c r="AH339" s="586">
        <f t="shared" si="681"/>
        <v>0</v>
      </c>
      <c r="AI339" s="586">
        <f t="shared" si="681"/>
        <v>0</v>
      </c>
      <c r="AJ339" s="586">
        <f t="shared" si="681"/>
        <v>0</v>
      </c>
      <c r="AK339" s="586">
        <f t="shared" si="681"/>
        <v>0</v>
      </c>
      <c r="AL339" s="586">
        <f t="shared" si="681"/>
        <v>0</v>
      </c>
      <c r="AM339" s="586">
        <f t="shared" si="681"/>
        <v>0</v>
      </c>
      <c r="AN339" s="586">
        <f t="shared" si="681"/>
        <v>0</v>
      </c>
      <c r="AO339" s="586">
        <f t="shared" si="681"/>
        <v>0</v>
      </c>
      <c r="AP339" s="586">
        <f t="shared" si="681"/>
        <v>0</v>
      </c>
      <c r="AQ339" s="586">
        <f t="shared" si="681"/>
        <v>0</v>
      </c>
      <c r="AR339" s="586">
        <f t="shared" si="681"/>
        <v>0</v>
      </c>
      <c r="AS339" s="586">
        <f t="shared" si="681"/>
        <v>0</v>
      </c>
      <c r="AT339" s="170"/>
      <c r="AU339" s="170"/>
      <c r="AV339" s="170"/>
      <c r="AW339" s="828"/>
      <c r="AX339" s="726"/>
    </row>
    <row r="340" spans="1:50" ht="15" x14ac:dyDescent="0.25">
      <c r="A340" s="170"/>
      <c r="B340" s="719"/>
      <c r="C340" s="170" t="str">
        <f t="shared" si="679"/>
        <v>760</v>
      </c>
      <c r="D340" s="170"/>
      <c r="E340" s="170"/>
      <c r="F340" s="170">
        <f>+Parameters!D79</f>
        <v>76</v>
      </c>
      <c r="G340" s="170">
        <f>+Parameters!E79</f>
        <v>0</v>
      </c>
      <c r="H340" s="586">
        <f t="shared" si="680"/>
        <v>0</v>
      </c>
      <c r="I340" s="170">
        <f>+Parameters!F79</f>
        <v>0</v>
      </c>
      <c r="J340" s="170"/>
      <c r="K340" s="170"/>
      <c r="L340" s="170"/>
      <c r="M340" s="730"/>
      <c r="N340" s="730"/>
      <c r="O340" s="730"/>
      <c r="P340" s="731"/>
      <c r="Q340" s="731"/>
      <c r="R340" s="730"/>
      <c r="S340" s="730"/>
      <c r="T340" s="723"/>
      <c r="U340" s="724"/>
      <c r="V340" s="725"/>
      <c r="W340" s="725"/>
      <c r="X340" s="723"/>
      <c r="Y340" s="723"/>
      <c r="Z340" s="723"/>
      <c r="AA340" s="726"/>
      <c r="AB340" s="726"/>
      <c r="AC340" s="170"/>
      <c r="AD340" s="586">
        <f t="shared" si="681"/>
        <v>0</v>
      </c>
      <c r="AE340" s="586">
        <f t="shared" si="681"/>
        <v>0</v>
      </c>
      <c r="AF340" s="586">
        <f t="shared" si="681"/>
        <v>0</v>
      </c>
      <c r="AG340" s="586">
        <f t="shared" si="681"/>
        <v>0</v>
      </c>
      <c r="AH340" s="586">
        <f t="shared" si="681"/>
        <v>0</v>
      </c>
      <c r="AI340" s="586">
        <f t="shared" si="681"/>
        <v>0</v>
      </c>
      <c r="AJ340" s="586">
        <f t="shared" si="681"/>
        <v>0</v>
      </c>
      <c r="AK340" s="586">
        <f t="shared" si="681"/>
        <v>0</v>
      </c>
      <c r="AL340" s="586">
        <f t="shared" si="681"/>
        <v>0</v>
      </c>
      <c r="AM340" s="586">
        <f t="shared" si="681"/>
        <v>0</v>
      </c>
      <c r="AN340" s="586">
        <f t="shared" si="681"/>
        <v>0</v>
      </c>
      <c r="AO340" s="586">
        <f t="shared" si="681"/>
        <v>0</v>
      </c>
      <c r="AP340" s="586">
        <f t="shared" si="681"/>
        <v>0</v>
      </c>
      <c r="AQ340" s="586">
        <f t="shared" si="681"/>
        <v>0</v>
      </c>
      <c r="AR340" s="586">
        <f t="shared" si="681"/>
        <v>0</v>
      </c>
      <c r="AS340" s="586">
        <f t="shared" si="681"/>
        <v>0</v>
      </c>
      <c r="AT340" s="170"/>
      <c r="AU340" s="170"/>
      <c r="AV340" s="170"/>
      <c r="AW340" s="828"/>
      <c r="AX340" s="726"/>
    </row>
    <row r="341" spans="1:50" ht="15" x14ac:dyDescent="0.25">
      <c r="A341" s="170"/>
      <c r="B341" s="719"/>
      <c r="C341" s="170" t="str">
        <f t="shared" si="679"/>
        <v>770</v>
      </c>
      <c r="D341" s="170"/>
      <c r="E341" s="170"/>
      <c r="F341" s="170">
        <f>+Parameters!D80</f>
        <v>77</v>
      </c>
      <c r="G341" s="170">
        <f>+Parameters!E80</f>
        <v>0</v>
      </c>
      <c r="H341" s="586">
        <f t="shared" si="680"/>
        <v>0</v>
      </c>
      <c r="I341" s="170">
        <f>+Parameters!F80</f>
        <v>0</v>
      </c>
      <c r="J341" s="170"/>
      <c r="K341" s="170"/>
      <c r="L341" s="170"/>
      <c r="M341" s="730"/>
      <c r="N341" s="730"/>
      <c r="O341" s="730"/>
      <c r="P341" s="731"/>
      <c r="Q341" s="731"/>
      <c r="R341" s="730"/>
      <c r="S341" s="730"/>
      <c r="T341" s="723"/>
      <c r="U341" s="724"/>
      <c r="V341" s="725"/>
      <c r="W341" s="725"/>
      <c r="X341" s="723"/>
      <c r="Y341" s="723"/>
      <c r="Z341" s="723"/>
      <c r="AA341" s="726"/>
      <c r="AB341" s="726"/>
      <c r="AC341" s="170"/>
      <c r="AD341" s="586">
        <f t="shared" si="681"/>
        <v>0</v>
      </c>
      <c r="AE341" s="586">
        <f t="shared" si="681"/>
        <v>0</v>
      </c>
      <c r="AF341" s="586">
        <f t="shared" si="681"/>
        <v>0</v>
      </c>
      <c r="AG341" s="586">
        <f t="shared" si="681"/>
        <v>0</v>
      </c>
      <c r="AH341" s="586">
        <f t="shared" si="681"/>
        <v>0</v>
      </c>
      <c r="AI341" s="586">
        <f t="shared" si="681"/>
        <v>0</v>
      </c>
      <c r="AJ341" s="586">
        <f t="shared" si="681"/>
        <v>0</v>
      </c>
      <c r="AK341" s="586">
        <f t="shared" si="681"/>
        <v>0</v>
      </c>
      <c r="AL341" s="586">
        <f t="shared" si="681"/>
        <v>0</v>
      </c>
      <c r="AM341" s="586">
        <f t="shared" si="681"/>
        <v>0</v>
      </c>
      <c r="AN341" s="586">
        <f t="shared" si="681"/>
        <v>0</v>
      </c>
      <c r="AO341" s="586">
        <f t="shared" si="681"/>
        <v>0</v>
      </c>
      <c r="AP341" s="586">
        <f t="shared" si="681"/>
        <v>0</v>
      </c>
      <c r="AQ341" s="586">
        <f t="shared" si="681"/>
        <v>0</v>
      </c>
      <c r="AR341" s="586">
        <f t="shared" si="681"/>
        <v>0</v>
      </c>
      <c r="AS341" s="586">
        <f t="shared" si="681"/>
        <v>0</v>
      </c>
      <c r="AT341" s="170"/>
      <c r="AU341" s="170"/>
      <c r="AV341" s="170"/>
      <c r="AW341" s="828"/>
      <c r="AX341" s="726"/>
    </row>
    <row r="342" spans="1:50" ht="15" x14ac:dyDescent="0.25">
      <c r="A342" s="170"/>
      <c r="B342" s="719"/>
      <c r="C342" s="170" t="str">
        <f t="shared" si="679"/>
        <v>780</v>
      </c>
      <c r="D342" s="170"/>
      <c r="E342" s="170"/>
      <c r="F342" s="170">
        <f>+Parameters!D81</f>
        <v>78</v>
      </c>
      <c r="G342" s="170">
        <f>+Parameters!E81</f>
        <v>0</v>
      </c>
      <c r="H342" s="586">
        <f t="shared" si="680"/>
        <v>0</v>
      </c>
      <c r="I342" s="170">
        <f>+Parameters!F81</f>
        <v>0</v>
      </c>
      <c r="J342" s="170"/>
      <c r="K342" s="170"/>
      <c r="L342" s="170"/>
      <c r="M342" s="730"/>
      <c r="N342" s="730"/>
      <c r="O342" s="730"/>
      <c r="P342" s="731"/>
      <c r="Q342" s="731"/>
      <c r="R342" s="730"/>
      <c r="S342" s="730"/>
      <c r="T342" s="723"/>
      <c r="U342" s="724"/>
      <c r="V342" s="725"/>
      <c r="W342" s="725"/>
      <c r="X342" s="723"/>
      <c r="Y342" s="723"/>
      <c r="Z342" s="723"/>
      <c r="AA342" s="726"/>
      <c r="AB342" s="726"/>
      <c r="AC342" s="170"/>
      <c r="AD342" s="586">
        <f t="shared" si="681"/>
        <v>0</v>
      </c>
      <c r="AE342" s="586">
        <f t="shared" si="681"/>
        <v>0</v>
      </c>
      <c r="AF342" s="586">
        <f t="shared" si="681"/>
        <v>0</v>
      </c>
      <c r="AG342" s="586">
        <f t="shared" si="681"/>
        <v>0</v>
      </c>
      <c r="AH342" s="586">
        <f t="shared" si="681"/>
        <v>0</v>
      </c>
      <c r="AI342" s="586">
        <f t="shared" si="681"/>
        <v>0</v>
      </c>
      <c r="AJ342" s="586">
        <f t="shared" si="681"/>
        <v>0</v>
      </c>
      <c r="AK342" s="586">
        <f t="shared" si="681"/>
        <v>0</v>
      </c>
      <c r="AL342" s="586">
        <f t="shared" si="681"/>
        <v>0</v>
      </c>
      <c r="AM342" s="586">
        <f t="shared" si="681"/>
        <v>0</v>
      </c>
      <c r="AN342" s="586">
        <f t="shared" si="681"/>
        <v>0</v>
      </c>
      <c r="AO342" s="586">
        <f t="shared" si="681"/>
        <v>0</v>
      </c>
      <c r="AP342" s="586">
        <f t="shared" si="681"/>
        <v>0</v>
      </c>
      <c r="AQ342" s="586">
        <f t="shared" si="681"/>
        <v>0</v>
      </c>
      <c r="AR342" s="586">
        <f t="shared" si="681"/>
        <v>0</v>
      </c>
      <c r="AS342" s="586">
        <f t="shared" si="681"/>
        <v>0</v>
      </c>
      <c r="AT342" s="170"/>
      <c r="AU342" s="170"/>
      <c r="AV342" s="170"/>
      <c r="AW342" s="828"/>
      <c r="AX342" s="726"/>
    </row>
    <row r="343" spans="1:50" ht="15" x14ac:dyDescent="0.25">
      <c r="A343" s="170"/>
      <c r="B343" s="719"/>
      <c r="C343" s="170" t="str">
        <f t="shared" si="679"/>
        <v>790</v>
      </c>
      <c r="D343" s="170"/>
      <c r="E343" s="170"/>
      <c r="F343" s="170">
        <f>+Parameters!D82</f>
        <v>79</v>
      </c>
      <c r="G343" s="170">
        <f>+Parameters!E82</f>
        <v>0</v>
      </c>
      <c r="H343" s="586">
        <f t="shared" si="680"/>
        <v>0</v>
      </c>
      <c r="I343" s="170">
        <f>+Parameters!F82</f>
        <v>0</v>
      </c>
      <c r="J343" s="170"/>
      <c r="K343" s="170"/>
      <c r="L343" s="170"/>
      <c r="M343" s="730"/>
      <c r="N343" s="730"/>
      <c r="O343" s="730"/>
      <c r="P343" s="731"/>
      <c r="Q343" s="731"/>
      <c r="R343" s="730"/>
      <c r="S343" s="730"/>
      <c r="T343" s="723"/>
      <c r="U343" s="724"/>
      <c r="V343" s="725"/>
      <c r="W343" s="725"/>
      <c r="X343" s="723"/>
      <c r="Y343" s="723"/>
      <c r="Z343" s="723"/>
      <c r="AA343" s="726"/>
      <c r="AB343" s="726"/>
      <c r="AC343" s="170"/>
      <c r="AD343" s="586">
        <f t="shared" si="681"/>
        <v>0</v>
      </c>
      <c r="AE343" s="586">
        <f t="shared" si="681"/>
        <v>0</v>
      </c>
      <c r="AF343" s="586">
        <f t="shared" si="681"/>
        <v>0</v>
      </c>
      <c r="AG343" s="586">
        <f t="shared" si="681"/>
        <v>0</v>
      </c>
      <c r="AH343" s="586">
        <f t="shared" si="681"/>
        <v>0</v>
      </c>
      <c r="AI343" s="586">
        <f t="shared" si="681"/>
        <v>0</v>
      </c>
      <c r="AJ343" s="586">
        <f t="shared" si="681"/>
        <v>0</v>
      </c>
      <c r="AK343" s="586">
        <f t="shared" si="681"/>
        <v>0</v>
      </c>
      <c r="AL343" s="586">
        <f t="shared" si="681"/>
        <v>0</v>
      </c>
      <c r="AM343" s="586">
        <f t="shared" si="681"/>
        <v>0</v>
      </c>
      <c r="AN343" s="586">
        <f t="shared" si="681"/>
        <v>0</v>
      </c>
      <c r="AO343" s="586">
        <f t="shared" si="681"/>
        <v>0</v>
      </c>
      <c r="AP343" s="586">
        <f t="shared" si="681"/>
        <v>0</v>
      </c>
      <c r="AQ343" s="586">
        <f t="shared" si="681"/>
        <v>0</v>
      </c>
      <c r="AR343" s="586">
        <f t="shared" si="681"/>
        <v>0</v>
      </c>
      <c r="AS343" s="586">
        <f t="shared" si="681"/>
        <v>0</v>
      </c>
      <c r="AT343" s="170"/>
      <c r="AU343" s="170"/>
      <c r="AV343" s="170"/>
      <c r="AW343" s="828"/>
      <c r="AX343" s="726"/>
    </row>
    <row r="344" spans="1:50" ht="15" x14ac:dyDescent="0.25">
      <c r="A344" s="170"/>
      <c r="B344" s="719"/>
      <c r="C344" s="170" t="str">
        <f t="shared" si="679"/>
        <v>800</v>
      </c>
      <c r="D344" s="170"/>
      <c r="E344" s="170"/>
      <c r="F344" s="170">
        <f>+Parameters!D83</f>
        <v>80</v>
      </c>
      <c r="G344" s="170" t="str">
        <f>+Parameters!E83</f>
        <v>Protection and Controls</v>
      </c>
      <c r="H344" s="586">
        <f t="shared" si="680"/>
        <v>0</v>
      </c>
      <c r="I344" s="170">
        <f>+Parameters!F83</f>
        <v>0</v>
      </c>
      <c r="J344" s="170"/>
      <c r="K344" s="170"/>
      <c r="L344" s="170"/>
      <c r="M344" s="730"/>
      <c r="N344" s="730"/>
      <c r="O344" s="730"/>
      <c r="P344" s="731"/>
      <c r="Q344" s="731"/>
      <c r="R344" s="730"/>
      <c r="S344" s="730"/>
      <c r="T344" s="723"/>
      <c r="U344" s="724"/>
      <c r="V344" s="725"/>
      <c r="W344" s="725"/>
      <c r="X344" s="723"/>
      <c r="Y344" s="723"/>
      <c r="Z344" s="723"/>
      <c r="AA344" s="726"/>
      <c r="AB344" s="726"/>
      <c r="AC344" s="170"/>
      <c r="AD344" s="586">
        <f t="shared" si="681"/>
        <v>0</v>
      </c>
      <c r="AE344" s="586">
        <f t="shared" si="681"/>
        <v>0</v>
      </c>
      <c r="AF344" s="586">
        <f t="shared" si="681"/>
        <v>0</v>
      </c>
      <c r="AG344" s="586">
        <f t="shared" si="681"/>
        <v>0</v>
      </c>
      <c r="AH344" s="586">
        <f t="shared" si="681"/>
        <v>0</v>
      </c>
      <c r="AI344" s="586">
        <f t="shared" si="681"/>
        <v>0</v>
      </c>
      <c r="AJ344" s="586">
        <f t="shared" si="681"/>
        <v>0</v>
      </c>
      <c r="AK344" s="586">
        <f t="shared" si="681"/>
        <v>0</v>
      </c>
      <c r="AL344" s="586">
        <f t="shared" si="681"/>
        <v>0</v>
      </c>
      <c r="AM344" s="586">
        <f t="shared" si="681"/>
        <v>0</v>
      </c>
      <c r="AN344" s="586">
        <f t="shared" si="681"/>
        <v>0</v>
      </c>
      <c r="AO344" s="586">
        <f t="shared" si="681"/>
        <v>0</v>
      </c>
      <c r="AP344" s="586">
        <f t="shared" si="681"/>
        <v>0</v>
      </c>
      <c r="AQ344" s="586">
        <f t="shared" si="681"/>
        <v>0</v>
      </c>
      <c r="AR344" s="586">
        <f t="shared" si="681"/>
        <v>0</v>
      </c>
      <c r="AS344" s="586">
        <f t="shared" si="681"/>
        <v>0</v>
      </c>
      <c r="AT344" s="170"/>
      <c r="AU344" s="170"/>
      <c r="AV344" s="170"/>
      <c r="AW344" s="828"/>
      <c r="AX344" s="726"/>
    </row>
    <row r="345" spans="1:50" ht="15" x14ac:dyDescent="0.25">
      <c r="A345" s="170"/>
      <c r="B345" s="719"/>
      <c r="C345" s="170" t="str">
        <f t="shared" si="679"/>
        <v>81ea</v>
      </c>
      <c r="D345" s="170"/>
      <c r="E345" s="170"/>
      <c r="F345" s="170">
        <f>+Parameters!D84</f>
        <v>81</v>
      </c>
      <c r="G345" s="170" t="str">
        <f>+Parameters!E84</f>
        <v>Relays</v>
      </c>
      <c r="H345" s="586">
        <f t="shared" si="680"/>
        <v>0</v>
      </c>
      <c r="I345" s="170" t="str">
        <f>+Parameters!F84</f>
        <v>ea</v>
      </c>
      <c r="J345" s="170"/>
      <c r="K345" s="170"/>
      <c r="L345" s="170"/>
      <c r="M345" s="730"/>
      <c r="N345" s="730"/>
      <c r="O345" s="730"/>
      <c r="P345" s="731"/>
      <c r="Q345" s="731"/>
      <c r="R345" s="730"/>
      <c r="S345" s="730"/>
      <c r="T345" s="723"/>
      <c r="U345" s="724"/>
      <c r="V345" s="725"/>
      <c r="W345" s="725"/>
      <c r="X345" s="723"/>
      <c r="Y345" s="723"/>
      <c r="Z345" s="723"/>
      <c r="AA345" s="726"/>
      <c r="AB345" s="726"/>
      <c r="AC345" s="170"/>
      <c r="AD345" s="586">
        <f t="shared" ref="AD345:AS354" si="682">SUMIF($F$9:$F$262,$F345,AD$9:AD$262)</f>
        <v>0</v>
      </c>
      <c r="AE345" s="586">
        <f t="shared" si="682"/>
        <v>0</v>
      </c>
      <c r="AF345" s="586">
        <f t="shared" si="682"/>
        <v>0</v>
      </c>
      <c r="AG345" s="586">
        <f t="shared" si="682"/>
        <v>0</v>
      </c>
      <c r="AH345" s="586">
        <f t="shared" si="682"/>
        <v>0</v>
      </c>
      <c r="AI345" s="586">
        <f t="shared" si="682"/>
        <v>0</v>
      </c>
      <c r="AJ345" s="586">
        <f t="shared" si="682"/>
        <v>0</v>
      </c>
      <c r="AK345" s="586">
        <f t="shared" si="682"/>
        <v>0</v>
      </c>
      <c r="AL345" s="586">
        <f t="shared" si="682"/>
        <v>0</v>
      </c>
      <c r="AM345" s="586">
        <f t="shared" si="682"/>
        <v>0</v>
      </c>
      <c r="AN345" s="586">
        <f t="shared" si="682"/>
        <v>0</v>
      </c>
      <c r="AO345" s="586">
        <f t="shared" si="682"/>
        <v>0</v>
      </c>
      <c r="AP345" s="586">
        <f t="shared" si="682"/>
        <v>0</v>
      </c>
      <c r="AQ345" s="586">
        <f t="shared" si="682"/>
        <v>0</v>
      </c>
      <c r="AR345" s="586">
        <f t="shared" si="682"/>
        <v>0</v>
      </c>
      <c r="AS345" s="586">
        <f t="shared" si="682"/>
        <v>0</v>
      </c>
      <c r="AT345" s="170"/>
      <c r="AU345" s="170"/>
      <c r="AV345" s="170"/>
      <c r="AW345" s="828"/>
      <c r="AX345" s="726"/>
    </row>
    <row r="346" spans="1:50" ht="15" x14ac:dyDescent="0.25">
      <c r="A346" s="170"/>
      <c r="B346" s="719"/>
      <c r="C346" s="170" t="str">
        <f t="shared" si="679"/>
        <v>82ea</v>
      </c>
      <c r="D346" s="170"/>
      <c r="E346" s="170"/>
      <c r="F346" s="170">
        <f>+Parameters!D85</f>
        <v>82</v>
      </c>
      <c r="G346" s="170" t="str">
        <f>+Parameters!E85</f>
        <v>Cabinets</v>
      </c>
      <c r="H346" s="586">
        <f t="shared" si="680"/>
        <v>0</v>
      </c>
      <c r="I346" s="170" t="str">
        <f>+Parameters!F85</f>
        <v>ea</v>
      </c>
      <c r="J346" s="170"/>
      <c r="K346" s="170"/>
      <c r="L346" s="170"/>
      <c r="M346" s="730"/>
      <c r="N346" s="730"/>
      <c r="O346" s="730"/>
      <c r="P346" s="731"/>
      <c r="Q346" s="731"/>
      <c r="R346" s="730"/>
      <c r="S346" s="730"/>
      <c r="T346" s="723"/>
      <c r="U346" s="724"/>
      <c r="V346" s="725"/>
      <c r="W346" s="725"/>
      <c r="X346" s="723"/>
      <c r="Y346" s="723"/>
      <c r="Z346" s="723"/>
      <c r="AA346" s="726"/>
      <c r="AB346" s="726"/>
      <c r="AC346" s="170"/>
      <c r="AD346" s="586">
        <f t="shared" si="682"/>
        <v>0</v>
      </c>
      <c r="AE346" s="586">
        <f t="shared" si="682"/>
        <v>0</v>
      </c>
      <c r="AF346" s="586">
        <f t="shared" si="682"/>
        <v>0</v>
      </c>
      <c r="AG346" s="586">
        <f t="shared" si="682"/>
        <v>0</v>
      </c>
      <c r="AH346" s="586">
        <f t="shared" si="682"/>
        <v>0</v>
      </c>
      <c r="AI346" s="586">
        <f t="shared" si="682"/>
        <v>0</v>
      </c>
      <c r="AJ346" s="586">
        <f t="shared" si="682"/>
        <v>0</v>
      </c>
      <c r="AK346" s="586">
        <f t="shared" si="682"/>
        <v>0</v>
      </c>
      <c r="AL346" s="586">
        <f t="shared" si="682"/>
        <v>0</v>
      </c>
      <c r="AM346" s="586">
        <f t="shared" si="682"/>
        <v>0</v>
      </c>
      <c r="AN346" s="586">
        <f t="shared" si="682"/>
        <v>0</v>
      </c>
      <c r="AO346" s="586">
        <f t="shared" si="682"/>
        <v>0</v>
      </c>
      <c r="AP346" s="586">
        <f t="shared" si="682"/>
        <v>0</v>
      </c>
      <c r="AQ346" s="586">
        <f t="shared" si="682"/>
        <v>0</v>
      </c>
      <c r="AR346" s="586">
        <f t="shared" si="682"/>
        <v>0</v>
      </c>
      <c r="AS346" s="586">
        <f t="shared" si="682"/>
        <v>0</v>
      </c>
      <c r="AT346" s="170"/>
      <c r="AU346" s="170"/>
      <c r="AV346" s="170"/>
      <c r="AW346" s="828"/>
      <c r="AX346" s="726"/>
    </row>
    <row r="347" spans="1:50" ht="15" x14ac:dyDescent="0.25">
      <c r="A347" s="170"/>
      <c r="B347" s="719"/>
      <c r="C347" s="170" t="str">
        <f t="shared" si="679"/>
        <v>83ea</v>
      </c>
      <c r="D347" s="170"/>
      <c r="E347" s="170"/>
      <c r="F347" s="170">
        <f>+Parameters!D86</f>
        <v>83</v>
      </c>
      <c r="G347" s="170" t="str">
        <f>+Parameters!E86</f>
        <v>Comm. Eqt</v>
      </c>
      <c r="H347" s="586">
        <f t="shared" si="680"/>
        <v>0</v>
      </c>
      <c r="I347" s="170" t="str">
        <f>+Parameters!F86</f>
        <v>ea</v>
      </c>
      <c r="J347" s="170"/>
      <c r="K347" s="170"/>
      <c r="L347" s="170"/>
      <c r="M347" s="730"/>
      <c r="N347" s="730"/>
      <c r="O347" s="730"/>
      <c r="P347" s="731"/>
      <c r="Q347" s="731"/>
      <c r="R347" s="730"/>
      <c r="S347" s="730"/>
      <c r="T347" s="723"/>
      <c r="U347" s="724"/>
      <c r="V347" s="725"/>
      <c r="W347" s="725"/>
      <c r="X347" s="723"/>
      <c r="Y347" s="723"/>
      <c r="Z347" s="723"/>
      <c r="AA347" s="726"/>
      <c r="AB347" s="726"/>
      <c r="AC347" s="170"/>
      <c r="AD347" s="586">
        <f t="shared" si="682"/>
        <v>0</v>
      </c>
      <c r="AE347" s="586">
        <f t="shared" si="682"/>
        <v>0</v>
      </c>
      <c r="AF347" s="586">
        <f t="shared" si="682"/>
        <v>0</v>
      </c>
      <c r="AG347" s="586">
        <f t="shared" si="682"/>
        <v>0</v>
      </c>
      <c r="AH347" s="586">
        <f t="shared" si="682"/>
        <v>0</v>
      </c>
      <c r="AI347" s="586">
        <f t="shared" si="682"/>
        <v>0</v>
      </c>
      <c r="AJ347" s="586">
        <f t="shared" si="682"/>
        <v>0</v>
      </c>
      <c r="AK347" s="586">
        <f t="shared" si="682"/>
        <v>0</v>
      </c>
      <c r="AL347" s="586">
        <f t="shared" si="682"/>
        <v>0</v>
      </c>
      <c r="AM347" s="586">
        <f t="shared" si="682"/>
        <v>0</v>
      </c>
      <c r="AN347" s="586">
        <f t="shared" si="682"/>
        <v>0</v>
      </c>
      <c r="AO347" s="586">
        <f t="shared" si="682"/>
        <v>0</v>
      </c>
      <c r="AP347" s="586">
        <f t="shared" si="682"/>
        <v>0</v>
      </c>
      <c r="AQ347" s="586">
        <f t="shared" si="682"/>
        <v>0</v>
      </c>
      <c r="AR347" s="586">
        <f t="shared" si="682"/>
        <v>0</v>
      </c>
      <c r="AS347" s="586">
        <f t="shared" si="682"/>
        <v>0</v>
      </c>
      <c r="AT347" s="170"/>
      <c r="AU347" s="170"/>
      <c r="AV347" s="170"/>
      <c r="AW347" s="828"/>
      <c r="AX347" s="726"/>
    </row>
    <row r="348" spans="1:50" ht="15" x14ac:dyDescent="0.25">
      <c r="A348" s="170"/>
      <c r="B348" s="719"/>
      <c r="C348" s="170" t="str">
        <f t="shared" si="679"/>
        <v>84ea</v>
      </c>
      <c r="D348" s="170"/>
      <c r="E348" s="170"/>
      <c r="F348" s="170">
        <f>+Parameters!D87</f>
        <v>84</v>
      </c>
      <c r="G348" s="170" t="str">
        <f>+Parameters!E87</f>
        <v>SCADA</v>
      </c>
      <c r="H348" s="586">
        <f t="shared" si="680"/>
        <v>0</v>
      </c>
      <c r="I348" s="170" t="str">
        <f>+Parameters!F87</f>
        <v>ea</v>
      </c>
      <c r="J348" s="170"/>
      <c r="K348" s="170"/>
      <c r="L348" s="170"/>
      <c r="M348" s="730"/>
      <c r="N348" s="730"/>
      <c r="O348" s="730"/>
      <c r="P348" s="731"/>
      <c r="Q348" s="731"/>
      <c r="R348" s="730"/>
      <c r="S348" s="730"/>
      <c r="T348" s="723"/>
      <c r="U348" s="724"/>
      <c r="V348" s="725"/>
      <c r="W348" s="725"/>
      <c r="X348" s="723"/>
      <c r="Y348" s="723"/>
      <c r="Z348" s="723"/>
      <c r="AA348" s="726"/>
      <c r="AB348" s="726"/>
      <c r="AC348" s="170"/>
      <c r="AD348" s="586">
        <f t="shared" si="682"/>
        <v>0</v>
      </c>
      <c r="AE348" s="586">
        <f t="shared" si="682"/>
        <v>0</v>
      </c>
      <c r="AF348" s="586">
        <f t="shared" si="682"/>
        <v>0</v>
      </c>
      <c r="AG348" s="586">
        <f t="shared" si="682"/>
        <v>0</v>
      </c>
      <c r="AH348" s="586">
        <f t="shared" si="682"/>
        <v>0</v>
      </c>
      <c r="AI348" s="586">
        <f t="shared" si="682"/>
        <v>0</v>
      </c>
      <c r="AJ348" s="586">
        <f t="shared" si="682"/>
        <v>0</v>
      </c>
      <c r="AK348" s="586">
        <f t="shared" si="682"/>
        <v>0</v>
      </c>
      <c r="AL348" s="586">
        <f t="shared" si="682"/>
        <v>0</v>
      </c>
      <c r="AM348" s="586">
        <f t="shared" si="682"/>
        <v>0</v>
      </c>
      <c r="AN348" s="586">
        <f t="shared" si="682"/>
        <v>0</v>
      </c>
      <c r="AO348" s="586">
        <f t="shared" si="682"/>
        <v>0</v>
      </c>
      <c r="AP348" s="586">
        <f t="shared" si="682"/>
        <v>0</v>
      </c>
      <c r="AQ348" s="586">
        <f t="shared" si="682"/>
        <v>0</v>
      </c>
      <c r="AR348" s="586">
        <f t="shared" si="682"/>
        <v>0</v>
      </c>
      <c r="AS348" s="586">
        <f t="shared" si="682"/>
        <v>0</v>
      </c>
      <c r="AT348" s="170"/>
      <c r="AU348" s="170"/>
      <c r="AV348" s="170"/>
      <c r="AW348" s="828"/>
      <c r="AX348" s="726"/>
    </row>
    <row r="349" spans="1:50" ht="15" x14ac:dyDescent="0.25">
      <c r="A349" s="170"/>
      <c r="B349" s="719"/>
      <c r="C349" s="170" t="str">
        <f t="shared" si="679"/>
        <v>85ea</v>
      </c>
      <c r="D349" s="170"/>
      <c r="E349" s="170"/>
      <c r="F349" s="170">
        <f>+Parameters!D88</f>
        <v>85</v>
      </c>
      <c r="G349" s="170" t="str">
        <f>+Parameters!E88</f>
        <v>Batteries</v>
      </c>
      <c r="H349" s="586">
        <f t="shared" si="680"/>
        <v>0</v>
      </c>
      <c r="I349" s="170" t="str">
        <f>+Parameters!F88</f>
        <v>ea</v>
      </c>
      <c r="J349" s="170"/>
      <c r="K349" s="170"/>
      <c r="L349" s="170"/>
      <c r="M349" s="730"/>
      <c r="N349" s="730"/>
      <c r="O349" s="730"/>
      <c r="P349" s="731"/>
      <c r="Q349" s="731"/>
      <c r="R349" s="730"/>
      <c r="S349" s="730"/>
      <c r="T349" s="723"/>
      <c r="U349" s="724"/>
      <c r="V349" s="725"/>
      <c r="W349" s="725"/>
      <c r="X349" s="723"/>
      <c r="Y349" s="723"/>
      <c r="Z349" s="723"/>
      <c r="AA349" s="726"/>
      <c r="AB349" s="726"/>
      <c r="AC349" s="170"/>
      <c r="AD349" s="586">
        <f t="shared" si="682"/>
        <v>0</v>
      </c>
      <c r="AE349" s="586">
        <f t="shared" si="682"/>
        <v>0</v>
      </c>
      <c r="AF349" s="586">
        <f t="shared" si="682"/>
        <v>0</v>
      </c>
      <c r="AG349" s="586">
        <f t="shared" si="682"/>
        <v>0</v>
      </c>
      <c r="AH349" s="586">
        <f t="shared" si="682"/>
        <v>0</v>
      </c>
      <c r="AI349" s="586">
        <f t="shared" si="682"/>
        <v>0</v>
      </c>
      <c r="AJ349" s="586">
        <f t="shared" si="682"/>
        <v>0</v>
      </c>
      <c r="AK349" s="586">
        <f t="shared" si="682"/>
        <v>0</v>
      </c>
      <c r="AL349" s="586">
        <f t="shared" si="682"/>
        <v>0</v>
      </c>
      <c r="AM349" s="586">
        <f t="shared" si="682"/>
        <v>0</v>
      </c>
      <c r="AN349" s="586">
        <f t="shared" si="682"/>
        <v>0</v>
      </c>
      <c r="AO349" s="586">
        <f t="shared" si="682"/>
        <v>0</v>
      </c>
      <c r="AP349" s="586">
        <f t="shared" si="682"/>
        <v>0</v>
      </c>
      <c r="AQ349" s="586">
        <f t="shared" si="682"/>
        <v>0</v>
      </c>
      <c r="AR349" s="586">
        <f t="shared" si="682"/>
        <v>0</v>
      </c>
      <c r="AS349" s="586">
        <f t="shared" si="682"/>
        <v>0</v>
      </c>
      <c r="AT349" s="170"/>
      <c r="AU349" s="170"/>
      <c r="AV349" s="170"/>
      <c r="AW349" s="828"/>
      <c r="AX349" s="726"/>
    </row>
    <row r="350" spans="1:50" ht="15" x14ac:dyDescent="0.25">
      <c r="A350" s="170"/>
      <c r="B350" s="719"/>
      <c r="C350" s="170" t="str">
        <f t="shared" si="679"/>
        <v>860</v>
      </c>
      <c r="D350" s="170"/>
      <c r="E350" s="170"/>
      <c r="F350" s="170">
        <f>+Parameters!D89</f>
        <v>86</v>
      </c>
      <c r="G350" s="170">
        <f>+Parameters!E89</f>
        <v>0</v>
      </c>
      <c r="H350" s="586">
        <f t="shared" si="680"/>
        <v>0</v>
      </c>
      <c r="I350" s="170">
        <f>+Parameters!F89</f>
        <v>0</v>
      </c>
      <c r="J350" s="170"/>
      <c r="K350" s="170"/>
      <c r="L350" s="170"/>
      <c r="M350" s="730"/>
      <c r="N350" s="730"/>
      <c r="O350" s="730"/>
      <c r="P350" s="731"/>
      <c r="Q350" s="731"/>
      <c r="R350" s="730"/>
      <c r="S350" s="730"/>
      <c r="T350" s="723"/>
      <c r="U350" s="724"/>
      <c r="V350" s="725"/>
      <c r="W350" s="725"/>
      <c r="X350" s="723"/>
      <c r="Y350" s="723"/>
      <c r="Z350" s="723"/>
      <c r="AA350" s="726"/>
      <c r="AB350" s="726"/>
      <c r="AC350" s="170"/>
      <c r="AD350" s="586">
        <f t="shared" si="682"/>
        <v>0</v>
      </c>
      <c r="AE350" s="586">
        <f t="shared" si="682"/>
        <v>0</v>
      </c>
      <c r="AF350" s="586">
        <f t="shared" si="682"/>
        <v>0</v>
      </c>
      <c r="AG350" s="586">
        <f t="shared" si="682"/>
        <v>0</v>
      </c>
      <c r="AH350" s="586">
        <f t="shared" si="682"/>
        <v>0</v>
      </c>
      <c r="AI350" s="586">
        <f t="shared" si="682"/>
        <v>0</v>
      </c>
      <c r="AJ350" s="586">
        <f t="shared" si="682"/>
        <v>0</v>
      </c>
      <c r="AK350" s="586">
        <f t="shared" si="682"/>
        <v>0</v>
      </c>
      <c r="AL350" s="586">
        <f t="shared" si="682"/>
        <v>0</v>
      </c>
      <c r="AM350" s="586">
        <f t="shared" si="682"/>
        <v>0</v>
      </c>
      <c r="AN350" s="586">
        <f t="shared" si="682"/>
        <v>0</v>
      </c>
      <c r="AO350" s="586">
        <f t="shared" si="682"/>
        <v>0</v>
      </c>
      <c r="AP350" s="586">
        <f t="shared" si="682"/>
        <v>0</v>
      </c>
      <c r="AQ350" s="586">
        <f t="shared" si="682"/>
        <v>0</v>
      </c>
      <c r="AR350" s="586">
        <f t="shared" si="682"/>
        <v>0</v>
      </c>
      <c r="AS350" s="586">
        <f t="shared" si="682"/>
        <v>0</v>
      </c>
      <c r="AT350" s="170"/>
      <c r="AU350" s="170"/>
      <c r="AV350" s="170"/>
      <c r="AW350" s="828"/>
      <c r="AX350" s="726"/>
    </row>
    <row r="351" spans="1:50" ht="15" x14ac:dyDescent="0.25">
      <c r="A351" s="170"/>
      <c r="B351" s="719"/>
      <c r="C351" s="170" t="str">
        <f t="shared" si="679"/>
        <v>870</v>
      </c>
      <c r="D351" s="170"/>
      <c r="E351" s="170"/>
      <c r="F351" s="170">
        <f>+Parameters!D90</f>
        <v>87</v>
      </c>
      <c r="G351" s="170">
        <f>+Parameters!E90</f>
        <v>0</v>
      </c>
      <c r="H351" s="586">
        <f t="shared" si="680"/>
        <v>0</v>
      </c>
      <c r="I351" s="170">
        <f>+Parameters!F90</f>
        <v>0</v>
      </c>
      <c r="J351" s="170"/>
      <c r="K351" s="170"/>
      <c r="L351" s="170"/>
      <c r="M351" s="730"/>
      <c r="N351" s="730"/>
      <c r="O351" s="730"/>
      <c r="P351" s="731"/>
      <c r="Q351" s="731"/>
      <c r="R351" s="730"/>
      <c r="S351" s="730"/>
      <c r="T351" s="723"/>
      <c r="U351" s="724"/>
      <c r="V351" s="725"/>
      <c r="W351" s="725"/>
      <c r="X351" s="723"/>
      <c r="Y351" s="723"/>
      <c r="Z351" s="723"/>
      <c r="AA351" s="726"/>
      <c r="AB351" s="726"/>
      <c r="AC351" s="170"/>
      <c r="AD351" s="586">
        <f t="shared" si="682"/>
        <v>0</v>
      </c>
      <c r="AE351" s="586">
        <f t="shared" si="682"/>
        <v>0</v>
      </c>
      <c r="AF351" s="586">
        <f t="shared" si="682"/>
        <v>0</v>
      </c>
      <c r="AG351" s="586">
        <f t="shared" si="682"/>
        <v>0</v>
      </c>
      <c r="AH351" s="586">
        <f t="shared" si="682"/>
        <v>0</v>
      </c>
      <c r="AI351" s="586">
        <f t="shared" si="682"/>
        <v>0</v>
      </c>
      <c r="AJ351" s="586">
        <f t="shared" si="682"/>
        <v>0</v>
      </c>
      <c r="AK351" s="586">
        <f t="shared" si="682"/>
        <v>0</v>
      </c>
      <c r="AL351" s="586">
        <f t="shared" si="682"/>
        <v>0</v>
      </c>
      <c r="AM351" s="586">
        <f t="shared" si="682"/>
        <v>0</v>
      </c>
      <c r="AN351" s="586">
        <f t="shared" si="682"/>
        <v>0</v>
      </c>
      <c r="AO351" s="586">
        <f t="shared" si="682"/>
        <v>0</v>
      </c>
      <c r="AP351" s="586">
        <f t="shared" si="682"/>
        <v>0</v>
      </c>
      <c r="AQ351" s="586">
        <f t="shared" si="682"/>
        <v>0</v>
      </c>
      <c r="AR351" s="586">
        <f t="shared" si="682"/>
        <v>0</v>
      </c>
      <c r="AS351" s="586">
        <f t="shared" si="682"/>
        <v>0</v>
      </c>
      <c r="AT351" s="170"/>
      <c r="AU351" s="170"/>
      <c r="AV351" s="170"/>
      <c r="AW351" s="828"/>
      <c r="AX351" s="726"/>
    </row>
    <row r="352" spans="1:50" ht="15" x14ac:dyDescent="0.25">
      <c r="A352" s="170"/>
      <c r="B352" s="719"/>
      <c r="C352" s="170" t="str">
        <f t="shared" si="679"/>
        <v>880</v>
      </c>
      <c r="D352" s="170"/>
      <c r="E352" s="170"/>
      <c r="F352" s="170">
        <f>+Parameters!D91</f>
        <v>88</v>
      </c>
      <c r="G352" s="170">
        <f>+Parameters!E91</f>
        <v>0</v>
      </c>
      <c r="H352" s="586">
        <f t="shared" si="680"/>
        <v>0</v>
      </c>
      <c r="I352" s="170">
        <f>+Parameters!F91</f>
        <v>0</v>
      </c>
      <c r="J352" s="170"/>
      <c r="K352" s="170"/>
      <c r="L352" s="170"/>
      <c r="M352" s="730"/>
      <c r="N352" s="730"/>
      <c r="O352" s="730"/>
      <c r="P352" s="731"/>
      <c r="Q352" s="731"/>
      <c r="R352" s="730"/>
      <c r="S352" s="730"/>
      <c r="T352" s="723"/>
      <c r="U352" s="724"/>
      <c r="V352" s="725"/>
      <c r="W352" s="725"/>
      <c r="X352" s="723"/>
      <c r="Y352" s="723"/>
      <c r="Z352" s="723"/>
      <c r="AA352" s="726"/>
      <c r="AB352" s="726"/>
      <c r="AC352" s="170"/>
      <c r="AD352" s="586">
        <f t="shared" si="682"/>
        <v>0</v>
      </c>
      <c r="AE352" s="586">
        <f t="shared" si="682"/>
        <v>0</v>
      </c>
      <c r="AF352" s="586">
        <f t="shared" si="682"/>
        <v>0</v>
      </c>
      <c r="AG352" s="586">
        <f t="shared" si="682"/>
        <v>0</v>
      </c>
      <c r="AH352" s="586">
        <f t="shared" si="682"/>
        <v>0</v>
      </c>
      <c r="AI352" s="586">
        <f t="shared" si="682"/>
        <v>0</v>
      </c>
      <c r="AJ352" s="586">
        <f t="shared" si="682"/>
        <v>0</v>
      </c>
      <c r="AK352" s="586">
        <f t="shared" si="682"/>
        <v>0</v>
      </c>
      <c r="AL352" s="586">
        <f t="shared" si="682"/>
        <v>0</v>
      </c>
      <c r="AM352" s="586">
        <f t="shared" si="682"/>
        <v>0</v>
      </c>
      <c r="AN352" s="586">
        <f t="shared" si="682"/>
        <v>0</v>
      </c>
      <c r="AO352" s="586">
        <f t="shared" si="682"/>
        <v>0</v>
      </c>
      <c r="AP352" s="586">
        <f t="shared" si="682"/>
        <v>0</v>
      </c>
      <c r="AQ352" s="586">
        <f t="shared" si="682"/>
        <v>0</v>
      </c>
      <c r="AR352" s="586">
        <f t="shared" si="682"/>
        <v>0</v>
      </c>
      <c r="AS352" s="586">
        <f t="shared" si="682"/>
        <v>0</v>
      </c>
      <c r="AT352" s="170"/>
      <c r="AU352" s="170"/>
      <c r="AV352" s="170"/>
      <c r="AW352" s="828"/>
      <c r="AX352" s="726"/>
    </row>
    <row r="353" spans="1:50" ht="15" x14ac:dyDescent="0.25">
      <c r="A353" s="170"/>
      <c r="B353" s="719"/>
      <c r="C353" s="170" t="str">
        <f t="shared" si="679"/>
        <v>89ea</v>
      </c>
      <c r="D353" s="170"/>
      <c r="E353" s="170"/>
      <c r="F353" s="170">
        <f>+Parameters!D92</f>
        <v>89</v>
      </c>
      <c r="G353" s="170" t="str">
        <f>+Parameters!E92</f>
        <v>Misc. Protection and controls Eqt.</v>
      </c>
      <c r="H353" s="586">
        <f t="shared" si="680"/>
        <v>0</v>
      </c>
      <c r="I353" s="170" t="str">
        <f>+Parameters!F92</f>
        <v>ea</v>
      </c>
      <c r="J353" s="170"/>
      <c r="K353" s="170"/>
      <c r="L353" s="170"/>
      <c r="M353" s="730"/>
      <c r="N353" s="730"/>
      <c r="O353" s="730"/>
      <c r="P353" s="731"/>
      <c r="Q353" s="731"/>
      <c r="R353" s="730"/>
      <c r="S353" s="730"/>
      <c r="T353" s="723"/>
      <c r="U353" s="724"/>
      <c r="V353" s="725"/>
      <c r="W353" s="725"/>
      <c r="X353" s="723"/>
      <c r="Y353" s="723"/>
      <c r="Z353" s="723"/>
      <c r="AA353" s="726"/>
      <c r="AB353" s="726"/>
      <c r="AC353" s="170"/>
      <c r="AD353" s="586">
        <f t="shared" si="682"/>
        <v>0</v>
      </c>
      <c r="AE353" s="586">
        <f t="shared" si="682"/>
        <v>0</v>
      </c>
      <c r="AF353" s="586">
        <f t="shared" si="682"/>
        <v>0</v>
      </c>
      <c r="AG353" s="586">
        <f t="shared" si="682"/>
        <v>0</v>
      </c>
      <c r="AH353" s="586">
        <f t="shared" si="682"/>
        <v>0</v>
      </c>
      <c r="AI353" s="586">
        <f t="shared" si="682"/>
        <v>0</v>
      </c>
      <c r="AJ353" s="586">
        <f t="shared" si="682"/>
        <v>0</v>
      </c>
      <c r="AK353" s="586">
        <f t="shared" si="682"/>
        <v>0</v>
      </c>
      <c r="AL353" s="586">
        <f t="shared" si="682"/>
        <v>0</v>
      </c>
      <c r="AM353" s="586">
        <f t="shared" si="682"/>
        <v>0</v>
      </c>
      <c r="AN353" s="586">
        <f t="shared" si="682"/>
        <v>0</v>
      </c>
      <c r="AO353" s="586">
        <f t="shared" si="682"/>
        <v>0</v>
      </c>
      <c r="AP353" s="586">
        <f t="shared" si="682"/>
        <v>0</v>
      </c>
      <c r="AQ353" s="586">
        <f t="shared" si="682"/>
        <v>0</v>
      </c>
      <c r="AR353" s="586">
        <f t="shared" si="682"/>
        <v>0</v>
      </c>
      <c r="AS353" s="586">
        <f t="shared" si="682"/>
        <v>0</v>
      </c>
      <c r="AT353" s="170"/>
      <c r="AU353" s="170"/>
      <c r="AV353" s="170"/>
      <c r="AW353" s="828"/>
      <c r="AX353" s="726"/>
    </row>
    <row r="354" spans="1:50" ht="15" x14ac:dyDescent="0.25">
      <c r="A354" s="170"/>
      <c r="B354" s="719"/>
      <c r="C354" s="170" t="str">
        <f t="shared" si="679"/>
        <v>900</v>
      </c>
      <c r="D354" s="170"/>
      <c r="E354" s="170"/>
      <c r="F354" s="170">
        <f>+Parameters!D93</f>
        <v>90</v>
      </c>
      <c r="G354" s="170" t="str">
        <f>+Parameters!E93</f>
        <v>Environmental</v>
      </c>
      <c r="H354" s="586">
        <f t="shared" si="680"/>
        <v>0</v>
      </c>
      <c r="I354" s="170">
        <f>+Parameters!F93</f>
        <v>0</v>
      </c>
      <c r="J354" s="170"/>
      <c r="K354" s="170"/>
      <c r="L354" s="170"/>
      <c r="M354" s="730"/>
      <c r="N354" s="730"/>
      <c r="O354" s="730"/>
      <c r="P354" s="731"/>
      <c r="Q354" s="731"/>
      <c r="R354" s="730"/>
      <c r="S354" s="730"/>
      <c r="T354" s="723"/>
      <c r="U354" s="724"/>
      <c r="V354" s="725"/>
      <c r="W354" s="725"/>
      <c r="X354" s="723"/>
      <c r="Y354" s="723"/>
      <c r="Z354" s="723"/>
      <c r="AA354" s="726"/>
      <c r="AB354" s="726"/>
      <c r="AC354" s="170"/>
      <c r="AD354" s="586">
        <f t="shared" si="682"/>
        <v>0</v>
      </c>
      <c r="AE354" s="586">
        <f t="shared" si="682"/>
        <v>0</v>
      </c>
      <c r="AF354" s="586">
        <f t="shared" si="682"/>
        <v>0</v>
      </c>
      <c r="AG354" s="586">
        <f t="shared" si="682"/>
        <v>0</v>
      </c>
      <c r="AH354" s="586">
        <f t="shared" si="682"/>
        <v>0</v>
      </c>
      <c r="AI354" s="586">
        <f t="shared" si="682"/>
        <v>0</v>
      </c>
      <c r="AJ354" s="586">
        <f t="shared" si="682"/>
        <v>0</v>
      </c>
      <c r="AK354" s="586">
        <f t="shared" si="682"/>
        <v>0</v>
      </c>
      <c r="AL354" s="586">
        <f t="shared" si="682"/>
        <v>0</v>
      </c>
      <c r="AM354" s="586">
        <f t="shared" si="682"/>
        <v>0</v>
      </c>
      <c r="AN354" s="586">
        <f t="shared" si="682"/>
        <v>0</v>
      </c>
      <c r="AO354" s="586">
        <f t="shared" si="682"/>
        <v>0</v>
      </c>
      <c r="AP354" s="586">
        <f t="shared" si="682"/>
        <v>0</v>
      </c>
      <c r="AQ354" s="586">
        <f t="shared" si="682"/>
        <v>0</v>
      </c>
      <c r="AR354" s="586">
        <f t="shared" si="682"/>
        <v>0</v>
      </c>
      <c r="AS354" s="586">
        <f t="shared" si="682"/>
        <v>0</v>
      </c>
      <c r="AT354" s="170"/>
      <c r="AU354" s="170"/>
      <c r="AV354" s="170"/>
      <c r="AW354" s="828"/>
      <c r="AX354" s="726"/>
    </row>
    <row r="355" spans="1:50" ht="15" x14ac:dyDescent="0.25">
      <c r="A355" s="170"/>
      <c r="B355" s="719"/>
      <c r="C355" s="170" t="str">
        <f t="shared" si="679"/>
        <v>910</v>
      </c>
      <c r="D355" s="170"/>
      <c r="E355" s="170"/>
      <c r="F355" s="170">
        <f>+Parameters!D94</f>
        <v>91</v>
      </c>
      <c r="G355" s="170">
        <f>+Parameters!E94</f>
        <v>0</v>
      </c>
      <c r="H355" s="586">
        <f t="shared" si="680"/>
        <v>0</v>
      </c>
      <c r="I355" s="170">
        <f>+Parameters!F94</f>
        <v>0</v>
      </c>
      <c r="J355" s="170"/>
      <c r="K355" s="170"/>
      <c r="L355" s="170"/>
      <c r="M355" s="730"/>
      <c r="N355" s="730"/>
      <c r="O355" s="730"/>
      <c r="P355" s="731"/>
      <c r="Q355" s="731"/>
      <c r="R355" s="730"/>
      <c r="S355" s="730"/>
      <c r="T355" s="723"/>
      <c r="U355" s="724"/>
      <c r="V355" s="725"/>
      <c r="W355" s="725"/>
      <c r="X355" s="723"/>
      <c r="Y355" s="723"/>
      <c r="Z355" s="723"/>
      <c r="AA355" s="726"/>
      <c r="AB355" s="726"/>
      <c r="AC355" s="170"/>
      <c r="AD355" s="586">
        <f t="shared" ref="AD355:AS365" si="683">SUMIF($F$9:$F$262,$F355,AD$9:AD$262)</f>
        <v>0</v>
      </c>
      <c r="AE355" s="586">
        <f t="shared" si="683"/>
        <v>0</v>
      </c>
      <c r="AF355" s="586">
        <f t="shared" si="683"/>
        <v>0</v>
      </c>
      <c r="AG355" s="586">
        <f t="shared" si="683"/>
        <v>0</v>
      </c>
      <c r="AH355" s="586">
        <f t="shared" si="683"/>
        <v>0</v>
      </c>
      <c r="AI355" s="586">
        <f t="shared" si="683"/>
        <v>0</v>
      </c>
      <c r="AJ355" s="586">
        <f t="shared" si="683"/>
        <v>0</v>
      </c>
      <c r="AK355" s="586">
        <f t="shared" si="683"/>
        <v>0</v>
      </c>
      <c r="AL355" s="586">
        <f t="shared" si="683"/>
        <v>0</v>
      </c>
      <c r="AM355" s="586">
        <f t="shared" si="683"/>
        <v>0</v>
      </c>
      <c r="AN355" s="586">
        <f t="shared" si="683"/>
        <v>0</v>
      </c>
      <c r="AO355" s="586">
        <f t="shared" si="683"/>
        <v>0</v>
      </c>
      <c r="AP355" s="586">
        <f t="shared" si="683"/>
        <v>0</v>
      </c>
      <c r="AQ355" s="586">
        <f t="shared" si="683"/>
        <v>0</v>
      </c>
      <c r="AR355" s="586">
        <f t="shared" si="683"/>
        <v>0</v>
      </c>
      <c r="AS355" s="586">
        <f t="shared" si="683"/>
        <v>0</v>
      </c>
      <c r="AT355" s="170"/>
      <c r="AU355" s="170"/>
      <c r="AV355" s="170"/>
      <c r="AW355" s="828"/>
      <c r="AX355" s="726"/>
    </row>
    <row r="356" spans="1:50" ht="15" x14ac:dyDescent="0.25">
      <c r="A356" s="170"/>
      <c r="B356" s="719"/>
      <c r="C356" s="170" t="str">
        <f t="shared" si="679"/>
        <v>920</v>
      </c>
      <c r="D356" s="170"/>
      <c r="E356" s="170"/>
      <c r="F356" s="170">
        <f>+Parameters!D95</f>
        <v>92</v>
      </c>
      <c r="G356" s="170">
        <f>+Parameters!E95</f>
        <v>0</v>
      </c>
      <c r="H356" s="586">
        <f t="shared" si="680"/>
        <v>0</v>
      </c>
      <c r="I356" s="170">
        <f>+Parameters!F95</f>
        <v>0</v>
      </c>
      <c r="J356" s="170"/>
      <c r="K356" s="170"/>
      <c r="L356" s="170"/>
      <c r="M356" s="730"/>
      <c r="N356" s="730"/>
      <c r="O356" s="730"/>
      <c r="P356" s="731"/>
      <c r="Q356" s="731"/>
      <c r="R356" s="730"/>
      <c r="S356" s="730"/>
      <c r="T356" s="723"/>
      <c r="U356" s="724"/>
      <c r="V356" s="725"/>
      <c r="W356" s="725"/>
      <c r="X356" s="723"/>
      <c r="Y356" s="723"/>
      <c r="Z356" s="723"/>
      <c r="AA356" s="726"/>
      <c r="AB356" s="726"/>
      <c r="AC356" s="170"/>
      <c r="AD356" s="586">
        <f t="shared" si="683"/>
        <v>0</v>
      </c>
      <c r="AE356" s="586">
        <f t="shared" si="683"/>
        <v>0</v>
      </c>
      <c r="AF356" s="586">
        <f t="shared" si="683"/>
        <v>0</v>
      </c>
      <c r="AG356" s="586">
        <f t="shared" si="683"/>
        <v>0</v>
      </c>
      <c r="AH356" s="586">
        <f t="shared" si="683"/>
        <v>0</v>
      </c>
      <c r="AI356" s="586">
        <f t="shared" si="683"/>
        <v>0</v>
      </c>
      <c r="AJ356" s="586">
        <f t="shared" si="683"/>
        <v>0</v>
      </c>
      <c r="AK356" s="586">
        <f t="shared" si="683"/>
        <v>0</v>
      </c>
      <c r="AL356" s="586">
        <f t="shared" si="683"/>
        <v>0</v>
      </c>
      <c r="AM356" s="586">
        <f t="shared" si="683"/>
        <v>0</v>
      </c>
      <c r="AN356" s="586">
        <f t="shared" si="683"/>
        <v>0</v>
      </c>
      <c r="AO356" s="586">
        <f t="shared" si="683"/>
        <v>0</v>
      </c>
      <c r="AP356" s="586">
        <f t="shared" si="683"/>
        <v>0</v>
      </c>
      <c r="AQ356" s="586">
        <f t="shared" si="683"/>
        <v>0</v>
      </c>
      <c r="AR356" s="586">
        <f t="shared" si="683"/>
        <v>0</v>
      </c>
      <c r="AS356" s="586">
        <f t="shared" si="683"/>
        <v>0</v>
      </c>
      <c r="AT356" s="170"/>
      <c r="AU356" s="170"/>
      <c r="AV356" s="170"/>
      <c r="AW356" s="828"/>
      <c r="AX356" s="726"/>
    </row>
    <row r="357" spans="1:50" ht="15" x14ac:dyDescent="0.25">
      <c r="A357" s="170"/>
      <c r="B357" s="719"/>
      <c r="C357" s="170" t="str">
        <f t="shared" si="679"/>
        <v>930</v>
      </c>
      <c r="D357" s="170"/>
      <c r="E357" s="170"/>
      <c r="F357" s="170">
        <f>+Parameters!D96</f>
        <v>93</v>
      </c>
      <c r="G357" s="170">
        <f>+Parameters!E96</f>
        <v>0</v>
      </c>
      <c r="H357" s="586">
        <f t="shared" si="680"/>
        <v>0</v>
      </c>
      <c r="I357" s="170">
        <f>+Parameters!F96</f>
        <v>0</v>
      </c>
      <c r="J357" s="170"/>
      <c r="K357" s="170"/>
      <c r="L357" s="170"/>
      <c r="M357" s="730"/>
      <c r="N357" s="730"/>
      <c r="O357" s="730"/>
      <c r="P357" s="731"/>
      <c r="Q357" s="731"/>
      <c r="R357" s="730"/>
      <c r="S357" s="730"/>
      <c r="T357" s="723"/>
      <c r="U357" s="724"/>
      <c r="V357" s="725"/>
      <c r="W357" s="725"/>
      <c r="X357" s="723"/>
      <c r="Y357" s="723"/>
      <c r="Z357" s="723"/>
      <c r="AA357" s="726"/>
      <c r="AB357" s="726"/>
      <c r="AC357" s="170"/>
      <c r="AD357" s="586">
        <f t="shared" si="683"/>
        <v>0</v>
      </c>
      <c r="AE357" s="586">
        <f t="shared" si="683"/>
        <v>0</v>
      </c>
      <c r="AF357" s="586">
        <f t="shared" si="683"/>
        <v>0</v>
      </c>
      <c r="AG357" s="586">
        <f t="shared" si="683"/>
        <v>0</v>
      </c>
      <c r="AH357" s="586">
        <f t="shared" si="683"/>
        <v>0</v>
      </c>
      <c r="AI357" s="586">
        <f t="shared" si="683"/>
        <v>0</v>
      </c>
      <c r="AJ357" s="586">
        <f t="shared" si="683"/>
        <v>0</v>
      </c>
      <c r="AK357" s="586">
        <f t="shared" si="683"/>
        <v>0</v>
      </c>
      <c r="AL357" s="586">
        <f t="shared" si="683"/>
        <v>0</v>
      </c>
      <c r="AM357" s="586">
        <f t="shared" si="683"/>
        <v>0</v>
      </c>
      <c r="AN357" s="586">
        <f t="shared" si="683"/>
        <v>0</v>
      </c>
      <c r="AO357" s="586">
        <f t="shared" si="683"/>
        <v>0</v>
      </c>
      <c r="AP357" s="586">
        <f t="shared" si="683"/>
        <v>0</v>
      </c>
      <c r="AQ357" s="586">
        <f t="shared" si="683"/>
        <v>0</v>
      </c>
      <c r="AR357" s="586">
        <f t="shared" si="683"/>
        <v>0</v>
      </c>
      <c r="AS357" s="586">
        <f t="shared" si="683"/>
        <v>0</v>
      </c>
      <c r="AT357" s="170"/>
      <c r="AU357" s="170"/>
      <c r="AV357" s="170"/>
      <c r="AW357" s="828"/>
      <c r="AX357" s="726"/>
    </row>
    <row r="358" spans="1:50" ht="15" x14ac:dyDescent="0.25">
      <c r="A358" s="170"/>
      <c r="B358" s="719"/>
      <c r="C358" s="170" t="str">
        <f t="shared" si="679"/>
        <v>940</v>
      </c>
      <c r="D358" s="170"/>
      <c r="E358" s="170"/>
      <c r="F358" s="170">
        <f>+Parameters!D97</f>
        <v>94</v>
      </c>
      <c r="G358" s="170">
        <f>+Parameters!E97</f>
        <v>0</v>
      </c>
      <c r="H358" s="586">
        <f t="shared" si="680"/>
        <v>0</v>
      </c>
      <c r="I358" s="170">
        <f>+Parameters!F97</f>
        <v>0</v>
      </c>
      <c r="J358" s="170"/>
      <c r="K358" s="170"/>
      <c r="L358" s="170"/>
      <c r="M358" s="730"/>
      <c r="N358" s="730"/>
      <c r="O358" s="730"/>
      <c r="P358" s="731"/>
      <c r="Q358" s="731"/>
      <c r="R358" s="730"/>
      <c r="S358" s="730"/>
      <c r="T358" s="723"/>
      <c r="U358" s="724"/>
      <c r="V358" s="725"/>
      <c r="W358" s="725"/>
      <c r="X358" s="723"/>
      <c r="Y358" s="723"/>
      <c r="Z358" s="723"/>
      <c r="AA358" s="726"/>
      <c r="AB358" s="726"/>
      <c r="AC358" s="170"/>
      <c r="AD358" s="586">
        <f t="shared" si="683"/>
        <v>0</v>
      </c>
      <c r="AE358" s="586">
        <f t="shared" si="683"/>
        <v>0</v>
      </c>
      <c r="AF358" s="586">
        <f t="shared" si="683"/>
        <v>0</v>
      </c>
      <c r="AG358" s="586">
        <f t="shared" si="683"/>
        <v>0</v>
      </c>
      <c r="AH358" s="586">
        <f t="shared" si="683"/>
        <v>0</v>
      </c>
      <c r="AI358" s="586">
        <f t="shared" si="683"/>
        <v>0</v>
      </c>
      <c r="AJ358" s="586">
        <f t="shared" si="683"/>
        <v>0</v>
      </c>
      <c r="AK358" s="586">
        <f t="shared" si="683"/>
        <v>0</v>
      </c>
      <c r="AL358" s="586">
        <f t="shared" si="683"/>
        <v>0</v>
      </c>
      <c r="AM358" s="586">
        <f t="shared" si="683"/>
        <v>0</v>
      </c>
      <c r="AN358" s="586">
        <f t="shared" si="683"/>
        <v>0</v>
      </c>
      <c r="AO358" s="586">
        <f t="shared" si="683"/>
        <v>0</v>
      </c>
      <c r="AP358" s="586">
        <f t="shared" si="683"/>
        <v>0</v>
      </c>
      <c r="AQ358" s="586">
        <f t="shared" si="683"/>
        <v>0</v>
      </c>
      <c r="AR358" s="586">
        <f t="shared" si="683"/>
        <v>0</v>
      </c>
      <c r="AS358" s="586">
        <f t="shared" si="683"/>
        <v>0</v>
      </c>
      <c r="AT358" s="170"/>
      <c r="AU358" s="170"/>
      <c r="AV358" s="170"/>
      <c r="AW358" s="828"/>
      <c r="AX358" s="726"/>
    </row>
    <row r="359" spans="1:50" ht="15" x14ac:dyDescent="0.25">
      <c r="A359" s="170"/>
      <c r="B359" s="719"/>
      <c r="C359" s="170" t="str">
        <f t="shared" si="679"/>
        <v>950</v>
      </c>
      <c r="D359" s="170"/>
      <c r="E359" s="170"/>
      <c r="F359" s="170">
        <f>+Parameters!D98</f>
        <v>95</v>
      </c>
      <c r="G359" s="170">
        <f>+Parameters!E98</f>
        <v>0</v>
      </c>
      <c r="H359" s="586">
        <f t="shared" si="680"/>
        <v>0</v>
      </c>
      <c r="I359" s="170">
        <f>+Parameters!F98</f>
        <v>0</v>
      </c>
      <c r="J359" s="170"/>
      <c r="K359" s="170"/>
      <c r="L359" s="170"/>
      <c r="M359" s="730"/>
      <c r="N359" s="730"/>
      <c r="O359" s="730"/>
      <c r="P359" s="731"/>
      <c r="Q359" s="731"/>
      <c r="R359" s="730"/>
      <c r="S359" s="730"/>
      <c r="T359" s="723"/>
      <c r="U359" s="724"/>
      <c r="V359" s="725"/>
      <c r="W359" s="725"/>
      <c r="X359" s="723"/>
      <c r="Y359" s="723"/>
      <c r="Z359" s="723"/>
      <c r="AA359" s="726"/>
      <c r="AB359" s="726"/>
      <c r="AC359" s="170"/>
      <c r="AD359" s="586">
        <f t="shared" si="683"/>
        <v>0</v>
      </c>
      <c r="AE359" s="586">
        <f t="shared" si="683"/>
        <v>0</v>
      </c>
      <c r="AF359" s="586">
        <f t="shared" si="683"/>
        <v>0</v>
      </c>
      <c r="AG359" s="586">
        <f t="shared" si="683"/>
        <v>0</v>
      </c>
      <c r="AH359" s="586">
        <f t="shared" si="683"/>
        <v>0</v>
      </c>
      <c r="AI359" s="586">
        <f t="shared" si="683"/>
        <v>0</v>
      </c>
      <c r="AJ359" s="586">
        <f t="shared" si="683"/>
        <v>0</v>
      </c>
      <c r="AK359" s="586">
        <f t="shared" si="683"/>
        <v>0</v>
      </c>
      <c r="AL359" s="586">
        <f t="shared" si="683"/>
        <v>0</v>
      </c>
      <c r="AM359" s="586">
        <f t="shared" si="683"/>
        <v>0</v>
      </c>
      <c r="AN359" s="586">
        <f t="shared" si="683"/>
        <v>0</v>
      </c>
      <c r="AO359" s="586">
        <f t="shared" si="683"/>
        <v>0</v>
      </c>
      <c r="AP359" s="586">
        <f t="shared" si="683"/>
        <v>0</v>
      </c>
      <c r="AQ359" s="586">
        <f t="shared" si="683"/>
        <v>0</v>
      </c>
      <c r="AR359" s="586">
        <f t="shared" si="683"/>
        <v>0</v>
      </c>
      <c r="AS359" s="586">
        <f t="shared" si="683"/>
        <v>0</v>
      </c>
      <c r="AT359" s="170"/>
      <c r="AU359" s="170"/>
      <c r="AV359" s="170"/>
      <c r="AW359" s="828"/>
      <c r="AX359" s="726"/>
    </row>
    <row r="360" spans="1:50" ht="15" x14ac:dyDescent="0.25">
      <c r="A360" s="170"/>
      <c r="B360" s="719"/>
      <c r="C360" s="170" t="str">
        <f t="shared" si="679"/>
        <v>960</v>
      </c>
      <c r="D360" s="170"/>
      <c r="E360" s="170"/>
      <c r="F360" s="170">
        <f>+Parameters!D99</f>
        <v>96</v>
      </c>
      <c r="G360" s="170">
        <f>+Parameters!E99</f>
        <v>0</v>
      </c>
      <c r="H360" s="586">
        <f t="shared" si="680"/>
        <v>0</v>
      </c>
      <c r="I360" s="170">
        <f>+Parameters!F99</f>
        <v>0</v>
      </c>
      <c r="J360" s="170"/>
      <c r="K360" s="170"/>
      <c r="L360" s="170"/>
      <c r="M360" s="730"/>
      <c r="N360" s="730"/>
      <c r="O360" s="730"/>
      <c r="P360" s="731"/>
      <c r="Q360" s="731"/>
      <c r="R360" s="730"/>
      <c r="S360" s="730"/>
      <c r="T360" s="723"/>
      <c r="U360" s="724"/>
      <c r="V360" s="725"/>
      <c r="W360" s="725"/>
      <c r="X360" s="723"/>
      <c r="Y360" s="723"/>
      <c r="Z360" s="723"/>
      <c r="AA360" s="726"/>
      <c r="AB360" s="726"/>
      <c r="AC360" s="170"/>
      <c r="AD360" s="586">
        <f t="shared" si="683"/>
        <v>0</v>
      </c>
      <c r="AE360" s="586">
        <f t="shared" si="683"/>
        <v>0</v>
      </c>
      <c r="AF360" s="586">
        <f t="shared" si="683"/>
        <v>0</v>
      </c>
      <c r="AG360" s="586">
        <f t="shared" si="683"/>
        <v>0</v>
      </c>
      <c r="AH360" s="586">
        <f t="shared" si="683"/>
        <v>0</v>
      </c>
      <c r="AI360" s="586">
        <f t="shared" si="683"/>
        <v>0</v>
      </c>
      <c r="AJ360" s="586">
        <f t="shared" si="683"/>
        <v>0</v>
      </c>
      <c r="AK360" s="586">
        <f t="shared" si="683"/>
        <v>0</v>
      </c>
      <c r="AL360" s="586">
        <f t="shared" si="683"/>
        <v>0</v>
      </c>
      <c r="AM360" s="586">
        <f t="shared" si="683"/>
        <v>0</v>
      </c>
      <c r="AN360" s="586">
        <f t="shared" si="683"/>
        <v>0</v>
      </c>
      <c r="AO360" s="586">
        <f t="shared" si="683"/>
        <v>0</v>
      </c>
      <c r="AP360" s="586">
        <f t="shared" si="683"/>
        <v>0</v>
      </c>
      <c r="AQ360" s="586">
        <f t="shared" si="683"/>
        <v>0</v>
      </c>
      <c r="AR360" s="586">
        <f t="shared" si="683"/>
        <v>0</v>
      </c>
      <c r="AS360" s="586">
        <f t="shared" si="683"/>
        <v>0</v>
      </c>
      <c r="AT360" s="170"/>
      <c r="AU360" s="170"/>
      <c r="AV360" s="170"/>
      <c r="AW360" s="828"/>
      <c r="AX360" s="726"/>
    </row>
    <row r="361" spans="1:50" ht="15" x14ac:dyDescent="0.25">
      <c r="A361" s="170"/>
      <c r="B361" s="719"/>
      <c r="C361" s="170" t="str">
        <f t="shared" si="679"/>
        <v>970</v>
      </c>
      <c r="D361" s="170"/>
      <c r="E361" s="170"/>
      <c r="F361" s="170">
        <f>+Parameters!D100</f>
        <v>97</v>
      </c>
      <c r="G361" s="170">
        <f>+Parameters!E100</f>
        <v>0</v>
      </c>
      <c r="H361" s="586">
        <f t="shared" si="680"/>
        <v>0</v>
      </c>
      <c r="I361" s="170">
        <f>+Parameters!F100</f>
        <v>0</v>
      </c>
      <c r="J361" s="170"/>
      <c r="K361" s="170"/>
      <c r="L361" s="170"/>
      <c r="M361" s="730"/>
      <c r="N361" s="730"/>
      <c r="O361" s="730"/>
      <c r="P361" s="731"/>
      <c r="Q361" s="731"/>
      <c r="R361" s="730"/>
      <c r="S361" s="730"/>
      <c r="T361" s="723"/>
      <c r="U361" s="724"/>
      <c r="V361" s="725"/>
      <c r="W361" s="725"/>
      <c r="X361" s="723"/>
      <c r="Y361" s="723"/>
      <c r="Z361" s="723"/>
      <c r="AA361" s="726"/>
      <c r="AB361" s="726"/>
      <c r="AC361" s="170"/>
      <c r="AD361" s="586">
        <f t="shared" si="683"/>
        <v>0</v>
      </c>
      <c r="AE361" s="586">
        <f t="shared" si="683"/>
        <v>0</v>
      </c>
      <c r="AF361" s="586">
        <f t="shared" si="683"/>
        <v>0</v>
      </c>
      <c r="AG361" s="586">
        <f t="shared" si="683"/>
        <v>0</v>
      </c>
      <c r="AH361" s="586">
        <f t="shared" si="683"/>
        <v>0</v>
      </c>
      <c r="AI361" s="586">
        <f t="shared" si="683"/>
        <v>0</v>
      </c>
      <c r="AJ361" s="586">
        <f t="shared" si="683"/>
        <v>0</v>
      </c>
      <c r="AK361" s="586">
        <f t="shared" si="683"/>
        <v>0</v>
      </c>
      <c r="AL361" s="586">
        <f t="shared" si="683"/>
        <v>0</v>
      </c>
      <c r="AM361" s="586">
        <f t="shared" si="683"/>
        <v>0</v>
      </c>
      <c r="AN361" s="586">
        <f t="shared" si="683"/>
        <v>0</v>
      </c>
      <c r="AO361" s="586">
        <f t="shared" si="683"/>
        <v>0</v>
      </c>
      <c r="AP361" s="586">
        <f t="shared" si="683"/>
        <v>0</v>
      </c>
      <c r="AQ361" s="586">
        <f t="shared" si="683"/>
        <v>0</v>
      </c>
      <c r="AR361" s="586">
        <f t="shared" si="683"/>
        <v>0</v>
      </c>
      <c r="AS361" s="586">
        <f t="shared" si="683"/>
        <v>0</v>
      </c>
      <c r="AT361" s="170"/>
      <c r="AU361" s="170"/>
      <c r="AV361" s="170"/>
      <c r="AW361" s="828"/>
      <c r="AX361" s="726"/>
    </row>
    <row r="362" spans="1:50" ht="15" x14ac:dyDescent="0.25">
      <c r="A362" s="170"/>
      <c r="B362" s="719"/>
      <c r="C362" s="170" t="str">
        <f t="shared" si="679"/>
        <v>980</v>
      </c>
      <c r="D362" s="170"/>
      <c r="E362" s="170"/>
      <c r="F362" s="170">
        <f>+Parameters!D101</f>
        <v>98</v>
      </c>
      <c r="G362" s="170">
        <f>+Parameters!E101</f>
        <v>0</v>
      </c>
      <c r="H362" s="586">
        <f t="shared" si="680"/>
        <v>0</v>
      </c>
      <c r="I362" s="170">
        <f>+Parameters!F101</f>
        <v>0</v>
      </c>
      <c r="J362" s="170"/>
      <c r="K362" s="170"/>
      <c r="L362" s="170"/>
      <c r="M362" s="730"/>
      <c r="N362" s="730"/>
      <c r="O362" s="730"/>
      <c r="P362" s="731"/>
      <c r="Q362" s="731"/>
      <c r="R362" s="730"/>
      <c r="S362" s="730"/>
      <c r="T362" s="723"/>
      <c r="U362" s="724"/>
      <c r="V362" s="725"/>
      <c r="W362" s="725"/>
      <c r="X362" s="723"/>
      <c r="Y362" s="723"/>
      <c r="Z362" s="723"/>
      <c r="AA362" s="726"/>
      <c r="AB362" s="726"/>
      <c r="AC362" s="170"/>
      <c r="AD362" s="586">
        <f t="shared" si="683"/>
        <v>0</v>
      </c>
      <c r="AE362" s="586">
        <f t="shared" si="683"/>
        <v>0</v>
      </c>
      <c r="AF362" s="586">
        <f t="shared" si="683"/>
        <v>0</v>
      </c>
      <c r="AG362" s="586">
        <f t="shared" si="683"/>
        <v>0</v>
      </c>
      <c r="AH362" s="586">
        <f t="shared" si="683"/>
        <v>0</v>
      </c>
      <c r="AI362" s="586">
        <f t="shared" si="683"/>
        <v>0</v>
      </c>
      <c r="AJ362" s="586">
        <f t="shared" si="683"/>
        <v>0</v>
      </c>
      <c r="AK362" s="586">
        <f t="shared" si="683"/>
        <v>0</v>
      </c>
      <c r="AL362" s="586">
        <f t="shared" si="683"/>
        <v>0</v>
      </c>
      <c r="AM362" s="586">
        <f t="shared" si="683"/>
        <v>0</v>
      </c>
      <c r="AN362" s="586">
        <f t="shared" si="683"/>
        <v>0</v>
      </c>
      <c r="AO362" s="586">
        <f t="shared" si="683"/>
        <v>0</v>
      </c>
      <c r="AP362" s="586">
        <f t="shared" si="683"/>
        <v>0</v>
      </c>
      <c r="AQ362" s="586">
        <f t="shared" si="683"/>
        <v>0</v>
      </c>
      <c r="AR362" s="586">
        <f t="shared" si="683"/>
        <v>0</v>
      </c>
      <c r="AS362" s="586">
        <f t="shared" si="683"/>
        <v>0</v>
      </c>
      <c r="AT362" s="170"/>
      <c r="AU362" s="170"/>
      <c r="AV362" s="170"/>
      <c r="AW362" s="828"/>
      <c r="AX362" s="726"/>
    </row>
    <row r="363" spans="1:50" ht="15" x14ac:dyDescent="0.25">
      <c r="A363" s="170"/>
      <c r="B363" s="719"/>
      <c r="C363" s="170" t="str">
        <f t="shared" si="679"/>
        <v>990</v>
      </c>
      <c r="D363" s="170"/>
      <c r="E363" s="170"/>
      <c r="F363" s="170">
        <f>+Parameters!D102</f>
        <v>99</v>
      </c>
      <c r="G363" s="170" t="str">
        <f>+Parameters!E102</f>
        <v>REMOVALS</v>
      </c>
      <c r="H363" s="586">
        <f t="shared" si="680"/>
        <v>0</v>
      </c>
      <c r="I363" s="170">
        <f>+Parameters!F102</f>
        <v>0</v>
      </c>
      <c r="J363" s="170"/>
      <c r="K363" s="170"/>
      <c r="L363" s="170"/>
      <c r="M363" s="730"/>
      <c r="N363" s="730"/>
      <c r="O363" s="730"/>
      <c r="P363" s="731"/>
      <c r="Q363" s="731"/>
      <c r="R363" s="730"/>
      <c r="S363" s="730"/>
      <c r="T363" s="723"/>
      <c r="U363" s="724"/>
      <c r="V363" s="725"/>
      <c r="W363" s="725"/>
      <c r="X363" s="723"/>
      <c r="Y363" s="723"/>
      <c r="Z363" s="723"/>
      <c r="AA363" s="726"/>
      <c r="AB363" s="726"/>
      <c r="AC363" s="170"/>
      <c r="AD363" s="586">
        <f t="shared" si="683"/>
        <v>0</v>
      </c>
      <c r="AE363" s="586">
        <f t="shared" si="683"/>
        <v>0</v>
      </c>
      <c r="AF363" s="586">
        <f t="shared" si="683"/>
        <v>0</v>
      </c>
      <c r="AG363" s="586">
        <f t="shared" si="683"/>
        <v>0</v>
      </c>
      <c r="AH363" s="586">
        <f t="shared" si="683"/>
        <v>0</v>
      </c>
      <c r="AI363" s="586">
        <f t="shared" si="683"/>
        <v>0</v>
      </c>
      <c r="AJ363" s="586">
        <f t="shared" si="683"/>
        <v>0</v>
      </c>
      <c r="AK363" s="586">
        <f t="shared" si="683"/>
        <v>0</v>
      </c>
      <c r="AL363" s="586">
        <f t="shared" si="683"/>
        <v>0</v>
      </c>
      <c r="AM363" s="586">
        <f t="shared" si="683"/>
        <v>0</v>
      </c>
      <c r="AN363" s="586">
        <f t="shared" si="683"/>
        <v>0</v>
      </c>
      <c r="AO363" s="586">
        <f t="shared" si="683"/>
        <v>0</v>
      </c>
      <c r="AP363" s="586">
        <f t="shared" si="683"/>
        <v>0</v>
      </c>
      <c r="AQ363" s="586">
        <f t="shared" si="683"/>
        <v>0</v>
      </c>
      <c r="AR363" s="586">
        <f t="shared" si="683"/>
        <v>0</v>
      </c>
      <c r="AS363" s="586">
        <f t="shared" si="683"/>
        <v>0</v>
      </c>
      <c r="AT363" s="170"/>
      <c r="AU363" s="170"/>
      <c r="AV363" s="170"/>
      <c r="AW363" s="828"/>
      <c r="AX363" s="726"/>
    </row>
    <row r="364" spans="1:50" ht="15" x14ac:dyDescent="0.25">
      <c r="A364" s="170"/>
      <c r="B364" s="719"/>
      <c r="C364" s="170"/>
      <c r="D364" s="170"/>
      <c r="E364" s="170"/>
      <c r="F364" s="170">
        <f>+Parameters!D103</f>
        <v>0</v>
      </c>
      <c r="G364" s="170" t="str">
        <f>+Parameters!E103</f>
        <v>Uncoded amounts ( fix the coding before continuing)</v>
      </c>
      <c r="H364" s="170"/>
      <c r="I364" s="170">
        <f>+Parameters!F103</f>
        <v>0</v>
      </c>
      <c r="J364" s="170"/>
      <c r="K364" s="170"/>
      <c r="L364" s="170"/>
      <c r="M364" s="730"/>
      <c r="N364" s="730"/>
      <c r="O364" s="730"/>
      <c r="P364" s="731"/>
      <c r="Q364" s="731"/>
      <c r="R364" s="730"/>
      <c r="S364" s="730"/>
      <c r="T364" s="723"/>
      <c r="U364" s="724"/>
      <c r="V364" s="725"/>
      <c r="W364" s="725"/>
      <c r="X364" s="723"/>
      <c r="Y364" s="723"/>
      <c r="Z364" s="723"/>
      <c r="AA364" s="726"/>
      <c r="AB364" s="726"/>
      <c r="AC364" s="170"/>
      <c r="AD364" s="586">
        <f t="shared" si="683"/>
        <v>0</v>
      </c>
      <c r="AE364" s="586">
        <f t="shared" si="683"/>
        <v>0</v>
      </c>
      <c r="AF364" s="586">
        <f t="shared" si="683"/>
        <v>0</v>
      </c>
      <c r="AG364" s="586">
        <f t="shared" si="683"/>
        <v>0</v>
      </c>
      <c r="AH364" s="586">
        <f t="shared" si="683"/>
        <v>0</v>
      </c>
      <c r="AI364" s="586">
        <f t="shared" si="683"/>
        <v>0</v>
      </c>
      <c r="AJ364" s="586">
        <f t="shared" si="683"/>
        <v>0</v>
      </c>
      <c r="AK364" s="586">
        <f t="shared" si="683"/>
        <v>0</v>
      </c>
      <c r="AL364" s="586">
        <f t="shared" si="683"/>
        <v>0</v>
      </c>
      <c r="AM364" s="586">
        <f t="shared" si="683"/>
        <v>0</v>
      </c>
      <c r="AN364" s="586">
        <f t="shared" si="683"/>
        <v>0</v>
      </c>
      <c r="AO364" s="586">
        <f t="shared" si="683"/>
        <v>0</v>
      </c>
      <c r="AP364" s="586">
        <f t="shared" si="683"/>
        <v>0</v>
      </c>
      <c r="AQ364" s="586">
        <f t="shared" si="683"/>
        <v>0</v>
      </c>
      <c r="AR364" s="586">
        <f t="shared" si="683"/>
        <v>0</v>
      </c>
      <c r="AS364" s="586">
        <f t="shared" si="683"/>
        <v>0</v>
      </c>
      <c r="AT364" s="170"/>
      <c r="AU364" s="170"/>
      <c r="AV364" s="170"/>
      <c r="AW364" s="828"/>
      <c r="AX364" s="726"/>
    </row>
    <row r="365" spans="1:50" ht="15" x14ac:dyDescent="0.25">
      <c r="A365" s="170"/>
      <c r="B365" s="719"/>
      <c r="C365" s="170"/>
      <c r="D365" s="170"/>
      <c r="E365" s="170"/>
      <c r="F365" s="170">
        <f>+Parameters!D104</f>
        <v>0</v>
      </c>
      <c r="G365" s="170">
        <f>+Parameters!E104</f>
        <v>0</v>
      </c>
      <c r="H365" s="170"/>
      <c r="I365" s="170">
        <f>+Parameters!F104</f>
        <v>0</v>
      </c>
      <c r="J365" s="170"/>
      <c r="K365" s="170"/>
      <c r="L365" s="170"/>
      <c r="M365" s="730"/>
      <c r="N365" s="730"/>
      <c r="O365" s="730"/>
      <c r="P365" s="731"/>
      <c r="Q365" s="731"/>
      <c r="R365" s="730"/>
      <c r="S365" s="730"/>
      <c r="T365" s="723"/>
      <c r="U365" s="724"/>
      <c r="V365" s="725"/>
      <c r="W365" s="725"/>
      <c r="X365" s="723"/>
      <c r="Y365" s="723"/>
      <c r="Z365" s="723"/>
      <c r="AA365" s="726"/>
      <c r="AB365" s="726"/>
      <c r="AC365" s="170"/>
      <c r="AD365" s="586">
        <f t="shared" si="683"/>
        <v>0</v>
      </c>
      <c r="AE365" s="586">
        <f t="shared" si="683"/>
        <v>0</v>
      </c>
      <c r="AF365" s="586">
        <f t="shared" si="683"/>
        <v>0</v>
      </c>
      <c r="AG365" s="586">
        <f t="shared" si="683"/>
        <v>0</v>
      </c>
      <c r="AH365" s="586">
        <f t="shared" si="683"/>
        <v>0</v>
      </c>
      <c r="AI365" s="586">
        <f t="shared" si="683"/>
        <v>0</v>
      </c>
      <c r="AJ365" s="586">
        <f t="shared" si="683"/>
        <v>0</v>
      </c>
      <c r="AK365" s="586">
        <f t="shared" si="683"/>
        <v>0</v>
      </c>
      <c r="AL365" s="586">
        <f t="shared" si="683"/>
        <v>0</v>
      </c>
      <c r="AM365" s="586">
        <f t="shared" si="683"/>
        <v>0</v>
      </c>
      <c r="AN365" s="586">
        <f t="shared" si="683"/>
        <v>0</v>
      </c>
      <c r="AO365" s="586">
        <f t="shared" si="683"/>
        <v>0</v>
      </c>
      <c r="AP365" s="586">
        <f t="shared" si="683"/>
        <v>0</v>
      </c>
      <c r="AQ365" s="586">
        <f t="shared" si="683"/>
        <v>0</v>
      </c>
      <c r="AR365" s="586">
        <f t="shared" si="683"/>
        <v>0</v>
      </c>
      <c r="AS365" s="586">
        <f t="shared" si="683"/>
        <v>0</v>
      </c>
      <c r="AT365" s="170"/>
      <c r="AU365" s="170"/>
      <c r="AV365" s="170"/>
      <c r="AW365" s="828"/>
      <c r="AX365" s="726"/>
    </row>
    <row r="366" spans="1:50" ht="15" x14ac:dyDescent="0.25">
      <c r="A366" s="170"/>
      <c r="B366" s="719"/>
      <c r="C366" s="170"/>
      <c r="D366" s="170"/>
      <c r="E366" s="170"/>
      <c r="F366" s="170"/>
      <c r="G366" s="721"/>
      <c r="H366" s="170"/>
      <c r="I366" s="170"/>
      <c r="J366" s="170"/>
      <c r="K366" s="170"/>
      <c r="L366" s="170"/>
      <c r="M366" s="730"/>
      <c r="N366" s="730"/>
      <c r="O366" s="730"/>
      <c r="P366" s="731"/>
      <c r="Q366" s="731"/>
      <c r="R366" s="730"/>
      <c r="S366" s="730"/>
      <c r="T366" s="723"/>
      <c r="U366" s="724"/>
      <c r="V366" s="725"/>
      <c r="W366" s="725"/>
      <c r="X366" s="723"/>
      <c r="Y366" s="723"/>
      <c r="Z366" s="723"/>
      <c r="AA366" s="726"/>
      <c r="AB366" s="726"/>
      <c r="AC366" s="170"/>
      <c r="AD366" s="586"/>
      <c r="AE366" s="586"/>
      <c r="AF366" s="586"/>
      <c r="AG366" s="586"/>
      <c r="AH366" s="586"/>
      <c r="AI366" s="586"/>
      <c r="AJ366" s="586"/>
      <c r="AK366" s="586"/>
      <c r="AL366" s="586"/>
      <c r="AM366" s="586"/>
      <c r="AN366" s="586"/>
      <c r="AO366" s="586"/>
      <c r="AP366" s="586"/>
      <c r="AQ366" s="586"/>
      <c r="AR366" s="586"/>
      <c r="AS366" s="586"/>
      <c r="AT366" s="170"/>
      <c r="AU366" s="170"/>
      <c r="AV366" s="170"/>
      <c r="AW366" s="828"/>
      <c r="AX366" s="726"/>
    </row>
    <row r="367" spans="1:50" ht="15" x14ac:dyDescent="0.25">
      <c r="A367" s="170"/>
      <c r="B367" s="719"/>
      <c r="C367" s="170"/>
      <c r="D367" s="170"/>
      <c r="E367" s="170"/>
      <c r="F367" s="170"/>
      <c r="G367" s="721"/>
      <c r="H367" s="170"/>
      <c r="I367" s="170"/>
      <c r="J367" s="170"/>
      <c r="K367" s="170"/>
      <c r="L367" s="170"/>
      <c r="M367" s="730"/>
      <c r="N367" s="730"/>
      <c r="O367" s="730"/>
      <c r="P367" s="731"/>
      <c r="Q367" s="731"/>
      <c r="R367" s="730"/>
      <c r="S367" s="730"/>
      <c r="T367" s="723"/>
      <c r="U367" s="724"/>
      <c r="V367" s="725"/>
      <c r="W367" s="725"/>
      <c r="X367" s="723"/>
      <c r="Y367" s="723"/>
      <c r="Z367" s="723"/>
      <c r="AA367" s="726"/>
      <c r="AB367" s="726"/>
      <c r="AC367" s="170"/>
      <c r="AD367" s="586"/>
      <c r="AE367" s="586"/>
      <c r="AF367" s="586"/>
      <c r="AG367" s="586"/>
      <c r="AH367" s="586"/>
      <c r="AI367" s="586"/>
      <c r="AJ367" s="586"/>
      <c r="AK367" s="586"/>
      <c r="AL367" s="586"/>
      <c r="AM367" s="586"/>
      <c r="AN367" s="586"/>
      <c r="AO367" s="586"/>
      <c r="AP367" s="586"/>
      <c r="AQ367" s="586"/>
      <c r="AR367" s="586"/>
      <c r="AS367" s="586"/>
      <c r="AT367" s="170"/>
      <c r="AU367" s="170"/>
      <c r="AV367" s="170"/>
      <c r="AW367" s="828"/>
      <c r="AX367" s="726"/>
    </row>
    <row r="368" spans="1:50" ht="15" x14ac:dyDescent="0.25">
      <c r="A368" s="170"/>
      <c r="B368" s="719"/>
      <c r="C368" s="170"/>
      <c r="D368" s="170"/>
      <c r="E368" s="170"/>
      <c r="F368" s="170"/>
      <c r="G368" s="721"/>
      <c r="H368" s="170"/>
      <c r="I368" s="170"/>
      <c r="J368" s="170"/>
      <c r="K368" s="170"/>
      <c r="L368" s="170"/>
      <c r="M368" s="730"/>
      <c r="N368" s="730"/>
      <c r="O368" s="730"/>
      <c r="P368" s="731"/>
      <c r="Q368" s="731"/>
      <c r="R368" s="730"/>
      <c r="S368" s="730"/>
      <c r="T368" s="723"/>
      <c r="U368" s="724"/>
      <c r="V368" s="725"/>
      <c r="W368" s="725"/>
      <c r="X368" s="723"/>
      <c r="Y368" s="723"/>
      <c r="Z368" s="723"/>
      <c r="AA368" s="726"/>
      <c r="AB368" s="726"/>
      <c r="AC368" s="170"/>
      <c r="AD368" s="586"/>
      <c r="AE368" s="586"/>
      <c r="AF368" s="586"/>
      <c r="AG368" s="586"/>
      <c r="AH368" s="586"/>
      <c r="AI368" s="586"/>
      <c r="AJ368" s="586"/>
      <c r="AK368" s="586"/>
      <c r="AL368" s="586"/>
      <c r="AM368" s="586"/>
      <c r="AN368" s="586"/>
      <c r="AO368" s="586"/>
      <c r="AP368" s="586"/>
      <c r="AQ368" s="586"/>
      <c r="AR368" s="586"/>
      <c r="AS368" s="586"/>
      <c r="AT368" s="170"/>
      <c r="AU368" s="170"/>
      <c r="AV368" s="170"/>
      <c r="AW368" s="828"/>
      <c r="AX368" s="726"/>
    </row>
    <row r="369" spans="1:50" ht="15" x14ac:dyDescent="0.25">
      <c r="A369" s="170"/>
      <c r="B369" s="719"/>
      <c r="C369" s="170"/>
      <c r="D369" s="170"/>
      <c r="E369" s="170"/>
      <c r="F369" s="170"/>
      <c r="G369" s="721" t="s">
        <v>223</v>
      </c>
      <c r="H369" s="170"/>
      <c r="I369" s="170"/>
      <c r="J369" s="170"/>
      <c r="K369" s="170"/>
      <c r="L369" s="170"/>
      <c r="M369" s="730"/>
      <c r="N369" s="730"/>
      <c r="O369" s="730"/>
      <c r="P369" s="731"/>
      <c r="Q369" s="731"/>
      <c r="R369" s="730"/>
      <c r="S369" s="730"/>
      <c r="T369" s="723"/>
      <c r="U369" s="724"/>
      <c r="V369" s="725"/>
      <c r="W369" s="725"/>
      <c r="X369" s="723"/>
      <c r="Y369" s="723"/>
      <c r="Z369" s="723"/>
      <c r="AA369" s="726"/>
      <c r="AB369" s="726"/>
      <c r="AC369" s="170"/>
      <c r="AD369" s="586">
        <f t="shared" ref="AD369:AS369" si="684">SUM(AD265:AD368)</f>
        <v>0</v>
      </c>
      <c r="AE369" s="586">
        <f t="shared" si="684"/>
        <v>0</v>
      </c>
      <c r="AF369" s="586">
        <f t="shared" si="684"/>
        <v>0</v>
      </c>
      <c r="AG369" s="586">
        <f t="shared" si="684"/>
        <v>0</v>
      </c>
      <c r="AH369" s="586">
        <f t="shared" si="684"/>
        <v>0</v>
      </c>
      <c r="AI369" s="586">
        <f t="shared" si="684"/>
        <v>0</v>
      </c>
      <c r="AJ369" s="586">
        <f t="shared" si="684"/>
        <v>0</v>
      </c>
      <c r="AK369" s="586">
        <f t="shared" si="684"/>
        <v>0</v>
      </c>
      <c r="AL369" s="586">
        <f t="shared" si="684"/>
        <v>0</v>
      </c>
      <c r="AM369" s="586">
        <f t="shared" si="684"/>
        <v>0</v>
      </c>
      <c r="AN369" s="586">
        <f t="shared" si="684"/>
        <v>0</v>
      </c>
      <c r="AO369" s="586">
        <f t="shared" si="684"/>
        <v>0</v>
      </c>
      <c r="AP369" s="586">
        <f t="shared" si="684"/>
        <v>0</v>
      </c>
      <c r="AQ369" s="586">
        <f t="shared" si="684"/>
        <v>0</v>
      </c>
      <c r="AR369" s="586">
        <f t="shared" si="684"/>
        <v>0</v>
      </c>
      <c r="AS369" s="586">
        <f t="shared" si="684"/>
        <v>0</v>
      </c>
      <c r="AT369" s="170" t="s">
        <v>395</v>
      </c>
      <c r="AU369" s="170"/>
      <c r="AV369" s="170"/>
      <c r="AW369" s="828"/>
      <c r="AX369" s="726"/>
    </row>
  </sheetData>
  <sheetProtection formatCells="0" formatColumns="0" formatRows="0" autoFilter="0"/>
  <autoFilter ref="D8:AS261" xr:uid="{6118A089-4ACC-4114-969D-A80669C94418}"/>
  <sortState xmlns:xlrd2="http://schemas.microsoft.com/office/spreadsheetml/2017/richdata2" ref="G21:BL126">
    <sortCondition ref="G21:G126"/>
  </sortState>
  <conditionalFormatting sqref="F11 F115:F117">
    <cfRule type="cellIs" dxfId="214" priority="54" operator="equal">
      <formula>0</formula>
    </cfRule>
  </conditionalFormatting>
  <conditionalFormatting sqref="F12">
    <cfRule type="cellIs" dxfId="213" priority="53" operator="equal">
      <formula>0</formula>
    </cfRule>
  </conditionalFormatting>
  <conditionalFormatting sqref="F13">
    <cfRule type="cellIs" dxfId="212" priority="52" operator="equal">
      <formula>0</formula>
    </cfRule>
  </conditionalFormatting>
  <conditionalFormatting sqref="F17:F18">
    <cfRule type="cellIs" dxfId="211" priority="51" operator="equal">
      <formula>0</formula>
    </cfRule>
  </conditionalFormatting>
  <conditionalFormatting sqref="F21:F23 F27:F29 F33:F35 F66:F71 F73:F82 F87:F95 F118:F119 F121:F122 F124 F57:F64 F25 F31 F84:F85 F37:F39 F126 F128:F129">
    <cfRule type="cellIs" dxfId="210" priority="50" operator="equal">
      <formula>0</formula>
    </cfRule>
  </conditionalFormatting>
  <conditionalFormatting sqref="F134:F140">
    <cfRule type="cellIs" dxfId="209" priority="49" operator="equal">
      <formula>0</formula>
    </cfRule>
  </conditionalFormatting>
  <conditionalFormatting sqref="F143:F168">
    <cfRule type="cellIs" dxfId="208" priority="48" operator="equal">
      <formula>0</formula>
    </cfRule>
  </conditionalFormatting>
  <conditionalFormatting sqref="F172:F173 F186:F193 F182 F177">
    <cfRule type="cellIs" dxfId="207" priority="47" operator="equal">
      <formula>0</formula>
    </cfRule>
  </conditionalFormatting>
  <conditionalFormatting sqref="F197:F214 F238:F241 F218:F235 F216">
    <cfRule type="cellIs" dxfId="206" priority="46" operator="equal">
      <formula>0</formula>
    </cfRule>
  </conditionalFormatting>
  <conditionalFormatting sqref="F245:F247 F249:F258">
    <cfRule type="cellIs" dxfId="205" priority="45" operator="equal">
      <formula>0</formula>
    </cfRule>
  </conditionalFormatting>
  <conditionalFormatting sqref="F26">
    <cfRule type="cellIs" dxfId="204" priority="44" operator="equal">
      <formula>0</formula>
    </cfRule>
  </conditionalFormatting>
  <conditionalFormatting sqref="F32">
    <cfRule type="cellIs" dxfId="203" priority="43" operator="equal">
      <formula>0</formula>
    </cfRule>
  </conditionalFormatting>
  <conditionalFormatting sqref="F86">
    <cfRule type="cellIs" dxfId="202" priority="39" operator="equal">
      <formula>0</formula>
    </cfRule>
  </conditionalFormatting>
  <conditionalFormatting sqref="F65">
    <cfRule type="cellIs" dxfId="201" priority="41" operator="equal">
      <formula>0</formula>
    </cfRule>
  </conditionalFormatting>
  <conditionalFormatting sqref="F72">
    <cfRule type="cellIs" dxfId="200" priority="40" operator="equal">
      <formula>0</formula>
    </cfRule>
  </conditionalFormatting>
  <conditionalFormatting sqref="F120">
    <cfRule type="cellIs" dxfId="199" priority="36" operator="equal">
      <formula>0</formula>
    </cfRule>
  </conditionalFormatting>
  <conditionalFormatting sqref="F123">
    <cfRule type="cellIs" dxfId="198" priority="35" operator="equal">
      <formula>0</formula>
    </cfRule>
  </conditionalFormatting>
  <conditionalFormatting sqref="F40:F42 F46:F48 F52:F54 F44 F50 F56">
    <cfRule type="cellIs" dxfId="197" priority="34" operator="equal">
      <formula>0</formula>
    </cfRule>
  </conditionalFormatting>
  <conditionalFormatting sqref="F45">
    <cfRule type="cellIs" dxfId="196" priority="33" operator="equal">
      <formula>0</formula>
    </cfRule>
  </conditionalFormatting>
  <conditionalFormatting sqref="F51">
    <cfRule type="cellIs" dxfId="195" priority="32" operator="equal">
      <formula>0</formula>
    </cfRule>
  </conditionalFormatting>
  <conditionalFormatting sqref="F97:F100 F105:F113 F102:F103">
    <cfRule type="cellIs" dxfId="194" priority="31" operator="equal">
      <formula>0</formula>
    </cfRule>
  </conditionalFormatting>
  <conditionalFormatting sqref="F104">
    <cfRule type="cellIs" dxfId="193" priority="30" operator="equal">
      <formula>0</formula>
    </cfRule>
  </conditionalFormatting>
  <conditionalFormatting sqref="F24">
    <cfRule type="cellIs" dxfId="192" priority="28" operator="equal">
      <formula>0</formula>
    </cfRule>
  </conditionalFormatting>
  <conditionalFormatting sqref="F30">
    <cfRule type="cellIs" dxfId="191" priority="27" operator="equal">
      <formula>0</formula>
    </cfRule>
  </conditionalFormatting>
  <conditionalFormatting sqref="F43">
    <cfRule type="cellIs" dxfId="190" priority="26" operator="equal">
      <formula>0</formula>
    </cfRule>
  </conditionalFormatting>
  <conditionalFormatting sqref="F49">
    <cfRule type="cellIs" dxfId="189" priority="25" operator="equal">
      <formula>0</formula>
    </cfRule>
  </conditionalFormatting>
  <conditionalFormatting sqref="F55">
    <cfRule type="cellIs" dxfId="188" priority="24" operator="equal">
      <formula>0</formula>
    </cfRule>
  </conditionalFormatting>
  <conditionalFormatting sqref="F83">
    <cfRule type="cellIs" dxfId="187" priority="23" operator="equal">
      <formula>0</formula>
    </cfRule>
  </conditionalFormatting>
  <conditionalFormatting sqref="F101">
    <cfRule type="cellIs" dxfId="186" priority="22" operator="equal">
      <formula>0</formula>
    </cfRule>
  </conditionalFormatting>
  <conditionalFormatting sqref="F36">
    <cfRule type="cellIs" dxfId="185" priority="21" operator="equal">
      <formula>0</formula>
    </cfRule>
  </conditionalFormatting>
  <conditionalFormatting sqref="F125">
    <cfRule type="cellIs" dxfId="184" priority="20" operator="equal">
      <formula>0</formula>
    </cfRule>
  </conditionalFormatting>
  <conditionalFormatting sqref="F127">
    <cfRule type="cellIs" dxfId="183" priority="19" operator="equal">
      <formula>0</formula>
    </cfRule>
  </conditionalFormatting>
  <conditionalFormatting sqref="F248">
    <cfRule type="cellIs" dxfId="182" priority="18" operator="equal">
      <formula>0</formula>
    </cfRule>
  </conditionalFormatting>
  <conditionalFormatting sqref="F236">
    <cfRule type="cellIs" dxfId="181" priority="17" operator="equal">
      <formula>0</formula>
    </cfRule>
  </conditionalFormatting>
  <conditionalFormatting sqref="F237">
    <cfRule type="cellIs" dxfId="180" priority="16" operator="equal">
      <formula>0</formula>
    </cfRule>
  </conditionalFormatting>
  <conditionalFormatting sqref="F183">
    <cfRule type="cellIs" dxfId="179" priority="15" operator="equal">
      <formula>0</formula>
    </cfRule>
  </conditionalFormatting>
  <conditionalFormatting sqref="F184">
    <cfRule type="cellIs" dxfId="178" priority="14" operator="equal">
      <formula>0</formula>
    </cfRule>
  </conditionalFormatting>
  <conditionalFormatting sqref="F185">
    <cfRule type="cellIs" dxfId="177" priority="13" operator="equal">
      <formula>0</formula>
    </cfRule>
  </conditionalFormatting>
  <conditionalFormatting sqref="F217">
    <cfRule type="cellIs" dxfId="176" priority="12" operator="equal">
      <formula>0</formula>
    </cfRule>
  </conditionalFormatting>
  <conditionalFormatting sqref="F215">
    <cfRule type="cellIs" dxfId="175" priority="10" operator="equal">
      <formula>0</formula>
    </cfRule>
  </conditionalFormatting>
  <conditionalFormatting sqref="F114">
    <cfRule type="cellIs" dxfId="174" priority="9" operator="equal">
      <formula>0</formula>
    </cfRule>
  </conditionalFormatting>
  <conditionalFormatting sqref="F96">
    <cfRule type="cellIs" dxfId="173" priority="8" operator="equal">
      <formula>0</formula>
    </cfRule>
  </conditionalFormatting>
  <conditionalFormatting sqref="F178">
    <cfRule type="cellIs" dxfId="172" priority="7" operator="equal">
      <formula>0</formula>
    </cfRule>
  </conditionalFormatting>
  <conditionalFormatting sqref="F174">
    <cfRule type="cellIs" dxfId="171" priority="6" operator="equal">
      <formula>0</formula>
    </cfRule>
  </conditionalFormatting>
  <conditionalFormatting sqref="F175">
    <cfRule type="cellIs" dxfId="170" priority="5" operator="equal">
      <formula>0</formula>
    </cfRule>
  </conditionalFormatting>
  <conditionalFormatting sqref="F176">
    <cfRule type="cellIs" dxfId="169" priority="4" operator="equal">
      <formula>0</formula>
    </cfRule>
  </conditionalFormatting>
  <conditionalFormatting sqref="F179">
    <cfRule type="cellIs" dxfId="168" priority="3" operator="equal">
      <formula>0</formula>
    </cfRule>
  </conditionalFormatting>
  <conditionalFormatting sqref="F180">
    <cfRule type="cellIs" dxfId="167" priority="2" operator="equal">
      <formula>0</formula>
    </cfRule>
  </conditionalFormatting>
  <conditionalFormatting sqref="F181">
    <cfRule type="cellIs" dxfId="166" priority="1" operator="equal">
      <formula>0</formula>
    </cfRule>
  </conditionalFormatting>
  <dataValidations count="1">
    <dataValidation type="list" allowBlank="1" showInputMessage="1" showErrorMessage="1" sqref="P9:Q9 P134:Q140 P197:Q238 P21:Q129 P11:Q13 P245:Q253 P143:Q191" xr:uid="{E1CB3A7A-6E08-456C-A0BE-8AFA73010178}">
      <formula1>"E, Other"</formula1>
    </dataValidation>
  </dataValidations>
  <printOptions horizontalCentered="1"/>
  <pageMargins left="0.7" right="0.21" top="0.5" bottom="0.34" header="0.16" footer="0.16"/>
  <pageSetup scale="57" fitToHeight="0" orientation="landscape"/>
  <headerFooter alignWithMargins="0">
    <oddFooter>&amp;Cpage &amp;P of &amp;N</oddFooter>
  </headerFooter>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7B466A8-65EF-4497-B145-070C32E409DE}">
          <x14:formula1>
            <xm:f>Parameters!$D$311:$D$351</xm:f>
          </x14:formula1>
          <xm:sqref>I9:I258 K11:K258</xm:sqref>
        </x14:dataValidation>
        <x14:dataValidation type="list" allowBlank="1" showInputMessage="1" showErrorMessage="1" xr:uid="{35633FD4-F690-4DC8-B81E-078C6875A354}">
          <x14:formula1>
            <xm:f>'Data Input sheet'!$B$118:$B$179</xm:f>
          </x14:formula1>
          <xm:sqref>R9:R253</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873C2-7F38-47B4-8FE2-CE353198711B}">
  <sheetPr codeName="Sheet28">
    <tabColor rgb="FFFFC000"/>
  </sheetPr>
  <dimension ref="A1:AU674"/>
  <sheetViews>
    <sheetView showZeros="0" zoomScale="85" zoomScaleNormal="85" workbookViewId="0">
      <pane xSplit="1" ySplit="5" topLeftCell="B6" activePane="bottomRight" state="frozen"/>
      <selection activeCell="H10" sqref="H10"/>
      <selection pane="topRight" activeCell="H10" sqref="H10"/>
      <selection pane="bottomLeft" activeCell="H10" sqref="H10"/>
      <selection pane="bottomRight" activeCell="I19" sqref="I19"/>
    </sheetView>
  </sheetViews>
  <sheetFormatPr defaultRowHeight="15" x14ac:dyDescent="0.25"/>
  <cols>
    <col min="1" max="1" width="30.5703125" customWidth="1"/>
    <col min="2" max="2" width="35.5703125" customWidth="1"/>
    <col min="3" max="3" width="13.5703125" customWidth="1"/>
    <col min="4" max="4" width="10.42578125" customWidth="1"/>
    <col min="5" max="5" width="35.5703125" customWidth="1"/>
    <col min="6" max="6" width="8.5703125" customWidth="1"/>
    <col min="7" max="7" width="15.42578125" customWidth="1"/>
    <col min="8" max="8" width="9.42578125" customWidth="1"/>
    <col min="9" max="9" width="35.5703125" customWidth="1"/>
    <col min="10" max="10" width="8.5703125" customWidth="1"/>
    <col min="11" max="11" width="10.42578125" customWidth="1"/>
    <col min="12" max="14" width="8.5703125" customWidth="1"/>
    <col min="15" max="15" width="35.5703125" customWidth="1"/>
    <col min="16" max="16" width="8.5703125" customWidth="1"/>
    <col min="17" max="17" width="14.42578125" customWidth="1"/>
    <col min="18" max="18" width="8.5703125" hidden="1" customWidth="1"/>
    <col min="19" max="19" width="17.5703125" customWidth="1"/>
    <col min="20" max="20" width="12.42578125" customWidth="1"/>
    <col min="21" max="21" width="50" customWidth="1"/>
    <col min="22" max="22" width="12.5703125" customWidth="1"/>
    <col min="23" max="24" width="8.5703125" customWidth="1"/>
    <col min="25" max="25" width="16.42578125" customWidth="1"/>
    <col min="26" max="26" width="32.42578125" customWidth="1"/>
    <col min="27" max="27" width="37.5703125" customWidth="1"/>
    <col min="31" max="46" width="15.5703125" customWidth="1"/>
  </cols>
  <sheetData>
    <row r="1" spans="1:21" ht="13.35" customHeight="1" x14ac:dyDescent="0.25">
      <c r="A1" s="1864" t="s">
        <v>2400</v>
      </c>
      <c r="G1" s="2224">
        <v>640</v>
      </c>
      <c r="I1" s="1864" t="s">
        <v>2401</v>
      </c>
      <c r="P1" s="1864"/>
    </row>
    <row r="2" spans="1:21" ht="13.35" customHeight="1" x14ac:dyDescent="0.25">
      <c r="A2" s="1865" t="s">
        <v>2404</v>
      </c>
      <c r="P2" s="1864"/>
    </row>
    <row r="3" spans="1:21" ht="13.35" customHeight="1" x14ac:dyDescent="0.25">
      <c r="A3" s="1865"/>
      <c r="P3" s="1864"/>
    </row>
    <row r="4" spans="1:21" ht="30" customHeight="1" x14ac:dyDescent="0.3">
      <c r="A4" s="1866" t="s">
        <v>1513</v>
      </c>
      <c r="B4" s="1947" t="s">
        <v>1514</v>
      </c>
      <c r="C4" s="1947"/>
      <c r="D4" s="1947"/>
      <c r="E4" s="1948" t="s">
        <v>1515</v>
      </c>
      <c r="F4" s="1948"/>
      <c r="G4" s="1948"/>
      <c r="H4" s="1945"/>
      <c r="I4" s="1949" t="s">
        <v>1516</v>
      </c>
      <c r="J4" s="1949"/>
      <c r="K4" s="1949"/>
      <c r="L4" s="1946"/>
      <c r="M4" s="1946"/>
      <c r="N4" s="1946"/>
      <c r="O4" s="1950" t="s">
        <v>1512</v>
      </c>
      <c r="P4" s="1950"/>
      <c r="Q4" s="1950"/>
      <c r="R4" s="1867"/>
      <c r="S4" s="1868" t="s">
        <v>1517</v>
      </c>
      <c r="T4" s="1868"/>
      <c r="U4" s="1869"/>
    </row>
    <row r="5" spans="1:21" s="170" customFormat="1" ht="90.75" thickBot="1" x14ac:dyDescent="0.3">
      <c r="A5" s="2227" t="s">
        <v>206</v>
      </c>
      <c r="B5" s="2227" t="s">
        <v>1518</v>
      </c>
      <c r="C5" s="2227" t="s">
        <v>556</v>
      </c>
      <c r="D5" s="2228" t="s">
        <v>2402</v>
      </c>
      <c r="E5" s="2227" t="s">
        <v>1518</v>
      </c>
      <c r="F5" s="2227" t="s">
        <v>556</v>
      </c>
      <c r="G5" s="2228" t="s">
        <v>2402</v>
      </c>
      <c r="H5" s="2228" t="s">
        <v>2405</v>
      </c>
      <c r="I5" s="2227" t="s">
        <v>1518</v>
      </c>
      <c r="J5" s="2227" t="s">
        <v>556</v>
      </c>
      <c r="K5" s="2228" t="s">
        <v>2402</v>
      </c>
      <c r="L5" s="2228" t="s">
        <v>2405</v>
      </c>
      <c r="M5" s="2227" t="s">
        <v>1519</v>
      </c>
      <c r="N5" s="2227" t="s">
        <v>1520</v>
      </c>
      <c r="O5" s="2227" t="s">
        <v>1518</v>
      </c>
      <c r="P5" s="2227" t="s">
        <v>556</v>
      </c>
      <c r="Q5" s="2228" t="s">
        <v>2402</v>
      </c>
      <c r="R5" s="2229" t="s">
        <v>1521</v>
      </c>
      <c r="S5" s="2229"/>
      <c r="T5" s="2229" t="s">
        <v>1522</v>
      </c>
      <c r="U5" s="2230" t="s">
        <v>1</v>
      </c>
    </row>
    <row r="6" spans="1:21" ht="26.85" customHeight="1" x14ac:dyDescent="0.25">
      <c r="A6" s="1870" t="s">
        <v>1513</v>
      </c>
      <c r="B6" s="1871" t="s">
        <v>1523</v>
      </c>
      <c r="C6" s="2253" t="s">
        <v>740</v>
      </c>
      <c r="D6" s="2263">
        <v>0</v>
      </c>
      <c r="E6" s="1874" t="s">
        <v>1524</v>
      </c>
      <c r="F6" s="2249" t="s">
        <v>728</v>
      </c>
      <c r="G6" s="2261">
        <v>0</v>
      </c>
      <c r="H6" s="2234">
        <f>G6*M6*N6</f>
        <v>0</v>
      </c>
      <c r="I6" s="1876" t="s">
        <v>1606</v>
      </c>
      <c r="J6" s="2246" t="s">
        <v>732</v>
      </c>
      <c r="K6" s="2672">
        <v>0</v>
      </c>
      <c r="L6" s="2645">
        <f t="shared" ref="L6:L12" si="0">IF(ISNUMBER(SEARCH("Timber",I6)),M6*K6*N6,K6)</f>
        <v>0</v>
      </c>
      <c r="M6" s="2225">
        <f>+$M12</f>
        <v>1</v>
      </c>
      <c r="N6" s="2648">
        <f>+$T7</f>
        <v>1.5</v>
      </c>
      <c r="O6" s="1878" t="s">
        <v>1512</v>
      </c>
      <c r="P6" s="2256" t="s">
        <v>740</v>
      </c>
      <c r="Q6" s="2265">
        <f>R7*$E$532+T8*$E$533</f>
        <v>0</v>
      </c>
      <c r="R6" s="1881"/>
      <c r="S6" s="1882" t="s">
        <v>1525</v>
      </c>
      <c r="T6" s="2266">
        <v>30</v>
      </c>
      <c r="U6" s="2920" t="s">
        <v>1526</v>
      </c>
    </row>
    <row r="7" spans="1:21" ht="30" x14ac:dyDescent="0.25">
      <c r="A7" s="1883">
        <v>1</v>
      </c>
      <c r="B7" s="1884" t="s">
        <v>1527</v>
      </c>
      <c r="C7" s="2254" t="s">
        <v>740</v>
      </c>
      <c r="D7" s="2264">
        <v>0</v>
      </c>
      <c r="E7" s="1887" t="s">
        <v>1528</v>
      </c>
      <c r="F7" s="2250" t="s">
        <v>728</v>
      </c>
      <c r="G7" s="2262">
        <v>0</v>
      </c>
      <c r="H7" s="2235">
        <f>G7</f>
        <v>0</v>
      </c>
      <c r="I7" s="1889" t="s">
        <v>1607</v>
      </c>
      <c r="J7" s="2247" t="s">
        <v>732</v>
      </c>
      <c r="K7" s="2647">
        <v>0</v>
      </c>
      <c r="L7" s="2646">
        <f t="shared" si="0"/>
        <v>0</v>
      </c>
      <c r="M7" s="2226">
        <f t="shared" ref="M7:M11" si="1">M8</f>
        <v>1</v>
      </c>
      <c r="N7" s="2649">
        <f>+$T7</f>
        <v>1.5</v>
      </c>
      <c r="O7" s="1891" t="s">
        <v>1512</v>
      </c>
      <c r="P7" s="2257" t="s">
        <v>740</v>
      </c>
      <c r="Q7" s="2262"/>
      <c r="R7" s="1894">
        <f>H7*$E$527*0+H8*$E$527*0+SUMIF(I6:I11,$B$565,L6:L11)*$E$537+SUMIF(I6:I11,$B$566,L6:L11)*$E$540+SUMIF(I6:I11,$B$567,L6:L11)*$E$538+SUMIF(I6:I11,$B$568,L6:L11)*$E$539+SUMIF(I6:I11,$B$569,L6:L11)*$E$539+SUMIF(I6:I11,$B$570,L6:L11)*$E$541+SUMIF(I6:I11,$B$571,L6:L11)*$E$539+SUMIF(I6:I11,$B$572,L6:L11)*$E$541+SUMIF(I6:I11,$B$573,L6:L11)*$E$539+SUMIF(I6:I11,$B$574,L6:L11)*$E$543+SUMIF(I6:I11,$B$575,L6:L11)*$E$541+SUMIF(I6:I11,$B$577,L6:L11)*$E$536+SUMIF(I6:I11,$B$576,L6:L11)*$E$542+SUMIF(I6:I11,$B$563,L6:L11)*$E$539</f>
        <v>0</v>
      </c>
      <c r="S7" s="1895" t="s">
        <v>1529</v>
      </c>
      <c r="T7" s="2644">
        <f>+'Data Input sheet'!$D$112</f>
        <v>1.5</v>
      </c>
      <c r="U7" s="2921"/>
    </row>
    <row r="8" spans="1:21" ht="30" x14ac:dyDescent="0.25">
      <c r="A8" s="2922" t="s">
        <v>1530</v>
      </c>
      <c r="B8" s="1884" t="s">
        <v>1531</v>
      </c>
      <c r="C8" s="2254" t="s">
        <v>732</v>
      </c>
      <c r="D8" s="2264">
        <v>0</v>
      </c>
      <c r="E8" s="1887" t="s">
        <v>1532</v>
      </c>
      <c r="F8" s="2250" t="s">
        <v>728</v>
      </c>
      <c r="G8" s="2262">
        <v>0</v>
      </c>
      <c r="H8" s="2235">
        <f>G8</f>
        <v>0</v>
      </c>
      <c r="I8" s="1889" t="s">
        <v>1621</v>
      </c>
      <c r="J8" s="2247" t="s">
        <v>732</v>
      </c>
      <c r="K8" s="2647">
        <v>0</v>
      </c>
      <c r="L8" s="2646">
        <f t="shared" si="0"/>
        <v>0</v>
      </c>
      <c r="M8" s="2226">
        <f t="shared" si="1"/>
        <v>1</v>
      </c>
      <c r="N8" s="2649">
        <f>+$T7</f>
        <v>1.5</v>
      </c>
      <c r="O8" s="1896"/>
      <c r="P8" s="2258"/>
      <c r="Q8" s="1898"/>
      <c r="R8" s="1899">
        <f>T8</f>
        <v>0</v>
      </c>
      <c r="S8" s="1895" t="s">
        <v>1533</v>
      </c>
      <c r="T8" s="2673">
        <f>G6*64/4+K12+SUMIF(I6:I11,$B$578,K6:K11)*$E$545+SUMIF(I6:I11,$B$579,K6:K11)*$E$548+SUMIF(I6:I11,$B$580,K6:K11)*$E$546+SUMIF(I6:I11,$B$581,K6:K11)*$E$547+SUMIF(I6:I11,$B$582,K6:K11)*$E$547+SUMIF(I6:I11,$B$583,K6:K11)*$E$549+SUMIF(I6:I11,$B$584,K6:K11)*$E$547+SUMIF(I6:I11,$B$585,K6:K11)*$E$549+SUMIF(I6:I11,$B$586,K6:K11)*$E$547+SUMIF(I6:I11,$B$587,K6:K11)*$E$551+SUMIF(I6:I11,$B$588,K6:K11)*$E$549+SUMIF(I6:I11,$B$590,K6:K11)*$E$544+SUMIF(I6:I11,$B$589,K6:K11)*$E$550</f>
        <v>0</v>
      </c>
      <c r="U8" s="2921"/>
    </row>
    <row r="9" spans="1:21" ht="30" x14ac:dyDescent="0.25">
      <c r="A9" s="2923"/>
      <c r="B9" s="1884" t="s">
        <v>1534</v>
      </c>
      <c r="C9" s="2254" t="s">
        <v>728</v>
      </c>
      <c r="D9" s="2264">
        <v>0</v>
      </c>
      <c r="E9" s="1887" t="s">
        <v>1535</v>
      </c>
      <c r="F9" s="2250" t="s">
        <v>728</v>
      </c>
      <c r="G9" s="2235">
        <f>(H7+H8)*$C$555+G6*$C$556+(R7-(H7+H8)*$E$527)*$C$555/50+(T8-G6*16)*$C$556/50</f>
        <v>0</v>
      </c>
      <c r="H9" s="2235">
        <f>G9</f>
        <v>0</v>
      </c>
      <c r="I9" s="1889" t="s">
        <v>1622</v>
      </c>
      <c r="J9" s="2247" t="s">
        <v>732</v>
      </c>
      <c r="K9" s="2647">
        <v>0</v>
      </c>
      <c r="L9" s="2646">
        <f t="shared" si="0"/>
        <v>0</v>
      </c>
      <c r="M9" s="2226">
        <f t="shared" si="1"/>
        <v>1</v>
      </c>
      <c r="N9" s="2649">
        <f>+$T7</f>
        <v>1.5</v>
      </c>
      <c r="O9" s="1896"/>
      <c r="P9" s="2258"/>
      <c r="Q9" s="1897"/>
      <c r="R9" s="1897"/>
      <c r="S9" s="1895" t="s">
        <v>3408</v>
      </c>
      <c r="T9" s="2674">
        <f>H6*64/4+L12+SUMIF(I6:I11,$B$578,L6:L11)*$E$545+SUMIF(I6:I11,$B$579,L6:L11)*$E$548+SUMIF(I6:I11,$B$580,L6:L11)*$E$546+SUMIF(I6:I11,$B$581,L6:L11)*$E$547+SUMIF(I6:I11,$B$582,L6:L11)*$E$547+SUMIF(I6:I11,$B$583,L6:L11)*$E$549+SUMIF(I6:I11,$B$584,L6:L11)*$E$547+SUMIF(I6:I11,$B$585,L6:L11)*$E$549+SUMIF(I6:I11,$B$586,L6:L11)*$E$547+SUMIF(I6:I11,$B$587,L6:L11)*$E$551+SUMIF(I6:I11,$B$588,L6:L11)*$E$549+SUMIF(I6:I11,$B$590,L6:L11)*$E$544+SUMIF(I6:I11,$B$589,L6:L11)*$E$550</f>
        <v>0</v>
      </c>
      <c r="U9" s="2921"/>
    </row>
    <row r="10" spans="1:21" ht="29.1" customHeight="1" x14ac:dyDescent="0.25">
      <c r="A10" s="2923"/>
      <c r="B10" s="1884"/>
      <c r="C10" s="2254"/>
      <c r="D10" s="1885"/>
      <c r="E10" s="1901" t="s">
        <v>1536</v>
      </c>
      <c r="F10" s="2250" t="s">
        <v>740</v>
      </c>
      <c r="G10" s="2235">
        <f>(H7*$E$527+H8*$E$527)*$C$557+R7*$C$557+T8*$C$558/T7</f>
        <v>0</v>
      </c>
      <c r="H10" s="2235">
        <f>G10</f>
        <v>0</v>
      </c>
      <c r="I10" s="1889"/>
      <c r="J10" s="2247" t="s">
        <v>732</v>
      </c>
      <c r="K10" s="2647">
        <v>0</v>
      </c>
      <c r="L10" s="2646">
        <f t="shared" si="0"/>
        <v>0</v>
      </c>
      <c r="M10" s="2226">
        <f t="shared" si="1"/>
        <v>1</v>
      </c>
      <c r="N10" s="2649">
        <f>+$T7</f>
        <v>1.5</v>
      </c>
      <c r="O10" s="1896"/>
      <c r="P10" s="2258"/>
      <c r="Q10" s="1897"/>
      <c r="R10" s="1902"/>
      <c r="S10" s="1895" t="s">
        <v>1537</v>
      </c>
      <c r="T10" s="2673">
        <f>+T9*T6</f>
        <v>0</v>
      </c>
      <c r="U10" s="2921"/>
    </row>
    <row r="11" spans="1:21" x14ac:dyDescent="0.25">
      <c r="A11" s="2923"/>
      <c r="B11" s="1884"/>
      <c r="C11" s="2254"/>
      <c r="D11" s="1885"/>
      <c r="E11" s="1887"/>
      <c r="F11" s="2250"/>
      <c r="G11" s="1888"/>
      <c r="H11" s="1888"/>
      <c r="I11" s="1889"/>
      <c r="J11" s="2247" t="s">
        <v>732</v>
      </c>
      <c r="K11" s="2647">
        <v>0</v>
      </c>
      <c r="L11" s="2646">
        <f t="shared" si="0"/>
        <v>0</v>
      </c>
      <c r="M11" s="2226">
        <f t="shared" si="1"/>
        <v>1</v>
      </c>
      <c r="N11" s="2649">
        <f>+$T7</f>
        <v>1.5</v>
      </c>
      <c r="O11" s="1903"/>
      <c r="P11" s="2259"/>
      <c r="Q11" s="1902"/>
      <c r="R11" s="1902"/>
      <c r="S11" s="1904"/>
      <c r="T11" s="1905"/>
      <c r="U11" s="2921"/>
    </row>
    <row r="12" spans="1:21" ht="60.75" thickBot="1" x14ac:dyDescent="0.3">
      <c r="A12" s="2923"/>
      <c r="B12" s="2650"/>
      <c r="C12" s="2651"/>
      <c r="D12" s="2652"/>
      <c r="E12" s="2653"/>
      <c r="F12" s="2654"/>
      <c r="G12" s="2655"/>
      <c r="H12" s="2655"/>
      <c r="I12" s="2656" t="s">
        <v>2411</v>
      </c>
      <c r="J12" s="2657" t="s">
        <v>740</v>
      </c>
      <c r="K12" s="2658">
        <v>0</v>
      </c>
      <c r="L12" s="2659">
        <f t="shared" si="0"/>
        <v>0</v>
      </c>
      <c r="M12" s="2660">
        <f>IF(T12="YES",$C$554,1)</f>
        <v>1</v>
      </c>
      <c r="N12" s="2661">
        <f>+$T7</f>
        <v>1.5</v>
      </c>
      <c r="O12" s="2662"/>
      <c r="P12" s="2663"/>
      <c r="Q12" s="2664"/>
      <c r="R12" s="2664"/>
      <c r="S12" s="1920" t="s">
        <v>1539</v>
      </c>
      <c r="T12" s="2243" t="s">
        <v>1540</v>
      </c>
      <c r="U12" s="2921"/>
    </row>
    <row r="13" spans="1:21" ht="27" customHeight="1" thickBot="1" x14ac:dyDescent="0.3">
      <c r="A13" s="2666"/>
      <c r="B13" s="2667"/>
      <c r="C13" s="2668"/>
      <c r="D13" s="2669"/>
      <c r="E13" s="2667"/>
      <c r="F13" s="2668"/>
      <c r="G13" s="2669"/>
      <c r="H13" s="2669"/>
      <c r="I13" s="2667"/>
      <c r="J13" s="2668"/>
      <c r="K13" s="2669"/>
      <c r="L13" s="2669"/>
      <c r="M13" s="2669"/>
      <c r="N13" s="2669"/>
      <c r="O13" s="2667"/>
      <c r="P13" s="2668"/>
      <c r="Q13" s="2669"/>
      <c r="R13" s="2669"/>
      <c r="S13" s="2670"/>
      <c r="T13" s="2669"/>
      <c r="U13" s="2671"/>
    </row>
    <row r="14" spans="1:21" ht="26.85" customHeight="1" x14ac:dyDescent="0.25">
      <c r="A14" s="1870" t="s">
        <v>1513</v>
      </c>
      <c r="B14" s="1871" t="s">
        <v>1523</v>
      </c>
      <c r="C14" s="2253" t="s">
        <v>740</v>
      </c>
      <c r="D14" s="2236">
        <v>0</v>
      </c>
      <c r="E14" s="1874" t="s">
        <v>1524</v>
      </c>
      <c r="F14" s="2249" t="s">
        <v>728</v>
      </c>
      <c r="G14" s="2261">
        <v>0</v>
      </c>
      <c r="H14" s="2234">
        <f>G14*M14*N14</f>
        <v>0</v>
      </c>
      <c r="I14" s="1876" t="s">
        <v>1610</v>
      </c>
      <c r="J14" s="2246" t="s">
        <v>732</v>
      </c>
      <c r="K14" s="2672">
        <v>0</v>
      </c>
      <c r="L14" s="2645">
        <f t="shared" ref="L14:L20" si="2">IF(ISNUMBER(SEARCH("Timber",I14)),M14*K14*N14,K14)</f>
        <v>0</v>
      </c>
      <c r="M14" s="2225">
        <f>+$M20</f>
        <v>1</v>
      </c>
      <c r="N14" s="2648">
        <f>+$T15</f>
        <v>1.5</v>
      </c>
      <c r="O14" s="1878" t="s">
        <v>1512</v>
      </c>
      <c r="P14" s="2256" t="s">
        <v>740</v>
      </c>
      <c r="Q14" s="2265">
        <f t="shared" ref="Q14" si="3">R15*$E$532+T16*$E$533</f>
        <v>0</v>
      </c>
      <c r="R14" s="1881"/>
      <c r="S14" s="1882" t="s">
        <v>1525</v>
      </c>
      <c r="T14" s="2266">
        <v>30</v>
      </c>
      <c r="U14" s="2920" t="s">
        <v>1526</v>
      </c>
    </row>
    <row r="15" spans="1:21" ht="30" x14ac:dyDescent="0.25">
      <c r="A15" s="1883">
        <f>A7+1</f>
        <v>2</v>
      </c>
      <c r="B15" s="1884" t="s">
        <v>1527</v>
      </c>
      <c r="C15" s="2254" t="s">
        <v>740</v>
      </c>
      <c r="D15" s="2237">
        <v>0</v>
      </c>
      <c r="E15" s="2232" t="s">
        <v>1528</v>
      </c>
      <c r="F15" s="2250" t="s">
        <v>728</v>
      </c>
      <c r="G15" s="2262">
        <v>0</v>
      </c>
      <c r="H15" s="2235">
        <f>G15</f>
        <v>0</v>
      </c>
      <c r="I15" s="1889" t="s">
        <v>1611</v>
      </c>
      <c r="J15" s="2247" t="s">
        <v>732</v>
      </c>
      <c r="K15" s="2647">
        <v>0</v>
      </c>
      <c r="L15" s="2646">
        <f t="shared" si="2"/>
        <v>0</v>
      </c>
      <c r="M15" s="2226">
        <f t="shared" ref="M15:M19" si="4">M16</f>
        <v>1</v>
      </c>
      <c r="N15" s="2649">
        <f>+$T15</f>
        <v>1.5</v>
      </c>
      <c r="O15" s="1891" t="s">
        <v>1512</v>
      </c>
      <c r="P15" s="2257" t="s">
        <v>740</v>
      </c>
      <c r="Q15" s="2262"/>
      <c r="R15" s="1894">
        <f>H15*$E$527*0+H16*$E$527*0+SUMIF(I14:I19,$B$565,L14:L19)*$E$537+SUMIF(I14:I19,$B$566,L14:L19)*$E$540+SUMIF(I14:I19,$B$567,L14:L19)*$E$538+SUMIF(I14:I19,$B$568,L14:L19)*$E$539+SUMIF(I14:I19,$B$569,L14:L19)*$E$539+SUMIF(I14:I19,$B$570,L14:L19)*$E$541+SUMIF(I14:I19,$B$571,L14:L19)*$E$539+SUMIF(I14:I19,$B$572,L14:L19)*$E$541+SUMIF(I14:I19,$B$573,L14:L19)*$E$539+SUMIF(I14:I19,$B$574,L14:L19)*$E$543+SUMIF(I14:I19,$B$575,L14:L19)*$E$541+SUMIF(I14:I19,$B$577,L14:L19)*$E$536+SUMIF(I14:I19,$B$576,L14:L19)*$E$542+SUMIF(I14:I19,$B$563,L14:L19)*$E$539</f>
        <v>0</v>
      </c>
      <c r="S15" s="1895" t="s">
        <v>1529</v>
      </c>
      <c r="T15" s="2644">
        <f>+'Data Input sheet'!$D$112</f>
        <v>1.5</v>
      </c>
      <c r="U15" s="2921"/>
    </row>
    <row r="16" spans="1:21" ht="30" x14ac:dyDescent="0.25">
      <c r="A16" s="2922" t="s">
        <v>1530</v>
      </c>
      <c r="B16" s="1884" t="s">
        <v>1531</v>
      </c>
      <c r="C16" s="2254" t="s">
        <v>732</v>
      </c>
      <c r="D16" s="2237">
        <v>0</v>
      </c>
      <c r="E16" s="2232" t="s">
        <v>1532</v>
      </c>
      <c r="F16" s="2250" t="s">
        <v>728</v>
      </c>
      <c r="G16" s="2262">
        <v>0</v>
      </c>
      <c r="H16" s="2235">
        <f>G16</f>
        <v>0</v>
      </c>
      <c r="I16" s="1889" t="s">
        <v>1625</v>
      </c>
      <c r="J16" s="2247" t="s">
        <v>732</v>
      </c>
      <c r="K16" s="2647">
        <v>0</v>
      </c>
      <c r="L16" s="2646">
        <f t="shared" si="2"/>
        <v>0</v>
      </c>
      <c r="M16" s="2226">
        <f t="shared" si="4"/>
        <v>1</v>
      </c>
      <c r="N16" s="2649">
        <f>+$T15</f>
        <v>1.5</v>
      </c>
      <c r="O16" s="1896"/>
      <c r="P16" s="2258"/>
      <c r="Q16" s="1898"/>
      <c r="R16" s="1899">
        <f t="shared" ref="R16" si="5">T16</f>
        <v>0</v>
      </c>
      <c r="S16" s="1895" t="s">
        <v>1533</v>
      </c>
      <c r="T16" s="2673">
        <f>G14*64/4+K20+SUMIF(I14:I19,$B$578,K14:K19)*$E$545+SUMIF(I14:I19,$B$579,K14:K19)*$E$548+SUMIF(I14:I19,$B$580,K14:K19)*$E$546+SUMIF(I14:I19,$B$581,K14:K19)*$E$547+SUMIF(I14:I19,$B$582,K14:K19)*$E$547+SUMIF(I14:I19,$B$583,K14:K19)*$E$549+SUMIF(I14:I19,$B$584,K14:K19)*$E$547+SUMIF(I14:I19,$B$585,K14:K19)*$E$549+SUMIF(I14:I19,$B$586,K14:K19)*$E$547+SUMIF(I14:I19,$B$587,K14:K19)*$E$551+SUMIF(I14:I19,$B$588,K14:K19)*$E$549+SUMIF(I14:I19,$B$590,K14:K19)*$E$544+SUMIF(I14:I19,$B$589,K14:K19)*$E$550</f>
        <v>0</v>
      </c>
      <c r="U16" s="2921"/>
    </row>
    <row r="17" spans="1:21" ht="30" x14ac:dyDescent="0.25">
      <c r="A17" s="2923"/>
      <c r="B17" s="1884" t="s">
        <v>1534</v>
      </c>
      <c r="C17" s="2254" t="s">
        <v>728</v>
      </c>
      <c r="D17" s="2237">
        <v>0</v>
      </c>
      <c r="E17" s="1887" t="s">
        <v>1535</v>
      </c>
      <c r="F17" s="2250" t="s">
        <v>728</v>
      </c>
      <c r="G17" s="2235">
        <f>(H15+H16)*$C$555+G14*$C$556+(R15-(H15+H16)*$E$527)*$C$555/50+(T16-G14*16)*$C$556/50</f>
        <v>0</v>
      </c>
      <c r="H17" s="2235">
        <f>G17</f>
        <v>0</v>
      </c>
      <c r="I17" s="1889" t="s">
        <v>1626</v>
      </c>
      <c r="J17" s="2247" t="s">
        <v>732</v>
      </c>
      <c r="K17" s="2647">
        <v>0</v>
      </c>
      <c r="L17" s="2646">
        <f t="shared" si="2"/>
        <v>0</v>
      </c>
      <c r="M17" s="2226">
        <f t="shared" si="4"/>
        <v>1</v>
      </c>
      <c r="N17" s="2649">
        <f>+$T15</f>
        <v>1.5</v>
      </c>
      <c r="O17" s="1896"/>
      <c r="P17" s="2258"/>
      <c r="Q17" s="1897"/>
      <c r="R17" s="1897"/>
      <c r="S17" s="1895" t="s">
        <v>3408</v>
      </c>
      <c r="T17" s="2674">
        <f>H14*64/4+L20+SUMIF(I14:I19,$B$578,L14:L19)*$E$545+SUMIF(I14:I19,$B$579,L14:L19)*$E$548+SUMIF(I14:I19,$B$580,L14:L19)*$E$546+SUMIF(I14:I19,$B$581,L14:L19)*$E$547+SUMIF(I14:I19,$B$582,L14:L19)*$E$547+SUMIF(I14:I19,$B$583,L14:L19)*$E$549+SUMIF(I14:I19,$B$584,L14:L19)*$E$547+SUMIF(I14:I19,$B$585,L14:L19)*$E$549+SUMIF(I14:I19,$B$586,L14:L19)*$E$547+SUMIF(I14:I19,$B$587,L14:L19)*$E$551+SUMIF(I14:I19,$B$588,L14:L19)*$E$549+SUMIF(I14:I19,$B$590,L14:L19)*$E$544+SUMIF(I14:I19,$B$589,L14:L19)*$E$550</f>
        <v>0</v>
      </c>
      <c r="U17" s="2921"/>
    </row>
    <row r="18" spans="1:21" ht="29.1" customHeight="1" x14ac:dyDescent="0.25">
      <c r="A18" s="2923"/>
      <c r="B18" s="1884"/>
      <c r="C18" s="2254"/>
      <c r="D18" s="1885"/>
      <c r="E18" s="1901" t="s">
        <v>1536</v>
      </c>
      <c r="F18" s="2250" t="s">
        <v>740</v>
      </c>
      <c r="G18" s="2235">
        <f>(H15*$E$527+H16*$E$527)*$C$557+R15*$C$557+T16*$C$558/T15</f>
        <v>0</v>
      </c>
      <c r="H18" s="2235">
        <f>G18</f>
        <v>0</v>
      </c>
      <c r="I18" s="1889"/>
      <c r="J18" s="2247" t="s">
        <v>732</v>
      </c>
      <c r="K18" s="2647">
        <v>0</v>
      </c>
      <c r="L18" s="2646">
        <f t="shared" si="2"/>
        <v>0</v>
      </c>
      <c r="M18" s="2226">
        <f t="shared" si="4"/>
        <v>1</v>
      </c>
      <c r="N18" s="2649">
        <f>+$T15</f>
        <v>1.5</v>
      </c>
      <c r="O18" s="1896"/>
      <c r="P18" s="2258"/>
      <c r="Q18" s="1897"/>
      <c r="R18" s="1902"/>
      <c r="S18" s="1895" t="s">
        <v>1537</v>
      </c>
      <c r="T18" s="2673">
        <f>+T17*T14</f>
        <v>0</v>
      </c>
      <c r="U18" s="2921"/>
    </row>
    <row r="19" spans="1:21" x14ac:dyDescent="0.25">
      <c r="A19" s="2923"/>
      <c r="B19" s="1884"/>
      <c r="C19" s="2254"/>
      <c r="D19" s="1885"/>
      <c r="E19" s="1887"/>
      <c r="F19" s="2250"/>
      <c r="G19" s="1888"/>
      <c r="H19" s="1888"/>
      <c r="I19" s="1889"/>
      <c r="J19" s="2247" t="s">
        <v>732</v>
      </c>
      <c r="K19" s="2647">
        <v>0</v>
      </c>
      <c r="L19" s="2646">
        <f t="shared" si="2"/>
        <v>0</v>
      </c>
      <c r="M19" s="2226">
        <f t="shared" si="4"/>
        <v>1</v>
      </c>
      <c r="N19" s="2649">
        <f>+$T15</f>
        <v>1.5</v>
      </c>
      <c r="O19" s="1903"/>
      <c r="P19" s="2259"/>
      <c r="Q19" s="1902"/>
      <c r="R19" s="1902"/>
      <c r="S19" s="1904"/>
      <c r="T19" s="1905"/>
      <c r="U19" s="2921"/>
    </row>
    <row r="20" spans="1:21" ht="60.75" thickBot="1" x14ac:dyDescent="0.3">
      <c r="A20" s="2923"/>
      <c r="B20" s="2650"/>
      <c r="C20" s="2651"/>
      <c r="D20" s="2652"/>
      <c r="E20" s="2653"/>
      <c r="F20" s="2654"/>
      <c r="G20" s="2655"/>
      <c r="H20" s="2655"/>
      <c r="I20" s="2656" t="s">
        <v>2411</v>
      </c>
      <c r="J20" s="2657" t="s">
        <v>740</v>
      </c>
      <c r="K20" s="2658">
        <v>0</v>
      </c>
      <c r="L20" s="2659">
        <f t="shared" si="2"/>
        <v>0</v>
      </c>
      <c r="M20" s="2660">
        <f>IF(T20="YES",$C$554,1)</f>
        <v>1</v>
      </c>
      <c r="N20" s="2661">
        <f>+$T15</f>
        <v>1.5</v>
      </c>
      <c r="O20" s="2662"/>
      <c r="P20" s="2663"/>
      <c r="Q20" s="2664"/>
      <c r="R20" s="2664"/>
      <c r="S20" s="2665" t="s">
        <v>1539</v>
      </c>
      <c r="T20" s="2675" t="s">
        <v>1540</v>
      </c>
      <c r="U20" s="2921"/>
    </row>
    <row r="21" spans="1:21" ht="27" customHeight="1" thickBot="1" x14ac:dyDescent="0.3">
      <c r="A21" s="2666"/>
      <c r="B21" s="2667"/>
      <c r="C21" s="2668"/>
      <c r="D21" s="2669"/>
      <c r="E21" s="2667"/>
      <c r="F21" s="2668"/>
      <c r="G21" s="2669"/>
      <c r="H21" s="2669"/>
      <c r="I21" s="2667"/>
      <c r="J21" s="2668"/>
      <c r="K21" s="2669"/>
      <c r="L21" s="2669"/>
      <c r="M21" s="2669"/>
      <c r="N21" s="2669"/>
      <c r="O21" s="2667"/>
      <c r="P21" s="2668"/>
      <c r="Q21" s="2669"/>
      <c r="R21" s="2669"/>
      <c r="S21" s="2670"/>
      <c r="T21" s="2669"/>
      <c r="U21" s="2671"/>
    </row>
    <row r="22" spans="1:21" ht="26.85" customHeight="1" x14ac:dyDescent="0.25">
      <c r="A22" s="1870" t="s">
        <v>1513</v>
      </c>
      <c r="B22" s="1871" t="s">
        <v>1523</v>
      </c>
      <c r="C22" s="2253" t="s">
        <v>740</v>
      </c>
      <c r="D22" s="2236">
        <v>0</v>
      </c>
      <c r="E22" s="1874" t="s">
        <v>1524</v>
      </c>
      <c r="F22" s="2249" t="s">
        <v>728</v>
      </c>
      <c r="G22" s="2236">
        <v>0</v>
      </c>
      <c r="H22" s="2234">
        <f>G22*M22*N22</f>
        <v>0</v>
      </c>
      <c r="I22" s="1876"/>
      <c r="J22" s="2246" t="s">
        <v>732</v>
      </c>
      <c r="K22" s="2672">
        <v>0</v>
      </c>
      <c r="L22" s="2645">
        <f t="shared" ref="L22:L28" si="6">IF(ISNUMBER(SEARCH("Timber",I22)),M22*K22*N22,K22)</f>
        <v>0</v>
      </c>
      <c r="M22" s="2225">
        <f>+$M28</f>
        <v>1</v>
      </c>
      <c r="N22" s="2648">
        <f>+$T23</f>
        <v>1.5</v>
      </c>
      <c r="O22" s="1878" t="s">
        <v>1512</v>
      </c>
      <c r="P22" s="2256" t="s">
        <v>740</v>
      </c>
      <c r="Q22" s="2265">
        <f t="shared" ref="Q22" si="7">R23*$E$532+T24*$E$533</f>
        <v>0</v>
      </c>
      <c r="R22" s="1881"/>
      <c r="S22" s="1882" t="s">
        <v>1525</v>
      </c>
      <c r="T22" s="2266">
        <v>30</v>
      </c>
      <c r="U22" s="2920" t="s">
        <v>1526</v>
      </c>
    </row>
    <row r="23" spans="1:21" ht="30" x14ac:dyDescent="0.25">
      <c r="A23" s="1883">
        <f>A15+1</f>
        <v>3</v>
      </c>
      <c r="B23" s="1884" t="s">
        <v>1527</v>
      </c>
      <c r="C23" s="2254" t="s">
        <v>740</v>
      </c>
      <c r="D23" s="2237">
        <v>0</v>
      </c>
      <c r="E23" s="1887" t="s">
        <v>1528</v>
      </c>
      <c r="F23" s="2250" t="s">
        <v>728</v>
      </c>
      <c r="G23" s="2237">
        <v>0</v>
      </c>
      <c r="H23" s="2235">
        <f>G23</f>
        <v>0</v>
      </c>
      <c r="I23" s="1889"/>
      <c r="J23" s="2247" t="s">
        <v>732</v>
      </c>
      <c r="K23" s="2647">
        <v>0</v>
      </c>
      <c r="L23" s="2646">
        <f t="shared" si="6"/>
        <v>0</v>
      </c>
      <c r="M23" s="2226">
        <f t="shared" ref="M23:M27" si="8">M24</f>
        <v>1</v>
      </c>
      <c r="N23" s="2649">
        <f>+$T23</f>
        <v>1.5</v>
      </c>
      <c r="O23" s="1891" t="s">
        <v>1512</v>
      </c>
      <c r="P23" s="2257" t="s">
        <v>740</v>
      </c>
      <c r="Q23" s="2262"/>
      <c r="R23" s="1894">
        <f>H23*$E$527*0+H24*$E$527*0+SUMIF(I22:I27,$B$565,L22:L27)*$E$537+SUMIF(I22:I27,$B$566,L22:L27)*$E$540+SUMIF(I22:I27,$B$567,L22:L27)*$E$538+SUMIF(I22:I27,$B$568,L22:L27)*$E$539+SUMIF(I22:I27,$B$569,L22:L27)*$E$539+SUMIF(I22:I27,$B$570,L22:L27)*$E$541+SUMIF(I22:I27,$B$571,L22:L27)*$E$539+SUMIF(I22:I27,$B$572,L22:L27)*$E$541+SUMIF(I22:I27,$B$573,L22:L27)*$E$539+SUMIF(I22:I27,$B$574,L22:L27)*$E$543+SUMIF(I22:I27,$B$575,L22:L27)*$E$541+SUMIF(I22:I27,$B$577,L22:L27)*$E$536+SUMIF(I22:I27,$B$576,L22:L27)*$E$542+SUMIF(I22:I27,$B$563,L22:L27)*$E$539</f>
        <v>0</v>
      </c>
      <c r="S23" s="1895" t="s">
        <v>1529</v>
      </c>
      <c r="T23" s="2644">
        <f>+'Data Input sheet'!$D$112</f>
        <v>1.5</v>
      </c>
      <c r="U23" s="2921"/>
    </row>
    <row r="24" spans="1:21" ht="30" x14ac:dyDescent="0.25">
      <c r="A24" s="2922" t="s">
        <v>1530</v>
      </c>
      <c r="B24" s="1884" t="s">
        <v>1531</v>
      </c>
      <c r="C24" s="2254" t="s">
        <v>732</v>
      </c>
      <c r="D24" s="2237">
        <v>0</v>
      </c>
      <c r="E24" s="1887" t="s">
        <v>1532</v>
      </c>
      <c r="F24" s="2250" t="s">
        <v>728</v>
      </c>
      <c r="G24" s="2237">
        <v>0</v>
      </c>
      <c r="H24" s="2235">
        <f>G24</f>
        <v>0</v>
      </c>
      <c r="I24" s="1889"/>
      <c r="J24" s="2247" t="s">
        <v>732</v>
      </c>
      <c r="K24" s="2647">
        <v>0</v>
      </c>
      <c r="L24" s="2646">
        <f t="shared" si="6"/>
        <v>0</v>
      </c>
      <c r="M24" s="2226">
        <f t="shared" si="8"/>
        <v>1</v>
      </c>
      <c r="N24" s="2649">
        <f>+$T23</f>
        <v>1.5</v>
      </c>
      <c r="O24" s="1896"/>
      <c r="P24" s="2258"/>
      <c r="Q24" s="1898"/>
      <c r="R24" s="1899">
        <f t="shared" ref="R24" si="9">T24</f>
        <v>0</v>
      </c>
      <c r="S24" s="1895" t="s">
        <v>1533</v>
      </c>
      <c r="T24" s="2673">
        <f>G22*64/4+K28+SUMIF(I22:I27,$B$578,K22:K27)*$E$545+SUMIF(I22:I27,$B$579,K22:K27)*$E$548+SUMIF(I22:I27,$B$580,K22:K27)*$E$546+SUMIF(I22:I27,$B$581,K22:K27)*$E$547+SUMIF(I22:I27,$B$582,K22:K27)*$E$547+SUMIF(I22:I27,$B$583,K22:K27)*$E$549+SUMIF(I22:I27,$B$584,K22:K27)*$E$547+SUMIF(I22:I27,$B$585,K22:K27)*$E$549+SUMIF(I22:I27,$B$586,K22:K27)*$E$547+SUMIF(I22:I27,$B$587,K22:K27)*$E$551+SUMIF(I22:I27,$B$588,K22:K27)*$E$549+SUMIF(I22:I27,$B$590,K22:K27)*$E$544+SUMIF(I22:I27,$B$589,K22:K27)*$E$550</f>
        <v>0</v>
      </c>
      <c r="U24" s="2921"/>
    </row>
    <row r="25" spans="1:21" x14ac:dyDescent="0.25">
      <c r="A25" s="2923"/>
      <c r="B25" s="1884" t="s">
        <v>1534</v>
      </c>
      <c r="C25" s="2254" t="s">
        <v>728</v>
      </c>
      <c r="D25" s="2237">
        <v>0</v>
      </c>
      <c r="E25" s="1887" t="s">
        <v>1535</v>
      </c>
      <c r="F25" s="2250" t="s">
        <v>728</v>
      </c>
      <c r="G25" s="2235">
        <f>(H23+H24)*$C$555+G22*$C$556+(R23-(H23+H24)*$E$527)*$C$555/50+(T24-G22*16)*$C$556/50</f>
        <v>0</v>
      </c>
      <c r="H25" s="2235">
        <f>G25</f>
        <v>0</v>
      </c>
      <c r="I25" s="1889"/>
      <c r="J25" s="2247" t="s">
        <v>732</v>
      </c>
      <c r="K25" s="2647">
        <v>0</v>
      </c>
      <c r="L25" s="2646">
        <f t="shared" si="6"/>
        <v>0</v>
      </c>
      <c r="M25" s="2226">
        <f t="shared" si="8"/>
        <v>1</v>
      </c>
      <c r="N25" s="2649">
        <f>+$T23</f>
        <v>1.5</v>
      </c>
      <c r="O25" s="1896"/>
      <c r="P25" s="2258"/>
      <c r="Q25" s="1897"/>
      <c r="R25" s="1897"/>
      <c r="S25" s="1895" t="s">
        <v>3408</v>
      </c>
      <c r="T25" s="2674">
        <f>H22*64/4+L28+SUMIF(I22:I27,$B$578,L22:L27)*$E$545+SUMIF(I22:I27,$B$579,L22:L27)*$E$548+SUMIF(I22:I27,$B$580,L22:L27)*$E$546+SUMIF(I22:I27,$B$581,L22:L27)*$E$547+SUMIF(I22:I27,$B$582,L22:L27)*$E$547+SUMIF(I22:I27,$B$583,L22:L27)*$E$549+SUMIF(I22:I27,$B$584,L22:L27)*$E$547+SUMIF(I22:I27,$B$585,L22:L27)*$E$549+SUMIF(I22:I27,$B$586,L22:L27)*$E$547+SUMIF(I22:I27,$B$587,L22:L27)*$E$551+SUMIF(I22:I27,$B$588,L22:L27)*$E$549+SUMIF(I22:I27,$B$590,L22:L27)*$E$544+SUMIF(I22:I27,$B$589,L22:L27)*$E$550</f>
        <v>0</v>
      </c>
      <c r="U25" s="2921"/>
    </row>
    <row r="26" spans="1:21" ht="29.1" customHeight="1" x14ac:dyDescent="0.25">
      <c r="A26" s="2923"/>
      <c r="B26" s="1884"/>
      <c r="C26" s="2254"/>
      <c r="D26" s="1885"/>
      <c r="E26" s="1901" t="s">
        <v>1536</v>
      </c>
      <c r="F26" s="2250" t="s">
        <v>740</v>
      </c>
      <c r="G26" s="2235">
        <f>(H23*$E$527+H24*$E$527)*$C$557+R23*$C$557+T24*$C$558/T23</f>
        <v>0</v>
      </c>
      <c r="H26" s="2235">
        <f>G26</f>
        <v>0</v>
      </c>
      <c r="I26" s="1889"/>
      <c r="J26" s="2247" t="s">
        <v>732</v>
      </c>
      <c r="K26" s="2647">
        <v>0</v>
      </c>
      <c r="L26" s="2646">
        <f t="shared" si="6"/>
        <v>0</v>
      </c>
      <c r="M26" s="2226">
        <f t="shared" si="8"/>
        <v>1</v>
      </c>
      <c r="N26" s="2649">
        <f>+$T23</f>
        <v>1.5</v>
      </c>
      <c r="O26" s="1896"/>
      <c r="P26" s="2258"/>
      <c r="Q26" s="1897"/>
      <c r="R26" s="1902"/>
      <c r="S26" s="1895" t="s">
        <v>1537</v>
      </c>
      <c r="T26" s="2673">
        <f>+T25*T22</f>
        <v>0</v>
      </c>
      <c r="U26" s="2921"/>
    </row>
    <row r="27" spans="1:21" x14ac:dyDescent="0.25">
      <c r="A27" s="2923"/>
      <c r="B27" s="1884"/>
      <c r="C27" s="2254"/>
      <c r="D27" s="1885"/>
      <c r="E27" s="1887"/>
      <c r="F27" s="2250"/>
      <c r="G27" s="1888"/>
      <c r="H27" s="1888"/>
      <c r="I27" s="1889"/>
      <c r="J27" s="2247" t="s">
        <v>732</v>
      </c>
      <c r="K27" s="2647">
        <v>0</v>
      </c>
      <c r="L27" s="2646">
        <f t="shared" si="6"/>
        <v>0</v>
      </c>
      <c r="M27" s="2226">
        <f t="shared" si="8"/>
        <v>1</v>
      </c>
      <c r="N27" s="2649">
        <f>+$T23</f>
        <v>1.5</v>
      </c>
      <c r="O27" s="1903"/>
      <c r="P27" s="2259"/>
      <c r="Q27" s="1902"/>
      <c r="R27" s="1902"/>
      <c r="S27" s="1904"/>
      <c r="T27" s="1905"/>
      <c r="U27" s="2921"/>
    </row>
    <row r="28" spans="1:21" ht="60.75" thickBot="1" x14ac:dyDescent="0.3">
      <c r="A28" s="2925"/>
      <c r="B28" s="1906"/>
      <c r="C28" s="2255"/>
      <c r="D28" s="1907"/>
      <c r="E28" s="1908"/>
      <c r="F28" s="2251"/>
      <c r="G28" s="2233"/>
      <c r="H28" s="2233"/>
      <c r="I28" s="1911" t="s">
        <v>2411</v>
      </c>
      <c r="J28" s="2248" t="s">
        <v>740</v>
      </c>
      <c r="K28" s="2658">
        <v>0</v>
      </c>
      <c r="L28" s="2659">
        <f t="shared" si="6"/>
        <v>0</v>
      </c>
      <c r="M28" s="2660">
        <f>IF(T28="YES",$C$554,1)</f>
        <v>1</v>
      </c>
      <c r="N28" s="2661">
        <f>+$T23</f>
        <v>1.5</v>
      </c>
      <c r="O28" s="1913"/>
      <c r="P28" s="2260"/>
      <c r="Q28" s="1914"/>
      <c r="R28" s="1914"/>
      <c r="S28" s="1920" t="s">
        <v>1539</v>
      </c>
      <c r="T28" s="2243" t="s">
        <v>1540</v>
      </c>
      <c r="U28" s="2924"/>
    </row>
    <row r="29" spans="1:21" ht="27" customHeight="1" thickBot="1" x14ac:dyDescent="0.3">
      <c r="A29" s="2666"/>
      <c r="B29" s="2667"/>
      <c r="C29" s="2668"/>
      <c r="D29" s="2669"/>
      <c r="E29" s="2667"/>
      <c r="F29" s="2668"/>
      <c r="G29" s="2669"/>
      <c r="H29" s="2669"/>
      <c r="I29" s="2667"/>
      <c r="J29" s="2668"/>
      <c r="K29" s="2669"/>
      <c r="L29" s="2669"/>
      <c r="M29" s="2669"/>
      <c r="N29" s="2669"/>
      <c r="O29" s="2667"/>
      <c r="P29" s="2668"/>
      <c r="Q29" s="2669"/>
      <c r="R29" s="2669"/>
      <c r="S29" s="2670"/>
      <c r="T29" s="2669"/>
      <c r="U29" s="2671"/>
    </row>
    <row r="30" spans="1:21" ht="26.85" customHeight="1" x14ac:dyDescent="0.25">
      <c r="A30" s="1870" t="s">
        <v>1513</v>
      </c>
      <c r="B30" s="1871" t="s">
        <v>1523</v>
      </c>
      <c r="C30" s="2253" t="s">
        <v>740</v>
      </c>
      <c r="D30" s="2236">
        <v>0</v>
      </c>
      <c r="E30" s="1874" t="s">
        <v>1524</v>
      </c>
      <c r="F30" s="2249" t="s">
        <v>728</v>
      </c>
      <c r="G30" s="2236">
        <v>0</v>
      </c>
      <c r="H30" s="2234">
        <f>G30*M30*N30</f>
        <v>0</v>
      </c>
      <c r="I30" s="1876"/>
      <c r="J30" s="2246" t="s">
        <v>732</v>
      </c>
      <c r="K30" s="2672">
        <v>0</v>
      </c>
      <c r="L30" s="2645">
        <f t="shared" ref="L30:L36" si="10">IF(ISNUMBER(SEARCH("Timber",I30)),M30*K30*N30,K30)</f>
        <v>0</v>
      </c>
      <c r="M30" s="2225">
        <f>+$M36</f>
        <v>1</v>
      </c>
      <c r="N30" s="2648">
        <f>+$T31</f>
        <v>1.5</v>
      </c>
      <c r="O30" s="1878" t="s">
        <v>1512</v>
      </c>
      <c r="P30" s="2256" t="s">
        <v>740</v>
      </c>
      <c r="Q30" s="2265">
        <f t="shared" ref="Q30" si="11">R31*$E$532+T32*$E$533</f>
        <v>0</v>
      </c>
      <c r="R30" s="1881"/>
      <c r="S30" s="1882" t="s">
        <v>1525</v>
      </c>
      <c r="T30" s="2266">
        <v>30</v>
      </c>
      <c r="U30" s="2920" t="s">
        <v>1526</v>
      </c>
    </row>
    <row r="31" spans="1:21" ht="30" x14ac:dyDescent="0.25">
      <c r="A31" s="1883">
        <f>A23+1</f>
        <v>4</v>
      </c>
      <c r="B31" s="1884" t="s">
        <v>1527</v>
      </c>
      <c r="C31" s="2254" t="s">
        <v>740</v>
      </c>
      <c r="D31" s="2237">
        <v>0</v>
      </c>
      <c r="E31" s="1887" t="s">
        <v>1528</v>
      </c>
      <c r="F31" s="2250" t="s">
        <v>728</v>
      </c>
      <c r="G31" s="2237">
        <v>0</v>
      </c>
      <c r="H31" s="2235">
        <f>G31</f>
        <v>0</v>
      </c>
      <c r="I31" s="1889"/>
      <c r="J31" s="2247" t="s">
        <v>732</v>
      </c>
      <c r="K31" s="2647">
        <v>0</v>
      </c>
      <c r="L31" s="2646">
        <f t="shared" si="10"/>
        <v>0</v>
      </c>
      <c r="M31" s="2226">
        <f t="shared" ref="M31:M35" si="12">M32</f>
        <v>1</v>
      </c>
      <c r="N31" s="2649">
        <f>+$T31</f>
        <v>1.5</v>
      </c>
      <c r="O31" s="1891" t="s">
        <v>1512</v>
      </c>
      <c r="P31" s="2257" t="s">
        <v>740</v>
      </c>
      <c r="Q31" s="2262"/>
      <c r="R31" s="1894">
        <f>H31*$E$527*0+H32*$E$527*0+SUMIF(I30:I35,$B$565,L30:L35)*$E$537+SUMIF(I30:I35,$B$566,L30:L35)*$E$540+SUMIF(I30:I35,$B$567,L30:L35)*$E$538+SUMIF(I30:I35,$B$568,L30:L35)*$E$539+SUMIF(I30:I35,$B$569,L30:L35)*$E$539+SUMIF(I30:I35,$B$570,L30:L35)*$E$541+SUMIF(I30:I35,$B$571,L30:L35)*$E$539+SUMIF(I30:I35,$B$572,L30:L35)*$E$541+SUMIF(I30:I35,$B$573,L30:L35)*$E$539+SUMIF(I30:I35,$B$574,L30:L35)*$E$543+SUMIF(I30:I35,$B$575,L30:L35)*$E$541+SUMIF(I30:I35,$B$577,L30:L35)*$E$536+SUMIF(I30:I35,$B$576,L30:L35)*$E$542+SUMIF(I30:I35,$B$563,L30:L35)*$E$539</f>
        <v>0</v>
      </c>
      <c r="S31" s="1895" t="s">
        <v>1529</v>
      </c>
      <c r="T31" s="2644">
        <f>+'Data Input sheet'!$D$112</f>
        <v>1.5</v>
      </c>
      <c r="U31" s="2921"/>
    </row>
    <row r="32" spans="1:21" ht="30" x14ac:dyDescent="0.25">
      <c r="A32" s="2922" t="s">
        <v>1530</v>
      </c>
      <c r="B32" s="1884" t="s">
        <v>1531</v>
      </c>
      <c r="C32" s="2254" t="s">
        <v>732</v>
      </c>
      <c r="D32" s="2237">
        <v>0</v>
      </c>
      <c r="E32" s="1887" t="s">
        <v>1532</v>
      </c>
      <c r="F32" s="2250" t="s">
        <v>728</v>
      </c>
      <c r="G32" s="2237">
        <v>0</v>
      </c>
      <c r="H32" s="2235">
        <f>G32</f>
        <v>0</v>
      </c>
      <c r="I32" s="1889"/>
      <c r="J32" s="2247" t="s">
        <v>732</v>
      </c>
      <c r="K32" s="2647">
        <v>0</v>
      </c>
      <c r="L32" s="2646">
        <f t="shared" si="10"/>
        <v>0</v>
      </c>
      <c r="M32" s="2226">
        <f t="shared" si="12"/>
        <v>1</v>
      </c>
      <c r="N32" s="2649">
        <f>+$T31</f>
        <v>1.5</v>
      </c>
      <c r="O32" s="1896"/>
      <c r="P32" s="2258"/>
      <c r="Q32" s="1898"/>
      <c r="R32" s="1899">
        <f t="shared" ref="R32" si="13">T32</f>
        <v>0</v>
      </c>
      <c r="S32" s="1895" t="s">
        <v>1533</v>
      </c>
      <c r="T32" s="2673">
        <f>G30*64/4+K36+SUMIF(I30:I35,$B$578,K30:K35)*$E$545+SUMIF(I30:I35,$B$579,K30:K35)*$E$548+SUMIF(I30:I35,$B$580,K30:K35)*$E$546+SUMIF(I30:I35,$B$581,K30:K35)*$E$547+SUMIF(I30:I35,$B$582,K30:K35)*$E$547+SUMIF(I30:I35,$B$583,K30:K35)*$E$549+SUMIF(I30:I35,$B$584,K30:K35)*$E$547+SUMIF(I30:I35,$B$585,K30:K35)*$E$549+SUMIF(I30:I35,$B$586,K30:K35)*$E$547+SUMIF(I30:I35,$B$587,K30:K35)*$E$551+SUMIF(I30:I35,$B$588,K30:K35)*$E$549+SUMIF(I30:I35,$B$590,K30:K35)*$E$544+SUMIF(I30:I35,$B$589,K30:K35)*$E$550</f>
        <v>0</v>
      </c>
      <c r="U32" s="2921"/>
    </row>
    <row r="33" spans="1:21" x14ac:dyDescent="0.25">
      <c r="A33" s="2923"/>
      <c r="B33" s="1884" t="s">
        <v>1534</v>
      </c>
      <c r="C33" s="2254" t="s">
        <v>728</v>
      </c>
      <c r="D33" s="2237">
        <v>0</v>
      </c>
      <c r="E33" s="1887" t="s">
        <v>1535</v>
      </c>
      <c r="F33" s="2250" t="s">
        <v>728</v>
      </c>
      <c r="G33" s="2235">
        <f>(H31+H32)*$C$555+G30*$C$556+(R31-(H31+H32)*$E$527)*$C$555/50+(T32-G30*16)*$C$556/50</f>
        <v>0</v>
      </c>
      <c r="H33" s="2235">
        <f>G33</f>
        <v>0</v>
      </c>
      <c r="I33" s="1889"/>
      <c r="J33" s="2247" t="s">
        <v>732</v>
      </c>
      <c r="K33" s="2647">
        <v>0</v>
      </c>
      <c r="L33" s="2646">
        <f t="shared" si="10"/>
        <v>0</v>
      </c>
      <c r="M33" s="2226">
        <f t="shared" si="12"/>
        <v>1</v>
      </c>
      <c r="N33" s="2649">
        <f>+$T31</f>
        <v>1.5</v>
      </c>
      <c r="O33" s="1896"/>
      <c r="P33" s="2258"/>
      <c r="Q33" s="1897"/>
      <c r="R33" s="1897"/>
      <c r="S33" s="1895" t="s">
        <v>3408</v>
      </c>
      <c r="T33" s="2674">
        <f>H30*64/4+L36+SUMIF(I30:I35,$B$578,L30:L35)*$E$545+SUMIF(I30:I35,$B$579,L30:L35)*$E$548+SUMIF(I30:I35,$B$580,L30:L35)*$E$546+SUMIF(I30:I35,$B$581,L30:L35)*$E$547+SUMIF(I30:I35,$B$582,L30:L35)*$E$547+SUMIF(I30:I35,$B$583,L30:L35)*$E$549+SUMIF(I30:I35,$B$584,L30:L35)*$E$547+SUMIF(I30:I35,$B$585,L30:L35)*$E$549+SUMIF(I30:I35,$B$586,L30:L35)*$E$547+SUMIF(I30:I35,$B$587,L30:L35)*$E$551+SUMIF(I30:I35,$B$588,L30:L35)*$E$549+SUMIF(I30:I35,$B$590,L30:L35)*$E$544+SUMIF(I30:I35,$B$589,L30:L35)*$E$550</f>
        <v>0</v>
      </c>
      <c r="U33" s="2921"/>
    </row>
    <row r="34" spans="1:21" ht="29.1" customHeight="1" x14ac:dyDescent="0.25">
      <c r="A34" s="2923"/>
      <c r="B34" s="1884"/>
      <c r="C34" s="2254"/>
      <c r="D34" s="1885"/>
      <c r="E34" s="1901" t="s">
        <v>1536</v>
      </c>
      <c r="F34" s="2250" t="s">
        <v>740</v>
      </c>
      <c r="G34" s="2235">
        <f>(H31*$E$527+H32*$E$527)*$C$557+R31*$C$557+T32*$C$558/T31</f>
        <v>0</v>
      </c>
      <c r="H34" s="2235">
        <f>G34</f>
        <v>0</v>
      </c>
      <c r="I34" s="1889"/>
      <c r="J34" s="2247" t="s">
        <v>732</v>
      </c>
      <c r="K34" s="2647">
        <v>0</v>
      </c>
      <c r="L34" s="2646">
        <f t="shared" si="10"/>
        <v>0</v>
      </c>
      <c r="M34" s="2226">
        <f t="shared" si="12"/>
        <v>1</v>
      </c>
      <c r="N34" s="2649">
        <f>+$T31</f>
        <v>1.5</v>
      </c>
      <c r="O34" s="1896"/>
      <c r="P34" s="2258"/>
      <c r="Q34" s="1897"/>
      <c r="R34" s="1902"/>
      <c r="S34" s="1895" t="s">
        <v>1537</v>
      </c>
      <c r="T34" s="2673">
        <f>+T33*T30</f>
        <v>0</v>
      </c>
      <c r="U34" s="2921"/>
    </row>
    <row r="35" spans="1:21" x14ac:dyDescent="0.25">
      <c r="A35" s="2923"/>
      <c r="B35" s="1884"/>
      <c r="C35" s="2254"/>
      <c r="D35" s="1885"/>
      <c r="E35" s="1887"/>
      <c r="F35" s="2250"/>
      <c r="G35" s="1888"/>
      <c r="H35" s="1888"/>
      <c r="I35" s="1889"/>
      <c r="J35" s="2247" t="s">
        <v>732</v>
      </c>
      <c r="K35" s="2647">
        <v>0</v>
      </c>
      <c r="L35" s="2646">
        <f t="shared" si="10"/>
        <v>0</v>
      </c>
      <c r="M35" s="2226">
        <f t="shared" si="12"/>
        <v>1</v>
      </c>
      <c r="N35" s="2649">
        <f>+$T31</f>
        <v>1.5</v>
      </c>
      <c r="O35" s="1903"/>
      <c r="P35" s="2259"/>
      <c r="Q35" s="1902"/>
      <c r="R35" s="1902"/>
      <c r="S35" s="1904"/>
      <c r="T35" s="1905"/>
      <c r="U35" s="2921"/>
    </row>
    <row r="36" spans="1:21" ht="60.75" thickBot="1" x14ac:dyDescent="0.3">
      <c r="A36" s="2925"/>
      <c r="B36" s="1906"/>
      <c r="C36" s="2255"/>
      <c r="D36" s="1907"/>
      <c r="E36" s="1908"/>
      <c r="F36" s="2251"/>
      <c r="G36" s="2233"/>
      <c r="H36" s="2233"/>
      <c r="I36" s="1911" t="s">
        <v>2411</v>
      </c>
      <c r="J36" s="2248" t="s">
        <v>740</v>
      </c>
      <c r="K36" s="2658">
        <v>0</v>
      </c>
      <c r="L36" s="2659">
        <f t="shared" si="10"/>
        <v>0</v>
      </c>
      <c r="M36" s="2660">
        <f>IF(T36="YES",$C$554,1)</f>
        <v>1</v>
      </c>
      <c r="N36" s="2661">
        <f>+$T31</f>
        <v>1.5</v>
      </c>
      <c r="O36" s="1913"/>
      <c r="P36" s="2260"/>
      <c r="Q36" s="1914"/>
      <c r="R36" s="1914"/>
      <c r="S36" s="1920" t="s">
        <v>1539</v>
      </c>
      <c r="T36" s="2243" t="s">
        <v>1540</v>
      </c>
      <c r="U36" s="2924"/>
    </row>
    <row r="37" spans="1:21" ht="27" customHeight="1" thickBot="1" x14ac:dyDescent="0.3">
      <c r="A37" s="2666"/>
      <c r="B37" s="2667"/>
      <c r="C37" s="2668"/>
      <c r="D37" s="2669"/>
      <c r="E37" s="2667"/>
      <c r="F37" s="2668"/>
      <c r="G37" s="2669"/>
      <c r="H37" s="2669"/>
      <c r="I37" s="2667"/>
      <c r="J37" s="2668"/>
      <c r="K37" s="2669"/>
      <c r="L37" s="2669"/>
      <c r="M37" s="2669"/>
      <c r="N37" s="2669"/>
      <c r="O37" s="2667"/>
      <c r="P37" s="2668"/>
      <c r="Q37" s="2669"/>
      <c r="R37" s="2669"/>
      <c r="S37" s="2670"/>
      <c r="T37" s="2669"/>
      <c r="U37" s="2671"/>
    </row>
    <row r="38" spans="1:21" ht="26.85" customHeight="1" x14ac:dyDescent="0.25">
      <c r="A38" s="1870" t="s">
        <v>1513</v>
      </c>
      <c r="B38" s="1871" t="s">
        <v>1523</v>
      </c>
      <c r="C38" s="2253" t="s">
        <v>740</v>
      </c>
      <c r="D38" s="2236">
        <v>0</v>
      </c>
      <c r="E38" s="1874" t="s">
        <v>1524</v>
      </c>
      <c r="F38" s="2249" t="s">
        <v>728</v>
      </c>
      <c r="G38" s="2236">
        <v>0</v>
      </c>
      <c r="H38" s="2234">
        <f>G38*M38*N38</f>
        <v>0</v>
      </c>
      <c r="I38" s="1876"/>
      <c r="J38" s="2246" t="s">
        <v>732</v>
      </c>
      <c r="K38" s="2672">
        <v>0</v>
      </c>
      <c r="L38" s="2645">
        <f t="shared" ref="L38:L44" si="14">IF(ISNUMBER(SEARCH("Timber",I38)),M38*K38*N38,K38)</f>
        <v>0</v>
      </c>
      <c r="M38" s="2225">
        <f>+$M44</f>
        <v>1</v>
      </c>
      <c r="N38" s="2648">
        <f>+$T39</f>
        <v>1.5</v>
      </c>
      <c r="O38" s="1878" t="s">
        <v>1512</v>
      </c>
      <c r="P38" s="2256" t="s">
        <v>740</v>
      </c>
      <c r="Q38" s="2265">
        <f t="shared" ref="Q38" si="15">R39*$E$532+T40*$E$533</f>
        <v>0</v>
      </c>
      <c r="R38" s="1881"/>
      <c r="S38" s="1882" t="s">
        <v>1525</v>
      </c>
      <c r="T38" s="2266">
        <v>30</v>
      </c>
      <c r="U38" s="2920" t="s">
        <v>1526</v>
      </c>
    </row>
    <row r="39" spans="1:21" ht="30" x14ac:dyDescent="0.25">
      <c r="A39" s="1883">
        <f>A31+1</f>
        <v>5</v>
      </c>
      <c r="B39" s="1884" t="s">
        <v>1527</v>
      </c>
      <c r="C39" s="2254" t="s">
        <v>740</v>
      </c>
      <c r="D39" s="2237">
        <v>0</v>
      </c>
      <c r="E39" s="1887" t="s">
        <v>1528</v>
      </c>
      <c r="F39" s="2250" t="s">
        <v>728</v>
      </c>
      <c r="G39" s="2237">
        <v>0</v>
      </c>
      <c r="H39" s="2235">
        <f>G39</f>
        <v>0</v>
      </c>
      <c r="I39" s="1889"/>
      <c r="J39" s="2247" t="s">
        <v>732</v>
      </c>
      <c r="K39" s="2647">
        <v>0</v>
      </c>
      <c r="L39" s="2646">
        <f t="shared" si="14"/>
        <v>0</v>
      </c>
      <c r="M39" s="2226">
        <f t="shared" ref="M39:M43" si="16">M40</f>
        <v>1</v>
      </c>
      <c r="N39" s="2649">
        <f>+$T39</f>
        <v>1.5</v>
      </c>
      <c r="O39" s="1891" t="s">
        <v>1512</v>
      </c>
      <c r="P39" s="2257" t="s">
        <v>740</v>
      </c>
      <c r="Q39" s="2262"/>
      <c r="R39" s="1894">
        <f>H39*$E$527*0+H40*$E$527*0+SUMIF(I38:I43,$B$565,L38:L43)*$E$537+SUMIF(I38:I43,$B$566,L38:L43)*$E$540+SUMIF(I38:I43,$B$567,L38:L43)*$E$538+SUMIF(I38:I43,$B$568,L38:L43)*$E$539+SUMIF(I38:I43,$B$569,L38:L43)*$E$539+SUMIF(I38:I43,$B$570,L38:L43)*$E$541+SUMIF(I38:I43,$B$571,L38:L43)*$E$539+SUMIF(I38:I43,$B$572,L38:L43)*$E$541+SUMIF(I38:I43,$B$573,L38:L43)*$E$539+SUMIF(I38:I43,$B$574,L38:L43)*$E$543+SUMIF(I38:I43,$B$575,L38:L43)*$E$541+SUMIF(I38:I43,$B$577,L38:L43)*$E$536+SUMIF(I38:I43,$B$576,L38:L43)*$E$542+SUMIF(I38:I43,$B$563,L38:L43)*$E$539</f>
        <v>0</v>
      </c>
      <c r="S39" s="1895" t="s">
        <v>1529</v>
      </c>
      <c r="T39" s="2644">
        <f>+'Data Input sheet'!$D$112</f>
        <v>1.5</v>
      </c>
      <c r="U39" s="2921"/>
    </row>
    <row r="40" spans="1:21" ht="30" x14ac:dyDescent="0.25">
      <c r="A40" s="2922" t="s">
        <v>1530</v>
      </c>
      <c r="B40" s="1884" t="s">
        <v>1531</v>
      </c>
      <c r="C40" s="2254" t="s">
        <v>732</v>
      </c>
      <c r="D40" s="2237">
        <v>0</v>
      </c>
      <c r="E40" s="1887" t="s">
        <v>1532</v>
      </c>
      <c r="F40" s="2250" t="s">
        <v>728</v>
      </c>
      <c r="G40" s="2237">
        <v>0</v>
      </c>
      <c r="H40" s="2235">
        <f>G40</f>
        <v>0</v>
      </c>
      <c r="I40" s="1889"/>
      <c r="J40" s="2247" t="s">
        <v>732</v>
      </c>
      <c r="K40" s="2647">
        <v>0</v>
      </c>
      <c r="L40" s="2646">
        <f t="shared" si="14"/>
        <v>0</v>
      </c>
      <c r="M40" s="2226">
        <f t="shared" si="16"/>
        <v>1</v>
      </c>
      <c r="N40" s="2649">
        <f>+$T39</f>
        <v>1.5</v>
      </c>
      <c r="O40" s="1896"/>
      <c r="P40" s="2258"/>
      <c r="Q40" s="1898"/>
      <c r="R40" s="1899">
        <f t="shared" ref="R40" si="17">T40</f>
        <v>0</v>
      </c>
      <c r="S40" s="1895" t="s">
        <v>1533</v>
      </c>
      <c r="T40" s="2673">
        <f>G38*64/4+K44+SUMIF(I38:I43,$B$578,K38:K43)*$E$545+SUMIF(I38:I43,$B$579,K38:K43)*$E$548+SUMIF(I38:I43,$B$580,K38:K43)*$E$546+SUMIF(I38:I43,$B$581,K38:K43)*$E$547+SUMIF(I38:I43,$B$582,K38:K43)*$E$547+SUMIF(I38:I43,$B$583,K38:K43)*$E$549+SUMIF(I38:I43,$B$584,K38:K43)*$E$547+SUMIF(I38:I43,$B$585,K38:K43)*$E$549+SUMIF(I38:I43,$B$586,K38:K43)*$E$547+SUMIF(I38:I43,$B$587,K38:K43)*$E$551+SUMIF(I38:I43,$B$588,K38:K43)*$E$549+SUMIF(I38:I43,$B$590,K38:K43)*$E$544+SUMIF(I38:I43,$B$589,K38:K43)*$E$550</f>
        <v>0</v>
      </c>
      <c r="U40" s="2921"/>
    </row>
    <row r="41" spans="1:21" x14ac:dyDescent="0.25">
      <c r="A41" s="2923"/>
      <c r="B41" s="1884" t="s">
        <v>1534</v>
      </c>
      <c r="C41" s="2254" t="s">
        <v>728</v>
      </c>
      <c r="D41" s="2237">
        <v>0</v>
      </c>
      <c r="E41" s="1887" t="s">
        <v>1535</v>
      </c>
      <c r="F41" s="2250" t="s">
        <v>728</v>
      </c>
      <c r="G41" s="2235">
        <f>(H39+H40)*$C$555+G38*$C$556+(R39-(H39+H40)*$E$527)*$C$555/50+(T40-G38*16)*$C$556/50</f>
        <v>0</v>
      </c>
      <c r="H41" s="2235">
        <f>G41</f>
        <v>0</v>
      </c>
      <c r="I41" s="1889"/>
      <c r="J41" s="2247" t="s">
        <v>732</v>
      </c>
      <c r="K41" s="2647">
        <v>0</v>
      </c>
      <c r="L41" s="2646">
        <f t="shared" si="14"/>
        <v>0</v>
      </c>
      <c r="M41" s="2226">
        <f t="shared" si="16"/>
        <v>1</v>
      </c>
      <c r="N41" s="2649">
        <f>+$T39</f>
        <v>1.5</v>
      </c>
      <c r="O41" s="1896"/>
      <c r="P41" s="2258"/>
      <c r="Q41" s="1897"/>
      <c r="R41" s="1897"/>
      <c r="S41" s="1895" t="s">
        <v>3408</v>
      </c>
      <c r="T41" s="2674">
        <f>H38*64/4+L44+SUMIF(I38:I43,$B$578,L38:L43)*$E$545+SUMIF(I38:I43,$B$579,L38:L43)*$E$548+SUMIF(I38:I43,$B$580,L38:L43)*$E$546+SUMIF(I38:I43,$B$581,L38:L43)*$E$547+SUMIF(I38:I43,$B$582,L38:L43)*$E$547+SUMIF(I38:I43,$B$583,L38:L43)*$E$549+SUMIF(I38:I43,$B$584,L38:L43)*$E$547+SUMIF(I38:I43,$B$585,L38:L43)*$E$549+SUMIF(I38:I43,$B$586,L38:L43)*$E$547+SUMIF(I38:I43,$B$587,L38:L43)*$E$551+SUMIF(I38:I43,$B$588,L38:L43)*$E$549+SUMIF(I38:I43,$B$590,L38:L43)*$E$544+SUMIF(I38:I43,$B$589,L38:L43)*$E$550</f>
        <v>0</v>
      </c>
      <c r="U41" s="2921"/>
    </row>
    <row r="42" spans="1:21" ht="29.1" customHeight="1" x14ac:dyDescent="0.25">
      <c r="A42" s="2923"/>
      <c r="B42" s="1884"/>
      <c r="C42" s="2254"/>
      <c r="D42" s="1885"/>
      <c r="E42" s="1901" t="s">
        <v>1536</v>
      </c>
      <c r="F42" s="2250" t="s">
        <v>740</v>
      </c>
      <c r="G42" s="2235">
        <f>(H39*$E$527+H40*$E$527)*$C$557+R39*$C$557+T40*$C$558/T39</f>
        <v>0</v>
      </c>
      <c r="H42" s="2235">
        <f>G42</f>
        <v>0</v>
      </c>
      <c r="I42" s="1889"/>
      <c r="J42" s="2247" t="s">
        <v>732</v>
      </c>
      <c r="K42" s="2647">
        <v>0</v>
      </c>
      <c r="L42" s="2646">
        <f t="shared" si="14"/>
        <v>0</v>
      </c>
      <c r="M42" s="2226">
        <f t="shared" si="16"/>
        <v>1</v>
      </c>
      <c r="N42" s="2649">
        <f>+$T39</f>
        <v>1.5</v>
      </c>
      <c r="O42" s="1896"/>
      <c r="P42" s="2258"/>
      <c r="Q42" s="1897"/>
      <c r="R42" s="1902"/>
      <c r="S42" s="1895" t="s">
        <v>1537</v>
      </c>
      <c r="T42" s="2673">
        <f>+T41*T38</f>
        <v>0</v>
      </c>
      <c r="U42" s="2921"/>
    </row>
    <row r="43" spans="1:21" x14ac:dyDescent="0.25">
      <c r="A43" s="2923"/>
      <c r="B43" s="1884"/>
      <c r="C43" s="2254"/>
      <c r="D43" s="1885"/>
      <c r="E43" s="1887"/>
      <c r="F43" s="2250"/>
      <c r="G43" s="1888"/>
      <c r="H43" s="1888"/>
      <c r="I43" s="1889"/>
      <c r="J43" s="2247" t="s">
        <v>732</v>
      </c>
      <c r="K43" s="2647">
        <v>0</v>
      </c>
      <c r="L43" s="2646">
        <f t="shared" si="14"/>
        <v>0</v>
      </c>
      <c r="M43" s="2226">
        <f t="shared" si="16"/>
        <v>1</v>
      </c>
      <c r="N43" s="2649">
        <f>+$T39</f>
        <v>1.5</v>
      </c>
      <c r="O43" s="1903"/>
      <c r="P43" s="2259"/>
      <c r="Q43" s="1902"/>
      <c r="R43" s="1902"/>
      <c r="S43" s="1904"/>
      <c r="T43" s="1905"/>
      <c r="U43" s="2921"/>
    </row>
    <row r="44" spans="1:21" ht="60.75" thickBot="1" x14ac:dyDescent="0.3">
      <c r="A44" s="2925"/>
      <c r="B44" s="1906"/>
      <c r="C44" s="2255"/>
      <c r="D44" s="1907"/>
      <c r="E44" s="1908"/>
      <c r="F44" s="2251"/>
      <c r="G44" s="2233"/>
      <c r="H44" s="2233"/>
      <c r="I44" s="1911" t="s">
        <v>2411</v>
      </c>
      <c r="J44" s="2248" t="s">
        <v>740</v>
      </c>
      <c r="K44" s="2658">
        <v>0</v>
      </c>
      <c r="L44" s="2659">
        <f t="shared" si="14"/>
        <v>0</v>
      </c>
      <c r="M44" s="2660">
        <f>IF(T44="YES",$C$554,1)</f>
        <v>1</v>
      </c>
      <c r="N44" s="2661">
        <f>+$T39</f>
        <v>1.5</v>
      </c>
      <c r="O44" s="1913"/>
      <c r="P44" s="2260"/>
      <c r="Q44" s="1914"/>
      <c r="R44" s="1914"/>
      <c r="S44" s="1920" t="s">
        <v>1539</v>
      </c>
      <c r="T44" s="2243" t="s">
        <v>1540</v>
      </c>
      <c r="U44" s="2924"/>
    </row>
    <row r="45" spans="1:21" ht="27" customHeight="1" thickBot="1" x14ac:dyDescent="0.3">
      <c r="A45" s="1915"/>
      <c r="B45" s="1916"/>
      <c r="C45" s="2252"/>
      <c r="D45" s="1917"/>
      <c r="E45" s="1916"/>
      <c r="F45" s="2252"/>
      <c r="G45" s="1917"/>
      <c r="H45" s="1917"/>
      <c r="I45" s="1916"/>
      <c r="J45" s="2252"/>
      <c r="K45" s="2669"/>
      <c r="L45" s="2669"/>
      <c r="M45" s="2669"/>
      <c r="N45" s="2669"/>
      <c r="O45" s="1916"/>
      <c r="P45" s="2252"/>
      <c r="Q45" s="1917"/>
      <c r="R45" s="1917"/>
      <c r="S45" s="1918"/>
      <c r="T45" s="1917"/>
      <c r="U45" s="1919"/>
    </row>
    <row r="46" spans="1:21" ht="26.85" customHeight="1" x14ac:dyDescent="0.25">
      <c r="A46" s="1870" t="s">
        <v>1513</v>
      </c>
      <c r="B46" s="1871" t="s">
        <v>1523</v>
      </c>
      <c r="C46" s="2253" t="s">
        <v>740</v>
      </c>
      <c r="D46" s="2236">
        <v>0</v>
      </c>
      <c r="E46" s="1874" t="s">
        <v>1524</v>
      </c>
      <c r="F46" s="2249" t="s">
        <v>728</v>
      </c>
      <c r="G46" s="2236">
        <v>0</v>
      </c>
      <c r="H46" s="2234">
        <f>G46*M46*N46</f>
        <v>0</v>
      </c>
      <c r="I46" s="1876"/>
      <c r="J46" s="2246" t="s">
        <v>732</v>
      </c>
      <c r="K46" s="2672">
        <v>0</v>
      </c>
      <c r="L46" s="2645">
        <f t="shared" ref="L46:L52" si="18">IF(ISNUMBER(SEARCH("Timber",I46)),M46*K46*N46,K46)</f>
        <v>0</v>
      </c>
      <c r="M46" s="2225">
        <f>+$M52</f>
        <v>1</v>
      </c>
      <c r="N46" s="2648">
        <f>+$T47</f>
        <v>1.5</v>
      </c>
      <c r="O46" s="1878" t="s">
        <v>1512</v>
      </c>
      <c r="P46" s="2256" t="s">
        <v>740</v>
      </c>
      <c r="Q46" s="2265">
        <f t="shared" ref="Q46" si="19">R47*$E$532+T48*$E$533</f>
        <v>0</v>
      </c>
      <c r="R46" s="1881"/>
      <c r="S46" s="1882" t="s">
        <v>1525</v>
      </c>
      <c r="T46" s="2266">
        <v>30</v>
      </c>
      <c r="U46" s="2920" t="s">
        <v>1526</v>
      </c>
    </row>
    <row r="47" spans="1:21" ht="30" x14ac:dyDescent="0.25">
      <c r="A47" s="1883">
        <f>A39+1</f>
        <v>6</v>
      </c>
      <c r="B47" s="1884" t="s">
        <v>1527</v>
      </c>
      <c r="C47" s="2254" t="s">
        <v>740</v>
      </c>
      <c r="D47" s="2237">
        <v>0</v>
      </c>
      <c r="E47" s="1887" t="s">
        <v>1528</v>
      </c>
      <c r="F47" s="2250" t="s">
        <v>728</v>
      </c>
      <c r="G47" s="2237">
        <v>0</v>
      </c>
      <c r="H47" s="2235">
        <f>G47</f>
        <v>0</v>
      </c>
      <c r="I47" s="1889"/>
      <c r="J47" s="2247" t="s">
        <v>732</v>
      </c>
      <c r="K47" s="2647">
        <v>0</v>
      </c>
      <c r="L47" s="2646">
        <f t="shared" si="18"/>
        <v>0</v>
      </c>
      <c r="M47" s="2226">
        <f t="shared" ref="M47:M51" si="20">M48</f>
        <v>1</v>
      </c>
      <c r="N47" s="2649">
        <f>+$T47</f>
        <v>1.5</v>
      </c>
      <c r="O47" s="1891" t="s">
        <v>1512</v>
      </c>
      <c r="P47" s="2257" t="s">
        <v>740</v>
      </c>
      <c r="Q47" s="2262"/>
      <c r="R47" s="1894">
        <f>H47*$E$527*0+H48*$E$527*0+SUMIF(I46:I51,$B$565,L46:L51)*$E$537+SUMIF(I46:I51,$B$566,L46:L51)*$E$540+SUMIF(I46:I51,$B$567,L46:L51)*$E$538+SUMIF(I46:I51,$B$568,L46:L51)*$E$539+SUMIF(I46:I51,$B$569,L46:L51)*$E$539+SUMIF(I46:I51,$B$570,L46:L51)*$E$541+SUMIF(I46:I51,$B$571,L46:L51)*$E$539+SUMIF(I46:I51,$B$572,L46:L51)*$E$541+SUMIF(I46:I51,$B$573,L46:L51)*$E$539+SUMIF(I46:I51,$B$574,L46:L51)*$E$543+SUMIF(I46:I51,$B$575,L46:L51)*$E$541+SUMIF(I46:I51,$B$577,L46:L51)*$E$536+SUMIF(I46:I51,$B$576,L46:L51)*$E$542+SUMIF(I46:I51,$B$563,L46:L51)*$E$539</f>
        <v>0</v>
      </c>
      <c r="S47" s="1895" t="s">
        <v>1529</v>
      </c>
      <c r="T47" s="2644">
        <f>+'Data Input sheet'!$D$112</f>
        <v>1.5</v>
      </c>
      <c r="U47" s="2921"/>
    </row>
    <row r="48" spans="1:21" ht="30" x14ac:dyDescent="0.25">
      <c r="A48" s="2922" t="s">
        <v>1530</v>
      </c>
      <c r="B48" s="1884" t="s">
        <v>1531</v>
      </c>
      <c r="C48" s="2254" t="s">
        <v>732</v>
      </c>
      <c r="D48" s="2237">
        <v>0</v>
      </c>
      <c r="E48" s="1887" t="s">
        <v>1532</v>
      </c>
      <c r="F48" s="2250" t="s">
        <v>728</v>
      </c>
      <c r="G48" s="2237">
        <v>0</v>
      </c>
      <c r="H48" s="2235">
        <f>G48</f>
        <v>0</v>
      </c>
      <c r="I48" s="1889"/>
      <c r="J48" s="2247" t="s">
        <v>732</v>
      </c>
      <c r="K48" s="2647">
        <v>0</v>
      </c>
      <c r="L48" s="2646">
        <f t="shared" si="18"/>
        <v>0</v>
      </c>
      <c r="M48" s="2226">
        <f t="shared" si="20"/>
        <v>1</v>
      </c>
      <c r="N48" s="2649">
        <f>+$T47</f>
        <v>1.5</v>
      </c>
      <c r="O48" s="1896"/>
      <c r="P48" s="2258"/>
      <c r="Q48" s="1898"/>
      <c r="R48" s="1899">
        <f t="shared" ref="R48" si="21">T48</f>
        <v>0</v>
      </c>
      <c r="S48" s="1895" t="s">
        <v>1533</v>
      </c>
      <c r="T48" s="2673">
        <f>G46*64/4+K52+SUMIF(I46:I51,$B$578,K46:K51)*$E$545+SUMIF(I46:I51,$B$579,K46:K51)*$E$548+SUMIF(I46:I51,$B$580,K46:K51)*$E$546+SUMIF(I46:I51,$B$581,K46:K51)*$E$547+SUMIF(I46:I51,$B$582,K46:K51)*$E$547+SUMIF(I46:I51,$B$583,K46:K51)*$E$549+SUMIF(I46:I51,$B$584,K46:K51)*$E$547+SUMIF(I46:I51,$B$585,K46:K51)*$E$549+SUMIF(I46:I51,$B$586,K46:K51)*$E$547+SUMIF(I46:I51,$B$587,K46:K51)*$E$551+SUMIF(I46:I51,$B$588,K46:K51)*$E$549+SUMIF(I46:I51,$B$590,K46:K51)*$E$544+SUMIF(I46:I51,$B$589,K46:K51)*$E$550</f>
        <v>0</v>
      </c>
      <c r="U48" s="2921"/>
    </row>
    <row r="49" spans="1:21" x14ac:dyDescent="0.25">
      <c r="A49" s="2923"/>
      <c r="B49" s="1884" t="s">
        <v>1534</v>
      </c>
      <c r="C49" s="2254" t="s">
        <v>728</v>
      </c>
      <c r="D49" s="2237">
        <v>0</v>
      </c>
      <c r="E49" s="1887" t="s">
        <v>1535</v>
      </c>
      <c r="F49" s="2250" t="s">
        <v>728</v>
      </c>
      <c r="G49" s="2235">
        <f>(H47+H48)*$C$555+G46*$C$556+(R47-(H47+H48)*$E$527)*$C$555/50+(T48-G46*16)*$C$556/50</f>
        <v>0</v>
      </c>
      <c r="H49" s="2235">
        <f>G49</f>
        <v>0</v>
      </c>
      <c r="I49" s="1889"/>
      <c r="J49" s="2247" t="s">
        <v>732</v>
      </c>
      <c r="K49" s="2647">
        <v>0</v>
      </c>
      <c r="L49" s="2646">
        <f t="shared" si="18"/>
        <v>0</v>
      </c>
      <c r="M49" s="2226">
        <f t="shared" si="20"/>
        <v>1</v>
      </c>
      <c r="N49" s="2649">
        <f>+$T47</f>
        <v>1.5</v>
      </c>
      <c r="O49" s="1896"/>
      <c r="P49" s="2258"/>
      <c r="Q49" s="1897"/>
      <c r="R49" s="1897"/>
      <c r="S49" s="1895" t="s">
        <v>3408</v>
      </c>
      <c r="T49" s="2674">
        <f>H46*64/4+L52+SUMIF(I46:I51,$B$578,L46:L51)*$E$545+SUMIF(I46:I51,$B$579,L46:L51)*$E$548+SUMIF(I46:I51,$B$580,L46:L51)*$E$546+SUMIF(I46:I51,$B$581,L46:L51)*$E$547+SUMIF(I46:I51,$B$582,L46:L51)*$E$547+SUMIF(I46:I51,$B$583,L46:L51)*$E$549+SUMIF(I46:I51,$B$584,L46:L51)*$E$547+SUMIF(I46:I51,$B$585,L46:L51)*$E$549+SUMIF(I46:I51,$B$586,L46:L51)*$E$547+SUMIF(I46:I51,$B$587,L46:L51)*$E$551+SUMIF(I46:I51,$B$588,L46:L51)*$E$549+SUMIF(I46:I51,$B$590,L46:L51)*$E$544+SUMIF(I46:I51,$B$589,L46:L51)*$E$550</f>
        <v>0</v>
      </c>
      <c r="U49" s="2921"/>
    </row>
    <row r="50" spans="1:21" ht="29.1" customHeight="1" x14ac:dyDescent="0.25">
      <c r="A50" s="2923"/>
      <c r="B50" s="1884"/>
      <c r="C50" s="2254"/>
      <c r="D50" s="1885"/>
      <c r="E50" s="1901" t="s">
        <v>1536</v>
      </c>
      <c r="F50" s="2250" t="s">
        <v>740</v>
      </c>
      <c r="G50" s="2235">
        <f>(H47*$E$527+H48*$E$527)*$C$557+R47*$C$557+T48*$C$558/T47</f>
        <v>0</v>
      </c>
      <c r="H50" s="2235">
        <f>G50</f>
        <v>0</v>
      </c>
      <c r="I50" s="1889"/>
      <c r="J50" s="2247" t="s">
        <v>732</v>
      </c>
      <c r="K50" s="2647">
        <v>0</v>
      </c>
      <c r="L50" s="2646">
        <f t="shared" si="18"/>
        <v>0</v>
      </c>
      <c r="M50" s="2226">
        <f t="shared" si="20"/>
        <v>1</v>
      </c>
      <c r="N50" s="2649">
        <f>+$T47</f>
        <v>1.5</v>
      </c>
      <c r="O50" s="1896"/>
      <c r="P50" s="2258"/>
      <c r="Q50" s="1897"/>
      <c r="R50" s="1902"/>
      <c r="S50" s="1895" t="s">
        <v>1537</v>
      </c>
      <c r="T50" s="2673">
        <f>+T49*T46</f>
        <v>0</v>
      </c>
      <c r="U50" s="2921"/>
    </row>
    <row r="51" spans="1:21" x14ac:dyDescent="0.25">
      <c r="A51" s="2923"/>
      <c r="B51" s="1884"/>
      <c r="C51" s="2254"/>
      <c r="D51" s="1885"/>
      <c r="E51" s="1887"/>
      <c r="F51" s="2250"/>
      <c r="G51" s="1888"/>
      <c r="H51" s="1888"/>
      <c r="I51" s="1889"/>
      <c r="J51" s="2247" t="s">
        <v>732</v>
      </c>
      <c r="K51" s="2647">
        <v>0</v>
      </c>
      <c r="L51" s="2646">
        <f t="shared" si="18"/>
        <v>0</v>
      </c>
      <c r="M51" s="2226">
        <f t="shared" si="20"/>
        <v>1</v>
      </c>
      <c r="N51" s="2649">
        <f>+$T47</f>
        <v>1.5</v>
      </c>
      <c r="O51" s="1903"/>
      <c r="P51" s="2259"/>
      <c r="Q51" s="1902"/>
      <c r="R51" s="1902"/>
      <c r="S51" s="1904"/>
      <c r="T51" s="1905"/>
      <c r="U51" s="2921"/>
    </row>
    <row r="52" spans="1:21" ht="60.75" thickBot="1" x14ac:dyDescent="0.3">
      <c r="A52" s="2925"/>
      <c r="B52" s="1906"/>
      <c r="C52" s="2255"/>
      <c r="D52" s="1907"/>
      <c r="E52" s="1908"/>
      <c r="F52" s="2251"/>
      <c r="G52" s="2233"/>
      <c r="H52" s="2233"/>
      <c r="I52" s="1911" t="s">
        <v>2411</v>
      </c>
      <c r="J52" s="2248" t="s">
        <v>740</v>
      </c>
      <c r="K52" s="2658">
        <v>0</v>
      </c>
      <c r="L52" s="2659">
        <f t="shared" si="18"/>
        <v>0</v>
      </c>
      <c r="M52" s="2660">
        <f>IF(T52="YES",$C$554,1)</f>
        <v>1</v>
      </c>
      <c r="N52" s="2661">
        <f>+$T47</f>
        <v>1.5</v>
      </c>
      <c r="O52" s="1913"/>
      <c r="P52" s="2260"/>
      <c r="Q52" s="1914"/>
      <c r="R52" s="1914"/>
      <c r="S52" s="1920" t="s">
        <v>1539</v>
      </c>
      <c r="T52" s="2243" t="s">
        <v>1540</v>
      </c>
      <c r="U52" s="2924"/>
    </row>
    <row r="53" spans="1:21" ht="27" customHeight="1" thickBot="1" x14ac:dyDescent="0.3">
      <c r="A53" s="1915"/>
      <c r="B53" s="1916"/>
      <c r="C53" s="2252"/>
      <c r="D53" s="1917"/>
      <c r="E53" s="1916"/>
      <c r="F53" s="2252"/>
      <c r="G53" s="1917"/>
      <c r="H53" s="1917"/>
      <c r="I53" s="1916"/>
      <c r="J53" s="2252"/>
      <c r="K53" s="2669"/>
      <c r="L53" s="2669"/>
      <c r="M53" s="2669"/>
      <c r="N53" s="2669"/>
      <c r="O53" s="1916"/>
      <c r="P53" s="2252"/>
      <c r="Q53" s="1917"/>
      <c r="R53" s="1917"/>
      <c r="S53" s="1918"/>
      <c r="T53" s="1917"/>
      <c r="U53" s="1919"/>
    </row>
    <row r="54" spans="1:21" ht="26.85" customHeight="1" x14ac:dyDescent="0.25">
      <c r="A54" s="1870" t="s">
        <v>1513</v>
      </c>
      <c r="B54" s="1871" t="s">
        <v>1523</v>
      </c>
      <c r="C54" s="2253" t="s">
        <v>740</v>
      </c>
      <c r="D54" s="2231">
        <v>0</v>
      </c>
      <c r="E54" s="1874" t="s">
        <v>1524</v>
      </c>
      <c r="F54" s="2249" t="s">
        <v>728</v>
      </c>
      <c r="G54" s="2231">
        <v>0</v>
      </c>
      <c r="H54" s="2234">
        <f>G54*M54*N54</f>
        <v>0</v>
      </c>
      <c r="I54" s="1876"/>
      <c r="J54" s="2246" t="s">
        <v>732</v>
      </c>
      <c r="K54" s="2672">
        <v>0</v>
      </c>
      <c r="L54" s="2645">
        <f t="shared" ref="L54:L60" si="22">IF(ISNUMBER(SEARCH("Timber",I54)),M54*K54*N54,K54)</f>
        <v>0</v>
      </c>
      <c r="M54" s="2225">
        <f>+$M60</f>
        <v>1</v>
      </c>
      <c r="N54" s="2648">
        <f>+$T55</f>
        <v>1.5</v>
      </c>
      <c r="O54" s="1878" t="s">
        <v>1512</v>
      </c>
      <c r="P54" s="2256" t="s">
        <v>740</v>
      </c>
      <c r="Q54" s="2241">
        <f t="shared" ref="Q54" si="23">R55*$E$532+T56*$E$533</f>
        <v>0</v>
      </c>
      <c r="R54" s="1881"/>
      <c r="S54" s="1882" t="s">
        <v>1525</v>
      </c>
      <c r="T54" s="1873">
        <v>30</v>
      </c>
      <c r="U54" s="2920" t="s">
        <v>1526</v>
      </c>
    </row>
    <row r="55" spans="1:21" ht="30" x14ac:dyDescent="0.25">
      <c r="A55" s="1883">
        <f>A47+1</f>
        <v>7</v>
      </c>
      <c r="B55" s="1884" t="s">
        <v>1527</v>
      </c>
      <c r="C55" s="2254" t="s">
        <v>740</v>
      </c>
      <c r="D55" s="2232">
        <v>0</v>
      </c>
      <c r="E55" s="1887" t="s">
        <v>1528</v>
      </c>
      <c r="F55" s="2250" t="s">
        <v>728</v>
      </c>
      <c r="G55" s="2232">
        <v>0</v>
      </c>
      <c r="H55" s="2235">
        <f>G55</f>
        <v>0</v>
      </c>
      <c r="I55" s="1889"/>
      <c r="J55" s="2247" t="s">
        <v>732</v>
      </c>
      <c r="K55" s="2647">
        <v>0</v>
      </c>
      <c r="L55" s="2646">
        <f t="shared" si="22"/>
        <v>0</v>
      </c>
      <c r="M55" s="2226">
        <f t="shared" ref="M55:M59" si="24">M56</f>
        <v>1</v>
      </c>
      <c r="N55" s="2649">
        <f>+$T55</f>
        <v>1.5</v>
      </c>
      <c r="O55" s="1891" t="s">
        <v>1512</v>
      </c>
      <c r="P55" s="2257" t="s">
        <v>740</v>
      </c>
      <c r="Q55" s="2242"/>
      <c r="R55" s="1894">
        <f>H55*$E$527*0+H56*$E$527*0+SUMIF(I54:I59,$B$565,L54:L59)*$E$537+SUMIF(I54:I59,$B$566,L54:L59)*$E$540+SUMIF(I54:I59,$B$567,L54:L59)*$E$538+SUMIF(I54:I59,$B$568,L54:L59)*$E$539+SUMIF(I54:I59,$B$569,L54:L59)*$E$539+SUMIF(I54:I59,$B$570,L54:L59)*$E$541+SUMIF(I54:I59,$B$571,L54:L59)*$E$539+SUMIF(I54:I59,$B$572,L54:L59)*$E$541+SUMIF(I54:I59,$B$573,L54:L59)*$E$539+SUMIF(I54:I59,$B$574,L54:L59)*$E$543+SUMIF(I54:I59,$B$575,L54:L59)*$E$541+SUMIF(I54:I59,$B$577,L54:L59)*$E$536+SUMIF(I54:I59,$B$576,L54:L59)*$E$542+SUMIF(I54:I59,$B$563,L54:L59)*$E$539</f>
        <v>0</v>
      </c>
      <c r="S55" s="1895" t="s">
        <v>1529</v>
      </c>
      <c r="T55" s="2644">
        <f>+'Data Input sheet'!$D$112</f>
        <v>1.5</v>
      </c>
      <c r="U55" s="2921"/>
    </row>
    <row r="56" spans="1:21" ht="30" x14ac:dyDescent="0.25">
      <c r="A56" s="2922" t="s">
        <v>1530</v>
      </c>
      <c r="B56" s="1884" t="s">
        <v>1531</v>
      </c>
      <c r="C56" s="2254" t="s">
        <v>732</v>
      </c>
      <c r="D56" s="2232">
        <v>0</v>
      </c>
      <c r="E56" s="1887" t="s">
        <v>1532</v>
      </c>
      <c r="F56" s="2250" t="s">
        <v>728</v>
      </c>
      <c r="G56" s="2232">
        <v>0</v>
      </c>
      <c r="H56" s="2235">
        <f>G56</f>
        <v>0</v>
      </c>
      <c r="I56" s="1889"/>
      <c r="J56" s="2247" t="s">
        <v>732</v>
      </c>
      <c r="K56" s="2647">
        <v>0</v>
      </c>
      <c r="L56" s="2646">
        <f t="shared" si="22"/>
        <v>0</v>
      </c>
      <c r="M56" s="2226">
        <f t="shared" si="24"/>
        <v>1</v>
      </c>
      <c r="N56" s="2649">
        <f>+$T55</f>
        <v>1.5</v>
      </c>
      <c r="O56" s="1896"/>
      <c r="P56" s="2258"/>
      <c r="Q56" s="1898"/>
      <c r="R56" s="1899">
        <f t="shared" ref="R56" si="25">T56</f>
        <v>0</v>
      </c>
      <c r="S56" s="1895" t="s">
        <v>1533</v>
      </c>
      <c r="T56" s="2673">
        <f>G54*64/4+K60+SUMIF(I54:I59,$B$578,K54:K59)*$E$545+SUMIF(I54:I59,$B$579,K54:K59)*$E$548+SUMIF(I54:I59,$B$580,K54:K59)*$E$546+SUMIF(I54:I59,$B$581,K54:K59)*$E$547+SUMIF(I54:I59,$B$582,K54:K59)*$E$547+SUMIF(I54:I59,$B$583,K54:K59)*$E$549+SUMIF(I54:I59,$B$584,K54:K59)*$E$547+SUMIF(I54:I59,$B$585,K54:K59)*$E$549+SUMIF(I54:I59,$B$586,K54:K59)*$E$547+SUMIF(I54:I59,$B$587,K54:K59)*$E$551+SUMIF(I54:I59,$B$588,K54:K59)*$E$549+SUMIF(I54:I59,$B$590,K54:K59)*$E$544+SUMIF(I54:I59,$B$589,K54:K59)*$E$550</f>
        <v>0</v>
      </c>
      <c r="U56" s="2921"/>
    </row>
    <row r="57" spans="1:21" x14ac:dyDescent="0.25">
      <c r="A57" s="2923"/>
      <c r="B57" s="1884" t="s">
        <v>1534</v>
      </c>
      <c r="C57" s="2254" t="s">
        <v>728</v>
      </c>
      <c r="D57" s="2232">
        <v>0</v>
      </c>
      <c r="E57" s="1887" t="s">
        <v>1535</v>
      </c>
      <c r="F57" s="2250" t="s">
        <v>728</v>
      </c>
      <c r="G57" s="2235">
        <f>(H55+H56)*$C$555+G54*$C$556+(R55-(H55+H56)*$E$527)*$C$555/50+(T56-G54*16)*$C$556/50</f>
        <v>0</v>
      </c>
      <c r="H57" s="2235">
        <f>G57</f>
        <v>0</v>
      </c>
      <c r="I57" s="1889"/>
      <c r="J57" s="2247" t="s">
        <v>732</v>
      </c>
      <c r="K57" s="2647">
        <v>0</v>
      </c>
      <c r="L57" s="2646">
        <f t="shared" si="22"/>
        <v>0</v>
      </c>
      <c r="M57" s="2226">
        <f t="shared" si="24"/>
        <v>1</v>
      </c>
      <c r="N57" s="2649">
        <f>+$T55</f>
        <v>1.5</v>
      </c>
      <c r="O57" s="1896"/>
      <c r="P57" s="2258"/>
      <c r="Q57" s="1897"/>
      <c r="R57" s="1897"/>
      <c r="S57" s="1895" t="s">
        <v>3408</v>
      </c>
      <c r="T57" s="2674">
        <f>H54*64/4+L60+SUMIF(I54:I59,$B$578,L54:L59)*$E$545+SUMIF(I54:I59,$B$579,L54:L59)*$E$548+SUMIF(I54:I59,$B$580,L54:L59)*$E$546+SUMIF(I54:I59,$B$581,L54:L59)*$E$547+SUMIF(I54:I59,$B$582,L54:L59)*$E$547+SUMIF(I54:I59,$B$583,L54:L59)*$E$549+SUMIF(I54:I59,$B$584,L54:L59)*$E$547+SUMIF(I54:I59,$B$585,L54:L59)*$E$549+SUMIF(I54:I59,$B$586,L54:L59)*$E$547+SUMIF(I54:I59,$B$587,L54:L59)*$E$551+SUMIF(I54:I59,$B$588,L54:L59)*$E$549+SUMIF(I54:I59,$B$590,L54:L59)*$E$544+SUMIF(I54:I59,$B$589,L54:L59)*$E$550</f>
        <v>0</v>
      </c>
      <c r="U57" s="2921"/>
    </row>
    <row r="58" spans="1:21" ht="29.1" customHeight="1" x14ac:dyDescent="0.25">
      <c r="A58" s="2923"/>
      <c r="B58" s="1884"/>
      <c r="C58" s="2254"/>
      <c r="D58" s="1885"/>
      <c r="E58" s="1901" t="s">
        <v>1536</v>
      </c>
      <c r="F58" s="2250" t="s">
        <v>740</v>
      </c>
      <c r="G58" s="2235">
        <f>(H55*$E$527+H56*$E$527)*$C$557+R55*$C$557+T56*$C$558/T55</f>
        <v>0</v>
      </c>
      <c r="H58" s="2235">
        <f>G58</f>
        <v>0</v>
      </c>
      <c r="I58" s="1889"/>
      <c r="J58" s="2247" t="s">
        <v>732</v>
      </c>
      <c r="K58" s="2647">
        <v>0</v>
      </c>
      <c r="L58" s="2646">
        <f t="shared" si="22"/>
        <v>0</v>
      </c>
      <c r="M58" s="2226">
        <f t="shared" si="24"/>
        <v>1</v>
      </c>
      <c r="N58" s="2649">
        <f>+$T55</f>
        <v>1.5</v>
      </c>
      <c r="O58" s="1896"/>
      <c r="P58" s="2258"/>
      <c r="Q58" s="1897"/>
      <c r="R58" s="1902"/>
      <c r="S58" s="1895" t="s">
        <v>1537</v>
      </c>
      <c r="T58" s="2673">
        <f>+T57*T54</f>
        <v>0</v>
      </c>
      <c r="U58" s="2921"/>
    </row>
    <row r="59" spans="1:21" x14ac:dyDescent="0.25">
      <c r="A59" s="2923"/>
      <c r="B59" s="1884"/>
      <c r="C59" s="2254"/>
      <c r="D59" s="1885"/>
      <c r="E59" s="1887"/>
      <c r="F59" s="2250"/>
      <c r="G59" s="1888"/>
      <c r="H59" s="1888"/>
      <c r="I59" s="1889"/>
      <c r="J59" s="2247" t="s">
        <v>732</v>
      </c>
      <c r="K59" s="2647">
        <v>0</v>
      </c>
      <c r="L59" s="2646">
        <f t="shared" si="22"/>
        <v>0</v>
      </c>
      <c r="M59" s="2226">
        <f t="shared" si="24"/>
        <v>1</v>
      </c>
      <c r="N59" s="2649">
        <f>+$T55</f>
        <v>1.5</v>
      </c>
      <c r="O59" s="1903"/>
      <c r="P59" s="2259"/>
      <c r="Q59" s="1902"/>
      <c r="R59" s="1902"/>
      <c r="S59" s="1904"/>
      <c r="T59" s="1905"/>
      <c r="U59" s="2921"/>
    </row>
    <row r="60" spans="1:21" ht="60.75" thickBot="1" x14ac:dyDescent="0.3">
      <c r="A60" s="2925"/>
      <c r="B60" s="1906"/>
      <c r="C60" s="2255"/>
      <c r="D60" s="1907"/>
      <c r="E60" s="1908"/>
      <c r="F60" s="2251"/>
      <c r="G60" s="2233"/>
      <c r="H60" s="2233"/>
      <c r="I60" s="1911" t="s">
        <v>2411</v>
      </c>
      <c r="J60" s="2248" t="s">
        <v>740</v>
      </c>
      <c r="K60" s="2658">
        <v>0</v>
      </c>
      <c r="L60" s="2659">
        <f t="shared" si="22"/>
        <v>0</v>
      </c>
      <c r="M60" s="2660">
        <f>IF(T60="YES",$C$554,1)</f>
        <v>1</v>
      </c>
      <c r="N60" s="2661">
        <f>+$T55</f>
        <v>1.5</v>
      </c>
      <c r="O60" s="1913"/>
      <c r="P60" s="2260"/>
      <c r="Q60" s="1914"/>
      <c r="R60" s="1914"/>
      <c r="S60" s="1920" t="s">
        <v>1539</v>
      </c>
      <c r="T60" s="2243" t="s">
        <v>1540</v>
      </c>
      <c r="U60" s="2924"/>
    </row>
    <row r="61" spans="1:21" ht="27" customHeight="1" thickBot="1" x14ac:dyDescent="0.3">
      <c r="A61" s="1915"/>
      <c r="B61" s="1916"/>
      <c r="C61" s="2252"/>
      <c r="D61" s="1917"/>
      <c r="E61" s="1916"/>
      <c r="F61" s="2252"/>
      <c r="G61" s="1917"/>
      <c r="H61" s="1917"/>
      <c r="I61" s="1916"/>
      <c r="J61" s="2252"/>
      <c r="K61" s="2669"/>
      <c r="L61" s="2669"/>
      <c r="M61" s="2669"/>
      <c r="N61" s="2669"/>
      <c r="O61" s="1916"/>
      <c r="P61" s="2252"/>
      <c r="Q61" s="1917"/>
      <c r="R61" s="1917"/>
      <c r="S61" s="1918"/>
      <c r="T61" s="1917"/>
      <c r="U61" s="1919"/>
    </row>
    <row r="62" spans="1:21" ht="26.85" customHeight="1" x14ac:dyDescent="0.25">
      <c r="A62" s="1870" t="s">
        <v>1513</v>
      </c>
      <c r="B62" s="1871" t="s">
        <v>1523</v>
      </c>
      <c r="C62" s="2253" t="s">
        <v>740</v>
      </c>
      <c r="D62" s="2236">
        <v>0</v>
      </c>
      <c r="E62" s="1874" t="s">
        <v>1524</v>
      </c>
      <c r="F62" s="2249" t="s">
        <v>728</v>
      </c>
      <c r="G62" s="2236">
        <v>0</v>
      </c>
      <c r="H62" s="2234">
        <f>G62*M62*N62</f>
        <v>0</v>
      </c>
      <c r="I62" s="1876"/>
      <c r="J62" s="2246" t="s">
        <v>732</v>
      </c>
      <c r="K62" s="2672">
        <v>0</v>
      </c>
      <c r="L62" s="2645">
        <f t="shared" ref="L62:L68" si="26">IF(ISNUMBER(SEARCH("Timber",I62)),M62*K62*N62,K62)</f>
        <v>0</v>
      </c>
      <c r="M62" s="2225">
        <f>+$M68</f>
        <v>1</v>
      </c>
      <c r="N62" s="2648">
        <f>+$T63</f>
        <v>1.5</v>
      </c>
      <c r="O62" s="1878" t="s">
        <v>1512</v>
      </c>
      <c r="P62" s="2256" t="s">
        <v>740</v>
      </c>
      <c r="Q62" s="2265">
        <f t="shared" ref="Q62" si="27">R63*$E$532+T64*$E$533</f>
        <v>0</v>
      </c>
      <c r="R62" s="1881"/>
      <c r="S62" s="1882" t="s">
        <v>1525</v>
      </c>
      <c r="T62" s="2266">
        <v>30</v>
      </c>
      <c r="U62" s="2920" t="s">
        <v>1526</v>
      </c>
    </row>
    <row r="63" spans="1:21" ht="30" x14ac:dyDescent="0.25">
      <c r="A63" s="1883">
        <f>A55+1</f>
        <v>8</v>
      </c>
      <c r="B63" s="1884" t="s">
        <v>1527</v>
      </c>
      <c r="C63" s="2254" t="s">
        <v>740</v>
      </c>
      <c r="D63" s="2237">
        <v>0</v>
      </c>
      <c r="E63" s="1887" t="s">
        <v>1528</v>
      </c>
      <c r="F63" s="2250" t="s">
        <v>728</v>
      </c>
      <c r="G63" s="2237">
        <v>0</v>
      </c>
      <c r="H63" s="2235">
        <f>G63</f>
        <v>0</v>
      </c>
      <c r="I63" s="1889"/>
      <c r="J63" s="2247" t="s">
        <v>732</v>
      </c>
      <c r="K63" s="2647">
        <v>0</v>
      </c>
      <c r="L63" s="2646">
        <f t="shared" si="26"/>
        <v>0</v>
      </c>
      <c r="M63" s="2226">
        <f t="shared" ref="M63:M67" si="28">M64</f>
        <v>1</v>
      </c>
      <c r="N63" s="2649">
        <f>+$T63</f>
        <v>1.5</v>
      </c>
      <c r="O63" s="1891" t="s">
        <v>1512</v>
      </c>
      <c r="P63" s="2257" t="s">
        <v>740</v>
      </c>
      <c r="Q63" s="2262"/>
      <c r="R63" s="1894">
        <f>H63*$E$527*0+H64*$E$527*0+SUMIF(I62:I67,$B$565,L62:L67)*$E$537+SUMIF(I62:I67,$B$566,L62:L67)*$E$540+SUMIF(I62:I67,$B$567,L62:L67)*$E$538+SUMIF(I62:I67,$B$568,L62:L67)*$E$539+SUMIF(I62:I67,$B$569,L62:L67)*$E$539+SUMIF(I62:I67,$B$570,L62:L67)*$E$541+SUMIF(I62:I67,$B$571,L62:L67)*$E$539+SUMIF(I62:I67,$B$572,L62:L67)*$E$541+SUMIF(I62:I67,$B$573,L62:L67)*$E$539+SUMIF(I62:I67,$B$574,L62:L67)*$E$543+SUMIF(I62:I67,$B$575,L62:L67)*$E$541+SUMIF(I62:I67,$B$577,L62:L67)*$E$536+SUMIF(I62:I67,$B$576,L62:L67)*$E$542+SUMIF(I62:I67,$B$563,L62:L67)*$E$539</f>
        <v>0</v>
      </c>
      <c r="S63" s="1895" t="s">
        <v>1529</v>
      </c>
      <c r="T63" s="2644">
        <f>+'Data Input sheet'!$D$112</f>
        <v>1.5</v>
      </c>
      <c r="U63" s="2921"/>
    </row>
    <row r="64" spans="1:21" ht="30" x14ac:dyDescent="0.25">
      <c r="A64" s="2922" t="s">
        <v>1530</v>
      </c>
      <c r="B64" s="1884" t="s">
        <v>1531</v>
      </c>
      <c r="C64" s="2254" t="s">
        <v>732</v>
      </c>
      <c r="D64" s="2237">
        <v>0</v>
      </c>
      <c r="E64" s="1887" t="s">
        <v>1532</v>
      </c>
      <c r="F64" s="2250" t="s">
        <v>728</v>
      </c>
      <c r="G64" s="2237">
        <v>0</v>
      </c>
      <c r="H64" s="2235">
        <f>G64</f>
        <v>0</v>
      </c>
      <c r="I64" s="1889"/>
      <c r="J64" s="2247" t="s">
        <v>732</v>
      </c>
      <c r="K64" s="2647">
        <v>0</v>
      </c>
      <c r="L64" s="2646">
        <f t="shared" si="26"/>
        <v>0</v>
      </c>
      <c r="M64" s="2226">
        <f t="shared" si="28"/>
        <v>1</v>
      </c>
      <c r="N64" s="2649">
        <f>+$T63</f>
        <v>1.5</v>
      </c>
      <c r="O64" s="1896"/>
      <c r="P64" s="2258"/>
      <c r="Q64" s="1898"/>
      <c r="R64" s="1899">
        <f t="shared" ref="R64" si="29">T64</f>
        <v>0</v>
      </c>
      <c r="S64" s="1895" t="s">
        <v>1533</v>
      </c>
      <c r="T64" s="2673">
        <f>G62*64/4+K68+SUMIF(I62:I67,$B$578,K62:K67)*$E$545+SUMIF(I62:I67,$B$579,K62:K67)*$E$548+SUMIF(I62:I67,$B$580,K62:K67)*$E$546+SUMIF(I62:I67,$B$581,K62:K67)*$E$547+SUMIF(I62:I67,$B$582,K62:K67)*$E$547+SUMIF(I62:I67,$B$583,K62:K67)*$E$549+SUMIF(I62:I67,$B$584,K62:K67)*$E$547+SUMIF(I62:I67,$B$585,K62:K67)*$E$549+SUMIF(I62:I67,$B$586,K62:K67)*$E$547+SUMIF(I62:I67,$B$587,K62:K67)*$E$551+SUMIF(I62:I67,$B$588,K62:K67)*$E$549+SUMIF(I62:I67,$B$590,K62:K67)*$E$544+SUMIF(I62:I67,$B$589,K62:K67)*$E$550</f>
        <v>0</v>
      </c>
      <c r="U64" s="2921"/>
    </row>
    <row r="65" spans="1:21" x14ac:dyDescent="0.25">
      <c r="A65" s="2923"/>
      <c r="B65" s="1884" t="s">
        <v>1534</v>
      </c>
      <c r="C65" s="2254" t="s">
        <v>728</v>
      </c>
      <c r="D65" s="2237">
        <v>0</v>
      </c>
      <c r="E65" s="1887" t="s">
        <v>1535</v>
      </c>
      <c r="F65" s="2250" t="s">
        <v>728</v>
      </c>
      <c r="G65" s="2235">
        <f>(H63+H64)*$C$555+G62*$C$556+(R63-(H63+H64)*$E$527)*$C$555/50+(T64-G62*16)*$C$556/50</f>
        <v>0</v>
      </c>
      <c r="H65" s="2235">
        <f>G65</f>
        <v>0</v>
      </c>
      <c r="I65" s="1889"/>
      <c r="J65" s="2247" t="s">
        <v>732</v>
      </c>
      <c r="K65" s="2647">
        <v>0</v>
      </c>
      <c r="L65" s="2646">
        <f t="shared" si="26"/>
        <v>0</v>
      </c>
      <c r="M65" s="2226">
        <f t="shared" si="28"/>
        <v>1</v>
      </c>
      <c r="N65" s="2649">
        <f>+$T63</f>
        <v>1.5</v>
      </c>
      <c r="O65" s="1896"/>
      <c r="P65" s="2258"/>
      <c r="Q65" s="1897"/>
      <c r="R65" s="1897"/>
      <c r="S65" s="1895" t="s">
        <v>3408</v>
      </c>
      <c r="T65" s="2674">
        <f>H62*64/4+L68+SUMIF(I62:I67,$B$578,L62:L67)*$E$545+SUMIF(I62:I67,$B$579,L62:L67)*$E$548+SUMIF(I62:I67,$B$580,L62:L67)*$E$546+SUMIF(I62:I67,$B$581,L62:L67)*$E$547+SUMIF(I62:I67,$B$582,L62:L67)*$E$547+SUMIF(I62:I67,$B$583,L62:L67)*$E$549+SUMIF(I62:I67,$B$584,L62:L67)*$E$547+SUMIF(I62:I67,$B$585,L62:L67)*$E$549+SUMIF(I62:I67,$B$586,L62:L67)*$E$547+SUMIF(I62:I67,$B$587,L62:L67)*$E$551+SUMIF(I62:I67,$B$588,L62:L67)*$E$549+SUMIF(I62:I67,$B$590,L62:L67)*$E$544+SUMIF(I62:I67,$B$589,L62:L67)*$E$550</f>
        <v>0</v>
      </c>
      <c r="U65" s="2921"/>
    </row>
    <row r="66" spans="1:21" ht="29.1" customHeight="1" x14ac:dyDescent="0.25">
      <c r="A66" s="2923"/>
      <c r="B66" s="1884"/>
      <c r="C66" s="2254"/>
      <c r="D66" s="1885"/>
      <c r="E66" s="1901" t="s">
        <v>1536</v>
      </c>
      <c r="F66" s="2250" t="s">
        <v>740</v>
      </c>
      <c r="G66" s="2235">
        <f>(H63*$E$527+H64*$E$527)*$C$557+R63*$C$557+T64*$C$558/T63</f>
        <v>0</v>
      </c>
      <c r="H66" s="2235">
        <f>G66</f>
        <v>0</v>
      </c>
      <c r="I66" s="1889"/>
      <c r="J66" s="2247" t="s">
        <v>732</v>
      </c>
      <c r="K66" s="2647">
        <v>0</v>
      </c>
      <c r="L66" s="2646">
        <f t="shared" si="26"/>
        <v>0</v>
      </c>
      <c r="M66" s="2226">
        <f t="shared" si="28"/>
        <v>1</v>
      </c>
      <c r="N66" s="2649">
        <f>+$T63</f>
        <v>1.5</v>
      </c>
      <c r="O66" s="1896"/>
      <c r="P66" s="2258"/>
      <c r="Q66" s="1897"/>
      <c r="R66" s="1902"/>
      <c r="S66" s="1895" t="s">
        <v>1537</v>
      </c>
      <c r="T66" s="2673">
        <f>+T65*T62</f>
        <v>0</v>
      </c>
      <c r="U66" s="2921"/>
    </row>
    <row r="67" spans="1:21" x14ac:dyDescent="0.25">
      <c r="A67" s="2923"/>
      <c r="B67" s="1884"/>
      <c r="C67" s="2254"/>
      <c r="D67" s="1885"/>
      <c r="E67" s="1887"/>
      <c r="F67" s="2250"/>
      <c r="G67" s="1888"/>
      <c r="H67" s="1888"/>
      <c r="I67" s="1889"/>
      <c r="J67" s="2247" t="s">
        <v>732</v>
      </c>
      <c r="K67" s="2647">
        <v>0</v>
      </c>
      <c r="L67" s="2646">
        <f t="shared" si="26"/>
        <v>0</v>
      </c>
      <c r="M67" s="2226">
        <f t="shared" si="28"/>
        <v>1</v>
      </c>
      <c r="N67" s="2649">
        <f>+$T63</f>
        <v>1.5</v>
      </c>
      <c r="O67" s="1903"/>
      <c r="P67" s="2259"/>
      <c r="Q67" s="1902"/>
      <c r="R67" s="1902"/>
      <c r="S67" s="1904"/>
      <c r="T67" s="1905"/>
      <c r="U67" s="2921"/>
    </row>
    <row r="68" spans="1:21" ht="60.75" thickBot="1" x14ac:dyDescent="0.3">
      <c r="A68" s="2925"/>
      <c r="B68" s="1906"/>
      <c r="C68" s="2255"/>
      <c r="D68" s="1907"/>
      <c r="E68" s="1908"/>
      <c r="F68" s="2251"/>
      <c r="G68" s="2233"/>
      <c r="H68" s="2233"/>
      <c r="I68" s="1911" t="s">
        <v>2411</v>
      </c>
      <c r="J68" s="2248" t="s">
        <v>740</v>
      </c>
      <c r="K68" s="2658">
        <v>0</v>
      </c>
      <c r="L68" s="2659">
        <f t="shared" si="26"/>
        <v>0</v>
      </c>
      <c r="M68" s="2660">
        <f>IF(T68="YES",$C$554,1)</f>
        <v>1</v>
      </c>
      <c r="N68" s="2661">
        <f>+$T63</f>
        <v>1.5</v>
      </c>
      <c r="O68" s="1913"/>
      <c r="P68" s="2260"/>
      <c r="Q68" s="1914"/>
      <c r="R68" s="1914"/>
      <c r="S68" s="1920" t="s">
        <v>1539</v>
      </c>
      <c r="T68" s="2243" t="s">
        <v>1540</v>
      </c>
      <c r="U68" s="2924"/>
    </row>
    <row r="69" spans="1:21" ht="27" customHeight="1" thickBot="1" x14ac:dyDescent="0.3">
      <c r="A69" s="1915"/>
      <c r="B69" s="1916"/>
      <c r="C69" s="2252"/>
      <c r="D69" s="1917"/>
      <c r="E69" s="1916"/>
      <c r="F69" s="2252"/>
      <c r="G69" s="1917"/>
      <c r="H69" s="1917"/>
      <c r="I69" s="1916"/>
      <c r="J69" s="2252"/>
      <c r="K69" s="2669"/>
      <c r="L69" s="2669"/>
      <c r="M69" s="2669"/>
      <c r="N69" s="2669"/>
      <c r="O69" s="1916"/>
      <c r="P69" s="2252"/>
      <c r="Q69" s="1917"/>
      <c r="R69" s="1917"/>
      <c r="S69" s="1918"/>
      <c r="T69" s="1917"/>
      <c r="U69" s="1919"/>
    </row>
    <row r="70" spans="1:21" ht="26.85" customHeight="1" x14ac:dyDescent="0.25">
      <c r="A70" s="1870" t="s">
        <v>1513</v>
      </c>
      <c r="B70" s="1871" t="s">
        <v>1523</v>
      </c>
      <c r="C70" s="2253" t="s">
        <v>740</v>
      </c>
      <c r="D70" s="2236">
        <v>0</v>
      </c>
      <c r="E70" s="1874" t="s">
        <v>1524</v>
      </c>
      <c r="F70" s="2249" t="s">
        <v>728</v>
      </c>
      <c r="G70" s="2236">
        <v>0</v>
      </c>
      <c r="H70" s="2234">
        <f>G70*M70*N70</f>
        <v>0</v>
      </c>
      <c r="I70" s="1876"/>
      <c r="J70" s="2246" t="s">
        <v>732</v>
      </c>
      <c r="K70" s="2672">
        <v>0</v>
      </c>
      <c r="L70" s="2645">
        <f t="shared" ref="L70:L76" si="30">IF(ISNUMBER(SEARCH("Timber",I70)),M70*K70*N70,K70)</f>
        <v>0</v>
      </c>
      <c r="M70" s="2225">
        <f>+$M76</f>
        <v>1</v>
      </c>
      <c r="N70" s="2648">
        <f>+$T71</f>
        <v>1.5</v>
      </c>
      <c r="O70" s="1878" t="s">
        <v>1512</v>
      </c>
      <c r="P70" s="2256" t="s">
        <v>740</v>
      </c>
      <c r="Q70" s="2267">
        <f t="shared" ref="Q70" si="31">R71*$E$532+T72*$E$533</f>
        <v>0</v>
      </c>
      <c r="R70" s="1881"/>
      <c r="S70" s="1882" t="s">
        <v>1525</v>
      </c>
      <c r="T70" s="2266">
        <v>30</v>
      </c>
      <c r="U70" s="2920" t="s">
        <v>1526</v>
      </c>
    </row>
    <row r="71" spans="1:21" ht="30" x14ac:dyDescent="0.25">
      <c r="A71" s="1883">
        <f>A63+1</f>
        <v>9</v>
      </c>
      <c r="B71" s="1884" t="s">
        <v>1527</v>
      </c>
      <c r="C71" s="2254" t="s">
        <v>740</v>
      </c>
      <c r="D71" s="2237">
        <v>0</v>
      </c>
      <c r="E71" s="1887" t="s">
        <v>1528</v>
      </c>
      <c r="F71" s="2250" t="s">
        <v>728</v>
      </c>
      <c r="G71" s="2237">
        <v>0</v>
      </c>
      <c r="H71" s="2235">
        <f>G71</f>
        <v>0</v>
      </c>
      <c r="I71" s="1889"/>
      <c r="J71" s="2247" t="s">
        <v>732</v>
      </c>
      <c r="K71" s="2647">
        <v>0</v>
      </c>
      <c r="L71" s="2646">
        <f t="shared" si="30"/>
        <v>0</v>
      </c>
      <c r="M71" s="2226">
        <f t="shared" ref="M71:M75" si="32">M72</f>
        <v>1</v>
      </c>
      <c r="N71" s="2649">
        <f>+$T71</f>
        <v>1.5</v>
      </c>
      <c r="O71" s="1891" t="s">
        <v>1512</v>
      </c>
      <c r="P71" s="2257" t="s">
        <v>740</v>
      </c>
      <c r="Q71" s="2268"/>
      <c r="R71" s="1894">
        <f>H71*$E$527*0+H72*$E$527*0+SUMIF(I70:I75,$B$565,L70:L75)*$E$537+SUMIF(I70:I75,$B$566,L70:L75)*$E$540+SUMIF(I70:I75,$B$567,L70:L75)*$E$538+SUMIF(I70:I75,$B$568,L70:L75)*$E$539+SUMIF(I70:I75,$B$569,L70:L75)*$E$539+SUMIF(I70:I75,$B$570,L70:L75)*$E$541+SUMIF(I70:I75,$B$571,L70:L75)*$E$539+SUMIF(I70:I75,$B$572,L70:L75)*$E$541+SUMIF(I70:I75,$B$573,L70:L75)*$E$539+SUMIF(I70:I75,$B$574,L70:L75)*$E$543+SUMIF(I70:I75,$B$575,L70:L75)*$E$541+SUMIF(I70:I75,$B$577,L70:L75)*$E$536+SUMIF(I70:I75,$B$576,L70:L75)*$E$542+SUMIF(I70:I75,$B$563,L70:L75)*$E$539</f>
        <v>0</v>
      </c>
      <c r="S71" s="1895" t="s">
        <v>1529</v>
      </c>
      <c r="T71" s="2644">
        <f>+'Data Input sheet'!$D$112</f>
        <v>1.5</v>
      </c>
      <c r="U71" s="2921"/>
    </row>
    <row r="72" spans="1:21" ht="30" x14ac:dyDescent="0.25">
      <c r="A72" s="2922" t="s">
        <v>1530</v>
      </c>
      <c r="B72" s="1884" t="s">
        <v>1531</v>
      </c>
      <c r="C72" s="2254" t="s">
        <v>732</v>
      </c>
      <c r="D72" s="2237">
        <v>0</v>
      </c>
      <c r="E72" s="1887" t="s">
        <v>1532</v>
      </c>
      <c r="F72" s="2250" t="s">
        <v>728</v>
      </c>
      <c r="G72" s="2237">
        <v>0</v>
      </c>
      <c r="H72" s="2235">
        <f>G72</f>
        <v>0</v>
      </c>
      <c r="I72" s="1889"/>
      <c r="J72" s="2247" t="s">
        <v>732</v>
      </c>
      <c r="K72" s="2647">
        <v>0</v>
      </c>
      <c r="L72" s="2646">
        <f t="shared" si="30"/>
        <v>0</v>
      </c>
      <c r="M72" s="2226">
        <f t="shared" si="32"/>
        <v>1</v>
      </c>
      <c r="N72" s="2649">
        <f>+$T71</f>
        <v>1.5</v>
      </c>
      <c r="O72" s="1896"/>
      <c r="P72" s="2258"/>
      <c r="Q72" s="1898"/>
      <c r="R72" s="1899">
        <f t="shared" ref="R72" si="33">T72</f>
        <v>0</v>
      </c>
      <c r="S72" s="1895" t="s">
        <v>1533</v>
      </c>
      <c r="T72" s="2673">
        <f>G70*64/4+K76+SUMIF(I70:I75,$B$578,K70:K75)*$E$545+SUMIF(I70:I75,$B$579,K70:K75)*$E$548+SUMIF(I70:I75,$B$580,K70:K75)*$E$546+SUMIF(I70:I75,$B$581,K70:K75)*$E$547+SUMIF(I70:I75,$B$582,K70:K75)*$E$547+SUMIF(I70:I75,$B$583,K70:K75)*$E$549+SUMIF(I70:I75,$B$584,K70:K75)*$E$547+SUMIF(I70:I75,$B$585,K70:K75)*$E$549+SUMIF(I70:I75,$B$586,K70:K75)*$E$547+SUMIF(I70:I75,$B$587,K70:K75)*$E$551+SUMIF(I70:I75,$B$588,K70:K75)*$E$549+SUMIF(I70:I75,$B$590,K70:K75)*$E$544+SUMIF(I70:I75,$B$589,K70:K75)*$E$550</f>
        <v>0</v>
      </c>
      <c r="U72" s="2921"/>
    </row>
    <row r="73" spans="1:21" x14ac:dyDescent="0.25">
      <c r="A73" s="2923"/>
      <c r="B73" s="1884" t="s">
        <v>1534</v>
      </c>
      <c r="C73" s="2254" t="s">
        <v>728</v>
      </c>
      <c r="D73" s="2237">
        <v>0</v>
      </c>
      <c r="E73" s="1887" t="s">
        <v>1535</v>
      </c>
      <c r="F73" s="2250" t="s">
        <v>728</v>
      </c>
      <c r="G73" s="2235">
        <f>(H71+H72)*$C$555+G70*$C$556+(R71-(H71+H72)*$E$527)*$C$555/50+(T72-G70*16)*$C$556/50</f>
        <v>0</v>
      </c>
      <c r="H73" s="2235">
        <f>G73</f>
        <v>0</v>
      </c>
      <c r="I73" s="1889"/>
      <c r="J73" s="2247" t="s">
        <v>732</v>
      </c>
      <c r="K73" s="2647">
        <v>0</v>
      </c>
      <c r="L73" s="2646">
        <f t="shared" si="30"/>
        <v>0</v>
      </c>
      <c r="M73" s="2226">
        <f t="shared" si="32"/>
        <v>1</v>
      </c>
      <c r="N73" s="2649">
        <f>+$T71</f>
        <v>1.5</v>
      </c>
      <c r="O73" s="1896"/>
      <c r="P73" s="2258"/>
      <c r="Q73" s="1897"/>
      <c r="R73" s="1897"/>
      <c r="S73" s="1895" t="s">
        <v>3408</v>
      </c>
      <c r="T73" s="2674">
        <f>H70*64/4+L76+SUMIF(I70:I75,$B$578,L70:L75)*$E$545+SUMIF(I70:I75,$B$579,L70:L75)*$E$548+SUMIF(I70:I75,$B$580,L70:L75)*$E$546+SUMIF(I70:I75,$B$581,L70:L75)*$E$547+SUMIF(I70:I75,$B$582,L70:L75)*$E$547+SUMIF(I70:I75,$B$583,L70:L75)*$E$549+SUMIF(I70:I75,$B$584,L70:L75)*$E$547+SUMIF(I70:I75,$B$585,L70:L75)*$E$549+SUMIF(I70:I75,$B$586,L70:L75)*$E$547+SUMIF(I70:I75,$B$587,L70:L75)*$E$551+SUMIF(I70:I75,$B$588,L70:L75)*$E$549+SUMIF(I70:I75,$B$590,L70:L75)*$E$544+SUMIF(I70:I75,$B$589,L70:L75)*$E$550</f>
        <v>0</v>
      </c>
      <c r="U73" s="2921"/>
    </row>
    <row r="74" spans="1:21" ht="29.1" customHeight="1" x14ac:dyDescent="0.25">
      <c r="A74" s="2923"/>
      <c r="B74" s="1884"/>
      <c r="C74" s="2254"/>
      <c r="D74" s="1885"/>
      <c r="E74" s="1901" t="s">
        <v>1536</v>
      </c>
      <c r="F74" s="2250" t="s">
        <v>740</v>
      </c>
      <c r="G74" s="2235">
        <f>(H71*$E$527+H72*$E$527)*$C$557+R71*$C$557+T72*$C$558/T71</f>
        <v>0</v>
      </c>
      <c r="H74" s="2235">
        <f>G74</f>
        <v>0</v>
      </c>
      <c r="I74" s="1889"/>
      <c r="J74" s="2247" t="s">
        <v>732</v>
      </c>
      <c r="K74" s="2647">
        <v>0</v>
      </c>
      <c r="L74" s="2646">
        <f t="shared" si="30"/>
        <v>0</v>
      </c>
      <c r="M74" s="2226">
        <f t="shared" si="32"/>
        <v>1</v>
      </c>
      <c r="N74" s="2649">
        <f>+$T71</f>
        <v>1.5</v>
      </c>
      <c r="O74" s="1896"/>
      <c r="P74" s="2258"/>
      <c r="Q74" s="1897"/>
      <c r="R74" s="1902"/>
      <c r="S74" s="1895" t="s">
        <v>1537</v>
      </c>
      <c r="T74" s="2673">
        <f>+T73*T70</f>
        <v>0</v>
      </c>
      <c r="U74" s="2921"/>
    </row>
    <row r="75" spans="1:21" x14ac:dyDescent="0.25">
      <c r="A75" s="2923"/>
      <c r="B75" s="1884"/>
      <c r="C75" s="2254"/>
      <c r="D75" s="1885"/>
      <c r="E75" s="1887"/>
      <c r="F75" s="2250"/>
      <c r="G75" s="1888"/>
      <c r="H75" s="1888"/>
      <c r="I75" s="1889"/>
      <c r="J75" s="2247" t="s">
        <v>732</v>
      </c>
      <c r="K75" s="2647">
        <v>0</v>
      </c>
      <c r="L75" s="2646">
        <f t="shared" si="30"/>
        <v>0</v>
      </c>
      <c r="M75" s="2226">
        <f t="shared" si="32"/>
        <v>1</v>
      </c>
      <c r="N75" s="2649">
        <f>+$T71</f>
        <v>1.5</v>
      </c>
      <c r="O75" s="1903"/>
      <c r="P75" s="2259"/>
      <c r="Q75" s="1902"/>
      <c r="R75" s="1902"/>
      <c r="S75" s="1904"/>
      <c r="T75" s="1905"/>
      <c r="U75" s="2921"/>
    </row>
    <row r="76" spans="1:21" ht="60.75" thickBot="1" x14ac:dyDescent="0.3">
      <c r="A76" s="2925"/>
      <c r="B76" s="1906"/>
      <c r="C76" s="2255"/>
      <c r="D76" s="1907"/>
      <c r="E76" s="1908"/>
      <c r="F76" s="2251"/>
      <c r="G76" s="2233"/>
      <c r="H76" s="2233"/>
      <c r="I76" s="1911" t="s">
        <v>2411</v>
      </c>
      <c r="J76" s="2248" t="s">
        <v>740</v>
      </c>
      <c r="K76" s="2658">
        <v>0</v>
      </c>
      <c r="L76" s="2659">
        <f t="shared" si="30"/>
        <v>0</v>
      </c>
      <c r="M76" s="2660">
        <f>IF(T76="YES",$C$554,1)</f>
        <v>1</v>
      </c>
      <c r="N76" s="2661">
        <f>+$T71</f>
        <v>1.5</v>
      </c>
      <c r="O76" s="1913"/>
      <c r="P76" s="2260"/>
      <c r="Q76" s="1914"/>
      <c r="R76" s="1914"/>
      <c r="S76" s="1920" t="s">
        <v>1539</v>
      </c>
      <c r="T76" s="2243" t="s">
        <v>1540</v>
      </c>
      <c r="U76" s="2924"/>
    </row>
    <row r="77" spans="1:21" ht="27" customHeight="1" thickBot="1" x14ac:dyDescent="0.3">
      <c r="A77" s="1915"/>
      <c r="B77" s="1916"/>
      <c r="C77" s="2252"/>
      <c r="D77" s="1917"/>
      <c r="E77" s="1916"/>
      <c r="F77" s="2252"/>
      <c r="G77" s="1917"/>
      <c r="H77" s="1917"/>
      <c r="I77" s="1916"/>
      <c r="J77" s="2252"/>
      <c r="K77" s="2669"/>
      <c r="L77" s="2669"/>
      <c r="M77" s="2669"/>
      <c r="N77" s="2669"/>
      <c r="O77" s="1916"/>
      <c r="P77" s="2252"/>
      <c r="Q77" s="1917"/>
      <c r="R77" s="1917"/>
      <c r="S77" s="1918"/>
      <c r="T77" s="1917"/>
      <c r="U77" s="1919"/>
    </row>
    <row r="78" spans="1:21" ht="26.85" customHeight="1" x14ac:dyDescent="0.25">
      <c r="A78" s="1870" t="s">
        <v>1513</v>
      </c>
      <c r="B78" s="1871" t="s">
        <v>1523</v>
      </c>
      <c r="C78" s="2253" t="s">
        <v>740</v>
      </c>
      <c r="D78" s="2236">
        <v>0</v>
      </c>
      <c r="E78" s="1874" t="s">
        <v>1524</v>
      </c>
      <c r="F78" s="2249" t="s">
        <v>728</v>
      </c>
      <c r="G78" s="2236">
        <v>0</v>
      </c>
      <c r="H78" s="2234">
        <f>G78*M78*N78</f>
        <v>0</v>
      </c>
      <c r="I78" s="1876"/>
      <c r="J78" s="2246" t="s">
        <v>732</v>
      </c>
      <c r="K78" s="2672">
        <v>0</v>
      </c>
      <c r="L78" s="2645">
        <f t="shared" ref="L78:L84" si="34">IF(ISNUMBER(SEARCH("Timber",I78)),M78*K78*N78,K78)</f>
        <v>0</v>
      </c>
      <c r="M78" s="2225">
        <f>+$M84</f>
        <v>1</v>
      </c>
      <c r="N78" s="2648">
        <f>+$T79</f>
        <v>1.5</v>
      </c>
      <c r="O78" s="1878" t="s">
        <v>1512</v>
      </c>
      <c r="P78" s="2256" t="s">
        <v>740</v>
      </c>
      <c r="Q78" s="2265">
        <f t="shared" ref="Q78" si="35">R79*$E$532+T80*$E$533</f>
        <v>0</v>
      </c>
      <c r="R78" s="1881"/>
      <c r="S78" s="1882" t="s">
        <v>1525</v>
      </c>
      <c r="T78" s="2266">
        <v>30</v>
      </c>
      <c r="U78" s="2920" t="s">
        <v>1526</v>
      </c>
    </row>
    <row r="79" spans="1:21" ht="30" x14ac:dyDescent="0.25">
      <c r="A79" s="1883">
        <f>A71+1</f>
        <v>10</v>
      </c>
      <c r="B79" s="1884" t="s">
        <v>1527</v>
      </c>
      <c r="C79" s="2254" t="s">
        <v>740</v>
      </c>
      <c r="D79" s="2237">
        <v>0</v>
      </c>
      <c r="E79" s="1887" t="s">
        <v>1528</v>
      </c>
      <c r="F79" s="2250" t="s">
        <v>728</v>
      </c>
      <c r="G79" s="2237">
        <v>0</v>
      </c>
      <c r="H79" s="2235">
        <f>G79</f>
        <v>0</v>
      </c>
      <c r="I79" s="1889"/>
      <c r="J79" s="2247" t="s">
        <v>732</v>
      </c>
      <c r="K79" s="2647">
        <v>0</v>
      </c>
      <c r="L79" s="2646">
        <f t="shared" si="34"/>
        <v>0</v>
      </c>
      <c r="M79" s="2226">
        <f t="shared" ref="M79:M83" si="36">M80</f>
        <v>1</v>
      </c>
      <c r="N79" s="2649">
        <f>+$T79</f>
        <v>1.5</v>
      </c>
      <c r="O79" s="1891" t="s">
        <v>1512</v>
      </c>
      <c r="P79" s="2257" t="s">
        <v>740</v>
      </c>
      <c r="Q79" s="2262"/>
      <c r="R79" s="1894">
        <f>H79*$E$527*0+H80*$E$527*0+SUMIF(I78:I83,$B$565,L78:L83)*$E$537+SUMIF(I78:I83,$B$566,L78:L83)*$E$540+SUMIF(I78:I83,$B$567,L78:L83)*$E$538+SUMIF(I78:I83,$B$568,L78:L83)*$E$539+SUMIF(I78:I83,$B$569,L78:L83)*$E$539+SUMIF(I78:I83,$B$570,L78:L83)*$E$541+SUMIF(I78:I83,$B$571,L78:L83)*$E$539+SUMIF(I78:I83,$B$572,L78:L83)*$E$541+SUMIF(I78:I83,$B$573,L78:L83)*$E$539+SUMIF(I78:I83,$B$574,L78:L83)*$E$543+SUMIF(I78:I83,$B$575,L78:L83)*$E$541+SUMIF(I78:I83,$B$577,L78:L83)*$E$536+SUMIF(I78:I83,$B$576,L78:L83)*$E$542+SUMIF(I78:I83,$B$563,L78:L83)*$E$539</f>
        <v>0</v>
      </c>
      <c r="S79" s="1895" t="s">
        <v>1529</v>
      </c>
      <c r="T79" s="2644">
        <f>+'Data Input sheet'!$D$112</f>
        <v>1.5</v>
      </c>
      <c r="U79" s="2921"/>
    </row>
    <row r="80" spans="1:21" ht="30" x14ac:dyDescent="0.25">
      <c r="A80" s="2922" t="s">
        <v>1530</v>
      </c>
      <c r="B80" s="1884" t="s">
        <v>1531</v>
      </c>
      <c r="C80" s="2254" t="s">
        <v>732</v>
      </c>
      <c r="D80" s="2237">
        <v>0</v>
      </c>
      <c r="E80" s="1887" t="s">
        <v>1532</v>
      </c>
      <c r="F80" s="2250" t="s">
        <v>728</v>
      </c>
      <c r="G80" s="2237">
        <v>0</v>
      </c>
      <c r="H80" s="2235">
        <f>G80</f>
        <v>0</v>
      </c>
      <c r="I80" s="1889"/>
      <c r="J80" s="2247" t="s">
        <v>732</v>
      </c>
      <c r="K80" s="2647">
        <v>0</v>
      </c>
      <c r="L80" s="2646">
        <f t="shared" si="34"/>
        <v>0</v>
      </c>
      <c r="M80" s="2226">
        <f t="shared" si="36"/>
        <v>1</v>
      </c>
      <c r="N80" s="2649">
        <f>+$T79</f>
        <v>1.5</v>
      </c>
      <c r="O80" s="1896"/>
      <c r="P80" s="2258"/>
      <c r="Q80" s="1898"/>
      <c r="R80" s="1899">
        <f t="shared" ref="R80" si="37">T80</f>
        <v>0</v>
      </c>
      <c r="S80" s="1895" t="s">
        <v>1533</v>
      </c>
      <c r="T80" s="2673">
        <f>G78*64/4+K84+SUMIF(I78:I83,$B$578,K78:K83)*$E$545+SUMIF(I78:I83,$B$579,K78:K83)*$E$548+SUMIF(I78:I83,$B$580,K78:K83)*$E$546+SUMIF(I78:I83,$B$581,K78:K83)*$E$547+SUMIF(I78:I83,$B$582,K78:K83)*$E$547+SUMIF(I78:I83,$B$583,K78:K83)*$E$549+SUMIF(I78:I83,$B$584,K78:K83)*$E$547+SUMIF(I78:I83,$B$585,K78:K83)*$E$549+SUMIF(I78:I83,$B$586,K78:K83)*$E$547+SUMIF(I78:I83,$B$587,K78:K83)*$E$551+SUMIF(I78:I83,$B$588,K78:K83)*$E$549+SUMIF(I78:I83,$B$590,K78:K83)*$E$544+SUMIF(I78:I83,$B$589,K78:K83)*$E$550</f>
        <v>0</v>
      </c>
      <c r="U80" s="2921"/>
    </row>
    <row r="81" spans="1:46" x14ac:dyDescent="0.25">
      <c r="A81" s="2923"/>
      <c r="B81" s="1884" t="s">
        <v>1534</v>
      </c>
      <c r="C81" s="2254" t="s">
        <v>728</v>
      </c>
      <c r="D81" s="2237">
        <v>0</v>
      </c>
      <c r="E81" s="1887" t="s">
        <v>1535</v>
      </c>
      <c r="F81" s="2250" t="s">
        <v>728</v>
      </c>
      <c r="G81" s="2235">
        <f>(H79+H80)*$C$555+G78*$C$556+(R79-(H79+H80)*$E$527)*$C$555/50+(T80-G78*16)*$C$556/50</f>
        <v>0</v>
      </c>
      <c r="H81" s="2235">
        <f>G81</f>
        <v>0</v>
      </c>
      <c r="I81" s="1889"/>
      <c r="J81" s="2247" t="s">
        <v>732</v>
      </c>
      <c r="K81" s="2647">
        <v>0</v>
      </c>
      <c r="L81" s="2646">
        <f t="shared" si="34"/>
        <v>0</v>
      </c>
      <c r="M81" s="2226">
        <f t="shared" si="36"/>
        <v>1</v>
      </c>
      <c r="N81" s="2649">
        <f>+$T79</f>
        <v>1.5</v>
      </c>
      <c r="O81" s="1896"/>
      <c r="P81" s="2258"/>
      <c r="Q81" s="1897"/>
      <c r="R81" s="1897"/>
      <c r="S81" s="1895" t="s">
        <v>3408</v>
      </c>
      <c r="T81" s="2674">
        <f>H78*64/4+L84+SUMIF(I78:I83,$B$578,L78:L83)*$E$545+SUMIF(I78:I83,$B$579,L78:L83)*$E$548+SUMIF(I78:I83,$B$580,L78:L83)*$E$546+SUMIF(I78:I83,$B$581,L78:L83)*$E$547+SUMIF(I78:I83,$B$582,L78:L83)*$E$547+SUMIF(I78:I83,$B$583,L78:L83)*$E$549+SUMIF(I78:I83,$B$584,L78:L83)*$E$547+SUMIF(I78:I83,$B$585,L78:L83)*$E$549+SUMIF(I78:I83,$B$586,L78:L83)*$E$547+SUMIF(I78:I83,$B$587,L78:L83)*$E$551+SUMIF(I78:I83,$B$588,L78:L83)*$E$549+SUMIF(I78:I83,$B$590,L78:L83)*$E$544+SUMIF(I78:I83,$B$589,L78:L83)*$E$550</f>
        <v>0</v>
      </c>
      <c r="U81" s="2921"/>
    </row>
    <row r="82" spans="1:46" ht="29.1" customHeight="1" x14ac:dyDescent="0.25">
      <c r="A82" s="2923"/>
      <c r="B82" s="1884"/>
      <c r="C82" s="2254"/>
      <c r="D82" s="1885"/>
      <c r="E82" s="1901" t="s">
        <v>1536</v>
      </c>
      <c r="F82" s="2250" t="s">
        <v>740</v>
      </c>
      <c r="G82" s="2235">
        <f>(H79*$E$527+H80*$E$527)*$C$557+R79*$C$557+T80*$C$558/T79</f>
        <v>0</v>
      </c>
      <c r="H82" s="2235">
        <f>G82</f>
        <v>0</v>
      </c>
      <c r="I82" s="1889"/>
      <c r="J82" s="2247" t="s">
        <v>732</v>
      </c>
      <c r="K82" s="2647">
        <v>0</v>
      </c>
      <c r="L82" s="2646">
        <f t="shared" si="34"/>
        <v>0</v>
      </c>
      <c r="M82" s="2226">
        <f t="shared" si="36"/>
        <v>1</v>
      </c>
      <c r="N82" s="2649">
        <f>+$T79</f>
        <v>1.5</v>
      </c>
      <c r="O82" s="1896"/>
      <c r="P82" s="2258"/>
      <c r="Q82" s="1897"/>
      <c r="R82" s="1902"/>
      <c r="S82" s="1895" t="s">
        <v>1537</v>
      </c>
      <c r="T82" s="2673">
        <f>+T81*T78</f>
        <v>0</v>
      </c>
      <c r="U82" s="2921"/>
    </row>
    <row r="83" spans="1:46" x14ac:dyDescent="0.25">
      <c r="A83" s="2923"/>
      <c r="B83" s="1884"/>
      <c r="C83" s="2254"/>
      <c r="D83" s="1885"/>
      <c r="E83" s="1887"/>
      <c r="F83" s="2250"/>
      <c r="G83" s="1888"/>
      <c r="H83" s="1888"/>
      <c r="I83" s="1889"/>
      <c r="J83" s="2247" t="s">
        <v>732</v>
      </c>
      <c r="K83" s="2647">
        <v>0</v>
      </c>
      <c r="L83" s="2646">
        <f t="shared" si="34"/>
        <v>0</v>
      </c>
      <c r="M83" s="2226">
        <f t="shared" si="36"/>
        <v>1</v>
      </c>
      <c r="N83" s="2649">
        <f>+$T79</f>
        <v>1.5</v>
      </c>
      <c r="O83" s="1903"/>
      <c r="P83" s="2259"/>
      <c r="Q83" s="1902"/>
      <c r="R83" s="1902"/>
      <c r="S83" s="1904"/>
      <c r="T83" s="1905"/>
      <c r="U83" s="2921"/>
    </row>
    <row r="84" spans="1:46" ht="60.75" thickBot="1" x14ac:dyDescent="0.3">
      <c r="A84" s="2925"/>
      <c r="B84" s="1906"/>
      <c r="C84" s="2255"/>
      <c r="D84" s="1907"/>
      <c r="E84" s="1908"/>
      <c r="F84" s="2251"/>
      <c r="G84" s="2233"/>
      <c r="H84" s="2233"/>
      <c r="I84" s="1911" t="s">
        <v>2411</v>
      </c>
      <c r="J84" s="2248" t="s">
        <v>740</v>
      </c>
      <c r="K84" s="2658">
        <v>0</v>
      </c>
      <c r="L84" s="2659">
        <f t="shared" si="34"/>
        <v>0</v>
      </c>
      <c r="M84" s="2660">
        <f>IF(T84="YES",$C$554,1)</f>
        <v>1</v>
      </c>
      <c r="N84" s="2661">
        <f>+$T79</f>
        <v>1.5</v>
      </c>
      <c r="O84" s="1913"/>
      <c r="P84" s="2260"/>
      <c r="Q84" s="1914"/>
      <c r="R84" s="1914"/>
      <c r="S84" s="1920" t="s">
        <v>1539</v>
      </c>
      <c r="T84" s="2243" t="s">
        <v>1540</v>
      </c>
      <c r="U84" s="2924"/>
    </row>
    <row r="85" spans="1:46" ht="26.1" customHeight="1" thickBot="1" x14ac:dyDescent="0.3">
      <c r="A85" s="1915" t="s">
        <v>2403</v>
      </c>
      <c r="B85" s="1916"/>
      <c r="C85" s="1917"/>
      <c r="D85" s="1917"/>
      <c r="E85" s="1916"/>
      <c r="F85" s="1917"/>
      <c r="G85" s="1917"/>
      <c r="H85" s="1917"/>
      <c r="I85" s="1916"/>
      <c r="J85" s="1917"/>
      <c r="K85" s="2669"/>
      <c r="L85" s="2669"/>
      <c r="M85" s="2669"/>
      <c r="N85" s="2669"/>
      <c r="O85" s="1916"/>
      <c r="P85" s="1917"/>
      <c r="Q85" s="1917"/>
      <c r="R85" s="1917"/>
      <c r="S85" s="1918"/>
      <c r="T85" s="1917"/>
      <c r="U85" s="1919"/>
      <c r="V85" s="1919"/>
      <c r="W85" s="1919"/>
      <c r="X85" s="1919"/>
      <c r="Y85" s="1919"/>
      <c r="Z85" s="1919"/>
      <c r="AA85" s="1919"/>
      <c r="AB85" s="1919"/>
      <c r="AC85" s="1919"/>
      <c r="AD85" s="1919"/>
      <c r="AE85" s="1919"/>
      <c r="AF85" s="1919"/>
      <c r="AG85" s="1919"/>
      <c r="AH85" s="1919"/>
      <c r="AI85" s="1919"/>
      <c r="AJ85" s="1919"/>
      <c r="AK85" s="1919"/>
      <c r="AL85" s="1919"/>
      <c r="AM85" s="1919"/>
      <c r="AN85" s="1919"/>
      <c r="AO85" s="1919"/>
      <c r="AP85" s="1919"/>
      <c r="AQ85" s="1919"/>
      <c r="AR85" s="1919"/>
      <c r="AS85" s="1919"/>
      <c r="AT85" s="1919"/>
    </row>
    <row r="86" spans="1:46" ht="26.85" hidden="1" customHeight="1" x14ac:dyDescent="0.25">
      <c r="A86" s="1870" t="s">
        <v>1513</v>
      </c>
      <c r="B86" s="1871" t="s">
        <v>1523</v>
      </c>
      <c r="C86" s="1872" t="s">
        <v>740</v>
      </c>
      <c r="D86" s="1873"/>
      <c r="E86" s="1874" t="s">
        <v>1524</v>
      </c>
      <c r="F86" s="1875" t="s">
        <v>728</v>
      </c>
      <c r="G86" s="1873"/>
      <c r="H86" s="1873">
        <f t="shared" ref="H86" si="38">G86*M86*N86</f>
        <v>0</v>
      </c>
      <c r="I86" s="1876"/>
      <c r="J86" s="1877" t="s">
        <v>732</v>
      </c>
      <c r="K86" s="2672">
        <v>0</v>
      </c>
      <c r="L86" s="2645">
        <f t="shared" ref="L86:L92" si="39">IF(ISNUMBER(SEARCH("Timber",I86)),M86*K86*N86,K86)</f>
        <v>0</v>
      </c>
      <c r="M86" s="2225">
        <f>+$M92</f>
        <v>1</v>
      </c>
      <c r="N86" s="2648">
        <f>+$T87</f>
        <v>1.5</v>
      </c>
      <c r="O86" s="1878" t="s">
        <v>1512</v>
      </c>
      <c r="P86" s="1879" t="s">
        <v>740</v>
      </c>
      <c r="Q86" s="1880">
        <f t="shared" ref="Q86" si="40">R87*$E$532+T88*$E$533</f>
        <v>0</v>
      </c>
      <c r="R86" s="1881"/>
      <c r="S86" s="1882" t="s">
        <v>1525</v>
      </c>
      <c r="T86" s="1873">
        <v>30</v>
      </c>
      <c r="U86" s="2920" t="s">
        <v>1526</v>
      </c>
    </row>
    <row r="87" spans="1:46" ht="30" hidden="1" x14ac:dyDescent="0.25">
      <c r="A87" s="1883">
        <f>A79+1</f>
        <v>11</v>
      </c>
      <c r="B87" s="1884" t="s">
        <v>1527</v>
      </c>
      <c r="C87" s="1885" t="s">
        <v>740</v>
      </c>
      <c r="D87" s="1886"/>
      <c r="E87" s="1887" t="s">
        <v>1528</v>
      </c>
      <c r="F87" s="1888" t="s">
        <v>728</v>
      </c>
      <c r="G87" s="1886"/>
      <c r="H87" s="1886">
        <f t="shared" ref="H87:H90" si="41">G87</f>
        <v>0</v>
      </c>
      <c r="I87" s="1889"/>
      <c r="J87" s="1890" t="s">
        <v>732</v>
      </c>
      <c r="K87" s="2647">
        <v>0</v>
      </c>
      <c r="L87" s="2646">
        <f t="shared" si="39"/>
        <v>0</v>
      </c>
      <c r="M87" s="2226">
        <f t="shared" ref="M87:M91" si="42">M88</f>
        <v>1</v>
      </c>
      <c r="N87" s="2649">
        <f>+$T87</f>
        <v>1.5</v>
      </c>
      <c r="O87" s="1891" t="s">
        <v>1512</v>
      </c>
      <c r="P87" s="1892" t="s">
        <v>740</v>
      </c>
      <c r="Q87" s="1893"/>
      <c r="R87" s="1894">
        <f>H87*$E$527*0+H88*$E$527*0+SUMIF(I86:I91,$B$565,L86:L91)*$E$537+SUMIF(I86:I91,$B$566,L86:L91)*$E$540+SUMIF(I86:I91,$B$567,L86:L91)*$E$538+SUMIF(I86:I91,$B$568,L86:L91)*$E$539+SUMIF(I86:I91,$B$569,L86:L91)*$E$539+SUMIF(I86:I91,$B$570,L86:L91)*$E$541+SUMIF(I86:I91,$B$571,L86:L91)*$E$539+SUMIF(I86:I91,$B$572,L86:L91)*$E$541+SUMIF(I86:I91,$B$573,L86:L91)*$E$539+SUMIF(I86:I91,$B$574,L86:L91)*$E$543+SUMIF(I86:I91,$B$575,L86:L91)*$E$541+SUMIF(I86:I91,$B$577,L86:L91)*$E$536+SUMIF(I86:I91,$B$576,L86:L91)*$E$542+SUMIF(I86:I91,$B$563,L86:L91)*$E$539</f>
        <v>0</v>
      </c>
      <c r="S87" s="1895" t="s">
        <v>1529</v>
      </c>
      <c r="T87" s="2644">
        <f>+'Data Input sheet'!$D$112</f>
        <v>1.5</v>
      </c>
      <c r="U87" s="2921"/>
    </row>
    <row r="88" spans="1:46" ht="30" hidden="1" x14ac:dyDescent="0.25">
      <c r="A88" s="2922" t="s">
        <v>1530</v>
      </c>
      <c r="B88" s="1884" t="s">
        <v>1531</v>
      </c>
      <c r="C88" s="1885" t="s">
        <v>732</v>
      </c>
      <c r="D88" s="1886"/>
      <c r="E88" s="1887" t="s">
        <v>1532</v>
      </c>
      <c r="F88" s="1888" t="s">
        <v>728</v>
      </c>
      <c r="G88" s="1886"/>
      <c r="H88" s="1886">
        <f t="shared" si="41"/>
        <v>0</v>
      </c>
      <c r="I88" s="1889"/>
      <c r="J88" s="1890" t="s">
        <v>732</v>
      </c>
      <c r="K88" s="2647">
        <v>0</v>
      </c>
      <c r="L88" s="2646">
        <f t="shared" si="39"/>
        <v>0</v>
      </c>
      <c r="M88" s="2226">
        <f t="shared" si="42"/>
        <v>1</v>
      </c>
      <c r="N88" s="2649">
        <f>+$T87</f>
        <v>1.5</v>
      </c>
      <c r="O88" s="1896"/>
      <c r="P88" s="1897"/>
      <c r="Q88" s="1898"/>
      <c r="R88" s="1899">
        <f t="shared" ref="R88" si="43">T88</f>
        <v>0</v>
      </c>
      <c r="S88" s="1895" t="s">
        <v>1533</v>
      </c>
      <c r="T88" s="2673">
        <f>G86*64/4+K92+SUMIF(I86:I91,$B$578,K86:K91)*$E$545+SUMIF(I86:I91,$B$579,K86:K91)*$E$548+SUMIF(I86:I91,$B$580,K86:K91)*$E$546+SUMIF(I86:I91,$B$581,K86:K91)*$E$547+SUMIF(I86:I91,$B$582,K86:K91)*$E$547+SUMIF(I86:I91,$B$583,K86:K91)*$E$549+SUMIF(I86:I91,$B$584,K86:K91)*$E$547+SUMIF(I86:I91,$B$585,K86:K91)*$E$549+SUMIF(I86:I91,$B$586,K86:K91)*$E$547+SUMIF(I86:I91,$B$587,K86:K91)*$E$551+SUMIF(I86:I91,$B$588,K86:K91)*$E$549+SUMIF(I86:I91,$B$590,K86:K91)*$E$544+SUMIF(I86:I91,$B$589,K86:K91)*$E$550</f>
        <v>0</v>
      </c>
      <c r="U88" s="2921"/>
    </row>
    <row r="89" spans="1:46" hidden="1" x14ac:dyDescent="0.25">
      <c r="A89" s="2923"/>
      <c r="B89" s="1884" t="s">
        <v>1534</v>
      </c>
      <c r="C89" s="1885" t="s">
        <v>728</v>
      </c>
      <c r="D89" s="1886"/>
      <c r="E89" s="1887" t="s">
        <v>1535</v>
      </c>
      <c r="F89" s="1888" t="s">
        <v>728</v>
      </c>
      <c r="G89" s="1900">
        <f>(H87+H88)*$C$555+G86*$C$556+(R87-(H87+H88)*$E$527)*$C$555/50+(T88-G86*16)*$C$556/50</f>
        <v>0</v>
      </c>
      <c r="H89" s="1886">
        <f t="shared" si="41"/>
        <v>0</v>
      </c>
      <c r="I89" s="1889"/>
      <c r="J89" s="1890" t="s">
        <v>732</v>
      </c>
      <c r="K89" s="2647">
        <v>0</v>
      </c>
      <c r="L89" s="2646">
        <f t="shared" si="39"/>
        <v>0</v>
      </c>
      <c r="M89" s="2226">
        <f t="shared" si="42"/>
        <v>1</v>
      </c>
      <c r="N89" s="2649">
        <f>+$T87</f>
        <v>1.5</v>
      </c>
      <c r="O89" s="1896"/>
      <c r="P89" s="1897"/>
      <c r="Q89" s="1897"/>
      <c r="R89" s="1897"/>
      <c r="S89" s="1895" t="s">
        <v>3408</v>
      </c>
      <c r="T89" s="2674">
        <f>H86*64/4+L92+SUMIF(I86:I91,$B$578,L86:L91)*$E$545+SUMIF(I86:I91,$B$579,L86:L91)*$E$548+SUMIF(I86:I91,$B$580,L86:L91)*$E$546+SUMIF(I86:I91,$B$581,L86:L91)*$E$547+SUMIF(I86:I91,$B$582,L86:L91)*$E$547+SUMIF(I86:I91,$B$583,L86:L91)*$E$549+SUMIF(I86:I91,$B$584,L86:L91)*$E$547+SUMIF(I86:I91,$B$585,L86:L91)*$E$549+SUMIF(I86:I91,$B$586,L86:L91)*$E$547+SUMIF(I86:I91,$B$587,L86:L91)*$E$551+SUMIF(I86:I91,$B$588,L86:L91)*$E$549+SUMIF(I86:I91,$B$590,L86:L91)*$E$544+SUMIF(I86:I91,$B$589,L86:L91)*$E$550</f>
        <v>0</v>
      </c>
      <c r="U89" s="2921"/>
    </row>
    <row r="90" spans="1:46" ht="29.1" hidden="1" customHeight="1" x14ac:dyDescent="0.25">
      <c r="A90" s="2923"/>
      <c r="B90" s="1884"/>
      <c r="C90" s="1885"/>
      <c r="D90" s="1885"/>
      <c r="E90" s="1901" t="s">
        <v>1536</v>
      </c>
      <c r="F90" s="1888" t="s">
        <v>740</v>
      </c>
      <c r="G90" s="1900">
        <f>(H87*$E$527+H88*$E$527)*$C$557+R87*$C$557+T88*$C$558/T87</f>
        <v>0</v>
      </c>
      <c r="H90" s="1886">
        <f t="shared" si="41"/>
        <v>0</v>
      </c>
      <c r="I90" s="1889"/>
      <c r="J90" s="1890" t="s">
        <v>732</v>
      </c>
      <c r="K90" s="2647">
        <v>0</v>
      </c>
      <c r="L90" s="2646">
        <f t="shared" si="39"/>
        <v>0</v>
      </c>
      <c r="M90" s="2226">
        <f t="shared" si="42"/>
        <v>1</v>
      </c>
      <c r="N90" s="2649">
        <f>+$T87</f>
        <v>1.5</v>
      </c>
      <c r="O90" s="1896"/>
      <c r="P90" s="1897"/>
      <c r="Q90" s="1897"/>
      <c r="R90" s="1902"/>
      <c r="S90" s="1895" t="s">
        <v>1537</v>
      </c>
      <c r="T90" s="2673">
        <f>+T89*T86</f>
        <v>0</v>
      </c>
      <c r="U90" s="2921"/>
    </row>
    <row r="91" spans="1:46" hidden="1" x14ac:dyDescent="0.25">
      <c r="A91" s="2923"/>
      <c r="B91" s="1884"/>
      <c r="C91" s="1885"/>
      <c r="D91" s="1885"/>
      <c r="E91" s="1887"/>
      <c r="F91" s="1888"/>
      <c r="G91" s="1886"/>
      <c r="H91" s="1886"/>
      <c r="I91" s="1889"/>
      <c r="J91" s="1890" t="s">
        <v>732</v>
      </c>
      <c r="K91" s="2647">
        <v>0</v>
      </c>
      <c r="L91" s="2646">
        <f t="shared" si="39"/>
        <v>0</v>
      </c>
      <c r="M91" s="2226">
        <f t="shared" si="42"/>
        <v>1</v>
      </c>
      <c r="N91" s="2649">
        <f>+$T87</f>
        <v>1.5</v>
      </c>
      <c r="O91" s="1903"/>
      <c r="P91" s="1902"/>
      <c r="Q91" s="1902"/>
      <c r="R91" s="1902"/>
      <c r="S91" s="1904"/>
      <c r="T91" s="1905"/>
      <c r="U91" s="2921"/>
    </row>
    <row r="92" spans="1:46" ht="60.75" hidden="1" thickBot="1" x14ac:dyDescent="0.3">
      <c r="A92" s="2925"/>
      <c r="B92" s="1906"/>
      <c r="C92" s="1907"/>
      <c r="D92" s="1907"/>
      <c r="E92" s="1908"/>
      <c r="F92" s="1909"/>
      <c r="G92" s="1910"/>
      <c r="H92" s="1910"/>
      <c r="I92" s="1911" t="s">
        <v>1538</v>
      </c>
      <c r="J92" s="1912" t="s">
        <v>740</v>
      </c>
      <c r="K92" s="2658">
        <v>0</v>
      </c>
      <c r="L92" s="2659">
        <f t="shared" si="39"/>
        <v>0</v>
      </c>
      <c r="M92" s="2660">
        <f>IF(T92="YES",$C$554,1)</f>
        <v>1</v>
      </c>
      <c r="N92" s="2661">
        <f>+$T87</f>
        <v>1.5</v>
      </c>
      <c r="O92" s="1913"/>
      <c r="P92" s="1914"/>
      <c r="Q92" s="1914"/>
      <c r="R92" s="1914"/>
      <c r="S92" s="1920" t="s">
        <v>1539</v>
      </c>
      <c r="T92" s="1921" t="s">
        <v>1540</v>
      </c>
      <c r="U92" s="2924"/>
    </row>
    <row r="93" spans="1:46" ht="27" hidden="1" customHeight="1" thickBot="1" x14ac:dyDescent="0.3">
      <c r="A93" s="1915"/>
      <c r="B93" s="1916"/>
      <c r="C93" s="1917"/>
      <c r="D93" s="1917"/>
      <c r="E93" s="1916"/>
      <c r="F93" s="1917"/>
      <c r="G93" s="1917"/>
      <c r="H93" s="1917"/>
      <c r="I93" s="1916"/>
      <c r="J93" s="1917"/>
      <c r="K93" s="2669"/>
      <c r="L93" s="2669"/>
      <c r="M93" s="2669"/>
      <c r="N93" s="2669"/>
      <c r="O93" s="1916"/>
      <c r="P93" s="1917"/>
      <c r="Q93" s="1917"/>
      <c r="R93" s="1917"/>
      <c r="S93" s="1918"/>
      <c r="T93" s="1917"/>
      <c r="U93" s="1919"/>
    </row>
    <row r="94" spans="1:46" ht="26.85" hidden="1" customHeight="1" x14ac:dyDescent="0.25">
      <c r="A94" s="1870" t="s">
        <v>1513</v>
      </c>
      <c r="B94" s="1871" t="s">
        <v>1523</v>
      </c>
      <c r="C94" s="1872" t="s">
        <v>740</v>
      </c>
      <c r="D94" s="1873"/>
      <c r="E94" s="1874" t="s">
        <v>1524</v>
      </c>
      <c r="F94" s="1875" t="s">
        <v>728</v>
      </c>
      <c r="G94" s="1873"/>
      <c r="H94" s="1873">
        <f t="shared" ref="H94" si="44">G94*M94*N94</f>
        <v>0</v>
      </c>
      <c r="I94" s="1876"/>
      <c r="J94" s="1877" t="s">
        <v>732</v>
      </c>
      <c r="K94" s="2672">
        <v>0</v>
      </c>
      <c r="L94" s="2645">
        <f t="shared" ref="L94:L100" si="45">IF(ISNUMBER(SEARCH("Timber",I94)),M94*K94*N94,K94)</f>
        <v>0</v>
      </c>
      <c r="M94" s="2225">
        <f>+$M100</f>
        <v>1</v>
      </c>
      <c r="N94" s="2648">
        <f>+$T95</f>
        <v>1.5</v>
      </c>
      <c r="O94" s="1878" t="s">
        <v>1512</v>
      </c>
      <c r="P94" s="1879" t="s">
        <v>740</v>
      </c>
      <c r="Q94" s="1880">
        <f t="shared" ref="Q94" si="46">R95*$E$532+T96*$E$533</f>
        <v>0</v>
      </c>
      <c r="R94" s="1881"/>
      <c r="S94" s="1882" t="s">
        <v>1525</v>
      </c>
      <c r="T94" s="1873">
        <v>30</v>
      </c>
      <c r="U94" s="2920" t="s">
        <v>1526</v>
      </c>
    </row>
    <row r="95" spans="1:46" ht="30" hidden="1" x14ac:dyDescent="0.25">
      <c r="A95" s="1883">
        <f>A87+1</f>
        <v>12</v>
      </c>
      <c r="B95" s="1884" t="s">
        <v>1527</v>
      </c>
      <c r="C95" s="1885" t="s">
        <v>740</v>
      </c>
      <c r="D95" s="1886"/>
      <c r="E95" s="1887" t="s">
        <v>1528</v>
      </c>
      <c r="F95" s="1888" t="s">
        <v>728</v>
      </c>
      <c r="G95" s="1886"/>
      <c r="H95" s="1886">
        <f t="shared" ref="H95:H98" si="47">G95</f>
        <v>0</v>
      </c>
      <c r="I95" s="1889"/>
      <c r="J95" s="1890" t="s">
        <v>732</v>
      </c>
      <c r="K95" s="2647">
        <v>0</v>
      </c>
      <c r="L95" s="2646">
        <f t="shared" si="45"/>
        <v>0</v>
      </c>
      <c r="M95" s="2226">
        <f t="shared" ref="M95:M99" si="48">M96</f>
        <v>1</v>
      </c>
      <c r="N95" s="2649">
        <f>+$T95</f>
        <v>1.5</v>
      </c>
      <c r="O95" s="1891" t="s">
        <v>1512</v>
      </c>
      <c r="P95" s="1892" t="s">
        <v>740</v>
      </c>
      <c r="Q95" s="1893"/>
      <c r="R95" s="1894">
        <f>H95*$E$527*0+H96*$E$527*0+SUMIF(I94:I99,$B$565,L94:L99)*$E$537+SUMIF(I94:I99,$B$566,L94:L99)*$E$540+SUMIF(I94:I99,$B$567,L94:L99)*$E$538+SUMIF(I94:I99,$B$568,L94:L99)*$E$539+SUMIF(I94:I99,$B$569,L94:L99)*$E$539+SUMIF(I94:I99,$B$570,L94:L99)*$E$541+SUMIF(I94:I99,$B$571,L94:L99)*$E$539+SUMIF(I94:I99,$B$572,L94:L99)*$E$541+SUMIF(I94:I99,$B$573,L94:L99)*$E$539+SUMIF(I94:I99,$B$574,L94:L99)*$E$543+SUMIF(I94:I99,$B$575,L94:L99)*$E$541+SUMIF(I94:I99,$B$577,L94:L99)*$E$536+SUMIF(I94:I99,$B$576,L94:L99)*$E$542+SUMIF(I94:I99,$B$563,L94:L99)*$E$539</f>
        <v>0</v>
      </c>
      <c r="S95" s="1895" t="s">
        <v>1529</v>
      </c>
      <c r="T95" s="2644">
        <f>+'Data Input sheet'!$D$112</f>
        <v>1.5</v>
      </c>
      <c r="U95" s="2921"/>
    </row>
    <row r="96" spans="1:46" ht="30" hidden="1" x14ac:dyDescent="0.25">
      <c r="A96" s="2922" t="s">
        <v>1530</v>
      </c>
      <c r="B96" s="1884" t="s">
        <v>1531</v>
      </c>
      <c r="C96" s="1885" t="s">
        <v>732</v>
      </c>
      <c r="D96" s="1886"/>
      <c r="E96" s="1887" t="s">
        <v>1532</v>
      </c>
      <c r="F96" s="1888" t="s">
        <v>728</v>
      </c>
      <c r="G96" s="1886"/>
      <c r="H96" s="1886">
        <f t="shared" si="47"/>
        <v>0</v>
      </c>
      <c r="I96" s="1889"/>
      <c r="J96" s="1890" t="s">
        <v>732</v>
      </c>
      <c r="K96" s="2647">
        <v>0</v>
      </c>
      <c r="L96" s="2646">
        <f t="shared" si="45"/>
        <v>0</v>
      </c>
      <c r="M96" s="2226">
        <f t="shared" si="48"/>
        <v>1</v>
      </c>
      <c r="N96" s="2649">
        <f>+$T95</f>
        <v>1.5</v>
      </c>
      <c r="O96" s="1896"/>
      <c r="P96" s="1897"/>
      <c r="Q96" s="1898"/>
      <c r="R96" s="1899">
        <f t="shared" ref="R96" si="49">T96</f>
        <v>0</v>
      </c>
      <c r="S96" s="1895" t="s">
        <v>1533</v>
      </c>
      <c r="T96" s="2673">
        <f>G94*64/4+K100+SUMIF(I94:I99,$B$578,K94:K99)*$E$545+SUMIF(I94:I99,$B$579,K94:K99)*$E$548+SUMIF(I94:I99,$B$580,K94:K99)*$E$546+SUMIF(I94:I99,$B$581,K94:K99)*$E$547+SUMIF(I94:I99,$B$582,K94:K99)*$E$547+SUMIF(I94:I99,$B$583,K94:K99)*$E$549+SUMIF(I94:I99,$B$584,K94:K99)*$E$547+SUMIF(I94:I99,$B$585,K94:K99)*$E$549+SUMIF(I94:I99,$B$586,K94:K99)*$E$547+SUMIF(I94:I99,$B$587,K94:K99)*$E$551+SUMIF(I94:I99,$B$588,K94:K99)*$E$549+SUMIF(I94:I99,$B$590,K94:K99)*$E$544+SUMIF(I94:I99,$B$589,K94:K99)*$E$550</f>
        <v>0</v>
      </c>
      <c r="U96" s="2921"/>
    </row>
    <row r="97" spans="1:21" hidden="1" x14ac:dyDescent="0.25">
      <c r="A97" s="2923"/>
      <c r="B97" s="1884" t="s">
        <v>1534</v>
      </c>
      <c r="C97" s="1885" t="s">
        <v>728</v>
      </c>
      <c r="D97" s="1886"/>
      <c r="E97" s="1887" t="s">
        <v>1535</v>
      </c>
      <c r="F97" s="1888" t="s">
        <v>728</v>
      </c>
      <c r="G97" s="1900">
        <f>(H95+H96)*$C$555+G94*$C$556+(R95-(H95+H96)*$E$527)*$C$555/50+(T96-G94*16)*$C$556/50</f>
        <v>0</v>
      </c>
      <c r="H97" s="1886">
        <f t="shared" si="47"/>
        <v>0</v>
      </c>
      <c r="I97" s="1889"/>
      <c r="J97" s="1890" t="s">
        <v>732</v>
      </c>
      <c r="K97" s="2647">
        <v>0</v>
      </c>
      <c r="L97" s="2646">
        <f t="shared" si="45"/>
        <v>0</v>
      </c>
      <c r="M97" s="2226">
        <f t="shared" si="48"/>
        <v>1</v>
      </c>
      <c r="N97" s="2649">
        <f>+$T95</f>
        <v>1.5</v>
      </c>
      <c r="O97" s="1896"/>
      <c r="P97" s="1897"/>
      <c r="Q97" s="1897"/>
      <c r="R97" s="1897"/>
      <c r="S97" s="1895" t="s">
        <v>3408</v>
      </c>
      <c r="T97" s="2674">
        <f>H94*64/4+L100+SUMIF(I94:I99,$B$578,L94:L99)*$E$545+SUMIF(I94:I99,$B$579,L94:L99)*$E$548+SUMIF(I94:I99,$B$580,L94:L99)*$E$546+SUMIF(I94:I99,$B$581,L94:L99)*$E$547+SUMIF(I94:I99,$B$582,L94:L99)*$E$547+SUMIF(I94:I99,$B$583,L94:L99)*$E$549+SUMIF(I94:I99,$B$584,L94:L99)*$E$547+SUMIF(I94:I99,$B$585,L94:L99)*$E$549+SUMIF(I94:I99,$B$586,L94:L99)*$E$547+SUMIF(I94:I99,$B$587,L94:L99)*$E$551+SUMIF(I94:I99,$B$588,L94:L99)*$E$549+SUMIF(I94:I99,$B$590,L94:L99)*$E$544+SUMIF(I94:I99,$B$589,L94:L99)*$E$550</f>
        <v>0</v>
      </c>
      <c r="U97" s="2921"/>
    </row>
    <row r="98" spans="1:21" ht="29.1" hidden="1" customHeight="1" x14ac:dyDescent="0.25">
      <c r="A98" s="2923"/>
      <c r="B98" s="1884"/>
      <c r="C98" s="1885"/>
      <c r="D98" s="1885"/>
      <c r="E98" s="1901" t="s">
        <v>1536</v>
      </c>
      <c r="F98" s="1888" t="s">
        <v>740</v>
      </c>
      <c r="G98" s="1900">
        <f>(H95*$E$527+H96*$E$527)*$C$557+R95*$C$557+T96*$C$558/T95</f>
        <v>0</v>
      </c>
      <c r="H98" s="1886">
        <f t="shared" si="47"/>
        <v>0</v>
      </c>
      <c r="I98" s="1889"/>
      <c r="J98" s="1890" t="s">
        <v>732</v>
      </c>
      <c r="K98" s="2647">
        <v>0</v>
      </c>
      <c r="L98" s="2646">
        <f t="shared" si="45"/>
        <v>0</v>
      </c>
      <c r="M98" s="2226">
        <f t="shared" si="48"/>
        <v>1</v>
      </c>
      <c r="N98" s="2649">
        <f>+$T95</f>
        <v>1.5</v>
      </c>
      <c r="O98" s="1896"/>
      <c r="P98" s="1897"/>
      <c r="Q98" s="1897"/>
      <c r="R98" s="1902"/>
      <c r="S98" s="1895" t="s">
        <v>1537</v>
      </c>
      <c r="T98" s="2673">
        <f>+T97*T94</f>
        <v>0</v>
      </c>
      <c r="U98" s="2921"/>
    </row>
    <row r="99" spans="1:21" hidden="1" x14ac:dyDescent="0.25">
      <c r="A99" s="2923"/>
      <c r="B99" s="1884"/>
      <c r="C99" s="1885"/>
      <c r="D99" s="1885"/>
      <c r="E99" s="1887"/>
      <c r="F99" s="1888"/>
      <c r="G99" s="1886"/>
      <c r="H99" s="1886"/>
      <c r="I99" s="1889"/>
      <c r="J99" s="1890" t="s">
        <v>732</v>
      </c>
      <c r="K99" s="2647">
        <v>0</v>
      </c>
      <c r="L99" s="2646">
        <f t="shared" si="45"/>
        <v>0</v>
      </c>
      <c r="M99" s="2226">
        <f t="shared" si="48"/>
        <v>1</v>
      </c>
      <c r="N99" s="2649">
        <f>+$T95</f>
        <v>1.5</v>
      </c>
      <c r="O99" s="1903"/>
      <c r="P99" s="1902"/>
      <c r="Q99" s="1902"/>
      <c r="R99" s="1902"/>
      <c r="S99" s="1904"/>
      <c r="T99" s="1905"/>
      <c r="U99" s="2921"/>
    </row>
    <row r="100" spans="1:21" ht="60.75" hidden="1" thickBot="1" x14ac:dyDescent="0.3">
      <c r="A100" s="2925"/>
      <c r="B100" s="1906"/>
      <c r="C100" s="1907"/>
      <c r="D100" s="1907"/>
      <c r="E100" s="1908"/>
      <c r="F100" s="1909"/>
      <c r="G100" s="1910"/>
      <c r="H100" s="1910"/>
      <c r="I100" s="1911" t="s">
        <v>1538</v>
      </c>
      <c r="J100" s="1912" t="s">
        <v>740</v>
      </c>
      <c r="K100" s="2658">
        <v>0</v>
      </c>
      <c r="L100" s="2659">
        <f t="shared" si="45"/>
        <v>0</v>
      </c>
      <c r="M100" s="2660">
        <f>IF(T100="YES",$C$554,1)</f>
        <v>1</v>
      </c>
      <c r="N100" s="2661">
        <f>+$T95</f>
        <v>1.5</v>
      </c>
      <c r="O100" s="1913"/>
      <c r="P100" s="1914"/>
      <c r="Q100" s="1914"/>
      <c r="R100" s="1914"/>
      <c r="S100" s="1920" t="s">
        <v>1539</v>
      </c>
      <c r="T100" s="1921" t="s">
        <v>1540</v>
      </c>
      <c r="U100" s="2924"/>
    </row>
    <row r="101" spans="1:21" ht="27" hidden="1" customHeight="1" thickBot="1" x14ac:dyDescent="0.3">
      <c r="A101" s="1915"/>
      <c r="B101" s="1916"/>
      <c r="C101" s="1917"/>
      <c r="D101" s="1917"/>
      <c r="E101" s="1916"/>
      <c r="F101" s="1917"/>
      <c r="G101" s="1917"/>
      <c r="H101" s="1917"/>
      <c r="I101" s="1916"/>
      <c r="J101" s="1917"/>
      <c r="K101" s="2669"/>
      <c r="L101" s="2669"/>
      <c r="M101" s="2669"/>
      <c r="N101" s="2669"/>
      <c r="O101" s="1916"/>
      <c r="P101" s="1917"/>
      <c r="Q101" s="1917"/>
      <c r="R101" s="1917"/>
      <c r="S101" s="1918"/>
      <c r="T101" s="1917"/>
      <c r="U101" s="1919"/>
    </row>
    <row r="102" spans="1:21" ht="26.85" hidden="1" customHeight="1" x14ac:dyDescent="0.25">
      <c r="A102" s="1870" t="s">
        <v>1513</v>
      </c>
      <c r="B102" s="1871" t="s">
        <v>1523</v>
      </c>
      <c r="C102" s="1872" t="s">
        <v>740</v>
      </c>
      <c r="D102" s="1873"/>
      <c r="E102" s="1874" t="s">
        <v>1524</v>
      </c>
      <c r="F102" s="1875" t="s">
        <v>728</v>
      </c>
      <c r="G102" s="1873"/>
      <c r="H102" s="1873">
        <f t="shared" ref="H102" si="50">G102*M102*N102</f>
        <v>0</v>
      </c>
      <c r="I102" s="1876"/>
      <c r="J102" s="1877" t="s">
        <v>732</v>
      </c>
      <c r="K102" s="2672">
        <v>0</v>
      </c>
      <c r="L102" s="2645">
        <f t="shared" ref="L102:L108" si="51">IF(ISNUMBER(SEARCH("Timber",I102)),M102*K102*N102,K102)</f>
        <v>0</v>
      </c>
      <c r="M102" s="2225">
        <f>+$M108</f>
        <v>1</v>
      </c>
      <c r="N102" s="2648">
        <f>+$T103</f>
        <v>1.5</v>
      </c>
      <c r="O102" s="1878" t="s">
        <v>1512</v>
      </c>
      <c r="P102" s="1879" t="s">
        <v>740</v>
      </c>
      <c r="Q102" s="1880">
        <f t="shared" ref="Q102" si="52">R103*$E$532+T104*$E$533</f>
        <v>0</v>
      </c>
      <c r="R102" s="1881"/>
      <c r="S102" s="1882" t="s">
        <v>1525</v>
      </c>
      <c r="T102" s="1873">
        <v>30</v>
      </c>
      <c r="U102" s="2920" t="s">
        <v>1526</v>
      </c>
    </row>
    <row r="103" spans="1:21" ht="30" hidden="1" x14ac:dyDescent="0.25">
      <c r="A103" s="1883">
        <f>A95+1</f>
        <v>13</v>
      </c>
      <c r="B103" s="1884" t="s">
        <v>1527</v>
      </c>
      <c r="C103" s="1885" t="s">
        <v>740</v>
      </c>
      <c r="D103" s="1886"/>
      <c r="E103" s="1887" t="s">
        <v>1528</v>
      </c>
      <c r="F103" s="1888" t="s">
        <v>728</v>
      </c>
      <c r="G103" s="1886"/>
      <c r="H103" s="1886">
        <f t="shared" ref="H103:H106" si="53">G103</f>
        <v>0</v>
      </c>
      <c r="I103" s="1889"/>
      <c r="J103" s="1890" t="s">
        <v>732</v>
      </c>
      <c r="K103" s="2647">
        <v>0</v>
      </c>
      <c r="L103" s="2646">
        <f t="shared" si="51"/>
        <v>0</v>
      </c>
      <c r="M103" s="2226">
        <f t="shared" ref="M103:M107" si="54">M104</f>
        <v>1</v>
      </c>
      <c r="N103" s="2649">
        <f>+$T103</f>
        <v>1.5</v>
      </c>
      <c r="O103" s="1891" t="s">
        <v>1512</v>
      </c>
      <c r="P103" s="1892" t="s">
        <v>740</v>
      </c>
      <c r="Q103" s="1893"/>
      <c r="R103" s="1894">
        <f>H103*$E$527*0+H104*$E$527*0+SUMIF(I102:I107,$B$565,L102:L107)*$E$537+SUMIF(I102:I107,$B$566,L102:L107)*$E$540+SUMIF(I102:I107,$B$567,L102:L107)*$E$538+SUMIF(I102:I107,$B$568,L102:L107)*$E$539+SUMIF(I102:I107,$B$569,L102:L107)*$E$539+SUMIF(I102:I107,$B$570,L102:L107)*$E$541+SUMIF(I102:I107,$B$571,L102:L107)*$E$539+SUMIF(I102:I107,$B$572,L102:L107)*$E$541+SUMIF(I102:I107,$B$573,L102:L107)*$E$539+SUMIF(I102:I107,$B$574,L102:L107)*$E$543+SUMIF(I102:I107,$B$575,L102:L107)*$E$541+SUMIF(I102:I107,$B$577,L102:L107)*$E$536+SUMIF(I102:I107,$B$576,L102:L107)*$E$542+SUMIF(I102:I107,$B$563,L102:L107)*$E$539</f>
        <v>0</v>
      </c>
      <c r="S103" s="1895" t="s">
        <v>1529</v>
      </c>
      <c r="T103" s="2644">
        <f>+'Data Input sheet'!$D$112</f>
        <v>1.5</v>
      </c>
      <c r="U103" s="2921"/>
    </row>
    <row r="104" spans="1:21" ht="30" hidden="1" x14ac:dyDescent="0.25">
      <c r="A104" s="2922" t="s">
        <v>1530</v>
      </c>
      <c r="B104" s="1884" t="s">
        <v>1531</v>
      </c>
      <c r="C104" s="1885" t="s">
        <v>732</v>
      </c>
      <c r="D104" s="1886"/>
      <c r="E104" s="1887" t="s">
        <v>1532</v>
      </c>
      <c r="F104" s="1888" t="s">
        <v>728</v>
      </c>
      <c r="G104" s="1886"/>
      <c r="H104" s="1886">
        <f t="shared" si="53"/>
        <v>0</v>
      </c>
      <c r="I104" s="1889"/>
      <c r="J104" s="1890" t="s">
        <v>732</v>
      </c>
      <c r="K104" s="2647">
        <v>0</v>
      </c>
      <c r="L104" s="2646">
        <f t="shared" si="51"/>
        <v>0</v>
      </c>
      <c r="M104" s="2226">
        <f t="shared" si="54"/>
        <v>1</v>
      </c>
      <c r="N104" s="2649">
        <f>+$T103</f>
        <v>1.5</v>
      </c>
      <c r="O104" s="1896"/>
      <c r="P104" s="1897"/>
      <c r="Q104" s="1898"/>
      <c r="R104" s="1899">
        <f t="shared" ref="R104" si="55">T104</f>
        <v>0</v>
      </c>
      <c r="S104" s="1895" t="s">
        <v>1533</v>
      </c>
      <c r="T104" s="2673">
        <f>G102*64/4+K108+SUMIF(I102:I107,$B$578,K102:K107)*$E$545+SUMIF(I102:I107,$B$579,K102:K107)*$E$548+SUMIF(I102:I107,$B$580,K102:K107)*$E$546+SUMIF(I102:I107,$B$581,K102:K107)*$E$547+SUMIF(I102:I107,$B$582,K102:K107)*$E$547+SUMIF(I102:I107,$B$583,K102:K107)*$E$549+SUMIF(I102:I107,$B$584,K102:K107)*$E$547+SUMIF(I102:I107,$B$585,K102:K107)*$E$549+SUMIF(I102:I107,$B$586,K102:K107)*$E$547+SUMIF(I102:I107,$B$587,K102:K107)*$E$551+SUMIF(I102:I107,$B$588,K102:K107)*$E$549+SUMIF(I102:I107,$B$590,K102:K107)*$E$544+SUMIF(I102:I107,$B$589,K102:K107)*$E$550</f>
        <v>0</v>
      </c>
      <c r="U104" s="2921"/>
    </row>
    <row r="105" spans="1:21" hidden="1" x14ac:dyDescent="0.25">
      <c r="A105" s="2923"/>
      <c r="B105" s="1884" t="s">
        <v>1534</v>
      </c>
      <c r="C105" s="1885" t="s">
        <v>728</v>
      </c>
      <c r="D105" s="1886"/>
      <c r="E105" s="1887" t="s">
        <v>1535</v>
      </c>
      <c r="F105" s="1888" t="s">
        <v>728</v>
      </c>
      <c r="G105" s="1900">
        <f>(H103+H104)*$C$555+G102*$C$556+(R103-(H103+H104)*$E$527)*$C$555/50+(T104-G102*16)*$C$556/50</f>
        <v>0</v>
      </c>
      <c r="H105" s="1886">
        <f t="shared" si="53"/>
        <v>0</v>
      </c>
      <c r="I105" s="1889"/>
      <c r="J105" s="1890" t="s">
        <v>732</v>
      </c>
      <c r="K105" s="2647">
        <v>0</v>
      </c>
      <c r="L105" s="2646">
        <f t="shared" si="51"/>
        <v>0</v>
      </c>
      <c r="M105" s="2226">
        <f t="shared" si="54"/>
        <v>1</v>
      </c>
      <c r="N105" s="2649">
        <f>+$T103</f>
        <v>1.5</v>
      </c>
      <c r="O105" s="1896"/>
      <c r="P105" s="1897"/>
      <c r="Q105" s="1897"/>
      <c r="R105" s="1897"/>
      <c r="S105" s="1895" t="s">
        <v>3408</v>
      </c>
      <c r="T105" s="2674">
        <f>H102*64/4+L108+SUMIF(I102:I107,$B$578,L102:L107)*$E$545+SUMIF(I102:I107,$B$579,L102:L107)*$E$548+SUMIF(I102:I107,$B$580,L102:L107)*$E$546+SUMIF(I102:I107,$B$581,L102:L107)*$E$547+SUMIF(I102:I107,$B$582,L102:L107)*$E$547+SUMIF(I102:I107,$B$583,L102:L107)*$E$549+SUMIF(I102:I107,$B$584,L102:L107)*$E$547+SUMIF(I102:I107,$B$585,L102:L107)*$E$549+SUMIF(I102:I107,$B$586,L102:L107)*$E$547+SUMIF(I102:I107,$B$587,L102:L107)*$E$551+SUMIF(I102:I107,$B$588,L102:L107)*$E$549+SUMIF(I102:I107,$B$590,L102:L107)*$E$544+SUMIF(I102:I107,$B$589,L102:L107)*$E$550</f>
        <v>0</v>
      </c>
      <c r="U105" s="2921"/>
    </row>
    <row r="106" spans="1:21" ht="29.1" hidden="1" customHeight="1" x14ac:dyDescent="0.25">
      <c r="A106" s="2923"/>
      <c r="B106" s="1884"/>
      <c r="C106" s="1885"/>
      <c r="D106" s="1885"/>
      <c r="E106" s="1901" t="s">
        <v>1536</v>
      </c>
      <c r="F106" s="1888" t="s">
        <v>740</v>
      </c>
      <c r="G106" s="1900">
        <f>(H103*$E$527+H104*$E$527)*$C$557+R103*$C$557+T104*$C$558/T103</f>
        <v>0</v>
      </c>
      <c r="H106" s="1886">
        <f t="shared" si="53"/>
        <v>0</v>
      </c>
      <c r="I106" s="1889"/>
      <c r="J106" s="1890" t="s">
        <v>732</v>
      </c>
      <c r="K106" s="2647">
        <v>0</v>
      </c>
      <c r="L106" s="2646">
        <f t="shared" si="51"/>
        <v>0</v>
      </c>
      <c r="M106" s="2226">
        <f t="shared" si="54"/>
        <v>1</v>
      </c>
      <c r="N106" s="2649">
        <f>+$T103</f>
        <v>1.5</v>
      </c>
      <c r="O106" s="1896"/>
      <c r="P106" s="1897"/>
      <c r="Q106" s="1897"/>
      <c r="R106" s="1902"/>
      <c r="S106" s="1895" t="s">
        <v>1537</v>
      </c>
      <c r="T106" s="2673">
        <f>+T105*T102</f>
        <v>0</v>
      </c>
      <c r="U106" s="2921"/>
    </row>
    <row r="107" spans="1:21" hidden="1" x14ac:dyDescent="0.25">
      <c r="A107" s="2923"/>
      <c r="B107" s="1884"/>
      <c r="C107" s="1885"/>
      <c r="D107" s="1885"/>
      <c r="E107" s="1887"/>
      <c r="F107" s="1888"/>
      <c r="G107" s="1886"/>
      <c r="H107" s="1886"/>
      <c r="I107" s="1889"/>
      <c r="J107" s="1890" t="s">
        <v>732</v>
      </c>
      <c r="K107" s="2647">
        <v>0</v>
      </c>
      <c r="L107" s="2646">
        <f t="shared" si="51"/>
        <v>0</v>
      </c>
      <c r="M107" s="2226">
        <f t="shared" si="54"/>
        <v>1</v>
      </c>
      <c r="N107" s="2649">
        <f>+$T103</f>
        <v>1.5</v>
      </c>
      <c r="O107" s="1903"/>
      <c r="P107" s="1902"/>
      <c r="Q107" s="1902"/>
      <c r="R107" s="1902"/>
      <c r="S107" s="1904"/>
      <c r="T107" s="1905"/>
      <c r="U107" s="2921"/>
    </row>
    <row r="108" spans="1:21" ht="60.75" hidden="1" thickBot="1" x14ac:dyDescent="0.3">
      <c r="A108" s="2925"/>
      <c r="B108" s="1906"/>
      <c r="C108" s="1907"/>
      <c r="D108" s="1907"/>
      <c r="E108" s="1908"/>
      <c r="F108" s="1909"/>
      <c r="G108" s="1910"/>
      <c r="H108" s="1910"/>
      <c r="I108" s="1911" t="s">
        <v>1538</v>
      </c>
      <c r="J108" s="1912" t="s">
        <v>740</v>
      </c>
      <c r="K108" s="2658">
        <v>0</v>
      </c>
      <c r="L108" s="2659">
        <f t="shared" si="51"/>
        <v>0</v>
      </c>
      <c r="M108" s="2660">
        <f>IF(T108="YES",$C$554,1)</f>
        <v>1</v>
      </c>
      <c r="N108" s="2661">
        <f>+$T103</f>
        <v>1.5</v>
      </c>
      <c r="O108" s="1913"/>
      <c r="P108" s="1914"/>
      <c r="Q108" s="1914"/>
      <c r="R108" s="1914"/>
      <c r="S108" s="1920" t="s">
        <v>1539</v>
      </c>
      <c r="T108" s="1921" t="s">
        <v>1540</v>
      </c>
      <c r="U108" s="2924"/>
    </row>
    <row r="109" spans="1:21" ht="27" hidden="1" customHeight="1" thickBot="1" x14ac:dyDescent="0.3">
      <c r="A109" s="1915"/>
      <c r="B109" s="1916"/>
      <c r="C109" s="1917"/>
      <c r="D109" s="1917"/>
      <c r="E109" s="1916"/>
      <c r="F109" s="1917"/>
      <c r="G109" s="1917"/>
      <c r="H109" s="1917"/>
      <c r="I109" s="1916"/>
      <c r="J109" s="1917"/>
      <c r="K109" s="2669"/>
      <c r="L109" s="2669"/>
      <c r="M109" s="2669"/>
      <c r="N109" s="2669"/>
      <c r="O109" s="1916"/>
      <c r="P109" s="1917"/>
      <c r="Q109" s="1917"/>
      <c r="R109" s="1917"/>
      <c r="S109" s="1918"/>
      <c r="T109" s="1917"/>
      <c r="U109" s="1919"/>
    </row>
    <row r="110" spans="1:21" ht="26.85" hidden="1" customHeight="1" x14ac:dyDescent="0.25">
      <c r="A110" s="1870" t="s">
        <v>1513</v>
      </c>
      <c r="B110" s="1871" t="s">
        <v>1523</v>
      </c>
      <c r="C110" s="1872" t="s">
        <v>740</v>
      </c>
      <c r="D110" s="1873"/>
      <c r="E110" s="1874" t="s">
        <v>1524</v>
      </c>
      <c r="F110" s="1875" t="s">
        <v>728</v>
      </c>
      <c r="G110" s="1873"/>
      <c r="H110" s="1873">
        <f t="shared" ref="H110" si="56">G110*M110*N110</f>
        <v>0</v>
      </c>
      <c r="I110" s="1876"/>
      <c r="J110" s="1877" t="s">
        <v>732</v>
      </c>
      <c r="K110" s="2672">
        <v>0</v>
      </c>
      <c r="L110" s="2645">
        <f t="shared" ref="L110:L116" si="57">IF(ISNUMBER(SEARCH("Timber",I110)),M110*K110*N110,K110)</f>
        <v>0</v>
      </c>
      <c r="M110" s="2225">
        <f>+$M116</f>
        <v>1</v>
      </c>
      <c r="N110" s="2648">
        <f>+$T111</f>
        <v>1.5</v>
      </c>
      <c r="O110" s="1878" t="s">
        <v>1512</v>
      </c>
      <c r="P110" s="1879" t="s">
        <v>740</v>
      </c>
      <c r="Q110" s="1880">
        <f t="shared" ref="Q110" si="58">R111*$E$532+T112*$E$533</f>
        <v>0</v>
      </c>
      <c r="R110" s="1881"/>
      <c r="S110" s="1882" t="s">
        <v>1525</v>
      </c>
      <c r="T110" s="1873">
        <v>30</v>
      </c>
      <c r="U110" s="2920" t="s">
        <v>1526</v>
      </c>
    </row>
    <row r="111" spans="1:21" ht="30" hidden="1" x14ac:dyDescent="0.25">
      <c r="A111" s="1883">
        <f>A103+1</f>
        <v>14</v>
      </c>
      <c r="B111" s="1884" t="s">
        <v>1527</v>
      </c>
      <c r="C111" s="1885" t="s">
        <v>740</v>
      </c>
      <c r="D111" s="1886"/>
      <c r="E111" s="1887" t="s">
        <v>1528</v>
      </c>
      <c r="F111" s="1888" t="s">
        <v>728</v>
      </c>
      <c r="G111" s="1886"/>
      <c r="H111" s="1886">
        <f t="shared" ref="H111:H114" si="59">G111</f>
        <v>0</v>
      </c>
      <c r="I111" s="1889"/>
      <c r="J111" s="1890" t="s">
        <v>732</v>
      </c>
      <c r="K111" s="2647">
        <v>0</v>
      </c>
      <c r="L111" s="2646">
        <f t="shared" si="57"/>
        <v>0</v>
      </c>
      <c r="M111" s="2226">
        <f t="shared" ref="M111:M115" si="60">M112</f>
        <v>1</v>
      </c>
      <c r="N111" s="2649">
        <f>+$T111</f>
        <v>1.5</v>
      </c>
      <c r="O111" s="1891" t="s">
        <v>1512</v>
      </c>
      <c r="P111" s="1892" t="s">
        <v>740</v>
      </c>
      <c r="Q111" s="1893"/>
      <c r="R111" s="1894">
        <f>H111*$E$527*0+H112*$E$527*0+SUMIF(I110:I115,$B$565,L110:L115)*$E$537+SUMIF(I110:I115,$B$566,L110:L115)*$E$540+SUMIF(I110:I115,$B$567,L110:L115)*$E$538+SUMIF(I110:I115,$B$568,L110:L115)*$E$539+SUMIF(I110:I115,$B$569,L110:L115)*$E$539+SUMIF(I110:I115,$B$570,L110:L115)*$E$541+SUMIF(I110:I115,$B$571,L110:L115)*$E$539+SUMIF(I110:I115,$B$572,L110:L115)*$E$541+SUMIF(I110:I115,$B$573,L110:L115)*$E$539+SUMIF(I110:I115,$B$574,L110:L115)*$E$543+SUMIF(I110:I115,$B$575,L110:L115)*$E$541+SUMIF(I110:I115,$B$577,L110:L115)*$E$536+SUMIF(I110:I115,$B$576,L110:L115)*$E$542+SUMIF(I110:I115,$B$563,L110:L115)*$E$539</f>
        <v>0</v>
      </c>
      <c r="S111" s="1895" t="s">
        <v>1529</v>
      </c>
      <c r="T111" s="2644">
        <f>+'Data Input sheet'!$D$112</f>
        <v>1.5</v>
      </c>
      <c r="U111" s="2921"/>
    </row>
    <row r="112" spans="1:21" ht="30" hidden="1" x14ac:dyDescent="0.25">
      <c r="A112" s="2922" t="s">
        <v>1530</v>
      </c>
      <c r="B112" s="1884" t="s">
        <v>1531</v>
      </c>
      <c r="C112" s="1885" t="s">
        <v>732</v>
      </c>
      <c r="D112" s="1886"/>
      <c r="E112" s="1887" t="s">
        <v>1532</v>
      </c>
      <c r="F112" s="1888" t="s">
        <v>728</v>
      </c>
      <c r="G112" s="1886"/>
      <c r="H112" s="1886">
        <f t="shared" si="59"/>
        <v>0</v>
      </c>
      <c r="I112" s="1889"/>
      <c r="J112" s="1890" t="s">
        <v>732</v>
      </c>
      <c r="K112" s="2647">
        <v>0</v>
      </c>
      <c r="L112" s="2646">
        <f t="shared" si="57"/>
        <v>0</v>
      </c>
      <c r="M112" s="2226">
        <f t="shared" si="60"/>
        <v>1</v>
      </c>
      <c r="N112" s="2649">
        <f>+$T111</f>
        <v>1.5</v>
      </c>
      <c r="O112" s="1896"/>
      <c r="P112" s="1897"/>
      <c r="Q112" s="1898"/>
      <c r="R112" s="1899">
        <f t="shared" ref="R112" si="61">T112</f>
        <v>0</v>
      </c>
      <c r="S112" s="1895" t="s">
        <v>1533</v>
      </c>
      <c r="T112" s="2673">
        <f>G110*64/4+K116+SUMIF(I110:I115,$B$578,K110:K115)*$E$545+SUMIF(I110:I115,$B$579,K110:K115)*$E$548+SUMIF(I110:I115,$B$580,K110:K115)*$E$546+SUMIF(I110:I115,$B$581,K110:K115)*$E$547+SUMIF(I110:I115,$B$582,K110:K115)*$E$547+SUMIF(I110:I115,$B$583,K110:K115)*$E$549+SUMIF(I110:I115,$B$584,K110:K115)*$E$547+SUMIF(I110:I115,$B$585,K110:K115)*$E$549+SUMIF(I110:I115,$B$586,K110:K115)*$E$547+SUMIF(I110:I115,$B$587,K110:K115)*$E$551+SUMIF(I110:I115,$B$588,K110:K115)*$E$549+SUMIF(I110:I115,$B$590,K110:K115)*$E$544+SUMIF(I110:I115,$B$589,K110:K115)*$E$550</f>
        <v>0</v>
      </c>
      <c r="U112" s="2921"/>
    </row>
    <row r="113" spans="1:21" hidden="1" x14ac:dyDescent="0.25">
      <c r="A113" s="2923"/>
      <c r="B113" s="1884" t="s">
        <v>1534</v>
      </c>
      <c r="C113" s="1885" t="s">
        <v>728</v>
      </c>
      <c r="D113" s="1886"/>
      <c r="E113" s="1887" t="s">
        <v>1535</v>
      </c>
      <c r="F113" s="1888" t="s">
        <v>728</v>
      </c>
      <c r="G113" s="1900">
        <f>(H111+H112)*$C$555+G110*$C$556+(R111-(H111+H112)*$E$527)*$C$555/50+(T112-G110*16)*$C$556/50</f>
        <v>0</v>
      </c>
      <c r="H113" s="1886">
        <f t="shared" si="59"/>
        <v>0</v>
      </c>
      <c r="I113" s="1889"/>
      <c r="J113" s="1890" t="s">
        <v>732</v>
      </c>
      <c r="K113" s="2647">
        <v>0</v>
      </c>
      <c r="L113" s="2646">
        <f t="shared" si="57"/>
        <v>0</v>
      </c>
      <c r="M113" s="2226">
        <f t="shared" si="60"/>
        <v>1</v>
      </c>
      <c r="N113" s="2649">
        <f>+$T111</f>
        <v>1.5</v>
      </c>
      <c r="O113" s="1896"/>
      <c r="P113" s="1897"/>
      <c r="Q113" s="1897"/>
      <c r="R113" s="1897"/>
      <c r="S113" s="1895" t="s">
        <v>3408</v>
      </c>
      <c r="T113" s="2674">
        <f>H110*64/4+L116+SUMIF(I110:I115,$B$578,L110:L115)*$E$545+SUMIF(I110:I115,$B$579,L110:L115)*$E$548+SUMIF(I110:I115,$B$580,L110:L115)*$E$546+SUMIF(I110:I115,$B$581,L110:L115)*$E$547+SUMIF(I110:I115,$B$582,L110:L115)*$E$547+SUMIF(I110:I115,$B$583,L110:L115)*$E$549+SUMIF(I110:I115,$B$584,L110:L115)*$E$547+SUMIF(I110:I115,$B$585,L110:L115)*$E$549+SUMIF(I110:I115,$B$586,L110:L115)*$E$547+SUMIF(I110:I115,$B$587,L110:L115)*$E$551+SUMIF(I110:I115,$B$588,L110:L115)*$E$549+SUMIF(I110:I115,$B$590,L110:L115)*$E$544+SUMIF(I110:I115,$B$589,L110:L115)*$E$550</f>
        <v>0</v>
      </c>
      <c r="U113" s="2921"/>
    </row>
    <row r="114" spans="1:21" ht="29.1" hidden="1" customHeight="1" x14ac:dyDescent="0.25">
      <c r="A114" s="2923"/>
      <c r="B114" s="1884"/>
      <c r="C114" s="1885"/>
      <c r="D114" s="1885"/>
      <c r="E114" s="1901" t="s">
        <v>1536</v>
      </c>
      <c r="F114" s="1888" t="s">
        <v>740</v>
      </c>
      <c r="G114" s="1900">
        <f>(H111*$E$527+H112*$E$527)*$C$557+R111*$C$557+T112*$C$558/T111</f>
        <v>0</v>
      </c>
      <c r="H114" s="1886">
        <f t="shared" si="59"/>
        <v>0</v>
      </c>
      <c r="I114" s="1889"/>
      <c r="J114" s="1890" t="s">
        <v>732</v>
      </c>
      <c r="K114" s="2647">
        <v>0</v>
      </c>
      <c r="L114" s="2646">
        <f t="shared" si="57"/>
        <v>0</v>
      </c>
      <c r="M114" s="2226">
        <f t="shared" si="60"/>
        <v>1</v>
      </c>
      <c r="N114" s="2649">
        <f>+$T111</f>
        <v>1.5</v>
      </c>
      <c r="O114" s="1896"/>
      <c r="P114" s="1897"/>
      <c r="Q114" s="1897"/>
      <c r="R114" s="1902"/>
      <c r="S114" s="1895" t="s">
        <v>1537</v>
      </c>
      <c r="T114" s="2673">
        <f>+T113*T110</f>
        <v>0</v>
      </c>
      <c r="U114" s="2921"/>
    </row>
    <row r="115" spans="1:21" hidden="1" x14ac:dyDescent="0.25">
      <c r="A115" s="2923"/>
      <c r="B115" s="1884"/>
      <c r="C115" s="1885"/>
      <c r="D115" s="1885"/>
      <c r="E115" s="1887"/>
      <c r="F115" s="1888"/>
      <c r="G115" s="1886"/>
      <c r="H115" s="1886"/>
      <c r="I115" s="1889"/>
      <c r="J115" s="1890" t="s">
        <v>732</v>
      </c>
      <c r="K115" s="2647">
        <v>0</v>
      </c>
      <c r="L115" s="2646">
        <f t="shared" si="57"/>
        <v>0</v>
      </c>
      <c r="M115" s="2226">
        <f t="shared" si="60"/>
        <v>1</v>
      </c>
      <c r="N115" s="2649">
        <f>+$T111</f>
        <v>1.5</v>
      </c>
      <c r="O115" s="1903"/>
      <c r="P115" s="1902"/>
      <c r="Q115" s="1902"/>
      <c r="R115" s="1902"/>
      <c r="S115" s="1904"/>
      <c r="T115" s="1905"/>
      <c r="U115" s="2921"/>
    </row>
    <row r="116" spans="1:21" ht="60.75" hidden="1" thickBot="1" x14ac:dyDescent="0.3">
      <c r="A116" s="2925"/>
      <c r="B116" s="1906"/>
      <c r="C116" s="1907"/>
      <c r="D116" s="1907"/>
      <c r="E116" s="1908"/>
      <c r="F116" s="1909"/>
      <c r="G116" s="1910"/>
      <c r="H116" s="1910"/>
      <c r="I116" s="1911" t="s">
        <v>1538</v>
      </c>
      <c r="J116" s="1912" t="s">
        <v>740</v>
      </c>
      <c r="K116" s="2658">
        <v>0</v>
      </c>
      <c r="L116" s="2659">
        <f t="shared" si="57"/>
        <v>0</v>
      </c>
      <c r="M116" s="2660">
        <f>IF(T116="YES",$C$554,1)</f>
        <v>1</v>
      </c>
      <c r="N116" s="2661">
        <f>+$T111</f>
        <v>1.5</v>
      </c>
      <c r="O116" s="1913"/>
      <c r="P116" s="1914"/>
      <c r="Q116" s="1914"/>
      <c r="R116" s="1914"/>
      <c r="S116" s="1920" t="s">
        <v>1539</v>
      </c>
      <c r="T116" s="1921" t="s">
        <v>1540</v>
      </c>
      <c r="U116" s="2924"/>
    </row>
    <row r="117" spans="1:21" ht="27" hidden="1" customHeight="1" thickBot="1" x14ac:dyDescent="0.3">
      <c r="A117" s="1915"/>
      <c r="B117" s="1916"/>
      <c r="C117" s="1917"/>
      <c r="D117" s="1917"/>
      <c r="E117" s="1916"/>
      <c r="F117" s="1917"/>
      <c r="G117" s="1917"/>
      <c r="H117" s="1917"/>
      <c r="I117" s="1916"/>
      <c r="J117" s="1917"/>
      <c r="K117" s="2669"/>
      <c r="L117" s="2669"/>
      <c r="M117" s="2669"/>
      <c r="N117" s="2669"/>
      <c r="O117" s="1916"/>
      <c r="P117" s="1917"/>
      <c r="Q117" s="1917"/>
      <c r="R117" s="1917"/>
      <c r="S117" s="1918"/>
      <c r="T117" s="1917"/>
      <c r="U117" s="1919"/>
    </row>
    <row r="118" spans="1:21" ht="26.85" hidden="1" customHeight="1" x14ac:dyDescent="0.25">
      <c r="A118" s="1870" t="s">
        <v>1513</v>
      </c>
      <c r="B118" s="1871" t="s">
        <v>1523</v>
      </c>
      <c r="C118" s="1872" t="s">
        <v>740</v>
      </c>
      <c r="D118" s="1873"/>
      <c r="E118" s="1874" t="s">
        <v>1524</v>
      </c>
      <c r="F118" s="1875" t="s">
        <v>728</v>
      </c>
      <c r="G118" s="1873"/>
      <c r="H118" s="1873">
        <f t="shared" ref="H118" si="62">G118*M118*N118</f>
        <v>0</v>
      </c>
      <c r="I118" s="1876"/>
      <c r="J118" s="1877" t="s">
        <v>732</v>
      </c>
      <c r="K118" s="2672">
        <v>0</v>
      </c>
      <c r="L118" s="2645">
        <f t="shared" ref="L118:L124" si="63">IF(ISNUMBER(SEARCH("Timber",I118)),M118*K118*N118,K118)</f>
        <v>0</v>
      </c>
      <c r="M118" s="2225">
        <f>+$M124</f>
        <v>1</v>
      </c>
      <c r="N118" s="2648">
        <f>+$T119</f>
        <v>1.5</v>
      </c>
      <c r="O118" s="1878" t="s">
        <v>1512</v>
      </c>
      <c r="P118" s="1879" t="s">
        <v>740</v>
      </c>
      <c r="Q118" s="1880">
        <f t="shared" ref="Q118" si="64">R119*$E$532+T120*$E$533</f>
        <v>0</v>
      </c>
      <c r="R118" s="1881"/>
      <c r="S118" s="1882" t="s">
        <v>1525</v>
      </c>
      <c r="T118" s="1873">
        <v>30</v>
      </c>
      <c r="U118" s="2920" t="s">
        <v>1526</v>
      </c>
    </row>
    <row r="119" spans="1:21" ht="30" hidden="1" x14ac:dyDescent="0.25">
      <c r="A119" s="1883">
        <f>A111+1</f>
        <v>15</v>
      </c>
      <c r="B119" s="1884" t="s">
        <v>1527</v>
      </c>
      <c r="C119" s="1885" t="s">
        <v>740</v>
      </c>
      <c r="D119" s="1886"/>
      <c r="E119" s="1887" t="s">
        <v>1528</v>
      </c>
      <c r="F119" s="1888" t="s">
        <v>728</v>
      </c>
      <c r="G119" s="1886"/>
      <c r="H119" s="1886">
        <f t="shared" ref="H119:H122" si="65">G119</f>
        <v>0</v>
      </c>
      <c r="I119" s="1889"/>
      <c r="J119" s="1890" t="s">
        <v>732</v>
      </c>
      <c r="K119" s="2647">
        <v>0</v>
      </c>
      <c r="L119" s="2646">
        <f t="shared" si="63"/>
        <v>0</v>
      </c>
      <c r="M119" s="2226">
        <f t="shared" ref="M119:M123" si="66">M120</f>
        <v>1</v>
      </c>
      <c r="N119" s="2649">
        <f>+$T119</f>
        <v>1.5</v>
      </c>
      <c r="O119" s="1891" t="s">
        <v>1512</v>
      </c>
      <c r="P119" s="1892" t="s">
        <v>740</v>
      </c>
      <c r="Q119" s="1893"/>
      <c r="R119" s="1894">
        <f>H119*$E$527*0+H120*$E$527*0+SUMIF(I118:I123,$B$565,L118:L123)*$E$537+SUMIF(I118:I123,$B$566,L118:L123)*$E$540+SUMIF(I118:I123,$B$567,L118:L123)*$E$538+SUMIF(I118:I123,$B$568,L118:L123)*$E$539+SUMIF(I118:I123,$B$569,L118:L123)*$E$539+SUMIF(I118:I123,$B$570,L118:L123)*$E$541+SUMIF(I118:I123,$B$571,L118:L123)*$E$539+SUMIF(I118:I123,$B$572,L118:L123)*$E$541+SUMIF(I118:I123,$B$573,L118:L123)*$E$539+SUMIF(I118:I123,$B$574,L118:L123)*$E$543+SUMIF(I118:I123,$B$575,L118:L123)*$E$541+SUMIF(I118:I123,$B$577,L118:L123)*$E$536+SUMIF(I118:I123,$B$576,L118:L123)*$E$542+SUMIF(I118:I123,$B$563,L118:L123)*$E$539</f>
        <v>0</v>
      </c>
      <c r="S119" s="1895" t="s">
        <v>1529</v>
      </c>
      <c r="T119" s="2644">
        <f>+'Data Input sheet'!$D$112</f>
        <v>1.5</v>
      </c>
      <c r="U119" s="2921"/>
    </row>
    <row r="120" spans="1:21" ht="30" hidden="1" x14ac:dyDescent="0.25">
      <c r="A120" s="2922" t="s">
        <v>1530</v>
      </c>
      <c r="B120" s="1884" t="s">
        <v>1531</v>
      </c>
      <c r="C120" s="1885" t="s">
        <v>732</v>
      </c>
      <c r="D120" s="1886"/>
      <c r="E120" s="1887" t="s">
        <v>1532</v>
      </c>
      <c r="F120" s="1888" t="s">
        <v>728</v>
      </c>
      <c r="G120" s="1886"/>
      <c r="H120" s="1886">
        <f t="shared" si="65"/>
        <v>0</v>
      </c>
      <c r="I120" s="1889"/>
      <c r="J120" s="1890" t="s">
        <v>732</v>
      </c>
      <c r="K120" s="2647">
        <v>0</v>
      </c>
      <c r="L120" s="2646">
        <f t="shared" si="63"/>
        <v>0</v>
      </c>
      <c r="M120" s="2226">
        <f t="shared" si="66"/>
        <v>1</v>
      </c>
      <c r="N120" s="2649">
        <f>+$T119</f>
        <v>1.5</v>
      </c>
      <c r="O120" s="1896"/>
      <c r="P120" s="1897"/>
      <c r="Q120" s="1898"/>
      <c r="R120" s="1899">
        <f t="shared" ref="R120" si="67">T120</f>
        <v>0</v>
      </c>
      <c r="S120" s="1895" t="s">
        <v>1533</v>
      </c>
      <c r="T120" s="2673">
        <f>G118*64/4+K124+SUMIF(I118:I123,$B$578,K118:K123)*$E$545+SUMIF(I118:I123,$B$579,K118:K123)*$E$548+SUMIF(I118:I123,$B$580,K118:K123)*$E$546+SUMIF(I118:I123,$B$581,K118:K123)*$E$547+SUMIF(I118:I123,$B$582,K118:K123)*$E$547+SUMIF(I118:I123,$B$583,K118:K123)*$E$549+SUMIF(I118:I123,$B$584,K118:K123)*$E$547+SUMIF(I118:I123,$B$585,K118:K123)*$E$549+SUMIF(I118:I123,$B$586,K118:K123)*$E$547+SUMIF(I118:I123,$B$587,K118:K123)*$E$551+SUMIF(I118:I123,$B$588,K118:K123)*$E$549+SUMIF(I118:I123,$B$590,K118:K123)*$E$544+SUMIF(I118:I123,$B$589,K118:K123)*$E$550</f>
        <v>0</v>
      </c>
      <c r="U120" s="2921"/>
    </row>
    <row r="121" spans="1:21" hidden="1" x14ac:dyDescent="0.25">
      <c r="A121" s="2923"/>
      <c r="B121" s="1884" t="s">
        <v>1534</v>
      </c>
      <c r="C121" s="1885" t="s">
        <v>728</v>
      </c>
      <c r="D121" s="1886"/>
      <c r="E121" s="1887" t="s">
        <v>1535</v>
      </c>
      <c r="F121" s="1888" t="s">
        <v>728</v>
      </c>
      <c r="G121" s="1900">
        <f>(H119+H120)*$C$555+G118*$C$556+(R119-(H119+H120)*$E$527)*$C$555/50+(T120-G118*16)*$C$556/50</f>
        <v>0</v>
      </c>
      <c r="H121" s="1886">
        <f t="shared" si="65"/>
        <v>0</v>
      </c>
      <c r="I121" s="1889"/>
      <c r="J121" s="1890" t="s">
        <v>732</v>
      </c>
      <c r="K121" s="2647">
        <v>0</v>
      </c>
      <c r="L121" s="2646">
        <f t="shared" si="63"/>
        <v>0</v>
      </c>
      <c r="M121" s="2226">
        <f t="shared" si="66"/>
        <v>1</v>
      </c>
      <c r="N121" s="2649">
        <f>+$T119</f>
        <v>1.5</v>
      </c>
      <c r="O121" s="1896"/>
      <c r="P121" s="1897"/>
      <c r="Q121" s="1897"/>
      <c r="R121" s="1897"/>
      <c r="S121" s="1895" t="s">
        <v>3408</v>
      </c>
      <c r="T121" s="2674">
        <f>H118*64/4+L124+SUMIF(I118:I123,$B$578,L118:L123)*$E$545+SUMIF(I118:I123,$B$579,L118:L123)*$E$548+SUMIF(I118:I123,$B$580,L118:L123)*$E$546+SUMIF(I118:I123,$B$581,L118:L123)*$E$547+SUMIF(I118:I123,$B$582,L118:L123)*$E$547+SUMIF(I118:I123,$B$583,L118:L123)*$E$549+SUMIF(I118:I123,$B$584,L118:L123)*$E$547+SUMIF(I118:I123,$B$585,L118:L123)*$E$549+SUMIF(I118:I123,$B$586,L118:L123)*$E$547+SUMIF(I118:I123,$B$587,L118:L123)*$E$551+SUMIF(I118:I123,$B$588,L118:L123)*$E$549+SUMIF(I118:I123,$B$590,L118:L123)*$E$544+SUMIF(I118:I123,$B$589,L118:L123)*$E$550</f>
        <v>0</v>
      </c>
      <c r="U121" s="2921"/>
    </row>
    <row r="122" spans="1:21" ht="29.1" hidden="1" customHeight="1" x14ac:dyDescent="0.25">
      <c r="A122" s="2923"/>
      <c r="B122" s="1884"/>
      <c r="C122" s="1885"/>
      <c r="D122" s="1885"/>
      <c r="E122" s="1901" t="s">
        <v>1536</v>
      </c>
      <c r="F122" s="1888" t="s">
        <v>740</v>
      </c>
      <c r="G122" s="1900">
        <f>(H119*$E$527+H120*$E$527)*$C$557+R119*$C$557+T120*$C$558/T119</f>
        <v>0</v>
      </c>
      <c r="H122" s="1886">
        <f t="shared" si="65"/>
        <v>0</v>
      </c>
      <c r="I122" s="1889"/>
      <c r="J122" s="1890" t="s">
        <v>732</v>
      </c>
      <c r="K122" s="2647">
        <v>0</v>
      </c>
      <c r="L122" s="2646">
        <f t="shared" si="63"/>
        <v>0</v>
      </c>
      <c r="M122" s="2226">
        <f t="shared" si="66"/>
        <v>1</v>
      </c>
      <c r="N122" s="2649">
        <f>+$T119</f>
        <v>1.5</v>
      </c>
      <c r="O122" s="1896"/>
      <c r="P122" s="1897"/>
      <c r="Q122" s="1897"/>
      <c r="R122" s="1902"/>
      <c r="S122" s="1895" t="s">
        <v>1537</v>
      </c>
      <c r="T122" s="2673">
        <f>+T121*T118</f>
        <v>0</v>
      </c>
      <c r="U122" s="2921"/>
    </row>
    <row r="123" spans="1:21" hidden="1" x14ac:dyDescent="0.25">
      <c r="A123" s="2923"/>
      <c r="B123" s="1884"/>
      <c r="C123" s="1885"/>
      <c r="D123" s="1885"/>
      <c r="E123" s="1887"/>
      <c r="F123" s="1888"/>
      <c r="G123" s="1886"/>
      <c r="H123" s="1886"/>
      <c r="I123" s="1889"/>
      <c r="J123" s="1890" t="s">
        <v>732</v>
      </c>
      <c r="K123" s="2647">
        <v>0</v>
      </c>
      <c r="L123" s="2646">
        <f t="shared" si="63"/>
        <v>0</v>
      </c>
      <c r="M123" s="2226">
        <f t="shared" si="66"/>
        <v>1</v>
      </c>
      <c r="N123" s="2649">
        <f>+$T119</f>
        <v>1.5</v>
      </c>
      <c r="O123" s="1903"/>
      <c r="P123" s="1902"/>
      <c r="Q123" s="1902"/>
      <c r="R123" s="1902"/>
      <c r="S123" s="1904"/>
      <c r="T123" s="1905"/>
      <c r="U123" s="2921"/>
    </row>
    <row r="124" spans="1:21" ht="60.75" hidden="1" thickBot="1" x14ac:dyDescent="0.3">
      <c r="A124" s="2925"/>
      <c r="B124" s="1906"/>
      <c r="C124" s="1907"/>
      <c r="D124" s="1907"/>
      <c r="E124" s="1908"/>
      <c r="F124" s="1909"/>
      <c r="G124" s="1910"/>
      <c r="H124" s="1910"/>
      <c r="I124" s="1911" t="s">
        <v>1538</v>
      </c>
      <c r="J124" s="1912" t="s">
        <v>740</v>
      </c>
      <c r="K124" s="2658">
        <v>0</v>
      </c>
      <c r="L124" s="2659">
        <f t="shared" si="63"/>
        <v>0</v>
      </c>
      <c r="M124" s="2660">
        <f>IF(T124="YES",$C$554,1)</f>
        <v>1</v>
      </c>
      <c r="N124" s="2661">
        <f>+$T119</f>
        <v>1.5</v>
      </c>
      <c r="O124" s="1913"/>
      <c r="P124" s="1914"/>
      <c r="Q124" s="1914"/>
      <c r="R124" s="1914"/>
      <c r="S124" s="1920" t="s">
        <v>1539</v>
      </c>
      <c r="T124" s="1921" t="s">
        <v>1540</v>
      </c>
      <c r="U124" s="2924"/>
    </row>
    <row r="125" spans="1:21" ht="27" hidden="1" customHeight="1" thickBot="1" x14ac:dyDescent="0.3">
      <c r="A125" s="1915"/>
      <c r="B125" s="1916"/>
      <c r="C125" s="1917"/>
      <c r="D125" s="1917"/>
      <c r="E125" s="1916"/>
      <c r="F125" s="1917"/>
      <c r="G125" s="1917"/>
      <c r="H125" s="1917"/>
      <c r="I125" s="1916"/>
      <c r="J125" s="1917"/>
      <c r="K125" s="2669"/>
      <c r="L125" s="2669"/>
      <c r="M125" s="2669"/>
      <c r="N125" s="2669"/>
      <c r="O125" s="1916"/>
      <c r="P125" s="1917"/>
      <c r="Q125" s="1917"/>
      <c r="R125" s="1917"/>
      <c r="S125" s="1918"/>
      <c r="T125" s="1917"/>
      <c r="U125" s="1919"/>
    </row>
    <row r="126" spans="1:21" ht="26.85" hidden="1" customHeight="1" x14ac:dyDescent="0.25">
      <c r="A126" s="1870" t="s">
        <v>1513</v>
      </c>
      <c r="B126" s="1871" t="s">
        <v>1523</v>
      </c>
      <c r="C126" s="1872" t="s">
        <v>740</v>
      </c>
      <c r="D126" s="1873"/>
      <c r="E126" s="1874" t="s">
        <v>1524</v>
      </c>
      <c r="F126" s="1875" t="s">
        <v>728</v>
      </c>
      <c r="G126" s="1873"/>
      <c r="H126" s="1873">
        <f t="shared" ref="H126" si="68">G126*M126*N126</f>
        <v>0</v>
      </c>
      <c r="I126" s="1876"/>
      <c r="J126" s="1877" t="s">
        <v>732</v>
      </c>
      <c r="K126" s="2672">
        <v>0</v>
      </c>
      <c r="L126" s="2645">
        <f t="shared" ref="L126:L132" si="69">IF(ISNUMBER(SEARCH("Timber",I126)),M126*K126*N126,K126)</f>
        <v>0</v>
      </c>
      <c r="M126" s="2225">
        <f>+$M132</f>
        <v>1</v>
      </c>
      <c r="N126" s="2648">
        <f>+$T127</f>
        <v>1.5</v>
      </c>
      <c r="O126" s="1878" t="s">
        <v>1512</v>
      </c>
      <c r="P126" s="1879" t="s">
        <v>740</v>
      </c>
      <c r="Q126" s="1880">
        <f t="shared" ref="Q126" si="70">R127*$E$532+T128*$E$533</f>
        <v>0</v>
      </c>
      <c r="R126" s="1881"/>
      <c r="S126" s="1882" t="s">
        <v>1525</v>
      </c>
      <c r="T126" s="1873">
        <v>30</v>
      </c>
      <c r="U126" s="2920" t="s">
        <v>1526</v>
      </c>
    </row>
    <row r="127" spans="1:21" ht="30" hidden="1" x14ac:dyDescent="0.25">
      <c r="A127" s="1883">
        <f>A119+1</f>
        <v>16</v>
      </c>
      <c r="B127" s="1884" t="s">
        <v>1527</v>
      </c>
      <c r="C127" s="1885" t="s">
        <v>740</v>
      </c>
      <c r="D127" s="1886"/>
      <c r="E127" s="1887" t="s">
        <v>1528</v>
      </c>
      <c r="F127" s="1888" t="s">
        <v>728</v>
      </c>
      <c r="G127" s="1886"/>
      <c r="H127" s="1886">
        <f t="shared" ref="H127:H130" si="71">G127</f>
        <v>0</v>
      </c>
      <c r="I127" s="1889"/>
      <c r="J127" s="1890" t="s">
        <v>732</v>
      </c>
      <c r="K127" s="2647">
        <v>0</v>
      </c>
      <c r="L127" s="2646">
        <f t="shared" si="69"/>
        <v>0</v>
      </c>
      <c r="M127" s="2226">
        <f t="shared" ref="M127:M131" si="72">M128</f>
        <v>1</v>
      </c>
      <c r="N127" s="2649">
        <f>+$T127</f>
        <v>1.5</v>
      </c>
      <c r="O127" s="1891" t="s">
        <v>1512</v>
      </c>
      <c r="P127" s="1892" t="s">
        <v>740</v>
      </c>
      <c r="Q127" s="1893"/>
      <c r="R127" s="1894">
        <f>H127*$E$527*0+H128*$E$527*0+SUMIF(I126:I131,$B$565,L126:L131)*$E$537+SUMIF(I126:I131,$B$566,L126:L131)*$E$540+SUMIF(I126:I131,$B$567,L126:L131)*$E$538+SUMIF(I126:I131,$B$568,L126:L131)*$E$539+SUMIF(I126:I131,$B$569,L126:L131)*$E$539+SUMIF(I126:I131,$B$570,L126:L131)*$E$541+SUMIF(I126:I131,$B$571,L126:L131)*$E$539+SUMIF(I126:I131,$B$572,L126:L131)*$E$541+SUMIF(I126:I131,$B$573,L126:L131)*$E$539+SUMIF(I126:I131,$B$574,L126:L131)*$E$543+SUMIF(I126:I131,$B$575,L126:L131)*$E$541+SUMIF(I126:I131,$B$577,L126:L131)*$E$536+SUMIF(I126:I131,$B$576,L126:L131)*$E$542+SUMIF(I126:I131,$B$563,L126:L131)*$E$539</f>
        <v>0</v>
      </c>
      <c r="S127" s="1895" t="s">
        <v>1529</v>
      </c>
      <c r="T127" s="2644">
        <f>+'Data Input sheet'!$D$112</f>
        <v>1.5</v>
      </c>
      <c r="U127" s="2921"/>
    </row>
    <row r="128" spans="1:21" ht="30" hidden="1" x14ac:dyDescent="0.25">
      <c r="A128" s="2922" t="s">
        <v>1530</v>
      </c>
      <c r="B128" s="1884" t="s">
        <v>1531</v>
      </c>
      <c r="C128" s="1885" t="s">
        <v>732</v>
      </c>
      <c r="D128" s="1886"/>
      <c r="E128" s="1887" t="s">
        <v>1532</v>
      </c>
      <c r="F128" s="1888" t="s">
        <v>728</v>
      </c>
      <c r="G128" s="1886"/>
      <c r="H128" s="1886">
        <f t="shared" si="71"/>
        <v>0</v>
      </c>
      <c r="I128" s="1889"/>
      <c r="J128" s="1890" t="s">
        <v>732</v>
      </c>
      <c r="K128" s="2647">
        <v>0</v>
      </c>
      <c r="L128" s="2646">
        <f t="shared" si="69"/>
        <v>0</v>
      </c>
      <c r="M128" s="2226">
        <f t="shared" si="72"/>
        <v>1</v>
      </c>
      <c r="N128" s="2649">
        <f>+$T127</f>
        <v>1.5</v>
      </c>
      <c r="O128" s="1896"/>
      <c r="P128" s="1897"/>
      <c r="Q128" s="1898"/>
      <c r="R128" s="1899">
        <f t="shared" ref="R128" si="73">T128</f>
        <v>0</v>
      </c>
      <c r="S128" s="1895" t="s">
        <v>1533</v>
      </c>
      <c r="T128" s="2673">
        <f>G126*64/4+K132+SUMIF(I126:I131,$B$578,K126:K131)*$E$545+SUMIF(I126:I131,$B$579,K126:K131)*$E$548+SUMIF(I126:I131,$B$580,K126:K131)*$E$546+SUMIF(I126:I131,$B$581,K126:K131)*$E$547+SUMIF(I126:I131,$B$582,K126:K131)*$E$547+SUMIF(I126:I131,$B$583,K126:K131)*$E$549+SUMIF(I126:I131,$B$584,K126:K131)*$E$547+SUMIF(I126:I131,$B$585,K126:K131)*$E$549+SUMIF(I126:I131,$B$586,K126:K131)*$E$547+SUMIF(I126:I131,$B$587,K126:K131)*$E$551+SUMIF(I126:I131,$B$588,K126:K131)*$E$549+SUMIF(I126:I131,$B$590,K126:K131)*$E$544+SUMIF(I126:I131,$B$589,K126:K131)*$E$550</f>
        <v>0</v>
      </c>
      <c r="U128" s="2921"/>
    </row>
    <row r="129" spans="1:21" hidden="1" x14ac:dyDescent="0.25">
      <c r="A129" s="2923"/>
      <c r="B129" s="1884" t="s">
        <v>1534</v>
      </c>
      <c r="C129" s="1885" t="s">
        <v>728</v>
      </c>
      <c r="D129" s="1886"/>
      <c r="E129" s="1887" t="s">
        <v>1535</v>
      </c>
      <c r="F129" s="1888" t="s">
        <v>728</v>
      </c>
      <c r="G129" s="1900">
        <f>(H127+H128)*$C$555+G126*$C$556+(R127-(H127+H128)*$E$527)*$C$555/50+(T128-G126*16)*$C$556/50</f>
        <v>0</v>
      </c>
      <c r="H129" s="1886">
        <f t="shared" si="71"/>
        <v>0</v>
      </c>
      <c r="I129" s="1889"/>
      <c r="J129" s="1890" t="s">
        <v>732</v>
      </c>
      <c r="K129" s="2647">
        <v>0</v>
      </c>
      <c r="L129" s="2646">
        <f t="shared" si="69"/>
        <v>0</v>
      </c>
      <c r="M129" s="2226">
        <f t="shared" si="72"/>
        <v>1</v>
      </c>
      <c r="N129" s="2649">
        <f>+$T127</f>
        <v>1.5</v>
      </c>
      <c r="O129" s="1896"/>
      <c r="P129" s="1897"/>
      <c r="Q129" s="1897"/>
      <c r="R129" s="1897"/>
      <c r="S129" s="1895" t="s">
        <v>3408</v>
      </c>
      <c r="T129" s="2674">
        <f>H126*64/4+L132+SUMIF(I126:I131,$B$578,L126:L131)*$E$545+SUMIF(I126:I131,$B$579,L126:L131)*$E$548+SUMIF(I126:I131,$B$580,L126:L131)*$E$546+SUMIF(I126:I131,$B$581,L126:L131)*$E$547+SUMIF(I126:I131,$B$582,L126:L131)*$E$547+SUMIF(I126:I131,$B$583,L126:L131)*$E$549+SUMIF(I126:I131,$B$584,L126:L131)*$E$547+SUMIF(I126:I131,$B$585,L126:L131)*$E$549+SUMIF(I126:I131,$B$586,L126:L131)*$E$547+SUMIF(I126:I131,$B$587,L126:L131)*$E$551+SUMIF(I126:I131,$B$588,L126:L131)*$E$549+SUMIF(I126:I131,$B$590,L126:L131)*$E$544+SUMIF(I126:I131,$B$589,L126:L131)*$E$550</f>
        <v>0</v>
      </c>
      <c r="U129" s="2921"/>
    </row>
    <row r="130" spans="1:21" ht="29.1" hidden="1" customHeight="1" x14ac:dyDescent="0.25">
      <c r="A130" s="2923"/>
      <c r="B130" s="1884"/>
      <c r="C130" s="1885"/>
      <c r="D130" s="1885"/>
      <c r="E130" s="1901" t="s">
        <v>1536</v>
      </c>
      <c r="F130" s="1888" t="s">
        <v>740</v>
      </c>
      <c r="G130" s="1900">
        <f>(H127*$E$527+H128*$E$527)*$C$557+R127*$C$557+T128*$C$558/T127</f>
        <v>0</v>
      </c>
      <c r="H130" s="1886">
        <f t="shared" si="71"/>
        <v>0</v>
      </c>
      <c r="I130" s="1889"/>
      <c r="J130" s="1890" t="s">
        <v>732</v>
      </c>
      <c r="K130" s="2647">
        <v>0</v>
      </c>
      <c r="L130" s="2646">
        <f t="shared" si="69"/>
        <v>0</v>
      </c>
      <c r="M130" s="2226">
        <f t="shared" si="72"/>
        <v>1</v>
      </c>
      <c r="N130" s="2649">
        <f>+$T127</f>
        <v>1.5</v>
      </c>
      <c r="O130" s="1896"/>
      <c r="P130" s="1897"/>
      <c r="Q130" s="1897"/>
      <c r="R130" s="1902"/>
      <c r="S130" s="1895" t="s">
        <v>1537</v>
      </c>
      <c r="T130" s="2673">
        <f>+T129*T126</f>
        <v>0</v>
      </c>
      <c r="U130" s="2921"/>
    </row>
    <row r="131" spans="1:21" hidden="1" x14ac:dyDescent="0.25">
      <c r="A131" s="2923"/>
      <c r="B131" s="1884"/>
      <c r="C131" s="1885"/>
      <c r="D131" s="1885"/>
      <c r="E131" s="1887"/>
      <c r="F131" s="1888"/>
      <c r="G131" s="1886"/>
      <c r="H131" s="1886"/>
      <c r="I131" s="1889"/>
      <c r="J131" s="1890" t="s">
        <v>732</v>
      </c>
      <c r="K131" s="2647">
        <v>0</v>
      </c>
      <c r="L131" s="2646">
        <f t="shared" si="69"/>
        <v>0</v>
      </c>
      <c r="M131" s="2226">
        <f t="shared" si="72"/>
        <v>1</v>
      </c>
      <c r="N131" s="2649">
        <f>+$T127</f>
        <v>1.5</v>
      </c>
      <c r="O131" s="1903"/>
      <c r="P131" s="1902"/>
      <c r="Q131" s="1902"/>
      <c r="R131" s="1902"/>
      <c r="S131" s="1904"/>
      <c r="T131" s="1905"/>
      <c r="U131" s="2921"/>
    </row>
    <row r="132" spans="1:21" ht="60.75" hidden="1" thickBot="1" x14ac:dyDescent="0.3">
      <c r="A132" s="2925"/>
      <c r="B132" s="1906"/>
      <c r="C132" s="1907"/>
      <c r="D132" s="1907"/>
      <c r="E132" s="1908"/>
      <c r="F132" s="1909"/>
      <c r="G132" s="1910"/>
      <c r="H132" s="1910"/>
      <c r="I132" s="1911" t="s">
        <v>1538</v>
      </c>
      <c r="J132" s="1912" t="s">
        <v>740</v>
      </c>
      <c r="K132" s="2658">
        <v>0</v>
      </c>
      <c r="L132" s="2659">
        <f t="shared" si="69"/>
        <v>0</v>
      </c>
      <c r="M132" s="2660">
        <f>IF(T132="YES",$C$554,1)</f>
        <v>1</v>
      </c>
      <c r="N132" s="2661">
        <f>+$T127</f>
        <v>1.5</v>
      </c>
      <c r="O132" s="1913"/>
      <c r="P132" s="1914"/>
      <c r="Q132" s="1914"/>
      <c r="R132" s="1914"/>
      <c r="S132" s="1920" t="s">
        <v>1539</v>
      </c>
      <c r="T132" s="1921" t="s">
        <v>1540</v>
      </c>
      <c r="U132" s="2924"/>
    </row>
    <row r="133" spans="1:21" ht="27" hidden="1" customHeight="1" thickBot="1" x14ac:dyDescent="0.3">
      <c r="A133" s="1915"/>
      <c r="B133" s="1916"/>
      <c r="C133" s="1917"/>
      <c r="D133" s="1917"/>
      <c r="E133" s="1916"/>
      <c r="F133" s="1917"/>
      <c r="G133" s="1917"/>
      <c r="H133" s="1917"/>
      <c r="I133" s="1916"/>
      <c r="J133" s="1917"/>
      <c r="K133" s="2669"/>
      <c r="L133" s="2669"/>
      <c r="M133" s="2669"/>
      <c r="N133" s="2669"/>
      <c r="O133" s="1916"/>
      <c r="P133" s="1917"/>
      <c r="Q133" s="1917"/>
      <c r="R133" s="1917"/>
      <c r="S133" s="1918"/>
      <c r="T133" s="1917"/>
      <c r="U133" s="1919"/>
    </row>
    <row r="134" spans="1:21" ht="26.85" hidden="1" customHeight="1" x14ac:dyDescent="0.25">
      <c r="A134" s="1870" t="s">
        <v>1513</v>
      </c>
      <c r="B134" s="1871" t="s">
        <v>1523</v>
      </c>
      <c r="C134" s="1872" t="s">
        <v>740</v>
      </c>
      <c r="D134" s="1873"/>
      <c r="E134" s="1874" t="s">
        <v>1524</v>
      </c>
      <c r="F134" s="1875" t="s">
        <v>728</v>
      </c>
      <c r="G134" s="1873"/>
      <c r="H134" s="1873">
        <f t="shared" ref="H134" si="74">G134*M134*N134</f>
        <v>0</v>
      </c>
      <c r="I134" s="1876"/>
      <c r="J134" s="1877" t="s">
        <v>732</v>
      </c>
      <c r="K134" s="2672">
        <v>0</v>
      </c>
      <c r="L134" s="2645">
        <f t="shared" ref="L134:L140" si="75">IF(ISNUMBER(SEARCH("Timber",I134)),M134*K134*N134,K134)</f>
        <v>0</v>
      </c>
      <c r="M134" s="2225">
        <f>+$M140</f>
        <v>1</v>
      </c>
      <c r="N134" s="2648">
        <f>+$T135</f>
        <v>1.5</v>
      </c>
      <c r="O134" s="1878" t="s">
        <v>1512</v>
      </c>
      <c r="P134" s="1879" t="s">
        <v>740</v>
      </c>
      <c r="Q134" s="1880">
        <f t="shared" ref="Q134" si="76">R135*$E$532+T136*$E$533</f>
        <v>0</v>
      </c>
      <c r="R134" s="1881"/>
      <c r="S134" s="1882" t="s">
        <v>1525</v>
      </c>
      <c r="T134" s="1873">
        <v>30</v>
      </c>
      <c r="U134" s="2920" t="s">
        <v>1526</v>
      </c>
    </row>
    <row r="135" spans="1:21" ht="30" hidden="1" x14ac:dyDescent="0.25">
      <c r="A135" s="1883">
        <f>A127+1</f>
        <v>17</v>
      </c>
      <c r="B135" s="1884" t="s">
        <v>1527</v>
      </c>
      <c r="C135" s="1885" t="s">
        <v>740</v>
      </c>
      <c r="D135" s="1886"/>
      <c r="E135" s="1887" t="s">
        <v>1528</v>
      </c>
      <c r="F135" s="1888" t="s">
        <v>728</v>
      </c>
      <c r="G135" s="1886"/>
      <c r="H135" s="1886">
        <f t="shared" ref="H135:H138" si="77">G135</f>
        <v>0</v>
      </c>
      <c r="I135" s="1889"/>
      <c r="J135" s="1890" t="s">
        <v>732</v>
      </c>
      <c r="K135" s="2647">
        <v>0</v>
      </c>
      <c r="L135" s="2646">
        <f t="shared" si="75"/>
        <v>0</v>
      </c>
      <c r="M135" s="2226">
        <f t="shared" ref="M135:M139" si="78">M136</f>
        <v>1</v>
      </c>
      <c r="N135" s="2649">
        <f>+$T135</f>
        <v>1.5</v>
      </c>
      <c r="O135" s="1891" t="s">
        <v>1512</v>
      </c>
      <c r="P135" s="1892" t="s">
        <v>740</v>
      </c>
      <c r="Q135" s="1893"/>
      <c r="R135" s="1894">
        <f>H135*$E$527*0+H136*$E$527*0+SUMIF(I134:I139,$B$565,L134:L139)*$E$537+SUMIF(I134:I139,$B$566,L134:L139)*$E$540+SUMIF(I134:I139,$B$567,L134:L139)*$E$538+SUMIF(I134:I139,$B$568,L134:L139)*$E$539+SUMIF(I134:I139,$B$569,L134:L139)*$E$539+SUMIF(I134:I139,$B$570,L134:L139)*$E$541+SUMIF(I134:I139,$B$571,L134:L139)*$E$539+SUMIF(I134:I139,$B$572,L134:L139)*$E$541+SUMIF(I134:I139,$B$573,L134:L139)*$E$539+SUMIF(I134:I139,$B$574,L134:L139)*$E$543+SUMIF(I134:I139,$B$575,L134:L139)*$E$541+SUMIF(I134:I139,$B$577,L134:L139)*$E$536+SUMIF(I134:I139,$B$576,L134:L139)*$E$542+SUMIF(I134:I139,$B$563,L134:L139)*$E$539</f>
        <v>0</v>
      </c>
      <c r="S135" s="1895" t="s">
        <v>1529</v>
      </c>
      <c r="T135" s="2644">
        <f>+'Data Input sheet'!$D$112</f>
        <v>1.5</v>
      </c>
      <c r="U135" s="2921"/>
    </row>
    <row r="136" spans="1:21" ht="30" hidden="1" x14ac:dyDescent="0.25">
      <c r="A136" s="2922" t="s">
        <v>1530</v>
      </c>
      <c r="B136" s="1884" t="s">
        <v>1531</v>
      </c>
      <c r="C136" s="1885" t="s">
        <v>732</v>
      </c>
      <c r="D136" s="1886"/>
      <c r="E136" s="1887" t="s">
        <v>1532</v>
      </c>
      <c r="F136" s="1888" t="s">
        <v>728</v>
      </c>
      <c r="G136" s="1886"/>
      <c r="H136" s="1886">
        <f t="shared" si="77"/>
        <v>0</v>
      </c>
      <c r="I136" s="1889"/>
      <c r="J136" s="1890" t="s">
        <v>732</v>
      </c>
      <c r="K136" s="2647">
        <v>0</v>
      </c>
      <c r="L136" s="2646">
        <f t="shared" si="75"/>
        <v>0</v>
      </c>
      <c r="M136" s="2226">
        <f t="shared" si="78"/>
        <v>1</v>
      </c>
      <c r="N136" s="2649">
        <f>+$T135</f>
        <v>1.5</v>
      </c>
      <c r="O136" s="1896"/>
      <c r="P136" s="1897"/>
      <c r="Q136" s="1898"/>
      <c r="R136" s="1899">
        <f t="shared" ref="R136" si="79">T136</f>
        <v>0</v>
      </c>
      <c r="S136" s="1895" t="s">
        <v>1533</v>
      </c>
      <c r="T136" s="2673">
        <f>G134*64/4+K140+SUMIF(I134:I139,$B$578,K134:K139)*$E$545+SUMIF(I134:I139,$B$579,K134:K139)*$E$548+SUMIF(I134:I139,$B$580,K134:K139)*$E$546+SUMIF(I134:I139,$B$581,K134:K139)*$E$547+SUMIF(I134:I139,$B$582,K134:K139)*$E$547+SUMIF(I134:I139,$B$583,K134:K139)*$E$549+SUMIF(I134:I139,$B$584,K134:K139)*$E$547+SUMIF(I134:I139,$B$585,K134:K139)*$E$549+SUMIF(I134:I139,$B$586,K134:K139)*$E$547+SUMIF(I134:I139,$B$587,K134:K139)*$E$551+SUMIF(I134:I139,$B$588,K134:K139)*$E$549+SUMIF(I134:I139,$B$590,K134:K139)*$E$544+SUMIF(I134:I139,$B$589,K134:K139)*$E$550</f>
        <v>0</v>
      </c>
      <c r="U136" s="2921"/>
    </row>
    <row r="137" spans="1:21" hidden="1" x14ac:dyDescent="0.25">
      <c r="A137" s="2923"/>
      <c r="B137" s="1884" t="s">
        <v>1534</v>
      </c>
      <c r="C137" s="1885" t="s">
        <v>728</v>
      </c>
      <c r="D137" s="1886"/>
      <c r="E137" s="1887" t="s">
        <v>1535</v>
      </c>
      <c r="F137" s="1888" t="s">
        <v>728</v>
      </c>
      <c r="G137" s="1900">
        <f>(H135+H136)*$C$555+G134*$C$556+(R135-(H135+H136)*$E$527)*$C$555/50+(T136-G134*16)*$C$556/50</f>
        <v>0</v>
      </c>
      <c r="H137" s="1886">
        <f t="shared" si="77"/>
        <v>0</v>
      </c>
      <c r="I137" s="1889"/>
      <c r="J137" s="1890" t="s">
        <v>732</v>
      </c>
      <c r="K137" s="2647">
        <v>0</v>
      </c>
      <c r="L137" s="2646">
        <f t="shared" si="75"/>
        <v>0</v>
      </c>
      <c r="M137" s="2226">
        <f t="shared" si="78"/>
        <v>1</v>
      </c>
      <c r="N137" s="2649">
        <f>+$T135</f>
        <v>1.5</v>
      </c>
      <c r="O137" s="1896"/>
      <c r="P137" s="1897"/>
      <c r="Q137" s="1897"/>
      <c r="R137" s="1897"/>
      <c r="S137" s="1895" t="s">
        <v>3408</v>
      </c>
      <c r="T137" s="2674">
        <f>H134*64/4+L140+SUMIF(I134:I139,$B$578,L134:L139)*$E$545+SUMIF(I134:I139,$B$579,L134:L139)*$E$548+SUMIF(I134:I139,$B$580,L134:L139)*$E$546+SUMIF(I134:I139,$B$581,L134:L139)*$E$547+SUMIF(I134:I139,$B$582,L134:L139)*$E$547+SUMIF(I134:I139,$B$583,L134:L139)*$E$549+SUMIF(I134:I139,$B$584,L134:L139)*$E$547+SUMIF(I134:I139,$B$585,L134:L139)*$E$549+SUMIF(I134:I139,$B$586,L134:L139)*$E$547+SUMIF(I134:I139,$B$587,L134:L139)*$E$551+SUMIF(I134:I139,$B$588,L134:L139)*$E$549+SUMIF(I134:I139,$B$590,L134:L139)*$E$544+SUMIF(I134:I139,$B$589,L134:L139)*$E$550</f>
        <v>0</v>
      </c>
      <c r="U137" s="2921"/>
    </row>
    <row r="138" spans="1:21" ht="29.1" hidden="1" customHeight="1" x14ac:dyDescent="0.25">
      <c r="A138" s="2923"/>
      <c r="B138" s="1884"/>
      <c r="C138" s="1885"/>
      <c r="D138" s="1885"/>
      <c r="E138" s="1901" t="s">
        <v>1536</v>
      </c>
      <c r="F138" s="1888" t="s">
        <v>740</v>
      </c>
      <c r="G138" s="1900">
        <f>(H135*$E$527+H136*$E$527)*$C$557+R135*$C$557+T136*$C$558/T135</f>
        <v>0</v>
      </c>
      <c r="H138" s="1886">
        <f t="shared" si="77"/>
        <v>0</v>
      </c>
      <c r="I138" s="1889"/>
      <c r="J138" s="1890" t="s">
        <v>732</v>
      </c>
      <c r="K138" s="2647">
        <v>0</v>
      </c>
      <c r="L138" s="2646">
        <f t="shared" si="75"/>
        <v>0</v>
      </c>
      <c r="M138" s="2226">
        <f t="shared" si="78"/>
        <v>1</v>
      </c>
      <c r="N138" s="2649">
        <f>+$T135</f>
        <v>1.5</v>
      </c>
      <c r="O138" s="1896"/>
      <c r="P138" s="1897"/>
      <c r="Q138" s="1897"/>
      <c r="R138" s="1902"/>
      <c r="S138" s="1895" t="s">
        <v>1537</v>
      </c>
      <c r="T138" s="2673">
        <f>+T137*T134</f>
        <v>0</v>
      </c>
      <c r="U138" s="2921"/>
    </row>
    <row r="139" spans="1:21" hidden="1" x14ac:dyDescent="0.25">
      <c r="A139" s="2923"/>
      <c r="B139" s="1884"/>
      <c r="C139" s="1885"/>
      <c r="D139" s="1885"/>
      <c r="E139" s="1887"/>
      <c r="F139" s="1888"/>
      <c r="G139" s="1886"/>
      <c r="H139" s="1886"/>
      <c r="I139" s="1889"/>
      <c r="J139" s="1890" t="s">
        <v>732</v>
      </c>
      <c r="K139" s="2647">
        <v>0</v>
      </c>
      <c r="L139" s="2646">
        <f t="shared" si="75"/>
        <v>0</v>
      </c>
      <c r="M139" s="2226">
        <f t="shared" si="78"/>
        <v>1</v>
      </c>
      <c r="N139" s="2649">
        <f>+$T135</f>
        <v>1.5</v>
      </c>
      <c r="O139" s="1903"/>
      <c r="P139" s="1902"/>
      <c r="Q139" s="1902"/>
      <c r="R139" s="1902"/>
      <c r="S139" s="1904"/>
      <c r="T139" s="1905"/>
      <c r="U139" s="2921"/>
    </row>
    <row r="140" spans="1:21" ht="60.75" hidden="1" thickBot="1" x14ac:dyDescent="0.3">
      <c r="A140" s="2925"/>
      <c r="B140" s="1906"/>
      <c r="C140" s="1907"/>
      <c r="D140" s="1907"/>
      <c r="E140" s="1908"/>
      <c r="F140" s="1909"/>
      <c r="G140" s="1910"/>
      <c r="H140" s="1910"/>
      <c r="I140" s="1911" t="s">
        <v>1538</v>
      </c>
      <c r="J140" s="1912" t="s">
        <v>740</v>
      </c>
      <c r="K140" s="2658">
        <v>0</v>
      </c>
      <c r="L140" s="2659">
        <f t="shared" si="75"/>
        <v>0</v>
      </c>
      <c r="M140" s="2660">
        <f>IF(T140="YES",$C$554,1)</f>
        <v>1</v>
      </c>
      <c r="N140" s="2661">
        <f>+$T135</f>
        <v>1.5</v>
      </c>
      <c r="O140" s="1913"/>
      <c r="P140" s="1914"/>
      <c r="Q140" s="1914"/>
      <c r="R140" s="1914"/>
      <c r="S140" s="1920" t="s">
        <v>1539</v>
      </c>
      <c r="T140" s="1921" t="s">
        <v>1540</v>
      </c>
      <c r="U140" s="2924"/>
    </row>
    <row r="141" spans="1:21" ht="27" hidden="1" customHeight="1" thickBot="1" x14ac:dyDescent="0.3">
      <c r="A141" s="1915"/>
      <c r="B141" s="1916"/>
      <c r="C141" s="1917"/>
      <c r="D141" s="1917"/>
      <c r="E141" s="1916"/>
      <c r="F141" s="1917"/>
      <c r="G141" s="1917"/>
      <c r="H141" s="1917"/>
      <c r="I141" s="1916"/>
      <c r="J141" s="1917"/>
      <c r="K141" s="2669"/>
      <c r="L141" s="2669"/>
      <c r="M141" s="2669"/>
      <c r="N141" s="2669"/>
      <c r="O141" s="1916"/>
      <c r="P141" s="1917"/>
      <c r="Q141" s="1917"/>
      <c r="R141" s="1917"/>
      <c r="S141" s="1918"/>
      <c r="T141" s="1917"/>
      <c r="U141" s="1919"/>
    </row>
    <row r="142" spans="1:21" ht="26.85" hidden="1" customHeight="1" x14ac:dyDescent="0.25">
      <c r="A142" s="1870" t="s">
        <v>1513</v>
      </c>
      <c r="B142" s="1871" t="s">
        <v>1523</v>
      </c>
      <c r="C142" s="1872" t="s">
        <v>740</v>
      </c>
      <c r="D142" s="1873"/>
      <c r="E142" s="1874" t="s">
        <v>1524</v>
      </c>
      <c r="F142" s="1875" t="s">
        <v>728</v>
      </c>
      <c r="G142" s="1873"/>
      <c r="H142" s="1873">
        <f t="shared" ref="H142" si="80">G142*M142*N142</f>
        <v>0</v>
      </c>
      <c r="I142" s="1876"/>
      <c r="J142" s="1877" t="s">
        <v>732</v>
      </c>
      <c r="K142" s="2672">
        <v>0</v>
      </c>
      <c r="L142" s="2645">
        <f t="shared" ref="L142:L148" si="81">IF(ISNUMBER(SEARCH("Timber",I142)),M142*K142*N142,K142)</f>
        <v>0</v>
      </c>
      <c r="M142" s="2225">
        <f>+$M148</f>
        <v>1</v>
      </c>
      <c r="N142" s="2648">
        <f>+$T143</f>
        <v>1.5</v>
      </c>
      <c r="O142" s="1878" t="s">
        <v>1512</v>
      </c>
      <c r="P142" s="1879" t="s">
        <v>740</v>
      </c>
      <c r="Q142" s="1880">
        <f t="shared" ref="Q142" si="82">R143*$E$532+T144*$E$533</f>
        <v>0</v>
      </c>
      <c r="R142" s="1881"/>
      <c r="S142" s="1882" t="s">
        <v>1525</v>
      </c>
      <c r="T142" s="1873">
        <v>30</v>
      </c>
      <c r="U142" s="2920" t="s">
        <v>1526</v>
      </c>
    </row>
    <row r="143" spans="1:21" ht="30" hidden="1" x14ac:dyDescent="0.25">
      <c r="A143" s="1883">
        <f>A135+1</f>
        <v>18</v>
      </c>
      <c r="B143" s="1884" t="s">
        <v>1527</v>
      </c>
      <c r="C143" s="1885" t="s">
        <v>740</v>
      </c>
      <c r="D143" s="1886"/>
      <c r="E143" s="1887" t="s">
        <v>1528</v>
      </c>
      <c r="F143" s="1888" t="s">
        <v>728</v>
      </c>
      <c r="G143" s="1886"/>
      <c r="H143" s="1886">
        <f t="shared" ref="H143:H146" si="83">G143</f>
        <v>0</v>
      </c>
      <c r="I143" s="1889"/>
      <c r="J143" s="1890" t="s">
        <v>732</v>
      </c>
      <c r="K143" s="2647">
        <v>0</v>
      </c>
      <c r="L143" s="2646">
        <f t="shared" si="81"/>
        <v>0</v>
      </c>
      <c r="M143" s="2226">
        <f t="shared" ref="M143:M147" si="84">M144</f>
        <v>1</v>
      </c>
      <c r="N143" s="2649">
        <f>+$T143</f>
        <v>1.5</v>
      </c>
      <c r="O143" s="1891" t="s">
        <v>1512</v>
      </c>
      <c r="P143" s="1892" t="s">
        <v>740</v>
      </c>
      <c r="Q143" s="1893"/>
      <c r="R143" s="1894">
        <f>H143*$E$527*0+H144*$E$527*0+SUMIF(I142:I147,$B$565,L142:L147)*$E$537+SUMIF(I142:I147,$B$566,L142:L147)*$E$540+SUMIF(I142:I147,$B$567,L142:L147)*$E$538+SUMIF(I142:I147,$B$568,L142:L147)*$E$539+SUMIF(I142:I147,$B$569,L142:L147)*$E$539+SUMIF(I142:I147,$B$570,L142:L147)*$E$541+SUMIF(I142:I147,$B$571,L142:L147)*$E$539+SUMIF(I142:I147,$B$572,L142:L147)*$E$541+SUMIF(I142:I147,$B$573,L142:L147)*$E$539+SUMIF(I142:I147,$B$574,L142:L147)*$E$543+SUMIF(I142:I147,$B$575,L142:L147)*$E$541+SUMIF(I142:I147,$B$577,L142:L147)*$E$536+SUMIF(I142:I147,$B$576,L142:L147)*$E$542+SUMIF(I142:I147,$B$563,L142:L147)*$E$539</f>
        <v>0</v>
      </c>
      <c r="S143" s="1895" t="s">
        <v>1529</v>
      </c>
      <c r="T143" s="2644">
        <f>+'Data Input sheet'!$D$112</f>
        <v>1.5</v>
      </c>
      <c r="U143" s="2921"/>
    </row>
    <row r="144" spans="1:21" ht="30" hidden="1" x14ac:dyDescent="0.25">
      <c r="A144" s="2922" t="s">
        <v>1530</v>
      </c>
      <c r="B144" s="1884" t="s">
        <v>1531</v>
      </c>
      <c r="C144" s="1885" t="s">
        <v>732</v>
      </c>
      <c r="D144" s="1886"/>
      <c r="E144" s="1887" t="s">
        <v>1532</v>
      </c>
      <c r="F144" s="1888" t="s">
        <v>728</v>
      </c>
      <c r="G144" s="1886"/>
      <c r="H144" s="1886">
        <f t="shared" si="83"/>
        <v>0</v>
      </c>
      <c r="I144" s="1889"/>
      <c r="J144" s="1890" t="s">
        <v>732</v>
      </c>
      <c r="K144" s="2647">
        <v>0</v>
      </c>
      <c r="L144" s="2646">
        <f t="shared" si="81"/>
        <v>0</v>
      </c>
      <c r="M144" s="2226">
        <f t="shared" si="84"/>
        <v>1</v>
      </c>
      <c r="N144" s="2649">
        <f>+$T143</f>
        <v>1.5</v>
      </c>
      <c r="O144" s="1896"/>
      <c r="P144" s="1897"/>
      <c r="Q144" s="1898"/>
      <c r="R144" s="1899">
        <f t="shared" ref="R144" si="85">T144</f>
        <v>0</v>
      </c>
      <c r="S144" s="1895" t="s">
        <v>1533</v>
      </c>
      <c r="T144" s="2673">
        <f>G142*64/4+K148+SUMIF(I142:I147,$B$578,K142:K147)*$E$545+SUMIF(I142:I147,$B$579,K142:K147)*$E$548+SUMIF(I142:I147,$B$580,K142:K147)*$E$546+SUMIF(I142:I147,$B$581,K142:K147)*$E$547+SUMIF(I142:I147,$B$582,K142:K147)*$E$547+SUMIF(I142:I147,$B$583,K142:K147)*$E$549+SUMIF(I142:I147,$B$584,K142:K147)*$E$547+SUMIF(I142:I147,$B$585,K142:K147)*$E$549+SUMIF(I142:I147,$B$586,K142:K147)*$E$547+SUMIF(I142:I147,$B$587,K142:K147)*$E$551+SUMIF(I142:I147,$B$588,K142:K147)*$E$549+SUMIF(I142:I147,$B$590,K142:K147)*$E$544+SUMIF(I142:I147,$B$589,K142:K147)*$E$550</f>
        <v>0</v>
      </c>
      <c r="U144" s="2921"/>
    </row>
    <row r="145" spans="1:21" hidden="1" x14ac:dyDescent="0.25">
      <c r="A145" s="2923"/>
      <c r="B145" s="1884" t="s">
        <v>1534</v>
      </c>
      <c r="C145" s="1885" t="s">
        <v>728</v>
      </c>
      <c r="D145" s="1886"/>
      <c r="E145" s="1887" t="s">
        <v>1535</v>
      </c>
      <c r="F145" s="1888" t="s">
        <v>728</v>
      </c>
      <c r="G145" s="1900">
        <f>(H143+H144)*$C$555+G142*$C$556+(R143-(H143+H144)*$E$527)*$C$555/50+(T144-G142*16)*$C$556/50</f>
        <v>0</v>
      </c>
      <c r="H145" s="1886">
        <f t="shared" si="83"/>
        <v>0</v>
      </c>
      <c r="I145" s="1889"/>
      <c r="J145" s="1890" t="s">
        <v>732</v>
      </c>
      <c r="K145" s="2647">
        <v>0</v>
      </c>
      <c r="L145" s="2646">
        <f t="shared" si="81"/>
        <v>0</v>
      </c>
      <c r="M145" s="2226">
        <f t="shared" si="84"/>
        <v>1</v>
      </c>
      <c r="N145" s="2649">
        <f>+$T143</f>
        <v>1.5</v>
      </c>
      <c r="O145" s="1896"/>
      <c r="P145" s="1897"/>
      <c r="Q145" s="1897"/>
      <c r="R145" s="1897"/>
      <c r="S145" s="1895" t="s">
        <v>3408</v>
      </c>
      <c r="T145" s="2674">
        <f>H142*64/4+L148+SUMIF(I142:I147,$B$578,L142:L147)*$E$545+SUMIF(I142:I147,$B$579,L142:L147)*$E$548+SUMIF(I142:I147,$B$580,L142:L147)*$E$546+SUMIF(I142:I147,$B$581,L142:L147)*$E$547+SUMIF(I142:I147,$B$582,L142:L147)*$E$547+SUMIF(I142:I147,$B$583,L142:L147)*$E$549+SUMIF(I142:I147,$B$584,L142:L147)*$E$547+SUMIF(I142:I147,$B$585,L142:L147)*$E$549+SUMIF(I142:I147,$B$586,L142:L147)*$E$547+SUMIF(I142:I147,$B$587,L142:L147)*$E$551+SUMIF(I142:I147,$B$588,L142:L147)*$E$549+SUMIF(I142:I147,$B$590,L142:L147)*$E$544+SUMIF(I142:I147,$B$589,L142:L147)*$E$550</f>
        <v>0</v>
      </c>
      <c r="U145" s="2921"/>
    </row>
    <row r="146" spans="1:21" ht="29.1" hidden="1" customHeight="1" x14ac:dyDescent="0.25">
      <c r="A146" s="2923"/>
      <c r="B146" s="1884"/>
      <c r="C146" s="1885"/>
      <c r="D146" s="1885"/>
      <c r="E146" s="1901" t="s">
        <v>1536</v>
      </c>
      <c r="F146" s="1888" t="s">
        <v>740</v>
      </c>
      <c r="G146" s="1900">
        <f>(H143*$E$527+H144*$E$527)*$C$557+R143*$C$557+T144*$C$558/T143</f>
        <v>0</v>
      </c>
      <c r="H146" s="1886">
        <f t="shared" si="83"/>
        <v>0</v>
      </c>
      <c r="I146" s="1889"/>
      <c r="J146" s="1890" t="s">
        <v>732</v>
      </c>
      <c r="K146" s="2647">
        <v>0</v>
      </c>
      <c r="L146" s="2646">
        <f t="shared" si="81"/>
        <v>0</v>
      </c>
      <c r="M146" s="2226">
        <f t="shared" si="84"/>
        <v>1</v>
      </c>
      <c r="N146" s="2649">
        <f>+$T143</f>
        <v>1.5</v>
      </c>
      <c r="O146" s="1896"/>
      <c r="P146" s="1897"/>
      <c r="Q146" s="1897"/>
      <c r="R146" s="1902"/>
      <c r="S146" s="1895" t="s">
        <v>1537</v>
      </c>
      <c r="T146" s="2673">
        <f>+T145*T142</f>
        <v>0</v>
      </c>
      <c r="U146" s="2921"/>
    </row>
    <row r="147" spans="1:21" hidden="1" x14ac:dyDescent="0.25">
      <c r="A147" s="2923"/>
      <c r="B147" s="1884"/>
      <c r="C147" s="1885"/>
      <c r="D147" s="1885"/>
      <c r="E147" s="1887"/>
      <c r="F147" s="1888"/>
      <c r="G147" s="1886"/>
      <c r="H147" s="1886"/>
      <c r="I147" s="1889"/>
      <c r="J147" s="1890" t="s">
        <v>732</v>
      </c>
      <c r="K147" s="2647">
        <v>0</v>
      </c>
      <c r="L147" s="2646">
        <f t="shared" si="81"/>
        <v>0</v>
      </c>
      <c r="M147" s="2226">
        <f t="shared" si="84"/>
        <v>1</v>
      </c>
      <c r="N147" s="2649">
        <f>+$T143</f>
        <v>1.5</v>
      </c>
      <c r="O147" s="1903"/>
      <c r="P147" s="1902"/>
      <c r="Q147" s="1902"/>
      <c r="R147" s="1902"/>
      <c r="S147" s="1904"/>
      <c r="T147" s="1905"/>
      <c r="U147" s="2921"/>
    </row>
    <row r="148" spans="1:21" ht="60.75" hidden="1" thickBot="1" x14ac:dyDescent="0.3">
      <c r="A148" s="2925"/>
      <c r="B148" s="1906"/>
      <c r="C148" s="1907"/>
      <c r="D148" s="1907"/>
      <c r="E148" s="1908"/>
      <c r="F148" s="1909"/>
      <c r="G148" s="1910"/>
      <c r="H148" s="1910"/>
      <c r="I148" s="1911" t="s">
        <v>1538</v>
      </c>
      <c r="J148" s="1912" t="s">
        <v>740</v>
      </c>
      <c r="K148" s="2658">
        <v>0</v>
      </c>
      <c r="L148" s="2659">
        <f t="shared" si="81"/>
        <v>0</v>
      </c>
      <c r="M148" s="2660">
        <f>IF(T148="YES",$C$554,1)</f>
        <v>1</v>
      </c>
      <c r="N148" s="2661">
        <f>+$T143</f>
        <v>1.5</v>
      </c>
      <c r="O148" s="1913"/>
      <c r="P148" s="1914"/>
      <c r="Q148" s="1914"/>
      <c r="R148" s="1914"/>
      <c r="S148" s="1920" t="s">
        <v>1539</v>
      </c>
      <c r="T148" s="1921" t="s">
        <v>1540</v>
      </c>
      <c r="U148" s="2924"/>
    </row>
    <row r="149" spans="1:21" ht="27" hidden="1" customHeight="1" thickBot="1" x14ac:dyDescent="0.3">
      <c r="A149" s="1915"/>
      <c r="B149" s="1916"/>
      <c r="C149" s="1917"/>
      <c r="D149" s="1917"/>
      <c r="E149" s="1916"/>
      <c r="F149" s="1917"/>
      <c r="G149" s="1917"/>
      <c r="H149" s="1917"/>
      <c r="I149" s="1916"/>
      <c r="J149" s="1917"/>
      <c r="K149" s="2669"/>
      <c r="L149" s="2669"/>
      <c r="M149" s="2669"/>
      <c r="N149" s="2669"/>
      <c r="O149" s="1916"/>
      <c r="P149" s="1917"/>
      <c r="Q149" s="1917"/>
      <c r="R149" s="1917"/>
      <c r="S149" s="1918"/>
      <c r="T149" s="1917"/>
      <c r="U149" s="1919"/>
    </row>
    <row r="150" spans="1:21" ht="26.85" hidden="1" customHeight="1" x14ac:dyDescent="0.25">
      <c r="A150" s="1870" t="s">
        <v>1513</v>
      </c>
      <c r="B150" s="1871" t="s">
        <v>1523</v>
      </c>
      <c r="C150" s="1872" t="s">
        <v>740</v>
      </c>
      <c r="D150" s="1873"/>
      <c r="E150" s="1874" t="s">
        <v>1524</v>
      </c>
      <c r="F150" s="1875" t="s">
        <v>728</v>
      </c>
      <c r="G150" s="1873"/>
      <c r="H150" s="1873">
        <f t="shared" ref="H150" si="86">G150*M150*N150</f>
        <v>0</v>
      </c>
      <c r="I150" s="1876"/>
      <c r="J150" s="1877" t="s">
        <v>732</v>
      </c>
      <c r="K150" s="2672">
        <v>0</v>
      </c>
      <c r="L150" s="2645">
        <f t="shared" ref="L150:L156" si="87">IF(ISNUMBER(SEARCH("Timber",I150)),M150*K150*N150,K150)</f>
        <v>0</v>
      </c>
      <c r="M150" s="2225">
        <f>+$M156</f>
        <v>1</v>
      </c>
      <c r="N150" s="2648">
        <f>+$T151</f>
        <v>1.5</v>
      </c>
      <c r="O150" s="1878" t="s">
        <v>1512</v>
      </c>
      <c r="P150" s="1879" t="s">
        <v>740</v>
      </c>
      <c r="Q150" s="1880">
        <f t="shared" ref="Q150" si="88">R151*$E$532+T152*$E$533</f>
        <v>0</v>
      </c>
      <c r="R150" s="1881"/>
      <c r="S150" s="1882" t="s">
        <v>1525</v>
      </c>
      <c r="T150" s="1873">
        <v>30</v>
      </c>
      <c r="U150" s="2920" t="s">
        <v>1526</v>
      </c>
    </row>
    <row r="151" spans="1:21" ht="30" hidden="1" x14ac:dyDescent="0.25">
      <c r="A151" s="1883">
        <f>A143+1</f>
        <v>19</v>
      </c>
      <c r="B151" s="1884" t="s">
        <v>1527</v>
      </c>
      <c r="C151" s="1885" t="s">
        <v>740</v>
      </c>
      <c r="D151" s="1886"/>
      <c r="E151" s="1887" t="s">
        <v>1528</v>
      </c>
      <c r="F151" s="1888" t="s">
        <v>728</v>
      </c>
      <c r="G151" s="1886"/>
      <c r="H151" s="1886">
        <f t="shared" ref="H151:H154" si="89">G151</f>
        <v>0</v>
      </c>
      <c r="I151" s="1889"/>
      <c r="J151" s="1890" t="s">
        <v>732</v>
      </c>
      <c r="K151" s="2647">
        <v>0</v>
      </c>
      <c r="L151" s="2646">
        <f t="shared" si="87"/>
        <v>0</v>
      </c>
      <c r="M151" s="2226">
        <f t="shared" ref="M151:M155" si="90">M152</f>
        <v>1</v>
      </c>
      <c r="N151" s="2649">
        <f>+$T151</f>
        <v>1.5</v>
      </c>
      <c r="O151" s="1891" t="s">
        <v>1512</v>
      </c>
      <c r="P151" s="1892" t="s">
        <v>740</v>
      </c>
      <c r="Q151" s="1893"/>
      <c r="R151" s="1894">
        <f>H151*$E$527*0+H152*$E$527*0+SUMIF(I150:I155,$B$565,L150:L155)*$E$537+SUMIF(I150:I155,$B$566,L150:L155)*$E$540+SUMIF(I150:I155,$B$567,L150:L155)*$E$538+SUMIF(I150:I155,$B$568,L150:L155)*$E$539+SUMIF(I150:I155,$B$569,L150:L155)*$E$539+SUMIF(I150:I155,$B$570,L150:L155)*$E$541+SUMIF(I150:I155,$B$571,L150:L155)*$E$539+SUMIF(I150:I155,$B$572,L150:L155)*$E$541+SUMIF(I150:I155,$B$573,L150:L155)*$E$539+SUMIF(I150:I155,$B$574,L150:L155)*$E$543+SUMIF(I150:I155,$B$575,L150:L155)*$E$541+SUMIF(I150:I155,$B$577,L150:L155)*$E$536+SUMIF(I150:I155,$B$576,L150:L155)*$E$542+SUMIF(I150:I155,$B$563,L150:L155)*$E$539</f>
        <v>0</v>
      </c>
      <c r="S151" s="1895" t="s">
        <v>1529</v>
      </c>
      <c r="T151" s="2644">
        <f>+'Data Input sheet'!$D$112</f>
        <v>1.5</v>
      </c>
      <c r="U151" s="2921"/>
    </row>
    <row r="152" spans="1:21" ht="30" hidden="1" x14ac:dyDescent="0.25">
      <c r="A152" s="2922" t="s">
        <v>1530</v>
      </c>
      <c r="B152" s="1884" t="s">
        <v>1531</v>
      </c>
      <c r="C152" s="1885" t="s">
        <v>732</v>
      </c>
      <c r="D152" s="1886"/>
      <c r="E152" s="1887" t="s">
        <v>1532</v>
      </c>
      <c r="F152" s="1888" t="s">
        <v>728</v>
      </c>
      <c r="G152" s="1886"/>
      <c r="H152" s="1886">
        <f t="shared" si="89"/>
        <v>0</v>
      </c>
      <c r="I152" s="1889"/>
      <c r="J152" s="1890" t="s">
        <v>732</v>
      </c>
      <c r="K152" s="2647">
        <v>0</v>
      </c>
      <c r="L152" s="2646">
        <f t="shared" si="87"/>
        <v>0</v>
      </c>
      <c r="M152" s="2226">
        <f t="shared" si="90"/>
        <v>1</v>
      </c>
      <c r="N152" s="2649">
        <f>+$T151</f>
        <v>1.5</v>
      </c>
      <c r="O152" s="1896"/>
      <c r="P152" s="1897"/>
      <c r="Q152" s="1898"/>
      <c r="R152" s="1899">
        <f t="shared" ref="R152" si="91">T152</f>
        <v>0</v>
      </c>
      <c r="S152" s="1895" t="s">
        <v>1533</v>
      </c>
      <c r="T152" s="2673">
        <f>G150*64/4+K156+SUMIF(I150:I155,$B$578,K150:K155)*$E$545+SUMIF(I150:I155,$B$579,K150:K155)*$E$548+SUMIF(I150:I155,$B$580,K150:K155)*$E$546+SUMIF(I150:I155,$B$581,K150:K155)*$E$547+SUMIF(I150:I155,$B$582,K150:K155)*$E$547+SUMIF(I150:I155,$B$583,K150:K155)*$E$549+SUMIF(I150:I155,$B$584,K150:K155)*$E$547+SUMIF(I150:I155,$B$585,K150:K155)*$E$549+SUMIF(I150:I155,$B$586,K150:K155)*$E$547+SUMIF(I150:I155,$B$587,K150:K155)*$E$551+SUMIF(I150:I155,$B$588,K150:K155)*$E$549+SUMIF(I150:I155,$B$590,K150:K155)*$E$544+SUMIF(I150:I155,$B$589,K150:K155)*$E$550</f>
        <v>0</v>
      </c>
      <c r="U152" s="2921"/>
    </row>
    <row r="153" spans="1:21" hidden="1" x14ac:dyDescent="0.25">
      <c r="A153" s="2923"/>
      <c r="B153" s="1884" t="s">
        <v>1534</v>
      </c>
      <c r="C153" s="1885" t="s">
        <v>728</v>
      </c>
      <c r="D153" s="1886"/>
      <c r="E153" s="1887" t="s">
        <v>1535</v>
      </c>
      <c r="F153" s="1888" t="s">
        <v>728</v>
      </c>
      <c r="G153" s="1900">
        <f>(H151+H152)*$C$555+G150*$C$556+(R151-(H151+H152)*$E$527)*$C$555/50+(T152-G150*16)*$C$556/50</f>
        <v>0</v>
      </c>
      <c r="H153" s="1886">
        <f t="shared" si="89"/>
        <v>0</v>
      </c>
      <c r="I153" s="1889"/>
      <c r="J153" s="1890" t="s">
        <v>732</v>
      </c>
      <c r="K153" s="2647">
        <v>0</v>
      </c>
      <c r="L153" s="2646">
        <f t="shared" si="87"/>
        <v>0</v>
      </c>
      <c r="M153" s="2226">
        <f t="shared" si="90"/>
        <v>1</v>
      </c>
      <c r="N153" s="2649">
        <f>+$T151</f>
        <v>1.5</v>
      </c>
      <c r="O153" s="1896"/>
      <c r="P153" s="1897"/>
      <c r="Q153" s="1897"/>
      <c r="R153" s="1897"/>
      <c r="S153" s="1895" t="s">
        <v>3408</v>
      </c>
      <c r="T153" s="2674">
        <f>H150*64/4+L156+SUMIF(I150:I155,$B$578,L150:L155)*$E$545+SUMIF(I150:I155,$B$579,L150:L155)*$E$548+SUMIF(I150:I155,$B$580,L150:L155)*$E$546+SUMIF(I150:I155,$B$581,L150:L155)*$E$547+SUMIF(I150:I155,$B$582,L150:L155)*$E$547+SUMIF(I150:I155,$B$583,L150:L155)*$E$549+SUMIF(I150:I155,$B$584,L150:L155)*$E$547+SUMIF(I150:I155,$B$585,L150:L155)*$E$549+SUMIF(I150:I155,$B$586,L150:L155)*$E$547+SUMIF(I150:I155,$B$587,L150:L155)*$E$551+SUMIF(I150:I155,$B$588,L150:L155)*$E$549+SUMIF(I150:I155,$B$590,L150:L155)*$E$544+SUMIF(I150:I155,$B$589,L150:L155)*$E$550</f>
        <v>0</v>
      </c>
      <c r="U153" s="2921"/>
    </row>
    <row r="154" spans="1:21" ht="29.1" hidden="1" customHeight="1" x14ac:dyDescent="0.25">
      <c r="A154" s="2923"/>
      <c r="B154" s="1884"/>
      <c r="C154" s="1885"/>
      <c r="D154" s="1885"/>
      <c r="E154" s="1901" t="s">
        <v>1536</v>
      </c>
      <c r="F154" s="1888" t="s">
        <v>740</v>
      </c>
      <c r="G154" s="1900">
        <f>(H151*$E$527+H152*$E$527)*$C$557+R151*$C$557+T152*$C$558/T151</f>
        <v>0</v>
      </c>
      <c r="H154" s="1886">
        <f t="shared" si="89"/>
        <v>0</v>
      </c>
      <c r="I154" s="1889"/>
      <c r="J154" s="1890" t="s">
        <v>732</v>
      </c>
      <c r="K154" s="2647">
        <v>0</v>
      </c>
      <c r="L154" s="2646">
        <f t="shared" si="87"/>
        <v>0</v>
      </c>
      <c r="M154" s="2226">
        <f t="shared" si="90"/>
        <v>1</v>
      </c>
      <c r="N154" s="2649">
        <f>+$T151</f>
        <v>1.5</v>
      </c>
      <c r="O154" s="1896"/>
      <c r="P154" s="1897"/>
      <c r="Q154" s="1897"/>
      <c r="R154" s="1902"/>
      <c r="S154" s="1895" t="s">
        <v>1537</v>
      </c>
      <c r="T154" s="2673">
        <f>+T153*T150</f>
        <v>0</v>
      </c>
      <c r="U154" s="2921"/>
    </row>
    <row r="155" spans="1:21" hidden="1" x14ac:dyDescent="0.25">
      <c r="A155" s="2923"/>
      <c r="B155" s="1884"/>
      <c r="C155" s="1885"/>
      <c r="D155" s="1885"/>
      <c r="E155" s="1887"/>
      <c r="F155" s="1888"/>
      <c r="G155" s="1886"/>
      <c r="H155" s="1886"/>
      <c r="I155" s="1889"/>
      <c r="J155" s="1890" t="s">
        <v>732</v>
      </c>
      <c r="K155" s="2647">
        <v>0</v>
      </c>
      <c r="L155" s="2646">
        <f t="shared" si="87"/>
        <v>0</v>
      </c>
      <c r="M155" s="2226">
        <f t="shared" si="90"/>
        <v>1</v>
      </c>
      <c r="N155" s="2649">
        <f>+$T151</f>
        <v>1.5</v>
      </c>
      <c r="O155" s="1903"/>
      <c r="P155" s="1902"/>
      <c r="Q155" s="1902"/>
      <c r="R155" s="1902"/>
      <c r="S155" s="1904"/>
      <c r="T155" s="1905"/>
      <c r="U155" s="2921"/>
    </row>
    <row r="156" spans="1:21" ht="60.75" hidden="1" thickBot="1" x14ac:dyDescent="0.3">
      <c r="A156" s="2925"/>
      <c r="B156" s="1906"/>
      <c r="C156" s="1907"/>
      <c r="D156" s="1907"/>
      <c r="E156" s="1908"/>
      <c r="F156" s="1909"/>
      <c r="G156" s="1910"/>
      <c r="H156" s="1910"/>
      <c r="I156" s="1911" t="s">
        <v>1538</v>
      </c>
      <c r="J156" s="1912" t="s">
        <v>740</v>
      </c>
      <c r="K156" s="2658">
        <v>0</v>
      </c>
      <c r="L156" s="2659">
        <f t="shared" si="87"/>
        <v>0</v>
      </c>
      <c r="M156" s="2660">
        <f>IF(T156="YES",$C$554,1)</f>
        <v>1</v>
      </c>
      <c r="N156" s="2661">
        <f>+$T151</f>
        <v>1.5</v>
      </c>
      <c r="O156" s="1913"/>
      <c r="P156" s="1914"/>
      <c r="Q156" s="1914"/>
      <c r="R156" s="1914"/>
      <c r="S156" s="1920" t="s">
        <v>1539</v>
      </c>
      <c r="T156" s="1921" t="s">
        <v>1540</v>
      </c>
      <c r="U156" s="2924"/>
    </row>
    <row r="157" spans="1:21" ht="27" hidden="1" customHeight="1" thickBot="1" x14ac:dyDescent="0.3">
      <c r="A157" s="1915"/>
      <c r="B157" s="1916"/>
      <c r="C157" s="1917"/>
      <c r="D157" s="1917"/>
      <c r="E157" s="1916"/>
      <c r="F157" s="1917"/>
      <c r="G157" s="1917"/>
      <c r="H157" s="1917"/>
      <c r="I157" s="1916"/>
      <c r="J157" s="1917"/>
      <c r="K157" s="2669"/>
      <c r="L157" s="2669"/>
      <c r="M157" s="2669"/>
      <c r="N157" s="2669"/>
      <c r="O157" s="1916"/>
      <c r="P157" s="1917"/>
      <c r="Q157" s="1917"/>
      <c r="R157" s="1917"/>
      <c r="S157" s="1918"/>
      <c r="T157" s="1917"/>
      <c r="U157" s="1919"/>
    </row>
    <row r="158" spans="1:21" ht="26.85" hidden="1" customHeight="1" x14ac:dyDescent="0.25">
      <c r="A158" s="1870" t="s">
        <v>1513</v>
      </c>
      <c r="B158" s="1871" t="s">
        <v>1523</v>
      </c>
      <c r="C158" s="1872" t="s">
        <v>740</v>
      </c>
      <c r="D158" s="1873"/>
      <c r="E158" s="1874" t="s">
        <v>1524</v>
      </c>
      <c r="F158" s="1875" t="s">
        <v>728</v>
      </c>
      <c r="G158" s="1873"/>
      <c r="H158" s="1873">
        <f t="shared" ref="H158" si="92">G158*M158*N158</f>
        <v>0</v>
      </c>
      <c r="I158" s="1876"/>
      <c r="J158" s="1877" t="s">
        <v>732</v>
      </c>
      <c r="K158" s="2672">
        <v>0</v>
      </c>
      <c r="L158" s="2645">
        <f t="shared" ref="L158:L164" si="93">IF(ISNUMBER(SEARCH("Timber",I158)),M158*K158*N158,K158)</f>
        <v>0</v>
      </c>
      <c r="M158" s="2225">
        <f>+$M164</f>
        <v>1</v>
      </c>
      <c r="N158" s="2648">
        <f>+$T159</f>
        <v>1.5</v>
      </c>
      <c r="O158" s="1878" t="s">
        <v>1512</v>
      </c>
      <c r="P158" s="1879" t="s">
        <v>740</v>
      </c>
      <c r="Q158" s="1880">
        <f t="shared" ref="Q158" si="94">R159*$E$532+T160*$E$533</f>
        <v>0</v>
      </c>
      <c r="R158" s="1881"/>
      <c r="S158" s="1882" t="s">
        <v>1525</v>
      </c>
      <c r="T158" s="1873">
        <v>30</v>
      </c>
      <c r="U158" s="2920" t="s">
        <v>1526</v>
      </c>
    </row>
    <row r="159" spans="1:21" ht="30" hidden="1" x14ac:dyDescent="0.25">
      <c r="A159" s="1883">
        <f>A151+1</f>
        <v>20</v>
      </c>
      <c r="B159" s="1884" t="s">
        <v>1527</v>
      </c>
      <c r="C159" s="1885" t="s">
        <v>740</v>
      </c>
      <c r="D159" s="1886"/>
      <c r="E159" s="1887" t="s">
        <v>1528</v>
      </c>
      <c r="F159" s="1888" t="s">
        <v>728</v>
      </c>
      <c r="G159" s="1886"/>
      <c r="H159" s="1886">
        <f t="shared" ref="H159:H162" si="95">G159</f>
        <v>0</v>
      </c>
      <c r="I159" s="1889"/>
      <c r="J159" s="1890" t="s">
        <v>732</v>
      </c>
      <c r="K159" s="2647">
        <v>0</v>
      </c>
      <c r="L159" s="2646">
        <f t="shared" si="93"/>
        <v>0</v>
      </c>
      <c r="M159" s="2226">
        <f t="shared" ref="M159:M163" si="96">M160</f>
        <v>1</v>
      </c>
      <c r="N159" s="2649">
        <f>+$T159</f>
        <v>1.5</v>
      </c>
      <c r="O159" s="1891" t="s">
        <v>1512</v>
      </c>
      <c r="P159" s="1892" t="s">
        <v>740</v>
      </c>
      <c r="Q159" s="1893"/>
      <c r="R159" s="1894">
        <f>H159*$E$527*0+H160*$E$527*0+SUMIF(I158:I163,$B$565,L158:L163)*$E$537+SUMIF(I158:I163,$B$566,L158:L163)*$E$540+SUMIF(I158:I163,$B$567,L158:L163)*$E$538+SUMIF(I158:I163,$B$568,L158:L163)*$E$539+SUMIF(I158:I163,$B$569,L158:L163)*$E$539+SUMIF(I158:I163,$B$570,L158:L163)*$E$541+SUMIF(I158:I163,$B$571,L158:L163)*$E$539+SUMIF(I158:I163,$B$572,L158:L163)*$E$541+SUMIF(I158:I163,$B$573,L158:L163)*$E$539+SUMIF(I158:I163,$B$574,L158:L163)*$E$543+SUMIF(I158:I163,$B$575,L158:L163)*$E$541+SUMIF(I158:I163,$B$577,L158:L163)*$E$536+SUMIF(I158:I163,$B$576,L158:L163)*$E$542+SUMIF(I158:I163,$B$563,L158:L163)*$E$539</f>
        <v>0</v>
      </c>
      <c r="S159" s="1895" t="s">
        <v>1529</v>
      </c>
      <c r="T159" s="2644">
        <f>+'Data Input sheet'!$D$112</f>
        <v>1.5</v>
      </c>
      <c r="U159" s="2921"/>
    </row>
    <row r="160" spans="1:21" ht="30" hidden="1" x14ac:dyDescent="0.25">
      <c r="A160" s="2922" t="s">
        <v>1530</v>
      </c>
      <c r="B160" s="1884" t="s">
        <v>1531</v>
      </c>
      <c r="C160" s="1885" t="s">
        <v>732</v>
      </c>
      <c r="D160" s="1886"/>
      <c r="E160" s="1887" t="s">
        <v>1532</v>
      </c>
      <c r="F160" s="1888" t="s">
        <v>728</v>
      </c>
      <c r="G160" s="1886"/>
      <c r="H160" s="1886">
        <f t="shared" si="95"/>
        <v>0</v>
      </c>
      <c r="I160" s="1889"/>
      <c r="J160" s="1890" t="s">
        <v>732</v>
      </c>
      <c r="K160" s="2647">
        <v>0</v>
      </c>
      <c r="L160" s="2646">
        <f t="shared" si="93"/>
        <v>0</v>
      </c>
      <c r="M160" s="2226">
        <f t="shared" si="96"/>
        <v>1</v>
      </c>
      <c r="N160" s="2649">
        <f>+$T159</f>
        <v>1.5</v>
      </c>
      <c r="O160" s="1896"/>
      <c r="P160" s="1897"/>
      <c r="Q160" s="1898"/>
      <c r="R160" s="1899">
        <f t="shared" ref="R160" si="97">T160</f>
        <v>0</v>
      </c>
      <c r="S160" s="1895" t="s">
        <v>1533</v>
      </c>
      <c r="T160" s="2673">
        <f>G158*64/4+K164+SUMIF(I158:I163,$B$578,K158:K163)*$E$545+SUMIF(I158:I163,$B$579,K158:K163)*$E$548+SUMIF(I158:I163,$B$580,K158:K163)*$E$546+SUMIF(I158:I163,$B$581,K158:K163)*$E$547+SUMIF(I158:I163,$B$582,K158:K163)*$E$547+SUMIF(I158:I163,$B$583,K158:K163)*$E$549+SUMIF(I158:I163,$B$584,K158:K163)*$E$547+SUMIF(I158:I163,$B$585,K158:K163)*$E$549+SUMIF(I158:I163,$B$586,K158:K163)*$E$547+SUMIF(I158:I163,$B$587,K158:K163)*$E$551+SUMIF(I158:I163,$B$588,K158:K163)*$E$549+SUMIF(I158:I163,$B$590,K158:K163)*$E$544+SUMIF(I158:I163,$B$589,K158:K163)*$E$550</f>
        <v>0</v>
      </c>
      <c r="U160" s="2921"/>
    </row>
    <row r="161" spans="1:21" hidden="1" x14ac:dyDescent="0.25">
      <c r="A161" s="2923"/>
      <c r="B161" s="1884" t="s">
        <v>1534</v>
      </c>
      <c r="C161" s="1885" t="s">
        <v>728</v>
      </c>
      <c r="D161" s="1886"/>
      <c r="E161" s="1887" t="s">
        <v>1535</v>
      </c>
      <c r="F161" s="1888" t="s">
        <v>728</v>
      </c>
      <c r="G161" s="1900">
        <f>(H159+H160)*$C$555+G158*$C$556+(R159-(H159+H160)*$E$527)*$C$555/50+(T160-G158*16)*$C$556/50</f>
        <v>0</v>
      </c>
      <c r="H161" s="1886">
        <f t="shared" si="95"/>
        <v>0</v>
      </c>
      <c r="I161" s="1889"/>
      <c r="J161" s="1890" t="s">
        <v>732</v>
      </c>
      <c r="K161" s="2647">
        <v>0</v>
      </c>
      <c r="L161" s="2646">
        <f t="shared" si="93"/>
        <v>0</v>
      </c>
      <c r="M161" s="2226">
        <f t="shared" si="96"/>
        <v>1</v>
      </c>
      <c r="N161" s="2649">
        <f>+$T159</f>
        <v>1.5</v>
      </c>
      <c r="O161" s="1896"/>
      <c r="P161" s="1897"/>
      <c r="Q161" s="1897"/>
      <c r="R161" s="1897"/>
      <c r="S161" s="1895" t="s">
        <v>3408</v>
      </c>
      <c r="T161" s="2674">
        <f>H158*64/4+L164+SUMIF(I158:I163,$B$578,L158:L163)*$E$545+SUMIF(I158:I163,$B$579,L158:L163)*$E$548+SUMIF(I158:I163,$B$580,L158:L163)*$E$546+SUMIF(I158:I163,$B$581,L158:L163)*$E$547+SUMIF(I158:I163,$B$582,L158:L163)*$E$547+SUMIF(I158:I163,$B$583,L158:L163)*$E$549+SUMIF(I158:I163,$B$584,L158:L163)*$E$547+SUMIF(I158:I163,$B$585,L158:L163)*$E$549+SUMIF(I158:I163,$B$586,L158:L163)*$E$547+SUMIF(I158:I163,$B$587,L158:L163)*$E$551+SUMIF(I158:I163,$B$588,L158:L163)*$E$549+SUMIF(I158:I163,$B$590,L158:L163)*$E$544+SUMIF(I158:I163,$B$589,L158:L163)*$E$550</f>
        <v>0</v>
      </c>
      <c r="U161" s="2921"/>
    </row>
    <row r="162" spans="1:21" ht="29.1" hidden="1" customHeight="1" x14ac:dyDescent="0.25">
      <c r="A162" s="2923"/>
      <c r="B162" s="1884"/>
      <c r="C162" s="1885"/>
      <c r="D162" s="1885"/>
      <c r="E162" s="1901" t="s">
        <v>1536</v>
      </c>
      <c r="F162" s="1888" t="s">
        <v>740</v>
      </c>
      <c r="G162" s="1900">
        <f>(H159*$E$527+H160*$E$527)*$C$557+R159*$C$557+T160*$C$558/T159</f>
        <v>0</v>
      </c>
      <c r="H162" s="1886">
        <f t="shared" si="95"/>
        <v>0</v>
      </c>
      <c r="I162" s="1889"/>
      <c r="J162" s="1890" t="s">
        <v>732</v>
      </c>
      <c r="K162" s="2647">
        <v>0</v>
      </c>
      <c r="L162" s="2646">
        <f t="shared" si="93"/>
        <v>0</v>
      </c>
      <c r="M162" s="2226">
        <f t="shared" si="96"/>
        <v>1</v>
      </c>
      <c r="N162" s="2649">
        <f>+$T159</f>
        <v>1.5</v>
      </c>
      <c r="O162" s="1896"/>
      <c r="P162" s="1897"/>
      <c r="Q162" s="1897"/>
      <c r="R162" s="1902"/>
      <c r="S162" s="1895" t="s">
        <v>1537</v>
      </c>
      <c r="T162" s="2673">
        <f>+T161*T158</f>
        <v>0</v>
      </c>
      <c r="U162" s="2921"/>
    </row>
    <row r="163" spans="1:21" hidden="1" x14ac:dyDescent="0.25">
      <c r="A163" s="2923"/>
      <c r="B163" s="1884"/>
      <c r="C163" s="1885"/>
      <c r="D163" s="1885"/>
      <c r="E163" s="1887"/>
      <c r="F163" s="1888"/>
      <c r="G163" s="1886"/>
      <c r="H163" s="1886"/>
      <c r="I163" s="1889"/>
      <c r="J163" s="1890" t="s">
        <v>732</v>
      </c>
      <c r="K163" s="2647">
        <v>0</v>
      </c>
      <c r="L163" s="2646">
        <f t="shared" si="93"/>
        <v>0</v>
      </c>
      <c r="M163" s="2226">
        <f t="shared" si="96"/>
        <v>1</v>
      </c>
      <c r="N163" s="2649">
        <f>+$T159</f>
        <v>1.5</v>
      </c>
      <c r="O163" s="1903"/>
      <c r="P163" s="1902"/>
      <c r="Q163" s="1902"/>
      <c r="R163" s="1902"/>
      <c r="S163" s="1904"/>
      <c r="T163" s="1905"/>
      <c r="U163" s="2921"/>
    </row>
    <row r="164" spans="1:21" ht="60.75" hidden="1" thickBot="1" x14ac:dyDescent="0.3">
      <c r="A164" s="2925"/>
      <c r="B164" s="1906"/>
      <c r="C164" s="1907"/>
      <c r="D164" s="1907"/>
      <c r="E164" s="1908"/>
      <c r="F164" s="1909"/>
      <c r="G164" s="1910"/>
      <c r="H164" s="1910"/>
      <c r="I164" s="1911" t="s">
        <v>1538</v>
      </c>
      <c r="J164" s="1912" t="s">
        <v>740</v>
      </c>
      <c r="K164" s="2658">
        <v>0</v>
      </c>
      <c r="L164" s="2659">
        <f t="shared" si="93"/>
        <v>0</v>
      </c>
      <c r="M164" s="2660">
        <f>IF(T164="YES",$C$554,1)</f>
        <v>1</v>
      </c>
      <c r="N164" s="2661">
        <f>+$T159</f>
        <v>1.5</v>
      </c>
      <c r="O164" s="1913"/>
      <c r="P164" s="1914"/>
      <c r="Q164" s="1914"/>
      <c r="R164" s="1914"/>
      <c r="S164" s="1920" t="s">
        <v>1539</v>
      </c>
      <c r="T164" s="1921" t="s">
        <v>1540</v>
      </c>
      <c r="U164" s="2924"/>
    </row>
    <row r="165" spans="1:21" ht="27" hidden="1" customHeight="1" thickBot="1" x14ac:dyDescent="0.3">
      <c r="A165" s="1915"/>
      <c r="B165" s="1916"/>
      <c r="C165" s="1917"/>
      <c r="D165" s="1917"/>
      <c r="E165" s="1916"/>
      <c r="F165" s="1917"/>
      <c r="G165" s="1917"/>
      <c r="H165" s="1917"/>
      <c r="I165" s="1916"/>
      <c r="J165" s="1917"/>
      <c r="K165" s="2669"/>
      <c r="L165" s="2669"/>
      <c r="M165" s="2669"/>
      <c r="N165" s="2669"/>
      <c r="O165" s="1916"/>
      <c r="P165" s="1917"/>
      <c r="Q165" s="1917"/>
      <c r="R165" s="1917"/>
      <c r="S165" s="1918"/>
      <c r="T165" s="1917"/>
      <c r="U165" s="1919"/>
    </row>
    <row r="166" spans="1:21" ht="26.85" hidden="1" customHeight="1" x14ac:dyDescent="0.25">
      <c r="A166" s="1870" t="s">
        <v>1513</v>
      </c>
      <c r="B166" s="1871" t="s">
        <v>1523</v>
      </c>
      <c r="C166" s="1872" t="s">
        <v>740</v>
      </c>
      <c r="D166" s="1873"/>
      <c r="E166" s="1874" t="s">
        <v>1524</v>
      </c>
      <c r="F166" s="1875" t="s">
        <v>728</v>
      </c>
      <c r="G166" s="1873"/>
      <c r="H166" s="1873">
        <f t="shared" ref="H166" si="98">G166*M166*N166</f>
        <v>0</v>
      </c>
      <c r="I166" s="1876"/>
      <c r="J166" s="1877" t="s">
        <v>732</v>
      </c>
      <c r="K166" s="2672">
        <v>0</v>
      </c>
      <c r="L166" s="2645">
        <f t="shared" ref="L166:L172" si="99">IF(ISNUMBER(SEARCH("Timber",I166)),M166*K166*N166,K166)</f>
        <v>0</v>
      </c>
      <c r="M166" s="2225">
        <f>+$M172</f>
        <v>1</v>
      </c>
      <c r="N166" s="2648">
        <f>+$T167</f>
        <v>1.5</v>
      </c>
      <c r="O166" s="1878" t="s">
        <v>1512</v>
      </c>
      <c r="P166" s="1879" t="s">
        <v>740</v>
      </c>
      <c r="Q166" s="1880">
        <f t="shared" ref="Q166" si="100">R167*$E$532+T168*$E$533</f>
        <v>0</v>
      </c>
      <c r="R166" s="1881"/>
      <c r="S166" s="1882" t="s">
        <v>1525</v>
      </c>
      <c r="T166" s="1873">
        <v>30</v>
      </c>
      <c r="U166" s="2920" t="s">
        <v>1526</v>
      </c>
    </row>
    <row r="167" spans="1:21" ht="30" hidden="1" x14ac:dyDescent="0.25">
      <c r="A167" s="1883">
        <f>A159+1</f>
        <v>21</v>
      </c>
      <c r="B167" s="1884" t="s">
        <v>1527</v>
      </c>
      <c r="C167" s="1885" t="s">
        <v>740</v>
      </c>
      <c r="D167" s="1886"/>
      <c r="E167" s="1887" t="s">
        <v>1528</v>
      </c>
      <c r="F167" s="1888" t="s">
        <v>728</v>
      </c>
      <c r="G167" s="1886"/>
      <c r="H167" s="1886">
        <f t="shared" ref="H167:H170" si="101">G167</f>
        <v>0</v>
      </c>
      <c r="I167" s="1889"/>
      <c r="J167" s="1890" t="s">
        <v>732</v>
      </c>
      <c r="K167" s="2647">
        <v>0</v>
      </c>
      <c r="L167" s="2646">
        <f t="shared" si="99"/>
        <v>0</v>
      </c>
      <c r="M167" s="2226">
        <f t="shared" ref="M167:M171" si="102">M168</f>
        <v>1</v>
      </c>
      <c r="N167" s="2649">
        <f>+$T167</f>
        <v>1.5</v>
      </c>
      <c r="O167" s="1891" t="s">
        <v>1512</v>
      </c>
      <c r="P167" s="1892" t="s">
        <v>740</v>
      </c>
      <c r="Q167" s="1893"/>
      <c r="R167" s="1894">
        <f>H167*$E$527*0+H168*$E$527*0+SUMIF(I166:I171,$B$565,L166:L171)*$E$537+SUMIF(I166:I171,$B$566,L166:L171)*$E$540+SUMIF(I166:I171,$B$567,L166:L171)*$E$538+SUMIF(I166:I171,$B$568,L166:L171)*$E$539+SUMIF(I166:I171,$B$569,L166:L171)*$E$539+SUMIF(I166:I171,$B$570,L166:L171)*$E$541+SUMIF(I166:I171,$B$571,L166:L171)*$E$539+SUMIF(I166:I171,$B$572,L166:L171)*$E$541+SUMIF(I166:I171,$B$573,L166:L171)*$E$539+SUMIF(I166:I171,$B$574,L166:L171)*$E$543+SUMIF(I166:I171,$B$575,L166:L171)*$E$541+SUMIF(I166:I171,$B$577,L166:L171)*$E$536+SUMIF(I166:I171,$B$576,L166:L171)*$E$542+SUMIF(I166:I171,$B$563,L166:L171)*$E$539</f>
        <v>0</v>
      </c>
      <c r="S167" s="1895" t="s">
        <v>1529</v>
      </c>
      <c r="T167" s="2644">
        <f>+'Data Input sheet'!$D$112</f>
        <v>1.5</v>
      </c>
      <c r="U167" s="2921"/>
    </row>
    <row r="168" spans="1:21" ht="30" hidden="1" x14ac:dyDescent="0.25">
      <c r="A168" s="2922" t="s">
        <v>1530</v>
      </c>
      <c r="B168" s="1884" t="s">
        <v>1531</v>
      </c>
      <c r="C168" s="1885" t="s">
        <v>732</v>
      </c>
      <c r="D168" s="1886"/>
      <c r="E168" s="1887" t="s">
        <v>1532</v>
      </c>
      <c r="F168" s="1888" t="s">
        <v>728</v>
      </c>
      <c r="G168" s="1886"/>
      <c r="H168" s="1886">
        <f t="shared" si="101"/>
        <v>0</v>
      </c>
      <c r="I168" s="1889"/>
      <c r="J168" s="1890" t="s">
        <v>732</v>
      </c>
      <c r="K168" s="2647">
        <v>0</v>
      </c>
      <c r="L168" s="2646">
        <f t="shared" si="99"/>
        <v>0</v>
      </c>
      <c r="M168" s="2226">
        <f t="shared" si="102"/>
        <v>1</v>
      </c>
      <c r="N168" s="2649">
        <f>+$T167</f>
        <v>1.5</v>
      </c>
      <c r="O168" s="1896"/>
      <c r="P168" s="1897"/>
      <c r="Q168" s="1898"/>
      <c r="R168" s="1899">
        <f t="shared" ref="R168" si="103">T168</f>
        <v>0</v>
      </c>
      <c r="S168" s="1895" t="s">
        <v>1533</v>
      </c>
      <c r="T168" s="2673">
        <f>G166*64/4+K172+SUMIF(I166:I171,$B$578,K166:K171)*$E$545+SUMIF(I166:I171,$B$579,K166:K171)*$E$548+SUMIF(I166:I171,$B$580,K166:K171)*$E$546+SUMIF(I166:I171,$B$581,K166:K171)*$E$547+SUMIF(I166:I171,$B$582,K166:K171)*$E$547+SUMIF(I166:I171,$B$583,K166:K171)*$E$549+SUMIF(I166:I171,$B$584,K166:K171)*$E$547+SUMIF(I166:I171,$B$585,K166:K171)*$E$549+SUMIF(I166:I171,$B$586,K166:K171)*$E$547+SUMIF(I166:I171,$B$587,K166:K171)*$E$551+SUMIF(I166:I171,$B$588,K166:K171)*$E$549+SUMIF(I166:I171,$B$590,K166:K171)*$E$544+SUMIF(I166:I171,$B$589,K166:K171)*$E$550</f>
        <v>0</v>
      </c>
      <c r="U168" s="2921"/>
    </row>
    <row r="169" spans="1:21" hidden="1" x14ac:dyDescent="0.25">
      <c r="A169" s="2923"/>
      <c r="B169" s="1884" t="s">
        <v>1534</v>
      </c>
      <c r="C169" s="1885" t="s">
        <v>728</v>
      </c>
      <c r="D169" s="1886"/>
      <c r="E169" s="1887" t="s">
        <v>1535</v>
      </c>
      <c r="F169" s="1888" t="s">
        <v>728</v>
      </c>
      <c r="G169" s="1900">
        <f>(H167+H168)*$C$555+G166*$C$556+(R167-(H167+H168)*$E$527)*$C$555/50+(T168-G166*16)*$C$556/50</f>
        <v>0</v>
      </c>
      <c r="H169" s="1886">
        <f t="shared" si="101"/>
        <v>0</v>
      </c>
      <c r="I169" s="1889"/>
      <c r="J169" s="1890" t="s">
        <v>732</v>
      </c>
      <c r="K169" s="2647">
        <v>0</v>
      </c>
      <c r="L169" s="2646">
        <f t="shared" si="99"/>
        <v>0</v>
      </c>
      <c r="M169" s="2226">
        <f t="shared" si="102"/>
        <v>1</v>
      </c>
      <c r="N169" s="2649">
        <f>+$T167</f>
        <v>1.5</v>
      </c>
      <c r="O169" s="1896"/>
      <c r="P169" s="1897"/>
      <c r="Q169" s="1897"/>
      <c r="R169" s="1897"/>
      <c r="S169" s="1895" t="s">
        <v>3408</v>
      </c>
      <c r="T169" s="2674">
        <f>H166*64/4+L172+SUMIF(I166:I171,$B$578,L166:L171)*$E$545+SUMIF(I166:I171,$B$579,L166:L171)*$E$548+SUMIF(I166:I171,$B$580,L166:L171)*$E$546+SUMIF(I166:I171,$B$581,L166:L171)*$E$547+SUMIF(I166:I171,$B$582,L166:L171)*$E$547+SUMIF(I166:I171,$B$583,L166:L171)*$E$549+SUMIF(I166:I171,$B$584,L166:L171)*$E$547+SUMIF(I166:I171,$B$585,L166:L171)*$E$549+SUMIF(I166:I171,$B$586,L166:L171)*$E$547+SUMIF(I166:I171,$B$587,L166:L171)*$E$551+SUMIF(I166:I171,$B$588,L166:L171)*$E$549+SUMIF(I166:I171,$B$590,L166:L171)*$E$544+SUMIF(I166:I171,$B$589,L166:L171)*$E$550</f>
        <v>0</v>
      </c>
      <c r="U169" s="2921"/>
    </row>
    <row r="170" spans="1:21" ht="29.1" hidden="1" customHeight="1" x14ac:dyDescent="0.25">
      <c r="A170" s="2923"/>
      <c r="B170" s="1884"/>
      <c r="C170" s="1885"/>
      <c r="D170" s="1885"/>
      <c r="E170" s="1901" t="s">
        <v>1536</v>
      </c>
      <c r="F170" s="1888" t="s">
        <v>740</v>
      </c>
      <c r="G170" s="1900">
        <f>(H167*$E$527+H168*$E$527)*$C$557+R167*$C$557+T168*$C$558/T167</f>
        <v>0</v>
      </c>
      <c r="H170" s="1886">
        <f t="shared" si="101"/>
        <v>0</v>
      </c>
      <c r="I170" s="1889"/>
      <c r="J170" s="1890" t="s">
        <v>732</v>
      </c>
      <c r="K170" s="2647">
        <v>0</v>
      </c>
      <c r="L170" s="2646">
        <f t="shared" si="99"/>
        <v>0</v>
      </c>
      <c r="M170" s="2226">
        <f t="shared" si="102"/>
        <v>1</v>
      </c>
      <c r="N170" s="2649">
        <f>+$T167</f>
        <v>1.5</v>
      </c>
      <c r="O170" s="1896"/>
      <c r="P170" s="1897"/>
      <c r="Q170" s="1897"/>
      <c r="R170" s="1902"/>
      <c r="S170" s="1895" t="s">
        <v>1537</v>
      </c>
      <c r="T170" s="2673">
        <f>+T169*T166</f>
        <v>0</v>
      </c>
      <c r="U170" s="2921"/>
    </row>
    <row r="171" spans="1:21" hidden="1" x14ac:dyDescent="0.25">
      <c r="A171" s="2923"/>
      <c r="B171" s="1884"/>
      <c r="C171" s="1885"/>
      <c r="D171" s="1885"/>
      <c r="E171" s="1887"/>
      <c r="F171" s="1888"/>
      <c r="G171" s="1886"/>
      <c r="H171" s="1886"/>
      <c r="I171" s="1889"/>
      <c r="J171" s="1890" t="s">
        <v>732</v>
      </c>
      <c r="K171" s="2647">
        <v>0</v>
      </c>
      <c r="L171" s="2646">
        <f t="shared" si="99"/>
        <v>0</v>
      </c>
      <c r="M171" s="2226">
        <f t="shared" si="102"/>
        <v>1</v>
      </c>
      <c r="N171" s="2649">
        <f>+$T167</f>
        <v>1.5</v>
      </c>
      <c r="O171" s="1903"/>
      <c r="P171" s="1902"/>
      <c r="Q171" s="1902"/>
      <c r="R171" s="1902"/>
      <c r="S171" s="1904"/>
      <c r="T171" s="1905"/>
      <c r="U171" s="2921"/>
    </row>
    <row r="172" spans="1:21" ht="60.75" hidden="1" thickBot="1" x14ac:dyDescent="0.3">
      <c r="A172" s="2925"/>
      <c r="B172" s="1906"/>
      <c r="C172" s="1907"/>
      <c r="D172" s="1907"/>
      <c r="E172" s="1908"/>
      <c r="F172" s="1909"/>
      <c r="G172" s="1910"/>
      <c r="H172" s="1910"/>
      <c r="I172" s="1911" t="s">
        <v>1538</v>
      </c>
      <c r="J172" s="1912" t="s">
        <v>740</v>
      </c>
      <c r="K172" s="2658">
        <v>0</v>
      </c>
      <c r="L172" s="2659">
        <f t="shared" si="99"/>
        <v>0</v>
      </c>
      <c r="M172" s="2660">
        <f>IF(T172="YES",$C$554,1)</f>
        <v>1</v>
      </c>
      <c r="N172" s="2661">
        <f>+$T167</f>
        <v>1.5</v>
      </c>
      <c r="O172" s="1913"/>
      <c r="P172" s="1914"/>
      <c r="Q172" s="1914"/>
      <c r="R172" s="1914"/>
      <c r="S172" s="1920" t="s">
        <v>1539</v>
      </c>
      <c r="T172" s="1921" t="s">
        <v>1540</v>
      </c>
      <c r="U172" s="2924"/>
    </row>
    <row r="173" spans="1:21" ht="27" hidden="1" customHeight="1" thickBot="1" x14ac:dyDescent="0.3">
      <c r="A173" s="1915"/>
      <c r="B173" s="1916"/>
      <c r="C173" s="1917"/>
      <c r="D173" s="1917"/>
      <c r="E173" s="1916"/>
      <c r="F173" s="1917"/>
      <c r="G173" s="1917"/>
      <c r="H173" s="1917"/>
      <c r="I173" s="1916"/>
      <c r="J173" s="1917"/>
      <c r="K173" s="2669"/>
      <c r="L173" s="2669"/>
      <c r="M173" s="2669"/>
      <c r="N173" s="2669"/>
      <c r="O173" s="1916"/>
      <c r="P173" s="1917"/>
      <c r="Q173" s="1917"/>
      <c r="R173" s="1917"/>
      <c r="S173" s="1918"/>
      <c r="T173" s="1917"/>
      <c r="U173" s="1919"/>
    </row>
    <row r="174" spans="1:21" ht="26.85" hidden="1" customHeight="1" x14ac:dyDescent="0.25">
      <c r="A174" s="1870" t="s">
        <v>1513</v>
      </c>
      <c r="B174" s="1871" t="s">
        <v>1523</v>
      </c>
      <c r="C174" s="1872" t="s">
        <v>740</v>
      </c>
      <c r="D174" s="1873"/>
      <c r="E174" s="1874" t="s">
        <v>1524</v>
      </c>
      <c r="F174" s="1875" t="s">
        <v>728</v>
      </c>
      <c r="G174" s="1873"/>
      <c r="H174" s="1873">
        <f t="shared" ref="H174" si="104">G174*M174*N174</f>
        <v>0</v>
      </c>
      <c r="I174" s="1876"/>
      <c r="J174" s="1877" t="s">
        <v>732</v>
      </c>
      <c r="K174" s="2672">
        <v>0</v>
      </c>
      <c r="L174" s="2645">
        <f t="shared" ref="L174:L180" si="105">IF(ISNUMBER(SEARCH("Timber",I174)),M174*K174*N174,K174)</f>
        <v>0</v>
      </c>
      <c r="M174" s="2225">
        <f>+$M180</f>
        <v>1</v>
      </c>
      <c r="N174" s="2648">
        <f>+$T175</f>
        <v>1.5</v>
      </c>
      <c r="O174" s="1878" t="s">
        <v>1512</v>
      </c>
      <c r="P174" s="1879" t="s">
        <v>740</v>
      </c>
      <c r="Q174" s="1880">
        <f t="shared" ref="Q174" si="106">R175*$E$532+T176*$E$533</f>
        <v>0</v>
      </c>
      <c r="R174" s="1881"/>
      <c r="S174" s="1882" t="s">
        <v>1525</v>
      </c>
      <c r="T174" s="1873">
        <v>30</v>
      </c>
      <c r="U174" s="2920" t="s">
        <v>1526</v>
      </c>
    </row>
    <row r="175" spans="1:21" ht="30" hidden="1" x14ac:dyDescent="0.25">
      <c r="A175" s="1883">
        <f>A167+1</f>
        <v>22</v>
      </c>
      <c r="B175" s="1884" t="s">
        <v>1527</v>
      </c>
      <c r="C175" s="1885" t="s">
        <v>740</v>
      </c>
      <c r="D175" s="1886"/>
      <c r="E175" s="1887" t="s">
        <v>1528</v>
      </c>
      <c r="F175" s="1888" t="s">
        <v>728</v>
      </c>
      <c r="G175" s="1886"/>
      <c r="H175" s="1886">
        <f t="shared" ref="H175:H178" si="107">G175</f>
        <v>0</v>
      </c>
      <c r="I175" s="1889"/>
      <c r="J175" s="1890" t="s">
        <v>732</v>
      </c>
      <c r="K175" s="2647">
        <v>0</v>
      </c>
      <c r="L175" s="2646">
        <f t="shared" si="105"/>
        <v>0</v>
      </c>
      <c r="M175" s="2226">
        <f t="shared" ref="M175:M179" si="108">M176</f>
        <v>1</v>
      </c>
      <c r="N175" s="2649">
        <f>+$T175</f>
        <v>1.5</v>
      </c>
      <c r="O175" s="1891" t="s">
        <v>1512</v>
      </c>
      <c r="P175" s="1892" t="s">
        <v>740</v>
      </c>
      <c r="Q175" s="1893"/>
      <c r="R175" s="1894">
        <f>H175*$E$527*0+H176*$E$527*0+SUMIF(I174:I179,$B$565,L174:L179)*$E$537+SUMIF(I174:I179,$B$566,L174:L179)*$E$540+SUMIF(I174:I179,$B$567,L174:L179)*$E$538+SUMIF(I174:I179,$B$568,L174:L179)*$E$539+SUMIF(I174:I179,$B$569,L174:L179)*$E$539+SUMIF(I174:I179,$B$570,L174:L179)*$E$541+SUMIF(I174:I179,$B$571,L174:L179)*$E$539+SUMIF(I174:I179,$B$572,L174:L179)*$E$541+SUMIF(I174:I179,$B$573,L174:L179)*$E$539+SUMIF(I174:I179,$B$574,L174:L179)*$E$543+SUMIF(I174:I179,$B$575,L174:L179)*$E$541+SUMIF(I174:I179,$B$577,L174:L179)*$E$536+SUMIF(I174:I179,$B$576,L174:L179)*$E$542+SUMIF(I174:I179,$B$563,L174:L179)*$E$539</f>
        <v>0</v>
      </c>
      <c r="S175" s="1895" t="s">
        <v>1529</v>
      </c>
      <c r="T175" s="2644">
        <f>+'Data Input sheet'!$D$112</f>
        <v>1.5</v>
      </c>
      <c r="U175" s="2921"/>
    </row>
    <row r="176" spans="1:21" ht="30" hidden="1" x14ac:dyDescent="0.25">
      <c r="A176" s="2922" t="s">
        <v>1530</v>
      </c>
      <c r="B176" s="1884" t="s">
        <v>1531</v>
      </c>
      <c r="C176" s="1885" t="s">
        <v>732</v>
      </c>
      <c r="D176" s="1886"/>
      <c r="E176" s="1887" t="s">
        <v>1532</v>
      </c>
      <c r="F176" s="1888" t="s">
        <v>728</v>
      </c>
      <c r="G176" s="1886"/>
      <c r="H176" s="1886">
        <f t="shared" si="107"/>
        <v>0</v>
      </c>
      <c r="I176" s="1889"/>
      <c r="J176" s="1890" t="s">
        <v>732</v>
      </c>
      <c r="K176" s="2647">
        <v>0</v>
      </c>
      <c r="L176" s="2646">
        <f t="shared" si="105"/>
        <v>0</v>
      </c>
      <c r="M176" s="2226">
        <f t="shared" si="108"/>
        <v>1</v>
      </c>
      <c r="N176" s="2649">
        <f>+$T175</f>
        <v>1.5</v>
      </c>
      <c r="O176" s="1896"/>
      <c r="P176" s="1897"/>
      <c r="Q176" s="1898"/>
      <c r="R176" s="1899">
        <f t="shared" ref="R176" si="109">T176</f>
        <v>0</v>
      </c>
      <c r="S176" s="1895" t="s">
        <v>1533</v>
      </c>
      <c r="T176" s="2673">
        <f>G174*64/4+K180+SUMIF(I174:I179,$B$578,K174:K179)*$E$545+SUMIF(I174:I179,$B$579,K174:K179)*$E$548+SUMIF(I174:I179,$B$580,K174:K179)*$E$546+SUMIF(I174:I179,$B$581,K174:K179)*$E$547+SUMIF(I174:I179,$B$582,K174:K179)*$E$547+SUMIF(I174:I179,$B$583,K174:K179)*$E$549+SUMIF(I174:I179,$B$584,K174:K179)*$E$547+SUMIF(I174:I179,$B$585,K174:K179)*$E$549+SUMIF(I174:I179,$B$586,K174:K179)*$E$547+SUMIF(I174:I179,$B$587,K174:K179)*$E$551+SUMIF(I174:I179,$B$588,K174:K179)*$E$549+SUMIF(I174:I179,$B$590,K174:K179)*$E$544+SUMIF(I174:I179,$B$589,K174:K179)*$E$550</f>
        <v>0</v>
      </c>
      <c r="U176" s="2921"/>
    </row>
    <row r="177" spans="1:21" hidden="1" x14ac:dyDescent="0.25">
      <c r="A177" s="2923"/>
      <c r="B177" s="1884" t="s">
        <v>1534</v>
      </c>
      <c r="C177" s="1885" t="s">
        <v>728</v>
      </c>
      <c r="D177" s="1886"/>
      <c r="E177" s="1887" t="s">
        <v>1535</v>
      </c>
      <c r="F177" s="1888" t="s">
        <v>728</v>
      </c>
      <c r="G177" s="1900">
        <f>(H175+H176)*$C$555+G174*$C$556+(R175-(H175+H176)*$E$527)*$C$555/50+(T176-G174*16)*$C$556/50</f>
        <v>0</v>
      </c>
      <c r="H177" s="1886">
        <f t="shared" si="107"/>
        <v>0</v>
      </c>
      <c r="I177" s="1889"/>
      <c r="J177" s="1890" t="s">
        <v>732</v>
      </c>
      <c r="K177" s="2647">
        <v>0</v>
      </c>
      <c r="L177" s="2646">
        <f t="shared" si="105"/>
        <v>0</v>
      </c>
      <c r="M177" s="2226">
        <f t="shared" si="108"/>
        <v>1</v>
      </c>
      <c r="N177" s="2649">
        <f>+$T175</f>
        <v>1.5</v>
      </c>
      <c r="O177" s="1896"/>
      <c r="P177" s="1897"/>
      <c r="Q177" s="1897"/>
      <c r="R177" s="1897"/>
      <c r="S177" s="1895" t="s">
        <v>3408</v>
      </c>
      <c r="T177" s="2674">
        <f>H174*64/4+L180+SUMIF(I174:I179,$B$578,L174:L179)*$E$545+SUMIF(I174:I179,$B$579,L174:L179)*$E$548+SUMIF(I174:I179,$B$580,L174:L179)*$E$546+SUMIF(I174:I179,$B$581,L174:L179)*$E$547+SUMIF(I174:I179,$B$582,L174:L179)*$E$547+SUMIF(I174:I179,$B$583,L174:L179)*$E$549+SUMIF(I174:I179,$B$584,L174:L179)*$E$547+SUMIF(I174:I179,$B$585,L174:L179)*$E$549+SUMIF(I174:I179,$B$586,L174:L179)*$E$547+SUMIF(I174:I179,$B$587,L174:L179)*$E$551+SUMIF(I174:I179,$B$588,L174:L179)*$E$549+SUMIF(I174:I179,$B$590,L174:L179)*$E$544+SUMIF(I174:I179,$B$589,L174:L179)*$E$550</f>
        <v>0</v>
      </c>
      <c r="U177" s="2921"/>
    </row>
    <row r="178" spans="1:21" ht="29.1" hidden="1" customHeight="1" x14ac:dyDescent="0.25">
      <c r="A178" s="2923"/>
      <c r="B178" s="1884"/>
      <c r="C178" s="1885"/>
      <c r="D178" s="1885"/>
      <c r="E178" s="1901" t="s">
        <v>1536</v>
      </c>
      <c r="F178" s="1888" t="s">
        <v>740</v>
      </c>
      <c r="G178" s="1900">
        <f>(H175*$E$527+H176*$E$527)*$C$557+R175*$C$557+T176*$C$558/T175</f>
        <v>0</v>
      </c>
      <c r="H178" s="1886">
        <f t="shared" si="107"/>
        <v>0</v>
      </c>
      <c r="I178" s="1889"/>
      <c r="J178" s="1890" t="s">
        <v>732</v>
      </c>
      <c r="K178" s="2647">
        <v>0</v>
      </c>
      <c r="L178" s="2646">
        <f t="shared" si="105"/>
        <v>0</v>
      </c>
      <c r="M178" s="2226">
        <f t="shared" si="108"/>
        <v>1</v>
      </c>
      <c r="N178" s="2649">
        <f>+$T175</f>
        <v>1.5</v>
      </c>
      <c r="O178" s="1896"/>
      <c r="P178" s="1897"/>
      <c r="Q178" s="1897"/>
      <c r="R178" s="1902"/>
      <c r="S178" s="1895" t="s">
        <v>1537</v>
      </c>
      <c r="T178" s="2673">
        <f>+T177*T174</f>
        <v>0</v>
      </c>
      <c r="U178" s="2921"/>
    </row>
    <row r="179" spans="1:21" hidden="1" x14ac:dyDescent="0.25">
      <c r="A179" s="2923"/>
      <c r="B179" s="1884"/>
      <c r="C179" s="1885"/>
      <c r="D179" s="1885"/>
      <c r="E179" s="1887"/>
      <c r="F179" s="1888"/>
      <c r="G179" s="1886"/>
      <c r="H179" s="1886"/>
      <c r="I179" s="1889"/>
      <c r="J179" s="1890" t="s">
        <v>732</v>
      </c>
      <c r="K179" s="2647">
        <v>0</v>
      </c>
      <c r="L179" s="2646">
        <f t="shared" si="105"/>
        <v>0</v>
      </c>
      <c r="M179" s="2226">
        <f t="shared" si="108"/>
        <v>1</v>
      </c>
      <c r="N179" s="2649">
        <f>+$T175</f>
        <v>1.5</v>
      </c>
      <c r="O179" s="1903"/>
      <c r="P179" s="1902"/>
      <c r="Q179" s="1902"/>
      <c r="R179" s="1902"/>
      <c r="S179" s="1904"/>
      <c r="T179" s="1905"/>
      <c r="U179" s="2921"/>
    </row>
    <row r="180" spans="1:21" ht="60.75" hidden="1" thickBot="1" x14ac:dyDescent="0.3">
      <c r="A180" s="2925"/>
      <c r="B180" s="1906"/>
      <c r="C180" s="1907"/>
      <c r="D180" s="1907"/>
      <c r="E180" s="1908"/>
      <c r="F180" s="1909"/>
      <c r="G180" s="1910"/>
      <c r="H180" s="1910"/>
      <c r="I180" s="1911" t="s">
        <v>1538</v>
      </c>
      <c r="J180" s="1912" t="s">
        <v>740</v>
      </c>
      <c r="K180" s="2658">
        <v>0</v>
      </c>
      <c r="L180" s="2659">
        <f t="shared" si="105"/>
        <v>0</v>
      </c>
      <c r="M180" s="2660">
        <f>IF(T180="YES",$C$554,1)</f>
        <v>1</v>
      </c>
      <c r="N180" s="2661">
        <f>+$T175</f>
        <v>1.5</v>
      </c>
      <c r="O180" s="1913"/>
      <c r="P180" s="1914"/>
      <c r="Q180" s="1914"/>
      <c r="R180" s="1914"/>
      <c r="S180" s="1920" t="s">
        <v>1539</v>
      </c>
      <c r="T180" s="1921" t="s">
        <v>1540</v>
      </c>
      <c r="U180" s="2924"/>
    </row>
    <row r="181" spans="1:21" ht="27" hidden="1" customHeight="1" thickBot="1" x14ac:dyDescent="0.3">
      <c r="A181" s="1915"/>
      <c r="B181" s="1916"/>
      <c r="C181" s="1917"/>
      <c r="D181" s="1917"/>
      <c r="E181" s="1916"/>
      <c r="F181" s="1917"/>
      <c r="G181" s="1917"/>
      <c r="H181" s="1917"/>
      <c r="I181" s="1916"/>
      <c r="J181" s="1917"/>
      <c r="K181" s="2669"/>
      <c r="L181" s="2669"/>
      <c r="M181" s="2669"/>
      <c r="N181" s="2669"/>
      <c r="O181" s="1916"/>
      <c r="P181" s="1917"/>
      <c r="Q181" s="1917"/>
      <c r="R181" s="1917"/>
      <c r="S181" s="1918"/>
      <c r="T181" s="1917"/>
      <c r="U181" s="1919"/>
    </row>
    <row r="182" spans="1:21" ht="26.85" hidden="1" customHeight="1" x14ac:dyDescent="0.25">
      <c r="A182" s="1870" t="s">
        <v>1513</v>
      </c>
      <c r="B182" s="1871" t="s">
        <v>1523</v>
      </c>
      <c r="C182" s="1872" t="s">
        <v>740</v>
      </c>
      <c r="D182" s="1873"/>
      <c r="E182" s="1874" t="s">
        <v>1524</v>
      </c>
      <c r="F182" s="1875" t="s">
        <v>728</v>
      </c>
      <c r="G182" s="1873"/>
      <c r="H182" s="1873">
        <f t="shared" ref="H182" si="110">G182*M182*N182</f>
        <v>0</v>
      </c>
      <c r="I182" s="1876"/>
      <c r="J182" s="1877" t="s">
        <v>732</v>
      </c>
      <c r="K182" s="2672">
        <v>0</v>
      </c>
      <c r="L182" s="2645">
        <f t="shared" ref="L182:L188" si="111">IF(ISNUMBER(SEARCH("Timber",I182)),M182*K182*N182,K182)</f>
        <v>0</v>
      </c>
      <c r="M182" s="2225">
        <f>+$M188</f>
        <v>1</v>
      </c>
      <c r="N182" s="2648">
        <f>+$T183</f>
        <v>1.5</v>
      </c>
      <c r="O182" s="1878" t="s">
        <v>1512</v>
      </c>
      <c r="P182" s="1879" t="s">
        <v>740</v>
      </c>
      <c r="Q182" s="1880">
        <f t="shared" ref="Q182" si="112">R183*$E$532+T184*$E$533</f>
        <v>0</v>
      </c>
      <c r="R182" s="1881"/>
      <c r="S182" s="1882" t="s">
        <v>1525</v>
      </c>
      <c r="T182" s="1873">
        <v>30</v>
      </c>
      <c r="U182" s="2920" t="s">
        <v>1526</v>
      </c>
    </row>
    <row r="183" spans="1:21" ht="30" hidden="1" x14ac:dyDescent="0.25">
      <c r="A183" s="1883">
        <f>A175+1</f>
        <v>23</v>
      </c>
      <c r="B183" s="1884" t="s">
        <v>1527</v>
      </c>
      <c r="C183" s="1885" t="s">
        <v>740</v>
      </c>
      <c r="D183" s="1886"/>
      <c r="E183" s="1887" t="s">
        <v>1528</v>
      </c>
      <c r="F183" s="1888" t="s">
        <v>728</v>
      </c>
      <c r="G183" s="1886"/>
      <c r="H183" s="1886">
        <f t="shared" ref="H183:H186" si="113">G183</f>
        <v>0</v>
      </c>
      <c r="I183" s="1889"/>
      <c r="J183" s="1890" t="s">
        <v>732</v>
      </c>
      <c r="K183" s="2647">
        <v>0</v>
      </c>
      <c r="L183" s="2646">
        <f t="shared" si="111"/>
        <v>0</v>
      </c>
      <c r="M183" s="2226">
        <f t="shared" ref="M183:M187" si="114">M184</f>
        <v>1</v>
      </c>
      <c r="N183" s="2649">
        <f>+$T183</f>
        <v>1.5</v>
      </c>
      <c r="O183" s="1891" t="s">
        <v>1512</v>
      </c>
      <c r="P183" s="1892" t="s">
        <v>740</v>
      </c>
      <c r="Q183" s="1893"/>
      <c r="R183" s="1894">
        <f>H183*$E$527*0+H184*$E$527*0+SUMIF(I182:I187,$B$565,L182:L187)*$E$537+SUMIF(I182:I187,$B$566,L182:L187)*$E$540+SUMIF(I182:I187,$B$567,L182:L187)*$E$538+SUMIF(I182:I187,$B$568,L182:L187)*$E$539+SUMIF(I182:I187,$B$569,L182:L187)*$E$539+SUMIF(I182:I187,$B$570,L182:L187)*$E$541+SUMIF(I182:I187,$B$571,L182:L187)*$E$539+SUMIF(I182:I187,$B$572,L182:L187)*$E$541+SUMIF(I182:I187,$B$573,L182:L187)*$E$539+SUMIF(I182:I187,$B$574,L182:L187)*$E$543+SUMIF(I182:I187,$B$575,L182:L187)*$E$541+SUMIF(I182:I187,$B$577,L182:L187)*$E$536+SUMIF(I182:I187,$B$576,L182:L187)*$E$542+SUMIF(I182:I187,$B$563,L182:L187)*$E$539</f>
        <v>0</v>
      </c>
      <c r="S183" s="1895" t="s">
        <v>1529</v>
      </c>
      <c r="T183" s="2644">
        <f>+'Data Input sheet'!$D$112</f>
        <v>1.5</v>
      </c>
      <c r="U183" s="2921"/>
    </row>
    <row r="184" spans="1:21" ht="30" hidden="1" x14ac:dyDescent="0.25">
      <c r="A184" s="2922" t="s">
        <v>1530</v>
      </c>
      <c r="B184" s="1884" t="s">
        <v>1531</v>
      </c>
      <c r="C184" s="1885" t="s">
        <v>732</v>
      </c>
      <c r="D184" s="1886"/>
      <c r="E184" s="1887" t="s">
        <v>1532</v>
      </c>
      <c r="F184" s="1888" t="s">
        <v>728</v>
      </c>
      <c r="G184" s="1886"/>
      <c r="H184" s="1886">
        <f t="shared" si="113"/>
        <v>0</v>
      </c>
      <c r="I184" s="1889"/>
      <c r="J184" s="1890" t="s">
        <v>732</v>
      </c>
      <c r="K184" s="2647">
        <v>0</v>
      </c>
      <c r="L184" s="2646">
        <f t="shared" si="111"/>
        <v>0</v>
      </c>
      <c r="M184" s="2226">
        <f t="shared" si="114"/>
        <v>1</v>
      </c>
      <c r="N184" s="2649">
        <f>+$T183</f>
        <v>1.5</v>
      </c>
      <c r="O184" s="1896"/>
      <c r="P184" s="1897"/>
      <c r="Q184" s="1898"/>
      <c r="R184" s="1899">
        <f t="shared" ref="R184" si="115">T184</f>
        <v>0</v>
      </c>
      <c r="S184" s="1895" t="s">
        <v>1533</v>
      </c>
      <c r="T184" s="2673">
        <f>G182*64/4+K188+SUMIF(I182:I187,$B$578,K182:K187)*$E$545+SUMIF(I182:I187,$B$579,K182:K187)*$E$548+SUMIF(I182:I187,$B$580,K182:K187)*$E$546+SUMIF(I182:I187,$B$581,K182:K187)*$E$547+SUMIF(I182:I187,$B$582,K182:K187)*$E$547+SUMIF(I182:I187,$B$583,K182:K187)*$E$549+SUMIF(I182:I187,$B$584,K182:K187)*$E$547+SUMIF(I182:I187,$B$585,K182:K187)*$E$549+SUMIF(I182:I187,$B$586,K182:K187)*$E$547+SUMIF(I182:I187,$B$587,K182:K187)*$E$551+SUMIF(I182:I187,$B$588,K182:K187)*$E$549+SUMIF(I182:I187,$B$590,K182:K187)*$E$544+SUMIF(I182:I187,$B$589,K182:K187)*$E$550</f>
        <v>0</v>
      </c>
      <c r="U184" s="2921"/>
    </row>
    <row r="185" spans="1:21" hidden="1" x14ac:dyDescent="0.25">
      <c r="A185" s="2923"/>
      <c r="B185" s="1884" t="s">
        <v>1534</v>
      </c>
      <c r="C185" s="1885" t="s">
        <v>728</v>
      </c>
      <c r="D185" s="1886"/>
      <c r="E185" s="1887" t="s">
        <v>1535</v>
      </c>
      <c r="F185" s="1888" t="s">
        <v>728</v>
      </c>
      <c r="G185" s="1900">
        <f>(H183+H184)*$C$555+G182*$C$556+(R183-(H183+H184)*$E$527)*$C$555/50+(T184-G182*16)*$C$556/50</f>
        <v>0</v>
      </c>
      <c r="H185" s="1886">
        <f t="shared" si="113"/>
        <v>0</v>
      </c>
      <c r="I185" s="1889"/>
      <c r="J185" s="1890" t="s">
        <v>732</v>
      </c>
      <c r="K185" s="2647">
        <v>0</v>
      </c>
      <c r="L185" s="2646">
        <f t="shared" si="111"/>
        <v>0</v>
      </c>
      <c r="M185" s="2226">
        <f t="shared" si="114"/>
        <v>1</v>
      </c>
      <c r="N185" s="2649">
        <f>+$T183</f>
        <v>1.5</v>
      </c>
      <c r="O185" s="1896"/>
      <c r="P185" s="1897"/>
      <c r="Q185" s="1897"/>
      <c r="R185" s="1897"/>
      <c r="S185" s="1895" t="s">
        <v>3408</v>
      </c>
      <c r="T185" s="2674">
        <f>H182*64/4+L188+SUMIF(I182:I187,$B$578,L182:L187)*$E$545+SUMIF(I182:I187,$B$579,L182:L187)*$E$548+SUMIF(I182:I187,$B$580,L182:L187)*$E$546+SUMIF(I182:I187,$B$581,L182:L187)*$E$547+SUMIF(I182:I187,$B$582,L182:L187)*$E$547+SUMIF(I182:I187,$B$583,L182:L187)*$E$549+SUMIF(I182:I187,$B$584,L182:L187)*$E$547+SUMIF(I182:I187,$B$585,L182:L187)*$E$549+SUMIF(I182:I187,$B$586,L182:L187)*$E$547+SUMIF(I182:I187,$B$587,L182:L187)*$E$551+SUMIF(I182:I187,$B$588,L182:L187)*$E$549+SUMIF(I182:I187,$B$590,L182:L187)*$E$544+SUMIF(I182:I187,$B$589,L182:L187)*$E$550</f>
        <v>0</v>
      </c>
      <c r="U185" s="2921"/>
    </row>
    <row r="186" spans="1:21" ht="29.1" hidden="1" customHeight="1" x14ac:dyDescent="0.25">
      <c r="A186" s="2923"/>
      <c r="B186" s="1884"/>
      <c r="C186" s="1885"/>
      <c r="D186" s="1885"/>
      <c r="E186" s="1901" t="s">
        <v>1536</v>
      </c>
      <c r="F186" s="1888" t="s">
        <v>740</v>
      </c>
      <c r="G186" s="1900">
        <f>(H183*$E$527+H184*$E$527)*$C$557+R183*$C$557+T184*$C$558/T183</f>
        <v>0</v>
      </c>
      <c r="H186" s="1886">
        <f t="shared" si="113"/>
        <v>0</v>
      </c>
      <c r="I186" s="1889"/>
      <c r="J186" s="1890" t="s">
        <v>732</v>
      </c>
      <c r="K186" s="2647">
        <v>0</v>
      </c>
      <c r="L186" s="2646">
        <f t="shared" si="111"/>
        <v>0</v>
      </c>
      <c r="M186" s="2226">
        <f t="shared" si="114"/>
        <v>1</v>
      </c>
      <c r="N186" s="2649">
        <f>+$T183</f>
        <v>1.5</v>
      </c>
      <c r="O186" s="1896"/>
      <c r="P186" s="1897"/>
      <c r="Q186" s="1897"/>
      <c r="R186" s="1902"/>
      <c r="S186" s="1895" t="s">
        <v>1537</v>
      </c>
      <c r="T186" s="2673">
        <f>+T185*T182</f>
        <v>0</v>
      </c>
      <c r="U186" s="2921"/>
    </row>
    <row r="187" spans="1:21" hidden="1" x14ac:dyDescent="0.25">
      <c r="A187" s="2923"/>
      <c r="B187" s="1884"/>
      <c r="C187" s="1885"/>
      <c r="D187" s="1885"/>
      <c r="E187" s="1887"/>
      <c r="F187" s="1888"/>
      <c r="G187" s="1886"/>
      <c r="H187" s="1886"/>
      <c r="I187" s="1889"/>
      <c r="J187" s="1890" t="s">
        <v>732</v>
      </c>
      <c r="K187" s="2647">
        <v>0</v>
      </c>
      <c r="L187" s="2646">
        <f t="shared" si="111"/>
        <v>0</v>
      </c>
      <c r="M187" s="2226">
        <f t="shared" si="114"/>
        <v>1</v>
      </c>
      <c r="N187" s="2649">
        <f>+$T183</f>
        <v>1.5</v>
      </c>
      <c r="O187" s="1903"/>
      <c r="P187" s="1902"/>
      <c r="Q187" s="1902"/>
      <c r="R187" s="1902"/>
      <c r="S187" s="1904"/>
      <c r="T187" s="1905"/>
      <c r="U187" s="2921"/>
    </row>
    <row r="188" spans="1:21" ht="60.75" hidden="1" thickBot="1" x14ac:dyDescent="0.3">
      <c r="A188" s="2925"/>
      <c r="B188" s="1906"/>
      <c r="C188" s="1907"/>
      <c r="D188" s="1907"/>
      <c r="E188" s="1908"/>
      <c r="F188" s="1909"/>
      <c r="G188" s="1910"/>
      <c r="H188" s="1910"/>
      <c r="I188" s="1911" t="s">
        <v>1538</v>
      </c>
      <c r="J188" s="1912" t="s">
        <v>740</v>
      </c>
      <c r="K188" s="2658">
        <v>0</v>
      </c>
      <c r="L188" s="2659">
        <f t="shared" si="111"/>
        <v>0</v>
      </c>
      <c r="M188" s="2660">
        <f>IF(T188="YES",$C$554,1)</f>
        <v>1</v>
      </c>
      <c r="N188" s="2661">
        <f>+$T183</f>
        <v>1.5</v>
      </c>
      <c r="O188" s="1913"/>
      <c r="P188" s="1914"/>
      <c r="Q188" s="1914"/>
      <c r="R188" s="1914"/>
      <c r="S188" s="1920" t="s">
        <v>1539</v>
      </c>
      <c r="T188" s="1921" t="s">
        <v>1540</v>
      </c>
      <c r="U188" s="2924"/>
    </row>
    <row r="189" spans="1:21" ht="27" hidden="1" customHeight="1" thickBot="1" x14ac:dyDescent="0.3">
      <c r="A189" s="1915"/>
      <c r="B189" s="1916"/>
      <c r="C189" s="1917"/>
      <c r="D189" s="1917"/>
      <c r="E189" s="1916"/>
      <c r="F189" s="1917"/>
      <c r="G189" s="1917"/>
      <c r="H189" s="1917"/>
      <c r="I189" s="1916"/>
      <c r="J189" s="1917"/>
      <c r="K189" s="2669"/>
      <c r="L189" s="2669"/>
      <c r="M189" s="2669"/>
      <c r="N189" s="2669"/>
      <c r="O189" s="1916"/>
      <c r="P189" s="1917"/>
      <c r="Q189" s="1917"/>
      <c r="R189" s="1917"/>
      <c r="S189" s="1918"/>
      <c r="T189" s="1917"/>
      <c r="U189" s="1919"/>
    </row>
    <row r="190" spans="1:21" ht="26.85" hidden="1" customHeight="1" x14ac:dyDescent="0.25">
      <c r="A190" s="1870" t="s">
        <v>1513</v>
      </c>
      <c r="B190" s="1871" t="s">
        <v>1523</v>
      </c>
      <c r="C190" s="1872" t="s">
        <v>740</v>
      </c>
      <c r="D190" s="1873"/>
      <c r="E190" s="1874" t="s">
        <v>1524</v>
      </c>
      <c r="F190" s="1875" t="s">
        <v>728</v>
      </c>
      <c r="G190" s="1873"/>
      <c r="H190" s="1873">
        <f t="shared" ref="H190" si="116">G190*M190*N190</f>
        <v>0</v>
      </c>
      <c r="I190" s="1876"/>
      <c r="J190" s="1877" t="s">
        <v>732</v>
      </c>
      <c r="K190" s="2672">
        <v>0</v>
      </c>
      <c r="L190" s="2645">
        <f t="shared" ref="L190:L196" si="117">IF(ISNUMBER(SEARCH("Timber",I190)),M190*K190*N190,K190)</f>
        <v>0</v>
      </c>
      <c r="M190" s="2225">
        <f>+$M196</f>
        <v>1</v>
      </c>
      <c r="N190" s="2648">
        <f>+$T191</f>
        <v>1.5</v>
      </c>
      <c r="O190" s="1878" t="s">
        <v>1512</v>
      </c>
      <c r="P190" s="1879" t="s">
        <v>740</v>
      </c>
      <c r="Q190" s="1880">
        <f t="shared" ref="Q190" si="118">R191*$E$532+T192*$E$533</f>
        <v>0</v>
      </c>
      <c r="R190" s="1881"/>
      <c r="S190" s="1882" t="s">
        <v>1525</v>
      </c>
      <c r="T190" s="1873">
        <v>30</v>
      </c>
      <c r="U190" s="2920" t="s">
        <v>1526</v>
      </c>
    </row>
    <row r="191" spans="1:21" ht="30" hidden="1" x14ac:dyDescent="0.25">
      <c r="A191" s="1883">
        <f>A183+1</f>
        <v>24</v>
      </c>
      <c r="B191" s="1884" t="s">
        <v>1527</v>
      </c>
      <c r="C191" s="1885" t="s">
        <v>740</v>
      </c>
      <c r="D191" s="1886"/>
      <c r="E191" s="1887" t="s">
        <v>1528</v>
      </c>
      <c r="F191" s="1888" t="s">
        <v>728</v>
      </c>
      <c r="G191" s="1886"/>
      <c r="H191" s="1886">
        <f t="shared" ref="H191:H194" si="119">G191</f>
        <v>0</v>
      </c>
      <c r="I191" s="1889"/>
      <c r="J191" s="1890" t="s">
        <v>732</v>
      </c>
      <c r="K191" s="2647">
        <v>0</v>
      </c>
      <c r="L191" s="2646">
        <f t="shared" si="117"/>
        <v>0</v>
      </c>
      <c r="M191" s="2226">
        <f t="shared" ref="M191:M195" si="120">M192</f>
        <v>1</v>
      </c>
      <c r="N191" s="2649">
        <f>+$T191</f>
        <v>1.5</v>
      </c>
      <c r="O191" s="1891" t="s">
        <v>1512</v>
      </c>
      <c r="P191" s="1892" t="s">
        <v>740</v>
      </c>
      <c r="Q191" s="1893"/>
      <c r="R191" s="1894">
        <f>H191*$E$527*0+H192*$E$527*0+SUMIF(I190:I195,$B$565,L190:L195)*$E$537+SUMIF(I190:I195,$B$566,L190:L195)*$E$540+SUMIF(I190:I195,$B$567,L190:L195)*$E$538+SUMIF(I190:I195,$B$568,L190:L195)*$E$539+SUMIF(I190:I195,$B$569,L190:L195)*$E$539+SUMIF(I190:I195,$B$570,L190:L195)*$E$541+SUMIF(I190:I195,$B$571,L190:L195)*$E$539+SUMIF(I190:I195,$B$572,L190:L195)*$E$541+SUMIF(I190:I195,$B$573,L190:L195)*$E$539+SUMIF(I190:I195,$B$574,L190:L195)*$E$543+SUMIF(I190:I195,$B$575,L190:L195)*$E$541+SUMIF(I190:I195,$B$577,L190:L195)*$E$536+SUMIF(I190:I195,$B$576,L190:L195)*$E$542+SUMIF(I190:I195,$B$563,L190:L195)*$E$539</f>
        <v>0</v>
      </c>
      <c r="S191" s="1895" t="s">
        <v>1529</v>
      </c>
      <c r="T191" s="2644">
        <f>+'Data Input sheet'!$D$112</f>
        <v>1.5</v>
      </c>
      <c r="U191" s="2921"/>
    </row>
    <row r="192" spans="1:21" ht="30" hidden="1" x14ac:dyDescent="0.25">
      <c r="A192" s="2922" t="s">
        <v>1530</v>
      </c>
      <c r="B192" s="1884" t="s">
        <v>1531</v>
      </c>
      <c r="C192" s="1885" t="s">
        <v>732</v>
      </c>
      <c r="D192" s="1886"/>
      <c r="E192" s="1887" t="s">
        <v>1532</v>
      </c>
      <c r="F192" s="1888" t="s">
        <v>728</v>
      </c>
      <c r="G192" s="1886"/>
      <c r="H192" s="1886">
        <f t="shared" si="119"/>
        <v>0</v>
      </c>
      <c r="I192" s="1889"/>
      <c r="J192" s="1890" t="s">
        <v>732</v>
      </c>
      <c r="K192" s="2647">
        <v>0</v>
      </c>
      <c r="L192" s="2646">
        <f t="shared" si="117"/>
        <v>0</v>
      </c>
      <c r="M192" s="2226">
        <f t="shared" si="120"/>
        <v>1</v>
      </c>
      <c r="N192" s="2649">
        <f>+$T191</f>
        <v>1.5</v>
      </c>
      <c r="O192" s="1896"/>
      <c r="P192" s="1897"/>
      <c r="Q192" s="1898"/>
      <c r="R192" s="1899">
        <f t="shared" ref="R192" si="121">T192</f>
        <v>0</v>
      </c>
      <c r="S192" s="1895" t="s">
        <v>1533</v>
      </c>
      <c r="T192" s="2673">
        <f>G190*64/4+K196+SUMIF(I190:I195,$B$578,K190:K195)*$E$545+SUMIF(I190:I195,$B$579,K190:K195)*$E$548+SUMIF(I190:I195,$B$580,K190:K195)*$E$546+SUMIF(I190:I195,$B$581,K190:K195)*$E$547+SUMIF(I190:I195,$B$582,K190:K195)*$E$547+SUMIF(I190:I195,$B$583,K190:K195)*$E$549+SUMIF(I190:I195,$B$584,K190:K195)*$E$547+SUMIF(I190:I195,$B$585,K190:K195)*$E$549+SUMIF(I190:I195,$B$586,K190:K195)*$E$547+SUMIF(I190:I195,$B$587,K190:K195)*$E$551+SUMIF(I190:I195,$B$588,K190:K195)*$E$549+SUMIF(I190:I195,$B$590,K190:K195)*$E$544+SUMIF(I190:I195,$B$589,K190:K195)*$E$550</f>
        <v>0</v>
      </c>
      <c r="U192" s="2921"/>
    </row>
    <row r="193" spans="1:21" hidden="1" x14ac:dyDescent="0.25">
      <c r="A193" s="2923"/>
      <c r="B193" s="1884" t="s">
        <v>1534</v>
      </c>
      <c r="C193" s="1885" t="s">
        <v>728</v>
      </c>
      <c r="D193" s="1886"/>
      <c r="E193" s="1887" t="s">
        <v>1535</v>
      </c>
      <c r="F193" s="1888" t="s">
        <v>728</v>
      </c>
      <c r="G193" s="1900">
        <f>(H191+H192)*$C$555+G190*$C$556+(R191-(H191+H192)*$E$527)*$C$555/50+(T192-G190*16)*$C$556/50</f>
        <v>0</v>
      </c>
      <c r="H193" s="1886">
        <f t="shared" si="119"/>
        <v>0</v>
      </c>
      <c r="I193" s="1889"/>
      <c r="J193" s="1890" t="s">
        <v>732</v>
      </c>
      <c r="K193" s="2647">
        <v>0</v>
      </c>
      <c r="L193" s="2646">
        <f t="shared" si="117"/>
        <v>0</v>
      </c>
      <c r="M193" s="2226">
        <f t="shared" si="120"/>
        <v>1</v>
      </c>
      <c r="N193" s="2649">
        <f>+$T191</f>
        <v>1.5</v>
      </c>
      <c r="O193" s="1896"/>
      <c r="P193" s="1897"/>
      <c r="Q193" s="1897"/>
      <c r="R193" s="1897"/>
      <c r="S193" s="1895" t="s">
        <v>3408</v>
      </c>
      <c r="T193" s="2674">
        <f>H190*64/4+L196+SUMIF(I190:I195,$B$578,L190:L195)*$E$545+SUMIF(I190:I195,$B$579,L190:L195)*$E$548+SUMIF(I190:I195,$B$580,L190:L195)*$E$546+SUMIF(I190:I195,$B$581,L190:L195)*$E$547+SUMIF(I190:I195,$B$582,L190:L195)*$E$547+SUMIF(I190:I195,$B$583,L190:L195)*$E$549+SUMIF(I190:I195,$B$584,L190:L195)*$E$547+SUMIF(I190:I195,$B$585,L190:L195)*$E$549+SUMIF(I190:I195,$B$586,L190:L195)*$E$547+SUMIF(I190:I195,$B$587,L190:L195)*$E$551+SUMIF(I190:I195,$B$588,L190:L195)*$E$549+SUMIF(I190:I195,$B$590,L190:L195)*$E$544+SUMIF(I190:I195,$B$589,L190:L195)*$E$550</f>
        <v>0</v>
      </c>
      <c r="U193" s="2921"/>
    </row>
    <row r="194" spans="1:21" ht="29.1" hidden="1" customHeight="1" x14ac:dyDescent="0.25">
      <c r="A194" s="2923"/>
      <c r="B194" s="1884"/>
      <c r="C194" s="1885"/>
      <c r="D194" s="1885"/>
      <c r="E194" s="1901" t="s">
        <v>1536</v>
      </c>
      <c r="F194" s="1888" t="s">
        <v>740</v>
      </c>
      <c r="G194" s="1900">
        <f>(H191*$E$527+H192*$E$527)*$C$557+R191*$C$557+T192*$C$558/T191</f>
        <v>0</v>
      </c>
      <c r="H194" s="1886">
        <f t="shared" si="119"/>
        <v>0</v>
      </c>
      <c r="I194" s="1889"/>
      <c r="J194" s="1890" t="s">
        <v>732</v>
      </c>
      <c r="K194" s="2647">
        <v>0</v>
      </c>
      <c r="L194" s="2646">
        <f t="shared" si="117"/>
        <v>0</v>
      </c>
      <c r="M194" s="2226">
        <f t="shared" si="120"/>
        <v>1</v>
      </c>
      <c r="N194" s="2649">
        <f>+$T191</f>
        <v>1.5</v>
      </c>
      <c r="O194" s="1896"/>
      <c r="P194" s="1897"/>
      <c r="Q194" s="1897"/>
      <c r="R194" s="1902"/>
      <c r="S194" s="1895" t="s">
        <v>1537</v>
      </c>
      <c r="T194" s="2673">
        <f>+T193*T190</f>
        <v>0</v>
      </c>
      <c r="U194" s="2921"/>
    </row>
    <row r="195" spans="1:21" hidden="1" x14ac:dyDescent="0.25">
      <c r="A195" s="2923"/>
      <c r="B195" s="1884"/>
      <c r="C195" s="1885"/>
      <c r="D195" s="1885"/>
      <c r="E195" s="1887"/>
      <c r="F195" s="1888"/>
      <c r="G195" s="1886"/>
      <c r="H195" s="1886"/>
      <c r="I195" s="1889"/>
      <c r="J195" s="1890" t="s">
        <v>732</v>
      </c>
      <c r="K195" s="2647">
        <v>0</v>
      </c>
      <c r="L195" s="2646">
        <f t="shared" si="117"/>
        <v>0</v>
      </c>
      <c r="M195" s="2226">
        <f t="shared" si="120"/>
        <v>1</v>
      </c>
      <c r="N195" s="2649">
        <f>+$T191</f>
        <v>1.5</v>
      </c>
      <c r="O195" s="1903"/>
      <c r="P195" s="1902"/>
      <c r="Q195" s="1902"/>
      <c r="R195" s="1902"/>
      <c r="S195" s="1904"/>
      <c r="T195" s="1905"/>
      <c r="U195" s="2921"/>
    </row>
    <row r="196" spans="1:21" ht="60.75" hidden="1" thickBot="1" x14ac:dyDescent="0.3">
      <c r="A196" s="2925"/>
      <c r="B196" s="1906"/>
      <c r="C196" s="1907"/>
      <c r="D196" s="1907"/>
      <c r="E196" s="1908"/>
      <c r="F196" s="1909"/>
      <c r="G196" s="1910"/>
      <c r="H196" s="1910"/>
      <c r="I196" s="1911" t="s">
        <v>1538</v>
      </c>
      <c r="J196" s="1912" t="s">
        <v>740</v>
      </c>
      <c r="K196" s="2658">
        <v>0</v>
      </c>
      <c r="L196" s="2659">
        <f t="shared" si="117"/>
        <v>0</v>
      </c>
      <c r="M196" s="2660">
        <f>IF(T196="YES",$C$554,1)</f>
        <v>1</v>
      </c>
      <c r="N196" s="2661">
        <f>+$T191</f>
        <v>1.5</v>
      </c>
      <c r="O196" s="1913"/>
      <c r="P196" s="1914"/>
      <c r="Q196" s="1914"/>
      <c r="R196" s="1914"/>
      <c r="S196" s="1920" t="s">
        <v>1539</v>
      </c>
      <c r="T196" s="1921" t="s">
        <v>1540</v>
      </c>
      <c r="U196" s="2924"/>
    </row>
    <row r="197" spans="1:21" ht="27" hidden="1" customHeight="1" thickBot="1" x14ac:dyDescent="0.3">
      <c r="A197" s="1915"/>
      <c r="B197" s="1916"/>
      <c r="C197" s="1917"/>
      <c r="D197" s="1917"/>
      <c r="E197" s="1916"/>
      <c r="F197" s="1917"/>
      <c r="G197" s="1917"/>
      <c r="H197" s="1917"/>
      <c r="I197" s="1916"/>
      <c r="J197" s="1917"/>
      <c r="K197" s="2669"/>
      <c r="L197" s="2669"/>
      <c r="M197" s="2669"/>
      <c r="N197" s="2669"/>
      <c r="O197" s="1916"/>
      <c r="P197" s="1917"/>
      <c r="Q197" s="1917"/>
      <c r="R197" s="1917"/>
      <c r="S197" s="1918"/>
      <c r="T197" s="1917"/>
      <c r="U197" s="1919"/>
    </row>
    <row r="198" spans="1:21" ht="26.85" hidden="1" customHeight="1" x14ac:dyDescent="0.25">
      <c r="A198" s="1870" t="s">
        <v>1513</v>
      </c>
      <c r="B198" s="1871" t="s">
        <v>1523</v>
      </c>
      <c r="C198" s="1872" t="s">
        <v>740</v>
      </c>
      <c r="D198" s="1873"/>
      <c r="E198" s="1874" t="s">
        <v>1524</v>
      </c>
      <c r="F198" s="1875" t="s">
        <v>728</v>
      </c>
      <c r="G198" s="1873"/>
      <c r="H198" s="1873">
        <f t="shared" ref="H198" si="122">G198*M198*N198</f>
        <v>0</v>
      </c>
      <c r="I198" s="1876"/>
      <c r="J198" s="1877" t="s">
        <v>732</v>
      </c>
      <c r="K198" s="2672">
        <v>0</v>
      </c>
      <c r="L198" s="2645">
        <f t="shared" ref="L198:L204" si="123">IF(ISNUMBER(SEARCH("Timber",I198)),M198*K198*N198,K198)</f>
        <v>0</v>
      </c>
      <c r="M198" s="2225">
        <f>+$M204</f>
        <v>1</v>
      </c>
      <c r="N198" s="2648">
        <f>+$T199</f>
        <v>1.5</v>
      </c>
      <c r="O198" s="1878" t="s">
        <v>1512</v>
      </c>
      <c r="P198" s="1879" t="s">
        <v>740</v>
      </c>
      <c r="Q198" s="1880">
        <f t="shared" ref="Q198" si="124">R199*$E$532+T200*$E$533</f>
        <v>0</v>
      </c>
      <c r="R198" s="1881"/>
      <c r="S198" s="1882" t="s">
        <v>1525</v>
      </c>
      <c r="T198" s="1873">
        <v>30</v>
      </c>
      <c r="U198" s="2920" t="s">
        <v>1526</v>
      </c>
    </row>
    <row r="199" spans="1:21" ht="30" hidden="1" x14ac:dyDescent="0.25">
      <c r="A199" s="1883">
        <f>A191+1</f>
        <v>25</v>
      </c>
      <c r="B199" s="1884" t="s">
        <v>1527</v>
      </c>
      <c r="C199" s="1885" t="s">
        <v>740</v>
      </c>
      <c r="D199" s="1886"/>
      <c r="E199" s="1887" t="s">
        <v>1528</v>
      </c>
      <c r="F199" s="1888" t="s">
        <v>728</v>
      </c>
      <c r="G199" s="1886"/>
      <c r="H199" s="1886">
        <f t="shared" ref="H199:H202" si="125">G199</f>
        <v>0</v>
      </c>
      <c r="I199" s="1889"/>
      <c r="J199" s="1890" t="s">
        <v>732</v>
      </c>
      <c r="K199" s="2647">
        <v>0</v>
      </c>
      <c r="L199" s="2646">
        <f t="shared" si="123"/>
        <v>0</v>
      </c>
      <c r="M199" s="2226">
        <f t="shared" ref="M199:M203" si="126">M200</f>
        <v>1</v>
      </c>
      <c r="N199" s="2649">
        <f>+$T199</f>
        <v>1.5</v>
      </c>
      <c r="O199" s="1891" t="s">
        <v>1512</v>
      </c>
      <c r="P199" s="1892" t="s">
        <v>740</v>
      </c>
      <c r="Q199" s="1893"/>
      <c r="R199" s="1894">
        <f>H199*$E$527*0+H200*$E$527*0+SUMIF(I198:I203,$B$565,L198:L203)*$E$537+SUMIF(I198:I203,$B$566,L198:L203)*$E$540+SUMIF(I198:I203,$B$567,L198:L203)*$E$538+SUMIF(I198:I203,$B$568,L198:L203)*$E$539+SUMIF(I198:I203,$B$569,L198:L203)*$E$539+SUMIF(I198:I203,$B$570,L198:L203)*$E$541+SUMIF(I198:I203,$B$571,L198:L203)*$E$539+SUMIF(I198:I203,$B$572,L198:L203)*$E$541+SUMIF(I198:I203,$B$573,L198:L203)*$E$539+SUMIF(I198:I203,$B$574,L198:L203)*$E$543+SUMIF(I198:I203,$B$575,L198:L203)*$E$541+SUMIF(I198:I203,$B$577,L198:L203)*$E$536+SUMIF(I198:I203,$B$576,L198:L203)*$E$542+SUMIF(I198:I203,$B$563,L198:L203)*$E$539</f>
        <v>0</v>
      </c>
      <c r="S199" s="1895" t="s">
        <v>1529</v>
      </c>
      <c r="T199" s="2644">
        <f>+'Data Input sheet'!$D$112</f>
        <v>1.5</v>
      </c>
      <c r="U199" s="2921"/>
    </row>
    <row r="200" spans="1:21" ht="30" hidden="1" x14ac:dyDescent="0.25">
      <c r="A200" s="2922" t="s">
        <v>1530</v>
      </c>
      <c r="B200" s="1884" t="s">
        <v>1531</v>
      </c>
      <c r="C200" s="1885" t="s">
        <v>732</v>
      </c>
      <c r="D200" s="1886"/>
      <c r="E200" s="1887" t="s">
        <v>1532</v>
      </c>
      <c r="F200" s="1888" t="s">
        <v>728</v>
      </c>
      <c r="G200" s="1886"/>
      <c r="H200" s="1886">
        <f t="shared" si="125"/>
        <v>0</v>
      </c>
      <c r="I200" s="1889"/>
      <c r="J200" s="1890" t="s">
        <v>732</v>
      </c>
      <c r="K200" s="2647">
        <v>0</v>
      </c>
      <c r="L200" s="2646">
        <f t="shared" si="123"/>
        <v>0</v>
      </c>
      <c r="M200" s="2226">
        <f t="shared" si="126"/>
        <v>1</v>
      </c>
      <c r="N200" s="2649">
        <f>+$T199</f>
        <v>1.5</v>
      </c>
      <c r="O200" s="1896"/>
      <c r="P200" s="1897"/>
      <c r="Q200" s="1898"/>
      <c r="R200" s="1899">
        <f t="shared" ref="R200" si="127">T200</f>
        <v>0</v>
      </c>
      <c r="S200" s="1895" t="s">
        <v>1533</v>
      </c>
      <c r="T200" s="2673">
        <f>G198*64/4+K204+SUMIF(I198:I203,$B$578,K198:K203)*$E$545+SUMIF(I198:I203,$B$579,K198:K203)*$E$548+SUMIF(I198:I203,$B$580,K198:K203)*$E$546+SUMIF(I198:I203,$B$581,K198:K203)*$E$547+SUMIF(I198:I203,$B$582,K198:K203)*$E$547+SUMIF(I198:I203,$B$583,K198:K203)*$E$549+SUMIF(I198:I203,$B$584,K198:K203)*$E$547+SUMIF(I198:I203,$B$585,K198:K203)*$E$549+SUMIF(I198:I203,$B$586,K198:K203)*$E$547+SUMIF(I198:I203,$B$587,K198:K203)*$E$551+SUMIF(I198:I203,$B$588,K198:K203)*$E$549+SUMIF(I198:I203,$B$590,K198:K203)*$E$544+SUMIF(I198:I203,$B$589,K198:K203)*$E$550</f>
        <v>0</v>
      </c>
      <c r="U200" s="2921"/>
    </row>
    <row r="201" spans="1:21" hidden="1" x14ac:dyDescent="0.25">
      <c r="A201" s="2923"/>
      <c r="B201" s="1884" t="s">
        <v>1534</v>
      </c>
      <c r="C201" s="1885" t="s">
        <v>728</v>
      </c>
      <c r="D201" s="1886"/>
      <c r="E201" s="1887" t="s">
        <v>1535</v>
      </c>
      <c r="F201" s="1888" t="s">
        <v>728</v>
      </c>
      <c r="G201" s="1900">
        <f>(H199+H200)*$C$555+G198*$C$556+(R199-(H199+H200)*$E$527)*$C$555/50+(T200-G198*16)*$C$556/50</f>
        <v>0</v>
      </c>
      <c r="H201" s="1886">
        <f t="shared" si="125"/>
        <v>0</v>
      </c>
      <c r="I201" s="1889"/>
      <c r="J201" s="1890" t="s">
        <v>732</v>
      </c>
      <c r="K201" s="2647">
        <v>0</v>
      </c>
      <c r="L201" s="2646">
        <f t="shared" si="123"/>
        <v>0</v>
      </c>
      <c r="M201" s="2226">
        <f t="shared" si="126"/>
        <v>1</v>
      </c>
      <c r="N201" s="2649">
        <f>+$T199</f>
        <v>1.5</v>
      </c>
      <c r="O201" s="1896"/>
      <c r="P201" s="1897"/>
      <c r="Q201" s="1897"/>
      <c r="R201" s="1897"/>
      <c r="S201" s="1895" t="s">
        <v>3408</v>
      </c>
      <c r="T201" s="2674">
        <f>H198*64/4+L204+SUMIF(I198:I203,$B$578,L198:L203)*$E$545+SUMIF(I198:I203,$B$579,L198:L203)*$E$548+SUMIF(I198:I203,$B$580,L198:L203)*$E$546+SUMIF(I198:I203,$B$581,L198:L203)*$E$547+SUMIF(I198:I203,$B$582,L198:L203)*$E$547+SUMIF(I198:I203,$B$583,L198:L203)*$E$549+SUMIF(I198:I203,$B$584,L198:L203)*$E$547+SUMIF(I198:I203,$B$585,L198:L203)*$E$549+SUMIF(I198:I203,$B$586,L198:L203)*$E$547+SUMIF(I198:I203,$B$587,L198:L203)*$E$551+SUMIF(I198:I203,$B$588,L198:L203)*$E$549+SUMIF(I198:I203,$B$590,L198:L203)*$E$544+SUMIF(I198:I203,$B$589,L198:L203)*$E$550</f>
        <v>0</v>
      </c>
      <c r="U201" s="2921"/>
    </row>
    <row r="202" spans="1:21" ht="29.1" hidden="1" customHeight="1" x14ac:dyDescent="0.25">
      <c r="A202" s="2923"/>
      <c r="B202" s="1884"/>
      <c r="C202" s="1885"/>
      <c r="D202" s="1885"/>
      <c r="E202" s="1901" t="s">
        <v>1536</v>
      </c>
      <c r="F202" s="1888" t="s">
        <v>740</v>
      </c>
      <c r="G202" s="1900">
        <f>(H199*$E$527+H200*$E$527)*$C$557+R199*$C$557+T200*$C$558/T199</f>
        <v>0</v>
      </c>
      <c r="H202" s="1886">
        <f t="shared" si="125"/>
        <v>0</v>
      </c>
      <c r="I202" s="1889"/>
      <c r="J202" s="1890" t="s">
        <v>732</v>
      </c>
      <c r="K202" s="2647">
        <v>0</v>
      </c>
      <c r="L202" s="2646">
        <f t="shared" si="123"/>
        <v>0</v>
      </c>
      <c r="M202" s="2226">
        <f t="shared" si="126"/>
        <v>1</v>
      </c>
      <c r="N202" s="2649">
        <f>+$T199</f>
        <v>1.5</v>
      </c>
      <c r="O202" s="1896"/>
      <c r="P202" s="1897"/>
      <c r="Q202" s="1897"/>
      <c r="R202" s="1902"/>
      <c r="S202" s="1895" t="s">
        <v>1537</v>
      </c>
      <c r="T202" s="2673">
        <f>+T201*T198</f>
        <v>0</v>
      </c>
      <c r="U202" s="2921"/>
    </row>
    <row r="203" spans="1:21" hidden="1" x14ac:dyDescent="0.25">
      <c r="A203" s="2923"/>
      <c r="B203" s="1884"/>
      <c r="C203" s="1885"/>
      <c r="D203" s="1885"/>
      <c r="E203" s="1887"/>
      <c r="F203" s="1888"/>
      <c r="G203" s="1886"/>
      <c r="H203" s="1886"/>
      <c r="I203" s="1889"/>
      <c r="J203" s="1890" t="s">
        <v>732</v>
      </c>
      <c r="K203" s="2647">
        <v>0</v>
      </c>
      <c r="L203" s="2646">
        <f t="shared" si="123"/>
        <v>0</v>
      </c>
      <c r="M203" s="2226">
        <f t="shared" si="126"/>
        <v>1</v>
      </c>
      <c r="N203" s="2649">
        <f>+$T199</f>
        <v>1.5</v>
      </c>
      <c r="O203" s="1903"/>
      <c r="P203" s="1902"/>
      <c r="Q203" s="1902"/>
      <c r="R203" s="1902"/>
      <c r="S203" s="1904"/>
      <c r="T203" s="1905"/>
      <c r="U203" s="2921"/>
    </row>
    <row r="204" spans="1:21" ht="60.75" hidden="1" thickBot="1" x14ac:dyDescent="0.3">
      <c r="A204" s="2925"/>
      <c r="B204" s="1906"/>
      <c r="C204" s="1907"/>
      <c r="D204" s="1907"/>
      <c r="E204" s="1908"/>
      <c r="F204" s="1909"/>
      <c r="G204" s="1910"/>
      <c r="H204" s="1910"/>
      <c r="I204" s="1911" t="s">
        <v>1538</v>
      </c>
      <c r="J204" s="1912" t="s">
        <v>740</v>
      </c>
      <c r="K204" s="2658">
        <v>0</v>
      </c>
      <c r="L204" s="2659">
        <f t="shared" si="123"/>
        <v>0</v>
      </c>
      <c r="M204" s="2660">
        <f>IF(T204="YES",$C$554,1)</f>
        <v>1</v>
      </c>
      <c r="N204" s="2661">
        <f>+$T199</f>
        <v>1.5</v>
      </c>
      <c r="O204" s="1913"/>
      <c r="P204" s="1914"/>
      <c r="Q204" s="1914"/>
      <c r="R204" s="1914"/>
      <c r="S204" s="1920" t="s">
        <v>1539</v>
      </c>
      <c r="T204" s="1921" t="s">
        <v>1540</v>
      </c>
      <c r="U204" s="2924"/>
    </row>
    <row r="205" spans="1:21" ht="27" hidden="1" customHeight="1" thickBot="1" x14ac:dyDescent="0.3">
      <c r="A205" s="1915"/>
      <c r="B205" s="1916"/>
      <c r="C205" s="1917"/>
      <c r="D205" s="1917"/>
      <c r="E205" s="1916"/>
      <c r="F205" s="1917"/>
      <c r="G205" s="1917"/>
      <c r="H205" s="1917"/>
      <c r="I205" s="1916"/>
      <c r="J205" s="1917"/>
      <c r="K205" s="2669"/>
      <c r="L205" s="2669"/>
      <c r="M205" s="2669"/>
      <c r="N205" s="2669"/>
      <c r="O205" s="1916"/>
      <c r="P205" s="1917"/>
      <c r="Q205" s="1917"/>
      <c r="R205" s="1917"/>
      <c r="S205" s="1918"/>
      <c r="T205" s="1917"/>
      <c r="U205" s="1919"/>
    </row>
    <row r="206" spans="1:21" ht="26.85" hidden="1" customHeight="1" x14ac:dyDescent="0.25">
      <c r="A206" s="1870" t="s">
        <v>1513</v>
      </c>
      <c r="B206" s="1871" t="s">
        <v>1523</v>
      </c>
      <c r="C206" s="1872" t="s">
        <v>740</v>
      </c>
      <c r="D206" s="1873"/>
      <c r="E206" s="1874" t="s">
        <v>1524</v>
      </c>
      <c r="F206" s="1875" t="s">
        <v>728</v>
      </c>
      <c r="G206" s="1873"/>
      <c r="H206" s="1873">
        <f t="shared" ref="H206" si="128">G206*M206*N206</f>
        <v>0</v>
      </c>
      <c r="I206" s="1876"/>
      <c r="J206" s="1877" t="s">
        <v>732</v>
      </c>
      <c r="K206" s="2672">
        <v>0</v>
      </c>
      <c r="L206" s="2645">
        <f t="shared" ref="L206:L212" si="129">IF(ISNUMBER(SEARCH("Timber",I206)),M206*K206*N206,K206)</f>
        <v>0</v>
      </c>
      <c r="M206" s="2225">
        <f>+$M212</f>
        <v>1</v>
      </c>
      <c r="N206" s="2648">
        <f>+$T207</f>
        <v>1.5</v>
      </c>
      <c r="O206" s="1878" t="s">
        <v>1512</v>
      </c>
      <c r="P206" s="1879" t="s">
        <v>740</v>
      </c>
      <c r="Q206" s="1880">
        <f t="shared" ref="Q206" si="130">R207*$E$532+T208*$E$533</f>
        <v>0</v>
      </c>
      <c r="R206" s="1881"/>
      <c r="S206" s="1882" t="s">
        <v>1525</v>
      </c>
      <c r="T206" s="1873">
        <v>30</v>
      </c>
      <c r="U206" s="2920" t="s">
        <v>1526</v>
      </c>
    </row>
    <row r="207" spans="1:21" ht="30" hidden="1" x14ac:dyDescent="0.25">
      <c r="A207" s="1883">
        <f>A199+1</f>
        <v>26</v>
      </c>
      <c r="B207" s="1884" t="s">
        <v>1527</v>
      </c>
      <c r="C207" s="1885" t="s">
        <v>740</v>
      </c>
      <c r="D207" s="1886"/>
      <c r="E207" s="1887" t="s">
        <v>1528</v>
      </c>
      <c r="F207" s="1888" t="s">
        <v>728</v>
      </c>
      <c r="G207" s="1886"/>
      <c r="H207" s="1886">
        <f t="shared" ref="H207:H210" si="131">G207</f>
        <v>0</v>
      </c>
      <c r="I207" s="1889"/>
      <c r="J207" s="1890" t="s">
        <v>732</v>
      </c>
      <c r="K207" s="2647">
        <v>0</v>
      </c>
      <c r="L207" s="2646">
        <f t="shared" si="129"/>
        <v>0</v>
      </c>
      <c r="M207" s="2226">
        <f t="shared" ref="M207:M211" si="132">M208</f>
        <v>1</v>
      </c>
      <c r="N207" s="2649">
        <f>+$T207</f>
        <v>1.5</v>
      </c>
      <c r="O207" s="1891" t="s">
        <v>1512</v>
      </c>
      <c r="P207" s="1892" t="s">
        <v>740</v>
      </c>
      <c r="Q207" s="1893"/>
      <c r="R207" s="1894">
        <f>H207*$E$527*0+H208*$E$527*0+SUMIF(I206:I211,$B$565,L206:L211)*$E$537+SUMIF(I206:I211,$B$566,L206:L211)*$E$540+SUMIF(I206:I211,$B$567,L206:L211)*$E$538+SUMIF(I206:I211,$B$568,L206:L211)*$E$539+SUMIF(I206:I211,$B$569,L206:L211)*$E$539+SUMIF(I206:I211,$B$570,L206:L211)*$E$541+SUMIF(I206:I211,$B$571,L206:L211)*$E$539+SUMIF(I206:I211,$B$572,L206:L211)*$E$541+SUMIF(I206:I211,$B$573,L206:L211)*$E$539+SUMIF(I206:I211,$B$574,L206:L211)*$E$543+SUMIF(I206:I211,$B$575,L206:L211)*$E$541+SUMIF(I206:I211,$B$577,L206:L211)*$E$536+SUMIF(I206:I211,$B$576,L206:L211)*$E$542+SUMIF(I206:I211,$B$563,L206:L211)*$E$539</f>
        <v>0</v>
      </c>
      <c r="S207" s="1895" t="s">
        <v>1529</v>
      </c>
      <c r="T207" s="2644">
        <f>+'Data Input sheet'!$D$112</f>
        <v>1.5</v>
      </c>
      <c r="U207" s="2921"/>
    </row>
    <row r="208" spans="1:21" ht="30" hidden="1" x14ac:dyDescent="0.25">
      <c r="A208" s="2922" t="s">
        <v>1530</v>
      </c>
      <c r="B208" s="1884" t="s">
        <v>1531</v>
      </c>
      <c r="C208" s="1885" t="s">
        <v>732</v>
      </c>
      <c r="D208" s="1886"/>
      <c r="E208" s="1887" t="s">
        <v>1532</v>
      </c>
      <c r="F208" s="1888" t="s">
        <v>728</v>
      </c>
      <c r="G208" s="1886"/>
      <c r="H208" s="1886">
        <f t="shared" si="131"/>
        <v>0</v>
      </c>
      <c r="I208" s="1889"/>
      <c r="J208" s="1890" t="s">
        <v>732</v>
      </c>
      <c r="K208" s="2647">
        <v>0</v>
      </c>
      <c r="L208" s="2646">
        <f t="shared" si="129"/>
        <v>0</v>
      </c>
      <c r="M208" s="2226">
        <f t="shared" si="132"/>
        <v>1</v>
      </c>
      <c r="N208" s="2649">
        <f>+$T207</f>
        <v>1.5</v>
      </c>
      <c r="O208" s="1896"/>
      <c r="P208" s="1897"/>
      <c r="Q208" s="1898"/>
      <c r="R208" s="1899">
        <f t="shared" ref="R208" si="133">T208</f>
        <v>0</v>
      </c>
      <c r="S208" s="1895" t="s">
        <v>1533</v>
      </c>
      <c r="T208" s="2673">
        <f>G206*64/4+K212+SUMIF(I206:I211,$B$578,K206:K211)*$E$545+SUMIF(I206:I211,$B$579,K206:K211)*$E$548+SUMIF(I206:I211,$B$580,K206:K211)*$E$546+SUMIF(I206:I211,$B$581,K206:K211)*$E$547+SUMIF(I206:I211,$B$582,K206:K211)*$E$547+SUMIF(I206:I211,$B$583,K206:K211)*$E$549+SUMIF(I206:I211,$B$584,K206:K211)*$E$547+SUMIF(I206:I211,$B$585,K206:K211)*$E$549+SUMIF(I206:I211,$B$586,K206:K211)*$E$547+SUMIF(I206:I211,$B$587,K206:K211)*$E$551+SUMIF(I206:I211,$B$588,K206:K211)*$E$549+SUMIF(I206:I211,$B$590,K206:K211)*$E$544+SUMIF(I206:I211,$B$589,K206:K211)*$E$550</f>
        <v>0</v>
      </c>
      <c r="U208" s="2921"/>
    </row>
    <row r="209" spans="1:21" hidden="1" x14ac:dyDescent="0.25">
      <c r="A209" s="2923"/>
      <c r="B209" s="1884" t="s">
        <v>1534</v>
      </c>
      <c r="C209" s="1885" t="s">
        <v>728</v>
      </c>
      <c r="D209" s="1886"/>
      <c r="E209" s="1887" t="s">
        <v>1535</v>
      </c>
      <c r="F209" s="1888" t="s">
        <v>728</v>
      </c>
      <c r="G209" s="1900">
        <f>(H207+H208)*$C$555+G206*$C$556+(R207-(H207+H208)*$E$527)*$C$555/50+(T208-G206*16)*$C$556/50</f>
        <v>0</v>
      </c>
      <c r="H209" s="1886">
        <f t="shared" si="131"/>
        <v>0</v>
      </c>
      <c r="I209" s="1889"/>
      <c r="J209" s="1890" t="s">
        <v>732</v>
      </c>
      <c r="K209" s="2647">
        <v>0</v>
      </c>
      <c r="L209" s="2646">
        <f t="shared" si="129"/>
        <v>0</v>
      </c>
      <c r="M209" s="2226">
        <f t="shared" si="132"/>
        <v>1</v>
      </c>
      <c r="N209" s="2649">
        <f>+$T207</f>
        <v>1.5</v>
      </c>
      <c r="O209" s="1896"/>
      <c r="P209" s="1897"/>
      <c r="Q209" s="1897"/>
      <c r="R209" s="1897"/>
      <c r="S209" s="1895" t="s">
        <v>3408</v>
      </c>
      <c r="T209" s="2674">
        <f>H206*64/4+L212+SUMIF(I206:I211,$B$578,L206:L211)*$E$545+SUMIF(I206:I211,$B$579,L206:L211)*$E$548+SUMIF(I206:I211,$B$580,L206:L211)*$E$546+SUMIF(I206:I211,$B$581,L206:L211)*$E$547+SUMIF(I206:I211,$B$582,L206:L211)*$E$547+SUMIF(I206:I211,$B$583,L206:L211)*$E$549+SUMIF(I206:I211,$B$584,L206:L211)*$E$547+SUMIF(I206:I211,$B$585,L206:L211)*$E$549+SUMIF(I206:I211,$B$586,L206:L211)*$E$547+SUMIF(I206:I211,$B$587,L206:L211)*$E$551+SUMIF(I206:I211,$B$588,L206:L211)*$E$549+SUMIF(I206:I211,$B$590,L206:L211)*$E$544+SUMIF(I206:I211,$B$589,L206:L211)*$E$550</f>
        <v>0</v>
      </c>
      <c r="U209" s="2921"/>
    </row>
    <row r="210" spans="1:21" ht="29.1" hidden="1" customHeight="1" x14ac:dyDescent="0.25">
      <c r="A210" s="2923"/>
      <c r="B210" s="1884"/>
      <c r="C210" s="1885"/>
      <c r="D210" s="1885"/>
      <c r="E210" s="1901" t="s">
        <v>1536</v>
      </c>
      <c r="F210" s="1888" t="s">
        <v>740</v>
      </c>
      <c r="G210" s="1900">
        <f>(H207*$E$527+H208*$E$527)*$C$557+R207*$C$557+T208*$C$558/T207</f>
        <v>0</v>
      </c>
      <c r="H210" s="1886">
        <f t="shared" si="131"/>
        <v>0</v>
      </c>
      <c r="I210" s="1889"/>
      <c r="J210" s="1890" t="s">
        <v>732</v>
      </c>
      <c r="K210" s="2647">
        <v>0</v>
      </c>
      <c r="L210" s="2646">
        <f t="shared" si="129"/>
        <v>0</v>
      </c>
      <c r="M210" s="2226">
        <f t="shared" si="132"/>
        <v>1</v>
      </c>
      <c r="N210" s="2649">
        <f>+$T207</f>
        <v>1.5</v>
      </c>
      <c r="O210" s="1896"/>
      <c r="P210" s="1897"/>
      <c r="Q210" s="1897"/>
      <c r="R210" s="1902"/>
      <c r="S210" s="1895" t="s">
        <v>1537</v>
      </c>
      <c r="T210" s="2673">
        <f>+T209*T206</f>
        <v>0</v>
      </c>
      <c r="U210" s="2921"/>
    </row>
    <row r="211" spans="1:21" hidden="1" x14ac:dyDescent="0.25">
      <c r="A211" s="2923"/>
      <c r="B211" s="1884"/>
      <c r="C211" s="1885"/>
      <c r="D211" s="1885"/>
      <c r="E211" s="1887"/>
      <c r="F211" s="1888"/>
      <c r="G211" s="1886"/>
      <c r="H211" s="1886"/>
      <c r="I211" s="1889"/>
      <c r="J211" s="1890" t="s">
        <v>732</v>
      </c>
      <c r="K211" s="2647">
        <v>0</v>
      </c>
      <c r="L211" s="2646">
        <f t="shared" si="129"/>
        <v>0</v>
      </c>
      <c r="M211" s="2226">
        <f t="shared" si="132"/>
        <v>1</v>
      </c>
      <c r="N211" s="2649">
        <f>+$T207</f>
        <v>1.5</v>
      </c>
      <c r="O211" s="1903"/>
      <c r="P211" s="1902"/>
      <c r="Q211" s="1902"/>
      <c r="R211" s="1902"/>
      <c r="S211" s="1904"/>
      <c r="T211" s="1905"/>
      <c r="U211" s="2921"/>
    </row>
    <row r="212" spans="1:21" ht="60.75" hidden="1" thickBot="1" x14ac:dyDescent="0.3">
      <c r="A212" s="2925"/>
      <c r="B212" s="1906"/>
      <c r="C212" s="1907"/>
      <c r="D212" s="1907"/>
      <c r="E212" s="1908"/>
      <c r="F212" s="1909"/>
      <c r="G212" s="1910"/>
      <c r="H212" s="1910"/>
      <c r="I212" s="1911" t="s">
        <v>1538</v>
      </c>
      <c r="J212" s="1912" t="s">
        <v>740</v>
      </c>
      <c r="K212" s="2658">
        <v>0</v>
      </c>
      <c r="L212" s="2659">
        <f t="shared" si="129"/>
        <v>0</v>
      </c>
      <c r="M212" s="2660">
        <f>IF(T212="YES",$C$554,1)</f>
        <v>1</v>
      </c>
      <c r="N212" s="2661">
        <f>+$T207</f>
        <v>1.5</v>
      </c>
      <c r="O212" s="1913"/>
      <c r="P212" s="1914"/>
      <c r="Q212" s="1914"/>
      <c r="R212" s="1914"/>
      <c r="S212" s="1920" t="s">
        <v>1539</v>
      </c>
      <c r="T212" s="1921" t="s">
        <v>1540</v>
      </c>
      <c r="U212" s="2924"/>
    </row>
    <row r="213" spans="1:21" ht="27" hidden="1" customHeight="1" thickBot="1" x14ac:dyDescent="0.3">
      <c r="A213" s="1915"/>
      <c r="B213" s="1916"/>
      <c r="C213" s="1917"/>
      <c r="D213" s="1917"/>
      <c r="E213" s="1916"/>
      <c r="F213" s="1917"/>
      <c r="G213" s="1917"/>
      <c r="H213" s="1917"/>
      <c r="I213" s="1916"/>
      <c r="J213" s="1917"/>
      <c r="K213" s="2669"/>
      <c r="L213" s="2669"/>
      <c r="M213" s="2669"/>
      <c r="N213" s="2669"/>
      <c r="O213" s="1916"/>
      <c r="P213" s="1917"/>
      <c r="Q213" s="1917"/>
      <c r="R213" s="1917"/>
      <c r="S213" s="1918"/>
      <c r="T213" s="1917"/>
      <c r="U213" s="1919"/>
    </row>
    <row r="214" spans="1:21" ht="26.85" hidden="1" customHeight="1" x14ac:dyDescent="0.25">
      <c r="A214" s="1870" t="s">
        <v>1513</v>
      </c>
      <c r="B214" s="1871" t="s">
        <v>1523</v>
      </c>
      <c r="C214" s="1872" t="s">
        <v>740</v>
      </c>
      <c r="D214" s="1873"/>
      <c r="E214" s="1874" t="s">
        <v>1524</v>
      </c>
      <c r="F214" s="1875" t="s">
        <v>728</v>
      </c>
      <c r="G214" s="1873"/>
      <c r="H214" s="1873">
        <f t="shared" ref="H214" si="134">G214*M214*N214</f>
        <v>0</v>
      </c>
      <c r="I214" s="1876"/>
      <c r="J214" s="1877" t="s">
        <v>732</v>
      </c>
      <c r="K214" s="2672">
        <v>0</v>
      </c>
      <c r="L214" s="2645">
        <f t="shared" ref="L214:L220" si="135">IF(ISNUMBER(SEARCH("Timber",I214)),M214*K214*N214,K214)</f>
        <v>0</v>
      </c>
      <c r="M214" s="2225">
        <f>+$M220</f>
        <v>1</v>
      </c>
      <c r="N214" s="2648">
        <f>+$T215</f>
        <v>1.5</v>
      </c>
      <c r="O214" s="1878" t="s">
        <v>1512</v>
      </c>
      <c r="P214" s="1879" t="s">
        <v>740</v>
      </c>
      <c r="Q214" s="1880">
        <f t="shared" ref="Q214" si="136">R215*$E$532+T216*$E$533</f>
        <v>0</v>
      </c>
      <c r="R214" s="1881"/>
      <c r="S214" s="1882" t="s">
        <v>1525</v>
      </c>
      <c r="T214" s="1873">
        <v>30</v>
      </c>
      <c r="U214" s="2920" t="s">
        <v>1526</v>
      </c>
    </row>
    <row r="215" spans="1:21" ht="30" hidden="1" x14ac:dyDescent="0.25">
      <c r="A215" s="1883">
        <f>A207+1</f>
        <v>27</v>
      </c>
      <c r="B215" s="1884" t="s">
        <v>1527</v>
      </c>
      <c r="C215" s="1885" t="s">
        <v>740</v>
      </c>
      <c r="D215" s="1886"/>
      <c r="E215" s="1887" t="s">
        <v>1528</v>
      </c>
      <c r="F215" s="1888" t="s">
        <v>728</v>
      </c>
      <c r="G215" s="1886"/>
      <c r="H215" s="1886">
        <f t="shared" ref="H215:H218" si="137">G215</f>
        <v>0</v>
      </c>
      <c r="I215" s="1889"/>
      <c r="J215" s="1890" t="s">
        <v>732</v>
      </c>
      <c r="K215" s="2647">
        <v>0</v>
      </c>
      <c r="L215" s="2646">
        <f t="shared" si="135"/>
        <v>0</v>
      </c>
      <c r="M215" s="2226">
        <f t="shared" ref="M215:M219" si="138">M216</f>
        <v>1</v>
      </c>
      <c r="N215" s="2649">
        <f>+$T215</f>
        <v>1.5</v>
      </c>
      <c r="O215" s="1891" t="s">
        <v>1512</v>
      </c>
      <c r="P215" s="1892" t="s">
        <v>740</v>
      </c>
      <c r="Q215" s="1893"/>
      <c r="R215" s="1894">
        <f>H215*$E$527*0+H216*$E$527*0+SUMIF(I214:I219,$B$565,L214:L219)*$E$537+SUMIF(I214:I219,$B$566,L214:L219)*$E$540+SUMIF(I214:I219,$B$567,L214:L219)*$E$538+SUMIF(I214:I219,$B$568,L214:L219)*$E$539+SUMIF(I214:I219,$B$569,L214:L219)*$E$539+SUMIF(I214:I219,$B$570,L214:L219)*$E$541+SUMIF(I214:I219,$B$571,L214:L219)*$E$539+SUMIF(I214:I219,$B$572,L214:L219)*$E$541+SUMIF(I214:I219,$B$573,L214:L219)*$E$539+SUMIF(I214:I219,$B$574,L214:L219)*$E$543+SUMIF(I214:I219,$B$575,L214:L219)*$E$541+SUMIF(I214:I219,$B$577,L214:L219)*$E$536+SUMIF(I214:I219,$B$576,L214:L219)*$E$542+SUMIF(I214:I219,$B$563,L214:L219)*$E$539</f>
        <v>0</v>
      </c>
      <c r="S215" s="1895" t="s">
        <v>1529</v>
      </c>
      <c r="T215" s="2644">
        <f>+'Data Input sheet'!$D$112</f>
        <v>1.5</v>
      </c>
      <c r="U215" s="2921"/>
    </row>
    <row r="216" spans="1:21" ht="30" hidden="1" x14ac:dyDescent="0.25">
      <c r="A216" s="2922" t="s">
        <v>1530</v>
      </c>
      <c r="B216" s="1884" t="s">
        <v>1531</v>
      </c>
      <c r="C216" s="1885" t="s">
        <v>732</v>
      </c>
      <c r="D216" s="1886"/>
      <c r="E216" s="1887" t="s">
        <v>1532</v>
      </c>
      <c r="F216" s="1888" t="s">
        <v>728</v>
      </c>
      <c r="G216" s="1886"/>
      <c r="H216" s="1886">
        <f t="shared" si="137"/>
        <v>0</v>
      </c>
      <c r="I216" s="1889"/>
      <c r="J216" s="1890" t="s">
        <v>732</v>
      </c>
      <c r="K216" s="2647">
        <v>0</v>
      </c>
      <c r="L216" s="2646">
        <f t="shared" si="135"/>
        <v>0</v>
      </c>
      <c r="M216" s="2226">
        <f t="shared" si="138"/>
        <v>1</v>
      </c>
      <c r="N216" s="2649">
        <f>+$T215</f>
        <v>1.5</v>
      </c>
      <c r="O216" s="1896"/>
      <c r="P216" s="1897"/>
      <c r="Q216" s="1898"/>
      <c r="R216" s="1899">
        <f t="shared" ref="R216" si="139">T216</f>
        <v>0</v>
      </c>
      <c r="S216" s="1895" t="s">
        <v>1533</v>
      </c>
      <c r="T216" s="2673">
        <f>G214*64/4+K220+SUMIF(I214:I219,$B$578,K214:K219)*$E$545+SUMIF(I214:I219,$B$579,K214:K219)*$E$548+SUMIF(I214:I219,$B$580,K214:K219)*$E$546+SUMIF(I214:I219,$B$581,K214:K219)*$E$547+SUMIF(I214:I219,$B$582,K214:K219)*$E$547+SUMIF(I214:I219,$B$583,K214:K219)*$E$549+SUMIF(I214:I219,$B$584,K214:K219)*$E$547+SUMIF(I214:I219,$B$585,K214:K219)*$E$549+SUMIF(I214:I219,$B$586,K214:K219)*$E$547+SUMIF(I214:I219,$B$587,K214:K219)*$E$551+SUMIF(I214:I219,$B$588,K214:K219)*$E$549+SUMIF(I214:I219,$B$590,K214:K219)*$E$544+SUMIF(I214:I219,$B$589,K214:K219)*$E$550</f>
        <v>0</v>
      </c>
      <c r="U216" s="2921"/>
    </row>
    <row r="217" spans="1:21" hidden="1" x14ac:dyDescent="0.25">
      <c r="A217" s="2923"/>
      <c r="B217" s="1884" t="s">
        <v>1534</v>
      </c>
      <c r="C217" s="1885" t="s">
        <v>728</v>
      </c>
      <c r="D217" s="1886"/>
      <c r="E217" s="1887" t="s">
        <v>1535</v>
      </c>
      <c r="F217" s="1888" t="s">
        <v>728</v>
      </c>
      <c r="G217" s="1900">
        <f>(H215+H216)*$C$555+G214*$C$556+(R215-(H215+H216)*$E$527)*$C$555/50+(T216-G214*16)*$C$556/50</f>
        <v>0</v>
      </c>
      <c r="H217" s="1886">
        <f t="shared" si="137"/>
        <v>0</v>
      </c>
      <c r="I217" s="1889"/>
      <c r="J217" s="1890" t="s">
        <v>732</v>
      </c>
      <c r="K217" s="2647">
        <v>0</v>
      </c>
      <c r="L217" s="2646">
        <f t="shared" si="135"/>
        <v>0</v>
      </c>
      <c r="M217" s="2226">
        <f t="shared" si="138"/>
        <v>1</v>
      </c>
      <c r="N217" s="2649">
        <f>+$T215</f>
        <v>1.5</v>
      </c>
      <c r="O217" s="1896"/>
      <c r="P217" s="1897"/>
      <c r="Q217" s="1897"/>
      <c r="R217" s="1897"/>
      <c r="S217" s="1895" t="s">
        <v>3408</v>
      </c>
      <c r="T217" s="2674">
        <f>H214*64/4+L220+SUMIF(I214:I219,$B$578,L214:L219)*$E$545+SUMIF(I214:I219,$B$579,L214:L219)*$E$548+SUMIF(I214:I219,$B$580,L214:L219)*$E$546+SUMIF(I214:I219,$B$581,L214:L219)*$E$547+SUMIF(I214:I219,$B$582,L214:L219)*$E$547+SUMIF(I214:I219,$B$583,L214:L219)*$E$549+SUMIF(I214:I219,$B$584,L214:L219)*$E$547+SUMIF(I214:I219,$B$585,L214:L219)*$E$549+SUMIF(I214:I219,$B$586,L214:L219)*$E$547+SUMIF(I214:I219,$B$587,L214:L219)*$E$551+SUMIF(I214:I219,$B$588,L214:L219)*$E$549+SUMIF(I214:I219,$B$590,L214:L219)*$E$544+SUMIF(I214:I219,$B$589,L214:L219)*$E$550</f>
        <v>0</v>
      </c>
      <c r="U217" s="2921"/>
    </row>
    <row r="218" spans="1:21" ht="29.1" hidden="1" customHeight="1" x14ac:dyDescent="0.25">
      <c r="A218" s="2923"/>
      <c r="B218" s="1884"/>
      <c r="C218" s="1885"/>
      <c r="D218" s="1885"/>
      <c r="E218" s="1901" t="s">
        <v>1536</v>
      </c>
      <c r="F218" s="1888" t="s">
        <v>740</v>
      </c>
      <c r="G218" s="1900">
        <f>(H215*$E$527+H216*$E$527)*$C$557+R215*$C$557+T216*$C$558/T215</f>
        <v>0</v>
      </c>
      <c r="H218" s="1886">
        <f t="shared" si="137"/>
        <v>0</v>
      </c>
      <c r="I218" s="1889"/>
      <c r="J218" s="1890" t="s">
        <v>732</v>
      </c>
      <c r="K218" s="2647">
        <v>0</v>
      </c>
      <c r="L218" s="2646">
        <f t="shared" si="135"/>
        <v>0</v>
      </c>
      <c r="M218" s="2226">
        <f t="shared" si="138"/>
        <v>1</v>
      </c>
      <c r="N218" s="2649">
        <f>+$T215</f>
        <v>1.5</v>
      </c>
      <c r="O218" s="1896"/>
      <c r="P218" s="1897"/>
      <c r="Q218" s="1897"/>
      <c r="R218" s="1902"/>
      <c r="S218" s="1895" t="s">
        <v>1537</v>
      </c>
      <c r="T218" s="2673">
        <f>+T217*T214</f>
        <v>0</v>
      </c>
      <c r="U218" s="2921"/>
    </row>
    <row r="219" spans="1:21" hidden="1" x14ac:dyDescent="0.25">
      <c r="A219" s="2923"/>
      <c r="B219" s="1884"/>
      <c r="C219" s="1885"/>
      <c r="D219" s="1885"/>
      <c r="E219" s="1887"/>
      <c r="F219" s="1888"/>
      <c r="G219" s="1886"/>
      <c r="H219" s="1886"/>
      <c r="I219" s="1889"/>
      <c r="J219" s="1890" t="s">
        <v>732</v>
      </c>
      <c r="K219" s="2647">
        <v>0</v>
      </c>
      <c r="L219" s="2646">
        <f t="shared" si="135"/>
        <v>0</v>
      </c>
      <c r="M219" s="2226">
        <f t="shared" si="138"/>
        <v>1</v>
      </c>
      <c r="N219" s="2649">
        <f>+$T215</f>
        <v>1.5</v>
      </c>
      <c r="O219" s="1903"/>
      <c r="P219" s="1902"/>
      <c r="Q219" s="1902"/>
      <c r="R219" s="1902"/>
      <c r="S219" s="1904"/>
      <c r="T219" s="1905"/>
      <c r="U219" s="2921"/>
    </row>
    <row r="220" spans="1:21" ht="60.75" hidden="1" thickBot="1" x14ac:dyDescent="0.3">
      <c r="A220" s="2925"/>
      <c r="B220" s="1906"/>
      <c r="C220" s="1907"/>
      <c r="D220" s="1907"/>
      <c r="E220" s="1908"/>
      <c r="F220" s="1909"/>
      <c r="G220" s="1910"/>
      <c r="H220" s="1910"/>
      <c r="I220" s="1911" t="s">
        <v>1538</v>
      </c>
      <c r="J220" s="1912" t="s">
        <v>740</v>
      </c>
      <c r="K220" s="2658">
        <v>0</v>
      </c>
      <c r="L220" s="2659">
        <f t="shared" si="135"/>
        <v>0</v>
      </c>
      <c r="M220" s="2660">
        <f>IF(T220="YES",$C$554,1)</f>
        <v>1</v>
      </c>
      <c r="N220" s="2661">
        <f>+$T215</f>
        <v>1.5</v>
      </c>
      <c r="O220" s="1913"/>
      <c r="P220" s="1914"/>
      <c r="Q220" s="1914"/>
      <c r="R220" s="1914"/>
      <c r="S220" s="1920" t="s">
        <v>1539</v>
      </c>
      <c r="T220" s="1921" t="s">
        <v>1540</v>
      </c>
      <c r="U220" s="2924"/>
    </row>
    <row r="221" spans="1:21" ht="27" hidden="1" customHeight="1" thickBot="1" x14ac:dyDescent="0.3">
      <c r="A221" s="1915"/>
      <c r="B221" s="1916"/>
      <c r="C221" s="1917"/>
      <c r="D221" s="1917"/>
      <c r="E221" s="1916"/>
      <c r="F221" s="1917"/>
      <c r="G221" s="1917"/>
      <c r="H221" s="1917"/>
      <c r="I221" s="1916"/>
      <c r="J221" s="1917"/>
      <c r="K221" s="2669"/>
      <c r="L221" s="2669"/>
      <c r="M221" s="2669"/>
      <c r="N221" s="2669"/>
      <c r="O221" s="1916"/>
      <c r="P221" s="1917"/>
      <c r="Q221" s="1917"/>
      <c r="R221" s="1917"/>
      <c r="S221" s="1918"/>
      <c r="T221" s="1917"/>
      <c r="U221" s="1919"/>
    </row>
    <row r="222" spans="1:21" ht="26.85" hidden="1" customHeight="1" x14ac:dyDescent="0.25">
      <c r="A222" s="1870" t="s">
        <v>1513</v>
      </c>
      <c r="B222" s="1871" t="s">
        <v>1523</v>
      </c>
      <c r="C222" s="1872" t="s">
        <v>740</v>
      </c>
      <c r="D222" s="1873"/>
      <c r="E222" s="1874" t="s">
        <v>1524</v>
      </c>
      <c r="F222" s="1875" t="s">
        <v>728</v>
      </c>
      <c r="G222" s="1873"/>
      <c r="H222" s="1873">
        <f t="shared" ref="H222" si="140">G222*M222*N222</f>
        <v>0</v>
      </c>
      <c r="I222" s="1876"/>
      <c r="J222" s="1877" t="s">
        <v>732</v>
      </c>
      <c r="K222" s="2672">
        <v>0</v>
      </c>
      <c r="L222" s="2645">
        <f t="shared" ref="L222:L228" si="141">IF(ISNUMBER(SEARCH("Timber",I222)),M222*K222*N222,K222)</f>
        <v>0</v>
      </c>
      <c r="M222" s="2225">
        <f>+$M228</f>
        <v>1</v>
      </c>
      <c r="N222" s="2648">
        <f>+$T223</f>
        <v>1.5</v>
      </c>
      <c r="O222" s="1878" t="s">
        <v>1512</v>
      </c>
      <c r="P222" s="1879" t="s">
        <v>740</v>
      </c>
      <c r="Q222" s="1880">
        <f t="shared" ref="Q222" si="142">R223*$E$532+T224*$E$533</f>
        <v>0</v>
      </c>
      <c r="R222" s="1881"/>
      <c r="S222" s="1882" t="s">
        <v>1525</v>
      </c>
      <c r="T222" s="1873">
        <v>30</v>
      </c>
      <c r="U222" s="2920" t="s">
        <v>1526</v>
      </c>
    </row>
    <row r="223" spans="1:21" ht="30" hidden="1" x14ac:dyDescent="0.25">
      <c r="A223" s="1883">
        <f>A215+1</f>
        <v>28</v>
      </c>
      <c r="B223" s="1884" t="s">
        <v>1527</v>
      </c>
      <c r="C223" s="1885" t="s">
        <v>740</v>
      </c>
      <c r="D223" s="1886"/>
      <c r="E223" s="1887" t="s">
        <v>1528</v>
      </c>
      <c r="F223" s="1888" t="s">
        <v>728</v>
      </c>
      <c r="G223" s="1886"/>
      <c r="H223" s="1886">
        <f t="shared" ref="H223:H226" si="143">G223</f>
        <v>0</v>
      </c>
      <c r="I223" s="1889"/>
      <c r="J223" s="1890" t="s">
        <v>732</v>
      </c>
      <c r="K223" s="2647">
        <v>0</v>
      </c>
      <c r="L223" s="2646">
        <f t="shared" si="141"/>
        <v>0</v>
      </c>
      <c r="M223" s="2226">
        <f t="shared" ref="M223:M227" si="144">M224</f>
        <v>1</v>
      </c>
      <c r="N223" s="2649">
        <f>+$T223</f>
        <v>1.5</v>
      </c>
      <c r="O223" s="1891" t="s">
        <v>1512</v>
      </c>
      <c r="P223" s="1892" t="s">
        <v>740</v>
      </c>
      <c r="Q223" s="1893"/>
      <c r="R223" s="1894">
        <f>H223*$E$527*0+H224*$E$527*0+SUMIF(I222:I227,$B$565,L222:L227)*$E$537+SUMIF(I222:I227,$B$566,L222:L227)*$E$540+SUMIF(I222:I227,$B$567,L222:L227)*$E$538+SUMIF(I222:I227,$B$568,L222:L227)*$E$539+SUMIF(I222:I227,$B$569,L222:L227)*$E$539+SUMIF(I222:I227,$B$570,L222:L227)*$E$541+SUMIF(I222:I227,$B$571,L222:L227)*$E$539+SUMIF(I222:I227,$B$572,L222:L227)*$E$541+SUMIF(I222:I227,$B$573,L222:L227)*$E$539+SUMIF(I222:I227,$B$574,L222:L227)*$E$543+SUMIF(I222:I227,$B$575,L222:L227)*$E$541+SUMIF(I222:I227,$B$577,L222:L227)*$E$536+SUMIF(I222:I227,$B$576,L222:L227)*$E$542+SUMIF(I222:I227,$B$563,L222:L227)*$E$539</f>
        <v>0</v>
      </c>
      <c r="S223" s="1895" t="s">
        <v>1529</v>
      </c>
      <c r="T223" s="2644">
        <f>+'Data Input sheet'!$D$112</f>
        <v>1.5</v>
      </c>
      <c r="U223" s="2921"/>
    </row>
    <row r="224" spans="1:21" ht="30" hidden="1" x14ac:dyDescent="0.25">
      <c r="A224" s="2922" t="s">
        <v>1530</v>
      </c>
      <c r="B224" s="1884" t="s">
        <v>1531</v>
      </c>
      <c r="C224" s="1885" t="s">
        <v>732</v>
      </c>
      <c r="D224" s="1886"/>
      <c r="E224" s="1887" t="s">
        <v>1532</v>
      </c>
      <c r="F224" s="1888" t="s">
        <v>728</v>
      </c>
      <c r="G224" s="1886"/>
      <c r="H224" s="1886">
        <f t="shared" si="143"/>
        <v>0</v>
      </c>
      <c r="I224" s="1889"/>
      <c r="J224" s="1890" t="s">
        <v>732</v>
      </c>
      <c r="K224" s="2647">
        <v>0</v>
      </c>
      <c r="L224" s="2646">
        <f t="shared" si="141"/>
        <v>0</v>
      </c>
      <c r="M224" s="2226">
        <f t="shared" si="144"/>
        <v>1</v>
      </c>
      <c r="N224" s="2649">
        <f>+$T223</f>
        <v>1.5</v>
      </c>
      <c r="O224" s="1896"/>
      <c r="P224" s="1897"/>
      <c r="Q224" s="1898"/>
      <c r="R224" s="1899">
        <f t="shared" ref="R224" si="145">T224</f>
        <v>0</v>
      </c>
      <c r="S224" s="1895" t="s">
        <v>1533</v>
      </c>
      <c r="T224" s="2673">
        <f>G222*64/4+K228+SUMIF(I222:I227,$B$578,K222:K227)*$E$545+SUMIF(I222:I227,$B$579,K222:K227)*$E$548+SUMIF(I222:I227,$B$580,K222:K227)*$E$546+SUMIF(I222:I227,$B$581,K222:K227)*$E$547+SUMIF(I222:I227,$B$582,K222:K227)*$E$547+SUMIF(I222:I227,$B$583,K222:K227)*$E$549+SUMIF(I222:I227,$B$584,K222:K227)*$E$547+SUMIF(I222:I227,$B$585,K222:K227)*$E$549+SUMIF(I222:I227,$B$586,K222:K227)*$E$547+SUMIF(I222:I227,$B$587,K222:K227)*$E$551+SUMIF(I222:I227,$B$588,K222:K227)*$E$549+SUMIF(I222:I227,$B$590,K222:K227)*$E$544+SUMIF(I222:I227,$B$589,K222:K227)*$E$550</f>
        <v>0</v>
      </c>
      <c r="U224" s="2921"/>
    </row>
    <row r="225" spans="1:21" hidden="1" x14ac:dyDescent="0.25">
      <c r="A225" s="2923"/>
      <c r="B225" s="1884" t="s">
        <v>1534</v>
      </c>
      <c r="C225" s="1885" t="s">
        <v>728</v>
      </c>
      <c r="D225" s="1886"/>
      <c r="E225" s="1887" t="s">
        <v>1535</v>
      </c>
      <c r="F225" s="1888" t="s">
        <v>728</v>
      </c>
      <c r="G225" s="1900">
        <f>(H223+H224)*$C$555+G222*$C$556+(R223-(H223+H224)*$E$527)*$C$555/50+(T224-G222*16)*$C$556/50</f>
        <v>0</v>
      </c>
      <c r="H225" s="1886">
        <f t="shared" si="143"/>
        <v>0</v>
      </c>
      <c r="I225" s="1889"/>
      <c r="J225" s="1890" t="s">
        <v>732</v>
      </c>
      <c r="K225" s="2647">
        <v>0</v>
      </c>
      <c r="L225" s="2646">
        <f t="shared" si="141"/>
        <v>0</v>
      </c>
      <c r="M225" s="2226">
        <f t="shared" si="144"/>
        <v>1</v>
      </c>
      <c r="N225" s="2649">
        <f>+$T223</f>
        <v>1.5</v>
      </c>
      <c r="O225" s="1896"/>
      <c r="P225" s="1897"/>
      <c r="Q225" s="1897"/>
      <c r="R225" s="1897"/>
      <c r="S225" s="1895" t="s">
        <v>3408</v>
      </c>
      <c r="T225" s="2674">
        <f>H222*64/4+L228+SUMIF(I222:I227,$B$578,L222:L227)*$E$545+SUMIF(I222:I227,$B$579,L222:L227)*$E$548+SUMIF(I222:I227,$B$580,L222:L227)*$E$546+SUMIF(I222:I227,$B$581,L222:L227)*$E$547+SUMIF(I222:I227,$B$582,L222:L227)*$E$547+SUMIF(I222:I227,$B$583,L222:L227)*$E$549+SUMIF(I222:I227,$B$584,L222:L227)*$E$547+SUMIF(I222:I227,$B$585,L222:L227)*$E$549+SUMIF(I222:I227,$B$586,L222:L227)*$E$547+SUMIF(I222:I227,$B$587,L222:L227)*$E$551+SUMIF(I222:I227,$B$588,L222:L227)*$E$549+SUMIF(I222:I227,$B$590,L222:L227)*$E$544+SUMIF(I222:I227,$B$589,L222:L227)*$E$550</f>
        <v>0</v>
      </c>
      <c r="U225" s="2921"/>
    </row>
    <row r="226" spans="1:21" ht="29.1" hidden="1" customHeight="1" x14ac:dyDescent="0.25">
      <c r="A226" s="2923"/>
      <c r="B226" s="1884"/>
      <c r="C226" s="1885"/>
      <c r="D226" s="1885"/>
      <c r="E226" s="1901" t="s">
        <v>1536</v>
      </c>
      <c r="F226" s="1888" t="s">
        <v>740</v>
      </c>
      <c r="G226" s="1900">
        <f>(H223*$E$527+H224*$E$527)*$C$557+R223*$C$557+T224*$C$558/T223</f>
        <v>0</v>
      </c>
      <c r="H226" s="1886">
        <f t="shared" si="143"/>
        <v>0</v>
      </c>
      <c r="I226" s="1889"/>
      <c r="J226" s="1890" t="s">
        <v>732</v>
      </c>
      <c r="K226" s="2647">
        <v>0</v>
      </c>
      <c r="L226" s="2646">
        <f t="shared" si="141"/>
        <v>0</v>
      </c>
      <c r="M226" s="2226">
        <f t="shared" si="144"/>
        <v>1</v>
      </c>
      <c r="N226" s="2649">
        <f>+$T223</f>
        <v>1.5</v>
      </c>
      <c r="O226" s="1896"/>
      <c r="P226" s="1897"/>
      <c r="Q226" s="1897"/>
      <c r="R226" s="1902"/>
      <c r="S226" s="1895" t="s">
        <v>1537</v>
      </c>
      <c r="T226" s="2673">
        <f>+T225*T222</f>
        <v>0</v>
      </c>
      <c r="U226" s="2921"/>
    </row>
    <row r="227" spans="1:21" hidden="1" x14ac:dyDescent="0.25">
      <c r="A227" s="2923"/>
      <c r="B227" s="1884"/>
      <c r="C227" s="1885"/>
      <c r="D227" s="1885"/>
      <c r="E227" s="1887"/>
      <c r="F227" s="1888"/>
      <c r="G227" s="1886"/>
      <c r="H227" s="1886"/>
      <c r="I227" s="1889"/>
      <c r="J227" s="1890" t="s">
        <v>732</v>
      </c>
      <c r="K227" s="2647">
        <v>0</v>
      </c>
      <c r="L227" s="2646">
        <f t="shared" si="141"/>
        <v>0</v>
      </c>
      <c r="M227" s="2226">
        <f t="shared" si="144"/>
        <v>1</v>
      </c>
      <c r="N227" s="2649">
        <f>+$T223</f>
        <v>1.5</v>
      </c>
      <c r="O227" s="1903"/>
      <c r="P227" s="1902"/>
      <c r="Q227" s="1902"/>
      <c r="R227" s="1902"/>
      <c r="S227" s="1904"/>
      <c r="T227" s="1905"/>
      <c r="U227" s="2921"/>
    </row>
    <row r="228" spans="1:21" ht="60.75" hidden="1" thickBot="1" x14ac:dyDescent="0.3">
      <c r="A228" s="2925"/>
      <c r="B228" s="1906"/>
      <c r="C228" s="1907"/>
      <c r="D228" s="1907"/>
      <c r="E228" s="1908"/>
      <c r="F228" s="1909"/>
      <c r="G228" s="1910"/>
      <c r="H228" s="1910"/>
      <c r="I228" s="1911" t="s">
        <v>1538</v>
      </c>
      <c r="J228" s="1912" t="s">
        <v>740</v>
      </c>
      <c r="K228" s="2658">
        <v>0</v>
      </c>
      <c r="L228" s="2659">
        <f t="shared" si="141"/>
        <v>0</v>
      </c>
      <c r="M228" s="2660">
        <f>IF(T228="YES",$C$554,1)</f>
        <v>1</v>
      </c>
      <c r="N228" s="2661">
        <f>+$T223</f>
        <v>1.5</v>
      </c>
      <c r="O228" s="1913"/>
      <c r="P228" s="1914"/>
      <c r="Q228" s="1914"/>
      <c r="R228" s="1914"/>
      <c r="S228" s="1920" t="s">
        <v>1539</v>
      </c>
      <c r="T228" s="1921" t="s">
        <v>1540</v>
      </c>
      <c r="U228" s="2924"/>
    </row>
    <row r="229" spans="1:21" ht="27" hidden="1" customHeight="1" thickBot="1" x14ac:dyDescent="0.3">
      <c r="A229" s="1915"/>
      <c r="B229" s="1916"/>
      <c r="C229" s="1917"/>
      <c r="D229" s="1917"/>
      <c r="E229" s="1916"/>
      <c r="F229" s="1917"/>
      <c r="G229" s="1917"/>
      <c r="H229" s="1917"/>
      <c r="I229" s="1916"/>
      <c r="J229" s="1917"/>
      <c r="K229" s="2669"/>
      <c r="L229" s="2669"/>
      <c r="M229" s="2669"/>
      <c r="N229" s="2669"/>
      <c r="O229" s="1916"/>
      <c r="P229" s="1917"/>
      <c r="Q229" s="1917"/>
      <c r="R229" s="1917"/>
      <c r="S229" s="1918"/>
      <c r="T229" s="1917"/>
      <c r="U229" s="1919"/>
    </row>
    <row r="230" spans="1:21" ht="26.85" hidden="1" customHeight="1" x14ac:dyDescent="0.25">
      <c r="A230" s="1870" t="s">
        <v>1513</v>
      </c>
      <c r="B230" s="1871" t="s">
        <v>1523</v>
      </c>
      <c r="C230" s="1872" t="s">
        <v>740</v>
      </c>
      <c r="D230" s="1873"/>
      <c r="E230" s="1874" t="s">
        <v>1524</v>
      </c>
      <c r="F230" s="1875" t="s">
        <v>728</v>
      </c>
      <c r="G230" s="1873"/>
      <c r="H230" s="1873">
        <f t="shared" ref="H230" si="146">G230*M230*N230</f>
        <v>0</v>
      </c>
      <c r="I230" s="1876"/>
      <c r="J230" s="1877" t="s">
        <v>732</v>
      </c>
      <c r="K230" s="2672">
        <v>0</v>
      </c>
      <c r="L230" s="2645">
        <f t="shared" ref="L230:L236" si="147">IF(ISNUMBER(SEARCH("Timber",I230)),M230*K230*N230,K230)</f>
        <v>0</v>
      </c>
      <c r="M230" s="2225">
        <f>+$M236</f>
        <v>1</v>
      </c>
      <c r="N230" s="2648">
        <f>+$T231</f>
        <v>1.5</v>
      </c>
      <c r="O230" s="1878" t="s">
        <v>1512</v>
      </c>
      <c r="P230" s="1879" t="s">
        <v>740</v>
      </c>
      <c r="Q230" s="1880">
        <f t="shared" ref="Q230" si="148">R231*$E$532+T232*$E$533</f>
        <v>0</v>
      </c>
      <c r="R230" s="1881"/>
      <c r="S230" s="1882" t="s">
        <v>1525</v>
      </c>
      <c r="T230" s="1873">
        <v>30</v>
      </c>
      <c r="U230" s="2920" t="s">
        <v>1526</v>
      </c>
    </row>
    <row r="231" spans="1:21" ht="30" hidden="1" x14ac:dyDescent="0.25">
      <c r="A231" s="1883">
        <f>A223+1</f>
        <v>29</v>
      </c>
      <c r="B231" s="1884" t="s">
        <v>1527</v>
      </c>
      <c r="C231" s="1885" t="s">
        <v>740</v>
      </c>
      <c r="D231" s="1886"/>
      <c r="E231" s="1887" t="s">
        <v>1528</v>
      </c>
      <c r="F231" s="1888" t="s">
        <v>728</v>
      </c>
      <c r="G231" s="1886"/>
      <c r="H231" s="1886">
        <f t="shared" ref="H231:H234" si="149">G231</f>
        <v>0</v>
      </c>
      <c r="I231" s="1889"/>
      <c r="J231" s="1890" t="s">
        <v>732</v>
      </c>
      <c r="K231" s="2647">
        <v>0</v>
      </c>
      <c r="L231" s="2646">
        <f t="shared" si="147"/>
        <v>0</v>
      </c>
      <c r="M231" s="2226">
        <f t="shared" ref="M231:M235" si="150">M232</f>
        <v>1</v>
      </c>
      <c r="N231" s="2649">
        <f>+$T231</f>
        <v>1.5</v>
      </c>
      <c r="O231" s="1891" t="s">
        <v>1512</v>
      </c>
      <c r="P231" s="1892" t="s">
        <v>740</v>
      </c>
      <c r="Q231" s="1893"/>
      <c r="R231" s="1894">
        <f>H231*$E$527*0+H232*$E$527*0+SUMIF(I230:I235,$B$565,L230:L235)*$E$537+SUMIF(I230:I235,$B$566,L230:L235)*$E$540+SUMIF(I230:I235,$B$567,L230:L235)*$E$538+SUMIF(I230:I235,$B$568,L230:L235)*$E$539+SUMIF(I230:I235,$B$569,L230:L235)*$E$539+SUMIF(I230:I235,$B$570,L230:L235)*$E$541+SUMIF(I230:I235,$B$571,L230:L235)*$E$539+SUMIF(I230:I235,$B$572,L230:L235)*$E$541+SUMIF(I230:I235,$B$573,L230:L235)*$E$539+SUMIF(I230:I235,$B$574,L230:L235)*$E$543+SUMIF(I230:I235,$B$575,L230:L235)*$E$541+SUMIF(I230:I235,$B$577,L230:L235)*$E$536+SUMIF(I230:I235,$B$576,L230:L235)*$E$542+SUMIF(I230:I235,$B$563,L230:L235)*$E$539</f>
        <v>0</v>
      </c>
      <c r="S231" s="1895" t="s">
        <v>1529</v>
      </c>
      <c r="T231" s="2644">
        <f>+'Data Input sheet'!$D$112</f>
        <v>1.5</v>
      </c>
      <c r="U231" s="2921"/>
    </row>
    <row r="232" spans="1:21" ht="30" hidden="1" x14ac:dyDescent="0.25">
      <c r="A232" s="2922" t="s">
        <v>1530</v>
      </c>
      <c r="B232" s="1884" t="s">
        <v>1531</v>
      </c>
      <c r="C232" s="1885" t="s">
        <v>732</v>
      </c>
      <c r="D232" s="1886"/>
      <c r="E232" s="1887" t="s">
        <v>1532</v>
      </c>
      <c r="F232" s="1888" t="s">
        <v>728</v>
      </c>
      <c r="G232" s="1886"/>
      <c r="H232" s="1886">
        <f t="shared" si="149"/>
        <v>0</v>
      </c>
      <c r="I232" s="1889"/>
      <c r="J232" s="1890" t="s">
        <v>732</v>
      </c>
      <c r="K232" s="2647">
        <v>0</v>
      </c>
      <c r="L232" s="2646">
        <f t="shared" si="147"/>
        <v>0</v>
      </c>
      <c r="M232" s="2226">
        <f t="shared" si="150"/>
        <v>1</v>
      </c>
      <c r="N232" s="2649">
        <f>+$T231</f>
        <v>1.5</v>
      </c>
      <c r="O232" s="1896"/>
      <c r="P232" s="1897"/>
      <c r="Q232" s="1898"/>
      <c r="R232" s="1899">
        <f t="shared" ref="R232" si="151">T232</f>
        <v>0</v>
      </c>
      <c r="S232" s="1895" t="s">
        <v>1533</v>
      </c>
      <c r="T232" s="2673">
        <f>G230*64/4+K236+SUMIF(I230:I235,$B$578,K230:K235)*$E$545+SUMIF(I230:I235,$B$579,K230:K235)*$E$548+SUMIF(I230:I235,$B$580,K230:K235)*$E$546+SUMIF(I230:I235,$B$581,K230:K235)*$E$547+SUMIF(I230:I235,$B$582,K230:K235)*$E$547+SUMIF(I230:I235,$B$583,K230:K235)*$E$549+SUMIF(I230:I235,$B$584,K230:K235)*$E$547+SUMIF(I230:I235,$B$585,K230:K235)*$E$549+SUMIF(I230:I235,$B$586,K230:K235)*$E$547+SUMIF(I230:I235,$B$587,K230:K235)*$E$551+SUMIF(I230:I235,$B$588,K230:K235)*$E$549+SUMIF(I230:I235,$B$590,K230:K235)*$E$544+SUMIF(I230:I235,$B$589,K230:K235)*$E$550</f>
        <v>0</v>
      </c>
      <c r="U232" s="2921"/>
    </row>
    <row r="233" spans="1:21" hidden="1" x14ac:dyDescent="0.25">
      <c r="A233" s="2923"/>
      <c r="B233" s="1884" t="s">
        <v>1534</v>
      </c>
      <c r="C233" s="1885" t="s">
        <v>728</v>
      </c>
      <c r="D233" s="1886"/>
      <c r="E233" s="1887" t="s">
        <v>1535</v>
      </c>
      <c r="F233" s="1888" t="s">
        <v>728</v>
      </c>
      <c r="G233" s="1900">
        <f>(H231+H232)*$C$555+G230*$C$556+(R231-(H231+H232)*$E$527)*$C$555/50+(T232-G230*16)*$C$556/50</f>
        <v>0</v>
      </c>
      <c r="H233" s="1886">
        <f t="shared" si="149"/>
        <v>0</v>
      </c>
      <c r="I233" s="1889"/>
      <c r="J233" s="1890" t="s">
        <v>732</v>
      </c>
      <c r="K233" s="2647">
        <v>0</v>
      </c>
      <c r="L233" s="2646">
        <f t="shared" si="147"/>
        <v>0</v>
      </c>
      <c r="M233" s="2226">
        <f t="shared" si="150"/>
        <v>1</v>
      </c>
      <c r="N233" s="2649">
        <f>+$T231</f>
        <v>1.5</v>
      </c>
      <c r="O233" s="1896"/>
      <c r="P233" s="1897"/>
      <c r="Q233" s="1897"/>
      <c r="R233" s="1897"/>
      <c r="S233" s="1895" t="s">
        <v>3408</v>
      </c>
      <c r="T233" s="2674">
        <f>H230*64/4+L236+SUMIF(I230:I235,$B$578,L230:L235)*$E$545+SUMIF(I230:I235,$B$579,L230:L235)*$E$548+SUMIF(I230:I235,$B$580,L230:L235)*$E$546+SUMIF(I230:I235,$B$581,L230:L235)*$E$547+SUMIF(I230:I235,$B$582,L230:L235)*$E$547+SUMIF(I230:I235,$B$583,L230:L235)*$E$549+SUMIF(I230:I235,$B$584,L230:L235)*$E$547+SUMIF(I230:I235,$B$585,L230:L235)*$E$549+SUMIF(I230:I235,$B$586,L230:L235)*$E$547+SUMIF(I230:I235,$B$587,L230:L235)*$E$551+SUMIF(I230:I235,$B$588,L230:L235)*$E$549+SUMIF(I230:I235,$B$590,L230:L235)*$E$544+SUMIF(I230:I235,$B$589,L230:L235)*$E$550</f>
        <v>0</v>
      </c>
      <c r="U233" s="2921"/>
    </row>
    <row r="234" spans="1:21" ht="29.1" hidden="1" customHeight="1" x14ac:dyDescent="0.25">
      <c r="A234" s="2923"/>
      <c r="B234" s="1884"/>
      <c r="C234" s="1885"/>
      <c r="D234" s="1885"/>
      <c r="E234" s="1901" t="s">
        <v>1536</v>
      </c>
      <c r="F234" s="1888" t="s">
        <v>740</v>
      </c>
      <c r="G234" s="1900">
        <f>(H231*$E$527+H232*$E$527)*$C$557+R231*$C$557+T232*$C$558/T231</f>
        <v>0</v>
      </c>
      <c r="H234" s="1886">
        <f t="shared" si="149"/>
        <v>0</v>
      </c>
      <c r="I234" s="1889"/>
      <c r="J234" s="1890" t="s">
        <v>732</v>
      </c>
      <c r="K234" s="2647">
        <v>0</v>
      </c>
      <c r="L234" s="2646">
        <f t="shared" si="147"/>
        <v>0</v>
      </c>
      <c r="M234" s="2226">
        <f t="shared" si="150"/>
        <v>1</v>
      </c>
      <c r="N234" s="2649">
        <f>+$T231</f>
        <v>1.5</v>
      </c>
      <c r="O234" s="1896"/>
      <c r="P234" s="1897"/>
      <c r="Q234" s="1897"/>
      <c r="R234" s="1902"/>
      <c r="S234" s="1895" t="s">
        <v>1537</v>
      </c>
      <c r="T234" s="2673">
        <f>+T233*T230</f>
        <v>0</v>
      </c>
      <c r="U234" s="2921"/>
    </row>
    <row r="235" spans="1:21" hidden="1" x14ac:dyDescent="0.25">
      <c r="A235" s="2923"/>
      <c r="B235" s="1884"/>
      <c r="C235" s="1885"/>
      <c r="D235" s="1885"/>
      <c r="E235" s="1887"/>
      <c r="F235" s="1888"/>
      <c r="G235" s="1886"/>
      <c r="H235" s="1886"/>
      <c r="I235" s="1889"/>
      <c r="J235" s="1890" t="s">
        <v>732</v>
      </c>
      <c r="K235" s="2647">
        <v>0</v>
      </c>
      <c r="L235" s="2646">
        <f t="shared" si="147"/>
        <v>0</v>
      </c>
      <c r="M235" s="2226">
        <f t="shared" si="150"/>
        <v>1</v>
      </c>
      <c r="N235" s="2649">
        <f>+$T231</f>
        <v>1.5</v>
      </c>
      <c r="O235" s="1903"/>
      <c r="P235" s="1902"/>
      <c r="Q235" s="1902"/>
      <c r="R235" s="1902"/>
      <c r="S235" s="1904"/>
      <c r="T235" s="1905"/>
      <c r="U235" s="2921"/>
    </row>
    <row r="236" spans="1:21" ht="60.75" hidden="1" thickBot="1" x14ac:dyDescent="0.3">
      <c r="A236" s="2925"/>
      <c r="B236" s="1906"/>
      <c r="C236" s="1907"/>
      <c r="D236" s="1907"/>
      <c r="E236" s="1908"/>
      <c r="F236" s="1909"/>
      <c r="G236" s="1910"/>
      <c r="H236" s="1910"/>
      <c r="I236" s="1911" t="s">
        <v>1538</v>
      </c>
      <c r="J236" s="1912" t="s">
        <v>740</v>
      </c>
      <c r="K236" s="2658">
        <v>0</v>
      </c>
      <c r="L236" s="2659">
        <f t="shared" si="147"/>
        <v>0</v>
      </c>
      <c r="M236" s="2660">
        <f>IF(T236="YES",$C$554,1)</f>
        <v>1</v>
      </c>
      <c r="N236" s="2661">
        <f>+$T231</f>
        <v>1.5</v>
      </c>
      <c r="O236" s="1913"/>
      <c r="P236" s="1914"/>
      <c r="Q236" s="1914"/>
      <c r="R236" s="1914"/>
      <c r="S236" s="1920" t="s">
        <v>1539</v>
      </c>
      <c r="T236" s="1921" t="s">
        <v>1540</v>
      </c>
      <c r="U236" s="2924"/>
    </row>
    <row r="237" spans="1:21" ht="27" hidden="1" customHeight="1" thickBot="1" x14ac:dyDescent="0.3">
      <c r="A237" s="1915"/>
      <c r="B237" s="1916"/>
      <c r="C237" s="1917"/>
      <c r="D237" s="1917"/>
      <c r="E237" s="1916"/>
      <c r="F237" s="1917"/>
      <c r="G237" s="1917"/>
      <c r="H237" s="1917"/>
      <c r="I237" s="1916"/>
      <c r="J237" s="1917"/>
      <c r="K237" s="2669"/>
      <c r="L237" s="2669"/>
      <c r="M237" s="2669"/>
      <c r="N237" s="2669"/>
      <c r="O237" s="1916"/>
      <c r="P237" s="1917"/>
      <c r="Q237" s="1917"/>
      <c r="R237" s="1917"/>
      <c r="S237" s="1918"/>
      <c r="T237" s="1917"/>
      <c r="U237" s="1919"/>
    </row>
    <row r="238" spans="1:21" ht="26.85" hidden="1" customHeight="1" x14ac:dyDescent="0.25">
      <c r="A238" s="1870" t="s">
        <v>1513</v>
      </c>
      <c r="B238" s="1871" t="s">
        <v>1523</v>
      </c>
      <c r="C238" s="1872" t="s">
        <v>740</v>
      </c>
      <c r="D238" s="1873"/>
      <c r="E238" s="1874" t="s">
        <v>1524</v>
      </c>
      <c r="F238" s="1875" t="s">
        <v>728</v>
      </c>
      <c r="G238" s="1873"/>
      <c r="H238" s="1873">
        <f t="shared" ref="H238" si="152">G238*M238*N238</f>
        <v>0</v>
      </c>
      <c r="I238" s="1876"/>
      <c r="J238" s="1877" t="s">
        <v>732</v>
      </c>
      <c r="K238" s="2672">
        <v>0</v>
      </c>
      <c r="L238" s="2645">
        <f t="shared" ref="L238:L244" si="153">IF(ISNUMBER(SEARCH("Timber",I238)),M238*K238*N238,K238)</f>
        <v>0</v>
      </c>
      <c r="M238" s="2225">
        <f>+$M244</f>
        <v>1</v>
      </c>
      <c r="N238" s="2648">
        <f>+$T239</f>
        <v>1.5</v>
      </c>
      <c r="O238" s="1878" t="s">
        <v>1512</v>
      </c>
      <c r="P238" s="1879" t="s">
        <v>740</v>
      </c>
      <c r="Q238" s="1880">
        <f t="shared" ref="Q238" si="154">R239*$E$532+T240*$E$533</f>
        <v>0</v>
      </c>
      <c r="R238" s="1881"/>
      <c r="S238" s="1882" t="s">
        <v>1525</v>
      </c>
      <c r="T238" s="1873">
        <v>30</v>
      </c>
      <c r="U238" s="2920" t="s">
        <v>1526</v>
      </c>
    </row>
    <row r="239" spans="1:21" ht="30" hidden="1" x14ac:dyDescent="0.25">
      <c r="A239" s="1883">
        <f>A231+1</f>
        <v>30</v>
      </c>
      <c r="B239" s="1884" t="s">
        <v>1527</v>
      </c>
      <c r="C239" s="1885" t="s">
        <v>740</v>
      </c>
      <c r="D239" s="1886"/>
      <c r="E239" s="1887" t="s">
        <v>1528</v>
      </c>
      <c r="F239" s="1888" t="s">
        <v>728</v>
      </c>
      <c r="G239" s="1886"/>
      <c r="H239" s="1886">
        <f t="shared" ref="H239:H242" si="155">G239</f>
        <v>0</v>
      </c>
      <c r="I239" s="1889"/>
      <c r="J239" s="1890" t="s">
        <v>732</v>
      </c>
      <c r="K239" s="2647">
        <v>0</v>
      </c>
      <c r="L239" s="2646">
        <f t="shared" si="153"/>
        <v>0</v>
      </c>
      <c r="M239" s="2226">
        <f t="shared" ref="M239:M243" si="156">M240</f>
        <v>1</v>
      </c>
      <c r="N239" s="2649">
        <f>+$T239</f>
        <v>1.5</v>
      </c>
      <c r="O239" s="1891" t="s">
        <v>1512</v>
      </c>
      <c r="P239" s="1892" t="s">
        <v>740</v>
      </c>
      <c r="Q239" s="1893"/>
      <c r="R239" s="1894">
        <f>H239*$E$527*0+H240*$E$527*0+SUMIF(I238:I243,$B$565,L238:L243)*$E$537+SUMIF(I238:I243,$B$566,L238:L243)*$E$540+SUMIF(I238:I243,$B$567,L238:L243)*$E$538+SUMIF(I238:I243,$B$568,L238:L243)*$E$539+SUMIF(I238:I243,$B$569,L238:L243)*$E$539+SUMIF(I238:I243,$B$570,L238:L243)*$E$541+SUMIF(I238:I243,$B$571,L238:L243)*$E$539+SUMIF(I238:I243,$B$572,L238:L243)*$E$541+SUMIF(I238:I243,$B$573,L238:L243)*$E$539+SUMIF(I238:I243,$B$574,L238:L243)*$E$543+SUMIF(I238:I243,$B$575,L238:L243)*$E$541+SUMIF(I238:I243,$B$577,L238:L243)*$E$536+SUMIF(I238:I243,$B$576,L238:L243)*$E$542+SUMIF(I238:I243,$B$563,L238:L243)*$E$539</f>
        <v>0</v>
      </c>
      <c r="S239" s="1895" t="s">
        <v>1529</v>
      </c>
      <c r="T239" s="2644">
        <f>+'Data Input sheet'!$D$112</f>
        <v>1.5</v>
      </c>
      <c r="U239" s="2921"/>
    </row>
    <row r="240" spans="1:21" ht="30" hidden="1" x14ac:dyDescent="0.25">
      <c r="A240" s="2922" t="s">
        <v>1530</v>
      </c>
      <c r="B240" s="1884" t="s">
        <v>1531</v>
      </c>
      <c r="C240" s="1885" t="s">
        <v>732</v>
      </c>
      <c r="D240" s="1886"/>
      <c r="E240" s="1887" t="s">
        <v>1532</v>
      </c>
      <c r="F240" s="1888" t="s">
        <v>728</v>
      </c>
      <c r="G240" s="1886"/>
      <c r="H240" s="1886">
        <f t="shared" si="155"/>
        <v>0</v>
      </c>
      <c r="I240" s="1889"/>
      <c r="J240" s="1890" t="s">
        <v>732</v>
      </c>
      <c r="K240" s="2647">
        <v>0</v>
      </c>
      <c r="L240" s="2646">
        <f t="shared" si="153"/>
        <v>0</v>
      </c>
      <c r="M240" s="2226">
        <f t="shared" si="156"/>
        <v>1</v>
      </c>
      <c r="N240" s="2649">
        <f>+$T239</f>
        <v>1.5</v>
      </c>
      <c r="O240" s="1896"/>
      <c r="P240" s="1897"/>
      <c r="Q240" s="1898"/>
      <c r="R240" s="1899">
        <f t="shared" ref="R240" si="157">T240</f>
        <v>0</v>
      </c>
      <c r="S240" s="1895" t="s">
        <v>1533</v>
      </c>
      <c r="T240" s="2673">
        <f>G238*64/4+K244+SUMIF(I238:I243,$B$578,K238:K243)*$E$545+SUMIF(I238:I243,$B$579,K238:K243)*$E$548+SUMIF(I238:I243,$B$580,K238:K243)*$E$546+SUMIF(I238:I243,$B$581,K238:K243)*$E$547+SUMIF(I238:I243,$B$582,K238:K243)*$E$547+SUMIF(I238:I243,$B$583,K238:K243)*$E$549+SUMIF(I238:I243,$B$584,K238:K243)*$E$547+SUMIF(I238:I243,$B$585,K238:K243)*$E$549+SUMIF(I238:I243,$B$586,K238:K243)*$E$547+SUMIF(I238:I243,$B$587,K238:K243)*$E$551+SUMIF(I238:I243,$B$588,K238:K243)*$E$549+SUMIF(I238:I243,$B$590,K238:K243)*$E$544+SUMIF(I238:I243,$B$589,K238:K243)*$E$550</f>
        <v>0</v>
      </c>
      <c r="U240" s="2921"/>
    </row>
    <row r="241" spans="1:21" hidden="1" x14ac:dyDescent="0.25">
      <c r="A241" s="2923"/>
      <c r="B241" s="1884" t="s">
        <v>1534</v>
      </c>
      <c r="C241" s="1885" t="s">
        <v>728</v>
      </c>
      <c r="D241" s="1886"/>
      <c r="E241" s="1887" t="s">
        <v>1535</v>
      </c>
      <c r="F241" s="1888" t="s">
        <v>728</v>
      </c>
      <c r="G241" s="1900">
        <f>(H239+H240)*$C$555+G238*$C$556+(R239-(H239+H240)*$E$527)*$C$555/50+(T240-G238*16)*$C$556/50</f>
        <v>0</v>
      </c>
      <c r="H241" s="1886">
        <f t="shared" si="155"/>
        <v>0</v>
      </c>
      <c r="I241" s="1889"/>
      <c r="J241" s="1890" t="s">
        <v>732</v>
      </c>
      <c r="K241" s="2647">
        <v>0</v>
      </c>
      <c r="L241" s="2646">
        <f t="shared" si="153"/>
        <v>0</v>
      </c>
      <c r="M241" s="2226">
        <f t="shared" si="156"/>
        <v>1</v>
      </c>
      <c r="N241" s="2649">
        <f>+$T239</f>
        <v>1.5</v>
      </c>
      <c r="O241" s="1896"/>
      <c r="P241" s="1897"/>
      <c r="Q241" s="1897"/>
      <c r="R241" s="1897"/>
      <c r="S241" s="1895" t="s">
        <v>3408</v>
      </c>
      <c r="T241" s="2674">
        <f>H238*64/4+L244+SUMIF(I238:I243,$B$578,L238:L243)*$E$545+SUMIF(I238:I243,$B$579,L238:L243)*$E$548+SUMIF(I238:I243,$B$580,L238:L243)*$E$546+SUMIF(I238:I243,$B$581,L238:L243)*$E$547+SUMIF(I238:I243,$B$582,L238:L243)*$E$547+SUMIF(I238:I243,$B$583,L238:L243)*$E$549+SUMIF(I238:I243,$B$584,L238:L243)*$E$547+SUMIF(I238:I243,$B$585,L238:L243)*$E$549+SUMIF(I238:I243,$B$586,L238:L243)*$E$547+SUMIF(I238:I243,$B$587,L238:L243)*$E$551+SUMIF(I238:I243,$B$588,L238:L243)*$E$549+SUMIF(I238:I243,$B$590,L238:L243)*$E$544+SUMIF(I238:I243,$B$589,L238:L243)*$E$550</f>
        <v>0</v>
      </c>
      <c r="U241" s="2921"/>
    </row>
    <row r="242" spans="1:21" ht="29.1" hidden="1" customHeight="1" x14ac:dyDescent="0.25">
      <c r="A242" s="2923"/>
      <c r="B242" s="1884"/>
      <c r="C242" s="1885"/>
      <c r="D242" s="1885"/>
      <c r="E242" s="1901" t="s">
        <v>1536</v>
      </c>
      <c r="F242" s="1888" t="s">
        <v>740</v>
      </c>
      <c r="G242" s="1900">
        <f>(H239*$E$527+H240*$E$527)*$C$557+R239*$C$557+T240*$C$558/T239</f>
        <v>0</v>
      </c>
      <c r="H242" s="1886">
        <f t="shared" si="155"/>
        <v>0</v>
      </c>
      <c r="I242" s="1889"/>
      <c r="J242" s="1890" t="s">
        <v>732</v>
      </c>
      <c r="K242" s="2647">
        <v>0</v>
      </c>
      <c r="L242" s="2646">
        <f t="shared" si="153"/>
        <v>0</v>
      </c>
      <c r="M242" s="2226">
        <f t="shared" si="156"/>
        <v>1</v>
      </c>
      <c r="N242" s="2649">
        <f>+$T239</f>
        <v>1.5</v>
      </c>
      <c r="O242" s="1896"/>
      <c r="P242" s="1897"/>
      <c r="Q242" s="1897"/>
      <c r="R242" s="1902"/>
      <c r="S242" s="1895" t="s">
        <v>1537</v>
      </c>
      <c r="T242" s="2673">
        <f>+T241*T238</f>
        <v>0</v>
      </c>
      <c r="U242" s="2921"/>
    </row>
    <row r="243" spans="1:21" hidden="1" x14ac:dyDescent="0.25">
      <c r="A243" s="2923"/>
      <c r="B243" s="1884"/>
      <c r="C243" s="1885"/>
      <c r="D243" s="1885"/>
      <c r="E243" s="1887"/>
      <c r="F243" s="1888"/>
      <c r="G243" s="1886"/>
      <c r="H243" s="1886"/>
      <c r="I243" s="1889"/>
      <c r="J243" s="1890" t="s">
        <v>732</v>
      </c>
      <c r="K243" s="2647">
        <v>0</v>
      </c>
      <c r="L243" s="2646">
        <f t="shared" si="153"/>
        <v>0</v>
      </c>
      <c r="M243" s="2226">
        <f t="shared" si="156"/>
        <v>1</v>
      </c>
      <c r="N243" s="2649">
        <f>+$T239</f>
        <v>1.5</v>
      </c>
      <c r="O243" s="1903"/>
      <c r="P243" s="1902"/>
      <c r="Q243" s="1902"/>
      <c r="R243" s="1902"/>
      <c r="S243" s="1904"/>
      <c r="T243" s="1905"/>
      <c r="U243" s="2921"/>
    </row>
    <row r="244" spans="1:21" ht="60.75" hidden="1" thickBot="1" x14ac:dyDescent="0.3">
      <c r="A244" s="2925"/>
      <c r="B244" s="1906"/>
      <c r="C244" s="1907"/>
      <c r="D244" s="1907"/>
      <c r="E244" s="1908"/>
      <c r="F244" s="1909"/>
      <c r="G244" s="1910"/>
      <c r="H244" s="1910"/>
      <c r="I244" s="1911" t="s">
        <v>1538</v>
      </c>
      <c r="J244" s="1912" t="s">
        <v>740</v>
      </c>
      <c r="K244" s="2658">
        <v>0</v>
      </c>
      <c r="L244" s="2659">
        <f t="shared" si="153"/>
        <v>0</v>
      </c>
      <c r="M244" s="2660">
        <f>IF(T244="YES",$C$554,1)</f>
        <v>1</v>
      </c>
      <c r="N244" s="2661">
        <f>+$T239</f>
        <v>1.5</v>
      </c>
      <c r="O244" s="1913"/>
      <c r="P244" s="1914"/>
      <c r="Q244" s="1914"/>
      <c r="R244" s="1914"/>
      <c r="S244" s="1920" t="s">
        <v>1539</v>
      </c>
      <c r="T244" s="1921" t="s">
        <v>1540</v>
      </c>
      <c r="U244" s="2924"/>
    </row>
    <row r="245" spans="1:21" ht="27" hidden="1" customHeight="1" thickBot="1" x14ac:dyDescent="0.3">
      <c r="A245" s="1915"/>
      <c r="B245" s="1916"/>
      <c r="C245" s="1917"/>
      <c r="D245" s="1917"/>
      <c r="E245" s="1916"/>
      <c r="F245" s="1917"/>
      <c r="G245" s="1917"/>
      <c r="H245" s="1917"/>
      <c r="I245" s="1916"/>
      <c r="J245" s="1917"/>
      <c r="K245" s="2669"/>
      <c r="L245" s="2669"/>
      <c r="M245" s="2669"/>
      <c r="N245" s="2669"/>
      <c r="O245" s="1916"/>
      <c r="P245" s="1917"/>
      <c r="Q245" s="1917"/>
      <c r="R245" s="1917"/>
      <c r="S245" s="1918"/>
      <c r="T245" s="1917"/>
      <c r="U245" s="1919"/>
    </row>
    <row r="246" spans="1:21" ht="26.85" hidden="1" customHeight="1" x14ac:dyDescent="0.25">
      <c r="A246" s="1870" t="s">
        <v>1513</v>
      </c>
      <c r="B246" s="1871" t="s">
        <v>1523</v>
      </c>
      <c r="C246" s="1872" t="s">
        <v>740</v>
      </c>
      <c r="D246" s="1873"/>
      <c r="E246" s="1874" t="s">
        <v>1524</v>
      </c>
      <c r="F246" s="1875" t="s">
        <v>728</v>
      </c>
      <c r="G246" s="1873"/>
      <c r="H246" s="1873">
        <f t="shared" ref="H246" si="158">G246*M246*N246</f>
        <v>0</v>
      </c>
      <c r="I246" s="1876"/>
      <c r="J246" s="1877" t="s">
        <v>732</v>
      </c>
      <c r="K246" s="2672">
        <v>0</v>
      </c>
      <c r="L246" s="2645">
        <f t="shared" ref="L246:L252" si="159">IF(ISNUMBER(SEARCH("Timber",I246)),M246*K246*N246,K246)</f>
        <v>0</v>
      </c>
      <c r="M246" s="2225">
        <f>+$M252</f>
        <v>1</v>
      </c>
      <c r="N246" s="2648">
        <f>+$T247</f>
        <v>1.5</v>
      </c>
      <c r="O246" s="1878" t="s">
        <v>1512</v>
      </c>
      <c r="P246" s="1879" t="s">
        <v>740</v>
      </c>
      <c r="Q246" s="1880">
        <f t="shared" ref="Q246" si="160">R247*$E$532+T248*$E$533</f>
        <v>0</v>
      </c>
      <c r="R246" s="1881"/>
      <c r="S246" s="1882" t="s">
        <v>1525</v>
      </c>
      <c r="T246" s="1873">
        <v>30</v>
      </c>
      <c r="U246" s="2920" t="s">
        <v>1526</v>
      </c>
    </row>
    <row r="247" spans="1:21" ht="30" hidden="1" x14ac:dyDescent="0.25">
      <c r="A247" s="1883">
        <f>A239+1</f>
        <v>31</v>
      </c>
      <c r="B247" s="1884" t="s">
        <v>1527</v>
      </c>
      <c r="C247" s="1885" t="s">
        <v>740</v>
      </c>
      <c r="D247" s="1886"/>
      <c r="E247" s="1887" t="s">
        <v>1528</v>
      </c>
      <c r="F247" s="1888" t="s">
        <v>728</v>
      </c>
      <c r="G247" s="1886"/>
      <c r="H247" s="1886">
        <f t="shared" ref="H247:H250" si="161">G247</f>
        <v>0</v>
      </c>
      <c r="I247" s="1889"/>
      <c r="J247" s="1890" t="s">
        <v>732</v>
      </c>
      <c r="K247" s="2647">
        <v>0</v>
      </c>
      <c r="L247" s="2646">
        <f t="shared" si="159"/>
        <v>0</v>
      </c>
      <c r="M247" s="2226">
        <f t="shared" ref="M247:M251" si="162">M248</f>
        <v>1</v>
      </c>
      <c r="N247" s="2649">
        <f>+$T247</f>
        <v>1.5</v>
      </c>
      <c r="O247" s="1891" t="s">
        <v>1512</v>
      </c>
      <c r="P247" s="1892" t="s">
        <v>740</v>
      </c>
      <c r="Q247" s="1893"/>
      <c r="R247" s="1894">
        <f>H247*$E$527*0+H248*$E$527*0+SUMIF(I246:I251,$B$565,L246:L251)*$E$537+SUMIF(I246:I251,$B$566,L246:L251)*$E$540+SUMIF(I246:I251,$B$567,L246:L251)*$E$538+SUMIF(I246:I251,$B$568,L246:L251)*$E$539+SUMIF(I246:I251,$B$569,L246:L251)*$E$539+SUMIF(I246:I251,$B$570,L246:L251)*$E$541+SUMIF(I246:I251,$B$571,L246:L251)*$E$539+SUMIF(I246:I251,$B$572,L246:L251)*$E$541+SUMIF(I246:I251,$B$573,L246:L251)*$E$539+SUMIF(I246:I251,$B$574,L246:L251)*$E$543+SUMIF(I246:I251,$B$575,L246:L251)*$E$541+SUMIF(I246:I251,$B$577,L246:L251)*$E$536+SUMIF(I246:I251,$B$576,L246:L251)*$E$542+SUMIF(I246:I251,$B$563,L246:L251)*$E$539</f>
        <v>0</v>
      </c>
      <c r="S247" s="1895" t="s">
        <v>1529</v>
      </c>
      <c r="T247" s="2644">
        <f>+'Data Input sheet'!$D$112</f>
        <v>1.5</v>
      </c>
      <c r="U247" s="2921"/>
    </row>
    <row r="248" spans="1:21" ht="30" hidden="1" x14ac:dyDescent="0.25">
      <c r="A248" s="2922" t="s">
        <v>1530</v>
      </c>
      <c r="B248" s="1884" t="s">
        <v>1531</v>
      </c>
      <c r="C248" s="1885" t="s">
        <v>732</v>
      </c>
      <c r="D248" s="1886"/>
      <c r="E248" s="1887" t="s">
        <v>1532</v>
      </c>
      <c r="F248" s="1888" t="s">
        <v>728</v>
      </c>
      <c r="G248" s="1886"/>
      <c r="H248" s="1886">
        <f t="shared" si="161"/>
        <v>0</v>
      </c>
      <c r="I248" s="1889"/>
      <c r="J248" s="1890" t="s">
        <v>732</v>
      </c>
      <c r="K248" s="2647">
        <v>0</v>
      </c>
      <c r="L248" s="2646">
        <f t="shared" si="159"/>
        <v>0</v>
      </c>
      <c r="M248" s="2226">
        <f t="shared" si="162"/>
        <v>1</v>
      </c>
      <c r="N248" s="2649">
        <f>+$T247</f>
        <v>1.5</v>
      </c>
      <c r="O248" s="1896"/>
      <c r="P248" s="1897"/>
      <c r="Q248" s="1898"/>
      <c r="R248" s="1899">
        <f t="shared" ref="R248" si="163">T248</f>
        <v>0</v>
      </c>
      <c r="S248" s="1895" t="s">
        <v>1533</v>
      </c>
      <c r="T248" s="2673">
        <f>G246*64/4+K252+SUMIF(I246:I251,$B$578,K246:K251)*$E$545+SUMIF(I246:I251,$B$579,K246:K251)*$E$548+SUMIF(I246:I251,$B$580,K246:K251)*$E$546+SUMIF(I246:I251,$B$581,K246:K251)*$E$547+SUMIF(I246:I251,$B$582,K246:K251)*$E$547+SUMIF(I246:I251,$B$583,K246:K251)*$E$549+SUMIF(I246:I251,$B$584,K246:K251)*$E$547+SUMIF(I246:I251,$B$585,K246:K251)*$E$549+SUMIF(I246:I251,$B$586,K246:K251)*$E$547+SUMIF(I246:I251,$B$587,K246:K251)*$E$551+SUMIF(I246:I251,$B$588,K246:K251)*$E$549+SUMIF(I246:I251,$B$590,K246:K251)*$E$544+SUMIF(I246:I251,$B$589,K246:K251)*$E$550</f>
        <v>0</v>
      </c>
      <c r="U248" s="2921"/>
    </row>
    <row r="249" spans="1:21" hidden="1" x14ac:dyDescent="0.25">
      <c r="A249" s="2923"/>
      <c r="B249" s="1884" t="s">
        <v>1534</v>
      </c>
      <c r="C249" s="1885" t="s">
        <v>728</v>
      </c>
      <c r="D249" s="1886"/>
      <c r="E249" s="1887" t="s">
        <v>1535</v>
      </c>
      <c r="F249" s="1888" t="s">
        <v>728</v>
      </c>
      <c r="G249" s="1900">
        <f>(H247+H248)*$C$555+G246*$C$556+(R247-(H247+H248)*$E$527)*$C$555/50+(T248-G246*16)*$C$556/50</f>
        <v>0</v>
      </c>
      <c r="H249" s="1886">
        <f t="shared" si="161"/>
        <v>0</v>
      </c>
      <c r="I249" s="1889"/>
      <c r="J249" s="1890" t="s">
        <v>732</v>
      </c>
      <c r="K249" s="2647">
        <v>0</v>
      </c>
      <c r="L249" s="2646">
        <f t="shared" si="159"/>
        <v>0</v>
      </c>
      <c r="M249" s="2226">
        <f t="shared" si="162"/>
        <v>1</v>
      </c>
      <c r="N249" s="2649">
        <f>+$T247</f>
        <v>1.5</v>
      </c>
      <c r="O249" s="1896"/>
      <c r="P249" s="1897"/>
      <c r="Q249" s="1897"/>
      <c r="R249" s="1897"/>
      <c r="S249" s="1895" t="s">
        <v>3408</v>
      </c>
      <c r="T249" s="2674">
        <f>H246*64/4+L252+SUMIF(I246:I251,$B$578,L246:L251)*$E$545+SUMIF(I246:I251,$B$579,L246:L251)*$E$548+SUMIF(I246:I251,$B$580,L246:L251)*$E$546+SUMIF(I246:I251,$B$581,L246:L251)*$E$547+SUMIF(I246:I251,$B$582,L246:L251)*$E$547+SUMIF(I246:I251,$B$583,L246:L251)*$E$549+SUMIF(I246:I251,$B$584,L246:L251)*$E$547+SUMIF(I246:I251,$B$585,L246:L251)*$E$549+SUMIF(I246:I251,$B$586,L246:L251)*$E$547+SUMIF(I246:I251,$B$587,L246:L251)*$E$551+SUMIF(I246:I251,$B$588,L246:L251)*$E$549+SUMIF(I246:I251,$B$590,L246:L251)*$E$544+SUMIF(I246:I251,$B$589,L246:L251)*$E$550</f>
        <v>0</v>
      </c>
      <c r="U249" s="2921"/>
    </row>
    <row r="250" spans="1:21" ht="29.1" hidden="1" customHeight="1" x14ac:dyDescent="0.25">
      <c r="A250" s="2923"/>
      <c r="B250" s="1884"/>
      <c r="C250" s="1885"/>
      <c r="D250" s="1885"/>
      <c r="E250" s="1901" t="s">
        <v>1536</v>
      </c>
      <c r="F250" s="1888" t="s">
        <v>740</v>
      </c>
      <c r="G250" s="1900">
        <f>(H247*$E$527+H248*$E$527)*$C$557+R247*$C$557+T248*$C$558/T247</f>
        <v>0</v>
      </c>
      <c r="H250" s="1886">
        <f t="shared" si="161"/>
        <v>0</v>
      </c>
      <c r="I250" s="1889"/>
      <c r="J250" s="1890" t="s">
        <v>732</v>
      </c>
      <c r="K250" s="2647">
        <v>0</v>
      </c>
      <c r="L250" s="2646">
        <f t="shared" si="159"/>
        <v>0</v>
      </c>
      <c r="M250" s="2226">
        <f t="shared" si="162"/>
        <v>1</v>
      </c>
      <c r="N250" s="2649">
        <f>+$T247</f>
        <v>1.5</v>
      </c>
      <c r="O250" s="1896"/>
      <c r="P250" s="1897"/>
      <c r="Q250" s="1897"/>
      <c r="R250" s="1902"/>
      <c r="S250" s="1895" t="s">
        <v>1537</v>
      </c>
      <c r="T250" s="2673">
        <f>+T249*T246</f>
        <v>0</v>
      </c>
      <c r="U250" s="2921"/>
    </row>
    <row r="251" spans="1:21" hidden="1" x14ac:dyDescent="0.25">
      <c r="A251" s="2923"/>
      <c r="B251" s="1884"/>
      <c r="C251" s="1885"/>
      <c r="D251" s="1885"/>
      <c r="E251" s="1887"/>
      <c r="F251" s="1888"/>
      <c r="G251" s="1886"/>
      <c r="H251" s="1886"/>
      <c r="I251" s="1889"/>
      <c r="J251" s="1890" t="s">
        <v>732</v>
      </c>
      <c r="K251" s="2647">
        <v>0</v>
      </c>
      <c r="L251" s="2646">
        <f t="shared" si="159"/>
        <v>0</v>
      </c>
      <c r="M251" s="2226">
        <f t="shared" si="162"/>
        <v>1</v>
      </c>
      <c r="N251" s="2649">
        <f>+$T247</f>
        <v>1.5</v>
      </c>
      <c r="O251" s="1903"/>
      <c r="P251" s="1902"/>
      <c r="Q251" s="1902"/>
      <c r="R251" s="1902"/>
      <c r="S251" s="1904"/>
      <c r="T251" s="1905"/>
      <c r="U251" s="2921"/>
    </row>
    <row r="252" spans="1:21" ht="60.75" hidden="1" thickBot="1" x14ac:dyDescent="0.3">
      <c r="A252" s="2925"/>
      <c r="B252" s="1906"/>
      <c r="C252" s="1907"/>
      <c r="D252" s="1907"/>
      <c r="E252" s="1908"/>
      <c r="F252" s="1909"/>
      <c r="G252" s="1910"/>
      <c r="H252" s="1910"/>
      <c r="I252" s="1911" t="s">
        <v>1538</v>
      </c>
      <c r="J252" s="1912" t="s">
        <v>740</v>
      </c>
      <c r="K252" s="2658">
        <v>0</v>
      </c>
      <c r="L252" s="2659">
        <f t="shared" si="159"/>
        <v>0</v>
      </c>
      <c r="M252" s="2660">
        <f>IF(T252="YES",$C$554,1)</f>
        <v>1</v>
      </c>
      <c r="N252" s="2661">
        <f>+$T247</f>
        <v>1.5</v>
      </c>
      <c r="O252" s="1913"/>
      <c r="P252" s="1914"/>
      <c r="Q252" s="1914"/>
      <c r="R252" s="1914"/>
      <c r="S252" s="1920" t="s">
        <v>1539</v>
      </c>
      <c r="T252" s="1921" t="s">
        <v>1540</v>
      </c>
      <c r="U252" s="2924"/>
    </row>
    <row r="253" spans="1:21" ht="27" hidden="1" customHeight="1" thickBot="1" x14ac:dyDescent="0.3">
      <c r="A253" s="1915"/>
      <c r="B253" s="1916"/>
      <c r="C253" s="1917"/>
      <c r="D253" s="1917"/>
      <c r="E253" s="1916"/>
      <c r="F253" s="1917"/>
      <c r="G253" s="1917"/>
      <c r="H253" s="1917"/>
      <c r="I253" s="1916"/>
      <c r="J253" s="1917"/>
      <c r="K253" s="2669"/>
      <c r="L253" s="2669"/>
      <c r="M253" s="2669"/>
      <c r="N253" s="2669"/>
      <c r="O253" s="1916"/>
      <c r="P253" s="1917"/>
      <c r="Q253" s="1917"/>
      <c r="R253" s="1917"/>
      <c r="S253" s="1918"/>
      <c r="T253" s="1917"/>
      <c r="U253" s="1919"/>
    </row>
    <row r="254" spans="1:21" ht="26.85" hidden="1" customHeight="1" x14ac:dyDescent="0.25">
      <c r="A254" s="1870" t="s">
        <v>1513</v>
      </c>
      <c r="B254" s="1871" t="s">
        <v>1523</v>
      </c>
      <c r="C254" s="1872" t="s">
        <v>740</v>
      </c>
      <c r="D254" s="1873"/>
      <c r="E254" s="1874" t="s">
        <v>1524</v>
      </c>
      <c r="F254" s="1875" t="s">
        <v>728</v>
      </c>
      <c r="G254" s="1873"/>
      <c r="H254" s="1873">
        <f t="shared" ref="H254" si="164">G254*M254*N254</f>
        <v>0</v>
      </c>
      <c r="I254" s="1876"/>
      <c r="J254" s="1877" t="s">
        <v>732</v>
      </c>
      <c r="K254" s="2672">
        <v>0</v>
      </c>
      <c r="L254" s="2645">
        <f t="shared" ref="L254:L260" si="165">IF(ISNUMBER(SEARCH("Timber",I254)),M254*K254*N254,K254)</f>
        <v>0</v>
      </c>
      <c r="M254" s="2225">
        <f>+$M260</f>
        <v>1</v>
      </c>
      <c r="N254" s="2648">
        <f>+$T255</f>
        <v>1.5</v>
      </c>
      <c r="O254" s="1878" t="s">
        <v>1512</v>
      </c>
      <c r="P254" s="1879" t="s">
        <v>740</v>
      </c>
      <c r="Q254" s="1880">
        <f t="shared" ref="Q254" si="166">R255*$E$532+T256*$E$533</f>
        <v>0</v>
      </c>
      <c r="R254" s="1881"/>
      <c r="S254" s="1882" t="s">
        <v>1525</v>
      </c>
      <c r="T254" s="1873">
        <v>30</v>
      </c>
      <c r="U254" s="2920" t="s">
        <v>1526</v>
      </c>
    </row>
    <row r="255" spans="1:21" ht="30" hidden="1" x14ac:dyDescent="0.25">
      <c r="A255" s="1883">
        <f>A247+1</f>
        <v>32</v>
      </c>
      <c r="B255" s="1884" t="s">
        <v>1527</v>
      </c>
      <c r="C255" s="1885" t="s">
        <v>740</v>
      </c>
      <c r="D255" s="1886"/>
      <c r="E255" s="1887" t="s">
        <v>1528</v>
      </c>
      <c r="F255" s="1888" t="s">
        <v>728</v>
      </c>
      <c r="G255" s="1886"/>
      <c r="H255" s="1886">
        <f t="shared" ref="H255:H258" si="167">G255</f>
        <v>0</v>
      </c>
      <c r="I255" s="1889"/>
      <c r="J255" s="1890" t="s">
        <v>732</v>
      </c>
      <c r="K255" s="2647">
        <v>0</v>
      </c>
      <c r="L255" s="2646">
        <f t="shared" si="165"/>
        <v>0</v>
      </c>
      <c r="M255" s="2226">
        <f t="shared" ref="M255:M259" si="168">M256</f>
        <v>1</v>
      </c>
      <c r="N255" s="2649">
        <f>+$T255</f>
        <v>1.5</v>
      </c>
      <c r="O255" s="1891" t="s">
        <v>1512</v>
      </c>
      <c r="P255" s="1892" t="s">
        <v>740</v>
      </c>
      <c r="Q255" s="1893"/>
      <c r="R255" s="1894">
        <f>H255*$E$527*0+H256*$E$527*0+SUMIF(I254:I259,$B$565,L254:L259)*$E$537+SUMIF(I254:I259,$B$566,L254:L259)*$E$540+SUMIF(I254:I259,$B$567,L254:L259)*$E$538+SUMIF(I254:I259,$B$568,L254:L259)*$E$539+SUMIF(I254:I259,$B$569,L254:L259)*$E$539+SUMIF(I254:I259,$B$570,L254:L259)*$E$541+SUMIF(I254:I259,$B$571,L254:L259)*$E$539+SUMIF(I254:I259,$B$572,L254:L259)*$E$541+SUMIF(I254:I259,$B$573,L254:L259)*$E$539+SUMIF(I254:I259,$B$574,L254:L259)*$E$543+SUMIF(I254:I259,$B$575,L254:L259)*$E$541+SUMIF(I254:I259,$B$577,L254:L259)*$E$536+SUMIF(I254:I259,$B$576,L254:L259)*$E$542+SUMIF(I254:I259,$B$563,L254:L259)*$E$539</f>
        <v>0</v>
      </c>
      <c r="S255" s="1895" t="s">
        <v>1529</v>
      </c>
      <c r="T255" s="2644">
        <f>+'Data Input sheet'!$D$112</f>
        <v>1.5</v>
      </c>
      <c r="U255" s="2921"/>
    </row>
    <row r="256" spans="1:21" ht="30" hidden="1" x14ac:dyDescent="0.25">
      <c r="A256" s="2922" t="s">
        <v>1530</v>
      </c>
      <c r="B256" s="1884" t="s">
        <v>1531</v>
      </c>
      <c r="C256" s="1885" t="s">
        <v>732</v>
      </c>
      <c r="D256" s="1886"/>
      <c r="E256" s="1887" t="s">
        <v>1532</v>
      </c>
      <c r="F256" s="1888" t="s">
        <v>728</v>
      </c>
      <c r="G256" s="1886"/>
      <c r="H256" s="1886">
        <f t="shared" si="167"/>
        <v>0</v>
      </c>
      <c r="I256" s="1889"/>
      <c r="J256" s="1890" t="s">
        <v>732</v>
      </c>
      <c r="K256" s="2647">
        <v>0</v>
      </c>
      <c r="L256" s="2646">
        <f t="shared" si="165"/>
        <v>0</v>
      </c>
      <c r="M256" s="2226">
        <f t="shared" si="168"/>
        <v>1</v>
      </c>
      <c r="N256" s="2649">
        <f>+$T255</f>
        <v>1.5</v>
      </c>
      <c r="O256" s="1896"/>
      <c r="P256" s="1897"/>
      <c r="Q256" s="1898"/>
      <c r="R256" s="1899">
        <f t="shared" ref="R256" si="169">T256</f>
        <v>0</v>
      </c>
      <c r="S256" s="1895" t="s">
        <v>1533</v>
      </c>
      <c r="T256" s="2673">
        <f>G254*64/4+K260+SUMIF(I254:I259,$B$578,K254:K259)*$E$545+SUMIF(I254:I259,$B$579,K254:K259)*$E$548+SUMIF(I254:I259,$B$580,K254:K259)*$E$546+SUMIF(I254:I259,$B$581,K254:K259)*$E$547+SUMIF(I254:I259,$B$582,K254:K259)*$E$547+SUMIF(I254:I259,$B$583,K254:K259)*$E$549+SUMIF(I254:I259,$B$584,K254:K259)*$E$547+SUMIF(I254:I259,$B$585,K254:K259)*$E$549+SUMIF(I254:I259,$B$586,K254:K259)*$E$547+SUMIF(I254:I259,$B$587,K254:K259)*$E$551+SUMIF(I254:I259,$B$588,K254:K259)*$E$549+SUMIF(I254:I259,$B$590,K254:K259)*$E$544+SUMIF(I254:I259,$B$589,K254:K259)*$E$550</f>
        <v>0</v>
      </c>
      <c r="U256" s="2921"/>
    </row>
    <row r="257" spans="1:21" hidden="1" x14ac:dyDescent="0.25">
      <c r="A257" s="2923"/>
      <c r="B257" s="1884" t="s">
        <v>1534</v>
      </c>
      <c r="C257" s="1885" t="s">
        <v>728</v>
      </c>
      <c r="D257" s="1886"/>
      <c r="E257" s="1887" t="s">
        <v>1535</v>
      </c>
      <c r="F257" s="1888" t="s">
        <v>728</v>
      </c>
      <c r="G257" s="1900">
        <f>(H255+H256)*$C$555+G254*$C$556+(R255-(H255+H256)*$E$527)*$C$555/50+(T256-G254*16)*$C$556/50</f>
        <v>0</v>
      </c>
      <c r="H257" s="1886">
        <f t="shared" si="167"/>
        <v>0</v>
      </c>
      <c r="I257" s="1889"/>
      <c r="J257" s="1890" t="s">
        <v>732</v>
      </c>
      <c r="K257" s="2647">
        <v>0</v>
      </c>
      <c r="L257" s="2646">
        <f t="shared" si="165"/>
        <v>0</v>
      </c>
      <c r="M257" s="2226">
        <f t="shared" si="168"/>
        <v>1</v>
      </c>
      <c r="N257" s="2649">
        <f>+$T255</f>
        <v>1.5</v>
      </c>
      <c r="O257" s="1896"/>
      <c r="P257" s="1897"/>
      <c r="Q257" s="1897"/>
      <c r="R257" s="1897"/>
      <c r="S257" s="1895" t="s">
        <v>3408</v>
      </c>
      <c r="T257" s="2674">
        <f>H254*64/4+L260+SUMIF(I254:I259,$B$578,L254:L259)*$E$545+SUMIF(I254:I259,$B$579,L254:L259)*$E$548+SUMIF(I254:I259,$B$580,L254:L259)*$E$546+SUMIF(I254:I259,$B$581,L254:L259)*$E$547+SUMIF(I254:I259,$B$582,L254:L259)*$E$547+SUMIF(I254:I259,$B$583,L254:L259)*$E$549+SUMIF(I254:I259,$B$584,L254:L259)*$E$547+SUMIF(I254:I259,$B$585,L254:L259)*$E$549+SUMIF(I254:I259,$B$586,L254:L259)*$E$547+SUMIF(I254:I259,$B$587,L254:L259)*$E$551+SUMIF(I254:I259,$B$588,L254:L259)*$E$549+SUMIF(I254:I259,$B$590,L254:L259)*$E$544+SUMIF(I254:I259,$B$589,L254:L259)*$E$550</f>
        <v>0</v>
      </c>
      <c r="U257" s="2921"/>
    </row>
    <row r="258" spans="1:21" ht="29.1" hidden="1" customHeight="1" x14ac:dyDescent="0.25">
      <c r="A258" s="2923"/>
      <c r="B258" s="1884"/>
      <c r="C258" s="1885"/>
      <c r="D258" s="1885"/>
      <c r="E258" s="1901" t="s">
        <v>1536</v>
      </c>
      <c r="F258" s="1888" t="s">
        <v>740</v>
      </c>
      <c r="G258" s="1900">
        <f>(H255*$E$527+H256*$E$527)*$C$557+R255*$C$557+T256*$C$558/T255</f>
        <v>0</v>
      </c>
      <c r="H258" s="1886">
        <f t="shared" si="167"/>
        <v>0</v>
      </c>
      <c r="I258" s="1889"/>
      <c r="J258" s="1890" t="s">
        <v>732</v>
      </c>
      <c r="K258" s="2647">
        <v>0</v>
      </c>
      <c r="L258" s="2646">
        <f t="shared" si="165"/>
        <v>0</v>
      </c>
      <c r="M258" s="2226">
        <f t="shared" si="168"/>
        <v>1</v>
      </c>
      <c r="N258" s="2649">
        <f>+$T255</f>
        <v>1.5</v>
      </c>
      <c r="O258" s="1896"/>
      <c r="P258" s="1897"/>
      <c r="Q258" s="1897"/>
      <c r="R258" s="1902"/>
      <c r="S258" s="1895" t="s">
        <v>1537</v>
      </c>
      <c r="T258" s="2673">
        <f>+T257*T254</f>
        <v>0</v>
      </c>
      <c r="U258" s="2921"/>
    </row>
    <row r="259" spans="1:21" hidden="1" x14ac:dyDescent="0.25">
      <c r="A259" s="2923"/>
      <c r="B259" s="1884"/>
      <c r="C259" s="1885"/>
      <c r="D259" s="1885"/>
      <c r="E259" s="1887"/>
      <c r="F259" s="1888"/>
      <c r="G259" s="1886"/>
      <c r="H259" s="1886"/>
      <c r="I259" s="1889"/>
      <c r="J259" s="1890" t="s">
        <v>732</v>
      </c>
      <c r="K259" s="2647">
        <v>0</v>
      </c>
      <c r="L259" s="2646">
        <f t="shared" si="165"/>
        <v>0</v>
      </c>
      <c r="M259" s="2226">
        <f t="shared" si="168"/>
        <v>1</v>
      </c>
      <c r="N259" s="2649">
        <f>+$T255</f>
        <v>1.5</v>
      </c>
      <c r="O259" s="1903"/>
      <c r="P259" s="1902"/>
      <c r="Q259" s="1902"/>
      <c r="R259" s="1902"/>
      <c r="S259" s="1904"/>
      <c r="T259" s="1905"/>
      <c r="U259" s="2921"/>
    </row>
    <row r="260" spans="1:21" ht="60.75" hidden="1" thickBot="1" x14ac:dyDescent="0.3">
      <c r="A260" s="2925"/>
      <c r="B260" s="1906"/>
      <c r="C260" s="1907"/>
      <c r="D260" s="1907"/>
      <c r="E260" s="1908"/>
      <c r="F260" s="1909"/>
      <c r="G260" s="1910"/>
      <c r="H260" s="1910"/>
      <c r="I260" s="1911" t="s">
        <v>1538</v>
      </c>
      <c r="J260" s="1912" t="s">
        <v>740</v>
      </c>
      <c r="K260" s="2658">
        <v>0</v>
      </c>
      <c r="L260" s="2659">
        <f t="shared" si="165"/>
        <v>0</v>
      </c>
      <c r="M260" s="2660">
        <f>IF(T260="YES",$C$554,1)</f>
        <v>1</v>
      </c>
      <c r="N260" s="2661">
        <f>+$T255</f>
        <v>1.5</v>
      </c>
      <c r="O260" s="1913"/>
      <c r="P260" s="1914"/>
      <c r="Q260" s="1914"/>
      <c r="R260" s="1914"/>
      <c r="S260" s="1920" t="s">
        <v>1539</v>
      </c>
      <c r="T260" s="1921" t="s">
        <v>1540</v>
      </c>
      <c r="U260" s="2924"/>
    </row>
    <row r="261" spans="1:21" ht="27" hidden="1" customHeight="1" thickBot="1" x14ac:dyDescent="0.3">
      <c r="A261" s="1915"/>
      <c r="B261" s="1916"/>
      <c r="C261" s="1917"/>
      <c r="D261" s="1917"/>
      <c r="E261" s="1916"/>
      <c r="F261" s="1917"/>
      <c r="G261" s="1917"/>
      <c r="H261" s="1917"/>
      <c r="I261" s="1916"/>
      <c r="J261" s="1917"/>
      <c r="K261" s="2669"/>
      <c r="L261" s="2669"/>
      <c r="M261" s="2669"/>
      <c r="N261" s="2669"/>
      <c r="O261" s="1916"/>
      <c r="P261" s="1917"/>
      <c r="Q261" s="1917"/>
      <c r="R261" s="1917"/>
      <c r="S261" s="1918"/>
      <c r="T261" s="1917"/>
      <c r="U261" s="1919"/>
    </row>
    <row r="262" spans="1:21" ht="26.85" hidden="1" customHeight="1" x14ac:dyDescent="0.25">
      <c r="A262" s="1870" t="s">
        <v>1513</v>
      </c>
      <c r="B262" s="1871" t="s">
        <v>1523</v>
      </c>
      <c r="C262" s="1872" t="s">
        <v>740</v>
      </c>
      <c r="D262" s="1873"/>
      <c r="E262" s="1874" t="s">
        <v>1524</v>
      </c>
      <c r="F262" s="1875" t="s">
        <v>728</v>
      </c>
      <c r="G262" s="1873"/>
      <c r="H262" s="1873">
        <f t="shared" ref="H262" si="170">G262*M262*N262</f>
        <v>0</v>
      </c>
      <c r="I262" s="1876"/>
      <c r="J262" s="1877" t="s">
        <v>732</v>
      </c>
      <c r="K262" s="2672">
        <v>0</v>
      </c>
      <c r="L262" s="2645">
        <f t="shared" ref="L262:L268" si="171">IF(ISNUMBER(SEARCH("Timber",I262)),M262*K262*N262,K262)</f>
        <v>0</v>
      </c>
      <c r="M262" s="2225">
        <f>+$M268</f>
        <v>1</v>
      </c>
      <c r="N262" s="2648">
        <f>+$T263</f>
        <v>1.5</v>
      </c>
      <c r="O262" s="1878" t="s">
        <v>1512</v>
      </c>
      <c r="P262" s="1879" t="s">
        <v>740</v>
      </c>
      <c r="Q262" s="1880">
        <f t="shared" ref="Q262" si="172">R263*$E$532+T264*$E$533</f>
        <v>0</v>
      </c>
      <c r="R262" s="1881"/>
      <c r="S262" s="1882" t="s">
        <v>1525</v>
      </c>
      <c r="T262" s="1873">
        <v>30</v>
      </c>
      <c r="U262" s="2920" t="s">
        <v>1526</v>
      </c>
    </row>
    <row r="263" spans="1:21" ht="30" hidden="1" x14ac:dyDescent="0.25">
      <c r="A263" s="1883">
        <f>A255+1</f>
        <v>33</v>
      </c>
      <c r="B263" s="1884" t="s">
        <v>1527</v>
      </c>
      <c r="C263" s="1885" t="s">
        <v>740</v>
      </c>
      <c r="D263" s="1886"/>
      <c r="E263" s="1887" t="s">
        <v>1528</v>
      </c>
      <c r="F263" s="1888" t="s">
        <v>728</v>
      </c>
      <c r="G263" s="1886"/>
      <c r="H263" s="1886">
        <f t="shared" ref="H263:H266" si="173">G263</f>
        <v>0</v>
      </c>
      <c r="I263" s="1889"/>
      <c r="J263" s="1890" t="s">
        <v>732</v>
      </c>
      <c r="K263" s="2647">
        <v>0</v>
      </c>
      <c r="L263" s="2646">
        <f t="shared" si="171"/>
        <v>0</v>
      </c>
      <c r="M263" s="2226">
        <f t="shared" ref="M263:M267" si="174">M264</f>
        <v>1</v>
      </c>
      <c r="N263" s="2649">
        <f>+$T263</f>
        <v>1.5</v>
      </c>
      <c r="O263" s="1891" t="s">
        <v>1512</v>
      </c>
      <c r="P263" s="1892" t="s">
        <v>740</v>
      </c>
      <c r="Q263" s="1893"/>
      <c r="R263" s="1894">
        <f>H263*$E$527*0+H264*$E$527*0+SUMIF(I262:I267,$B$565,L262:L267)*$E$537+SUMIF(I262:I267,$B$566,L262:L267)*$E$540+SUMIF(I262:I267,$B$567,L262:L267)*$E$538+SUMIF(I262:I267,$B$568,L262:L267)*$E$539+SUMIF(I262:I267,$B$569,L262:L267)*$E$539+SUMIF(I262:I267,$B$570,L262:L267)*$E$541+SUMIF(I262:I267,$B$571,L262:L267)*$E$539+SUMIF(I262:I267,$B$572,L262:L267)*$E$541+SUMIF(I262:I267,$B$573,L262:L267)*$E$539+SUMIF(I262:I267,$B$574,L262:L267)*$E$543+SUMIF(I262:I267,$B$575,L262:L267)*$E$541+SUMIF(I262:I267,$B$577,L262:L267)*$E$536+SUMIF(I262:I267,$B$576,L262:L267)*$E$542+SUMIF(I262:I267,$B$563,L262:L267)*$E$539</f>
        <v>0</v>
      </c>
      <c r="S263" s="1895" t="s">
        <v>1529</v>
      </c>
      <c r="T263" s="2644">
        <f>+'Data Input sheet'!$D$112</f>
        <v>1.5</v>
      </c>
      <c r="U263" s="2921"/>
    </row>
    <row r="264" spans="1:21" ht="30" hidden="1" x14ac:dyDescent="0.25">
      <c r="A264" s="2922" t="s">
        <v>1530</v>
      </c>
      <c r="B264" s="1884" t="s">
        <v>1531</v>
      </c>
      <c r="C264" s="1885" t="s">
        <v>732</v>
      </c>
      <c r="D264" s="1886"/>
      <c r="E264" s="1887" t="s">
        <v>1532</v>
      </c>
      <c r="F264" s="1888" t="s">
        <v>728</v>
      </c>
      <c r="G264" s="1886"/>
      <c r="H264" s="1886">
        <f t="shared" si="173"/>
        <v>0</v>
      </c>
      <c r="I264" s="1889"/>
      <c r="J264" s="1890" t="s">
        <v>732</v>
      </c>
      <c r="K264" s="2647">
        <v>0</v>
      </c>
      <c r="L264" s="2646">
        <f t="shared" si="171"/>
        <v>0</v>
      </c>
      <c r="M264" s="2226">
        <f t="shared" si="174"/>
        <v>1</v>
      </c>
      <c r="N264" s="2649">
        <f>+$T263</f>
        <v>1.5</v>
      </c>
      <c r="O264" s="1896"/>
      <c r="P264" s="1897"/>
      <c r="Q264" s="1898"/>
      <c r="R264" s="1899">
        <f t="shared" ref="R264" si="175">T264</f>
        <v>0</v>
      </c>
      <c r="S264" s="1895" t="s">
        <v>1533</v>
      </c>
      <c r="T264" s="2673">
        <f>G262*64/4+K268+SUMIF(I262:I267,$B$578,K262:K267)*$E$545+SUMIF(I262:I267,$B$579,K262:K267)*$E$548+SUMIF(I262:I267,$B$580,K262:K267)*$E$546+SUMIF(I262:I267,$B$581,K262:K267)*$E$547+SUMIF(I262:I267,$B$582,K262:K267)*$E$547+SUMIF(I262:I267,$B$583,K262:K267)*$E$549+SUMIF(I262:I267,$B$584,K262:K267)*$E$547+SUMIF(I262:I267,$B$585,K262:K267)*$E$549+SUMIF(I262:I267,$B$586,K262:K267)*$E$547+SUMIF(I262:I267,$B$587,K262:K267)*$E$551+SUMIF(I262:I267,$B$588,K262:K267)*$E$549+SUMIF(I262:I267,$B$590,K262:K267)*$E$544+SUMIF(I262:I267,$B$589,K262:K267)*$E$550</f>
        <v>0</v>
      </c>
      <c r="U264" s="2921"/>
    </row>
    <row r="265" spans="1:21" hidden="1" x14ac:dyDescent="0.25">
      <c r="A265" s="2923"/>
      <c r="B265" s="1884" t="s">
        <v>1534</v>
      </c>
      <c r="C265" s="1885" t="s">
        <v>728</v>
      </c>
      <c r="D265" s="1886"/>
      <c r="E265" s="1887" t="s">
        <v>1535</v>
      </c>
      <c r="F265" s="1888" t="s">
        <v>728</v>
      </c>
      <c r="G265" s="1900">
        <f>(H263+H264)*$C$555+G262*$C$556+(R263-(H263+H264)*$E$527)*$C$555/50+(T264-G262*16)*$C$556/50</f>
        <v>0</v>
      </c>
      <c r="H265" s="1886">
        <f t="shared" si="173"/>
        <v>0</v>
      </c>
      <c r="I265" s="1889"/>
      <c r="J265" s="1890" t="s">
        <v>732</v>
      </c>
      <c r="K265" s="2647">
        <v>0</v>
      </c>
      <c r="L265" s="2646">
        <f t="shared" si="171"/>
        <v>0</v>
      </c>
      <c r="M265" s="2226">
        <f t="shared" si="174"/>
        <v>1</v>
      </c>
      <c r="N265" s="2649">
        <f>+$T263</f>
        <v>1.5</v>
      </c>
      <c r="O265" s="1896"/>
      <c r="P265" s="1897"/>
      <c r="Q265" s="1897"/>
      <c r="R265" s="1897"/>
      <c r="S265" s="1895" t="s">
        <v>3408</v>
      </c>
      <c r="T265" s="2674">
        <f>H262*64/4+L268+SUMIF(I262:I267,$B$578,L262:L267)*$E$545+SUMIF(I262:I267,$B$579,L262:L267)*$E$548+SUMIF(I262:I267,$B$580,L262:L267)*$E$546+SUMIF(I262:I267,$B$581,L262:L267)*$E$547+SUMIF(I262:I267,$B$582,L262:L267)*$E$547+SUMIF(I262:I267,$B$583,L262:L267)*$E$549+SUMIF(I262:I267,$B$584,L262:L267)*$E$547+SUMIF(I262:I267,$B$585,L262:L267)*$E$549+SUMIF(I262:I267,$B$586,L262:L267)*$E$547+SUMIF(I262:I267,$B$587,L262:L267)*$E$551+SUMIF(I262:I267,$B$588,L262:L267)*$E$549+SUMIF(I262:I267,$B$590,L262:L267)*$E$544+SUMIF(I262:I267,$B$589,L262:L267)*$E$550</f>
        <v>0</v>
      </c>
      <c r="U265" s="2921"/>
    </row>
    <row r="266" spans="1:21" ht="29.1" hidden="1" customHeight="1" x14ac:dyDescent="0.25">
      <c r="A266" s="2923"/>
      <c r="B266" s="1884"/>
      <c r="C266" s="1885"/>
      <c r="D266" s="1885"/>
      <c r="E266" s="1901" t="s">
        <v>1536</v>
      </c>
      <c r="F266" s="1888" t="s">
        <v>740</v>
      </c>
      <c r="G266" s="1900">
        <f>(H263*$E$527+H264*$E$527)*$C$557+R263*$C$557+T264*$C$558/T263</f>
        <v>0</v>
      </c>
      <c r="H266" s="1886">
        <f t="shared" si="173"/>
        <v>0</v>
      </c>
      <c r="I266" s="1889"/>
      <c r="J266" s="1890" t="s">
        <v>732</v>
      </c>
      <c r="K266" s="2647">
        <v>0</v>
      </c>
      <c r="L266" s="2646">
        <f t="shared" si="171"/>
        <v>0</v>
      </c>
      <c r="M266" s="2226">
        <f t="shared" si="174"/>
        <v>1</v>
      </c>
      <c r="N266" s="2649">
        <f>+$T263</f>
        <v>1.5</v>
      </c>
      <c r="O266" s="1896"/>
      <c r="P266" s="1897"/>
      <c r="Q266" s="1897"/>
      <c r="R266" s="1902"/>
      <c r="S266" s="1895" t="s">
        <v>1537</v>
      </c>
      <c r="T266" s="2673">
        <f>+T265*T262</f>
        <v>0</v>
      </c>
      <c r="U266" s="2921"/>
    </row>
    <row r="267" spans="1:21" hidden="1" x14ac:dyDescent="0.25">
      <c r="A267" s="2923"/>
      <c r="B267" s="1884"/>
      <c r="C267" s="1885"/>
      <c r="D267" s="1885"/>
      <c r="E267" s="1887"/>
      <c r="F267" s="1888"/>
      <c r="G267" s="1886"/>
      <c r="H267" s="1886"/>
      <c r="I267" s="1889"/>
      <c r="J267" s="1890" t="s">
        <v>732</v>
      </c>
      <c r="K267" s="2647">
        <v>0</v>
      </c>
      <c r="L267" s="2646">
        <f t="shared" si="171"/>
        <v>0</v>
      </c>
      <c r="M267" s="2226">
        <f t="shared" si="174"/>
        <v>1</v>
      </c>
      <c r="N267" s="2649">
        <f>+$T263</f>
        <v>1.5</v>
      </c>
      <c r="O267" s="1903"/>
      <c r="P267" s="1902"/>
      <c r="Q267" s="1902"/>
      <c r="R267" s="1902"/>
      <c r="S267" s="1904"/>
      <c r="T267" s="1905"/>
      <c r="U267" s="2921"/>
    </row>
    <row r="268" spans="1:21" ht="60.75" hidden="1" thickBot="1" x14ac:dyDescent="0.3">
      <c r="A268" s="2925"/>
      <c r="B268" s="1906"/>
      <c r="C268" s="1907"/>
      <c r="D268" s="1907"/>
      <c r="E268" s="1908"/>
      <c r="F268" s="1909"/>
      <c r="G268" s="1910"/>
      <c r="H268" s="1910"/>
      <c r="I268" s="1911" t="s">
        <v>1538</v>
      </c>
      <c r="J268" s="1912" t="s">
        <v>740</v>
      </c>
      <c r="K268" s="2658">
        <v>0</v>
      </c>
      <c r="L268" s="2659">
        <f t="shared" si="171"/>
        <v>0</v>
      </c>
      <c r="M268" s="2660">
        <f>IF(T268="YES",$C$554,1)</f>
        <v>1</v>
      </c>
      <c r="N268" s="2661">
        <f>+$T263</f>
        <v>1.5</v>
      </c>
      <c r="O268" s="1913"/>
      <c r="P268" s="1914"/>
      <c r="Q268" s="1914"/>
      <c r="R268" s="1914"/>
      <c r="S268" s="1920" t="s">
        <v>1539</v>
      </c>
      <c r="T268" s="1921" t="s">
        <v>1540</v>
      </c>
      <c r="U268" s="2924"/>
    </row>
    <row r="269" spans="1:21" ht="27" hidden="1" customHeight="1" thickBot="1" x14ac:dyDescent="0.3">
      <c r="A269" s="1915"/>
      <c r="B269" s="1916"/>
      <c r="C269" s="1917"/>
      <c r="D269" s="1917"/>
      <c r="E269" s="1916"/>
      <c r="F269" s="1917"/>
      <c r="G269" s="1917"/>
      <c r="H269" s="1917"/>
      <c r="I269" s="1916"/>
      <c r="J269" s="1917"/>
      <c r="K269" s="2669"/>
      <c r="L269" s="2669"/>
      <c r="M269" s="2669"/>
      <c r="N269" s="2669"/>
      <c r="O269" s="1916"/>
      <c r="P269" s="1917"/>
      <c r="Q269" s="1917"/>
      <c r="R269" s="1917"/>
      <c r="S269" s="1918"/>
      <c r="T269" s="1917"/>
      <c r="U269" s="1919"/>
    </row>
    <row r="270" spans="1:21" ht="26.85" hidden="1" customHeight="1" x14ac:dyDescent="0.25">
      <c r="A270" s="1870" t="s">
        <v>1513</v>
      </c>
      <c r="B270" s="1871" t="s">
        <v>1523</v>
      </c>
      <c r="C270" s="1872" t="s">
        <v>740</v>
      </c>
      <c r="D270" s="1873"/>
      <c r="E270" s="1874" t="s">
        <v>1524</v>
      </c>
      <c r="F270" s="1875" t="s">
        <v>728</v>
      </c>
      <c r="G270" s="1873"/>
      <c r="H270" s="1873">
        <f t="shared" ref="H270" si="176">G270*M270*N270</f>
        <v>0</v>
      </c>
      <c r="I270" s="1876"/>
      <c r="J270" s="1877" t="s">
        <v>732</v>
      </c>
      <c r="K270" s="2672">
        <v>0</v>
      </c>
      <c r="L270" s="2645">
        <f t="shared" ref="L270:L276" si="177">IF(ISNUMBER(SEARCH("Timber",I270)),M270*K270*N270,K270)</f>
        <v>0</v>
      </c>
      <c r="M270" s="2225">
        <f>+$M276</f>
        <v>1</v>
      </c>
      <c r="N270" s="2648">
        <f>+$T271</f>
        <v>1.5</v>
      </c>
      <c r="O270" s="1878" t="s">
        <v>1512</v>
      </c>
      <c r="P270" s="1879" t="s">
        <v>740</v>
      </c>
      <c r="Q270" s="1880">
        <f t="shared" ref="Q270" si="178">R271*$E$532+T272*$E$533</f>
        <v>0</v>
      </c>
      <c r="R270" s="1881"/>
      <c r="S270" s="1882" t="s">
        <v>1525</v>
      </c>
      <c r="T270" s="1873">
        <v>30</v>
      </c>
      <c r="U270" s="2920" t="s">
        <v>1526</v>
      </c>
    </row>
    <row r="271" spans="1:21" ht="30" hidden="1" x14ac:dyDescent="0.25">
      <c r="A271" s="1883">
        <f>A263+1</f>
        <v>34</v>
      </c>
      <c r="B271" s="1884" t="s">
        <v>1527</v>
      </c>
      <c r="C271" s="1885" t="s">
        <v>740</v>
      </c>
      <c r="D271" s="1886"/>
      <c r="E271" s="1887" t="s">
        <v>1528</v>
      </c>
      <c r="F271" s="1888" t="s">
        <v>728</v>
      </c>
      <c r="G271" s="1886"/>
      <c r="H271" s="1886">
        <f t="shared" ref="H271:H274" si="179">G271</f>
        <v>0</v>
      </c>
      <c r="I271" s="1889"/>
      <c r="J271" s="1890" t="s">
        <v>732</v>
      </c>
      <c r="K271" s="2647">
        <v>0</v>
      </c>
      <c r="L271" s="2646">
        <f t="shared" si="177"/>
        <v>0</v>
      </c>
      <c r="M271" s="2226">
        <f t="shared" ref="M271:M275" si="180">M272</f>
        <v>1</v>
      </c>
      <c r="N271" s="2649">
        <f>+$T271</f>
        <v>1.5</v>
      </c>
      <c r="O271" s="1891" t="s">
        <v>1512</v>
      </c>
      <c r="P271" s="1892" t="s">
        <v>740</v>
      </c>
      <c r="Q271" s="1893"/>
      <c r="R271" s="1894">
        <f>H271*$E$527*0+H272*$E$527*0+SUMIF(I270:I275,$B$565,L270:L275)*$E$537+SUMIF(I270:I275,$B$566,L270:L275)*$E$540+SUMIF(I270:I275,$B$567,L270:L275)*$E$538+SUMIF(I270:I275,$B$568,L270:L275)*$E$539+SUMIF(I270:I275,$B$569,L270:L275)*$E$539+SUMIF(I270:I275,$B$570,L270:L275)*$E$541+SUMIF(I270:I275,$B$571,L270:L275)*$E$539+SUMIF(I270:I275,$B$572,L270:L275)*$E$541+SUMIF(I270:I275,$B$573,L270:L275)*$E$539+SUMIF(I270:I275,$B$574,L270:L275)*$E$543+SUMIF(I270:I275,$B$575,L270:L275)*$E$541+SUMIF(I270:I275,$B$577,L270:L275)*$E$536+SUMIF(I270:I275,$B$576,L270:L275)*$E$542+SUMIF(I270:I275,$B$563,L270:L275)*$E$539</f>
        <v>0</v>
      </c>
      <c r="S271" s="1895" t="s">
        <v>1529</v>
      </c>
      <c r="T271" s="2644">
        <f>+'Data Input sheet'!$D$112</f>
        <v>1.5</v>
      </c>
      <c r="U271" s="2921"/>
    </row>
    <row r="272" spans="1:21" ht="30" hidden="1" x14ac:dyDescent="0.25">
      <c r="A272" s="2922" t="s">
        <v>1530</v>
      </c>
      <c r="B272" s="1884" t="s">
        <v>1531</v>
      </c>
      <c r="C272" s="1885" t="s">
        <v>732</v>
      </c>
      <c r="D272" s="1886"/>
      <c r="E272" s="1887" t="s">
        <v>1532</v>
      </c>
      <c r="F272" s="1888" t="s">
        <v>728</v>
      </c>
      <c r="G272" s="1886"/>
      <c r="H272" s="1886">
        <f t="shared" si="179"/>
        <v>0</v>
      </c>
      <c r="I272" s="1889"/>
      <c r="J272" s="1890" t="s">
        <v>732</v>
      </c>
      <c r="K272" s="2647">
        <v>0</v>
      </c>
      <c r="L272" s="2646">
        <f t="shared" si="177"/>
        <v>0</v>
      </c>
      <c r="M272" s="2226">
        <f t="shared" si="180"/>
        <v>1</v>
      </c>
      <c r="N272" s="2649">
        <f>+$T271</f>
        <v>1.5</v>
      </c>
      <c r="O272" s="1896"/>
      <c r="P272" s="1897"/>
      <c r="Q272" s="1898"/>
      <c r="R272" s="1899">
        <f t="shared" ref="R272" si="181">T272</f>
        <v>0</v>
      </c>
      <c r="S272" s="1895" t="s">
        <v>1533</v>
      </c>
      <c r="T272" s="2673">
        <f>G270*64/4+K276+SUMIF(I270:I275,$B$578,K270:K275)*$E$545+SUMIF(I270:I275,$B$579,K270:K275)*$E$548+SUMIF(I270:I275,$B$580,K270:K275)*$E$546+SUMIF(I270:I275,$B$581,K270:K275)*$E$547+SUMIF(I270:I275,$B$582,K270:K275)*$E$547+SUMIF(I270:I275,$B$583,K270:K275)*$E$549+SUMIF(I270:I275,$B$584,K270:K275)*$E$547+SUMIF(I270:I275,$B$585,K270:K275)*$E$549+SUMIF(I270:I275,$B$586,K270:K275)*$E$547+SUMIF(I270:I275,$B$587,K270:K275)*$E$551+SUMIF(I270:I275,$B$588,K270:K275)*$E$549+SUMIF(I270:I275,$B$590,K270:K275)*$E$544+SUMIF(I270:I275,$B$589,K270:K275)*$E$550</f>
        <v>0</v>
      </c>
      <c r="U272" s="2921"/>
    </row>
    <row r="273" spans="1:21" hidden="1" x14ac:dyDescent="0.25">
      <c r="A273" s="2923"/>
      <c r="B273" s="1884" t="s">
        <v>1534</v>
      </c>
      <c r="C273" s="1885" t="s">
        <v>728</v>
      </c>
      <c r="D273" s="1886"/>
      <c r="E273" s="1887" t="s">
        <v>1535</v>
      </c>
      <c r="F273" s="1888" t="s">
        <v>728</v>
      </c>
      <c r="G273" s="1900">
        <f>(H271+H272)*$C$555+G270*$C$556+(R271-(H271+H272)*$E$527)*$C$555/50+(T272-G270*16)*$C$556/50</f>
        <v>0</v>
      </c>
      <c r="H273" s="1886">
        <f t="shared" si="179"/>
        <v>0</v>
      </c>
      <c r="I273" s="1889"/>
      <c r="J273" s="1890" t="s">
        <v>732</v>
      </c>
      <c r="K273" s="2647">
        <v>0</v>
      </c>
      <c r="L273" s="2646">
        <f t="shared" si="177"/>
        <v>0</v>
      </c>
      <c r="M273" s="2226">
        <f t="shared" si="180"/>
        <v>1</v>
      </c>
      <c r="N273" s="2649">
        <f>+$T271</f>
        <v>1.5</v>
      </c>
      <c r="O273" s="1896"/>
      <c r="P273" s="1897"/>
      <c r="Q273" s="1897"/>
      <c r="R273" s="1897"/>
      <c r="S273" s="1895" t="s">
        <v>3408</v>
      </c>
      <c r="T273" s="2674">
        <f>H270*64/4+L276+SUMIF(I270:I275,$B$578,L270:L275)*$E$545+SUMIF(I270:I275,$B$579,L270:L275)*$E$548+SUMIF(I270:I275,$B$580,L270:L275)*$E$546+SUMIF(I270:I275,$B$581,L270:L275)*$E$547+SUMIF(I270:I275,$B$582,L270:L275)*$E$547+SUMIF(I270:I275,$B$583,L270:L275)*$E$549+SUMIF(I270:I275,$B$584,L270:L275)*$E$547+SUMIF(I270:I275,$B$585,L270:L275)*$E$549+SUMIF(I270:I275,$B$586,L270:L275)*$E$547+SUMIF(I270:I275,$B$587,L270:L275)*$E$551+SUMIF(I270:I275,$B$588,L270:L275)*$E$549+SUMIF(I270:I275,$B$590,L270:L275)*$E$544+SUMIF(I270:I275,$B$589,L270:L275)*$E$550</f>
        <v>0</v>
      </c>
      <c r="U273" s="2921"/>
    </row>
    <row r="274" spans="1:21" ht="29.1" hidden="1" customHeight="1" x14ac:dyDescent="0.25">
      <c r="A274" s="2923"/>
      <c r="B274" s="1884"/>
      <c r="C274" s="1885"/>
      <c r="D274" s="1885"/>
      <c r="E274" s="1901" t="s">
        <v>1536</v>
      </c>
      <c r="F274" s="1888" t="s">
        <v>740</v>
      </c>
      <c r="G274" s="1900">
        <f>(H271*$E$527+H272*$E$527)*$C$557+R271*$C$557+T272*$C$558/T271</f>
        <v>0</v>
      </c>
      <c r="H274" s="1886">
        <f t="shared" si="179"/>
        <v>0</v>
      </c>
      <c r="I274" s="1889"/>
      <c r="J274" s="1890" t="s">
        <v>732</v>
      </c>
      <c r="K274" s="2647">
        <v>0</v>
      </c>
      <c r="L274" s="2646">
        <f t="shared" si="177"/>
        <v>0</v>
      </c>
      <c r="M274" s="2226">
        <f t="shared" si="180"/>
        <v>1</v>
      </c>
      <c r="N274" s="2649">
        <f>+$T271</f>
        <v>1.5</v>
      </c>
      <c r="O274" s="1896"/>
      <c r="P274" s="1897"/>
      <c r="Q274" s="1897"/>
      <c r="R274" s="1902"/>
      <c r="S274" s="1895" t="s">
        <v>1537</v>
      </c>
      <c r="T274" s="2673">
        <f>+T273*T270</f>
        <v>0</v>
      </c>
      <c r="U274" s="2921"/>
    </row>
    <row r="275" spans="1:21" hidden="1" x14ac:dyDescent="0.25">
      <c r="A275" s="2923"/>
      <c r="B275" s="1884"/>
      <c r="C275" s="1885"/>
      <c r="D275" s="1885"/>
      <c r="E275" s="1887"/>
      <c r="F275" s="1888"/>
      <c r="G275" s="1886"/>
      <c r="H275" s="1886"/>
      <c r="I275" s="1889"/>
      <c r="J275" s="1890" t="s">
        <v>732</v>
      </c>
      <c r="K275" s="2647">
        <v>0</v>
      </c>
      <c r="L275" s="2646">
        <f t="shared" si="177"/>
        <v>0</v>
      </c>
      <c r="M275" s="2226">
        <f t="shared" si="180"/>
        <v>1</v>
      </c>
      <c r="N275" s="2649">
        <f>+$T271</f>
        <v>1.5</v>
      </c>
      <c r="O275" s="1903"/>
      <c r="P275" s="1902"/>
      <c r="Q275" s="1902"/>
      <c r="R275" s="1902"/>
      <c r="S275" s="1904"/>
      <c r="T275" s="1905"/>
      <c r="U275" s="2921"/>
    </row>
    <row r="276" spans="1:21" ht="60.75" hidden="1" thickBot="1" x14ac:dyDescent="0.3">
      <c r="A276" s="2925"/>
      <c r="B276" s="1906"/>
      <c r="C276" s="1907"/>
      <c r="D276" s="1907"/>
      <c r="E276" s="1908"/>
      <c r="F276" s="1909"/>
      <c r="G276" s="1910"/>
      <c r="H276" s="1910"/>
      <c r="I276" s="1911" t="s">
        <v>1538</v>
      </c>
      <c r="J276" s="1912" t="s">
        <v>740</v>
      </c>
      <c r="K276" s="2658">
        <v>0</v>
      </c>
      <c r="L276" s="2659">
        <f t="shared" si="177"/>
        <v>0</v>
      </c>
      <c r="M276" s="2660">
        <f>IF(T276="YES",$C$554,1)</f>
        <v>1</v>
      </c>
      <c r="N276" s="2661">
        <f>+$T271</f>
        <v>1.5</v>
      </c>
      <c r="O276" s="1913"/>
      <c r="P276" s="1914"/>
      <c r="Q276" s="1914"/>
      <c r="R276" s="1914"/>
      <c r="S276" s="1920" t="s">
        <v>1539</v>
      </c>
      <c r="T276" s="1921" t="s">
        <v>1540</v>
      </c>
      <c r="U276" s="2924"/>
    </row>
    <row r="277" spans="1:21" ht="27" hidden="1" customHeight="1" thickBot="1" x14ac:dyDescent="0.3">
      <c r="A277" s="1915"/>
      <c r="B277" s="1916"/>
      <c r="C277" s="1917"/>
      <c r="D277" s="1917"/>
      <c r="E277" s="1916"/>
      <c r="F277" s="1917"/>
      <c r="G277" s="1917"/>
      <c r="H277" s="1917"/>
      <c r="I277" s="1916"/>
      <c r="J277" s="1917"/>
      <c r="K277" s="2669"/>
      <c r="L277" s="2669"/>
      <c r="M277" s="2669"/>
      <c r="N277" s="2669"/>
      <c r="O277" s="1916"/>
      <c r="P277" s="1917"/>
      <c r="Q277" s="1917"/>
      <c r="R277" s="1917"/>
      <c r="S277" s="1918"/>
      <c r="T277" s="1917"/>
      <c r="U277" s="1919"/>
    </row>
    <row r="278" spans="1:21" ht="26.85" hidden="1" customHeight="1" x14ac:dyDescent="0.25">
      <c r="A278" s="1870" t="s">
        <v>1513</v>
      </c>
      <c r="B278" s="1871" t="s">
        <v>1523</v>
      </c>
      <c r="C278" s="1872" t="s">
        <v>740</v>
      </c>
      <c r="D278" s="1873"/>
      <c r="E278" s="1874" t="s">
        <v>1524</v>
      </c>
      <c r="F278" s="1875" t="s">
        <v>728</v>
      </c>
      <c r="G278" s="1873"/>
      <c r="H278" s="1873">
        <f t="shared" ref="H278" si="182">G278*M278*N278</f>
        <v>0</v>
      </c>
      <c r="I278" s="1876"/>
      <c r="J278" s="1877" t="s">
        <v>732</v>
      </c>
      <c r="K278" s="2672">
        <v>0</v>
      </c>
      <c r="L278" s="2645">
        <f t="shared" ref="L278:L284" si="183">IF(ISNUMBER(SEARCH("Timber",I278)),M278*K278*N278,K278)</f>
        <v>0</v>
      </c>
      <c r="M278" s="2225">
        <f>+$M284</f>
        <v>1</v>
      </c>
      <c r="N278" s="2648">
        <f>+$T279</f>
        <v>1.5</v>
      </c>
      <c r="O278" s="1878" t="s">
        <v>1512</v>
      </c>
      <c r="P278" s="1879" t="s">
        <v>740</v>
      </c>
      <c r="Q278" s="1880">
        <f t="shared" ref="Q278" si="184">R279*$E$532+T280*$E$533</f>
        <v>0</v>
      </c>
      <c r="R278" s="1881"/>
      <c r="S278" s="1882" t="s">
        <v>1525</v>
      </c>
      <c r="T278" s="1873">
        <v>30</v>
      </c>
      <c r="U278" s="2920" t="s">
        <v>1526</v>
      </c>
    </row>
    <row r="279" spans="1:21" ht="30" hidden="1" x14ac:dyDescent="0.25">
      <c r="A279" s="1883">
        <f>A271+1</f>
        <v>35</v>
      </c>
      <c r="B279" s="1884" t="s">
        <v>1527</v>
      </c>
      <c r="C279" s="1885" t="s">
        <v>740</v>
      </c>
      <c r="D279" s="1886"/>
      <c r="E279" s="1887" t="s">
        <v>1528</v>
      </c>
      <c r="F279" s="1888" t="s">
        <v>728</v>
      </c>
      <c r="G279" s="1886"/>
      <c r="H279" s="1886">
        <f t="shared" ref="H279:H282" si="185">G279</f>
        <v>0</v>
      </c>
      <c r="I279" s="1889"/>
      <c r="J279" s="1890" t="s">
        <v>732</v>
      </c>
      <c r="K279" s="2647">
        <v>0</v>
      </c>
      <c r="L279" s="2646">
        <f t="shared" si="183"/>
        <v>0</v>
      </c>
      <c r="M279" s="2226">
        <f t="shared" ref="M279:M283" si="186">M280</f>
        <v>1</v>
      </c>
      <c r="N279" s="2649">
        <f>+$T279</f>
        <v>1.5</v>
      </c>
      <c r="O279" s="1891" t="s">
        <v>1512</v>
      </c>
      <c r="P279" s="1892" t="s">
        <v>740</v>
      </c>
      <c r="Q279" s="1893"/>
      <c r="R279" s="1894">
        <f>H279*$E$527*0+H280*$E$527*0+SUMIF(I278:I283,$B$565,L278:L283)*$E$537+SUMIF(I278:I283,$B$566,L278:L283)*$E$540+SUMIF(I278:I283,$B$567,L278:L283)*$E$538+SUMIF(I278:I283,$B$568,L278:L283)*$E$539+SUMIF(I278:I283,$B$569,L278:L283)*$E$539+SUMIF(I278:I283,$B$570,L278:L283)*$E$541+SUMIF(I278:I283,$B$571,L278:L283)*$E$539+SUMIF(I278:I283,$B$572,L278:L283)*$E$541+SUMIF(I278:I283,$B$573,L278:L283)*$E$539+SUMIF(I278:I283,$B$574,L278:L283)*$E$543+SUMIF(I278:I283,$B$575,L278:L283)*$E$541+SUMIF(I278:I283,$B$577,L278:L283)*$E$536+SUMIF(I278:I283,$B$576,L278:L283)*$E$542+SUMIF(I278:I283,$B$563,L278:L283)*$E$539</f>
        <v>0</v>
      </c>
      <c r="S279" s="1895" t="s">
        <v>1529</v>
      </c>
      <c r="T279" s="2644">
        <f>+'Data Input sheet'!$D$112</f>
        <v>1.5</v>
      </c>
      <c r="U279" s="2921"/>
    </row>
    <row r="280" spans="1:21" ht="30" hidden="1" x14ac:dyDescent="0.25">
      <c r="A280" s="2922" t="s">
        <v>1530</v>
      </c>
      <c r="B280" s="1884" t="s">
        <v>1531</v>
      </c>
      <c r="C280" s="1885" t="s">
        <v>732</v>
      </c>
      <c r="D280" s="1886"/>
      <c r="E280" s="1887" t="s">
        <v>1532</v>
      </c>
      <c r="F280" s="1888" t="s">
        <v>728</v>
      </c>
      <c r="G280" s="1886"/>
      <c r="H280" s="1886">
        <f t="shared" si="185"/>
        <v>0</v>
      </c>
      <c r="I280" s="1889"/>
      <c r="J280" s="1890" t="s">
        <v>732</v>
      </c>
      <c r="K280" s="2647">
        <v>0</v>
      </c>
      <c r="L280" s="2646">
        <f t="shared" si="183"/>
        <v>0</v>
      </c>
      <c r="M280" s="2226">
        <f t="shared" si="186"/>
        <v>1</v>
      </c>
      <c r="N280" s="2649">
        <f>+$T279</f>
        <v>1.5</v>
      </c>
      <c r="O280" s="1896"/>
      <c r="P280" s="1897"/>
      <c r="Q280" s="1898"/>
      <c r="R280" s="1899">
        <f t="shared" ref="R280" si="187">T280</f>
        <v>0</v>
      </c>
      <c r="S280" s="1895" t="s">
        <v>1533</v>
      </c>
      <c r="T280" s="2673">
        <f>G278*64/4+K284+SUMIF(I278:I283,$B$578,K278:K283)*$E$545+SUMIF(I278:I283,$B$579,K278:K283)*$E$548+SUMIF(I278:I283,$B$580,K278:K283)*$E$546+SUMIF(I278:I283,$B$581,K278:K283)*$E$547+SUMIF(I278:I283,$B$582,K278:K283)*$E$547+SUMIF(I278:I283,$B$583,K278:K283)*$E$549+SUMIF(I278:I283,$B$584,K278:K283)*$E$547+SUMIF(I278:I283,$B$585,K278:K283)*$E$549+SUMIF(I278:I283,$B$586,K278:K283)*$E$547+SUMIF(I278:I283,$B$587,K278:K283)*$E$551+SUMIF(I278:I283,$B$588,K278:K283)*$E$549+SUMIF(I278:I283,$B$590,K278:K283)*$E$544+SUMIF(I278:I283,$B$589,K278:K283)*$E$550</f>
        <v>0</v>
      </c>
      <c r="U280" s="2921"/>
    </row>
    <row r="281" spans="1:21" hidden="1" x14ac:dyDescent="0.25">
      <c r="A281" s="2923"/>
      <c r="B281" s="1884" t="s">
        <v>1534</v>
      </c>
      <c r="C281" s="1885" t="s">
        <v>728</v>
      </c>
      <c r="D281" s="1886"/>
      <c r="E281" s="1887" t="s">
        <v>1535</v>
      </c>
      <c r="F281" s="1888" t="s">
        <v>728</v>
      </c>
      <c r="G281" s="1900">
        <f>(H279+H280)*$C$555+G278*$C$556+(R279-(H279+H280)*$E$527)*$C$555/50+(T280-G278*16)*$C$556/50</f>
        <v>0</v>
      </c>
      <c r="H281" s="1886">
        <f t="shared" si="185"/>
        <v>0</v>
      </c>
      <c r="I281" s="1889"/>
      <c r="J281" s="1890" t="s">
        <v>732</v>
      </c>
      <c r="K281" s="2647">
        <v>0</v>
      </c>
      <c r="L281" s="2646">
        <f t="shared" si="183"/>
        <v>0</v>
      </c>
      <c r="M281" s="2226">
        <f t="shared" si="186"/>
        <v>1</v>
      </c>
      <c r="N281" s="2649">
        <f>+$T279</f>
        <v>1.5</v>
      </c>
      <c r="O281" s="1896"/>
      <c r="P281" s="1897"/>
      <c r="Q281" s="1897"/>
      <c r="R281" s="1897"/>
      <c r="S281" s="1895" t="s">
        <v>3408</v>
      </c>
      <c r="T281" s="2674">
        <f>H278*64/4+L284+SUMIF(I278:I283,$B$578,L278:L283)*$E$545+SUMIF(I278:I283,$B$579,L278:L283)*$E$548+SUMIF(I278:I283,$B$580,L278:L283)*$E$546+SUMIF(I278:I283,$B$581,L278:L283)*$E$547+SUMIF(I278:I283,$B$582,L278:L283)*$E$547+SUMIF(I278:I283,$B$583,L278:L283)*$E$549+SUMIF(I278:I283,$B$584,L278:L283)*$E$547+SUMIF(I278:I283,$B$585,L278:L283)*$E$549+SUMIF(I278:I283,$B$586,L278:L283)*$E$547+SUMIF(I278:I283,$B$587,L278:L283)*$E$551+SUMIF(I278:I283,$B$588,L278:L283)*$E$549+SUMIF(I278:I283,$B$590,L278:L283)*$E$544+SUMIF(I278:I283,$B$589,L278:L283)*$E$550</f>
        <v>0</v>
      </c>
      <c r="U281" s="2921"/>
    </row>
    <row r="282" spans="1:21" ht="29.1" hidden="1" customHeight="1" x14ac:dyDescent="0.25">
      <c r="A282" s="2923"/>
      <c r="B282" s="1884"/>
      <c r="C282" s="1885"/>
      <c r="D282" s="1885"/>
      <c r="E282" s="1901" t="s">
        <v>1536</v>
      </c>
      <c r="F282" s="1888" t="s">
        <v>740</v>
      </c>
      <c r="G282" s="1900">
        <f>(H279*$E$527+H280*$E$527)*$C$557+R279*$C$557+T280*$C$558/T279</f>
        <v>0</v>
      </c>
      <c r="H282" s="1886">
        <f t="shared" si="185"/>
        <v>0</v>
      </c>
      <c r="I282" s="1889"/>
      <c r="J282" s="1890" t="s">
        <v>732</v>
      </c>
      <c r="K282" s="2647">
        <v>0</v>
      </c>
      <c r="L282" s="2646">
        <f t="shared" si="183"/>
        <v>0</v>
      </c>
      <c r="M282" s="2226">
        <f t="shared" si="186"/>
        <v>1</v>
      </c>
      <c r="N282" s="2649">
        <f>+$T279</f>
        <v>1.5</v>
      </c>
      <c r="O282" s="1896"/>
      <c r="P282" s="1897"/>
      <c r="Q282" s="1897"/>
      <c r="R282" s="1902"/>
      <c r="S282" s="1895" t="s">
        <v>1537</v>
      </c>
      <c r="T282" s="2673">
        <f>+T281*T278</f>
        <v>0</v>
      </c>
      <c r="U282" s="2921"/>
    </row>
    <row r="283" spans="1:21" hidden="1" x14ac:dyDescent="0.25">
      <c r="A283" s="2923"/>
      <c r="B283" s="1884"/>
      <c r="C283" s="1885"/>
      <c r="D283" s="1885"/>
      <c r="E283" s="1887"/>
      <c r="F283" s="1888"/>
      <c r="G283" s="1886"/>
      <c r="H283" s="1886"/>
      <c r="I283" s="1889"/>
      <c r="J283" s="1890" t="s">
        <v>732</v>
      </c>
      <c r="K283" s="2647">
        <v>0</v>
      </c>
      <c r="L283" s="2646">
        <f t="shared" si="183"/>
        <v>0</v>
      </c>
      <c r="M283" s="2226">
        <f t="shared" si="186"/>
        <v>1</v>
      </c>
      <c r="N283" s="2649">
        <f>+$T279</f>
        <v>1.5</v>
      </c>
      <c r="O283" s="1903"/>
      <c r="P283" s="1902"/>
      <c r="Q283" s="1902"/>
      <c r="R283" s="1902"/>
      <c r="S283" s="1904"/>
      <c r="T283" s="1905"/>
      <c r="U283" s="2921"/>
    </row>
    <row r="284" spans="1:21" ht="60.75" hidden="1" thickBot="1" x14ac:dyDescent="0.3">
      <c r="A284" s="2925"/>
      <c r="B284" s="1906"/>
      <c r="C284" s="1907"/>
      <c r="D284" s="1907"/>
      <c r="E284" s="1908"/>
      <c r="F284" s="1909"/>
      <c r="G284" s="1910"/>
      <c r="H284" s="1910"/>
      <c r="I284" s="1911" t="s">
        <v>1538</v>
      </c>
      <c r="J284" s="1912" t="s">
        <v>740</v>
      </c>
      <c r="K284" s="2658">
        <v>0</v>
      </c>
      <c r="L284" s="2659">
        <f t="shared" si="183"/>
        <v>0</v>
      </c>
      <c r="M284" s="2660">
        <f>IF(T284="YES",$C$554,1)</f>
        <v>1</v>
      </c>
      <c r="N284" s="2661">
        <f>+$T279</f>
        <v>1.5</v>
      </c>
      <c r="O284" s="1913"/>
      <c r="P284" s="1914"/>
      <c r="Q284" s="1914"/>
      <c r="R284" s="1914"/>
      <c r="S284" s="1920" t="s">
        <v>1539</v>
      </c>
      <c r="T284" s="1921" t="s">
        <v>1540</v>
      </c>
      <c r="U284" s="2924"/>
    </row>
    <row r="285" spans="1:21" ht="27" hidden="1" customHeight="1" thickBot="1" x14ac:dyDescent="0.3">
      <c r="A285" s="1915"/>
      <c r="B285" s="1916"/>
      <c r="C285" s="1917"/>
      <c r="D285" s="1917"/>
      <c r="E285" s="1916"/>
      <c r="F285" s="1917"/>
      <c r="G285" s="1917"/>
      <c r="H285" s="1917"/>
      <c r="I285" s="1916"/>
      <c r="J285" s="1917"/>
      <c r="K285" s="2669"/>
      <c r="L285" s="2669"/>
      <c r="M285" s="2669"/>
      <c r="N285" s="2669"/>
      <c r="O285" s="1916"/>
      <c r="P285" s="1917"/>
      <c r="Q285" s="1917"/>
      <c r="R285" s="1917"/>
      <c r="S285" s="1918"/>
      <c r="T285" s="1917"/>
      <c r="U285" s="1919"/>
    </row>
    <row r="286" spans="1:21" ht="26.85" hidden="1" customHeight="1" x14ac:dyDescent="0.25">
      <c r="A286" s="1870" t="s">
        <v>1513</v>
      </c>
      <c r="B286" s="1871" t="s">
        <v>1523</v>
      </c>
      <c r="C286" s="1872" t="s">
        <v>740</v>
      </c>
      <c r="D286" s="1873"/>
      <c r="E286" s="1874" t="s">
        <v>1524</v>
      </c>
      <c r="F286" s="1875" t="s">
        <v>728</v>
      </c>
      <c r="G286" s="1873"/>
      <c r="H286" s="1873">
        <f t="shared" ref="H286" si="188">G286*M286*N286</f>
        <v>0</v>
      </c>
      <c r="I286" s="1876"/>
      <c r="J286" s="1877" t="s">
        <v>732</v>
      </c>
      <c r="K286" s="2672">
        <v>0</v>
      </c>
      <c r="L286" s="2645">
        <f t="shared" ref="L286:L292" si="189">IF(ISNUMBER(SEARCH("Timber",I286)),M286*K286*N286,K286)</f>
        <v>0</v>
      </c>
      <c r="M286" s="2225">
        <f>+$M292</f>
        <v>1</v>
      </c>
      <c r="N286" s="2648">
        <f>+$T287</f>
        <v>1.5</v>
      </c>
      <c r="O286" s="1878" t="s">
        <v>1512</v>
      </c>
      <c r="P286" s="1879" t="s">
        <v>740</v>
      </c>
      <c r="Q286" s="1880">
        <f t="shared" ref="Q286" si="190">R287*$E$532+T288*$E$533</f>
        <v>0</v>
      </c>
      <c r="R286" s="1881"/>
      <c r="S286" s="1882" t="s">
        <v>1525</v>
      </c>
      <c r="T286" s="1873">
        <v>30</v>
      </c>
      <c r="U286" s="2920" t="s">
        <v>1526</v>
      </c>
    </row>
    <row r="287" spans="1:21" ht="30" hidden="1" x14ac:dyDescent="0.25">
      <c r="A287" s="1883">
        <f>A279+1</f>
        <v>36</v>
      </c>
      <c r="B287" s="1884" t="s">
        <v>1527</v>
      </c>
      <c r="C287" s="1885" t="s">
        <v>740</v>
      </c>
      <c r="D287" s="1886"/>
      <c r="E287" s="1887" t="s">
        <v>1528</v>
      </c>
      <c r="F287" s="1888" t="s">
        <v>728</v>
      </c>
      <c r="G287" s="1886"/>
      <c r="H287" s="1886">
        <f t="shared" ref="H287:H290" si="191">G287</f>
        <v>0</v>
      </c>
      <c r="I287" s="1889"/>
      <c r="J287" s="1890" t="s">
        <v>732</v>
      </c>
      <c r="K287" s="2647">
        <v>0</v>
      </c>
      <c r="L287" s="2646">
        <f t="shared" si="189"/>
        <v>0</v>
      </c>
      <c r="M287" s="2226">
        <f t="shared" ref="M287:M291" si="192">M288</f>
        <v>1</v>
      </c>
      <c r="N287" s="2649">
        <f>+$T287</f>
        <v>1.5</v>
      </c>
      <c r="O287" s="1891" t="s">
        <v>1512</v>
      </c>
      <c r="P287" s="1892" t="s">
        <v>740</v>
      </c>
      <c r="Q287" s="1893"/>
      <c r="R287" s="1894">
        <f>H287*$E$527*0+H288*$E$527*0+SUMIF(I286:I291,$B$565,L286:L291)*$E$537+SUMIF(I286:I291,$B$566,L286:L291)*$E$540+SUMIF(I286:I291,$B$567,L286:L291)*$E$538+SUMIF(I286:I291,$B$568,L286:L291)*$E$539+SUMIF(I286:I291,$B$569,L286:L291)*$E$539+SUMIF(I286:I291,$B$570,L286:L291)*$E$541+SUMIF(I286:I291,$B$571,L286:L291)*$E$539+SUMIF(I286:I291,$B$572,L286:L291)*$E$541+SUMIF(I286:I291,$B$573,L286:L291)*$E$539+SUMIF(I286:I291,$B$574,L286:L291)*$E$543+SUMIF(I286:I291,$B$575,L286:L291)*$E$541+SUMIF(I286:I291,$B$577,L286:L291)*$E$536+SUMIF(I286:I291,$B$576,L286:L291)*$E$542+SUMIF(I286:I291,$B$563,L286:L291)*$E$539</f>
        <v>0</v>
      </c>
      <c r="S287" s="1895" t="s">
        <v>1529</v>
      </c>
      <c r="T287" s="2644">
        <f>+'Data Input sheet'!$D$112</f>
        <v>1.5</v>
      </c>
      <c r="U287" s="2921"/>
    </row>
    <row r="288" spans="1:21" ht="30" hidden="1" x14ac:dyDescent="0.25">
      <c r="A288" s="2922" t="s">
        <v>1530</v>
      </c>
      <c r="B288" s="1884" t="s">
        <v>1531</v>
      </c>
      <c r="C288" s="1885" t="s">
        <v>732</v>
      </c>
      <c r="D288" s="1886"/>
      <c r="E288" s="1887" t="s">
        <v>1532</v>
      </c>
      <c r="F288" s="1888" t="s">
        <v>728</v>
      </c>
      <c r="G288" s="1886"/>
      <c r="H288" s="1886">
        <f t="shared" si="191"/>
        <v>0</v>
      </c>
      <c r="I288" s="1889"/>
      <c r="J288" s="1890" t="s">
        <v>732</v>
      </c>
      <c r="K288" s="2647">
        <v>0</v>
      </c>
      <c r="L288" s="2646">
        <f t="shared" si="189"/>
        <v>0</v>
      </c>
      <c r="M288" s="2226">
        <f t="shared" si="192"/>
        <v>1</v>
      </c>
      <c r="N288" s="2649">
        <f>+$T287</f>
        <v>1.5</v>
      </c>
      <c r="O288" s="1896"/>
      <c r="P288" s="1897"/>
      <c r="Q288" s="1898"/>
      <c r="R288" s="1899">
        <f t="shared" ref="R288" si="193">T288</f>
        <v>0</v>
      </c>
      <c r="S288" s="1895" t="s">
        <v>1533</v>
      </c>
      <c r="T288" s="2673">
        <f>G286*64/4+K292+SUMIF(I286:I291,$B$578,K286:K291)*$E$545+SUMIF(I286:I291,$B$579,K286:K291)*$E$548+SUMIF(I286:I291,$B$580,K286:K291)*$E$546+SUMIF(I286:I291,$B$581,K286:K291)*$E$547+SUMIF(I286:I291,$B$582,K286:K291)*$E$547+SUMIF(I286:I291,$B$583,K286:K291)*$E$549+SUMIF(I286:I291,$B$584,K286:K291)*$E$547+SUMIF(I286:I291,$B$585,K286:K291)*$E$549+SUMIF(I286:I291,$B$586,K286:K291)*$E$547+SUMIF(I286:I291,$B$587,K286:K291)*$E$551+SUMIF(I286:I291,$B$588,K286:K291)*$E$549+SUMIF(I286:I291,$B$590,K286:K291)*$E$544+SUMIF(I286:I291,$B$589,K286:K291)*$E$550</f>
        <v>0</v>
      </c>
      <c r="U288" s="2921"/>
    </row>
    <row r="289" spans="1:21" hidden="1" x14ac:dyDescent="0.25">
      <c r="A289" s="2923"/>
      <c r="B289" s="1884" t="s">
        <v>1534</v>
      </c>
      <c r="C289" s="1885" t="s">
        <v>728</v>
      </c>
      <c r="D289" s="1886"/>
      <c r="E289" s="1887" t="s">
        <v>1535</v>
      </c>
      <c r="F289" s="1888" t="s">
        <v>728</v>
      </c>
      <c r="G289" s="1900">
        <f>(H287+H288)*$C$555+G286*$C$556+(R287-(H287+H288)*$E$527)*$C$555/50+(T288-G286*16)*$C$556/50</f>
        <v>0</v>
      </c>
      <c r="H289" s="1886">
        <f t="shared" si="191"/>
        <v>0</v>
      </c>
      <c r="I289" s="1889"/>
      <c r="J289" s="1890" t="s">
        <v>732</v>
      </c>
      <c r="K289" s="2647">
        <v>0</v>
      </c>
      <c r="L289" s="2646">
        <f t="shared" si="189"/>
        <v>0</v>
      </c>
      <c r="M289" s="2226">
        <f t="shared" si="192"/>
        <v>1</v>
      </c>
      <c r="N289" s="2649">
        <f>+$T287</f>
        <v>1.5</v>
      </c>
      <c r="O289" s="1896"/>
      <c r="P289" s="1897"/>
      <c r="Q289" s="1897"/>
      <c r="R289" s="1897"/>
      <c r="S289" s="1895" t="s">
        <v>3408</v>
      </c>
      <c r="T289" s="2674">
        <f>H286*64/4+L292+SUMIF(I286:I291,$B$578,L286:L291)*$E$545+SUMIF(I286:I291,$B$579,L286:L291)*$E$548+SUMIF(I286:I291,$B$580,L286:L291)*$E$546+SUMIF(I286:I291,$B$581,L286:L291)*$E$547+SUMIF(I286:I291,$B$582,L286:L291)*$E$547+SUMIF(I286:I291,$B$583,L286:L291)*$E$549+SUMIF(I286:I291,$B$584,L286:L291)*$E$547+SUMIF(I286:I291,$B$585,L286:L291)*$E$549+SUMIF(I286:I291,$B$586,L286:L291)*$E$547+SUMIF(I286:I291,$B$587,L286:L291)*$E$551+SUMIF(I286:I291,$B$588,L286:L291)*$E$549+SUMIF(I286:I291,$B$590,L286:L291)*$E$544+SUMIF(I286:I291,$B$589,L286:L291)*$E$550</f>
        <v>0</v>
      </c>
      <c r="U289" s="2921"/>
    </row>
    <row r="290" spans="1:21" ht="29.1" hidden="1" customHeight="1" x14ac:dyDescent="0.25">
      <c r="A290" s="2923"/>
      <c r="B290" s="1884"/>
      <c r="C290" s="1885"/>
      <c r="D290" s="1885"/>
      <c r="E290" s="1901" t="s">
        <v>1536</v>
      </c>
      <c r="F290" s="1888" t="s">
        <v>740</v>
      </c>
      <c r="G290" s="1900">
        <f>(H287*$E$527+H288*$E$527)*$C$557+R287*$C$557+T288*$C$558/T287</f>
        <v>0</v>
      </c>
      <c r="H290" s="1886">
        <f t="shared" si="191"/>
        <v>0</v>
      </c>
      <c r="I290" s="1889"/>
      <c r="J290" s="1890" t="s">
        <v>732</v>
      </c>
      <c r="K290" s="2647">
        <v>0</v>
      </c>
      <c r="L290" s="2646">
        <f t="shared" si="189"/>
        <v>0</v>
      </c>
      <c r="M290" s="2226">
        <f t="shared" si="192"/>
        <v>1</v>
      </c>
      <c r="N290" s="2649">
        <f>+$T287</f>
        <v>1.5</v>
      </c>
      <c r="O290" s="1896"/>
      <c r="P290" s="1897"/>
      <c r="Q290" s="1897"/>
      <c r="R290" s="1902"/>
      <c r="S290" s="1895" t="s">
        <v>1537</v>
      </c>
      <c r="T290" s="2673">
        <f>+T289*T286</f>
        <v>0</v>
      </c>
      <c r="U290" s="2921"/>
    </row>
    <row r="291" spans="1:21" hidden="1" x14ac:dyDescent="0.25">
      <c r="A291" s="2923"/>
      <c r="B291" s="1884"/>
      <c r="C291" s="1885"/>
      <c r="D291" s="1885"/>
      <c r="E291" s="1887"/>
      <c r="F291" s="1888"/>
      <c r="G291" s="1886"/>
      <c r="H291" s="1886"/>
      <c r="I291" s="1889"/>
      <c r="J291" s="1890" t="s">
        <v>732</v>
      </c>
      <c r="K291" s="2647">
        <v>0</v>
      </c>
      <c r="L291" s="2646">
        <f t="shared" si="189"/>
        <v>0</v>
      </c>
      <c r="M291" s="2226">
        <f t="shared" si="192"/>
        <v>1</v>
      </c>
      <c r="N291" s="2649">
        <f>+$T287</f>
        <v>1.5</v>
      </c>
      <c r="O291" s="1903"/>
      <c r="P291" s="1902"/>
      <c r="Q291" s="1902"/>
      <c r="R291" s="1902"/>
      <c r="S291" s="1904"/>
      <c r="T291" s="1905"/>
      <c r="U291" s="2921"/>
    </row>
    <row r="292" spans="1:21" ht="60.75" hidden="1" thickBot="1" x14ac:dyDescent="0.3">
      <c r="A292" s="2925"/>
      <c r="B292" s="1906"/>
      <c r="C292" s="1907"/>
      <c r="D292" s="1907"/>
      <c r="E292" s="1908"/>
      <c r="F292" s="1909"/>
      <c r="G292" s="1910"/>
      <c r="H292" s="1910"/>
      <c r="I292" s="1911" t="s">
        <v>1538</v>
      </c>
      <c r="J292" s="1912" t="s">
        <v>740</v>
      </c>
      <c r="K292" s="2658">
        <v>0</v>
      </c>
      <c r="L292" s="2659">
        <f t="shared" si="189"/>
        <v>0</v>
      </c>
      <c r="M292" s="2660">
        <f>IF(T292="YES",$C$554,1)</f>
        <v>1</v>
      </c>
      <c r="N292" s="2661">
        <f>+$T287</f>
        <v>1.5</v>
      </c>
      <c r="O292" s="1913"/>
      <c r="P292" s="1914"/>
      <c r="Q292" s="1914"/>
      <c r="R292" s="1914"/>
      <c r="S292" s="1920" t="s">
        <v>1539</v>
      </c>
      <c r="T292" s="1921" t="s">
        <v>1540</v>
      </c>
      <c r="U292" s="2924"/>
    </row>
    <row r="293" spans="1:21" ht="27" hidden="1" customHeight="1" thickBot="1" x14ac:dyDescent="0.3">
      <c r="A293" s="1915"/>
      <c r="B293" s="1916"/>
      <c r="C293" s="1917"/>
      <c r="D293" s="1917"/>
      <c r="E293" s="1916"/>
      <c r="F293" s="1917"/>
      <c r="G293" s="1917"/>
      <c r="H293" s="1917"/>
      <c r="I293" s="1916"/>
      <c r="J293" s="1917"/>
      <c r="K293" s="2669"/>
      <c r="L293" s="2669"/>
      <c r="M293" s="2669"/>
      <c r="N293" s="2669"/>
      <c r="O293" s="1916"/>
      <c r="P293" s="1917"/>
      <c r="Q293" s="1917"/>
      <c r="R293" s="1917"/>
      <c r="S293" s="1918"/>
      <c r="T293" s="1917"/>
      <c r="U293" s="1919"/>
    </row>
    <row r="294" spans="1:21" ht="26.85" hidden="1" customHeight="1" x14ac:dyDescent="0.25">
      <c r="A294" s="1870" t="s">
        <v>1513</v>
      </c>
      <c r="B294" s="1871" t="s">
        <v>1523</v>
      </c>
      <c r="C294" s="1872" t="s">
        <v>740</v>
      </c>
      <c r="D294" s="1873"/>
      <c r="E294" s="1874" t="s">
        <v>1524</v>
      </c>
      <c r="F294" s="1875" t="s">
        <v>728</v>
      </c>
      <c r="G294" s="1873"/>
      <c r="H294" s="1873">
        <f t="shared" ref="H294" si="194">G294*M294*N294</f>
        <v>0</v>
      </c>
      <c r="I294" s="1876"/>
      <c r="J294" s="1877" t="s">
        <v>732</v>
      </c>
      <c r="K294" s="2672">
        <v>0</v>
      </c>
      <c r="L294" s="2645">
        <f t="shared" ref="L294:L300" si="195">IF(ISNUMBER(SEARCH("Timber",I294)),M294*K294*N294,K294)</f>
        <v>0</v>
      </c>
      <c r="M294" s="2225">
        <f>+$M300</f>
        <v>1</v>
      </c>
      <c r="N294" s="2648">
        <f>+$T295</f>
        <v>1.5</v>
      </c>
      <c r="O294" s="1878" t="s">
        <v>1512</v>
      </c>
      <c r="P294" s="1879" t="s">
        <v>740</v>
      </c>
      <c r="Q294" s="1880">
        <f t="shared" ref="Q294" si="196">R295*$E$532+T296*$E$533</f>
        <v>0</v>
      </c>
      <c r="R294" s="1881"/>
      <c r="S294" s="1882" t="s">
        <v>1525</v>
      </c>
      <c r="T294" s="1873">
        <v>30</v>
      </c>
      <c r="U294" s="2920" t="s">
        <v>1526</v>
      </c>
    </row>
    <row r="295" spans="1:21" ht="30" hidden="1" x14ac:dyDescent="0.25">
      <c r="A295" s="1883">
        <f>A287+1</f>
        <v>37</v>
      </c>
      <c r="B295" s="1884" t="s">
        <v>1527</v>
      </c>
      <c r="C295" s="1885" t="s">
        <v>740</v>
      </c>
      <c r="D295" s="1886"/>
      <c r="E295" s="1887" t="s">
        <v>1528</v>
      </c>
      <c r="F295" s="1888" t="s">
        <v>728</v>
      </c>
      <c r="G295" s="1886"/>
      <c r="H295" s="1886">
        <f t="shared" ref="H295:H298" si="197">G295</f>
        <v>0</v>
      </c>
      <c r="I295" s="1889"/>
      <c r="J295" s="1890" t="s">
        <v>732</v>
      </c>
      <c r="K295" s="2647">
        <v>0</v>
      </c>
      <c r="L295" s="2646">
        <f t="shared" si="195"/>
        <v>0</v>
      </c>
      <c r="M295" s="2226">
        <f t="shared" ref="M295:M299" si="198">M296</f>
        <v>1</v>
      </c>
      <c r="N295" s="2649">
        <f>+$T295</f>
        <v>1.5</v>
      </c>
      <c r="O295" s="1891" t="s">
        <v>1512</v>
      </c>
      <c r="P295" s="1892" t="s">
        <v>740</v>
      </c>
      <c r="Q295" s="1893"/>
      <c r="R295" s="1894">
        <f>H295*$E$527*0+H296*$E$527*0+SUMIF(I294:I299,$B$565,L294:L299)*$E$537+SUMIF(I294:I299,$B$566,L294:L299)*$E$540+SUMIF(I294:I299,$B$567,L294:L299)*$E$538+SUMIF(I294:I299,$B$568,L294:L299)*$E$539+SUMIF(I294:I299,$B$569,L294:L299)*$E$539+SUMIF(I294:I299,$B$570,L294:L299)*$E$541+SUMIF(I294:I299,$B$571,L294:L299)*$E$539+SUMIF(I294:I299,$B$572,L294:L299)*$E$541+SUMIF(I294:I299,$B$573,L294:L299)*$E$539+SUMIF(I294:I299,$B$574,L294:L299)*$E$543+SUMIF(I294:I299,$B$575,L294:L299)*$E$541+SUMIF(I294:I299,$B$577,L294:L299)*$E$536+SUMIF(I294:I299,$B$576,L294:L299)*$E$542+SUMIF(I294:I299,$B$563,L294:L299)*$E$539</f>
        <v>0</v>
      </c>
      <c r="S295" s="1895" t="s">
        <v>1529</v>
      </c>
      <c r="T295" s="2644">
        <f>+'Data Input sheet'!$D$112</f>
        <v>1.5</v>
      </c>
      <c r="U295" s="2921"/>
    </row>
    <row r="296" spans="1:21" ht="30" hidden="1" x14ac:dyDescent="0.25">
      <c r="A296" s="2922" t="s">
        <v>1530</v>
      </c>
      <c r="B296" s="1884" t="s">
        <v>1531</v>
      </c>
      <c r="C296" s="1885" t="s">
        <v>732</v>
      </c>
      <c r="D296" s="1886"/>
      <c r="E296" s="1887" t="s">
        <v>1532</v>
      </c>
      <c r="F296" s="1888" t="s">
        <v>728</v>
      </c>
      <c r="G296" s="1886"/>
      <c r="H296" s="1886">
        <f t="shared" si="197"/>
        <v>0</v>
      </c>
      <c r="I296" s="1889"/>
      <c r="J296" s="1890" t="s">
        <v>732</v>
      </c>
      <c r="K296" s="2647">
        <v>0</v>
      </c>
      <c r="L296" s="2646">
        <f t="shared" si="195"/>
        <v>0</v>
      </c>
      <c r="M296" s="2226">
        <f t="shared" si="198"/>
        <v>1</v>
      </c>
      <c r="N296" s="2649">
        <f>+$T295</f>
        <v>1.5</v>
      </c>
      <c r="O296" s="1896"/>
      <c r="P296" s="1897"/>
      <c r="Q296" s="1898"/>
      <c r="R296" s="1899">
        <f t="shared" ref="R296" si="199">T296</f>
        <v>0</v>
      </c>
      <c r="S296" s="1895" t="s">
        <v>1533</v>
      </c>
      <c r="T296" s="2673">
        <f>G294*64/4+K300+SUMIF(I294:I299,$B$578,K294:K299)*$E$545+SUMIF(I294:I299,$B$579,K294:K299)*$E$548+SUMIF(I294:I299,$B$580,K294:K299)*$E$546+SUMIF(I294:I299,$B$581,K294:K299)*$E$547+SUMIF(I294:I299,$B$582,K294:K299)*$E$547+SUMIF(I294:I299,$B$583,K294:K299)*$E$549+SUMIF(I294:I299,$B$584,K294:K299)*$E$547+SUMIF(I294:I299,$B$585,K294:K299)*$E$549+SUMIF(I294:I299,$B$586,K294:K299)*$E$547+SUMIF(I294:I299,$B$587,K294:K299)*$E$551+SUMIF(I294:I299,$B$588,K294:K299)*$E$549+SUMIF(I294:I299,$B$590,K294:K299)*$E$544+SUMIF(I294:I299,$B$589,K294:K299)*$E$550</f>
        <v>0</v>
      </c>
      <c r="U296" s="2921"/>
    </row>
    <row r="297" spans="1:21" hidden="1" x14ac:dyDescent="0.25">
      <c r="A297" s="2923"/>
      <c r="B297" s="1884" t="s">
        <v>1534</v>
      </c>
      <c r="C297" s="1885" t="s">
        <v>728</v>
      </c>
      <c r="D297" s="1886"/>
      <c r="E297" s="1887" t="s">
        <v>1535</v>
      </c>
      <c r="F297" s="1888" t="s">
        <v>728</v>
      </c>
      <c r="G297" s="1900">
        <f>(H295+H296)*$C$555+G294*$C$556+(R295-(H295+H296)*$E$527)*$C$555/50+(T296-G294*16)*$C$556/50</f>
        <v>0</v>
      </c>
      <c r="H297" s="1886">
        <f t="shared" si="197"/>
        <v>0</v>
      </c>
      <c r="I297" s="1889"/>
      <c r="J297" s="1890" t="s">
        <v>732</v>
      </c>
      <c r="K297" s="2647">
        <v>0</v>
      </c>
      <c r="L297" s="2646">
        <f t="shared" si="195"/>
        <v>0</v>
      </c>
      <c r="M297" s="2226">
        <f t="shared" si="198"/>
        <v>1</v>
      </c>
      <c r="N297" s="2649">
        <f>+$T295</f>
        <v>1.5</v>
      </c>
      <c r="O297" s="1896"/>
      <c r="P297" s="1897"/>
      <c r="Q297" s="1897"/>
      <c r="R297" s="1897"/>
      <c r="S297" s="1895" t="s">
        <v>3408</v>
      </c>
      <c r="T297" s="2674">
        <f>H294*64/4+L300+SUMIF(I294:I299,$B$578,L294:L299)*$E$545+SUMIF(I294:I299,$B$579,L294:L299)*$E$548+SUMIF(I294:I299,$B$580,L294:L299)*$E$546+SUMIF(I294:I299,$B$581,L294:L299)*$E$547+SUMIF(I294:I299,$B$582,L294:L299)*$E$547+SUMIF(I294:I299,$B$583,L294:L299)*$E$549+SUMIF(I294:I299,$B$584,L294:L299)*$E$547+SUMIF(I294:I299,$B$585,L294:L299)*$E$549+SUMIF(I294:I299,$B$586,L294:L299)*$E$547+SUMIF(I294:I299,$B$587,L294:L299)*$E$551+SUMIF(I294:I299,$B$588,L294:L299)*$E$549+SUMIF(I294:I299,$B$590,L294:L299)*$E$544+SUMIF(I294:I299,$B$589,L294:L299)*$E$550</f>
        <v>0</v>
      </c>
      <c r="U297" s="2921"/>
    </row>
    <row r="298" spans="1:21" ht="29.1" hidden="1" customHeight="1" x14ac:dyDescent="0.25">
      <c r="A298" s="2923"/>
      <c r="B298" s="1884"/>
      <c r="C298" s="1885"/>
      <c r="D298" s="1885"/>
      <c r="E298" s="1901" t="s">
        <v>1536</v>
      </c>
      <c r="F298" s="1888" t="s">
        <v>740</v>
      </c>
      <c r="G298" s="1900">
        <f>(H295*$E$527+H296*$E$527)*$C$557+R295*$C$557+T296*$C$558/T295</f>
        <v>0</v>
      </c>
      <c r="H298" s="1886">
        <f t="shared" si="197"/>
        <v>0</v>
      </c>
      <c r="I298" s="1889"/>
      <c r="J298" s="1890" t="s">
        <v>732</v>
      </c>
      <c r="K298" s="2647">
        <v>0</v>
      </c>
      <c r="L298" s="2646">
        <f t="shared" si="195"/>
        <v>0</v>
      </c>
      <c r="M298" s="2226">
        <f t="shared" si="198"/>
        <v>1</v>
      </c>
      <c r="N298" s="2649">
        <f>+$T295</f>
        <v>1.5</v>
      </c>
      <c r="O298" s="1896"/>
      <c r="P298" s="1897"/>
      <c r="Q298" s="1897"/>
      <c r="R298" s="1902"/>
      <c r="S298" s="1895" t="s">
        <v>1537</v>
      </c>
      <c r="T298" s="2673">
        <f>+T297*T294</f>
        <v>0</v>
      </c>
      <c r="U298" s="2921"/>
    </row>
    <row r="299" spans="1:21" hidden="1" x14ac:dyDescent="0.25">
      <c r="A299" s="2923"/>
      <c r="B299" s="1884"/>
      <c r="C299" s="1885"/>
      <c r="D299" s="1885"/>
      <c r="E299" s="1887"/>
      <c r="F299" s="1888"/>
      <c r="G299" s="1886"/>
      <c r="H299" s="1886"/>
      <c r="I299" s="1889"/>
      <c r="J299" s="1890" t="s">
        <v>732</v>
      </c>
      <c r="K299" s="2647">
        <v>0</v>
      </c>
      <c r="L299" s="2646">
        <f t="shared" si="195"/>
        <v>0</v>
      </c>
      <c r="M299" s="2226">
        <f t="shared" si="198"/>
        <v>1</v>
      </c>
      <c r="N299" s="2649">
        <f>+$T295</f>
        <v>1.5</v>
      </c>
      <c r="O299" s="1903"/>
      <c r="P299" s="1902"/>
      <c r="Q299" s="1902"/>
      <c r="R299" s="1902"/>
      <c r="S299" s="1904"/>
      <c r="T299" s="1905"/>
      <c r="U299" s="2921"/>
    </row>
    <row r="300" spans="1:21" ht="60.75" hidden="1" thickBot="1" x14ac:dyDescent="0.3">
      <c r="A300" s="2925"/>
      <c r="B300" s="1906"/>
      <c r="C300" s="1907"/>
      <c r="D300" s="1907"/>
      <c r="E300" s="1908"/>
      <c r="F300" s="1909"/>
      <c r="G300" s="1910"/>
      <c r="H300" s="1910"/>
      <c r="I300" s="1911" t="s">
        <v>1538</v>
      </c>
      <c r="J300" s="1912" t="s">
        <v>740</v>
      </c>
      <c r="K300" s="2658">
        <v>0</v>
      </c>
      <c r="L300" s="2659">
        <f t="shared" si="195"/>
        <v>0</v>
      </c>
      <c r="M300" s="2660">
        <f>IF(T300="YES",$C$554,1)</f>
        <v>1</v>
      </c>
      <c r="N300" s="2661">
        <f>+$T295</f>
        <v>1.5</v>
      </c>
      <c r="O300" s="1913"/>
      <c r="P300" s="1914"/>
      <c r="Q300" s="1914"/>
      <c r="R300" s="1914"/>
      <c r="S300" s="1920" t="s">
        <v>1539</v>
      </c>
      <c r="T300" s="1921" t="s">
        <v>1540</v>
      </c>
      <c r="U300" s="2924"/>
    </row>
    <row r="301" spans="1:21" ht="27" hidden="1" customHeight="1" thickBot="1" x14ac:dyDescent="0.3">
      <c r="A301" s="1915"/>
      <c r="B301" s="1916"/>
      <c r="C301" s="1917"/>
      <c r="D301" s="1917"/>
      <c r="E301" s="1916"/>
      <c r="F301" s="1917"/>
      <c r="G301" s="1917"/>
      <c r="H301" s="1917"/>
      <c r="I301" s="1916"/>
      <c r="J301" s="1917"/>
      <c r="K301" s="2669"/>
      <c r="L301" s="2669"/>
      <c r="M301" s="2669"/>
      <c r="N301" s="2669"/>
      <c r="O301" s="1916"/>
      <c r="P301" s="1917"/>
      <c r="Q301" s="1917"/>
      <c r="R301" s="1917"/>
      <c r="S301" s="1918"/>
      <c r="T301" s="1917"/>
      <c r="U301" s="1919"/>
    </row>
    <row r="302" spans="1:21" ht="26.85" hidden="1" customHeight="1" x14ac:dyDescent="0.25">
      <c r="A302" s="1870" t="s">
        <v>1513</v>
      </c>
      <c r="B302" s="1871" t="s">
        <v>1523</v>
      </c>
      <c r="C302" s="1872" t="s">
        <v>740</v>
      </c>
      <c r="D302" s="1873"/>
      <c r="E302" s="1874" t="s">
        <v>1524</v>
      </c>
      <c r="F302" s="1875" t="s">
        <v>728</v>
      </c>
      <c r="G302" s="1873"/>
      <c r="H302" s="1873">
        <f t="shared" ref="H302" si="200">G302*M302*N302</f>
        <v>0</v>
      </c>
      <c r="I302" s="1876"/>
      <c r="J302" s="1877" t="s">
        <v>732</v>
      </c>
      <c r="K302" s="2672">
        <v>0</v>
      </c>
      <c r="L302" s="2645">
        <f t="shared" ref="L302:L308" si="201">IF(ISNUMBER(SEARCH("Timber",I302)),M302*K302*N302,K302)</f>
        <v>0</v>
      </c>
      <c r="M302" s="2225">
        <f>+$M308</f>
        <v>1</v>
      </c>
      <c r="N302" s="2648">
        <f>+$T303</f>
        <v>1.5</v>
      </c>
      <c r="O302" s="1878" t="s">
        <v>1512</v>
      </c>
      <c r="P302" s="1879" t="s">
        <v>740</v>
      </c>
      <c r="Q302" s="1880">
        <f t="shared" ref="Q302" si="202">R303*$E$532+T304*$E$533</f>
        <v>0</v>
      </c>
      <c r="R302" s="1881"/>
      <c r="S302" s="1882" t="s">
        <v>1525</v>
      </c>
      <c r="T302" s="1873">
        <v>30</v>
      </c>
      <c r="U302" s="2920" t="s">
        <v>1526</v>
      </c>
    </row>
    <row r="303" spans="1:21" ht="30" hidden="1" x14ac:dyDescent="0.25">
      <c r="A303" s="1883">
        <f>A295+1</f>
        <v>38</v>
      </c>
      <c r="B303" s="1884" t="s">
        <v>1527</v>
      </c>
      <c r="C303" s="1885" t="s">
        <v>740</v>
      </c>
      <c r="D303" s="1886"/>
      <c r="E303" s="1887" t="s">
        <v>1528</v>
      </c>
      <c r="F303" s="1888" t="s">
        <v>728</v>
      </c>
      <c r="G303" s="1886"/>
      <c r="H303" s="1886">
        <f t="shared" ref="H303:H306" si="203">G303</f>
        <v>0</v>
      </c>
      <c r="I303" s="1889"/>
      <c r="J303" s="1890" t="s">
        <v>732</v>
      </c>
      <c r="K303" s="2647">
        <v>0</v>
      </c>
      <c r="L303" s="2646">
        <f t="shared" si="201"/>
        <v>0</v>
      </c>
      <c r="M303" s="2226">
        <f t="shared" ref="M303:M307" si="204">M304</f>
        <v>1</v>
      </c>
      <c r="N303" s="2649">
        <f>+$T303</f>
        <v>1.5</v>
      </c>
      <c r="O303" s="1891" t="s">
        <v>1512</v>
      </c>
      <c r="P303" s="1892" t="s">
        <v>740</v>
      </c>
      <c r="Q303" s="1893"/>
      <c r="R303" s="1894">
        <f>H303*$E$527*0+H304*$E$527*0+SUMIF(I302:I307,$B$565,L302:L307)*$E$537+SUMIF(I302:I307,$B$566,L302:L307)*$E$540+SUMIF(I302:I307,$B$567,L302:L307)*$E$538+SUMIF(I302:I307,$B$568,L302:L307)*$E$539+SUMIF(I302:I307,$B$569,L302:L307)*$E$539+SUMIF(I302:I307,$B$570,L302:L307)*$E$541+SUMIF(I302:I307,$B$571,L302:L307)*$E$539+SUMIF(I302:I307,$B$572,L302:L307)*$E$541+SUMIF(I302:I307,$B$573,L302:L307)*$E$539+SUMIF(I302:I307,$B$574,L302:L307)*$E$543+SUMIF(I302:I307,$B$575,L302:L307)*$E$541+SUMIF(I302:I307,$B$577,L302:L307)*$E$536+SUMIF(I302:I307,$B$576,L302:L307)*$E$542+SUMIF(I302:I307,$B$563,L302:L307)*$E$539</f>
        <v>0</v>
      </c>
      <c r="S303" s="1895" t="s">
        <v>1529</v>
      </c>
      <c r="T303" s="2644">
        <f>+'Data Input sheet'!$D$112</f>
        <v>1.5</v>
      </c>
      <c r="U303" s="2921"/>
    </row>
    <row r="304" spans="1:21" ht="30" hidden="1" x14ac:dyDescent="0.25">
      <c r="A304" s="2922" t="s">
        <v>1530</v>
      </c>
      <c r="B304" s="1884" t="s">
        <v>1531</v>
      </c>
      <c r="C304" s="1885" t="s">
        <v>732</v>
      </c>
      <c r="D304" s="1886"/>
      <c r="E304" s="1887" t="s">
        <v>1532</v>
      </c>
      <c r="F304" s="1888" t="s">
        <v>728</v>
      </c>
      <c r="G304" s="1886"/>
      <c r="H304" s="1886">
        <f t="shared" si="203"/>
        <v>0</v>
      </c>
      <c r="I304" s="1889"/>
      <c r="J304" s="1890" t="s">
        <v>732</v>
      </c>
      <c r="K304" s="2647">
        <v>0</v>
      </c>
      <c r="L304" s="2646">
        <f t="shared" si="201"/>
        <v>0</v>
      </c>
      <c r="M304" s="2226">
        <f t="shared" si="204"/>
        <v>1</v>
      </c>
      <c r="N304" s="2649">
        <f>+$T303</f>
        <v>1.5</v>
      </c>
      <c r="O304" s="1896"/>
      <c r="P304" s="1897"/>
      <c r="Q304" s="1898"/>
      <c r="R304" s="1899">
        <f t="shared" ref="R304" si="205">T304</f>
        <v>0</v>
      </c>
      <c r="S304" s="1895" t="s">
        <v>1533</v>
      </c>
      <c r="T304" s="2673">
        <f>G302*64/4+K308+SUMIF(I302:I307,$B$578,K302:K307)*$E$545+SUMIF(I302:I307,$B$579,K302:K307)*$E$548+SUMIF(I302:I307,$B$580,K302:K307)*$E$546+SUMIF(I302:I307,$B$581,K302:K307)*$E$547+SUMIF(I302:I307,$B$582,K302:K307)*$E$547+SUMIF(I302:I307,$B$583,K302:K307)*$E$549+SUMIF(I302:I307,$B$584,K302:K307)*$E$547+SUMIF(I302:I307,$B$585,K302:K307)*$E$549+SUMIF(I302:I307,$B$586,K302:K307)*$E$547+SUMIF(I302:I307,$B$587,K302:K307)*$E$551+SUMIF(I302:I307,$B$588,K302:K307)*$E$549+SUMIF(I302:I307,$B$590,K302:K307)*$E$544+SUMIF(I302:I307,$B$589,K302:K307)*$E$550</f>
        <v>0</v>
      </c>
      <c r="U304" s="2921"/>
    </row>
    <row r="305" spans="1:21" hidden="1" x14ac:dyDescent="0.25">
      <c r="A305" s="2923"/>
      <c r="B305" s="1884" t="s">
        <v>1534</v>
      </c>
      <c r="C305" s="1885" t="s">
        <v>728</v>
      </c>
      <c r="D305" s="1886"/>
      <c r="E305" s="1887" t="s">
        <v>1535</v>
      </c>
      <c r="F305" s="1888" t="s">
        <v>728</v>
      </c>
      <c r="G305" s="1900">
        <f>(H303+H304)*$C$555+G302*$C$556+(R303-(H303+H304)*$E$527)*$C$555/50+(T304-G302*16)*$C$556/50</f>
        <v>0</v>
      </c>
      <c r="H305" s="1886">
        <f t="shared" si="203"/>
        <v>0</v>
      </c>
      <c r="I305" s="1889"/>
      <c r="J305" s="1890" t="s">
        <v>732</v>
      </c>
      <c r="K305" s="2647">
        <v>0</v>
      </c>
      <c r="L305" s="2646">
        <f t="shared" si="201"/>
        <v>0</v>
      </c>
      <c r="M305" s="2226">
        <f t="shared" si="204"/>
        <v>1</v>
      </c>
      <c r="N305" s="2649">
        <f>+$T303</f>
        <v>1.5</v>
      </c>
      <c r="O305" s="1896"/>
      <c r="P305" s="1897"/>
      <c r="Q305" s="1897"/>
      <c r="R305" s="1897"/>
      <c r="S305" s="1895" t="s">
        <v>3408</v>
      </c>
      <c r="T305" s="2674">
        <f>H302*64/4+L308+SUMIF(I302:I307,$B$578,L302:L307)*$E$545+SUMIF(I302:I307,$B$579,L302:L307)*$E$548+SUMIF(I302:I307,$B$580,L302:L307)*$E$546+SUMIF(I302:I307,$B$581,L302:L307)*$E$547+SUMIF(I302:I307,$B$582,L302:L307)*$E$547+SUMIF(I302:I307,$B$583,L302:L307)*$E$549+SUMIF(I302:I307,$B$584,L302:L307)*$E$547+SUMIF(I302:I307,$B$585,L302:L307)*$E$549+SUMIF(I302:I307,$B$586,L302:L307)*$E$547+SUMIF(I302:I307,$B$587,L302:L307)*$E$551+SUMIF(I302:I307,$B$588,L302:L307)*$E$549+SUMIF(I302:I307,$B$590,L302:L307)*$E$544+SUMIF(I302:I307,$B$589,L302:L307)*$E$550</f>
        <v>0</v>
      </c>
      <c r="U305" s="2921"/>
    </row>
    <row r="306" spans="1:21" ht="29.1" hidden="1" customHeight="1" x14ac:dyDescent="0.25">
      <c r="A306" s="2923"/>
      <c r="B306" s="1884"/>
      <c r="C306" s="1885"/>
      <c r="D306" s="1885"/>
      <c r="E306" s="1901" t="s">
        <v>1536</v>
      </c>
      <c r="F306" s="1888" t="s">
        <v>740</v>
      </c>
      <c r="G306" s="1900">
        <f>(H303*$E$527+H304*$E$527)*$C$557+R303*$C$557+T304*$C$558/T303</f>
        <v>0</v>
      </c>
      <c r="H306" s="1886">
        <f t="shared" si="203"/>
        <v>0</v>
      </c>
      <c r="I306" s="1889"/>
      <c r="J306" s="1890" t="s">
        <v>732</v>
      </c>
      <c r="K306" s="2647">
        <v>0</v>
      </c>
      <c r="L306" s="2646">
        <f t="shared" si="201"/>
        <v>0</v>
      </c>
      <c r="M306" s="2226">
        <f t="shared" si="204"/>
        <v>1</v>
      </c>
      <c r="N306" s="2649">
        <f>+$T303</f>
        <v>1.5</v>
      </c>
      <c r="O306" s="1896"/>
      <c r="P306" s="1897"/>
      <c r="Q306" s="1897"/>
      <c r="R306" s="1902"/>
      <c r="S306" s="1895" t="s">
        <v>1537</v>
      </c>
      <c r="T306" s="2673">
        <f>+T305*T302</f>
        <v>0</v>
      </c>
      <c r="U306" s="2921"/>
    </row>
    <row r="307" spans="1:21" hidden="1" x14ac:dyDescent="0.25">
      <c r="A307" s="2923"/>
      <c r="B307" s="1884"/>
      <c r="C307" s="1885"/>
      <c r="D307" s="1885"/>
      <c r="E307" s="1887"/>
      <c r="F307" s="1888"/>
      <c r="G307" s="1886"/>
      <c r="H307" s="1886"/>
      <c r="I307" s="1889"/>
      <c r="J307" s="1890" t="s">
        <v>732</v>
      </c>
      <c r="K307" s="2647">
        <v>0</v>
      </c>
      <c r="L307" s="2646">
        <f t="shared" si="201"/>
        <v>0</v>
      </c>
      <c r="M307" s="2226">
        <f t="shared" si="204"/>
        <v>1</v>
      </c>
      <c r="N307" s="2649">
        <f>+$T303</f>
        <v>1.5</v>
      </c>
      <c r="O307" s="1903"/>
      <c r="P307" s="1902"/>
      <c r="Q307" s="1902"/>
      <c r="R307" s="1902"/>
      <c r="S307" s="1904"/>
      <c r="T307" s="1905"/>
      <c r="U307" s="2921"/>
    </row>
    <row r="308" spans="1:21" ht="60.75" hidden="1" thickBot="1" x14ac:dyDescent="0.3">
      <c r="A308" s="2925"/>
      <c r="B308" s="1906"/>
      <c r="C308" s="1907"/>
      <c r="D308" s="1907"/>
      <c r="E308" s="1908"/>
      <c r="F308" s="1909"/>
      <c r="G308" s="1910"/>
      <c r="H308" s="1910"/>
      <c r="I308" s="1911" t="s">
        <v>1538</v>
      </c>
      <c r="J308" s="1912" t="s">
        <v>740</v>
      </c>
      <c r="K308" s="2658">
        <v>0</v>
      </c>
      <c r="L308" s="2659">
        <f t="shared" si="201"/>
        <v>0</v>
      </c>
      <c r="M308" s="2660">
        <f>IF(T308="YES",$C$554,1)</f>
        <v>1</v>
      </c>
      <c r="N308" s="2661">
        <f>+$T303</f>
        <v>1.5</v>
      </c>
      <c r="O308" s="1913"/>
      <c r="P308" s="1914"/>
      <c r="Q308" s="1914"/>
      <c r="R308" s="1914"/>
      <c r="S308" s="1920" t="s">
        <v>1539</v>
      </c>
      <c r="T308" s="1921" t="s">
        <v>1540</v>
      </c>
      <c r="U308" s="2924"/>
    </row>
    <row r="309" spans="1:21" ht="27" hidden="1" customHeight="1" thickBot="1" x14ac:dyDescent="0.3">
      <c r="A309" s="1915"/>
      <c r="B309" s="1916"/>
      <c r="C309" s="1917"/>
      <c r="D309" s="1917"/>
      <c r="E309" s="1916"/>
      <c r="F309" s="1917"/>
      <c r="G309" s="1917"/>
      <c r="H309" s="1917"/>
      <c r="I309" s="1916"/>
      <c r="J309" s="1917"/>
      <c r="K309" s="2669"/>
      <c r="L309" s="2669"/>
      <c r="M309" s="2669"/>
      <c r="N309" s="2669"/>
      <c r="O309" s="1916"/>
      <c r="P309" s="1917"/>
      <c r="Q309" s="1917"/>
      <c r="R309" s="1917"/>
      <c r="S309" s="1918"/>
      <c r="T309" s="1917"/>
      <c r="U309" s="1919"/>
    </row>
    <row r="310" spans="1:21" ht="26.85" hidden="1" customHeight="1" x14ac:dyDescent="0.25">
      <c r="A310" s="1870" t="s">
        <v>1513</v>
      </c>
      <c r="B310" s="1871" t="s">
        <v>1523</v>
      </c>
      <c r="C310" s="1872" t="s">
        <v>740</v>
      </c>
      <c r="D310" s="1873"/>
      <c r="E310" s="1874" t="s">
        <v>1524</v>
      </c>
      <c r="F310" s="1875" t="s">
        <v>728</v>
      </c>
      <c r="G310" s="1873"/>
      <c r="H310" s="1873">
        <f t="shared" ref="H310" si="206">G310*M310*N310</f>
        <v>0</v>
      </c>
      <c r="I310" s="1876"/>
      <c r="J310" s="1877" t="s">
        <v>732</v>
      </c>
      <c r="K310" s="2672">
        <v>0</v>
      </c>
      <c r="L310" s="2645">
        <f t="shared" ref="L310:L316" si="207">IF(ISNUMBER(SEARCH("Timber",I310)),M310*K310*N310,K310)</f>
        <v>0</v>
      </c>
      <c r="M310" s="2225">
        <f>+$M316</f>
        <v>1</v>
      </c>
      <c r="N310" s="2648">
        <f>+$T311</f>
        <v>1.5</v>
      </c>
      <c r="O310" s="1878" t="s">
        <v>1512</v>
      </c>
      <c r="P310" s="1879" t="s">
        <v>740</v>
      </c>
      <c r="Q310" s="1880">
        <f t="shared" ref="Q310" si="208">R311*$E$532+T312*$E$533</f>
        <v>0</v>
      </c>
      <c r="R310" s="1881"/>
      <c r="S310" s="1882" t="s">
        <v>1525</v>
      </c>
      <c r="T310" s="1873">
        <v>30</v>
      </c>
      <c r="U310" s="2920" t="s">
        <v>1526</v>
      </c>
    </row>
    <row r="311" spans="1:21" ht="30" hidden="1" x14ac:dyDescent="0.25">
      <c r="A311" s="1883">
        <f>A303+1</f>
        <v>39</v>
      </c>
      <c r="B311" s="1884" t="s">
        <v>1527</v>
      </c>
      <c r="C311" s="1885" t="s">
        <v>740</v>
      </c>
      <c r="D311" s="1886"/>
      <c r="E311" s="1887" t="s">
        <v>1528</v>
      </c>
      <c r="F311" s="1888" t="s">
        <v>728</v>
      </c>
      <c r="G311" s="1886"/>
      <c r="H311" s="1886">
        <f t="shared" ref="H311:H314" si="209">G311</f>
        <v>0</v>
      </c>
      <c r="I311" s="1889"/>
      <c r="J311" s="1890" t="s">
        <v>732</v>
      </c>
      <c r="K311" s="2647">
        <v>0</v>
      </c>
      <c r="L311" s="2646">
        <f t="shared" si="207"/>
        <v>0</v>
      </c>
      <c r="M311" s="2226">
        <f t="shared" ref="M311:M315" si="210">M312</f>
        <v>1</v>
      </c>
      <c r="N311" s="2649">
        <f>+$T311</f>
        <v>1.5</v>
      </c>
      <c r="O311" s="1891" t="s">
        <v>1512</v>
      </c>
      <c r="P311" s="1892" t="s">
        <v>740</v>
      </c>
      <c r="Q311" s="1893"/>
      <c r="R311" s="1894">
        <f>H311*$E$527*0+H312*$E$527*0+SUMIF(I310:I315,$B$565,L310:L315)*$E$537+SUMIF(I310:I315,$B$566,L310:L315)*$E$540+SUMIF(I310:I315,$B$567,L310:L315)*$E$538+SUMIF(I310:I315,$B$568,L310:L315)*$E$539+SUMIF(I310:I315,$B$569,L310:L315)*$E$539+SUMIF(I310:I315,$B$570,L310:L315)*$E$541+SUMIF(I310:I315,$B$571,L310:L315)*$E$539+SUMIF(I310:I315,$B$572,L310:L315)*$E$541+SUMIF(I310:I315,$B$573,L310:L315)*$E$539+SUMIF(I310:I315,$B$574,L310:L315)*$E$543+SUMIF(I310:I315,$B$575,L310:L315)*$E$541+SUMIF(I310:I315,$B$577,L310:L315)*$E$536+SUMIF(I310:I315,$B$576,L310:L315)*$E$542+SUMIF(I310:I315,$B$563,L310:L315)*$E$539</f>
        <v>0</v>
      </c>
      <c r="S311" s="1895" t="s">
        <v>1529</v>
      </c>
      <c r="T311" s="2644">
        <f>+'Data Input sheet'!$D$112</f>
        <v>1.5</v>
      </c>
      <c r="U311" s="2921"/>
    </row>
    <row r="312" spans="1:21" ht="30" hidden="1" x14ac:dyDescent="0.25">
      <c r="A312" s="2922" t="s">
        <v>1530</v>
      </c>
      <c r="B312" s="1884" t="s">
        <v>1531</v>
      </c>
      <c r="C312" s="1885" t="s">
        <v>732</v>
      </c>
      <c r="D312" s="1886"/>
      <c r="E312" s="1887" t="s">
        <v>1532</v>
      </c>
      <c r="F312" s="1888" t="s">
        <v>728</v>
      </c>
      <c r="G312" s="1886"/>
      <c r="H312" s="1886">
        <f t="shared" si="209"/>
        <v>0</v>
      </c>
      <c r="I312" s="1889"/>
      <c r="J312" s="1890" t="s">
        <v>732</v>
      </c>
      <c r="K312" s="2647">
        <v>0</v>
      </c>
      <c r="L312" s="2646">
        <f t="shared" si="207"/>
        <v>0</v>
      </c>
      <c r="M312" s="2226">
        <f t="shared" si="210"/>
        <v>1</v>
      </c>
      <c r="N312" s="2649">
        <f>+$T311</f>
        <v>1.5</v>
      </c>
      <c r="O312" s="1896"/>
      <c r="P312" s="1897"/>
      <c r="Q312" s="1898"/>
      <c r="R312" s="1899">
        <f t="shared" ref="R312" si="211">T312</f>
        <v>0</v>
      </c>
      <c r="S312" s="1895" t="s">
        <v>1533</v>
      </c>
      <c r="T312" s="2673">
        <f>G310*64/4+K316+SUMIF(I310:I315,$B$578,K310:K315)*$E$545+SUMIF(I310:I315,$B$579,K310:K315)*$E$548+SUMIF(I310:I315,$B$580,K310:K315)*$E$546+SUMIF(I310:I315,$B$581,K310:K315)*$E$547+SUMIF(I310:I315,$B$582,K310:K315)*$E$547+SUMIF(I310:I315,$B$583,K310:K315)*$E$549+SUMIF(I310:I315,$B$584,K310:K315)*$E$547+SUMIF(I310:I315,$B$585,K310:K315)*$E$549+SUMIF(I310:I315,$B$586,K310:K315)*$E$547+SUMIF(I310:I315,$B$587,K310:K315)*$E$551+SUMIF(I310:I315,$B$588,K310:K315)*$E$549+SUMIF(I310:I315,$B$590,K310:K315)*$E$544+SUMIF(I310:I315,$B$589,K310:K315)*$E$550</f>
        <v>0</v>
      </c>
      <c r="U312" s="2921"/>
    </row>
    <row r="313" spans="1:21" hidden="1" x14ac:dyDescent="0.25">
      <c r="A313" s="2923"/>
      <c r="B313" s="1884" t="s">
        <v>1534</v>
      </c>
      <c r="C313" s="1885" t="s">
        <v>728</v>
      </c>
      <c r="D313" s="1886"/>
      <c r="E313" s="1887" t="s">
        <v>1535</v>
      </c>
      <c r="F313" s="1888" t="s">
        <v>728</v>
      </c>
      <c r="G313" s="1900">
        <f>(H311+H312)*$C$555+G310*$C$556+(R311-(H311+H312)*$E$527)*$C$555/50+(T312-G310*16)*$C$556/50</f>
        <v>0</v>
      </c>
      <c r="H313" s="1886">
        <f t="shared" si="209"/>
        <v>0</v>
      </c>
      <c r="I313" s="1889"/>
      <c r="J313" s="1890" t="s">
        <v>732</v>
      </c>
      <c r="K313" s="2647">
        <v>0</v>
      </c>
      <c r="L313" s="2646">
        <f t="shared" si="207"/>
        <v>0</v>
      </c>
      <c r="M313" s="2226">
        <f t="shared" si="210"/>
        <v>1</v>
      </c>
      <c r="N313" s="2649">
        <f>+$T311</f>
        <v>1.5</v>
      </c>
      <c r="O313" s="1896"/>
      <c r="P313" s="1897"/>
      <c r="Q313" s="1897"/>
      <c r="R313" s="1897"/>
      <c r="S313" s="1895" t="s">
        <v>3408</v>
      </c>
      <c r="T313" s="2674">
        <f>H310*64/4+L316+SUMIF(I310:I315,$B$578,L310:L315)*$E$545+SUMIF(I310:I315,$B$579,L310:L315)*$E$548+SUMIF(I310:I315,$B$580,L310:L315)*$E$546+SUMIF(I310:I315,$B$581,L310:L315)*$E$547+SUMIF(I310:I315,$B$582,L310:L315)*$E$547+SUMIF(I310:I315,$B$583,L310:L315)*$E$549+SUMIF(I310:I315,$B$584,L310:L315)*$E$547+SUMIF(I310:I315,$B$585,L310:L315)*$E$549+SUMIF(I310:I315,$B$586,L310:L315)*$E$547+SUMIF(I310:I315,$B$587,L310:L315)*$E$551+SUMIF(I310:I315,$B$588,L310:L315)*$E$549+SUMIF(I310:I315,$B$590,L310:L315)*$E$544+SUMIF(I310:I315,$B$589,L310:L315)*$E$550</f>
        <v>0</v>
      </c>
      <c r="U313" s="2921"/>
    </row>
    <row r="314" spans="1:21" ht="29.1" hidden="1" customHeight="1" x14ac:dyDescent="0.25">
      <c r="A314" s="2923"/>
      <c r="B314" s="1884"/>
      <c r="C314" s="1885"/>
      <c r="D314" s="1885"/>
      <c r="E314" s="1901" t="s">
        <v>1536</v>
      </c>
      <c r="F314" s="1888" t="s">
        <v>740</v>
      </c>
      <c r="G314" s="1900">
        <f>(H311*$E$527+H312*$E$527)*$C$557+R311*$C$557+T312*$C$558/T311</f>
        <v>0</v>
      </c>
      <c r="H314" s="1886">
        <f t="shared" si="209"/>
        <v>0</v>
      </c>
      <c r="I314" s="1889"/>
      <c r="J314" s="1890" t="s">
        <v>732</v>
      </c>
      <c r="K314" s="2647">
        <v>0</v>
      </c>
      <c r="L314" s="2646">
        <f t="shared" si="207"/>
        <v>0</v>
      </c>
      <c r="M314" s="2226">
        <f t="shared" si="210"/>
        <v>1</v>
      </c>
      <c r="N314" s="2649">
        <f>+$T311</f>
        <v>1.5</v>
      </c>
      <c r="O314" s="1896"/>
      <c r="P314" s="1897"/>
      <c r="Q314" s="1897"/>
      <c r="R314" s="1902"/>
      <c r="S314" s="1895" t="s">
        <v>1537</v>
      </c>
      <c r="T314" s="2673">
        <f>+T313*T310</f>
        <v>0</v>
      </c>
      <c r="U314" s="2921"/>
    </row>
    <row r="315" spans="1:21" hidden="1" x14ac:dyDescent="0.25">
      <c r="A315" s="2923"/>
      <c r="B315" s="1884"/>
      <c r="C315" s="1885"/>
      <c r="D315" s="1885"/>
      <c r="E315" s="1887"/>
      <c r="F315" s="1888"/>
      <c r="G315" s="1886"/>
      <c r="H315" s="1886"/>
      <c r="I315" s="1889"/>
      <c r="J315" s="1890" t="s">
        <v>732</v>
      </c>
      <c r="K315" s="2647">
        <v>0</v>
      </c>
      <c r="L315" s="2646">
        <f t="shared" si="207"/>
        <v>0</v>
      </c>
      <c r="M315" s="2226">
        <f t="shared" si="210"/>
        <v>1</v>
      </c>
      <c r="N315" s="2649">
        <f>+$T311</f>
        <v>1.5</v>
      </c>
      <c r="O315" s="1903"/>
      <c r="P315" s="1902"/>
      <c r="Q315" s="1902"/>
      <c r="R315" s="1902"/>
      <c r="S315" s="1904"/>
      <c r="T315" s="1905"/>
      <c r="U315" s="2921"/>
    </row>
    <row r="316" spans="1:21" ht="60.75" hidden="1" thickBot="1" x14ac:dyDescent="0.3">
      <c r="A316" s="2925"/>
      <c r="B316" s="1906"/>
      <c r="C316" s="1907"/>
      <c r="D316" s="1907"/>
      <c r="E316" s="1908"/>
      <c r="F316" s="1909"/>
      <c r="G316" s="1910"/>
      <c r="H316" s="1910"/>
      <c r="I316" s="1911" t="s">
        <v>1538</v>
      </c>
      <c r="J316" s="1912" t="s">
        <v>740</v>
      </c>
      <c r="K316" s="2658">
        <v>0</v>
      </c>
      <c r="L316" s="2659">
        <f t="shared" si="207"/>
        <v>0</v>
      </c>
      <c r="M316" s="2660">
        <f>IF(T316="YES",$C$554,1)</f>
        <v>1</v>
      </c>
      <c r="N316" s="2661">
        <f>+$T311</f>
        <v>1.5</v>
      </c>
      <c r="O316" s="1913"/>
      <c r="P316" s="1914"/>
      <c r="Q316" s="1914"/>
      <c r="R316" s="1914"/>
      <c r="S316" s="1920" t="s">
        <v>1539</v>
      </c>
      <c r="T316" s="1921" t="s">
        <v>1540</v>
      </c>
      <c r="U316" s="2924"/>
    </row>
    <row r="317" spans="1:21" ht="27" hidden="1" customHeight="1" thickBot="1" x14ac:dyDescent="0.3">
      <c r="A317" s="1915"/>
      <c r="B317" s="1916"/>
      <c r="C317" s="1917"/>
      <c r="D317" s="1917"/>
      <c r="E317" s="1916"/>
      <c r="F317" s="1917"/>
      <c r="G317" s="1917"/>
      <c r="H317" s="1917"/>
      <c r="I317" s="1916"/>
      <c r="J317" s="1917"/>
      <c r="K317" s="2669"/>
      <c r="L317" s="2669"/>
      <c r="M317" s="2669"/>
      <c r="N317" s="2669"/>
      <c r="O317" s="1916"/>
      <c r="P317" s="1917"/>
      <c r="Q317" s="1917"/>
      <c r="R317" s="1917"/>
      <c r="S317" s="1918"/>
      <c r="T317" s="1917"/>
      <c r="U317" s="1919"/>
    </row>
    <row r="318" spans="1:21" ht="26.85" hidden="1" customHeight="1" x14ac:dyDescent="0.25">
      <c r="A318" s="1870" t="s">
        <v>1513</v>
      </c>
      <c r="B318" s="1871" t="s">
        <v>1523</v>
      </c>
      <c r="C318" s="1872" t="s">
        <v>740</v>
      </c>
      <c r="D318" s="1873"/>
      <c r="E318" s="1874" t="s">
        <v>1524</v>
      </c>
      <c r="F318" s="1875" t="s">
        <v>728</v>
      </c>
      <c r="G318" s="1873"/>
      <c r="H318" s="1873">
        <f t="shared" ref="H318" si="212">G318*M318*N318</f>
        <v>0</v>
      </c>
      <c r="I318" s="1876"/>
      <c r="J318" s="1877" t="s">
        <v>732</v>
      </c>
      <c r="K318" s="2672">
        <v>0</v>
      </c>
      <c r="L318" s="2645">
        <f t="shared" ref="L318:L324" si="213">IF(ISNUMBER(SEARCH("Timber",I318)),M318*K318*N318,K318)</f>
        <v>0</v>
      </c>
      <c r="M318" s="2225">
        <f>+$M324</f>
        <v>1</v>
      </c>
      <c r="N318" s="2648">
        <f>+$T319</f>
        <v>1.5</v>
      </c>
      <c r="O318" s="1878" t="s">
        <v>1512</v>
      </c>
      <c r="P318" s="1879" t="s">
        <v>740</v>
      </c>
      <c r="Q318" s="1880">
        <f t="shared" ref="Q318" si="214">R319*$E$532+T320*$E$533</f>
        <v>0</v>
      </c>
      <c r="R318" s="1881"/>
      <c r="S318" s="1882" t="s">
        <v>1525</v>
      </c>
      <c r="T318" s="1873">
        <v>30</v>
      </c>
      <c r="U318" s="2920" t="s">
        <v>1526</v>
      </c>
    </row>
    <row r="319" spans="1:21" ht="30" hidden="1" x14ac:dyDescent="0.25">
      <c r="A319" s="1883">
        <f>A311+1</f>
        <v>40</v>
      </c>
      <c r="B319" s="1884" t="s">
        <v>1527</v>
      </c>
      <c r="C319" s="1885" t="s">
        <v>740</v>
      </c>
      <c r="D319" s="1886"/>
      <c r="E319" s="1887" t="s">
        <v>1528</v>
      </c>
      <c r="F319" s="1888" t="s">
        <v>728</v>
      </c>
      <c r="G319" s="1886"/>
      <c r="H319" s="1886">
        <f t="shared" ref="H319:H322" si="215">G319</f>
        <v>0</v>
      </c>
      <c r="I319" s="1889"/>
      <c r="J319" s="1890" t="s">
        <v>732</v>
      </c>
      <c r="K319" s="2647">
        <v>0</v>
      </c>
      <c r="L319" s="2646">
        <f t="shared" si="213"/>
        <v>0</v>
      </c>
      <c r="M319" s="2226">
        <f t="shared" ref="M319:M323" si="216">M320</f>
        <v>1</v>
      </c>
      <c r="N319" s="2649">
        <f>+$T319</f>
        <v>1.5</v>
      </c>
      <c r="O319" s="1891" t="s">
        <v>1512</v>
      </c>
      <c r="P319" s="1892" t="s">
        <v>740</v>
      </c>
      <c r="Q319" s="1893"/>
      <c r="R319" s="1894">
        <f>H319*$E$527*0+H320*$E$527*0+SUMIF(I318:I323,$B$565,L318:L323)*$E$537+SUMIF(I318:I323,$B$566,L318:L323)*$E$540+SUMIF(I318:I323,$B$567,L318:L323)*$E$538+SUMIF(I318:I323,$B$568,L318:L323)*$E$539+SUMIF(I318:I323,$B$569,L318:L323)*$E$539+SUMIF(I318:I323,$B$570,L318:L323)*$E$541+SUMIF(I318:I323,$B$571,L318:L323)*$E$539+SUMIF(I318:I323,$B$572,L318:L323)*$E$541+SUMIF(I318:I323,$B$573,L318:L323)*$E$539+SUMIF(I318:I323,$B$574,L318:L323)*$E$543+SUMIF(I318:I323,$B$575,L318:L323)*$E$541+SUMIF(I318:I323,$B$577,L318:L323)*$E$536+SUMIF(I318:I323,$B$576,L318:L323)*$E$542+SUMIF(I318:I323,$B$563,L318:L323)*$E$539</f>
        <v>0</v>
      </c>
      <c r="S319" s="1895" t="s">
        <v>1529</v>
      </c>
      <c r="T319" s="2644">
        <f>+'Data Input sheet'!$D$112</f>
        <v>1.5</v>
      </c>
      <c r="U319" s="2921"/>
    </row>
    <row r="320" spans="1:21" ht="30" hidden="1" x14ac:dyDescent="0.25">
      <c r="A320" s="2922" t="s">
        <v>1530</v>
      </c>
      <c r="B320" s="1884" t="s">
        <v>1531</v>
      </c>
      <c r="C320" s="1885" t="s">
        <v>732</v>
      </c>
      <c r="D320" s="1886"/>
      <c r="E320" s="1887" t="s">
        <v>1532</v>
      </c>
      <c r="F320" s="1888" t="s">
        <v>728</v>
      </c>
      <c r="G320" s="1886"/>
      <c r="H320" s="1886">
        <f t="shared" si="215"/>
        <v>0</v>
      </c>
      <c r="I320" s="1889"/>
      <c r="J320" s="1890" t="s">
        <v>732</v>
      </c>
      <c r="K320" s="2647">
        <v>0</v>
      </c>
      <c r="L320" s="2646">
        <f t="shared" si="213"/>
        <v>0</v>
      </c>
      <c r="M320" s="2226">
        <f t="shared" si="216"/>
        <v>1</v>
      </c>
      <c r="N320" s="2649">
        <f>+$T319</f>
        <v>1.5</v>
      </c>
      <c r="O320" s="1896"/>
      <c r="P320" s="1897"/>
      <c r="Q320" s="1898"/>
      <c r="R320" s="1899">
        <f t="shared" ref="R320" si="217">T320</f>
        <v>0</v>
      </c>
      <c r="S320" s="1895" t="s">
        <v>1533</v>
      </c>
      <c r="T320" s="2673">
        <f>G318*64/4+K324+SUMIF(I318:I323,$B$578,K318:K323)*$E$545+SUMIF(I318:I323,$B$579,K318:K323)*$E$548+SUMIF(I318:I323,$B$580,K318:K323)*$E$546+SUMIF(I318:I323,$B$581,K318:K323)*$E$547+SUMIF(I318:I323,$B$582,K318:K323)*$E$547+SUMIF(I318:I323,$B$583,K318:K323)*$E$549+SUMIF(I318:I323,$B$584,K318:K323)*$E$547+SUMIF(I318:I323,$B$585,K318:K323)*$E$549+SUMIF(I318:I323,$B$586,K318:K323)*$E$547+SUMIF(I318:I323,$B$587,K318:K323)*$E$551+SUMIF(I318:I323,$B$588,K318:K323)*$E$549+SUMIF(I318:I323,$B$590,K318:K323)*$E$544+SUMIF(I318:I323,$B$589,K318:K323)*$E$550</f>
        <v>0</v>
      </c>
      <c r="U320" s="2921"/>
    </row>
    <row r="321" spans="1:21" hidden="1" x14ac:dyDescent="0.25">
      <c r="A321" s="2923"/>
      <c r="B321" s="1884" t="s">
        <v>1534</v>
      </c>
      <c r="C321" s="1885" t="s">
        <v>728</v>
      </c>
      <c r="D321" s="1886"/>
      <c r="E321" s="1887" t="s">
        <v>1535</v>
      </c>
      <c r="F321" s="1888" t="s">
        <v>728</v>
      </c>
      <c r="G321" s="1900">
        <f>(H319+H320)*$C$555+G318*$C$556+(R319-(H319+H320)*$E$527)*$C$555/50+(T320-G318*16)*$C$556/50</f>
        <v>0</v>
      </c>
      <c r="H321" s="1886">
        <f t="shared" si="215"/>
        <v>0</v>
      </c>
      <c r="I321" s="1889"/>
      <c r="J321" s="1890" t="s">
        <v>732</v>
      </c>
      <c r="K321" s="2647">
        <v>0</v>
      </c>
      <c r="L321" s="2646">
        <f t="shared" si="213"/>
        <v>0</v>
      </c>
      <c r="M321" s="2226">
        <f t="shared" si="216"/>
        <v>1</v>
      </c>
      <c r="N321" s="2649">
        <f>+$T319</f>
        <v>1.5</v>
      </c>
      <c r="O321" s="1896"/>
      <c r="P321" s="1897"/>
      <c r="Q321" s="1897"/>
      <c r="R321" s="1897"/>
      <c r="S321" s="1895" t="s">
        <v>3408</v>
      </c>
      <c r="T321" s="2674">
        <f>H318*64/4+L324+SUMIF(I318:I323,$B$578,L318:L323)*$E$545+SUMIF(I318:I323,$B$579,L318:L323)*$E$548+SUMIF(I318:I323,$B$580,L318:L323)*$E$546+SUMIF(I318:I323,$B$581,L318:L323)*$E$547+SUMIF(I318:I323,$B$582,L318:L323)*$E$547+SUMIF(I318:I323,$B$583,L318:L323)*$E$549+SUMIF(I318:I323,$B$584,L318:L323)*$E$547+SUMIF(I318:I323,$B$585,L318:L323)*$E$549+SUMIF(I318:I323,$B$586,L318:L323)*$E$547+SUMIF(I318:I323,$B$587,L318:L323)*$E$551+SUMIF(I318:I323,$B$588,L318:L323)*$E$549+SUMIF(I318:I323,$B$590,L318:L323)*$E$544+SUMIF(I318:I323,$B$589,L318:L323)*$E$550</f>
        <v>0</v>
      </c>
      <c r="U321" s="2921"/>
    </row>
    <row r="322" spans="1:21" ht="29.1" hidden="1" customHeight="1" x14ac:dyDescent="0.25">
      <c r="A322" s="2923"/>
      <c r="B322" s="1884"/>
      <c r="C322" s="1885"/>
      <c r="D322" s="1885"/>
      <c r="E322" s="1901" t="s">
        <v>1536</v>
      </c>
      <c r="F322" s="1888" t="s">
        <v>740</v>
      </c>
      <c r="G322" s="1900">
        <f>(H319*$E$527+H320*$E$527)*$C$557+R319*$C$557+T320*$C$558/T319</f>
        <v>0</v>
      </c>
      <c r="H322" s="1886">
        <f t="shared" si="215"/>
        <v>0</v>
      </c>
      <c r="I322" s="1889"/>
      <c r="J322" s="1890" t="s">
        <v>732</v>
      </c>
      <c r="K322" s="2647">
        <v>0</v>
      </c>
      <c r="L322" s="2646">
        <f t="shared" si="213"/>
        <v>0</v>
      </c>
      <c r="M322" s="2226">
        <f t="shared" si="216"/>
        <v>1</v>
      </c>
      <c r="N322" s="2649">
        <f>+$T319</f>
        <v>1.5</v>
      </c>
      <c r="O322" s="1896"/>
      <c r="P322" s="1897"/>
      <c r="Q322" s="1897"/>
      <c r="R322" s="1902"/>
      <c r="S322" s="1895" t="s">
        <v>1537</v>
      </c>
      <c r="T322" s="2673">
        <f>+T321*T318</f>
        <v>0</v>
      </c>
      <c r="U322" s="2921"/>
    </row>
    <row r="323" spans="1:21" hidden="1" x14ac:dyDescent="0.25">
      <c r="A323" s="2923"/>
      <c r="B323" s="1884"/>
      <c r="C323" s="1885"/>
      <c r="D323" s="1885"/>
      <c r="E323" s="1887"/>
      <c r="F323" s="1888"/>
      <c r="G323" s="1886"/>
      <c r="H323" s="1886"/>
      <c r="I323" s="1889"/>
      <c r="J323" s="1890" t="s">
        <v>732</v>
      </c>
      <c r="K323" s="2647">
        <v>0</v>
      </c>
      <c r="L323" s="2646">
        <f t="shared" si="213"/>
        <v>0</v>
      </c>
      <c r="M323" s="2226">
        <f t="shared" si="216"/>
        <v>1</v>
      </c>
      <c r="N323" s="2649">
        <f>+$T319</f>
        <v>1.5</v>
      </c>
      <c r="O323" s="1903"/>
      <c r="P323" s="1902"/>
      <c r="Q323" s="1902"/>
      <c r="R323" s="1902"/>
      <c r="S323" s="1904"/>
      <c r="T323" s="1905"/>
      <c r="U323" s="2921"/>
    </row>
    <row r="324" spans="1:21" ht="60.75" hidden="1" thickBot="1" x14ac:dyDescent="0.3">
      <c r="A324" s="2925"/>
      <c r="B324" s="1906"/>
      <c r="C324" s="1907"/>
      <c r="D324" s="1907"/>
      <c r="E324" s="1908"/>
      <c r="F324" s="1909"/>
      <c r="G324" s="1910"/>
      <c r="H324" s="1910"/>
      <c r="I324" s="1911" t="s">
        <v>1538</v>
      </c>
      <c r="J324" s="1912" t="s">
        <v>740</v>
      </c>
      <c r="K324" s="2658">
        <v>0</v>
      </c>
      <c r="L324" s="2659">
        <f t="shared" si="213"/>
        <v>0</v>
      </c>
      <c r="M324" s="2660">
        <f>IF(T324="YES",$C$554,1)</f>
        <v>1</v>
      </c>
      <c r="N324" s="2661">
        <f>+$T319</f>
        <v>1.5</v>
      </c>
      <c r="O324" s="1913"/>
      <c r="P324" s="1914"/>
      <c r="Q324" s="1914"/>
      <c r="R324" s="1914"/>
      <c r="S324" s="1920" t="s">
        <v>1539</v>
      </c>
      <c r="T324" s="1921" t="s">
        <v>1540</v>
      </c>
      <c r="U324" s="2924"/>
    </row>
    <row r="325" spans="1:21" ht="27" hidden="1" customHeight="1" thickBot="1" x14ac:dyDescent="0.3">
      <c r="A325" s="1915"/>
      <c r="B325" s="1916"/>
      <c r="C325" s="1917"/>
      <c r="D325" s="1917"/>
      <c r="E325" s="1916"/>
      <c r="F325" s="1917"/>
      <c r="G325" s="1917"/>
      <c r="H325" s="1917"/>
      <c r="I325" s="1916"/>
      <c r="J325" s="1917"/>
      <c r="K325" s="2669"/>
      <c r="L325" s="2669"/>
      <c r="M325" s="2669"/>
      <c r="N325" s="2669"/>
      <c r="O325" s="1916"/>
      <c r="P325" s="1917"/>
      <c r="Q325" s="1917"/>
      <c r="R325" s="1917"/>
      <c r="S325" s="1918"/>
      <c r="T325" s="1917"/>
      <c r="U325" s="1919"/>
    </row>
    <row r="326" spans="1:21" ht="26.85" hidden="1" customHeight="1" x14ac:dyDescent="0.25">
      <c r="A326" s="1870" t="s">
        <v>1513</v>
      </c>
      <c r="B326" s="1871" t="s">
        <v>1523</v>
      </c>
      <c r="C326" s="1872" t="s">
        <v>740</v>
      </c>
      <c r="D326" s="1873"/>
      <c r="E326" s="1874" t="s">
        <v>1524</v>
      </c>
      <c r="F326" s="1875" t="s">
        <v>728</v>
      </c>
      <c r="G326" s="1873"/>
      <c r="H326" s="1873">
        <f t="shared" ref="H326" si="218">G326*M326*N326</f>
        <v>0</v>
      </c>
      <c r="I326" s="1876"/>
      <c r="J326" s="1877" t="s">
        <v>732</v>
      </c>
      <c r="K326" s="2672">
        <v>0</v>
      </c>
      <c r="L326" s="2645">
        <f t="shared" ref="L326:L332" si="219">IF(ISNUMBER(SEARCH("Timber",I326)),M326*K326*N326,K326)</f>
        <v>0</v>
      </c>
      <c r="M326" s="2225">
        <f>+$M332</f>
        <v>1</v>
      </c>
      <c r="N326" s="2648">
        <f>+$T327</f>
        <v>1.5</v>
      </c>
      <c r="O326" s="1878" t="s">
        <v>1512</v>
      </c>
      <c r="P326" s="1879" t="s">
        <v>740</v>
      </c>
      <c r="Q326" s="1880">
        <f t="shared" ref="Q326" si="220">R327*$E$532+T328*$E$533</f>
        <v>0</v>
      </c>
      <c r="R326" s="1881"/>
      <c r="S326" s="1882" t="s">
        <v>1525</v>
      </c>
      <c r="T326" s="1873">
        <v>30</v>
      </c>
      <c r="U326" s="2920" t="s">
        <v>1526</v>
      </c>
    </row>
    <row r="327" spans="1:21" ht="30" hidden="1" x14ac:dyDescent="0.25">
      <c r="A327" s="1883">
        <f>A319+1</f>
        <v>41</v>
      </c>
      <c r="B327" s="1884" t="s">
        <v>1527</v>
      </c>
      <c r="C327" s="1885" t="s">
        <v>740</v>
      </c>
      <c r="D327" s="1886"/>
      <c r="E327" s="1887" t="s">
        <v>1528</v>
      </c>
      <c r="F327" s="1888" t="s">
        <v>728</v>
      </c>
      <c r="G327" s="1886"/>
      <c r="H327" s="1886">
        <f t="shared" ref="H327:H330" si="221">G327</f>
        <v>0</v>
      </c>
      <c r="I327" s="1889"/>
      <c r="J327" s="1890" t="s">
        <v>732</v>
      </c>
      <c r="K327" s="2647">
        <v>0</v>
      </c>
      <c r="L327" s="2646">
        <f t="shared" si="219"/>
        <v>0</v>
      </c>
      <c r="M327" s="2226">
        <f t="shared" ref="M327:M331" si="222">M328</f>
        <v>1</v>
      </c>
      <c r="N327" s="2649">
        <f>+$T327</f>
        <v>1.5</v>
      </c>
      <c r="O327" s="1891" t="s">
        <v>1512</v>
      </c>
      <c r="P327" s="1892" t="s">
        <v>740</v>
      </c>
      <c r="Q327" s="1893"/>
      <c r="R327" s="1894">
        <f>H327*$E$527*0+H328*$E$527*0+SUMIF(I326:I331,$B$565,L326:L331)*$E$537+SUMIF(I326:I331,$B$566,L326:L331)*$E$540+SUMIF(I326:I331,$B$567,L326:L331)*$E$538+SUMIF(I326:I331,$B$568,L326:L331)*$E$539+SUMIF(I326:I331,$B$569,L326:L331)*$E$539+SUMIF(I326:I331,$B$570,L326:L331)*$E$541+SUMIF(I326:I331,$B$571,L326:L331)*$E$539+SUMIF(I326:I331,$B$572,L326:L331)*$E$541+SUMIF(I326:I331,$B$573,L326:L331)*$E$539+SUMIF(I326:I331,$B$574,L326:L331)*$E$543+SUMIF(I326:I331,$B$575,L326:L331)*$E$541+SUMIF(I326:I331,$B$577,L326:L331)*$E$536+SUMIF(I326:I331,$B$576,L326:L331)*$E$542+SUMIF(I326:I331,$B$563,L326:L331)*$E$539</f>
        <v>0</v>
      </c>
      <c r="S327" s="1895" t="s">
        <v>1529</v>
      </c>
      <c r="T327" s="2644">
        <f>+'Data Input sheet'!$D$112</f>
        <v>1.5</v>
      </c>
      <c r="U327" s="2921"/>
    </row>
    <row r="328" spans="1:21" ht="30" hidden="1" x14ac:dyDescent="0.25">
      <c r="A328" s="2922" t="s">
        <v>1530</v>
      </c>
      <c r="B328" s="1884" t="s">
        <v>1531</v>
      </c>
      <c r="C328" s="1885" t="s">
        <v>732</v>
      </c>
      <c r="D328" s="1886"/>
      <c r="E328" s="1887" t="s">
        <v>1532</v>
      </c>
      <c r="F328" s="1888" t="s">
        <v>728</v>
      </c>
      <c r="G328" s="1886"/>
      <c r="H328" s="1886">
        <f t="shared" si="221"/>
        <v>0</v>
      </c>
      <c r="I328" s="1889"/>
      <c r="J328" s="1890" t="s">
        <v>732</v>
      </c>
      <c r="K328" s="2647">
        <v>0</v>
      </c>
      <c r="L328" s="2646">
        <f t="shared" si="219"/>
        <v>0</v>
      </c>
      <c r="M328" s="2226">
        <f t="shared" si="222"/>
        <v>1</v>
      </c>
      <c r="N328" s="2649">
        <f>+$T327</f>
        <v>1.5</v>
      </c>
      <c r="O328" s="1896"/>
      <c r="P328" s="1897"/>
      <c r="Q328" s="1898"/>
      <c r="R328" s="1899">
        <f t="shared" ref="R328" si="223">T328</f>
        <v>0</v>
      </c>
      <c r="S328" s="1895" t="s">
        <v>1533</v>
      </c>
      <c r="T328" s="2673">
        <f>G326*64/4+K332+SUMIF(I326:I331,$B$578,K326:K331)*$E$545+SUMIF(I326:I331,$B$579,K326:K331)*$E$548+SUMIF(I326:I331,$B$580,K326:K331)*$E$546+SUMIF(I326:I331,$B$581,K326:K331)*$E$547+SUMIF(I326:I331,$B$582,K326:K331)*$E$547+SUMIF(I326:I331,$B$583,K326:K331)*$E$549+SUMIF(I326:I331,$B$584,K326:K331)*$E$547+SUMIF(I326:I331,$B$585,K326:K331)*$E$549+SUMIF(I326:I331,$B$586,K326:K331)*$E$547+SUMIF(I326:I331,$B$587,K326:K331)*$E$551+SUMIF(I326:I331,$B$588,K326:K331)*$E$549+SUMIF(I326:I331,$B$590,K326:K331)*$E$544+SUMIF(I326:I331,$B$589,K326:K331)*$E$550</f>
        <v>0</v>
      </c>
      <c r="U328" s="2921"/>
    </row>
    <row r="329" spans="1:21" hidden="1" x14ac:dyDescent="0.25">
      <c r="A329" s="2923"/>
      <c r="B329" s="1884" t="s">
        <v>1534</v>
      </c>
      <c r="C329" s="1885" t="s">
        <v>728</v>
      </c>
      <c r="D329" s="1886"/>
      <c r="E329" s="1887" t="s">
        <v>1535</v>
      </c>
      <c r="F329" s="1888" t="s">
        <v>728</v>
      </c>
      <c r="G329" s="1900">
        <f>(H327+H328)*$C$555+G326*$C$556+(R327-(H327+H328)*$E$527)*$C$555/50+(T328-G326*16)*$C$556/50</f>
        <v>0</v>
      </c>
      <c r="H329" s="1886">
        <f t="shared" si="221"/>
        <v>0</v>
      </c>
      <c r="I329" s="1889"/>
      <c r="J329" s="1890" t="s">
        <v>732</v>
      </c>
      <c r="K329" s="2647">
        <v>0</v>
      </c>
      <c r="L329" s="2646">
        <f t="shared" si="219"/>
        <v>0</v>
      </c>
      <c r="M329" s="2226">
        <f t="shared" si="222"/>
        <v>1</v>
      </c>
      <c r="N329" s="2649">
        <f>+$T327</f>
        <v>1.5</v>
      </c>
      <c r="O329" s="1896"/>
      <c r="P329" s="1897"/>
      <c r="Q329" s="1897"/>
      <c r="R329" s="1897"/>
      <c r="S329" s="1895" t="s">
        <v>3408</v>
      </c>
      <c r="T329" s="2674">
        <f>H326*64/4+L332+SUMIF(I326:I331,$B$578,L326:L331)*$E$545+SUMIF(I326:I331,$B$579,L326:L331)*$E$548+SUMIF(I326:I331,$B$580,L326:L331)*$E$546+SUMIF(I326:I331,$B$581,L326:L331)*$E$547+SUMIF(I326:I331,$B$582,L326:L331)*$E$547+SUMIF(I326:I331,$B$583,L326:L331)*$E$549+SUMIF(I326:I331,$B$584,L326:L331)*$E$547+SUMIF(I326:I331,$B$585,L326:L331)*$E$549+SUMIF(I326:I331,$B$586,L326:L331)*$E$547+SUMIF(I326:I331,$B$587,L326:L331)*$E$551+SUMIF(I326:I331,$B$588,L326:L331)*$E$549+SUMIF(I326:I331,$B$590,L326:L331)*$E$544+SUMIF(I326:I331,$B$589,L326:L331)*$E$550</f>
        <v>0</v>
      </c>
      <c r="U329" s="2921"/>
    </row>
    <row r="330" spans="1:21" ht="29.1" hidden="1" customHeight="1" x14ac:dyDescent="0.25">
      <c r="A330" s="2923"/>
      <c r="B330" s="1884"/>
      <c r="C330" s="1885"/>
      <c r="D330" s="1885"/>
      <c r="E330" s="1901" t="s">
        <v>1536</v>
      </c>
      <c r="F330" s="1888" t="s">
        <v>740</v>
      </c>
      <c r="G330" s="1900">
        <f>(H327*$E$527+H328*$E$527)*$C$557+R327*$C$557+T328*$C$558/T327</f>
        <v>0</v>
      </c>
      <c r="H330" s="1886">
        <f t="shared" si="221"/>
        <v>0</v>
      </c>
      <c r="I330" s="1889"/>
      <c r="J330" s="1890" t="s">
        <v>732</v>
      </c>
      <c r="K330" s="2647">
        <v>0</v>
      </c>
      <c r="L330" s="2646">
        <f t="shared" si="219"/>
        <v>0</v>
      </c>
      <c r="M330" s="2226">
        <f t="shared" si="222"/>
        <v>1</v>
      </c>
      <c r="N330" s="2649">
        <f>+$T327</f>
        <v>1.5</v>
      </c>
      <c r="O330" s="1896"/>
      <c r="P330" s="1897"/>
      <c r="Q330" s="1897"/>
      <c r="R330" s="1902"/>
      <c r="S330" s="1895" t="s">
        <v>1537</v>
      </c>
      <c r="T330" s="2673">
        <f>+T329*T326</f>
        <v>0</v>
      </c>
      <c r="U330" s="2921"/>
    </row>
    <row r="331" spans="1:21" hidden="1" x14ac:dyDescent="0.25">
      <c r="A331" s="2923"/>
      <c r="B331" s="1884"/>
      <c r="C331" s="1885"/>
      <c r="D331" s="1885"/>
      <c r="E331" s="1887"/>
      <c r="F331" s="1888"/>
      <c r="G331" s="1886"/>
      <c r="H331" s="1886"/>
      <c r="I331" s="1889"/>
      <c r="J331" s="1890" t="s">
        <v>732</v>
      </c>
      <c r="K331" s="2647">
        <v>0</v>
      </c>
      <c r="L331" s="2646">
        <f t="shared" si="219"/>
        <v>0</v>
      </c>
      <c r="M331" s="2226">
        <f t="shared" si="222"/>
        <v>1</v>
      </c>
      <c r="N331" s="2649">
        <f>+$T327</f>
        <v>1.5</v>
      </c>
      <c r="O331" s="1903"/>
      <c r="P331" s="1902"/>
      <c r="Q331" s="1902"/>
      <c r="R331" s="1902"/>
      <c r="S331" s="1904"/>
      <c r="T331" s="1905"/>
      <c r="U331" s="2921"/>
    </row>
    <row r="332" spans="1:21" ht="60.75" hidden="1" thickBot="1" x14ac:dyDescent="0.3">
      <c r="A332" s="2925"/>
      <c r="B332" s="1906"/>
      <c r="C332" s="1907"/>
      <c r="D332" s="1907"/>
      <c r="E332" s="1908"/>
      <c r="F332" s="1909"/>
      <c r="G332" s="1910"/>
      <c r="H332" s="1910"/>
      <c r="I332" s="1911" t="s">
        <v>1538</v>
      </c>
      <c r="J332" s="1912" t="s">
        <v>740</v>
      </c>
      <c r="K332" s="2658">
        <v>0</v>
      </c>
      <c r="L332" s="2659">
        <f t="shared" si="219"/>
        <v>0</v>
      </c>
      <c r="M332" s="2660">
        <f>IF(T332="YES",$C$554,1)</f>
        <v>1</v>
      </c>
      <c r="N332" s="2661">
        <f>+$T327</f>
        <v>1.5</v>
      </c>
      <c r="O332" s="1913"/>
      <c r="P332" s="1914"/>
      <c r="Q332" s="1914"/>
      <c r="R332" s="1914"/>
      <c r="S332" s="1920" t="s">
        <v>1539</v>
      </c>
      <c r="T332" s="1921" t="s">
        <v>1540</v>
      </c>
      <c r="U332" s="2924"/>
    </row>
    <row r="333" spans="1:21" ht="27" hidden="1" customHeight="1" thickBot="1" x14ac:dyDescent="0.3">
      <c r="A333" s="1915"/>
      <c r="B333" s="1916"/>
      <c r="C333" s="1917"/>
      <c r="D333" s="1917"/>
      <c r="E333" s="1916"/>
      <c r="F333" s="1917"/>
      <c r="G333" s="1917"/>
      <c r="H333" s="1917"/>
      <c r="I333" s="1916"/>
      <c r="J333" s="1917"/>
      <c r="K333" s="2669"/>
      <c r="L333" s="2669"/>
      <c r="M333" s="2669"/>
      <c r="N333" s="2669"/>
      <c r="O333" s="1916"/>
      <c r="P333" s="1917"/>
      <c r="Q333" s="1917"/>
      <c r="R333" s="1917"/>
      <c r="S333" s="1918"/>
      <c r="T333" s="1917"/>
      <c r="U333" s="1919"/>
    </row>
    <row r="334" spans="1:21" ht="26.85" hidden="1" customHeight="1" x14ac:dyDescent="0.25">
      <c r="A334" s="1870" t="s">
        <v>1513</v>
      </c>
      <c r="B334" s="1871" t="s">
        <v>1523</v>
      </c>
      <c r="C334" s="1872" t="s">
        <v>740</v>
      </c>
      <c r="D334" s="1873"/>
      <c r="E334" s="1874" t="s">
        <v>1524</v>
      </c>
      <c r="F334" s="1875" t="s">
        <v>728</v>
      </c>
      <c r="G334" s="1873"/>
      <c r="H334" s="1873">
        <f t="shared" ref="H334" si="224">G334*M334*N334</f>
        <v>0</v>
      </c>
      <c r="I334" s="1876"/>
      <c r="J334" s="1877" t="s">
        <v>732</v>
      </c>
      <c r="K334" s="2672">
        <v>0</v>
      </c>
      <c r="L334" s="2645">
        <f t="shared" ref="L334:L340" si="225">IF(ISNUMBER(SEARCH("Timber",I334)),M334*K334*N334,K334)</f>
        <v>0</v>
      </c>
      <c r="M334" s="2225">
        <f>+$M340</f>
        <v>1</v>
      </c>
      <c r="N334" s="2648">
        <f>+$T335</f>
        <v>1.5</v>
      </c>
      <c r="O334" s="1878" t="s">
        <v>1512</v>
      </c>
      <c r="P334" s="1879" t="s">
        <v>740</v>
      </c>
      <c r="Q334" s="1880">
        <f t="shared" ref="Q334" si="226">R335*$E$532+T336*$E$533</f>
        <v>0</v>
      </c>
      <c r="R334" s="1881"/>
      <c r="S334" s="1882" t="s">
        <v>1525</v>
      </c>
      <c r="T334" s="1873">
        <v>30</v>
      </c>
      <c r="U334" s="2920" t="s">
        <v>1526</v>
      </c>
    </row>
    <row r="335" spans="1:21" ht="30" hidden="1" x14ac:dyDescent="0.25">
      <c r="A335" s="1883">
        <f>A327+1</f>
        <v>42</v>
      </c>
      <c r="B335" s="1884" t="s">
        <v>1527</v>
      </c>
      <c r="C335" s="1885" t="s">
        <v>740</v>
      </c>
      <c r="D335" s="1886"/>
      <c r="E335" s="1887" t="s">
        <v>1528</v>
      </c>
      <c r="F335" s="1888" t="s">
        <v>728</v>
      </c>
      <c r="G335" s="1886"/>
      <c r="H335" s="1886">
        <f t="shared" ref="H335:H338" si="227">G335</f>
        <v>0</v>
      </c>
      <c r="I335" s="1889"/>
      <c r="J335" s="1890" t="s">
        <v>732</v>
      </c>
      <c r="K335" s="2647">
        <v>0</v>
      </c>
      <c r="L335" s="2646">
        <f t="shared" si="225"/>
        <v>0</v>
      </c>
      <c r="M335" s="2226">
        <f t="shared" ref="M335:M339" si="228">M336</f>
        <v>1</v>
      </c>
      <c r="N335" s="2649">
        <f>+$T335</f>
        <v>1.5</v>
      </c>
      <c r="O335" s="1891" t="s">
        <v>1512</v>
      </c>
      <c r="P335" s="1892" t="s">
        <v>740</v>
      </c>
      <c r="Q335" s="1893"/>
      <c r="R335" s="1894">
        <f>H335*$E$527*0+H336*$E$527*0+SUMIF(I334:I339,$B$565,L334:L339)*$E$537+SUMIF(I334:I339,$B$566,L334:L339)*$E$540+SUMIF(I334:I339,$B$567,L334:L339)*$E$538+SUMIF(I334:I339,$B$568,L334:L339)*$E$539+SUMIF(I334:I339,$B$569,L334:L339)*$E$539+SUMIF(I334:I339,$B$570,L334:L339)*$E$541+SUMIF(I334:I339,$B$571,L334:L339)*$E$539+SUMIF(I334:I339,$B$572,L334:L339)*$E$541+SUMIF(I334:I339,$B$573,L334:L339)*$E$539+SUMIF(I334:I339,$B$574,L334:L339)*$E$543+SUMIF(I334:I339,$B$575,L334:L339)*$E$541+SUMIF(I334:I339,$B$577,L334:L339)*$E$536+SUMIF(I334:I339,$B$576,L334:L339)*$E$542+SUMIF(I334:I339,$B$563,L334:L339)*$E$539</f>
        <v>0</v>
      </c>
      <c r="S335" s="1895" t="s">
        <v>1529</v>
      </c>
      <c r="T335" s="2644">
        <f>+'Data Input sheet'!$D$112</f>
        <v>1.5</v>
      </c>
      <c r="U335" s="2921"/>
    </row>
    <row r="336" spans="1:21" ht="30" hidden="1" x14ac:dyDescent="0.25">
      <c r="A336" s="2922" t="s">
        <v>1530</v>
      </c>
      <c r="B336" s="1884" t="s">
        <v>1531</v>
      </c>
      <c r="C336" s="1885" t="s">
        <v>732</v>
      </c>
      <c r="D336" s="1886"/>
      <c r="E336" s="1887" t="s">
        <v>1532</v>
      </c>
      <c r="F336" s="1888" t="s">
        <v>728</v>
      </c>
      <c r="G336" s="1886"/>
      <c r="H336" s="1886">
        <f t="shared" si="227"/>
        <v>0</v>
      </c>
      <c r="I336" s="1889"/>
      <c r="J336" s="1890" t="s">
        <v>732</v>
      </c>
      <c r="K336" s="2647">
        <v>0</v>
      </c>
      <c r="L336" s="2646">
        <f t="shared" si="225"/>
        <v>0</v>
      </c>
      <c r="M336" s="2226">
        <f t="shared" si="228"/>
        <v>1</v>
      </c>
      <c r="N336" s="2649">
        <f>+$T335</f>
        <v>1.5</v>
      </c>
      <c r="O336" s="1896"/>
      <c r="P336" s="1897"/>
      <c r="Q336" s="1898"/>
      <c r="R336" s="1899">
        <f t="shared" ref="R336" si="229">T336</f>
        <v>0</v>
      </c>
      <c r="S336" s="1895" t="s">
        <v>1533</v>
      </c>
      <c r="T336" s="2673">
        <f>G334*64/4+K340+SUMIF(I334:I339,$B$578,K334:K339)*$E$545+SUMIF(I334:I339,$B$579,K334:K339)*$E$548+SUMIF(I334:I339,$B$580,K334:K339)*$E$546+SUMIF(I334:I339,$B$581,K334:K339)*$E$547+SUMIF(I334:I339,$B$582,K334:K339)*$E$547+SUMIF(I334:I339,$B$583,K334:K339)*$E$549+SUMIF(I334:I339,$B$584,K334:K339)*$E$547+SUMIF(I334:I339,$B$585,K334:K339)*$E$549+SUMIF(I334:I339,$B$586,K334:K339)*$E$547+SUMIF(I334:I339,$B$587,K334:K339)*$E$551+SUMIF(I334:I339,$B$588,K334:K339)*$E$549+SUMIF(I334:I339,$B$590,K334:K339)*$E$544+SUMIF(I334:I339,$B$589,K334:K339)*$E$550</f>
        <v>0</v>
      </c>
      <c r="U336" s="2921"/>
    </row>
    <row r="337" spans="1:21" hidden="1" x14ac:dyDescent="0.25">
      <c r="A337" s="2923"/>
      <c r="B337" s="1884" t="s">
        <v>1534</v>
      </c>
      <c r="C337" s="1885" t="s">
        <v>728</v>
      </c>
      <c r="D337" s="1886"/>
      <c r="E337" s="1887" t="s">
        <v>1535</v>
      </c>
      <c r="F337" s="1888" t="s">
        <v>728</v>
      </c>
      <c r="G337" s="1900">
        <f>(H335+H336)*$C$555+G334*$C$556+(R335-(H335+H336)*$E$527)*$C$555/50+(T336-G334*16)*$C$556/50</f>
        <v>0</v>
      </c>
      <c r="H337" s="1886">
        <f t="shared" si="227"/>
        <v>0</v>
      </c>
      <c r="I337" s="1889"/>
      <c r="J337" s="1890" t="s">
        <v>732</v>
      </c>
      <c r="K337" s="2647">
        <v>0</v>
      </c>
      <c r="L337" s="2646">
        <f t="shared" si="225"/>
        <v>0</v>
      </c>
      <c r="M337" s="2226">
        <f t="shared" si="228"/>
        <v>1</v>
      </c>
      <c r="N337" s="2649">
        <f>+$T335</f>
        <v>1.5</v>
      </c>
      <c r="O337" s="1896"/>
      <c r="P337" s="1897"/>
      <c r="Q337" s="1897"/>
      <c r="R337" s="1897"/>
      <c r="S337" s="1895" t="s">
        <v>3408</v>
      </c>
      <c r="T337" s="2674">
        <f>H334*64/4+L340+SUMIF(I334:I339,$B$578,L334:L339)*$E$545+SUMIF(I334:I339,$B$579,L334:L339)*$E$548+SUMIF(I334:I339,$B$580,L334:L339)*$E$546+SUMIF(I334:I339,$B$581,L334:L339)*$E$547+SUMIF(I334:I339,$B$582,L334:L339)*$E$547+SUMIF(I334:I339,$B$583,L334:L339)*$E$549+SUMIF(I334:I339,$B$584,L334:L339)*$E$547+SUMIF(I334:I339,$B$585,L334:L339)*$E$549+SUMIF(I334:I339,$B$586,L334:L339)*$E$547+SUMIF(I334:I339,$B$587,L334:L339)*$E$551+SUMIF(I334:I339,$B$588,L334:L339)*$E$549+SUMIF(I334:I339,$B$590,L334:L339)*$E$544+SUMIF(I334:I339,$B$589,L334:L339)*$E$550</f>
        <v>0</v>
      </c>
      <c r="U337" s="2921"/>
    </row>
    <row r="338" spans="1:21" ht="29.1" hidden="1" customHeight="1" x14ac:dyDescent="0.25">
      <c r="A338" s="2923"/>
      <c r="B338" s="1884"/>
      <c r="C338" s="1885"/>
      <c r="D338" s="1885"/>
      <c r="E338" s="1901" t="s">
        <v>1536</v>
      </c>
      <c r="F338" s="1888" t="s">
        <v>740</v>
      </c>
      <c r="G338" s="1900">
        <f>(H335*$E$527+H336*$E$527)*$C$557+R335*$C$557+T336*$C$558/T335</f>
        <v>0</v>
      </c>
      <c r="H338" s="1886">
        <f t="shared" si="227"/>
        <v>0</v>
      </c>
      <c r="I338" s="1889"/>
      <c r="J338" s="1890" t="s">
        <v>732</v>
      </c>
      <c r="K338" s="2647">
        <v>0</v>
      </c>
      <c r="L338" s="2646">
        <f t="shared" si="225"/>
        <v>0</v>
      </c>
      <c r="M338" s="2226">
        <f t="shared" si="228"/>
        <v>1</v>
      </c>
      <c r="N338" s="2649">
        <f>+$T335</f>
        <v>1.5</v>
      </c>
      <c r="O338" s="1896"/>
      <c r="P338" s="1897"/>
      <c r="Q338" s="1897"/>
      <c r="R338" s="1902"/>
      <c r="S338" s="1895" t="s">
        <v>1537</v>
      </c>
      <c r="T338" s="2673">
        <f>+T337*T334</f>
        <v>0</v>
      </c>
      <c r="U338" s="2921"/>
    </row>
    <row r="339" spans="1:21" hidden="1" x14ac:dyDescent="0.25">
      <c r="A339" s="2923"/>
      <c r="B339" s="1884"/>
      <c r="C339" s="1885"/>
      <c r="D339" s="1885"/>
      <c r="E339" s="1887"/>
      <c r="F339" s="1888"/>
      <c r="G339" s="1886"/>
      <c r="H339" s="1886"/>
      <c r="I339" s="1889"/>
      <c r="J339" s="1890" t="s">
        <v>732</v>
      </c>
      <c r="K339" s="2647">
        <v>0</v>
      </c>
      <c r="L339" s="2646">
        <f t="shared" si="225"/>
        <v>0</v>
      </c>
      <c r="M339" s="2226">
        <f t="shared" si="228"/>
        <v>1</v>
      </c>
      <c r="N339" s="2649">
        <f>+$T335</f>
        <v>1.5</v>
      </c>
      <c r="O339" s="1903"/>
      <c r="P339" s="1902"/>
      <c r="Q339" s="1902"/>
      <c r="R339" s="1902"/>
      <c r="S339" s="1904"/>
      <c r="T339" s="1905"/>
      <c r="U339" s="2921"/>
    </row>
    <row r="340" spans="1:21" ht="60.75" hidden="1" thickBot="1" x14ac:dyDescent="0.3">
      <c r="A340" s="2925"/>
      <c r="B340" s="1906"/>
      <c r="C340" s="1907"/>
      <c r="D340" s="1907"/>
      <c r="E340" s="1908"/>
      <c r="F340" s="1909"/>
      <c r="G340" s="1910"/>
      <c r="H340" s="1910"/>
      <c r="I340" s="1911" t="s">
        <v>1538</v>
      </c>
      <c r="J340" s="1912" t="s">
        <v>740</v>
      </c>
      <c r="K340" s="2658">
        <v>0</v>
      </c>
      <c r="L340" s="2659">
        <f t="shared" si="225"/>
        <v>0</v>
      </c>
      <c r="M340" s="2660">
        <f>IF(T340="YES",$C$554,1)</f>
        <v>1</v>
      </c>
      <c r="N340" s="2661">
        <f>+$T335</f>
        <v>1.5</v>
      </c>
      <c r="O340" s="1913"/>
      <c r="P340" s="1914"/>
      <c r="Q340" s="1914"/>
      <c r="R340" s="1914"/>
      <c r="S340" s="1920" t="s">
        <v>1539</v>
      </c>
      <c r="T340" s="1921" t="s">
        <v>1540</v>
      </c>
      <c r="U340" s="2924"/>
    </row>
    <row r="341" spans="1:21" ht="27" hidden="1" customHeight="1" thickBot="1" x14ac:dyDescent="0.3">
      <c r="A341" s="1915"/>
      <c r="B341" s="1916"/>
      <c r="C341" s="1917"/>
      <c r="D341" s="1917"/>
      <c r="E341" s="1916"/>
      <c r="F341" s="1917"/>
      <c r="G341" s="1917"/>
      <c r="H341" s="1917"/>
      <c r="I341" s="1916"/>
      <c r="J341" s="1917"/>
      <c r="K341" s="2669"/>
      <c r="L341" s="2669"/>
      <c r="M341" s="2669"/>
      <c r="N341" s="2669"/>
      <c r="O341" s="1916"/>
      <c r="P341" s="1917"/>
      <c r="Q341" s="1917"/>
      <c r="R341" s="1917"/>
      <c r="S341" s="1918"/>
      <c r="T341" s="1917"/>
      <c r="U341" s="1919"/>
    </row>
    <row r="342" spans="1:21" ht="26.85" hidden="1" customHeight="1" x14ac:dyDescent="0.25">
      <c r="A342" s="1870" t="s">
        <v>1513</v>
      </c>
      <c r="B342" s="1871" t="s">
        <v>1523</v>
      </c>
      <c r="C342" s="1872" t="s">
        <v>740</v>
      </c>
      <c r="D342" s="1873"/>
      <c r="E342" s="1874" t="s">
        <v>1524</v>
      </c>
      <c r="F342" s="1875" t="s">
        <v>728</v>
      </c>
      <c r="G342" s="1873"/>
      <c r="H342" s="1873">
        <f t="shared" ref="H342" si="230">G342*M342*N342</f>
        <v>0</v>
      </c>
      <c r="I342" s="1876"/>
      <c r="J342" s="1877" t="s">
        <v>732</v>
      </c>
      <c r="K342" s="2672">
        <v>0</v>
      </c>
      <c r="L342" s="2645">
        <f t="shared" ref="L342:L348" si="231">IF(ISNUMBER(SEARCH("Timber",I342)),M342*K342*N342,K342)</f>
        <v>0</v>
      </c>
      <c r="M342" s="2225">
        <f>+$M348</f>
        <v>1</v>
      </c>
      <c r="N342" s="2648">
        <f>+$T343</f>
        <v>1.5</v>
      </c>
      <c r="O342" s="1878" t="s">
        <v>1512</v>
      </c>
      <c r="P342" s="1879" t="s">
        <v>740</v>
      </c>
      <c r="Q342" s="1880">
        <f t="shared" ref="Q342" si="232">R343*$E$532+T344*$E$533</f>
        <v>0</v>
      </c>
      <c r="R342" s="1881"/>
      <c r="S342" s="1882" t="s">
        <v>1525</v>
      </c>
      <c r="T342" s="1873">
        <v>30</v>
      </c>
      <c r="U342" s="2920" t="s">
        <v>1526</v>
      </c>
    </row>
    <row r="343" spans="1:21" ht="30" hidden="1" x14ac:dyDescent="0.25">
      <c r="A343" s="1883">
        <f>A335+1</f>
        <v>43</v>
      </c>
      <c r="B343" s="1884" t="s">
        <v>1527</v>
      </c>
      <c r="C343" s="1885" t="s">
        <v>740</v>
      </c>
      <c r="D343" s="1886"/>
      <c r="E343" s="1887" t="s">
        <v>1528</v>
      </c>
      <c r="F343" s="1888" t="s">
        <v>728</v>
      </c>
      <c r="G343" s="1886"/>
      <c r="H343" s="1886">
        <f t="shared" ref="H343:H346" si="233">G343</f>
        <v>0</v>
      </c>
      <c r="I343" s="1889"/>
      <c r="J343" s="1890" t="s">
        <v>732</v>
      </c>
      <c r="K343" s="2647">
        <v>0</v>
      </c>
      <c r="L343" s="2646">
        <f t="shared" si="231"/>
        <v>0</v>
      </c>
      <c r="M343" s="2226">
        <f t="shared" ref="M343:M347" si="234">M344</f>
        <v>1</v>
      </c>
      <c r="N343" s="2649">
        <f>+$T343</f>
        <v>1.5</v>
      </c>
      <c r="O343" s="1891" t="s">
        <v>1512</v>
      </c>
      <c r="P343" s="1892" t="s">
        <v>740</v>
      </c>
      <c r="Q343" s="1893"/>
      <c r="R343" s="1894">
        <f>H343*$E$527*0+H344*$E$527*0+SUMIF(I342:I347,$B$565,L342:L347)*$E$537+SUMIF(I342:I347,$B$566,L342:L347)*$E$540+SUMIF(I342:I347,$B$567,L342:L347)*$E$538+SUMIF(I342:I347,$B$568,L342:L347)*$E$539+SUMIF(I342:I347,$B$569,L342:L347)*$E$539+SUMIF(I342:I347,$B$570,L342:L347)*$E$541+SUMIF(I342:I347,$B$571,L342:L347)*$E$539+SUMIF(I342:I347,$B$572,L342:L347)*$E$541+SUMIF(I342:I347,$B$573,L342:L347)*$E$539+SUMIF(I342:I347,$B$574,L342:L347)*$E$543+SUMIF(I342:I347,$B$575,L342:L347)*$E$541+SUMIF(I342:I347,$B$577,L342:L347)*$E$536+SUMIF(I342:I347,$B$576,L342:L347)*$E$542+SUMIF(I342:I347,$B$563,L342:L347)*$E$539</f>
        <v>0</v>
      </c>
      <c r="S343" s="1895" t="s">
        <v>1529</v>
      </c>
      <c r="T343" s="2644">
        <f>+'Data Input sheet'!$D$112</f>
        <v>1.5</v>
      </c>
      <c r="U343" s="2921"/>
    </row>
    <row r="344" spans="1:21" ht="30" hidden="1" x14ac:dyDescent="0.25">
      <c r="A344" s="2922" t="s">
        <v>1530</v>
      </c>
      <c r="B344" s="1884" t="s">
        <v>1531</v>
      </c>
      <c r="C344" s="1885" t="s">
        <v>732</v>
      </c>
      <c r="D344" s="1886"/>
      <c r="E344" s="1887" t="s">
        <v>1532</v>
      </c>
      <c r="F344" s="1888" t="s">
        <v>728</v>
      </c>
      <c r="G344" s="1886"/>
      <c r="H344" s="1886">
        <f t="shared" si="233"/>
        <v>0</v>
      </c>
      <c r="I344" s="1889"/>
      <c r="J344" s="1890" t="s">
        <v>732</v>
      </c>
      <c r="K344" s="2647">
        <v>0</v>
      </c>
      <c r="L344" s="2646">
        <f t="shared" si="231"/>
        <v>0</v>
      </c>
      <c r="M344" s="2226">
        <f t="shared" si="234"/>
        <v>1</v>
      </c>
      <c r="N344" s="2649">
        <f>+$T343</f>
        <v>1.5</v>
      </c>
      <c r="O344" s="1896"/>
      <c r="P344" s="1897"/>
      <c r="Q344" s="1898"/>
      <c r="R344" s="1899">
        <f t="shared" ref="R344" si="235">T344</f>
        <v>0</v>
      </c>
      <c r="S344" s="1895" t="s">
        <v>1533</v>
      </c>
      <c r="T344" s="2673">
        <f>G342*64/4+K348+SUMIF(I342:I347,$B$578,K342:K347)*$E$545+SUMIF(I342:I347,$B$579,K342:K347)*$E$548+SUMIF(I342:I347,$B$580,K342:K347)*$E$546+SUMIF(I342:I347,$B$581,K342:K347)*$E$547+SUMIF(I342:I347,$B$582,K342:K347)*$E$547+SUMIF(I342:I347,$B$583,K342:K347)*$E$549+SUMIF(I342:I347,$B$584,K342:K347)*$E$547+SUMIF(I342:I347,$B$585,K342:K347)*$E$549+SUMIF(I342:I347,$B$586,K342:K347)*$E$547+SUMIF(I342:I347,$B$587,K342:K347)*$E$551+SUMIF(I342:I347,$B$588,K342:K347)*$E$549+SUMIF(I342:I347,$B$590,K342:K347)*$E$544+SUMIF(I342:I347,$B$589,K342:K347)*$E$550</f>
        <v>0</v>
      </c>
      <c r="U344" s="2921"/>
    </row>
    <row r="345" spans="1:21" hidden="1" x14ac:dyDescent="0.25">
      <c r="A345" s="2923"/>
      <c r="B345" s="1884" t="s">
        <v>1534</v>
      </c>
      <c r="C345" s="1885" t="s">
        <v>728</v>
      </c>
      <c r="D345" s="1886"/>
      <c r="E345" s="1887" t="s">
        <v>1535</v>
      </c>
      <c r="F345" s="1888" t="s">
        <v>728</v>
      </c>
      <c r="G345" s="1900">
        <f>(H343+H344)*$C$555+G342*$C$556+(R343-(H343+H344)*$E$527)*$C$555/50+(T344-G342*16)*$C$556/50</f>
        <v>0</v>
      </c>
      <c r="H345" s="1886">
        <f t="shared" si="233"/>
        <v>0</v>
      </c>
      <c r="I345" s="1889"/>
      <c r="J345" s="1890" t="s">
        <v>732</v>
      </c>
      <c r="K345" s="2647">
        <v>0</v>
      </c>
      <c r="L345" s="2646">
        <f t="shared" si="231"/>
        <v>0</v>
      </c>
      <c r="M345" s="2226">
        <f t="shared" si="234"/>
        <v>1</v>
      </c>
      <c r="N345" s="2649">
        <f>+$T343</f>
        <v>1.5</v>
      </c>
      <c r="O345" s="1896"/>
      <c r="P345" s="1897"/>
      <c r="Q345" s="1897"/>
      <c r="R345" s="1897"/>
      <c r="S345" s="1895" t="s">
        <v>3408</v>
      </c>
      <c r="T345" s="2674">
        <f>H342*64/4+L348+SUMIF(I342:I347,$B$578,L342:L347)*$E$545+SUMIF(I342:I347,$B$579,L342:L347)*$E$548+SUMIF(I342:I347,$B$580,L342:L347)*$E$546+SUMIF(I342:I347,$B$581,L342:L347)*$E$547+SUMIF(I342:I347,$B$582,L342:L347)*$E$547+SUMIF(I342:I347,$B$583,L342:L347)*$E$549+SUMIF(I342:I347,$B$584,L342:L347)*$E$547+SUMIF(I342:I347,$B$585,L342:L347)*$E$549+SUMIF(I342:I347,$B$586,L342:L347)*$E$547+SUMIF(I342:I347,$B$587,L342:L347)*$E$551+SUMIF(I342:I347,$B$588,L342:L347)*$E$549+SUMIF(I342:I347,$B$590,L342:L347)*$E$544+SUMIF(I342:I347,$B$589,L342:L347)*$E$550</f>
        <v>0</v>
      </c>
      <c r="U345" s="2921"/>
    </row>
    <row r="346" spans="1:21" ht="29.1" hidden="1" customHeight="1" x14ac:dyDescent="0.25">
      <c r="A346" s="2923"/>
      <c r="B346" s="1884"/>
      <c r="C346" s="1885"/>
      <c r="D346" s="1885"/>
      <c r="E346" s="1901" t="s">
        <v>1536</v>
      </c>
      <c r="F346" s="1888" t="s">
        <v>740</v>
      </c>
      <c r="G346" s="1900">
        <f>(H343*$E$527+H344*$E$527)*$C$557+R343*$C$557+T344*$C$558/T343</f>
        <v>0</v>
      </c>
      <c r="H346" s="1886">
        <f t="shared" si="233"/>
        <v>0</v>
      </c>
      <c r="I346" s="1889"/>
      <c r="J346" s="1890" t="s">
        <v>732</v>
      </c>
      <c r="K346" s="2647">
        <v>0</v>
      </c>
      <c r="L346" s="2646">
        <f t="shared" si="231"/>
        <v>0</v>
      </c>
      <c r="M346" s="2226">
        <f t="shared" si="234"/>
        <v>1</v>
      </c>
      <c r="N346" s="2649">
        <f>+$T343</f>
        <v>1.5</v>
      </c>
      <c r="O346" s="1896"/>
      <c r="P346" s="1897"/>
      <c r="Q346" s="1897"/>
      <c r="R346" s="1902"/>
      <c r="S346" s="1895" t="s">
        <v>1537</v>
      </c>
      <c r="T346" s="2673">
        <f>+T345*T342</f>
        <v>0</v>
      </c>
      <c r="U346" s="2921"/>
    </row>
    <row r="347" spans="1:21" hidden="1" x14ac:dyDescent="0.25">
      <c r="A347" s="2923"/>
      <c r="B347" s="1884"/>
      <c r="C347" s="1885"/>
      <c r="D347" s="1885"/>
      <c r="E347" s="1887"/>
      <c r="F347" s="1888"/>
      <c r="G347" s="1886"/>
      <c r="H347" s="1886"/>
      <c r="I347" s="1889"/>
      <c r="J347" s="1890" t="s">
        <v>732</v>
      </c>
      <c r="K347" s="2647">
        <v>0</v>
      </c>
      <c r="L347" s="2646">
        <f t="shared" si="231"/>
        <v>0</v>
      </c>
      <c r="M347" s="2226">
        <f t="shared" si="234"/>
        <v>1</v>
      </c>
      <c r="N347" s="2649">
        <f>+$T343</f>
        <v>1.5</v>
      </c>
      <c r="O347" s="1903"/>
      <c r="P347" s="1902"/>
      <c r="Q347" s="1902"/>
      <c r="R347" s="1902"/>
      <c r="S347" s="1904"/>
      <c r="T347" s="1905"/>
      <c r="U347" s="2921"/>
    </row>
    <row r="348" spans="1:21" ht="60.75" hidden="1" thickBot="1" x14ac:dyDescent="0.3">
      <c r="A348" s="2925"/>
      <c r="B348" s="1906"/>
      <c r="C348" s="1907"/>
      <c r="D348" s="1907"/>
      <c r="E348" s="1908"/>
      <c r="F348" s="1909"/>
      <c r="G348" s="1910"/>
      <c r="H348" s="1910"/>
      <c r="I348" s="1911" t="s">
        <v>1538</v>
      </c>
      <c r="J348" s="1912" t="s">
        <v>740</v>
      </c>
      <c r="K348" s="2658">
        <v>0</v>
      </c>
      <c r="L348" s="2659">
        <f t="shared" si="231"/>
        <v>0</v>
      </c>
      <c r="M348" s="2660">
        <f>IF(T348="YES",$C$554,1)</f>
        <v>1</v>
      </c>
      <c r="N348" s="2661">
        <f>+$T343</f>
        <v>1.5</v>
      </c>
      <c r="O348" s="1913"/>
      <c r="P348" s="1914"/>
      <c r="Q348" s="1914"/>
      <c r="R348" s="1914"/>
      <c r="S348" s="1920" t="s">
        <v>1539</v>
      </c>
      <c r="T348" s="1921" t="s">
        <v>1540</v>
      </c>
      <c r="U348" s="2924"/>
    </row>
    <row r="349" spans="1:21" ht="27" hidden="1" customHeight="1" thickBot="1" x14ac:dyDescent="0.3">
      <c r="A349" s="1915"/>
      <c r="B349" s="1916"/>
      <c r="C349" s="1917"/>
      <c r="D349" s="1917"/>
      <c r="E349" s="1916"/>
      <c r="F349" s="1917"/>
      <c r="G349" s="1917"/>
      <c r="H349" s="1917"/>
      <c r="I349" s="1916"/>
      <c r="J349" s="1917"/>
      <c r="K349" s="2669"/>
      <c r="L349" s="2669"/>
      <c r="M349" s="2669"/>
      <c r="N349" s="2669"/>
      <c r="O349" s="1916"/>
      <c r="P349" s="1917"/>
      <c r="Q349" s="1917"/>
      <c r="R349" s="1917"/>
      <c r="S349" s="1918"/>
      <c r="T349" s="1917"/>
      <c r="U349" s="1919"/>
    </row>
    <row r="350" spans="1:21" ht="26.85" hidden="1" customHeight="1" x14ac:dyDescent="0.25">
      <c r="A350" s="1870" t="s">
        <v>1513</v>
      </c>
      <c r="B350" s="1871" t="s">
        <v>1523</v>
      </c>
      <c r="C350" s="1872" t="s">
        <v>740</v>
      </c>
      <c r="D350" s="1873"/>
      <c r="E350" s="1874" t="s">
        <v>1524</v>
      </c>
      <c r="F350" s="1875" t="s">
        <v>728</v>
      </c>
      <c r="G350" s="1873"/>
      <c r="H350" s="1873">
        <f t="shared" ref="H350" si="236">G350*M350*N350</f>
        <v>0</v>
      </c>
      <c r="I350" s="1876"/>
      <c r="J350" s="1877" t="s">
        <v>732</v>
      </c>
      <c r="K350" s="2672">
        <v>0</v>
      </c>
      <c r="L350" s="2645">
        <f t="shared" ref="L350:L356" si="237">IF(ISNUMBER(SEARCH("Timber",I350)),M350*K350*N350,K350)</f>
        <v>0</v>
      </c>
      <c r="M350" s="2225">
        <f>+$M356</f>
        <v>1</v>
      </c>
      <c r="N350" s="2648">
        <f>+$T351</f>
        <v>1.5</v>
      </c>
      <c r="O350" s="1878" t="s">
        <v>1512</v>
      </c>
      <c r="P350" s="1879" t="s">
        <v>740</v>
      </c>
      <c r="Q350" s="1880">
        <f t="shared" ref="Q350" si="238">R351*$E$532+T352*$E$533</f>
        <v>0</v>
      </c>
      <c r="R350" s="1881"/>
      <c r="S350" s="1882" t="s">
        <v>1525</v>
      </c>
      <c r="T350" s="1873">
        <v>30</v>
      </c>
      <c r="U350" s="2920" t="s">
        <v>1526</v>
      </c>
    </row>
    <row r="351" spans="1:21" ht="30" hidden="1" x14ac:dyDescent="0.25">
      <c r="A351" s="1883">
        <f>A343+1</f>
        <v>44</v>
      </c>
      <c r="B351" s="1884" t="s">
        <v>1527</v>
      </c>
      <c r="C351" s="1885" t="s">
        <v>740</v>
      </c>
      <c r="D351" s="1886"/>
      <c r="E351" s="1887" t="s">
        <v>1528</v>
      </c>
      <c r="F351" s="1888" t="s">
        <v>728</v>
      </c>
      <c r="G351" s="1886"/>
      <c r="H351" s="1886">
        <f t="shared" ref="H351:H354" si="239">G351</f>
        <v>0</v>
      </c>
      <c r="I351" s="1889"/>
      <c r="J351" s="1890" t="s">
        <v>732</v>
      </c>
      <c r="K351" s="2647">
        <v>0</v>
      </c>
      <c r="L351" s="2646">
        <f t="shared" si="237"/>
        <v>0</v>
      </c>
      <c r="M351" s="2226">
        <f t="shared" ref="M351:M355" si="240">M352</f>
        <v>1</v>
      </c>
      <c r="N351" s="2649">
        <f>+$T351</f>
        <v>1.5</v>
      </c>
      <c r="O351" s="1891" t="s">
        <v>1512</v>
      </c>
      <c r="P351" s="1892" t="s">
        <v>740</v>
      </c>
      <c r="Q351" s="1893"/>
      <c r="R351" s="1894">
        <f>H351*$E$527*0+H352*$E$527*0+SUMIF(I350:I355,$B$565,L350:L355)*$E$537+SUMIF(I350:I355,$B$566,L350:L355)*$E$540+SUMIF(I350:I355,$B$567,L350:L355)*$E$538+SUMIF(I350:I355,$B$568,L350:L355)*$E$539+SUMIF(I350:I355,$B$569,L350:L355)*$E$539+SUMIF(I350:I355,$B$570,L350:L355)*$E$541+SUMIF(I350:I355,$B$571,L350:L355)*$E$539+SUMIF(I350:I355,$B$572,L350:L355)*$E$541+SUMIF(I350:I355,$B$573,L350:L355)*$E$539+SUMIF(I350:I355,$B$574,L350:L355)*$E$543+SUMIF(I350:I355,$B$575,L350:L355)*$E$541+SUMIF(I350:I355,$B$577,L350:L355)*$E$536+SUMIF(I350:I355,$B$576,L350:L355)*$E$542+SUMIF(I350:I355,$B$563,L350:L355)*$E$539</f>
        <v>0</v>
      </c>
      <c r="S351" s="1895" t="s">
        <v>1529</v>
      </c>
      <c r="T351" s="2644">
        <f>+'Data Input sheet'!$D$112</f>
        <v>1.5</v>
      </c>
      <c r="U351" s="2921"/>
    </row>
    <row r="352" spans="1:21" ht="30" hidden="1" x14ac:dyDescent="0.25">
      <c r="A352" s="2922" t="s">
        <v>1530</v>
      </c>
      <c r="B352" s="1884" t="s">
        <v>1531</v>
      </c>
      <c r="C352" s="1885" t="s">
        <v>732</v>
      </c>
      <c r="D352" s="1886"/>
      <c r="E352" s="1887" t="s">
        <v>1532</v>
      </c>
      <c r="F352" s="1888" t="s">
        <v>728</v>
      </c>
      <c r="G352" s="1886"/>
      <c r="H352" s="1886">
        <f t="shared" si="239"/>
        <v>0</v>
      </c>
      <c r="I352" s="1889"/>
      <c r="J352" s="1890" t="s">
        <v>732</v>
      </c>
      <c r="K352" s="2647">
        <v>0</v>
      </c>
      <c r="L352" s="2646">
        <f t="shared" si="237"/>
        <v>0</v>
      </c>
      <c r="M352" s="2226">
        <f t="shared" si="240"/>
        <v>1</v>
      </c>
      <c r="N352" s="2649">
        <f>+$T351</f>
        <v>1.5</v>
      </c>
      <c r="O352" s="1896"/>
      <c r="P352" s="1897"/>
      <c r="Q352" s="1898"/>
      <c r="R352" s="1899">
        <f t="shared" ref="R352" si="241">T352</f>
        <v>0</v>
      </c>
      <c r="S352" s="1895" t="s">
        <v>1533</v>
      </c>
      <c r="T352" s="2673">
        <f>G350*64/4+K356+SUMIF(I350:I355,$B$578,K350:K355)*$E$545+SUMIF(I350:I355,$B$579,K350:K355)*$E$548+SUMIF(I350:I355,$B$580,K350:K355)*$E$546+SUMIF(I350:I355,$B$581,K350:K355)*$E$547+SUMIF(I350:I355,$B$582,K350:K355)*$E$547+SUMIF(I350:I355,$B$583,K350:K355)*$E$549+SUMIF(I350:I355,$B$584,K350:K355)*$E$547+SUMIF(I350:I355,$B$585,K350:K355)*$E$549+SUMIF(I350:I355,$B$586,K350:K355)*$E$547+SUMIF(I350:I355,$B$587,K350:K355)*$E$551+SUMIF(I350:I355,$B$588,K350:K355)*$E$549+SUMIF(I350:I355,$B$590,K350:K355)*$E$544+SUMIF(I350:I355,$B$589,K350:K355)*$E$550</f>
        <v>0</v>
      </c>
      <c r="U352" s="2921"/>
    </row>
    <row r="353" spans="1:21" hidden="1" x14ac:dyDescent="0.25">
      <c r="A353" s="2923"/>
      <c r="B353" s="1884" t="s">
        <v>1534</v>
      </c>
      <c r="C353" s="1885" t="s">
        <v>728</v>
      </c>
      <c r="D353" s="1886"/>
      <c r="E353" s="1887" t="s">
        <v>1535</v>
      </c>
      <c r="F353" s="1888" t="s">
        <v>728</v>
      </c>
      <c r="G353" s="1900">
        <f>(H351+H352)*$C$555+G350*$C$556+(R351-(H351+H352)*$E$527)*$C$555/50+(T352-G350*16)*$C$556/50</f>
        <v>0</v>
      </c>
      <c r="H353" s="1886">
        <f t="shared" si="239"/>
        <v>0</v>
      </c>
      <c r="I353" s="1889"/>
      <c r="J353" s="1890" t="s">
        <v>732</v>
      </c>
      <c r="K353" s="2647">
        <v>0</v>
      </c>
      <c r="L353" s="2646">
        <f t="shared" si="237"/>
        <v>0</v>
      </c>
      <c r="M353" s="2226">
        <f t="shared" si="240"/>
        <v>1</v>
      </c>
      <c r="N353" s="2649">
        <f>+$T351</f>
        <v>1.5</v>
      </c>
      <c r="O353" s="1896"/>
      <c r="P353" s="1897"/>
      <c r="Q353" s="1897"/>
      <c r="R353" s="1897"/>
      <c r="S353" s="1895" t="s">
        <v>3408</v>
      </c>
      <c r="T353" s="2674">
        <f>H350*64/4+L356+SUMIF(I350:I355,$B$578,L350:L355)*$E$545+SUMIF(I350:I355,$B$579,L350:L355)*$E$548+SUMIF(I350:I355,$B$580,L350:L355)*$E$546+SUMIF(I350:I355,$B$581,L350:L355)*$E$547+SUMIF(I350:I355,$B$582,L350:L355)*$E$547+SUMIF(I350:I355,$B$583,L350:L355)*$E$549+SUMIF(I350:I355,$B$584,L350:L355)*$E$547+SUMIF(I350:I355,$B$585,L350:L355)*$E$549+SUMIF(I350:I355,$B$586,L350:L355)*$E$547+SUMIF(I350:I355,$B$587,L350:L355)*$E$551+SUMIF(I350:I355,$B$588,L350:L355)*$E$549+SUMIF(I350:I355,$B$590,L350:L355)*$E$544+SUMIF(I350:I355,$B$589,L350:L355)*$E$550</f>
        <v>0</v>
      </c>
      <c r="U353" s="2921"/>
    </row>
    <row r="354" spans="1:21" ht="29.1" hidden="1" customHeight="1" x14ac:dyDescent="0.25">
      <c r="A354" s="2923"/>
      <c r="B354" s="1884"/>
      <c r="C354" s="1885"/>
      <c r="D354" s="1885"/>
      <c r="E354" s="1901" t="s">
        <v>1536</v>
      </c>
      <c r="F354" s="1888" t="s">
        <v>740</v>
      </c>
      <c r="G354" s="1900">
        <f>(H351*$E$527+H352*$E$527)*$C$557+R351*$C$557+T352*$C$558/T351</f>
        <v>0</v>
      </c>
      <c r="H354" s="1886">
        <f t="shared" si="239"/>
        <v>0</v>
      </c>
      <c r="I354" s="1889"/>
      <c r="J354" s="1890" t="s">
        <v>732</v>
      </c>
      <c r="K354" s="2647">
        <v>0</v>
      </c>
      <c r="L354" s="2646">
        <f t="shared" si="237"/>
        <v>0</v>
      </c>
      <c r="M354" s="2226">
        <f t="shared" si="240"/>
        <v>1</v>
      </c>
      <c r="N354" s="2649">
        <f>+$T351</f>
        <v>1.5</v>
      </c>
      <c r="O354" s="1896"/>
      <c r="P354" s="1897"/>
      <c r="Q354" s="1897"/>
      <c r="R354" s="1902"/>
      <c r="S354" s="1895" t="s">
        <v>1537</v>
      </c>
      <c r="T354" s="2673">
        <f>+T353*T350</f>
        <v>0</v>
      </c>
      <c r="U354" s="2921"/>
    </row>
    <row r="355" spans="1:21" hidden="1" x14ac:dyDescent="0.25">
      <c r="A355" s="2923"/>
      <c r="B355" s="1884"/>
      <c r="C355" s="1885"/>
      <c r="D355" s="1885"/>
      <c r="E355" s="1887"/>
      <c r="F355" s="1888"/>
      <c r="G355" s="1886"/>
      <c r="H355" s="1886"/>
      <c r="I355" s="1889"/>
      <c r="J355" s="1890" t="s">
        <v>732</v>
      </c>
      <c r="K355" s="2647">
        <v>0</v>
      </c>
      <c r="L355" s="2646">
        <f t="shared" si="237"/>
        <v>0</v>
      </c>
      <c r="M355" s="2226">
        <f t="shared" si="240"/>
        <v>1</v>
      </c>
      <c r="N355" s="2649">
        <f>+$T351</f>
        <v>1.5</v>
      </c>
      <c r="O355" s="1903"/>
      <c r="P355" s="1902"/>
      <c r="Q355" s="1902"/>
      <c r="R355" s="1902"/>
      <c r="S355" s="1904"/>
      <c r="T355" s="1905"/>
      <c r="U355" s="2921"/>
    </row>
    <row r="356" spans="1:21" ht="60.75" hidden="1" thickBot="1" x14ac:dyDescent="0.3">
      <c r="A356" s="2925"/>
      <c r="B356" s="1906"/>
      <c r="C356" s="1907"/>
      <c r="D356" s="1907"/>
      <c r="E356" s="1908"/>
      <c r="F356" s="1909"/>
      <c r="G356" s="1910"/>
      <c r="H356" s="1910"/>
      <c r="I356" s="1911" t="s">
        <v>1538</v>
      </c>
      <c r="J356" s="1912" t="s">
        <v>740</v>
      </c>
      <c r="K356" s="2658">
        <v>0</v>
      </c>
      <c r="L356" s="2659">
        <f t="shared" si="237"/>
        <v>0</v>
      </c>
      <c r="M356" s="2660">
        <f>IF(T356="YES",$C$554,1)</f>
        <v>1</v>
      </c>
      <c r="N356" s="2661">
        <f>+$T351</f>
        <v>1.5</v>
      </c>
      <c r="O356" s="1913"/>
      <c r="P356" s="1914"/>
      <c r="Q356" s="1914"/>
      <c r="R356" s="1914"/>
      <c r="S356" s="1920" t="s">
        <v>1539</v>
      </c>
      <c r="T356" s="1921" t="s">
        <v>1540</v>
      </c>
      <c r="U356" s="2924"/>
    </row>
    <row r="357" spans="1:21" ht="27" hidden="1" customHeight="1" thickBot="1" x14ac:dyDescent="0.3">
      <c r="A357" s="1915"/>
      <c r="B357" s="1916"/>
      <c r="C357" s="1917"/>
      <c r="D357" s="1917"/>
      <c r="E357" s="1916"/>
      <c r="F357" s="1917"/>
      <c r="G357" s="1917"/>
      <c r="H357" s="1917"/>
      <c r="I357" s="1916"/>
      <c r="J357" s="1917"/>
      <c r="K357" s="2669"/>
      <c r="L357" s="2669"/>
      <c r="M357" s="2669"/>
      <c r="N357" s="2669"/>
      <c r="O357" s="1916"/>
      <c r="P357" s="1917"/>
      <c r="Q357" s="1917"/>
      <c r="R357" s="1917"/>
      <c r="S357" s="1918"/>
      <c r="T357" s="1917"/>
      <c r="U357" s="1919"/>
    </row>
    <row r="358" spans="1:21" ht="26.85" hidden="1" customHeight="1" x14ac:dyDescent="0.25">
      <c r="A358" s="1870" t="s">
        <v>1513</v>
      </c>
      <c r="B358" s="1871" t="s">
        <v>1523</v>
      </c>
      <c r="C358" s="1872" t="s">
        <v>740</v>
      </c>
      <c r="D358" s="1873"/>
      <c r="E358" s="1874" t="s">
        <v>1524</v>
      </c>
      <c r="F358" s="1875" t="s">
        <v>728</v>
      </c>
      <c r="G358" s="1873"/>
      <c r="H358" s="1873">
        <f t="shared" ref="H358" si="242">G358*M358*N358</f>
        <v>0</v>
      </c>
      <c r="I358" s="1876"/>
      <c r="J358" s="1877" t="s">
        <v>732</v>
      </c>
      <c r="K358" s="2672">
        <v>0</v>
      </c>
      <c r="L358" s="2645">
        <f t="shared" ref="L358:L364" si="243">IF(ISNUMBER(SEARCH("Timber",I358)),M358*K358*N358,K358)</f>
        <v>0</v>
      </c>
      <c r="M358" s="2225">
        <f>+$M364</f>
        <v>1</v>
      </c>
      <c r="N358" s="2648">
        <f>+$T359</f>
        <v>1.5</v>
      </c>
      <c r="O358" s="1878" t="s">
        <v>1512</v>
      </c>
      <c r="P358" s="1879" t="s">
        <v>740</v>
      </c>
      <c r="Q358" s="1880">
        <f t="shared" ref="Q358" si="244">R359*$E$532+T360*$E$533</f>
        <v>0</v>
      </c>
      <c r="R358" s="1881"/>
      <c r="S358" s="1882" t="s">
        <v>1525</v>
      </c>
      <c r="T358" s="1873">
        <v>30</v>
      </c>
      <c r="U358" s="2920" t="s">
        <v>1526</v>
      </c>
    </row>
    <row r="359" spans="1:21" ht="30" hidden="1" x14ac:dyDescent="0.25">
      <c r="A359" s="1883">
        <f>A351+1</f>
        <v>45</v>
      </c>
      <c r="B359" s="1884" t="s">
        <v>1527</v>
      </c>
      <c r="C359" s="1885" t="s">
        <v>740</v>
      </c>
      <c r="D359" s="1886"/>
      <c r="E359" s="1887" t="s">
        <v>1528</v>
      </c>
      <c r="F359" s="1888" t="s">
        <v>728</v>
      </c>
      <c r="G359" s="1886"/>
      <c r="H359" s="1886">
        <f t="shared" ref="H359:H362" si="245">G359</f>
        <v>0</v>
      </c>
      <c r="I359" s="1889"/>
      <c r="J359" s="1890" t="s">
        <v>732</v>
      </c>
      <c r="K359" s="2647">
        <v>0</v>
      </c>
      <c r="L359" s="2646">
        <f t="shared" si="243"/>
        <v>0</v>
      </c>
      <c r="M359" s="2226">
        <f t="shared" ref="M359:M363" si="246">M360</f>
        <v>1</v>
      </c>
      <c r="N359" s="2649">
        <f>+$T359</f>
        <v>1.5</v>
      </c>
      <c r="O359" s="1891" t="s">
        <v>1512</v>
      </c>
      <c r="P359" s="1892" t="s">
        <v>740</v>
      </c>
      <c r="Q359" s="1893"/>
      <c r="R359" s="1894">
        <f>H359*$E$527*0+H360*$E$527*0+SUMIF(I358:I363,$B$565,L358:L363)*$E$537+SUMIF(I358:I363,$B$566,L358:L363)*$E$540+SUMIF(I358:I363,$B$567,L358:L363)*$E$538+SUMIF(I358:I363,$B$568,L358:L363)*$E$539+SUMIF(I358:I363,$B$569,L358:L363)*$E$539+SUMIF(I358:I363,$B$570,L358:L363)*$E$541+SUMIF(I358:I363,$B$571,L358:L363)*$E$539+SUMIF(I358:I363,$B$572,L358:L363)*$E$541+SUMIF(I358:I363,$B$573,L358:L363)*$E$539+SUMIF(I358:I363,$B$574,L358:L363)*$E$543+SUMIF(I358:I363,$B$575,L358:L363)*$E$541+SUMIF(I358:I363,$B$577,L358:L363)*$E$536+SUMIF(I358:I363,$B$576,L358:L363)*$E$542+SUMIF(I358:I363,$B$563,L358:L363)*$E$539</f>
        <v>0</v>
      </c>
      <c r="S359" s="1895" t="s">
        <v>1529</v>
      </c>
      <c r="T359" s="2644">
        <f>+'Data Input sheet'!$D$112</f>
        <v>1.5</v>
      </c>
      <c r="U359" s="2921"/>
    </row>
    <row r="360" spans="1:21" ht="30" hidden="1" x14ac:dyDescent="0.25">
      <c r="A360" s="2922" t="s">
        <v>1530</v>
      </c>
      <c r="B360" s="1884" t="s">
        <v>1531</v>
      </c>
      <c r="C360" s="1885" t="s">
        <v>732</v>
      </c>
      <c r="D360" s="1886"/>
      <c r="E360" s="1887" t="s">
        <v>1532</v>
      </c>
      <c r="F360" s="1888" t="s">
        <v>728</v>
      </c>
      <c r="G360" s="1886"/>
      <c r="H360" s="1886">
        <f t="shared" si="245"/>
        <v>0</v>
      </c>
      <c r="I360" s="1889"/>
      <c r="J360" s="1890" t="s">
        <v>732</v>
      </c>
      <c r="K360" s="2647">
        <v>0</v>
      </c>
      <c r="L360" s="2646">
        <f t="shared" si="243"/>
        <v>0</v>
      </c>
      <c r="M360" s="2226">
        <f t="shared" si="246"/>
        <v>1</v>
      </c>
      <c r="N360" s="2649">
        <f>+$T359</f>
        <v>1.5</v>
      </c>
      <c r="O360" s="1896"/>
      <c r="P360" s="1897"/>
      <c r="Q360" s="1898"/>
      <c r="R360" s="1899">
        <f t="shared" ref="R360" si="247">T360</f>
        <v>0</v>
      </c>
      <c r="S360" s="1895" t="s">
        <v>1533</v>
      </c>
      <c r="T360" s="2673">
        <f>G358*64/4+K364+SUMIF(I358:I363,$B$578,K358:K363)*$E$545+SUMIF(I358:I363,$B$579,K358:K363)*$E$548+SUMIF(I358:I363,$B$580,K358:K363)*$E$546+SUMIF(I358:I363,$B$581,K358:K363)*$E$547+SUMIF(I358:I363,$B$582,K358:K363)*$E$547+SUMIF(I358:I363,$B$583,K358:K363)*$E$549+SUMIF(I358:I363,$B$584,K358:K363)*$E$547+SUMIF(I358:I363,$B$585,K358:K363)*$E$549+SUMIF(I358:I363,$B$586,K358:K363)*$E$547+SUMIF(I358:I363,$B$587,K358:K363)*$E$551+SUMIF(I358:I363,$B$588,K358:K363)*$E$549+SUMIF(I358:I363,$B$590,K358:K363)*$E$544+SUMIF(I358:I363,$B$589,K358:K363)*$E$550</f>
        <v>0</v>
      </c>
      <c r="U360" s="2921"/>
    </row>
    <row r="361" spans="1:21" hidden="1" x14ac:dyDescent="0.25">
      <c r="A361" s="2923"/>
      <c r="B361" s="1884" t="s">
        <v>1534</v>
      </c>
      <c r="C361" s="1885" t="s">
        <v>728</v>
      </c>
      <c r="D361" s="1886"/>
      <c r="E361" s="1887" t="s">
        <v>1535</v>
      </c>
      <c r="F361" s="1888" t="s">
        <v>728</v>
      </c>
      <c r="G361" s="1900">
        <f>(H359+H360)*$C$555+G358*$C$556+(R359-(H359+H360)*$E$527)*$C$555/50+(T360-G358*16)*$C$556/50</f>
        <v>0</v>
      </c>
      <c r="H361" s="1886">
        <f t="shared" si="245"/>
        <v>0</v>
      </c>
      <c r="I361" s="1889"/>
      <c r="J361" s="1890" t="s">
        <v>732</v>
      </c>
      <c r="K361" s="2647">
        <v>0</v>
      </c>
      <c r="L361" s="2646">
        <f t="shared" si="243"/>
        <v>0</v>
      </c>
      <c r="M361" s="2226">
        <f t="shared" si="246"/>
        <v>1</v>
      </c>
      <c r="N361" s="2649">
        <f>+$T359</f>
        <v>1.5</v>
      </c>
      <c r="O361" s="1896"/>
      <c r="P361" s="1897"/>
      <c r="Q361" s="1897"/>
      <c r="R361" s="1897"/>
      <c r="S361" s="1895" t="s">
        <v>3408</v>
      </c>
      <c r="T361" s="2674">
        <f>H358*64/4+L364+SUMIF(I358:I363,$B$578,L358:L363)*$E$545+SUMIF(I358:I363,$B$579,L358:L363)*$E$548+SUMIF(I358:I363,$B$580,L358:L363)*$E$546+SUMIF(I358:I363,$B$581,L358:L363)*$E$547+SUMIF(I358:I363,$B$582,L358:L363)*$E$547+SUMIF(I358:I363,$B$583,L358:L363)*$E$549+SUMIF(I358:I363,$B$584,L358:L363)*$E$547+SUMIF(I358:I363,$B$585,L358:L363)*$E$549+SUMIF(I358:I363,$B$586,L358:L363)*$E$547+SUMIF(I358:I363,$B$587,L358:L363)*$E$551+SUMIF(I358:I363,$B$588,L358:L363)*$E$549+SUMIF(I358:I363,$B$590,L358:L363)*$E$544+SUMIF(I358:I363,$B$589,L358:L363)*$E$550</f>
        <v>0</v>
      </c>
      <c r="U361" s="2921"/>
    </row>
    <row r="362" spans="1:21" ht="29.1" hidden="1" customHeight="1" x14ac:dyDescent="0.25">
      <c r="A362" s="2923"/>
      <c r="B362" s="1884"/>
      <c r="C362" s="1885"/>
      <c r="D362" s="1885"/>
      <c r="E362" s="1901" t="s">
        <v>1536</v>
      </c>
      <c r="F362" s="1888" t="s">
        <v>740</v>
      </c>
      <c r="G362" s="1900">
        <f>(H359*$E$527+H360*$E$527)*$C$557+R359*$C$557+T360*$C$558/T359</f>
        <v>0</v>
      </c>
      <c r="H362" s="1886">
        <f t="shared" si="245"/>
        <v>0</v>
      </c>
      <c r="I362" s="1889"/>
      <c r="J362" s="1890" t="s">
        <v>732</v>
      </c>
      <c r="K362" s="2647">
        <v>0</v>
      </c>
      <c r="L362" s="2646">
        <f t="shared" si="243"/>
        <v>0</v>
      </c>
      <c r="M362" s="2226">
        <f t="shared" si="246"/>
        <v>1</v>
      </c>
      <c r="N362" s="2649">
        <f>+$T359</f>
        <v>1.5</v>
      </c>
      <c r="O362" s="1896"/>
      <c r="P362" s="1897"/>
      <c r="Q362" s="1897"/>
      <c r="R362" s="1902"/>
      <c r="S362" s="1895" t="s">
        <v>1537</v>
      </c>
      <c r="T362" s="2673">
        <f>+T361*T358</f>
        <v>0</v>
      </c>
      <c r="U362" s="2921"/>
    </row>
    <row r="363" spans="1:21" hidden="1" x14ac:dyDescent="0.25">
      <c r="A363" s="2923"/>
      <c r="B363" s="1884"/>
      <c r="C363" s="1885"/>
      <c r="D363" s="1885"/>
      <c r="E363" s="1887"/>
      <c r="F363" s="1888"/>
      <c r="G363" s="1886"/>
      <c r="H363" s="1886"/>
      <c r="I363" s="1889"/>
      <c r="J363" s="1890" t="s">
        <v>732</v>
      </c>
      <c r="K363" s="2647">
        <v>0</v>
      </c>
      <c r="L363" s="2646">
        <f t="shared" si="243"/>
        <v>0</v>
      </c>
      <c r="M363" s="2226">
        <f t="shared" si="246"/>
        <v>1</v>
      </c>
      <c r="N363" s="2649">
        <f>+$T359</f>
        <v>1.5</v>
      </c>
      <c r="O363" s="1903"/>
      <c r="P363" s="1902"/>
      <c r="Q363" s="1902"/>
      <c r="R363" s="1902"/>
      <c r="S363" s="1904"/>
      <c r="T363" s="1905"/>
      <c r="U363" s="2921"/>
    </row>
    <row r="364" spans="1:21" ht="60.75" hidden="1" thickBot="1" x14ac:dyDescent="0.3">
      <c r="A364" s="2925"/>
      <c r="B364" s="1906"/>
      <c r="C364" s="1907"/>
      <c r="D364" s="1907"/>
      <c r="E364" s="1908"/>
      <c r="F364" s="1909"/>
      <c r="G364" s="1910"/>
      <c r="H364" s="1910"/>
      <c r="I364" s="1911" t="s">
        <v>1538</v>
      </c>
      <c r="J364" s="1912" t="s">
        <v>740</v>
      </c>
      <c r="K364" s="2658">
        <v>0</v>
      </c>
      <c r="L364" s="2659">
        <f t="shared" si="243"/>
        <v>0</v>
      </c>
      <c r="M364" s="2660">
        <f>IF(T364="YES",$C$554,1)</f>
        <v>1</v>
      </c>
      <c r="N364" s="2661">
        <f>+$T359</f>
        <v>1.5</v>
      </c>
      <c r="O364" s="1913"/>
      <c r="P364" s="1914"/>
      <c r="Q364" s="1914"/>
      <c r="R364" s="1914"/>
      <c r="S364" s="1920" t="s">
        <v>1539</v>
      </c>
      <c r="T364" s="1921" t="s">
        <v>1540</v>
      </c>
      <c r="U364" s="2924"/>
    </row>
    <row r="365" spans="1:21" ht="27" hidden="1" customHeight="1" thickBot="1" x14ac:dyDescent="0.3">
      <c r="A365" s="1915"/>
      <c r="B365" s="1916"/>
      <c r="C365" s="1917"/>
      <c r="D365" s="1917"/>
      <c r="E365" s="1916"/>
      <c r="F365" s="1917"/>
      <c r="G365" s="1917"/>
      <c r="H365" s="1917"/>
      <c r="I365" s="1916"/>
      <c r="J365" s="1917"/>
      <c r="K365" s="2669"/>
      <c r="L365" s="2669"/>
      <c r="M365" s="2669"/>
      <c r="N365" s="2669"/>
      <c r="O365" s="1916"/>
      <c r="P365" s="1917"/>
      <c r="Q365" s="1917"/>
      <c r="R365" s="1917"/>
      <c r="S365" s="1918"/>
      <c r="T365" s="1917"/>
      <c r="U365" s="1919"/>
    </row>
    <row r="366" spans="1:21" ht="26.85" hidden="1" customHeight="1" x14ac:dyDescent="0.25">
      <c r="A366" s="1870" t="s">
        <v>1513</v>
      </c>
      <c r="B366" s="1871" t="s">
        <v>1523</v>
      </c>
      <c r="C366" s="1872" t="s">
        <v>740</v>
      </c>
      <c r="D366" s="1873"/>
      <c r="E366" s="1874" t="s">
        <v>1524</v>
      </c>
      <c r="F366" s="1875" t="s">
        <v>728</v>
      </c>
      <c r="G366" s="1873"/>
      <c r="H366" s="1873">
        <f t="shared" ref="H366" si="248">G366*M366*N366</f>
        <v>0</v>
      </c>
      <c r="I366" s="1876"/>
      <c r="J366" s="1877" t="s">
        <v>732</v>
      </c>
      <c r="K366" s="2672">
        <v>0</v>
      </c>
      <c r="L366" s="2645">
        <f t="shared" ref="L366:L372" si="249">IF(ISNUMBER(SEARCH("Timber",I366)),M366*K366*N366,K366)</f>
        <v>0</v>
      </c>
      <c r="M366" s="2225">
        <f>+$M372</f>
        <v>1</v>
      </c>
      <c r="N366" s="2648">
        <f>+$T367</f>
        <v>1.5</v>
      </c>
      <c r="O366" s="1878" t="s">
        <v>1512</v>
      </c>
      <c r="P366" s="1879" t="s">
        <v>740</v>
      </c>
      <c r="Q366" s="1880">
        <f t="shared" ref="Q366" si="250">R367*$E$532+T368*$E$533</f>
        <v>0</v>
      </c>
      <c r="R366" s="1881"/>
      <c r="S366" s="1882" t="s">
        <v>1525</v>
      </c>
      <c r="T366" s="1873">
        <v>30</v>
      </c>
      <c r="U366" s="2920" t="s">
        <v>1526</v>
      </c>
    </row>
    <row r="367" spans="1:21" ht="30" hidden="1" x14ac:dyDescent="0.25">
      <c r="A367" s="1883">
        <f>A359+1</f>
        <v>46</v>
      </c>
      <c r="B367" s="1884" t="s">
        <v>1527</v>
      </c>
      <c r="C367" s="1885" t="s">
        <v>740</v>
      </c>
      <c r="D367" s="1886"/>
      <c r="E367" s="1887" t="s">
        <v>1528</v>
      </c>
      <c r="F367" s="1888" t="s">
        <v>728</v>
      </c>
      <c r="G367" s="1886"/>
      <c r="H367" s="1886">
        <f t="shared" ref="H367:H370" si="251">G367</f>
        <v>0</v>
      </c>
      <c r="I367" s="1889"/>
      <c r="J367" s="1890" t="s">
        <v>732</v>
      </c>
      <c r="K367" s="2647">
        <v>0</v>
      </c>
      <c r="L367" s="2646">
        <f t="shared" si="249"/>
        <v>0</v>
      </c>
      <c r="M367" s="2226">
        <f t="shared" ref="M367:M371" si="252">M368</f>
        <v>1</v>
      </c>
      <c r="N367" s="2649">
        <f>+$T367</f>
        <v>1.5</v>
      </c>
      <c r="O367" s="1891" t="s">
        <v>1512</v>
      </c>
      <c r="P367" s="1892" t="s">
        <v>740</v>
      </c>
      <c r="Q367" s="1893"/>
      <c r="R367" s="1894">
        <f>H367*$E$527*0+H368*$E$527*0+SUMIF(I366:I371,$B$565,L366:L371)*$E$537+SUMIF(I366:I371,$B$566,L366:L371)*$E$540+SUMIF(I366:I371,$B$567,L366:L371)*$E$538+SUMIF(I366:I371,$B$568,L366:L371)*$E$539+SUMIF(I366:I371,$B$569,L366:L371)*$E$539+SUMIF(I366:I371,$B$570,L366:L371)*$E$541+SUMIF(I366:I371,$B$571,L366:L371)*$E$539+SUMIF(I366:I371,$B$572,L366:L371)*$E$541+SUMIF(I366:I371,$B$573,L366:L371)*$E$539+SUMIF(I366:I371,$B$574,L366:L371)*$E$543+SUMIF(I366:I371,$B$575,L366:L371)*$E$541+SUMIF(I366:I371,$B$577,L366:L371)*$E$536+SUMIF(I366:I371,$B$576,L366:L371)*$E$542+SUMIF(I366:I371,$B$563,L366:L371)*$E$539</f>
        <v>0</v>
      </c>
      <c r="S367" s="1895" t="s">
        <v>1529</v>
      </c>
      <c r="T367" s="2644">
        <f>+'Data Input sheet'!$D$112</f>
        <v>1.5</v>
      </c>
      <c r="U367" s="2921"/>
    </row>
    <row r="368" spans="1:21" ht="30" hidden="1" x14ac:dyDescent="0.25">
      <c r="A368" s="2922" t="s">
        <v>1530</v>
      </c>
      <c r="B368" s="1884" t="s">
        <v>1531</v>
      </c>
      <c r="C368" s="1885" t="s">
        <v>732</v>
      </c>
      <c r="D368" s="1886"/>
      <c r="E368" s="1887" t="s">
        <v>1532</v>
      </c>
      <c r="F368" s="1888" t="s">
        <v>728</v>
      </c>
      <c r="G368" s="1886"/>
      <c r="H368" s="1886">
        <f t="shared" si="251"/>
        <v>0</v>
      </c>
      <c r="I368" s="1889"/>
      <c r="J368" s="1890" t="s">
        <v>732</v>
      </c>
      <c r="K368" s="2647">
        <v>0</v>
      </c>
      <c r="L368" s="2646">
        <f t="shared" si="249"/>
        <v>0</v>
      </c>
      <c r="M368" s="2226">
        <f t="shared" si="252"/>
        <v>1</v>
      </c>
      <c r="N368" s="2649">
        <f>+$T367</f>
        <v>1.5</v>
      </c>
      <c r="O368" s="1896"/>
      <c r="P368" s="1897"/>
      <c r="Q368" s="1898"/>
      <c r="R368" s="1899">
        <f t="shared" ref="R368" si="253">T368</f>
        <v>0</v>
      </c>
      <c r="S368" s="1895" t="s">
        <v>1533</v>
      </c>
      <c r="T368" s="2673">
        <f>G366*64/4+K372+SUMIF(I366:I371,$B$578,K366:K371)*$E$545+SUMIF(I366:I371,$B$579,K366:K371)*$E$548+SUMIF(I366:I371,$B$580,K366:K371)*$E$546+SUMIF(I366:I371,$B$581,K366:K371)*$E$547+SUMIF(I366:I371,$B$582,K366:K371)*$E$547+SUMIF(I366:I371,$B$583,K366:K371)*$E$549+SUMIF(I366:I371,$B$584,K366:K371)*$E$547+SUMIF(I366:I371,$B$585,K366:K371)*$E$549+SUMIF(I366:I371,$B$586,K366:K371)*$E$547+SUMIF(I366:I371,$B$587,K366:K371)*$E$551+SUMIF(I366:I371,$B$588,K366:K371)*$E$549+SUMIF(I366:I371,$B$590,K366:K371)*$E$544+SUMIF(I366:I371,$B$589,K366:K371)*$E$550</f>
        <v>0</v>
      </c>
      <c r="U368" s="2921"/>
    </row>
    <row r="369" spans="1:21" hidden="1" x14ac:dyDescent="0.25">
      <c r="A369" s="2923"/>
      <c r="B369" s="1884" t="s">
        <v>1534</v>
      </c>
      <c r="C369" s="1885" t="s">
        <v>728</v>
      </c>
      <c r="D369" s="1886"/>
      <c r="E369" s="1887" t="s">
        <v>1535</v>
      </c>
      <c r="F369" s="1888" t="s">
        <v>728</v>
      </c>
      <c r="G369" s="1900">
        <f>(H367+H368)*$C$555+G366*$C$556+(R367-(H367+H368)*$E$527)*$C$555/50+(T368-G366*16)*$C$556/50</f>
        <v>0</v>
      </c>
      <c r="H369" s="1886">
        <f t="shared" si="251"/>
        <v>0</v>
      </c>
      <c r="I369" s="1889"/>
      <c r="J369" s="1890" t="s">
        <v>732</v>
      </c>
      <c r="K369" s="2647">
        <v>0</v>
      </c>
      <c r="L369" s="2646">
        <f t="shared" si="249"/>
        <v>0</v>
      </c>
      <c r="M369" s="2226">
        <f t="shared" si="252"/>
        <v>1</v>
      </c>
      <c r="N369" s="2649">
        <f>+$T367</f>
        <v>1.5</v>
      </c>
      <c r="O369" s="1896"/>
      <c r="P369" s="1897"/>
      <c r="Q369" s="1897"/>
      <c r="R369" s="1897"/>
      <c r="S369" s="1895" t="s">
        <v>3408</v>
      </c>
      <c r="T369" s="2674">
        <f>H366*64/4+L372+SUMIF(I366:I371,$B$578,L366:L371)*$E$545+SUMIF(I366:I371,$B$579,L366:L371)*$E$548+SUMIF(I366:I371,$B$580,L366:L371)*$E$546+SUMIF(I366:I371,$B$581,L366:L371)*$E$547+SUMIF(I366:I371,$B$582,L366:L371)*$E$547+SUMIF(I366:I371,$B$583,L366:L371)*$E$549+SUMIF(I366:I371,$B$584,L366:L371)*$E$547+SUMIF(I366:I371,$B$585,L366:L371)*$E$549+SUMIF(I366:I371,$B$586,L366:L371)*$E$547+SUMIF(I366:I371,$B$587,L366:L371)*$E$551+SUMIF(I366:I371,$B$588,L366:L371)*$E$549+SUMIF(I366:I371,$B$590,L366:L371)*$E$544+SUMIF(I366:I371,$B$589,L366:L371)*$E$550</f>
        <v>0</v>
      </c>
      <c r="U369" s="2921"/>
    </row>
    <row r="370" spans="1:21" ht="29.1" hidden="1" customHeight="1" x14ac:dyDescent="0.25">
      <c r="A370" s="2923"/>
      <c r="B370" s="1884"/>
      <c r="C370" s="1885"/>
      <c r="D370" s="1885"/>
      <c r="E370" s="1901" t="s">
        <v>1536</v>
      </c>
      <c r="F370" s="1888" t="s">
        <v>740</v>
      </c>
      <c r="G370" s="1900">
        <f>(H367*$E$527+H368*$E$527)*$C$557+R367*$C$557+T368*$C$558/T367</f>
        <v>0</v>
      </c>
      <c r="H370" s="1886">
        <f t="shared" si="251"/>
        <v>0</v>
      </c>
      <c r="I370" s="1889"/>
      <c r="J370" s="1890" t="s">
        <v>732</v>
      </c>
      <c r="K370" s="2647">
        <v>0</v>
      </c>
      <c r="L370" s="2646">
        <f t="shared" si="249"/>
        <v>0</v>
      </c>
      <c r="M370" s="2226">
        <f t="shared" si="252"/>
        <v>1</v>
      </c>
      <c r="N370" s="2649">
        <f>+$T367</f>
        <v>1.5</v>
      </c>
      <c r="O370" s="1896"/>
      <c r="P370" s="1897"/>
      <c r="Q370" s="1897"/>
      <c r="R370" s="1902"/>
      <c r="S370" s="1895" t="s">
        <v>1537</v>
      </c>
      <c r="T370" s="2673">
        <f>+T369*T366</f>
        <v>0</v>
      </c>
      <c r="U370" s="2921"/>
    </row>
    <row r="371" spans="1:21" hidden="1" x14ac:dyDescent="0.25">
      <c r="A371" s="2923"/>
      <c r="B371" s="1884"/>
      <c r="C371" s="1885"/>
      <c r="D371" s="1885"/>
      <c r="E371" s="1887"/>
      <c r="F371" s="1888"/>
      <c r="G371" s="1886"/>
      <c r="H371" s="1886"/>
      <c r="I371" s="1889"/>
      <c r="J371" s="1890" t="s">
        <v>732</v>
      </c>
      <c r="K371" s="2647">
        <v>0</v>
      </c>
      <c r="L371" s="2646">
        <f t="shared" si="249"/>
        <v>0</v>
      </c>
      <c r="M371" s="2226">
        <f t="shared" si="252"/>
        <v>1</v>
      </c>
      <c r="N371" s="2649">
        <f>+$T367</f>
        <v>1.5</v>
      </c>
      <c r="O371" s="1903"/>
      <c r="P371" s="1902"/>
      <c r="Q371" s="1902"/>
      <c r="R371" s="1902"/>
      <c r="S371" s="1904"/>
      <c r="T371" s="1905"/>
      <c r="U371" s="2921"/>
    </row>
    <row r="372" spans="1:21" ht="60.75" hidden="1" thickBot="1" x14ac:dyDescent="0.3">
      <c r="A372" s="2925"/>
      <c r="B372" s="1906"/>
      <c r="C372" s="1907"/>
      <c r="D372" s="1907"/>
      <c r="E372" s="1908"/>
      <c r="F372" s="1909"/>
      <c r="G372" s="1910"/>
      <c r="H372" s="1910"/>
      <c r="I372" s="1911" t="s">
        <v>1538</v>
      </c>
      <c r="J372" s="1912" t="s">
        <v>740</v>
      </c>
      <c r="K372" s="2658">
        <v>0</v>
      </c>
      <c r="L372" s="2659">
        <f t="shared" si="249"/>
        <v>0</v>
      </c>
      <c r="M372" s="2660">
        <f>IF(T372="YES",$C$554,1)</f>
        <v>1</v>
      </c>
      <c r="N372" s="2661">
        <f>+$T367</f>
        <v>1.5</v>
      </c>
      <c r="O372" s="1913"/>
      <c r="P372" s="1914"/>
      <c r="Q372" s="1914"/>
      <c r="R372" s="1914"/>
      <c r="S372" s="1920" t="s">
        <v>1539</v>
      </c>
      <c r="T372" s="1921" t="s">
        <v>1540</v>
      </c>
      <c r="U372" s="2924"/>
    </row>
    <row r="373" spans="1:21" ht="27" hidden="1" customHeight="1" thickBot="1" x14ac:dyDescent="0.3">
      <c r="A373" s="1915"/>
      <c r="B373" s="1916"/>
      <c r="C373" s="1917"/>
      <c r="D373" s="1917"/>
      <c r="E373" s="1916"/>
      <c r="F373" s="1917"/>
      <c r="G373" s="1917"/>
      <c r="H373" s="1917"/>
      <c r="I373" s="1916"/>
      <c r="J373" s="1917"/>
      <c r="K373" s="2669"/>
      <c r="L373" s="2669"/>
      <c r="M373" s="2669"/>
      <c r="N373" s="2669"/>
      <c r="O373" s="1916"/>
      <c r="P373" s="1917"/>
      <c r="Q373" s="1917"/>
      <c r="R373" s="1917"/>
      <c r="S373" s="1918"/>
      <c r="T373" s="1917"/>
      <c r="U373" s="1919"/>
    </row>
    <row r="374" spans="1:21" ht="26.85" hidden="1" customHeight="1" x14ac:dyDescent="0.25">
      <c r="A374" s="1870" t="s">
        <v>1513</v>
      </c>
      <c r="B374" s="1871" t="s">
        <v>1523</v>
      </c>
      <c r="C374" s="1872" t="s">
        <v>740</v>
      </c>
      <c r="D374" s="1873"/>
      <c r="E374" s="1874" t="s">
        <v>1524</v>
      </c>
      <c r="F374" s="1875" t="s">
        <v>728</v>
      </c>
      <c r="G374" s="1873"/>
      <c r="H374" s="1873">
        <f t="shared" ref="H374" si="254">G374*M374*N374</f>
        <v>0</v>
      </c>
      <c r="I374" s="1876"/>
      <c r="J374" s="1877" t="s">
        <v>732</v>
      </c>
      <c r="K374" s="2672">
        <v>0</v>
      </c>
      <c r="L374" s="2645">
        <f t="shared" ref="L374:L380" si="255">IF(ISNUMBER(SEARCH("Timber",I374)),M374*K374*N374,K374)</f>
        <v>0</v>
      </c>
      <c r="M374" s="2225">
        <f>+$M380</f>
        <v>1</v>
      </c>
      <c r="N374" s="2648">
        <f>+$T375</f>
        <v>1.5</v>
      </c>
      <c r="O374" s="1878" t="s">
        <v>1512</v>
      </c>
      <c r="P374" s="1879" t="s">
        <v>740</v>
      </c>
      <c r="Q374" s="1880">
        <f t="shared" ref="Q374" si="256">R375*$E$532+T376*$E$533</f>
        <v>0</v>
      </c>
      <c r="R374" s="1881"/>
      <c r="S374" s="1882" t="s">
        <v>1525</v>
      </c>
      <c r="T374" s="1873">
        <v>30</v>
      </c>
      <c r="U374" s="2920" t="s">
        <v>1526</v>
      </c>
    </row>
    <row r="375" spans="1:21" ht="30" hidden="1" x14ac:dyDescent="0.25">
      <c r="A375" s="1883">
        <f>A367+1</f>
        <v>47</v>
      </c>
      <c r="B375" s="1884" t="s">
        <v>1527</v>
      </c>
      <c r="C375" s="1885" t="s">
        <v>740</v>
      </c>
      <c r="D375" s="1886"/>
      <c r="E375" s="1887" t="s">
        <v>1528</v>
      </c>
      <c r="F375" s="1888" t="s">
        <v>728</v>
      </c>
      <c r="G375" s="1886"/>
      <c r="H375" s="1886">
        <f t="shared" ref="H375:H378" si="257">G375</f>
        <v>0</v>
      </c>
      <c r="I375" s="1889"/>
      <c r="J375" s="1890" t="s">
        <v>732</v>
      </c>
      <c r="K375" s="2647">
        <v>0</v>
      </c>
      <c r="L375" s="2646">
        <f t="shared" si="255"/>
        <v>0</v>
      </c>
      <c r="M375" s="2226">
        <f t="shared" ref="M375:M379" si="258">M376</f>
        <v>1</v>
      </c>
      <c r="N375" s="2649">
        <f>+$T375</f>
        <v>1.5</v>
      </c>
      <c r="O375" s="1891" t="s">
        <v>1512</v>
      </c>
      <c r="P375" s="1892" t="s">
        <v>740</v>
      </c>
      <c r="Q375" s="1893"/>
      <c r="R375" s="1894">
        <f>H375*$E$527*0+H376*$E$527*0+SUMIF(I374:I379,$B$565,L374:L379)*$E$537+SUMIF(I374:I379,$B$566,L374:L379)*$E$540+SUMIF(I374:I379,$B$567,L374:L379)*$E$538+SUMIF(I374:I379,$B$568,L374:L379)*$E$539+SUMIF(I374:I379,$B$569,L374:L379)*$E$539+SUMIF(I374:I379,$B$570,L374:L379)*$E$541+SUMIF(I374:I379,$B$571,L374:L379)*$E$539+SUMIF(I374:I379,$B$572,L374:L379)*$E$541+SUMIF(I374:I379,$B$573,L374:L379)*$E$539+SUMIF(I374:I379,$B$574,L374:L379)*$E$543+SUMIF(I374:I379,$B$575,L374:L379)*$E$541+SUMIF(I374:I379,$B$577,L374:L379)*$E$536+SUMIF(I374:I379,$B$576,L374:L379)*$E$542+SUMIF(I374:I379,$B$563,L374:L379)*$E$539</f>
        <v>0</v>
      </c>
      <c r="S375" s="1895" t="s">
        <v>1529</v>
      </c>
      <c r="T375" s="2644">
        <f>+'Data Input sheet'!$D$112</f>
        <v>1.5</v>
      </c>
      <c r="U375" s="2921"/>
    </row>
    <row r="376" spans="1:21" ht="30" hidden="1" x14ac:dyDescent="0.25">
      <c r="A376" s="2922" t="s">
        <v>1530</v>
      </c>
      <c r="B376" s="1884" t="s">
        <v>1531</v>
      </c>
      <c r="C376" s="1885" t="s">
        <v>732</v>
      </c>
      <c r="D376" s="1886"/>
      <c r="E376" s="1887" t="s">
        <v>1532</v>
      </c>
      <c r="F376" s="1888" t="s">
        <v>728</v>
      </c>
      <c r="G376" s="1886"/>
      <c r="H376" s="1886">
        <f t="shared" si="257"/>
        <v>0</v>
      </c>
      <c r="I376" s="1889"/>
      <c r="J376" s="1890" t="s">
        <v>732</v>
      </c>
      <c r="K376" s="2647">
        <v>0</v>
      </c>
      <c r="L376" s="2646">
        <f t="shared" si="255"/>
        <v>0</v>
      </c>
      <c r="M376" s="2226">
        <f t="shared" si="258"/>
        <v>1</v>
      </c>
      <c r="N376" s="2649">
        <f>+$T375</f>
        <v>1.5</v>
      </c>
      <c r="O376" s="1896"/>
      <c r="P376" s="1897"/>
      <c r="Q376" s="1898"/>
      <c r="R376" s="1899">
        <f t="shared" ref="R376" si="259">T376</f>
        <v>0</v>
      </c>
      <c r="S376" s="1895" t="s">
        <v>1533</v>
      </c>
      <c r="T376" s="2673">
        <f>G374*64/4+K380+SUMIF(I374:I379,$B$578,K374:K379)*$E$545+SUMIF(I374:I379,$B$579,K374:K379)*$E$548+SUMIF(I374:I379,$B$580,K374:K379)*$E$546+SUMIF(I374:I379,$B$581,K374:K379)*$E$547+SUMIF(I374:I379,$B$582,K374:K379)*$E$547+SUMIF(I374:I379,$B$583,K374:K379)*$E$549+SUMIF(I374:I379,$B$584,K374:K379)*$E$547+SUMIF(I374:I379,$B$585,K374:K379)*$E$549+SUMIF(I374:I379,$B$586,K374:K379)*$E$547+SUMIF(I374:I379,$B$587,K374:K379)*$E$551+SUMIF(I374:I379,$B$588,K374:K379)*$E$549+SUMIF(I374:I379,$B$590,K374:K379)*$E$544+SUMIF(I374:I379,$B$589,K374:K379)*$E$550</f>
        <v>0</v>
      </c>
      <c r="U376" s="2921"/>
    </row>
    <row r="377" spans="1:21" hidden="1" x14ac:dyDescent="0.25">
      <c r="A377" s="2923"/>
      <c r="B377" s="1884" t="s">
        <v>1534</v>
      </c>
      <c r="C377" s="1885" t="s">
        <v>728</v>
      </c>
      <c r="D377" s="1886"/>
      <c r="E377" s="1887" t="s">
        <v>1535</v>
      </c>
      <c r="F377" s="1888" t="s">
        <v>728</v>
      </c>
      <c r="G377" s="1900">
        <f>(H375+H376)*$C$555+G374*$C$556+(R375-(H375+H376)*$E$527)*$C$555/50+(T376-G374*16)*$C$556/50</f>
        <v>0</v>
      </c>
      <c r="H377" s="1886">
        <f t="shared" si="257"/>
        <v>0</v>
      </c>
      <c r="I377" s="1889"/>
      <c r="J377" s="1890" t="s">
        <v>732</v>
      </c>
      <c r="K377" s="2647">
        <v>0</v>
      </c>
      <c r="L377" s="2646">
        <f t="shared" si="255"/>
        <v>0</v>
      </c>
      <c r="M377" s="2226">
        <f t="shared" si="258"/>
        <v>1</v>
      </c>
      <c r="N377" s="2649">
        <f>+$T375</f>
        <v>1.5</v>
      </c>
      <c r="O377" s="1896"/>
      <c r="P377" s="1897"/>
      <c r="Q377" s="1897"/>
      <c r="R377" s="1897"/>
      <c r="S377" s="1895" t="s">
        <v>3408</v>
      </c>
      <c r="T377" s="2674">
        <f>H374*64/4+L380+SUMIF(I374:I379,$B$578,L374:L379)*$E$545+SUMIF(I374:I379,$B$579,L374:L379)*$E$548+SUMIF(I374:I379,$B$580,L374:L379)*$E$546+SUMIF(I374:I379,$B$581,L374:L379)*$E$547+SUMIF(I374:I379,$B$582,L374:L379)*$E$547+SUMIF(I374:I379,$B$583,L374:L379)*$E$549+SUMIF(I374:I379,$B$584,L374:L379)*$E$547+SUMIF(I374:I379,$B$585,L374:L379)*$E$549+SUMIF(I374:I379,$B$586,L374:L379)*$E$547+SUMIF(I374:I379,$B$587,L374:L379)*$E$551+SUMIF(I374:I379,$B$588,L374:L379)*$E$549+SUMIF(I374:I379,$B$590,L374:L379)*$E$544+SUMIF(I374:I379,$B$589,L374:L379)*$E$550</f>
        <v>0</v>
      </c>
      <c r="U377" s="2921"/>
    </row>
    <row r="378" spans="1:21" ht="29.1" hidden="1" customHeight="1" x14ac:dyDescent="0.25">
      <c r="A378" s="2923"/>
      <c r="B378" s="1884"/>
      <c r="C378" s="1885"/>
      <c r="D378" s="1885"/>
      <c r="E378" s="1901" t="s">
        <v>1536</v>
      </c>
      <c r="F378" s="1888" t="s">
        <v>740</v>
      </c>
      <c r="G378" s="1900">
        <f>(H375*$E$527+H376*$E$527)*$C$557+R375*$C$557+T376*$C$558/T375</f>
        <v>0</v>
      </c>
      <c r="H378" s="1886">
        <f t="shared" si="257"/>
        <v>0</v>
      </c>
      <c r="I378" s="1889"/>
      <c r="J378" s="1890" t="s">
        <v>732</v>
      </c>
      <c r="K378" s="2647">
        <v>0</v>
      </c>
      <c r="L378" s="2646">
        <f t="shared" si="255"/>
        <v>0</v>
      </c>
      <c r="M378" s="2226">
        <f t="shared" si="258"/>
        <v>1</v>
      </c>
      <c r="N378" s="2649">
        <f>+$T375</f>
        <v>1.5</v>
      </c>
      <c r="O378" s="1896"/>
      <c r="P378" s="1897"/>
      <c r="Q378" s="1897"/>
      <c r="R378" s="1902"/>
      <c r="S378" s="1895" t="s">
        <v>1537</v>
      </c>
      <c r="T378" s="2673">
        <f>+T377*T374</f>
        <v>0</v>
      </c>
      <c r="U378" s="2921"/>
    </row>
    <row r="379" spans="1:21" hidden="1" x14ac:dyDescent="0.25">
      <c r="A379" s="2923"/>
      <c r="B379" s="1884"/>
      <c r="C379" s="1885"/>
      <c r="D379" s="1885"/>
      <c r="E379" s="1887"/>
      <c r="F379" s="1888"/>
      <c r="G379" s="1886"/>
      <c r="H379" s="1886"/>
      <c r="I379" s="1889"/>
      <c r="J379" s="1890" t="s">
        <v>732</v>
      </c>
      <c r="K379" s="2647">
        <v>0</v>
      </c>
      <c r="L379" s="2646">
        <f t="shared" si="255"/>
        <v>0</v>
      </c>
      <c r="M379" s="2226">
        <f t="shared" si="258"/>
        <v>1</v>
      </c>
      <c r="N379" s="2649">
        <f>+$T375</f>
        <v>1.5</v>
      </c>
      <c r="O379" s="1903"/>
      <c r="P379" s="1902"/>
      <c r="Q379" s="1902"/>
      <c r="R379" s="1902"/>
      <c r="S379" s="1904"/>
      <c r="T379" s="1905"/>
      <c r="U379" s="2921"/>
    </row>
    <row r="380" spans="1:21" ht="60.75" hidden="1" thickBot="1" x14ac:dyDescent="0.3">
      <c r="A380" s="2925"/>
      <c r="B380" s="1906"/>
      <c r="C380" s="1907"/>
      <c r="D380" s="1907"/>
      <c r="E380" s="1908"/>
      <c r="F380" s="1909"/>
      <c r="G380" s="1910"/>
      <c r="H380" s="1910"/>
      <c r="I380" s="1911" t="s">
        <v>1538</v>
      </c>
      <c r="J380" s="1912" t="s">
        <v>740</v>
      </c>
      <c r="K380" s="2658">
        <v>0</v>
      </c>
      <c r="L380" s="2659">
        <f t="shared" si="255"/>
        <v>0</v>
      </c>
      <c r="M380" s="2660">
        <f>IF(T380="YES",$C$554,1)</f>
        <v>1</v>
      </c>
      <c r="N380" s="2661">
        <f>+$T375</f>
        <v>1.5</v>
      </c>
      <c r="O380" s="1913"/>
      <c r="P380" s="1914"/>
      <c r="Q380" s="1914"/>
      <c r="R380" s="1914"/>
      <c r="S380" s="1920" t="s">
        <v>1539</v>
      </c>
      <c r="T380" s="1921" t="s">
        <v>1540</v>
      </c>
      <c r="U380" s="2924"/>
    </row>
    <row r="381" spans="1:21" ht="27" hidden="1" customHeight="1" thickBot="1" x14ac:dyDescent="0.3">
      <c r="A381" s="1915"/>
      <c r="B381" s="1916"/>
      <c r="C381" s="1917"/>
      <c r="D381" s="1917"/>
      <c r="E381" s="1916"/>
      <c r="F381" s="1917"/>
      <c r="G381" s="1917"/>
      <c r="H381" s="1917"/>
      <c r="I381" s="1916"/>
      <c r="J381" s="1917"/>
      <c r="K381" s="2669"/>
      <c r="L381" s="2669"/>
      <c r="M381" s="2669"/>
      <c r="N381" s="2669"/>
      <c r="O381" s="1916"/>
      <c r="P381" s="1917"/>
      <c r="Q381" s="1917"/>
      <c r="R381" s="1917"/>
      <c r="S381" s="1918"/>
      <c r="T381" s="1917"/>
      <c r="U381" s="1919"/>
    </row>
    <row r="382" spans="1:21" ht="26.85" hidden="1" customHeight="1" x14ac:dyDescent="0.25">
      <c r="A382" s="1870" t="s">
        <v>1513</v>
      </c>
      <c r="B382" s="1871" t="s">
        <v>1523</v>
      </c>
      <c r="C382" s="1872" t="s">
        <v>740</v>
      </c>
      <c r="D382" s="1873"/>
      <c r="E382" s="1874" t="s">
        <v>1524</v>
      </c>
      <c r="F382" s="1875" t="s">
        <v>728</v>
      </c>
      <c r="G382" s="1873"/>
      <c r="H382" s="1873">
        <f t="shared" ref="H382" si="260">G382*M382*N382</f>
        <v>0</v>
      </c>
      <c r="I382" s="1876"/>
      <c r="J382" s="1877" t="s">
        <v>732</v>
      </c>
      <c r="K382" s="2672">
        <v>0</v>
      </c>
      <c r="L382" s="2645">
        <f t="shared" ref="L382:L388" si="261">IF(ISNUMBER(SEARCH("Timber",I382)),M382*K382*N382,K382)</f>
        <v>0</v>
      </c>
      <c r="M382" s="2225">
        <f>+$M388</f>
        <v>1</v>
      </c>
      <c r="N382" s="2648">
        <f>+$T383</f>
        <v>1.5</v>
      </c>
      <c r="O382" s="1878" t="s">
        <v>1512</v>
      </c>
      <c r="P382" s="1879" t="s">
        <v>740</v>
      </c>
      <c r="Q382" s="1880">
        <f t="shared" ref="Q382" si="262">R383*$E$532+T384*$E$533</f>
        <v>0</v>
      </c>
      <c r="R382" s="1881"/>
      <c r="S382" s="1882" t="s">
        <v>1525</v>
      </c>
      <c r="T382" s="1873">
        <v>30</v>
      </c>
      <c r="U382" s="2920" t="s">
        <v>1526</v>
      </c>
    </row>
    <row r="383" spans="1:21" ht="30" hidden="1" x14ac:dyDescent="0.25">
      <c r="A383" s="1883">
        <f>A375+1</f>
        <v>48</v>
      </c>
      <c r="B383" s="1884" t="s">
        <v>1527</v>
      </c>
      <c r="C383" s="1885" t="s">
        <v>740</v>
      </c>
      <c r="D383" s="1886"/>
      <c r="E383" s="1887" t="s">
        <v>1528</v>
      </c>
      <c r="F383" s="1888" t="s">
        <v>728</v>
      </c>
      <c r="G383" s="1886"/>
      <c r="H383" s="1886">
        <f t="shared" ref="H383:H386" si="263">G383</f>
        <v>0</v>
      </c>
      <c r="I383" s="1889"/>
      <c r="J383" s="1890" t="s">
        <v>732</v>
      </c>
      <c r="K383" s="2647">
        <v>0</v>
      </c>
      <c r="L383" s="2646">
        <f t="shared" si="261"/>
        <v>0</v>
      </c>
      <c r="M383" s="2226">
        <f t="shared" ref="M383:M387" si="264">M384</f>
        <v>1</v>
      </c>
      <c r="N383" s="2649">
        <f>+$T383</f>
        <v>1.5</v>
      </c>
      <c r="O383" s="1891" t="s">
        <v>1512</v>
      </c>
      <c r="P383" s="1892" t="s">
        <v>740</v>
      </c>
      <c r="Q383" s="1893"/>
      <c r="R383" s="1894">
        <f>H383*$E$527*0+H384*$E$527*0+SUMIF(I382:I387,$B$565,L382:L387)*$E$537+SUMIF(I382:I387,$B$566,L382:L387)*$E$540+SUMIF(I382:I387,$B$567,L382:L387)*$E$538+SUMIF(I382:I387,$B$568,L382:L387)*$E$539+SUMIF(I382:I387,$B$569,L382:L387)*$E$539+SUMIF(I382:I387,$B$570,L382:L387)*$E$541+SUMIF(I382:I387,$B$571,L382:L387)*$E$539+SUMIF(I382:I387,$B$572,L382:L387)*$E$541+SUMIF(I382:I387,$B$573,L382:L387)*$E$539+SUMIF(I382:I387,$B$574,L382:L387)*$E$543+SUMIF(I382:I387,$B$575,L382:L387)*$E$541+SUMIF(I382:I387,$B$577,L382:L387)*$E$536+SUMIF(I382:I387,$B$576,L382:L387)*$E$542+SUMIF(I382:I387,$B$563,L382:L387)*$E$539</f>
        <v>0</v>
      </c>
      <c r="S383" s="1895" t="s">
        <v>1529</v>
      </c>
      <c r="T383" s="2644">
        <f>+'Data Input sheet'!$D$112</f>
        <v>1.5</v>
      </c>
      <c r="U383" s="2921"/>
    </row>
    <row r="384" spans="1:21" ht="30" hidden="1" x14ac:dyDescent="0.25">
      <c r="A384" s="2922" t="s">
        <v>1530</v>
      </c>
      <c r="B384" s="1884" t="s">
        <v>1531</v>
      </c>
      <c r="C384" s="1885" t="s">
        <v>732</v>
      </c>
      <c r="D384" s="1886"/>
      <c r="E384" s="1887" t="s">
        <v>1532</v>
      </c>
      <c r="F384" s="1888" t="s">
        <v>728</v>
      </c>
      <c r="G384" s="1886"/>
      <c r="H384" s="1886">
        <f t="shared" si="263"/>
        <v>0</v>
      </c>
      <c r="I384" s="1889"/>
      <c r="J384" s="1890" t="s">
        <v>732</v>
      </c>
      <c r="K384" s="2647">
        <v>0</v>
      </c>
      <c r="L384" s="2646">
        <f t="shared" si="261"/>
        <v>0</v>
      </c>
      <c r="M384" s="2226">
        <f t="shared" si="264"/>
        <v>1</v>
      </c>
      <c r="N384" s="2649">
        <f>+$T383</f>
        <v>1.5</v>
      </c>
      <c r="O384" s="1896"/>
      <c r="P384" s="1897"/>
      <c r="Q384" s="1898"/>
      <c r="R384" s="1899">
        <f t="shared" ref="R384" si="265">T384</f>
        <v>0</v>
      </c>
      <c r="S384" s="1895" t="s">
        <v>1533</v>
      </c>
      <c r="T384" s="2673">
        <f>G382*64/4+K388+SUMIF(I382:I387,$B$578,K382:K387)*$E$545+SUMIF(I382:I387,$B$579,K382:K387)*$E$548+SUMIF(I382:I387,$B$580,K382:K387)*$E$546+SUMIF(I382:I387,$B$581,K382:K387)*$E$547+SUMIF(I382:I387,$B$582,K382:K387)*$E$547+SUMIF(I382:I387,$B$583,K382:K387)*$E$549+SUMIF(I382:I387,$B$584,K382:K387)*$E$547+SUMIF(I382:I387,$B$585,K382:K387)*$E$549+SUMIF(I382:I387,$B$586,K382:K387)*$E$547+SUMIF(I382:I387,$B$587,K382:K387)*$E$551+SUMIF(I382:I387,$B$588,K382:K387)*$E$549+SUMIF(I382:I387,$B$590,K382:K387)*$E$544+SUMIF(I382:I387,$B$589,K382:K387)*$E$550</f>
        <v>0</v>
      </c>
      <c r="U384" s="2921"/>
    </row>
    <row r="385" spans="1:21" hidden="1" x14ac:dyDescent="0.25">
      <c r="A385" s="2923"/>
      <c r="B385" s="1884" t="s">
        <v>1534</v>
      </c>
      <c r="C385" s="1885" t="s">
        <v>728</v>
      </c>
      <c r="D385" s="1886"/>
      <c r="E385" s="1887" t="s">
        <v>1535</v>
      </c>
      <c r="F385" s="1888" t="s">
        <v>728</v>
      </c>
      <c r="G385" s="1900">
        <f>(H383+H384)*$C$555+G382*$C$556+(R383-(H383+H384)*$E$527)*$C$555/50+(T384-G382*16)*$C$556/50</f>
        <v>0</v>
      </c>
      <c r="H385" s="1886">
        <f t="shared" si="263"/>
        <v>0</v>
      </c>
      <c r="I385" s="1889"/>
      <c r="J385" s="1890" t="s">
        <v>732</v>
      </c>
      <c r="K385" s="2647">
        <v>0</v>
      </c>
      <c r="L385" s="2646">
        <f t="shared" si="261"/>
        <v>0</v>
      </c>
      <c r="M385" s="2226">
        <f t="shared" si="264"/>
        <v>1</v>
      </c>
      <c r="N385" s="2649">
        <f>+$T383</f>
        <v>1.5</v>
      </c>
      <c r="O385" s="1896"/>
      <c r="P385" s="1897"/>
      <c r="Q385" s="1897"/>
      <c r="R385" s="1897"/>
      <c r="S385" s="1895" t="s">
        <v>3408</v>
      </c>
      <c r="T385" s="2674">
        <f>H382*64/4+L388+SUMIF(I382:I387,$B$578,L382:L387)*$E$545+SUMIF(I382:I387,$B$579,L382:L387)*$E$548+SUMIF(I382:I387,$B$580,L382:L387)*$E$546+SUMIF(I382:I387,$B$581,L382:L387)*$E$547+SUMIF(I382:I387,$B$582,L382:L387)*$E$547+SUMIF(I382:I387,$B$583,L382:L387)*$E$549+SUMIF(I382:I387,$B$584,L382:L387)*$E$547+SUMIF(I382:I387,$B$585,L382:L387)*$E$549+SUMIF(I382:I387,$B$586,L382:L387)*$E$547+SUMIF(I382:I387,$B$587,L382:L387)*$E$551+SUMIF(I382:I387,$B$588,L382:L387)*$E$549+SUMIF(I382:I387,$B$590,L382:L387)*$E$544+SUMIF(I382:I387,$B$589,L382:L387)*$E$550</f>
        <v>0</v>
      </c>
      <c r="U385" s="2921"/>
    </row>
    <row r="386" spans="1:21" ht="29.1" hidden="1" customHeight="1" x14ac:dyDescent="0.25">
      <c r="A386" s="2923"/>
      <c r="B386" s="1884"/>
      <c r="C386" s="1885"/>
      <c r="D386" s="1885"/>
      <c r="E386" s="1901" t="s">
        <v>1536</v>
      </c>
      <c r="F386" s="1888" t="s">
        <v>740</v>
      </c>
      <c r="G386" s="1900">
        <f>(H383*$E$527+H384*$E$527)*$C$557+R383*$C$557+T384*$C$558/T383</f>
        <v>0</v>
      </c>
      <c r="H386" s="1886">
        <f t="shared" si="263"/>
        <v>0</v>
      </c>
      <c r="I386" s="1889"/>
      <c r="J386" s="1890" t="s">
        <v>732</v>
      </c>
      <c r="K386" s="2647">
        <v>0</v>
      </c>
      <c r="L386" s="2646">
        <f t="shared" si="261"/>
        <v>0</v>
      </c>
      <c r="M386" s="2226">
        <f t="shared" si="264"/>
        <v>1</v>
      </c>
      <c r="N386" s="2649">
        <f>+$T383</f>
        <v>1.5</v>
      </c>
      <c r="O386" s="1896"/>
      <c r="P386" s="1897"/>
      <c r="Q386" s="1897"/>
      <c r="R386" s="1902"/>
      <c r="S386" s="1895" t="s">
        <v>1537</v>
      </c>
      <c r="T386" s="2673">
        <f>+T385*T382</f>
        <v>0</v>
      </c>
      <c r="U386" s="2921"/>
    </row>
    <row r="387" spans="1:21" hidden="1" x14ac:dyDescent="0.25">
      <c r="A387" s="2923"/>
      <c r="B387" s="1884"/>
      <c r="C387" s="1885"/>
      <c r="D387" s="1885"/>
      <c r="E387" s="1887"/>
      <c r="F387" s="1888"/>
      <c r="G387" s="1886"/>
      <c r="H387" s="1886"/>
      <c r="I387" s="1889"/>
      <c r="J387" s="1890" t="s">
        <v>732</v>
      </c>
      <c r="K387" s="2647">
        <v>0</v>
      </c>
      <c r="L387" s="2646">
        <f t="shared" si="261"/>
        <v>0</v>
      </c>
      <c r="M387" s="2226">
        <f t="shared" si="264"/>
        <v>1</v>
      </c>
      <c r="N387" s="2649">
        <f>+$T383</f>
        <v>1.5</v>
      </c>
      <c r="O387" s="1903"/>
      <c r="P387" s="1902"/>
      <c r="Q387" s="1902"/>
      <c r="R387" s="1902"/>
      <c r="S387" s="1904"/>
      <c r="T387" s="1905"/>
      <c r="U387" s="2921"/>
    </row>
    <row r="388" spans="1:21" ht="60.75" hidden="1" thickBot="1" x14ac:dyDescent="0.3">
      <c r="A388" s="2925"/>
      <c r="B388" s="1906"/>
      <c r="C388" s="1907"/>
      <c r="D388" s="1907"/>
      <c r="E388" s="1908"/>
      <c r="F388" s="1909"/>
      <c r="G388" s="1910"/>
      <c r="H388" s="1910"/>
      <c r="I388" s="1911" t="s">
        <v>1538</v>
      </c>
      <c r="J388" s="1912" t="s">
        <v>740</v>
      </c>
      <c r="K388" s="2658">
        <v>0</v>
      </c>
      <c r="L388" s="2659">
        <f t="shared" si="261"/>
        <v>0</v>
      </c>
      <c r="M388" s="2660">
        <f>IF(T388="YES",$C$554,1)</f>
        <v>1</v>
      </c>
      <c r="N388" s="2661">
        <f>+$T383</f>
        <v>1.5</v>
      </c>
      <c r="O388" s="1913"/>
      <c r="P388" s="1914"/>
      <c r="Q388" s="1914"/>
      <c r="R388" s="1914"/>
      <c r="S388" s="1920" t="s">
        <v>1539</v>
      </c>
      <c r="T388" s="1921" t="s">
        <v>1540</v>
      </c>
      <c r="U388" s="2924"/>
    </row>
    <row r="389" spans="1:21" ht="27" hidden="1" customHeight="1" thickBot="1" x14ac:dyDescent="0.3">
      <c r="A389" s="1915"/>
      <c r="B389" s="1916"/>
      <c r="C389" s="1917"/>
      <c r="D389" s="1917"/>
      <c r="E389" s="1916"/>
      <c r="F389" s="1917"/>
      <c r="G389" s="1917"/>
      <c r="H389" s="1917"/>
      <c r="I389" s="1916"/>
      <c r="J389" s="1917"/>
      <c r="K389" s="2669"/>
      <c r="L389" s="2669"/>
      <c r="M389" s="2669"/>
      <c r="N389" s="2669"/>
      <c r="O389" s="1916"/>
      <c r="P389" s="1917"/>
      <c r="Q389" s="1917"/>
      <c r="R389" s="1917"/>
      <c r="S389" s="1918"/>
      <c r="T389" s="1917"/>
      <c r="U389" s="1919"/>
    </row>
    <row r="390" spans="1:21" ht="26.85" hidden="1" customHeight="1" x14ac:dyDescent="0.25">
      <c r="A390" s="1870" t="s">
        <v>1513</v>
      </c>
      <c r="B390" s="1871" t="s">
        <v>1523</v>
      </c>
      <c r="C390" s="1872" t="s">
        <v>740</v>
      </c>
      <c r="D390" s="1873"/>
      <c r="E390" s="1874" t="s">
        <v>1524</v>
      </c>
      <c r="F390" s="1875" t="s">
        <v>728</v>
      </c>
      <c r="G390" s="1873"/>
      <c r="H390" s="1873">
        <f t="shared" ref="H390" si="266">G390*M390*N390</f>
        <v>0</v>
      </c>
      <c r="I390" s="1876"/>
      <c r="J390" s="1877" t="s">
        <v>732</v>
      </c>
      <c r="K390" s="2672">
        <v>0</v>
      </c>
      <c r="L390" s="2645">
        <f t="shared" ref="L390:L396" si="267">IF(ISNUMBER(SEARCH("Timber",I390)),M390*K390*N390,K390)</f>
        <v>0</v>
      </c>
      <c r="M390" s="2225">
        <f>+$M396</f>
        <v>1</v>
      </c>
      <c r="N390" s="2648">
        <f>+$T391</f>
        <v>1.5</v>
      </c>
      <c r="O390" s="1878" t="s">
        <v>1512</v>
      </c>
      <c r="P390" s="1879" t="s">
        <v>740</v>
      </c>
      <c r="Q390" s="1880">
        <f t="shared" ref="Q390" si="268">R391*$E$532+T392*$E$533</f>
        <v>0</v>
      </c>
      <c r="R390" s="1881"/>
      <c r="S390" s="1882" t="s">
        <v>1525</v>
      </c>
      <c r="T390" s="1873">
        <v>30</v>
      </c>
      <c r="U390" s="2920" t="s">
        <v>1526</v>
      </c>
    </row>
    <row r="391" spans="1:21" ht="30" hidden="1" x14ac:dyDescent="0.25">
      <c r="A391" s="1883">
        <f>A383+1</f>
        <v>49</v>
      </c>
      <c r="B391" s="1884" t="s">
        <v>1527</v>
      </c>
      <c r="C391" s="1885" t="s">
        <v>740</v>
      </c>
      <c r="D391" s="1886"/>
      <c r="E391" s="1887" t="s">
        <v>1528</v>
      </c>
      <c r="F391" s="1888" t="s">
        <v>728</v>
      </c>
      <c r="G391" s="1886"/>
      <c r="H391" s="1886">
        <f t="shared" ref="H391:H394" si="269">G391</f>
        <v>0</v>
      </c>
      <c r="I391" s="1889"/>
      <c r="J391" s="1890" t="s">
        <v>732</v>
      </c>
      <c r="K391" s="2647">
        <v>0</v>
      </c>
      <c r="L391" s="2646">
        <f t="shared" si="267"/>
        <v>0</v>
      </c>
      <c r="M391" s="2226">
        <f t="shared" ref="M391:M395" si="270">M392</f>
        <v>1</v>
      </c>
      <c r="N391" s="2649">
        <f>+$T391</f>
        <v>1.5</v>
      </c>
      <c r="O391" s="1891" t="s">
        <v>1512</v>
      </c>
      <c r="P391" s="1892" t="s">
        <v>740</v>
      </c>
      <c r="Q391" s="1893"/>
      <c r="R391" s="1894">
        <f>H391*$E$527*0+H392*$E$527*0+SUMIF(I390:I395,$B$565,L390:L395)*$E$537+SUMIF(I390:I395,$B$566,L390:L395)*$E$540+SUMIF(I390:I395,$B$567,L390:L395)*$E$538+SUMIF(I390:I395,$B$568,L390:L395)*$E$539+SUMIF(I390:I395,$B$569,L390:L395)*$E$539+SUMIF(I390:I395,$B$570,L390:L395)*$E$541+SUMIF(I390:I395,$B$571,L390:L395)*$E$539+SUMIF(I390:I395,$B$572,L390:L395)*$E$541+SUMIF(I390:I395,$B$573,L390:L395)*$E$539+SUMIF(I390:I395,$B$574,L390:L395)*$E$543+SUMIF(I390:I395,$B$575,L390:L395)*$E$541+SUMIF(I390:I395,$B$577,L390:L395)*$E$536+SUMIF(I390:I395,$B$576,L390:L395)*$E$542+SUMIF(I390:I395,$B$563,L390:L395)*$E$539</f>
        <v>0</v>
      </c>
      <c r="S391" s="1895" t="s">
        <v>1529</v>
      </c>
      <c r="T391" s="2644">
        <f>+'Data Input sheet'!$D$112</f>
        <v>1.5</v>
      </c>
      <c r="U391" s="2921"/>
    </row>
    <row r="392" spans="1:21" ht="30" hidden="1" x14ac:dyDescent="0.25">
      <c r="A392" s="2922" t="s">
        <v>1530</v>
      </c>
      <c r="B392" s="1884" t="s">
        <v>1531</v>
      </c>
      <c r="C392" s="1885" t="s">
        <v>732</v>
      </c>
      <c r="D392" s="1886"/>
      <c r="E392" s="1887" t="s">
        <v>1532</v>
      </c>
      <c r="F392" s="1888" t="s">
        <v>728</v>
      </c>
      <c r="G392" s="1886"/>
      <c r="H392" s="1886">
        <f t="shared" si="269"/>
        <v>0</v>
      </c>
      <c r="I392" s="1889"/>
      <c r="J392" s="1890" t="s">
        <v>732</v>
      </c>
      <c r="K392" s="2647">
        <v>0</v>
      </c>
      <c r="L392" s="2646">
        <f t="shared" si="267"/>
        <v>0</v>
      </c>
      <c r="M392" s="2226">
        <f t="shared" si="270"/>
        <v>1</v>
      </c>
      <c r="N392" s="2649">
        <f>+$T391</f>
        <v>1.5</v>
      </c>
      <c r="O392" s="1896"/>
      <c r="P392" s="1897"/>
      <c r="Q392" s="1898"/>
      <c r="R392" s="1899">
        <f t="shared" ref="R392" si="271">T392</f>
        <v>0</v>
      </c>
      <c r="S392" s="1895" t="s">
        <v>1533</v>
      </c>
      <c r="T392" s="2673">
        <f>G390*64/4+K396+SUMIF(I390:I395,$B$578,K390:K395)*$E$545+SUMIF(I390:I395,$B$579,K390:K395)*$E$548+SUMIF(I390:I395,$B$580,K390:K395)*$E$546+SUMIF(I390:I395,$B$581,K390:K395)*$E$547+SUMIF(I390:I395,$B$582,K390:K395)*$E$547+SUMIF(I390:I395,$B$583,K390:K395)*$E$549+SUMIF(I390:I395,$B$584,K390:K395)*$E$547+SUMIF(I390:I395,$B$585,K390:K395)*$E$549+SUMIF(I390:I395,$B$586,K390:K395)*$E$547+SUMIF(I390:I395,$B$587,K390:K395)*$E$551+SUMIF(I390:I395,$B$588,K390:K395)*$E$549+SUMIF(I390:I395,$B$590,K390:K395)*$E$544+SUMIF(I390:I395,$B$589,K390:K395)*$E$550</f>
        <v>0</v>
      </c>
      <c r="U392" s="2921"/>
    </row>
    <row r="393" spans="1:21" hidden="1" x14ac:dyDescent="0.25">
      <c r="A393" s="2923"/>
      <c r="B393" s="1884" t="s">
        <v>1534</v>
      </c>
      <c r="C393" s="1885" t="s">
        <v>728</v>
      </c>
      <c r="D393" s="1886"/>
      <c r="E393" s="1887" t="s">
        <v>1535</v>
      </c>
      <c r="F393" s="1888" t="s">
        <v>728</v>
      </c>
      <c r="G393" s="1900">
        <f>(H391+H392)*$C$555+G390*$C$556+(R391-(H391+H392)*$E$527)*$C$555/50+(T392-G390*16)*$C$556/50</f>
        <v>0</v>
      </c>
      <c r="H393" s="1886">
        <f t="shared" si="269"/>
        <v>0</v>
      </c>
      <c r="I393" s="1889"/>
      <c r="J393" s="1890" t="s">
        <v>732</v>
      </c>
      <c r="K393" s="2647">
        <v>0</v>
      </c>
      <c r="L393" s="2646">
        <f t="shared" si="267"/>
        <v>0</v>
      </c>
      <c r="M393" s="2226">
        <f t="shared" si="270"/>
        <v>1</v>
      </c>
      <c r="N393" s="2649">
        <f>+$T391</f>
        <v>1.5</v>
      </c>
      <c r="O393" s="1896"/>
      <c r="P393" s="1897"/>
      <c r="Q393" s="1897"/>
      <c r="R393" s="1897"/>
      <c r="S393" s="1895" t="s">
        <v>3408</v>
      </c>
      <c r="T393" s="2674">
        <f>H390*64/4+L396+SUMIF(I390:I395,$B$578,L390:L395)*$E$545+SUMIF(I390:I395,$B$579,L390:L395)*$E$548+SUMIF(I390:I395,$B$580,L390:L395)*$E$546+SUMIF(I390:I395,$B$581,L390:L395)*$E$547+SUMIF(I390:I395,$B$582,L390:L395)*$E$547+SUMIF(I390:I395,$B$583,L390:L395)*$E$549+SUMIF(I390:I395,$B$584,L390:L395)*$E$547+SUMIF(I390:I395,$B$585,L390:L395)*$E$549+SUMIF(I390:I395,$B$586,L390:L395)*$E$547+SUMIF(I390:I395,$B$587,L390:L395)*$E$551+SUMIF(I390:I395,$B$588,L390:L395)*$E$549+SUMIF(I390:I395,$B$590,L390:L395)*$E$544+SUMIF(I390:I395,$B$589,L390:L395)*$E$550</f>
        <v>0</v>
      </c>
      <c r="U393" s="2921"/>
    </row>
    <row r="394" spans="1:21" ht="29.1" hidden="1" customHeight="1" x14ac:dyDescent="0.25">
      <c r="A394" s="2923"/>
      <c r="B394" s="1884"/>
      <c r="C394" s="1885"/>
      <c r="D394" s="1885"/>
      <c r="E394" s="1901" t="s">
        <v>1536</v>
      </c>
      <c r="F394" s="1888" t="s">
        <v>740</v>
      </c>
      <c r="G394" s="1900">
        <f>(H391*$E$527+H392*$E$527)*$C$557+R391*$C$557+T392*$C$558/T391</f>
        <v>0</v>
      </c>
      <c r="H394" s="1886">
        <f t="shared" si="269"/>
        <v>0</v>
      </c>
      <c r="I394" s="1889"/>
      <c r="J394" s="1890" t="s">
        <v>732</v>
      </c>
      <c r="K394" s="2647">
        <v>0</v>
      </c>
      <c r="L394" s="2646">
        <f t="shared" si="267"/>
        <v>0</v>
      </c>
      <c r="M394" s="2226">
        <f t="shared" si="270"/>
        <v>1</v>
      </c>
      <c r="N394" s="2649">
        <f>+$T391</f>
        <v>1.5</v>
      </c>
      <c r="O394" s="1896"/>
      <c r="P394" s="1897"/>
      <c r="Q394" s="1897"/>
      <c r="R394" s="1902"/>
      <c r="S394" s="1895" t="s">
        <v>1537</v>
      </c>
      <c r="T394" s="2673">
        <f>+T393*T390</f>
        <v>0</v>
      </c>
      <c r="U394" s="2921"/>
    </row>
    <row r="395" spans="1:21" hidden="1" x14ac:dyDescent="0.25">
      <c r="A395" s="2923"/>
      <c r="B395" s="1884"/>
      <c r="C395" s="1885"/>
      <c r="D395" s="1885"/>
      <c r="E395" s="1887"/>
      <c r="F395" s="1888"/>
      <c r="G395" s="1886"/>
      <c r="H395" s="1886"/>
      <c r="I395" s="1889"/>
      <c r="J395" s="1890" t="s">
        <v>732</v>
      </c>
      <c r="K395" s="2647">
        <v>0</v>
      </c>
      <c r="L395" s="2646">
        <f t="shared" si="267"/>
        <v>0</v>
      </c>
      <c r="M395" s="2226">
        <f t="shared" si="270"/>
        <v>1</v>
      </c>
      <c r="N395" s="2649">
        <f>+$T391</f>
        <v>1.5</v>
      </c>
      <c r="O395" s="1903"/>
      <c r="P395" s="1902"/>
      <c r="Q395" s="1902"/>
      <c r="R395" s="1902"/>
      <c r="S395" s="1904"/>
      <c r="T395" s="1905"/>
      <c r="U395" s="2921"/>
    </row>
    <row r="396" spans="1:21" ht="60.75" hidden="1" thickBot="1" x14ac:dyDescent="0.3">
      <c r="A396" s="2925"/>
      <c r="B396" s="1906"/>
      <c r="C396" s="1907"/>
      <c r="D396" s="1907"/>
      <c r="E396" s="1908"/>
      <c r="F396" s="1909"/>
      <c r="G396" s="1910"/>
      <c r="H396" s="1910"/>
      <c r="I396" s="1911" t="s">
        <v>1538</v>
      </c>
      <c r="J396" s="1912" t="s">
        <v>740</v>
      </c>
      <c r="K396" s="2658">
        <v>0</v>
      </c>
      <c r="L396" s="2659">
        <f t="shared" si="267"/>
        <v>0</v>
      </c>
      <c r="M396" s="2660">
        <f>IF(T396="YES",$C$554,1)</f>
        <v>1</v>
      </c>
      <c r="N396" s="2661">
        <f>+$T391</f>
        <v>1.5</v>
      </c>
      <c r="O396" s="1913"/>
      <c r="P396" s="1914"/>
      <c r="Q396" s="1914"/>
      <c r="R396" s="1914"/>
      <c r="S396" s="1920" t="s">
        <v>1539</v>
      </c>
      <c r="T396" s="1921" t="s">
        <v>1540</v>
      </c>
      <c r="U396" s="2924"/>
    </row>
    <row r="397" spans="1:21" ht="27" hidden="1" customHeight="1" thickBot="1" x14ac:dyDescent="0.3">
      <c r="A397" s="1915"/>
      <c r="B397" s="1916"/>
      <c r="C397" s="1917"/>
      <c r="D397" s="1917"/>
      <c r="E397" s="1916"/>
      <c r="F397" s="1917"/>
      <c r="G397" s="1917"/>
      <c r="H397" s="1917"/>
      <c r="I397" s="1916"/>
      <c r="J397" s="1917"/>
      <c r="K397" s="2669"/>
      <c r="L397" s="2669"/>
      <c r="M397" s="2669"/>
      <c r="N397" s="2669"/>
      <c r="O397" s="1916"/>
      <c r="P397" s="1917"/>
      <c r="Q397" s="1917"/>
      <c r="R397" s="1917"/>
      <c r="S397" s="1918"/>
      <c r="T397" s="1917"/>
      <c r="U397" s="1919"/>
    </row>
    <row r="398" spans="1:21" ht="26.85" hidden="1" customHeight="1" x14ac:dyDescent="0.25">
      <c r="A398" s="1870" t="s">
        <v>1513</v>
      </c>
      <c r="B398" s="1871" t="s">
        <v>1523</v>
      </c>
      <c r="C398" s="1872" t="s">
        <v>740</v>
      </c>
      <c r="D398" s="1873"/>
      <c r="E398" s="1874" t="s">
        <v>1524</v>
      </c>
      <c r="F398" s="1875" t="s">
        <v>728</v>
      </c>
      <c r="G398" s="1873"/>
      <c r="H398" s="1873">
        <f t="shared" ref="H398" si="272">G398*M398*N398</f>
        <v>0</v>
      </c>
      <c r="I398" s="1876"/>
      <c r="J398" s="1877" t="s">
        <v>732</v>
      </c>
      <c r="K398" s="2672">
        <v>0</v>
      </c>
      <c r="L398" s="2645">
        <f t="shared" ref="L398:L404" si="273">IF(ISNUMBER(SEARCH("Timber",I398)),M398*K398*N398,K398)</f>
        <v>0</v>
      </c>
      <c r="M398" s="2225">
        <f>+$M404</f>
        <v>1</v>
      </c>
      <c r="N398" s="2648">
        <f>+$T399</f>
        <v>1.5</v>
      </c>
      <c r="O398" s="1878" t="s">
        <v>1512</v>
      </c>
      <c r="P398" s="1879" t="s">
        <v>740</v>
      </c>
      <c r="Q398" s="1880">
        <f t="shared" ref="Q398" si="274">R399*$E$532+T400*$E$533</f>
        <v>0</v>
      </c>
      <c r="R398" s="1881"/>
      <c r="S398" s="1882" t="s">
        <v>1525</v>
      </c>
      <c r="T398" s="1873">
        <v>30</v>
      </c>
      <c r="U398" s="2920" t="s">
        <v>1526</v>
      </c>
    </row>
    <row r="399" spans="1:21" ht="30" hidden="1" x14ac:dyDescent="0.25">
      <c r="A399" s="1883">
        <f>A391+1</f>
        <v>50</v>
      </c>
      <c r="B399" s="1884" t="s">
        <v>1527</v>
      </c>
      <c r="C399" s="1885" t="s">
        <v>740</v>
      </c>
      <c r="D399" s="1886"/>
      <c r="E399" s="1887" t="s">
        <v>1528</v>
      </c>
      <c r="F399" s="1888" t="s">
        <v>728</v>
      </c>
      <c r="G399" s="1886"/>
      <c r="H399" s="1886">
        <f t="shared" ref="H399:H402" si="275">G399</f>
        <v>0</v>
      </c>
      <c r="I399" s="1889"/>
      <c r="J399" s="1890" t="s">
        <v>732</v>
      </c>
      <c r="K399" s="2647">
        <v>0</v>
      </c>
      <c r="L399" s="2646">
        <f t="shared" si="273"/>
        <v>0</v>
      </c>
      <c r="M399" s="2226">
        <f t="shared" ref="M399:M403" si="276">M400</f>
        <v>1</v>
      </c>
      <c r="N399" s="2649">
        <f>+$T399</f>
        <v>1.5</v>
      </c>
      <c r="O399" s="1891" t="s">
        <v>1512</v>
      </c>
      <c r="P399" s="1892" t="s">
        <v>740</v>
      </c>
      <c r="Q399" s="1893"/>
      <c r="R399" s="1894">
        <f>H399*$E$527*0+H400*$E$527*0+SUMIF(I398:I403,$B$565,L398:L403)*$E$537+SUMIF(I398:I403,$B$566,L398:L403)*$E$540+SUMIF(I398:I403,$B$567,L398:L403)*$E$538+SUMIF(I398:I403,$B$568,L398:L403)*$E$539+SUMIF(I398:I403,$B$569,L398:L403)*$E$539+SUMIF(I398:I403,$B$570,L398:L403)*$E$541+SUMIF(I398:I403,$B$571,L398:L403)*$E$539+SUMIF(I398:I403,$B$572,L398:L403)*$E$541+SUMIF(I398:I403,$B$573,L398:L403)*$E$539+SUMIF(I398:I403,$B$574,L398:L403)*$E$543+SUMIF(I398:I403,$B$575,L398:L403)*$E$541+SUMIF(I398:I403,$B$577,L398:L403)*$E$536+SUMIF(I398:I403,$B$576,L398:L403)*$E$542+SUMIF(I398:I403,$B$563,L398:L403)*$E$539</f>
        <v>0</v>
      </c>
      <c r="S399" s="1895" t="s">
        <v>1529</v>
      </c>
      <c r="T399" s="2644">
        <f>+'Data Input sheet'!$D$112</f>
        <v>1.5</v>
      </c>
      <c r="U399" s="2921"/>
    </row>
    <row r="400" spans="1:21" ht="30" hidden="1" x14ac:dyDescent="0.25">
      <c r="A400" s="2922" t="s">
        <v>1530</v>
      </c>
      <c r="B400" s="1884" t="s">
        <v>1531</v>
      </c>
      <c r="C400" s="1885" t="s">
        <v>732</v>
      </c>
      <c r="D400" s="1886"/>
      <c r="E400" s="1887" t="s">
        <v>1532</v>
      </c>
      <c r="F400" s="1888" t="s">
        <v>728</v>
      </c>
      <c r="G400" s="1886"/>
      <c r="H400" s="1886">
        <f t="shared" si="275"/>
        <v>0</v>
      </c>
      <c r="I400" s="1889"/>
      <c r="J400" s="1890" t="s">
        <v>732</v>
      </c>
      <c r="K400" s="2647">
        <v>0</v>
      </c>
      <c r="L400" s="2646">
        <f t="shared" si="273"/>
        <v>0</v>
      </c>
      <c r="M400" s="2226">
        <f t="shared" si="276"/>
        <v>1</v>
      </c>
      <c r="N400" s="2649">
        <f>+$T399</f>
        <v>1.5</v>
      </c>
      <c r="O400" s="1896"/>
      <c r="P400" s="1897"/>
      <c r="Q400" s="1898"/>
      <c r="R400" s="1899">
        <f t="shared" ref="R400" si="277">T400</f>
        <v>0</v>
      </c>
      <c r="S400" s="1895" t="s">
        <v>1533</v>
      </c>
      <c r="T400" s="2673">
        <f>G398*64/4+K404+SUMIF(I398:I403,$B$578,K398:K403)*$E$545+SUMIF(I398:I403,$B$579,K398:K403)*$E$548+SUMIF(I398:I403,$B$580,K398:K403)*$E$546+SUMIF(I398:I403,$B$581,K398:K403)*$E$547+SUMIF(I398:I403,$B$582,K398:K403)*$E$547+SUMIF(I398:I403,$B$583,K398:K403)*$E$549+SUMIF(I398:I403,$B$584,K398:K403)*$E$547+SUMIF(I398:I403,$B$585,K398:K403)*$E$549+SUMIF(I398:I403,$B$586,K398:K403)*$E$547+SUMIF(I398:I403,$B$587,K398:K403)*$E$551+SUMIF(I398:I403,$B$588,K398:K403)*$E$549+SUMIF(I398:I403,$B$590,K398:K403)*$E$544+SUMIF(I398:I403,$B$589,K398:K403)*$E$550</f>
        <v>0</v>
      </c>
      <c r="U400" s="2921"/>
    </row>
    <row r="401" spans="1:21" hidden="1" x14ac:dyDescent="0.25">
      <c r="A401" s="2923"/>
      <c r="B401" s="1884" t="s">
        <v>1534</v>
      </c>
      <c r="C401" s="1885" t="s">
        <v>728</v>
      </c>
      <c r="D401" s="1886"/>
      <c r="E401" s="1887" t="s">
        <v>1535</v>
      </c>
      <c r="F401" s="1888" t="s">
        <v>728</v>
      </c>
      <c r="G401" s="1900">
        <f>(H399+H400)*$C$555+G398*$C$556+(R399-(H399+H400)*$E$527)*$C$555/50+(T400-G398*16)*$C$556/50</f>
        <v>0</v>
      </c>
      <c r="H401" s="1886">
        <f t="shared" si="275"/>
        <v>0</v>
      </c>
      <c r="I401" s="1889"/>
      <c r="J401" s="1890" t="s">
        <v>732</v>
      </c>
      <c r="K401" s="2647">
        <v>0</v>
      </c>
      <c r="L401" s="2646">
        <f t="shared" si="273"/>
        <v>0</v>
      </c>
      <c r="M401" s="2226">
        <f t="shared" si="276"/>
        <v>1</v>
      </c>
      <c r="N401" s="2649">
        <f>+$T399</f>
        <v>1.5</v>
      </c>
      <c r="O401" s="1896"/>
      <c r="P401" s="1897"/>
      <c r="Q401" s="1897"/>
      <c r="R401" s="1897"/>
      <c r="S401" s="1895" t="s">
        <v>3408</v>
      </c>
      <c r="T401" s="2674">
        <f>H398*64/4+L404+SUMIF(I398:I403,$B$578,L398:L403)*$E$545+SUMIF(I398:I403,$B$579,L398:L403)*$E$548+SUMIF(I398:I403,$B$580,L398:L403)*$E$546+SUMIF(I398:I403,$B$581,L398:L403)*$E$547+SUMIF(I398:I403,$B$582,L398:L403)*$E$547+SUMIF(I398:I403,$B$583,L398:L403)*$E$549+SUMIF(I398:I403,$B$584,L398:L403)*$E$547+SUMIF(I398:I403,$B$585,L398:L403)*$E$549+SUMIF(I398:I403,$B$586,L398:L403)*$E$547+SUMIF(I398:I403,$B$587,L398:L403)*$E$551+SUMIF(I398:I403,$B$588,L398:L403)*$E$549+SUMIF(I398:I403,$B$590,L398:L403)*$E$544+SUMIF(I398:I403,$B$589,L398:L403)*$E$550</f>
        <v>0</v>
      </c>
      <c r="U401" s="2921"/>
    </row>
    <row r="402" spans="1:21" ht="29.1" hidden="1" customHeight="1" x14ac:dyDescent="0.25">
      <c r="A402" s="2923"/>
      <c r="B402" s="1884"/>
      <c r="C402" s="1885"/>
      <c r="D402" s="1885"/>
      <c r="E402" s="1901" t="s">
        <v>1536</v>
      </c>
      <c r="F402" s="1888" t="s">
        <v>740</v>
      </c>
      <c r="G402" s="1900">
        <f>(H399*$E$527+H400*$E$527)*$C$557+R399*$C$557+T400*$C$558/T399</f>
        <v>0</v>
      </c>
      <c r="H402" s="1886">
        <f t="shared" si="275"/>
        <v>0</v>
      </c>
      <c r="I402" s="1889"/>
      <c r="J402" s="1890" t="s">
        <v>732</v>
      </c>
      <c r="K402" s="2647">
        <v>0</v>
      </c>
      <c r="L402" s="2646">
        <f t="shared" si="273"/>
        <v>0</v>
      </c>
      <c r="M402" s="2226">
        <f t="shared" si="276"/>
        <v>1</v>
      </c>
      <c r="N402" s="2649">
        <f>+$T399</f>
        <v>1.5</v>
      </c>
      <c r="O402" s="1896"/>
      <c r="P402" s="1897"/>
      <c r="Q402" s="1897"/>
      <c r="R402" s="1902"/>
      <c r="S402" s="1895" t="s">
        <v>1537</v>
      </c>
      <c r="T402" s="2673">
        <f>+T401*T398</f>
        <v>0</v>
      </c>
      <c r="U402" s="2921"/>
    </row>
    <row r="403" spans="1:21" hidden="1" x14ac:dyDescent="0.25">
      <c r="A403" s="2923"/>
      <c r="B403" s="1884"/>
      <c r="C403" s="1885"/>
      <c r="D403" s="1885"/>
      <c r="E403" s="1887"/>
      <c r="F403" s="1888"/>
      <c r="G403" s="1886"/>
      <c r="H403" s="1886"/>
      <c r="I403" s="1889"/>
      <c r="J403" s="1890" t="s">
        <v>732</v>
      </c>
      <c r="K403" s="2647">
        <v>0</v>
      </c>
      <c r="L403" s="2646">
        <f t="shared" si="273"/>
        <v>0</v>
      </c>
      <c r="M403" s="2226">
        <f t="shared" si="276"/>
        <v>1</v>
      </c>
      <c r="N403" s="2649">
        <f>+$T399</f>
        <v>1.5</v>
      </c>
      <c r="O403" s="1903"/>
      <c r="P403" s="1902"/>
      <c r="Q403" s="1902"/>
      <c r="R403" s="1902"/>
      <c r="S403" s="1904"/>
      <c r="T403" s="1905"/>
      <c r="U403" s="2921"/>
    </row>
    <row r="404" spans="1:21" ht="60.75" hidden="1" thickBot="1" x14ac:dyDescent="0.3">
      <c r="A404" s="2925"/>
      <c r="B404" s="1906"/>
      <c r="C404" s="1907"/>
      <c r="D404" s="1907"/>
      <c r="E404" s="1908"/>
      <c r="F404" s="1909"/>
      <c r="G404" s="1910"/>
      <c r="H404" s="1910"/>
      <c r="I404" s="1911" t="s">
        <v>1538</v>
      </c>
      <c r="J404" s="1912" t="s">
        <v>740</v>
      </c>
      <c r="K404" s="2658">
        <v>0</v>
      </c>
      <c r="L404" s="2659">
        <f t="shared" si="273"/>
        <v>0</v>
      </c>
      <c r="M404" s="2660">
        <f>IF(T404="YES",$C$554,1)</f>
        <v>1</v>
      </c>
      <c r="N404" s="2661">
        <f>+$T399</f>
        <v>1.5</v>
      </c>
      <c r="O404" s="1913"/>
      <c r="P404" s="1914"/>
      <c r="Q404" s="1914"/>
      <c r="R404" s="1914"/>
      <c r="S404" s="1920" t="s">
        <v>1539</v>
      </c>
      <c r="T404" s="1921" t="s">
        <v>1540</v>
      </c>
      <c r="U404" s="2924"/>
    </row>
    <row r="405" spans="1:21" ht="27" hidden="1" customHeight="1" thickBot="1" x14ac:dyDescent="0.3">
      <c r="A405" s="1915"/>
      <c r="B405" s="1916"/>
      <c r="C405" s="1917"/>
      <c r="D405" s="1917"/>
      <c r="E405" s="1916"/>
      <c r="F405" s="1917"/>
      <c r="G405" s="1917"/>
      <c r="H405" s="1917"/>
      <c r="I405" s="1916"/>
      <c r="J405" s="1917"/>
      <c r="K405" s="2669"/>
      <c r="L405" s="2669"/>
      <c r="M405" s="2669"/>
      <c r="N405" s="2669"/>
      <c r="O405" s="1916"/>
      <c r="P405" s="1917"/>
      <c r="Q405" s="1917"/>
      <c r="R405" s="1917"/>
      <c r="S405" s="1918"/>
      <c r="T405" s="1917"/>
      <c r="U405" s="1919"/>
    </row>
    <row r="406" spans="1:21" ht="26.85" hidden="1" customHeight="1" x14ac:dyDescent="0.25">
      <c r="A406" s="1870" t="s">
        <v>1513</v>
      </c>
      <c r="B406" s="1871" t="s">
        <v>1523</v>
      </c>
      <c r="C406" s="1872" t="s">
        <v>740</v>
      </c>
      <c r="D406" s="1873"/>
      <c r="E406" s="1874" t="s">
        <v>1524</v>
      </c>
      <c r="F406" s="1875" t="s">
        <v>728</v>
      </c>
      <c r="G406" s="1873"/>
      <c r="H406" s="1873">
        <f t="shared" ref="H406" si="278">G406*M406*N406</f>
        <v>0</v>
      </c>
      <c r="I406" s="1876"/>
      <c r="J406" s="1877" t="s">
        <v>732</v>
      </c>
      <c r="K406" s="2672">
        <v>0</v>
      </c>
      <c r="L406" s="2645">
        <f t="shared" ref="L406:L412" si="279">IF(ISNUMBER(SEARCH("Timber",I406)),M406*K406*N406,K406)</f>
        <v>0</v>
      </c>
      <c r="M406" s="2225">
        <f>+$M412</f>
        <v>1</v>
      </c>
      <c r="N406" s="2648">
        <f>+$T407</f>
        <v>1.5</v>
      </c>
      <c r="O406" s="1878" t="s">
        <v>1512</v>
      </c>
      <c r="P406" s="1879" t="s">
        <v>740</v>
      </c>
      <c r="Q406" s="1880">
        <f t="shared" ref="Q406" si="280">R407*$E$532+T408*$E$533</f>
        <v>0</v>
      </c>
      <c r="R406" s="1881"/>
      <c r="S406" s="1882" t="s">
        <v>1525</v>
      </c>
      <c r="T406" s="1873">
        <v>30</v>
      </c>
      <c r="U406" s="2920" t="s">
        <v>1526</v>
      </c>
    </row>
    <row r="407" spans="1:21" ht="30" hidden="1" x14ac:dyDescent="0.25">
      <c r="A407" s="1883">
        <f>A399+1</f>
        <v>51</v>
      </c>
      <c r="B407" s="1884" t="s">
        <v>1527</v>
      </c>
      <c r="C407" s="1885" t="s">
        <v>740</v>
      </c>
      <c r="D407" s="1886"/>
      <c r="E407" s="1887" t="s">
        <v>1528</v>
      </c>
      <c r="F407" s="1888" t="s">
        <v>728</v>
      </c>
      <c r="G407" s="1886"/>
      <c r="H407" s="1886">
        <f t="shared" ref="H407:H410" si="281">G407</f>
        <v>0</v>
      </c>
      <c r="I407" s="1889"/>
      <c r="J407" s="1890" t="s">
        <v>732</v>
      </c>
      <c r="K407" s="2647">
        <v>0</v>
      </c>
      <c r="L407" s="2646">
        <f t="shared" si="279"/>
        <v>0</v>
      </c>
      <c r="M407" s="2226">
        <f t="shared" ref="M407:M411" si="282">M408</f>
        <v>1</v>
      </c>
      <c r="N407" s="2649">
        <f>+$T407</f>
        <v>1.5</v>
      </c>
      <c r="O407" s="1891" t="s">
        <v>1512</v>
      </c>
      <c r="P407" s="1892" t="s">
        <v>740</v>
      </c>
      <c r="Q407" s="1893"/>
      <c r="R407" s="1894">
        <f>H407*$E$527*0+H408*$E$527*0+SUMIF(I406:I411,$B$565,L406:L411)*$E$537+SUMIF(I406:I411,$B$566,L406:L411)*$E$540+SUMIF(I406:I411,$B$567,L406:L411)*$E$538+SUMIF(I406:I411,$B$568,L406:L411)*$E$539+SUMIF(I406:I411,$B$569,L406:L411)*$E$539+SUMIF(I406:I411,$B$570,L406:L411)*$E$541+SUMIF(I406:I411,$B$571,L406:L411)*$E$539+SUMIF(I406:I411,$B$572,L406:L411)*$E$541+SUMIF(I406:I411,$B$573,L406:L411)*$E$539+SUMIF(I406:I411,$B$574,L406:L411)*$E$543+SUMIF(I406:I411,$B$575,L406:L411)*$E$541+SUMIF(I406:I411,$B$577,L406:L411)*$E$536+SUMIF(I406:I411,$B$576,L406:L411)*$E$542+SUMIF(I406:I411,$B$563,L406:L411)*$E$539</f>
        <v>0</v>
      </c>
      <c r="S407" s="1895" t="s">
        <v>1529</v>
      </c>
      <c r="T407" s="2644">
        <f>+'Data Input sheet'!$D$112</f>
        <v>1.5</v>
      </c>
      <c r="U407" s="2921"/>
    </row>
    <row r="408" spans="1:21" ht="30" hidden="1" x14ac:dyDescent="0.25">
      <c r="A408" s="2922" t="s">
        <v>1530</v>
      </c>
      <c r="B408" s="1884" t="s">
        <v>1531</v>
      </c>
      <c r="C408" s="1885" t="s">
        <v>732</v>
      </c>
      <c r="D408" s="1886"/>
      <c r="E408" s="1887" t="s">
        <v>1532</v>
      </c>
      <c r="F408" s="1888" t="s">
        <v>728</v>
      </c>
      <c r="G408" s="1886"/>
      <c r="H408" s="1886">
        <f t="shared" si="281"/>
        <v>0</v>
      </c>
      <c r="I408" s="1889"/>
      <c r="J408" s="1890" t="s">
        <v>732</v>
      </c>
      <c r="K408" s="2647">
        <v>0</v>
      </c>
      <c r="L408" s="2646">
        <f t="shared" si="279"/>
        <v>0</v>
      </c>
      <c r="M408" s="2226">
        <f t="shared" si="282"/>
        <v>1</v>
      </c>
      <c r="N408" s="2649">
        <f>+$T407</f>
        <v>1.5</v>
      </c>
      <c r="O408" s="1896"/>
      <c r="P408" s="1897"/>
      <c r="Q408" s="1898"/>
      <c r="R408" s="1899">
        <f t="shared" ref="R408" si="283">T408</f>
        <v>0</v>
      </c>
      <c r="S408" s="1895" t="s">
        <v>1533</v>
      </c>
      <c r="T408" s="2673">
        <f>G406*64/4+K412+SUMIF(I406:I411,$B$578,K406:K411)*$E$545+SUMIF(I406:I411,$B$579,K406:K411)*$E$548+SUMIF(I406:I411,$B$580,K406:K411)*$E$546+SUMIF(I406:I411,$B$581,K406:K411)*$E$547+SUMIF(I406:I411,$B$582,K406:K411)*$E$547+SUMIF(I406:I411,$B$583,K406:K411)*$E$549+SUMIF(I406:I411,$B$584,K406:K411)*$E$547+SUMIF(I406:I411,$B$585,K406:K411)*$E$549+SUMIF(I406:I411,$B$586,K406:K411)*$E$547+SUMIF(I406:I411,$B$587,K406:K411)*$E$551+SUMIF(I406:I411,$B$588,K406:K411)*$E$549+SUMIF(I406:I411,$B$590,K406:K411)*$E$544+SUMIF(I406:I411,$B$589,K406:K411)*$E$550</f>
        <v>0</v>
      </c>
      <c r="U408" s="2921"/>
    </row>
    <row r="409" spans="1:21" hidden="1" x14ac:dyDescent="0.25">
      <c r="A409" s="2923"/>
      <c r="B409" s="1884" t="s">
        <v>1534</v>
      </c>
      <c r="C409" s="1885" t="s">
        <v>728</v>
      </c>
      <c r="D409" s="1886"/>
      <c r="E409" s="1887" t="s">
        <v>1535</v>
      </c>
      <c r="F409" s="1888" t="s">
        <v>728</v>
      </c>
      <c r="G409" s="1900">
        <f>(H407+H408)*$C$555+G406*$C$556+(R407-(H407+H408)*$E$527)*$C$555/50+(T408-G406*16)*$C$556/50</f>
        <v>0</v>
      </c>
      <c r="H409" s="1886">
        <f t="shared" si="281"/>
        <v>0</v>
      </c>
      <c r="I409" s="1889"/>
      <c r="J409" s="1890" t="s">
        <v>732</v>
      </c>
      <c r="K409" s="2647">
        <v>0</v>
      </c>
      <c r="L409" s="2646">
        <f t="shared" si="279"/>
        <v>0</v>
      </c>
      <c r="M409" s="2226">
        <f t="shared" si="282"/>
        <v>1</v>
      </c>
      <c r="N409" s="2649">
        <f>+$T407</f>
        <v>1.5</v>
      </c>
      <c r="O409" s="1896"/>
      <c r="P409" s="1897"/>
      <c r="Q409" s="1897"/>
      <c r="R409" s="1897"/>
      <c r="S409" s="1895" t="s">
        <v>3408</v>
      </c>
      <c r="T409" s="2674">
        <f>H406*64/4+L412+SUMIF(I406:I411,$B$578,L406:L411)*$E$545+SUMIF(I406:I411,$B$579,L406:L411)*$E$548+SUMIF(I406:I411,$B$580,L406:L411)*$E$546+SUMIF(I406:I411,$B$581,L406:L411)*$E$547+SUMIF(I406:I411,$B$582,L406:L411)*$E$547+SUMIF(I406:I411,$B$583,L406:L411)*$E$549+SUMIF(I406:I411,$B$584,L406:L411)*$E$547+SUMIF(I406:I411,$B$585,L406:L411)*$E$549+SUMIF(I406:I411,$B$586,L406:L411)*$E$547+SUMIF(I406:I411,$B$587,L406:L411)*$E$551+SUMIF(I406:I411,$B$588,L406:L411)*$E$549+SUMIF(I406:I411,$B$590,L406:L411)*$E$544+SUMIF(I406:I411,$B$589,L406:L411)*$E$550</f>
        <v>0</v>
      </c>
      <c r="U409" s="2921"/>
    </row>
    <row r="410" spans="1:21" ht="29.1" hidden="1" customHeight="1" x14ac:dyDescent="0.25">
      <c r="A410" s="2923"/>
      <c r="B410" s="1884"/>
      <c r="C410" s="1885"/>
      <c r="D410" s="1885"/>
      <c r="E410" s="1901" t="s">
        <v>1536</v>
      </c>
      <c r="F410" s="1888" t="s">
        <v>740</v>
      </c>
      <c r="G410" s="1900">
        <f>(H407*$E$527+H408*$E$527)*$C$557+R407*$C$557+T408*$C$558/T407</f>
        <v>0</v>
      </c>
      <c r="H410" s="1886">
        <f t="shared" si="281"/>
        <v>0</v>
      </c>
      <c r="I410" s="1889"/>
      <c r="J410" s="1890" t="s">
        <v>732</v>
      </c>
      <c r="K410" s="2647">
        <v>0</v>
      </c>
      <c r="L410" s="2646">
        <f t="shared" si="279"/>
        <v>0</v>
      </c>
      <c r="M410" s="2226">
        <f t="shared" si="282"/>
        <v>1</v>
      </c>
      <c r="N410" s="2649">
        <f>+$T407</f>
        <v>1.5</v>
      </c>
      <c r="O410" s="1896"/>
      <c r="P410" s="1897"/>
      <c r="Q410" s="1897"/>
      <c r="R410" s="1902"/>
      <c r="S410" s="1895" t="s">
        <v>1537</v>
      </c>
      <c r="T410" s="2673">
        <f>+T409*T406</f>
        <v>0</v>
      </c>
      <c r="U410" s="2921"/>
    </row>
    <row r="411" spans="1:21" hidden="1" x14ac:dyDescent="0.25">
      <c r="A411" s="2923"/>
      <c r="B411" s="1884"/>
      <c r="C411" s="1885"/>
      <c r="D411" s="1885"/>
      <c r="E411" s="1887"/>
      <c r="F411" s="1888"/>
      <c r="G411" s="1886"/>
      <c r="H411" s="1886"/>
      <c r="I411" s="1889"/>
      <c r="J411" s="1890" t="s">
        <v>732</v>
      </c>
      <c r="K411" s="2647">
        <v>0</v>
      </c>
      <c r="L411" s="2646">
        <f t="shared" si="279"/>
        <v>0</v>
      </c>
      <c r="M411" s="2226">
        <f t="shared" si="282"/>
        <v>1</v>
      </c>
      <c r="N411" s="2649">
        <f>+$T407</f>
        <v>1.5</v>
      </c>
      <c r="O411" s="1903"/>
      <c r="P411" s="1902"/>
      <c r="Q411" s="1902"/>
      <c r="R411" s="1902"/>
      <c r="S411" s="1904"/>
      <c r="T411" s="1905"/>
      <c r="U411" s="2921"/>
    </row>
    <row r="412" spans="1:21" ht="60.75" hidden="1" thickBot="1" x14ac:dyDescent="0.3">
      <c r="A412" s="2925"/>
      <c r="B412" s="1906"/>
      <c r="C412" s="1907"/>
      <c r="D412" s="1907"/>
      <c r="E412" s="1908"/>
      <c r="F412" s="1909"/>
      <c r="G412" s="1910"/>
      <c r="H412" s="1910"/>
      <c r="I412" s="1911" t="s">
        <v>1538</v>
      </c>
      <c r="J412" s="1912" t="s">
        <v>740</v>
      </c>
      <c r="K412" s="2658">
        <v>0</v>
      </c>
      <c r="L412" s="2659">
        <f t="shared" si="279"/>
        <v>0</v>
      </c>
      <c r="M412" s="2660">
        <f>IF(T412="YES",$C$554,1)</f>
        <v>1</v>
      </c>
      <c r="N412" s="2661">
        <f>+$T407</f>
        <v>1.5</v>
      </c>
      <c r="O412" s="1913"/>
      <c r="P412" s="1914"/>
      <c r="Q412" s="1914"/>
      <c r="R412" s="1914"/>
      <c r="S412" s="1920" t="s">
        <v>1539</v>
      </c>
      <c r="T412" s="1921" t="s">
        <v>1540</v>
      </c>
      <c r="U412" s="2924"/>
    </row>
    <row r="413" spans="1:21" ht="27" hidden="1" customHeight="1" thickBot="1" x14ac:dyDescent="0.3">
      <c r="A413" s="1915"/>
      <c r="B413" s="1916"/>
      <c r="C413" s="1917"/>
      <c r="D413" s="1917"/>
      <c r="E413" s="1916"/>
      <c r="F413" s="1917"/>
      <c r="G413" s="1917"/>
      <c r="H413" s="1917"/>
      <c r="I413" s="1916"/>
      <c r="J413" s="1917"/>
      <c r="K413" s="2669"/>
      <c r="L413" s="2669"/>
      <c r="M413" s="2669"/>
      <c r="N413" s="2669"/>
      <c r="O413" s="1916"/>
      <c r="P413" s="1917"/>
      <c r="Q413" s="1917"/>
      <c r="R413" s="1917"/>
      <c r="S413" s="1918"/>
      <c r="T413" s="1917"/>
      <c r="U413" s="1919"/>
    </row>
    <row r="414" spans="1:21" ht="26.85" hidden="1" customHeight="1" x14ac:dyDescent="0.25">
      <c r="A414" s="1870" t="s">
        <v>1513</v>
      </c>
      <c r="B414" s="1871" t="s">
        <v>1523</v>
      </c>
      <c r="C414" s="1872" t="s">
        <v>740</v>
      </c>
      <c r="D414" s="1873"/>
      <c r="E414" s="1874" t="s">
        <v>1524</v>
      </c>
      <c r="F414" s="1875" t="s">
        <v>728</v>
      </c>
      <c r="G414" s="1873"/>
      <c r="H414" s="1873">
        <f t="shared" ref="H414" si="284">G414*M414*N414</f>
        <v>0</v>
      </c>
      <c r="I414" s="1876"/>
      <c r="J414" s="1877" t="s">
        <v>732</v>
      </c>
      <c r="K414" s="2672">
        <v>0</v>
      </c>
      <c r="L414" s="2645">
        <f t="shared" ref="L414:L420" si="285">IF(ISNUMBER(SEARCH("Timber",I414)),M414*K414*N414,K414)</f>
        <v>0</v>
      </c>
      <c r="M414" s="2225">
        <f>+$M420</f>
        <v>1</v>
      </c>
      <c r="N414" s="2648">
        <f>+$T415</f>
        <v>1.5</v>
      </c>
      <c r="O414" s="1878" t="s">
        <v>1512</v>
      </c>
      <c r="P414" s="1879" t="s">
        <v>740</v>
      </c>
      <c r="Q414" s="1880">
        <f t="shared" ref="Q414" si="286">R415*$E$532+T416*$E$533</f>
        <v>0</v>
      </c>
      <c r="R414" s="1881"/>
      <c r="S414" s="1882" t="s">
        <v>1525</v>
      </c>
      <c r="T414" s="1873">
        <v>30</v>
      </c>
      <c r="U414" s="2920" t="s">
        <v>1526</v>
      </c>
    </row>
    <row r="415" spans="1:21" ht="30" hidden="1" x14ac:dyDescent="0.25">
      <c r="A415" s="1883">
        <f>A407+1</f>
        <v>52</v>
      </c>
      <c r="B415" s="1884" t="s">
        <v>1527</v>
      </c>
      <c r="C415" s="1885" t="s">
        <v>740</v>
      </c>
      <c r="D415" s="1886"/>
      <c r="E415" s="1887" t="s">
        <v>1528</v>
      </c>
      <c r="F415" s="1888" t="s">
        <v>728</v>
      </c>
      <c r="G415" s="1886"/>
      <c r="H415" s="1886">
        <f t="shared" ref="H415:H418" si="287">G415</f>
        <v>0</v>
      </c>
      <c r="I415" s="1889"/>
      <c r="J415" s="1890" t="s">
        <v>732</v>
      </c>
      <c r="K415" s="2647">
        <v>0</v>
      </c>
      <c r="L415" s="2646">
        <f t="shared" si="285"/>
        <v>0</v>
      </c>
      <c r="M415" s="2226">
        <f t="shared" ref="M415:M419" si="288">M416</f>
        <v>1</v>
      </c>
      <c r="N415" s="2649">
        <f>+$T415</f>
        <v>1.5</v>
      </c>
      <c r="O415" s="1891" t="s">
        <v>1512</v>
      </c>
      <c r="P415" s="1892" t="s">
        <v>740</v>
      </c>
      <c r="Q415" s="1893"/>
      <c r="R415" s="1894">
        <f>H415*$E$527*0+H416*$E$527*0+SUMIF(I414:I419,$B$565,L414:L419)*$E$537+SUMIF(I414:I419,$B$566,L414:L419)*$E$540+SUMIF(I414:I419,$B$567,L414:L419)*$E$538+SUMIF(I414:I419,$B$568,L414:L419)*$E$539+SUMIF(I414:I419,$B$569,L414:L419)*$E$539+SUMIF(I414:I419,$B$570,L414:L419)*$E$541+SUMIF(I414:I419,$B$571,L414:L419)*$E$539+SUMIF(I414:I419,$B$572,L414:L419)*$E$541+SUMIF(I414:I419,$B$573,L414:L419)*$E$539+SUMIF(I414:I419,$B$574,L414:L419)*$E$543+SUMIF(I414:I419,$B$575,L414:L419)*$E$541+SUMIF(I414:I419,$B$577,L414:L419)*$E$536+SUMIF(I414:I419,$B$576,L414:L419)*$E$542+SUMIF(I414:I419,$B$563,L414:L419)*$E$539</f>
        <v>0</v>
      </c>
      <c r="S415" s="1895" t="s">
        <v>1529</v>
      </c>
      <c r="T415" s="2644">
        <f>+'Data Input sheet'!$D$112</f>
        <v>1.5</v>
      </c>
      <c r="U415" s="2921"/>
    </row>
    <row r="416" spans="1:21" ht="30" hidden="1" x14ac:dyDescent="0.25">
      <c r="A416" s="2922" t="s">
        <v>1530</v>
      </c>
      <c r="B416" s="1884" t="s">
        <v>1531</v>
      </c>
      <c r="C416" s="1885" t="s">
        <v>732</v>
      </c>
      <c r="D416" s="1886"/>
      <c r="E416" s="1887" t="s">
        <v>1532</v>
      </c>
      <c r="F416" s="1888" t="s">
        <v>728</v>
      </c>
      <c r="G416" s="1886"/>
      <c r="H416" s="1886">
        <f t="shared" si="287"/>
        <v>0</v>
      </c>
      <c r="I416" s="1889"/>
      <c r="J416" s="1890" t="s">
        <v>732</v>
      </c>
      <c r="K416" s="2647">
        <v>0</v>
      </c>
      <c r="L416" s="2646">
        <f t="shared" si="285"/>
        <v>0</v>
      </c>
      <c r="M416" s="2226">
        <f t="shared" si="288"/>
        <v>1</v>
      </c>
      <c r="N416" s="2649">
        <f>+$T415</f>
        <v>1.5</v>
      </c>
      <c r="O416" s="1896"/>
      <c r="P416" s="1897"/>
      <c r="Q416" s="1898"/>
      <c r="R416" s="1899">
        <f t="shared" ref="R416" si="289">T416</f>
        <v>0</v>
      </c>
      <c r="S416" s="1895" t="s">
        <v>1533</v>
      </c>
      <c r="T416" s="2673">
        <f>G414*64/4+K420+SUMIF(I414:I419,$B$578,K414:K419)*$E$545+SUMIF(I414:I419,$B$579,K414:K419)*$E$548+SUMIF(I414:I419,$B$580,K414:K419)*$E$546+SUMIF(I414:I419,$B$581,K414:K419)*$E$547+SUMIF(I414:I419,$B$582,K414:K419)*$E$547+SUMIF(I414:I419,$B$583,K414:K419)*$E$549+SUMIF(I414:I419,$B$584,K414:K419)*$E$547+SUMIF(I414:I419,$B$585,K414:K419)*$E$549+SUMIF(I414:I419,$B$586,K414:K419)*$E$547+SUMIF(I414:I419,$B$587,K414:K419)*$E$551+SUMIF(I414:I419,$B$588,K414:K419)*$E$549+SUMIF(I414:I419,$B$590,K414:K419)*$E$544+SUMIF(I414:I419,$B$589,K414:K419)*$E$550</f>
        <v>0</v>
      </c>
      <c r="U416" s="2921"/>
    </row>
    <row r="417" spans="1:21" hidden="1" x14ac:dyDescent="0.25">
      <c r="A417" s="2923"/>
      <c r="B417" s="1884" t="s">
        <v>1534</v>
      </c>
      <c r="C417" s="1885" t="s">
        <v>728</v>
      </c>
      <c r="D417" s="1886"/>
      <c r="E417" s="1887" t="s">
        <v>1535</v>
      </c>
      <c r="F417" s="1888" t="s">
        <v>728</v>
      </c>
      <c r="G417" s="1900">
        <f>(H415+H416)*$C$555+G414*$C$556+(R415-(H415+H416)*$E$527)*$C$555/50+(T416-G414*16)*$C$556/50</f>
        <v>0</v>
      </c>
      <c r="H417" s="1886">
        <f t="shared" si="287"/>
        <v>0</v>
      </c>
      <c r="I417" s="1889"/>
      <c r="J417" s="1890" t="s">
        <v>732</v>
      </c>
      <c r="K417" s="2647">
        <v>0</v>
      </c>
      <c r="L417" s="2646">
        <f t="shared" si="285"/>
        <v>0</v>
      </c>
      <c r="M417" s="2226">
        <f t="shared" si="288"/>
        <v>1</v>
      </c>
      <c r="N417" s="2649">
        <f>+$T415</f>
        <v>1.5</v>
      </c>
      <c r="O417" s="1896"/>
      <c r="P417" s="1897"/>
      <c r="Q417" s="1897"/>
      <c r="R417" s="1897"/>
      <c r="S417" s="1895" t="s">
        <v>3408</v>
      </c>
      <c r="T417" s="2674">
        <f>H414*64/4+L420+SUMIF(I414:I419,$B$578,L414:L419)*$E$545+SUMIF(I414:I419,$B$579,L414:L419)*$E$548+SUMIF(I414:I419,$B$580,L414:L419)*$E$546+SUMIF(I414:I419,$B$581,L414:L419)*$E$547+SUMIF(I414:I419,$B$582,L414:L419)*$E$547+SUMIF(I414:I419,$B$583,L414:L419)*$E$549+SUMIF(I414:I419,$B$584,L414:L419)*$E$547+SUMIF(I414:I419,$B$585,L414:L419)*$E$549+SUMIF(I414:I419,$B$586,L414:L419)*$E$547+SUMIF(I414:I419,$B$587,L414:L419)*$E$551+SUMIF(I414:I419,$B$588,L414:L419)*$E$549+SUMIF(I414:I419,$B$590,L414:L419)*$E$544+SUMIF(I414:I419,$B$589,L414:L419)*$E$550</f>
        <v>0</v>
      </c>
      <c r="U417" s="2921"/>
    </row>
    <row r="418" spans="1:21" ht="29.1" hidden="1" customHeight="1" x14ac:dyDescent="0.25">
      <c r="A418" s="2923"/>
      <c r="B418" s="1884"/>
      <c r="C418" s="1885"/>
      <c r="D418" s="1885"/>
      <c r="E418" s="1901" t="s">
        <v>1536</v>
      </c>
      <c r="F418" s="1888" t="s">
        <v>740</v>
      </c>
      <c r="G418" s="1900">
        <f>(H415*$E$527+H416*$E$527)*$C$557+R415*$C$557+T416*$C$558/T415</f>
        <v>0</v>
      </c>
      <c r="H418" s="1886">
        <f t="shared" si="287"/>
        <v>0</v>
      </c>
      <c r="I418" s="1889"/>
      <c r="J418" s="1890" t="s">
        <v>732</v>
      </c>
      <c r="K418" s="2647">
        <v>0</v>
      </c>
      <c r="L418" s="2646">
        <f t="shared" si="285"/>
        <v>0</v>
      </c>
      <c r="M418" s="2226">
        <f t="shared" si="288"/>
        <v>1</v>
      </c>
      <c r="N418" s="2649">
        <f>+$T415</f>
        <v>1.5</v>
      </c>
      <c r="O418" s="1896"/>
      <c r="P418" s="1897"/>
      <c r="Q418" s="1897"/>
      <c r="R418" s="1902"/>
      <c r="S418" s="1895" t="s">
        <v>1537</v>
      </c>
      <c r="T418" s="2673">
        <f>+T417*T414</f>
        <v>0</v>
      </c>
      <c r="U418" s="2921"/>
    </row>
    <row r="419" spans="1:21" hidden="1" x14ac:dyDescent="0.25">
      <c r="A419" s="2923"/>
      <c r="B419" s="1884"/>
      <c r="C419" s="1885"/>
      <c r="D419" s="1885"/>
      <c r="E419" s="1887"/>
      <c r="F419" s="1888"/>
      <c r="G419" s="1886"/>
      <c r="H419" s="1886"/>
      <c r="I419" s="1889"/>
      <c r="J419" s="1890" t="s">
        <v>732</v>
      </c>
      <c r="K419" s="2647">
        <v>0</v>
      </c>
      <c r="L419" s="2646">
        <f t="shared" si="285"/>
        <v>0</v>
      </c>
      <c r="M419" s="2226">
        <f t="shared" si="288"/>
        <v>1</v>
      </c>
      <c r="N419" s="2649">
        <f>+$T415</f>
        <v>1.5</v>
      </c>
      <c r="O419" s="1903"/>
      <c r="P419" s="1902"/>
      <c r="Q419" s="1902"/>
      <c r="R419" s="1902"/>
      <c r="S419" s="1904"/>
      <c r="T419" s="1905"/>
      <c r="U419" s="2921"/>
    </row>
    <row r="420" spans="1:21" ht="60.75" hidden="1" thickBot="1" x14ac:dyDescent="0.3">
      <c r="A420" s="2925"/>
      <c r="B420" s="1906"/>
      <c r="C420" s="1907"/>
      <c r="D420" s="1907"/>
      <c r="E420" s="1908"/>
      <c r="F420" s="1909"/>
      <c r="G420" s="1910"/>
      <c r="H420" s="1910"/>
      <c r="I420" s="1911" t="s">
        <v>1538</v>
      </c>
      <c r="J420" s="1912" t="s">
        <v>740</v>
      </c>
      <c r="K420" s="2658">
        <v>0</v>
      </c>
      <c r="L420" s="2659">
        <f t="shared" si="285"/>
        <v>0</v>
      </c>
      <c r="M420" s="2660">
        <f>IF(T420="YES",$C$554,1)</f>
        <v>1</v>
      </c>
      <c r="N420" s="2661">
        <f>+$T415</f>
        <v>1.5</v>
      </c>
      <c r="O420" s="1913"/>
      <c r="P420" s="1914"/>
      <c r="Q420" s="1914"/>
      <c r="R420" s="1914"/>
      <c r="S420" s="1920" t="s">
        <v>1539</v>
      </c>
      <c r="T420" s="1921" t="s">
        <v>1540</v>
      </c>
      <c r="U420" s="2924"/>
    </row>
    <row r="421" spans="1:21" ht="27" hidden="1" customHeight="1" thickBot="1" x14ac:dyDescent="0.3">
      <c r="A421" s="1915"/>
      <c r="B421" s="1916"/>
      <c r="C421" s="1917"/>
      <c r="D421" s="1917"/>
      <c r="E421" s="1916"/>
      <c r="F421" s="1917"/>
      <c r="G421" s="1917"/>
      <c r="H421" s="1917"/>
      <c r="I421" s="1916"/>
      <c r="J421" s="1917"/>
      <c r="K421" s="2669"/>
      <c r="L421" s="2669"/>
      <c r="M421" s="2669"/>
      <c r="N421" s="2669"/>
      <c r="O421" s="1916"/>
      <c r="P421" s="1917"/>
      <c r="Q421" s="1917"/>
      <c r="R421" s="1917"/>
      <c r="S421" s="1918"/>
      <c r="T421" s="1917"/>
      <c r="U421" s="1919"/>
    </row>
    <row r="422" spans="1:21" ht="26.85" hidden="1" customHeight="1" x14ac:dyDescent="0.25">
      <c r="A422" s="1870" t="s">
        <v>1513</v>
      </c>
      <c r="B422" s="1871" t="s">
        <v>1523</v>
      </c>
      <c r="C422" s="1872" t="s">
        <v>740</v>
      </c>
      <c r="D422" s="1873"/>
      <c r="E422" s="1874" t="s">
        <v>1524</v>
      </c>
      <c r="F422" s="1875" t="s">
        <v>728</v>
      </c>
      <c r="G422" s="1873"/>
      <c r="H422" s="1873">
        <f t="shared" ref="H422" si="290">G422*M422*N422</f>
        <v>0</v>
      </c>
      <c r="I422" s="1876"/>
      <c r="J422" s="1877" t="s">
        <v>732</v>
      </c>
      <c r="K422" s="2672">
        <v>0</v>
      </c>
      <c r="L422" s="2645">
        <f t="shared" ref="L422:L428" si="291">IF(ISNUMBER(SEARCH("Timber",I422)),M422*K422*N422,K422)</f>
        <v>0</v>
      </c>
      <c r="M422" s="2225">
        <f>+$M428</f>
        <v>1</v>
      </c>
      <c r="N422" s="2648">
        <f>+$T423</f>
        <v>1.5</v>
      </c>
      <c r="O422" s="1878" t="s">
        <v>1512</v>
      </c>
      <c r="P422" s="1879" t="s">
        <v>740</v>
      </c>
      <c r="Q422" s="1880">
        <f t="shared" ref="Q422" si="292">R423*$E$532+T424*$E$533</f>
        <v>0</v>
      </c>
      <c r="R422" s="1881"/>
      <c r="S422" s="1882" t="s">
        <v>1525</v>
      </c>
      <c r="T422" s="1873">
        <v>30</v>
      </c>
      <c r="U422" s="2920" t="s">
        <v>1526</v>
      </c>
    </row>
    <row r="423" spans="1:21" ht="30" hidden="1" x14ac:dyDescent="0.25">
      <c r="A423" s="1883">
        <f>A415+1</f>
        <v>53</v>
      </c>
      <c r="B423" s="1884" t="s">
        <v>1527</v>
      </c>
      <c r="C423" s="1885" t="s">
        <v>740</v>
      </c>
      <c r="D423" s="1886"/>
      <c r="E423" s="1887" t="s">
        <v>1528</v>
      </c>
      <c r="F423" s="1888" t="s">
        <v>728</v>
      </c>
      <c r="G423" s="1886"/>
      <c r="H423" s="1886">
        <f t="shared" ref="H423:H426" si="293">G423</f>
        <v>0</v>
      </c>
      <c r="I423" s="1889"/>
      <c r="J423" s="1890" t="s">
        <v>732</v>
      </c>
      <c r="K423" s="2647">
        <v>0</v>
      </c>
      <c r="L423" s="2646">
        <f t="shared" si="291"/>
        <v>0</v>
      </c>
      <c r="M423" s="2226">
        <f t="shared" ref="M423:M427" si="294">M424</f>
        <v>1</v>
      </c>
      <c r="N423" s="2649">
        <f>+$T423</f>
        <v>1.5</v>
      </c>
      <c r="O423" s="1891" t="s">
        <v>1512</v>
      </c>
      <c r="P423" s="1892" t="s">
        <v>740</v>
      </c>
      <c r="Q423" s="1893"/>
      <c r="R423" s="1894">
        <f>H423*$E$527*0+H424*$E$527*0+SUMIF(I422:I427,$B$565,L422:L427)*$E$537+SUMIF(I422:I427,$B$566,L422:L427)*$E$540+SUMIF(I422:I427,$B$567,L422:L427)*$E$538+SUMIF(I422:I427,$B$568,L422:L427)*$E$539+SUMIF(I422:I427,$B$569,L422:L427)*$E$539+SUMIF(I422:I427,$B$570,L422:L427)*$E$541+SUMIF(I422:I427,$B$571,L422:L427)*$E$539+SUMIF(I422:I427,$B$572,L422:L427)*$E$541+SUMIF(I422:I427,$B$573,L422:L427)*$E$539+SUMIF(I422:I427,$B$574,L422:L427)*$E$543+SUMIF(I422:I427,$B$575,L422:L427)*$E$541+SUMIF(I422:I427,$B$577,L422:L427)*$E$536+SUMIF(I422:I427,$B$576,L422:L427)*$E$542+SUMIF(I422:I427,$B$563,L422:L427)*$E$539</f>
        <v>0</v>
      </c>
      <c r="S423" s="1895" t="s">
        <v>1529</v>
      </c>
      <c r="T423" s="2644">
        <f>+'Data Input sheet'!$D$112</f>
        <v>1.5</v>
      </c>
      <c r="U423" s="2921"/>
    </row>
    <row r="424" spans="1:21" ht="30" hidden="1" x14ac:dyDescent="0.25">
      <c r="A424" s="2922" t="s">
        <v>1530</v>
      </c>
      <c r="B424" s="1884" t="s">
        <v>1531</v>
      </c>
      <c r="C424" s="1885" t="s">
        <v>732</v>
      </c>
      <c r="D424" s="1886"/>
      <c r="E424" s="1887" t="s">
        <v>1532</v>
      </c>
      <c r="F424" s="1888" t="s">
        <v>728</v>
      </c>
      <c r="G424" s="1886"/>
      <c r="H424" s="1886">
        <f t="shared" si="293"/>
        <v>0</v>
      </c>
      <c r="I424" s="1889"/>
      <c r="J424" s="1890" t="s">
        <v>732</v>
      </c>
      <c r="K424" s="2647">
        <v>0</v>
      </c>
      <c r="L424" s="2646">
        <f t="shared" si="291"/>
        <v>0</v>
      </c>
      <c r="M424" s="2226">
        <f t="shared" si="294"/>
        <v>1</v>
      </c>
      <c r="N424" s="2649">
        <f>+$T423</f>
        <v>1.5</v>
      </c>
      <c r="O424" s="1896"/>
      <c r="P424" s="1897"/>
      <c r="Q424" s="1898"/>
      <c r="R424" s="1899">
        <f t="shared" ref="R424" si="295">T424</f>
        <v>0</v>
      </c>
      <c r="S424" s="1895" t="s">
        <v>1533</v>
      </c>
      <c r="T424" s="2673">
        <f>G422*64/4+K428+SUMIF(I422:I427,$B$578,K422:K427)*$E$545+SUMIF(I422:I427,$B$579,K422:K427)*$E$548+SUMIF(I422:I427,$B$580,K422:K427)*$E$546+SUMIF(I422:I427,$B$581,K422:K427)*$E$547+SUMIF(I422:I427,$B$582,K422:K427)*$E$547+SUMIF(I422:I427,$B$583,K422:K427)*$E$549+SUMIF(I422:I427,$B$584,K422:K427)*$E$547+SUMIF(I422:I427,$B$585,K422:K427)*$E$549+SUMIF(I422:I427,$B$586,K422:K427)*$E$547+SUMIF(I422:I427,$B$587,K422:K427)*$E$551+SUMIF(I422:I427,$B$588,K422:K427)*$E$549+SUMIF(I422:I427,$B$590,K422:K427)*$E$544+SUMIF(I422:I427,$B$589,K422:K427)*$E$550</f>
        <v>0</v>
      </c>
      <c r="U424" s="2921"/>
    </row>
    <row r="425" spans="1:21" hidden="1" x14ac:dyDescent="0.25">
      <c r="A425" s="2923"/>
      <c r="B425" s="1884" t="s">
        <v>1534</v>
      </c>
      <c r="C425" s="1885" t="s">
        <v>728</v>
      </c>
      <c r="D425" s="1886"/>
      <c r="E425" s="1887" t="s">
        <v>1535</v>
      </c>
      <c r="F425" s="1888" t="s">
        <v>728</v>
      </c>
      <c r="G425" s="1900">
        <f>(H423+H424)*$C$555+G422*$C$556+(R423-(H423+H424)*$E$527)*$C$555/50+(T424-G422*16)*$C$556/50</f>
        <v>0</v>
      </c>
      <c r="H425" s="1886">
        <f t="shared" si="293"/>
        <v>0</v>
      </c>
      <c r="I425" s="1889"/>
      <c r="J425" s="1890" t="s">
        <v>732</v>
      </c>
      <c r="K425" s="2647">
        <v>0</v>
      </c>
      <c r="L425" s="2646">
        <f t="shared" si="291"/>
        <v>0</v>
      </c>
      <c r="M425" s="2226">
        <f t="shared" si="294"/>
        <v>1</v>
      </c>
      <c r="N425" s="2649">
        <f>+$T423</f>
        <v>1.5</v>
      </c>
      <c r="O425" s="1896"/>
      <c r="P425" s="1897"/>
      <c r="Q425" s="1897"/>
      <c r="R425" s="1897"/>
      <c r="S425" s="1895" t="s">
        <v>3408</v>
      </c>
      <c r="T425" s="2674">
        <f>H422*64/4+L428+SUMIF(I422:I427,$B$578,L422:L427)*$E$545+SUMIF(I422:I427,$B$579,L422:L427)*$E$548+SUMIF(I422:I427,$B$580,L422:L427)*$E$546+SUMIF(I422:I427,$B$581,L422:L427)*$E$547+SUMIF(I422:I427,$B$582,L422:L427)*$E$547+SUMIF(I422:I427,$B$583,L422:L427)*$E$549+SUMIF(I422:I427,$B$584,L422:L427)*$E$547+SUMIF(I422:I427,$B$585,L422:L427)*$E$549+SUMIF(I422:I427,$B$586,L422:L427)*$E$547+SUMIF(I422:I427,$B$587,L422:L427)*$E$551+SUMIF(I422:I427,$B$588,L422:L427)*$E$549+SUMIF(I422:I427,$B$590,L422:L427)*$E$544+SUMIF(I422:I427,$B$589,L422:L427)*$E$550</f>
        <v>0</v>
      </c>
      <c r="U425" s="2921"/>
    </row>
    <row r="426" spans="1:21" ht="29.1" hidden="1" customHeight="1" x14ac:dyDescent="0.25">
      <c r="A426" s="2923"/>
      <c r="B426" s="1884"/>
      <c r="C426" s="1885"/>
      <c r="D426" s="1885"/>
      <c r="E426" s="1901" t="s">
        <v>1536</v>
      </c>
      <c r="F426" s="1888" t="s">
        <v>740</v>
      </c>
      <c r="G426" s="1900">
        <f>(H423*$E$527+H424*$E$527)*$C$557+R423*$C$557+T424*$C$558/T423</f>
        <v>0</v>
      </c>
      <c r="H426" s="1886">
        <f t="shared" si="293"/>
        <v>0</v>
      </c>
      <c r="I426" s="1889"/>
      <c r="J426" s="1890" t="s">
        <v>732</v>
      </c>
      <c r="K426" s="2647">
        <v>0</v>
      </c>
      <c r="L426" s="2646">
        <f t="shared" si="291"/>
        <v>0</v>
      </c>
      <c r="M426" s="2226">
        <f t="shared" si="294"/>
        <v>1</v>
      </c>
      <c r="N426" s="2649">
        <f>+$T423</f>
        <v>1.5</v>
      </c>
      <c r="O426" s="1896"/>
      <c r="P426" s="1897"/>
      <c r="Q426" s="1897"/>
      <c r="R426" s="1902"/>
      <c r="S426" s="1895" t="s">
        <v>1537</v>
      </c>
      <c r="T426" s="2673">
        <f>+T425*T422</f>
        <v>0</v>
      </c>
      <c r="U426" s="2921"/>
    </row>
    <row r="427" spans="1:21" hidden="1" x14ac:dyDescent="0.25">
      <c r="A427" s="2923"/>
      <c r="B427" s="1884"/>
      <c r="C427" s="1885"/>
      <c r="D427" s="1885"/>
      <c r="E427" s="1887"/>
      <c r="F427" s="1888"/>
      <c r="G427" s="1886"/>
      <c r="H427" s="1886"/>
      <c r="I427" s="1889"/>
      <c r="J427" s="1890" t="s">
        <v>732</v>
      </c>
      <c r="K427" s="2647">
        <v>0</v>
      </c>
      <c r="L427" s="2646">
        <f t="shared" si="291"/>
        <v>0</v>
      </c>
      <c r="M427" s="2226">
        <f t="shared" si="294"/>
        <v>1</v>
      </c>
      <c r="N427" s="2649">
        <f>+$T423</f>
        <v>1.5</v>
      </c>
      <c r="O427" s="1903"/>
      <c r="P427" s="1902"/>
      <c r="Q427" s="1902"/>
      <c r="R427" s="1902"/>
      <c r="S427" s="1904"/>
      <c r="T427" s="1905"/>
      <c r="U427" s="2921"/>
    </row>
    <row r="428" spans="1:21" ht="60.75" hidden="1" thickBot="1" x14ac:dyDescent="0.3">
      <c r="A428" s="2925"/>
      <c r="B428" s="1906"/>
      <c r="C428" s="1907"/>
      <c r="D428" s="1907"/>
      <c r="E428" s="1908"/>
      <c r="F428" s="1909"/>
      <c r="G428" s="1910"/>
      <c r="H428" s="1910"/>
      <c r="I428" s="1911" t="s">
        <v>1538</v>
      </c>
      <c r="J428" s="1912" t="s">
        <v>740</v>
      </c>
      <c r="K428" s="2658">
        <v>0</v>
      </c>
      <c r="L428" s="2659">
        <f t="shared" si="291"/>
        <v>0</v>
      </c>
      <c r="M428" s="2660">
        <f>IF(T428="YES",$C$554,1)</f>
        <v>1</v>
      </c>
      <c r="N428" s="2661">
        <f>+$T423</f>
        <v>1.5</v>
      </c>
      <c r="O428" s="1913"/>
      <c r="P428" s="1914"/>
      <c r="Q428" s="1914"/>
      <c r="R428" s="1914"/>
      <c r="S428" s="1920" t="s">
        <v>1539</v>
      </c>
      <c r="T428" s="1921" t="s">
        <v>1540</v>
      </c>
      <c r="U428" s="2924"/>
    </row>
    <row r="429" spans="1:21" ht="27" hidden="1" customHeight="1" thickBot="1" x14ac:dyDescent="0.3">
      <c r="A429" s="1915"/>
      <c r="B429" s="1916"/>
      <c r="C429" s="1917"/>
      <c r="D429" s="1917"/>
      <c r="E429" s="1916"/>
      <c r="F429" s="1917"/>
      <c r="G429" s="1917"/>
      <c r="H429" s="1917"/>
      <c r="I429" s="1916"/>
      <c r="J429" s="1917"/>
      <c r="K429" s="2669"/>
      <c r="L429" s="2669"/>
      <c r="M429" s="2669"/>
      <c r="N429" s="2669"/>
      <c r="O429" s="1916"/>
      <c r="P429" s="1917"/>
      <c r="Q429" s="1917"/>
      <c r="R429" s="1917"/>
      <c r="S429" s="1918"/>
      <c r="T429" s="1917"/>
      <c r="U429" s="1919"/>
    </row>
    <row r="430" spans="1:21" ht="26.85" hidden="1" customHeight="1" x14ac:dyDescent="0.25">
      <c r="A430" s="1870" t="s">
        <v>1513</v>
      </c>
      <c r="B430" s="1871" t="s">
        <v>1523</v>
      </c>
      <c r="C430" s="1872" t="s">
        <v>740</v>
      </c>
      <c r="D430" s="1873"/>
      <c r="E430" s="1874" t="s">
        <v>1524</v>
      </c>
      <c r="F430" s="1875" t="s">
        <v>728</v>
      </c>
      <c r="G430" s="1873"/>
      <c r="H430" s="1873">
        <f t="shared" ref="H430" si="296">G430*M430*N430</f>
        <v>0</v>
      </c>
      <c r="I430" s="1876"/>
      <c r="J430" s="1877" t="s">
        <v>732</v>
      </c>
      <c r="K430" s="2672">
        <v>0</v>
      </c>
      <c r="L430" s="2645">
        <f t="shared" ref="L430:L436" si="297">IF(ISNUMBER(SEARCH("Timber",I430)),M430*K430*N430,K430)</f>
        <v>0</v>
      </c>
      <c r="M430" s="2225">
        <f>+$M436</f>
        <v>1</v>
      </c>
      <c r="N430" s="2648">
        <f>+$T431</f>
        <v>1.5</v>
      </c>
      <c r="O430" s="1878" t="s">
        <v>1512</v>
      </c>
      <c r="P430" s="1879" t="s">
        <v>740</v>
      </c>
      <c r="Q430" s="1880">
        <f t="shared" ref="Q430" si="298">R431*$E$532+T432*$E$533</f>
        <v>0</v>
      </c>
      <c r="R430" s="1881"/>
      <c r="S430" s="1882" t="s">
        <v>1525</v>
      </c>
      <c r="T430" s="1873">
        <v>30</v>
      </c>
      <c r="U430" s="2920" t="s">
        <v>1526</v>
      </c>
    </row>
    <row r="431" spans="1:21" ht="30" hidden="1" x14ac:dyDescent="0.25">
      <c r="A431" s="1883">
        <f>A423+1</f>
        <v>54</v>
      </c>
      <c r="B431" s="1884" t="s">
        <v>1527</v>
      </c>
      <c r="C431" s="1885" t="s">
        <v>740</v>
      </c>
      <c r="D431" s="1886"/>
      <c r="E431" s="1887" t="s">
        <v>1528</v>
      </c>
      <c r="F431" s="1888" t="s">
        <v>728</v>
      </c>
      <c r="G431" s="1886"/>
      <c r="H431" s="1886">
        <f t="shared" ref="H431:H434" si="299">G431</f>
        <v>0</v>
      </c>
      <c r="I431" s="1889"/>
      <c r="J431" s="1890" t="s">
        <v>732</v>
      </c>
      <c r="K431" s="2647">
        <v>0</v>
      </c>
      <c r="L431" s="2646">
        <f t="shared" si="297"/>
        <v>0</v>
      </c>
      <c r="M431" s="2226">
        <f t="shared" ref="M431:M435" si="300">M432</f>
        <v>1</v>
      </c>
      <c r="N431" s="2649">
        <f>+$T431</f>
        <v>1.5</v>
      </c>
      <c r="O431" s="1891" t="s">
        <v>1512</v>
      </c>
      <c r="P431" s="1892" t="s">
        <v>740</v>
      </c>
      <c r="Q431" s="1893"/>
      <c r="R431" s="1894">
        <f>H431*$E$527*0+H432*$E$527*0+SUMIF(I430:I435,$B$565,L430:L435)*$E$537+SUMIF(I430:I435,$B$566,L430:L435)*$E$540+SUMIF(I430:I435,$B$567,L430:L435)*$E$538+SUMIF(I430:I435,$B$568,L430:L435)*$E$539+SUMIF(I430:I435,$B$569,L430:L435)*$E$539+SUMIF(I430:I435,$B$570,L430:L435)*$E$541+SUMIF(I430:I435,$B$571,L430:L435)*$E$539+SUMIF(I430:I435,$B$572,L430:L435)*$E$541+SUMIF(I430:I435,$B$573,L430:L435)*$E$539+SUMIF(I430:I435,$B$574,L430:L435)*$E$543+SUMIF(I430:I435,$B$575,L430:L435)*$E$541+SUMIF(I430:I435,$B$577,L430:L435)*$E$536+SUMIF(I430:I435,$B$576,L430:L435)*$E$542+SUMIF(I430:I435,$B$563,L430:L435)*$E$539</f>
        <v>0</v>
      </c>
      <c r="S431" s="1895" t="s">
        <v>1529</v>
      </c>
      <c r="T431" s="2644">
        <f>+'Data Input sheet'!$D$112</f>
        <v>1.5</v>
      </c>
      <c r="U431" s="2921"/>
    </row>
    <row r="432" spans="1:21" ht="30" hidden="1" x14ac:dyDescent="0.25">
      <c r="A432" s="2922" t="s">
        <v>1530</v>
      </c>
      <c r="B432" s="1884" t="s">
        <v>1531</v>
      </c>
      <c r="C432" s="1885" t="s">
        <v>732</v>
      </c>
      <c r="D432" s="1886"/>
      <c r="E432" s="1887" t="s">
        <v>1532</v>
      </c>
      <c r="F432" s="1888" t="s">
        <v>728</v>
      </c>
      <c r="G432" s="1886"/>
      <c r="H432" s="1886">
        <f t="shared" si="299"/>
        <v>0</v>
      </c>
      <c r="I432" s="1889"/>
      <c r="J432" s="1890" t="s">
        <v>732</v>
      </c>
      <c r="K432" s="2647">
        <v>0</v>
      </c>
      <c r="L432" s="2646">
        <f t="shared" si="297"/>
        <v>0</v>
      </c>
      <c r="M432" s="2226">
        <f t="shared" si="300"/>
        <v>1</v>
      </c>
      <c r="N432" s="2649">
        <f>+$T431</f>
        <v>1.5</v>
      </c>
      <c r="O432" s="1896"/>
      <c r="P432" s="1897"/>
      <c r="Q432" s="1898"/>
      <c r="R432" s="1899">
        <f t="shared" ref="R432" si="301">T432</f>
        <v>0</v>
      </c>
      <c r="S432" s="1895" t="s">
        <v>1533</v>
      </c>
      <c r="T432" s="2673">
        <f>G430*64/4+K436+SUMIF(I430:I435,$B$578,K430:K435)*$E$545+SUMIF(I430:I435,$B$579,K430:K435)*$E$548+SUMIF(I430:I435,$B$580,K430:K435)*$E$546+SUMIF(I430:I435,$B$581,K430:K435)*$E$547+SUMIF(I430:I435,$B$582,K430:K435)*$E$547+SUMIF(I430:I435,$B$583,K430:K435)*$E$549+SUMIF(I430:I435,$B$584,K430:K435)*$E$547+SUMIF(I430:I435,$B$585,K430:K435)*$E$549+SUMIF(I430:I435,$B$586,K430:K435)*$E$547+SUMIF(I430:I435,$B$587,K430:K435)*$E$551+SUMIF(I430:I435,$B$588,K430:K435)*$E$549+SUMIF(I430:I435,$B$590,K430:K435)*$E$544+SUMIF(I430:I435,$B$589,K430:K435)*$E$550</f>
        <v>0</v>
      </c>
      <c r="U432" s="2921"/>
    </row>
    <row r="433" spans="1:21" hidden="1" x14ac:dyDescent="0.25">
      <c r="A433" s="2923"/>
      <c r="B433" s="1884" t="s">
        <v>1534</v>
      </c>
      <c r="C433" s="1885" t="s">
        <v>728</v>
      </c>
      <c r="D433" s="1886"/>
      <c r="E433" s="1887" t="s">
        <v>1535</v>
      </c>
      <c r="F433" s="1888" t="s">
        <v>728</v>
      </c>
      <c r="G433" s="1900">
        <f>(H431+H432)*$C$555+G430*$C$556+(R431-(H431+H432)*$E$527)*$C$555/50+(T432-G430*16)*$C$556/50</f>
        <v>0</v>
      </c>
      <c r="H433" s="1886">
        <f t="shared" si="299"/>
        <v>0</v>
      </c>
      <c r="I433" s="1889"/>
      <c r="J433" s="1890" t="s">
        <v>732</v>
      </c>
      <c r="K433" s="2647">
        <v>0</v>
      </c>
      <c r="L433" s="2646">
        <f t="shared" si="297"/>
        <v>0</v>
      </c>
      <c r="M433" s="2226">
        <f t="shared" si="300"/>
        <v>1</v>
      </c>
      <c r="N433" s="2649">
        <f>+$T431</f>
        <v>1.5</v>
      </c>
      <c r="O433" s="1896"/>
      <c r="P433" s="1897"/>
      <c r="Q433" s="1897"/>
      <c r="R433" s="1897"/>
      <c r="S433" s="1895" t="s">
        <v>3408</v>
      </c>
      <c r="T433" s="2674">
        <f>H430*64/4+L436+SUMIF(I430:I435,$B$578,L430:L435)*$E$545+SUMIF(I430:I435,$B$579,L430:L435)*$E$548+SUMIF(I430:I435,$B$580,L430:L435)*$E$546+SUMIF(I430:I435,$B$581,L430:L435)*$E$547+SUMIF(I430:I435,$B$582,L430:L435)*$E$547+SUMIF(I430:I435,$B$583,L430:L435)*$E$549+SUMIF(I430:I435,$B$584,L430:L435)*$E$547+SUMIF(I430:I435,$B$585,L430:L435)*$E$549+SUMIF(I430:I435,$B$586,L430:L435)*$E$547+SUMIF(I430:I435,$B$587,L430:L435)*$E$551+SUMIF(I430:I435,$B$588,L430:L435)*$E$549+SUMIF(I430:I435,$B$590,L430:L435)*$E$544+SUMIF(I430:I435,$B$589,L430:L435)*$E$550</f>
        <v>0</v>
      </c>
      <c r="U433" s="2921"/>
    </row>
    <row r="434" spans="1:21" ht="29.1" hidden="1" customHeight="1" x14ac:dyDescent="0.25">
      <c r="A434" s="2923"/>
      <c r="B434" s="1884"/>
      <c r="C434" s="1885"/>
      <c r="D434" s="1885"/>
      <c r="E434" s="1901" t="s">
        <v>1536</v>
      </c>
      <c r="F434" s="1888" t="s">
        <v>740</v>
      </c>
      <c r="G434" s="1900">
        <f>(H431*$E$527+H432*$E$527)*$C$557+R431*$C$557+T432*$C$558/T431</f>
        <v>0</v>
      </c>
      <c r="H434" s="1886">
        <f t="shared" si="299"/>
        <v>0</v>
      </c>
      <c r="I434" s="1889"/>
      <c r="J434" s="1890" t="s">
        <v>732</v>
      </c>
      <c r="K434" s="2647">
        <v>0</v>
      </c>
      <c r="L434" s="2646">
        <f t="shared" si="297"/>
        <v>0</v>
      </c>
      <c r="M434" s="2226">
        <f t="shared" si="300"/>
        <v>1</v>
      </c>
      <c r="N434" s="2649">
        <f>+$T431</f>
        <v>1.5</v>
      </c>
      <c r="O434" s="1896"/>
      <c r="P434" s="1897"/>
      <c r="Q434" s="1897"/>
      <c r="R434" s="1902"/>
      <c r="S434" s="1895" t="s">
        <v>1537</v>
      </c>
      <c r="T434" s="2673">
        <f>+T433*T430</f>
        <v>0</v>
      </c>
      <c r="U434" s="2921"/>
    </row>
    <row r="435" spans="1:21" hidden="1" x14ac:dyDescent="0.25">
      <c r="A435" s="2923"/>
      <c r="B435" s="1884"/>
      <c r="C435" s="1885"/>
      <c r="D435" s="1885"/>
      <c r="E435" s="1887"/>
      <c r="F435" s="1888"/>
      <c r="G435" s="1886"/>
      <c r="H435" s="1886"/>
      <c r="I435" s="1889"/>
      <c r="J435" s="1890" t="s">
        <v>732</v>
      </c>
      <c r="K435" s="2647">
        <v>0</v>
      </c>
      <c r="L435" s="2646">
        <f t="shared" si="297"/>
        <v>0</v>
      </c>
      <c r="M435" s="2226">
        <f t="shared" si="300"/>
        <v>1</v>
      </c>
      <c r="N435" s="2649">
        <f>+$T431</f>
        <v>1.5</v>
      </c>
      <c r="O435" s="1903"/>
      <c r="P435" s="1902"/>
      <c r="Q435" s="1902"/>
      <c r="R435" s="1902"/>
      <c r="S435" s="1904"/>
      <c r="T435" s="1905"/>
      <c r="U435" s="2921"/>
    </row>
    <row r="436" spans="1:21" ht="60.75" hidden="1" thickBot="1" x14ac:dyDescent="0.3">
      <c r="A436" s="2925"/>
      <c r="B436" s="1906"/>
      <c r="C436" s="1907"/>
      <c r="D436" s="1907"/>
      <c r="E436" s="1908"/>
      <c r="F436" s="1909"/>
      <c r="G436" s="1910"/>
      <c r="H436" s="1910"/>
      <c r="I436" s="1911" t="s">
        <v>1538</v>
      </c>
      <c r="J436" s="1912" t="s">
        <v>740</v>
      </c>
      <c r="K436" s="2658">
        <v>0</v>
      </c>
      <c r="L436" s="2659">
        <f t="shared" si="297"/>
        <v>0</v>
      </c>
      <c r="M436" s="2660">
        <f>IF(T436="YES",$C$554,1)</f>
        <v>1</v>
      </c>
      <c r="N436" s="2661">
        <f>+$T431</f>
        <v>1.5</v>
      </c>
      <c r="O436" s="1913"/>
      <c r="P436" s="1914"/>
      <c r="Q436" s="1914"/>
      <c r="R436" s="1914"/>
      <c r="S436" s="1920" t="s">
        <v>1539</v>
      </c>
      <c r="T436" s="1921" t="s">
        <v>1540</v>
      </c>
      <c r="U436" s="2924"/>
    </row>
    <row r="437" spans="1:21" ht="27" hidden="1" customHeight="1" thickBot="1" x14ac:dyDescent="0.3">
      <c r="A437" s="1915"/>
      <c r="B437" s="1916"/>
      <c r="C437" s="1917"/>
      <c r="D437" s="1917"/>
      <c r="E437" s="1916"/>
      <c r="F437" s="1917"/>
      <c r="G437" s="1917"/>
      <c r="H437" s="1917"/>
      <c r="I437" s="1916"/>
      <c r="J437" s="1917"/>
      <c r="K437" s="2669"/>
      <c r="L437" s="2669"/>
      <c r="M437" s="2669"/>
      <c r="N437" s="2669"/>
      <c r="O437" s="1916"/>
      <c r="P437" s="1917"/>
      <c r="Q437" s="1917"/>
      <c r="R437" s="1917"/>
      <c r="S437" s="1918"/>
      <c r="T437" s="1917"/>
      <c r="U437" s="1919"/>
    </row>
    <row r="438" spans="1:21" ht="26.85" hidden="1" customHeight="1" x14ac:dyDescent="0.25">
      <c r="A438" s="1870" t="s">
        <v>1513</v>
      </c>
      <c r="B438" s="1871" t="s">
        <v>1523</v>
      </c>
      <c r="C438" s="1872" t="s">
        <v>740</v>
      </c>
      <c r="D438" s="1873"/>
      <c r="E438" s="1874" t="s">
        <v>1524</v>
      </c>
      <c r="F438" s="1875" t="s">
        <v>728</v>
      </c>
      <c r="G438" s="1873"/>
      <c r="H438" s="1873">
        <f t="shared" ref="H438" si="302">G438*M438*N438</f>
        <v>0</v>
      </c>
      <c r="I438" s="1876"/>
      <c r="J438" s="1877" t="s">
        <v>732</v>
      </c>
      <c r="K438" s="2672">
        <v>0</v>
      </c>
      <c r="L438" s="2645">
        <f t="shared" ref="L438:L444" si="303">IF(ISNUMBER(SEARCH("Timber",I438)),M438*K438*N438,K438)</f>
        <v>0</v>
      </c>
      <c r="M438" s="2225">
        <f>+$M444</f>
        <v>1</v>
      </c>
      <c r="N438" s="2648">
        <f>+$T439</f>
        <v>1.5</v>
      </c>
      <c r="O438" s="1878" t="s">
        <v>1512</v>
      </c>
      <c r="P438" s="1879" t="s">
        <v>740</v>
      </c>
      <c r="Q438" s="1880">
        <f t="shared" ref="Q438" si="304">R439*$E$532+T440*$E$533</f>
        <v>0</v>
      </c>
      <c r="R438" s="1881"/>
      <c r="S438" s="1882" t="s">
        <v>1525</v>
      </c>
      <c r="T438" s="1873">
        <v>30</v>
      </c>
      <c r="U438" s="2920" t="s">
        <v>1526</v>
      </c>
    </row>
    <row r="439" spans="1:21" ht="30" hidden="1" x14ac:dyDescent="0.25">
      <c r="A439" s="1883">
        <f>A431+1</f>
        <v>55</v>
      </c>
      <c r="B439" s="1884" t="s">
        <v>1527</v>
      </c>
      <c r="C439" s="1885" t="s">
        <v>740</v>
      </c>
      <c r="D439" s="1886"/>
      <c r="E439" s="1887" t="s">
        <v>1528</v>
      </c>
      <c r="F439" s="1888" t="s">
        <v>728</v>
      </c>
      <c r="G439" s="1886"/>
      <c r="H439" s="1886">
        <f t="shared" ref="H439:H442" si="305">G439</f>
        <v>0</v>
      </c>
      <c r="I439" s="1889"/>
      <c r="J439" s="1890" t="s">
        <v>732</v>
      </c>
      <c r="K439" s="2647">
        <v>0</v>
      </c>
      <c r="L439" s="2646">
        <f t="shared" si="303"/>
        <v>0</v>
      </c>
      <c r="M439" s="2226">
        <f t="shared" ref="M439:M443" si="306">M440</f>
        <v>1</v>
      </c>
      <c r="N439" s="2649">
        <f>+$T439</f>
        <v>1.5</v>
      </c>
      <c r="O439" s="1891" t="s">
        <v>1512</v>
      </c>
      <c r="P439" s="1892" t="s">
        <v>740</v>
      </c>
      <c r="Q439" s="1893"/>
      <c r="R439" s="1894">
        <f>H439*$E$527*0+H440*$E$527*0+SUMIF(I438:I443,$B$565,L438:L443)*$E$537+SUMIF(I438:I443,$B$566,L438:L443)*$E$540+SUMIF(I438:I443,$B$567,L438:L443)*$E$538+SUMIF(I438:I443,$B$568,L438:L443)*$E$539+SUMIF(I438:I443,$B$569,L438:L443)*$E$539+SUMIF(I438:I443,$B$570,L438:L443)*$E$541+SUMIF(I438:I443,$B$571,L438:L443)*$E$539+SUMIF(I438:I443,$B$572,L438:L443)*$E$541+SUMIF(I438:I443,$B$573,L438:L443)*$E$539+SUMIF(I438:I443,$B$574,L438:L443)*$E$543+SUMIF(I438:I443,$B$575,L438:L443)*$E$541+SUMIF(I438:I443,$B$577,L438:L443)*$E$536+SUMIF(I438:I443,$B$576,L438:L443)*$E$542+SUMIF(I438:I443,$B$563,L438:L443)*$E$539</f>
        <v>0</v>
      </c>
      <c r="S439" s="1895" t="s">
        <v>1529</v>
      </c>
      <c r="T439" s="2644">
        <f>+'Data Input sheet'!$D$112</f>
        <v>1.5</v>
      </c>
      <c r="U439" s="2921"/>
    </row>
    <row r="440" spans="1:21" ht="30" hidden="1" x14ac:dyDescent="0.25">
      <c r="A440" s="2922" t="s">
        <v>1530</v>
      </c>
      <c r="B440" s="1884" t="s">
        <v>1531</v>
      </c>
      <c r="C440" s="1885" t="s">
        <v>732</v>
      </c>
      <c r="D440" s="1886"/>
      <c r="E440" s="1887" t="s">
        <v>1532</v>
      </c>
      <c r="F440" s="1888" t="s">
        <v>728</v>
      </c>
      <c r="G440" s="1886"/>
      <c r="H440" s="1886">
        <f t="shared" si="305"/>
        <v>0</v>
      </c>
      <c r="I440" s="1889"/>
      <c r="J440" s="1890" t="s">
        <v>732</v>
      </c>
      <c r="K440" s="2647">
        <v>0</v>
      </c>
      <c r="L440" s="2646">
        <f t="shared" si="303"/>
        <v>0</v>
      </c>
      <c r="M440" s="2226">
        <f t="shared" si="306"/>
        <v>1</v>
      </c>
      <c r="N440" s="2649">
        <f>+$T439</f>
        <v>1.5</v>
      </c>
      <c r="O440" s="1896"/>
      <c r="P440" s="1897"/>
      <c r="Q440" s="1898"/>
      <c r="R440" s="1899">
        <f t="shared" ref="R440" si="307">T440</f>
        <v>0</v>
      </c>
      <c r="S440" s="1895" t="s">
        <v>1533</v>
      </c>
      <c r="T440" s="2673">
        <f>G438*64/4+K444+SUMIF(I438:I443,$B$578,K438:K443)*$E$545+SUMIF(I438:I443,$B$579,K438:K443)*$E$548+SUMIF(I438:I443,$B$580,K438:K443)*$E$546+SUMIF(I438:I443,$B$581,K438:K443)*$E$547+SUMIF(I438:I443,$B$582,K438:K443)*$E$547+SUMIF(I438:I443,$B$583,K438:K443)*$E$549+SUMIF(I438:I443,$B$584,K438:K443)*$E$547+SUMIF(I438:I443,$B$585,K438:K443)*$E$549+SUMIF(I438:I443,$B$586,K438:K443)*$E$547+SUMIF(I438:I443,$B$587,K438:K443)*$E$551+SUMIF(I438:I443,$B$588,K438:K443)*$E$549+SUMIF(I438:I443,$B$590,K438:K443)*$E$544+SUMIF(I438:I443,$B$589,K438:K443)*$E$550</f>
        <v>0</v>
      </c>
      <c r="U440" s="2921"/>
    </row>
    <row r="441" spans="1:21" hidden="1" x14ac:dyDescent="0.25">
      <c r="A441" s="2923"/>
      <c r="B441" s="1884" t="s">
        <v>1534</v>
      </c>
      <c r="C441" s="1885" t="s">
        <v>728</v>
      </c>
      <c r="D441" s="1886"/>
      <c r="E441" s="1887" t="s">
        <v>1535</v>
      </c>
      <c r="F441" s="1888" t="s">
        <v>728</v>
      </c>
      <c r="G441" s="1900">
        <f>(H439+H440)*$C$555+G438*$C$556+(R439-(H439+H440)*$E$527)*$C$555/50+(T440-G438*16)*$C$556/50</f>
        <v>0</v>
      </c>
      <c r="H441" s="1886">
        <f t="shared" si="305"/>
        <v>0</v>
      </c>
      <c r="I441" s="1889"/>
      <c r="J441" s="1890" t="s">
        <v>732</v>
      </c>
      <c r="K441" s="2647">
        <v>0</v>
      </c>
      <c r="L441" s="2646">
        <f t="shared" si="303"/>
        <v>0</v>
      </c>
      <c r="M441" s="2226">
        <f t="shared" si="306"/>
        <v>1</v>
      </c>
      <c r="N441" s="2649">
        <f>+$T439</f>
        <v>1.5</v>
      </c>
      <c r="O441" s="1896"/>
      <c r="P441" s="1897"/>
      <c r="Q441" s="1897"/>
      <c r="R441" s="1897"/>
      <c r="S441" s="1895" t="s">
        <v>3408</v>
      </c>
      <c r="T441" s="2674">
        <f>H438*64/4+L444+SUMIF(I438:I443,$B$578,L438:L443)*$E$545+SUMIF(I438:I443,$B$579,L438:L443)*$E$548+SUMIF(I438:I443,$B$580,L438:L443)*$E$546+SUMIF(I438:I443,$B$581,L438:L443)*$E$547+SUMIF(I438:I443,$B$582,L438:L443)*$E$547+SUMIF(I438:I443,$B$583,L438:L443)*$E$549+SUMIF(I438:I443,$B$584,L438:L443)*$E$547+SUMIF(I438:I443,$B$585,L438:L443)*$E$549+SUMIF(I438:I443,$B$586,L438:L443)*$E$547+SUMIF(I438:I443,$B$587,L438:L443)*$E$551+SUMIF(I438:I443,$B$588,L438:L443)*$E$549+SUMIF(I438:I443,$B$590,L438:L443)*$E$544+SUMIF(I438:I443,$B$589,L438:L443)*$E$550</f>
        <v>0</v>
      </c>
      <c r="U441" s="2921"/>
    </row>
    <row r="442" spans="1:21" ht="29.1" hidden="1" customHeight="1" x14ac:dyDescent="0.25">
      <c r="A442" s="2923"/>
      <c r="B442" s="1884"/>
      <c r="C442" s="1885"/>
      <c r="D442" s="1885"/>
      <c r="E442" s="1901" t="s">
        <v>1536</v>
      </c>
      <c r="F442" s="1888" t="s">
        <v>740</v>
      </c>
      <c r="G442" s="1900">
        <f>(H439*$E$527+H440*$E$527)*$C$557+R439*$C$557+T440*$C$558/T439</f>
        <v>0</v>
      </c>
      <c r="H442" s="1886">
        <f t="shared" si="305"/>
        <v>0</v>
      </c>
      <c r="I442" s="1889"/>
      <c r="J442" s="1890" t="s">
        <v>732</v>
      </c>
      <c r="K442" s="2647">
        <v>0</v>
      </c>
      <c r="L442" s="2646">
        <f t="shared" si="303"/>
        <v>0</v>
      </c>
      <c r="M442" s="2226">
        <f t="shared" si="306"/>
        <v>1</v>
      </c>
      <c r="N442" s="2649">
        <f>+$T439</f>
        <v>1.5</v>
      </c>
      <c r="O442" s="1896"/>
      <c r="P442" s="1897"/>
      <c r="Q442" s="1897"/>
      <c r="R442" s="1902"/>
      <c r="S442" s="1895" t="s">
        <v>1537</v>
      </c>
      <c r="T442" s="2673">
        <f>+T441*T438</f>
        <v>0</v>
      </c>
      <c r="U442" s="2921"/>
    </row>
    <row r="443" spans="1:21" hidden="1" x14ac:dyDescent="0.25">
      <c r="A443" s="2923"/>
      <c r="B443" s="1884"/>
      <c r="C443" s="1885"/>
      <c r="D443" s="1885"/>
      <c r="E443" s="1887"/>
      <c r="F443" s="1888"/>
      <c r="G443" s="1886"/>
      <c r="H443" s="1886"/>
      <c r="I443" s="1889"/>
      <c r="J443" s="1890" t="s">
        <v>732</v>
      </c>
      <c r="K443" s="2647">
        <v>0</v>
      </c>
      <c r="L443" s="2646">
        <f t="shared" si="303"/>
        <v>0</v>
      </c>
      <c r="M443" s="2226">
        <f t="shared" si="306"/>
        <v>1</v>
      </c>
      <c r="N443" s="2649">
        <f>+$T439</f>
        <v>1.5</v>
      </c>
      <c r="O443" s="1903"/>
      <c r="P443" s="1902"/>
      <c r="Q443" s="1902"/>
      <c r="R443" s="1902"/>
      <c r="S443" s="1904"/>
      <c r="T443" s="1905"/>
      <c r="U443" s="2921"/>
    </row>
    <row r="444" spans="1:21" ht="60.75" hidden="1" thickBot="1" x14ac:dyDescent="0.3">
      <c r="A444" s="2925"/>
      <c r="B444" s="1906"/>
      <c r="C444" s="1907"/>
      <c r="D444" s="1907"/>
      <c r="E444" s="1908"/>
      <c r="F444" s="1909"/>
      <c r="G444" s="1910"/>
      <c r="H444" s="1910"/>
      <c r="I444" s="1911" t="s">
        <v>1538</v>
      </c>
      <c r="J444" s="1912" t="s">
        <v>740</v>
      </c>
      <c r="K444" s="2658">
        <v>0</v>
      </c>
      <c r="L444" s="2659">
        <f t="shared" si="303"/>
        <v>0</v>
      </c>
      <c r="M444" s="2660">
        <f>IF(T444="YES",$C$554,1)</f>
        <v>1</v>
      </c>
      <c r="N444" s="2661">
        <f>+$T439</f>
        <v>1.5</v>
      </c>
      <c r="O444" s="1913"/>
      <c r="P444" s="1914"/>
      <c r="Q444" s="1914"/>
      <c r="R444" s="1914"/>
      <c r="S444" s="1920" t="s">
        <v>1539</v>
      </c>
      <c r="T444" s="1921" t="s">
        <v>1540</v>
      </c>
      <c r="U444" s="2924"/>
    </row>
    <row r="445" spans="1:21" ht="27" hidden="1" customHeight="1" thickBot="1" x14ac:dyDescent="0.3">
      <c r="A445" s="1915"/>
      <c r="B445" s="1916"/>
      <c r="C445" s="1917"/>
      <c r="D445" s="1917"/>
      <c r="E445" s="1916"/>
      <c r="F445" s="1917"/>
      <c r="G445" s="1917"/>
      <c r="H445" s="1917"/>
      <c r="I445" s="1916"/>
      <c r="J445" s="1917"/>
      <c r="K445" s="2669"/>
      <c r="L445" s="2669"/>
      <c r="M445" s="2669"/>
      <c r="N445" s="2669"/>
      <c r="O445" s="1916"/>
      <c r="P445" s="1917"/>
      <c r="Q445" s="1917"/>
      <c r="R445" s="1917"/>
      <c r="S445" s="1918"/>
      <c r="T445" s="1917"/>
      <c r="U445" s="1919"/>
    </row>
    <row r="446" spans="1:21" ht="26.85" hidden="1" customHeight="1" x14ac:dyDescent="0.25">
      <c r="A446" s="1870" t="s">
        <v>1513</v>
      </c>
      <c r="B446" s="1871" t="s">
        <v>1523</v>
      </c>
      <c r="C446" s="1872" t="s">
        <v>740</v>
      </c>
      <c r="D446" s="1873"/>
      <c r="E446" s="1874" t="s">
        <v>1524</v>
      </c>
      <c r="F446" s="1875" t="s">
        <v>728</v>
      </c>
      <c r="G446" s="1873"/>
      <c r="H446" s="1873">
        <f t="shared" ref="H446" si="308">G446*M446*N446</f>
        <v>0</v>
      </c>
      <c r="I446" s="1876"/>
      <c r="J446" s="1877" t="s">
        <v>732</v>
      </c>
      <c r="K446" s="2672">
        <v>0</v>
      </c>
      <c r="L446" s="2645">
        <f t="shared" ref="L446:L452" si="309">IF(ISNUMBER(SEARCH("Timber",I446)),M446*K446*N446,K446)</f>
        <v>0</v>
      </c>
      <c r="M446" s="2225">
        <f>+$M452</f>
        <v>1</v>
      </c>
      <c r="N446" s="2648">
        <f>+$T447</f>
        <v>1.5</v>
      </c>
      <c r="O446" s="1878" t="s">
        <v>1512</v>
      </c>
      <c r="P446" s="1879" t="s">
        <v>740</v>
      </c>
      <c r="Q446" s="1880">
        <f t="shared" ref="Q446" si="310">R447*$E$532+T448*$E$533</f>
        <v>0</v>
      </c>
      <c r="R446" s="1881"/>
      <c r="S446" s="1882" t="s">
        <v>1525</v>
      </c>
      <c r="T446" s="1873">
        <v>30</v>
      </c>
      <c r="U446" s="2920" t="s">
        <v>1526</v>
      </c>
    </row>
    <row r="447" spans="1:21" ht="30" hidden="1" x14ac:dyDescent="0.25">
      <c r="A447" s="1883">
        <f>A439+1</f>
        <v>56</v>
      </c>
      <c r="B447" s="1884" t="s">
        <v>1527</v>
      </c>
      <c r="C447" s="1885" t="s">
        <v>740</v>
      </c>
      <c r="D447" s="1886"/>
      <c r="E447" s="1887" t="s">
        <v>1528</v>
      </c>
      <c r="F447" s="1888" t="s">
        <v>728</v>
      </c>
      <c r="G447" s="1886"/>
      <c r="H447" s="1886">
        <f t="shared" ref="H447:H450" si="311">G447</f>
        <v>0</v>
      </c>
      <c r="I447" s="1889"/>
      <c r="J447" s="1890" t="s">
        <v>732</v>
      </c>
      <c r="K447" s="2647">
        <v>0</v>
      </c>
      <c r="L447" s="2646">
        <f t="shared" si="309"/>
        <v>0</v>
      </c>
      <c r="M447" s="2226">
        <f t="shared" ref="M447:M451" si="312">M448</f>
        <v>1</v>
      </c>
      <c r="N447" s="2649">
        <f>+$T447</f>
        <v>1.5</v>
      </c>
      <c r="O447" s="1891" t="s">
        <v>1512</v>
      </c>
      <c r="P447" s="1892" t="s">
        <v>740</v>
      </c>
      <c r="Q447" s="1893"/>
      <c r="R447" s="1894">
        <f>H447*$E$527*0+H448*$E$527*0+SUMIF(I446:I451,$B$565,L446:L451)*$E$537+SUMIF(I446:I451,$B$566,L446:L451)*$E$540+SUMIF(I446:I451,$B$567,L446:L451)*$E$538+SUMIF(I446:I451,$B$568,L446:L451)*$E$539+SUMIF(I446:I451,$B$569,L446:L451)*$E$539+SUMIF(I446:I451,$B$570,L446:L451)*$E$541+SUMIF(I446:I451,$B$571,L446:L451)*$E$539+SUMIF(I446:I451,$B$572,L446:L451)*$E$541+SUMIF(I446:I451,$B$573,L446:L451)*$E$539+SUMIF(I446:I451,$B$574,L446:L451)*$E$543+SUMIF(I446:I451,$B$575,L446:L451)*$E$541+SUMIF(I446:I451,$B$577,L446:L451)*$E$536+SUMIF(I446:I451,$B$576,L446:L451)*$E$542+SUMIF(I446:I451,$B$563,L446:L451)*$E$539</f>
        <v>0</v>
      </c>
      <c r="S447" s="1895" t="s">
        <v>1529</v>
      </c>
      <c r="T447" s="2644">
        <f>+'Data Input sheet'!$D$112</f>
        <v>1.5</v>
      </c>
      <c r="U447" s="2921"/>
    </row>
    <row r="448" spans="1:21" ht="30" hidden="1" x14ac:dyDescent="0.25">
      <c r="A448" s="2922" t="s">
        <v>1530</v>
      </c>
      <c r="B448" s="1884" t="s">
        <v>1531</v>
      </c>
      <c r="C448" s="1885" t="s">
        <v>732</v>
      </c>
      <c r="D448" s="1886"/>
      <c r="E448" s="1887" t="s">
        <v>1532</v>
      </c>
      <c r="F448" s="1888" t="s">
        <v>728</v>
      </c>
      <c r="G448" s="1886"/>
      <c r="H448" s="1886">
        <f t="shared" si="311"/>
        <v>0</v>
      </c>
      <c r="I448" s="1889"/>
      <c r="J448" s="1890" t="s">
        <v>732</v>
      </c>
      <c r="K448" s="2647">
        <v>0</v>
      </c>
      <c r="L448" s="2646">
        <f t="shared" si="309"/>
        <v>0</v>
      </c>
      <c r="M448" s="2226">
        <f t="shared" si="312"/>
        <v>1</v>
      </c>
      <c r="N448" s="2649">
        <f>+$T447</f>
        <v>1.5</v>
      </c>
      <c r="O448" s="1896"/>
      <c r="P448" s="1897"/>
      <c r="Q448" s="1898"/>
      <c r="R448" s="1899">
        <f t="shared" ref="R448" si="313">T448</f>
        <v>0</v>
      </c>
      <c r="S448" s="1895" t="s">
        <v>1533</v>
      </c>
      <c r="T448" s="2673">
        <f>G446*64/4+K452+SUMIF(I446:I451,$B$578,K446:K451)*$E$545+SUMIF(I446:I451,$B$579,K446:K451)*$E$548+SUMIF(I446:I451,$B$580,K446:K451)*$E$546+SUMIF(I446:I451,$B$581,K446:K451)*$E$547+SUMIF(I446:I451,$B$582,K446:K451)*$E$547+SUMIF(I446:I451,$B$583,K446:K451)*$E$549+SUMIF(I446:I451,$B$584,K446:K451)*$E$547+SUMIF(I446:I451,$B$585,K446:K451)*$E$549+SUMIF(I446:I451,$B$586,K446:K451)*$E$547+SUMIF(I446:I451,$B$587,K446:K451)*$E$551+SUMIF(I446:I451,$B$588,K446:K451)*$E$549+SUMIF(I446:I451,$B$590,K446:K451)*$E$544+SUMIF(I446:I451,$B$589,K446:K451)*$E$550</f>
        <v>0</v>
      </c>
      <c r="U448" s="2921"/>
    </row>
    <row r="449" spans="1:21" hidden="1" x14ac:dyDescent="0.25">
      <c r="A449" s="2923"/>
      <c r="B449" s="1884" t="s">
        <v>1534</v>
      </c>
      <c r="C449" s="1885" t="s">
        <v>728</v>
      </c>
      <c r="D449" s="1886"/>
      <c r="E449" s="1887" t="s">
        <v>1535</v>
      </c>
      <c r="F449" s="1888" t="s">
        <v>728</v>
      </c>
      <c r="G449" s="1900">
        <f>(H447+H448)*$C$555+G446*$C$556+(R447-(H447+H448)*$E$527)*$C$555/50+(T448-G446*16)*$C$556/50</f>
        <v>0</v>
      </c>
      <c r="H449" s="1886">
        <f t="shared" si="311"/>
        <v>0</v>
      </c>
      <c r="I449" s="1889"/>
      <c r="J449" s="1890" t="s">
        <v>732</v>
      </c>
      <c r="K449" s="2647">
        <v>0</v>
      </c>
      <c r="L449" s="2646">
        <f t="shared" si="309"/>
        <v>0</v>
      </c>
      <c r="M449" s="2226">
        <f t="shared" si="312"/>
        <v>1</v>
      </c>
      <c r="N449" s="2649">
        <f>+$T447</f>
        <v>1.5</v>
      </c>
      <c r="O449" s="1896"/>
      <c r="P449" s="1897"/>
      <c r="Q449" s="1897"/>
      <c r="R449" s="1897"/>
      <c r="S449" s="1895" t="s">
        <v>3408</v>
      </c>
      <c r="T449" s="2674">
        <f>H446*64/4+L452+SUMIF(I446:I451,$B$578,L446:L451)*$E$545+SUMIF(I446:I451,$B$579,L446:L451)*$E$548+SUMIF(I446:I451,$B$580,L446:L451)*$E$546+SUMIF(I446:I451,$B$581,L446:L451)*$E$547+SUMIF(I446:I451,$B$582,L446:L451)*$E$547+SUMIF(I446:I451,$B$583,L446:L451)*$E$549+SUMIF(I446:I451,$B$584,L446:L451)*$E$547+SUMIF(I446:I451,$B$585,L446:L451)*$E$549+SUMIF(I446:I451,$B$586,L446:L451)*$E$547+SUMIF(I446:I451,$B$587,L446:L451)*$E$551+SUMIF(I446:I451,$B$588,L446:L451)*$E$549+SUMIF(I446:I451,$B$590,L446:L451)*$E$544+SUMIF(I446:I451,$B$589,L446:L451)*$E$550</f>
        <v>0</v>
      </c>
      <c r="U449" s="2921"/>
    </row>
    <row r="450" spans="1:21" ht="29.1" hidden="1" customHeight="1" x14ac:dyDescent="0.25">
      <c r="A450" s="2923"/>
      <c r="B450" s="1884"/>
      <c r="C450" s="1885"/>
      <c r="D450" s="1885"/>
      <c r="E450" s="1901" t="s">
        <v>1536</v>
      </c>
      <c r="F450" s="1888" t="s">
        <v>740</v>
      </c>
      <c r="G450" s="1900">
        <f>(H447*$E$527+H448*$E$527)*$C$557+R447*$C$557+T448*$C$558/T447</f>
        <v>0</v>
      </c>
      <c r="H450" s="1886">
        <f t="shared" si="311"/>
        <v>0</v>
      </c>
      <c r="I450" s="1889"/>
      <c r="J450" s="1890" t="s">
        <v>732</v>
      </c>
      <c r="K450" s="2647">
        <v>0</v>
      </c>
      <c r="L450" s="2646">
        <f t="shared" si="309"/>
        <v>0</v>
      </c>
      <c r="M450" s="2226">
        <f t="shared" si="312"/>
        <v>1</v>
      </c>
      <c r="N450" s="2649">
        <f>+$T447</f>
        <v>1.5</v>
      </c>
      <c r="O450" s="1896"/>
      <c r="P450" s="1897"/>
      <c r="Q450" s="1897"/>
      <c r="R450" s="1902"/>
      <c r="S450" s="1895" t="s">
        <v>1537</v>
      </c>
      <c r="T450" s="2673">
        <f>+T449*T446</f>
        <v>0</v>
      </c>
      <c r="U450" s="2921"/>
    </row>
    <row r="451" spans="1:21" hidden="1" x14ac:dyDescent="0.25">
      <c r="A451" s="2923"/>
      <c r="B451" s="1884"/>
      <c r="C451" s="1885"/>
      <c r="D451" s="1885"/>
      <c r="E451" s="1887"/>
      <c r="F451" s="1888"/>
      <c r="G451" s="1886"/>
      <c r="H451" s="1886"/>
      <c r="I451" s="1889"/>
      <c r="J451" s="1890" t="s">
        <v>732</v>
      </c>
      <c r="K451" s="2647">
        <v>0</v>
      </c>
      <c r="L451" s="2646">
        <f t="shared" si="309"/>
        <v>0</v>
      </c>
      <c r="M451" s="2226">
        <f t="shared" si="312"/>
        <v>1</v>
      </c>
      <c r="N451" s="2649">
        <f>+$T447</f>
        <v>1.5</v>
      </c>
      <c r="O451" s="1903"/>
      <c r="P451" s="1902"/>
      <c r="Q451" s="1902"/>
      <c r="R451" s="1902"/>
      <c r="S451" s="1904"/>
      <c r="T451" s="1905"/>
      <c r="U451" s="2921"/>
    </row>
    <row r="452" spans="1:21" ht="60.75" hidden="1" thickBot="1" x14ac:dyDescent="0.3">
      <c r="A452" s="2925"/>
      <c r="B452" s="1906"/>
      <c r="C452" s="1907"/>
      <c r="D452" s="1907"/>
      <c r="E452" s="1908"/>
      <c r="F452" s="1909"/>
      <c r="G452" s="1910"/>
      <c r="H452" s="1910"/>
      <c r="I452" s="1911" t="s">
        <v>1538</v>
      </c>
      <c r="J452" s="1912" t="s">
        <v>740</v>
      </c>
      <c r="K452" s="2658">
        <v>0</v>
      </c>
      <c r="L452" s="2659">
        <f t="shared" si="309"/>
        <v>0</v>
      </c>
      <c r="M452" s="2660">
        <f>IF(T452="YES",$C$554,1)</f>
        <v>1</v>
      </c>
      <c r="N452" s="2661">
        <f>+$T447</f>
        <v>1.5</v>
      </c>
      <c r="O452" s="1913"/>
      <c r="P452" s="1914"/>
      <c r="Q452" s="1914"/>
      <c r="R452" s="1914"/>
      <c r="S452" s="1920" t="s">
        <v>1539</v>
      </c>
      <c r="T452" s="1921" t="s">
        <v>1540</v>
      </c>
      <c r="U452" s="2924"/>
    </row>
    <row r="453" spans="1:21" ht="27" hidden="1" customHeight="1" thickBot="1" x14ac:dyDescent="0.3">
      <c r="A453" s="1915"/>
      <c r="B453" s="1916"/>
      <c r="C453" s="1917"/>
      <c r="D453" s="1917"/>
      <c r="E453" s="1916"/>
      <c r="F453" s="1917"/>
      <c r="G453" s="1917"/>
      <c r="H453" s="1917"/>
      <c r="I453" s="1916"/>
      <c r="J453" s="1917"/>
      <c r="K453" s="2669"/>
      <c r="L453" s="2669"/>
      <c r="M453" s="2669"/>
      <c r="N453" s="2669"/>
      <c r="O453" s="1916"/>
      <c r="P453" s="1917"/>
      <c r="Q453" s="1917"/>
      <c r="R453" s="1917"/>
      <c r="S453" s="1918"/>
      <c r="T453" s="1917"/>
      <c r="U453" s="1919"/>
    </row>
    <row r="454" spans="1:21" ht="26.85" hidden="1" customHeight="1" x14ac:dyDescent="0.25">
      <c r="A454" s="1870" t="s">
        <v>1513</v>
      </c>
      <c r="B454" s="1871" t="s">
        <v>1523</v>
      </c>
      <c r="C454" s="1872" t="s">
        <v>740</v>
      </c>
      <c r="D454" s="1873"/>
      <c r="E454" s="1874" t="s">
        <v>1524</v>
      </c>
      <c r="F454" s="1875" t="s">
        <v>728</v>
      </c>
      <c r="G454" s="1873"/>
      <c r="H454" s="1873">
        <f t="shared" ref="H454" si="314">G454*M454*N454</f>
        <v>0</v>
      </c>
      <c r="I454" s="1876"/>
      <c r="J454" s="1877" t="s">
        <v>732</v>
      </c>
      <c r="K454" s="2672">
        <v>0</v>
      </c>
      <c r="L454" s="2645">
        <f t="shared" ref="L454:L460" si="315">IF(ISNUMBER(SEARCH("Timber",I454)),M454*K454*N454,K454)</f>
        <v>0</v>
      </c>
      <c r="M454" s="2225">
        <f>+$M460</f>
        <v>1</v>
      </c>
      <c r="N454" s="2648">
        <f>+$T455</f>
        <v>1.5</v>
      </c>
      <c r="O454" s="1878" t="s">
        <v>1512</v>
      </c>
      <c r="P454" s="1879" t="s">
        <v>740</v>
      </c>
      <c r="Q454" s="1880">
        <f t="shared" ref="Q454" si="316">R455*$E$532+T456*$E$533</f>
        <v>0</v>
      </c>
      <c r="R454" s="1881"/>
      <c r="S454" s="1882" t="s">
        <v>1525</v>
      </c>
      <c r="T454" s="1873">
        <v>30</v>
      </c>
      <c r="U454" s="2920" t="s">
        <v>1526</v>
      </c>
    </row>
    <row r="455" spans="1:21" ht="30" hidden="1" x14ac:dyDescent="0.25">
      <c r="A455" s="1883">
        <f>A447+1</f>
        <v>57</v>
      </c>
      <c r="B455" s="1884" t="s">
        <v>1527</v>
      </c>
      <c r="C455" s="1885" t="s">
        <v>740</v>
      </c>
      <c r="D455" s="1886"/>
      <c r="E455" s="1887" t="s">
        <v>1528</v>
      </c>
      <c r="F455" s="1888" t="s">
        <v>728</v>
      </c>
      <c r="G455" s="1886"/>
      <c r="H455" s="1886">
        <f t="shared" ref="H455:H458" si="317">G455</f>
        <v>0</v>
      </c>
      <c r="I455" s="1889"/>
      <c r="J455" s="1890" t="s">
        <v>732</v>
      </c>
      <c r="K455" s="2647">
        <v>0</v>
      </c>
      <c r="L455" s="2646">
        <f t="shared" si="315"/>
        <v>0</v>
      </c>
      <c r="M455" s="2226">
        <f t="shared" ref="M455:M459" si="318">M456</f>
        <v>1</v>
      </c>
      <c r="N455" s="2649">
        <f>+$T455</f>
        <v>1.5</v>
      </c>
      <c r="O455" s="1891" t="s">
        <v>1512</v>
      </c>
      <c r="P455" s="1892" t="s">
        <v>740</v>
      </c>
      <c r="Q455" s="1893"/>
      <c r="R455" s="1894">
        <f>H455*$E$527*0+H456*$E$527*0+SUMIF(I454:I459,$B$565,L454:L459)*$E$537+SUMIF(I454:I459,$B$566,L454:L459)*$E$540+SUMIF(I454:I459,$B$567,L454:L459)*$E$538+SUMIF(I454:I459,$B$568,L454:L459)*$E$539+SUMIF(I454:I459,$B$569,L454:L459)*$E$539+SUMIF(I454:I459,$B$570,L454:L459)*$E$541+SUMIF(I454:I459,$B$571,L454:L459)*$E$539+SUMIF(I454:I459,$B$572,L454:L459)*$E$541+SUMIF(I454:I459,$B$573,L454:L459)*$E$539+SUMIF(I454:I459,$B$574,L454:L459)*$E$543+SUMIF(I454:I459,$B$575,L454:L459)*$E$541+SUMIF(I454:I459,$B$577,L454:L459)*$E$536+SUMIF(I454:I459,$B$576,L454:L459)*$E$542+SUMIF(I454:I459,$B$563,L454:L459)*$E$539</f>
        <v>0</v>
      </c>
      <c r="S455" s="1895" t="s">
        <v>1529</v>
      </c>
      <c r="T455" s="2644">
        <f>+'Data Input sheet'!$D$112</f>
        <v>1.5</v>
      </c>
      <c r="U455" s="2921"/>
    </row>
    <row r="456" spans="1:21" ht="30" hidden="1" x14ac:dyDescent="0.25">
      <c r="A456" s="2922" t="s">
        <v>1530</v>
      </c>
      <c r="B456" s="1884" t="s">
        <v>1531</v>
      </c>
      <c r="C456" s="1885" t="s">
        <v>732</v>
      </c>
      <c r="D456" s="1886"/>
      <c r="E456" s="1887" t="s">
        <v>1532</v>
      </c>
      <c r="F456" s="1888" t="s">
        <v>728</v>
      </c>
      <c r="G456" s="1886"/>
      <c r="H456" s="1886">
        <f t="shared" si="317"/>
        <v>0</v>
      </c>
      <c r="I456" s="1889"/>
      <c r="J456" s="1890" t="s">
        <v>732</v>
      </c>
      <c r="K456" s="2647">
        <v>0</v>
      </c>
      <c r="L456" s="2646">
        <f t="shared" si="315"/>
        <v>0</v>
      </c>
      <c r="M456" s="2226">
        <f t="shared" si="318"/>
        <v>1</v>
      </c>
      <c r="N456" s="2649">
        <f>+$T455</f>
        <v>1.5</v>
      </c>
      <c r="O456" s="1896"/>
      <c r="P456" s="1897"/>
      <c r="Q456" s="1898"/>
      <c r="R456" s="1899">
        <f t="shared" ref="R456" si="319">T456</f>
        <v>0</v>
      </c>
      <c r="S456" s="1895" t="s">
        <v>1533</v>
      </c>
      <c r="T456" s="2673">
        <f>G454*64/4+K460+SUMIF(I454:I459,$B$578,K454:K459)*$E$545+SUMIF(I454:I459,$B$579,K454:K459)*$E$548+SUMIF(I454:I459,$B$580,K454:K459)*$E$546+SUMIF(I454:I459,$B$581,K454:K459)*$E$547+SUMIF(I454:I459,$B$582,K454:K459)*$E$547+SUMIF(I454:I459,$B$583,K454:K459)*$E$549+SUMIF(I454:I459,$B$584,K454:K459)*$E$547+SUMIF(I454:I459,$B$585,K454:K459)*$E$549+SUMIF(I454:I459,$B$586,K454:K459)*$E$547+SUMIF(I454:I459,$B$587,K454:K459)*$E$551+SUMIF(I454:I459,$B$588,K454:K459)*$E$549+SUMIF(I454:I459,$B$590,K454:K459)*$E$544+SUMIF(I454:I459,$B$589,K454:K459)*$E$550</f>
        <v>0</v>
      </c>
      <c r="U456" s="2921"/>
    </row>
    <row r="457" spans="1:21" hidden="1" x14ac:dyDescent="0.25">
      <c r="A457" s="2923"/>
      <c r="B457" s="1884" t="s">
        <v>1534</v>
      </c>
      <c r="C457" s="1885" t="s">
        <v>728</v>
      </c>
      <c r="D457" s="1886"/>
      <c r="E457" s="1887" t="s">
        <v>1535</v>
      </c>
      <c r="F457" s="1888" t="s">
        <v>728</v>
      </c>
      <c r="G457" s="1900">
        <f>(H455+H456)*$C$555+G454*$C$556+(R455-(H455+H456)*$E$527)*$C$555/50+(T456-G454*16)*$C$556/50</f>
        <v>0</v>
      </c>
      <c r="H457" s="1886">
        <f t="shared" si="317"/>
        <v>0</v>
      </c>
      <c r="I457" s="1889"/>
      <c r="J457" s="1890" t="s">
        <v>732</v>
      </c>
      <c r="K457" s="2647">
        <v>0</v>
      </c>
      <c r="L457" s="2646">
        <f t="shared" si="315"/>
        <v>0</v>
      </c>
      <c r="M457" s="2226">
        <f t="shared" si="318"/>
        <v>1</v>
      </c>
      <c r="N457" s="2649">
        <f>+$T455</f>
        <v>1.5</v>
      </c>
      <c r="O457" s="1896"/>
      <c r="P457" s="1897"/>
      <c r="Q457" s="1897"/>
      <c r="R457" s="1897"/>
      <c r="S457" s="1895" t="s">
        <v>3408</v>
      </c>
      <c r="T457" s="2674">
        <f>H454*64/4+L460+SUMIF(I454:I459,$B$578,L454:L459)*$E$545+SUMIF(I454:I459,$B$579,L454:L459)*$E$548+SUMIF(I454:I459,$B$580,L454:L459)*$E$546+SUMIF(I454:I459,$B$581,L454:L459)*$E$547+SUMIF(I454:I459,$B$582,L454:L459)*$E$547+SUMIF(I454:I459,$B$583,L454:L459)*$E$549+SUMIF(I454:I459,$B$584,L454:L459)*$E$547+SUMIF(I454:I459,$B$585,L454:L459)*$E$549+SUMIF(I454:I459,$B$586,L454:L459)*$E$547+SUMIF(I454:I459,$B$587,L454:L459)*$E$551+SUMIF(I454:I459,$B$588,L454:L459)*$E$549+SUMIF(I454:I459,$B$590,L454:L459)*$E$544+SUMIF(I454:I459,$B$589,L454:L459)*$E$550</f>
        <v>0</v>
      </c>
      <c r="U457" s="2921"/>
    </row>
    <row r="458" spans="1:21" ht="29.1" hidden="1" customHeight="1" x14ac:dyDescent="0.25">
      <c r="A458" s="2923"/>
      <c r="B458" s="1884"/>
      <c r="C458" s="1885"/>
      <c r="D458" s="1885"/>
      <c r="E458" s="1901" t="s">
        <v>1536</v>
      </c>
      <c r="F458" s="1888" t="s">
        <v>740</v>
      </c>
      <c r="G458" s="1900">
        <f>(H455*$E$527+H456*$E$527)*$C$557+R455*$C$557+T456*$C$558/T455</f>
        <v>0</v>
      </c>
      <c r="H458" s="1886">
        <f t="shared" si="317"/>
        <v>0</v>
      </c>
      <c r="I458" s="1889"/>
      <c r="J458" s="1890" t="s">
        <v>732</v>
      </c>
      <c r="K458" s="2647">
        <v>0</v>
      </c>
      <c r="L458" s="2646">
        <f t="shared" si="315"/>
        <v>0</v>
      </c>
      <c r="M458" s="2226">
        <f t="shared" si="318"/>
        <v>1</v>
      </c>
      <c r="N458" s="2649">
        <f>+$T455</f>
        <v>1.5</v>
      </c>
      <c r="O458" s="1896"/>
      <c r="P458" s="1897"/>
      <c r="Q458" s="1897"/>
      <c r="R458" s="1902"/>
      <c r="S458" s="1895" t="s">
        <v>1537</v>
      </c>
      <c r="T458" s="2673">
        <f>+T457*T454</f>
        <v>0</v>
      </c>
      <c r="U458" s="2921"/>
    </row>
    <row r="459" spans="1:21" hidden="1" x14ac:dyDescent="0.25">
      <c r="A459" s="2923"/>
      <c r="B459" s="1884"/>
      <c r="C459" s="1885"/>
      <c r="D459" s="1885"/>
      <c r="E459" s="1887"/>
      <c r="F459" s="1888"/>
      <c r="G459" s="1886"/>
      <c r="H459" s="1886"/>
      <c r="I459" s="1889"/>
      <c r="J459" s="1890" t="s">
        <v>732</v>
      </c>
      <c r="K459" s="2647">
        <v>0</v>
      </c>
      <c r="L459" s="2646">
        <f t="shared" si="315"/>
        <v>0</v>
      </c>
      <c r="M459" s="2226">
        <f t="shared" si="318"/>
        <v>1</v>
      </c>
      <c r="N459" s="2649">
        <f>+$T455</f>
        <v>1.5</v>
      </c>
      <c r="O459" s="1903"/>
      <c r="P459" s="1902"/>
      <c r="Q459" s="1902"/>
      <c r="R459" s="1902"/>
      <c r="S459" s="1904"/>
      <c r="T459" s="1905"/>
      <c r="U459" s="2921"/>
    </row>
    <row r="460" spans="1:21" ht="60.75" hidden="1" thickBot="1" x14ac:dyDescent="0.3">
      <c r="A460" s="2925"/>
      <c r="B460" s="1906"/>
      <c r="C460" s="1907"/>
      <c r="D460" s="1907"/>
      <c r="E460" s="1908"/>
      <c r="F460" s="1909"/>
      <c r="G460" s="1910"/>
      <c r="H460" s="1910"/>
      <c r="I460" s="1911" t="s">
        <v>1538</v>
      </c>
      <c r="J460" s="1912" t="s">
        <v>740</v>
      </c>
      <c r="K460" s="2658">
        <v>0</v>
      </c>
      <c r="L460" s="2659">
        <f t="shared" si="315"/>
        <v>0</v>
      </c>
      <c r="M460" s="2660">
        <f>IF(T460="YES",$C$554,1)</f>
        <v>1</v>
      </c>
      <c r="N460" s="2661">
        <f>+$T455</f>
        <v>1.5</v>
      </c>
      <c r="O460" s="1913"/>
      <c r="P460" s="1914"/>
      <c r="Q460" s="1914"/>
      <c r="R460" s="1914"/>
      <c r="S460" s="1920" t="s">
        <v>1539</v>
      </c>
      <c r="T460" s="1921" t="s">
        <v>1540</v>
      </c>
      <c r="U460" s="2924"/>
    </row>
    <row r="461" spans="1:21" ht="27" hidden="1" customHeight="1" thickBot="1" x14ac:dyDescent="0.3">
      <c r="A461" s="1915"/>
      <c r="B461" s="1916"/>
      <c r="C461" s="1917"/>
      <c r="D461" s="1917"/>
      <c r="E461" s="1916"/>
      <c r="F461" s="1917"/>
      <c r="G461" s="1917"/>
      <c r="H461" s="1917"/>
      <c r="I461" s="1916"/>
      <c r="J461" s="1917"/>
      <c r="K461" s="2669"/>
      <c r="L461" s="2669"/>
      <c r="M461" s="2669"/>
      <c r="N461" s="2669"/>
      <c r="O461" s="1916"/>
      <c r="P461" s="1917"/>
      <c r="Q461" s="1917"/>
      <c r="R461" s="1917"/>
      <c r="S461" s="1918"/>
      <c r="T461" s="1917"/>
      <c r="U461" s="1919"/>
    </row>
    <row r="462" spans="1:21" ht="26.85" hidden="1" customHeight="1" x14ac:dyDescent="0.25">
      <c r="A462" s="1870" t="s">
        <v>1513</v>
      </c>
      <c r="B462" s="1871" t="s">
        <v>1523</v>
      </c>
      <c r="C462" s="1872" t="s">
        <v>740</v>
      </c>
      <c r="D462" s="1873"/>
      <c r="E462" s="1874" t="s">
        <v>1524</v>
      </c>
      <c r="F462" s="1875" t="s">
        <v>728</v>
      </c>
      <c r="G462" s="1873"/>
      <c r="H462" s="1873">
        <f t="shared" ref="H462" si="320">G462*M462*N462</f>
        <v>0</v>
      </c>
      <c r="I462" s="1876"/>
      <c r="J462" s="1877" t="s">
        <v>732</v>
      </c>
      <c r="K462" s="2672">
        <v>0</v>
      </c>
      <c r="L462" s="2645">
        <f t="shared" ref="L462:L468" si="321">IF(ISNUMBER(SEARCH("Timber",I462)),M462*K462*N462,K462)</f>
        <v>0</v>
      </c>
      <c r="M462" s="2225">
        <f>+$M468</f>
        <v>1</v>
      </c>
      <c r="N462" s="2648">
        <f>+$T463</f>
        <v>1.5</v>
      </c>
      <c r="O462" s="1878" t="s">
        <v>1512</v>
      </c>
      <c r="P462" s="1879" t="s">
        <v>740</v>
      </c>
      <c r="Q462" s="1880">
        <f t="shared" ref="Q462" si="322">R463*$E$532+T464*$E$533</f>
        <v>0</v>
      </c>
      <c r="R462" s="1881"/>
      <c r="S462" s="1882" t="s">
        <v>1525</v>
      </c>
      <c r="T462" s="1873">
        <v>30</v>
      </c>
      <c r="U462" s="2920" t="s">
        <v>1526</v>
      </c>
    </row>
    <row r="463" spans="1:21" ht="30" hidden="1" x14ac:dyDescent="0.25">
      <c r="A463" s="1883">
        <f>A455+1</f>
        <v>58</v>
      </c>
      <c r="B463" s="1884" t="s">
        <v>1527</v>
      </c>
      <c r="C463" s="1885" t="s">
        <v>740</v>
      </c>
      <c r="D463" s="1886"/>
      <c r="E463" s="1887" t="s">
        <v>1528</v>
      </c>
      <c r="F463" s="1888" t="s">
        <v>728</v>
      </c>
      <c r="G463" s="1886"/>
      <c r="H463" s="1886">
        <f t="shared" ref="H463:H466" si="323">G463</f>
        <v>0</v>
      </c>
      <c r="I463" s="1889"/>
      <c r="J463" s="1890" t="s">
        <v>732</v>
      </c>
      <c r="K463" s="2647">
        <v>0</v>
      </c>
      <c r="L463" s="2646">
        <f t="shared" si="321"/>
        <v>0</v>
      </c>
      <c r="M463" s="2226">
        <f t="shared" ref="M463:M467" si="324">M464</f>
        <v>1</v>
      </c>
      <c r="N463" s="2649">
        <f>+$T463</f>
        <v>1.5</v>
      </c>
      <c r="O463" s="1891" t="s">
        <v>1512</v>
      </c>
      <c r="P463" s="1892" t="s">
        <v>740</v>
      </c>
      <c r="Q463" s="1893"/>
      <c r="R463" s="1894">
        <f>H463*$E$527*0+H464*$E$527*0+SUMIF(I462:I467,$B$565,L462:L467)*$E$537+SUMIF(I462:I467,$B$566,L462:L467)*$E$540+SUMIF(I462:I467,$B$567,L462:L467)*$E$538+SUMIF(I462:I467,$B$568,L462:L467)*$E$539+SUMIF(I462:I467,$B$569,L462:L467)*$E$539+SUMIF(I462:I467,$B$570,L462:L467)*$E$541+SUMIF(I462:I467,$B$571,L462:L467)*$E$539+SUMIF(I462:I467,$B$572,L462:L467)*$E$541+SUMIF(I462:I467,$B$573,L462:L467)*$E$539+SUMIF(I462:I467,$B$574,L462:L467)*$E$543+SUMIF(I462:I467,$B$575,L462:L467)*$E$541+SUMIF(I462:I467,$B$577,L462:L467)*$E$536+SUMIF(I462:I467,$B$576,L462:L467)*$E$542+SUMIF(I462:I467,$B$563,L462:L467)*$E$539</f>
        <v>0</v>
      </c>
      <c r="S463" s="1895" t="s">
        <v>1529</v>
      </c>
      <c r="T463" s="2644">
        <f>+'Data Input sheet'!$D$112</f>
        <v>1.5</v>
      </c>
      <c r="U463" s="2921"/>
    </row>
    <row r="464" spans="1:21" ht="30" hidden="1" x14ac:dyDescent="0.25">
      <c r="A464" s="2922" t="s">
        <v>1530</v>
      </c>
      <c r="B464" s="1884" t="s">
        <v>1531</v>
      </c>
      <c r="C464" s="1885" t="s">
        <v>732</v>
      </c>
      <c r="D464" s="1886"/>
      <c r="E464" s="1887" t="s">
        <v>1532</v>
      </c>
      <c r="F464" s="1888" t="s">
        <v>728</v>
      </c>
      <c r="G464" s="1886"/>
      <c r="H464" s="1886">
        <f t="shared" si="323"/>
        <v>0</v>
      </c>
      <c r="I464" s="1889"/>
      <c r="J464" s="1890" t="s">
        <v>732</v>
      </c>
      <c r="K464" s="2647">
        <v>0</v>
      </c>
      <c r="L464" s="2646">
        <f t="shared" si="321"/>
        <v>0</v>
      </c>
      <c r="M464" s="2226">
        <f t="shared" si="324"/>
        <v>1</v>
      </c>
      <c r="N464" s="2649">
        <f>+$T463</f>
        <v>1.5</v>
      </c>
      <c r="O464" s="1896"/>
      <c r="P464" s="1897"/>
      <c r="Q464" s="1898"/>
      <c r="R464" s="1899">
        <f t="shared" ref="R464" si="325">T464</f>
        <v>0</v>
      </c>
      <c r="S464" s="1895" t="s">
        <v>1533</v>
      </c>
      <c r="T464" s="2673">
        <f>G462*64/4+K468+SUMIF(I462:I467,$B$578,K462:K467)*$E$545+SUMIF(I462:I467,$B$579,K462:K467)*$E$548+SUMIF(I462:I467,$B$580,K462:K467)*$E$546+SUMIF(I462:I467,$B$581,K462:K467)*$E$547+SUMIF(I462:I467,$B$582,K462:K467)*$E$547+SUMIF(I462:I467,$B$583,K462:K467)*$E$549+SUMIF(I462:I467,$B$584,K462:K467)*$E$547+SUMIF(I462:I467,$B$585,K462:K467)*$E$549+SUMIF(I462:I467,$B$586,K462:K467)*$E$547+SUMIF(I462:I467,$B$587,K462:K467)*$E$551+SUMIF(I462:I467,$B$588,K462:K467)*$E$549+SUMIF(I462:I467,$B$590,K462:K467)*$E$544+SUMIF(I462:I467,$B$589,K462:K467)*$E$550</f>
        <v>0</v>
      </c>
      <c r="U464" s="2921"/>
    </row>
    <row r="465" spans="1:21" hidden="1" x14ac:dyDescent="0.25">
      <c r="A465" s="2923"/>
      <c r="B465" s="1884" t="s">
        <v>1534</v>
      </c>
      <c r="C465" s="1885" t="s">
        <v>728</v>
      </c>
      <c r="D465" s="1886"/>
      <c r="E465" s="1887" t="s">
        <v>1535</v>
      </c>
      <c r="F465" s="1888" t="s">
        <v>728</v>
      </c>
      <c r="G465" s="1900">
        <f>(H463+H464)*$C$555+G462*$C$556+(R463-(H463+H464)*$E$527)*$C$555/50+(T464-G462*16)*$C$556/50</f>
        <v>0</v>
      </c>
      <c r="H465" s="1886">
        <f t="shared" si="323"/>
        <v>0</v>
      </c>
      <c r="I465" s="1889"/>
      <c r="J465" s="1890" t="s">
        <v>732</v>
      </c>
      <c r="K465" s="2647">
        <v>0</v>
      </c>
      <c r="L465" s="2646">
        <f t="shared" si="321"/>
        <v>0</v>
      </c>
      <c r="M465" s="2226">
        <f t="shared" si="324"/>
        <v>1</v>
      </c>
      <c r="N465" s="2649">
        <f>+$T463</f>
        <v>1.5</v>
      </c>
      <c r="O465" s="1896"/>
      <c r="P465" s="1897"/>
      <c r="Q465" s="1897"/>
      <c r="R465" s="1897"/>
      <c r="S465" s="1895" t="s">
        <v>3408</v>
      </c>
      <c r="T465" s="2674">
        <f>H462*64/4+L468+SUMIF(I462:I467,$B$578,L462:L467)*$E$545+SUMIF(I462:I467,$B$579,L462:L467)*$E$548+SUMIF(I462:I467,$B$580,L462:L467)*$E$546+SUMIF(I462:I467,$B$581,L462:L467)*$E$547+SUMIF(I462:I467,$B$582,L462:L467)*$E$547+SUMIF(I462:I467,$B$583,L462:L467)*$E$549+SUMIF(I462:I467,$B$584,L462:L467)*$E$547+SUMIF(I462:I467,$B$585,L462:L467)*$E$549+SUMIF(I462:I467,$B$586,L462:L467)*$E$547+SUMIF(I462:I467,$B$587,L462:L467)*$E$551+SUMIF(I462:I467,$B$588,L462:L467)*$E$549+SUMIF(I462:I467,$B$590,L462:L467)*$E$544+SUMIF(I462:I467,$B$589,L462:L467)*$E$550</f>
        <v>0</v>
      </c>
      <c r="U465" s="2921"/>
    </row>
    <row r="466" spans="1:21" ht="29.1" hidden="1" customHeight="1" x14ac:dyDescent="0.25">
      <c r="A466" s="2923"/>
      <c r="B466" s="1884"/>
      <c r="C466" s="1885"/>
      <c r="D466" s="1885"/>
      <c r="E466" s="1901" t="s">
        <v>1536</v>
      </c>
      <c r="F466" s="1888" t="s">
        <v>740</v>
      </c>
      <c r="G466" s="1900">
        <f>(H463*$E$527+H464*$E$527)*$C$557+R463*$C$557+T464*$C$558/T463</f>
        <v>0</v>
      </c>
      <c r="H466" s="1886">
        <f t="shared" si="323"/>
        <v>0</v>
      </c>
      <c r="I466" s="1889"/>
      <c r="J466" s="1890" t="s">
        <v>732</v>
      </c>
      <c r="K466" s="2647">
        <v>0</v>
      </c>
      <c r="L466" s="2646">
        <f t="shared" si="321"/>
        <v>0</v>
      </c>
      <c r="M466" s="2226">
        <f t="shared" si="324"/>
        <v>1</v>
      </c>
      <c r="N466" s="2649">
        <f>+$T463</f>
        <v>1.5</v>
      </c>
      <c r="O466" s="1896"/>
      <c r="P466" s="1897"/>
      <c r="Q466" s="1897"/>
      <c r="R466" s="1902"/>
      <c r="S466" s="1895" t="s">
        <v>1537</v>
      </c>
      <c r="T466" s="2673">
        <f>+T465*T462</f>
        <v>0</v>
      </c>
      <c r="U466" s="2921"/>
    </row>
    <row r="467" spans="1:21" hidden="1" x14ac:dyDescent="0.25">
      <c r="A467" s="2923"/>
      <c r="B467" s="1884"/>
      <c r="C467" s="1885"/>
      <c r="D467" s="1885"/>
      <c r="E467" s="1887"/>
      <c r="F467" s="1888"/>
      <c r="G467" s="1886"/>
      <c r="H467" s="1886"/>
      <c r="I467" s="1889"/>
      <c r="J467" s="1890" t="s">
        <v>732</v>
      </c>
      <c r="K467" s="2647">
        <v>0</v>
      </c>
      <c r="L467" s="2646">
        <f t="shared" si="321"/>
        <v>0</v>
      </c>
      <c r="M467" s="2226">
        <f t="shared" si="324"/>
        <v>1</v>
      </c>
      <c r="N467" s="2649">
        <f>+$T463</f>
        <v>1.5</v>
      </c>
      <c r="O467" s="1903"/>
      <c r="P467" s="1902"/>
      <c r="Q467" s="1902"/>
      <c r="R467" s="1902"/>
      <c r="S467" s="1904"/>
      <c r="T467" s="1905"/>
      <c r="U467" s="2921"/>
    </row>
    <row r="468" spans="1:21" ht="60.75" hidden="1" thickBot="1" x14ac:dyDescent="0.3">
      <c r="A468" s="2925"/>
      <c r="B468" s="1906"/>
      <c r="C468" s="1907"/>
      <c r="D468" s="1907"/>
      <c r="E468" s="1908"/>
      <c r="F468" s="1909"/>
      <c r="G468" s="1910"/>
      <c r="H468" s="1910"/>
      <c r="I468" s="1911" t="s">
        <v>1538</v>
      </c>
      <c r="J468" s="1912" t="s">
        <v>740</v>
      </c>
      <c r="K468" s="2658">
        <v>0</v>
      </c>
      <c r="L468" s="2659">
        <f t="shared" si="321"/>
        <v>0</v>
      </c>
      <c r="M468" s="2660">
        <f>IF(T468="YES",$C$554,1)</f>
        <v>1</v>
      </c>
      <c r="N468" s="2661">
        <f>+$T463</f>
        <v>1.5</v>
      </c>
      <c r="O468" s="1913"/>
      <c r="P468" s="1914"/>
      <c r="Q468" s="1914"/>
      <c r="R468" s="1914"/>
      <c r="S468" s="1920" t="s">
        <v>1539</v>
      </c>
      <c r="T468" s="1921" t="s">
        <v>1540</v>
      </c>
      <c r="U468" s="2924"/>
    </row>
    <row r="469" spans="1:21" ht="27" hidden="1" customHeight="1" thickBot="1" x14ac:dyDescent="0.3">
      <c r="A469" s="1915"/>
      <c r="B469" s="1916"/>
      <c r="C469" s="1917"/>
      <c r="D469" s="1917"/>
      <c r="E469" s="1916"/>
      <c r="F469" s="1917"/>
      <c r="G469" s="1917"/>
      <c r="H469" s="1917"/>
      <c r="I469" s="1916"/>
      <c r="J469" s="1917"/>
      <c r="K469" s="2669"/>
      <c r="L469" s="2669"/>
      <c r="M469" s="2669"/>
      <c r="N469" s="2669"/>
      <c r="O469" s="1916"/>
      <c r="P469" s="1917"/>
      <c r="Q469" s="1917"/>
      <c r="R469" s="1917"/>
      <c r="S469" s="1918"/>
      <c r="T469" s="1917"/>
      <c r="U469" s="1919"/>
    </row>
    <row r="470" spans="1:21" ht="26.85" hidden="1" customHeight="1" x14ac:dyDescent="0.25">
      <c r="A470" s="1870" t="s">
        <v>1513</v>
      </c>
      <c r="B470" s="1871" t="s">
        <v>1523</v>
      </c>
      <c r="C470" s="1872" t="s">
        <v>740</v>
      </c>
      <c r="D470" s="1873"/>
      <c r="E470" s="1874" t="s">
        <v>1524</v>
      </c>
      <c r="F470" s="1875" t="s">
        <v>728</v>
      </c>
      <c r="G470" s="1873"/>
      <c r="H470" s="1873">
        <f t="shared" ref="H470" si="326">G470*M470*N470</f>
        <v>0</v>
      </c>
      <c r="I470" s="1876"/>
      <c r="J470" s="1877" t="s">
        <v>732</v>
      </c>
      <c r="K470" s="2672">
        <v>0</v>
      </c>
      <c r="L470" s="2645">
        <f t="shared" ref="L470:L476" si="327">IF(ISNUMBER(SEARCH("Timber",I470)),M470*K470*N470,K470)</f>
        <v>0</v>
      </c>
      <c r="M470" s="2225">
        <f>+$M476</f>
        <v>1</v>
      </c>
      <c r="N470" s="2648">
        <f>+$T471</f>
        <v>1.5</v>
      </c>
      <c r="O470" s="1878" t="s">
        <v>1512</v>
      </c>
      <c r="P470" s="1879" t="s">
        <v>740</v>
      </c>
      <c r="Q470" s="1880">
        <f t="shared" ref="Q470" si="328">R471*$E$532+T472*$E$533</f>
        <v>0</v>
      </c>
      <c r="R470" s="1881"/>
      <c r="S470" s="1882" t="s">
        <v>1525</v>
      </c>
      <c r="T470" s="1873">
        <v>30</v>
      </c>
      <c r="U470" s="2920" t="s">
        <v>1526</v>
      </c>
    </row>
    <row r="471" spans="1:21" ht="30" hidden="1" x14ac:dyDescent="0.25">
      <c r="A471" s="1883">
        <f>A463+1</f>
        <v>59</v>
      </c>
      <c r="B471" s="1884" t="s">
        <v>1527</v>
      </c>
      <c r="C471" s="1885" t="s">
        <v>740</v>
      </c>
      <c r="D471" s="1886"/>
      <c r="E471" s="1887" t="s">
        <v>1528</v>
      </c>
      <c r="F471" s="1888" t="s">
        <v>728</v>
      </c>
      <c r="G471" s="1886"/>
      <c r="H471" s="1886">
        <f t="shared" ref="H471:H474" si="329">G471</f>
        <v>0</v>
      </c>
      <c r="I471" s="1889"/>
      <c r="J471" s="1890" t="s">
        <v>732</v>
      </c>
      <c r="K471" s="2647">
        <v>0</v>
      </c>
      <c r="L471" s="2646">
        <f t="shared" si="327"/>
        <v>0</v>
      </c>
      <c r="M471" s="2226">
        <f t="shared" ref="M471:M475" si="330">M472</f>
        <v>1</v>
      </c>
      <c r="N471" s="2649">
        <f>+$T471</f>
        <v>1.5</v>
      </c>
      <c r="O471" s="1891" t="s">
        <v>1512</v>
      </c>
      <c r="P471" s="1892" t="s">
        <v>740</v>
      </c>
      <c r="Q471" s="1893"/>
      <c r="R471" s="1894">
        <f>H471*$E$527*0+H472*$E$527*0+SUMIF(I470:I475,$B$565,L470:L475)*$E$537+SUMIF(I470:I475,$B$566,L470:L475)*$E$540+SUMIF(I470:I475,$B$567,L470:L475)*$E$538+SUMIF(I470:I475,$B$568,L470:L475)*$E$539+SUMIF(I470:I475,$B$569,L470:L475)*$E$539+SUMIF(I470:I475,$B$570,L470:L475)*$E$541+SUMIF(I470:I475,$B$571,L470:L475)*$E$539+SUMIF(I470:I475,$B$572,L470:L475)*$E$541+SUMIF(I470:I475,$B$573,L470:L475)*$E$539+SUMIF(I470:I475,$B$574,L470:L475)*$E$543+SUMIF(I470:I475,$B$575,L470:L475)*$E$541+SUMIF(I470:I475,$B$577,L470:L475)*$E$536+SUMIF(I470:I475,$B$576,L470:L475)*$E$542+SUMIF(I470:I475,$B$563,L470:L475)*$E$539</f>
        <v>0</v>
      </c>
      <c r="S471" s="1895" t="s">
        <v>1529</v>
      </c>
      <c r="T471" s="2644">
        <f>+'Data Input sheet'!$D$112</f>
        <v>1.5</v>
      </c>
      <c r="U471" s="2921"/>
    </row>
    <row r="472" spans="1:21" ht="30" hidden="1" x14ac:dyDescent="0.25">
      <c r="A472" s="2922" t="s">
        <v>1530</v>
      </c>
      <c r="B472" s="1884" t="s">
        <v>1531</v>
      </c>
      <c r="C472" s="1885" t="s">
        <v>732</v>
      </c>
      <c r="D472" s="1886"/>
      <c r="E472" s="1887" t="s">
        <v>1532</v>
      </c>
      <c r="F472" s="1888" t="s">
        <v>728</v>
      </c>
      <c r="G472" s="1886"/>
      <c r="H472" s="1886">
        <f t="shared" si="329"/>
        <v>0</v>
      </c>
      <c r="I472" s="1889"/>
      <c r="J472" s="1890" t="s">
        <v>732</v>
      </c>
      <c r="K472" s="2647">
        <v>0</v>
      </c>
      <c r="L472" s="2646">
        <f t="shared" si="327"/>
        <v>0</v>
      </c>
      <c r="M472" s="2226">
        <f t="shared" si="330"/>
        <v>1</v>
      </c>
      <c r="N472" s="2649">
        <f>+$T471</f>
        <v>1.5</v>
      </c>
      <c r="O472" s="1896"/>
      <c r="P472" s="1897"/>
      <c r="Q472" s="1898"/>
      <c r="R472" s="1899">
        <f t="shared" ref="R472" si="331">T472</f>
        <v>0</v>
      </c>
      <c r="S472" s="1895" t="s">
        <v>1533</v>
      </c>
      <c r="T472" s="2673">
        <f>G470*64/4+K476+SUMIF(I470:I475,$B$578,K470:K475)*$E$545+SUMIF(I470:I475,$B$579,K470:K475)*$E$548+SUMIF(I470:I475,$B$580,K470:K475)*$E$546+SUMIF(I470:I475,$B$581,K470:K475)*$E$547+SUMIF(I470:I475,$B$582,K470:K475)*$E$547+SUMIF(I470:I475,$B$583,K470:K475)*$E$549+SUMIF(I470:I475,$B$584,K470:K475)*$E$547+SUMIF(I470:I475,$B$585,K470:K475)*$E$549+SUMIF(I470:I475,$B$586,K470:K475)*$E$547+SUMIF(I470:I475,$B$587,K470:K475)*$E$551+SUMIF(I470:I475,$B$588,K470:K475)*$E$549+SUMIF(I470:I475,$B$590,K470:K475)*$E$544+SUMIF(I470:I475,$B$589,K470:K475)*$E$550</f>
        <v>0</v>
      </c>
      <c r="U472" s="2921"/>
    </row>
    <row r="473" spans="1:21" hidden="1" x14ac:dyDescent="0.25">
      <c r="A473" s="2923"/>
      <c r="B473" s="1884" t="s">
        <v>1534</v>
      </c>
      <c r="C473" s="1885" t="s">
        <v>728</v>
      </c>
      <c r="D473" s="1886"/>
      <c r="E473" s="1887" t="s">
        <v>1535</v>
      </c>
      <c r="F473" s="1888" t="s">
        <v>728</v>
      </c>
      <c r="G473" s="1900">
        <f>(H471+H472)*$C$555+G470*$C$556+(R471-(H471+H472)*$E$527)*$C$555/50+(T472-G470*16)*$C$556/50</f>
        <v>0</v>
      </c>
      <c r="H473" s="1886">
        <f t="shared" si="329"/>
        <v>0</v>
      </c>
      <c r="I473" s="1889"/>
      <c r="J473" s="1890" t="s">
        <v>732</v>
      </c>
      <c r="K473" s="2647">
        <v>0</v>
      </c>
      <c r="L473" s="2646">
        <f t="shared" si="327"/>
        <v>0</v>
      </c>
      <c r="M473" s="2226">
        <f t="shared" si="330"/>
        <v>1</v>
      </c>
      <c r="N473" s="2649">
        <f>+$T471</f>
        <v>1.5</v>
      </c>
      <c r="O473" s="1896"/>
      <c r="P473" s="1897"/>
      <c r="Q473" s="1897"/>
      <c r="R473" s="1897"/>
      <c r="S473" s="1895" t="s">
        <v>3408</v>
      </c>
      <c r="T473" s="2674">
        <f>H470*64/4+L476+SUMIF(I470:I475,$B$578,L470:L475)*$E$545+SUMIF(I470:I475,$B$579,L470:L475)*$E$548+SUMIF(I470:I475,$B$580,L470:L475)*$E$546+SUMIF(I470:I475,$B$581,L470:L475)*$E$547+SUMIF(I470:I475,$B$582,L470:L475)*$E$547+SUMIF(I470:I475,$B$583,L470:L475)*$E$549+SUMIF(I470:I475,$B$584,L470:L475)*$E$547+SUMIF(I470:I475,$B$585,L470:L475)*$E$549+SUMIF(I470:I475,$B$586,L470:L475)*$E$547+SUMIF(I470:I475,$B$587,L470:L475)*$E$551+SUMIF(I470:I475,$B$588,L470:L475)*$E$549+SUMIF(I470:I475,$B$590,L470:L475)*$E$544+SUMIF(I470:I475,$B$589,L470:L475)*$E$550</f>
        <v>0</v>
      </c>
      <c r="U473" s="2921"/>
    </row>
    <row r="474" spans="1:21" ht="29.1" hidden="1" customHeight="1" x14ac:dyDescent="0.25">
      <c r="A474" s="2923"/>
      <c r="B474" s="1884"/>
      <c r="C474" s="1885"/>
      <c r="D474" s="1885"/>
      <c r="E474" s="1901" t="s">
        <v>1536</v>
      </c>
      <c r="F474" s="1888" t="s">
        <v>740</v>
      </c>
      <c r="G474" s="1900">
        <f>(H471*$E$527+H472*$E$527)*$C$557+R471*$C$557+T472*$C$558/T471</f>
        <v>0</v>
      </c>
      <c r="H474" s="1886">
        <f t="shared" si="329"/>
        <v>0</v>
      </c>
      <c r="I474" s="1889"/>
      <c r="J474" s="1890" t="s">
        <v>732</v>
      </c>
      <c r="K474" s="2647">
        <v>0</v>
      </c>
      <c r="L474" s="2646">
        <f t="shared" si="327"/>
        <v>0</v>
      </c>
      <c r="M474" s="2226">
        <f t="shared" si="330"/>
        <v>1</v>
      </c>
      <c r="N474" s="2649">
        <f>+$T471</f>
        <v>1.5</v>
      </c>
      <c r="O474" s="1896"/>
      <c r="P474" s="1897"/>
      <c r="Q474" s="1897"/>
      <c r="R474" s="1902"/>
      <c r="S474" s="1895" t="s">
        <v>1537</v>
      </c>
      <c r="T474" s="2673">
        <f>+T473*T470</f>
        <v>0</v>
      </c>
      <c r="U474" s="2921"/>
    </row>
    <row r="475" spans="1:21" hidden="1" x14ac:dyDescent="0.25">
      <c r="A475" s="2923"/>
      <c r="B475" s="1884"/>
      <c r="C475" s="1885"/>
      <c r="D475" s="1885"/>
      <c r="E475" s="1887"/>
      <c r="F475" s="1888"/>
      <c r="G475" s="1886"/>
      <c r="H475" s="1886"/>
      <c r="I475" s="1889"/>
      <c r="J475" s="1890" t="s">
        <v>732</v>
      </c>
      <c r="K475" s="2647">
        <v>0</v>
      </c>
      <c r="L475" s="2646">
        <f t="shared" si="327"/>
        <v>0</v>
      </c>
      <c r="M475" s="2226">
        <f t="shared" si="330"/>
        <v>1</v>
      </c>
      <c r="N475" s="2649">
        <f>+$T471</f>
        <v>1.5</v>
      </c>
      <c r="O475" s="1903"/>
      <c r="P475" s="1902"/>
      <c r="Q475" s="1902"/>
      <c r="R475" s="1902"/>
      <c r="S475" s="1904"/>
      <c r="T475" s="1905"/>
      <c r="U475" s="2921"/>
    </row>
    <row r="476" spans="1:21" ht="60.75" hidden="1" thickBot="1" x14ac:dyDescent="0.3">
      <c r="A476" s="2925"/>
      <c r="B476" s="1906"/>
      <c r="C476" s="1907"/>
      <c r="D476" s="1907"/>
      <c r="E476" s="1908"/>
      <c r="F476" s="1909"/>
      <c r="G476" s="1910"/>
      <c r="H476" s="1910"/>
      <c r="I476" s="1911" t="s">
        <v>1538</v>
      </c>
      <c r="J476" s="1912" t="s">
        <v>740</v>
      </c>
      <c r="K476" s="2658">
        <v>0</v>
      </c>
      <c r="L476" s="2659">
        <f t="shared" si="327"/>
        <v>0</v>
      </c>
      <c r="M476" s="2660">
        <f>IF(T476="YES",$C$554,1)</f>
        <v>1</v>
      </c>
      <c r="N476" s="2661">
        <f>+$T471</f>
        <v>1.5</v>
      </c>
      <c r="O476" s="1913"/>
      <c r="P476" s="1914"/>
      <c r="Q476" s="1914"/>
      <c r="R476" s="1914"/>
      <c r="S476" s="1920" t="s">
        <v>1539</v>
      </c>
      <c r="T476" s="1921" t="s">
        <v>1540</v>
      </c>
      <c r="U476" s="2924"/>
    </row>
    <row r="477" spans="1:21" ht="27" hidden="1" customHeight="1" thickBot="1" x14ac:dyDescent="0.3">
      <c r="A477" s="1915"/>
      <c r="B477" s="1916"/>
      <c r="C477" s="1917"/>
      <c r="D477" s="1917"/>
      <c r="E477" s="1916"/>
      <c r="F477" s="1917"/>
      <c r="G477" s="1917"/>
      <c r="H477" s="1917"/>
      <c r="I477" s="1916"/>
      <c r="J477" s="1917"/>
      <c r="K477" s="2669"/>
      <c r="L477" s="2669"/>
      <c r="M477" s="2669"/>
      <c r="N477" s="2669"/>
      <c r="O477" s="1916"/>
      <c r="P477" s="1917"/>
      <c r="Q477" s="1917"/>
      <c r="R477" s="1917"/>
      <c r="S477" s="1918"/>
      <c r="T477" s="1917"/>
      <c r="U477" s="1919"/>
    </row>
    <row r="478" spans="1:21" ht="26.85" hidden="1" customHeight="1" x14ac:dyDescent="0.25">
      <c r="A478" s="1870" t="s">
        <v>1513</v>
      </c>
      <c r="B478" s="1871" t="s">
        <v>1523</v>
      </c>
      <c r="C478" s="1872" t="s">
        <v>740</v>
      </c>
      <c r="D478" s="1873"/>
      <c r="E478" s="1874" t="s">
        <v>1524</v>
      </c>
      <c r="F478" s="1875" t="s">
        <v>728</v>
      </c>
      <c r="G478" s="1873"/>
      <c r="H478" s="1873">
        <f t="shared" ref="H478" si="332">G478*M478*N478</f>
        <v>0</v>
      </c>
      <c r="I478" s="1876"/>
      <c r="J478" s="1877" t="s">
        <v>732</v>
      </c>
      <c r="K478" s="2672">
        <v>0</v>
      </c>
      <c r="L478" s="2645">
        <f t="shared" ref="L478:L484" si="333">IF(ISNUMBER(SEARCH("Timber",I478)),M478*K478*N478,K478)</f>
        <v>0</v>
      </c>
      <c r="M478" s="2225">
        <f>+$M484</f>
        <v>1</v>
      </c>
      <c r="N478" s="2648">
        <f>+$T479</f>
        <v>1.5</v>
      </c>
      <c r="O478" s="1878" t="s">
        <v>1512</v>
      </c>
      <c r="P478" s="1879" t="s">
        <v>740</v>
      </c>
      <c r="Q478" s="1880">
        <f t="shared" ref="Q478" si="334">R479*$E$532+T480*$E$533</f>
        <v>0</v>
      </c>
      <c r="R478" s="1881"/>
      <c r="S478" s="1882" t="s">
        <v>1525</v>
      </c>
      <c r="T478" s="1873">
        <v>30</v>
      </c>
      <c r="U478" s="2920" t="s">
        <v>1526</v>
      </c>
    </row>
    <row r="479" spans="1:21" ht="30" hidden="1" x14ac:dyDescent="0.25">
      <c r="A479" s="1883">
        <f>A471+1</f>
        <v>60</v>
      </c>
      <c r="B479" s="1884" t="s">
        <v>1527</v>
      </c>
      <c r="C479" s="1885" t="s">
        <v>740</v>
      </c>
      <c r="D479" s="1886"/>
      <c r="E479" s="1887" t="s">
        <v>1528</v>
      </c>
      <c r="F479" s="1888" t="s">
        <v>728</v>
      </c>
      <c r="G479" s="1886"/>
      <c r="H479" s="1886">
        <f t="shared" ref="H479:H482" si="335">G479</f>
        <v>0</v>
      </c>
      <c r="I479" s="1889"/>
      <c r="J479" s="1890" t="s">
        <v>732</v>
      </c>
      <c r="K479" s="2647">
        <v>0</v>
      </c>
      <c r="L479" s="2646">
        <f t="shared" si="333"/>
        <v>0</v>
      </c>
      <c r="M479" s="2226">
        <f t="shared" ref="M479:M483" si="336">M480</f>
        <v>1</v>
      </c>
      <c r="N479" s="2649">
        <f>+$T479</f>
        <v>1.5</v>
      </c>
      <c r="O479" s="1891" t="s">
        <v>1512</v>
      </c>
      <c r="P479" s="1892" t="s">
        <v>740</v>
      </c>
      <c r="Q479" s="1893"/>
      <c r="R479" s="1894">
        <f>H479*$E$527*0+H480*$E$527*0+SUMIF(I478:I483,$B$565,L478:L483)*$E$537+SUMIF(I478:I483,$B$566,L478:L483)*$E$540+SUMIF(I478:I483,$B$567,L478:L483)*$E$538+SUMIF(I478:I483,$B$568,L478:L483)*$E$539+SUMIF(I478:I483,$B$569,L478:L483)*$E$539+SUMIF(I478:I483,$B$570,L478:L483)*$E$541+SUMIF(I478:I483,$B$571,L478:L483)*$E$539+SUMIF(I478:I483,$B$572,L478:L483)*$E$541+SUMIF(I478:I483,$B$573,L478:L483)*$E$539+SUMIF(I478:I483,$B$574,L478:L483)*$E$543+SUMIF(I478:I483,$B$575,L478:L483)*$E$541+SUMIF(I478:I483,$B$577,L478:L483)*$E$536+SUMIF(I478:I483,$B$576,L478:L483)*$E$542+SUMIF(I478:I483,$B$563,L478:L483)*$E$539</f>
        <v>0</v>
      </c>
      <c r="S479" s="1895" t="s">
        <v>1529</v>
      </c>
      <c r="T479" s="2644">
        <f>+'Data Input sheet'!$D$112</f>
        <v>1.5</v>
      </c>
      <c r="U479" s="2921"/>
    </row>
    <row r="480" spans="1:21" ht="30" hidden="1" x14ac:dyDescent="0.25">
      <c r="A480" s="2922" t="s">
        <v>1530</v>
      </c>
      <c r="B480" s="1884" t="s">
        <v>1531</v>
      </c>
      <c r="C480" s="1885" t="s">
        <v>732</v>
      </c>
      <c r="D480" s="1886"/>
      <c r="E480" s="1887" t="s">
        <v>1532</v>
      </c>
      <c r="F480" s="1888" t="s">
        <v>728</v>
      </c>
      <c r="G480" s="1886"/>
      <c r="H480" s="1886">
        <f t="shared" si="335"/>
        <v>0</v>
      </c>
      <c r="I480" s="1889"/>
      <c r="J480" s="1890" t="s">
        <v>732</v>
      </c>
      <c r="K480" s="2647">
        <v>0</v>
      </c>
      <c r="L480" s="2646">
        <f t="shared" si="333"/>
        <v>0</v>
      </c>
      <c r="M480" s="2226">
        <f t="shared" si="336"/>
        <v>1</v>
      </c>
      <c r="N480" s="2649">
        <f>+$T479</f>
        <v>1.5</v>
      </c>
      <c r="O480" s="1896"/>
      <c r="P480" s="1897"/>
      <c r="Q480" s="1898"/>
      <c r="R480" s="1899">
        <f t="shared" ref="R480" si="337">T480</f>
        <v>0</v>
      </c>
      <c r="S480" s="1895" t="s">
        <v>1533</v>
      </c>
      <c r="T480" s="2673">
        <f>G478*64/4+K484+SUMIF(I478:I483,$B$578,K478:K483)*$E$545+SUMIF(I478:I483,$B$579,K478:K483)*$E$548+SUMIF(I478:I483,$B$580,K478:K483)*$E$546+SUMIF(I478:I483,$B$581,K478:K483)*$E$547+SUMIF(I478:I483,$B$582,K478:K483)*$E$547+SUMIF(I478:I483,$B$583,K478:K483)*$E$549+SUMIF(I478:I483,$B$584,K478:K483)*$E$547+SUMIF(I478:I483,$B$585,K478:K483)*$E$549+SUMIF(I478:I483,$B$586,K478:K483)*$E$547+SUMIF(I478:I483,$B$587,K478:K483)*$E$551+SUMIF(I478:I483,$B$588,K478:K483)*$E$549+SUMIF(I478:I483,$B$590,K478:K483)*$E$544+SUMIF(I478:I483,$B$589,K478:K483)*$E$550</f>
        <v>0</v>
      </c>
      <c r="U480" s="2921"/>
    </row>
    <row r="481" spans="1:21" hidden="1" x14ac:dyDescent="0.25">
      <c r="A481" s="2923"/>
      <c r="B481" s="1884" t="s">
        <v>1534</v>
      </c>
      <c r="C481" s="1885" t="s">
        <v>728</v>
      </c>
      <c r="D481" s="1886"/>
      <c r="E481" s="1887" t="s">
        <v>1535</v>
      </c>
      <c r="F481" s="1888" t="s">
        <v>728</v>
      </c>
      <c r="G481" s="1900">
        <f>(H479+H480)*$C$555+G478*$C$556+(R479-(H479+H480)*$E$527)*$C$555/50+(T480-G478*16)*$C$556/50</f>
        <v>0</v>
      </c>
      <c r="H481" s="1886">
        <f t="shared" si="335"/>
        <v>0</v>
      </c>
      <c r="I481" s="1889"/>
      <c r="J481" s="1890" t="s">
        <v>732</v>
      </c>
      <c r="K481" s="2647">
        <v>0</v>
      </c>
      <c r="L481" s="2646">
        <f t="shared" si="333"/>
        <v>0</v>
      </c>
      <c r="M481" s="2226">
        <f t="shared" si="336"/>
        <v>1</v>
      </c>
      <c r="N481" s="2649">
        <f>+$T479</f>
        <v>1.5</v>
      </c>
      <c r="O481" s="1896"/>
      <c r="P481" s="1897"/>
      <c r="Q481" s="1897"/>
      <c r="R481" s="1897"/>
      <c r="S481" s="1895" t="s">
        <v>3408</v>
      </c>
      <c r="T481" s="2674">
        <f>H478*64/4+L484+SUMIF(I478:I483,$B$578,L478:L483)*$E$545+SUMIF(I478:I483,$B$579,L478:L483)*$E$548+SUMIF(I478:I483,$B$580,L478:L483)*$E$546+SUMIF(I478:I483,$B$581,L478:L483)*$E$547+SUMIF(I478:I483,$B$582,L478:L483)*$E$547+SUMIF(I478:I483,$B$583,L478:L483)*$E$549+SUMIF(I478:I483,$B$584,L478:L483)*$E$547+SUMIF(I478:I483,$B$585,L478:L483)*$E$549+SUMIF(I478:I483,$B$586,L478:L483)*$E$547+SUMIF(I478:I483,$B$587,L478:L483)*$E$551+SUMIF(I478:I483,$B$588,L478:L483)*$E$549+SUMIF(I478:I483,$B$590,L478:L483)*$E$544+SUMIF(I478:I483,$B$589,L478:L483)*$E$550</f>
        <v>0</v>
      </c>
      <c r="U481" s="2921"/>
    </row>
    <row r="482" spans="1:21" ht="29.1" hidden="1" customHeight="1" x14ac:dyDescent="0.25">
      <c r="A482" s="2923"/>
      <c r="B482" s="1884"/>
      <c r="C482" s="1885"/>
      <c r="D482" s="1885"/>
      <c r="E482" s="1901" t="s">
        <v>1536</v>
      </c>
      <c r="F482" s="1888" t="s">
        <v>740</v>
      </c>
      <c r="G482" s="1900">
        <f>(H479*$E$527+H480*$E$527)*$C$557+R479*$C$557+T480*$C$558/T479</f>
        <v>0</v>
      </c>
      <c r="H482" s="1886">
        <f t="shared" si="335"/>
        <v>0</v>
      </c>
      <c r="I482" s="1889"/>
      <c r="J482" s="1890" t="s">
        <v>732</v>
      </c>
      <c r="K482" s="2647">
        <v>0</v>
      </c>
      <c r="L482" s="2646">
        <f t="shared" si="333"/>
        <v>0</v>
      </c>
      <c r="M482" s="2226">
        <f t="shared" si="336"/>
        <v>1</v>
      </c>
      <c r="N482" s="2649">
        <f>+$T479</f>
        <v>1.5</v>
      </c>
      <c r="O482" s="1896"/>
      <c r="P482" s="1897"/>
      <c r="Q482" s="1897"/>
      <c r="R482" s="1902"/>
      <c r="S482" s="1895" t="s">
        <v>1537</v>
      </c>
      <c r="T482" s="2673">
        <f>+T481*T478</f>
        <v>0</v>
      </c>
      <c r="U482" s="2921"/>
    </row>
    <row r="483" spans="1:21" hidden="1" x14ac:dyDescent="0.25">
      <c r="A483" s="2923"/>
      <c r="B483" s="1884"/>
      <c r="C483" s="1885"/>
      <c r="D483" s="1885"/>
      <c r="E483" s="1887"/>
      <c r="F483" s="1888"/>
      <c r="G483" s="1886"/>
      <c r="H483" s="1886"/>
      <c r="I483" s="1889"/>
      <c r="J483" s="1890" t="s">
        <v>732</v>
      </c>
      <c r="K483" s="2647">
        <v>0</v>
      </c>
      <c r="L483" s="2646">
        <f t="shared" si="333"/>
        <v>0</v>
      </c>
      <c r="M483" s="2226">
        <f t="shared" si="336"/>
        <v>1</v>
      </c>
      <c r="N483" s="2649">
        <f>+$T479</f>
        <v>1.5</v>
      </c>
      <c r="O483" s="1903"/>
      <c r="P483" s="1902"/>
      <c r="Q483" s="1902"/>
      <c r="R483" s="1902"/>
      <c r="S483" s="1904"/>
      <c r="T483" s="1905"/>
      <c r="U483" s="2921"/>
    </row>
    <row r="484" spans="1:21" ht="60.75" hidden="1" thickBot="1" x14ac:dyDescent="0.3">
      <c r="A484" s="2925"/>
      <c r="B484" s="1906"/>
      <c r="C484" s="1907"/>
      <c r="D484" s="1907"/>
      <c r="E484" s="1908"/>
      <c r="F484" s="1909"/>
      <c r="G484" s="1910"/>
      <c r="H484" s="1910"/>
      <c r="I484" s="1911" t="s">
        <v>1538</v>
      </c>
      <c r="J484" s="1912" t="s">
        <v>740</v>
      </c>
      <c r="K484" s="2658">
        <v>0</v>
      </c>
      <c r="L484" s="2659">
        <f t="shared" si="333"/>
        <v>0</v>
      </c>
      <c r="M484" s="2660">
        <f>IF(T484="YES",$C$554,1)</f>
        <v>1</v>
      </c>
      <c r="N484" s="2661">
        <f>+$T479</f>
        <v>1.5</v>
      </c>
      <c r="O484" s="1913"/>
      <c r="P484" s="1914"/>
      <c r="Q484" s="1914"/>
      <c r="R484" s="1914"/>
      <c r="S484" s="1920" t="s">
        <v>1539</v>
      </c>
      <c r="T484" s="1921" t="s">
        <v>1540</v>
      </c>
      <c r="U484" s="2924"/>
    </row>
    <row r="485" spans="1:21" ht="27" hidden="1" customHeight="1" thickBot="1" x14ac:dyDescent="0.3">
      <c r="A485" s="1915"/>
      <c r="B485" s="1916"/>
      <c r="C485" s="1917"/>
      <c r="D485" s="1917"/>
      <c r="E485" s="1916"/>
      <c r="F485" s="1917"/>
      <c r="G485" s="1917"/>
      <c r="H485" s="1917"/>
      <c r="I485" s="1916"/>
      <c r="J485" s="1917"/>
      <c r="K485" s="2669"/>
      <c r="L485" s="2669"/>
      <c r="M485" s="2669"/>
      <c r="N485" s="2669"/>
      <c r="O485" s="1916"/>
      <c r="P485" s="1917"/>
      <c r="Q485" s="1917"/>
      <c r="R485" s="1917"/>
      <c r="S485" s="1918"/>
      <c r="T485" s="1917"/>
      <c r="U485" s="1919"/>
    </row>
    <row r="486" spans="1:21" ht="26.85" hidden="1" customHeight="1" x14ac:dyDescent="0.25">
      <c r="A486" s="1870" t="s">
        <v>1513</v>
      </c>
      <c r="B486" s="1871" t="s">
        <v>1523</v>
      </c>
      <c r="C486" s="1872" t="s">
        <v>740</v>
      </c>
      <c r="D486" s="1873"/>
      <c r="E486" s="1874" t="s">
        <v>1524</v>
      </c>
      <c r="F486" s="1875" t="s">
        <v>728</v>
      </c>
      <c r="G486" s="1873"/>
      <c r="H486" s="1873">
        <f t="shared" ref="H486" si="338">G486*M486*N486</f>
        <v>0</v>
      </c>
      <c r="I486" s="1876"/>
      <c r="J486" s="1877" t="s">
        <v>732</v>
      </c>
      <c r="K486" s="2672">
        <v>0</v>
      </c>
      <c r="L486" s="2645">
        <f t="shared" ref="L486:L492" si="339">IF(ISNUMBER(SEARCH("Timber",I486)),M486*K486*N486,K486)</f>
        <v>0</v>
      </c>
      <c r="M486" s="2225">
        <f>+$M492</f>
        <v>1</v>
      </c>
      <c r="N486" s="2648">
        <f>+$T487</f>
        <v>1.5</v>
      </c>
      <c r="O486" s="1878" t="s">
        <v>1512</v>
      </c>
      <c r="P486" s="1879" t="s">
        <v>740</v>
      </c>
      <c r="Q486" s="1880">
        <f t="shared" ref="Q486" si="340">R487*$E$532+T488*$E$533</f>
        <v>0</v>
      </c>
      <c r="R486" s="1881"/>
      <c r="S486" s="1882" t="s">
        <v>1525</v>
      </c>
      <c r="T486" s="1873">
        <v>30</v>
      </c>
      <c r="U486" s="2920" t="s">
        <v>1526</v>
      </c>
    </row>
    <row r="487" spans="1:21" ht="30" hidden="1" x14ac:dyDescent="0.25">
      <c r="A487" s="1883">
        <f>A479+1</f>
        <v>61</v>
      </c>
      <c r="B487" s="1884" t="s">
        <v>1527</v>
      </c>
      <c r="C487" s="1885" t="s">
        <v>740</v>
      </c>
      <c r="D487" s="1886"/>
      <c r="E487" s="1887" t="s">
        <v>1528</v>
      </c>
      <c r="F487" s="1888" t="s">
        <v>728</v>
      </c>
      <c r="G487" s="1886"/>
      <c r="H487" s="1886">
        <f t="shared" ref="H487:H490" si="341">G487</f>
        <v>0</v>
      </c>
      <c r="I487" s="1889"/>
      <c r="J487" s="1890" t="s">
        <v>732</v>
      </c>
      <c r="K487" s="2647">
        <v>0</v>
      </c>
      <c r="L487" s="2646">
        <f t="shared" si="339"/>
        <v>0</v>
      </c>
      <c r="M487" s="2226">
        <f t="shared" ref="M487:M491" si="342">M488</f>
        <v>1</v>
      </c>
      <c r="N487" s="2649">
        <f>+$T487</f>
        <v>1.5</v>
      </c>
      <c r="O487" s="1891" t="s">
        <v>1512</v>
      </c>
      <c r="P487" s="1892" t="s">
        <v>740</v>
      </c>
      <c r="Q487" s="1893"/>
      <c r="R487" s="1894">
        <f>H487*$E$527*0+H488*$E$527*0+SUMIF(I486:I491,$B$565,L486:L491)*$E$537+SUMIF(I486:I491,$B$566,L486:L491)*$E$540+SUMIF(I486:I491,$B$567,L486:L491)*$E$538+SUMIF(I486:I491,$B$568,L486:L491)*$E$539+SUMIF(I486:I491,$B$569,L486:L491)*$E$539+SUMIF(I486:I491,$B$570,L486:L491)*$E$541+SUMIF(I486:I491,$B$571,L486:L491)*$E$539+SUMIF(I486:I491,$B$572,L486:L491)*$E$541+SUMIF(I486:I491,$B$573,L486:L491)*$E$539+SUMIF(I486:I491,$B$574,L486:L491)*$E$543+SUMIF(I486:I491,$B$575,L486:L491)*$E$541+SUMIF(I486:I491,$B$577,L486:L491)*$E$536+SUMIF(I486:I491,$B$576,L486:L491)*$E$542+SUMIF(I486:I491,$B$563,L486:L491)*$E$539</f>
        <v>0</v>
      </c>
      <c r="S487" s="1895" t="s">
        <v>1529</v>
      </c>
      <c r="T487" s="2644">
        <f>+'Data Input sheet'!$D$112</f>
        <v>1.5</v>
      </c>
      <c r="U487" s="2921"/>
    </row>
    <row r="488" spans="1:21" ht="30" hidden="1" x14ac:dyDescent="0.25">
      <c r="A488" s="2922" t="s">
        <v>1530</v>
      </c>
      <c r="B488" s="1884" t="s">
        <v>1531</v>
      </c>
      <c r="C488" s="1885" t="s">
        <v>732</v>
      </c>
      <c r="D488" s="1886"/>
      <c r="E488" s="1887" t="s">
        <v>1532</v>
      </c>
      <c r="F488" s="1888" t="s">
        <v>728</v>
      </c>
      <c r="G488" s="1886"/>
      <c r="H488" s="1886">
        <f t="shared" si="341"/>
        <v>0</v>
      </c>
      <c r="I488" s="1889"/>
      <c r="J488" s="1890" t="s">
        <v>732</v>
      </c>
      <c r="K488" s="2647">
        <v>0</v>
      </c>
      <c r="L488" s="2646">
        <f t="shared" si="339"/>
        <v>0</v>
      </c>
      <c r="M488" s="2226">
        <f t="shared" si="342"/>
        <v>1</v>
      </c>
      <c r="N488" s="2649">
        <f>+$T487</f>
        <v>1.5</v>
      </c>
      <c r="O488" s="1896"/>
      <c r="P488" s="1897"/>
      <c r="Q488" s="1898"/>
      <c r="R488" s="1899">
        <f t="shared" ref="R488" si="343">T488</f>
        <v>0</v>
      </c>
      <c r="S488" s="1895" t="s">
        <v>1533</v>
      </c>
      <c r="T488" s="2673">
        <f>G486*64/4+K492+SUMIF(I486:I491,$B$578,K486:K491)*$E$545+SUMIF(I486:I491,$B$579,K486:K491)*$E$548+SUMIF(I486:I491,$B$580,K486:K491)*$E$546+SUMIF(I486:I491,$B$581,K486:K491)*$E$547+SUMIF(I486:I491,$B$582,K486:K491)*$E$547+SUMIF(I486:I491,$B$583,K486:K491)*$E$549+SUMIF(I486:I491,$B$584,K486:K491)*$E$547+SUMIF(I486:I491,$B$585,K486:K491)*$E$549+SUMIF(I486:I491,$B$586,K486:K491)*$E$547+SUMIF(I486:I491,$B$587,K486:K491)*$E$551+SUMIF(I486:I491,$B$588,K486:K491)*$E$549+SUMIF(I486:I491,$B$590,K486:K491)*$E$544+SUMIF(I486:I491,$B$589,K486:K491)*$E$550</f>
        <v>0</v>
      </c>
      <c r="U488" s="2921"/>
    </row>
    <row r="489" spans="1:21" hidden="1" x14ac:dyDescent="0.25">
      <c r="A489" s="2923"/>
      <c r="B489" s="1884" t="s">
        <v>1534</v>
      </c>
      <c r="C489" s="1885" t="s">
        <v>728</v>
      </c>
      <c r="D489" s="1886"/>
      <c r="E489" s="1887" t="s">
        <v>1535</v>
      </c>
      <c r="F489" s="1888" t="s">
        <v>728</v>
      </c>
      <c r="G489" s="1900">
        <f>(H487+H488)*$C$555+G486*$C$556+(R487-(H487+H488)*$E$527)*$C$555/50+(T488-G486*16)*$C$556/50</f>
        <v>0</v>
      </c>
      <c r="H489" s="1886">
        <f t="shared" si="341"/>
        <v>0</v>
      </c>
      <c r="I489" s="1889"/>
      <c r="J489" s="1890" t="s">
        <v>732</v>
      </c>
      <c r="K489" s="2647">
        <v>0</v>
      </c>
      <c r="L489" s="2646">
        <f t="shared" si="339"/>
        <v>0</v>
      </c>
      <c r="M489" s="2226">
        <f t="shared" si="342"/>
        <v>1</v>
      </c>
      <c r="N489" s="2649">
        <f>+$T487</f>
        <v>1.5</v>
      </c>
      <c r="O489" s="1896"/>
      <c r="P489" s="1897"/>
      <c r="Q489" s="1897"/>
      <c r="R489" s="1897"/>
      <c r="S489" s="1895" t="s">
        <v>3408</v>
      </c>
      <c r="T489" s="2674">
        <f>H486*64/4+L492+SUMIF(I486:I491,$B$578,L486:L491)*$E$545+SUMIF(I486:I491,$B$579,L486:L491)*$E$548+SUMIF(I486:I491,$B$580,L486:L491)*$E$546+SUMIF(I486:I491,$B$581,L486:L491)*$E$547+SUMIF(I486:I491,$B$582,L486:L491)*$E$547+SUMIF(I486:I491,$B$583,L486:L491)*$E$549+SUMIF(I486:I491,$B$584,L486:L491)*$E$547+SUMIF(I486:I491,$B$585,L486:L491)*$E$549+SUMIF(I486:I491,$B$586,L486:L491)*$E$547+SUMIF(I486:I491,$B$587,L486:L491)*$E$551+SUMIF(I486:I491,$B$588,L486:L491)*$E$549+SUMIF(I486:I491,$B$590,L486:L491)*$E$544+SUMIF(I486:I491,$B$589,L486:L491)*$E$550</f>
        <v>0</v>
      </c>
      <c r="U489" s="2921"/>
    </row>
    <row r="490" spans="1:21" ht="29.1" hidden="1" customHeight="1" x14ac:dyDescent="0.25">
      <c r="A490" s="2923"/>
      <c r="B490" s="1884"/>
      <c r="C490" s="1885"/>
      <c r="D490" s="1885"/>
      <c r="E490" s="1901" t="s">
        <v>1536</v>
      </c>
      <c r="F490" s="1888" t="s">
        <v>740</v>
      </c>
      <c r="G490" s="1900">
        <f>(H487*$E$527+H488*$E$527)*$C$557+R487*$C$557+T488*$C$558/T487</f>
        <v>0</v>
      </c>
      <c r="H490" s="1886">
        <f t="shared" si="341"/>
        <v>0</v>
      </c>
      <c r="I490" s="1889"/>
      <c r="J490" s="1890" t="s">
        <v>732</v>
      </c>
      <c r="K490" s="2647">
        <v>0</v>
      </c>
      <c r="L490" s="2646">
        <f t="shared" si="339"/>
        <v>0</v>
      </c>
      <c r="M490" s="2226">
        <f t="shared" si="342"/>
        <v>1</v>
      </c>
      <c r="N490" s="2649">
        <f>+$T487</f>
        <v>1.5</v>
      </c>
      <c r="O490" s="1896"/>
      <c r="P490" s="1897"/>
      <c r="Q490" s="1897"/>
      <c r="R490" s="1902"/>
      <c r="S490" s="1895" t="s">
        <v>1537</v>
      </c>
      <c r="T490" s="2673">
        <f>+T489*T486</f>
        <v>0</v>
      </c>
      <c r="U490" s="2921"/>
    </row>
    <row r="491" spans="1:21" hidden="1" x14ac:dyDescent="0.25">
      <c r="A491" s="2923"/>
      <c r="B491" s="1884"/>
      <c r="C491" s="1885"/>
      <c r="D491" s="1885"/>
      <c r="E491" s="1887"/>
      <c r="F491" s="1888"/>
      <c r="G491" s="1886"/>
      <c r="H491" s="1886"/>
      <c r="I491" s="1889"/>
      <c r="J491" s="1890" t="s">
        <v>732</v>
      </c>
      <c r="K491" s="2647">
        <v>0</v>
      </c>
      <c r="L491" s="2646">
        <f t="shared" si="339"/>
        <v>0</v>
      </c>
      <c r="M491" s="2226">
        <f t="shared" si="342"/>
        <v>1</v>
      </c>
      <c r="N491" s="2649">
        <f>+$T487</f>
        <v>1.5</v>
      </c>
      <c r="O491" s="1903"/>
      <c r="P491" s="1902"/>
      <c r="Q491" s="1902"/>
      <c r="R491" s="1902"/>
      <c r="S491" s="1904"/>
      <c r="T491" s="1905"/>
      <c r="U491" s="2921"/>
    </row>
    <row r="492" spans="1:21" ht="60.75" hidden="1" thickBot="1" x14ac:dyDescent="0.3">
      <c r="A492" s="2925"/>
      <c r="B492" s="1906"/>
      <c r="C492" s="1907"/>
      <c r="D492" s="1907"/>
      <c r="E492" s="1908"/>
      <c r="F492" s="1909"/>
      <c r="G492" s="1910"/>
      <c r="H492" s="1910"/>
      <c r="I492" s="1911" t="s">
        <v>1538</v>
      </c>
      <c r="J492" s="1912" t="s">
        <v>740</v>
      </c>
      <c r="K492" s="2658">
        <v>0</v>
      </c>
      <c r="L492" s="2659">
        <f t="shared" si="339"/>
        <v>0</v>
      </c>
      <c r="M492" s="2660">
        <f>IF(T492="YES",$C$554,1)</f>
        <v>1</v>
      </c>
      <c r="N492" s="2661">
        <f>+$T487</f>
        <v>1.5</v>
      </c>
      <c r="O492" s="1913"/>
      <c r="P492" s="1914"/>
      <c r="Q492" s="1914"/>
      <c r="R492" s="1914"/>
      <c r="S492" s="1920" t="s">
        <v>1539</v>
      </c>
      <c r="T492" s="1921" t="s">
        <v>1540</v>
      </c>
      <c r="U492" s="2924"/>
    </row>
    <row r="493" spans="1:21" ht="27" hidden="1" customHeight="1" thickBot="1" x14ac:dyDescent="0.3">
      <c r="A493" s="1915"/>
      <c r="B493" s="1916"/>
      <c r="C493" s="1917"/>
      <c r="D493" s="1917"/>
      <c r="E493" s="1916"/>
      <c r="F493" s="1917"/>
      <c r="G493" s="1917"/>
      <c r="H493" s="1917"/>
      <c r="I493" s="1916"/>
      <c r="J493" s="1917"/>
      <c r="K493" s="2669"/>
      <c r="L493" s="2669"/>
      <c r="M493" s="2669"/>
      <c r="N493" s="2669"/>
      <c r="O493" s="1916"/>
      <c r="P493" s="1917"/>
      <c r="Q493" s="1917"/>
      <c r="R493" s="1917"/>
      <c r="S493" s="1918"/>
      <c r="T493" s="1917"/>
      <c r="U493" s="1919"/>
    </row>
    <row r="494" spans="1:21" ht="26.85" hidden="1" customHeight="1" x14ac:dyDescent="0.25">
      <c r="A494" s="1870" t="s">
        <v>1513</v>
      </c>
      <c r="B494" s="1871" t="s">
        <v>1523</v>
      </c>
      <c r="C494" s="1872" t="s">
        <v>740</v>
      </c>
      <c r="D494" s="1873"/>
      <c r="E494" s="1874" t="s">
        <v>1524</v>
      </c>
      <c r="F494" s="1875" t="s">
        <v>728</v>
      </c>
      <c r="G494" s="1873"/>
      <c r="H494" s="1873">
        <f t="shared" ref="H494" si="344">G494*M494*N494</f>
        <v>0</v>
      </c>
      <c r="I494" s="1876"/>
      <c r="J494" s="1877" t="s">
        <v>732</v>
      </c>
      <c r="K494" s="2672">
        <v>0</v>
      </c>
      <c r="L494" s="2645">
        <f t="shared" ref="L494:L500" si="345">IF(ISNUMBER(SEARCH("Timber",I494)),M494*K494*N494,K494)</f>
        <v>0</v>
      </c>
      <c r="M494" s="2225">
        <f>+$M500</f>
        <v>1</v>
      </c>
      <c r="N494" s="2648">
        <f>+$T495</f>
        <v>1.5</v>
      </c>
      <c r="O494" s="1878" t="s">
        <v>1512</v>
      </c>
      <c r="P494" s="1879" t="s">
        <v>740</v>
      </c>
      <c r="Q494" s="1880">
        <f t="shared" ref="Q494" si="346">R495*$E$532+T496*$E$533</f>
        <v>0</v>
      </c>
      <c r="R494" s="1881"/>
      <c r="S494" s="1882" t="s">
        <v>1525</v>
      </c>
      <c r="T494" s="1873">
        <v>30</v>
      </c>
      <c r="U494" s="2920" t="s">
        <v>1526</v>
      </c>
    </row>
    <row r="495" spans="1:21" ht="30" hidden="1" x14ac:dyDescent="0.25">
      <c r="A495" s="1883">
        <f>A487+1</f>
        <v>62</v>
      </c>
      <c r="B495" s="1884" t="s">
        <v>1527</v>
      </c>
      <c r="C495" s="1885" t="s">
        <v>740</v>
      </c>
      <c r="D495" s="1886"/>
      <c r="E495" s="1887" t="s">
        <v>1528</v>
      </c>
      <c r="F495" s="1888" t="s">
        <v>728</v>
      </c>
      <c r="G495" s="1886"/>
      <c r="H495" s="1886">
        <f t="shared" ref="H495:H498" si="347">G495</f>
        <v>0</v>
      </c>
      <c r="I495" s="1889"/>
      <c r="J495" s="1890" t="s">
        <v>732</v>
      </c>
      <c r="K495" s="2647">
        <v>0</v>
      </c>
      <c r="L495" s="2646">
        <f t="shared" si="345"/>
        <v>0</v>
      </c>
      <c r="M495" s="2226">
        <f t="shared" ref="M495:M499" si="348">M496</f>
        <v>1</v>
      </c>
      <c r="N495" s="2649">
        <f>+$T495</f>
        <v>1.5</v>
      </c>
      <c r="O495" s="1891" t="s">
        <v>1512</v>
      </c>
      <c r="P495" s="1892" t="s">
        <v>740</v>
      </c>
      <c r="Q495" s="1893"/>
      <c r="R495" s="1894">
        <f>H495*$E$527*0+H496*$E$527*0+SUMIF(I494:I499,$B$565,L494:L499)*$E$537+SUMIF(I494:I499,$B$566,L494:L499)*$E$540+SUMIF(I494:I499,$B$567,L494:L499)*$E$538+SUMIF(I494:I499,$B$568,L494:L499)*$E$539+SUMIF(I494:I499,$B$569,L494:L499)*$E$539+SUMIF(I494:I499,$B$570,L494:L499)*$E$541+SUMIF(I494:I499,$B$571,L494:L499)*$E$539+SUMIF(I494:I499,$B$572,L494:L499)*$E$541+SUMIF(I494:I499,$B$573,L494:L499)*$E$539+SUMIF(I494:I499,$B$574,L494:L499)*$E$543+SUMIF(I494:I499,$B$575,L494:L499)*$E$541+SUMIF(I494:I499,$B$577,L494:L499)*$E$536+SUMIF(I494:I499,$B$576,L494:L499)*$E$542+SUMIF(I494:I499,$B$563,L494:L499)*$E$539</f>
        <v>0</v>
      </c>
      <c r="S495" s="1895" t="s">
        <v>1529</v>
      </c>
      <c r="T495" s="2644">
        <f>+'Data Input sheet'!$D$112</f>
        <v>1.5</v>
      </c>
      <c r="U495" s="2921"/>
    </row>
    <row r="496" spans="1:21" ht="30" hidden="1" x14ac:dyDescent="0.25">
      <c r="A496" s="2922" t="s">
        <v>1530</v>
      </c>
      <c r="B496" s="1884" t="s">
        <v>1531</v>
      </c>
      <c r="C496" s="1885" t="s">
        <v>732</v>
      </c>
      <c r="D496" s="1886"/>
      <c r="E496" s="1887" t="s">
        <v>1532</v>
      </c>
      <c r="F496" s="1888" t="s">
        <v>728</v>
      </c>
      <c r="G496" s="1886"/>
      <c r="H496" s="1886">
        <f t="shared" si="347"/>
        <v>0</v>
      </c>
      <c r="I496" s="1889"/>
      <c r="J496" s="1890" t="s">
        <v>732</v>
      </c>
      <c r="K496" s="2647">
        <v>0</v>
      </c>
      <c r="L496" s="2646">
        <f t="shared" si="345"/>
        <v>0</v>
      </c>
      <c r="M496" s="2226">
        <f t="shared" si="348"/>
        <v>1</v>
      </c>
      <c r="N496" s="2649">
        <f>+$T495</f>
        <v>1.5</v>
      </c>
      <c r="O496" s="1896"/>
      <c r="P496" s="1897"/>
      <c r="Q496" s="1898"/>
      <c r="R496" s="1899">
        <f t="shared" ref="R496" si="349">T496</f>
        <v>0</v>
      </c>
      <c r="S496" s="1895" t="s">
        <v>1533</v>
      </c>
      <c r="T496" s="2673">
        <f>G494*64/4+K500+SUMIF(I494:I499,$B$578,K494:K499)*$E$545+SUMIF(I494:I499,$B$579,K494:K499)*$E$548+SUMIF(I494:I499,$B$580,K494:K499)*$E$546+SUMIF(I494:I499,$B$581,K494:K499)*$E$547+SUMIF(I494:I499,$B$582,K494:K499)*$E$547+SUMIF(I494:I499,$B$583,K494:K499)*$E$549+SUMIF(I494:I499,$B$584,K494:K499)*$E$547+SUMIF(I494:I499,$B$585,K494:K499)*$E$549+SUMIF(I494:I499,$B$586,K494:K499)*$E$547+SUMIF(I494:I499,$B$587,K494:K499)*$E$551+SUMIF(I494:I499,$B$588,K494:K499)*$E$549+SUMIF(I494:I499,$B$590,K494:K499)*$E$544+SUMIF(I494:I499,$B$589,K494:K499)*$E$550</f>
        <v>0</v>
      </c>
      <c r="U496" s="2921"/>
    </row>
    <row r="497" spans="1:21" hidden="1" x14ac:dyDescent="0.25">
      <c r="A497" s="2923"/>
      <c r="B497" s="1884" t="s">
        <v>1534</v>
      </c>
      <c r="C497" s="1885" t="s">
        <v>728</v>
      </c>
      <c r="D497" s="1886"/>
      <c r="E497" s="1887" t="s">
        <v>1535</v>
      </c>
      <c r="F497" s="1888" t="s">
        <v>728</v>
      </c>
      <c r="G497" s="1900">
        <f>(H495+H496)*$C$555+G494*$C$556+(R495-(H495+H496)*$E$527)*$C$555/50+(T496-G494*16)*$C$556/50</f>
        <v>0</v>
      </c>
      <c r="H497" s="1886">
        <f t="shared" si="347"/>
        <v>0</v>
      </c>
      <c r="I497" s="1889"/>
      <c r="J497" s="1890" t="s">
        <v>732</v>
      </c>
      <c r="K497" s="2647">
        <v>0</v>
      </c>
      <c r="L497" s="2646">
        <f t="shared" si="345"/>
        <v>0</v>
      </c>
      <c r="M497" s="2226">
        <f t="shared" si="348"/>
        <v>1</v>
      </c>
      <c r="N497" s="2649">
        <f>+$T495</f>
        <v>1.5</v>
      </c>
      <c r="O497" s="1896"/>
      <c r="P497" s="1897"/>
      <c r="Q497" s="1897"/>
      <c r="R497" s="1897"/>
      <c r="S497" s="1895" t="s">
        <v>3408</v>
      </c>
      <c r="T497" s="2674">
        <f>H494*64/4+L500+SUMIF(I494:I499,$B$578,L494:L499)*$E$545+SUMIF(I494:I499,$B$579,L494:L499)*$E$548+SUMIF(I494:I499,$B$580,L494:L499)*$E$546+SUMIF(I494:I499,$B$581,L494:L499)*$E$547+SUMIF(I494:I499,$B$582,L494:L499)*$E$547+SUMIF(I494:I499,$B$583,L494:L499)*$E$549+SUMIF(I494:I499,$B$584,L494:L499)*$E$547+SUMIF(I494:I499,$B$585,L494:L499)*$E$549+SUMIF(I494:I499,$B$586,L494:L499)*$E$547+SUMIF(I494:I499,$B$587,L494:L499)*$E$551+SUMIF(I494:I499,$B$588,L494:L499)*$E$549+SUMIF(I494:I499,$B$590,L494:L499)*$E$544+SUMIF(I494:I499,$B$589,L494:L499)*$E$550</f>
        <v>0</v>
      </c>
      <c r="U497" s="2921"/>
    </row>
    <row r="498" spans="1:21" ht="29.1" hidden="1" customHeight="1" x14ac:dyDescent="0.25">
      <c r="A498" s="2923"/>
      <c r="B498" s="1884"/>
      <c r="C498" s="1885"/>
      <c r="D498" s="1885"/>
      <c r="E498" s="1901" t="s">
        <v>1536</v>
      </c>
      <c r="F498" s="1888" t="s">
        <v>740</v>
      </c>
      <c r="G498" s="1900">
        <f>(H495*$E$527+H496*$E$527)*$C$557+R495*$C$557+T496*$C$558/T495</f>
        <v>0</v>
      </c>
      <c r="H498" s="1886">
        <f t="shared" si="347"/>
        <v>0</v>
      </c>
      <c r="I498" s="1889"/>
      <c r="J498" s="1890" t="s">
        <v>732</v>
      </c>
      <c r="K498" s="2647">
        <v>0</v>
      </c>
      <c r="L498" s="2646">
        <f t="shared" si="345"/>
        <v>0</v>
      </c>
      <c r="M498" s="2226">
        <f t="shared" si="348"/>
        <v>1</v>
      </c>
      <c r="N498" s="2649">
        <f>+$T495</f>
        <v>1.5</v>
      </c>
      <c r="O498" s="1896"/>
      <c r="P498" s="1897"/>
      <c r="Q498" s="1897"/>
      <c r="R498" s="1902"/>
      <c r="S498" s="1895" t="s">
        <v>1537</v>
      </c>
      <c r="T498" s="2673">
        <f>+T497*T494</f>
        <v>0</v>
      </c>
      <c r="U498" s="2921"/>
    </row>
    <row r="499" spans="1:21" hidden="1" x14ac:dyDescent="0.25">
      <c r="A499" s="2923"/>
      <c r="B499" s="1884"/>
      <c r="C499" s="1885"/>
      <c r="D499" s="1885"/>
      <c r="E499" s="1887"/>
      <c r="F499" s="1888"/>
      <c r="G499" s="1886"/>
      <c r="H499" s="1886"/>
      <c r="I499" s="1889"/>
      <c r="J499" s="1890" t="s">
        <v>732</v>
      </c>
      <c r="K499" s="2647">
        <v>0</v>
      </c>
      <c r="L499" s="2646">
        <f t="shared" si="345"/>
        <v>0</v>
      </c>
      <c r="M499" s="2226">
        <f t="shared" si="348"/>
        <v>1</v>
      </c>
      <c r="N499" s="2649">
        <f>+$T495</f>
        <v>1.5</v>
      </c>
      <c r="O499" s="1903"/>
      <c r="P499" s="1902"/>
      <c r="Q499" s="1902"/>
      <c r="R499" s="1902"/>
      <c r="S499" s="1904"/>
      <c r="T499" s="1905"/>
      <c r="U499" s="2921"/>
    </row>
    <row r="500" spans="1:21" ht="60.75" hidden="1" thickBot="1" x14ac:dyDescent="0.3">
      <c r="A500" s="2925"/>
      <c r="B500" s="1906"/>
      <c r="C500" s="1907"/>
      <c r="D500" s="1907"/>
      <c r="E500" s="1908"/>
      <c r="F500" s="1909"/>
      <c r="G500" s="1910"/>
      <c r="H500" s="1910"/>
      <c r="I500" s="1911" t="s">
        <v>1538</v>
      </c>
      <c r="J500" s="1912" t="s">
        <v>740</v>
      </c>
      <c r="K500" s="2658">
        <v>0</v>
      </c>
      <c r="L500" s="2659">
        <f t="shared" si="345"/>
        <v>0</v>
      </c>
      <c r="M500" s="2660">
        <f>IF(T500="YES",$C$554,1)</f>
        <v>1</v>
      </c>
      <c r="N500" s="2661">
        <f>+$T495</f>
        <v>1.5</v>
      </c>
      <c r="O500" s="1913"/>
      <c r="P500" s="1914"/>
      <c r="Q500" s="1914"/>
      <c r="R500" s="1914"/>
      <c r="S500" s="1920" t="s">
        <v>1539</v>
      </c>
      <c r="T500" s="1921" t="s">
        <v>1540</v>
      </c>
      <c r="U500" s="2924"/>
    </row>
    <row r="501" spans="1:21" ht="27" hidden="1" customHeight="1" thickBot="1" x14ac:dyDescent="0.3">
      <c r="A501" s="1915"/>
      <c r="B501" s="1916"/>
      <c r="C501" s="1917"/>
      <c r="D501" s="1917"/>
      <c r="E501" s="1916"/>
      <c r="F501" s="1917"/>
      <c r="G501" s="1917"/>
      <c r="H501" s="1917"/>
      <c r="I501" s="1916"/>
      <c r="J501" s="1917"/>
      <c r="K501" s="2669"/>
      <c r="L501" s="2669"/>
      <c r="M501" s="2669"/>
      <c r="N501" s="2669"/>
      <c r="O501" s="1916"/>
      <c r="P501" s="1917"/>
      <c r="Q501" s="1917"/>
      <c r="R501" s="1917"/>
      <c r="S501" s="1918"/>
      <c r="T501" s="1917"/>
      <c r="U501" s="1919"/>
    </row>
    <row r="502" spans="1:21" ht="26.85" hidden="1" customHeight="1" x14ac:dyDescent="0.25">
      <c r="A502" s="1870" t="s">
        <v>1513</v>
      </c>
      <c r="B502" s="1871" t="s">
        <v>1523</v>
      </c>
      <c r="C502" s="1872" t="s">
        <v>740</v>
      </c>
      <c r="D502" s="1873"/>
      <c r="E502" s="1874" t="s">
        <v>1524</v>
      </c>
      <c r="F502" s="1875" t="s">
        <v>728</v>
      </c>
      <c r="G502" s="1873"/>
      <c r="H502" s="1873">
        <f t="shared" ref="H502" si="350">G502*M502*N502</f>
        <v>0</v>
      </c>
      <c r="I502" s="1876"/>
      <c r="J502" s="1877" t="s">
        <v>732</v>
      </c>
      <c r="K502" s="2672">
        <v>0</v>
      </c>
      <c r="L502" s="2645">
        <f t="shared" ref="L502:L508" si="351">IF(ISNUMBER(SEARCH("Timber",I502)),M502*K502*N502,K502)</f>
        <v>0</v>
      </c>
      <c r="M502" s="2225">
        <f>+$M508</f>
        <v>1</v>
      </c>
      <c r="N502" s="2648">
        <f>+$T503</f>
        <v>1.5</v>
      </c>
      <c r="O502" s="1878" t="s">
        <v>1512</v>
      </c>
      <c r="P502" s="1879" t="s">
        <v>740</v>
      </c>
      <c r="Q502" s="1880">
        <f t="shared" ref="Q502" si="352">R503*$E$532+T504*$E$533</f>
        <v>0</v>
      </c>
      <c r="R502" s="1881"/>
      <c r="S502" s="1882" t="s">
        <v>1525</v>
      </c>
      <c r="T502" s="1873">
        <v>30</v>
      </c>
      <c r="U502" s="2920" t="s">
        <v>1526</v>
      </c>
    </row>
    <row r="503" spans="1:21" ht="30" hidden="1" x14ac:dyDescent="0.25">
      <c r="A503" s="1883">
        <f>A495+1</f>
        <v>63</v>
      </c>
      <c r="B503" s="1884" t="s">
        <v>1527</v>
      </c>
      <c r="C503" s="1885" t="s">
        <v>740</v>
      </c>
      <c r="D503" s="1886"/>
      <c r="E503" s="1887" t="s">
        <v>1528</v>
      </c>
      <c r="F503" s="1888" t="s">
        <v>728</v>
      </c>
      <c r="G503" s="1886"/>
      <c r="H503" s="1886">
        <f t="shared" ref="H503:H506" si="353">G503</f>
        <v>0</v>
      </c>
      <c r="I503" s="1889"/>
      <c r="J503" s="1890" t="s">
        <v>732</v>
      </c>
      <c r="K503" s="2647">
        <v>0</v>
      </c>
      <c r="L503" s="2646">
        <f t="shared" si="351"/>
        <v>0</v>
      </c>
      <c r="M503" s="2226">
        <f t="shared" ref="M503:M507" si="354">M504</f>
        <v>1</v>
      </c>
      <c r="N503" s="2649">
        <f>+$T503</f>
        <v>1.5</v>
      </c>
      <c r="O503" s="1891" t="s">
        <v>1512</v>
      </c>
      <c r="P503" s="1892" t="s">
        <v>740</v>
      </c>
      <c r="Q503" s="1893"/>
      <c r="R503" s="1894">
        <f>H503*$E$527*0+H504*$E$527*0+SUMIF(I502:I507,$B$565,L502:L507)*$E$537+SUMIF(I502:I507,$B$566,L502:L507)*$E$540+SUMIF(I502:I507,$B$567,L502:L507)*$E$538+SUMIF(I502:I507,$B$568,L502:L507)*$E$539+SUMIF(I502:I507,$B$569,L502:L507)*$E$539+SUMIF(I502:I507,$B$570,L502:L507)*$E$541+SUMIF(I502:I507,$B$571,L502:L507)*$E$539+SUMIF(I502:I507,$B$572,L502:L507)*$E$541+SUMIF(I502:I507,$B$573,L502:L507)*$E$539+SUMIF(I502:I507,$B$574,L502:L507)*$E$543+SUMIF(I502:I507,$B$575,L502:L507)*$E$541+SUMIF(I502:I507,$B$577,L502:L507)*$E$536+SUMIF(I502:I507,$B$576,L502:L507)*$E$542+SUMIF(I502:I507,$B$563,L502:L507)*$E$539</f>
        <v>0</v>
      </c>
      <c r="S503" s="1895" t="s">
        <v>1529</v>
      </c>
      <c r="T503" s="2644">
        <f>+'Data Input sheet'!$D$112</f>
        <v>1.5</v>
      </c>
      <c r="U503" s="2921"/>
    </row>
    <row r="504" spans="1:21" ht="30" hidden="1" x14ac:dyDescent="0.25">
      <c r="A504" s="2922" t="s">
        <v>1530</v>
      </c>
      <c r="B504" s="1884" t="s">
        <v>1531</v>
      </c>
      <c r="C504" s="1885" t="s">
        <v>732</v>
      </c>
      <c r="D504" s="1886"/>
      <c r="E504" s="1887" t="s">
        <v>1532</v>
      </c>
      <c r="F504" s="1888" t="s">
        <v>728</v>
      </c>
      <c r="G504" s="1886"/>
      <c r="H504" s="1886">
        <f t="shared" si="353"/>
        <v>0</v>
      </c>
      <c r="I504" s="1889"/>
      <c r="J504" s="1890" t="s">
        <v>732</v>
      </c>
      <c r="K504" s="2647">
        <v>0</v>
      </c>
      <c r="L504" s="2646">
        <f t="shared" si="351"/>
        <v>0</v>
      </c>
      <c r="M504" s="2226">
        <f t="shared" si="354"/>
        <v>1</v>
      </c>
      <c r="N504" s="2649">
        <f>+$T503</f>
        <v>1.5</v>
      </c>
      <c r="O504" s="1896"/>
      <c r="P504" s="1897"/>
      <c r="Q504" s="1898"/>
      <c r="R504" s="1899">
        <f t="shared" ref="R504" si="355">T504</f>
        <v>0</v>
      </c>
      <c r="S504" s="1895" t="s">
        <v>1533</v>
      </c>
      <c r="T504" s="2673">
        <f>G502*64/4+K508+SUMIF(I502:I507,$B$578,K502:K507)*$E$545+SUMIF(I502:I507,$B$579,K502:K507)*$E$548+SUMIF(I502:I507,$B$580,K502:K507)*$E$546+SUMIF(I502:I507,$B$581,K502:K507)*$E$547+SUMIF(I502:I507,$B$582,K502:K507)*$E$547+SUMIF(I502:I507,$B$583,K502:K507)*$E$549+SUMIF(I502:I507,$B$584,K502:K507)*$E$547+SUMIF(I502:I507,$B$585,K502:K507)*$E$549+SUMIF(I502:I507,$B$586,K502:K507)*$E$547+SUMIF(I502:I507,$B$587,K502:K507)*$E$551+SUMIF(I502:I507,$B$588,K502:K507)*$E$549+SUMIF(I502:I507,$B$590,K502:K507)*$E$544+SUMIF(I502:I507,$B$589,K502:K507)*$E$550</f>
        <v>0</v>
      </c>
      <c r="U504" s="2921"/>
    </row>
    <row r="505" spans="1:21" hidden="1" x14ac:dyDescent="0.25">
      <c r="A505" s="2923"/>
      <c r="B505" s="1884" t="s">
        <v>1534</v>
      </c>
      <c r="C505" s="1885" t="s">
        <v>728</v>
      </c>
      <c r="D505" s="1886"/>
      <c r="E505" s="1887" t="s">
        <v>1535</v>
      </c>
      <c r="F505" s="1888" t="s">
        <v>728</v>
      </c>
      <c r="G505" s="1900">
        <f>(H503+H504)*$C$555+G502*$C$556+(R503-(H503+H504)*$E$527)*$C$555/50+(T504-G502*16)*$C$556/50</f>
        <v>0</v>
      </c>
      <c r="H505" s="1886">
        <f t="shared" si="353"/>
        <v>0</v>
      </c>
      <c r="I505" s="1889"/>
      <c r="J505" s="1890" t="s">
        <v>732</v>
      </c>
      <c r="K505" s="2647">
        <v>0</v>
      </c>
      <c r="L505" s="2646">
        <f t="shared" si="351"/>
        <v>0</v>
      </c>
      <c r="M505" s="2226">
        <f t="shared" si="354"/>
        <v>1</v>
      </c>
      <c r="N505" s="2649">
        <f>+$T503</f>
        <v>1.5</v>
      </c>
      <c r="O505" s="1896"/>
      <c r="P505" s="1897"/>
      <c r="Q505" s="1897"/>
      <c r="R505" s="1897"/>
      <c r="S505" s="1895" t="s">
        <v>3408</v>
      </c>
      <c r="T505" s="2674">
        <f>H502*64/4+L508+SUMIF(I502:I507,$B$578,L502:L507)*$E$545+SUMIF(I502:I507,$B$579,L502:L507)*$E$548+SUMIF(I502:I507,$B$580,L502:L507)*$E$546+SUMIF(I502:I507,$B$581,L502:L507)*$E$547+SUMIF(I502:I507,$B$582,L502:L507)*$E$547+SUMIF(I502:I507,$B$583,L502:L507)*$E$549+SUMIF(I502:I507,$B$584,L502:L507)*$E$547+SUMIF(I502:I507,$B$585,L502:L507)*$E$549+SUMIF(I502:I507,$B$586,L502:L507)*$E$547+SUMIF(I502:I507,$B$587,L502:L507)*$E$551+SUMIF(I502:I507,$B$588,L502:L507)*$E$549+SUMIF(I502:I507,$B$590,L502:L507)*$E$544+SUMIF(I502:I507,$B$589,L502:L507)*$E$550</f>
        <v>0</v>
      </c>
      <c r="U505" s="2921"/>
    </row>
    <row r="506" spans="1:21" ht="29.1" hidden="1" customHeight="1" x14ac:dyDescent="0.25">
      <c r="A506" s="2923"/>
      <c r="B506" s="1884"/>
      <c r="C506" s="1885"/>
      <c r="D506" s="1885"/>
      <c r="E506" s="1901" t="s">
        <v>1536</v>
      </c>
      <c r="F506" s="1888" t="s">
        <v>740</v>
      </c>
      <c r="G506" s="1900">
        <f>(H503*$E$527+H504*$E$527)*$C$557+R503*$C$557+T504*$C$558/T503</f>
        <v>0</v>
      </c>
      <c r="H506" s="1886">
        <f t="shared" si="353"/>
        <v>0</v>
      </c>
      <c r="I506" s="1889"/>
      <c r="J506" s="1890" t="s">
        <v>732</v>
      </c>
      <c r="K506" s="2647">
        <v>0</v>
      </c>
      <c r="L506" s="2646">
        <f t="shared" si="351"/>
        <v>0</v>
      </c>
      <c r="M506" s="2226">
        <f t="shared" si="354"/>
        <v>1</v>
      </c>
      <c r="N506" s="2649">
        <f>+$T503</f>
        <v>1.5</v>
      </c>
      <c r="O506" s="1896"/>
      <c r="P506" s="1897"/>
      <c r="Q506" s="1897"/>
      <c r="R506" s="1902"/>
      <c r="S506" s="1895" t="s">
        <v>1537</v>
      </c>
      <c r="T506" s="2673">
        <f>+T505*T502</f>
        <v>0</v>
      </c>
      <c r="U506" s="2921"/>
    </row>
    <row r="507" spans="1:21" hidden="1" x14ac:dyDescent="0.25">
      <c r="A507" s="2923"/>
      <c r="B507" s="1884"/>
      <c r="C507" s="1885"/>
      <c r="D507" s="1885"/>
      <c r="E507" s="1887"/>
      <c r="F507" s="1888"/>
      <c r="G507" s="1886"/>
      <c r="H507" s="1886"/>
      <c r="I507" s="1889"/>
      <c r="J507" s="1890" t="s">
        <v>732</v>
      </c>
      <c r="K507" s="2647">
        <v>0</v>
      </c>
      <c r="L507" s="2646">
        <f t="shared" si="351"/>
        <v>0</v>
      </c>
      <c r="M507" s="2226">
        <f t="shared" si="354"/>
        <v>1</v>
      </c>
      <c r="N507" s="2649">
        <f>+$T503</f>
        <v>1.5</v>
      </c>
      <c r="O507" s="1903"/>
      <c r="P507" s="1902"/>
      <c r="Q507" s="1902"/>
      <c r="R507" s="1902"/>
      <c r="S507" s="1904"/>
      <c r="T507" s="1905"/>
      <c r="U507" s="2921"/>
    </row>
    <row r="508" spans="1:21" ht="60.75" hidden="1" thickBot="1" x14ac:dyDescent="0.3">
      <c r="A508" s="2925"/>
      <c r="B508" s="1906"/>
      <c r="C508" s="1907"/>
      <c r="D508" s="1907"/>
      <c r="E508" s="1908"/>
      <c r="F508" s="1909"/>
      <c r="G508" s="1910"/>
      <c r="H508" s="1910"/>
      <c r="I508" s="1911" t="s">
        <v>1538</v>
      </c>
      <c r="J508" s="1912" t="s">
        <v>740</v>
      </c>
      <c r="K508" s="2658">
        <v>0</v>
      </c>
      <c r="L508" s="2659">
        <f t="shared" si="351"/>
        <v>0</v>
      </c>
      <c r="M508" s="2660">
        <f>IF(T508="YES",$C$554,1)</f>
        <v>1</v>
      </c>
      <c r="N508" s="2661">
        <f>+$T503</f>
        <v>1.5</v>
      </c>
      <c r="O508" s="1913"/>
      <c r="P508" s="1914"/>
      <c r="Q508" s="1914"/>
      <c r="R508" s="1914"/>
      <c r="S508" s="1920" t="s">
        <v>1539</v>
      </c>
      <c r="T508" s="1921" t="s">
        <v>1540</v>
      </c>
      <c r="U508" s="2924"/>
    </row>
    <row r="509" spans="1:21" ht="27" hidden="1" customHeight="1" thickBot="1" x14ac:dyDescent="0.3">
      <c r="A509" s="1915"/>
      <c r="B509" s="1916"/>
      <c r="C509" s="1917"/>
      <c r="D509" s="1917"/>
      <c r="E509" s="1916"/>
      <c r="F509" s="1917"/>
      <c r="G509" s="1917"/>
      <c r="H509" s="1917"/>
      <c r="I509" s="1916"/>
      <c r="J509" s="1917"/>
      <c r="K509" s="2669"/>
      <c r="L509" s="2669"/>
      <c r="M509" s="2669"/>
      <c r="N509" s="2669"/>
      <c r="O509" s="1916"/>
      <c r="P509" s="1917"/>
      <c r="Q509" s="1917"/>
      <c r="R509" s="1917"/>
      <c r="S509" s="1918"/>
      <c r="T509" s="1917"/>
      <c r="U509" s="1919"/>
    </row>
    <row r="510" spans="1:21" ht="26.85" hidden="1" customHeight="1" x14ac:dyDescent="0.25">
      <c r="A510" s="1870" t="s">
        <v>1513</v>
      </c>
      <c r="B510" s="1871" t="s">
        <v>1523</v>
      </c>
      <c r="C510" s="1872" t="s">
        <v>740</v>
      </c>
      <c r="D510" s="1873"/>
      <c r="E510" s="1874" t="s">
        <v>1524</v>
      </c>
      <c r="F510" s="1875" t="s">
        <v>728</v>
      </c>
      <c r="G510" s="1873"/>
      <c r="H510" s="1873">
        <f t="shared" ref="H510" si="356">G510*M510*N510</f>
        <v>0</v>
      </c>
      <c r="I510" s="1876"/>
      <c r="J510" s="1877" t="s">
        <v>732</v>
      </c>
      <c r="K510" s="2672">
        <v>0</v>
      </c>
      <c r="L510" s="2645">
        <f t="shared" ref="L510:L516" si="357">IF(ISNUMBER(SEARCH("Timber",I510)),M510*K510*N510,K510)</f>
        <v>0</v>
      </c>
      <c r="M510" s="2225">
        <f>+$M516</f>
        <v>1</v>
      </c>
      <c r="N510" s="2648">
        <f>+$T511</f>
        <v>1.5</v>
      </c>
      <c r="O510" s="1878" t="s">
        <v>1512</v>
      </c>
      <c r="P510" s="1879" t="s">
        <v>740</v>
      </c>
      <c r="Q510" s="1880">
        <f t="shared" ref="Q510" si="358">R511*$E$532+T512*$E$533</f>
        <v>0</v>
      </c>
      <c r="R510" s="1881"/>
      <c r="S510" s="1882" t="s">
        <v>1525</v>
      </c>
      <c r="T510" s="1873">
        <v>30</v>
      </c>
      <c r="U510" s="2920" t="s">
        <v>1526</v>
      </c>
    </row>
    <row r="511" spans="1:21" ht="30" hidden="1" x14ac:dyDescent="0.25">
      <c r="A511" s="1883">
        <f>A503+1</f>
        <v>64</v>
      </c>
      <c r="B511" s="1884" t="s">
        <v>1527</v>
      </c>
      <c r="C511" s="1885" t="s">
        <v>740</v>
      </c>
      <c r="D511" s="1886"/>
      <c r="E511" s="1887" t="s">
        <v>1528</v>
      </c>
      <c r="F511" s="1888" t="s">
        <v>728</v>
      </c>
      <c r="G511" s="1886"/>
      <c r="H511" s="1886">
        <f t="shared" ref="H511:H514" si="359">G511</f>
        <v>0</v>
      </c>
      <c r="I511" s="1889"/>
      <c r="J511" s="1890" t="s">
        <v>732</v>
      </c>
      <c r="K511" s="2647">
        <v>0</v>
      </c>
      <c r="L511" s="2646">
        <f t="shared" si="357"/>
        <v>0</v>
      </c>
      <c r="M511" s="2226">
        <f t="shared" ref="M511:M515" si="360">M512</f>
        <v>1</v>
      </c>
      <c r="N511" s="2649">
        <f>+$T511</f>
        <v>1.5</v>
      </c>
      <c r="O511" s="1891" t="s">
        <v>1512</v>
      </c>
      <c r="P511" s="1892" t="s">
        <v>740</v>
      </c>
      <c r="Q511" s="1893"/>
      <c r="R511" s="1894">
        <f>H511*$E$527*0+H512*$E$527*0+SUMIF(I510:I515,$B$565,L510:L515)*$E$537+SUMIF(I510:I515,$B$566,L510:L515)*$E$540+SUMIF(I510:I515,$B$567,L510:L515)*$E$538+SUMIF(I510:I515,$B$568,L510:L515)*$E$539+SUMIF(I510:I515,$B$569,L510:L515)*$E$539+SUMIF(I510:I515,$B$570,L510:L515)*$E$541+SUMIF(I510:I515,$B$571,L510:L515)*$E$539+SUMIF(I510:I515,$B$572,L510:L515)*$E$541+SUMIF(I510:I515,$B$573,L510:L515)*$E$539+SUMIF(I510:I515,$B$574,L510:L515)*$E$543+SUMIF(I510:I515,$B$575,L510:L515)*$E$541+SUMIF(I510:I515,$B$577,L510:L515)*$E$536+SUMIF(I510:I515,$B$576,L510:L515)*$E$542+SUMIF(I510:I515,$B$563,L510:L515)*$E$539</f>
        <v>0</v>
      </c>
      <c r="S511" s="1895" t="s">
        <v>1529</v>
      </c>
      <c r="T511" s="2644">
        <f>+'Data Input sheet'!$D$112</f>
        <v>1.5</v>
      </c>
      <c r="U511" s="2921"/>
    </row>
    <row r="512" spans="1:21" ht="30" hidden="1" x14ac:dyDescent="0.25">
      <c r="A512" s="2922" t="s">
        <v>1530</v>
      </c>
      <c r="B512" s="1884" t="s">
        <v>1531</v>
      </c>
      <c r="C512" s="1885" t="s">
        <v>732</v>
      </c>
      <c r="D512" s="1886"/>
      <c r="E512" s="1887" t="s">
        <v>1532</v>
      </c>
      <c r="F512" s="1888" t="s">
        <v>728</v>
      </c>
      <c r="G512" s="1886"/>
      <c r="H512" s="1886">
        <f t="shared" si="359"/>
        <v>0</v>
      </c>
      <c r="I512" s="1889"/>
      <c r="J512" s="1890" t="s">
        <v>732</v>
      </c>
      <c r="K512" s="2647">
        <v>0</v>
      </c>
      <c r="L512" s="2646">
        <f t="shared" si="357"/>
        <v>0</v>
      </c>
      <c r="M512" s="2226">
        <f t="shared" si="360"/>
        <v>1</v>
      </c>
      <c r="N512" s="2649">
        <f>+$T511</f>
        <v>1.5</v>
      </c>
      <c r="O512" s="1896"/>
      <c r="P512" s="1897"/>
      <c r="Q512" s="1898"/>
      <c r="R512" s="1899">
        <f t="shared" ref="R512" si="361">T512</f>
        <v>0</v>
      </c>
      <c r="S512" s="1895" t="s">
        <v>1533</v>
      </c>
      <c r="T512" s="2673">
        <f>G510*64/4+K516+SUMIF(I510:I515,$B$578,K510:K515)*$E$545+SUMIF(I510:I515,$B$579,K510:K515)*$E$548+SUMIF(I510:I515,$B$580,K510:K515)*$E$546+SUMIF(I510:I515,$B$581,K510:K515)*$E$547+SUMIF(I510:I515,$B$582,K510:K515)*$E$547+SUMIF(I510:I515,$B$583,K510:K515)*$E$549+SUMIF(I510:I515,$B$584,K510:K515)*$E$547+SUMIF(I510:I515,$B$585,K510:K515)*$E$549+SUMIF(I510:I515,$B$586,K510:K515)*$E$547+SUMIF(I510:I515,$B$587,K510:K515)*$E$551+SUMIF(I510:I515,$B$588,K510:K515)*$E$549+SUMIF(I510:I515,$B$590,K510:K515)*$E$544+SUMIF(I510:I515,$B$589,K510:K515)*$E$550</f>
        <v>0</v>
      </c>
      <c r="U512" s="2921"/>
    </row>
    <row r="513" spans="1:47" hidden="1" x14ac:dyDescent="0.25">
      <c r="A513" s="2923"/>
      <c r="B513" s="1884" t="s">
        <v>1534</v>
      </c>
      <c r="C513" s="1885" t="s">
        <v>728</v>
      </c>
      <c r="D513" s="1886"/>
      <c r="E513" s="1887" t="s">
        <v>1535</v>
      </c>
      <c r="F513" s="1888" t="s">
        <v>728</v>
      </c>
      <c r="G513" s="1900">
        <f>(H511+H512)*$C$555+G510*$C$556+(R511-(H511+H512)*$E$527)*$C$555/50+(T512-G510*16)*$C$556/50</f>
        <v>0</v>
      </c>
      <c r="H513" s="1886">
        <f t="shared" si="359"/>
        <v>0</v>
      </c>
      <c r="I513" s="1889"/>
      <c r="J513" s="1890" t="s">
        <v>732</v>
      </c>
      <c r="K513" s="2647">
        <v>0</v>
      </c>
      <c r="L513" s="2646">
        <f t="shared" si="357"/>
        <v>0</v>
      </c>
      <c r="M513" s="2226">
        <f t="shared" si="360"/>
        <v>1</v>
      </c>
      <c r="N513" s="2649">
        <f>+$T511</f>
        <v>1.5</v>
      </c>
      <c r="O513" s="1896"/>
      <c r="P513" s="1897"/>
      <c r="Q513" s="1897"/>
      <c r="R513" s="1897"/>
      <c r="S513" s="1895" t="s">
        <v>3408</v>
      </c>
      <c r="T513" s="2674">
        <f>H510*64/4+L516+SUMIF(I510:I515,$B$578,L510:L515)*$E$545+SUMIF(I510:I515,$B$579,L510:L515)*$E$548+SUMIF(I510:I515,$B$580,L510:L515)*$E$546+SUMIF(I510:I515,$B$581,L510:L515)*$E$547+SUMIF(I510:I515,$B$582,L510:L515)*$E$547+SUMIF(I510:I515,$B$583,L510:L515)*$E$549+SUMIF(I510:I515,$B$584,L510:L515)*$E$547+SUMIF(I510:I515,$B$585,L510:L515)*$E$549+SUMIF(I510:I515,$B$586,L510:L515)*$E$547+SUMIF(I510:I515,$B$587,L510:L515)*$E$551+SUMIF(I510:I515,$B$588,L510:L515)*$E$549+SUMIF(I510:I515,$B$590,L510:L515)*$E$544+SUMIF(I510:I515,$B$589,L510:L515)*$E$550</f>
        <v>0</v>
      </c>
      <c r="U513" s="2921"/>
    </row>
    <row r="514" spans="1:47" ht="29.1" hidden="1" customHeight="1" x14ac:dyDescent="0.25">
      <c r="A514" s="2923"/>
      <c r="B514" s="1884"/>
      <c r="C514" s="1885"/>
      <c r="D514" s="1885"/>
      <c r="E514" s="1901" t="s">
        <v>1536</v>
      </c>
      <c r="F514" s="1888" t="s">
        <v>740</v>
      </c>
      <c r="G514" s="1900">
        <f>(H511*$E$527+H512*$E$527)*$C$557+R511*$C$557+T512*$C$558/T511</f>
        <v>0</v>
      </c>
      <c r="H514" s="1886">
        <f t="shared" si="359"/>
        <v>0</v>
      </c>
      <c r="I514" s="1889"/>
      <c r="J514" s="1890" t="s">
        <v>732</v>
      </c>
      <c r="K514" s="2647">
        <v>0</v>
      </c>
      <c r="L514" s="2646">
        <f t="shared" si="357"/>
        <v>0</v>
      </c>
      <c r="M514" s="2226">
        <f t="shared" si="360"/>
        <v>1</v>
      </c>
      <c r="N514" s="2649">
        <f>+$T511</f>
        <v>1.5</v>
      </c>
      <c r="O514" s="1896"/>
      <c r="P514" s="1897"/>
      <c r="Q514" s="1897"/>
      <c r="R514" s="1902"/>
      <c r="S514" s="1895" t="s">
        <v>1537</v>
      </c>
      <c r="T514" s="2673">
        <f>+T513*T510</f>
        <v>0</v>
      </c>
      <c r="U514" s="2921"/>
    </row>
    <row r="515" spans="1:47" hidden="1" x14ac:dyDescent="0.25">
      <c r="A515" s="2923"/>
      <c r="B515" s="1884"/>
      <c r="C515" s="1885"/>
      <c r="D515" s="1885"/>
      <c r="E515" s="1887"/>
      <c r="F515" s="1888"/>
      <c r="G515" s="1886"/>
      <c r="H515" s="1886"/>
      <c r="I515" s="1889"/>
      <c r="J515" s="1890" t="s">
        <v>732</v>
      </c>
      <c r="K515" s="2647">
        <v>0</v>
      </c>
      <c r="L515" s="2646">
        <f t="shared" si="357"/>
        <v>0</v>
      </c>
      <c r="M515" s="2226">
        <f t="shared" si="360"/>
        <v>1</v>
      </c>
      <c r="N515" s="2649">
        <f>+$T511</f>
        <v>1.5</v>
      </c>
      <c r="O515" s="1903"/>
      <c r="P515" s="1902"/>
      <c r="Q515" s="1902"/>
      <c r="R515" s="1902"/>
      <c r="S515" s="1904"/>
      <c r="T515" s="1905"/>
      <c r="U515" s="2921"/>
    </row>
    <row r="516" spans="1:47" ht="60.75" hidden="1" thickBot="1" x14ac:dyDescent="0.3">
      <c r="A516" s="2925"/>
      <c r="B516" s="1906"/>
      <c r="C516" s="1907"/>
      <c r="D516" s="1907"/>
      <c r="E516" s="1908"/>
      <c r="F516" s="1909"/>
      <c r="G516" s="1910"/>
      <c r="H516" s="1910"/>
      <c r="I516" s="1911" t="s">
        <v>1538</v>
      </c>
      <c r="J516" s="1912" t="s">
        <v>740</v>
      </c>
      <c r="K516" s="2658">
        <v>0</v>
      </c>
      <c r="L516" s="2659">
        <f t="shared" si="357"/>
        <v>0</v>
      </c>
      <c r="M516" s="2660">
        <f>IF(T516="YES",$C$554,1)</f>
        <v>1</v>
      </c>
      <c r="N516" s="2661">
        <f>+$T511</f>
        <v>1.5</v>
      </c>
      <c r="O516" s="1913"/>
      <c r="P516" s="1914"/>
      <c r="Q516" s="1914"/>
      <c r="R516" s="1914"/>
      <c r="S516" s="1920" t="s">
        <v>1539</v>
      </c>
      <c r="T516" s="1921" t="s">
        <v>1540</v>
      </c>
      <c r="U516" s="2924"/>
    </row>
    <row r="517" spans="1:47" ht="27" hidden="1" customHeight="1" thickBot="1" x14ac:dyDescent="0.3">
      <c r="A517" s="1915"/>
      <c r="B517" s="1916"/>
      <c r="C517" s="1917"/>
      <c r="D517" s="1917"/>
      <c r="E517" s="1916"/>
      <c r="F517" s="1917"/>
      <c r="G517" s="1917"/>
      <c r="H517" s="1917"/>
      <c r="I517" s="1916"/>
      <c r="J517" s="1917"/>
      <c r="K517" s="2669"/>
      <c r="L517" s="2669"/>
      <c r="M517" s="2669"/>
      <c r="N517" s="2669"/>
      <c r="O517" s="1916"/>
      <c r="P517" s="1917"/>
      <c r="Q517" s="1917"/>
      <c r="R517" s="1917"/>
      <c r="S517" s="1918"/>
      <c r="T517" s="1917"/>
      <c r="U517" s="1919"/>
    </row>
    <row r="518" spans="1:47" ht="33" customHeight="1" x14ac:dyDescent="0.25">
      <c r="A518" s="1922"/>
      <c r="B518" s="160"/>
      <c r="E518" s="160"/>
      <c r="I518" s="160"/>
      <c r="O518" s="160"/>
      <c r="S518" s="1923"/>
      <c r="U518" s="1924"/>
    </row>
    <row r="519" spans="1:47" ht="27" customHeight="1" x14ac:dyDescent="0.25">
      <c r="A519" s="1922"/>
      <c r="B519" s="160"/>
      <c r="E519" s="160"/>
      <c r="I519" s="160"/>
      <c r="O519" s="160"/>
      <c r="S519" s="1923"/>
      <c r="U519" s="1924"/>
    </row>
    <row r="520" spans="1:47" ht="27" customHeight="1" thickBot="1" x14ac:dyDescent="0.3">
      <c r="A520" s="1925"/>
      <c r="B520" s="160"/>
      <c r="E520" s="160"/>
      <c r="I520" s="160"/>
      <c r="O520" s="160"/>
      <c r="S520" s="1923"/>
      <c r="U520" s="1924"/>
    </row>
    <row r="521" spans="1:47" ht="63.75" thickBot="1" x14ac:dyDescent="0.3">
      <c r="A521" s="748" t="s">
        <v>206</v>
      </c>
      <c r="B521" s="748" t="s">
        <v>556</v>
      </c>
      <c r="C521" s="748" t="s">
        <v>557</v>
      </c>
      <c r="D521" s="748" t="s">
        <v>559</v>
      </c>
      <c r="E521" s="748" t="s">
        <v>560</v>
      </c>
      <c r="F521" s="763" t="s">
        <v>561</v>
      </c>
      <c r="G521" s="763" t="s">
        <v>562</v>
      </c>
      <c r="H521" s="763" t="s">
        <v>562</v>
      </c>
      <c r="I521" s="763" t="s">
        <v>563</v>
      </c>
      <c r="J521" s="763" t="s">
        <v>564</v>
      </c>
      <c r="K521" s="763" t="s">
        <v>565</v>
      </c>
      <c r="L521" s="763" t="s">
        <v>565</v>
      </c>
      <c r="M521" s="763"/>
      <c r="N521" s="763"/>
      <c r="O521" s="763" t="s">
        <v>566</v>
      </c>
      <c r="P521" s="763" t="s">
        <v>567</v>
      </c>
      <c r="Q521" s="763" t="s">
        <v>568</v>
      </c>
      <c r="R521" s="763"/>
      <c r="S521" s="763" t="s">
        <v>569</v>
      </c>
      <c r="T521" s="763" t="s">
        <v>570</v>
      </c>
      <c r="U521" s="763" t="s">
        <v>571</v>
      </c>
      <c r="V521" s="763" t="s">
        <v>572</v>
      </c>
      <c r="W521" s="763" t="s">
        <v>573</v>
      </c>
      <c r="X521" s="763" t="s">
        <v>574</v>
      </c>
      <c r="Y521" s="763" t="s">
        <v>575</v>
      </c>
      <c r="Z521" s="763" t="s">
        <v>1</v>
      </c>
      <c r="AA521" s="764" t="s">
        <v>633</v>
      </c>
      <c r="AC521" s="766" t="s">
        <v>2396</v>
      </c>
      <c r="AD521" s="766" t="s">
        <v>2397</v>
      </c>
      <c r="AE521" s="766" t="s">
        <v>577</v>
      </c>
      <c r="AF521" s="766" t="s">
        <v>578</v>
      </c>
      <c r="AG521" s="766" t="s">
        <v>558</v>
      </c>
      <c r="AH521" s="766" t="s">
        <v>579</v>
      </c>
      <c r="AI521" s="766" t="s">
        <v>580</v>
      </c>
      <c r="AJ521" s="766" t="s">
        <v>581</v>
      </c>
      <c r="AK521" s="766" t="s">
        <v>582</v>
      </c>
      <c r="AL521" s="766" t="s">
        <v>583</v>
      </c>
      <c r="AM521" s="766" t="s">
        <v>584</v>
      </c>
      <c r="AN521" s="766" t="s">
        <v>585</v>
      </c>
      <c r="AO521" s="766" t="s">
        <v>586</v>
      </c>
      <c r="AP521" s="766" t="s">
        <v>587</v>
      </c>
      <c r="AQ521" s="766" t="s">
        <v>588</v>
      </c>
      <c r="AR521" s="766" t="s">
        <v>589</v>
      </c>
      <c r="AS521" s="766" t="s">
        <v>590</v>
      </c>
      <c r="AT521" s="767" t="s">
        <v>591</v>
      </c>
    </row>
    <row r="522" spans="1:47" ht="38.25" x14ac:dyDescent="0.25">
      <c r="A522" s="769" t="s">
        <v>1523</v>
      </c>
      <c r="B522" s="768" t="s">
        <v>740</v>
      </c>
      <c r="C522" s="770">
        <f>SUMIF($B$6:$B$517,B6,$D$6:$D$517)</f>
        <v>0</v>
      </c>
      <c r="D522" s="770"/>
      <c r="E522" s="770"/>
      <c r="F522" s="170"/>
      <c r="G522" s="771"/>
      <c r="H522" s="771"/>
      <c r="I522" s="772"/>
      <c r="J522" s="773"/>
      <c r="K522" s="768" t="s">
        <v>39</v>
      </c>
      <c r="L522" s="768" t="s">
        <v>39</v>
      </c>
      <c r="M522" s="768"/>
      <c r="N522" s="768"/>
      <c r="O522" s="768" t="s">
        <v>39</v>
      </c>
      <c r="P522" s="2079" t="s">
        <v>74</v>
      </c>
      <c r="Q522" s="775"/>
      <c r="R522" s="775"/>
      <c r="S522" s="776">
        <f>12000/43560</f>
        <v>0.27548209366391185</v>
      </c>
      <c r="T522" s="777">
        <v>0.5</v>
      </c>
      <c r="U522" s="778">
        <f>T522*S522</f>
        <v>0.13774104683195593</v>
      </c>
      <c r="V522" s="772">
        <v>0</v>
      </c>
      <c r="W522" s="779"/>
      <c r="X522" s="776">
        <v>0</v>
      </c>
      <c r="Y522" s="780">
        <f>S522+U522+V522+X522</f>
        <v>0.41322314049586778</v>
      </c>
      <c r="Z522" s="769" t="s">
        <v>1541</v>
      </c>
      <c r="AA522" s="769"/>
      <c r="AB522" s="170">
        <v>61</v>
      </c>
      <c r="AC522" s="781"/>
      <c r="AD522" s="781"/>
      <c r="AE522" s="781"/>
      <c r="AF522" s="781"/>
      <c r="AG522" s="781"/>
      <c r="AH522" s="781"/>
      <c r="AI522" s="781">
        <f t="shared" ref="AI522:AI533" si="362">S522*C522</f>
        <v>0</v>
      </c>
      <c r="AJ522" s="781"/>
      <c r="AK522" s="782"/>
      <c r="AL522" s="781">
        <f t="shared" ref="AL522:AL533" si="363">U522*C522</f>
        <v>0</v>
      </c>
      <c r="AM522" s="781"/>
      <c r="AN522" s="781"/>
      <c r="AO522" s="781">
        <f t="shared" ref="AO522:AO533" si="364">V522*C522</f>
        <v>0</v>
      </c>
      <c r="AP522" s="781"/>
      <c r="AQ522" s="781"/>
      <c r="AR522" s="781"/>
      <c r="AS522" s="781"/>
      <c r="AT522" s="781">
        <f>SUM(AE522:AS522)</f>
        <v>0</v>
      </c>
      <c r="AU522" s="783"/>
    </row>
    <row r="523" spans="1:47" ht="38.25" x14ac:dyDescent="0.25">
      <c r="A523" s="769" t="s">
        <v>1527</v>
      </c>
      <c r="B523" s="768" t="s">
        <v>740</v>
      </c>
      <c r="C523" s="770">
        <f>SUMIF($B$6:$B$517,B7,$D$6:$D$517)</f>
        <v>0</v>
      </c>
      <c r="D523" s="770"/>
      <c r="E523" s="770"/>
      <c r="F523" s="170"/>
      <c r="G523" s="771"/>
      <c r="H523" s="771"/>
      <c r="I523" s="772"/>
      <c r="J523" s="773"/>
      <c r="K523" s="768" t="s">
        <v>39</v>
      </c>
      <c r="L523" s="768" t="s">
        <v>39</v>
      </c>
      <c r="M523" s="768"/>
      <c r="N523" s="768"/>
      <c r="O523" s="768" t="s">
        <v>39</v>
      </c>
      <c r="P523" s="2079" t="s">
        <v>74</v>
      </c>
      <c r="Q523" s="775"/>
      <c r="R523" s="775"/>
      <c r="S523" s="776">
        <f>19620/43560</f>
        <v>0.45041322314049587</v>
      </c>
      <c r="T523" s="777">
        <v>0.5</v>
      </c>
      <c r="U523" s="778">
        <f>T523*S523</f>
        <v>0.22520661157024793</v>
      </c>
      <c r="V523" s="772">
        <v>0</v>
      </c>
      <c r="W523" s="779"/>
      <c r="X523" s="776">
        <v>0</v>
      </c>
      <c r="Y523" s="780">
        <f t="shared" ref="Y523:Y528" si="365">S523+U523+V523+X523</f>
        <v>0.67561983471074383</v>
      </c>
      <c r="Z523" s="769" t="s">
        <v>1542</v>
      </c>
      <c r="AA523" s="769"/>
      <c r="AC523" s="781"/>
      <c r="AD523" s="781"/>
      <c r="AE523" s="781"/>
      <c r="AF523" s="781"/>
      <c r="AG523" s="781"/>
      <c r="AH523" s="781"/>
      <c r="AI523" s="781">
        <f t="shared" si="362"/>
        <v>0</v>
      </c>
      <c r="AJ523" s="781"/>
      <c r="AK523" s="782"/>
      <c r="AL523" s="781">
        <f t="shared" si="363"/>
        <v>0</v>
      </c>
      <c r="AM523" s="781"/>
      <c r="AN523" s="781"/>
      <c r="AO523" s="781">
        <f t="shared" si="364"/>
        <v>0</v>
      </c>
      <c r="AP523" s="781"/>
      <c r="AQ523" s="781"/>
      <c r="AR523" s="781"/>
      <c r="AS523" s="781"/>
      <c r="AT523" s="781">
        <f t="shared" ref="AT523:AT554" si="366">SUM(AE523:AS523)</f>
        <v>0</v>
      </c>
    </row>
    <row r="524" spans="1:47" ht="25.5" x14ac:dyDescent="0.25">
      <c r="A524" s="769" t="s">
        <v>1531</v>
      </c>
      <c r="B524" s="768" t="s">
        <v>732</v>
      </c>
      <c r="C524" s="770">
        <f>SUMIF($B$6:$B$517,B8,$D$6:$D$517)</f>
        <v>0</v>
      </c>
      <c r="D524" s="770"/>
      <c r="E524" s="770"/>
      <c r="F524" s="170"/>
      <c r="G524" s="771"/>
      <c r="H524" s="771"/>
      <c r="I524" s="772"/>
      <c r="J524" s="773"/>
      <c r="K524" s="768" t="s">
        <v>39</v>
      </c>
      <c r="L524" s="768" t="s">
        <v>39</v>
      </c>
      <c r="M524" s="768"/>
      <c r="N524" s="768"/>
      <c r="O524" s="768" t="s">
        <v>39</v>
      </c>
      <c r="P524" s="2079" t="s">
        <v>74</v>
      </c>
      <c r="Q524" s="775"/>
      <c r="R524" s="775"/>
      <c r="S524" s="776">
        <v>800</v>
      </c>
      <c r="T524" s="777">
        <v>0.5</v>
      </c>
      <c r="U524" s="778">
        <f>ROUND(T524*S524,0)</f>
        <v>400</v>
      </c>
      <c r="V524" s="772"/>
      <c r="W524" s="779"/>
      <c r="X524" s="776">
        <v>0</v>
      </c>
      <c r="Y524" s="780">
        <f t="shared" si="365"/>
        <v>1200</v>
      </c>
      <c r="Z524" s="769" t="s">
        <v>1543</v>
      </c>
      <c r="AA524" s="769"/>
      <c r="AC524" s="781"/>
      <c r="AD524" s="781"/>
      <c r="AE524" s="781"/>
      <c r="AF524" s="781"/>
      <c r="AG524" s="781"/>
      <c r="AH524" s="781"/>
      <c r="AI524" s="781">
        <f t="shared" si="362"/>
        <v>0</v>
      </c>
      <c r="AJ524" s="781"/>
      <c r="AK524" s="782"/>
      <c r="AL524" s="781">
        <f t="shared" si="363"/>
        <v>0</v>
      </c>
      <c r="AM524" s="781"/>
      <c r="AN524" s="781"/>
      <c r="AO524" s="781">
        <f t="shared" si="364"/>
        <v>0</v>
      </c>
      <c r="AP524" s="781"/>
      <c r="AQ524" s="781"/>
      <c r="AR524" s="781"/>
      <c r="AS524" s="781"/>
      <c r="AT524" s="781">
        <f t="shared" si="366"/>
        <v>0</v>
      </c>
    </row>
    <row r="525" spans="1:47" x14ac:dyDescent="0.25">
      <c r="A525" s="769" t="s">
        <v>1534</v>
      </c>
      <c r="B525" s="768" t="s">
        <v>728</v>
      </c>
      <c r="C525" s="770">
        <f>SUMIF($B$6:$B$517,B9,$D$6:$D$517)</f>
        <v>0</v>
      </c>
      <c r="D525" s="770"/>
      <c r="E525" s="770"/>
      <c r="F525" s="170"/>
      <c r="G525" s="771"/>
      <c r="H525" s="771"/>
      <c r="I525" s="772"/>
      <c r="J525" s="773"/>
      <c r="K525" s="768" t="s">
        <v>39</v>
      </c>
      <c r="L525" s="768" t="s">
        <v>39</v>
      </c>
      <c r="M525" s="768"/>
      <c r="N525" s="768"/>
      <c r="O525" s="768" t="s">
        <v>39</v>
      </c>
      <c r="P525" s="2079" t="s">
        <v>74</v>
      </c>
      <c r="Q525" s="775"/>
      <c r="R525" s="775"/>
      <c r="S525" s="776">
        <v>4</v>
      </c>
      <c r="T525" s="777">
        <v>0.25</v>
      </c>
      <c r="U525" s="778">
        <f>ROUND(T525*S525,0)</f>
        <v>1</v>
      </c>
      <c r="V525" s="772">
        <v>0</v>
      </c>
      <c r="W525" s="779"/>
      <c r="X525" s="776">
        <v>0</v>
      </c>
      <c r="Y525" s="780">
        <f t="shared" si="365"/>
        <v>5</v>
      </c>
      <c r="Z525" s="769" t="s">
        <v>1544</v>
      </c>
      <c r="AA525" s="769"/>
      <c r="AC525" s="781"/>
      <c r="AD525" s="781"/>
      <c r="AE525" s="781"/>
      <c r="AF525" s="781"/>
      <c r="AG525" s="781"/>
      <c r="AH525" s="781"/>
      <c r="AI525" s="781">
        <f t="shared" si="362"/>
        <v>0</v>
      </c>
      <c r="AJ525" s="781"/>
      <c r="AK525" s="782"/>
      <c r="AL525" s="781">
        <f t="shared" si="363"/>
        <v>0</v>
      </c>
      <c r="AM525" s="781"/>
      <c r="AN525" s="781"/>
      <c r="AO525" s="781">
        <f t="shared" si="364"/>
        <v>0</v>
      </c>
      <c r="AP525" s="781"/>
      <c r="AQ525" s="781"/>
      <c r="AR525" s="781"/>
      <c r="AS525" s="781"/>
      <c r="AT525" s="781">
        <f t="shared" si="366"/>
        <v>0</v>
      </c>
    </row>
    <row r="526" spans="1:47" ht="28.5" customHeight="1" x14ac:dyDescent="0.25">
      <c r="A526" s="769" t="s">
        <v>1506</v>
      </c>
      <c r="B526" s="768" t="s">
        <v>728</v>
      </c>
      <c r="C526" s="2238">
        <f>SUMIF($E$6:$E$517,E6,$H$6:$H$517)</f>
        <v>0</v>
      </c>
      <c r="D526" s="842"/>
      <c r="E526" s="770"/>
      <c r="F526" s="170"/>
      <c r="G526" s="771"/>
      <c r="H526" s="771"/>
      <c r="I526" s="772"/>
      <c r="J526" s="773"/>
      <c r="K526" s="768" t="s">
        <v>39</v>
      </c>
      <c r="L526" s="768" t="s">
        <v>39</v>
      </c>
      <c r="M526" s="768"/>
      <c r="N526" s="768"/>
      <c r="O526" s="768" t="s">
        <v>39</v>
      </c>
      <c r="P526" s="2079" t="s">
        <v>74</v>
      </c>
      <c r="Q526" s="775"/>
      <c r="R526" s="775"/>
      <c r="S526" s="1863">
        <f>S552*16</f>
        <v>22.48</v>
      </c>
      <c r="T526" s="777">
        <f>T552</f>
        <v>0.5</v>
      </c>
      <c r="U526" s="778">
        <f>(T526*S526)</f>
        <v>11.24</v>
      </c>
      <c r="V526" s="772">
        <f>0.0414*E526</f>
        <v>0</v>
      </c>
      <c r="W526" s="779"/>
      <c r="X526" s="776"/>
      <c r="Y526" s="780">
        <f t="shared" si="365"/>
        <v>33.72</v>
      </c>
      <c r="Z526" s="769" t="s">
        <v>1545</v>
      </c>
      <c r="AA526" s="769"/>
      <c r="AC526" s="781">
        <f>+C526</f>
        <v>0</v>
      </c>
      <c r="AD526" s="781" t="s">
        <v>740</v>
      </c>
      <c r="AE526" s="781"/>
      <c r="AF526" s="781"/>
      <c r="AG526" s="781"/>
      <c r="AH526" s="781"/>
      <c r="AI526" s="781">
        <f t="shared" si="362"/>
        <v>0</v>
      </c>
      <c r="AJ526" s="781"/>
      <c r="AK526" s="782"/>
      <c r="AL526" s="781">
        <f t="shared" si="363"/>
        <v>0</v>
      </c>
      <c r="AM526" s="781"/>
      <c r="AN526" s="781"/>
      <c r="AO526" s="781">
        <f t="shared" si="364"/>
        <v>0</v>
      </c>
      <c r="AP526" s="781"/>
      <c r="AQ526" s="781"/>
      <c r="AR526" s="781"/>
      <c r="AS526" s="781"/>
      <c r="AT526" s="781">
        <f t="shared" si="366"/>
        <v>0</v>
      </c>
    </row>
    <row r="527" spans="1:47" ht="25.5" x14ac:dyDescent="0.25">
      <c r="A527" s="769" t="s">
        <v>1528</v>
      </c>
      <c r="B527" s="768" t="s">
        <v>728</v>
      </c>
      <c r="C527" s="2238">
        <f>SUMIF($E$6:$E$517,E7,$H$6:$H$517)</f>
        <v>0</v>
      </c>
      <c r="D527" s="842" t="s">
        <v>1546</v>
      </c>
      <c r="E527" s="1926">
        <v>14</v>
      </c>
      <c r="F527" s="170"/>
      <c r="G527" s="771"/>
      <c r="H527" s="771"/>
      <c r="I527" s="772"/>
      <c r="J527" s="773">
        <f>+H527*I527</f>
        <v>0</v>
      </c>
      <c r="K527" s="768" t="s">
        <v>39</v>
      </c>
      <c r="L527" s="768" t="s">
        <v>39</v>
      </c>
      <c r="M527" s="768"/>
      <c r="N527" s="768"/>
      <c r="O527" s="768" t="s">
        <v>39</v>
      </c>
      <c r="P527" s="2079" t="s">
        <v>74</v>
      </c>
      <c r="Q527" s="775"/>
      <c r="R527" s="775"/>
      <c r="S527" s="776">
        <f>$S$534*E527</f>
        <v>9.3333333333333233</v>
      </c>
      <c r="T527" s="777">
        <v>0.5</v>
      </c>
      <c r="U527" s="778">
        <f>(T527*S527)</f>
        <v>4.6666666666666616</v>
      </c>
      <c r="V527" s="776">
        <f>$V$534*E527</f>
        <v>21</v>
      </c>
      <c r="W527" s="779"/>
      <c r="X527" s="776">
        <v>0</v>
      </c>
      <c r="Y527" s="780">
        <f t="shared" si="365"/>
        <v>34.999999999999986</v>
      </c>
      <c r="Z527" s="769" t="s">
        <v>1547</v>
      </c>
      <c r="AA527" s="769"/>
      <c r="AC527" s="781">
        <f>+C527</f>
        <v>0</v>
      </c>
      <c r="AD527" s="781" t="s">
        <v>740</v>
      </c>
      <c r="AE527" s="781"/>
      <c r="AF527" s="781"/>
      <c r="AG527" s="781"/>
      <c r="AH527" s="781"/>
      <c r="AI527" s="781">
        <f t="shared" si="362"/>
        <v>0</v>
      </c>
      <c r="AJ527" s="781"/>
      <c r="AK527" s="782"/>
      <c r="AL527" s="781">
        <f t="shared" si="363"/>
        <v>0</v>
      </c>
      <c r="AM527" s="781"/>
      <c r="AN527" s="781"/>
      <c r="AO527" s="781">
        <f t="shared" si="364"/>
        <v>0</v>
      </c>
      <c r="AP527" s="781"/>
      <c r="AQ527" s="781"/>
      <c r="AR527" s="781"/>
      <c r="AS527" s="781"/>
      <c r="AT527" s="781">
        <f t="shared" si="366"/>
        <v>0</v>
      </c>
    </row>
    <row r="528" spans="1:47" ht="25.5" x14ac:dyDescent="0.25">
      <c r="A528" s="769" t="s">
        <v>1532</v>
      </c>
      <c r="B528" s="768" t="s">
        <v>728</v>
      </c>
      <c r="C528" s="2238">
        <f>SUMIF($E$6:$E$517,E8,$H$6:$H$517)</f>
        <v>0</v>
      </c>
      <c r="D528" s="770"/>
      <c r="E528" s="770"/>
      <c r="F528" s="170"/>
      <c r="G528" s="771"/>
      <c r="H528" s="771"/>
      <c r="I528" s="772"/>
      <c r="J528" s="773">
        <f>+H528*I528</f>
        <v>0</v>
      </c>
      <c r="K528" s="768" t="s">
        <v>39</v>
      </c>
      <c r="L528" s="768" t="s">
        <v>39</v>
      </c>
      <c r="M528" s="768"/>
      <c r="N528" s="768"/>
      <c r="O528" s="768" t="s">
        <v>39</v>
      </c>
      <c r="P528" s="2079" t="s">
        <v>74</v>
      </c>
      <c r="Q528" s="775"/>
      <c r="R528" s="775"/>
      <c r="S528" s="776">
        <v>6.74</v>
      </c>
      <c r="T528" s="777">
        <v>0.5</v>
      </c>
      <c r="U528" s="778">
        <f>(T528*S528)</f>
        <v>3.37</v>
      </c>
      <c r="V528" s="772">
        <v>8</v>
      </c>
      <c r="W528" s="779"/>
      <c r="X528" s="776">
        <v>0</v>
      </c>
      <c r="Y528" s="780">
        <f t="shared" si="365"/>
        <v>18.11</v>
      </c>
      <c r="Z528" s="769" t="s">
        <v>1548</v>
      </c>
      <c r="AA528" s="769"/>
      <c r="AC528" s="781">
        <f>+C528</f>
        <v>0</v>
      </c>
      <c r="AD528" s="781" t="s">
        <v>740</v>
      </c>
      <c r="AE528" s="781"/>
      <c r="AF528" s="781"/>
      <c r="AG528" s="781"/>
      <c r="AH528" s="781"/>
      <c r="AI528" s="781">
        <f t="shared" si="362"/>
        <v>0</v>
      </c>
      <c r="AJ528" s="781"/>
      <c r="AK528" s="782"/>
      <c r="AL528" s="781">
        <f t="shared" si="363"/>
        <v>0</v>
      </c>
      <c r="AM528" s="781"/>
      <c r="AN528" s="781"/>
      <c r="AO528" s="781">
        <f t="shared" si="364"/>
        <v>0</v>
      </c>
      <c r="AP528" s="781"/>
      <c r="AQ528" s="781"/>
      <c r="AR528" s="781"/>
      <c r="AS528" s="781"/>
      <c r="AT528" s="781">
        <f t="shared" si="366"/>
        <v>0</v>
      </c>
    </row>
    <row r="529" spans="1:46" ht="39.75" customHeight="1" x14ac:dyDescent="0.25">
      <c r="A529" s="769" t="s">
        <v>1535</v>
      </c>
      <c r="B529" s="768" t="s">
        <v>728</v>
      </c>
      <c r="C529" s="2238">
        <f>SUMIF($E$6:$E$517,E9,$H$6:$H$517)</f>
        <v>0</v>
      </c>
      <c r="D529" s="770"/>
      <c r="E529" s="770"/>
      <c r="F529" s="170"/>
      <c r="G529" s="771"/>
      <c r="H529" s="771"/>
      <c r="I529" s="772"/>
      <c r="J529" s="773"/>
      <c r="K529" s="768" t="s">
        <v>39</v>
      </c>
      <c r="L529" s="768" t="s">
        <v>39</v>
      </c>
      <c r="M529" s="768"/>
      <c r="N529" s="768"/>
      <c r="O529" s="768" t="s">
        <v>39</v>
      </c>
      <c r="P529" s="2079" t="s">
        <v>74</v>
      </c>
      <c r="Q529" s="775"/>
      <c r="R529" s="775"/>
      <c r="S529" s="776">
        <v>4.2</v>
      </c>
      <c r="T529" s="777">
        <v>0.5</v>
      </c>
      <c r="U529" s="778">
        <f>(T529*S529)</f>
        <v>2.1</v>
      </c>
      <c r="V529" s="772">
        <v>3.33</v>
      </c>
      <c r="W529" s="779"/>
      <c r="X529" s="776">
        <v>0</v>
      </c>
      <c r="Y529" s="780">
        <f>S529+U529+V529+X529</f>
        <v>9.6300000000000008</v>
      </c>
      <c r="Z529" s="769" t="s">
        <v>1549</v>
      </c>
      <c r="AA529" s="769"/>
      <c r="AC529" s="781"/>
      <c r="AD529" s="781"/>
      <c r="AE529" s="781"/>
      <c r="AF529" s="781"/>
      <c r="AG529" s="781"/>
      <c r="AH529" s="781"/>
      <c r="AI529" s="781">
        <f t="shared" si="362"/>
        <v>0</v>
      </c>
      <c r="AJ529" s="781"/>
      <c r="AK529" s="782"/>
      <c r="AL529" s="781">
        <f t="shared" si="363"/>
        <v>0</v>
      </c>
      <c r="AM529" s="781"/>
      <c r="AN529" s="781"/>
      <c r="AO529" s="781">
        <f t="shared" si="364"/>
        <v>0</v>
      </c>
      <c r="AP529" s="781"/>
      <c r="AQ529" s="781"/>
      <c r="AR529" s="781"/>
      <c r="AS529" s="781"/>
      <c r="AT529" s="781">
        <f t="shared" si="366"/>
        <v>0</v>
      </c>
    </row>
    <row r="530" spans="1:46" ht="38.25" x14ac:dyDescent="0.25">
      <c r="A530" s="769" t="s">
        <v>1550</v>
      </c>
      <c r="B530" s="768" t="s">
        <v>740</v>
      </c>
      <c r="C530" s="2238">
        <f>SUMIF($E$6:$E$517,E10,$H$6:$H$517)</f>
        <v>0</v>
      </c>
      <c r="D530" s="770"/>
      <c r="E530" s="770"/>
      <c r="F530" s="170"/>
      <c r="G530" s="771"/>
      <c r="H530" s="771"/>
      <c r="I530" s="772"/>
      <c r="J530" s="773"/>
      <c r="K530" s="768" t="s">
        <v>39</v>
      </c>
      <c r="L530" s="768" t="s">
        <v>39</v>
      </c>
      <c r="M530" s="768"/>
      <c r="N530" s="768"/>
      <c r="O530" s="768" t="s">
        <v>39</v>
      </c>
      <c r="P530" s="2079" t="s">
        <v>74</v>
      </c>
      <c r="Q530" s="775"/>
      <c r="R530" s="775"/>
      <c r="S530" s="776">
        <v>6.6600000000000006E-2</v>
      </c>
      <c r="T530" s="777">
        <v>0.5</v>
      </c>
      <c r="U530" s="778">
        <f>(T530*S530)</f>
        <v>3.3300000000000003E-2</v>
      </c>
      <c r="V530" s="772">
        <v>0.1</v>
      </c>
      <c r="W530" s="779"/>
      <c r="X530" s="776">
        <v>0</v>
      </c>
      <c r="Y530" s="780">
        <f>S530+U530+V530+X530</f>
        <v>0.19990000000000002</v>
      </c>
      <c r="Z530" s="769" t="s">
        <v>1551</v>
      </c>
      <c r="AA530" s="769"/>
      <c r="AC530" s="781"/>
      <c r="AD530" s="781"/>
      <c r="AE530" s="781"/>
      <c r="AF530" s="781"/>
      <c r="AG530" s="781"/>
      <c r="AH530" s="781"/>
      <c r="AI530" s="781">
        <f t="shared" si="362"/>
        <v>0</v>
      </c>
      <c r="AJ530" s="781"/>
      <c r="AK530" s="782"/>
      <c r="AL530" s="781">
        <f t="shared" si="363"/>
        <v>0</v>
      </c>
      <c r="AM530" s="781"/>
      <c r="AN530" s="781"/>
      <c r="AO530" s="781">
        <f t="shared" si="364"/>
        <v>0</v>
      </c>
      <c r="AP530" s="781"/>
      <c r="AQ530" s="781"/>
      <c r="AR530" s="781"/>
      <c r="AS530" s="781"/>
      <c r="AT530" s="781">
        <f t="shared" si="366"/>
        <v>0</v>
      </c>
    </row>
    <row r="531" spans="1:46" ht="51" x14ac:dyDescent="0.25">
      <c r="A531" s="769" t="s">
        <v>1512</v>
      </c>
      <c r="B531" s="768" t="s">
        <v>740</v>
      </c>
      <c r="C531" s="2238">
        <f>SUMIF($O$6:$O$517,O6,$Q$6:$Q$517)</f>
        <v>0</v>
      </c>
      <c r="D531" s="770"/>
      <c r="E531" s="770"/>
      <c r="F531" s="170"/>
      <c r="G531" s="771"/>
      <c r="H531" s="771"/>
      <c r="I531" s="772"/>
      <c r="J531" s="773"/>
      <c r="K531" s="768" t="s">
        <v>39</v>
      </c>
      <c r="L531" s="768" t="s">
        <v>39</v>
      </c>
      <c r="M531" s="768"/>
      <c r="N531" s="768"/>
      <c r="O531" s="768" t="s">
        <v>39</v>
      </c>
      <c r="P531" s="2079" t="s">
        <v>74</v>
      </c>
      <c r="Q531" s="775"/>
      <c r="R531" s="775"/>
      <c r="S531" s="776">
        <v>0.14499999999999999</v>
      </c>
      <c r="T531" s="777">
        <v>0.5</v>
      </c>
      <c r="U531" s="778">
        <f t="shared" ref="U531:U551" si="367">T531*S531</f>
        <v>7.2499999999999995E-2</v>
      </c>
      <c r="V531" s="772">
        <v>0.22</v>
      </c>
      <c r="W531" s="779"/>
      <c r="X531" s="776">
        <v>0</v>
      </c>
      <c r="Y531" s="780">
        <f>S531+U531+V531+X531</f>
        <v>0.4375</v>
      </c>
      <c r="Z531" s="769" t="s">
        <v>1552</v>
      </c>
      <c r="AA531" s="769"/>
      <c r="AC531" s="781"/>
      <c r="AD531" s="781"/>
      <c r="AE531" s="781"/>
      <c r="AF531" s="781"/>
      <c r="AG531" s="781"/>
      <c r="AH531" s="781"/>
      <c r="AI531" s="781">
        <f t="shared" si="362"/>
        <v>0</v>
      </c>
      <c r="AJ531" s="781"/>
      <c r="AK531" s="782"/>
      <c r="AL531" s="781">
        <f t="shared" si="363"/>
        <v>0</v>
      </c>
      <c r="AM531" s="781"/>
      <c r="AN531" s="781"/>
      <c r="AO531" s="781">
        <f t="shared" si="364"/>
        <v>0</v>
      </c>
      <c r="AP531" s="781"/>
      <c r="AQ531" s="781"/>
      <c r="AR531" s="781"/>
      <c r="AS531" s="781"/>
      <c r="AT531" s="781">
        <f t="shared" si="366"/>
        <v>0</v>
      </c>
    </row>
    <row r="532" spans="1:46" ht="38.25" x14ac:dyDescent="0.25">
      <c r="A532" s="769" t="s">
        <v>1553</v>
      </c>
      <c r="B532" s="768" t="s">
        <v>740</v>
      </c>
      <c r="C532" s="2238">
        <f>SUMIF($O$6:$O$517,O7,$R$6:$R$517)</f>
        <v>0</v>
      </c>
      <c r="D532" s="842" t="s">
        <v>1554</v>
      </c>
      <c r="E532" s="1927">
        <v>1</v>
      </c>
      <c r="F532" s="170"/>
      <c r="G532" s="771"/>
      <c r="H532" s="771"/>
      <c r="I532" s="772"/>
      <c r="J532" s="773"/>
      <c r="K532" s="768"/>
      <c r="L532" s="768"/>
      <c r="M532" s="768"/>
      <c r="N532" s="768"/>
      <c r="O532" s="768"/>
      <c r="P532" s="2079" t="s">
        <v>74</v>
      </c>
      <c r="Q532" s="775"/>
      <c r="R532" s="775"/>
      <c r="S532" s="776"/>
      <c r="T532" s="777"/>
      <c r="U532" s="778"/>
      <c r="V532" s="776"/>
      <c r="W532" s="779"/>
      <c r="X532" s="776"/>
      <c r="Y532" s="780"/>
      <c r="Z532" s="769" t="s">
        <v>1555</v>
      </c>
      <c r="AA532" s="769"/>
      <c r="AC532" s="781"/>
      <c r="AD532" s="781"/>
      <c r="AE532" s="781"/>
      <c r="AF532" s="781"/>
      <c r="AG532" s="781"/>
      <c r="AH532" s="781"/>
      <c r="AI532" s="781">
        <f t="shared" si="362"/>
        <v>0</v>
      </c>
      <c r="AJ532" s="781"/>
      <c r="AK532" s="782"/>
      <c r="AL532" s="781">
        <f t="shared" si="363"/>
        <v>0</v>
      </c>
      <c r="AM532" s="781"/>
      <c r="AN532" s="781"/>
      <c r="AO532" s="781">
        <f t="shared" si="364"/>
        <v>0</v>
      </c>
      <c r="AP532" s="781"/>
      <c r="AQ532" s="781"/>
      <c r="AR532" s="781"/>
      <c r="AS532" s="781"/>
      <c r="AT532" s="781">
        <f t="shared" si="366"/>
        <v>0</v>
      </c>
    </row>
    <row r="533" spans="1:46" ht="38.25" x14ac:dyDescent="0.25">
      <c r="A533" s="769" t="s">
        <v>1556</v>
      </c>
      <c r="B533" s="768" t="s">
        <v>740</v>
      </c>
      <c r="C533" s="770">
        <f>SUMIF($O$6:$O$517,O8,$T$6:$T$517)</f>
        <v>0</v>
      </c>
      <c r="D533" s="842" t="s">
        <v>1554</v>
      </c>
      <c r="E533" s="1927">
        <v>0.18</v>
      </c>
      <c r="F533" s="170"/>
      <c r="G533" s="771"/>
      <c r="H533" s="771"/>
      <c r="I533" s="772"/>
      <c r="J533" s="773"/>
      <c r="K533" s="768"/>
      <c r="L533" s="768"/>
      <c r="M533" s="768"/>
      <c r="N533" s="768"/>
      <c r="O533" s="768"/>
      <c r="P533" s="2079" t="s">
        <v>74</v>
      </c>
      <c r="Q533" s="775"/>
      <c r="R533" s="775"/>
      <c r="S533" s="776"/>
      <c r="T533" s="777"/>
      <c r="U533" s="778"/>
      <c r="V533" s="776"/>
      <c r="W533" s="779"/>
      <c r="X533" s="776"/>
      <c r="Y533" s="780"/>
      <c r="Z533" s="769" t="s">
        <v>1557</v>
      </c>
      <c r="AA533" s="769"/>
      <c r="AC533" s="781"/>
      <c r="AD533" s="781"/>
      <c r="AE533" s="781"/>
      <c r="AF533" s="781"/>
      <c r="AG533" s="781"/>
      <c r="AH533" s="781"/>
      <c r="AI533" s="781">
        <f t="shared" si="362"/>
        <v>0</v>
      </c>
      <c r="AJ533" s="781"/>
      <c r="AK533" s="782"/>
      <c r="AL533" s="781">
        <f t="shared" si="363"/>
        <v>0</v>
      </c>
      <c r="AM533" s="781"/>
      <c r="AN533" s="781"/>
      <c r="AO533" s="781">
        <f t="shared" si="364"/>
        <v>0</v>
      </c>
      <c r="AP533" s="781"/>
      <c r="AQ533" s="781"/>
      <c r="AR533" s="781"/>
      <c r="AS533" s="781"/>
      <c r="AT533" s="781">
        <f>SUM(AE533:AS533)</f>
        <v>0</v>
      </c>
    </row>
    <row r="534" spans="1:46" ht="25.5" x14ac:dyDescent="0.25">
      <c r="A534" s="1928" t="s">
        <v>1558</v>
      </c>
      <c r="B534" s="1929" t="s">
        <v>732</v>
      </c>
      <c r="C534" s="1930">
        <f>SUMIF($I$6:$I$517,B562,$L$6:$L$517)</f>
        <v>0</v>
      </c>
      <c r="D534" s="770"/>
      <c r="E534" s="1930"/>
      <c r="F534" s="1931"/>
      <c r="G534" s="1932"/>
      <c r="H534" s="1932"/>
      <c r="I534" s="1933"/>
      <c r="J534" s="1934"/>
      <c r="K534" s="1929" t="s">
        <v>39</v>
      </c>
      <c r="L534" s="1929" t="s">
        <v>39</v>
      </c>
      <c r="M534" s="1929"/>
      <c r="N534" s="1929"/>
      <c r="O534" s="1929" t="s">
        <v>39</v>
      </c>
      <c r="P534" s="2079" t="s">
        <v>74</v>
      </c>
      <c r="Q534" s="1935"/>
      <c r="R534" s="1935"/>
      <c r="S534" s="1936">
        <v>0.66666666666666596</v>
      </c>
      <c r="T534" s="1937">
        <v>0.5</v>
      </c>
      <c r="U534" s="1938">
        <f t="shared" si="367"/>
        <v>0.33333333333333298</v>
      </c>
      <c r="V534" s="1936">
        <v>1.5</v>
      </c>
      <c r="W534" s="1939"/>
      <c r="X534" s="1940">
        <v>0</v>
      </c>
      <c r="Y534" s="1941">
        <f>S534+U534+V534+X534</f>
        <v>2.4999999999999991</v>
      </c>
      <c r="Z534" s="1928" t="s">
        <v>1559</v>
      </c>
      <c r="AA534" s="769"/>
      <c r="AC534" s="781"/>
      <c r="AD534" s="781"/>
      <c r="AE534" s="781"/>
      <c r="AF534" s="781"/>
      <c r="AG534" s="781"/>
      <c r="AH534" s="781"/>
      <c r="AI534" s="781"/>
      <c r="AJ534" s="781"/>
      <c r="AK534" s="782"/>
      <c r="AL534" s="781"/>
      <c r="AM534" s="781"/>
      <c r="AN534" s="781"/>
      <c r="AO534" s="781"/>
      <c r="AP534" s="781"/>
      <c r="AQ534" s="781"/>
      <c r="AR534" s="781"/>
      <c r="AS534" s="781"/>
      <c r="AT534" s="781"/>
    </row>
    <row r="535" spans="1:46" ht="38.25" x14ac:dyDescent="0.25">
      <c r="A535" s="769" t="s">
        <v>1560</v>
      </c>
      <c r="B535" s="768" t="s">
        <v>732</v>
      </c>
      <c r="C535" s="770">
        <f>SUMIF($I$6:$I$517,B563,$L$6:$L$517)</f>
        <v>0</v>
      </c>
      <c r="D535" s="770"/>
      <c r="E535" s="770"/>
      <c r="F535" s="170"/>
      <c r="G535" s="771"/>
      <c r="H535" s="771"/>
      <c r="I535" s="772"/>
      <c r="J535" s="773"/>
      <c r="K535" s="768" t="s">
        <v>39</v>
      </c>
      <c r="L535" s="768" t="s">
        <v>39</v>
      </c>
      <c r="M535" s="768"/>
      <c r="N535" s="768"/>
      <c r="O535" s="768" t="s">
        <v>39</v>
      </c>
      <c r="P535" s="2079" t="s">
        <v>74</v>
      </c>
      <c r="Q535" s="775"/>
      <c r="R535" s="775"/>
      <c r="S535" s="776">
        <f>S539*0.6667</f>
        <v>4444.6666666666615</v>
      </c>
      <c r="T535" s="777">
        <v>0.5</v>
      </c>
      <c r="U535" s="778">
        <f t="shared" si="367"/>
        <v>2222.3333333333308</v>
      </c>
      <c r="V535" s="772">
        <f>V539*0.333334</f>
        <v>5000.01</v>
      </c>
      <c r="W535" s="779"/>
      <c r="X535" s="776">
        <v>0</v>
      </c>
      <c r="Y535" s="780">
        <f>S535+U535+V535+X535+1000</f>
        <v>12667.009999999993</v>
      </c>
      <c r="Z535" s="769" t="s">
        <v>1561</v>
      </c>
      <c r="AA535" s="769"/>
      <c r="AC535" s="781"/>
      <c r="AD535" s="781"/>
      <c r="AE535" s="781"/>
      <c r="AF535" s="781"/>
      <c r="AG535" s="781"/>
      <c r="AH535" s="781"/>
      <c r="AI535" s="781">
        <f t="shared" ref="AI535:AI554" si="368">S535*C535</f>
        <v>0</v>
      </c>
      <c r="AJ535" s="781"/>
      <c r="AK535" s="782"/>
      <c r="AL535" s="781">
        <f t="shared" ref="AL535:AL554" si="369">U535*C535</f>
        <v>0</v>
      </c>
      <c r="AM535" s="781"/>
      <c r="AN535" s="781"/>
      <c r="AO535" s="781">
        <f t="shared" ref="AO535:AO554" si="370">V535*C535</f>
        <v>0</v>
      </c>
      <c r="AP535" s="781"/>
      <c r="AQ535" s="781"/>
      <c r="AR535" s="781"/>
      <c r="AS535" s="781"/>
      <c r="AT535" s="781">
        <f t="shared" si="366"/>
        <v>0</v>
      </c>
    </row>
    <row r="536" spans="1:46" ht="25.5" x14ac:dyDescent="0.25">
      <c r="A536" s="769" t="s">
        <v>1562</v>
      </c>
      <c r="B536" s="768" t="s">
        <v>732</v>
      </c>
      <c r="C536" s="770">
        <f>SUMIF($I$6:$I$517,B564,$L$6:$L$517)</f>
        <v>0</v>
      </c>
      <c r="D536" s="768" t="s">
        <v>740</v>
      </c>
      <c r="E536" s="2223">
        <f>50*50</f>
        <v>2500</v>
      </c>
      <c r="F536" s="170"/>
      <c r="G536" s="771"/>
      <c r="H536" s="771"/>
      <c r="I536" s="772"/>
      <c r="J536" s="773"/>
      <c r="K536" s="768" t="s">
        <v>39</v>
      </c>
      <c r="L536" s="768" t="s">
        <v>39</v>
      </c>
      <c r="M536" s="768"/>
      <c r="N536" s="768"/>
      <c r="O536" s="768" t="s">
        <v>39</v>
      </c>
      <c r="P536" s="2079" t="s">
        <v>74</v>
      </c>
      <c r="Q536" s="775"/>
      <c r="R536" s="775"/>
      <c r="S536" s="776">
        <f t="shared" ref="S536:S543" si="371">$S$534*E536</f>
        <v>1666.6666666666649</v>
      </c>
      <c r="T536" s="777">
        <v>0.5</v>
      </c>
      <c r="U536" s="778">
        <f t="shared" si="367"/>
        <v>833.33333333333246</v>
      </c>
      <c r="V536" s="776">
        <f t="shared" ref="V536:V543" si="372">$V$534*E536</f>
        <v>3750</v>
      </c>
      <c r="W536" s="779"/>
      <c r="X536" s="776">
        <v>0</v>
      </c>
      <c r="Y536" s="780">
        <f>S536+U536+V536+X536+1000</f>
        <v>7249.9999999999973</v>
      </c>
      <c r="Z536" s="769" t="s">
        <v>1563</v>
      </c>
      <c r="AA536" s="769"/>
      <c r="AC536" s="781">
        <f>+C536*E536</f>
        <v>0</v>
      </c>
      <c r="AD536" s="781" t="s">
        <v>740</v>
      </c>
      <c r="AE536" s="781"/>
      <c r="AF536" s="781"/>
      <c r="AG536" s="781"/>
      <c r="AH536" s="781"/>
      <c r="AI536" s="781">
        <f t="shared" si="368"/>
        <v>0</v>
      </c>
      <c r="AJ536" s="781"/>
      <c r="AK536" s="782"/>
      <c r="AL536" s="781">
        <f t="shared" si="369"/>
        <v>0</v>
      </c>
      <c r="AM536" s="781"/>
      <c r="AN536" s="781"/>
      <c r="AO536" s="781">
        <f t="shared" si="370"/>
        <v>0</v>
      </c>
      <c r="AP536" s="781"/>
      <c r="AQ536" s="781"/>
      <c r="AR536" s="781"/>
      <c r="AS536" s="781"/>
      <c r="AT536" s="781">
        <f t="shared" si="366"/>
        <v>0</v>
      </c>
    </row>
    <row r="537" spans="1:46" ht="25.5" x14ac:dyDescent="0.25">
      <c r="A537" s="769" t="s">
        <v>1564</v>
      </c>
      <c r="B537" s="768" t="s">
        <v>732</v>
      </c>
      <c r="C537" s="770">
        <f>SUMIF($I$6:$I$517,B565,$L$6:$L$517)</f>
        <v>0</v>
      </c>
      <c r="D537" s="768" t="s">
        <v>740</v>
      </c>
      <c r="E537" s="2223">
        <f>75*75</f>
        <v>5625</v>
      </c>
      <c r="F537" s="170"/>
      <c r="G537" s="771"/>
      <c r="H537" s="771"/>
      <c r="I537" s="772"/>
      <c r="J537" s="773"/>
      <c r="K537" s="768" t="s">
        <v>39</v>
      </c>
      <c r="L537" s="768" t="s">
        <v>39</v>
      </c>
      <c r="M537" s="768"/>
      <c r="N537" s="768"/>
      <c r="O537" s="768" t="s">
        <v>39</v>
      </c>
      <c r="P537" s="2079" t="s">
        <v>74</v>
      </c>
      <c r="Q537" s="775"/>
      <c r="R537" s="775"/>
      <c r="S537" s="776">
        <f t="shared" si="371"/>
        <v>3749.9999999999959</v>
      </c>
      <c r="T537" s="777">
        <v>0.5</v>
      </c>
      <c r="U537" s="778">
        <f t="shared" si="367"/>
        <v>1874.999999999998</v>
      </c>
      <c r="V537" s="776">
        <f t="shared" si="372"/>
        <v>8437.5</v>
      </c>
      <c r="W537" s="779"/>
      <c r="X537" s="776">
        <v>0</v>
      </c>
      <c r="Y537" s="780">
        <f>S537+U537+V537+X537</f>
        <v>14062.499999999993</v>
      </c>
      <c r="Z537" s="769" t="s">
        <v>1565</v>
      </c>
      <c r="AA537" s="769"/>
      <c r="AC537" s="781">
        <f t="shared" ref="AC537:AC551" si="373">+C537*E537</f>
        <v>0</v>
      </c>
      <c r="AD537" s="781" t="s">
        <v>740</v>
      </c>
      <c r="AE537" s="781"/>
      <c r="AF537" s="781"/>
      <c r="AG537" s="781"/>
      <c r="AH537" s="781"/>
      <c r="AI537" s="781">
        <f t="shared" si="368"/>
        <v>0</v>
      </c>
      <c r="AJ537" s="781"/>
      <c r="AK537" s="782"/>
      <c r="AL537" s="781">
        <f t="shared" si="369"/>
        <v>0</v>
      </c>
      <c r="AM537" s="781"/>
      <c r="AN537" s="781"/>
      <c r="AO537" s="781">
        <f t="shared" si="370"/>
        <v>0</v>
      </c>
      <c r="AP537" s="781"/>
      <c r="AQ537" s="781"/>
      <c r="AR537" s="781"/>
      <c r="AS537" s="781"/>
      <c r="AT537" s="781">
        <f t="shared" si="366"/>
        <v>0</v>
      </c>
    </row>
    <row r="538" spans="1:46" ht="38.25" x14ac:dyDescent="0.25">
      <c r="A538" s="769" t="s">
        <v>1566</v>
      </c>
      <c r="B538" s="768" t="s">
        <v>732</v>
      </c>
      <c r="C538" s="770">
        <f>SUMIF($I$6:$I$517,B567,$L$6:$L$517)</f>
        <v>0</v>
      </c>
      <c r="D538" s="768" t="s">
        <v>740</v>
      </c>
      <c r="E538" s="2223">
        <f>80*100</f>
        <v>8000</v>
      </c>
      <c r="F538" s="170"/>
      <c r="G538" s="771"/>
      <c r="H538" s="771"/>
      <c r="I538" s="772"/>
      <c r="J538" s="773"/>
      <c r="K538" s="768" t="s">
        <v>39</v>
      </c>
      <c r="L538" s="768" t="s">
        <v>39</v>
      </c>
      <c r="M538" s="768"/>
      <c r="N538" s="768"/>
      <c r="O538" s="768" t="s">
        <v>39</v>
      </c>
      <c r="P538" s="2079" t="s">
        <v>74</v>
      </c>
      <c r="Q538" s="775"/>
      <c r="R538" s="775"/>
      <c r="S538" s="776">
        <f t="shared" si="371"/>
        <v>5333.3333333333276</v>
      </c>
      <c r="T538" s="777">
        <v>0.5</v>
      </c>
      <c r="U538" s="778">
        <f t="shared" si="367"/>
        <v>2666.6666666666638</v>
      </c>
      <c r="V538" s="776">
        <f t="shared" si="372"/>
        <v>12000</v>
      </c>
      <c r="W538" s="779"/>
      <c r="X538" s="776">
        <v>0</v>
      </c>
      <c r="Y538" s="780">
        <f t="shared" ref="Y538:Y552" si="374">S538+U538+V538+X538</f>
        <v>19999.999999999993</v>
      </c>
      <c r="Z538" s="769" t="s">
        <v>1567</v>
      </c>
      <c r="AA538" s="769"/>
      <c r="AC538" s="781">
        <f t="shared" si="373"/>
        <v>0</v>
      </c>
      <c r="AD538" s="781" t="s">
        <v>740</v>
      </c>
      <c r="AE538" s="781"/>
      <c r="AF538" s="781"/>
      <c r="AG538" s="781"/>
      <c r="AH538" s="781"/>
      <c r="AI538" s="781">
        <f t="shared" si="368"/>
        <v>0</v>
      </c>
      <c r="AJ538" s="781"/>
      <c r="AK538" s="782"/>
      <c r="AL538" s="781">
        <f t="shared" si="369"/>
        <v>0</v>
      </c>
      <c r="AM538" s="781"/>
      <c r="AN538" s="781"/>
      <c r="AO538" s="781">
        <f t="shared" si="370"/>
        <v>0</v>
      </c>
      <c r="AP538" s="781"/>
      <c r="AQ538" s="781"/>
      <c r="AR538" s="781"/>
      <c r="AS538" s="781"/>
      <c r="AT538" s="781">
        <f t="shared" si="366"/>
        <v>0</v>
      </c>
    </row>
    <row r="539" spans="1:46" ht="102" x14ac:dyDescent="0.25">
      <c r="A539" s="769" t="s">
        <v>1568</v>
      </c>
      <c r="B539" s="768" t="s">
        <v>732</v>
      </c>
      <c r="C539" s="770">
        <f>SUMIF($I$6:$I$517,B568,$L$6:$L$517)+SUMIF($I$6:$I$517,B571,$L$6:$L$517)+SUMIF($I$6:$I$517,B569,$L$6:$L$517)+SUMIF($I$6:$I$517,B573,$L$6:$L$517)</f>
        <v>0</v>
      </c>
      <c r="D539" s="768" t="s">
        <v>740</v>
      </c>
      <c r="E539" s="2223">
        <f>100*100</f>
        <v>10000</v>
      </c>
      <c r="F539" s="170"/>
      <c r="G539" s="771"/>
      <c r="H539" s="771"/>
      <c r="I539" s="772"/>
      <c r="J539" s="773"/>
      <c r="K539" s="768" t="s">
        <v>39</v>
      </c>
      <c r="L539" s="768" t="s">
        <v>39</v>
      </c>
      <c r="M539" s="768"/>
      <c r="N539" s="768"/>
      <c r="O539" s="768" t="s">
        <v>39</v>
      </c>
      <c r="P539" s="2079" t="s">
        <v>74</v>
      </c>
      <c r="Q539" s="775"/>
      <c r="R539" s="775"/>
      <c r="S539" s="776">
        <f t="shared" si="371"/>
        <v>6666.6666666666597</v>
      </c>
      <c r="T539" s="777">
        <v>0.5</v>
      </c>
      <c r="U539" s="778">
        <f t="shared" si="367"/>
        <v>3333.3333333333298</v>
      </c>
      <c r="V539" s="776">
        <f t="shared" si="372"/>
        <v>15000</v>
      </c>
      <c r="W539" s="779"/>
      <c r="X539" s="776">
        <v>0</v>
      </c>
      <c r="Y539" s="780">
        <f t="shared" si="374"/>
        <v>24999.999999999989</v>
      </c>
      <c r="Z539" s="769" t="s">
        <v>1569</v>
      </c>
      <c r="AA539" s="769"/>
      <c r="AC539" s="781">
        <f t="shared" si="373"/>
        <v>0</v>
      </c>
      <c r="AD539" s="781" t="s">
        <v>740</v>
      </c>
      <c r="AE539" s="781"/>
      <c r="AF539" s="781"/>
      <c r="AG539" s="781"/>
      <c r="AH539" s="781"/>
      <c r="AI539" s="781">
        <f t="shared" si="368"/>
        <v>0</v>
      </c>
      <c r="AJ539" s="781"/>
      <c r="AK539" s="782"/>
      <c r="AL539" s="781">
        <f t="shared" si="369"/>
        <v>0</v>
      </c>
      <c r="AM539" s="781"/>
      <c r="AN539" s="781"/>
      <c r="AO539" s="781">
        <f t="shared" si="370"/>
        <v>0</v>
      </c>
      <c r="AP539" s="781"/>
      <c r="AQ539" s="781"/>
      <c r="AR539" s="781"/>
      <c r="AS539" s="781"/>
      <c r="AT539" s="781">
        <f t="shared" si="366"/>
        <v>0</v>
      </c>
    </row>
    <row r="540" spans="1:46" x14ac:dyDescent="0.25">
      <c r="A540" s="769" t="s">
        <v>1570</v>
      </c>
      <c r="B540" s="768" t="s">
        <v>732</v>
      </c>
      <c r="C540" s="770">
        <f>SUMIF($I$6:$I$517,B566,$L$6:$L$517)</f>
        <v>0</v>
      </c>
      <c r="D540" s="768" t="s">
        <v>740</v>
      </c>
      <c r="E540" s="2223">
        <f>75*150</f>
        <v>11250</v>
      </c>
      <c r="F540" s="170"/>
      <c r="G540" s="771"/>
      <c r="H540" s="771"/>
      <c r="I540" s="772"/>
      <c r="J540" s="773"/>
      <c r="K540" s="768" t="s">
        <v>39</v>
      </c>
      <c r="L540" s="768" t="s">
        <v>39</v>
      </c>
      <c r="M540" s="768"/>
      <c r="N540" s="768"/>
      <c r="O540" s="768" t="s">
        <v>39</v>
      </c>
      <c r="P540" s="2079" t="s">
        <v>74</v>
      </c>
      <c r="Q540" s="775"/>
      <c r="R540" s="775"/>
      <c r="S540" s="776">
        <f t="shared" si="371"/>
        <v>7499.9999999999918</v>
      </c>
      <c r="T540" s="777">
        <v>0.5</v>
      </c>
      <c r="U540" s="778">
        <f t="shared" si="367"/>
        <v>3749.9999999999959</v>
      </c>
      <c r="V540" s="776">
        <f t="shared" si="372"/>
        <v>16875</v>
      </c>
      <c r="W540" s="779"/>
      <c r="X540" s="776">
        <v>0</v>
      </c>
      <c r="Y540" s="780">
        <f t="shared" si="374"/>
        <v>28124.999999999985</v>
      </c>
      <c r="Z540" s="769" t="s">
        <v>1571</v>
      </c>
      <c r="AA540" s="769"/>
      <c r="AC540" s="781">
        <f t="shared" si="373"/>
        <v>0</v>
      </c>
      <c r="AD540" s="781" t="s">
        <v>740</v>
      </c>
      <c r="AE540" s="781"/>
      <c r="AF540" s="781"/>
      <c r="AG540" s="781"/>
      <c r="AH540" s="781"/>
      <c r="AI540" s="781">
        <f t="shared" si="368"/>
        <v>0</v>
      </c>
      <c r="AJ540" s="781"/>
      <c r="AK540" s="782"/>
      <c r="AL540" s="781">
        <f t="shared" si="369"/>
        <v>0</v>
      </c>
      <c r="AM540" s="781"/>
      <c r="AN540" s="781"/>
      <c r="AO540" s="781">
        <f t="shared" si="370"/>
        <v>0</v>
      </c>
      <c r="AP540" s="781"/>
      <c r="AQ540" s="781"/>
      <c r="AR540" s="781"/>
      <c r="AS540" s="781"/>
      <c r="AT540" s="781">
        <f t="shared" si="366"/>
        <v>0</v>
      </c>
    </row>
    <row r="541" spans="1:46" ht="76.5" x14ac:dyDescent="0.25">
      <c r="A541" s="769" t="s">
        <v>1572</v>
      </c>
      <c r="B541" s="768" t="s">
        <v>732</v>
      </c>
      <c r="C541" s="770">
        <f>SUMIF($I$6:$I$517,B572,$L$6:$L$517)+SUMIF($I$6:$I$517,B575,$L$6:$L$517)+SUMIF($I$6:$I$517,B570,$L$6:$L$517)</f>
        <v>0</v>
      </c>
      <c r="D541" s="768" t="s">
        <v>740</v>
      </c>
      <c r="E541" s="2223">
        <f>100*200</f>
        <v>20000</v>
      </c>
      <c r="F541" s="170"/>
      <c r="G541" s="771"/>
      <c r="H541" s="771"/>
      <c r="I541" s="772"/>
      <c r="J541" s="773"/>
      <c r="K541" s="768" t="s">
        <v>39</v>
      </c>
      <c r="L541" s="768" t="s">
        <v>39</v>
      </c>
      <c r="M541" s="768"/>
      <c r="N541" s="768"/>
      <c r="O541" s="768" t="s">
        <v>39</v>
      </c>
      <c r="P541" s="2079" t="s">
        <v>74</v>
      </c>
      <c r="Q541" s="775"/>
      <c r="R541" s="775"/>
      <c r="S541" s="776">
        <f t="shared" si="371"/>
        <v>13333.333333333319</v>
      </c>
      <c r="T541" s="777">
        <v>0.5</v>
      </c>
      <c r="U541" s="778">
        <f t="shared" si="367"/>
        <v>6666.6666666666597</v>
      </c>
      <c r="V541" s="776">
        <f t="shared" si="372"/>
        <v>30000</v>
      </c>
      <c r="W541" s="779"/>
      <c r="X541" s="776">
        <v>0</v>
      </c>
      <c r="Y541" s="780">
        <f t="shared" si="374"/>
        <v>49999.999999999978</v>
      </c>
      <c r="Z541" s="769" t="s">
        <v>1573</v>
      </c>
      <c r="AA541" s="769"/>
      <c r="AC541" s="781">
        <f t="shared" si="373"/>
        <v>0</v>
      </c>
      <c r="AD541" s="781" t="s">
        <v>740</v>
      </c>
      <c r="AE541" s="781"/>
      <c r="AF541" s="781"/>
      <c r="AG541" s="781"/>
      <c r="AH541" s="781"/>
      <c r="AI541" s="781">
        <f t="shared" si="368"/>
        <v>0</v>
      </c>
      <c r="AJ541" s="781"/>
      <c r="AK541" s="782"/>
      <c r="AL541" s="781">
        <f t="shared" si="369"/>
        <v>0</v>
      </c>
      <c r="AM541" s="781"/>
      <c r="AN541" s="781"/>
      <c r="AO541" s="781">
        <f t="shared" si="370"/>
        <v>0</v>
      </c>
      <c r="AP541" s="781"/>
      <c r="AQ541" s="781"/>
      <c r="AR541" s="781"/>
      <c r="AS541" s="781"/>
      <c r="AT541" s="781">
        <f t="shared" si="366"/>
        <v>0</v>
      </c>
    </row>
    <row r="542" spans="1:46" ht="25.5" x14ac:dyDescent="0.25">
      <c r="A542" s="769" t="s">
        <v>1574</v>
      </c>
      <c r="B542" s="768" t="s">
        <v>732</v>
      </c>
      <c r="C542" s="770">
        <f>SUMIF($I$6:$I$517,B576,$L$6:$L$517)</f>
        <v>0</v>
      </c>
      <c r="D542" s="768" t="s">
        <v>740</v>
      </c>
      <c r="E542" s="2223">
        <f>100*150</f>
        <v>15000</v>
      </c>
      <c r="F542" s="170"/>
      <c r="G542" s="771"/>
      <c r="H542" s="771"/>
      <c r="I542" s="772"/>
      <c r="J542" s="773"/>
      <c r="K542" s="768" t="s">
        <v>39</v>
      </c>
      <c r="L542" s="768" t="s">
        <v>39</v>
      </c>
      <c r="M542" s="768"/>
      <c r="N542" s="768"/>
      <c r="O542" s="768" t="s">
        <v>39</v>
      </c>
      <c r="P542" s="2079" t="s">
        <v>74</v>
      </c>
      <c r="Q542" s="775"/>
      <c r="R542" s="775"/>
      <c r="S542" s="776">
        <f t="shared" si="371"/>
        <v>9999.9999999999891</v>
      </c>
      <c r="T542" s="777">
        <v>0.5</v>
      </c>
      <c r="U542" s="778">
        <f>T542*S542</f>
        <v>4999.9999999999945</v>
      </c>
      <c r="V542" s="776">
        <f t="shared" si="372"/>
        <v>22500</v>
      </c>
      <c r="W542" s="779"/>
      <c r="X542" s="776">
        <v>0</v>
      </c>
      <c r="Y542" s="780">
        <f>S542+U542+V542+X542</f>
        <v>37499.999999999985</v>
      </c>
      <c r="Z542" s="769" t="s">
        <v>1575</v>
      </c>
      <c r="AA542" s="769"/>
      <c r="AC542" s="781">
        <f t="shared" si="373"/>
        <v>0</v>
      </c>
      <c r="AD542" s="781" t="s">
        <v>740</v>
      </c>
      <c r="AE542" s="781"/>
      <c r="AF542" s="781"/>
      <c r="AG542" s="781"/>
      <c r="AH542" s="781"/>
      <c r="AI542" s="781">
        <f t="shared" si="368"/>
        <v>0</v>
      </c>
      <c r="AJ542" s="781"/>
      <c r="AK542" s="782"/>
      <c r="AL542" s="781">
        <f t="shared" si="369"/>
        <v>0</v>
      </c>
      <c r="AM542" s="781"/>
      <c r="AN542" s="781"/>
      <c r="AO542" s="781">
        <f t="shared" si="370"/>
        <v>0</v>
      </c>
      <c r="AP542" s="781"/>
      <c r="AQ542" s="781"/>
      <c r="AR542" s="781"/>
      <c r="AS542" s="781"/>
      <c r="AT542" s="781">
        <f>SUM(AE542:AS542)</f>
        <v>0</v>
      </c>
    </row>
    <row r="543" spans="1:46" ht="25.5" x14ac:dyDescent="0.25">
      <c r="A543" s="769" t="s">
        <v>1576</v>
      </c>
      <c r="B543" s="768" t="s">
        <v>732</v>
      </c>
      <c r="C543" s="770">
        <f>SUMIF($I$6:$I$517,B574,$L$6:$L$517)</f>
        <v>0</v>
      </c>
      <c r="D543" s="768" t="s">
        <v>740</v>
      </c>
      <c r="E543" s="2223">
        <f>150*150</f>
        <v>22500</v>
      </c>
      <c r="F543" s="1931"/>
      <c r="G543" s="771"/>
      <c r="H543" s="771"/>
      <c r="I543" s="772"/>
      <c r="J543" s="773"/>
      <c r="K543" s="768" t="s">
        <v>39</v>
      </c>
      <c r="L543" s="768" t="s">
        <v>39</v>
      </c>
      <c r="M543" s="768"/>
      <c r="N543" s="768"/>
      <c r="O543" s="768" t="s">
        <v>39</v>
      </c>
      <c r="P543" s="2079" t="s">
        <v>74</v>
      </c>
      <c r="Q543" s="775"/>
      <c r="R543" s="775"/>
      <c r="S543" s="776">
        <f t="shared" si="371"/>
        <v>14999.999999999984</v>
      </c>
      <c r="T543" s="777">
        <v>0.5</v>
      </c>
      <c r="U543" s="778">
        <f t="shared" si="367"/>
        <v>7499.9999999999918</v>
      </c>
      <c r="V543" s="776">
        <f t="shared" si="372"/>
        <v>33750</v>
      </c>
      <c r="W543" s="779"/>
      <c r="X543" s="776">
        <v>0</v>
      </c>
      <c r="Y543" s="780">
        <f t="shared" si="374"/>
        <v>56249.999999999971</v>
      </c>
      <c r="Z543" s="769" t="s">
        <v>1577</v>
      </c>
      <c r="AA543" s="769"/>
      <c r="AC543" s="781">
        <f t="shared" si="373"/>
        <v>0</v>
      </c>
      <c r="AD543" s="781" t="s">
        <v>740</v>
      </c>
      <c r="AE543" s="781"/>
      <c r="AF543" s="781"/>
      <c r="AG543" s="781"/>
      <c r="AH543" s="781"/>
      <c r="AI543" s="781">
        <f t="shared" si="368"/>
        <v>0</v>
      </c>
      <c r="AJ543" s="781"/>
      <c r="AK543" s="782"/>
      <c r="AL543" s="781">
        <f t="shared" si="369"/>
        <v>0</v>
      </c>
      <c r="AM543" s="781"/>
      <c r="AN543" s="781"/>
      <c r="AO543" s="781">
        <f t="shared" si="370"/>
        <v>0</v>
      </c>
      <c r="AP543" s="781"/>
      <c r="AQ543" s="781"/>
      <c r="AR543" s="781"/>
      <c r="AS543" s="781"/>
      <c r="AT543" s="781">
        <f t="shared" si="366"/>
        <v>0</v>
      </c>
    </row>
    <row r="544" spans="1:46" ht="25.5" x14ac:dyDescent="0.25">
      <c r="A544" s="769" t="s">
        <v>1578</v>
      </c>
      <c r="B544" s="768" t="s">
        <v>732</v>
      </c>
      <c r="C544" s="770">
        <f>SUMIF($I$6:$I$517,B590,$L$6:$L$517)</f>
        <v>0</v>
      </c>
      <c r="D544" s="768" t="s">
        <v>740</v>
      </c>
      <c r="E544" s="2223">
        <f>50*50-$G$1</f>
        <v>1860</v>
      </c>
      <c r="F544" s="1931"/>
      <c r="G544" s="771"/>
      <c r="H544" s="771"/>
      <c r="I544" s="772"/>
      <c r="J544" s="773"/>
      <c r="K544" s="768" t="s">
        <v>39</v>
      </c>
      <c r="L544" s="768" t="s">
        <v>39</v>
      </c>
      <c r="M544" s="768"/>
      <c r="N544" s="768"/>
      <c r="O544" s="768" t="s">
        <v>39</v>
      </c>
      <c r="P544" s="2079" t="s">
        <v>74</v>
      </c>
      <c r="Q544" s="775"/>
      <c r="R544" s="775"/>
      <c r="S544" s="776">
        <f>$S$526*E544*1.4/16</f>
        <v>3658.62</v>
      </c>
      <c r="T544" s="777">
        <f>$T$526</f>
        <v>0.5</v>
      </c>
      <c r="U544" s="778">
        <f t="shared" si="367"/>
        <v>1829.31</v>
      </c>
      <c r="V544" s="772"/>
      <c r="W544" s="779"/>
      <c r="X544" s="776">
        <v>0</v>
      </c>
      <c r="Y544" s="780">
        <f t="shared" si="374"/>
        <v>5487.93</v>
      </c>
      <c r="Z544" s="769" t="s">
        <v>1563</v>
      </c>
      <c r="AA544" s="769"/>
      <c r="AC544" s="781">
        <f t="shared" si="373"/>
        <v>0</v>
      </c>
      <c r="AD544" s="781" t="s">
        <v>740</v>
      </c>
      <c r="AE544" s="781"/>
      <c r="AF544" s="781"/>
      <c r="AG544" s="781"/>
      <c r="AH544" s="781"/>
      <c r="AI544" s="781">
        <f t="shared" si="368"/>
        <v>0</v>
      </c>
      <c r="AJ544" s="781"/>
      <c r="AK544" s="782"/>
      <c r="AL544" s="781">
        <f t="shared" si="369"/>
        <v>0</v>
      </c>
      <c r="AM544" s="781"/>
      <c r="AN544" s="781"/>
      <c r="AO544" s="781">
        <f t="shared" si="370"/>
        <v>0</v>
      </c>
      <c r="AP544" s="781"/>
      <c r="AQ544" s="781"/>
      <c r="AR544" s="781"/>
      <c r="AS544" s="781"/>
      <c r="AT544" s="781">
        <f t="shared" si="366"/>
        <v>0</v>
      </c>
    </row>
    <row r="545" spans="1:46" ht="25.5" x14ac:dyDescent="0.25">
      <c r="A545" s="769" t="s">
        <v>1579</v>
      </c>
      <c r="B545" s="768" t="s">
        <v>732</v>
      </c>
      <c r="C545" s="770">
        <f>SUMIF($I$6:$I$517,B578,$L$6:$L$517)</f>
        <v>0</v>
      </c>
      <c r="D545" s="768" t="s">
        <v>740</v>
      </c>
      <c r="E545" s="2223">
        <f>75*75</f>
        <v>5625</v>
      </c>
      <c r="F545" s="1931"/>
      <c r="G545" s="771"/>
      <c r="H545" s="771"/>
      <c r="I545" s="772"/>
      <c r="J545" s="773"/>
      <c r="K545" s="768" t="s">
        <v>39</v>
      </c>
      <c r="L545" s="768" t="s">
        <v>39</v>
      </c>
      <c r="M545" s="768"/>
      <c r="N545" s="768"/>
      <c r="O545" s="768" t="s">
        <v>39</v>
      </c>
      <c r="P545" s="2079" t="s">
        <v>74</v>
      </c>
      <c r="Q545" s="775"/>
      <c r="R545" s="775"/>
      <c r="S545" s="776">
        <f t="shared" ref="S545:S551" si="375">$S$526*E545/16</f>
        <v>7903.125</v>
      </c>
      <c r="T545" s="777">
        <f t="shared" ref="T545:T551" si="376">$T$526</f>
        <v>0.5</v>
      </c>
      <c r="U545" s="778">
        <f t="shared" si="367"/>
        <v>3951.5625</v>
      </c>
      <c r="V545" s="772"/>
      <c r="W545" s="779"/>
      <c r="X545" s="776">
        <v>0</v>
      </c>
      <c r="Y545" s="780">
        <f t="shared" si="374"/>
        <v>11854.6875</v>
      </c>
      <c r="Z545" s="769" t="s">
        <v>1565</v>
      </c>
      <c r="AA545" s="769"/>
      <c r="AC545" s="781">
        <f t="shared" si="373"/>
        <v>0</v>
      </c>
      <c r="AD545" s="781" t="s">
        <v>740</v>
      </c>
      <c r="AE545" s="781"/>
      <c r="AF545" s="781"/>
      <c r="AG545" s="781"/>
      <c r="AH545" s="781"/>
      <c r="AI545" s="781">
        <f t="shared" si="368"/>
        <v>0</v>
      </c>
      <c r="AJ545" s="781"/>
      <c r="AK545" s="782"/>
      <c r="AL545" s="781">
        <f t="shared" si="369"/>
        <v>0</v>
      </c>
      <c r="AM545" s="781"/>
      <c r="AN545" s="781"/>
      <c r="AO545" s="781">
        <f t="shared" si="370"/>
        <v>0</v>
      </c>
      <c r="AP545" s="781"/>
      <c r="AQ545" s="781"/>
      <c r="AR545" s="781"/>
      <c r="AS545" s="781"/>
      <c r="AT545" s="781">
        <f t="shared" si="366"/>
        <v>0</v>
      </c>
    </row>
    <row r="546" spans="1:46" ht="38.25" x14ac:dyDescent="0.25">
      <c r="A546" s="769" t="s">
        <v>1580</v>
      </c>
      <c r="B546" s="768" t="s">
        <v>732</v>
      </c>
      <c r="C546" s="770">
        <f>SUMIF($I$6:$I$517,B580,$L$6:$L$517)</f>
        <v>0</v>
      </c>
      <c r="D546" s="768" t="s">
        <v>740</v>
      </c>
      <c r="E546" s="2223">
        <f>80*100-$G$1</f>
        <v>7360</v>
      </c>
      <c r="F546" s="1931"/>
      <c r="G546" s="771"/>
      <c r="H546" s="771"/>
      <c r="I546" s="772"/>
      <c r="J546" s="773"/>
      <c r="K546" s="768" t="s">
        <v>39</v>
      </c>
      <c r="L546" s="768" t="s">
        <v>39</v>
      </c>
      <c r="M546" s="768"/>
      <c r="N546" s="768"/>
      <c r="O546" s="768" t="s">
        <v>39</v>
      </c>
      <c r="P546" s="2079" t="s">
        <v>74</v>
      </c>
      <c r="Q546" s="775"/>
      <c r="R546" s="775"/>
      <c r="S546" s="776">
        <f t="shared" si="375"/>
        <v>10340.800000000001</v>
      </c>
      <c r="T546" s="777">
        <f t="shared" si="376"/>
        <v>0.5</v>
      </c>
      <c r="U546" s="778">
        <f t="shared" si="367"/>
        <v>5170.4000000000005</v>
      </c>
      <c r="V546" s="772"/>
      <c r="W546" s="779"/>
      <c r="X546" s="776">
        <v>0</v>
      </c>
      <c r="Y546" s="780">
        <f t="shared" si="374"/>
        <v>15511.2</v>
      </c>
      <c r="Z546" s="769" t="s">
        <v>1567</v>
      </c>
      <c r="AA546" s="769"/>
      <c r="AC546" s="781">
        <f t="shared" si="373"/>
        <v>0</v>
      </c>
      <c r="AD546" s="781" t="s">
        <v>740</v>
      </c>
      <c r="AE546" s="781"/>
      <c r="AF546" s="781"/>
      <c r="AG546" s="781"/>
      <c r="AH546" s="781"/>
      <c r="AI546" s="781">
        <f t="shared" si="368"/>
        <v>0</v>
      </c>
      <c r="AJ546" s="781"/>
      <c r="AK546" s="782"/>
      <c r="AL546" s="781">
        <f t="shared" si="369"/>
        <v>0</v>
      </c>
      <c r="AM546" s="781"/>
      <c r="AN546" s="781"/>
      <c r="AO546" s="781">
        <f t="shared" si="370"/>
        <v>0</v>
      </c>
      <c r="AP546" s="781"/>
      <c r="AQ546" s="781"/>
      <c r="AR546" s="781"/>
      <c r="AS546" s="781"/>
      <c r="AT546" s="781">
        <f t="shared" si="366"/>
        <v>0</v>
      </c>
    </row>
    <row r="547" spans="1:46" ht="102" x14ac:dyDescent="0.25">
      <c r="A547" s="769" t="s">
        <v>1581</v>
      </c>
      <c r="B547" s="768" t="s">
        <v>732</v>
      </c>
      <c r="C547" s="770">
        <f>SUMIF($I$6:$I$517,B582,$L$6:$L$517)+SUMIF($I$6:$I$517,B586,$L$6:$L$517)+SUMIF($I$6:$I$517,B584,$L$6:$L$517)+SUMIF($I$6:$I$517,B581,$L$6:$L$517)</f>
        <v>0</v>
      </c>
      <c r="D547" s="768" t="s">
        <v>740</v>
      </c>
      <c r="E547" s="2223">
        <f>100*100-$G$1</f>
        <v>9360</v>
      </c>
      <c r="F547" s="1931"/>
      <c r="G547" s="771"/>
      <c r="H547" s="771"/>
      <c r="I547" s="772"/>
      <c r="J547" s="773"/>
      <c r="K547" s="768" t="s">
        <v>39</v>
      </c>
      <c r="L547" s="768" t="s">
        <v>39</v>
      </c>
      <c r="M547" s="768"/>
      <c r="N547" s="768"/>
      <c r="O547" s="768" t="s">
        <v>39</v>
      </c>
      <c r="P547" s="2079" t="s">
        <v>74</v>
      </c>
      <c r="Q547" s="775"/>
      <c r="R547" s="775"/>
      <c r="S547" s="776">
        <f t="shared" si="375"/>
        <v>13150.800000000001</v>
      </c>
      <c r="T547" s="777">
        <f t="shared" si="376"/>
        <v>0.5</v>
      </c>
      <c r="U547" s="778">
        <f t="shared" si="367"/>
        <v>6575.4000000000005</v>
      </c>
      <c r="V547" s="772"/>
      <c r="W547" s="779"/>
      <c r="X547" s="776">
        <v>0</v>
      </c>
      <c r="Y547" s="780">
        <f t="shared" si="374"/>
        <v>19726.2</v>
      </c>
      <c r="Z547" s="769" t="s">
        <v>1569</v>
      </c>
      <c r="AA547" s="769"/>
      <c r="AC547" s="781">
        <f t="shared" si="373"/>
        <v>0</v>
      </c>
      <c r="AD547" s="781" t="s">
        <v>740</v>
      </c>
      <c r="AE547" s="781"/>
      <c r="AF547" s="781"/>
      <c r="AG547" s="781"/>
      <c r="AH547" s="781"/>
      <c r="AI547" s="781">
        <f t="shared" si="368"/>
        <v>0</v>
      </c>
      <c r="AJ547" s="781"/>
      <c r="AK547" s="782"/>
      <c r="AL547" s="781">
        <f t="shared" si="369"/>
        <v>0</v>
      </c>
      <c r="AM547" s="781"/>
      <c r="AN547" s="781"/>
      <c r="AO547" s="781">
        <f t="shared" si="370"/>
        <v>0</v>
      </c>
      <c r="AP547" s="781"/>
      <c r="AQ547" s="781"/>
      <c r="AR547" s="781"/>
      <c r="AS547" s="781"/>
      <c r="AT547" s="781">
        <f t="shared" si="366"/>
        <v>0</v>
      </c>
    </row>
    <row r="548" spans="1:46" x14ac:dyDescent="0.25">
      <c r="A548" s="769" t="s">
        <v>1582</v>
      </c>
      <c r="B548" s="768" t="s">
        <v>740</v>
      </c>
      <c r="C548" s="770">
        <f>SUMIF($I$6:$I$517,B579,$L$6:$L$517)</f>
        <v>0</v>
      </c>
      <c r="D548" s="768" t="s">
        <v>740</v>
      </c>
      <c r="E548" s="2223">
        <f>75*150-$G$1</f>
        <v>10610</v>
      </c>
      <c r="F548" s="1931"/>
      <c r="G548" s="771"/>
      <c r="H548" s="771"/>
      <c r="I548" s="772"/>
      <c r="J548" s="773"/>
      <c r="K548" s="768" t="s">
        <v>39</v>
      </c>
      <c r="L548" s="768" t="s">
        <v>39</v>
      </c>
      <c r="M548" s="768"/>
      <c r="N548" s="768"/>
      <c r="O548" s="768" t="s">
        <v>39</v>
      </c>
      <c r="P548" s="2079" t="s">
        <v>74</v>
      </c>
      <c r="Q548" s="775"/>
      <c r="R548" s="775"/>
      <c r="S548" s="776">
        <f t="shared" si="375"/>
        <v>14907.050000000001</v>
      </c>
      <c r="T548" s="777">
        <f t="shared" si="376"/>
        <v>0.5</v>
      </c>
      <c r="U548" s="778">
        <f t="shared" si="367"/>
        <v>7453.5250000000005</v>
      </c>
      <c r="V548" s="772">
        <v>0</v>
      </c>
      <c r="W548" s="779"/>
      <c r="X548" s="776">
        <v>0</v>
      </c>
      <c r="Y548" s="780">
        <f t="shared" si="374"/>
        <v>22360.575000000001</v>
      </c>
      <c r="Z548" s="769" t="s">
        <v>1571</v>
      </c>
      <c r="AA548" s="769"/>
      <c r="AC548" s="781">
        <f t="shared" si="373"/>
        <v>0</v>
      </c>
      <c r="AD548" s="781" t="s">
        <v>740</v>
      </c>
      <c r="AE548" s="781"/>
      <c r="AF548" s="781"/>
      <c r="AG548" s="781"/>
      <c r="AH548" s="781"/>
      <c r="AI548" s="781">
        <f t="shared" si="368"/>
        <v>0</v>
      </c>
      <c r="AJ548" s="781"/>
      <c r="AK548" s="782"/>
      <c r="AL548" s="781">
        <f t="shared" si="369"/>
        <v>0</v>
      </c>
      <c r="AM548" s="781"/>
      <c r="AN548" s="781"/>
      <c r="AO548" s="781">
        <f t="shared" si="370"/>
        <v>0</v>
      </c>
      <c r="AP548" s="781"/>
      <c r="AQ548" s="781"/>
      <c r="AR548" s="781"/>
      <c r="AS548" s="781"/>
      <c r="AT548" s="781">
        <f t="shared" si="366"/>
        <v>0</v>
      </c>
    </row>
    <row r="549" spans="1:46" ht="76.5" x14ac:dyDescent="0.25">
      <c r="A549" s="769" t="s">
        <v>1583</v>
      </c>
      <c r="B549" s="768" t="s">
        <v>732</v>
      </c>
      <c r="C549" s="770">
        <f>SUMIF($I$6:$I$517,B583,$L$6:$L$517)+SUMIF($I$6:$I$517,B588,$L$6:$L$517)+SUMIF($I$6:$I$517,B585,$L$6:$L$517)</f>
        <v>0</v>
      </c>
      <c r="D549" s="768" t="s">
        <v>740</v>
      </c>
      <c r="E549" s="2223">
        <f>100*120-$G$1</f>
        <v>11360</v>
      </c>
      <c r="F549" s="1931"/>
      <c r="G549" s="771"/>
      <c r="H549" s="771"/>
      <c r="I549" s="772"/>
      <c r="J549" s="773"/>
      <c r="K549" s="768" t="s">
        <v>39</v>
      </c>
      <c r="L549" s="768" t="s">
        <v>39</v>
      </c>
      <c r="M549" s="768"/>
      <c r="N549" s="768"/>
      <c r="O549" s="768" t="s">
        <v>39</v>
      </c>
      <c r="P549" s="2079" t="s">
        <v>74</v>
      </c>
      <c r="Q549" s="775"/>
      <c r="R549" s="775"/>
      <c r="S549" s="776">
        <f t="shared" si="375"/>
        <v>15960.800000000001</v>
      </c>
      <c r="T549" s="777">
        <f t="shared" si="376"/>
        <v>0.5</v>
      </c>
      <c r="U549" s="778">
        <f t="shared" si="367"/>
        <v>7980.4000000000005</v>
      </c>
      <c r="V549" s="772"/>
      <c r="W549" s="779"/>
      <c r="X549" s="776">
        <v>0</v>
      </c>
      <c r="Y549" s="780">
        <f t="shared" si="374"/>
        <v>23941.200000000001</v>
      </c>
      <c r="Z549" s="769" t="s">
        <v>1573</v>
      </c>
      <c r="AA549" s="769"/>
      <c r="AC549" s="781">
        <f>+C549*E549</f>
        <v>0</v>
      </c>
      <c r="AD549" s="781" t="s">
        <v>740</v>
      </c>
      <c r="AE549" s="781"/>
      <c r="AF549" s="781"/>
      <c r="AG549" s="781"/>
      <c r="AH549" s="781"/>
      <c r="AI549" s="781">
        <f t="shared" si="368"/>
        <v>0</v>
      </c>
      <c r="AJ549" s="781"/>
      <c r="AK549" s="782"/>
      <c r="AL549" s="781">
        <f t="shared" si="369"/>
        <v>0</v>
      </c>
      <c r="AM549" s="781"/>
      <c r="AN549" s="781"/>
      <c r="AO549" s="781">
        <f t="shared" si="370"/>
        <v>0</v>
      </c>
      <c r="AP549" s="781"/>
      <c r="AQ549" s="781"/>
      <c r="AR549" s="781"/>
      <c r="AS549" s="781"/>
      <c r="AT549" s="781">
        <f t="shared" si="366"/>
        <v>0</v>
      </c>
    </row>
    <row r="550" spans="1:46" ht="25.5" x14ac:dyDescent="0.25">
      <c r="A550" s="769" t="s">
        <v>1584</v>
      </c>
      <c r="B550" s="768" t="s">
        <v>732</v>
      </c>
      <c r="C550" s="770">
        <f>SUMIF($I$6:$I$517,B589,$L$6:$L$517)</f>
        <v>0</v>
      </c>
      <c r="D550" s="768" t="s">
        <v>740</v>
      </c>
      <c r="E550" s="2223">
        <f>100*150-$G$1</f>
        <v>14360</v>
      </c>
      <c r="F550" s="1931"/>
      <c r="G550" s="771"/>
      <c r="H550" s="771"/>
      <c r="I550" s="772"/>
      <c r="J550" s="773"/>
      <c r="K550" s="768" t="s">
        <v>39</v>
      </c>
      <c r="L550" s="768" t="s">
        <v>39</v>
      </c>
      <c r="M550" s="768"/>
      <c r="N550" s="768"/>
      <c r="O550" s="768" t="s">
        <v>39</v>
      </c>
      <c r="P550" s="2079" t="s">
        <v>74</v>
      </c>
      <c r="Q550" s="775"/>
      <c r="R550" s="775"/>
      <c r="S550" s="776">
        <f t="shared" si="375"/>
        <v>20175.8</v>
      </c>
      <c r="T550" s="777">
        <f t="shared" si="376"/>
        <v>0.5</v>
      </c>
      <c r="U550" s="778">
        <f>T550*S550</f>
        <v>10087.9</v>
      </c>
      <c r="V550" s="772"/>
      <c r="W550" s="779"/>
      <c r="X550" s="776">
        <v>0</v>
      </c>
      <c r="Y550" s="780">
        <f>S550+U550+V550+X550</f>
        <v>30263.699999999997</v>
      </c>
      <c r="Z550" s="769" t="s">
        <v>1575</v>
      </c>
      <c r="AA550" s="769"/>
      <c r="AC550" s="781">
        <f t="shared" si="373"/>
        <v>0</v>
      </c>
      <c r="AD550" s="781" t="s">
        <v>740</v>
      </c>
      <c r="AE550" s="781"/>
      <c r="AF550" s="781"/>
      <c r="AG550" s="781"/>
      <c r="AH550" s="781"/>
      <c r="AI550" s="781">
        <f t="shared" si="368"/>
        <v>0</v>
      </c>
      <c r="AJ550" s="781"/>
      <c r="AK550" s="782"/>
      <c r="AL550" s="781">
        <f t="shared" si="369"/>
        <v>0</v>
      </c>
      <c r="AM550" s="781"/>
      <c r="AN550" s="781"/>
      <c r="AO550" s="781">
        <f t="shared" si="370"/>
        <v>0</v>
      </c>
      <c r="AP550" s="781"/>
      <c r="AQ550" s="781"/>
      <c r="AR550" s="781"/>
      <c r="AS550" s="781"/>
      <c r="AT550" s="781">
        <f>SUM(AE550:AS550)</f>
        <v>0</v>
      </c>
    </row>
    <row r="551" spans="1:46" ht="25.5" x14ac:dyDescent="0.25">
      <c r="A551" s="769" t="s">
        <v>1585</v>
      </c>
      <c r="B551" s="768" t="s">
        <v>732</v>
      </c>
      <c r="C551" s="770">
        <f>SUMIF($I$6:$I$517,B587,$L$6:$L$517)</f>
        <v>0</v>
      </c>
      <c r="D551" s="768" t="s">
        <v>740</v>
      </c>
      <c r="E551" s="2223">
        <f>150*150-$G$1</f>
        <v>21860</v>
      </c>
      <c r="F551" s="1931"/>
      <c r="G551" s="771"/>
      <c r="H551" s="771"/>
      <c r="I551" s="772"/>
      <c r="J551" s="773"/>
      <c r="K551" s="768" t="s">
        <v>39</v>
      </c>
      <c r="L551" s="768" t="s">
        <v>39</v>
      </c>
      <c r="M551" s="768"/>
      <c r="N551" s="768"/>
      <c r="O551" s="768" t="s">
        <v>39</v>
      </c>
      <c r="P551" s="2079" t="s">
        <v>74</v>
      </c>
      <c r="Q551" s="775"/>
      <c r="R551" s="775"/>
      <c r="S551" s="776">
        <f t="shared" si="375"/>
        <v>30713.3</v>
      </c>
      <c r="T551" s="777">
        <f t="shared" si="376"/>
        <v>0.5</v>
      </c>
      <c r="U551" s="778">
        <f t="shared" si="367"/>
        <v>15356.65</v>
      </c>
      <c r="V551" s="772"/>
      <c r="W551" s="779"/>
      <c r="X551" s="776">
        <v>0</v>
      </c>
      <c r="Y551" s="780">
        <f t="shared" si="374"/>
        <v>46069.95</v>
      </c>
      <c r="Z551" s="769" t="s">
        <v>1577</v>
      </c>
      <c r="AA551" s="769"/>
      <c r="AC551" s="781">
        <f t="shared" si="373"/>
        <v>0</v>
      </c>
      <c r="AD551" s="781" t="s">
        <v>740</v>
      </c>
      <c r="AE551" s="781"/>
      <c r="AF551" s="781"/>
      <c r="AG551" s="781"/>
      <c r="AH551" s="781"/>
      <c r="AI551" s="781">
        <f t="shared" si="368"/>
        <v>0</v>
      </c>
      <c r="AJ551" s="781"/>
      <c r="AK551" s="782"/>
      <c r="AL551" s="781">
        <f t="shared" si="369"/>
        <v>0</v>
      </c>
      <c r="AM551" s="781"/>
      <c r="AN551" s="781"/>
      <c r="AO551" s="781">
        <f t="shared" si="370"/>
        <v>0</v>
      </c>
      <c r="AP551" s="781"/>
      <c r="AQ551" s="781"/>
      <c r="AR551" s="781"/>
      <c r="AS551" s="781"/>
      <c r="AT551" s="781">
        <f t="shared" si="366"/>
        <v>0</v>
      </c>
    </row>
    <row r="552" spans="1:46" ht="38.25" x14ac:dyDescent="0.25">
      <c r="A552" s="1928" t="s">
        <v>1586</v>
      </c>
      <c r="B552" s="1929" t="s">
        <v>740</v>
      </c>
      <c r="C552" s="1930">
        <f>SUMIF($I$6:$I$517,I28,$L$6:$L$517)</f>
        <v>0</v>
      </c>
      <c r="D552" s="1929"/>
      <c r="E552" s="1930"/>
      <c r="F552" s="1931"/>
      <c r="G552" s="1932"/>
      <c r="H552" s="1932"/>
      <c r="I552" s="1933"/>
      <c r="J552" s="1934"/>
      <c r="K552" s="1929" t="s">
        <v>39</v>
      </c>
      <c r="L552" s="1929" t="s">
        <v>39</v>
      </c>
      <c r="M552" s="1929"/>
      <c r="N552" s="1929"/>
      <c r="O552" s="1929" t="s">
        <v>39</v>
      </c>
      <c r="P552" s="2080" t="s">
        <v>74</v>
      </c>
      <c r="Q552" s="1935"/>
      <c r="R552" s="1935"/>
      <c r="S552" s="1936">
        <v>1.405</v>
      </c>
      <c r="T552" s="1937">
        <v>0.5</v>
      </c>
      <c r="U552" s="1938">
        <f>(T552*S552)</f>
        <v>0.70250000000000001</v>
      </c>
      <c r="V552" s="1933">
        <f>0.0414*E552</f>
        <v>0</v>
      </c>
      <c r="W552" s="1939"/>
      <c r="X552" s="1940"/>
      <c r="Y552" s="1941">
        <f t="shared" si="374"/>
        <v>2.1074999999999999</v>
      </c>
      <c r="Z552" s="1928" t="s">
        <v>1587</v>
      </c>
      <c r="AA552" s="769"/>
      <c r="AC552" s="781"/>
      <c r="AD552" s="781"/>
      <c r="AE552" s="781"/>
      <c r="AF552" s="781"/>
      <c r="AG552" s="781"/>
      <c r="AH552" s="781"/>
      <c r="AI552" s="781">
        <f t="shared" si="368"/>
        <v>0</v>
      </c>
      <c r="AJ552" s="781"/>
      <c r="AK552" s="782"/>
      <c r="AL552" s="781">
        <f t="shared" si="369"/>
        <v>0</v>
      </c>
      <c r="AM552" s="781"/>
      <c r="AN552" s="781"/>
      <c r="AO552" s="781">
        <f t="shared" si="370"/>
        <v>0</v>
      </c>
      <c r="AP552" s="781"/>
      <c r="AQ552" s="781"/>
      <c r="AR552" s="781"/>
      <c r="AS552" s="781"/>
      <c r="AT552" s="781">
        <f t="shared" si="366"/>
        <v>0</v>
      </c>
    </row>
    <row r="553" spans="1:46" ht="38.25" x14ac:dyDescent="0.25">
      <c r="A553" s="1928" t="s">
        <v>1588</v>
      </c>
      <c r="B553" s="1928" t="s">
        <v>2793</v>
      </c>
      <c r="C553" s="2239">
        <f>SUMIF($S$6:$S$517,S10,$T$6:$T$517)</f>
        <v>0</v>
      </c>
      <c r="D553" s="1930"/>
      <c r="E553" s="1930"/>
      <c r="F553" s="1931"/>
      <c r="G553" s="1932"/>
      <c r="H553" s="1932"/>
      <c r="I553" s="1933"/>
      <c r="J553" s="1934"/>
      <c r="K553" s="1929" t="s">
        <v>39</v>
      </c>
      <c r="L553" s="1929" t="s">
        <v>39</v>
      </c>
      <c r="M553" s="1929"/>
      <c r="N553" s="1929"/>
      <c r="O553" s="1929" t="s">
        <v>39</v>
      </c>
      <c r="P553" s="2080" t="s">
        <v>74</v>
      </c>
      <c r="Q553" s="1935"/>
      <c r="R553" s="1935"/>
      <c r="S553" s="1940">
        <v>0</v>
      </c>
      <c r="T553" s="1937"/>
      <c r="U553" s="2462">
        <f>1.2/(4*16)</f>
        <v>1.8749999999999999E-2</v>
      </c>
      <c r="V553" s="1933">
        <f>0.0414*E553</f>
        <v>0</v>
      </c>
      <c r="W553" s="1939"/>
      <c r="X553" s="1940"/>
      <c r="Y553" s="1941">
        <f>S553+U553+V553+X553</f>
        <v>1.8749999999999999E-2</v>
      </c>
      <c r="Z553" s="1928" t="s">
        <v>2792</v>
      </c>
      <c r="AA553" s="769"/>
      <c r="AC553" s="781"/>
      <c r="AD553" s="781"/>
      <c r="AE553" s="781"/>
      <c r="AF553" s="781"/>
      <c r="AG553" s="781"/>
      <c r="AH553" s="781"/>
      <c r="AI553" s="781">
        <f t="shared" si="368"/>
        <v>0</v>
      </c>
      <c r="AJ553" s="781"/>
      <c r="AK553" s="782"/>
      <c r="AL553" s="781">
        <f t="shared" si="369"/>
        <v>0</v>
      </c>
      <c r="AM553" s="781"/>
      <c r="AN553" s="781"/>
      <c r="AO553" s="781">
        <f t="shared" si="370"/>
        <v>0</v>
      </c>
      <c r="AP553" s="781"/>
      <c r="AQ553" s="781"/>
      <c r="AR553" s="781"/>
      <c r="AS553" s="781"/>
      <c r="AT553" s="781">
        <f t="shared" si="366"/>
        <v>0</v>
      </c>
    </row>
    <row r="554" spans="1:46" ht="25.5" x14ac:dyDescent="0.25">
      <c r="A554" s="1928" t="s">
        <v>1589</v>
      </c>
      <c r="B554" s="1930" t="s">
        <v>1554</v>
      </c>
      <c r="C554" s="1927">
        <v>0.5</v>
      </c>
      <c r="D554" s="842"/>
      <c r="E554" s="770"/>
      <c r="F554" s="170"/>
      <c r="G554" s="771"/>
      <c r="H554" s="771"/>
      <c r="I554" s="772"/>
      <c r="J554" s="773"/>
      <c r="K554" s="768"/>
      <c r="L554" s="768"/>
      <c r="M554" s="768"/>
      <c r="N554" s="768"/>
      <c r="O554" s="768"/>
      <c r="P554" s="2080"/>
      <c r="Q554" s="775"/>
      <c r="R554" s="775"/>
      <c r="S554" s="776"/>
      <c r="T554" s="777"/>
      <c r="U554" s="778"/>
      <c r="V554" s="772"/>
      <c r="W554" s="779"/>
      <c r="X554" s="776"/>
      <c r="Y554" s="780"/>
      <c r="Z554" s="1928" t="s">
        <v>1590</v>
      </c>
      <c r="AA554" s="769"/>
      <c r="AC554" s="781"/>
      <c r="AD554" s="781"/>
      <c r="AE554" s="781"/>
      <c r="AF554" s="781"/>
      <c r="AG554" s="781"/>
      <c r="AH554" s="781"/>
      <c r="AI554" s="781">
        <f t="shared" si="368"/>
        <v>0</v>
      </c>
      <c r="AJ554" s="781"/>
      <c r="AK554" s="782"/>
      <c r="AL554" s="781">
        <f t="shared" si="369"/>
        <v>0</v>
      </c>
      <c r="AM554" s="781"/>
      <c r="AN554" s="781"/>
      <c r="AO554" s="781">
        <f t="shared" si="370"/>
        <v>0</v>
      </c>
      <c r="AP554" s="781"/>
      <c r="AQ554" s="781"/>
      <c r="AR554" s="781"/>
      <c r="AS554" s="781"/>
      <c r="AT554" s="781">
        <f t="shared" si="366"/>
        <v>0</v>
      </c>
    </row>
    <row r="555" spans="1:46" ht="25.5" x14ac:dyDescent="0.25">
      <c r="A555" s="1928" t="s">
        <v>1591</v>
      </c>
      <c r="B555" s="1930" t="s">
        <v>1554</v>
      </c>
      <c r="C555" s="1927">
        <v>0.1</v>
      </c>
      <c r="D555" s="842"/>
      <c r="E555" s="770"/>
      <c r="F555" s="170"/>
      <c r="G555" s="771"/>
      <c r="H555" s="771"/>
      <c r="I555" s="772"/>
      <c r="J555" s="773"/>
      <c r="K555" s="768"/>
      <c r="L555" s="768"/>
      <c r="M555" s="768"/>
      <c r="N555" s="768"/>
      <c r="O555" s="768"/>
      <c r="P555" s="2080"/>
      <c r="Q555" s="775"/>
      <c r="R555" s="775"/>
      <c r="S555" s="776"/>
      <c r="T555" s="777"/>
      <c r="U555" s="778"/>
      <c r="V555" s="772"/>
      <c r="W555" s="779"/>
      <c r="X555" s="776"/>
      <c r="Y555" s="780"/>
      <c r="Z555" s="1928" t="s">
        <v>1592</v>
      </c>
      <c r="AA555" s="769"/>
      <c r="AC555" s="781"/>
      <c r="AD555" s="781"/>
      <c r="AE555" s="781"/>
      <c r="AF555" s="781"/>
      <c r="AG555" s="781"/>
      <c r="AH555" s="781"/>
      <c r="AI555" s="781"/>
      <c r="AJ555" s="781"/>
      <c r="AK555" s="782"/>
      <c r="AL555" s="781"/>
      <c r="AM555" s="781"/>
      <c r="AN555" s="781"/>
      <c r="AO555" s="781"/>
      <c r="AP555" s="781"/>
      <c r="AQ555" s="781"/>
      <c r="AR555" s="781"/>
      <c r="AS555" s="781"/>
      <c r="AT555" s="781"/>
    </row>
    <row r="556" spans="1:46" ht="38.25" x14ac:dyDescent="0.25">
      <c r="A556" s="1928" t="s">
        <v>1593</v>
      </c>
      <c r="B556" s="1930" t="s">
        <v>1554</v>
      </c>
      <c r="C556" s="1927">
        <v>0.7</v>
      </c>
      <c r="D556" s="842"/>
      <c r="E556" s="770"/>
      <c r="F556" s="170"/>
      <c r="G556" s="771"/>
      <c r="H556" s="771"/>
      <c r="I556" s="772"/>
      <c r="J556" s="773"/>
      <c r="K556" s="768"/>
      <c r="L556" s="768"/>
      <c r="M556" s="768"/>
      <c r="N556" s="768"/>
      <c r="O556" s="768"/>
      <c r="P556" s="2080"/>
      <c r="Q556" s="775"/>
      <c r="R556" s="775"/>
      <c r="S556" s="776"/>
      <c r="T556" s="777"/>
      <c r="U556" s="778"/>
      <c r="V556" s="772"/>
      <c r="W556" s="779"/>
      <c r="X556" s="776"/>
      <c r="Y556" s="780"/>
      <c r="Z556" s="1928" t="s">
        <v>1594</v>
      </c>
      <c r="AA556" s="769"/>
      <c r="AC556" s="781"/>
      <c r="AD556" s="781"/>
      <c r="AE556" s="781"/>
      <c r="AF556" s="781"/>
      <c r="AG556" s="781"/>
      <c r="AH556" s="781"/>
      <c r="AI556" s="781"/>
      <c r="AJ556" s="781"/>
      <c r="AK556" s="782"/>
      <c r="AL556" s="781"/>
      <c r="AM556" s="781"/>
      <c r="AN556" s="781"/>
      <c r="AO556" s="781"/>
      <c r="AP556" s="781"/>
      <c r="AQ556" s="781"/>
      <c r="AR556" s="781"/>
      <c r="AS556" s="781"/>
      <c r="AT556" s="781"/>
    </row>
    <row r="557" spans="1:46" ht="25.5" x14ac:dyDescent="0.25">
      <c r="A557" s="1928" t="s">
        <v>1595</v>
      </c>
      <c r="B557" s="1930" t="s">
        <v>1554</v>
      </c>
      <c r="C557" s="1927">
        <v>0.03</v>
      </c>
      <c r="D557" s="842"/>
      <c r="E557" s="770"/>
      <c r="F557" s="170"/>
      <c r="G557" s="771"/>
      <c r="H557" s="771"/>
      <c r="I557" s="772"/>
      <c r="J557" s="773"/>
      <c r="K557" s="768"/>
      <c r="L557" s="768"/>
      <c r="M557" s="768"/>
      <c r="N557" s="768"/>
      <c r="O557" s="768"/>
      <c r="P557" s="2080"/>
      <c r="Q557" s="775"/>
      <c r="R557" s="775"/>
      <c r="S557" s="776"/>
      <c r="T557" s="777"/>
      <c r="U557" s="778"/>
      <c r="V557" s="772"/>
      <c r="W557" s="779"/>
      <c r="X557" s="776"/>
      <c r="Y557" s="780"/>
      <c r="Z557" s="1928" t="s">
        <v>1596</v>
      </c>
      <c r="AA557" s="769"/>
      <c r="AC557" s="781"/>
      <c r="AD557" s="781"/>
      <c r="AE557" s="781"/>
      <c r="AF557" s="781"/>
      <c r="AG557" s="781"/>
      <c r="AH557" s="781"/>
      <c r="AI557" s="781"/>
      <c r="AJ557" s="781"/>
      <c r="AK557" s="782"/>
      <c r="AL557" s="781"/>
      <c r="AM557" s="781"/>
      <c r="AN557" s="781"/>
      <c r="AO557" s="781"/>
      <c r="AP557" s="781"/>
      <c r="AQ557" s="781"/>
      <c r="AR557" s="781"/>
      <c r="AS557" s="781"/>
      <c r="AT557" s="781"/>
    </row>
    <row r="558" spans="1:46" ht="38.25" x14ac:dyDescent="0.25">
      <c r="A558" s="1928" t="s">
        <v>1597</v>
      </c>
      <c r="B558" s="1930" t="s">
        <v>1554</v>
      </c>
      <c r="C558" s="1927">
        <v>0.2</v>
      </c>
      <c r="D558" s="842"/>
      <c r="E558" s="770"/>
      <c r="F558" s="170"/>
      <c r="G558" s="771"/>
      <c r="H558" s="771"/>
      <c r="I558" s="772"/>
      <c r="J558" s="773"/>
      <c r="K558" s="768"/>
      <c r="L558" s="768"/>
      <c r="M558" s="768"/>
      <c r="N558" s="768"/>
      <c r="O558" s="768"/>
      <c r="P558" s="2080"/>
      <c r="Q558" s="775"/>
      <c r="R558" s="775"/>
      <c r="S558" s="776"/>
      <c r="T558" s="777"/>
      <c r="U558" s="778"/>
      <c r="V558" s="772"/>
      <c r="W558" s="779"/>
      <c r="X558" s="776"/>
      <c r="Y558" s="780"/>
      <c r="Z558" s="1928" t="s">
        <v>1598</v>
      </c>
      <c r="AA558" s="769"/>
      <c r="AC558" s="781"/>
      <c r="AD558" s="781"/>
      <c r="AE558" s="781"/>
      <c r="AF558" s="781"/>
      <c r="AG558" s="781"/>
      <c r="AH558" s="781"/>
      <c r="AI558" s="781"/>
      <c r="AJ558" s="781"/>
      <c r="AK558" s="782"/>
      <c r="AL558" s="781"/>
      <c r="AM558" s="781"/>
      <c r="AN558" s="781"/>
      <c r="AO558" s="781"/>
      <c r="AP558" s="781"/>
      <c r="AQ558" s="781"/>
      <c r="AR558" s="781"/>
      <c r="AS558" s="781"/>
      <c r="AT558" s="781"/>
    </row>
    <row r="560" spans="1:46" ht="16.5" x14ac:dyDescent="0.35">
      <c r="AT560" s="1942">
        <f>SUM(AT522:AT554)</f>
        <v>0</v>
      </c>
    </row>
    <row r="561" spans="2:6" x14ac:dyDescent="0.25">
      <c r="B561" s="11" t="s">
        <v>1599</v>
      </c>
      <c r="F561" s="11" t="s">
        <v>1600</v>
      </c>
    </row>
    <row r="563" spans="2:6" ht="26.25" x14ac:dyDescent="0.25">
      <c r="B563" s="24" t="s">
        <v>1601</v>
      </c>
      <c r="F563" s="9" t="s">
        <v>1602</v>
      </c>
    </row>
    <row r="564" spans="2:6" ht="30" x14ac:dyDescent="0.25">
      <c r="B564" s="1943" t="s">
        <v>1603</v>
      </c>
      <c r="F564" s="9" t="s">
        <v>1540</v>
      </c>
    </row>
    <row r="565" spans="2:6" x14ac:dyDescent="0.25">
      <c r="B565" s="1943" t="s">
        <v>1604</v>
      </c>
    </row>
    <row r="566" spans="2:6" ht="30" x14ac:dyDescent="0.25">
      <c r="B566" s="1943" t="s">
        <v>1605</v>
      </c>
    </row>
    <row r="567" spans="2:6" ht="30" x14ac:dyDescent="0.25">
      <c r="B567" s="1943" t="s">
        <v>1606</v>
      </c>
    </row>
    <row r="568" spans="2:6" ht="30" x14ac:dyDescent="0.25">
      <c r="B568" s="1943" t="s">
        <v>1607</v>
      </c>
    </row>
    <row r="569" spans="2:6" ht="30" x14ac:dyDescent="0.25">
      <c r="B569" s="1943" t="s">
        <v>1608</v>
      </c>
    </row>
    <row r="570" spans="2:6" ht="30" x14ac:dyDescent="0.25">
      <c r="B570" s="1943" t="s">
        <v>1609</v>
      </c>
    </row>
    <row r="571" spans="2:6" ht="30" x14ac:dyDescent="0.25">
      <c r="B571" s="1943" t="s">
        <v>1610</v>
      </c>
    </row>
    <row r="572" spans="2:6" ht="30" x14ac:dyDescent="0.25">
      <c r="B572" s="1943" t="s">
        <v>1611</v>
      </c>
    </row>
    <row r="573" spans="2:6" ht="30" x14ac:dyDescent="0.25">
      <c r="B573" s="1943" t="s">
        <v>1612</v>
      </c>
    </row>
    <row r="574" spans="2:6" ht="30" x14ac:dyDescent="0.25">
      <c r="B574" s="1943" t="s">
        <v>1613</v>
      </c>
    </row>
    <row r="575" spans="2:6" ht="30" x14ac:dyDescent="0.25">
      <c r="B575" s="1943" t="s">
        <v>1614</v>
      </c>
    </row>
    <row r="576" spans="2:6" ht="30" x14ac:dyDescent="0.25">
      <c r="B576" s="1943" t="s">
        <v>1615</v>
      </c>
    </row>
    <row r="577" spans="2:2" ht="30" x14ac:dyDescent="0.25">
      <c r="B577" s="1943" t="s">
        <v>1616</v>
      </c>
    </row>
    <row r="578" spans="2:2" ht="30" x14ac:dyDescent="0.25">
      <c r="B578" s="1943" t="s">
        <v>1617</v>
      </c>
    </row>
    <row r="579" spans="2:2" ht="30" x14ac:dyDescent="0.25">
      <c r="B579" s="1943" t="s">
        <v>1618</v>
      </c>
    </row>
    <row r="580" spans="2:2" ht="30" x14ac:dyDescent="0.25">
      <c r="B580" s="160" t="s">
        <v>1619</v>
      </c>
    </row>
    <row r="581" spans="2:2" ht="30" x14ac:dyDescent="0.25">
      <c r="B581" s="160" t="s">
        <v>1620</v>
      </c>
    </row>
    <row r="582" spans="2:2" ht="30" x14ac:dyDescent="0.25">
      <c r="B582" s="160" t="s">
        <v>1621</v>
      </c>
    </row>
    <row r="583" spans="2:2" ht="30" x14ac:dyDescent="0.25">
      <c r="B583" s="160" t="s">
        <v>1622</v>
      </c>
    </row>
    <row r="584" spans="2:2" ht="30" x14ac:dyDescent="0.25">
      <c r="B584" s="160" t="s">
        <v>1623</v>
      </c>
    </row>
    <row r="585" spans="2:2" ht="30" x14ac:dyDescent="0.25">
      <c r="B585" s="160" t="s">
        <v>1624</v>
      </c>
    </row>
    <row r="586" spans="2:2" ht="30" x14ac:dyDescent="0.25">
      <c r="B586" s="160" t="s">
        <v>1625</v>
      </c>
    </row>
    <row r="587" spans="2:2" ht="30" x14ac:dyDescent="0.25">
      <c r="B587" s="160" t="s">
        <v>1626</v>
      </c>
    </row>
    <row r="588" spans="2:2" ht="30" x14ac:dyDescent="0.25">
      <c r="B588" s="160" t="s">
        <v>1627</v>
      </c>
    </row>
    <row r="589" spans="2:2" ht="30" x14ac:dyDescent="0.25">
      <c r="B589" s="160" t="s">
        <v>1628</v>
      </c>
    </row>
    <row r="590" spans="2:2" ht="30" x14ac:dyDescent="0.25">
      <c r="B590" s="160" t="s">
        <v>1629</v>
      </c>
    </row>
    <row r="606" spans="2:2" x14ac:dyDescent="0.25">
      <c r="B606" s="1943"/>
    </row>
    <row r="607" spans="2:2" x14ac:dyDescent="0.25">
      <c r="B607" s="1943"/>
    </row>
    <row r="608" spans="2:2" x14ac:dyDescent="0.25">
      <c r="B608" s="1943"/>
    </row>
    <row r="609" spans="2:2" x14ac:dyDescent="0.25">
      <c r="B609" s="1943"/>
    </row>
    <row r="610" spans="2:2" x14ac:dyDescent="0.25">
      <c r="B610" s="1943"/>
    </row>
    <row r="611" spans="2:2" x14ac:dyDescent="0.25">
      <c r="B611" s="1943"/>
    </row>
    <row r="612" spans="2:2" x14ac:dyDescent="0.25">
      <c r="B612" s="1943"/>
    </row>
    <row r="613" spans="2:2" x14ac:dyDescent="0.25">
      <c r="B613" s="1943"/>
    </row>
    <row r="614" spans="2:2" x14ac:dyDescent="0.25">
      <c r="B614" s="1943"/>
    </row>
    <row r="615" spans="2:2" x14ac:dyDescent="0.25">
      <c r="B615" s="1943"/>
    </row>
    <row r="644" spans="26:27" x14ac:dyDescent="0.25">
      <c r="Z644" s="160"/>
      <c r="AA644" s="160"/>
    </row>
    <row r="645" spans="26:27" x14ac:dyDescent="0.25">
      <c r="Z645" s="160"/>
      <c r="AA645" s="160"/>
    </row>
    <row r="646" spans="26:27" x14ac:dyDescent="0.25">
      <c r="Z646" s="160"/>
      <c r="AA646" s="160"/>
    </row>
    <row r="647" spans="26:27" ht="15.75" thickBot="1" x14ac:dyDescent="0.3">
      <c r="Z647" s="160"/>
      <c r="AA647" s="160"/>
    </row>
    <row r="648" spans="26:27" x14ac:dyDescent="0.25">
      <c r="Z648" s="160"/>
      <c r="AA648" s="1944"/>
    </row>
    <row r="649" spans="26:27" x14ac:dyDescent="0.25">
      <c r="Z649" s="160"/>
      <c r="AA649" s="160"/>
    </row>
    <row r="650" spans="26:27" x14ac:dyDescent="0.25">
      <c r="Z650" s="160"/>
      <c r="AA650" s="160"/>
    </row>
    <row r="651" spans="26:27" x14ac:dyDescent="0.25">
      <c r="Z651" s="160"/>
      <c r="AA651" s="160"/>
    </row>
    <row r="652" spans="26:27" x14ac:dyDescent="0.25">
      <c r="Z652" s="160"/>
      <c r="AA652" s="160"/>
    </row>
    <row r="653" spans="26:27" x14ac:dyDescent="0.25">
      <c r="Z653" s="160"/>
    </row>
    <row r="654" spans="26:27" x14ac:dyDescent="0.25">
      <c r="Z654" s="160"/>
    </row>
    <row r="655" spans="26:27" x14ac:dyDescent="0.25">
      <c r="Z655" s="160"/>
    </row>
    <row r="656" spans="26:27" x14ac:dyDescent="0.25">
      <c r="Z656" s="160"/>
    </row>
    <row r="657" spans="26:26" x14ac:dyDescent="0.25">
      <c r="Z657" s="160"/>
    </row>
    <row r="658" spans="26:26" x14ac:dyDescent="0.25">
      <c r="Z658" s="160"/>
    </row>
    <row r="659" spans="26:26" x14ac:dyDescent="0.25">
      <c r="Z659" s="160"/>
    </row>
    <row r="661" spans="26:26" x14ac:dyDescent="0.25">
      <c r="Z661" s="160"/>
    </row>
    <row r="663" spans="26:26" x14ac:dyDescent="0.25">
      <c r="Z663" s="160"/>
    </row>
    <row r="664" spans="26:26" x14ac:dyDescent="0.25">
      <c r="Z664" s="160"/>
    </row>
    <row r="665" spans="26:26" x14ac:dyDescent="0.25">
      <c r="Z665" s="160"/>
    </row>
    <row r="666" spans="26:26" x14ac:dyDescent="0.25">
      <c r="Z666" s="160"/>
    </row>
    <row r="667" spans="26:26" x14ac:dyDescent="0.25">
      <c r="Z667" s="160"/>
    </row>
    <row r="668" spans="26:26" x14ac:dyDescent="0.25">
      <c r="Z668" s="160"/>
    </row>
    <row r="669" spans="26:26" x14ac:dyDescent="0.25">
      <c r="Z669" s="160"/>
    </row>
    <row r="670" spans="26:26" x14ac:dyDescent="0.25">
      <c r="Z670" s="160"/>
    </row>
    <row r="671" spans="26:26" x14ac:dyDescent="0.25">
      <c r="Z671" s="160"/>
    </row>
    <row r="672" spans="26:26" x14ac:dyDescent="0.25">
      <c r="Z672" s="160"/>
    </row>
    <row r="673" spans="26:26" x14ac:dyDescent="0.25">
      <c r="Z673" s="160"/>
    </row>
    <row r="674" spans="26:26" x14ac:dyDescent="0.25">
      <c r="Z674" s="160"/>
    </row>
  </sheetData>
  <sheetProtection algorithmName="SHA-512" hashValue="LLmDc6AvysIvvPni95/szQ6asW3k9lX/ZPYW3e/WwqVnXQJCoffncTnInyZvq2WOWyQWS1GEczXKLlw3qrutFQ==" saltValue="KUJSD1docGiTkS4YN6YdHA==" spinCount="100000" sheet="1" scenarios="1" formatCells="0" formatColumns="0" formatRows="0" autoFilter="0"/>
  <mergeCells count="128">
    <mergeCell ref="U494:U500"/>
    <mergeCell ref="A496:A500"/>
    <mergeCell ref="U502:U508"/>
    <mergeCell ref="A504:A508"/>
    <mergeCell ref="U510:U516"/>
    <mergeCell ref="A512:A516"/>
    <mergeCell ref="U470:U476"/>
    <mergeCell ref="A472:A476"/>
    <mergeCell ref="U478:U484"/>
    <mergeCell ref="A480:A484"/>
    <mergeCell ref="U486:U492"/>
    <mergeCell ref="A488:A492"/>
    <mergeCell ref="U446:U452"/>
    <mergeCell ref="A448:A452"/>
    <mergeCell ref="U454:U460"/>
    <mergeCell ref="A456:A460"/>
    <mergeCell ref="U462:U468"/>
    <mergeCell ref="A464:A468"/>
    <mergeCell ref="U422:U428"/>
    <mergeCell ref="A424:A428"/>
    <mergeCell ref="U430:U436"/>
    <mergeCell ref="A432:A436"/>
    <mergeCell ref="U438:U444"/>
    <mergeCell ref="A440:A444"/>
    <mergeCell ref="U398:U404"/>
    <mergeCell ref="A400:A404"/>
    <mergeCell ref="U406:U412"/>
    <mergeCell ref="A408:A412"/>
    <mergeCell ref="U414:U420"/>
    <mergeCell ref="A416:A420"/>
    <mergeCell ref="U374:U380"/>
    <mergeCell ref="A376:A380"/>
    <mergeCell ref="U382:U388"/>
    <mergeCell ref="A384:A388"/>
    <mergeCell ref="U390:U396"/>
    <mergeCell ref="A392:A396"/>
    <mergeCell ref="U350:U356"/>
    <mergeCell ref="A352:A356"/>
    <mergeCell ref="U358:U364"/>
    <mergeCell ref="A360:A364"/>
    <mergeCell ref="U366:U372"/>
    <mergeCell ref="A368:A372"/>
    <mergeCell ref="U326:U332"/>
    <mergeCell ref="A328:A332"/>
    <mergeCell ref="U334:U340"/>
    <mergeCell ref="A336:A340"/>
    <mergeCell ref="U342:U348"/>
    <mergeCell ref="A344:A348"/>
    <mergeCell ref="U302:U308"/>
    <mergeCell ref="A304:A308"/>
    <mergeCell ref="U310:U316"/>
    <mergeCell ref="A312:A316"/>
    <mergeCell ref="U318:U324"/>
    <mergeCell ref="A320:A324"/>
    <mergeCell ref="U278:U284"/>
    <mergeCell ref="A280:A284"/>
    <mergeCell ref="U286:U292"/>
    <mergeCell ref="A288:A292"/>
    <mergeCell ref="U294:U300"/>
    <mergeCell ref="A296:A300"/>
    <mergeCell ref="U254:U260"/>
    <mergeCell ref="A256:A260"/>
    <mergeCell ref="U262:U268"/>
    <mergeCell ref="A264:A268"/>
    <mergeCell ref="U270:U276"/>
    <mergeCell ref="A272:A276"/>
    <mergeCell ref="U230:U236"/>
    <mergeCell ref="A232:A236"/>
    <mergeCell ref="U238:U244"/>
    <mergeCell ref="A240:A244"/>
    <mergeCell ref="U246:U252"/>
    <mergeCell ref="A248:A252"/>
    <mergeCell ref="U206:U212"/>
    <mergeCell ref="A208:A212"/>
    <mergeCell ref="U214:U220"/>
    <mergeCell ref="A216:A220"/>
    <mergeCell ref="U222:U228"/>
    <mergeCell ref="A224:A228"/>
    <mergeCell ref="U182:U188"/>
    <mergeCell ref="A184:A188"/>
    <mergeCell ref="U190:U196"/>
    <mergeCell ref="A192:A196"/>
    <mergeCell ref="U198:U204"/>
    <mergeCell ref="A200:A204"/>
    <mergeCell ref="U158:U164"/>
    <mergeCell ref="A160:A164"/>
    <mergeCell ref="U166:U172"/>
    <mergeCell ref="A168:A172"/>
    <mergeCell ref="U174:U180"/>
    <mergeCell ref="A176:A180"/>
    <mergeCell ref="U134:U140"/>
    <mergeCell ref="A136:A140"/>
    <mergeCell ref="U142:U148"/>
    <mergeCell ref="A144:A148"/>
    <mergeCell ref="U150:U156"/>
    <mergeCell ref="A152:A156"/>
    <mergeCell ref="U110:U116"/>
    <mergeCell ref="A112:A116"/>
    <mergeCell ref="U118:U124"/>
    <mergeCell ref="A120:A124"/>
    <mergeCell ref="U126:U132"/>
    <mergeCell ref="A128:A132"/>
    <mergeCell ref="U86:U92"/>
    <mergeCell ref="A88:A92"/>
    <mergeCell ref="U94:U100"/>
    <mergeCell ref="A96:A100"/>
    <mergeCell ref="U102:U108"/>
    <mergeCell ref="A104:A108"/>
    <mergeCell ref="U70:U76"/>
    <mergeCell ref="A72:A76"/>
    <mergeCell ref="U78:U84"/>
    <mergeCell ref="A80:A84"/>
    <mergeCell ref="U38:U44"/>
    <mergeCell ref="A40:A44"/>
    <mergeCell ref="U46:U52"/>
    <mergeCell ref="A48:A52"/>
    <mergeCell ref="U54:U60"/>
    <mergeCell ref="A56:A60"/>
    <mergeCell ref="U14:U20"/>
    <mergeCell ref="A16:A20"/>
    <mergeCell ref="U22:U28"/>
    <mergeCell ref="A24:A28"/>
    <mergeCell ref="U30:U36"/>
    <mergeCell ref="A32:A36"/>
    <mergeCell ref="U6:U12"/>
    <mergeCell ref="A8:A12"/>
    <mergeCell ref="U62:U68"/>
    <mergeCell ref="A64:A68"/>
  </mergeCells>
  <dataValidations count="4">
    <dataValidation type="list" allowBlank="1" showInputMessage="1" showErrorMessage="1" sqref="K522:O558" xr:uid="{E68C91D0-6FE8-4A8E-B0F2-2405E1ABC82A}">
      <formula1>"E, Other"</formula1>
    </dataValidation>
    <dataValidation type="list" allowBlank="1" showInputMessage="1" showErrorMessage="1" sqref="I6 I510 I502 I494 I486 I478 I470 I462 I454 I446 I438 I430 I422 I414 I406 I398 I390 I382 I374 I366 I358 I350 I342 I334 I326 I318 I310 I302 I294 I286 I278 I270 I262 I254 I246 I238 I230 I222 I214 I206 I198 I190 I182 I174 I166 I158 I150 I142 I134 I126 I118 I110 I102 I94 I86 I78 I70 I62 I54 I46 I38 I30 I22 I14" xr:uid="{7131C6C8-A5F6-48FF-B682-4652BD9CE08F}">
      <formula1>$B$562:$B$590</formula1>
    </dataValidation>
    <dataValidation type="list" allowBlank="1" showInputMessage="1" showErrorMessage="1" sqref="I7:I11 I511:I515 I503:I507 I495:I499 I487:I491 I479:I483 I471:I475 I463:I467 I455:I459 I447:I451 I439:I443 I431:I435 I423:I427 I415:I419 I407:I411 I399:I403 I391:I395 I383:I387 I375:I379 I367:I371 I359:I363 I351:I355 I343:I347 I335:I339 I327:I331 I319:I323 I311:I315 I303:I307 I295:I299 I287:I291 I279:I283 I271:I275 I263:I267 I255:I259 I247:I251 I239:I243 I231:I235 I223:I227 I215:I219 I207:I211 I199:I203 I191:I195 I183:I187 I175:I179 I167:I171 I159:I163 I151:I155 I143:I147 I135:I139 I127:I131 I119:I123 I111:I115 I103:I107 I95:I99 I87:I91 I79:I83 I71:I75 I63:I67 I55:I59 I47:I51 I39:I43 I31:I35 I23:I27 I15:I19" xr:uid="{54CE2973-5DE9-4BB5-8D06-FE810AFA3004}">
      <formula1>$B$562:$B$615</formula1>
    </dataValidation>
    <dataValidation type="list" allowBlank="1" showInputMessage="1" showErrorMessage="1" sqref="T516 T508 T20 T28 T36 T44 T52 T60 T68 T76 T84 T92 T100 T108 T116 T124 T132 T140 T148 T156 T164 T172 T180 T188 T196 T204 T212 T220 T228 T236 T244 T252 T260 T268 T276 T284 T292 T300 T308 T316 T324 T332 T340 T348 T356 T364 T372 T380 T388 T396 T404 T412 T420 T428 T436 T444 T452 T460 T468 T476 T484 T492 T500 T12" xr:uid="{C5B8A9B9-6658-4186-B1EF-8481FF383C0D}">
      <formula1>$F$562:$F$564</formula1>
    </dataValidation>
  </dataValidations>
  <pageMargins left="0.7" right="0.7" top="0.75" bottom="0.75" header="0.3" footer="0.3"/>
  <pageSetup orientation="portrait" verticalDpi="429496729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7C6E0BB-0C35-4005-977C-3D702FB320FB}">
          <x14:formula1>
            <xm:f>Parameters!$D$311:$D$351</xm:f>
          </x14:formula1>
          <xm:sqref>D522:D558 B554:B558 B522:B552</xm:sqref>
        </x14:dataValidation>
        <x14:dataValidation type="list" allowBlank="1" showInputMessage="1" showErrorMessage="1" xr:uid="{1A2D5178-7F1F-4F23-8FE0-3E01E8D8877B}">
          <x14:formula1>
            <xm:f>'Data Input sheet'!$B$118:$B$179</xm:f>
          </x14:formula1>
          <xm:sqref>P522:P558</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15A10-F97C-4FA7-90DD-C86E13E392D6}">
  <sheetPr codeName="Sheet20">
    <tabColor rgb="FFFFC000"/>
    <pageSetUpPr autoPageBreaks="0" fitToPage="1"/>
  </sheetPr>
  <dimension ref="A1:AX677"/>
  <sheetViews>
    <sheetView showZeros="0" zoomScale="96" zoomScaleNormal="96" workbookViewId="0">
      <pane xSplit="9" ySplit="8" topLeftCell="J9" activePane="bottomRight" state="frozen"/>
      <selection activeCell="H10" sqref="H10"/>
      <selection pane="topRight" activeCell="H10" sqref="H10"/>
      <selection pane="bottomLeft" activeCell="H10" sqref="H10"/>
      <selection pane="bottomRight" activeCell="C9" sqref="C9"/>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30.5703125" customWidth="1"/>
    <col min="8" max="8" width="8.42578125" customWidth="1"/>
    <col min="9" max="9" width="7.5703125" customWidth="1"/>
    <col min="10" max="11" width="8.42578125" customWidth="1"/>
    <col min="12" max="12" width="9.42578125" customWidth="1" outlineLevel="1"/>
    <col min="13" max="16" width="8.42578125" customWidth="1" outlineLevel="1"/>
    <col min="17" max="17" width="8.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3.42578125" customWidth="1" outlineLevel="1"/>
    <col min="24" max="24" width="13" customWidth="1" outlineLevel="1"/>
    <col min="25" max="25" width="13.42578125" customWidth="1" outlineLevel="1"/>
    <col min="26" max="26" width="13.5703125" customWidth="1"/>
    <col min="27" max="27" width="40.5703125" customWidth="1"/>
    <col min="28" max="28" width="40.5703125" hidden="1" customWidth="1" outlineLevel="1"/>
    <col min="29" max="29" width="7.42578125" hidden="1" customWidth="1" outlineLevel="1"/>
    <col min="30" max="31" width="15.5703125" hidden="1" customWidth="1" outlineLevel="1"/>
    <col min="32" max="32" width="15.5703125" customWidth="1" collapsed="1"/>
    <col min="33" max="34" width="15.5703125" hidden="1" customWidth="1" outlineLevel="1"/>
    <col min="35" max="35" width="14" customWidth="1" collapsed="1"/>
    <col min="36" max="37" width="14" hidden="1" customWidth="1" outlineLevel="1"/>
    <col min="38" max="38" width="15.42578125" customWidth="1" collapsed="1"/>
    <col min="39" max="40" width="15.42578125" hidden="1" customWidth="1" outlineLevel="1"/>
    <col min="41" max="41" width="16.42578125" customWidth="1" collapsed="1"/>
    <col min="42" max="43" width="16.42578125" hidden="1" customWidth="1" outlineLevel="1"/>
    <col min="44" max="44" width="14" customWidth="1" collapsed="1"/>
    <col min="45" max="45" width="15.5703125" customWidth="1"/>
    <col min="46" max="46" width="3.5703125" customWidth="1"/>
    <col min="48" max="48" width="11.5703125" customWidth="1"/>
    <col min="49" max="49" width="17.42578125" customWidth="1"/>
    <col min="50" max="50" width="89" customWidth="1"/>
  </cols>
  <sheetData>
    <row r="1" spans="1:50" ht="30" x14ac:dyDescent="0.25">
      <c r="A1" s="170"/>
      <c r="B1" s="719"/>
      <c r="C1" s="170"/>
      <c r="D1" s="170"/>
      <c r="E1" s="170"/>
      <c r="F1" s="170"/>
      <c r="G1" s="2295" t="str">
        <f>+Cover!C5</f>
        <v>Project Title: Battery Storage - Hyde Park</v>
      </c>
      <c r="H1" s="170"/>
      <c r="I1" s="170"/>
      <c r="J1" s="170"/>
      <c r="K1" s="170"/>
      <c r="L1" s="170"/>
      <c r="M1" s="720"/>
      <c r="N1" s="720"/>
      <c r="O1" s="720"/>
      <c r="P1" s="722"/>
      <c r="Q1" s="722"/>
      <c r="R1" s="720"/>
      <c r="S1" s="720"/>
      <c r="T1" s="723"/>
      <c r="U1" s="724"/>
      <c r="V1" s="725"/>
      <c r="W1" s="725"/>
      <c r="X1" s="723"/>
      <c r="Y1" s="723"/>
      <c r="Z1" s="723"/>
      <c r="AA1" s="726"/>
      <c r="AB1" s="726"/>
      <c r="AC1" s="170"/>
      <c r="AD1" s="586"/>
      <c r="AE1" s="586"/>
      <c r="AF1" s="727"/>
      <c r="AG1" s="727"/>
      <c r="AH1" s="727"/>
      <c r="AI1" s="170"/>
      <c r="AJ1" s="170"/>
      <c r="AK1" s="170"/>
      <c r="AL1" s="170"/>
      <c r="AM1" s="170"/>
      <c r="AN1" s="170"/>
      <c r="AO1" s="170"/>
      <c r="AP1" s="170"/>
      <c r="AQ1" s="170"/>
      <c r="AR1" s="170"/>
      <c r="AS1" s="170"/>
      <c r="AT1" s="170"/>
      <c r="AU1" s="170"/>
      <c r="AV1" s="170"/>
      <c r="AW1" s="828"/>
      <c r="AX1" s="726"/>
    </row>
    <row r="2" spans="1:50" ht="15" x14ac:dyDescent="0.25">
      <c r="A2" s="170"/>
      <c r="B2" s="719"/>
      <c r="C2" s="170"/>
      <c r="D2" s="170"/>
      <c r="E2" s="170"/>
      <c r="F2" s="170"/>
      <c r="G2" s="2295" t="str">
        <f>+Cover!C8</f>
        <v>Project Number: 21334</v>
      </c>
      <c r="H2" s="170"/>
      <c r="I2" s="170"/>
      <c r="J2" s="170"/>
      <c r="K2" s="170"/>
      <c r="L2" s="170"/>
      <c r="M2" s="720"/>
      <c r="N2" s="720"/>
      <c r="O2" s="720"/>
      <c r="P2" s="722"/>
      <c r="Q2" s="722"/>
      <c r="R2" s="720"/>
      <c r="S2" s="720"/>
      <c r="T2" s="723"/>
      <c r="U2" s="720"/>
      <c r="V2" s="728"/>
      <c r="W2" s="728"/>
      <c r="X2" s="729"/>
      <c r="Y2" s="729"/>
      <c r="Z2" s="723"/>
      <c r="AA2" s="726"/>
      <c r="AB2" s="726"/>
      <c r="AC2" s="170"/>
      <c r="AD2" s="586"/>
      <c r="AE2" s="586"/>
      <c r="AF2" s="170"/>
      <c r="AG2" s="170"/>
      <c r="AH2" s="170"/>
      <c r="AI2" s="170"/>
      <c r="AJ2" s="170"/>
      <c r="AK2" s="170"/>
      <c r="AL2" s="170"/>
      <c r="AM2" s="170"/>
      <c r="AN2" s="170"/>
      <c r="AO2" s="170"/>
      <c r="AP2" s="170"/>
      <c r="AQ2" s="170"/>
      <c r="AR2" s="170"/>
      <c r="AS2" s="735" t="str" cm="1">
        <f t="array" ref="AS2:AT2">+Cover!R8:S8</f>
        <v>Estimate done by: PAG</v>
      </c>
      <c r="AT2" s="170">
        <v>0</v>
      </c>
      <c r="AU2" s="170"/>
      <c r="AV2" s="170"/>
      <c r="AW2" s="828"/>
      <c r="AX2" s="726"/>
    </row>
    <row r="3" spans="1:50" ht="15" x14ac:dyDescent="0.25">
      <c r="A3" s="170"/>
      <c r="B3" s="719"/>
      <c r="C3" s="170"/>
      <c r="D3" s="170"/>
      <c r="E3" s="170"/>
      <c r="F3" s="170"/>
      <c r="G3" s="2295" t="str">
        <f>+Cover!C9</f>
        <v>WO &amp; Task #: 80089926</v>
      </c>
      <c r="H3" s="170"/>
      <c r="I3" s="170"/>
      <c r="J3" s="170"/>
      <c r="K3" s="170"/>
      <c r="L3" s="170"/>
      <c r="M3" s="730"/>
      <c r="N3" s="730"/>
      <c r="O3" s="730"/>
      <c r="P3" s="731"/>
      <c r="Q3" s="731"/>
      <c r="R3" s="720"/>
      <c r="S3" s="720"/>
      <c r="T3" s="723"/>
      <c r="U3" s="720"/>
      <c r="V3" s="732"/>
      <c r="W3" s="723"/>
      <c r="X3" s="733" t="s">
        <v>552</v>
      </c>
      <c r="Y3" s="734">
        <f>'Data Input sheet'!D185</f>
        <v>2.5375000000000001</v>
      </c>
      <c r="Z3" s="723"/>
      <c r="AA3" s="726"/>
      <c r="AB3" s="726"/>
      <c r="AC3" s="170"/>
      <c r="AD3" s="586"/>
      <c r="AE3" s="586"/>
      <c r="AF3" s="170"/>
      <c r="AG3" s="170"/>
      <c r="AH3" s="170"/>
      <c r="AI3" s="170"/>
      <c r="AJ3" s="170"/>
      <c r="AK3" s="170"/>
      <c r="AL3" s="170"/>
      <c r="AM3" s="170"/>
      <c r="AN3" s="170"/>
      <c r="AO3" s="170"/>
      <c r="AP3" s="170"/>
      <c r="AQ3" s="170"/>
      <c r="AR3" s="170"/>
      <c r="AS3" s="735" t="str">
        <f>+Cover!R6</f>
        <v>Date of Estimate:12/08/2023</v>
      </c>
      <c r="AT3" s="170"/>
      <c r="AU3" s="170"/>
      <c r="AV3" s="170"/>
      <c r="AW3" s="828"/>
      <c r="AX3" s="726"/>
    </row>
    <row r="4" spans="1:50" ht="15.75" customHeight="1" thickBot="1" x14ac:dyDescent="0.3">
      <c r="A4" s="170"/>
      <c r="B4" s="719"/>
      <c r="C4" s="170"/>
      <c r="D4" s="170"/>
      <c r="E4" s="170"/>
      <c r="F4" s="170"/>
      <c r="G4" s="2295" t="str">
        <f>+Cover!R5</f>
        <v>Estimate #: E-23-373</v>
      </c>
      <c r="H4" s="170"/>
      <c r="I4" s="170"/>
      <c r="J4" s="170"/>
      <c r="K4" s="170"/>
      <c r="L4" s="170"/>
      <c r="M4" s="730"/>
      <c r="N4" s="730"/>
      <c r="O4" s="730"/>
      <c r="P4" s="731"/>
      <c r="Q4" s="731"/>
      <c r="R4" s="720"/>
      <c r="S4" s="720"/>
      <c r="T4" s="723"/>
      <c r="U4" s="720"/>
      <c r="V4" s="728"/>
      <c r="W4" s="728"/>
      <c r="X4" s="723"/>
      <c r="Y4" s="723"/>
      <c r="Z4" s="729"/>
      <c r="AA4" s="726"/>
      <c r="AB4" s="726"/>
      <c r="AC4" s="170"/>
      <c r="AD4" s="586"/>
      <c r="AE4" s="586"/>
      <c r="AF4" s="170"/>
      <c r="AG4" s="170"/>
      <c r="AH4" s="170"/>
      <c r="AI4" s="170"/>
      <c r="AJ4" s="170"/>
      <c r="AK4" s="170"/>
      <c r="AL4" s="170"/>
      <c r="AM4" s="170"/>
      <c r="AN4" s="170"/>
      <c r="AO4" s="170"/>
      <c r="AP4" s="170"/>
      <c r="AQ4" s="170"/>
      <c r="AR4" s="170"/>
      <c r="AS4" s="735" t="str">
        <f>+Cover!C10</f>
        <v>Estimate revision #: 00</v>
      </c>
      <c r="AT4" s="170"/>
      <c r="AU4" s="170"/>
      <c r="AV4" s="170"/>
      <c r="AW4" s="828" t="s">
        <v>628</v>
      </c>
      <c r="AX4" s="726"/>
    </row>
    <row r="5" spans="1:50" ht="16.5" thickTop="1" thickBot="1" x14ac:dyDescent="0.3">
      <c r="A5" s="170"/>
      <c r="B5" s="719"/>
      <c r="C5" s="170"/>
      <c r="D5" s="736" t="s">
        <v>553</v>
      </c>
      <c r="E5" s="548"/>
      <c r="F5" s="548"/>
      <c r="G5" s="737"/>
      <c r="H5" s="548"/>
      <c r="I5" s="548"/>
      <c r="J5" s="548"/>
      <c r="K5" s="548"/>
      <c r="L5" s="548"/>
      <c r="M5" s="738"/>
      <c r="N5" s="738"/>
      <c r="O5" s="738"/>
      <c r="P5" s="739"/>
      <c r="Q5" s="739"/>
      <c r="R5" s="740"/>
      <c r="S5" s="740"/>
      <c r="T5" s="741"/>
      <c r="U5" s="742"/>
      <c r="V5" s="743"/>
      <c r="W5" s="743"/>
      <c r="X5" s="741"/>
      <c r="Y5" s="741"/>
      <c r="Z5" s="744"/>
      <c r="AA5" s="745"/>
      <c r="AB5" s="745"/>
      <c r="AC5" s="548"/>
      <c r="AD5" s="746"/>
      <c r="AE5" s="746"/>
      <c r="AF5" s="548"/>
      <c r="AG5" s="548"/>
      <c r="AH5" s="548"/>
      <c r="AI5" s="548"/>
      <c r="AJ5" s="548"/>
      <c r="AK5" s="548"/>
      <c r="AL5" s="548"/>
      <c r="AM5" s="548"/>
      <c r="AN5" s="548"/>
      <c r="AO5" s="548"/>
      <c r="AP5" s="548"/>
      <c r="AQ5" s="548"/>
      <c r="AR5" s="548"/>
      <c r="AS5" s="548"/>
      <c r="AT5" s="747"/>
      <c r="AU5" s="170"/>
      <c r="AV5" s="170"/>
      <c r="AW5" s="829"/>
      <c r="AX5" s="745"/>
    </row>
    <row r="6" spans="1:50" ht="16.5" thickBot="1" x14ac:dyDescent="0.3">
      <c r="A6" s="170"/>
      <c r="B6" s="719"/>
      <c r="C6" s="170"/>
      <c r="D6" s="2014"/>
      <c r="E6" s="2014"/>
      <c r="F6" s="2014"/>
      <c r="G6" s="2014" t="s">
        <v>554</v>
      </c>
      <c r="H6" s="2015"/>
      <c r="I6" s="2015"/>
      <c r="J6" s="2015"/>
      <c r="K6" s="2015"/>
      <c r="L6" s="2015"/>
      <c r="M6" s="2015"/>
      <c r="N6" s="2015"/>
      <c r="O6" s="2015"/>
      <c r="P6" s="2016"/>
      <c r="Q6" s="2016"/>
      <c r="R6" s="2015"/>
      <c r="S6" s="2015"/>
      <c r="T6" s="2015"/>
      <c r="U6" s="2015"/>
      <c r="V6" s="2015"/>
      <c r="W6" s="2015"/>
      <c r="X6" s="2015"/>
      <c r="Y6" s="2017"/>
      <c r="Z6" s="2017"/>
      <c r="AA6" s="2018"/>
      <c r="AB6" s="2019"/>
      <c r="AC6" s="170"/>
      <c r="AD6" s="755" t="s">
        <v>555</v>
      </c>
      <c r="AE6" s="756"/>
      <c r="AF6" s="757"/>
      <c r="AG6" s="757"/>
      <c r="AH6" s="757"/>
      <c r="AI6" s="757"/>
      <c r="AJ6" s="757"/>
      <c r="AK6" s="757"/>
      <c r="AL6" s="757"/>
      <c r="AM6" s="757"/>
      <c r="AN6" s="757"/>
      <c r="AO6" s="757"/>
      <c r="AP6" s="757"/>
      <c r="AQ6" s="757"/>
      <c r="AR6" s="757"/>
      <c r="AS6" s="758"/>
      <c r="AT6" s="759"/>
      <c r="AU6" s="170"/>
      <c r="AV6" s="170"/>
      <c r="AW6" s="754"/>
      <c r="AX6" s="754"/>
    </row>
    <row r="7" spans="1:50" ht="2.85" customHeight="1" thickBot="1" x14ac:dyDescent="0.3">
      <c r="A7" s="170"/>
      <c r="B7" s="719"/>
      <c r="C7" s="170"/>
      <c r="D7" s="2020"/>
      <c r="E7" s="378"/>
      <c r="F7" s="378"/>
      <c r="G7" s="2021"/>
      <c r="H7" s="378"/>
      <c r="I7" s="378"/>
      <c r="J7" s="378"/>
      <c r="K7" s="378"/>
      <c r="L7" s="378"/>
      <c r="M7" s="2022"/>
      <c r="N7" s="2022"/>
      <c r="O7" s="2022"/>
      <c r="P7" s="2023"/>
      <c r="Q7" s="2023"/>
      <c r="R7" s="2022"/>
      <c r="S7" s="2022"/>
      <c r="T7" s="2024"/>
      <c r="U7" s="2025"/>
      <c r="V7" s="2026"/>
      <c r="W7" s="2026"/>
      <c r="X7" s="2024"/>
      <c r="Y7" s="2024"/>
      <c r="Z7" s="2024"/>
      <c r="AA7" s="2027"/>
      <c r="AB7" s="2027"/>
      <c r="AC7" s="170"/>
      <c r="AD7" s="584"/>
      <c r="AE7" s="584"/>
      <c r="AF7" s="376"/>
      <c r="AG7" s="376"/>
      <c r="AH7" s="376"/>
      <c r="AI7" s="376"/>
      <c r="AJ7" s="376"/>
      <c r="AK7" s="376"/>
      <c r="AL7" s="762"/>
      <c r="AM7" s="762"/>
      <c r="AN7" s="762"/>
      <c r="AO7" s="762"/>
      <c r="AP7" s="762"/>
      <c r="AQ7" s="762"/>
      <c r="AR7" s="762"/>
      <c r="AS7" s="762"/>
      <c r="AT7" s="759"/>
      <c r="AU7" s="170"/>
      <c r="AV7" s="170"/>
      <c r="AW7" s="828"/>
      <c r="AX7" s="726"/>
    </row>
    <row r="8" spans="1:50" ht="63" customHeight="1" thickBot="1" x14ac:dyDescent="0.3">
      <c r="A8" s="170"/>
      <c r="B8" s="719"/>
      <c r="C8" s="170"/>
      <c r="D8" s="2028" t="s">
        <v>630</v>
      </c>
      <c r="E8" s="2028" t="s">
        <v>631</v>
      </c>
      <c r="F8" s="2028" t="s">
        <v>632</v>
      </c>
      <c r="G8" s="2014" t="s">
        <v>206</v>
      </c>
      <c r="H8" s="2029" t="s">
        <v>557</v>
      </c>
      <c r="I8" s="2029" t="s">
        <v>556</v>
      </c>
      <c r="J8" s="2014" t="s">
        <v>560</v>
      </c>
      <c r="K8" s="2014" t="s">
        <v>559</v>
      </c>
      <c r="L8" s="2030" t="s">
        <v>561</v>
      </c>
      <c r="M8" s="2030" t="s">
        <v>562</v>
      </c>
      <c r="N8" s="2030" t="s">
        <v>563</v>
      </c>
      <c r="O8" s="2030" t="s">
        <v>564</v>
      </c>
      <c r="P8" s="2030" t="s">
        <v>565</v>
      </c>
      <c r="Q8" s="2030" t="s">
        <v>566</v>
      </c>
      <c r="R8" s="2030" t="s">
        <v>567</v>
      </c>
      <c r="S8" s="2030" t="s">
        <v>568</v>
      </c>
      <c r="T8" s="2030" t="s">
        <v>569</v>
      </c>
      <c r="U8" s="2030" t="s">
        <v>1740</v>
      </c>
      <c r="V8" s="2030" t="s">
        <v>571</v>
      </c>
      <c r="W8" s="2030" t="s">
        <v>572</v>
      </c>
      <c r="X8" s="2030" t="s">
        <v>573</v>
      </c>
      <c r="Y8" s="2030" t="s">
        <v>574</v>
      </c>
      <c r="Z8" s="2030" t="s">
        <v>575</v>
      </c>
      <c r="AA8" s="2030" t="s">
        <v>1</v>
      </c>
      <c r="AB8" s="2031" t="s">
        <v>576</v>
      </c>
      <c r="AC8" s="765"/>
      <c r="AD8" s="766" t="s">
        <v>577</v>
      </c>
      <c r="AE8" s="766" t="s">
        <v>578</v>
      </c>
      <c r="AF8" s="766" t="s">
        <v>558</v>
      </c>
      <c r="AG8" s="766" t="s">
        <v>579</v>
      </c>
      <c r="AH8" s="766" t="s">
        <v>580</v>
      </c>
      <c r="AI8" s="766" t="s">
        <v>581</v>
      </c>
      <c r="AJ8" s="766" t="s">
        <v>582</v>
      </c>
      <c r="AK8" s="766" t="s">
        <v>583</v>
      </c>
      <c r="AL8" s="766" t="s">
        <v>584</v>
      </c>
      <c r="AM8" s="766" t="s">
        <v>585</v>
      </c>
      <c r="AN8" s="766" t="s">
        <v>586</v>
      </c>
      <c r="AO8" s="766" t="s">
        <v>587</v>
      </c>
      <c r="AP8" s="766" t="s">
        <v>588</v>
      </c>
      <c r="AQ8" s="766" t="s">
        <v>589</v>
      </c>
      <c r="AR8" s="766" t="s">
        <v>590</v>
      </c>
      <c r="AS8" s="767" t="s">
        <v>591</v>
      </c>
      <c r="AT8" s="759"/>
      <c r="AU8" s="170"/>
      <c r="AV8" s="170"/>
      <c r="AW8" s="831" t="s">
        <v>634</v>
      </c>
      <c r="AX8" s="764" t="s">
        <v>635</v>
      </c>
    </row>
    <row r="9" spans="1:50" ht="15" x14ac:dyDescent="0.25">
      <c r="A9" s="784"/>
      <c r="B9" s="719">
        <v>1</v>
      </c>
      <c r="C9" s="170" t="str">
        <f t="shared" ref="C9:C72" si="0">+F9&amp;I9</f>
        <v/>
      </c>
      <c r="D9" s="557"/>
      <c r="E9" s="170"/>
      <c r="F9" s="170"/>
      <c r="G9" s="2007"/>
      <c r="H9" s="1926"/>
      <c r="I9" s="2008"/>
      <c r="J9" s="1926"/>
      <c r="K9" s="1926"/>
      <c r="L9" s="170"/>
      <c r="M9" s="2009">
        <v>0</v>
      </c>
      <c r="N9" s="2010">
        <v>1</v>
      </c>
      <c r="O9" s="773">
        <f t="shared" ref="O9:O41" si="1">+M9*N9</f>
        <v>0</v>
      </c>
      <c r="P9" s="2008" t="s">
        <v>39</v>
      </c>
      <c r="Q9" s="2008" t="s">
        <v>39</v>
      </c>
      <c r="R9" s="2011" t="s">
        <v>73</v>
      </c>
      <c r="S9" s="775">
        <f>SUMIF('Data Input sheet'!$B$118:$B$180,R9,'Data Input sheet'!$D$118:$D$180)</f>
        <v>119</v>
      </c>
      <c r="T9" s="2012">
        <f t="shared" ref="T9:T71" si="2">ROUND(O9*S9,0)</f>
        <v>0</v>
      </c>
      <c r="U9" s="2013">
        <v>0</v>
      </c>
      <c r="V9" s="778">
        <f>ROUND(U9*O9,0)</f>
        <v>0</v>
      </c>
      <c r="W9" s="2010"/>
      <c r="X9" s="779"/>
      <c r="Y9" s="2012">
        <v>0</v>
      </c>
      <c r="Z9" s="780">
        <f t="shared" ref="Z9:Z41" si="3">T9+V9+W9+Y9</f>
        <v>0</v>
      </c>
      <c r="AA9" s="2007"/>
      <c r="AB9" s="2007"/>
      <c r="AC9" s="765"/>
      <c r="AD9" s="781">
        <f t="shared" ref="AD9:AD40" si="4">IF(P9="E",+ROUND(H9*O9,0),0)</f>
        <v>0</v>
      </c>
      <c r="AE9" s="781">
        <f t="shared" ref="AE9:AE72" si="5">+AF9-AD9</f>
        <v>0</v>
      </c>
      <c r="AF9" s="781">
        <f t="shared" ref="AF9:AF40" si="6">+H9*O9</f>
        <v>0</v>
      </c>
      <c r="AG9" s="781">
        <f t="shared" ref="AG9:AG40" si="7">IF(P9="E",+ROUND(T9*H9,0),0)</f>
        <v>0</v>
      </c>
      <c r="AH9" s="781">
        <f t="shared" ref="AH9:AH72" si="8">+AI9-AG9</f>
        <v>0</v>
      </c>
      <c r="AI9" s="782">
        <f t="shared" ref="AI9:AI40" si="9">+H9*T9</f>
        <v>0</v>
      </c>
      <c r="AJ9" s="781">
        <f t="shared" ref="AJ9:AJ40" si="10">IF(P9="E",+ROUND(V9*H9,0),0)</f>
        <v>0</v>
      </c>
      <c r="AK9" s="781">
        <f t="shared" ref="AK9:AK72" si="11">+AL9-AJ9</f>
        <v>0</v>
      </c>
      <c r="AL9" s="781">
        <f t="shared" ref="AL9:AL40" si="12">ROUND(V9*H9,0)</f>
        <v>0</v>
      </c>
      <c r="AM9" s="781">
        <f t="shared" ref="AM9:AM40" si="13">IF(Q9="E",+ROUND(W9*H9,0),0)</f>
        <v>0</v>
      </c>
      <c r="AN9" s="781">
        <f t="shared" ref="AN9:AN72" si="14">+AO9-AM9</f>
        <v>0</v>
      </c>
      <c r="AO9" s="781">
        <f t="shared" ref="AO9:AO40" si="15">ROUND(W9*H9,0)</f>
        <v>0</v>
      </c>
      <c r="AP9" s="781">
        <f t="shared" ref="AP9:AP40" si="16">IF(P9="E",+ROUND(Y9*H9,0),0)</f>
        <v>0</v>
      </c>
      <c r="AQ9" s="781">
        <f t="shared" ref="AQ9:AQ72" si="17">+AR9-AP9</f>
        <v>0</v>
      </c>
      <c r="AR9" s="781">
        <f t="shared" ref="AR9:AR40" si="18">ROUND(Y9*H9,0)</f>
        <v>0</v>
      </c>
      <c r="AS9" s="783">
        <f t="shared" ref="AS9:AS72" si="19">+AR9+AO9+AL9+AI9</f>
        <v>0</v>
      </c>
    </row>
    <row r="10" spans="1:50" ht="15" x14ac:dyDescent="0.25">
      <c r="A10" s="784"/>
      <c r="B10" s="719">
        <f>+B9+1</f>
        <v>2</v>
      </c>
      <c r="C10" s="170" t="str">
        <f t="shared" si="0"/>
        <v/>
      </c>
      <c r="D10" s="557"/>
      <c r="E10" s="170"/>
      <c r="F10" s="170"/>
      <c r="G10" s="2007"/>
      <c r="H10" s="1926"/>
      <c r="I10" s="2008"/>
      <c r="J10" s="1926"/>
      <c r="K10" s="1926"/>
      <c r="L10" s="170"/>
      <c r="M10" s="2009">
        <v>0</v>
      </c>
      <c r="N10" s="2010">
        <v>1</v>
      </c>
      <c r="O10" s="773">
        <f t="shared" si="1"/>
        <v>0</v>
      </c>
      <c r="P10" s="2008" t="s">
        <v>39</v>
      </c>
      <c r="Q10" s="2008" t="s">
        <v>39</v>
      </c>
      <c r="R10" s="2011" t="s">
        <v>73</v>
      </c>
      <c r="S10" s="775">
        <f>SUMIF('Data Input sheet'!$B$118:$B$180,R10,'Data Input sheet'!$D$118:$D$180)</f>
        <v>119</v>
      </c>
      <c r="T10" s="2012">
        <f t="shared" si="2"/>
        <v>0</v>
      </c>
      <c r="U10" s="2013">
        <v>0</v>
      </c>
      <c r="V10" s="778">
        <f t="shared" ref="V10:V71" si="20">ROUND(U10*O10,0)</f>
        <v>0</v>
      </c>
      <c r="W10" s="2010"/>
      <c r="X10" s="779"/>
      <c r="Y10" s="2012">
        <v>0</v>
      </c>
      <c r="Z10" s="780">
        <f t="shared" si="3"/>
        <v>0</v>
      </c>
      <c r="AA10" s="2007"/>
      <c r="AB10" s="2007"/>
      <c r="AC10" s="765"/>
      <c r="AD10" s="781">
        <f t="shared" si="4"/>
        <v>0</v>
      </c>
      <c r="AE10" s="781">
        <f t="shared" si="5"/>
        <v>0</v>
      </c>
      <c r="AF10" s="781">
        <f t="shared" si="6"/>
        <v>0</v>
      </c>
      <c r="AG10" s="781">
        <f t="shared" si="7"/>
        <v>0</v>
      </c>
      <c r="AH10" s="781">
        <f t="shared" si="8"/>
        <v>0</v>
      </c>
      <c r="AI10" s="782">
        <f t="shared" si="9"/>
        <v>0</v>
      </c>
      <c r="AJ10" s="781">
        <f t="shared" si="10"/>
        <v>0</v>
      </c>
      <c r="AK10" s="781">
        <f t="shared" si="11"/>
        <v>0</v>
      </c>
      <c r="AL10" s="781">
        <f t="shared" si="12"/>
        <v>0</v>
      </c>
      <c r="AM10" s="781">
        <f t="shared" si="13"/>
        <v>0</v>
      </c>
      <c r="AN10" s="781">
        <f t="shared" si="14"/>
        <v>0</v>
      </c>
      <c r="AO10" s="781">
        <f t="shared" si="15"/>
        <v>0</v>
      </c>
      <c r="AP10" s="781">
        <f t="shared" si="16"/>
        <v>0</v>
      </c>
      <c r="AQ10" s="781">
        <f t="shared" si="17"/>
        <v>0</v>
      </c>
      <c r="AR10" s="781">
        <f t="shared" si="18"/>
        <v>0</v>
      </c>
      <c r="AS10" s="783">
        <f t="shared" si="19"/>
        <v>0</v>
      </c>
    </row>
    <row r="11" spans="1:50" ht="15" x14ac:dyDescent="0.25">
      <c r="A11" s="784"/>
      <c r="B11" s="719">
        <f t="shared" ref="B11:B20" si="21">B10+1</f>
        <v>3</v>
      </c>
      <c r="C11" s="170" t="str">
        <f t="shared" si="0"/>
        <v/>
      </c>
      <c r="D11" s="557"/>
      <c r="E11" s="170"/>
      <c r="F11" s="170"/>
      <c r="G11" s="2007"/>
      <c r="H11" s="1926"/>
      <c r="I11" s="2008"/>
      <c r="J11" s="1926"/>
      <c r="K11" s="1926"/>
      <c r="L11" s="170"/>
      <c r="M11" s="2009">
        <v>0</v>
      </c>
      <c r="N11" s="2010">
        <v>1</v>
      </c>
      <c r="O11" s="773">
        <f t="shared" si="1"/>
        <v>0</v>
      </c>
      <c r="P11" s="2008" t="s">
        <v>39</v>
      </c>
      <c r="Q11" s="2008" t="s">
        <v>39</v>
      </c>
      <c r="R11" s="2011" t="s">
        <v>73</v>
      </c>
      <c r="S11" s="775">
        <f>SUMIF('Data Input sheet'!$B$118:$B$180,R11,'Data Input sheet'!$D$118:$D$180)</f>
        <v>119</v>
      </c>
      <c r="T11" s="2012">
        <f t="shared" si="2"/>
        <v>0</v>
      </c>
      <c r="U11" s="2013">
        <v>0</v>
      </c>
      <c r="V11" s="778">
        <f t="shared" si="20"/>
        <v>0</v>
      </c>
      <c r="W11" s="2010"/>
      <c r="X11" s="779"/>
      <c r="Y11" s="2012">
        <v>0</v>
      </c>
      <c r="Z11" s="780">
        <f t="shared" si="3"/>
        <v>0</v>
      </c>
      <c r="AA11" s="2007"/>
      <c r="AB11" s="2007"/>
      <c r="AC11" s="765"/>
      <c r="AD11" s="781">
        <f t="shared" si="4"/>
        <v>0</v>
      </c>
      <c r="AE11" s="781">
        <f t="shared" si="5"/>
        <v>0</v>
      </c>
      <c r="AF11" s="781">
        <f t="shared" si="6"/>
        <v>0</v>
      </c>
      <c r="AG11" s="781">
        <f t="shared" si="7"/>
        <v>0</v>
      </c>
      <c r="AH11" s="781">
        <f t="shared" si="8"/>
        <v>0</v>
      </c>
      <c r="AI11" s="782">
        <f t="shared" si="9"/>
        <v>0</v>
      </c>
      <c r="AJ11" s="781">
        <f t="shared" si="10"/>
        <v>0</v>
      </c>
      <c r="AK11" s="781">
        <f t="shared" si="11"/>
        <v>0</v>
      </c>
      <c r="AL11" s="781">
        <f t="shared" si="12"/>
        <v>0</v>
      </c>
      <c r="AM11" s="781">
        <f t="shared" si="13"/>
        <v>0</v>
      </c>
      <c r="AN11" s="781">
        <f t="shared" si="14"/>
        <v>0</v>
      </c>
      <c r="AO11" s="781">
        <f t="shared" si="15"/>
        <v>0</v>
      </c>
      <c r="AP11" s="781">
        <f t="shared" si="16"/>
        <v>0</v>
      </c>
      <c r="AQ11" s="781">
        <f t="shared" si="17"/>
        <v>0</v>
      </c>
      <c r="AR11" s="781">
        <f t="shared" si="18"/>
        <v>0</v>
      </c>
      <c r="AS11" s="783">
        <f t="shared" si="19"/>
        <v>0</v>
      </c>
    </row>
    <row r="12" spans="1:50" ht="15" x14ac:dyDescent="0.25">
      <c r="A12" s="784"/>
      <c r="B12" s="719">
        <f t="shared" si="21"/>
        <v>4</v>
      </c>
      <c r="C12" s="170" t="str">
        <f t="shared" si="0"/>
        <v>2LF</v>
      </c>
      <c r="D12" s="557"/>
      <c r="E12" s="170"/>
      <c r="F12" s="170">
        <v>2</v>
      </c>
      <c r="G12" s="2007" t="s">
        <v>637</v>
      </c>
      <c r="H12" s="1926"/>
      <c r="I12" s="2008" t="s">
        <v>728</v>
      </c>
      <c r="J12" s="1926"/>
      <c r="K12" s="1926"/>
      <c r="L12" s="170"/>
      <c r="M12" s="2009"/>
      <c r="N12" s="2010">
        <v>1</v>
      </c>
      <c r="O12" s="773">
        <f t="shared" si="1"/>
        <v>0</v>
      </c>
      <c r="P12" s="2008" t="s">
        <v>39</v>
      </c>
      <c r="Q12" s="2008" t="s">
        <v>39</v>
      </c>
      <c r="R12" s="2011" t="s">
        <v>74</v>
      </c>
      <c r="S12" s="775">
        <f>SUMIF('Data Input sheet'!$B$118:$B$180,R12,'Data Input sheet'!$D$118:$D$180)</f>
        <v>152</v>
      </c>
      <c r="T12" s="2012">
        <f t="shared" si="2"/>
        <v>0</v>
      </c>
      <c r="U12" s="2013">
        <v>0</v>
      </c>
      <c r="V12" s="778">
        <f t="shared" si="20"/>
        <v>0</v>
      </c>
      <c r="W12" s="2010"/>
      <c r="X12" s="779"/>
      <c r="Y12" s="2012">
        <v>18.72</v>
      </c>
      <c r="Z12" s="780">
        <f t="shared" si="3"/>
        <v>18.72</v>
      </c>
      <c r="AA12" s="2007"/>
      <c r="AB12" s="2007"/>
      <c r="AC12" s="765"/>
      <c r="AD12" s="781">
        <f t="shared" si="4"/>
        <v>0</v>
      </c>
      <c r="AE12" s="781">
        <f t="shared" si="5"/>
        <v>0</v>
      </c>
      <c r="AF12" s="781">
        <f t="shared" si="6"/>
        <v>0</v>
      </c>
      <c r="AG12" s="781">
        <f t="shared" si="7"/>
        <v>0</v>
      </c>
      <c r="AH12" s="781">
        <f t="shared" si="8"/>
        <v>0</v>
      </c>
      <c r="AI12" s="782">
        <f t="shared" si="9"/>
        <v>0</v>
      </c>
      <c r="AJ12" s="781">
        <f t="shared" si="10"/>
        <v>0</v>
      </c>
      <c r="AK12" s="781">
        <f t="shared" si="11"/>
        <v>0</v>
      </c>
      <c r="AL12" s="781">
        <f t="shared" si="12"/>
        <v>0</v>
      </c>
      <c r="AM12" s="781">
        <f t="shared" si="13"/>
        <v>0</v>
      </c>
      <c r="AN12" s="781">
        <f t="shared" si="14"/>
        <v>0</v>
      </c>
      <c r="AO12" s="781">
        <f t="shared" si="15"/>
        <v>0</v>
      </c>
      <c r="AP12" s="781">
        <f t="shared" si="16"/>
        <v>0</v>
      </c>
      <c r="AQ12" s="781">
        <f t="shared" si="17"/>
        <v>0</v>
      </c>
      <c r="AR12" s="781">
        <f t="shared" si="18"/>
        <v>0</v>
      </c>
      <c r="AS12" s="783">
        <f t="shared" si="19"/>
        <v>0</v>
      </c>
    </row>
    <row r="13" spans="1:50" ht="15" x14ac:dyDescent="0.25">
      <c r="A13" s="784"/>
      <c r="B13" s="719">
        <f t="shared" si="21"/>
        <v>5</v>
      </c>
      <c r="C13" s="170" t="str">
        <f t="shared" si="0"/>
        <v>2LF</v>
      </c>
      <c r="D13" s="557"/>
      <c r="E13" s="170"/>
      <c r="F13" s="170">
        <v>2</v>
      </c>
      <c r="G13" s="2007" t="s">
        <v>743</v>
      </c>
      <c r="H13" s="1926"/>
      <c r="I13" s="2008" t="s">
        <v>728</v>
      </c>
      <c r="J13" s="1926"/>
      <c r="K13" s="1926"/>
      <c r="L13" s="170"/>
      <c r="M13" s="2009"/>
      <c r="N13" s="2010">
        <v>1</v>
      </c>
      <c r="O13" s="773">
        <f t="shared" si="1"/>
        <v>0</v>
      </c>
      <c r="P13" s="2008" t="s">
        <v>39</v>
      </c>
      <c r="Q13" s="2008" t="s">
        <v>39</v>
      </c>
      <c r="R13" s="2011" t="s">
        <v>74</v>
      </c>
      <c r="S13" s="775">
        <f>SUMIF('Data Input sheet'!$B$118:$B$180,R13,'Data Input sheet'!$D$118:$D$180)</f>
        <v>152</v>
      </c>
      <c r="T13" s="2012">
        <f t="shared" si="2"/>
        <v>0</v>
      </c>
      <c r="U13" s="2013">
        <v>0</v>
      </c>
      <c r="V13" s="778">
        <f t="shared" si="20"/>
        <v>0</v>
      </c>
      <c r="W13" s="2010"/>
      <c r="X13" s="779"/>
      <c r="Y13" s="2012">
        <v>3.12</v>
      </c>
      <c r="Z13" s="780">
        <f t="shared" si="3"/>
        <v>3.12</v>
      </c>
      <c r="AA13" s="2007"/>
      <c r="AB13" s="2007"/>
      <c r="AC13" s="765"/>
      <c r="AD13" s="781">
        <f t="shared" si="4"/>
        <v>0</v>
      </c>
      <c r="AE13" s="781">
        <f t="shared" si="5"/>
        <v>0</v>
      </c>
      <c r="AF13" s="781">
        <f t="shared" si="6"/>
        <v>0</v>
      </c>
      <c r="AG13" s="781">
        <f t="shared" si="7"/>
        <v>0</v>
      </c>
      <c r="AH13" s="781">
        <f t="shared" si="8"/>
        <v>0</v>
      </c>
      <c r="AI13" s="782">
        <f t="shared" si="9"/>
        <v>0</v>
      </c>
      <c r="AJ13" s="781">
        <f t="shared" si="10"/>
        <v>0</v>
      </c>
      <c r="AK13" s="781">
        <f t="shared" si="11"/>
        <v>0</v>
      </c>
      <c r="AL13" s="781">
        <f t="shared" si="12"/>
        <v>0</v>
      </c>
      <c r="AM13" s="781">
        <f t="shared" si="13"/>
        <v>0</v>
      </c>
      <c r="AN13" s="781">
        <f t="shared" si="14"/>
        <v>0</v>
      </c>
      <c r="AO13" s="781">
        <f t="shared" si="15"/>
        <v>0</v>
      </c>
      <c r="AP13" s="781">
        <f t="shared" si="16"/>
        <v>0</v>
      </c>
      <c r="AQ13" s="781">
        <f t="shared" si="17"/>
        <v>0</v>
      </c>
      <c r="AR13" s="781">
        <f t="shared" si="18"/>
        <v>0</v>
      </c>
      <c r="AS13" s="783">
        <f t="shared" si="19"/>
        <v>0</v>
      </c>
    </row>
    <row r="14" spans="1:50" ht="15" x14ac:dyDescent="0.25">
      <c r="A14" s="784"/>
      <c r="B14" s="719">
        <f t="shared" si="21"/>
        <v>6</v>
      </c>
      <c r="C14" s="170" t="str">
        <f t="shared" si="0"/>
        <v>2LF</v>
      </c>
      <c r="D14" s="557"/>
      <c r="E14" s="170"/>
      <c r="F14" s="170">
        <v>2</v>
      </c>
      <c r="G14" s="2007" t="s">
        <v>744</v>
      </c>
      <c r="H14" s="1926"/>
      <c r="I14" s="2008" t="s">
        <v>728</v>
      </c>
      <c r="J14" s="1926"/>
      <c r="K14" s="1926"/>
      <c r="L14" s="170"/>
      <c r="M14" s="2009"/>
      <c r="N14" s="2010">
        <v>1</v>
      </c>
      <c r="O14" s="773">
        <f t="shared" si="1"/>
        <v>0</v>
      </c>
      <c r="P14" s="2008" t="s">
        <v>39</v>
      </c>
      <c r="Q14" s="2008" t="s">
        <v>39</v>
      </c>
      <c r="R14" s="2011" t="s">
        <v>74</v>
      </c>
      <c r="S14" s="775">
        <f>SUMIF('Data Input sheet'!$B$118:$B$180,R14,'Data Input sheet'!$D$118:$D$180)</f>
        <v>152</v>
      </c>
      <c r="T14" s="2012">
        <f t="shared" si="2"/>
        <v>0</v>
      </c>
      <c r="U14" s="2013">
        <v>0</v>
      </c>
      <c r="V14" s="778">
        <f t="shared" si="20"/>
        <v>0</v>
      </c>
      <c r="W14" s="2010"/>
      <c r="X14" s="779"/>
      <c r="Y14" s="2012">
        <v>5.2</v>
      </c>
      <c r="Z14" s="780">
        <f t="shared" si="3"/>
        <v>5.2</v>
      </c>
      <c r="AA14" s="2007"/>
      <c r="AB14" s="2007"/>
      <c r="AC14" s="765"/>
      <c r="AD14" s="781">
        <f t="shared" si="4"/>
        <v>0</v>
      </c>
      <c r="AE14" s="781">
        <f t="shared" si="5"/>
        <v>0</v>
      </c>
      <c r="AF14" s="781">
        <f t="shared" si="6"/>
        <v>0</v>
      </c>
      <c r="AG14" s="781">
        <f t="shared" si="7"/>
        <v>0</v>
      </c>
      <c r="AH14" s="781">
        <f t="shared" si="8"/>
        <v>0</v>
      </c>
      <c r="AI14" s="782">
        <f t="shared" si="9"/>
        <v>0</v>
      </c>
      <c r="AJ14" s="781">
        <f t="shared" si="10"/>
        <v>0</v>
      </c>
      <c r="AK14" s="781">
        <f t="shared" si="11"/>
        <v>0</v>
      </c>
      <c r="AL14" s="781">
        <f t="shared" si="12"/>
        <v>0</v>
      </c>
      <c r="AM14" s="781">
        <f t="shared" si="13"/>
        <v>0</v>
      </c>
      <c r="AN14" s="781">
        <f t="shared" si="14"/>
        <v>0</v>
      </c>
      <c r="AO14" s="781">
        <f t="shared" si="15"/>
        <v>0</v>
      </c>
      <c r="AP14" s="781">
        <f t="shared" si="16"/>
        <v>0</v>
      </c>
      <c r="AQ14" s="781">
        <f t="shared" si="17"/>
        <v>0</v>
      </c>
      <c r="AR14" s="781">
        <f t="shared" si="18"/>
        <v>0</v>
      </c>
      <c r="AS14" s="783">
        <f t="shared" si="19"/>
        <v>0</v>
      </c>
    </row>
    <row r="15" spans="1:50" ht="15" x14ac:dyDescent="0.25">
      <c r="A15" s="784"/>
      <c r="B15" s="719">
        <f t="shared" si="21"/>
        <v>7</v>
      </c>
      <c r="C15" s="170" t="str">
        <f t="shared" si="0"/>
        <v>2LF</v>
      </c>
      <c r="D15" s="557"/>
      <c r="E15" s="170"/>
      <c r="F15" s="170">
        <v>2</v>
      </c>
      <c r="G15" s="2007" t="s">
        <v>745</v>
      </c>
      <c r="H15" s="1926"/>
      <c r="I15" s="2008" t="s">
        <v>728</v>
      </c>
      <c r="J15" s="1926"/>
      <c r="K15" s="1926"/>
      <c r="L15" s="170"/>
      <c r="M15" s="2009"/>
      <c r="N15" s="2010">
        <v>1</v>
      </c>
      <c r="O15" s="773">
        <f t="shared" si="1"/>
        <v>0</v>
      </c>
      <c r="P15" s="2008" t="s">
        <v>39</v>
      </c>
      <c r="Q15" s="2008" t="s">
        <v>39</v>
      </c>
      <c r="R15" s="2011" t="s">
        <v>74</v>
      </c>
      <c r="S15" s="775">
        <f>SUMIF('Data Input sheet'!$B$118:$B$180,R15,'Data Input sheet'!$D$118:$D$180)</f>
        <v>152</v>
      </c>
      <c r="T15" s="2012">
        <f>ROUND(O15*S15,0)</f>
        <v>0</v>
      </c>
      <c r="U15" s="2013">
        <v>0</v>
      </c>
      <c r="V15" s="778">
        <f t="shared" si="20"/>
        <v>0</v>
      </c>
      <c r="W15" s="2010"/>
      <c r="X15" s="779"/>
      <c r="Y15" s="2012">
        <v>67.599999999999994</v>
      </c>
      <c r="Z15" s="780">
        <f t="shared" si="3"/>
        <v>67.599999999999994</v>
      </c>
      <c r="AA15" s="2007" t="s">
        <v>746</v>
      </c>
      <c r="AB15" s="2007"/>
      <c r="AC15" s="765"/>
      <c r="AD15" s="781">
        <f t="shared" si="4"/>
        <v>0</v>
      </c>
      <c r="AE15" s="781">
        <f t="shared" si="5"/>
        <v>0</v>
      </c>
      <c r="AF15" s="781">
        <f t="shared" si="6"/>
        <v>0</v>
      </c>
      <c r="AG15" s="781">
        <f t="shared" si="7"/>
        <v>0</v>
      </c>
      <c r="AH15" s="781">
        <f t="shared" si="8"/>
        <v>0</v>
      </c>
      <c r="AI15" s="782">
        <f t="shared" si="9"/>
        <v>0</v>
      </c>
      <c r="AJ15" s="781">
        <f t="shared" si="10"/>
        <v>0</v>
      </c>
      <c r="AK15" s="781">
        <f t="shared" si="11"/>
        <v>0</v>
      </c>
      <c r="AL15" s="781">
        <f t="shared" si="12"/>
        <v>0</v>
      </c>
      <c r="AM15" s="781">
        <f t="shared" si="13"/>
        <v>0</v>
      </c>
      <c r="AN15" s="781">
        <f t="shared" si="14"/>
        <v>0</v>
      </c>
      <c r="AO15" s="781">
        <f t="shared" si="15"/>
        <v>0</v>
      </c>
      <c r="AP15" s="781">
        <f t="shared" si="16"/>
        <v>0</v>
      </c>
      <c r="AQ15" s="781">
        <f t="shared" si="17"/>
        <v>0</v>
      </c>
      <c r="AR15" s="781">
        <f t="shared" si="18"/>
        <v>0</v>
      </c>
      <c r="AS15" s="783">
        <f t="shared" si="19"/>
        <v>0</v>
      </c>
    </row>
    <row r="16" spans="1:50" ht="15" x14ac:dyDescent="0.25">
      <c r="A16" s="784"/>
      <c r="B16" s="719">
        <f t="shared" si="21"/>
        <v>8</v>
      </c>
      <c r="C16" s="170" t="str">
        <f t="shared" si="0"/>
        <v>2LF</v>
      </c>
      <c r="D16" s="557"/>
      <c r="E16" s="170"/>
      <c r="F16" s="170">
        <v>2</v>
      </c>
      <c r="G16" s="2007" t="s">
        <v>747</v>
      </c>
      <c r="H16" s="1926"/>
      <c r="I16" s="2008" t="s">
        <v>728</v>
      </c>
      <c r="J16" s="1926"/>
      <c r="K16" s="1926"/>
      <c r="L16" s="170"/>
      <c r="M16" s="2009">
        <v>0.02</v>
      </c>
      <c r="N16" s="2010">
        <v>1</v>
      </c>
      <c r="O16" s="773">
        <f t="shared" si="1"/>
        <v>0.02</v>
      </c>
      <c r="P16" s="2008" t="s">
        <v>39</v>
      </c>
      <c r="Q16" s="2008" t="s">
        <v>39</v>
      </c>
      <c r="R16" s="2011" t="s">
        <v>74</v>
      </c>
      <c r="S16" s="775">
        <f>SUMIF('Data Input sheet'!$B$118:$B$180,R16,'Data Input sheet'!$D$118:$D$180)</f>
        <v>152</v>
      </c>
      <c r="T16" s="2012">
        <f t="shared" si="2"/>
        <v>3</v>
      </c>
      <c r="U16" s="2013">
        <v>0</v>
      </c>
      <c r="V16" s="778">
        <f t="shared" si="20"/>
        <v>0</v>
      </c>
      <c r="W16" s="2010">
        <v>2.14</v>
      </c>
      <c r="X16" s="779"/>
      <c r="Y16" s="2012"/>
      <c r="Z16" s="780">
        <f t="shared" si="3"/>
        <v>5.1400000000000006</v>
      </c>
      <c r="AA16" s="2007" t="s">
        <v>748</v>
      </c>
      <c r="AB16" s="2007"/>
      <c r="AC16" s="765"/>
      <c r="AD16" s="781">
        <f t="shared" si="4"/>
        <v>0</v>
      </c>
      <c r="AE16" s="781">
        <f t="shared" si="5"/>
        <v>0</v>
      </c>
      <c r="AF16" s="781">
        <f t="shared" si="6"/>
        <v>0</v>
      </c>
      <c r="AG16" s="781">
        <f t="shared" si="7"/>
        <v>0</v>
      </c>
      <c r="AH16" s="781">
        <f t="shared" si="8"/>
        <v>0</v>
      </c>
      <c r="AI16" s="782">
        <f t="shared" si="9"/>
        <v>0</v>
      </c>
      <c r="AJ16" s="781">
        <f t="shared" si="10"/>
        <v>0</v>
      </c>
      <c r="AK16" s="781">
        <f t="shared" si="11"/>
        <v>0</v>
      </c>
      <c r="AL16" s="781">
        <f t="shared" si="12"/>
        <v>0</v>
      </c>
      <c r="AM16" s="781">
        <f t="shared" si="13"/>
        <v>0</v>
      </c>
      <c r="AN16" s="781">
        <f t="shared" si="14"/>
        <v>0</v>
      </c>
      <c r="AO16" s="781">
        <f t="shared" si="15"/>
        <v>0</v>
      </c>
      <c r="AP16" s="781">
        <f t="shared" si="16"/>
        <v>0</v>
      </c>
      <c r="AQ16" s="781">
        <f t="shared" si="17"/>
        <v>0</v>
      </c>
      <c r="AR16" s="781">
        <f t="shared" si="18"/>
        <v>0</v>
      </c>
      <c r="AS16" s="783">
        <f t="shared" si="19"/>
        <v>0</v>
      </c>
    </row>
    <row r="17" spans="1:45" ht="15" x14ac:dyDescent="0.25">
      <c r="A17" s="784"/>
      <c r="B17" s="719">
        <f t="shared" si="21"/>
        <v>9</v>
      </c>
      <c r="C17" s="170" t="str">
        <f t="shared" si="0"/>
        <v>13LF</v>
      </c>
      <c r="D17" s="557"/>
      <c r="E17" s="170"/>
      <c r="F17" s="170">
        <v>13</v>
      </c>
      <c r="G17" s="2007" t="s">
        <v>749</v>
      </c>
      <c r="H17" s="1926">
        <v>0</v>
      </c>
      <c r="I17" s="2008" t="s">
        <v>728</v>
      </c>
      <c r="J17" s="1926"/>
      <c r="K17" s="1926"/>
      <c r="L17" s="170"/>
      <c r="M17" s="2009">
        <v>4.4999999999999998E-2</v>
      </c>
      <c r="N17" s="2010">
        <v>1</v>
      </c>
      <c r="O17" s="773">
        <f t="shared" si="1"/>
        <v>4.4999999999999998E-2</v>
      </c>
      <c r="P17" s="2008" t="s">
        <v>39</v>
      </c>
      <c r="Q17" s="2008" t="s">
        <v>39</v>
      </c>
      <c r="R17" s="2011" t="s">
        <v>74</v>
      </c>
      <c r="S17" s="775">
        <f>SUMIF('Data Input sheet'!$B$118:$B$180,R17,'Data Input sheet'!$D$118:$D$180)</f>
        <v>152</v>
      </c>
      <c r="T17" s="2012">
        <f t="shared" si="2"/>
        <v>7</v>
      </c>
      <c r="U17" s="2013">
        <v>22</v>
      </c>
      <c r="V17" s="778">
        <f t="shared" si="20"/>
        <v>1</v>
      </c>
      <c r="W17" s="2010">
        <v>10.119999999999999</v>
      </c>
      <c r="X17" s="779"/>
      <c r="Y17" s="2012">
        <v>5.2</v>
      </c>
      <c r="Z17" s="780">
        <f t="shared" si="3"/>
        <v>23.319999999999997</v>
      </c>
      <c r="AA17" s="2007" t="s">
        <v>750</v>
      </c>
      <c r="AB17" s="2007"/>
      <c r="AC17" s="765"/>
      <c r="AD17" s="781">
        <f t="shared" si="4"/>
        <v>0</v>
      </c>
      <c r="AE17" s="781">
        <f t="shared" si="5"/>
        <v>0</v>
      </c>
      <c r="AF17" s="781">
        <f t="shared" si="6"/>
        <v>0</v>
      </c>
      <c r="AG17" s="781">
        <f t="shared" si="7"/>
        <v>0</v>
      </c>
      <c r="AH17" s="781">
        <f t="shared" si="8"/>
        <v>0</v>
      </c>
      <c r="AI17" s="782">
        <f t="shared" si="9"/>
        <v>0</v>
      </c>
      <c r="AJ17" s="781">
        <f t="shared" si="10"/>
        <v>0</v>
      </c>
      <c r="AK17" s="781">
        <f t="shared" si="11"/>
        <v>0</v>
      </c>
      <c r="AL17" s="781">
        <f t="shared" si="12"/>
        <v>0</v>
      </c>
      <c r="AM17" s="781">
        <f t="shared" si="13"/>
        <v>0</v>
      </c>
      <c r="AN17" s="781">
        <f t="shared" si="14"/>
        <v>0</v>
      </c>
      <c r="AO17" s="781">
        <f t="shared" si="15"/>
        <v>0</v>
      </c>
      <c r="AP17" s="781">
        <f t="shared" si="16"/>
        <v>0</v>
      </c>
      <c r="AQ17" s="781">
        <f t="shared" si="17"/>
        <v>0</v>
      </c>
      <c r="AR17" s="781">
        <f t="shared" si="18"/>
        <v>0</v>
      </c>
      <c r="AS17" s="783">
        <f t="shared" si="19"/>
        <v>0</v>
      </c>
    </row>
    <row r="18" spans="1:45" ht="15" x14ac:dyDescent="0.25">
      <c r="A18" s="784"/>
      <c r="B18" s="719">
        <f t="shared" si="21"/>
        <v>10</v>
      </c>
      <c r="C18" s="170" t="str">
        <f t="shared" si="0"/>
        <v>2EA Loc</v>
      </c>
      <c r="D18" s="557"/>
      <c r="E18" s="170"/>
      <c r="F18" s="170">
        <v>2</v>
      </c>
      <c r="G18" s="2007" t="s">
        <v>751</v>
      </c>
      <c r="H18" s="1926"/>
      <c r="I18" s="2008" t="s">
        <v>1342</v>
      </c>
      <c r="J18" s="1926"/>
      <c r="K18" s="1926"/>
      <c r="L18" s="170"/>
      <c r="M18" s="2009">
        <v>35</v>
      </c>
      <c r="N18" s="2010">
        <v>1</v>
      </c>
      <c r="O18" s="773">
        <f t="shared" si="1"/>
        <v>35</v>
      </c>
      <c r="P18" s="2008" t="s">
        <v>39</v>
      </c>
      <c r="Q18" s="2008" t="s">
        <v>39</v>
      </c>
      <c r="R18" s="2011" t="s">
        <v>74</v>
      </c>
      <c r="S18" s="775">
        <f>SUMIF('Data Input sheet'!$B$118:$B$180,R18,'Data Input sheet'!$D$118:$D$180)</f>
        <v>152</v>
      </c>
      <c r="T18" s="2012">
        <f t="shared" si="2"/>
        <v>5320</v>
      </c>
      <c r="U18" s="2013">
        <v>21</v>
      </c>
      <c r="V18" s="778">
        <f t="shared" si="20"/>
        <v>735</v>
      </c>
      <c r="W18" s="2010">
        <v>629.91999999999996</v>
      </c>
      <c r="X18" s="779"/>
      <c r="Y18" s="2012"/>
      <c r="Z18" s="780">
        <f t="shared" si="3"/>
        <v>6684.92</v>
      </c>
      <c r="AA18" s="2007" t="s">
        <v>752</v>
      </c>
      <c r="AB18" s="2007"/>
      <c r="AC18" s="765"/>
      <c r="AD18" s="781">
        <f t="shared" si="4"/>
        <v>0</v>
      </c>
      <c r="AE18" s="781">
        <f t="shared" si="5"/>
        <v>0</v>
      </c>
      <c r="AF18" s="781">
        <f t="shared" si="6"/>
        <v>0</v>
      </c>
      <c r="AG18" s="781">
        <f t="shared" si="7"/>
        <v>0</v>
      </c>
      <c r="AH18" s="781">
        <f t="shared" si="8"/>
        <v>0</v>
      </c>
      <c r="AI18" s="782">
        <f t="shared" si="9"/>
        <v>0</v>
      </c>
      <c r="AJ18" s="781">
        <f t="shared" si="10"/>
        <v>0</v>
      </c>
      <c r="AK18" s="781">
        <f t="shared" si="11"/>
        <v>0</v>
      </c>
      <c r="AL18" s="781">
        <f t="shared" si="12"/>
        <v>0</v>
      </c>
      <c r="AM18" s="781">
        <f t="shared" si="13"/>
        <v>0</v>
      </c>
      <c r="AN18" s="781">
        <f t="shared" si="14"/>
        <v>0</v>
      </c>
      <c r="AO18" s="781">
        <f t="shared" si="15"/>
        <v>0</v>
      </c>
      <c r="AP18" s="781">
        <f t="shared" si="16"/>
        <v>0</v>
      </c>
      <c r="AQ18" s="781">
        <f t="shared" si="17"/>
        <v>0</v>
      </c>
      <c r="AR18" s="781">
        <f t="shared" si="18"/>
        <v>0</v>
      </c>
      <c r="AS18" s="783">
        <f t="shared" si="19"/>
        <v>0</v>
      </c>
    </row>
    <row r="19" spans="1:45" ht="15" x14ac:dyDescent="0.25">
      <c r="A19" s="784"/>
      <c r="B19" s="719">
        <f t="shared" si="21"/>
        <v>11</v>
      </c>
      <c r="C19" s="170" t="str">
        <f t="shared" si="0"/>
        <v>2LS</v>
      </c>
      <c r="D19" s="557"/>
      <c r="E19" s="170"/>
      <c r="F19" s="170">
        <v>2</v>
      </c>
      <c r="G19" s="2007" t="s">
        <v>83</v>
      </c>
      <c r="H19" s="1926"/>
      <c r="I19" s="2008" t="s">
        <v>640</v>
      </c>
      <c r="J19" s="1926"/>
      <c r="K19" s="1926"/>
      <c r="L19" s="170"/>
      <c r="M19" s="2009"/>
      <c r="N19" s="2010">
        <v>1</v>
      </c>
      <c r="O19" s="773">
        <f t="shared" si="1"/>
        <v>0</v>
      </c>
      <c r="P19" s="2008" t="s">
        <v>39</v>
      </c>
      <c r="Q19" s="2008" t="s">
        <v>39</v>
      </c>
      <c r="R19" s="2011" t="s">
        <v>74</v>
      </c>
      <c r="S19" s="775">
        <f>SUMIF('Data Input sheet'!$B$118:$B$180,R19,'Data Input sheet'!$D$118:$D$180)</f>
        <v>152</v>
      </c>
      <c r="T19" s="2012">
        <f t="shared" si="2"/>
        <v>0</v>
      </c>
      <c r="U19" s="2013">
        <v>0</v>
      </c>
      <c r="V19" s="778">
        <f t="shared" si="20"/>
        <v>0</v>
      </c>
      <c r="W19" s="2010"/>
      <c r="X19" s="779"/>
      <c r="Y19" s="2012">
        <v>0</v>
      </c>
      <c r="Z19" s="780">
        <f t="shared" si="3"/>
        <v>0</v>
      </c>
      <c r="AA19" s="2007" t="s">
        <v>641</v>
      </c>
      <c r="AB19" s="2007"/>
      <c r="AC19" s="765"/>
      <c r="AD19" s="781">
        <f t="shared" si="4"/>
        <v>0</v>
      </c>
      <c r="AE19" s="781">
        <f t="shared" si="5"/>
        <v>0</v>
      </c>
      <c r="AF19" s="781">
        <f t="shared" si="6"/>
        <v>0</v>
      </c>
      <c r="AG19" s="781">
        <f t="shared" si="7"/>
        <v>0</v>
      </c>
      <c r="AH19" s="781">
        <f t="shared" si="8"/>
        <v>0</v>
      </c>
      <c r="AI19" s="782">
        <f t="shared" si="9"/>
        <v>0</v>
      </c>
      <c r="AJ19" s="781">
        <f t="shared" si="10"/>
        <v>0</v>
      </c>
      <c r="AK19" s="781">
        <f t="shared" si="11"/>
        <v>0</v>
      </c>
      <c r="AL19" s="781">
        <f t="shared" si="12"/>
        <v>0</v>
      </c>
      <c r="AM19" s="781">
        <f t="shared" si="13"/>
        <v>0</v>
      </c>
      <c r="AN19" s="781">
        <f t="shared" si="14"/>
        <v>0</v>
      </c>
      <c r="AO19" s="781">
        <f t="shared" si="15"/>
        <v>0</v>
      </c>
      <c r="AP19" s="781">
        <f t="shared" si="16"/>
        <v>0</v>
      </c>
      <c r="AQ19" s="781">
        <f t="shared" si="17"/>
        <v>0</v>
      </c>
      <c r="AR19" s="781">
        <f t="shared" si="18"/>
        <v>0</v>
      </c>
      <c r="AS19" s="783">
        <f t="shared" si="19"/>
        <v>0</v>
      </c>
    </row>
    <row r="20" spans="1:45" ht="15" x14ac:dyDescent="0.25">
      <c r="A20" s="784"/>
      <c r="B20" s="719">
        <f t="shared" si="21"/>
        <v>12</v>
      </c>
      <c r="C20" s="170" t="str">
        <f t="shared" si="0"/>
        <v>2Day</v>
      </c>
      <c r="D20" s="557"/>
      <c r="E20" s="170"/>
      <c r="F20" s="170">
        <v>2</v>
      </c>
      <c r="G20" s="2007" t="s">
        <v>638</v>
      </c>
      <c r="H20" s="1926"/>
      <c r="I20" s="2008" t="s">
        <v>639</v>
      </c>
      <c r="J20" s="1926"/>
      <c r="K20" s="1926"/>
      <c r="L20" s="170"/>
      <c r="M20" s="2009"/>
      <c r="N20" s="2010">
        <v>1</v>
      </c>
      <c r="O20" s="773">
        <f t="shared" si="1"/>
        <v>0</v>
      </c>
      <c r="P20" s="2008" t="s">
        <v>39</v>
      </c>
      <c r="Q20" s="2008" t="s">
        <v>39</v>
      </c>
      <c r="R20" s="2011" t="s">
        <v>74</v>
      </c>
      <c r="S20" s="775">
        <f>SUMIF('Data Input sheet'!$B$118:$B$180,R20,'Data Input sheet'!$D$118:$D$180)</f>
        <v>152</v>
      </c>
      <c r="T20" s="2012">
        <f t="shared" si="2"/>
        <v>0</v>
      </c>
      <c r="U20" s="2013">
        <v>0</v>
      </c>
      <c r="V20" s="778">
        <f t="shared" si="20"/>
        <v>0</v>
      </c>
      <c r="W20" s="2010"/>
      <c r="X20" s="779"/>
      <c r="Y20" s="2012">
        <v>3120</v>
      </c>
      <c r="Z20" s="780">
        <f t="shared" si="3"/>
        <v>3120</v>
      </c>
      <c r="AA20" s="2007"/>
      <c r="AB20" s="2007"/>
      <c r="AC20" s="765"/>
      <c r="AD20" s="781">
        <f t="shared" si="4"/>
        <v>0</v>
      </c>
      <c r="AE20" s="781">
        <f t="shared" si="5"/>
        <v>0</v>
      </c>
      <c r="AF20" s="781">
        <f t="shared" si="6"/>
        <v>0</v>
      </c>
      <c r="AG20" s="781">
        <f t="shared" si="7"/>
        <v>0</v>
      </c>
      <c r="AH20" s="781">
        <f t="shared" si="8"/>
        <v>0</v>
      </c>
      <c r="AI20" s="782">
        <f t="shared" si="9"/>
        <v>0</v>
      </c>
      <c r="AJ20" s="781">
        <f t="shared" si="10"/>
        <v>0</v>
      </c>
      <c r="AK20" s="781">
        <f t="shared" si="11"/>
        <v>0</v>
      </c>
      <c r="AL20" s="781">
        <f t="shared" si="12"/>
        <v>0</v>
      </c>
      <c r="AM20" s="781">
        <f t="shared" si="13"/>
        <v>0</v>
      </c>
      <c r="AN20" s="781">
        <f t="shared" si="14"/>
        <v>0</v>
      </c>
      <c r="AO20" s="781">
        <f t="shared" si="15"/>
        <v>0</v>
      </c>
      <c r="AP20" s="781">
        <f t="shared" si="16"/>
        <v>0</v>
      </c>
      <c r="AQ20" s="781">
        <f t="shared" si="17"/>
        <v>0</v>
      </c>
      <c r="AR20" s="781">
        <f t="shared" si="18"/>
        <v>0</v>
      </c>
      <c r="AS20" s="783">
        <f t="shared" si="19"/>
        <v>0</v>
      </c>
    </row>
    <row r="21" spans="1:45" ht="15" x14ac:dyDescent="0.25">
      <c r="A21" s="784"/>
      <c r="B21" s="719">
        <f>B19+1</f>
        <v>12</v>
      </c>
      <c r="C21" s="170" t="str">
        <f t="shared" si="0"/>
        <v>1LS</v>
      </c>
      <c r="D21" s="557"/>
      <c r="E21" s="170"/>
      <c r="F21" s="170">
        <v>1</v>
      </c>
      <c r="G21" s="2007" t="s">
        <v>84</v>
      </c>
      <c r="H21" s="1926">
        <v>0</v>
      </c>
      <c r="I21" s="2008" t="s">
        <v>640</v>
      </c>
      <c r="J21" s="1926"/>
      <c r="K21" s="1926"/>
      <c r="L21" s="170">
        <v>0.05</v>
      </c>
      <c r="M21" s="2009"/>
      <c r="N21" s="2010">
        <v>1</v>
      </c>
      <c r="O21" s="773">
        <f t="shared" si="1"/>
        <v>0</v>
      </c>
      <c r="P21" s="2008" t="s">
        <v>39</v>
      </c>
      <c r="Q21" s="2008" t="s">
        <v>39</v>
      </c>
      <c r="R21" s="2011" t="s">
        <v>74</v>
      </c>
      <c r="S21" s="775">
        <f>SUMIF('Data Input sheet'!$B$118:$B$180,R21,'Data Input sheet'!$D$118:$D$180)</f>
        <v>152</v>
      </c>
      <c r="T21" s="2012">
        <f>(SUM(AH22:AH78)+SUM(AK22:AK78)+SUM(AN22:AN78)+SUM(AQ22:AQ78))*L21</f>
        <v>0</v>
      </c>
      <c r="U21" s="2013">
        <v>0</v>
      </c>
      <c r="V21" s="778">
        <f t="shared" si="20"/>
        <v>0</v>
      </c>
      <c r="W21" s="2010"/>
      <c r="X21" s="779"/>
      <c r="Y21" s="2012">
        <v>0</v>
      </c>
      <c r="Z21" s="780">
        <f t="shared" si="3"/>
        <v>0</v>
      </c>
      <c r="AA21" s="2007" t="str">
        <f>+"Ave "&amp;$L$21*100&amp; "% of total contractor cost"</f>
        <v>Ave 5% of total contractor cost</v>
      </c>
      <c r="AB21" s="2007"/>
      <c r="AC21" s="765"/>
      <c r="AD21" s="781">
        <f t="shared" si="4"/>
        <v>0</v>
      </c>
      <c r="AE21" s="781">
        <f t="shared" si="5"/>
        <v>0</v>
      </c>
      <c r="AF21" s="781">
        <f t="shared" si="6"/>
        <v>0</v>
      </c>
      <c r="AG21" s="781">
        <f t="shared" si="7"/>
        <v>0</v>
      </c>
      <c r="AH21" s="781">
        <f t="shared" si="8"/>
        <v>0</v>
      </c>
      <c r="AI21" s="782">
        <f t="shared" si="9"/>
        <v>0</v>
      </c>
      <c r="AJ21" s="781">
        <f t="shared" si="10"/>
        <v>0</v>
      </c>
      <c r="AK21" s="781">
        <f t="shared" si="11"/>
        <v>0</v>
      </c>
      <c r="AL21" s="781">
        <f t="shared" si="12"/>
        <v>0</v>
      </c>
      <c r="AM21" s="781">
        <f t="shared" si="13"/>
        <v>0</v>
      </c>
      <c r="AN21" s="781">
        <f t="shared" si="14"/>
        <v>0</v>
      </c>
      <c r="AO21" s="781">
        <f t="shared" si="15"/>
        <v>0</v>
      </c>
      <c r="AP21" s="781">
        <f t="shared" si="16"/>
        <v>0</v>
      </c>
      <c r="AQ21" s="781">
        <f t="shared" si="17"/>
        <v>0</v>
      </c>
      <c r="AR21" s="781">
        <f t="shared" si="18"/>
        <v>0</v>
      </c>
      <c r="AS21" s="783">
        <f t="shared" si="19"/>
        <v>0</v>
      </c>
    </row>
    <row r="22" spans="1:45" ht="15" x14ac:dyDescent="0.25">
      <c r="A22" s="784"/>
      <c r="B22" s="719">
        <f t="shared" ref="B22:B80" si="22">B21+1</f>
        <v>13</v>
      </c>
      <c r="C22" s="170" t="str">
        <f t="shared" si="0"/>
        <v/>
      </c>
      <c r="D22" s="557"/>
      <c r="E22" s="170"/>
      <c r="F22" s="170"/>
      <c r="G22" s="2007"/>
      <c r="H22" s="1926"/>
      <c r="I22" s="2008"/>
      <c r="J22" s="1926"/>
      <c r="K22" s="1926"/>
      <c r="L22" s="170"/>
      <c r="M22" s="2009">
        <v>0</v>
      </c>
      <c r="N22" s="2010">
        <v>1</v>
      </c>
      <c r="O22" s="773">
        <f t="shared" si="1"/>
        <v>0</v>
      </c>
      <c r="P22" s="2008" t="s">
        <v>39</v>
      </c>
      <c r="Q22" s="2008" t="s">
        <v>39</v>
      </c>
      <c r="R22" s="2011" t="s">
        <v>74</v>
      </c>
      <c r="S22" s="775">
        <f>SUMIF('Data Input sheet'!$B$118:$B$180,R22,'Data Input sheet'!$D$118:$D$180)</f>
        <v>152</v>
      </c>
      <c r="T22" s="2012">
        <f t="shared" si="2"/>
        <v>0</v>
      </c>
      <c r="U22" s="2013">
        <v>0</v>
      </c>
      <c r="V22" s="778">
        <f t="shared" si="20"/>
        <v>0</v>
      </c>
      <c r="W22" s="2010"/>
      <c r="X22" s="779"/>
      <c r="Y22" s="2012">
        <v>0</v>
      </c>
      <c r="Z22" s="780">
        <f t="shared" si="3"/>
        <v>0</v>
      </c>
      <c r="AA22" s="2007"/>
      <c r="AB22" s="2007"/>
      <c r="AC22" s="765"/>
      <c r="AD22" s="781">
        <f t="shared" si="4"/>
        <v>0</v>
      </c>
      <c r="AE22" s="781">
        <f t="shared" si="5"/>
        <v>0</v>
      </c>
      <c r="AF22" s="781">
        <f t="shared" si="6"/>
        <v>0</v>
      </c>
      <c r="AG22" s="781">
        <f t="shared" si="7"/>
        <v>0</v>
      </c>
      <c r="AH22" s="781">
        <f t="shared" si="8"/>
        <v>0</v>
      </c>
      <c r="AI22" s="782">
        <f t="shared" si="9"/>
        <v>0</v>
      </c>
      <c r="AJ22" s="781">
        <f t="shared" si="10"/>
        <v>0</v>
      </c>
      <c r="AK22" s="781">
        <f t="shared" si="11"/>
        <v>0</v>
      </c>
      <c r="AL22" s="781">
        <f t="shared" si="12"/>
        <v>0</v>
      </c>
      <c r="AM22" s="781">
        <f t="shared" si="13"/>
        <v>0</v>
      </c>
      <c r="AN22" s="781">
        <f t="shared" si="14"/>
        <v>0</v>
      </c>
      <c r="AO22" s="781">
        <f t="shared" si="15"/>
        <v>0</v>
      </c>
      <c r="AP22" s="781">
        <f t="shared" si="16"/>
        <v>0</v>
      </c>
      <c r="AQ22" s="781">
        <f t="shared" si="17"/>
        <v>0</v>
      </c>
      <c r="AR22" s="781">
        <f t="shared" si="18"/>
        <v>0</v>
      </c>
      <c r="AS22" s="783">
        <f t="shared" si="19"/>
        <v>0</v>
      </c>
    </row>
    <row r="23" spans="1:45" ht="15" x14ac:dyDescent="0.25">
      <c r="A23" s="784"/>
      <c r="B23" s="719">
        <f t="shared" si="22"/>
        <v>14</v>
      </c>
      <c r="C23" s="170" t="str">
        <f t="shared" si="0"/>
        <v/>
      </c>
      <c r="D23" s="557"/>
      <c r="E23" s="170"/>
      <c r="F23" s="170"/>
      <c r="G23" s="2007"/>
      <c r="H23" s="1926"/>
      <c r="I23" s="2008"/>
      <c r="J23" s="1926"/>
      <c r="K23" s="1926"/>
      <c r="L23" s="170"/>
      <c r="M23" s="2009">
        <v>0</v>
      </c>
      <c r="N23" s="2010">
        <v>1</v>
      </c>
      <c r="O23" s="773">
        <f t="shared" si="1"/>
        <v>0</v>
      </c>
      <c r="P23" s="2008" t="s">
        <v>39</v>
      </c>
      <c r="Q23" s="2008" t="s">
        <v>39</v>
      </c>
      <c r="R23" s="2011" t="s">
        <v>74</v>
      </c>
      <c r="S23" s="775">
        <f>SUMIF('Data Input sheet'!$B$118:$B$180,R23,'Data Input sheet'!$D$118:$D$180)</f>
        <v>152</v>
      </c>
      <c r="T23" s="2012">
        <f t="shared" si="2"/>
        <v>0</v>
      </c>
      <c r="U23" s="2013">
        <v>0</v>
      </c>
      <c r="V23" s="778">
        <f t="shared" si="20"/>
        <v>0</v>
      </c>
      <c r="W23" s="2010"/>
      <c r="X23" s="779"/>
      <c r="Y23" s="2012">
        <v>0</v>
      </c>
      <c r="Z23" s="780">
        <f t="shared" si="3"/>
        <v>0</v>
      </c>
      <c r="AA23" s="2007"/>
      <c r="AB23" s="2007"/>
      <c r="AC23" s="765"/>
      <c r="AD23" s="781">
        <f t="shared" si="4"/>
        <v>0</v>
      </c>
      <c r="AE23" s="781">
        <f t="shared" si="5"/>
        <v>0</v>
      </c>
      <c r="AF23" s="781">
        <f t="shared" si="6"/>
        <v>0</v>
      </c>
      <c r="AG23" s="781">
        <f t="shared" si="7"/>
        <v>0</v>
      </c>
      <c r="AH23" s="781">
        <f t="shared" si="8"/>
        <v>0</v>
      </c>
      <c r="AI23" s="782">
        <f t="shared" si="9"/>
        <v>0</v>
      </c>
      <c r="AJ23" s="781">
        <f t="shared" si="10"/>
        <v>0</v>
      </c>
      <c r="AK23" s="781">
        <f t="shared" si="11"/>
        <v>0</v>
      </c>
      <c r="AL23" s="781">
        <f t="shared" si="12"/>
        <v>0</v>
      </c>
      <c r="AM23" s="781">
        <f t="shared" si="13"/>
        <v>0</v>
      </c>
      <c r="AN23" s="781">
        <f t="shared" si="14"/>
        <v>0</v>
      </c>
      <c r="AO23" s="781">
        <f t="shared" si="15"/>
        <v>0</v>
      </c>
      <c r="AP23" s="781">
        <f t="shared" si="16"/>
        <v>0</v>
      </c>
      <c r="AQ23" s="781">
        <f t="shared" si="17"/>
        <v>0</v>
      </c>
      <c r="AR23" s="781">
        <f t="shared" si="18"/>
        <v>0</v>
      </c>
      <c r="AS23" s="783">
        <f t="shared" si="19"/>
        <v>0</v>
      </c>
    </row>
    <row r="24" spans="1:45" ht="15" x14ac:dyDescent="0.25">
      <c r="A24" s="784"/>
      <c r="B24" s="719">
        <f t="shared" si="22"/>
        <v>15</v>
      </c>
      <c r="C24" s="170" t="str">
        <f t="shared" si="0"/>
        <v/>
      </c>
      <c r="D24" s="557"/>
      <c r="E24" s="170"/>
      <c r="F24" s="170"/>
      <c r="G24" s="2007"/>
      <c r="H24" s="1926"/>
      <c r="I24" s="2008"/>
      <c r="J24" s="1926"/>
      <c r="K24" s="1926"/>
      <c r="L24" s="170"/>
      <c r="M24" s="2009">
        <v>0</v>
      </c>
      <c r="N24" s="2010">
        <v>1</v>
      </c>
      <c r="O24" s="773">
        <f t="shared" si="1"/>
        <v>0</v>
      </c>
      <c r="P24" s="2008" t="s">
        <v>39</v>
      </c>
      <c r="Q24" s="2008" t="s">
        <v>39</v>
      </c>
      <c r="R24" s="2011" t="s">
        <v>74</v>
      </c>
      <c r="S24" s="775">
        <f>SUMIF('Data Input sheet'!$B$118:$B$180,R24,'Data Input sheet'!$D$118:$D$180)</f>
        <v>152</v>
      </c>
      <c r="T24" s="2012">
        <f t="shared" si="2"/>
        <v>0</v>
      </c>
      <c r="U24" s="2013">
        <v>0</v>
      </c>
      <c r="V24" s="778">
        <f t="shared" si="20"/>
        <v>0</v>
      </c>
      <c r="W24" s="2010"/>
      <c r="X24" s="779"/>
      <c r="Y24" s="2012">
        <v>0</v>
      </c>
      <c r="Z24" s="780">
        <f t="shared" si="3"/>
        <v>0</v>
      </c>
      <c r="AA24" s="2007"/>
      <c r="AB24" s="2007"/>
      <c r="AC24" s="765"/>
      <c r="AD24" s="781">
        <f t="shared" si="4"/>
        <v>0</v>
      </c>
      <c r="AE24" s="781">
        <f t="shared" si="5"/>
        <v>0</v>
      </c>
      <c r="AF24" s="781">
        <f t="shared" si="6"/>
        <v>0</v>
      </c>
      <c r="AG24" s="781">
        <f t="shared" si="7"/>
        <v>0</v>
      </c>
      <c r="AH24" s="781">
        <f t="shared" si="8"/>
        <v>0</v>
      </c>
      <c r="AI24" s="782">
        <f t="shared" si="9"/>
        <v>0</v>
      </c>
      <c r="AJ24" s="781">
        <f t="shared" si="10"/>
        <v>0</v>
      </c>
      <c r="AK24" s="781">
        <f t="shared" si="11"/>
        <v>0</v>
      </c>
      <c r="AL24" s="781">
        <f t="shared" si="12"/>
        <v>0</v>
      </c>
      <c r="AM24" s="781">
        <f t="shared" si="13"/>
        <v>0</v>
      </c>
      <c r="AN24" s="781">
        <f t="shared" si="14"/>
        <v>0</v>
      </c>
      <c r="AO24" s="781">
        <f t="shared" si="15"/>
        <v>0</v>
      </c>
      <c r="AP24" s="781">
        <f t="shared" si="16"/>
        <v>0</v>
      </c>
      <c r="AQ24" s="781">
        <f t="shared" si="17"/>
        <v>0</v>
      </c>
      <c r="AR24" s="781">
        <f t="shared" si="18"/>
        <v>0</v>
      </c>
      <c r="AS24" s="783">
        <f t="shared" si="19"/>
        <v>0</v>
      </c>
    </row>
    <row r="25" spans="1:45" ht="15" x14ac:dyDescent="0.25">
      <c r="A25" s="784"/>
      <c r="B25" s="719">
        <f t="shared" si="22"/>
        <v>16</v>
      </c>
      <c r="C25" s="170" t="str">
        <f t="shared" si="0"/>
        <v/>
      </c>
      <c r="D25" s="557"/>
      <c r="E25" s="170"/>
      <c r="F25" s="170"/>
      <c r="G25" s="2007"/>
      <c r="H25" s="1926"/>
      <c r="I25" s="2008"/>
      <c r="J25" s="1926"/>
      <c r="K25" s="1926"/>
      <c r="L25" s="170"/>
      <c r="M25" s="2009">
        <v>0</v>
      </c>
      <c r="N25" s="2010">
        <v>1</v>
      </c>
      <c r="O25" s="773">
        <f t="shared" si="1"/>
        <v>0</v>
      </c>
      <c r="P25" s="2008" t="s">
        <v>39</v>
      </c>
      <c r="Q25" s="2008" t="s">
        <v>39</v>
      </c>
      <c r="R25" s="2011" t="s">
        <v>74</v>
      </c>
      <c r="S25" s="775">
        <f>SUMIF('Data Input sheet'!$B$118:$B$180,R25,'Data Input sheet'!$D$118:$D$180)</f>
        <v>152</v>
      </c>
      <c r="T25" s="2012">
        <f t="shared" si="2"/>
        <v>0</v>
      </c>
      <c r="U25" s="2013">
        <v>0</v>
      </c>
      <c r="V25" s="778">
        <f t="shared" si="20"/>
        <v>0</v>
      </c>
      <c r="W25" s="2010"/>
      <c r="X25" s="779"/>
      <c r="Y25" s="2012">
        <v>0</v>
      </c>
      <c r="Z25" s="780">
        <f t="shared" si="3"/>
        <v>0</v>
      </c>
      <c r="AA25" s="2007"/>
      <c r="AB25" s="2007"/>
      <c r="AC25" s="765"/>
      <c r="AD25" s="781">
        <f t="shared" si="4"/>
        <v>0</v>
      </c>
      <c r="AE25" s="781">
        <f t="shared" si="5"/>
        <v>0</v>
      </c>
      <c r="AF25" s="781">
        <f t="shared" si="6"/>
        <v>0</v>
      </c>
      <c r="AG25" s="781">
        <f t="shared" si="7"/>
        <v>0</v>
      </c>
      <c r="AH25" s="781">
        <f t="shared" si="8"/>
        <v>0</v>
      </c>
      <c r="AI25" s="782">
        <f t="shared" si="9"/>
        <v>0</v>
      </c>
      <c r="AJ25" s="781">
        <f t="shared" si="10"/>
        <v>0</v>
      </c>
      <c r="AK25" s="781">
        <f t="shared" si="11"/>
        <v>0</v>
      </c>
      <c r="AL25" s="781">
        <f t="shared" si="12"/>
        <v>0</v>
      </c>
      <c r="AM25" s="781">
        <f t="shared" si="13"/>
        <v>0</v>
      </c>
      <c r="AN25" s="781">
        <f t="shared" si="14"/>
        <v>0</v>
      </c>
      <c r="AO25" s="781">
        <f t="shared" si="15"/>
        <v>0</v>
      </c>
      <c r="AP25" s="781">
        <f t="shared" si="16"/>
        <v>0</v>
      </c>
      <c r="AQ25" s="781">
        <f t="shared" si="17"/>
        <v>0</v>
      </c>
      <c r="AR25" s="781">
        <f t="shared" si="18"/>
        <v>0</v>
      </c>
      <c r="AS25" s="783">
        <f t="shared" si="19"/>
        <v>0</v>
      </c>
    </row>
    <row r="26" spans="1:45" ht="15" x14ac:dyDescent="0.25">
      <c r="A26" s="784"/>
      <c r="B26" s="719">
        <f t="shared" si="22"/>
        <v>17</v>
      </c>
      <c r="C26" s="170" t="str">
        <f t="shared" si="0"/>
        <v/>
      </c>
      <c r="D26" s="557"/>
      <c r="E26" s="170"/>
      <c r="F26" s="170"/>
      <c r="G26" s="2007"/>
      <c r="H26" s="1926"/>
      <c r="I26" s="2008"/>
      <c r="J26" s="1926"/>
      <c r="K26" s="1926"/>
      <c r="L26" s="170"/>
      <c r="M26" s="2009">
        <v>0</v>
      </c>
      <c r="N26" s="2010">
        <v>1</v>
      </c>
      <c r="O26" s="773">
        <f t="shared" si="1"/>
        <v>0</v>
      </c>
      <c r="P26" s="2008" t="s">
        <v>39</v>
      </c>
      <c r="Q26" s="2008" t="s">
        <v>39</v>
      </c>
      <c r="R26" s="2011" t="s">
        <v>74</v>
      </c>
      <c r="S26" s="775">
        <f>SUMIF('Data Input sheet'!$B$118:$B$180,R26,'Data Input sheet'!$D$118:$D$180)</f>
        <v>152</v>
      </c>
      <c r="T26" s="2012">
        <f t="shared" si="2"/>
        <v>0</v>
      </c>
      <c r="U26" s="2013">
        <v>0</v>
      </c>
      <c r="V26" s="778">
        <f t="shared" si="20"/>
        <v>0</v>
      </c>
      <c r="W26" s="2010"/>
      <c r="X26" s="779"/>
      <c r="Y26" s="2012">
        <v>0</v>
      </c>
      <c r="Z26" s="780">
        <f t="shared" si="3"/>
        <v>0</v>
      </c>
      <c r="AA26" s="2007"/>
      <c r="AB26" s="2007"/>
      <c r="AC26" s="765"/>
      <c r="AD26" s="781">
        <f t="shared" si="4"/>
        <v>0</v>
      </c>
      <c r="AE26" s="781">
        <f t="shared" si="5"/>
        <v>0</v>
      </c>
      <c r="AF26" s="781">
        <f t="shared" si="6"/>
        <v>0</v>
      </c>
      <c r="AG26" s="781">
        <f t="shared" si="7"/>
        <v>0</v>
      </c>
      <c r="AH26" s="781">
        <f t="shared" si="8"/>
        <v>0</v>
      </c>
      <c r="AI26" s="782">
        <f t="shared" si="9"/>
        <v>0</v>
      </c>
      <c r="AJ26" s="781">
        <f t="shared" si="10"/>
        <v>0</v>
      </c>
      <c r="AK26" s="781">
        <f t="shared" si="11"/>
        <v>0</v>
      </c>
      <c r="AL26" s="781">
        <f t="shared" si="12"/>
        <v>0</v>
      </c>
      <c r="AM26" s="781">
        <f t="shared" si="13"/>
        <v>0</v>
      </c>
      <c r="AN26" s="781">
        <f t="shared" si="14"/>
        <v>0</v>
      </c>
      <c r="AO26" s="781">
        <f t="shared" si="15"/>
        <v>0</v>
      </c>
      <c r="AP26" s="781">
        <f t="shared" si="16"/>
        <v>0</v>
      </c>
      <c r="AQ26" s="781">
        <f t="shared" si="17"/>
        <v>0</v>
      </c>
      <c r="AR26" s="781">
        <f t="shared" si="18"/>
        <v>0</v>
      </c>
      <c r="AS26" s="783">
        <f t="shared" si="19"/>
        <v>0</v>
      </c>
    </row>
    <row r="27" spans="1:45" ht="15" x14ac:dyDescent="0.25">
      <c r="A27" s="784"/>
      <c r="B27" s="719">
        <f t="shared" si="22"/>
        <v>18</v>
      </c>
      <c r="C27" s="170" t="str">
        <f t="shared" si="0"/>
        <v>11LF</v>
      </c>
      <c r="D27" s="557"/>
      <c r="E27" s="170"/>
      <c r="F27" s="170">
        <v>11</v>
      </c>
      <c r="G27" s="2007" t="s">
        <v>753</v>
      </c>
      <c r="H27" s="1926"/>
      <c r="I27" s="2008" t="s">
        <v>728</v>
      </c>
      <c r="J27" s="1926"/>
      <c r="K27" s="1926"/>
      <c r="L27" s="170"/>
      <c r="M27" s="2009">
        <v>0.26315789473684209</v>
      </c>
      <c r="N27" s="2010">
        <v>1</v>
      </c>
      <c r="O27" s="773">
        <f t="shared" si="1"/>
        <v>0.26315789473684209</v>
      </c>
      <c r="P27" s="2008" t="s">
        <v>604</v>
      </c>
      <c r="Q27" s="2008" t="s">
        <v>604</v>
      </c>
      <c r="R27" s="2011" t="s">
        <v>74</v>
      </c>
      <c r="S27" s="775">
        <f>SUMIF('Data Input sheet'!$B$118:$B$180,R27,'Data Input sheet'!$D$118:$D$180)</f>
        <v>152</v>
      </c>
      <c r="T27" s="2012">
        <f t="shared" si="2"/>
        <v>40</v>
      </c>
      <c r="U27" s="2013">
        <v>53</v>
      </c>
      <c r="V27" s="778">
        <f t="shared" si="20"/>
        <v>14</v>
      </c>
      <c r="W27" s="2010">
        <v>44.67549457612801</v>
      </c>
      <c r="X27" s="779"/>
      <c r="Y27" s="2012">
        <v>2.08</v>
      </c>
      <c r="Z27" s="780">
        <f t="shared" si="3"/>
        <v>100.75549457612802</v>
      </c>
      <c r="AA27" s="2007" t="s">
        <v>754</v>
      </c>
      <c r="AB27" s="2007" t="s">
        <v>755</v>
      </c>
      <c r="AC27" s="765"/>
      <c r="AD27" s="781">
        <f t="shared" si="4"/>
        <v>0</v>
      </c>
      <c r="AE27" s="781">
        <f t="shared" si="5"/>
        <v>0</v>
      </c>
      <c r="AF27" s="781">
        <f t="shared" si="6"/>
        <v>0</v>
      </c>
      <c r="AG27" s="781">
        <f t="shared" si="7"/>
        <v>0</v>
      </c>
      <c r="AH27" s="781">
        <f t="shared" si="8"/>
        <v>0</v>
      </c>
      <c r="AI27" s="782">
        <f t="shared" si="9"/>
        <v>0</v>
      </c>
      <c r="AJ27" s="781">
        <f t="shared" si="10"/>
        <v>0</v>
      </c>
      <c r="AK27" s="781">
        <f t="shared" si="11"/>
        <v>0</v>
      </c>
      <c r="AL27" s="781">
        <f t="shared" si="12"/>
        <v>0</v>
      </c>
      <c r="AM27" s="781">
        <f t="shared" si="13"/>
        <v>0</v>
      </c>
      <c r="AN27" s="781">
        <f t="shared" si="14"/>
        <v>0</v>
      </c>
      <c r="AO27" s="781">
        <f t="shared" si="15"/>
        <v>0</v>
      </c>
      <c r="AP27" s="781">
        <f t="shared" si="16"/>
        <v>0</v>
      </c>
      <c r="AQ27" s="781">
        <f t="shared" si="17"/>
        <v>0</v>
      </c>
      <c r="AR27" s="781">
        <f t="shared" si="18"/>
        <v>0</v>
      </c>
      <c r="AS27" s="783">
        <f t="shared" si="19"/>
        <v>0</v>
      </c>
    </row>
    <row r="28" spans="1:45" ht="25.5" x14ac:dyDescent="0.25">
      <c r="A28" s="784"/>
      <c r="B28" s="719">
        <f t="shared" si="22"/>
        <v>19</v>
      </c>
      <c r="C28" s="170" t="str">
        <f t="shared" si="0"/>
        <v>11LF</v>
      </c>
      <c r="D28" s="557"/>
      <c r="E28" s="170"/>
      <c r="F28" s="170">
        <v>11</v>
      </c>
      <c r="G28" s="2007" t="s">
        <v>756</v>
      </c>
      <c r="H28" s="1926"/>
      <c r="I28" s="2008" t="s">
        <v>728</v>
      </c>
      <c r="J28" s="1926"/>
      <c r="K28" s="1926"/>
      <c r="L28" s="170"/>
      <c r="M28" s="2009">
        <v>0.35789473684210527</v>
      </c>
      <c r="N28" s="2010">
        <v>1</v>
      </c>
      <c r="O28" s="773">
        <f t="shared" si="1"/>
        <v>0.35789473684210527</v>
      </c>
      <c r="P28" s="2008" t="s">
        <v>39</v>
      </c>
      <c r="Q28" s="2008" t="s">
        <v>39</v>
      </c>
      <c r="R28" s="2011" t="s">
        <v>74</v>
      </c>
      <c r="S28" s="775">
        <f>SUMIF('Data Input sheet'!$B$118:$B$180,R28,'Data Input sheet'!$D$118:$D$180)</f>
        <v>152</v>
      </c>
      <c r="T28" s="2012">
        <f t="shared" si="2"/>
        <v>54</v>
      </c>
      <c r="U28" s="2013">
        <v>140</v>
      </c>
      <c r="V28" s="778">
        <f t="shared" si="20"/>
        <v>50</v>
      </c>
      <c r="W28" s="2010">
        <v>44.67549457612801</v>
      </c>
      <c r="X28" s="779"/>
      <c r="Y28" s="2012">
        <v>3.12</v>
      </c>
      <c r="Z28" s="780">
        <f t="shared" si="3"/>
        <v>151.79549457612802</v>
      </c>
      <c r="AA28" s="2007" t="s">
        <v>754</v>
      </c>
      <c r="AB28" s="2007" t="s">
        <v>757</v>
      </c>
      <c r="AC28" s="765"/>
      <c r="AD28" s="781">
        <f t="shared" si="4"/>
        <v>0</v>
      </c>
      <c r="AE28" s="781">
        <f t="shared" si="5"/>
        <v>0</v>
      </c>
      <c r="AF28" s="781">
        <f t="shared" si="6"/>
        <v>0</v>
      </c>
      <c r="AG28" s="781">
        <f t="shared" si="7"/>
        <v>0</v>
      </c>
      <c r="AH28" s="781">
        <f t="shared" si="8"/>
        <v>0</v>
      </c>
      <c r="AI28" s="782">
        <f t="shared" si="9"/>
        <v>0</v>
      </c>
      <c r="AJ28" s="781">
        <f t="shared" si="10"/>
        <v>0</v>
      </c>
      <c r="AK28" s="781">
        <f t="shared" si="11"/>
        <v>0</v>
      </c>
      <c r="AL28" s="781">
        <f t="shared" si="12"/>
        <v>0</v>
      </c>
      <c r="AM28" s="781">
        <f t="shared" si="13"/>
        <v>0</v>
      </c>
      <c r="AN28" s="781">
        <f t="shared" si="14"/>
        <v>0</v>
      </c>
      <c r="AO28" s="781">
        <f t="shared" si="15"/>
        <v>0</v>
      </c>
      <c r="AP28" s="781">
        <f t="shared" si="16"/>
        <v>0</v>
      </c>
      <c r="AQ28" s="781">
        <f t="shared" si="17"/>
        <v>0</v>
      </c>
      <c r="AR28" s="781">
        <f t="shared" si="18"/>
        <v>0</v>
      </c>
      <c r="AS28" s="783">
        <f t="shared" si="19"/>
        <v>0</v>
      </c>
    </row>
    <row r="29" spans="1:45" ht="15" x14ac:dyDescent="0.25">
      <c r="A29" s="784"/>
      <c r="B29" s="719">
        <f t="shared" si="22"/>
        <v>20</v>
      </c>
      <c r="C29" s="170" t="str">
        <f t="shared" si="0"/>
        <v>20LF</v>
      </c>
      <c r="D29" s="557"/>
      <c r="E29" s="170"/>
      <c r="F29" s="170">
        <v>20</v>
      </c>
      <c r="G29" s="2007" t="s">
        <v>758</v>
      </c>
      <c r="H29" s="1926"/>
      <c r="I29" s="2008" t="s">
        <v>728</v>
      </c>
      <c r="J29" s="1926"/>
      <c r="K29" s="1926"/>
      <c r="L29" s="170"/>
      <c r="M29" s="2009">
        <v>0.63157894736842102</v>
      </c>
      <c r="N29" s="2010">
        <v>1</v>
      </c>
      <c r="O29" s="773">
        <f t="shared" si="1"/>
        <v>0.63157894736842102</v>
      </c>
      <c r="P29" s="2008" t="s">
        <v>39</v>
      </c>
      <c r="Q29" s="2008" t="s">
        <v>39</v>
      </c>
      <c r="R29" s="2011" t="s">
        <v>74</v>
      </c>
      <c r="S29" s="775">
        <f>SUMIF('Data Input sheet'!$B$118:$B$180,R29,'Data Input sheet'!$D$118:$D$180)</f>
        <v>152</v>
      </c>
      <c r="T29" s="2012">
        <f t="shared" si="2"/>
        <v>96</v>
      </c>
      <c r="U29" s="2013">
        <v>139</v>
      </c>
      <c r="V29" s="778">
        <f t="shared" si="20"/>
        <v>88</v>
      </c>
      <c r="W29" s="2010">
        <v>44.67549457612801</v>
      </c>
      <c r="X29" s="779"/>
      <c r="Y29" s="2012">
        <v>3.12</v>
      </c>
      <c r="Z29" s="780">
        <f t="shared" si="3"/>
        <v>231.79549457612802</v>
      </c>
      <c r="AA29" s="2007" t="s">
        <v>754</v>
      </c>
      <c r="AB29" s="2007" t="s">
        <v>757</v>
      </c>
      <c r="AC29" s="765"/>
      <c r="AD29" s="781">
        <f t="shared" si="4"/>
        <v>0</v>
      </c>
      <c r="AE29" s="781">
        <f t="shared" si="5"/>
        <v>0</v>
      </c>
      <c r="AF29" s="781">
        <f t="shared" si="6"/>
        <v>0</v>
      </c>
      <c r="AG29" s="781">
        <f t="shared" si="7"/>
        <v>0</v>
      </c>
      <c r="AH29" s="781">
        <f t="shared" si="8"/>
        <v>0</v>
      </c>
      <c r="AI29" s="782">
        <f t="shared" si="9"/>
        <v>0</v>
      </c>
      <c r="AJ29" s="781">
        <f t="shared" si="10"/>
        <v>0</v>
      </c>
      <c r="AK29" s="781">
        <f t="shared" si="11"/>
        <v>0</v>
      </c>
      <c r="AL29" s="781">
        <f t="shared" si="12"/>
        <v>0</v>
      </c>
      <c r="AM29" s="781">
        <f t="shared" si="13"/>
        <v>0</v>
      </c>
      <c r="AN29" s="781">
        <f t="shared" si="14"/>
        <v>0</v>
      </c>
      <c r="AO29" s="781">
        <f t="shared" si="15"/>
        <v>0</v>
      </c>
      <c r="AP29" s="781">
        <f t="shared" si="16"/>
        <v>0</v>
      </c>
      <c r="AQ29" s="781">
        <f t="shared" si="17"/>
        <v>0</v>
      </c>
      <c r="AR29" s="781">
        <f t="shared" si="18"/>
        <v>0</v>
      </c>
      <c r="AS29" s="783">
        <f t="shared" si="19"/>
        <v>0</v>
      </c>
    </row>
    <row r="30" spans="1:45" ht="15" x14ac:dyDescent="0.25">
      <c r="A30" s="784"/>
      <c r="B30" s="719">
        <f t="shared" si="22"/>
        <v>21</v>
      </c>
      <c r="C30" s="170" t="str">
        <f t="shared" si="0"/>
        <v>12CY</v>
      </c>
      <c r="D30" s="557"/>
      <c r="E30" s="170"/>
      <c r="F30" s="170">
        <v>12</v>
      </c>
      <c r="G30" s="2007" t="s">
        <v>759</v>
      </c>
      <c r="H30" s="1926"/>
      <c r="I30" s="2008" t="s">
        <v>671</v>
      </c>
      <c r="J30" s="1926"/>
      <c r="K30" s="1926"/>
      <c r="L30" s="170"/>
      <c r="M30" s="2009">
        <v>30</v>
      </c>
      <c r="N30" s="2010">
        <v>1</v>
      </c>
      <c r="O30" s="773">
        <f t="shared" si="1"/>
        <v>30</v>
      </c>
      <c r="P30" s="2008" t="s">
        <v>39</v>
      </c>
      <c r="Q30" s="2008" t="s">
        <v>39</v>
      </c>
      <c r="R30" s="2011" t="s">
        <v>74</v>
      </c>
      <c r="S30" s="775">
        <f>SUMIF('Data Input sheet'!$B$118:$B$180,R30,'Data Input sheet'!$D$118:$D$180)</f>
        <v>152</v>
      </c>
      <c r="T30" s="2012">
        <f t="shared" si="2"/>
        <v>4560</v>
      </c>
      <c r="U30" s="2013">
        <v>70</v>
      </c>
      <c r="V30" s="778">
        <f t="shared" si="20"/>
        <v>2100</v>
      </c>
      <c r="W30" s="2010">
        <v>0</v>
      </c>
      <c r="X30" s="779"/>
      <c r="Y30" s="2012">
        <v>0</v>
      </c>
      <c r="Z30" s="780">
        <f t="shared" si="3"/>
        <v>6660</v>
      </c>
      <c r="AA30" s="2007"/>
      <c r="AB30" s="2007" t="s">
        <v>760</v>
      </c>
      <c r="AC30" s="765"/>
      <c r="AD30" s="781">
        <f t="shared" si="4"/>
        <v>0</v>
      </c>
      <c r="AE30" s="781">
        <f t="shared" si="5"/>
        <v>0</v>
      </c>
      <c r="AF30" s="781">
        <f t="shared" si="6"/>
        <v>0</v>
      </c>
      <c r="AG30" s="781">
        <f t="shared" si="7"/>
        <v>0</v>
      </c>
      <c r="AH30" s="781">
        <f t="shared" si="8"/>
        <v>0</v>
      </c>
      <c r="AI30" s="782">
        <f t="shared" si="9"/>
        <v>0</v>
      </c>
      <c r="AJ30" s="781">
        <f t="shared" si="10"/>
        <v>0</v>
      </c>
      <c r="AK30" s="781">
        <f t="shared" si="11"/>
        <v>0</v>
      </c>
      <c r="AL30" s="781">
        <f t="shared" si="12"/>
        <v>0</v>
      </c>
      <c r="AM30" s="781">
        <f t="shared" si="13"/>
        <v>0</v>
      </c>
      <c r="AN30" s="781">
        <f t="shared" si="14"/>
        <v>0</v>
      </c>
      <c r="AO30" s="781">
        <f t="shared" si="15"/>
        <v>0</v>
      </c>
      <c r="AP30" s="781">
        <f t="shared" si="16"/>
        <v>0</v>
      </c>
      <c r="AQ30" s="781">
        <f t="shared" si="17"/>
        <v>0</v>
      </c>
      <c r="AR30" s="781">
        <f t="shared" si="18"/>
        <v>0</v>
      </c>
      <c r="AS30" s="783">
        <f t="shared" si="19"/>
        <v>0</v>
      </c>
    </row>
    <row r="31" spans="1:45" ht="15" x14ac:dyDescent="0.25">
      <c r="A31" s="784"/>
      <c r="B31" s="719">
        <f t="shared" si="22"/>
        <v>22</v>
      </c>
      <c r="C31" s="170" t="str">
        <f t="shared" si="0"/>
        <v>19LF</v>
      </c>
      <c r="D31" s="557"/>
      <c r="E31" s="170"/>
      <c r="F31" s="170">
        <v>19</v>
      </c>
      <c r="G31" s="2007" t="s">
        <v>761</v>
      </c>
      <c r="H31" s="1926"/>
      <c r="I31" s="2008" t="s">
        <v>728</v>
      </c>
      <c r="J31" s="1926"/>
      <c r="K31" s="1926"/>
      <c r="L31" s="170"/>
      <c r="M31" s="2009"/>
      <c r="N31" s="2010">
        <v>1</v>
      </c>
      <c r="O31" s="773">
        <f t="shared" si="1"/>
        <v>0</v>
      </c>
      <c r="P31" s="2008" t="s">
        <v>39</v>
      </c>
      <c r="Q31" s="2008" t="s">
        <v>39</v>
      </c>
      <c r="R31" s="2011" t="s">
        <v>74</v>
      </c>
      <c r="S31" s="775">
        <f>SUMIF('Data Input sheet'!$B$118:$B$180,R31,'Data Input sheet'!$D$118:$D$180)</f>
        <v>152</v>
      </c>
      <c r="T31" s="2012">
        <f t="shared" si="2"/>
        <v>0</v>
      </c>
      <c r="U31" s="2013">
        <v>0</v>
      </c>
      <c r="V31" s="778">
        <f t="shared" si="20"/>
        <v>0</v>
      </c>
      <c r="W31" s="2010"/>
      <c r="X31" s="779"/>
      <c r="Y31" s="2012">
        <v>4000</v>
      </c>
      <c r="Z31" s="780">
        <f t="shared" si="3"/>
        <v>4000</v>
      </c>
      <c r="AA31" s="2007" t="s">
        <v>96</v>
      </c>
      <c r="AB31" s="2007"/>
      <c r="AC31" s="765"/>
      <c r="AD31" s="781">
        <f t="shared" si="4"/>
        <v>0</v>
      </c>
      <c r="AE31" s="781">
        <f t="shared" si="5"/>
        <v>0</v>
      </c>
      <c r="AF31" s="781">
        <f t="shared" si="6"/>
        <v>0</v>
      </c>
      <c r="AG31" s="781">
        <f t="shared" si="7"/>
        <v>0</v>
      </c>
      <c r="AH31" s="781">
        <f t="shared" si="8"/>
        <v>0</v>
      </c>
      <c r="AI31" s="782">
        <f t="shared" si="9"/>
        <v>0</v>
      </c>
      <c r="AJ31" s="781">
        <f t="shared" si="10"/>
        <v>0</v>
      </c>
      <c r="AK31" s="781">
        <f t="shared" si="11"/>
        <v>0</v>
      </c>
      <c r="AL31" s="781">
        <f t="shared" si="12"/>
        <v>0</v>
      </c>
      <c r="AM31" s="781">
        <f t="shared" si="13"/>
        <v>0</v>
      </c>
      <c r="AN31" s="781">
        <f t="shared" si="14"/>
        <v>0</v>
      </c>
      <c r="AO31" s="781">
        <f t="shared" si="15"/>
        <v>0</v>
      </c>
      <c r="AP31" s="781">
        <f t="shared" si="16"/>
        <v>0</v>
      </c>
      <c r="AQ31" s="781">
        <f t="shared" si="17"/>
        <v>0</v>
      </c>
      <c r="AR31" s="781">
        <f t="shared" si="18"/>
        <v>0</v>
      </c>
      <c r="AS31" s="783">
        <f t="shared" si="19"/>
        <v>0</v>
      </c>
    </row>
    <row r="32" spans="1:45" ht="15" x14ac:dyDescent="0.25">
      <c r="A32" s="784"/>
      <c r="B32" s="719">
        <f t="shared" si="22"/>
        <v>23</v>
      </c>
      <c r="C32" s="170" t="str">
        <f t="shared" si="0"/>
        <v>19LF</v>
      </c>
      <c r="D32" s="557"/>
      <c r="E32" s="170"/>
      <c r="F32" s="170">
        <v>19</v>
      </c>
      <c r="G32" s="2007" t="s">
        <v>762</v>
      </c>
      <c r="H32" s="1926"/>
      <c r="I32" s="2008" t="s">
        <v>728</v>
      </c>
      <c r="J32" s="1926"/>
      <c r="K32" s="1926"/>
      <c r="L32" s="170"/>
      <c r="M32" s="2009"/>
      <c r="N32" s="2010">
        <v>1</v>
      </c>
      <c r="O32" s="773">
        <f t="shared" si="1"/>
        <v>0</v>
      </c>
      <c r="P32" s="2008" t="s">
        <v>39</v>
      </c>
      <c r="Q32" s="2008" t="s">
        <v>39</v>
      </c>
      <c r="R32" s="2011" t="s">
        <v>74</v>
      </c>
      <c r="S32" s="775">
        <f>SUMIF('Data Input sheet'!$B$118:$B$180,R32,'Data Input sheet'!$D$118:$D$180)</f>
        <v>152</v>
      </c>
      <c r="T32" s="2012">
        <f t="shared" si="2"/>
        <v>0</v>
      </c>
      <c r="U32" s="2013">
        <v>0</v>
      </c>
      <c r="V32" s="778">
        <f t="shared" si="20"/>
        <v>0</v>
      </c>
      <c r="W32" s="2010"/>
      <c r="X32" s="779"/>
      <c r="Y32" s="2012">
        <v>3000</v>
      </c>
      <c r="Z32" s="780">
        <f t="shared" si="3"/>
        <v>3000</v>
      </c>
      <c r="AA32" s="2007"/>
      <c r="AB32" s="2007"/>
      <c r="AC32" s="765"/>
      <c r="AD32" s="781">
        <f t="shared" si="4"/>
        <v>0</v>
      </c>
      <c r="AE32" s="781">
        <f t="shared" si="5"/>
        <v>0</v>
      </c>
      <c r="AF32" s="781">
        <f t="shared" si="6"/>
        <v>0</v>
      </c>
      <c r="AG32" s="781">
        <f t="shared" si="7"/>
        <v>0</v>
      </c>
      <c r="AH32" s="781">
        <f t="shared" si="8"/>
        <v>0</v>
      </c>
      <c r="AI32" s="782">
        <f t="shared" si="9"/>
        <v>0</v>
      </c>
      <c r="AJ32" s="781">
        <f t="shared" si="10"/>
        <v>0</v>
      </c>
      <c r="AK32" s="781">
        <f t="shared" si="11"/>
        <v>0</v>
      </c>
      <c r="AL32" s="781">
        <f t="shared" si="12"/>
        <v>0</v>
      </c>
      <c r="AM32" s="781">
        <f t="shared" si="13"/>
        <v>0</v>
      </c>
      <c r="AN32" s="781">
        <f t="shared" si="14"/>
        <v>0</v>
      </c>
      <c r="AO32" s="781">
        <f t="shared" si="15"/>
        <v>0</v>
      </c>
      <c r="AP32" s="781">
        <f t="shared" si="16"/>
        <v>0</v>
      </c>
      <c r="AQ32" s="781">
        <f t="shared" si="17"/>
        <v>0</v>
      </c>
      <c r="AR32" s="781">
        <f t="shared" si="18"/>
        <v>0</v>
      </c>
      <c r="AS32" s="783">
        <f t="shared" si="19"/>
        <v>0</v>
      </c>
    </row>
    <row r="33" spans="1:45" ht="15" x14ac:dyDescent="0.25">
      <c r="A33" s="784"/>
      <c r="B33" s="719">
        <f t="shared" si="22"/>
        <v>24</v>
      </c>
      <c r="C33" s="170" t="str">
        <f t="shared" si="0"/>
        <v>19LF</v>
      </c>
      <c r="D33" s="557"/>
      <c r="E33" s="170"/>
      <c r="F33" s="170">
        <v>19</v>
      </c>
      <c r="G33" s="2007" t="s">
        <v>763</v>
      </c>
      <c r="H33" s="1926"/>
      <c r="I33" s="2008" t="s">
        <v>728</v>
      </c>
      <c r="J33" s="1926"/>
      <c r="K33" s="1926"/>
      <c r="L33" s="170"/>
      <c r="M33" s="2009">
        <v>0.10526315789473684</v>
      </c>
      <c r="N33" s="2010">
        <v>1</v>
      </c>
      <c r="O33" s="773">
        <f t="shared" si="1"/>
        <v>0.10526315789473684</v>
      </c>
      <c r="P33" s="2008" t="s">
        <v>39</v>
      </c>
      <c r="Q33" s="2008" t="s">
        <v>39</v>
      </c>
      <c r="R33" s="2011" t="s">
        <v>74</v>
      </c>
      <c r="S33" s="775">
        <f>SUMIF('Data Input sheet'!$B$118:$B$180,R33,'Data Input sheet'!$D$118:$D$180)</f>
        <v>152</v>
      </c>
      <c r="T33" s="2012">
        <f t="shared" si="2"/>
        <v>16</v>
      </c>
      <c r="U33" s="2013">
        <v>0</v>
      </c>
      <c r="V33" s="778">
        <f t="shared" si="20"/>
        <v>0</v>
      </c>
      <c r="W33" s="2010">
        <v>74.459157626879986</v>
      </c>
      <c r="X33" s="779"/>
      <c r="Y33" s="2012">
        <v>0</v>
      </c>
      <c r="Z33" s="780">
        <f t="shared" si="3"/>
        <v>90.459157626879986</v>
      </c>
      <c r="AA33" s="2007" t="s">
        <v>764</v>
      </c>
      <c r="AB33" s="2007"/>
      <c r="AC33" s="765"/>
      <c r="AD33" s="781">
        <f t="shared" si="4"/>
        <v>0</v>
      </c>
      <c r="AE33" s="781">
        <f t="shared" si="5"/>
        <v>0</v>
      </c>
      <c r="AF33" s="781">
        <f t="shared" si="6"/>
        <v>0</v>
      </c>
      <c r="AG33" s="781">
        <f t="shared" si="7"/>
        <v>0</v>
      </c>
      <c r="AH33" s="781">
        <f t="shared" si="8"/>
        <v>0</v>
      </c>
      <c r="AI33" s="782">
        <f t="shared" si="9"/>
        <v>0</v>
      </c>
      <c r="AJ33" s="781">
        <f t="shared" si="10"/>
        <v>0</v>
      </c>
      <c r="AK33" s="781">
        <f t="shared" si="11"/>
        <v>0</v>
      </c>
      <c r="AL33" s="781">
        <f t="shared" si="12"/>
        <v>0</v>
      </c>
      <c r="AM33" s="781">
        <f t="shared" si="13"/>
        <v>0</v>
      </c>
      <c r="AN33" s="781">
        <f t="shared" si="14"/>
        <v>0</v>
      </c>
      <c r="AO33" s="781">
        <f t="shared" si="15"/>
        <v>0</v>
      </c>
      <c r="AP33" s="781">
        <f t="shared" si="16"/>
        <v>0</v>
      </c>
      <c r="AQ33" s="781">
        <f t="shared" si="17"/>
        <v>0</v>
      </c>
      <c r="AR33" s="781">
        <f t="shared" si="18"/>
        <v>0</v>
      </c>
      <c r="AS33" s="783">
        <f t="shared" si="19"/>
        <v>0</v>
      </c>
    </row>
    <row r="34" spans="1:45" ht="15" x14ac:dyDescent="0.25">
      <c r="A34" s="784"/>
      <c r="B34" s="719">
        <f t="shared" si="22"/>
        <v>25</v>
      </c>
      <c r="C34" s="170" t="str">
        <f t="shared" si="0"/>
        <v>2SY</v>
      </c>
      <c r="D34" s="557"/>
      <c r="E34" s="170"/>
      <c r="F34" s="170">
        <v>2</v>
      </c>
      <c r="G34" s="2007" t="s">
        <v>765</v>
      </c>
      <c r="H34" s="1926"/>
      <c r="I34" s="2008" t="s">
        <v>739</v>
      </c>
      <c r="J34" s="1926"/>
      <c r="K34" s="1926"/>
      <c r="L34" s="170"/>
      <c r="M34" s="2009">
        <v>3.4703157894736845E-2</v>
      </c>
      <c r="N34" s="2010">
        <v>1</v>
      </c>
      <c r="O34" s="773">
        <f t="shared" si="1"/>
        <v>3.4703157894736845E-2</v>
      </c>
      <c r="P34" s="2008" t="s">
        <v>39</v>
      </c>
      <c r="Q34" s="2008" t="s">
        <v>39</v>
      </c>
      <c r="R34" s="2011" t="s">
        <v>74</v>
      </c>
      <c r="S34" s="775">
        <f>SUMIF('Data Input sheet'!$B$118:$B$180,R34,'Data Input sheet'!$D$118:$D$180)</f>
        <v>152</v>
      </c>
      <c r="T34" s="2012">
        <f t="shared" si="2"/>
        <v>5</v>
      </c>
      <c r="U34" s="2013">
        <v>202</v>
      </c>
      <c r="V34" s="778">
        <f t="shared" si="20"/>
        <v>7</v>
      </c>
      <c r="W34" s="2010">
        <v>11.347862003712001</v>
      </c>
      <c r="X34" s="779"/>
      <c r="Y34" s="2012">
        <v>0</v>
      </c>
      <c r="Z34" s="780">
        <f t="shared" si="3"/>
        <v>23.347862003712002</v>
      </c>
      <c r="AA34" s="2007" t="s">
        <v>766</v>
      </c>
      <c r="AB34" s="2007"/>
      <c r="AC34" s="765"/>
      <c r="AD34" s="781">
        <f t="shared" si="4"/>
        <v>0</v>
      </c>
      <c r="AE34" s="781">
        <f t="shared" si="5"/>
        <v>0</v>
      </c>
      <c r="AF34" s="781">
        <f t="shared" si="6"/>
        <v>0</v>
      </c>
      <c r="AG34" s="781">
        <f t="shared" si="7"/>
        <v>0</v>
      </c>
      <c r="AH34" s="781">
        <f t="shared" si="8"/>
        <v>0</v>
      </c>
      <c r="AI34" s="782">
        <f t="shared" si="9"/>
        <v>0</v>
      </c>
      <c r="AJ34" s="781">
        <f t="shared" si="10"/>
        <v>0</v>
      </c>
      <c r="AK34" s="781">
        <f t="shared" si="11"/>
        <v>0</v>
      </c>
      <c r="AL34" s="781">
        <f t="shared" si="12"/>
        <v>0</v>
      </c>
      <c r="AM34" s="781">
        <f t="shared" si="13"/>
        <v>0</v>
      </c>
      <c r="AN34" s="781">
        <f t="shared" si="14"/>
        <v>0</v>
      </c>
      <c r="AO34" s="781">
        <f t="shared" si="15"/>
        <v>0</v>
      </c>
      <c r="AP34" s="781">
        <f t="shared" si="16"/>
        <v>0</v>
      </c>
      <c r="AQ34" s="781">
        <f t="shared" si="17"/>
        <v>0</v>
      </c>
      <c r="AR34" s="781">
        <f t="shared" si="18"/>
        <v>0</v>
      </c>
      <c r="AS34" s="783">
        <f t="shared" si="19"/>
        <v>0</v>
      </c>
    </row>
    <row r="35" spans="1:45" ht="15" x14ac:dyDescent="0.25">
      <c r="A35" s="784"/>
      <c r="B35" s="719">
        <f t="shared" si="22"/>
        <v>26</v>
      </c>
      <c r="C35" s="170" t="str">
        <f t="shared" si="0"/>
        <v>21EA</v>
      </c>
      <c r="D35" s="557"/>
      <c r="E35" s="170"/>
      <c r="F35" s="170">
        <v>21</v>
      </c>
      <c r="G35" s="2007" t="s">
        <v>767</v>
      </c>
      <c r="H35" s="1926"/>
      <c r="I35" s="2008" t="s">
        <v>732</v>
      </c>
      <c r="J35" s="1926"/>
      <c r="K35" s="1926"/>
      <c r="L35" s="170"/>
      <c r="M35" s="2009">
        <v>201.73810526315788</v>
      </c>
      <c r="N35" s="2010">
        <v>1</v>
      </c>
      <c r="O35" s="773">
        <f t="shared" si="1"/>
        <v>201.73810526315788</v>
      </c>
      <c r="P35" s="2008" t="s">
        <v>39</v>
      </c>
      <c r="Q35" s="2008" t="s">
        <v>39</v>
      </c>
      <c r="R35" s="2011" t="s">
        <v>74</v>
      </c>
      <c r="S35" s="775">
        <f>SUMIF('Data Input sheet'!$B$118:$B$180,R35,'Data Input sheet'!$D$118:$D$180)</f>
        <v>152</v>
      </c>
      <c r="T35" s="2012">
        <f t="shared" si="2"/>
        <v>30664</v>
      </c>
      <c r="U35" s="2013">
        <v>35</v>
      </c>
      <c r="V35" s="778">
        <f t="shared" si="20"/>
        <v>7061</v>
      </c>
      <c r="W35" s="2010">
        <v>5369</v>
      </c>
      <c r="X35" s="779"/>
      <c r="Y35" s="2012">
        <v>0</v>
      </c>
      <c r="Z35" s="780">
        <f t="shared" si="3"/>
        <v>43094</v>
      </c>
      <c r="AA35" s="2007" t="s">
        <v>768</v>
      </c>
      <c r="AB35" s="2007" t="s">
        <v>769</v>
      </c>
      <c r="AC35" s="765"/>
      <c r="AD35" s="781">
        <f t="shared" si="4"/>
        <v>0</v>
      </c>
      <c r="AE35" s="781">
        <f t="shared" si="5"/>
        <v>0</v>
      </c>
      <c r="AF35" s="781">
        <f t="shared" si="6"/>
        <v>0</v>
      </c>
      <c r="AG35" s="781">
        <f t="shared" si="7"/>
        <v>0</v>
      </c>
      <c r="AH35" s="781">
        <f t="shared" si="8"/>
        <v>0</v>
      </c>
      <c r="AI35" s="782">
        <f t="shared" si="9"/>
        <v>0</v>
      </c>
      <c r="AJ35" s="781">
        <f t="shared" si="10"/>
        <v>0</v>
      </c>
      <c r="AK35" s="781">
        <f t="shared" si="11"/>
        <v>0</v>
      </c>
      <c r="AL35" s="781">
        <f t="shared" si="12"/>
        <v>0</v>
      </c>
      <c r="AM35" s="781">
        <f t="shared" si="13"/>
        <v>0</v>
      </c>
      <c r="AN35" s="781">
        <f t="shared" si="14"/>
        <v>0</v>
      </c>
      <c r="AO35" s="781">
        <f t="shared" si="15"/>
        <v>0</v>
      </c>
      <c r="AP35" s="781">
        <f t="shared" si="16"/>
        <v>0</v>
      </c>
      <c r="AQ35" s="781">
        <f t="shared" si="17"/>
        <v>0</v>
      </c>
      <c r="AR35" s="781">
        <f t="shared" si="18"/>
        <v>0</v>
      </c>
      <c r="AS35" s="783">
        <f t="shared" si="19"/>
        <v>0</v>
      </c>
    </row>
    <row r="36" spans="1:45" ht="15" x14ac:dyDescent="0.25">
      <c r="A36" s="784"/>
      <c r="B36" s="719">
        <f t="shared" si="22"/>
        <v>27</v>
      </c>
      <c r="C36" s="170" t="str">
        <f t="shared" si="0"/>
        <v>12CY</v>
      </c>
      <c r="D36" s="557"/>
      <c r="E36" s="170"/>
      <c r="F36" s="170">
        <v>12</v>
      </c>
      <c r="G36" s="2007" t="s">
        <v>770</v>
      </c>
      <c r="H36" s="1926"/>
      <c r="I36" s="2008" t="s">
        <v>671</v>
      </c>
      <c r="J36" s="1926"/>
      <c r="K36" s="1926"/>
      <c r="L36" s="170"/>
      <c r="M36" s="2009">
        <v>30</v>
      </c>
      <c r="N36" s="2010">
        <v>1</v>
      </c>
      <c r="O36" s="773">
        <f t="shared" si="1"/>
        <v>30</v>
      </c>
      <c r="P36" s="2008" t="s">
        <v>39</v>
      </c>
      <c r="Q36" s="2008" t="s">
        <v>39</v>
      </c>
      <c r="R36" s="2011" t="s">
        <v>74</v>
      </c>
      <c r="S36" s="775">
        <f>SUMIF('Data Input sheet'!$B$118:$B$180,R36,'Data Input sheet'!$D$118:$D$180)</f>
        <v>152</v>
      </c>
      <c r="T36" s="2012">
        <f t="shared" si="2"/>
        <v>4560</v>
      </c>
      <c r="U36" s="2013">
        <v>70</v>
      </c>
      <c r="V36" s="778">
        <f t="shared" si="20"/>
        <v>2100</v>
      </c>
      <c r="W36" s="2010">
        <v>0</v>
      </c>
      <c r="X36" s="779"/>
      <c r="Y36" s="2012">
        <v>0</v>
      </c>
      <c r="Z36" s="780">
        <f t="shared" si="3"/>
        <v>6660</v>
      </c>
      <c r="AA36" s="2007" t="s">
        <v>771</v>
      </c>
      <c r="AB36" s="2007"/>
      <c r="AC36" s="765"/>
      <c r="AD36" s="781">
        <f t="shared" si="4"/>
        <v>0</v>
      </c>
      <c r="AE36" s="781">
        <f t="shared" si="5"/>
        <v>0</v>
      </c>
      <c r="AF36" s="781">
        <f t="shared" si="6"/>
        <v>0</v>
      </c>
      <c r="AG36" s="781">
        <f t="shared" si="7"/>
        <v>0</v>
      </c>
      <c r="AH36" s="781">
        <f t="shared" si="8"/>
        <v>0</v>
      </c>
      <c r="AI36" s="782">
        <f t="shared" si="9"/>
        <v>0</v>
      </c>
      <c r="AJ36" s="781">
        <f t="shared" si="10"/>
        <v>0</v>
      </c>
      <c r="AK36" s="781">
        <f t="shared" si="11"/>
        <v>0</v>
      </c>
      <c r="AL36" s="781">
        <f t="shared" si="12"/>
        <v>0</v>
      </c>
      <c r="AM36" s="781">
        <f t="shared" si="13"/>
        <v>0</v>
      </c>
      <c r="AN36" s="781">
        <f t="shared" si="14"/>
        <v>0</v>
      </c>
      <c r="AO36" s="781">
        <f t="shared" si="15"/>
        <v>0</v>
      </c>
      <c r="AP36" s="781">
        <f t="shared" si="16"/>
        <v>0</v>
      </c>
      <c r="AQ36" s="781">
        <f t="shared" si="17"/>
        <v>0</v>
      </c>
      <c r="AR36" s="781">
        <f t="shared" si="18"/>
        <v>0</v>
      </c>
      <c r="AS36" s="783">
        <f t="shared" si="19"/>
        <v>0</v>
      </c>
    </row>
    <row r="37" spans="1:45" ht="15" x14ac:dyDescent="0.25">
      <c r="A37" s="784"/>
      <c r="B37" s="719">
        <f t="shared" si="22"/>
        <v>28</v>
      </c>
      <c r="C37" s="170" t="str">
        <f t="shared" si="0"/>
        <v>21EA</v>
      </c>
      <c r="D37" s="557"/>
      <c r="E37" s="170"/>
      <c r="F37" s="170">
        <v>21</v>
      </c>
      <c r="G37" s="2007" t="s">
        <v>772</v>
      </c>
      <c r="H37" s="1926"/>
      <c r="I37" s="2008" t="s">
        <v>732</v>
      </c>
      <c r="J37" s="1926"/>
      <c r="K37" s="1926"/>
      <c r="L37" s="170"/>
      <c r="M37" s="2009">
        <v>10.947368421052632</v>
      </c>
      <c r="N37" s="2010">
        <v>1</v>
      </c>
      <c r="O37" s="773">
        <f t="shared" si="1"/>
        <v>10.947368421052632</v>
      </c>
      <c r="P37" s="2008" t="s">
        <v>39</v>
      </c>
      <c r="Q37" s="2008" t="s">
        <v>39</v>
      </c>
      <c r="R37" s="2011" t="s">
        <v>74</v>
      </c>
      <c r="S37" s="775">
        <f>SUMIF('Data Input sheet'!$B$118:$B$180,R37,'Data Input sheet'!$D$118:$D$180)</f>
        <v>152</v>
      </c>
      <c r="T37" s="2012">
        <f t="shared" si="2"/>
        <v>1664</v>
      </c>
      <c r="U37" s="2013">
        <v>35</v>
      </c>
      <c r="V37" s="778">
        <f t="shared" si="20"/>
        <v>383</v>
      </c>
      <c r="W37" s="2010">
        <v>2386.5114624000003</v>
      </c>
      <c r="X37" s="779"/>
      <c r="Y37" s="2012">
        <v>0</v>
      </c>
      <c r="Z37" s="780">
        <f t="shared" si="3"/>
        <v>4433.5114623999998</v>
      </c>
      <c r="AA37" s="2007"/>
      <c r="AB37" s="2007"/>
      <c r="AC37" s="765"/>
      <c r="AD37" s="781">
        <f t="shared" si="4"/>
        <v>0</v>
      </c>
      <c r="AE37" s="781">
        <f t="shared" si="5"/>
        <v>0</v>
      </c>
      <c r="AF37" s="781">
        <f t="shared" si="6"/>
        <v>0</v>
      </c>
      <c r="AG37" s="781">
        <f t="shared" si="7"/>
        <v>0</v>
      </c>
      <c r="AH37" s="781">
        <f t="shared" si="8"/>
        <v>0</v>
      </c>
      <c r="AI37" s="782">
        <f t="shared" si="9"/>
        <v>0</v>
      </c>
      <c r="AJ37" s="781">
        <f t="shared" si="10"/>
        <v>0</v>
      </c>
      <c r="AK37" s="781">
        <f t="shared" si="11"/>
        <v>0</v>
      </c>
      <c r="AL37" s="781">
        <f t="shared" si="12"/>
        <v>0</v>
      </c>
      <c r="AM37" s="781">
        <f t="shared" si="13"/>
        <v>0</v>
      </c>
      <c r="AN37" s="781">
        <f t="shared" si="14"/>
        <v>0</v>
      </c>
      <c r="AO37" s="781">
        <f t="shared" si="15"/>
        <v>0</v>
      </c>
      <c r="AP37" s="781">
        <f t="shared" si="16"/>
        <v>0</v>
      </c>
      <c r="AQ37" s="781">
        <f t="shared" si="17"/>
        <v>0</v>
      </c>
      <c r="AR37" s="781">
        <f t="shared" si="18"/>
        <v>0</v>
      </c>
      <c r="AS37" s="783">
        <f t="shared" si="19"/>
        <v>0</v>
      </c>
    </row>
    <row r="38" spans="1:45" ht="15" x14ac:dyDescent="0.25">
      <c r="A38" s="784"/>
      <c r="B38" s="719">
        <f t="shared" si="22"/>
        <v>29</v>
      </c>
      <c r="C38" s="170" t="str">
        <f t="shared" si="0"/>
        <v/>
      </c>
      <c r="D38" s="557"/>
      <c r="E38" s="170"/>
      <c r="F38" s="170"/>
      <c r="G38" s="2007"/>
      <c r="H38" s="1926"/>
      <c r="I38" s="2008"/>
      <c r="J38" s="1926"/>
      <c r="K38" s="1926"/>
      <c r="L38" s="170"/>
      <c r="M38" s="2009">
        <v>0</v>
      </c>
      <c r="N38" s="2010">
        <v>1</v>
      </c>
      <c r="O38" s="773">
        <f t="shared" si="1"/>
        <v>0</v>
      </c>
      <c r="P38" s="2008" t="s">
        <v>39</v>
      </c>
      <c r="Q38" s="2008" t="s">
        <v>39</v>
      </c>
      <c r="R38" s="2011" t="s">
        <v>73</v>
      </c>
      <c r="S38" s="775">
        <f>SUMIF('Data Input sheet'!$B$118:$B$180,R38,'Data Input sheet'!$D$118:$D$180)</f>
        <v>119</v>
      </c>
      <c r="T38" s="2012">
        <f t="shared" si="2"/>
        <v>0</v>
      </c>
      <c r="U38" s="2013">
        <v>0</v>
      </c>
      <c r="V38" s="778">
        <f t="shared" si="20"/>
        <v>0</v>
      </c>
      <c r="W38" s="2010"/>
      <c r="X38" s="779"/>
      <c r="Y38" s="2012">
        <v>0</v>
      </c>
      <c r="Z38" s="780">
        <f t="shared" si="3"/>
        <v>0</v>
      </c>
      <c r="AA38" s="2007"/>
      <c r="AB38" s="2007"/>
      <c r="AC38" s="765"/>
      <c r="AD38" s="781">
        <f t="shared" si="4"/>
        <v>0</v>
      </c>
      <c r="AE38" s="781">
        <f t="shared" si="5"/>
        <v>0</v>
      </c>
      <c r="AF38" s="781">
        <f t="shared" si="6"/>
        <v>0</v>
      </c>
      <c r="AG38" s="781">
        <f t="shared" si="7"/>
        <v>0</v>
      </c>
      <c r="AH38" s="781">
        <f t="shared" si="8"/>
        <v>0</v>
      </c>
      <c r="AI38" s="782">
        <f t="shared" si="9"/>
        <v>0</v>
      </c>
      <c r="AJ38" s="781">
        <f t="shared" si="10"/>
        <v>0</v>
      </c>
      <c r="AK38" s="781">
        <f t="shared" si="11"/>
        <v>0</v>
      </c>
      <c r="AL38" s="781">
        <f t="shared" si="12"/>
        <v>0</v>
      </c>
      <c r="AM38" s="781">
        <f t="shared" si="13"/>
        <v>0</v>
      </c>
      <c r="AN38" s="781">
        <f t="shared" si="14"/>
        <v>0</v>
      </c>
      <c r="AO38" s="781">
        <f t="shared" si="15"/>
        <v>0</v>
      </c>
      <c r="AP38" s="781">
        <f t="shared" si="16"/>
        <v>0</v>
      </c>
      <c r="AQ38" s="781">
        <f t="shared" si="17"/>
        <v>0</v>
      </c>
      <c r="AR38" s="781">
        <f t="shared" si="18"/>
        <v>0</v>
      </c>
      <c r="AS38" s="783">
        <f t="shared" si="19"/>
        <v>0</v>
      </c>
    </row>
    <row r="39" spans="1:45" ht="15" x14ac:dyDescent="0.25">
      <c r="A39" s="784"/>
      <c r="B39" s="719">
        <f t="shared" si="22"/>
        <v>30</v>
      </c>
      <c r="C39" s="170" t="str">
        <f t="shared" si="0"/>
        <v/>
      </c>
      <c r="D39" s="557"/>
      <c r="E39" s="170"/>
      <c r="F39" s="170"/>
      <c r="G39" s="2007"/>
      <c r="H39" s="1926"/>
      <c r="I39" s="2008"/>
      <c r="J39" s="1926"/>
      <c r="K39" s="1926"/>
      <c r="L39" s="170"/>
      <c r="M39" s="2009">
        <v>0</v>
      </c>
      <c r="N39" s="2010">
        <v>1</v>
      </c>
      <c r="O39" s="773">
        <f t="shared" si="1"/>
        <v>0</v>
      </c>
      <c r="P39" s="2008" t="s">
        <v>39</v>
      </c>
      <c r="Q39" s="2008" t="s">
        <v>39</v>
      </c>
      <c r="R39" s="2011" t="s">
        <v>73</v>
      </c>
      <c r="S39" s="775">
        <f>SUMIF('Data Input sheet'!$B$118:$B$180,R39,'Data Input sheet'!$D$118:$D$180)</f>
        <v>119</v>
      </c>
      <c r="T39" s="2012">
        <f t="shared" si="2"/>
        <v>0</v>
      </c>
      <c r="U39" s="2013">
        <v>0</v>
      </c>
      <c r="V39" s="778">
        <f t="shared" si="20"/>
        <v>0</v>
      </c>
      <c r="W39" s="2010"/>
      <c r="X39" s="779"/>
      <c r="Y39" s="2012">
        <v>0</v>
      </c>
      <c r="Z39" s="780">
        <f t="shared" si="3"/>
        <v>0</v>
      </c>
      <c r="AA39" s="2007"/>
      <c r="AB39" s="2007"/>
      <c r="AC39" s="765"/>
      <c r="AD39" s="781">
        <f t="shared" si="4"/>
        <v>0</v>
      </c>
      <c r="AE39" s="781">
        <f t="shared" si="5"/>
        <v>0</v>
      </c>
      <c r="AF39" s="781">
        <f t="shared" si="6"/>
        <v>0</v>
      </c>
      <c r="AG39" s="781">
        <f t="shared" si="7"/>
        <v>0</v>
      </c>
      <c r="AH39" s="781">
        <f t="shared" si="8"/>
        <v>0</v>
      </c>
      <c r="AI39" s="782">
        <f t="shared" si="9"/>
        <v>0</v>
      </c>
      <c r="AJ39" s="781">
        <f t="shared" si="10"/>
        <v>0</v>
      </c>
      <c r="AK39" s="781">
        <f t="shared" si="11"/>
        <v>0</v>
      </c>
      <c r="AL39" s="781">
        <f t="shared" si="12"/>
        <v>0</v>
      </c>
      <c r="AM39" s="781">
        <f t="shared" si="13"/>
        <v>0</v>
      </c>
      <c r="AN39" s="781">
        <f t="shared" si="14"/>
        <v>0</v>
      </c>
      <c r="AO39" s="781">
        <f t="shared" si="15"/>
        <v>0</v>
      </c>
      <c r="AP39" s="781">
        <f t="shared" si="16"/>
        <v>0</v>
      </c>
      <c r="AQ39" s="781">
        <f t="shared" si="17"/>
        <v>0</v>
      </c>
      <c r="AR39" s="781">
        <f t="shared" si="18"/>
        <v>0</v>
      </c>
      <c r="AS39" s="783">
        <f t="shared" si="19"/>
        <v>0</v>
      </c>
    </row>
    <row r="40" spans="1:45" ht="15" x14ac:dyDescent="0.25">
      <c r="A40" s="784"/>
      <c r="B40" s="719">
        <f t="shared" si="22"/>
        <v>31</v>
      </c>
      <c r="C40" s="170" t="str">
        <f t="shared" si="0"/>
        <v/>
      </c>
      <c r="D40" s="557"/>
      <c r="E40" s="170"/>
      <c r="F40" s="170"/>
      <c r="G40" s="2007"/>
      <c r="H40" s="1926"/>
      <c r="I40" s="2008"/>
      <c r="J40" s="1926"/>
      <c r="K40" s="1926"/>
      <c r="L40" s="170"/>
      <c r="M40" s="2009">
        <v>0</v>
      </c>
      <c r="N40" s="2010">
        <v>1</v>
      </c>
      <c r="O40" s="773">
        <f t="shared" si="1"/>
        <v>0</v>
      </c>
      <c r="P40" s="2008" t="s">
        <v>39</v>
      </c>
      <c r="Q40" s="2008" t="s">
        <v>39</v>
      </c>
      <c r="R40" s="2011" t="s">
        <v>73</v>
      </c>
      <c r="S40" s="775">
        <f>SUMIF('Data Input sheet'!$B$118:$B$180,R40,'Data Input sheet'!$D$118:$D$180)</f>
        <v>119</v>
      </c>
      <c r="T40" s="2012">
        <f t="shared" si="2"/>
        <v>0</v>
      </c>
      <c r="U40" s="2013">
        <v>0</v>
      </c>
      <c r="V40" s="778">
        <f t="shared" si="20"/>
        <v>0</v>
      </c>
      <c r="W40" s="2010"/>
      <c r="X40" s="779"/>
      <c r="Y40" s="2012">
        <v>0</v>
      </c>
      <c r="Z40" s="780">
        <f t="shared" si="3"/>
        <v>0</v>
      </c>
      <c r="AA40" s="2007"/>
      <c r="AB40" s="2007"/>
      <c r="AC40" s="765"/>
      <c r="AD40" s="781">
        <f t="shared" si="4"/>
        <v>0</v>
      </c>
      <c r="AE40" s="781">
        <f t="shared" si="5"/>
        <v>0</v>
      </c>
      <c r="AF40" s="781">
        <f t="shared" si="6"/>
        <v>0</v>
      </c>
      <c r="AG40" s="781">
        <f t="shared" si="7"/>
        <v>0</v>
      </c>
      <c r="AH40" s="781">
        <f t="shared" si="8"/>
        <v>0</v>
      </c>
      <c r="AI40" s="782">
        <f t="shared" si="9"/>
        <v>0</v>
      </c>
      <c r="AJ40" s="781">
        <f t="shared" si="10"/>
        <v>0</v>
      </c>
      <c r="AK40" s="781">
        <f t="shared" si="11"/>
        <v>0</v>
      </c>
      <c r="AL40" s="781">
        <f t="shared" si="12"/>
        <v>0</v>
      </c>
      <c r="AM40" s="781">
        <f t="shared" si="13"/>
        <v>0</v>
      </c>
      <c r="AN40" s="781">
        <f t="shared" si="14"/>
        <v>0</v>
      </c>
      <c r="AO40" s="781">
        <f t="shared" si="15"/>
        <v>0</v>
      </c>
      <c r="AP40" s="781">
        <f t="shared" si="16"/>
        <v>0</v>
      </c>
      <c r="AQ40" s="781">
        <f t="shared" si="17"/>
        <v>0</v>
      </c>
      <c r="AR40" s="781">
        <f t="shared" si="18"/>
        <v>0</v>
      </c>
      <c r="AS40" s="783">
        <f t="shared" si="19"/>
        <v>0</v>
      </c>
    </row>
    <row r="41" spans="1:45" ht="15" x14ac:dyDescent="0.25">
      <c r="A41" s="784"/>
      <c r="B41" s="719">
        <f t="shared" si="22"/>
        <v>32</v>
      </c>
      <c r="C41" s="170" t="str">
        <f t="shared" si="0"/>
        <v/>
      </c>
      <c r="D41" s="557"/>
      <c r="E41" s="170"/>
      <c r="F41" s="170"/>
      <c r="G41" s="2007"/>
      <c r="H41" s="1926"/>
      <c r="I41" s="2008"/>
      <c r="J41" s="1926"/>
      <c r="K41" s="1926"/>
      <c r="L41" s="170"/>
      <c r="M41" s="2009">
        <v>0</v>
      </c>
      <c r="N41" s="2010">
        <v>1</v>
      </c>
      <c r="O41" s="773">
        <f t="shared" si="1"/>
        <v>0</v>
      </c>
      <c r="P41" s="2008" t="s">
        <v>39</v>
      </c>
      <c r="Q41" s="2008" t="s">
        <v>39</v>
      </c>
      <c r="R41" s="2011" t="s">
        <v>73</v>
      </c>
      <c r="S41" s="775">
        <f>SUMIF('Data Input sheet'!$B$118:$B$180,R41,'Data Input sheet'!$D$118:$D$180)</f>
        <v>119</v>
      </c>
      <c r="T41" s="2012">
        <f t="shared" si="2"/>
        <v>0</v>
      </c>
      <c r="U41" s="2013">
        <v>0</v>
      </c>
      <c r="V41" s="778">
        <f t="shared" si="20"/>
        <v>0</v>
      </c>
      <c r="W41" s="2010"/>
      <c r="X41" s="779"/>
      <c r="Y41" s="2012">
        <v>0</v>
      </c>
      <c r="Z41" s="780">
        <f t="shared" si="3"/>
        <v>0</v>
      </c>
      <c r="AA41" s="2007"/>
      <c r="AB41" s="2007"/>
      <c r="AC41" s="765"/>
      <c r="AD41" s="781">
        <f t="shared" ref="AD41:AD72" si="23">IF(P41="E",+ROUND(H41*O41,0),0)</f>
        <v>0</v>
      </c>
      <c r="AE41" s="781">
        <f t="shared" si="5"/>
        <v>0</v>
      </c>
      <c r="AF41" s="781">
        <f t="shared" ref="AF41:AF72" si="24">+H41*O41</f>
        <v>0</v>
      </c>
      <c r="AG41" s="781">
        <f t="shared" ref="AG41:AG72" si="25">IF(P41="E",+ROUND(T41*H41,0),0)</f>
        <v>0</v>
      </c>
      <c r="AH41" s="781">
        <f t="shared" si="8"/>
        <v>0</v>
      </c>
      <c r="AI41" s="782">
        <f t="shared" ref="AI41:AI72" si="26">+H41*T41</f>
        <v>0</v>
      </c>
      <c r="AJ41" s="781">
        <f t="shared" ref="AJ41:AJ72" si="27">IF(P41="E",+ROUND(V41*H41,0),0)</f>
        <v>0</v>
      </c>
      <c r="AK41" s="781">
        <f t="shared" si="11"/>
        <v>0</v>
      </c>
      <c r="AL41" s="781">
        <f t="shared" ref="AL41:AL72" si="28">ROUND(V41*H41,0)</f>
        <v>0</v>
      </c>
      <c r="AM41" s="781">
        <f t="shared" ref="AM41:AM72" si="29">IF(Q41="E",+ROUND(W41*H41,0),0)</f>
        <v>0</v>
      </c>
      <c r="AN41" s="781">
        <f t="shared" si="14"/>
        <v>0</v>
      </c>
      <c r="AO41" s="781">
        <f t="shared" ref="AO41:AO72" si="30">ROUND(W41*H41,0)</f>
        <v>0</v>
      </c>
      <c r="AP41" s="781">
        <f t="shared" ref="AP41:AP72" si="31">IF(P41="E",+ROUND(Y41*H41,0),0)</f>
        <v>0</v>
      </c>
      <c r="AQ41" s="781">
        <f t="shared" si="17"/>
        <v>0</v>
      </c>
      <c r="AR41" s="781">
        <f t="shared" ref="AR41:AR72" si="32">ROUND(Y41*H41,0)</f>
        <v>0</v>
      </c>
      <c r="AS41" s="783">
        <f t="shared" si="19"/>
        <v>0</v>
      </c>
    </row>
    <row r="42" spans="1:45" ht="15" x14ac:dyDescent="0.25">
      <c r="A42" s="784"/>
      <c r="B42" s="719">
        <f t="shared" si="22"/>
        <v>33</v>
      </c>
      <c r="C42" s="170" t="str">
        <f t="shared" si="0"/>
        <v/>
      </c>
      <c r="D42" s="557"/>
      <c r="E42" s="170"/>
      <c r="F42" s="170"/>
      <c r="G42" s="2007"/>
      <c r="H42" s="1926"/>
      <c r="I42" s="2008"/>
      <c r="J42" s="1926"/>
      <c r="K42" s="1926"/>
      <c r="L42" s="170"/>
      <c r="M42" s="2009"/>
      <c r="N42" s="2010"/>
      <c r="O42" s="773"/>
      <c r="P42" s="2008"/>
      <c r="Q42" s="2008"/>
      <c r="R42" s="2011"/>
      <c r="S42" s="775"/>
      <c r="T42" s="2012">
        <f t="shared" si="2"/>
        <v>0</v>
      </c>
      <c r="U42" s="2013">
        <v>0</v>
      </c>
      <c r="V42" s="778">
        <f t="shared" si="20"/>
        <v>0</v>
      </c>
      <c r="W42" s="2010"/>
      <c r="X42" s="779"/>
      <c r="Y42" s="2012"/>
      <c r="Z42" s="780"/>
      <c r="AA42" s="2007"/>
      <c r="AB42" s="2007"/>
      <c r="AC42" s="765"/>
      <c r="AD42" s="781">
        <f t="shared" si="23"/>
        <v>0</v>
      </c>
      <c r="AE42" s="781">
        <f t="shared" si="5"/>
        <v>0</v>
      </c>
      <c r="AF42" s="781">
        <f t="shared" si="24"/>
        <v>0</v>
      </c>
      <c r="AG42" s="781">
        <f t="shared" si="25"/>
        <v>0</v>
      </c>
      <c r="AH42" s="781">
        <f t="shared" si="8"/>
        <v>0</v>
      </c>
      <c r="AI42" s="782">
        <f t="shared" si="26"/>
        <v>0</v>
      </c>
      <c r="AJ42" s="781">
        <f t="shared" si="27"/>
        <v>0</v>
      </c>
      <c r="AK42" s="781">
        <f t="shared" si="11"/>
        <v>0</v>
      </c>
      <c r="AL42" s="781">
        <f t="shared" si="28"/>
        <v>0</v>
      </c>
      <c r="AM42" s="781">
        <f t="shared" si="29"/>
        <v>0</v>
      </c>
      <c r="AN42" s="781">
        <f t="shared" si="14"/>
        <v>0</v>
      </c>
      <c r="AO42" s="781">
        <f t="shared" si="30"/>
        <v>0</v>
      </c>
      <c r="AP42" s="781">
        <f t="shared" si="31"/>
        <v>0</v>
      </c>
      <c r="AQ42" s="781">
        <f t="shared" si="17"/>
        <v>0</v>
      </c>
      <c r="AR42" s="781">
        <f t="shared" si="32"/>
        <v>0</v>
      </c>
      <c r="AS42" s="783">
        <f t="shared" si="19"/>
        <v>0</v>
      </c>
    </row>
    <row r="43" spans="1:45" ht="15" x14ac:dyDescent="0.25">
      <c r="A43" s="784"/>
      <c r="B43" s="719">
        <f t="shared" si="22"/>
        <v>34</v>
      </c>
      <c r="C43" s="170" t="str">
        <f t="shared" si="0"/>
        <v/>
      </c>
      <c r="D43" s="557"/>
      <c r="E43" s="170"/>
      <c r="F43" s="170"/>
      <c r="G43" s="2007"/>
      <c r="H43" s="1926"/>
      <c r="I43" s="2008"/>
      <c r="J43" s="1926"/>
      <c r="K43" s="1926"/>
      <c r="L43" s="170"/>
      <c r="M43" s="2009"/>
      <c r="N43" s="2010"/>
      <c r="O43" s="773"/>
      <c r="P43" s="2008"/>
      <c r="Q43" s="2008"/>
      <c r="R43" s="2011"/>
      <c r="S43" s="775"/>
      <c r="T43" s="2012">
        <f t="shared" si="2"/>
        <v>0</v>
      </c>
      <c r="U43" s="2013">
        <v>0</v>
      </c>
      <c r="V43" s="778">
        <f t="shared" si="20"/>
        <v>0</v>
      </c>
      <c r="W43" s="2010"/>
      <c r="X43" s="779"/>
      <c r="Y43" s="2012"/>
      <c r="Z43" s="780"/>
      <c r="AA43" s="2007"/>
      <c r="AB43" s="2007"/>
      <c r="AC43" s="765"/>
      <c r="AD43" s="781">
        <f t="shared" si="23"/>
        <v>0</v>
      </c>
      <c r="AE43" s="781">
        <f t="shared" si="5"/>
        <v>0</v>
      </c>
      <c r="AF43" s="781">
        <f t="shared" si="24"/>
        <v>0</v>
      </c>
      <c r="AG43" s="781">
        <f t="shared" si="25"/>
        <v>0</v>
      </c>
      <c r="AH43" s="781">
        <f t="shared" si="8"/>
        <v>0</v>
      </c>
      <c r="AI43" s="782">
        <f t="shared" si="26"/>
        <v>0</v>
      </c>
      <c r="AJ43" s="781">
        <f t="shared" si="27"/>
        <v>0</v>
      </c>
      <c r="AK43" s="781">
        <f t="shared" si="11"/>
        <v>0</v>
      </c>
      <c r="AL43" s="781">
        <f t="shared" si="28"/>
        <v>0</v>
      </c>
      <c r="AM43" s="781">
        <f t="shared" si="29"/>
        <v>0</v>
      </c>
      <c r="AN43" s="781">
        <f t="shared" si="14"/>
        <v>0</v>
      </c>
      <c r="AO43" s="781">
        <f t="shared" si="30"/>
        <v>0</v>
      </c>
      <c r="AP43" s="781">
        <f t="shared" si="31"/>
        <v>0</v>
      </c>
      <c r="AQ43" s="781">
        <f t="shared" si="17"/>
        <v>0</v>
      </c>
      <c r="AR43" s="781">
        <f t="shared" si="32"/>
        <v>0</v>
      </c>
      <c r="AS43" s="783">
        <f t="shared" si="19"/>
        <v>0</v>
      </c>
    </row>
    <row r="44" spans="1:45" ht="15" x14ac:dyDescent="0.25">
      <c r="A44" s="784"/>
      <c r="B44" s="719">
        <f t="shared" si="22"/>
        <v>35</v>
      </c>
      <c r="C44" s="170" t="str">
        <f t="shared" si="0"/>
        <v/>
      </c>
      <c r="D44" s="557"/>
      <c r="E44" s="170"/>
      <c r="F44" s="170"/>
      <c r="G44" s="2007"/>
      <c r="H44" s="1926"/>
      <c r="I44" s="2008"/>
      <c r="J44" s="1926"/>
      <c r="K44" s="1926"/>
      <c r="L44" s="170"/>
      <c r="M44" s="2009">
        <v>0</v>
      </c>
      <c r="N44" s="2010">
        <v>1</v>
      </c>
      <c r="O44" s="773">
        <f t="shared" ref="O44:O71" si="33">+M44*N44</f>
        <v>0</v>
      </c>
      <c r="P44" s="2008" t="s">
        <v>39</v>
      </c>
      <c r="Q44" s="2008" t="s">
        <v>39</v>
      </c>
      <c r="R44" s="2011" t="s">
        <v>74</v>
      </c>
      <c r="S44" s="775">
        <f>SUMIF('Data Input sheet'!$B$118:$B$180,R44,'Data Input sheet'!$D$118:$D$180)</f>
        <v>152</v>
      </c>
      <c r="T44" s="2012">
        <f t="shared" si="2"/>
        <v>0</v>
      </c>
      <c r="U44" s="2013">
        <v>0</v>
      </c>
      <c r="V44" s="778">
        <f t="shared" si="20"/>
        <v>0</v>
      </c>
      <c r="W44" s="2010"/>
      <c r="X44" s="779"/>
      <c r="Y44" s="2012">
        <v>0</v>
      </c>
      <c r="Z44" s="780">
        <f t="shared" ref="Z44:Z71" si="34">T44+V44+W44+Y44</f>
        <v>0</v>
      </c>
      <c r="AA44" s="2007"/>
      <c r="AB44" s="2007"/>
      <c r="AC44" s="765"/>
      <c r="AD44" s="781">
        <f t="shared" si="23"/>
        <v>0</v>
      </c>
      <c r="AE44" s="781">
        <f t="shared" si="5"/>
        <v>0</v>
      </c>
      <c r="AF44" s="781">
        <f t="shared" si="24"/>
        <v>0</v>
      </c>
      <c r="AG44" s="781">
        <f t="shared" si="25"/>
        <v>0</v>
      </c>
      <c r="AH44" s="781">
        <f t="shared" si="8"/>
        <v>0</v>
      </c>
      <c r="AI44" s="782">
        <f t="shared" si="26"/>
        <v>0</v>
      </c>
      <c r="AJ44" s="781">
        <f t="shared" si="27"/>
        <v>0</v>
      </c>
      <c r="AK44" s="781">
        <f t="shared" si="11"/>
        <v>0</v>
      </c>
      <c r="AL44" s="781">
        <f t="shared" si="28"/>
        <v>0</v>
      </c>
      <c r="AM44" s="781">
        <f t="shared" si="29"/>
        <v>0</v>
      </c>
      <c r="AN44" s="781">
        <f t="shared" si="14"/>
        <v>0</v>
      </c>
      <c r="AO44" s="781">
        <f t="shared" si="30"/>
        <v>0</v>
      </c>
      <c r="AP44" s="781">
        <f t="shared" si="31"/>
        <v>0</v>
      </c>
      <c r="AQ44" s="781">
        <f t="shared" si="17"/>
        <v>0</v>
      </c>
      <c r="AR44" s="781">
        <f t="shared" si="32"/>
        <v>0</v>
      </c>
      <c r="AS44" s="783">
        <f t="shared" si="19"/>
        <v>0</v>
      </c>
    </row>
    <row r="45" spans="1:45" ht="15" x14ac:dyDescent="0.25">
      <c r="A45" s="784"/>
      <c r="B45" s="719">
        <f t="shared" si="22"/>
        <v>36</v>
      </c>
      <c r="C45" s="170" t="str">
        <f t="shared" si="0"/>
        <v>30LF</v>
      </c>
      <c r="D45" s="557"/>
      <c r="E45" s="170"/>
      <c r="F45" s="170">
        <v>30</v>
      </c>
      <c r="G45" s="2007" t="s">
        <v>773</v>
      </c>
      <c r="H45" s="1926"/>
      <c r="I45" s="2008" t="s">
        <v>728</v>
      </c>
      <c r="J45" s="1926"/>
      <c r="K45" s="1926"/>
      <c r="L45" s="170"/>
      <c r="M45" s="2009">
        <v>0.50526315789473686</v>
      </c>
      <c r="N45" s="2010">
        <v>1</v>
      </c>
      <c r="O45" s="773">
        <f t="shared" si="33"/>
        <v>0.50526315789473686</v>
      </c>
      <c r="P45" s="2008" t="s">
        <v>39</v>
      </c>
      <c r="Q45" s="2008" t="s">
        <v>39</v>
      </c>
      <c r="R45" s="2011" t="s">
        <v>74</v>
      </c>
      <c r="S45" s="775">
        <f>SUMIF('Data Input sheet'!$B$118:$B$180,R45,'Data Input sheet'!$D$118:$D$180)</f>
        <v>152</v>
      </c>
      <c r="T45" s="2012">
        <f t="shared" si="2"/>
        <v>77</v>
      </c>
      <c r="U45" s="2013">
        <v>59</v>
      </c>
      <c r="V45" s="778">
        <f t="shared" si="20"/>
        <v>30</v>
      </c>
      <c r="W45" s="2010">
        <v>57.276275097600013</v>
      </c>
      <c r="X45" s="779"/>
      <c r="Y45" s="2012">
        <v>0</v>
      </c>
      <c r="Z45" s="780">
        <f t="shared" si="34"/>
        <v>164.27627509760001</v>
      </c>
      <c r="AA45" s="2007" t="s">
        <v>774</v>
      </c>
      <c r="AB45" s="2007"/>
      <c r="AC45" s="765"/>
      <c r="AD45" s="781">
        <f t="shared" si="23"/>
        <v>0</v>
      </c>
      <c r="AE45" s="781">
        <f t="shared" si="5"/>
        <v>0</v>
      </c>
      <c r="AF45" s="781">
        <f t="shared" si="24"/>
        <v>0</v>
      </c>
      <c r="AG45" s="781">
        <f t="shared" si="25"/>
        <v>0</v>
      </c>
      <c r="AH45" s="781">
        <f t="shared" si="8"/>
        <v>0</v>
      </c>
      <c r="AI45" s="782">
        <f t="shared" si="26"/>
        <v>0</v>
      </c>
      <c r="AJ45" s="781">
        <f t="shared" si="27"/>
        <v>0</v>
      </c>
      <c r="AK45" s="781">
        <f t="shared" si="11"/>
        <v>0</v>
      </c>
      <c r="AL45" s="781">
        <f t="shared" si="28"/>
        <v>0</v>
      </c>
      <c r="AM45" s="781">
        <f t="shared" si="29"/>
        <v>0</v>
      </c>
      <c r="AN45" s="781">
        <f t="shared" si="14"/>
        <v>0</v>
      </c>
      <c r="AO45" s="781">
        <f t="shared" si="30"/>
        <v>0</v>
      </c>
      <c r="AP45" s="781">
        <f t="shared" si="31"/>
        <v>0</v>
      </c>
      <c r="AQ45" s="781">
        <f t="shared" si="17"/>
        <v>0</v>
      </c>
      <c r="AR45" s="781">
        <f t="shared" si="32"/>
        <v>0</v>
      </c>
      <c r="AS45" s="783">
        <f t="shared" si="19"/>
        <v>0</v>
      </c>
    </row>
    <row r="46" spans="1:45" ht="15" x14ac:dyDescent="0.25">
      <c r="A46" s="784"/>
      <c r="B46" s="719">
        <f t="shared" si="22"/>
        <v>37</v>
      </c>
      <c r="C46" s="170" t="str">
        <f t="shared" si="0"/>
        <v>30LF</v>
      </c>
      <c r="D46" s="557"/>
      <c r="E46" s="170"/>
      <c r="F46" s="170">
        <v>30</v>
      </c>
      <c r="G46" s="2007" t="s">
        <v>775</v>
      </c>
      <c r="H46" s="1926"/>
      <c r="I46" s="2008" t="s">
        <v>728</v>
      </c>
      <c r="J46" s="1926"/>
      <c r="K46" s="1926"/>
      <c r="L46" s="170"/>
      <c r="M46" s="2009">
        <v>1.4210526315789473</v>
      </c>
      <c r="N46" s="2010">
        <v>1</v>
      </c>
      <c r="O46" s="773">
        <f t="shared" si="33"/>
        <v>1.4210526315789473</v>
      </c>
      <c r="P46" s="2008" t="s">
        <v>39</v>
      </c>
      <c r="Q46" s="2008" t="s">
        <v>39</v>
      </c>
      <c r="R46" s="2011" t="s">
        <v>74</v>
      </c>
      <c r="S46" s="775">
        <f>SUMIF('Data Input sheet'!$B$118:$B$180,R46,'Data Input sheet'!$D$118:$D$180)</f>
        <v>152</v>
      </c>
      <c r="T46" s="2012">
        <f t="shared" si="2"/>
        <v>216</v>
      </c>
      <c r="U46" s="2013">
        <v>31</v>
      </c>
      <c r="V46" s="778">
        <f t="shared" si="20"/>
        <v>44</v>
      </c>
      <c r="W46" s="2010">
        <v>95.460458496000015</v>
      </c>
      <c r="X46" s="779"/>
      <c r="Y46" s="2012">
        <v>0</v>
      </c>
      <c r="Z46" s="780">
        <f t="shared" si="34"/>
        <v>355.460458496</v>
      </c>
      <c r="AA46" s="2007"/>
      <c r="AB46" s="2007"/>
      <c r="AC46" s="765"/>
      <c r="AD46" s="781">
        <f t="shared" si="23"/>
        <v>0</v>
      </c>
      <c r="AE46" s="781">
        <f t="shared" si="5"/>
        <v>0</v>
      </c>
      <c r="AF46" s="781">
        <f t="shared" si="24"/>
        <v>0</v>
      </c>
      <c r="AG46" s="781">
        <f t="shared" si="25"/>
        <v>0</v>
      </c>
      <c r="AH46" s="781">
        <f t="shared" si="8"/>
        <v>0</v>
      </c>
      <c r="AI46" s="782">
        <f t="shared" si="26"/>
        <v>0</v>
      </c>
      <c r="AJ46" s="781">
        <f t="shared" si="27"/>
        <v>0</v>
      </c>
      <c r="AK46" s="781">
        <f t="shared" si="11"/>
        <v>0</v>
      </c>
      <c r="AL46" s="781">
        <f t="shared" si="28"/>
        <v>0</v>
      </c>
      <c r="AM46" s="781">
        <f t="shared" si="29"/>
        <v>0</v>
      </c>
      <c r="AN46" s="781">
        <f t="shared" si="14"/>
        <v>0</v>
      </c>
      <c r="AO46" s="781">
        <f t="shared" si="30"/>
        <v>0</v>
      </c>
      <c r="AP46" s="781">
        <f t="shared" si="31"/>
        <v>0</v>
      </c>
      <c r="AQ46" s="781">
        <f t="shared" si="17"/>
        <v>0</v>
      </c>
      <c r="AR46" s="781">
        <f t="shared" si="32"/>
        <v>0</v>
      </c>
      <c r="AS46" s="783">
        <f t="shared" si="19"/>
        <v>0</v>
      </c>
    </row>
    <row r="47" spans="1:45" ht="15" x14ac:dyDescent="0.25">
      <c r="A47" s="784"/>
      <c r="B47" s="719">
        <f t="shared" si="22"/>
        <v>38</v>
      </c>
      <c r="C47" s="170" t="str">
        <f t="shared" si="0"/>
        <v>30EA</v>
      </c>
      <c r="D47" s="557"/>
      <c r="E47" s="170"/>
      <c r="F47" s="170">
        <v>30</v>
      </c>
      <c r="G47" s="2007" t="s">
        <v>776</v>
      </c>
      <c r="H47" s="1926"/>
      <c r="I47" s="2008" t="s">
        <v>732</v>
      </c>
      <c r="J47" s="1926"/>
      <c r="K47" s="1926"/>
      <c r="L47" s="170"/>
      <c r="M47" s="2009">
        <v>500</v>
      </c>
      <c r="N47" s="2010">
        <v>1</v>
      </c>
      <c r="O47" s="773">
        <f t="shared" si="33"/>
        <v>500</v>
      </c>
      <c r="P47" s="2008" t="s">
        <v>39</v>
      </c>
      <c r="Q47" s="2008" t="s">
        <v>39</v>
      </c>
      <c r="R47" s="2011" t="s">
        <v>74</v>
      </c>
      <c r="S47" s="775">
        <f>SUMIF('Data Input sheet'!$B$118:$B$180,R47,'Data Input sheet'!$D$118:$D$180)</f>
        <v>152</v>
      </c>
      <c r="T47" s="2012">
        <f t="shared" si="2"/>
        <v>76000</v>
      </c>
      <c r="U47" s="2013">
        <v>14</v>
      </c>
      <c r="V47" s="778">
        <f t="shared" si="20"/>
        <v>7000</v>
      </c>
      <c r="W47" s="2010">
        <v>554267.28714239993</v>
      </c>
      <c r="X47" s="779"/>
      <c r="Y47" s="2012">
        <v>0</v>
      </c>
      <c r="Z47" s="780">
        <f t="shared" si="34"/>
        <v>637267.28714239993</v>
      </c>
      <c r="AA47" s="2007"/>
      <c r="AB47" s="2007"/>
      <c r="AC47" s="765"/>
      <c r="AD47" s="781">
        <f t="shared" si="23"/>
        <v>0</v>
      </c>
      <c r="AE47" s="781">
        <f t="shared" si="5"/>
        <v>0</v>
      </c>
      <c r="AF47" s="781">
        <f t="shared" si="24"/>
        <v>0</v>
      </c>
      <c r="AG47" s="781">
        <f t="shared" si="25"/>
        <v>0</v>
      </c>
      <c r="AH47" s="781">
        <f t="shared" si="8"/>
        <v>0</v>
      </c>
      <c r="AI47" s="782">
        <f t="shared" si="26"/>
        <v>0</v>
      </c>
      <c r="AJ47" s="781">
        <f t="shared" si="27"/>
        <v>0</v>
      </c>
      <c r="AK47" s="781">
        <f t="shared" si="11"/>
        <v>0</v>
      </c>
      <c r="AL47" s="781">
        <f t="shared" si="28"/>
        <v>0</v>
      </c>
      <c r="AM47" s="781">
        <f t="shared" si="29"/>
        <v>0</v>
      </c>
      <c r="AN47" s="781">
        <f t="shared" si="14"/>
        <v>0</v>
      </c>
      <c r="AO47" s="781">
        <f t="shared" si="30"/>
        <v>0</v>
      </c>
      <c r="AP47" s="781">
        <f t="shared" si="31"/>
        <v>0</v>
      </c>
      <c r="AQ47" s="781">
        <f t="shared" si="17"/>
        <v>0</v>
      </c>
      <c r="AR47" s="781">
        <f t="shared" si="32"/>
        <v>0</v>
      </c>
      <c r="AS47" s="783">
        <f t="shared" si="19"/>
        <v>0</v>
      </c>
    </row>
    <row r="48" spans="1:45" ht="15" x14ac:dyDescent="0.25">
      <c r="A48" s="784"/>
      <c r="B48" s="719">
        <f t="shared" si="22"/>
        <v>39</v>
      </c>
      <c r="C48" s="170" t="str">
        <f t="shared" si="0"/>
        <v>30EA</v>
      </c>
      <c r="D48" s="557"/>
      <c r="E48" s="170"/>
      <c r="F48" s="170">
        <v>30</v>
      </c>
      <c r="G48" s="2007" t="s">
        <v>777</v>
      </c>
      <c r="H48" s="1926">
        <v>0</v>
      </c>
      <c r="I48" s="2008" t="s">
        <v>732</v>
      </c>
      <c r="J48" s="1926"/>
      <c r="K48" s="1926"/>
      <c r="L48" s="170"/>
      <c r="M48" s="2009">
        <v>2368.42</v>
      </c>
      <c r="N48" s="2010">
        <v>1</v>
      </c>
      <c r="O48" s="773">
        <f t="shared" si="33"/>
        <v>2368.42</v>
      </c>
      <c r="P48" s="2008" t="s">
        <v>39</v>
      </c>
      <c r="Q48" s="2008" t="s">
        <v>604</v>
      </c>
      <c r="R48" s="2011" t="s">
        <v>74</v>
      </c>
      <c r="S48" s="775">
        <f>SUMIF('Data Input sheet'!$B$118:$B$180,R48,'Data Input sheet'!$D$118:$D$180)</f>
        <v>152</v>
      </c>
      <c r="T48" s="2012">
        <f t="shared" si="2"/>
        <v>360000</v>
      </c>
      <c r="U48" s="2013">
        <v>16</v>
      </c>
      <c r="V48" s="778">
        <f t="shared" si="20"/>
        <v>37895</v>
      </c>
      <c r="W48" s="2010">
        <v>855087.05697792012</v>
      </c>
      <c r="X48" s="779"/>
      <c r="Y48" s="2012">
        <v>0</v>
      </c>
      <c r="Z48" s="780">
        <f t="shared" si="34"/>
        <v>1252982.0569779202</v>
      </c>
      <c r="AA48" s="2007"/>
      <c r="AB48" s="2007"/>
      <c r="AC48" s="765"/>
      <c r="AD48" s="781">
        <f t="shared" si="23"/>
        <v>0</v>
      </c>
      <c r="AE48" s="781">
        <f t="shared" si="5"/>
        <v>0</v>
      </c>
      <c r="AF48" s="781">
        <f t="shared" si="24"/>
        <v>0</v>
      </c>
      <c r="AG48" s="781">
        <f t="shared" si="25"/>
        <v>0</v>
      </c>
      <c r="AH48" s="781">
        <f t="shared" si="8"/>
        <v>0</v>
      </c>
      <c r="AI48" s="782">
        <f t="shared" si="26"/>
        <v>0</v>
      </c>
      <c r="AJ48" s="781">
        <f t="shared" si="27"/>
        <v>0</v>
      </c>
      <c r="AK48" s="781">
        <f t="shared" si="11"/>
        <v>0</v>
      </c>
      <c r="AL48" s="781">
        <f t="shared" si="28"/>
        <v>0</v>
      </c>
      <c r="AM48" s="781">
        <f t="shared" si="29"/>
        <v>0</v>
      </c>
      <c r="AN48" s="781">
        <f t="shared" si="14"/>
        <v>0</v>
      </c>
      <c r="AO48" s="781">
        <f t="shared" si="30"/>
        <v>0</v>
      </c>
      <c r="AP48" s="781">
        <f t="shared" si="31"/>
        <v>0</v>
      </c>
      <c r="AQ48" s="781">
        <f t="shared" si="17"/>
        <v>0</v>
      </c>
      <c r="AR48" s="781">
        <f t="shared" si="32"/>
        <v>0</v>
      </c>
      <c r="AS48" s="783">
        <f t="shared" si="19"/>
        <v>0</v>
      </c>
    </row>
    <row r="49" spans="1:45" ht="15" x14ac:dyDescent="0.25">
      <c r="A49" s="784"/>
      <c r="B49" s="719">
        <f t="shared" si="22"/>
        <v>40</v>
      </c>
      <c r="C49" s="170" t="str">
        <f t="shared" si="0"/>
        <v>30Gal</v>
      </c>
      <c r="D49" s="557"/>
      <c r="E49" s="170"/>
      <c r="F49" s="170">
        <v>30</v>
      </c>
      <c r="G49" s="2007" t="s">
        <v>778</v>
      </c>
      <c r="H49" s="1926"/>
      <c r="I49" s="2008" t="s">
        <v>779</v>
      </c>
      <c r="J49" s="1926"/>
      <c r="K49" s="1926"/>
      <c r="L49" s="170"/>
      <c r="M49" s="2009">
        <v>8.429473684210527E-2</v>
      </c>
      <c r="N49" s="2010">
        <v>1</v>
      </c>
      <c r="O49" s="773">
        <f t="shared" si="33"/>
        <v>8.429473684210527E-2</v>
      </c>
      <c r="P49" s="2008" t="s">
        <v>39</v>
      </c>
      <c r="Q49" s="2008" t="s">
        <v>39</v>
      </c>
      <c r="R49" s="2011" t="s">
        <v>74</v>
      </c>
      <c r="S49" s="775">
        <f>SUMIF('Data Input sheet'!$B$118:$B$180,R49,'Data Input sheet'!$D$118:$D$180)</f>
        <v>152</v>
      </c>
      <c r="T49" s="2012">
        <f t="shared" si="2"/>
        <v>13</v>
      </c>
      <c r="U49" s="2013">
        <v>0</v>
      </c>
      <c r="V49" s="778">
        <f t="shared" si="20"/>
        <v>0</v>
      </c>
      <c r="W49" s="2010">
        <v>8.3527901184000015</v>
      </c>
      <c r="X49" s="779"/>
      <c r="Y49" s="2012">
        <v>0</v>
      </c>
      <c r="Z49" s="780">
        <f t="shared" si="34"/>
        <v>21.352790118400002</v>
      </c>
      <c r="AA49" s="2007"/>
      <c r="AB49" s="2007"/>
      <c r="AC49" s="765"/>
      <c r="AD49" s="781">
        <f t="shared" si="23"/>
        <v>0</v>
      </c>
      <c r="AE49" s="781">
        <f t="shared" si="5"/>
        <v>0</v>
      </c>
      <c r="AF49" s="781">
        <f t="shared" si="24"/>
        <v>0</v>
      </c>
      <c r="AG49" s="781">
        <f t="shared" si="25"/>
        <v>0</v>
      </c>
      <c r="AH49" s="781">
        <f t="shared" si="8"/>
        <v>0</v>
      </c>
      <c r="AI49" s="782">
        <f t="shared" si="26"/>
        <v>0</v>
      </c>
      <c r="AJ49" s="781">
        <f t="shared" si="27"/>
        <v>0</v>
      </c>
      <c r="AK49" s="781">
        <f t="shared" si="11"/>
        <v>0</v>
      </c>
      <c r="AL49" s="781">
        <f t="shared" si="28"/>
        <v>0</v>
      </c>
      <c r="AM49" s="781">
        <f t="shared" si="29"/>
        <v>0</v>
      </c>
      <c r="AN49" s="781">
        <f t="shared" si="14"/>
        <v>0</v>
      </c>
      <c r="AO49" s="781">
        <f t="shared" si="30"/>
        <v>0</v>
      </c>
      <c r="AP49" s="781">
        <f t="shared" si="31"/>
        <v>0</v>
      </c>
      <c r="AQ49" s="781">
        <f t="shared" si="17"/>
        <v>0</v>
      </c>
      <c r="AR49" s="781">
        <f t="shared" si="32"/>
        <v>0</v>
      </c>
      <c r="AS49" s="783">
        <f t="shared" si="19"/>
        <v>0</v>
      </c>
    </row>
    <row r="50" spans="1:45" ht="15" x14ac:dyDescent="0.25">
      <c r="A50" s="784"/>
      <c r="B50" s="719">
        <f t="shared" si="22"/>
        <v>41</v>
      </c>
      <c r="C50" s="170" t="str">
        <f t="shared" si="0"/>
        <v>30EA</v>
      </c>
      <c r="D50" s="557"/>
      <c r="E50" s="170"/>
      <c r="F50" s="170">
        <v>30</v>
      </c>
      <c r="G50" s="2007" t="s">
        <v>780</v>
      </c>
      <c r="H50" s="1926"/>
      <c r="I50" s="2008" t="s">
        <v>732</v>
      </c>
      <c r="J50" s="1926"/>
      <c r="K50" s="1926"/>
      <c r="L50" s="170"/>
      <c r="M50" s="2009">
        <v>173.68421052631578</v>
      </c>
      <c r="N50" s="2010">
        <v>1</v>
      </c>
      <c r="O50" s="773">
        <f t="shared" si="33"/>
        <v>173.68421052631578</v>
      </c>
      <c r="P50" s="2008" t="s">
        <v>39</v>
      </c>
      <c r="Q50" s="2008" t="s">
        <v>39</v>
      </c>
      <c r="R50" s="2011" t="s">
        <v>74</v>
      </c>
      <c r="S50" s="775">
        <f>SUMIF('Data Input sheet'!$B$118:$B$180,R50,'Data Input sheet'!$D$118:$D$180)</f>
        <v>152</v>
      </c>
      <c r="T50" s="2012">
        <f t="shared" si="2"/>
        <v>26400</v>
      </c>
      <c r="U50" s="2013">
        <v>28</v>
      </c>
      <c r="V50" s="778">
        <f t="shared" si="20"/>
        <v>4863</v>
      </c>
      <c r="W50" s="2010">
        <v>45000</v>
      </c>
      <c r="X50" s="779"/>
      <c r="Y50" s="2012">
        <v>0</v>
      </c>
      <c r="Z50" s="780">
        <f t="shared" si="34"/>
        <v>76263</v>
      </c>
      <c r="AA50" s="2007"/>
      <c r="AB50" s="2007"/>
      <c r="AC50" s="765"/>
      <c r="AD50" s="781">
        <f t="shared" si="23"/>
        <v>0</v>
      </c>
      <c r="AE50" s="781">
        <f t="shared" si="5"/>
        <v>0</v>
      </c>
      <c r="AF50" s="781">
        <f t="shared" si="24"/>
        <v>0</v>
      </c>
      <c r="AG50" s="781">
        <f t="shared" si="25"/>
        <v>0</v>
      </c>
      <c r="AH50" s="781">
        <f t="shared" si="8"/>
        <v>0</v>
      </c>
      <c r="AI50" s="782">
        <f t="shared" si="26"/>
        <v>0</v>
      </c>
      <c r="AJ50" s="781">
        <f t="shared" si="27"/>
        <v>0</v>
      </c>
      <c r="AK50" s="781">
        <f t="shared" si="11"/>
        <v>0</v>
      </c>
      <c r="AL50" s="781">
        <f t="shared" si="28"/>
        <v>0</v>
      </c>
      <c r="AM50" s="781">
        <f t="shared" si="29"/>
        <v>0</v>
      </c>
      <c r="AN50" s="781">
        <f t="shared" si="14"/>
        <v>0</v>
      </c>
      <c r="AO50" s="781">
        <f t="shared" si="30"/>
        <v>0</v>
      </c>
      <c r="AP50" s="781">
        <f t="shared" si="31"/>
        <v>0</v>
      </c>
      <c r="AQ50" s="781">
        <f t="shared" si="17"/>
        <v>0</v>
      </c>
      <c r="AR50" s="781">
        <f t="shared" si="32"/>
        <v>0</v>
      </c>
      <c r="AS50" s="783">
        <f t="shared" si="19"/>
        <v>0</v>
      </c>
    </row>
    <row r="51" spans="1:45" ht="25.5" x14ac:dyDescent="0.25">
      <c r="A51" s="784"/>
      <c r="B51" s="719">
        <f t="shared" si="22"/>
        <v>42</v>
      </c>
      <c r="C51" s="170" t="str">
        <f t="shared" si="0"/>
        <v>30Ckt. Ft</v>
      </c>
      <c r="D51" s="557"/>
      <c r="E51" s="170"/>
      <c r="F51" s="170">
        <v>30</v>
      </c>
      <c r="G51" s="2007" t="s">
        <v>781</v>
      </c>
      <c r="H51" s="1926">
        <v>0</v>
      </c>
      <c r="I51" s="2008" t="s">
        <v>1331</v>
      </c>
      <c r="J51" s="1926"/>
      <c r="K51" s="1926"/>
      <c r="L51" s="170"/>
      <c r="M51" s="2009">
        <v>8.4210526315789472E-2</v>
      </c>
      <c r="N51" s="2010">
        <v>1</v>
      </c>
      <c r="O51" s="773">
        <f t="shared" si="33"/>
        <v>8.4210526315789472E-2</v>
      </c>
      <c r="P51" s="2008" t="s">
        <v>39</v>
      </c>
      <c r="Q51" s="2008" t="s">
        <v>39</v>
      </c>
      <c r="R51" s="2011" t="s">
        <v>74</v>
      </c>
      <c r="S51" s="775">
        <f>SUMIF('Data Input sheet'!$B$118:$B$180,R51,'Data Input sheet'!$D$118:$D$180)</f>
        <v>152</v>
      </c>
      <c r="T51" s="2012">
        <f t="shared" si="2"/>
        <v>13</v>
      </c>
      <c r="U51" s="2013">
        <v>36</v>
      </c>
      <c r="V51" s="778">
        <f t="shared" si="20"/>
        <v>3</v>
      </c>
      <c r="W51" s="2010">
        <v>196.88719564800004</v>
      </c>
      <c r="X51" s="779"/>
      <c r="Y51" s="2012">
        <v>0</v>
      </c>
      <c r="Z51" s="780">
        <f t="shared" si="34"/>
        <v>212.88719564800004</v>
      </c>
      <c r="AA51" s="2007" t="s">
        <v>782</v>
      </c>
      <c r="AB51" s="2007"/>
      <c r="AC51" s="765"/>
      <c r="AD51" s="781">
        <f t="shared" si="23"/>
        <v>0</v>
      </c>
      <c r="AE51" s="781">
        <f t="shared" si="5"/>
        <v>0</v>
      </c>
      <c r="AF51" s="781">
        <f t="shared" si="24"/>
        <v>0</v>
      </c>
      <c r="AG51" s="781">
        <f t="shared" si="25"/>
        <v>0</v>
      </c>
      <c r="AH51" s="781">
        <f t="shared" si="8"/>
        <v>0</v>
      </c>
      <c r="AI51" s="782">
        <f t="shared" si="26"/>
        <v>0</v>
      </c>
      <c r="AJ51" s="781">
        <f t="shared" si="27"/>
        <v>0</v>
      </c>
      <c r="AK51" s="781">
        <f t="shared" si="11"/>
        <v>0</v>
      </c>
      <c r="AL51" s="781">
        <f t="shared" si="28"/>
        <v>0</v>
      </c>
      <c r="AM51" s="781">
        <f t="shared" si="29"/>
        <v>0</v>
      </c>
      <c r="AN51" s="781">
        <f t="shared" si="14"/>
        <v>0</v>
      </c>
      <c r="AO51" s="781">
        <f t="shared" si="30"/>
        <v>0</v>
      </c>
      <c r="AP51" s="781">
        <f t="shared" si="31"/>
        <v>0</v>
      </c>
      <c r="AQ51" s="781">
        <f t="shared" si="17"/>
        <v>0</v>
      </c>
      <c r="AR51" s="781">
        <f t="shared" si="32"/>
        <v>0</v>
      </c>
      <c r="AS51" s="783">
        <f t="shared" si="19"/>
        <v>0</v>
      </c>
    </row>
    <row r="52" spans="1:45" ht="25.5" x14ac:dyDescent="0.25">
      <c r="A52" s="784"/>
      <c r="B52" s="719">
        <f t="shared" si="22"/>
        <v>43</v>
      </c>
      <c r="C52" s="170" t="str">
        <f t="shared" si="0"/>
        <v>30Ckt. Ft</v>
      </c>
      <c r="D52" s="557"/>
      <c r="E52" s="170"/>
      <c r="F52" s="170">
        <v>30</v>
      </c>
      <c r="G52" s="2007" t="s">
        <v>783</v>
      </c>
      <c r="H52" s="1926"/>
      <c r="I52" s="2008" t="s">
        <v>1331</v>
      </c>
      <c r="J52" s="1926"/>
      <c r="K52" s="1926"/>
      <c r="L52" s="170"/>
      <c r="M52" s="2009">
        <v>0.10526315789473684</v>
      </c>
      <c r="N52" s="2010">
        <v>1</v>
      </c>
      <c r="O52" s="773">
        <f t="shared" si="33"/>
        <v>0.10526315789473684</v>
      </c>
      <c r="P52" s="2008" t="s">
        <v>39</v>
      </c>
      <c r="Q52" s="2008" t="s">
        <v>39</v>
      </c>
      <c r="R52" s="2011" t="s">
        <v>74</v>
      </c>
      <c r="S52" s="775">
        <f>SUMIF('Data Input sheet'!$B$118:$B$180,R52,'Data Input sheet'!$D$118:$D$180)</f>
        <v>152</v>
      </c>
      <c r="T52" s="2012">
        <f t="shared" si="2"/>
        <v>16</v>
      </c>
      <c r="U52" s="2013">
        <v>48</v>
      </c>
      <c r="V52" s="778">
        <f t="shared" si="20"/>
        <v>5</v>
      </c>
      <c r="W52" s="2010">
        <v>268.48253952000005</v>
      </c>
      <c r="X52" s="779"/>
      <c r="Y52" s="2012">
        <v>0</v>
      </c>
      <c r="Z52" s="780">
        <f t="shared" si="34"/>
        <v>289.48253952000005</v>
      </c>
      <c r="AA52" s="2007" t="s">
        <v>782</v>
      </c>
      <c r="AB52" s="2007"/>
      <c r="AC52" s="765"/>
      <c r="AD52" s="781">
        <f t="shared" si="23"/>
        <v>0</v>
      </c>
      <c r="AE52" s="781">
        <f t="shared" si="5"/>
        <v>0</v>
      </c>
      <c r="AF52" s="781">
        <f t="shared" si="24"/>
        <v>0</v>
      </c>
      <c r="AG52" s="781">
        <f t="shared" si="25"/>
        <v>0</v>
      </c>
      <c r="AH52" s="781">
        <f t="shared" si="8"/>
        <v>0</v>
      </c>
      <c r="AI52" s="782">
        <f t="shared" si="26"/>
        <v>0</v>
      </c>
      <c r="AJ52" s="781">
        <f t="shared" si="27"/>
        <v>0</v>
      </c>
      <c r="AK52" s="781">
        <f t="shared" si="11"/>
        <v>0</v>
      </c>
      <c r="AL52" s="781">
        <f t="shared" si="28"/>
        <v>0</v>
      </c>
      <c r="AM52" s="781">
        <f t="shared" si="29"/>
        <v>0</v>
      </c>
      <c r="AN52" s="781">
        <f t="shared" si="14"/>
        <v>0</v>
      </c>
      <c r="AO52" s="781">
        <f t="shared" si="30"/>
        <v>0</v>
      </c>
      <c r="AP52" s="781">
        <f t="shared" si="31"/>
        <v>0</v>
      </c>
      <c r="AQ52" s="781">
        <f t="shared" si="17"/>
        <v>0</v>
      </c>
      <c r="AR52" s="781">
        <f t="shared" si="32"/>
        <v>0</v>
      </c>
      <c r="AS52" s="783">
        <f t="shared" si="19"/>
        <v>0</v>
      </c>
    </row>
    <row r="53" spans="1:45" ht="15" x14ac:dyDescent="0.25">
      <c r="A53" s="784"/>
      <c r="B53" s="719">
        <f t="shared" si="22"/>
        <v>44</v>
      </c>
      <c r="C53" s="170" t="str">
        <f t="shared" si="0"/>
        <v>30LF</v>
      </c>
      <c r="D53" s="557"/>
      <c r="E53" s="170"/>
      <c r="F53" s="170">
        <v>30</v>
      </c>
      <c r="G53" s="2007" t="s">
        <v>784</v>
      </c>
      <c r="H53" s="1926"/>
      <c r="I53" s="2008" t="s">
        <v>728</v>
      </c>
      <c r="J53" s="1926"/>
      <c r="K53" s="1926"/>
      <c r="L53" s="170"/>
      <c r="M53" s="2009">
        <v>7.1157894736842101E-2</v>
      </c>
      <c r="N53" s="2010">
        <v>1</v>
      </c>
      <c r="O53" s="773">
        <f t="shared" si="33"/>
        <v>7.1157894736842101E-2</v>
      </c>
      <c r="P53" s="2008" t="s">
        <v>39</v>
      </c>
      <c r="Q53" s="2008" t="s">
        <v>39</v>
      </c>
      <c r="R53" s="2011" t="s">
        <v>74</v>
      </c>
      <c r="S53" s="775">
        <f>SUMIF('Data Input sheet'!$B$118:$B$180,R53,'Data Input sheet'!$D$118:$D$180)</f>
        <v>152</v>
      </c>
      <c r="T53" s="2012">
        <f t="shared" si="2"/>
        <v>11</v>
      </c>
      <c r="U53" s="2013">
        <v>14</v>
      </c>
      <c r="V53" s="778">
        <f t="shared" si="20"/>
        <v>1</v>
      </c>
      <c r="W53" s="2010">
        <v>7.7561622528000012</v>
      </c>
      <c r="X53" s="779"/>
      <c r="Y53" s="2012">
        <v>0</v>
      </c>
      <c r="Z53" s="780">
        <f t="shared" si="34"/>
        <v>19.756162252800003</v>
      </c>
      <c r="AA53" s="2007" t="s">
        <v>785</v>
      </c>
      <c r="AB53" s="2007"/>
      <c r="AC53" s="765"/>
      <c r="AD53" s="781">
        <f t="shared" si="23"/>
        <v>0</v>
      </c>
      <c r="AE53" s="781">
        <f t="shared" si="5"/>
        <v>0</v>
      </c>
      <c r="AF53" s="781">
        <f t="shared" si="24"/>
        <v>0</v>
      </c>
      <c r="AG53" s="781">
        <f t="shared" si="25"/>
        <v>0</v>
      </c>
      <c r="AH53" s="781">
        <f t="shared" si="8"/>
        <v>0</v>
      </c>
      <c r="AI53" s="782">
        <f t="shared" si="26"/>
        <v>0</v>
      </c>
      <c r="AJ53" s="781">
        <f t="shared" si="27"/>
        <v>0</v>
      </c>
      <c r="AK53" s="781">
        <f t="shared" si="11"/>
        <v>0</v>
      </c>
      <c r="AL53" s="781">
        <f t="shared" si="28"/>
        <v>0</v>
      </c>
      <c r="AM53" s="781">
        <f t="shared" si="29"/>
        <v>0</v>
      </c>
      <c r="AN53" s="781">
        <f t="shared" si="14"/>
        <v>0</v>
      </c>
      <c r="AO53" s="781">
        <f t="shared" si="30"/>
        <v>0</v>
      </c>
      <c r="AP53" s="781">
        <f t="shared" si="31"/>
        <v>0</v>
      </c>
      <c r="AQ53" s="781">
        <f t="shared" si="17"/>
        <v>0</v>
      </c>
      <c r="AR53" s="781">
        <f t="shared" si="32"/>
        <v>0</v>
      </c>
      <c r="AS53" s="783">
        <f t="shared" si="19"/>
        <v>0</v>
      </c>
    </row>
    <row r="54" spans="1:45" ht="15" x14ac:dyDescent="0.25">
      <c r="A54" s="784"/>
      <c r="B54" s="719">
        <f t="shared" si="22"/>
        <v>45</v>
      </c>
      <c r="C54" s="170" t="str">
        <f t="shared" si="0"/>
        <v>30EA</v>
      </c>
      <c r="D54" s="557"/>
      <c r="E54" s="170"/>
      <c r="F54" s="170">
        <v>30</v>
      </c>
      <c r="G54" s="2007" t="s">
        <v>786</v>
      </c>
      <c r="H54" s="1926"/>
      <c r="I54" s="2008" t="s">
        <v>732</v>
      </c>
      <c r="J54" s="1926"/>
      <c r="K54" s="1926"/>
      <c r="L54" s="170"/>
      <c r="M54" s="2009">
        <v>44.210526315789473</v>
      </c>
      <c r="N54" s="2010">
        <v>1</v>
      </c>
      <c r="O54" s="773">
        <f t="shared" si="33"/>
        <v>44.210526315789473</v>
      </c>
      <c r="P54" s="2008" t="s">
        <v>39</v>
      </c>
      <c r="Q54" s="2008" t="s">
        <v>39</v>
      </c>
      <c r="R54" s="2011" t="s">
        <v>74</v>
      </c>
      <c r="S54" s="775">
        <f>SUMIF('Data Input sheet'!$B$118:$B$180,R54,'Data Input sheet'!$D$118:$D$180)</f>
        <v>152</v>
      </c>
      <c r="T54" s="2012">
        <f t="shared" si="2"/>
        <v>6720</v>
      </c>
      <c r="U54" s="2013">
        <v>7</v>
      </c>
      <c r="V54" s="778">
        <f t="shared" si="20"/>
        <v>309</v>
      </c>
      <c r="W54" s="2010">
        <v>9784.6969958400005</v>
      </c>
      <c r="X54" s="779"/>
      <c r="Y54" s="2012">
        <v>0</v>
      </c>
      <c r="Z54" s="780">
        <f t="shared" si="34"/>
        <v>16813.69699584</v>
      </c>
      <c r="AA54" s="2007" t="s">
        <v>787</v>
      </c>
      <c r="AB54" s="2007"/>
      <c r="AC54" s="765"/>
      <c r="AD54" s="781">
        <f t="shared" si="23"/>
        <v>0</v>
      </c>
      <c r="AE54" s="781">
        <f t="shared" si="5"/>
        <v>0</v>
      </c>
      <c r="AF54" s="781">
        <f t="shared" si="24"/>
        <v>0</v>
      </c>
      <c r="AG54" s="781">
        <f t="shared" si="25"/>
        <v>0</v>
      </c>
      <c r="AH54" s="781">
        <f t="shared" si="8"/>
        <v>0</v>
      </c>
      <c r="AI54" s="782">
        <f t="shared" si="26"/>
        <v>0</v>
      </c>
      <c r="AJ54" s="781">
        <f t="shared" si="27"/>
        <v>0</v>
      </c>
      <c r="AK54" s="781">
        <f t="shared" si="11"/>
        <v>0</v>
      </c>
      <c r="AL54" s="781">
        <f t="shared" si="28"/>
        <v>0</v>
      </c>
      <c r="AM54" s="781">
        <f t="shared" si="29"/>
        <v>0</v>
      </c>
      <c r="AN54" s="781">
        <f t="shared" si="14"/>
        <v>0</v>
      </c>
      <c r="AO54" s="781">
        <f t="shared" si="30"/>
        <v>0</v>
      </c>
      <c r="AP54" s="781">
        <f t="shared" si="31"/>
        <v>0</v>
      </c>
      <c r="AQ54" s="781">
        <f t="shared" si="17"/>
        <v>0</v>
      </c>
      <c r="AR54" s="781">
        <f t="shared" si="32"/>
        <v>0</v>
      </c>
      <c r="AS54" s="783">
        <f t="shared" si="19"/>
        <v>0</v>
      </c>
    </row>
    <row r="55" spans="1:45" ht="15" x14ac:dyDescent="0.25">
      <c r="A55" s="784"/>
      <c r="B55" s="719">
        <f t="shared" si="22"/>
        <v>46</v>
      </c>
      <c r="C55" s="170" t="str">
        <f t="shared" si="0"/>
        <v>30LF</v>
      </c>
      <c r="D55" s="557"/>
      <c r="E55" s="170"/>
      <c r="F55" s="170">
        <v>30</v>
      </c>
      <c r="G55" s="2007" t="s">
        <v>788</v>
      </c>
      <c r="H55" s="1926"/>
      <c r="I55" s="2008" t="s">
        <v>728</v>
      </c>
      <c r="J55" s="1926"/>
      <c r="K55" s="1926"/>
      <c r="L55" s="170"/>
      <c r="M55" s="2009">
        <v>6.3157894736842107E-2</v>
      </c>
      <c r="N55" s="2010">
        <v>1</v>
      </c>
      <c r="O55" s="773">
        <f t="shared" si="33"/>
        <v>6.3157894736842107E-2</v>
      </c>
      <c r="P55" s="2008" t="s">
        <v>39</v>
      </c>
      <c r="Q55" s="2008" t="s">
        <v>39</v>
      </c>
      <c r="R55" s="2011" t="s">
        <v>74</v>
      </c>
      <c r="S55" s="775">
        <f>SUMIF('Data Input sheet'!$B$118:$B$180,R55,'Data Input sheet'!$D$118:$D$180)</f>
        <v>152</v>
      </c>
      <c r="T55" s="2012">
        <f t="shared" si="2"/>
        <v>10</v>
      </c>
      <c r="U55" s="2013">
        <v>16</v>
      </c>
      <c r="V55" s="778">
        <f t="shared" si="20"/>
        <v>1</v>
      </c>
      <c r="W55" s="2010">
        <v>6.5032437350400008</v>
      </c>
      <c r="X55" s="779"/>
      <c r="Y55" s="2012">
        <v>0</v>
      </c>
      <c r="Z55" s="780">
        <f t="shared" si="34"/>
        <v>17.503243735040002</v>
      </c>
      <c r="AA55" s="2007"/>
      <c r="AB55" s="2007"/>
      <c r="AC55" s="765"/>
      <c r="AD55" s="781">
        <f t="shared" si="23"/>
        <v>0</v>
      </c>
      <c r="AE55" s="781">
        <f t="shared" si="5"/>
        <v>0</v>
      </c>
      <c r="AF55" s="781">
        <f t="shared" si="24"/>
        <v>0</v>
      </c>
      <c r="AG55" s="781">
        <f t="shared" si="25"/>
        <v>0</v>
      </c>
      <c r="AH55" s="781">
        <f t="shared" si="8"/>
        <v>0</v>
      </c>
      <c r="AI55" s="782">
        <f t="shared" si="26"/>
        <v>0</v>
      </c>
      <c r="AJ55" s="781">
        <f t="shared" si="27"/>
        <v>0</v>
      </c>
      <c r="AK55" s="781">
        <f t="shared" si="11"/>
        <v>0</v>
      </c>
      <c r="AL55" s="781">
        <f t="shared" si="28"/>
        <v>0</v>
      </c>
      <c r="AM55" s="781">
        <f t="shared" si="29"/>
        <v>0</v>
      </c>
      <c r="AN55" s="781">
        <f t="shared" si="14"/>
        <v>0</v>
      </c>
      <c r="AO55" s="781">
        <f t="shared" si="30"/>
        <v>0</v>
      </c>
      <c r="AP55" s="781">
        <f t="shared" si="31"/>
        <v>0</v>
      </c>
      <c r="AQ55" s="781">
        <f t="shared" si="17"/>
        <v>0</v>
      </c>
      <c r="AR55" s="781">
        <f t="shared" si="32"/>
        <v>0</v>
      </c>
      <c r="AS55" s="783">
        <f t="shared" si="19"/>
        <v>0</v>
      </c>
    </row>
    <row r="56" spans="1:45" ht="15" x14ac:dyDescent="0.25">
      <c r="A56" s="784"/>
      <c r="B56" s="719">
        <f t="shared" si="22"/>
        <v>47</v>
      </c>
      <c r="C56" s="170" t="str">
        <f t="shared" si="0"/>
        <v>30EA</v>
      </c>
      <c r="D56" s="557"/>
      <c r="E56" s="170"/>
      <c r="F56" s="170">
        <v>30</v>
      </c>
      <c r="G56" s="2007" t="s">
        <v>789</v>
      </c>
      <c r="H56" s="1926"/>
      <c r="I56" s="2008" t="s">
        <v>732</v>
      </c>
      <c r="J56" s="1926"/>
      <c r="K56" s="1926"/>
      <c r="L56" s="170"/>
      <c r="M56" s="2009">
        <v>663.15789473684208</v>
      </c>
      <c r="N56" s="2010">
        <v>1</v>
      </c>
      <c r="O56" s="773">
        <f t="shared" si="33"/>
        <v>663.15789473684208</v>
      </c>
      <c r="P56" s="2008" t="s">
        <v>39</v>
      </c>
      <c r="Q56" s="2008" t="s">
        <v>39</v>
      </c>
      <c r="R56" s="2011" t="s">
        <v>74</v>
      </c>
      <c r="S56" s="775">
        <f>SUMIF('Data Input sheet'!$B$118:$B$180,R56,'Data Input sheet'!$D$118:$D$180)</f>
        <v>152</v>
      </c>
      <c r="T56" s="2012">
        <f t="shared" si="2"/>
        <v>100800</v>
      </c>
      <c r="U56" s="2013">
        <v>14</v>
      </c>
      <c r="V56" s="778">
        <f t="shared" si="20"/>
        <v>9284</v>
      </c>
      <c r="W56" s="2010">
        <v>32217.904742400002</v>
      </c>
      <c r="X56" s="779"/>
      <c r="Y56" s="2012">
        <v>0</v>
      </c>
      <c r="Z56" s="780">
        <f t="shared" si="34"/>
        <v>142301.90474239999</v>
      </c>
      <c r="AA56" s="2007"/>
      <c r="AB56" s="2007"/>
      <c r="AC56" s="765"/>
      <c r="AD56" s="781">
        <f t="shared" si="23"/>
        <v>0</v>
      </c>
      <c r="AE56" s="781">
        <f t="shared" si="5"/>
        <v>0</v>
      </c>
      <c r="AF56" s="781">
        <f t="shared" si="24"/>
        <v>0</v>
      </c>
      <c r="AG56" s="781">
        <f t="shared" si="25"/>
        <v>0</v>
      </c>
      <c r="AH56" s="781">
        <f t="shared" si="8"/>
        <v>0</v>
      </c>
      <c r="AI56" s="782">
        <f t="shared" si="26"/>
        <v>0</v>
      </c>
      <c r="AJ56" s="781">
        <f t="shared" si="27"/>
        <v>0</v>
      </c>
      <c r="AK56" s="781">
        <f t="shared" si="11"/>
        <v>0</v>
      </c>
      <c r="AL56" s="781">
        <f t="shared" si="28"/>
        <v>0</v>
      </c>
      <c r="AM56" s="781">
        <f t="shared" si="29"/>
        <v>0</v>
      </c>
      <c r="AN56" s="781">
        <f t="shared" si="14"/>
        <v>0</v>
      </c>
      <c r="AO56" s="781">
        <f t="shared" si="30"/>
        <v>0</v>
      </c>
      <c r="AP56" s="781">
        <f t="shared" si="31"/>
        <v>0</v>
      </c>
      <c r="AQ56" s="781">
        <f t="shared" si="17"/>
        <v>0</v>
      </c>
      <c r="AR56" s="781">
        <f t="shared" si="32"/>
        <v>0</v>
      </c>
      <c r="AS56" s="783">
        <f t="shared" si="19"/>
        <v>0</v>
      </c>
    </row>
    <row r="57" spans="1:45" ht="15" x14ac:dyDescent="0.25">
      <c r="A57" s="784"/>
      <c r="B57" s="719">
        <f t="shared" si="22"/>
        <v>48</v>
      </c>
      <c r="C57" s="170" t="str">
        <f t="shared" si="0"/>
        <v>30EA</v>
      </c>
      <c r="D57" s="557"/>
      <c r="E57" s="170"/>
      <c r="F57" s="170">
        <v>30</v>
      </c>
      <c r="G57" s="2007" t="s">
        <v>790</v>
      </c>
      <c r="H57" s="1926"/>
      <c r="I57" s="2008" t="s">
        <v>732</v>
      </c>
      <c r="J57" s="1926"/>
      <c r="K57" s="1926"/>
      <c r="L57" s="170"/>
      <c r="M57" s="2009">
        <v>876.62999999999988</v>
      </c>
      <c r="N57" s="2010">
        <v>1</v>
      </c>
      <c r="O57" s="773">
        <f t="shared" si="33"/>
        <v>876.62999999999988</v>
      </c>
      <c r="P57" s="2008" t="s">
        <v>39</v>
      </c>
      <c r="Q57" s="2008" t="s">
        <v>39</v>
      </c>
      <c r="R57" s="2011" t="s">
        <v>74</v>
      </c>
      <c r="S57" s="775">
        <f>SUMIF('Data Input sheet'!$B$118:$B$180,R57,'Data Input sheet'!$D$118:$D$180)</f>
        <v>152</v>
      </c>
      <c r="T57" s="2012">
        <f t="shared" si="2"/>
        <v>133248</v>
      </c>
      <c r="U57" s="2013">
        <v>14</v>
      </c>
      <c r="V57" s="778">
        <f t="shared" si="20"/>
        <v>12273</v>
      </c>
      <c r="W57" s="2010">
        <v>129838.8</v>
      </c>
      <c r="X57" s="779"/>
      <c r="Y57" s="2012">
        <v>0</v>
      </c>
      <c r="Z57" s="780">
        <f t="shared" si="34"/>
        <v>275359.8</v>
      </c>
      <c r="AA57" s="2007"/>
      <c r="AB57" s="2007"/>
      <c r="AC57" s="765"/>
      <c r="AD57" s="781">
        <f t="shared" si="23"/>
        <v>0</v>
      </c>
      <c r="AE57" s="781">
        <f t="shared" si="5"/>
        <v>0</v>
      </c>
      <c r="AF57" s="781">
        <f t="shared" si="24"/>
        <v>0</v>
      </c>
      <c r="AG57" s="781">
        <f t="shared" si="25"/>
        <v>0</v>
      </c>
      <c r="AH57" s="781">
        <f t="shared" si="8"/>
        <v>0</v>
      </c>
      <c r="AI57" s="782">
        <f t="shared" si="26"/>
        <v>0</v>
      </c>
      <c r="AJ57" s="781">
        <f t="shared" si="27"/>
        <v>0</v>
      </c>
      <c r="AK57" s="781">
        <f t="shared" si="11"/>
        <v>0</v>
      </c>
      <c r="AL57" s="781">
        <f t="shared" si="28"/>
        <v>0</v>
      </c>
      <c r="AM57" s="781">
        <f t="shared" si="29"/>
        <v>0</v>
      </c>
      <c r="AN57" s="781">
        <f t="shared" si="14"/>
        <v>0</v>
      </c>
      <c r="AO57" s="781">
        <f t="shared" si="30"/>
        <v>0</v>
      </c>
      <c r="AP57" s="781">
        <f t="shared" si="31"/>
        <v>0</v>
      </c>
      <c r="AQ57" s="781">
        <f t="shared" si="17"/>
        <v>0</v>
      </c>
      <c r="AR57" s="781">
        <f t="shared" si="32"/>
        <v>0</v>
      </c>
      <c r="AS57" s="783">
        <f t="shared" si="19"/>
        <v>0</v>
      </c>
    </row>
    <row r="58" spans="1:45" ht="25.5" x14ac:dyDescent="0.25">
      <c r="A58" s="784"/>
      <c r="B58" s="719">
        <f t="shared" si="22"/>
        <v>49</v>
      </c>
      <c r="C58" s="170" t="str">
        <f t="shared" si="0"/>
        <v>30EA</v>
      </c>
      <c r="D58" s="557"/>
      <c r="E58" s="170"/>
      <c r="F58" s="170">
        <v>30</v>
      </c>
      <c r="G58" s="2007" t="s">
        <v>791</v>
      </c>
      <c r="H58" s="1926"/>
      <c r="I58" s="2008" t="s">
        <v>732</v>
      </c>
      <c r="J58" s="1926"/>
      <c r="K58" s="1926"/>
      <c r="L58" s="170"/>
      <c r="M58" s="2009">
        <v>1473.6842105263158</v>
      </c>
      <c r="N58" s="2010">
        <v>1</v>
      </c>
      <c r="O58" s="773">
        <f t="shared" si="33"/>
        <v>1473.6842105263158</v>
      </c>
      <c r="P58" s="2008" t="s">
        <v>39</v>
      </c>
      <c r="Q58" s="2008" t="s">
        <v>39</v>
      </c>
      <c r="R58" s="2011" t="s">
        <v>74</v>
      </c>
      <c r="S58" s="775">
        <f>SUMIF('Data Input sheet'!$B$118:$B$180,R58,'Data Input sheet'!$D$118:$D$180)</f>
        <v>152</v>
      </c>
      <c r="T58" s="2012">
        <f t="shared" si="2"/>
        <v>224000</v>
      </c>
      <c r="U58" s="2013">
        <v>14</v>
      </c>
      <c r="V58" s="778">
        <f t="shared" si="20"/>
        <v>20632</v>
      </c>
      <c r="W58" s="2010">
        <v>45940.345651200012</v>
      </c>
      <c r="X58" s="779"/>
      <c r="Y58" s="2012">
        <v>0</v>
      </c>
      <c r="Z58" s="780">
        <f t="shared" si="34"/>
        <v>290572.34565120004</v>
      </c>
      <c r="AA58" s="2007" t="s">
        <v>792</v>
      </c>
      <c r="AB58" s="2007"/>
      <c r="AC58" s="765"/>
      <c r="AD58" s="781">
        <f t="shared" si="23"/>
        <v>0</v>
      </c>
      <c r="AE58" s="781">
        <f t="shared" si="5"/>
        <v>0</v>
      </c>
      <c r="AF58" s="781">
        <f t="shared" si="24"/>
        <v>0</v>
      </c>
      <c r="AG58" s="781">
        <f t="shared" si="25"/>
        <v>0</v>
      </c>
      <c r="AH58" s="781">
        <f t="shared" si="8"/>
        <v>0</v>
      </c>
      <c r="AI58" s="782">
        <f t="shared" si="26"/>
        <v>0</v>
      </c>
      <c r="AJ58" s="781">
        <f t="shared" si="27"/>
        <v>0</v>
      </c>
      <c r="AK58" s="781">
        <f t="shared" si="11"/>
        <v>0</v>
      </c>
      <c r="AL58" s="781">
        <f t="shared" si="28"/>
        <v>0</v>
      </c>
      <c r="AM58" s="781">
        <f t="shared" si="29"/>
        <v>0</v>
      </c>
      <c r="AN58" s="781">
        <f t="shared" si="14"/>
        <v>0</v>
      </c>
      <c r="AO58" s="781">
        <f t="shared" si="30"/>
        <v>0</v>
      </c>
      <c r="AP58" s="781">
        <f t="shared" si="31"/>
        <v>0</v>
      </c>
      <c r="AQ58" s="781">
        <f t="shared" si="17"/>
        <v>0</v>
      </c>
      <c r="AR58" s="781">
        <f t="shared" si="32"/>
        <v>0</v>
      </c>
      <c r="AS58" s="783">
        <f t="shared" si="19"/>
        <v>0</v>
      </c>
    </row>
    <row r="59" spans="1:45" ht="15" x14ac:dyDescent="0.25">
      <c r="A59" s="784"/>
      <c r="B59" s="719">
        <f t="shared" si="22"/>
        <v>50</v>
      </c>
      <c r="C59" s="170" t="str">
        <f t="shared" si="0"/>
        <v>30EA</v>
      </c>
      <c r="D59" s="557"/>
      <c r="E59" s="170"/>
      <c r="F59" s="170">
        <v>30</v>
      </c>
      <c r="G59" s="2007" t="s">
        <v>793</v>
      </c>
      <c r="H59" s="1926"/>
      <c r="I59" s="2008" t="s">
        <v>732</v>
      </c>
      <c r="J59" s="1926"/>
      <c r="K59" s="1926"/>
      <c r="L59" s="170"/>
      <c r="M59" s="2009">
        <v>736.84210526315792</v>
      </c>
      <c r="N59" s="2010">
        <v>1</v>
      </c>
      <c r="O59" s="773">
        <f t="shared" si="33"/>
        <v>736.84210526315792</v>
      </c>
      <c r="P59" s="2008" t="s">
        <v>39</v>
      </c>
      <c r="Q59" s="2008" t="s">
        <v>39</v>
      </c>
      <c r="R59" s="2011" t="s">
        <v>74</v>
      </c>
      <c r="S59" s="775">
        <f>SUMIF('Data Input sheet'!$B$118:$B$180,R59,'Data Input sheet'!$D$118:$D$180)</f>
        <v>152</v>
      </c>
      <c r="T59" s="2012">
        <f t="shared" si="2"/>
        <v>112000</v>
      </c>
      <c r="U59" s="2013">
        <v>14</v>
      </c>
      <c r="V59" s="778">
        <f t="shared" si="20"/>
        <v>10316</v>
      </c>
      <c r="W59" s="2010">
        <v>48326.857113600003</v>
      </c>
      <c r="X59" s="779"/>
      <c r="Y59" s="2012">
        <v>0</v>
      </c>
      <c r="Z59" s="780">
        <f t="shared" si="34"/>
        <v>170642.85711360001</v>
      </c>
      <c r="AA59" s="2007"/>
      <c r="AB59" s="2007"/>
      <c r="AC59" s="765"/>
      <c r="AD59" s="781">
        <f t="shared" si="23"/>
        <v>0</v>
      </c>
      <c r="AE59" s="781">
        <f t="shared" si="5"/>
        <v>0</v>
      </c>
      <c r="AF59" s="781">
        <f t="shared" si="24"/>
        <v>0</v>
      </c>
      <c r="AG59" s="781">
        <f t="shared" si="25"/>
        <v>0</v>
      </c>
      <c r="AH59" s="781">
        <f t="shared" si="8"/>
        <v>0</v>
      </c>
      <c r="AI59" s="782">
        <f t="shared" si="26"/>
        <v>0</v>
      </c>
      <c r="AJ59" s="781">
        <f t="shared" si="27"/>
        <v>0</v>
      </c>
      <c r="AK59" s="781">
        <f t="shared" si="11"/>
        <v>0</v>
      </c>
      <c r="AL59" s="781">
        <f t="shared" si="28"/>
        <v>0</v>
      </c>
      <c r="AM59" s="781">
        <f t="shared" si="29"/>
        <v>0</v>
      </c>
      <c r="AN59" s="781">
        <f t="shared" si="14"/>
        <v>0</v>
      </c>
      <c r="AO59" s="781">
        <f t="shared" si="30"/>
        <v>0</v>
      </c>
      <c r="AP59" s="781">
        <f t="shared" si="31"/>
        <v>0</v>
      </c>
      <c r="AQ59" s="781">
        <f t="shared" si="17"/>
        <v>0</v>
      </c>
      <c r="AR59" s="781">
        <f t="shared" si="32"/>
        <v>0</v>
      </c>
      <c r="AS59" s="783">
        <f t="shared" si="19"/>
        <v>0</v>
      </c>
    </row>
    <row r="60" spans="1:45" ht="15" x14ac:dyDescent="0.25">
      <c r="A60" s="784"/>
      <c r="B60" s="719">
        <f t="shared" si="22"/>
        <v>51</v>
      </c>
      <c r="C60" s="170" t="str">
        <f t="shared" si="0"/>
        <v>30EA</v>
      </c>
      <c r="D60" s="557"/>
      <c r="E60" s="170"/>
      <c r="F60" s="170">
        <v>30</v>
      </c>
      <c r="G60" s="2007" t="s">
        <v>794</v>
      </c>
      <c r="H60" s="1926"/>
      <c r="I60" s="2008" t="s">
        <v>732</v>
      </c>
      <c r="J60" s="1926"/>
      <c r="K60" s="1926"/>
      <c r="L60" s="170"/>
      <c r="M60" s="2009">
        <v>971.57894736842161</v>
      </c>
      <c r="N60" s="2010">
        <v>1</v>
      </c>
      <c r="O60" s="773">
        <f t="shared" si="33"/>
        <v>971.57894736842161</v>
      </c>
      <c r="P60" s="2008" t="s">
        <v>39</v>
      </c>
      <c r="Q60" s="2008" t="s">
        <v>39</v>
      </c>
      <c r="R60" s="2011" t="s">
        <v>74</v>
      </c>
      <c r="S60" s="775">
        <f>SUMIF('Data Input sheet'!$B$118:$B$180,R60,'Data Input sheet'!$D$118:$D$180)</f>
        <v>152</v>
      </c>
      <c r="T60" s="2012">
        <f t="shared" si="2"/>
        <v>147680</v>
      </c>
      <c r="U60" s="2013">
        <v>14</v>
      </c>
      <c r="V60" s="778">
        <f t="shared" si="20"/>
        <v>13602</v>
      </c>
      <c r="W60" s="2010">
        <v>476109.03674880002</v>
      </c>
      <c r="X60" s="779"/>
      <c r="Y60" s="2012">
        <v>0</v>
      </c>
      <c r="Z60" s="780">
        <f t="shared" si="34"/>
        <v>637391.03674879996</v>
      </c>
      <c r="AA60" s="2007"/>
      <c r="AB60" s="2007"/>
      <c r="AC60" s="765"/>
      <c r="AD60" s="781">
        <f t="shared" si="23"/>
        <v>0</v>
      </c>
      <c r="AE60" s="781">
        <f t="shared" si="5"/>
        <v>0</v>
      </c>
      <c r="AF60" s="781">
        <f t="shared" si="24"/>
        <v>0</v>
      </c>
      <c r="AG60" s="781">
        <f t="shared" si="25"/>
        <v>0</v>
      </c>
      <c r="AH60" s="781">
        <f t="shared" si="8"/>
        <v>0</v>
      </c>
      <c r="AI60" s="782">
        <f t="shared" si="26"/>
        <v>0</v>
      </c>
      <c r="AJ60" s="781">
        <f t="shared" si="27"/>
        <v>0</v>
      </c>
      <c r="AK60" s="781">
        <f t="shared" si="11"/>
        <v>0</v>
      </c>
      <c r="AL60" s="781">
        <f t="shared" si="28"/>
        <v>0</v>
      </c>
      <c r="AM60" s="781">
        <f t="shared" si="29"/>
        <v>0</v>
      </c>
      <c r="AN60" s="781">
        <f t="shared" si="14"/>
        <v>0</v>
      </c>
      <c r="AO60" s="781">
        <f t="shared" si="30"/>
        <v>0</v>
      </c>
      <c r="AP60" s="781">
        <f t="shared" si="31"/>
        <v>0</v>
      </c>
      <c r="AQ60" s="781">
        <f t="shared" si="17"/>
        <v>0</v>
      </c>
      <c r="AR60" s="781">
        <f t="shared" si="32"/>
        <v>0</v>
      </c>
      <c r="AS60" s="783">
        <f t="shared" si="19"/>
        <v>0</v>
      </c>
    </row>
    <row r="61" spans="1:45" ht="25.5" x14ac:dyDescent="0.25">
      <c r="A61" s="784"/>
      <c r="B61" s="719">
        <f t="shared" si="22"/>
        <v>52</v>
      </c>
      <c r="C61" s="170" t="str">
        <f t="shared" si="0"/>
        <v>30EA</v>
      </c>
      <c r="D61" s="557"/>
      <c r="E61" s="170"/>
      <c r="F61" s="170">
        <v>30</v>
      </c>
      <c r="G61" s="2007" t="s">
        <v>795</v>
      </c>
      <c r="H61" s="1926"/>
      <c r="I61" s="2008" t="s">
        <v>732</v>
      </c>
      <c r="J61" s="1926"/>
      <c r="K61" s="1926"/>
      <c r="L61" s="170"/>
      <c r="M61" s="2009">
        <v>1631.578947368421</v>
      </c>
      <c r="N61" s="2010">
        <v>1</v>
      </c>
      <c r="O61" s="773">
        <f t="shared" si="33"/>
        <v>1631.578947368421</v>
      </c>
      <c r="P61" s="2008" t="s">
        <v>39</v>
      </c>
      <c r="Q61" s="2008" t="s">
        <v>39</v>
      </c>
      <c r="R61" s="2011" t="s">
        <v>74</v>
      </c>
      <c r="S61" s="775">
        <f>SUMIF('Data Input sheet'!$B$118:$B$180,R61,'Data Input sheet'!$D$118:$D$180)</f>
        <v>152</v>
      </c>
      <c r="T61" s="2012">
        <f t="shared" si="2"/>
        <v>248000</v>
      </c>
      <c r="U61" s="2013">
        <v>14</v>
      </c>
      <c r="V61" s="778">
        <f t="shared" si="20"/>
        <v>22842</v>
      </c>
      <c r="W61" s="2010">
        <v>64435.809484800004</v>
      </c>
      <c r="X61" s="779"/>
      <c r="Y61" s="2012">
        <v>0</v>
      </c>
      <c r="Z61" s="780">
        <f t="shared" si="34"/>
        <v>335277.80948479997</v>
      </c>
      <c r="AA61" s="2007" t="s">
        <v>792</v>
      </c>
      <c r="AB61" s="2007"/>
      <c r="AC61" s="765"/>
      <c r="AD61" s="781">
        <f t="shared" si="23"/>
        <v>0</v>
      </c>
      <c r="AE61" s="781">
        <f t="shared" si="5"/>
        <v>0</v>
      </c>
      <c r="AF61" s="781">
        <f t="shared" si="24"/>
        <v>0</v>
      </c>
      <c r="AG61" s="781">
        <f t="shared" si="25"/>
        <v>0</v>
      </c>
      <c r="AH61" s="781">
        <f t="shared" si="8"/>
        <v>0</v>
      </c>
      <c r="AI61" s="782">
        <f t="shared" si="26"/>
        <v>0</v>
      </c>
      <c r="AJ61" s="781">
        <f t="shared" si="27"/>
        <v>0</v>
      </c>
      <c r="AK61" s="781">
        <f t="shared" si="11"/>
        <v>0</v>
      </c>
      <c r="AL61" s="781">
        <f t="shared" si="28"/>
        <v>0</v>
      </c>
      <c r="AM61" s="781">
        <f t="shared" si="29"/>
        <v>0</v>
      </c>
      <c r="AN61" s="781">
        <f t="shared" si="14"/>
        <v>0</v>
      </c>
      <c r="AO61" s="781">
        <f t="shared" si="30"/>
        <v>0</v>
      </c>
      <c r="AP61" s="781">
        <f t="shared" si="31"/>
        <v>0</v>
      </c>
      <c r="AQ61" s="781">
        <f t="shared" si="17"/>
        <v>0</v>
      </c>
      <c r="AR61" s="781">
        <f t="shared" si="32"/>
        <v>0</v>
      </c>
      <c r="AS61" s="783">
        <f t="shared" si="19"/>
        <v>0</v>
      </c>
    </row>
    <row r="62" spans="1:45" ht="15" x14ac:dyDescent="0.25">
      <c r="A62" s="784"/>
      <c r="B62" s="719">
        <f t="shared" si="22"/>
        <v>53</v>
      </c>
      <c r="C62" s="170" t="str">
        <f t="shared" si="0"/>
        <v>30LF</v>
      </c>
      <c r="D62" s="557"/>
      <c r="E62" s="170"/>
      <c r="F62" s="170">
        <v>30</v>
      </c>
      <c r="G62" s="2007" t="s">
        <v>796</v>
      </c>
      <c r="H62" s="1926"/>
      <c r="I62" s="2008" t="s">
        <v>728</v>
      </c>
      <c r="J62" s="1926"/>
      <c r="K62" s="1926"/>
      <c r="L62" s="170"/>
      <c r="M62" s="2009">
        <v>5.4736842105263164E-3</v>
      </c>
      <c r="N62" s="2010">
        <v>1</v>
      </c>
      <c r="O62" s="773">
        <f t="shared" si="33"/>
        <v>5.4736842105263164E-3</v>
      </c>
      <c r="P62" s="2008" t="s">
        <v>39</v>
      </c>
      <c r="Q62" s="2008" t="s">
        <v>39</v>
      </c>
      <c r="R62" s="2011" t="s">
        <v>74</v>
      </c>
      <c r="S62" s="775">
        <f>SUMIF('Data Input sheet'!$B$118:$B$180,R62,'Data Input sheet'!$D$118:$D$180)</f>
        <v>152</v>
      </c>
      <c r="T62" s="2012">
        <f t="shared" si="2"/>
        <v>1</v>
      </c>
      <c r="U62" s="2013">
        <v>0</v>
      </c>
      <c r="V62" s="778">
        <f t="shared" si="20"/>
        <v>0</v>
      </c>
      <c r="W62" s="2010">
        <v>0.59662786560000003</v>
      </c>
      <c r="X62" s="779"/>
      <c r="Y62" s="2012">
        <v>0</v>
      </c>
      <c r="Z62" s="780">
        <f t="shared" si="34"/>
        <v>1.5966278655999999</v>
      </c>
      <c r="AA62" s="2007"/>
      <c r="AB62" s="2007"/>
      <c r="AC62" s="765"/>
      <c r="AD62" s="781">
        <f t="shared" si="23"/>
        <v>0</v>
      </c>
      <c r="AE62" s="781">
        <f t="shared" si="5"/>
        <v>0</v>
      </c>
      <c r="AF62" s="781">
        <f t="shared" si="24"/>
        <v>0</v>
      </c>
      <c r="AG62" s="781">
        <f t="shared" si="25"/>
        <v>0</v>
      </c>
      <c r="AH62" s="781">
        <f t="shared" si="8"/>
        <v>0</v>
      </c>
      <c r="AI62" s="782">
        <f t="shared" si="26"/>
        <v>0</v>
      </c>
      <c r="AJ62" s="781">
        <f t="shared" si="27"/>
        <v>0</v>
      </c>
      <c r="AK62" s="781">
        <f t="shared" si="11"/>
        <v>0</v>
      </c>
      <c r="AL62" s="781">
        <f t="shared" si="28"/>
        <v>0</v>
      </c>
      <c r="AM62" s="781">
        <f t="shared" si="29"/>
        <v>0</v>
      </c>
      <c r="AN62" s="781">
        <f t="shared" si="14"/>
        <v>0</v>
      </c>
      <c r="AO62" s="781">
        <f t="shared" si="30"/>
        <v>0</v>
      </c>
      <c r="AP62" s="781">
        <f t="shared" si="31"/>
        <v>0</v>
      </c>
      <c r="AQ62" s="781">
        <f t="shared" si="17"/>
        <v>0</v>
      </c>
      <c r="AR62" s="781">
        <f t="shared" si="32"/>
        <v>0</v>
      </c>
      <c r="AS62" s="783">
        <f t="shared" si="19"/>
        <v>0</v>
      </c>
    </row>
    <row r="63" spans="1:45" ht="15" x14ac:dyDescent="0.25">
      <c r="A63" s="784"/>
      <c r="B63" s="719">
        <f t="shared" si="22"/>
        <v>54</v>
      </c>
      <c r="C63" s="170" t="str">
        <f t="shared" si="0"/>
        <v>30EA</v>
      </c>
      <c r="D63" s="557"/>
      <c r="E63" s="170"/>
      <c r="F63" s="170">
        <v>30</v>
      </c>
      <c r="G63" s="2007" t="s">
        <v>797</v>
      </c>
      <c r="H63" s="1926"/>
      <c r="I63" s="2008" t="s">
        <v>732</v>
      </c>
      <c r="J63" s="1926"/>
      <c r="K63" s="1926"/>
      <c r="L63" s="170"/>
      <c r="M63" s="2009">
        <v>16.421052631578949</v>
      </c>
      <c r="N63" s="2010">
        <v>1</v>
      </c>
      <c r="O63" s="773">
        <f t="shared" si="33"/>
        <v>16.421052631578949</v>
      </c>
      <c r="P63" s="2008" t="s">
        <v>39</v>
      </c>
      <c r="Q63" s="2008" t="s">
        <v>39</v>
      </c>
      <c r="R63" s="2011" t="s">
        <v>74</v>
      </c>
      <c r="S63" s="775">
        <f>SUMIF('Data Input sheet'!$B$118:$B$180,R63,'Data Input sheet'!$D$118:$D$180)</f>
        <v>152</v>
      </c>
      <c r="T63" s="2012">
        <f t="shared" si="2"/>
        <v>2496</v>
      </c>
      <c r="U63" s="2013">
        <v>7</v>
      </c>
      <c r="V63" s="778">
        <f t="shared" si="20"/>
        <v>115</v>
      </c>
      <c r="W63" s="2010">
        <v>119.32557312000002</v>
      </c>
      <c r="X63" s="779"/>
      <c r="Y63" s="2012">
        <v>0</v>
      </c>
      <c r="Z63" s="780">
        <f t="shared" si="34"/>
        <v>2730.3255731200002</v>
      </c>
      <c r="AA63" s="2007" t="s">
        <v>798</v>
      </c>
      <c r="AB63" s="2007"/>
      <c r="AC63" s="765"/>
      <c r="AD63" s="781">
        <f t="shared" si="23"/>
        <v>0</v>
      </c>
      <c r="AE63" s="781">
        <f t="shared" si="5"/>
        <v>0</v>
      </c>
      <c r="AF63" s="781">
        <f t="shared" si="24"/>
        <v>0</v>
      </c>
      <c r="AG63" s="781">
        <f t="shared" si="25"/>
        <v>0</v>
      </c>
      <c r="AH63" s="781">
        <f t="shared" si="8"/>
        <v>0</v>
      </c>
      <c r="AI63" s="782">
        <f t="shared" si="26"/>
        <v>0</v>
      </c>
      <c r="AJ63" s="781">
        <f t="shared" si="27"/>
        <v>0</v>
      </c>
      <c r="AK63" s="781">
        <f t="shared" si="11"/>
        <v>0</v>
      </c>
      <c r="AL63" s="781">
        <f t="shared" si="28"/>
        <v>0</v>
      </c>
      <c r="AM63" s="781">
        <f t="shared" si="29"/>
        <v>0</v>
      </c>
      <c r="AN63" s="781">
        <f t="shared" si="14"/>
        <v>0</v>
      </c>
      <c r="AO63" s="781">
        <f t="shared" si="30"/>
        <v>0</v>
      </c>
      <c r="AP63" s="781">
        <f t="shared" si="31"/>
        <v>0</v>
      </c>
      <c r="AQ63" s="781">
        <f t="shared" si="17"/>
        <v>0</v>
      </c>
      <c r="AR63" s="781">
        <f t="shared" si="32"/>
        <v>0</v>
      </c>
      <c r="AS63" s="783">
        <f t="shared" si="19"/>
        <v>0</v>
      </c>
    </row>
    <row r="64" spans="1:45" ht="15" x14ac:dyDescent="0.25">
      <c r="A64" s="784"/>
      <c r="B64" s="719">
        <f t="shared" si="22"/>
        <v>55</v>
      </c>
      <c r="C64" s="170" t="str">
        <f t="shared" si="0"/>
        <v>30EA</v>
      </c>
      <c r="D64" s="557"/>
      <c r="E64" s="170"/>
      <c r="F64" s="170">
        <v>30</v>
      </c>
      <c r="G64" s="2007" t="s">
        <v>799</v>
      </c>
      <c r="H64" s="1926"/>
      <c r="I64" s="2008" t="s">
        <v>732</v>
      </c>
      <c r="J64" s="1926"/>
      <c r="K64" s="1926"/>
      <c r="L64" s="170"/>
      <c r="M64" s="2009">
        <v>25.649684210526317</v>
      </c>
      <c r="N64" s="2010">
        <v>1</v>
      </c>
      <c r="O64" s="773">
        <f t="shared" si="33"/>
        <v>25.649684210526317</v>
      </c>
      <c r="P64" s="2008" t="s">
        <v>39</v>
      </c>
      <c r="Q64" s="2008" t="s">
        <v>39</v>
      </c>
      <c r="R64" s="2011" t="s">
        <v>74</v>
      </c>
      <c r="S64" s="775">
        <f>SUMIF('Data Input sheet'!$B$118:$B$180,R64,'Data Input sheet'!$D$118:$D$180)</f>
        <v>152</v>
      </c>
      <c r="T64" s="2012">
        <f t="shared" si="2"/>
        <v>3899</v>
      </c>
      <c r="U64" s="2013">
        <v>70</v>
      </c>
      <c r="V64" s="778">
        <f t="shared" si="20"/>
        <v>1795</v>
      </c>
      <c r="W64" s="2010">
        <v>4773.0229248000005</v>
      </c>
      <c r="X64" s="779"/>
      <c r="Y64" s="2012">
        <v>0</v>
      </c>
      <c r="Z64" s="780">
        <f t="shared" si="34"/>
        <v>10467.0229248</v>
      </c>
      <c r="AA64" s="2007"/>
      <c r="AB64" s="2007"/>
      <c r="AC64" s="765"/>
      <c r="AD64" s="781">
        <f t="shared" si="23"/>
        <v>0</v>
      </c>
      <c r="AE64" s="781">
        <f t="shared" si="5"/>
        <v>0</v>
      </c>
      <c r="AF64" s="781">
        <f t="shared" si="24"/>
        <v>0</v>
      </c>
      <c r="AG64" s="781">
        <f t="shared" si="25"/>
        <v>0</v>
      </c>
      <c r="AH64" s="781">
        <f t="shared" si="8"/>
        <v>0</v>
      </c>
      <c r="AI64" s="782">
        <f t="shared" si="26"/>
        <v>0</v>
      </c>
      <c r="AJ64" s="781">
        <f t="shared" si="27"/>
        <v>0</v>
      </c>
      <c r="AK64" s="781">
        <f t="shared" si="11"/>
        <v>0</v>
      </c>
      <c r="AL64" s="781">
        <f t="shared" si="28"/>
        <v>0</v>
      </c>
      <c r="AM64" s="781">
        <f t="shared" si="29"/>
        <v>0</v>
      </c>
      <c r="AN64" s="781">
        <f t="shared" si="14"/>
        <v>0</v>
      </c>
      <c r="AO64" s="781">
        <f t="shared" si="30"/>
        <v>0</v>
      </c>
      <c r="AP64" s="781">
        <f t="shared" si="31"/>
        <v>0</v>
      </c>
      <c r="AQ64" s="781">
        <f t="shared" si="17"/>
        <v>0</v>
      </c>
      <c r="AR64" s="781">
        <f t="shared" si="32"/>
        <v>0</v>
      </c>
      <c r="AS64" s="783">
        <f t="shared" si="19"/>
        <v>0</v>
      </c>
    </row>
    <row r="65" spans="1:50" ht="15" x14ac:dyDescent="0.25">
      <c r="A65" s="784"/>
      <c r="B65" s="719">
        <f t="shared" si="22"/>
        <v>56</v>
      </c>
      <c r="C65" s="170" t="str">
        <f t="shared" si="0"/>
        <v>30EA</v>
      </c>
      <c r="D65" s="557"/>
      <c r="E65" s="170"/>
      <c r="F65" s="170">
        <v>30</v>
      </c>
      <c r="G65" s="2007" t="s">
        <v>800</v>
      </c>
      <c r="H65" s="1926"/>
      <c r="I65" s="2008" t="s">
        <v>732</v>
      </c>
      <c r="J65" s="1926"/>
      <c r="K65" s="1926"/>
      <c r="L65" s="170"/>
      <c r="M65" s="2009">
        <v>10.526315789473685</v>
      </c>
      <c r="N65" s="2010">
        <v>1</v>
      </c>
      <c r="O65" s="773">
        <f t="shared" si="33"/>
        <v>10.526315789473685</v>
      </c>
      <c r="P65" s="2008" t="s">
        <v>39</v>
      </c>
      <c r="Q65" s="2008" t="s">
        <v>39</v>
      </c>
      <c r="R65" s="2011" t="s">
        <v>74</v>
      </c>
      <c r="S65" s="775">
        <f>SUMIF('Data Input sheet'!$B$118:$B$180,R65,'Data Input sheet'!$D$118:$D$180)</f>
        <v>152</v>
      </c>
      <c r="T65" s="2012">
        <f t="shared" si="2"/>
        <v>1600</v>
      </c>
      <c r="U65" s="2013">
        <v>175</v>
      </c>
      <c r="V65" s="778">
        <f t="shared" si="20"/>
        <v>1842</v>
      </c>
      <c r="W65" s="2010">
        <v>1491.5696640000001</v>
      </c>
      <c r="X65" s="779"/>
      <c r="Y65" s="2012">
        <v>0</v>
      </c>
      <c r="Z65" s="780">
        <f t="shared" si="34"/>
        <v>4933.5696640000006</v>
      </c>
      <c r="AA65" s="2007" t="s">
        <v>801</v>
      </c>
      <c r="AB65" s="2007"/>
      <c r="AC65" s="765"/>
      <c r="AD65" s="781">
        <f t="shared" si="23"/>
        <v>0</v>
      </c>
      <c r="AE65" s="781">
        <f t="shared" si="5"/>
        <v>0</v>
      </c>
      <c r="AF65" s="781">
        <f t="shared" si="24"/>
        <v>0</v>
      </c>
      <c r="AG65" s="781">
        <f t="shared" si="25"/>
        <v>0</v>
      </c>
      <c r="AH65" s="781">
        <f t="shared" si="8"/>
        <v>0</v>
      </c>
      <c r="AI65" s="782">
        <f t="shared" si="26"/>
        <v>0</v>
      </c>
      <c r="AJ65" s="781">
        <f t="shared" si="27"/>
        <v>0</v>
      </c>
      <c r="AK65" s="781">
        <f t="shared" si="11"/>
        <v>0</v>
      </c>
      <c r="AL65" s="781">
        <f t="shared" si="28"/>
        <v>0</v>
      </c>
      <c r="AM65" s="781">
        <f t="shared" si="29"/>
        <v>0</v>
      </c>
      <c r="AN65" s="781">
        <f t="shared" si="14"/>
        <v>0</v>
      </c>
      <c r="AO65" s="781">
        <f t="shared" si="30"/>
        <v>0</v>
      </c>
      <c r="AP65" s="781">
        <f t="shared" si="31"/>
        <v>0</v>
      </c>
      <c r="AQ65" s="781">
        <f t="shared" si="17"/>
        <v>0</v>
      </c>
      <c r="AR65" s="781">
        <f t="shared" si="32"/>
        <v>0</v>
      </c>
      <c r="AS65" s="783">
        <f t="shared" si="19"/>
        <v>0</v>
      </c>
    </row>
    <row r="66" spans="1:50" ht="15" x14ac:dyDescent="0.25">
      <c r="A66" s="784"/>
      <c r="B66" s="719">
        <f t="shared" si="22"/>
        <v>57</v>
      </c>
      <c r="C66" s="170" t="str">
        <f t="shared" si="0"/>
        <v>30LS</v>
      </c>
      <c r="D66" s="557"/>
      <c r="E66" s="170"/>
      <c r="F66" s="170">
        <v>30</v>
      </c>
      <c r="G66" s="2007" t="s">
        <v>802</v>
      </c>
      <c r="H66" s="1926"/>
      <c r="I66" s="2008" t="s">
        <v>640</v>
      </c>
      <c r="J66" s="1926"/>
      <c r="K66" s="1926"/>
      <c r="L66" s="170"/>
      <c r="M66" s="2009">
        <v>0</v>
      </c>
      <c r="N66" s="2010">
        <v>1</v>
      </c>
      <c r="O66" s="773">
        <f t="shared" si="33"/>
        <v>0</v>
      </c>
      <c r="P66" s="2008" t="s">
        <v>39</v>
      </c>
      <c r="Q66" s="2008" t="s">
        <v>39</v>
      </c>
      <c r="R66" s="2011" t="s">
        <v>74</v>
      </c>
      <c r="S66" s="775">
        <f>SUMIF('Data Input sheet'!$B$118:$B$180,R66,'Data Input sheet'!$D$118:$D$180)</f>
        <v>152</v>
      </c>
      <c r="T66" s="2012">
        <f t="shared" si="2"/>
        <v>0</v>
      </c>
      <c r="U66" s="2013">
        <v>0</v>
      </c>
      <c r="V66" s="778">
        <f t="shared" si="20"/>
        <v>0</v>
      </c>
      <c r="W66" s="2010"/>
      <c r="X66" s="779"/>
      <c r="Y66" s="2012">
        <v>20000</v>
      </c>
      <c r="Z66" s="780">
        <f t="shared" si="34"/>
        <v>20000</v>
      </c>
      <c r="AA66" s="2007"/>
      <c r="AB66" s="2007"/>
      <c r="AC66" s="765"/>
      <c r="AD66" s="781">
        <f t="shared" si="23"/>
        <v>0</v>
      </c>
      <c r="AE66" s="781">
        <f t="shared" si="5"/>
        <v>0</v>
      </c>
      <c r="AF66" s="781">
        <f t="shared" si="24"/>
        <v>0</v>
      </c>
      <c r="AG66" s="781">
        <f t="shared" si="25"/>
        <v>0</v>
      </c>
      <c r="AH66" s="781">
        <f t="shared" si="8"/>
        <v>0</v>
      </c>
      <c r="AI66" s="782">
        <f t="shared" si="26"/>
        <v>0</v>
      </c>
      <c r="AJ66" s="781">
        <f t="shared" si="27"/>
        <v>0</v>
      </c>
      <c r="AK66" s="781">
        <f t="shared" si="11"/>
        <v>0</v>
      </c>
      <c r="AL66" s="781">
        <f t="shared" si="28"/>
        <v>0</v>
      </c>
      <c r="AM66" s="781">
        <f t="shared" si="29"/>
        <v>0</v>
      </c>
      <c r="AN66" s="781">
        <f t="shared" si="14"/>
        <v>0</v>
      </c>
      <c r="AO66" s="781">
        <f t="shared" si="30"/>
        <v>0</v>
      </c>
      <c r="AP66" s="781">
        <f t="shared" si="31"/>
        <v>0</v>
      </c>
      <c r="AQ66" s="781">
        <f t="shared" si="17"/>
        <v>0</v>
      </c>
      <c r="AR66" s="781">
        <f t="shared" si="32"/>
        <v>0</v>
      </c>
      <c r="AS66" s="783">
        <f t="shared" si="19"/>
        <v>0</v>
      </c>
    </row>
    <row r="67" spans="1:50" ht="15" x14ac:dyDescent="0.25">
      <c r="A67" s="784"/>
      <c r="B67" s="719">
        <f t="shared" si="22"/>
        <v>58</v>
      </c>
      <c r="C67" s="170" t="str">
        <f t="shared" si="0"/>
        <v/>
      </c>
      <c r="D67" s="557"/>
      <c r="E67" s="170"/>
      <c r="F67" s="170"/>
      <c r="G67" s="2007"/>
      <c r="H67" s="1926"/>
      <c r="I67" s="2008"/>
      <c r="J67" s="1926"/>
      <c r="K67" s="1926"/>
      <c r="L67" s="170"/>
      <c r="M67" s="2009">
        <v>0</v>
      </c>
      <c r="N67" s="2010">
        <v>1</v>
      </c>
      <c r="O67" s="773">
        <f t="shared" si="33"/>
        <v>0</v>
      </c>
      <c r="P67" s="2008" t="s">
        <v>39</v>
      </c>
      <c r="Q67" s="2008" t="s">
        <v>39</v>
      </c>
      <c r="R67" s="2011" t="s">
        <v>74</v>
      </c>
      <c r="S67" s="775">
        <f>SUMIF('Data Input sheet'!$B$118:$B$180,R67,'Data Input sheet'!$D$118:$D$180)</f>
        <v>152</v>
      </c>
      <c r="T67" s="2012">
        <f t="shared" si="2"/>
        <v>0</v>
      </c>
      <c r="U67" s="2013">
        <v>0</v>
      </c>
      <c r="V67" s="778">
        <f t="shared" si="20"/>
        <v>0</v>
      </c>
      <c r="W67" s="2010"/>
      <c r="X67" s="779"/>
      <c r="Y67" s="2012">
        <v>0</v>
      </c>
      <c r="Z67" s="780">
        <f t="shared" si="34"/>
        <v>0</v>
      </c>
      <c r="AA67" s="2007"/>
      <c r="AB67" s="2007"/>
      <c r="AC67" s="765"/>
      <c r="AD67" s="781">
        <f t="shared" si="23"/>
        <v>0</v>
      </c>
      <c r="AE67" s="781">
        <f t="shared" si="5"/>
        <v>0</v>
      </c>
      <c r="AF67" s="781">
        <f t="shared" si="24"/>
        <v>0</v>
      </c>
      <c r="AG67" s="781">
        <f t="shared" si="25"/>
        <v>0</v>
      </c>
      <c r="AH67" s="781">
        <f t="shared" si="8"/>
        <v>0</v>
      </c>
      <c r="AI67" s="782">
        <f t="shared" si="26"/>
        <v>0</v>
      </c>
      <c r="AJ67" s="781">
        <f t="shared" si="27"/>
        <v>0</v>
      </c>
      <c r="AK67" s="781">
        <f t="shared" si="11"/>
        <v>0</v>
      </c>
      <c r="AL67" s="781">
        <f t="shared" si="28"/>
        <v>0</v>
      </c>
      <c r="AM67" s="781">
        <f t="shared" si="29"/>
        <v>0</v>
      </c>
      <c r="AN67" s="781">
        <f t="shared" si="14"/>
        <v>0</v>
      </c>
      <c r="AO67" s="781">
        <f t="shared" si="30"/>
        <v>0</v>
      </c>
      <c r="AP67" s="781">
        <f t="shared" si="31"/>
        <v>0</v>
      </c>
      <c r="AQ67" s="781">
        <f t="shared" si="17"/>
        <v>0</v>
      </c>
      <c r="AR67" s="781">
        <f t="shared" si="32"/>
        <v>0</v>
      </c>
      <c r="AS67" s="783">
        <f t="shared" si="19"/>
        <v>0</v>
      </c>
    </row>
    <row r="68" spans="1:50" ht="15" x14ac:dyDescent="0.25">
      <c r="A68" s="784"/>
      <c r="B68" s="719">
        <f t="shared" si="22"/>
        <v>59</v>
      </c>
      <c r="C68" s="170" t="str">
        <f t="shared" si="0"/>
        <v/>
      </c>
      <c r="D68" s="557"/>
      <c r="E68" s="170"/>
      <c r="F68" s="170"/>
      <c r="G68" s="2007"/>
      <c r="H68" s="1926"/>
      <c r="I68" s="2008"/>
      <c r="J68" s="1926"/>
      <c r="K68" s="1926"/>
      <c r="L68" s="170"/>
      <c r="M68" s="2009">
        <v>0</v>
      </c>
      <c r="N68" s="2010">
        <v>1</v>
      </c>
      <c r="O68" s="773">
        <f t="shared" si="33"/>
        <v>0</v>
      </c>
      <c r="P68" s="2008" t="s">
        <v>39</v>
      </c>
      <c r="Q68" s="2008" t="s">
        <v>39</v>
      </c>
      <c r="R68" s="2011" t="s">
        <v>74</v>
      </c>
      <c r="S68" s="775">
        <f>SUMIF('Data Input sheet'!$B$118:$B$180,R68,'Data Input sheet'!$D$118:$D$180)</f>
        <v>152</v>
      </c>
      <c r="T68" s="2012">
        <f t="shared" si="2"/>
        <v>0</v>
      </c>
      <c r="U68" s="2013">
        <v>0</v>
      </c>
      <c r="V68" s="778">
        <f t="shared" si="20"/>
        <v>0</v>
      </c>
      <c r="W68" s="2010"/>
      <c r="X68" s="779"/>
      <c r="Y68" s="2012">
        <v>0</v>
      </c>
      <c r="Z68" s="780">
        <f t="shared" si="34"/>
        <v>0</v>
      </c>
      <c r="AA68" s="2007"/>
      <c r="AB68" s="2007"/>
      <c r="AC68" s="765"/>
      <c r="AD68" s="781">
        <f t="shared" si="23"/>
        <v>0</v>
      </c>
      <c r="AE68" s="781">
        <f t="shared" si="5"/>
        <v>0</v>
      </c>
      <c r="AF68" s="781">
        <f t="shared" si="24"/>
        <v>0</v>
      </c>
      <c r="AG68" s="781">
        <f t="shared" si="25"/>
        <v>0</v>
      </c>
      <c r="AH68" s="781">
        <f t="shared" si="8"/>
        <v>0</v>
      </c>
      <c r="AI68" s="782">
        <f t="shared" si="26"/>
        <v>0</v>
      </c>
      <c r="AJ68" s="781">
        <f t="shared" si="27"/>
        <v>0</v>
      </c>
      <c r="AK68" s="781">
        <f t="shared" si="11"/>
        <v>0</v>
      </c>
      <c r="AL68" s="781">
        <f t="shared" si="28"/>
        <v>0</v>
      </c>
      <c r="AM68" s="781">
        <f t="shared" si="29"/>
        <v>0</v>
      </c>
      <c r="AN68" s="781">
        <f t="shared" si="14"/>
        <v>0</v>
      </c>
      <c r="AO68" s="781">
        <f t="shared" si="30"/>
        <v>0</v>
      </c>
      <c r="AP68" s="781">
        <f t="shared" si="31"/>
        <v>0</v>
      </c>
      <c r="AQ68" s="781">
        <f t="shared" si="17"/>
        <v>0</v>
      </c>
      <c r="AR68" s="781">
        <f t="shared" si="32"/>
        <v>0</v>
      </c>
      <c r="AS68" s="783">
        <f t="shared" si="19"/>
        <v>0</v>
      </c>
    </row>
    <row r="69" spans="1:50" ht="15" x14ac:dyDescent="0.25">
      <c r="A69" s="784"/>
      <c r="B69" s="719">
        <f t="shared" si="22"/>
        <v>60</v>
      </c>
      <c r="C69" s="170" t="str">
        <f t="shared" si="0"/>
        <v/>
      </c>
      <c r="D69" s="557"/>
      <c r="E69" s="170"/>
      <c r="F69" s="170"/>
      <c r="G69" s="2007"/>
      <c r="H69" s="1926"/>
      <c r="I69" s="2008"/>
      <c r="J69" s="1926"/>
      <c r="K69" s="1926"/>
      <c r="L69" s="170"/>
      <c r="M69" s="2009">
        <v>0</v>
      </c>
      <c r="N69" s="2010">
        <v>1</v>
      </c>
      <c r="O69" s="773">
        <f t="shared" si="33"/>
        <v>0</v>
      </c>
      <c r="P69" s="2008" t="s">
        <v>39</v>
      </c>
      <c r="Q69" s="2008" t="s">
        <v>39</v>
      </c>
      <c r="R69" s="2011" t="s">
        <v>74</v>
      </c>
      <c r="S69" s="775">
        <f>SUMIF('Data Input sheet'!$B$118:$B$180,R69,'Data Input sheet'!$D$118:$D$180)</f>
        <v>152</v>
      </c>
      <c r="T69" s="2012">
        <f t="shared" si="2"/>
        <v>0</v>
      </c>
      <c r="U69" s="2013">
        <v>0</v>
      </c>
      <c r="V69" s="778">
        <f t="shared" si="20"/>
        <v>0</v>
      </c>
      <c r="W69" s="2010"/>
      <c r="X69" s="779"/>
      <c r="Y69" s="2012">
        <v>0</v>
      </c>
      <c r="Z69" s="780">
        <f t="shared" si="34"/>
        <v>0</v>
      </c>
      <c r="AA69" s="2007"/>
      <c r="AB69" s="2007"/>
      <c r="AC69" s="765"/>
      <c r="AD69" s="781">
        <f t="shared" si="23"/>
        <v>0</v>
      </c>
      <c r="AE69" s="781">
        <f t="shared" si="5"/>
        <v>0</v>
      </c>
      <c r="AF69" s="781">
        <f t="shared" si="24"/>
        <v>0</v>
      </c>
      <c r="AG69" s="781">
        <f t="shared" si="25"/>
        <v>0</v>
      </c>
      <c r="AH69" s="781">
        <f t="shared" si="8"/>
        <v>0</v>
      </c>
      <c r="AI69" s="782">
        <f t="shared" si="26"/>
        <v>0</v>
      </c>
      <c r="AJ69" s="781">
        <f t="shared" si="27"/>
        <v>0</v>
      </c>
      <c r="AK69" s="781">
        <f t="shared" si="11"/>
        <v>0</v>
      </c>
      <c r="AL69" s="781">
        <f t="shared" si="28"/>
        <v>0</v>
      </c>
      <c r="AM69" s="781">
        <f t="shared" si="29"/>
        <v>0</v>
      </c>
      <c r="AN69" s="781">
        <f t="shared" si="14"/>
        <v>0</v>
      </c>
      <c r="AO69" s="781">
        <f t="shared" si="30"/>
        <v>0</v>
      </c>
      <c r="AP69" s="781">
        <f t="shared" si="31"/>
        <v>0</v>
      </c>
      <c r="AQ69" s="781">
        <f t="shared" si="17"/>
        <v>0</v>
      </c>
      <c r="AR69" s="781">
        <f t="shared" si="32"/>
        <v>0</v>
      </c>
      <c r="AS69" s="783">
        <f t="shared" si="19"/>
        <v>0</v>
      </c>
    </row>
    <row r="70" spans="1:50" ht="15" x14ac:dyDescent="0.25">
      <c r="A70" s="784"/>
      <c r="B70" s="719">
        <f t="shared" si="22"/>
        <v>61</v>
      </c>
      <c r="C70" s="170" t="str">
        <f t="shared" si="0"/>
        <v/>
      </c>
      <c r="D70" s="557"/>
      <c r="E70" s="170"/>
      <c r="F70" s="170"/>
      <c r="G70" s="2007"/>
      <c r="H70" s="1926"/>
      <c r="I70" s="2008"/>
      <c r="J70" s="1926"/>
      <c r="K70" s="1926"/>
      <c r="L70" s="170"/>
      <c r="M70" s="2009">
        <v>0</v>
      </c>
      <c r="N70" s="2010">
        <v>1</v>
      </c>
      <c r="O70" s="773">
        <f t="shared" si="33"/>
        <v>0</v>
      </c>
      <c r="P70" s="2008" t="s">
        <v>39</v>
      </c>
      <c r="Q70" s="2008" t="s">
        <v>39</v>
      </c>
      <c r="R70" s="2011" t="s">
        <v>74</v>
      </c>
      <c r="S70" s="775">
        <f>SUMIF('Data Input sheet'!$B$118:$B$180,R70,'Data Input sheet'!$D$118:$D$180)</f>
        <v>152</v>
      </c>
      <c r="T70" s="2012">
        <f t="shared" si="2"/>
        <v>0</v>
      </c>
      <c r="U70" s="2013">
        <v>0</v>
      </c>
      <c r="V70" s="778">
        <f t="shared" si="20"/>
        <v>0</v>
      </c>
      <c r="W70" s="2010"/>
      <c r="X70" s="779"/>
      <c r="Y70" s="2012">
        <v>0</v>
      </c>
      <c r="Z70" s="780">
        <f t="shared" si="34"/>
        <v>0</v>
      </c>
      <c r="AA70" s="2007"/>
      <c r="AB70" s="2007"/>
      <c r="AC70" s="765"/>
      <c r="AD70" s="781">
        <f t="shared" si="23"/>
        <v>0</v>
      </c>
      <c r="AE70" s="781">
        <f t="shared" si="5"/>
        <v>0</v>
      </c>
      <c r="AF70" s="781">
        <f t="shared" si="24"/>
        <v>0</v>
      </c>
      <c r="AG70" s="781">
        <f t="shared" si="25"/>
        <v>0</v>
      </c>
      <c r="AH70" s="781">
        <f t="shared" si="8"/>
        <v>0</v>
      </c>
      <c r="AI70" s="782">
        <f t="shared" si="26"/>
        <v>0</v>
      </c>
      <c r="AJ70" s="781">
        <f t="shared" si="27"/>
        <v>0</v>
      </c>
      <c r="AK70" s="781">
        <f t="shared" si="11"/>
        <v>0</v>
      </c>
      <c r="AL70" s="781">
        <f t="shared" si="28"/>
        <v>0</v>
      </c>
      <c r="AM70" s="781">
        <f t="shared" si="29"/>
        <v>0</v>
      </c>
      <c r="AN70" s="781">
        <f t="shared" si="14"/>
        <v>0</v>
      </c>
      <c r="AO70" s="781">
        <f t="shared" si="30"/>
        <v>0</v>
      </c>
      <c r="AP70" s="781">
        <f t="shared" si="31"/>
        <v>0</v>
      </c>
      <c r="AQ70" s="781">
        <f t="shared" si="17"/>
        <v>0</v>
      </c>
      <c r="AR70" s="781">
        <f t="shared" si="32"/>
        <v>0</v>
      </c>
      <c r="AS70" s="783">
        <f t="shared" si="19"/>
        <v>0</v>
      </c>
    </row>
    <row r="71" spans="1:50" ht="15" x14ac:dyDescent="0.25">
      <c r="A71" s="784"/>
      <c r="B71" s="719">
        <f t="shared" si="22"/>
        <v>62</v>
      </c>
      <c r="C71" s="170" t="str">
        <f t="shared" si="0"/>
        <v/>
      </c>
      <c r="D71" s="557"/>
      <c r="E71" s="170"/>
      <c r="F71" s="170"/>
      <c r="G71" s="2007"/>
      <c r="H71" s="1926"/>
      <c r="I71" s="2008"/>
      <c r="J71" s="1926"/>
      <c r="K71" s="1926"/>
      <c r="L71" s="170"/>
      <c r="M71" s="2009">
        <v>0</v>
      </c>
      <c r="N71" s="2010">
        <v>1</v>
      </c>
      <c r="O71" s="773">
        <f t="shared" si="33"/>
        <v>0</v>
      </c>
      <c r="P71" s="2008" t="s">
        <v>39</v>
      </c>
      <c r="Q71" s="2008" t="s">
        <v>39</v>
      </c>
      <c r="R71" s="2011" t="s">
        <v>74</v>
      </c>
      <c r="S71" s="775">
        <f>SUMIF('Data Input sheet'!$B$118:$B$180,R71,'Data Input sheet'!$D$118:$D$180)</f>
        <v>152</v>
      </c>
      <c r="T71" s="2012">
        <f t="shared" si="2"/>
        <v>0</v>
      </c>
      <c r="U71" s="2013">
        <v>0</v>
      </c>
      <c r="V71" s="778">
        <f t="shared" si="20"/>
        <v>0</v>
      </c>
      <c r="W71" s="2010"/>
      <c r="X71" s="779"/>
      <c r="Y71" s="2012">
        <v>0</v>
      </c>
      <c r="Z71" s="780">
        <f t="shared" si="34"/>
        <v>0</v>
      </c>
      <c r="AA71" s="2007"/>
      <c r="AB71" s="2007"/>
      <c r="AC71" s="765"/>
      <c r="AD71" s="781">
        <f t="shared" si="23"/>
        <v>0</v>
      </c>
      <c r="AE71" s="781">
        <f t="shared" si="5"/>
        <v>0</v>
      </c>
      <c r="AF71" s="781">
        <f t="shared" si="24"/>
        <v>0</v>
      </c>
      <c r="AG71" s="781">
        <f t="shared" si="25"/>
        <v>0</v>
      </c>
      <c r="AH71" s="781">
        <f t="shared" si="8"/>
        <v>0</v>
      </c>
      <c r="AI71" s="782">
        <f t="shared" si="26"/>
        <v>0</v>
      </c>
      <c r="AJ71" s="781">
        <f t="shared" si="27"/>
        <v>0</v>
      </c>
      <c r="AK71" s="781">
        <f t="shared" si="11"/>
        <v>0</v>
      </c>
      <c r="AL71" s="781">
        <f t="shared" si="28"/>
        <v>0</v>
      </c>
      <c r="AM71" s="781">
        <f t="shared" si="29"/>
        <v>0</v>
      </c>
      <c r="AN71" s="781">
        <f t="shared" si="14"/>
        <v>0</v>
      </c>
      <c r="AO71" s="781">
        <f t="shared" si="30"/>
        <v>0</v>
      </c>
      <c r="AP71" s="781">
        <f t="shared" si="31"/>
        <v>0</v>
      </c>
      <c r="AQ71" s="781">
        <f t="shared" si="17"/>
        <v>0</v>
      </c>
      <c r="AR71" s="781">
        <f t="shared" si="32"/>
        <v>0</v>
      </c>
      <c r="AS71" s="783">
        <f t="shared" si="19"/>
        <v>0</v>
      </c>
    </row>
    <row r="72" spans="1:50" ht="15" x14ac:dyDescent="0.25">
      <c r="A72" s="784"/>
      <c r="B72" s="719">
        <f t="shared" si="22"/>
        <v>63</v>
      </c>
      <c r="C72" s="170" t="str">
        <f t="shared" si="0"/>
        <v/>
      </c>
      <c r="D72" s="557"/>
      <c r="E72" s="170"/>
      <c r="F72" s="170"/>
      <c r="G72" s="2007"/>
      <c r="H72" s="1926"/>
      <c r="I72" s="2008"/>
      <c r="J72" s="1926"/>
      <c r="K72" s="1926"/>
      <c r="L72" s="170"/>
      <c r="M72" s="2009"/>
      <c r="N72" s="2010"/>
      <c r="O72" s="773"/>
      <c r="P72" s="2008"/>
      <c r="Q72" s="2008"/>
      <c r="R72" s="2011"/>
      <c r="S72" s="775"/>
      <c r="T72" s="2012"/>
      <c r="U72" s="2013"/>
      <c r="V72" s="778"/>
      <c r="W72" s="2010"/>
      <c r="X72" s="779"/>
      <c r="Y72" s="2012"/>
      <c r="Z72" s="780"/>
      <c r="AA72" s="2007" t="s">
        <v>96</v>
      </c>
      <c r="AB72" s="2007"/>
      <c r="AC72" s="765"/>
      <c r="AD72" s="781">
        <f t="shared" si="23"/>
        <v>0</v>
      </c>
      <c r="AE72" s="781">
        <f t="shared" si="5"/>
        <v>0</v>
      </c>
      <c r="AF72" s="781">
        <f t="shared" si="24"/>
        <v>0</v>
      </c>
      <c r="AG72" s="781">
        <f t="shared" si="25"/>
        <v>0</v>
      </c>
      <c r="AH72" s="781">
        <f t="shared" si="8"/>
        <v>0</v>
      </c>
      <c r="AI72" s="782">
        <f t="shared" si="26"/>
        <v>0</v>
      </c>
      <c r="AJ72" s="781">
        <f t="shared" si="27"/>
        <v>0</v>
      </c>
      <c r="AK72" s="781">
        <f t="shared" si="11"/>
        <v>0</v>
      </c>
      <c r="AL72" s="781">
        <f t="shared" si="28"/>
        <v>0</v>
      </c>
      <c r="AM72" s="781">
        <f t="shared" si="29"/>
        <v>0</v>
      </c>
      <c r="AN72" s="781">
        <f t="shared" si="14"/>
        <v>0</v>
      </c>
      <c r="AO72" s="781">
        <f t="shared" si="30"/>
        <v>0</v>
      </c>
      <c r="AP72" s="781">
        <f t="shared" si="31"/>
        <v>0</v>
      </c>
      <c r="AQ72" s="781">
        <f t="shared" si="17"/>
        <v>0</v>
      </c>
      <c r="AR72" s="781">
        <f t="shared" si="32"/>
        <v>0</v>
      </c>
      <c r="AS72" s="783">
        <f t="shared" si="19"/>
        <v>0</v>
      </c>
    </row>
    <row r="73" spans="1:50" ht="15" x14ac:dyDescent="0.25">
      <c r="A73" s="784"/>
      <c r="B73" s="719">
        <f t="shared" si="22"/>
        <v>64</v>
      </c>
      <c r="C73" s="170" t="str">
        <f t="shared" ref="C73:C76" si="35">+F73&amp;I73</f>
        <v/>
      </c>
      <c r="D73" s="557"/>
      <c r="E73" s="170"/>
      <c r="F73" s="170"/>
      <c r="G73" s="2007"/>
      <c r="H73" s="1926"/>
      <c r="I73" s="2008"/>
      <c r="J73" s="1926"/>
      <c r="K73" s="1926"/>
      <c r="L73" s="170"/>
      <c r="M73" s="2009"/>
      <c r="N73" s="2010"/>
      <c r="O73" s="773"/>
      <c r="P73" s="2008"/>
      <c r="Q73" s="2008"/>
      <c r="R73" s="2011"/>
      <c r="S73" s="775"/>
      <c r="T73" s="2012"/>
      <c r="U73" s="2013"/>
      <c r="V73" s="778"/>
      <c r="W73" s="2010"/>
      <c r="X73" s="779"/>
      <c r="Y73" s="2012"/>
      <c r="Z73" s="780"/>
      <c r="AA73" s="2007"/>
      <c r="AB73" s="2007"/>
      <c r="AC73" s="765"/>
      <c r="AD73" s="781">
        <f t="shared" ref="AD73:AD78" si="36">IF(P73="E",+ROUND(H73*O73,0),0)</f>
        <v>0</v>
      </c>
      <c r="AE73" s="781">
        <f t="shared" ref="AE73:AE78" si="37">+AF73-AD73</f>
        <v>0</v>
      </c>
      <c r="AF73" s="781">
        <f t="shared" ref="AF73:AF78" si="38">+H73*O73</f>
        <v>0</v>
      </c>
      <c r="AG73" s="781">
        <f t="shared" ref="AG73:AG78" si="39">IF(P73="E",+ROUND(T73*H73,0),0)</f>
        <v>0</v>
      </c>
      <c r="AH73" s="781">
        <f t="shared" ref="AH73:AH78" si="40">+AI73-AG73</f>
        <v>0</v>
      </c>
      <c r="AI73" s="782">
        <f t="shared" ref="AI73:AI78" si="41">+H73*T73</f>
        <v>0</v>
      </c>
      <c r="AJ73" s="781">
        <f t="shared" ref="AJ73:AJ78" si="42">IF(P73="E",+ROUND(V73*H73,0),0)</f>
        <v>0</v>
      </c>
      <c r="AK73" s="781">
        <f t="shared" ref="AK73:AK78" si="43">+AL73-AJ73</f>
        <v>0</v>
      </c>
      <c r="AL73" s="781">
        <f t="shared" ref="AL73:AL78" si="44">ROUND(V73*H73,0)</f>
        <v>0</v>
      </c>
      <c r="AM73" s="781">
        <f t="shared" ref="AM73:AM78" si="45">IF(Q73="E",+ROUND(W73*H73,0),0)</f>
        <v>0</v>
      </c>
      <c r="AN73" s="781">
        <f t="shared" ref="AN73:AN78" si="46">+AO73-AM73</f>
        <v>0</v>
      </c>
      <c r="AO73" s="781">
        <f t="shared" ref="AO73:AO78" si="47">ROUND(W73*H73,0)</f>
        <v>0</v>
      </c>
      <c r="AP73" s="781">
        <f t="shared" ref="AP73:AP78" si="48">IF(P73="E",+ROUND(Y73*H73,0),0)</f>
        <v>0</v>
      </c>
      <c r="AQ73" s="781">
        <f t="shared" ref="AQ73:AQ78" si="49">+AR73-AP73</f>
        <v>0</v>
      </c>
      <c r="AR73" s="781">
        <f t="shared" ref="AR73:AR78" si="50">ROUND(Y73*H73,0)</f>
        <v>0</v>
      </c>
      <c r="AS73" s="783">
        <f t="shared" ref="AS73:AS78" si="51">+AR73+AO73+AL73+AI73</f>
        <v>0</v>
      </c>
    </row>
    <row r="74" spans="1:50" ht="15" x14ac:dyDescent="0.25">
      <c r="A74" s="784"/>
      <c r="B74" s="719">
        <f t="shared" si="22"/>
        <v>65</v>
      </c>
      <c r="C74" s="170" t="str">
        <f t="shared" si="35"/>
        <v/>
      </c>
      <c r="D74" s="557"/>
      <c r="E74" s="170"/>
      <c r="F74" s="170"/>
      <c r="G74" s="2007"/>
      <c r="H74" s="1926"/>
      <c r="I74" s="2008"/>
      <c r="J74" s="1926"/>
      <c r="K74" s="1926"/>
      <c r="L74" s="170"/>
      <c r="M74" s="2009"/>
      <c r="N74" s="2010"/>
      <c r="O74" s="773"/>
      <c r="P74" s="2008"/>
      <c r="Q74" s="2008"/>
      <c r="R74" s="2011"/>
      <c r="S74" s="775"/>
      <c r="T74" s="2012"/>
      <c r="U74" s="2013"/>
      <c r="V74" s="778"/>
      <c r="W74" s="2010"/>
      <c r="X74" s="779"/>
      <c r="Y74" s="2012"/>
      <c r="Z74" s="780"/>
      <c r="AA74" s="2007"/>
      <c r="AB74" s="2007"/>
      <c r="AC74" s="765"/>
      <c r="AD74" s="781">
        <f t="shared" si="36"/>
        <v>0</v>
      </c>
      <c r="AE74" s="781">
        <f t="shared" si="37"/>
        <v>0</v>
      </c>
      <c r="AF74" s="781">
        <f t="shared" si="38"/>
        <v>0</v>
      </c>
      <c r="AG74" s="781">
        <f t="shared" si="39"/>
        <v>0</v>
      </c>
      <c r="AH74" s="781">
        <f t="shared" si="40"/>
        <v>0</v>
      </c>
      <c r="AI74" s="782">
        <f t="shared" si="41"/>
        <v>0</v>
      </c>
      <c r="AJ74" s="781">
        <f t="shared" si="42"/>
        <v>0</v>
      </c>
      <c r="AK74" s="781">
        <f t="shared" si="43"/>
        <v>0</v>
      </c>
      <c r="AL74" s="781">
        <f t="shared" si="44"/>
        <v>0</v>
      </c>
      <c r="AM74" s="781">
        <f t="shared" si="45"/>
        <v>0</v>
      </c>
      <c r="AN74" s="781">
        <f t="shared" si="46"/>
        <v>0</v>
      </c>
      <c r="AO74" s="781">
        <f t="shared" si="47"/>
        <v>0</v>
      </c>
      <c r="AP74" s="781">
        <f t="shared" si="48"/>
        <v>0</v>
      </c>
      <c r="AQ74" s="781">
        <f t="shared" si="49"/>
        <v>0</v>
      </c>
      <c r="AR74" s="781">
        <f t="shared" si="50"/>
        <v>0</v>
      </c>
      <c r="AS74" s="783">
        <f t="shared" si="51"/>
        <v>0</v>
      </c>
    </row>
    <row r="75" spans="1:50" ht="15" x14ac:dyDescent="0.25">
      <c r="A75" s="784"/>
      <c r="B75" s="719">
        <f t="shared" si="22"/>
        <v>66</v>
      </c>
      <c r="C75" s="170" t="str">
        <f t="shared" si="35"/>
        <v/>
      </c>
      <c r="D75" s="557"/>
      <c r="E75" s="170"/>
      <c r="F75" s="170"/>
      <c r="G75" s="2007"/>
      <c r="H75" s="1926"/>
      <c r="I75" s="2008"/>
      <c r="J75" s="1926"/>
      <c r="K75" s="1926"/>
      <c r="L75" s="170"/>
      <c r="M75" s="2009"/>
      <c r="N75" s="2010"/>
      <c r="O75" s="773"/>
      <c r="P75" s="2008"/>
      <c r="Q75" s="2008"/>
      <c r="R75" s="2011"/>
      <c r="S75" s="775"/>
      <c r="T75" s="2012"/>
      <c r="U75" s="2013"/>
      <c r="V75" s="778"/>
      <c r="W75" s="2010"/>
      <c r="X75" s="779"/>
      <c r="Y75" s="2012"/>
      <c r="Z75" s="780"/>
      <c r="AA75" s="2007"/>
      <c r="AB75" s="2007"/>
      <c r="AC75" s="765"/>
      <c r="AD75" s="781">
        <f t="shared" si="36"/>
        <v>0</v>
      </c>
      <c r="AE75" s="781">
        <f t="shared" si="37"/>
        <v>0</v>
      </c>
      <c r="AF75" s="781">
        <f t="shared" si="38"/>
        <v>0</v>
      </c>
      <c r="AG75" s="781">
        <f t="shared" si="39"/>
        <v>0</v>
      </c>
      <c r="AH75" s="781">
        <f t="shared" si="40"/>
        <v>0</v>
      </c>
      <c r="AI75" s="782">
        <f t="shared" si="41"/>
        <v>0</v>
      </c>
      <c r="AJ75" s="781">
        <f t="shared" si="42"/>
        <v>0</v>
      </c>
      <c r="AK75" s="781">
        <f t="shared" si="43"/>
        <v>0</v>
      </c>
      <c r="AL75" s="781">
        <f t="shared" si="44"/>
        <v>0</v>
      </c>
      <c r="AM75" s="781">
        <f t="shared" si="45"/>
        <v>0</v>
      </c>
      <c r="AN75" s="781">
        <f t="shared" si="46"/>
        <v>0</v>
      </c>
      <c r="AO75" s="781">
        <f t="shared" si="47"/>
        <v>0</v>
      </c>
      <c r="AP75" s="781">
        <f t="shared" si="48"/>
        <v>0</v>
      </c>
      <c r="AQ75" s="781">
        <f t="shared" si="49"/>
        <v>0</v>
      </c>
      <c r="AR75" s="781">
        <f t="shared" si="50"/>
        <v>0</v>
      </c>
      <c r="AS75" s="783">
        <f t="shared" si="51"/>
        <v>0</v>
      </c>
    </row>
    <row r="76" spans="1:50" ht="15" x14ac:dyDescent="0.25">
      <c r="A76" s="784"/>
      <c r="B76" s="719">
        <f t="shared" si="22"/>
        <v>67</v>
      </c>
      <c r="C76" s="170" t="str">
        <f t="shared" si="35"/>
        <v/>
      </c>
      <c r="D76" s="557"/>
      <c r="E76" s="170"/>
      <c r="F76" s="170"/>
      <c r="G76" s="2007" t="s">
        <v>96</v>
      </c>
      <c r="H76" s="1926"/>
      <c r="I76" s="2008"/>
      <c r="J76" s="1926"/>
      <c r="K76" s="1926"/>
      <c r="L76" s="170"/>
      <c r="M76" s="2009"/>
      <c r="N76" s="2010"/>
      <c r="O76" s="773"/>
      <c r="P76" s="2008"/>
      <c r="Q76" s="2008"/>
      <c r="R76" s="2011"/>
      <c r="S76" s="775"/>
      <c r="T76" s="2012"/>
      <c r="U76" s="2013"/>
      <c r="V76" s="778"/>
      <c r="W76" s="2010"/>
      <c r="X76" s="779"/>
      <c r="Y76" s="2012"/>
      <c r="Z76" s="780"/>
      <c r="AA76" s="2007"/>
      <c r="AB76" s="2007"/>
      <c r="AC76" s="765"/>
      <c r="AD76" s="781">
        <f t="shared" si="36"/>
        <v>0</v>
      </c>
      <c r="AE76" s="781">
        <f t="shared" si="37"/>
        <v>0</v>
      </c>
      <c r="AF76" s="781">
        <f t="shared" si="38"/>
        <v>0</v>
      </c>
      <c r="AG76" s="781">
        <f t="shared" si="39"/>
        <v>0</v>
      </c>
      <c r="AH76" s="781">
        <f t="shared" si="40"/>
        <v>0</v>
      </c>
      <c r="AI76" s="782">
        <f t="shared" si="41"/>
        <v>0</v>
      </c>
      <c r="AJ76" s="781">
        <f t="shared" si="42"/>
        <v>0</v>
      </c>
      <c r="AK76" s="781">
        <f t="shared" si="43"/>
        <v>0</v>
      </c>
      <c r="AL76" s="781">
        <f t="shared" si="44"/>
        <v>0</v>
      </c>
      <c r="AM76" s="781">
        <f t="shared" si="45"/>
        <v>0</v>
      </c>
      <c r="AN76" s="781">
        <f t="shared" si="46"/>
        <v>0</v>
      </c>
      <c r="AO76" s="781">
        <f t="shared" si="47"/>
        <v>0</v>
      </c>
      <c r="AP76" s="781">
        <f t="shared" si="48"/>
        <v>0</v>
      </c>
      <c r="AQ76" s="781">
        <f t="shared" si="49"/>
        <v>0</v>
      </c>
      <c r="AR76" s="781">
        <f t="shared" si="50"/>
        <v>0</v>
      </c>
      <c r="AS76" s="783">
        <f t="shared" si="51"/>
        <v>0</v>
      </c>
    </row>
    <row r="77" spans="1:50" ht="15" x14ac:dyDescent="0.25">
      <c r="A77" s="784"/>
      <c r="B77" s="719">
        <f t="shared" si="22"/>
        <v>68</v>
      </c>
      <c r="C77" s="170"/>
      <c r="D77" s="557"/>
      <c r="E77" s="170"/>
      <c r="F77" s="170"/>
      <c r="G77" s="787"/>
      <c r="H77" s="784"/>
      <c r="I77" s="784"/>
      <c r="J77" s="784"/>
      <c r="K77" s="784"/>
      <c r="L77" s="170"/>
      <c r="M77" s="773"/>
      <c r="N77" s="773"/>
      <c r="O77" s="773"/>
      <c r="P77" s="788"/>
      <c r="Q77" s="788"/>
      <c r="R77" s="773"/>
      <c r="S77" s="773"/>
      <c r="T77" s="779"/>
      <c r="U77" s="789"/>
      <c r="V77" s="778"/>
      <c r="W77" s="778"/>
      <c r="X77" s="779"/>
      <c r="Y77" s="779"/>
      <c r="Z77" s="780"/>
      <c r="AA77" s="787"/>
      <c r="AB77" s="787"/>
      <c r="AC77" s="765"/>
      <c r="AD77" s="781">
        <f t="shared" si="36"/>
        <v>0</v>
      </c>
      <c r="AE77" s="781">
        <f t="shared" si="37"/>
        <v>0</v>
      </c>
      <c r="AF77" s="781">
        <f t="shared" si="38"/>
        <v>0</v>
      </c>
      <c r="AG77" s="781">
        <f t="shared" si="39"/>
        <v>0</v>
      </c>
      <c r="AH77" s="781">
        <f t="shared" si="40"/>
        <v>0</v>
      </c>
      <c r="AI77" s="782">
        <f t="shared" si="41"/>
        <v>0</v>
      </c>
      <c r="AJ77" s="781">
        <f t="shared" si="42"/>
        <v>0</v>
      </c>
      <c r="AK77" s="781">
        <f t="shared" si="43"/>
        <v>0</v>
      </c>
      <c r="AL77" s="781">
        <f t="shared" si="44"/>
        <v>0</v>
      </c>
      <c r="AM77" s="781">
        <f t="shared" si="45"/>
        <v>0</v>
      </c>
      <c r="AN77" s="781">
        <f t="shared" si="46"/>
        <v>0</v>
      </c>
      <c r="AO77" s="781">
        <f t="shared" si="47"/>
        <v>0</v>
      </c>
      <c r="AP77" s="781">
        <f t="shared" si="48"/>
        <v>0</v>
      </c>
      <c r="AQ77" s="781">
        <f t="shared" si="49"/>
        <v>0</v>
      </c>
      <c r="AR77" s="781">
        <f t="shared" si="50"/>
        <v>0</v>
      </c>
      <c r="AS77" s="783">
        <f t="shared" si="51"/>
        <v>0</v>
      </c>
      <c r="AT77" s="790"/>
      <c r="AU77" s="170"/>
      <c r="AV77" s="170"/>
      <c r="AW77" s="836"/>
      <c r="AX77" s="787"/>
    </row>
    <row r="78" spans="1:50" ht="15" x14ac:dyDescent="0.25">
      <c r="A78" s="784"/>
      <c r="B78" s="719">
        <f t="shared" si="22"/>
        <v>69</v>
      </c>
      <c r="C78" s="170"/>
      <c r="D78" s="557"/>
      <c r="E78" s="170"/>
      <c r="F78" s="170"/>
      <c r="G78" s="787"/>
      <c r="H78" s="784"/>
      <c r="I78" s="784"/>
      <c r="J78" s="784"/>
      <c r="K78" s="784"/>
      <c r="L78" s="170"/>
      <c r="M78" s="773"/>
      <c r="N78" s="773"/>
      <c r="O78" s="773"/>
      <c r="P78" s="788"/>
      <c r="Q78" s="788"/>
      <c r="R78" s="773"/>
      <c r="S78" s="773"/>
      <c r="T78" s="779"/>
      <c r="U78" s="789"/>
      <c r="V78" s="778"/>
      <c r="W78" s="778"/>
      <c r="X78" s="779"/>
      <c r="Y78" s="779"/>
      <c r="Z78" s="780"/>
      <c r="AA78" s="787"/>
      <c r="AB78" s="787"/>
      <c r="AC78" s="765"/>
      <c r="AD78" s="781">
        <f t="shared" si="36"/>
        <v>0</v>
      </c>
      <c r="AE78" s="781">
        <f t="shared" si="37"/>
        <v>0</v>
      </c>
      <c r="AF78" s="781">
        <f t="shared" si="38"/>
        <v>0</v>
      </c>
      <c r="AG78" s="781">
        <f t="shared" si="39"/>
        <v>0</v>
      </c>
      <c r="AH78" s="781">
        <f t="shared" si="40"/>
        <v>0</v>
      </c>
      <c r="AI78" s="782">
        <f t="shared" si="41"/>
        <v>0</v>
      </c>
      <c r="AJ78" s="781">
        <f t="shared" si="42"/>
        <v>0</v>
      </c>
      <c r="AK78" s="781">
        <f t="shared" si="43"/>
        <v>0</v>
      </c>
      <c r="AL78" s="781">
        <f t="shared" si="44"/>
        <v>0</v>
      </c>
      <c r="AM78" s="781">
        <f t="shared" si="45"/>
        <v>0</v>
      </c>
      <c r="AN78" s="781">
        <f t="shared" si="46"/>
        <v>0</v>
      </c>
      <c r="AO78" s="781">
        <f t="shared" si="47"/>
        <v>0</v>
      </c>
      <c r="AP78" s="781">
        <f t="shared" si="48"/>
        <v>0</v>
      </c>
      <c r="AQ78" s="781">
        <f t="shared" si="49"/>
        <v>0</v>
      </c>
      <c r="AR78" s="781">
        <f t="shared" si="50"/>
        <v>0</v>
      </c>
      <c r="AS78" s="783">
        <f t="shared" si="51"/>
        <v>0</v>
      </c>
      <c r="AT78" s="790"/>
      <c r="AU78" s="170"/>
      <c r="AV78" s="170"/>
      <c r="AW78" s="836"/>
      <c r="AX78" s="787"/>
    </row>
    <row r="79" spans="1:50" ht="15" x14ac:dyDescent="0.25">
      <c r="A79" s="784"/>
      <c r="B79" s="719">
        <f t="shared" si="22"/>
        <v>70</v>
      </c>
      <c r="C79" s="170"/>
      <c r="D79" s="557"/>
      <c r="E79" s="170"/>
      <c r="F79" s="170"/>
      <c r="G79" s="792" t="s">
        <v>592</v>
      </c>
      <c r="H79" s="1071">
        <v>1</v>
      </c>
      <c r="I79" s="1071"/>
      <c r="J79" s="1071">
        <v>1</v>
      </c>
      <c r="K79" s="1071"/>
      <c r="L79" s="1072"/>
      <c r="M79" s="1073"/>
      <c r="N79" s="1073"/>
      <c r="O79" s="1073"/>
      <c r="P79" s="1074"/>
      <c r="Q79" s="1074"/>
      <c r="R79" s="1073"/>
      <c r="S79" s="1073"/>
      <c r="T79" s="1075"/>
      <c r="U79" s="1076"/>
      <c r="V79" s="1077"/>
      <c r="W79" s="1077"/>
      <c r="X79" s="1075"/>
      <c r="Y79" s="1075"/>
      <c r="Z79" s="1078"/>
      <c r="AA79" s="1079"/>
      <c r="AB79" s="1079"/>
      <c r="AC79" s="170"/>
      <c r="AD79" s="1081">
        <f t="shared" ref="AD79:AS79" si="52">SUM(AD9:AD78)</f>
        <v>0</v>
      </c>
      <c r="AE79" s="1081">
        <f t="shared" si="52"/>
        <v>0</v>
      </c>
      <c r="AF79" s="1081">
        <f t="shared" si="52"/>
        <v>0</v>
      </c>
      <c r="AG79" s="1081">
        <f t="shared" si="52"/>
        <v>0</v>
      </c>
      <c r="AH79" s="1081">
        <f t="shared" si="52"/>
        <v>0</v>
      </c>
      <c r="AI79" s="1081">
        <f t="shared" si="52"/>
        <v>0</v>
      </c>
      <c r="AJ79" s="1081">
        <f t="shared" si="52"/>
        <v>0</v>
      </c>
      <c r="AK79" s="1081">
        <f t="shared" si="52"/>
        <v>0</v>
      </c>
      <c r="AL79" s="1081">
        <f t="shared" si="52"/>
        <v>0</v>
      </c>
      <c r="AM79" s="1081">
        <f t="shared" si="52"/>
        <v>0</v>
      </c>
      <c r="AN79" s="1081">
        <f t="shared" si="52"/>
        <v>0</v>
      </c>
      <c r="AO79" s="1081">
        <f t="shared" si="52"/>
        <v>0</v>
      </c>
      <c r="AP79" s="1081">
        <f t="shared" si="52"/>
        <v>0</v>
      </c>
      <c r="AQ79" s="1081">
        <f t="shared" si="52"/>
        <v>0</v>
      </c>
      <c r="AR79" s="1081">
        <f t="shared" si="52"/>
        <v>0</v>
      </c>
      <c r="AS79" s="1081">
        <f t="shared" si="52"/>
        <v>0</v>
      </c>
      <c r="AT79" s="795"/>
      <c r="AU79" s="170"/>
      <c r="AV79" s="170"/>
      <c r="AW79" s="836"/>
      <c r="AX79" s="787"/>
    </row>
    <row r="80" spans="1:50" ht="15.75" thickBot="1" x14ac:dyDescent="0.3">
      <c r="A80" s="784"/>
      <c r="B80" s="719">
        <f t="shared" si="22"/>
        <v>71</v>
      </c>
      <c r="C80" s="170"/>
      <c r="D80" s="574"/>
      <c r="E80" s="576"/>
      <c r="F80" s="576"/>
      <c r="G80" s="796"/>
      <c r="H80" s="797"/>
      <c r="I80" s="797"/>
      <c r="J80" s="797"/>
      <c r="K80" s="797"/>
      <c r="L80" s="576"/>
      <c r="M80" s="798"/>
      <c r="N80" s="798"/>
      <c r="O80" s="798"/>
      <c r="P80" s="799"/>
      <c r="Q80" s="799"/>
      <c r="R80" s="798"/>
      <c r="S80" s="798"/>
      <c r="T80" s="800"/>
      <c r="U80" s="801"/>
      <c r="V80" s="802"/>
      <c r="W80" s="802"/>
      <c r="X80" s="800"/>
      <c r="Y80" s="800"/>
      <c r="Z80" s="803"/>
      <c r="AA80" s="796"/>
      <c r="AB80" s="796"/>
      <c r="AC80" s="804"/>
      <c r="AD80" s="805"/>
      <c r="AE80" s="805"/>
      <c r="AF80" s="576"/>
      <c r="AG80" s="576"/>
      <c r="AH80" s="576"/>
      <c r="AI80" s="806"/>
      <c r="AJ80" s="806"/>
      <c r="AK80" s="806"/>
      <c r="AL80" s="806"/>
      <c r="AM80" s="806"/>
      <c r="AN80" s="806"/>
      <c r="AO80" s="806"/>
      <c r="AP80" s="806"/>
      <c r="AQ80" s="806"/>
      <c r="AR80" s="806"/>
      <c r="AS80" s="806"/>
      <c r="AT80" s="587"/>
      <c r="AU80" s="170"/>
      <c r="AV80" s="170"/>
      <c r="AW80" s="836"/>
      <c r="AX80" s="787"/>
    </row>
    <row r="81" spans="1:50" ht="15.75" thickTop="1" x14ac:dyDescent="0.25">
      <c r="A81" s="170"/>
      <c r="B81" s="719"/>
      <c r="C81" s="170"/>
      <c r="D81" s="170"/>
      <c r="E81" s="170"/>
      <c r="F81" s="170"/>
      <c r="G81" s="170"/>
      <c r="H81" s="170"/>
      <c r="I81" s="170"/>
      <c r="J81" s="170"/>
      <c r="K81" s="170"/>
      <c r="L81" s="170"/>
      <c r="M81" s="170"/>
      <c r="N81" s="170"/>
      <c r="O81" s="170"/>
      <c r="P81" s="170"/>
      <c r="Q81" s="170"/>
      <c r="R81" s="170"/>
      <c r="S81" s="170"/>
      <c r="T81" s="170"/>
      <c r="U81" s="170"/>
      <c r="V81" s="170"/>
      <c r="W81" s="170"/>
      <c r="X81" s="170"/>
      <c r="Y81" s="170"/>
      <c r="Z81" s="170"/>
      <c r="AA81" s="170"/>
      <c r="AB81" s="170"/>
      <c r="AC81" s="170"/>
      <c r="AD81" s="170"/>
      <c r="AE81" s="170"/>
      <c r="AF81" s="170"/>
      <c r="AG81" s="170"/>
      <c r="AH81" s="170"/>
      <c r="AI81" s="170"/>
      <c r="AJ81" s="170"/>
      <c r="AK81" s="170"/>
      <c r="AL81" s="170"/>
      <c r="AM81" s="170"/>
      <c r="AN81" s="170"/>
      <c r="AO81" s="170"/>
      <c r="AP81" s="170"/>
      <c r="AQ81" s="170"/>
      <c r="AR81" s="170"/>
      <c r="AS81" s="170"/>
      <c r="AT81" s="170"/>
      <c r="AU81" s="170"/>
      <c r="AV81" s="170"/>
      <c r="AW81" s="170"/>
      <c r="AX81" s="170"/>
    </row>
    <row r="82" spans="1:50" ht="15" x14ac:dyDescent="0.25">
      <c r="A82" s="170"/>
      <c r="B82" s="719"/>
      <c r="C82" s="170"/>
      <c r="D82" s="168" t="s">
        <v>742</v>
      </c>
      <c r="E82" s="170"/>
      <c r="F82" s="170"/>
      <c r="G82" s="721"/>
      <c r="H82" s="170"/>
      <c r="I82" s="170"/>
      <c r="J82" s="170"/>
      <c r="K82" s="170"/>
      <c r="L82" s="170"/>
      <c r="M82" s="730"/>
      <c r="N82" s="730"/>
      <c r="O82" s="730"/>
      <c r="P82" s="731"/>
      <c r="Q82" s="731"/>
      <c r="R82" s="730"/>
      <c r="S82" s="730"/>
      <c r="T82" s="723"/>
      <c r="U82" s="724"/>
      <c r="V82" s="725"/>
      <c r="W82" s="725"/>
      <c r="X82" s="723"/>
      <c r="Y82" s="723"/>
      <c r="Z82" s="723"/>
      <c r="AA82" s="726"/>
      <c r="AB82" s="726"/>
      <c r="AC82" s="170"/>
      <c r="AD82" s="586"/>
      <c r="AE82" s="586"/>
      <c r="AF82" s="170"/>
      <c r="AG82" s="170"/>
      <c r="AH82" s="170"/>
      <c r="AI82" s="170"/>
      <c r="AJ82" s="170"/>
      <c r="AK82" s="170"/>
      <c r="AL82" s="170"/>
      <c r="AM82" s="170"/>
      <c r="AN82" s="170"/>
      <c r="AO82" s="170"/>
      <c r="AP82" s="170"/>
      <c r="AQ82" s="170"/>
      <c r="AR82" s="170"/>
      <c r="AS82" s="170"/>
      <c r="AT82" s="170"/>
      <c r="AU82" s="170"/>
      <c r="AV82" s="170"/>
      <c r="AW82" s="828"/>
      <c r="AX82" s="726"/>
    </row>
    <row r="83" spans="1:50" ht="15" x14ac:dyDescent="0.25">
      <c r="A83" s="170"/>
      <c r="B83" s="719"/>
      <c r="C83" s="170" t="str">
        <f t="shared" ref="C83:C146" si="53">+F83&amp;I83</f>
        <v>1ls</v>
      </c>
      <c r="D83" s="170"/>
      <c r="E83" s="170"/>
      <c r="F83" s="170">
        <f>+Parameters!D4</f>
        <v>1</v>
      </c>
      <c r="G83" s="170" t="str">
        <f>+Parameters!E4</f>
        <v>General mob / demob</v>
      </c>
      <c r="H83" s="586">
        <f>SUMIF($C$9:$C$79,$C83,H$9:H$79)</f>
        <v>0</v>
      </c>
      <c r="I83" s="170" t="str">
        <f>+Parameters!F4</f>
        <v>ls</v>
      </c>
      <c r="J83" s="170"/>
      <c r="K83" s="170"/>
      <c r="L83" s="170"/>
      <c r="M83" s="730"/>
      <c r="N83" s="730"/>
      <c r="O83" s="730"/>
      <c r="P83" s="731"/>
      <c r="Q83" s="731"/>
      <c r="R83" s="730"/>
      <c r="S83" s="730"/>
      <c r="T83" s="723"/>
      <c r="U83" s="724"/>
      <c r="V83" s="725"/>
      <c r="W83" s="725"/>
      <c r="X83" s="723"/>
      <c r="Y83" s="723"/>
      <c r="Z83" s="723"/>
      <c r="AA83" s="726"/>
      <c r="AB83" s="726"/>
      <c r="AC83" s="170"/>
      <c r="AD83" s="586">
        <f>SUMIF($F$9:$F$79,$F83,AD$9:AD$79)</f>
        <v>0</v>
      </c>
      <c r="AE83" s="586">
        <f t="shared" ref="AE83:AS98" si="54">SUMIF($F$9:$F$79,$F83,AE$9:AE$79)</f>
        <v>0</v>
      </c>
      <c r="AF83" s="586">
        <f t="shared" si="54"/>
        <v>0</v>
      </c>
      <c r="AG83" s="586">
        <f t="shared" si="54"/>
        <v>0</v>
      </c>
      <c r="AH83" s="586">
        <f t="shared" si="54"/>
        <v>0</v>
      </c>
      <c r="AI83" s="586">
        <f t="shared" si="54"/>
        <v>0</v>
      </c>
      <c r="AJ83" s="586">
        <f t="shared" si="54"/>
        <v>0</v>
      </c>
      <c r="AK83" s="586">
        <f t="shared" si="54"/>
        <v>0</v>
      </c>
      <c r="AL83" s="586">
        <f t="shared" si="54"/>
        <v>0</v>
      </c>
      <c r="AM83" s="586">
        <f t="shared" si="54"/>
        <v>0</v>
      </c>
      <c r="AN83" s="586">
        <f t="shared" si="54"/>
        <v>0</v>
      </c>
      <c r="AO83" s="586">
        <f t="shared" si="54"/>
        <v>0</v>
      </c>
      <c r="AP83" s="586">
        <f t="shared" si="54"/>
        <v>0</v>
      </c>
      <c r="AQ83" s="586">
        <f t="shared" si="54"/>
        <v>0</v>
      </c>
      <c r="AR83" s="586">
        <f t="shared" si="54"/>
        <v>0</v>
      </c>
      <c r="AS83" s="586">
        <f t="shared" si="54"/>
        <v>0</v>
      </c>
      <c r="AT83" s="170"/>
      <c r="AU83" s="170"/>
      <c r="AV83" s="170"/>
      <c r="AW83" s="828"/>
      <c r="AX83" s="726"/>
    </row>
    <row r="84" spans="1:50" ht="15" x14ac:dyDescent="0.25">
      <c r="A84" s="170"/>
      <c r="B84" s="719"/>
      <c r="C84" s="170" t="str">
        <f t="shared" si="53"/>
        <v>20</v>
      </c>
      <c r="D84" s="170"/>
      <c r="E84" s="170"/>
      <c r="F84" s="170">
        <f>+Parameters!D5</f>
        <v>2</v>
      </c>
      <c r="G84" s="170" t="str">
        <f>+Parameters!E5</f>
        <v>General site work - general inc roads/paving</v>
      </c>
      <c r="H84" s="586">
        <f t="shared" ref="H84:H147" si="55">SUMIF($C$9:$C$79,$C84,H$9:H$79)</f>
        <v>0</v>
      </c>
      <c r="I84" s="170">
        <f>+Parameters!F5</f>
        <v>0</v>
      </c>
      <c r="J84" s="170"/>
      <c r="K84" s="170"/>
      <c r="L84" s="170"/>
      <c r="M84" s="730"/>
      <c r="N84" s="730"/>
      <c r="O84" s="730"/>
      <c r="P84" s="731"/>
      <c r="Q84" s="731"/>
      <c r="R84" s="730"/>
      <c r="S84" s="730"/>
      <c r="T84" s="723"/>
      <c r="U84" s="724"/>
      <c r="V84" s="725"/>
      <c r="W84" s="725"/>
      <c r="X84" s="723"/>
      <c r="Y84" s="723"/>
      <c r="Z84" s="723"/>
      <c r="AA84" s="726"/>
      <c r="AB84" s="726"/>
      <c r="AC84" s="170"/>
      <c r="AD84" s="586">
        <f t="shared" ref="AD84:AS113" si="56">SUMIF($F$9:$F$79,$F84,AD$9:AD$79)</f>
        <v>0</v>
      </c>
      <c r="AE84" s="586">
        <f t="shared" si="54"/>
        <v>0</v>
      </c>
      <c r="AF84" s="586">
        <f t="shared" si="54"/>
        <v>0</v>
      </c>
      <c r="AG84" s="586">
        <f t="shared" si="54"/>
        <v>0</v>
      </c>
      <c r="AH84" s="586">
        <f t="shared" si="54"/>
        <v>0</v>
      </c>
      <c r="AI84" s="586">
        <f t="shared" si="54"/>
        <v>0</v>
      </c>
      <c r="AJ84" s="586">
        <f t="shared" si="54"/>
        <v>0</v>
      </c>
      <c r="AK84" s="586">
        <f t="shared" si="54"/>
        <v>0</v>
      </c>
      <c r="AL84" s="586">
        <f t="shared" si="54"/>
        <v>0</v>
      </c>
      <c r="AM84" s="586">
        <f t="shared" si="54"/>
        <v>0</v>
      </c>
      <c r="AN84" s="586">
        <f t="shared" si="54"/>
        <v>0</v>
      </c>
      <c r="AO84" s="586">
        <f t="shared" si="54"/>
        <v>0</v>
      </c>
      <c r="AP84" s="586">
        <f t="shared" si="54"/>
        <v>0</v>
      </c>
      <c r="AQ84" s="586">
        <f t="shared" si="54"/>
        <v>0</v>
      </c>
      <c r="AR84" s="586">
        <f t="shared" si="54"/>
        <v>0</v>
      </c>
      <c r="AS84" s="586">
        <f t="shared" si="54"/>
        <v>0</v>
      </c>
      <c r="AT84" s="170"/>
      <c r="AU84" s="170"/>
      <c r="AV84" s="170"/>
      <c r="AW84" s="828"/>
      <c r="AX84" s="726"/>
    </row>
    <row r="85" spans="1:50" ht="15" x14ac:dyDescent="0.25">
      <c r="A85" s="170"/>
      <c r="B85" s="719"/>
      <c r="C85" s="170" t="str">
        <f t="shared" si="53"/>
        <v>3ea</v>
      </c>
      <c r="D85" s="170"/>
      <c r="E85" s="170"/>
      <c r="F85" s="170">
        <f>+Parameters!D6</f>
        <v>3</v>
      </c>
      <c r="G85" s="170" t="str">
        <f>+Parameters!E6</f>
        <v>foundations - Poles - direct embed</v>
      </c>
      <c r="H85" s="586">
        <f t="shared" si="55"/>
        <v>0</v>
      </c>
      <c r="I85" s="170" t="str">
        <f>+Parameters!F6</f>
        <v>ea</v>
      </c>
      <c r="J85" s="170"/>
      <c r="K85" s="170"/>
      <c r="L85" s="170"/>
      <c r="M85" s="730"/>
      <c r="N85" s="730"/>
      <c r="O85" s="730"/>
      <c r="P85" s="731"/>
      <c r="Q85" s="731"/>
      <c r="R85" s="730"/>
      <c r="S85" s="730"/>
      <c r="T85" s="723"/>
      <c r="U85" s="724"/>
      <c r="V85" s="725"/>
      <c r="W85" s="725"/>
      <c r="X85" s="723"/>
      <c r="Y85" s="723"/>
      <c r="Z85" s="723"/>
      <c r="AA85" s="726"/>
      <c r="AB85" s="726"/>
      <c r="AC85" s="170"/>
      <c r="AD85" s="586">
        <f t="shared" si="56"/>
        <v>0</v>
      </c>
      <c r="AE85" s="586">
        <f t="shared" si="54"/>
        <v>0</v>
      </c>
      <c r="AF85" s="586">
        <f t="shared" si="54"/>
        <v>0</v>
      </c>
      <c r="AG85" s="586">
        <f t="shared" si="54"/>
        <v>0</v>
      </c>
      <c r="AH85" s="586">
        <f t="shared" si="54"/>
        <v>0</v>
      </c>
      <c r="AI85" s="586">
        <f t="shared" si="54"/>
        <v>0</v>
      </c>
      <c r="AJ85" s="586">
        <f t="shared" si="54"/>
        <v>0</v>
      </c>
      <c r="AK85" s="586">
        <f t="shared" si="54"/>
        <v>0</v>
      </c>
      <c r="AL85" s="586">
        <f t="shared" si="54"/>
        <v>0</v>
      </c>
      <c r="AM85" s="586">
        <f t="shared" si="54"/>
        <v>0</v>
      </c>
      <c r="AN85" s="586">
        <f t="shared" si="54"/>
        <v>0</v>
      </c>
      <c r="AO85" s="586">
        <f t="shared" si="54"/>
        <v>0</v>
      </c>
      <c r="AP85" s="586">
        <f t="shared" si="54"/>
        <v>0</v>
      </c>
      <c r="AQ85" s="586">
        <f t="shared" si="54"/>
        <v>0</v>
      </c>
      <c r="AR85" s="586">
        <f t="shared" si="54"/>
        <v>0</v>
      </c>
      <c r="AS85" s="586">
        <f t="shared" si="54"/>
        <v>0</v>
      </c>
      <c r="AT85" s="170"/>
      <c r="AU85" s="170"/>
      <c r="AV85" s="170"/>
      <c r="AW85" s="828"/>
      <c r="AX85" s="726"/>
    </row>
    <row r="86" spans="1:50" ht="15" x14ac:dyDescent="0.25">
      <c r="A86" s="170"/>
      <c r="B86" s="719"/>
      <c r="C86" s="170" t="str">
        <f t="shared" si="53"/>
        <v>40</v>
      </c>
      <c r="D86" s="170"/>
      <c r="E86" s="170"/>
      <c r="F86" s="170">
        <f>+Parameters!D7</f>
        <v>4</v>
      </c>
      <c r="G86" s="170" t="str">
        <f>+Parameters!E7</f>
        <v>foundations - Poles - formed conc.</v>
      </c>
      <c r="H86" s="586">
        <f t="shared" si="55"/>
        <v>0</v>
      </c>
      <c r="I86" s="170">
        <f>+Parameters!F7</f>
        <v>0</v>
      </c>
      <c r="J86" s="170"/>
      <c r="K86" s="170"/>
      <c r="L86" s="170"/>
      <c r="M86" s="730"/>
      <c r="N86" s="730"/>
      <c r="O86" s="730"/>
      <c r="P86" s="731"/>
      <c r="Q86" s="731"/>
      <c r="R86" s="730"/>
      <c r="S86" s="730"/>
      <c r="T86" s="723"/>
      <c r="U86" s="724"/>
      <c r="V86" s="725"/>
      <c r="W86" s="725"/>
      <c r="X86" s="723"/>
      <c r="Y86" s="723"/>
      <c r="Z86" s="723"/>
      <c r="AA86" s="726"/>
      <c r="AB86" s="726"/>
      <c r="AC86" s="170"/>
      <c r="AD86" s="586">
        <f t="shared" si="56"/>
        <v>0</v>
      </c>
      <c r="AE86" s="586">
        <f t="shared" si="54"/>
        <v>0</v>
      </c>
      <c r="AF86" s="586">
        <f t="shared" si="54"/>
        <v>0</v>
      </c>
      <c r="AG86" s="586">
        <f t="shared" si="54"/>
        <v>0</v>
      </c>
      <c r="AH86" s="586">
        <f t="shared" si="54"/>
        <v>0</v>
      </c>
      <c r="AI86" s="586">
        <f t="shared" si="54"/>
        <v>0</v>
      </c>
      <c r="AJ86" s="586">
        <f t="shared" si="54"/>
        <v>0</v>
      </c>
      <c r="AK86" s="586">
        <f t="shared" si="54"/>
        <v>0</v>
      </c>
      <c r="AL86" s="586">
        <f t="shared" si="54"/>
        <v>0</v>
      </c>
      <c r="AM86" s="586">
        <f t="shared" si="54"/>
        <v>0</v>
      </c>
      <c r="AN86" s="586">
        <f t="shared" si="54"/>
        <v>0</v>
      </c>
      <c r="AO86" s="586">
        <f t="shared" si="54"/>
        <v>0</v>
      </c>
      <c r="AP86" s="586">
        <f t="shared" si="54"/>
        <v>0</v>
      </c>
      <c r="AQ86" s="586">
        <f t="shared" si="54"/>
        <v>0</v>
      </c>
      <c r="AR86" s="586">
        <f t="shared" si="54"/>
        <v>0</v>
      </c>
      <c r="AS86" s="586">
        <f t="shared" si="54"/>
        <v>0</v>
      </c>
      <c r="AT86" s="170"/>
      <c r="AU86" s="170"/>
      <c r="AV86" s="170"/>
      <c r="AW86" s="828"/>
      <c r="AX86" s="726"/>
    </row>
    <row r="87" spans="1:50" ht="15" x14ac:dyDescent="0.25">
      <c r="A87" s="170"/>
      <c r="B87" s="719"/>
      <c r="C87" s="170" t="str">
        <f t="shared" si="53"/>
        <v>5cy</v>
      </c>
      <c r="D87" s="170"/>
      <c r="E87" s="170"/>
      <c r="F87" s="170">
        <f>+Parameters!D8</f>
        <v>5</v>
      </c>
      <c r="G87" s="170" t="str">
        <f>+Parameters!E8</f>
        <v>foundations - station</v>
      </c>
      <c r="H87" s="586">
        <f t="shared" si="55"/>
        <v>0</v>
      </c>
      <c r="I87" s="170" t="str">
        <f>+Parameters!F8</f>
        <v>cy</v>
      </c>
      <c r="J87" s="170"/>
      <c r="K87" s="170"/>
      <c r="L87" s="170"/>
      <c r="M87" s="730"/>
      <c r="N87" s="730"/>
      <c r="O87" s="730"/>
      <c r="P87" s="731"/>
      <c r="Q87" s="731"/>
      <c r="R87" s="730"/>
      <c r="S87" s="730"/>
      <c r="T87" s="723"/>
      <c r="U87" s="724"/>
      <c r="V87" s="725"/>
      <c r="W87" s="725"/>
      <c r="X87" s="723"/>
      <c r="Y87" s="723"/>
      <c r="Z87" s="723"/>
      <c r="AA87" s="726"/>
      <c r="AB87" s="726"/>
      <c r="AC87" s="170"/>
      <c r="AD87" s="586">
        <f t="shared" si="56"/>
        <v>0</v>
      </c>
      <c r="AE87" s="586">
        <f t="shared" si="54"/>
        <v>0</v>
      </c>
      <c r="AF87" s="586">
        <f t="shared" si="54"/>
        <v>0</v>
      </c>
      <c r="AG87" s="586">
        <f t="shared" si="54"/>
        <v>0</v>
      </c>
      <c r="AH87" s="586">
        <f t="shared" si="54"/>
        <v>0</v>
      </c>
      <c r="AI87" s="586">
        <f t="shared" si="54"/>
        <v>0</v>
      </c>
      <c r="AJ87" s="586">
        <f t="shared" si="54"/>
        <v>0</v>
      </c>
      <c r="AK87" s="586">
        <f t="shared" si="54"/>
        <v>0</v>
      </c>
      <c r="AL87" s="586">
        <f t="shared" si="54"/>
        <v>0</v>
      </c>
      <c r="AM87" s="586">
        <f t="shared" si="54"/>
        <v>0</v>
      </c>
      <c r="AN87" s="586">
        <f t="shared" si="54"/>
        <v>0</v>
      </c>
      <c r="AO87" s="586">
        <f t="shared" si="54"/>
        <v>0</v>
      </c>
      <c r="AP87" s="586">
        <f t="shared" si="54"/>
        <v>0</v>
      </c>
      <c r="AQ87" s="586">
        <f t="shared" si="54"/>
        <v>0</v>
      </c>
      <c r="AR87" s="586">
        <f t="shared" si="54"/>
        <v>0</v>
      </c>
      <c r="AS87" s="586">
        <f t="shared" si="54"/>
        <v>0</v>
      </c>
      <c r="AT87" s="170"/>
      <c r="AU87" s="170"/>
      <c r="AV87" s="170"/>
      <c r="AW87" s="828"/>
      <c r="AX87" s="726"/>
    </row>
    <row r="88" spans="1:50" ht="15" x14ac:dyDescent="0.25">
      <c r="A88" s="170"/>
      <c r="B88" s="719"/>
      <c r="C88" s="170" t="str">
        <f t="shared" si="53"/>
        <v>6cy</v>
      </c>
      <c r="D88" s="170"/>
      <c r="E88" s="170"/>
      <c r="F88" s="170">
        <f>+Parameters!D9</f>
        <v>6</v>
      </c>
      <c r="G88" s="170" t="str">
        <f>+Parameters!E9</f>
        <v>foundations - buildings</v>
      </c>
      <c r="H88" s="586">
        <f t="shared" si="55"/>
        <v>0</v>
      </c>
      <c r="I88" s="170" t="str">
        <f>+Parameters!F9</f>
        <v>cy</v>
      </c>
      <c r="J88" s="170"/>
      <c r="K88" s="170"/>
      <c r="L88" s="170"/>
      <c r="M88" s="730"/>
      <c r="N88" s="730"/>
      <c r="O88" s="730"/>
      <c r="P88" s="731"/>
      <c r="Q88" s="731"/>
      <c r="R88" s="730"/>
      <c r="S88" s="730"/>
      <c r="T88" s="723"/>
      <c r="U88" s="724"/>
      <c r="V88" s="725"/>
      <c r="W88" s="725"/>
      <c r="X88" s="723"/>
      <c r="Y88" s="723"/>
      <c r="Z88" s="723"/>
      <c r="AA88" s="726"/>
      <c r="AB88" s="726"/>
      <c r="AC88" s="170"/>
      <c r="AD88" s="586">
        <f t="shared" si="56"/>
        <v>0</v>
      </c>
      <c r="AE88" s="586">
        <f t="shared" si="54"/>
        <v>0</v>
      </c>
      <c r="AF88" s="586">
        <f t="shared" si="54"/>
        <v>0</v>
      </c>
      <c r="AG88" s="586">
        <f t="shared" si="54"/>
        <v>0</v>
      </c>
      <c r="AH88" s="586">
        <f t="shared" si="54"/>
        <v>0</v>
      </c>
      <c r="AI88" s="586">
        <f t="shared" si="54"/>
        <v>0</v>
      </c>
      <c r="AJ88" s="586">
        <f t="shared" si="54"/>
        <v>0</v>
      </c>
      <c r="AK88" s="586">
        <f t="shared" si="54"/>
        <v>0</v>
      </c>
      <c r="AL88" s="586">
        <f t="shared" si="54"/>
        <v>0</v>
      </c>
      <c r="AM88" s="586">
        <f t="shared" si="54"/>
        <v>0</v>
      </c>
      <c r="AN88" s="586">
        <f t="shared" si="54"/>
        <v>0</v>
      </c>
      <c r="AO88" s="586">
        <f t="shared" si="54"/>
        <v>0</v>
      </c>
      <c r="AP88" s="586">
        <f t="shared" si="54"/>
        <v>0</v>
      </c>
      <c r="AQ88" s="586">
        <f t="shared" si="54"/>
        <v>0</v>
      </c>
      <c r="AR88" s="586">
        <f t="shared" si="54"/>
        <v>0</v>
      </c>
      <c r="AS88" s="586">
        <f t="shared" si="54"/>
        <v>0</v>
      </c>
      <c r="AT88" s="170"/>
      <c r="AU88" s="170"/>
      <c r="AV88" s="170"/>
      <c r="AW88" s="828"/>
      <c r="AX88" s="726"/>
    </row>
    <row r="89" spans="1:50" ht="15" x14ac:dyDescent="0.25">
      <c r="A89" s="170"/>
      <c r="B89" s="719"/>
      <c r="C89" s="170" t="str">
        <f t="shared" si="53"/>
        <v>70</v>
      </c>
      <c r="D89" s="170"/>
      <c r="E89" s="170"/>
      <c r="F89" s="170">
        <f>+Parameters!D10</f>
        <v>7</v>
      </c>
      <c r="G89" s="170" t="str">
        <f>+Parameters!E10</f>
        <v>Piling / Caissons</v>
      </c>
      <c r="H89" s="586">
        <f t="shared" si="55"/>
        <v>0</v>
      </c>
      <c r="I89" s="170">
        <f>+Parameters!F10</f>
        <v>0</v>
      </c>
      <c r="J89" s="170"/>
      <c r="K89" s="170"/>
      <c r="L89" s="170"/>
      <c r="M89" s="730"/>
      <c r="N89" s="730"/>
      <c r="O89" s="730"/>
      <c r="P89" s="731"/>
      <c r="Q89" s="731"/>
      <c r="R89" s="730"/>
      <c r="S89" s="730"/>
      <c r="T89" s="723"/>
      <c r="U89" s="724"/>
      <c r="V89" s="725"/>
      <c r="W89" s="725"/>
      <c r="X89" s="723"/>
      <c r="Y89" s="723"/>
      <c r="Z89" s="723"/>
      <c r="AA89" s="726"/>
      <c r="AB89" s="726"/>
      <c r="AC89" s="170"/>
      <c r="AD89" s="586">
        <f t="shared" si="56"/>
        <v>0</v>
      </c>
      <c r="AE89" s="586">
        <f t="shared" si="54"/>
        <v>0</v>
      </c>
      <c r="AF89" s="586">
        <f t="shared" si="54"/>
        <v>0</v>
      </c>
      <c r="AG89" s="586">
        <f t="shared" si="54"/>
        <v>0</v>
      </c>
      <c r="AH89" s="586">
        <f t="shared" si="54"/>
        <v>0</v>
      </c>
      <c r="AI89" s="586">
        <f t="shared" si="54"/>
        <v>0</v>
      </c>
      <c r="AJ89" s="586">
        <f t="shared" si="54"/>
        <v>0</v>
      </c>
      <c r="AK89" s="586">
        <f t="shared" si="54"/>
        <v>0</v>
      </c>
      <c r="AL89" s="586">
        <f t="shared" si="54"/>
        <v>0</v>
      </c>
      <c r="AM89" s="586">
        <f t="shared" si="54"/>
        <v>0</v>
      </c>
      <c r="AN89" s="586">
        <f t="shared" si="54"/>
        <v>0</v>
      </c>
      <c r="AO89" s="586">
        <f t="shared" si="54"/>
        <v>0</v>
      </c>
      <c r="AP89" s="586">
        <f t="shared" si="54"/>
        <v>0</v>
      </c>
      <c r="AQ89" s="586">
        <f t="shared" si="54"/>
        <v>0</v>
      </c>
      <c r="AR89" s="586">
        <f t="shared" si="54"/>
        <v>0</v>
      </c>
      <c r="AS89" s="586">
        <f t="shared" si="54"/>
        <v>0</v>
      </c>
      <c r="AT89" s="170"/>
      <c r="AU89" s="170"/>
      <c r="AV89" s="170"/>
      <c r="AW89" s="828"/>
      <c r="AX89" s="726"/>
    </row>
    <row r="90" spans="1:50" ht="15" x14ac:dyDescent="0.25">
      <c r="A90" s="170"/>
      <c r="B90" s="719"/>
      <c r="C90" s="170" t="str">
        <f t="shared" si="53"/>
        <v>80</v>
      </c>
      <c r="D90" s="170"/>
      <c r="E90" s="170"/>
      <c r="F90" s="170">
        <f>+Parameters!D11</f>
        <v>8</v>
      </c>
      <c r="G90" s="170" t="str">
        <f>+Parameters!E11</f>
        <v>ROW work ( clearing/ Grubbing/ access roads)</v>
      </c>
      <c r="H90" s="586">
        <f t="shared" si="55"/>
        <v>0</v>
      </c>
      <c r="I90" s="170">
        <f>+Parameters!F11</f>
        <v>0</v>
      </c>
      <c r="J90" s="170"/>
      <c r="K90" s="170"/>
      <c r="L90" s="170"/>
      <c r="M90" s="730"/>
      <c r="N90" s="730"/>
      <c r="O90" s="730"/>
      <c r="P90" s="731"/>
      <c r="Q90" s="731"/>
      <c r="R90" s="730"/>
      <c r="S90" s="730"/>
      <c r="T90" s="723"/>
      <c r="U90" s="724"/>
      <c r="V90" s="725"/>
      <c r="W90" s="725"/>
      <c r="X90" s="723"/>
      <c r="Y90" s="723"/>
      <c r="Z90" s="723"/>
      <c r="AA90" s="726"/>
      <c r="AB90" s="726"/>
      <c r="AC90" s="170"/>
      <c r="AD90" s="586">
        <f t="shared" si="56"/>
        <v>0</v>
      </c>
      <c r="AE90" s="586">
        <f t="shared" si="54"/>
        <v>0</v>
      </c>
      <c r="AF90" s="586">
        <f t="shared" si="54"/>
        <v>0</v>
      </c>
      <c r="AG90" s="586">
        <f t="shared" si="54"/>
        <v>0</v>
      </c>
      <c r="AH90" s="586">
        <f t="shared" si="54"/>
        <v>0</v>
      </c>
      <c r="AI90" s="586">
        <f t="shared" si="54"/>
        <v>0</v>
      </c>
      <c r="AJ90" s="586">
        <f t="shared" si="54"/>
        <v>0</v>
      </c>
      <c r="AK90" s="586">
        <f t="shared" si="54"/>
        <v>0</v>
      </c>
      <c r="AL90" s="586">
        <f t="shared" si="54"/>
        <v>0</v>
      </c>
      <c r="AM90" s="586">
        <f t="shared" si="54"/>
        <v>0</v>
      </c>
      <c r="AN90" s="586">
        <f t="shared" si="54"/>
        <v>0</v>
      </c>
      <c r="AO90" s="586">
        <f t="shared" si="54"/>
        <v>0</v>
      </c>
      <c r="AP90" s="586">
        <f t="shared" si="54"/>
        <v>0</v>
      </c>
      <c r="AQ90" s="586">
        <f t="shared" si="54"/>
        <v>0</v>
      </c>
      <c r="AR90" s="586">
        <f t="shared" si="54"/>
        <v>0</v>
      </c>
      <c r="AS90" s="586">
        <f t="shared" si="54"/>
        <v>0</v>
      </c>
      <c r="AT90" s="170"/>
      <c r="AU90" s="170"/>
      <c r="AV90" s="170"/>
      <c r="AW90" s="828"/>
      <c r="AX90" s="726"/>
    </row>
    <row r="91" spans="1:50" ht="15" x14ac:dyDescent="0.25">
      <c r="A91" s="170"/>
      <c r="B91" s="719"/>
      <c r="C91" s="170" t="str">
        <f t="shared" si="53"/>
        <v>90</v>
      </c>
      <c r="D91" s="170"/>
      <c r="E91" s="170"/>
      <c r="F91" s="170">
        <f>+Parameters!D12</f>
        <v>9</v>
      </c>
      <c r="G91" s="170" t="str">
        <f>+Parameters!E12</f>
        <v>Mats</v>
      </c>
      <c r="H91" s="586">
        <f t="shared" si="55"/>
        <v>0</v>
      </c>
      <c r="I91" s="170">
        <f>+Parameters!F12</f>
        <v>0</v>
      </c>
      <c r="J91" s="170"/>
      <c r="K91" s="170"/>
      <c r="L91" s="170"/>
      <c r="M91" s="730"/>
      <c r="N91" s="730"/>
      <c r="O91" s="730"/>
      <c r="P91" s="731"/>
      <c r="Q91" s="731"/>
      <c r="R91" s="730"/>
      <c r="S91" s="730"/>
      <c r="T91" s="723"/>
      <c r="U91" s="724"/>
      <c r="V91" s="725"/>
      <c r="W91" s="725"/>
      <c r="X91" s="723"/>
      <c r="Y91" s="723"/>
      <c r="Z91" s="723"/>
      <c r="AA91" s="726"/>
      <c r="AB91" s="726"/>
      <c r="AC91" s="170"/>
      <c r="AD91" s="586">
        <f t="shared" si="56"/>
        <v>0</v>
      </c>
      <c r="AE91" s="586">
        <f t="shared" si="54"/>
        <v>0</v>
      </c>
      <c r="AF91" s="586">
        <f t="shared" si="54"/>
        <v>0</v>
      </c>
      <c r="AG91" s="586">
        <f t="shared" si="54"/>
        <v>0</v>
      </c>
      <c r="AH91" s="586">
        <f t="shared" si="54"/>
        <v>0</v>
      </c>
      <c r="AI91" s="586">
        <f t="shared" si="54"/>
        <v>0</v>
      </c>
      <c r="AJ91" s="586">
        <f t="shared" si="54"/>
        <v>0</v>
      </c>
      <c r="AK91" s="586">
        <f t="shared" si="54"/>
        <v>0</v>
      </c>
      <c r="AL91" s="586">
        <f t="shared" si="54"/>
        <v>0</v>
      </c>
      <c r="AM91" s="586">
        <f t="shared" si="54"/>
        <v>0</v>
      </c>
      <c r="AN91" s="586">
        <f t="shared" si="54"/>
        <v>0</v>
      </c>
      <c r="AO91" s="586">
        <f t="shared" si="54"/>
        <v>0</v>
      </c>
      <c r="AP91" s="586">
        <f t="shared" si="54"/>
        <v>0</v>
      </c>
      <c r="AQ91" s="586">
        <f t="shared" si="54"/>
        <v>0</v>
      </c>
      <c r="AR91" s="586">
        <f t="shared" si="54"/>
        <v>0</v>
      </c>
      <c r="AS91" s="586">
        <f t="shared" si="54"/>
        <v>0</v>
      </c>
      <c r="AT91" s="170"/>
      <c r="AU91" s="170"/>
      <c r="AV91" s="170"/>
      <c r="AW91" s="828"/>
      <c r="AX91" s="726"/>
    </row>
    <row r="92" spans="1:50" ht="15" x14ac:dyDescent="0.25">
      <c r="A92" s="170"/>
      <c r="B92" s="719"/>
      <c r="C92" s="170" t="str">
        <f t="shared" si="53"/>
        <v>100</v>
      </c>
      <c r="D92" s="170"/>
      <c r="E92" s="170"/>
      <c r="F92" s="170">
        <f>+Parameters!D13</f>
        <v>10</v>
      </c>
      <c r="G92" s="170" t="str">
        <f>+Parameters!E13</f>
        <v>Crane pads</v>
      </c>
      <c r="H92" s="586">
        <f t="shared" si="55"/>
        <v>0</v>
      </c>
      <c r="I92" s="170">
        <f>+Parameters!F13</f>
        <v>0</v>
      </c>
      <c r="J92" s="170"/>
      <c r="K92" s="170"/>
      <c r="L92" s="170"/>
      <c r="M92" s="730"/>
      <c r="N92" s="730"/>
      <c r="O92" s="730"/>
      <c r="P92" s="731"/>
      <c r="Q92" s="731"/>
      <c r="R92" s="730"/>
      <c r="S92" s="730"/>
      <c r="T92" s="723"/>
      <c r="U92" s="724"/>
      <c r="V92" s="725"/>
      <c r="W92" s="725"/>
      <c r="X92" s="723"/>
      <c r="Y92" s="723"/>
      <c r="Z92" s="723"/>
      <c r="AA92" s="726"/>
      <c r="AB92" s="726"/>
      <c r="AC92" s="170"/>
      <c r="AD92" s="586">
        <f t="shared" si="56"/>
        <v>0</v>
      </c>
      <c r="AE92" s="586">
        <f t="shared" si="54"/>
        <v>0</v>
      </c>
      <c r="AF92" s="586">
        <f t="shared" si="54"/>
        <v>0</v>
      </c>
      <c r="AG92" s="586">
        <f t="shared" si="54"/>
        <v>0</v>
      </c>
      <c r="AH92" s="586">
        <f t="shared" si="54"/>
        <v>0</v>
      </c>
      <c r="AI92" s="586">
        <f t="shared" si="54"/>
        <v>0</v>
      </c>
      <c r="AJ92" s="586">
        <f t="shared" si="54"/>
        <v>0</v>
      </c>
      <c r="AK92" s="586">
        <f t="shared" si="54"/>
        <v>0</v>
      </c>
      <c r="AL92" s="586">
        <f t="shared" si="54"/>
        <v>0</v>
      </c>
      <c r="AM92" s="586">
        <f t="shared" si="54"/>
        <v>0</v>
      </c>
      <c r="AN92" s="586">
        <f t="shared" si="54"/>
        <v>0</v>
      </c>
      <c r="AO92" s="586">
        <f t="shared" si="54"/>
        <v>0</v>
      </c>
      <c r="AP92" s="586">
        <f t="shared" si="54"/>
        <v>0</v>
      </c>
      <c r="AQ92" s="586">
        <f t="shared" si="54"/>
        <v>0</v>
      </c>
      <c r="AR92" s="586">
        <f t="shared" si="54"/>
        <v>0</v>
      </c>
      <c r="AS92" s="586">
        <f t="shared" si="54"/>
        <v>0</v>
      </c>
      <c r="AT92" s="170"/>
      <c r="AU92" s="170"/>
      <c r="AV92" s="170"/>
      <c r="AW92" s="828"/>
      <c r="AX92" s="726"/>
    </row>
    <row r="93" spans="1:50" ht="15" x14ac:dyDescent="0.25">
      <c r="A93" s="170"/>
      <c r="B93" s="719"/>
      <c r="C93" s="170" t="str">
        <f t="shared" si="53"/>
        <v>11cy</v>
      </c>
      <c r="D93" s="170"/>
      <c r="E93" s="170"/>
      <c r="F93" s="170">
        <f>+Parameters!D14</f>
        <v>11</v>
      </c>
      <c r="G93" s="170" t="str">
        <f>+Parameters!E14</f>
        <v>Excavation ( incl machine / hand / trench)</v>
      </c>
      <c r="H93" s="586">
        <f t="shared" si="55"/>
        <v>0</v>
      </c>
      <c r="I93" s="170" t="str">
        <f>+Parameters!F14</f>
        <v>cy</v>
      </c>
      <c r="J93" s="170"/>
      <c r="K93" s="170"/>
      <c r="L93" s="170"/>
      <c r="M93" s="730"/>
      <c r="N93" s="730"/>
      <c r="O93" s="730"/>
      <c r="P93" s="731"/>
      <c r="Q93" s="731"/>
      <c r="R93" s="730"/>
      <c r="S93" s="730"/>
      <c r="T93" s="723"/>
      <c r="U93" s="724"/>
      <c r="V93" s="725"/>
      <c r="W93" s="725"/>
      <c r="X93" s="723"/>
      <c r="Y93" s="723"/>
      <c r="Z93" s="723"/>
      <c r="AA93" s="726"/>
      <c r="AB93" s="726"/>
      <c r="AC93" s="170"/>
      <c r="AD93" s="586">
        <f t="shared" si="56"/>
        <v>0</v>
      </c>
      <c r="AE93" s="586">
        <f t="shared" si="54"/>
        <v>0</v>
      </c>
      <c r="AF93" s="586">
        <f t="shared" si="54"/>
        <v>0</v>
      </c>
      <c r="AG93" s="586">
        <f t="shared" si="54"/>
        <v>0</v>
      </c>
      <c r="AH93" s="586">
        <f t="shared" si="54"/>
        <v>0</v>
      </c>
      <c r="AI93" s="586">
        <f t="shared" si="54"/>
        <v>0</v>
      </c>
      <c r="AJ93" s="586">
        <f t="shared" si="54"/>
        <v>0</v>
      </c>
      <c r="AK93" s="586">
        <f t="shared" si="54"/>
        <v>0</v>
      </c>
      <c r="AL93" s="586">
        <f t="shared" si="54"/>
        <v>0</v>
      </c>
      <c r="AM93" s="586">
        <f t="shared" si="54"/>
        <v>0</v>
      </c>
      <c r="AN93" s="586">
        <f t="shared" si="54"/>
        <v>0</v>
      </c>
      <c r="AO93" s="586">
        <f t="shared" si="54"/>
        <v>0</v>
      </c>
      <c r="AP93" s="586">
        <f t="shared" si="54"/>
        <v>0</v>
      </c>
      <c r="AQ93" s="586">
        <f t="shared" si="54"/>
        <v>0</v>
      </c>
      <c r="AR93" s="586">
        <f t="shared" si="54"/>
        <v>0</v>
      </c>
      <c r="AS93" s="586">
        <f t="shared" si="54"/>
        <v>0</v>
      </c>
      <c r="AT93" s="170"/>
      <c r="AU93" s="170"/>
      <c r="AV93" s="170"/>
      <c r="AW93" s="828"/>
      <c r="AX93" s="726"/>
    </row>
    <row r="94" spans="1:50" ht="15" x14ac:dyDescent="0.25">
      <c r="A94" s="170"/>
      <c r="B94" s="719"/>
      <c r="C94" s="170" t="str">
        <f t="shared" si="53"/>
        <v>12cy</v>
      </c>
      <c r="D94" s="170"/>
      <c r="E94" s="170"/>
      <c r="F94" s="170">
        <f>+Parameters!D15</f>
        <v>12</v>
      </c>
      <c r="G94" s="170" t="str">
        <f>+Parameters!E15</f>
        <v>Rock Excavation</v>
      </c>
      <c r="H94" s="586">
        <f t="shared" si="55"/>
        <v>0</v>
      </c>
      <c r="I94" s="170" t="str">
        <f>+Parameters!F15</f>
        <v>cy</v>
      </c>
      <c r="J94" s="170"/>
      <c r="K94" s="170"/>
      <c r="L94" s="170"/>
      <c r="M94" s="730"/>
      <c r="N94" s="730"/>
      <c r="O94" s="730"/>
      <c r="P94" s="731"/>
      <c r="Q94" s="731"/>
      <c r="R94" s="730"/>
      <c r="S94" s="730"/>
      <c r="T94" s="723"/>
      <c r="U94" s="724"/>
      <c r="V94" s="725"/>
      <c r="W94" s="725"/>
      <c r="X94" s="723"/>
      <c r="Y94" s="723"/>
      <c r="Z94" s="723"/>
      <c r="AA94" s="726"/>
      <c r="AB94" s="726"/>
      <c r="AC94" s="170"/>
      <c r="AD94" s="586">
        <f t="shared" si="56"/>
        <v>0</v>
      </c>
      <c r="AE94" s="586">
        <f t="shared" si="54"/>
        <v>0</v>
      </c>
      <c r="AF94" s="586">
        <f t="shared" si="54"/>
        <v>0</v>
      </c>
      <c r="AG94" s="586">
        <f t="shared" si="54"/>
        <v>0</v>
      </c>
      <c r="AH94" s="586">
        <f t="shared" si="54"/>
        <v>0</v>
      </c>
      <c r="AI94" s="586">
        <f t="shared" si="54"/>
        <v>0</v>
      </c>
      <c r="AJ94" s="586">
        <f t="shared" si="54"/>
        <v>0</v>
      </c>
      <c r="AK94" s="586">
        <f t="shared" si="54"/>
        <v>0</v>
      </c>
      <c r="AL94" s="586">
        <f t="shared" si="54"/>
        <v>0</v>
      </c>
      <c r="AM94" s="586">
        <f t="shared" si="54"/>
        <v>0</v>
      </c>
      <c r="AN94" s="586">
        <f t="shared" si="54"/>
        <v>0</v>
      </c>
      <c r="AO94" s="586">
        <f t="shared" si="54"/>
        <v>0</v>
      </c>
      <c r="AP94" s="586">
        <f t="shared" si="54"/>
        <v>0</v>
      </c>
      <c r="AQ94" s="586">
        <f t="shared" si="54"/>
        <v>0</v>
      </c>
      <c r="AR94" s="586">
        <f t="shared" si="54"/>
        <v>0</v>
      </c>
      <c r="AS94" s="586">
        <f t="shared" si="54"/>
        <v>0</v>
      </c>
      <c r="AT94" s="170"/>
      <c r="AU94" s="170"/>
      <c r="AV94" s="170"/>
      <c r="AW94" s="828"/>
      <c r="AX94" s="726"/>
    </row>
    <row r="95" spans="1:50" ht="15" x14ac:dyDescent="0.25">
      <c r="A95" s="170"/>
      <c r="B95" s="719"/>
      <c r="C95" s="170" t="str">
        <f t="shared" si="53"/>
        <v>13cy</v>
      </c>
      <c r="D95" s="170"/>
      <c r="E95" s="170"/>
      <c r="F95" s="170">
        <f>+Parameters!D16</f>
        <v>13</v>
      </c>
      <c r="G95" s="170" t="str">
        <f>+Parameters!E16</f>
        <v>Soil disposal</v>
      </c>
      <c r="H95" s="586">
        <f t="shared" si="55"/>
        <v>0</v>
      </c>
      <c r="I95" s="170" t="str">
        <f>+Parameters!F16</f>
        <v>cy</v>
      </c>
      <c r="J95" s="170"/>
      <c r="K95" s="170"/>
      <c r="L95" s="170"/>
      <c r="M95" s="730"/>
      <c r="N95" s="730"/>
      <c r="O95" s="730"/>
      <c r="P95" s="731"/>
      <c r="Q95" s="731"/>
      <c r="R95" s="730"/>
      <c r="S95" s="730"/>
      <c r="T95" s="723"/>
      <c r="U95" s="724"/>
      <c r="V95" s="725"/>
      <c r="W95" s="725"/>
      <c r="X95" s="723"/>
      <c r="Y95" s="723"/>
      <c r="Z95" s="723"/>
      <c r="AA95" s="726"/>
      <c r="AB95" s="726"/>
      <c r="AC95" s="170"/>
      <c r="AD95" s="586">
        <f t="shared" si="56"/>
        <v>0</v>
      </c>
      <c r="AE95" s="586">
        <f t="shared" si="54"/>
        <v>0</v>
      </c>
      <c r="AF95" s="586">
        <f t="shared" si="54"/>
        <v>0</v>
      </c>
      <c r="AG95" s="586">
        <f t="shared" si="54"/>
        <v>0</v>
      </c>
      <c r="AH95" s="586">
        <f t="shared" si="54"/>
        <v>0</v>
      </c>
      <c r="AI95" s="586">
        <f t="shared" si="54"/>
        <v>0</v>
      </c>
      <c r="AJ95" s="586">
        <f t="shared" si="54"/>
        <v>0</v>
      </c>
      <c r="AK95" s="586">
        <f t="shared" si="54"/>
        <v>0</v>
      </c>
      <c r="AL95" s="586">
        <f t="shared" si="54"/>
        <v>0</v>
      </c>
      <c r="AM95" s="586">
        <f t="shared" si="54"/>
        <v>0</v>
      </c>
      <c r="AN95" s="586">
        <f t="shared" si="54"/>
        <v>0</v>
      </c>
      <c r="AO95" s="586">
        <f t="shared" si="54"/>
        <v>0</v>
      </c>
      <c r="AP95" s="586">
        <f t="shared" si="54"/>
        <v>0</v>
      </c>
      <c r="AQ95" s="586">
        <f t="shared" si="54"/>
        <v>0</v>
      </c>
      <c r="AR95" s="586">
        <f t="shared" si="54"/>
        <v>0</v>
      </c>
      <c r="AS95" s="586">
        <f t="shared" si="54"/>
        <v>0</v>
      </c>
      <c r="AT95" s="170"/>
      <c r="AU95" s="170"/>
      <c r="AV95" s="170"/>
      <c r="AW95" s="828"/>
      <c r="AX95" s="726"/>
    </row>
    <row r="96" spans="1:50" ht="15" x14ac:dyDescent="0.25">
      <c r="A96" s="170"/>
      <c r="B96" s="719"/>
      <c r="C96" s="170" t="str">
        <f t="shared" si="53"/>
        <v>14cy</v>
      </c>
      <c r="D96" s="170"/>
      <c r="E96" s="170"/>
      <c r="F96" s="170">
        <f>+Parameters!D17</f>
        <v>14</v>
      </c>
      <c r="G96" s="170" t="str">
        <f>+Parameters!E17</f>
        <v>Backfill - earth</v>
      </c>
      <c r="H96" s="586">
        <f t="shared" si="55"/>
        <v>0</v>
      </c>
      <c r="I96" s="170" t="str">
        <f>+Parameters!F17</f>
        <v>cy</v>
      </c>
      <c r="J96" s="170"/>
      <c r="K96" s="170"/>
      <c r="L96" s="170"/>
      <c r="M96" s="730"/>
      <c r="N96" s="730"/>
      <c r="O96" s="730"/>
      <c r="P96" s="731"/>
      <c r="Q96" s="731"/>
      <c r="R96" s="730"/>
      <c r="S96" s="730"/>
      <c r="T96" s="723"/>
      <c r="U96" s="724"/>
      <c r="V96" s="725"/>
      <c r="W96" s="725"/>
      <c r="X96" s="723"/>
      <c r="Y96" s="723"/>
      <c r="Z96" s="723"/>
      <c r="AA96" s="726"/>
      <c r="AB96" s="726"/>
      <c r="AC96" s="170"/>
      <c r="AD96" s="586">
        <f t="shared" si="56"/>
        <v>0</v>
      </c>
      <c r="AE96" s="586">
        <f t="shared" si="54"/>
        <v>0</v>
      </c>
      <c r="AF96" s="586">
        <f t="shared" si="54"/>
        <v>0</v>
      </c>
      <c r="AG96" s="586">
        <f t="shared" si="54"/>
        <v>0</v>
      </c>
      <c r="AH96" s="586">
        <f t="shared" si="54"/>
        <v>0</v>
      </c>
      <c r="AI96" s="586">
        <f t="shared" si="54"/>
        <v>0</v>
      </c>
      <c r="AJ96" s="586">
        <f t="shared" si="54"/>
        <v>0</v>
      </c>
      <c r="AK96" s="586">
        <f t="shared" si="54"/>
        <v>0</v>
      </c>
      <c r="AL96" s="586">
        <f t="shared" si="54"/>
        <v>0</v>
      </c>
      <c r="AM96" s="586">
        <f t="shared" si="54"/>
        <v>0</v>
      </c>
      <c r="AN96" s="586">
        <f t="shared" si="54"/>
        <v>0</v>
      </c>
      <c r="AO96" s="586">
        <f t="shared" si="54"/>
        <v>0</v>
      </c>
      <c r="AP96" s="586">
        <f t="shared" si="54"/>
        <v>0</v>
      </c>
      <c r="AQ96" s="586">
        <f t="shared" si="54"/>
        <v>0</v>
      </c>
      <c r="AR96" s="586">
        <f t="shared" si="54"/>
        <v>0</v>
      </c>
      <c r="AS96" s="586">
        <f t="shared" si="54"/>
        <v>0</v>
      </c>
      <c r="AT96" s="170"/>
      <c r="AU96" s="170"/>
      <c r="AV96" s="170"/>
      <c r="AW96" s="828"/>
      <c r="AX96" s="726"/>
    </row>
    <row r="97" spans="1:50" ht="15" x14ac:dyDescent="0.25">
      <c r="A97" s="170"/>
      <c r="B97" s="719"/>
      <c r="C97" s="170" t="str">
        <f t="shared" si="53"/>
        <v>15cy</v>
      </c>
      <c r="D97" s="170"/>
      <c r="E97" s="170"/>
      <c r="F97" s="170">
        <f>+Parameters!D18</f>
        <v>15</v>
      </c>
      <c r="G97" s="170" t="str">
        <f>+Parameters!E18</f>
        <v>Backfill- stone ( incl trap rock and surfacing)</v>
      </c>
      <c r="H97" s="586">
        <f t="shared" si="55"/>
        <v>0</v>
      </c>
      <c r="I97" s="170" t="str">
        <f>+Parameters!F18</f>
        <v>cy</v>
      </c>
      <c r="J97" s="170"/>
      <c r="K97" s="170"/>
      <c r="L97" s="170"/>
      <c r="M97" s="730"/>
      <c r="N97" s="730"/>
      <c r="O97" s="730"/>
      <c r="P97" s="731"/>
      <c r="Q97" s="731"/>
      <c r="R97" s="730"/>
      <c r="S97" s="730"/>
      <c r="T97" s="723"/>
      <c r="U97" s="724"/>
      <c r="V97" s="725"/>
      <c r="W97" s="725"/>
      <c r="X97" s="723"/>
      <c r="Y97" s="723"/>
      <c r="Z97" s="723"/>
      <c r="AA97" s="726"/>
      <c r="AB97" s="726"/>
      <c r="AC97" s="170"/>
      <c r="AD97" s="586">
        <f t="shared" si="56"/>
        <v>0</v>
      </c>
      <c r="AE97" s="586">
        <f t="shared" si="54"/>
        <v>0</v>
      </c>
      <c r="AF97" s="586">
        <f t="shared" si="54"/>
        <v>0</v>
      </c>
      <c r="AG97" s="586">
        <f t="shared" si="54"/>
        <v>0</v>
      </c>
      <c r="AH97" s="586">
        <f t="shared" si="54"/>
        <v>0</v>
      </c>
      <c r="AI97" s="586">
        <f t="shared" si="54"/>
        <v>0</v>
      </c>
      <c r="AJ97" s="586">
        <f t="shared" si="54"/>
        <v>0</v>
      </c>
      <c r="AK97" s="586">
        <f t="shared" si="54"/>
        <v>0</v>
      </c>
      <c r="AL97" s="586">
        <f t="shared" si="54"/>
        <v>0</v>
      </c>
      <c r="AM97" s="586">
        <f t="shared" si="54"/>
        <v>0</v>
      </c>
      <c r="AN97" s="586">
        <f t="shared" si="54"/>
        <v>0</v>
      </c>
      <c r="AO97" s="586">
        <f t="shared" si="54"/>
        <v>0</v>
      </c>
      <c r="AP97" s="586">
        <f t="shared" si="54"/>
        <v>0</v>
      </c>
      <c r="AQ97" s="586">
        <f t="shared" si="54"/>
        <v>0</v>
      </c>
      <c r="AR97" s="586">
        <f t="shared" si="54"/>
        <v>0</v>
      </c>
      <c r="AS97" s="586">
        <f t="shared" si="54"/>
        <v>0</v>
      </c>
      <c r="AT97" s="170"/>
      <c r="AU97" s="170"/>
      <c r="AV97" s="170"/>
      <c r="AW97" s="828"/>
      <c r="AX97" s="726"/>
    </row>
    <row r="98" spans="1:50" ht="15" x14ac:dyDescent="0.25">
      <c r="A98" s="170"/>
      <c r="B98" s="719"/>
      <c r="C98" s="170" t="str">
        <f t="shared" si="53"/>
        <v>16lf</v>
      </c>
      <c r="D98" s="170"/>
      <c r="E98" s="170"/>
      <c r="F98" s="170">
        <f>+Parameters!D19</f>
        <v>16</v>
      </c>
      <c r="G98" s="170" t="str">
        <f>+Parameters!E19</f>
        <v>Fence / Gates</v>
      </c>
      <c r="H98" s="586">
        <f t="shared" si="55"/>
        <v>0</v>
      </c>
      <c r="I98" s="170" t="str">
        <f>+Parameters!F19</f>
        <v>lf</v>
      </c>
      <c r="J98" s="170"/>
      <c r="K98" s="170"/>
      <c r="L98" s="170"/>
      <c r="M98" s="730"/>
      <c r="N98" s="730"/>
      <c r="O98" s="730"/>
      <c r="P98" s="731"/>
      <c r="Q98" s="731"/>
      <c r="R98" s="730"/>
      <c r="S98" s="730"/>
      <c r="T98" s="723"/>
      <c r="U98" s="724"/>
      <c r="V98" s="725"/>
      <c r="W98" s="725"/>
      <c r="X98" s="723"/>
      <c r="Y98" s="723"/>
      <c r="Z98" s="723"/>
      <c r="AA98" s="726"/>
      <c r="AB98" s="726"/>
      <c r="AC98" s="170"/>
      <c r="AD98" s="586">
        <f t="shared" si="56"/>
        <v>0</v>
      </c>
      <c r="AE98" s="586">
        <f t="shared" si="54"/>
        <v>0</v>
      </c>
      <c r="AF98" s="586">
        <f t="shared" si="54"/>
        <v>0</v>
      </c>
      <c r="AG98" s="586">
        <f t="shared" si="54"/>
        <v>0</v>
      </c>
      <c r="AH98" s="586">
        <f t="shared" si="54"/>
        <v>0</v>
      </c>
      <c r="AI98" s="586">
        <f t="shared" si="54"/>
        <v>0</v>
      </c>
      <c r="AJ98" s="586">
        <f t="shared" si="54"/>
        <v>0</v>
      </c>
      <c r="AK98" s="586">
        <f t="shared" si="54"/>
        <v>0</v>
      </c>
      <c r="AL98" s="586">
        <f t="shared" si="54"/>
        <v>0</v>
      </c>
      <c r="AM98" s="586">
        <f t="shared" si="54"/>
        <v>0</v>
      </c>
      <c r="AN98" s="586">
        <f t="shared" si="54"/>
        <v>0</v>
      </c>
      <c r="AO98" s="586">
        <f t="shared" si="54"/>
        <v>0</v>
      </c>
      <c r="AP98" s="586">
        <f t="shared" si="54"/>
        <v>0</v>
      </c>
      <c r="AQ98" s="586">
        <f t="shared" si="54"/>
        <v>0</v>
      </c>
      <c r="AR98" s="586">
        <f t="shared" si="54"/>
        <v>0</v>
      </c>
      <c r="AS98" s="586">
        <f t="shared" si="54"/>
        <v>0</v>
      </c>
      <c r="AT98" s="170"/>
      <c r="AU98" s="170"/>
      <c r="AV98" s="170"/>
      <c r="AW98" s="828"/>
      <c r="AX98" s="726"/>
    </row>
    <row r="99" spans="1:50" ht="15" x14ac:dyDescent="0.25">
      <c r="A99" s="170"/>
      <c r="B99" s="719"/>
      <c r="C99" s="170" t="str">
        <f t="shared" si="53"/>
        <v>17lf</v>
      </c>
      <c r="D99" s="170"/>
      <c r="E99" s="170"/>
      <c r="F99" s="170">
        <f>+Parameters!D20</f>
        <v>17</v>
      </c>
      <c r="G99" s="170" t="str">
        <f>+Parameters!E20</f>
        <v>CIP Fence, Gates, Balistic protection</v>
      </c>
      <c r="H99" s="586">
        <f t="shared" si="55"/>
        <v>0</v>
      </c>
      <c r="I99" s="170" t="str">
        <f>+Parameters!F20</f>
        <v>lf</v>
      </c>
      <c r="J99" s="170"/>
      <c r="K99" s="170"/>
      <c r="L99" s="170"/>
      <c r="M99" s="730"/>
      <c r="N99" s="730"/>
      <c r="O99" s="730"/>
      <c r="P99" s="731"/>
      <c r="Q99" s="731"/>
      <c r="R99" s="730"/>
      <c r="S99" s="730"/>
      <c r="T99" s="723"/>
      <c r="U99" s="724"/>
      <c r="V99" s="725"/>
      <c r="W99" s="725"/>
      <c r="X99" s="723"/>
      <c r="Y99" s="723"/>
      <c r="Z99" s="723"/>
      <c r="AA99" s="726"/>
      <c r="AB99" s="726"/>
      <c r="AC99" s="170"/>
      <c r="AD99" s="586">
        <f t="shared" si="56"/>
        <v>0</v>
      </c>
      <c r="AE99" s="586">
        <f t="shared" si="56"/>
        <v>0</v>
      </c>
      <c r="AF99" s="586">
        <f t="shared" si="56"/>
        <v>0</v>
      </c>
      <c r="AG99" s="586">
        <f t="shared" si="56"/>
        <v>0</v>
      </c>
      <c r="AH99" s="586">
        <f t="shared" si="56"/>
        <v>0</v>
      </c>
      <c r="AI99" s="586">
        <f t="shared" si="56"/>
        <v>0</v>
      </c>
      <c r="AJ99" s="586">
        <f t="shared" si="56"/>
        <v>0</v>
      </c>
      <c r="AK99" s="586">
        <f t="shared" si="56"/>
        <v>0</v>
      </c>
      <c r="AL99" s="586">
        <f t="shared" si="56"/>
        <v>0</v>
      </c>
      <c r="AM99" s="586">
        <f t="shared" si="56"/>
        <v>0</v>
      </c>
      <c r="AN99" s="586">
        <f t="shared" si="56"/>
        <v>0</v>
      </c>
      <c r="AO99" s="586">
        <f t="shared" si="56"/>
        <v>0</v>
      </c>
      <c r="AP99" s="586">
        <f t="shared" si="56"/>
        <v>0</v>
      </c>
      <c r="AQ99" s="586">
        <f t="shared" si="56"/>
        <v>0</v>
      </c>
      <c r="AR99" s="586">
        <f t="shared" si="56"/>
        <v>0</v>
      </c>
      <c r="AS99" s="586">
        <f t="shared" si="56"/>
        <v>0</v>
      </c>
      <c r="AT99" s="170"/>
      <c r="AU99" s="170"/>
      <c r="AV99" s="170"/>
      <c r="AW99" s="828"/>
      <c r="AX99" s="726"/>
    </row>
    <row r="100" spans="1:50" ht="15" x14ac:dyDescent="0.25">
      <c r="A100" s="170"/>
      <c r="B100" s="719"/>
      <c r="C100" s="170" t="str">
        <f t="shared" si="53"/>
        <v>180</v>
      </c>
      <c r="D100" s="170"/>
      <c r="E100" s="170"/>
      <c r="F100" s="170">
        <f>+Parameters!D21</f>
        <v>18</v>
      </c>
      <c r="G100" s="170" t="str">
        <f>+Parameters!E21</f>
        <v>Sound walls/ retaining walls</v>
      </c>
      <c r="H100" s="586">
        <f t="shared" si="55"/>
        <v>0</v>
      </c>
      <c r="I100" s="170">
        <f>+Parameters!F21</f>
        <v>0</v>
      </c>
      <c r="J100" s="170"/>
      <c r="K100" s="170"/>
      <c r="L100" s="170"/>
      <c r="M100" s="730"/>
      <c r="N100" s="730"/>
      <c r="O100" s="730"/>
      <c r="P100" s="731"/>
      <c r="Q100" s="731"/>
      <c r="R100" s="730"/>
      <c r="S100" s="730"/>
      <c r="T100" s="723"/>
      <c r="U100" s="724"/>
      <c r="V100" s="725"/>
      <c r="W100" s="725"/>
      <c r="X100" s="723"/>
      <c r="Y100" s="723"/>
      <c r="Z100" s="723"/>
      <c r="AA100" s="726"/>
      <c r="AB100" s="726"/>
      <c r="AC100" s="170"/>
      <c r="AD100" s="586">
        <f t="shared" si="56"/>
        <v>0</v>
      </c>
      <c r="AE100" s="586">
        <f t="shared" si="56"/>
        <v>0</v>
      </c>
      <c r="AF100" s="586">
        <f t="shared" si="56"/>
        <v>0</v>
      </c>
      <c r="AG100" s="586">
        <f t="shared" si="56"/>
        <v>0</v>
      </c>
      <c r="AH100" s="586">
        <f t="shared" si="56"/>
        <v>0</v>
      </c>
      <c r="AI100" s="586">
        <f t="shared" si="56"/>
        <v>0</v>
      </c>
      <c r="AJ100" s="586">
        <f t="shared" si="56"/>
        <v>0</v>
      </c>
      <c r="AK100" s="586">
        <f t="shared" si="56"/>
        <v>0</v>
      </c>
      <c r="AL100" s="586">
        <f t="shared" si="56"/>
        <v>0</v>
      </c>
      <c r="AM100" s="586">
        <f t="shared" si="56"/>
        <v>0</v>
      </c>
      <c r="AN100" s="586">
        <f t="shared" si="56"/>
        <v>0</v>
      </c>
      <c r="AO100" s="586">
        <f t="shared" si="56"/>
        <v>0</v>
      </c>
      <c r="AP100" s="586">
        <f t="shared" si="56"/>
        <v>0</v>
      </c>
      <c r="AQ100" s="586">
        <f t="shared" si="56"/>
        <v>0</v>
      </c>
      <c r="AR100" s="586">
        <f t="shared" si="56"/>
        <v>0</v>
      </c>
      <c r="AS100" s="586">
        <f t="shared" si="56"/>
        <v>0</v>
      </c>
      <c r="AT100" s="170"/>
      <c r="AU100" s="170"/>
      <c r="AV100" s="170"/>
      <c r="AW100" s="828"/>
      <c r="AX100" s="726"/>
    </row>
    <row r="101" spans="1:50" ht="15" x14ac:dyDescent="0.25">
      <c r="A101" s="170"/>
      <c r="B101" s="719"/>
      <c r="C101" s="170" t="str">
        <f t="shared" si="53"/>
        <v>190</v>
      </c>
      <c r="D101" s="170"/>
      <c r="E101" s="170"/>
      <c r="F101" s="170">
        <f>+Parameters!D22</f>
        <v>19</v>
      </c>
      <c r="G101" s="170" t="str">
        <f>+Parameters!E22</f>
        <v>Other</v>
      </c>
      <c r="H101" s="586">
        <f t="shared" si="55"/>
        <v>0</v>
      </c>
      <c r="I101" s="170">
        <f>+Parameters!F22</f>
        <v>0</v>
      </c>
      <c r="J101" s="170"/>
      <c r="K101" s="170"/>
      <c r="L101" s="170"/>
      <c r="M101" s="730"/>
      <c r="N101" s="730"/>
      <c r="O101" s="730"/>
      <c r="P101" s="731"/>
      <c r="Q101" s="731"/>
      <c r="R101" s="730"/>
      <c r="S101" s="730"/>
      <c r="T101" s="723"/>
      <c r="U101" s="724"/>
      <c r="V101" s="725"/>
      <c r="W101" s="725"/>
      <c r="X101" s="723"/>
      <c r="Y101" s="723"/>
      <c r="Z101" s="723"/>
      <c r="AA101" s="726"/>
      <c r="AB101" s="726"/>
      <c r="AC101" s="170"/>
      <c r="AD101" s="586">
        <f t="shared" si="56"/>
        <v>0</v>
      </c>
      <c r="AE101" s="586">
        <f t="shared" si="56"/>
        <v>0</v>
      </c>
      <c r="AF101" s="586">
        <f t="shared" si="56"/>
        <v>0</v>
      </c>
      <c r="AG101" s="586">
        <f t="shared" si="56"/>
        <v>0</v>
      </c>
      <c r="AH101" s="586">
        <f t="shared" si="56"/>
        <v>0</v>
      </c>
      <c r="AI101" s="586">
        <f t="shared" si="56"/>
        <v>0</v>
      </c>
      <c r="AJ101" s="586">
        <f t="shared" si="56"/>
        <v>0</v>
      </c>
      <c r="AK101" s="586">
        <f t="shared" si="56"/>
        <v>0</v>
      </c>
      <c r="AL101" s="586">
        <f t="shared" si="56"/>
        <v>0</v>
      </c>
      <c r="AM101" s="586">
        <f t="shared" si="56"/>
        <v>0</v>
      </c>
      <c r="AN101" s="586">
        <f t="shared" si="56"/>
        <v>0</v>
      </c>
      <c r="AO101" s="586">
        <f t="shared" si="56"/>
        <v>0</v>
      </c>
      <c r="AP101" s="586">
        <f t="shared" si="56"/>
        <v>0</v>
      </c>
      <c r="AQ101" s="586">
        <f t="shared" si="56"/>
        <v>0</v>
      </c>
      <c r="AR101" s="586">
        <f t="shared" si="56"/>
        <v>0</v>
      </c>
      <c r="AS101" s="586">
        <f t="shared" si="56"/>
        <v>0</v>
      </c>
      <c r="AT101" s="170"/>
      <c r="AU101" s="170"/>
      <c r="AV101" s="170"/>
      <c r="AW101" s="828"/>
      <c r="AX101" s="726"/>
    </row>
    <row r="102" spans="1:50" ht="15" x14ac:dyDescent="0.25">
      <c r="A102" s="170"/>
      <c r="B102" s="719"/>
      <c r="C102" s="170" t="str">
        <f t="shared" si="53"/>
        <v>200</v>
      </c>
      <c r="D102" s="170"/>
      <c r="E102" s="170"/>
      <c r="F102" s="170">
        <f>+Parameters!D23</f>
        <v>20</v>
      </c>
      <c r="G102" s="170" t="str">
        <f>+Parameters!E23</f>
        <v>Trench (Trenwa type)</v>
      </c>
      <c r="H102" s="586">
        <f t="shared" si="55"/>
        <v>0</v>
      </c>
      <c r="I102" s="170">
        <f>+Parameters!F23</f>
        <v>0</v>
      </c>
      <c r="J102" s="170"/>
      <c r="K102" s="170"/>
      <c r="L102" s="170"/>
      <c r="M102" s="730"/>
      <c r="N102" s="730"/>
      <c r="O102" s="730"/>
      <c r="P102" s="731"/>
      <c r="Q102" s="731"/>
      <c r="R102" s="730"/>
      <c r="S102" s="730"/>
      <c r="T102" s="723"/>
      <c r="U102" s="724"/>
      <c r="V102" s="725"/>
      <c r="W102" s="725"/>
      <c r="X102" s="723"/>
      <c r="Y102" s="723"/>
      <c r="Z102" s="723"/>
      <c r="AA102" s="726"/>
      <c r="AB102" s="726"/>
      <c r="AC102" s="170"/>
      <c r="AD102" s="586">
        <f t="shared" si="56"/>
        <v>0</v>
      </c>
      <c r="AE102" s="586">
        <f t="shared" si="56"/>
        <v>0</v>
      </c>
      <c r="AF102" s="586">
        <f t="shared" si="56"/>
        <v>0</v>
      </c>
      <c r="AG102" s="586">
        <f t="shared" si="56"/>
        <v>0</v>
      </c>
      <c r="AH102" s="586">
        <f t="shared" si="56"/>
        <v>0</v>
      </c>
      <c r="AI102" s="586">
        <f t="shared" si="56"/>
        <v>0</v>
      </c>
      <c r="AJ102" s="586">
        <f t="shared" si="56"/>
        <v>0</v>
      </c>
      <c r="AK102" s="586">
        <f t="shared" si="56"/>
        <v>0</v>
      </c>
      <c r="AL102" s="586">
        <f t="shared" si="56"/>
        <v>0</v>
      </c>
      <c r="AM102" s="586">
        <f t="shared" si="56"/>
        <v>0</v>
      </c>
      <c r="AN102" s="586">
        <f t="shared" si="56"/>
        <v>0</v>
      </c>
      <c r="AO102" s="586">
        <f t="shared" si="56"/>
        <v>0</v>
      </c>
      <c r="AP102" s="586">
        <f t="shared" si="56"/>
        <v>0</v>
      </c>
      <c r="AQ102" s="586">
        <f t="shared" si="56"/>
        <v>0</v>
      </c>
      <c r="AR102" s="586">
        <f t="shared" si="56"/>
        <v>0</v>
      </c>
      <c r="AS102" s="586">
        <f t="shared" si="56"/>
        <v>0</v>
      </c>
      <c r="AT102" s="170"/>
      <c r="AU102" s="170"/>
      <c r="AV102" s="170"/>
      <c r="AW102" s="828"/>
      <c r="AX102" s="726"/>
    </row>
    <row r="103" spans="1:50" ht="15" x14ac:dyDescent="0.25">
      <c r="A103" s="170"/>
      <c r="B103" s="719"/>
      <c r="C103" s="170" t="str">
        <f t="shared" si="53"/>
        <v>21lf</v>
      </c>
      <c r="D103" s="170"/>
      <c r="E103" s="170"/>
      <c r="F103" s="170">
        <f>+Parameters!D24</f>
        <v>21</v>
      </c>
      <c r="G103" s="170" t="str">
        <f>+Parameters!E24</f>
        <v>Ductbank ( incl conduit)</v>
      </c>
      <c r="H103" s="586">
        <f t="shared" si="55"/>
        <v>0</v>
      </c>
      <c r="I103" s="170" t="str">
        <f>+Parameters!F24</f>
        <v>lf</v>
      </c>
      <c r="J103" s="170"/>
      <c r="K103" s="170"/>
      <c r="L103" s="170"/>
      <c r="M103" s="730"/>
      <c r="N103" s="730"/>
      <c r="O103" s="730"/>
      <c r="P103" s="731"/>
      <c r="Q103" s="731"/>
      <c r="R103" s="730"/>
      <c r="S103" s="730"/>
      <c r="T103" s="723"/>
      <c r="U103" s="724"/>
      <c r="V103" s="725"/>
      <c r="W103" s="725"/>
      <c r="X103" s="723"/>
      <c r="Y103" s="723"/>
      <c r="Z103" s="723"/>
      <c r="AA103" s="726"/>
      <c r="AB103" s="726"/>
      <c r="AC103" s="170"/>
      <c r="AD103" s="586">
        <f t="shared" si="56"/>
        <v>0</v>
      </c>
      <c r="AE103" s="586">
        <f t="shared" si="56"/>
        <v>0</v>
      </c>
      <c r="AF103" s="586">
        <f t="shared" si="56"/>
        <v>0</v>
      </c>
      <c r="AG103" s="586">
        <f t="shared" si="56"/>
        <v>0</v>
      </c>
      <c r="AH103" s="586">
        <f t="shared" si="56"/>
        <v>0</v>
      </c>
      <c r="AI103" s="586">
        <f t="shared" si="56"/>
        <v>0</v>
      </c>
      <c r="AJ103" s="586">
        <f t="shared" si="56"/>
        <v>0</v>
      </c>
      <c r="AK103" s="586">
        <f t="shared" si="56"/>
        <v>0</v>
      </c>
      <c r="AL103" s="586">
        <f t="shared" si="56"/>
        <v>0</v>
      </c>
      <c r="AM103" s="586">
        <f t="shared" si="56"/>
        <v>0</v>
      </c>
      <c r="AN103" s="586">
        <f t="shared" si="56"/>
        <v>0</v>
      </c>
      <c r="AO103" s="586">
        <f t="shared" si="56"/>
        <v>0</v>
      </c>
      <c r="AP103" s="586">
        <f t="shared" si="56"/>
        <v>0</v>
      </c>
      <c r="AQ103" s="586">
        <f t="shared" si="56"/>
        <v>0</v>
      </c>
      <c r="AR103" s="586">
        <f t="shared" si="56"/>
        <v>0</v>
      </c>
      <c r="AS103" s="586">
        <f t="shared" si="56"/>
        <v>0</v>
      </c>
      <c r="AT103" s="170"/>
      <c r="AU103" s="170"/>
      <c r="AV103" s="170"/>
      <c r="AW103" s="828"/>
      <c r="AX103" s="726"/>
    </row>
    <row r="104" spans="1:50" ht="15" x14ac:dyDescent="0.25">
      <c r="A104" s="170"/>
      <c r="B104" s="719"/>
      <c r="C104" s="170" t="str">
        <f t="shared" si="53"/>
        <v>22lf</v>
      </c>
      <c r="D104" s="170"/>
      <c r="E104" s="170"/>
      <c r="F104" s="170">
        <f>+Parameters!D25</f>
        <v>22</v>
      </c>
      <c r="G104" s="170" t="str">
        <f>+Parameters!E25</f>
        <v>Conduit - AG</v>
      </c>
      <c r="H104" s="586">
        <f t="shared" si="55"/>
        <v>0</v>
      </c>
      <c r="I104" s="170" t="str">
        <f>+Parameters!F25</f>
        <v>lf</v>
      </c>
      <c r="J104" s="170"/>
      <c r="K104" s="170"/>
      <c r="L104" s="170"/>
      <c r="M104" s="730"/>
      <c r="N104" s="730"/>
      <c r="O104" s="730"/>
      <c r="P104" s="731"/>
      <c r="Q104" s="731"/>
      <c r="R104" s="730"/>
      <c r="S104" s="730"/>
      <c r="T104" s="723"/>
      <c r="U104" s="724"/>
      <c r="V104" s="725"/>
      <c r="W104" s="725"/>
      <c r="X104" s="723"/>
      <c r="Y104" s="723"/>
      <c r="Z104" s="723"/>
      <c r="AA104" s="726"/>
      <c r="AB104" s="726"/>
      <c r="AC104" s="170"/>
      <c r="AD104" s="586">
        <f t="shared" si="56"/>
        <v>0</v>
      </c>
      <c r="AE104" s="586">
        <f t="shared" si="56"/>
        <v>0</v>
      </c>
      <c r="AF104" s="586">
        <f t="shared" si="56"/>
        <v>0</v>
      </c>
      <c r="AG104" s="586">
        <f t="shared" si="56"/>
        <v>0</v>
      </c>
      <c r="AH104" s="586">
        <f t="shared" si="56"/>
        <v>0</v>
      </c>
      <c r="AI104" s="586">
        <f t="shared" si="56"/>
        <v>0</v>
      </c>
      <c r="AJ104" s="586">
        <f t="shared" si="56"/>
        <v>0</v>
      </c>
      <c r="AK104" s="586">
        <f t="shared" si="56"/>
        <v>0</v>
      </c>
      <c r="AL104" s="586">
        <f t="shared" si="56"/>
        <v>0</v>
      </c>
      <c r="AM104" s="586">
        <f t="shared" si="56"/>
        <v>0</v>
      </c>
      <c r="AN104" s="586">
        <f t="shared" si="56"/>
        <v>0</v>
      </c>
      <c r="AO104" s="586">
        <f t="shared" si="56"/>
        <v>0</v>
      </c>
      <c r="AP104" s="586">
        <f t="shared" si="56"/>
        <v>0</v>
      </c>
      <c r="AQ104" s="586">
        <f t="shared" si="56"/>
        <v>0</v>
      </c>
      <c r="AR104" s="586">
        <f t="shared" si="56"/>
        <v>0</v>
      </c>
      <c r="AS104" s="586">
        <f t="shared" si="56"/>
        <v>0</v>
      </c>
      <c r="AT104" s="170"/>
      <c r="AU104" s="170"/>
      <c r="AV104" s="170"/>
      <c r="AW104" s="828"/>
      <c r="AX104" s="726"/>
    </row>
    <row r="105" spans="1:50" ht="15" x14ac:dyDescent="0.25">
      <c r="A105" s="170"/>
      <c r="B105" s="719"/>
      <c r="C105" s="170" t="str">
        <f t="shared" si="53"/>
        <v>23lf</v>
      </c>
      <c r="D105" s="170"/>
      <c r="E105" s="170"/>
      <c r="F105" s="170">
        <f>+Parameters!D26</f>
        <v>23</v>
      </c>
      <c r="G105" s="170" t="str">
        <f>+Parameters!E26</f>
        <v>Conduit - UG ( excl ductbank)</v>
      </c>
      <c r="H105" s="586">
        <f t="shared" si="55"/>
        <v>0</v>
      </c>
      <c r="I105" s="170" t="str">
        <f>+Parameters!F26</f>
        <v>lf</v>
      </c>
      <c r="J105" s="170"/>
      <c r="K105" s="170"/>
      <c r="L105" s="170"/>
      <c r="M105" s="730"/>
      <c r="N105" s="730"/>
      <c r="O105" s="730"/>
      <c r="P105" s="731"/>
      <c r="Q105" s="731"/>
      <c r="R105" s="730"/>
      <c r="S105" s="730"/>
      <c r="T105" s="723"/>
      <c r="U105" s="724"/>
      <c r="V105" s="725"/>
      <c r="W105" s="725"/>
      <c r="X105" s="723"/>
      <c r="Y105" s="723"/>
      <c r="Z105" s="723"/>
      <c r="AA105" s="726"/>
      <c r="AB105" s="726"/>
      <c r="AC105" s="170"/>
      <c r="AD105" s="586">
        <f t="shared" si="56"/>
        <v>0</v>
      </c>
      <c r="AE105" s="586">
        <f t="shared" si="56"/>
        <v>0</v>
      </c>
      <c r="AF105" s="586">
        <f t="shared" si="56"/>
        <v>0</v>
      </c>
      <c r="AG105" s="586">
        <f t="shared" si="56"/>
        <v>0</v>
      </c>
      <c r="AH105" s="586">
        <f t="shared" si="56"/>
        <v>0</v>
      </c>
      <c r="AI105" s="586">
        <f t="shared" si="56"/>
        <v>0</v>
      </c>
      <c r="AJ105" s="586">
        <f t="shared" si="56"/>
        <v>0</v>
      </c>
      <c r="AK105" s="586">
        <f t="shared" si="56"/>
        <v>0</v>
      </c>
      <c r="AL105" s="586">
        <f t="shared" si="56"/>
        <v>0</v>
      </c>
      <c r="AM105" s="586">
        <f t="shared" si="56"/>
        <v>0</v>
      </c>
      <c r="AN105" s="586">
        <f t="shared" si="56"/>
        <v>0</v>
      </c>
      <c r="AO105" s="586">
        <f t="shared" si="56"/>
        <v>0</v>
      </c>
      <c r="AP105" s="586">
        <f t="shared" si="56"/>
        <v>0</v>
      </c>
      <c r="AQ105" s="586">
        <f t="shared" si="56"/>
        <v>0</v>
      </c>
      <c r="AR105" s="586">
        <f t="shared" si="56"/>
        <v>0</v>
      </c>
      <c r="AS105" s="586">
        <f t="shared" si="56"/>
        <v>0</v>
      </c>
      <c r="AT105" s="170"/>
      <c r="AU105" s="170"/>
      <c r="AV105" s="170"/>
      <c r="AW105" s="828"/>
      <c r="AX105" s="726"/>
    </row>
    <row r="106" spans="1:50" ht="15" x14ac:dyDescent="0.25">
      <c r="A106" s="170"/>
      <c r="B106" s="719"/>
      <c r="C106" s="170" t="str">
        <f t="shared" si="53"/>
        <v>24lf</v>
      </c>
      <c r="D106" s="170"/>
      <c r="E106" s="170"/>
      <c r="F106" s="170">
        <f>+Parameters!D27</f>
        <v>24</v>
      </c>
      <c r="G106" s="170" t="str">
        <f>+Parameters!E27</f>
        <v>Cable tray</v>
      </c>
      <c r="H106" s="586">
        <f t="shared" si="55"/>
        <v>0</v>
      </c>
      <c r="I106" s="170" t="str">
        <f>+Parameters!F27</f>
        <v>lf</v>
      </c>
      <c r="J106" s="170"/>
      <c r="K106" s="170"/>
      <c r="L106" s="170"/>
      <c r="M106" s="730"/>
      <c r="N106" s="730"/>
      <c r="O106" s="730"/>
      <c r="P106" s="731"/>
      <c r="Q106" s="731"/>
      <c r="R106" s="730"/>
      <c r="S106" s="730"/>
      <c r="T106" s="723"/>
      <c r="U106" s="724"/>
      <c r="V106" s="725"/>
      <c r="W106" s="725"/>
      <c r="X106" s="723"/>
      <c r="Y106" s="723"/>
      <c r="Z106" s="723"/>
      <c r="AA106" s="726"/>
      <c r="AB106" s="726"/>
      <c r="AC106" s="170"/>
      <c r="AD106" s="586">
        <f t="shared" si="56"/>
        <v>0</v>
      </c>
      <c r="AE106" s="586">
        <f t="shared" si="56"/>
        <v>0</v>
      </c>
      <c r="AF106" s="586">
        <f t="shared" si="56"/>
        <v>0</v>
      </c>
      <c r="AG106" s="586">
        <f t="shared" si="56"/>
        <v>0</v>
      </c>
      <c r="AH106" s="586">
        <f t="shared" si="56"/>
        <v>0</v>
      </c>
      <c r="AI106" s="586">
        <f t="shared" si="56"/>
        <v>0</v>
      </c>
      <c r="AJ106" s="586">
        <f t="shared" si="56"/>
        <v>0</v>
      </c>
      <c r="AK106" s="586">
        <f t="shared" si="56"/>
        <v>0</v>
      </c>
      <c r="AL106" s="586">
        <f t="shared" si="56"/>
        <v>0</v>
      </c>
      <c r="AM106" s="586">
        <f t="shared" si="56"/>
        <v>0</v>
      </c>
      <c r="AN106" s="586">
        <f t="shared" si="56"/>
        <v>0</v>
      </c>
      <c r="AO106" s="586">
        <f t="shared" si="56"/>
        <v>0</v>
      </c>
      <c r="AP106" s="586">
        <f t="shared" si="56"/>
        <v>0</v>
      </c>
      <c r="AQ106" s="586">
        <f t="shared" si="56"/>
        <v>0</v>
      </c>
      <c r="AR106" s="586">
        <f t="shared" si="56"/>
        <v>0</v>
      </c>
      <c r="AS106" s="586">
        <f t="shared" si="56"/>
        <v>0</v>
      </c>
      <c r="AT106" s="170"/>
      <c r="AU106" s="170"/>
      <c r="AV106" s="170"/>
      <c r="AW106" s="828"/>
      <c r="AX106" s="726"/>
    </row>
    <row r="107" spans="1:50" ht="15" x14ac:dyDescent="0.25">
      <c r="A107" s="170"/>
      <c r="B107" s="719"/>
      <c r="C107" s="170" t="str">
        <f t="shared" si="53"/>
        <v>25lf</v>
      </c>
      <c r="D107" s="170"/>
      <c r="E107" s="170"/>
      <c r="F107" s="170">
        <f>+Parameters!D28</f>
        <v>25</v>
      </c>
      <c r="G107" s="170" t="str">
        <f>+Parameters!E28</f>
        <v>Grounding</v>
      </c>
      <c r="H107" s="586">
        <f t="shared" si="55"/>
        <v>0</v>
      </c>
      <c r="I107" s="170" t="str">
        <f>+Parameters!F28</f>
        <v>lf</v>
      </c>
      <c r="J107" s="170"/>
      <c r="K107" s="170"/>
      <c r="L107" s="170"/>
      <c r="M107" s="730"/>
      <c r="N107" s="730"/>
      <c r="O107" s="730"/>
      <c r="P107" s="731"/>
      <c r="Q107" s="731"/>
      <c r="R107" s="730"/>
      <c r="S107" s="730"/>
      <c r="T107" s="723"/>
      <c r="U107" s="724"/>
      <c r="V107" s="725"/>
      <c r="W107" s="725"/>
      <c r="X107" s="723"/>
      <c r="Y107" s="723"/>
      <c r="Z107" s="723"/>
      <c r="AA107" s="726"/>
      <c r="AB107" s="726"/>
      <c r="AC107" s="170"/>
      <c r="AD107" s="586">
        <f t="shared" si="56"/>
        <v>0</v>
      </c>
      <c r="AE107" s="586">
        <f t="shared" si="56"/>
        <v>0</v>
      </c>
      <c r="AF107" s="586">
        <f t="shared" si="56"/>
        <v>0</v>
      </c>
      <c r="AG107" s="586">
        <f t="shared" si="56"/>
        <v>0</v>
      </c>
      <c r="AH107" s="586">
        <f t="shared" si="56"/>
        <v>0</v>
      </c>
      <c r="AI107" s="586">
        <f t="shared" si="56"/>
        <v>0</v>
      </c>
      <c r="AJ107" s="586">
        <f t="shared" si="56"/>
        <v>0</v>
      </c>
      <c r="AK107" s="586">
        <f t="shared" si="56"/>
        <v>0</v>
      </c>
      <c r="AL107" s="586">
        <f t="shared" si="56"/>
        <v>0</v>
      </c>
      <c r="AM107" s="586">
        <f t="shared" si="56"/>
        <v>0</v>
      </c>
      <c r="AN107" s="586">
        <f t="shared" si="56"/>
        <v>0</v>
      </c>
      <c r="AO107" s="586">
        <f t="shared" si="56"/>
        <v>0</v>
      </c>
      <c r="AP107" s="586">
        <f t="shared" si="56"/>
        <v>0</v>
      </c>
      <c r="AQ107" s="586">
        <f t="shared" si="56"/>
        <v>0</v>
      </c>
      <c r="AR107" s="586">
        <f t="shared" si="56"/>
        <v>0</v>
      </c>
      <c r="AS107" s="586">
        <f t="shared" si="56"/>
        <v>0</v>
      </c>
      <c r="AT107" s="170"/>
      <c r="AU107" s="170"/>
      <c r="AV107" s="170"/>
      <c r="AW107" s="828"/>
      <c r="AX107" s="726"/>
    </row>
    <row r="108" spans="1:50" ht="15" x14ac:dyDescent="0.25">
      <c r="A108" s="170"/>
      <c r="B108" s="719"/>
      <c r="C108" s="170" t="str">
        <f t="shared" si="53"/>
        <v>260</v>
      </c>
      <c r="D108" s="170"/>
      <c r="E108" s="170"/>
      <c r="F108" s="170">
        <f>+Parameters!D29</f>
        <v>26</v>
      </c>
      <c r="G108" s="170" t="str">
        <f>+Parameters!E29</f>
        <v>Lighting</v>
      </c>
      <c r="H108" s="586">
        <f t="shared" si="55"/>
        <v>0</v>
      </c>
      <c r="I108" s="170">
        <f>+Parameters!F29</f>
        <v>0</v>
      </c>
      <c r="J108" s="170"/>
      <c r="K108" s="170"/>
      <c r="L108" s="170"/>
      <c r="M108" s="730"/>
      <c r="N108" s="730"/>
      <c r="O108" s="730"/>
      <c r="P108" s="731"/>
      <c r="Q108" s="731"/>
      <c r="R108" s="730"/>
      <c r="S108" s="730"/>
      <c r="T108" s="723"/>
      <c r="U108" s="724"/>
      <c r="V108" s="725"/>
      <c r="W108" s="725"/>
      <c r="X108" s="723"/>
      <c r="Y108" s="723"/>
      <c r="Z108" s="723"/>
      <c r="AA108" s="726"/>
      <c r="AB108" s="726"/>
      <c r="AC108" s="170"/>
      <c r="AD108" s="586">
        <f t="shared" si="56"/>
        <v>0</v>
      </c>
      <c r="AE108" s="586">
        <f t="shared" si="56"/>
        <v>0</v>
      </c>
      <c r="AF108" s="586">
        <f t="shared" si="56"/>
        <v>0</v>
      </c>
      <c r="AG108" s="586">
        <f t="shared" si="56"/>
        <v>0</v>
      </c>
      <c r="AH108" s="586">
        <f t="shared" si="56"/>
        <v>0</v>
      </c>
      <c r="AI108" s="586">
        <f t="shared" si="56"/>
        <v>0</v>
      </c>
      <c r="AJ108" s="586">
        <f t="shared" si="56"/>
        <v>0</v>
      </c>
      <c r="AK108" s="586">
        <f t="shared" si="56"/>
        <v>0</v>
      </c>
      <c r="AL108" s="586">
        <f t="shared" si="56"/>
        <v>0</v>
      </c>
      <c r="AM108" s="586">
        <f t="shared" si="56"/>
        <v>0</v>
      </c>
      <c r="AN108" s="586">
        <f t="shared" si="56"/>
        <v>0</v>
      </c>
      <c r="AO108" s="586">
        <f t="shared" si="56"/>
        <v>0</v>
      </c>
      <c r="AP108" s="586">
        <f t="shared" si="56"/>
        <v>0</v>
      </c>
      <c r="AQ108" s="586">
        <f t="shared" si="56"/>
        <v>0</v>
      </c>
      <c r="AR108" s="586">
        <f t="shared" si="56"/>
        <v>0</v>
      </c>
      <c r="AS108" s="586">
        <f t="shared" si="56"/>
        <v>0</v>
      </c>
      <c r="AT108" s="170"/>
      <c r="AU108" s="170"/>
      <c r="AV108" s="170"/>
      <c r="AW108" s="828"/>
      <c r="AX108" s="726"/>
    </row>
    <row r="109" spans="1:50" ht="15" x14ac:dyDescent="0.25">
      <c r="A109" s="170"/>
      <c r="B109" s="719"/>
      <c r="C109" s="170" t="str">
        <f t="shared" si="53"/>
        <v>270</v>
      </c>
      <c r="D109" s="170"/>
      <c r="E109" s="170"/>
      <c r="F109" s="170">
        <f>+Parameters!D30</f>
        <v>27</v>
      </c>
      <c r="G109" s="170">
        <f>+Parameters!E30</f>
        <v>0</v>
      </c>
      <c r="H109" s="586">
        <f t="shared" si="55"/>
        <v>0</v>
      </c>
      <c r="I109" s="170">
        <f>+Parameters!F30</f>
        <v>0</v>
      </c>
      <c r="J109" s="170"/>
      <c r="K109" s="170"/>
      <c r="L109" s="170"/>
      <c r="M109" s="730"/>
      <c r="N109" s="730"/>
      <c r="O109" s="730"/>
      <c r="P109" s="731"/>
      <c r="Q109" s="731"/>
      <c r="R109" s="730"/>
      <c r="S109" s="730"/>
      <c r="T109" s="723"/>
      <c r="U109" s="724"/>
      <c r="V109" s="725"/>
      <c r="W109" s="725"/>
      <c r="X109" s="723"/>
      <c r="Y109" s="723"/>
      <c r="Z109" s="723"/>
      <c r="AA109" s="726"/>
      <c r="AB109" s="726"/>
      <c r="AC109" s="170"/>
      <c r="AD109" s="586">
        <f t="shared" si="56"/>
        <v>0</v>
      </c>
      <c r="AE109" s="586">
        <f t="shared" si="56"/>
        <v>0</v>
      </c>
      <c r="AF109" s="586">
        <f t="shared" si="56"/>
        <v>0</v>
      </c>
      <c r="AG109" s="586">
        <f t="shared" si="56"/>
        <v>0</v>
      </c>
      <c r="AH109" s="586">
        <f t="shared" si="56"/>
        <v>0</v>
      </c>
      <c r="AI109" s="586">
        <f t="shared" si="56"/>
        <v>0</v>
      </c>
      <c r="AJ109" s="586">
        <f t="shared" si="56"/>
        <v>0</v>
      </c>
      <c r="AK109" s="586">
        <f t="shared" si="56"/>
        <v>0</v>
      </c>
      <c r="AL109" s="586">
        <f t="shared" si="56"/>
        <v>0</v>
      </c>
      <c r="AM109" s="586">
        <f t="shared" si="56"/>
        <v>0</v>
      </c>
      <c r="AN109" s="586">
        <f t="shared" si="56"/>
        <v>0</v>
      </c>
      <c r="AO109" s="586">
        <f t="shared" si="56"/>
        <v>0</v>
      </c>
      <c r="AP109" s="586">
        <f t="shared" si="56"/>
        <v>0</v>
      </c>
      <c r="AQ109" s="586">
        <f t="shared" si="56"/>
        <v>0</v>
      </c>
      <c r="AR109" s="586">
        <f t="shared" si="56"/>
        <v>0</v>
      </c>
      <c r="AS109" s="586">
        <f t="shared" si="56"/>
        <v>0</v>
      </c>
      <c r="AT109" s="170"/>
      <c r="AU109" s="170"/>
      <c r="AV109" s="170"/>
      <c r="AW109" s="828"/>
      <c r="AX109" s="726"/>
    </row>
    <row r="110" spans="1:50" ht="15" x14ac:dyDescent="0.25">
      <c r="A110" s="170"/>
      <c r="B110" s="719"/>
      <c r="C110" s="170" t="str">
        <f t="shared" si="53"/>
        <v>280</v>
      </c>
      <c r="D110" s="170"/>
      <c r="E110" s="170"/>
      <c r="F110" s="170">
        <f>+Parameters!D31</f>
        <v>28</v>
      </c>
      <c r="G110" s="170">
        <f>+Parameters!E31</f>
        <v>0</v>
      </c>
      <c r="H110" s="586">
        <f t="shared" si="55"/>
        <v>0</v>
      </c>
      <c r="I110" s="170">
        <f>+Parameters!F31</f>
        <v>0</v>
      </c>
      <c r="J110" s="170"/>
      <c r="K110" s="170"/>
      <c r="L110" s="170"/>
      <c r="M110" s="730"/>
      <c r="N110" s="730"/>
      <c r="O110" s="730"/>
      <c r="P110" s="731"/>
      <c r="Q110" s="731"/>
      <c r="R110" s="730"/>
      <c r="S110" s="730"/>
      <c r="T110" s="723"/>
      <c r="U110" s="724"/>
      <c r="V110" s="725"/>
      <c r="W110" s="725"/>
      <c r="X110" s="723"/>
      <c r="Y110" s="723"/>
      <c r="Z110" s="723"/>
      <c r="AA110" s="726"/>
      <c r="AB110" s="726"/>
      <c r="AC110" s="170"/>
      <c r="AD110" s="586">
        <f t="shared" si="56"/>
        <v>0</v>
      </c>
      <c r="AE110" s="586">
        <f t="shared" si="56"/>
        <v>0</v>
      </c>
      <c r="AF110" s="586">
        <f t="shared" si="56"/>
        <v>0</v>
      </c>
      <c r="AG110" s="586">
        <f t="shared" si="56"/>
        <v>0</v>
      </c>
      <c r="AH110" s="586">
        <f t="shared" si="56"/>
        <v>0</v>
      </c>
      <c r="AI110" s="586">
        <f t="shared" si="56"/>
        <v>0</v>
      </c>
      <c r="AJ110" s="586">
        <f t="shared" si="56"/>
        <v>0</v>
      </c>
      <c r="AK110" s="586">
        <f t="shared" si="56"/>
        <v>0</v>
      </c>
      <c r="AL110" s="586">
        <f t="shared" si="56"/>
        <v>0</v>
      </c>
      <c r="AM110" s="586">
        <f t="shared" si="56"/>
        <v>0</v>
      </c>
      <c r="AN110" s="586">
        <f t="shared" si="56"/>
        <v>0</v>
      </c>
      <c r="AO110" s="586">
        <f t="shared" si="56"/>
        <v>0</v>
      </c>
      <c r="AP110" s="586">
        <f t="shared" si="56"/>
        <v>0</v>
      </c>
      <c r="AQ110" s="586">
        <f t="shared" si="56"/>
        <v>0</v>
      </c>
      <c r="AR110" s="586">
        <f t="shared" si="56"/>
        <v>0</v>
      </c>
      <c r="AS110" s="586">
        <f t="shared" si="56"/>
        <v>0</v>
      </c>
      <c r="AT110" s="170"/>
      <c r="AU110" s="170"/>
      <c r="AV110" s="170"/>
      <c r="AW110" s="828"/>
      <c r="AX110" s="726"/>
    </row>
    <row r="111" spans="1:50" ht="15" x14ac:dyDescent="0.25">
      <c r="A111" s="170"/>
      <c r="B111" s="719"/>
      <c r="C111" s="170" t="str">
        <f t="shared" si="53"/>
        <v>290</v>
      </c>
      <c r="D111" s="170"/>
      <c r="E111" s="170"/>
      <c r="F111" s="170">
        <f>+Parameters!D32</f>
        <v>29</v>
      </c>
      <c r="G111" s="170">
        <f>+Parameters!E32</f>
        <v>0</v>
      </c>
      <c r="H111" s="586">
        <f t="shared" si="55"/>
        <v>0</v>
      </c>
      <c r="I111" s="170">
        <f>+Parameters!F32</f>
        <v>0</v>
      </c>
      <c r="J111" s="170"/>
      <c r="K111" s="170"/>
      <c r="L111" s="170"/>
      <c r="M111" s="730"/>
      <c r="N111" s="730"/>
      <c r="O111" s="730"/>
      <c r="P111" s="731"/>
      <c r="Q111" s="731"/>
      <c r="R111" s="730"/>
      <c r="S111" s="730"/>
      <c r="T111" s="723"/>
      <c r="U111" s="724"/>
      <c r="V111" s="725"/>
      <c r="W111" s="725"/>
      <c r="X111" s="723"/>
      <c r="Y111" s="723"/>
      <c r="Z111" s="723"/>
      <c r="AA111" s="726"/>
      <c r="AB111" s="726"/>
      <c r="AC111" s="170"/>
      <c r="AD111" s="586">
        <f t="shared" si="56"/>
        <v>0</v>
      </c>
      <c r="AE111" s="586">
        <f t="shared" si="56"/>
        <v>0</v>
      </c>
      <c r="AF111" s="586">
        <f t="shared" si="56"/>
        <v>0</v>
      </c>
      <c r="AG111" s="586">
        <f t="shared" si="56"/>
        <v>0</v>
      </c>
      <c r="AH111" s="586">
        <f t="shared" si="56"/>
        <v>0</v>
      </c>
      <c r="AI111" s="586">
        <f t="shared" si="56"/>
        <v>0</v>
      </c>
      <c r="AJ111" s="586">
        <f t="shared" si="56"/>
        <v>0</v>
      </c>
      <c r="AK111" s="586">
        <f t="shared" si="56"/>
        <v>0</v>
      </c>
      <c r="AL111" s="586">
        <f t="shared" si="56"/>
        <v>0</v>
      </c>
      <c r="AM111" s="586">
        <f t="shared" si="56"/>
        <v>0</v>
      </c>
      <c r="AN111" s="586">
        <f t="shared" si="56"/>
        <v>0</v>
      </c>
      <c r="AO111" s="586">
        <f t="shared" si="56"/>
        <v>0</v>
      </c>
      <c r="AP111" s="586">
        <f t="shared" si="56"/>
        <v>0</v>
      </c>
      <c r="AQ111" s="586">
        <f t="shared" si="56"/>
        <v>0</v>
      </c>
      <c r="AR111" s="586">
        <f t="shared" si="56"/>
        <v>0</v>
      </c>
      <c r="AS111" s="586">
        <f t="shared" si="56"/>
        <v>0</v>
      </c>
      <c r="AT111" s="170"/>
      <c r="AU111" s="170"/>
      <c r="AV111" s="170"/>
      <c r="AW111" s="828"/>
      <c r="AX111" s="726"/>
    </row>
    <row r="112" spans="1:50" ht="15" x14ac:dyDescent="0.25">
      <c r="A112" s="170"/>
      <c r="B112" s="719"/>
      <c r="C112" s="170" t="str">
        <f t="shared" si="53"/>
        <v>30lf</v>
      </c>
      <c r="D112" s="170"/>
      <c r="E112" s="170"/>
      <c r="F112" s="170">
        <f>+Parameters!D33</f>
        <v>30</v>
      </c>
      <c r="G112" s="170" t="str">
        <f>+Parameters!E33</f>
        <v>Cable - UG - HPFF ( incl terms)</v>
      </c>
      <c r="H112" s="586">
        <f t="shared" si="55"/>
        <v>0</v>
      </c>
      <c r="I112" s="170" t="str">
        <f>+Parameters!F33</f>
        <v>lf</v>
      </c>
      <c r="J112" s="170"/>
      <c r="K112" s="170"/>
      <c r="L112" s="170"/>
      <c r="M112" s="730"/>
      <c r="N112" s="730"/>
      <c r="O112" s="730"/>
      <c r="P112" s="731"/>
      <c r="Q112" s="731"/>
      <c r="R112" s="730"/>
      <c r="S112" s="730"/>
      <c r="T112" s="723"/>
      <c r="U112" s="724"/>
      <c r="V112" s="725"/>
      <c r="W112" s="725"/>
      <c r="X112" s="723"/>
      <c r="Y112" s="723"/>
      <c r="Z112" s="723"/>
      <c r="AA112" s="726"/>
      <c r="AB112" s="726"/>
      <c r="AC112" s="170"/>
      <c r="AD112" s="586">
        <f t="shared" si="56"/>
        <v>0</v>
      </c>
      <c r="AE112" s="586">
        <f t="shared" si="56"/>
        <v>0</v>
      </c>
      <c r="AF112" s="586">
        <f t="shared" si="56"/>
        <v>0</v>
      </c>
      <c r="AG112" s="586">
        <f t="shared" si="56"/>
        <v>0</v>
      </c>
      <c r="AH112" s="586">
        <f t="shared" si="56"/>
        <v>0</v>
      </c>
      <c r="AI112" s="586">
        <f t="shared" si="56"/>
        <v>0</v>
      </c>
      <c r="AJ112" s="586">
        <f t="shared" si="56"/>
        <v>0</v>
      </c>
      <c r="AK112" s="586">
        <f t="shared" si="56"/>
        <v>0</v>
      </c>
      <c r="AL112" s="586">
        <f t="shared" si="56"/>
        <v>0</v>
      </c>
      <c r="AM112" s="586">
        <f t="shared" si="56"/>
        <v>0</v>
      </c>
      <c r="AN112" s="586">
        <f t="shared" si="56"/>
        <v>0</v>
      </c>
      <c r="AO112" s="586">
        <f t="shared" si="56"/>
        <v>0</v>
      </c>
      <c r="AP112" s="586">
        <f t="shared" si="56"/>
        <v>0</v>
      </c>
      <c r="AQ112" s="586">
        <f t="shared" si="56"/>
        <v>0</v>
      </c>
      <c r="AR112" s="586">
        <f t="shared" si="56"/>
        <v>0</v>
      </c>
      <c r="AS112" s="586">
        <f t="shared" si="56"/>
        <v>0</v>
      </c>
      <c r="AT112" s="170"/>
      <c r="AU112" s="170"/>
      <c r="AV112" s="170"/>
      <c r="AW112" s="828"/>
      <c r="AX112" s="726"/>
    </row>
    <row r="113" spans="1:50" ht="15" x14ac:dyDescent="0.25">
      <c r="A113" s="170"/>
      <c r="B113" s="719"/>
      <c r="C113" s="170" t="str">
        <f t="shared" si="53"/>
        <v>31lf</v>
      </c>
      <c r="D113" s="170"/>
      <c r="E113" s="170"/>
      <c r="F113" s="170">
        <f>+Parameters!D34</f>
        <v>31</v>
      </c>
      <c r="G113" s="170" t="str">
        <f>+Parameters!E34</f>
        <v>Cable - UG - XLPE ( incl terms)</v>
      </c>
      <c r="H113" s="586">
        <f t="shared" si="55"/>
        <v>0</v>
      </c>
      <c r="I113" s="170" t="str">
        <f>+Parameters!F34</f>
        <v>lf</v>
      </c>
      <c r="J113" s="170"/>
      <c r="K113" s="170"/>
      <c r="L113" s="170"/>
      <c r="M113" s="730"/>
      <c r="N113" s="730"/>
      <c r="O113" s="730"/>
      <c r="P113" s="731"/>
      <c r="Q113" s="731"/>
      <c r="R113" s="730"/>
      <c r="S113" s="730"/>
      <c r="T113" s="723"/>
      <c r="U113" s="724"/>
      <c r="V113" s="725"/>
      <c r="W113" s="725"/>
      <c r="X113" s="723"/>
      <c r="Y113" s="723"/>
      <c r="Z113" s="723"/>
      <c r="AA113" s="726"/>
      <c r="AB113" s="726"/>
      <c r="AC113" s="170"/>
      <c r="AD113" s="586">
        <f t="shared" si="56"/>
        <v>0</v>
      </c>
      <c r="AE113" s="586">
        <f t="shared" si="56"/>
        <v>0</v>
      </c>
      <c r="AF113" s="586">
        <f t="shared" si="56"/>
        <v>0</v>
      </c>
      <c r="AG113" s="586">
        <f t="shared" si="56"/>
        <v>0</v>
      </c>
      <c r="AH113" s="586">
        <f t="shared" si="56"/>
        <v>0</v>
      </c>
      <c r="AI113" s="586">
        <f t="shared" si="56"/>
        <v>0</v>
      </c>
      <c r="AJ113" s="586">
        <f t="shared" si="56"/>
        <v>0</v>
      </c>
      <c r="AK113" s="586">
        <f t="shared" si="56"/>
        <v>0</v>
      </c>
      <c r="AL113" s="586">
        <f t="shared" si="56"/>
        <v>0</v>
      </c>
      <c r="AM113" s="586">
        <f t="shared" si="56"/>
        <v>0</v>
      </c>
      <c r="AN113" s="586">
        <f t="shared" si="56"/>
        <v>0</v>
      </c>
      <c r="AO113" s="586">
        <f t="shared" si="56"/>
        <v>0</v>
      </c>
      <c r="AP113" s="586">
        <f t="shared" si="56"/>
        <v>0</v>
      </c>
      <c r="AQ113" s="586">
        <f t="shared" si="56"/>
        <v>0</v>
      </c>
      <c r="AR113" s="586">
        <f t="shared" si="56"/>
        <v>0</v>
      </c>
      <c r="AS113" s="586">
        <f t="shared" si="56"/>
        <v>0</v>
      </c>
      <c r="AT113" s="170"/>
      <c r="AU113" s="170"/>
      <c r="AV113" s="170"/>
      <c r="AW113" s="828"/>
      <c r="AX113" s="726"/>
    </row>
    <row r="114" spans="1:50" ht="15" x14ac:dyDescent="0.25">
      <c r="A114" s="170"/>
      <c r="B114" s="719"/>
      <c r="C114" s="170" t="str">
        <f t="shared" si="53"/>
        <v>32lf</v>
      </c>
      <c r="D114" s="170"/>
      <c r="E114" s="170"/>
      <c r="F114" s="170">
        <f>+Parameters!D35</f>
        <v>32</v>
      </c>
      <c r="G114" s="170" t="str">
        <f>+Parameters!E35</f>
        <v>Cable - AG under 115kv ( incl terms)</v>
      </c>
      <c r="H114" s="586">
        <f t="shared" si="55"/>
        <v>0</v>
      </c>
      <c r="I114" s="170" t="str">
        <f>+Parameters!F35</f>
        <v>lf</v>
      </c>
      <c r="J114" s="170"/>
      <c r="K114" s="170"/>
      <c r="L114" s="170"/>
      <c r="M114" s="730"/>
      <c r="N114" s="730"/>
      <c r="O114" s="730"/>
      <c r="P114" s="731"/>
      <c r="Q114" s="731"/>
      <c r="R114" s="730"/>
      <c r="S114" s="730"/>
      <c r="T114" s="723"/>
      <c r="U114" s="724"/>
      <c r="V114" s="725"/>
      <c r="W114" s="725"/>
      <c r="X114" s="723"/>
      <c r="Y114" s="723"/>
      <c r="Z114" s="723"/>
      <c r="AA114" s="726"/>
      <c r="AB114" s="726"/>
      <c r="AC114" s="170"/>
      <c r="AD114" s="586">
        <f t="shared" ref="AD114:AS129" si="57">SUMIF($F$9:$F$79,$F114,AD$9:AD$79)</f>
        <v>0</v>
      </c>
      <c r="AE114" s="586">
        <f t="shared" si="57"/>
        <v>0</v>
      </c>
      <c r="AF114" s="586">
        <f t="shared" si="57"/>
        <v>0</v>
      </c>
      <c r="AG114" s="586">
        <f t="shared" si="57"/>
        <v>0</v>
      </c>
      <c r="AH114" s="586">
        <f t="shared" si="57"/>
        <v>0</v>
      </c>
      <c r="AI114" s="586">
        <f t="shared" si="57"/>
        <v>0</v>
      </c>
      <c r="AJ114" s="586">
        <f t="shared" si="57"/>
        <v>0</v>
      </c>
      <c r="AK114" s="586">
        <f t="shared" si="57"/>
        <v>0</v>
      </c>
      <c r="AL114" s="586">
        <f t="shared" si="57"/>
        <v>0</v>
      </c>
      <c r="AM114" s="586">
        <f t="shared" si="57"/>
        <v>0</v>
      </c>
      <c r="AN114" s="586">
        <f t="shared" si="57"/>
        <v>0</v>
      </c>
      <c r="AO114" s="586">
        <f t="shared" si="57"/>
        <v>0</v>
      </c>
      <c r="AP114" s="586">
        <f t="shared" si="57"/>
        <v>0</v>
      </c>
      <c r="AQ114" s="586">
        <f t="shared" si="57"/>
        <v>0</v>
      </c>
      <c r="AR114" s="586">
        <f t="shared" si="57"/>
        <v>0</v>
      </c>
      <c r="AS114" s="586">
        <f t="shared" si="57"/>
        <v>0</v>
      </c>
      <c r="AT114" s="170"/>
      <c r="AU114" s="170"/>
      <c r="AV114" s="170"/>
      <c r="AW114" s="828"/>
      <c r="AX114" s="726"/>
    </row>
    <row r="115" spans="1:50" ht="15" x14ac:dyDescent="0.25">
      <c r="A115" s="170"/>
      <c r="B115" s="719"/>
      <c r="C115" s="170" t="str">
        <f t="shared" si="53"/>
        <v>33lf</v>
      </c>
      <c r="D115" s="170"/>
      <c r="E115" s="170"/>
      <c r="F115" s="170">
        <f>+Parameters!D36</f>
        <v>33</v>
      </c>
      <c r="G115" s="170" t="str">
        <f>+Parameters!E36</f>
        <v>Cable - AG 115 kv ( incl terms)</v>
      </c>
      <c r="H115" s="586">
        <f t="shared" si="55"/>
        <v>0</v>
      </c>
      <c r="I115" s="170" t="str">
        <f>+Parameters!F36</f>
        <v>lf</v>
      </c>
      <c r="J115" s="170"/>
      <c r="K115" s="170"/>
      <c r="L115" s="170"/>
      <c r="M115" s="730"/>
      <c r="N115" s="730"/>
      <c r="O115" s="730"/>
      <c r="P115" s="731"/>
      <c r="Q115" s="731"/>
      <c r="R115" s="730"/>
      <c r="S115" s="730"/>
      <c r="T115" s="723"/>
      <c r="U115" s="724"/>
      <c r="V115" s="725"/>
      <c r="W115" s="725"/>
      <c r="X115" s="723"/>
      <c r="Y115" s="723"/>
      <c r="Z115" s="723"/>
      <c r="AA115" s="726"/>
      <c r="AB115" s="726"/>
      <c r="AC115" s="170"/>
      <c r="AD115" s="586">
        <f t="shared" si="57"/>
        <v>0</v>
      </c>
      <c r="AE115" s="586">
        <f t="shared" si="57"/>
        <v>0</v>
      </c>
      <c r="AF115" s="586">
        <f t="shared" si="57"/>
        <v>0</v>
      </c>
      <c r="AG115" s="586">
        <f t="shared" si="57"/>
        <v>0</v>
      </c>
      <c r="AH115" s="586">
        <f t="shared" si="57"/>
        <v>0</v>
      </c>
      <c r="AI115" s="586">
        <f t="shared" si="57"/>
        <v>0</v>
      </c>
      <c r="AJ115" s="586">
        <f t="shared" si="57"/>
        <v>0</v>
      </c>
      <c r="AK115" s="586">
        <f t="shared" si="57"/>
        <v>0</v>
      </c>
      <c r="AL115" s="586">
        <f t="shared" si="57"/>
        <v>0</v>
      </c>
      <c r="AM115" s="586">
        <f t="shared" si="57"/>
        <v>0</v>
      </c>
      <c r="AN115" s="586">
        <f t="shared" si="57"/>
        <v>0</v>
      </c>
      <c r="AO115" s="586">
        <f t="shared" si="57"/>
        <v>0</v>
      </c>
      <c r="AP115" s="586">
        <f t="shared" si="57"/>
        <v>0</v>
      </c>
      <c r="AQ115" s="586">
        <f t="shared" si="57"/>
        <v>0</v>
      </c>
      <c r="AR115" s="586">
        <f t="shared" si="57"/>
        <v>0</v>
      </c>
      <c r="AS115" s="586">
        <f t="shared" si="57"/>
        <v>0</v>
      </c>
      <c r="AT115" s="170"/>
      <c r="AU115" s="170"/>
      <c r="AV115" s="170"/>
      <c r="AW115" s="828"/>
      <c r="AX115" s="726"/>
    </row>
    <row r="116" spans="1:50" ht="15" x14ac:dyDescent="0.25">
      <c r="A116" s="170"/>
      <c r="B116" s="719"/>
      <c r="C116" s="170" t="str">
        <f t="shared" si="53"/>
        <v>34lf</v>
      </c>
      <c r="D116" s="170"/>
      <c r="E116" s="170"/>
      <c r="F116" s="170">
        <f>+Parameters!D37</f>
        <v>34</v>
      </c>
      <c r="G116" s="170" t="str">
        <f>+Parameters!E37</f>
        <v>Cable - AG 345 kv ( incl terms)</v>
      </c>
      <c r="H116" s="586">
        <f t="shared" si="55"/>
        <v>0</v>
      </c>
      <c r="I116" s="170" t="str">
        <f>+Parameters!F37</f>
        <v>lf</v>
      </c>
      <c r="J116" s="170"/>
      <c r="K116" s="170"/>
      <c r="L116" s="170"/>
      <c r="M116" s="730"/>
      <c r="N116" s="730"/>
      <c r="O116" s="730"/>
      <c r="P116" s="731"/>
      <c r="Q116" s="731"/>
      <c r="R116" s="730"/>
      <c r="S116" s="730"/>
      <c r="T116" s="723"/>
      <c r="U116" s="724"/>
      <c r="V116" s="725"/>
      <c r="W116" s="725"/>
      <c r="X116" s="723"/>
      <c r="Y116" s="723"/>
      <c r="Z116" s="723"/>
      <c r="AA116" s="726"/>
      <c r="AB116" s="726"/>
      <c r="AC116" s="170"/>
      <c r="AD116" s="586">
        <f t="shared" si="57"/>
        <v>0</v>
      </c>
      <c r="AE116" s="586">
        <f t="shared" si="57"/>
        <v>0</v>
      </c>
      <c r="AF116" s="586">
        <f t="shared" si="57"/>
        <v>0</v>
      </c>
      <c r="AG116" s="586">
        <f t="shared" si="57"/>
        <v>0</v>
      </c>
      <c r="AH116" s="586">
        <f t="shared" si="57"/>
        <v>0</v>
      </c>
      <c r="AI116" s="586">
        <f t="shared" si="57"/>
        <v>0</v>
      </c>
      <c r="AJ116" s="586">
        <f t="shared" si="57"/>
        <v>0</v>
      </c>
      <c r="AK116" s="586">
        <f t="shared" si="57"/>
        <v>0</v>
      </c>
      <c r="AL116" s="586">
        <f t="shared" si="57"/>
        <v>0</v>
      </c>
      <c r="AM116" s="586">
        <f t="shared" si="57"/>
        <v>0</v>
      </c>
      <c r="AN116" s="586">
        <f t="shared" si="57"/>
        <v>0</v>
      </c>
      <c r="AO116" s="586">
        <f t="shared" si="57"/>
        <v>0</v>
      </c>
      <c r="AP116" s="586">
        <f t="shared" si="57"/>
        <v>0</v>
      </c>
      <c r="AQ116" s="586">
        <f t="shared" si="57"/>
        <v>0</v>
      </c>
      <c r="AR116" s="586">
        <f t="shared" si="57"/>
        <v>0</v>
      </c>
      <c r="AS116" s="586">
        <f t="shared" si="57"/>
        <v>0</v>
      </c>
      <c r="AT116" s="170"/>
      <c r="AU116" s="170"/>
      <c r="AV116" s="170"/>
      <c r="AW116" s="828"/>
      <c r="AX116" s="726"/>
    </row>
    <row r="117" spans="1:50" ht="15" x14ac:dyDescent="0.25">
      <c r="A117" s="170"/>
      <c r="B117" s="719"/>
      <c r="C117" s="170" t="str">
        <f t="shared" si="53"/>
        <v>35lf</v>
      </c>
      <c r="D117" s="170"/>
      <c r="E117" s="170"/>
      <c r="F117" s="170">
        <f>+Parameters!D38</f>
        <v>35</v>
      </c>
      <c r="G117" s="170" t="str">
        <f>+Parameters!E38</f>
        <v>Cable - OPGW / Shield ( incl terms)</v>
      </c>
      <c r="H117" s="586">
        <f t="shared" si="55"/>
        <v>0</v>
      </c>
      <c r="I117" s="170" t="str">
        <f>+Parameters!F38</f>
        <v>lf</v>
      </c>
      <c r="J117" s="170"/>
      <c r="K117" s="170"/>
      <c r="L117" s="170"/>
      <c r="M117" s="730"/>
      <c r="N117" s="730"/>
      <c r="O117" s="730"/>
      <c r="P117" s="731"/>
      <c r="Q117" s="731"/>
      <c r="R117" s="730"/>
      <c r="S117" s="730"/>
      <c r="T117" s="723"/>
      <c r="U117" s="724"/>
      <c r="V117" s="725"/>
      <c r="W117" s="725"/>
      <c r="X117" s="723"/>
      <c r="Y117" s="723"/>
      <c r="Z117" s="723"/>
      <c r="AA117" s="726"/>
      <c r="AB117" s="726"/>
      <c r="AC117" s="170"/>
      <c r="AD117" s="586">
        <f t="shared" si="57"/>
        <v>0</v>
      </c>
      <c r="AE117" s="586">
        <f t="shared" si="57"/>
        <v>0</v>
      </c>
      <c r="AF117" s="586">
        <f t="shared" si="57"/>
        <v>0</v>
      </c>
      <c r="AG117" s="586">
        <f t="shared" si="57"/>
        <v>0</v>
      </c>
      <c r="AH117" s="586">
        <f t="shared" si="57"/>
        <v>0</v>
      </c>
      <c r="AI117" s="586">
        <f t="shared" si="57"/>
        <v>0</v>
      </c>
      <c r="AJ117" s="586">
        <f t="shared" si="57"/>
        <v>0</v>
      </c>
      <c r="AK117" s="586">
        <f t="shared" si="57"/>
        <v>0</v>
      </c>
      <c r="AL117" s="586">
        <f t="shared" si="57"/>
        <v>0</v>
      </c>
      <c r="AM117" s="586">
        <f t="shared" si="57"/>
        <v>0</v>
      </c>
      <c r="AN117" s="586">
        <f t="shared" si="57"/>
        <v>0</v>
      </c>
      <c r="AO117" s="586">
        <f t="shared" si="57"/>
        <v>0</v>
      </c>
      <c r="AP117" s="586">
        <f t="shared" si="57"/>
        <v>0</v>
      </c>
      <c r="AQ117" s="586">
        <f t="shared" si="57"/>
        <v>0</v>
      </c>
      <c r="AR117" s="586">
        <f t="shared" si="57"/>
        <v>0</v>
      </c>
      <c r="AS117" s="586">
        <f t="shared" si="57"/>
        <v>0</v>
      </c>
      <c r="AT117" s="170"/>
      <c r="AU117" s="170"/>
      <c r="AV117" s="170"/>
      <c r="AW117" s="828"/>
      <c r="AX117" s="726"/>
    </row>
    <row r="118" spans="1:50" ht="15" x14ac:dyDescent="0.25">
      <c r="A118" s="170"/>
      <c r="B118" s="719"/>
      <c r="C118" s="170" t="str">
        <f t="shared" si="53"/>
        <v>36lf</v>
      </c>
      <c r="D118" s="170"/>
      <c r="E118" s="170"/>
      <c r="F118" s="170">
        <f>+Parameters!D39</f>
        <v>36</v>
      </c>
      <c r="G118" s="170" t="str">
        <f>+Parameters!E39</f>
        <v>Cable - Control ( incl terms)</v>
      </c>
      <c r="H118" s="586">
        <f t="shared" si="55"/>
        <v>0</v>
      </c>
      <c r="I118" s="170" t="str">
        <f>+Parameters!F39</f>
        <v>lf</v>
      </c>
      <c r="J118" s="170"/>
      <c r="K118" s="170"/>
      <c r="L118" s="170"/>
      <c r="M118" s="730"/>
      <c r="N118" s="730"/>
      <c r="O118" s="730"/>
      <c r="P118" s="731"/>
      <c r="Q118" s="731"/>
      <c r="R118" s="730"/>
      <c r="S118" s="730"/>
      <c r="T118" s="723"/>
      <c r="U118" s="724"/>
      <c r="V118" s="725"/>
      <c r="W118" s="725"/>
      <c r="X118" s="723"/>
      <c r="Y118" s="723"/>
      <c r="Z118" s="723"/>
      <c r="AA118" s="726"/>
      <c r="AB118" s="726"/>
      <c r="AC118" s="170"/>
      <c r="AD118" s="586">
        <f t="shared" si="57"/>
        <v>0</v>
      </c>
      <c r="AE118" s="586">
        <f t="shared" si="57"/>
        <v>0</v>
      </c>
      <c r="AF118" s="586">
        <f t="shared" si="57"/>
        <v>0</v>
      </c>
      <c r="AG118" s="586">
        <f t="shared" si="57"/>
        <v>0</v>
      </c>
      <c r="AH118" s="586">
        <f t="shared" si="57"/>
        <v>0</v>
      </c>
      <c r="AI118" s="586">
        <f t="shared" si="57"/>
        <v>0</v>
      </c>
      <c r="AJ118" s="586">
        <f t="shared" si="57"/>
        <v>0</v>
      </c>
      <c r="AK118" s="586">
        <f t="shared" si="57"/>
        <v>0</v>
      </c>
      <c r="AL118" s="586">
        <f t="shared" si="57"/>
        <v>0</v>
      </c>
      <c r="AM118" s="586">
        <f t="shared" si="57"/>
        <v>0</v>
      </c>
      <c r="AN118" s="586">
        <f t="shared" si="57"/>
        <v>0</v>
      </c>
      <c r="AO118" s="586">
        <f t="shared" si="57"/>
        <v>0</v>
      </c>
      <c r="AP118" s="586">
        <f t="shared" si="57"/>
        <v>0</v>
      </c>
      <c r="AQ118" s="586">
        <f t="shared" si="57"/>
        <v>0</v>
      </c>
      <c r="AR118" s="586">
        <f t="shared" si="57"/>
        <v>0</v>
      </c>
      <c r="AS118" s="586">
        <f t="shared" si="57"/>
        <v>0</v>
      </c>
      <c r="AT118" s="170"/>
      <c r="AU118" s="170"/>
      <c r="AV118" s="170"/>
      <c r="AW118" s="828"/>
      <c r="AX118" s="726"/>
    </row>
    <row r="119" spans="1:50" ht="15" x14ac:dyDescent="0.25">
      <c r="A119" s="170"/>
      <c r="B119" s="719"/>
      <c r="C119" s="170" t="str">
        <f t="shared" si="53"/>
        <v>37lf</v>
      </c>
      <c r="D119" s="170"/>
      <c r="E119" s="170"/>
      <c r="F119" s="170">
        <f>+Parameters!D40</f>
        <v>37</v>
      </c>
      <c r="G119" s="170" t="str">
        <f>+Parameters!E40</f>
        <v>Cable - Communication / Oher ( incl terms)</v>
      </c>
      <c r="H119" s="586">
        <f t="shared" si="55"/>
        <v>0</v>
      </c>
      <c r="I119" s="170" t="str">
        <f>+Parameters!F40</f>
        <v>lf</v>
      </c>
      <c r="J119" s="170"/>
      <c r="K119" s="170"/>
      <c r="L119" s="170"/>
      <c r="M119" s="730"/>
      <c r="N119" s="730"/>
      <c r="O119" s="730"/>
      <c r="P119" s="731"/>
      <c r="Q119" s="731"/>
      <c r="R119" s="730"/>
      <c r="S119" s="730"/>
      <c r="T119" s="723"/>
      <c r="U119" s="724"/>
      <c r="V119" s="725"/>
      <c r="W119" s="725"/>
      <c r="X119" s="723"/>
      <c r="Y119" s="723"/>
      <c r="Z119" s="723"/>
      <c r="AA119" s="726"/>
      <c r="AB119" s="726"/>
      <c r="AC119" s="170"/>
      <c r="AD119" s="586">
        <f t="shared" si="57"/>
        <v>0</v>
      </c>
      <c r="AE119" s="586">
        <f t="shared" si="57"/>
        <v>0</v>
      </c>
      <c r="AF119" s="586">
        <f t="shared" si="57"/>
        <v>0</v>
      </c>
      <c r="AG119" s="586">
        <f t="shared" si="57"/>
        <v>0</v>
      </c>
      <c r="AH119" s="586">
        <f t="shared" si="57"/>
        <v>0</v>
      </c>
      <c r="AI119" s="586">
        <f t="shared" si="57"/>
        <v>0</v>
      </c>
      <c r="AJ119" s="586">
        <f t="shared" si="57"/>
        <v>0</v>
      </c>
      <c r="AK119" s="586">
        <f t="shared" si="57"/>
        <v>0</v>
      </c>
      <c r="AL119" s="586">
        <f t="shared" si="57"/>
        <v>0</v>
      </c>
      <c r="AM119" s="586">
        <f t="shared" si="57"/>
        <v>0</v>
      </c>
      <c r="AN119" s="586">
        <f t="shared" si="57"/>
        <v>0</v>
      </c>
      <c r="AO119" s="586">
        <f t="shared" si="57"/>
        <v>0</v>
      </c>
      <c r="AP119" s="586">
        <f t="shared" si="57"/>
        <v>0</v>
      </c>
      <c r="AQ119" s="586">
        <f t="shared" si="57"/>
        <v>0</v>
      </c>
      <c r="AR119" s="586">
        <f t="shared" si="57"/>
        <v>0</v>
      </c>
      <c r="AS119" s="586">
        <f t="shared" si="57"/>
        <v>0</v>
      </c>
      <c r="AT119" s="170"/>
      <c r="AU119" s="170"/>
      <c r="AV119" s="170"/>
      <c r="AW119" s="828"/>
      <c r="AX119" s="726"/>
    </row>
    <row r="120" spans="1:50" ht="15" x14ac:dyDescent="0.25">
      <c r="A120" s="170"/>
      <c r="B120" s="719"/>
      <c r="C120" s="170" t="str">
        <f t="shared" si="53"/>
        <v>38lf</v>
      </c>
      <c r="D120" s="170"/>
      <c r="E120" s="170"/>
      <c r="F120" s="170">
        <f>+Parameters!D41</f>
        <v>38</v>
      </c>
      <c r="G120" s="170" t="str">
        <f>+Parameters!E41</f>
        <v>Cable - Power ( incl terms)</v>
      </c>
      <c r="H120" s="586">
        <f t="shared" si="55"/>
        <v>0</v>
      </c>
      <c r="I120" s="170" t="str">
        <f>+Parameters!F41</f>
        <v>lf</v>
      </c>
      <c r="J120" s="170"/>
      <c r="K120" s="170"/>
      <c r="L120" s="170"/>
      <c r="M120" s="730"/>
      <c r="N120" s="730"/>
      <c r="O120" s="730"/>
      <c r="P120" s="731"/>
      <c r="Q120" s="731"/>
      <c r="R120" s="730"/>
      <c r="S120" s="730"/>
      <c r="T120" s="723"/>
      <c r="U120" s="724"/>
      <c r="V120" s="725"/>
      <c r="W120" s="725"/>
      <c r="X120" s="723"/>
      <c r="Y120" s="723"/>
      <c r="Z120" s="723"/>
      <c r="AA120" s="726"/>
      <c r="AB120" s="726"/>
      <c r="AC120" s="170"/>
      <c r="AD120" s="586">
        <f t="shared" si="57"/>
        <v>0</v>
      </c>
      <c r="AE120" s="586">
        <f t="shared" si="57"/>
        <v>0</v>
      </c>
      <c r="AF120" s="586">
        <f t="shared" si="57"/>
        <v>0</v>
      </c>
      <c r="AG120" s="586">
        <f t="shared" si="57"/>
        <v>0</v>
      </c>
      <c r="AH120" s="586">
        <f t="shared" si="57"/>
        <v>0</v>
      </c>
      <c r="AI120" s="586">
        <f t="shared" si="57"/>
        <v>0</v>
      </c>
      <c r="AJ120" s="586">
        <f t="shared" si="57"/>
        <v>0</v>
      </c>
      <c r="AK120" s="586">
        <f t="shared" si="57"/>
        <v>0</v>
      </c>
      <c r="AL120" s="586">
        <f t="shared" si="57"/>
        <v>0</v>
      </c>
      <c r="AM120" s="586">
        <f t="shared" si="57"/>
        <v>0</v>
      </c>
      <c r="AN120" s="586">
        <f t="shared" si="57"/>
        <v>0</v>
      </c>
      <c r="AO120" s="586">
        <f t="shared" si="57"/>
        <v>0</v>
      </c>
      <c r="AP120" s="586">
        <f t="shared" si="57"/>
        <v>0</v>
      </c>
      <c r="AQ120" s="586">
        <f t="shared" si="57"/>
        <v>0</v>
      </c>
      <c r="AR120" s="586">
        <f t="shared" si="57"/>
        <v>0</v>
      </c>
      <c r="AS120" s="586">
        <f t="shared" si="57"/>
        <v>0</v>
      </c>
      <c r="AT120" s="170"/>
      <c r="AU120" s="170"/>
      <c r="AV120" s="170"/>
      <c r="AW120" s="828"/>
      <c r="AX120" s="726"/>
    </row>
    <row r="121" spans="1:50" ht="15" x14ac:dyDescent="0.25">
      <c r="A121" s="170"/>
      <c r="B121" s="719"/>
      <c r="C121" s="170" t="str">
        <f t="shared" si="53"/>
        <v>39lf</v>
      </c>
      <c r="D121" s="170"/>
      <c r="E121" s="170"/>
      <c r="F121" s="170">
        <f>+Parameters!D42</f>
        <v>39</v>
      </c>
      <c r="G121" s="170" t="str">
        <f>+Parameters!E42</f>
        <v>Cable - Other</v>
      </c>
      <c r="H121" s="586">
        <f t="shared" si="55"/>
        <v>0</v>
      </c>
      <c r="I121" s="170" t="str">
        <f>+Parameters!F42</f>
        <v>lf</v>
      </c>
      <c r="J121" s="170"/>
      <c r="K121" s="170"/>
      <c r="L121" s="170"/>
      <c r="M121" s="730"/>
      <c r="N121" s="730"/>
      <c r="O121" s="730"/>
      <c r="P121" s="731"/>
      <c r="Q121" s="731"/>
      <c r="R121" s="730"/>
      <c r="S121" s="730"/>
      <c r="T121" s="723"/>
      <c r="U121" s="724"/>
      <c r="V121" s="725"/>
      <c r="W121" s="725"/>
      <c r="X121" s="723"/>
      <c r="Y121" s="723"/>
      <c r="Z121" s="723"/>
      <c r="AA121" s="726"/>
      <c r="AB121" s="726"/>
      <c r="AC121" s="170"/>
      <c r="AD121" s="586">
        <f t="shared" si="57"/>
        <v>0</v>
      </c>
      <c r="AE121" s="586">
        <f t="shared" si="57"/>
        <v>0</v>
      </c>
      <c r="AF121" s="586">
        <f t="shared" si="57"/>
        <v>0</v>
      </c>
      <c r="AG121" s="586">
        <f t="shared" si="57"/>
        <v>0</v>
      </c>
      <c r="AH121" s="586">
        <f t="shared" si="57"/>
        <v>0</v>
      </c>
      <c r="AI121" s="586">
        <f t="shared" si="57"/>
        <v>0</v>
      </c>
      <c r="AJ121" s="586">
        <f t="shared" si="57"/>
        <v>0</v>
      </c>
      <c r="AK121" s="586">
        <f t="shared" si="57"/>
        <v>0</v>
      </c>
      <c r="AL121" s="586">
        <f t="shared" si="57"/>
        <v>0</v>
      </c>
      <c r="AM121" s="586">
        <f t="shared" si="57"/>
        <v>0</v>
      </c>
      <c r="AN121" s="586">
        <f t="shared" si="57"/>
        <v>0</v>
      </c>
      <c r="AO121" s="586">
        <f t="shared" si="57"/>
        <v>0</v>
      </c>
      <c r="AP121" s="586">
        <f t="shared" si="57"/>
        <v>0</v>
      </c>
      <c r="AQ121" s="586">
        <f t="shared" si="57"/>
        <v>0</v>
      </c>
      <c r="AR121" s="586">
        <f t="shared" si="57"/>
        <v>0</v>
      </c>
      <c r="AS121" s="586">
        <f t="shared" si="57"/>
        <v>0</v>
      </c>
      <c r="AT121" s="170"/>
      <c r="AU121" s="170"/>
      <c r="AV121" s="170"/>
      <c r="AW121" s="828"/>
      <c r="AX121" s="726"/>
    </row>
    <row r="122" spans="1:50" ht="15" x14ac:dyDescent="0.25">
      <c r="A122" s="170"/>
      <c r="B122" s="719"/>
      <c r="C122" s="170" t="str">
        <f t="shared" si="53"/>
        <v>400</v>
      </c>
      <c r="D122" s="170"/>
      <c r="E122" s="170"/>
      <c r="F122" s="170">
        <f>+Parameters!D43</f>
        <v>40</v>
      </c>
      <c r="G122" s="170" t="str">
        <f>+Parameters!E43</f>
        <v>Structures - buildings</v>
      </c>
      <c r="H122" s="586">
        <f t="shared" si="55"/>
        <v>0</v>
      </c>
      <c r="I122" s="170">
        <f>+Parameters!F43</f>
        <v>0</v>
      </c>
      <c r="J122" s="170"/>
      <c r="K122" s="170"/>
      <c r="L122" s="170"/>
      <c r="M122" s="730"/>
      <c r="N122" s="730"/>
      <c r="O122" s="730"/>
      <c r="P122" s="731"/>
      <c r="Q122" s="731"/>
      <c r="R122" s="730"/>
      <c r="S122" s="730"/>
      <c r="T122" s="723"/>
      <c r="U122" s="724"/>
      <c r="V122" s="725"/>
      <c r="W122" s="725"/>
      <c r="X122" s="723"/>
      <c r="Y122" s="723"/>
      <c r="Z122" s="723"/>
      <c r="AA122" s="726"/>
      <c r="AB122" s="726"/>
      <c r="AC122" s="170"/>
      <c r="AD122" s="586">
        <f t="shared" si="57"/>
        <v>0</v>
      </c>
      <c r="AE122" s="586">
        <f t="shared" si="57"/>
        <v>0</v>
      </c>
      <c r="AF122" s="586">
        <f t="shared" si="57"/>
        <v>0</v>
      </c>
      <c r="AG122" s="586">
        <f t="shared" si="57"/>
        <v>0</v>
      </c>
      <c r="AH122" s="586">
        <f t="shared" si="57"/>
        <v>0</v>
      </c>
      <c r="AI122" s="586">
        <f t="shared" si="57"/>
        <v>0</v>
      </c>
      <c r="AJ122" s="586">
        <f t="shared" si="57"/>
        <v>0</v>
      </c>
      <c r="AK122" s="586">
        <f t="shared" si="57"/>
        <v>0</v>
      </c>
      <c r="AL122" s="586">
        <f t="shared" si="57"/>
        <v>0</v>
      </c>
      <c r="AM122" s="586">
        <f t="shared" si="57"/>
        <v>0</v>
      </c>
      <c r="AN122" s="586">
        <f t="shared" si="57"/>
        <v>0</v>
      </c>
      <c r="AO122" s="586">
        <f t="shared" si="57"/>
        <v>0</v>
      </c>
      <c r="AP122" s="586">
        <f t="shared" si="57"/>
        <v>0</v>
      </c>
      <c r="AQ122" s="586">
        <f t="shared" si="57"/>
        <v>0</v>
      </c>
      <c r="AR122" s="586">
        <f t="shared" si="57"/>
        <v>0</v>
      </c>
      <c r="AS122" s="586">
        <f t="shared" si="57"/>
        <v>0</v>
      </c>
      <c r="AT122" s="170"/>
      <c r="AU122" s="170"/>
      <c r="AV122" s="170"/>
      <c r="AW122" s="828"/>
      <c r="AX122" s="726"/>
    </row>
    <row r="123" spans="1:50" ht="15" x14ac:dyDescent="0.25">
      <c r="A123" s="170"/>
      <c r="B123" s="719"/>
      <c r="C123" s="170" t="str">
        <f t="shared" si="53"/>
        <v>41ea</v>
      </c>
      <c r="D123" s="170"/>
      <c r="E123" s="170"/>
      <c r="F123" s="170">
        <f>+Parameters!D44</f>
        <v>41</v>
      </c>
      <c r="G123" s="170" t="str">
        <f>+Parameters!E44</f>
        <v>Structures - Poles - monopoles</v>
      </c>
      <c r="H123" s="586">
        <f t="shared" si="55"/>
        <v>0</v>
      </c>
      <c r="I123" s="170" t="str">
        <f>+Parameters!F44</f>
        <v>ea</v>
      </c>
      <c r="J123" s="170"/>
      <c r="K123" s="170"/>
      <c r="L123" s="170"/>
      <c r="M123" s="730"/>
      <c r="N123" s="730"/>
      <c r="O123" s="730"/>
      <c r="P123" s="731"/>
      <c r="Q123" s="731"/>
      <c r="R123" s="730"/>
      <c r="S123" s="730"/>
      <c r="T123" s="723"/>
      <c r="U123" s="724"/>
      <c r="V123" s="725"/>
      <c r="W123" s="725"/>
      <c r="X123" s="723"/>
      <c r="Y123" s="723"/>
      <c r="Z123" s="723"/>
      <c r="AA123" s="726"/>
      <c r="AB123" s="726"/>
      <c r="AC123" s="170"/>
      <c r="AD123" s="586">
        <f t="shared" si="57"/>
        <v>0</v>
      </c>
      <c r="AE123" s="586">
        <f t="shared" si="57"/>
        <v>0</v>
      </c>
      <c r="AF123" s="586">
        <f t="shared" si="57"/>
        <v>0</v>
      </c>
      <c r="AG123" s="586">
        <f t="shared" si="57"/>
        <v>0</v>
      </c>
      <c r="AH123" s="586">
        <f t="shared" si="57"/>
        <v>0</v>
      </c>
      <c r="AI123" s="586">
        <f t="shared" si="57"/>
        <v>0</v>
      </c>
      <c r="AJ123" s="586">
        <f t="shared" si="57"/>
        <v>0</v>
      </c>
      <c r="AK123" s="586">
        <f t="shared" si="57"/>
        <v>0</v>
      </c>
      <c r="AL123" s="586">
        <f t="shared" si="57"/>
        <v>0</v>
      </c>
      <c r="AM123" s="586">
        <f t="shared" si="57"/>
        <v>0</v>
      </c>
      <c r="AN123" s="586">
        <f t="shared" si="57"/>
        <v>0</v>
      </c>
      <c r="AO123" s="586">
        <f t="shared" si="57"/>
        <v>0</v>
      </c>
      <c r="AP123" s="586">
        <f t="shared" si="57"/>
        <v>0</v>
      </c>
      <c r="AQ123" s="586">
        <f t="shared" si="57"/>
        <v>0</v>
      </c>
      <c r="AR123" s="586">
        <f t="shared" si="57"/>
        <v>0</v>
      </c>
      <c r="AS123" s="586">
        <f t="shared" si="57"/>
        <v>0</v>
      </c>
      <c r="AT123" s="170"/>
      <c r="AU123" s="170"/>
      <c r="AV123" s="170"/>
      <c r="AW123" s="828"/>
      <c r="AX123" s="726"/>
    </row>
    <row r="124" spans="1:50" ht="15" x14ac:dyDescent="0.25">
      <c r="A124" s="170"/>
      <c r="B124" s="719"/>
      <c r="C124" s="170" t="str">
        <f t="shared" si="53"/>
        <v>42ea</v>
      </c>
      <c r="D124" s="170"/>
      <c r="E124" s="170"/>
      <c r="F124" s="170">
        <f>+Parameters!D45</f>
        <v>42</v>
      </c>
      <c r="G124" s="170" t="str">
        <f>+Parameters!E45</f>
        <v>Structures - Poles - frame</v>
      </c>
      <c r="H124" s="586">
        <f t="shared" si="55"/>
        <v>0</v>
      </c>
      <c r="I124" s="170" t="str">
        <f>+Parameters!F45</f>
        <v>ea</v>
      </c>
      <c r="J124" s="170"/>
      <c r="K124" s="170"/>
      <c r="L124" s="170"/>
      <c r="M124" s="730"/>
      <c r="N124" s="730"/>
      <c r="O124" s="730"/>
      <c r="P124" s="731"/>
      <c r="Q124" s="731"/>
      <c r="R124" s="730"/>
      <c r="S124" s="730"/>
      <c r="T124" s="723"/>
      <c r="U124" s="724"/>
      <c r="V124" s="725"/>
      <c r="W124" s="725"/>
      <c r="X124" s="723"/>
      <c r="Y124" s="723"/>
      <c r="Z124" s="723"/>
      <c r="AA124" s="726"/>
      <c r="AB124" s="726"/>
      <c r="AC124" s="170"/>
      <c r="AD124" s="586">
        <f t="shared" si="57"/>
        <v>0</v>
      </c>
      <c r="AE124" s="586">
        <f t="shared" si="57"/>
        <v>0</v>
      </c>
      <c r="AF124" s="586">
        <f t="shared" si="57"/>
        <v>0</v>
      </c>
      <c r="AG124" s="586">
        <f t="shared" si="57"/>
        <v>0</v>
      </c>
      <c r="AH124" s="586">
        <f t="shared" si="57"/>
        <v>0</v>
      </c>
      <c r="AI124" s="586">
        <f t="shared" si="57"/>
        <v>0</v>
      </c>
      <c r="AJ124" s="586">
        <f t="shared" si="57"/>
        <v>0</v>
      </c>
      <c r="AK124" s="586">
        <f t="shared" si="57"/>
        <v>0</v>
      </c>
      <c r="AL124" s="586">
        <f t="shared" si="57"/>
        <v>0</v>
      </c>
      <c r="AM124" s="586">
        <f t="shared" si="57"/>
        <v>0</v>
      </c>
      <c r="AN124" s="586">
        <f t="shared" si="57"/>
        <v>0</v>
      </c>
      <c r="AO124" s="586">
        <f t="shared" si="57"/>
        <v>0</v>
      </c>
      <c r="AP124" s="586">
        <f t="shared" si="57"/>
        <v>0</v>
      </c>
      <c r="AQ124" s="586">
        <f t="shared" si="57"/>
        <v>0</v>
      </c>
      <c r="AR124" s="586">
        <f t="shared" si="57"/>
        <v>0</v>
      </c>
      <c r="AS124" s="586">
        <f t="shared" si="57"/>
        <v>0</v>
      </c>
      <c r="AT124" s="170"/>
      <c r="AU124" s="170"/>
      <c r="AV124" s="170"/>
      <c r="AW124" s="828"/>
      <c r="AX124" s="726"/>
    </row>
    <row r="125" spans="1:50" ht="15" x14ac:dyDescent="0.25">
      <c r="A125" s="170"/>
      <c r="B125" s="719"/>
      <c r="C125" s="170" t="str">
        <f t="shared" si="53"/>
        <v>43ea</v>
      </c>
      <c r="D125" s="170"/>
      <c r="E125" s="170"/>
      <c r="F125" s="170">
        <f>+Parameters!D46</f>
        <v>43</v>
      </c>
      <c r="G125" s="170" t="str">
        <f>+Parameters!E46</f>
        <v>Structures - Poles - Guys</v>
      </c>
      <c r="H125" s="586">
        <f t="shared" si="55"/>
        <v>0</v>
      </c>
      <c r="I125" s="170" t="str">
        <f>+Parameters!F46</f>
        <v>ea</v>
      </c>
      <c r="J125" s="170"/>
      <c r="K125" s="170"/>
      <c r="L125" s="170"/>
      <c r="M125" s="730"/>
      <c r="N125" s="730"/>
      <c r="O125" s="730"/>
      <c r="P125" s="731"/>
      <c r="Q125" s="731"/>
      <c r="R125" s="730"/>
      <c r="S125" s="730"/>
      <c r="T125" s="723"/>
      <c r="U125" s="724"/>
      <c r="V125" s="725"/>
      <c r="W125" s="725"/>
      <c r="X125" s="723"/>
      <c r="Y125" s="723"/>
      <c r="Z125" s="723"/>
      <c r="AA125" s="726"/>
      <c r="AB125" s="726"/>
      <c r="AC125" s="170"/>
      <c r="AD125" s="586">
        <f t="shared" si="57"/>
        <v>0</v>
      </c>
      <c r="AE125" s="586">
        <f t="shared" si="57"/>
        <v>0</v>
      </c>
      <c r="AF125" s="586">
        <f t="shared" si="57"/>
        <v>0</v>
      </c>
      <c r="AG125" s="586">
        <f t="shared" si="57"/>
        <v>0</v>
      </c>
      <c r="AH125" s="586">
        <f t="shared" si="57"/>
        <v>0</v>
      </c>
      <c r="AI125" s="586">
        <f t="shared" si="57"/>
        <v>0</v>
      </c>
      <c r="AJ125" s="586">
        <f t="shared" si="57"/>
        <v>0</v>
      </c>
      <c r="AK125" s="586">
        <f t="shared" si="57"/>
        <v>0</v>
      </c>
      <c r="AL125" s="586">
        <f t="shared" si="57"/>
        <v>0</v>
      </c>
      <c r="AM125" s="586">
        <f t="shared" si="57"/>
        <v>0</v>
      </c>
      <c r="AN125" s="586">
        <f t="shared" si="57"/>
        <v>0</v>
      </c>
      <c r="AO125" s="586">
        <f t="shared" si="57"/>
        <v>0</v>
      </c>
      <c r="AP125" s="586">
        <f t="shared" si="57"/>
        <v>0</v>
      </c>
      <c r="AQ125" s="586">
        <f t="shared" si="57"/>
        <v>0</v>
      </c>
      <c r="AR125" s="586">
        <f t="shared" si="57"/>
        <v>0</v>
      </c>
      <c r="AS125" s="586">
        <f t="shared" si="57"/>
        <v>0</v>
      </c>
      <c r="AT125" s="170"/>
      <c r="AU125" s="170"/>
      <c r="AV125" s="170"/>
      <c r="AW125" s="828"/>
      <c r="AX125" s="726"/>
    </row>
    <row r="126" spans="1:50" ht="15" x14ac:dyDescent="0.25">
      <c r="A126" s="170"/>
      <c r="B126" s="719"/>
      <c r="C126" s="170" t="str">
        <f t="shared" si="53"/>
        <v>440</v>
      </c>
      <c r="D126" s="170"/>
      <c r="E126" s="170"/>
      <c r="F126" s="170">
        <f>+Parameters!D47</f>
        <v>44</v>
      </c>
      <c r="G126" s="170">
        <f>+Parameters!E47</f>
        <v>0</v>
      </c>
      <c r="H126" s="586">
        <f t="shared" si="55"/>
        <v>0</v>
      </c>
      <c r="I126" s="170">
        <f>+Parameters!F47</f>
        <v>0</v>
      </c>
      <c r="J126" s="170"/>
      <c r="K126" s="170"/>
      <c r="L126" s="170"/>
      <c r="M126" s="730"/>
      <c r="N126" s="730"/>
      <c r="O126" s="730"/>
      <c r="P126" s="731"/>
      <c r="Q126" s="731"/>
      <c r="R126" s="730"/>
      <c r="S126" s="730"/>
      <c r="T126" s="723"/>
      <c r="U126" s="724"/>
      <c r="V126" s="725"/>
      <c r="W126" s="725"/>
      <c r="X126" s="723"/>
      <c r="Y126" s="723"/>
      <c r="Z126" s="723"/>
      <c r="AA126" s="726"/>
      <c r="AB126" s="726"/>
      <c r="AC126" s="170"/>
      <c r="AD126" s="586">
        <f t="shared" si="57"/>
        <v>0</v>
      </c>
      <c r="AE126" s="586">
        <f t="shared" si="57"/>
        <v>0</v>
      </c>
      <c r="AF126" s="586">
        <f t="shared" si="57"/>
        <v>0</v>
      </c>
      <c r="AG126" s="586">
        <f t="shared" si="57"/>
        <v>0</v>
      </c>
      <c r="AH126" s="586">
        <f t="shared" si="57"/>
        <v>0</v>
      </c>
      <c r="AI126" s="586">
        <f t="shared" si="57"/>
        <v>0</v>
      </c>
      <c r="AJ126" s="586">
        <f t="shared" si="57"/>
        <v>0</v>
      </c>
      <c r="AK126" s="586">
        <f t="shared" si="57"/>
        <v>0</v>
      </c>
      <c r="AL126" s="586">
        <f t="shared" si="57"/>
        <v>0</v>
      </c>
      <c r="AM126" s="586">
        <f t="shared" si="57"/>
        <v>0</v>
      </c>
      <c r="AN126" s="586">
        <f t="shared" si="57"/>
        <v>0</v>
      </c>
      <c r="AO126" s="586">
        <f t="shared" si="57"/>
        <v>0</v>
      </c>
      <c r="AP126" s="586">
        <f t="shared" si="57"/>
        <v>0</v>
      </c>
      <c r="AQ126" s="586">
        <f t="shared" si="57"/>
        <v>0</v>
      </c>
      <c r="AR126" s="586">
        <f t="shared" si="57"/>
        <v>0</v>
      </c>
      <c r="AS126" s="586">
        <f t="shared" si="57"/>
        <v>0</v>
      </c>
      <c r="AT126" s="170"/>
      <c r="AU126" s="170"/>
      <c r="AV126" s="170"/>
      <c r="AW126" s="828"/>
      <c r="AX126" s="726"/>
    </row>
    <row r="127" spans="1:50" ht="15" x14ac:dyDescent="0.25">
      <c r="A127" s="170"/>
      <c r="B127" s="719"/>
      <c r="C127" s="170" t="str">
        <f t="shared" si="53"/>
        <v>45tn</v>
      </c>
      <c r="D127" s="170"/>
      <c r="E127" s="170"/>
      <c r="F127" s="170">
        <f>+Parameters!D48</f>
        <v>45</v>
      </c>
      <c r="G127" s="170" t="str">
        <f>+Parameters!E48</f>
        <v>Structures - S.S.</v>
      </c>
      <c r="H127" s="586">
        <f t="shared" si="55"/>
        <v>0</v>
      </c>
      <c r="I127" s="170" t="str">
        <f>+Parameters!F48</f>
        <v>tn</v>
      </c>
      <c r="J127" s="170"/>
      <c r="K127" s="170"/>
      <c r="L127" s="170"/>
      <c r="M127" s="730"/>
      <c r="N127" s="730"/>
      <c r="O127" s="730"/>
      <c r="P127" s="731"/>
      <c r="Q127" s="731"/>
      <c r="R127" s="730"/>
      <c r="S127" s="730"/>
      <c r="T127" s="723"/>
      <c r="U127" s="724"/>
      <c r="V127" s="725"/>
      <c r="W127" s="725"/>
      <c r="X127" s="723"/>
      <c r="Y127" s="723"/>
      <c r="Z127" s="723"/>
      <c r="AA127" s="726"/>
      <c r="AB127" s="726"/>
      <c r="AC127" s="170"/>
      <c r="AD127" s="586">
        <f t="shared" si="57"/>
        <v>0</v>
      </c>
      <c r="AE127" s="586">
        <f t="shared" si="57"/>
        <v>0</v>
      </c>
      <c r="AF127" s="586">
        <f t="shared" si="57"/>
        <v>0</v>
      </c>
      <c r="AG127" s="586">
        <f t="shared" si="57"/>
        <v>0</v>
      </c>
      <c r="AH127" s="586">
        <f t="shared" si="57"/>
        <v>0</v>
      </c>
      <c r="AI127" s="586">
        <f t="shared" si="57"/>
        <v>0</v>
      </c>
      <c r="AJ127" s="586">
        <f t="shared" si="57"/>
        <v>0</v>
      </c>
      <c r="AK127" s="586">
        <f t="shared" si="57"/>
        <v>0</v>
      </c>
      <c r="AL127" s="586">
        <f t="shared" si="57"/>
        <v>0</v>
      </c>
      <c r="AM127" s="586">
        <f t="shared" si="57"/>
        <v>0</v>
      </c>
      <c r="AN127" s="586">
        <f t="shared" si="57"/>
        <v>0</v>
      </c>
      <c r="AO127" s="586">
        <f t="shared" si="57"/>
        <v>0</v>
      </c>
      <c r="AP127" s="586">
        <f t="shared" si="57"/>
        <v>0</v>
      </c>
      <c r="AQ127" s="586">
        <f t="shared" si="57"/>
        <v>0</v>
      </c>
      <c r="AR127" s="586">
        <f t="shared" si="57"/>
        <v>0</v>
      </c>
      <c r="AS127" s="586">
        <f t="shared" si="57"/>
        <v>0</v>
      </c>
      <c r="AT127" s="170"/>
      <c r="AU127" s="170"/>
      <c r="AV127" s="170"/>
      <c r="AW127" s="828"/>
      <c r="AX127" s="726"/>
    </row>
    <row r="128" spans="1:50" ht="15" x14ac:dyDescent="0.25">
      <c r="A128" s="170"/>
      <c r="B128" s="719"/>
      <c r="C128" s="170" t="str">
        <f t="shared" si="53"/>
        <v>46tn</v>
      </c>
      <c r="D128" s="170"/>
      <c r="E128" s="170"/>
      <c r="F128" s="170">
        <f>+Parameters!D49</f>
        <v>46</v>
      </c>
      <c r="G128" s="170" t="str">
        <f>+Parameters!E49</f>
        <v>Structures - Platforms</v>
      </c>
      <c r="H128" s="586">
        <f t="shared" si="55"/>
        <v>0</v>
      </c>
      <c r="I128" s="170" t="str">
        <f>+Parameters!F49</f>
        <v>tn</v>
      </c>
      <c r="J128" s="170"/>
      <c r="K128" s="170"/>
      <c r="L128" s="170"/>
      <c r="M128" s="730"/>
      <c r="N128" s="730"/>
      <c r="O128" s="730"/>
      <c r="P128" s="731"/>
      <c r="Q128" s="731"/>
      <c r="R128" s="730"/>
      <c r="S128" s="730"/>
      <c r="T128" s="723"/>
      <c r="U128" s="724"/>
      <c r="V128" s="725"/>
      <c r="W128" s="725"/>
      <c r="X128" s="723"/>
      <c r="Y128" s="723"/>
      <c r="Z128" s="723"/>
      <c r="AA128" s="726"/>
      <c r="AB128" s="726"/>
      <c r="AC128" s="170"/>
      <c r="AD128" s="586">
        <f t="shared" si="57"/>
        <v>0</v>
      </c>
      <c r="AE128" s="586">
        <f t="shared" si="57"/>
        <v>0</v>
      </c>
      <c r="AF128" s="586">
        <f t="shared" si="57"/>
        <v>0</v>
      </c>
      <c r="AG128" s="586">
        <f t="shared" si="57"/>
        <v>0</v>
      </c>
      <c r="AH128" s="586">
        <f t="shared" si="57"/>
        <v>0</v>
      </c>
      <c r="AI128" s="586">
        <f t="shared" si="57"/>
        <v>0</v>
      </c>
      <c r="AJ128" s="586">
        <f t="shared" si="57"/>
        <v>0</v>
      </c>
      <c r="AK128" s="586">
        <f t="shared" si="57"/>
        <v>0</v>
      </c>
      <c r="AL128" s="586">
        <f t="shared" si="57"/>
        <v>0</v>
      </c>
      <c r="AM128" s="586">
        <f t="shared" si="57"/>
        <v>0</v>
      </c>
      <c r="AN128" s="586">
        <f t="shared" si="57"/>
        <v>0</v>
      </c>
      <c r="AO128" s="586">
        <f t="shared" si="57"/>
        <v>0</v>
      </c>
      <c r="AP128" s="586">
        <f t="shared" si="57"/>
        <v>0</v>
      </c>
      <c r="AQ128" s="586">
        <f t="shared" si="57"/>
        <v>0</v>
      </c>
      <c r="AR128" s="586">
        <f t="shared" si="57"/>
        <v>0</v>
      </c>
      <c r="AS128" s="586">
        <f t="shared" si="57"/>
        <v>0</v>
      </c>
      <c r="AT128" s="170"/>
      <c r="AU128" s="170"/>
      <c r="AV128" s="170"/>
      <c r="AW128" s="828"/>
      <c r="AX128" s="726"/>
    </row>
    <row r="129" spans="1:50" ht="15" x14ac:dyDescent="0.25">
      <c r="A129" s="170"/>
      <c r="B129" s="719"/>
      <c r="C129" s="170" t="str">
        <f t="shared" si="53"/>
        <v>470</v>
      </c>
      <c r="D129" s="170"/>
      <c r="E129" s="170"/>
      <c r="F129" s="170">
        <f>+Parameters!D50</f>
        <v>47</v>
      </c>
      <c r="G129" s="170">
        <f>+Parameters!E50</f>
        <v>0</v>
      </c>
      <c r="H129" s="586">
        <f t="shared" si="55"/>
        <v>0</v>
      </c>
      <c r="I129" s="170">
        <f>+Parameters!F50</f>
        <v>0</v>
      </c>
      <c r="J129" s="170"/>
      <c r="K129" s="170"/>
      <c r="L129" s="170"/>
      <c r="M129" s="730"/>
      <c r="N129" s="730"/>
      <c r="O129" s="730"/>
      <c r="P129" s="731"/>
      <c r="Q129" s="731"/>
      <c r="R129" s="730"/>
      <c r="S129" s="730"/>
      <c r="T129" s="723"/>
      <c r="U129" s="724"/>
      <c r="V129" s="725"/>
      <c r="W129" s="725"/>
      <c r="X129" s="723"/>
      <c r="Y129" s="723"/>
      <c r="Z129" s="723"/>
      <c r="AA129" s="726"/>
      <c r="AB129" s="726"/>
      <c r="AC129" s="170"/>
      <c r="AD129" s="586">
        <f t="shared" si="57"/>
        <v>0</v>
      </c>
      <c r="AE129" s="586">
        <f t="shared" si="57"/>
        <v>0</v>
      </c>
      <c r="AF129" s="586">
        <f t="shared" si="57"/>
        <v>0</v>
      </c>
      <c r="AG129" s="586">
        <f t="shared" si="57"/>
        <v>0</v>
      </c>
      <c r="AH129" s="586">
        <f t="shared" si="57"/>
        <v>0</v>
      </c>
      <c r="AI129" s="586">
        <f t="shared" si="57"/>
        <v>0</v>
      </c>
      <c r="AJ129" s="586">
        <f t="shared" si="57"/>
        <v>0</v>
      </c>
      <c r="AK129" s="586">
        <f t="shared" si="57"/>
        <v>0</v>
      </c>
      <c r="AL129" s="586">
        <f t="shared" si="57"/>
        <v>0</v>
      </c>
      <c r="AM129" s="586">
        <f t="shared" si="57"/>
        <v>0</v>
      </c>
      <c r="AN129" s="586">
        <f t="shared" si="57"/>
        <v>0</v>
      </c>
      <c r="AO129" s="586">
        <f t="shared" si="57"/>
        <v>0</v>
      </c>
      <c r="AP129" s="586">
        <f t="shared" si="57"/>
        <v>0</v>
      </c>
      <c r="AQ129" s="586">
        <f t="shared" si="57"/>
        <v>0</v>
      </c>
      <c r="AR129" s="586">
        <f t="shared" si="57"/>
        <v>0</v>
      </c>
      <c r="AS129" s="586">
        <f t="shared" ref="AE129:AS146" si="58">SUMIF($F$9:$F$79,$F129,AS$9:AS$79)</f>
        <v>0</v>
      </c>
      <c r="AT129" s="170"/>
      <c r="AU129" s="170"/>
      <c r="AV129" s="170"/>
      <c r="AW129" s="828"/>
      <c r="AX129" s="726"/>
    </row>
    <row r="130" spans="1:50" ht="15" x14ac:dyDescent="0.25">
      <c r="A130" s="170"/>
      <c r="B130" s="719"/>
      <c r="C130" s="170" t="str">
        <f t="shared" si="53"/>
        <v>480</v>
      </c>
      <c r="D130" s="170"/>
      <c r="E130" s="170"/>
      <c r="F130" s="170">
        <f>+Parameters!D51</f>
        <v>48</v>
      </c>
      <c r="G130" s="170">
        <f>+Parameters!E51</f>
        <v>0</v>
      </c>
      <c r="H130" s="586">
        <f t="shared" si="55"/>
        <v>0</v>
      </c>
      <c r="I130" s="170">
        <f>+Parameters!F51</f>
        <v>0</v>
      </c>
      <c r="J130" s="170"/>
      <c r="K130" s="170"/>
      <c r="L130" s="170"/>
      <c r="M130" s="730"/>
      <c r="N130" s="730"/>
      <c r="O130" s="730"/>
      <c r="P130" s="731"/>
      <c r="Q130" s="731"/>
      <c r="R130" s="730"/>
      <c r="S130" s="730"/>
      <c r="T130" s="723"/>
      <c r="U130" s="724"/>
      <c r="V130" s="725"/>
      <c r="W130" s="725"/>
      <c r="X130" s="723"/>
      <c r="Y130" s="723"/>
      <c r="Z130" s="723"/>
      <c r="AA130" s="726"/>
      <c r="AB130" s="726"/>
      <c r="AC130" s="170"/>
      <c r="AD130" s="586">
        <f t="shared" ref="AD130:AD161" si="59">SUMIF($F$9:$F$79,$F130,AD$9:AD$79)</f>
        <v>0</v>
      </c>
      <c r="AE130" s="586">
        <f t="shared" si="58"/>
        <v>0</v>
      </c>
      <c r="AF130" s="586">
        <f t="shared" si="58"/>
        <v>0</v>
      </c>
      <c r="AG130" s="586">
        <f t="shared" si="58"/>
        <v>0</v>
      </c>
      <c r="AH130" s="586">
        <f t="shared" si="58"/>
        <v>0</v>
      </c>
      <c r="AI130" s="586">
        <f t="shared" si="58"/>
        <v>0</v>
      </c>
      <c r="AJ130" s="586">
        <f t="shared" si="58"/>
        <v>0</v>
      </c>
      <c r="AK130" s="586">
        <f t="shared" si="58"/>
        <v>0</v>
      </c>
      <c r="AL130" s="586">
        <f t="shared" si="58"/>
        <v>0</v>
      </c>
      <c r="AM130" s="586">
        <f t="shared" si="58"/>
        <v>0</v>
      </c>
      <c r="AN130" s="586">
        <f t="shared" si="58"/>
        <v>0</v>
      </c>
      <c r="AO130" s="586">
        <f t="shared" si="58"/>
        <v>0</v>
      </c>
      <c r="AP130" s="586">
        <f t="shared" si="58"/>
        <v>0</v>
      </c>
      <c r="AQ130" s="586">
        <f t="shared" si="58"/>
        <v>0</v>
      </c>
      <c r="AR130" s="586">
        <f t="shared" si="58"/>
        <v>0</v>
      </c>
      <c r="AS130" s="586">
        <f t="shared" si="58"/>
        <v>0</v>
      </c>
      <c r="AT130" s="170"/>
      <c r="AU130" s="170"/>
      <c r="AV130" s="170"/>
      <c r="AW130" s="828"/>
      <c r="AX130" s="726"/>
    </row>
    <row r="131" spans="1:50" ht="15" x14ac:dyDescent="0.25">
      <c r="A131" s="170"/>
      <c r="B131" s="719"/>
      <c r="C131" s="170" t="str">
        <f t="shared" si="53"/>
        <v>49tn</v>
      </c>
      <c r="D131" s="170"/>
      <c r="E131" s="170"/>
      <c r="F131" s="170">
        <f>+Parameters!D52</f>
        <v>49</v>
      </c>
      <c r="G131" s="170" t="str">
        <f>+Parameters!E52</f>
        <v>Structures - Others</v>
      </c>
      <c r="H131" s="586">
        <f t="shared" si="55"/>
        <v>0</v>
      </c>
      <c r="I131" s="170" t="str">
        <f>+Parameters!F52</f>
        <v>tn</v>
      </c>
      <c r="J131" s="170"/>
      <c r="K131" s="170"/>
      <c r="L131" s="170"/>
      <c r="M131" s="730"/>
      <c r="N131" s="730"/>
      <c r="O131" s="730"/>
      <c r="P131" s="731"/>
      <c r="Q131" s="731"/>
      <c r="R131" s="730"/>
      <c r="S131" s="730"/>
      <c r="T131" s="723"/>
      <c r="U131" s="724"/>
      <c r="V131" s="725"/>
      <c r="W131" s="725"/>
      <c r="X131" s="723"/>
      <c r="Y131" s="723"/>
      <c r="Z131" s="723"/>
      <c r="AA131" s="726"/>
      <c r="AB131" s="726"/>
      <c r="AC131" s="170"/>
      <c r="AD131" s="586">
        <f t="shared" si="59"/>
        <v>0</v>
      </c>
      <c r="AE131" s="586">
        <f t="shared" si="58"/>
        <v>0</v>
      </c>
      <c r="AF131" s="586">
        <f t="shared" si="58"/>
        <v>0</v>
      </c>
      <c r="AG131" s="586">
        <f t="shared" si="58"/>
        <v>0</v>
      </c>
      <c r="AH131" s="586">
        <f t="shared" si="58"/>
        <v>0</v>
      </c>
      <c r="AI131" s="586">
        <f t="shared" si="58"/>
        <v>0</v>
      </c>
      <c r="AJ131" s="586">
        <f t="shared" si="58"/>
        <v>0</v>
      </c>
      <c r="AK131" s="586">
        <f t="shared" si="58"/>
        <v>0</v>
      </c>
      <c r="AL131" s="586">
        <f t="shared" si="58"/>
        <v>0</v>
      </c>
      <c r="AM131" s="586">
        <f t="shared" si="58"/>
        <v>0</v>
      </c>
      <c r="AN131" s="586">
        <f t="shared" si="58"/>
        <v>0</v>
      </c>
      <c r="AO131" s="586">
        <f t="shared" si="58"/>
        <v>0</v>
      </c>
      <c r="AP131" s="586">
        <f t="shared" si="58"/>
        <v>0</v>
      </c>
      <c r="AQ131" s="586">
        <f t="shared" si="58"/>
        <v>0</v>
      </c>
      <c r="AR131" s="586">
        <f t="shared" si="58"/>
        <v>0</v>
      </c>
      <c r="AS131" s="586">
        <f t="shared" si="58"/>
        <v>0</v>
      </c>
      <c r="AT131" s="170"/>
      <c r="AU131" s="170"/>
      <c r="AV131" s="170"/>
      <c r="AW131" s="828"/>
      <c r="AX131" s="726"/>
    </row>
    <row r="132" spans="1:50" ht="15" x14ac:dyDescent="0.25">
      <c r="A132" s="170"/>
      <c r="B132" s="719"/>
      <c r="C132" s="170" t="str">
        <f t="shared" si="53"/>
        <v>50ea</v>
      </c>
      <c r="D132" s="170"/>
      <c r="E132" s="170"/>
      <c r="F132" s="170">
        <f>+Parameters!D53</f>
        <v>50</v>
      </c>
      <c r="G132" s="170" t="str">
        <f>+Parameters!E53</f>
        <v>Major Eqt - Circuit Breakers</v>
      </c>
      <c r="H132" s="586">
        <f t="shared" si="55"/>
        <v>0</v>
      </c>
      <c r="I132" s="170" t="str">
        <f>+Parameters!F53</f>
        <v>ea</v>
      </c>
      <c r="J132" s="170"/>
      <c r="K132" s="170"/>
      <c r="L132" s="170"/>
      <c r="M132" s="730"/>
      <c r="N132" s="730"/>
      <c r="O132" s="730"/>
      <c r="P132" s="731"/>
      <c r="Q132" s="731"/>
      <c r="R132" s="730"/>
      <c r="S132" s="730"/>
      <c r="T132" s="723"/>
      <c r="U132" s="724"/>
      <c r="V132" s="725"/>
      <c r="W132" s="725"/>
      <c r="X132" s="723"/>
      <c r="Y132" s="723"/>
      <c r="Z132" s="723"/>
      <c r="AA132" s="726"/>
      <c r="AB132" s="726"/>
      <c r="AC132" s="170"/>
      <c r="AD132" s="586">
        <f t="shared" si="59"/>
        <v>0</v>
      </c>
      <c r="AE132" s="586">
        <f t="shared" si="58"/>
        <v>0</v>
      </c>
      <c r="AF132" s="586">
        <f t="shared" si="58"/>
        <v>0</v>
      </c>
      <c r="AG132" s="586">
        <f t="shared" si="58"/>
        <v>0</v>
      </c>
      <c r="AH132" s="586">
        <f t="shared" si="58"/>
        <v>0</v>
      </c>
      <c r="AI132" s="586">
        <f t="shared" si="58"/>
        <v>0</v>
      </c>
      <c r="AJ132" s="586">
        <f t="shared" si="58"/>
        <v>0</v>
      </c>
      <c r="AK132" s="586">
        <f t="shared" si="58"/>
        <v>0</v>
      </c>
      <c r="AL132" s="586">
        <f t="shared" si="58"/>
        <v>0</v>
      </c>
      <c r="AM132" s="586">
        <f t="shared" si="58"/>
        <v>0</v>
      </c>
      <c r="AN132" s="586">
        <f t="shared" si="58"/>
        <v>0</v>
      </c>
      <c r="AO132" s="586">
        <f t="shared" si="58"/>
        <v>0</v>
      </c>
      <c r="AP132" s="586">
        <f t="shared" si="58"/>
        <v>0</v>
      </c>
      <c r="AQ132" s="586">
        <f t="shared" si="58"/>
        <v>0</v>
      </c>
      <c r="AR132" s="586">
        <f t="shared" si="58"/>
        <v>0</v>
      </c>
      <c r="AS132" s="586">
        <f t="shared" si="58"/>
        <v>0</v>
      </c>
      <c r="AT132" s="170"/>
      <c r="AU132" s="170"/>
      <c r="AV132" s="170"/>
      <c r="AW132" s="828"/>
      <c r="AX132" s="726"/>
    </row>
    <row r="133" spans="1:50" ht="15" x14ac:dyDescent="0.25">
      <c r="A133" s="170"/>
      <c r="B133" s="719"/>
      <c r="C133" s="170" t="str">
        <f t="shared" si="53"/>
        <v>51ea</v>
      </c>
      <c r="D133" s="170"/>
      <c r="E133" s="170"/>
      <c r="F133" s="170">
        <f>+Parameters!D54</f>
        <v>51</v>
      </c>
      <c r="G133" s="170" t="str">
        <f>+Parameters!E54</f>
        <v>Major Eqt - Transformers</v>
      </c>
      <c r="H133" s="586">
        <f t="shared" si="55"/>
        <v>0</v>
      </c>
      <c r="I133" s="170" t="str">
        <f>+Parameters!F54</f>
        <v>ea</v>
      </c>
      <c r="J133" s="170"/>
      <c r="K133" s="170"/>
      <c r="L133" s="170"/>
      <c r="M133" s="730"/>
      <c r="N133" s="730"/>
      <c r="O133" s="730"/>
      <c r="P133" s="731"/>
      <c r="Q133" s="731"/>
      <c r="R133" s="730"/>
      <c r="S133" s="730"/>
      <c r="T133" s="723"/>
      <c r="U133" s="724"/>
      <c r="V133" s="725"/>
      <c r="W133" s="725"/>
      <c r="X133" s="723"/>
      <c r="Y133" s="723"/>
      <c r="Z133" s="723"/>
      <c r="AA133" s="726"/>
      <c r="AB133" s="726"/>
      <c r="AC133" s="170"/>
      <c r="AD133" s="586">
        <f t="shared" si="59"/>
        <v>0</v>
      </c>
      <c r="AE133" s="586">
        <f t="shared" si="58"/>
        <v>0</v>
      </c>
      <c r="AF133" s="586">
        <f t="shared" si="58"/>
        <v>0</v>
      </c>
      <c r="AG133" s="586">
        <f t="shared" si="58"/>
        <v>0</v>
      </c>
      <c r="AH133" s="586">
        <f t="shared" si="58"/>
        <v>0</v>
      </c>
      <c r="AI133" s="586">
        <f t="shared" si="58"/>
        <v>0</v>
      </c>
      <c r="AJ133" s="586">
        <f t="shared" si="58"/>
        <v>0</v>
      </c>
      <c r="AK133" s="586">
        <f t="shared" si="58"/>
        <v>0</v>
      </c>
      <c r="AL133" s="586">
        <f t="shared" si="58"/>
        <v>0</v>
      </c>
      <c r="AM133" s="586">
        <f t="shared" si="58"/>
        <v>0</v>
      </c>
      <c r="AN133" s="586">
        <f t="shared" si="58"/>
        <v>0</v>
      </c>
      <c r="AO133" s="586">
        <f t="shared" si="58"/>
        <v>0</v>
      </c>
      <c r="AP133" s="586">
        <f t="shared" si="58"/>
        <v>0</v>
      </c>
      <c r="AQ133" s="586">
        <f t="shared" si="58"/>
        <v>0</v>
      </c>
      <c r="AR133" s="586">
        <f t="shared" si="58"/>
        <v>0</v>
      </c>
      <c r="AS133" s="586">
        <f t="shared" si="58"/>
        <v>0</v>
      </c>
      <c r="AT133" s="170"/>
      <c r="AU133" s="170"/>
      <c r="AV133" s="170"/>
      <c r="AW133" s="828"/>
      <c r="AX133" s="726"/>
    </row>
    <row r="134" spans="1:50" ht="15" x14ac:dyDescent="0.25">
      <c r="A134" s="170"/>
      <c r="B134" s="719"/>
      <c r="C134" s="170" t="str">
        <f t="shared" si="53"/>
        <v>52ea</v>
      </c>
      <c r="D134" s="170"/>
      <c r="E134" s="170"/>
      <c r="F134" s="170">
        <f>+Parameters!D55</f>
        <v>52</v>
      </c>
      <c r="G134" s="170" t="str">
        <f>+Parameters!E55</f>
        <v>Major Eqt - Circuit Switchers</v>
      </c>
      <c r="H134" s="586">
        <f t="shared" si="55"/>
        <v>0</v>
      </c>
      <c r="I134" s="170" t="str">
        <f>+Parameters!F55</f>
        <v>ea</v>
      </c>
      <c r="J134" s="170"/>
      <c r="K134" s="170"/>
      <c r="L134" s="170"/>
      <c r="M134" s="730"/>
      <c r="N134" s="730"/>
      <c r="O134" s="730"/>
      <c r="P134" s="731"/>
      <c r="Q134" s="731"/>
      <c r="R134" s="730"/>
      <c r="S134" s="730"/>
      <c r="T134" s="723"/>
      <c r="U134" s="724"/>
      <c r="V134" s="725"/>
      <c r="W134" s="725"/>
      <c r="X134" s="723"/>
      <c r="Y134" s="723"/>
      <c r="Z134" s="723"/>
      <c r="AA134" s="726"/>
      <c r="AB134" s="726"/>
      <c r="AC134" s="170"/>
      <c r="AD134" s="586">
        <f t="shared" si="59"/>
        <v>0</v>
      </c>
      <c r="AE134" s="586">
        <f t="shared" si="58"/>
        <v>0</v>
      </c>
      <c r="AF134" s="586">
        <f t="shared" si="58"/>
        <v>0</v>
      </c>
      <c r="AG134" s="586">
        <f t="shared" si="58"/>
        <v>0</v>
      </c>
      <c r="AH134" s="586">
        <f t="shared" si="58"/>
        <v>0</v>
      </c>
      <c r="AI134" s="586">
        <f t="shared" si="58"/>
        <v>0</v>
      </c>
      <c r="AJ134" s="586">
        <f t="shared" si="58"/>
        <v>0</v>
      </c>
      <c r="AK134" s="586">
        <f t="shared" si="58"/>
        <v>0</v>
      </c>
      <c r="AL134" s="586">
        <f t="shared" si="58"/>
        <v>0</v>
      </c>
      <c r="AM134" s="586">
        <f t="shared" si="58"/>
        <v>0</v>
      </c>
      <c r="AN134" s="586">
        <f t="shared" si="58"/>
        <v>0</v>
      </c>
      <c r="AO134" s="586">
        <f t="shared" si="58"/>
        <v>0</v>
      </c>
      <c r="AP134" s="586">
        <f t="shared" si="58"/>
        <v>0</v>
      </c>
      <c r="AQ134" s="586">
        <f t="shared" si="58"/>
        <v>0</v>
      </c>
      <c r="AR134" s="586">
        <f t="shared" si="58"/>
        <v>0</v>
      </c>
      <c r="AS134" s="586">
        <f t="shared" si="58"/>
        <v>0</v>
      </c>
      <c r="AT134" s="170"/>
      <c r="AU134" s="170"/>
      <c r="AV134" s="170"/>
      <c r="AW134" s="828"/>
      <c r="AX134" s="726"/>
    </row>
    <row r="135" spans="1:50" ht="15" x14ac:dyDescent="0.25">
      <c r="A135" s="170"/>
      <c r="B135" s="719"/>
      <c r="C135" s="170" t="str">
        <f t="shared" si="53"/>
        <v>53ea</v>
      </c>
      <c r="D135" s="170"/>
      <c r="E135" s="170"/>
      <c r="F135" s="170">
        <f>+Parameters!D56</f>
        <v>53</v>
      </c>
      <c r="G135" s="170" t="str">
        <f>+Parameters!E56</f>
        <v>Major Eqt - Disconect Switches</v>
      </c>
      <c r="H135" s="586">
        <f t="shared" si="55"/>
        <v>0</v>
      </c>
      <c r="I135" s="170" t="str">
        <f>+Parameters!F56</f>
        <v>ea</v>
      </c>
      <c r="J135" s="170"/>
      <c r="K135" s="170"/>
      <c r="L135" s="170"/>
      <c r="M135" s="730"/>
      <c r="N135" s="730"/>
      <c r="O135" s="730"/>
      <c r="P135" s="731"/>
      <c r="Q135" s="731"/>
      <c r="R135" s="730"/>
      <c r="S135" s="730"/>
      <c r="T135" s="723"/>
      <c r="U135" s="724"/>
      <c r="V135" s="725"/>
      <c r="W135" s="725"/>
      <c r="X135" s="723"/>
      <c r="Y135" s="723"/>
      <c r="Z135" s="723"/>
      <c r="AA135" s="726"/>
      <c r="AB135" s="726"/>
      <c r="AC135" s="170"/>
      <c r="AD135" s="586">
        <f t="shared" si="59"/>
        <v>0</v>
      </c>
      <c r="AE135" s="586">
        <f t="shared" si="58"/>
        <v>0</v>
      </c>
      <c r="AF135" s="586">
        <f t="shared" si="58"/>
        <v>0</v>
      </c>
      <c r="AG135" s="586">
        <f t="shared" si="58"/>
        <v>0</v>
      </c>
      <c r="AH135" s="586">
        <f t="shared" si="58"/>
        <v>0</v>
      </c>
      <c r="AI135" s="586">
        <f t="shared" si="58"/>
        <v>0</v>
      </c>
      <c r="AJ135" s="586">
        <f t="shared" si="58"/>
        <v>0</v>
      </c>
      <c r="AK135" s="586">
        <f t="shared" si="58"/>
        <v>0</v>
      </c>
      <c r="AL135" s="586">
        <f t="shared" si="58"/>
        <v>0</v>
      </c>
      <c r="AM135" s="586">
        <f t="shared" si="58"/>
        <v>0</v>
      </c>
      <c r="AN135" s="586">
        <f t="shared" si="58"/>
        <v>0</v>
      </c>
      <c r="AO135" s="586">
        <f t="shared" si="58"/>
        <v>0</v>
      </c>
      <c r="AP135" s="586">
        <f t="shared" si="58"/>
        <v>0</v>
      </c>
      <c r="AQ135" s="586">
        <f t="shared" si="58"/>
        <v>0</v>
      </c>
      <c r="AR135" s="586">
        <f t="shared" si="58"/>
        <v>0</v>
      </c>
      <c r="AS135" s="586">
        <f t="shared" si="58"/>
        <v>0</v>
      </c>
      <c r="AT135" s="170"/>
      <c r="AU135" s="170"/>
      <c r="AV135" s="170"/>
      <c r="AW135" s="828"/>
      <c r="AX135" s="726"/>
    </row>
    <row r="136" spans="1:50" ht="15" x14ac:dyDescent="0.25">
      <c r="A136" s="170"/>
      <c r="B136" s="719"/>
      <c r="C136" s="170" t="str">
        <f t="shared" si="53"/>
        <v>54ea</v>
      </c>
      <c r="D136" s="170"/>
      <c r="E136" s="170"/>
      <c r="F136" s="170">
        <f>+Parameters!D57</f>
        <v>54</v>
      </c>
      <c r="G136" s="170" t="str">
        <f>+Parameters!E57</f>
        <v>Major Eqt - Cap Banks</v>
      </c>
      <c r="H136" s="586">
        <f t="shared" si="55"/>
        <v>0</v>
      </c>
      <c r="I136" s="170" t="str">
        <f>+Parameters!F57</f>
        <v>ea</v>
      </c>
      <c r="J136" s="170"/>
      <c r="K136" s="170"/>
      <c r="L136" s="170"/>
      <c r="M136" s="730"/>
      <c r="N136" s="730"/>
      <c r="O136" s="730"/>
      <c r="P136" s="731"/>
      <c r="Q136" s="731"/>
      <c r="R136" s="730"/>
      <c r="S136" s="730"/>
      <c r="T136" s="723"/>
      <c r="U136" s="724"/>
      <c r="V136" s="725"/>
      <c r="W136" s="725"/>
      <c r="X136" s="723"/>
      <c r="Y136" s="723"/>
      <c r="Z136" s="723"/>
      <c r="AA136" s="726"/>
      <c r="AB136" s="726"/>
      <c r="AC136" s="170"/>
      <c r="AD136" s="586">
        <f t="shared" si="59"/>
        <v>0</v>
      </c>
      <c r="AE136" s="586">
        <f t="shared" si="58"/>
        <v>0</v>
      </c>
      <c r="AF136" s="586">
        <f t="shared" si="58"/>
        <v>0</v>
      </c>
      <c r="AG136" s="586">
        <f t="shared" si="58"/>
        <v>0</v>
      </c>
      <c r="AH136" s="586">
        <f t="shared" si="58"/>
        <v>0</v>
      </c>
      <c r="AI136" s="586">
        <f t="shared" si="58"/>
        <v>0</v>
      </c>
      <c r="AJ136" s="586">
        <f t="shared" si="58"/>
        <v>0</v>
      </c>
      <c r="AK136" s="586">
        <f t="shared" si="58"/>
        <v>0</v>
      </c>
      <c r="AL136" s="586">
        <f t="shared" si="58"/>
        <v>0</v>
      </c>
      <c r="AM136" s="586">
        <f t="shared" si="58"/>
        <v>0</v>
      </c>
      <c r="AN136" s="586">
        <f t="shared" si="58"/>
        <v>0</v>
      </c>
      <c r="AO136" s="586">
        <f t="shared" si="58"/>
        <v>0</v>
      </c>
      <c r="AP136" s="586">
        <f t="shared" si="58"/>
        <v>0</v>
      </c>
      <c r="AQ136" s="586">
        <f t="shared" si="58"/>
        <v>0</v>
      </c>
      <c r="AR136" s="586">
        <f t="shared" si="58"/>
        <v>0</v>
      </c>
      <c r="AS136" s="586">
        <f t="shared" si="58"/>
        <v>0</v>
      </c>
      <c r="AT136" s="170"/>
      <c r="AU136" s="170"/>
      <c r="AV136" s="170"/>
      <c r="AW136" s="828"/>
      <c r="AX136" s="726"/>
    </row>
    <row r="137" spans="1:50" ht="15" x14ac:dyDescent="0.25">
      <c r="A137" s="170"/>
      <c r="B137" s="719"/>
      <c r="C137" s="170" t="str">
        <f t="shared" si="53"/>
        <v>55ea</v>
      </c>
      <c r="D137" s="170"/>
      <c r="E137" s="170"/>
      <c r="F137" s="170">
        <f>+Parameters!D58</f>
        <v>55</v>
      </c>
      <c r="G137" s="170" t="str">
        <f>+Parameters!E58</f>
        <v>Major Eqt - Reactors</v>
      </c>
      <c r="H137" s="586">
        <f t="shared" si="55"/>
        <v>0</v>
      </c>
      <c r="I137" s="170" t="str">
        <f>+Parameters!F58</f>
        <v>ea</v>
      </c>
      <c r="J137" s="170"/>
      <c r="K137" s="170"/>
      <c r="L137" s="170"/>
      <c r="M137" s="730"/>
      <c r="N137" s="730"/>
      <c r="O137" s="730"/>
      <c r="P137" s="731"/>
      <c r="Q137" s="731"/>
      <c r="R137" s="730"/>
      <c r="S137" s="730"/>
      <c r="T137" s="723"/>
      <c r="U137" s="724"/>
      <c r="V137" s="725"/>
      <c r="W137" s="725"/>
      <c r="X137" s="723"/>
      <c r="Y137" s="723"/>
      <c r="Z137" s="723"/>
      <c r="AA137" s="726"/>
      <c r="AB137" s="726"/>
      <c r="AC137" s="170"/>
      <c r="AD137" s="586">
        <f t="shared" si="59"/>
        <v>0</v>
      </c>
      <c r="AE137" s="586">
        <f t="shared" si="58"/>
        <v>0</v>
      </c>
      <c r="AF137" s="586">
        <f t="shared" si="58"/>
        <v>0</v>
      </c>
      <c r="AG137" s="586">
        <f t="shared" si="58"/>
        <v>0</v>
      </c>
      <c r="AH137" s="586">
        <f t="shared" si="58"/>
        <v>0</v>
      </c>
      <c r="AI137" s="586">
        <f t="shared" si="58"/>
        <v>0</v>
      </c>
      <c r="AJ137" s="586">
        <f t="shared" si="58"/>
        <v>0</v>
      </c>
      <c r="AK137" s="586">
        <f t="shared" si="58"/>
        <v>0</v>
      </c>
      <c r="AL137" s="586">
        <f t="shared" si="58"/>
        <v>0</v>
      </c>
      <c r="AM137" s="586">
        <f t="shared" si="58"/>
        <v>0</v>
      </c>
      <c r="AN137" s="586">
        <f t="shared" si="58"/>
        <v>0</v>
      </c>
      <c r="AO137" s="586">
        <f t="shared" si="58"/>
        <v>0</v>
      </c>
      <c r="AP137" s="586">
        <f t="shared" si="58"/>
        <v>0</v>
      </c>
      <c r="AQ137" s="586">
        <f t="shared" si="58"/>
        <v>0</v>
      </c>
      <c r="AR137" s="586">
        <f t="shared" si="58"/>
        <v>0</v>
      </c>
      <c r="AS137" s="586">
        <f t="shared" si="58"/>
        <v>0</v>
      </c>
      <c r="AT137" s="170"/>
      <c r="AU137" s="170"/>
      <c r="AV137" s="170"/>
      <c r="AW137" s="828"/>
      <c r="AX137" s="726"/>
    </row>
    <row r="138" spans="1:50" ht="15" x14ac:dyDescent="0.25">
      <c r="A138" s="170"/>
      <c r="B138" s="719"/>
      <c r="C138" s="170" t="str">
        <f t="shared" si="53"/>
        <v>56ea</v>
      </c>
      <c r="D138" s="170"/>
      <c r="E138" s="170"/>
      <c r="F138" s="170">
        <f>+Parameters!D59</f>
        <v>56</v>
      </c>
      <c r="G138" s="170" t="str">
        <f>+Parameters!E59</f>
        <v>Major Eqt - GIS</v>
      </c>
      <c r="H138" s="586">
        <f t="shared" si="55"/>
        <v>0</v>
      </c>
      <c r="I138" s="170" t="str">
        <f>+Parameters!F59</f>
        <v>ea</v>
      </c>
      <c r="J138" s="170"/>
      <c r="K138" s="170"/>
      <c r="L138" s="170"/>
      <c r="M138" s="730"/>
      <c r="N138" s="730"/>
      <c r="O138" s="730"/>
      <c r="P138" s="731"/>
      <c r="Q138" s="731"/>
      <c r="R138" s="730"/>
      <c r="S138" s="730"/>
      <c r="T138" s="723"/>
      <c r="U138" s="724"/>
      <c r="V138" s="725"/>
      <c r="W138" s="725"/>
      <c r="X138" s="723"/>
      <c r="Y138" s="723"/>
      <c r="Z138" s="723"/>
      <c r="AA138" s="726"/>
      <c r="AB138" s="726"/>
      <c r="AC138" s="170"/>
      <c r="AD138" s="586">
        <f t="shared" si="59"/>
        <v>0</v>
      </c>
      <c r="AE138" s="586">
        <f t="shared" si="58"/>
        <v>0</v>
      </c>
      <c r="AF138" s="586">
        <f t="shared" si="58"/>
        <v>0</v>
      </c>
      <c r="AG138" s="586">
        <f t="shared" si="58"/>
        <v>0</v>
      </c>
      <c r="AH138" s="586">
        <f t="shared" si="58"/>
        <v>0</v>
      </c>
      <c r="AI138" s="586">
        <f t="shared" si="58"/>
        <v>0</v>
      </c>
      <c r="AJ138" s="586">
        <f t="shared" si="58"/>
        <v>0</v>
      </c>
      <c r="AK138" s="586">
        <f t="shared" si="58"/>
        <v>0</v>
      </c>
      <c r="AL138" s="586">
        <f t="shared" si="58"/>
        <v>0</v>
      </c>
      <c r="AM138" s="586">
        <f t="shared" si="58"/>
        <v>0</v>
      </c>
      <c r="AN138" s="586">
        <f t="shared" si="58"/>
        <v>0</v>
      </c>
      <c r="AO138" s="586">
        <f t="shared" si="58"/>
        <v>0</v>
      </c>
      <c r="AP138" s="586">
        <f t="shared" si="58"/>
        <v>0</v>
      </c>
      <c r="AQ138" s="586">
        <f t="shared" si="58"/>
        <v>0</v>
      </c>
      <c r="AR138" s="586">
        <f t="shared" si="58"/>
        <v>0</v>
      </c>
      <c r="AS138" s="586">
        <f t="shared" si="58"/>
        <v>0</v>
      </c>
      <c r="AT138" s="170"/>
      <c r="AU138" s="170"/>
      <c r="AV138" s="170"/>
      <c r="AW138" s="828"/>
      <c r="AX138" s="726"/>
    </row>
    <row r="139" spans="1:50" ht="15" x14ac:dyDescent="0.25">
      <c r="A139" s="170"/>
      <c r="B139" s="719"/>
      <c r="C139" s="170" t="str">
        <f t="shared" si="53"/>
        <v>57ea</v>
      </c>
      <c r="D139" s="170"/>
      <c r="E139" s="170"/>
      <c r="F139" s="170">
        <f>+Parameters!D60</f>
        <v>57</v>
      </c>
      <c r="G139" s="170" t="str">
        <f>+Parameters!E60</f>
        <v>Major Eqt - Switchgear</v>
      </c>
      <c r="H139" s="586">
        <f t="shared" si="55"/>
        <v>0</v>
      </c>
      <c r="I139" s="170" t="str">
        <f>+Parameters!F60</f>
        <v>ea</v>
      </c>
      <c r="J139" s="170"/>
      <c r="K139" s="170"/>
      <c r="L139" s="170"/>
      <c r="M139" s="730"/>
      <c r="N139" s="730"/>
      <c r="O139" s="730"/>
      <c r="P139" s="731"/>
      <c r="Q139" s="731"/>
      <c r="R139" s="730"/>
      <c r="S139" s="730"/>
      <c r="T139" s="723"/>
      <c r="U139" s="724"/>
      <c r="V139" s="725"/>
      <c r="W139" s="725"/>
      <c r="X139" s="723"/>
      <c r="Y139" s="723"/>
      <c r="Z139" s="723"/>
      <c r="AA139" s="726"/>
      <c r="AB139" s="726"/>
      <c r="AC139" s="170"/>
      <c r="AD139" s="586">
        <f t="shared" si="59"/>
        <v>0</v>
      </c>
      <c r="AE139" s="586">
        <f t="shared" si="58"/>
        <v>0</v>
      </c>
      <c r="AF139" s="586">
        <f t="shared" si="58"/>
        <v>0</v>
      </c>
      <c r="AG139" s="586">
        <f t="shared" si="58"/>
        <v>0</v>
      </c>
      <c r="AH139" s="586">
        <f t="shared" si="58"/>
        <v>0</v>
      </c>
      <c r="AI139" s="586">
        <f t="shared" si="58"/>
        <v>0</v>
      </c>
      <c r="AJ139" s="586">
        <f t="shared" si="58"/>
        <v>0</v>
      </c>
      <c r="AK139" s="586">
        <f t="shared" si="58"/>
        <v>0</v>
      </c>
      <c r="AL139" s="586">
        <f t="shared" si="58"/>
        <v>0</v>
      </c>
      <c r="AM139" s="586">
        <f t="shared" si="58"/>
        <v>0</v>
      </c>
      <c r="AN139" s="586">
        <f t="shared" si="58"/>
        <v>0</v>
      </c>
      <c r="AO139" s="586">
        <f t="shared" si="58"/>
        <v>0</v>
      </c>
      <c r="AP139" s="586">
        <f t="shared" si="58"/>
        <v>0</v>
      </c>
      <c r="AQ139" s="586">
        <f t="shared" si="58"/>
        <v>0</v>
      </c>
      <c r="AR139" s="586">
        <f t="shared" si="58"/>
        <v>0</v>
      </c>
      <c r="AS139" s="586">
        <f t="shared" si="58"/>
        <v>0</v>
      </c>
      <c r="AT139" s="170"/>
      <c r="AU139" s="170"/>
      <c r="AV139" s="170"/>
      <c r="AW139" s="828"/>
      <c r="AX139" s="726"/>
    </row>
    <row r="140" spans="1:50" ht="15" x14ac:dyDescent="0.25">
      <c r="A140" s="170"/>
      <c r="B140" s="719"/>
      <c r="C140" s="170" t="str">
        <f t="shared" si="53"/>
        <v>580</v>
      </c>
      <c r="D140" s="170"/>
      <c r="E140" s="170"/>
      <c r="F140" s="170">
        <f>+Parameters!D61</f>
        <v>58</v>
      </c>
      <c r="G140" s="170">
        <f>+Parameters!E61</f>
        <v>0</v>
      </c>
      <c r="H140" s="586">
        <f t="shared" si="55"/>
        <v>0</v>
      </c>
      <c r="I140" s="170">
        <f>+Parameters!F61</f>
        <v>0</v>
      </c>
      <c r="J140" s="170"/>
      <c r="K140" s="170"/>
      <c r="L140" s="170"/>
      <c r="M140" s="730"/>
      <c r="N140" s="730"/>
      <c r="O140" s="730"/>
      <c r="P140" s="731"/>
      <c r="Q140" s="731"/>
      <c r="R140" s="730"/>
      <c r="S140" s="730"/>
      <c r="T140" s="723"/>
      <c r="U140" s="724"/>
      <c r="V140" s="725"/>
      <c r="W140" s="725"/>
      <c r="X140" s="723"/>
      <c r="Y140" s="723"/>
      <c r="Z140" s="723"/>
      <c r="AA140" s="726"/>
      <c r="AB140" s="726"/>
      <c r="AC140" s="170"/>
      <c r="AD140" s="586">
        <f t="shared" si="59"/>
        <v>0</v>
      </c>
      <c r="AE140" s="586">
        <f t="shared" si="58"/>
        <v>0</v>
      </c>
      <c r="AF140" s="586">
        <f t="shared" si="58"/>
        <v>0</v>
      </c>
      <c r="AG140" s="586">
        <f t="shared" si="58"/>
        <v>0</v>
      </c>
      <c r="AH140" s="586">
        <f t="shared" si="58"/>
        <v>0</v>
      </c>
      <c r="AI140" s="586">
        <f t="shared" si="58"/>
        <v>0</v>
      </c>
      <c r="AJ140" s="586">
        <f t="shared" si="58"/>
        <v>0</v>
      </c>
      <c r="AK140" s="586">
        <f t="shared" si="58"/>
        <v>0</v>
      </c>
      <c r="AL140" s="586">
        <f t="shared" si="58"/>
        <v>0</v>
      </c>
      <c r="AM140" s="586">
        <f t="shared" si="58"/>
        <v>0</v>
      </c>
      <c r="AN140" s="586">
        <f t="shared" si="58"/>
        <v>0</v>
      </c>
      <c r="AO140" s="586">
        <f t="shared" si="58"/>
        <v>0</v>
      </c>
      <c r="AP140" s="586">
        <f t="shared" si="58"/>
        <v>0</v>
      </c>
      <c r="AQ140" s="586">
        <f t="shared" si="58"/>
        <v>0</v>
      </c>
      <c r="AR140" s="586">
        <f t="shared" si="58"/>
        <v>0</v>
      </c>
      <c r="AS140" s="586">
        <f t="shared" si="58"/>
        <v>0</v>
      </c>
      <c r="AT140" s="170"/>
      <c r="AU140" s="170"/>
      <c r="AV140" s="170"/>
      <c r="AW140" s="828"/>
      <c r="AX140" s="726"/>
    </row>
    <row r="141" spans="1:50" ht="15" x14ac:dyDescent="0.25">
      <c r="A141" s="170"/>
      <c r="B141" s="719"/>
      <c r="C141" s="170" t="str">
        <f t="shared" si="53"/>
        <v>59ea</v>
      </c>
      <c r="D141" s="170"/>
      <c r="E141" s="170"/>
      <c r="F141" s="170">
        <f>+Parameters!D62</f>
        <v>59</v>
      </c>
      <c r="G141" s="170" t="str">
        <f>+Parameters!E62</f>
        <v>Major Eqt - Other</v>
      </c>
      <c r="H141" s="586">
        <f t="shared" si="55"/>
        <v>0</v>
      </c>
      <c r="I141" s="170" t="str">
        <f>+Parameters!F62</f>
        <v>ea</v>
      </c>
      <c r="J141" s="170"/>
      <c r="K141" s="170"/>
      <c r="L141" s="170"/>
      <c r="M141" s="730"/>
      <c r="N141" s="730"/>
      <c r="O141" s="730"/>
      <c r="P141" s="731"/>
      <c r="Q141" s="731"/>
      <c r="R141" s="730"/>
      <c r="S141" s="730"/>
      <c r="T141" s="723"/>
      <c r="U141" s="724"/>
      <c r="V141" s="725"/>
      <c r="W141" s="725"/>
      <c r="X141" s="723"/>
      <c r="Y141" s="723"/>
      <c r="Z141" s="723"/>
      <c r="AA141" s="726"/>
      <c r="AB141" s="726"/>
      <c r="AC141" s="170"/>
      <c r="AD141" s="586">
        <f t="shared" si="59"/>
        <v>0</v>
      </c>
      <c r="AE141" s="586">
        <f t="shared" si="58"/>
        <v>0</v>
      </c>
      <c r="AF141" s="586">
        <f t="shared" si="58"/>
        <v>0</v>
      </c>
      <c r="AG141" s="586">
        <f t="shared" si="58"/>
        <v>0</v>
      </c>
      <c r="AH141" s="586">
        <f t="shared" si="58"/>
        <v>0</v>
      </c>
      <c r="AI141" s="586">
        <f t="shared" si="58"/>
        <v>0</v>
      </c>
      <c r="AJ141" s="586">
        <f t="shared" si="58"/>
        <v>0</v>
      </c>
      <c r="AK141" s="586">
        <f t="shared" si="58"/>
        <v>0</v>
      </c>
      <c r="AL141" s="586">
        <f t="shared" si="58"/>
        <v>0</v>
      </c>
      <c r="AM141" s="586">
        <f t="shared" si="58"/>
        <v>0</v>
      </c>
      <c r="AN141" s="586">
        <f t="shared" si="58"/>
        <v>0</v>
      </c>
      <c r="AO141" s="586">
        <f t="shared" si="58"/>
        <v>0</v>
      </c>
      <c r="AP141" s="586">
        <f t="shared" si="58"/>
        <v>0</v>
      </c>
      <c r="AQ141" s="586">
        <f t="shared" si="58"/>
        <v>0</v>
      </c>
      <c r="AR141" s="586">
        <f t="shared" si="58"/>
        <v>0</v>
      </c>
      <c r="AS141" s="586">
        <f t="shared" si="58"/>
        <v>0</v>
      </c>
      <c r="AT141" s="170"/>
      <c r="AU141" s="170"/>
      <c r="AV141" s="170"/>
      <c r="AW141" s="828"/>
      <c r="AX141" s="726"/>
    </row>
    <row r="142" spans="1:50" ht="15" x14ac:dyDescent="0.25">
      <c r="A142" s="170"/>
      <c r="B142" s="719"/>
      <c r="C142" s="170" t="str">
        <f t="shared" si="53"/>
        <v>600</v>
      </c>
      <c r="D142" s="170"/>
      <c r="E142" s="170"/>
      <c r="F142" s="170">
        <f>+Parameters!D63</f>
        <v>60</v>
      </c>
      <c r="G142" s="170">
        <f>+Parameters!E63</f>
        <v>0</v>
      </c>
      <c r="H142" s="586">
        <f t="shared" si="55"/>
        <v>0</v>
      </c>
      <c r="I142" s="170">
        <f>+Parameters!F63</f>
        <v>0</v>
      </c>
      <c r="J142" s="170"/>
      <c r="K142" s="170"/>
      <c r="L142" s="170"/>
      <c r="M142" s="730"/>
      <c r="N142" s="730"/>
      <c r="O142" s="730"/>
      <c r="P142" s="731"/>
      <c r="Q142" s="731"/>
      <c r="R142" s="730"/>
      <c r="S142" s="730"/>
      <c r="T142" s="723"/>
      <c r="U142" s="724"/>
      <c r="V142" s="725"/>
      <c r="W142" s="725"/>
      <c r="X142" s="723"/>
      <c r="Y142" s="723"/>
      <c r="Z142" s="723"/>
      <c r="AA142" s="726"/>
      <c r="AB142" s="726"/>
      <c r="AC142" s="170"/>
      <c r="AD142" s="586">
        <f t="shared" si="59"/>
        <v>0</v>
      </c>
      <c r="AE142" s="586">
        <f t="shared" si="58"/>
        <v>0</v>
      </c>
      <c r="AF142" s="586">
        <f t="shared" si="58"/>
        <v>0</v>
      </c>
      <c r="AG142" s="586">
        <f t="shared" si="58"/>
        <v>0</v>
      </c>
      <c r="AH142" s="586">
        <f t="shared" si="58"/>
        <v>0</v>
      </c>
      <c r="AI142" s="586">
        <f t="shared" si="58"/>
        <v>0</v>
      </c>
      <c r="AJ142" s="586">
        <f t="shared" si="58"/>
        <v>0</v>
      </c>
      <c r="AK142" s="586">
        <f t="shared" si="58"/>
        <v>0</v>
      </c>
      <c r="AL142" s="586">
        <f t="shared" si="58"/>
        <v>0</v>
      </c>
      <c r="AM142" s="586">
        <f t="shared" si="58"/>
        <v>0</v>
      </c>
      <c r="AN142" s="586">
        <f t="shared" si="58"/>
        <v>0</v>
      </c>
      <c r="AO142" s="586">
        <f t="shared" si="58"/>
        <v>0</v>
      </c>
      <c r="AP142" s="586">
        <f t="shared" si="58"/>
        <v>0</v>
      </c>
      <c r="AQ142" s="586">
        <f t="shared" si="58"/>
        <v>0</v>
      </c>
      <c r="AR142" s="586">
        <f t="shared" si="58"/>
        <v>0</v>
      </c>
      <c r="AS142" s="586">
        <f t="shared" si="58"/>
        <v>0</v>
      </c>
      <c r="AT142" s="170"/>
      <c r="AU142" s="170"/>
      <c r="AV142" s="170"/>
      <c r="AW142" s="828"/>
      <c r="AX142" s="726"/>
    </row>
    <row r="143" spans="1:50" ht="15" x14ac:dyDescent="0.25">
      <c r="A143" s="170"/>
      <c r="B143" s="719"/>
      <c r="C143" s="170" t="str">
        <f t="shared" si="53"/>
        <v>610</v>
      </c>
      <c r="D143" s="170"/>
      <c r="E143" s="170"/>
      <c r="F143" s="170">
        <f>+Parameters!D64</f>
        <v>61</v>
      </c>
      <c r="G143" s="170">
        <f>+Parameters!E64</f>
        <v>0</v>
      </c>
      <c r="H143" s="586">
        <f t="shared" si="55"/>
        <v>0</v>
      </c>
      <c r="I143" s="170">
        <f>+Parameters!F64</f>
        <v>0</v>
      </c>
      <c r="J143" s="170"/>
      <c r="K143" s="170"/>
      <c r="L143" s="170"/>
      <c r="M143" s="730"/>
      <c r="N143" s="730"/>
      <c r="O143" s="730"/>
      <c r="P143" s="731"/>
      <c r="Q143" s="731"/>
      <c r="R143" s="730"/>
      <c r="S143" s="730"/>
      <c r="T143" s="723"/>
      <c r="U143" s="724"/>
      <c r="V143" s="725"/>
      <c r="W143" s="725"/>
      <c r="X143" s="723"/>
      <c r="Y143" s="723"/>
      <c r="Z143" s="723"/>
      <c r="AA143" s="726"/>
      <c r="AB143" s="726"/>
      <c r="AC143" s="170"/>
      <c r="AD143" s="586">
        <f t="shared" si="59"/>
        <v>0</v>
      </c>
      <c r="AE143" s="586">
        <f t="shared" si="58"/>
        <v>0</v>
      </c>
      <c r="AF143" s="586">
        <f t="shared" si="58"/>
        <v>0</v>
      </c>
      <c r="AG143" s="586">
        <f t="shared" si="58"/>
        <v>0</v>
      </c>
      <c r="AH143" s="586">
        <f t="shared" si="58"/>
        <v>0</v>
      </c>
      <c r="AI143" s="586">
        <f t="shared" si="58"/>
        <v>0</v>
      </c>
      <c r="AJ143" s="586">
        <f t="shared" si="58"/>
        <v>0</v>
      </c>
      <c r="AK143" s="586">
        <f t="shared" si="58"/>
        <v>0</v>
      </c>
      <c r="AL143" s="586">
        <f t="shared" si="58"/>
        <v>0</v>
      </c>
      <c r="AM143" s="586">
        <f t="shared" si="58"/>
        <v>0</v>
      </c>
      <c r="AN143" s="586">
        <f t="shared" si="58"/>
        <v>0</v>
      </c>
      <c r="AO143" s="586">
        <f t="shared" si="58"/>
        <v>0</v>
      </c>
      <c r="AP143" s="586">
        <f t="shared" si="58"/>
        <v>0</v>
      </c>
      <c r="AQ143" s="586">
        <f t="shared" si="58"/>
        <v>0</v>
      </c>
      <c r="AR143" s="586">
        <f t="shared" si="58"/>
        <v>0</v>
      </c>
      <c r="AS143" s="586">
        <f t="shared" si="58"/>
        <v>0</v>
      </c>
      <c r="AT143" s="170"/>
      <c r="AU143" s="170"/>
      <c r="AV143" s="170"/>
      <c r="AW143" s="828"/>
      <c r="AX143" s="726"/>
    </row>
    <row r="144" spans="1:50" ht="15" x14ac:dyDescent="0.25">
      <c r="A144" s="170"/>
      <c r="B144" s="719"/>
      <c r="C144" s="170" t="str">
        <f t="shared" si="53"/>
        <v>620</v>
      </c>
      <c r="D144" s="170"/>
      <c r="E144" s="170"/>
      <c r="F144" s="170">
        <f>+Parameters!D65</f>
        <v>62</v>
      </c>
      <c r="G144" s="170">
        <f>+Parameters!E65</f>
        <v>0</v>
      </c>
      <c r="H144" s="586">
        <f t="shared" si="55"/>
        <v>0</v>
      </c>
      <c r="I144" s="170">
        <f>+Parameters!F65</f>
        <v>0</v>
      </c>
      <c r="J144" s="170"/>
      <c r="K144" s="170"/>
      <c r="L144" s="170"/>
      <c r="M144" s="730"/>
      <c r="N144" s="730"/>
      <c r="O144" s="730"/>
      <c r="P144" s="731"/>
      <c r="Q144" s="731"/>
      <c r="R144" s="730"/>
      <c r="S144" s="730"/>
      <c r="T144" s="723"/>
      <c r="U144" s="724"/>
      <c r="V144" s="725"/>
      <c r="W144" s="725"/>
      <c r="X144" s="723"/>
      <c r="Y144" s="723"/>
      <c r="Z144" s="723"/>
      <c r="AA144" s="726"/>
      <c r="AB144" s="726"/>
      <c r="AC144" s="170"/>
      <c r="AD144" s="586">
        <f t="shared" si="59"/>
        <v>0</v>
      </c>
      <c r="AE144" s="586">
        <f t="shared" si="58"/>
        <v>0</v>
      </c>
      <c r="AF144" s="586">
        <f t="shared" si="58"/>
        <v>0</v>
      </c>
      <c r="AG144" s="586">
        <f t="shared" si="58"/>
        <v>0</v>
      </c>
      <c r="AH144" s="586">
        <f t="shared" si="58"/>
        <v>0</v>
      </c>
      <c r="AI144" s="586">
        <f t="shared" si="58"/>
        <v>0</v>
      </c>
      <c r="AJ144" s="586">
        <f t="shared" si="58"/>
        <v>0</v>
      </c>
      <c r="AK144" s="586">
        <f t="shared" si="58"/>
        <v>0</v>
      </c>
      <c r="AL144" s="586">
        <f t="shared" si="58"/>
        <v>0</v>
      </c>
      <c r="AM144" s="586">
        <f t="shared" si="58"/>
        <v>0</v>
      </c>
      <c r="AN144" s="586">
        <f t="shared" si="58"/>
        <v>0</v>
      </c>
      <c r="AO144" s="586">
        <f t="shared" si="58"/>
        <v>0</v>
      </c>
      <c r="AP144" s="586">
        <f t="shared" si="58"/>
        <v>0</v>
      </c>
      <c r="AQ144" s="586">
        <f t="shared" si="58"/>
        <v>0</v>
      </c>
      <c r="AR144" s="586">
        <f t="shared" si="58"/>
        <v>0</v>
      </c>
      <c r="AS144" s="586">
        <f t="shared" si="58"/>
        <v>0</v>
      </c>
      <c r="AT144" s="170"/>
      <c r="AU144" s="170"/>
      <c r="AV144" s="170"/>
      <c r="AW144" s="828"/>
      <c r="AX144" s="726"/>
    </row>
    <row r="145" spans="1:50" ht="15" x14ac:dyDescent="0.25">
      <c r="A145" s="170"/>
      <c r="B145" s="719"/>
      <c r="C145" s="170" t="str">
        <f t="shared" si="53"/>
        <v>63lf</v>
      </c>
      <c r="D145" s="170"/>
      <c r="E145" s="170"/>
      <c r="F145" s="170">
        <f>+Parameters!D66</f>
        <v>63</v>
      </c>
      <c r="G145" s="170" t="str">
        <f>+Parameters!E66</f>
        <v>Misc. Eqt - Bus</v>
      </c>
      <c r="H145" s="586">
        <f t="shared" si="55"/>
        <v>0</v>
      </c>
      <c r="I145" s="170" t="str">
        <f>+Parameters!F66</f>
        <v>lf</v>
      </c>
      <c r="J145" s="170"/>
      <c r="K145" s="170"/>
      <c r="L145" s="170"/>
      <c r="M145" s="730"/>
      <c r="N145" s="730"/>
      <c r="O145" s="730"/>
      <c r="P145" s="731"/>
      <c r="Q145" s="731"/>
      <c r="R145" s="730"/>
      <c r="S145" s="730"/>
      <c r="T145" s="723"/>
      <c r="U145" s="724"/>
      <c r="V145" s="725"/>
      <c r="W145" s="725"/>
      <c r="X145" s="723"/>
      <c r="Y145" s="723"/>
      <c r="Z145" s="723"/>
      <c r="AA145" s="726"/>
      <c r="AB145" s="726"/>
      <c r="AC145" s="170"/>
      <c r="AD145" s="586">
        <f t="shared" si="59"/>
        <v>0</v>
      </c>
      <c r="AE145" s="586">
        <f t="shared" si="58"/>
        <v>0</v>
      </c>
      <c r="AF145" s="586">
        <f t="shared" si="58"/>
        <v>0</v>
      </c>
      <c r="AG145" s="586">
        <f t="shared" si="58"/>
        <v>0</v>
      </c>
      <c r="AH145" s="586">
        <f t="shared" si="58"/>
        <v>0</v>
      </c>
      <c r="AI145" s="586">
        <f t="shared" si="58"/>
        <v>0</v>
      </c>
      <c r="AJ145" s="586">
        <f t="shared" si="58"/>
        <v>0</v>
      </c>
      <c r="AK145" s="586">
        <f t="shared" si="58"/>
        <v>0</v>
      </c>
      <c r="AL145" s="586">
        <f t="shared" si="58"/>
        <v>0</v>
      </c>
      <c r="AM145" s="586">
        <f t="shared" si="58"/>
        <v>0</v>
      </c>
      <c r="AN145" s="586">
        <f t="shared" si="58"/>
        <v>0</v>
      </c>
      <c r="AO145" s="586">
        <f t="shared" si="58"/>
        <v>0</v>
      </c>
      <c r="AP145" s="586">
        <f t="shared" si="58"/>
        <v>0</v>
      </c>
      <c r="AQ145" s="586">
        <f t="shared" si="58"/>
        <v>0</v>
      </c>
      <c r="AR145" s="586">
        <f t="shared" si="58"/>
        <v>0</v>
      </c>
      <c r="AS145" s="586">
        <f t="shared" si="58"/>
        <v>0</v>
      </c>
      <c r="AT145" s="170"/>
      <c r="AU145" s="170"/>
      <c r="AV145" s="170"/>
      <c r="AW145" s="828"/>
      <c r="AX145" s="726"/>
    </row>
    <row r="146" spans="1:50" ht="15" x14ac:dyDescent="0.25">
      <c r="A146" s="170"/>
      <c r="B146" s="719"/>
      <c r="C146" s="170" t="str">
        <f t="shared" si="53"/>
        <v>64lf</v>
      </c>
      <c r="D146" s="170"/>
      <c r="E146" s="170"/>
      <c r="F146" s="170">
        <f>+Parameters!D67</f>
        <v>64</v>
      </c>
      <c r="G146" s="170" t="str">
        <f>+Parameters!E67</f>
        <v>Misc. Eqt - Conduit / Tray</v>
      </c>
      <c r="H146" s="586">
        <f t="shared" si="55"/>
        <v>0</v>
      </c>
      <c r="I146" s="170" t="str">
        <f>+Parameters!F67</f>
        <v>lf</v>
      </c>
      <c r="J146" s="170"/>
      <c r="K146" s="170"/>
      <c r="L146" s="170"/>
      <c r="M146" s="730"/>
      <c r="N146" s="730"/>
      <c r="O146" s="730"/>
      <c r="P146" s="731"/>
      <c r="Q146" s="731"/>
      <c r="R146" s="730"/>
      <c r="S146" s="730"/>
      <c r="T146" s="723"/>
      <c r="U146" s="724"/>
      <c r="V146" s="725"/>
      <c r="W146" s="725"/>
      <c r="X146" s="723"/>
      <c r="Y146" s="723"/>
      <c r="Z146" s="723"/>
      <c r="AA146" s="726"/>
      <c r="AB146" s="726"/>
      <c r="AC146" s="170"/>
      <c r="AD146" s="586">
        <f t="shared" si="59"/>
        <v>0</v>
      </c>
      <c r="AE146" s="586">
        <f t="shared" si="58"/>
        <v>0</v>
      </c>
      <c r="AF146" s="586">
        <f t="shared" si="58"/>
        <v>0</v>
      </c>
      <c r="AG146" s="586">
        <f t="shared" si="58"/>
        <v>0</v>
      </c>
      <c r="AH146" s="586">
        <f t="shared" si="58"/>
        <v>0</v>
      </c>
      <c r="AI146" s="586">
        <f t="shared" si="58"/>
        <v>0</v>
      </c>
      <c r="AJ146" s="586">
        <f t="shared" si="58"/>
        <v>0</v>
      </c>
      <c r="AK146" s="586">
        <f t="shared" si="58"/>
        <v>0</v>
      </c>
      <c r="AL146" s="586">
        <f t="shared" si="58"/>
        <v>0</v>
      </c>
      <c r="AM146" s="586">
        <f t="shared" si="58"/>
        <v>0</v>
      </c>
      <c r="AN146" s="586">
        <f t="shared" si="58"/>
        <v>0</v>
      </c>
      <c r="AO146" s="586">
        <f t="shared" si="58"/>
        <v>0</v>
      </c>
      <c r="AP146" s="586">
        <f t="shared" si="58"/>
        <v>0</v>
      </c>
      <c r="AQ146" s="586">
        <f t="shared" si="58"/>
        <v>0</v>
      </c>
      <c r="AR146" s="586">
        <f t="shared" si="58"/>
        <v>0</v>
      </c>
      <c r="AS146" s="586">
        <f t="shared" ref="AE146:AS163" si="60">SUMIF($F$9:$F$79,$F146,AS$9:AS$79)</f>
        <v>0</v>
      </c>
      <c r="AT146" s="170"/>
      <c r="AU146" s="170"/>
      <c r="AV146" s="170"/>
      <c r="AW146" s="828"/>
      <c r="AX146" s="726"/>
    </row>
    <row r="147" spans="1:50" ht="15" x14ac:dyDescent="0.25">
      <c r="A147" s="170"/>
      <c r="B147" s="719"/>
      <c r="C147" s="170" t="str">
        <f t="shared" ref="C147:C181" si="61">+F147&amp;I147</f>
        <v>65ea</v>
      </c>
      <c r="D147" s="170"/>
      <c r="E147" s="170"/>
      <c r="F147" s="170">
        <f>+Parameters!D68</f>
        <v>65</v>
      </c>
      <c r="G147" s="170" t="str">
        <f>+Parameters!E68</f>
        <v>Misc. Eqt - Insulators</v>
      </c>
      <c r="H147" s="586">
        <f t="shared" si="55"/>
        <v>0</v>
      </c>
      <c r="I147" s="170" t="str">
        <f>+Parameters!F68</f>
        <v>ea</v>
      </c>
      <c r="J147" s="170"/>
      <c r="K147" s="170"/>
      <c r="L147" s="170"/>
      <c r="M147" s="730"/>
      <c r="N147" s="730"/>
      <c r="O147" s="730"/>
      <c r="P147" s="731"/>
      <c r="Q147" s="731"/>
      <c r="R147" s="730"/>
      <c r="S147" s="730"/>
      <c r="T147" s="723"/>
      <c r="U147" s="724"/>
      <c r="V147" s="725"/>
      <c r="W147" s="725"/>
      <c r="X147" s="723"/>
      <c r="Y147" s="723"/>
      <c r="Z147" s="723"/>
      <c r="AA147" s="726"/>
      <c r="AB147" s="726"/>
      <c r="AC147" s="170"/>
      <c r="AD147" s="586">
        <f t="shared" si="59"/>
        <v>0</v>
      </c>
      <c r="AE147" s="586">
        <f t="shared" si="60"/>
        <v>0</v>
      </c>
      <c r="AF147" s="586">
        <f t="shared" si="60"/>
        <v>0</v>
      </c>
      <c r="AG147" s="586">
        <f t="shared" si="60"/>
        <v>0</v>
      </c>
      <c r="AH147" s="586">
        <f t="shared" si="60"/>
        <v>0</v>
      </c>
      <c r="AI147" s="586">
        <f t="shared" si="60"/>
        <v>0</v>
      </c>
      <c r="AJ147" s="586">
        <f t="shared" si="60"/>
        <v>0</v>
      </c>
      <c r="AK147" s="586">
        <f t="shared" si="60"/>
        <v>0</v>
      </c>
      <c r="AL147" s="586">
        <f t="shared" si="60"/>
        <v>0</v>
      </c>
      <c r="AM147" s="586">
        <f t="shared" si="60"/>
        <v>0</v>
      </c>
      <c r="AN147" s="586">
        <f t="shared" si="60"/>
        <v>0</v>
      </c>
      <c r="AO147" s="586">
        <f t="shared" si="60"/>
        <v>0</v>
      </c>
      <c r="AP147" s="586">
        <f t="shared" si="60"/>
        <v>0</v>
      </c>
      <c r="AQ147" s="586">
        <f t="shared" si="60"/>
        <v>0</v>
      </c>
      <c r="AR147" s="586">
        <f t="shared" si="60"/>
        <v>0</v>
      </c>
      <c r="AS147" s="586">
        <f t="shared" si="60"/>
        <v>0</v>
      </c>
      <c r="AT147" s="170"/>
      <c r="AU147" s="170"/>
      <c r="AV147" s="170"/>
      <c r="AW147" s="828"/>
      <c r="AX147" s="726"/>
    </row>
    <row r="148" spans="1:50" ht="15" x14ac:dyDescent="0.25">
      <c r="A148" s="170"/>
      <c r="B148" s="719"/>
      <c r="C148" s="170" t="str">
        <f t="shared" si="61"/>
        <v>66ea</v>
      </c>
      <c r="D148" s="170"/>
      <c r="E148" s="170"/>
      <c r="F148" s="170">
        <f>+Parameters!D69</f>
        <v>66</v>
      </c>
      <c r="G148" s="170" t="str">
        <f>+Parameters!E69</f>
        <v>Misc. Eqt - LA's</v>
      </c>
      <c r="H148" s="586">
        <f t="shared" ref="H148:H181" si="62">SUMIF($C$9:$C$79,$C148,H$9:H$79)</f>
        <v>0</v>
      </c>
      <c r="I148" s="170" t="str">
        <f>+Parameters!F69</f>
        <v>ea</v>
      </c>
      <c r="J148" s="170"/>
      <c r="K148" s="170"/>
      <c r="L148" s="170"/>
      <c r="M148" s="730"/>
      <c r="N148" s="730"/>
      <c r="O148" s="730"/>
      <c r="P148" s="731"/>
      <c r="Q148" s="731"/>
      <c r="R148" s="730"/>
      <c r="S148" s="730"/>
      <c r="T148" s="723"/>
      <c r="U148" s="724"/>
      <c r="V148" s="725"/>
      <c r="W148" s="725"/>
      <c r="X148" s="723"/>
      <c r="Y148" s="723"/>
      <c r="Z148" s="723"/>
      <c r="AA148" s="726"/>
      <c r="AB148" s="726"/>
      <c r="AC148" s="170"/>
      <c r="AD148" s="586">
        <f t="shared" si="59"/>
        <v>0</v>
      </c>
      <c r="AE148" s="586">
        <f t="shared" si="60"/>
        <v>0</v>
      </c>
      <c r="AF148" s="586">
        <f t="shared" si="60"/>
        <v>0</v>
      </c>
      <c r="AG148" s="586">
        <f t="shared" si="60"/>
        <v>0</v>
      </c>
      <c r="AH148" s="586">
        <f t="shared" si="60"/>
        <v>0</v>
      </c>
      <c r="AI148" s="586">
        <f t="shared" si="60"/>
        <v>0</v>
      </c>
      <c r="AJ148" s="586">
        <f t="shared" si="60"/>
        <v>0</v>
      </c>
      <c r="AK148" s="586">
        <f t="shared" si="60"/>
        <v>0</v>
      </c>
      <c r="AL148" s="586">
        <f t="shared" si="60"/>
        <v>0</v>
      </c>
      <c r="AM148" s="586">
        <f t="shared" si="60"/>
        <v>0</v>
      </c>
      <c r="AN148" s="586">
        <f t="shared" si="60"/>
        <v>0</v>
      </c>
      <c r="AO148" s="586">
        <f t="shared" si="60"/>
        <v>0</v>
      </c>
      <c r="AP148" s="586">
        <f t="shared" si="60"/>
        <v>0</v>
      </c>
      <c r="AQ148" s="586">
        <f t="shared" si="60"/>
        <v>0</v>
      </c>
      <c r="AR148" s="586">
        <f t="shared" si="60"/>
        <v>0</v>
      </c>
      <c r="AS148" s="586">
        <f t="shared" si="60"/>
        <v>0</v>
      </c>
      <c r="AT148" s="170"/>
      <c r="AU148" s="170"/>
      <c r="AV148" s="170"/>
      <c r="AW148" s="828"/>
      <c r="AX148" s="726"/>
    </row>
    <row r="149" spans="1:50" ht="15" x14ac:dyDescent="0.25">
      <c r="A149" s="170"/>
      <c r="B149" s="719"/>
      <c r="C149" s="170" t="str">
        <f t="shared" si="61"/>
        <v>67ea</v>
      </c>
      <c r="D149" s="170"/>
      <c r="E149" s="170"/>
      <c r="F149" s="170">
        <f>+Parameters!D70</f>
        <v>67</v>
      </c>
      <c r="G149" s="170" t="str">
        <f>+Parameters!E70</f>
        <v>Misc. Eqt - CCVT</v>
      </c>
      <c r="H149" s="586">
        <f t="shared" si="62"/>
        <v>0</v>
      </c>
      <c r="I149" s="170" t="str">
        <f>+Parameters!F70</f>
        <v>ea</v>
      </c>
      <c r="J149" s="170"/>
      <c r="K149" s="170"/>
      <c r="L149" s="170"/>
      <c r="M149" s="730"/>
      <c r="N149" s="730"/>
      <c r="O149" s="730"/>
      <c r="P149" s="731"/>
      <c r="Q149" s="731"/>
      <c r="R149" s="730"/>
      <c r="S149" s="730"/>
      <c r="T149" s="723"/>
      <c r="U149" s="724"/>
      <c r="V149" s="725"/>
      <c r="W149" s="725"/>
      <c r="X149" s="723"/>
      <c r="Y149" s="723"/>
      <c r="Z149" s="723"/>
      <c r="AA149" s="726"/>
      <c r="AB149" s="726"/>
      <c r="AC149" s="170"/>
      <c r="AD149" s="586">
        <f t="shared" si="59"/>
        <v>0</v>
      </c>
      <c r="AE149" s="586">
        <f t="shared" si="60"/>
        <v>0</v>
      </c>
      <c r="AF149" s="586">
        <f t="shared" si="60"/>
        <v>0</v>
      </c>
      <c r="AG149" s="586">
        <f t="shared" si="60"/>
        <v>0</v>
      </c>
      <c r="AH149" s="586">
        <f t="shared" si="60"/>
        <v>0</v>
      </c>
      <c r="AI149" s="586">
        <f t="shared" si="60"/>
        <v>0</v>
      </c>
      <c r="AJ149" s="586">
        <f t="shared" si="60"/>
        <v>0</v>
      </c>
      <c r="AK149" s="586">
        <f t="shared" si="60"/>
        <v>0</v>
      </c>
      <c r="AL149" s="586">
        <f t="shared" si="60"/>
        <v>0</v>
      </c>
      <c r="AM149" s="586">
        <f t="shared" si="60"/>
        <v>0</v>
      </c>
      <c r="AN149" s="586">
        <f t="shared" si="60"/>
        <v>0</v>
      </c>
      <c r="AO149" s="586">
        <f t="shared" si="60"/>
        <v>0</v>
      </c>
      <c r="AP149" s="586">
        <f t="shared" si="60"/>
        <v>0</v>
      </c>
      <c r="AQ149" s="586">
        <f t="shared" si="60"/>
        <v>0</v>
      </c>
      <c r="AR149" s="586">
        <f t="shared" si="60"/>
        <v>0</v>
      </c>
      <c r="AS149" s="586">
        <f t="shared" si="60"/>
        <v>0</v>
      </c>
      <c r="AT149" s="170"/>
      <c r="AU149" s="170"/>
      <c r="AV149" s="170"/>
      <c r="AW149" s="828"/>
      <c r="AX149" s="726"/>
    </row>
    <row r="150" spans="1:50" ht="15" x14ac:dyDescent="0.25">
      <c r="A150" s="170"/>
      <c r="B150" s="719"/>
      <c r="C150" s="170" t="str">
        <f t="shared" si="61"/>
        <v>680</v>
      </c>
      <c r="D150" s="170"/>
      <c r="E150" s="170"/>
      <c r="F150" s="170">
        <f>+Parameters!D71</f>
        <v>68</v>
      </c>
      <c r="G150" s="170">
        <f>+Parameters!E71</f>
        <v>0</v>
      </c>
      <c r="H150" s="586">
        <f t="shared" si="62"/>
        <v>0</v>
      </c>
      <c r="I150" s="170">
        <f>+Parameters!F71</f>
        <v>0</v>
      </c>
      <c r="J150" s="170"/>
      <c r="K150" s="170"/>
      <c r="L150" s="170"/>
      <c r="M150" s="730"/>
      <c r="N150" s="730"/>
      <c r="O150" s="730"/>
      <c r="P150" s="731"/>
      <c r="Q150" s="731"/>
      <c r="R150" s="730"/>
      <c r="S150" s="730"/>
      <c r="T150" s="723"/>
      <c r="U150" s="724"/>
      <c r="V150" s="725"/>
      <c r="W150" s="725"/>
      <c r="X150" s="723"/>
      <c r="Y150" s="723"/>
      <c r="Z150" s="723"/>
      <c r="AA150" s="726"/>
      <c r="AB150" s="726"/>
      <c r="AC150" s="170"/>
      <c r="AD150" s="586">
        <f t="shared" si="59"/>
        <v>0</v>
      </c>
      <c r="AE150" s="586">
        <f t="shared" si="60"/>
        <v>0</v>
      </c>
      <c r="AF150" s="586">
        <f t="shared" si="60"/>
        <v>0</v>
      </c>
      <c r="AG150" s="586">
        <f t="shared" si="60"/>
        <v>0</v>
      </c>
      <c r="AH150" s="586">
        <f t="shared" si="60"/>
        <v>0</v>
      </c>
      <c r="AI150" s="586">
        <f t="shared" si="60"/>
        <v>0</v>
      </c>
      <c r="AJ150" s="586">
        <f t="shared" si="60"/>
        <v>0</v>
      </c>
      <c r="AK150" s="586">
        <f t="shared" si="60"/>
        <v>0</v>
      </c>
      <c r="AL150" s="586">
        <f t="shared" si="60"/>
        <v>0</v>
      </c>
      <c r="AM150" s="586">
        <f t="shared" si="60"/>
        <v>0</v>
      </c>
      <c r="AN150" s="586">
        <f t="shared" si="60"/>
        <v>0</v>
      </c>
      <c r="AO150" s="586">
        <f t="shared" si="60"/>
        <v>0</v>
      </c>
      <c r="AP150" s="586">
        <f t="shared" si="60"/>
        <v>0</v>
      </c>
      <c r="AQ150" s="586">
        <f t="shared" si="60"/>
        <v>0</v>
      </c>
      <c r="AR150" s="586">
        <f t="shared" si="60"/>
        <v>0</v>
      </c>
      <c r="AS150" s="586">
        <f t="shared" si="60"/>
        <v>0</v>
      </c>
      <c r="AT150" s="170"/>
      <c r="AU150" s="170"/>
      <c r="AV150" s="170"/>
      <c r="AW150" s="828"/>
      <c r="AX150" s="726"/>
    </row>
    <row r="151" spans="1:50" ht="15" x14ac:dyDescent="0.25">
      <c r="A151" s="170"/>
      <c r="B151" s="719"/>
      <c r="C151" s="170" t="str">
        <f t="shared" si="61"/>
        <v>69ea</v>
      </c>
      <c r="D151" s="170"/>
      <c r="E151" s="170"/>
      <c r="F151" s="170">
        <f>+Parameters!D72</f>
        <v>69</v>
      </c>
      <c r="G151" s="170" t="str">
        <f>+Parameters!E72</f>
        <v>Misc. Eqt - Other</v>
      </c>
      <c r="H151" s="586">
        <f t="shared" si="62"/>
        <v>0</v>
      </c>
      <c r="I151" s="170" t="str">
        <f>+Parameters!F72</f>
        <v>ea</v>
      </c>
      <c r="J151" s="170"/>
      <c r="K151" s="170"/>
      <c r="L151" s="170"/>
      <c r="M151" s="730"/>
      <c r="N151" s="730"/>
      <c r="O151" s="730"/>
      <c r="P151" s="731"/>
      <c r="Q151" s="731"/>
      <c r="R151" s="730"/>
      <c r="S151" s="730"/>
      <c r="T151" s="723"/>
      <c r="U151" s="724"/>
      <c r="V151" s="725"/>
      <c r="W151" s="725"/>
      <c r="X151" s="723"/>
      <c r="Y151" s="723"/>
      <c r="Z151" s="723"/>
      <c r="AA151" s="726"/>
      <c r="AB151" s="726"/>
      <c r="AC151" s="170"/>
      <c r="AD151" s="586">
        <f t="shared" si="59"/>
        <v>0</v>
      </c>
      <c r="AE151" s="586">
        <f t="shared" si="60"/>
        <v>0</v>
      </c>
      <c r="AF151" s="586">
        <f t="shared" si="60"/>
        <v>0</v>
      </c>
      <c r="AG151" s="586">
        <f t="shared" si="60"/>
        <v>0</v>
      </c>
      <c r="AH151" s="586">
        <f t="shared" si="60"/>
        <v>0</v>
      </c>
      <c r="AI151" s="586">
        <f t="shared" si="60"/>
        <v>0</v>
      </c>
      <c r="AJ151" s="586">
        <f t="shared" si="60"/>
        <v>0</v>
      </c>
      <c r="AK151" s="586">
        <f t="shared" si="60"/>
        <v>0</v>
      </c>
      <c r="AL151" s="586">
        <f t="shared" si="60"/>
        <v>0</v>
      </c>
      <c r="AM151" s="586">
        <f t="shared" si="60"/>
        <v>0</v>
      </c>
      <c r="AN151" s="586">
        <f t="shared" si="60"/>
        <v>0</v>
      </c>
      <c r="AO151" s="586">
        <f t="shared" si="60"/>
        <v>0</v>
      </c>
      <c r="AP151" s="586">
        <f t="shared" si="60"/>
        <v>0</v>
      </c>
      <c r="AQ151" s="586">
        <f t="shared" si="60"/>
        <v>0</v>
      </c>
      <c r="AR151" s="586">
        <f t="shared" si="60"/>
        <v>0</v>
      </c>
      <c r="AS151" s="586">
        <f t="shared" si="60"/>
        <v>0</v>
      </c>
      <c r="AT151" s="170"/>
      <c r="AU151" s="170"/>
      <c r="AV151" s="170"/>
      <c r="AW151" s="828"/>
      <c r="AX151" s="726"/>
    </row>
    <row r="152" spans="1:50" ht="15" x14ac:dyDescent="0.25">
      <c r="A152" s="170"/>
      <c r="B152" s="719"/>
      <c r="C152" s="170" t="str">
        <f t="shared" si="61"/>
        <v>700</v>
      </c>
      <c r="D152" s="170"/>
      <c r="E152" s="170"/>
      <c r="F152" s="170">
        <f>+Parameters!D73</f>
        <v>70</v>
      </c>
      <c r="G152" s="170" t="str">
        <f>+Parameters!E73</f>
        <v>Control house Buidling</v>
      </c>
      <c r="H152" s="586">
        <f t="shared" si="62"/>
        <v>0</v>
      </c>
      <c r="I152" s="170">
        <f>+Parameters!F73</f>
        <v>0</v>
      </c>
      <c r="J152" s="170"/>
      <c r="K152" s="170"/>
      <c r="L152" s="170"/>
      <c r="M152" s="730"/>
      <c r="N152" s="730"/>
      <c r="O152" s="730"/>
      <c r="P152" s="731"/>
      <c r="Q152" s="731"/>
      <c r="R152" s="730"/>
      <c r="S152" s="730"/>
      <c r="T152" s="723"/>
      <c r="U152" s="724"/>
      <c r="V152" s="725"/>
      <c r="W152" s="725"/>
      <c r="X152" s="723"/>
      <c r="Y152" s="723"/>
      <c r="Z152" s="723"/>
      <c r="AA152" s="726"/>
      <c r="AB152" s="726"/>
      <c r="AC152" s="170"/>
      <c r="AD152" s="586">
        <f t="shared" si="59"/>
        <v>0</v>
      </c>
      <c r="AE152" s="586">
        <f t="shared" si="60"/>
        <v>0</v>
      </c>
      <c r="AF152" s="586">
        <f t="shared" si="60"/>
        <v>0</v>
      </c>
      <c r="AG152" s="586">
        <f t="shared" si="60"/>
        <v>0</v>
      </c>
      <c r="AH152" s="586">
        <f t="shared" si="60"/>
        <v>0</v>
      </c>
      <c r="AI152" s="586">
        <f t="shared" si="60"/>
        <v>0</v>
      </c>
      <c r="AJ152" s="586">
        <f t="shared" si="60"/>
        <v>0</v>
      </c>
      <c r="AK152" s="586">
        <f t="shared" si="60"/>
        <v>0</v>
      </c>
      <c r="AL152" s="586">
        <f t="shared" si="60"/>
        <v>0</v>
      </c>
      <c r="AM152" s="586">
        <f t="shared" si="60"/>
        <v>0</v>
      </c>
      <c r="AN152" s="586">
        <f t="shared" si="60"/>
        <v>0</v>
      </c>
      <c r="AO152" s="586">
        <f t="shared" si="60"/>
        <v>0</v>
      </c>
      <c r="AP152" s="586">
        <f t="shared" si="60"/>
        <v>0</v>
      </c>
      <c r="AQ152" s="586">
        <f t="shared" si="60"/>
        <v>0</v>
      </c>
      <c r="AR152" s="586">
        <f t="shared" si="60"/>
        <v>0</v>
      </c>
      <c r="AS152" s="586">
        <f t="shared" si="60"/>
        <v>0</v>
      </c>
      <c r="AT152" s="170"/>
      <c r="AU152" s="170"/>
      <c r="AV152" s="170"/>
      <c r="AW152" s="828"/>
      <c r="AX152" s="726"/>
    </row>
    <row r="153" spans="1:50" ht="15" x14ac:dyDescent="0.25">
      <c r="A153" s="170"/>
      <c r="B153" s="719"/>
      <c r="C153" s="170" t="str">
        <f t="shared" si="61"/>
        <v>710</v>
      </c>
      <c r="D153" s="170"/>
      <c r="E153" s="170"/>
      <c r="F153" s="170">
        <f>+Parameters!D74</f>
        <v>71</v>
      </c>
      <c r="G153" s="170" t="str">
        <f>+Parameters!E74</f>
        <v>Pre-Eng Building</v>
      </c>
      <c r="H153" s="586">
        <f t="shared" si="62"/>
        <v>0</v>
      </c>
      <c r="I153" s="170">
        <f>+Parameters!F74</f>
        <v>0</v>
      </c>
      <c r="J153" s="170"/>
      <c r="K153" s="170"/>
      <c r="L153" s="170"/>
      <c r="M153" s="730"/>
      <c r="N153" s="730"/>
      <c r="O153" s="730"/>
      <c r="P153" s="731"/>
      <c r="Q153" s="731"/>
      <c r="R153" s="730"/>
      <c r="S153" s="730"/>
      <c r="T153" s="723"/>
      <c r="U153" s="724"/>
      <c r="V153" s="725"/>
      <c r="W153" s="725"/>
      <c r="X153" s="723"/>
      <c r="Y153" s="723"/>
      <c r="Z153" s="723"/>
      <c r="AA153" s="726"/>
      <c r="AB153" s="726"/>
      <c r="AC153" s="170"/>
      <c r="AD153" s="586">
        <f t="shared" si="59"/>
        <v>0</v>
      </c>
      <c r="AE153" s="586">
        <f t="shared" si="60"/>
        <v>0</v>
      </c>
      <c r="AF153" s="586">
        <f t="shared" si="60"/>
        <v>0</v>
      </c>
      <c r="AG153" s="586">
        <f t="shared" si="60"/>
        <v>0</v>
      </c>
      <c r="AH153" s="586">
        <f t="shared" si="60"/>
        <v>0</v>
      </c>
      <c r="AI153" s="586">
        <f t="shared" si="60"/>
        <v>0</v>
      </c>
      <c r="AJ153" s="586">
        <f t="shared" si="60"/>
        <v>0</v>
      </c>
      <c r="AK153" s="586">
        <f t="shared" si="60"/>
        <v>0</v>
      </c>
      <c r="AL153" s="586">
        <f t="shared" si="60"/>
        <v>0</v>
      </c>
      <c r="AM153" s="586">
        <f t="shared" si="60"/>
        <v>0</v>
      </c>
      <c r="AN153" s="586">
        <f t="shared" si="60"/>
        <v>0</v>
      </c>
      <c r="AO153" s="586">
        <f t="shared" si="60"/>
        <v>0</v>
      </c>
      <c r="AP153" s="586">
        <f t="shared" si="60"/>
        <v>0</v>
      </c>
      <c r="AQ153" s="586">
        <f t="shared" si="60"/>
        <v>0</v>
      </c>
      <c r="AR153" s="586">
        <f t="shared" si="60"/>
        <v>0</v>
      </c>
      <c r="AS153" s="586">
        <f t="shared" si="60"/>
        <v>0</v>
      </c>
      <c r="AT153" s="170"/>
      <c r="AU153" s="170"/>
      <c r="AV153" s="170"/>
      <c r="AW153" s="828"/>
      <c r="AX153" s="726"/>
    </row>
    <row r="154" spans="1:50" ht="15" x14ac:dyDescent="0.25">
      <c r="A154" s="170"/>
      <c r="B154" s="719"/>
      <c r="C154" s="170" t="str">
        <f t="shared" si="61"/>
        <v>720</v>
      </c>
      <c r="D154" s="170"/>
      <c r="E154" s="170"/>
      <c r="F154" s="170">
        <f>+Parameters!D75</f>
        <v>72</v>
      </c>
      <c r="G154" s="170">
        <f>+Parameters!E75</f>
        <v>0</v>
      </c>
      <c r="H154" s="586">
        <f t="shared" si="62"/>
        <v>0</v>
      </c>
      <c r="I154" s="170">
        <f>+Parameters!F75</f>
        <v>0</v>
      </c>
      <c r="J154" s="170"/>
      <c r="K154" s="170"/>
      <c r="L154" s="170"/>
      <c r="M154" s="730"/>
      <c r="N154" s="730"/>
      <c r="O154" s="730"/>
      <c r="P154" s="731"/>
      <c r="Q154" s="731"/>
      <c r="R154" s="730"/>
      <c r="S154" s="730"/>
      <c r="T154" s="723"/>
      <c r="U154" s="724"/>
      <c r="V154" s="725"/>
      <c r="W154" s="725"/>
      <c r="X154" s="723"/>
      <c r="Y154" s="723"/>
      <c r="Z154" s="723"/>
      <c r="AA154" s="726"/>
      <c r="AB154" s="726"/>
      <c r="AC154" s="170"/>
      <c r="AD154" s="586">
        <f t="shared" si="59"/>
        <v>0</v>
      </c>
      <c r="AE154" s="586">
        <f t="shared" si="60"/>
        <v>0</v>
      </c>
      <c r="AF154" s="586">
        <f t="shared" si="60"/>
        <v>0</v>
      </c>
      <c r="AG154" s="586">
        <f t="shared" si="60"/>
        <v>0</v>
      </c>
      <c r="AH154" s="586">
        <f t="shared" si="60"/>
        <v>0</v>
      </c>
      <c r="AI154" s="586">
        <f t="shared" si="60"/>
        <v>0</v>
      </c>
      <c r="AJ154" s="586">
        <f t="shared" si="60"/>
        <v>0</v>
      </c>
      <c r="AK154" s="586">
        <f t="shared" si="60"/>
        <v>0</v>
      </c>
      <c r="AL154" s="586">
        <f t="shared" si="60"/>
        <v>0</v>
      </c>
      <c r="AM154" s="586">
        <f t="shared" si="60"/>
        <v>0</v>
      </c>
      <c r="AN154" s="586">
        <f t="shared" si="60"/>
        <v>0</v>
      </c>
      <c r="AO154" s="586">
        <f t="shared" si="60"/>
        <v>0</v>
      </c>
      <c r="AP154" s="586">
        <f t="shared" si="60"/>
        <v>0</v>
      </c>
      <c r="AQ154" s="586">
        <f t="shared" si="60"/>
        <v>0</v>
      </c>
      <c r="AR154" s="586">
        <f t="shared" si="60"/>
        <v>0</v>
      </c>
      <c r="AS154" s="586">
        <f t="shared" si="60"/>
        <v>0</v>
      </c>
      <c r="AT154" s="170"/>
      <c r="AU154" s="170"/>
      <c r="AV154" s="170"/>
      <c r="AW154" s="828"/>
      <c r="AX154" s="726"/>
    </row>
    <row r="155" spans="1:50" ht="15" x14ac:dyDescent="0.25">
      <c r="A155" s="170"/>
      <c r="B155" s="719"/>
      <c r="C155" s="170" t="str">
        <f t="shared" si="61"/>
        <v>730</v>
      </c>
      <c r="D155" s="170"/>
      <c r="E155" s="170"/>
      <c r="F155" s="170">
        <f>+Parameters!D76</f>
        <v>73</v>
      </c>
      <c r="G155" s="170">
        <f>+Parameters!E76</f>
        <v>0</v>
      </c>
      <c r="H155" s="586">
        <f t="shared" si="62"/>
        <v>0</v>
      </c>
      <c r="I155" s="170">
        <f>+Parameters!F76</f>
        <v>0</v>
      </c>
      <c r="J155" s="170"/>
      <c r="K155" s="170"/>
      <c r="L155" s="170"/>
      <c r="M155" s="730"/>
      <c r="N155" s="730"/>
      <c r="O155" s="730"/>
      <c r="P155" s="731"/>
      <c r="Q155" s="731"/>
      <c r="R155" s="730"/>
      <c r="S155" s="730"/>
      <c r="T155" s="723"/>
      <c r="U155" s="724"/>
      <c r="V155" s="725"/>
      <c r="W155" s="725"/>
      <c r="X155" s="723"/>
      <c r="Y155" s="723"/>
      <c r="Z155" s="723"/>
      <c r="AA155" s="726"/>
      <c r="AB155" s="726"/>
      <c r="AC155" s="170"/>
      <c r="AD155" s="586">
        <f t="shared" si="59"/>
        <v>0</v>
      </c>
      <c r="AE155" s="586">
        <f t="shared" si="60"/>
        <v>0</v>
      </c>
      <c r="AF155" s="586">
        <f t="shared" si="60"/>
        <v>0</v>
      </c>
      <c r="AG155" s="586">
        <f t="shared" si="60"/>
        <v>0</v>
      </c>
      <c r="AH155" s="586">
        <f t="shared" si="60"/>
        <v>0</v>
      </c>
      <c r="AI155" s="586">
        <f t="shared" si="60"/>
        <v>0</v>
      </c>
      <c r="AJ155" s="586">
        <f t="shared" si="60"/>
        <v>0</v>
      </c>
      <c r="AK155" s="586">
        <f t="shared" si="60"/>
        <v>0</v>
      </c>
      <c r="AL155" s="586">
        <f t="shared" si="60"/>
        <v>0</v>
      </c>
      <c r="AM155" s="586">
        <f t="shared" si="60"/>
        <v>0</v>
      </c>
      <c r="AN155" s="586">
        <f t="shared" si="60"/>
        <v>0</v>
      </c>
      <c r="AO155" s="586">
        <f t="shared" si="60"/>
        <v>0</v>
      </c>
      <c r="AP155" s="586">
        <f t="shared" si="60"/>
        <v>0</v>
      </c>
      <c r="AQ155" s="586">
        <f t="shared" si="60"/>
        <v>0</v>
      </c>
      <c r="AR155" s="586">
        <f t="shared" si="60"/>
        <v>0</v>
      </c>
      <c r="AS155" s="586">
        <f t="shared" si="60"/>
        <v>0</v>
      </c>
      <c r="AT155" s="170"/>
      <c r="AU155" s="170"/>
      <c r="AV155" s="170"/>
      <c r="AW155" s="828"/>
      <c r="AX155" s="726"/>
    </row>
    <row r="156" spans="1:50" ht="15" x14ac:dyDescent="0.25">
      <c r="A156" s="170"/>
      <c r="B156" s="719"/>
      <c r="C156" s="170" t="str">
        <f t="shared" si="61"/>
        <v>740</v>
      </c>
      <c r="D156" s="170"/>
      <c r="E156" s="170"/>
      <c r="F156" s="170">
        <f>+Parameters!D77</f>
        <v>74</v>
      </c>
      <c r="G156" s="170">
        <f>+Parameters!E77</f>
        <v>0</v>
      </c>
      <c r="H156" s="586">
        <f t="shared" si="62"/>
        <v>0</v>
      </c>
      <c r="I156" s="170">
        <f>+Parameters!F77</f>
        <v>0</v>
      </c>
      <c r="J156" s="170"/>
      <c r="K156" s="170"/>
      <c r="L156" s="170"/>
      <c r="M156" s="730"/>
      <c r="N156" s="730"/>
      <c r="O156" s="730"/>
      <c r="P156" s="731"/>
      <c r="Q156" s="731"/>
      <c r="R156" s="730"/>
      <c r="S156" s="730"/>
      <c r="T156" s="723"/>
      <c r="U156" s="724"/>
      <c r="V156" s="725"/>
      <c r="W156" s="725"/>
      <c r="X156" s="723"/>
      <c r="Y156" s="723"/>
      <c r="Z156" s="723"/>
      <c r="AA156" s="726"/>
      <c r="AB156" s="726"/>
      <c r="AC156" s="170"/>
      <c r="AD156" s="586">
        <f t="shared" si="59"/>
        <v>0</v>
      </c>
      <c r="AE156" s="586">
        <f t="shared" si="60"/>
        <v>0</v>
      </c>
      <c r="AF156" s="586">
        <f t="shared" si="60"/>
        <v>0</v>
      </c>
      <c r="AG156" s="586">
        <f t="shared" si="60"/>
        <v>0</v>
      </c>
      <c r="AH156" s="586">
        <f t="shared" si="60"/>
        <v>0</v>
      </c>
      <c r="AI156" s="586">
        <f t="shared" si="60"/>
        <v>0</v>
      </c>
      <c r="AJ156" s="586">
        <f t="shared" si="60"/>
        <v>0</v>
      </c>
      <c r="AK156" s="586">
        <f t="shared" si="60"/>
        <v>0</v>
      </c>
      <c r="AL156" s="586">
        <f t="shared" si="60"/>
        <v>0</v>
      </c>
      <c r="AM156" s="586">
        <f t="shared" si="60"/>
        <v>0</v>
      </c>
      <c r="AN156" s="586">
        <f t="shared" si="60"/>
        <v>0</v>
      </c>
      <c r="AO156" s="586">
        <f t="shared" si="60"/>
        <v>0</v>
      </c>
      <c r="AP156" s="586">
        <f t="shared" si="60"/>
        <v>0</v>
      </c>
      <c r="AQ156" s="586">
        <f t="shared" si="60"/>
        <v>0</v>
      </c>
      <c r="AR156" s="586">
        <f t="shared" si="60"/>
        <v>0</v>
      </c>
      <c r="AS156" s="586">
        <f t="shared" si="60"/>
        <v>0</v>
      </c>
      <c r="AT156" s="170"/>
      <c r="AU156" s="170"/>
      <c r="AV156" s="170"/>
      <c r="AW156" s="828"/>
      <c r="AX156" s="726"/>
    </row>
    <row r="157" spans="1:50" ht="15" x14ac:dyDescent="0.25">
      <c r="A157" s="170"/>
      <c r="B157" s="719"/>
      <c r="C157" s="170" t="str">
        <f t="shared" si="61"/>
        <v>750</v>
      </c>
      <c r="D157" s="170"/>
      <c r="E157" s="170"/>
      <c r="F157" s="170">
        <f>+Parameters!D78</f>
        <v>75</v>
      </c>
      <c r="G157" s="170">
        <f>+Parameters!E78</f>
        <v>0</v>
      </c>
      <c r="H157" s="586">
        <f t="shared" si="62"/>
        <v>0</v>
      </c>
      <c r="I157" s="170">
        <f>+Parameters!F78</f>
        <v>0</v>
      </c>
      <c r="J157" s="170"/>
      <c r="K157" s="170"/>
      <c r="L157" s="170"/>
      <c r="M157" s="730"/>
      <c r="N157" s="730"/>
      <c r="O157" s="730"/>
      <c r="P157" s="731"/>
      <c r="Q157" s="731"/>
      <c r="R157" s="730"/>
      <c r="S157" s="730"/>
      <c r="T157" s="723"/>
      <c r="U157" s="724"/>
      <c r="V157" s="725"/>
      <c r="W157" s="725"/>
      <c r="X157" s="723"/>
      <c r="Y157" s="723"/>
      <c r="Z157" s="723"/>
      <c r="AA157" s="726"/>
      <c r="AB157" s="726"/>
      <c r="AC157" s="170"/>
      <c r="AD157" s="586">
        <f t="shared" si="59"/>
        <v>0</v>
      </c>
      <c r="AE157" s="586">
        <f t="shared" si="60"/>
        <v>0</v>
      </c>
      <c r="AF157" s="586">
        <f t="shared" si="60"/>
        <v>0</v>
      </c>
      <c r="AG157" s="586">
        <f t="shared" si="60"/>
        <v>0</v>
      </c>
      <c r="AH157" s="586">
        <f t="shared" si="60"/>
        <v>0</v>
      </c>
      <c r="AI157" s="586">
        <f t="shared" si="60"/>
        <v>0</v>
      </c>
      <c r="AJ157" s="586">
        <f t="shared" si="60"/>
        <v>0</v>
      </c>
      <c r="AK157" s="586">
        <f t="shared" si="60"/>
        <v>0</v>
      </c>
      <c r="AL157" s="586">
        <f t="shared" si="60"/>
        <v>0</v>
      </c>
      <c r="AM157" s="586">
        <f t="shared" si="60"/>
        <v>0</v>
      </c>
      <c r="AN157" s="586">
        <f t="shared" si="60"/>
        <v>0</v>
      </c>
      <c r="AO157" s="586">
        <f t="shared" si="60"/>
        <v>0</v>
      </c>
      <c r="AP157" s="586">
        <f t="shared" si="60"/>
        <v>0</v>
      </c>
      <c r="AQ157" s="586">
        <f t="shared" si="60"/>
        <v>0</v>
      </c>
      <c r="AR157" s="586">
        <f t="shared" si="60"/>
        <v>0</v>
      </c>
      <c r="AS157" s="586">
        <f t="shared" si="60"/>
        <v>0</v>
      </c>
      <c r="AT157" s="170"/>
      <c r="AU157" s="170"/>
      <c r="AV157" s="170"/>
      <c r="AW157" s="828"/>
      <c r="AX157" s="726"/>
    </row>
    <row r="158" spans="1:50" ht="15" x14ac:dyDescent="0.25">
      <c r="A158" s="170"/>
      <c r="B158" s="719"/>
      <c r="C158" s="170" t="str">
        <f t="shared" si="61"/>
        <v>760</v>
      </c>
      <c r="D158" s="170"/>
      <c r="E158" s="170"/>
      <c r="F158" s="170">
        <f>+Parameters!D79</f>
        <v>76</v>
      </c>
      <c r="G158" s="170">
        <f>+Parameters!E79</f>
        <v>0</v>
      </c>
      <c r="H158" s="586">
        <f t="shared" si="62"/>
        <v>0</v>
      </c>
      <c r="I158" s="170">
        <f>+Parameters!F79</f>
        <v>0</v>
      </c>
      <c r="J158" s="170"/>
      <c r="K158" s="170"/>
      <c r="L158" s="170"/>
      <c r="M158" s="730"/>
      <c r="N158" s="730"/>
      <c r="O158" s="730"/>
      <c r="P158" s="731"/>
      <c r="Q158" s="731"/>
      <c r="R158" s="730"/>
      <c r="S158" s="730"/>
      <c r="T158" s="723"/>
      <c r="U158" s="724"/>
      <c r="V158" s="725"/>
      <c r="W158" s="725"/>
      <c r="X158" s="723"/>
      <c r="Y158" s="723"/>
      <c r="Z158" s="723"/>
      <c r="AA158" s="726"/>
      <c r="AB158" s="726"/>
      <c r="AC158" s="170"/>
      <c r="AD158" s="586">
        <f t="shared" si="59"/>
        <v>0</v>
      </c>
      <c r="AE158" s="586">
        <f t="shared" si="60"/>
        <v>0</v>
      </c>
      <c r="AF158" s="586">
        <f t="shared" si="60"/>
        <v>0</v>
      </c>
      <c r="AG158" s="586">
        <f t="shared" si="60"/>
        <v>0</v>
      </c>
      <c r="AH158" s="586">
        <f t="shared" si="60"/>
        <v>0</v>
      </c>
      <c r="AI158" s="586">
        <f t="shared" si="60"/>
        <v>0</v>
      </c>
      <c r="AJ158" s="586">
        <f t="shared" si="60"/>
        <v>0</v>
      </c>
      <c r="AK158" s="586">
        <f t="shared" si="60"/>
        <v>0</v>
      </c>
      <c r="AL158" s="586">
        <f t="shared" si="60"/>
        <v>0</v>
      </c>
      <c r="AM158" s="586">
        <f t="shared" si="60"/>
        <v>0</v>
      </c>
      <c r="AN158" s="586">
        <f t="shared" si="60"/>
        <v>0</v>
      </c>
      <c r="AO158" s="586">
        <f t="shared" si="60"/>
        <v>0</v>
      </c>
      <c r="AP158" s="586">
        <f t="shared" si="60"/>
        <v>0</v>
      </c>
      <c r="AQ158" s="586">
        <f t="shared" si="60"/>
        <v>0</v>
      </c>
      <c r="AR158" s="586">
        <f t="shared" si="60"/>
        <v>0</v>
      </c>
      <c r="AS158" s="586">
        <f t="shared" si="60"/>
        <v>0</v>
      </c>
      <c r="AT158" s="170"/>
      <c r="AU158" s="170"/>
      <c r="AV158" s="170"/>
      <c r="AW158" s="828"/>
      <c r="AX158" s="726"/>
    </row>
    <row r="159" spans="1:50" ht="15" x14ac:dyDescent="0.25">
      <c r="A159" s="170"/>
      <c r="B159" s="719"/>
      <c r="C159" s="170" t="str">
        <f t="shared" si="61"/>
        <v>770</v>
      </c>
      <c r="D159" s="170"/>
      <c r="E159" s="170"/>
      <c r="F159" s="170">
        <f>+Parameters!D80</f>
        <v>77</v>
      </c>
      <c r="G159" s="170">
        <f>+Parameters!E80</f>
        <v>0</v>
      </c>
      <c r="H159" s="586">
        <f t="shared" si="62"/>
        <v>0</v>
      </c>
      <c r="I159" s="170">
        <f>+Parameters!F80</f>
        <v>0</v>
      </c>
      <c r="J159" s="170"/>
      <c r="K159" s="170"/>
      <c r="L159" s="170"/>
      <c r="M159" s="730"/>
      <c r="N159" s="730"/>
      <c r="O159" s="730"/>
      <c r="P159" s="731"/>
      <c r="Q159" s="731"/>
      <c r="R159" s="730"/>
      <c r="S159" s="730"/>
      <c r="T159" s="723"/>
      <c r="U159" s="724"/>
      <c r="V159" s="725"/>
      <c r="W159" s="725"/>
      <c r="X159" s="723"/>
      <c r="Y159" s="723"/>
      <c r="Z159" s="723"/>
      <c r="AA159" s="726"/>
      <c r="AB159" s="726"/>
      <c r="AC159" s="170"/>
      <c r="AD159" s="586">
        <f t="shared" si="59"/>
        <v>0</v>
      </c>
      <c r="AE159" s="586">
        <f t="shared" si="60"/>
        <v>0</v>
      </c>
      <c r="AF159" s="586">
        <f t="shared" si="60"/>
        <v>0</v>
      </c>
      <c r="AG159" s="586">
        <f t="shared" si="60"/>
        <v>0</v>
      </c>
      <c r="AH159" s="586">
        <f t="shared" si="60"/>
        <v>0</v>
      </c>
      <c r="AI159" s="586">
        <f t="shared" si="60"/>
        <v>0</v>
      </c>
      <c r="AJ159" s="586">
        <f t="shared" si="60"/>
        <v>0</v>
      </c>
      <c r="AK159" s="586">
        <f t="shared" si="60"/>
        <v>0</v>
      </c>
      <c r="AL159" s="586">
        <f t="shared" si="60"/>
        <v>0</v>
      </c>
      <c r="AM159" s="586">
        <f t="shared" si="60"/>
        <v>0</v>
      </c>
      <c r="AN159" s="586">
        <f t="shared" si="60"/>
        <v>0</v>
      </c>
      <c r="AO159" s="586">
        <f t="shared" si="60"/>
        <v>0</v>
      </c>
      <c r="AP159" s="586">
        <f t="shared" si="60"/>
        <v>0</v>
      </c>
      <c r="AQ159" s="586">
        <f t="shared" si="60"/>
        <v>0</v>
      </c>
      <c r="AR159" s="586">
        <f t="shared" si="60"/>
        <v>0</v>
      </c>
      <c r="AS159" s="586">
        <f t="shared" si="60"/>
        <v>0</v>
      </c>
      <c r="AT159" s="170"/>
      <c r="AU159" s="170"/>
      <c r="AV159" s="170"/>
      <c r="AW159" s="828"/>
      <c r="AX159" s="726"/>
    </row>
    <row r="160" spans="1:50" ht="15" x14ac:dyDescent="0.25">
      <c r="A160" s="170"/>
      <c r="B160" s="719"/>
      <c r="C160" s="170" t="str">
        <f t="shared" si="61"/>
        <v>780</v>
      </c>
      <c r="D160" s="170"/>
      <c r="E160" s="170"/>
      <c r="F160" s="170">
        <f>+Parameters!D81</f>
        <v>78</v>
      </c>
      <c r="G160" s="170">
        <f>+Parameters!E81</f>
        <v>0</v>
      </c>
      <c r="H160" s="586">
        <f t="shared" si="62"/>
        <v>0</v>
      </c>
      <c r="I160" s="170">
        <f>+Parameters!F81</f>
        <v>0</v>
      </c>
      <c r="J160" s="170"/>
      <c r="K160" s="170"/>
      <c r="L160" s="170"/>
      <c r="M160" s="730"/>
      <c r="N160" s="730"/>
      <c r="O160" s="730"/>
      <c r="P160" s="731"/>
      <c r="Q160" s="731"/>
      <c r="R160" s="730"/>
      <c r="S160" s="730"/>
      <c r="T160" s="723"/>
      <c r="U160" s="724"/>
      <c r="V160" s="725"/>
      <c r="W160" s="725"/>
      <c r="X160" s="723"/>
      <c r="Y160" s="723"/>
      <c r="Z160" s="723"/>
      <c r="AA160" s="726"/>
      <c r="AB160" s="726"/>
      <c r="AC160" s="170"/>
      <c r="AD160" s="586">
        <f t="shared" si="59"/>
        <v>0</v>
      </c>
      <c r="AE160" s="586">
        <f t="shared" si="60"/>
        <v>0</v>
      </c>
      <c r="AF160" s="586">
        <f t="shared" si="60"/>
        <v>0</v>
      </c>
      <c r="AG160" s="586">
        <f t="shared" si="60"/>
        <v>0</v>
      </c>
      <c r="AH160" s="586">
        <f t="shared" si="60"/>
        <v>0</v>
      </c>
      <c r="AI160" s="586">
        <f t="shared" si="60"/>
        <v>0</v>
      </c>
      <c r="AJ160" s="586">
        <f t="shared" si="60"/>
        <v>0</v>
      </c>
      <c r="AK160" s="586">
        <f t="shared" si="60"/>
        <v>0</v>
      </c>
      <c r="AL160" s="586">
        <f t="shared" si="60"/>
        <v>0</v>
      </c>
      <c r="AM160" s="586">
        <f t="shared" si="60"/>
        <v>0</v>
      </c>
      <c r="AN160" s="586">
        <f t="shared" si="60"/>
        <v>0</v>
      </c>
      <c r="AO160" s="586">
        <f t="shared" si="60"/>
        <v>0</v>
      </c>
      <c r="AP160" s="586">
        <f t="shared" si="60"/>
        <v>0</v>
      </c>
      <c r="AQ160" s="586">
        <f t="shared" si="60"/>
        <v>0</v>
      </c>
      <c r="AR160" s="586">
        <f t="shared" si="60"/>
        <v>0</v>
      </c>
      <c r="AS160" s="586">
        <f t="shared" si="60"/>
        <v>0</v>
      </c>
      <c r="AT160" s="170"/>
      <c r="AU160" s="170"/>
      <c r="AV160" s="170"/>
      <c r="AW160" s="828"/>
      <c r="AX160" s="726"/>
    </row>
    <row r="161" spans="1:50" ht="15" x14ac:dyDescent="0.25">
      <c r="A161" s="170"/>
      <c r="B161" s="719"/>
      <c r="C161" s="170" t="str">
        <f t="shared" si="61"/>
        <v>790</v>
      </c>
      <c r="D161" s="170"/>
      <c r="E161" s="170"/>
      <c r="F161" s="170">
        <f>+Parameters!D82</f>
        <v>79</v>
      </c>
      <c r="G161" s="170">
        <f>+Parameters!E82</f>
        <v>0</v>
      </c>
      <c r="H161" s="586">
        <f t="shared" si="62"/>
        <v>0</v>
      </c>
      <c r="I161" s="170">
        <f>+Parameters!F82</f>
        <v>0</v>
      </c>
      <c r="J161" s="170"/>
      <c r="K161" s="170"/>
      <c r="L161" s="170"/>
      <c r="M161" s="730"/>
      <c r="N161" s="730"/>
      <c r="O161" s="730"/>
      <c r="P161" s="731"/>
      <c r="Q161" s="731"/>
      <c r="R161" s="730"/>
      <c r="S161" s="730"/>
      <c r="T161" s="723"/>
      <c r="U161" s="724"/>
      <c r="V161" s="725"/>
      <c r="W161" s="725"/>
      <c r="X161" s="723"/>
      <c r="Y161" s="723"/>
      <c r="Z161" s="723"/>
      <c r="AA161" s="726"/>
      <c r="AB161" s="726"/>
      <c r="AC161" s="170"/>
      <c r="AD161" s="586">
        <f t="shared" si="59"/>
        <v>0</v>
      </c>
      <c r="AE161" s="586">
        <f t="shared" si="60"/>
        <v>0</v>
      </c>
      <c r="AF161" s="586">
        <f t="shared" si="60"/>
        <v>0</v>
      </c>
      <c r="AG161" s="586">
        <f t="shared" si="60"/>
        <v>0</v>
      </c>
      <c r="AH161" s="586">
        <f t="shared" si="60"/>
        <v>0</v>
      </c>
      <c r="AI161" s="586">
        <f t="shared" si="60"/>
        <v>0</v>
      </c>
      <c r="AJ161" s="586">
        <f t="shared" si="60"/>
        <v>0</v>
      </c>
      <c r="AK161" s="586">
        <f t="shared" si="60"/>
        <v>0</v>
      </c>
      <c r="AL161" s="586">
        <f t="shared" si="60"/>
        <v>0</v>
      </c>
      <c r="AM161" s="586">
        <f t="shared" si="60"/>
        <v>0</v>
      </c>
      <c r="AN161" s="586">
        <f t="shared" si="60"/>
        <v>0</v>
      </c>
      <c r="AO161" s="586">
        <f t="shared" si="60"/>
        <v>0</v>
      </c>
      <c r="AP161" s="586">
        <f t="shared" si="60"/>
        <v>0</v>
      </c>
      <c r="AQ161" s="586">
        <f t="shared" si="60"/>
        <v>0</v>
      </c>
      <c r="AR161" s="586">
        <f t="shared" si="60"/>
        <v>0</v>
      </c>
      <c r="AS161" s="586">
        <f t="shared" si="60"/>
        <v>0</v>
      </c>
      <c r="AT161" s="170"/>
      <c r="AU161" s="170"/>
      <c r="AV161" s="170"/>
      <c r="AW161" s="828"/>
      <c r="AX161" s="726"/>
    </row>
    <row r="162" spans="1:50" ht="15" x14ac:dyDescent="0.25">
      <c r="A162" s="170"/>
      <c r="B162" s="719"/>
      <c r="C162" s="170" t="str">
        <f t="shared" si="61"/>
        <v>800</v>
      </c>
      <c r="D162" s="170"/>
      <c r="E162" s="170"/>
      <c r="F162" s="170">
        <f>+Parameters!D83</f>
        <v>80</v>
      </c>
      <c r="G162" s="170" t="str">
        <f>+Parameters!E83</f>
        <v>Protection and Controls</v>
      </c>
      <c r="H162" s="586">
        <f t="shared" si="62"/>
        <v>0</v>
      </c>
      <c r="I162" s="170">
        <f>+Parameters!F83</f>
        <v>0</v>
      </c>
      <c r="J162" s="170"/>
      <c r="K162" s="170"/>
      <c r="L162" s="170"/>
      <c r="M162" s="730"/>
      <c r="N162" s="730"/>
      <c r="O162" s="730"/>
      <c r="P162" s="731"/>
      <c r="Q162" s="731"/>
      <c r="R162" s="730"/>
      <c r="S162" s="730"/>
      <c r="T162" s="723"/>
      <c r="U162" s="724"/>
      <c r="V162" s="725"/>
      <c r="W162" s="725"/>
      <c r="X162" s="723"/>
      <c r="Y162" s="723"/>
      <c r="Z162" s="723"/>
      <c r="AA162" s="726"/>
      <c r="AB162" s="726"/>
      <c r="AC162" s="170"/>
      <c r="AD162" s="586">
        <f t="shared" ref="AD162:AD179" si="63">SUMIF($F$9:$F$79,$F162,AD$9:AD$79)</f>
        <v>0</v>
      </c>
      <c r="AE162" s="586">
        <f t="shared" si="60"/>
        <v>0</v>
      </c>
      <c r="AF162" s="586">
        <f t="shared" si="60"/>
        <v>0</v>
      </c>
      <c r="AG162" s="586">
        <f t="shared" si="60"/>
        <v>0</v>
      </c>
      <c r="AH162" s="586">
        <f t="shared" si="60"/>
        <v>0</v>
      </c>
      <c r="AI162" s="586">
        <f t="shared" si="60"/>
        <v>0</v>
      </c>
      <c r="AJ162" s="586">
        <f t="shared" si="60"/>
        <v>0</v>
      </c>
      <c r="AK162" s="586">
        <f t="shared" si="60"/>
        <v>0</v>
      </c>
      <c r="AL162" s="586">
        <f t="shared" si="60"/>
        <v>0</v>
      </c>
      <c r="AM162" s="586">
        <f t="shared" si="60"/>
        <v>0</v>
      </c>
      <c r="AN162" s="586">
        <f t="shared" si="60"/>
        <v>0</v>
      </c>
      <c r="AO162" s="586">
        <f t="shared" si="60"/>
        <v>0</v>
      </c>
      <c r="AP162" s="586">
        <f t="shared" si="60"/>
        <v>0</v>
      </c>
      <c r="AQ162" s="586">
        <f t="shared" si="60"/>
        <v>0</v>
      </c>
      <c r="AR162" s="586">
        <f t="shared" si="60"/>
        <v>0</v>
      </c>
      <c r="AS162" s="586">
        <f t="shared" si="60"/>
        <v>0</v>
      </c>
      <c r="AT162" s="170"/>
      <c r="AU162" s="170"/>
      <c r="AV162" s="170"/>
      <c r="AW162" s="828"/>
      <c r="AX162" s="726"/>
    </row>
    <row r="163" spans="1:50" ht="15" x14ac:dyDescent="0.25">
      <c r="A163" s="170"/>
      <c r="B163" s="719"/>
      <c r="C163" s="170" t="str">
        <f t="shared" si="61"/>
        <v>81ea</v>
      </c>
      <c r="D163" s="170"/>
      <c r="E163" s="170"/>
      <c r="F163" s="170">
        <f>+Parameters!D84</f>
        <v>81</v>
      </c>
      <c r="G163" s="170" t="str">
        <f>+Parameters!E84</f>
        <v>Relays</v>
      </c>
      <c r="H163" s="586">
        <f t="shared" si="62"/>
        <v>0</v>
      </c>
      <c r="I163" s="170" t="str">
        <f>+Parameters!F84</f>
        <v>ea</v>
      </c>
      <c r="J163" s="170"/>
      <c r="K163" s="170"/>
      <c r="L163" s="170"/>
      <c r="M163" s="730"/>
      <c r="N163" s="730"/>
      <c r="O163" s="730"/>
      <c r="P163" s="731"/>
      <c r="Q163" s="731"/>
      <c r="R163" s="730"/>
      <c r="S163" s="730"/>
      <c r="T163" s="723"/>
      <c r="U163" s="724"/>
      <c r="V163" s="725"/>
      <c r="W163" s="725"/>
      <c r="X163" s="723"/>
      <c r="Y163" s="723"/>
      <c r="Z163" s="723"/>
      <c r="AA163" s="726"/>
      <c r="AB163" s="726"/>
      <c r="AC163" s="170"/>
      <c r="AD163" s="586">
        <f t="shared" si="63"/>
        <v>0</v>
      </c>
      <c r="AE163" s="586">
        <f t="shared" si="60"/>
        <v>0</v>
      </c>
      <c r="AF163" s="586">
        <f t="shared" si="60"/>
        <v>0</v>
      </c>
      <c r="AG163" s="586">
        <f t="shared" si="60"/>
        <v>0</v>
      </c>
      <c r="AH163" s="586">
        <f t="shared" si="60"/>
        <v>0</v>
      </c>
      <c r="AI163" s="586">
        <f t="shared" si="60"/>
        <v>0</v>
      </c>
      <c r="AJ163" s="586">
        <f t="shared" si="60"/>
        <v>0</v>
      </c>
      <c r="AK163" s="586">
        <f t="shared" si="60"/>
        <v>0</v>
      </c>
      <c r="AL163" s="586">
        <f t="shared" si="60"/>
        <v>0</v>
      </c>
      <c r="AM163" s="586">
        <f t="shared" si="60"/>
        <v>0</v>
      </c>
      <c r="AN163" s="586">
        <f t="shared" si="60"/>
        <v>0</v>
      </c>
      <c r="AO163" s="586">
        <f t="shared" si="60"/>
        <v>0</v>
      </c>
      <c r="AP163" s="586">
        <f t="shared" si="60"/>
        <v>0</v>
      </c>
      <c r="AQ163" s="586">
        <f t="shared" si="60"/>
        <v>0</v>
      </c>
      <c r="AR163" s="586">
        <f t="shared" si="60"/>
        <v>0</v>
      </c>
      <c r="AS163" s="586">
        <f t="shared" ref="AE163:AS178" si="64">SUMIF($F$9:$F$79,$F163,AS$9:AS$79)</f>
        <v>0</v>
      </c>
      <c r="AT163" s="170"/>
      <c r="AU163" s="170"/>
      <c r="AV163" s="170"/>
      <c r="AW163" s="828"/>
      <c r="AX163" s="726"/>
    </row>
    <row r="164" spans="1:50" ht="15" x14ac:dyDescent="0.25">
      <c r="A164" s="170"/>
      <c r="B164" s="719"/>
      <c r="C164" s="170" t="str">
        <f t="shared" si="61"/>
        <v>82ea</v>
      </c>
      <c r="D164" s="170"/>
      <c r="E164" s="170"/>
      <c r="F164" s="170">
        <f>+Parameters!D85</f>
        <v>82</v>
      </c>
      <c r="G164" s="170" t="str">
        <f>+Parameters!E85</f>
        <v>Cabinets</v>
      </c>
      <c r="H164" s="586">
        <f t="shared" si="62"/>
        <v>0</v>
      </c>
      <c r="I164" s="170" t="str">
        <f>+Parameters!F85</f>
        <v>ea</v>
      </c>
      <c r="J164" s="170"/>
      <c r="K164" s="170"/>
      <c r="L164" s="170"/>
      <c r="M164" s="730"/>
      <c r="N164" s="730"/>
      <c r="O164" s="730"/>
      <c r="P164" s="731"/>
      <c r="Q164" s="731"/>
      <c r="R164" s="730"/>
      <c r="S164" s="730"/>
      <c r="T164" s="723"/>
      <c r="U164" s="724"/>
      <c r="V164" s="725"/>
      <c r="W164" s="725"/>
      <c r="X164" s="723"/>
      <c r="Y164" s="723"/>
      <c r="Z164" s="723"/>
      <c r="AA164" s="726"/>
      <c r="AB164" s="726"/>
      <c r="AC164" s="170"/>
      <c r="AD164" s="586">
        <f t="shared" si="63"/>
        <v>0</v>
      </c>
      <c r="AE164" s="586">
        <f t="shared" si="64"/>
        <v>0</v>
      </c>
      <c r="AF164" s="586">
        <f t="shared" si="64"/>
        <v>0</v>
      </c>
      <c r="AG164" s="586">
        <f t="shared" si="64"/>
        <v>0</v>
      </c>
      <c r="AH164" s="586">
        <f t="shared" si="64"/>
        <v>0</v>
      </c>
      <c r="AI164" s="586">
        <f t="shared" si="64"/>
        <v>0</v>
      </c>
      <c r="AJ164" s="586">
        <f t="shared" si="64"/>
        <v>0</v>
      </c>
      <c r="AK164" s="586">
        <f t="shared" si="64"/>
        <v>0</v>
      </c>
      <c r="AL164" s="586">
        <f t="shared" si="64"/>
        <v>0</v>
      </c>
      <c r="AM164" s="586">
        <f t="shared" si="64"/>
        <v>0</v>
      </c>
      <c r="AN164" s="586">
        <f t="shared" si="64"/>
        <v>0</v>
      </c>
      <c r="AO164" s="586">
        <f t="shared" si="64"/>
        <v>0</v>
      </c>
      <c r="AP164" s="586">
        <f t="shared" si="64"/>
        <v>0</v>
      </c>
      <c r="AQ164" s="586">
        <f t="shared" si="64"/>
        <v>0</v>
      </c>
      <c r="AR164" s="586">
        <f t="shared" si="64"/>
        <v>0</v>
      </c>
      <c r="AS164" s="586">
        <f t="shared" si="64"/>
        <v>0</v>
      </c>
      <c r="AT164" s="170"/>
      <c r="AU164" s="170"/>
      <c r="AV164" s="170"/>
      <c r="AW164" s="828"/>
      <c r="AX164" s="726"/>
    </row>
    <row r="165" spans="1:50" ht="15" x14ac:dyDescent="0.25">
      <c r="A165" s="170"/>
      <c r="B165" s="719"/>
      <c r="C165" s="170" t="str">
        <f t="shared" si="61"/>
        <v>83ea</v>
      </c>
      <c r="D165" s="170"/>
      <c r="E165" s="170"/>
      <c r="F165" s="170">
        <f>+Parameters!D86</f>
        <v>83</v>
      </c>
      <c r="G165" s="170" t="str">
        <f>+Parameters!E86</f>
        <v>Comm. Eqt</v>
      </c>
      <c r="H165" s="586">
        <f t="shared" si="62"/>
        <v>0</v>
      </c>
      <c r="I165" s="170" t="str">
        <f>+Parameters!F86</f>
        <v>ea</v>
      </c>
      <c r="J165" s="170"/>
      <c r="K165" s="170"/>
      <c r="L165" s="170"/>
      <c r="M165" s="730"/>
      <c r="N165" s="730"/>
      <c r="O165" s="730"/>
      <c r="P165" s="731"/>
      <c r="Q165" s="731"/>
      <c r="R165" s="730"/>
      <c r="S165" s="730"/>
      <c r="T165" s="723"/>
      <c r="U165" s="724"/>
      <c r="V165" s="725"/>
      <c r="W165" s="725"/>
      <c r="X165" s="723"/>
      <c r="Y165" s="723"/>
      <c r="Z165" s="723"/>
      <c r="AA165" s="726"/>
      <c r="AB165" s="726"/>
      <c r="AC165" s="170"/>
      <c r="AD165" s="586">
        <f t="shared" si="63"/>
        <v>0</v>
      </c>
      <c r="AE165" s="586">
        <f t="shared" si="64"/>
        <v>0</v>
      </c>
      <c r="AF165" s="586">
        <f t="shared" si="64"/>
        <v>0</v>
      </c>
      <c r="AG165" s="586">
        <f t="shared" si="64"/>
        <v>0</v>
      </c>
      <c r="AH165" s="586">
        <f t="shared" si="64"/>
        <v>0</v>
      </c>
      <c r="AI165" s="586">
        <f t="shared" si="64"/>
        <v>0</v>
      </c>
      <c r="AJ165" s="586">
        <f t="shared" si="64"/>
        <v>0</v>
      </c>
      <c r="AK165" s="586">
        <f t="shared" si="64"/>
        <v>0</v>
      </c>
      <c r="AL165" s="586">
        <f t="shared" si="64"/>
        <v>0</v>
      </c>
      <c r="AM165" s="586">
        <f t="shared" si="64"/>
        <v>0</v>
      </c>
      <c r="AN165" s="586">
        <f t="shared" si="64"/>
        <v>0</v>
      </c>
      <c r="AO165" s="586">
        <f t="shared" si="64"/>
        <v>0</v>
      </c>
      <c r="AP165" s="586">
        <f t="shared" si="64"/>
        <v>0</v>
      </c>
      <c r="AQ165" s="586">
        <f t="shared" si="64"/>
        <v>0</v>
      </c>
      <c r="AR165" s="586">
        <f t="shared" si="64"/>
        <v>0</v>
      </c>
      <c r="AS165" s="586">
        <f t="shared" si="64"/>
        <v>0</v>
      </c>
      <c r="AT165" s="170"/>
      <c r="AU165" s="170"/>
      <c r="AV165" s="170"/>
      <c r="AW165" s="828"/>
      <c r="AX165" s="726"/>
    </row>
    <row r="166" spans="1:50" ht="15" x14ac:dyDescent="0.25">
      <c r="A166" s="170"/>
      <c r="B166" s="719"/>
      <c r="C166" s="170" t="str">
        <f t="shared" si="61"/>
        <v>84ea</v>
      </c>
      <c r="D166" s="170"/>
      <c r="E166" s="170"/>
      <c r="F166" s="170">
        <f>+Parameters!D87</f>
        <v>84</v>
      </c>
      <c r="G166" s="170" t="str">
        <f>+Parameters!E87</f>
        <v>SCADA</v>
      </c>
      <c r="H166" s="586">
        <f t="shared" si="62"/>
        <v>0</v>
      </c>
      <c r="I166" s="170" t="str">
        <f>+Parameters!F87</f>
        <v>ea</v>
      </c>
      <c r="J166" s="170"/>
      <c r="K166" s="170"/>
      <c r="L166" s="170"/>
      <c r="M166" s="730"/>
      <c r="N166" s="730"/>
      <c r="O166" s="730"/>
      <c r="P166" s="731"/>
      <c r="Q166" s="731"/>
      <c r="R166" s="730"/>
      <c r="S166" s="730"/>
      <c r="T166" s="723"/>
      <c r="U166" s="724"/>
      <c r="V166" s="725"/>
      <c r="W166" s="725"/>
      <c r="X166" s="723"/>
      <c r="Y166" s="723"/>
      <c r="Z166" s="723"/>
      <c r="AA166" s="726"/>
      <c r="AB166" s="726"/>
      <c r="AC166" s="170"/>
      <c r="AD166" s="586">
        <f t="shared" si="63"/>
        <v>0</v>
      </c>
      <c r="AE166" s="586">
        <f t="shared" si="64"/>
        <v>0</v>
      </c>
      <c r="AF166" s="586">
        <f t="shared" si="64"/>
        <v>0</v>
      </c>
      <c r="AG166" s="586">
        <f t="shared" si="64"/>
        <v>0</v>
      </c>
      <c r="AH166" s="586">
        <f t="shared" si="64"/>
        <v>0</v>
      </c>
      <c r="AI166" s="586">
        <f t="shared" si="64"/>
        <v>0</v>
      </c>
      <c r="AJ166" s="586">
        <f t="shared" si="64"/>
        <v>0</v>
      </c>
      <c r="AK166" s="586">
        <f t="shared" si="64"/>
        <v>0</v>
      </c>
      <c r="AL166" s="586">
        <f t="shared" si="64"/>
        <v>0</v>
      </c>
      <c r="AM166" s="586">
        <f t="shared" si="64"/>
        <v>0</v>
      </c>
      <c r="AN166" s="586">
        <f t="shared" si="64"/>
        <v>0</v>
      </c>
      <c r="AO166" s="586">
        <f t="shared" si="64"/>
        <v>0</v>
      </c>
      <c r="AP166" s="586">
        <f t="shared" si="64"/>
        <v>0</v>
      </c>
      <c r="AQ166" s="586">
        <f t="shared" si="64"/>
        <v>0</v>
      </c>
      <c r="AR166" s="586">
        <f t="shared" si="64"/>
        <v>0</v>
      </c>
      <c r="AS166" s="586">
        <f t="shared" si="64"/>
        <v>0</v>
      </c>
      <c r="AT166" s="170"/>
      <c r="AU166" s="170"/>
      <c r="AV166" s="170"/>
      <c r="AW166" s="828"/>
      <c r="AX166" s="726"/>
    </row>
    <row r="167" spans="1:50" ht="15" x14ac:dyDescent="0.25">
      <c r="A167" s="170"/>
      <c r="B167" s="719"/>
      <c r="C167" s="170" t="str">
        <f t="shared" si="61"/>
        <v>85ea</v>
      </c>
      <c r="D167" s="170"/>
      <c r="E167" s="170"/>
      <c r="F167" s="170">
        <f>+Parameters!D88</f>
        <v>85</v>
      </c>
      <c r="G167" s="170" t="str">
        <f>+Parameters!E88</f>
        <v>Batteries</v>
      </c>
      <c r="H167" s="586">
        <f t="shared" si="62"/>
        <v>0</v>
      </c>
      <c r="I167" s="170" t="str">
        <f>+Parameters!F88</f>
        <v>ea</v>
      </c>
      <c r="J167" s="170"/>
      <c r="K167" s="170"/>
      <c r="L167" s="170"/>
      <c r="M167" s="730"/>
      <c r="N167" s="730"/>
      <c r="O167" s="730"/>
      <c r="P167" s="731"/>
      <c r="Q167" s="731"/>
      <c r="R167" s="730"/>
      <c r="S167" s="730"/>
      <c r="T167" s="723"/>
      <c r="U167" s="724"/>
      <c r="V167" s="725"/>
      <c r="W167" s="725"/>
      <c r="X167" s="723"/>
      <c r="Y167" s="723"/>
      <c r="Z167" s="723"/>
      <c r="AA167" s="726"/>
      <c r="AB167" s="726"/>
      <c r="AC167" s="170"/>
      <c r="AD167" s="586">
        <f t="shared" si="63"/>
        <v>0</v>
      </c>
      <c r="AE167" s="586">
        <f t="shared" si="64"/>
        <v>0</v>
      </c>
      <c r="AF167" s="586">
        <f t="shared" si="64"/>
        <v>0</v>
      </c>
      <c r="AG167" s="586">
        <f t="shared" si="64"/>
        <v>0</v>
      </c>
      <c r="AH167" s="586">
        <f t="shared" si="64"/>
        <v>0</v>
      </c>
      <c r="AI167" s="586">
        <f t="shared" si="64"/>
        <v>0</v>
      </c>
      <c r="AJ167" s="586">
        <f t="shared" si="64"/>
        <v>0</v>
      </c>
      <c r="AK167" s="586">
        <f t="shared" si="64"/>
        <v>0</v>
      </c>
      <c r="AL167" s="586">
        <f t="shared" si="64"/>
        <v>0</v>
      </c>
      <c r="AM167" s="586">
        <f t="shared" si="64"/>
        <v>0</v>
      </c>
      <c r="AN167" s="586">
        <f t="shared" si="64"/>
        <v>0</v>
      </c>
      <c r="AO167" s="586">
        <f t="shared" si="64"/>
        <v>0</v>
      </c>
      <c r="AP167" s="586">
        <f t="shared" si="64"/>
        <v>0</v>
      </c>
      <c r="AQ167" s="586">
        <f t="shared" si="64"/>
        <v>0</v>
      </c>
      <c r="AR167" s="586">
        <f t="shared" si="64"/>
        <v>0</v>
      </c>
      <c r="AS167" s="586">
        <f t="shared" si="64"/>
        <v>0</v>
      </c>
      <c r="AT167" s="170"/>
      <c r="AU167" s="170"/>
      <c r="AV167" s="170"/>
      <c r="AW167" s="828"/>
      <c r="AX167" s="726"/>
    </row>
    <row r="168" spans="1:50" ht="15" x14ac:dyDescent="0.25">
      <c r="A168" s="170"/>
      <c r="B168" s="719"/>
      <c r="C168" s="170" t="str">
        <f t="shared" si="61"/>
        <v>860</v>
      </c>
      <c r="D168" s="170"/>
      <c r="E168" s="170"/>
      <c r="F168" s="170">
        <f>+Parameters!D89</f>
        <v>86</v>
      </c>
      <c r="G168" s="170">
        <f>+Parameters!E89</f>
        <v>0</v>
      </c>
      <c r="H168" s="586">
        <f t="shared" si="62"/>
        <v>0</v>
      </c>
      <c r="I168" s="170">
        <f>+Parameters!F89</f>
        <v>0</v>
      </c>
      <c r="J168" s="170"/>
      <c r="K168" s="170"/>
      <c r="L168" s="170"/>
      <c r="M168" s="730"/>
      <c r="N168" s="730"/>
      <c r="O168" s="730"/>
      <c r="P168" s="731"/>
      <c r="Q168" s="731"/>
      <c r="R168" s="730"/>
      <c r="S168" s="730"/>
      <c r="T168" s="723"/>
      <c r="U168" s="724"/>
      <c r="V168" s="725"/>
      <c r="W168" s="725"/>
      <c r="X168" s="723"/>
      <c r="Y168" s="723"/>
      <c r="Z168" s="723"/>
      <c r="AA168" s="726"/>
      <c r="AB168" s="726"/>
      <c r="AC168" s="170"/>
      <c r="AD168" s="586">
        <f t="shared" si="63"/>
        <v>0</v>
      </c>
      <c r="AE168" s="586">
        <f t="shared" si="64"/>
        <v>0</v>
      </c>
      <c r="AF168" s="586">
        <f t="shared" si="64"/>
        <v>0</v>
      </c>
      <c r="AG168" s="586">
        <f t="shared" si="64"/>
        <v>0</v>
      </c>
      <c r="AH168" s="586">
        <f t="shared" si="64"/>
        <v>0</v>
      </c>
      <c r="AI168" s="586">
        <f t="shared" si="64"/>
        <v>0</v>
      </c>
      <c r="AJ168" s="586">
        <f t="shared" si="64"/>
        <v>0</v>
      </c>
      <c r="AK168" s="586">
        <f t="shared" si="64"/>
        <v>0</v>
      </c>
      <c r="AL168" s="586">
        <f t="shared" si="64"/>
        <v>0</v>
      </c>
      <c r="AM168" s="586">
        <f t="shared" si="64"/>
        <v>0</v>
      </c>
      <c r="AN168" s="586">
        <f t="shared" si="64"/>
        <v>0</v>
      </c>
      <c r="AO168" s="586">
        <f t="shared" si="64"/>
        <v>0</v>
      </c>
      <c r="AP168" s="586">
        <f t="shared" si="64"/>
        <v>0</v>
      </c>
      <c r="AQ168" s="586">
        <f t="shared" si="64"/>
        <v>0</v>
      </c>
      <c r="AR168" s="586">
        <f t="shared" si="64"/>
        <v>0</v>
      </c>
      <c r="AS168" s="586">
        <f t="shared" si="64"/>
        <v>0</v>
      </c>
      <c r="AT168" s="170"/>
      <c r="AU168" s="170"/>
      <c r="AV168" s="170"/>
      <c r="AW168" s="828"/>
      <c r="AX168" s="726"/>
    </row>
    <row r="169" spans="1:50" ht="15" x14ac:dyDescent="0.25">
      <c r="A169" s="170"/>
      <c r="B169" s="719"/>
      <c r="C169" s="170" t="str">
        <f t="shared" si="61"/>
        <v>870</v>
      </c>
      <c r="D169" s="170"/>
      <c r="E169" s="170"/>
      <c r="F169" s="170">
        <f>+Parameters!D90</f>
        <v>87</v>
      </c>
      <c r="G169" s="170">
        <f>+Parameters!E90</f>
        <v>0</v>
      </c>
      <c r="H169" s="586">
        <f t="shared" si="62"/>
        <v>0</v>
      </c>
      <c r="I169" s="170">
        <f>+Parameters!F90</f>
        <v>0</v>
      </c>
      <c r="J169" s="170"/>
      <c r="K169" s="170"/>
      <c r="L169" s="170"/>
      <c r="M169" s="730"/>
      <c r="N169" s="730"/>
      <c r="O169" s="730"/>
      <c r="P169" s="731"/>
      <c r="Q169" s="731"/>
      <c r="R169" s="730"/>
      <c r="S169" s="730"/>
      <c r="T169" s="723"/>
      <c r="U169" s="724"/>
      <c r="V169" s="725"/>
      <c r="W169" s="725"/>
      <c r="X169" s="723"/>
      <c r="Y169" s="723"/>
      <c r="Z169" s="723"/>
      <c r="AA169" s="726"/>
      <c r="AB169" s="726"/>
      <c r="AC169" s="170"/>
      <c r="AD169" s="586">
        <f t="shared" si="63"/>
        <v>0</v>
      </c>
      <c r="AE169" s="586">
        <f t="shared" si="64"/>
        <v>0</v>
      </c>
      <c r="AF169" s="586">
        <f t="shared" si="64"/>
        <v>0</v>
      </c>
      <c r="AG169" s="586">
        <f t="shared" si="64"/>
        <v>0</v>
      </c>
      <c r="AH169" s="586">
        <f t="shared" si="64"/>
        <v>0</v>
      </c>
      <c r="AI169" s="586">
        <f t="shared" si="64"/>
        <v>0</v>
      </c>
      <c r="AJ169" s="586">
        <f t="shared" si="64"/>
        <v>0</v>
      </c>
      <c r="AK169" s="586">
        <f t="shared" si="64"/>
        <v>0</v>
      </c>
      <c r="AL169" s="586">
        <f t="shared" si="64"/>
        <v>0</v>
      </c>
      <c r="AM169" s="586">
        <f t="shared" si="64"/>
        <v>0</v>
      </c>
      <c r="AN169" s="586">
        <f t="shared" si="64"/>
        <v>0</v>
      </c>
      <c r="AO169" s="586">
        <f t="shared" si="64"/>
        <v>0</v>
      </c>
      <c r="AP169" s="586">
        <f t="shared" si="64"/>
        <v>0</v>
      </c>
      <c r="AQ169" s="586">
        <f t="shared" si="64"/>
        <v>0</v>
      </c>
      <c r="AR169" s="586">
        <f t="shared" si="64"/>
        <v>0</v>
      </c>
      <c r="AS169" s="586">
        <f t="shared" si="64"/>
        <v>0</v>
      </c>
      <c r="AT169" s="170"/>
      <c r="AU169" s="170"/>
      <c r="AV169" s="170"/>
      <c r="AW169" s="828"/>
      <c r="AX169" s="726"/>
    </row>
    <row r="170" spans="1:50" ht="15" x14ac:dyDescent="0.25">
      <c r="A170" s="170"/>
      <c r="B170" s="719"/>
      <c r="C170" s="170" t="str">
        <f t="shared" si="61"/>
        <v>880</v>
      </c>
      <c r="D170" s="170"/>
      <c r="E170" s="170"/>
      <c r="F170" s="170">
        <f>+Parameters!D91</f>
        <v>88</v>
      </c>
      <c r="G170" s="170">
        <f>+Parameters!E91</f>
        <v>0</v>
      </c>
      <c r="H170" s="586">
        <f t="shared" si="62"/>
        <v>0</v>
      </c>
      <c r="I170" s="170">
        <f>+Parameters!F91</f>
        <v>0</v>
      </c>
      <c r="J170" s="170"/>
      <c r="K170" s="170"/>
      <c r="L170" s="170"/>
      <c r="M170" s="730"/>
      <c r="N170" s="730"/>
      <c r="O170" s="730"/>
      <c r="P170" s="731"/>
      <c r="Q170" s="731"/>
      <c r="R170" s="730"/>
      <c r="S170" s="730"/>
      <c r="T170" s="723"/>
      <c r="U170" s="724"/>
      <c r="V170" s="725"/>
      <c r="W170" s="725"/>
      <c r="X170" s="723"/>
      <c r="Y170" s="723"/>
      <c r="Z170" s="723"/>
      <c r="AA170" s="726"/>
      <c r="AB170" s="726"/>
      <c r="AC170" s="170"/>
      <c r="AD170" s="586">
        <f t="shared" si="63"/>
        <v>0</v>
      </c>
      <c r="AE170" s="586">
        <f t="shared" si="64"/>
        <v>0</v>
      </c>
      <c r="AF170" s="586">
        <f t="shared" si="64"/>
        <v>0</v>
      </c>
      <c r="AG170" s="586">
        <f t="shared" si="64"/>
        <v>0</v>
      </c>
      <c r="AH170" s="586">
        <f t="shared" si="64"/>
        <v>0</v>
      </c>
      <c r="AI170" s="586">
        <f t="shared" si="64"/>
        <v>0</v>
      </c>
      <c r="AJ170" s="586">
        <f t="shared" si="64"/>
        <v>0</v>
      </c>
      <c r="AK170" s="586">
        <f t="shared" si="64"/>
        <v>0</v>
      </c>
      <c r="AL170" s="586">
        <f t="shared" si="64"/>
        <v>0</v>
      </c>
      <c r="AM170" s="586">
        <f t="shared" si="64"/>
        <v>0</v>
      </c>
      <c r="AN170" s="586">
        <f t="shared" si="64"/>
        <v>0</v>
      </c>
      <c r="AO170" s="586">
        <f t="shared" si="64"/>
        <v>0</v>
      </c>
      <c r="AP170" s="586">
        <f t="shared" si="64"/>
        <v>0</v>
      </c>
      <c r="AQ170" s="586">
        <f t="shared" si="64"/>
        <v>0</v>
      </c>
      <c r="AR170" s="586">
        <f t="shared" si="64"/>
        <v>0</v>
      </c>
      <c r="AS170" s="586">
        <f t="shared" si="64"/>
        <v>0</v>
      </c>
      <c r="AT170" s="170"/>
      <c r="AU170" s="170"/>
      <c r="AV170" s="170"/>
      <c r="AW170" s="828"/>
      <c r="AX170" s="726"/>
    </row>
    <row r="171" spans="1:50" ht="15" x14ac:dyDescent="0.25">
      <c r="A171" s="170"/>
      <c r="B171" s="719"/>
      <c r="C171" s="170" t="str">
        <f t="shared" si="61"/>
        <v>89ea</v>
      </c>
      <c r="D171" s="170"/>
      <c r="E171" s="170"/>
      <c r="F171" s="170">
        <f>+Parameters!D92</f>
        <v>89</v>
      </c>
      <c r="G171" s="170" t="str">
        <f>+Parameters!E92</f>
        <v>Misc. Protection and controls Eqt.</v>
      </c>
      <c r="H171" s="586">
        <f t="shared" si="62"/>
        <v>0</v>
      </c>
      <c r="I171" s="170" t="str">
        <f>+Parameters!F92</f>
        <v>ea</v>
      </c>
      <c r="J171" s="170"/>
      <c r="K171" s="170"/>
      <c r="L171" s="170"/>
      <c r="M171" s="730"/>
      <c r="N171" s="730"/>
      <c r="O171" s="730"/>
      <c r="P171" s="731"/>
      <c r="Q171" s="731"/>
      <c r="R171" s="730"/>
      <c r="S171" s="730"/>
      <c r="T171" s="723"/>
      <c r="U171" s="724"/>
      <c r="V171" s="725"/>
      <c r="W171" s="725"/>
      <c r="X171" s="723"/>
      <c r="Y171" s="723"/>
      <c r="Z171" s="723"/>
      <c r="AA171" s="726"/>
      <c r="AB171" s="726"/>
      <c r="AC171" s="170"/>
      <c r="AD171" s="586">
        <f t="shared" si="63"/>
        <v>0</v>
      </c>
      <c r="AE171" s="586">
        <f t="shared" si="64"/>
        <v>0</v>
      </c>
      <c r="AF171" s="586">
        <f t="shared" si="64"/>
        <v>0</v>
      </c>
      <c r="AG171" s="586">
        <f t="shared" si="64"/>
        <v>0</v>
      </c>
      <c r="AH171" s="586">
        <f t="shared" si="64"/>
        <v>0</v>
      </c>
      <c r="AI171" s="586">
        <f t="shared" si="64"/>
        <v>0</v>
      </c>
      <c r="AJ171" s="586">
        <f t="shared" si="64"/>
        <v>0</v>
      </c>
      <c r="AK171" s="586">
        <f t="shared" si="64"/>
        <v>0</v>
      </c>
      <c r="AL171" s="586">
        <f t="shared" si="64"/>
        <v>0</v>
      </c>
      <c r="AM171" s="586">
        <f t="shared" si="64"/>
        <v>0</v>
      </c>
      <c r="AN171" s="586">
        <f t="shared" si="64"/>
        <v>0</v>
      </c>
      <c r="AO171" s="586">
        <f t="shared" si="64"/>
        <v>0</v>
      </c>
      <c r="AP171" s="586">
        <f t="shared" si="64"/>
        <v>0</v>
      </c>
      <c r="AQ171" s="586">
        <f t="shared" si="64"/>
        <v>0</v>
      </c>
      <c r="AR171" s="586">
        <f t="shared" si="64"/>
        <v>0</v>
      </c>
      <c r="AS171" s="586">
        <f t="shared" si="64"/>
        <v>0</v>
      </c>
      <c r="AT171" s="170"/>
      <c r="AU171" s="170"/>
      <c r="AV171" s="170"/>
      <c r="AW171" s="828"/>
      <c r="AX171" s="726"/>
    </row>
    <row r="172" spans="1:50" ht="15" x14ac:dyDescent="0.25">
      <c r="A172" s="170"/>
      <c r="B172" s="719"/>
      <c r="C172" s="170" t="str">
        <f t="shared" si="61"/>
        <v>900</v>
      </c>
      <c r="D172" s="170"/>
      <c r="E172" s="170"/>
      <c r="F172" s="170">
        <f>+Parameters!D93</f>
        <v>90</v>
      </c>
      <c r="G172" s="170" t="str">
        <f>+Parameters!E93</f>
        <v>Environmental</v>
      </c>
      <c r="H172" s="586">
        <f t="shared" si="62"/>
        <v>0</v>
      </c>
      <c r="I172" s="170">
        <f>+Parameters!F93</f>
        <v>0</v>
      </c>
      <c r="J172" s="170"/>
      <c r="K172" s="170"/>
      <c r="L172" s="170"/>
      <c r="M172" s="730"/>
      <c r="N172" s="730"/>
      <c r="O172" s="730"/>
      <c r="P172" s="731"/>
      <c r="Q172" s="731"/>
      <c r="R172" s="730"/>
      <c r="S172" s="730"/>
      <c r="T172" s="723"/>
      <c r="U172" s="724"/>
      <c r="V172" s="725"/>
      <c r="W172" s="725"/>
      <c r="X172" s="723"/>
      <c r="Y172" s="723"/>
      <c r="Z172" s="723"/>
      <c r="AA172" s="726"/>
      <c r="AB172" s="726"/>
      <c r="AC172" s="170"/>
      <c r="AD172" s="586">
        <f t="shared" si="63"/>
        <v>0</v>
      </c>
      <c r="AE172" s="586">
        <f t="shared" si="64"/>
        <v>0</v>
      </c>
      <c r="AF172" s="586">
        <f t="shared" si="64"/>
        <v>0</v>
      </c>
      <c r="AG172" s="586">
        <f t="shared" si="64"/>
        <v>0</v>
      </c>
      <c r="AH172" s="586">
        <f t="shared" si="64"/>
        <v>0</v>
      </c>
      <c r="AI172" s="586">
        <f t="shared" si="64"/>
        <v>0</v>
      </c>
      <c r="AJ172" s="586">
        <f t="shared" si="64"/>
        <v>0</v>
      </c>
      <c r="AK172" s="586">
        <f t="shared" si="64"/>
        <v>0</v>
      </c>
      <c r="AL172" s="586">
        <f t="shared" si="64"/>
        <v>0</v>
      </c>
      <c r="AM172" s="586">
        <f t="shared" si="64"/>
        <v>0</v>
      </c>
      <c r="AN172" s="586">
        <f t="shared" si="64"/>
        <v>0</v>
      </c>
      <c r="AO172" s="586">
        <f t="shared" si="64"/>
        <v>0</v>
      </c>
      <c r="AP172" s="586">
        <f t="shared" si="64"/>
        <v>0</v>
      </c>
      <c r="AQ172" s="586">
        <f t="shared" si="64"/>
        <v>0</v>
      </c>
      <c r="AR172" s="586">
        <f t="shared" si="64"/>
        <v>0</v>
      </c>
      <c r="AS172" s="586">
        <f t="shared" si="64"/>
        <v>0</v>
      </c>
      <c r="AT172" s="170"/>
      <c r="AU172" s="170"/>
      <c r="AV172" s="170"/>
      <c r="AW172" s="828"/>
      <c r="AX172" s="726"/>
    </row>
    <row r="173" spans="1:50" ht="15" x14ac:dyDescent="0.25">
      <c r="A173" s="170"/>
      <c r="B173" s="719"/>
      <c r="C173" s="170" t="str">
        <f t="shared" si="61"/>
        <v>910</v>
      </c>
      <c r="D173" s="170"/>
      <c r="E173" s="170"/>
      <c r="F173" s="170">
        <f>+Parameters!D94</f>
        <v>91</v>
      </c>
      <c r="G173" s="170">
        <f>+Parameters!E94</f>
        <v>0</v>
      </c>
      <c r="H173" s="586">
        <f t="shared" si="62"/>
        <v>0</v>
      </c>
      <c r="I173" s="170">
        <f>+Parameters!F94</f>
        <v>0</v>
      </c>
      <c r="J173" s="170"/>
      <c r="K173" s="170"/>
      <c r="L173" s="170"/>
      <c r="M173" s="730"/>
      <c r="N173" s="730"/>
      <c r="O173" s="730"/>
      <c r="P173" s="731"/>
      <c r="Q173" s="731"/>
      <c r="R173" s="730"/>
      <c r="S173" s="730"/>
      <c r="T173" s="723"/>
      <c r="U173" s="724"/>
      <c r="V173" s="725"/>
      <c r="W173" s="725"/>
      <c r="X173" s="723"/>
      <c r="Y173" s="723"/>
      <c r="Z173" s="723"/>
      <c r="AA173" s="726"/>
      <c r="AB173" s="726"/>
      <c r="AC173" s="170"/>
      <c r="AD173" s="586">
        <f t="shared" si="63"/>
        <v>0</v>
      </c>
      <c r="AE173" s="586">
        <f t="shared" si="64"/>
        <v>0</v>
      </c>
      <c r="AF173" s="586">
        <f t="shared" si="64"/>
        <v>0</v>
      </c>
      <c r="AG173" s="586">
        <f t="shared" si="64"/>
        <v>0</v>
      </c>
      <c r="AH173" s="586">
        <f t="shared" si="64"/>
        <v>0</v>
      </c>
      <c r="AI173" s="586">
        <f t="shared" si="64"/>
        <v>0</v>
      </c>
      <c r="AJ173" s="586">
        <f t="shared" si="64"/>
        <v>0</v>
      </c>
      <c r="AK173" s="586">
        <f t="shared" si="64"/>
        <v>0</v>
      </c>
      <c r="AL173" s="586">
        <f t="shared" si="64"/>
        <v>0</v>
      </c>
      <c r="AM173" s="586">
        <f t="shared" si="64"/>
        <v>0</v>
      </c>
      <c r="AN173" s="586">
        <f t="shared" si="64"/>
        <v>0</v>
      </c>
      <c r="AO173" s="586">
        <f t="shared" si="64"/>
        <v>0</v>
      </c>
      <c r="AP173" s="586">
        <f t="shared" si="64"/>
        <v>0</v>
      </c>
      <c r="AQ173" s="586">
        <f t="shared" si="64"/>
        <v>0</v>
      </c>
      <c r="AR173" s="586">
        <f t="shared" si="64"/>
        <v>0</v>
      </c>
      <c r="AS173" s="586">
        <f t="shared" si="64"/>
        <v>0</v>
      </c>
      <c r="AT173" s="170"/>
      <c r="AU173" s="170"/>
      <c r="AV173" s="170"/>
      <c r="AW173" s="828"/>
      <c r="AX173" s="726"/>
    </row>
    <row r="174" spans="1:50" ht="15" x14ac:dyDescent="0.25">
      <c r="A174" s="170"/>
      <c r="B174" s="719"/>
      <c r="C174" s="170" t="str">
        <f t="shared" si="61"/>
        <v>920</v>
      </c>
      <c r="D174" s="170"/>
      <c r="E174" s="170"/>
      <c r="F174" s="170">
        <f>+Parameters!D95</f>
        <v>92</v>
      </c>
      <c r="G174" s="170">
        <f>+Parameters!E95</f>
        <v>0</v>
      </c>
      <c r="H174" s="586">
        <f t="shared" si="62"/>
        <v>0</v>
      </c>
      <c r="I174" s="170">
        <f>+Parameters!F95</f>
        <v>0</v>
      </c>
      <c r="J174" s="170"/>
      <c r="K174" s="170"/>
      <c r="L174" s="170"/>
      <c r="M174" s="730"/>
      <c r="N174" s="730"/>
      <c r="O174" s="730"/>
      <c r="P174" s="731"/>
      <c r="Q174" s="731"/>
      <c r="R174" s="730"/>
      <c r="S174" s="730"/>
      <c r="T174" s="723"/>
      <c r="U174" s="724"/>
      <c r="V174" s="725"/>
      <c r="W174" s="725"/>
      <c r="X174" s="723"/>
      <c r="Y174" s="723"/>
      <c r="Z174" s="723"/>
      <c r="AA174" s="726"/>
      <c r="AB174" s="726"/>
      <c r="AC174" s="170"/>
      <c r="AD174" s="586">
        <f t="shared" si="63"/>
        <v>0</v>
      </c>
      <c r="AE174" s="586">
        <f t="shared" si="64"/>
        <v>0</v>
      </c>
      <c r="AF174" s="586">
        <f t="shared" si="64"/>
        <v>0</v>
      </c>
      <c r="AG174" s="586">
        <f t="shared" si="64"/>
        <v>0</v>
      </c>
      <c r="AH174" s="586">
        <f t="shared" si="64"/>
        <v>0</v>
      </c>
      <c r="AI174" s="586">
        <f t="shared" si="64"/>
        <v>0</v>
      </c>
      <c r="AJ174" s="586">
        <f t="shared" si="64"/>
        <v>0</v>
      </c>
      <c r="AK174" s="586">
        <f t="shared" si="64"/>
        <v>0</v>
      </c>
      <c r="AL174" s="586">
        <f t="shared" si="64"/>
        <v>0</v>
      </c>
      <c r="AM174" s="586">
        <f t="shared" si="64"/>
        <v>0</v>
      </c>
      <c r="AN174" s="586">
        <f t="shared" si="64"/>
        <v>0</v>
      </c>
      <c r="AO174" s="586">
        <f t="shared" si="64"/>
        <v>0</v>
      </c>
      <c r="AP174" s="586">
        <f t="shared" si="64"/>
        <v>0</v>
      </c>
      <c r="AQ174" s="586">
        <f t="shared" si="64"/>
        <v>0</v>
      </c>
      <c r="AR174" s="586">
        <f t="shared" si="64"/>
        <v>0</v>
      </c>
      <c r="AS174" s="586">
        <f t="shared" si="64"/>
        <v>0</v>
      </c>
      <c r="AT174" s="170"/>
      <c r="AU174" s="170"/>
      <c r="AV174" s="170"/>
      <c r="AW174" s="828"/>
      <c r="AX174" s="726"/>
    </row>
    <row r="175" spans="1:50" ht="15" x14ac:dyDescent="0.25">
      <c r="A175" s="170"/>
      <c r="B175" s="719"/>
      <c r="C175" s="170" t="str">
        <f t="shared" si="61"/>
        <v>930</v>
      </c>
      <c r="D175" s="170"/>
      <c r="E175" s="170"/>
      <c r="F175" s="170">
        <f>+Parameters!D96</f>
        <v>93</v>
      </c>
      <c r="G175" s="170">
        <f>+Parameters!E96</f>
        <v>0</v>
      </c>
      <c r="H175" s="586">
        <f t="shared" si="62"/>
        <v>0</v>
      </c>
      <c r="I175" s="170">
        <f>+Parameters!F96</f>
        <v>0</v>
      </c>
      <c r="J175" s="170"/>
      <c r="K175" s="170"/>
      <c r="L175" s="170"/>
      <c r="M175" s="730"/>
      <c r="N175" s="730"/>
      <c r="O175" s="730"/>
      <c r="P175" s="731"/>
      <c r="Q175" s="731"/>
      <c r="R175" s="730"/>
      <c r="S175" s="730"/>
      <c r="T175" s="723"/>
      <c r="U175" s="724"/>
      <c r="V175" s="725"/>
      <c r="W175" s="725"/>
      <c r="X175" s="723"/>
      <c r="Y175" s="723"/>
      <c r="Z175" s="723"/>
      <c r="AA175" s="726"/>
      <c r="AB175" s="726"/>
      <c r="AC175" s="170"/>
      <c r="AD175" s="586">
        <f t="shared" si="63"/>
        <v>0</v>
      </c>
      <c r="AE175" s="586">
        <f t="shared" si="64"/>
        <v>0</v>
      </c>
      <c r="AF175" s="586">
        <f t="shared" si="64"/>
        <v>0</v>
      </c>
      <c r="AG175" s="586">
        <f t="shared" si="64"/>
        <v>0</v>
      </c>
      <c r="AH175" s="586">
        <f t="shared" si="64"/>
        <v>0</v>
      </c>
      <c r="AI175" s="586">
        <f t="shared" si="64"/>
        <v>0</v>
      </c>
      <c r="AJ175" s="586">
        <f t="shared" si="64"/>
        <v>0</v>
      </c>
      <c r="AK175" s="586">
        <f t="shared" si="64"/>
        <v>0</v>
      </c>
      <c r="AL175" s="586">
        <f t="shared" si="64"/>
        <v>0</v>
      </c>
      <c r="AM175" s="586">
        <f t="shared" si="64"/>
        <v>0</v>
      </c>
      <c r="AN175" s="586">
        <f t="shared" si="64"/>
        <v>0</v>
      </c>
      <c r="AO175" s="586">
        <f t="shared" si="64"/>
        <v>0</v>
      </c>
      <c r="AP175" s="586">
        <f t="shared" si="64"/>
        <v>0</v>
      </c>
      <c r="AQ175" s="586">
        <f t="shared" si="64"/>
        <v>0</v>
      </c>
      <c r="AR175" s="586">
        <f t="shared" si="64"/>
        <v>0</v>
      </c>
      <c r="AS175" s="586">
        <f t="shared" si="64"/>
        <v>0</v>
      </c>
      <c r="AT175" s="170"/>
      <c r="AU175" s="170"/>
      <c r="AV175" s="170"/>
      <c r="AW175" s="828"/>
      <c r="AX175" s="726"/>
    </row>
    <row r="176" spans="1:50" ht="15" x14ac:dyDescent="0.25">
      <c r="A176" s="170"/>
      <c r="B176" s="719"/>
      <c r="C176" s="170" t="str">
        <f t="shared" si="61"/>
        <v>940</v>
      </c>
      <c r="D176" s="170"/>
      <c r="E176" s="170"/>
      <c r="F176" s="170">
        <f>+Parameters!D97</f>
        <v>94</v>
      </c>
      <c r="G176" s="170">
        <f>+Parameters!E97</f>
        <v>0</v>
      </c>
      <c r="H176" s="586">
        <f t="shared" si="62"/>
        <v>0</v>
      </c>
      <c r="I176" s="170">
        <f>+Parameters!F97</f>
        <v>0</v>
      </c>
      <c r="J176" s="170"/>
      <c r="K176" s="170"/>
      <c r="L176" s="170"/>
      <c r="M176" s="730"/>
      <c r="N176" s="730"/>
      <c r="O176" s="730"/>
      <c r="P176" s="731"/>
      <c r="Q176" s="731"/>
      <c r="R176" s="730"/>
      <c r="S176" s="730"/>
      <c r="T176" s="723"/>
      <c r="U176" s="724"/>
      <c r="V176" s="725"/>
      <c r="W176" s="725"/>
      <c r="X176" s="723"/>
      <c r="Y176" s="723"/>
      <c r="Z176" s="723"/>
      <c r="AA176" s="726"/>
      <c r="AB176" s="726"/>
      <c r="AC176" s="170"/>
      <c r="AD176" s="586">
        <f t="shared" si="63"/>
        <v>0</v>
      </c>
      <c r="AE176" s="586">
        <f t="shared" si="64"/>
        <v>0</v>
      </c>
      <c r="AF176" s="586">
        <f t="shared" si="64"/>
        <v>0</v>
      </c>
      <c r="AG176" s="586">
        <f t="shared" si="64"/>
        <v>0</v>
      </c>
      <c r="AH176" s="586">
        <f t="shared" si="64"/>
        <v>0</v>
      </c>
      <c r="AI176" s="586">
        <f t="shared" si="64"/>
        <v>0</v>
      </c>
      <c r="AJ176" s="586">
        <f t="shared" si="64"/>
        <v>0</v>
      </c>
      <c r="AK176" s="586">
        <f t="shared" si="64"/>
        <v>0</v>
      </c>
      <c r="AL176" s="586">
        <f t="shared" si="64"/>
        <v>0</v>
      </c>
      <c r="AM176" s="586">
        <f t="shared" si="64"/>
        <v>0</v>
      </c>
      <c r="AN176" s="586">
        <f t="shared" si="64"/>
        <v>0</v>
      </c>
      <c r="AO176" s="586">
        <f t="shared" si="64"/>
        <v>0</v>
      </c>
      <c r="AP176" s="586">
        <f t="shared" si="64"/>
        <v>0</v>
      </c>
      <c r="AQ176" s="586">
        <f t="shared" si="64"/>
        <v>0</v>
      </c>
      <c r="AR176" s="586">
        <f t="shared" si="64"/>
        <v>0</v>
      </c>
      <c r="AS176" s="586">
        <f t="shared" si="64"/>
        <v>0</v>
      </c>
      <c r="AT176" s="170"/>
      <c r="AU176" s="170"/>
      <c r="AV176" s="170"/>
      <c r="AW176" s="828"/>
      <c r="AX176" s="726"/>
    </row>
    <row r="177" spans="1:50" ht="15" x14ac:dyDescent="0.25">
      <c r="A177" s="170"/>
      <c r="B177" s="719"/>
      <c r="C177" s="170" t="str">
        <f t="shared" si="61"/>
        <v>950</v>
      </c>
      <c r="D177" s="170"/>
      <c r="E177" s="170"/>
      <c r="F177" s="170">
        <f>+Parameters!D98</f>
        <v>95</v>
      </c>
      <c r="G177" s="170">
        <f>+Parameters!E98</f>
        <v>0</v>
      </c>
      <c r="H177" s="586">
        <f t="shared" si="62"/>
        <v>0</v>
      </c>
      <c r="I177" s="170">
        <f>+Parameters!F98</f>
        <v>0</v>
      </c>
      <c r="J177" s="170"/>
      <c r="K177" s="170"/>
      <c r="L177" s="170"/>
      <c r="M177" s="730"/>
      <c r="N177" s="730"/>
      <c r="O177" s="730"/>
      <c r="P177" s="731"/>
      <c r="Q177" s="731"/>
      <c r="R177" s="730"/>
      <c r="S177" s="730"/>
      <c r="T177" s="723"/>
      <c r="U177" s="724"/>
      <c r="V177" s="725"/>
      <c r="W177" s="725"/>
      <c r="X177" s="723"/>
      <c r="Y177" s="723"/>
      <c r="Z177" s="723"/>
      <c r="AA177" s="726"/>
      <c r="AB177" s="726"/>
      <c r="AC177" s="170"/>
      <c r="AD177" s="586">
        <f t="shared" si="63"/>
        <v>0</v>
      </c>
      <c r="AE177" s="586">
        <f t="shared" si="64"/>
        <v>0</v>
      </c>
      <c r="AF177" s="586">
        <f t="shared" si="64"/>
        <v>0</v>
      </c>
      <c r="AG177" s="586">
        <f t="shared" si="64"/>
        <v>0</v>
      </c>
      <c r="AH177" s="586">
        <f t="shared" si="64"/>
        <v>0</v>
      </c>
      <c r="AI177" s="586">
        <f t="shared" si="64"/>
        <v>0</v>
      </c>
      <c r="AJ177" s="586">
        <f t="shared" si="64"/>
        <v>0</v>
      </c>
      <c r="AK177" s="586">
        <f t="shared" si="64"/>
        <v>0</v>
      </c>
      <c r="AL177" s="586">
        <f t="shared" si="64"/>
        <v>0</v>
      </c>
      <c r="AM177" s="586">
        <f t="shared" si="64"/>
        <v>0</v>
      </c>
      <c r="AN177" s="586">
        <f t="shared" si="64"/>
        <v>0</v>
      </c>
      <c r="AO177" s="586">
        <f t="shared" si="64"/>
        <v>0</v>
      </c>
      <c r="AP177" s="586">
        <f t="shared" si="64"/>
        <v>0</v>
      </c>
      <c r="AQ177" s="586">
        <f t="shared" si="64"/>
        <v>0</v>
      </c>
      <c r="AR177" s="586">
        <f t="shared" si="64"/>
        <v>0</v>
      </c>
      <c r="AS177" s="586">
        <f t="shared" si="64"/>
        <v>0</v>
      </c>
      <c r="AT177" s="170"/>
      <c r="AU177" s="170"/>
      <c r="AV177" s="170"/>
      <c r="AW177" s="828"/>
      <c r="AX177" s="726"/>
    </row>
    <row r="178" spans="1:50" ht="15" x14ac:dyDescent="0.25">
      <c r="A178" s="170"/>
      <c r="B178" s="719"/>
      <c r="C178" s="170" t="str">
        <f t="shared" si="61"/>
        <v>960</v>
      </c>
      <c r="D178" s="170"/>
      <c r="E178" s="170"/>
      <c r="F178" s="170">
        <f>+Parameters!D99</f>
        <v>96</v>
      </c>
      <c r="G178" s="170">
        <f>+Parameters!E99</f>
        <v>0</v>
      </c>
      <c r="H178" s="586">
        <f t="shared" si="62"/>
        <v>0</v>
      </c>
      <c r="I178" s="170">
        <f>+Parameters!F99</f>
        <v>0</v>
      </c>
      <c r="J178" s="170"/>
      <c r="K178" s="170"/>
      <c r="L178" s="170"/>
      <c r="M178" s="730"/>
      <c r="N178" s="730"/>
      <c r="O178" s="730"/>
      <c r="P178" s="731"/>
      <c r="Q178" s="731"/>
      <c r="R178" s="730"/>
      <c r="S178" s="730"/>
      <c r="T178" s="723"/>
      <c r="U178" s="724"/>
      <c r="V178" s="725"/>
      <c r="W178" s="725"/>
      <c r="X178" s="723"/>
      <c r="Y178" s="723"/>
      <c r="Z178" s="723"/>
      <c r="AA178" s="726"/>
      <c r="AB178" s="726"/>
      <c r="AC178" s="170"/>
      <c r="AD178" s="586">
        <f t="shared" si="63"/>
        <v>0</v>
      </c>
      <c r="AE178" s="586">
        <f t="shared" si="64"/>
        <v>0</v>
      </c>
      <c r="AF178" s="586">
        <f t="shared" si="64"/>
        <v>0</v>
      </c>
      <c r="AG178" s="586">
        <f t="shared" si="64"/>
        <v>0</v>
      </c>
      <c r="AH178" s="586">
        <f t="shared" si="64"/>
        <v>0</v>
      </c>
      <c r="AI178" s="586">
        <f t="shared" si="64"/>
        <v>0</v>
      </c>
      <c r="AJ178" s="586">
        <f t="shared" si="64"/>
        <v>0</v>
      </c>
      <c r="AK178" s="586">
        <f t="shared" si="64"/>
        <v>0</v>
      </c>
      <c r="AL178" s="586">
        <f t="shared" si="64"/>
        <v>0</v>
      </c>
      <c r="AM178" s="586">
        <f t="shared" si="64"/>
        <v>0</v>
      </c>
      <c r="AN178" s="586">
        <f t="shared" si="64"/>
        <v>0</v>
      </c>
      <c r="AO178" s="586">
        <f t="shared" si="64"/>
        <v>0</v>
      </c>
      <c r="AP178" s="586">
        <f t="shared" si="64"/>
        <v>0</v>
      </c>
      <c r="AQ178" s="586">
        <f t="shared" si="64"/>
        <v>0</v>
      </c>
      <c r="AR178" s="586">
        <f t="shared" si="64"/>
        <v>0</v>
      </c>
      <c r="AS178" s="586">
        <f t="shared" si="64"/>
        <v>0</v>
      </c>
      <c r="AT178" s="170"/>
      <c r="AU178" s="170"/>
      <c r="AV178" s="170"/>
      <c r="AW178" s="828"/>
      <c r="AX178" s="726"/>
    </row>
    <row r="179" spans="1:50" ht="15" x14ac:dyDescent="0.25">
      <c r="A179" s="170"/>
      <c r="B179" s="719"/>
      <c r="C179" s="170" t="str">
        <f t="shared" si="61"/>
        <v>970</v>
      </c>
      <c r="D179" s="170"/>
      <c r="E179" s="170"/>
      <c r="F179" s="170">
        <f>+Parameters!D100</f>
        <v>97</v>
      </c>
      <c r="G179" s="170">
        <f>+Parameters!E100</f>
        <v>0</v>
      </c>
      <c r="H179" s="586">
        <f t="shared" si="62"/>
        <v>0</v>
      </c>
      <c r="I179" s="170">
        <f>+Parameters!F100</f>
        <v>0</v>
      </c>
      <c r="J179" s="170"/>
      <c r="K179" s="170"/>
      <c r="L179" s="170"/>
      <c r="M179" s="730"/>
      <c r="N179" s="730"/>
      <c r="O179" s="730"/>
      <c r="P179" s="731"/>
      <c r="Q179" s="731"/>
      <c r="R179" s="730"/>
      <c r="S179" s="730"/>
      <c r="T179" s="723"/>
      <c r="U179" s="724"/>
      <c r="V179" s="725"/>
      <c r="W179" s="725"/>
      <c r="X179" s="723"/>
      <c r="Y179" s="723"/>
      <c r="Z179" s="723"/>
      <c r="AA179" s="726"/>
      <c r="AB179" s="726"/>
      <c r="AC179" s="170"/>
      <c r="AD179" s="586">
        <f t="shared" si="63"/>
        <v>0</v>
      </c>
      <c r="AE179" s="586">
        <f t="shared" ref="AE179:AS179" si="65">SUMIF($F$9:$F$79,$F179,AE$9:AE$79)</f>
        <v>0</v>
      </c>
      <c r="AF179" s="586">
        <f t="shared" si="65"/>
        <v>0</v>
      </c>
      <c r="AG179" s="586">
        <f t="shared" si="65"/>
        <v>0</v>
      </c>
      <c r="AH179" s="586">
        <f t="shared" si="65"/>
        <v>0</v>
      </c>
      <c r="AI179" s="586">
        <f t="shared" si="65"/>
        <v>0</v>
      </c>
      <c r="AJ179" s="586">
        <f t="shared" si="65"/>
        <v>0</v>
      </c>
      <c r="AK179" s="586">
        <f t="shared" si="65"/>
        <v>0</v>
      </c>
      <c r="AL179" s="586">
        <f t="shared" si="65"/>
        <v>0</v>
      </c>
      <c r="AM179" s="586">
        <f t="shared" si="65"/>
        <v>0</v>
      </c>
      <c r="AN179" s="586">
        <f t="shared" si="65"/>
        <v>0</v>
      </c>
      <c r="AO179" s="586">
        <f t="shared" si="65"/>
        <v>0</v>
      </c>
      <c r="AP179" s="586">
        <f t="shared" si="65"/>
        <v>0</v>
      </c>
      <c r="AQ179" s="586">
        <f t="shared" si="65"/>
        <v>0</v>
      </c>
      <c r="AR179" s="586">
        <f t="shared" si="65"/>
        <v>0</v>
      </c>
      <c r="AS179" s="586">
        <f t="shared" si="65"/>
        <v>0</v>
      </c>
      <c r="AT179" s="170"/>
      <c r="AU179" s="170"/>
      <c r="AV179" s="170"/>
      <c r="AW179" s="828"/>
      <c r="AX179" s="726"/>
    </row>
    <row r="180" spans="1:50" ht="15" x14ac:dyDescent="0.25">
      <c r="A180" s="170"/>
      <c r="B180" s="719"/>
      <c r="C180" s="170" t="str">
        <f t="shared" si="61"/>
        <v>980</v>
      </c>
      <c r="D180" s="170"/>
      <c r="E180" s="170"/>
      <c r="F180" s="170">
        <f>+Parameters!D101</f>
        <v>98</v>
      </c>
      <c r="G180" s="170">
        <f>+Parameters!E101</f>
        <v>0</v>
      </c>
      <c r="H180" s="586">
        <f t="shared" si="62"/>
        <v>0</v>
      </c>
      <c r="I180" s="170">
        <f>+Parameters!F101</f>
        <v>0</v>
      </c>
      <c r="J180" s="170"/>
      <c r="K180" s="170"/>
      <c r="L180" s="170"/>
      <c r="M180" s="730"/>
      <c r="N180" s="730"/>
      <c r="O180" s="730"/>
      <c r="P180" s="731"/>
      <c r="Q180" s="731"/>
      <c r="R180" s="730"/>
      <c r="S180" s="730"/>
      <c r="T180" s="723"/>
      <c r="U180" s="724"/>
      <c r="V180" s="725"/>
      <c r="W180" s="725"/>
      <c r="X180" s="723"/>
      <c r="Y180" s="723"/>
      <c r="Z180" s="723"/>
      <c r="AA180" s="726"/>
      <c r="AB180" s="726"/>
      <c r="AC180" s="170"/>
      <c r="AD180" s="586">
        <f t="shared" ref="AD180:AS183" si="66">SUMIF($F$9:$F$79,$F180,AD$9:AD$79)</f>
        <v>0</v>
      </c>
      <c r="AE180" s="586">
        <f t="shared" si="66"/>
        <v>0</v>
      </c>
      <c r="AF180" s="586">
        <f t="shared" si="66"/>
        <v>0</v>
      </c>
      <c r="AG180" s="586">
        <f t="shared" si="66"/>
        <v>0</v>
      </c>
      <c r="AH180" s="586">
        <f t="shared" si="66"/>
        <v>0</v>
      </c>
      <c r="AI180" s="586">
        <f t="shared" si="66"/>
        <v>0</v>
      </c>
      <c r="AJ180" s="586">
        <f t="shared" si="66"/>
        <v>0</v>
      </c>
      <c r="AK180" s="586">
        <f t="shared" si="66"/>
        <v>0</v>
      </c>
      <c r="AL180" s="586">
        <f t="shared" si="66"/>
        <v>0</v>
      </c>
      <c r="AM180" s="586">
        <f t="shared" si="66"/>
        <v>0</v>
      </c>
      <c r="AN180" s="586">
        <f t="shared" si="66"/>
        <v>0</v>
      </c>
      <c r="AO180" s="586">
        <f t="shared" si="66"/>
        <v>0</v>
      </c>
      <c r="AP180" s="586">
        <f t="shared" si="66"/>
        <v>0</v>
      </c>
      <c r="AQ180" s="586">
        <f t="shared" si="66"/>
        <v>0</v>
      </c>
      <c r="AR180" s="586">
        <f t="shared" si="66"/>
        <v>0</v>
      </c>
      <c r="AS180" s="586">
        <f t="shared" si="66"/>
        <v>0</v>
      </c>
      <c r="AT180" s="170"/>
      <c r="AU180" s="170"/>
      <c r="AV180" s="170"/>
      <c r="AW180" s="828"/>
      <c r="AX180" s="726"/>
    </row>
    <row r="181" spans="1:50" ht="15" x14ac:dyDescent="0.25">
      <c r="A181" s="170"/>
      <c r="B181" s="719"/>
      <c r="C181" s="170" t="str">
        <f t="shared" si="61"/>
        <v>990</v>
      </c>
      <c r="D181" s="170"/>
      <c r="E181" s="170"/>
      <c r="F181" s="170">
        <f>+Parameters!D102</f>
        <v>99</v>
      </c>
      <c r="G181" s="170" t="str">
        <f>+Parameters!E102</f>
        <v>REMOVALS</v>
      </c>
      <c r="H181" s="586">
        <f t="shared" si="62"/>
        <v>0</v>
      </c>
      <c r="I181" s="170">
        <f>+Parameters!F102</f>
        <v>0</v>
      </c>
      <c r="J181" s="170"/>
      <c r="K181" s="170"/>
      <c r="L181" s="170"/>
      <c r="M181" s="730"/>
      <c r="N181" s="730"/>
      <c r="O181" s="730"/>
      <c r="P181" s="731"/>
      <c r="Q181" s="731"/>
      <c r="R181" s="730"/>
      <c r="S181" s="730"/>
      <c r="T181" s="723"/>
      <c r="U181" s="724"/>
      <c r="V181" s="725"/>
      <c r="W181" s="725"/>
      <c r="X181" s="723"/>
      <c r="Y181" s="723"/>
      <c r="Z181" s="723"/>
      <c r="AA181" s="726"/>
      <c r="AB181" s="726"/>
      <c r="AC181" s="170"/>
      <c r="AD181" s="586">
        <f t="shared" si="66"/>
        <v>0</v>
      </c>
      <c r="AE181" s="586">
        <f t="shared" si="66"/>
        <v>0</v>
      </c>
      <c r="AF181" s="586">
        <f t="shared" si="66"/>
        <v>0</v>
      </c>
      <c r="AG181" s="586">
        <f t="shared" si="66"/>
        <v>0</v>
      </c>
      <c r="AH181" s="586">
        <f t="shared" si="66"/>
        <v>0</v>
      </c>
      <c r="AI181" s="586">
        <f t="shared" si="66"/>
        <v>0</v>
      </c>
      <c r="AJ181" s="586">
        <f t="shared" si="66"/>
        <v>0</v>
      </c>
      <c r="AK181" s="586">
        <f t="shared" si="66"/>
        <v>0</v>
      </c>
      <c r="AL181" s="586">
        <f t="shared" si="66"/>
        <v>0</v>
      </c>
      <c r="AM181" s="586">
        <f t="shared" si="66"/>
        <v>0</v>
      </c>
      <c r="AN181" s="586">
        <f t="shared" si="66"/>
        <v>0</v>
      </c>
      <c r="AO181" s="586">
        <f t="shared" si="66"/>
        <v>0</v>
      </c>
      <c r="AP181" s="586">
        <f t="shared" si="66"/>
        <v>0</v>
      </c>
      <c r="AQ181" s="586">
        <f t="shared" si="66"/>
        <v>0</v>
      </c>
      <c r="AR181" s="586">
        <f t="shared" si="66"/>
        <v>0</v>
      </c>
      <c r="AS181" s="586">
        <f t="shared" si="66"/>
        <v>0</v>
      </c>
      <c r="AT181" s="170"/>
      <c r="AU181" s="170"/>
      <c r="AV181" s="170"/>
      <c r="AW181" s="828"/>
      <c r="AX181" s="726"/>
    </row>
    <row r="182" spans="1:50" ht="15" x14ac:dyDescent="0.25">
      <c r="A182" s="170"/>
      <c r="B182" s="719"/>
      <c r="C182" s="170"/>
      <c r="D182" s="170"/>
      <c r="E182" s="170"/>
      <c r="F182" s="170">
        <f>+Parameters!D103</f>
        <v>0</v>
      </c>
      <c r="G182" s="170" t="str">
        <f>+Parameters!E103</f>
        <v>Uncoded amounts ( fix the coding before continuing)</v>
      </c>
      <c r="H182" s="586"/>
      <c r="I182" s="170">
        <f>+Parameters!F103</f>
        <v>0</v>
      </c>
      <c r="J182" s="170"/>
      <c r="K182" s="170"/>
      <c r="L182" s="170"/>
      <c r="M182" s="730"/>
      <c r="N182" s="730"/>
      <c r="O182" s="730"/>
      <c r="P182" s="731"/>
      <c r="Q182" s="731"/>
      <c r="R182" s="730"/>
      <c r="S182" s="730"/>
      <c r="T182" s="723"/>
      <c r="U182" s="724"/>
      <c r="V182" s="725"/>
      <c r="W182" s="725"/>
      <c r="X182" s="723"/>
      <c r="Y182" s="723"/>
      <c r="Z182" s="723"/>
      <c r="AA182" s="726"/>
      <c r="AB182" s="726"/>
      <c r="AC182" s="170"/>
      <c r="AD182" s="586">
        <f t="shared" si="66"/>
        <v>0</v>
      </c>
      <c r="AE182" s="586">
        <f t="shared" si="66"/>
        <v>0</v>
      </c>
      <c r="AF182" s="586">
        <f t="shared" si="66"/>
        <v>0</v>
      </c>
      <c r="AG182" s="586">
        <f t="shared" si="66"/>
        <v>0</v>
      </c>
      <c r="AH182" s="586">
        <f t="shared" si="66"/>
        <v>0</v>
      </c>
      <c r="AI182" s="586">
        <f t="shared" si="66"/>
        <v>0</v>
      </c>
      <c r="AJ182" s="586">
        <f t="shared" si="66"/>
        <v>0</v>
      </c>
      <c r="AK182" s="586">
        <f t="shared" si="66"/>
        <v>0</v>
      </c>
      <c r="AL182" s="586">
        <f t="shared" si="66"/>
        <v>0</v>
      </c>
      <c r="AM182" s="586">
        <f t="shared" si="66"/>
        <v>0</v>
      </c>
      <c r="AN182" s="586">
        <f t="shared" si="66"/>
        <v>0</v>
      </c>
      <c r="AO182" s="586">
        <f t="shared" si="66"/>
        <v>0</v>
      </c>
      <c r="AP182" s="586">
        <f t="shared" si="66"/>
        <v>0</v>
      </c>
      <c r="AQ182" s="586">
        <f t="shared" si="66"/>
        <v>0</v>
      </c>
      <c r="AR182" s="586">
        <f t="shared" si="66"/>
        <v>0</v>
      </c>
      <c r="AS182" s="586">
        <f t="shared" si="66"/>
        <v>0</v>
      </c>
      <c r="AT182" s="170"/>
      <c r="AU182" s="170"/>
      <c r="AV182" s="170"/>
      <c r="AW182" s="828"/>
      <c r="AX182" s="726"/>
    </row>
    <row r="183" spans="1:50" ht="15" x14ac:dyDescent="0.25">
      <c r="A183" s="170"/>
      <c r="B183" s="719"/>
      <c r="C183" s="170"/>
      <c r="D183" s="170"/>
      <c r="E183" s="170"/>
      <c r="F183" s="170">
        <f>+Parameters!D104</f>
        <v>0</v>
      </c>
      <c r="G183" s="170">
        <f>+Parameters!E104</f>
        <v>0</v>
      </c>
      <c r="H183" s="586"/>
      <c r="I183" s="170">
        <f>+Parameters!F104</f>
        <v>0</v>
      </c>
      <c r="J183" s="170"/>
      <c r="K183" s="170"/>
      <c r="L183" s="170"/>
      <c r="M183" s="730"/>
      <c r="N183" s="730"/>
      <c r="O183" s="730"/>
      <c r="P183" s="731"/>
      <c r="Q183" s="731"/>
      <c r="R183" s="730"/>
      <c r="S183" s="730"/>
      <c r="T183" s="723"/>
      <c r="U183" s="724"/>
      <c r="V183" s="725"/>
      <c r="W183" s="725"/>
      <c r="X183" s="723"/>
      <c r="Y183" s="723"/>
      <c r="Z183" s="723"/>
      <c r="AA183" s="726"/>
      <c r="AB183" s="726"/>
      <c r="AC183" s="170"/>
      <c r="AD183" s="586">
        <f t="shared" si="66"/>
        <v>0</v>
      </c>
      <c r="AE183" s="586">
        <f t="shared" si="66"/>
        <v>0</v>
      </c>
      <c r="AF183" s="586">
        <f t="shared" si="66"/>
        <v>0</v>
      </c>
      <c r="AG183" s="586">
        <f t="shared" si="66"/>
        <v>0</v>
      </c>
      <c r="AH183" s="586">
        <f t="shared" si="66"/>
        <v>0</v>
      </c>
      <c r="AI183" s="586">
        <f t="shared" si="66"/>
        <v>0</v>
      </c>
      <c r="AJ183" s="586">
        <f t="shared" si="66"/>
        <v>0</v>
      </c>
      <c r="AK183" s="586">
        <f t="shared" si="66"/>
        <v>0</v>
      </c>
      <c r="AL183" s="586">
        <f t="shared" si="66"/>
        <v>0</v>
      </c>
      <c r="AM183" s="586">
        <f t="shared" si="66"/>
        <v>0</v>
      </c>
      <c r="AN183" s="586">
        <f t="shared" si="66"/>
        <v>0</v>
      </c>
      <c r="AO183" s="586">
        <f t="shared" si="66"/>
        <v>0</v>
      </c>
      <c r="AP183" s="586">
        <f t="shared" si="66"/>
        <v>0</v>
      </c>
      <c r="AQ183" s="586">
        <f t="shared" si="66"/>
        <v>0</v>
      </c>
      <c r="AR183" s="586">
        <f t="shared" si="66"/>
        <v>0</v>
      </c>
      <c r="AS183" s="586">
        <f t="shared" si="66"/>
        <v>0</v>
      </c>
      <c r="AT183" s="170"/>
      <c r="AU183" s="170"/>
      <c r="AV183" s="170"/>
      <c r="AW183" s="828"/>
      <c r="AX183" s="726"/>
    </row>
    <row r="184" spans="1:50" ht="15" x14ac:dyDescent="0.25">
      <c r="A184" s="170"/>
      <c r="B184" s="719"/>
      <c r="C184" s="170"/>
      <c r="D184" s="170"/>
      <c r="E184" s="170"/>
      <c r="F184" s="170"/>
      <c r="G184" s="721"/>
      <c r="H184" s="170"/>
      <c r="I184" s="170"/>
      <c r="J184" s="170"/>
      <c r="K184" s="170"/>
      <c r="L184" s="170"/>
      <c r="M184" s="730"/>
      <c r="N184" s="730"/>
      <c r="O184" s="730"/>
      <c r="P184" s="731"/>
      <c r="Q184" s="731"/>
      <c r="R184" s="730"/>
      <c r="S184" s="730"/>
      <c r="T184" s="723"/>
      <c r="U184" s="724"/>
      <c r="V184" s="725"/>
      <c r="W184" s="725"/>
      <c r="X184" s="723"/>
      <c r="Y184" s="723"/>
      <c r="Z184" s="723"/>
      <c r="AA184" s="726"/>
      <c r="AB184" s="726"/>
      <c r="AC184" s="170"/>
      <c r="AD184" s="586"/>
      <c r="AE184" s="586"/>
      <c r="AF184" s="586"/>
      <c r="AG184" s="586"/>
      <c r="AH184" s="586"/>
      <c r="AI184" s="586"/>
      <c r="AJ184" s="586"/>
      <c r="AK184" s="586"/>
      <c r="AL184" s="586"/>
      <c r="AM184" s="586"/>
      <c r="AN184" s="586"/>
      <c r="AO184" s="586"/>
      <c r="AP184" s="586"/>
      <c r="AQ184" s="586"/>
      <c r="AR184" s="586"/>
      <c r="AS184" s="586"/>
      <c r="AT184" s="170"/>
      <c r="AU184" s="170"/>
      <c r="AV184" s="170"/>
      <c r="AW184" s="828"/>
      <c r="AX184" s="726"/>
    </row>
    <row r="185" spans="1:50" ht="15" x14ac:dyDescent="0.25">
      <c r="A185" s="170"/>
      <c r="B185" s="719"/>
      <c r="C185" s="170"/>
      <c r="D185" s="170"/>
      <c r="E185" s="170"/>
      <c r="F185" s="170"/>
      <c r="G185" s="721"/>
      <c r="H185" s="170"/>
      <c r="I185" s="170"/>
      <c r="J185" s="170"/>
      <c r="K185" s="170"/>
      <c r="L185" s="170"/>
      <c r="M185" s="730"/>
      <c r="N185" s="730"/>
      <c r="O185" s="730"/>
      <c r="P185" s="731"/>
      <c r="Q185" s="731"/>
      <c r="R185" s="730"/>
      <c r="S185" s="730"/>
      <c r="T185" s="723"/>
      <c r="U185" s="724"/>
      <c r="V185" s="725"/>
      <c r="W185" s="725"/>
      <c r="X185" s="723"/>
      <c r="Y185" s="723"/>
      <c r="Z185" s="723"/>
      <c r="AA185" s="726"/>
      <c r="AB185" s="726"/>
      <c r="AC185" s="170"/>
      <c r="AD185" s="586"/>
      <c r="AE185" s="586"/>
      <c r="AF185" s="586"/>
      <c r="AG185" s="586"/>
      <c r="AH185" s="586"/>
      <c r="AI185" s="586"/>
      <c r="AJ185" s="586"/>
      <c r="AK185" s="586"/>
      <c r="AL185" s="586"/>
      <c r="AM185" s="586"/>
      <c r="AN185" s="586"/>
      <c r="AO185" s="586"/>
      <c r="AP185" s="586"/>
      <c r="AQ185" s="586"/>
      <c r="AR185" s="586"/>
      <c r="AS185" s="586"/>
      <c r="AT185" s="170"/>
      <c r="AU185" s="170"/>
      <c r="AV185" s="170"/>
      <c r="AW185" s="828"/>
      <c r="AX185" s="726"/>
    </row>
    <row r="186" spans="1:50" ht="15" x14ac:dyDescent="0.25">
      <c r="A186" s="170"/>
      <c r="B186" s="719"/>
      <c r="C186" s="170"/>
      <c r="D186" s="170"/>
      <c r="E186" s="170"/>
      <c r="F186" s="170"/>
      <c r="G186" s="721"/>
      <c r="H186" s="170"/>
      <c r="I186" s="170"/>
      <c r="J186" s="170"/>
      <c r="K186" s="170"/>
      <c r="L186" s="170"/>
      <c r="M186" s="730"/>
      <c r="N186" s="730"/>
      <c r="O186" s="730"/>
      <c r="P186" s="731"/>
      <c r="Q186" s="731"/>
      <c r="R186" s="730"/>
      <c r="S186" s="730"/>
      <c r="T186" s="723"/>
      <c r="U186" s="724"/>
      <c r="V186" s="725"/>
      <c r="W186" s="725"/>
      <c r="X186" s="723"/>
      <c r="Y186" s="723"/>
      <c r="Z186" s="723"/>
      <c r="AA186" s="726"/>
      <c r="AB186" s="726"/>
      <c r="AC186" s="170"/>
      <c r="AD186" s="586"/>
      <c r="AE186" s="586"/>
      <c r="AF186" s="586"/>
      <c r="AG186" s="586"/>
      <c r="AH186" s="586"/>
      <c r="AI186" s="586"/>
      <c r="AJ186" s="586"/>
      <c r="AK186" s="586"/>
      <c r="AL186" s="586"/>
      <c r="AM186" s="586"/>
      <c r="AN186" s="586"/>
      <c r="AO186" s="586"/>
      <c r="AP186" s="586"/>
      <c r="AQ186" s="586"/>
      <c r="AR186" s="586"/>
      <c r="AS186" s="586"/>
      <c r="AT186" s="170"/>
      <c r="AU186" s="170"/>
      <c r="AV186" s="170"/>
      <c r="AW186" s="828"/>
      <c r="AX186" s="726"/>
    </row>
    <row r="187" spans="1:50" ht="15" x14ac:dyDescent="0.25">
      <c r="A187" s="170"/>
      <c r="B187" s="719"/>
      <c r="C187" s="170"/>
      <c r="D187" s="170"/>
      <c r="E187" s="170"/>
      <c r="F187" s="170"/>
      <c r="G187" s="721" t="s">
        <v>223</v>
      </c>
      <c r="H187" s="170"/>
      <c r="I187" s="170"/>
      <c r="J187" s="170"/>
      <c r="K187" s="170"/>
      <c r="L187" s="170"/>
      <c r="M187" s="730"/>
      <c r="N187" s="730"/>
      <c r="O187" s="730"/>
      <c r="P187" s="731"/>
      <c r="Q187" s="731"/>
      <c r="R187" s="730"/>
      <c r="S187" s="730"/>
      <c r="T187" s="723"/>
      <c r="U187" s="724"/>
      <c r="V187" s="725"/>
      <c r="W187" s="725"/>
      <c r="X187" s="723"/>
      <c r="Y187" s="723"/>
      <c r="Z187" s="723"/>
      <c r="AA187" s="726"/>
      <c r="AB187" s="726"/>
      <c r="AC187" s="170"/>
      <c r="AD187" s="586">
        <f t="shared" ref="AD187:AS187" si="67">SUM(AD83:AD186)</f>
        <v>0</v>
      </c>
      <c r="AE187" s="586">
        <f t="shared" si="67"/>
        <v>0</v>
      </c>
      <c r="AF187" s="586">
        <f t="shared" si="67"/>
        <v>0</v>
      </c>
      <c r="AG187" s="586">
        <f t="shared" si="67"/>
        <v>0</v>
      </c>
      <c r="AH187" s="586">
        <f t="shared" si="67"/>
        <v>0</v>
      </c>
      <c r="AI187" s="586">
        <f t="shared" si="67"/>
        <v>0</v>
      </c>
      <c r="AJ187" s="586">
        <f t="shared" si="67"/>
        <v>0</v>
      </c>
      <c r="AK187" s="586">
        <f t="shared" si="67"/>
        <v>0</v>
      </c>
      <c r="AL187" s="586">
        <f t="shared" si="67"/>
        <v>0</v>
      </c>
      <c r="AM187" s="586">
        <f t="shared" si="67"/>
        <v>0</v>
      </c>
      <c r="AN187" s="586">
        <f t="shared" si="67"/>
        <v>0</v>
      </c>
      <c r="AO187" s="586">
        <f t="shared" si="67"/>
        <v>0</v>
      </c>
      <c r="AP187" s="586">
        <f t="shared" si="67"/>
        <v>0</v>
      </c>
      <c r="AQ187" s="586">
        <f t="shared" si="67"/>
        <v>0</v>
      </c>
      <c r="AR187" s="586">
        <f t="shared" si="67"/>
        <v>0</v>
      </c>
      <c r="AS187" s="586">
        <f t="shared" si="67"/>
        <v>0</v>
      </c>
      <c r="AT187" s="170" t="s">
        <v>395</v>
      </c>
      <c r="AU187" s="170"/>
      <c r="AV187" s="170"/>
      <c r="AW187" s="828"/>
      <c r="AX187" s="726"/>
    </row>
    <row r="188" spans="1:50" ht="15" x14ac:dyDescent="0.25">
      <c r="A188" s="170"/>
      <c r="B188" s="719"/>
      <c r="C188" s="170"/>
      <c r="D188" s="170"/>
      <c r="E188" s="170"/>
      <c r="F188" s="170"/>
      <c r="G188" s="721"/>
      <c r="H188" s="170"/>
      <c r="I188" s="170"/>
      <c r="J188" s="170"/>
      <c r="K188" s="170"/>
      <c r="L188" s="170"/>
      <c r="M188" s="730"/>
      <c r="N188" s="730"/>
      <c r="O188" s="730"/>
      <c r="P188" s="731"/>
      <c r="Q188" s="731"/>
      <c r="R188" s="730"/>
      <c r="S188" s="730"/>
      <c r="T188" s="723"/>
      <c r="U188" s="724"/>
      <c r="V188" s="725"/>
      <c r="W188" s="725"/>
      <c r="X188" s="723"/>
      <c r="Y188" s="723"/>
      <c r="Z188" s="723"/>
      <c r="AA188" s="726"/>
      <c r="AB188" s="726"/>
      <c r="AC188" s="170"/>
      <c r="AD188" s="586"/>
      <c r="AE188" s="586"/>
      <c r="AF188" s="170"/>
      <c r="AG188" s="170"/>
      <c r="AH188" s="170"/>
      <c r="AI188" s="170"/>
      <c r="AJ188" s="170"/>
      <c r="AK188" s="170"/>
      <c r="AL188" s="170"/>
      <c r="AM188" s="170"/>
      <c r="AN188" s="170"/>
      <c r="AO188" s="170"/>
      <c r="AP188" s="170"/>
      <c r="AQ188" s="170"/>
      <c r="AR188" s="170"/>
      <c r="AS188" s="170"/>
      <c r="AT188" s="170"/>
      <c r="AU188" s="170"/>
      <c r="AV188" s="170"/>
      <c r="AW188" s="828"/>
      <c r="AX188" s="726"/>
    </row>
    <row r="189" spans="1:50" ht="15" x14ac:dyDescent="0.25">
      <c r="A189" s="170"/>
      <c r="B189" s="719"/>
      <c r="C189" s="170"/>
      <c r="D189" s="170"/>
      <c r="E189" s="170"/>
      <c r="F189" s="170"/>
      <c r="G189" s="721"/>
      <c r="H189" s="170"/>
      <c r="I189" s="170"/>
      <c r="J189" s="170"/>
      <c r="K189" s="170"/>
      <c r="L189" s="170"/>
      <c r="M189" s="730"/>
      <c r="N189" s="730"/>
      <c r="O189" s="730"/>
      <c r="P189" s="731"/>
      <c r="Q189" s="731"/>
      <c r="R189" s="730"/>
      <c r="S189" s="730"/>
      <c r="T189" s="723"/>
      <c r="U189" s="724"/>
      <c r="V189" s="725"/>
      <c r="W189" s="725"/>
      <c r="X189" s="723"/>
      <c r="Y189" s="723"/>
      <c r="Z189" s="723"/>
      <c r="AA189" s="726"/>
      <c r="AB189" s="726"/>
      <c r="AC189" s="170"/>
      <c r="AD189" s="586"/>
      <c r="AE189" s="586"/>
      <c r="AF189" s="170"/>
      <c r="AG189" s="170"/>
      <c r="AH189" s="170"/>
      <c r="AI189" s="170"/>
      <c r="AJ189" s="170"/>
      <c r="AK189" s="170"/>
      <c r="AL189" s="170"/>
      <c r="AM189" s="170"/>
      <c r="AN189" s="170"/>
      <c r="AO189" s="170"/>
      <c r="AP189" s="170"/>
      <c r="AQ189" s="170"/>
      <c r="AR189" s="170"/>
      <c r="AS189" s="170"/>
      <c r="AT189" s="170"/>
      <c r="AU189" s="170"/>
      <c r="AV189" s="170"/>
      <c r="AW189" s="170"/>
      <c r="AX189" s="170"/>
    </row>
    <row r="190" spans="1:50" ht="15" x14ac:dyDescent="0.25">
      <c r="A190" s="170"/>
      <c r="B190" s="719"/>
      <c r="C190" s="170"/>
      <c r="D190" s="170"/>
      <c r="E190" s="170"/>
      <c r="F190" s="170"/>
      <c r="G190" s="721"/>
      <c r="H190" s="170"/>
      <c r="I190" s="170"/>
      <c r="J190" s="170"/>
      <c r="K190" s="170"/>
      <c r="L190" s="170"/>
      <c r="M190" s="730"/>
      <c r="N190" s="730"/>
      <c r="O190" s="730"/>
      <c r="P190" s="731"/>
      <c r="Q190" s="731"/>
      <c r="R190" s="730"/>
      <c r="S190" s="730"/>
      <c r="T190" s="723"/>
      <c r="U190" s="724"/>
      <c r="V190" s="725"/>
      <c r="W190" s="725"/>
      <c r="X190" s="723"/>
      <c r="Y190" s="723"/>
      <c r="Z190" s="723"/>
      <c r="AA190" s="726"/>
      <c r="AB190" s="726"/>
      <c r="AC190" s="170"/>
      <c r="AD190" s="586"/>
      <c r="AE190" s="586"/>
      <c r="AF190" s="170"/>
      <c r="AG190" s="170"/>
      <c r="AH190" s="170"/>
      <c r="AI190" s="170"/>
      <c r="AJ190" s="170"/>
      <c r="AK190" s="170"/>
      <c r="AL190" s="170"/>
      <c r="AM190" s="170"/>
      <c r="AN190" s="170"/>
      <c r="AO190" s="170"/>
      <c r="AP190" s="170"/>
      <c r="AQ190" s="170"/>
      <c r="AR190" s="170"/>
      <c r="AS190" s="170"/>
      <c r="AT190" s="170"/>
      <c r="AU190" s="170"/>
      <c r="AV190" s="170"/>
      <c r="AW190" s="170"/>
      <c r="AX190" s="170"/>
    </row>
    <row r="191" spans="1:50" ht="15" x14ac:dyDescent="0.25">
      <c r="A191" s="170"/>
      <c r="B191" s="719"/>
      <c r="C191" s="170"/>
      <c r="D191" s="170"/>
      <c r="E191" s="170"/>
      <c r="F191" s="170"/>
      <c r="G191" s="721"/>
      <c r="H191" s="170"/>
      <c r="I191" s="170"/>
      <c r="J191" s="170"/>
      <c r="K191" s="170"/>
      <c r="L191" s="170"/>
      <c r="M191" s="730"/>
      <c r="N191" s="730"/>
      <c r="O191" s="730"/>
      <c r="P191" s="731"/>
      <c r="Q191" s="731"/>
      <c r="R191" s="730"/>
      <c r="S191" s="730"/>
      <c r="T191" s="723"/>
      <c r="U191" s="724"/>
      <c r="V191" s="725"/>
      <c r="W191" s="725"/>
      <c r="X191" s="723"/>
      <c r="Y191" s="723"/>
      <c r="Z191" s="723"/>
      <c r="AA191" s="726"/>
      <c r="AB191" s="726"/>
      <c r="AC191" s="170"/>
      <c r="AD191" s="586"/>
      <c r="AE191" s="586"/>
      <c r="AF191" s="170"/>
      <c r="AG191" s="170"/>
      <c r="AH191" s="170"/>
      <c r="AI191" s="170"/>
      <c r="AJ191" s="170"/>
      <c r="AK191" s="170"/>
      <c r="AL191" s="170"/>
      <c r="AM191" s="170"/>
      <c r="AN191" s="170"/>
      <c r="AO191" s="170"/>
      <c r="AP191" s="170"/>
      <c r="AQ191" s="170"/>
      <c r="AR191" s="170"/>
      <c r="AS191" s="170"/>
      <c r="AT191" s="170"/>
      <c r="AU191" s="170"/>
      <c r="AV191" s="170"/>
      <c r="AW191" s="170"/>
      <c r="AX191" s="170"/>
    </row>
    <row r="192" spans="1:50" ht="15" x14ac:dyDescent="0.25">
      <c r="A192" s="170"/>
      <c r="B192" s="719"/>
      <c r="C192" s="170"/>
      <c r="D192" s="170"/>
      <c r="E192" s="170"/>
      <c r="F192" s="170"/>
      <c r="G192" s="721"/>
      <c r="H192" s="170"/>
      <c r="I192" s="170"/>
      <c r="J192" s="170"/>
      <c r="K192" s="170"/>
      <c r="L192" s="170"/>
      <c r="M192" s="730"/>
      <c r="N192" s="730"/>
      <c r="O192" s="730"/>
      <c r="P192" s="731"/>
      <c r="Q192" s="731"/>
      <c r="R192" s="730"/>
      <c r="S192" s="730"/>
      <c r="T192" s="723"/>
      <c r="U192" s="724"/>
      <c r="V192" s="725"/>
      <c r="W192" s="725"/>
      <c r="X192" s="723"/>
      <c r="Y192" s="723"/>
      <c r="Z192" s="723"/>
      <c r="AA192" s="726"/>
      <c r="AB192" s="726"/>
      <c r="AC192" s="170"/>
      <c r="AD192" s="586"/>
      <c r="AE192" s="586"/>
      <c r="AF192" s="170"/>
      <c r="AG192" s="170"/>
      <c r="AH192" s="170"/>
      <c r="AI192" s="170"/>
      <c r="AJ192" s="170"/>
      <c r="AK192" s="170"/>
      <c r="AL192" s="170"/>
      <c r="AM192" s="170"/>
      <c r="AN192" s="170"/>
      <c r="AO192" s="170"/>
      <c r="AP192" s="170"/>
      <c r="AQ192" s="170"/>
      <c r="AR192" s="170"/>
      <c r="AS192" s="170"/>
      <c r="AT192" s="170"/>
      <c r="AU192" s="170"/>
      <c r="AV192" s="170"/>
      <c r="AW192" s="170"/>
      <c r="AX192" s="170"/>
    </row>
    <row r="193" spans="1:50" ht="15" x14ac:dyDescent="0.25">
      <c r="A193" s="170"/>
      <c r="B193" s="719"/>
      <c r="C193" s="170"/>
      <c r="D193" s="170"/>
      <c r="E193" s="170"/>
      <c r="F193" s="170"/>
      <c r="G193" s="721"/>
      <c r="H193" s="170"/>
      <c r="I193" s="170"/>
      <c r="J193" s="170"/>
      <c r="K193" s="170"/>
      <c r="L193" s="170"/>
      <c r="M193" s="730"/>
      <c r="N193" s="730"/>
      <c r="O193" s="730"/>
      <c r="P193" s="731"/>
      <c r="Q193" s="731"/>
      <c r="R193" s="730"/>
      <c r="S193" s="730"/>
      <c r="T193" s="723"/>
      <c r="U193" s="724"/>
      <c r="V193" s="725"/>
      <c r="W193" s="725"/>
      <c r="X193" s="723"/>
      <c r="Y193" s="723"/>
      <c r="Z193" s="723"/>
      <c r="AA193" s="726"/>
      <c r="AB193" s="726"/>
      <c r="AC193" s="170"/>
      <c r="AD193" s="586"/>
      <c r="AE193" s="586"/>
      <c r="AF193" s="170"/>
      <c r="AG193" s="170"/>
      <c r="AH193" s="170"/>
      <c r="AI193" s="170"/>
      <c r="AJ193" s="170"/>
      <c r="AK193" s="170"/>
      <c r="AL193" s="170"/>
      <c r="AM193" s="170"/>
      <c r="AN193" s="170"/>
      <c r="AO193" s="170"/>
      <c r="AP193" s="170"/>
      <c r="AQ193" s="170"/>
      <c r="AR193" s="170"/>
      <c r="AS193" s="170"/>
      <c r="AT193" s="170"/>
      <c r="AU193" s="170"/>
      <c r="AV193" s="170"/>
      <c r="AW193" s="170"/>
      <c r="AX193" s="170"/>
    </row>
    <row r="194" spans="1:50" ht="15" x14ac:dyDescent="0.25">
      <c r="A194" s="170"/>
      <c r="B194" s="719"/>
      <c r="C194" s="170"/>
      <c r="D194" s="170"/>
      <c r="E194" s="170"/>
      <c r="F194" s="170"/>
      <c r="G194" s="721"/>
      <c r="H194" s="170"/>
      <c r="I194" s="170"/>
      <c r="J194" s="170"/>
      <c r="K194" s="170"/>
      <c r="L194" s="170"/>
      <c r="M194" s="730"/>
      <c r="N194" s="730"/>
      <c r="O194" s="730"/>
      <c r="P194" s="731"/>
      <c r="Q194" s="731"/>
      <c r="R194" s="730"/>
      <c r="S194" s="730"/>
      <c r="T194" s="723"/>
      <c r="U194" s="724"/>
      <c r="V194" s="725"/>
      <c r="W194" s="725"/>
      <c r="X194" s="723"/>
      <c r="Y194" s="723"/>
      <c r="Z194" s="723"/>
      <c r="AA194" s="726"/>
      <c r="AB194" s="726"/>
      <c r="AC194" s="170"/>
      <c r="AD194" s="586"/>
      <c r="AE194" s="586"/>
      <c r="AF194" s="170"/>
      <c r="AG194" s="170"/>
      <c r="AH194" s="170"/>
      <c r="AI194" s="170"/>
      <c r="AJ194" s="170"/>
      <c r="AK194" s="170"/>
      <c r="AL194" s="170"/>
      <c r="AM194" s="170"/>
      <c r="AN194" s="170"/>
      <c r="AO194" s="170"/>
      <c r="AP194" s="170"/>
      <c r="AQ194" s="170"/>
      <c r="AR194" s="170"/>
      <c r="AS194" s="170"/>
      <c r="AT194" s="170"/>
      <c r="AU194" s="170"/>
      <c r="AV194" s="170"/>
      <c r="AW194" s="170"/>
      <c r="AX194" s="170"/>
    </row>
    <row r="195" spans="1:50" ht="15" x14ac:dyDescent="0.25">
      <c r="A195" s="170"/>
      <c r="B195" s="719"/>
      <c r="C195" s="170"/>
      <c r="D195" s="170"/>
      <c r="E195" s="170"/>
      <c r="F195" s="170"/>
      <c r="G195" s="721"/>
      <c r="H195" s="170"/>
      <c r="I195" s="170"/>
      <c r="J195" s="170"/>
      <c r="K195" s="170"/>
      <c r="L195" s="170"/>
      <c r="M195" s="730"/>
      <c r="N195" s="730"/>
      <c r="O195" s="730"/>
      <c r="P195" s="731"/>
      <c r="Q195" s="731"/>
      <c r="R195" s="730"/>
      <c r="S195" s="730"/>
      <c r="T195" s="723"/>
      <c r="U195" s="724"/>
      <c r="V195" s="725"/>
      <c r="W195" s="725"/>
      <c r="X195" s="723"/>
      <c r="Y195" s="723"/>
      <c r="Z195" s="723"/>
      <c r="AA195" s="726"/>
      <c r="AB195" s="726"/>
      <c r="AC195" s="170"/>
      <c r="AD195" s="586"/>
      <c r="AE195" s="586"/>
      <c r="AF195" s="170"/>
      <c r="AG195" s="170"/>
      <c r="AH195" s="170"/>
      <c r="AI195" s="170"/>
      <c r="AJ195" s="170"/>
      <c r="AK195" s="170"/>
      <c r="AL195" s="170"/>
      <c r="AM195" s="170"/>
      <c r="AN195" s="170"/>
      <c r="AO195" s="170"/>
      <c r="AP195" s="170"/>
      <c r="AQ195" s="170"/>
      <c r="AR195" s="170"/>
      <c r="AS195" s="170"/>
      <c r="AT195" s="170"/>
      <c r="AU195" s="170"/>
      <c r="AV195" s="170"/>
      <c r="AW195" s="170"/>
      <c r="AX195" s="170"/>
    </row>
    <row r="196" spans="1:50" ht="15" x14ac:dyDescent="0.25">
      <c r="A196" s="170"/>
      <c r="B196" s="719"/>
      <c r="C196" s="170"/>
      <c r="D196" s="170"/>
      <c r="E196" s="170"/>
      <c r="F196" s="170"/>
      <c r="G196" s="721"/>
      <c r="H196" s="170"/>
      <c r="I196" s="170"/>
      <c r="J196" s="170"/>
      <c r="K196" s="170"/>
      <c r="L196" s="170"/>
      <c r="M196" s="730"/>
      <c r="N196" s="730"/>
      <c r="O196" s="730"/>
      <c r="P196" s="731"/>
      <c r="Q196" s="731"/>
      <c r="R196" s="730"/>
      <c r="S196" s="730"/>
      <c r="T196" s="723"/>
      <c r="U196" s="724"/>
      <c r="V196" s="725"/>
      <c r="W196" s="725"/>
      <c r="X196" s="723"/>
      <c r="Y196" s="723"/>
      <c r="Z196" s="723"/>
      <c r="AA196" s="726"/>
      <c r="AB196" s="726"/>
      <c r="AC196" s="170"/>
      <c r="AD196" s="586"/>
      <c r="AE196" s="586"/>
      <c r="AF196" s="170"/>
      <c r="AG196" s="170"/>
      <c r="AH196" s="170"/>
      <c r="AI196" s="170"/>
      <c r="AJ196" s="170"/>
      <c r="AK196" s="170"/>
      <c r="AL196" s="170"/>
      <c r="AM196" s="170"/>
      <c r="AN196" s="170"/>
      <c r="AO196" s="170"/>
      <c r="AP196" s="170"/>
      <c r="AQ196" s="170"/>
      <c r="AR196" s="170"/>
      <c r="AS196" s="170"/>
      <c r="AT196" s="170"/>
      <c r="AU196" s="170"/>
      <c r="AV196" s="170"/>
      <c r="AW196" s="170"/>
      <c r="AX196" s="170"/>
    </row>
    <row r="197" spans="1:50" ht="15" x14ac:dyDescent="0.25">
      <c r="A197" s="170"/>
      <c r="B197" s="719"/>
      <c r="C197" s="170"/>
      <c r="D197" s="170"/>
      <c r="E197" s="170"/>
      <c r="F197" s="170"/>
      <c r="G197" s="721"/>
      <c r="H197" s="170"/>
      <c r="I197" s="170"/>
      <c r="J197" s="170"/>
      <c r="K197" s="170"/>
      <c r="L197" s="170"/>
      <c r="M197" s="730"/>
      <c r="N197" s="730"/>
      <c r="O197" s="730"/>
      <c r="P197" s="731"/>
      <c r="Q197" s="731"/>
      <c r="R197" s="730"/>
      <c r="S197" s="730"/>
      <c r="T197" s="723"/>
      <c r="U197" s="724"/>
      <c r="V197" s="725"/>
      <c r="W197" s="725"/>
      <c r="X197" s="723"/>
      <c r="Y197" s="723"/>
      <c r="Z197" s="723"/>
      <c r="AA197" s="726"/>
      <c r="AB197" s="726"/>
      <c r="AC197" s="170"/>
      <c r="AD197" s="586"/>
      <c r="AE197" s="586"/>
      <c r="AF197" s="170"/>
      <c r="AG197" s="170"/>
      <c r="AH197" s="170"/>
      <c r="AI197" s="170"/>
      <c r="AJ197" s="170"/>
      <c r="AK197" s="170"/>
      <c r="AL197" s="170"/>
      <c r="AM197" s="170"/>
      <c r="AN197" s="170"/>
      <c r="AO197" s="170"/>
      <c r="AP197" s="170"/>
      <c r="AQ197" s="170"/>
      <c r="AR197" s="170"/>
      <c r="AS197" s="170"/>
      <c r="AT197" s="170"/>
      <c r="AU197" s="170"/>
      <c r="AV197" s="170"/>
      <c r="AW197" s="170"/>
      <c r="AX197" s="170"/>
    </row>
    <row r="198" spans="1:50" ht="15" x14ac:dyDescent="0.25">
      <c r="A198" s="170"/>
      <c r="B198" s="719"/>
      <c r="C198" s="170"/>
      <c r="D198" s="170"/>
      <c r="E198" s="170"/>
      <c r="F198" s="170"/>
      <c r="G198" s="721"/>
      <c r="H198" s="170"/>
      <c r="I198" s="170"/>
      <c r="J198" s="170"/>
      <c r="K198" s="170"/>
      <c r="L198" s="170"/>
      <c r="M198" s="730"/>
      <c r="N198" s="730"/>
      <c r="O198" s="730"/>
      <c r="P198" s="731"/>
      <c r="Q198" s="731"/>
      <c r="R198" s="730"/>
      <c r="S198" s="730"/>
      <c r="T198" s="723"/>
      <c r="U198" s="724"/>
      <c r="V198" s="725"/>
      <c r="W198" s="725"/>
      <c r="X198" s="723"/>
      <c r="Y198" s="723"/>
      <c r="Z198" s="723"/>
      <c r="AA198" s="726"/>
      <c r="AB198" s="726"/>
      <c r="AC198" s="170"/>
      <c r="AD198" s="586"/>
      <c r="AE198" s="586"/>
      <c r="AF198" s="170"/>
      <c r="AG198" s="170"/>
      <c r="AH198" s="170"/>
      <c r="AI198" s="170"/>
      <c r="AJ198" s="170"/>
      <c r="AK198" s="170"/>
      <c r="AL198" s="170"/>
      <c r="AM198" s="170"/>
      <c r="AN198" s="170"/>
      <c r="AO198" s="170"/>
      <c r="AP198" s="170"/>
      <c r="AQ198" s="170"/>
      <c r="AR198" s="170"/>
      <c r="AS198" s="170"/>
      <c r="AT198" s="170"/>
      <c r="AU198" s="170"/>
      <c r="AV198" s="170"/>
      <c r="AW198" s="170"/>
      <c r="AX198" s="170"/>
    </row>
    <row r="199" spans="1:50" ht="15" x14ac:dyDescent="0.25">
      <c r="A199" s="170"/>
      <c r="B199" s="719"/>
      <c r="C199" s="170"/>
      <c r="D199" s="170"/>
      <c r="E199" s="170"/>
      <c r="F199" s="170"/>
      <c r="G199" s="721"/>
      <c r="H199" s="170"/>
      <c r="I199" s="170"/>
      <c r="J199" s="170"/>
      <c r="K199" s="170"/>
      <c r="L199" s="170"/>
      <c r="M199" s="730"/>
      <c r="N199" s="730"/>
      <c r="O199" s="730"/>
      <c r="P199" s="731"/>
      <c r="Q199" s="731"/>
      <c r="R199" s="730"/>
      <c r="S199" s="730"/>
      <c r="T199" s="723"/>
      <c r="U199" s="724"/>
      <c r="V199" s="725"/>
      <c r="W199" s="725"/>
      <c r="X199" s="723"/>
      <c r="Y199" s="723"/>
      <c r="Z199" s="723"/>
      <c r="AA199" s="726"/>
      <c r="AB199" s="726"/>
      <c r="AC199" s="170"/>
      <c r="AD199" s="586"/>
      <c r="AE199" s="586"/>
      <c r="AF199" s="170"/>
      <c r="AG199" s="170"/>
      <c r="AH199" s="170"/>
      <c r="AI199" s="170"/>
      <c r="AJ199" s="170"/>
      <c r="AK199" s="170"/>
      <c r="AL199" s="170"/>
      <c r="AM199" s="170"/>
      <c r="AN199" s="170"/>
      <c r="AO199" s="170"/>
      <c r="AP199" s="170"/>
      <c r="AQ199" s="170"/>
      <c r="AR199" s="170"/>
      <c r="AS199" s="170"/>
      <c r="AT199" s="170"/>
      <c r="AU199" s="170"/>
      <c r="AV199" s="170"/>
      <c r="AW199" s="170"/>
      <c r="AX199" s="170"/>
    </row>
    <row r="200" spans="1:50" ht="15" x14ac:dyDescent="0.25">
      <c r="A200" s="170"/>
      <c r="B200" s="719"/>
      <c r="C200" s="170"/>
      <c r="D200" s="170"/>
      <c r="E200" s="170"/>
      <c r="F200" s="170"/>
      <c r="G200" s="721"/>
      <c r="H200" s="170"/>
      <c r="I200" s="170"/>
      <c r="J200" s="170"/>
      <c r="K200" s="170"/>
      <c r="L200" s="170"/>
      <c r="M200" s="730"/>
      <c r="N200" s="730"/>
      <c r="O200" s="730"/>
      <c r="P200" s="731"/>
      <c r="Q200" s="731"/>
      <c r="R200" s="730"/>
      <c r="S200" s="730"/>
      <c r="T200" s="723"/>
      <c r="U200" s="724"/>
      <c r="V200" s="725"/>
      <c r="W200" s="725"/>
      <c r="X200" s="723"/>
      <c r="Y200" s="723"/>
      <c r="Z200" s="723"/>
      <c r="AA200" s="726"/>
      <c r="AB200" s="726"/>
      <c r="AC200" s="170"/>
      <c r="AD200" s="586"/>
      <c r="AE200" s="586"/>
      <c r="AF200" s="170"/>
      <c r="AG200" s="170"/>
      <c r="AH200" s="170"/>
      <c r="AI200" s="170"/>
      <c r="AJ200" s="170"/>
      <c r="AK200" s="170"/>
      <c r="AL200" s="170"/>
      <c r="AM200" s="170"/>
      <c r="AN200" s="170"/>
      <c r="AO200" s="170"/>
      <c r="AP200" s="170"/>
      <c r="AQ200" s="170"/>
      <c r="AR200" s="170"/>
      <c r="AS200" s="170"/>
      <c r="AT200" s="170"/>
      <c r="AU200" s="170"/>
      <c r="AV200" s="170"/>
      <c r="AW200" s="170"/>
      <c r="AX200" s="170"/>
    </row>
    <row r="201" spans="1:50" ht="15" x14ac:dyDescent="0.25">
      <c r="A201" s="170"/>
      <c r="B201" s="719"/>
      <c r="C201" s="170"/>
      <c r="D201" s="170"/>
      <c r="E201" s="170"/>
      <c r="F201" s="170"/>
      <c r="G201" s="721"/>
      <c r="H201" s="170"/>
      <c r="I201" s="170"/>
      <c r="J201" s="170"/>
      <c r="K201" s="170"/>
      <c r="L201" s="170"/>
      <c r="M201" s="730"/>
      <c r="N201" s="730"/>
      <c r="O201" s="730"/>
      <c r="P201" s="731"/>
      <c r="Q201" s="731"/>
      <c r="R201" s="730"/>
      <c r="S201" s="730"/>
      <c r="T201" s="723"/>
      <c r="U201" s="724"/>
      <c r="V201" s="725"/>
      <c r="W201" s="725"/>
      <c r="X201" s="723"/>
      <c r="Y201" s="723"/>
      <c r="Z201" s="723"/>
      <c r="AA201" s="726"/>
      <c r="AB201" s="726"/>
      <c r="AC201" s="170"/>
      <c r="AD201" s="586"/>
      <c r="AE201" s="586"/>
      <c r="AF201" s="170"/>
      <c r="AG201" s="170"/>
      <c r="AH201" s="170"/>
      <c r="AI201" s="170"/>
      <c r="AJ201" s="170"/>
      <c r="AK201" s="170"/>
      <c r="AL201" s="170"/>
      <c r="AM201" s="170"/>
      <c r="AN201" s="170"/>
      <c r="AO201" s="170"/>
      <c r="AP201" s="170"/>
      <c r="AQ201" s="170"/>
      <c r="AR201" s="170"/>
      <c r="AS201" s="170"/>
      <c r="AT201" s="170"/>
      <c r="AU201" s="170"/>
      <c r="AV201" s="170"/>
      <c r="AW201" s="170"/>
      <c r="AX201" s="170"/>
    </row>
    <row r="202" spans="1:50" ht="15" x14ac:dyDescent="0.25">
      <c r="A202" s="170"/>
      <c r="B202" s="719"/>
      <c r="C202" s="170"/>
      <c r="D202" s="170"/>
      <c r="E202" s="170"/>
      <c r="F202" s="170"/>
      <c r="G202" s="721"/>
      <c r="H202" s="170"/>
      <c r="I202" s="170"/>
      <c r="J202" s="170"/>
      <c r="K202" s="170"/>
      <c r="L202" s="170"/>
      <c r="M202" s="730"/>
      <c r="N202" s="730"/>
      <c r="O202" s="730"/>
      <c r="P202" s="731"/>
      <c r="Q202" s="731"/>
      <c r="R202" s="730"/>
      <c r="S202" s="730"/>
      <c r="T202" s="723"/>
      <c r="U202" s="724"/>
      <c r="V202" s="725"/>
      <c r="W202" s="725"/>
      <c r="X202" s="723"/>
      <c r="Y202" s="723"/>
      <c r="Z202" s="723"/>
      <c r="AA202" s="726"/>
      <c r="AB202" s="726"/>
      <c r="AC202" s="170"/>
      <c r="AD202" s="586"/>
      <c r="AE202" s="586"/>
      <c r="AF202" s="170"/>
      <c r="AG202" s="170"/>
      <c r="AH202" s="170"/>
      <c r="AI202" s="170"/>
      <c r="AJ202" s="170"/>
      <c r="AK202" s="170"/>
      <c r="AL202" s="170"/>
      <c r="AM202" s="170"/>
      <c r="AN202" s="170"/>
      <c r="AO202" s="170"/>
      <c r="AP202" s="170"/>
      <c r="AQ202" s="170"/>
      <c r="AR202" s="170"/>
      <c r="AS202" s="170"/>
      <c r="AT202" s="170"/>
      <c r="AU202" s="170"/>
      <c r="AV202" s="170"/>
      <c r="AW202" s="170"/>
      <c r="AX202" s="170"/>
    </row>
    <row r="203" spans="1:50" ht="15" x14ac:dyDescent="0.25">
      <c r="A203" s="170"/>
      <c r="B203" s="719"/>
      <c r="C203" s="170"/>
      <c r="D203" s="170"/>
      <c r="E203" s="170"/>
      <c r="F203" s="170"/>
      <c r="G203" s="721"/>
      <c r="H203" s="170"/>
      <c r="I203" s="170"/>
      <c r="J203" s="170"/>
      <c r="K203" s="170"/>
      <c r="L203" s="170"/>
      <c r="M203" s="730"/>
      <c r="N203" s="730"/>
      <c r="O203" s="730"/>
      <c r="P203" s="731"/>
      <c r="Q203" s="731"/>
      <c r="R203" s="730"/>
      <c r="S203" s="730"/>
      <c r="T203" s="723"/>
      <c r="U203" s="724"/>
      <c r="V203" s="725"/>
      <c r="W203" s="725"/>
      <c r="X203" s="723"/>
      <c r="Y203" s="723"/>
      <c r="Z203" s="723"/>
      <c r="AA203" s="726"/>
      <c r="AB203" s="726"/>
      <c r="AC203" s="170"/>
      <c r="AD203" s="586"/>
      <c r="AE203" s="586"/>
      <c r="AF203" s="170"/>
      <c r="AG203" s="170"/>
      <c r="AH203" s="170"/>
      <c r="AI203" s="170"/>
      <c r="AJ203" s="170"/>
      <c r="AK203" s="170"/>
      <c r="AL203" s="170"/>
      <c r="AM203" s="170"/>
      <c r="AN203" s="170"/>
      <c r="AO203" s="170"/>
      <c r="AP203" s="170"/>
      <c r="AQ203" s="170"/>
      <c r="AR203" s="170"/>
      <c r="AS203" s="170"/>
      <c r="AT203" s="170"/>
      <c r="AU203" s="170"/>
      <c r="AV203" s="170"/>
      <c r="AW203" s="170"/>
      <c r="AX203" s="170"/>
    </row>
    <row r="204" spans="1:50" ht="15" x14ac:dyDescent="0.25">
      <c r="A204" s="170"/>
      <c r="B204" s="719"/>
      <c r="C204" s="170"/>
      <c r="D204" s="170"/>
      <c r="E204" s="170"/>
      <c r="F204" s="170"/>
      <c r="G204" s="721"/>
      <c r="H204" s="170"/>
      <c r="I204" s="170"/>
      <c r="J204" s="170"/>
      <c r="K204" s="170"/>
      <c r="L204" s="170"/>
      <c r="M204" s="730"/>
      <c r="N204" s="730"/>
      <c r="O204" s="730"/>
      <c r="P204" s="731"/>
      <c r="Q204" s="731"/>
      <c r="R204" s="730"/>
      <c r="S204" s="730"/>
      <c r="T204" s="723"/>
      <c r="U204" s="724"/>
      <c r="V204" s="725"/>
      <c r="W204" s="725"/>
      <c r="X204" s="723"/>
      <c r="Y204" s="723"/>
      <c r="Z204" s="723"/>
      <c r="AA204" s="726"/>
      <c r="AB204" s="726"/>
      <c r="AC204" s="170"/>
      <c r="AD204" s="586"/>
      <c r="AE204" s="586"/>
      <c r="AF204" s="170"/>
      <c r="AG204" s="170"/>
      <c r="AH204" s="170"/>
      <c r="AI204" s="170"/>
      <c r="AJ204" s="170"/>
      <c r="AK204" s="170"/>
      <c r="AL204" s="170"/>
      <c r="AM204" s="170"/>
      <c r="AN204" s="170"/>
      <c r="AO204" s="170"/>
      <c r="AP204" s="170"/>
      <c r="AQ204" s="170"/>
      <c r="AR204" s="170"/>
      <c r="AS204" s="170"/>
      <c r="AT204" s="170"/>
      <c r="AU204" s="170"/>
      <c r="AV204" s="170"/>
      <c r="AW204" s="170"/>
      <c r="AX204" s="170"/>
    </row>
    <row r="205" spans="1:50" ht="15" x14ac:dyDescent="0.25">
      <c r="A205" s="170"/>
      <c r="B205" s="719"/>
      <c r="C205" s="170"/>
      <c r="D205" s="170"/>
      <c r="E205" s="170"/>
      <c r="F205" s="170"/>
      <c r="G205" s="721"/>
      <c r="H205" s="170"/>
      <c r="I205" s="170"/>
      <c r="J205" s="170"/>
      <c r="K205" s="170"/>
      <c r="L205" s="170"/>
      <c r="M205" s="730"/>
      <c r="N205" s="730"/>
      <c r="O205" s="730"/>
      <c r="P205" s="731"/>
      <c r="Q205" s="731"/>
      <c r="R205" s="730"/>
      <c r="S205" s="730"/>
      <c r="T205" s="723"/>
      <c r="U205" s="724"/>
      <c r="V205" s="725"/>
      <c r="W205" s="725"/>
      <c r="X205" s="723"/>
      <c r="Y205" s="723"/>
      <c r="Z205" s="723"/>
      <c r="AA205" s="726"/>
      <c r="AB205" s="726"/>
      <c r="AC205" s="170"/>
      <c r="AD205" s="586"/>
      <c r="AE205" s="586"/>
      <c r="AF205" s="170"/>
      <c r="AG205" s="170"/>
      <c r="AH205" s="170"/>
      <c r="AI205" s="170"/>
      <c r="AJ205" s="170"/>
      <c r="AK205" s="170"/>
      <c r="AL205" s="170"/>
      <c r="AM205" s="170"/>
      <c r="AN205" s="170"/>
      <c r="AO205" s="170"/>
      <c r="AP205" s="170"/>
      <c r="AQ205" s="170"/>
      <c r="AR205" s="170"/>
      <c r="AS205" s="170"/>
      <c r="AT205" s="170"/>
      <c r="AU205" s="170"/>
      <c r="AV205" s="170"/>
      <c r="AW205" s="170"/>
      <c r="AX205" s="170"/>
    </row>
    <row r="206" spans="1:50" ht="15" x14ac:dyDescent="0.25">
      <c r="A206" s="170"/>
      <c r="B206" s="719"/>
      <c r="C206" s="170"/>
      <c r="D206" s="170"/>
      <c r="E206" s="170"/>
      <c r="F206" s="170"/>
      <c r="G206" s="721"/>
      <c r="H206" s="170"/>
      <c r="I206" s="170"/>
      <c r="J206" s="170"/>
      <c r="K206" s="170"/>
      <c r="L206" s="170"/>
      <c r="M206" s="730"/>
      <c r="N206" s="730"/>
      <c r="O206" s="730"/>
      <c r="P206" s="731"/>
      <c r="Q206" s="731"/>
      <c r="R206" s="730"/>
      <c r="S206" s="730"/>
      <c r="T206" s="723"/>
      <c r="U206" s="724"/>
      <c r="V206" s="725"/>
      <c r="W206" s="725"/>
      <c r="X206" s="723"/>
      <c r="Y206" s="723"/>
      <c r="Z206" s="723"/>
      <c r="AA206" s="726"/>
      <c r="AB206" s="726"/>
      <c r="AC206" s="170"/>
      <c r="AD206" s="586"/>
      <c r="AE206" s="586"/>
      <c r="AF206" s="170"/>
      <c r="AG206" s="170"/>
      <c r="AH206" s="170"/>
      <c r="AI206" s="170"/>
      <c r="AJ206" s="170"/>
      <c r="AK206" s="170"/>
      <c r="AL206" s="170"/>
      <c r="AM206" s="170"/>
      <c r="AN206" s="170"/>
      <c r="AO206" s="170"/>
      <c r="AP206" s="170"/>
      <c r="AQ206" s="170"/>
      <c r="AR206" s="170"/>
      <c r="AS206" s="170"/>
      <c r="AT206" s="170"/>
      <c r="AU206" s="170"/>
      <c r="AV206" s="170"/>
      <c r="AW206" s="170"/>
      <c r="AX206" s="170"/>
    </row>
    <row r="207" spans="1:50" ht="15" x14ac:dyDescent="0.25">
      <c r="A207" s="170"/>
      <c r="B207" s="719"/>
      <c r="C207" s="170"/>
      <c r="D207" s="170"/>
      <c r="E207" s="170"/>
      <c r="F207" s="170"/>
      <c r="G207" s="721"/>
      <c r="H207" s="170"/>
      <c r="I207" s="170"/>
      <c r="J207" s="170"/>
      <c r="K207" s="170"/>
      <c r="L207" s="170"/>
      <c r="M207" s="730"/>
      <c r="N207" s="730"/>
      <c r="O207" s="730"/>
      <c r="P207" s="731"/>
      <c r="Q207" s="731"/>
      <c r="R207" s="730"/>
      <c r="S207" s="730"/>
      <c r="T207" s="723"/>
      <c r="U207" s="724"/>
      <c r="V207" s="725"/>
      <c r="W207" s="725"/>
      <c r="X207" s="723"/>
      <c r="Y207" s="723"/>
      <c r="Z207" s="723"/>
      <c r="AA207" s="726"/>
      <c r="AB207" s="726"/>
      <c r="AC207" s="170"/>
      <c r="AD207" s="586"/>
      <c r="AE207" s="586"/>
      <c r="AF207" s="170"/>
      <c r="AG207" s="170"/>
      <c r="AH207" s="170"/>
      <c r="AI207" s="170"/>
      <c r="AJ207" s="170"/>
      <c r="AK207" s="170"/>
      <c r="AL207" s="170"/>
      <c r="AM207" s="170"/>
      <c r="AN207" s="170"/>
      <c r="AO207" s="170"/>
      <c r="AP207" s="170"/>
      <c r="AQ207" s="170"/>
      <c r="AR207" s="170"/>
      <c r="AS207" s="170"/>
      <c r="AT207" s="170"/>
      <c r="AU207" s="170"/>
      <c r="AV207" s="170"/>
      <c r="AW207" s="170"/>
      <c r="AX207" s="170"/>
    </row>
    <row r="208" spans="1:50" ht="15" x14ac:dyDescent="0.25">
      <c r="A208" s="170"/>
      <c r="B208" s="719"/>
      <c r="C208" s="170"/>
      <c r="D208" s="170"/>
      <c r="E208" s="170"/>
      <c r="F208" s="170"/>
      <c r="G208" s="721"/>
      <c r="H208" s="170"/>
      <c r="I208" s="170"/>
      <c r="J208" s="170"/>
      <c r="K208" s="170"/>
      <c r="L208" s="170"/>
      <c r="M208" s="730"/>
      <c r="N208" s="730"/>
      <c r="O208" s="730"/>
      <c r="P208" s="731"/>
      <c r="Q208" s="731"/>
      <c r="R208" s="730"/>
      <c r="S208" s="730"/>
      <c r="T208" s="723"/>
      <c r="U208" s="724"/>
      <c r="V208" s="725"/>
      <c r="W208" s="725"/>
      <c r="X208" s="723"/>
      <c r="Y208" s="723"/>
      <c r="Z208" s="723"/>
      <c r="AA208" s="726"/>
      <c r="AB208" s="726"/>
      <c r="AC208" s="170"/>
      <c r="AD208" s="586"/>
      <c r="AE208" s="586"/>
      <c r="AF208" s="170"/>
      <c r="AG208" s="170"/>
      <c r="AH208" s="170"/>
      <c r="AI208" s="170"/>
      <c r="AJ208" s="170"/>
      <c r="AK208" s="170"/>
      <c r="AL208" s="170"/>
      <c r="AM208" s="170"/>
      <c r="AN208" s="170"/>
      <c r="AO208" s="170"/>
      <c r="AP208" s="170"/>
      <c r="AQ208" s="170"/>
      <c r="AR208" s="170"/>
      <c r="AS208" s="170"/>
      <c r="AT208" s="170"/>
      <c r="AU208" s="170"/>
      <c r="AV208" s="170"/>
      <c r="AW208" s="170"/>
      <c r="AX208" s="170"/>
    </row>
    <row r="209" spans="1:50" ht="15" x14ac:dyDescent="0.25">
      <c r="A209" s="170"/>
      <c r="B209" s="719"/>
      <c r="C209" s="170"/>
      <c r="D209" s="170"/>
      <c r="E209" s="170"/>
      <c r="F209" s="170"/>
      <c r="G209" s="721"/>
      <c r="H209" s="170"/>
      <c r="I209" s="170"/>
      <c r="J209" s="170"/>
      <c r="K209" s="170"/>
      <c r="L209" s="170"/>
      <c r="M209" s="730"/>
      <c r="N209" s="730"/>
      <c r="O209" s="730"/>
      <c r="P209" s="731"/>
      <c r="Q209" s="731"/>
      <c r="R209" s="730"/>
      <c r="S209" s="730"/>
      <c r="T209" s="723"/>
      <c r="U209" s="724"/>
      <c r="V209" s="725"/>
      <c r="W209" s="725"/>
      <c r="X209" s="723"/>
      <c r="Y209" s="723"/>
      <c r="Z209" s="723"/>
      <c r="AA209" s="726"/>
      <c r="AB209" s="726"/>
      <c r="AC209" s="170"/>
      <c r="AD209" s="586"/>
      <c r="AE209" s="586"/>
      <c r="AF209" s="170"/>
      <c r="AG209" s="170"/>
      <c r="AH209" s="170"/>
      <c r="AI209" s="170"/>
      <c r="AJ209" s="170"/>
      <c r="AK209" s="170"/>
      <c r="AL209" s="170"/>
      <c r="AM209" s="170"/>
      <c r="AN209" s="170"/>
      <c r="AO209" s="170"/>
      <c r="AP209" s="170"/>
      <c r="AQ209" s="170"/>
      <c r="AR209" s="170"/>
      <c r="AS209" s="170"/>
      <c r="AT209" s="170"/>
      <c r="AU209" s="170"/>
      <c r="AV209" s="170"/>
      <c r="AW209" s="170"/>
      <c r="AX209" s="170"/>
    </row>
    <row r="210" spans="1:50" ht="15" x14ac:dyDescent="0.25">
      <c r="A210" s="170"/>
      <c r="B210" s="719"/>
      <c r="C210" s="170"/>
      <c r="D210" s="170"/>
      <c r="E210" s="170"/>
      <c r="F210" s="170"/>
      <c r="G210" s="721"/>
      <c r="H210" s="170"/>
      <c r="I210" s="170"/>
      <c r="J210" s="170"/>
      <c r="K210" s="170"/>
      <c r="L210" s="170"/>
      <c r="M210" s="730"/>
      <c r="N210" s="730"/>
      <c r="O210" s="730"/>
      <c r="P210" s="731"/>
      <c r="Q210" s="731"/>
      <c r="R210" s="730"/>
      <c r="S210" s="730"/>
      <c r="T210" s="723"/>
      <c r="U210" s="724"/>
      <c r="V210" s="725"/>
      <c r="W210" s="725"/>
      <c r="X210" s="723"/>
      <c r="Y210" s="723"/>
      <c r="Z210" s="723"/>
      <c r="AA210" s="726"/>
      <c r="AB210" s="726"/>
      <c r="AC210" s="170"/>
      <c r="AD210" s="586"/>
      <c r="AE210" s="586"/>
      <c r="AF210" s="170"/>
      <c r="AG210" s="170"/>
      <c r="AH210" s="170"/>
      <c r="AI210" s="170"/>
      <c r="AJ210" s="170"/>
      <c r="AK210" s="170"/>
      <c r="AL210" s="170"/>
      <c r="AM210" s="170"/>
      <c r="AN210" s="170"/>
      <c r="AO210" s="170"/>
      <c r="AP210" s="170"/>
      <c r="AQ210" s="170"/>
      <c r="AR210" s="170"/>
      <c r="AS210" s="170"/>
      <c r="AT210" s="170"/>
      <c r="AU210" s="170"/>
      <c r="AV210" s="170"/>
      <c r="AW210" s="170"/>
      <c r="AX210" s="170"/>
    </row>
    <row r="211" spans="1:50" ht="15" x14ac:dyDescent="0.25">
      <c r="A211" s="170"/>
      <c r="B211" s="719"/>
      <c r="C211" s="170"/>
      <c r="D211" s="170"/>
      <c r="E211" s="170"/>
      <c r="F211" s="170"/>
      <c r="G211" s="721"/>
      <c r="H211" s="170"/>
      <c r="I211" s="170"/>
      <c r="J211" s="170"/>
      <c r="K211" s="170"/>
      <c r="L211" s="170"/>
      <c r="M211" s="730"/>
      <c r="N211" s="730"/>
      <c r="O211" s="730"/>
      <c r="P211" s="731"/>
      <c r="Q211" s="731"/>
      <c r="R211" s="730"/>
      <c r="S211" s="730"/>
      <c r="T211" s="723"/>
      <c r="U211" s="724"/>
      <c r="V211" s="725"/>
      <c r="W211" s="725"/>
      <c r="X211" s="723"/>
      <c r="Y211" s="723"/>
      <c r="Z211" s="723"/>
      <c r="AA211" s="726"/>
      <c r="AB211" s="726"/>
      <c r="AC211" s="170"/>
      <c r="AD211" s="586"/>
      <c r="AE211" s="586"/>
      <c r="AF211" s="170"/>
      <c r="AG211" s="170"/>
      <c r="AH211" s="170"/>
      <c r="AI211" s="170"/>
      <c r="AJ211" s="170"/>
      <c r="AK211" s="170"/>
      <c r="AL211" s="170"/>
      <c r="AM211" s="170"/>
      <c r="AN211" s="170"/>
      <c r="AO211" s="170"/>
      <c r="AP211" s="170"/>
      <c r="AQ211" s="170"/>
      <c r="AR211" s="170"/>
      <c r="AS211" s="170"/>
      <c r="AT211" s="170"/>
      <c r="AU211" s="170"/>
      <c r="AV211" s="170"/>
      <c r="AW211" s="170"/>
      <c r="AX211" s="170"/>
    </row>
    <row r="212" spans="1:50" ht="15" x14ac:dyDescent="0.25">
      <c r="A212" s="170"/>
      <c r="B212" s="719"/>
      <c r="C212" s="170"/>
      <c r="D212" s="170"/>
      <c r="E212" s="170"/>
      <c r="F212" s="170"/>
      <c r="G212" s="721"/>
      <c r="H212" s="170"/>
      <c r="I212" s="170"/>
      <c r="J212" s="170"/>
      <c r="K212" s="170"/>
      <c r="L212" s="170"/>
      <c r="M212" s="730"/>
      <c r="N212" s="730"/>
      <c r="O212" s="730"/>
      <c r="P212" s="731"/>
      <c r="Q212" s="731"/>
      <c r="R212" s="730"/>
      <c r="S212" s="730"/>
      <c r="T212" s="723"/>
      <c r="U212" s="724"/>
      <c r="V212" s="725"/>
      <c r="W212" s="725"/>
      <c r="X212" s="723"/>
      <c r="Y212" s="723"/>
      <c r="Z212" s="723"/>
      <c r="AA212" s="726"/>
      <c r="AB212" s="726"/>
      <c r="AC212" s="170"/>
      <c r="AD212" s="586"/>
      <c r="AE212" s="586"/>
      <c r="AF212" s="170"/>
      <c r="AG212" s="170"/>
      <c r="AH212" s="170"/>
      <c r="AI212" s="170"/>
      <c r="AJ212" s="170"/>
      <c r="AK212" s="170"/>
      <c r="AL212" s="170"/>
      <c r="AM212" s="170"/>
      <c r="AN212" s="170"/>
      <c r="AO212" s="170"/>
      <c r="AP212" s="170"/>
      <c r="AQ212" s="170"/>
      <c r="AR212" s="170"/>
      <c r="AS212" s="170"/>
      <c r="AT212" s="170"/>
      <c r="AU212" s="170"/>
      <c r="AV212" s="170"/>
      <c r="AW212" s="170"/>
      <c r="AX212" s="170"/>
    </row>
    <row r="213" spans="1:50" ht="15" x14ac:dyDescent="0.25">
      <c r="A213" s="170"/>
      <c r="B213" s="719"/>
      <c r="C213" s="170"/>
      <c r="D213" s="170"/>
      <c r="E213" s="170"/>
      <c r="F213" s="170"/>
      <c r="G213" s="721"/>
      <c r="H213" s="170"/>
      <c r="I213" s="170"/>
      <c r="J213" s="170"/>
      <c r="K213" s="170"/>
      <c r="L213" s="170"/>
      <c r="M213" s="730"/>
      <c r="N213" s="730"/>
      <c r="O213" s="730"/>
      <c r="P213" s="731"/>
      <c r="Q213" s="731"/>
      <c r="R213" s="730"/>
      <c r="S213" s="730"/>
      <c r="T213" s="723"/>
      <c r="U213" s="724"/>
      <c r="V213" s="725"/>
      <c r="W213" s="725"/>
      <c r="X213" s="723"/>
      <c r="Y213" s="723"/>
      <c r="Z213" s="723"/>
      <c r="AA213" s="726"/>
      <c r="AB213" s="726"/>
      <c r="AC213" s="170"/>
      <c r="AD213" s="586"/>
      <c r="AE213" s="586"/>
      <c r="AF213" s="170"/>
      <c r="AG213" s="170"/>
      <c r="AH213" s="170"/>
      <c r="AI213" s="170"/>
      <c r="AJ213" s="170"/>
      <c r="AK213" s="170"/>
      <c r="AL213" s="170"/>
      <c r="AM213" s="170"/>
      <c r="AN213" s="170"/>
      <c r="AO213" s="170"/>
      <c r="AP213" s="170"/>
      <c r="AQ213" s="170"/>
      <c r="AR213" s="170"/>
      <c r="AS213" s="170"/>
      <c r="AT213" s="170"/>
      <c r="AU213" s="170"/>
      <c r="AV213" s="170"/>
      <c r="AW213" s="170"/>
      <c r="AX213" s="170"/>
    </row>
    <row r="214" spans="1:50" ht="15" x14ac:dyDescent="0.25">
      <c r="A214" s="170"/>
      <c r="B214" s="719"/>
      <c r="C214" s="170"/>
      <c r="D214" s="170"/>
      <c r="E214" s="170"/>
      <c r="F214" s="170"/>
      <c r="G214" s="721"/>
      <c r="H214" s="170"/>
      <c r="I214" s="170"/>
      <c r="J214" s="170"/>
      <c r="K214" s="170"/>
      <c r="L214" s="170"/>
      <c r="M214" s="730"/>
      <c r="N214" s="730"/>
      <c r="O214" s="730"/>
      <c r="P214" s="731"/>
      <c r="Q214" s="731"/>
      <c r="R214" s="730"/>
      <c r="S214" s="730"/>
      <c r="T214" s="723"/>
      <c r="U214" s="724"/>
      <c r="V214" s="725"/>
      <c r="W214" s="725"/>
      <c r="X214" s="723"/>
      <c r="Y214" s="723"/>
      <c r="Z214" s="723"/>
      <c r="AA214" s="726"/>
      <c r="AB214" s="726"/>
      <c r="AC214" s="170"/>
      <c r="AD214" s="586"/>
      <c r="AE214" s="586"/>
      <c r="AF214" s="170"/>
      <c r="AG214" s="170"/>
      <c r="AH214" s="170"/>
      <c r="AI214" s="170"/>
      <c r="AJ214" s="170"/>
      <c r="AK214" s="170"/>
      <c r="AL214" s="170"/>
      <c r="AM214" s="170"/>
      <c r="AN214" s="170"/>
      <c r="AO214" s="170"/>
      <c r="AP214" s="170"/>
      <c r="AQ214" s="170"/>
      <c r="AR214" s="170"/>
      <c r="AS214" s="170"/>
      <c r="AT214" s="170"/>
      <c r="AU214" s="170"/>
      <c r="AV214" s="170"/>
      <c r="AW214" s="170"/>
      <c r="AX214" s="170"/>
    </row>
    <row r="215" spans="1:50" ht="15" x14ac:dyDescent="0.25">
      <c r="A215" s="170"/>
      <c r="B215" s="719"/>
      <c r="C215" s="170"/>
      <c r="D215" s="170"/>
      <c r="E215" s="170"/>
      <c r="F215" s="170"/>
      <c r="G215" s="721"/>
      <c r="H215" s="170"/>
      <c r="I215" s="170"/>
      <c r="J215" s="170"/>
      <c r="K215" s="170"/>
      <c r="L215" s="170"/>
      <c r="M215" s="730"/>
      <c r="N215" s="730"/>
      <c r="O215" s="730"/>
      <c r="P215" s="731"/>
      <c r="Q215" s="731"/>
      <c r="R215" s="730"/>
      <c r="S215" s="730"/>
      <c r="T215" s="723"/>
      <c r="U215" s="724"/>
      <c r="V215" s="725"/>
      <c r="W215" s="725"/>
      <c r="X215" s="723"/>
      <c r="Y215" s="723"/>
      <c r="Z215" s="723"/>
      <c r="AA215" s="726"/>
      <c r="AB215" s="726"/>
      <c r="AC215" s="170"/>
      <c r="AD215" s="586"/>
      <c r="AE215" s="586"/>
      <c r="AF215" s="170"/>
      <c r="AG215" s="170"/>
      <c r="AH215" s="170"/>
      <c r="AI215" s="170"/>
      <c r="AJ215" s="170"/>
      <c r="AK215" s="170"/>
      <c r="AL215" s="170"/>
      <c r="AM215" s="170"/>
      <c r="AN215" s="170"/>
      <c r="AO215" s="170"/>
      <c r="AP215" s="170"/>
      <c r="AQ215" s="170"/>
      <c r="AR215" s="170"/>
      <c r="AS215" s="170"/>
      <c r="AT215" s="170"/>
      <c r="AU215" s="170"/>
      <c r="AV215" s="170"/>
      <c r="AW215" s="170"/>
      <c r="AX215" s="170"/>
    </row>
    <row r="216" spans="1:50" ht="15" x14ac:dyDescent="0.25">
      <c r="A216" s="170"/>
      <c r="B216" s="719"/>
      <c r="C216" s="170"/>
      <c r="D216" s="170"/>
      <c r="E216" s="170"/>
      <c r="F216" s="170"/>
      <c r="G216" s="721"/>
      <c r="H216" s="170"/>
      <c r="I216" s="170"/>
      <c r="J216" s="170"/>
      <c r="K216" s="170"/>
      <c r="L216" s="170"/>
      <c r="M216" s="730"/>
      <c r="N216" s="730"/>
      <c r="O216" s="730"/>
      <c r="P216" s="731"/>
      <c r="Q216" s="731"/>
      <c r="R216" s="730"/>
      <c r="S216" s="730"/>
      <c r="T216" s="723"/>
      <c r="U216" s="724"/>
      <c r="V216" s="725"/>
      <c r="W216" s="725"/>
      <c r="X216" s="723"/>
      <c r="Y216" s="723"/>
      <c r="Z216" s="723"/>
      <c r="AA216" s="726"/>
      <c r="AB216" s="726"/>
      <c r="AC216" s="170"/>
      <c r="AD216" s="586"/>
      <c r="AE216" s="586"/>
      <c r="AF216" s="170"/>
      <c r="AG216" s="170"/>
      <c r="AH216" s="170"/>
      <c r="AI216" s="170"/>
      <c r="AJ216" s="170"/>
      <c r="AK216" s="170"/>
      <c r="AL216" s="170"/>
      <c r="AM216" s="170"/>
      <c r="AN216" s="170"/>
      <c r="AO216" s="170"/>
      <c r="AP216" s="170"/>
      <c r="AQ216" s="170"/>
      <c r="AR216" s="170"/>
      <c r="AS216" s="170"/>
      <c r="AT216" s="170"/>
      <c r="AU216" s="170"/>
      <c r="AV216" s="170"/>
      <c r="AW216" s="170"/>
      <c r="AX216" s="170"/>
    </row>
    <row r="217" spans="1:50" ht="15" x14ac:dyDescent="0.25">
      <c r="A217" s="170"/>
      <c r="B217" s="719"/>
      <c r="C217" s="170"/>
      <c r="D217" s="170"/>
      <c r="E217" s="170"/>
      <c r="F217" s="170"/>
      <c r="G217" s="721"/>
      <c r="H217" s="170"/>
      <c r="I217" s="170"/>
      <c r="J217" s="170"/>
      <c r="K217" s="170"/>
      <c r="L217" s="170"/>
      <c r="M217" s="730"/>
      <c r="N217" s="730"/>
      <c r="O217" s="730"/>
      <c r="P217" s="731"/>
      <c r="Q217" s="731"/>
      <c r="R217" s="730"/>
      <c r="S217" s="730"/>
      <c r="T217" s="723"/>
      <c r="U217" s="724"/>
      <c r="V217" s="725"/>
      <c r="W217" s="725"/>
      <c r="X217" s="723"/>
      <c r="Y217" s="723"/>
      <c r="Z217" s="723"/>
      <c r="AA217" s="726"/>
      <c r="AB217" s="726"/>
      <c r="AC217" s="170"/>
      <c r="AD217" s="586"/>
      <c r="AE217" s="586"/>
      <c r="AF217" s="170"/>
      <c r="AG217" s="170"/>
      <c r="AH217" s="170"/>
      <c r="AI217" s="170"/>
      <c r="AJ217" s="170"/>
      <c r="AK217" s="170"/>
      <c r="AL217" s="170"/>
      <c r="AM217" s="170"/>
      <c r="AN217" s="170"/>
      <c r="AO217" s="170"/>
      <c r="AP217" s="170"/>
      <c r="AQ217" s="170"/>
      <c r="AR217" s="170"/>
      <c r="AS217" s="170"/>
      <c r="AT217" s="170"/>
      <c r="AU217" s="170"/>
      <c r="AV217" s="170"/>
      <c r="AW217" s="170"/>
      <c r="AX217" s="170"/>
    </row>
    <row r="218" spans="1:50" ht="15" x14ac:dyDescent="0.25">
      <c r="A218" s="170"/>
      <c r="B218" s="719"/>
      <c r="C218" s="170"/>
      <c r="D218" s="170"/>
      <c r="E218" s="170"/>
      <c r="F218" s="170"/>
      <c r="G218" s="721"/>
      <c r="H218" s="170"/>
      <c r="I218" s="170"/>
      <c r="J218" s="170"/>
      <c r="K218" s="170"/>
      <c r="L218" s="170"/>
      <c r="M218" s="730"/>
      <c r="N218" s="730"/>
      <c r="O218" s="730"/>
      <c r="P218" s="731"/>
      <c r="Q218" s="731"/>
      <c r="R218" s="730"/>
      <c r="S218" s="730"/>
      <c r="T218" s="723"/>
      <c r="U218" s="724"/>
      <c r="V218" s="725"/>
      <c r="W218" s="725"/>
      <c r="X218" s="723"/>
      <c r="Y218" s="723"/>
      <c r="Z218" s="723"/>
      <c r="AA218" s="726"/>
      <c r="AB218" s="726"/>
      <c r="AC218" s="170"/>
      <c r="AD218" s="586"/>
      <c r="AE218" s="586"/>
      <c r="AF218" s="170"/>
      <c r="AG218" s="170"/>
      <c r="AH218" s="170"/>
      <c r="AI218" s="170"/>
      <c r="AJ218" s="170"/>
      <c r="AK218" s="170"/>
      <c r="AL218" s="170"/>
      <c r="AM218" s="170"/>
      <c r="AN218" s="170"/>
      <c r="AO218" s="170"/>
      <c r="AP218" s="170"/>
      <c r="AQ218" s="170"/>
      <c r="AR218" s="170"/>
      <c r="AS218" s="170"/>
      <c r="AT218" s="170"/>
      <c r="AU218" s="170"/>
      <c r="AV218" s="170"/>
      <c r="AW218" s="170"/>
      <c r="AX218" s="170"/>
    </row>
    <row r="219" spans="1:50" ht="15" x14ac:dyDescent="0.25">
      <c r="A219" s="170"/>
      <c r="B219" s="719"/>
      <c r="C219" s="170"/>
      <c r="D219" s="170"/>
      <c r="E219" s="170"/>
      <c r="F219" s="170"/>
      <c r="G219" s="721"/>
      <c r="H219" s="170"/>
      <c r="I219" s="170"/>
      <c r="J219" s="170"/>
      <c r="K219" s="170"/>
      <c r="L219" s="170"/>
      <c r="M219" s="730"/>
      <c r="N219" s="730"/>
      <c r="O219" s="730"/>
      <c r="P219" s="731"/>
      <c r="Q219" s="731"/>
      <c r="R219" s="730"/>
      <c r="S219" s="730"/>
      <c r="T219" s="723"/>
      <c r="U219" s="724"/>
      <c r="V219" s="725"/>
      <c r="W219" s="725"/>
      <c r="X219" s="723"/>
      <c r="Y219" s="723"/>
      <c r="Z219" s="723"/>
      <c r="AA219" s="726"/>
      <c r="AB219" s="726"/>
      <c r="AC219" s="170"/>
      <c r="AD219" s="586"/>
      <c r="AE219" s="586"/>
      <c r="AF219" s="170"/>
      <c r="AG219" s="170"/>
      <c r="AH219" s="170"/>
      <c r="AI219" s="170"/>
      <c r="AJ219" s="170"/>
      <c r="AK219" s="170"/>
      <c r="AL219" s="170"/>
      <c r="AM219" s="170"/>
      <c r="AN219" s="170"/>
      <c r="AO219" s="170"/>
      <c r="AP219" s="170"/>
      <c r="AQ219" s="170"/>
      <c r="AR219" s="170"/>
      <c r="AS219" s="170"/>
      <c r="AT219" s="170"/>
      <c r="AU219" s="170"/>
      <c r="AV219" s="170"/>
      <c r="AW219" s="170"/>
      <c r="AX219" s="170"/>
    </row>
    <row r="220" spans="1:50" ht="15" x14ac:dyDescent="0.25">
      <c r="A220" s="170"/>
      <c r="B220" s="719"/>
      <c r="C220" s="170"/>
      <c r="D220" s="170"/>
      <c r="E220" s="170"/>
      <c r="F220" s="170"/>
      <c r="G220" s="721"/>
      <c r="H220" s="170"/>
      <c r="I220" s="170"/>
      <c r="J220" s="170"/>
      <c r="K220" s="170"/>
      <c r="L220" s="170"/>
      <c r="M220" s="730"/>
      <c r="N220" s="730"/>
      <c r="O220" s="730"/>
      <c r="P220" s="731"/>
      <c r="Q220" s="731"/>
      <c r="R220" s="730"/>
      <c r="S220" s="730"/>
      <c r="T220" s="723"/>
      <c r="U220" s="724"/>
      <c r="V220" s="725"/>
      <c r="W220" s="725"/>
      <c r="X220" s="723"/>
      <c r="Y220" s="723"/>
      <c r="Z220" s="723"/>
      <c r="AA220" s="726"/>
      <c r="AB220" s="726"/>
      <c r="AC220" s="170"/>
      <c r="AD220" s="586"/>
      <c r="AE220" s="586"/>
      <c r="AF220" s="170"/>
      <c r="AG220" s="170"/>
      <c r="AH220" s="170"/>
      <c r="AI220" s="170"/>
      <c r="AJ220" s="170"/>
      <c r="AK220" s="170"/>
      <c r="AL220" s="170"/>
      <c r="AM220" s="170"/>
      <c r="AN220" s="170"/>
      <c r="AO220" s="170"/>
      <c r="AP220" s="170"/>
      <c r="AQ220" s="170"/>
      <c r="AR220" s="170"/>
      <c r="AS220" s="170"/>
      <c r="AT220" s="170"/>
      <c r="AU220" s="170"/>
      <c r="AV220" s="170"/>
      <c r="AW220" s="170"/>
      <c r="AX220" s="170"/>
    </row>
    <row r="221" spans="1:50" ht="15" x14ac:dyDescent="0.25">
      <c r="A221" s="170"/>
      <c r="B221" s="719"/>
      <c r="C221" s="170"/>
      <c r="D221" s="170"/>
      <c r="E221" s="170"/>
      <c r="F221" s="170"/>
      <c r="G221" s="721"/>
      <c r="H221" s="170"/>
      <c r="I221" s="170"/>
      <c r="J221" s="170"/>
      <c r="K221" s="170"/>
      <c r="L221" s="170"/>
      <c r="M221" s="730"/>
      <c r="N221" s="730"/>
      <c r="O221" s="730"/>
      <c r="P221" s="731"/>
      <c r="Q221" s="731"/>
      <c r="R221" s="730"/>
      <c r="S221" s="730"/>
      <c r="T221" s="723"/>
      <c r="U221" s="724"/>
      <c r="V221" s="725"/>
      <c r="W221" s="725"/>
      <c r="X221" s="723"/>
      <c r="Y221" s="723"/>
      <c r="Z221" s="723"/>
      <c r="AA221" s="726"/>
      <c r="AB221" s="726"/>
      <c r="AC221" s="170"/>
      <c r="AD221" s="586"/>
      <c r="AE221" s="586"/>
      <c r="AF221" s="170"/>
      <c r="AG221" s="170"/>
      <c r="AH221" s="170"/>
      <c r="AI221" s="170"/>
      <c r="AJ221" s="170"/>
      <c r="AK221" s="170"/>
      <c r="AL221" s="170"/>
      <c r="AM221" s="170"/>
      <c r="AN221" s="170"/>
      <c r="AO221" s="170"/>
      <c r="AP221" s="170"/>
      <c r="AQ221" s="170"/>
      <c r="AR221" s="170"/>
      <c r="AS221" s="170"/>
      <c r="AT221" s="170"/>
      <c r="AU221" s="170"/>
      <c r="AV221" s="170"/>
      <c r="AW221" s="170"/>
      <c r="AX221" s="170"/>
    </row>
    <row r="222" spans="1:50" ht="15" x14ac:dyDescent="0.25">
      <c r="A222" s="170"/>
      <c r="B222" s="719"/>
      <c r="C222" s="170"/>
      <c r="D222" s="170"/>
      <c r="E222" s="170"/>
      <c r="F222" s="170"/>
      <c r="G222" s="721"/>
      <c r="H222" s="170"/>
      <c r="I222" s="170"/>
      <c r="J222" s="170"/>
      <c r="K222" s="170"/>
      <c r="L222" s="170"/>
      <c r="M222" s="730"/>
      <c r="N222" s="730"/>
      <c r="O222" s="730"/>
      <c r="P222" s="731"/>
      <c r="Q222" s="731"/>
      <c r="R222" s="730"/>
      <c r="S222" s="730"/>
      <c r="T222" s="723"/>
      <c r="U222" s="724"/>
      <c r="V222" s="725"/>
      <c r="W222" s="725"/>
      <c r="X222" s="723"/>
      <c r="Y222" s="723"/>
      <c r="Z222" s="723"/>
      <c r="AA222" s="726"/>
      <c r="AB222" s="726"/>
      <c r="AC222" s="170"/>
      <c r="AD222" s="586"/>
      <c r="AE222" s="586"/>
      <c r="AF222" s="170"/>
      <c r="AG222" s="170"/>
      <c r="AH222" s="170"/>
      <c r="AI222" s="170"/>
      <c r="AJ222" s="170"/>
      <c r="AK222" s="170"/>
      <c r="AL222" s="170"/>
      <c r="AM222" s="170"/>
      <c r="AN222" s="170"/>
      <c r="AO222" s="170"/>
      <c r="AP222" s="170"/>
      <c r="AQ222" s="170"/>
      <c r="AR222" s="170"/>
      <c r="AS222" s="170"/>
      <c r="AT222" s="170"/>
      <c r="AU222" s="170"/>
      <c r="AV222" s="170"/>
      <c r="AW222" s="170"/>
      <c r="AX222" s="170"/>
    </row>
    <row r="223" spans="1:50" ht="15" x14ac:dyDescent="0.25">
      <c r="A223" s="170"/>
      <c r="B223" s="719"/>
      <c r="C223" s="170"/>
      <c r="D223" s="170"/>
      <c r="E223" s="170"/>
      <c r="F223" s="170"/>
      <c r="G223" s="721"/>
      <c r="H223" s="170"/>
      <c r="I223" s="170"/>
      <c r="J223" s="170"/>
      <c r="K223" s="170"/>
      <c r="L223" s="170"/>
      <c r="M223" s="730"/>
      <c r="N223" s="730"/>
      <c r="O223" s="730"/>
      <c r="P223" s="731"/>
      <c r="Q223" s="731"/>
      <c r="R223" s="730"/>
      <c r="S223" s="730"/>
      <c r="T223" s="723"/>
      <c r="U223" s="724"/>
      <c r="V223" s="725"/>
      <c r="W223" s="725"/>
      <c r="X223" s="723"/>
      <c r="Y223" s="723"/>
      <c r="Z223" s="723"/>
      <c r="AA223" s="726"/>
      <c r="AB223" s="726"/>
      <c r="AC223" s="170"/>
      <c r="AD223" s="586"/>
      <c r="AE223" s="586"/>
      <c r="AF223" s="170"/>
      <c r="AG223" s="170"/>
      <c r="AH223" s="170"/>
      <c r="AI223" s="170"/>
      <c r="AJ223" s="170"/>
      <c r="AK223" s="170"/>
      <c r="AL223" s="170"/>
      <c r="AM223" s="170"/>
      <c r="AN223" s="170"/>
      <c r="AO223" s="170"/>
      <c r="AP223" s="170"/>
      <c r="AQ223" s="170"/>
      <c r="AR223" s="170"/>
      <c r="AS223" s="170"/>
      <c r="AT223" s="170"/>
      <c r="AU223" s="170"/>
      <c r="AV223" s="170"/>
      <c r="AW223" s="170"/>
      <c r="AX223" s="170"/>
    </row>
    <row r="224" spans="1:50" ht="15" x14ac:dyDescent="0.25">
      <c r="A224" s="170"/>
      <c r="B224" s="719"/>
      <c r="C224" s="170"/>
      <c r="D224" s="170"/>
      <c r="E224" s="170"/>
      <c r="F224" s="170"/>
      <c r="G224" s="721"/>
      <c r="H224" s="170"/>
      <c r="I224" s="170"/>
      <c r="J224" s="170"/>
      <c r="K224" s="170"/>
      <c r="L224" s="170"/>
      <c r="M224" s="730"/>
      <c r="N224" s="730"/>
      <c r="O224" s="730"/>
      <c r="P224" s="731"/>
      <c r="Q224" s="731"/>
      <c r="R224" s="730"/>
      <c r="S224" s="730"/>
      <c r="T224" s="723"/>
      <c r="U224" s="724"/>
      <c r="V224" s="725"/>
      <c r="W224" s="725"/>
      <c r="X224" s="723"/>
      <c r="Y224" s="723"/>
      <c r="Z224" s="723"/>
      <c r="AA224" s="726"/>
      <c r="AB224" s="726"/>
      <c r="AC224" s="170"/>
      <c r="AD224" s="586"/>
      <c r="AE224" s="586"/>
      <c r="AF224" s="170"/>
      <c r="AG224" s="170"/>
      <c r="AH224" s="170"/>
      <c r="AI224" s="170"/>
      <c r="AJ224" s="170"/>
      <c r="AK224" s="170"/>
      <c r="AL224" s="170"/>
      <c r="AM224" s="170"/>
      <c r="AN224" s="170"/>
      <c r="AO224" s="170"/>
      <c r="AP224" s="170"/>
      <c r="AQ224" s="170"/>
      <c r="AR224" s="170"/>
      <c r="AS224" s="170"/>
      <c r="AT224" s="170"/>
      <c r="AU224" s="170"/>
      <c r="AV224" s="170"/>
      <c r="AW224" s="170"/>
      <c r="AX224" s="170"/>
    </row>
    <row r="225" spans="1:50" ht="15" x14ac:dyDescent="0.25">
      <c r="A225" s="170"/>
      <c r="B225" s="719"/>
      <c r="C225" s="170"/>
      <c r="D225" s="170"/>
      <c r="E225" s="170"/>
      <c r="F225" s="170"/>
      <c r="G225" s="721"/>
      <c r="H225" s="170"/>
      <c r="I225" s="170"/>
      <c r="J225" s="170"/>
      <c r="K225" s="170"/>
      <c r="L225" s="170"/>
      <c r="M225" s="730"/>
      <c r="N225" s="730"/>
      <c r="O225" s="730"/>
      <c r="P225" s="731"/>
      <c r="Q225" s="731"/>
      <c r="R225" s="730"/>
      <c r="S225" s="730"/>
      <c r="T225" s="723"/>
      <c r="U225" s="724"/>
      <c r="V225" s="725"/>
      <c r="W225" s="725"/>
      <c r="X225" s="723"/>
      <c r="Y225" s="723"/>
      <c r="Z225" s="723"/>
      <c r="AA225" s="726"/>
      <c r="AB225" s="726"/>
      <c r="AC225" s="170"/>
      <c r="AD225" s="586"/>
      <c r="AE225" s="586"/>
      <c r="AF225" s="170"/>
      <c r="AG225" s="170"/>
      <c r="AH225" s="170"/>
      <c r="AI225" s="170"/>
      <c r="AJ225" s="170"/>
      <c r="AK225" s="170"/>
      <c r="AL225" s="170"/>
      <c r="AM225" s="170"/>
      <c r="AN225" s="170"/>
      <c r="AO225" s="170"/>
      <c r="AP225" s="170"/>
      <c r="AQ225" s="170"/>
      <c r="AR225" s="170"/>
      <c r="AS225" s="170"/>
      <c r="AT225" s="170"/>
      <c r="AU225" s="170"/>
      <c r="AV225" s="170"/>
      <c r="AW225" s="170"/>
      <c r="AX225" s="170"/>
    </row>
    <row r="226" spans="1:50" ht="15" x14ac:dyDescent="0.25">
      <c r="A226" s="170"/>
      <c r="B226" s="719"/>
      <c r="C226" s="170"/>
      <c r="D226" s="170"/>
      <c r="E226" s="170"/>
      <c r="F226" s="170"/>
      <c r="G226" s="721"/>
      <c r="H226" s="170"/>
      <c r="I226" s="170"/>
      <c r="J226" s="170"/>
      <c r="K226" s="170"/>
      <c r="L226" s="170"/>
      <c r="M226" s="730"/>
      <c r="N226" s="730"/>
      <c r="O226" s="730"/>
      <c r="P226" s="731"/>
      <c r="Q226" s="731"/>
      <c r="R226" s="730"/>
      <c r="S226" s="730"/>
      <c r="T226" s="723"/>
      <c r="U226" s="724"/>
      <c r="V226" s="725"/>
      <c r="W226" s="725"/>
      <c r="X226" s="723"/>
      <c r="Y226" s="723"/>
      <c r="Z226" s="723"/>
      <c r="AA226" s="726"/>
      <c r="AB226" s="726"/>
      <c r="AC226" s="170"/>
      <c r="AD226" s="586"/>
      <c r="AE226" s="586"/>
      <c r="AF226" s="170"/>
      <c r="AG226" s="170"/>
      <c r="AH226" s="170"/>
      <c r="AI226" s="170"/>
      <c r="AJ226" s="170"/>
      <c r="AK226" s="170"/>
      <c r="AL226" s="170"/>
      <c r="AM226" s="170"/>
      <c r="AN226" s="170"/>
      <c r="AO226" s="170"/>
      <c r="AP226" s="170"/>
      <c r="AQ226" s="170"/>
      <c r="AR226" s="170"/>
      <c r="AS226" s="170"/>
      <c r="AT226" s="170"/>
      <c r="AU226" s="170"/>
      <c r="AV226" s="170"/>
      <c r="AW226" s="170"/>
      <c r="AX226" s="170"/>
    </row>
    <row r="227" spans="1:50" ht="15" x14ac:dyDescent="0.25">
      <c r="A227" s="170"/>
      <c r="B227" s="719"/>
      <c r="C227" s="170"/>
      <c r="D227" s="170"/>
      <c r="E227" s="170"/>
      <c r="F227" s="170"/>
      <c r="G227" s="721"/>
      <c r="H227" s="170"/>
      <c r="I227" s="170"/>
      <c r="J227" s="170"/>
      <c r="K227" s="170"/>
      <c r="L227" s="170"/>
      <c r="M227" s="730"/>
      <c r="N227" s="730"/>
      <c r="O227" s="730"/>
      <c r="P227" s="731"/>
      <c r="Q227" s="731"/>
      <c r="R227" s="730"/>
      <c r="S227" s="730"/>
      <c r="T227" s="723"/>
      <c r="U227" s="724"/>
      <c r="V227" s="725"/>
      <c r="W227" s="725"/>
      <c r="X227" s="723"/>
      <c r="Y227" s="723"/>
      <c r="Z227" s="723"/>
      <c r="AA227" s="726"/>
      <c r="AB227" s="726"/>
      <c r="AC227" s="170"/>
      <c r="AD227" s="586"/>
      <c r="AE227" s="586"/>
      <c r="AF227" s="170"/>
      <c r="AG227" s="170"/>
      <c r="AH227" s="170"/>
      <c r="AI227" s="170"/>
      <c r="AJ227" s="170"/>
      <c r="AK227" s="170"/>
      <c r="AL227" s="170"/>
      <c r="AM227" s="170"/>
      <c r="AN227" s="170"/>
      <c r="AO227" s="170"/>
      <c r="AP227" s="170"/>
      <c r="AQ227" s="170"/>
      <c r="AR227" s="170"/>
      <c r="AS227" s="170"/>
      <c r="AT227" s="170"/>
      <c r="AU227" s="170"/>
      <c r="AV227" s="170"/>
      <c r="AW227" s="170"/>
      <c r="AX227" s="170"/>
    </row>
    <row r="228" spans="1:50" ht="15" x14ac:dyDescent="0.25">
      <c r="A228" s="170"/>
      <c r="B228" s="719"/>
      <c r="C228" s="170"/>
      <c r="D228" s="170"/>
      <c r="E228" s="170"/>
      <c r="F228" s="170"/>
      <c r="G228" s="721"/>
      <c r="H228" s="170"/>
      <c r="I228" s="170"/>
      <c r="J228" s="170"/>
      <c r="K228" s="170"/>
      <c r="L228" s="170"/>
      <c r="M228" s="730"/>
      <c r="N228" s="730"/>
      <c r="O228" s="730"/>
      <c r="P228" s="731"/>
      <c r="Q228" s="731"/>
      <c r="R228" s="730"/>
      <c r="S228" s="730"/>
      <c r="T228" s="723"/>
      <c r="U228" s="724"/>
      <c r="V228" s="725"/>
      <c r="W228" s="725"/>
      <c r="X228" s="723"/>
      <c r="Y228" s="723"/>
      <c r="Z228" s="723"/>
      <c r="AA228" s="726"/>
      <c r="AB228" s="726"/>
      <c r="AC228" s="170"/>
      <c r="AD228" s="586"/>
      <c r="AE228" s="586"/>
      <c r="AF228" s="170"/>
      <c r="AG228" s="170"/>
      <c r="AH228" s="170"/>
      <c r="AI228" s="170"/>
      <c r="AJ228" s="170"/>
      <c r="AK228" s="170"/>
      <c r="AL228" s="170"/>
      <c r="AM228" s="170"/>
      <c r="AN228" s="170"/>
      <c r="AO228" s="170"/>
      <c r="AP228" s="170"/>
      <c r="AQ228" s="170"/>
      <c r="AR228" s="170"/>
      <c r="AS228" s="170"/>
      <c r="AT228" s="170"/>
      <c r="AU228" s="170"/>
      <c r="AV228" s="170"/>
      <c r="AW228" s="170"/>
      <c r="AX228" s="170"/>
    </row>
    <row r="229" spans="1:50" ht="15" x14ac:dyDescent="0.25">
      <c r="A229" s="170"/>
      <c r="B229" s="719"/>
      <c r="C229" s="170"/>
      <c r="D229" s="170"/>
      <c r="E229" s="170"/>
      <c r="F229" s="170"/>
      <c r="G229" s="721"/>
      <c r="H229" s="170"/>
      <c r="I229" s="170"/>
      <c r="J229" s="170"/>
      <c r="K229" s="170"/>
      <c r="L229" s="170"/>
      <c r="M229" s="730"/>
      <c r="N229" s="730"/>
      <c r="O229" s="730"/>
      <c r="P229" s="731"/>
      <c r="Q229" s="731"/>
      <c r="R229" s="730"/>
      <c r="S229" s="730"/>
      <c r="T229" s="723"/>
      <c r="U229" s="724"/>
      <c r="V229" s="725"/>
      <c r="W229" s="725"/>
      <c r="X229" s="723"/>
      <c r="Y229" s="723"/>
      <c r="Z229" s="723"/>
      <c r="AA229" s="726"/>
      <c r="AB229" s="726"/>
      <c r="AC229" s="170"/>
      <c r="AD229" s="586"/>
      <c r="AE229" s="586"/>
      <c r="AF229" s="170"/>
      <c r="AG229" s="170"/>
      <c r="AH229" s="170"/>
      <c r="AI229" s="170"/>
      <c r="AJ229" s="170"/>
      <c r="AK229" s="170"/>
      <c r="AL229" s="170"/>
      <c r="AM229" s="170"/>
      <c r="AN229" s="170"/>
      <c r="AO229" s="170"/>
      <c r="AP229" s="170"/>
      <c r="AQ229" s="170"/>
      <c r="AR229" s="170"/>
      <c r="AS229" s="170"/>
      <c r="AT229" s="170"/>
      <c r="AU229" s="170"/>
      <c r="AV229" s="170"/>
      <c r="AW229" s="170"/>
      <c r="AX229" s="170"/>
    </row>
    <row r="230" spans="1:50" ht="15" x14ac:dyDescent="0.25">
      <c r="A230" s="170"/>
      <c r="B230" s="719"/>
      <c r="C230" s="170"/>
      <c r="D230" s="170"/>
      <c r="E230" s="170"/>
      <c r="F230" s="170"/>
      <c r="G230" s="721"/>
      <c r="H230" s="170"/>
      <c r="I230" s="170"/>
      <c r="J230" s="170"/>
      <c r="K230" s="170"/>
      <c r="L230" s="170"/>
      <c r="M230" s="730"/>
      <c r="N230" s="730"/>
      <c r="O230" s="730"/>
      <c r="P230" s="731"/>
      <c r="Q230" s="731"/>
      <c r="R230" s="730"/>
      <c r="S230" s="730"/>
      <c r="T230" s="723"/>
      <c r="U230" s="724"/>
      <c r="V230" s="725"/>
      <c r="W230" s="725"/>
      <c r="X230" s="723"/>
      <c r="Y230" s="723"/>
      <c r="Z230" s="723"/>
      <c r="AA230" s="726"/>
      <c r="AB230" s="726"/>
      <c r="AC230" s="170"/>
      <c r="AD230" s="586"/>
      <c r="AE230" s="586"/>
      <c r="AF230" s="170"/>
      <c r="AG230" s="170"/>
      <c r="AH230" s="170"/>
      <c r="AI230" s="170"/>
      <c r="AJ230" s="170"/>
      <c r="AK230" s="170"/>
      <c r="AL230" s="170"/>
      <c r="AM230" s="170"/>
      <c r="AN230" s="170"/>
      <c r="AO230" s="170"/>
      <c r="AP230" s="170"/>
      <c r="AQ230" s="170"/>
      <c r="AR230" s="170"/>
      <c r="AS230" s="170"/>
      <c r="AT230" s="170"/>
      <c r="AU230" s="170"/>
      <c r="AV230" s="170"/>
      <c r="AW230" s="170"/>
      <c r="AX230" s="170"/>
    </row>
    <row r="231" spans="1:50" ht="15" x14ac:dyDescent="0.25">
      <c r="A231" s="170"/>
      <c r="B231" s="719"/>
      <c r="C231" s="170"/>
      <c r="D231" s="170"/>
      <c r="E231" s="170"/>
      <c r="F231" s="170"/>
      <c r="G231" s="721"/>
      <c r="H231" s="170"/>
      <c r="I231" s="170"/>
      <c r="J231" s="170"/>
      <c r="K231" s="170"/>
      <c r="L231" s="170"/>
      <c r="M231" s="730"/>
      <c r="N231" s="730"/>
      <c r="O231" s="730"/>
      <c r="P231" s="731"/>
      <c r="Q231" s="731"/>
      <c r="R231" s="730"/>
      <c r="S231" s="730"/>
      <c r="T231" s="723"/>
      <c r="U231" s="724"/>
      <c r="V231" s="725"/>
      <c r="W231" s="725"/>
      <c r="X231" s="723"/>
      <c r="Y231" s="723"/>
      <c r="Z231" s="723"/>
      <c r="AA231" s="726"/>
      <c r="AB231" s="726"/>
      <c r="AC231" s="170"/>
      <c r="AD231" s="586"/>
      <c r="AE231" s="586"/>
      <c r="AF231" s="170"/>
      <c r="AG231" s="170"/>
      <c r="AH231" s="170"/>
      <c r="AI231" s="170"/>
      <c r="AJ231" s="170"/>
      <c r="AK231" s="170"/>
      <c r="AL231" s="170"/>
      <c r="AM231" s="170"/>
      <c r="AN231" s="170"/>
      <c r="AO231" s="170"/>
      <c r="AP231" s="170"/>
      <c r="AQ231" s="170"/>
      <c r="AR231" s="170"/>
      <c r="AS231" s="170"/>
      <c r="AT231" s="170"/>
      <c r="AU231" s="170"/>
      <c r="AV231" s="170"/>
      <c r="AW231" s="170"/>
      <c r="AX231" s="170"/>
    </row>
    <row r="232" spans="1:50" ht="15" x14ac:dyDescent="0.25">
      <c r="A232" s="170"/>
      <c r="B232" s="719"/>
      <c r="C232" s="170"/>
      <c r="D232" s="170"/>
      <c r="E232" s="170"/>
      <c r="F232" s="170"/>
      <c r="G232" s="721"/>
      <c r="H232" s="170"/>
      <c r="I232" s="170"/>
      <c r="J232" s="170"/>
      <c r="K232" s="170"/>
      <c r="L232" s="170"/>
      <c r="M232" s="730"/>
      <c r="N232" s="730"/>
      <c r="O232" s="730"/>
      <c r="P232" s="731"/>
      <c r="Q232" s="731"/>
      <c r="R232" s="730"/>
      <c r="S232" s="730"/>
      <c r="T232" s="723"/>
      <c r="U232" s="724"/>
      <c r="V232" s="725"/>
      <c r="W232" s="725"/>
      <c r="X232" s="723"/>
      <c r="Y232" s="723"/>
      <c r="Z232" s="723"/>
      <c r="AA232" s="726"/>
      <c r="AB232" s="726"/>
      <c r="AC232" s="170"/>
      <c r="AD232" s="586"/>
      <c r="AE232" s="586"/>
      <c r="AF232" s="170"/>
      <c r="AG232" s="170"/>
      <c r="AH232" s="170"/>
      <c r="AI232" s="170"/>
      <c r="AJ232" s="170"/>
      <c r="AK232" s="170"/>
      <c r="AL232" s="170"/>
      <c r="AM232" s="170"/>
      <c r="AN232" s="170"/>
      <c r="AO232" s="170"/>
      <c r="AP232" s="170"/>
      <c r="AQ232" s="170"/>
      <c r="AR232" s="170"/>
      <c r="AS232" s="170"/>
      <c r="AT232" s="170"/>
      <c r="AU232" s="170"/>
      <c r="AV232" s="170"/>
      <c r="AW232" s="170"/>
      <c r="AX232" s="170"/>
    </row>
    <row r="233" spans="1:50" ht="15" x14ac:dyDescent="0.25">
      <c r="A233" s="170"/>
      <c r="B233" s="719"/>
      <c r="C233" s="170"/>
      <c r="D233" s="170"/>
      <c r="E233" s="170"/>
      <c r="F233" s="170"/>
      <c r="G233" s="721"/>
      <c r="H233" s="170"/>
      <c r="I233" s="170"/>
      <c r="J233" s="170"/>
      <c r="K233" s="170"/>
      <c r="L233" s="170"/>
      <c r="M233" s="730"/>
      <c r="N233" s="730"/>
      <c r="O233" s="730"/>
      <c r="P233" s="731"/>
      <c r="Q233" s="731"/>
      <c r="R233" s="730"/>
      <c r="S233" s="730"/>
      <c r="T233" s="723"/>
      <c r="U233" s="724"/>
      <c r="V233" s="725"/>
      <c r="W233" s="725"/>
      <c r="X233" s="723"/>
      <c r="Y233" s="723"/>
      <c r="Z233" s="723"/>
      <c r="AA233" s="726"/>
      <c r="AB233" s="726"/>
      <c r="AC233" s="170"/>
      <c r="AD233" s="586"/>
      <c r="AE233" s="586"/>
      <c r="AF233" s="170"/>
      <c r="AG233" s="170"/>
      <c r="AH233" s="170"/>
      <c r="AI233" s="170"/>
      <c r="AJ233" s="170"/>
      <c r="AK233" s="170"/>
      <c r="AL233" s="170"/>
      <c r="AM233" s="170"/>
      <c r="AN233" s="170"/>
      <c r="AO233" s="170"/>
      <c r="AP233" s="170"/>
      <c r="AQ233" s="170"/>
      <c r="AR233" s="170"/>
      <c r="AS233" s="170"/>
      <c r="AT233" s="170"/>
      <c r="AU233" s="170"/>
      <c r="AV233" s="170"/>
      <c r="AW233" s="170"/>
      <c r="AX233" s="170"/>
    </row>
    <row r="234" spans="1:50" ht="15" x14ac:dyDescent="0.25">
      <c r="A234" s="170"/>
      <c r="B234" s="719"/>
      <c r="C234" s="170"/>
      <c r="D234" s="170"/>
      <c r="E234" s="170"/>
      <c r="F234" s="170"/>
      <c r="G234" s="721"/>
      <c r="H234" s="170"/>
      <c r="I234" s="170"/>
      <c r="J234" s="170"/>
      <c r="K234" s="170"/>
      <c r="L234" s="170"/>
      <c r="M234" s="730"/>
      <c r="N234" s="730"/>
      <c r="O234" s="730"/>
      <c r="P234" s="731"/>
      <c r="Q234" s="731"/>
      <c r="R234" s="730"/>
      <c r="S234" s="730"/>
      <c r="T234" s="723"/>
      <c r="U234" s="724"/>
      <c r="V234" s="725"/>
      <c r="W234" s="725"/>
      <c r="X234" s="723"/>
      <c r="Y234" s="723"/>
      <c r="Z234" s="723"/>
      <c r="AA234" s="726"/>
      <c r="AB234" s="726"/>
      <c r="AC234" s="170"/>
      <c r="AD234" s="586"/>
      <c r="AE234" s="586"/>
      <c r="AF234" s="170"/>
      <c r="AG234" s="170"/>
      <c r="AH234" s="170"/>
      <c r="AI234" s="170"/>
      <c r="AJ234" s="170"/>
      <c r="AK234" s="170"/>
      <c r="AL234" s="170"/>
      <c r="AM234" s="170"/>
      <c r="AN234" s="170"/>
      <c r="AO234" s="170"/>
      <c r="AP234" s="170"/>
      <c r="AQ234" s="170"/>
      <c r="AR234" s="170"/>
      <c r="AS234" s="170"/>
      <c r="AT234" s="170"/>
      <c r="AU234" s="170"/>
      <c r="AV234" s="170"/>
      <c r="AW234" s="170"/>
      <c r="AX234" s="170"/>
    </row>
    <row r="235" spans="1:50" ht="15" x14ac:dyDescent="0.25">
      <c r="A235" s="170"/>
      <c r="B235" s="719"/>
      <c r="C235" s="170"/>
      <c r="D235" s="170"/>
      <c r="E235" s="170"/>
      <c r="F235" s="170"/>
      <c r="G235" s="721"/>
      <c r="H235" s="170"/>
      <c r="I235" s="170"/>
      <c r="J235" s="170"/>
      <c r="K235" s="170"/>
      <c r="L235" s="170"/>
      <c r="M235" s="730"/>
      <c r="N235" s="730"/>
      <c r="O235" s="730"/>
      <c r="P235" s="731"/>
      <c r="Q235" s="731"/>
      <c r="R235" s="730"/>
      <c r="S235" s="730"/>
      <c r="T235" s="723"/>
      <c r="U235" s="724"/>
      <c r="V235" s="725"/>
      <c r="W235" s="725"/>
      <c r="X235" s="723"/>
      <c r="Y235" s="723"/>
      <c r="Z235" s="723"/>
      <c r="AA235" s="726"/>
      <c r="AB235" s="726"/>
      <c r="AC235" s="170"/>
      <c r="AD235" s="586"/>
      <c r="AE235" s="586"/>
      <c r="AF235" s="170"/>
      <c r="AG235" s="170"/>
      <c r="AH235" s="170"/>
      <c r="AI235" s="170"/>
      <c r="AJ235" s="170"/>
      <c r="AK235" s="170"/>
      <c r="AL235" s="170"/>
      <c r="AM235" s="170"/>
      <c r="AN235" s="170"/>
      <c r="AO235" s="170"/>
      <c r="AP235" s="170"/>
      <c r="AQ235" s="170"/>
      <c r="AR235" s="170"/>
      <c r="AS235" s="170"/>
      <c r="AT235" s="170"/>
      <c r="AU235" s="170"/>
      <c r="AV235" s="170"/>
      <c r="AW235" s="170"/>
      <c r="AX235" s="170"/>
    </row>
    <row r="236" spans="1:50" ht="15" x14ac:dyDescent="0.25">
      <c r="A236" s="170"/>
      <c r="B236" s="719"/>
      <c r="C236" s="170"/>
      <c r="D236" s="170"/>
      <c r="E236" s="170"/>
      <c r="F236" s="170"/>
      <c r="G236" s="721"/>
      <c r="H236" s="170"/>
      <c r="I236" s="170"/>
      <c r="J236" s="170"/>
      <c r="K236" s="170"/>
      <c r="L236" s="170"/>
      <c r="M236" s="730"/>
      <c r="N236" s="730"/>
      <c r="O236" s="730"/>
      <c r="P236" s="731"/>
      <c r="Q236" s="731"/>
      <c r="R236" s="730"/>
      <c r="S236" s="730"/>
      <c r="T236" s="723"/>
      <c r="U236" s="724"/>
      <c r="V236" s="725"/>
      <c r="W236" s="725"/>
      <c r="X236" s="723"/>
      <c r="Y236" s="723"/>
      <c r="Z236" s="723"/>
      <c r="AA236" s="726"/>
      <c r="AB236" s="726"/>
      <c r="AC236" s="170"/>
      <c r="AD236" s="586"/>
      <c r="AE236" s="586"/>
      <c r="AF236" s="170"/>
      <c r="AG236" s="170"/>
      <c r="AH236" s="170"/>
      <c r="AI236" s="170"/>
      <c r="AJ236" s="170"/>
      <c r="AK236" s="170"/>
      <c r="AL236" s="170"/>
      <c r="AM236" s="170"/>
      <c r="AN236" s="170"/>
      <c r="AO236" s="170"/>
      <c r="AP236" s="170"/>
      <c r="AQ236" s="170"/>
      <c r="AR236" s="170"/>
      <c r="AS236" s="170"/>
      <c r="AT236" s="170"/>
      <c r="AU236" s="170"/>
      <c r="AV236" s="170"/>
      <c r="AW236" s="170"/>
      <c r="AX236" s="170"/>
    </row>
    <row r="237" spans="1:50" ht="15" x14ac:dyDescent="0.25">
      <c r="A237" s="170"/>
      <c r="B237" s="719"/>
      <c r="C237" s="170"/>
      <c r="D237" s="170"/>
      <c r="E237" s="170"/>
      <c r="F237" s="170"/>
      <c r="G237" s="721"/>
      <c r="H237" s="170"/>
      <c r="I237" s="170"/>
      <c r="J237" s="170"/>
      <c r="K237" s="170"/>
      <c r="L237" s="170"/>
      <c r="M237" s="730"/>
      <c r="N237" s="730"/>
      <c r="O237" s="730"/>
      <c r="P237" s="731"/>
      <c r="Q237" s="731"/>
      <c r="R237" s="730"/>
      <c r="S237" s="730"/>
      <c r="T237" s="723"/>
      <c r="U237" s="724"/>
      <c r="V237" s="725"/>
      <c r="W237" s="725"/>
      <c r="X237" s="723"/>
      <c r="Y237" s="723"/>
      <c r="Z237" s="723"/>
      <c r="AA237" s="726"/>
      <c r="AB237" s="726"/>
      <c r="AC237" s="170"/>
      <c r="AD237" s="586"/>
      <c r="AE237" s="586"/>
      <c r="AF237" s="170"/>
      <c r="AG237" s="170"/>
      <c r="AH237" s="170"/>
      <c r="AI237" s="170"/>
      <c r="AJ237" s="170"/>
      <c r="AK237" s="170"/>
      <c r="AL237" s="170"/>
      <c r="AM237" s="170"/>
      <c r="AN237" s="170"/>
      <c r="AO237" s="170"/>
      <c r="AP237" s="170"/>
      <c r="AQ237" s="170"/>
      <c r="AR237" s="170"/>
      <c r="AS237" s="170"/>
      <c r="AT237" s="170"/>
      <c r="AU237" s="170"/>
      <c r="AV237" s="170"/>
      <c r="AW237" s="170"/>
      <c r="AX237" s="170"/>
    </row>
    <row r="238" spans="1:50" ht="15" x14ac:dyDescent="0.25">
      <c r="A238" s="170"/>
      <c r="B238" s="719"/>
      <c r="C238" s="170"/>
      <c r="D238" s="170"/>
      <c r="E238" s="170"/>
      <c r="F238" s="170"/>
      <c r="G238" s="721"/>
      <c r="H238" s="170"/>
      <c r="I238" s="170"/>
      <c r="J238" s="170"/>
      <c r="K238" s="170"/>
      <c r="L238" s="170"/>
      <c r="M238" s="730"/>
      <c r="N238" s="730"/>
      <c r="O238" s="730"/>
      <c r="P238" s="731"/>
      <c r="Q238" s="731"/>
      <c r="R238" s="730"/>
      <c r="S238" s="730"/>
      <c r="T238" s="723"/>
      <c r="U238" s="724"/>
      <c r="V238" s="725"/>
      <c r="W238" s="725"/>
      <c r="X238" s="723"/>
      <c r="Y238" s="723"/>
      <c r="Z238" s="723"/>
      <c r="AA238" s="726"/>
      <c r="AB238" s="726"/>
      <c r="AC238" s="170"/>
      <c r="AD238" s="586"/>
      <c r="AE238" s="586"/>
      <c r="AF238" s="170"/>
      <c r="AG238" s="170"/>
      <c r="AH238" s="170"/>
      <c r="AI238" s="170"/>
      <c r="AJ238" s="170"/>
      <c r="AK238" s="170"/>
      <c r="AL238" s="170"/>
      <c r="AM238" s="170"/>
      <c r="AN238" s="170"/>
      <c r="AO238" s="170"/>
      <c r="AP238" s="170"/>
      <c r="AQ238" s="170"/>
      <c r="AR238" s="170"/>
      <c r="AS238" s="170"/>
      <c r="AT238" s="170"/>
      <c r="AU238" s="170"/>
      <c r="AV238" s="170"/>
      <c r="AW238" s="170"/>
      <c r="AX238" s="170"/>
    </row>
    <row r="239" spans="1:50" ht="15" x14ac:dyDescent="0.25">
      <c r="A239" s="170"/>
      <c r="B239" s="719"/>
      <c r="C239" s="170"/>
      <c r="D239" s="170"/>
      <c r="E239" s="170"/>
      <c r="F239" s="170"/>
      <c r="G239" s="721"/>
      <c r="H239" s="170"/>
      <c r="I239" s="170"/>
      <c r="J239" s="170"/>
      <c r="K239" s="170"/>
      <c r="L239" s="170"/>
      <c r="M239" s="730"/>
      <c r="N239" s="730"/>
      <c r="O239" s="730"/>
      <c r="P239" s="731"/>
      <c r="Q239" s="731"/>
      <c r="R239" s="730"/>
      <c r="S239" s="730"/>
      <c r="T239" s="723"/>
      <c r="U239" s="724"/>
      <c r="V239" s="725"/>
      <c r="W239" s="725"/>
      <c r="X239" s="723"/>
      <c r="Y239" s="723"/>
      <c r="Z239" s="723"/>
      <c r="AA239" s="726"/>
      <c r="AB239" s="726"/>
      <c r="AC239" s="170"/>
      <c r="AD239" s="586"/>
      <c r="AE239" s="586"/>
      <c r="AF239" s="170"/>
      <c r="AG239" s="170"/>
      <c r="AH239" s="170"/>
      <c r="AI239" s="170"/>
      <c r="AJ239" s="170"/>
      <c r="AK239" s="170"/>
      <c r="AL239" s="170"/>
      <c r="AM239" s="170"/>
      <c r="AN239" s="170"/>
      <c r="AO239" s="170"/>
      <c r="AP239" s="170"/>
      <c r="AQ239" s="170"/>
      <c r="AR239" s="170"/>
      <c r="AS239" s="170"/>
      <c r="AT239" s="170"/>
      <c r="AU239" s="170"/>
      <c r="AV239" s="170"/>
      <c r="AW239" s="170"/>
      <c r="AX239" s="170"/>
    </row>
    <row r="240" spans="1:50" ht="15" x14ac:dyDescent="0.25">
      <c r="A240" s="170"/>
      <c r="B240" s="719"/>
      <c r="C240" s="170"/>
      <c r="D240" s="170"/>
      <c r="E240" s="170"/>
      <c r="F240" s="170"/>
      <c r="G240" s="721"/>
      <c r="H240" s="170"/>
      <c r="I240" s="170"/>
      <c r="J240" s="170"/>
      <c r="K240" s="170"/>
      <c r="L240" s="170"/>
      <c r="M240" s="730"/>
      <c r="N240" s="730"/>
      <c r="O240" s="730"/>
      <c r="P240" s="731"/>
      <c r="Q240" s="731"/>
      <c r="R240" s="730"/>
      <c r="S240" s="730"/>
      <c r="T240" s="723"/>
      <c r="U240" s="724"/>
      <c r="V240" s="725"/>
      <c r="W240" s="725"/>
      <c r="X240" s="723"/>
      <c r="Y240" s="723"/>
      <c r="Z240" s="723"/>
      <c r="AA240" s="726"/>
      <c r="AB240" s="726"/>
      <c r="AC240" s="170"/>
      <c r="AD240" s="586"/>
      <c r="AE240" s="586"/>
      <c r="AF240" s="170"/>
      <c r="AG240" s="170"/>
      <c r="AH240" s="170"/>
      <c r="AI240" s="170"/>
      <c r="AJ240" s="170"/>
      <c r="AK240" s="170"/>
      <c r="AL240" s="170"/>
      <c r="AM240" s="170"/>
      <c r="AN240" s="170"/>
      <c r="AO240" s="170"/>
      <c r="AP240" s="170"/>
      <c r="AQ240" s="170"/>
      <c r="AR240" s="170"/>
      <c r="AS240" s="170"/>
      <c r="AT240" s="170"/>
      <c r="AU240" s="170"/>
      <c r="AV240" s="170"/>
      <c r="AW240" s="170"/>
      <c r="AX240" s="170"/>
    </row>
    <row r="241" spans="1:50" ht="15" x14ac:dyDescent="0.25">
      <c r="A241" s="170"/>
      <c r="B241" s="719"/>
      <c r="C241" s="170"/>
      <c r="D241" s="170"/>
      <c r="E241" s="170"/>
      <c r="F241" s="170"/>
      <c r="G241" s="721"/>
      <c r="H241" s="170"/>
      <c r="I241" s="170"/>
      <c r="J241" s="170"/>
      <c r="K241" s="170"/>
      <c r="L241" s="170"/>
      <c r="M241" s="730"/>
      <c r="N241" s="730"/>
      <c r="O241" s="730"/>
      <c r="P241" s="731"/>
      <c r="Q241" s="731"/>
      <c r="R241" s="730"/>
      <c r="S241" s="730"/>
      <c r="T241" s="723"/>
      <c r="U241" s="724"/>
      <c r="V241" s="725"/>
      <c r="W241" s="725"/>
      <c r="X241" s="723"/>
      <c r="Y241" s="723"/>
      <c r="Z241" s="723"/>
      <c r="AA241" s="726"/>
      <c r="AB241" s="726"/>
      <c r="AC241" s="170"/>
      <c r="AD241" s="586"/>
      <c r="AE241" s="586"/>
      <c r="AF241" s="170"/>
      <c r="AG241" s="170"/>
      <c r="AH241" s="170"/>
      <c r="AI241" s="170"/>
      <c r="AJ241" s="170"/>
      <c r="AK241" s="170"/>
      <c r="AL241" s="170"/>
      <c r="AM241" s="170"/>
      <c r="AN241" s="170"/>
      <c r="AO241" s="170"/>
      <c r="AP241" s="170"/>
      <c r="AQ241" s="170"/>
      <c r="AR241" s="170"/>
      <c r="AS241" s="170"/>
      <c r="AT241" s="170"/>
      <c r="AU241" s="170"/>
      <c r="AV241" s="170"/>
      <c r="AW241" s="170"/>
      <c r="AX241" s="170"/>
    </row>
    <row r="242" spans="1:50" ht="15" x14ac:dyDescent="0.25">
      <c r="A242" s="170"/>
      <c r="B242" s="719"/>
      <c r="C242" s="170"/>
      <c r="D242" s="170"/>
      <c r="E242" s="170"/>
      <c r="F242" s="170"/>
      <c r="G242" s="721"/>
      <c r="H242" s="170"/>
      <c r="I242" s="170"/>
      <c r="J242" s="170"/>
      <c r="K242" s="170"/>
      <c r="L242" s="170"/>
      <c r="M242" s="730"/>
      <c r="N242" s="730"/>
      <c r="O242" s="730"/>
      <c r="P242" s="731"/>
      <c r="Q242" s="731"/>
      <c r="R242" s="730"/>
      <c r="S242" s="730"/>
      <c r="T242" s="723"/>
      <c r="U242" s="724"/>
      <c r="V242" s="725"/>
      <c r="W242" s="725"/>
      <c r="X242" s="723"/>
      <c r="Y242" s="723"/>
      <c r="Z242" s="723"/>
      <c r="AA242" s="726"/>
      <c r="AB242" s="726"/>
      <c r="AC242" s="170"/>
      <c r="AD242" s="586"/>
      <c r="AE242" s="586"/>
      <c r="AF242" s="170"/>
      <c r="AG242" s="170"/>
      <c r="AH242" s="170"/>
      <c r="AI242" s="170"/>
      <c r="AJ242" s="170"/>
      <c r="AK242" s="170"/>
      <c r="AL242" s="170"/>
      <c r="AM242" s="170"/>
      <c r="AN242" s="170"/>
      <c r="AO242" s="170"/>
      <c r="AP242" s="170"/>
      <c r="AQ242" s="170"/>
      <c r="AR242" s="170"/>
      <c r="AS242" s="170"/>
      <c r="AT242" s="170"/>
      <c r="AU242" s="170"/>
      <c r="AV242" s="170"/>
      <c r="AW242" s="170"/>
      <c r="AX242" s="170"/>
    </row>
    <row r="243" spans="1:50" ht="15" x14ac:dyDescent="0.25">
      <c r="A243" s="170"/>
      <c r="B243" s="719"/>
      <c r="C243" s="170"/>
      <c r="D243" s="170"/>
      <c r="E243" s="170"/>
      <c r="F243" s="170"/>
      <c r="G243" s="721"/>
      <c r="H243" s="170"/>
      <c r="I243" s="170"/>
      <c r="J243" s="170"/>
      <c r="K243" s="170"/>
      <c r="L243" s="170"/>
      <c r="M243" s="730"/>
      <c r="N243" s="730"/>
      <c r="O243" s="730"/>
      <c r="P243" s="731"/>
      <c r="Q243" s="731"/>
      <c r="R243" s="730"/>
      <c r="S243" s="730"/>
      <c r="T243" s="723"/>
      <c r="U243" s="724"/>
      <c r="V243" s="725"/>
      <c r="W243" s="725"/>
      <c r="X243" s="723"/>
      <c r="Y243" s="723"/>
      <c r="Z243" s="723"/>
      <c r="AA243" s="726"/>
      <c r="AB243" s="726"/>
      <c r="AC243" s="170"/>
      <c r="AD243" s="586"/>
      <c r="AE243" s="586"/>
      <c r="AF243" s="170"/>
      <c r="AG243" s="170"/>
      <c r="AH243" s="170"/>
      <c r="AI243" s="170"/>
      <c r="AJ243" s="170"/>
      <c r="AK243" s="170"/>
      <c r="AL243" s="170"/>
      <c r="AM243" s="170"/>
      <c r="AN243" s="170"/>
      <c r="AO243" s="170"/>
      <c r="AP243" s="170"/>
      <c r="AQ243" s="170"/>
      <c r="AR243" s="170"/>
      <c r="AS243" s="170"/>
      <c r="AT243" s="170"/>
      <c r="AU243" s="170"/>
      <c r="AV243" s="170"/>
      <c r="AW243" s="170"/>
      <c r="AX243" s="170"/>
    </row>
    <row r="244" spans="1:50" ht="15" x14ac:dyDescent="0.25">
      <c r="A244" s="170"/>
      <c r="B244" s="719"/>
      <c r="C244" s="170"/>
      <c r="D244" s="170"/>
      <c r="E244" s="170"/>
      <c r="F244" s="170"/>
      <c r="G244" s="721"/>
      <c r="H244" s="170"/>
      <c r="I244" s="170"/>
      <c r="J244" s="170"/>
      <c r="K244" s="170"/>
      <c r="L244" s="170"/>
      <c r="M244" s="730"/>
      <c r="N244" s="730"/>
      <c r="O244" s="730"/>
      <c r="P244" s="731"/>
      <c r="Q244" s="731"/>
      <c r="R244" s="730"/>
      <c r="S244" s="730"/>
      <c r="T244" s="723"/>
      <c r="U244" s="724"/>
      <c r="V244" s="725"/>
      <c r="W244" s="725"/>
      <c r="X244" s="723"/>
      <c r="Y244" s="723"/>
      <c r="Z244" s="723"/>
      <c r="AA244" s="726"/>
      <c r="AB244" s="726"/>
      <c r="AC244" s="170"/>
      <c r="AD244" s="586"/>
      <c r="AE244" s="586"/>
      <c r="AF244" s="170"/>
      <c r="AG244" s="170"/>
      <c r="AH244" s="170"/>
      <c r="AI244" s="170"/>
      <c r="AJ244" s="170"/>
      <c r="AK244" s="170"/>
      <c r="AL244" s="170"/>
      <c r="AM244" s="170"/>
      <c r="AN244" s="170"/>
      <c r="AO244" s="170"/>
      <c r="AP244" s="170"/>
      <c r="AQ244" s="170"/>
      <c r="AR244" s="170"/>
      <c r="AS244" s="170"/>
      <c r="AT244" s="170"/>
      <c r="AU244" s="170"/>
      <c r="AV244" s="170"/>
      <c r="AW244" s="170"/>
      <c r="AX244" s="170"/>
    </row>
    <row r="245" spans="1:50" ht="15" x14ac:dyDescent="0.25">
      <c r="A245" s="170"/>
      <c r="B245" s="719"/>
      <c r="C245" s="170"/>
      <c r="D245" s="170"/>
      <c r="E245" s="170"/>
      <c r="F245" s="170"/>
      <c r="G245" s="721"/>
      <c r="H245" s="170"/>
      <c r="I245" s="170"/>
      <c r="J245" s="170"/>
      <c r="K245" s="170"/>
      <c r="L245" s="170"/>
      <c r="M245" s="730"/>
      <c r="N245" s="730"/>
      <c r="O245" s="730"/>
      <c r="P245" s="731"/>
      <c r="Q245" s="731"/>
      <c r="R245" s="730"/>
      <c r="S245" s="730"/>
      <c r="T245" s="723"/>
      <c r="U245" s="724"/>
      <c r="V245" s="725"/>
      <c r="W245" s="725"/>
      <c r="X245" s="723"/>
      <c r="Y245" s="723"/>
      <c r="Z245" s="723"/>
      <c r="AA245" s="726"/>
      <c r="AB245" s="726"/>
      <c r="AC245" s="170"/>
      <c r="AD245" s="586"/>
      <c r="AE245" s="586"/>
      <c r="AF245" s="170"/>
      <c r="AG245" s="170"/>
      <c r="AH245" s="170"/>
      <c r="AI245" s="170"/>
      <c r="AJ245" s="170"/>
      <c r="AK245" s="170"/>
      <c r="AL245" s="170"/>
      <c r="AM245" s="170"/>
      <c r="AN245" s="170"/>
      <c r="AO245" s="170"/>
      <c r="AP245" s="170"/>
      <c r="AQ245" s="170"/>
      <c r="AR245" s="170"/>
      <c r="AS245" s="170"/>
      <c r="AT245" s="170"/>
      <c r="AU245" s="170"/>
      <c r="AV245" s="170"/>
      <c r="AW245" s="170"/>
      <c r="AX245" s="170"/>
    </row>
    <row r="246" spans="1:50" ht="15" x14ac:dyDescent="0.25">
      <c r="A246" s="170"/>
      <c r="B246" s="719"/>
      <c r="C246" s="170"/>
      <c r="D246" s="170"/>
      <c r="E246" s="170"/>
      <c r="F246" s="170"/>
      <c r="G246" s="721"/>
      <c r="H246" s="170"/>
      <c r="I246" s="170"/>
      <c r="J246" s="170"/>
      <c r="K246" s="170"/>
      <c r="L246" s="170"/>
      <c r="M246" s="730"/>
      <c r="N246" s="730"/>
      <c r="O246" s="730"/>
      <c r="P246" s="731"/>
      <c r="Q246" s="731"/>
      <c r="R246" s="730"/>
      <c r="S246" s="730"/>
      <c r="T246" s="723"/>
      <c r="U246" s="724"/>
      <c r="V246" s="725"/>
      <c r="W246" s="725"/>
      <c r="X246" s="723"/>
      <c r="Y246" s="723"/>
      <c r="Z246" s="723"/>
      <c r="AA246" s="726"/>
      <c r="AB246" s="726"/>
      <c r="AC246" s="170"/>
      <c r="AD246" s="586"/>
      <c r="AE246" s="586"/>
      <c r="AF246" s="170"/>
      <c r="AG246" s="170"/>
      <c r="AH246" s="170"/>
      <c r="AI246" s="170"/>
      <c r="AJ246" s="170"/>
      <c r="AK246" s="170"/>
      <c r="AL246" s="170"/>
      <c r="AM246" s="170"/>
      <c r="AN246" s="170"/>
      <c r="AO246" s="170"/>
      <c r="AP246" s="170"/>
      <c r="AQ246" s="170"/>
      <c r="AR246" s="170"/>
      <c r="AS246" s="170"/>
      <c r="AT246" s="170"/>
      <c r="AU246" s="170"/>
      <c r="AV246" s="170"/>
      <c r="AW246" s="170"/>
      <c r="AX246" s="170"/>
    </row>
    <row r="247" spans="1:50" ht="15" x14ac:dyDescent="0.25">
      <c r="A247" s="170"/>
      <c r="B247" s="719"/>
      <c r="C247" s="170"/>
      <c r="D247" s="170"/>
      <c r="E247" s="170"/>
      <c r="F247" s="170"/>
      <c r="G247" s="721"/>
      <c r="H247" s="170"/>
      <c r="I247" s="170"/>
      <c r="J247" s="170"/>
      <c r="K247" s="170"/>
      <c r="L247" s="170"/>
      <c r="M247" s="730"/>
      <c r="N247" s="730"/>
      <c r="O247" s="730"/>
      <c r="P247" s="731"/>
      <c r="Q247" s="731"/>
      <c r="R247" s="730"/>
      <c r="S247" s="730"/>
      <c r="T247" s="723"/>
      <c r="U247" s="724"/>
      <c r="V247" s="725"/>
      <c r="W247" s="725"/>
      <c r="X247" s="723"/>
      <c r="Y247" s="723"/>
      <c r="Z247" s="723"/>
      <c r="AA247" s="726"/>
      <c r="AB247" s="726"/>
      <c r="AC247" s="170"/>
      <c r="AD247" s="586"/>
      <c r="AE247" s="586"/>
      <c r="AF247" s="170"/>
      <c r="AG247" s="170"/>
      <c r="AH247" s="170"/>
      <c r="AI247" s="170"/>
      <c r="AJ247" s="170"/>
      <c r="AK247" s="170"/>
      <c r="AL247" s="170"/>
      <c r="AM247" s="170"/>
      <c r="AN247" s="170"/>
      <c r="AO247" s="170"/>
      <c r="AP247" s="170"/>
      <c r="AQ247" s="170"/>
      <c r="AR247" s="170"/>
      <c r="AS247" s="170"/>
      <c r="AT247" s="170"/>
      <c r="AU247" s="170"/>
      <c r="AV247" s="170"/>
      <c r="AW247" s="170"/>
      <c r="AX247" s="170"/>
    </row>
    <row r="248" spans="1:50" ht="15" x14ac:dyDescent="0.25">
      <c r="A248" s="170"/>
      <c r="B248" s="719"/>
      <c r="C248" s="170"/>
      <c r="D248" s="170"/>
      <c r="E248" s="170"/>
      <c r="F248" s="170"/>
      <c r="G248" s="721"/>
      <c r="H248" s="170"/>
      <c r="I248" s="170"/>
      <c r="J248" s="170"/>
      <c r="K248" s="170"/>
      <c r="L248" s="170"/>
      <c r="M248" s="730"/>
      <c r="N248" s="730"/>
      <c r="O248" s="730"/>
      <c r="P248" s="731"/>
      <c r="Q248" s="731"/>
      <c r="R248" s="730"/>
      <c r="S248" s="730"/>
      <c r="T248" s="723"/>
      <c r="U248" s="724"/>
      <c r="V248" s="725"/>
      <c r="W248" s="725"/>
      <c r="X248" s="723"/>
      <c r="Y248" s="723"/>
      <c r="Z248" s="723"/>
      <c r="AA248" s="726"/>
      <c r="AB248" s="726"/>
      <c r="AC248" s="170"/>
      <c r="AD248" s="586"/>
      <c r="AE248" s="586"/>
      <c r="AF248" s="170"/>
      <c r="AG248" s="170"/>
      <c r="AH248" s="170"/>
      <c r="AI248" s="170"/>
      <c r="AJ248" s="170"/>
      <c r="AK248" s="170"/>
      <c r="AL248" s="170"/>
      <c r="AM248" s="170"/>
      <c r="AN248" s="170"/>
      <c r="AO248" s="170"/>
      <c r="AP248" s="170"/>
      <c r="AQ248" s="170"/>
      <c r="AR248" s="170"/>
      <c r="AS248" s="170"/>
      <c r="AT248" s="170"/>
      <c r="AU248" s="170"/>
      <c r="AV248" s="170"/>
      <c r="AW248" s="170"/>
      <c r="AX248" s="170"/>
    </row>
    <row r="249" spans="1:50" ht="15" x14ac:dyDescent="0.25">
      <c r="A249" s="170"/>
      <c r="B249" s="719"/>
      <c r="C249" s="170"/>
      <c r="D249" s="170"/>
      <c r="E249" s="170"/>
      <c r="F249" s="170"/>
      <c r="G249" s="721"/>
      <c r="H249" s="170"/>
      <c r="I249" s="170"/>
      <c r="J249" s="170"/>
      <c r="K249" s="170"/>
      <c r="L249" s="170"/>
      <c r="M249" s="730"/>
      <c r="N249" s="730"/>
      <c r="O249" s="730"/>
      <c r="P249" s="731"/>
      <c r="Q249" s="731"/>
      <c r="R249" s="730"/>
      <c r="S249" s="730"/>
      <c r="T249" s="723"/>
      <c r="U249" s="724"/>
      <c r="V249" s="725"/>
      <c r="W249" s="725"/>
      <c r="X249" s="723"/>
      <c r="Y249" s="723"/>
      <c r="Z249" s="723"/>
      <c r="AA249" s="726"/>
      <c r="AB249" s="726"/>
      <c r="AC249" s="170"/>
      <c r="AD249" s="586"/>
      <c r="AE249" s="586"/>
      <c r="AF249" s="170"/>
      <c r="AG249" s="170"/>
      <c r="AH249" s="170"/>
      <c r="AI249" s="170"/>
      <c r="AJ249" s="170"/>
      <c r="AK249" s="170"/>
      <c r="AL249" s="170"/>
      <c r="AM249" s="170"/>
      <c r="AN249" s="170"/>
      <c r="AO249" s="170"/>
      <c r="AP249" s="170"/>
      <c r="AQ249" s="170"/>
      <c r="AR249" s="170"/>
      <c r="AS249" s="170"/>
      <c r="AT249" s="170"/>
      <c r="AU249" s="170"/>
      <c r="AV249" s="170"/>
      <c r="AW249" s="170"/>
      <c r="AX249" s="170"/>
    </row>
    <row r="250" spans="1:50" ht="15" x14ac:dyDescent="0.25">
      <c r="A250" s="170"/>
      <c r="B250" s="719"/>
      <c r="C250" s="170"/>
      <c r="D250" s="170"/>
      <c r="E250" s="170"/>
      <c r="F250" s="170"/>
      <c r="G250" s="721"/>
      <c r="H250" s="170"/>
      <c r="I250" s="170"/>
      <c r="J250" s="170"/>
      <c r="K250" s="170"/>
      <c r="L250" s="170"/>
      <c r="M250" s="730"/>
      <c r="N250" s="730"/>
      <c r="O250" s="730"/>
      <c r="P250" s="731"/>
      <c r="Q250" s="731"/>
      <c r="R250" s="730"/>
      <c r="S250" s="730"/>
      <c r="T250" s="723"/>
      <c r="U250" s="724"/>
      <c r="V250" s="725"/>
      <c r="W250" s="725"/>
      <c r="X250" s="723"/>
      <c r="Y250" s="723"/>
      <c r="Z250" s="723"/>
      <c r="AA250" s="726"/>
      <c r="AB250" s="726"/>
      <c r="AC250" s="170"/>
      <c r="AD250" s="586"/>
      <c r="AE250" s="586"/>
      <c r="AF250" s="170"/>
      <c r="AG250" s="170"/>
      <c r="AH250" s="170"/>
      <c r="AI250" s="170"/>
      <c r="AJ250" s="170"/>
      <c r="AK250" s="170"/>
      <c r="AL250" s="170"/>
      <c r="AM250" s="170"/>
      <c r="AN250" s="170"/>
      <c r="AO250" s="170"/>
      <c r="AP250" s="170"/>
      <c r="AQ250" s="170"/>
      <c r="AR250" s="170"/>
      <c r="AS250" s="170"/>
      <c r="AT250" s="170"/>
      <c r="AU250" s="170"/>
      <c r="AV250" s="170"/>
      <c r="AW250" s="170"/>
      <c r="AX250" s="170"/>
    </row>
    <row r="251" spans="1:50" ht="15" x14ac:dyDescent="0.25">
      <c r="A251" s="170"/>
      <c r="B251" s="719"/>
      <c r="C251" s="170"/>
      <c r="D251" s="170"/>
      <c r="E251" s="170"/>
      <c r="F251" s="170"/>
      <c r="G251" s="721"/>
      <c r="H251" s="170"/>
      <c r="I251" s="170"/>
      <c r="J251" s="170"/>
      <c r="K251" s="170"/>
      <c r="L251" s="170"/>
      <c r="M251" s="730"/>
      <c r="N251" s="730"/>
      <c r="O251" s="730"/>
      <c r="P251" s="731"/>
      <c r="Q251" s="731"/>
      <c r="R251" s="730"/>
      <c r="S251" s="730"/>
      <c r="T251" s="723"/>
      <c r="U251" s="724"/>
      <c r="V251" s="725"/>
      <c r="W251" s="725"/>
      <c r="X251" s="723"/>
      <c r="Y251" s="723"/>
      <c r="Z251" s="723"/>
      <c r="AA251" s="726"/>
      <c r="AB251" s="726"/>
      <c r="AC251" s="170"/>
      <c r="AD251" s="586"/>
      <c r="AE251" s="586"/>
      <c r="AF251" s="170"/>
      <c r="AG251" s="170"/>
      <c r="AH251" s="170"/>
      <c r="AI251" s="170"/>
      <c r="AJ251" s="170"/>
      <c r="AK251" s="170"/>
      <c r="AL251" s="170"/>
      <c r="AM251" s="170"/>
      <c r="AN251" s="170"/>
      <c r="AO251" s="170"/>
      <c r="AP251" s="170"/>
      <c r="AQ251" s="170"/>
      <c r="AR251" s="170"/>
      <c r="AS251" s="170"/>
      <c r="AT251" s="170"/>
      <c r="AU251" s="170"/>
      <c r="AV251" s="170"/>
      <c r="AW251" s="170"/>
      <c r="AX251" s="170"/>
    </row>
    <row r="252" spans="1:50" ht="15" x14ac:dyDescent="0.25">
      <c r="A252" s="170"/>
      <c r="B252" s="719"/>
      <c r="C252" s="170"/>
      <c r="D252" s="170"/>
      <c r="E252" s="170"/>
      <c r="F252" s="170"/>
      <c r="G252" s="721"/>
      <c r="H252" s="170"/>
      <c r="I252" s="170"/>
      <c r="J252" s="170"/>
      <c r="K252" s="170"/>
      <c r="L252" s="170"/>
      <c r="M252" s="730"/>
      <c r="N252" s="730"/>
      <c r="O252" s="730"/>
      <c r="P252" s="731"/>
      <c r="Q252" s="731"/>
      <c r="R252" s="730"/>
      <c r="S252" s="730"/>
      <c r="T252" s="723"/>
      <c r="U252" s="724"/>
      <c r="V252" s="725"/>
      <c r="W252" s="725"/>
      <c r="X252" s="723"/>
      <c r="Y252" s="723"/>
      <c r="Z252" s="723"/>
      <c r="AA252" s="726"/>
      <c r="AB252" s="726"/>
      <c r="AC252" s="170"/>
      <c r="AD252" s="586"/>
      <c r="AE252" s="586"/>
      <c r="AF252" s="170"/>
      <c r="AG252" s="170"/>
      <c r="AH252" s="170"/>
      <c r="AI252" s="170"/>
      <c r="AJ252" s="170"/>
      <c r="AK252" s="170"/>
      <c r="AL252" s="170"/>
      <c r="AM252" s="170"/>
      <c r="AN252" s="170"/>
      <c r="AO252" s="170"/>
      <c r="AP252" s="170"/>
      <c r="AQ252" s="170"/>
      <c r="AR252" s="170"/>
      <c r="AS252" s="170"/>
      <c r="AT252" s="170"/>
      <c r="AU252" s="170"/>
      <c r="AV252" s="170"/>
      <c r="AW252" s="170"/>
      <c r="AX252" s="170"/>
    </row>
    <row r="253" spans="1:50" ht="15" x14ac:dyDescent="0.25">
      <c r="A253" s="170"/>
      <c r="B253" s="719"/>
      <c r="C253" s="170"/>
      <c r="D253" s="170"/>
      <c r="E253" s="170"/>
      <c r="F253" s="170"/>
      <c r="G253" s="721"/>
      <c r="H253" s="170"/>
      <c r="I253" s="170"/>
      <c r="J253" s="170"/>
      <c r="K253" s="170"/>
      <c r="L253" s="170"/>
      <c r="M253" s="730"/>
      <c r="N253" s="730"/>
      <c r="O253" s="730"/>
      <c r="P253" s="731"/>
      <c r="Q253" s="731"/>
      <c r="R253" s="730"/>
      <c r="S253" s="730"/>
      <c r="T253" s="723"/>
      <c r="U253" s="724"/>
      <c r="V253" s="725"/>
      <c r="W253" s="725"/>
      <c r="X253" s="723"/>
      <c r="Y253" s="723"/>
      <c r="Z253" s="723"/>
      <c r="AA253" s="726"/>
      <c r="AB253" s="726"/>
      <c r="AC253" s="170"/>
      <c r="AD253" s="586"/>
      <c r="AE253" s="586"/>
      <c r="AF253" s="170"/>
      <c r="AG253" s="170"/>
      <c r="AH253" s="170"/>
      <c r="AI253" s="170"/>
      <c r="AJ253" s="170"/>
      <c r="AK253" s="170"/>
      <c r="AL253" s="170"/>
      <c r="AM253" s="170"/>
      <c r="AN253" s="170"/>
      <c r="AO253" s="170"/>
      <c r="AP253" s="170"/>
      <c r="AQ253" s="170"/>
      <c r="AR253" s="170"/>
      <c r="AS253" s="170"/>
      <c r="AT253" s="170"/>
      <c r="AU253" s="170"/>
      <c r="AV253" s="170"/>
      <c r="AW253" s="170"/>
      <c r="AX253" s="170"/>
    </row>
    <row r="254" spans="1:50" ht="15" x14ac:dyDescent="0.25">
      <c r="A254" s="170"/>
      <c r="B254" s="719"/>
      <c r="C254" s="170"/>
      <c r="D254" s="170"/>
      <c r="E254" s="170"/>
      <c r="F254" s="170"/>
      <c r="G254" s="721"/>
      <c r="H254" s="170"/>
      <c r="I254" s="170"/>
      <c r="J254" s="170"/>
      <c r="K254" s="170"/>
      <c r="L254" s="170"/>
      <c r="M254" s="730"/>
      <c r="N254" s="730"/>
      <c r="O254" s="730"/>
      <c r="P254" s="731"/>
      <c r="Q254" s="731"/>
      <c r="R254" s="730"/>
      <c r="S254" s="730"/>
      <c r="T254" s="723"/>
      <c r="U254" s="724"/>
      <c r="V254" s="725"/>
      <c r="W254" s="725"/>
      <c r="X254" s="723"/>
      <c r="Y254" s="723"/>
      <c r="Z254" s="723"/>
      <c r="AA254" s="726"/>
      <c r="AB254" s="726"/>
      <c r="AC254" s="170"/>
      <c r="AD254" s="586"/>
      <c r="AE254" s="586"/>
      <c r="AF254" s="170"/>
      <c r="AG254" s="170"/>
      <c r="AH254" s="170"/>
      <c r="AI254" s="170"/>
      <c r="AJ254" s="170"/>
      <c r="AK254" s="170"/>
      <c r="AL254" s="170"/>
      <c r="AM254" s="170"/>
      <c r="AN254" s="170"/>
      <c r="AO254" s="170"/>
      <c r="AP254" s="170"/>
      <c r="AQ254" s="170"/>
      <c r="AR254" s="170"/>
      <c r="AS254" s="170"/>
      <c r="AT254" s="170"/>
      <c r="AU254" s="170"/>
      <c r="AV254" s="170"/>
      <c r="AW254" s="170"/>
      <c r="AX254" s="170"/>
    </row>
    <row r="255" spans="1:50" ht="15" x14ac:dyDescent="0.25">
      <c r="A255" s="170"/>
      <c r="B255" s="719"/>
      <c r="C255" s="170"/>
      <c r="D255" s="170"/>
      <c r="E255" s="170"/>
      <c r="F255" s="170"/>
      <c r="G255" s="721"/>
      <c r="H255" s="170"/>
      <c r="I255" s="170"/>
      <c r="J255" s="170"/>
      <c r="K255" s="170"/>
      <c r="L255" s="170"/>
      <c r="M255" s="730"/>
      <c r="N255" s="730"/>
      <c r="O255" s="730"/>
      <c r="P255" s="731"/>
      <c r="Q255" s="731"/>
      <c r="R255" s="730"/>
      <c r="S255" s="730"/>
      <c r="T255" s="723"/>
      <c r="U255" s="724"/>
      <c r="V255" s="725"/>
      <c r="W255" s="725"/>
      <c r="X255" s="723"/>
      <c r="Y255" s="723"/>
      <c r="Z255" s="723"/>
      <c r="AA255" s="726"/>
      <c r="AB255" s="726"/>
      <c r="AC255" s="170"/>
      <c r="AD255" s="586"/>
      <c r="AE255" s="586"/>
      <c r="AF255" s="170"/>
      <c r="AG255" s="170"/>
      <c r="AH255" s="170"/>
      <c r="AI255" s="170"/>
      <c r="AJ255" s="170"/>
      <c r="AK255" s="170"/>
      <c r="AL255" s="170"/>
      <c r="AM255" s="170"/>
      <c r="AN255" s="170"/>
      <c r="AO255" s="170"/>
      <c r="AP255" s="170"/>
      <c r="AQ255" s="170"/>
      <c r="AR255" s="170"/>
      <c r="AS255" s="170"/>
      <c r="AT255" s="170"/>
      <c r="AU255" s="170"/>
      <c r="AV255" s="170"/>
      <c r="AW255" s="170"/>
      <c r="AX255" s="170"/>
    </row>
    <row r="256" spans="1:50" ht="15" x14ac:dyDescent="0.25">
      <c r="A256" s="170"/>
      <c r="B256" s="719"/>
      <c r="C256" s="170"/>
      <c r="D256" s="170"/>
      <c r="E256" s="170"/>
      <c r="F256" s="170"/>
      <c r="G256" s="721"/>
      <c r="H256" s="170"/>
      <c r="I256" s="170"/>
      <c r="J256" s="170"/>
      <c r="K256" s="170"/>
      <c r="L256" s="170"/>
      <c r="M256" s="730"/>
      <c r="N256" s="730"/>
      <c r="O256" s="730"/>
      <c r="P256" s="731"/>
      <c r="Q256" s="731"/>
      <c r="R256" s="730"/>
      <c r="S256" s="730"/>
      <c r="T256" s="723"/>
      <c r="U256" s="724"/>
      <c r="V256" s="725"/>
      <c r="W256" s="725"/>
      <c r="X256" s="723"/>
      <c r="Y256" s="723"/>
      <c r="Z256" s="723"/>
      <c r="AA256" s="726"/>
      <c r="AB256" s="726"/>
      <c r="AC256" s="170"/>
      <c r="AD256" s="586"/>
      <c r="AE256" s="586"/>
      <c r="AF256" s="170"/>
      <c r="AG256" s="170"/>
      <c r="AH256" s="170"/>
      <c r="AI256" s="170"/>
      <c r="AJ256" s="170"/>
      <c r="AK256" s="170"/>
      <c r="AL256" s="170"/>
      <c r="AM256" s="170"/>
      <c r="AN256" s="170"/>
      <c r="AO256" s="170"/>
      <c r="AP256" s="170"/>
      <c r="AQ256" s="170"/>
      <c r="AR256" s="170"/>
      <c r="AS256" s="170"/>
      <c r="AT256" s="170"/>
      <c r="AU256" s="170"/>
      <c r="AV256" s="170"/>
      <c r="AW256" s="170"/>
      <c r="AX256" s="170"/>
    </row>
    <row r="257" spans="1:50" ht="15" x14ac:dyDescent="0.25">
      <c r="A257" s="170"/>
      <c r="B257" s="719"/>
      <c r="C257" s="170"/>
      <c r="D257" s="170"/>
      <c r="E257" s="170"/>
      <c r="F257" s="170"/>
      <c r="G257" s="721"/>
      <c r="H257" s="170"/>
      <c r="I257" s="170"/>
      <c r="J257" s="170"/>
      <c r="K257" s="170"/>
      <c r="L257" s="170"/>
      <c r="M257" s="730"/>
      <c r="N257" s="730"/>
      <c r="O257" s="730"/>
      <c r="P257" s="731"/>
      <c r="Q257" s="731"/>
      <c r="R257" s="730"/>
      <c r="S257" s="730"/>
      <c r="T257" s="723"/>
      <c r="U257" s="724"/>
      <c r="V257" s="725"/>
      <c r="W257" s="725"/>
      <c r="X257" s="723"/>
      <c r="Y257" s="723"/>
      <c r="Z257" s="723"/>
      <c r="AA257" s="726"/>
      <c r="AB257" s="726"/>
      <c r="AC257" s="170"/>
      <c r="AD257" s="586"/>
      <c r="AE257" s="586"/>
      <c r="AF257" s="170"/>
      <c r="AG257" s="170"/>
      <c r="AH257" s="170"/>
      <c r="AI257" s="170"/>
      <c r="AJ257" s="170"/>
      <c r="AK257" s="170"/>
      <c r="AL257" s="170"/>
      <c r="AM257" s="170"/>
      <c r="AN257" s="170"/>
      <c r="AO257" s="170"/>
      <c r="AP257" s="170"/>
      <c r="AQ257" s="170"/>
      <c r="AR257" s="170"/>
      <c r="AS257" s="170"/>
      <c r="AT257" s="170"/>
      <c r="AU257" s="170"/>
      <c r="AV257" s="170"/>
      <c r="AW257" s="170"/>
      <c r="AX257" s="170"/>
    </row>
    <row r="258" spans="1:50" ht="15" x14ac:dyDescent="0.25">
      <c r="A258" s="170"/>
      <c r="B258" s="719"/>
      <c r="C258" s="170"/>
      <c r="D258" s="170"/>
      <c r="E258" s="170"/>
      <c r="F258" s="170"/>
      <c r="G258" s="721"/>
      <c r="H258" s="170"/>
      <c r="I258" s="170"/>
      <c r="J258" s="170"/>
      <c r="K258" s="170"/>
      <c r="L258" s="170"/>
      <c r="M258" s="730"/>
      <c r="N258" s="730"/>
      <c r="O258" s="730"/>
      <c r="P258" s="731"/>
      <c r="Q258" s="731"/>
      <c r="R258" s="730"/>
      <c r="S258" s="730"/>
      <c r="T258" s="723"/>
      <c r="U258" s="724"/>
      <c r="V258" s="725"/>
      <c r="W258" s="725"/>
      <c r="X258" s="723"/>
      <c r="Y258" s="723"/>
      <c r="Z258" s="723"/>
      <c r="AA258" s="726"/>
      <c r="AB258" s="726"/>
      <c r="AC258" s="170"/>
      <c r="AD258" s="586"/>
      <c r="AE258" s="586"/>
      <c r="AF258" s="170"/>
      <c r="AG258" s="170"/>
      <c r="AH258" s="170"/>
      <c r="AI258" s="170"/>
      <c r="AJ258" s="170"/>
      <c r="AK258" s="170"/>
      <c r="AL258" s="170"/>
      <c r="AM258" s="170"/>
      <c r="AN258" s="170"/>
      <c r="AO258" s="170"/>
      <c r="AP258" s="170"/>
      <c r="AQ258" s="170"/>
      <c r="AR258" s="170"/>
      <c r="AS258" s="170"/>
      <c r="AT258" s="170"/>
      <c r="AU258" s="170"/>
      <c r="AV258" s="170"/>
      <c r="AW258" s="170"/>
      <c r="AX258" s="170"/>
    </row>
    <row r="259" spans="1:50" ht="15" x14ac:dyDescent="0.25">
      <c r="A259" s="170"/>
      <c r="B259" s="719"/>
      <c r="C259" s="170"/>
      <c r="D259" s="170"/>
      <c r="E259" s="170"/>
      <c r="F259" s="170"/>
      <c r="G259" s="721"/>
      <c r="H259" s="170"/>
      <c r="I259" s="170"/>
      <c r="J259" s="170"/>
      <c r="K259" s="170"/>
      <c r="L259" s="170"/>
      <c r="M259" s="730"/>
      <c r="N259" s="730"/>
      <c r="O259" s="730"/>
      <c r="P259" s="731"/>
      <c r="Q259" s="731"/>
      <c r="R259" s="730"/>
      <c r="S259" s="730"/>
      <c r="T259" s="723"/>
      <c r="U259" s="724"/>
      <c r="V259" s="725"/>
      <c r="W259" s="725"/>
      <c r="X259" s="723"/>
      <c r="Y259" s="723"/>
      <c r="Z259" s="723"/>
      <c r="AA259" s="726"/>
      <c r="AB259" s="726"/>
      <c r="AC259" s="170"/>
      <c r="AD259" s="586"/>
      <c r="AE259" s="586"/>
      <c r="AF259" s="170"/>
      <c r="AG259" s="170"/>
      <c r="AH259" s="170"/>
      <c r="AI259" s="170"/>
      <c r="AJ259" s="170"/>
      <c r="AK259" s="170"/>
      <c r="AL259" s="170"/>
      <c r="AM259" s="170"/>
      <c r="AN259" s="170"/>
      <c r="AO259" s="170"/>
      <c r="AP259" s="170"/>
      <c r="AQ259" s="170"/>
      <c r="AR259" s="170"/>
      <c r="AS259" s="170"/>
      <c r="AT259" s="170"/>
      <c r="AU259" s="170"/>
      <c r="AV259" s="170"/>
      <c r="AW259" s="170"/>
      <c r="AX259" s="170"/>
    </row>
    <row r="260" spans="1:50" ht="15" x14ac:dyDescent="0.25">
      <c r="A260" s="170"/>
      <c r="B260" s="719"/>
      <c r="C260" s="170"/>
      <c r="D260" s="170"/>
      <c r="E260" s="170"/>
      <c r="F260" s="170"/>
      <c r="G260" s="721"/>
      <c r="H260" s="170"/>
      <c r="I260" s="170"/>
      <c r="J260" s="170"/>
      <c r="K260" s="170"/>
      <c r="L260" s="170"/>
      <c r="M260" s="730"/>
      <c r="N260" s="730"/>
      <c r="O260" s="730"/>
      <c r="P260" s="731"/>
      <c r="Q260" s="731"/>
      <c r="R260" s="730"/>
      <c r="S260" s="730"/>
      <c r="T260" s="723"/>
      <c r="U260" s="724"/>
      <c r="V260" s="725"/>
      <c r="W260" s="725"/>
      <c r="X260" s="723"/>
      <c r="Y260" s="723"/>
      <c r="Z260" s="723"/>
      <c r="AA260" s="726"/>
      <c r="AB260" s="726"/>
      <c r="AC260" s="170"/>
      <c r="AD260" s="586"/>
      <c r="AE260" s="586"/>
      <c r="AF260" s="170"/>
      <c r="AG260" s="170"/>
      <c r="AH260" s="170"/>
      <c r="AI260" s="170"/>
      <c r="AJ260" s="170"/>
      <c r="AK260" s="170"/>
      <c r="AL260" s="170"/>
      <c r="AM260" s="170"/>
      <c r="AN260" s="170"/>
      <c r="AO260" s="170"/>
      <c r="AP260" s="170"/>
      <c r="AQ260" s="170"/>
      <c r="AR260" s="170"/>
      <c r="AS260" s="170"/>
      <c r="AT260" s="170"/>
      <c r="AU260" s="170"/>
      <c r="AV260" s="170"/>
      <c r="AW260" s="170"/>
      <c r="AX260" s="170"/>
    </row>
    <row r="261" spans="1:50" ht="15" x14ac:dyDescent="0.25">
      <c r="A261" s="170"/>
      <c r="B261" s="719"/>
      <c r="C261" s="170"/>
      <c r="D261" s="170"/>
      <c r="E261" s="170"/>
      <c r="F261" s="170"/>
      <c r="G261" s="721"/>
      <c r="H261" s="170"/>
      <c r="I261" s="170"/>
      <c r="J261" s="170"/>
      <c r="K261" s="170"/>
      <c r="L261" s="170"/>
      <c r="M261" s="730"/>
      <c r="N261" s="730"/>
      <c r="O261" s="730"/>
      <c r="P261" s="731"/>
      <c r="Q261" s="731"/>
      <c r="R261" s="730"/>
      <c r="S261" s="730"/>
      <c r="T261" s="723"/>
      <c r="U261" s="724"/>
      <c r="V261" s="725"/>
      <c r="W261" s="725"/>
      <c r="X261" s="723"/>
      <c r="Y261" s="723"/>
      <c r="Z261" s="723"/>
      <c r="AA261" s="726"/>
      <c r="AB261" s="726"/>
      <c r="AC261" s="170"/>
      <c r="AD261" s="586"/>
      <c r="AE261" s="586"/>
      <c r="AF261" s="170"/>
      <c r="AG261" s="170"/>
      <c r="AH261" s="170"/>
      <c r="AI261" s="170"/>
      <c r="AJ261" s="170"/>
      <c r="AK261" s="170"/>
      <c r="AL261" s="170"/>
      <c r="AM261" s="170"/>
      <c r="AN261" s="170"/>
      <c r="AO261" s="170"/>
      <c r="AP261" s="170"/>
      <c r="AQ261" s="170"/>
      <c r="AR261" s="170"/>
      <c r="AS261" s="170"/>
      <c r="AT261" s="170"/>
      <c r="AU261" s="170"/>
      <c r="AV261" s="170"/>
      <c r="AW261" s="170"/>
      <c r="AX261" s="170"/>
    </row>
    <row r="262" spans="1:50" ht="15" x14ac:dyDescent="0.25">
      <c r="A262" s="170"/>
      <c r="B262" s="719"/>
      <c r="C262" s="170"/>
      <c r="D262" s="170"/>
      <c r="E262" s="170"/>
      <c r="F262" s="170"/>
      <c r="G262" s="721"/>
      <c r="H262" s="170"/>
      <c r="I262" s="170"/>
      <c r="J262" s="170"/>
      <c r="K262" s="170"/>
      <c r="L262" s="170"/>
      <c r="M262" s="730"/>
      <c r="N262" s="730"/>
      <c r="O262" s="730"/>
      <c r="P262" s="731"/>
      <c r="Q262" s="731"/>
      <c r="R262" s="730"/>
      <c r="S262" s="730"/>
      <c r="T262" s="723"/>
      <c r="U262" s="724"/>
      <c r="V262" s="725"/>
      <c r="W262" s="725"/>
      <c r="X262" s="723"/>
      <c r="Y262" s="723"/>
      <c r="Z262" s="723"/>
      <c r="AA262" s="726"/>
      <c r="AB262" s="726"/>
      <c r="AC262" s="170"/>
      <c r="AD262" s="586"/>
      <c r="AE262" s="586"/>
      <c r="AF262" s="170"/>
      <c r="AG262" s="170"/>
      <c r="AH262" s="170"/>
      <c r="AI262" s="170"/>
      <c r="AJ262" s="170"/>
      <c r="AK262" s="170"/>
      <c r="AL262" s="170"/>
      <c r="AM262" s="170"/>
      <c r="AN262" s="170"/>
      <c r="AO262" s="170"/>
      <c r="AP262" s="170"/>
      <c r="AQ262" s="170"/>
      <c r="AR262" s="170"/>
      <c r="AS262" s="170"/>
      <c r="AT262" s="170"/>
      <c r="AU262" s="170"/>
      <c r="AV262" s="170"/>
      <c r="AW262" s="170"/>
      <c r="AX262" s="170"/>
    </row>
    <row r="263" spans="1:50" ht="15" x14ac:dyDescent="0.25">
      <c r="A263" s="170"/>
      <c r="B263" s="719"/>
      <c r="C263" s="170"/>
      <c r="D263" s="170"/>
      <c r="E263" s="170"/>
      <c r="F263" s="170"/>
      <c r="G263" s="721"/>
      <c r="H263" s="170"/>
      <c r="I263" s="170"/>
      <c r="J263" s="170"/>
      <c r="K263" s="170"/>
      <c r="L263" s="170"/>
      <c r="M263" s="730"/>
      <c r="N263" s="730"/>
      <c r="O263" s="730"/>
      <c r="P263" s="731"/>
      <c r="Q263" s="731"/>
      <c r="R263" s="730"/>
      <c r="S263" s="730"/>
      <c r="T263" s="723"/>
      <c r="U263" s="724"/>
      <c r="V263" s="725"/>
      <c r="W263" s="725"/>
      <c r="X263" s="723"/>
      <c r="Y263" s="723"/>
      <c r="Z263" s="723"/>
      <c r="AA263" s="726"/>
      <c r="AB263" s="726"/>
      <c r="AC263" s="170"/>
      <c r="AD263" s="586"/>
      <c r="AE263" s="586"/>
      <c r="AF263" s="170"/>
      <c r="AG263" s="170"/>
      <c r="AH263" s="170"/>
      <c r="AI263" s="170"/>
      <c r="AJ263" s="170"/>
      <c r="AK263" s="170"/>
      <c r="AL263" s="170"/>
      <c r="AM263" s="170"/>
      <c r="AN263" s="170"/>
      <c r="AO263" s="170"/>
      <c r="AP263" s="170"/>
      <c r="AQ263" s="170"/>
      <c r="AR263" s="170"/>
      <c r="AS263" s="170"/>
      <c r="AT263" s="170"/>
      <c r="AU263" s="170"/>
      <c r="AV263" s="170"/>
      <c r="AW263" s="170"/>
      <c r="AX263" s="170"/>
    </row>
    <row r="264" spans="1:50" ht="15" x14ac:dyDescent="0.25">
      <c r="A264" s="170"/>
      <c r="B264" s="719"/>
      <c r="C264" s="170"/>
      <c r="D264" s="170"/>
      <c r="E264" s="170"/>
      <c r="F264" s="170"/>
      <c r="G264" s="721"/>
      <c r="H264" s="170"/>
      <c r="I264" s="170"/>
      <c r="J264" s="170"/>
      <c r="K264" s="170"/>
      <c r="L264" s="170"/>
      <c r="M264" s="730"/>
      <c r="N264" s="730"/>
      <c r="O264" s="730"/>
      <c r="P264" s="731"/>
      <c r="Q264" s="731"/>
      <c r="R264" s="730"/>
      <c r="S264" s="730"/>
      <c r="T264" s="723"/>
      <c r="U264" s="724"/>
      <c r="V264" s="725"/>
      <c r="W264" s="725"/>
      <c r="X264" s="723"/>
      <c r="Y264" s="723"/>
      <c r="Z264" s="723"/>
      <c r="AA264" s="726"/>
      <c r="AB264" s="726"/>
      <c r="AC264" s="170"/>
      <c r="AD264" s="586"/>
      <c r="AE264" s="586"/>
      <c r="AF264" s="170"/>
      <c r="AG264" s="170"/>
      <c r="AH264" s="170"/>
      <c r="AI264" s="170"/>
      <c r="AJ264" s="170"/>
      <c r="AK264" s="170"/>
      <c r="AL264" s="170"/>
      <c r="AM264" s="170"/>
      <c r="AN264" s="170"/>
      <c r="AO264" s="170"/>
      <c r="AP264" s="170"/>
      <c r="AQ264" s="170"/>
      <c r="AR264" s="170"/>
      <c r="AS264" s="170"/>
      <c r="AT264" s="170"/>
      <c r="AU264" s="170"/>
      <c r="AV264" s="170"/>
      <c r="AW264" s="170"/>
      <c r="AX264" s="170"/>
    </row>
    <row r="265" spans="1:50" ht="15" x14ac:dyDescent="0.25">
      <c r="A265" s="170"/>
      <c r="B265" s="719"/>
      <c r="C265" s="170"/>
      <c r="D265" s="170"/>
      <c r="E265" s="170"/>
      <c r="F265" s="170"/>
      <c r="G265" s="721"/>
      <c r="H265" s="170"/>
      <c r="I265" s="170"/>
      <c r="J265" s="170"/>
      <c r="K265" s="170"/>
      <c r="L265" s="170"/>
      <c r="M265" s="730"/>
      <c r="N265" s="730"/>
      <c r="O265" s="730"/>
      <c r="P265" s="731"/>
      <c r="Q265" s="731"/>
      <c r="R265" s="730"/>
      <c r="S265" s="730"/>
      <c r="T265" s="723"/>
      <c r="U265" s="724"/>
      <c r="V265" s="725"/>
      <c r="W265" s="725"/>
      <c r="X265" s="723"/>
      <c r="Y265" s="723"/>
      <c r="Z265" s="723"/>
      <c r="AA265" s="726"/>
      <c r="AB265" s="726"/>
      <c r="AC265" s="170"/>
      <c r="AD265" s="586"/>
      <c r="AE265" s="586"/>
      <c r="AF265" s="170"/>
      <c r="AG265" s="170"/>
      <c r="AH265" s="170"/>
      <c r="AI265" s="170"/>
      <c r="AJ265" s="170"/>
      <c r="AK265" s="170"/>
      <c r="AL265" s="170"/>
      <c r="AM265" s="170"/>
      <c r="AN265" s="170"/>
      <c r="AO265" s="170"/>
      <c r="AP265" s="170"/>
      <c r="AQ265" s="170"/>
      <c r="AR265" s="170"/>
      <c r="AS265" s="170"/>
      <c r="AT265" s="170"/>
      <c r="AU265" s="170"/>
      <c r="AV265" s="170"/>
      <c r="AW265" s="170"/>
      <c r="AX265" s="170"/>
    </row>
    <row r="266" spans="1:50" ht="15" x14ac:dyDescent="0.25">
      <c r="A266" s="170"/>
      <c r="B266" s="719"/>
      <c r="C266" s="170"/>
      <c r="D266" s="170"/>
      <c r="E266" s="170"/>
      <c r="F266" s="170"/>
      <c r="G266" s="721"/>
      <c r="H266" s="170"/>
      <c r="I266" s="170"/>
      <c r="J266" s="170"/>
      <c r="K266" s="170"/>
      <c r="L266" s="170"/>
      <c r="M266" s="730"/>
      <c r="N266" s="730"/>
      <c r="O266" s="730"/>
      <c r="P266" s="731"/>
      <c r="Q266" s="731"/>
      <c r="R266" s="730"/>
      <c r="S266" s="730"/>
      <c r="T266" s="723"/>
      <c r="U266" s="724"/>
      <c r="V266" s="725"/>
      <c r="W266" s="725"/>
      <c r="X266" s="723"/>
      <c r="Y266" s="723"/>
      <c r="Z266" s="723"/>
      <c r="AA266" s="726"/>
      <c r="AB266" s="726"/>
      <c r="AC266" s="170"/>
      <c r="AD266" s="586"/>
      <c r="AE266" s="586"/>
      <c r="AF266" s="170"/>
      <c r="AG266" s="170"/>
      <c r="AH266" s="170"/>
      <c r="AI266" s="170"/>
      <c r="AJ266" s="170"/>
      <c r="AK266" s="170"/>
      <c r="AL266" s="170"/>
      <c r="AM266" s="170"/>
      <c r="AN266" s="170"/>
      <c r="AO266" s="170"/>
      <c r="AP266" s="170"/>
      <c r="AQ266" s="170"/>
      <c r="AR266" s="170"/>
      <c r="AS266" s="170"/>
      <c r="AT266" s="170"/>
      <c r="AU266" s="170"/>
      <c r="AV266" s="170"/>
      <c r="AW266" s="170"/>
      <c r="AX266" s="170"/>
    </row>
    <row r="267" spans="1:50" ht="15" x14ac:dyDescent="0.25">
      <c r="A267" s="170"/>
      <c r="B267" s="719"/>
      <c r="C267" s="170"/>
      <c r="D267" s="170"/>
      <c r="E267" s="170"/>
      <c r="F267" s="170"/>
      <c r="G267" s="721"/>
      <c r="H267" s="170"/>
      <c r="I267" s="170"/>
      <c r="J267" s="170"/>
      <c r="K267" s="170"/>
      <c r="L267" s="170"/>
      <c r="M267" s="730"/>
      <c r="N267" s="730"/>
      <c r="O267" s="730"/>
      <c r="P267" s="731"/>
      <c r="Q267" s="731"/>
      <c r="R267" s="730"/>
      <c r="S267" s="730"/>
      <c r="T267" s="723"/>
      <c r="U267" s="724"/>
      <c r="V267" s="725"/>
      <c r="W267" s="725"/>
      <c r="X267" s="723"/>
      <c r="Y267" s="723"/>
      <c r="Z267" s="723"/>
      <c r="AA267" s="726"/>
      <c r="AB267" s="726"/>
      <c r="AC267" s="170"/>
      <c r="AD267" s="586"/>
      <c r="AE267" s="586"/>
      <c r="AF267" s="170"/>
      <c r="AG267" s="170"/>
      <c r="AH267" s="170"/>
      <c r="AI267" s="170"/>
      <c r="AJ267" s="170"/>
      <c r="AK267" s="170"/>
      <c r="AL267" s="170"/>
      <c r="AM267" s="170"/>
      <c r="AN267" s="170"/>
      <c r="AO267" s="170"/>
      <c r="AP267" s="170"/>
      <c r="AQ267" s="170"/>
      <c r="AR267" s="170"/>
      <c r="AS267" s="170"/>
      <c r="AT267" s="170"/>
      <c r="AU267" s="170"/>
      <c r="AV267" s="170"/>
      <c r="AW267" s="170"/>
      <c r="AX267" s="170"/>
    </row>
    <row r="268" spans="1:50" ht="15" x14ac:dyDescent="0.25">
      <c r="A268" s="170"/>
      <c r="B268" s="719"/>
      <c r="C268" s="170"/>
      <c r="D268" s="170"/>
      <c r="E268" s="170"/>
      <c r="F268" s="170"/>
      <c r="G268" s="721"/>
      <c r="H268" s="170"/>
      <c r="I268" s="170"/>
      <c r="J268" s="170"/>
      <c r="K268" s="170"/>
      <c r="L268" s="170"/>
      <c r="M268" s="730"/>
      <c r="N268" s="730"/>
      <c r="O268" s="730"/>
      <c r="P268" s="731"/>
      <c r="Q268" s="731"/>
      <c r="R268" s="730"/>
      <c r="S268" s="730"/>
      <c r="T268" s="723"/>
      <c r="U268" s="724"/>
      <c r="V268" s="725"/>
      <c r="W268" s="725"/>
      <c r="X268" s="723"/>
      <c r="Y268" s="723"/>
      <c r="Z268" s="723"/>
      <c r="AA268" s="726"/>
      <c r="AB268" s="726"/>
      <c r="AC268" s="170"/>
      <c r="AD268" s="586"/>
      <c r="AE268" s="586"/>
      <c r="AF268" s="170"/>
      <c r="AG268" s="170"/>
      <c r="AH268" s="170"/>
      <c r="AI268" s="170"/>
      <c r="AJ268" s="170"/>
      <c r="AK268" s="170"/>
      <c r="AL268" s="170"/>
      <c r="AM268" s="170"/>
      <c r="AN268" s="170"/>
      <c r="AO268" s="170"/>
      <c r="AP268" s="170"/>
      <c r="AQ268" s="170"/>
      <c r="AR268" s="170"/>
      <c r="AS268" s="170"/>
      <c r="AT268" s="170"/>
      <c r="AU268" s="170"/>
      <c r="AV268" s="170"/>
      <c r="AW268" s="170"/>
      <c r="AX268" s="170"/>
    </row>
    <row r="269" spans="1:50" ht="15" x14ac:dyDescent="0.25">
      <c r="A269" s="170"/>
      <c r="B269" s="719"/>
      <c r="C269" s="170"/>
      <c r="D269" s="170"/>
      <c r="E269" s="170"/>
      <c r="F269" s="170"/>
      <c r="G269" s="721"/>
      <c r="H269" s="170"/>
      <c r="I269" s="170"/>
      <c r="J269" s="170"/>
      <c r="K269" s="170"/>
      <c r="L269" s="170"/>
      <c r="M269" s="730"/>
      <c r="N269" s="730"/>
      <c r="O269" s="730"/>
      <c r="P269" s="731"/>
      <c r="Q269" s="731"/>
      <c r="R269" s="730"/>
      <c r="S269" s="730"/>
      <c r="T269" s="723"/>
      <c r="U269" s="724"/>
      <c r="V269" s="725"/>
      <c r="W269" s="725"/>
      <c r="X269" s="723"/>
      <c r="Y269" s="723"/>
      <c r="Z269" s="723"/>
      <c r="AA269" s="726"/>
      <c r="AB269" s="726"/>
      <c r="AC269" s="170"/>
      <c r="AD269" s="586"/>
      <c r="AE269" s="586"/>
      <c r="AF269" s="170"/>
      <c r="AG269" s="170"/>
      <c r="AH269" s="170"/>
      <c r="AI269" s="170"/>
      <c r="AJ269" s="170"/>
      <c r="AK269" s="170"/>
      <c r="AL269" s="170"/>
      <c r="AM269" s="170"/>
      <c r="AN269" s="170"/>
      <c r="AO269" s="170"/>
      <c r="AP269" s="170"/>
      <c r="AQ269" s="170"/>
      <c r="AR269" s="170"/>
      <c r="AS269" s="170"/>
      <c r="AT269" s="170"/>
      <c r="AU269" s="170"/>
      <c r="AV269" s="170"/>
      <c r="AW269" s="170"/>
      <c r="AX269" s="170"/>
    </row>
    <row r="270" spans="1:50" ht="15" x14ac:dyDescent="0.25">
      <c r="A270" s="170"/>
      <c r="B270" s="719"/>
      <c r="C270" s="170"/>
      <c r="D270" s="170"/>
      <c r="E270" s="170"/>
      <c r="F270" s="170"/>
      <c r="G270" s="721"/>
      <c r="H270" s="170"/>
      <c r="I270" s="170"/>
      <c r="J270" s="170"/>
      <c r="K270" s="170"/>
      <c r="L270" s="170"/>
      <c r="M270" s="730"/>
      <c r="N270" s="730"/>
      <c r="O270" s="730"/>
      <c r="P270" s="731"/>
      <c r="Q270" s="731"/>
      <c r="R270" s="730"/>
      <c r="S270" s="730"/>
      <c r="T270" s="723"/>
      <c r="U270" s="724"/>
      <c r="V270" s="725"/>
      <c r="W270" s="725"/>
      <c r="X270" s="723"/>
      <c r="Y270" s="723"/>
      <c r="Z270" s="723"/>
      <c r="AA270" s="726"/>
      <c r="AB270" s="726"/>
      <c r="AC270" s="170"/>
      <c r="AD270" s="586"/>
      <c r="AE270" s="586"/>
      <c r="AF270" s="170"/>
      <c r="AG270" s="170"/>
      <c r="AH270" s="170"/>
      <c r="AI270" s="170"/>
      <c r="AJ270" s="170"/>
      <c r="AK270" s="170"/>
      <c r="AL270" s="170"/>
      <c r="AM270" s="170"/>
      <c r="AN270" s="170"/>
      <c r="AO270" s="170"/>
      <c r="AP270" s="170"/>
      <c r="AQ270" s="170"/>
      <c r="AR270" s="170"/>
      <c r="AS270" s="170"/>
      <c r="AT270" s="170"/>
      <c r="AU270" s="170"/>
      <c r="AV270" s="170"/>
      <c r="AW270" s="170"/>
      <c r="AX270" s="170"/>
    </row>
    <row r="271" spans="1:50" ht="15" x14ac:dyDescent="0.25">
      <c r="A271" s="170"/>
      <c r="B271" s="719"/>
      <c r="C271" s="170"/>
      <c r="D271" s="170"/>
      <c r="E271" s="170"/>
      <c r="F271" s="170"/>
      <c r="G271" s="721"/>
      <c r="H271" s="170"/>
      <c r="I271" s="170"/>
      <c r="J271" s="170"/>
      <c r="K271" s="170"/>
      <c r="L271" s="170"/>
      <c r="M271" s="730"/>
      <c r="N271" s="730"/>
      <c r="O271" s="730"/>
      <c r="P271" s="731"/>
      <c r="Q271" s="731"/>
      <c r="R271" s="730"/>
      <c r="S271" s="730"/>
      <c r="T271" s="723"/>
      <c r="U271" s="724"/>
      <c r="V271" s="725"/>
      <c r="W271" s="725"/>
      <c r="X271" s="723"/>
      <c r="Y271" s="723"/>
      <c r="Z271" s="723"/>
      <c r="AA271" s="726"/>
      <c r="AB271" s="726"/>
      <c r="AC271" s="170"/>
      <c r="AD271" s="586"/>
      <c r="AE271" s="586"/>
      <c r="AF271" s="170"/>
      <c r="AG271" s="170"/>
      <c r="AH271" s="170"/>
      <c r="AI271" s="170"/>
      <c r="AJ271" s="170"/>
      <c r="AK271" s="170"/>
      <c r="AL271" s="170"/>
      <c r="AM271" s="170"/>
      <c r="AN271" s="170"/>
      <c r="AO271" s="170"/>
      <c r="AP271" s="170"/>
      <c r="AQ271" s="170"/>
      <c r="AR271" s="170"/>
      <c r="AS271" s="170"/>
      <c r="AT271" s="170"/>
      <c r="AU271" s="170"/>
      <c r="AV271" s="170"/>
      <c r="AW271" s="170"/>
      <c r="AX271" s="170"/>
    </row>
    <row r="272" spans="1:50" ht="15" x14ac:dyDescent="0.25">
      <c r="A272" s="170"/>
      <c r="B272" s="719"/>
      <c r="C272" s="170"/>
      <c r="D272" s="170"/>
      <c r="E272" s="170"/>
      <c r="F272" s="170"/>
      <c r="G272" s="721"/>
      <c r="H272" s="170"/>
      <c r="I272" s="170"/>
      <c r="J272" s="170"/>
      <c r="K272" s="170"/>
      <c r="L272" s="170"/>
      <c r="M272" s="730"/>
      <c r="N272" s="730"/>
      <c r="O272" s="730"/>
      <c r="P272" s="731"/>
      <c r="Q272" s="731"/>
      <c r="R272" s="730"/>
      <c r="S272" s="730"/>
      <c r="T272" s="723"/>
      <c r="U272" s="724"/>
      <c r="V272" s="725"/>
      <c r="W272" s="725"/>
      <c r="X272" s="723"/>
      <c r="Y272" s="723"/>
      <c r="Z272" s="723"/>
      <c r="AA272" s="726"/>
      <c r="AB272" s="726"/>
      <c r="AC272" s="170"/>
      <c r="AD272" s="586"/>
      <c r="AE272" s="586"/>
      <c r="AF272" s="170"/>
      <c r="AG272" s="170"/>
      <c r="AH272" s="170"/>
      <c r="AI272" s="170"/>
      <c r="AJ272" s="170"/>
      <c r="AK272" s="170"/>
      <c r="AL272" s="170"/>
      <c r="AM272" s="170"/>
      <c r="AN272" s="170"/>
      <c r="AO272" s="170"/>
      <c r="AP272" s="170"/>
      <c r="AQ272" s="170"/>
      <c r="AR272" s="170"/>
      <c r="AS272" s="170"/>
      <c r="AT272" s="170"/>
      <c r="AU272" s="170"/>
      <c r="AV272" s="170"/>
      <c r="AW272" s="170"/>
      <c r="AX272" s="170"/>
    </row>
    <row r="273" spans="1:50" ht="15" x14ac:dyDescent="0.25">
      <c r="A273" s="170"/>
      <c r="B273" s="719"/>
      <c r="C273" s="170"/>
      <c r="D273" s="170"/>
      <c r="E273" s="170"/>
      <c r="F273" s="170"/>
      <c r="G273" s="721"/>
      <c r="H273" s="170"/>
      <c r="I273" s="170"/>
      <c r="J273" s="170"/>
      <c r="K273" s="170"/>
      <c r="L273" s="170"/>
      <c r="M273" s="730"/>
      <c r="N273" s="730"/>
      <c r="O273" s="730"/>
      <c r="P273" s="731"/>
      <c r="Q273" s="731"/>
      <c r="R273" s="730"/>
      <c r="S273" s="730"/>
      <c r="T273" s="723"/>
      <c r="U273" s="724"/>
      <c r="V273" s="725"/>
      <c r="W273" s="725"/>
      <c r="X273" s="723"/>
      <c r="Y273" s="723"/>
      <c r="Z273" s="723"/>
      <c r="AA273" s="726"/>
      <c r="AB273" s="726"/>
      <c r="AC273" s="170"/>
      <c r="AD273" s="586"/>
      <c r="AE273" s="586"/>
      <c r="AF273" s="170"/>
      <c r="AG273" s="170"/>
      <c r="AH273" s="170"/>
      <c r="AI273" s="170"/>
      <c r="AJ273" s="170"/>
      <c r="AK273" s="170"/>
      <c r="AL273" s="170"/>
      <c r="AM273" s="170"/>
      <c r="AN273" s="170"/>
      <c r="AO273" s="170"/>
      <c r="AP273" s="170"/>
      <c r="AQ273" s="170"/>
      <c r="AR273" s="170"/>
      <c r="AS273" s="170"/>
      <c r="AT273" s="170"/>
      <c r="AU273" s="170"/>
      <c r="AV273" s="170"/>
      <c r="AW273" s="170"/>
      <c r="AX273" s="170"/>
    </row>
    <row r="274" spans="1:50" ht="15" x14ac:dyDescent="0.25">
      <c r="A274" s="170"/>
      <c r="B274" s="719"/>
      <c r="C274" s="170"/>
      <c r="D274" s="170"/>
      <c r="E274" s="170"/>
      <c r="F274" s="170"/>
      <c r="G274" s="721"/>
      <c r="H274" s="170"/>
      <c r="I274" s="170"/>
      <c r="J274" s="170"/>
      <c r="K274" s="170"/>
      <c r="L274" s="170"/>
      <c r="M274" s="730"/>
      <c r="N274" s="730"/>
      <c r="O274" s="730"/>
      <c r="P274" s="731"/>
      <c r="Q274" s="731"/>
      <c r="R274" s="730"/>
      <c r="S274" s="730"/>
      <c r="T274" s="723"/>
      <c r="U274" s="724"/>
      <c r="V274" s="725"/>
      <c r="W274" s="725"/>
      <c r="X274" s="723"/>
      <c r="Y274" s="723"/>
      <c r="Z274" s="723"/>
      <c r="AA274" s="726"/>
      <c r="AB274" s="726"/>
      <c r="AC274" s="170"/>
      <c r="AD274" s="586"/>
      <c r="AE274" s="586"/>
      <c r="AF274" s="170"/>
      <c r="AG274" s="170"/>
      <c r="AH274" s="170"/>
      <c r="AI274" s="170"/>
      <c r="AJ274" s="170"/>
      <c r="AK274" s="170"/>
      <c r="AL274" s="170"/>
      <c r="AM274" s="170"/>
      <c r="AN274" s="170"/>
      <c r="AO274" s="170"/>
      <c r="AP274" s="170"/>
      <c r="AQ274" s="170"/>
      <c r="AR274" s="170"/>
      <c r="AS274" s="170"/>
      <c r="AT274" s="170"/>
      <c r="AU274" s="170"/>
      <c r="AV274" s="170"/>
      <c r="AW274" s="170"/>
      <c r="AX274" s="170"/>
    </row>
    <row r="275" spans="1:50" ht="15" x14ac:dyDescent="0.25">
      <c r="A275" s="170"/>
      <c r="B275" s="719"/>
      <c r="C275" s="170"/>
      <c r="D275" s="170"/>
      <c r="E275" s="170"/>
      <c r="F275" s="170"/>
      <c r="G275" s="721"/>
      <c r="H275" s="170"/>
      <c r="I275" s="170"/>
      <c r="J275" s="170"/>
      <c r="K275" s="170"/>
      <c r="L275" s="170"/>
      <c r="M275" s="730"/>
      <c r="N275" s="730"/>
      <c r="O275" s="730"/>
      <c r="P275" s="731"/>
      <c r="Q275" s="731"/>
      <c r="R275" s="730"/>
      <c r="S275" s="730"/>
      <c r="T275" s="723"/>
      <c r="U275" s="724"/>
      <c r="V275" s="725"/>
      <c r="W275" s="725"/>
      <c r="X275" s="723"/>
      <c r="Y275" s="723"/>
      <c r="Z275" s="723"/>
      <c r="AA275" s="726"/>
      <c r="AB275" s="726"/>
      <c r="AC275" s="170"/>
      <c r="AD275" s="586"/>
      <c r="AE275" s="586"/>
      <c r="AF275" s="170"/>
      <c r="AG275" s="170"/>
      <c r="AH275" s="170"/>
      <c r="AI275" s="170"/>
      <c r="AJ275" s="170"/>
      <c r="AK275" s="170"/>
      <c r="AL275" s="170"/>
      <c r="AM275" s="170"/>
      <c r="AN275" s="170"/>
      <c r="AO275" s="170"/>
      <c r="AP275" s="170"/>
      <c r="AQ275" s="170"/>
      <c r="AR275" s="170"/>
      <c r="AS275" s="170"/>
      <c r="AT275" s="170"/>
      <c r="AU275" s="170"/>
      <c r="AV275" s="170"/>
      <c r="AW275" s="170"/>
      <c r="AX275" s="170"/>
    </row>
    <row r="276" spans="1:50" ht="15" x14ac:dyDescent="0.25">
      <c r="A276" s="170"/>
      <c r="B276" s="719"/>
      <c r="C276" s="170"/>
      <c r="D276" s="170"/>
      <c r="E276" s="170"/>
      <c r="F276" s="170"/>
      <c r="G276" s="721"/>
      <c r="H276" s="170"/>
      <c r="I276" s="170"/>
      <c r="J276" s="170"/>
      <c r="K276" s="170"/>
      <c r="L276" s="170"/>
      <c r="M276" s="730"/>
      <c r="N276" s="730"/>
      <c r="O276" s="730"/>
      <c r="P276" s="731"/>
      <c r="Q276" s="731"/>
      <c r="R276" s="730"/>
      <c r="S276" s="730"/>
      <c r="T276" s="723"/>
      <c r="U276" s="724"/>
      <c r="V276" s="725"/>
      <c r="W276" s="725"/>
      <c r="X276" s="723"/>
      <c r="Y276" s="723"/>
      <c r="Z276" s="723"/>
      <c r="AA276" s="726"/>
      <c r="AB276" s="726"/>
      <c r="AC276" s="170"/>
      <c r="AD276" s="586"/>
      <c r="AE276" s="586"/>
      <c r="AF276" s="170"/>
      <c r="AG276" s="170"/>
      <c r="AH276" s="170"/>
      <c r="AI276" s="170"/>
      <c r="AJ276" s="170"/>
      <c r="AK276" s="170"/>
      <c r="AL276" s="170"/>
      <c r="AM276" s="170"/>
      <c r="AN276" s="170"/>
      <c r="AO276" s="170"/>
      <c r="AP276" s="170"/>
      <c r="AQ276" s="170"/>
      <c r="AR276" s="170"/>
      <c r="AS276" s="170"/>
      <c r="AT276" s="170"/>
      <c r="AU276" s="170"/>
      <c r="AV276" s="170"/>
      <c r="AW276" s="170"/>
      <c r="AX276" s="170"/>
    </row>
    <row r="277" spans="1:50" ht="15" x14ac:dyDescent="0.25">
      <c r="A277" s="170"/>
      <c r="B277" s="719"/>
      <c r="C277" s="170"/>
      <c r="D277" s="170"/>
      <c r="E277" s="170"/>
      <c r="F277" s="170"/>
      <c r="G277" s="721"/>
      <c r="H277" s="170"/>
      <c r="I277" s="170"/>
      <c r="J277" s="170"/>
      <c r="K277" s="170"/>
      <c r="L277" s="170"/>
      <c r="M277" s="730"/>
      <c r="N277" s="730"/>
      <c r="O277" s="730"/>
      <c r="P277" s="731"/>
      <c r="Q277" s="731"/>
      <c r="R277" s="730"/>
      <c r="S277" s="730"/>
      <c r="T277" s="723"/>
      <c r="U277" s="724"/>
      <c r="V277" s="725"/>
      <c r="W277" s="725"/>
      <c r="X277" s="723"/>
      <c r="Y277" s="723"/>
      <c r="Z277" s="723"/>
      <c r="AA277" s="726"/>
      <c r="AB277" s="726"/>
      <c r="AC277" s="170"/>
      <c r="AD277" s="586"/>
      <c r="AE277" s="586"/>
      <c r="AF277" s="170"/>
      <c r="AG277" s="170"/>
      <c r="AH277" s="170"/>
      <c r="AI277" s="170"/>
      <c r="AJ277" s="170"/>
      <c r="AK277" s="170"/>
      <c r="AL277" s="170"/>
      <c r="AM277" s="170"/>
      <c r="AN277" s="170"/>
      <c r="AO277" s="170"/>
      <c r="AP277" s="170"/>
      <c r="AQ277" s="170"/>
      <c r="AR277" s="170"/>
      <c r="AS277" s="170"/>
      <c r="AT277" s="170"/>
      <c r="AU277" s="170"/>
      <c r="AV277" s="170"/>
      <c r="AW277" s="170"/>
      <c r="AX277" s="170"/>
    </row>
    <row r="278" spans="1:50" ht="15" x14ac:dyDescent="0.25">
      <c r="A278" s="170"/>
      <c r="B278" s="719"/>
      <c r="C278" s="170"/>
      <c r="D278" s="170"/>
      <c r="E278" s="170"/>
      <c r="F278" s="170"/>
      <c r="G278" s="721"/>
      <c r="H278" s="170"/>
      <c r="I278" s="170"/>
      <c r="J278" s="170"/>
      <c r="K278" s="170"/>
      <c r="L278" s="170"/>
      <c r="M278" s="730"/>
      <c r="N278" s="730"/>
      <c r="O278" s="730"/>
      <c r="P278" s="731"/>
      <c r="Q278" s="731"/>
      <c r="R278" s="730"/>
      <c r="S278" s="730"/>
      <c r="T278" s="723"/>
      <c r="U278" s="724"/>
      <c r="V278" s="725"/>
      <c r="W278" s="725"/>
      <c r="X278" s="723"/>
      <c r="Y278" s="723"/>
      <c r="Z278" s="723"/>
      <c r="AA278" s="726"/>
      <c r="AB278" s="726"/>
      <c r="AC278" s="170"/>
      <c r="AD278" s="586"/>
      <c r="AE278" s="586"/>
      <c r="AF278" s="170"/>
      <c r="AG278" s="170"/>
      <c r="AH278" s="170"/>
      <c r="AI278" s="170"/>
      <c r="AJ278" s="170"/>
      <c r="AK278" s="170"/>
      <c r="AL278" s="170"/>
      <c r="AM278" s="170"/>
      <c r="AN278" s="170"/>
      <c r="AO278" s="170"/>
      <c r="AP278" s="170"/>
      <c r="AQ278" s="170"/>
      <c r="AR278" s="170"/>
      <c r="AS278" s="170"/>
      <c r="AT278" s="170"/>
      <c r="AU278" s="170"/>
      <c r="AV278" s="170"/>
      <c r="AW278" s="170"/>
      <c r="AX278" s="170"/>
    </row>
    <row r="279" spans="1:50" ht="15" x14ac:dyDescent="0.25">
      <c r="A279" s="170"/>
      <c r="B279" s="719"/>
      <c r="C279" s="170"/>
      <c r="D279" s="170"/>
      <c r="E279" s="170"/>
      <c r="F279" s="170"/>
      <c r="G279" s="721"/>
      <c r="H279" s="170"/>
      <c r="I279" s="170"/>
      <c r="J279" s="170"/>
      <c r="K279" s="170"/>
      <c r="L279" s="170"/>
      <c r="M279" s="730"/>
      <c r="N279" s="730"/>
      <c r="O279" s="730"/>
      <c r="P279" s="731"/>
      <c r="Q279" s="731"/>
      <c r="R279" s="730"/>
      <c r="S279" s="730"/>
      <c r="T279" s="723"/>
      <c r="U279" s="724"/>
      <c r="V279" s="725"/>
      <c r="W279" s="725"/>
      <c r="X279" s="723"/>
      <c r="Y279" s="723"/>
      <c r="Z279" s="723"/>
      <c r="AA279" s="726"/>
      <c r="AB279" s="726"/>
      <c r="AC279" s="170"/>
      <c r="AD279" s="586"/>
      <c r="AE279" s="586"/>
      <c r="AF279" s="170"/>
      <c r="AG279" s="170"/>
      <c r="AH279" s="170"/>
      <c r="AI279" s="170"/>
      <c r="AJ279" s="170"/>
      <c r="AK279" s="170"/>
      <c r="AL279" s="170"/>
      <c r="AM279" s="170"/>
      <c r="AN279" s="170"/>
      <c r="AO279" s="170"/>
      <c r="AP279" s="170"/>
      <c r="AQ279" s="170"/>
      <c r="AR279" s="170"/>
      <c r="AS279" s="170"/>
      <c r="AT279" s="170"/>
      <c r="AU279" s="170"/>
      <c r="AV279" s="170"/>
      <c r="AW279" s="170"/>
      <c r="AX279" s="170"/>
    </row>
    <row r="280" spans="1:50" ht="15" x14ac:dyDescent="0.25">
      <c r="A280" s="170"/>
      <c r="B280" s="719"/>
      <c r="C280" s="170"/>
      <c r="D280" s="170"/>
      <c r="E280" s="170"/>
      <c r="F280" s="170"/>
      <c r="G280" s="721"/>
      <c r="H280" s="170"/>
      <c r="I280" s="170"/>
      <c r="J280" s="170"/>
      <c r="K280" s="170"/>
      <c r="L280" s="170"/>
      <c r="M280" s="730"/>
      <c r="N280" s="730"/>
      <c r="O280" s="730"/>
      <c r="P280" s="731"/>
      <c r="Q280" s="731"/>
      <c r="R280" s="730"/>
      <c r="S280" s="730"/>
      <c r="T280" s="723"/>
      <c r="U280" s="724"/>
      <c r="V280" s="725"/>
      <c r="W280" s="725"/>
      <c r="X280" s="723"/>
      <c r="Y280" s="723"/>
      <c r="Z280" s="723"/>
      <c r="AA280" s="726"/>
      <c r="AB280" s="726"/>
      <c r="AC280" s="170"/>
      <c r="AD280" s="586"/>
      <c r="AE280" s="586"/>
      <c r="AF280" s="170"/>
      <c r="AG280" s="170"/>
      <c r="AH280" s="170"/>
      <c r="AI280" s="170"/>
      <c r="AJ280" s="170"/>
      <c r="AK280" s="170"/>
      <c r="AL280" s="170"/>
      <c r="AM280" s="170"/>
      <c r="AN280" s="170"/>
      <c r="AO280" s="170"/>
      <c r="AP280" s="170"/>
      <c r="AQ280" s="170"/>
      <c r="AR280" s="170"/>
      <c r="AS280" s="170"/>
      <c r="AT280" s="170"/>
      <c r="AU280" s="170"/>
      <c r="AV280" s="170"/>
      <c r="AW280" s="170"/>
      <c r="AX280" s="170"/>
    </row>
    <row r="281" spans="1:50" ht="15" x14ac:dyDescent="0.25">
      <c r="A281" s="170"/>
      <c r="B281" s="719"/>
      <c r="C281" s="170"/>
      <c r="D281" s="170"/>
      <c r="E281" s="170"/>
      <c r="F281" s="170"/>
      <c r="G281" s="721"/>
      <c r="H281" s="170"/>
      <c r="I281" s="170"/>
      <c r="J281" s="170"/>
      <c r="K281" s="170"/>
      <c r="L281" s="170"/>
      <c r="M281" s="730"/>
      <c r="N281" s="730"/>
      <c r="O281" s="730"/>
      <c r="P281" s="731"/>
      <c r="Q281" s="731"/>
      <c r="R281" s="730"/>
      <c r="S281" s="730"/>
      <c r="T281" s="723"/>
      <c r="U281" s="724"/>
      <c r="V281" s="725"/>
      <c r="W281" s="725"/>
      <c r="X281" s="723"/>
      <c r="Y281" s="723"/>
      <c r="Z281" s="723"/>
      <c r="AA281" s="726"/>
      <c r="AB281" s="726"/>
      <c r="AC281" s="170"/>
      <c r="AD281" s="586"/>
      <c r="AE281" s="586"/>
      <c r="AF281" s="170"/>
      <c r="AG281" s="170"/>
      <c r="AH281" s="170"/>
      <c r="AI281" s="170"/>
      <c r="AJ281" s="170"/>
      <c r="AK281" s="170"/>
      <c r="AL281" s="170"/>
      <c r="AM281" s="170"/>
      <c r="AN281" s="170"/>
      <c r="AO281" s="170"/>
      <c r="AP281" s="170"/>
      <c r="AQ281" s="170"/>
      <c r="AR281" s="170"/>
      <c r="AS281" s="170"/>
      <c r="AT281" s="170"/>
      <c r="AU281" s="170"/>
      <c r="AV281" s="170"/>
      <c r="AW281" s="170"/>
      <c r="AX281" s="170"/>
    </row>
    <row r="282" spans="1:50" ht="15" x14ac:dyDescent="0.25">
      <c r="A282" s="170"/>
      <c r="B282" s="719"/>
      <c r="C282" s="170"/>
      <c r="D282" s="170"/>
      <c r="E282" s="170"/>
      <c r="F282" s="170"/>
      <c r="G282" s="721"/>
      <c r="H282" s="170"/>
      <c r="I282" s="170"/>
      <c r="J282" s="170"/>
      <c r="K282" s="170"/>
      <c r="L282" s="170"/>
      <c r="M282" s="730"/>
      <c r="N282" s="730"/>
      <c r="O282" s="730"/>
      <c r="P282" s="731"/>
      <c r="Q282" s="731"/>
      <c r="R282" s="730"/>
      <c r="S282" s="730"/>
      <c r="T282" s="723"/>
      <c r="U282" s="724"/>
      <c r="V282" s="725"/>
      <c r="W282" s="725"/>
      <c r="X282" s="723"/>
      <c r="Y282" s="723"/>
      <c r="Z282" s="723"/>
      <c r="AA282" s="726"/>
      <c r="AB282" s="726"/>
      <c r="AC282" s="170"/>
      <c r="AD282" s="586"/>
      <c r="AE282" s="586"/>
      <c r="AF282" s="170"/>
      <c r="AG282" s="170"/>
      <c r="AH282" s="170"/>
      <c r="AI282" s="170"/>
      <c r="AJ282" s="170"/>
      <c r="AK282" s="170"/>
      <c r="AL282" s="170"/>
      <c r="AM282" s="170"/>
      <c r="AN282" s="170"/>
      <c r="AO282" s="170"/>
      <c r="AP282" s="170"/>
      <c r="AQ282" s="170"/>
      <c r="AR282" s="170"/>
      <c r="AS282" s="170"/>
      <c r="AT282" s="170"/>
      <c r="AU282" s="170"/>
      <c r="AV282" s="170"/>
      <c r="AW282" s="170"/>
      <c r="AX282" s="170"/>
    </row>
    <row r="283" spans="1:50" ht="15" x14ac:dyDescent="0.25">
      <c r="A283" s="170"/>
      <c r="B283" s="719"/>
      <c r="C283" s="170"/>
      <c r="D283" s="170"/>
      <c r="E283" s="170"/>
      <c r="F283" s="170"/>
      <c r="G283" s="721"/>
      <c r="H283" s="170"/>
      <c r="I283" s="170"/>
      <c r="J283" s="170"/>
      <c r="K283" s="170"/>
      <c r="L283" s="170"/>
      <c r="M283" s="730"/>
      <c r="N283" s="730"/>
      <c r="O283" s="730"/>
      <c r="P283" s="731"/>
      <c r="Q283" s="731"/>
      <c r="R283" s="730"/>
      <c r="S283" s="730"/>
      <c r="T283" s="723"/>
      <c r="U283" s="724"/>
      <c r="V283" s="725"/>
      <c r="W283" s="725"/>
      <c r="X283" s="723"/>
      <c r="Y283" s="723"/>
      <c r="Z283" s="723"/>
      <c r="AA283" s="726"/>
      <c r="AB283" s="726"/>
      <c r="AC283" s="170"/>
      <c r="AD283" s="586"/>
      <c r="AE283" s="586"/>
      <c r="AF283" s="170"/>
      <c r="AG283" s="170"/>
      <c r="AH283" s="170"/>
      <c r="AI283" s="170"/>
      <c r="AJ283" s="170"/>
      <c r="AK283" s="170"/>
      <c r="AL283" s="170"/>
      <c r="AM283" s="170"/>
      <c r="AN283" s="170"/>
      <c r="AO283" s="170"/>
      <c r="AP283" s="170"/>
      <c r="AQ283" s="170"/>
      <c r="AR283" s="170"/>
      <c r="AS283" s="170"/>
      <c r="AT283" s="170"/>
      <c r="AU283" s="170"/>
      <c r="AV283" s="170"/>
      <c r="AW283" s="170"/>
      <c r="AX283" s="170"/>
    </row>
    <row r="284" spans="1:50" ht="15" x14ac:dyDescent="0.25">
      <c r="A284" s="170"/>
      <c r="B284" s="719"/>
      <c r="C284" s="170"/>
      <c r="D284" s="170"/>
      <c r="E284" s="170"/>
      <c r="F284" s="170"/>
      <c r="G284" s="721"/>
      <c r="H284" s="170"/>
      <c r="I284" s="170"/>
      <c r="J284" s="170"/>
      <c r="K284" s="170"/>
      <c r="L284" s="170"/>
      <c r="M284" s="730"/>
      <c r="N284" s="730"/>
      <c r="O284" s="730"/>
      <c r="P284" s="731"/>
      <c r="Q284" s="731"/>
      <c r="R284" s="730"/>
      <c r="S284" s="730"/>
      <c r="T284" s="723"/>
      <c r="U284" s="724"/>
      <c r="V284" s="725"/>
      <c r="W284" s="725"/>
      <c r="X284" s="723"/>
      <c r="Y284" s="723"/>
      <c r="Z284" s="723"/>
      <c r="AA284" s="726"/>
      <c r="AB284" s="726"/>
      <c r="AC284" s="170"/>
      <c r="AD284" s="586"/>
      <c r="AE284" s="586"/>
      <c r="AF284" s="170"/>
      <c r="AG284" s="170"/>
      <c r="AH284" s="170"/>
      <c r="AI284" s="170"/>
      <c r="AJ284" s="170"/>
      <c r="AK284" s="170"/>
      <c r="AL284" s="170"/>
      <c r="AM284" s="170"/>
      <c r="AN284" s="170"/>
      <c r="AO284" s="170"/>
      <c r="AP284" s="170"/>
      <c r="AQ284" s="170"/>
      <c r="AR284" s="170"/>
      <c r="AS284" s="170"/>
      <c r="AT284" s="170"/>
      <c r="AU284" s="170"/>
      <c r="AV284" s="170"/>
      <c r="AW284" s="170"/>
      <c r="AX284" s="170"/>
    </row>
    <row r="285" spans="1:50" ht="15" x14ac:dyDescent="0.25">
      <c r="A285" s="170"/>
      <c r="B285" s="719"/>
      <c r="C285" s="170"/>
      <c r="D285" s="170"/>
      <c r="E285" s="170"/>
      <c r="F285" s="170"/>
      <c r="G285" s="721"/>
      <c r="H285" s="170"/>
      <c r="I285" s="170"/>
      <c r="J285" s="170"/>
      <c r="K285" s="170"/>
      <c r="L285" s="170"/>
      <c r="M285" s="730"/>
      <c r="N285" s="730"/>
      <c r="O285" s="730"/>
      <c r="P285" s="731"/>
      <c r="Q285" s="731"/>
      <c r="R285" s="730"/>
      <c r="S285" s="730"/>
      <c r="T285" s="723"/>
      <c r="U285" s="724"/>
      <c r="V285" s="725"/>
      <c r="W285" s="725"/>
      <c r="X285" s="723"/>
      <c r="Y285" s="723"/>
      <c r="Z285" s="723"/>
      <c r="AA285" s="726"/>
      <c r="AB285" s="726"/>
      <c r="AC285" s="170"/>
      <c r="AD285" s="586"/>
      <c r="AE285" s="586"/>
      <c r="AF285" s="170"/>
      <c r="AG285" s="170"/>
      <c r="AH285" s="170"/>
      <c r="AI285" s="170"/>
      <c r="AJ285" s="170"/>
      <c r="AK285" s="170"/>
      <c r="AL285" s="170"/>
      <c r="AM285" s="170"/>
      <c r="AN285" s="170"/>
      <c r="AO285" s="170"/>
      <c r="AP285" s="170"/>
      <c r="AQ285" s="170"/>
      <c r="AR285" s="170"/>
      <c r="AS285" s="170"/>
      <c r="AT285" s="170"/>
      <c r="AU285" s="170"/>
      <c r="AV285" s="170"/>
      <c r="AW285" s="170"/>
      <c r="AX285" s="170"/>
    </row>
    <row r="286" spans="1:50" ht="15" x14ac:dyDescent="0.25">
      <c r="A286" s="170"/>
      <c r="B286" s="719"/>
      <c r="C286" s="170"/>
      <c r="D286" s="170"/>
      <c r="E286" s="170"/>
      <c r="F286" s="170"/>
      <c r="G286" s="721"/>
      <c r="H286" s="170"/>
      <c r="I286" s="170"/>
      <c r="J286" s="170"/>
      <c r="K286" s="170"/>
      <c r="L286" s="170"/>
      <c r="M286" s="730"/>
      <c r="N286" s="730"/>
      <c r="O286" s="730"/>
      <c r="P286" s="731"/>
      <c r="Q286" s="731"/>
      <c r="R286" s="730"/>
      <c r="S286" s="730"/>
      <c r="T286" s="723"/>
      <c r="U286" s="724"/>
      <c r="V286" s="725"/>
      <c r="W286" s="725"/>
      <c r="X286" s="723"/>
      <c r="Y286" s="723"/>
      <c r="Z286" s="723"/>
      <c r="AA286" s="726"/>
      <c r="AB286" s="726"/>
      <c r="AC286" s="170"/>
      <c r="AD286" s="586"/>
      <c r="AE286" s="586"/>
      <c r="AF286" s="170"/>
      <c r="AG286" s="170"/>
      <c r="AH286" s="170"/>
      <c r="AI286" s="170"/>
      <c r="AJ286" s="170"/>
      <c r="AK286" s="170"/>
      <c r="AL286" s="170"/>
      <c r="AM286" s="170"/>
      <c r="AN286" s="170"/>
      <c r="AO286" s="170"/>
      <c r="AP286" s="170"/>
      <c r="AQ286" s="170"/>
      <c r="AR286" s="170"/>
      <c r="AS286" s="170"/>
      <c r="AT286" s="170"/>
      <c r="AU286" s="170"/>
      <c r="AV286" s="170"/>
      <c r="AW286" s="170"/>
      <c r="AX286" s="170"/>
    </row>
    <row r="287" spans="1:50" ht="15" x14ac:dyDescent="0.25">
      <c r="A287" s="170"/>
      <c r="B287" s="719"/>
      <c r="C287" s="170"/>
      <c r="D287" s="170"/>
      <c r="E287" s="170"/>
      <c r="F287" s="170"/>
      <c r="G287" s="721"/>
      <c r="H287" s="170"/>
      <c r="I287" s="170"/>
      <c r="J287" s="170"/>
      <c r="K287" s="170"/>
      <c r="L287" s="170"/>
      <c r="M287" s="730"/>
      <c r="N287" s="730"/>
      <c r="O287" s="730"/>
      <c r="P287" s="731"/>
      <c r="Q287" s="731"/>
      <c r="R287" s="730"/>
      <c r="S287" s="730"/>
      <c r="T287" s="723"/>
      <c r="U287" s="724"/>
      <c r="V287" s="725"/>
      <c r="W287" s="725"/>
      <c r="X287" s="723"/>
      <c r="Y287" s="723"/>
      <c r="Z287" s="723"/>
      <c r="AA287" s="726"/>
      <c r="AB287" s="726"/>
      <c r="AC287" s="170"/>
      <c r="AD287" s="586"/>
      <c r="AE287" s="586"/>
      <c r="AF287" s="170"/>
      <c r="AG287" s="170"/>
      <c r="AH287" s="170"/>
      <c r="AI287" s="170"/>
      <c r="AJ287" s="170"/>
      <c r="AK287" s="170"/>
      <c r="AL287" s="170"/>
      <c r="AM287" s="170"/>
      <c r="AN287" s="170"/>
      <c r="AO287" s="170"/>
      <c r="AP287" s="170"/>
      <c r="AQ287" s="170"/>
      <c r="AR287" s="170"/>
      <c r="AS287" s="170"/>
      <c r="AT287" s="170"/>
      <c r="AU287" s="170"/>
      <c r="AV287" s="170"/>
      <c r="AW287" s="170"/>
      <c r="AX287" s="170"/>
    </row>
    <row r="288" spans="1:50" ht="15" x14ac:dyDescent="0.25">
      <c r="A288" s="170"/>
      <c r="B288" s="719"/>
      <c r="C288" s="170"/>
      <c r="D288" s="170"/>
      <c r="E288" s="170"/>
      <c r="F288" s="170"/>
      <c r="G288" s="721"/>
      <c r="H288" s="170"/>
      <c r="I288" s="170"/>
      <c r="J288" s="170"/>
      <c r="K288" s="170"/>
      <c r="L288" s="170"/>
      <c r="M288" s="730"/>
      <c r="N288" s="730"/>
      <c r="O288" s="730"/>
      <c r="P288" s="731"/>
      <c r="Q288" s="731"/>
      <c r="R288" s="730"/>
      <c r="S288" s="730"/>
      <c r="T288" s="723"/>
      <c r="U288" s="724"/>
      <c r="V288" s="725"/>
      <c r="W288" s="725"/>
      <c r="X288" s="723"/>
      <c r="Y288" s="723"/>
      <c r="Z288" s="723"/>
      <c r="AA288" s="726"/>
      <c r="AB288" s="726"/>
      <c r="AC288" s="170"/>
      <c r="AD288" s="586"/>
      <c r="AE288" s="586"/>
      <c r="AF288" s="170"/>
      <c r="AG288" s="170"/>
      <c r="AH288" s="170"/>
      <c r="AI288" s="170"/>
      <c r="AJ288" s="170"/>
      <c r="AK288" s="170"/>
      <c r="AL288" s="170"/>
      <c r="AM288" s="170"/>
      <c r="AN288" s="170"/>
      <c r="AO288" s="170"/>
      <c r="AP288" s="170"/>
      <c r="AQ288" s="170"/>
      <c r="AR288" s="170"/>
      <c r="AS288" s="170"/>
      <c r="AT288" s="170"/>
      <c r="AU288" s="170"/>
      <c r="AV288" s="170"/>
      <c r="AW288" s="170"/>
      <c r="AX288" s="170"/>
    </row>
    <row r="289" spans="1:50" ht="15" x14ac:dyDescent="0.25">
      <c r="A289" s="170"/>
      <c r="B289" s="719"/>
      <c r="C289" s="170"/>
      <c r="D289" s="170"/>
      <c r="E289" s="170"/>
      <c r="F289" s="170"/>
      <c r="G289" s="721"/>
      <c r="H289" s="170"/>
      <c r="I289" s="170"/>
      <c r="J289" s="170"/>
      <c r="K289" s="170"/>
      <c r="L289" s="170"/>
      <c r="M289" s="730"/>
      <c r="N289" s="730"/>
      <c r="O289" s="730"/>
      <c r="P289" s="731"/>
      <c r="Q289" s="731"/>
      <c r="R289" s="730"/>
      <c r="S289" s="730"/>
      <c r="T289" s="723"/>
      <c r="U289" s="724"/>
      <c r="V289" s="725"/>
      <c r="W289" s="725"/>
      <c r="X289" s="723"/>
      <c r="Y289" s="723"/>
      <c r="Z289" s="723"/>
      <c r="AA289" s="726"/>
      <c r="AB289" s="726"/>
      <c r="AC289" s="170"/>
      <c r="AD289" s="586"/>
      <c r="AE289" s="586"/>
      <c r="AF289" s="170"/>
      <c r="AG289" s="170"/>
      <c r="AH289" s="170"/>
      <c r="AI289" s="170"/>
      <c r="AJ289" s="170"/>
      <c r="AK289" s="170"/>
      <c r="AL289" s="170"/>
      <c r="AM289" s="170"/>
      <c r="AN289" s="170"/>
      <c r="AO289" s="170"/>
      <c r="AP289" s="170"/>
      <c r="AQ289" s="170"/>
      <c r="AR289" s="170"/>
      <c r="AS289" s="170"/>
      <c r="AT289" s="170"/>
      <c r="AU289" s="170"/>
      <c r="AV289" s="170"/>
      <c r="AW289" s="170"/>
      <c r="AX289" s="170"/>
    </row>
    <row r="290" spans="1:50" ht="15" x14ac:dyDescent="0.25">
      <c r="A290" s="170"/>
      <c r="B290" s="719"/>
      <c r="C290" s="170"/>
      <c r="D290" s="170"/>
      <c r="E290" s="170"/>
      <c r="F290" s="170"/>
      <c r="G290" s="721"/>
      <c r="H290" s="170"/>
      <c r="I290" s="170"/>
      <c r="J290" s="170"/>
      <c r="K290" s="170"/>
      <c r="L290" s="170"/>
      <c r="M290" s="730"/>
      <c r="N290" s="730"/>
      <c r="O290" s="730"/>
      <c r="P290" s="731"/>
      <c r="Q290" s="731"/>
      <c r="R290" s="730"/>
      <c r="S290" s="730"/>
      <c r="T290" s="723"/>
      <c r="U290" s="724"/>
      <c r="V290" s="725"/>
      <c r="W290" s="725"/>
      <c r="X290" s="723"/>
      <c r="Y290" s="723"/>
      <c r="Z290" s="723"/>
      <c r="AA290" s="726"/>
      <c r="AB290" s="726"/>
      <c r="AC290" s="170"/>
      <c r="AD290" s="586"/>
      <c r="AE290" s="586"/>
      <c r="AF290" s="170"/>
      <c r="AG290" s="170"/>
      <c r="AH290" s="170"/>
      <c r="AI290" s="170"/>
      <c r="AJ290" s="170"/>
      <c r="AK290" s="170"/>
      <c r="AL290" s="170"/>
      <c r="AM290" s="170"/>
      <c r="AN290" s="170"/>
      <c r="AO290" s="170"/>
      <c r="AP290" s="170"/>
      <c r="AQ290" s="170"/>
      <c r="AR290" s="170"/>
      <c r="AS290" s="170"/>
      <c r="AT290" s="170"/>
      <c r="AU290" s="170"/>
      <c r="AV290" s="170"/>
      <c r="AW290" s="170"/>
      <c r="AX290" s="170"/>
    </row>
    <row r="291" spans="1:50" ht="15" x14ac:dyDescent="0.25">
      <c r="A291" s="170"/>
      <c r="B291" s="719"/>
      <c r="C291" s="170"/>
      <c r="D291" s="170"/>
      <c r="E291" s="170"/>
      <c r="F291" s="170"/>
      <c r="G291" s="721"/>
      <c r="H291" s="170"/>
      <c r="I291" s="170"/>
      <c r="J291" s="170"/>
      <c r="K291" s="170"/>
      <c r="L291" s="170"/>
      <c r="M291" s="730"/>
      <c r="N291" s="730"/>
      <c r="O291" s="730"/>
      <c r="P291" s="731"/>
      <c r="Q291" s="731"/>
      <c r="R291" s="730"/>
      <c r="S291" s="730"/>
      <c r="T291" s="723"/>
      <c r="U291" s="724"/>
      <c r="V291" s="725"/>
      <c r="W291" s="725"/>
      <c r="X291" s="723"/>
      <c r="Y291" s="723"/>
      <c r="Z291" s="723"/>
      <c r="AA291" s="726"/>
      <c r="AB291" s="726"/>
      <c r="AC291" s="170"/>
      <c r="AD291" s="586"/>
      <c r="AE291" s="586"/>
      <c r="AF291" s="170"/>
      <c r="AG291" s="170"/>
      <c r="AH291" s="170"/>
      <c r="AI291" s="170"/>
      <c r="AJ291" s="170"/>
      <c r="AK291" s="170"/>
      <c r="AL291" s="170"/>
      <c r="AM291" s="170"/>
      <c r="AN291" s="170"/>
      <c r="AO291" s="170"/>
      <c r="AP291" s="170"/>
      <c r="AQ291" s="170"/>
      <c r="AR291" s="170"/>
      <c r="AS291" s="170"/>
      <c r="AT291" s="170"/>
      <c r="AU291" s="170"/>
      <c r="AV291" s="170"/>
      <c r="AW291" s="170"/>
      <c r="AX291" s="170"/>
    </row>
    <row r="292" spans="1:50" ht="15" x14ac:dyDescent="0.25">
      <c r="A292" s="170"/>
      <c r="B292" s="719"/>
      <c r="C292" s="170"/>
      <c r="D292" s="170"/>
      <c r="E292" s="170"/>
      <c r="F292" s="170"/>
      <c r="G292" s="721"/>
      <c r="H292" s="170"/>
      <c r="I292" s="170"/>
      <c r="J292" s="170"/>
      <c r="K292" s="170"/>
      <c r="L292" s="170"/>
      <c r="M292" s="730"/>
      <c r="N292" s="730"/>
      <c r="O292" s="730"/>
      <c r="P292" s="731"/>
      <c r="Q292" s="731"/>
      <c r="R292" s="730"/>
      <c r="S292" s="730"/>
      <c r="T292" s="723"/>
      <c r="U292" s="724"/>
      <c r="V292" s="725"/>
      <c r="W292" s="725"/>
      <c r="X292" s="723"/>
      <c r="Y292" s="723"/>
      <c r="Z292" s="723"/>
      <c r="AA292" s="726"/>
      <c r="AB292" s="726"/>
      <c r="AC292" s="170"/>
      <c r="AD292" s="586"/>
      <c r="AE292" s="586"/>
      <c r="AF292" s="170"/>
      <c r="AG292" s="170"/>
      <c r="AH292" s="170"/>
      <c r="AI292" s="170"/>
      <c r="AJ292" s="170"/>
      <c r="AK292" s="170"/>
      <c r="AL292" s="170"/>
      <c r="AM292" s="170"/>
      <c r="AN292" s="170"/>
      <c r="AO292" s="170"/>
      <c r="AP292" s="170"/>
      <c r="AQ292" s="170"/>
      <c r="AR292" s="170"/>
      <c r="AS292" s="170"/>
      <c r="AT292" s="170"/>
      <c r="AU292" s="170"/>
      <c r="AV292" s="170"/>
      <c r="AW292" s="170"/>
      <c r="AX292" s="170"/>
    </row>
    <row r="293" spans="1:50" ht="15" x14ac:dyDescent="0.25">
      <c r="A293" s="170"/>
      <c r="B293" s="719"/>
      <c r="C293" s="170"/>
      <c r="D293" s="170"/>
      <c r="E293" s="170"/>
      <c r="F293" s="170"/>
      <c r="G293" s="721"/>
      <c r="H293" s="170"/>
      <c r="I293" s="170"/>
      <c r="J293" s="170"/>
      <c r="K293" s="170"/>
      <c r="L293" s="170"/>
      <c r="M293" s="730"/>
      <c r="N293" s="730"/>
      <c r="O293" s="730"/>
      <c r="P293" s="731"/>
      <c r="Q293" s="731"/>
      <c r="R293" s="730"/>
      <c r="S293" s="730"/>
      <c r="T293" s="723"/>
      <c r="U293" s="724"/>
      <c r="V293" s="725"/>
      <c r="W293" s="725"/>
      <c r="X293" s="723"/>
      <c r="Y293" s="723"/>
      <c r="Z293" s="723"/>
      <c r="AA293" s="726"/>
      <c r="AB293" s="726"/>
      <c r="AC293" s="170"/>
      <c r="AD293" s="586"/>
      <c r="AE293" s="586"/>
      <c r="AF293" s="170"/>
      <c r="AG293" s="170"/>
      <c r="AH293" s="170"/>
      <c r="AI293" s="170"/>
      <c r="AJ293" s="170"/>
      <c r="AK293" s="170"/>
      <c r="AL293" s="170"/>
      <c r="AM293" s="170"/>
      <c r="AN293" s="170"/>
      <c r="AO293" s="170"/>
      <c r="AP293" s="170"/>
      <c r="AQ293" s="170"/>
      <c r="AR293" s="170"/>
      <c r="AS293" s="170"/>
      <c r="AT293" s="170"/>
      <c r="AU293" s="170"/>
      <c r="AV293" s="170"/>
      <c r="AW293" s="170"/>
      <c r="AX293" s="170"/>
    </row>
    <row r="294" spans="1:50" ht="15" x14ac:dyDescent="0.25">
      <c r="A294" s="170"/>
      <c r="B294" s="719"/>
      <c r="C294" s="170"/>
      <c r="D294" s="170"/>
      <c r="E294" s="170"/>
      <c r="F294" s="170"/>
      <c r="G294" s="721"/>
      <c r="H294" s="170"/>
      <c r="I294" s="170"/>
      <c r="J294" s="170"/>
      <c r="K294" s="170"/>
      <c r="L294" s="170"/>
      <c r="M294" s="730"/>
      <c r="N294" s="730"/>
      <c r="O294" s="730"/>
      <c r="P294" s="731"/>
      <c r="Q294" s="731"/>
      <c r="R294" s="730"/>
      <c r="S294" s="730"/>
      <c r="T294" s="723"/>
      <c r="U294" s="724"/>
      <c r="V294" s="725"/>
      <c r="W294" s="725"/>
      <c r="X294" s="723"/>
      <c r="Y294" s="723"/>
      <c r="Z294" s="723"/>
      <c r="AA294" s="726"/>
      <c r="AB294" s="726"/>
      <c r="AC294" s="170"/>
      <c r="AD294" s="586"/>
      <c r="AE294" s="586"/>
      <c r="AF294" s="170"/>
      <c r="AG294" s="170"/>
      <c r="AH294" s="170"/>
      <c r="AI294" s="170"/>
      <c r="AJ294" s="170"/>
      <c r="AK294" s="170"/>
      <c r="AL294" s="170"/>
      <c r="AM294" s="170"/>
      <c r="AN294" s="170"/>
      <c r="AO294" s="170"/>
      <c r="AP294" s="170"/>
      <c r="AQ294" s="170"/>
      <c r="AR294" s="170"/>
      <c r="AS294" s="170"/>
      <c r="AT294" s="170"/>
      <c r="AU294" s="170"/>
      <c r="AV294" s="170"/>
      <c r="AW294" s="170"/>
      <c r="AX294" s="170"/>
    </row>
    <row r="295" spans="1:50" ht="15" x14ac:dyDescent="0.25">
      <c r="A295" s="170"/>
      <c r="B295" s="719"/>
      <c r="C295" s="170"/>
      <c r="D295" s="170"/>
      <c r="E295" s="170"/>
      <c r="F295" s="170"/>
      <c r="G295" s="721"/>
      <c r="H295" s="170"/>
      <c r="I295" s="170"/>
      <c r="J295" s="170"/>
      <c r="K295" s="170"/>
      <c r="L295" s="170"/>
      <c r="M295" s="730"/>
      <c r="N295" s="730"/>
      <c r="O295" s="730"/>
      <c r="P295" s="731"/>
      <c r="Q295" s="731"/>
      <c r="R295" s="730"/>
      <c r="S295" s="730"/>
      <c r="T295" s="723"/>
      <c r="U295" s="724"/>
      <c r="V295" s="725"/>
      <c r="W295" s="725"/>
      <c r="X295" s="723"/>
      <c r="Y295" s="723"/>
      <c r="Z295" s="723"/>
      <c r="AA295" s="726"/>
      <c r="AB295" s="726"/>
      <c r="AC295" s="170"/>
      <c r="AD295" s="586"/>
      <c r="AE295" s="586"/>
      <c r="AF295" s="170"/>
      <c r="AG295" s="170"/>
      <c r="AH295" s="170"/>
      <c r="AI295" s="170"/>
      <c r="AJ295" s="170"/>
      <c r="AK295" s="170"/>
      <c r="AL295" s="170"/>
      <c r="AM295" s="170"/>
      <c r="AN295" s="170"/>
      <c r="AO295" s="170"/>
      <c r="AP295" s="170"/>
      <c r="AQ295" s="170"/>
      <c r="AR295" s="170"/>
      <c r="AS295" s="170"/>
      <c r="AT295" s="170"/>
      <c r="AU295" s="170"/>
      <c r="AV295" s="170"/>
      <c r="AW295" s="170"/>
      <c r="AX295" s="170"/>
    </row>
    <row r="296" spans="1:50" ht="15" x14ac:dyDescent="0.25">
      <c r="A296" s="170"/>
      <c r="B296" s="719"/>
      <c r="C296" s="170"/>
      <c r="D296" s="170"/>
      <c r="E296" s="170"/>
      <c r="F296" s="170"/>
      <c r="G296" s="721"/>
      <c r="H296" s="170"/>
      <c r="I296" s="170"/>
      <c r="J296" s="170"/>
      <c r="K296" s="170"/>
      <c r="L296" s="170"/>
      <c r="M296" s="730"/>
      <c r="N296" s="730"/>
      <c r="O296" s="730"/>
      <c r="P296" s="731"/>
      <c r="Q296" s="731"/>
      <c r="R296" s="730"/>
      <c r="S296" s="730"/>
      <c r="T296" s="723"/>
      <c r="U296" s="724"/>
      <c r="V296" s="725"/>
      <c r="W296" s="725"/>
      <c r="X296" s="723"/>
      <c r="Y296" s="723"/>
      <c r="Z296" s="723"/>
      <c r="AA296" s="726"/>
      <c r="AB296" s="726"/>
      <c r="AC296" s="170"/>
      <c r="AD296" s="586"/>
      <c r="AE296" s="586"/>
      <c r="AF296" s="170"/>
      <c r="AG296" s="170"/>
      <c r="AH296" s="170"/>
      <c r="AI296" s="170"/>
      <c r="AJ296" s="170"/>
      <c r="AK296" s="170"/>
      <c r="AL296" s="170"/>
      <c r="AM296" s="170"/>
      <c r="AN296" s="170"/>
      <c r="AO296" s="170"/>
      <c r="AP296" s="170"/>
      <c r="AQ296" s="170"/>
      <c r="AR296" s="170"/>
      <c r="AS296" s="170"/>
      <c r="AT296" s="170"/>
      <c r="AU296" s="170"/>
      <c r="AV296" s="170"/>
      <c r="AW296" s="170"/>
      <c r="AX296" s="170"/>
    </row>
    <row r="297" spans="1:50" ht="15" x14ac:dyDescent="0.25">
      <c r="A297" s="170"/>
      <c r="B297" s="719"/>
      <c r="C297" s="170"/>
      <c r="D297" s="170"/>
      <c r="E297" s="170"/>
      <c r="F297" s="170"/>
      <c r="G297" s="721"/>
      <c r="H297" s="170"/>
      <c r="I297" s="170"/>
      <c r="J297" s="170"/>
      <c r="K297" s="170"/>
      <c r="L297" s="170"/>
      <c r="M297" s="730"/>
      <c r="N297" s="730"/>
      <c r="O297" s="730"/>
      <c r="P297" s="731"/>
      <c r="Q297" s="731"/>
      <c r="R297" s="730"/>
      <c r="S297" s="730"/>
      <c r="T297" s="723"/>
      <c r="U297" s="724"/>
      <c r="V297" s="725"/>
      <c r="W297" s="725"/>
      <c r="X297" s="723"/>
      <c r="Y297" s="723"/>
      <c r="Z297" s="723"/>
      <c r="AA297" s="726"/>
      <c r="AB297" s="726"/>
      <c r="AC297" s="170"/>
      <c r="AD297" s="586"/>
      <c r="AE297" s="586"/>
      <c r="AF297" s="170"/>
      <c r="AG297" s="170"/>
      <c r="AH297" s="170"/>
      <c r="AI297" s="170"/>
      <c r="AJ297" s="170"/>
      <c r="AK297" s="170"/>
      <c r="AL297" s="170"/>
      <c r="AM297" s="170"/>
      <c r="AN297" s="170"/>
      <c r="AO297" s="170"/>
      <c r="AP297" s="170"/>
      <c r="AQ297" s="170"/>
      <c r="AR297" s="170"/>
      <c r="AS297" s="170"/>
      <c r="AT297" s="170"/>
      <c r="AU297" s="170"/>
      <c r="AV297" s="170"/>
      <c r="AW297" s="170"/>
      <c r="AX297" s="170"/>
    </row>
    <row r="298" spans="1:50" ht="15" x14ac:dyDescent="0.25">
      <c r="A298" s="170"/>
      <c r="B298" s="719"/>
      <c r="C298" s="170"/>
      <c r="D298" s="170"/>
      <c r="E298" s="170"/>
      <c r="F298" s="170"/>
      <c r="G298" s="721"/>
      <c r="H298" s="170"/>
      <c r="I298" s="170"/>
      <c r="J298" s="170"/>
      <c r="K298" s="170"/>
      <c r="L298" s="170"/>
      <c r="M298" s="730"/>
      <c r="N298" s="730"/>
      <c r="O298" s="730"/>
      <c r="P298" s="731"/>
      <c r="Q298" s="731"/>
      <c r="R298" s="730"/>
      <c r="S298" s="730"/>
      <c r="T298" s="723"/>
      <c r="U298" s="724"/>
      <c r="V298" s="725"/>
      <c r="W298" s="725"/>
      <c r="X298" s="723"/>
      <c r="Y298" s="723"/>
      <c r="Z298" s="723"/>
      <c r="AA298" s="726"/>
      <c r="AB298" s="726"/>
      <c r="AC298" s="170"/>
      <c r="AD298" s="586"/>
      <c r="AE298" s="586"/>
      <c r="AF298" s="170"/>
      <c r="AG298" s="170"/>
      <c r="AH298" s="170"/>
      <c r="AI298" s="170"/>
      <c r="AJ298" s="170"/>
      <c r="AK298" s="170"/>
      <c r="AL298" s="170"/>
      <c r="AM298" s="170"/>
      <c r="AN298" s="170"/>
      <c r="AO298" s="170"/>
      <c r="AP298" s="170"/>
      <c r="AQ298" s="170"/>
      <c r="AR298" s="170"/>
      <c r="AS298" s="170"/>
      <c r="AT298" s="170"/>
      <c r="AU298" s="170"/>
      <c r="AV298" s="170"/>
      <c r="AW298" s="170"/>
      <c r="AX298" s="170"/>
    </row>
    <row r="299" spans="1:50" ht="15" x14ac:dyDescent="0.25">
      <c r="A299" s="170"/>
      <c r="B299" s="719"/>
      <c r="C299" s="170"/>
      <c r="D299" s="170"/>
      <c r="E299" s="170"/>
      <c r="F299" s="170"/>
      <c r="G299" s="721"/>
      <c r="H299" s="170"/>
      <c r="I299" s="170"/>
      <c r="J299" s="170"/>
      <c r="K299" s="170"/>
      <c r="L299" s="170"/>
      <c r="M299" s="730"/>
      <c r="N299" s="730"/>
      <c r="O299" s="730"/>
      <c r="P299" s="731"/>
      <c r="Q299" s="731"/>
      <c r="R299" s="730"/>
      <c r="S299" s="730"/>
      <c r="T299" s="723"/>
      <c r="U299" s="724"/>
      <c r="V299" s="725"/>
      <c r="W299" s="725"/>
      <c r="X299" s="723"/>
      <c r="Y299" s="723"/>
      <c r="Z299" s="723"/>
      <c r="AA299" s="726"/>
      <c r="AB299" s="726"/>
      <c r="AC299" s="170"/>
      <c r="AD299" s="586"/>
      <c r="AE299" s="586"/>
      <c r="AF299" s="170"/>
      <c r="AG299" s="170"/>
      <c r="AH299" s="170"/>
      <c r="AI299" s="170"/>
      <c r="AJ299" s="170"/>
      <c r="AK299" s="170"/>
      <c r="AL299" s="170"/>
      <c r="AM299" s="170"/>
      <c r="AN299" s="170"/>
      <c r="AO299" s="170"/>
      <c r="AP299" s="170"/>
      <c r="AQ299" s="170"/>
      <c r="AR299" s="170"/>
      <c r="AS299" s="170"/>
      <c r="AT299" s="170"/>
      <c r="AU299" s="170"/>
      <c r="AV299" s="170"/>
      <c r="AW299" s="170"/>
      <c r="AX299" s="170"/>
    </row>
    <row r="300" spans="1:50" ht="15" x14ac:dyDescent="0.25">
      <c r="A300" s="170"/>
      <c r="B300" s="719"/>
      <c r="C300" s="170"/>
      <c r="D300" s="170"/>
      <c r="E300" s="170"/>
      <c r="F300" s="170"/>
      <c r="G300" s="721"/>
      <c r="H300" s="170"/>
      <c r="I300" s="170"/>
      <c r="J300" s="170"/>
      <c r="K300" s="170"/>
      <c r="L300" s="170"/>
      <c r="M300" s="730"/>
      <c r="N300" s="730"/>
      <c r="O300" s="730"/>
      <c r="P300" s="731"/>
      <c r="Q300" s="731"/>
      <c r="R300" s="730"/>
      <c r="S300" s="730"/>
      <c r="T300" s="723"/>
      <c r="U300" s="724"/>
      <c r="V300" s="725"/>
      <c r="W300" s="725"/>
      <c r="X300" s="723"/>
      <c r="Y300" s="723"/>
      <c r="Z300" s="723"/>
      <c r="AA300" s="726"/>
      <c r="AB300" s="726"/>
      <c r="AC300" s="170"/>
      <c r="AD300" s="586"/>
      <c r="AE300" s="586"/>
      <c r="AF300" s="170"/>
      <c r="AG300" s="170"/>
      <c r="AH300" s="170"/>
      <c r="AI300" s="170"/>
      <c r="AJ300" s="170"/>
      <c r="AK300" s="170"/>
      <c r="AL300" s="170"/>
      <c r="AM300" s="170"/>
      <c r="AN300" s="170"/>
      <c r="AO300" s="170"/>
      <c r="AP300" s="170"/>
      <c r="AQ300" s="170"/>
      <c r="AR300" s="170"/>
      <c r="AS300" s="170"/>
      <c r="AT300" s="170"/>
      <c r="AU300" s="170"/>
      <c r="AV300" s="170"/>
      <c r="AW300" s="170"/>
      <c r="AX300" s="170"/>
    </row>
    <row r="301" spans="1:50" ht="15" x14ac:dyDescent="0.25">
      <c r="A301" s="170"/>
      <c r="B301" s="719"/>
      <c r="C301" s="170"/>
      <c r="D301" s="170"/>
      <c r="E301" s="170"/>
      <c r="F301" s="170"/>
      <c r="G301" s="721"/>
      <c r="H301" s="170"/>
      <c r="I301" s="170"/>
      <c r="J301" s="170"/>
      <c r="K301" s="170"/>
      <c r="L301" s="170"/>
      <c r="M301" s="730"/>
      <c r="N301" s="730"/>
      <c r="O301" s="730"/>
      <c r="P301" s="731"/>
      <c r="Q301" s="731"/>
      <c r="R301" s="730"/>
      <c r="S301" s="730"/>
      <c r="T301" s="723"/>
      <c r="U301" s="724"/>
      <c r="V301" s="725"/>
      <c r="W301" s="725"/>
      <c r="X301" s="723"/>
      <c r="Y301" s="723"/>
      <c r="Z301" s="723"/>
      <c r="AA301" s="726"/>
      <c r="AB301" s="726"/>
      <c r="AC301" s="170"/>
      <c r="AD301" s="586"/>
      <c r="AE301" s="586"/>
      <c r="AF301" s="170"/>
      <c r="AG301" s="170"/>
      <c r="AH301" s="170"/>
      <c r="AI301" s="170"/>
      <c r="AJ301" s="170"/>
      <c r="AK301" s="170"/>
      <c r="AL301" s="170"/>
      <c r="AM301" s="170"/>
      <c r="AN301" s="170"/>
      <c r="AO301" s="170"/>
      <c r="AP301" s="170"/>
      <c r="AQ301" s="170"/>
      <c r="AR301" s="170"/>
      <c r="AS301" s="170"/>
      <c r="AT301" s="170"/>
      <c r="AU301" s="170"/>
      <c r="AV301" s="170"/>
      <c r="AW301" s="170"/>
      <c r="AX301" s="170"/>
    </row>
    <row r="302" spans="1:50" ht="15" x14ac:dyDescent="0.25">
      <c r="A302" s="170"/>
      <c r="B302" s="719"/>
      <c r="C302" s="170"/>
      <c r="D302" s="170"/>
      <c r="E302" s="170"/>
      <c r="F302" s="170"/>
      <c r="G302" s="721"/>
      <c r="H302" s="170"/>
      <c r="I302" s="170"/>
      <c r="J302" s="170"/>
      <c r="K302" s="170"/>
      <c r="L302" s="170"/>
      <c r="M302" s="730"/>
      <c r="N302" s="730"/>
      <c r="O302" s="730"/>
      <c r="P302" s="731"/>
      <c r="Q302" s="731"/>
      <c r="R302" s="730"/>
      <c r="S302" s="730"/>
      <c r="T302" s="723"/>
      <c r="U302" s="724"/>
      <c r="V302" s="725"/>
      <c r="W302" s="725"/>
      <c r="X302" s="723"/>
      <c r="Y302" s="723"/>
      <c r="Z302" s="723"/>
      <c r="AA302" s="726"/>
      <c r="AB302" s="726"/>
      <c r="AC302" s="170"/>
      <c r="AD302" s="586"/>
      <c r="AE302" s="586"/>
      <c r="AF302" s="170"/>
      <c r="AG302" s="170"/>
      <c r="AH302" s="170"/>
      <c r="AI302" s="170"/>
      <c r="AJ302" s="170"/>
      <c r="AK302" s="170"/>
      <c r="AL302" s="170"/>
      <c r="AM302" s="170"/>
      <c r="AN302" s="170"/>
      <c r="AO302" s="170"/>
      <c r="AP302" s="170"/>
      <c r="AQ302" s="170"/>
      <c r="AR302" s="170"/>
      <c r="AS302" s="170"/>
      <c r="AT302" s="170"/>
      <c r="AU302" s="170"/>
      <c r="AV302" s="170"/>
      <c r="AW302" s="170"/>
      <c r="AX302" s="170"/>
    </row>
    <row r="303" spans="1:50" ht="15" x14ac:dyDescent="0.25">
      <c r="A303" s="170"/>
      <c r="B303" s="719"/>
      <c r="C303" s="170"/>
      <c r="D303" s="170"/>
      <c r="E303" s="170"/>
      <c r="F303" s="170"/>
      <c r="G303" s="721"/>
      <c r="H303" s="170"/>
      <c r="I303" s="170"/>
      <c r="J303" s="170"/>
      <c r="K303" s="170"/>
      <c r="L303" s="170"/>
      <c r="M303" s="730"/>
      <c r="N303" s="730"/>
      <c r="O303" s="730"/>
      <c r="P303" s="731"/>
      <c r="Q303" s="731"/>
      <c r="R303" s="730"/>
      <c r="S303" s="730"/>
      <c r="T303" s="723"/>
      <c r="U303" s="724"/>
      <c r="V303" s="725"/>
      <c r="W303" s="725"/>
      <c r="X303" s="723"/>
      <c r="Y303" s="723"/>
      <c r="Z303" s="723"/>
      <c r="AA303" s="726"/>
      <c r="AB303" s="726"/>
      <c r="AC303" s="170"/>
      <c r="AD303" s="586"/>
      <c r="AE303" s="586"/>
      <c r="AF303" s="170"/>
      <c r="AG303" s="170"/>
      <c r="AH303" s="170"/>
      <c r="AI303" s="170"/>
      <c r="AJ303" s="170"/>
      <c r="AK303" s="170"/>
      <c r="AL303" s="170"/>
      <c r="AM303" s="170"/>
      <c r="AN303" s="170"/>
      <c r="AO303" s="170"/>
      <c r="AP303" s="170"/>
      <c r="AQ303" s="170"/>
      <c r="AR303" s="170"/>
      <c r="AS303" s="170"/>
      <c r="AT303" s="170"/>
      <c r="AU303" s="170"/>
      <c r="AV303" s="170"/>
      <c r="AW303" s="170"/>
      <c r="AX303" s="170"/>
    </row>
    <row r="304" spans="1:50" ht="15" x14ac:dyDescent="0.25">
      <c r="A304" s="170"/>
      <c r="B304" s="719"/>
      <c r="C304" s="170"/>
      <c r="D304" s="170"/>
      <c r="E304" s="170"/>
      <c r="F304" s="170"/>
      <c r="G304" s="721"/>
      <c r="H304" s="170"/>
      <c r="I304" s="170"/>
      <c r="J304" s="170"/>
      <c r="K304" s="170"/>
      <c r="L304" s="170"/>
      <c r="M304" s="730"/>
      <c r="N304" s="730"/>
      <c r="O304" s="730"/>
      <c r="P304" s="731"/>
      <c r="Q304" s="731"/>
      <c r="R304" s="730"/>
      <c r="S304" s="730"/>
      <c r="T304" s="723"/>
      <c r="U304" s="724"/>
      <c r="V304" s="725"/>
      <c r="W304" s="725"/>
      <c r="X304" s="723"/>
      <c r="Y304" s="723"/>
      <c r="Z304" s="723"/>
      <c r="AA304" s="726"/>
      <c r="AB304" s="726"/>
      <c r="AC304" s="170"/>
      <c r="AD304" s="586"/>
      <c r="AE304" s="586"/>
      <c r="AF304" s="170"/>
      <c r="AG304" s="170"/>
      <c r="AH304" s="170"/>
      <c r="AI304" s="170"/>
      <c r="AJ304" s="170"/>
      <c r="AK304" s="170"/>
      <c r="AL304" s="170"/>
      <c r="AM304" s="170"/>
      <c r="AN304" s="170"/>
      <c r="AO304" s="170"/>
      <c r="AP304" s="170"/>
      <c r="AQ304" s="170"/>
      <c r="AR304" s="170"/>
      <c r="AS304" s="170"/>
      <c r="AT304" s="170"/>
      <c r="AU304" s="170"/>
      <c r="AV304" s="170"/>
      <c r="AW304" s="170"/>
      <c r="AX304" s="170"/>
    </row>
    <row r="305" spans="1:50" ht="15" x14ac:dyDescent="0.25">
      <c r="A305" s="170"/>
      <c r="B305" s="719"/>
      <c r="C305" s="170"/>
      <c r="D305" s="170"/>
      <c r="E305" s="170"/>
      <c r="F305" s="170"/>
      <c r="G305" s="721"/>
      <c r="H305" s="170"/>
      <c r="I305" s="170"/>
      <c r="J305" s="170"/>
      <c r="K305" s="170"/>
      <c r="L305" s="170"/>
      <c r="M305" s="730"/>
      <c r="N305" s="730"/>
      <c r="O305" s="730"/>
      <c r="P305" s="731"/>
      <c r="Q305" s="731"/>
      <c r="R305" s="730"/>
      <c r="S305" s="730"/>
      <c r="T305" s="723"/>
      <c r="U305" s="724"/>
      <c r="V305" s="725"/>
      <c r="W305" s="725"/>
      <c r="X305" s="723"/>
      <c r="Y305" s="723"/>
      <c r="Z305" s="723"/>
      <c r="AA305" s="726"/>
      <c r="AB305" s="726"/>
      <c r="AC305" s="170"/>
      <c r="AD305" s="586"/>
      <c r="AE305" s="586"/>
      <c r="AF305" s="170"/>
      <c r="AG305" s="170"/>
      <c r="AH305" s="170"/>
      <c r="AI305" s="170"/>
      <c r="AJ305" s="170"/>
      <c r="AK305" s="170"/>
      <c r="AL305" s="170"/>
      <c r="AM305" s="170"/>
      <c r="AN305" s="170"/>
      <c r="AO305" s="170"/>
      <c r="AP305" s="170"/>
      <c r="AQ305" s="170"/>
      <c r="AR305" s="170"/>
      <c r="AS305" s="170"/>
      <c r="AT305" s="170"/>
      <c r="AU305" s="170"/>
      <c r="AV305" s="170"/>
      <c r="AW305" s="170"/>
      <c r="AX305" s="170"/>
    </row>
    <row r="306" spans="1:50" ht="15" x14ac:dyDescent="0.25">
      <c r="A306" s="170"/>
      <c r="B306" s="719"/>
      <c r="C306" s="170"/>
      <c r="D306" s="170"/>
      <c r="E306" s="170"/>
      <c r="F306" s="170"/>
      <c r="G306" s="721"/>
      <c r="H306" s="170"/>
      <c r="I306" s="170"/>
      <c r="J306" s="170"/>
      <c r="K306" s="170"/>
      <c r="L306" s="170"/>
      <c r="M306" s="730"/>
      <c r="N306" s="730"/>
      <c r="O306" s="730"/>
      <c r="P306" s="731"/>
      <c r="Q306" s="731"/>
      <c r="R306" s="730"/>
      <c r="S306" s="730"/>
      <c r="T306" s="723"/>
      <c r="U306" s="724"/>
      <c r="V306" s="725"/>
      <c r="W306" s="725"/>
      <c r="X306" s="723"/>
      <c r="Y306" s="723"/>
      <c r="Z306" s="723"/>
      <c r="AA306" s="726"/>
      <c r="AB306" s="726"/>
      <c r="AC306" s="170"/>
      <c r="AD306" s="586"/>
      <c r="AE306" s="586"/>
      <c r="AF306" s="170"/>
      <c r="AG306" s="170"/>
      <c r="AH306" s="170"/>
      <c r="AI306" s="170"/>
      <c r="AJ306" s="170"/>
      <c r="AK306" s="170"/>
      <c r="AL306" s="170"/>
      <c r="AM306" s="170"/>
      <c r="AN306" s="170"/>
      <c r="AO306" s="170"/>
      <c r="AP306" s="170"/>
      <c r="AQ306" s="170"/>
      <c r="AR306" s="170"/>
      <c r="AS306" s="170"/>
      <c r="AT306" s="170"/>
      <c r="AU306" s="170"/>
      <c r="AV306" s="170"/>
      <c r="AW306" s="170"/>
      <c r="AX306" s="170"/>
    </row>
    <row r="307" spans="1:50" ht="15" x14ac:dyDescent="0.25">
      <c r="A307" s="170"/>
      <c r="B307" s="719"/>
      <c r="C307" s="170"/>
      <c r="D307" s="170"/>
      <c r="E307" s="170"/>
      <c r="F307" s="170"/>
      <c r="G307" s="721"/>
      <c r="H307" s="170"/>
      <c r="I307" s="170"/>
      <c r="J307" s="170"/>
      <c r="K307" s="170"/>
      <c r="L307" s="170"/>
      <c r="M307" s="730"/>
      <c r="N307" s="730"/>
      <c r="O307" s="730"/>
      <c r="P307" s="731"/>
      <c r="Q307" s="731"/>
      <c r="R307" s="730"/>
      <c r="S307" s="730"/>
      <c r="T307" s="723"/>
      <c r="U307" s="724"/>
      <c r="V307" s="725"/>
      <c r="W307" s="725"/>
      <c r="X307" s="723"/>
      <c r="Y307" s="723"/>
      <c r="Z307" s="723"/>
      <c r="AA307" s="726"/>
      <c r="AB307" s="726"/>
      <c r="AC307" s="170"/>
      <c r="AD307" s="586"/>
      <c r="AE307" s="586"/>
      <c r="AF307" s="170"/>
      <c r="AG307" s="170"/>
      <c r="AH307" s="170"/>
      <c r="AI307" s="170"/>
      <c r="AJ307" s="170"/>
      <c r="AK307" s="170"/>
      <c r="AL307" s="170"/>
      <c r="AM307" s="170"/>
      <c r="AN307" s="170"/>
      <c r="AO307" s="170"/>
      <c r="AP307" s="170"/>
      <c r="AQ307" s="170"/>
      <c r="AR307" s="170"/>
      <c r="AS307" s="170"/>
      <c r="AT307" s="170"/>
      <c r="AU307" s="170"/>
      <c r="AV307" s="170"/>
      <c r="AW307" s="170"/>
      <c r="AX307" s="170"/>
    </row>
    <row r="308" spans="1:50" ht="15" x14ac:dyDescent="0.25">
      <c r="A308" s="170"/>
      <c r="B308" s="719"/>
      <c r="C308" s="170"/>
      <c r="D308" s="170"/>
      <c r="E308" s="170"/>
      <c r="F308" s="170"/>
      <c r="G308" s="721"/>
      <c r="H308" s="170"/>
      <c r="I308" s="170"/>
      <c r="J308" s="170"/>
      <c r="K308" s="170"/>
      <c r="L308" s="170"/>
      <c r="M308" s="730"/>
      <c r="N308" s="730"/>
      <c r="O308" s="730"/>
      <c r="P308" s="731"/>
      <c r="Q308" s="731"/>
      <c r="R308" s="730"/>
      <c r="S308" s="730"/>
      <c r="T308" s="723"/>
      <c r="U308" s="724"/>
      <c r="V308" s="725"/>
      <c r="W308" s="725"/>
      <c r="X308" s="723"/>
      <c r="Y308" s="723"/>
      <c r="Z308" s="723"/>
      <c r="AA308" s="726"/>
      <c r="AB308" s="726"/>
      <c r="AC308" s="170"/>
      <c r="AD308" s="586"/>
      <c r="AE308" s="586"/>
      <c r="AF308" s="170"/>
      <c r="AG308" s="170"/>
      <c r="AH308" s="170"/>
      <c r="AI308" s="170"/>
      <c r="AJ308" s="170"/>
      <c r="AK308" s="170"/>
      <c r="AL308" s="170"/>
      <c r="AM308" s="170"/>
      <c r="AN308" s="170"/>
      <c r="AO308" s="170"/>
      <c r="AP308" s="170"/>
      <c r="AQ308" s="170"/>
      <c r="AR308" s="170"/>
      <c r="AS308" s="170"/>
      <c r="AT308" s="170"/>
      <c r="AU308" s="170"/>
      <c r="AV308" s="170"/>
      <c r="AW308" s="170"/>
      <c r="AX308" s="170"/>
    </row>
    <row r="309" spans="1:50" ht="15" x14ac:dyDescent="0.25">
      <c r="A309" s="170"/>
      <c r="B309" s="719"/>
      <c r="C309" s="170"/>
      <c r="D309" s="170"/>
      <c r="E309" s="170"/>
      <c r="F309" s="170"/>
      <c r="G309" s="721"/>
      <c r="H309" s="170"/>
      <c r="I309" s="170"/>
      <c r="J309" s="170"/>
      <c r="K309" s="170"/>
      <c r="L309" s="170"/>
      <c r="M309" s="730"/>
      <c r="N309" s="730"/>
      <c r="O309" s="730"/>
      <c r="P309" s="731"/>
      <c r="Q309" s="731"/>
      <c r="R309" s="730"/>
      <c r="S309" s="730"/>
      <c r="T309" s="723"/>
      <c r="U309" s="724"/>
      <c r="V309" s="725"/>
      <c r="W309" s="725"/>
      <c r="X309" s="723"/>
      <c r="Y309" s="723"/>
      <c r="Z309" s="723"/>
      <c r="AA309" s="726"/>
      <c r="AB309" s="726"/>
      <c r="AC309" s="170"/>
      <c r="AD309" s="586"/>
      <c r="AE309" s="586"/>
      <c r="AF309" s="170"/>
      <c r="AG309" s="170"/>
      <c r="AH309" s="170"/>
      <c r="AI309" s="170"/>
      <c r="AJ309" s="170"/>
      <c r="AK309" s="170"/>
      <c r="AL309" s="170"/>
      <c r="AM309" s="170"/>
      <c r="AN309" s="170"/>
      <c r="AO309" s="170"/>
      <c r="AP309" s="170"/>
      <c r="AQ309" s="170"/>
      <c r="AR309" s="170"/>
      <c r="AS309" s="170"/>
      <c r="AT309" s="170"/>
      <c r="AU309" s="170"/>
      <c r="AV309" s="170"/>
      <c r="AW309" s="170"/>
      <c r="AX309" s="170"/>
    </row>
    <row r="310" spans="1:50" ht="15" x14ac:dyDescent="0.25">
      <c r="A310" s="170"/>
      <c r="B310" s="719"/>
      <c r="C310" s="170"/>
      <c r="D310" s="170"/>
      <c r="E310" s="170"/>
      <c r="F310" s="170"/>
      <c r="G310" s="721"/>
      <c r="H310" s="170"/>
      <c r="I310" s="170"/>
      <c r="J310" s="170"/>
      <c r="K310" s="170"/>
      <c r="L310" s="170"/>
      <c r="M310" s="730"/>
      <c r="N310" s="730"/>
      <c r="O310" s="730"/>
      <c r="P310" s="731"/>
      <c r="Q310" s="731"/>
      <c r="R310" s="730"/>
      <c r="S310" s="730"/>
      <c r="T310" s="723"/>
      <c r="U310" s="724"/>
      <c r="V310" s="725"/>
      <c r="W310" s="725"/>
      <c r="X310" s="723"/>
      <c r="Y310" s="723"/>
      <c r="Z310" s="723"/>
      <c r="AA310" s="726"/>
      <c r="AB310" s="726"/>
      <c r="AC310" s="170"/>
      <c r="AD310" s="586"/>
      <c r="AE310" s="586"/>
      <c r="AF310" s="170"/>
      <c r="AG310" s="170"/>
      <c r="AH310" s="170"/>
      <c r="AI310" s="170"/>
      <c r="AJ310" s="170"/>
      <c r="AK310" s="170"/>
      <c r="AL310" s="170"/>
      <c r="AM310" s="170"/>
      <c r="AN310" s="170"/>
      <c r="AO310" s="170"/>
      <c r="AP310" s="170"/>
      <c r="AQ310" s="170"/>
      <c r="AR310" s="170"/>
      <c r="AS310" s="170"/>
      <c r="AT310" s="170"/>
      <c r="AU310" s="170"/>
      <c r="AV310" s="170"/>
      <c r="AW310" s="170"/>
      <c r="AX310" s="170"/>
    </row>
    <row r="311" spans="1:50" ht="15" x14ac:dyDescent="0.25">
      <c r="A311" s="170"/>
      <c r="B311" s="719"/>
      <c r="C311" s="170"/>
      <c r="D311" s="170"/>
      <c r="E311" s="170"/>
      <c r="F311" s="170"/>
      <c r="G311" s="721"/>
      <c r="H311" s="170"/>
      <c r="I311" s="170"/>
      <c r="J311" s="170"/>
      <c r="K311" s="170"/>
      <c r="L311" s="170"/>
      <c r="M311" s="730"/>
      <c r="N311" s="730"/>
      <c r="O311" s="730"/>
      <c r="P311" s="731"/>
      <c r="Q311" s="731"/>
      <c r="R311" s="730"/>
      <c r="S311" s="730"/>
      <c r="T311" s="723"/>
      <c r="U311" s="724"/>
      <c r="V311" s="725"/>
      <c r="W311" s="725"/>
      <c r="X311" s="723"/>
      <c r="Y311" s="723"/>
      <c r="Z311" s="723"/>
      <c r="AA311" s="726"/>
      <c r="AB311" s="726"/>
      <c r="AC311" s="170"/>
      <c r="AD311" s="586"/>
      <c r="AE311" s="586"/>
      <c r="AF311" s="170"/>
      <c r="AG311" s="170"/>
      <c r="AH311" s="170"/>
      <c r="AI311" s="170"/>
      <c r="AJ311" s="170"/>
      <c r="AK311" s="170"/>
      <c r="AL311" s="170"/>
      <c r="AM311" s="170"/>
      <c r="AN311" s="170"/>
      <c r="AO311" s="170"/>
      <c r="AP311" s="170"/>
      <c r="AQ311" s="170"/>
      <c r="AR311" s="170"/>
      <c r="AS311" s="170"/>
      <c r="AT311" s="170"/>
      <c r="AU311" s="170"/>
      <c r="AV311" s="170"/>
      <c r="AW311" s="170"/>
      <c r="AX311" s="170"/>
    </row>
    <row r="312" spans="1:50" ht="15" x14ac:dyDescent="0.25">
      <c r="A312" s="170"/>
      <c r="B312" s="719"/>
      <c r="C312" s="170"/>
      <c r="D312" s="170"/>
      <c r="E312" s="170"/>
      <c r="F312" s="170"/>
      <c r="G312" s="721"/>
      <c r="H312" s="170"/>
      <c r="I312" s="170"/>
      <c r="J312" s="170"/>
      <c r="K312" s="170"/>
      <c r="L312" s="170"/>
      <c r="M312" s="730"/>
      <c r="N312" s="730"/>
      <c r="O312" s="730"/>
      <c r="P312" s="731"/>
      <c r="Q312" s="731"/>
      <c r="R312" s="730"/>
      <c r="S312" s="730"/>
      <c r="T312" s="723"/>
      <c r="U312" s="724"/>
      <c r="V312" s="725"/>
      <c r="W312" s="725"/>
      <c r="X312" s="723"/>
      <c r="Y312" s="723"/>
      <c r="Z312" s="723"/>
      <c r="AA312" s="726"/>
      <c r="AB312" s="726"/>
      <c r="AC312" s="170"/>
      <c r="AD312" s="586"/>
      <c r="AE312" s="586"/>
      <c r="AF312" s="170"/>
      <c r="AG312" s="170"/>
      <c r="AH312" s="170"/>
      <c r="AI312" s="170"/>
      <c r="AJ312" s="170"/>
      <c r="AK312" s="170"/>
      <c r="AL312" s="170"/>
      <c r="AM312" s="170"/>
      <c r="AN312" s="170"/>
      <c r="AO312" s="170"/>
      <c r="AP312" s="170"/>
      <c r="AQ312" s="170"/>
      <c r="AR312" s="170"/>
      <c r="AS312" s="170"/>
      <c r="AT312" s="170"/>
      <c r="AU312" s="170"/>
      <c r="AV312" s="170"/>
      <c r="AW312" s="170"/>
      <c r="AX312" s="170"/>
    </row>
    <row r="313" spans="1:50" ht="15" x14ac:dyDescent="0.25">
      <c r="A313" s="170"/>
      <c r="B313" s="719"/>
      <c r="C313" s="170"/>
      <c r="D313" s="170"/>
      <c r="E313" s="170"/>
      <c r="F313" s="170"/>
      <c r="G313" s="721"/>
      <c r="H313" s="170"/>
      <c r="I313" s="170"/>
      <c r="J313" s="170"/>
      <c r="K313" s="170"/>
      <c r="L313" s="170"/>
      <c r="M313" s="730"/>
      <c r="N313" s="730"/>
      <c r="O313" s="730"/>
      <c r="P313" s="731"/>
      <c r="Q313" s="731"/>
      <c r="R313" s="730"/>
      <c r="S313" s="730"/>
      <c r="T313" s="723"/>
      <c r="U313" s="724"/>
      <c r="V313" s="725"/>
      <c r="W313" s="725"/>
      <c r="X313" s="723"/>
      <c r="Y313" s="723"/>
      <c r="Z313" s="723"/>
      <c r="AA313" s="726"/>
      <c r="AB313" s="726"/>
      <c r="AC313" s="170"/>
      <c r="AD313" s="586"/>
      <c r="AE313" s="586"/>
      <c r="AF313" s="170"/>
      <c r="AG313" s="170"/>
      <c r="AH313" s="170"/>
      <c r="AI313" s="170"/>
      <c r="AJ313" s="170"/>
      <c r="AK313" s="170"/>
      <c r="AL313" s="170"/>
      <c r="AM313" s="170"/>
      <c r="AN313" s="170"/>
      <c r="AO313" s="170"/>
      <c r="AP313" s="170"/>
      <c r="AQ313" s="170"/>
      <c r="AR313" s="170"/>
      <c r="AS313" s="170"/>
      <c r="AT313" s="170"/>
      <c r="AU313" s="170"/>
      <c r="AV313" s="170"/>
      <c r="AW313" s="170"/>
      <c r="AX313" s="170"/>
    </row>
    <row r="314" spans="1:50" ht="15" x14ac:dyDescent="0.25">
      <c r="A314" s="170"/>
      <c r="B314" s="719"/>
      <c r="C314" s="170"/>
      <c r="D314" s="170"/>
      <c r="E314" s="170"/>
      <c r="F314" s="170"/>
      <c r="G314" s="721"/>
      <c r="H314" s="170"/>
      <c r="I314" s="170"/>
      <c r="J314" s="170"/>
      <c r="K314" s="170"/>
      <c r="L314" s="170"/>
      <c r="M314" s="730"/>
      <c r="N314" s="730"/>
      <c r="O314" s="730"/>
      <c r="P314" s="731"/>
      <c r="Q314" s="731"/>
      <c r="R314" s="730"/>
      <c r="S314" s="730"/>
      <c r="T314" s="723"/>
      <c r="U314" s="724"/>
      <c r="V314" s="725"/>
      <c r="W314" s="725"/>
      <c r="X314" s="723"/>
      <c r="Y314" s="723"/>
      <c r="Z314" s="723"/>
      <c r="AA314" s="726"/>
      <c r="AB314" s="726"/>
      <c r="AC314" s="170"/>
      <c r="AD314" s="586"/>
      <c r="AE314" s="586"/>
      <c r="AF314" s="170"/>
      <c r="AG314" s="170"/>
      <c r="AH314" s="170"/>
      <c r="AI314" s="170"/>
      <c r="AJ314" s="170"/>
      <c r="AK314" s="170"/>
      <c r="AL314" s="170"/>
      <c r="AM314" s="170"/>
      <c r="AN314" s="170"/>
      <c r="AO314" s="170"/>
      <c r="AP314" s="170"/>
      <c r="AQ314" s="170"/>
      <c r="AR314" s="170"/>
      <c r="AS314" s="170"/>
      <c r="AT314" s="170"/>
      <c r="AU314" s="170"/>
      <c r="AV314" s="170"/>
      <c r="AW314" s="170"/>
      <c r="AX314" s="170"/>
    </row>
    <row r="315" spans="1:50" ht="15" x14ac:dyDescent="0.25">
      <c r="A315" s="170"/>
      <c r="B315" s="719"/>
      <c r="C315" s="170"/>
      <c r="D315" s="170"/>
      <c r="E315" s="170"/>
      <c r="F315" s="170"/>
      <c r="G315" s="721"/>
      <c r="H315" s="170"/>
      <c r="I315" s="170"/>
      <c r="J315" s="170"/>
      <c r="K315" s="170"/>
      <c r="L315" s="170"/>
      <c r="M315" s="730"/>
      <c r="N315" s="730"/>
      <c r="O315" s="730"/>
      <c r="P315" s="731"/>
      <c r="Q315" s="731"/>
      <c r="R315" s="730"/>
      <c r="S315" s="730"/>
      <c r="T315" s="723"/>
      <c r="U315" s="724"/>
      <c r="V315" s="725"/>
      <c r="W315" s="725"/>
      <c r="X315" s="723"/>
      <c r="Y315" s="723"/>
      <c r="Z315" s="723"/>
      <c r="AA315" s="726"/>
      <c r="AB315" s="726"/>
      <c r="AC315" s="170"/>
      <c r="AD315" s="586"/>
      <c r="AE315" s="586"/>
      <c r="AF315" s="170"/>
      <c r="AG315" s="170"/>
      <c r="AH315" s="170"/>
      <c r="AI315" s="170"/>
      <c r="AJ315" s="170"/>
      <c r="AK315" s="170"/>
      <c r="AL315" s="170"/>
      <c r="AM315" s="170"/>
      <c r="AN315" s="170"/>
      <c r="AO315" s="170"/>
      <c r="AP315" s="170"/>
      <c r="AQ315" s="170"/>
      <c r="AR315" s="170"/>
      <c r="AS315" s="170"/>
      <c r="AT315" s="170"/>
      <c r="AU315" s="170"/>
      <c r="AV315" s="170"/>
      <c r="AW315" s="170"/>
      <c r="AX315" s="170"/>
    </row>
    <row r="316" spans="1:50" ht="15" x14ac:dyDescent="0.25">
      <c r="A316" s="170"/>
      <c r="B316" s="719"/>
      <c r="C316" s="170"/>
      <c r="D316" s="170"/>
      <c r="E316" s="170"/>
      <c r="F316" s="170"/>
      <c r="G316" s="721"/>
      <c r="H316" s="170"/>
      <c r="I316" s="170"/>
      <c r="J316" s="170"/>
      <c r="K316" s="170"/>
      <c r="L316" s="170"/>
      <c r="M316" s="730"/>
      <c r="N316" s="730"/>
      <c r="O316" s="730"/>
      <c r="P316" s="731"/>
      <c r="Q316" s="731"/>
      <c r="R316" s="730"/>
      <c r="S316" s="730"/>
      <c r="T316" s="723"/>
      <c r="U316" s="724"/>
      <c r="V316" s="725"/>
      <c r="W316" s="725"/>
      <c r="X316" s="723"/>
      <c r="Y316" s="723"/>
      <c r="Z316" s="723"/>
      <c r="AA316" s="726"/>
      <c r="AB316" s="726"/>
      <c r="AC316" s="170"/>
      <c r="AD316" s="586"/>
      <c r="AE316" s="586"/>
      <c r="AF316" s="170"/>
      <c r="AG316" s="170"/>
      <c r="AH316" s="170"/>
      <c r="AI316" s="170"/>
      <c r="AJ316" s="170"/>
      <c r="AK316" s="170"/>
      <c r="AL316" s="170"/>
      <c r="AM316" s="170"/>
      <c r="AN316" s="170"/>
      <c r="AO316" s="170"/>
      <c r="AP316" s="170"/>
      <c r="AQ316" s="170"/>
      <c r="AR316" s="170"/>
      <c r="AS316" s="170"/>
      <c r="AT316" s="170"/>
      <c r="AU316" s="170"/>
      <c r="AV316" s="170"/>
      <c r="AW316" s="170"/>
      <c r="AX316" s="170"/>
    </row>
    <row r="317" spans="1:50" ht="15" x14ac:dyDescent="0.25">
      <c r="A317" s="170"/>
      <c r="B317" s="719"/>
      <c r="C317" s="170"/>
      <c r="D317" s="170"/>
      <c r="E317" s="170"/>
      <c r="F317" s="170"/>
      <c r="G317" s="721"/>
      <c r="H317" s="170"/>
      <c r="I317" s="170"/>
      <c r="J317" s="170"/>
      <c r="K317" s="170"/>
      <c r="L317" s="170"/>
      <c r="M317" s="730"/>
      <c r="N317" s="730"/>
      <c r="O317" s="730"/>
      <c r="P317" s="731"/>
      <c r="Q317" s="731"/>
      <c r="R317" s="730"/>
      <c r="S317" s="730"/>
      <c r="T317" s="723"/>
      <c r="U317" s="724"/>
      <c r="V317" s="725"/>
      <c r="W317" s="725"/>
      <c r="X317" s="723"/>
      <c r="Y317" s="723"/>
      <c r="Z317" s="723"/>
      <c r="AA317" s="726"/>
      <c r="AB317" s="726"/>
      <c r="AC317" s="170"/>
      <c r="AD317" s="586"/>
      <c r="AE317" s="586"/>
      <c r="AF317" s="170"/>
      <c r="AG317" s="170"/>
      <c r="AH317" s="170"/>
      <c r="AI317" s="170"/>
      <c r="AJ317" s="170"/>
      <c r="AK317" s="170"/>
      <c r="AL317" s="170"/>
      <c r="AM317" s="170"/>
      <c r="AN317" s="170"/>
      <c r="AO317" s="170"/>
      <c r="AP317" s="170"/>
      <c r="AQ317" s="170"/>
      <c r="AR317" s="170"/>
      <c r="AS317" s="170"/>
      <c r="AT317" s="170"/>
      <c r="AU317" s="170"/>
      <c r="AV317" s="170"/>
      <c r="AW317" s="170"/>
      <c r="AX317" s="170"/>
    </row>
    <row r="318" spans="1:50" ht="15" x14ac:dyDescent="0.25">
      <c r="A318" s="170"/>
      <c r="B318" s="719"/>
      <c r="C318" s="170"/>
      <c r="D318" s="170"/>
      <c r="E318" s="170"/>
      <c r="F318" s="170"/>
      <c r="G318" s="721"/>
      <c r="H318" s="170"/>
      <c r="I318" s="170"/>
      <c r="J318" s="170"/>
      <c r="K318" s="170"/>
      <c r="L318" s="170"/>
      <c r="M318" s="730"/>
      <c r="N318" s="730"/>
      <c r="O318" s="730"/>
      <c r="P318" s="731"/>
      <c r="Q318" s="731"/>
      <c r="R318" s="730"/>
      <c r="S318" s="730"/>
      <c r="T318" s="723"/>
      <c r="U318" s="724"/>
      <c r="V318" s="725"/>
      <c r="W318" s="725"/>
      <c r="X318" s="723"/>
      <c r="Y318" s="723"/>
      <c r="Z318" s="723"/>
      <c r="AA318" s="726"/>
      <c r="AB318" s="726"/>
      <c r="AC318" s="170"/>
      <c r="AD318" s="586"/>
      <c r="AE318" s="586"/>
      <c r="AF318" s="170"/>
      <c r="AG318" s="170"/>
      <c r="AH318" s="170"/>
      <c r="AI318" s="170"/>
      <c r="AJ318" s="170"/>
      <c r="AK318" s="170"/>
      <c r="AL318" s="170"/>
      <c r="AM318" s="170"/>
      <c r="AN318" s="170"/>
      <c r="AO318" s="170"/>
      <c r="AP318" s="170"/>
      <c r="AQ318" s="170"/>
      <c r="AR318" s="170"/>
      <c r="AS318" s="170"/>
      <c r="AT318" s="170"/>
      <c r="AU318" s="170"/>
      <c r="AV318" s="170"/>
      <c r="AW318" s="170"/>
      <c r="AX318" s="170"/>
    </row>
    <row r="319" spans="1:50" ht="15" x14ac:dyDescent="0.25">
      <c r="A319" s="170"/>
      <c r="B319" s="719"/>
      <c r="C319" s="170"/>
      <c r="D319" s="170"/>
      <c r="E319" s="170"/>
      <c r="F319" s="170"/>
      <c r="G319" s="721"/>
      <c r="H319" s="170"/>
      <c r="I319" s="170"/>
      <c r="J319" s="170"/>
      <c r="K319" s="170"/>
      <c r="L319" s="170"/>
      <c r="M319" s="730"/>
      <c r="N319" s="730"/>
      <c r="O319" s="730"/>
      <c r="P319" s="731"/>
      <c r="Q319" s="731"/>
      <c r="R319" s="730"/>
      <c r="S319" s="730"/>
      <c r="T319" s="723"/>
      <c r="U319" s="724"/>
      <c r="V319" s="725"/>
      <c r="W319" s="725"/>
      <c r="X319" s="723"/>
      <c r="Y319" s="723"/>
      <c r="Z319" s="723"/>
      <c r="AA319" s="726"/>
      <c r="AB319" s="726"/>
      <c r="AC319" s="170"/>
      <c r="AD319" s="586"/>
      <c r="AE319" s="586"/>
      <c r="AF319" s="170"/>
      <c r="AG319" s="170"/>
      <c r="AH319" s="170"/>
      <c r="AI319" s="170"/>
      <c r="AJ319" s="170"/>
      <c r="AK319" s="170"/>
      <c r="AL319" s="170"/>
      <c r="AM319" s="170"/>
      <c r="AN319" s="170"/>
      <c r="AO319" s="170"/>
      <c r="AP319" s="170"/>
      <c r="AQ319" s="170"/>
      <c r="AR319" s="170"/>
      <c r="AS319" s="170"/>
      <c r="AT319" s="170"/>
      <c r="AU319" s="170"/>
      <c r="AV319" s="170"/>
      <c r="AW319" s="170"/>
      <c r="AX319" s="170"/>
    </row>
    <row r="320" spans="1:50" ht="15" x14ac:dyDescent="0.25">
      <c r="A320" s="170"/>
      <c r="B320" s="719"/>
      <c r="C320" s="170"/>
      <c r="D320" s="170"/>
      <c r="E320" s="170"/>
      <c r="F320" s="170"/>
      <c r="G320" s="721"/>
      <c r="H320" s="170"/>
      <c r="I320" s="170"/>
      <c r="J320" s="170"/>
      <c r="K320" s="170"/>
      <c r="L320" s="170"/>
      <c r="M320" s="730"/>
      <c r="N320" s="730"/>
      <c r="O320" s="730"/>
      <c r="P320" s="731"/>
      <c r="Q320" s="731"/>
      <c r="R320" s="730"/>
      <c r="S320" s="730"/>
      <c r="T320" s="723"/>
      <c r="U320" s="724"/>
      <c r="V320" s="725"/>
      <c r="W320" s="725"/>
      <c r="X320" s="723"/>
      <c r="Y320" s="723"/>
      <c r="Z320" s="723"/>
      <c r="AA320" s="726"/>
      <c r="AB320" s="726"/>
      <c r="AC320" s="170"/>
      <c r="AD320" s="586"/>
      <c r="AE320" s="586"/>
      <c r="AF320" s="170"/>
      <c r="AG320" s="170"/>
      <c r="AH320" s="170"/>
      <c r="AI320" s="170"/>
      <c r="AJ320" s="170"/>
      <c r="AK320" s="170"/>
      <c r="AL320" s="170"/>
      <c r="AM320" s="170"/>
      <c r="AN320" s="170"/>
      <c r="AO320" s="170"/>
      <c r="AP320" s="170"/>
      <c r="AQ320" s="170"/>
      <c r="AR320" s="170"/>
      <c r="AS320" s="170"/>
      <c r="AT320" s="170"/>
      <c r="AU320" s="170"/>
      <c r="AV320" s="170"/>
      <c r="AW320" s="170"/>
      <c r="AX320" s="170"/>
    </row>
    <row r="321" spans="1:50" ht="15" x14ac:dyDescent="0.25">
      <c r="A321" s="170"/>
      <c r="B321" s="719"/>
      <c r="C321" s="170"/>
      <c r="D321" s="170"/>
      <c r="E321" s="170"/>
      <c r="F321" s="170"/>
      <c r="G321" s="721"/>
      <c r="H321" s="170"/>
      <c r="I321" s="170"/>
      <c r="J321" s="170"/>
      <c r="K321" s="170"/>
      <c r="L321" s="170"/>
      <c r="M321" s="730"/>
      <c r="N321" s="730"/>
      <c r="O321" s="730"/>
      <c r="P321" s="731"/>
      <c r="Q321" s="731"/>
      <c r="R321" s="730"/>
      <c r="S321" s="730"/>
      <c r="T321" s="723"/>
      <c r="U321" s="724"/>
      <c r="V321" s="725"/>
      <c r="W321" s="725"/>
      <c r="X321" s="723"/>
      <c r="Y321" s="723"/>
      <c r="Z321" s="723"/>
      <c r="AA321" s="726"/>
      <c r="AB321" s="726"/>
      <c r="AC321" s="170"/>
      <c r="AD321" s="586"/>
      <c r="AE321" s="586"/>
      <c r="AF321" s="170"/>
      <c r="AG321" s="170"/>
      <c r="AH321" s="170"/>
      <c r="AI321" s="170"/>
      <c r="AJ321" s="170"/>
      <c r="AK321" s="170"/>
      <c r="AL321" s="170"/>
      <c r="AM321" s="170"/>
      <c r="AN321" s="170"/>
      <c r="AO321" s="170"/>
      <c r="AP321" s="170"/>
      <c r="AQ321" s="170"/>
      <c r="AR321" s="170"/>
      <c r="AS321" s="170"/>
      <c r="AT321" s="170"/>
      <c r="AU321" s="170"/>
      <c r="AV321" s="170"/>
      <c r="AW321" s="170"/>
      <c r="AX321" s="170"/>
    </row>
    <row r="322" spans="1:50" ht="15" x14ac:dyDescent="0.25">
      <c r="A322" s="170"/>
      <c r="B322" s="719"/>
      <c r="C322" s="170"/>
      <c r="D322" s="170"/>
      <c r="E322" s="170"/>
      <c r="F322" s="170"/>
      <c r="G322" s="721"/>
      <c r="H322" s="170"/>
      <c r="I322" s="170"/>
      <c r="J322" s="170"/>
      <c r="K322" s="170"/>
      <c r="L322" s="170"/>
      <c r="M322" s="730"/>
      <c r="N322" s="730"/>
      <c r="O322" s="730"/>
      <c r="P322" s="731"/>
      <c r="Q322" s="731"/>
      <c r="R322" s="730"/>
      <c r="S322" s="730"/>
      <c r="T322" s="723"/>
      <c r="U322" s="724"/>
      <c r="V322" s="725"/>
      <c r="W322" s="725"/>
      <c r="X322" s="723"/>
      <c r="Y322" s="723"/>
      <c r="Z322" s="723"/>
      <c r="AA322" s="726"/>
      <c r="AB322" s="726"/>
      <c r="AC322" s="170"/>
      <c r="AD322" s="586"/>
      <c r="AE322" s="586"/>
      <c r="AF322" s="170"/>
      <c r="AG322" s="170"/>
      <c r="AH322" s="170"/>
      <c r="AI322" s="170"/>
      <c r="AJ322" s="170"/>
      <c r="AK322" s="170"/>
      <c r="AL322" s="170"/>
      <c r="AM322" s="170"/>
      <c r="AN322" s="170"/>
      <c r="AO322" s="170"/>
      <c r="AP322" s="170"/>
      <c r="AQ322" s="170"/>
      <c r="AR322" s="170"/>
      <c r="AS322" s="170"/>
      <c r="AT322" s="170"/>
      <c r="AU322" s="170"/>
      <c r="AV322" s="170"/>
      <c r="AW322" s="170"/>
      <c r="AX322" s="170"/>
    </row>
    <row r="323" spans="1:50" ht="15" x14ac:dyDescent="0.25">
      <c r="A323" s="170"/>
      <c r="B323" s="719"/>
      <c r="C323" s="170"/>
      <c r="D323" s="170"/>
      <c r="E323" s="170"/>
      <c r="F323" s="170"/>
      <c r="G323" s="721"/>
      <c r="H323" s="170"/>
      <c r="I323" s="170"/>
      <c r="J323" s="170"/>
      <c r="K323" s="170"/>
      <c r="L323" s="170"/>
      <c r="M323" s="730"/>
      <c r="N323" s="730"/>
      <c r="O323" s="730"/>
      <c r="P323" s="731"/>
      <c r="Q323" s="731"/>
      <c r="R323" s="730"/>
      <c r="S323" s="730"/>
      <c r="T323" s="723"/>
      <c r="U323" s="724"/>
      <c r="V323" s="725"/>
      <c r="W323" s="725"/>
      <c r="X323" s="723"/>
      <c r="Y323" s="723"/>
      <c r="Z323" s="723"/>
      <c r="AA323" s="726"/>
      <c r="AB323" s="726"/>
      <c r="AC323" s="170"/>
      <c r="AD323" s="586"/>
      <c r="AE323" s="586"/>
      <c r="AF323" s="170"/>
      <c r="AG323" s="170"/>
      <c r="AH323" s="170"/>
      <c r="AI323" s="170"/>
      <c r="AJ323" s="170"/>
      <c r="AK323" s="170"/>
      <c r="AL323" s="170"/>
      <c r="AM323" s="170"/>
      <c r="AN323" s="170"/>
      <c r="AO323" s="170"/>
      <c r="AP323" s="170"/>
      <c r="AQ323" s="170"/>
      <c r="AR323" s="170"/>
      <c r="AS323" s="170"/>
      <c r="AT323" s="170"/>
      <c r="AU323" s="170"/>
      <c r="AV323" s="170"/>
      <c r="AW323" s="170"/>
      <c r="AX323" s="170"/>
    </row>
    <row r="324" spans="1:50" ht="15" x14ac:dyDescent="0.25">
      <c r="A324" s="170"/>
      <c r="B324" s="719"/>
      <c r="C324" s="170"/>
      <c r="D324" s="170"/>
      <c r="E324" s="170"/>
      <c r="F324" s="170"/>
      <c r="G324" s="721"/>
      <c r="H324" s="170"/>
      <c r="I324" s="170"/>
      <c r="J324" s="170"/>
      <c r="K324" s="170"/>
      <c r="L324" s="170"/>
      <c r="M324" s="730"/>
      <c r="N324" s="730"/>
      <c r="O324" s="730"/>
      <c r="P324" s="731"/>
      <c r="Q324" s="731"/>
      <c r="R324" s="730"/>
      <c r="S324" s="730"/>
      <c r="T324" s="723"/>
      <c r="U324" s="724"/>
      <c r="V324" s="725"/>
      <c r="W324" s="725"/>
      <c r="X324" s="723"/>
      <c r="Y324" s="723"/>
      <c r="Z324" s="723"/>
      <c r="AA324" s="726"/>
      <c r="AB324" s="726"/>
      <c r="AC324" s="170"/>
      <c r="AD324" s="586"/>
      <c r="AE324" s="586"/>
      <c r="AF324" s="170"/>
      <c r="AG324" s="170"/>
      <c r="AH324" s="170"/>
      <c r="AI324" s="170"/>
      <c r="AJ324" s="170"/>
      <c r="AK324" s="170"/>
      <c r="AL324" s="170"/>
      <c r="AM324" s="170"/>
      <c r="AN324" s="170"/>
      <c r="AO324" s="170"/>
      <c r="AP324" s="170"/>
      <c r="AQ324" s="170"/>
      <c r="AR324" s="170"/>
      <c r="AS324" s="170"/>
      <c r="AT324" s="170"/>
      <c r="AU324" s="170"/>
      <c r="AV324" s="170"/>
      <c r="AW324" s="170"/>
      <c r="AX324" s="170"/>
    </row>
    <row r="325" spans="1:50" ht="15" x14ac:dyDescent="0.25">
      <c r="A325" s="170"/>
      <c r="B325" s="719"/>
      <c r="C325" s="170"/>
      <c r="D325" s="170"/>
      <c r="E325" s="170"/>
      <c r="F325" s="170"/>
      <c r="G325" s="721"/>
      <c r="H325" s="170"/>
      <c r="I325" s="170"/>
      <c r="J325" s="170"/>
      <c r="K325" s="170"/>
      <c r="L325" s="170"/>
      <c r="M325" s="730"/>
      <c r="N325" s="730"/>
      <c r="O325" s="730"/>
      <c r="P325" s="731"/>
      <c r="Q325" s="731"/>
      <c r="R325" s="730"/>
      <c r="S325" s="730"/>
      <c r="T325" s="723"/>
      <c r="U325" s="724"/>
      <c r="V325" s="725"/>
      <c r="W325" s="725"/>
      <c r="X325" s="723"/>
      <c r="Y325" s="723"/>
      <c r="Z325" s="723"/>
      <c r="AA325" s="726"/>
      <c r="AB325" s="726"/>
      <c r="AC325" s="170"/>
      <c r="AD325" s="586"/>
      <c r="AE325" s="586"/>
      <c r="AF325" s="170"/>
      <c r="AG325" s="170"/>
      <c r="AH325" s="170"/>
      <c r="AI325" s="170"/>
      <c r="AJ325" s="170"/>
      <c r="AK325" s="170"/>
      <c r="AL325" s="170"/>
      <c r="AM325" s="170"/>
      <c r="AN325" s="170"/>
      <c r="AO325" s="170"/>
      <c r="AP325" s="170"/>
      <c r="AQ325" s="170"/>
      <c r="AR325" s="170"/>
      <c r="AS325" s="170"/>
      <c r="AT325" s="170"/>
      <c r="AU325" s="170"/>
      <c r="AV325" s="170"/>
      <c r="AW325" s="170"/>
      <c r="AX325" s="170"/>
    </row>
    <row r="326" spans="1:50" ht="15" x14ac:dyDescent="0.25">
      <c r="A326" s="170"/>
      <c r="B326" s="719"/>
      <c r="C326" s="170"/>
      <c r="D326" s="170"/>
      <c r="E326" s="170"/>
      <c r="F326" s="170"/>
      <c r="G326" s="721"/>
      <c r="H326" s="170"/>
      <c r="I326" s="170"/>
      <c r="J326" s="170"/>
      <c r="K326" s="170"/>
      <c r="L326" s="170"/>
      <c r="M326" s="730"/>
      <c r="N326" s="730"/>
      <c r="O326" s="730"/>
      <c r="P326" s="731"/>
      <c r="Q326" s="731"/>
      <c r="R326" s="730"/>
      <c r="S326" s="730"/>
      <c r="T326" s="723"/>
      <c r="U326" s="724"/>
      <c r="V326" s="725"/>
      <c r="W326" s="725"/>
      <c r="X326" s="723"/>
      <c r="Y326" s="723"/>
      <c r="Z326" s="723"/>
      <c r="AA326" s="726"/>
      <c r="AB326" s="726"/>
      <c r="AC326" s="170"/>
      <c r="AD326" s="586"/>
      <c r="AE326" s="586"/>
      <c r="AF326" s="170"/>
      <c r="AG326" s="170"/>
      <c r="AH326" s="170"/>
      <c r="AI326" s="170"/>
      <c r="AJ326" s="170"/>
      <c r="AK326" s="170"/>
      <c r="AL326" s="170"/>
      <c r="AM326" s="170"/>
      <c r="AN326" s="170"/>
      <c r="AO326" s="170"/>
      <c r="AP326" s="170"/>
      <c r="AQ326" s="170"/>
      <c r="AR326" s="170"/>
      <c r="AS326" s="170"/>
      <c r="AT326" s="170"/>
      <c r="AU326" s="170"/>
      <c r="AV326" s="170"/>
      <c r="AW326" s="170"/>
      <c r="AX326" s="170"/>
    </row>
    <row r="327" spans="1:50" ht="15" x14ac:dyDescent="0.25">
      <c r="A327" s="170"/>
      <c r="B327" s="719"/>
      <c r="C327" s="170"/>
      <c r="D327" s="170"/>
      <c r="E327" s="170"/>
      <c r="F327" s="170"/>
      <c r="G327" s="721"/>
      <c r="H327" s="170"/>
      <c r="I327" s="170"/>
      <c r="J327" s="170"/>
      <c r="K327" s="170"/>
      <c r="L327" s="170"/>
      <c r="M327" s="730"/>
      <c r="N327" s="730"/>
      <c r="O327" s="730"/>
      <c r="P327" s="731"/>
      <c r="Q327" s="731"/>
      <c r="R327" s="730"/>
      <c r="S327" s="730"/>
      <c r="T327" s="723"/>
      <c r="U327" s="724"/>
      <c r="V327" s="725"/>
      <c r="W327" s="725"/>
      <c r="X327" s="723"/>
      <c r="Y327" s="723"/>
      <c r="Z327" s="723"/>
      <c r="AA327" s="726"/>
      <c r="AB327" s="726"/>
      <c r="AC327" s="170"/>
      <c r="AD327" s="586"/>
      <c r="AE327" s="586"/>
      <c r="AF327" s="170"/>
      <c r="AG327" s="170"/>
      <c r="AH327" s="170"/>
      <c r="AI327" s="170"/>
      <c r="AJ327" s="170"/>
      <c r="AK327" s="170"/>
      <c r="AL327" s="170"/>
      <c r="AM327" s="170"/>
      <c r="AN327" s="170"/>
      <c r="AO327" s="170"/>
      <c r="AP327" s="170"/>
      <c r="AQ327" s="170"/>
      <c r="AR327" s="170"/>
      <c r="AS327" s="170"/>
      <c r="AT327" s="170"/>
      <c r="AU327" s="170"/>
      <c r="AV327" s="170"/>
      <c r="AW327" s="170"/>
      <c r="AX327" s="170"/>
    </row>
    <row r="328" spans="1:50" ht="15" x14ac:dyDescent="0.25">
      <c r="A328" s="170"/>
      <c r="B328" s="719"/>
      <c r="C328" s="170"/>
      <c r="D328" s="170"/>
      <c r="E328" s="170"/>
      <c r="F328" s="170"/>
      <c r="G328" s="721"/>
      <c r="H328" s="170"/>
      <c r="I328" s="170"/>
      <c r="J328" s="170"/>
      <c r="K328" s="170"/>
      <c r="L328" s="170"/>
      <c r="M328" s="730"/>
      <c r="N328" s="730"/>
      <c r="O328" s="730"/>
      <c r="P328" s="731"/>
      <c r="Q328" s="731"/>
      <c r="R328" s="730"/>
      <c r="S328" s="730"/>
      <c r="T328" s="723"/>
      <c r="U328" s="724"/>
      <c r="V328" s="725"/>
      <c r="W328" s="725"/>
      <c r="X328" s="723"/>
      <c r="Y328" s="723"/>
      <c r="Z328" s="723"/>
      <c r="AA328" s="726"/>
      <c r="AB328" s="726"/>
      <c r="AC328" s="170"/>
      <c r="AD328" s="586"/>
      <c r="AE328" s="586"/>
      <c r="AF328" s="170"/>
      <c r="AG328" s="170"/>
      <c r="AH328" s="170"/>
      <c r="AI328" s="170"/>
      <c r="AJ328" s="170"/>
      <c r="AK328" s="170"/>
      <c r="AL328" s="170"/>
      <c r="AM328" s="170"/>
      <c r="AN328" s="170"/>
      <c r="AO328" s="170"/>
      <c r="AP328" s="170"/>
      <c r="AQ328" s="170"/>
      <c r="AR328" s="170"/>
      <c r="AS328" s="170"/>
      <c r="AT328" s="170"/>
      <c r="AU328" s="170"/>
      <c r="AV328" s="170"/>
      <c r="AW328" s="170"/>
      <c r="AX328" s="170"/>
    </row>
    <row r="329" spans="1:50" ht="15" x14ac:dyDescent="0.25">
      <c r="A329" s="170"/>
      <c r="B329" s="719"/>
      <c r="C329" s="170"/>
      <c r="D329" s="170"/>
      <c r="E329" s="170"/>
      <c r="F329" s="170"/>
      <c r="G329" s="721"/>
      <c r="H329" s="170"/>
      <c r="I329" s="170"/>
      <c r="J329" s="170"/>
      <c r="K329" s="170"/>
      <c r="L329" s="170"/>
      <c r="M329" s="730"/>
      <c r="N329" s="730"/>
      <c r="O329" s="730"/>
      <c r="P329" s="731"/>
      <c r="Q329" s="731"/>
      <c r="R329" s="730"/>
      <c r="S329" s="730"/>
      <c r="T329" s="723"/>
      <c r="U329" s="724"/>
      <c r="V329" s="725"/>
      <c r="W329" s="725"/>
      <c r="X329" s="723"/>
      <c r="Y329" s="723"/>
      <c r="Z329" s="723"/>
      <c r="AA329" s="726"/>
      <c r="AB329" s="726"/>
      <c r="AC329" s="170"/>
      <c r="AD329" s="586"/>
      <c r="AE329" s="586"/>
      <c r="AF329" s="170"/>
      <c r="AG329" s="170"/>
      <c r="AH329" s="170"/>
      <c r="AI329" s="170"/>
      <c r="AJ329" s="170"/>
      <c r="AK329" s="170"/>
      <c r="AL329" s="170"/>
      <c r="AM329" s="170"/>
      <c r="AN329" s="170"/>
      <c r="AO329" s="170"/>
      <c r="AP329" s="170"/>
      <c r="AQ329" s="170"/>
      <c r="AR329" s="170"/>
      <c r="AS329" s="170"/>
      <c r="AT329" s="170"/>
      <c r="AU329" s="170"/>
      <c r="AV329" s="170"/>
      <c r="AW329" s="170"/>
      <c r="AX329" s="170"/>
    </row>
    <row r="330" spans="1:50" ht="15" x14ac:dyDescent="0.25">
      <c r="A330" s="170"/>
      <c r="B330" s="719"/>
      <c r="C330" s="170"/>
      <c r="D330" s="170"/>
      <c r="E330" s="170"/>
      <c r="F330" s="170"/>
      <c r="G330" s="721"/>
      <c r="H330" s="170"/>
      <c r="I330" s="170"/>
      <c r="J330" s="170"/>
      <c r="K330" s="170"/>
      <c r="L330" s="170"/>
      <c r="M330" s="730"/>
      <c r="N330" s="730"/>
      <c r="O330" s="730"/>
      <c r="P330" s="731"/>
      <c r="Q330" s="731"/>
      <c r="R330" s="730"/>
      <c r="S330" s="730"/>
      <c r="T330" s="723"/>
      <c r="U330" s="724"/>
      <c r="V330" s="725"/>
      <c r="W330" s="725"/>
      <c r="X330" s="723"/>
      <c r="Y330" s="723"/>
      <c r="Z330" s="723"/>
      <c r="AA330" s="726"/>
      <c r="AB330" s="726"/>
      <c r="AC330" s="170"/>
      <c r="AD330" s="586"/>
      <c r="AE330" s="586"/>
      <c r="AF330" s="170"/>
      <c r="AG330" s="170"/>
      <c r="AH330" s="170"/>
      <c r="AI330" s="170"/>
      <c r="AJ330" s="170"/>
      <c r="AK330" s="170"/>
      <c r="AL330" s="170"/>
      <c r="AM330" s="170"/>
      <c r="AN330" s="170"/>
      <c r="AO330" s="170"/>
      <c r="AP330" s="170"/>
      <c r="AQ330" s="170"/>
      <c r="AR330" s="170"/>
      <c r="AS330" s="170"/>
      <c r="AT330" s="170"/>
      <c r="AU330" s="170"/>
      <c r="AV330" s="170"/>
      <c r="AW330" s="170"/>
      <c r="AX330" s="170"/>
    </row>
    <row r="331" spans="1:50" ht="15" x14ac:dyDescent="0.25">
      <c r="A331" s="170"/>
      <c r="B331" s="719"/>
      <c r="C331" s="170"/>
      <c r="D331" s="170"/>
      <c r="E331" s="170"/>
      <c r="F331" s="170"/>
      <c r="G331" s="721"/>
      <c r="H331" s="170"/>
      <c r="I331" s="170"/>
      <c r="J331" s="170"/>
      <c r="K331" s="170"/>
      <c r="L331" s="170"/>
      <c r="M331" s="730"/>
      <c r="N331" s="730"/>
      <c r="O331" s="730"/>
      <c r="P331" s="731"/>
      <c r="Q331" s="731"/>
      <c r="R331" s="730"/>
      <c r="S331" s="730"/>
      <c r="T331" s="723"/>
      <c r="U331" s="724"/>
      <c r="V331" s="725"/>
      <c r="W331" s="725"/>
      <c r="X331" s="723"/>
      <c r="Y331" s="723"/>
      <c r="Z331" s="723"/>
      <c r="AA331" s="726"/>
      <c r="AB331" s="726"/>
      <c r="AC331" s="170"/>
      <c r="AD331" s="586"/>
      <c r="AE331" s="586"/>
      <c r="AF331" s="170"/>
      <c r="AG331" s="170"/>
      <c r="AH331" s="170"/>
      <c r="AI331" s="170"/>
      <c r="AJ331" s="170"/>
      <c r="AK331" s="170"/>
      <c r="AL331" s="170"/>
      <c r="AM331" s="170"/>
      <c r="AN331" s="170"/>
      <c r="AO331" s="170"/>
      <c r="AP331" s="170"/>
      <c r="AQ331" s="170"/>
      <c r="AR331" s="170"/>
      <c r="AS331" s="170"/>
      <c r="AT331" s="170"/>
      <c r="AU331" s="170"/>
      <c r="AV331" s="170"/>
      <c r="AW331" s="170"/>
      <c r="AX331" s="170"/>
    </row>
    <row r="332" spans="1:50" ht="15" x14ac:dyDescent="0.25">
      <c r="A332" s="170"/>
      <c r="B332" s="719"/>
      <c r="C332" s="170"/>
      <c r="D332" s="170"/>
      <c r="E332" s="170"/>
      <c r="F332" s="170"/>
      <c r="G332" s="721"/>
      <c r="H332" s="170"/>
      <c r="I332" s="170"/>
      <c r="J332" s="170"/>
      <c r="K332" s="170"/>
      <c r="L332" s="170"/>
      <c r="M332" s="730"/>
      <c r="N332" s="730"/>
      <c r="O332" s="730"/>
      <c r="P332" s="731"/>
      <c r="Q332" s="731"/>
      <c r="R332" s="730"/>
      <c r="S332" s="730"/>
      <c r="T332" s="723"/>
      <c r="U332" s="724"/>
      <c r="V332" s="725"/>
      <c r="W332" s="725"/>
      <c r="X332" s="723"/>
      <c r="Y332" s="723"/>
      <c r="Z332" s="723"/>
      <c r="AA332" s="726"/>
      <c r="AB332" s="726"/>
      <c r="AC332" s="170"/>
      <c r="AD332" s="586"/>
      <c r="AE332" s="586"/>
      <c r="AF332" s="170"/>
      <c r="AG332" s="170"/>
      <c r="AH332" s="170"/>
      <c r="AI332" s="170"/>
      <c r="AJ332" s="170"/>
      <c r="AK332" s="170"/>
      <c r="AL332" s="170"/>
      <c r="AM332" s="170"/>
      <c r="AN332" s="170"/>
      <c r="AO332" s="170"/>
      <c r="AP332" s="170"/>
      <c r="AQ332" s="170"/>
      <c r="AR332" s="170"/>
      <c r="AS332" s="170"/>
      <c r="AT332" s="170"/>
      <c r="AU332" s="170"/>
      <c r="AV332" s="170"/>
      <c r="AW332" s="170"/>
      <c r="AX332" s="170"/>
    </row>
    <row r="333" spans="1:50" ht="15" x14ac:dyDescent="0.25">
      <c r="A333" s="170"/>
      <c r="B333" s="719"/>
      <c r="C333" s="170"/>
      <c r="D333" s="170"/>
      <c r="E333" s="170"/>
      <c r="F333" s="170"/>
      <c r="G333" s="721"/>
      <c r="H333" s="170"/>
      <c r="I333" s="170"/>
      <c r="J333" s="170"/>
      <c r="K333" s="170"/>
      <c r="L333" s="170"/>
      <c r="M333" s="730"/>
      <c r="N333" s="730"/>
      <c r="O333" s="730"/>
      <c r="P333" s="731"/>
      <c r="Q333" s="731"/>
      <c r="R333" s="730"/>
      <c r="S333" s="730"/>
      <c r="T333" s="723"/>
      <c r="U333" s="724"/>
      <c r="V333" s="725"/>
      <c r="W333" s="725"/>
      <c r="X333" s="723"/>
      <c r="Y333" s="723"/>
      <c r="Z333" s="723"/>
      <c r="AA333" s="726"/>
      <c r="AB333" s="726"/>
      <c r="AC333" s="170"/>
      <c r="AD333" s="586"/>
      <c r="AE333" s="586"/>
      <c r="AF333" s="170"/>
      <c r="AG333" s="170"/>
      <c r="AH333" s="170"/>
      <c r="AI333" s="170"/>
      <c r="AJ333" s="170"/>
      <c r="AK333" s="170"/>
      <c r="AL333" s="170"/>
      <c r="AM333" s="170"/>
      <c r="AN333" s="170"/>
      <c r="AO333" s="170"/>
      <c r="AP333" s="170"/>
      <c r="AQ333" s="170"/>
      <c r="AR333" s="170"/>
      <c r="AS333" s="170"/>
      <c r="AT333" s="170"/>
      <c r="AU333" s="170"/>
      <c r="AV333" s="170"/>
      <c r="AW333" s="170"/>
      <c r="AX333" s="170"/>
    </row>
    <row r="334" spans="1:50" ht="15" x14ac:dyDescent="0.25">
      <c r="A334" s="170"/>
      <c r="B334" s="719"/>
      <c r="C334" s="170"/>
      <c r="D334" s="170"/>
      <c r="E334" s="170"/>
      <c r="F334" s="170"/>
      <c r="G334" s="721"/>
      <c r="H334" s="170"/>
      <c r="I334" s="170"/>
      <c r="J334" s="170"/>
      <c r="K334" s="170"/>
      <c r="L334" s="170"/>
      <c r="M334" s="730"/>
      <c r="N334" s="730"/>
      <c r="O334" s="730"/>
      <c r="P334" s="731"/>
      <c r="Q334" s="731"/>
      <c r="R334" s="730"/>
      <c r="S334" s="730"/>
      <c r="T334" s="723"/>
      <c r="U334" s="724"/>
      <c r="V334" s="725"/>
      <c r="W334" s="725"/>
      <c r="X334" s="723"/>
      <c r="Y334" s="723"/>
      <c r="Z334" s="723"/>
      <c r="AA334" s="726"/>
      <c r="AB334" s="726"/>
      <c r="AC334" s="170"/>
      <c r="AD334" s="586"/>
      <c r="AE334" s="586"/>
      <c r="AF334" s="170"/>
      <c r="AG334" s="170"/>
      <c r="AH334" s="170"/>
      <c r="AI334" s="170"/>
      <c r="AJ334" s="170"/>
      <c r="AK334" s="170"/>
      <c r="AL334" s="170"/>
      <c r="AM334" s="170"/>
      <c r="AN334" s="170"/>
      <c r="AO334" s="170"/>
      <c r="AP334" s="170"/>
      <c r="AQ334" s="170"/>
      <c r="AR334" s="170"/>
      <c r="AS334" s="170"/>
      <c r="AT334" s="170"/>
      <c r="AU334" s="170"/>
      <c r="AV334" s="170"/>
      <c r="AW334" s="170"/>
      <c r="AX334" s="170"/>
    </row>
    <row r="335" spans="1:50" ht="15" x14ac:dyDescent="0.25">
      <c r="A335" s="170"/>
      <c r="B335" s="719"/>
      <c r="C335" s="170"/>
      <c r="D335" s="170"/>
      <c r="E335" s="170"/>
      <c r="F335" s="170"/>
      <c r="G335" s="721"/>
      <c r="H335" s="170"/>
      <c r="I335" s="170"/>
      <c r="J335" s="170"/>
      <c r="K335" s="170"/>
      <c r="L335" s="170"/>
      <c r="M335" s="730"/>
      <c r="N335" s="730"/>
      <c r="O335" s="730"/>
      <c r="P335" s="731"/>
      <c r="Q335" s="731"/>
      <c r="R335" s="730"/>
      <c r="S335" s="730"/>
      <c r="T335" s="723"/>
      <c r="U335" s="724"/>
      <c r="V335" s="725"/>
      <c r="W335" s="725"/>
      <c r="X335" s="723"/>
      <c r="Y335" s="723"/>
      <c r="Z335" s="723"/>
      <c r="AA335" s="726"/>
      <c r="AB335" s="726"/>
      <c r="AC335" s="170"/>
      <c r="AD335" s="586"/>
      <c r="AE335" s="586"/>
      <c r="AF335" s="170"/>
      <c r="AG335" s="170"/>
      <c r="AH335" s="170"/>
      <c r="AI335" s="170"/>
      <c r="AJ335" s="170"/>
      <c r="AK335" s="170"/>
      <c r="AL335" s="170"/>
      <c r="AM335" s="170"/>
      <c r="AN335" s="170"/>
      <c r="AO335" s="170"/>
      <c r="AP335" s="170"/>
      <c r="AQ335" s="170"/>
      <c r="AR335" s="170"/>
      <c r="AS335" s="170"/>
      <c r="AT335" s="170"/>
      <c r="AU335" s="170"/>
      <c r="AV335" s="170"/>
      <c r="AW335" s="170"/>
      <c r="AX335" s="170"/>
    </row>
    <row r="336" spans="1:50" ht="15" x14ac:dyDescent="0.25">
      <c r="A336" s="170"/>
      <c r="B336" s="719"/>
      <c r="C336" s="170"/>
      <c r="D336" s="170"/>
      <c r="E336" s="170"/>
      <c r="F336" s="170"/>
      <c r="G336" s="721"/>
      <c r="H336" s="170"/>
      <c r="I336" s="170"/>
      <c r="J336" s="170"/>
      <c r="K336" s="170"/>
      <c r="L336" s="170"/>
      <c r="M336" s="730"/>
      <c r="N336" s="730"/>
      <c r="O336" s="730"/>
      <c r="P336" s="731"/>
      <c r="Q336" s="731"/>
      <c r="R336" s="730"/>
      <c r="S336" s="730"/>
      <c r="T336" s="723"/>
      <c r="U336" s="724"/>
      <c r="V336" s="725"/>
      <c r="W336" s="725"/>
      <c r="X336" s="723"/>
      <c r="Y336" s="723"/>
      <c r="Z336" s="723"/>
      <c r="AA336" s="726"/>
      <c r="AB336" s="726"/>
      <c r="AC336" s="170"/>
      <c r="AD336" s="586"/>
      <c r="AE336" s="586"/>
      <c r="AF336" s="170"/>
      <c r="AG336" s="170"/>
      <c r="AH336" s="170"/>
      <c r="AI336" s="170"/>
      <c r="AJ336" s="170"/>
      <c r="AK336" s="170"/>
      <c r="AL336" s="170"/>
      <c r="AM336" s="170"/>
      <c r="AN336" s="170"/>
      <c r="AO336" s="170"/>
      <c r="AP336" s="170"/>
      <c r="AQ336" s="170"/>
      <c r="AR336" s="170"/>
      <c r="AS336" s="170"/>
      <c r="AT336" s="170"/>
      <c r="AU336" s="170"/>
      <c r="AV336" s="170"/>
      <c r="AW336" s="170"/>
      <c r="AX336" s="170"/>
    </row>
    <row r="337" spans="1:50" ht="15" x14ac:dyDescent="0.25">
      <c r="A337" s="170"/>
      <c r="B337" s="719"/>
      <c r="C337" s="170"/>
      <c r="D337" s="170"/>
      <c r="E337" s="170"/>
      <c r="F337" s="170"/>
      <c r="G337" s="721"/>
      <c r="H337" s="170"/>
      <c r="I337" s="170"/>
      <c r="J337" s="170"/>
      <c r="K337" s="170"/>
      <c r="L337" s="170"/>
      <c r="M337" s="730"/>
      <c r="N337" s="730"/>
      <c r="O337" s="730"/>
      <c r="P337" s="731"/>
      <c r="Q337" s="731"/>
      <c r="R337" s="730"/>
      <c r="S337" s="730"/>
      <c r="T337" s="723"/>
      <c r="U337" s="724"/>
      <c r="V337" s="725"/>
      <c r="W337" s="725"/>
      <c r="X337" s="723"/>
      <c r="Y337" s="723"/>
      <c r="Z337" s="723"/>
      <c r="AA337" s="726"/>
      <c r="AB337" s="726"/>
      <c r="AC337" s="170"/>
      <c r="AD337" s="586"/>
      <c r="AE337" s="586"/>
      <c r="AF337" s="170"/>
      <c r="AG337" s="170"/>
      <c r="AH337" s="170"/>
      <c r="AI337" s="170"/>
      <c r="AJ337" s="170"/>
      <c r="AK337" s="170"/>
      <c r="AL337" s="170"/>
      <c r="AM337" s="170"/>
      <c r="AN337" s="170"/>
      <c r="AO337" s="170"/>
      <c r="AP337" s="170"/>
      <c r="AQ337" s="170"/>
      <c r="AR337" s="170"/>
      <c r="AS337" s="170"/>
      <c r="AT337" s="170"/>
      <c r="AU337" s="170"/>
      <c r="AV337" s="170"/>
      <c r="AW337" s="170"/>
      <c r="AX337" s="170"/>
    </row>
    <row r="338" spans="1:50" ht="15" x14ac:dyDescent="0.25">
      <c r="A338" s="170"/>
      <c r="B338" s="719"/>
      <c r="C338" s="170"/>
      <c r="D338" s="170"/>
      <c r="E338" s="170"/>
      <c r="F338" s="170"/>
      <c r="G338" s="721"/>
      <c r="H338" s="170"/>
      <c r="I338" s="170"/>
      <c r="J338" s="170"/>
      <c r="K338" s="170"/>
      <c r="L338" s="170"/>
      <c r="M338" s="730"/>
      <c r="N338" s="730"/>
      <c r="O338" s="730"/>
      <c r="P338" s="731"/>
      <c r="Q338" s="731"/>
      <c r="R338" s="730"/>
      <c r="S338" s="730"/>
      <c r="T338" s="723"/>
      <c r="U338" s="724"/>
      <c r="V338" s="725"/>
      <c r="W338" s="725"/>
      <c r="X338" s="723"/>
      <c r="Y338" s="723"/>
      <c r="Z338" s="723"/>
      <c r="AA338" s="726"/>
      <c r="AB338" s="726"/>
      <c r="AC338" s="170"/>
      <c r="AD338" s="586"/>
      <c r="AE338" s="586"/>
      <c r="AF338" s="170"/>
      <c r="AG338" s="170"/>
      <c r="AH338" s="170"/>
      <c r="AI338" s="170"/>
      <c r="AJ338" s="170"/>
      <c r="AK338" s="170"/>
      <c r="AL338" s="170"/>
      <c r="AM338" s="170"/>
      <c r="AN338" s="170"/>
      <c r="AO338" s="170"/>
      <c r="AP338" s="170"/>
      <c r="AQ338" s="170"/>
      <c r="AR338" s="170"/>
      <c r="AS338" s="170"/>
      <c r="AT338" s="170"/>
      <c r="AU338" s="170"/>
      <c r="AV338" s="170"/>
      <c r="AW338" s="170"/>
      <c r="AX338" s="170"/>
    </row>
    <row r="339" spans="1:50" ht="15" x14ac:dyDescent="0.25">
      <c r="A339" s="170"/>
      <c r="B339" s="719"/>
      <c r="C339" s="170"/>
      <c r="D339" s="170"/>
      <c r="E339" s="170"/>
      <c r="F339" s="170"/>
      <c r="G339" s="721"/>
      <c r="H339" s="170"/>
      <c r="I339" s="170"/>
      <c r="J339" s="170"/>
      <c r="K339" s="170"/>
      <c r="L339" s="170"/>
      <c r="M339" s="730"/>
      <c r="N339" s="730"/>
      <c r="O339" s="730"/>
      <c r="P339" s="731"/>
      <c r="Q339" s="731"/>
      <c r="R339" s="730"/>
      <c r="S339" s="730"/>
      <c r="T339" s="723"/>
      <c r="U339" s="724"/>
      <c r="V339" s="725"/>
      <c r="W339" s="725"/>
      <c r="X339" s="723"/>
      <c r="Y339" s="723"/>
      <c r="Z339" s="723"/>
      <c r="AA339" s="726"/>
      <c r="AB339" s="726"/>
      <c r="AC339" s="170"/>
      <c r="AD339" s="586"/>
      <c r="AE339" s="586"/>
      <c r="AF339" s="170"/>
      <c r="AG339" s="170"/>
      <c r="AH339" s="170"/>
      <c r="AI339" s="170"/>
      <c r="AJ339" s="170"/>
      <c r="AK339" s="170"/>
      <c r="AL339" s="170"/>
      <c r="AM339" s="170"/>
      <c r="AN339" s="170"/>
      <c r="AO339" s="170"/>
      <c r="AP339" s="170"/>
      <c r="AQ339" s="170"/>
      <c r="AR339" s="170"/>
      <c r="AS339" s="170"/>
      <c r="AT339" s="170"/>
      <c r="AU339" s="170"/>
      <c r="AV339" s="170"/>
      <c r="AW339" s="170"/>
      <c r="AX339" s="170"/>
    </row>
    <row r="340" spans="1:50" ht="15" x14ac:dyDescent="0.25">
      <c r="A340" s="170"/>
      <c r="B340" s="719"/>
      <c r="C340" s="170"/>
      <c r="D340" s="170"/>
      <c r="E340" s="170"/>
      <c r="F340" s="170"/>
      <c r="G340" s="721"/>
      <c r="H340" s="170"/>
      <c r="I340" s="170"/>
      <c r="J340" s="170"/>
      <c r="K340" s="170"/>
      <c r="L340" s="170"/>
      <c r="M340" s="730"/>
      <c r="N340" s="730"/>
      <c r="O340" s="730"/>
      <c r="P340" s="731"/>
      <c r="Q340" s="731"/>
      <c r="R340" s="730"/>
      <c r="S340" s="730"/>
      <c r="T340" s="723"/>
      <c r="U340" s="724"/>
      <c r="V340" s="725"/>
      <c r="W340" s="725"/>
      <c r="X340" s="723"/>
      <c r="Y340" s="723"/>
      <c r="Z340" s="723"/>
      <c r="AA340" s="726"/>
      <c r="AB340" s="726"/>
      <c r="AC340" s="170"/>
      <c r="AD340" s="586"/>
      <c r="AE340" s="586"/>
      <c r="AF340" s="170"/>
      <c r="AG340" s="170"/>
      <c r="AH340" s="170"/>
      <c r="AI340" s="170"/>
      <c r="AJ340" s="170"/>
      <c r="AK340" s="170"/>
      <c r="AL340" s="170"/>
      <c r="AM340" s="170"/>
      <c r="AN340" s="170"/>
      <c r="AO340" s="170"/>
      <c r="AP340" s="170"/>
      <c r="AQ340" s="170"/>
      <c r="AR340" s="170"/>
      <c r="AS340" s="170"/>
      <c r="AT340" s="170"/>
      <c r="AU340" s="170"/>
      <c r="AV340" s="170"/>
      <c r="AW340" s="170"/>
      <c r="AX340" s="170"/>
    </row>
    <row r="341" spans="1:50" ht="15" x14ac:dyDescent="0.25">
      <c r="A341" s="170"/>
      <c r="B341" s="719"/>
      <c r="C341" s="170"/>
      <c r="D341" s="170"/>
      <c r="E341" s="170"/>
      <c r="F341" s="170"/>
      <c r="G341" s="721"/>
      <c r="H341" s="170"/>
      <c r="I341" s="170"/>
      <c r="J341" s="170"/>
      <c r="K341" s="170"/>
      <c r="L341" s="170"/>
      <c r="M341" s="730"/>
      <c r="N341" s="730"/>
      <c r="O341" s="730"/>
      <c r="P341" s="731"/>
      <c r="Q341" s="731"/>
      <c r="R341" s="730"/>
      <c r="S341" s="730"/>
      <c r="T341" s="723"/>
      <c r="U341" s="724"/>
      <c r="V341" s="725"/>
      <c r="W341" s="725"/>
      <c r="X341" s="723"/>
      <c r="Y341" s="723"/>
      <c r="Z341" s="723"/>
      <c r="AA341" s="726"/>
      <c r="AB341" s="726"/>
      <c r="AC341" s="170"/>
      <c r="AD341" s="586"/>
      <c r="AE341" s="586"/>
      <c r="AF341" s="170"/>
      <c r="AG341" s="170"/>
      <c r="AH341" s="170"/>
      <c r="AI341" s="170"/>
      <c r="AJ341" s="170"/>
      <c r="AK341" s="170"/>
      <c r="AL341" s="170"/>
      <c r="AM341" s="170"/>
      <c r="AN341" s="170"/>
      <c r="AO341" s="170"/>
      <c r="AP341" s="170"/>
      <c r="AQ341" s="170"/>
      <c r="AR341" s="170"/>
      <c r="AS341" s="170"/>
      <c r="AT341" s="170"/>
      <c r="AU341" s="170"/>
      <c r="AV341" s="170"/>
      <c r="AW341" s="170"/>
      <c r="AX341" s="170"/>
    </row>
    <row r="342" spans="1:50" ht="15" x14ac:dyDescent="0.25">
      <c r="A342" s="170"/>
      <c r="B342" s="719"/>
      <c r="C342" s="170"/>
      <c r="D342" s="170"/>
      <c r="E342" s="170"/>
      <c r="F342" s="170"/>
      <c r="G342" s="721"/>
      <c r="H342" s="170"/>
      <c r="I342" s="170"/>
      <c r="J342" s="170"/>
      <c r="K342" s="170"/>
      <c r="L342" s="170"/>
      <c r="M342" s="730"/>
      <c r="N342" s="730"/>
      <c r="O342" s="730"/>
      <c r="P342" s="731"/>
      <c r="Q342" s="731"/>
      <c r="R342" s="730"/>
      <c r="S342" s="730"/>
      <c r="T342" s="723"/>
      <c r="U342" s="724"/>
      <c r="V342" s="725"/>
      <c r="W342" s="725"/>
      <c r="X342" s="723"/>
      <c r="Y342" s="723"/>
      <c r="Z342" s="723"/>
      <c r="AA342" s="726"/>
      <c r="AB342" s="726"/>
      <c r="AC342" s="170"/>
      <c r="AD342" s="586"/>
      <c r="AE342" s="586"/>
      <c r="AF342" s="170"/>
      <c r="AG342" s="170"/>
      <c r="AH342" s="170"/>
      <c r="AI342" s="170"/>
      <c r="AJ342" s="170"/>
      <c r="AK342" s="170"/>
      <c r="AL342" s="170"/>
      <c r="AM342" s="170"/>
      <c r="AN342" s="170"/>
      <c r="AO342" s="170"/>
      <c r="AP342" s="170"/>
      <c r="AQ342" s="170"/>
      <c r="AR342" s="170"/>
      <c r="AS342" s="170"/>
      <c r="AT342" s="170"/>
      <c r="AU342" s="170"/>
      <c r="AV342" s="170"/>
      <c r="AW342" s="170"/>
      <c r="AX342" s="170"/>
    </row>
    <row r="343" spans="1:50" ht="15" x14ac:dyDescent="0.25">
      <c r="A343" s="170"/>
      <c r="B343" s="719"/>
      <c r="C343" s="170"/>
      <c r="D343" s="170"/>
      <c r="E343" s="170"/>
      <c r="F343" s="170"/>
      <c r="G343" s="721"/>
      <c r="H343" s="170"/>
      <c r="I343" s="170"/>
      <c r="J343" s="170"/>
      <c r="K343" s="170"/>
      <c r="L343" s="170"/>
      <c r="M343" s="730"/>
      <c r="N343" s="730"/>
      <c r="O343" s="730"/>
      <c r="P343" s="731"/>
      <c r="Q343" s="731"/>
      <c r="R343" s="730"/>
      <c r="S343" s="730"/>
      <c r="T343" s="723"/>
      <c r="U343" s="724"/>
      <c r="V343" s="725"/>
      <c r="W343" s="725"/>
      <c r="X343" s="723"/>
      <c r="Y343" s="723"/>
      <c r="Z343" s="723"/>
      <c r="AA343" s="726"/>
      <c r="AB343" s="726"/>
      <c r="AC343" s="170"/>
      <c r="AD343" s="586"/>
      <c r="AE343" s="586"/>
      <c r="AF343" s="170"/>
      <c r="AG343" s="170"/>
      <c r="AH343" s="170"/>
      <c r="AI343" s="170"/>
      <c r="AJ343" s="170"/>
      <c r="AK343" s="170"/>
      <c r="AL343" s="170"/>
      <c r="AM343" s="170"/>
      <c r="AN343" s="170"/>
      <c r="AO343" s="170"/>
      <c r="AP343" s="170"/>
      <c r="AQ343" s="170"/>
      <c r="AR343" s="170"/>
      <c r="AS343" s="170"/>
      <c r="AT343" s="170"/>
      <c r="AU343" s="170"/>
      <c r="AV343" s="170"/>
      <c r="AW343" s="170"/>
      <c r="AX343" s="170"/>
    </row>
    <row r="344" spans="1:50" ht="15" x14ac:dyDescent="0.25">
      <c r="A344" s="170"/>
      <c r="B344" s="719"/>
      <c r="C344" s="170"/>
      <c r="D344" s="170"/>
      <c r="E344" s="170"/>
      <c r="F344" s="170"/>
      <c r="G344" s="721"/>
      <c r="H344" s="170"/>
      <c r="I344" s="170"/>
      <c r="J344" s="170"/>
      <c r="K344" s="170"/>
      <c r="L344" s="170"/>
      <c r="M344" s="730"/>
      <c r="N344" s="730"/>
      <c r="O344" s="730"/>
      <c r="P344" s="731"/>
      <c r="Q344" s="731"/>
      <c r="R344" s="730"/>
      <c r="S344" s="730"/>
      <c r="T344" s="723"/>
      <c r="U344" s="724"/>
      <c r="V344" s="725"/>
      <c r="W344" s="725"/>
      <c r="X344" s="723"/>
      <c r="Y344" s="723"/>
      <c r="Z344" s="723"/>
      <c r="AA344" s="726"/>
      <c r="AB344" s="726"/>
      <c r="AC344" s="170"/>
      <c r="AD344" s="586"/>
      <c r="AE344" s="586"/>
      <c r="AF344" s="170"/>
      <c r="AG344" s="170"/>
      <c r="AH344" s="170"/>
      <c r="AI344" s="170"/>
      <c r="AJ344" s="170"/>
      <c r="AK344" s="170"/>
      <c r="AL344" s="170"/>
      <c r="AM344" s="170"/>
      <c r="AN344" s="170"/>
      <c r="AO344" s="170"/>
      <c r="AP344" s="170"/>
      <c r="AQ344" s="170"/>
      <c r="AR344" s="170"/>
      <c r="AS344" s="170"/>
      <c r="AT344" s="170"/>
      <c r="AU344" s="170"/>
      <c r="AV344" s="170"/>
      <c r="AW344" s="170"/>
      <c r="AX344" s="170"/>
    </row>
    <row r="345" spans="1:50" ht="15" x14ac:dyDescent="0.25">
      <c r="A345" s="170"/>
      <c r="B345" s="719"/>
      <c r="C345" s="170"/>
      <c r="D345" s="170"/>
      <c r="E345" s="170"/>
      <c r="F345" s="170"/>
      <c r="G345" s="721"/>
      <c r="H345" s="170"/>
      <c r="I345" s="170"/>
      <c r="J345" s="170"/>
      <c r="K345" s="170"/>
      <c r="L345" s="170"/>
      <c r="M345" s="730"/>
      <c r="N345" s="730"/>
      <c r="O345" s="730"/>
      <c r="P345" s="731"/>
      <c r="Q345" s="731"/>
      <c r="R345" s="730"/>
      <c r="S345" s="730"/>
      <c r="T345" s="723"/>
      <c r="U345" s="724"/>
      <c r="V345" s="725"/>
      <c r="W345" s="725"/>
      <c r="X345" s="723"/>
      <c r="Y345" s="723"/>
      <c r="Z345" s="723"/>
      <c r="AA345" s="726"/>
      <c r="AB345" s="726"/>
      <c r="AC345" s="170"/>
      <c r="AD345" s="586"/>
      <c r="AE345" s="586"/>
      <c r="AF345" s="170"/>
      <c r="AG345" s="170"/>
      <c r="AH345" s="170"/>
      <c r="AI345" s="170"/>
      <c r="AJ345" s="170"/>
      <c r="AK345" s="170"/>
      <c r="AL345" s="170"/>
      <c r="AM345" s="170"/>
      <c r="AN345" s="170"/>
      <c r="AO345" s="170"/>
      <c r="AP345" s="170"/>
      <c r="AQ345" s="170"/>
      <c r="AR345" s="170"/>
      <c r="AS345" s="170"/>
      <c r="AT345" s="170"/>
      <c r="AU345" s="170"/>
      <c r="AV345" s="170"/>
      <c r="AW345" s="170"/>
      <c r="AX345" s="170"/>
    </row>
    <row r="346" spans="1:50" ht="15" x14ac:dyDescent="0.25">
      <c r="A346" s="170"/>
      <c r="B346" s="719"/>
      <c r="C346" s="170"/>
      <c r="D346" s="170"/>
      <c r="E346" s="170"/>
      <c r="F346" s="170"/>
      <c r="G346" s="721"/>
      <c r="H346" s="170"/>
      <c r="I346" s="170"/>
      <c r="J346" s="170"/>
      <c r="K346" s="170"/>
      <c r="L346" s="170"/>
      <c r="M346" s="730"/>
      <c r="N346" s="730"/>
      <c r="O346" s="730"/>
      <c r="P346" s="731"/>
      <c r="Q346" s="731"/>
      <c r="R346" s="730"/>
      <c r="S346" s="730"/>
      <c r="T346" s="723"/>
      <c r="U346" s="724"/>
      <c r="V346" s="725"/>
      <c r="W346" s="725"/>
      <c r="X346" s="723"/>
      <c r="Y346" s="723"/>
      <c r="Z346" s="723"/>
      <c r="AA346" s="726"/>
      <c r="AB346" s="726"/>
      <c r="AC346" s="170"/>
      <c r="AD346" s="586"/>
      <c r="AE346" s="586"/>
      <c r="AF346" s="170"/>
      <c r="AG346" s="170"/>
      <c r="AH346" s="170"/>
      <c r="AI346" s="170"/>
      <c r="AJ346" s="170"/>
      <c r="AK346" s="170"/>
      <c r="AL346" s="170"/>
      <c r="AM346" s="170"/>
      <c r="AN346" s="170"/>
      <c r="AO346" s="170"/>
      <c r="AP346" s="170"/>
      <c r="AQ346" s="170"/>
      <c r="AR346" s="170"/>
      <c r="AS346" s="170"/>
      <c r="AT346" s="170"/>
      <c r="AU346" s="170"/>
      <c r="AV346" s="170"/>
      <c r="AW346" s="170"/>
      <c r="AX346" s="170"/>
    </row>
    <row r="347" spans="1:50" ht="15" x14ac:dyDescent="0.25">
      <c r="A347" s="170"/>
      <c r="B347" s="719"/>
      <c r="C347" s="170"/>
      <c r="D347" s="170"/>
      <c r="E347" s="170"/>
      <c r="F347" s="170"/>
      <c r="G347" s="721"/>
      <c r="H347" s="170"/>
      <c r="I347" s="170"/>
      <c r="J347" s="170"/>
      <c r="K347" s="170"/>
      <c r="L347" s="170"/>
      <c r="M347" s="730"/>
      <c r="N347" s="730"/>
      <c r="O347" s="730"/>
      <c r="P347" s="731"/>
      <c r="Q347" s="731"/>
      <c r="R347" s="730"/>
      <c r="S347" s="730"/>
      <c r="T347" s="723"/>
      <c r="U347" s="724"/>
      <c r="V347" s="725"/>
      <c r="W347" s="725"/>
      <c r="X347" s="723"/>
      <c r="Y347" s="723"/>
      <c r="Z347" s="723"/>
      <c r="AA347" s="726"/>
      <c r="AB347" s="726"/>
      <c r="AC347" s="170"/>
      <c r="AD347" s="586"/>
      <c r="AE347" s="586"/>
      <c r="AF347" s="170"/>
      <c r="AG347" s="170"/>
      <c r="AH347" s="170"/>
      <c r="AI347" s="170"/>
      <c r="AJ347" s="170"/>
      <c r="AK347" s="170"/>
      <c r="AL347" s="170"/>
      <c r="AM347" s="170"/>
      <c r="AN347" s="170"/>
      <c r="AO347" s="170"/>
      <c r="AP347" s="170"/>
      <c r="AQ347" s="170"/>
      <c r="AR347" s="170"/>
      <c r="AS347" s="170"/>
      <c r="AT347" s="170"/>
      <c r="AU347" s="170"/>
      <c r="AV347" s="170"/>
      <c r="AW347" s="170"/>
      <c r="AX347" s="170"/>
    </row>
    <row r="348" spans="1:50" ht="15" x14ac:dyDescent="0.25">
      <c r="A348" s="170"/>
      <c r="B348" s="719"/>
      <c r="C348" s="170"/>
      <c r="D348" s="170"/>
      <c r="E348" s="170"/>
      <c r="F348" s="170"/>
      <c r="G348" s="721"/>
      <c r="H348" s="170"/>
      <c r="I348" s="170"/>
      <c r="J348" s="170"/>
      <c r="K348" s="170"/>
      <c r="L348" s="170"/>
      <c r="M348" s="730"/>
      <c r="N348" s="730"/>
      <c r="O348" s="730"/>
      <c r="P348" s="731"/>
      <c r="Q348" s="731"/>
      <c r="R348" s="730"/>
      <c r="S348" s="730"/>
      <c r="T348" s="723"/>
      <c r="U348" s="724"/>
      <c r="V348" s="725"/>
      <c r="W348" s="725"/>
      <c r="X348" s="723"/>
      <c r="Y348" s="723"/>
      <c r="Z348" s="723"/>
      <c r="AA348" s="726"/>
      <c r="AB348" s="726"/>
      <c r="AC348" s="170"/>
      <c r="AD348" s="586"/>
      <c r="AE348" s="586"/>
      <c r="AF348" s="170"/>
      <c r="AG348" s="170"/>
      <c r="AH348" s="170"/>
      <c r="AI348" s="170"/>
      <c r="AJ348" s="170"/>
      <c r="AK348" s="170"/>
      <c r="AL348" s="170"/>
      <c r="AM348" s="170"/>
      <c r="AN348" s="170"/>
      <c r="AO348" s="170"/>
      <c r="AP348" s="170"/>
      <c r="AQ348" s="170"/>
      <c r="AR348" s="170"/>
      <c r="AS348" s="170"/>
      <c r="AT348" s="170"/>
      <c r="AU348" s="170"/>
      <c r="AV348" s="170"/>
      <c r="AW348" s="170"/>
      <c r="AX348" s="170"/>
    </row>
    <row r="349" spans="1:50" ht="15" x14ac:dyDescent="0.25">
      <c r="A349" s="170"/>
      <c r="B349" s="719"/>
      <c r="C349" s="170"/>
      <c r="D349" s="170"/>
      <c r="E349" s="170"/>
      <c r="F349" s="170"/>
      <c r="G349" s="721"/>
      <c r="H349" s="170"/>
      <c r="I349" s="170"/>
      <c r="J349" s="170"/>
      <c r="K349" s="170"/>
      <c r="L349" s="170"/>
      <c r="M349" s="730"/>
      <c r="N349" s="730"/>
      <c r="O349" s="730"/>
      <c r="P349" s="731"/>
      <c r="Q349" s="731"/>
      <c r="R349" s="730"/>
      <c r="S349" s="730"/>
      <c r="T349" s="723"/>
      <c r="U349" s="724"/>
      <c r="V349" s="725"/>
      <c r="W349" s="725"/>
      <c r="X349" s="723"/>
      <c r="Y349" s="723"/>
      <c r="Z349" s="723"/>
      <c r="AA349" s="726"/>
      <c r="AB349" s="726"/>
      <c r="AC349" s="170"/>
      <c r="AD349" s="586"/>
      <c r="AE349" s="586"/>
      <c r="AF349" s="170"/>
      <c r="AG349" s="170"/>
      <c r="AH349" s="170"/>
      <c r="AI349" s="170"/>
      <c r="AJ349" s="170"/>
      <c r="AK349" s="170"/>
      <c r="AL349" s="170"/>
      <c r="AM349" s="170"/>
      <c r="AN349" s="170"/>
      <c r="AO349" s="170"/>
      <c r="AP349" s="170"/>
      <c r="AQ349" s="170"/>
      <c r="AR349" s="170"/>
      <c r="AS349" s="170"/>
      <c r="AT349" s="170"/>
      <c r="AU349" s="170"/>
      <c r="AV349" s="170"/>
      <c r="AW349" s="170"/>
      <c r="AX349" s="170"/>
    </row>
    <row r="350" spans="1:50" ht="15" x14ac:dyDescent="0.25">
      <c r="A350" s="170"/>
      <c r="B350" s="719"/>
      <c r="C350" s="170"/>
      <c r="D350" s="170"/>
      <c r="E350" s="170"/>
      <c r="F350" s="170"/>
      <c r="G350" s="721"/>
      <c r="H350" s="170"/>
      <c r="I350" s="170"/>
      <c r="J350" s="170"/>
      <c r="K350" s="170"/>
      <c r="L350" s="170"/>
      <c r="M350" s="730"/>
      <c r="N350" s="730"/>
      <c r="O350" s="730"/>
      <c r="P350" s="731"/>
      <c r="Q350" s="731"/>
      <c r="R350" s="730"/>
      <c r="S350" s="730"/>
      <c r="T350" s="723"/>
      <c r="U350" s="724"/>
      <c r="V350" s="725"/>
      <c r="W350" s="725"/>
      <c r="X350" s="723"/>
      <c r="Y350" s="723"/>
      <c r="Z350" s="723"/>
      <c r="AA350" s="726"/>
      <c r="AB350" s="726"/>
      <c r="AC350" s="170"/>
      <c r="AD350" s="586"/>
      <c r="AE350" s="586"/>
      <c r="AF350" s="170"/>
      <c r="AG350" s="170"/>
      <c r="AH350" s="170"/>
      <c r="AI350" s="170"/>
      <c r="AJ350" s="170"/>
      <c r="AK350" s="170"/>
      <c r="AL350" s="170"/>
      <c r="AM350" s="170"/>
      <c r="AN350" s="170"/>
      <c r="AO350" s="170"/>
      <c r="AP350" s="170"/>
      <c r="AQ350" s="170"/>
      <c r="AR350" s="170"/>
      <c r="AS350" s="170"/>
      <c r="AT350" s="170"/>
      <c r="AU350" s="170"/>
      <c r="AV350" s="170"/>
      <c r="AW350" s="170"/>
      <c r="AX350" s="170"/>
    </row>
    <row r="351" spans="1:50" ht="15" x14ac:dyDescent="0.25">
      <c r="A351" s="170"/>
      <c r="B351" s="719"/>
      <c r="C351" s="170"/>
      <c r="D351" s="170"/>
      <c r="E351" s="170"/>
      <c r="F351" s="170"/>
      <c r="G351" s="721"/>
      <c r="H351" s="170"/>
      <c r="I351" s="170"/>
      <c r="J351" s="170"/>
      <c r="K351" s="170"/>
      <c r="L351" s="170"/>
      <c r="M351" s="730"/>
      <c r="N351" s="730"/>
      <c r="O351" s="730"/>
      <c r="P351" s="731"/>
      <c r="Q351" s="731"/>
      <c r="R351" s="730"/>
      <c r="S351" s="730"/>
      <c r="T351" s="723"/>
      <c r="U351" s="724"/>
      <c r="V351" s="725"/>
      <c r="W351" s="725"/>
      <c r="X351" s="723"/>
      <c r="Y351" s="723"/>
      <c r="Z351" s="723"/>
      <c r="AA351" s="726"/>
      <c r="AB351" s="726"/>
      <c r="AC351" s="170"/>
      <c r="AD351" s="586"/>
      <c r="AE351" s="586"/>
      <c r="AF351" s="170"/>
      <c r="AG351" s="170"/>
      <c r="AH351" s="170"/>
      <c r="AI351" s="170"/>
      <c r="AJ351" s="170"/>
      <c r="AK351" s="170"/>
      <c r="AL351" s="170"/>
      <c r="AM351" s="170"/>
      <c r="AN351" s="170"/>
      <c r="AO351" s="170"/>
      <c r="AP351" s="170"/>
      <c r="AQ351" s="170"/>
      <c r="AR351" s="170"/>
      <c r="AS351" s="170"/>
      <c r="AT351" s="170"/>
      <c r="AU351" s="170"/>
      <c r="AV351" s="170"/>
      <c r="AW351" s="170"/>
      <c r="AX351" s="170"/>
    </row>
    <row r="352" spans="1:50" ht="15" x14ac:dyDescent="0.25">
      <c r="A352" s="170"/>
      <c r="B352" s="719"/>
      <c r="C352" s="170"/>
      <c r="D352" s="170"/>
      <c r="E352" s="170"/>
      <c r="F352" s="170"/>
      <c r="G352" s="721"/>
      <c r="H352" s="170"/>
      <c r="I352" s="170"/>
      <c r="J352" s="170"/>
      <c r="K352" s="170"/>
      <c r="L352" s="170"/>
      <c r="M352" s="730"/>
      <c r="N352" s="730"/>
      <c r="O352" s="730"/>
      <c r="P352" s="731"/>
      <c r="Q352" s="731"/>
      <c r="R352" s="730"/>
      <c r="S352" s="730"/>
      <c r="T352" s="723"/>
      <c r="U352" s="724"/>
      <c r="V352" s="725"/>
      <c r="W352" s="725"/>
      <c r="X352" s="723"/>
      <c r="Y352" s="723"/>
      <c r="Z352" s="723"/>
      <c r="AA352" s="726"/>
      <c r="AB352" s="726"/>
      <c r="AC352" s="170"/>
      <c r="AD352" s="586"/>
      <c r="AE352" s="586"/>
      <c r="AF352" s="170"/>
      <c r="AG352" s="170"/>
      <c r="AH352" s="170"/>
      <c r="AI352" s="170"/>
      <c r="AJ352" s="170"/>
      <c r="AK352" s="170"/>
      <c r="AL352" s="170"/>
      <c r="AM352" s="170"/>
      <c r="AN352" s="170"/>
      <c r="AO352" s="170"/>
      <c r="AP352" s="170"/>
      <c r="AQ352" s="170"/>
      <c r="AR352" s="170"/>
      <c r="AS352" s="170"/>
      <c r="AT352" s="170"/>
      <c r="AU352" s="170"/>
      <c r="AV352" s="170"/>
      <c r="AW352" s="170"/>
      <c r="AX352" s="170"/>
    </row>
    <row r="353" spans="1:50" ht="15" x14ac:dyDescent="0.25">
      <c r="A353" s="170"/>
      <c r="B353" s="719"/>
      <c r="C353" s="170"/>
      <c r="D353" s="170"/>
      <c r="E353" s="170"/>
      <c r="F353" s="170"/>
      <c r="G353" s="721"/>
      <c r="H353" s="170"/>
      <c r="I353" s="170"/>
      <c r="J353" s="170"/>
      <c r="K353" s="170"/>
      <c r="L353" s="170"/>
      <c r="M353" s="730"/>
      <c r="N353" s="730"/>
      <c r="O353" s="730"/>
      <c r="P353" s="731"/>
      <c r="Q353" s="731"/>
      <c r="R353" s="730"/>
      <c r="S353" s="730"/>
      <c r="T353" s="723"/>
      <c r="U353" s="724"/>
      <c r="V353" s="725"/>
      <c r="W353" s="725"/>
      <c r="X353" s="723"/>
      <c r="Y353" s="723"/>
      <c r="Z353" s="723"/>
      <c r="AA353" s="726"/>
      <c r="AB353" s="726"/>
      <c r="AC353" s="170"/>
      <c r="AD353" s="586"/>
      <c r="AE353" s="586"/>
      <c r="AF353" s="170"/>
      <c r="AG353" s="170"/>
      <c r="AH353" s="170"/>
      <c r="AI353" s="170"/>
      <c r="AJ353" s="170"/>
      <c r="AK353" s="170"/>
      <c r="AL353" s="170"/>
      <c r="AM353" s="170"/>
      <c r="AN353" s="170"/>
      <c r="AO353" s="170"/>
      <c r="AP353" s="170"/>
      <c r="AQ353" s="170"/>
      <c r="AR353" s="170"/>
      <c r="AS353" s="170"/>
      <c r="AT353" s="170"/>
      <c r="AU353" s="170"/>
      <c r="AV353" s="170"/>
      <c r="AW353" s="170"/>
      <c r="AX353" s="170"/>
    </row>
    <row r="354" spans="1:50" ht="15" x14ac:dyDescent="0.25">
      <c r="A354" s="170"/>
      <c r="B354" s="719"/>
      <c r="C354" s="170"/>
      <c r="D354" s="170"/>
      <c r="E354" s="170"/>
      <c r="F354" s="170"/>
      <c r="G354" s="721"/>
      <c r="H354" s="170"/>
      <c r="I354" s="170"/>
      <c r="J354" s="170"/>
      <c r="K354" s="170"/>
      <c r="L354" s="170"/>
      <c r="M354" s="730"/>
      <c r="N354" s="730"/>
      <c r="O354" s="730"/>
      <c r="P354" s="731"/>
      <c r="Q354" s="731"/>
      <c r="R354" s="730"/>
      <c r="S354" s="730"/>
      <c r="T354" s="723"/>
      <c r="U354" s="724"/>
      <c r="V354" s="725"/>
      <c r="W354" s="725"/>
      <c r="X354" s="723"/>
      <c r="Y354" s="723"/>
      <c r="Z354" s="723"/>
      <c r="AA354" s="726"/>
      <c r="AB354" s="726"/>
      <c r="AC354" s="170"/>
      <c r="AD354" s="586"/>
      <c r="AE354" s="586"/>
      <c r="AF354" s="170"/>
      <c r="AG354" s="170"/>
      <c r="AH354" s="170"/>
      <c r="AI354" s="170"/>
      <c r="AJ354" s="170"/>
      <c r="AK354" s="170"/>
      <c r="AL354" s="170"/>
      <c r="AM354" s="170"/>
      <c r="AN354" s="170"/>
      <c r="AO354" s="170"/>
      <c r="AP354" s="170"/>
      <c r="AQ354" s="170"/>
      <c r="AR354" s="170"/>
      <c r="AS354" s="170"/>
      <c r="AT354" s="170"/>
      <c r="AU354" s="170"/>
      <c r="AV354" s="170"/>
      <c r="AW354" s="170"/>
      <c r="AX354" s="170"/>
    </row>
    <row r="355" spans="1:50" ht="15" x14ac:dyDescent="0.25">
      <c r="A355" s="170"/>
      <c r="B355" s="719"/>
      <c r="C355" s="170"/>
      <c r="D355" s="170"/>
      <c r="E355" s="170"/>
      <c r="F355" s="170"/>
      <c r="G355" s="721"/>
      <c r="H355" s="170"/>
      <c r="I355" s="170"/>
      <c r="J355" s="170"/>
      <c r="K355" s="170"/>
      <c r="L355" s="170"/>
      <c r="M355" s="730"/>
      <c r="N355" s="730"/>
      <c r="O355" s="730"/>
      <c r="P355" s="731"/>
      <c r="Q355" s="731"/>
      <c r="R355" s="730"/>
      <c r="S355" s="730"/>
      <c r="T355" s="723"/>
      <c r="U355" s="724"/>
      <c r="V355" s="725"/>
      <c r="W355" s="725"/>
      <c r="X355" s="723"/>
      <c r="Y355" s="723"/>
      <c r="Z355" s="723"/>
      <c r="AA355" s="726"/>
      <c r="AB355" s="726"/>
      <c r="AC355" s="170"/>
      <c r="AD355" s="586"/>
      <c r="AE355" s="586"/>
      <c r="AF355" s="170"/>
      <c r="AG355" s="170"/>
      <c r="AH355" s="170"/>
      <c r="AI355" s="170"/>
      <c r="AJ355" s="170"/>
      <c r="AK355" s="170"/>
      <c r="AL355" s="170"/>
      <c r="AM355" s="170"/>
      <c r="AN355" s="170"/>
      <c r="AO355" s="170"/>
      <c r="AP355" s="170"/>
      <c r="AQ355" s="170"/>
      <c r="AR355" s="170"/>
      <c r="AS355" s="170"/>
      <c r="AT355" s="170"/>
      <c r="AU355" s="170"/>
      <c r="AV355" s="170"/>
      <c r="AW355" s="170"/>
      <c r="AX355" s="170"/>
    </row>
    <row r="356" spans="1:50" ht="15" x14ac:dyDescent="0.25">
      <c r="A356" s="170"/>
      <c r="B356" s="719"/>
      <c r="C356" s="170"/>
      <c r="D356" s="170"/>
      <c r="E356" s="170"/>
      <c r="F356" s="170"/>
      <c r="G356" s="721"/>
      <c r="H356" s="170"/>
      <c r="I356" s="170"/>
      <c r="J356" s="170"/>
      <c r="K356" s="170"/>
      <c r="L356" s="170"/>
      <c r="M356" s="730"/>
      <c r="N356" s="730"/>
      <c r="O356" s="730"/>
      <c r="P356" s="731"/>
      <c r="Q356" s="731"/>
      <c r="R356" s="730"/>
      <c r="S356" s="730"/>
      <c r="T356" s="723"/>
      <c r="U356" s="724"/>
      <c r="V356" s="725"/>
      <c r="W356" s="725"/>
      <c r="X356" s="723"/>
      <c r="Y356" s="723"/>
      <c r="Z356" s="723"/>
      <c r="AA356" s="726"/>
      <c r="AB356" s="726"/>
      <c r="AC356" s="170"/>
      <c r="AD356" s="586"/>
      <c r="AE356" s="586"/>
      <c r="AF356" s="170"/>
      <c r="AG356" s="170"/>
      <c r="AH356" s="170"/>
      <c r="AI356" s="170"/>
      <c r="AJ356" s="170"/>
      <c r="AK356" s="170"/>
      <c r="AL356" s="170"/>
      <c r="AM356" s="170"/>
      <c r="AN356" s="170"/>
      <c r="AO356" s="170"/>
      <c r="AP356" s="170"/>
      <c r="AQ356" s="170"/>
      <c r="AR356" s="170"/>
      <c r="AS356" s="170"/>
      <c r="AT356" s="170"/>
      <c r="AU356" s="170"/>
      <c r="AV356" s="170"/>
      <c r="AW356" s="170"/>
      <c r="AX356" s="170"/>
    </row>
    <row r="357" spans="1:50" ht="15" x14ac:dyDescent="0.25">
      <c r="A357" s="170"/>
      <c r="B357" s="719"/>
      <c r="C357" s="170"/>
      <c r="D357" s="170"/>
      <c r="E357" s="170"/>
      <c r="F357" s="170"/>
      <c r="G357" s="721"/>
      <c r="H357" s="170"/>
      <c r="I357" s="170"/>
      <c r="J357" s="170"/>
      <c r="K357" s="170"/>
      <c r="L357" s="170"/>
      <c r="M357" s="730"/>
      <c r="N357" s="730"/>
      <c r="O357" s="730"/>
      <c r="P357" s="731"/>
      <c r="Q357" s="731"/>
      <c r="R357" s="730"/>
      <c r="S357" s="730"/>
      <c r="T357" s="723"/>
      <c r="U357" s="724"/>
      <c r="V357" s="725"/>
      <c r="W357" s="725"/>
      <c r="X357" s="723"/>
      <c r="Y357" s="723"/>
      <c r="Z357" s="723"/>
      <c r="AA357" s="726"/>
      <c r="AB357" s="726"/>
      <c r="AC357" s="170"/>
      <c r="AD357" s="586"/>
      <c r="AE357" s="586"/>
      <c r="AF357" s="170"/>
      <c r="AG357" s="170"/>
      <c r="AH357" s="170"/>
      <c r="AI357" s="170"/>
      <c r="AJ357" s="170"/>
      <c r="AK357" s="170"/>
      <c r="AL357" s="170"/>
      <c r="AM357" s="170"/>
      <c r="AN357" s="170"/>
      <c r="AO357" s="170"/>
      <c r="AP357" s="170"/>
      <c r="AQ357" s="170"/>
      <c r="AR357" s="170"/>
      <c r="AS357" s="170"/>
      <c r="AT357" s="170"/>
      <c r="AU357" s="170"/>
      <c r="AV357" s="170"/>
      <c r="AW357" s="170"/>
      <c r="AX357" s="170"/>
    </row>
    <row r="358" spans="1:50" ht="15" x14ac:dyDescent="0.25">
      <c r="A358" s="170"/>
      <c r="B358" s="719"/>
      <c r="C358" s="170"/>
      <c r="D358" s="170"/>
      <c r="E358" s="170"/>
      <c r="F358" s="170"/>
      <c r="G358" s="721"/>
      <c r="H358" s="170"/>
      <c r="I358" s="170"/>
      <c r="J358" s="170"/>
      <c r="K358" s="170"/>
      <c r="L358" s="170"/>
      <c r="M358" s="730"/>
      <c r="N358" s="730"/>
      <c r="O358" s="730"/>
      <c r="P358" s="731"/>
      <c r="Q358" s="731"/>
      <c r="R358" s="730"/>
      <c r="S358" s="730"/>
      <c r="T358" s="723"/>
      <c r="U358" s="724"/>
      <c r="V358" s="725"/>
      <c r="W358" s="725"/>
      <c r="X358" s="723"/>
      <c r="Y358" s="723"/>
      <c r="Z358" s="723"/>
      <c r="AA358" s="726"/>
      <c r="AB358" s="726"/>
      <c r="AC358" s="170"/>
      <c r="AD358" s="586"/>
      <c r="AE358" s="586"/>
      <c r="AF358" s="170"/>
      <c r="AG358" s="170"/>
      <c r="AH358" s="170"/>
      <c r="AI358" s="170"/>
      <c r="AJ358" s="170"/>
      <c r="AK358" s="170"/>
      <c r="AL358" s="170"/>
      <c r="AM358" s="170"/>
      <c r="AN358" s="170"/>
      <c r="AO358" s="170"/>
      <c r="AP358" s="170"/>
      <c r="AQ358" s="170"/>
      <c r="AR358" s="170"/>
      <c r="AS358" s="170"/>
      <c r="AT358" s="170"/>
      <c r="AU358" s="170"/>
      <c r="AV358" s="170"/>
      <c r="AW358" s="170"/>
      <c r="AX358" s="170"/>
    </row>
    <row r="359" spans="1:50" ht="15" x14ac:dyDescent="0.25">
      <c r="A359" s="170"/>
      <c r="B359" s="719"/>
      <c r="C359" s="170"/>
      <c r="D359" s="170"/>
      <c r="E359" s="170"/>
      <c r="F359" s="170"/>
      <c r="G359" s="721"/>
      <c r="H359" s="170"/>
      <c r="I359" s="170"/>
      <c r="J359" s="170"/>
      <c r="K359" s="170"/>
      <c r="L359" s="170"/>
      <c r="M359" s="730"/>
      <c r="N359" s="730"/>
      <c r="O359" s="730"/>
      <c r="P359" s="731"/>
      <c r="Q359" s="731"/>
      <c r="R359" s="730"/>
      <c r="S359" s="730"/>
      <c r="T359" s="723"/>
      <c r="U359" s="724"/>
      <c r="V359" s="725"/>
      <c r="W359" s="725"/>
      <c r="X359" s="723"/>
      <c r="Y359" s="723"/>
      <c r="Z359" s="723"/>
      <c r="AA359" s="726"/>
      <c r="AB359" s="726"/>
      <c r="AC359" s="170"/>
      <c r="AD359" s="586"/>
      <c r="AE359" s="586"/>
      <c r="AF359" s="170"/>
      <c r="AG359" s="170"/>
      <c r="AH359" s="170"/>
      <c r="AI359" s="170"/>
      <c r="AJ359" s="170"/>
      <c r="AK359" s="170"/>
      <c r="AL359" s="170"/>
      <c r="AM359" s="170"/>
      <c r="AN359" s="170"/>
      <c r="AO359" s="170"/>
      <c r="AP359" s="170"/>
      <c r="AQ359" s="170"/>
      <c r="AR359" s="170"/>
      <c r="AS359" s="170"/>
      <c r="AT359" s="170"/>
      <c r="AU359" s="170"/>
      <c r="AV359" s="170"/>
      <c r="AW359" s="170"/>
      <c r="AX359" s="170"/>
    </row>
    <row r="360" spans="1:50" ht="15" x14ac:dyDescent="0.25">
      <c r="A360" s="170"/>
      <c r="B360" s="719"/>
      <c r="C360" s="170"/>
      <c r="D360" s="170"/>
      <c r="E360" s="170"/>
      <c r="F360" s="170"/>
      <c r="G360" s="721"/>
      <c r="H360" s="170"/>
      <c r="I360" s="170"/>
      <c r="J360" s="170"/>
      <c r="K360" s="170"/>
      <c r="L360" s="170"/>
      <c r="M360" s="730"/>
      <c r="N360" s="730"/>
      <c r="O360" s="730"/>
      <c r="P360" s="731"/>
      <c r="Q360" s="731"/>
      <c r="R360" s="730"/>
      <c r="S360" s="730"/>
      <c r="T360" s="723"/>
      <c r="U360" s="724"/>
      <c r="V360" s="725"/>
      <c r="W360" s="725"/>
      <c r="X360" s="723"/>
      <c r="Y360" s="723"/>
      <c r="Z360" s="723"/>
      <c r="AA360" s="726"/>
      <c r="AB360" s="726"/>
      <c r="AC360" s="170"/>
      <c r="AD360" s="586"/>
      <c r="AE360" s="586"/>
      <c r="AF360" s="170"/>
      <c r="AG360" s="170"/>
      <c r="AH360" s="170"/>
      <c r="AI360" s="170"/>
      <c r="AJ360" s="170"/>
      <c r="AK360" s="170"/>
      <c r="AL360" s="170"/>
      <c r="AM360" s="170"/>
      <c r="AN360" s="170"/>
      <c r="AO360" s="170"/>
      <c r="AP360" s="170"/>
      <c r="AQ360" s="170"/>
      <c r="AR360" s="170"/>
      <c r="AS360" s="170"/>
      <c r="AT360" s="170"/>
      <c r="AU360" s="170"/>
      <c r="AV360" s="170"/>
      <c r="AW360" s="170"/>
      <c r="AX360" s="170"/>
    </row>
    <row r="361" spans="1:50" ht="15" x14ac:dyDescent="0.25">
      <c r="A361" s="170"/>
      <c r="B361" s="719"/>
      <c r="C361" s="170"/>
      <c r="D361" s="170"/>
      <c r="E361" s="170"/>
      <c r="F361" s="170"/>
      <c r="G361" s="721"/>
      <c r="H361" s="170"/>
      <c r="I361" s="170"/>
      <c r="J361" s="170"/>
      <c r="K361" s="170"/>
      <c r="L361" s="170"/>
      <c r="M361" s="730"/>
      <c r="N361" s="730"/>
      <c r="O361" s="730"/>
      <c r="P361" s="731"/>
      <c r="Q361" s="731"/>
      <c r="R361" s="730"/>
      <c r="S361" s="730"/>
      <c r="T361" s="723"/>
      <c r="U361" s="724"/>
      <c r="V361" s="725"/>
      <c r="W361" s="725"/>
      <c r="X361" s="723"/>
      <c r="Y361" s="723"/>
      <c r="Z361" s="723"/>
      <c r="AA361" s="726"/>
      <c r="AB361" s="726"/>
      <c r="AC361" s="170"/>
      <c r="AD361" s="586"/>
      <c r="AE361" s="586"/>
      <c r="AF361" s="170"/>
      <c r="AG361" s="170"/>
      <c r="AH361" s="170"/>
      <c r="AI361" s="170"/>
      <c r="AJ361" s="170"/>
      <c r="AK361" s="170"/>
      <c r="AL361" s="170"/>
      <c r="AM361" s="170"/>
      <c r="AN361" s="170"/>
      <c r="AO361" s="170"/>
      <c r="AP361" s="170"/>
      <c r="AQ361" s="170"/>
      <c r="AR361" s="170"/>
      <c r="AS361" s="170"/>
      <c r="AT361" s="170"/>
      <c r="AU361" s="170"/>
      <c r="AV361" s="170"/>
      <c r="AW361" s="170"/>
      <c r="AX361" s="170"/>
    </row>
    <row r="362" spans="1:50" ht="15" x14ac:dyDescent="0.25">
      <c r="A362" s="170"/>
      <c r="B362" s="719"/>
      <c r="C362" s="170"/>
      <c r="D362" s="170"/>
      <c r="E362" s="170"/>
      <c r="F362" s="170"/>
      <c r="G362" s="721"/>
      <c r="H362" s="170"/>
      <c r="I362" s="170"/>
      <c r="J362" s="170"/>
      <c r="K362" s="170"/>
      <c r="L362" s="170"/>
      <c r="M362" s="730"/>
      <c r="N362" s="730"/>
      <c r="O362" s="730"/>
      <c r="P362" s="731"/>
      <c r="Q362" s="731"/>
      <c r="R362" s="730"/>
      <c r="S362" s="730"/>
      <c r="T362" s="723"/>
      <c r="U362" s="724"/>
      <c r="V362" s="725"/>
      <c r="W362" s="725"/>
      <c r="X362" s="723"/>
      <c r="Y362" s="723"/>
      <c r="Z362" s="723"/>
      <c r="AA362" s="726"/>
      <c r="AB362" s="726"/>
      <c r="AC362" s="170"/>
      <c r="AD362" s="586"/>
      <c r="AE362" s="586"/>
      <c r="AF362" s="170"/>
      <c r="AG362" s="170"/>
      <c r="AH362" s="170"/>
      <c r="AI362" s="170"/>
      <c r="AJ362" s="170"/>
      <c r="AK362" s="170"/>
      <c r="AL362" s="170"/>
      <c r="AM362" s="170"/>
      <c r="AN362" s="170"/>
      <c r="AO362" s="170"/>
      <c r="AP362" s="170"/>
      <c r="AQ362" s="170"/>
      <c r="AR362" s="170"/>
      <c r="AS362" s="170"/>
      <c r="AT362" s="170"/>
      <c r="AU362" s="170"/>
      <c r="AV362" s="170"/>
      <c r="AW362" s="170"/>
      <c r="AX362" s="170"/>
    </row>
    <row r="363" spans="1:50" ht="15" x14ac:dyDescent="0.25">
      <c r="A363" s="170"/>
      <c r="B363" s="719"/>
      <c r="C363" s="170"/>
      <c r="D363" s="170"/>
      <c r="E363" s="170"/>
      <c r="F363" s="170"/>
      <c r="G363" s="721"/>
      <c r="H363" s="170"/>
      <c r="I363" s="170"/>
      <c r="J363" s="170"/>
      <c r="K363" s="170"/>
      <c r="L363" s="170"/>
      <c r="M363" s="730"/>
      <c r="N363" s="730"/>
      <c r="O363" s="730"/>
      <c r="P363" s="731"/>
      <c r="Q363" s="731"/>
      <c r="R363" s="730"/>
      <c r="S363" s="730"/>
      <c r="T363" s="723"/>
      <c r="U363" s="724"/>
      <c r="V363" s="725"/>
      <c r="W363" s="725"/>
      <c r="X363" s="723"/>
      <c r="Y363" s="723"/>
      <c r="Z363" s="723"/>
      <c r="AA363" s="726"/>
      <c r="AB363" s="726"/>
      <c r="AC363" s="170"/>
      <c r="AD363" s="586"/>
      <c r="AE363" s="586"/>
      <c r="AF363" s="170"/>
      <c r="AG363" s="170"/>
      <c r="AH363" s="170"/>
      <c r="AI363" s="170"/>
      <c r="AJ363" s="170"/>
      <c r="AK363" s="170"/>
      <c r="AL363" s="170"/>
      <c r="AM363" s="170"/>
      <c r="AN363" s="170"/>
      <c r="AO363" s="170"/>
      <c r="AP363" s="170"/>
      <c r="AQ363" s="170"/>
      <c r="AR363" s="170"/>
      <c r="AS363" s="170"/>
      <c r="AT363" s="170"/>
      <c r="AU363" s="170"/>
      <c r="AV363" s="170"/>
      <c r="AW363" s="170"/>
      <c r="AX363" s="170"/>
    </row>
    <row r="364" spans="1:50" ht="15" x14ac:dyDescent="0.25">
      <c r="A364" s="170"/>
      <c r="B364" s="719"/>
      <c r="C364" s="170"/>
      <c r="D364" s="170"/>
      <c r="E364" s="170"/>
      <c r="F364" s="170"/>
      <c r="G364" s="721"/>
      <c r="H364" s="170"/>
      <c r="I364" s="170"/>
      <c r="J364" s="170"/>
      <c r="K364" s="170"/>
      <c r="L364" s="170"/>
      <c r="M364" s="730"/>
      <c r="N364" s="730"/>
      <c r="O364" s="730"/>
      <c r="P364" s="731"/>
      <c r="Q364" s="731"/>
      <c r="R364" s="730"/>
      <c r="S364" s="730"/>
      <c r="T364" s="723"/>
      <c r="U364" s="724"/>
      <c r="V364" s="725"/>
      <c r="W364" s="725"/>
      <c r="X364" s="723"/>
      <c r="Y364" s="723"/>
      <c r="Z364" s="723"/>
      <c r="AA364" s="726"/>
      <c r="AB364" s="726"/>
      <c r="AC364" s="170"/>
      <c r="AD364" s="586"/>
      <c r="AE364" s="586"/>
      <c r="AF364" s="170"/>
      <c r="AG364" s="170"/>
      <c r="AH364" s="170"/>
      <c r="AI364" s="170"/>
      <c r="AJ364" s="170"/>
      <c r="AK364" s="170"/>
      <c r="AL364" s="170"/>
      <c r="AM364" s="170"/>
      <c r="AN364" s="170"/>
      <c r="AO364" s="170"/>
      <c r="AP364" s="170"/>
      <c r="AQ364" s="170"/>
      <c r="AR364" s="170"/>
      <c r="AS364" s="170"/>
      <c r="AT364" s="170"/>
      <c r="AU364" s="170"/>
      <c r="AV364" s="170"/>
      <c r="AW364" s="170"/>
      <c r="AX364" s="170"/>
    </row>
    <row r="365" spans="1:50" ht="15" x14ac:dyDescent="0.25">
      <c r="A365" s="170"/>
      <c r="B365" s="719"/>
      <c r="C365" s="170"/>
      <c r="D365" s="170"/>
      <c r="E365" s="170"/>
      <c r="F365" s="170"/>
      <c r="G365" s="721"/>
      <c r="H365" s="170"/>
      <c r="I365" s="170"/>
      <c r="J365" s="170"/>
      <c r="K365" s="170"/>
      <c r="L365" s="170"/>
      <c r="M365" s="730"/>
      <c r="N365" s="730"/>
      <c r="O365" s="730"/>
      <c r="P365" s="731"/>
      <c r="Q365" s="731"/>
      <c r="R365" s="730"/>
      <c r="S365" s="730"/>
      <c r="T365" s="723"/>
      <c r="U365" s="724"/>
      <c r="V365" s="725"/>
      <c r="W365" s="725"/>
      <c r="X365" s="723"/>
      <c r="Y365" s="723"/>
      <c r="Z365" s="723"/>
      <c r="AA365" s="726"/>
      <c r="AB365" s="726"/>
      <c r="AC365" s="170"/>
      <c r="AD365" s="586"/>
      <c r="AE365" s="586"/>
      <c r="AF365" s="170"/>
      <c r="AG365" s="170"/>
      <c r="AH365" s="170"/>
      <c r="AI365" s="170"/>
      <c r="AJ365" s="170"/>
      <c r="AK365" s="170"/>
      <c r="AL365" s="170"/>
      <c r="AM365" s="170"/>
      <c r="AN365" s="170"/>
      <c r="AO365" s="170"/>
      <c r="AP365" s="170"/>
      <c r="AQ365" s="170"/>
      <c r="AR365" s="170"/>
      <c r="AS365" s="170"/>
      <c r="AT365" s="170"/>
      <c r="AU365" s="170"/>
      <c r="AV365" s="170"/>
      <c r="AW365" s="170"/>
      <c r="AX365" s="170"/>
    </row>
    <row r="366" spans="1:50" ht="15" x14ac:dyDescent="0.25">
      <c r="A366" s="170"/>
      <c r="B366" s="719"/>
      <c r="C366" s="170"/>
      <c r="D366" s="170"/>
      <c r="E366" s="170"/>
      <c r="F366" s="170"/>
      <c r="G366" s="721"/>
      <c r="H366" s="170"/>
      <c r="I366" s="170"/>
      <c r="J366" s="170"/>
      <c r="K366" s="170"/>
      <c r="L366" s="170"/>
      <c r="M366" s="730"/>
      <c r="N366" s="730"/>
      <c r="O366" s="730"/>
      <c r="P366" s="731"/>
      <c r="Q366" s="731"/>
      <c r="R366" s="730"/>
      <c r="S366" s="730"/>
      <c r="T366" s="723"/>
      <c r="U366" s="724"/>
      <c r="V366" s="725"/>
      <c r="W366" s="725"/>
      <c r="X366" s="723"/>
      <c r="Y366" s="723"/>
      <c r="Z366" s="723"/>
      <c r="AA366" s="726"/>
      <c r="AB366" s="726"/>
      <c r="AC366" s="170"/>
      <c r="AD366" s="586"/>
      <c r="AE366" s="586"/>
      <c r="AF366" s="170"/>
      <c r="AG366" s="170"/>
      <c r="AH366" s="170"/>
      <c r="AI366" s="170"/>
      <c r="AJ366" s="170"/>
      <c r="AK366" s="170"/>
      <c r="AL366" s="170"/>
      <c r="AM366" s="170"/>
      <c r="AN366" s="170"/>
      <c r="AO366" s="170"/>
      <c r="AP366" s="170"/>
      <c r="AQ366" s="170"/>
      <c r="AR366" s="170"/>
      <c r="AS366" s="170"/>
      <c r="AT366" s="170"/>
      <c r="AU366" s="170"/>
      <c r="AV366" s="170"/>
      <c r="AW366" s="170"/>
      <c r="AX366" s="170"/>
    </row>
    <row r="367" spans="1:50" ht="15" x14ac:dyDescent="0.25">
      <c r="A367" s="170"/>
      <c r="B367" s="719"/>
      <c r="C367" s="170"/>
      <c r="D367" s="170"/>
      <c r="E367" s="170"/>
      <c r="F367" s="170"/>
      <c r="G367" s="721"/>
      <c r="H367" s="170"/>
      <c r="I367" s="170"/>
      <c r="J367" s="170"/>
      <c r="K367" s="170"/>
      <c r="L367" s="170"/>
      <c r="M367" s="730"/>
      <c r="N367" s="730"/>
      <c r="O367" s="730"/>
      <c r="P367" s="731"/>
      <c r="Q367" s="731"/>
      <c r="R367" s="730"/>
      <c r="S367" s="730"/>
      <c r="T367" s="723"/>
      <c r="U367" s="724"/>
      <c r="V367" s="725"/>
      <c r="W367" s="725"/>
      <c r="X367" s="723"/>
      <c r="Y367" s="723"/>
      <c r="Z367" s="723"/>
      <c r="AA367" s="726"/>
      <c r="AB367" s="726"/>
      <c r="AC367" s="170"/>
      <c r="AD367" s="586"/>
      <c r="AE367" s="586"/>
      <c r="AF367" s="170"/>
      <c r="AG367" s="170"/>
      <c r="AH367" s="170"/>
      <c r="AI367" s="170"/>
      <c r="AJ367" s="170"/>
      <c r="AK367" s="170"/>
      <c r="AL367" s="170"/>
      <c r="AM367" s="170"/>
      <c r="AN367" s="170"/>
      <c r="AO367" s="170"/>
      <c r="AP367" s="170"/>
      <c r="AQ367" s="170"/>
      <c r="AR367" s="170"/>
      <c r="AS367" s="170"/>
      <c r="AT367" s="170"/>
      <c r="AU367" s="170"/>
      <c r="AV367" s="170"/>
      <c r="AW367" s="170"/>
      <c r="AX367" s="170"/>
    </row>
    <row r="368" spans="1:50" ht="15" x14ac:dyDescent="0.25">
      <c r="A368" s="170"/>
      <c r="B368" s="719"/>
      <c r="C368" s="170"/>
      <c r="D368" s="170"/>
      <c r="E368" s="170"/>
      <c r="F368" s="170"/>
      <c r="G368" s="721"/>
      <c r="H368" s="170"/>
      <c r="I368" s="170"/>
      <c r="J368" s="170"/>
      <c r="K368" s="170"/>
      <c r="L368" s="170"/>
      <c r="M368" s="730"/>
      <c r="N368" s="730"/>
      <c r="O368" s="730"/>
      <c r="P368" s="731"/>
      <c r="Q368" s="731"/>
      <c r="R368" s="730"/>
      <c r="S368" s="730"/>
      <c r="T368" s="723"/>
      <c r="U368" s="724"/>
      <c r="V368" s="725"/>
      <c r="W368" s="725"/>
      <c r="X368" s="723"/>
      <c r="Y368" s="723"/>
      <c r="Z368" s="723"/>
      <c r="AA368" s="726"/>
      <c r="AB368" s="726"/>
      <c r="AC368" s="170"/>
      <c r="AD368" s="586"/>
      <c r="AE368" s="586"/>
      <c r="AF368" s="170"/>
      <c r="AG368" s="170"/>
      <c r="AH368" s="170"/>
      <c r="AI368" s="170"/>
      <c r="AJ368" s="170"/>
      <c r="AK368" s="170"/>
      <c r="AL368" s="170"/>
      <c r="AM368" s="170"/>
      <c r="AN368" s="170"/>
      <c r="AO368" s="170"/>
      <c r="AP368" s="170"/>
      <c r="AQ368" s="170"/>
      <c r="AR368" s="170"/>
      <c r="AS368" s="170"/>
      <c r="AT368" s="170"/>
      <c r="AU368" s="170"/>
      <c r="AV368" s="170"/>
      <c r="AW368" s="170"/>
      <c r="AX368" s="170"/>
    </row>
    <row r="369" spans="1:50" ht="15" x14ac:dyDescent="0.25">
      <c r="A369" s="170"/>
      <c r="B369" s="719"/>
      <c r="C369" s="170"/>
      <c r="D369" s="170"/>
      <c r="E369" s="170"/>
      <c r="F369" s="170"/>
      <c r="G369" s="721"/>
      <c r="H369" s="170"/>
      <c r="I369" s="170"/>
      <c r="J369" s="170"/>
      <c r="K369" s="170"/>
      <c r="L369" s="170"/>
      <c r="M369" s="730"/>
      <c r="N369" s="730"/>
      <c r="O369" s="730"/>
      <c r="P369" s="731"/>
      <c r="Q369" s="731"/>
      <c r="R369" s="730"/>
      <c r="S369" s="730"/>
      <c r="T369" s="723"/>
      <c r="U369" s="724"/>
      <c r="V369" s="725"/>
      <c r="W369" s="725"/>
      <c r="X369" s="723"/>
      <c r="Y369" s="723"/>
      <c r="Z369" s="723"/>
      <c r="AA369" s="726"/>
      <c r="AB369" s="726"/>
      <c r="AC369" s="170"/>
      <c r="AD369" s="586"/>
      <c r="AE369" s="586"/>
      <c r="AF369" s="170"/>
      <c r="AG369" s="170"/>
      <c r="AH369" s="170"/>
      <c r="AI369" s="170"/>
      <c r="AJ369" s="170"/>
      <c r="AK369" s="170"/>
      <c r="AL369" s="170"/>
      <c r="AM369" s="170"/>
      <c r="AN369" s="170"/>
      <c r="AO369" s="170"/>
      <c r="AP369" s="170"/>
      <c r="AQ369" s="170"/>
      <c r="AR369" s="170"/>
      <c r="AS369" s="170"/>
      <c r="AT369" s="170"/>
      <c r="AU369" s="170"/>
      <c r="AV369" s="170"/>
      <c r="AW369" s="170"/>
      <c r="AX369" s="170"/>
    </row>
    <row r="370" spans="1:50" ht="15" x14ac:dyDescent="0.25">
      <c r="A370" s="170"/>
      <c r="B370" s="719"/>
      <c r="C370" s="170"/>
      <c r="D370" s="170"/>
      <c r="E370" s="170"/>
      <c r="F370" s="170"/>
      <c r="G370" s="721"/>
      <c r="H370" s="170"/>
      <c r="I370" s="170"/>
      <c r="J370" s="170"/>
      <c r="K370" s="170"/>
      <c r="L370" s="170"/>
      <c r="M370" s="730"/>
      <c r="N370" s="730"/>
      <c r="O370" s="730"/>
      <c r="P370" s="731"/>
      <c r="Q370" s="731"/>
      <c r="R370" s="730"/>
      <c r="S370" s="730"/>
      <c r="T370" s="723"/>
      <c r="U370" s="724"/>
      <c r="V370" s="725"/>
      <c r="W370" s="725"/>
      <c r="X370" s="723"/>
      <c r="Y370" s="723"/>
      <c r="Z370" s="723"/>
      <c r="AA370" s="726"/>
      <c r="AB370" s="726"/>
      <c r="AC370" s="170"/>
      <c r="AD370" s="586"/>
      <c r="AE370" s="586"/>
      <c r="AF370" s="170"/>
      <c r="AG370" s="170"/>
      <c r="AH370" s="170"/>
      <c r="AI370" s="170"/>
      <c r="AJ370" s="170"/>
      <c r="AK370" s="170"/>
      <c r="AL370" s="170"/>
      <c r="AM370" s="170"/>
      <c r="AN370" s="170"/>
      <c r="AO370" s="170"/>
      <c r="AP370" s="170"/>
      <c r="AQ370" s="170"/>
      <c r="AR370" s="170"/>
      <c r="AS370" s="170"/>
      <c r="AT370" s="170"/>
      <c r="AU370" s="170"/>
      <c r="AV370" s="170"/>
      <c r="AW370" s="170"/>
      <c r="AX370" s="170"/>
    </row>
    <row r="371" spans="1:50" ht="15" x14ac:dyDescent="0.25">
      <c r="A371" s="170"/>
      <c r="B371" s="719"/>
      <c r="C371" s="170"/>
      <c r="D371" s="170"/>
      <c r="E371" s="170"/>
      <c r="F371" s="170"/>
      <c r="G371" s="721"/>
      <c r="H371" s="170"/>
      <c r="I371" s="170"/>
      <c r="J371" s="170"/>
      <c r="K371" s="170"/>
      <c r="L371" s="170"/>
      <c r="M371" s="730"/>
      <c r="N371" s="730"/>
      <c r="O371" s="730"/>
      <c r="P371" s="731"/>
      <c r="Q371" s="731"/>
      <c r="R371" s="730"/>
      <c r="S371" s="730"/>
      <c r="T371" s="723"/>
      <c r="U371" s="724"/>
      <c r="V371" s="725"/>
      <c r="W371" s="725"/>
      <c r="X371" s="723"/>
      <c r="Y371" s="723"/>
      <c r="Z371" s="723"/>
      <c r="AA371" s="726"/>
      <c r="AB371" s="726"/>
      <c r="AC371" s="170"/>
      <c r="AD371" s="586"/>
      <c r="AE371" s="586"/>
      <c r="AF371" s="170"/>
      <c r="AG371" s="170"/>
      <c r="AH371" s="170"/>
      <c r="AI371" s="170"/>
      <c r="AJ371" s="170"/>
      <c r="AK371" s="170"/>
      <c r="AL371" s="170"/>
      <c r="AM371" s="170"/>
      <c r="AN371" s="170"/>
      <c r="AO371" s="170"/>
      <c r="AP371" s="170"/>
      <c r="AQ371" s="170"/>
      <c r="AR371" s="170"/>
      <c r="AS371" s="170"/>
      <c r="AT371" s="170"/>
      <c r="AU371" s="170"/>
      <c r="AV371" s="170"/>
      <c r="AW371" s="170"/>
      <c r="AX371" s="170"/>
    </row>
    <row r="372" spans="1:50" ht="15" x14ac:dyDescent="0.25">
      <c r="A372" s="170"/>
      <c r="B372" s="719"/>
      <c r="C372" s="170"/>
      <c r="D372" s="170"/>
      <c r="E372" s="170"/>
      <c r="F372" s="170"/>
      <c r="G372" s="721"/>
      <c r="H372" s="170"/>
      <c r="I372" s="170"/>
      <c r="J372" s="170"/>
      <c r="K372" s="170"/>
      <c r="L372" s="170"/>
      <c r="M372" s="730"/>
      <c r="N372" s="730"/>
      <c r="O372" s="730"/>
      <c r="P372" s="731"/>
      <c r="Q372" s="731"/>
      <c r="R372" s="730"/>
      <c r="S372" s="730"/>
      <c r="T372" s="723"/>
      <c r="U372" s="724"/>
      <c r="V372" s="725"/>
      <c r="W372" s="725"/>
      <c r="X372" s="723"/>
      <c r="Y372" s="723"/>
      <c r="Z372" s="723"/>
      <c r="AA372" s="726"/>
      <c r="AB372" s="726"/>
      <c r="AC372" s="170"/>
      <c r="AD372" s="586"/>
      <c r="AE372" s="586"/>
      <c r="AF372" s="170"/>
      <c r="AG372" s="170"/>
      <c r="AH372" s="170"/>
      <c r="AI372" s="170"/>
      <c r="AJ372" s="170"/>
      <c r="AK372" s="170"/>
      <c r="AL372" s="170"/>
      <c r="AM372" s="170"/>
      <c r="AN372" s="170"/>
      <c r="AO372" s="170"/>
      <c r="AP372" s="170"/>
      <c r="AQ372" s="170"/>
      <c r="AR372" s="170"/>
      <c r="AS372" s="170"/>
      <c r="AT372" s="170"/>
      <c r="AU372" s="170"/>
      <c r="AV372" s="170"/>
      <c r="AW372" s="170"/>
      <c r="AX372" s="170"/>
    </row>
    <row r="373" spans="1:50" ht="15" x14ac:dyDescent="0.25">
      <c r="A373" s="170"/>
      <c r="B373" s="719"/>
      <c r="C373" s="170"/>
      <c r="D373" s="170"/>
      <c r="E373" s="170"/>
      <c r="F373" s="170"/>
      <c r="G373" s="721"/>
      <c r="H373" s="170"/>
      <c r="I373" s="170"/>
      <c r="J373" s="170"/>
      <c r="K373" s="170"/>
      <c r="L373" s="170"/>
      <c r="M373" s="730"/>
      <c r="N373" s="730"/>
      <c r="O373" s="730"/>
      <c r="P373" s="731"/>
      <c r="Q373" s="731"/>
      <c r="R373" s="730"/>
      <c r="S373" s="730"/>
      <c r="T373" s="723"/>
      <c r="U373" s="724"/>
      <c r="V373" s="725"/>
      <c r="W373" s="725"/>
      <c r="X373" s="723"/>
      <c r="Y373" s="723"/>
      <c r="Z373" s="723"/>
      <c r="AA373" s="726"/>
      <c r="AB373" s="726"/>
      <c r="AC373" s="170"/>
      <c r="AD373" s="586"/>
      <c r="AE373" s="586"/>
      <c r="AF373" s="170"/>
      <c r="AG373" s="170"/>
      <c r="AH373" s="170"/>
      <c r="AI373" s="170"/>
      <c r="AJ373" s="170"/>
      <c r="AK373" s="170"/>
      <c r="AL373" s="170"/>
      <c r="AM373" s="170"/>
      <c r="AN373" s="170"/>
      <c r="AO373" s="170"/>
      <c r="AP373" s="170"/>
      <c r="AQ373" s="170"/>
      <c r="AR373" s="170"/>
      <c r="AS373" s="170"/>
      <c r="AT373" s="170"/>
      <c r="AU373" s="170"/>
      <c r="AV373" s="170"/>
      <c r="AW373" s="170"/>
      <c r="AX373" s="170"/>
    </row>
    <row r="374" spans="1:50" ht="15" x14ac:dyDescent="0.25">
      <c r="A374" s="170"/>
      <c r="B374" s="719"/>
      <c r="C374" s="170"/>
      <c r="D374" s="170"/>
      <c r="E374" s="170"/>
      <c r="F374" s="170"/>
      <c r="G374" s="721"/>
      <c r="H374" s="170"/>
      <c r="I374" s="170"/>
      <c r="J374" s="170"/>
      <c r="K374" s="170"/>
      <c r="L374" s="170"/>
      <c r="M374" s="730"/>
      <c r="N374" s="730"/>
      <c r="O374" s="730"/>
      <c r="P374" s="731"/>
      <c r="Q374" s="731"/>
      <c r="R374" s="730"/>
      <c r="S374" s="730"/>
      <c r="T374" s="723"/>
      <c r="U374" s="724"/>
      <c r="V374" s="725"/>
      <c r="W374" s="725"/>
      <c r="X374" s="723"/>
      <c r="Y374" s="723"/>
      <c r="Z374" s="723"/>
      <c r="AA374" s="726"/>
      <c r="AB374" s="726"/>
      <c r="AC374" s="170"/>
      <c r="AD374" s="586"/>
      <c r="AE374" s="586"/>
      <c r="AF374" s="170"/>
      <c r="AG374" s="170"/>
      <c r="AH374" s="170"/>
      <c r="AI374" s="170"/>
      <c r="AJ374" s="170"/>
      <c r="AK374" s="170"/>
      <c r="AL374" s="170"/>
      <c r="AM374" s="170"/>
      <c r="AN374" s="170"/>
      <c r="AO374" s="170"/>
      <c r="AP374" s="170"/>
      <c r="AQ374" s="170"/>
      <c r="AR374" s="170"/>
      <c r="AS374" s="170"/>
      <c r="AT374" s="170"/>
      <c r="AU374" s="170"/>
      <c r="AV374" s="170"/>
      <c r="AW374" s="170"/>
      <c r="AX374" s="170"/>
    </row>
    <row r="375" spans="1:50" ht="15" x14ac:dyDescent="0.25">
      <c r="A375" s="170"/>
      <c r="B375" s="719"/>
      <c r="C375" s="170"/>
      <c r="D375" s="170"/>
      <c r="E375" s="170"/>
      <c r="F375" s="170"/>
      <c r="G375" s="721"/>
      <c r="H375" s="170"/>
      <c r="I375" s="170"/>
      <c r="J375" s="170"/>
      <c r="K375" s="170"/>
      <c r="L375" s="170"/>
      <c r="M375" s="730"/>
      <c r="N375" s="730"/>
      <c r="O375" s="730"/>
      <c r="P375" s="731"/>
      <c r="Q375" s="731"/>
      <c r="R375" s="730"/>
      <c r="S375" s="730"/>
      <c r="T375" s="723"/>
      <c r="U375" s="724"/>
      <c r="V375" s="725"/>
      <c r="W375" s="725"/>
      <c r="X375" s="723"/>
      <c r="Y375" s="723"/>
      <c r="Z375" s="723"/>
      <c r="AA375" s="726"/>
      <c r="AB375" s="726"/>
      <c r="AC375" s="170"/>
      <c r="AD375" s="586"/>
      <c r="AE375" s="586"/>
      <c r="AF375" s="170"/>
      <c r="AG375" s="170"/>
      <c r="AH375" s="170"/>
      <c r="AI375" s="170"/>
      <c r="AJ375" s="170"/>
      <c r="AK375" s="170"/>
      <c r="AL375" s="170"/>
      <c r="AM375" s="170"/>
      <c r="AN375" s="170"/>
      <c r="AO375" s="170"/>
      <c r="AP375" s="170"/>
      <c r="AQ375" s="170"/>
      <c r="AR375" s="170"/>
      <c r="AS375" s="170"/>
      <c r="AT375" s="170"/>
      <c r="AU375" s="170"/>
      <c r="AV375" s="170"/>
      <c r="AW375" s="170"/>
      <c r="AX375" s="170"/>
    </row>
    <row r="376" spans="1:50" ht="15" x14ac:dyDescent="0.25">
      <c r="A376" s="170"/>
      <c r="B376" s="719"/>
      <c r="C376" s="170"/>
      <c r="D376" s="170"/>
      <c r="E376" s="170"/>
      <c r="F376" s="170"/>
      <c r="G376" s="721"/>
      <c r="H376" s="170"/>
      <c r="I376" s="170"/>
      <c r="J376" s="170"/>
      <c r="K376" s="170"/>
      <c r="L376" s="170"/>
      <c r="M376" s="730"/>
      <c r="N376" s="730"/>
      <c r="O376" s="730"/>
      <c r="P376" s="731"/>
      <c r="Q376" s="731"/>
      <c r="R376" s="730"/>
      <c r="S376" s="730"/>
      <c r="T376" s="723"/>
      <c r="U376" s="724"/>
      <c r="V376" s="725"/>
      <c r="W376" s="725"/>
      <c r="X376" s="723"/>
      <c r="Y376" s="723"/>
      <c r="Z376" s="723"/>
      <c r="AA376" s="726"/>
      <c r="AB376" s="726"/>
      <c r="AC376" s="170"/>
      <c r="AD376" s="586"/>
      <c r="AE376" s="586"/>
      <c r="AF376" s="170"/>
      <c r="AG376" s="170"/>
      <c r="AH376" s="170"/>
      <c r="AI376" s="170"/>
      <c r="AJ376" s="170"/>
      <c r="AK376" s="170"/>
      <c r="AL376" s="170"/>
      <c r="AM376" s="170"/>
      <c r="AN376" s="170"/>
      <c r="AO376" s="170"/>
      <c r="AP376" s="170"/>
      <c r="AQ376" s="170"/>
      <c r="AR376" s="170"/>
      <c r="AS376" s="170"/>
      <c r="AT376" s="170"/>
      <c r="AU376" s="170"/>
      <c r="AV376" s="170"/>
      <c r="AW376" s="170"/>
      <c r="AX376" s="170"/>
    </row>
    <row r="377" spans="1:50" ht="15" x14ac:dyDescent="0.25">
      <c r="A377" s="170"/>
      <c r="B377" s="719"/>
      <c r="C377" s="170"/>
      <c r="D377" s="170"/>
      <c r="E377" s="170"/>
      <c r="F377" s="170"/>
      <c r="G377" s="721"/>
      <c r="H377" s="170"/>
      <c r="I377" s="170"/>
      <c r="J377" s="170"/>
      <c r="K377" s="170"/>
      <c r="L377" s="170"/>
      <c r="M377" s="730"/>
      <c r="N377" s="730"/>
      <c r="O377" s="730"/>
      <c r="P377" s="731"/>
      <c r="Q377" s="731"/>
      <c r="R377" s="730"/>
      <c r="S377" s="730"/>
      <c r="T377" s="723"/>
      <c r="U377" s="724"/>
      <c r="V377" s="725"/>
      <c r="W377" s="725"/>
      <c r="X377" s="723"/>
      <c r="Y377" s="723"/>
      <c r="Z377" s="723"/>
      <c r="AA377" s="726"/>
      <c r="AB377" s="726"/>
      <c r="AC377" s="170"/>
      <c r="AD377" s="586"/>
      <c r="AE377" s="586"/>
      <c r="AF377" s="170"/>
      <c r="AG377" s="170"/>
      <c r="AH377" s="170"/>
      <c r="AI377" s="170"/>
      <c r="AJ377" s="170"/>
      <c r="AK377" s="170"/>
      <c r="AL377" s="170"/>
      <c r="AM377" s="170"/>
      <c r="AN377" s="170"/>
      <c r="AO377" s="170"/>
      <c r="AP377" s="170"/>
      <c r="AQ377" s="170"/>
      <c r="AR377" s="170"/>
      <c r="AS377" s="170"/>
      <c r="AT377" s="170"/>
      <c r="AU377" s="170"/>
      <c r="AV377" s="170"/>
      <c r="AW377" s="170"/>
      <c r="AX377" s="170"/>
    </row>
    <row r="378" spans="1:50" ht="15" x14ac:dyDescent="0.25">
      <c r="A378" s="170"/>
      <c r="B378" s="719"/>
      <c r="C378" s="170"/>
      <c r="D378" s="170"/>
      <c r="E378" s="170"/>
      <c r="F378" s="170"/>
      <c r="G378" s="721"/>
      <c r="H378" s="170"/>
      <c r="I378" s="170"/>
      <c r="J378" s="170"/>
      <c r="K378" s="170"/>
      <c r="L378" s="170"/>
      <c r="M378" s="730"/>
      <c r="N378" s="730"/>
      <c r="O378" s="730"/>
      <c r="P378" s="731"/>
      <c r="Q378" s="731"/>
      <c r="R378" s="730"/>
      <c r="S378" s="730"/>
      <c r="T378" s="723"/>
      <c r="U378" s="724"/>
      <c r="V378" s="725"/>
      <c r="W378" s="725"/>
      <c r="X378" s="723"/>
      <c r="Y378" s="723"/>
      <c r="Z378" s="723"/>
      <c r="AA378" s="726"/>
      <c r="AB378" s="726"/>
      <c r="AC378" s="170"/>
      <c r="AD378" s="586"/>
      <c r="AE378" s="586"/>
      <c r="AF378" s="170"/>
      <c r="AG378" s="170"/>
      <c r="AH378" s="170"/>
      <c r="AI378" s="170"/>
      <c r="AJ378" s="170"/>
      <c r="AK378" s="170"/>
      <c r="AL378" s="170"/>
      <c r="AM378" s="170"/>
      <c r="AN378" s="170"/>
      <c r="AO378" s="170"/>
      <c r="AP378" s="170"/>
      <c r="AQ378" s="170"/>
      <c r="AR378" s="170"/>
      <c r="AS378" s="170"/>
      <c r="AT378" s="170"/>
      <c r="AU378" s="170"/>
      <c r="AV378" s="170"/>
      <c r="AW378" s="170"/>
      <c r="AX378" s="170"/>
    </row>
    <row r="379" spans="1:50" ht="15" x14ac:dyDescent="0.25">
      <c r="A379" s="170"/>
      <c r="B379" s="719"/>
      <c r="C379" s="170"/>
      <c r="D379" s="170"/>
      <c r="E379" s="170"/>
      <c r="F379" s="170"/>
      <c r="G379" s="721"/>
      <c r="H379" s="170"/>
      <c r="I379" s="170"/>
      <c r="J379" s="170"/>
      <c r="K379" s="170"/>
      <c r="L379" s="170"/>
      <c r="M379" s="730"/>
      <c r="N379" s="730"/>
      <c r="O379" s="730"/>
      <c r="P379" s="731"/>
      <c r="Q379" s="731"/>
      <c r="R379" s="730"/>
      <c r="S379" s="730"/>
      <c r="T379" s="723"/>
      <c r="U379" s="724"/>
      <c r="V379" s="725"/>
      <c r="W379" s="725"/>
      <c r="X379" s="723"/>
      <c r="Y379" s="723"/>
      <c r="Z379" s="723"/>
      <c r="AA379" s="726"/>
      <c r="AB379" s="726"/>
      <c r="AC379" s="170"/>
      <c r="AD379" s="586"/>
      <c r="AE379" s="586"/>
      <c r="AF379" s="170"/>
      <c r="AG379" s="170"/>
      <c r="AH379" s="170"/>
      <c r="AI379" s="170"/>
      <c r="AJ379" s="170"/>
      <c r="AK379" s="170"/>
      <c r="AL379" s="170"/>
      <c r="AM379" s="170"/>
      <c r="AN379" s="170"/>
      <c r="AO379" s="170"/>
      <c r="AP379" s="170"/>
      <c r="AQ379" s="170"/>
      <c r="AR379" s="170"/>
      <c r="AS379" s="170"/>
      <c r="AT379" s="170"/>
      <c r="AU379" s="170"/>
      <c r="AV379" s="170"/>
      <c r="AW379" s="170"/>
      <c r="AX379" s="170"/>
    </row>
    <row r="380" spans="1:50" ht="15" x14ac:dyDescent="0.25">
      <c r="A380" s="170"/>
      <c r="B380" s="719"/>
      <c r="C380" s="170"/>
      <c r="D380" s="170"/>
      <c r="E380" s="170"/>
      <c r="F380" s="170"/>
      <c r="G380" s="721"/>
      <c r="H380" s="170"/>
      <c r="I380" s="170"/>
      <c r="J380" s="170"/>
      <c r="K380" s="170"/>
      <c r="L380" s="170"/>
      <c r="M380" s="730"/>
      <c r="N380" s="730"/>
      <c r="O380" s="730"/>
      <c r="P380" s="731"/>
      <c r="Q380" s="731"/>
      <c r="R380" s="730"/>
      <c r="S380" s="730"/>
      <c r="T380" s="723"/>
      <c r="U380" s="724"/>
      <c r="V380" s="725"/>
      <c r="W380" s="725"/>
      <c r="X380" s="723"/>
      <c r="Y380" s="723"/>
      <c r="Z380" s="723"/>
      <c r="AA380" s="726"/>
      <c r="AB380" s="726"/>
      <c r="AC380" s="170"/>
      <c r="AD380" s="586"/>
      <c r="AE380" s="586"/>
      <c r="AF380" s="170"/>
      <c r="AG380" s="170"/>
      <c r="AH380" s="170"/>
      <c r="AI380" s="170"/>
      <c r="AJ380" s="170"/>
      <c r="AK380" s="170"/>
      <c r="AL380" s="170"/>
      <c r="AM380" s="170"/>
      <c r="AN380" s="170"/>
      <c r="AO380" s="170"/>
      <c r="AP380" s="170"/>
      <c r="AQ380" s="170"/>
      <c r="AR380" s="170"/>
      <c r="AS380" s="170"/>
      <c r="AT380" s="170"/>
      <c r="AU380" s="170"/>
      <c r="AV380" s="170"/>
      <c r="AW380" s="170"/>
      <c r="AX380" s="170"/>
    </row>
    <row r="381" spans="1:50" ht="15" x14ac:dyDescent="0.25">
      <c r="A381" s="170"/>
      <c r="B381" s="719"/>
      <c r="C381" s="170"/>
      <c r="D381" s="170"/>
      <c r="E381" s="170"/>
      <c r="F381" s="170"/>
      <c r="G381" s="721"/>
      <c r="H381" s="170"/>
      <c r="I381" s="170"/>
      <c r="J381" s="170"/>
      <c r="K381" s="170"/>
      <c r="L381" s="170"/>
      <c r="M381" s="730"/>
      <c r="N381" s="730"/>
      <c r="O381" s="730"/>
      <c r="P381" s="731"/>
      <c r="Q381" s="731"/>
      <c r="R381" s="730"/>
      <c r="S381" s="730"/>
      <c r="T381" s="723"/>
      <c r="U381" s="724"/>
      <c r="V381" s="725"/>
      <c r="W381" s="725"/>
      <c r="X381" s="723"/>
      <c r="Y381" s="723"/>
      <c r="Z381" s="723"/>
      <c r="AA381" s="726"/>
      <c r="AB381" s="726"/>
      <c r="AC381" s="170"/>
      <c r="AD381" s="586"/>
      <c r="AE381" s="586"/>
      <c r="AF381" s="170"/>
      <c r="AG381" s="170"/>
      <c r="AH381" s="170"/>
      <c r="AI381" s="170"/>
      <c r="AJ381" s="170"/>
      <c r="AK381" s="170"/>
      <c r="AL381" s="170"/>
      <c r="AM381" s="170"/>
      <c r="AN381" s="170"/>
      <c r="AO381" s="170"/>
      <c r="AP381" s="170"/>
      <c r="AQ381" s="170"/>
      <c r="AR381" s="170"/>
      <c r="AS381" s="170"/>
      <c r="AT381" s="170"/>
      <c r="AU381" s="170"/>
      <c r="AV381" s="170"/>
      <c r="AW381" s="170"/>
      <c r="AX381" s="170"/>
    </row>
    <row r="382" spans="1:50" ht="15" x14ac:dyDescent="0.25">
      <c r="A382" s="170"/>
      <c r="B382" s="719"/>
      <c r="C382" s="170"/>
      <c r="D382" s="170"/>
      <c r="E382" s="170"/>
      <c r="F382" s="170"/>
      <c r="G382" s="721"/>
      <c r="H382" s="170"/>
      <c r="I382" s="170"/>
      <c r="J382" s="170"/>
      <c r="K382" s="170"/>
      <c r="L382" s="170"/>
      <c r="M382" s="730"/>
      <c r="N382" s="730"/>
      <c r="O382" s="730"/>
      <c r="P382" s="731"/>
      <c r="Q382" s="731"/>
      <c r="R382" s="730"/>
      <c r="S382" s="730"/>
      <c r="T382" s="723"/>
      <c r="U382" s="724"/>
      <c r="V382" s="725"/>
      <c r="W382" s="725"/>
      <c r="X382" s="723"/>
      <c r="Y382" s="723"/>
      <c r="Z382" s="723"/>
      <c r="AA382" s="726"/>
      <c r="AB382" s="726"/>
      <c r="AC382" s="170"/>
      <c r="AD382" s="586"/>
      <c r="AE382" s="586"/>
      <c r="AF382" s="170"/>
      <c r="AG382" s="170"/>
      <c r="AH382" s="170"/>
      <c r="AI382" s="170"/>
      <c r="AJ382" s="170"/>
      <c r="AK382" s="170"/>
      <c r="AL382" s="170"/>
      <c r="AM382" s="170"/>
      <c r="AN382" s="170"/>
      <c r="AO382" s="170"/>
      <c r="AP382" s="170"/>
      <c r="AQ382" s="170"/>
      <c r="AR382" s="170"/>
      <c r="AS382" s="170"/>
      <c r="AT382" s="170"/>
      <c r="AU382" s="170"/>
      <c r="AV382" s="170"/>
      <c r="AW382" s="170"/>
      <c r="AX382" s="170"/>
    </row>
    <row r="383" spans="1:50" ht="15" x14ac:dyDescent="0.25">
      <c r="A383" s="170"/>
      <c r="B383" s="719"/>
      <c r="C383" s="170"/>
      <c r="D383" s="170"/>
      <c r="E383" s="170"/>
      <c r="F383" s="170"/>
      <c r="G383" s="721"/>
      <c r="H383" s="170"/>
      <c r="I383" s="170"/>
      <c r="J383" s="170"/>
      <c r="K383" s="170"/>
      <c r="L383" s="170"/>
      <c r="M383" s="730"/>
      <c r="N383" s="730"/>
      <c r="O383" s="730"/>
      <c r="P383" s="731"/>
      <c r="Q383" s="731"/>
      <c r="R383" s="730"/>
      <c r="S383" s="730"/>
      <c r="T383" s="723"/>
      <c r="U383" s="724"/>
      <c r="V383" s="725"/>
      <c r="W383" s="725"/>
      <c r="X383" s="723"/>
      <c r="Y383" s="723"/>
      <c r="Z383" s="723"/>
      <c r="AA383" s="726"/>
      <c r="AB383" s="726"/>
      <c r="AC383" s="170"/>
      <c r="AD383" s="586"/>
      <c r="AE383" s="586"/>
      <c r="AF383" s="170"/>
      <c r="AG383" s="170"/>
      <c r="AH383" s="170"/>
      <c r="AI383" s="170"/>
      <c r="AJ383" s="170"/>
      <c r="AK383" s="170"/>
      <c r="AL383" s="170"/>
      <c r="AM383" s="170"/>
      <c r="AN383" s="170"/>
      <c r="AO383" s="170"/>
      <c r="AP383" s="170"/>
      <c r="AQ383" s="170"/>
      <c r="AR383" s="170"/>
      <c r="AS383" s="170"/>
      <c r="AT383" s="170"/>
      <c r="AU383" s="170"/>
      <c r="AV383" s="170"/>
      <c r="AW383" s="170"/>
      <c r="AX383" s="170"/>
    </row>
    <row r="384" spans="1:50" ht="15" x14ac:dyDescent="0.25">
      <c r="A384" s="170"/>
      <c r="B384" s="719"/>
      <c r="C384" s="170"/>
      <c r="D384" s="170"/>
      <c r="E384" s="170"/>
      <c r="F384" s="170"/>
      <c r="G384" s="721"/>
      <c r="H384" s="170"/>
      <c r="I384" s="170"/>
      <c r="J384" s="170"/>
      <c r="K384" s="170"/>
      <c r="L384" s="170"/>
      <c r="M384" s="730"/>
      <c r="N384" s="730"/>
      <c r="O384" s="730"/>
      <c r="P384" s="731"/>
      <c r="Q384" s="731"/>
      <c r="R384" s="730"/>
      <c r="S384" s="730"/>
      <c r="T384" s="723"/>
      <c r="U384" s="724"/>
      <c r="V384" s="725"/>
      <c r="W384" s="725"/>
      <c r="X384" s="723"/>
      <c r="Y384" s="723"/>
      <c r="Z384" s="723"/>
      <c r="AA384" s="726"/>
      <c r="AB384" s="726"/>
      <c r="AC384" s="170"/>
      <c r="AD384" s="586"/>
      <c r="AE384" s="586"/>
      <c r="AF384" s="170"/>
      <c r="AG384" s="170"/>
      <c r="AH384" s="170"/>
      <c r="AI384" s="170"/>
      <c r="AJ384" s="170"/>
      <c r="AK384" s="170"/>
      <c r="AL384" s="170"/>
      <c r="AM384" s="170"/>
      <c r="AN384" s="170"/>
      <c r="AO384" s="170"/>
      <c r="AP384" s="170"/>
      <c r="AQ384" s="170"/>
      <c r="AR384" s="170"/>
      <c r="AS384" s="170"/>
      <c r="AT384" s="170"/>
      <c r="AU384" s="170"/>
      <c r="AV384" s="170"/>
      <c r="AW384" s="170"/>
      <c r="AX384" s="170"/>
    </row>
    <row r="385" spans="1:50" ht="15" x14ac:dyDescent="0.25">
      <c r="A385" s="170"/>
      <c r="B385" s="719"/>
      <c r="C385" s="170"/>
      <c r="D385" s="170"/>
      <c r="E385" s="170"/>
      <c r="F385" s="170"/>
      <c r="G385" s="721"/>
      <c r="H385" s="170"/>
      <c r="I385" s="170"/>
      <c r="J385" s="170"/>
      <c r="K385" s="170"/>
      <c r="L385" s="170"/>
      <c r="M385" s="730"/>
      <c r="N385" s="730"/>
      <c r="O385" s="730"/>
      <c r="P385" s="731"/>
      <c r="Q385" s="731"/>
      <c r="R385" s="730"/>
      <c r="S385" s="730"/>
      <c r="T385" s="723"/>
      <c r="U385" s="724"/>
      <c r="V385" s="725"/>
      <c r="W385" s="725"/>
      <c r="X385" s="723"/>
      <c r="Y385" s="723"/>
      <c r="Z385" s="723"/>
      <c r="AA385" s="726"/>
      <c r="AB385" s="726"/>
      <c r="AC385" s="170"/>
      <c r="AD385" s="586"/>
      <c r="AE385" s="586"/>
      <c r="AF385" s="170"/>
      <c r="AG385" s="170"/>
      <c r="AH385" s="170"/>
      <c r="AI385" s="170"/>
      <c r="AJ385" s="170"/>
      <c r="AK385" s="170"/>
      <c r="AL385" s="170"/>
      <c r="AM385" s="170"/>
      <c r="AN385" s="170"/>
      <c r="AO385" s="170"/>
      <c r="AP385" s="170"/>
      <c r="AQ385" s="170"/>
      <c r="AR385" s="170"/>
      <c r="AS385" s="170"/>
      <c r="AT385" s="170"/>
      <c r="AU385" s="170"/>
      <c r="AV385" s="170"/>
      <c r="AW385" s="170"/>
      <c r="AX385" s="170"/>
    </row>
    <row r="386" spans="1:50" ht="15" x14ac:dyDescent="0.25">
      <c r="A386" s="170"/>
      <c r="B386" s="719"/>
      <c r="C386" s="170"/>
      <c r="D386" s="170"/>
      <c r="E386" s="170"/>
      <c r="F386" s="170"/>
      <c r="G386" s="721"/>
      <c r="H386" s="170"/>
      <c r="I386" s="170"/>
      <c r="J386" s="170"/>
      <c r="K386" s="170"/>
      <c r="L386" s="170"/>
      <c r="M386" s="730"/>
      <c r="N386" s="730"/>
      <c r="O386" s="730"/>
      <c r="P386" s="731"/>
      <c r="Q386" s="731"/>
      <c r="R386" s="730"/>
      <c r="S386" s="730"/>
      <c r="T386" s="723"/>
      <c r="U386" s="724"/>
      <c r="V386" s="725"/>
      <c r="W386" s="725"/>
      <c r="X386" s="723"/>
      <c r="Y386" s="723"/>
      <c r="Z386" s="723"/>
      <c r="AA386" s="726"/>
      <c r="AB386" s="726"/>
      <c r="AC386" s="170"/>
      <c r="AD386" s="586"/>
      <c r="AE386" s="586"/>
      <c r="AF386" s="170"/>
      <c r="AG386" s="170"/>
      <c r="AH386" s="170"/>
      <c r="AI386" s="170"/>
      <c r="AJ386" s="170"/>
      <c r="AK386" s="170"/>
      <c r="AL386" s="170"/>
      <c r="AM386" s="170"/>
      <c r="AN386" s="170"/>
      <c r="AO386" s="170"/>
      <c r="AP386" s="170"/>
      <c r="AQ386" s="170"/>
      <c r="AR386" s="170"/>
      <c r="AS386" s="170"/>
      <c r="AT386" s="170"/>
      <c r="AU386" s="170"/>
      <c r="AV386" s="170"/>
      <c r="AW386" s="170"/>
      <c r="AX386" s="170"/>
    </row>
    <row r="387" spans="1:50" ht="15" x14ac:dyDescent="0.25">
      <c r="A387" s="170"/>
      <c r="B387" s="719"/>
      <c r="C387" s="170"/>
      <c r="D387" s="170"/>
      <c r="E387" s="170"/>
      <c r="F387" s="170"/>
      <c r="G387" s="721"/>
      <c r="H387" s="170"/>
      <c r="I387" s="170"/>
      <c r="J387" s="170"/>
      <c r="K387" s="170"/>
      <c r="L387" s="170"/>
      <c r="M387" s="730"/>
      <c r="N387" s="730"/>
      <c r="O387" s="730"/>
      <c r="P387" s="731"/>
      <c r="Q387" s="731"/>
      <c r="R387" s="730"/>
      <c r="S387" s="730"/>
      <c r="T387" s="723"/>
      <c r="U387" s="724"/>
      <c r="V387" s="725"/>
      <c r="W387" s="725"/>
      <c r="X387" s="723"/>
      <c r="Y387" s="723"/>
      <c r="Z387" s="723"/>
      <c r="AA387" s="726"/>
      <c r="AB387" s="726"/>
      <c r="AC387" s="170"/>
      <c r="AD387" s="586"/>
      <c r="AE387" s="586"/>
      <c r="AF387" s="170"/>
      <c r="AG387" s="170"/>
      <c r="AH387" s="170"/>
      <c r="AI387" s="170"/>
      <c r="AJ387" s="170"/>
      <c r="AK387" s="170"/>
      <c r="AL387" s="170"/>
      <c r="AM387" s="170"/>
      <c r="AN387" s="170"/>
      <c r="AO387" s="170"/>
      <c r="AP387" s="170"/>
      <c r="AQ387" s="170"/>
      <c r="AR387" s="170"/>
      <c r="AS387" s="170"/>
      <c r="AT387" s="170"/>
      <c r="AU387" s="170"/>
      <c r="AV387" s="170"/>
      <c r="AW387" s="170"/>
      <c r="AX387" s="170"/>
    </row>
    <row r="388" spans="1:50" ht="15" x14ac:dyDescent="0.25">
      <c r="A388" s="170"/>
      <c r="B388" s="719"/>
      <c r="C388" s="170"/>
      <c r="D388" s="170"/>
      <c r="E388" s="170"/>
      <c r="F388" s="170"/>
      <c r="G388" s="721"/>
      <c r="H388" s="170"/>
      <c r="I388" s="170"/>
      <c r="J388" s="170"/>
      <c r="K388" s="170"/>
      <c r="L388" s="170"/>
      <c r="M388" s="730"/>
      <c r="N388" s="730"/>
      <c r="O388" s="730"/>
      <c r="P388" s="731"/>
      <c r="Q388" s="731"/>
      <c r="R388" s="730"/>
      <c r="S388" s="730"/>
      <c r="T388" s="723"/>
      <c r="U388" s="724"/>
      <c r="V388" s="725"/>
      <c r="W388" s="725"/>
      <c r="X388" s="723"/>
      <c r="Y388" s="723"/>
      <c r="Z388" s="723"/>
      <c r="AA388" s="726"/>
      <c r="AB388" s="726"/>
      <c r="AC388" s="170"/>
      <c r="AD388" s="586"/>
      <c r="AE388" s="586"/>
      <c r="AF388" s="170"/>
      <c r="AG388" s="170"/>
      <c r="AH388" s="170"/>
      <c r="AI388" s="170"/>
      <c r="AJ388" s="170"/>
      <c r="AK388" s="170"/>
      <c r="AL388" s="170"/>
      <c r="AM388" s="170"/>
      <c r="AN388" s="170"/>
      <c r="AO388" s="170"/>
      <c r="AP388" s="170"/>
      <c r="AQ388" s="170"/>
      <c r="AR388" s="170"/>
      <c r="AS388" s="170"/>
      <c r="AT388" s="170"/>
      <c r="AU388" s="170"/>
      <c r="AV388" s="170"/>
      <c r="AW388" s="170"/>
      <c r="AX388" s="170"/>
    </row>
    <row r="389" spans="1:50" ht="15" x14ac:dyDescent="0.25">
      <c r="A389" s="170"/>
      <c r="B389" s="719"/>
      <c r="C389" s="170"/>
      <c r="D389" s="170"/>
      <c r="E389" s="170"/>
      <c r="F389" s="170"/>
      <c r="G389" s="721"/>
      <c r="H389" s="170"/>
      <c r="I389" s="170"/>
      <c r="J389" s="170"/>
      <c r="K389" s="170"/>
      <c r="L389" s="170"/>
      <c r="M389" s="730"/>
      <c r="N389" s="730"/>
      <c r="O389" s="730"/>
      <c r="P389" s="731"/>
      <c r="Q389" s="731"/>
      <c r="R389" s="730"/>
      <c r="S389" s="730"/>
      <c r="T389" s="723"/>
      <c r="U389" s="724"/>
      <c r="V389" s="725"/>
      <c r="W389" s="725"/>
      <c r="X389" s="723"/>
      <c r="Y389" s="723"/>
      <c r="Z389" s="723"/>
      <c r="AA389" s="726"/>
      <c r="AB389" s="726"/>
      <c r="AC389" s="170"/>
      <c r="AD389" s="586"/>
      <c r="AE389" s="586"/>
      <c r="AF389" s="170"/>
      <c r="AG389" s="170"/>
      <c r="AH389" s="170"/>
      <c r="AI389" s="170"/>
      <c r="AJ389" s="170"/>
      <c r="AK389" s="170"/>
      <c r="AL389" s="170"/>
      <c r="AM389" s="170"/>
      <c r="AN389" s="170"/>
      <c r="AO389" s="170"/>
      <c r="AP389" s="170"/>
      <c r="AQ389" s="170"/>
      <c r="AR389" s="170"/>
      <c r="AS389" s="170"/>
      <c r="AT389" s="170"/>
      <c r="AU389" s="170"/>
      <c r="AV389" s="170"/>
      <c r="AW389" s="170"/>
      <c r="AX389" s="170"/>
    </row>
    <row r="390" spans="1:50" ht="15" x14ac:dyDescent="0.25">
      <c r="A390" s="170"/>
      <c r="B390" s="719"/>
      <c r="C390" s="170"/>
      <c r="D390" s="170"/>
      <c r="E390" s="170"/>
      <c r="F390" s="170"/>
      <c r="G390" s="721"/>
      <c r="H390" s="170"/>
      <c r="I390" s="170"/>
      <c r="J390" s="170"/>
      <c r="K390" s="170"/>
      <c r="L390" s="170"/>
      <c r="M390" s="730"/>
      <c r="N390" s="730"/>
      <c r="O390" s="730"/>
      <c r="P390" s="731"/>
      <c r="Q390" s="731"/>
      <c r="R390" s="730"/>
      <c r="S390" s="730"/>
      <c r="T390" s="723"/>
      <c r="U390" s="724"/>
      <c r="V390" s="725"/>
      <c r="W390" s="725"/>
      <c r="X390" s="723"/>
      <c r="Y390" s="723"/>
      <c r="Z390" s="723"/>
      <c r="AA390" s="726"/>
      <c r="AB390" s="726"/>
      <c r="AC390" s="170"/>
      <c r="AD390" s="586"/>
      <c r="AE390" s="586"/>
      <c r="AF390" s="170"/>
      <c r="AG390" s="170"/>
      <c r="AH390" s="170"/>
      <c r="AI390" s="170"/>
      <c r="AJ390" s="170"/>
      <c r="AK390" s="170"/>
      <c r="AL390" s="170"/>
      <c r="AM390" s="170"/>
      <c r="AN390" s="170"/>
      <c r="AO390" s="170"/>
      <c r="AP390" s="170"/>
      <c r="AQ390" s="170"/>
      <c r="AR390" s="170"/>
      <c r="AS390" s="170"/>
      <c r="AT390" s="170"/>
      <c r="AU390" s="170"/>
      <c r="AV390" s="170"/>
      <c r="AW390" s="170"/>
      <c r="AX390" s="170"/>
    </row>
    <row r="391" spans="1:50" ht="15" x14ac:dyDescent="0.25">
      <c r="A391" s="170"/>
      <c r="B391" s="719"/>
      <c r="C391" s="170"/>
      <c r="D391" s="170"/>
      <c r="E391" s="170"/>
      <c r="F391" s="170"/>
      <c r="G391" s="721"/>
      <c r="H391" s="170"/>
      <c r="I391" s="170"/>
      <c r="J391" s="170"/>
      <c r="K391" s="170"/>
      <c r="L391" s="170"/>
      <c r="M391" s="730"/>
      <c r="N391" s="730"/>
      <c r="O391" s="730"/>
      <c r="P391" s="731"/>
      <c r="Q391" s="731"/>
      <c r="R391" s="730"/>
      <c r="S391" s="730"/>
      <c r="T391" s="723"/>
      <c r="U391" s="724"/>
      <c r="V391" s="725"/>
      <c r="W391" s="725"/>
      <c r="X391" s="723"/>
      <c r="Y391" s="723"/>
      <c r="Z391" s="723"/>
      <c r="AA391" s="726"/>
      <c r="AB391" s="726"/>
      <c r="AC391" s="170"/>
      <c r="AD391" s="586"/>
      <c r="AE391" s="586"/>
      <c r="AF391" s="170"/>
      <c r="AG391" s="170"/>
      <c r="AH391" s="170"/>
      <c r="AI391" s="170"/>
      <c r="AJ391" s="170"/>
      <c r="AK391" s="170"/>
      <c r="AL391" s="170"/>
      <c r="AM391" s="170"/>
      <c r="AN391" s="170"/>
      <c r="AO391" s="170"/>
      <c r="AP391" s="170"/>
      <c r="AQ391" s="170"/>
      <c r="AR391" s="170"/>
      <c r="AS391" s="170"/>
      <c r="AT391" s="170"/>
      <c r="AU391" s="170"/>
      <c r="AV391" s="170"/>
      <c r="AW391" s="170"/>
      <c r="AX391" s="170"/>
    </row>
    <row r="392" spans="1:50" ht="15" x14ac:dyDescent="0.25">
      <c r="A392" s="170"/>
      <c r="B392" s="719"/>
      <c r="C392" s="170"/>
      <c r="D392" s="170"/>
      <c r="E392" s="170"/>
      <c r="F392" s="170"/>
      <c r="G392" s="721"/>
      <c r="H392" s="170"/>
      <c r="I392" s="170"/>
      <c r="J392" s="170"/>
      <c r="K392" s="170"/>
      <c r="L392" s="170"/>
      <c r="M392" s="730"/>
      <c r="N392" s="730"/>
      <c r="O392" s="730"/>
      <c r="P392" s="731"/>
      <c r="Q392" s="731"/>
      <c r="R392" s="730"/>
      <c r="S392" s="730"/>
      <c r="T392" s="723"/>
      <c r="U392" s="724"/>
      <c r="V392" s="725"/>
      <c r="W392" s="725"/>
      <c r="X392" s="723"/>
      <c r="Y392" s="723"/>
      <c r="Z392" s="723"/>
      <c r="AA392" s="726"/>
      <c r="AB392" s="726"/>
      <c r="AC392" s="170"/>
      <c r="AD392" s="586"/>
      <c r="AE392" s="586"/>
      <c r="AF392" s="170"/>
      <c r="AG392" s="170"/>
      <c r="AH392" s="170"/>
      <c r="AI392" s="170"/>
      <c r="AJ392" s="170"/>
      <c r="AK392" s="170"/>
      <c r="AL392" s="170"/>
      <c r="AM392" s="170"/>
      <c r="AN392" s="170"/>
      <c r="AO392" s="170"/>
      <c r="AP392" s="170"/>
      <c r="AQ392" s="170"/>
      <c r="AR392" s="170"/>
      <c r="AS392" s="170"/>
      <c r="AT392" s="170"/>
      <c r="AU392" s="170"/>
      <c r="AV392" s="170"/>
      <c r="AW392" s="170"/>
      <c r="AX392" s="170"/>
    </row>
    <row r="393" spans="1:50" ht="15" x14ac:dyDescent="0.25">
      <c r="A393" s="170"/>
      <c r="B393" s="719"/>
      <c r="C393" s="170"/>
      <c r="D393" s="170"/>
      <c r="E393" s="170"/>
      <c r="F393" s="170"/>
      <c r="G393" s="721"/>
      <c r="H393" s="170"/>
      <c r="I393" s="170"/>
      <c r="J393" s="170"/>
      <c r="K393" s="170"/>
      <c r="L393" s="170"/>
      <c r="M393" s="730"/>
      <c r="N393" s="730"/>
      <c r="O393" s="730"/>
      <c r="P393" s="731"/>
      <c r="Q393" s="731"/>
      <c r="R393" s="730"/>
      <c r="S393" s="730"/>
      <c r="T393" s="723"/>
      <c r="U393" s="724"/>
      <c r="V393" s="725"/>
      <c r="W393" s="725"/>
      <c r="X393" s="723"/>
      <c r="Y393" s="723"/>
      <c r="Z393" s="723"/>
      <c r="AA393" s="726"/>
      <c r="AB393" s="726"/>
      <c r="AC393" s="170"/>
      <c r="AD393" s="586"/>
      <c r="AE393" s="586"/>
      <c r="AF393" s="170"/>
      <c r="AG393" s="170"/>
      <c r="AH393" s="170"/>
      <c r="AI393" s="170"/>
      <c r="AJ393" s="170"/>
      <c r="AK393" s="170"/>
      <c r="AL393" s="170"/>
      <c r="AM393" s="170"/>
      <c r="AN393" s="170"/>
      <c r="AO393" s="170"/>
      <c r="AP393" s="170"/>
      <c r="AQ393" s="170"/>
      <c r="AR393" s="170"/>
      <c r="AS393" s="170"/>
      <c r="AT393" s="170"/>
      <c r="AU393" s="170"/>
      <c r="AV393" s="170"/>
      <c r="AW393" s="170"/>
      <c r="AX393" s="170"/>
    </row>
    <row r="394" spans="1:50" ht="15" x14ac:dyDescent="0.25">
      <c r="A394" s="170"/>
      <c r="B394" s="719"/>
      <c r="C394" s="170"/>
      <c r="D394" s="170"/>
      <c r="E394" s="170"/>
      <c r="F394" s="170"/>
      <c r="G394" s="721"/>
      <c r="H394" s="170"/>
      <c r="I394" s="170"/>
      <c r="J394" s="170"/>
      <c r="K394" s="170"/>
      <c r="L394" s="170"/>
      <c r="M394" s="730"/>
      <c r="N394" s="730"/>
      <c r="O394" s="730"/>
      <c r="P394" s="731"/>
      <c r="Q394" s="731"/>
      <c r="R394" s="730"/>
      <c r="S394" s="730"/>
      <c r="T394" s="723"/>
      <c r="U394" s="724"/>
      <c r="V394" s="725"/>
      <c r="W394" s="725"/>
      <c r="X394" s="723"/>
      <c r="Y394" s="723"/>
      <c r="Z394" s="723"/>
      <c r="AA394" s="726"/>
      <c r="AB394" s="726"/>
      <c r="AC394" s="170"/>
      <c r="AD394" s="586"/>
      <c r="AE394" s="586"/>
      <c r="AF394" s="170"/>
      <c r="AG394" s="170"/>
      <c r="AH394" s="170"/>
      <c r="AI394" s="170"/>
      <c r="AJ394" s="170"/>
      <c r="AK394" s="170"/>
      <c r="AL394" s="170"/>
      <c r="AM394" s="170"/>
      <c r="AN394" s="170"/>
      <c r="AO394" s="170"/>
      <c r="AP394" s="170"/>
      <c r="AQ394" s="170"/>
      <c r="AR394" s="170"/>
      <c r="AS394" s="170"/>
      <c r="AT394" s="170"/>
      <c r="AU394" s="170"/>
      <c r="AV394" s="170"/>
      <c r="AW394" s="170"/>
      <c r="AX394" s="170"/>
    </row>
    <row r="395" spans="1:50" ht="15" x14ac:dyDescent="0.25">
      <c r="A395" s="170"/>
      <c r="B395" s="719"/>
      <c r="C395" s="170"/>
      <c r="D395" s="170"/>
      <c r="E395" s="170"/>
      <c r="F395" s="170"/>
      <c r="G395" s="721"/>
      <c r="H395" s="170"/>
      <c r="I395" s="170"/>
      <c r="J395" s="170"/>
      <c r="K395" s="170"/>
      <c r="L395" s="170"/>
      <c r="M395" s="730"/>
      <c r="N395" s="730"/>
      <c r="O395" s="730"/>
      <c r="P395" s="731"/>
      <c r="Q395" s="731"/>
      <c r="R395" s="730"/>
      <c r="S395" s="730"/>
      <c r="T395" s="723"/>
      <c r="U395" s="724"/>
      <c r="V395" s="725"/>
      <c r="W395" s="725"/>
      <c r="X395" s="723"/>
      <c r="Y395" s="723"/>
      <c r="Z395" s="723"/>
      <c r="AA395" s="726"/>
      <c r="AB395" s="726"/>
      <c r="AC395" s="170"/>
      <c r="AD395" s="586"/>
      <c r="AE395" s="586"/>
      <c r="AF395" s="170"/>
      <c r="AG395" s="170"/>
      <c r="AH395" s="170"/>
      <c r="AI395" s="170"/>
      <c r="AJ395" s="170"/>
      <c r="AK395" s="170"/>
      <c r="AL395" s="170"/>
      <c r="AM395" s="170"/>
      <c r="AN395" s="170"/>
      <c r="AO395" s="170"/>
      <c r="AP395" s="170"/>
      <c r="AQ395" s="170"/>
      <c r="AR395" s="170"/>
      <c r="AS395" s="170"/>
      <c r="AT395" s="170"/>
      <c r="AU395" s="170"/>
      <c r="AV395" s="170"/>
      <c r="AW395" s="170"/>
      <c r="AX395" s="170"/>
    </row>
    <row r="396" spans="1:50" ht="15" x14ac:dyDescent="0.25">
      <c r="A396" s="170"/>
      <c r="B396" s="719"/>
      <c r="C396" s="170"/>
      <c r="D396" s="170"/>
      <c r="E396" s="170"/>
      <c r="F396" s="170"/>
      <c r="G396" s="721"/>
      <c r="H396" s="170"/>
      <c r="I396" s="170"/>
      <c r="J396" s="170"/>
      <c r="K396" s="170"/>
      <c r="L396" s="170"/>
      <c r="M396" s="730"/>
      <c r="N396" s="730"/>
      <c r="O396" s="730"/>
      <c r="P396" s="731"/>
      <c r="Q396" s="731"/>
      <c r="R396" s="730"/>
      <c r="S396" s="730"/>
      <c r="T396" s="723"/>
      <c r="U396" s="724"/>
      <c r="V396" s="725"/>
      <c r="W396" s="725"/>
      <c r="X396" s="723"/>
      <c r="Y396" s="723"/>
      <c r="Z396" s="723"/>
      <c r="AA396" s="726"/>
      <c r="AB396" s="726"/>
      <c r="AC396" s="170"/>
      <c r="AD396" s="586"/>
      <c r="AE396" s="586"/>
      <c r="AF396" s="170"/>
      <c r="AG396" s="170"/>
      <c r="AH396" s="170"/>
      <c r="AI396" s="170"/>
      <c r="AJ396" s="170"/>
      <c r="AK396" s="170"/>
      <c r="AL396" s="170"/>
      <c r="AM396" s="170"/>
      <c r="AN396" s="170"/>
      <c r="AO396" s="170"/>
      <c r="AP396" s="170"/>
      <c r="AQ396" s="170"/>
      <c r="AR396" s="170"/>
      <c r="AS396" s="170"/>
      <c r="AT396" s="170"/>
      <c r="AU396" s="170"/>
      <c r="AV396" s="170"/>
      <c r="AW396" s="170"/>
      <c r="AX396" s="170"/>
    </row>
    <row r="397" spans="1:50" ht="15" x14ac:dyDescent="0.25">
      <c r="A397" s="170"/>
      <c r="B397" s="719"/>
      <c r="C397" s="170"/>
      <c r="D397" s="170"/>
      <c r="E397" s="170"/>
      <c r="F397" s="170"/>
      <c r="G397" s="721"/>
      <c r="H397" s="170"/>
      <c r="I397" s="170"/>
      <c r="J397" s="170"/>
      <c r="K397" s="170"/>
      <c r="L397" s="170"/>
      <c r="M397" s="730"/>
      <c r="N397" s="730"/>
      <c r="O397" s="730"/>
      <c r="P397" s="731"/>
      <c r="Q397" s="731"/>
      <c r="R397" s="730"/>
      <c r="S397" s="730"/>
      <c r="T397" s="723"/>
      <c r="U397" s="724"/>
      <c r="V397" s="725"/>
      <c r="W397" s="725"/>
      <c r="X397" s="723"/>
      <c r="Y397" s="723"/>
      <c r="Z397" s="723"/>
      <c r="AA397" s="726"/>
      <c r="AB397" s="726"/>
      <c r="AC397" s="170"/>
      <c r="AD397" s="586"/>
      <c r="AE397" s="586"/>
      <c r="AF397" s="170"/>
      <c r="AG397" s="170"/>
      <c r="AH397" s="170"/>
      <c r="AI397" s="170"/>
      <c r="AJ397" s="170"/>
      <c r="AK397" s="170"/>
      <c r="AL397" s="170"/>
      <c r="AM397" s="170"/>
      <c r="AN397" s="170"/>
      <c r="AO397" s="170"/>
      <c r="AP397" s="170"/>
      <c r="AQ397" s="170"/>
      <c r="AR397" s="170"/>
      <c r="AS397" s="170"/>
      <c r="AT397" s="170"/>
      <c r="AU397" s="170"/>
      <c r="AV397" s="170"/>
      <c r="AW397" s="170"/>
      <c r="AX397" s="170"/>
    </row>
    <row r="398" spans="1:50" ht="15" x14ac:dyDescent="0.25">
      <c r="A398" s="170"/>
      <c r="B398" s="719"/>
      <c r="C398" s="170"/>
      <c r="D398" s="170"/>
      <c r="E398" s="170"/>
      <c r="F398" s="170"/>
      <c r="G398" s="721"/>
      <c r="H398" s="170"/>
      <c r="I398" s="170"/>
      <c r="J398" s="170"/>
      <c r="K398" s="170"/>
      <c r="L398" s="170"/>
      <c r="M398" s="730"/>
      <c r="N398" s="730"/>
      <c r="O398" s="730"/>
      <c r="P398" s="731"/>
      <c r="Q398" s="731"/>
      <c r="R398" s="730"/>
      <c r="S398" s="730"/>
      <c r="T398" s="723"/>
      <c r="U398" s="724"/>
      <c r="V398" s="725"/>
      <c r="W398" s="725"/>
      <c r="X398" s="723"/>
      <c r="Y398" s="723"/>
      <c r="Z398" s="723"/>
      <c r="AA398" s="726"/>
      <c r="AB398" s="726"/>
      <c r="AC398" s="170"/>
      <c r="AD398" s="586"/>
      <c r="AE398" s="586"/>
      <c r="AF398" s="170"/>
      <c r="AG398" s="170"/>
      <c r="AH398" s="170"/>
      <c r="AI398" s="170"/>
      <c r="AJ398" s="170"/>
      <c r="AK398" s="170"/>
      <c r="AL398" s="170"/>
      <c r="AM398" s="170"/>
      <c r="AN398" s="170"/>
      <c r="AO398" s="170"/>
      <c r="AP398" s="170"/>
      <c r="AQ398" s="170"/>
      <c r="AR398" s="170"/>
      <c r="AS398" s="170"/>
      <c r="AT398" s="170"/>
      <c r="AU398" s="170"/>
      <c r="AV398" s="170"/>
      <c r="AW398" s="170"/>
      <c r="AX398" s="170"/>
    </row>
    <row r="399" spans="1:50" ht="15" x14ac:dyDescent="0.25">
      <c r="A399" s="170"/>
      <c r="B399" s="719"/>
      <c r="C399" s="170"/>
      <c r="D399" s="170"/>
      <c r="E399" s="170"/>
      <c r="F399" s="170"/>
      <c r="G399" s="721"/>
      <c r="H399" s="170"/>
      <c r="I399" s="170"/>
      <c r="J399" s="170"/>
      <c r="K399" s="170"/>
      <c r="L399" s="170"/>
      <c r="M399" s="730"/>
      <c r="N399" s="730"/>
      <c r="O399" s="730"/>
      <c r="P399" s="731"/>
      <c r="Q399" s="731"/>
      <c r="R399" s="730"/>
      <c r="S399" s="730"/>
      <c r="T399" s="723"/>
      <c r="U399" s="724"/>
      <c r="V399" s="725"/>
      <c r="W399" s="725"/>
      <c r="X399" s="723"/>
      <c r="Y399" s="723"/>
      <c r="Z399" s="723"/>
      <c r="AA399" s="726"/>
      <c r="AB399" s="726"/>
      <c r="AC399" s="170"/>
      <c r="AD399" s="586"/>
      <c r="AE399" s="586"/>
      <c r="AF399" s="170"/>
      <c r="AG399" s="170"/>
      <c r="AH399" s="170"/>
      <c r="AI399" s="170"/>
      <c r="AJ399" s="170"/>
      <c r="AK399" s="170"/>
      <c r="AL399" s="170"/>
      <c r="AM399" s="170"/>
      <c r="AN399" s="170"/>
      <c r="AO399" s="170"/>
      <c r="AP399" s="170"/>
      <c r="AQ399" s="170"/>
      <c r="AR399" s="170"/>
      <c r="AS399" s="170"/>
      <c r="AT399" s="170"/>
      <c r="AU399" s="170"/>
      <c r="AV399" s="170"/>
      <c r="AW399" s="170"/>
      <c r="AX399" s="170"/>
    </row>
    <row r="400" spans="1:50" ht="15" x14ac:dyDescent="0.25">
      <c r="A400" s="170"/>
      <c r="B400" s="719"/>
      <c r="C400" s="170"/>
      <c r="D400" s="170"/>
      <c r="E400" s="170"/>
      <c r="F400" s="170"/>
      <c r="G400" s="721"/>
      <c r="H400" s="170"/>
      <c r="I400" s="170"/>
      <c r="J400" s="170"/>
      <c r="K400" s="170"/>
      <c r="L400" s="170"/>
      <c r="M400" s="730"/>
      <c r="N400" s="730"/>
      <c r="O400" s="730"/>
      <c r="P400" s="731"/>
      <c r="Q400" s="731"/>
      <c r="R400" s="730"/>
      <c r="S400" s="730"/>
      <c r="T400" s="723"/>
      <c r="U400" s="724"/>
      <c r="V400" s="725"/>
      <c r="W400" s="725"/>
      <c r="X400" s="723"/>
      <c r="Y400" s="723"/>
      <c r="Z400" s="723"/>
      <c r="AA400" s="726"/>
      <c r="AB400" s="726"/>
      <c r="AC400" s="170"/>
      <c r="AD400" s="586"/>
      <c r="AE400" s="586"/>
      <c r="AF400" s="170"/>
      <c r="AG400" s="170"/>
      <c r="AH400" s="170"/>
      <c r="AI400" s="170"/>
      <c r="AJ400" s="170"/>
      <c r="AK400" s="170"/>
      <c r="AL400" s="170"/>
      <c r="AM400" s="170"/>
      <c r="AN400" s="170"/>
      <c r="AO400" s="170"/>
      <c r="AP400" s="170"/>
      <c r="AQ400" s="170"/>
      <c r="AR400" s="170"/>
      <c r="AS400" s="170"/>
      <c r="AT400" s="170"/>
      <c r="AU400" s="170"/>
      <c r="AV400" s="170"/>
      <c r="AW400" s="170"/>
      <c r="AX400" s="170"/>
    </row>
    <row r="401" spans="1:50" ht="15" x14ac:dyDescent="0.25">
      <c r="A401" s="170"/>
      <c r="B401" s="719"/>
      <c r="C401" s="170"/>
      <c r="D401" s="170"/>
      <c r="E401" s="170"/>
      <c r="F401" s="170"/>
      <c r="G401" s="721"/>
      <c r="H401" s="170"/>
      <c r="I401" s="170"/>
      <c r="J401" s="170"/>
      <c r="K401" s="170"/>
      <c r="L401" s="170"/>
      <c r="M401" s="730"/>
      <c r="N401" s="730"/>
      <c r="O401" s="730"/>
      <c r="P401" s="731"/>
      <c r="Q401" s="731"/>
      <c r="R401" s="730"/>
      <c r="S401" s="730"/>
      <c r="T401" s="723"/>
      <c r="U401" s="724"/>
      <c r="V401" s="725"/>
      <c r="W401" s="725"/>
      <c r="X401" s="723"/>
      <c r="Y401" s="723"/>
      <c r="Z401" s="723"/>
      <c r="AA401" s="726"/>
      <c r="AB401" s="726"/>
      <c r="AC401" s="170"/>
      <c r="AD401" s="586"/>
      <c r="AE401" s="586"/>
      <c r="AF401" s="170"/>
      <c r="AG401" s="170"/>
      <c r="AH401" s="170"/>
      <c r="AI401" s="170"/>
      <c r="AJ401" s="170"/>
      <c r="AK401" s="170"/>
      <c r="AL401" s="170"/>
      <c r="AM401" s="170"/>
      <c r="AN401" s="170"/>
      <c r="AO401" s="170"/>
      <c r="AP401" s="170"/>
      <c r="AQ401" s="170"/>
      <c r="AR401" s="170"/>
      <c r="AS401" s="170"/>
      <c r="AT401" s="170"/>
      <c r="AU401" s="170"/>
      <c r="AV401" s="170"/>
      <c r="AW401" s="170"/>
      <c r="AX401" s="170"/>
    </row>
    <row r="402" spans="1:50" ht="15" x14ac:dyDescent="0.25">
      <c r="A402" s="170"/>
      <c r="B402" s="719"/>
      <c r="C402" s="170"/>
      <c r="D402" s="170"/>
      <c r="E402" s="170"/>
      <c r="F402" s="170"/>
      <c r="G402" s="721"/>
      <c r="H402" s="170"/>
      <c r="I402" s="170"/>
      <c r="J402" s="170"/>
      <c r="K402" s="170"/>
      <c r="L402" s="170"/>
      <c r="M402" s="730"/>
      <c r="N402" s="730"/>
      <c r="O402" s="730"/>
      <c r="P402" s="731"/>
      <c r="Q402" s="731"/>
      <c r="R402" s="730"/>
      <c r="S402" s="730"/>
      <c r="T402" s="723"/>
      <c r="U402" s="724"/>
      <c r="V402" s="725"/>
      <c r="W402" s="725"/>
      <c r="X402" s="723"/>
      <c r="Y402" s="723"/>
      <c r="Z402" s="723"/>
      <c r="AA402" s="726"/>
      <c r="AB402" s="726"/>
      <c r="AC402" s="170"/>
      <c r="AD402" s="586"/>
      <c r="AE402" s="586"/>
      <c r="AF402" s="170"/>
      <c r="AG402" s="170"/>
      <c r="AH402" s="170"/>
      <c r="AI402" s="170"/>
      <c r="AJ402" s="170"/>
      <c r="AK402" s="170"/>
      <c r="AL402" s="170"/>
      <c r="AM402" s="170"/>
      <c r="AN402" s="170"/>
      <c r="AO402" s="170"/>
      <c r="AP402" s="170"/>
      <c r="AQ402" s="170"/>
      <c r="AR402" s="170"/>
      <c r="AS402" s="170"/>
      <c r="AT402" s="170"/>
      <c r="AU402" s="170"/>
      <c r="AV402" s="170"/>
      <c r="AW402" s="170"/>
      <c r="AX402" s="170"/>
    </row>
    <row r="403" spans="1:50" ht="15" x14ac:dyDescent="0.25">
      <c r="A403" s="170"/>
      <c r="B403" s="719"/>
      <c r="C403" s="170"/>
      <c r="D403" s="170"/>
      <c r="E403" s="170"/>
      <c r="F403" s="170"/>
      <c r="G403" s="721"/>
      <c r="H403" s="170"/>
      <c r="I403" s="170"/>
      <c r="J403" s="170"/>
      <c r="K403" s="170"/>
      <c r="L403" s="170"/>
      <c r="M403" s="730"/>
      <c r="N403" s="730"/>
      <c r="O403" s="730"/>
      <c r="P403" s="731"/>
      <c r="Q403" s="731"/>
      <c r="R403" s="730"/>
      <c r="S403" s="730"/>
      <c r="T403" s="723"/>
      <c r="U403" s="724"/>
      <c r="V403" s="725"/>
      <c r="W403" s="725"/>
      <c r="X403" s="723"/>
      <c r="Y403" s="723"/>
      <c r="Z403" s="723"/>
      <c r="AA403" s="726"/>
      <c r="AB403" s="726"/>
      <c r="AC403" s="170"/>
      <c r="AD403" s="586"/>
      <c r="AE403" s="586"/>
      <c r="AF403" s="170"/>
      <c r="AG403" s="170"/>
      <c r="AH403" s="170"/>
      <c r="AI403" s="170"/>
      <c r="AJ403" s="170"/>
      <c r="AK403" s="170"/>
      <c r="AL403" s="170"/>
      <c r="AM403" s="170"/>
      <c r="AN403" s="170"/>
      <c r="AO403" s="170"/>
      <c r="AP403" s="170"/>
      <c r="AQ403" s="170"/>
      <c r="AR403" s="170"/>
      <c r="AS403" s="170"/>
      <c r="AT403" s="170"/>
      <c r="AU403" s="170"/>
      <c r="AV403" s="170"/>
      <c r="AW403" s="170"/>
      <c r="AX403" s="170"/>
    </row>
    <row r="404" spans="1:50" ht="15" x14ac:dyDescent="0.25">
      <c r="A404" s="170"/>
      <c r="B404" s="719"/>
      <c r="C404" s="170"/>
      <c r="D404" s="170"/>
      <c r="E404" s="170"/>
      <c r="F404" s="170"/>
      <c r="G404" s="721"/>
      <c r="H404" s="170"/>
      <c r="I404" s="170"/>
      <c r="J404" s="170"/>
      <c r="K404" s="170"/>
      <c r="L404" s="170"/>
      <c r="M404" s="730"/>
      <c r="N404" s="730"/>
      <c r="O404" s="730"/>
      <c r="P404" s="731"/>
      <c r="Q404" s="731"/>
      <c r="R404" s="730"/>
      <c r="S404" s="730"/>
      <c r="T404" s="723"/>
      <c r="U404" s="724"/>
      <c r="V404" s="725"/>
      <c r="W404" s="725"/>
      <c r="X404" s="723"/>
      <c r="Y404" s="723"/>
      <c r="Z404" s="723"/>
      <c r="AA404" s="726"/>
      <c r="AB404" s="726"/>
      <c r="AC404" s="170"/>
      <c r="AD404" s="586"/>
      <c r="AE404" s="586"/>
      <c r="AF404" s="170"/>
      <c r="AG404" s="170"/>
      <c r="AH404" s="170"/>
      <c r="AI404" s="170"/>
      <c r="AJ404" s="170"/>
      <c r="AK404" s="170"/>
      <c r="AL404" s="170"/>
      <c r="AM404" s="170"/>
      <c r="AN404" s="170"/>
      <c r="AO404" s="170"/>
      <c r="AP404" s="170"/>
      <c r="AQ404" s="170"/>
      <c r="AR404" s="170"/>
      <c r="AS404" s="170"/>
      <c r="AT404" s="170"/>
      <c r="AU404" s="170"/>
      <c r="AV404" s="170"/>
      <c r="AW404" s="170"/>
      <c r="AX404" s="170"/>
    </row>
    <row r="405" spans="1:50" ht="15" x14ac:dyDescent="0.25">
      <c r="A405" s="170"/>
      <c r="B405" s="719"/>
      <c r="C405" s="170"/>
      <c r="D405" s="170"/>
      <c r="E405" s="170"/>
      <c r="F405" s="170"/>
      <c r="G405" s="721"/>
      <c r="H405" s="170"/>
      <c r="I405" s="170"/>
      <c r="J405" s="170"/>
      <c r="K405" s="170"/>
      <c r="L405" s="170"/>
      <c r="M405" s="730"/>
      <c r="N405" s="730"/>
      <c r="O405" s="730"/>
      <c r="P405" s="731"/>
      <c r="Q405" s="731"/>
      <c r="R405" s="730"/>
      <c r="S405" s="730"/>
      <c r="T405" s="723"/>
      <c r="U405" s="724"/>
      <c r="V405" s="725"/>
      <c r="W405" s="725"/>
      <c r="X405" s="723"/>
      <c r="Y405" s="723"/>
      <c r="Z405" s="723"/>
      <c r="AA405" s="726"/>
      <c r="AB405" s="726"/>
      <c r="AC405" s="170"/>
      <c r="AD405" s="586"/>
      <c r="AE405" s="586"/>
      <c r="AF405" s="170"/>
      <c r="AG405" s="170"/>
      <c r="AH405" s="170"/>
      <c r="AI405" s="170"/>
      <c r="AJ405" s="170"/>
      <c r="AK405" s="170"/>
      <c r="AL405" s="170"/>
      <c r="AM405" s="170"/>
      <c r="AN405" s="170"/>
      <c r="AO405" s="170"/>
      <c r="AP405" s="170"/>
      <c r="AQ405" s="170"/>
      <c r="AR405" s="170"/>
      <c r="AS405" s="170"/>
      <c r="AT405" s="170"/>
      <c r="AU405" s="170"/>
      <c r="AV405" s="170"/>
      <c r="AW405" s="170"/>
      <c r="AX405" s="170"/>
    </row>
    <row r="406" spans="1:50" ht="15" x14ac:dyDescent="0.25">
      <c r="A406" s="170"/>
      <c r="B406" s="719"/>
      <c r="C406" s="170"/>
      <c r="D406" s="170"/>
      <c r="E406" s="170"/>
      <c r="F406" s="170"/>
      <c r="G406" s="721"/>
      <c r="H406" s="170"/>
      <c r="I406" s="170"/>
      <c r="J406" s="170"/>
      <c r="K406" s="170"/>
      <c r="L406" s="170"/>
      <c r="M406" s="730"/>
      <c r="N406" s="730"/>
      <c r="O406" s="730"/>
      <c r="P406" s="731"/>
      <c r="Q406" s="731"/>
      <c r="R406" s="730"/>
      <c r="S406" s="730"/>
      <c r="T406" s="723"/>
      <c r="U406" s="724"/>
      <c r="V406" s="725"/>
      <c r="W406" s="725"/>
      <c r="X406" s="723"/>
      <c r="Y406" s="723"/>
      <c r="Z406" s="723"/>
      <c r="AA406" s="726"/>
      <c r="AB406" s="726"/>
      <c r="AC406" s="170"/>
      <c r="AD406" s="586"/>
      <c r="AE406" s="586"/>
      <c r="AF406" s="170"/>
      <c r="AG406" s="170"/>
      <c r="AH406" s="170"/>
      <c r="AI406" s="170"/>
      <c r="AJ406" s="170"/>
      <c r="AK406" s="170"/>
      <c r="AL406" s="170"/>
      <c r="AM406" s="170"/>
      <c r="AN406" s="170"/>
      <c r="AO406" s="170"/>
      <c r="AP406" s="170"/>
      <c r="AQ406" s="170"/>
      <c r="AR406" s="170"/>
      <c r="AS406" s="170"/>
      <c r="AT406" s="170"/>
      <c r="AU406" s="170"/>
      <c r="AV406" s="170"/>
      <c r="AW406" s="170"/>
      <c r="AX406" s="170"/>
    </row>
    <row r="407" spans="1:50" ht="15" x14ac:dyDescent="0.25">
      <c r="A407" s="170"/>
      <c r="B407" s="719"/>
      <c r="C407" s="170"/>
      <c r="D407" s="170"/>
      <c r="E407" s="170"/>
      <c r="F407" s="170"/>
      <c r="G407" s="721"/>
      <c r="H407" s="170"/>
      <c r="I407" s="170"/>
      <c r="J407" s="170"/>
      <c r="K407" s="170"/>
      <c r="L407" s="170"/>
      <c r="M407" s="730"/>
      <c r="N407" s="730"/>
      <c r="O407" s="730"/>
      <c r="P407" s="731"/>
      <c r="Q407" s="731"/>
      <c r="R407" s="730"/>
      <c r="S407" s="730"/>
      <c r="T407" s="723"/>
      <c r="U407" s="724"/>
      <c r="V407" s="725"/>
      <c r="W407" s="725"/>
      <c r="X407" s="723"/>
      <c r="Y407" s="723"/>
      <c r="Z407" s="723"/>
      <c r="AA407" s="726"/>
      <c r="AB407" s="726"/>
      <c r="AC407" s="170"/>
      <c r="AD407" s="586"/>
      <c r="AE407" s="586"/>
      <c r="AF407" s="170"/>
      <c r="AG407" s="170"/>
      <c r="AH407" s="170"/>
      <c r="AI407" s="170"/>
      <c r="AJ407" s="170"/>
      <c r="AK407" s="170"/>
      <c r="AL407" s="170"/>
      <c r="AM407" s="170"/>
      <c r="AN407" s="170"/>
      <c r="AO407" s="170"/>
      <c r="AP407" s="170"/>
      <c r="AQ407" s="170"/>
      <c r="AR407" s="170"/>
      <c r="AS407" s="170"/>
      <c r="AT407" s="170"/>
      <c r="AU407" s="170"/>
      <c r="AV407" s="170"/>
      <c r="AW407" s="170"/>
      <c r="AX407" s="170"/>
    </row>
    <row r="408" spans="1:50" ht="15" x14ac:dyDescent="0.25">
      <c r="A408" s="170"/>
      <c r="B408" s="719"/>
      <c r="C408" s="170"/>
      <c r="D408" s="170"/>
      <c r="E408" s="170"/>
      <c r="F408" s="170"/>
      <c r="G408" s="721"/>
      <c r="H408" s="170"/>
      <c r="I408" s="170"/>
      <c r="J408" s="170"/>
      <c r="K408" s="170"/>
      <c r="L408" s="170"/>
      <c r="M408" s="730"/>
      <c r="N408" s="730"/>
      <c r="O408" s="730"/>
      <c r="P408" s="731"/>
      <c r="Q408" s="731"/>
      <c r="R408" s="730"/>
      <c r="S408" s="730"/>
      <c r="T408" s="723"/>
      <c r="U408" s="724"/>
      <c r="V408" s="725"/>
      <c r="W408" s="725"/>
      <c r="X408" s="723"/>
      <c r="Y408" s="723"/>
      <c r="Z408" s="723"/>
      <c r="AA408" s="726"/>
      <c r="AB408" s="726"/>
      <c r="AC408" s="170"/>
      <c r="AD408" s="586"/>
      <c r="AE408" s="586"/>
      <c r="AF408" s="170"/>
      <c r="AG408" s="170"/>
      <c r="AH408" s="170"/>
      <c r="AI408" s="170"/>
      <c r="AJ408" s="170"/>
      <c r="AK408" s="170"/>
      <c r="AL408" s="170"/>
      <c r="AM408" s="170"/>
      <c r="AN408" s="170"/>
      <c r="AO408" s="170"/>
      <c r="AP408" s="170"/>
      <c r="AQ408" s="170"/>
      <c r="AR408" s="170"/>
      <c r="AS408" s="170"/>
      <c r="AT408" s="170"/>
      <c r="AU408" s="170"/>
      <c r="AV408" s="170"/>
      <c r="AW408" s="170"/>
      <c r="AX408" s="170"/>
    </row>
    <row r="409" spans="1:50" ht="15" x14ac:dyDescent="0.25">
      <c r="A409" s="170"/>
      <c r="B409" s="719"/>
      <c r="C409" s="170"/>
      <c r="D409" s="170"/>
      <c r="E409" s="170"/>
      <c r="F409" s="170"/>
      <c r="G409" s="721"/>
      <c r="H409" s="170"/>
      <c r="I409" s="170"/>
      <c r="J409" s="170"/>
      <c r="K409" s="170"/>
      <c r="L409" s="170"/>
      <c r="M409" s="730"/>
      <c r="N409" s="730"/>
      <c r="O409" s="730"/>
      <c r="P409" s="731"/>
      <c r="Q409" s="731"/>
      <c r="R409" s="730"/>
      <c r="S409" s="730"/>
      <c r="T409" s="723"/>
      <c r="U409" s="724"/>
      <c r="V409" s="725"/>
      <c r="W409" s="725"/>
      <c r="X409" s="723"/>
      <c r="Y409" s="723"/>
      <c r="Z409" s="723"/>
      <c r="AA409" s="726"/>
      <c r="AB409" s="726"/>
      <c r="AC409" s="170"/>
      <c r="AD409" s="586"/>
      <c r="AE409" s="586"/>
      <c r="AF409" s="170"/>
      <c r="AG409" s="170"/>
      <c r="AH409" s="170"/>
      <c r="AI409" s="170"/>
      <c r="AJ409" s="170"/>
      <c r="AK409" s="170"/>
      <c r="AL409" s="170"/>
      <c r="AM409" s="170"/>
      <c r="AN409" s="170"/>
      <c r="AO409" s="170"/>
      <c r="AP409" s="170"/>
      <c r="AQ409" s="170"/>
      <c r="AR409" s="170"/>
      <c r="AS409" s="170"/>
      <c r="AT409" s="170"/>
      <c r="AU409" s="170"/>
      <c r="AV409" s="170"/>
      <c r="AW409" s="170"/>
      <c r="AX409" s="170"/>
    </row>
    <row r="410" spans="1:50" ht="15" x14ac:dyDescent="0.25">
      <c r="A410" s="170"/>
      <c r="B410" s="719"/>
      <c r="C410" s="170"/>
      <c r="D410" s="170"/>
      <c r="E410" s="170"/>
      <c r="F410" s="170"/>
      <c r="G410" s="721"/>
      <c r="H410" s="170"/>
      <c r="I410" s="170"/>
      <c r="J410" s="170"/>
      <c r="K410" s="170"/>
      <c r="L410" s="170"/>
      <c r="M410" s="730"/>
      <c r="N410" s="730"/>
      <c r="O410" s="730"/>
      <c r="P410" s="731"/>
      <c r="Q410" s="731"/>
      <c r="R410" s="730"/>
      <c r="S410" s="730"/>
      <c r="T410" s="723"/>
      <c r="U410" s="724"/>
      <c r="V410" s="725"/>
      <c r="W410" s="725"/>
      <c r="X410" s="723"/>
      <c r="Y410" s="723"/>
      <c r="Z410" s="723"/>
      <c r="AA410" s="726"/>
      <c r="AB410" s="726"/>
      <c r="AC410" s="170"/>
      <c r="AD410" s="586"/>
      <c r="AE410" s="586"/>
      <c r="AF410" s="170"/>
      <c r="AG410" s="170"/>
      <c r="AH410" s="170"/>
      <c r="AI410" s="170"/>
      <c r="AJ410" s="170"/>
      <c r="AK410" s="170"/>
      <c r="AL410" s="170"/>
      <c r="AM410" s="170"/>
      <c r="AN410" s="170"/>
      <c r="AO410" s="170"/>
      <c r="AP410" s="170"/>
      <c r="AQ410" s="170"/>
      <c r="AR410" s="170"/>
      <c r="AS410" s="170"/>
      <c r="AT410" s="170"/>
      <c r="AU410" s="170"/>
      <c r="AV410" s="170"/>
      <c r="AW410" s="170"/>
      <c r="AX410" s="170"/>
    </row>
    <row r="411" spans="1:50" ht="15" x14ac:dyDescent="0.25">
      <c r="A411" s="170"/>
      <c r="B411" s="719"/>
      <c r="C411" s="170"/>
      <c r="D411" s="170"/>
      <c r="E411" s="170"/>
      <c r="F411" s="170"/>
      <c r="G411" s="721"/>
      <c r="H411" s="170"/>
      <c r="I411" s="170"/>
      <c r="J411" s="170"/>
      <c r="K411" s="170"/>
      <c r="L411" s="170"/>
      <c r="M411" s="730"/>
      <c r="N411" s="730"/>
      <c r="O411" s="730"/>
      <c r="P411" s="731"/>
      <c r="Q411" s="731"/>
      <c r="R411" s="730"/>
      <c r="S411" s="730"/>
      <c r="T411" s="723"/>
      <c r="U411" s="724"/>
      <c r="V411" s="725"/>
      <c r="W411" s="725"/>
      <c r="X411" s="723"/>
      <c r="Y411" s="723"/>
      <c r="Z411" s="723"/>
      <c r="AA411" s="726"/>
      <c r="AB411" s="726"/>
      <c r="AC411" s="170"/>
      <c r="AD411" s="586"/>
      <c r="AE411" s="586"/>
      <c r="AF411" s="170"/>
      <c r="AG411" s="170"/>
      <c r="AH411" s="170"/>
      <c r="AI411" s="170"/>
      <c r="AJ411" s="170"/>
      <c r="AK411" s="170"/>
      <c r="AL411" s="170"/>
      <c r="AM411" s="170"/>
      <c r="AN411" s="170"/>
      <c r="AO411" s="170"/>
      <c r="AP411" s="170"/>
      <c r="AQ411" s="170"/>
      <c r="AR411" s="170"/>
      <c r="AS411" s="170"/>
      <c r="AT411" s="170"/>
      <c r="AU411" s="170"/>
      <c r="AV411" s="170"/>
      <c r="AW411" s="170"/>
      <c r="AX411" s="170"/>
    </row>
    <row r="412" spans="1:50" ht="15" x14ac:dyDescent="0.25">
      <c r="A412" s="170"/>
      <c r="B412" s="719"/>
      <c r="C412" s="170"/>
      <c r="D412" s="170"/>
      <c r="E412" s="170"/>
      <c r="F412" s="170"/>
      <c r="G412" s="721"/>
      <c r="H412" s="170"/>
      <c r="I412" s="170"/>
      <c r="J412" s="170"/>
      <c r="K412" s="170"/>
      <c r="L412" s="170"/>
      <c r="M412" s="730"/>
      <c r="N412" s="730"/>
      <c r="O412" s="730"/>
      <c r="P412" s="731"/>
      <c r="Q412" s="731"/>
      <c r="R412" s="730"/>
      <c r="S412" s="730"/>
      <c r="T412" s="723"/>
      <c r="U412" s="724"/>
      <c r="V412" s="725"/>
      <c r="W412" s="725"/>
      <c r="X412" s="723"/>
      <c r="Y412" s="723"/>
      <c r="Z412" s="723"/>
      <c r="AA412" s="726"/>
      <c r="AB412" s="726"/>
      <c r="AC412" s="170"/>
      <c r="AD412" s="586"/>
      <c r="AE412" s="586"/>
      <c r="AF412" s="170"/>
      <c r="AG412" s="170"/>
      <c r="AH412" s="170"/>
      <c r="AI412" s="170"/>
      <c r="AJ412" s="170"/>
      <c r="AK412" s="170"/>
      <c r="AL412" s="170"/>
      <c r="AM412" s="170"/>
      <c r="AN412" s="170"/>
      <c r="AO412" s="170"/>
      <c r="AP412" s="170"/>
      <c r="AQ412" s="170"/>
      <c r="AR412" s="170"/>
      <c r="AS412" s="170"/>
      <c r="AT412" s="170"/>
      <c r="AU412" s="170"/>
      <c r="AV412" s="170"/>
      <c r="AW412" s="170"/>
      <c r="AX412" s="170"/>
    </row>
    <row r="413" spans="1:50" ht="15" x14ac:dyDescent="0.25">
      <c r="A413" s="170"/>
      <c r="B413" s="719"/>
      <c r="C413" s="170"/>
      <c r="D413" s="170"/>
      <c r="E413" s="170"/>
      <c r="F413" s="170"/>
      <c r="G413" s="721"/>
      <c r="H413" s="170"/>
      <c r="I413" s="170"/>
      <c r="J413" s="170"/>
      <c r="K413" s="170"/>
      <c r="L413" s="170"/>
      <c r="M413" s="730"/>
      <c r="N413" s="730"/>
      <c r="O413" s="730"/>
      <c r="P413" s="731"/>
      <c r="Q413" s="731"/>
      <c r="R413" s="730"/>
      <c r="S413" s="730"/>
      <c r="T413" s="723"/>
      <c r="U413" s="724"/>
      <c r="V413" s="725"/>
      <c r="W413" s="725"/>
      <c r="X413" s="723"/>
      <c r="Y413" s="723"/>
      <c r="Z413" s="723"/>
      <c r="AA413" s="726"/>
      <c r="AB413" s="726"/>
      <c r="AC413" s="170"/>
      <c r="AD413" s="586"/>
      <c r="AE413" s="586"/>
      <c r="AF413" s="170"/>
      <c r="AG413" s="170"/>
      <c r="AH413" s="170"/>
      <c r="AI413" s="170"/>
      <c r="AJ413" s="170"/>
      <c r="AK413" s="170"/>
      <c r="AL413" s="170"/>
      <c r="AM413" s="170"/>
      <c r="AN413" s="170"/>
      <c r="AO413" s="170"/>
      <c r="AP413" s="170"/>
      <c r="AQ413" s="170"/>
      <c r="AR413" s="170"/>
      <c r="AS413" s="170"/>
      <c r="AT413" s="170"/>
      <c r="AU413" s="170"/>
      <c r="AV413" s="170"/>
      <c r="AW413" s="170"/>
      <c r="AX413" s="170"/>
    </row>
    <row r="414" spans="1:50" ht="15" x14ac:dyDescent="0.25">
      <c r="A414" s="170"/>
      <c r="B414" s="719"/>
      <c r="C414" s="170"/>
      <c r="D414" s="170"/>
      <c r="E414" s="170"/>
      <c r="F414" s="170"/>
      <c r="G414" s="721"/>
      <c r="H414" s="170"/>
      <c r="I414" s="170"/>
      <c r="J414" s="170"/>
      <c r="K414" s="170"/>
      <c r="L414" s="170"/>
      <c r="M414" s="730"/>
      <c r="N414" s="730"/>
      <c r="O414" s="730"/>
      <c r="P414" s="731"/>
      <c r="Q414" s="731"/>
      <c r="R414" s="730"/>
      <c r="S414" s="730"/>
      <c r="T414" s="723"/>
      <c r="U414" s="724"/>
      <c r="V414" s="725"/>
      <c r="W414" s="725"/>
      <c r="X414" s="723"/>
      <c r="Y414" s="723"/>
      <c r="Z414" s="723"/>
      <c r="AA414" s="726"/>
      <c r="AB414" s="726"/>
      <c r="AC414" s="170"/>
      <c r="AD414" s="586"/>
      <c r="AE414" s="586"/>
      <c r="AF414" s="170"/>
      <c r="AG414" s="170"/>
      <c r="AH414" s="170"/>
      <c r="AI414" s="170"/>
      <c r="AJ414" s="170"/>
      <c r="AK414" s="170"/>
      <c r="AL414" s="170"/>
      <c r="AM414" s="170"/>
      <c r="AN414" s="170"/>
      <c r="AO414" s="170"/>
      <c r="AP414" s="170"/>
      <c r="AQ414" s="170"/>
      <c r="AR414" s="170"/>
      <c r="AS414" s="170"/>
      <c r="AT414" s="170"/>
      <c r="AU414" s="170"/>
      <c r="AV414" s="170"/>
      <c r="AW414" s="170"/>
      <c r="AX414" s="170"/>
    </row>
    <row r="415" spans="1:50" ht="15" x14ac:dyDescent="0.25">
      <c r="A415" s="170"/>
      <c r="B415" s="719"/>
      <c r="C415" s="170"/>
      <c r="D415" s="170"/>
      <c r="E415" s="170"/>
      <c r="F415" s="170"/>
      <c r="G415" s="721"/>
      <c r="H415" s="170"/>
      <c r="I415" s="170"/>
      <c r="J415" s="170"/>
      <c r="K415" s="170"/>
      <c r="L415" s="170"/>
      <c r="M415" s="730"/>
      <c r="N415" s="730"/>
      <c r="O415" s="730"/>
      <c r="P415" s="731"/>
      <c r="Q415" s="731"/>
      <c r="R415" s="730"/>
      <c r="S415" s="730"/>
      <c r="T415" s="723"/>
      <c r="U415" s="724"/>
      <c r="V415" s="725"/>
      <c r="W415" s="725"/>
      <c r="X415" s="723"/>
      <c r="Y415" s="723"/>
      <c r="Z415" s="723"/>
      <c r="AA415" s="726"/>
      <c r="AB415" s="726"/>
      <c r="AC415" s="170"/>
      <c r="AD415" s="586"/>
      <c r="AE415" s="586"/>
      <c r="AF415" s="170"/>
      <c r="AG415" s="170"/>
      <c r="AH415" s="170"/>
      <c r="AI415" s="170"/>
      <c r="AJ415" s="170"/>
      <c r="AK415" s="170"/>
      <c r="AL415" s="170"/>
      <c r="AM415" s="170"/>
      <c r="AN415" s="170"/>
      <c r="AO415" s="170"/>
      <c r="AP415" s="170"/>
      <c r="AQ415" s="170"/>
      <c r="AR415" s="170"/>
      <c r="AS415" s="170"/>
      <c r="AT415" s="170"/>
      <c r="AU415" s="170"/>
      <c r="AV415" s="170"/>
      <c r="AW415" s="170"/>
      <c r="AX415" s="170"/>
    </row>
    <row r="416" spans="1:50" ht="15" x14ac:dyDescent="0.25">
      <c r="A416" s="170"/>
      <c r="B416" s="719"/>
      <c r="C416" s="170"/>
      <c r="D416" s="170"/>
      <c r="E416" s="170"/>
      <c r="F416" s="170"/>
      <c r="G416" s="721"/>
      <c r="H416" s="170"/>
      <c r="I416" s="170"/>
      <c r="J416" s="170"/>
      <c r="K416" s="170"/>
      <c r="L416" s="170"/>
      <c r="M416" s="730"/>
      <c r="N416" s="730"/>
      <c r="O416" s="730"/>
      <c r="P416" s="731"/>
      <c r="Q416" s="731"/>
      <c r="R416" s="730"/>
      <c r="S416" s="730"/>
      <c r="T416" s="723"/>
      <c r="U416" s="724"/>
      <c r="V416" s="725"/>
      <c r="W416" s="725"/>
      <c r="X416" s="723"/>
      <c r="Y416" s="723"/>
      <c r="Z416" s="723"/>
      <c r="AA416" s="726"/>
      <c r="AB416" s="726"/>
      <c r="AC416" s="170"/>
      <c r="AD416" s="586"/>
      <c r="AE416" s="586"/>
      <c r="AF416" s="170"/>
      <c r="AG416" s="170"/>
      <c r="AH416" s="170"/>
      <c r="AI416" s="170"/>
      <c r="AJ416" s="170"/>
      <c r="AK416" s="170"/>
      <c r="AL416" s="170"/>
      <c r="AM416" s="170"/>
      <c r="AN416" s="170"/>
      <c r="AO416" s="170"/>
      <c r="AP416" s="170"/>
      <c r="AQ416" s="170"/>
      <c r="AR416" s="170"/>
      <c r="AS416" s="170"/>
      <c r="AT416" s="170"/>
      <c r="AU416" s="170"/>
      <c r="AV416" s="170"/>
      <c r="AW416" s="170"/>
      <c r="AX416" s="170"/>
    </row>
    <row r="417" spans="1:50" ht="15" x14ac:dyDescent="0.25">
      <c r="A417" s="170"/>
      <c r="B417" s="719"/>
      <c r="C417" s="170"/>
      <c r="D417" s="170"/>
      <c r="E417" s="170"/>
      <c r="F417" s="170"/>
      <c r="G417" s="721"/>
      <c r="H417" s="170"/>
      <c r="I417" s="170"/>
      <c r="J417" s="170"/>
      <c r="K417" s="170"/>
      <c r="L417" s="170"/>
      <c r="M417" s="730"/>
      <c r="N417" s="730"/>
      <c r="O417" s="730"/>
      <c r="P417" s="731"/>
      <c r="Q417" s="731"/>
      <c r="R417" s="730"/>
      <c r="S417" s="730"/>
      <c r="T417" s="723"/>
      <c r="U417" s="724"/>
      <c r="V417" s="725"/>
      <c r="W417" s="725"/>
      <c r="X417" s="723"/>
      <c r="Y417" s="723"/>
      <c r="Z417" s="723"/>
      <c r="AA417" s="726"/>
      <c r="AB417" s="726"/>
      <c r="AC417" s="170"/>
      <c r="AD417" s="586"/>
      <c r="AE417" s="586"/>
      <c r="AF417" s="170"/>
      <c r="AG417" s="170"/>
      <c r="AH417" s="170"/>
      <c r="AI417" s="170"/>
      <c r="AJ417" s="170"/>
      <c r="AK417" s="170"/>
      <c r="AL417" s="170"/>
      <c r="AM417" s="170"/>
      <c r="AN417" s="170"/>
      <c r="AO417" s="170"/>
      <c r="AP417" s="170"/>
      <c r="AQ417" s="170"/>
      <c r="AR417" s="170"/>
      <c r="AS417" s="170"/>
      <c r="AT417" s="170"/>
      <c r="AU417" s="170"/>
      <c r="AV417" s="170"/>
      <c r="AW417" s="170"/>
      <c r="AX417" s="170"/>
    </row>
    <row r="418" spans="1:50" ht="15" x14ac:dyDescent="0.25">
      <c r="A418" s="170"/>
      <c r="B418" s="719"/>
      <c r="C418" s="170"/>
      <c r="D418" s="170"/>
      <c r="E418" s="170"/>
      <c r="F418" s="170"/>
      <c r="G418" s="721"/>
      <c r="H418" s="170"/>
      <c r="I418" s="170"/>
      <c r="J418" s="170"/>
      <c r="K418" s="170"/>
      <c r="L418" s="170"/>
      <c r="M418" s="730"/>
      <c r="N418" s="730"/>
      <c r="O418" s="730"/>
      <c r="P418" s="731"/>
      <c r="Q418" s="731"/>
      <c r="R418" s="730"/>
      <c r="S418" s="730"/>
      <c r="T418" s="723"/>
      <c r="U418" s="724"/>
      <c r="V418" s="725"/>
      <c r="W418" s="725"/>
      <c r="X418" s="723"/>
      <c r="Y418" s="723"/>
      <c r="Z418" s="723"/>
      <c r="AA418" s="726"/>
      <c r="AB418" s="726"/>
      <c r="AC418" s="170"/>
      <c r="AD418" s="586"/>
      <c r="AE418" s="586"/>
      <c r="AF418" s="170"/>
      <c r="AG418" s="170"/>
      <c r="AH418" s="170"/>
      <c r="AI418" s="170"/>
      <c r="AJ418" s="170"/>
      <c r="AK418" s="170"/>
      <c r="AL418" s="170"/>
      <c r="AM418" s="170"/>
      <c r="AN418" s="170"/>
      <c r="AO418" s="170"/>
      <c r="AP418" s="170"/>
      <c r="AQ418" s="170"/>
      <c r="AR418" s="170"/>
      <c r="AS418" s="170"/>
      <c r="AT418" s="170"/>
      <c r="AU418" s="170"/>
      <c r="AV418" s="170"/>
      <c r="AW418" s="170"/>
      <c r="AX418" s="170"/>
    </row>
    <row r="419" spans="1:50" ht="15" x14ac:dyDescent="0.25">
      <c r="A419" s="170"/>
      <c r="B419" s="719"/>
      <c r="C419" s="170"/>
      <c r="D419" s="170"/>
      <c r="E419" s="170"/>
      <c r="F419" s="170"/>
      <c r="G419" s="721"/>
      <c r="H419" s="170"/>
      <c r="I419" s="170"/>
      <c r="J419" s="170"/>
      <c r="K419" s="170"/>
      <c r="L419" s="170"/>
      <c r="M419" s="730"/>
      <c r="N419" s="730"/>
      <c r="O419" s="730"/>
      <c r="P419" s="731"/>
      <c r="Q419" s="731"/>
      <c r="R419" s="730"/>
      <c r="S419" s="730"/>
      <c r="T419" s="723"/>
      <c r="U419" s="724"/>
      <c r="V419" s="725"/>
      <c r="W419" s="725"/>
      <c r="X419" s="723"/>
      <c r="Y419" s="723"/>
      <c r="Z419" s="723"/>
      <c r="AA419" s="726"/>
      <c r="AB419" s="726"/>
      <c r="AC419" s="170"/>
      <c r="AD419" s="586"/>
      <c r="AE419" s="586"/>
      <c r="AF419" s="170"/>
      <c r="AG419" s="170"/>
      <c r="AH419" s="170"/>
      <c r="AI419" s="170"/>
      <c r="AJ419" s="170"/>
      <c r="AK419" s="170"/>
      <c r="AL419" s="170"/>
      <c r="AM419" s="170"/>
      <c r="AN419" s="170"/>
      <c r="AO419" s="170"/>
      <c r="AP419" s="170"/>
      <c r="AQ419" s="170"/>
      <c r="AR419" s="170"/>
      <c r="AS419" s="170"/>
      <c r="AT419" s="170"/>
      <c r="AU419" s="170"/>
      <c r="AV419" s="170"/>
      <c r="AW419" s="170"/>
      <c r="AX419" s="170"/>
    </row>
    <row r="420" spans="1:50" ht="15" x14ac:dyDescent="0.25">
      <c r="A420" s="170"/>
      <c r="B420" s="719"/>
      <c r="C420" s="170"/>
      <c r="D420" s="170"/>
      <c r="E420" s="170"/>
      <c r="F420" s="170"/>
      <c r="G420" s="721"/>
      <c r="H420" s="170"/>
      <c r="I420" s="170"/>
      <c r="J420" s="170"/>
      <c r="K420" s="170"/>
      <c r="L420" s="170"/>
      <c r="M420" s="730"/>
      <c r="N420" s="730"/>
      <c r="O420" s="730"/>
      <c r="P420" s="731"/>
      <c r="Q420" s="731"/>
      <c r="R420" s="730"/>
      <c r="S420" s="730"/>
      <c r="T420" s="723"/>
      <c r="U420" s="724"/>
      <c r="V420" s="725"/>
      <c r="W420" s="725"/>
      <c r="X420" s="723"/>
      <c r="Y420" s="723"/>
      <c r="Z420" s="723"/>
      <c r="AA420" s="726"/>
      <c r="AB420" s="726"/>
      <c r="AC420" s="170"/>
      <c r="AD420" s="586"/>
      <c r="AE420" s="586"/>
      <c r="AF420" s="170"/>
      <c r="AG420" s="170"/>
      <c r="AH420" s="170"/>
      <c r="AI420" s="170"/>
      <c r="AJ420" s="170"/>
      <c r="AK420" s="170"/>
      <c r="AL420" s="170"/>
      <c r="AM420" s="170"/>
      <c r="AN420" s="170"/>
      <c r="AO420" s="170"/>
      <c r="AP420" s="170"/>
      <c r="AQ420" s="170"/>
      <c r="AR420" s="170"/>
      <c r="AS420" s="170"/>
      <c r="AT420" s="170"/>
      <c r="AU420" s="170"/>
      <c r="AV420" s="170"/>
      <c r="AW420" s="170"/>
      <c r="AX420" s="170"/>
    </row>
    <row r="421" spans="1:50" ht="15" x14ac:dyDescent="0.25">
      <c r="A421" s="170"/>
      <c r="B421" s="719"/>
      <c r="C421" s="170"/>
      <c r="D421" s="170"/>
      <c r="E421" s="170"/>
      <c r="F421" s="170"/>
      <c r="G421" s="721"/>
      <c r="H421" s="170"/>
      <c r="I421" s="170"/>
      <c r="J421" s="170"/>
      <c r="K421" s="170"/>
      <c r="L421" s="170"/>
      <c r="M421" s="730"/>
      <c r="N421" s="730"/>
      <c r="O421" s="730"/>
      <c r="P421" s="731"/>
      <c r="Q421" s="731"/>
      <c r="R421" s="730"/>
      <c r="S421" s="730"/>
      <c r="T421" s="723"/>
      <c r="U421" s="724"/>
      <c r="V421" s="725"/>
      <c r="W421" s="725"/>
      <c r="X421" s="723"/>
      <c r="Y421" s="723"/>
      <c r="Z421" s="723"/>
      <c r="AA421" s="726"/>
      <c r="AB421" s="726"/>
      <c r="AC421" s="170"/>
      <c r="AD421" s="586"/>
      <c r="AE421" s="586"/>
      <c r="AF421" s="170"/>
      <c r="AG421" s="170"/>
      <c r="AH421" s="170"/>
      <c r="AI421" s="170"/>
      <c r="AJ421" s="170"/>
      <c r="AK421" s="170"/>
      <c r="AL421" s="170"/>
      <c r="AM421" s="170"/>
      <c r="AN421" s="170"/>
      <c r="AO421" s="170"/>
      <c r="AP421" s="170"/>
      <c r="AQ421" s="170"/>
      <c r="AR421" s="170"/>
      <c r="AS421" s="170"/>
      <c r="AT421" s="170"/>
      <c r="AU421" s="170"/>
      <c r="AV421" s="170"/>
      <c r="AW421" s="170"/>
      <c r="AX421" s="170"/>
    </row>
    <row r="422" spans="1:50" ht="15" x14ac:dyDescent="0.25">
      <c r="A422" s="170"/>
      <c r="B422" s="719"/>
      <c r="C422" s="170"/>
      <c r="D422" s="170"/>
      <c r="E422" s="170"/>
      <c r="F422" s="170"/>
      <c r="G422" s="721"/>
      <c r="H422" s="170"/>
      <c r="I422" s="170"/>
      <c r="J422" s="170"/>
      <c r="K422" s="170"/>
      <c r="L422" s="170"/>
      <c r="M422" s="730"/>
      <c r="N422" s="730"/>
      <c r="O422" s="730"/>
      <c r="P422" s="731"/>
      <c r="Q422" s="731"/>
      <c r="R422" s="730"/>
      <c r="S422" s="730"/>
      <c r="T422" s="723"/>
      <c r="U422" s="724"/>
      <c r="V422" s="725"/>
      <c r="W422" s="725"/>
      <c r="X422" s="723"/>
      <c r="Y422" s="723"/>
      <c r="Z422" s="723"/>
      <c r="AA422" s="726"/>
      <c r="AB422" s="726"/>
      <c r="AC422" s="170"/>
      <c r="AD422" s="586"/>
      <c r="AE422" s="586"/>
      <c r="AF422" s="170"/>
      <c r="AG422" s="170"/>
      <c r="AH422" s="170"/>
      <c r="AI422" s="170"/>
      <c r="AJ422" s="170"/>
      <c r="AK422" s="170"/>
      <c r="AL422" s="170"/>
      <c r="AM422" s="170"/>
      <c r="AN422" s="170"/>
      <c r="AO422" s="170"/>
      <c r="AP422" s="170"/>
      <c r="AQ422" s="170"/>
      <c r="AR422" s="170"/>
      <c r="AS422" s="170"/>
      <c r="AT422" s="170"/>
      <c r="AU422" s="170"/>
      <c r="AV422" s="170"/>
      <c r="AW422" s="170"/>
      <c r="AX422" s="170"/>
    </row>
    <row r="423" spans="1:50" ht="15" x14ac:dyDescent="0.25">
      <c r="A423" s="170"/>
      <c r="B423" s="719"/>
      <c r="C423" s="170"/>
      <c r="D423" s="170"/>
      <c r="E423" s="170"/>
      <c r="F423" s="170"/>
      <c r="G423" s="721"/>
      <c r="H423" s="170"/>
      <c r="I423" s="170"/>
      <c r="J423" s="170"/>
      <c r="K423" s="170"/>
      <c r="L423" s="170"/>
      <c r="M423" s="730"/>
      <c r="N423" s="730"/>
      <c r="O423" s="730"/>
      <c r="P423" s="731"/>
      <c r="Q423" s="731"/>
      <c r="R423" s="730"/>
      <c r="S423" s="730"/>
      <c r="T423" s="723"/>
      <c r="U423" s="724"/>
      <c r="V423" s="725"/>
      <c r="W423" s="725"/>
      <c r="X423" s="723"/>
      <c r="Y423" s="723"/>
      <c r="Z423" s="723"/>
      <c r="AA423" s="726"/>
      <c r="AB423" s="726"/>
      <c r="AC423" s="170"/>
      <c r="AD423" s="586"/>
      <c r="AE423" s="586"/>
      <c r="AF423" s="170"/>
      <c r="AG423" s="170"/>
      <c r="AH423" s="170"/>
      <c r="AI423" s="170"/>
      <c r="AJ423" s="170"/>
      <c r="AK423" s="170"/>
      <c r="AL423" s="170"/>
      <c r="AM423" s="170"/>
      <c r="AN423" s="170"/>
      <c r="AO423" s="170"/>
      <c r="AP423" s="170"/>
      <c r="AQ423" s="170"/>
      <c r="AR423" s="170"/>
      <c r="AS423" s="170"/>
      <c r="AT423" s="170"/>
      <c r="AU423" s="170"/>
      <c r="AV423" s="170"/>
      <c r="AW423" s="170"/>
      <c r="AX423" s="170"/>
    </row>
    <row r="424" spans="1:50" ht="15" x14ac:dyDescent="0.25">
      <c r="A424" s="170"/>
      <c r="B424" s="719"/>
      <c r="C424" s="170"/>
      <c r="D424" s="170"/>
      <c r="E424" s="170"/>
      <c r="F424" s="170"/>
      <c r="G424" s="721"/>
      <c r="H424" s="170"/>
      <c r="I424" s="170"/>
      <c r="J424" s="170"/>
      <c r="K424" s="170"/>
      <c r="L424" s="170"/>
      <c r="M424" s="730"/>
      <c r="N424" s="730"/>
      <c r="O424" s="730"/>
      <c r="P424" s="731"/>
      <c r="Q424" s="731"/>
      <c r="R424" s="730"/>
      <c r="S424" s="730"/>
      <c r="T424" s="723"/>
      <c r="U424" s="724"/>
      <c r="V424" s="725"/>
      <c r="W424" s="725"/>
      <c r="X424" s="723"/>
      <c r="Y424" s="723"/>
      <c r="Z424" s="723"/>
      <c r="AA424" s="726"/>
      <c r="AB424" s="726"/>
      <c r="AC424" s="170"/>
      <c r="AD424" s="586"/>
      <c r="AE424" s="586"/>
      <c r="AF424" s="170"/>
      <c r="AG424" s="170"/>
      <c r="AH424" s="170"/>
      <c r="AI424" s="170"/>
      <c r="AJ424" s="170"/>
      <c r="AK424" s="170"/>
      <c r="AL424" s="170"/>
      <c r="AM424" s="170"/>
      <c r="AN424" s="170"/>
      <c r="AO424" s="170"/>
      <c r="AP424" s="170"/>
      <c r="AQ424" s="170"/>
      <c r="AR424" s="170"/>
      <c r="AS424" s="170"/>
      <c r="AT424" s="170"/>
      <c r="AU424" s="170"/>
      <c r="AV424" s="170"/>
      <c r="AW424" s="170"/>
      <c r="AX424" s="170"/>
    </row>
    <row r="425" spans="1:50" ht="15" x14ac:dyDescent="0.25">
      <c r="A425" s="170"/>
      <c r="B425" s="719"/>
      <c r="C425" s="170"/>
      <c r="D425" s="170"/>
      <c r="E425" s="170"/>
      <c r="F425" s="170"/>
      <c r="G425" s="721"/>
      <c r="H425" s="170"/>
      <c r="I425" s="170"/>
      <c r="J425" s="170"/>
      <c r="K425" s="170"/>
      <c r="L425" s="170"/>
      <c r="M425" s="730"/>
      <c r="N425" s="730"/>
      <c r="O425" s="730"/>
      <c r="P425" s="731"/>
      <c r="Q425" s="731"/>
      <c r="R425" s="730"/>
      <c r="S425" s="730"/>
      <c r="T425" s="723"/>
      <c r="U425" s="724"/>
      <c r="V425" s="725"/>
      <c r="W425" s="725"/>
      <c r="X425" s="723"/>
      <c r="Y425" s="723"/>
      <c r="Z425" s="723"/>
      <c r="AA425" s="726"/>
      <c r="AB425" s="726"/>
      <c r="AC425" s="170"/>
      <c r="AD425" s="586"/>
      <c r="AE425" s="586"/>
      <c r="AF425" s="170"/>
      <c r="AG425" s="170"/>
      <c r="AH425" s="170"/>
      <c r="AI425" s="170"/>
      <c r="AJ425" s="170"/>
      <c r="AK425" s="170"/>
      <c r="AL425" s="170"/>
      <c r="AM425" s="170"/>
      <c r="AN425" s="170"/>
      <c r="AO425" s="170"/>
      <c r="AP425" s="170"/>
      <c r="AQ425" s="170"/>
      <c r="AR425" s="170"/>
      <c r="AS425" s="170"/>
      <c r="AT425" s="170"/>
      <c r="AU425" s="170"/>
      <c r="AV425" s="170"/>
      <c r="AW425" s="170"/>
      <c r="AX425" s="170"/>
    </row>
    <row r="426" spans="1:50" ht="15" x14ac:dyDescent="0.25">
      <c r="A426" s="170"/>
      <c r="B426" s="719"/>
      <c r="C426" s="170"/>
      <c r="D426" s="170"/>
      <c r="E426" s="170"/>
      <c r="F426" s="170"/>
      <c r="G426" s="721"/>
      <c r="H426" s="170"/>
      <c r="I426" s="170"/>
      <c r="J426" s="170"/>
      <c r="K426" s="170"/>
      <c r="L426" s="170"/>
      <c r="M426" s="730"/>
      <c r="N426" s="730"/>
      <c r="O426" s="730"/>
      <c r="P426" s="731"/>
      <c r="Q426" s="731"/>
      <c r="R426" s="730"/>
      <c r="S426" s="730"/>
      <c r="T426" s="723"/>
      <c r="U426" s="724"/>
      <c r="V426" s="725"/>
      <c r="W426" s="725"/>
      <c r="X426" s="723"/>
      <c r="Y426" s="723"/>
      <c r="Z426" s="723"/>
      <c r="AA426" s="726"/>
      <c r="AB426" s="726"/>
      <c r="AC426" s="170"/>
      <c r="AD426" s="586"/>
      <c r="AE426" s="586"/>
      <c r="AF426" s="170"/>
      <c r="AG426" s="170"/>
      <c r="AH426" s="170"/>
      <c r="AI426" s="170"/>
      <c r="AJ426" s="170"/>
      <c r="AK426" s="170"/>
      <c r="AL426" s="170"/>
      <c r="AM426" s="170"/>
      <c r="AN426" s="170"/>
      <c r="AO426" s="170"/>
      <c r="AP426" s="170"/>
      <c r="AQ426" s="170"/>
      <c r="AR426" s="170"/>
      <c r="AS426" s="170"/>
      <c r="AT426" s="170"/>
      <c r="AU426" s="170"/>
      <c r="AV426" s="170"/>
      <c r="AW426" s="170"/>
      <c r="AX426" s="170"/>
    </row>
    <row r="427" spans="1:50" ht="15" x14ac:dyDescent="0.25">
      <c r="A427" s="170"/>
      <c r="B427" s="719"/>
      <c r="C427" s="170"/>
      <c r="D427" s="170"/>
      <c r="E427" s="170"/>
      <c r="F427" s="170"/>
      <c r="G427" s="721"/>
      <c r="H427" s="170"/>
      <c r="I427" s="170"/>
      <c r="J427" s="170"/>
      <c r="K427" s="170"/>
      <c r="L427" s="170"/>
      <c r="M427" s="730"/>
      <c r="N427" s="730"/>
      <c r="O427" s="730"/>
      <c r="P427" s="731"/>
      <c r="Q427" s="731"/>
      <c r="R427" s="730"/>
      <c r="S427" s="730"/>
      <c r="T427" s="723"/>
      <c r="U427" s="724"/>
      <c r="V427" s="725"/>
      <c r="W427" s="725"/>
      <c r="X427" s="723"/>
      <c r="Y427" s="723"/>
      <c r="Z427" s="723"/>
      <c r="AA427" s="726"/>
      <c r="AB427" s="726"/>
      <c r="AC427" s="170"/>
      <c r="AD427" s="586"/>
      <c r="AE427" s="586"/>
      <c r="AF427" s="170"/>
      <c r="AG427" s="170"/>
      <c r="AH427" s="170"/>
      <c r="AI427" s="170"/>
      <c r="AJ427" s="170"/>
      <c r="AK427" s="170"/>
      <c r="AL427" s="170"/>
      <c r="AM427" s="170"/>
      <c r="AN427" s="170"/>
      <c r="AO427" s="170"/>
      <c r="AP427" s="170"/>
      <c r="AQ427" s="170"/>
      <c r="AR427" s="170"/>
      <c r="AS427" s="170"/>
      <c r="AT427" s="170"/>
      <c r="AU427" s="170"/>
      <c r="AV427" s="170"/>
      <c r="AW427" s="170"/>
      <c r="AX427" s="170"/>
    </row>
    <row r="428" spans="1:50" ht="15" x14ac:dyDescent="0.25">
      <c r="A428" s="170"/>
      <c r="B428" s="719"/>
      <c r="C428" s="170"/>
      <c r="D428" s="170"/>
      <c r="E428" s="170"/>
      <c r="F428" s="170"/>
      <c r="G428" s="721"/>
      <c r="H428" s="170"/>
      <c r="I428" s="170"/>
      <c r="J428" s="170"/>
      <c r="K428" s="170"/>
      <c r="L428" s="170"/>
      <c r="M428" s="730"/>
      <c r="N428" s="730"/>
      <c r="O428" s="730"/>
      <c r="P428" s="731"/>
      <c r="Q428" s="731"/>
      <c r="R428" s="730"/>
      <c r="S428" s="730"/>
      <c r="T428" s="723"/>
      <c r="U428" s="724"/>
      <c r="V428" s="725"/>
      <c r="W428" s="725"/>
      <c r="X428" s="723"/>
      <c r="Y428" s="723"/>
      <c r="Z428" s="723"/>
      <c r="AA428" s="726"/>
      <c r="AB428" s="726"/>
      <c r="AC428" s="170"/>
      <c r="AD428" s="586"/>
      <c r="AE428" s="586"/>
      <c r="AF428" s="170"/>
      <c r="AG428" s="170"/>
      <c r="AH428" s="170"/>
      <c r="AI428" s="170"/>
      <c r="AJ428" s="170"/>
      <c r="AK428" s="170"/>
      <c r="AL428" s="170"/>
      <c r="AM428" s="170"/>
      <c r="AN428" s="170"/>
      <c r="AO428" s="170"/>
      <c r="AP428" s="170"/>
      <c r="AQ428" s="170"/>
      <c r="AR428" s="170"/>
      <c r="AS428" s="170"/>
      <c r="AT428" s="170"/>
      <c r="AU428" s="170"/>
      <c r="AV428" s="170"/>
      <c r="AW428" s="170"/>
      <c r="AX428" s="170"/>
    </row>
    <row r="429" spans="1:50" ht="15" x14ac:dyDescent="0.25">
      <c r="A429" s="170"/>
      <c r="B429" s="719"/>
      <c r="C429" s="170"/>
      <c r="D429" s="170"/>
      <c r="E429" s="170"/>
      <c r="F429" s="170"/>
      <c r="G429" s="721"/>
      <c r="H429" s="170"/>
      <c r="I429" s="170"/>
      <c r="J429" s="170"/>
      <c r="K429" s="170"/>
      <c r="L429" s="170"/>
      <c r="M429" s="730"/>
      <c r="N429" s="730"/>
      <c r="O429" s="730"/>
      <c r="P429" s="731"/>
      <c r="Q429" s="731"/>
      <c r="R429" s="730"/>
      <c r="S429" s="730"/>
      <c r="T429" s="723"/>
      <c r="U429" s="724"/>
      <c r="V429" s="725"/>
      <c r="W429" s="725"/>
      <c r="X429" s="723"/>
      <c r="Y429" s="723"/>
      <c r="Z429" s="723"/>
      <c r="AA429" s="726"/>
      <c r="AB429" s="726"/>
      <c r="AC429" s="170"/>
      <c r="AD429" s="586"/>
      <c r="AE429" s="586"/>
      <c r="AF429" s="170"/>
      <c r="AG429" s="170"/>
      <c r="AH429" s="170"/>
      <c r="AI429" s="170"/>
      <c r="AJ429" s="170"/>
      <c r="AK429" s="170"/>
      <c r="AL429" s="170"/>
      <c r="AM429" s="170"/>
      <c r="AN429" s="170"/>
      <c r="AO429" s="170"/>
      <c r="AP429" s="170"/>
      <c r="AQ429" s="170"/>
      <c r="AR429" s="170"/>
      <c r="AS429" s="170"/>
      <c r="AT429" s="170"/>
      <c r="AU429" s="170"/>
      <c r="AV429" s="170"/>
      <c r="AW429" s="170"/>
      <c r="AX429" s="170"/>
    </row>
    <row r="430" spans="1:50" ht="15" x14ac:dyDescent="0.25">
      <c r="A430" s="170"/>
      <c r="B430" s="719"/>
      <c r="C430" s="170"/>
      <c r="D430" s="170"/>
      <c r="E430" s="170"/>
      <c r="F430" s="170"/>
      <c r="G430" s="721"/>
      <c r="H430" s="170"/>
      <c r="I430" s="170"/>
      <c r="J430" s="170"/>
      <c r="K430" s="170"/>
      <c r="L430" s="170"/>
      <c r="M430" s="730"/>
      <c r="N430" s="730"/>
      <c r="O430" s="730"/>
      <c r="P430" s="731"/>
      <c r="Q430" s="731"/>
      <c r="R430" s="730"/>
      <c r="S430" s="730"/>
      <c r="T430" s="723"/>
      <c r="U430" s="724"/>
      <c r="V430" s="725"/>
      <c r="W430" s="725"/>
      <c r="X430" s="723"/>
      <c r="Y430" s="723"/>
      <c r="Z430" s="723"/>
      <c r="AA430" s="726"/>
      <c r="AB430" s="726"/>
      <c r="AC430" s="170"/>
      <c r="AD430" s="586"/>
      <c r="AE430" s="586"/>
      <c r="AF430" s="170"/>
      <c r="AG430" s="170"/>
      <c r="AH430" s="170"/>
      <c r="AI430" s="170"/>
      <c r="AJ430" s="170"/>
      <c r="AK430" s="170"/>
      <c r="AL430" s="170"/>
      <c r="AM430" s="170"/>
      <c r="AN430" s="170"/>
      <c r="AO430" s="170"/>
      <c r="AP430" s="170"/>
      <c r="AQ430" s="170"/>
      <c r="AR430" s="170"/>
      <c r="AS430" s="170"/>
      <c r="AT430" s="170"/>
      <c r="AU430" s="170"/>
      <c r="AV430" s="170"/>
      <c r="AW430" s="170"/>
      <c r="AX430" s="170"/>
    </row>
    <row r="431" spans="1:50" ht="15" x14ac:dyDescent="0.25">
      <c r="A431" s="170"/>
      <c r="B431" s="719"/>
      <c r="C431" s="170"/>
      <c r="D431" s="170"/>
      <c r="E431" s="170"/>
      <c r="F431" s="170"/>
      <c r="G431" s="721"/>
      <c r="H431" s="170"/>
      <c r="I431" s="170"/>
      <c r="J431" s="170"/>
      <c r="K431" s="170"/>
      <c r="L431" s="170"/>
      <c r="M431" s="730"/>
      <c r="N431" s="730"/>
      <c r="O431" s="730"/>
      <c r="P431" s="731"/>
      <c r="Q431" s="731"/>
      <c r="R431" s="730"/>
      <c r="S431" s="730"/>
      <c r="T431" s="723"/>
      <c r="U431" s="724"/>
      <c r="V431" s="725"/>
      <c r="W431" s="725"/>
      <c r="X431" s="723"/>
      <c r="Y431" s="723"/>
      <c r="Z431" s="723"/>
      <c r="AA431" s="726"/>
      <c r="AB431" s="726"/>
      <c r="AC431" s="170"/>
      <c r="AD431" s="586"/>
      <c r="AE431" s="586"/>
      <c r="AF431" s="170"/>
      <c r="AG431" s="170"/>
      <c r="AH431" s="170"/>
      <c r="AI431" s="170"/>
      <c r="AJ431" s="170"/>
      <c r="AK431" s="170"/>
      <c r="AL431" s="170"/>
      <c r="AM431" s="170"/>
      <c r="AN431" s="170"/>
      <c r="AO431" s="170"/>
      <c r="AP431" s="170"/>
      <c r="AQ431" s="170"/>
      <c r="AR431" s="170"/>
      <c r="AS431" s="170"/>
      <c r="AT431" s="170"/>
      <c r="AU431" s="170"/>
      <c r="AV431" s="170"/>
      <c r="AW431" s="170"/>
      <c r="AX431" s="170"/>
    </row>
    <row r="432" spans="1:50" ht="15" x14ac:dyDescent="0.25">
      <c r="A432" s="170"/>
      <c r="B432" s="719"/>
      <c r="C432" s="170"/>
      <c r="D432" s="170"/>
      <c r="E432" s="170"/>
      <c r="F432" s="170"/>
      <c r="G432" s="721"/>
      <c r="H432" s="170"/>
      <c r="I432" s="170"/>
      <c r="J432" s="170"/>
      <c r="K432" s="170"/>
      <c r="L432" s="170"/>
      <c r="M432" s="730"/>
      <c r="N432" s="730"/>
      <c r="O432" s="730"/>
      <c r="P432" s="731"/>
      <c r="Q432" s="731"/>
      <c r="R432" s="730"/>
      <c r="S432" s="730"/>
      <c r="T432" s="723"/>
      <c r="U432" s="724"/>
      <c r="V432" s="725"/>
      <c r="W432" s="725"/>
      <c r="X432" s="723"/>
      <c r="Y432" s="723"/>
      <c r="Z432" s="723"/>
      <c r="AA432" s="726"/>
      <c r="AB432" s="726"/>
      <c r="AC432" s="170"/>
      <c r="AD432" s="586"/>
      <c r="AE432" s="586"/>
      <c r="AF432" s="170"/>
      <c r="AG432" s="170"/>
      <c r="AH432" s="170"/>
      <c r="AI432" s="170"/>
      <c r="AJ432" s="170"/>
      <c r="AK432" s="170"/>
      <c r="AL432" s="170"/>
      <c r="AM432" s="170"/>
      <c r="AN432" s="170"/>
      <c r="AO432" s="170"/>
      <c r="AP432" s="170"/>
      <c r="AQ432" s="170"/>
      <c r="AR432" s="170"/>
      <c r="AS432" s="170"/>
      <c r="AT432" s="170"/>
      <c r="AU432" s="170"/>
      <c r="AV432" s="170"/>
      <c r="AW432" s="170"/>
      <c r="AX432" s="170"/>
    </row>
    <row r="433" spans="1:50" ht="15" x14ac:dyDescent="0.25">
      <c r="A433" s="170"/>
      <c r="B433" s="719"/>
      <c r="C433" s="170"/>
      <c r="D433" s="170"/>
      <c r="E433" s="170"/>
      <c r="F433" s="170"/>
      <c r="G433" s="721"/>
      <c r="H433" s="170"/>
      <c r="I433" s="170"/>
      <c r="J433" s="170"/>
      <c r="K433" s="170"/>
      <c r="L433" s="170"/>
      <c r="M433" s="730"/>
      <c r="N433" s="730"/>
      <c r="O433" s="730"/>
      <c r="P433" s="731"/>
      <c r="Q433" s="731"/>
      <c r="R433" s="730"/>
      <c r="S433" s="730"/>
      <c r="T433" s="723"/>
      <c r="U433" s="724"/>
      <c r="V433" s="725"/>
      <c r="W433" s="725"/>
      <c r="X433" s="723"/>
      <c r="Y433" s="723"/>
      <c r="Z433" s="723"/>
      <c r="AA433" s="726"/>
      <c r="AB433" s="726"/>
      <c r="AC433" s="170"/>
      <c r="AD433" s="586"/>
      <c r="AE433" s="586"/>
      <c r="AF433" s="170"/>
      <c r="AG433" s="170"/>
      <c r="AH433" s="170"/>
      <c r="AI433" s="170"/>
      <c r="AJ433" s="170"/>
      <c r="AK433" s="170"/>
      <c r="AL433" s="170"/>
      <c r="AM433" s="170"/>
      <c r="AN433" s="170"/>
      <c r="AO433" s="170"/>
      <c r="AP433" s="170"/>
      <c r="AQ433" s="170"/>
      <c r="AR433" s="170"/>
      <c r="AS433" s="170"/>
      <c r="AT433" s="170"/>
      <c r="AU433" s="170"/>
      <c r="AV433" s="170"/>
      <c r="AW433" s="170"/>
      <c r="AX433" s="170"/>
    </row>
    <row r="434" spans="1:50" ht="15" x14ac:dyDescent="0.25">
      <c r="A434" s="170"/>
      <c r="B434" s="719"/>
      <c r="C434" s="170"/>
      <c r="D434" s="170"/>
      <c r="E434" s="170"/>
      <c r="F434" s="170"/>
      <c r="G434" s="721"/>
      <c r="H434" s="170"/>
      <c r="I434" s="170"/>
      <c r="J434" s="170"/>
      <c r="K434" s="170"/>
      <c r="L434" s="170"/>
      <c r="M434" s="730"/>
      <c r="N434" s="730"/>
      <c r="O434" s="730"/>
      <c r="P434" s="731"/>
      <c r="Q434" s="731"/>
      <c r="R434" s="730"/>
      <c r="S434" s="730"/>
      <c r="T434" s="723"/>
      <c r="U434" s="724"/>
      <c r="V434" s="725"/>
      <c r="W434" s="725"/>
      <c r="X434" s="723"/>
      <c r="Y434" s="723"/>
      <c r="Z434" s="723"/>
      <c r="AA434" s="726"/>
      <c r="AB434" s="726"/>
      <c r="AC434" s="170"/>
      <c r="AD434" s="586"/>
      <c r="AE434" s="586"/>
      <c r="AF434" s="170"/>
      <c r="AG434" s="170"/>
      <c r="AH434" s="170"/>
      <c r="AI434" s="170"/>
      <c r="AJ434" s="170"/>
      <c r="AK434" s="170"/>
      <c r="AL434" s="170"/>
      <c r="AM434" s="170"/>
      <c r="AN434" s="170"/>
      <c r="AO434" s="170"/>
      <c r="AP434" s="170"/>
      <c r="AQ434" s="170"/>
      <c r="AR434" s="170"/>
      <c r="AS434" s="170"/>
      <c r="AT434" s="170"/>
      <c r="AU434" s="170"/>
      <c r="AV434" s="170"/>
      <c r="AW434" s="170"/>
      <c r="AX434" s="170"/>
    </row>
    <row r="435" spans="1:50" ht="15" x14ac:dyDescent="0.25">
      <c r="A435" s="170"/>
      <c r="B435" s="719"/>
      <c r="C435" s="170"/>
      <c r="D435" s="170"/>
      <c r="E435" s="170"/>
      <c r="F435" s="170"/>
      <c r="G435" s="721"/>
      <c r="H435" s="170"/>
      <c r="I435" s="170"/>
      <c r="J435" s="170"/>
      <c r="K435" s="170"/>
      <c r="L435" s="170"/>
      <c r="M435" s="730"/>
      <c r="N435" s="730"/>
      <c r="O435" s="730"/>
      <c r="P435" s="731"/>
      <c r="Q435" s="731"/>
      <c r="R435" s="730"/>
      <c r="S435" s="730"/>
      <c r="T435" s="723"/>
      <c r="U435" s="724"/>
      <c r="V435" s="725"/>
      <c r="W435" s="725"/>
      <c r="X435" s="723"/>
      <c r="Y435" s="723"/>
      <c r="Z435" s="723"/>
      <c r="AA435" s="726"/>
      <c r="AB435" s="726"/>
      <c r="AC435" s="170"/>
      <c r="AD435" s="586"/>
      <c r="AE435" s="586"/>
      <c r="AF435" s="170"/>
      <c r="AG435" s="170"/>
      <c r="AH435" s="170"/>
      <c r="AI435" s="170"/>
      <c r="AJ435" s="170"/>
      <c r="AK435" s="170"/>
      <c r="AL435" s="170"/>
      <c r="AM435" s="170"/>
      <c r="AN435" s="170"/>
      <c r="AO435" s="170"/>
      <c r="AP435" s="170"/>
      <c r="AQ435" s="170"/>
      <c r="AR435" s="170"/>
      <c r="AS435" s="170"/>
      <c r="AT435" s="170"/>
      <c r="AU435" s="170"/>
      <c r="AV435" s="170"/>
      <c r="AW435" s="170"/>
      <c r="AX435" s="170"/>
    </row>
    <row r="436" spans="1:50" ht="15" x14ac:dyDescent="0.25">
      <c r="A436" s="170"/>
      <c r="B436" s="719"/>
      <c r="C436" s="170"/>
      <c r="D436" s="170"/>
      <c r="E436" s="170"/>
      <c r="F436" s="170"/>
      <c r="G436" s="721"/>
      <c r="H436" s="170"/>
      <c r="I436" s="170"/>
      <c r="J436" s="170"/>
      <c r="K436" s="170"/>
      <c r="L436" s="170"/>
      <c r="M436" s="730"/>
      <c r="N436" s="730"/>
      <c r="O436" s="730"/>
      <c r="P436" s="731"/>
      <c r="Q436" s="731"/>
      <c r="R436" s="730"/>
      <c r="S436" s="730"/>
      <c r="T436" s="723"/>
      <c r="U436" s="724"/>
      <c r="V436" s="725"/>
      <c r="W436" s="725"/>
      <c r="X436" s="723"/>
      <c r="Y436" s="723"/>
      <c r="Z436" s="723"/>
      <c r="AA436" s="726"/>
      <c r="AB436" s="726"/>
      <c r="AC436" s="170"/>
      <c r="AD436" s="586"/>
      <c r="AE436" s="586"/>
      <c r="AF436" s="170"/>
      <c r="AG436" s="170"/>
      <c r="AH436" s="170"/>
      <c r="AI436" s="170"/>
      <c r="AJ436" s="170"/>
      <c r="AK436" s="170"/>
      <c r="AL436" s="170"/>
      <c r="AM436" s="170"/>
      <c r="AN436" s="170"/>
      <c r="AO436" s="170"/>
      <c r="AP436" s="170"/>
      <c r="AQ436" s="170"/>
      <c r="AR436" s="170"/>
      <c r="AS436" s="170"/>
      <c r="AT436" s="170"/>
      <c r="AU436" s="170"/>
      <c r="AV436" s="170"/>
      <c r="AW436" s="170"/>
      <c r="AX436" s="170"/>
    </row>
    <row r="437" spans="1:50" ht="15" x14ac:dyDescent="0.25">
      <c r="A437" s="170"/>
      <c r="B437" s="719"/>
      <c r="C437" s="170"/>
      <c r="D437" s="170"/>
      <c r="E437" s="170"/>
      <c r="F437" s="170"/>
      <c r="G437" s="721"/>
      <c r="H437" s="170"/>
      <c r="I437" s="170"/>
      <c r="J437" s="170"/>
      <c r="K437" s="170"/>
      <c r="L437" s="170"/>
      <c r="M437" s="730"/>
      <c r="N437" s="730"/>
      <c r="O437" s="730"/>
      <c r="P437" s="731"/>
      <c r="Q437" s="731"/>
      <c r="R437" s="730"/>
      <c r="S437" s="730"/>
      <c r="T437" s="723"/>
      <c r="U437" s="724"/>
      <c r="V437" s="725"/>
      <c r="W437" s="725"/>
      <c r="X437" s="723"/>
      <c r="Y437" s="723"/>
      <c r="Z437" s="723"/>
      <c r="AA437" s="726"/>
      <c r="AB437" s="726"/>
      <c r="AC437" s="170"/>
      <c r="AD437" s="586"/>
      <c r="AE437" s="586"/>
      <c r="AF437" s="170"/>
      <c r="AG437" s="170"/>
      <c r="AH437" s="170"/>
      <c r="AI437" s="170"/>
      <c r="AJ437" s="170"/>
      <c r="AK437" s="170"/>
      <c r="AL437" s="170"/>
      <c r="AM437" s="170"/>
      <c r="AN437" s="170"/>
      <c r="AO437" s="170"/>
      <c r="AP437" s="170"/>
      <c r="AQ437" s="170"/>
      <c r="AR437" s="170"/>
      <c r="AS437" s="170"/>
      <c r="AT437" s="170"/>
      <c r="AU437" s="170"/>
      <c r="AV437" s="170"/>
      <c r="AW437" s="170"/>
      <c r="AX437" s="170"/>
    </row>
    <row r="438" spans="1:50" ht="15" x14ac:dyDescent="0.25">
      <c r="A438" s="170"/>
      <c r="B438" s="719"/>
      <c r="C438" s="170"/>
      <c r="D438" s="170"/>
      <c r="E438" s="170"/>
      <c r="F438" s="170"/>
      <c r="G438" s="721"/>
      <c r="H438" s="170"/>
      <c r="I438" s="170"/>
      <c r="J438" s="170"/>
      <c r="K438" s="170"/>
      <c r="L438" s="170"/>
      <c r="M438" s="730"/>
      <c r="N438" s="730"/>
      <c r="O438" s="730"/>
      <c r="P438" s="731"/>
      <c r="Q438" s="731"/>
      <c r="R438" s="730"/>
      <c r="S438" s="730"/>
      <c r="T438" s="723"/>
      <c r="U438" s="724"/>
      <c r="V438" s="725"/>
      <c r="W438" s="725"/>
      <c r="X438" s="723"/>
      <c r="Y438" s="723"/>
      <c r="Z438" s="723"/>
      <c r="AA438" s="726"/>
      <c r="AB438" s="726"/>
      <c r="AC438" s="170"/>
      <c r="AD438" s="586"/>
      <c r="AE438" s="586"/>
      <c r="AF438" s="170"/>
      <c r="AG438" s="170"/>
      <c r="AH438" s="170"/>
      <c r="AI438" s="170"/>
      <c r="AJ438" s="170"/>
      <c r="AK438" s="170"/>
      <c r="AL438" s="170"/>
      <c r="AM438" s="170"/>
      <c r="AN438" s="170"/>
      <c r="AO438" s="170"/>
      <c r="AP438" s="170"/>
      <c r="AQ438" s="170"/>
      <c r="AR438" s="170"/>
      <c r="AS438" s="170"/>
      <c r="AT438" s="170"/>
      <c r="AU438" s="170"/>
      <c r="AV438" s="170"/>
      <c r="AW438" s="170"/>
      <c r="AX438" s="170"/>
    </row>
    <row r="439" spans="1:50" ht="15" x14ac:dyDescent="0.25">
      <c r="A439" s="170"/>
      <c r="B439" s="719"/>
      <c r="C439" s="170"/>
      <c r="D439" s="170"/>
      <c r="E439" s="170"/>
      <c r="F439" s="170"/>
      <c r="G439" s="721"/>
      <c r="H439" s="170"/>
      <c r="I439" s="170"/>
      <c r="J439" s="170"/>
      <c r="K439" s="170"/>
      <c r="L439" s="170"/>
      <c r="M439" s="730"/>
      <c r="N439" s="730"/>
      <c r="O439" s="730"/>
      <c r="P439" s="731"/>
      <c r="Q439" s="731"/>
      <c r="R439" s="730"/>
      <c r="S439" s="730"/>
      <c r="T439" s="723"/>
      <c r="U439" s="724"/>
      <c r="V439" s="725"/>
      <c r="W439" s="725"/>
      <c r="X439" s="723"/>
      <c r="Y439" s="723"/>
      <c r="Z439" s="723"/>
      <c r="AA439" s="726"/>
      <c r="AB439" s="726"/>
      <c r="AC439" s="170"/>
      <c r="AD439" s="586"/>
      <c r="AE439" s="586"/>
      <c r="AF439" s="170"/>
      <c r="AG439" s="170"/>
      <c r="AH439" s="170"/>
      <c r="AI439" s="170"/>
      <c r="AJ439" s="170"/>
      <c r="AK439" s="170"/>
      <c r="AL439" s="170"/>
      <c r="AM439" s="170"/>
      <c r="AN439" s="170"/>
      <c r="AO439" s="170"/>
      <c r="AP439" s="170"/>
      <c r="AQ439" s="170"/>
      <c r="AR439" s="170"/>
      <c r="AS439" s="170"/>
      <c r="AT439" s="170"/>
      <c r="AU439" s="170"/>
      <c r="AV439" s="170"/>
      <c r="AW439" s="170"/>
      <c r="AX439" s="170"/>
    </row>
    <row r="440" spans="1:50" ht="15" x14ac:dyDescent="0.25">
      <c r="A440" s="170"/>
      <c r="B440" s="719"/>
      <c r="C440" s="170"/>
      <c r="D440" s="170"/>
      <c r="E440" s="170"/>
      <c r="F440" s="170"/>
      <c r="G440" s="721"/>
      <c r="H440" s="170"/>
      <c r="I440" s="170"/>
      <c r="J440" s="170"/>
      <c r="K440" s="170"/>
      <c r="L440" s="170"/>
      <c r="M440" s="730"/>
      <c r="N440" s="730"/>
      <c r="O440" s="730"/>
      <c r="P440" s="731"/>
      <c r="Q440" s="731"/>
      <c r="R440" s="730"/>
      <c r="S440" s="730"/>
      <c r="T440" s="723"/>
      <c r="U440" s="724"/>
      <c r="V440" s="725"/>
      <c r="W440" s="725"/>
      <c r="X440" s="723"/>
      <c r="Y440" s="723"/>
      <c r="Z440" s="723"/>
      <c r="AA440" s="726"/>
      <c r="AB440" s="726"/>
      <c r="AC440" s="170"/>
      <c r="AD440" s="586"/>
      <c r="AE440" s="586"/>
      <c r="AF440" s="170"/>
      <c r="AG440" s="170"/>
      <c r="AH440" s="170"/>
      <c r="AI440" s="170"/>
      <c r="AJ440" s="170"/>
      <c r="AK440" s="170"/>
      <c r="AL440" s="170"/>
      <c r="AM440" s="170"/>
      <c r="AN440" s="170"/>
      <c r="AO440" s="170"/>
      <c r="AP440" s="170"/>
      <c r="AQ440" s="170"/>
      <c r="AR440" s="170"/>
      <c r="AS440" s="170"/>
      <c r="AT440" s="170"/>
      <c r="AU440" s="170"/>
      <c r="AV440" s="170"/>
      <c r="AW440" s="170"/>
      <c r="AX440" s="170"/>
    </row>
    <row r="441" spans="1:50" ht="15" x14ac:dyDescent="0.25">
      <c r="A441" s="170"/>
      <c r="B441" s="719"/>
      <c r="C441" s="170"/>
      <c r="D441" s="170"/>
      <c r="E441" s="170"/>
      <c r="F441" s="170"/>
      <c r="G441" s="721"/>
      <c r="H441" s="170"/>
      <c r="I441" s="170"/>
      <c r="J441" s="170"/>
      <c r="K441" s="170"/>
      <c r="L441" s="170"/>
      <c r="M441" s="730"/>
      <c r="N441" s="730"/>
      <c r="O441" s="730"/>
      <c r="P441" s="731"/>
      <c r="Q441" s="731"/>
      <c r="R441" s="730"/>
      <c r="S441" s="730"/>
      <c r="T441" s="723"/>
      <c r="U441" s="724"/>
      <c r="V441" s="725"/>
      <c r="W441" s="725"/>
      <c r="X441" s="723"/>
      <c r="Y441" s="723"/>
      <c r="Z441" s="723"/>
      <c r="AA441" s="726"/>
      <c r="AB441" s="726"/>
      <c r="AC441" s="170"/>
      <c r="AD441" s="586"/>
      <c r="AE441" s="586"/>
      <c r="AF441" s="170"/>
      <c r="AG441" s="170"/>
      <c r="AH441" s="170"/>
      <c r="AI441" s="170"/>
      <c r="AJ441" s="170"/>
      <c r="AK441" s="170"/>
      <c r="AL441" s="170"/>
      <c r="AM441" s="170"/>
      <c r="AN441" s="170"/>
      <c r="AO441" s="170"/>
      <c r="AP441" s="170"/>
      <c r="AQ441" s="170"/>
      <c r="AR441" s="170"/>
      <c r="AS441" s="170"/>
      <c r="AT441" s="170"/>
      <c r="AU441" s="170"/>
      <c r="AV441" s="170"/>
      <c r="AW441" s="170"/>
      <c r="AX441" s="170"/>
    </row>
    <row r="442" spans="1:50" ht="15" x14ac:dyDescent="0.25">
      <c r="A442" s="170"/>
      <c r="B442" s="719"/>
      <c r="C442" s="170"/>
      <c r="D442" s="170"/>
      <c r="E442" s="170"/>
      <c r="F442" s="170"/>
      <c r="G442" s="721"/>
      <c r="H442" s="170"/>
      <c r="I442" s="170"/>
      <c r="J442" s="170"/>
      <c r="K442" s="170"/>
      <c r="L442" s="170"/>
      <c r="M442" s="730"/>
      <c r="N442" s="730"/>
      <c r="O442" s="730"/>
      <c r="P442" s="731"/>
      <c r="Q442" s="731"/>
      <c r="R442" s="730"/>
      <c r="S442" s="730"/>
      <c r="T442" s="723"/>
      <c r="U442" s="724"/>
      <c r="V442" s="725"/>
      <c r="W442" s="725"/>
      <c r="X442" s="723"/>
      <c r="Y442" s="723"/>
      <c r="Z442" s="723"/>
      <c r="AA442" s="726"/>
      <c r="AB442" s="726"/>
      <c r="AC442" s="170"/>
      <c r="AD442" s="586"/>
      <c r="AE442" s="586"/>
      <c r="AF442" s="170"/>
      <c r="AG442" s="170"/>
      <c r="AH442" s="170"/>
      <c r="AI442" s="170"/>
      <c r="AJ442" s="170"/>
      <c r="AK442" s="170"/>
      <c r="AL442" s="170"/>
      <c r="AM442" s="170"/>
      <c r="AN442" s="170"/>
      <c r="AO442" s="170"/>
      <c r="AP442" s="170"/>
      <c r="AQ442" s="170"/>
      <c r="AR442" s="170"/>
      <c r="AS442" s="170"/>
      <c r="AT442" s="170"/>
      <c r="AU442" s="170"/>
      <c r="AV442" s="170"/>
      <c r="AW442" s="170"/>
      <c r="AX442" s="170"/>
    </row>
    <row r="443" spans="1:50" ht="15" x14ac:dyDescent="0.25">
      <c r="A443" s="170"/>
      <c r="B443" s="719"/>
      <c r="C443" s="170"/>
      <c r="D443" s="170"/>
      <c r="E443" s="170"/>
      <c r="F443" s="170"/>
      <c r="G443" s="721"/>
      <c r="H443" s="170"/>
      <c r="I443" s="170"/>
      <c r="J443" s="170"/>
      <c r="K443" s="170"/>
      <c r="L443" s="170"/>
      <c r="M443" s="730"/>
      <c r="N443" s="730"/>
      <c r="O443" s="730"/>
      <c r="P443" s="731"/>
      <c r="Q443" s="731"/>
      <c r="R443" s="730"/>
      <c r="S443" s="730"/>
      <c r="T443" s="723"/>
      <c r="U443" s="724"/>
      <c r="V443" s="725"/>
      <c r="W443" s="725"/>
      <c r="X443" s="723"/>
      <c r="Y443" s="723"/>
      <c r="Z443" s="723"/>
      <c r="AA443" s="726"/>
      <c r="AB443" s="726"/>
      <c r="AC443" s="170"/>
      <c r="AD443" s="586"/>
      <c r="AE443" s="586"/>
      <c r="AF443" s="170"/>
      <c r="AG443" s="170"/>
      <c r="AH443" s="170"/>
      <c r="AI443" s="170"/>
      <c r="AJ443" s="170"/>
      <c r="AK443" s="170"/>
      <c r="AL443" s="170"/>
      <c r="AM443" s="170"/>
      <c r="AN443" s="170"/>
      <c r="AO443" s="170"/>
      <c r="AP443" s="170"/>
      <c r="AQ443" s="170"/>
      <c r="AR443" s="170"/>
      <c r="AS443" s="170"/>
      <c r="AT443" s="170"/>
      <c r="AU443" s="170"/>
      <c r="AV443" s="170"/>
      <c r="AW443" s="170"/>
      <c r="AX443" s="170"/>
    </row>
    <row r="444" spans="1:50" ht="15" x14ac:dyDescent="0.25">
      <c r="A444" s="170"/>
      <c r="B444" s="719"/>
      <c r="C444" s="170"/>
      <c r="D444" s="170"/>
      <c r="E444" s="170"/>
      <c r="F444" s="170"/>
      <c r="G444" s="721"/>
      <c r="H444" s="170"/>
      <c r="I444" s="170"/>
      <c r="J444" s="170"/>
      <c r="K444" s="170"/>
      <c r="L444" s="170"/>
      <c r="M444" s="730"/>
      <c r="N444" s="730"/>
      <c r="O444" s="730"/>
      <c r="P444" s="731"/>
      <c r="Q444" s="731"/>
      <c r="R444" s="730"/>
      <c r="S444" s="730"/>
      <c r="T444" s="723"/>
      <c r="U444" s="724"/>
      <c r="V444" s="725"/>
      <c r="W444" s="725"/>
      <c r="X444" s="723"/>
      <c r="Y444" s="723"/>
      <c r="Z444" s="723"/>
      <c r="AA444" s="726"/>
      <c r="AB444" s="726"/>
      <c r="AC444" s="170"/>
      <c r="AD444" s="586"/>
      <c r="AE444" s="586"/>
      <c r="AF444" s="170"/>
      <c r="AG444" s="170"/>
      <c r="AH444" s="170"/>
      <c r="AI444" s="170"/>
      <c r="AJ444" s="170"/>
      <c r="AK444" s="170"/>
      <c r="AL444" s="170"/>
      <c r="AM444" s="170"/>
      <c r="AN444" s="170"/>
      <c r="AO444" s="170"/>
      <c r="AP444" s="170"/>
      <c r="AQ444" s="170"/>
      <c r="AR444" s="170"/>
      <c r="AS444" s="170"/>
      <c r="AT444" s="170"/>
      <c r="AU444" s="170"/>
      <c r="AV444" s="170"/>
      <c r="AW444" s="170"/>
      <c r="AX444" s="170"/>
    </row>
    <row r="445" spans="1:50" ht="15" x14ac:dyDescent="0.25">
      <c r="A445" s="170"/>
      <c r="B445" s="719"/>
      <c r="C445" s="170"/>
      <c r="D445" s="170"/>
      <c r="E445" s="170"/>
      <c r="F445" s="170"/>
      <c r="G445" s="721"/>
      <c r="H445" s="170"/>
      <c r="I445" s="170"/>
      <c r="J445" s="170"/>
      <c r="K445" s="170"/>
      <c r="L445" s="170"/>
      <c r="M445" s="730"/>
      <c r="N445" s="730"/>
      <c r="O445" s="730"/>
      <c r="P445" s="731"/>
      <c r="Q445" s="731"/>
      <c r="R445" s="730"/>
      <c r="S445" s="730"/>
      <c r="T445" s="723"/>
      <c r="U445" s="724"/>
      <c r="V445" s="725"/>
      <c r="W445" s="725"/>
      <c r="X445" s="723"/>
      <c r="Y445" s="723"/>
      <c r="Z445" s="723"/>
      <c r="AA445" s="726"/>
      <c r="AB445" s="726"/>
      <c r="AC445" s="170"/>
      <c r="AD445" s="586"/>
      <c r="AE445" s="586"/>
      <c r="AF445" s="170"/>
      <c r="AG445" s="170"/>
      <c r="AH445" s="170"/>
      <c r="AI445" s="170"/>
      <c r="AJ445" s="170"/>
      <c r="AK445" s="170"/>
      <c r="AL445" s="170"/>
      <c r="AM445" s="170"/>
      <c r="AN445" s="170"/>
      <c r="AO445" s="170"/>
      <c r="AP445" s="170"/>
      <c r="AQ445" s="170"/>
      <c r="AR445" s="170"/>
      <c r="AS445" s="170"/>
      <c r="AT445" s="170"/>
      <c r="AU445" s="170"/>
      <c r="AV445" s="170"/>
      <c r="AW445" s="170"/>
      <c r="AX445" s="170"/>
    </row>
    <row r="446" spans="1:50" ht="15" x14ac:dyDescent="0.25">
      <c r="A446" s="170"/>
      <c r="B446" s="719"/>
      <c r="C446" s="170"/>
      <c r="D446" s="170"/>
      <c r="E446" s="170"/>
      <c r="F446" s="170"/>
      <c r="G446" s="721"/>
      <c r="H446" s="170"/>
      <c r="I446" s="170"/>
      <c r="J446" s="170"/>
      <c r="K446" s="170"/>
      <c r="L446" s="170"/>
      <c r="M446" s="730"/>
      <c r="N446" s="730"/>
      <c r="O446" s="730"/>
      <c r="P446" s="731"/>
      <c r="Q446" s="731"/>
      <c r="R446" s="730"/>
      <c r="S446" s="730"/>
      <c r="T446" s="723"/>
      <c r="U446" s="724"/>
      <c r="V446" s="725"/>
      <c r="W446" s="725"/>
      <c r="X446" s="723"/>
      <c r="Y446" s="723"/>
      <c r="Z446" s="723"/>
      <c r="AA446" s="726"/>
      <c r="AB446" s="726"/>
      <c r="AC446" s="170"/>
      <c r="AD446" s="586"/>
      <c r="AE446" s="586"/>
      <c r="AF446" s="170"/>
      <c r="AG446" s="170"/>
      <c r="AH446" s="170"/>
      <c r="AI446" s="170"/>
      <c r="AJ446" s="170"/>
      <c r="AK446" s="170"/>
      <c r="AL446" s="170"/>
      <c r="AM446" s="170"/>
      <c r="AN446" s="170"/>
      <c r="AO446" s="170"/>
      <c r="AP446" s="170"/>
      <c r="AQ446" s="170"/>
      <c r="AR446" s="170"/>
      <c r="AS446" s="170"/>
      <c r="AT446" s="170"/>
      <c r="AU446" s="170"/>
      <c r="AV446" s="170"/>
      <c r="AW446" s="170"/>
      <c r="AX446" s="170"/>
    </row>
    <row r="447" spans="1:50" ht="15" x14ac:dyDescent="0.25">
      <c r="A447" s="170"/>
      <c r="B447" s="719"/>
      <c r="C447" s="170"/>
      <c r="D447" s="170"/>
      <c r="E447" s="170"/>
      <c r="F447" s="170"/>
      <c r="G447" s="721"/>
      <c r="H447" s="170"/>
      <c r="I447" s="170"/>
      <c r="J447" s="170"/>
      <c r="K447" s="170"/>
      <c r="L447" s="170"/>
      <c r="M447" s="730"/>
      <c r="N447" s="730"/>
      <c r="O447" s="730"/>
      <c r="P447" s="731"/>
      <c r="Q447" s="731"/>
      <c r="R447" s="730"/>
      <c r="S447" s="730"/>
      <c r="T447" s="723"/>
      <c r="U447" s="724"/>
      <c r="V447" s="725"/>
      <c r="W447" s="725"/>
      <c r="X447" s="723"/>
      <c r="Y447" s="723"/>
      <c r="Z447" s="723"/>
      <c r="AA447" s="726"/>
      <c r="AB447" s="726"/>
      <c r="AC447" s="170"/>
      <c r="AD447" s="586"/>
      <c r="AE447" s="586"/>
      <c r="AF447" s="170"/>
      <c r="AG447" s="170"/>
      <c r="AH447" s="170"/>
      <c r="AI447" s="170"/>
      <c r="AJ447" s="170"/>
      <c r="AK447" s="170"/>
      <c r="AL447" s="170"/>
      <c r="AM447" s="170"/>
      <c r="AN447" s="170"/>
      <c r="AO447" s="170"/>
      <c r="AP447" s="170"/>
      <c r="AQ447" s="170"/>
      <c r="AR447" s="170"/>
      <c r="AS447" s="170"/>
      <c r="AT447" s="170"/>
      <c r="AU447" s="170"/>
      <c r="AV447" s="170"/>
      <c r="AW447" s="170"/>
      <c r="AX447" s="170"/>
    </row>
    <row r="448" spans="1:50" ht="15" x14ac:dyDescent="0.25">
      <c r="A448" s="170"/>
      <c r="B448" s="719"/>
      <c r="C448" s="170"/>
      <c r="D448" s="170"/>
      <c r="E448" s="170"/>
      <c r="F448" s="170"/>
      <c r="G448" s="721"/>
      <c r="H448" s="170"/>
      <c r="I448" s="170"/>
      <c r="J448" s="170"/>
      <c r="K448" s="170"/>
      <c r="L448" s="170"/>
      <c r="M448" s="730"/>
      <c r="N448" s="730"/>
      <c r="O448" s="730"/>
      <c r="P448" s="731"/>
      <c r="Q448" s="731"/>
      <c r="R448" s="730"/>
      <c r="S448" s="730"/>
      <c r="T448" s="723"/>
      <c r="U448" s="724"/>
      <c r="V448" s="725"/>
      <c r="W448" s="725"/>
      <c r="X448" s="723"/>
      <c r="Y448" s="723"/>
      <c r="Z448" s="723"/>
      <c r="AA448" s="726"/>
      <c r="AB448" s="726"/>
      <c r="AC448" s="170"/>
      <c r="AD448" s="586"/>
      <c r="AE448" s="586"/>
      <c r="AF448" s="170"/>
      <c r="AG448" s="170"/>
      <c r="AH448" s="170"/>
      <c r="AI448" s="170"/>
      <c r="AJ448" s="170"/>
      <c r="AK448" s="170"/>
      <c r="AL448" s="170"/>
      <c r="AM448" s="170"/>
      <c r="AN448" s="170"/>
      <c r="AO448" s="170"/>
      <c r="AP448" s="170"/>
      <c r="AQ448" s="170"/>
      <c r="AR448" s="170"/>
      <c r="AS448" s="170"/>
      <c r="AT448" s="170"/>
      <c r="AU448" s="170"/>
      <c r="AV448" s="170"/>
      <c r="AW448" s="170"/>
      <c r="AX448" s="170"/>
    </row>
    <row r="449" spans="1:50" ht="15" x14ac:dyDescent="0.25">
      <c r="A449" s="170"/>
      <c r="B449" s="719"/>
      <c r="C449" s="170"/>
      <c r="D449" s="170"/>
      <c r="E449" s="170"/>
      <c r="F449" s="170"/>
      <c r="G449" s="721"/>
      <c r="H449" s="170"/>
      <c r="I449" s="170"/>
      <c r="J449" s="170"/>
      <c r="K449" s="170"/>
      <c r="L449" s="170"/>
      <c r="M449" s="730"/>
      <c r="N449" s="730"/>
      <c r="O449" s="730"/>
      <c r="P449" s="731"/>
      <c r="Q449" s="731"/>
      <c r="R449" s="730"/>
      <c r="S449" s="730"/>
      <c r="T449" s="723"/>
      <c r="U449" s="724"/>
      <c r="V449" s="725"/>
      <c r="W449" s="725"/>
      <c r="X449" s="723"/>
      <c r="Y449" s="723"/>
      <c r="Z449" s="723"/>
      <c r="AA449" s="726"/>
      <c r="AB449" s="726"/>
      <c r="AC449" s="170"/>
      <c r="AD449" s="586"/>
      <c r="AE449" s="586"/>
      <c r="AF449" s="170"/>
      <c r="AG449" s="170"/>
      <c r="AH449" s="170"/>
      <c r="AI449" s="170"/>
      <c r="AJ449" s="170"/>
      <c r="AK449" s="170"/>
      <c r="AL449" s="170"/>
      <c r="AM449" s="170"/>
      <c r="AN449" s="170"/>
      <c r="AO449" s="170"/>
      <c r="AP449" s="170"/>
      <c r="AQ449" s="170"/>
      <c r="AR449" s="170"/>
      <c r="AS449" s="170"/>
      <c r="AT449" s="170"/>
      <c r="AU449" s="170"/>
      <c r="AV449" s="170"/>
      <c r="AW449" s="170"/>
      <c r="AX449" s="170"/>
    </row>
    <row r="450" spans="1:50" ht="15" x14ac:dyDescent="0.25">
      <c r="A450" s="170"/>
      <c r="B450" s="719"/>
      <c r="C450" s="170"/>
      <c r="D450" s="170"/>
      <c r="E450" s="170"/>
      <c r="F450" s="170"/>
      <c r="G450" s="721"/>
      <c r="H450" s="170"/>
      <c r="I450" s="170"/>
      <c r="J450" s="170"/>
      <c r="K450" s="170"/>
      <c r="L450" s="170"/>
      <c r="M450" s="730"/>
      <c r="N450" s="730"/>
      <c r="O450" s="730"/>
      <c r="P450" s="731"/>
      <c r="Q450" s="731"/>
      <c r="R450" s="730"/>
      <c r="S450" s="730"/>
      <c r="T450" s="723"/>
      <c r="U450" s="724"/>
      <c r="V450" s="725"/>
      <c r="W450" s="725"/>
      <c r="X450" s="723"/>
      <c r="Y450" s="723"/>
      <c r="Z450" s="723"/>
      <c r="AA450" s="726"/>
      <c r="AB450" s="726"/>
      <c r="AC450" s="170"/>
      <c r="AD450" s="586"/>
      <c r="AE450" s="586"/>
      <c r="AF450" s="170"/>
      <c r="AG450" s="170"/>
      <c r="AH450" s="170"/>
      <c r="AI450" s="170"/>
      <c r="AJ450" s="170"/>
      <c r="AK450" s="170"/>
      <c r="AL450" s="170"/>
      <c r="AM450" s="170"/>
      <c r="AN450" s="170"/>
      <c r="AO450" s="170"/>
      <c r="AP450" s="170"/>
      <c r="AQ450" s="170"/>
      <c r="AR450" s="170"/>
      <c r="AS450" s="170"/>
      <c r="AT450" s="170"/>
      <c r="AU450" s="170"/>
      <c r="AV450" s="170"/>
      <c r="AW450" s="170"/>
      <c r="AX450" s="170"/>
    </row>
    <row r="451" spans="1:50" ht="15" x14ac:dyDescent="0.25">
      <c r="A451" s="170"/>
      <c r="B451" s="719"/>
      <c r="C451" s="170"/>
      <c r="D451" s="170"/>
      <c r="E451" s="170"/>
      <c r="F451" s="170"/>
      <c r="G451" s="721"/>
      <c r="H451" s="170"/>
      <c r="I451" s="170"/>
      <c r="J451" s="170"/>
      <c r="K451" s="170"/>
      <c r="L451" s="170"/>
      <c r="M451" s="730"/>
      <c r="N451" s="730"/>
      <c r="O451" s="730"/>
      <c r="P451" s="731"/>
      <c r="Q451" s="731"/>
      <c r="R451" s="730"/>
      <c r="S451" s="730"/>
      <c r="T451" s="723"/>
      <c r="U451" s="724"/>
      <c r="V451" s="725"/>
      <c r="W451" s="725"/>
      <c r="X451" s="723"/>
      <c r="Y451" s="723"/>
      <c r="Z451" s="723"/>
      <c r="AA451" s="726"/>
      <c r="AB451" s="726"/>
      <c r="AC451" s="170"/>
      <c r="AD451" s="586"/>
      <c r="AE451" s="586"/>
      <c r="AF451" s="170"/>
      <c r="AG451" s="170"/>
      <c r="AH451" s="170"/>
      <c r="AI451" s="170"/>
      <c r="AJ451" s="170"/>
      <c r="AK451" s="170"/>
      <c r="AL451" s="170"/>
      <c r="AM451" s="170"/>
      <c r="AN451" s="170"/>
      <c r="AO451" s="170"/>
      <c r="AP451" s="170"/>
      <c r="AQ451" s="170"/>
      <c r="AR451" s="170"/>
      <c r="AS451" s="170"/>
      <c r="AT451" s="170"/>
      <c r="AU451" s="170"/>
      <c r="AV451" s="170"/>
      <c r="AW451" s="170"/>
      <c r="AX451" s="170"/>
    </row>
    <row r="452" spans="1:50" ht="15" x14ac:dyDescent="0.25">
      <c r="A452" s="170"/>
      <c r="B452" s="719"/>
      <c r="C452" s="170"/>
      <c r="D452" s="170"/>
      <c r="E452" s="170"/>
      <c r="F452" s="170"/>
      <c r="G452" s="721"/>
      <c r="H452" s="170"/>
      <c r="I452" s="170"/>
      <c r="J452" s="170"/>
      <c r="K452" s="170"/>
      <c r="L452" s="170"/>
      <c r="M452" s="730"/>
      <c r="N452" s="730"/>
      <c r="O452" s="730"/>
      <c r="P452" s="731"/>
      <c r="Q452" s="731"/>
      <c r="R452" s="730"/>
      <c r="S452" s="730"/>
      <c r="T452" s="723"/>
      <c r="U452" s="724"/>
      <c r="V452" s="725"/>
      <c r="W452" s="725"/>
      <c r="X452" s="723"/>
      <c r="Y452" s="723"/>
      <c r="Z452" s="723"/>
      <c r="AA452" s="726"/>
      <c r="AB452" s="726"/>
      <c r="AC452" s="170"/>
      <c r="AD452" s="586"/>
      <c r="AE452" s="586"/>
      <c r="AF452" s="170"/>
      <c r="AG452" s="170"/>
      <c r="AH452" s="170"/>
      <c r="AI452" s="170"/>
      <c r="AJ452" s="170"/>
      <c r="AK452" s="170"/>
      <c r="AL452" s="170"/>
      <c r="AM452" s="170"/>
      <c r="AN452" s="170"/>
      <c r="AO452" s="170"/>
      <c r="AP452" s="170"/>
      <c r="AQ452" s="170"/>
      <c r="AR452" s="170"/>
      <c r="AS452" s="170"/>
      <c r="AT452" s="170"/>
      <c r="AU452" s="170"/>
      <c r="AV452" s="170"/>
      <c r="AW452" s="170"/>
      <c r="AX452" s="170"/>
    </row>
    <row r="453" spans="1:50" ht="15" x14ac:dyDescent="0.25">
      <c r="A453" s="170"/>
      <c r="B453" s="719"/>
      <c r="C453" s="170"/>
      <c r="D453" s="170"/>
      <c r="E453" s="170"/>
      <c r="F453" s="170"/>
      <c r="G453" s="721"/>
      <c r="H453" s="170"/>
      <c r="I453" s="170"/>
      <c r="J453" s="170"/>
      <c r="K453" s="170"/>
      <c r="L453" s="170"/>
      <c r="M453" s="730"/>
      <c r="N453" s="730"/>
      <c r="O453" s="730"/>
      <c r="P453" s="731"/>
      <c r="Q453" s="731"/>
      <c r="R453" s="730"/>
      <c r="S453" s="730"/>
      <c r="T453" s="723"/>
      <c r="U453" s="724"/>
      <c r="V453" s="725"/>
      <c r="W453" s="725"/>
      <c r="X453" s="723"/>
      <c r="Y453" s="723"/>
      <c r="Z453" s="723"/>
      <c r="AA453" s="726"/>
      <c r="AB453" s="726"/>
      <c r="AC453" s="170"/>
      <c r="AD453" s="586"/>
      <c r="AE453" s="586"/>
      <c r="AF453" s="170"/>
      <c r="AG453" s="170"/>
      <c r="AH453" s="170"/>
      <c r="AI453" s="170"/>
      <c r="AJ453" s="170"/>
      <c r="AK453" s="170"/>
      <c r="AL453" s="170"/>
      <c r="AM453" s="170"/>
      <c r="AN453" s="170"/>
      <c r="AO453" s="170"/>
      <c r="AP453" s="170"/>
      <c r="AQ453" s="170"/>
      <c r="AR453" s="170"/>
      <c r="AS453" s="170"/>
      <c r="AT453" s="170"/>
      <c r="AU453" s="170"/>
      <c r="AV453" s="170"/>
      <c r="AW453" s="170"/>
      <c r="AX453" s="170"/>
    </row>
    <row r="454" spans="1:50" ht="15" x14ac:dyDescent="0.25">
      <c r="A454" s="170"/>
      <c r="B454" s="719"/>
      <c r="C454" s="170"/>
      <c r="D454" s="170"/>
      <c r="E454" s="170"/>
      <c r="F454" s="170"/>
      <c r="G454" s="721"/>
      <c r="H454" s="170"/>
      <c r="I454" s="170"/>
      <c r="J454" s="170"/>
      <c r="K454" s="170"/>
      <c r="L454" s="170"/>
      <c r="M454" s="730"/>
      <c r="N454" s="730"/>
      <c r="O454" s="730"/>
      <c r="P454" s="731"/>
      <c r="Q454" s="731"/>
      <c r="R454" s="730"/>
      <c r="S454" s="730"/>
      <c r="T454" s="723"/>
      <c r="U454" s="724"/>
      <c r="V454" s="725"/>
      <c r="W454" s="725"/>
      <c r="X454" s="723"/>
      <c r="Y454" s="723"/>
      <c r="Z454" s="723"/>
      <c r="AA454" s="726"/>
      <c r="AB454" s="726"/>
      <c r="AC454" s="170"/>
      <c r="AD454" s="586"/>
      <c r="AE454" s="586"/>
      <c r="AF454" s="170"/>
      <c r="AG454" s="170"/>
      <c r="AH454" s="170"/>
      <c r="AI454" s="170"/>
      <c r="AJ454" s="170"/>
      <c r="AK454" s="170"/>
      <c r="AL454" s="170"/>
      <c r="AM454" s="170"/>
      <c r="AN454" s="170"/>
      <c r="AO454" s="170"/>
      <c r="AP454" s="170"/>
      <c r="AQ454" s="170"/>
      <c r="AR454" s="170"/>
      <c r="AS454" s="170"/>
      <c r="AT454" s="170"/>
      <c r="AU454" s="170"/>
      <c r="AV454" s="170"/>
      <c r="AW454" s="170"/>
      <c r="AX454" s="170"/>
    </row>
    <row r="455" spans="1:50" ht="15" x14ac:dyDescent="0.25">
      <c r="A455" s="170"/>
      <c r="B455" s="719"/>
      <c r="C455" s="170"/>
      <c r="D455" s="170"/>
      <c r="E455" s="170"/>
      <c r="F455" s="170"/>
      <c r="G455" s="721"/>
      <c r="H455" s="170"/>
      <c r="I455" s="170"/>
      <c r="J455" s="170"/>
      <c r="K455" s="170"/>
      <c r="L455" s="170"/>
      <c r="M455" s="730"/>
      <c r="N455" s="730"/>
      <c r="O455" s="730"/>
      <c r="P455" s="731"/>
      <c r="Q455" s="731"/>
      <c r="R455" s="730"/>
      <c r="S455" s="730"/>
      <c r="T455" s="723"/>
      <c r="U455" s="724"/>
      <c r="V455" s="725"/>
      <c r="W455" s="725"/>
      <c r="X455" s="723"/>
      <c r="Y455" s="723"/>
      <c r="Z455" s="723"/>
      <c r="AA455" s="726"/>
      <c r="AB455" s="726"/>
      <c r="AC455" s="170"/>
      <c r="AD455" s="586"/>
      <c r="AE455" s="586"/>
      <c r="AF455" s="170"/>
      <c r="AG455" s="170"/>
      <c r="AH455" s="170"/>
      <c r="AI455" s="170"/>
      <c r="AJ455" s="170"/>
      <c r="AK455" s="170"/>
      <c r="AL455" s="170"/>
      <c r="AM455" s="170"/>
      <c r="AN455" s="170"/>
      <c r="AO455" s="170"/>
      <c r="AP455" s="170"/>
      <c r="AQ455" s="170"/>
      <c r="AR455" s="170"/>
      <c r="AS455" s="170"/>
      <c r="AT455" s="170"/>
      <c r="AU455" s="170"/>
      <c r="AV455" s="170"/>
      <c r="AW455" s="170"/>
      <c r="AX455" s="170"/>
    </row>
    <row r="456" spans="1:50" ht="15" x14ac:dyDescent="0.25">
      <c r="A456" s="170"/>
      <c r="B456" s="719"/>
      <c r="C456" s="170"/>
      <c r="D456" s="170"/>
      <c r="E456" s="170"/>
      <c r="F456" s="170"/>
      <c r="G456" s="721"/>
      <c r="H456" s="170"/>
      <c r="I456" s="170"/>
      <c r="J456" s="170"/>
      <c r="K456" s="170"/>
      <c r="L456" s="170"/>
      <c r="M456" s="730"/>
      <c r="N456" s="730"/>
      <c r="O456" s="730"/>
      <c r="P456" s="731"/>
      <c r="Q456" s="731"/>
      <c r="R456" s="730"/>
      <c r="S456" s="730"/>
      <c r="T456" s="723"/>
      <c r="U456" s="724"/>
      <c r="V456" s="725"/>
      <c r="W456" s="725"/>
      <c r="X456" s="723"/>
      <c r="Y456" s="723"/>
      <c r="Z456" s="723"/>
      <c r="AA456" s="726"/>
      <c r="AB456" s="726"/>
      <c r="AC456" s="170"/>
      <c r="AD456" s="586"/>
      <c r="AE456" s="586"/>
      <c r="AF456" s="170"/>
      <c r="AG456" s="170"/>
      <c r="AH456" s="170"/>
      <c r="AI456" s="170"/>
      <c r="AJ456" s="170"/>
      <c r="AK456" s="170"/>
      <c r="AL456" s="170"/>
      <c r="AM456" s="170"/>
      <c r="AN456" s="170"/>
      <c r="AO456" s="170"/>
      <c r="AP456" s="170"/>
      <c r="AQ456" s="170"/>
      <c r="AR456" s="170"/>
      <c r="AS456" s="170"/>
      <c r="AT456" s="170"/>
      <c r="AU456" s="170"/>
      <c r="AV456" s="170"/>
      <c r="AW456" s="170"/>
      <c r="AX456" s="170"/>
    </row>
    <row r="457" spans="1:50" ht="15" x14ac:dyDescent="0.25">
      <c r="A457" s="170"/>
      <c r="B457" s="719"/>
      <c r="C457" s="170"/>
      <c r="D457" s="170"/>
      <c r="E457" s="170"/>
      <c r="F457" s="170"/>
      <c r="G457" s="721"/>
      <c r="H457" s="170"/>
      <c r="I457" s="170"/>
      <c r="J457" s="170"/>
      <c r="K457" s="170"/>
      <c r="L457" s="170"/>
      <c r="M457" s="730"/>
      <c r="N457" s="730"/>
      <c r="O457" s="730"/>
      <c r="P457" s="731"/>
      <c r="Q457" s="731"/>
      <c r="R457" s="730"/>
      <c r="S457" s="730"/>
      <c r="T457" s="723"/>
      <c r="U457" s="724"/>
      <c r="V457" s="725"/>
      <c r="W457" s="725"/>
      <c r="X457" s="723"/>
      <c r="Y457" s="723"/>
      <c r="Z457" s="723"/>
      <c r="AA457" s="726"/>
      <c r="AB457" s="726"/>
      <c r="AC457" s="170"/>
      <c r="AD457" s="586"/>
      <c r="AE457" s="586"/>
      <c r="AF457" s="170"/>
      <c r="AG457" s="170"/>
      <c r="AH457" s="170"/>
      <c r="AI457" s="170"/>
      <c r="AJ457" s="170"/>
      <c r="AK457" s="170"/>
      <c r="AL457" s="170"/>
      <c r="AM457" s="170"/>
      <c r="AN457" s="170"/>
      <c r="AO457" s="170"/>
      <c r="AP457" s="170"/>
      <c r="AQ457" s="170"/>
      <c r="AR457" s="170"/>
      <c r="AS457" s="170"/>
      <c r="AT457" s="170"/>
      <c r="AU457" s="170"/>
      <c r="AV457" s="170"/>
      <c r="AW457" s="170"/>
      <c r="AX457" s="170"/>
    </row>
    <row r="458" spans="1:50" ht="15" x14ac:dyDescent="0.25">
      <c r="A458" s="170"/>
      <c r="B458" s="719"/>
      <c r="C458" s="170"/>
      <c r="D458" s="170"/>
      <c r="E458" s="170"/>
      <c r="F458" s="170"/>
      <c r="G458" s="721"/>
      <c r="H458" s="170"/>
      <c r="I458" s="170"/>
      <c r="J458" s="170"/>
      <c r="K458" s="170"/>
      <c r="L458" s="170"/>
      <c r="M458" s="730"/>
      <c r="N458" s="730"/>
      <c r="O458" s="730"/>
      <c r="P458" s="731"/>
      <c r="Q458" s="731"/>
      <c r="R458" s="730"/>
      <c r="S458" s="730"/>
      <c r="T458" s="723"/>
      <c r="U458" s="724"/>
      <c r="V458" s="725"/>
      <c r="W458" s="725"/>
      <c r="X458" s="723"/>
      <c r="Y458" s="723"/>
      <c r="Z458" s="723"/>
      <c r="AA458" s="726"/>
      <c r="AB458" s="726"/>
      <c r="AC458" s="170"/>
      <c r="AD458" s="586"/>
      <c r="AE458" s="586"/>
      <c r="AF458" s="170"/>
      <c r="AG458" s="170"/>
      <c r="AH458" s="170"/>
      <c r="AI458" s="170"/>
      <c r="AJ458" s="170"/>
      <c r="AK458" s="170"/>
      <c r="AL458" s="170"/>
      <c r="AM458" s="170"/>
      <c r="AN458" s="170"/>
      <c r="AO458" s="170"/>
      <c r="AP458" s="170"/>
      <c r="AQ458" s="170"/>
      <c r="AR458" s="170"/>
      <c r="AS458" s="170"/>
      <c r="AT458" s="170"/>
      <c r="AU458" s="170"/>
      <c r="AV458" s="170"/>
      <c r="AW458" s="170"/>
      <c r="AX458" s="170"/>
    </row>
    <row r="459" spans="1:50" ht="15" x14ac:dyDescent="0.25">
      <c r="A459" s="170"/>
      <c r="B459" s="719"/>
      <c r="C459" s="170"/>
      <c r="D459" s="170"/>
      <c r="E459" s="170"/>
      <c r="F459" s="170"/>
      <c r="G459" s="721"/>
      <c r="H459" s="170"/>
      <c r="I459" s="170"/>
      <c r="J459" s="170"/>
      <c r="K459" s="170"/>
      <c r="L459" s="170"/>
      <c r="M459" s="730"/>
      <c r="N459" s="730"/>
      <c r="O459" s="730"/>
      <c r="P459" s="731"/>
      <c r="Q459" s="731"/>
      <c r="R459" s="730"/>
      <c r="S459" s="730"/>
      <c r="T459" s="723"/>
      <c r="U459" s="724"/>
      <c r="V459" s="725"/>
      <c r="W459" s="725"/>
      <c r="X459" s="723"/>
      <c r="Y459" s="723"/>
      <c r="Z459" s="723"/>
      <c r="AA459" s="726"/>
      <c r="AB459" s="726"/>
      <c r="AC459" s="170"/>
      <c r="AD459" s="586"/>
      <c r="AE459" s="586"/>
      <c r="AF459" s="170"/>
      <c r="AG459" s="170"/>
      <c r="AH459" s="170"/>
      <c r="AI459" s="170"/>
      <c r="AJ459" s="170"/>
      <c r="AK459" s="170"/>
      <c r="AL459" s="170"/>
      <c r="AM459" s="170"/>
      <c r="AN459" s="170"/>
      <c r="AO459" s="170"/>
      <c r="AP459" s="170"/>
      <c r="AQ459" s="170"/>
      <c r="AR459" s="170"/>
      <c r="AS459" s="170"/>
      <c r="AT459" s="170"/>
      <c r="AU459" s="170"/>
      <c r="AV459" s="170"/>
      <c r="AW459" s="170"/>
      <c r="AX459" s="170"/>
    </row>
    <row r="460" spans="1:50" ht="15" x14ac:dyDescent="0.25">
      <c r="A460" s="170"/>
      <c r="B460" s="719"/>
      <c r="C460" s="170"/>
      <c r="D460" s="170"/>
      <c r="E460" s="170"/>
      <c r="F460" s="170"/>
      <c r="G460" s="721"/>
      <c r="H460" s="170"/>
      <c r="I460" s="170"/>
      <c r="J460" s="170"/>
      <c r="K460" s="170"/>
      <c r="L460" s="170"/>
      <c r="M460" s="730"/>
      <c r="N460" s="730"/>
      <c r="O460" s="730"/>
      <c r="P460" s="731"/>
      <c r="Q460" s="731"/>
      <c r="R460" s="730"/>
      <c r="S460" s="730"/>
      <c r="T460" s="723"/>
      <c r="U460" s="724"/>
      <c r="V460" s="725"/>
      <c r="W460" s="725"/>
      <c r="X460" s="723"/>
      <c r="Y460" s="723"/>
      <c r="Z460" s="723"/>
      <c r="AA460" s="726"/>
      <c r="AB460" s="726"/>
      <c r="AC460" s="170"/>
      <c r="AD460" s="586"/>
      <c r="AE460" s="586"/>
      <c r="AF460" s="170"/>
      <c r="AG460" s="170"/>
      <c r="AH460" s="170"/>
      <c r="AI460" s="170"/>
      <c r="AJ460" s="170"/>
      <c r="AK460" s="170"/>
      <c r="AL460" s="170"/>
      <c r="AM460" s="170"/>
      <c r="AN460" s="170"/>
      <c r="AO460" s="170"/>
      <c r="AP460" s="170"/>
      <c r="AQ460" s="170"/>
      <c r="AR460" s="170"/>
      <c r="AS460" s="170"/>
      <c r="AT460" s="170"/>
      <c r="AU460" s="170"/>
      <c r="AV460" s="170"/>
      <c r="AW460" s="170"/>
      <c r="AX460" s="170"/>
    </row>
    <row r="461" spans="1:50" ht="15" x14ac:dyDescent="0.25">
      <c r="A461" s="170"/>
      <c r="B461" s="719"/>
      <c r="C461" s="170"/>
      <c r="D461" s="170"/>
      <c r="E461" s="170"/>
      <c r="F461" s="170"/>
      <c r="G461" s="721"/>
      <c r="H461" s="170"/>
      <c r="I461" s="170"/>
      <c r="J461" s="170"/>
      <c r="K461" s="170"/>
      <c r="L461" s="170"/>
      <c r="M461" s="730"/>
      <c r="N461" s="730"/>
      <c r="O461" s="730"/>
      <c r="P461" s="731"/>
      <c r="Q461" s="731"/>
      <c r="R461" s="730"/>
      <c r="S461" s="730"/>
      <c r="T461" s="723"/>
      <c r="U461" s="724"/>
      <c r="V461" s="725"/>
      <c r="W461" s="725"/>
      <c r="X461" s="723"/>
      <c r="Y461" s="723"/>
      <c r="Z461" s="723"/>
      <c r="AA461" s="726"/>
      <c r="AB461" s="726"/>
      <c r="AC461" s="170"/>
      <c r="AD461" s="586"/>
      <c r="AE461" s="586"/>
      <c r="AF461" s="170"/>
      <c r="AG461" s="170"/>
      <c r="AH461" s="170"/>
      <c r="AI461" s="170"/>
      <c r="AJ461" s="170"/>
      <c r="AK461" s="170"/>
      <c r="AL461" s="170"/>
      <c r="AM461" s="170"/>
      <c r="AN461" s="170"/>
      <c r="AO461" s="170"/>
      <c r="AP461" s="170"/>
      <c r="AQ461" s="170"/>
      <c r="AR461" s="170"/>
      <c r="AS461" s="170"/>
      <c r="AT461" s="170"/>
      <c r="AU461" s="170"/>
      <c r="AV461" s="170"/>
      <c r="AW461" s="170"/>
      <c r="AX461" s="170"/>
    </row>
    <row r="462" spans="1:50" ht="15" x14ac:dyDescent="0.25">
      <c r="A462" s="170"/>
      <c r="B462" s="719"/>
      <c r="C462" s="170"/>
      <c r="D462" s="170"/>
      <c r="E462" s="170"/>
      <c r="F462" s="170"/>
      <c r="G462" s="721"/>
      <c r="H462" s="170"/>
      <c r="I462" s="170"/>
      <c r="J462" s="170"/>
      <c r="K462" s="170"/>
      <c r="L462" s="170"/>
      <c r="M462" s="730"/>
      <c r="N462" s="730"/>
      <c r="O462" s="730"/>
      <c r="P462" s="731"/>
      <c r="Q462" s="731"/>
      <c r="R462" s="730"/>
      <c r="S462" s="730"/>
      <c r="T462" s="723"/>
      <c r="U462" s="724"/>
      <c r="V462" s="725"/>
      <c r="W462" s="725"/>
      <c r="X462" s="723"/>
      <c r="Y462" s="723"/>
      <c r="Z462" s="723"/>
      <c r="AA462" s="726"/>
      <c r="AB462" s="726"/>
      <c r="AC462" s="170"/>
      <c r="AD462" s="586"/>
      <c r="AE462" s="586"/>
      <c r="AF462" s="170"/>
      <c r="AG462" s="170"/>
      <c r="AH462" s="170"/>
      <c r="AI462" s="170"/>
      <c r="AJ462" s="170"/>
      <c r="AK462" s="170"/>
      <c r="AL462" s="170"/>
      <c r="AM462" s="170"/>
      <c r="AN462" s="170"/>
      <c r="AO462" s="170"/>
      <c r="AP462" s="170"/>
      <c r="AQ462" s="170"/>
      <c r="AR462" s="170"/>
      <c r="AS462" s="170"/>
      <c r="AT462" s="170"/>
      <c r="AU462" s="170"/>
      <c r="AV462" s="170"/>
      <c r="AW462" s="170"/>
      <c r="AX462" s="170"/>
    </row>
    <row r="463" spans="1:50" ht="15" x14ac:dyDescent="0.25">
      <c r="A463" s="170"/>
      <c r="B463" s="719"/>
      <c r="C463" s="170"/>
      <c r="D463" s="170"/>
      <c r="E463" s="170"/>
      <c r="F463" s="170"/>
      <c r="G463" s="721"/>
      <c r="H463" s="170"/>
      <c r="I463" s="170"/>
      <c r="J463" s="170"/>
      <c r="K463" s="170"/>
      <c r="L463" s="170"/>
      <c r="M463" s="730"/>
      <c r="N463" s="730"/>
      <c r="O463" s="730"/>
      <c r="P463" s="731"/>
      <c r="Q463" s="731"/>
      <c r="R463" s="730"/>
      <c r="S463" s="730"/>
      <c r="T463" s="723"/>
      <c r="U463" s="724"/>
      <c r="V463" s="725"/>
      <c r="W463" s="725"/>
      <c r="X463" s="723"/>
      <c r="Y463" s="723"/>
      <c r="Z463" s="723"/>
      <c r="AA463" s="726"/>
      <c r="AB463" s="726"/>
      <c r="AC463" s="170"/>
      <c r="AD463" s="586"/>
      <c r="AE463" s="586"/>
      <c r="AF463" s="170"/>
      <c r="AG463" s="170"/>
      <c r="AH463" s="170"/>
      <c r="AI463" s="170"/>
      <c r="AJ463" s="170"/>
      <c r="AK463" s="170"/>
      <c r="AL463" s="170"/>
      <c r="AM463" s="170"/>
      <c r="AN463" s="170"/>
      <c r="AO463" s="170"/>
      <c r="AP463" s="170"/>
      <c r="AQ463" s="170"/>
      <c r="AR463" s="170"/>
      <c r="AS463" s="170"/>
      <c r="AT463" s="170"/>
      <c r="AU463" s="170"/>
      <c r="AV463" s="170"/>
      <c r="AW463" s="170"/>
      <c r="AX463" s="170"/>
    </row>
    <row r="464" spans="1:50" ht="15" x14ac:dyDescent="0.25">
      <c r="A464" s="170"/>
      <c r="B464" s="719"/>
      <c r="C464" s="170"/>
      <c r="D464" s="170"/>
      <c r="E464" s="170"/>
      <c r="F464" s="170"/>
      <c r="G464" s="721"/>
      <c r="H464" s="170"/>
      <c r="I464" s="170"/>
      <c r="J464" s="170"/>
      <c r="K464" s="170"/>
      <c r="L464" s="170"/>
      <c r="M464" s="730"/>
      <c r="N464" s="730"/>
      <c r="O464" s="730"/>
      <c r="P464" s="731"/>
      <c r="Q464" s="731"/>
      <c r="R464" s="730"/>
      <c r="S464" s="730"/>
      <c r="T464" s="723"/>
      <c r="U464" s="724"/>
      <c r="V464" s="725"/>
      <c r="W464" s="725"/>
      <c r="X464" s="723"/>
      <c r="Y464" s="723"/>
      <c r="Z464" s="723"/>
      <c r="AA464" s="726"/>
      <c r="AB464" s="726"/>
      <c r="AC464" s="170"/>
      <c r="AD464" s="586"/>
      <c r="AE464" s="586"/>
      <c r="AF464" s="170"/>
      <c r="AG464" s="170"/>
      <c r="AH464" s="170"/>
      <c r="AI464" s="170"/>
      <c r="AJ464" s="170"/>
      <c r="AK464" s="170"/>
      <c r="AL464" s="170"/>
      <c r="AM464" s="170"/>
      <c r="AN464" s="170"/>
      <c r="AO464" s="170"/>
      <c r="AP464" s="170"/>
      <c r="AQ464" s="170"/>
      <c r="AR464" s="170"/>
      <c r="AS464" s="170"/>
      <c r="AT464" s="170"/>
      <c r="AU464" s="170"/>
      <c r="AV464" s="170"/>
      <c r="AW464" s="170"/>
      <c r="AX464" s="170"/>
    </row>
    <row r="465" spans="1:50" ht="15" x14ac:dyDescent="0.25">
      <c r="A465" s="170"/>
      <c r="B465" s="719"/>
      <c r="C465" s="170"/>
      <c r="D465" s="170"/>
      <c r="E465" s="170"/>
      <c r="F465" s="170"/>
      <c r="G465" s="721"/>
      <c r="H465" s="170"/>
      <c r="I465" s="170"/>
      <c r="J465" s="170"/>
      <c r="K465" s="170"/>
      <c r="L465" s="170"/>
      <c r="M465" s="730"/>
      <c r="N465" s="730"/>
      <c r="O465" s="730"/>
      <c r="P465" s="731"/>
      <c r="Q465" s="731"/>
      <c r="R465" s="730"/>
      <c r="S465" s="730"/>
      <c r="T465" s="723"/>
      <c r="U465" s="724"/>
      <c r="V465" s="725"/>
      <c r="W465" s="725"/>
      <c r="X465" s="723"/>
      <c r="Y465" s="723"/>
      <c r="Z465" s="723"/>
      <c r="AA465" s="726"/>
      <c r="AB465" s="726"/>
      <c r="AC465" s="170"/>
      <c r="AD465" s="586"/>
      <c r="AE465" s="586"/>
      <c r="AF465" s="170"/>
      <c r="AG465" s="170"/>
      <c r="AH465" s="170"/>
      <c r="AI465" s="170"/>
      <c r="AJ465" s="170"/>
      <c r="AK465" s="170"/>
      <c r="AL465" s="170"/>
      <c r="AM465" s="170"/>
      <c r="AN465" s="170"/>
      <c r="AO465" s="170"/>
      <c r="AP465" s="170"/>
      <c r="AQ465" s="170"/>
      <c r="AR465" s="170"/>
      <c r="AS465" s="170"/>
      <c r="AT465" s="170"/>
      <c r="AU465" s="170"/>
      <c r="AV465" s="170"/>
      <c r="AW465" s="170"/>
      <c r="AX465" s="170"/>
    </row>
    <row r="466" spans="1:50" ht="15" x14ac:dyDescent="0.25">
      <c r="A466" s="170"/>
      <c r="B466" s="719"/>
      <c r="C466" s="170"/>
      <c r="D466" s="170"/>
      <c r="E466" s="170"/>
      <c r="F466" s="170"/>
      <c r="G466" s="721"/>
      <c r="H466" s="170"/>
      <c r="I466" s="170"/>
      <c r="J466" s="170"/>
      <c r="K466" s="170"/>
      <c r="L466" s="170"/>
      <c r="M466" s="730"/>
      <c r="N466" s="730"/>
      <c r="O466" s="730"/>
      <c r="P466" s="731"/>
      <c r="Q466" s="731"/>
      <c r="R466" s="730"/>
      <c r="S466" s="730"/>
      <c r="T466" s="723"/>
      <c r="U466" s="724"/>
      <c r="V466" s="725"/>
      <c r="W466" s="725"/>
      <c r="X466" s="723"/>
      <c r="Y466" s="723"/>
      <c r="Z466" s="723"/>
      <c r="AA466" s="726"/>
      <c r="AB466" s="726"/>
      <c r="AC466" s="170"/>
      <c r="AD466" s="586"/>
      <c r="AE466" s="586"/>
      <c r="AF466" s="170"/>
      <c r="AG466" s="170"/>
      <c r="AH466" s="170"/>
      <c r="AI466" s="170"/>
      <c r="AJ466" s="170"/>
      <c r="AK466" s="170"/>
      <c r="AL466" s="170"/>
      <c r="AM466" s="170"/>
      <c r="AN466" s="170"/>
      <c r="AO466" s="170"/>
      <c r="AP466" s="170"/>
      <c r="AQ466" s="170"/>
      <c r="AR466" s="170"/>
      <c r="AS466" s="170"/>
      <c r="AT466" s="170"/>
      <c r="AU466" s="170"/>
      <c r="AV466" s="170"/>
      <c r="AW466" s="170"/>
      <c r="AX466" s="170"/>
    </row>
    <row r="467" spans="1:50" ht="15" x14ac:dyDescent="0.25">
      <c r="A467" s="170"/>
      <c r="B467" s="719"/>
      <c r="C467" s="170"/>
      <c r="D467" s="170"/>
      <c r="E467" s="170"/>
      <c r="F467" s="170"/>
      <c r="G467" s="721"/>
      <c r="H467" s="170"/>
      <c r="I467" s="170"/>
      <c r="J467" s="170"/>
      <c r="K467" s="170"/>
      <c r="L467" s="170"/>
      <c r="M467" s="730"/>
      <c r="N467" s="730"/>
      <c r="O467" s="730"/>
      <c r="P467" s="731"/>
      <c r="Q467" s="731"/>
      <c r="R467" s="730"/>
      <c r="S467" s="730"/>
      <c r="T467" s="723"/>
      <c r="U467" s="724"/>
      <c r="V467" s="725"/>
      <c r="W467" s="725"/>
      <c r="X467" s="723"/>
      <c r="Y467" s="723"/>
      <c r="Z467" s="723"/>
      <c r="AA467" s="726"/>
      <c r="AB467" s="726"/>
      <c r="AC467" s="170"/>
      <c r="AD467" s="586"/>
      <c r="AE467" s="586"/>
      <c r="AF467" s="170"/>
      <c r="AG467" s="170"/>
      <c r="AH467" s="170"/>
      <c r="AI467" s="170"/>
      <c r="AJ467" s="170"/>
      <c r="AK467" s="170"/>
      <c r="AL467" s="170"/>
      <c r="AM467" s="170"/>
      <c r="AN467" s="170"/>
      <c r="AO467" s="170"/>
      <c r="AP467" s="170"/>
      <c r="AQ467" s="170"/>
      <c r="AR467" s="170"/>
      <c r="AS467" s="170"/>
      <c r="AT467" s="170"/>
      <c r="AU467" s="170"/>
      <c r="AV467" s="170"/>
      <c r="AW467" s="170"/>
      <c r="AX467" s="170"/>
    </row>
    <row r="468" spans="1:50" ht="15" x14ac:dyDescent="0.25">
      <c r="A468" s="170"/>
      <c r="B468" s="719"/>
      <c r="C468" s="170"/>
      <c r="D468" s="170"/>
      <c r="E468" s="170"/>
      <c r="F468" s="170"/>
      <c r="G468" s="721"/>
      <c r="H468" s="170"/>
      <c r="I468" s="170"/>
      <c r="J468" s="170"/>
      <c r="K468" s="170"/>
      <c r="L468" s="170"/>
      <c r="M468" s="730"/>
      <c r="N468" s="730"/>
      <c r="O468" s="730"/>
      <c r="P468" s="731"/>
      <c r="Q468" s="731"/>
      <c r="R468" s="730"/>
      <c r="S468" s="730"/>
      <c r="T468" s="723"/>
      <c r="U468" s="724"/>
      <c r="V468" s="725"/>
      <c r="W468" s="725"/>
      <c r="X468" s="723"/>
      <c r="Y468" s="723"/>
      <c r="Z468" s="723"/>
      <c r="AA468" s="726"/>
      <c r="AB468" s="726"/>
      <c r="AC468" s="170"/>
      <c r="AD468" s="586"/>
      <c r="AE468" s="586"/>
      <c r="AF468" s="170"/>
      <c r="AG468" s="170"/>
      <c r="AH468" s="170"/>
      <c r="AI468" s="170"/>
      <c r="AJ468" s="170"/>
      <c r="AK468" s="170"/>
      <c r="AL468" s="170"/>
      <c r="AM468" s="170"/>
      <c r="AN468" s="170"/>
      <c r="AO468" s="170"/>
      <c r="AP468" s="170"/>
      <c r="AQ468" s="170"/>
      <c r="AR468" s="170"/>
      <c r="AS468" s="170"/>
      <c r="AT468" s="170"/>
      <c r="AU468" s="170"/>
      <c r="AV468" s="170"/>
      <c r="AW468" s="170"/>
      <c r="AX468" s="170"/>
    </row>
    <row r="469" spans="1:50" ht="15" x14ac:dyDescent="0.25">
      <c r="A469" s="170"/>
      <c r="B469" s="719"/>
      <c r="C469" s="170"/>
      <c r="D469" s="170"/>
      <c r="E469" s="170"/>
      <c r="F469" s="170"/>
      <c r="G469" s="721"/>
      <c r="H469" s="170"/>
      <c r="I469" s="170"/>
      <c r="J469" s="170"/>
      <c r="K469" s="170"/>
      <c r="L469" s="170"/>
      <c r="M469" s="730"/>
      <c r="N469" s="730"/>
      <c r="O469" s="730"/>
      <c r="P469" s="731"/>
      <c r="Q469" s="731"/>
      <c r="R469" s="730"/>
      <c r="S469" s="730"/>
      <c r="T469" s="723"/>
      <c r="U469" s="724"/>
      <c r="V469" s="725"/>
      <c r="W469" s="725"/>
      <c r="X469" s="723"/>
      <c r="Y469" s="723"/>
      <c r="Z469" s="723"/>
      <c r="AA469" s="726"/>
      <c r="AB469" s="726"/>
      <c r="AC469" s="170"/>
      <c r="AD469" s="586"/>
      <c r="AE469" s="586"/>
      <c r="AF469" s="170"/>
      <c r="AG469" s="170"/>
      <c r="AH469" s="170"/>
      <c r="AI469" s="170"/>
      <c r="AJ469" s="170"/>
      <c r="AK469" s="170"/>
      <c r="AL469" s="170"/>
      <c r="AM469" s="170"/>
      <c r="AN469" s="170"/>
      <c r="AO469" s="170"/>
      <c r="AP469" s="170"/>
      <c r="AQ469" s="170"/>
      <c r="AR469" s="170"/>
      <c r="AS469" s="170"/>
      <c r="AT469" s="170"/>
      <c r="AU469" s="170"/>
      <c r="AV469" s="170"/>
      <c r="AW469" s="170"/>
      <c r="AX469" s="170"/>
    </row>
    <row r="470" spans="1:50" ht="15" x14ac:dyDescent="0.25">
      <c r="A470" s="170"/>
      <c r="B470" s="719"/>
      <c r="C470" s="170"/>
      <c r="D470" s="170"/>
      <c r="E470" s="170"/>
      <c r="F470" s="170"/>
      <c r="G470" s="721"/>
      <c r="H470" s="170"/>
      <c r="I470" s="170"/>
      <c r="J470" s="170"/>
      <c r="K470" s="170"/>
      <c r="L470" s="170"/>
      <c r="M470" s="730"/>
      <c r="N470" s="730"/>
      <c r="O470" s="730"/>
      <c r="P470" s="731"/>
      <c r="Q470" s="731"/>
      <c r="R470" s="730"/>
      <c r="S470" s="730"/>
      <c r="T470" s="723"/>
      <c r="U470" s="724"/>
      <c r="V470" s="725"/>
      <c r="W470" s="725"/>
      <c r="X470" s="723"/>
      <c r="Y470" s="723"/>
      <c r="Z470" s="723"/>
      <c r="AA470" s="726"/>
      <c r="AB470" s="726"/>
      <c r="AC470" s="170"/>
      <c r="AD470" s="586"/>
      <c r="AE470" s="586"/>
      <c r="AF470" s="170"/>
      <c r="AG470" s="170"/>
      <c r="AH470" s="170"/>
      <c r="AI470" s="170"/>
      <c r="AJ470" s="170"/>
      <c r="AK470" s="170"/>
      <c r="AL470" s="170"/>
      <c r="AM470" s="170"/>
      <c r="AN470" s="170"/>
      <c r="AO470" s="170"/>
      <c r="AP470" s="170"/>
      <c r="AQ470" s="170"/>
      <c r="AR470" s="170"/>
      <c r="AS470" s="170"/>
      <c r="AT470" s="170"/>
      <c r="AU470" s="170"/>
      <c r="AV470" s="170"/>
      <c r="AW470" s="170"/>
      <c r="AX470" s="170"/>
    </row>
    <row r="471" spans="1:50" ht="15" x14ac:dyDescent="0.25">
      <c r="A471" s="170"/>
      <c r="B471" s="719"/>
      <c r="C471" s="170"/>
      <c r="D471" s="170"/>
      <c r="E471" s="170"/>
      <c r="F471" s="170"/>
      <c r="G471" s="721"/>
      <c r="H471" s="170"/>
      <c r="I471" s="170"/>
      <c r="J471" s="170"/>
      <c r="K471" s="170"/>
      <c r="L471" s="170"/>
      <c r="M471" s="730"/>
      <c r="N471" s="730"/>
      <c r="O471" s="730"/>
      <c r="P471" s="731"/>
      <c r="Q471" s="731"/>
      <c r="R471" s="730"/>
      <c r="S471" s="730"/>
      <c r="T471" s="723"/>
      <c r="U471" s="724"/>
      <c r="V471" s="725"/>
      <c r="W471" s="725"/>
      <c r="X471" s="723"/>
      <c r="Y471" s="723"/>
      <c r="Z471" s="723"/>
      <c r="AA471" s="726"/>
      <c r="AB471" s="726"/>
      <c r="AC471" s="170"/>
      <c r="AD471" s="586"/>
      <c r="AE471" s="586"/>
      <c r="AF471" s="170"/>
      <c r="AG471" s="170"/>
      <c r="AH471" s="170"/>
      <c r="AI471" s="170"/>
      <c r="AJ471" s="170"/>
      <c r="AK471" s="170"/>
      <c r="AL471" s="170"/>
      <c r="AM471" s="170"/>
      <c r="AN471" s="170"/>
      <c r="AO471" s="170"/>
      <c r="AP471" s="170"/>
      <c r="AQ471" s="170"/>
      <c r="AR471" s="170"/>
      <c r="AS471" s="170"/>
      <c r="AT471" s="170"/>
      <c r="AU471" s="170"/>
      <c r="AV471" s="170"/>
      <c r="AW471" s="170"/>
      <c r="AX471" s="170"/>
    </row>
    <row r="472" spans="1:50" ht="15" x14ac:dyDescent="0.25">
      <c r="A472" s="170"/>
      <c r="B472" s="719"/>
      <c r="C472" s="170"/>
      <c r="D472" s="170"/>
      <c r="E472" s="170"/>
      <c r="F472" s="170"/>
      <c r="G472" s="721"/>
      <c r="H472" s="170"/>
      <c r="I472" s="170"/>
      <c r="J472" s="170"/>
      <c r="K472" s="170"/>
      <c r="L472" s="170"/>
      <c r="M472" s="730"/>
      <c r="N472" s="730"/>
      <c r="O472" s="730"/>
      <c r="P472" s="731"/>
      <c r="Q472" s="731"/>
      <c r="R472" s="730"/>
      <c r="S472" s="730"/>
      <c r="T472" s="723"/>
      <c r="U472" s="724"/>
      <c r="V472" s="725"/>
      <c r="W472" s="725"/>
      <c r="X472" s="723"/>
      <c r="Y472" s="723"/>
      <c r="Z472" s="723"/>
      <c r="AA472" s="726"/>
      <c r="AB472" s="726"/>
      <c r="AC472" s="170"/>
      <c r="AD472" s="586"/>
      <c r="AE472" s="586"/>
      <c r="AF472" s="170"/>
      <c r="AG472" s="170"/>
      <c r="AH472" s="170"/>
      <c r="AI472" s="170"/>
      <c r="AJ472" s="170"/>
      <c r="AK472" s="170"/>
      <c r="AL472" s="170"/>
      <c r="AM472" s="170"/>
      <c r="AN472" s="170"/>
      <c r="AO472" s="170"/>
      <c r="AP472" s="170"/>
      <c r="AQ472" s="170"/>
      <c r="AR472" s="170"/>
      <c r="AS472" s="170"/>
      <c r="AT472" s="170"/>
      <c r="AU472" s="170"/>
      <c r="AV472" s="170"/>
      <c r="AW472" s="170"/>
      <c r="AX472" s="170"/>
    </row>
    <row r="473" spans="1:50" ht="15" x14ac:dyDescent="0.25">
      <c r="A473" s="170"/>
      <c r="B473" s="719"/>
      <c r="C473" s="170"/>
      <c r="D473" s="170"/>
      <c r="E473" s="170"/>
      <c r="F473" s="170"/>
      <c r="G473" s="721"/>
      <c r="H473" s="170"/>
      <c r="I473" s="170"/>
      <c r="J473" s="170"/>
      <c r="K473" s="170"/>
      <c r="L473" s="170"/>
      <c r="M473" s="730"/>
      <c r="N473" s="730"/>
      <c r="O473" s="730"/>
      <c r="P473" s="731"/>
      <c r="Q473" s="731"/>
      <c r="R473" s="730"/>
      <c r="S473" s="730"/>
      <c r="T473" s="723"/>
      <c r="U473" s="724"/>
      <c r="V473" s="725"/>
      <c r="W473" s="725"/>
      <c r="X473" s="723"/>
      <c r="Y473" s="723"/>
      <c r="Z473" s="723"/>
      <c r="AA473" s="726"/>
      <c r="AB473" s="726"/>
      <c r="AC473" s="170"/>
      <c r="AD473" s="586"/>
      <c r="AE473" s="586"/>
      <c r="AF473" s="170"/>
      <c r="AG473" s="170"/>
      <c r="AH473" s="170"/>
      <c r="AI473" s="170"/>
      <c r="AJ473" s="170"/>
      <c r="AK473" s="170"/>
      <c r="AL473" s="170"/>
      <c r="AM473" s="170"/>
      <c r="AN473" s="170"/>
      <c r="AO473" s="170"/>
      <c r="AP473" s="170"/>
      <c r="AQ473" s="170"/>
      <c r="AR473" s="170"/>
      <c r="AS473" s="170"/>
      <c r="AT473" s="170"/>
      <c r="AU473" s="170"/>
      <c r="AV473" s="170"/>
      <c r="AW473" s="170"/>
      <c r="AX473" s="170"/>
    </row>
    <row r="474" spans="1:50" ht="15" x14ac:dyDescent="0.25">
      <c r="A474" s="170"/>
      <c r="B474" s="719"/>
      <c r="C474" s="170"/>
      <c r="D474" s="170"/>
      <c r="E474" s="170"/>
      <c r="F474" s="170"/>
      <c r="G474" s="721"/>
      <c r="H474" s="170"/>
      <c r="I474" s="170"/>
      <c r="J474" s="170"/>
      <c r="K474" s="170"/>
      <c r="L474" s="170"/>
      <c r="M474" s="730"/>
      <c r="N474" s="730"/>
      <c r="O474" s="730"/>
      <c r="P474" s="731"/>
      <c r="Q474" s="731"/>
      <c r="R474" s="730"/>
      <c r="S474" s="730"/>
      <c r="T474" s="723"/>
      <c r="U474" s="724"/>
      <c r="V474" s="725"/>
      <c r="W474" s="725"/>
      <c r="X474" s="723"/>
      <c r="Y474" s="723"/>
      <c r="Z474" s="723"/>
      <c r="AA474" s="726"/>
      <c r="AB474" s="726"/>
      <c r="AC474" s="170"/>
      <c r="AD474" s="586"/>
      <c r="AE474" s="586"/>
      <c r="AF474" s="170"/>
      <c r="AG474" s="170"/>
      <c r="AH474" s="170"/>
      <c r="AI474" s="170"/>
      <c r="AJ474" s="170"/>
      <c r="AK474" s="170"/>
      <c r="AL474" s="170"/>
      <c r="AM474" s="170"/>
      <c r="AN474" s="170"/>
      <c r="AO474" s="170"/>
      <c r="AP474" s="170"/>
      <c r="AQ474" s="170"/>
      <c r="AR474" s="170"/>
      <c r="AS474" s="170"/>
      <c r="AT474" s="170"/>
      <c r="AU474" s="170"/>
      <c r="AV474" s="170"/>
      <c r="AW474" s="170"/>
      <c r="AX474" s="170"/>
    </row>
    <row r="475" spans="1:50" ht="15" x14ac:dyDescent="0.25">
      <c r="A475" s="170"/>
      <c r="B475" s="719"/>
      <c r="C475" s="170"/>
      <c r="D475" s="170"/>
      <c r="E475" s="170"/>
      <c r="F475" s="170"/>
      <c r="G475" s="721"/>
      <c r="H475" s="170"/>
      <c r="I475" s="170"/>
      <c r="J475" s="170"/>
      <c r="K475" s="170"/>
      <c r="L475" s="170"/>
      <c r="M475" s="730"/>
      <c r="N475" s="730"/>
      <c r="O475" s="730"/>
      <c r="P475" s="731"/>
      <c r="Q475" s="731"/>
      <c r="R475" s="730"/>
      <c r="S475" s="730"/>
      <c r="T475" s="723"/>
      <c r="U475" s="724"/>
      <c r="V475" s="725"/>
      <c r="W475" s="725"/>
      <c r="X475" s="723"/>
      <c r="Y475" s="723"/>
      <c r="Z475" s="723"/>
      <c r="AA475" s="726"/>
      <c r="AB475" s="726"/>
      <c r="AC475" s="170"/>
      <c r="AD475" s="586"/>
      <c r="AE475" s="586"/>
      <c r="AF475" s="170"/>
      <c r="AG475" s="170"/>
      <c r="AH475" s="170"/>
      <c r="AI475" s="170"/>
      <c r="AJ475" s="170"/>
      <c r="AK475" s="170"/>
      <c r="AL475" s="170"/>
      <c r="AM475" s="170"/>
      <c r="AN475" s="170"/>
      <c r="AO475" s="170"/>
      <c r="AP475" s="170"/>
      <c r="AQ475" s="170"/>
      <c r="AR475" s="170"/>
      <c r="AS475" s="170"/>
      <c r="AT475" s="170"/>
      <c r="AU475" s="170"/>
      <c r="AV475" s="170"/>
      <c r="AW475" s="170"/>
      <c r="AX475" s="170"/>
    </row>
    <row r="476" spans="1:50" ht="15" x14ac:dyDescent="0.25">
      <c r="A476" s="170"/>
      <c r="B476" s="719"/>
      <c r="C476" s="170"/>
      <c r="D476" s="170"/>
      <c r="E476" s="170"/>
      <c r="F476" s="170"/>
      <c r="G476" s="721"/>
      <c r="H476" s="170"/>
      <c r="I476" s="170"/>
      <c r="J476" s="170"/>
      <c r="K476" s="170"/>
      <c r="L476" s="170"/>
      <c r="M476" s="730"/>
      <c r="N476" s="730"/>
      <c r="O476" s="730"/>
      <c r="P476" s="731"/>
      <c r="Q476" s="731"/>
      <c r="R476" s="730"/>
      <c r="S476" s="730"/>
      <c r="T476" s="723"/>
      <c r="U476" s="724"/>
      <c r="V476" s="725"/>
      <c r="W476" s="725"/>
      <c r="X476" s="723"/>
      <c r="Y476" s="723"/>
      <c r="Z476" s="723"/>
      <c r="AA476" s="726"/>
      <c r="AB476" s="726"/>
      <c r="AC476" s="170"/>
      <c r="AD476" s="586"/>
      <c r="AE476" s="586"/>
      <c r="AF476" s="170"/>
      <c r="AG476" s="170"/>
      <c r="AH476" s="170"/>
      <c r="AI476" s="170"/>
      <c r="AJ476" s="170"/>
      <c r="AK476" s="170"/>
      <c r="AL476" s="170"/>
      <c r="AM476" s="170"/>
      <c r="AN476" s="170"/>
      <c r="AO476" s="170"/>
      <c r="AP476" s="170"/>
      <c r="AQ476" s="170"/>
      <c r="AR476" s="170"/>
      <c r="AS476" s="170"/>
      <c r="AT476" s="170"/>
      <c r="AU476" s="170"/>
      <c r="AV476" s="170"/>
      <c r="AW476" s="170"/>
      <c r="AX476" s="170"/>
    </row>
    <row r="477" spans="1:50" ht="15" x14ac:dyDescent="0.25">
      <c r="A477" s="170"/>
      <c r="B477" s="719"/>
      <c r="C477" s="170"/>
      <c r="D477" s="170"/>
      <c r="E477" s="170"/>
      <c r="F477" s="170"/>
      <c r="G477" s="721"/>
      <c r="H477" s="170"/>
      <c r="I477" s="170"/>
      <c r="J477" s="170"/>
      <c r="K477" s="170"/>
      <c r="L477" s="170"/>
      <c r="M477" s="730"/>
      <c r="N477" s="730"/>
      <c r="O477" s="730"/>
      <c r="P477" s="731"/>
      <c r="Q477" s="731"/>
      <c r="R477" s="730"/>
      <c r="S477" s="730"/>
      <c r="T477" s="723"/>
      <c r="U477" s="724"/>
      <c r="V477" s="725"/>
      <c r="W477" s="725"/>
      <c r="X477" s="723"/>
      <c r="Y477" s="723"/>
      <c r="Z477" s="723"/>
      <c r="AA477" s="726"/>
      <c r="AB477" s="726"/>
      <c r="AC477" s="170"/>
      <c r="AD477" s="586"/>
      <c r="AE477" s="586"/>
      <c r="AF477" s="170"/>
      <c r="AG477" s="170"/>
      <c r="AH477" s="170"/>
      <c r="AI477" s="170"/>
      <c r="AJ477" s="170"/>
      <c r="AK477" s="170"/>
      <c r="AL477" s="170"/>
      <c r="AM477" s="170"/>
      <c r="AN477" s="170"/>
      <c r="AO477" s="170"/>
      <c r="AP477" s="170"/>
      <c r="AQ477" s="170"/>
      <c r="AR477" s="170"/>
      <c r="AS477" s="170"/>
      <c r="AT477" s="170"/>
      <c r="AU477" s="170"/>
      <c r="AV477" s="170"/>
      <c r="AW477" s="170"/>
      <c r="AX477" s="170"/>
    </row>
    <row r="478" spans="1:50" ht="15" x14ac:dyDescent="0.25">
      <c r="A478" s="170"/>
      <c r="B478" s="719"/>
      <c r="C478" s="170"/>
      <c r="D478" s="170"/>
      <c r="E478" s="170"/>
      <c r="F478" s="170"/>
      <c r="G478" s="721"/>
      <c r="H478" s="170"/>
      <c r="I478" s="170"/>
      <c r="J478" s="170"/>
      <c r="K478" s="170"/>
      <c r="L478" s="170"/>
      <c r="M478" s="730"/>
      <c r="N478" s="730"/>
      <c r="O478" s="730"/>
      <c r="P478" s="731"/>
      <c r="Q478" s="731"/>
      <c r="R478" s="730"/>
      <c r="S478" s="730"/>
      <c r="T478" s="723"/>
      <c r="U478" s="724"/>
      <c r="V478" s="725"/>
      <c r="W478" s="725"/>
      <c r="X478" s="723"/>
      <c r="Y478" s="723"/>
      <c r="Z478" s="723"/>
      <c r="AA478" s="726"/>
      <c r="AB478" s="726"/>
      <c r="AC478" s="170"/>
      <c r="AD478" s="586"/>
      <c r="AE478" s="586"/>
      <c r="AF478" s="170"/>
      <c r="AG478" s="170"/>
      <c r="AH478" s="170"/>
      <c r="AI478" s="170"/>
      <c r="AJ478" s="170"/>
      <c r="AK478" s="170"/>
      <c r="AL478" s="170"/>
      <c r="AM478" s="170"/>
      <c r="AN478" s="170"/>
      <c r="AO478" s="170"/>
      <c r="AP478" s="170"/>
      <c r="AQ478" s="170"/>
      <c r="AR478" s="170"/>
      <c r="AS478" s="170"/>
      <c r="AT478" s="170"/>
      <c r="AU478" s="170"/>
      <c r="AV478" s="170"/>
      <c r="AW478" s="170"/>
      <c r="AX478" s="170"/>
    </row>
    <row r="479" spans="1:50" ht="15" x14ac:dyDescent="0.25">
      <c r="A479" s="170"/>
      <c r="B479" s="719"/>
      <c r="C479" s="170"/>
      <c r="D479" s="170"/>
      <c r="E479" s="170"/>
      <c r="F479" s="170"/>
      <c r="G479" s="721"/>
      <c r="H479" s="170"/>
      <c r="I479" s="170"/>
      <c r="J479" s="170"/>
      <c r="K479" s="170"/>
      <c r="L479" s="170"/>
      <c r="M479" s="730"/>
      <c r="N479" s="730"/>
      <c r="O479" s="730"/>
      <c r="P479" s="731"/>
      <c r="Q479" s="731"/>
      <c r="R479" s="730"/>
      <c r="S479" s="730"/>
      <c r="T479" s="723"/>
      <c r="U479" s="724"/>
      <c r="V479" s="725"/>
      <c r="W479" s="725"/>
      <c r="X479" s="723"/>
      <c r="Y479" s="723"/>
      <c r="Z479" s="723"/>
      <c r="AA479" s="726"/>
      <c r="AB479" s="726"/>
      <c r="AC479" s="170"/>
      <c r="AD479" s="586"/>
      <c r="AE479" s="586"/>
      <c r="AF479" s="170"/>
      <c r="AG479" s="170"/>
      <c r="AH479" s="170"/>
      <c r="AI479" s="170"/>
      <c r="AJ479" s="170"/>
      <c r="AK479" s="170"/>
      <c r="AL479" s="170"/>
      <c r="AM479" s="170"/>
      <c r="AN479" s="170"/>
      <c r="AO479" s="170"/>
      <c r="AP479" s="170"/>
      <c r="AQ479" s="170"/>
      <c r="AR479" s="170"/>
      <c r="AS479" s="170"/>
      <c r="AT479" s="170"/>
      <c r="AU479" s="170"/>
      <c r="AV479" s="170"/>
      <c r="AW479" s="170"/>
      <c r="AX479" s="170"/>
    </row>
    <row r="480" spans="1:50" ht="15" x14ac:dyDescent="0.25">
      <c r="A480" s="170"/>
      <c r="B480" s="719"/>
      <c r="C480" s="170"/>
      <c r="D480" s="170"/>
      <c r="E480" s="170"/>
      <c r="F480" s="170"/>
      <c r="G480" s="721"/>
      <c r="H480" s="170"/>
      <c r="I480" s="170"/>
      <c r="J480" s="170"/>
      <c r="K480" s="170"/>
      <c r="L480" s="170"/>
      <c r="M480" s="730"/>
      <c r="N480" s="730"/>
      <c r="O480" s="730"/>
      <c r="P480" s="731"/>
      <c r="Q480" s="731"/>
      <c r="R480" s="730"/>
      <c r="S480" s="730"/>
      <c r="T480" s="723"/>
      <c r="U480" s="724"/>
      <c r="V480" s="725"/>
      <c r="W480" s="725"/>
      <c r="X480" s="723"/>
      <c r="Y480" s="723"/>
      <c r="Z480" s="723"/>
      <c r="AA480" s="726"/>
      <c r="AB480" s="726"/>
      <c r="AC480" s="170"/>
      <c r="AD480" s="586"/>
      <c r="AE480" s="586"/>
      <c r="AF480" s="170"/>
      <c r="AG480" s="170"/>
      <c r="AH480" s="170"/>
      <c r="AI480" s="170"/>
      <c r="AJ480" s="170"/>
      <c r="AK480" s="170"/>
      <c r="AL480" s="170"/>
      <c r="AM480" s="170"/>
      <c r="AN480" s="170"/>
      <c r="AO480" s="170"/>
      <c r="AP480" s="170"/>
      <c r="AQ480" s="170"/>
      <c r="AR480" s="170"/>
      <c r="AS480" s="170"/>
      <c r="AT480" s="170"/>
      <c r="AU480" s="170"/>
      <c r="AV480" s="170"/>
      <c r="AW480" s="170"/>
      <c r="AX480" s="170"/>
    </row>
    <row r="481" spans="1:50" ht="15" x14ac:dyDescent="0.25">
      <c r="A481" s="170"/>
      <c r="B481" s="719"/>
      <c r="C481" s="170"/>
      <c r="D481" s="170"/>
      <c r="E481" s="170"/>
      <c r="F481" s="170"/>
      <c r="G481" s="721"/>
      <c r="H481" s="170"/>
      <c r="I481" s="170"/>
      <c r="J481" s="170"/>
      <c r="K481" s="170"/>
      <c r="L481" s="170"/>
      <c r="M481" s="730"/>
      <c r="N481" s="730"/>
      <c r="O481" s="730"/>
      <c r="P481" s="731"/>
      <c r="Q481" s="731"/>
      <c r="R481" s="730"/>
      <c r="S481" s="730"/>
      <c r="T481" s="723"/>
      <c r="U481" s="724"/>
      <c r="V481" s="725"/>
      <c r="W481" s="725"/>
      <c r="X481" s="723"/>
      <c r="Y481" s="723"/>
      <c r="Z481" s="723"/>
      <c r="AA481" s="726"/>
      <c r="AB481" s="726"/>
      <c r="AC481" s="170"/>
      <c r="AD481" s="586"/>
      <c r="AE481" s="586"/>
      <c r="AF481" s="170"/>
      <c r="AG481" s="170"/>
      <c r="AH481" s="170"/>
      <c r="AI481" s="170"/>
      <c r="AJ481" s="170"/>
      <c r="AK481" s="170"/>
      <c r="AL481" s="170"/>
      <c r="AM481" s="170"/>
      <c r="AN481" s="170"/>
      <c r="AO481" s="170"/>
      <c r="AP481" s="170"/>
      <c r="AQ481" s="170"/>
      <c r="AR481" s="170"/>
      <c r="AS481" s="170"/>
      <c r="AT481" s="170"/>
      <c r="AU481" s="170"/>
      <c r="AV481" s="170"/>
      <c r="AW481" s="170"/>
      <c r="AX481" s="170"/>
    </row>
    <row r="482" spans="1:50" ht="15" x14ac:dyDescent="0.25">
      <c r="A482" s="170"/>
      <c r="B482" s="719"/>
      <c r="C482" s="170"/>
      <c r="D482" s="170"/>
      <c r="E482" s="170"/>
      <c r="F482" s="170"/>
      <c r="G482" s="721"/>
      <c r="H482" s="170"/>
      <c r="I482" s="170"/>
      <c r="J482" s="170"/>
      <c r="K482" s="170"/>
      <c r="L482" s="170"/>
      <c r="M482" s="730"/>
      <c r="N482" s="730"/>
      <c r="O482" s="730"/>
      <c r="P482" s="731"/>
      <c r="Q482" s="731"/>
      <c r="R482" s="730"/>
      <c r="S482" s="730"/>
      <c r="T482" s="723"/>
      <c r="U482" s="724"/>
      <c r="V482" s="725"/>
      <c r="W482" s="725"/>
      <c r="X482" s="723"/>
      <c r="Y482" s="723"/>
      <c r="Z482" s="723"/>
      <c r="AA482" s="726"/>
      <c r="AB482" s="726"/>
      <c r="AC482" s="170"/>
      <c r="AD482" s="586"/>
      <c r="AE482" s="586"/>
      <c r="AF482" s="170"/>
      <c r="AG482" s="170"/>
      <c r="AH482" s="170"/>
      <c r="AI482" s="170"/>
      <c r="AJ482" s="170"/>
      <c r="AK482" s="170"/>
      <c r="AL482" s="170"/>
      <c r="AM482" s="170"/>
      <c r="AN482" s="170"/>
      <c r="AO482" s="170"/>
      <c r="AP482" s="170"/>
      <c r="AQ482" s="170"/>
      <c r="AR482" s="170"/>
      <c r="AS482" s="170"/>
      <c r="AT482" s="170"/>
      <c r="AU482" s="170"/>
      <c r="AV482" s="170"/>
      <c r="AW482" s="170"/>
      <c r="AX482" s="170"/>
    </row>
    <row r="483" spans="1:50" ht="15" x14ac:dyDescent="0.25">
      <c r="A483" s="170"/>
      <c r="B483" s="719"/>
      <c r="C483" s="170"/>
      <c r="D483" s="170"/>
      <c r="E483" s="170"/>
      <c r="F483" s="170"/>
      <c r="G483" s="721"/>
      <c r="H483" s="170"/>
      <c r="I483" s="170"/>
      <c r="J483" s="170"/>
      <c r="K483" s="170"/>
      <c r="L483" s="170"/>
      <c r="M483" s="730"/>
      <c r="N483" s="730"/>
      <c r="O483" s="730"/>
      <c r="P483" s="731"/>
      <c r="Q483" s="731"/>
      <c r="R483" s="730"/>
      <c r="S483" s="730"/>
      <c r="T483" s="723"/>
      <c r="U483" s="724"/>
      <c r="V483" s="725"/>
      <c r="W483" s="725"/>
      <c r="X483" s="723"/>
      <c r="Y483" s="723"/>
      <c r="Z483" s="723"/>
      <c r="AA483" s="726"/>
      <c r="AB483" s="726"/>
      <c r="AC483" s="170"/>
      <c r="AD483" s="586"/>
      <c r="AE483" s="586"/>
      <c r="AF483" s="170"/>
      <c r="AG483" s="170"/>
      <c r="AH483" s="170"/>
      <c r="AI483" s="170"/>
      <c r="AJ483" s="170"/>
      <c r="AK483" s="170"/>
      <c r="AL483" s="170"/>
      <c r="AM483" s="170"/>
      <c r="AN483" s="170"/>
      <c r="AO483" s="170"/>
      <c r="AP483" s="170"/>
      <c r="AQ483" s="170"/>
      <c r="AR483" s="170"/>
      <c r="AS483" s="170"/>
      <c r="AT483" s="170"/>
      <c r="AU483" s="170"/>
      <c r="AV483" s="170"/>
      <c r="AW483" s="170"/>
      <c r="AX483" s="170"/>
    </row>
    <row r="484" spans="1:50" ht="15" x14ac:dyDescent="0.25">
      <c r="A484" s="170"/>
      <c r="B484" s="719"/>
      <c r="C484" s="170"/>
      <c r="D484" s="170"/>
      <c r="E484" s="170"/>
      <c r="F484" s="170"/>
      <c r="G484" s="721"/>
      <c r="H484" s="170"/>
      <c r="I484" s="170"/>
      <c r="J484" s="170"/>
      <c r="K484" s="170"/>
      <c r="L484" s="170"/>
      <c r="M484" s="730"/>
      <c r="N484" s="730"/>
      <c r="O484" s="730"/>
      <c r="P484" s="731"/>
      <c r="Q484" s="731"/>
      <c r="R484" s="730"/>
      <c r="S484" s="730"/>
      <c r="T484" s="723"/>
      <c r="U484" s="724"/>
      <c r="V484" s="725"/>
      <c r="W484" s="725"/>
      <c r="X484" s="723"/>
      <c r="Y484" s="723"/>
      <c r="Z484" s="723"/>
      <c r="AA484" s="726"/>
      <c r="AB484" s="726"/>
      <c r="AC484" s="170"/>
      <c r="AD484" s="586"/>
      <c r="AE484" s="586"/>
      <c r="AF484" s="170"/>
      <c r="AG484" s="170"/>
      <c r="AH484" s="170"/>
      <c r="AI484" s="170"/>
      <c r="AJ484" s="170"/>
      <c r="AK484" s="170"/>
      <c r="AL484" s="170"/>
      <c r="AM484" s="170"/>
      <c r="AN484" s="170"/>
      <c r="AO484" s="170"/>
      <c r="AP484" s="170"/>
      <c r="AQ484" s="170"/>
      <c r="AR484" s="170"/>
      <c r="AS484" s="170"/>
      <c r="AT484" s="170"/>
      <c r="AU484" s="170"/>
      <c r="AV484" s="170"/>
      <c r="AW484" s="170"/>
      <c r="AX484" s="170"/>
    </row>
    <row r="485" spans="1:50" ht="15" x14ac:dyDescent="0.25">
      <c r="A485" s="170"/>
      <c r="B485" s="719"/>
      <c r="C485" s="170"/>
      <c r="D485" s="170"/>
      <c r="E485" s="170"/>
      <c r="F485" s="170"/>
      <c r="G485" s="721"/>
      <c r="H485" s="170"/>
      <c r="I485" s="170"/>
      <c r="J485" s="170"/>
      <c r="K485" s="170"/>
      <c r="L485" s="170"/>
      <c r="M485" s="730"/>
      <c r="N485" s="730"/>
      <c r="O485" s="730"/>
      <c r="P485" s="731"/>
      <c r="Q485" s="731"/>
      <c r="R485" s="730"/>
      <c r="S485" s="730"/>
      <c r="T485" s="723"/>
      <c r="U485" s="724"/>
      <c r="V485" s="725"/>
      <c r="W485" s="725"/>
      <c r="X485" s="723"/>
      <c r="Y485" s="723"/>
      <c r="Z485" s="723"/>
      <c r="AA485" s="726"/>
      <c r="AB485" s="726"/>
      <c r="AC485" s="170"/>
      <c r="AD485" s="586"/>
      <c r="AE485" s="586"/>
      <c r="AF485" s="170"/>
      <c r="AG485" s="170"/>
      <c r="AH485" s="170"/>
      <c r="AI485" s="170"/>
      <c r="AJ485" s="170"/>
      <c r="AK485" s="170"/>
      <c r="AL485" s="170"/>
      <c r="AM485" s="170"/>
      <c r="AN485" s="170"/>
      <c r="AO485" s="170"/>
      <c r="AP485" s="170"/>
      <c r="AQ485" s="170"/>
      <c r="AR485" s="170"/>
      <c r="AS485" s="170"/>
      <c r="AT485" s="170"/>
      <c r="AU485" s="170"/>
      <c r="AV485" s="170"/>
      <c r="AW485" s="170"/>
      <c r="AX485" s="170"/>
    </row>
    <row r="486" spans="1:50" ht="15" x14ac:dyDescent="0.25">
      <c r="A486" s="170"/>
      <c r="B486" s="719"/>
      <c r="C486" s="170"/>
      <c r="D486" s="170"/>
      <c r="E486" s="170"/>
      <c r="F486" s="170"/>
      <c r="G486" s="721"/>
      <c r="H486" s="170"/>
      <c r="I486" s="170"/>
      <c r="J486" s="170"/>
      <c r="K486" s="170"/>
      <c r="L486" s="170"/>
      <c r="M486" s="730"/>
      <c r="N486" s="730"/>
      <c r="O486" s="730"/>
      <c r="P486" s="731"/>
      <c r="Q486" s="731"/>
      <c r="R486" s="730"/>
      <c r="S486" s="730"/>
      <c r="T486" s="723"/>
      <c r="U486" s="724"/>
      <c r="V486" s="725"/>
      <c r="W486" s="725"/>
      <c r="X486" s="723"/>
      <c r="Y486" s="723"/>
      <c r="Z486" s="723"/>
      <c r="AA486" s="726"/>
      <c r="AB486" s="726"/>
      <c r="AC486" s="170"/>
      <c r="AD486" s="586"/>
      <c r="AE486" s="586"/>
      <c r="AF486" s="170"/>
      <c r="AG486" s="170"/>
      <c r="AH486" s="170"/>
      <c r="AI486" s="170"/>
      <c r="AJ486" s="170"/>
      <c r="AK486" s="170"/>
      <c r="AL486" s="170"/>
      <c r="AM486" s="170"/>
      <c r="AN486" s="170"/>
      <c r="AO486" s="170"/>
      <c r="AP486" s="170"/>
      <c r="AQ486" s="170"/>
      <c r="AR486" s="170"/>
      <c r="AS486" s="170"/>
      <c r="AT486" s="170"/>
      <c r="AU486" s="170"/>
      <c r="AV486" s="170"/>
      <c r="AW486" s="170"/>
      <c r="AX486" s="170"/>
    </row>
    <row r="487" spans="1:50" ht="15" x14ac:dyDescent="0.25">
      <c r="A487" s="170"/>
      <c r="B487" s="719"/>
      <c r="C487" s="170"/>
      <c r="D487" s="170"/>
      <c r="E487" s="170"/>
      <c r="F487" s="170"/>
      <c r="G487" s="721"/>
      <c r="H487" s="170"/>
      <c r="I487" s="170"/>
      <c r="J487" s="170"/>
      <c r="K487" s="170"/>
      <c r="L487" s="170"/>
      <c r="M487" s="730"/>
      <c r="N487" s="730"/>
      <c r="O487" s="730"/>
      <c r="P487" s="731"/>
      <c r="Q487" s="731"/>
      <c r="R487" s="730"/>
      <c r="S487" s="730"/>
      <c r="T487" s="723"/>
      <c r="U487" s="724"/>
      <c r="V487" s="725"/>
      <c r="W487" s="725"/>
      <c r="X487" s="723"/>
      <c r="Y487" s="723"/>
      <c r="Z487" s="723"/>
      <c r="AA487" s="726"/>
      <c r="AB487" s="726"/>
      <c r="AC487" s="170"/>
      <c r="AD487" s="586"/>
      <c r="AE487" s="586"/>
      <c r="AF487" s="170"/>
      <c r="AG487" s="170"/>
      <c r="AH487" s="170"/>
      <c r="AI487" s="170"/>
      <c r="AJ487" s="170"/>
      <c r="AK487" s="170"/>
      <c r="AL487" s="170"/>
      <c r="AM487" s="170"/>
      <c r="AN487" s="170"/>
      <c r="AO487" s="170"/>
      <c r="AP487" s="170"/>
      <c r="AQ487" s="170"/>
      <c r="AR487" s="170"/>
      <c r="AS487" s="170"/>
      <c r="AT487" s="170"/>
      <c r="AU487" s="170"/>
      <c r="AV487" s="170"/>
      <c r="AW487" s="170"/>
      <c r="AX487" s="170"/>
    </row>
    <row r="488" spans="1:50" ht="15" x14ac:dyDescent="0.25">
      <c r="A488" s="170"/>
      <c r="B488" s="719"/>
      <c r="C488" s="170"/>
      <c r="D488" s="170"/>
      <c r="E488" s="170"/>
      <c r="F488" s="170"/>
      <c r="G488" s="721"/>
      <c r="H488" s="170"/>
      <c r="I488" s="170"/>
      <c r="J488" s="170"/>
      <c r="K488" s="170"/>
      <c r="L488" s="170"/>
      <c r="M488" s="730"/>
      <c r="N488" s="730"/>
      <c r="O488" s="730"/>
      <c r="P488" s="731"/>
      <c r="Q488" s="731"/>
      <c r="R488" s="730"/>
      <c r="S488" s="730"/>
      <c r="T488" s="723"/>
      <c r="U488" s="724"/>
      <c r="V488" s="725"/>
      <c r="W488" s="725"/>
      <c r="X488" s="723"/>
      <c r="Y488" s="723"/>
      <c r="Z488" s="723"/>
      <c r="AA488" s="726"/>
      <c r="AB488" s="726"/>
      <c r="AC488" s="170"/>
      <c r="AD488" s="586"/>
      <c r="AE488" s="586"/>
      <c r="AF488" s="170"/>
      <c r="AG488" s="170"/>
      <c r="AH488" s="170"/>
      <c r="AI488" s="170"/>
      <c r="AJ488" s="170"/>
      <c r="AK488" s="170"/>
      <c r="AL488" s="170"/>
      <c r="AM488" s="170"/>
      <c r="AN488" s="170"/>
      <c r="AO488" s="170"/>
      <c r="AP488" s="170"/>
      <c r="AQ488" s="170"/>
      <c r="AR488" s="170"/>
      <c r="AS488" s="170"/>
      <c r="AT488" s="170"/>
      <c r="AU488" s="170"/>
      <c r="AV488" s="170"/>
      <c r="AW488" s="170"/>
      <c r="AX488" s="170"/>
    </row>
    <row r="489" spans="1:50" ht="15" x14ac:dyDescent="0.25">
      <c r="A489" s="170"/>
      <c r="B489" s="719"/>
      <c r="C489" s="170"/>
      <c r="D489" s="170"/>
      <c r="E489" s="170"/>
      <c r="F489" s="170"/>
      <c r="G489" s="721"/>
      <c r="H489" s="170"/>
      <c r="I489" s="170"/>
      <c r="J489" s="170"/>
      <c r="K489" s="170"/>
      <c r="L489" s="170"/>
      <c r="M489" s="730"/>
      <c r="N489" s="730"/>
      <c r="O489" s="730"/>
      <c r="P489" s="731"/>
      <c r="Q489" s="731"/>
      <c r="R489" s="730"/>
      <c r="S489" s="730"/>
      <c r="T489" s="723"/>
      <c r="U489" s="724"/>
      <c r="V489" s="725"/>
      <c r="W489" s="725"/>
      <c r="X489" s="723"/>
      <c r="Y489" s="723"/>
      <c r="Z489" s="723"/>
      <c r="AA489" s="726"/>
      <c r="AB489" s="726"/>
      <c r="AC489" s="170"/>
      <c r="AD489" s="586"/>
      <c r="AE489" s="586"/>
      <c r="AF489" s="170"/>
      <c r="AG489" s="170"/>
      <c r="AH489" s="170"/>
      <c r="AI489" s="170"/>
      <c r="AJ489" s="170"/>
      <c r="AK489" s="170"/>
      <c r="AL489" s="170"/>
      <c r="AM489" s="170"/>
      <c r="AN489" s="170"/>
      <c r="AO489" s="170"/>
      <c r="AP489" s="170"/>
      <c r="AQ489" s="170"/>
      <c r="AR489" s="170"/>
      <c r="AS489" s="170"/>
      <c r="AT489" s="170"/>
      <c r="AU489" s="170"/>
      <c r="AV489" s="170"/>
      <c r="AW489" s="170"/>
      <c r="AX489" s="170"/>
    </row>
    <row r="490" spans="1:50" ht="15" x14ac:dyDescent="0.25">
      <c r="A490" s="170"/>
      <c r="B490" s="719"/>
      <c r="C490" s="170"/>
      <c r="D490" s="170"/>
      <c r="E490" s="170"/>
      <c r="F490" s="170"/>
      <c r="G490" s="721"/>
      <c r="H490" s="170"/>
      <c r="I490" s="170"/>
      <c r="J490" s="170"/>
      <c r="K490" s="170"/>
      <c r="L490" s="170"/>
      <c r="M490" s="730"/>
      <c r="N490" s="730"/>
      <c r="O490" s="730"/>
      <c r="P490" s="731"/>
      <c r="Q490" s="731"/>
      <c r="R490" s="730"/>
      <c r="S490" s="730"/>
      <c r="T490" s="723"/>
      <c r="U490" s="724"/>
      <c r="V490" s="725"/>
      <c r="W490" s="725"/>
      <c r="X490" s="723"/>
      <c r="Y490" s="723"/>
      <c r="Z490" s="723"/>
      <c r="AA490" s="726"/>
      <c r="AB490" s="726"/>
      <c r="AC490" s="170"/>
      <c r="AD490" s="586"/>
      <c r="AE490" s="586"/>
      <c r="AF490" s="170"/>
      <c r="AG490" s="170"/>
      <c r="AH490" s="170"/>
      <c r="AI490" s="170"/>
      <c r="AJ490" s="170"/>
      <c r="AK490" s="170"/>
      <c r="AL490" s="170"/>
      <c r="AM490" s="170"/>
      <c r="AN490" s="170"/>
      <c r="AO490" s="170"/>
      <c r="AP490" s="170"/>
      <c r="AQ490" s="170"/>
      <c r="AR490" s="170"/>
      <c r="AS490" s="170"/>
      <c r="AT490" s="170"/>
      <c r="AU490" s="170"/>
      <c r="AV490" s="170"/>
      <c r="AW490" s="170"/>
      <c r="AX490" s="170"/>
    </row>
    <row r="491" spans="1:50" ht="15" x14ac:dyDescent="0.25">
      <c r="A491" s="170"/>
      <c r="B491" s="719"/>
      <c r="C491" s="170"/>
      <c r="D491" s="170"/>
      <c r="E491" s="170"/>
      <c r="F491" s="170"/>
      <c r="G491" s="721"/>
      <c r="H491" s="170"/>
      <c r="I491" s="170"/>
      <c r="J491" s="170"/>
      <c r="K491" s="170"/>
      <c r="L491" s="170"/>
      <c r="M491" s="730"/>
      <c r="N491" s="730"/>
      <c r="O491" s="730"/>
      <c r="P491" s="731"/>
      <c r="Q491" s="731"/>
      <c r="R491" s="730"/>
      <c r="S491" s="730"/>
      <c r="T491" s="723"/>
      <c r="U491" s="724"/>
      <c r="V491" s="725"/>
      <c r="W491" s="725"/>
      <c r="X491" s="723"/>
      <c r="Y491" s="723"/>
      <c r="Z491" s="723"/>
      <c r="AA491" s="726"/>
      <c r="AB491" s="726"/>
      <c r="AC491" s="170"/>
      <c r="AD491" s="586"/>
      <c r="AE491" s="586"/>
      <c r="AF491" s="170"/>
      <c r="AG491" s="170"/>
      <c r="AH491" s="170"/>
      <c r="AI491" s="170"/>
      <c r="AJ491" s="170"/>
      <c r="AK491" s="170"/>
      <c r="AL491" s="170"/>
      <c r="AM491" s="170"/>
      <c r="AN491" s="170"/>
      <c r="AO491" s="170"/>
      <c r="AP491" s="170"/>
      <c r="AQ491" s="170"/>
      <c r="AR491" s="170"/>
      <c r="AS491" s="170"/>
      <c r="AT491" s="170"/>
      <c r="AU491" s="170"/>
      <c r="AV491" s="170"/>
      <c r="AW491" s="170"/>
      <c r="AX491" s="170"/>
    </row>
    <row r="492" spans="1:50" ht="15" x14ac:dyDescent="0.25">
      <c r="A492" s="170"/>
      <c r="B492" s="719"/>
      <c r="C492" s="170"/>
      <c r="D492" s="170"/>
      <c r="E492" s="170"/>
      <c r="F492" s="170"/>
      <c r="G492" s="721"/>
      <c r="H492" s="170"/>
      <c r="I492" s="170"/>
      <c r="J492" s="170"/>
      <c r="K492" s="170"/>
      <c r="L492" s="170"/>
      <c r="M492" s="730"/>
      <c r="N492" s="730"/>
      <c r="O492" s="730"/>
      <c r="P492" s="731"/>
      <c r="Q492" s="731"/>
      <c r="R492" s="730"/>
      <c r="S492" s="730"/>
      <c r="T492" s="723"/>
      <c r="U492" s="724"/>
      <c r="V492" s="725"/>
      <c r="W492" s="725"/>
      <c r="X492" s="723"/>
      <c r="Y492" s="723"/>
      <c r="Z492" s="723"/>
      <c r="AA492" s="726"/>
      <c r="AB492" s="726"/>
      <c r="AC492" s="170"/>
      <c r="AD492" s="586"/>
      <c r="AE492" s="586"/>
      <c r="AF492" s="170"/>
      <c r="AG492" s="170"/>
      <c r="AH492" s="170"/>
      <c r="AI492" s="170"/>
      <c r="AJ492" s="170"/>
      <c r="AK492" s="170"/>
      <c r="AL492" s="170"/>
      <c r="AM492" s="170"/>
      <c r="AN492" s="170"/>
      <c r="AO492" s="170"/>
      <c r="AP492" s="170"/>
      <c r="AQ492" s="170"/>
      <c r="AR492" s="170"/>
      <c r="AS492" s="170"/>
      <c r="AT492" s="170"/>
      <c r="AU492" s="170"/>
      <c r="AV492" s="170"/>
      <c r="AW492" s="170"/>
      <c r="AX492" s="170"/>
    </row>
    <row r="493" spans="1:50" ht="15" x14ac:dyDescent="0.25">
      <c r="A493" s="170"/>
      <c r="B493" s="719"/>
      <c r="C493" s="170"/>
      <c r="D493" s="170"/>
      <c r="E493" s="170"/>
      <c r="F493" s="170"/>
      <c r="G493" s="721"/>
      <c r="H493" s="170"/>
      <c r="I493" s="170"/>
      <c r="J493" s="170"/>
      <c r="K493" s="170"/>
      <c r="L493" s="170"/>
      <c r="M493" s="730"/>
      <c r="N493" s="730"/>
      <c r="O493" s="730"/>
      <c r="P493" s="731"/>
      <c r="Q493" s="731"/>
      <c r="R493" s="730"/>
      <c r="S493" s="730"/>
      <c r="T493" s="723"/>
      <c r="U493" s="724"/>
      <c r="V493" s="725"/>
      <c r="W493" s="725"/>
      <c r="X493" s="723"/>
      <c r="Y493" s="723"/>
      <c r="Z493" s="723"/>
      <c r="AA493" s="726"/>
      <c r="AB493" s="726"/>
      <c r="AC493" s="170"/>
      <c r="AD493" s="586"/>
      <c r="AE493" s="586"/>
      <c r="AF493" s="170"/>
      <c r="AG493" s="170"/>
      <c r="AH493" s="170"/>
      <c r="AI493" s="170"/>
      <c r="AJ493" s="170"/>
      <c r="AK493" s="170"/>
      <c r="AL493" s="170"/>
      <c r="AM493" s="170"/>
      <c r="AN493" s="170"/>
      <c r="AO493" s="170"/>
      <c r="AP493" s="170"/>
      <c r="AQ493" s="170"/>
      <c r="AR493" s="170"/>
      <c r="AS493" s="170"/>
      <c r="AT493" s="170"/>
      <c r="AU493" s="170"/>
      <c r="AV493" s="170"/>
      <c r="AW493" s="170"/>
      <c r="AX493" s="170"/>
    </row>
    <row r="494" spans="1:50" ht="15" x14ac:dyDescent="0.25">
      <c r="A494" s="170"/>
      <c r="B494" s="719"/>
      <c r="C494" s="170"/>
      <c r="D494" s="170"/>
      <c r="E494" s="170"/>
      <c r="F494" s="170"/>
      <c r="G494" s="721"/>
      <c r="H494" s="170"/>
      <c r="I494" s="170"/>
      <c r="J494" s="170"/>
      <c r="K494" s="170"/>
      <c r="L494" s="170"/>
      <c r="M494" s="730"/>
      <c r="N494" s="730"/>
      <c r="O494" s="730"/>
      <c r="P494" s="731"/>
      <c r="Q494" s="731"/>
      <c r="R494" s="730"/>
      <c r="S494" s="730"/>
      <c r="T494" s="723"/>
      <c r="U494" s="724"/>
      <c r="V494" s="725"/>
      <c r="W494" s="725"/>
      <c r="X494" s="723"/>
      <c r="Y494" s="723"/>
      <c r="Z494" s="723"/>
      <c r="AA494" s="726"/>
      <c r="AB494" s="726"/>
      <c r="AC494" s="170"/>
      <c r="AD494" s="586"/>
      <c r="AE494" s="586"/>
      <c r="AF494" s="170"/>
      <c r="AG494" s="170"/>
      <c r="AH494" s="170"/>
      <c r="AI494" s="170"/>
      <c r="AJ494" s="170"/>
      <c r="AK494" s="170"/>
      <c r="AL494" s="170"/>
      <c r="AM494" s="170"/>
      <c r="AN494" s="170"/>
      <c r="AO494" s="170"/>
      <c r="AP494" s="170"/>
      <c r="AQ494" s="170"/>
      <c r="AR494" s="170"/>
      <c r="AS494" s="170"/>
      <c r="AT494" s="170"/>
      <c r="AU494" s="170"/>
      <c r="AV494" s="170"/>
      <c r="AW494" s="170"/>
      <c r="AX494" s="170"/>
    </row>
    <row r="495" spans="1:50" ht="15" x14ac:dyDescent="0.25">
      <c r="A495" s="170"/>
      <c r="B495" s="719"/>
      <c r="C495" s="170"/>
      <c r="D495" s="170"/>
      <c r="E495" s="170"/>
      <c r="F495" s="170"/>
      <c r="G495" s="721"/>
      <c r="H495" s="170"/>
      <c r="I495" s="170"/>
      <c r="J495" s="170"/>
      <c r="K495" s="170"/>
      <c r="L495" s="170"/>
      <c r="M495" s="730"/>
      <c r="N495" s="730"/>
      <c r="O495" s="730"/>
      <c r="P495" s="731"/>
      <c r="Q495" s="731"/>
      <c r="R495" s="730"/>
      <c r="S495" s="730"/>
      <c r="T495" s="723"/>
      <c r="U495" s="724"/>
      <c r="V495" s="725"/>
      <c r="W495" s="725"/>
      <c r="X495" s="723"/>
      <c r="Y495" s="723"/>
      <c r="Z495" s="723"/>
      <c r="AA495" s="726"/>
      <c r="AB495" s="726"/>
      <c r="AC495" s="170"/>
      <c r="AD495" s="586"/>
      <c r="AE495" s="586"/>
      <c r="AF495" s="170"/>
      <c r="AG495" s="170"/>
      <c r="AH495" s="170"/>
      <c r="AI495" s="170"/>
      <c r="AJ495" s="170"/>
      <c r="AK495" s="170"/>
      <c r="AL495" s="170"/>
      <c r="AM495" s="170"/>
      <c r="AN495" s="170"/>
      <c r="AO495" s="170"/>
      <c r="AP495" s="170"/>
      <c r="AQ495" s="170"/>
      <c r="AR495" s="170"/>
      <c r="AS495" s="170"/>
      <c r="AT495" s="170"/>
      <c r="AU495" s="170"/>
      <c r="AV495" s="170"/>
      <c r="AW495" s="170"/>
      <c r="AX495" s="170"/>
    </row>
    <row r="496" spans="1:50" ht="15" x14ac:dyDescent="0.25">
      <c r="A496" s="170"/>
      <c r="B496" s="719"/>
      <c r="C496" s="170"/>
      <c r="D496" s="170"/>
      <c r="E496" s="170"/>
      <c r="F496" s="170"/>
      <c r="G496" s="721"/>
      <c r="H496" s="170"/>
      <c r="I496" s="170"/>
      <c r="J496" s="170"/>
      <c r="K496" s="170"/>
      <c r="L496" s="170"/>
      <c r="M496" s="730"/>
      <c r="N496" s="730"/>
      <c r="O496" s="730"/>
      <c r="P496" s="731"/>
      <c r="Q496" s="731"/>
      <c r="R496" s="730"/>
      <c r="S496" s="730"/>
      <c r="T496" s="723"/>
      <c r="U496" s="724"/>
      <c r="V496" s="725"/>
      <c r="W496" s="725"/>
      <c r="X496" s="723"/>
      <c r="Y496" s="723"/>
      <c r="Z496" s="723"/>
      <c r="AA496" s="726"/>
      <c r="AB496" s="726"/>
      <c r="AC496" s="170"/>
      <c r="AD496" s="586"/>
      <c r="AE496" s="586"/>
      <c r="AF496" s="170"/>
      <c r="AG496" s="170"/>
      <c r="AH496" s="170"/>
      <c r="AI496" s="170"/>
      <c r="AJ496" s="170"/>
      <c r="AK496" s="170"/>
      <c r="AL496" s="170"/>
      <c r="AM496" s="170"/>
      <c r="AN496" s="170"/>
      <c r="AO496" s="170"/>
      <c r="AP496" s="170"/>
      <c r="AQ496" s="170"/>
      <c r="AR496" s="170"/>
      <c r="AS496" s="170"/>
      <c r="AT496" s="170"/>
      <c r="AU496" s="170"/>
      <c r="AV496" s="170"/>
      <c r="AW496" s="170"/>
      <c r="AX496" s="170"/>
    </row>
    <row r="497" spans="1:50" ht="15" x14ac:dyDescent="0.25">
      <c r="A497" s="170"/>
      <c r="B497" s="719"/>
      <c r="C497" s="170"/>
      <c r="D497" s="170"/>
      <c r="E497" s="170"/>
      <c r="F497" s="170"/>
      <c r="G497" s="721"/>
      <c r="H497" s="170"/>
      <c r="I497" s="170"/>
      <c r="J497" s="170"/>
      <c r="K497" s="170"/>
      <c r="L497" s="170"/>
      <c r="M497" s="730"/>
      <c r="N497" s="730"/>
      <c r="O497" s="730"/>
      <c r="P497" s="731"/>
      <c r="Q497" s="731"/>
      <c r="R497" s="730"/>
      <c r="S497" s="730"/>
      <c r="T497" s="723"/>
      <c r="U497" s="724"/>
      <c r="V497" s="725"/>
      <c r="W497" s="725"/>
      <c r="X497" s="723"/>
      <c r="Y497" s="723"/>
      <c r="Z497" s="723"/>
      <c r="AA497" s="726"/>
      <c r="AB497" s="726"/>
      <c r="AC497" s="170"/>
      <c r="AD497" s="586"/>
      <c r="AE497" s="586"/>
      <c r="AF497" s="170"/>
      <c r="AG497" s="170"/>
      <c r="AH497" s="170"/>
      <c r="AI497" s="170"/>
      <c r="AJ497" s="170"/>
      <c r="AK497" s="170"/>
      <c r="AL497" s="170"/>
      <c r="AM497" s="170"/>
      <c r="AN497" s="170"/>
      <c r="AO497" s="170"/>
      <c r="AP497" s="170"/>
      <c r="AQ497" s="170"/>
      <c r="AR497" s="170"/>
      <c r="AS497" s="170"/>
      <c r="AT497" s="170"/>
      <c r="AU497" s="170"/>
      <c r="AV497" s="170"/>
      <c r="AW497" s="170"/>
      <c r="AX497" s="170"/>
    </row>
    <row r="498" spans="1:50" ht="15" x14ac:dyDescent="0.25">
      <c r="A498" s="170"/>
      <c r="B498" s="719"/>
      <c r="C498" s="170"/>
      <c r="D498" s="170"/>
      <c r="E498" s="170"/>
      <c r="F498" s="170"/>
      <c r="G498" s="721"/>
      <c r="H498" s="170"/>
      <c r="I498" s="170"/>
      <c r="J498" s="170"/>
      <c r="K498" s="170"/>
      <c r="L498" s="170"/>
      <c r="M498" s="730"/>
      <c r="N498" s="730"/>
      <c r="O498" s="730"/>
      <c r="P498" s="731"/>
      <c r="Q498" s="731"/>
      <c r="R498" s="730"/>
      <c r="S498" s="730"/>
      <c r="T498" s="723"/>
      <c r="U498" s="724"/>
      <c r="V498" s="725"/>
      <c r="W498" s="725"/>
      <c r="X498" s="723"/>
      <c r="Y498" s="723"/>
      <c r="Z498" s="723"/>
      <c r="AA498" s="726"/>
      <c r="AB498" s="726"/>
      <c r="AC498" s="170"/>
      <c r="AD498" s="586"/>
      <c r="AE498" s="586"/>
      <c r="AF498" s="170"/>
      <c r="AG498" s="170"/>
      <c r="AH498" s="170"/>
      <c r="AI498" s="170"/>
      <c r="AJ498" s="170"/>
      <c r="AK498" s="170"/>
      <c r="AL498" s="170"/>
      <c r="AM498" s="170"/>
      <c r="AN498" s="170"/>
      <c r="AO498" s="170"/>
      <c r="AP498" s="170"/>
      <c r="AQ498" s="170"/>
      <c r="AR498" s="170"/>
      <c r="AS498" s="170"/>
      <c r="AT498" s="170"/>
      <c r="AU498" s="170"/>
      <c r="AV498" s="170"/>
      <c r="AW498" s="170"/>
      <c r="AX498" s="170"/>
    </row>
    <row r="499" spans="1:50" ht="15" x14ac:dyDescent="0.25">
      <c r="A499" s="170"/>
      <c r="B499" s="719"/>
      <c r="C499" s="170"/>
      <c r="D499" s="170"/>
      <c r="E499" s="170"/>
      <c r="F499" s="170"/>
      <c r="G499" s="721"/>
      <c r="H499" s="170"/>
      <c r="I499" s="170"/>
      <c r="J499" s="170"/>
      <c r="K499" s="170"/>
      <c r="L499" s="170"/>
      <c r="M499" s="730"/>
      <c r="N499" s="730"/>
      <c r="O499" s="730"/>
      <c r="P499" s="731"/>
      <c r="Q499" s="731"/>
      <c r="R499" s="730"/>
      <c r="S499" s="730"/>
      <c r="T499" s="723"/>
      <c r="U499" s="724"/>
      <c r="V499" s="725"/>
      <c r="W499" s="725"/>
      <c r="X499" s="723"/>
      <c r="Y499" s="723"/>
      <c r="Z499" s="723"/>
      <c r="AA499" s="726"/>
      <c r="AB499" s="726"/>
      <c r="AC499" s="170"/>
      <c r="AD499" s="586"/>
      <c r="AE499" s="586"/>
      <c r="AF499" s="170"/>
      <c r="AG499" s="170"/>
      <c r="AH499" s="170"/>
      <c r="AI499" s="170"/>
      <c r="AJ499" s="170"/>
      <c r="AK499" s="170"/>
      <c r="AL499" s="170"/>
      <c r="AM499" s="170"/>
      <c r="AN499" s="170"/>
      <c r="AO499" s="170"/>
      <c r="AP499" s="170"/>
      <c r="AQ499" s="170"/>
      <c r="AR499" s="170"/>
      <c r="AS499" s="170"/>
      <c r="AT499" s="170"/>
      <c r="AU499" s="170"/>
      <c r="AV499" s="170"/>
      <c r="AW499" s="170"/>
      <c r="AX499" s="170"/>
    </row>
    <row r="500" spans="1:50" ht="15" x14ac:dyDescent="0.25">
      <c r="A500" s="170"/>
      <c r="B500" s="719"/>
      <c r="C500" s="170"/>
      <c r="D500" s="170"/>
      <c r="E500" s="170"/>
      <c r="F500" s="170"/>
      <c r="G500" s="721"/>
      <c r="H500" s="170"/>
      <c r="I500" s="170"/>
      <c r="J500" s="170"/>
      <c r="K500" s="170"/>
      <c r="L500" s="170"/>
      <c r="M500" s="730"/>
      <c r="N500" s="730"/>
      <c r="O500" s="730"/>
      <c r="P500" s="731"/>
      <c r="Q500" s="731"/>
      <c r="R500" s="730"/>
      <c r="S500" s="730"/>
      <c r="T500" s="723"/>
      <c r="U500" s="724"/>
      <c r="V500" s="725"/>
      <c r="W500" s="725"/>
      <c r="X500" s="723"/>
      <c r="Y500" s="723"/>
      <c r="Z500" s="723"/>
      <c r="AA500" s="726"/>
      <c r="AB500" s="726"/>
      <c r="AC500" s="170"/>
      <c r="AD500" s="586"/>
      <c r="AE500" s="586"/>
      <c r="AF500" s="170"/>
      <c r="AG500" s="170"/>
      <c r="AH500" s="170"/>
      <c r="AI500" s="170"/>
      <c r="AJ500" s="170"/>
      <c r="AK500" s="170"/>
      <c r="AL500" s="170"/>
      <c r="AM500" s="170"/>
      <c r="AN500" s="170"/>
      <c r="AO500" s="170"/>
      <c r="AP500" s="170"/>
      <c r="AQ500" s="170"/>
      <c r="AR500" s="170"/>
      <c r="AS500" s="170"/>
      <c r="AT500" s="170"/>
      <c r="AU500" s="170"/>
      <c r="AV500" s="170"/>
      <c r="AW500" s="170"/>
      <c r="AX500" s="170"/>
    </row>
    <row r="501" spans="1:50" ht="15" x14ac:dyDescent="0.25">
      <c r="A501" s="170"/>
      <c r="B501" s="719"/>
      <c r="C501" s="170"/>
      <c r="D501" s="170"/>
      <c r="E501" s="170"/>
      <c r="F501" s="170"/>
      <c r="G501" s="721"/>
      <c r="H501" s="170"/>
      <c r="I501" s="170"/>
      <c r="J501" s="170"/>
      <c r="K501" s="170"/>
      <c r="L501" s="170"/>
      <c r="M501" s="730"/>
      <c r="N501" s="730"/>
      <c r="O501" s="730"/>
      <c r="P501" s="731"/>
      <c r="Q501" s="731"/>
      <c r="R501" s="730"/>
      <c r="S501" s="730"/>
      <c r="T501" s="723"/>
      <c r="U501" s="724"/>
      <c r="V501" s="725"/>
      <c r="W501" s="725"/>
      <c r="X501" s="723"/>
      <c r="Y501" s="723"/>
      <c r="Z501" s="723"/>
      <c r="AA501" s="726"/>
      <c r="AB501" s="726"/>
      <c r="AC501" s="170"/>
      <c r="AD501" s="586"/>
      <c r="AE501" s="586"/>
      <c r="AF501" s="170"/>
      <c r="AG501" s="170"/>
      <c r="AH501" s="170"/>
      <c r="AI501" s="170"/>
      <c r="AJ501" s="170"/>
      <c r="AK501" s="170"/>
      <c r="AL501" s="170"/>
      <c r="AM501" s="170"/>
      <c r="AN501" s="170"/>
      <c r="AO501" s="170"/>
      <c r="AP501" s="170"/>
      <c r="AQ501" s="170"/>
      <c r="AR501" s="170"/>
      <c r="AS501" s="170"/>
      <c r="AT501" s="170"/>
      <c r="AU501" s="170"/>
      <c r="AV501" s="170"/>
      <c r="AW501" s="170"/>
      <c r="AX501" s="170"/>
    </row>
    <row r="502" spans="1:50" ht="15" x14ac:dyDescent="0.25">
      <c r="A502" s="170"/>
      <c r="B502" s="719"/>
      <c r="C502" s="170"/>
      <c r="D502" s="170"/>
      <c r="E502" s="170"/>
      <c r="F502" s="170"/>
      <c r="G502" s="721"/>
      <c r="H502" s="170"/>
      <c r="I502" s="170"/>
      <c r="J502" s="170"/>
      <c r="K502" s="170"/>
      <c r="L502" s="170"/>
      <c r="M502" s="730"/>
      <c r="N502" s="730"/>
      <c r="O502" s="730"/>
      <c r="P502" s="731"/>
      <c r="Q502" s="731"/>
      <c r="R502" s="730"/>
      <c r="S502" s="730"/>
      <c r="T502" s="723"/>
      <c r="U502" s="724"/>
      <c r="V502" s="725"/>
      <c r="W502" s="725"/>
      <c r="X502" s="723"/>
      <c r="Y502" s="723"/>
      <c r="Z502" s="723"/>
      <c r="AA502" s="726"/>
      <c r="AB502" s="726"/>
      <c r="AC502" s="170"/>
      <c r="AD502" s="586"/>
      <c r="AE502" s="586"/>
      <c r="AF502" s="170"/>
      <c r="AG502" s="170"/>
      <c r="AH502" s="170"/>
      <c r="AI502" s="170"/>
      <c r="AJ502" s="170"/>
      <c r="AK502" s="170"/>
      <c r="AL502" s="170"/>
      <c r="AM502" s="170"/>
      <c r="AN502" s="170"/>
      <c r="AO502" s="170"/>
      <c r="AP502" s="170"/>
      <c r="AQ502" s="170"/>
      <c r="AR502" s="170"/>
      <c r="AS502" s="170"/>
      <c r="AT502" s="170"/>
      <c r="AU502" s="170"/>
      <c r="AV502" s="170"/>
      <c r="AW502" s="170"/>
      <c r="AX502" s="170"/>
    </row>
    <row r="503" spans="1:50" ht="15" x14ac:dyDescent="0.25">
      <c r="A503" s="170"/>
      <c r="B503" s="719"/>
      <c r="C503" s="170"/>
      <c r="D503" s="170"/>
      <c r="E503" s="170"/>
      <c r="F503" s="170"/>
      <c r="G503" s="721"/>
      <c r="H503" s="170"/>
      <c r="I503" s="170"/>
      <c r="J503" s="170"/>
      <c r="K503" s="170"/>
      <c r="L503" s="170"/>
      <c r="M503" s="730"/>
      <c r="N503" s="730"/>
      <c r="O503" s="730"/>
      <c r="P503" s="731"/>
      <c r="Q503" s="731"/>
      <c r="R503" s="730"/>
      <c r="S503" s="730"/>
      <c r="T503" s="723"/>
      <c r="U503" s="724"/>
      <c r="V503" s="725"/>
      <c r="W503" s="725"/>
      <c r="X503" s="723"/>
      <c r="Y503" s="723"/>
      <c r="Z503" s="723"/>
      <c r="AA503" s="726"/>
      <c r="AB503" s="726"/>
      <c r="AC503" s="170"/>
      <c r="AD503" s="586"/>
      <c r="AE503" s="586"/>
      <c r="AF503" s="170"/>
      <c r="AG503" s="170"/>
      <c r="AH503" s="170"/>
      <c r="AI503" s="170"/>
      <c r="AJ503" s="170"/>
      <c r="AK503" s="170"/>
      <c r="AL503" s="170"/>
      <c r="AM503" s="170"/>
      <c r="AN503" s="170"/>
      <c r="AO503" s="170"/>
      <c r="AP503" s="170"/>
      <c r="AQ503" s="170"/>
      <c r="AR503" s="170"/>
      <c r="AS503" s="170"/>
      <c r="AT503" s="170"/>
      <c r="AU503" s="170"/>
      <c r="AV503" s="170"/>
      <c r="AW503" s="170"/>
      <c r="AX503" s="170"/>
    </row>
    <row r="504" spans="1:50" ht="15" x14ac:dyDescent="0.25">
      <c r="A504" s="170"/>
      <c r="B504" s="719"/>
      <c r="C504" s="170"/>
      <c r="D504" s="170"/>
      <c r="E504" s="170"/>
      <c r="F504" s="170"/>
      <c r="G504" s="721"/>
      <c r="H504" s="170"/>
      <c r="I504" s="170"/>
      <c r="J504" s="170"/>
      <c r="K504" s="170"/>
      <c r="L504" s="170"/>
      <c r="M504" s="730"/>
      <c r="N504" s="730"/>
      <c r="O504" s="730"/>
      <c r="P504" s="731"/>
      <c r="Q504" s="731"/>
      <c r="R504" s="730"/>
      <c r="S504" s="730"/>
      <c r="T504" s="723"/>
      <c r="U504" s="724"/>
      <c r="V504" s="725"/>
      <c r="W504" s="725"/>
      <c r="X504" s="723"/>
      <c r="Y504" s="723"/>
      <c r="Z504" s="723"/>
      <c r="AA504" s="726"/>
      <c r="AB504" s="726"/>
      <c r="AC504" s="170"/>
      <c r="AD504" s="586"/>
      <c r="AE504" s="586"/>
      <c r="AF504" s="170"/>
      <c r="AG504" s="170"/>
      <c r="AH504" s="170"/>
      <c r="AI504" s="170"/>
      <c r="AJ504" s="170"/>
      <c r="AK504" s="170"/>
      <c r="AL504" s="170"/>
      <c r="AM504" s="170"/>
      <c r="AN504" s="170"/>
      <c r="AO504" s="170"/>
      <c r="AP504" s="170"/>
      <c r="AQ504" s="170"/>
      <c r="AR504" s="170"/>
      <c r="AS504" s="170"/>
      <c r="AT504" s="170"/>
      <c r="AU504" s="170"/>
      <c r="AV504" s="170"/>
      <c r="AW504" s="170"/>
      <c r="AX504" s="170"/>
    </row>
    <row r="505" spans="1:50" ht="15" x14ac:dyDescent="0.25">
      <c r="A505" s="170"/>
      <c r="B505" s="719"/>
      <c r="C505" s="170"/>
      <c r="D505" s="170"/>
      <c r="E505" s="170"/>
      <c r="F505" s="170"/>
      <c r="G505" s="721"/>
      <c r="H505" s="170"/>
      <c r="I505" s="170"/>
      <c r="J505" s="170"/>
      <c r="K505" s="170"/>
      <c r="L505" s="170"/>
      <c r="M505" s="730"/>
      <c r="N505" s="730"/>
      <c r="O505" s="730"/>
      <c r="P505" s="731"/>
      <c r="Q505" s="731"/>
      <c r="R505" s="730"/>
      <c r="S505" s="730"/>
      <c r="T505" s="723"/>
      <c r="U505" s="724"/>
      <c r="V505" s="725"/>
      <c r="W505" s="725"/>
      <c r="X505" s="723"/>
      <c r="Y505" s="723"/>
      <c r="Z505" s="723"/>
      <c r="AA505" s="726"/>
      <c r="AB505" s="726"/>
      <c r="AC505" s="170"/>
      <c r="AD505" s="586"/>
      <c r="AE505" s="586"/>
      <c r="AF505" s="170"/>
      <c r="AG505" s="170"/>
      <c r="AH505" s="170"/>
      <c r="AI505" s="170"/>
      <c r="AJ505" s="170"/>
      <c r="AK505" s="170"/>
      <c r="AL505" s="170"/>
      <c r="AM505" s="170"/>
      <c r="AN505" s="170"/>
      <c r="AO505" s="170"/>
      <c r="AP505" s="170"/>
      <c r="AQ505" s="170"/>
      <c r="AR505" s="170"/>
      <c r="AS505" s="170"/>
      <c r="AT505" s="170"/>
      <c r="AU505" s="170"/>
      <c r="AV505" s="170"/>
      <c r="AW505" s="170"/>
      <c r="AX505" s="170"/>
    </row>
    <row r="506" spans="1:50" ht="15" x14ac:dyDescent="0.25">
      <c r="A506" s="170"/>
      <c r="B506" s="719"/>
      <c r="C506" s="170"/>
      <c r="D506" s="170"/>
      <c r="E506" s="170"/>
      <c r="F506" s="170"/>
      <c r="G506" s="721"/>
      <c r="H506" s="170"/>
      <c r="I506" s="170"/>
      <c r="J506" s="170"/>
      <c r="K506" s="170"/>
      <c r="L506" s="170"/>
      <c r="M506" s="730"/>
      <c r="N506" s="730"/>
      <c r="O506" s="730"/>
      <c r="P506" s="731"/>
      <c r="Q506" s="731"/>
      <c r="R506" s="730"/>
      <c r="S506" s="730"/>
      <c r="T506" s="723"/>
      <c r="U506" s="724"/>
      <c r="V506" s="725"/>
      <c r="W506" s="725"/>
      <c r="X506" s="723"/>
      <c r="Y506" s="723"/>
      <c r="Z506" s="723"/>
      <c r="AA506" s="726"/>
      <c r="AB506" s="726"/>
      <c r="AC506" s="170"/>
      <c r="AD506" s="586"/>
      <c r="AE506" s="586"/>
      <c r="AF506" s="170"/>
      <c r="AG506" s="170"/>
      <c r="AH506" s="170"/>
      <c r="AI506" s="170"/>
      <c r="AJ506" s="170"/>
      <c r="AK506" s="170"/>
      <c r="AL506" s="170"/>
      <c r="AM506" s="170"/>
      <c r="AN506" s="170"/>
      <c r="AO506" s="170"/>
      <c r="AP506" s="170"/>
      <c r="AQ506" s="170"/>
      <c r="AR506" s="170"/>
      <c r="AS506" s="170"/>
      <c r="AT506" s="170"/>
      <c r="AU506" s="170"/>
      <c r="AV506" s="170"/>
      <c r="AW506" s="170"/>
      <c r="AX506" s="170"/>
    </row>
    <row r="507" spans="1:50" ht="15" x14ac:dyDescent="0.25">
      <c r="A507" s="170"/>
      <c r="B507" s="719"/>
      <c r="C507" s="170"/>
      <c r="D507" s="170"/>
      <c r="E507" s="170"/>
      <c r="F507" s="170"/>
      <c r="G507" s="721"/>
      <c r="H507" s="170"/>
      <c r="I507" s="170"/>
      <c r="J507" s="170"/>
      <c r="K507" s="170"/>
      <c r="L507" s="170"/>
      <c r="M507" s="730"/>
      <c r="N507" s="730"/>
      <c r="O507" s="730"/>
      <c r="P507" s="731"/>
      <c r="Q507" s="731"/>
      <c r="R507" s="730"/>
      <c r="S507" s="730"/>
      <c r="T507" s="723"/>
      <c r="U507" s="724"/>
      <c r="V507" s="725"/>
      <c r="W507" s="725"/>
      <c r="X507" s="723"/>
      <c r="Y507" s="723"/>
      <c r="Z507" s="723"/>
      <c r="AA507" s="726"/>
      <c r="AB507" s="726"/>
      <c r="AC507" s="170"/>
      <c r="AD507" s="586"/>
      <c r="AE507" s="586"/>
      <c r="AF507" s="170"/>
      <c r="AG507" s="170"/>
      <c r="AH507" s="170"/>
      <c r="AI507" s="170"/>
      <c r="AJ507" s="170"/>
      <c r="AK507" s="170"/>
      <c r="AL507" s="170"/>
      <c r="AM507" s="170"/>
      <c r="AN507" s="170"/>
      <c r="AO507" s="170"/>
      <c r="AP507" s="170"/>
      <c r="AQ507" s="170"/>
      <c r="AR507" s="170"/>
      <c r="AS507" s="170"/>
      <c r="AT507" s="170"/>
      <c r="AU507" s="170"/>
      <c r="AV507" s="170"/>
      <c r="AW507" s="170"/>
      <c r="AX507" s="170"/>
    </row>
    <row r="508" spans="1:50" ht="15" x14ac:dyDescent="0.25">
      <c r="A508" s="170"/>
      <c r="B508" s="719"/>
      <c r="C508" s="170"/>
      <c r="D508" s="170"/>
      <c r="E508" s="170"/>
      <c r="F508" s="170"/>
      <c r="G508" s="721"/>
      <c r="H508" s="170"/>
      <c r="I508" s="170"/>
      <c r="J508" s="170"/>
      <c r="K508" s="170"/>
      <c r="L508" s="170"/>
      <c r="M508" s="730"/>
      <c r="N508" s="730"/>
      <c r="O508" s="730"/>
      <c r="P508" s="731"/>
      <c r="Q508" s="731"/>
      <c r="R508" s="730"/>
      <c r="S508" s="730"/>
      <c r="T508" s="723"/>
      <c r="U508" s="724"/>
      <c r="V508" s="725"/>
      <c r="W508" s="725"/>
      <c r="X508" s="723"/>
      <c r="Y508" s="723"/>
      <c r="Z508" s="723"/>
      <c r="AA508" s="726"/>
      <c r="AB508" s="726"/>
      <c r="AC508" s="170"/>
      <c r="AD508" s="586"/>
      <c r="AE508" s="586"/>
      <c r="AF508" s="170"/>
      <c r="AG508" s="170"/>
      <c r="AH508" s="170"/>
      <c r="AI508" s="170"/>
      <c r="AJ508" s="170"/>
      <c r="AK508" s="170"/>
      <c r="AL508" s="170"/>
      <c r="AM508" s="170"/>
      <c r="AN508" s="170"/>
      <c r="AO508" s="170"/>
      <c r="AP508" s="170"/>
      <c r="AQ508" s="170"/>
      <c r="AR508" s="170"/>
      <c r="AS508" s="170"/>
      <c r="AT508" s="170"/>
      <c r="AU508" s="170"/>
      <c r="AV508" s="170"/>
      <c r="AW508" s="170"/>
      <c r="AX508" s="170"/>
    </row>
    <row r="509" spans="1:50" ht="15" x14ac:dyDescent="0.25">
      <c r="A509" s="170"/>
      <c r="B509" s="719"/>
      <c r="C509" s="170"/>
      <c r="D509" s="170"/>
      <c r="E509" s="170"/>
      <c r="F509" s="170"/>
      <c r="G509" s="721"/>
      <c r="H509" s="170"/>
      <c r="I509" s="170"/>
      <c r="J509" s="170"/>
      <c r="K509" s="170"/>
      <c r="L509" s="170"/>
      <c r="M509" s="730"/>
      <c r="N509" s="730"/>
      <c r="O509" s="730"/>
      <c r="P509" s="731"/>
      <c r="Q509" s="731"/>
      <c r="R509" s="730"/>
      <c r="S509" s="730"/>
      <c r="T509" s="723"/>
      <c r="U509" s="724"/>
      <c r="V509" s="725"/>
      <c r="W509" s="725"/>
      <c r="X509" s="723"/>
      <c r="Y509" s="723"/>
      <c r="Z509" s="723"/>
      <c r="AA509" s="726"/>
      <c r="AB509" s="726"/>
      <c r="AC509" s="170"/>
      <c r="AD509" s="586"/>
      <c r="AE509" s="586"/>
      <c r="AF509" s="170"/>
      <c r="AG509" s="170"/>
      <c r="AH509" s="170"/>
      <c r="AI509" s="170"/>
      <c r="AJ509" s="170"/>
      <c r="AK509" s="170"/>
      <c r="AL509" s="170"/>
      <c r="AM509" s="170"/>
      <c r="AN509" s="170"/>
      <c r="AO509" s="170"/>
      <c r="AP509" s="170"/>
      <c r="AQ509" s="170"/>
      <c r="AR509" s="170"/>
      <c r="AS509" s="170"/>
      <c r="AT509" s="170"/>
      <c r="AU509" s="170"/>
      <c r="AV509" s="170"/>
      <c r="AW509" s="170"/>
      <c r="AX509" s="170"/>
    </row>
    <row r="510" spans="1:50" ht="15" x14ac:dyDescent="0.25">
      <c r="A510" s="170"/>
      <c r="B510" s="719"/>
      <c r="C510" s="170"/>
      <c r="D510" s="170"/>
      <c r="E510" s="170"/>
      <c r="F510" s="170"/>
      <c r="G510" s="721"/>
      <c r="H510" s="170"/>
      <c r="I510" s="170"/>
      <c r="J510" s="170"/>
      <c r="K510" s="170"/>
      <c r="L510" s="170"/>
      <c r="M510" s="730"/>
      <c r="N510" s="730"/>
      <c r="O510" s="730"/>
      <c r="P510" s="731"/>
      <c r="Q510" s="731"/>
      <c r="R510" s="730"/>
      <c r="S510" s="730"/>
      <c r="T510" s="723"/>
      <c r="U510" s="724"/>
      <c r="V510" s="725"/>
      <c r="W510" s="725"/>
      <c r="X510" s="723"/>
      <c r="Y510" s="723"/>
      <c r="Z510" s="723"/>
      <c r="AA510" s="726"/>
      <c r="AB510" s="726"/>
      <c r="AC510" s="170"/>
      <c r="AD510" s="586"/>
      <c r="AE510" s="586"/>
      <c r="AF510" s="170"/>
      <c r="AG510" s="170"/>
      <c r="AH510" s="170"/>
      <c r="AI510" s="170"/>
      <c r="AJ510" s="170"/>
      <c r="AK510" s="170"/>
      <c r="AL510" s="170"/>
      <c r="AM510" s="170"/>
      <c r="AN510" s="170"/>
      <c r="AO510" s="170"/>
      <c r="AP510" s="170"/>
      <c r="AQ510" s="170"/>
      <c r="AR510" s="170"/>
      <c r="AS510" s="170"/>
      <c r="AT510" s="170"/>
      <c r="AU510" s="170"/>
      <c r="AV510" s="170"/>
      <c r="AW510" s="170"/>
      <c r="AX510" s="170"/>
    </row>
    <row r="511" spans="1:50" ht="15" x14ac:dyDescent="0.25">
      <c r="A511" s="170"/>
      <c r="B511" s="719"/>
      <c r="C511" s="170"/>
      <c r="D511" s="170"/>
      <c r="E511" s="170"/>
      <c r="F511" s="170"/>
      <c r="G511" s="721"/>
      <c r="H511" s="170"/>
      <c r="I511" s="170"/>
      <c r="J511" s="170"/>
      <c r="K511" s="170"/>
      <c r="L511" s="170"/>
      <c r="M511" s="730"/>
      <c r="N511" s="730"/>
      <c r="O511" s="730"/>
      <c r="P511" s="731"/>
      <c r="Q511" s="731"/>
      <c r="R511" s="730"/>
      <c r="S511" s="730"/>
      <c r="T511" s="723"/>
      <c r="U511" s="724"/>
      <c r="V511" s="725"/>
      <c r="W511" s="725"/>
      <c r="X511" s="723"/>
      <c r="Y511" s="723"/>
      <c r="Z511" s="723"/>
      <c r="AA511" s="726"/>
      <c r="AB511" s="726"/>
      <c r="AC511" s="170"/>
      <c r="AD511" s="586"/>
      <c r="AE511" s="586"/>
      <c r="AF511" s="170"/>
      <c r="AG511" s="170"/>
      <c r="AH511" s="170"/>
      <c r="AI511" s="170"/>
      <c r="AJ511" s="170"/>
      <c r="AK511" s="170"/>
      <c r="AL511" s="170"/>
      <c r="AM511" s="170"/>
      <c r="AN511" s="170"/>
      <c r="AO511" s="170"/>
      <c r="AP511" s="170"/>
      <c r="AQ511" s="170"/>
      <c r="AR511" s="170"/>
      <c r="AS511" s="170"/>
      <c r="AT511" s="170"/>
      <c r="AU511" s="170"/>
      <c r="AV511" s="170"/>
      <c r="AW511" s="170"/>
      <c r="AX511" s="170"/>
    </row>
    <row r="512" spans="1:50" ht="15" x14ac:dyDescent="0.25">
      <c r="A512" s="170"/>
      <c r="B512" s="719"/>
      <c r="C512" s="170"/>
      <c r="D512" s="170"/>
      <c r="E512" s="170"/>
      <c r="F512" s="170"/>
      <c r="G512" s="721"/>
      <c r="H512" s="170"/>
      <c r="I512" s="170"/>
      <c r="J512" s="170"/>
      <c r="K512" s="170"/>
      <c r="L512" s="170"/>
      <c r="M512" s="730"/>
      <c r="N512" s="730"/>
      <c r="O512" s="730"/>
      <c r="P512" s="731"/>
      <c r="Q512" s="731"/>
      <c r="R512" s="730"/>
      <c r="S512" s="730"/>
      <c r="T512" s="723"/>
      <c r="U512" s="724"/>
      <c r="V512" s="725"/>
      <c r="W512" s="725"/>
      <c r="X512" s="723"/>
      <c r="Y512" s="723"/>
      <c r="Z512" s="723"/>
      <c r="AA512" s="726"/>
      <c r="AB512" s="726"/>
      <c r="AC512" s="170"/>
      <c r="AD512" s="586"/>
      <c r="AE512" s="586"/>
      <c r="AF512" s="170"/>
      <c r="AG512" s="170"/>
      <c r="AH512" s="170"/>
      <c r="AI512" s="170"/>
      <c r="AJ512" s="170"/>
      <c r="AK512" s="170"/>
      <c r="AL512" s="170"/>
      <c r="AM512" s="170"/>
      <c r="AN512" s="170"/>
      <c r="AO512" s="170"/>
      <c r="AP512" s="170"/>
      <c r="AQ512" s="170"/>
      <c r="AR512" s="170"/>
      <c r="AS512" s="170"/>
      <c r="AT512" s="170"/>
      <c r="AU512" s="170"/>
      <c r="AV512" s="170"/>
      <c r="AW512" s="170"/>
      <c r="AX512" s="170"/>
    </row>
    <row r="513" spans="1:50" ht="15" x14ac:dyDescent="0.25">
      <c r="A513" s="170"/>
      <c r="B513" s="719"/>
      <c r="C513" s="170"/>
      <c r="D513" s="170"/>
      <c r="E513" s="170"/>
      <c r="F513" s="170"/>
      <c r="G513" s="721"/>
      <c r="H513" s="170"/>
      <c r="I513" s="170"/>
      <c r="J513" s="170"/>
      <c r="K513" s="170"/>
      <c r="L513" s="170"/>
      <c r="M513" s="730"/>
      <c r="N513" s="730"/>
      <c r="O513" s="730"/>
      <c r="P513" s="731"/>
      <c r="Q513" s="731"/>
      <c r="R513" s="730"/>
      <c r="S513" s="730"/>
      <c r="T513" s="723"/>
      <c r="U513" s="724"/>
      <c r="V513" s="725"/>
      <c r="W513" s="725"/>
      <c r="X513" s="723"/>
      <c r="Y513" s="723"/>
      <c r="Z513" s="723"/>
      <c r="AA513" s="726"/>
      <c r="AB513" s="726"/>
      <c r="AC513" s="170"/>
      <c r="AD513" s="586"/>
      <c r="AE513" s="586"/>
      <c r="AF513" s="170"/>
      <c r="AG513" s="170"/>
      <c r="AH513" s="170"/>
      <c r="AI513" s="170"/>
      <c r="AJ513" s="170"/>
      <c r="AK513" s="170"/>
      <c r="AL513" s="170"/>
      <c r="AM513" s="170"/>
      <c r="AN513" s="170"/>
      <c r="AO513" s="170"/>
      <c r="AP513" s="170"/>
      <c r="AQ513" s="170"/>
      <c r="AR513" s="170"/>
      <c r="AS513" s="170"/>
      <c r="AT513" s="170"/>
      <c r="AU513" s="170"/>
      <c r="AV513" s="170"/>
      <c r="AW513" s="170"/>
      <c r="AX513" s="170"/>
    </row>
    <row r="514" spans="1:50" ht="15" x14ac:dyDescent="0.25">
      <c r="A514" s="170"/>
      <c r="B514" s="719"/>
      <c r="C514" s="170"/>
      <c r="D514" s="170"/>
      <c r="E514" s="170"/>
      <c r="F514" s="170"/>
      <c r="G514" s="721"/>
      <c r="H514" s="170"/>
      <c r="I514" s="170"/>
      <c r="J514" s="170"/>
      <c r="K514" s="170"/>
      <c r="L514" s="170"/>
      <c r="M514" s="730"/>
      <c r="N514" s="730"/>
      <c r="O514" s="730"/>
      <c r="P514" s="731"/>
      <c r="Q514" s="731"/>
      <c r="R514" s="730"/>
      <c r="S514" s="730"/>
      <c r="T514" s="723"/>
      <c r="U514" s="724"/>
      <c r="V514" s="725"/>
      <c r="W514" s="725"/>
      <c r="X514" s="723"/>
      <c r="Y514" s="723"/>
      <c r="Z514" s="723"/>
      <c r="AA514" s="726"/>
      <c r="AB514" s="726"/>
      <c r="AC514" s="170"/>
      <c r="AD514" s="586"/>
      <c r="AE514" s="586"/>
      <c r="AF514" s="170"/>
      <c r="AG514" s="170"/>
      <c r="AH514" s="170"/>
      <c r="AI514" s="170"/>
      <c r="AJ514" s="170"/>
      <c r="AK514" s="170"/>
      <c r="AL514" s="170"/>
      <c r="AM514" s="170"/>
      <c r="AN514" s="170"/>
      <c r="AO514" s="170"/>
      <c r="AP514" s="170"/>
      <c r="AQ514" s="170"/>
      <c r="AR514" s="170"/>
      <c r="AS514" s="170"/>
      <c r="AT514" s="170"/>
      <c r="AU514" s="170"/>
      <c r="AV514" s="170"/>
      <c r="AW514" s="170"/>
      <c r="AX514" s="170"/>
    </row>
    <row r="515" spans="1:50" ht="15" x14ac:dyDescent="0.25">
      <c r="A515" s="170"/>
      <c r="B515" s="719"/>
      <c r="C515" s="170"/>
      <c r="D515" s="170"/>
      <c r="E515" s="170"/>
      <c r="F515" s="170"/>
      <c r="G515" s="721"/>
      <c r="H515" s="170"/>
      <c r="I515" s="170"/>
      <c r="J515" s="170"/>
      <c r="K515" s="170"/>
      <c r="L515" s="170"/>
      <c r="M515" s="730"/>
      <c r="N515" s="730"/>
      <c r="O515" s="730"/>
      <c r="P515" s="731"/>
      <c r="Q515" s="731"/>
      <c r="R515" s="730"/>
      <c r="S515" s="730"/>
      <c r="T515" s="723"/>
      <c r="U515" s="724"/>
      <c r="V515" s="725"/>
      <c r="W515" s="725"/>
      <c r="X515" s="723"/>
      <c r="Y515" s="723"/>
      <c r="Z515" s="723"/>
      <c r="AA515" s="726"/>
      <c r="AB515" s="726"/>
      <c r="AC515" s="170"/>
      <c r="AD515" s="586"/>
      <c r="AE515" s="586"/>
      <c r="AF515" s="170"/>
      <c r="AG515" s="170"/>
      <c r="AH515" s="170"/>
      <c r="AI515" s="170"/>
      <c r="AJ515" s="170"/>
      <c r="AK515" s="170"/>
      <c r="AL515" s="170"/>
      <c r="AM515" s="170"/>
      <c r="AN515" s="170"/>
      <c r="AO515" s="170"/>
      <c r="AP515" s="170"/>
      <c r="AQ515" s="170"/>
      <c r="AR515" s="170"/>
      <c r="AS515" s="170"/>
      <c r="AT515" s="170"/>
      <c r="AU515" s="170"/>
      <c r="AV515" s="170"/>
      <c r="AW515" s="170"/>
      <c r="AX515" s="170"/>
    </row>
    <row r="516" spans="1:50" ht="15" x14ac:dyDescent="0.25">
      <c r="A516" s="170"/>
      <c r="B516" s="719"/>
      <c r="C516" s="170"/>
      <c r="D516" s="170"/>
      <c r="E516" s="170"/>
      <c r="F516" s="170"/>
      <c r="G516" s="721"/>
      <c r="H516" s="170"/>
      <c r="I516" s="170"/>
      <c r="J516" s="170"/>
      <c r="K516" s="170"/>
      <c r="L516" s="170"/>
      <c r="M516" s="730"/>
      <c r="N516" s="730"/>
      <c r="O516" s="730"/>
      <c r="P516" s="731"/>
      <c r="Q516" s="731"/>
      <c r="R516" s="730"/>
      <c r="S516" s="730"/>
      <c r="T516" s="723"/>
      <c r="U516" s="724"/>
      <c r="V516" s="725"/>
      <c r="W516" s="725"/>
      <c r="X516" s="723"/>
      <c r="Y516" s="723"/>
      <c r="Z516" s="723"/>
      <c r="AA516" s="726"/>
      <c r="AB516" s="726"/>
      <c r="AC516" s="170"/>
      <c r="AD516" s="586"/>
      <c r="AE516" s="586"/>
      <c r="AF516" s="170"/>
      <c r="AG516" s="170"/>
      <c r="AH516" s="170"/>
      <c r="AI516" s="170"/>
      <c r="AJ516" s="170"/>
      <c r="AK516" s="170"/>
      <c r="AL516" s="170"/>
      <c r="AM516" s="170"/>
      <c r="AN516" s="170"/>
      <c r="AO516" s="170"/>
      <c r="AP516" s="170"/>
      <c r="AQ516" s="170"/>
      <c r="AR516" s="170"/>
      <c r="AS516" s="170"/>
      <c r="AT516" s="170"/>
      <c r="AU516" s="170"/>
      <c r="AV516" s="170"/>
      <c r="AW516" s="170"/>
      <c r="AX516" s="170"/>
    </row>
    <row r="517" spans="1:50" ht="15" x14ac:dyDescent="0.25">
      <c r="A517" s="170"/>
      <c r="B517" s="719"/>
      <c r="C517" s="170"/>
      <c r="D517" s="170"/>
      <c r="E517" s="170"/>
      <c r="F517" s="170"/>
      <c r="G517" s="721"/>
      <c r="H517" s="170"/>
      <c r="I517" s="170"/>
      <c r="J517" s="170"/>
      <c r="K517" s="170"/>
      <c r="L517" s="170"/>
      <c r="M517" s="730"/>
      <c r="N517" s="730"/>
      <c r="O517" s="730"/>
      <c r="P517" s="731"/>
      <c r="Q517" s="731"/>
      <c r="R517" s="730"/>
      <c r="S517" s="730"/>
      <c r="T517" s="723"/>
      <c r="U517" s="724"/>
      <c r="V517" s="725"/>
      <c r="W517" s="725"/>
      <c r="X517" s="723"/>
      <c r="Y517" s="723"/>
      <c r="Z517" s="723"/>
      <c r="AA517" s="726"/>
      <c r="AB517" s="726"/>
      <c r="AC517" s="170"/>
      <c r="AD517" s="586"/>
      <c r="AE517" s="586"/>
      <c r="AF517" s="170"/>
      <c r="AG517" s="170"/>
      <c r="AH517" s="170"/>
      <c r="AI517" s="170"/>
      <c r="AJ517" s="170"/>
      <c r="AK517" s="170"/>
      <c r="AL517" s="170"/>
      <c r="AM517" s="170"/>
      <c r="AN517" s="170"/>
      <c r="AO517" s="170"/>
      <c r="AP517" s="170"/>
      <c r="AQ517" s="170"/>
      <c r="AR517" s="170"/>
      <c r="AS517" s="170"/>
      <c r="AT517" s="170"/>
      <c r="AU517" s="170"/>
      <c r="AV517" s="170"/>
      <c r="AW517" s="170"/>
      <c r="AX517" s="170"/>
    </row>
    <row r="518" spans="1:50" ht="15" x14ac:dyDescent="0.25">
      <c r="A518" s="170"/>
      <c r="B518" s="719"/>
      <c r="C518" s="170"/>
      <c r="D518" s="170"/>
      <c r="E518" s="170"/>
      <c r="F518" s="170"/>
      <c r="G518" s="721"/>
      <c r="H518" s="170"/>
      <c r="I518" s="170"/>
      <c r="J518" s="170"/>
      <c r="K518" s="170"/>
      <c r="L518" s="170"/>
      <c r="M518" s="730"/>
      <c r="N518" s="730"/>
      <c r="O518" s="730"/>
      <c r="P518" s="731"/>
      <c r="Q518" s="731"/>
      <c r="R518" s="730"/>
      <c r="S518" s="730"/>
      <c r="T518" s="723"/>
      <c r="U518" s="724"/>
      <c r="V518" s="725"/>
      <c r="W518" s="725"/>
      <c r="X518" s="723"/>
      <c r="Y518" s="723"/>
      <c r="Z518" s="723"/>
      <c r="AA518" s="726"/>
      <c r="AB518" s="726"/>
      <c r="AC518" s="170"/>
      <c r="AD518" s="586"/>
      <c r="AE518" s="586"/>
      <c r="AF518" s="170"/>
      <c r="AG518" s="170"/>
      <c r="AH518" s="170"/>
      <c r="AI518" s="170"/>
      <c r="AJ518" s="170"/>
      <c r="AK518" s="170"/>
      <c r="AL518" s="170"/>
      <c r="AM518" s="170"/>
      <c r="AN518" s="170"/>
      <c r="AO518" s="170"/>
      <c r="AP518" s="170"/>
      <c r="AQ518" s="170"/>
      <c r="AR518" s="170"/>
      <c r="AS518" s="170"/>
      <c r="AT518" s="170"/>
      <c r="AU518" s="170"/>
      <c r="AV518" s="170"/>
      <c r="AW518" s="170"/>
      <c r="AX518" s="170"/>
    </row>
    <row r="519" spans="1:50" ht="15" x14ac:dyDescent="0.25">
      <c r="A519" s="170"/>
      <c r="B519" s="719"/>
      <c r="C519" s="170"/>
      <c r="D519" s="170"/>
      <c r="E519" s="170"/>
      <c r="F519" s="170"/>
      <c r="G519" s="721"/>
      <c r="H519" s="170"/>
      <c r="I519" s="170"/>
      <c r="J519" s="170"/>
      <c r="K519" s="170"/>
      <c r="L519" s="170"/>
      <c r="M519" s="730"/>
      <c r="N519" s="730"/>
      <c r="O519" s="730"/>
      <c r="P519" s="731"/>
      <c r="Q519" s="731"/>
      <c r="R519" s="730"/>
      <c r="S519" s="730"/>
      <c r="T519" s="723"/>
      <c r="U519" s="724"/>
      <c r="V519" s="725"/>
      <c r="W519" s="725"/>
      <c r="X519" s="723"/>
      <c r="Y519" s="723"/>
      <c r="Z519" s="723"/>
      <c r="AA519" s="726"/>
      <c r="AB519" s="726"/>
      <c r="AC519" s="170"/>
      <c r="AD519" s="586"/>
      <c r="AE519" s="586"/>
      <c r="AF519" s="170"/>
      <c r="AG519" s="170"/>
      <c r="AH519" s="170"/>
      <c r="AI519" s="170"/>
      <c r="AJ519" s="170"/>
      <c r="AK519" s="170"/>
      <c r="AL519" s="170"/>
      <c r="AM519" s="170"/>
      <c r="AN519" s="170"/>
      <c r="AO519" s="170"/>
      <c r="AP519" s="170"/>
      <c r="AQ519" s="170"/>
      <c r="AR519" s="170"/>
      <c r="AS519" s="170"/>
      <c r="AT519" s="170"/>
      <c r="AU519" s="170"/>
      <c r="AV519" s="170"/>
      <c r="AW519" s="170"/>
      <c r="AX519" s="170"/>
    </row>
    <row r="520" spans="1:50" ht="15" x14ac:dyDescent="0.25">
      <c r="A520" s="170"/>
      <c r="B520" s="719"/>
      <c r="C520" s="170"/>
      <c r="D520" s="170"/>
      <c r="E520" s="170"/>
      <c r="F520" s="170"/>
      <c r="G520" s="721"/>
      <c r="H520" s="170"/>
      <c r="I520" s="170"/>
      <c r="J520" s="170"/>
      <c r="K520" s="170"/>
      <c r="L520" s="170"/>
      <c r="M520" s="730"/>
      <c r="N520" s="730"/>
      <c r="O520" s="730"/>
      <c r="P520" s="731"/>
      <c r="Q520" s="731"/>
      <c r="R520" s="730"/>
      <c r="S520" s="730"/>
      <c r="T520" s="723"/>
      <c r="U520" s="724"/>
      <c r="V520" s="725"/>
      <c r="W520" s="725"/>
      <c r="X520" s="723"/>
      <c r="Y520" s="723"/>
      <c r="Z520" s="723"/>
      <c r="AA520" s="726"/>
      <c r="AB520" s="726"/>
      <c r="AC520" s="170"/>
      <c r="AD520" s="586"/>
      <c r="AE520" s="586"/>
      <c r="AF520" s="170"/>
      <c r="AG520" s="170"/>
      <c r="AH520" s="170"/>
      <c r="AI520" s="170"/>
      <c r="AJ520" s="170"/>
      <c r="AK520" s="170"/>
      <c r="AL520" s="170"/>
      <c r="AM520" s="170"/>
      <c r="AN520" s="170"/>
      <c r="AO520" s="170"/>
      <c r="AP520" s="170"/>
      <c r="AQ520" s="170"/>
      <c r="AR520" s="170"/>
      <c r="AS520" s="170"/>
      <c r="AT520" s="170"/>
      <c r="AU520" s="170"/>
      <c r="AV520" s="170"/>
      <c r="AW520" s="170"/>
      <c r="AX520" s="170"/>
    </row>
    <row r="521" spans="1:50" ht="15" x14ac:dyDescent="0.25">
      <c r="A521" s="170"/>
      <c r="B521" s="719"/>
      <c r="C521" s="170"/>
      <c r="D521" s="170"/>
      <c r="E521" s="170"/>
      <c r="F521" s="170"/>
      <c r="G521" s="721"/>
      <c r="H521" s="170"/>
      <c r="I521" s="170"/>
      <c r="J521" s="170"/>
      <c r="K521" s="170"/>
      <c r="L521" s="170"/>
      <c r="M521" s="730"/>
      <c r="N521" s="730"/>
      <c r="O521" s="730"/>
      <c r="P521" s="731"/>
      <c r="Q521" s="731"/>
      <c r="R521" s="730"/>
      <c r="S521" s="730"/>
      <c r="T521" s="723"/>
      <c r="U521" s="724"/>
      <c r="V521" s="725"/>
      <c r="W521" s="725"/>
      <c r="X521" s="723"/>
      <c r="Y521" s="723"/>
      <c r="Z521" s="723"/>
      <c r="AA521" s="726"/>
      <c r="AB521" s="726"/>
      <c r="AC521" s="170"/>
      <c r="AD521" s="586"/>
      <c r="AE521" s="586"/>
      <c r="AF521" s="170"/>
      <c r="AG521" s="170"/>
      <c r="AH521" s="170"/>
      <c r="AI521" s="170"/>
      <c r="AJ521" s="170"/>
      <c r="AK521" s="170"/>
      <c r="AL521" s="170"/>
      <c r="AM521" s="170"/>
      <c r="AN521" s="170"/>
      <c r="AO521" s="170"/>
      <c r="AP521" s="170"/>
      <c r="AQ521" s="170"/>
      <c r="AR521" s="170"/>
      <c r="AS521" s="170"/>
      <c r="AT521" s="170"/>
      <c r="AU521" s="170"/>
      <c r="AV521" s="170"/>
      <c r="AW521" s="170"/>
      <c r="AX521" s="170"/>
    </row>
    <row r="522" spans="1:50" ht="15" x14ac:dyDescent="0.25">
      <c r="A522" s="170"/>
      <c r="B522" s="719"/>
      <c r="C522" s="170"/>
      <c r="D522" s="170"/>
      <c r="E522" s="170"/>
      <c r="F522" s="170"/>
      <c r="G522" s="721"/>
      <c r="H522" s="170"/>
      <c r="I522" s="170"/>
      <c r="J522" s="170"/>
      <c r="K522" s="170"/>
      <c r="L522" s="170"/>
      <c r="M522" s="730"/>
      <c r="N522" s="730"/>
      <c r="O522" s="730"/>
      <c r="P522" s="731"/>
      <c r="Q522" s="731"/>
      <c r="R522" s="730"/>
      <c r="S522" s="730"/>
      <c r="T522" s="723"/>
      <c r="U522" s="724"/>
      <c r="V522" s="725"/>
      <c r="W522" s="725"/>
      <c r="X522" s="723"/>
      <c r="Y522" s="723"/>
      <c r="Z522" s="723"/>
      <c r="AA522" s="726"/>
      <c r="AB522" s="726"/>
      <c r="AC522" s="170"/>
      <c r="AD522" s="586"/>
      <c r="AE522" s="586"/>
      <c r="AF522" s="170"/>
      <c r="AG522" s="170"/>
      <c r="AH522" s="170"/>
      <c r="AI522" s="170"/>
      <c r="AJ522" s="170"/>
      <c r="AK522" s="170"/>
      <c r="AL522" s="170"/>
      <c r="AM522" s="170"/>
      <c r="AN522" s="170"/>
      <c r="AO522" s="170"/>
      <c r="AP522" s="170"/>
      <c r="AQ522" s="170"/>
      <c r="AR522" s="170"/>
      <c r="AS522" s="170"/>
      <c r="AT522" s="170"/>
      <c r="AU522" s="170"/>
      <c r="AV522" s="170"/>
      <c r="AW522" s="170"/>
      <c r="AX522" s="170"/>
    </row>
    <row r="523" spans="1:50" ht="15" x14ac:dyDescent="0.25">
      <c r="A523" s="170"/>
      <c r="B523" s="719"/>
      <c r="C523" s="170"/>
      <c r="D523" s="170"/>
      <c r="E523" s="170"/>
      <c r="F523" s="170"/>
      <c r="G523" s="721"/>
      <c r="H523" s="170"/>
      <c r="I523" s="170"/>
      <c r="J523" s="170"/>
      <c r="K523" s="170"/>
      <c r="L523" s="170"/>
      <c r="M523" s="730"/>
      <c r="N523" s="730"/>
      <c r="O523" s="730"/>
      <c r="P523" s="731"/>
      <c r="Q523" s="731"/>
      <c r="R523" s="730"/>
      <c r="S523" s="730"/>
      <c r="T523" s="723"/>
      <c r="U523" s="724"/>
      <c r="V523" s="725"/>
      <c r="W523" s="725"/>
      <c r="X523" s="723"/>
      <c r="Y523" s="723"/>
      <c r="Z523" s="723"/>
      <c r="AA523" s="726"/>
      <c r="AB523" s="726"/>
      <c r="AC523" s="170"/>
      <c r="AD523" s="586"/>
      <c r="AE523" s="586"/>
      <c r="AF523" s="170"/>
      <c r="AG523" s="170"/>
      <c r="AH523" s="170"/>
      <c r="AI523" s="170"/>
      <c r="AJ523" s="170"/>
      <c r="AK523" s="170"/>
      <c r="AL523" s="170"/>
      <c r="AM523" s="170"/>
      <c r="AN523" s="170"/>
      <c r="AO523" s="170"/>
      <c r="AP523" s="170"/>
      <c r="AQ523" s="170"/>
      <c r="AR523" s="170"/>
      <c r="AS523" s="170"/>
      <c r="AT523" s="170"/>
      <c r="AU523" s="170"/>
      <c r="AV523" s="170"/>
      <c r="AW523" s="170"/>
      <c r="AX523" s="170"/>
    </row>
    <row r="524" spans="1:50" ht="15" x14ac:dyDescent="0.25">
      <c r="A524" s="170"/>
      <c r="B524" s="719"/>
      <c r="C524" s="170"/>
      <c r="D524" s="170"/>
      <c r="E524" s="170"/>
      <c r="F524" s="170"/>
      <c r="G524" s="721"/>
      <c r="H524" s="170"/>
      <c r="I524" s="170"/>
      <c r="J524" s="170"/>
      <c r="K524" s="170"/>
      <c r="L524" s="170"/>
      <c r="M524" s="730"/>
      <c r="N524" s="730"/>
      <c r="O524" s="730"/>
      <c r="P524" s="731"/>
      <c r="Q524" s="731"/>
      <c r="R524" s="730"/>
      <c r="S524" s="730"/>
      <c r="T524" s="723"/>
      <c r="U524" s="724"/>
      <c r="V524" s="725"/>
      <c r="W524" s="725"/>
      <c r="X524" s="723"/>
      <c r="Y524" s="723"/>
      <c r="Z524" s="723"/>
      <c r="AA524" s="726"/>
      <c r="AB524" s="726"/>
      <c r="AC524" s="170"/>
      <c r="AD524" s="586"/>
      <c r="AE524" s="586"/>
      <c r="AF524" s="170"/>
      <c r="AG524" s="170"/>
      <c r="AH524" s="170"/>
      <c r="AI524" s="170"/>
      <c r="AJ524" s="170"/>
      <c r="AK524" s="170"/>
      <c r="AL524" s="170"/>
      <c r="AM524" s="170"/>
      <c r="AN524" s="170"/>
      <c r="AO524" s="170"/>
      <c r="AP524" s="170"/>
      <c r="AQ524" s="170"/>
      <c r="AR524" s="170"/>
      <c r="AS524" s="170"/>
      <c r="AT524" s="170"/>
      <c r="AU524" s="170"/>
      <c r="AV524" s="170"/>
      <c r="AW524" s="170"/>
      <c r="AX524" s="170"/>
    </row>
    <row r="525" spans="1:50" ht="15" x14ac:dyDescent="0.25">
      <c r="A525" s="170"/>
      <c r="B525" s="719"/>
      <c r="C525" s="170"/>
      <c r="D525" s="170"/>
      <c r="E525" s="170"/>
      <c r="F525" s="170"/>
      <c r="G525" s="721"/>
      <c r="H525" s="170"/>
      <c r="I525" s="170"/>
      <c r="J525" s="170"/>
      <c r="K525" s="170"/>
      <c r="L525" s="170"/>
      <c r="M525" s="730"/>
      <c r="N525" s="730"/>
      <c r="O525" s="730"/>
      <c r="P525" s="731"/>
      <c r="Q525" s="731"/>
      <c r="R525" s="730"/>
      <c r="S525" s="730"/>
      <c r="T525" s="723"/>
      <c r="U525" s="724"/>
      <c r="V525" s="725"/>
      <c r="W525" s="725"/>
      <c r="X525" s="723"/>
      <c r="Y525" s="723"/>
      <c r="Z525" s="723"/>
      <c r="AA525" s="726"/>
      <c r="AB525" s="726"/>
      <c r="AC525" s="170"/>
      <c r="AD525" s="586"/>
      <c r="AE525" s="586"/>
      <c r="AF525" s="170"/>
      <c r="AG525" s="170"/>
      <c r="AH525" s="170"/>
      <c r="AI525" s="170"/>
      <c r="AJ525" s="170"/>
      <c r="AK525" s="170"/>
      <c r="AL525" s="170"/>
      <c r="AM525" s="170"/>
      <c r="AN525" s="170"/>
      <c r="AO525" s="170"/>
      <c r="AP525" s="170"/>
      <c r="AQ525" s="170"/>
      <c r="AR525" s="170"/>
      <c r="AS525" s="170"/>
      <c r="AT525" s="170"/>
      <c r="AU525" s="170"/>
      <c r="AV525" s="170"/>
      <c r="AW525" s="170"/>
      <c r="AX525" s="170"/>
    </row>
    <row r="526" spans="1:50" ht="15" x14ac:dyDescent="0.25">
      <c r="A526" s="170"/>
      <c r="B526" s="719"/>
      <c r="C526" s="170"/>
      <c r="D526" s="170"/>
      <c r="E526" s="170"/>
      <c r="F526" s="170"/>
      <c r="G526" s="721"/>
      <c r="H526" s="170"/>
      <c r="I526" s="170"/>
      <c r="J526" s="170"/>
      <c r="K526" s="170"/>
      <c r="L526" s="170"/>
      <c r="M526" s="730"/>
      <c r="N526" s="730"/>
      <c r="O526" s="730"/>
      <c r="P526" s="731"/>
      <c r="Q526" s="731"/>
      <c r="R526" s="730"/>
      <c r="S526" s="730"/>
      <c r="T526" s="723"/>
      <c r="U526" s="724"/>
      <c r="V526" s="725"/>
      <c r="W526" s="725"/>
      <c r="X526" s="723"/>
      <c r="Y526" s="723"/>
      <c r="Z526" s="723"/>
      <c r="AA526" s="726"/>
      <c r="AB526" s="726"/>
      <c r="AC526" s="170"/>
      <c r="AD526" s="586"/>
      <c r="AE526" s="586"/>
      <c r="AF526" s="170"/>
      <c r="AG526" s="170"/>
      <c r="AH526" s="170"/>
      <c r="AI526" s="170"/>
      <c r="AJ526" s="170"/>
      <c r="AK526" s="170"/>
      <c r="AL526" s="170"/>
      <c r="AM526" s="170"/>
      <c r="AN526" s="170"/>
      <c r="AO526" s="170"/>
      <c r="AP526" s="170"/>
      <c r="AQ526" s="170"/>
      <c r="AR526" s="170"/>
      <c r="AS526" s="170"/>
      <c r="AT526" s="170"/>
      <c r="AU526" s="170"/>
      <c r="AV526" s="170"/>
      <c r="AW526" s="170"/>
      <c r="AX526" s="170"/>
    </row>
    <row r="527" spans="1:50" ht="15" x14ac:dyDescent="0.25">
      <c r="A527" s="170"/>
      <c r="B527" s="719"/>
      <c r="C527" s="170"/>
      <c r="D527" s="170"/>
      <c r="E527" s="170"/>
      <c r="F527" s="170"/>
      <c r="G527" s="721"/>
      <c r="H527" s="170"/>
      <c r="I527" s="170"/>
      <c r="J527" s="170"/>
      <c r="K527" s="170"/>
      <c r="L527" s="170"/>
      <c r="M527" s="730"/>
      <c r="N527" s="730"/>
      <c r="O527" s="730"/>
      <c r="P527" s="731"/>
      <c r="Q527" s="731"/>
      <c r="R527" s="730"/>
      <c r="S527" s="730"/>
      <c r="T527" s="723"/>
      <c r="U527" s="724"/>
      <c r="V527" s="725"/>
      <c r="W527" s="725"/>
      <c r="X527" s="723"/>
      <c r="Y527" s="723"/>
      <c r="Z527" s="723"/>
      <c r="AA527" s="726"/>
      <c r="AB527" s="726"/>
      <c r="AC527" s="170"/>
      <c r="AD527" s="586"/>
      <c r="AE527" s="586"/>
      <c r="AF527" s="170"/>
      <c r="AG527" s="170"/>
      <c r="AH527" s="170"/>
      <c r="AI527" s="170"/>
      <c r="AJ527" s="170"/>
      <c r="AK527" s="170"/>
      <c r="AL527" s="170"/>
      <c r="AM527" s="170"/>
      <c r="AN527" s="170"/>
      <c r="AO527" s="170"/>
      <c r="AP527" s="170"/>
      <c r="AQ527" s="170"/>
      <c r="AR527" s="170"/>
      <c r="AS527" s="170"/>
      <c r="AT527" s="170"/>
      <c r="AU527" s="170"/>
      <c r="AV527" s="170"/>
      <c r="AW527" s="170"/>
      <c r="AX527" s="170"/>
    </row>
    <row r="528" spans="1:50" ht="15" x14ac:dyDescent="0.25">
      <c r="A528" s="170"/>
      <c r="B528" s="719"/>
      <c r="C528" s="170"/>
      <c r="D528" s="170"/>
      <c r="E528" s="170"/>
      <c r="F528" s="170"/>
      <c r="G528" s="721"/>
      <c r="H528" s="170"/>
      <c r="I528" s="170"/>
      <c r="J528" s="170"/>
      <c r="K528" s="170"/>
      <c r="L528" s="170"/>
      <c r="M528" s="730"/>
      <c r="N528" s="730"/>
      <c r="O528" s="730"/>
      <c r="P528" s="731"/>
      <c r="Q528" s="731"/>
      <c r="R528" s="730"/>
      <c r="S528" s="730"/>
      <c r="T528" s="723"/>
      <c r="U528" s="724"/>
      <c r="V528" s="725"/>
      <c r="W528" s="725"/>
      <c r="X528" s="723"/>
      <c r="Y528" s="723"/>
      <c r="Z528" s="723"/>
      <c r="AA528" s="726"/>
      <c r="AB528" s="726"/>
      <c r="AC528" s="170"/>
      <c r="AD528" s="586"/>
      <c r="AE528" s="586"/>
      <c r="AF528" s="170"/>
      <c r="AG528" s="170"/>
      <c r="AH528" s="170"/>
      <c r="AI528" s="170"/>
      <c r="AJ528" s="170"/>
      <c r="AK528" s="170"/>
      <c r="AL528" s="170"/>
      <c r="AM528" s="170"/>
      <c r="AN528" s="170"/>
      <c r="AO528" s="170"/>
      <c r="AP528" s="170"/>
      <c r="AQ528" s="170"/>
      <c r="AR528" s="170"/>
      <c r="AS528" s="170"/>
      <c r="AT528" s="170"/>
      <c r="AU528" s="170"/>
      <c r="AV528" s="170"/>
      <c r="AW528" s="170"/>
      <c r="AX528" s="170"/>
    </row>
    <row r="529" spans="1:50" ht="15" x14ac:dyDescent="0.25">
      <c r="A529" s="170"/>
      <c r="B529" s="719"/>
      <c r="C529" s="170"/>
      <c r="D529" s="170"/>
      <c r="E529" s="170"/>
      <c r="F529" s="170"/>
      <c r="G529" s="721"/>
      <c r="H529" s="170"/>
      <c r="I529" s="170"/>
      <c r="J529" s="170"/>
      <c r="K529" s="170"/>
      <c r="L529" s="170"/>
      <c r="M529" s="730"/>
      <c r="N529" s="730"/>
      <c r="O529" s="730"/>
      <c r="P529" s="731"/>
      <c r="Q529" s="731"/>
      <c r="R529" s="730"/>
      <c r="S529" s="730"/>
      <c r="T529" s="723"/>
      <c r="U529" s="724"/>
      <c r="V529" s="725"/>
      <c r="W529" s="725"/>
      <c r="X529" s="723"/>
      <c r="Y529" s="723"/>
      <c r="Z529" s="723"/>
      <c r="AA529" s="726"/>
      <c r="AB529" s="726"/>
      <c r="AC529" s="170"/>
      <c r="AD529" s="586"/>
      <c r="AE529" s="586"/>
      <c r="AF529" s="170"/>
      <c r="AG529" s="170"/>
      <c r="AH529" s="170"/>
      <c r="AI529" s="170"/>
      <c r="AJ529" s="170"/>
      <c r="AK529" s="170"/>
      <c r="AL529" s="170"/>
      <c r="AM529" s="170"/>
      <c r="AN529" s="170"/>
      <c r="AO529" s="170"/>
      <c r="AP529" s="170"/>
      <c r="AQ529" s="170"/>
      <c r="AR529" s="170"/>
      <c r="AS529" s="170"/>
      <c r="AT529" s="170"/>
      <c r="AU529" s="170"/>
      <c r="AV529" s="170"/>
      <c r="AW529" s="170"/>
      <c r="AX529" s="170"/>
    </row>
    <row r="530" spans="1:50" ht="15" x14ac:dyDescent="0.25">
      <c r="A530" s="170"/>
      <c r="B530" s="719"/>
      <c r="C530" s="170"/>
      <c r="D530" s="170"/>
      <c r="E530" s="170"/>
      <c r="F530" s="170"/>
      <c r="G530" s="721"/>
      <c r="H530" s="170"/>
      <c r="I530" s="170"/>
      <c r="J530" s="170"/>
      <c r="K530" s="170"/>
      <c r="L530" s="170"/>
      <c r="M530" s="730"/>
      <c r="N530" s="730"/>
      <c r="O530" s="730"/>
      <c r="P530" s="731"/>
      <c r="Q530" s="731"/>
      <c r="R530" s="730"/>
      <c r="S530" s="730"/>
      <c r="T530" s="723"/>
      <c r="U530" s="724"/>
      <c r="V530" s="725"/>
      <c r="W530" s="725"/>
      <c r="X530" s="723"/>
      <c r="Y530" s="723"/>
      <c r="Z530" s="723"/>
      <c r="AA530" s="726"/>
      <c r="AB530" s="726"/>
      <c r="AC530" s="170"/>
      <c r="AD530" s="586"/>
      <c r="AE530" s="586"/>
      <c r="AF530" s="170"/>
      <c r="AG530" s="170"/>
      <c r="AH530" s="170"/>
      <c r="AI530" s="170"/>
      <c r="AJ530" s="170"/>
      <c r="AK530" s="170"/>
      <c r="AL530" s="170"/>
      <c r="AM530" s="170"/>
      <c r="AN530" s="170"/>
      <c r="AO530" s="170"/>
      <c r="AP530" s="170"/>
      <c r="AQ530" s="170"/>
      <c r="AR530" s="170"/>
      <c r="AS530" s="170"/>
      <c r="AT530" s="170"/>
      <c r="AU530" s="170"/>
      <c r="AV530" s="170"/>
      <c r="AW530" s="170"/>
      <c r="AX530" s="170"/>
    </row>
    <row r="531" spans="1:50" ht="15" x14ac:dyDescent="0.25">
      <c r="A531" s="170"/>
      <c r="B531" s="719"/>
      <c r="C531" s="170"/>
      <c r="D531" s="170"/>
      <c r="E531" s="170"/>
      <c r="F531" s="170"/>
      <c r="G531" s="721"/>
      <c r="H531" s="170"/>
      <c r="I531" s="170"/>
      <c r="J531" s="170"/>
      <c r="K531" s="170"/>
      <c r="L531" s="170"/>
      <c r="M531" s="730"/>
      <c r="N531" s="730"/>
      <c r="O531" s="730"/>
      <c r="P531" s="731"/>
      <c r="Q531" s="731"/>
      <c r="R531" s="730"/>
      <c r="S531" s="730"/>
      <c r="T531" s="723"/>
      <c r="U531" s="724"/>
      <c r="V531" s="725"/>
      <c r="W531" s="725"/>
      <c r="X531" s="723"/>
      <c r="Y531" s="723"/>
      <c r="Z531" s="723"/>
      <c r="AA531" s="726"/>
      <c r="AB531" s="726"/>
      <c r="AC531" s="170"/>
      <c r="AD531" s="586"/>
      <c r="AE531" s="586"/>
      <c r="AF531" s="170"/>
      <c r="AG531" s="170"/>
      <c r="AH531" s="170"/>
      <c r="AI531" s="170"/>
      <c r="AJ531" s="170"/>
      <c r="AK531" s="170"/>
      <c r="AL531" s="170"/>
      <c r="AM531" s="170"/>
      <c r="AN531" s="170"/>
      <c r="AO531" s="170"/>
      <c r="AP531" s="170"/>
      <c r="AQ531" s="170"/>
      <c r="AR531" s="170"/>
      <c r="AS531" s="170"/>
      <c r="AT531" s="170"/>
      <c r="AU531" s="170"/>
      <c r="AV531" s="170"/>
      <c r="AW531" s="170"/>
      <c r="AX531" s="170"/>
    </row>
    <row r="532" spans="1:50" ht="15" x14ac:dyDescent="0.25">
      <c r="A532" s="170"/>
      <c r="B532" s="719"/>
      <c r="C532" s="170"/>
      <c r="D532" s="170"/>
      <c r="E532" s="170"/>
      <c r="F532" s="170"/>
      <c r="G532" s="721"/>
      <c r="H532" s="170"/>
      <c r="I532" s="170"/>
      <c r="J532" s="170"/>
      <c r="K532" s="170"/>
      <c r="L532" s="170"/>
      <c r="M532" s="730"/>
      <c r="N532" s="730"/>
      <c r="O532" s="730"/>
      <c r="P532" s="731"/>
      <c r="Q532" s="731"/>
      <c r="R532" s="730"/>
      <c r="S532" s="730"/>
      <c r="T532" s="723"/>
      <c r="U532" s="724"/>
      <c r="V532" s="725"/>
      <c r="W532" s="725"/>
      <c r="X532" s="723"/>
      <c r="Y532" s="723"/>
      <c r="Z532" s="723"/>
      <c r="AA532" s="726"/>
      <c r="AB532" s="726"/>
      <c r="AC532" s="170"/>
      <c r="AD532" s="586"/>
      <c r="AE532" s="586"/>
      <c r="AF532" s="170"/>
      <c r="AG532" s="170"/>
      <c r="AH532" s="170"/>
      <c r="AI532" s="170"/>
      <c r="AJ532" s="170"/>
      <c r="AK532" s="170"/>
      <c r="AL532" s="170"/>
      <c r="AM532" s="170"/>
      <c r="AN532" s="170"/>
      <c r="AO532" s="170"/>
      <c r="AP532" s="170"/>
      <c r="AQ532" s="170"/>
      <c r="AR532" s="170"/>
      <c r="AS532" s="170"/>
      <c r="AT532" s="170"/>
      <c r="AU532" s="170"/>
      <c r="AV532" s="170"/>
      <c r="AW532" s="170"/>
      <c r="AX532" s="170"/>
    </row>
    <row r="533" spans="1:50" ht="15" x14ac:dyDescent="0.25">
      <c r="A533" s="170"/>
      <c r="B533" s="719"/>
      <c r="C533" s="170"/>
      <c r="D533" s="170"/>
      <c r="E533" s="170"/>
      <c r="F533" s="170"/>
      <c r="G533" s="721"/>
      <c r="H533" s="170"/>
      <c r="I533" s="170"/>
      <c r="J533" s="170"/>
      <c r="K533" s="170"/>
      <c r="L533" s="170"/>
      <c r="M533" s="730"/>
      <c r="N533" s="730"/>
      <c r="O533" s="730"/>
      <c r="P533" s="731"/>
      <c r="Q533" s="731"/>
      <c r="R533" s="730"/>
      <c r="S533" s="730"/>
      <c r="T533" s="723"/>
      <c r="U533" s="724"/>
      <c r="V533" s="725"/>
      <c r="W533" s="725"/>
      <c r="X533" s="723"/>
      <c r="Y533" s="723"/>
      <c r="Z533" s="723"/>
      <c r="AA533" s="726"/>
      <c r="AB533" s="726"/>
      <c r="AC533" s="170"/>
      <c r="AD533" s="586"/>
      <c r="AE533" s="586"/>
      <c r="AF533" s="170"/>
      <c r="AG533" s="170"/>
      <c r="AH533" s="170"/>
      <c r="AI533" s="170"/>
      <c r="AJ533" s="170"/>
      <c r="AK533" s="170"/>
      <c r="AL533" s="170"/>
      <c r="AM533" s="170"/>
      <c r="AN533" s="170"/>
      <c r="AO533" s="170"/>
      <c r="AP533" s="170"/>
      <c r="AQ533" s="170"/>
      <c r="AR533" s="170"/>
      <c r="AS533" s="170"/>
      <c r="AT533" s="170"/>
      <c r="AU533" s="170"/>
      <c r="AV533" s="170"/>
      <c r="AW533" s="170"/>
      <c r="AX533" s="170"/>
    </row>
    <row r="534" spans="1:50" ht="15" x14ac:dyDescent="0.25">
      <c r="A534" s="170"/>
      <c r="B534" s="719"/>
      <c r="C534" s="170"/>
      <c r="D534" s="170"/>
      <c r="E534" s="170"/>
      <c r="F534" s="170"/>
      <c r="G534" s="721"/>
      <c r="H534" s="170"/>
      <c r="I534" s="170"/>
      <c r="J534" s="170"/>
      <c r="K534" s="170"/>
      <c r="L534" s="170"/>
      <c r="M534" s="730"/>
      <c r="N534" s="730"/>
      <c r="O534" s="730"/>
      <c r="P534" s="731"/>
      <c r="Q534" s="731"/>
      <c r="R534" s="730"/>
      <c r="S534" s="730"/>
      <c r="T534" s="723"/>
      <c r="U534" s="724"/>
      <c r="V534" s="725"/>
      <c r="W534" s="725"/>
      <c r="X534" s="723"/>
      <c r="Y534" s="723"/>
      <c r="Z534" s="723"/>
      <c r="AA534" s="726"/>
      <c r="AB534" s="726"/>
      <c r="AC534" s="170"/>
      <c r="AD534" s="586"/>
      <c r="AE534" s="586"/>
      <c r="AF534" s="170"/>
      <c r="AG534" s="170"/>
      <c r="AH534" s="170"/>
      <c r="AI534" s="170"/>
      <c r="AJ534" s="170"/>
      <c r="AK534" s="170"/>
      <c r="AL534" s="170"/>
      <c r="AM534" s="170"/>
      <c r="AN534" s="170"/>
      <c r="AO534" s="170"/>
      <c r="AP534" s="170"/>
      <c r="AQ534" s="170"/>
      <c r="AR534" s="170"/>
      <c r="AS534" s="170"/>
      <c r="AT534" s="170"/>
      <c r="AU534" s="170"/>
      <c r="AV534" s="170"/>
      <c r="AW534" s="170"/>
      <c r="AX534" s="170"/>
    </row>
    <row r="535" spans="1:50" ht="15" x14ac:dyDescent="0.25">
      <c r="A535" s="170"/>
      <c r="B535" s="719"/>
      <c r="C535" s="170"/>
      <c r="D535" s="170"/>
      <c r="E535" s="170"/>
      <c r="F535" s="170"/>
      <c r="G535" s="721"/>
      <c r="H535" s="170"/>
      <c r="I535" s="170"/>
      <c r="J535" s="170"/>
      <c r="K535" s="170"/>
      <c r="L535" s="170"/>
      <c r="M535" s="730"/>
      <c r="N535" s="730"/>
      <c r="O535" s="730"/>
      <c r="P535" s="731"/>
      <c r="Q535" s="731"/>
      <c r="R535" s="730"/>
      <c r="S535" s="730"/>
      <c r="T535" s="723"/>
      <c r="U535" s="724"/>
      <c r="V535" s="725"/>
      <c r="W535" s="725"/>
      <c r="X535" s="723"/>
      <c r="Y535" s="723"/>
      <c r="Z535" s="723"/>
      <c r="AA535" s="726"/>
      <c r="AB535" s="726"/>
      <c r="AC535" s="170"/>
      <c r="AD535" s="586"/>
      <c r="AE535" s="586"/>
      <c r="AF535" s="170"/>
      <c r="AG535" s="170"/>
      <c r="AH535" s="170"/>
      <c r="AI535" s="170"/>
      <c r="AJ535" s="170"/>
      <c r="AK535" s="170"/>
      <c r="AL535" s="170"/>
      <c r="AM535" s="170"/>
      <c r="AN535" s="170"/>
      <c r="AO535" s="170"/>
      <c r="AP535" s="170"/>
      <c r="AQ535" s="170"/>
      <c r="AR535" s="170"/>
      <c r="AS535" s="170"/>
      <c r="AT535" s="170"/>
      <c r="AU535" s="170"/>
      <c r="AV535" s="170"/>
      <c r="AW535" s="170"/>
      <c r="AX535" s="170"/>
    </row>
    <row r="536" spans="1:50" ht="15" x14ac:dyDescent="0.25">
      <c r="A536" s="170"/>
      <c r="B536" s="719"/>
      <c r="C536" s="170"/>
      <c r="D536" s="170"/>
      <c r="E536" s="170"/>
      <c r="F536" s="170"/>
      <c r="G536" s="721"/>
      <c r="H536" s="170"/>
      <c r="I536" s="170"/>
      <c r="J536" s="170"/>
      <c r="K536" s="170"/>
      <c r="L536" s="170"/>
      <c r="M536" s="730"/>
      <c r="N536" s="730"/>
      <c r="O536" s="730"/>
      <c r="P536" s="731"/>
      <c r="Q536" s="731"/>
      <c r="R536" s="730"/>
      <c r="S536" s="730"/>
      <c r="T536" s="723"/>
      <c r="U536" s="724"/>
      <c r="V536" s="725"/>
      <c r="W536" s="725"/>
      <c r="X536" s="723"/>
      <c r="Y536" s="723"/>
      <c r="Z536" s="723"/>
      <c r="AA536" s="726"/>
      <c r="AB536" s="726"/>
      <c r="AC536" s="170"/>
      <c r="AD536" s="586"/>
      <c r="AE536" s="586"/>
      <c r="AF536" s="170"/>
      <c r="AG536" s="170"/>
      <c r="AH536" s="170"/>
      <c r="AI536" s="170"/>
      <c r="AJ536" s="170"/>
      <c r="AK536" s="170"/>
      <c r="AL536" s="170"/>
      <c r="AM536" s="170"/>
      <c r="AN536" s="170"/>
      <c r="AO536" s="170"/>
      <c r="AP536" s="170"/>
      <c r="AQ536" s="170"/>
      <c r="AR536" s="170"/>
      <c r="AS536" s="170"/>
      <c r="AT536" s="170"/>
      <c r="AU536" s="170"/>
      <c r="AV536" s="170"/>
      <c r="AW536" s="170"/>
      <c r="AX536" s="170"/>
    </row>
    <row r="537" spans="1:50" ht="15" x14ac:dyDescent="0.25">
      <c r="A537" s="170"/>
      <c r="B537" s="719"/>
      <c r="C537" s="170"/>
      <c r="D537" s="170"/>
      <c r="E537" s="170"/>
      <c r="F537" s="170"/>
      <c r="G537" s="721"/>
      <c r="H537" s="170"/>
      <c r="I537" s="170"/>
      <c r="J537" s="170"/>
      <c r="K537" s="170"/>
      <c r="L537" s="170"/>
      <c r="M537" s="730"/>
      <c r="N537" s="730"/>
      <c r="O537" s="730"/>
      <c r="P537" s="731"/>
      <c r="Q537" s="731"/>
      <c r="R537" s="730"/>
      <c r="S537" s="730"/>
      <c r="T537" s="723"/>
      <c r="U537" s="724"/>
      <c r="V537" s="725"/>
      <c r="W537" s="725"/>
      <c r="X537" s="723"/>
      <c r="Y537" s="723"/>
      <c r="Z537" s="723"/>
      <c r="AA537" s="726"/>
      <c r="AB537" s="726"/>
      <c r="AC537" s="170"/>
      <c r="AD537" s="586"/>
      <c r="AE537" s="586"/>
      <c r="AF537" s="170"/>
      <c r="AG537" s="170"/>
      <c r="AH537" s="170"/>
      <c r="AI537" s="170"/>
      <c r="AJ537" s="170"/>
      <c r="AK537" s="170"/>
      <c r="AL537" s="170"/>
      <c r="AM537" s="170"/>
      <c r="AN537" s="170"/>
      <c r="AO537" s="170"/>
      <c r="AP537" s="170"/>
      <c r="AQ537" s="170"/>
      <c r="AR537" s="170"/>
      <c r="AS537" s="170"/>
      <c r="AT537" s="170"/>
      <c r="AU537" s="170"/>
      <c r="AV537" s="170"/>
      <c r="AW537" s="170"/>
      <c r="AX537" s="170"/>
    </row>
    <row r="538" spans="1:50" ht="15" x14ac:dyDescent="0.25">
      <c r="A538" s="170"/>
      <c r="B538" s="719"/>
      <c r="C538" s="170"/>
      <c r="D538" s="170"/>
      <c r="E538" s="170"/>
      <c r="F538" s="170"/>
      <c r="G538" s="721"/>
      <c r="H538" s="170"/>
      <c r="I538" s="170"/>
      <c r="J538" s="170"/>
      <c r="K538" s="170"/>
      <c r="L538" s="170"/>
      <c r="M538" s="730"/>
      <c r="N538" s="730"/>
      <c r="O538" s="730"/>
      <c r="P538" s="731"/>
      <c r="Q538" s="731"/>
      <c r="R538" s="730"/>
      <c r="S538" s="730"/>
      <c r="T538" s="723"/>
      <c r="U538" s="724"/>
      <c r="V538" s="725"/>
      <c r="W538" s="725"/>
      <c r="X538" s="723"/>
      <c r="Y538" s="723"/>
      <c r="Z538" s="723"/>
      <c r="AA538" s="726"/>
      <c r="AB538" s="726"/>
      <c r="AC538" s="170"/>
      <c r="AD538" s="586"/>
      <c r="AE538" s="586"/>
      <c r="AF538" s="170"/>
      <c r="AG538" s="170"/>
      <c r="AH538" s="170"/>
      <c r="AI538" s="170"/>
      <c r="AJ538" s="170"/>
      <c r="AK538" s="170"/>
      <c r="AL538" s="170"/>
      <c r="AM538" s="170"/>
      <c r="AN538" s="170"/>
      <c r="AO538" s="170"/>
      <c r="AP538" s="170"/>
      <c r="AQ538" s="170"/>
      <c r="AR538" s="170"/>
      <c r="AS538" s="170"/>
      <c r="AT538" s="170"/>
      <c r="AU538" s="170"/>
      <c r="AV538" s="170"/>
      <c r="AW538" s="170"/>
      <c r="AX538" s="170"/>
    </row>
    <row r="539" spans="1:50" ht="15" x14ac:dyDescent="0.25">
      <c r="A539" s="170"/>
      <c r="B539" s="719"/>
      <c r="C539" s="170"/>
      <c r="D539" s="170"/>
      <c r="E539" s="170"/>
      <c r="F539" s="170"/>
      <c r="G539" s="721"/>
      <c r="H539" s="170"/>
      <c r="I539" s="170"/>
      <c r="J539" s="170"/>
      <c r="K539" s="170"/>
      <c r="L539" s="170"/>
      <c r="M539" s="730"/>
      <c r="N539" s="730"/>
      <c r="O539" s="730"/>
      <c r="P539" s="731"/>
      <c r="Q539" s="731"/>
      <c r="R539" s="730"/>
      <c r="S539" s="730"/>
      <c r="T539" s="723"/>
      <c r="U539" s="724"/>
      <c r="V539" s="725"/>
      <c r="W539" s="725"/>
      <c r="X539" s="723"/>
      <c r="Y539" s="723"/>
      <c r="Z539" s="723"/>
      <c r="AA539" s="726"/>
      <c r="AB539" s="726"/>
      <c r="AC539" s="170"/>
      <c r="AD539" s="586"/>
      <c r="AE539" s="586"/>
      <c r="AF539" s="170"/>
      <c r="AG539" s="170"/>
      <c r="AH539" s="170"/>
      <c r="AI539" s="170"/>
      <c r="AJ539" s="170"/>
      <c r="AK539" s="170"/>
      <c r="AL539" s="170"/>
      <c r="AM539" s="170"/>
      <c r="AN539" s="170"/>
      <c r="AO539" s="170"/>
      <c r="AP539" s="170"/>
      <c r="AQ539" s="170"/>
      <c r="AR539" s="170"/>
      <c r="AS539" s="170"/>
      <c r="AT539" s="170"/>
      <c r="AU539" s="170"/>
      <c r="AV539" s="170"/>
      <c r="AW539" s="170"/>
      <c r="AX539" s="170"/>
    </row>
    <row r="540" spans="1:50" ht="15" x14ac:dyDescent="0.25">
      <c r="A540" s="170"/>
      <c r="B540" s="719"/>
      <c r="C540" s="170"/>
      <c r="D540" s="170"/>
      <c r="E540" s="170"/>
      <c r="F540" s="170"/>
      <c r="G540" s="721"/>
      <c r="H540" s="170"/>
      <c r="I540" s="170"/>
      <c r="J540" s="170"/>
      <c r="K540" s="170"/>
      <c r="L540" s="170"/>
      <c r="M540" s="730"/>
      <c r="N540" s="730"/>
      <c r="O540" s="730"/>
      <c r="P540" s="731"/>
      <c r="Q540" s="731"/>
      <c r="R540" s="730"/>
      <c r="S540" s="730"/>
      <c r="T540" s="723"/>
      <c r="U540" s="724"/>
      <c r="V540" s="725"/>
      <c r="W540" s="725"/>
      <c r="X540" s="723"/>
      <c r="Y540" s="723"/>
      <c r="Z540" s="723"/>
      <c r="AA540" s="726"/>
      <c r="AB540" s="726"/>
      <c r="AC540" s="170"/>
      <c r="AD540" s="586"/>
      <c r="AE540" s="586"/>
      <c r="AF540" s="170"/>
      <c r="AG540" s="170"/>
      <c r="AH540" s="170"/>
      <c r="AI540" s="170"/>
      <c r="AJ540" s="170"/>
      <c r="AK540" s="170"/>
      <c r="AL540" s="170"/>
      <c r="AM540" s="170"/>
      <c r="AN540" s="170"/>
      <c r="AO540" s="170"/>
      <c r="AP540" s="170"/>
      <c r="AQ540" s="170"/>
      <c r="AR540" s="170"/>
      <c r="AS540" s="170"/>
      <c r="AT540" s="170"/>
      <c r="AU540" s="170"/>
      <c r="AV540" s="170"/>
      <c r="AW540" s="170"/>
      <c r="AX540" s="170"/>
    </row>
    <row r="541" spans="1:50" ht="15" x14ac:dyDescent="0.25">
      <c r="A541" s="170"/>
      <c r="B541" s="719"/>
      <c r="C541" s="170"/>
      <c r="D541" s="170"/>
      <c r="E541" s="170"/>
      <c r="F541" s="170"/>
      <c r="G541" s="721"/>
      <c r="H541" s="170"/>
      <c r="I541" s="170"/>
      <c r="J541" s="170"/>
      <c r="K541" s="170"/>
      <c r="L541" s="170"/>
      <c r="M541" s="730"/>
      <c r="N541" s="730"/>
      <c r="O541" s="730"/>
      <c r="P541" s="731"/>
      <c r="Q541" s="731"/>
      <c r="R541" s="730"/>
      <c r="S541" s="730"/>
      <c r="T541" s="723"/>
      <c r="U541" s="724"/>
      <c r="V541" s="725"/>
      <c r="W541" s="725"/>
      <c r="X541" s="723"/>
      <c r="Y541" s="723"/>
      <c r="Z541" s="723"/>
      <c r="AA541" s="726"/>
      <c r="AB541" s="726"/>
      <c r="AC541" s="170"/>
      <c r="AD541" s="586"/>
      <c r="AE541" s="586"/>
      <c r="AF541" s="170"/>
      <c r="AG541" s="170"/>
      <c r="AH541" s="170"/>
      <c r="AI541" s="170"/>
      <c r="AJ541" s="170"/>
      <c r="AK541" s="170"/>
      <c r="AL541" s="170"/>
      <c r="AM541" s="170"/>
      <c r="AN541" s="170"/>
      <c r="AO541" s="170"/>
      <c r="AP541" s="170"/>
      <c r="AQ541" s="170"/>
      <c r="AR541" s="170"/>
      <c r="AS541" s="170"/>
      <c r="AT541" s="170"/>
      <c r="AU541" s="170"/>
      <c r="AV541" s="170"/>
      <c r="AW541" s="170"/>
      <c r="AX541" s="170"/>
    </row>
    <row r="542" spans="1:50" ht="15" x14ac:dyDescent="0.25">
      <c r="A542" s="170"/>
      <c r="B542" s="719"/>
      <c r="C542" s="170"/>
      <c r="D542" s="170"/>
      <c r="E542" s="170"/>
      <c r="F542" s="170"/>
      <c r="G542" s="721"/>
      <c r="H542" s="170"/>
      <c r="I542" s="170"/>
      <c r="J542" s="170"/>
      <c r="K542" s="170"/>
      <c r="L542" s="170"/>
      <c r="M542" s="730"/>
      <c r="N542" s="730"/>
      <c r="O542" s="730"/>
      <c r="P542" s="731"/>
      <c r="Q542" s="731"/>
      <c r="R542" s="730"/>
      <c r="S542" s="730"/>
      <c r="T542" s="723"/>
      <c r="U542" s="724"/>
      <c r="V542" s="725"/>
      <c r="W542" s="725"/>
      <c r="X542" s="723"/>
      <c r="Y542" s="723"/>
      <c r="Z542" s="723"/>
      <c r="AA542" s="726"/>
      <c r="AB542" s="726"/>
      <c r="AC542" s="170"/>
      <c r="AD542" s="586"/>
      <c r="AE542" s="586"/>
      <c r="AF542" s="170"/>
      <c r="AG542" s="170"/>
      <c r="AH542" s="170"/>
      <c r="AI542" s="170"/>
      <c r="AJ542" s="170"/>
      <c r="AK542" s="170"/>
      <c r="AL542" s="170"/>
      <c r="AM542" s="170"/>
      <c r="AN542" s="170"/>
      <c r="AO542" s="170"/>
      <c r="AP542" s="170"/>
      <c r="AQ542" s="170"/>
      <c r="AR542" s="170"/>
      <c r="AS542" s="170"/>
      <c r="AT542" s="170"/>
      <c r="AU542" s="170"/>
      <c r="AV542" s="170"/>
      <c r="AW542" s="170"/>
      <c r="AX542" s="170"/>
    </row>
    <row r="543" spans="1:50" ht="15" x14ac:dyDescent="0.25">
      <c r="A543" s="170"/>
      <c r="B543" s="719"/>
      <c r="C543" s="170"/>
      <c r="D543" s="170"/>
      <c r="E543" s="170"/>
      <c r="F543" s="170"/>
      <c r="G543" s="721"/>
      <c r="H543" s="170"/>
      <c r="I543" s="170"/>
      <c r="J543" s="170"/>
      <c r="K543" s="170"/>
      <c r="L543" s="170"/>
      <c r="M543" s="730"/>
      <c r="N543" s="730"/>
      <c r="O543" s="730"/>
      <c r="P543" s="731"/>
      <c r="Q543" s="731"/>
      <c r="R543" s="730"/>
      <c r="S543" s="730"/>
      <c r="T543" s="723"/>
      <c r="U543" s="724"/>
      <c r="V543" s="725"/>
      <c r="W543" s="725"/>
      <c r="X543" s="723"/>
      <c r="Y543" s="723"/>
      <c r="Z543" s="723"/>
      <c r="AA543" s="726"/>
      <c r="AB543" s="726"/>
      <c r="AC543" s="170"/>
      <c r="AD543" s="586"/>
      <c r="AE543" s="586"/>
      <c r="AF543" s="170"/>
      <c r="AG543" s="170"/>
      <c r="AH543" s="170"/>
      <c r="AI543" s="170"/>
      <c r="AJ543" s="170"/>
      <c r="AK543" s="170"/>
      <c r="AL543" s="170"/>
      <c r="AM543" s="170"/>
      <c r="AN543" s="170"/>
      <c r="AO543" s="170"/>
      <c r="AP543" s="170"/>
      <c r="AQ543" s="170"/>
      <c r="AR543" s="170"/>
      <c r="AS543" s="170"/>
      <c r="AT543" s="170"/>
      <c r="AU543" s="170"/>
      <c r="AV543" s="170"/>
      <c r="AW543" s="170"/>
      <c r="AX543" s="170"/>
    </row>
    <row r="544" spans="1:50" ht="15" x14ac:dyDescent="0.25">
      <c r="A544" s="170"/>
      <c r="B544" s="719"/>
      <c r="C544" s="170"/>
      <c r="D544" s="170"/>
      <c r="E544" s="170"/>
      <c r="F544" s="170"/>
      <c r="G544" s="721"/>
      <c r="H544" s="170"/>
      <c r="I544" s="170"/>
      <c r="J544" s="170"/>
      <c r="K544" s="170"/>
      <c r="L544" s="170"/>
      <c r="M544" s="730"/>
      <c r="N544" s="730"/>
      <c r="O544" s="730"/>
      <c r="P544" s="731"/>
      <c r="Q544" s="731"/>
      <c r="R544" s="730"/>
      <c r="S544" s="730"/>
      <c r="T544" s="723"/>
      <c r="U544" s="724"/>
      <c r="V544" s="725"/>
      <c r="W544" s="725"/>
      <c r="X544" s="723"/>
      <c r="Y544" s="723"/>
      <c r="Z544" s="723"/>
      <c r="AA544" s="726"/>
      <c r="AB544" s="726"/>
      <c r="AC544" s="170"/>
      <c r="AD544" s="586"/>
      <c r="AE544" s="586"/>
      <c r="AF544" s="170"/>
      <c r="AG544" s="170"/>
      <c r="AH544" s="170"/>
      <c r="AI544" s="170"/>
      <c r="AJ544" s="170"/>
      <c r="AK544" s="170"/>
      <c r="AL544" s="170"/>
      <c r="AM544" s="170"/>
      <c r="AN544" s="170"/>
      <c r="AO544" s="170"/>
      <c r="AP544" s="170"/>
      <c r="AQ544" s="170"/>
      <c r="AR544" s="170"/>
      <c r="AS544" s="170"/>
      <c r="AT544" s="170"/>
      <c r="AU544" s="170"/>
      <c r="AV544" s="170"/>
      <c r="AW544" s="170"/>
      <c r="AX544" s="170"/>
    </row>
    <row r="545" spans="1:50" ht="15" x14ac:dyDescent="0.25">
      <c r="A545" s="170"/>
      <c r="B545" s="719"/>
      <c r="C545" s="170"/>
      <c r="D545" s="170"/>
      <c r="E545" s="170"/>
      <c r="F545" s="170"/>
      <c r="G545" s="721"/>
      <c r="H545" s="170"/>
      <c r="I545" s="170"/>
      <c r="J545" s="170"/>
      <c r="K545" s="170"/>
      <c r="L545" s="170"/>
      <c r="M545" s="730"/>
      <c r="N545" s="730"/>
      <c r="O545" s="730"/>
      <c r="P545" s="731"/>
      <c r="Q545" s="731"/>
      <c r="R545" s="730"/>
      <c r="S545" s="730"/>
      <c r="T545" s="723"/>
      <c r="U545" s="724"/>
      <c r="V545" s="725"/>
      <c r="W545" s="725"/>
      <c r="X545" s="723"/>
      <c r="Y545" s="723"/>
      <c r="Z545" s="723"/>
      <c r="AA545" s="726"/>
      <c r="AB545" s="726"/>
      <c r="AC545" s="170"/>
      <c r="AD545" s="586"/>
      <c r="AE545" s="586"/>
      <c r="AF545" s="170"/>
      <c r="AG545" s="170"/>
      <c r="AH545" s="170"/>
      <c r="AI545" s="170"/>
      <c r="AJ545" s="170"/>
      <c r="AK545" s="170"/>
      <c r="AL545" s="170"/>
      <c r="AM545" s="170"/>
      <c r="AN545" s="170"/>
      <c r="AO545" s="170"/>
      <c r="AP545" s="170"/>
      <c r="AQ545" s="170"/>
      <c r="AR545" s="170"/>
      <c r="AS545" s="170"/>
      <c r="AT545" s="170"/>
      <c r="AU545" s="170"/>
      <c r="AV545" s="170"/>
      <c r="AW545" s="170"/>
      <c r="AX545" s="170"/>
    </row>
    <row r="546" spans="1:50" ht="15" x14ac:dyDescent="0.25">
      <c r="A546" s="170"/>
      <c r="B546" s="719"/>
      <c r="C546" s="170"/>
      <c r="D546" s="170"/>
      <c r="E546" s="170"/>
      <c r="F546" s="170"/>
      <c r="G546" s="721"/>
      <c r="H546" s="170"/>
      <c r="I546" s="170"/>
      <c r="J546" s="170"/>
      <c r="K546" s="170"/>
      <c r="L546" s="170"/>
      <c r="M546" s="730"/>
      <c r="N546" s="730"/>
      <c r="O546" s="730"/>
      <c r="P546" s="731"/>
      <c r="Q546" s="731"/>
      <c r="R546" s="730"/>
      <c r="S546" s="730"/>
      <c r="T546" s="723"/>
      <c r="U546" s="724"/>
      <c r="V546" s="725"/>
      <c r="W546" s="725"/>
      <c r="X546" s="723"/>
      <c r="Y546" s="723"/>
      <c r="Z546" s="723"/>
      <c r="AA546" s="726"/>
      <c r="AB546" s="726"/>
      <c r="AC546" s="170"/>
      <c r="AD546" s="586"/>
      <c r="AE546" s="586"/>
      <c r="AF546" s="170"/>
      <c r="AG546" s="170"/>
      <c r="AH546" s="170"/>
      <c r="AI546" s="170"/>
      <c r="AJ546" s="170"/>
      <c r="AK546" s="170"/>
      <c r="AL546" s="170"/>
      <c r="AM546" s="170"/>
      <c r="AN546" s="170"/>
      <c r="AO546" s="170"/>
      <c r="AP546" s="170"/>
      <c r="AQ546" s="170"/>
      <c r="AR546" s="170"/>
      <c r="AS546" s="170"/>
      <c r="AT546" s="170"/>
      <c r="AU546" s="170"/>
      <c r="AV546" s="170"/>
      <c r="AW546" s="170"/>
      <c r="AX546" s="170"/>
    </row>
    <row r="547" spans="1:50" ht="15" x14ac:dyDescent="0.25">
      <c r="A547" s="170"/>
      <c r="B547" s="719"/>
      <c r="C547" s="170"/>
      <c r="D547" s="170"/>
      <c r="E547" s="170"/>
      <c r="F547" s="170"/>
      <c r="G547" s="721"/>
      <c r="H547" s="170"/>
      <c r="I547" s="170"/>
      <c r="J547" s="170"/>
      <c r="K547" s="170"/>
      <c r="L547" s="170"/>
      <c r="M547" s="730"/>
      <c r="N547" s="730"/>
      <c r="O547" s="730"/>
      <c r="P547" s="731"/>
      <c r="Q547" s="731"/>
      <c r="R547" s="730"/>
      <c r="S547" s="730"/>
      <c r="T547" s="723"/>
      <c r="U547" s="724"/>
      <c r="V547" s="725"/>
      <c r="W547" s="725"/>
      <c r="X547" s="723"/>
      <c r="Y547" s="723"/>
      <c r="Z547" s="723"/>
      <c r="AA547" s="726"/>
      <c r="AB547" s="726"/>
      <c r="AC547" s="170"/>
      <c r="AD547" s="586"/>
      <c r="AE547" s="586"/>
      <c r="AF547" s="170"/>
      <c r="AG547" s="170"/>
      <c r="AH547" s="170"/>
      <c r="AI547" s="170"/>
      <c r="AJ547" s="170"/>
      <c r="AK547" s="170"/>
      <c r="AL547" s="170"/>
      <c r="AM547" s="170"/>
      <c r="AN547" s="170"/>
      <c r="AO547" s="170"/>
      <c r="AP547" s="170"/>
      <c r="AQ547" s="170"/>
      <c r="AR547" s="170"/>
      <c r="AS547" s="170"/>
      <c r="AT547" s="170"/>
      <c r="AU547" s="170"/>
      <c r="AV547" s="170"/>
      <c r="AW547" s="170"/>
      <c r="AX547" s="170"/>
    </row>
    <row r="548" spans="1:50" ht="15" x14ac:dyDescent="0.25">
      <c r="A548" s="170"/>
      <c r="B548" s="719"/>
      <c r="C548" s="170"/>
      <c r="D548" s="170"/>
      <c r="E548" s="170"/>
      <c r="F548" s="170"/>
      <c r="G548" s="721"/>
      <c r="H548" s="170"/>
      <c r="I548" s="170"/>
      <c r="J548" s="170"/>
      <c r="K548" s="170"/>
      <c r="L548" s="170"/>
      <c r="M548" s="730"/>
      <c r="N548" s="730"/>
      <c r="O548" s="730"/>
      <c r="P548" s="731"/>
      <c r="Q548" s="731"/>
      <c r="R548" s="730"/>
      <c r="S548" s="730"/>
      <c r="T548" s="723"/>
      <c r="U548" s="724"/>
      <c r="V548" s="725"/>
      <c r="W548" s="725"/>
      <c r="X548" s="723"/>
      <c r="Y548" s="723"/>
      <c r="Z548" s="723"/>
      <c r="AA548" s="726"/>
      <c r="AB548" s="726"/>
      <c r="AC548" s="170"/>
      <c r="AD548" s="586"/>
      <c r="AE548" s="586"/>
      <c r="AF548" s="170"/>
      <c r="AG548" s="170"/>
      <c r="AH548" s="170"/>
      <c r="AI548" s="170"/>
      <c r="AJ548" s="170"/>
      <c r="AK548" s="170"/>
      <c r="AL548" s="170"/>
      <c r="AM548" s="170"/>
      <c r="AN548" s="170"/>
      <c r="AO548" s="170"/>
      <c r="AP548" s="170"/>
      <c r="AQ548" s="170"/>
      <c r="AR548" s="170"/>
      <c r="AS548" s="170"/>
      <c r="AT548" s="170"/>
      <c r="AU548" s="170"/>
      <c r="AV548" s="170"/>
      <c r="AW548" s="170"/>
      <c r="AX548" s="170"/>
    </row>
    <row r="549" spans="1:50" ht="15" x14ac:dyDescent="0.25">
      <c r="A549" s="170"/>
      <c r="B549" s="719"/>
      <c r="C549" s="170"/>
      <c r="D549" s="170"/>
      <c r="E549" s="170"/>
      <c r="F549" s="170"/>
      <c r="G549" s="721"/>
      <c r="H549" s="170"/>
      <c r="I549" s="170"/>
      <c r="J549" s="170"/>
      <c r="K549" s="170"/>
      <c r="L549" s="170"/>
      <c r="M549" s="730"/>
      <c r="N549" s="730"/>
      <c r="O549" s="730"/>
      <c r="P549" s="731"/>
      <c r="Q549" s="731"/>
      <c r="R549" s="730"/>
      <c r="S549" s="730"/>
      <c r="T549" s="723"/>
      <c r="U549" s="724"/>
      <c r="V549" s="725"/>
      <c r="W549" s="725"/>
      <c r="X549" s="723"/>
      <c r="Y549" s="723"/>
      <c r="Z549" s="723"/>
      <c r="AA549" s="726"/>
      <c r="AB549" s="726"/>
      <c r="AC549" s="170"/>
      <c r="AD549" s="586"/>
      <c r="AE549" s="586"/>
      <c r="AF549" s="170"/>
      <c r="AG549" s="170"/>
      <c r="AH549" s="170"/>
      <c r="AI549" s="170"/>
      <c r="AJ549" s="170"/>
      <c r="AK549" s="170"/>
      <c r="AL549" s="170"/>
      <c r="AM549" s="170"/>
      <c r="AN549" s="170"/>
      <c r="AO549" s="170"/>
      <c r="AP549" s="170"/>
      <c r="AQ549" s="170"/>
      <c r="AR549" s="170"/>
      <c r="AS549" s="170"/>
      <c r="AT549" s="170"/>
      <c r="AU549" s="170"/>
      <c r="AV549" s="170"/>
      <c r="AW549" s="170"/>
      <c r="AX549" s="170"/>
    </row>
    <row r="550" spans="1:50" ht="15" x14ac:dyDescent="0.25">
      <c r="A550" s="170"/>
      <c r="B550" s="719"/>
      <c r="C550" s="170"/>
      <c r="D550" s="170"/>
      <c r="E550" s="170"/>
      <c r="F550" s="170"/>
      <c r="G550" s="721"/>
      <c r="H550" s="170"/>
      <c r="I550" s="170"/>
      <c r="J550" s="170"/>
      <c r="K550" s="170"/>
      <c r="L550" s="170"/>
      <c r="M550" s="730"/>
      <c r="N550" s="730"/>
      <c r="O550" s="730"/>
      <c r="P550" s="731"/>
      <c r="Q550" s="731"/>
      <c r="R550" s="730"/>
      <c r="S550" s="730"/>
      <c r="T550" s="723"/>
      <c r="U550" s="724"/>
      <c r="V550" s="725"/>
      <c r="W550" s="725"/>
      <c r="X550" s="723"/>
      <c r="Y550" s="723"/>
      <c r="Z550" s="723"/>
      <c r="AA550" s="726"/>
      <c r="AB550" s="726"/>
      <c r="AC550" s="170"/>
      <c r="AD550" s="586"/>
      <c r="AE550" s="586"/>
      <c r="AF550" s="170"/>
      <c r="AG550" s="170"/>
      <c r="AH550" s="170"/>
      <c r="AI550" s="170"/>
      <c r="AJ550" s="170"/>
      <c r="AK550" s="170"/>
      <c r="AL550" s="170"/>
      <c r="AM550" s="170"/>
      <c r="AN550" s="170"/>
      <c r="AO550" s="170"/>
      <c r="AP550" s="170"/>
      <c r="AQ550" s="170"/>
      <c r="AR550" s="170"/>
      <c r="AS550" s="170"/>
      <c r="AT550" s="170"/>
      <c r="AU550" s="170"/>
      <c r="AV550" s="170"/>
      <c r="AW550" s="170"/>
      <c r="AX550" s="170"/>
    </row>
    <row r="551" spans="1:50" ht="15" x14ac:dyDescent="0.25">
      <c r="A551" s="170"/>
      <c r="B551" s="719"/>
      <c r="C551" s="170"/>
      <c r="D551" s="170"/>
      <c r="E551" s="170"/>
      <c r="F551" s="170"/>
      <c r="G551" s="721"/>
      <c r="H551" s="170"/>
      <c r="I551" s="170"/>
      <c r="J551" s="170"/>
      <c r="K551" s="170"/>
      <c r="L551" s="170"/>
      <c r="M551" s="730"/>
      <c r="N551" s="730"/>
      <c r="O551" s="730"/>
      <c r="P551" s="731"/>
      <c r="Q551" s="731"/>
      <c r="R551" s="730"/>
      <c r="S551" s="730"/>
      <c r="T551" s="723"/>
      <c r="U551" s="724"/>
      <c r="V551" s="725"/>
      <c r="W551" s="725"/>
      <c r="X551" s="723"/>
      <c r="Y551" s="723"/>
      <c r="Z551" s="723"/>
      <c r="AA551" s="726"/>
      <c r="AB551" s="726"/>
      <c r="AC551" s="170"/>
      <c r="AD551" s="586"/>
      <c r="AE551" s="586"/>
      <c r="AF551" s="170"/>
      <c r="AG551" s="170"/>
      <c r="AH551" s="170"/>
      <c r="AI551" s="170"/>
      <c r="AJ551" s="170"/>
      <c r="AK551" s="170"/>
      <c r="AL551" s="170"/>
      <c r="AM551" s="170"/>
      <c r="AN551" s="170"/>
      <c r="AO551" s="170"/>
      <c r="AP551" s="170"/>
      <c r="AQ551" s="170"/>
      <c r="AR551" s="170"/>
      <c r="AS551" s="170"/>
      <c r="AT551" s="170"/>
      <c r="AU551" s="170"/>
      <c r="AV551" s="170"/>
      <c r="AW551" s="170"/>
      <c r="AX551" s="170"/>
    </row>
    <row r="552" spans="1:50" ht="15" x14ac:dyDescent="0.25">
      <c r="A552" s="170"/>
      <c r="B552" s="719"/>
      <c r="C552" s="170"/>
      <c r="D552" s="170"/>
      <c r="E552" s="170"/>
      <c r="F552" s="170"/>
      <c r="G552" s="721"/>
      <c r="H552" s="170"/>
      <c r="I552" s="170"/>
      <c r="J552" s="170"/>
      <c r="K552" s="170"/>
      <c r="L552" s="170"/>
      <c r="M552" s="730"/>
      <c r="N552" s="730"/>
      <c r="O552" s="730"/>
      <c r="P552" s="731"/>
      <c r="Q552" s="731"/>
      <c r="R552" s="730"/>
      <c r="S552" s="730"/>
      <c r="T552" s="723"/>
      <c r="U552" s="724"/>
      <c r="V552" s="725"/>
      <c r="W552" s="725"/>
      <c r="X552" s="723"/>
      <c r="Y552" s="723"/>
      <c r="Z552" s="723"/>
      <c r="AA552" s="726"/>
      <c r="AB552" s="726"/>
      <c r="AC552" s="170"/>
      <c r="AD552" s="586"/>
      <c r="AE552" s="586"/>
      <c r="AF552" s="170"/>
      <c r="AG552" s="170"/>
      <c r="AH552" s="170"/>
      <c r="AI552" s="170"/>
      <c r="AJ552" s="170"/>
      <c r="AK552" s="170"/>
      <c r="AL552" s="170"/>
      <c r="AM552" s="170"/>
      <c r="AN552" s="170"/>
      <c r="AO552" s="170"/>
      <c r="AP552" s="170"/>
      <c r="AQ552" s="170"/>
      <c r="AR552" s="170"/>
      <c r="AS552" s="170"/>
      <c r="AT552" s="170"/>
      <c r="AU552" s="170"/>
      <c r="AV552" s="170"/>
      <c r="AW552" s="170"/>
      <c r="AX552" s="170"/>
    </row>
    <row r="553" spans="1:50" ht="15" x14ac:dyDescent="0.25">
      <c r="A553" s="170"/>
      <c r="B553" s="719"/>
      <c r="C553" s="170"/>
      <c r="D553" s="170"/>
      <c r="E553" s="170"/>
      <c r="F553" s="170"/>
      <c r="G553" s="721"/>
      <c r="H553" s="170"/>
      <c r="I553" s="170"/>
      <c r="J553" s="170"/>
      <c r="K553" s="170"/>
      <c r="L553" s="170"/>
      <c r="M553" s="730"/>
      <c r="N553" s="730"/>
      <c r="O553" s="730"/>
      <c r="P553" s="731"/>
      <c r="Q553" s="731"/>
      <c r="R553" s="730"/>
      <c r="S553" s="730"/>
      <c r="T553" s="723"/>
      <c r="U553" s="724"/>
      <c r="V553" s="725"/>
      <c r="W553" s="725"/>
      <c r="X553" s="723"/>
      <c r="Y553" s="723"/>
      <c r="Z553" s="723"/>
      <c r="AA553" s="726"/>
      <c r="AB553" s="726"/>
      <c r="AC553" s="170"/>
      <c r="AD553" s="586"/>
      <c r="AE553" s="586"/>
      <c r="AF553" s="170"/>
      <c r="AG553" s="170"/>
      <c r="AH553" s="170"/>
      <c r="AI553" s="170"/>
      <c r="AJ553" s="170"/>
      <c r="AK553" s="170"/>
      <c r="AL553" s="170"/>
      <c r="AM553" s="170"/>
      <c r="AN553" s="170"/>
      <c r="AO553" s="170"/>
      <c r="AP553" s="170"/>
      <c r="AQ553" s="170"/>
      <c r="AR553" s="170"/>
      <c r="AS553" s="170"/>
      <c r="AT553" s="170"/>
      <c r="AU553" s="170"/>
      <c r="AV553" s="170"/>
      <c r="AW553" s="170"/>
      <c r="AX553" s="170"/>
    </row>
    <row r="554" spans="1:50" ht="15" x14ac:dyDescent="0.25">
      <c r="A554" s="170"/>
      <c r="B554" s="719"/>
      <c r="C554" s="170"/>
      <c r="D554" s="170"/>
      <c r="E554" s="170"/>
      <c r="F554" s="170"/>
      <c r="G554" s="721"/>
      <c r="H554" s="170"/>
      <c r="I554" s="170"/>
      <c r="J554" s="170"/>
      <c r="K554" s="170"/>
      <c r="L554" s="170"/>
      <c r="M554" s="730"/>
      <c r="N554" s="730"/>
      <c r="O554" s="730"/>
      <c r="P554" s="731"/>
      <c r="Q554" s="731"/>
      <c r="R554" s="730"/>
      <c r="S554" s="730"/>
      <c r="T554" s="723"/>
      <c r="U554" s="724"/>
      <c r="V554" s="725"/>
      <c r="W554" s="725"/>
      <c r="X554" s="723"/>
      <c r="Y554" s="723"/>
      <c r="Z554" s="723"/>
      <c r="AA554" s="726"/>
      <c r="AB554" s="726"/>
      <c r="AC554" s="170"/>
      <c r="AD554" s="586"/>
      <c r="AE554" s="586"/>
      <c r="AF554" s="170"/>
      <c r="AG554" s="170"/>
      <c r="AH554" s="170"/>
      <c r="AI554" s="170"/>
      <c r="AJ554" s="170"/>
      <c r="AK554" s="170"/>
      <c r="AL554" s="170"/>
      <c r="AM554" s="170"/>
      <c r="AN554" s="170"/>
      <c r="AO554" s="170"/>
      <c r="AP554" s="170"/>
      <c r="AQ554" s="170"/>
      <c r="AR554" s="170"/>
      <c r="AS554" s="170"/>
      <c r="AT554" s="170"/>
      <c r="AU554" s="170"/>
      <c r="AV554" s="170"/>
      <c r="AW554" s="170"/>
      <c r="AX554" s="170"/>
    </row>
    <row r="555" spans="1:50" ht="15" x14ac:dyDescent="0.25">
      <c r="A555" s="170"/>
      <c r="B555" s="719"/>
      <c r="C555" s="170"/>
      <c r="D555" s="170"/>
      <c r="E555" s="170"/>
      <c r="F555" s="170"/>
      <c r="G555" s="721"/>
      <c r="H555" s="170"/>
      <c r="I555" s="170"/>
      <c r="J555" s="170"/>
      <c r="K555" s="170"/>
      <c r="L555" s="170"/>
      <c r="M555" s="730"/>
      <c r="N555" s="730"/>
      <c r="O555" s="730"/>
      <c r="P555" s="731"/>
      <c r="Q555" s="731"/>
      <c r="R555" s="730"/>
      <c r="S555" s="730"/>
      <c r="T555" s="723"/>
      <c r="U555" s="724"/>
      <c r="V555" s="725"/>
      <c r="W555" s="725"/>
      <c r="X555" s="723"/>
      <c r="Y555" s="723"/>
      <c r="Z555" s="723"/>
      <c r="AA555" s="726"/>
      <c r="AB555" s="726"/>
      <c r="AC555" s="170"/>
      <c r="AD555" s="586"/>
      <c r="AE555" s="586"/>
      <c r="AF555" s="170"/>
      <c r="AG555" s="170"/>
      <c r="AH555" s="170"/>
      <c r="AI555" s="170"/>
      <c r="AJ555" s="170"/>
      <c r="AK555" s="170"/>
      <c r="AL555" s="170"/>
      <c r="AM555" s="170"/>
      <c r="AN555" s="170"/>
      <c r="AO555" s="170"/>
      <c r="AP555" s="170"/>
      <c r="AQ555" s="170"/>
      <c r="AR555" s="170"/>
      <c r="AS555" s="170"/>
      <c r="AT555" s="170"/>
      <c r="AU555" s="170"/>
      <c r="AV555" s="170"/>
      <c r="AW555" s="170"/>
      <c r="AX555" s="170"/>
    </row>
    <row r="556" spans="1:50" ht="15" x14ac:dyDescent="0.25">
      <c r="A556" s="170"/>
      <c r="B556" s="719"/>
      <c r="C556" s="170"/>
      <c r="D556" s="170"/>
      <c r="E556" s="170"/>
      <c r="F556" s="170"/>
      <c r="G556" s="721"/>
      <c r="H556" s="170"/>
      <c r="I556" s="170"/>
      <c r="J556" s="170"/>
      <c r="K556" s="170"/>
      <c r="L556" s="170"/>
      <c r="M556" s="730"/>
      <c r="N556" s="730"/>
      <c r="O556" s="730"/>
      <c r="P556" s="731"/>
      <c r="Q556" s="731"/>
      <c r="R556" s="730"/>
      <c r="S556" s="730"/>
      <c r="T556" s="723"/>
      <c r="U556" s="724"/>
      <c r="V556" s="725"/>
      <c r="W556" s="725"/>
      <c r="X556" s="723"/>
      <c r="Y556" s="723"/>
      <c r="Z556" s="723"/>
      <c r="AA556" s="726"/>
      <c r="AB556" s="726"/>
      <c r="AC556" s="170"/>
      <c r="AD556" s="586"/>
      <c r="AE556" s="586"/>
      <c r="AF556" s="170"/>
      <c r="AG556" s="170"/>
      <c r="AH556" s="170"/>
      <c r="AI556" s="170"/>
      <c r="AJ556" s="170"/>
      <c r="AK556" s="170"/>
      <c r="AL556" s="170"/>
      <c r="AM556" s="170"/>
      <c r="AN556" s="170"/>
      <c r="AO556" s="170"/>
      <c r="AP556" s="170"/>
      <c r="AQ556" s="170"/>
      <c r="AR556" s="170"/>
      <c r="AS556" s="170"/>
      <c r="AT556" s="170"/>
      <c r="AU556" s="170"/>
      <c r="AV556" s="170"/>
      <c r="AW556" s="170"/>
      <c r="AX556" s="170"/>
    </row>
    <row r="557" spans="1:50" ht="15" x14ac:dyDescent="0.25">
      <c r="A557" s="170"/>
      <c r="B557" s="719"/>
      <c r="C557" s="170"/>
      <c r="D557" s="170"/>
      <c r="E557" s="170"/>
      <c r="F557" s="170"/>
      <c r="G557" s="721"/>
      <c r="H557" s="170"/>
      <c r="I557" s="170"/>
      <c r="J557" s="170"/>
      <c r="K557" s="170"/>
      <c r="L557" s="170"/>
      <c r="M557" s="730"/>
      <c r="N557" s="730"/>
      <c r="O557" s="730"/>
      <c r="P557" s="731"/>
      <c r="Q557" s="731"/>
      <c r="R557" s="730"/>
      <c r="S557" s="730"/>
      <c r="T557" s="723"/>
      <c r="U557" s="724"/>
      <c r="V557" s="725"/>
      <c r="W557" s="725"/>
      <c r="X557" s="723"/>
      <c r="Y557" s="723"/>
      <c r="Z557" s="723"/>
      <c r="AA557" s="726"/>
      <c r="AB557" s="726"/>
      <c r="AC557" s="170"/>
      <c r="AD557" s="586"/>
      <c r="AE557" s="586"/>
      <c r="AF557" s="170"/>
      <c r="AG557" s="170"/>
      <c r="AH557" s="170"/>
      <c r="AI557" s="170"/>
      <c r="AJ557" s="170"/>
      <c r="AK557" s="170"/>
      <c r="AL557" s="170"/>
      <c r="AM557" s="170"/>
      <c r="AN557" s="170"/>
      <c r="AO557" s="170"/>
      <c r="AP557" s="170"/>
      <c r="AQ557" s="170"/>
      <c r="AR557" s="170"/>
      <c r="AS557" s="170"/>
      <c r="AT557" s="170"/>
      <c r="AU557" s="170"/>
      <c r="AV557" s="170"/>
      <c r="AW557" s="170"/>
      <c r="AX557" s="170"/>
    </row>
    <row r="558" spans="1:50" ht="15" x14ac:dyDescent="0.25">
      <c r="A558" s="170"/>
      <c r="B558" s="719"/>
      <c r="C558" s="170"/>
      <c r="D558" s="170"/>
      <c r="E558" s="170"/>
      <c r="F558" s="170"/>
      <c r="G558" s="721"/>
      <c r="H558" s="170"/>
      <c r="I558" s="170"/>
      <c r="J558" s="170"/>
      <c r="K558" s="170"/>
      <c r="L558" s="170"/>
      <c r="M558" s="730"/>
      <c r="N558" s="730"/>
      <c r="O558" s="730"/>
      <c r="P558" s="731"/>
      <c r="Q558" s="731"/>
      <c r="R558" s="730"/>
      <c r="S558" s="730"/>
      <c r="T558" s="723"/>
      <c r="U558" s="724"/>
      <c r="V558" s="725"/>
      <c r="W558" s="725"/>
      <c r="X558" s="723"/>
      <c r="Y558" s="723"/>
      <c r="Z558" s="723"/>
      <c r="AA558" s="726"/>
      <c r="AB558" s="726"/>
      <c r="AC558" s="170"/>
      <c r="AD558" s="586"/>
      <c r="AE558" s="586"/>
      <c r="AF558" s="170"/>
      <c r="AG558" s="170"/>
      <c r="AH558" s="170"/>
      <c r="AI558" s="170"/>
      <c r="AJ558" s="170"/>
      <c r="AK558" s="170"/>
      <c r="AL558" s="170"/>
      <c r="AM558" s="170"/>
      <c r="AN558" s="170"/>
      <c r="AO558" s="170"/>
      <c r="AP558" s="170"/>
      <c r="AQ558" s="170"/>
      <c r="AR558" s="170"/>
      <c r="AS558" s="170"/>
      <c r="AT558" s="170"/>
      <c r="AU558" s="170"/>
      <c r="AV558" s="170"/>
      <c r="AW558" s="170"/>
      <c r="AX558" s="170"/>
    </row>
    <row r="559" spans="1:50" ht="15" x14ac:dyDescent="0.25">
      <c r="A559" s="170"/>
      <c r="B559" s="719"/>
      <c r="C559" s="170"/>
      <c r="D559" s="170"/>
      <c r="E559" s="170"/>
      <c r="F559" s="170"/>
      <c r="G559" s="721"/>
      <c r="H559" s="170"/>
      <c r="I559" s="170"/>
      <c r="J559" s="170"/>
      <c r="K559" s="170"/>
      <c r="L559" s="170"/>
      <c r="M559" s="730"/>
      <c r="N559" s="730"/>
      <c r="O559" s="730"/>
      <c r="P559" s="731"/>
      <c r="Q559" s="731"/>
      <c r="R559" s="730"/>
      <c r="S559" s="730"/>
      <c r="T559" s="723"/>
      <c r="U559" s="724"/>
      <c r="V559" s="725"/>
      <c r="W559" s="725"/>
      <c r="X559" s="723"/>
      <c r="Y559" s="723"/>
      <c r="Z559" s="723"/>
      <c r="AA559" s="726"/>
      <c r="AB559" s="726"/>
      <c r="AC559" s="170"/>
      <c r="AD559" s="586"/>
      <c r="AE559" s="586"/>
      <c r="AF559" s="170"/>
      <c r="AG559" s="170"/>
      <c r="AH559" s="170"/>
      <c r="AI559" s="170"/>
      <c r="AJ559" s="170"/>
      <c r="AK559" s="170"/>
      <c r="AL559" s="170"/>
      <c r="AM559" s="170"/>
      <c r="AN559" s="170"/>
      <c r="AO559" s="170"/>
      <c r="AP559" s="170"/>
      <c r="AQ559" s="170"/>
      <c r="AR559" s="170"/>
      <c r="AS559" s="170"/>
      <c r="AT559" s="170"/>
      <c r="AU559" s="170"/>
      <c r="AV559" s="170"/>
      <c r="AW559" s="170"/>
      <c r="AX559" s="170"/>
    </row>
    <row r="560" spans="1:50" ht="15" x14ac:dyDescent="0.25">
      <c r="A560" s="170"/>
      <c r="B560" s="719"/>
      <c r="C560" s="170"/>
      <c r="D560" s="170"/>
      <c r="E560" s="170"/>
      <c r="F560" s="170"/>
      <c r="G560" s="721"/>
      <c r="H560" s="170"/>
      <c r="I560" s="170"/>
      <c r="J560" s="170"/>
      <c r="K560" s="170"/>
      <c r="L560" s="170"/>
      <c r="M560" s="730"/>
      <c r="N560" s="730"/>
      <c r="O560" s="730"/>
      <c r="P560" s="731"/>
      <c r="Q560" s="731"/>
      <c r="R560" s="730"/>
      <c r="S560" s="730"/>
      <c r="T560" s="723"/>
      <c r="U560" s="724"/>
      <c r="V560" s="725"/>
      <c r="W560" s="725"/>
      <c r="X560" s="723"/>
      <c r="Y560" s="723"/>
      <c r="Z560" s="723"/>
      <c r="AA560" s="726"/>
      <c r="AB560" s="726"/>
      <c r="AC560" s="170"/>
      <c r="AD560" s="586"/>
      <c r="AE560" s="586"/>
      <c r="AF560" s="170"/>
      <c r="AG560" s="170"/>
      <c r="AH560" s="170"/>
      <c r="AI560" s="170"/>
      <c r="AJ560" s="170"/>
      <c r="AK560" s="170"/>
      <c r="AL560" s="170"/>
      <c r="AM560" s="170"/>
      <c r="AN560" s="170"/>
      <c r="AO560" s="170"/>
      <c r="AP560" s="170"/>
      <c r="AQ560" s="170"/>
      <c r="AR560" s="170"/>
      <c r="AS560" s="170"/>
      <c r="AT560" s="170"/>
      <c r="AU560" s="170"/>
      <c r="AV560" s="170"/>
      <c r="AW560" s="170"/>
      <c r="AX560" s="170"/>
    </row>
    <row r="561" spans="1:50" ht="15" x14ac:dyDescent="0.25">
      <c r="A561" s="170"/>
      <c r="B561" s="719"/>
      <c r="C561" s="170"/>
      <c r="D561" s="170"/>
      <c r="E561" s="170"/>
      <c r="F561" s="170"/>
      <c r="G561" s="721"/>
      <c r="H561" s="170"/>
      <c r="I561" s="170"/>
      <c r="J561" s="170"/>
      <c r="K561" s="170"/>
      <c r="L561" s="170"/>
      <c r="M561" s="730"/>
      <c r="N561" s="730"/>
      <c r="O561" s="730"/>
      <c r="P561" s="731"/>
      <c r="Q561" s="731"/>
      <c r="R561" s="730"/>
      <c r="S561" s="730"/>
      <c r="T561" s="723"/>
      <c r="U561" s="724"/>
      <c r="V561" s="725"/>
      <c r="W561" s="725"/>
      <c r="X561" s="723"/>
      <c r="Y561" s="723"/>
      <c r="Z561" s="723"/>
      <c r="AA561" s="726"/>
      <c r="AB561" s="726"/>
      <c r="AC561" s="170"/>
      <c r="AD561" s="586"/>
      <c r="AE561" s="586"/>
      <c r="AF561" s="170"/>
      <c r="AG561" s="170"/>
      <c r="AH561" s="170"/>
      <c r="AI561" s="170"/>
      <c r="AJ561" s="170"/>
      <c r="AK561" s="170"/>
      <c r="AL561" s="170"/>
      <c r="AM561" s="170"/>
      <c r="AN561" s="170"/>
      <c r="AO561" s="170"/>
      <c r="AP561" s="170"/>
      <c r="AQ561" s="170"/>
      <c r="AR561" s="170"/>
      <c r="AS561" s="170"/>
      <c r="AT561" s="170"/>
      <c r="AU561" s="170"/>
      <c r="AV561" s="170"/>
      <c r="AW561" s="170"/>
      <c r="AX561" s="170"/>
    </row>
    <row r="562" spans="1:50" ht="15" x14ac:dyDescent="0.25">
      <c r="A562" s="170"/>
      <c r="B562" s="719"/>
      <c r="C562" s="170"/>
      <c r="D562" s="170"/>
      <c r="E562" s="170"/>
      <c r="F562" s="170"/>
      <c r="G562" s="721"/>
      <c r="H562" s="170"/>
      <c r="I562" s="170"/>
      <c r="J562" s="170"/>
      <c r="K562" s="170"/>
      <c r="L562" s="170"/>
      <c r="M562" s="730"/>
      <c r="N562" s="730"/>
      <c r="O562" s="730"/>
      <c r="P562" s="731"/>
      <c r="Q562" s="731"/>
      <c r="R562" s="730"/>
      <c r="S562" s="730"/>
      <c r="T562" s="723"/>
      <c r="U562" s="724"/>
      <c r="V562" s="725"/>
      <c r="W562" s="725"/>
      <c r="X562" s="723"/>
      <c r="Y562" s="723"/>
      <c r="Z562" s="723"/>
      <c r="AA562" s="726"/>
      <c r="AB562" s="726"/>
      <c r="AC562" s="170"/>
      <c r="AD562" s="586"/>
      <c r="AE562" s="586"/>
      <c r="AF562" s="170"/>
      <c r="AG562" s="170"/>
      <c r="AH562" s="170"/>
      <c r="AI562" s="170"/>
      <c r="AJ562" s="170"/>
      <c r="AK562" s="170"/>
      <c r="AL562" s="170"/>
      <c r="AM562" s="170"/>
      <c r="AN562" s="170"/>
      <c r="AO562" s="170"/>
      <c r="AP562" s="170"/>
      <c r="AQ562" s="170"/>
      <c r="AR562" s="170"/>
      <c r="AS562" s="170"/>
      <c r="AT562" s="170"/>
      <c r="AU562" s="170"/>
      <c r="AV562" s="170"/>
      <c r="AW562" s="170"/>
      <c r="AX562" s="170"/>
    </row>
    <row r="563" spans="1:50" ht="15" x14ac:dyDescent="0.25">
      <c r="A563" s="170"/>
      <c r="B563" s="719"/>
      <c r="C563" s="170"/>
      <c r="D563" s="170"/>
      <c r="E563" s="170"/>
      <c r="F563" s="170"/>
      <c r="G563" s="721"/>
      <c r="H563" s="170"/>
      <c r="I563" s="170"/>
      <c r="J563" s="170"/>
      <c r="K563" s="170"/>
      <c r="L563" s="170"/>
      <c r="M563" s="730"/>
      <c r="N563" s="730"/>
      <c r="O563" s="730"/>
      <c r="P563" s="731"/>
      <c r="Q563" s="731"/>
      <c r="R563" s="730"/>
      <c r="S563" s="730"/>
      <c r="T563" s="723"/>
      <c r="U563" s="724"/>
      <c r="V563" s="725"/>
      <c r="W563" s="725"/>
      <c r="X563" s="723"/>
      <c r="Y563" s="723"/>
      <c r="Z563" s="723"/>
      <c r="AA563" s="726"/>
      <c r="AB563" s="726"/>
      <c r="AC563" s="170"/>
      <c r="AD563" s="586"/>
      <c r="AE563" s="586"/>
      <c r="AF563" s="170"/>
      <c r="AG563" s="170"/>
      <c r="AH563" s="170"/>
      <c r="AI563" s="170"/>
      <c r="AJ563" s="170"/>
      <c r="AK563" s="170"/>
      <c r="AL563" s="170"/>
      <c r="AM563" s="170"/>
      <c r="AN563" s="170"/>
      <c r="AO563" s="170"/>
      <c r="AP563" s="170"/>
      <c r="AQ563" s="170"/>
      <c r="AR563" s="170"/>
      <c r="AS563" s="170"/>
      <c r="AT563" s="170"/>
      <c r="AU563" s="170"/>
      <c r="AV563" s="170"/>
      <c r="AW563" s="170"/>
      <c r="AX563" s="170"/>
    </row>
    <row r="564" spans="1:50" ht="15" x14ac:dyDescent="0.25">
      <c r="A564" s="170"/>
      <c r="B564" s="719"/>
      <c r="C564" s="170"/>
      <c r="D564" s="170"/>
      <c r="E564" s="170"/>
      <c r="F564" s="170"/>
      <c r="G564" s="721"/>
      <c r="H564" s="170"/>
      <c r="I564" s="170"/>
      <c r="J564" s="170"/>
      <c r="K564" s="170"/>
      <c r="L564" s="170"/>
      <c r="M564" s="730"/>
      <c r="N564" s="730"/>
      <c r="O564" s="730"/>
      <c r="P564" s="731"/>
      <c r="Q564" s="731"/>
      <c r="R564" s="730"/>
      <c r="S564" s="730"/>
      <c r="T564" s="723"/>
      <c r="U564" s="724"/>
      <c r="V564" s="725"/>
      <c r="W564" s="725"/>
      <c r="X564" s="723"/>
      <c r="Y564" s="723"/>
      <c r="Z564" s="723"/>
      <c r="AA564" s="726"/>
      <c r="AB564" s="726"/>
      <c r="AC564" s="170"/>
      <c r="AD564" s="586"/>
      <c r="AE564" s="586"/>
      <c r="AF564" s="170"/>
      <c r="AG564" s="170"/>
      <c r="AH564" s="170"/>
      <c r="AI564" s="170"/>
      <c r="AJ564" s="170"/>
      <c r="AK564" s="170"/>
      <c r="AL564" s="170"/>
      <c r="AM564" s="170"/>
      <c r="AN564" s="170"/>
      <c r="AO564" s="170"/>
      <c r="AP564" s="170"/>
      <c r="AQ564" s="170"/>
      <c r="AR564" s="170"/>
      <c r="AS564" s="170"/>
      <c r="AT564" s="170"/>
      <c r="AU564" s="170"/>
      <c r="AV564" s="170"/>
      <c r="AW564" s="170"/>
      <c r="AX564" s="170"/>
    </row>
    <row r="565" spans="1:50" ht="15" x14ac:dyDescent="0.25">
      <c r="A565" s="170"/>
      <c r="B565" s="719"/>
      <c r="C565" s="170"/>
      <c r="D565" s="170"/>
      <c r="E565" s="170"/>
      <c r="F565" s="170"/>
      <c r="G565" s="721"/>
      <c r="H565" s="170"/>
      <c r="I565" s="170"/>
      <c r="J565" s="170"/>
      <c r="K565" s="170"/>
      <c r="L565" s="170"/>
      <c r="M565" s="730"/>
      <c r="N565" s="730"/>
      <c r="O565" s="730"/>
      <c r="P565" s="731"/>
      <c r="Q565" s="731"/>
      <c r="R565" s="730"/>
      <c r="S565" s="730"/>
      <c r="T565" s="723"/>
      <c r="U565" s="724"/>
      <c r="V565" s="725"/>
      <c r="W565" s="725"/>
      <c r="X565" s="723"/>
      <c r="Y565" s="723"/>
      <c r="Z565" s="723"/>
      <c r="AA565" s="726"/>
      <c r="AB565" s="726"/>
      <c r="AC565" s="170"/>
      <c r="AD565" s="586"/>
      <c r="AE565" s="586"/>
      <c r="AF565" s="170"/>
      <c r="AG565" s="170"/>
      <c r="AH565" s="170"/>
      <c r="AI565" s="170"/>
      <c r="AJ565" s="170"/>
      <c r="AK565" s="170"/>
      <c r="AL565" s="170"/>
      <c r="AM565" s="170"/>
      <c r="AN565" s="170"/>
      <c r="AO565" s="170"/>
      <c r="AP565" s="170"/>
      <c r="AQ565" s="170"/>
      <c r="AR565" s="170"/>
      <c r="AS565" s="170"/>
      <c r="AT565" s="170"/>
      <c r="AU565" s="170"/>
      <c r="AV565" s="170"/>
      <c r="AW565" s="170"/>
      <c r="AX565" s="170"/>
    </row>
    <row r="566" spans="1:50" ht="15" x14ac:dyDescent="0.25">
      <c r="A566" s="170"/>
      <c r="B566" s="719"/>
      <c r="C566" s="170"/>
      <c r="D566" s="170"/>
      <c r="E566" s="170"/>
      <c r="F566" s="170"/>
      <c r="G566" s="721"/>
      <c r="H566" s="170"/>
      <c r="I566" s="170"/>
      <c r="J566" s="170"/>
      <c r="K566" s="170"/>
      <c r="L566" s="170"/>
      <c r="M566" s="730"/>
      <c r="N566" s="730"/>
      <c r="O566" s="730"/>
      <c r="P566" s="731"/>
      <c r="Q566" s="731"/>
      <c r="R566" s="730"/>
      <c r="S566" s="730"/>
      <c r="T566" s="723"/>
      <c r="U566" s="724"/>
      <c r="V566" s="725"/>
      <c r="W566" s="725"/>
      <c r="X566" s="723"/>
      <c r="Y566" s="723"/>
      <c r="Z566" s="723"/>
      <c r="AA566" s="726"/>
      <c r="AB566" s="726"/>
      <c r="AC566" s="170"/>
      <c r="AD566" s="586"/>
      <c r="AE566" s="586"/>
      <c r="AF566" s="170"/>
      <c r="AG566" s="170"/>
      <c r="AH566" s="170"/>
      <c r="AI566" s="170"/>
      <c r="AJ566" s="170"/>
      <c r="AK566" s="170"/>
      <c r="AL566" s="170"/>
      <c r="AM566" s="170"/>
      <c r="AN566" s="170"/>
      <c r="AO566" s="170"/>
      <c r="AP566" s="170"/>
      <c r="AQ566" s="170"/>
      <c r="AR566" s="170"/>
      <c r="AS566" s="170"/>
      <c r="AT566" s="170"/>
      <c r="AU566" s="170"/>
      <c r="AV566" s="170"/>
      <c r="AW566" s="170"/>
      <c r="AX566" s="170"/>
    </row>
    <row r="567" spans="1:50" ht="15" x14ac:dyDescent="0.25">
      <c r="A567" s="170"/>
      <c r="B567" s="719"/>
      <c r="C567" s="170"/>
      <c r="D567" s="170"/>
      <c r="E567" s="170"/>
      <c r="F567" s="170"/>
      <c r="G567" s="721"/>
      <c r="H567" s="170"/>
      <c r="I567" s="170"/>
      <c r="J567" s="170"/>
      <c r="K567" s="170"/>
      <c r="L567" s="170"/>
      <c r="M567" s="730"/>
      <c r="N567" s="730"/>
      <c r="O567" s="730"/>
      <c r="P567" s="731"/>
      <c r="Q567" s="731"/>
      <c r="R567" s="730"/>
      <c r="S567" s="730"/>
      <c r="T567" s="723"/>
      <c r="U567" s="724"/>
      <c r="V567" s="725"/>
      <c r="W567" s="725"/>
      <c r="X567" s="723"/>
      <c r="Y567" s="723"/>
      <c r="Z567" s="723"/>
      <c r="AA567" s="726"/>
      <c r="AB567" s="726"/>
      <c r="AC567" s="170"/>
      <c r="AD567" s="586"/>
      <c r="AE567" s="586"/>
      <c r="AF567" s="170"/>
      <c r="AG567" s="170"/>
      <c r="AH567" s="170"/>
      <c r="AI567" s="170"/>
      <c r="AJ567" s="170"/>
      <c r="AK567" s="170"/>
      <c r="AL567" s="170"/>
      <c r="AM567" s="170"/>
      <c r="AN567" s="170"/>
      <c r="AO567" s="170"/>
      <c r="AP567" s="170"/>
      <c r="AQ567" s="170"/>
      <c r="AR567" s="170"/>
      <c r="AS567" s="170"/>
      <c r="AT567" s="170"/>
      <c r="AU567" s="170"/>
      <c r="AV567" s="170"/>
      <c r="AW567" s="170"/>
      <c r="AX567" s="170"/>
    </row>
    <row r="568" spans="1:50" ht="15" x14ac:dyDescent="0.25">
      <c r="A568" s="170"/>
      <c r="B568" s="719"/>
      <c r="C568" s="170"/>
      <c r="D568" s="170"/>
      <c r="E568" s="170"/>
      <c r="F568" s="170"/>
      <c r="G568" s="721"/>
      <c r="H568" s="170"/>
      <c r="I568" s="170"/>
      <c r="J568" s="170"/>
      <c r="K568" s="170"/>
      <c r="L568" s="170"/>
      <c r="M568" s="730"/>
      <c r="N568" s="730"/>
      <c r="O568" s="730"/>
      <c r="P568" s="731"/>
      <c r="Q568" s="731"/>
      <c r="R568" s="730"/>
      <c r="S568" s="730"/>
      <c r="T568" s="723"/>
      <c r="U568" s="724"/>
      <c r="V568" s="725"/>
      <c r="W568" s="725"/>
      <c r="X568" s="723"/>
      <c r="Y568" s="723"/>
      <c r="Z568" s="723"/>
      <c r="AA568" s="726"/>
      <c r="AB568" s="726"/>
      <c r="AC568" s="170"/>
      <c r="AD568" s="586"/>
      <c r="AE568" s="586"/>
      <c r="AF568" s="170"/>
      <c r="AG568" s="170"/>
      <c r="AH568" s="170"/>
      <c r="AI568" s="170"/>
      <c r="AJ568" s="170"/>
      <c r="AK568" s="170"/>
      <c r="AL568" s="170"/>
      <c r="AM568" s="170"/>
      <c r="AN568" s="170"/>
      <c r="AO568" s="170"/>
      <c r="AP568" s="170"/>
      <c r="AQ568" s="170"/>
      <c r="AR568" s="170"/>
      <c r="AS568" s="170"/>
      <c r="AT568" s="170"/>
      <c r="AU568" s="170"/>
      <c r="AV568" s="170"/>
      <c r="AW568" s="170"/>
      <c r="AX568" s="170"/>
    </row>
    <row r="569" spans="1:50" ht="15" x14ac:dyDescent="0.25">
      <c r="A569" s="170"/>
      <c r="B569" s="719"/>
      <c r="C569" s="170"/>
      <c r="D569" s="170"/>
      <c r="E569" s="170"/>
      <c r="F569" s="170"/>
      <c r="G569" s="721"/>
      <c r="H569" s="170"/>
      <c r="I569" s="170"/>
      <c r="J569" s="170"/>
      <c r="K569" s="170"/>
      <c r="L569" s="170"/>
      <c r="M569" s="730"/>
      <c r="N569" s="730"/>
      <c r="O569" s="730"/>
      <c r="P569" s="731"/>
      <c r="Q569" s="731"/>
      <c r="R569" s="730"/>
      <c r="S569" s="730"/>
      <c r="T569" s="723"/>
      <c r="U569" s="724"/>
      <c r="V569" s="725"/>
      <c r="W569" s="725"/>
      <c r="X569" s="723"/>
      <c r="Y569" s="723"/>
      <c r="Z569" s="723"/>
      <c r="AA569" s="726"/>
      <c r="AB569" s="726"/>
      <c r="AC569" s="170"/>
      <c r="AD569" s="586"/>
      <c r="AE569" s="586"/>
      <c r="AF569" s="170"/>
      <c r="AG569" s="170"/>
      <c r="AH569" s="170"/>
      <c r="AI569" s="170"/>
      <c r="AJ569" s="170"/>
      <c r="AK569" s="170"/>
      <c r="AL569" s="170"/>
      <c r="AM569" s="170"/>
      <c r="AN569" s="170"/>
      <c r="AO569" s="170"/>
      <c r="AP569" s="170"/>
      <c r="AQ569" s="170"/>
      <c r="AR569" s="170"/>
      <c r="AS569" s="170"/>
      <c r="AT569" s="170"/>
      <c r="AU569" s="170"/>
      <c r="AV569" s="170"/>
      <c r="AW569" s="170"/>
      <c r="AX569" s="170"/>
    </row>
    <row r="570" spans="1:50" ht="15" x14ac:dyDescent="0.25">
      <c r="A570" s="170"/>
      <c r="B570" s="719"/>
      <c r="C570" s="170"/>
      <c r="D570" s="170"/>
      <c r="E570" s="170"/>
      <c r="F570" s="170"/>
      <c r="G570" s="721"/>
      <c r="H570" s="170"/>
      <c r="I570" s="170"/>
      <c r="J570" s="170"/>
      <c r="K570" s="170"/>
      <c r="L570" s="170"/>
      <c r="M570" s="730"/>
      <c r="N570" s="730"/>
      <c r="O570" s="730"/>
      <c r="P570" s="731"/>
      <c r="Q570" s="731"/>
      <c r="R570" s="730"/>
      <c r="S570" s="730"/>
      <c r="T570" s="723"/>
      <c r="U570" s="724"/>
      <c r="V570" s="725"/>
      <c r="W570" s="725"/>
      <c r="X570" s="723"/>
      <c r="Y570" s="723"/>
      <c r="Z570" s="723"/>
      <c r="AA570" s="726"/>
      <c r="AB570" s="726"/>
      <c r="AC570" s="170"/>
      <c r="AD570" s="586"/>
      <c r="AE570" s="586"/>
      <c r="AF570" s="170"/>
      <c r="AG570" s="170"/>
      <c r="AH570" s="170"/>
      <c r="AI570" s="170"/>
      <c r="AJ570" s="170"/>
      <c r="AK570" s="170"/>
      <c r="AL570" s="170"/>
      <c r="AM570" s="170"/>
      <c r="AN570" s="170"/>
      <c r="AO570" s="170"/>
      <c r="AP570" s="170"/>
      <c r="AQ570" s="170"/>
      <c r="AR570" s="170"/>
      <c r="AS570" s="170"/>
      <c r="AT570" s="170"/>
      <c r="AU570" s="170"/>
      <c r="AV570" s="170"/>
      <c r="AW570" s="170"/>
      <c r="AX570" s="170"/>
    </row>
    <row r="571" spans="1:50" ht="15" x14ac:dyDescent="0.25">
      <c r="A571" s="170"/>
      <c r="B571" s="719"/>
      <c r="C571" s="170"/>
      <c r="D571" s="170"/>
      <c r="E571" s="170"/>
      <c r="F571" s="170"/>
      <c r="G571" s="721"/>
      <c r="H571" s="170"/>
      <c r="I571" s="170"/>
      <c r="J571" s="170"/>
      <c r="K571" s="170"/>
      <c r="L571" s="170"/>
      <c r="M571" s="730"/>
      <c r="N571" s="730"/>
      <c r="O571" s="730"/>
      <c r="P571" s="731"/>
      <c r="Q571" s="731"/>
      <c r="R571" s="730"/>
      <c r="S571" s="730"/>
      <c r="T571" s="723"/>
      <c r="U571" s="724"/>
      <c r="V571" s="725"/>
      <c r="W571" s="725"/>
      <c r="X571" s="723"/>
      <c r="Y571" s="723"/>
      <c r="Z571" s="723"/>
      <c r="AA571" s="726"/>
      <c r="AB571" s="726"/>
      <c r="AC571" s="170"/>
      <c r="AD571" s="586"/>
      <c r="AE571" s="586"/>
      <c r="AF571" s="170"/>
      <c r="AG571" s="170"/>
      <c r="AH571" s="170"/>
      <c r="AI571" s="170"/>
      <c r="AJ571" s="170"/>
      <c r="AK571" s="170"/>
      <c r="AL571" s="170"/>
      <c r="AM571" s="170"/>
      <c r="AN571" s="170"/>
      <c r="AO571" s="170"/>
      <c r="AP571" s="170"/>
      <c r="AQ571" s="170"/>
      <c r="AR571" s="170"/>
      <c r="AS571" s="170"/>
      <c r="AT571" s="170"/>
      <c r="AU571" s="170"/>
      <c r="AV571" s="170"/>
      <c r="AW571" s="170"/>
      <c r="AX571" s="170"/>
    </row>
    <row r="572" spans="1:50" ht="15" x14ac:dyDescent="0.25">
      <c r="A572" s="170"/>
      <c r="B572" s="719"/>
      <c r="C572" s="170"/>
      <c r="D572" s="170"/>
      <c r="E572" s="170"/>
      <c r="F572" s="170"/>
      <c r="G572" s="721"/>
      <c r="H572" s="170"/>
      <c r="I572" s="170"/>
      <c r="J572" s="170"/>
      <c r="K572" s="170"/>
      <c r="L572" s="170"/>
      <c r="M572" s="730"/>
      <c r="N572" s="730"/>
      <c r="O572" s="730"/>
      <c r="P572" s="731"/>
      <c r="Q572" s="731"/>
      <c r="R572" s="730"/>
      <c r="S572" s="730"/>
      <c r="T572" s="723"/>
      <c r="U572" s="724"/>
      <c r="V572" s="725"/>
      <c r="W572" s="725"/>
      <c r="X572" s="723"/>
      <c r="Y572" s="723"/>
      <c r="Z572" s="723"/>
      <c r="AA572" s="726"/>
      <c r="AB572" s="726"/>
      <c r="AC572" s="170"/>
      <c r="AD572" s="586"/>
      <c r="AE572" s="586"/>
      <c r="AF572" s="170"/>
      <c r="AG572" s="170"/>
      <c r="AH572" s="170"/>
      <c r="AI572" s="170"/>
      <c r="AJ572" s="170"/>
      <c r="AK572" s="170"/>
      <c r="AL572" s="170"/>
      <c r="AM572" s="170"/>
      <c r="AN572" s="170"/>
      <c r="AO572" s="170"/>
      <c r="AP572" s="170"/>
      <c r="AQ572" s="170"/>
      <c r="AR572" s="170"/>
      <c r="AS572" s="170"/>
      <c r="AT572" s="170"/>
      <c r="AU572" s="170"/>
      <c r="AV572" s="170"/>
      <c r="AW572" s="170"/>
      <c r="AX572" s="170"/>
    </row>
    <row r="573" spans="1:50" ht="15" x14ac:dyDescent="0.25">
      <c r="A573" s="170"/>
      <c r="B573" s="719"/>
      <c r="C573" s="170"/>
      <c r="D573" s="170"/>
      <c r="E573" s="170"/>
      <c r="F573" s="170"/>
      <c r="G573" s="721"/>
      <c r="H573" s="170"/>
      <c r="I573" s="170"/>
      <c r="J573" s="170"/>
      <c r="K573" s="170"/>
      <c r="L573" s="170"/>
      <c r="M573" s="730"/>
      <c r="N573" s="730"/>
      <c r="O573" s="730"/>
      <c r="P573" s="731"/>
      <c r="Q573" s="731"/>
      <c r="R573" s="730"/>
      <c r="S573" s="730"/>
      <c r="T573" s="723"/>
      <c r="U573" s="724"/>
      <c r="V573" s="725"/>
      <c r="W573" s="725"/>
      <c r="X573" s="723"/>
      <c r="Y573" s="723"/>
      <c r="Z573" s="723"/>
      <c r="AA573" s="726"/>
      <c r="AB573" s="726"/>
      <c r="AC573" s="170"/>
      <c r="AD573" s="586"/>
      <c r="AE573" s="586"/>
      <c r="AF573" s="170"/>
      <c r="AG573" s="170"/>
      <c r="AH573" s="170"/>
      <c r="AI573" s="170"/>
      <c r="AJ573" s="170"/>
      <c r="AK573" s="170"/>
      <c r="AL573" s="170"/>
      <c r="AM573" s="170"/>
      <c r="AN573" s="170"/>
      <c r="AO573" s="170"/>
      <c r="AP573" s="170"/>
      <c r="AQ573" s="170"/>
      <c r="AR573" s="170"/>
      <c r="AS573" s="170"/>
      <c r="AT573" s="170"/>
      <c r="AU573" s="170"/>
      <c r="AV573" s="170"/>
      <c r="AW573" s="170"/>
      <c r="AX573" s="170"/>
    </row>
    <row r="574" spans="1:50" ht="15" x14ac:dyDescent="0.25">
      <c r="A574" s="170"/>
      <c r="B574" s="719"/>
      <c r="C574" s="170"/>
      <c r="D574" s="170"/>
      <c r="E574" s="170"/>
      <c r="F574" s="170"/>
      <c r="G574" s="721"/>
      <c r="H574" s="170"/>
      <c r="I574" s="170"/>
      <c r="J574" s="170"/>
      <c r="K574" s="170"/>
      <c r="L574" s="170"/>
      <c r="M574" s="730"/>
      <c r="N574" s="730"/>
      <c r="O574" s="730"/>
      <c r="P574" s="731"/>
      <c r="Q574" s="731"/>
      <c r="R574" s="730"/>
      <c r="S574" s="730"/>
      <c r="T574" s="723"/>
      <c r="U574" s="724"/>
      <c r="V574" s="725"/>
      <c r="W574" s="725"/>
      <c r="X574" s="723"/>
      <c r="Y574" s="723"/>
      <c r="Z574" s="723"/>
      <c r="AA574" s="726"/>
      <c r="AB574" s="726"/>
      <c r="AC574" s="170"/>
      <c r="AD574" s="586"/>
      <c r="AE574" s="586"/>
      <c r="AF574" s="170"/>
      <c r="AG574" s="170"/>
      <c r="AH574" s="170"/>
      <c r="AI574" s="170"/>
      <c r="AJ574" s="170"/>
      <c r="AK574" s="170"/>
      <c r="AL574" s="170"/>
      <c r="AM574" s="170"/>
      <c r="AN574" s="170"/>
      <c r="AO574" s="170"/>
      <c r="AP574" s="170"/>
      <c r="AQ574" s="170"/>
      <c r="AR574" s="170"/>
      <c r="AS574" s="170"/>
      <c r="AT574" s="170"/>
      <c r="AU574" s="170"/>
      <c r="AV574" s="170"/>
      <c r="AW574" s="170"/>
      <c r="AX574" s="170"/>
    </row>
    <row r="575" spans="1:50" ht="15" x14ac:dyDescent="0.25">
      <c r="A575" s="170"/>
      <c r="B575" s="719"/>
      <c r="C575" s="170"/>
      <c r="D575" s="170"/>
      <c r="E575" s="170"/>
      <c r="F575" s="170"/>
      <c r="G575" s="721"/>
      <c r="H575" s="170"/>
      <c r="I575" s="170"/>
      <c r="J575" s="170"/>
      <c r="K575" s="170"/>
      <c r="L575" s="170"/>
      <c r="M575" s="730"/>
      <c r="N575" s="730"/>
      <c r="O575" s="730"/>
      <c r="P575" s="731"/>
      <c r="Q575" s="731"/>
      <c r="R575" s="730"/>
      <c r="S575" s="730"/>
      <c r="T575" s="723"/>
      <c r="U575" s="724"/>
      <c r="V575" s="725"/>
      <c r="W575" s="725"/>
      <c r="X575" s="723"/>
      <c r="Y575" s="723"/>
      <c r="Z575" s="723"/>
      <c r="AA575" s="726"/>
      <c r="AB575" s="726"/>
      <c r="AC575" s="170"/>
      <c r="AD575" s="586"/>
      <c r="AE575" s="586"/>
      <c r="AF575" s="170"/>
      <c r="AG575" s="170"/>
      <c r="AH575" s="170"/>
      <c r="AI575" s="170"/>
      <c r="AJ575" s="170"/>
      <c r="AK575" s="170"/>
      <c r="AL575" s="170"/>
      <c r="AM575" s="170"/>
      <c r="AN575" s="170"/>
      <c r="AO575" s="170"/>
      <c r="AP575" s="170"/>
      <c r="AQ575" s="170"/>
      <c r="AR575" s="170"/>
      <c r="AS575" s="170"/>
      <c r="AT575" s="170"/>
      <c r="AU575" s="170"/>
      <c r="AV575" s="170"/>
      <c r="AW575" s="170"/>
      <c r="AX575" s="170"/>
    </row>
    <row r="576" spans="1:50" ht="15" x14ac:dyDescent="0.25">
      <c r="A576" s="170"/>
      <c r="B576" s="719"/>
      <c r="C576" s="170"/>
      <c r="D576" s="170"/>
      <c r="E576" s="170"/>
      <c r="F576" s="170"/>
      <c r="G576" s="721"/>
      <c r="H576" s="170"/>
      <c r="I576" s="170"/>
      <c r="J576" s="170"/>
      <c r="K576" s="170"/>
      <c r="L576" s="170"/>
      <c r="M576" s="730"/>
      <c r="N576" s="730"/>
      <c r="O576" s="730"/>
      <c r="P576" s="731"/>
      <c r="Q576" s="731"/>
      <c r="R576" s="730"/>
      <c r="S576" s="730"/>
      <c r="T576" s="723"/>
      <c r="U576" s="724"/>
      <c r="V576" s="725"/>
      <c r="W576" s="725"/>
      <c r="X576" s="723"/>
      <c r="Y576" s="723"/>
      <c r="Z576" s="723"/>
      <c r="AA576" s="726"/>
      <c r="AB576" s="726"/>
      <c r="AC576" s="170"/>
      <c r="AD576" s="586"/>
      <c r="AE576" s="586"/>
      <c r="AF576" s="170"/>
      <c r="AG576" s="170"/>
      <c r="AH576" s="170"/>
      <c r="AI576" s="170"/>
      <c r="AJ576" s="170"/>
      <c r="AK576" s="170"/>
      <c r="AL576" s="170"/>
      <c r="AM576" s="170"/>
      <c r="AN576" s="170"/>
      <c r="AO576" s="170"/>
      <c r="AP576" s="170"/>
      <c r="AQ576" s="170"/>
      <c r="AR576" s="170"/>
      <c r="AS576" s="170"/>
      <c r="AT576" s="170"/>
      <c r="AU576" s="170"/>
      <c r="AV576" s="170"/>
      <c r="AW576" s="170"/>
      <c r="AX576" s="170"/>
    </row>
    <row r="577" spans="1:50" ht="15" x14ac:dyDescent="0.25">
      <c r="A577" s="170"/>
      <c r="B577" s="719"/>
      <c r="C577" s="170"/>
      <c r="D577" s="170"/>
      <c r="E577" s="170"/>
      <c r="F577" s="170"/>
      <c r="G577" s="721"/>
      <c r="H577" s="170"/>
      <c r="I577" s="170"/>
      <c r="J577" s="170"/>
      <c r="K577" s="170"/>
      <c r="L577" s="170"/>
      <c r="M577" s="730"/>
      <c r="N577" s="730"/>
      <c r="O577" s="730"/>
      <c r="P577" s="731"/>
      <c r="Q577" s="731"/>
      <c r="R577" s="730"/>
      <c r="S577" s="730"/>
      <c r="T577" s="723"/>
      <c r="U577" s="724"/>
      <c r="V577" s="725"/>
      <c r="W577" s="725"/>
      <c r="X577" s="723"/>
      <c r="Y577" s="723"/>
      <c r="Z577" s="723"/>
      <c r="AA577" s="726"/>
      <c r="AB577" s="726"/>
      <c r="AC577" s="170"/>
      <c r="AD577" s="586"/>
      <c r="AE577" s="586"/>
      <c r="AF577" s="170"/>
      <c r="AG577" s="170"/>
      <c r="AH577" s="170"/>
      <c r="AI577" s="170"/>
      <c r="AJ577" s="170"/>
      <c r="AK577" s="170"/>
      <c r="AL577" s="170"/>
      <c r="AM577" s="170"/>
      <c r="AN577" s="170"/>
      <c r="AO577" s="170"/>
      <c r="AP577" s="170"/>
      <c r="AQ577" s="170"/>
      <c r="AR577" s="170"/>
      <c r="AS577" s="170"/>
      <c r="AT577" s="170"/>
      <c r="AU577" s="170"/>
      <c r="AV577" s="170"/>
      <c r="AW577" s="170"/>
      <c r="AX577" s="170"/>
    </row>
    <row r="578" spans="1:50" ht="15" x14ac:dyDescent="0.25">
      <c r="A578" s="170"/>
      <c r="B578" s="719"/>
      <c r="C578" s="170"/>
      <c r="D578" s="170"/>
      <c r="E578" s="170"/>
      <c r="F578" s="170"/>
      <c r="G578" s="721"/>
      <c r="H578" s="170"/>
      <c r="I578" s="170"/>
      <c r="J578" s="170"/>
      <c r="K578" s="170"/>
      <c r="L578" s="170"/>
      <c r="M578" s="730"/>
      <c r="N578" s="730"/>
      <c r="O578" s="730"/>
      <c r="P578" s="731"/>
      <c r="Q578" s="731"/>
      <c r="R578" s="730"/>
      <c r="S578" s="730"/>
      <c r="T578" s="723"/>
      <c r="U578" s="724"/>
      <c r="V578" s="725"/>
      <c r="W578" s="725"/>
      <c r="X578" s="723"/>
      <c r="Y578" s="723"/>
      <c r="Z578" s="723"/>
      <c r="AA578" s="726"/>
      <c r="AB578" s="726"/>
      <c r="AC578" s="170"/>
      <c r="AD578" s="586"/>
      <c r="AE578" s="586"/>
      <c r="AF578" s="170"/>
      <c r="AG578" s="170"/>
      <c r="AH578" s="170"/>
      <c r="AI578" s="170"/>
      <c r="AJ578" s="170"/>
      <c r="AK578" s="170"/>
      <c r="AL578" s="170"/>
      <c r="AM578" s="170"/>
      <c r="AN578" s="170"/>
      <c r="AO578" s="170"/>
      <c r="AP578" s="170"/>
      <c r="AQ578" s="170"/>
      <c r="AR578" s="170"/>
      <c r="AS578" s="170"/>
      <c r="AT578" s="170"/>
      <c r="AU578" s="170"/>
      <c r="AV578" s="170"/>
      <c r="AW578" s="170"/>
      <c r="AX578" s="170"/>
    </row>
    <row r="579" spans="1:50" ht="15" x14ac:dyDescent="0.25">
      <c r="A579" s="170"/>
      <c r="B579" s="719"/>
      <c r="C579" s="170"/>
      <c r="D579" s="170"/>
      <c r="E579" s="170"/>
      <c r="F579" s="170"/>
      <c r="G579" s="721"/>
      <c r="H579" s="170"/>
      <c r="I579" s="170"/>
      <c r="J579" s="170"/>
      <c r="K579" s="170"/>
      <c r="L579" s="170"/>
      <c r="M579" s="730"/>
      <c r="N579" s="730"/>
      <c r="O579" s="730"/>
      <c r="P579" s="731"/>
      <c r="Q579" s="731"/>
      <c r="R579" s="730"/>
      <c r="S579" s="730"/>
      <c r="T579" s="723"/>
      <c r="U579" s="724"/>
      <c r="V579" s="725"/>
      <c r="W579" s="725"/>
      <c r="X579" s="723"/>
      <c r="Y579" s="723"/>
      <c r="Z579" s="723"/>
      <c r="AA579" s="726"/>
      <c r="AB579" s="726"/>
      <c r="AC579" s="170"/>
      <c r="AD579" s="586"/>
      <c r="AE579" s="586"/>
      <c r="AF579" s="170"/>
      <c r="AG579" s="170"/>
      <c r="AH579" s="170"/>
      <c r="AI579" s="170"/>
      <c r="AJ579" s="170"/>
      <c r="AK579" s="170"/>
      <c r="AL579" s="170"/>
      <c r="AM579" s="170"/>
      <c r="AN579" s="170"/>
      <c r="AO579" s="170"/>
      <c r="AP579" s="170"/>
      <c r="AQ579" s="170"/>
      <c r="AR579" s="170"/>
      <c r="AS579" s="170"/>
      <c r="AT579" s="170"/>
      <c r="AU579" s="170"/>
      <c r="AV579" s="170"/>
      <c r="AW579" s="170"/>
      <c r="AX579" s="170"/>
    </row>
    <row r="580" spans="1:50" ht="15" x14ac:dyDescent="0.25">
      <c r="A580" s="170"/>
      <c r="B580" s="719"/>
      <c r="C580" s="170"/>
      <c r="D580" s="170"/>
      <c r="E580" s="170"/>
      <c r="F580" s="170"/>
      <c r="G580" s="721"/>
      <c r="H580" s="170"/>
      <c r="I580" s="170"/>
      <c r="J580" s="170"/>
      <c r="K580" s="170"/>
      <c r="L580" s="170"/>
      <c r="M580" s="730"/>
      <c r="N580" s="730"/>
      <c r="O580" s="730"/>
      <c r="P580" s="731"/>
      <c r="Q580" s="731"/>
      <c r="R580" s="730"/>
      <c r="S580" s="730"/>
      <c r="T580" s="723"/>
      <c r="U580" s="724"/>
      <c r="V580" s="725"/>
      <c r="W580" s="725"/>
      <c r="X580" s="723"/>
      <c r="Y580" s="723"/>
      <c r="Z580" s="723"/>
      <c r="AA580" s="726"/>
      <c r="AB580" s="726"/>
      <c r="AC580" s="170"/>
      <c r="AD580" s="586"/>
      <c r="AE580" s="586"/>
      <c r="AF580" s="170"/>
      <c r="AG580" s="170"/>
      <c r="AH580" s="170"/>
      <c r="AI580" s="170"/>
      <c r="AJ580" s="170"/>
      <c r="AK580" s="170"/>
      <c r="AL580" s="170"/>
      <c r="AM580" s="170"/>
      <c r="AN580" s="170"/>
      <c r="AO580" s="170"/>
      <c r="AP580" s="170"/>
      <c r="AQ580" s="170"/>
      <c r="AR580" s="170"/>
      <c r="AS580" s="170"/>
      <c r="AT580" s="170"/>
      <c r="AU580" s="170"/>
      <c r="AV580" s="170"/>
      <c r="AW580" s="170"/>
      <c r="AX580" s="170"/>
    </row>
    <row r="581" spans="1:50" ht="15" x14ac:dyDescent="0.25">
      <c r="A581" s="170"/>
      <c r="B581" s="719"/>
      <c r="C581" s="170"/>
      <c r="D581" s="170"/>
      <c r="E581" s="170"/>
      <c r="F581" s="170"/>
      <c r="G581" s="721"/>
      <c r="H581" s="170"/>
      <c r="I581" s="170"/>
      <c r="J581" s="170"/>
      <c r="K581" s="170"/>
      <c r="L581" s="170"/>
      <c r="M581" s="730"/>
      <c r="N581" s="730"/>
      <c r="O581" s="730"/>
      <c r="P581" s="731"/>
      <c r="Q581" s="731"/>
      <c r="R581" s="730"/>
      <c r="S581" s="730"/>
      <c r="T581" s="723"/>
      <c r="U581" s="724"/>
      <c r="V581" s="725"/>
      <c r="W581" s="725"/>
      <c r="X581" s="723"/>
      <c r="Y581" s="723"/>
      <c r="Z581" s="723"/>
      <c r="AA581" s="726"/>
      <c r="AB581" s="726"/>
      <c r="AC581" s="170"/>
      <c r="AD581" s="586"/>
      <c r="AE581" s="586"/>
      <c r="AF581" s="170"/>
      <c r="AG581" s="170"/>
      <c r="AH581" s="170"/>
      <c r="AI581" s="170"/>
      <c r="AJ581" s="170"/>
      <c r="AK581" s="170"/>
      <c r="AL581" s="170"/>
      <c r="AM581" s="170"/>
      <c r="AN581" s="170"/>
      <c r="AO581" s="170"/>
      <c r="AP581" s="170"/>
      <c r="AQ581" s="170"/>
      <c r="AR581" s="170"/>
      <c r="AS581" s="170"/>
      <c r="AT581" s="170"/>
      <c r="AU581" s="170"/>
      <c r="AV581" s="170"/>
      <c r="AW581" s="170"/>
      <c r="AX581" s="170"/>
    </row>
    <row r="582" spans="1:50" ht="15" x14ac:dyDescent="0.25">
      <c r="A582" s="170"/>
      <c r="B582" s="719"/>
      <c r="C582" s="170"/>
      <c r="D582" s="170"/>
      <c r="E582" s="170"/>
      <c r="F582" s="170"/>
      <c r="G582" s="721"/>
      <c r="H582" s="170"/>
      <c r="I582" s="170"/>
      <c r="J582" s="170"/>
      <c r="K582" s="170"/>
      <c r="L582" s="170"/>
      <c r="M582" s="730"/>
      <c r="N582" s="730"/>
      <c r="O582" s="730"/>
      <c r="P582" s="731"/>
      <c r="Q582" s="731"/>
      <c r="R582" s="730"/>
      <c r="S582" s="730"/>
      <c r="T582" s="723"/>
      <c r="U582" s="724"/>
      <c r="V582" s="725"/>
      <c r="W582" s="725"/>
      <c r="X582" s="723"/>
      <c r="Y582" s="723"/>
      <c r="Z582" s="723"/>
      <c r="AA582" s="726"/>
      <c r="AB582" s="726"/>
      <c r="AC582" s="170"/>
      <c r="AD582" s="586"/>
      <c r="AE582" s="586"/>
      <c r="AF582" s="170"/>
      <c r="AG582" s="170"/>
      <c r="AH582" s="170"/>
      <c r="AI582" s="170"/>
      <c r="AJ582" s="170"/>
      <c r="AK582" s="170"/>
      <c r="AL582" s="170"/>
      <c r="AM582" s="170"/>
      <c r="AN582" s="170"/>
      <c r="AO582" s="170"/>
      <c r="AP582" s="170"/>
      <c r="AQ582" s="170"/>
      <c r="AR582" s="170"/>
      <c r="AS582" s="170"/>
      <c r="AT582" s="170"/>
      <c r="AU582" s="170"/>
      <c r="AV582" s="170"/>
      <c r="AW582" s="170"/>
      <c r="AX582" s="170"/>
    </row>
    <row r="583" spans="1:50" ht="15" x14ac:dyDescent="0.25">
      <c r="A583" s="170"/>
      <c r="B583" s="719"/>
      <c r="C583" s="170"/>
      <c r="D583" s="170"/>
      <c r="E583" s="170"/>
      <c r="F583" s="170"/>
      <c r="G583" s="721"/>
      <c r="H583" s="170"/>
      <c r="I583" s="170"/>
      <c r="J583" s="170"/>
      <c r="K583" s="170"/>
      <c r="L583" s="170"/>
      <c r="M583" s="730"/>
      <c r="N583" s="730"/>
      <c r="O583" s="730"/>
      <c r="P583" s="731"/>
      <c r="Q583" s="731"/>
      <c r="R583" s="730"/>
      <c r="S583" s="730"/>
      <c r="T583" s="723"/>
      <c r="U583" s="724"/>
      <c r="V583" s="725"/>
      <c r="W583" s="725"/>
      <c r="X583" s="723"/>
      <c r="Y583" s="723"/>
      <c r="Z583" s="723"/>
      <c r="AA583" s="726"/>
      <c r="AB583" s="726"/>
      <c r="AC583" s="170"/>
      <c r="AD583" s="586"/>
      <c r="AE583" s="586"/>
      <c r="AF583" s="170"/>
      <c r="AG583" s="170"/>
      <c r="AH583" s="170"/>
      <c r="AI583" s="170"/>
      <c r="AJ583" s="170"/>
      <c r="AK583" s="170"/>
      <c r="AL583" s="170"/>
      <c r="AM583" s="170"/>
      <c r="AN583" s="170"/>
      <c r="AO583" s="170"/>
      <c r="AP583" s="170"/>
      <c r="AQ583" s="170"/>
      <c r="AR583" s="170"/>
      <c r="AS583" s="170"/>
      <c r="AT583" s="170"/>
      <c r="AU583" s="170"/>
      <c r="AV583" s="170"/>
      <c r="AW583" s="170"/>
      <c r="AX583" s="170"/>
    </row>
    <row r="584" spans="1:50" ht="15" x14ac:dyDescent="0.25">
      <c r="A584" s="170"/>
      <c r="B584" s="719"/>
      <c r="C584" s="170"/>
      <c r="D584" s="170"/>
      <c r="E584" s="170"/>
      <c r="F584" s="170"/>
      <c r="G584" s="721"/>
      <c r="H584" s="170"/>
      <c r="I584" s="170"/>
      <c r="J584" s="170"/>
      <c r="K584" s="170"/>
      <c r="L584" s="170"/>
      <c r="M584" s="730"/>
      <c r="N584" s="730"/>
      <c r="O584" s="730"/>
      <c r="P584" s="731"/>
      <c r="Q584" s="731"/>
      <c r="R584" s="730"/>
      <c r="S584" s="730"/>
      <c r="T584" s="723"/>
      <c r="U584" s="724"/>
      <c r="V584" s="725"/>
      <c r="W584" s="725"/>
      <c r="X584" s="723"/>
      <c r="Y584" s="723"/>
      <c r="Z584" s="723"/>
      <c r="AA584" s="726"/>
      <c r="AB584" s="726"/>
      <c r="AC584" s="170"/>
      <c r="AD584" s="586"/>
      <c r="AE584" s="586"/>
      <c r="AF584" s="170"/>
      <c r="AG584" s="170"/>
      <c r="AH584" s="170"/>
      <c r="AI584" s="170"/>
      <c r="AJ584" s="170"/>
      <c r="AK584" s="170"/>
      <c r="AL584" s="170"/>
      <c r="AM584" s="170"/>
      <c r="AN584" s="170"/>
      <c r="AO584" s="170"/>
      <c r="AP584" s="170"/>
      <c r="AQ584" s="170"/>
      <c r="AR584" s="170"/>
      <c r="AS584" s="170"/>
      <c r="AT584" s="170"/>
      <c r="AU584" s="170"/>
      <c r="AV584" s="170"/>
      <c r="AW584" s="170"/>
      <c r="AX584" s="170"/>
    </row>
    <row r="585" spans="1:50" ht="15" x14ac:dyDescent="0.25">
      <c r="A585" s="170"/>
      <c r="B585" s="719"/>
      <c r="C585" s="170"/>
      <c r="D585" s="170"/>
      <c r="E585" s="170"/>
      <c r="F585" s="170"/>
      <c r="G585" s="721"/>
      <c r="H585" s="170"/>
      <c r="I585" s="170"/>
      <c r="J585" s="170"/>
      <c r="K585" s="170"/>
      <c r="L585" s="170"/>
      <c r="M585" s="730"/>
      <c r="N585" s="730"/>
      <c r="O585" s="730"/>
      <c r="P585" s="731"/>
      <c r="Q585" s="731"/>
      <c r="R585" s="730"/>
      <c r="S585" s="730"/>
      <c r="T585" s="723"/>
      <c r="U585" s="724"/>
      <c r="V585" s="725"/>
      <c r="W585" s="725"/>
      <c r="X585" s="723"/>
      <c r="Y585" s="723"/>
      <c r="Z585" s="723"/>
      <c r="AA585" s="726"/>
      <c r="AB585" s="726"/>
      <c r="AC585" s="170"/>
      <c r="AD585" s="586"/>
      <c r="AE585" s="586"/>
      <c r="AF585" s="170"/>
      <c r="AG585" s="170"/>
      <c r="AH585" s="170"/>
      <c r="AI585" s="170"/>
      <c r="AJ585" s="170"/>
      <c r="AK585" s="170"/>
      <c r="AL585" s="170"/>
      <c r="AM585" s="170"/>
      <c r="AN585" s="170"/>
      <c r="AO585" s="170"/>
      <c r="AP585" s="170"/>
      <c r="AQ585" s="170"/>
      <c r="AR585" s="170"/>
      <c r="AS585" s="170"/>
      <c r="AT585" s="170"/>
      <c r="AU585" s="170"/>
      <c r="AV585" s="170"/>
      <c r="AW585" s="170"/>
      <c r="AX585" s="170"/>
    </row>
    <row r="586" spans="1:50" ht="15" x14ac:dyDescent="0.25">
      <c r="A586" s="170"/>
      <c r="B586" s="719"/>
      <c r="C586" s="170"/>
      <c r="D586" s="170"/>
      <c r="E586" s="170"/>
      <c r="F586" s="170"/>
      <c r="G586" s="721"/>
      <c r="H586" s="170"/>
      <c r="I586" s="170"/>
      <c r="J586" s="170"/>
      <c r="K586" s="170"/>
      <c r="L586" s="170"/>
      <c r="M586" s="730"/>
      <c r="N586" s="730"/>
      <c r="O586" s="730"/>
      <c r="P586" s="731"/>
      <c r="Q586" s="731"/>
      <c r="R586" s="730"/>
      <c r="S586" s="730"/>
      <c r="T586" s="723"/>
      <c r="U586" s="724"/>
      <c r="V586" s="725"/>
      <c r="W586" s="725"/>
      <c r="X586" s="723"/>
      <c r="Y586" s="723"/>
      <c r="Z586" s="723"/>
      <c r="AA586" s="726"/>
      <c r="AB586" s="726"/>
      <c r="AC586" s="170"/>
      <c r="AD586" s="586"/>
      <c r="AE586" s="586"/>
      <c r="AF586" s="170"/>
      <c r="AG586" s="170"/>
      <c r="AH586" s="170"/>
      <c r="AI586" s="170"/>
      <c r="AJ586" s="170"/>
      <c r="AK586" s="170"/>
      <c r="AL586" s="170"/>
      <c r="AM586" s="170"/>
      <c r="AN586" s="170"/>
      <c r="AO586" s="170"/>
      <c r="AP586" s="170"/>
      <c r="AQ586" s="170"/>
      <c r="AR586" s="170"/>
      <c r="AS586" s="170"/>
      <c r="AT586" s="170"/>
      <c r="AU586" s="170"/>
      <c r="AV586" s="170"/>
      <c r="AW586" s="170"/>
      <c r="AX586" s="170"/>
    </row>
    <row r="587" spans="1:50" ht="15" x14ac:dyDescent="0.25">
      <c r="A587" s="170"/>
      <c r="B587" s="719"/>
      <c r="C587" s="170"/>
      <c r="D587" s="170"/>
      <c r="E587" s="170"/>
      <c r="F587" s="170"/>
      <c r="G587" s="721"/>
      <c r="H587" s="170"/>
      <c r="I587" s="170"/>
      <c r="J587" s="170"/>
      <c r="K587" s="170"/>
      <c r="L587" s="170"/>
      <c r="M587" s="730"/>
      <c r="N587" s="730"/>
      <c r="O587" s="730"/>
      <c r="P587" s="731"/>
      <c r="Q587" s="731"/>
      <c r="R587" s="730"/>
      <c r="S587" s="730"/>
      <c r="T587" s="723"/>
      <c r="U587" s="724"/>
      <c r="V587" s="725"/>
      <c r="W587" s="725"/>
      <c r="X587" s="723"/>
      <c r="Y587" s="723"/>
      <c r="Z587" s="723"/>
      <c r="AA587" s="726"/>
      <c r="AB587" s="726"/>
      <c r="AC587" s="170"/>
      <c r="AD587" s="586"/>
      <c r="AE587" s="586"/>
      <c r="AF587" s="170"/>
      <c r="AG587" s="170"/>
      <c r="AH587" s="170"/>
      <c r="AI587" s="170"/>
      <c r="AJ587" s="170"/>
      <c r="AK587" s="170"/>
      <c r="AL587" s="170"/>
      <c r="AM587" s="170"/>
      <c r="AN587" s="170"/>
      <c r="AO587" s="170"/>
      <c r="AP587" s="170"/>
      <c r="AQ587" s="170"/>
      <c r="AR587" s="170"/>
      <c r="AS587" s="170"/>
      <c r="AT587" s="170"/>
      <c r="AU587" s="170"/>
      <c r="AV587" s="170"/>
      <c r="AW587" s="170"/>
      <c r="AX587" s="170"/>
    </row>
    <row r="588" spans="1:50" ht="15" x14ac:dyDescent="0.25">
      <c r="A588" s="170"/>
      <c r="B588" s="719"/>
      <c r="C588" s="170"/>
      <c r="D588" s="170"/>
      <c r="E588" s="170"/>
      <c r="F588" s="170"/>
      <c r="G588" s="721"/>
      <c r="H588" s="170"/>
      <c r="I588" s="170"/>
      <c r="J588" s="170"/>
      <c r="K588" s="170"/>
      <c r="L588" s="170"/>
      <c r="M588" s="730"/>
      <c r="N588" s="730"/>
      <c r="O588" s="730"/>
      <c r="P588" s="731"/>
      <c r="Q588" s="731"/>
      <c r="R588" s="730"/>
      <c r="S588" s="730"/>
      <c r="T588" s="723"/>
      <c r="U588" s="724"/>
      <c r="V588" s="725"/>
      <c r="W588" s="725"/>
      <c r="X588" s="723"/>
      <c r="Y588" s="723"/>
      <c r="Z588" s="723"/>
      <c r="AA588" s="726"/>
      <c r="AB588" s="726"/>
      <c r="AC588" s="170"/>
      <c r="AD588" s="586"/>
      <c r="AE588" s="586"/>
      <c r="AF588" s="170"/>
      <c r="AG588" s="170"/>
      <c r="AH588" s="170"/>
      <c r="AI588" s="170"/>
      <c r="AJ588" s="170"/>
      <c r="AK588" s="170"/>
      <c r="AL588" s="170"/>
      <c r="AM588" s="170"/>
      <c r="AN588" s="170"/>
      <c r="AO588" s="170"/>
      <c r="AP588" s="170"/>
      <c r="AQ588" s="170"/>
      <c r="AR588" s="170"/>
      <c r="AS588" s="170"/>
      <c r="AT588" s="170"/>
      <c r="AU588" s="170"/>
      <c r="AV588" s="170"/>
      <c r="AW588" s="170"/>
      <c r="AX588" s="170"/>
    </row>
    <row r="589" spans="1:50" ht="15" x14ac:dyDescent="0.25">
      <c r="A589" s="170"/>
      <c r="B589" s="719"/>
      <c r="C589" s="170"/>
      <c r="D589" s="170"/>
      <c r="E589" s="170"/>
      <c r="F589" s="170"/>
      <c r="G589" s="721"/>
      <c r="H589" s="170"/>
      <c r="I589" s="170"/>
      <c r="J589" s="170"/>
      <c r="K589" s="170"/>
      <c r="L589" s="170"/>
      <c r="M589" s="730"/>
      <c r="N589" s="730"/>
      <c r="O589" s="730"/>
      <c r="P589" s="731"/>
      <c r="Q589" s="731"/>
      <c r="R589" s="730"/>
      <c r="S589" s="730"/>
      <c r="T589" s="723"/>
      <c r="U589" s="724"/>
      <c r="V589" s="725"/>
      <c r="W589" s="725"/>
      <c r="X589" s="723"/>
      <c r="Y589" s="723"/>
      <c r="Z589" s="723"/>
      <c r="AA589" s="726"/>
      <c r="AB589" s="726"/>
      <c r="AC589" s="170"/>
      <c r="AD589" s="586"/>
      <c r="AE589" s="586"/>
      <c r="AF589" s="170"/>
      <c r="AG589" s="170"/>
      <c r="AH589" s="170"/>
      <c r="AI589" s="170"/>
      <c r="AJ589" s="170"/>
      <c r="AK589" s="170"/>
      <c r="AL589" s="170"/>
      <c r="AM589" s="170"/>
      <c r="AN589" s="170"/>
      <c r="AO589" s="170"/>
      <c r="AP589" s="170"/>
      <c r="AQ589" s="170"/>
      <c r="AR589" s="170"/>
      <c r="AS589" s="170"/>
      <c r="AT589" s="170"/>
      <c r="AU589" s="170"/>
      <c r="AV589" s="170"/>
      <c r="AW589" s="170"/>
      <c r="AX589" s="170"/>
    </row>
    <row r="590" spans="1:50" ht="15" x14ac:dyDescent="0.25">
      <c r="A590" s="170"/>
      <c r="B590" s="719"/>
      <c r="C590" s="170"/>
      <c r="D590" s="170"/>
      <c r="E590" s="170"/>
      <c r="F590" s="170"/>
      <c r="G590" s="721"/>
      <c r="H590" s="170"/>
      <c r="I590" s="170"/>
      <c r="J590" s="170"/>
      <c r="K590" s="170"/>
      <c r="L590" s="170"/>
      <c r="M590" s="730"/>
      <c r="N590" s="730"/>
      <c r="O590" s="730"/>
      <c r="P590" s="731"/>
      <c r="Q590" s="731"/>
      <c r="R590" s="730"/>
      <c r="S590" s="730"/>
      <c r="T590" s="723"/>
      <c r="U590" s="724"/>
      <c r="V590" s="725"/>
      <c r="W590" s="725"/>
      <c r="X590" s="723"/>
      <c r="Y590" s="723"/>
      <c r="Z590" s="723"/>
      <c r="AA590" s="726"/>
      <c r="AB590" s="726"/>
      <c r="AC590" s="170"/>
      <c r="AD590" s="586"/>
      <c r="AE590" s="586"/>
      <c r="AF590" s="170"/>
      <c r="AG590" s="170"/>
      <c r="AH590" s="170"/>
      <c r="AI590" s="170"/>
      <c r="AJ590" s="170"/>
      <c r="AK590" s="170"/>
      <c r="AL590" s="170"/>
      <c r="AM590" s="170"/>
      <c r="AN590" s="170"/>
      <c r="AO590" s="170"/>
      <c r="AP590" s="170"/>
      <c r="AQ590" s="170"/>
      <c r="AR590" s="170"/>
      <c r="AS590" s="170"/>
      <c r="AT590" s="170"/>
      <c r="AU590" s="170"/>
      <c r="AV590" s="170"/>
      <c r="AW590" s="170"/>
      <c r="AX590" s="170"/>
    </row>
    <row r="591" spans="1:50" ht="15" x14ac:dyDescent="0.25">
      <c r="A591" s="170"/>
      <c r="B591" s="719"/>
      <c r="C591" s="170"/>
      <c r="D591" s="170"/>
      <c r="E591" s="170"/>
      <c r="F591" s="170"/>
      <c r="G591" s="721"/>
      <c r="H591" s="170"/>
      <c r="I591" s="170"/>
      <c r="J591" s="170"/>
      <c r="K591" s="170"/>
      <c r="L591" s="170"/>
      <c r="M591" s="730"/>
      <c r="N591" s="730"/>
      <c r="O591" s="730"/>
      <c r="P591" s="731"/>
      <c r="Q591" s="731"/>
      <c r="R591" s="730"/>
      <c r="S591" s="730"/>
      <c r="T591" s="723"/>
      <c r="U591" s="724"/>
      <c r="V591" s="725"/>
      <c r="W591" s="725"/>
      <c r="X591" s="723"/>
      <c r="Y591" s="723"/>
      <c r="Z591" s="723"/>
      <c r="AA591" s="726"/>
      <c r="AB591" s="726"/>
      <c r="AC591" s="170"/>
      <c r="AD591" s="586"/>
      <c r="AE591" s="586"/>
      <c r="AF591" s="170"/>
      <c r="AG591" s="170"/>
      <c r="AH591" s="170"/>
      <c r="AI591" s="170"/>
      <c r="AJ591" s="170"/>
      <c r="AK591" s="170"/>
      <c r="AL591" s="170"/>
      <c r="AM591" s="170"/>
      <c r="AN591" s="170"/>
      <c r="AO591" s="170"/>
      <c r="AP591" s="170"/>
      <c r="AQ591" s="170"/>
      <c r="AR591" s="170"/>
      <c r="AS591" s="170"/>
      <c r="AT591" s="170"/>
      <c r="AU591" s="170"/>
      <c r="AV591" s="170"/>
      <c r="AW591" s="170"/>
      <c r="AX591" s="170"/>
    </row>
    <row r="592" spans="1:50" ht="15" x14ac:dyDescent="0.25">
      <c r="A592" s="170"/>
      <c r="B592" s="719"/>
      <c r="C592" s="170"/>
      <c r="D592" s="170"/>
      <c r="E592" s="170"/>
      <c r="F592" s="170"/>
      <c r="G592" s="721"/>
      <c r="H592" s="170"/>
      <c r="I592" s="170"/>
      <c r="J592" s="170"/>
      <c r="K592" s="170"/>
      <c r="L592" s="170"/>
      <c r="M592" s="730"/>
      <c r="N592" s="730"/>
      <c r="O592" s="730"/>
      <c r="P592" s="731"/>
      <c r="Q592" s="731"/>
      <c r="R592" s="730"/>
      <c r="S592" s="730"/>
      <c r="T592" s="723"/>
      <c r="U592" s="724"/>
      <c r="V592" s="725"/>
      <c r="W592" s="725"/>
      <c r="X592" s="723"/>
      <c r="Y592" s="723"/>
      <c r="Z592" s="723"/>
      <c r="AA592" s="726"/>
      <c r="AB592" s="726"/>
      <c r="AC592" s="170"/>
      <c r="AD592" s="586"/>
      <c r="AE592" s="586"/>
      <c r="AF592" s="170"/>
      <c r="AG592" s="170"/>
      <c r="AH592" s="170"/>
      <c r="AI592" s="170"/>
      <c r="AJ592" s="170"/>
      <c r="AK592" s="170"/>
      <c r="AL592" s="170"/>
      <c r="AM592" s="170"/>
      <c r="AN592" s="170"/>
      <c r="AO592" s="170"/>
      <c r="AP592" s="170"/>
      <c r="AQ592" s="170"/>
      <c r="AR592" s="170"/>
      <c r="AS592" s="170"/>
      <c r="AT592" s="170"/>
      <c r="AU592" s="170"/>
      <c r="AV592" s="170"/>
      <c r="AW592" s="170"/>
      <c r="AX592" s="170"/>
    </row>
    <row r="593" spans="1:50" ht="15" x14ac:dyDescent="0.25">
      <c r="A593" s="170"/>
      <c r="B593" s="719"/>
      <c r="C593" s="170"/>
      <c r="D593" s="170"/>
      <c r="E593" s="170"/>
      <c r="F593" s="170"/>
      <c r="G593" s="721"/>
      <c r="H593" s="170"/>
      <c r="I593" s="170"/>
      <c r="J593" s="170"/>
      <c r="K593" s="170"/>
      <c r="L593" s="170"/>
      <c r="M593" s="730"/>
      <c r="N593" s="730"/>
      <c r="O593" s="730"/>
      <c r="P593" s="731"/>
      <c r="Q593" s="731"/>
      <c r="R593" s="730"/>
      <c r="S593" s="730"/>
      <c r="T593" s="723"/>
      <c r="U593" s="724"/>
      <c r="V593" s="725"/>
      <c r="W593" s="725"/>
      <c r="X593" s="723"/>
      <c r="Y593" s="723"/>
      <c r="Z593" s="723"/>
      <c r="AA593" s="726"/>
      <c r="AB593" s="726"/>
      <c r="AC593" s="170"/>
      <c r="AD593" s="586"/>
      <c r="AE593" s="586"/>
      <c r="AF593" s="170"/>
      <c r="AG593" s="170"/>
      <c r="AH593" s="170"/>
      <c r="AI593" s="170"/>
      <c r="AJ593" s="170"/>
      <c r="AK593" s="170"/>
      <c r="AL593" s="170"/>
      <c r="AM593" s="170"/>
      <c r="AN593" s="170"/>
      <c r="AO593" s="170"/>
      <c r="AP593" s="170"/>
      <c r="AQ593" s="170"/>
      <c r="AR593" s="170"/>
      <c r="AS593" s="170"/>
      <c r="AT593" s="170"/>
      <c r="AU593" s="170"/>
      <c r="AV593" s="170"/>
      <c r="AW593" s="170"/>
      <c r="AX593" s="170"/>
    </row>
    <row r="594" spans="1:50" ht="15" x14ac:dyDescent="0.25">
      <c r="A594" s="170"/>
      <c r="B594" s="719"/>
      <c r="C594" s="170"/>
      <c r="D594" s="170"/>
      <c r="E594" s="170"/>
      <c r="F594" s="170"/>
      <c r="G594" s="721"/>
      <c r="H594" s="170"/>
      <c r="I594" s="170"/>
      <c r="J594" s="170"/>
      <c r="K594" s="170"/>
      <c r="L594" s="170"/>
      <c r="M594" s="730"/>
      <c r="N594" s="730"/>
      <c r="O594" s="730"/>
      <c r="P594" s="731"/>
      <c r="Q594" s="731"/>
      <c r="R594" s="730"/>
      <c r="S594" s="730"/>
      <c r="T594" s="723"/>
      <c r="U594" s="724"/>
      <c r="V594" s="725"/>
      <c r="W594" s="725"/>
      <c r="X594" s="723"/>
      <c r="Y594" s="723"/>
      <c r="Z594" s="723"/>
      <c r="AA594" s="726"/>
      <c r="AB594" s="726"/>
      <c r="AC594" s="170"/>
      <c r="AD594" s="586"/>
      <c r="AE594" s="586"/>
      <c r="AF594" s="170"/>
      <c r="AG594" s="170"/>
      <c r="AH594" s="170"/>
      <c r="AI594" s="170"/>
      <c r="AJ594" s="170"/>
      <c r="AK594" s="170"/>
      <c r="AL594" s="170"/>
      <c r="AM594" s="170"/>
      <c r="AN594" s="170"/>
      <c r="AO594" s="170"/>
      <c r="AP594" s="170"/>
      <c r="AQ594" s="170"/>
      <c r="AR594" s="170"/>
      <c r="AS594" s="170"/>
      <c r="AT594" s="170"/>
      <c r="AU594" s="170"/>
      <c r="AV594" s="170"/>
      <c r="AW594" s="170"/>
      <c r="AX594" s="170"/>
    </row>
    <row r="595" spans="1:50" ht="15" x14ac:dyDescent="0.25">
      <c r="A595" s="170"/>
      <c r="B595" s="719"/>
      <c r="C595" s="170"/>
      <c r="D595" s="170"/>
      <c r="E595" s="170"/>
      <c r="F595" s="170"/>
      <c r="G595" s="721"/>
      <c r="H595" s="170"/>
      <c r="I595" s="170"/>
      <c r="J595" s="170"/>
      <c r="K595" s="170"/>
      <c r="L595" s="170"/>
      <c r="M595" s="730"/>
      <c r="N595" s="730"/>
      <c r="O595" s="730"/>
      <c r="P595" s="731"/>
      <c r="Q595" s="731"/>
      <c r="R595" s="730"/>
      <c r="S595" s="730"/>
      <c r="T595" s="723"/>
      <c r="U595" s="724"/>
      <c r="V595" s="725"/>
      <c r="W595" s="725"/>
      <c r="X595" s="723"/>
      <c r="Y595" s="723"/>
      <c r="Z595" s="723"/>
      <c r="AA595" s="726"/>
      <c r="AB595" s="726"/>
      <c r="AC595" s="170"/>
      <c r="AD595" s="586"/>
      <c r="AE595" s="586"/>
      <c r="AF595" s="170"/>
      <c r="AG595" s="170"/>
      <c r="AH595" s="170"/>
      <c r="AI595" s="170"/>
      <c r="AJ595" s="170"/>
      <c r="AK595" s="170"/>
      <c r="AL595" s="170"/>
      <c r="AM595" s="170"/>
      <c r="AN595" s="170"/>
      <c r="AO595" s="170"/>
      <c r="AP595" s="170"/>
      <c r="AQ595" s="170"/>
      <c r="AR595" s="170"/>
      <c r="AS595" s="170"/>
      <c r="AT595" s="170"/>
      <c r="AU595" s="170"/>
      <c r="AV595" s="170"/>
      <c r="AW595" s="170"/>
      <c r="AX595" s="170"/>
    </row>
    <row r="596" spans="1:50" ht="15" x14ac:dyDescent="0.25">
      <c r="A596" s="170"/>
      <c r="B596" s="719"/>
      <c r="C596" s="170"/>
      <c r="D596" s="170"/>
      <c r="E596" s="170"/>
      <c r="F596" s="170"/>
      <c r="G596" s="721"/>
      <c r="H596" s="170"/>
      <c r="I596" s="170"/>
      <c r="J596" s="170"/>
      <c r="K596" s="170"/>
      <c r="L596" s="170"/>
      <c r="M596" s="730"/>
      <c r="N596" s="730"/>
      <c r="O596" s="730"/>
      <c r="P596" s="731"/>
      <c r="Q596" s="731"/>
      <c r="R596" s="730"/>
      <c r="S596" s="730"/>
      <c r="T596" s="723"/>
      <c r="U596" s="724"/>
      <c r="V596" s="725"/>
      <c r="W596" s="725"/>
      <c r="X596" s="723"/>
      <c r="Y596" s="723"/>
      <c r="Z596" s="723"/>
      <c r="AA596" s="726"/>
      <c r="AB596" s="726"/>
      <c r="AC596" s="170"/>
      <c r="AD596" s="586"/>
      <c r="AE596" s="586"/>
      <c r="AF596" s="170"/>
      <c r="AG596" s="170"/>
      <c r="AH596" s="170"/>
      <c r="AI596" s="170"/>
      <c r="AJ596" s="170"/>
      <c r="AK596" s="170"/>
      <c r="AL596" s="170"/>
      <c r="AM596" s="170"/>
      <c r="AN596" s="170"/>
      <c r="AO596" s="170"/>
      <c r="AP596" s="170"/>
      <c r="AQ596" s="170"/>
      <c r="AR596" s="170"/>
      <c r="AS596" s="170"/>
      <c r="AT596" s="170"/>
      <c r="AU596" s="170"/>
      <c r="AV596" s="170"/>
      <c r="AW596" s="170"/>
      <c r="AX596" s="170"/>
    </row>
    <row r="597" spans="1:50" ht="15" x14ac:dyDescent="0.25">
      <c r="A597" s="170"/>
      <c r="B597" s="719"/>
      <c r="C597" s="170"/>
      <c r="D597" s="170"/>
      <c r="E597" s="170"/>
      <c r="F597" s="170"/>
      <c r="G597" s="721"/>
      <c r="H597" s="170"/>
      <c r="I597" s="170"/>
      <c r="J597" s="170"/>
      <c r="K597" s="170"/>
      <c r="L597" s="170"/>
      <c r="M597" s="730"/>
      <c r="N597" s="730"/>
      <c r="O597" s="730"/>
      <c r="P597" s="731"/>
      <c r="Q597" s="731"/>
      <c r="R597" s="730"/>
      <c r="S597" s="730"/>
      <c r="T597" s="723"/>
      <c r="U597" s="724"/>
      <c r="V597" s="725"/>
      <c r="W597" s="725"/>
      <c r="X597" s="723"/>
      <c r="Y597" s="723"/>
      <c r="Z597" s="723"/>
      <c r="AA597" s="726"/>
      <c r="AB597" s="726"/>
      <c r="AC597" s="170"/>
      <c r="AD597" s="586"/>
      <c r="AE597" s="586"/>
      <c r="AF597" s="170"/>
      <c r="AG597" s="170"/>
      <c r="AH597" s="170"/>
      <c r="AI597" s="170"/>
      <c r="AJ597" s="170"/>
      <c r="AK597" s="170"/>
      <c r="AL597" s="170"/>
      <c r="AM597" s="170"/>
      <c r="AN597" s="170"/>
      <c r="AO597" s="170"/>
      <c r="AP597" s="170"/>
      <c r="AQ597" s="170"/>
      <c r="AR597" s="170"/>
      <c r="AS597" s="170"/>
      <c r="AT597" s="170"/>
      <c r="AU597" s="170"/>
      <c r="AV597" s="170"/>
      <c r="AW597" s="170"/>
      <c r="AX597" s="170"/>
    </row>
    <row r="598" spans="1:50" ht="15" x14ac:dyDescent="0.25">
      <c r="A598" s="170"/>
      <c r="B598" s="719"/>
      <c r="C598" s="170"/>
      <c r="D598" s="170"/>
      <c r="E598" s="170"/>
      <c r="F598" s="170"/>
      <c r="G598" s="721"/>
      <c r="H598" s="170"/>
      <c r="I598" s="170"/>
      <c r="J598" s="170"/>
      <c r="K598" s="170"/>
      <c r="L598" s="170"/>
      <c r="M598" s="730"/>
      <c r="N598" s="730"/>
      <c r="O598" s="730"/>
      <c r="P598" s="731"/>
      <c r="Q598" s="731"/>
      <c r="R598" s="730"/>
      <c r="S598" s="730"/>
      <c r="T598" s="723"/>
      <c r="U598" s="724"/>
      <c r="V598" s="725"/>
      <c r="W598" s="725"/>
      <c r="X598" s="723"/>
      <c r="Y598" s="723"/>
      <c r="Z598" s="723"/>
      <c r="AA598" s="726"/>
      <c r="AB598" s="726"/>
      <c r="AC598" s="170"/>
      <c r="AD598" s="586"/>
      <c r="AE598" s="586"/>
      <c r="AF598" s="170"/>
      <c r="AG598" s="170"/>
      <c r="AH598" s="170"/>
      <c r="AI598" s="170"/>
      <c r="AJ598" s="170"/>
      <c r="AK598" s="170"/>
      <c r="AL598" s="170"/>
      <c r="AM598" s="170"/>
      <c r="AN598" s="170"/>
      <c r="AO598" s="170"/>
      <c r="AP598" s="170"/>
      <c r="AQ598" s="170"/>
      <c r="AR598" s="170"/>
      <c r="AS598" s="170"/>
      <c r="AT598" s="170"/>
      <c r="AU598" s="170"/>
      <c r="AV598" s="170"/>
      <c r="AW598" s="170"/>
      <c r="AX598" s="170"/>
    </row>
    <row r="599" spans="1:50" ht="15" x14ac:dyDescent="0.25">
      <c r="A599" s="170"/>
      <c r="B599" s="719"/>
      <c r="C599" s="170"/>
      <c r="D599" s="170"/>
      <c r="E599" s="170"/>
      <c r="F599" s="170"/>
      <c r="G599" s="721"/>
      <c r="H599" s="170"/>
      <c r="I599" s="170"/>
      <c r="J599" s="170"/>
      <c r="K599" s="170"/>
      <c r="L599" s="170"/>
      <c r="M599" s="730"/>
      <c r="N599" s="730"/>
      <c r="O599" s="730"/>
      <c r="P599" s="731"/>
      <c r="Q599" s="731"/>
      <c r="R599" s="730"/>
      <c r="S599" s="730"/>
      <c r="T599" s="723"/>
      <c r="U599" s="724"/>
      <c r="V599" s="725"/>
      <c r="W599" s="725"/>
      <c r="X599" s="723"/>
      <c r="Y599" s="723"/>
      <c r="Z599" s="723"/>
      <c r="AA599" s="726"/>
      <c r="AB599" s="726"/>
      <c r="AC599" s="170"/>
      <c r="AD599" s="586"/>
      <c r="AE599" s="586"/>
      <c r="AF599" s="170"/>
      <c r="AG599" s="170"/>
      <c r="AH599" s="170"/>
      <c r="AI599" s="170"/>
      <c r="AJ599" s="170"/>
      <c r="AK599" s="170"/>
      <c r="AL599" s="170"/>
      <c r="AM599" s="170"/>
      <c r="AN599" s="170"/>
      <c r="AO599" s="170"/>
      <c r="AP599" s="170"/>
      <c r="AQ599" s="170"/>
      <c r="AR599" s="170"/>
      <c r="AS599" s="170"/>
      <c r="AT599" s="170"/>
      <c r="AU599" s="170"/>
      <c r="AV599" s="170"/>
      <c r="AW599" s="170"/>
      <c r="AX599" s="170"/>
    </row>
    <row r="600" spans="1:50" ht="15" x14ac:dyDescent="0.25">
      <c r="A600" s="170"/>
      <c r="B600" s="719"/>
      <c r="C600" s="170"/>
      <c r="D600" s="170"/>
      <c r="E600" s="170"/>
      <c r="F600" s="170"/>
      <c r="G600" s="721"/>
      <c r="H600" s="170"/>
      <c r="I600" s="170"/>
      <c r="J600" s="170"/>
      <c r="K600" s="170"/>
      <c r="L600" s="170"/>
      <c r="M600" s="730"/>
      <c r="N600" s="730"/>
      <c r="O600" s="730"/>
      <c r="P600" s="731"/>
      <c r="Q600" s="731"/>
      <c r="R600" s="730"/>
      <c r="S600" s="730"/>
      <c r="T600" s="723"/>
      <c r="U600" s="724"/>
      <c r="V600" s="725"/>
      <c r="W600" s="725"/>
      <c r="X600" s="723"/>
      <c r="Y600" s="723"/>
      <c r="Z600" s="723"/>
      <c r="AA600" s="726"/>
      <c r="AB600" s="726"/>
      <c r="AC600" s="170"/>
      <c r="AD600" s="586"/>
      <c r="AE600" s="586"/>
      <c r="AF600" s="170"/>
      <c r="AG600" s="170"/>
      <c r="AH600" s="170"/>
      <c r="AI600" s="170"/>
      <c r="AJ600" s="170"/>
      <c r="AK600" s="170"/>
      <c r="AL600" s="170"/>
      <c r="AM600" s="170"/>
      <c r="AN600" s="170"/>
      <c r="AO600" s="170"/>
      <c r="AP600" s="170"/>
      <c r="AQ600" s="170"/>
      <c r="AR600" s="170"/>
      <c r="AS600" s="170"/>
      <c r="AT600" s="170"/>
      <c r="AU600" s="170"/>
      <c r="AV600" s="170"/>
      <c r="AW600" s="170"/>
      <c r="AX600" s="170"/>
    </row>
    <row r="601" spans="1:50" ht="15" x14ac:dyDescent="0.25">
      <c r="A601" s="170"/>
      <c r="B601" s="719"/>
      <c r="C601" s="170"/>
      <c r="D601" s="170"/>
      <c r="E601" s="170"/>
      <c r="F601" s="170"/>
      <c r="G601" s="721"/>
      <c r="H601" s="170"/>
      <c r="I601" s="170"/>
      <c r="J601" s="170"/>
      <c r="K601" s="170"/>
      <c r="L601" s="170"/>
      <c r="M601" s="730"/>
      <c r="N601" s="730"/>
      <c r="O601" s="730"/>
      <c r="P601" s="731"/>
      <c r="Q601" s="731"/>
      <c r="R601" s="730"/>
      <c r="S601" s="730"/>
      <c r="T601" s="723"/>
      <c r="U601" s="724"/>
      <c r="V601" s="725"/>
      <c r="W601" s="725"/>
      <c r="X601" s="723"/>
      <c r="Y601" s="723"/>
      <c r="Z601" s="723"/>
      <c r="AA601" s="726"/>
      <c r="AB601" s="726"/>
      <c r="AC601" s="170"/>
      <c r="AD601" s="586"/>
      <c r="AE601" s="586"/>
      <c r="AF601" s="170"/>
      <c r="AG601" s="170"/>
      <c r="AH601" s="170"/>
      <c r="AI601" s="170"/>
      <c r="AJ601" s="170"/>
      <c r="AK601" s="170"/>
      <c r="AL601" s="170"/>
      <c r="AM601" s="170"/>
      <c r="AN601" s="170"/>
      <c r="AO601" s="170"/>
      <c r="AP601" s="170"/>
      <c r="AQ601" s="170"/>
      <c r="AR601" s="170"/>
      <c r="AS601" s="170"/>
      <c r="AT601" s="170"/>
      <c r="AU601" s="170"/>
      <c r="AV601" s="170"/>
      <c r="AW601" s="170"/>
      <c r="AX601" s="170"/>
    </row>
    <row r="602" spans="1:50" ht="15" x14ac:dyDescent="0.25">
      <c r="A602" s="170"/>
      <c r="B602" s="719"/>
      <c r="C602" s="170"/>
      <c r="D602" s="170"/>
      <c r="E602" s="170"/>
      <c r="F602" s="170"/>
      <c r="G602" s="721"/>
      <c r="H602" s="170"/>
      <c r="I602" s="170"/>
      <c r="J602" s="170"/>
      <c r="K602" s="170"/>
      <c r="L602" s="170"/>
      <c r="M602" s="730"/>
      <c r="N602" s="730"/>
      <c r="O602" s="730"/>
      <c r="P602" s="731"/>
      <c r="Q602" s="731"/>
      <c r="R602" s="730"/>
      <c r="S602" s="730"/>
      <c r="T602" s="723"/>
      <c r="U602" s="724"/>
      <c r="V602" s="725"/>
      <c r="W602" s="725"/>
      <c r="X602" s="723"/>
      <c r="Y602" s="723"/>
      <c r="Z602" s="723"/>
      <c r="AA602" s="726"/>
      <c r="AB602" s="726"/>
      <c r="AC602" s="170"/>
      <c r="AD602" s="586"/>
      <c r="AE602" s="586"/>
      <c r="AF602" s="170"/>
      <c r="AG602" s="170"/>
      <c r="AH602" s="170"/>
      <c r="AI602" s="170"/>
      <c r="AJ602" s="170"/>
      <c r="AK602" s="170"/>
      <c r="AL602" s="170"/>
      <c r="AM602" s="170"/>
      <c r="AN602" s="170"/>
      <c r="AO602" s="170"/>
      <c r="AP602" s="170"/>
      <c r="AQ602" s="170"/>
      <c r="AR602" s="170"/>
      <c r="AS602" s="170"/>
      <c r="AT602" s="170"/>
      <c r="AU602" s="170"/>
      <c r="AV602" s="170"/>
      <c r="AW602" s="170"/>
      <c r="AX602" s="170"/>
    </row>
    <row r="603" spans="1:50" ht="15" x14ac:dyDescent="0.25">
      <c r="A603" s="170"/>
      <c r="B603" s="719"/>
      <c r="C603" s="170"/>
      <c r="D603" s="170"/>
      <c r="E603" s="170"/>
      <c r="F603" s="170"/>
      <c r="G603" s="721"/>
      <c r="H603" s="170"/>
      <c r="I603" s="170"/>
      <c r="J603" s="170"/>
      <c r="K603" s="170"/>
      <c r="L603" s="170"/>
      <c r="M603" s="730"/>
      <c r="N603" s="730"/>
      <c r="O603" s="730"/>
      <c r="P603" s="731"/>
      <c r="Q603" s="731"/>
      <c r="R603" s="730"/>
      <c r="S603" s="730"/>
      <c r="T603" s="723"/>
      <c r="U603" s="724"/>
      <c r="V603" s="725"/>
      <c r="W603" s="725"/>
      <c r="X603" s="723"/>
      <c r="Y603" s="723"/>
      <c r="Z603" s="723"/>
      <c r="AA603" s="726"/>
      <c r="AB603" s="726"/>
      <c r="AC603" s="170"/>
      <c r="AD603" s="586"/>
      <c r="AE603" s="586"/>
      <c r="AF603" s="170"/>
      <c r="AG603" s="170"/>
      <c r="AH603" s="170"/>
      <c r="AI603" s="170"/>
      <c r="AJ603" s="170"/>
      <c r="AK603" s="170"/>
      <c r="AL603" s="170"/>
      <c r="AM603" s="170"/>
      <c r="AN603" s="170"/>
      <c r="AO603" s="170"/>
      <c r="AP603" s="170"/>
      <c r="AQ603" s="170"/>
      <c r="AR603" s="170"/>
      <c r="AS603" s="170"/>
      <c r="AT603" s="170"/>
      <c r="AU603" s="170"/>
      <c r="AV603" s="170"/>
      <c r="AW603" s="170"/>
      <c r="AX603" s="170"/>
    </row>
    <row r="604" spans="1:50" ht="15" x14ac:dyDescent="0.25">
      <c r="A604" s="170"/>
      <c r="B604" s="719"/>
      <c r="C604" s="170"/>
      <c r="D604" s="170"/>
      <c r="E604" s="170"/>
      <c r="F604" s="170"/>
      <c r="G604" s="721"/>
      <c r="H604" s="170"/>
      <c r="I604" s="170"/>
      <c r="J604" s="170"/>
      <c r="K604" s="170"/>
      <c r="L604" s="170"/>
      <c r="M604" s="730"/>
      <c r="N604" s="730"/>
      <c r="O604" s="730"/>
      <c r="P604" s="731"/>
      <c r="Q604" s="731"/>
      <c r="R604" s="730"/>
      <c r="S604" s="730"/>
      <c r="T604" s="723"/>
      <c r="U604" s="724"/>
      <c r="V604" s="725"/>
      <c r="W604" s="725"/>
      <c r="X604" s="723"/>
      <c r="Y604" s="723"/>
      <c r="Z604" s="723"/>
      <c r="AA604" s="726"/>
      <c r="AB604" s="726"/>
      <c r="AC604" s="170"/>
      <c r="AD604" s="586"/>
      <c r="AE604" s="586"/>
      <c r="AF604" s="170"/>
      <c r="AG604" s="170"/>
      <c r="AH604" s="170"/>
      <c r="AI604" s="170"/>
      <c r="AJ604" s="170"/>
      <c r="AK604" s="170"/>
      <c r="AL604" s="170"/>
      <c r="AM604" s="170"/>
      <c r="AN604" s="170"/>
      <c r="AO604" s="170"/>
      <c r="AP604" s="170"/>
      <c r="AQ604" s="170"/>
      <c r="AR604" s="170"/>
      <c r="AS604" s="170"/>
      <c r="AT604" s="170"/>
      <c r="AU604" s="170"/>
      <c r="AV604" s="170"/>
      <c r="AW604" s="170"/>
      <c r="AX604" s="170"/>
    </row>
    <row r="605" spans="1:50" ht="15" x14ac:dyDescent="0.25">
      <c r="A605" s="170"/>
      <c r="B605" s="719"/>
      <c r="C605" s="170"/>
      <c r="D605" s="170"/>
      <c r="E605" s="170"/>
      <c r="F605" s="170"/>
      <c r="G605" s="721"/>
      <c r="H605" s="170"/>
      <c r="I605" s="170"/>
      <c r="J605" s="170"/>
      <c r="K605" s="170"/>
      <c r="L605" s="170"/>
      <c r="M605" s="730"/>
      <c r="N605" s="730"/>
      <c r="O605" s="730"/>
      <c r="P605" s="731"/>
      <c r="Q605" s="731"/>
      <c r="R605" s="730"/>
      <c r="S605" s="730"/>
      <c r="T605" s="723"/>
      <c r="U605" s="724"/>
      <c r="V605" s="725"/>
      <c r="W605" s="725"/>
      <c r="X605" s="723"/>
      <c r="Y605" s="723"/>
      <c r="Z605" s="723"/>
      <c r="AA605" s="726"/>
      <c r="AB605" s="726"/>
      <c r="AC605" s="170"/>
      <c r="AD605" s="586"/>
      <c r="AE605" s="586"/>
      <c r="AF605" s="170"/>
      <c r="AG605" s="170"/>
      <c r="AH605" s="170"/>
      <c r="AI605" s="170"/>
      <c r="AJ605" s="170"/>
      <c r="AK605" s="170"/>
      <c r="AL605" s="170"/>
      <c r="AM605" s="170"/>
      <c r="AN605" s="170"/>
      <c r="AO605" s="170"/>
      <c r="AP605" s="170"/>
      <c r="AQ605" s="170"/>
      <c r="AR605" s="170"/>
      <c r="AS605" s="170"/>
      <c r="AT605" s="170"/>
      <c r="AU605" s="170"/>
      <c r="AV605" s="170"/>
      <c r="AW605" s="170"/>
      <c r="AX605" s="170"/>
    </row>
    <row r="606" spans="1:50" ht="15" x14ac:dyDescent="0.25">
      <c r="A606" s="170"/>
      <c r="B606" s="719"/>
      <c r="C606" s="170"/>
      <c r="D606" s="170"/>
      <c r="E606" s="170"/>
      <c r="F606" s="170"/>
      <c r="G606" s="721"/>
      <c r="H606" s="170"/>
      <c r="I606" s="170"/>
      <c r="J606" s="170"/>
      <c r="K606" s="170"/>
      <c r="L606" s="170"/>
      <c r="M606" s="730"/>
      <c r="N606" s="730"/>
      <c r="O606" s="730"/>
      <c r="P606" s="731"/>
      <c r="Q606" s="731"/>
      <c r="R606" s="730"/>
      <c r="S606" s="730"/>
      <c r="T606" s="723"/>
      <c r="U606" s="724"/>
      <c r="V606" s="725"/>
      <c r="W606" s="725"/>
      <c r="X606" s="723"/>
      <c r="Y606" s="723"/>
      <c r="Z606" s="723"/>
      <c r="AA606" s="726"/>
      <c r="AB606" s="726"/>
      <c r="AC606" s="170"/>
      <c r="AD606" s="586"/>
      <c r="AE606" s="586"/>
      <c r="AF606" s="170"/>
      <c r="AG606" s="170"/>
      <c r="AH606" s="170"/>
      <c r="AI606" s="170"/>
      <c r="AJ606" s="170"/>
      <c r="AK606" s="170"/>
      <c r="AL606" s="170"/>
      <c r="AM606" s="170"/>
      <c r="AN606" s="170"/>
      <c r="AO606" s="170"/>
      <c r="AP606" s="170"/>
      <c r="AQ606" s="170"/>
      <c r="AR606" s="170"/>
      <c r="AS606" s="170"/>
      <c r="AT606" s="170"/>
      <c r="AU606" s="170"/>
      <c r="AV606" s="170"/>
      <c r="AW606" s="170"/>
      <c r="AX606" s="170"/>
    </row>
    <row r="607" spans="1:50" ht="15" x14ac:dyDescent="0.25">
      <c r="A607" s="170"/>
      <c r="B607" s="719"/>
      <c r="C607" s="170"/>
      <c r="D607" s="170"/>
      <c r="E607" s="170"/>
      <c r="F607" s="170"/>
      <c r="G607" s="721"/>
      <c r="H607" s="170"/>
      <c r="I607" s="170"/>
      <c r="J607" s="170"/>
      <c r="K607" s="170"/>
      <c r="L607" s="170"/>
      <c r="M607" s="730"/>
      <c r="N607" s="730"/>
      <c r="O607" s="730"/>
      <c r="P607" s="731"/>
      <c r="Q607" s="731"/>
      <c r="R607" s="730"/>
      <c r="S607" s="730"/>
      <c r="T607" s="723"/>
      <c r="U607" s="724"/>
      <c r="V607" s="725"/>
      <c r="W607" s="725"/>
      <c r="X607" s="723"/>
      <c r="Y607" s="723"/>
      <c r="Z607" s="723"/>
      <c r="AA607" s="726"/>
      <c r="AB607" s="726"/>
      <c r="AC607" s="170"/>
      <c r="AD607" s="586"/>
      <c r="AE607" s="586"/>
      <c r="AF607" s="170"/>
      <c r="AG607" s="170"/>
      <c r="AH607" s="170"/>
      <c r="AI607" s="170"/>
      <c r="AJ607" s="170"/>
      <c r="AK607" s="170"/>
      <c r="AL607" s="170"/>
      <c r="AM607" s="170"/>
      <c r="AN607" s="170"/>
      <c r="AO607" s="170"/>
      <c r="AP607" s="170"/>
      <c r="AQ607" s="170"/>
      <c r="AR607" s="170"/>
      <c r="AS607" s="170"/>
      <c r="AT607" s="170"/>
      <c r="AU607" s="170"/>
      <c r="AV607" s="170"/>
      <c r="AW607" s="170"/>
      <c r="AX607" s="170"/>
    </row>
    <row r="608" spans="1:50" ht="15" x14ac:dyDescent="0.25">
      <c r="A608" s="170"/>
      <c r="B608" s="719"/>
      <c r="C608" s="170"/>
      <c r="D608" s="170"/>
      <c r="E608" s="170"/>
      <c r="F608" s="170"/>
      <c r="G608" s="721"/>
      <c r="H608" s="170"/>
      <c r="I608" s="170"/>
      <c r="J608" s="170"/>
      <c r="K608" s="170"/>
      <c r="L608" s="170"/>
      <c r="M608" s="730"/>
      <c r="N608" s="730"/>
      <c r="O608" s="730"/>
      <c r="P608" s="731"/>
      <c r="Q608" s="731"/>
      <c r="R608" s="730"/>
      <c r="S608" s="730"/>
      <c r="T608" s="723"/>
      <c r="U608" s="724"/>
      <c r="V608" s="725"/>
      <c r="W608" s="725"/>
      <c r="X608" s="723"/>
      <c r="Y608" s="723"/>
      <c r="Z608" s="723"/>
      <c r="AA608" s="726"/>
      <c r="AB608" s="726"/>
      <c r="AC608" s="170"/>
      <c r="AD608" s="586"/>
      <c r="AE608" s="586"/>
      <c r="AF608" s="170"/>
      <c r="AG608" s="170"/>
      <c r="AH608" s="170"/>
      <c r="AI608" s="170"/>
      <c r="AJ608" s="170"/>
      <c r="AK608" s="170"/>
      <c r="AL608" s="170"/>
      <c r="AM608" s="170"/>
      <c r="AN608" s="170"/>
      <c r="AO608" s="170"/>
      <c r="AP608" s="170"/>
      <c r="AQ608" s="170"/>
      <c r="AR608" s="170"/>
      <c r="AS608" s="170"/>
      <c r="AT608" s="170"/>
      <c r="AU608" s="170"/>
      <c r="AV608" s="170"/>
      <c r="AW608" s="170"/>
      <c r="AX608" s="170"/>
    </row>
    <row r="609" spans="1:50" ht="15" x14ac:dyDescent="0.25">
      <c r="A609" s="170"/>
      <c r="B609" s="719"/>
      <c r="C609" s="170"/>
      <c r="D609" s="170"/>
      <c r="E609" s="170"/>
      <c r="F609" s="170"/>
      <c r="G609" s="721"/>
      <c r="H609" s="170"/>
      <c r="I609" s="170"/>
      <c r="J609" s="170"/>
      <c r="K609" s="170"/>
      <c r="L609" s="170"/>
      <c r="M609" s="730"/>
      <c r="N609" s="730"/>
      <c r="O609" s="730"/>
      <c r="P609" s="731"/>
      <c r="Q609" s="731"/>
      <c r="R609" s="730"/>
      <c r="S609" s="730"/>
      <c r="T609" s="723"/>
      <c r="U609" s="724"/>
      <c r="V609" s="725"/>
      <c r="W609" s="725"/>
      <c r="X609" s="723"/>
      <c r="Y609" s="723"/>
      <c r="Z609" s="723"/>
      <c r="AA609" s="726"/>
      <c r="AB609" s="726"/>
      <c r="AC609" s="170"/>
      <c r="AD609" s="586"/>
      <c r="AE609" s="586"/>
      <c r="AF609" s="170"/>
      <c r="AG609" s="170"/>
      <c r="AH609" s="170"/>
      <c r="AI609" s="170"/>
      <c r="AJ609" s="170"/>
      <c r="AK609" s="170"/>
      <c r="AL609" s="170"/>
      <c r="AM609" s="170"/>
      <c r="AN609" s="170"/>
      <c r="AO609" s="170"/>
      <c r="AP609" s="170"/>
      <c r="AQ609" s="170"/>
      <c r="AR609" s="170"/>
      <c r="AS609" s="170"/>
      <c r="AT609" s="170"/>
      <c r="AU609" s="170"/>
      <c r="AV609" s="170"/>
      <c r="AW609" s="170"/>
      <c r="AX609" s="170"/>
    </row>
    <row r="610" spans="1:50" ht="15" x14ac:dyDescent="0.25">
      <c r="A610" s="170"/>
      <c r="B610" s="719"/>
      <c r="C610" s="170"/>
      <c r="D610" s="170"/>
      <c r="E610" s="170"/>
      <c r="F610" s="170"/>
      <c r="G610" s="721"/>
      <c r="H610" s="170"/>
      <c r="I610" s="170"/>
      <c r="J610" s="170"/>
      <c r="K610" s="170"/>
      <c r="L610" s="170"/>
      <c r="M610" s="730"/>
      <c r="N610" s="730"/>
      <c r="O610" s="730"/>
      <c r="P610" s="731"/>
      <c r="Q610" s="731"/>
      <c r="R610" s="730"/>
      <c r="S610" s="730"/>
      <c r="T610" s="723"/>
      <c r="U610" s="724"/>
      <c r="V610" s="725"/>
      <c r="W610" s="725"/>
      <c r="X610" s="723"/>
      <c r="Y610" s="723"/>
      <c r="Z610" s="723"/>
      <c r="AA610" s="726"/>
      <c r="AB610" s="726"/>
      <c r="AC610" s="170"/>
      <c r="AD610" s="586"/>
      <c r="AE610" s="586"/>
      <c r="AF610" s="170"/>
      <c r="AG610" s="170"/>
      <c r="AH610" s="170"/>
      <c r="AI610" s="170"/>
      <c r="AJ610" s="170"/>
      <c r="AK610" s="170"/>
      <c r="AL610" s="170"/>
      <c r="AM610" s="170"/>
      <c r="AN610" s="170"/>
      <c r="AO610" s="170"/>
      <c r="AP610" s="170"/>
      <c r="AQ610" s="170"/>
      <c r="AR610" s="170"/>
      <c r="AS610" s="170"/>
      <c r="AT610" s="170"/>
      <c r="AU610" s="170"/>
      <c r="AV610" s="170"/>
      <c r="AW610" s="170"/>
      <c r="AX610" s="170"/>
    </row>
    <row r="611" spans="1:50" ht="15" x14ac:dyDescent="0.25">
      <c r="A611" s="170"/>
      <c r="B611" s="719"/>
      <c r="C611" s="170"/>
      <c r="D611" s="170"/>
      <c r="E611" s="170"/>
      <c r="F611" s="170"/>
      <c r="G611" s="721"/>
      <c r="H611" s="170"/>
      <c r="I611" s="170"/>
      <c r="J611" s="170"/>
      <c r="K611" s="170"/>
      <c r="L611" s="170"/>
      <c r="M611" s="730"/>
      <c r="N611" s="730"/>
      <c r="O611" s="730"/>
      <c r="P611" s="731"/>
      <c r="Q611" s="731"/>
      <c r="R611" s="730"/>
      <c r="S611" s="730"/>
      <c r="T611" s="723"/>
      <c r="U611" s="724"/>
      <c r="V611" s="725"/>
      <c r="W611" s="725"/>
      <c r="X611" s="723"/>
      <c r="Y611" s="723"/>
      <c r="Z611" s="723"/>
      <c r="AA611" s="726"/>
      <c r="AB611" s="726"/>
      <c r="AC611" s="170"/>
      <c r="AD611" s="586"/>
      <c r="AE611" s="586"/>
      <c r="AF611" s="170"/>
      <c r="AG611" s="170"/>
      <c r="AH611" s="170"/>
      <c r="AI611" s="170"/>
      <c r="AJ611" s="170"/>
      <c r="AK611" s="170"/>
      <c r="AL611" s="170"/>
      <c r="AM611" s="170"/>
      <c r="AN611" s="170"/>
      <c r="AO611" s="170"/>
      <c r="AP611" s="170"/>
      <c r="AQ611" s="170"/>
      <c r="AR611" s="170"/>
      <c r="AS611" s="170"/>
      <c r="AT611" s="170"/>
      <c r="AU611" s="170"/>
      <c r="AV611" s="170"/>
      <c r="AW611" s="170"/>
      <c r="AX611" s="170"/>
    </row>
    <row r="612" spans="1:50" ht="15" x14ac:dyDescent="0.25">
      <c r="A612" s="170"/>
      <c r="B612" s="719"/>
      <c r="C612" s="170"/>
      <c r="D612" s="170"/>
      <c r="E612" s="170"/>
      <c r="F612" s="170"/>
      <c r="G612" s="721"/>
      <c r="H612" s="170"/>
      <c r="I612" s="170"/>
      <c r="J612" s="170"/>
      <c r="K612" s="170"/>
      <c r="L612" s="170"/>
      <c r="M612" s="730"/>
      <c r="N612" s="730"/>
      <c r="O612" s="730"/>
      <c r="P612" s="731"/>
      <c r="Q612" s="731"/>
      <c r="R612" s="730"/>
      <c r="S612" s="730"/>
      <c r="T612" s="723"/>
      <c r="U612" s="724"/>
      <c r="V612" s="725"/>
      <c r="W612" s="725"/>
      <c r="X612" s="723"/>
      <c r="Y612" s="723"/>
      <c r="Z612" s="723"/>
      <c r="AA612" s="726"/>
      <c r="AB612" s="726"/>
      <c r="AC612" s="170"/>
      <c r="AD612" s="586"/>
      <c r="AE612" s="586"/>
      <c r="AF612" s="170"/>
      <c r="AG612" s="170"/>
      <c r="AH612" s="170"/>
      <c r="AI612" s="170"/>
      <c r="AJ612" s="170"/>
      <c r="AK612" s="170"/>
      <c r="AL612" s="170"/>
      <c r="AM612" s="170"/>
      <c r="AN612" s="170"/>
      <c r="AO612" s="170"/>
      <c r="AP612" s="170"/>
      <c r="AQ612" s="170"/>
      <c r="AR612" s="170"/>
      <c r="AS612" s="170"/>
      <c r="AT612" s="170"/>
      <c r="AU612" s="170"/>
      <c r="AV612" s="170"/>
      <c r="AW612" s="170"/>
      <c r="AX612" s="170"/>
    </row>
    <row r="613" spans="1:50" ht="15" x14ac:dyDescent="0.25">
      <c r="A613" s="170"/>
      <c r="B613" s="719"/>
      <c r="C613" s="170"/>
      <c r="D613" s="170"/>
      <c r="E613" s="170"/>
      <c r="F613" s="170"/>
      <c r="G613" s="721"/>
      <c r="H613" s="170"/>
      <c r="I613" s="170"/>
      <c r="J613" s="170"/>
      <c r="K613" s="170"/>
      <c r="L613" s="170"/>
      <c r="M613" s="730"/>
      <c r="N613" s="730"/>
      <c r="O613" s="730"/>
      <c r="P613" s="731"/>
      <c r="Q613" s="731"/>
      <c r="R613" s="730"/>
      <c r="S613" s="730"/>
      <c r="T613" s="723"/>
      <c r="U613" s="724"/>
      <c r="V613" s="725"/>
      <c r="W613" s="725"/>
      <c r="X613" s="723"/>
      <c r="Y613" s="723"/>
      <c r="Z613" s="723"/>
      <c r="AA613" s="726"/>
      <c r="AB613" s="726"/>
      <c r="AC613" s="170"/>
      <c r="AD613" s="586"/>
      <c r="AE613" s="586"/>
      <c r="AF613" s="170"/>
      <c r="AG613" s="170"/>
      <c r="AH613" s="170"/>
      <c r="AI613" s="170"/>
      <c r="AJ613" s="170"/>
      <c r="AK613" s="170"/>
      <c r="AL613" s="170"/>
      <c r="AM613" s="170"/>
      <c r="AN613" s="170"/>
      <c r="AO613" s="170"/>
      <c r="AP613" s="170"/>
      <c r="AQ613" s="170"/>
      <c r="AR613" s="170"/>
      <c r="AS613" s="170"/>
      <c r="AT613" s="170"/>
      <c r="AU613" s="170"/>
      <c r="AV613" s="170"/>
      <c r="AW613" s="170"/>
      <c r="AX613" s="170"/>
    </row>
    <row r="614" spans="1:50" ht="15" x14ac:dyDescent="0.25">
      <c r="A614" s="170"/>
      <c r="B614" s="719"/>
      <c r="C614" s="170"/>
      <c r="D614" s="170"/>
      <c r="E614" s="170"/>
      <c r="F614" s="170"/>
      <c r="G614" s="721"/>
      <c r="H614" s="170"/>
      <c r="I614" s="170"/>
      <c r="J614" s="170"/>
      <c r="K614" s="170"/>
      <c r="L614" s="170"/>
      <c r="M614" s="730"/>
      <c r="N614" s="730"/>
      <c r="O614" s="730"/>
      <c r="P614" s="731"/>
      <c r="Q614" s="731"/>
      <c r="R614" s="730"/>
      <c r="S614" s="730"/>
      <c r="T614" s="723"/>
      <c r="U614" s="724"/>
      <c r="V614" s="725"/>
      <c r="W614" s="725"/>
      <c r="X614" s="723"/>
      <c r="Y614" s="723"/>
      <c r="Z614" s="723"/>
      <c r="AA614" s="726"/>
      <c r="AB614" s="726"/>
      <c r="AC614" s="170"/>
      <c r="AD614" s="586"/>
      <c r="AE614" s="586"/>
      <c r="AF614" s="170"/>
      <c r="AG614" s="170"/>
      <c r="AH614" s="170"/>
      <c r="AI614" s="170"/>
      <c r="AJ614" s="170"/>
      <c r="AK614" s="170"/>
      <c r="AL614" s="170"/>
      <c r="AM614" s="170"/>
      <c r="AN614" s="170"/>
      <c r="AO614" s="170"/>
      <c r="AP614" s="170"/>
      <c r="AQ614" s="170"/>
      <c r="AR614" s="170"/>
      <c r="AS614" s="170"/>
      <c r="AT614" s="170"/>
      <c r="AU614" s="170"/>
      <c r="AV614" s="170"/>
      <c r="AW614" s="170"/>
      <c r="AX614" s="170"/>
    </row>
    <row r="615" spans="1:50" ht="15" x14ac:dyDescent="0.25">
      <c r="A615" s="170"/>
      <c r="B615" s="719"/>
      <c r="C615" s="170"/>
      <c r="D615" s="170"/>
      <c r="E615" s="170"/>
      <c r="F615" s="170"/>
      <c r="G615" s="721"/>
      <c r="H615" s="170"/>
      <c r="I615" s="170"/>
      <c r="J615" s="170"/>
      <c r="K615" s="170"/>
      <c r="L615" s="170"/>
      <c r="M615" s="730"/>
      <c r="N615" s="730"/>
      <c r="O615" s="730"/>
      <c r="P615" s="731"/>
      <c r="Q615" s="731"/>
      <c r="R615" s="730"/>
      <c r="S615" s="730"/>
      <c r="T615" s="723"/>
      <c r="U615" s="724"/>
      <c r="V615" s="725"/>
      <c r="W615" s="725"/>
      <c r="X615" s="723"/>
      <c r="Y615" s="723"/>
      <c r="Z615" s="723"/>
      <c r="AA615" s="726"/>
      <c r="AB615" s="726"/>
      <c r="AC615" s="170"/>
      <c r="AD615" s="586"/>
      <c r="AE615" s="586"/>
      <c r="AF615" s="170"/>
      <c r="AG615" s="170"/>
      <c r="AH615" s="170"/>
      <c r="AI615" s="170"/>
      <c r="AJ615" s="170"/>
      <c r="AK615" s="170"/>
      <c r="AL615" s="170"/>
      <c r="AM615" s="170"/>
      <c r="AN615" s="170"/>
      <c r="AO615" s="170"/>
      <c r="AP615" s="170"/>
      <c r="AQ615" s="170"/>
      <c r="AR615" s="170"/>
      <c r="AS615" s="170"/>
      <c r="AT615" s="170"/>
      <c r="AU615" s="170"/>
      <c r="AV615" s="170"/>
      <c r="AW615" s="170"/>
      <c r="AX615" s="170"/>
    </row>
    <row r="616" spans="1:50" ht="15" x14ac:dyDescent="0.25">
      <c r="A616" s="170"/>
      <c r="B616" s="719"/>
      <c r="C616" s="170"/>
      <c r="D616" s="170"/>
      <c r="E616" s="170"/>
      <c r="F616" s="170"/>
      <c r="G616" s="721"/>
      <c r="H616" s="170"/>
      <c r="I616" s="170"/>
      <c r="J616" s="170"/>
      <c r="K616" s="170"/>
      <c r="L616" s="170"/>
      <c r="M616" s="730"/>
      <c r="N616" s="730"/>
      <c r="O616" s="730"/>
      <c r="P616" s="731"/>
      <c r="Q616" s="731"/>
      <c r="R616" s="730"/>
      <c r="S616" s="730"/>
      <c r="T616" s="723"/>
      <c r="U616" s="724"/>
      <c r="V616" s="725"/>
      <c r="W616" s="725"/>
      <c r="X616" s="723"/>
      <c r="Y616" s="723"/>
      <c r="Z616" s="723"/>
      <c r="AA616" s="726"/>
      <c r="AB616" s="726"/>
      <c r="AC616" s="170"/>
      <c r="AD616" s="586"/>
      <c r="AE616" s="586"/>
      <c r="AF616" s="170"/>
      <c r="AG616" s="170"/>
      <c r="AH616" s="170"/>
      <c r="AI616" s="170"/>
      <c r="AJ616" s="170"/>
      <c r="AK616" s="170"/>
      <c r="AL616" s="170"/>
      <c r="AM616" s="170"/>
      <c r="AN616" s="170"/>
      <c r="AO616" s="170"/>
      <c r="AP616" s="170"/>
      <c r="AQ616" s="170"/>
      <c r="AR616" s="170"/>
      <c r="AS616" s="170"/>
      <c r="AT616" s="170"/>
      <c r="AU616" s="170"/>
      <c r="AV616" s="170"/>
      <c r="AW616" s="170"/>
      <c r="AX616" s="170"/>
    </row>
    <row r="617" spans="1:50" ht="15" x14ac:dyDescent="0.25">
      <c r="A617" s="170"/>
      <c r="B617" s="719"/>
      <c r="C617" s="170"/>
      <c r="D617" s="170"/>
      <c r="E617" s="170"/>
      <c r="F617" s="170"/>
      <c r="G617" s="721"/>
      <c r="H617" s="170"/>
      <c r="I617" s="170"/>
      <c r="J617" s="170"/>
      <c r="K617" s="170"/>
      <c r="L617" s="170"/>
      <c r="M617" s="730"/>
      <c r="N617" s="730"/>
      <c r="O617" s="730"/>
      <c r="P617" s="731"/>
      <c r="Q617" s="731"/>
      <c r="R617" s="730"/>
      <c r="S617" s="730"/>
      <c r="T617" s="723"/>
      <c r="U617" s="724"/>
      <c r="V617" s="725"/>
      <c r="W617" s="725"/>
      <c r="X617" s="723"/>
      <c r="Y617" s="723"/>
      <c r="Z617" s="723"/>
      <c r="AA617" s="726"/>
      <c r="AB617" s="726"/>
      <c r="AC617" s="170"/>
      <c r="AD617" s="586"/>
      <c r="AE617" s="586"/>
      <c r="AF617" s="170"/>
      <c r="AG617" s="170"/>
      <c r="AH617" s="170"/>
      <c r="AI617" s="170"/>
      <c r="AJ617" s="170"/>
      <c r="AK617" s="170"/>
      <c r="AL617" s="170"/>
      <c r="AM617" s="170"/>
      <c r="AN617" s="170"/>
      <c r="AO617" s="170"/>
      <c r="AP617" s="170"/>
      <c r="AQ617" s="170"/>
      <c r="AR617" s="170"/>
      <c r="AS617" s="170"/>
      <c r="AT617" s="170"/>
      <c r="AU617" s="170"/>
      <c r="AV617" s="170"/>
      <c r="AW617" s="170"/>
      <c r="AX617" s="170"/>
    </row>
    <row r="618" spans="1:50" ht="15" x14ac:dyDescent="0.25">
      <c r="A618" s="170"/>
      <c r="B618" s="719"/>
      <c r="C618" s="170"/>
      <c r="D618" s="170"/>
      <c r="E618" s="170"/>
      <c r="F618" s="170"/>
      <c r="G618" s="721"/>
      <c r="H618" s="170"/>
      <c r="I618" s="170"/>
      <c r="J618" s="170"/>
      <c r="K618" s="170"/>
      <c r="L618" s="170"/>
      <c r="M618" s="730"/>
      <c r="N618" s="730"/>
      <c r="O618" s="730"/>
      <c r="P618" s="731"/>
      <c r="Q618" s="731"/>
      <c r="R618" s="730"/>
      <c r="S618" s="730"/>
      <c r="T618" s="723"/>
      <c r="U618" s="724"/>
      <c r="V618" s="725"/>
      <c r="W618" s="725"/>
      <c r="X618" s="723"/>
      <c r="Y618" s="723"/>
      <c r="Z618" s="723"/>
      <c r="AA618" s="726"/>
      <c r="AB618" s="726"/>
      <c r="AC618" s="170"/>
      <c r="AD618" s="586"/>
      <c r="AE618" s="586"/>
      <c r="AF618" s="170"/>
      <c r="AG618" s="170"/>
      <c r="AH618" s="170"/>
      <c r="AI618" s="170"/>
      <c r="AJ618" s="170"/>
      <c r="AK618" s="170"/>
      <c r="AL618" s="170"/>
      <c r="AM618" s="170"/>
      <c r="AN618" s="170"/>
      <c r="AO618" s="170"/>
      <c r="AP618" s="170"/>
      <c r="AQ618" s="170"/>
      <c r="AR618" s="170"/>
      <c r="AS618" s="170"/>
      <c r="AT618" s="170"/>
      <c r="AU618" s="170"/>
      <c r="AV618" s="170"/>
      <c r="AW618" s="170"/>
      <c r="AX618" s="170"/>
    </row>
    <row r="619" spans="1:50" ht="15" x14ac:dyDescent="0.25">
      <c r="A619" s="170"/>
      <c r="B619" s="719"/>
      <c r="C619" s="170"/>
      <c r="D619" s="170"/>
      <c r="E619" s="170"/>
      <c r="F619" s="170"/>
      <c r="G619" s="721"/>
      <c r="H619" s="170"/>
      <c r="I619" s="170"/>
      <c r="J619" s="170"/>
      <c r="K619" s="170"/>
      <c r="L619" s="170"/>
      <c r="M619" s="730"/>
      <c r="N619" s="730"/>
      <c r="O619" s="730"/>
      <c r="P619" s="731"/>
      <c r="Q619" s="731"/>
      <c r="R619" s="730"/>
      <c r="S619" s="730"/>
      <c r="T619" s="723"/>
      <c r="U619" s="724"/>
      <c r="V619" s="725"/>
      <c r="W619" s="725"/>
      <c r="X619" s="723"/>
      <c r="Y619" s="723"/>
      <c r="Z619" s="723"/>
      <c r="AA619" s="726"/>
      <c r="AB619" s="726"/>
      <c r="AC619" s="170"/>
      <c r="AD619" s="586"/>
      <c r="AE619" s="586"/>
      <c r="AF619" s="170"/>
      <c r="AG619" s="170"/>
      <c r="AH619" s="170"/>
      <c r="AI619" s="170"/>
      <c r="AJ619" s="170"/>
      <c r="AK619" s="170"/>
      <c r="AL619" s="170"/>
      <c r="AM619" s="170"/>
      <c r="AN619" s="170"/>
      <c r="AO619" s="170"/>
      <c r="AP619" s="170"/>
      <c r="AQ619" s="170"/>
      <c r="AR619" s="170"/>
      <c r="AS619" s="170"/>
      <c r="AT619" s="170"/>
      <c r="AU619" s="170"/>
      <c r="AV619" s="170"/>
      <c r="AW619" s="170"/>
      <c r="AX619" s="170"/>
    </row>
    <row r="620" spans="1:50" ht="15" x14ac:dyDescent="0.25">
      <c r="A620" s="170"/>
      <c r="B620" s="719"/>
      <c r="C620" s="170"/>
      <c r="D620" s="170"/>
      <c r="E620" s="170"/>
      <c r="F620" s="170"/>
      <c r="G620" s="721"/>
      <c r="H620" s="170"/>
      <c r="I620" s="170"/>
      <c r="J620" s="170"/>
      <c r="K620" s="170"/>
      <c r="L620" s="170"/>
      <c r="M620" s="730"/>
      <c r="N620" s="730"/>
      <c r="O620" s="730"/>
      <c r="P620" s="731"/>
      <c r="Q620" s="731"/>
      <c r="R620" s="730"/>
      <c r="S620" s="730"/>
      <c r="T620" s="723"/>
      <c r="U620" s="724"/>
      <c r="V620" s="725"/>
      <c r="W620" s="725"/>
      <c r="X620" s="723"/>
      <c r="Y620" s="723"/>
      <c r="Z620" s="723"/>
      <c r="AA620" s="726"/>
      <c r="AB620" s="726"/>
      <c r="AC620" s="170"/>
      <c r="AD620" s="586"/>
      <c r="AE620" s="586"/>
      <c r="AF620" s="170"/>
      <c r="AG620" s="170"/>
      <c r="AH620" s="170"/>
      <c r="AI620" s="170"/>
      <c r="AJ620" s="170"/>
      <c r="AK620" s="170"/>
      <c r="AL620" s="170"/>
      <c r="AM620" s="170"/>
      <c r="AN620" s="170"/>
      <c r="AO620" s="170"/>
      <c r="AP620" s="170"/>
      <c r="AQ620" s="170"/>
      <c r="AR620" s="170"/>
      <c r="AS620" s="170"/>
      <c r="AT620" s="170"/>
      <c r="AU620" s="170"/>
      <c r="AV620" s="170"/>
      <c r="AW620" s="170"/>
      <c r="AX620" s="170"/>
    </row>
    <row r="621" spans="1:50" ht="15" x14ac:dyDescent="0.25">
      <c r="A621" s="170"/>
      <c r="B621" s="719"/>
      <c r="C621" s="170"/>
      <c r="D621" s="170"/>
      <c r="E621" s="170"/>
      <c r="F621" s="170"/>
      <c r="G621" s="721"/>
      <c r="H621" s="170"/>
      <c r="I621" s="170"/>
      <c r="J621" s="170"/>
      <c r="K621" s="170"/>
      <c r="L621" s="170"/>
      <c r="M621" s="730"/>
      <c r="N621" s="730"/>
      <c r="O621" s="730"/>
      <c r="P621" s="731"/>
      <c r="Q621" s="731"/>
      <c r="R621" s="730"/>
      <c r="S621" s="730"/>
      <c r="T621" s="723"/>
      <c r="U621" s="724"/>
      <c r="V621" s="725"/>
      <c r="W621" s="725"/>
      <c r="X621" s="723"/>
      <c r="Y621" s="723"/>
      <c r="Z621" s="723"/>
      <c r="AA621" s="726"/>
      <c r="AB621" s="726"/>
      <c r="AC621" s="170"/>
      <c r="AD621" s="586"/>
      <c r="AE621" s="586"/>
      <c r="AF621" s="170"/>
      <c r="AG621" s="170"/>
      <c r="AH621" s="170"/>
      <c r="AI621" s="170"/>
      <c r="AJ621" s="170"/>
      <c r="AK621" s="170"/>
      <c r="AL621" s="170"/>
      <c r="AM621" s="170"/>
      <c r="AN621" s="170"/>
      <c r="AO621" s="170"/>
      <c r="AP621" s="170"/>
      <c r="AQ621" s="170"/>
      <c r="AR621" s="170"/>
      <c r="AS621" s="170"/>
      <c r="AT621" s="170"/>
      <c r="AU621" s="170"/>
      <c r="AV621" s="170"/>
      <c r="AW621" s="170"/>
      <c r="AX621" s="170"/>
    </row>
    <row r="622" spans="1:50" ht="15" x14ac:dyDescent="0.25">
      <c r="A622" s="170"/>
      <c r="B622" s="719"/>
      <c r="C622" s="170"/>
      <c r="D622" s="170"/>
      <c r="E622" s="170"/>
      <c r="F622" s="170"/>
      <c r="G622" s="721"/>
      <c r="H622" s="170"/>
      <c r="I622" s="170"/>
      <c r="J622" s="170"/>
      <c r="K622" s="170"/>
      <c r="L622" s="170"/>
      <c r="M622" s="730"/>
      <c r="N622" s="730"/>
      <c r="O622" s="730"/>
      <c r="P622" s="731"/>
      <c r="Q622" s="731"/>
      <c r="R622" s="730"/>
      <c r="S622" s="730"/>
      <c r="T622" s="723"/>
      <c r="U622" s="724"/>
      <c r="V622" s="725"/>
      <c r="W622" s="725"/>
      <c r="X622" s="723"/>
      <c r="Y622" s="723"/>
      <c r="Z622" s="723"/>
      <c r="AA622" s="726"/>
      <c r="AB622" s="726"/>
      <c r="AC622" s="170"/>
      <c r="AD622" s="586"/>
      <c r="AE622" s="586"/>
      <c r="AF622" s="170"/>
      <c r="AG622" s="170"/>
      <c r="AH622" s="170"/>
      <c r="AI622" s="170"/>
      <c r="AJ622" s="170"/>
      <c r="AK622" s="170"/>
      <c r="AL622" s="170"/>
      <c r="AM622" s="170"/>
      <c r="AN622" s="170"/>
      <c r="AO622" s="170"/>
      <c r="AP622" s="170"/>
      <c r="AQ622" s="170"/>
      <c r="AR622" s="170"/>
      <c r="AS622" s="170"/>
      <c r="AT622" s="170"/>
      <c r="AU622" s="170"/>
      <c r="AV622" s="170"/>
      <c r="AW622" s="170"/>
      <c r="AX622" s="170"/>
    </row>
    <row r="623" spans="1:50" ht="15" x14ac:dyDescent="0.25">
      <c r="A623" s="170"/>
      <c r="B623" s="719"/>
      <c r="C623" s="170"/>
      <c r="D623" s="170"/>
      <c r="E623" s="170"/>
      <c r="F623" s="170"/>
      <c r="G623" s="721"/>
      <c r="H623" s="170"/>
      <c r="I623" s="170"/>
      <c r="J623" s="170"/>
      <c r="K623" s="170"/>
      <c r="L623" s="170"/>
      <c r="M623" s="730"/>
      <c r="N623" s="730"/>
      <c r="O623" s="730"/>
      <c r="P623" s="731"/>
      <c r="Q623" s="731"/>
      <c r="R623" s="730"/>
      <c r="S623" s="730"/>
      <c r="T623" s="723"/>
      <c r="U623" s="724"/>
      <c r="V623" s="725"/>
      <c r="W623" s="725"/>
      <c r="X623" s="723"/>
      <c r="Y623" s="723"/>
      <c r="Z623" s="723"/>
      <c r="AA623" s="726"/>
      <c r="AB623" s="726"/>
      <c r="AC623" s="170"/>
      <c r="AD623" s="586"/>
      <c r="AE623" s="586"/>
      <c r="AF623" s="170"/>
      <c r="AG623" s="170"/>
      <c r="AH623" s="170"/>
      <c r="AI623" s="170"/>
      <c r="AJ623" s="170"/>
      <c r="AK623" s="170"/>
      <c r="AL623" s="170"/>
      <c r="AM623" s="170"/>
      <c r="AN623" s="170"/>
      <c r="AO623" s="170"/>
      <c r="AP623" s="170"/>
      <c r="AQ623" s="170"/>
      <c r="AR623" s="170"/>
      <c r="AS623" s="170"/>
      <c r="AT623" s="170"/>
      <c r="AU623" s="170"/>
      <c r="AV623" s="170"/>
      <c r="AW623" s="170"/>
      <c r="AX623" s="170"/>
    </row>
    <row r="624" spans="1:50" ht="15" x14ac:dyDescent="0.25">
      <c r="A624" s="170"/>
      <c r="B624" s="719"/>
      <c r="C624" s="170"/>
      <c r="D624" s="170"/>
      <c r="E624" s="170"/>
      <c r="F624" s="170"/>
      <c r="G624" s="721"/>
      <c r="H624" s="170"/>
      <c r="I624" s="170"/>
      <c r="J624" s="170"/>
      <c r="K624" s="170"/>
      <c r="L624" s="170"/>
      <c r="M624" s="730"/>
      <c r="N624" s="730"/>
      <c r="O624" s="730"/>
      <c r="P624" s="731"/>
      <c r="Q624" s="731"/>
      <c r="R624" s="730"/>
      <c r="S624" s="730"/>
      <c r="T624" s="723"/>
      <c r="U624" s="724"/>
      <c r="V624" s="725"/>
      <c r="W624" s="725"/>
      <c r="X624" s="723"/>
      <c r="Y624" s="723"/>
      <c r="Z624" s="723"/>
      <c r="AA624" s="726"/>
      <c r="AB624" s="726"/>
      <c r="AC624" s="170"/>
      <c r="AD624" s="586"/>
      <c r="AE624" s="586"/>
      <c r="AF624" s="170"/>
      <c r="AG624" s="170"/>
      <c r="AH624" s="170"/>
      <c r="AI624" s="170"/>
      <c r="AJ624" s="170"/>
      <c r="AK624" s="170"/>
      <c r="AL624" s="170"/>
      <c r="AM624" s="170"/>
      <c r="AN624" s="170"/>
      <c r="AO624" s="170"/>
      <c r="AP624" s="170"/>
      <c r="AQ624" s="170"/>
      <c r="AR624" s="170"/>
      <c r="AS624" s="170"/>
      <c r="AT624" s="170"/>
      <c r="AU624" s="170"/>
      <c r="AV624" s="170"/>
      <c r="AW624" s="170"/>
      <c r="AX624" s="170"/>
    </row>
    <row r="625" spans="1:50" ht="15" x14ac:dyDescent="0.25">
      <c r="A625" s="170"/>
      <c r="B625" s="719"/>
      <c r="C625" s="170"/>
      <c r="D625" s="170"/>
      <c r="E625" s="170"/>
      <c r="F625" s="170"/>
      <c r="G625" s="721"/>
      <c r="H625" s="170"/>
      <c r="I625" s="170"/>
      <c r="J625" s="170"/>
      <c r="K625" s="170"/>
      <c r="L625" s="170"/>
      <c r="M625" s="730"/>
      <c r="N625" s="730"/>
      <c r="O625" s="730"/>
      <c r="P625" s="731"/>
      <c r="Q625" s="731"/>
      <c r="R625" s="730"/>
      <c r="S625" s="730"/>
      <c r="T625" s="723"/>
      <c r="U625" s="724"/>
      <c r="V625" s="725"/>
      <c r="W625" s="725"/>
      <c r="X625" s="723"/>
      <c r="Y625" s="723"/>
      <c r="Z625" s="723"/>
      <c r="AA625" s="726"/>
      <c r="AB625" s="726"/>
      <c r="AC625" s="170"/>
      <c r="AD625" s="586"/>
      <c r="AE625" s="586"/>
      <c r="AF625" s="170"/>
      <c r="AG625" s="170"/>
      <c r="AH625" s="170"/>
      <c r="AI625" s="170"/>
      <c r="AJ625" s="170"/>
      <c r="AK625" s="170"/>
      <c r="AL625" s="170"/>
      <c r="AM625" s="170"/>
      <c r="AN625" s="170"/>
      <c r="AO625" s="170"/>
      <c r="AP625" s="170"/>
      <c r="AQ625" s="170"/>
      <c r="AR625" s="170"/>
      <c r="AS625" s="170"/>
      <c r="AT625" s="170"/>
      <c r="AU625" s="170"/>
      <c r="AV625" s="170"/>
      <c r="AW625" s="170"/>
      <c r="AX625" s="170"/>
    </row>
    <row r="626" spans="1:50" ht="15" x14ac:dyDescent="0.25">
      <c r="A626" s="170"/>
      <c r="B626" s="719"/>
      <c r="C626" s="170"/>
      <c r="D626" s="170"/>
      <c r="E626" s="170"/>
      <c r="F626" s="170"/>
      <c r="G626" s="721"/>
      <c r="H626" s="170"/>
      <c r="I626" s="170"/>
      <c r="J626" s="170"/>
      <c r="K626" s="170"/>
      <c r="L626" s="170"/>
      <c r="M626" s="730"/>
      <c r="N626" s="730"/>
      <c r="O626" s="730"/>
      <c r="P626" s="731"/>
      <c r="Q626" s="731"/>
      <c r="R626" s="730"/>
      <c r="S626" s="730"/>
      <c r="T626" s="723"/>
      <c r="U626" s="724"/>
      <c r="V626" s="725"/>
      <c r="W626" s="725"/>
      <c r="X626" s="723"/>
      <c r="Y626" s="723"/>
      <c r="Z626" s="723"/>
      <c r="AA626" s="726"/>
      <c r="AB626" s="726"/>
      <c r="AC626" s="170"/>
      <c r="AD626" s="586"/>
      <c r="AE626" s="586"/>
      <c r="AF626" s="170"/>
      <c r="AG626" s="170"/>
      <c r="AH626" s="170"/>
      <c r="AI626" s="170"/>
      <c r="AJ626" s="170"/>
      <c r="AK626" s="170"/>
      <c r="AL626" s="170"/>
      <c r="AM626" s="170"/>
      <c r="AN626" s="170"/>
      <c r="AO626" s="170"/>
      <c r="AP626" s="170"/>
      <c r="AQ626" s="170"/>
      <c r="AR626" s="170"/>
      <c r="AS626" s="170"/>
      <c r="AT626" s="170"/>
      <c r="AU626" s="170"/>
      <c r="AV626" s="170"/>
      <c r="AW626" s="170"/>
      <c r="AX626" s="170"/>
    </row>
    <row r="627" spans="1:50" ht="15" x14ac:dyDescent="0.25">
      <c r="A627" s="170"/>
      <c r="B627" s="719"/>
      <c r="C627" s="170"/>
      <c r="D627" s="170"/>
      <c r="E627" s="170"/>
      <c r="F627" s="170"/>
      <c r="G627" s="721"/>
      <c r="H627" s="170"/>
      <c r="I627" s="170"/>
      <c r="J627" s="170"/>
      <c r="K627" s="170"/>
      <c r="L627" s="170"/>
      <c r="M627" s="730"/>
      <c r="N627" s="730"/>
      <c r="O627" s="730"/>
      <c r="P627" s="731"/>
      <c r="Q627" s="731"/>
      <c r="R627" s="730"/>
      <c r="S627" s="730"/>
      <c r="T627" s="723"/>
      <c r="U627" s="724"/>
      <c r="V627" s="725"/>
      <c r="W627" s="725"/>
      <c r="X627" s="723"/>
      <c r="Y627" s="723"/>
      <c r="Z627" s="723"/>
      <c r="AA627" s="726"/>
      <c r="AB627" s="726"/>
      <c r="AC627" s="170"/>
      <c r="AD627" s="586"/>
      <c r="AE627" s="586"/>
      <c r="AF627" s="170"/>
      <c r="AG627" s="170"/>
      <c r="AH627" s="170"/>
      <c r="AI627" s="170"/>
      <c r="AJ627" s="170"/>
      <c r="AK627" s="170"/>
      <c r="AL627" s="170"/>
      <c r="AM627" s="170"/>
      <c r="AN627" s="170"/>
      <c r="AO627" s="170"/>
      <c r="AP627" s="170"/>
      <c r="AQ627" s="170"/>
      <c r="AR627" s="170"/>
      <c r="AS627" s="170"/>
      <c r="AT627" s="170"/>
      <c r="AU627" s="170"/>
      <c r="AV627" s="170"/>
      <c r="AW627" s="170"/>
      <c r="AX627" s="170"/>
    </row>
    <row r="628" spans="1:50" ht="15" x14ac:dyDescent="0.25">
      <c r="A628" s="170"/>
      <c r="B628" s="719"/>
      <c r="C628" s="170"/>
      <c r="D628" s="170"/>
      <c r="E628" s="170"/>
      <c r="F628" s="170"/>
      <c r="G628" s="721"/>
      <c r="H628" s="170"/>
      <c r="I628" s="170"/>
      <c r="J628" s="170"/>
      <c r="K628" s="170"/>
      <c r="L628" s="170"/>
      <c r="M628" s="730"/>
      <c r="N628" s="730"/>
      <c r="O628" s="730"/>
      <c r="P628" s="731"/>
      <c r="Q628" s="731"/>
      <c r="R628" s="730"/>
      <c r="S628" s="730"/>
      <c r="T628" s="723"/>
      <c r="U628" s="724"/>
      <c r="V628" s="725"/>
      <c r="W628" s="725"/>
      <c r="X628" s="723"/>
      <c r="Y628" s="723"/>
      <c r="Z628" s="723"/>
      <c r="AA628" s="726"/>
      <c r="AB628" s="726"/>
      <c r="AC628" s="170"/>
      <c r="AD628" s="586"/>
      <c r="AE628" s="586"/>
      <c r="AF628" s="170"/>
      <c r="AG628" s="170"/>
      <c r="AH628" s="170"/>
      <c r="AI628" s="170"/>
      <c r="AJ628" s="170"/>
      <c r="AK628" s="170"/>
      <c r="AL628" s="170"/>
      <c r="AM628" s="170"/>
      <c r="AN628" s="170"/>
      <c r="AO628" s="170"/>
      <c r="AP628" s="170"/>
      <c r="AQ628" s="170"/>
      <c r="AR628" s="170"/>
      <c r="AS628" s="170"/>
      <c r="AT628" s="170"/>
      <c r="AU628" s="170"/>
      <c r="AV628" s="170"/>
      <c r="AW628" s="170"/>
      <c r="AX628" s="170"/>
    </row>
    <row r="629" spans="1:50" ht="15" x14ac:dyDescent="0.25">
      <c r="A629" s="170"/>
      <c r="B629" s="719"/>
      <c r="C629" s="170"/>
      <c r="D629" s="170"/>
      <c r="E629" s="170"/>
      <c r="F629" s="170"/>
      <c r="G629" s="721"/>
      <c r="H629" s="170"/>
      <c r="I629" s="170"/>
      <c r="J629" s="170"/>
      <c r="K629" s="170"/>
      <c r="L629" s="170"/>
      <c r="M629" s="730"/>
      <c r="N629" s="730"/>
      <c r="O629" s="730"/>
      <c r="P629" s="731"/>
      <c r="Q629" s="731"/>
      <c r="R629" s="730"/>
      <c r="S629" s="730"/>
      <c r="T629" s="723"/>
      <c r="U629" s="724"/>
      <c r="V629" s="725"/>
      <c r="W629" s="725"/>
      <c r="X629" s="723"/>
      <c r="Y629" s="723"/>
      <c r="Z629" s="723"/>
      <c r="AA629" s="726"/>
      <c r="AB629" s="726"/>
      <c r="AC629" s="170"/>
      <c r="AD629" s="586"/>
      <c r="AE629" s="586"/>
      <c r="AF629" s="170"/>
      <c r="AG629" s="170"/>
      <c r="AH629" s="170"/>
      <c r="AI629" s="170"/>
      <c r="AJ629" s="170"/>
      <c r="AK629" s="170"/>
      <c r="AL629" s="170"/>
      <c r="AM629" s="170"/>
      <c r="AN629" s="170"/>
      <c r="AO629" s="170"/>
      <c r="AP629" s="170"/>
      <c r="AQ629" s="170"/>
      <c r="AR629" s="170"/>
      <c r="AS629" s="170"/>
      <c r="AT629" s="170"/>
      <c r="AU629" s="170"/>
      <c r="AV629" s="170"/>
      <c r="AW629" s="170"/>
      <c r="AX629" s="170"/>
    </row>
    <row r="630" spans="1:50" ht="15" x14ac:dyDescent="0.25">
      <c r="A630" s="170"/>
      <c r="B630" s="719"/>
      <c r="C630" s="170"/>
      <c r="D630" s="170"/>
      <c r="E630" s="170"/>
      <c r="F630" s="170"/>
      <c r="G630" s="721"/>
      <c r="H630" s="170"/>
      <c r="I630" s="170"/>
      <c r="J630" s="170"/>
      <c r="K630" s="170"/>
      <c r="L630" s="170"/>
      <c r="M630" s="730"/>
      <c r="N630" s="730"/>
      <c r="O630" s="730"/>
      <c r="P630" s="731"/>
      <c r="Q630" s="731"/>
      <c r="R630" s="730"/>
      <c r="S630" s="730"/>
      <c r="T630" s="723"/>
      <c r="U630" s="724"/>
      <c r="V630" s="725"/>
      <c r="W630" s="725"/>
      <c r="X630" s="723"/>
      <c r="Y630" s="723"/>
      <c r="Z630" s="723"/>
      <c r="AA630" s="726"/>
      <c r="AB630" s="726"/>
      <c r="AC630" s="170"/>
      <c r="AD630" s="586"/>
      <c r="AE630" s="586"/>
      <c r="AF630" s="170"/>
      <c r="AG630" s="170"/>
      <c r="AH630" s="170"/>
      <c r="AI630" s="170"/>
      <c r="AJ630" s="170"/>
      <c r="AK630" s="170"/>
      <c r="AL630" s="170"/>
      <c r="AM630" s="170"/>
      <c r="AN630" s="170"/>
      <c r="AO630" s="170"/>
      <c r="AP630" s="170"/>
      <c r="AQ630" s="170"/>
      <c r="AR630" s="170"/>
      <c r="AS630" s="170"/>
      <c r="AT630" s="170"/>
      <c r="AU630" s="170"/>
      <c r="AV630" s="170"/>
      <c r="AW630" s="170"/>
      <c r="AX630" s="170"/>
    </row>
    <row r="631" spans="1:50" ht="15" x14ac:dyDescent="0.25">
      <c r="A631" s="170"/>
      <c r="B631" s="719"/>
      <c r="C631" s="170"/>
      <c r="D631" s="170"/>
      <c r="E631" s="170"/>
      <c r="F631" s="170"/>
      <c r="G631" s="721"/>
      <c r="H631" s="170"/>
      <c r="I631" s="170"/>
      <c r="J631" s="170"/>
      <c r="K631" s="170"/>
      <c r="L631" s="170"/>
      <c r="M631" s="730"/>
      <c r="N631" s="730"/>
      <c r="O631" s="730"/>
      <c r="P631" s="731"/>
      <c r="Q631" s="731"/>
      <c r="R631" s="730"/>
      <c r="S631" s="730"/>
      <c r="T631" s="723"/>
      <c r="U631" s="724"/>
      <c r="V631" s="725"/>
      <c r="W631" s="725"/>
      <c r="X631" s="723"/>
      <c r="Y631" s="723"/>
      <c r="Z631" s="723"/>
      <c r="AA631" s="726"/>
      <c r="AB631" s="726"/>
      <c r="AC631" s="170"/>
      <c r="AD631" s="586"/>
      <c r="AE631" s="586"/>
      <c r="AF631" s="170"/>
      <c r="AG631" s="170"/>
      <c r="AH631" s="170"/>
      <c r="AI631" s="170"/>
      <c r="AJ631" s="170"/>
      <c r="AK631" s="170"/>
      <c r="AL631" s="170"/>
      <c r="AM631" s="170"/>
      <c r="AN631" s="170"/>
      <c r="AO631" s="170"/>
      <c r="AP631" s="170"/>
      <c r="AQ631" s="170"/>
      <c r="AR631" s="170"/>
      <c r="AS631" s="170"/>
      <c r="AT631" s="170"/>
      <c r="AU631" s="170"/>
      <c r="AV631" s="170"/>
      <c r="AW631" s="170"/>
      <c r="AX631" s="170"/>
    </row>
    <row r="632" spans="1:50" ht="15" x14ac:dyDescent="0.25">
      <c r="A632" s="170"/>
      <c r="B632" s="719"/>
      <c r="C632" s="170"/>
      <c r="D632" s="170"/>
      <c r="E632" s="170"/>
      <c r="F632" s="170"/>
      <c r="G632" s="721"/>
      <c r="H632" s="170"/>
      <c r="I632" s="170"/>
      <c r="J632" s="170"/>
      <c r="K632" s="170"/>
      <c r="L632" s="170"/>
      <c r="M632" s="730"/>
      <c r="N632" s="730"/>
      <c r="O632" s="730"/>
      <c r="P632" s="731"/>
      <c r="Q632" s="731"/>
      <c r="R632" s="730"/>
      <c r="S632" s="730"/>
      <c r="T632" s="723"/>
      <c r="U632" s="724"/>
      <c r="V632" s="725"/>
      <c r="W632" s="725"/>
      <c r="X632" s="723"/>
      <c r="Y632" s="723"/>
      <c r="Z632" s="723"/>
      <c r="AA632" s="726"/>
      <c r="AB632" s="726"/>
      <c r="AC632" s="170"/>
      <c r="AD632" s="586"/>
      <c r="AE632" s="586"/>
      <c r="AF632" s="170"/>
      <c r="AG632" s="170"/>
      <c r="AH632" s="170"/>
      <c r="AI632" s="170"/>
      <c r="AJ632" s="170"/>
      <c r="AK632" s="170"/>
      <c r="AL632" s="170"/>
      <c r="AM632" s="170"/>
      <c r="AN632" s="170"/>
      <c r="AO632" s="170"/>
      <c r="AP632" s="170"/>
      <c r="AQ632" s="170"/>
      <c r="AR632" s="170"/>
      <c r="AS632" s="170"/>
      <c r="AT632" s="170"/>
      <c r="AU632" s="170"/>
      <c r="AV632" s="170"/>
      <c r="AW632" s="170"/>
      <c r="AX632" s="170"/>
    </row>
    <row r="633" spans="1:50" ht="15" x14ac:dyDescent="0.25">
      <c r="A633" s="170"/>
      <c r="B633" s="719"/>
      <c r="C633" s="170"/>
      <c r="D633" s="170"/>
      <c r="E633" s="170"/>
      <c r="F633" s="170"/>
      <c r="G633" s="721"/>
      <c r="H633" s="170"/>
      <c r="I633" s="170"/>
      <c r="J633" s="170"/>
      <c r="K633" s="170"/>
      <c r="L633" s="170"/>
      <c r="M633" s="730"/>
      <c r="N633" s="730"/>
      <c r="O633" s="730"/>
      <c r="P633" s="731"/>
      <c r="Q633" s="731"/>
      <c r="R633" s="730"/>
      <c r="S633" s="730"/>
      <c r="T633" s="723"/>
      <c r="U633" s="724"/>
      <c r="V633" s="725"/>
      <c r="W633" s="725"/>
      <c r="X633" s="723"/>
      <c r="Y633" s="723"/>
      <c r="Z633" s="723"/>
      <c r="AA633" s="726"/>
      <c r="AB633" s="726"/>
      <c r="AC633" s="170"/>
      <c r="AD633" s="586"/>
      <c r="AE633" s="586"/>
      <c r="AF633" s="170"/>
      <c r="AG633" s="170"/>
      <c r="AH633" s="170"/>
      <c r="AI633" s="170"/>
      <c r="AJ633" s="170"/>
      <c r="AK633" s="170"/>
      <c r="AL633" s="170"/>
      <c r="AM633" s="170"/>
      <c r="AN633" s="170"/>
      <c r="AO633" s="170"/>
      <c r="AP633" s="170"/>
      <c r="AQ633" s="170"/>
      <c r="AR633" s="170"/>
      <c r="AS633" s="170"/>
      <c r="AT633" s="170"/>
      <c r="AU633" s="170"/>
      <c r="AV633" s="170"/>
      <c r="AW633" s="170"/>
      <c r="AX633" s="170"/>
    </row>
    <row r="634" spans="1:50" ht="15" x14ac:dyDescent="0.25">
      <c r="A634" s="170"/>
      <c r="B634" s="719"/>
      <c r="C634" s="170"/>
      <c r="D634" s="170"/>
      <c r="E634" s="170"/>
      <c r="F634" s="170"/>
      <c r="G634" s="721"/>
      <c r="H634" s="170"/>
      <c r="I634" s="170"/>
      <c r="J634" s="170"/>
      <c r="K634" s="170"/>
      <c r="L634" s="170"/>
      <c r="M634" s="730"/>
      <c r="N634" s="730"/>
      <c r="O634" s="730"/>
      <c r="P634" s="731"/>
      <c r="Q634" s="731"/>
      <c r="R634" s="730"/>
      <c r="S634" s="730"/>
      <c r="T634" s="723"/>
      <c r="U634" s="724"/>
      <c r="V634" s="725"/>
      <c r="W634" s="725"/>
      <c r="X634" s="723"/>
      <c r="Y634" s="723"/>
      <c r="Z634" s="723"/>
      <c r="AA634" s="726"/>
      <c r="AB634" s="726"/>
      <c r="AC634" s="170"/>
      <c r="AD634" s="586"/>
      <c r="AE634" s="586"/>
      <c r="AF634" s="170"/>
      <c r="AG634" s="170"/>
      <c r="AH634" s="170"/>
      <c r="AI634" s="170"/>
      <c r="AJ634" s="170"/>
      <c r="AK634" s="170"/>
      <c r="AL634" s="170"/>
      <c r="AM634" s="170"/>
      <c r="AN634" s="170"/>
      <c r="AO634" s="170"/>
      <c r="AP634" s="170"/>
      <c r="AQ634" s="170"/>
      <c r="AR634" s="170"/>
      <c r="AS634" s="170"/>
      <c r="AT634" s="170"/>
      <c r="AU634" s="170"/>
      <c r="AV634" s="170"/>
      <c r="AW634" s="170"/>
      <c r="AX634" s="170"/>
    </row>
    <row r="635" spans="1:50" ht="15" x14ac:dyDescent="0.25">
      <c r="A635" s="170"/>
      <c r="B635" s="719"/>
      <c r="C635" s="170"/>
      <c r="D635" s="170"/>
      <c r="E635" s="170"/>
      <c r="F635" s="170"/>
      <c r="G635" s="721"/>
      <c r="H635" s="170"/>
      <c r="I635" s="170"/>
      <c r="J635" s="170"/>
      <c r="K635" s="170"/>
      <c r="L635" s="170"/>
      <c r="M635" s="730"/>
      <c r="N635" s="730"/>
      <c r="O635" s="730"/>
      <c r="P635" s="731"/>
      <c r="Q635" s="731"/>
      <c r="R635" s="730"/>
      <c r="S635" s="730"/>
      <c r="T635" s="723"/>
      <c r="U635" s="724"/>
      <c r="V635" s="725"/>
      <c r="W635" s="725"/>
      <c r="X635" s="723"/>
      <c r="Y635" s="723"/>
      <c r="Z635" s="723"/>
      <c r="AA635" s="726"/>
      <c r="AB635" s="726"/>
      <c r="AC635" s="170"/>
      <c r="AD635" s="586"/>
      <c r="AE635" s="586"/>
      <c r="AF635" s="170"/>
      <c r="AG635" s="170"/>
      <c r="AH635" s="170"/>
      <c r="AI635" s="170"/>
      <c r="AJ635" s="170"/>
      <c r="AK635" s="170"/>
      <c r="AL635" s="170"/>
      <c r="AM635" s="170"/>
      <c r="AN635" s="170"/>
      <c r="AO635" s="170"/>
      <c r="AP635" s="170"/>
      <c r="AQ635" s="170"/>
      <c r="AR635" s="170"/>
      <c r="AS635" s="170"/>
      <c r="AT635" s="170"/>
      <c r="AU635" s="170"/>
      <c r="AV635" s="170"/>
      <c r="AW635" s="170"/>
      <c r="AX635" s="170"/>
    </row>
    <row r="636" spans="1:50" ht="15" x14ac:dyDescent="0.25">
      <c r="A636" s="170"/>
      <c r="B636" s="719"/>
      <c r="C636" s="170"/>
      <c r="D636" s="170"/>
      <c r="E636" s="170"/>
      <c r="F636" s="170"/>
      <c r="G636" s="721"/>
      <c r="H636" s="170"/>
      <c r="I636" s="170"/>
      <c r="J636" s="170"/>
      <c r="K636" s="170"/>
      <c r="L636" s="170"/>
      <c r="M636" s="730"/>
      <c r="N636" s="730"/>
      <c r="O636" s="730"/>
      <c r="P636" s="731"/>
      <c r="Q636" s="731"/>
      <c r="R636" s="730"/>
      <c r="S636" s="730"/>
      <c r="T636" s="723"/>
      <c r="U636" s="724"/>
      <c r="V636" s="725"/>
      <c r="W636" s="725"/>
      <c r="X636" s="723"/>
      <c r="Y636" s="723"/>
      <c r="Z636" s="723"/>
      <c r="AA636" s="726"/>
      <c r="AB636" s="726"/>
      <c r="AC636" s="170"/>
      <c r="AD636" s="586"/>
      <c r="AE636" s="586"/>
      <c r="AF636" s="170"/>
      <c r="AG636" s="170"/>
      <c r="AH636" s="170"/>
      <c r="AI636" s="170"/>
      <c r="AJ636" s="170"/>
      <c r="AK636" s="170"/>
      <c r="AL636" s="170"/>
      <c r="AM636" s="170"/>
      <c r="AN636" s="170"/>
      <c r="AO636" s="170"/>
      <c r="AP636" s="170"/>
      <c r="AQ636" s="170"/>
      <c r="AR636" s="170"/>
      <c r="AS636" s="170"/>
      <c r="AT636" s="170"/>
      <c r="AU636" s="170"/>
      <c r="AV636" s="170"/>
      <c r="AW636" s="170"/>
      <c r="AX636" s="170"/>
    </row>
    <row r="637" spans="1:50" ht="15" x14ac:dyDescent="0.25">
      <c r="A637" s="170"/>
      <c r="B637" s="719"/>
      <c r="C637" s="170"/>
      <c r="D637" s="170"/>
      <c r="E637" s="170"/>
      <c r="F637" s="170"/>
      <c r="G637" s="721"/>
      <c r="H637" s="170"/>
      <c r="I637" s="170"/>
      <c r="J637" s="170"/>
      <c r="K637" s="170"/>
      <c r="L637" s="170"/>
      <c r="M637" s="730"/>
      <c r="N637" s="730"/>
      <c r="O637" s="730"/>
      <c r="P637" s="731"/>
      <c r="Q637" s="731"/>
      <c r="R637" s="730"/>
      <c r="S637" s="730"/>
      <c r="T637" s="723"/>
      <c r="U637" s="724"/>
      <c r="V637" s="725"/>
      <c r="W637" s="725"/>
      <c r="X637" s="723"/>
      <c r="Y637" s="723"/>
      <c r="Z637" s="723"/>
      <c r="AA637" s="726"/>
      <c r="AB637" s="726"/>
      <c r="AC637" s="170"/>
      <c r="AD637" s="586"/>
      <c r="AE637" s="586"/>
      <c r="AF637" s="170"/>
      <c r="AG637" s="170"/>
      <c r="AH637" s="170"/>
      <c r="AI637" s="170"/>
      <c r="AJ637" s="170"/>
      <c r="AK637" s="170"/>
      <c r="AL637" s="170"/>
      <c r="AM637" s="170"/>
      <c r="AN637" s="170"/>
      <c r="AO637" s="170"/>
      <c r="AP637" s="170"/>
      <c r="AQ637" s="170"/>
      <c r="AR637" s="170"/>
      <c r="AS637" s="170"/>
      <c r="AT637" s="170"/>
      <c r="AU637" s="170"/>
      <c r="AV637" s="170"/>
      <c r="AW637" s="170"/>
      <c r="AX637" s="170"/>
    </row>
    <row r="638" spans="1:50" ht="15" x14ac:dyDescent="0.25">
      <c r="A638" s="170"/>
      <c r="B638" s="719"/>
      <c r="C638" s="170"/>
      <c r="D638" s="170"/>
      <c r="E638" s="170"/>
      <c r="F638" s="170"/>
      <c r="G638" s="721"/>
      <c r="H638" s="170"/>
      <c r="I638" s="170"/>
      <c r="J638" s="170"/>
      <c r="K638" s="170"/>
      <c r="L638" s="170"/>
      <c r="M638" s="730"/>
      <c r="N638" s="730"/>
      <c r="O638" s="730"/>
      <c r="P638" s="731"/>
      <c r="Q638" s="731"/>
      <c r="R638" s="730"/>
      <c r="S638" s="730"/>
      <c r="T638" s="723"/>
      <c r="U638" s="724"/>
      <c r="V638" s="725"/>
      <c r="W638" s="725"/>
      <c r="X638" s="723"/>
      <c r="Y638" s="723"/>
      <c r="Z638" s="723"/>
      <c r="AA638" s="726"/>
      <c r="AB638" s="726"/>
      <c r="AC638" s="170"/>
      <c r="AD638" s="586"/>
      <c r="AE638" s="586"/>
      <c r="AF638" s="170"/>
      <c r="AG638" s="170"/>
      <c r="AH638" s="170"/>
      <c r="AI638" s="170"/>
      <c r="AJ638" s="170"/>
      <c r="AK638" s="170"/>
      <c r="AL638" s="170"/>
      <c r="AM638" s="170"/>
      <c r="AN638" s="170"/>
      <c r="AO638" s="170"/>
      <c r="AP638" s="170"/>
      <c r="AQ638" s="170"/>
      <c r="AR638" s="170"/>
      <c r="AS638" s="170"/>
      <c r="AT638" s="170"/>
      <c r="AU638" s="170"/>
      <c r="AV638" s="170"/>
      <c r="AW638" s="170"/>
      <c r="AX638" s="170"/>
    </row>
    <row r="639" spans="1:50" ht="15" x14ac:dyDescent="0.25">
      <c r="A639" s="170"/>
      <c r="B639" s="719"/>
      <c r="C639" s="170"/>
      <c r="D639" s="170"/>
      <c r="E639" s="170"/>
      <c r="F639" s="170"/>
      <c r="G639" s="721"/>
      <c r="H639" s="170"/>
      <c r="I639" s="170"/>
      <c r="J639" s="170"/>
      <c r="K639" s="170"/>
      <c r="L639" s="170"/>
      <c r="M639" s="730"/>
      <c r="N639" s="730"/>
      <c r="O639" s="730"/>
      <c r="P639" s="731"/>
      <c r="Q639" s="731"/>
      <c r="R639" s="730"/>
      <c r="S639" s="730"/>
      <c r="T639" s="723"/>
      <c r="U639" s="724"/>
      <c r="V639" s="725"/>
      <c r="W639" s="725"/>
      <c r="X639" s="723"/>
      <c r="Y639" s="723"/>
      <c r="Z639" s="723"/>
      <c r="AA639" s="726"/>
      <c r="AB639" s="726"/>
      <c r="AC639" s="170"/>
      <c r="AD639" s="586"/>
      <c r="AE639" s="586"/>
      <c r="AF639" s="170"/>
      <c r="AG639" s="170"/>
      <c r="AH639" s="170"/>
      <c r="AI639" s="170"/>
      <c r="AJ639" s="170"/>
      <c r="AK639" s="170"/>
      <c r="AL639" s="170"/>
      <c r="AM639" s="170"/>
      <c r="AN639" s="170"/>
      <c r="AO639" s="170"/>
      <c r="AP639" s="170"/>
      <c r="AQ639" s="170"/>
      <c r="AR639" s="170"/>
      <c r="AS639" s="170"/>
      <c r="AT639" s="170"/>
      <c r="AU639" s="170"/>
      <c r="AV639" s="170"/>
      <c r="AW639" s="170"/>
      <c r="AX639" s="170"/>
    </row>
    <row r="640" spans="1:50" ht="15" x14ac:dyDescent="0.25">
      <c r="A640" s="170"/>
      <c r="B640" s="719"/>
      <c r="C640" s="170"/>
      <c r="D640" s="170"/>
      <c r="E640" s="170"/>
      <c r="F640" s="170"/>
      <c r="G640" s="721"/>
      <c r="H640" s="170"/>
      <c r="I640" s="170"/>
      <c r="J640" s="170"/>
      <c r="K640" s="170"/>
      <c r="L640" s="170"/>
      <c r="M640" s="730"/>
      <c r="N640" s="730"/>
      <c r="O640" s="730"/>
      <c r="P640" s="731"/>
      <c r="Q640" s="731"/>
      <c r="R640" s="730"/>
      <c r="S640" s="730"/>
      <c r="T640" s="723"/>
      <c r="U640" s="724"/>
      <c r="V640" s="725"/>
      <c r="W640" s="725"/>
      <c r="X640" s="723"/>
      <c r="Y640" s="723"/>
      <c r="Z640" s="723"/>
      <c r="AA640" s="726"/>
      <c r="AB640" s="726"/>
      <c r="AC640" s="170"/>
      <c r="AD640" s="586"/>
      <c r="AE640" s="586"/>
      <c r="AF640" s="170"/>
      <c r="AG640" s="170"/>
      <c r="AH640" s="170"/>
      <c r="AI640" s="170"/>
      <c r="AJ640" s="170"/>
      <c r="AK640" s="170"/>
      <c r="AL640" s="170"/>
      <c r="AM640" s="170"/>
      <c r="AN640" s="170"/>
      <c r="AO640" s="170"/>
      <c r="AP640" s="170"/>
      <c r="AQ640" s="170"/>
      <c r="AR640" s="170"/>
      <c r="AS640" s="170"/>
      <c r="AT640" s="170"/>
      <c r="AU640" s="170"/>
      <c r="AV640" s="170"/>
      <c r="AW640" s="170"/>
      <c r="AX640" s="170"/>
    </row>
    <row r="641" spans="1:50" ht="15" x14ac:dyDescent="0.25">
      <c r="A641" s="170"/>
      <c r="B641" s="719"/>
      <c r="C641" s="170"/>
      <c r="D641" s="170"/>
      <c r="E641" s="170"/>
      <c r="F641" s="170"/>
      <c r="G641" s="721"/>
      <c r="H641" s="170"/>
      <c r="I641" s="170"/>
      <c r="J641" s="170"/>
      <c r="K641" s="170"/>
      <c r="L641" s="170"/>
      <c r="M641" s="730"/>
      <c r="N641" s="730"/>
      <c r="O641" s="730"/>
      <c r="P641" s="731"/>
      <c r="Q641" s="731"/>
      <c r="R641" s="730"/>
      <c r="S641" s="730"/>
      <c r="T641" s="723"/>
      <c r="U641" s="724"/>
      <c r="V641" s="725"/>
      <c r="W641" s="725"/>
      <c r="X641" s="723"/>
      <c r="Y641" s="723"/>
      <c r="Z641" s="723"/>
      <c r="AA641" s="726"/>
      <c r="AB641" s="726"/>
      <c r="AC641" s="170"/>
      <c r="AD641" s="586"/>
      <c r="AE641" s="586"/>
      <c r="AF641" s="170"/>
      <c r="AG641" s="170"/>
      <c r="AH641" s="170"/>
      <c r="AI641" s="170"/>
      <c r="AJ641" s="170"/>
      <c r="AK641" s="170"/>
      <c r="AL641" s="170"/>
      <c r="AM641" s="170"/>
      <c r="AN641" s="170"/>
      <c r="AO641" s="170"/>
      <c r="AP641" s="170"/>
      <c r="AQ641" s="170"/>
      <c r="AR641" s="170"/>
      <c r="AS641" s="170"/>
      <c r="AT641" s="170"/>
      <c r="AU641" s="170"/>
      <c r="AV641" s="170"/>
      <c r="AW641" s="170"/>
      <c r="AX641" s="170"/>
    </row>
    <row r="642" spans="1:50" ht="15" x14ac:dyDescent="0.25">
      <c r="A642" s="170"/>
      <c r="B642" s="719"/>
      <c r="C642" s="170"/>
      <c r="D642" s="170"/>
      <c r="E642" s="170"/>
      <c r="F642" s="170"/>
      <c r="G642" s="721"/>
      <c r="H642" s="170"/>
      <c r="I642" s="170"/>
      <c r="J642" s="170"/>
      <c r="K642" s="170"/>
      <c r="L642" s="170"/>
      <c r="M642" s="730"/>
      <c r="N642" s="730"/>
      <c r="O642" s="730"/>
      <c r="P642" s="731"/>
      <c r="Q642" s="731"/>
      <c r="R642" s="730"/>
      <c r="S642" s="730"/>
      <c r="T642" s="723"/>
      <c r="U642" s="724"/>
      <c r="V642" s="725"/>
      <c r="W642" s="725"/>
      <c r="X642" s="723"/>
      <c r="Y642" s="723"/>
      <c r="Z642" s="723"/>
      <c r="AA642" s="726"/>
      <c r="AB642" s="726"/>
      <c r="AC642" s="170"/>
      <c r="AD642" s="586"/>
      <c r="AE642" s="586"/>
      <c r="AF642" s="170"/>
      <c r="AG642" s="170"/>
      <c r="AH642" s="170"/>
      <c r="AI642" s="170"/>
      <c r="AJ642" s="170"/>
      <c r="AK642" s="170"/>
      <c r="AL642" s="170"/>
      <c r="AM642" s="170"/>
      <c r="AN642" s="170"/>
      <c r="AO642" s="170"/>
      <c r="AP642" s="170"/>
      <c r="AQ642" s="170"/>
      <c r="AR642" s="170"/>
      <c r="AS642" s="170"/>
      <c r="AT642" s="170"/>
      <c r="AU642" s="170"/>
      <c r="AV642" s="170"/>
      <c r="AW642" s="170"/>
      <c r="AX642" s="170"/>
    </row>
    <row r="643" spans="1:50" ht="15" x14ac:dyDescent="0.25">
      <c r="A643" s="170"/>
      <c r="B643" s="719"/>
      <c r="C643" s="170"/>
      <c r="D643" s="170"/>
      <c r="E643" s="170"/>
      <c r="F643" s="170"/>
      <c r="G643" s="721"/>
      <c r="H643" s="170"/>
      <c r="I643" s="170"/>
      <c r="J643" s="170"/>
      <c r="K643" s="170"/>
      <c r="L643" s="170"/>
      <c r="M643" s="730"/>
      <c r="N643" s="730"/>
      <c r="O643" s="730"/>
      <c r="P643" s="731"/>
      <c r="Q643" s="731"/>
      <c r="R643" s="730"/>
      <c r="S643" s="730"/>
      <c r="T643" s="723"/>
      <c r="U643" s="724"/>
      <c r="V643" s="725"/>
      <c r="W643" s="725"/>
      <c r="X643" s="723"/>
      <c r="Y643" s="723"/>
      <c r="Z643" s="723"/>
      <c r="AA643" s="726"/>
      <c r="AB643" s="726"/>
      <c r="AC643" s="170"/>
      <c r="AD643" s="586"/>
      <c r="AE643" s="586"/>
      <c r="AF643" s="170"/>
      <c r="AG643" s="170"/>
      <c r="AH643" s="170"/>
      <c r="AI643" s="170"/>
      <c r="AJ643" s="170"/>
      <c r="AK643" s="170"/>
      <c r="AL643" s="170"/>
      <c r="AM643" s="170"/>
      <c r="AN643" s="170"/>
      <c r="AO643" s="170"/>
      <c r="AP643" s="170"/>
      <c r="AQ643" s="170"/>
      <c r="AR643" s="170"/>
      <c r="AS643" s="170"/>
      <c r="AT643" s="170"/>
      <c r="AU643" s="170"/>
      <c r="AV643" s="170"/>
      <c r="AW643" s="170"/>
      <c r="AX643" s="170"/>
    </row>
    <row r="644" spans="1:50" ht="15" x14ac:dyDescent="0.25">
      <c r="A644" s="170"/>
      <c r="B644" s="719"/>
      <c r="C644" s="170"/>
      <c r="D644" s="170"/>
      <c r="E644" s="170"/>
      <c r="F644" s="170"/>
      <c r="G644" s="721"/>
      <c r="H644" s="170"/>
      <c r="I644" s="170"/>
      <c r="J644" s="170"/>
      <c r="K644" s="170"/>
      <c r="L644" s="170"/>
      <c r="M644" s="730"/>
      <c r="N644" s="730"/>
      <c r="O644" s="730"/>
      <c r="P644" s="731"/>
      <c r="Q644" s="731"/>
      <c r="R644" s="730"/>
      <c r="S644" s="730"/>
      <c r="T644" s="723"/>
      <c r="U644" s="724"/>
      <c r="V644" s="725"/>
      <c r="W644" s="725"/>
      <c r="X644" s="723"/>
      <c r="Y644" s="723"/>
      <c r="Z644" s="723"/>
      <c r="AA644" s="726"/>
      <c r="AB644" s="726"/>
      <c r="AC644" s="170"/>
      <c r="AD644" s="586"/>
      <c r="AE644" s="586"/>
      <c r="AF644" s="170"/>
      <c r="AG644" s="170"/>
      <c r="AH644" s="170"/>
      <c r="AI644" s="170"/>
      <c r="AJ644" s="170"/>
      <c r="AK644" s="170"/>
      <c r="AL644" s="170"/>
      <c r="AM644" s="170"/>
      <c r="AN644" s="170"/>
      <c r="AO644" s="170"/>
      <c r="AP644" s="170"/>
      <c r="AQ644" s="170"/>
      <c r="AR644" s="170"/>
      <c r="AS644" s="170"/>
      <c r="AT644" s="170"/>
      <c r="AU644" s="170"/>
      <c r="AV644" s="170"/>
      <c r="AW644" s="170"/>
      <c r="AX644" s="170"/>
    </row>
    <row r="645" spans="1:50" ht="15" x14ac:dyDescent="0.25">
      <c r="A645" s="170"/>
      <c r="B645" s="719"/>
      <c r="C645" s="170"/>
      <c r="D645" s="170"/>
      <c r="E645" s="170"/>
      <c r="F645" s="170"/>
      <c r="G645" s="721"/>
      <c r="H645" s="170"/>
      <c r="I645" s="170"/>
      <c r="J645" s="170"/>
      <c r="K645" s="170"/>
      <c r="L645" s="170"/>
      <c r="M645" s="730"/>
      <c r="N645" s="730"/>
      <c r="O645" s="730"/>
      <c r="P645" s="731"/>
      <c r="Q645" s="731"/>
      <c r="R645" s="730"/>
      <c r="S645" s="730"/>
      <c r="T645" s="723"/>
      <c r="U645" s="724"/>
      <c r="V645" s="725"/>
      <c r="W645" s="725"/>
      <c r="X645" s="723"/>
      <c r="Y645" s="723"/>
      <c r="Z645" s="723"/>
      <c r="AA645" s="726"/>
      <c r="AB645" s="726"/>
      <c r="AC645" s="170"/>
      <c r="AD645" s="586"/>
      <c r="AE645" s="586"/>
      <c r="AF645" s="170"/>
      <c r="AG645" s="170"/>
      <c r="AH645" s="170"/>
      <c r="AI645" s="170"/>
      <c r="AJ645" s="170"/>
      <c r="AK645" s="170"/>
      <c r="AL645" s="170"/>
      <c r="AM645" s="170"/>
      <c r="AN645" s="170"/>
      <c r="AO645" s="170"/>
      <c r="AP645" s="170"/>
      <c r="AQ645" s="170"/>
      <c r="AR645" s="170"/>
      <c r="AS645" s="170"/>
      <c r="AT645" s="170"/>
      <c r="AU645" s="170"/>
      <c r="AV645" s="170"/>
      <c r="AW645" s="170"/>
      <c r="AX645" s="170"/>
    </row>
    <row r="646" spans="1:50" ht="15" x14ac:dyDescent="0.25">
      <c r="A646" s="170"/>
      <c r="B646" s="719"/>
      <c r="C646" s="170"/>
      <c r="D646" s="170"/>
      <c r="E646" s="170"/>
      <c r="F646" s="170"/>
      <c r="G646" s="721"/>
      <c r="H646" s="170"/>
      <c r="I646" s="170"/>
      <c r="J646" s="170"/>
      <c r="K646" s="170"/>
      <c r="L646" s="170"/>
      <c r="M646" s="730"/>
      <c r="N646" s="730"/>
      <c r="O646" s="730"/>
      <c r="P646" s="731"/>
      <c r="Q646" s="731"/>
      <c r="R646" s="730"/>
      <c r="S646" s="730"/>
      <c r="T646" s="723"/>
      <c r="U646" s="724"/>
      <c r="V646" s="725"/>
      <c r="W646" s="725"/>
      <c r="X646" s="723"/>
      <c r="Y646" s="723"/>
      <c r="Z646" s="723"/>
      <c r="AA646" s="726"/>
      <c r="AB646" s="726"/>
      <c r="AC646" s="170"/>
      <c r="AD646" s="586"/>
      <c r="AE646" s="586"/>
      <c r="AF646" s="170"/>
      <c r="AG646" s="170"/>
      <c r="AH646" s="170"/>
      <c r="AI646" s="170"/>
      <c r="AJ646" s="170"/>
      <c r="AK646" s="170"/>
      <c r="AL646" s="170"/>
      <c r="AM646" s="170"/>
      <c r="AN646" s="170"/>
      <c r="AO646" s="170"/>
      <c r="AP646" s="170"/>
      <c r="AQ646" s="170"/>
      <c r="AR646" s="170"/>
      <c r="AS646" s="170"/>
      <c r="AT646" s="170"/>
      <c r="AU646" s="170"/>
      <c r="AV646" s="170"/>
      <c r="AW646" s="170"/>
      <c r="AX646" s="170"/>
    </row>
    <row r="647" spans="1:50" ht="15" x14ac:dyDescent="0.25">
      <c r="A647" s="170"/>
      <c r="B647" s="719"/>
      <c r="C647" s="170"/>
      <c r="D647" s="170"/>
      <c r="E647" s="170"/>
      <c r="F647" s="170"/>
      <c r="G647" s="721"/>
      <c r="H647" s="170"/>
      <c r="I647" s="170"/>
      <c r="J647" s="170"/>
      <c r="K647" s="170"/>
      <c r="L647" s="170"/>
      <c r="M647" s="730"/>
      <c r="N647" s="730"/>
      <c r="O647" s="730"/>
      <c r="P647" s="731"/>
      <c r="Q647" s="731"/>
      <c r="R647" s="730"/>
      <c r="S647" s="730"/>
      <c r="T647" s="723"/>
      <c r="U647" s="724"/>
      <c r="V647" s="725"/>
      <c r="W647" s="725"/>
      <c r="X647" s="723"/>
      <c r="Y647" s="723"/>
      <c r="Z647" s="723"/>
      <c r="AA647" s="726"/>
      <c r="AB647" s="726"/>
      <c r="AC647" s="170"/>
      <c r="AD647" s="586"/>
      <c r="AE647" s="586"/>
      <c r="AF647" s="170"/>
      <c r="AG647" s="170"/>
      <c r="AH647" s="170"/>
      <c r="AI647" s="170"/>
      <c r="AJ647" s="170"/>
      <c r="AK647" s="170"/>
      <c r="AL647" s="170"/>
      <c r="AM647" s="170"/>
      <c r="AN647" s="170"/>
      <c r="AO647" s="170"/>
      <c r="AP647" s="170"/>
      <c r="AQ647" s="170"/>
      <c r="AR647" s="170"/>
      <c r="AS647" s="170"/>
      <c r="AT647" s="170"/>
      <c r="AU647" s="170"/>
      <c r="AV647" s="170"/>
      <c r="AW647" s="170"/>
      <c r="AX647" s="170"/>
    </row>
    <row r="648" spans="1:50" ht="15" x14ac:dyDescent="0.25">
      <c r="A648" s="170"/>
      <c r="B648" s="719"/>
      <c r="C648" s="170"/>
      <c r="D648" s="170"/>
      <c r="E648" s="170"/>
      <c r="F648" s="170"/>
      <c r="G648" s="721"/>
      <c r="H648" s="170"/>
      <c r="I648" s="170"/>
      <c r="J648" s="170"/>
      <c r="K648" s="170"/>
      <c r="L648" s="170"/>
      <c r="M648" s="730"/>
      <c r="N648" s="730"/>
      <c r="O648" s="730"/>
      <c r="P648" s="731"/>
      <c r="Q648" s="731"/>
      <c r="R648" s="730"/>
      <c r="S648" s="730"/>
      <c r="T648" s="723"/>
      <c r="U648" s="724"/>
      <c r="V648" s="725"/>
      <c r="W648" s="725"/>
      <c r="X648" s="723"/>
      <c r="Y648" s="723"/>
      <c r="Z648" s="723"/>
      <c r="AA648" s="726"/>
      <c r="AB648" s="726"/>
      <c r="AC648" s="170"/>
      <c r="AD648" s="586"/>
      <c r="AE648" s="586"/>
      <c r="AF648" s="170"/>
      <c r="AG648" s="170"/>
      <c r="AH648" s="170"/>
      <c r="AI648" s="170"/>
      <c r="AJ648" s="170"/>
      <c r="AK648" s="170"/>
      <c r="AL648" s="170"/>
      <c r="AM648" s="170"/>
      <c r="AN648" s="170"/>
      <c r="AO648" s="170"/>
      <c r="AP648" s="170"/>
      <c r="AQ648" s="170"/>
      <c r="AR648" s="170"/>
      <c r="AS648" s="170"/>
      <c r="AT648" s="170"/>
      <c r="AU648" s="170"/>
      <c r="AV648" s="170"/>
      <c r="AW648" s="170"/>
      <c r="AX648" s="170"/>
    </row>
    <row r="649" spans="1:50" ht="15" x14ac:dyDescent="0.25">
      <c r="A649" s="170"/>
      <c r="B649" s="719"/>
      <c r="C649" s="170"/>
      <c r="D649" s="170"/>
      <c r="E649" s="170"/>
      <c r="F649" s="170"/>
      <c r="G649" s="721"/>
      <c r="H649" s="170"/>
      <c r="I649" s="170"/>
      <c r="J649" s="170"/>
      <c r="K649" s="170"/>
      <c r="L649" s="170"/>
      <c r="M649" s="730"/>
      <c r="N649" s="730"/>
      <c r="O649" s="730"/>
      <c r="P649" s="731"/>
      <c r="Q649" s="731"/>
      <c r="R649" s="730"/>
      <c r="S649" s="730"/>
      <c r="T649" s="723"/>
      <c r="U649" s="724"/>
      <c r="V649" s="725"/>
      <c r="W649" s="725"/>
      <c r="X649" s="723"/>
      <c r="Y649" s="723"/>
      <c r="Z649" s="723"/>
      <c r="AA649" s="726"/>
      <c r="AB649" s="726"/>
      <c r="AC649" s="170"/>
      <c r="AD649" s="586"/>
      <c r="AE649" s="586"/>
      <c r="AF649" s="170"/>
      <c r="AG649" s="170"/>
      <c r="AH649" s="170"/>
      <c r="AI649" s="170"/>
      <c r="AJ649" s="170"/>
      <c r="AK649" s="170"/>
      <c r="AL649" s="170"/>
      <c r="AM649" s="170"/>
      <c r="AN649" s="170"/>
      <c r="AO649" s="170"/>
      <c r="AP649" s="170"/>
      <c r="AQ649" s="170"/>
      <c r="AR649" s="170"/>
      <c r="AS649" s="170"/>
      <c r="AT649" s="170"/>
      <c r="AU649" s="170"/>
      <c r="AV649" s="170"/>
      <c r="AW649" s="170"/>
      <c r="AX649" s="170"/>
    </row>
    <row r="650" spans="1:50" ht="15" x14ac:dyDescent="0.25">
      <c r="A650" s="170"/>
      <c r="B650" s="719"/>
      <c r="C650" s="170"/>
      <c r="D650" s="170"/>
      <c r="E650" s="170"/>
      <c r="F650" s="170"/>
      <c r="G650" s="721"/>
      <c r="H650" s="170"/>
      <c r="I650" s="170"/>
      <c r="J650" s="170"/>
      <c r="K650" s="170"/>
      <c r="L650" s="170"/>
      <c r="M650" s="730"/>
      <c r="N650" s="730"/>
      <c r="O650" s="730"/>
      <c r="P650" s="731"/>
      <c r="Q650" s="731"/>
      <c r="R650" s="730"/>
      <c r="S650" s="730"/>
      <c r="T650" s="723"/>
      <c r="U650" s="724"/>
      <c r="V650" s="725"/>
      <c r="W650" s="725"/>
      <c r="X650" s="723"/>
      <c r="Y650" s="723"/>
      <c r="Z650" s="723"/>
      <c r="AA650" s="726"/>
      <c r="AB650" s="726"/>
      <c r="AC650" s="170"/>
      <c r="AD650" s="586"/>
      <c r="AE650" s="586"/>
      <c r="AF650" s="170"/>
      <c r="AG650" s="170"/>
      <c r="AH650" s="170"/>
      <c r="AI650" s="170"/>
      <c r="AJ650" s="170"/>
      <c r="AK650" s="170"/>
      <c r="AL650" s="170"/>
      <c r="AM650" s="170"/>
      <c r="AN650" s="170"/>
      <c r="AO650" s="170"/>
      <c r="AP650" s="170"/>
      <c r="AQ650" s="170"/>
      <c r="AR650" s="170"/>
      <c r="AS650" s="170"/>
      <c r="AT650" s="170"/>
      <c r="AU650" s="170"/>
      <c r="AV650" s="170"/>
      <c r="AW650" s="170"/>
      <c r="AX650" s="170"/>
    </row>
    <row r="651" spans="1:50" ht="15" x14ac:dyDescent="0.25">
      <c r="A651" s="170"/>
      <c r="B651" s="719"/>
      <c r="C651" s="170"/>
      <c r="D651" s="170"/>
      <c r="E651" s="170"/>
      <c r="F651" s="170"/>
      <c r="G651" s="721"/>
      <c r="H651" s="170"/>
      <c r="I651" s="170"/>
      <c r="J651" s="170"/>
      <c r="K651" s="170"/>
      <c r="L651" s="170"/>
      <c r="M651" s="730"/>
      <c r="N651" s="730"/>
      <c r="O651" s="730"/>
      <c r="P651" s="731"/>
      <c r="Q651" s="731"/>
      <c r="R651" s="730"/>
      <c r="S651" s="730"/>
      <c r="T651" s="723"/>
      <c r="U651" s="724"/>
      <c r="V651" s="725"/>
      <c r="W651" s="725"/>
      <c r="X651" s="723"/>
      <c r="Y651" s="723"/>
      <c r="Z651" s="723"/>
      <c r="AA651" s="726"/>
      <c r="AB651" s="726"/>
      <c r="AC651" s="170"/>
      <c r="AD651" s="586"/>
      <c r="AE651" s="586"/>
      <c r="AF651" s="170"/>
      <c r="AG651" s="170"/>
      <c r="AH651" s="170"/>
      <c r="AI651" s="170"/>
      <c r="AJ651" s="170"/>
      <c r="AK651" s="170"/>
      <c r="AL651" s="170"/>
      <c r="AM651" s="170"/>
      <c r="AN651" s="170"/>
      <c r="AO651" s="170"/>
      <c r="AP651" s="170"/>
      <c r="AQ651" s="170"/>
      <c r="AR651" s="170"/>
      <c r="AS651" s="170"/>
      <c r="AT651" s="170"/>
      <c r="AU651" s="170"/>
      <c r="AV651" s="170"/>
      <c r="AW651" s="170"/>
      <c r="AX651" s="170"/>
    </row>
    <row r="652" spans="1:50" ht="15" x14ac:dyDescent="0.25">
      <c r="A652" s="170"/>
      <c r="B652" s="719"/>
      <c r="C652" s="170"/>
      <c r="D652" s="170"/>
      <c r="E652" s="170"/>
      <c r="F652" s="170"/>
      <c r="G652" s="721"/>
      <c r="H652" s="170"/>
      <c r="I652" s="170"/>
      <c r="J652" s="170"/>
      <c r="K652" s="170"/>
      <c r="L652" s="170"/>
      <c r="M652" s="730"/>
      <c r="N652" s="730"/>
      <c r="O652" s="730"/>
      <c r="P652" s="731"/>
      <c r="Q652" s="731"/>
      <c r="R652" s="730"/>
      <c r="S652" s="730"/>
      <c r="T652" s="723"/>
      <c r="U652" s="724"/>
      <c r="V652" s="725"/>
      <c r="W652" s="725"/>
      <c r="X652" s="723"/>
      <c r="Y652" s="723"/>
      <c r="Z652" s="723"/>
      <c r="AA652" s="726"/>
      <c r="AB652" s="726"/>
      <c r="AC652" s="170"/>
      <c r="AD652" s="586"/>
      <c r="AE652" s="586"/>
      <c r="AF652" s="170"/>
      <c r="AG652" s="170"/>
      <c r="AH652" s="170"/>
      <c r="AI652" s="170"/>
      <c r="AJ652" s="170"/>
      <c r="AK652" s="170"/>
      <c r="AL652" s="170"/>
      <c r="AM652" s="170"/>
      <c r="AN652" s="170"/>
      <c r="AO652" s="170"/>
      <c r="AP652" s="170"/>
      <c r="AQ652" s="170"/>
      <c r="AR652" s="170"/>
      <c r="AS652" s="170"/>
      <c r="AT652" s="170"/>
      <c r="AU652" s="170"/>
      <c r="AV652" s="170"/>
      <c r="AW652" s="170"/>
      <c r="AX652" s="170"/>
    </row>
    <row r="653" spans="1:50" ht="15" x14ac:dyDescent="0.25">
      <c r="A653" s="170"/>
      <c r="B653" s="719"/>
      <c r="C653" s="170"/>
      <c r="D653" s="170"/>
      <c r="E653" s="170"/>
      <c r="F653" s="170"/>
      <c r="G653" s="721"/>
      <c r="H653" s="170"/>
      <c r="I653" s="170"/>
      <c r="J653" s="170"/>
      <c r="K653" s="170"/>
      <c r="L653" s="170"/>
      <c r="M653" s="730"/>
      <c r="N653" s="730"/>
      <c r="O653" s="730"/>
      <c r="P653" s="731"/>
      <c r="Q653" s="731"/>
      <c r="R653" s="730"/>
      <c r="S653" s="730"/>
      <c r="T653" s="723"/>
      <c r="U653" s="724"/>
      <c r="V653" s="725"/>
      <c r="W653" s="725"/>
      <c r="X653" s="723"/>
      <c r="Y653" s="723"/>
      <c r="Z653" s="723"/>
      <c r="AA653" s="726"/>
      <c r="AB653" s="726"/>
      <c r="AC653" s="170"/>
      <c r="AD653" s="586"/>
      <c r="AE653" s="586"/>
      <c r="AF653" s="170"/>
      <c r="AG653" s="170"/>
      <c r="AH653" s="170"/>
      <c r="AI653" s="170"/>
      <c r="AJ653" s="170"/>
      <c r="AK653" s="170"/>
      <c r="AL653" s="170"/>
      <c r="AM653" s="170"/>
      <c r="AN653" s="170"/>
      <c r="AO653" s="170"/>
      <c r="AP653" s="170"/>
      <c r="AQ653" s="170"/>
      <c r="AR653" s="170"/>
      <c r="AS653" s="170"/>
      <c r="AT653" s="170"/>
      <c r="AU653" s="170"/>
      <c r="AV653" s="170"/>
      <c r="AW653" s="170"/>
      <c r="AX653" s="170"/>
    </row>
    <row r="654" spans="1:50" ht="15" x14ac:dyDescent="0.25">
      <c r="A654" s="170"/>
      <c r="B654" s="719"/>
      <c r="C654" s="170"/>
      <c r="D654" s="170"/>
      <c r="E654" s="170"/>
      <c r="F654" s="170"/>
      <c r="G654" s="721"/>
      <c r="H654" s="170"/>
      <c r="I654" s="170"/>
      <c r="J654" s="170"/>
      <c r="K654" s="170"/>
      <c r="L654" s="170"/>
      <c r="M654" s="730"/>
      <c r="N654" s="730"/>
      <c r="O654" s="730"/>
      <c r="P654" s="731"/>
      <c r="Q654" s="731"/>
      <c r="R654" s="730"/>
      <c r="S654" s="730"/>
      <c r="T654" s="723"/>
      <c r="U654" s="724"/>
      <c r="V654" s="725"/>
      <c r="W654" s="725"/>
      <c r="X654" s="723"/>
      <c r="Y654" s="723"/>
      <c r="Z654" s="723"/>
      <c r="AA654" s="726"/>
      <c r="AB654" s="726"/>
      <c r="AC654" s="170"/>
      <c r="AD654" s="586"/>
      <c r="AE654" s="586"/>
      <c r="AF654" s="170"/>
      <c r="AG654" s="170"/>
      <c r="AH654" s="170"/>
      <c r="AI654" s="170"/>
      <c r="AJ654" s="170"/>
      <c r="AK654" s="170"/>
      <c r="AL654" s="170"/>
      <c r="AM654" s="170"/>
      <c r="AN654" s="170"/>
      <c r="AO654" s="170"/>
      <c r="AP654" s="170"/>
      <c r="AQ654" s="170"/>
      <c r="AR654" s="170"/>
      <c r="AS654" s="170"/>
      <c r="AT654" s="170"/>
      <c r="AU654" s="170"/>
      <c r="AV654" s="170"/>
      <c r="AW654" s="170"/>
      <c r="AX654" s="170"/>
    </row>
    <row r="655" spans="1:50" ht="15" x14ac:dyDescent="0.25">
      <c r="A655" s="170"/>
      <c r="B655" s="719"/>
      <c r="C655" s="170"/>
      <c r="D655" s="170"/>
      <c r="E655" s="170"/>
      <c r="F655" s="170"/>
      <c r="G655" s="721"/>
      <c r="H655" s="170"/>
      <c r="I655" s="170"/>
      <c r="J655" s="170"/>
      <c r="K655" s="170"/>
      <c r="L655" s="170"/>
      <c r="M655" s="730"/>
      <c r="N655" s="730"/>
      <c r="O655" s="730"/>
      <c r="P655" s="731"/>
      <c r="Q655" s="731"/>
      <c r="R655" s="730"/>
      <c r="S655" s="730"/>
      <c r="T655" s="723"/>
      <c r="U655" s="724"/>
      <c r="V655" s="725"/>
      <c r="W655" s="725"/>
      <c r="X655" s="723"/>
      <c r="Y655" s="723"/>
      <c r="Z655" s="723"/>
      <c r="AA655" s="726"/>
      <c r="AB655" s="726"/>
      <c r="AC655" s="170"/>
      <c r="AD655" s="586"/>
      <c r="AE655" s="586"/>
      <c r="AF655" s="170"/>
      <c r="AG655" s="170"/>
      <c r="AH655" s="170"/>
      <c r="AI655" s="170"/>
      <c r="AJ655" s="170"/>
      <c r="AK655" s="170"/>
      <c r="AL655" s="170"/>
      <c r="AM655" s="170"/>
      <c r="AN655" s="170"/>
      <c r="AO655" s="170"/>
      <c r="AP655" s="170"/>
      <c r="AQ655" s="170"/>
      <c r="AR655" s="170"/>
      <c r="AS655" s="170"/>
      <c r="AT655" s="170"/>
      <c r="AU655" s="170"/>
      <c r="AV655" s="170"/>
      <c r="AW655" s="170"/>
      <c r="AX655" s="170"/>
    </row>
    <row r="656" spans="1:50" ht="15" x14ac:dyDescent="0.25">
      <c r="A656" s="170"/>
      <c r="B656" s="719"/>
      <c r="C656" s="170"/>
      <c r="D656" s="170"/>
      <c r="E656" s="170"/>
      <c r="F656" s="170"/>
      <c r="G656" s="721"/>
      <c r="H656" s="170"/>
      <c r="I656" s="170"/>
      <c r="J656" s="170"/>
      <c r="K656" s="170"/>
      <c r="L656" s="170"/>
      <c r="M656" s="730"/>
      <c r="N656" s="730"/>
      <c r="O656" s="730"/>
      <c r="P656" s="731"/>
      <c r="Q656" s="731"/>
      <c r="R656" s="730"/>
      <c r="S656" s="730"/>
      <c r="T656" s="723"/>
      <c r="U656" s="724"/>
      <c r="V656" s="725"/>
      <c r="W656" s="725"/>
      <c r="X656" s="723"/>
      <c r="Y656" s="723"/>
      <c r="Z656" s="723"/>
      <c r="AA656" s="726"/>
      <c r="AB656" s="726"/>
      <c r="AC656" s="170"/>
      <c r="AD656" s="586"/>
      <c r="AE656" s="586"/>
      <c r="AF656" s="170"/>
      <c r="AG656" s="170"/>
      <c r="AH656" s="170"/>
      <c r="AI656" s="170"/>
      <c r="AJ656" s="170"/>
      <c r="AK656" s="170"/>
      <c r="AL656" s="170"/>
      <c r="AM656" s="170"/>
      <c r="AN656" s="170"/>
      <c r="AO656" s="170"/>
      <c r="AP656" s="170"/>
      <c r="AQ656" s="170"/>
      <c r="AR656" s="170"/>
      <c r="AS656" s="170"/>
      <c r="AT656" s="170"/>
      <c r="AU656" s="170"/>
      <c r="AV656" s="170"/>
      <c r="AW656" s="170"/>
      <c r="AX656" s="170"/>
    </row>
    <row r="657" spans="1:50" ht="15" x14ac:dyDescent="0.25">
      <c r="A657" s="170"/>
      <c r="B657" s="719"/>
      <c r="C657" s="170"/>
      <c r="D657" s="170"/>
      <c r="E657" s="170"/>
      <c r="F657" s="170"/>
      <c r="G657" s="721"/>
      <c r="H657" s="170"/>
      <c r="I657" s="170"/>
      <c r="J657" s="170"/>
      <c r="K657" s="170"/>
      <c r="L657" s="170"/>
      <c r="M657" s="730"/>
      <c r="N657" s="730"/>
      <c r="O657" s="730"/>
      <c r="P657" s="731"/>
      <c r="Q657" s="731"/>
      <c r="R657" s="730"/>
      <c r="S657" s="730"/>
      <c r="T657" s="723"/>
      <c r="U657" s="724"/>
      <c r="V657" s="725"/>
      <c r="W657" s="725"/>
      <c r="X657" s="723"/>
      <c r="Y657" s="723"/>
      <c r="Z657" s="723"/>
      <c r="AA657" s="726"/>
      <c r="AB657" s="726"/>
      <c r="AC657" s="170"/>
      <c r="AD657" s="586"/>
      <c r="AE657" s="586"/>
      <c r="AF657" s="170"/>
      <c r="AG657" s="170"/>
      <c r="AH657" s="170"/>
      <c r="AI657" s="170"/>
      <c r="AJ657" s="170"/>
      <c r="AK657" s="170"/>
      <c r="AL657" s="170"/>
      <c r="AM657" s="170"/>
      <c r="AN657" s="170"/>
      <c r="AO657" s="170"/>
      <c r="AP657" s="170"/>
      <c r="AQ657" s="170"/>
      <c r="AR657" s="170"/>
      <c r="AS657" s="170"/>
      <c r="AT657" s="170"/>
      <c r="AU657" s="170"/>
      <c r="AV657" s="170"/>
      <c r="AW657" s="170"/>
      <c r="AX657" s="170"/>
    </row>
    <row r="658" spans="1:50" ht="15" x14ac:dyDescent="0.25">
      <c r="A658" s="170"/>
      <c r="B658" s="719"/>
      <c r="C658" s="170"/>
      <c r="D658" s="170"/>
      <c r="E658" s="170"/>
      <c r="F658" s="170"/>
      <c r="G658" s="721"/>
      <c r="H658" s="170"/>
      <c r="I658" s="170"/>
      <c r="J658" s="170"/>
      <c r="K658" s="170"/>
      <c r="L658" s="170"/>
      <c r="M658" s="730"/>
      <c r="N658" s="730"/>
      <c r="O658" s="730"/>
      <c r="P658" s="731"/>
      <c r="Q658" s="731"/>
      <c r="R658" s="730"/>
      <c r="S658" s="730"/>
      <c r="T658" s="723"/>
      <c r="U658" s="724"/>
      <c r="V658" s="725"/>
      <c r="W658" s="725"/>
      <c r="X658" s="723"/>
      <c r="Y658" s="723"/>
      <c r="Z658" s="723"/>
      <c r="AA658" s="726"/>
      <c r="AB658" s="726"/>
      <c r="AC658" s="170"/>
      <c r="AD658" s="586"/>
      <c r="AE658" s="586"/>
      <c r="AF658" s="170"/>
      <c r="AG658" s="170"/>
      <c r="AH658" s="170"/>
      <c r="AI658" s="170"/>
      <c r="AJ658" s="170"/>
      <c r="AK658" s="170"/>
      <c r="AL658" s="170"/>
      <c r="AM658" s="170"/>
      <c r="AN658" s="170"/>
      <c r="AO658" s="170"/>
      <c r="AP658" s="170"/>
      <c r="AQ658" s="170"/>
      <c r="AR658" s="170"/>
      <c r="AS658" s="170"/>
      <c r="AT658" s="170"/>
      <c r="AU658" s="170"/>
      <c r="AV658" s="170"/>
      <c r="AW658" s="170"/>
      <c r="AX658" s="170"/>
    </row>
    <row r="659" spans="1:50" ht="15" x14ac:dyDescent="0.25">
      <c r="A659" s="170"/>
      <c r="B659" s="719"/>
      <c r="C659" s="170"/>
      <c r="D659" s="170"/>
      <c r="E659" s="170"/>
      <c r="F659" s="170"/>
      <c r="G659" s="721"/>
      <c r="H659" s="170"/>
      <c r="I659" s="170"/>
      <c r="J659" s="170"/>
      <c r="K659" s="170"/>
      <c r="L659" s="170"/>
      <c r="M659" s="730"/>
      <c r="N659" s="730"/>
      <c r="O659" s="730"/>
      <c r="P659" s="731"/>
      <c r="Q659" s="731"/>
      <c r="R659" s="730"/>
      <c r="S659" s="730"/>
      <c r="T659" s="723"/>
      <c r="U659" s="724"/>
      <c r="V659" s="725"/>
      <c r="W659" s="725"/>
      <c r="X659" s="723"/>
      <c r="Y659" s="723"/>
      <c r="Z659" s="723"/>
      <c r="AA659" s="726"/>
      <c r="AB659" s="726"/>
      <c r="AC659" s="170"/>
      <c r="AD659" s="586"/>
      <c r="AE659" s="586"/>
      <c r="AF659" s="170"/>
      <c r="AG659" s="170"/>
      <c r="AH659" s="170"/>
      <c r="AI659" s="170"/>
      <c r="AJ659" s="170"/>
      <c r="AK659" s="170"/>
      <c r="AL659" s="170"/>
      <c r="AM659" s="170"/>
      <c r="AN659" s="170"/>
      <c r="AO659" s="170"/>
      <c r="AP659" s="170"/>
      <c r="AQ659" s="170"/>
      <c r="AR659" s="170"/>
      <c r="AS659" s="170"/>
      <c r="AT659" s="170"/>
      <c r="AU659" s="170"/>
      <c r="AV659" s="170"/>
      <c r="AW659" s="170"/>
      <c r="AX659" s="170"/>
    </row>
    <row r="660" spans="1:50" ht="15" x14ac:dyDescent="0.25">
      <c r="A660" s="170"/>
      <c r="B660" s="719"/>
      <c r="C660" s="170"/>
      <c r="D660" s="170"/>
      <c r="E660" s="170"/>
      <c r="F660" s="170"/>
      <c r="G660" s="721"/>
      <c r="H660" s="170"/>
      <c r="I660" s="170"/>
      <c r="J660" s="170"/>
      <c r="K660" s="170"/>
      <c r="L660" s="170"/>
      <c r="M660" s="730"/>
      <c r="N660" s="730"/>
      <c r="O660" s="730"/>
      <c r="P660" s="731"/>
      <c r="Q660" s="731"/>
      <c r="R660" s="730"/>
      <c r="S660" s="730"/>
      <c r="T660" s="723"/>
      <c r="U660" s="724"/>
      <c r="V660" s="725"/>
      <c r="W660" s="725"/>
      <c r="X660" s="723"/>
      <c r="Y660" s="723"/>
      <c r="Z660" s="723"/>
      <c r="AA660" s="726"/>
      <c r="AB660" s="726"/>
      <c r="AC660" s="170"/>
      <c r="AD660" s="586"/>
      <c r="AE660" s="586"/>
      <c r="AF660" s="170"/>
      <c r="AG660" s="170"/>
      <c r="AH660" s="170"/>
      <c r="AI660" s="170"/>
      <c r="AJ660" s="170"/>
      <c r="AK660" s="170"/>
      <c r="AL660" s="170"/>
      <c r="AM660" s="170"/>
      <c r="AN660" s="170"/>
      <c r="AO660" s="170"/>
      <c r="AP660" s="170"/>
      <c r="AQ660" s="170"/>
      <c r="AR660" s="170"/>
      <c r="AS660" s="170"/>
      <c r="AT660" s="170"/>
      <c r="AU660" s="170"/>
      <c r="AV660" s="170"/>
      <c r="AW660" s="170"/>
      <c r="AX660" s="170"/>
    </row>
    <row r="661" spans="1:50" ht="15" x14ac:dyDescent="0.25">
      <c r="A661" s="170"/>
      <c r="B661" s="719"/>
      <c r="C661" s="170"/>
      <c r="D661" s="170"/>
      <c r="E661" s="170"/>
      <c r="F661" s="170"/>
      <c r="G661" s="721"/>
      <c r="H661" s="170"/>
      <c r="I661" s="170"/>
      <c r="J661" s="170"/>
      <c r="K661" s="170"/>
      <c r="L661" s="170"/>
      <c r="M661" s="730"/>
      <c r="N661" s="730"/>
      <c r="O661" s="730"/>
      <c r="P661" s="731"/>
      <c r="Q661" s="731"/>
      <c r="R661" s="730"/>
      <c r="S661" s="730"/>
      <c r="T661" s="723"/>
      <c r="U661" s="724"/>
      <c r="V661" s="725"/>
      <c r="W661" s="725"/>
      <c r="X661" s="723"/>
      <c r="Y661" s="723"/>
      <c r="Z661" s="723"/>
      <c r="AA661" s="726"/>
      <c r="AB661" s="726"/>
      <c r="AC661" s="170"/>
      <c r="AD661" s="586"/>
      <c r="AE661" s="586"/>
      <c r="AF661" s="170"/>
      <c r="AG661" s="170"/>
      <c r="AH661" s="170"/>
      <c r="AI661" s="170"/>
      <c r="AJ661" s="170"/>
      <c r="AK661" s="170"/>
      <c r="AL661" s="170"/>
      <c r="AM661" s="170"/>
      <c r="AN661" s="170"/>
      <c r="AO661" s="170"/>
      <c r="AP661" s="170"/>
      <c r="AQ661" s="170"/>
      <c r="AR661" s="170"/>
      <c r="AS661" s="170"/>
      <c r="AT661" s="170"/>
      <c r="AU661" s="170"/>
      <c r="AV661" s="170"/>
      <c r="AW661" s="170"/>
      <c r="AX661" s="170"/>
    </row>
    <row r="662" spans="1:50" ht="15" x14ac:dyDescent="0.25">
      <c r="A662" s="170"/>
      <c r="B662" s="719"/>
      <c r="C662" s="170"/>
      <c r="D662" s="170"/>
      <c r="E662" s="170"/>
      <c r="F662" s="170"/>
      <c r="G662" s="721"/>
      <c r="H662" s="170"/>
      <c r="I662" s="170"/>
      <c r="J662" s="170"/>
      <c r="K662" s="170"/>
      <c r="L662" s="170"/>
      <c r="M662" s="730"/>
      <c r="N662" s="730"/>
      <c r="O662" s="730"/>
      <c r="P662" s="731"/>
      <c r="Q662" s="731"/>
      <c r="R662" s="730"/>
      <c r="S662" s="730"/>
      <c r="T662" s="723"/>
      <c r="U662" s="724"/>
      <c r="V662" s="725"/>
      <c r="W662" s="725"/>
      <c r="X662" s="723"/>
      <c r="Y662" s="723"/>
      <c r="Z662" s="723"/>
      <c r="AA662" s="726"/>
      <c r="AB662" s="726"/>
      <c r="AC662" s="170"/>
      <c r="AD662" s="586"/>
      <c r="AE662" s="586"/>
      <c r="AF662" s="170"/>
      <c r="AG662" s="170"/>
      <c r="AH662" s="170"/>
      <c r="AI662" s="170"/>
      <c r="AJ662" s="170"/>
      <c r="AK662" s="170"/>
      <c r="AL662" s="170"/>
      <c r="AM662" s="170"/>
      <c r="AN662" s="170"/>
      <c r="AO662" s="170"/>
      <c r="AP662" s="170"/>
      <c r="AQ662" s="170"/>
      <c r="AR662" s="170"/>
      <c r="AS662" s="170"/>
      <c r="AT662" s="170"/>
      <c r="AU662" s="170"/>
      <c r="AV662" s="170"/>
      <c r="AW662" s="170"/>
      <c r="AX662" s="170"/>
    </row>
    <row r="663" spans="1:50" ht="15" x14ac:dyDescent="0.25">
      <c r="A663" s="170"/>
      <c r="B663" s="719"/>
      <c r="C663" s="170"/>
      <c r="D663" s="170"/>
      <c r="E663" s="170"/>
      <c r="F663" s="170"/>
      <c r="G663" s="721"/>
      <c r="H663" s="170"/>
      <c r="I663" s="170"/>
      <c r="J663" s="170"/>
      <c r="K663" s="170"/>
      <c r="L663" s="170"/>
      <c r="M663" s="730"/>
      <c r="N663" s="730"/>
      <c r="O663" s="730"/>
      <c r="P663" s="731"/>
      <c r="Q663" s="731"/>
      <c r="R663" s="730"/>
      <c r="S663" s="730"/>
      <c r="T663" s="723"/>
      <c r="U663" s="724"/>
      <c r="V663" s="725"/>
      <c r="W663" s="725"/>
      <c r="X663" s="723"/>
      <c r="Y663" s="723"/>
      <c r="Z663" s="723"/>
      <c r="AA663" s="726"/>
      <c r="AB663" s="726"/>
      <c r="AC663" s="170"/>
      <c r="AD663" s="586"/>
      <c r="AE663" s="586"/>
      <c r="AF663" s="170"/>
      <c r="AG663" s="170"/>
      <c r="AH663" s="170"/>
      <c r="AI663" s="170"/>
      <c r="AJ663" s="170"/>
      <c r="AK663" s="170"/>
      <c r="AL663" s="170"/>
      <c r="AM663" s="170"/>
      <c r="AN663" s="170"/>
      <c r="AO663" s="170"/>
      <c r="AP663" s="170"/>
      <c r="AQ663" s="170"/>
      <c r="AR663" s="170"/>
      <c r="AS663" s="170"/>
      <c r="AT663" s="170"/>
      <c r="AU663" s="170"/>
      <c r="AV663" s="170"/>
      <c r="AW663" s="170"/>
      <c r="AX663" s="170"/>
    </row>
    <row r="664" spans="1:50" ht="15" x14ac:dyDescent="0.25">
      <c r="A664" s="170"/>
      <c r="B664" s="719"/>
      <c r="C664" s="170"/>
      <c r="D664" s="170"/>
      <c r="E664" s="170"/>
      <c r="F664" s="170"/>
      <c r="G664" s="721"/>
      <c r="H664" s="170"/>
      <c r="I664" s="170"/>
      <c r="J664" s="170"/>
      <c r="K664" s="170"/>
      <c r="L664" s="170"/>
      <c r="M664" s="730"/>
      <c r="N664" s="730"/>
      <c r="O664" s="730"/>
      <c r="P664" s="731"/>
      <c r="Q664" s="731"/>
      <c r="R664" s="730"/>
      <c r="S664" s="730"/>
      <c r="T664" s="723"/>
      <c r="U664" s="724"/>
      <c r="V664" s="725"/>
      <c r="W664" s="725"/>
      <c r="X664" s="723"/>
      <c r="Y664" s="723"/>
      <c r="Z664" s="723"/>
      <c r="AA664" s="726"/>
      <c r="AB664" s="726"/>
      <c r="AC664" s="170"/>
      <c r="AD664" s="586"/>
      <c r="AE664" s="586"/>
      <c r="AF664" s="170"/>
      <c r="AG664" s="170"/>
      <c r="AH664" s="170"/>
      <c r="AI664" s="170"/>
      <c r="AJ664" s="170"/>
      <c r="AK664" s="170"/>
      <c r="AL664" s="170"/>
      <c r="AM664" s="170"/>
      <c r="AN664" s="170"/>
      <c r="AO664" s="170"/>
      <c r="AP664" s="170"/>
      <c r="AQ664" s="170"/>
      <c r="AR664" s="170"/>
      <c r="AS664" s="170"/>
      <c r="AT664" s="170"/>
      <c r="AU664" s="170"/>
      <c r="AV664" s="170"/>
      <c r="AW664" s="170"/>
      <c r="AX664" s="170"/>
    </row>
    <row r="665" spans="1:50" ht="15" x14ac:dyDescent="0.25">
      <c r="A665" s="170"/>
      <c r="B665" s="719"/>
      <c r="C665" s="170"/>
      <c r="D665" s="170"/>
      <c r="E665" s="170"/>
      <c r="F665" s="170"/>
      <c r="G665" s="721"/>
      <c r="H665" s="170"/>
      <c r="I665" s="170"/>
      <c r="J665" s="170"/>
      <c r="K665" s="170"/>
      <c r="L665" s="170"/>
      <c r="M665" s="730"/>
      <c r="N665" s="730"/>
      <c r="O665" s="730"/>
      <c r="P665" s="731"/>
      <c r="Q665" s="731"/>
      <c r="R665" s="730"/>
      <c r="S665" s="730"/>
      <c r="T665" s="723"/>
      <c r="U665" s="724"/>
      <c r="V665" s="725"/>
      <c r="W665" s="725"/>
      <c r="X665" s="723"/>
      <c r="Y665" s="723"/>
      <c r="Z665" s="723"/>
      <c r="AA665" s="726"/>
      <c r="AB665" s="726"/>
      <c r="AC665" s="170"/>
      <c r="AD665" s="586"/>
      <c r="AE665" s="586"/>
      <c r="AF665" s="170"/>
      <c r="AG665" s="170"/>
      <c r="AH665" s="170"/>
      <c r="AI665" s="170"/>
      <c r="AJ665" s="170"/>
      <c r="AK665" s="170"/>
      <c r="AL665" s="170"/>
      <c r="AM665" s="170"/>
      <c r="AN665" s="170"/>
      <c r="AO665" s="170"/>
      <c r="AP665" s="170"/>
      <c r="AQ665" s="170"/>
      <c r="AR665" s="170"/>
      <c r="AS665" s="170"/>
      <c r="AT665" s="170"/>
      <c r="AU665" s="170"/>
      <c r="AV665" s="170"/>
      <c r="AW665" s="170"/>
      <c r="AX665" s="170"/>
    </row>
    <row r="666" spans="1:50" ht="15" x14ac:dyDescent="0.25">
      <c r="A666" s="170"/>
      <c r="B666" s="719"/>
      <c r="C666" s="170"/>
      <c r="D666" s="170"/>
      <c r="E666" s="170"/>
      <c r="F666" s="170"/>
      <c r="G666" s="721"/>
      <c r="H666" s="170"/>
      <c r="I666" s="170"/>
      <c r="J666" s="170"/>
      <c r="K666" s="170"/>
      <c r="L666" s="170"/>
      <c r="M666" s="730"/>
      <c r="N666" s="730"/>
      <c r="O666" s="730"/>
      <c r="P666" s="731"/>
      <c r="Q666" s="731"/>
      <c r="R666" s="730"/>
      <c r="S666" s="730"/>
      <c r="T666" s="723"/>
      <c r="U666" s="724"/>
      <c r="V666" s="725"/>
      <c r="W666" s="725"/>
      <c r="X666" s="723"/>
      <c r="Y666" s="723"/>
      <c r="Z666" s="723"/>
      <c r="AA666" s="726"/>
      <c r="AB666" s="726"/>
      <c r="AC666" s="170"/>
      <c r="AD666" s="586"/>
      <c r="AE666" s="586"/>
      <c r="AF666" s="170"/>
      <c r="AG666" s="170"/>
      <c r="AH666" s="170"/>
      <c r="AI666" s="170"/>
      <c r="AJ666" s="170"/>
      <c r="AK666" s="170"/>
      <c r="AL666" s="170"/>
      <c r="AM666" s="170"/>
      <c r="AN666" s="170"/>
      <c r="AO666" s="170"/>
      <c r="AP666" s="170"/>
      <c r="AQ666" s="170"/>
      <c r="AR666" s="170"/>
      <c r="AS666" s="170"/>
      <c r="AT666" s="170"/>
      <c r="AU666" s="170"/>
      <c r="AV666" s="170"/>
      <c r="AW666" s="170"/>
      <c r="AX666" s="170"/>
    </row>
    <row r="667" spans="1:50" ht="15" x14ac:dyDescent="0.25">
      <c r="A667" s="170"/>
      <c r="B667" s="719"/>
      <c r="C667" s="170"/>
      <c r="D667" s="170"/>
      <c r="E667" s="170"/>
      <c r="F667" s="170"/>
      <c r="G667" s="721"/>
      <c r="H667" s="170"/>
      <c r="I667" s="170"/>
      <c r="J667" s="170"/>
      <c r="K667" s="170"/>
      <c r="L667" s="170"/>
      <c r="M667" s="730"/>
      <c r="N667" s="730"/>
      <c r="O667" s="730"/>
      <c r="P667" s="731"/>
      <c r="Q667" s="731"/>
      <c r="R667" s="730"/>
      <c r="S667" s="730"/>
      <c r="T667" s="723"/>
      <c r="U667" s="724"/>
      <c r="V667" s="725"/>
      <c r="W667" s="725"/>
      <c r="X667" s="723"/>
      <c r="Y667" s="723"/>
      <c r="Z667" s="723"/>
      <c r="AA667" s="726"/>
      <c r="AB667" s="726"/>
      <c r="AC667" s="170"/>
      <c r="AD667" s="586"/>
      <c r="AE667" s="586"/>
      <c r="AF667" s="170"/>
      <c r="AG667" s="170"/>
      <c r="AH667" s="170"/>
      <c r="AI667" s="170"/>
      <c r="AJ667" s="170"/>
      <c r="AK667" s="170"/>
      <c r="AL667" s="170"/>
      <c r="AM667" s="170"/>
      <c r="AN667" s="170"/>
      <c r="AO667" s="170"/>
      <c r="AP667" s="170"/>
      <c r="AQ667" s="170"/>
      <c r="AR667" s="170"/>
      <c r="AS667" s="170"/>
      <c r="AT667" s="170"/>
      <c r="AU667" s="170"/>
      <c r="AV667" s="170"/>
      <c r="AW667" s="170"/>
      <c r="AX667" s="170"/>
    </row>
    <row r="668" spans="1:50" ht="15" x14ac:dyDescent="0.25">
      <c r="A668" s="170"/>
      <c r="B668" s="719"/>
      <c r="C668" s="170"/>
      <c r="D668" s="170"/>
      <c r="E668" s="170"/>
      <c r="F668" s="170"/>
      <c r="G668" s="721"/>
      <c r="H668" s="170"/>
      <c r="I668" s="170"/>
      <c r="J668" s="170"/>
      <c r="K668" s="170"/>
      <c r="L668" s="170"/>
      <c r="M668" s="730"/>
      <c r="N668" s="730"/>
      <c r="O668" s="730"/>
      <c r="P668" s="731"/>
      <c r="Q668" s="731"/>
      <c r="R668" s="730"/>
      <c r="S668" s="730"/>
      <c r="T668" s="723"/>
      <c r="U668" s="724"/>
      <c r="V668" s="725"/>
      <c r="W668" s="725"/>
      <c r="X668" s="723"/>
      <c r="Y668" s="723"/>
      <c r="Z668" s="723"/>
      <c r="AA668" s="726"/>
      <c r="AB668" s="726"/>
      <c r="AC668" s="170"/>
      <c r="AD668" s="586"/>
      <c r="AE668" s="586"/>
      <c r="AF668" s="170"/>
      <c r="AG668" s="170"/>
      <c r="AH668" s="170"/>
      <c r="AI668" s="170"/>
      <c r="AJ668" s="170"/>
      <c r="AK668" s="170"/>
      <c r="AL668" s="170"/>
      <c r="AM668" s="170"/>
      <c r="AN668" s="170"/>
      <c r="AO668" s="170"/>
      <c r="AP668" s="170"/>
      <c r="AQ668" s="170"/>
      <c r="AR668" s="170"/>
      <c r="AS668" s="170"/>
      <c r="AT668" s="170"/>
      <c r="AU668" s="170"/>
      <c r="AV668" s="170"/>
      <c r="AW668" s="170"/>
      <c r="AX668" s="170"/>
    </row>
    <row r="669" spans="1:50" ht="15" x14ac:dyDescent="0.25">
      <c r="A669" s="170"/>
      <c r="B669" s="719"/>
      <c r="C669" s="170"/>
      <c r="D669" s="170"/>
      <c r="E669" s="170"/>
      <c r="F669" s="170"/>
      <c r="G669" s="721"/>
      <c r="H669" s="170"/>
      <c r="I669" s="170"/>
      <c r="J669" s="170"/>
      <c r="K669" s="170"/>
      <c r="L669" s="170"/>
      <c r="M669" s="730"/>
      <c r="N669" s="730"/>
      <c r="O669" s="730"/>
      <c r="P669" s="731"/>
      <c r="Q669" s="731"/>
      <c r="R669" s="730"/>
      <c r="S669" s="730"/>
      <c r="T669" s="723"/>
      <c r="U669" s="724"/>
      <c r="V669" s="725"/>
      <c r="W669" s="725"/>
      <c r="X669" s="723"/>
      <c r="Y669" s="723"/>
      <c r="Z669" s="723"/>
      <c r="AA669" s="726"/>
      <c r="AB669" s="726"/>
      <c r="AC669" s="170"/>
      <c r="AD669" s="586"/>
      <c r="AE669" s="586"/>
      <c r="AF669" s="170"/>
      <c r="AG669" s="170"/>
      <c r="AH669" s="170"/>
      <c r="AI669" s="170"/>
      <c r="AJ669" s="170"/>
      <c r="AK669" s="170"/>
      <c r="AL669" s="170"/>
      <c r="AM669" s="170"/>
      <c r="AN669" s="170"/>
      <c r="AO669" s="170"/>
      <c r="AP669" s="170"/>
      <c r="AQ669" s="170"/>
      <c r="AR669" s="170"/>
      <c r="AS669" s="170"/>
      <c r="AT669" s="170"/>
      <c r="AU669" s="170"/>
      <c r="AV669" s="170"/>
      <c r="AW669" s="170"/>
      <c r="AX669" s="170"/>
    </row>
    <row r="670" spans="1:50" ht="15" x14ac:dyDescent="0.25">
      <c r="A670" s="170"/>
      <c r="B670" s="719"/>
      <c r="C670" s="170"/>
      <c r="D670" s="170"/>
      <c r="E670" s="170"/>
      <c r="F670" s="170"/>
      <c r="G670" s="721"/>
      <c r="H670" s="170"/>
      <c r="I670" s="170"/>
      <c r="J670" s="170"/>
      <c r="K670" s="170"/>
      <c r="L670" s="170"/>
      <c r="M670" s="730"/>
      <c r="N670" s="730"/>
      <c r="O670" s="730"/>
      <c r="P670" s="731"/>
      <c r="Q670" s="731"/>
      <c r="R670" s="730"/>
      <c r="S670" s="730"/>
      <c r="T670" s="723"/>
      <c r="U670" s="724"/>
      <c r="V670" s="725"/>
      <c r="W670" s="725"/>
      <c r="X670" s="723"/>
      <c r="Y670" s="723"/>
      <c r="Z670" s="723"/>
      <c r="AA670" s="726"/>
      <c r="AB670" s="726"/>
      <c r="AC670" s="170"/>
      <c r="AD670" s="586"/>
      <c r="AE670" s="586"/>
      <c r="AF670" s="170"/>
      <c r="AG670" s="170"/>
      <c r="AH670" s="170"/>
      <c r="AI670" s="170"/>
      <c r="AJ670" s="170"/>
      <c r="AK670" s="170"/>
      <c r="AL670" s="170"/>
      <c r="AM670" s="170"/>
      <c r="AN670" s="170"/>
      <c r="AO670" s="170"/>
      <c r="AP670" s="170"/>
      <c r="AQ670" s="170"/>
      <c r="AR670" s="170"/>
      <c r="AS670" s="170"/>
      <c r="AT670" s="170"/>
      <c r="AU670" s="170"/>
      <c r="AV670" s="170"/>
      <c r="AW670" s="170"/>
      <c r="AX670" s="170"/>
    </row>
    <row r="671" spans="1:50" ht="15" x14ac:dyDescent="0.25">
      <c r="A671" s="170"/>
      <c r="B671" s="719"/>
      <c r="C671" s="170"/>
      <c r="D671" s="170"/>
      <c r="E671" s="170"/>
      <c r="F671" s="170"/>
      <c r="G671" s="721"/>
      <c r="H671" s="170"/>
      <c r="I671" s="170"/>
      <c r="J671" s="170"/>
      <c r="K671" s="170"/>
      <c r="L671" s="170"/>
      <c r="M671" s="730"/>
      <c r="N671" s="730"/>
      <c r="O671" s="730"/>
      <c r="P671" s="731"/>
      <c r="Q671" s="731"/>
      <c r="R671" s="730"/>
      <c r="S671" s="730"/>
      <c r="T671" s="723"/>
      <c r="U671" s="724"/>
      <c r="V671" s="725"/>
      <c r="W671" s="725"/>
      <c r="X671" s="723"/>
      <c r="Y671" s="723"/>
      <c r="Z671" s="723"/>
      <c r="AA671" s="726"/>
      <c r="AB671" s="726"/>
      <c r="AC671" s="170"/>
      <c r="AD671" s="586"/>
      <c r="AE671" s="586"/>
      <c r="AF671" s="170"/>
      <c r="AG671" s="170"/>
      <c r="AH671" s="170"/>
      <c r="AI671" s="170"/>
      <c r="AJ671" s="170"/>
      <c r="AK671" s="170"/>
      <c r="AL671" s="170"/>
      <c r="AM671" s="170"/>
      <c r="AN671" s="170"/>
      <c r="AO671" s="170"/>
      <c r="AP671" s="170"/>
      <c r="AQ671" s="170"/>
      <c r="AR671" s="170"/>
      <c r="AS671" s="170"/>
      <c r="AT671" s="170"/>
      <c r="AU671" s="170"/>
      <c r="AV671" s="170"/>
      <c r="AW671" s="170"/>
      <c r="AX671" s="170"/>
    </row>
    <row r="672" spans="1:50" ht="15" x14ac:dyDescent="0.25">
      <c r="A672" s="170"/>
      <c r="B672" s="719"/>
      <c r="C672" s="170"/>
      <c r="D672" s="170"/>
      <c r="E672" s="170"/>
      <c r="F672" s="170"/>
      <c r="G672" s="721"/>
      <c r="H672" s="170"/>
      <c r="I672" s="170"/>
      <c r="J672" s="170"/>
      <c r="K672" s="170"/>
      <c r="L672" s="170"/>
      <c r="M672" s="730"/>
      <c r="N672" s="730"/>
      <c r="O672" s="730"/>
      <c r="P672" s="731"/>
      <c r="Q672" s="731"/>
      <c r="R672" s="730"/>
      <c r="S672" s="730"/>
      <c r="T672" s="723"/>
      <c r="U672" s="724"/>
      <c r="V672" s="725"/>
      <c r="W672" s="725"/>
      <c r="X672" s="723"/>
      <c r="Y672" s="723"/>
      <c r="Z672" s="723"/>
      <c r="AA672" s="726"/>
      <c r="AB672" s="726"/>
      <c r="AC672" s="170"/>
      <c r="AD672" s="586"/>
      <c r="AE672" s="586"/>
      <c r="AF672" s="170"/>
      <c r="AG672" s="170"/>
      <c r="AH672" s="170"/>
      <c r="AI672" s="170"/>
      <c r="AJ672" s="170"/>
      <c r="AK672" s="170"/>
      <c r="AL672" s="170"/>
      <c r="AM672" s="170"/>
      <c r="AN672" s="170"/>
      <c r="AO672" s="170"/>
      <c r="AP672" s="170"/>
      <c r="AQ672" s="170"/>
      <c r="AR672" s="170"/>
      <c r="AS672" s="170"/>
      <c r="AT672" s="170"/>
      <c r="AU672" s="170"/>
      <c r="AV672" s="170"/>
      <c r="AW672" s="170"/>
      <c r="AX672" s="170"/>
    </row>
    <row r="673" spans="1:50" ht="15" x14ac:dyDescent="0.25">
      <c r="A673" s="170"/>
      <c r="B673" s="719"/>
      <c r="C673" s="170"/>
      <c r="D673" s="170"/>
      <c r="E673" s="170"/>
      <c r="F673" s="170"/>
      <c r="G673" s="721"/>
      <c r="H673" s="170"/>
      <c r="I673" s="170"/>
      <c r="J673" s="170"/>
      <c r="K673" s="170"/>
      <c r="L673" s="170"/>
      <c r="M673" s="730"/>
      <c r="N673" s="730"/>
      <c r="O673" s="730"/>
      <c r="P673" s="731"/>
      <c r="Q673" s="731"/>
      <c r="R673" s="730"/>
      <c r="S673" s="730"/>
      <c r="T673" s="723"/>
      <c r="U673" s="724"/>
      <c r="V673" s="725"/>
      <c r="W673" s="725"/>
      <c r="X673" s="723"/>
      <c r="Y673" s="723"/>
      <c r="Z673" s="723"/>
      <c r="AA673" s="726"/>
      <c r="AB673" s="726"/>
      <c r="AC673" s="170"/>
      <c r="AD673" s="586"/>
      <c r="AE673" s="586"/>
      <c r="AF673" s="170"/>
      <c r="AG673" s="170"/>
      <c r="AH673" s="170"/>
      <c r="AI673" s="170"/>
      <c r="AJ673" s="170"/>
      <c r="AK673" s="170"/>
      <c r="AL673" s="170"/>
      <c r="AM673" s="170"/>
      <c r="AN673" s="170"/>
      <c r="AO673" s="170"/>
      <c r="AP673" s="170"/>
      <c r="AQ673" s="170"/>
      <c r="AR673" s="170"/>
      <c r="AS673" s="170"/>
      <c r="AT673" s="170"/>
      <c r="AU673" s="170"/>
      <c r="AV673" s="170"/>
      <c r="AW673" s="170"/>
      <c r="AX673" s="170"/>
    </row>
    <row r="674" spans="1:50" ht="15" x14ac:dyDescent="0.25">
      <c r="A674" s="170"/>
      <c r="B674" s="719"/>
      <c r="C674" s="170"/>
      <c r="D674" s="170"/>
      <c r="E674" s="170"/>
      <c r="F674" s="170"/>
      <c r="G674" s="721"/>
      <c r="H674" s="170"/>
      <c r="I674" s="170"/>
      <c r="J674" s="170"/>
      <c r="K674" s="170"/>
      <c r="L674" s="170"/>
      <c r="M674" s="730"/>
      <c r="N674" s="730"/>
      <c r="O674" s="730"/>
      <c r="P674" s="731"/>
      <c r="Q674" s="731"/>
      <c r="R674" s="730"/>
      <c r="S674" s="730"/>
      <c r="T674" s="723"/>
      <c r="U674" s="724"/>
      <c r="V674" s="725"/>
      <c r="W674" s="725"/>
      <c r="X674" s="723"/>
      <c r="Y674" s="723"/>
      <c r="Z674" s="723"/>
      <c r="AA674" s="726"/>
      <c r="AB674" s="726"/>
      <c r="AC674" s="170"/>
      <c r="AD674" s="586"/>
      <c r="AE674" s="586"/>
      <c r="AF674" s="170"/>
      <c r="AG674" s="170"/>
      <c r="AH674" s="170"/>
      <c r="AI674" s="170"/>
      <c r="AJ674" s="170"/>
      <c r="AK674" s="170"/>
      <c r="AL674" s="170"/>
      <c r="AM674" s="170"/>
      <c r="AN674" s="170"/>
      <c r="AO674" s="170"/>
      <c r="AP674" s="170"/>
      <c r="AQ674" s="170"/>
      <c r="AR674" s="170"/>
      <c r="AS674" s="170"/>
      <c r="AT674" s="170"/>
      <c r="AU674" s="170"/>
      <c r="AV674" s="170"/>
      <c r="AW674" s="170"/>
      <c r="AX674" s="170"/>
    </row>
    <row r="675" spans="1:50" ht="15" x14ac:dyDescent="0.25">
      <c r="A675" s="170"/>
      <c r="B675" s="719"/>
      <c r="C675" s="170"/>
      <c r="D675" s="170"/>
      <c r="E675" s="170"/>
      <c r="F675" s="170"/>
      <c r="G675" s="721"/>
      <c r="H675" s="170"/>
      <c r="I675" s="170"/>
      <c r="J675" s="170"/>
      <c r="K675" s="170"/>
      <c r="L675" s="170"/>
      <c r="M675" s="730"/>
      <c r="N675" s="730"/>
      <c r="O675" s="730"/>
      <c r="P675" s="731"/>
      <c r="Q675" s="731"/>
      <c r="R675" s="730"/>
      <c r="S675" s="730"/>
      <c r="T675" s="723"/>
      <c r="U675" s="724"/>
      <c r="V675" s="725"/>
      <c r="W675" s="725"/>
      <c r="X675" s="723"/>
      <c r="Y675" s="723"/>
      <c r="Z675" s="723"/>
      <c r="AA675" s="726"/>
      <c r="AB675" s="726"/>
      <c r="AC675" s="170"/>
      <c r="AD675" s="586"/>
      <c r="AE675" s="586"/>
      <c r="AF675" s="170"/>
      <c r="AG675" s="170"/>
      <c r="AH675" s="170"/>
      <c r="AI675" s="170"/>
      <c r="AJ675" s="170"/>
      <c r="AK675" s="170"/>
      <c r="AL675" s="170"/>
      <c r="AM675" s="170"/>
      <c r="AN675" s="170"/>
      <c r="AO675" s="170"/>
      <c r="AP675" s="170"/>
      <c r="AQ675" s="170"/>
      <c r="AR675" s="170"/>
      <c r="AS675" s="170"/>
      <c r="AT675" s="170"/>
      <c r="AU675" s="170"/>
      <c r="AV675" s="170"/>
      <c r="AW675" s="170"/>
      <c r="AX675" s="170"/>
    </row>
    <row r="676" spans="1:50" ht="15" x14ac:dyDescent="0.25">
      <c r="A676" s="170"/>
      <c r="B676" s="719"/>
      <c r="C676" s="170"/>
      <c r="D676" s="170"/>
      <c r="E676" s="170"/>
      <c r="F676" s="170"/>
      <c r="G676" s="721"/>
      <c r="H676" s="170"/>
      <c r="I676" s="170"/>
      <c r="J676" s="170"/>
      <c r="K676" s="170"/>
      <c r="L676" s="170"/>
      <c r="M676" s="730"/>
      <c r="N676" s="730"/>
      <c r="O676" s="730"/>
      <c r="P676" s="731"/>
      <c r="Q676" s="731"/>
      <c r="R676" s="730"/>
      <c r="S676" s="730"/>
      <c r="T676" s="723"/>
      <c r="U676" s="724"/>
      <c r="V676" s="725"/>
      <c r="W676" s="725"/>
      <c r="X676" s="723"/>
      <c r="Y676" s="723"/>
      <c r="Z676" s="723"/>
      <c r="AA676" s="726"/>
      <c r="AB676" s="726"/>
      <c r="AC676" s="170"/>
      <c r="AD676" s="586"/>
      <c r="AE676" s="586"/>
      <c r="AF676" s="170"/>
      <c r="AG676" s="170"/>
      <c r="AH676" s="170"/>
      <c r="AI676" s="170"/>
      <c r="AJ676" s="170"/>
      <c r="AK676" s="170"/>
      <c r="AL676" s="170"/>
      <c r="AM676" s="170"/>
      <c r="AN676" s="170"/>
      <c r="AO676" s="170"/>
      <c r="AP676" s="170"/>
      <c r="AQ676" s="170"/>
      <c r="AR676" s="170"/>
      <c r="AS676" s="170"/>
      <c r="AT676" s="170"/>
      <c r="AU676" s="170"/>
      <c r="AV676" s="170"/>
      <c r="AW676" s="170"/>
      <c r="AX676" s="170"/>
    </row>
    <row r="677" spans="1:50" ht="15" x14ac:dyDescent="0.25">
      <c r="A677" s="170"/>
      <c r="B677" s="719"/>
      <c r="C677" s="170"/>
      <c r="D677" s="170"/>
      <c r="E677" s="170"/>
      <c r="F677" s="170"/>
      <c r="G677" s="721"/>
      <c r="H677" s="170"/>
      <c r="I677" s="170"/>
      <c r="J677" s="170"/>
      <c r="K677" s="170"/>
      <c r="L677" s="170"/>
      <c r="M677" s="730"/>
      <c r="N677" s="730"/>
      <c r="O677" s="730"/>
      <c r="P677" s="731"/>
      <c r="Q677" s="731"/>
      <c r="R677" s="730"/>
      <c r="S677" s="730"/>
      <c r="T677" s="723"/>
      <c r="U677" s="724"/>
      <c r="V677" s="725"/>
      <c r="W677" s="725"/>
      <c r="X677" s="723"/>
      <c r="Y677" s="723"/>
      <c r="Z677" s="723"/>
      <c r="AA677" s="726"/>
      <c r="AB677" s="726"/>
      <c r="AC677" s="170"/>
      <c r="AD677" s="586"/>
      <c r="AE677" s="586"/>
      <c r="AF677" s="170"/>
      <c r="AG677" s="170"/>
      <c r="AH677" s="170"/>
      <c r="AI677" s="170"/>
      <c r="AJ677" s="170"/>
      <c r="AK677" s="170"/>
      <c r="AL677" s="170"/>
      <c r="AM677" s="170"/>
      <c r="AN677" s="170"/>
      <c r="AO677" s="170"/>
      <c r="AP677" s="170"/>
      <c r="AQ677" s="170"/>
      <c r="AR677" s="170"/>
      <c r="AS677" s="170"/>
      <c r="AT677" s="170"/>
      <c r="AU677" s="170"/>
      <c r="AV677" s="170"/>
      <c r="AW677" s="170"/>
      <c r="AX677" s="170"/>
    </row>
  </sheetData>
  <sheetProtection algorithmName="SHA-512" hashValue="D42XUoj6N5hY2Xssav3XOhx3ouO2JOh5NGb8Wg1gmmXgAkcX8BXP3qTkJnLu7qG1FF8FbZDfgfmEp6/Z++O0cg==" saltValue="qJLz1hVzehrOkTyv+59G+A==" spinCount="100000" sheet="1" scenarios="1" formatCells="0" formatColumns="0" formatRows="0" autoFilter="0"/>
  <autoFilter ref="D8:AB72" xr:uid="{080211FC-CB14-4C0F-9CE9-8F60BE0B83F4}"/>
  <conditionalFormatting sqref="F9">
    <cfRule type="cellIs" dxfId="165" priority="2" operator="equal">
      <formula>0</formula>
    </cfRule>
  </conditionalFormatting>
  <conditionalFormatting sqref="F10:F76">
    <cfRule type="cellIs" dxfId="164" priority="1" operator="equal">
      <formula>0</formula>
    </cfRule>
  </conditionalFormatting>
  <dataValidations count="1">
    <dataValidation type="list" allowBlank="1" showInputMessage="1" showErrorMessage="1" sqref="P9:Q71" xr:uid="{7A8E5C1D-CB56-44A2-9D60-15864F1386DA}">
      <formula1>"E, Other"</formula1>
    </dataValidation>
  </dataValidations>
  <printOptions horizontalCentered="1"/>
  <pageMargins left="0.95" right="0.21" top="0.53" bottom="0.34" header="0.19" footer="0.16"/>
  <pageSetup scale="60" fitToHeight="0" orientation="landscape" verticalDpi="1200"/>
  <headerFooter alignWithMargins="0">
    <oddFooter>&amp;Cpage &amp;P of &amp;N</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DB4CADA2-A036-4422-9638-937D0EB5192A}">
          <x14:formula1>
            <xm:f>Parameters!$D$311:$D$351</xm:f>
          </x14:formula1>
          <xm:sqref>I12:I21 K12 I45:I66 I27:I37</xm:sqref>
        </x14:dataValidation>
        <x14:dataValidation type="list" allowBlank="1" showInputMessage="1" showErrorMessage="1" xr:uid="{506F1D10-01FE-4019-9FA0-340C2E1C5E7D}">
          <x14:formula1>
            <xm:f>'Data Input sheet'!$B$118:$B$179</xm:f>
          </x14:formula1>
          <xm:sqref>R9:R71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E5E44-226E-4C10-84B2-C4804FF58B41}">
  <sheetPr codeName="Sheet6">
    <tabColor rgb="FFFFC000"/>
    <pageSetUpPr autoPageBreaks="0" fitToPage="1"/>
  </sheetPr>
  <dimension ref="A1:AX680"/>
  <sheetViews>
    <sheetView showZeros="0" zoomScale="96" zoomScaleNormal="96" workbookViewId="0">
      <pane xSplit="9" ySplit="8" topLeftCell="J9" activePane="bottomRight" state="frozen"/>
      <selection activeCell="H10" sqref="H10"/>
      <selection pane="topRight" activeCell="H10" sqref="H10"/>
      <selection pane="bottomLeft" activeCell="H10" sqref="H10"/>
      <selection pane="bottomRight" activeCell="C9" sqref="C9"/>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30.5703125" customWidth="1"/>
    <col min="8" max="8" width="8.42578125" customWidth="1"/>
    <col min="9" max="9" width="6.5703125" customWidth="1"/>
    <col min="10" max="11" width="8.42578125" customWidth="1"/>
    <col min="12" max="12" width="6.5703125" customWidth="1" outlineLevel="1"/>
    <col min="13" max="16" width="8.42578125" customWidth="1" outlineLevel="1"/>
    <col min="17" max="17" width="8.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3.42578125" customWidth="1" outlineLevel="1"/>
    <col min="24" max="24" width="13" customWidth="1" outlineLevel="1"/>
    <col min="25" max="25" width="13.42578125" customWidth="1" outlineLevel="1"/>
    <col min="26" max="26" width="13.5703125"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3.5703125" customWidth="1"/>
    <col min="48" max="48" width="11.5703125" customWidth="1"/>
    <col min="49" max="49" width="10.42578125" customWidth="1"/>
    <col min="50" max="50" width="88.5703125" customWidth="1"/>
  </cols>
  <sheetData>
    <row r="1" spans="1:50" ht="30" x14ac:dyDescent="0.25">
      <c r="A1" s="170"/>
      <c r="B1" s="719"/>
      <c r="C1" s="170"/>
      <c r="D1" s="170"/>
      <c r="E1" s="170"/>
      <c r="F1" s="170"/>
      <c r="G1" s="2295" t="str">
        <f>+Cover!C5</f>
        <v>Project Title: Battery Storage - Hyde Park</v>
      </c>
      <c r="H1" s="170"/>
      <c r="I1" s="170"/>
      <c r="J1" s="170"/>
      <c r="K1" s="170"/>
      <c r="L1" s="170"/>
      <c r="M1" s="720"/>
      <c r="N1" s="720"/>
      <c r="O1" s="720"/>
      <c r="P1" s="722"/>
      <c r="Q1" s="722"/>
      <c r="R1" s="720"/>
      <c r="S1" s="720"/>
      <c r="T1" s="723"/>
      <c r="U1" s="724"/>
      <c r="V1" s="725"/>
      <c r="W1" s="725"/>
      <c r="X1" s="723"/>
      <c r="Y1" s="723"/>
      <c r="Z1" s="723"/>
      <c r="AA1" s="726"/>
      <c r="AB1" s="726"/>
      <c r="AC1" s="170"/>
      <c r="AD1" s="586"/>
      <c r="AE1" s="586"/>
      <c r="AF1" s="727"/>
      <c r="AG1" s="727"/>
      <c r="AH1" s="727"/>
      <c r="AI1" s="170"/>
      <c r="AJ1" s="170"/>
      <c r="AK1" s="170"/>
      <c r="AL1" s="170"/>
      <c r="AM1" s="170"/>
      <c r="AN1" s="170"/>
      <c r="AO1" s="170"/>
      <c r="AP1" s="170"/>
      <c r="AQ1" s="170"/>
      <c r="AR1" s="170"/>
      <c r="AS1" s="170"/>
      <c r="AT1" s="170"/>
      <c r="AU1" s="170"/>
      <c r="AV1" s="170"/>
      <c r="AW1" s="828"/>
      <c r="AX1" s="726"/>
    </row>
    <row r="2" spans="1:50" ht="15" x14ac:dyDescent="0.25">
      <c r="A2" s="170"/>
      <c r="B2" s="719"/>
      <c r="C2" s="170"/>
      <c r="D2" s="170"/>
      <c r="E2" s="170"/>
      <c r="F2" s="170"/>
      <c r="G2" s="2295" t="str">
        <f>+Cover!C8</f>
        <v>Project Number: 21334</v>
      </c>
      <c r="H2" s="170"/>
      <c r="I2" s="170"/>
      <c r="J2" s="170"/>
      <c r="K2" s="170"/>
      <c r="L2" s="170"/>
      <c r="M2" s="720"/>
      <c r="N2" s="720"/>
      <c r="O2" s="720"/>
      <c r="P2" s="722"/>
      <c r="Q2" s="722"/>
      <c r="R2" s="720"/>
      <c r="S2" s="720"/>
      <c r="T2" s="723"/>
      <c r="U2" s="720"/>
      <c r="V2" s="728"/>
      <c r="W2" s="728"/>
      <c r="X2" s="729"/>
      <c r="Y2" s="729"/>
      <c r="Z2" s="723"/>
      <c r="AA2" s="726"/>
      <c r="AB2" s="726"/>
      <c r="AC2" s="170"/>
      <c r="AD2" s="586"/>
      <c r="AE2" s="586"/>
      <c r="AF2" s="170"/>
      <c r="AG2" s="170"/>
      <c r="AH2" s="170"/>
      <c r="AI2" s="170"/>
      <c r="AJ2" s="170"/>
      <c r="AK2" s="170"/>
      <c r="AL2" s="170"/>
      <c r="AM2" s="170"/>
      <c r="AN2" s="170"/>
      <c r="AO2" s="170"/>
      <c r="AP2" s="170"/>
      <c r="AQ2" s="170"/>
      <c r="AR2" s="170"/>
      <c r="AS2" s="735" t="str" cm="1">
        <f t="array" ref="AS2:AT2">+Cover!R8:S8</f>
        <v>Estimate done by: PAG</v>
      </c>
      <c r="AT2" s="170">
        <v>0</v>
      </c>
      <c r="AU2" s="170"/>
      <c r="AV2" s="170"/>
      <c r="AW2" s="828"/>
      <c r="AX2" s="726"/>
    </row>
    <row r="3" spans="1:50" ht="15" x14ac:dyDescent="0.25">
      <c r="A3" s="170"/>
      <c r="B3" s="719"/>
      <c r="C3" s="170"/>
      <c r="D3" s="170"/>
      <c r="E3" s="170"/>
      <c r="F3" s="170"/>
      <c r="G3" s="2295" t="str">
        <f>+Cover!C9</f>
        <v>WO &amp; Task #: 80089926</v>
      </c>
      <c r="H3" s="170"/>
      <c r="I3" s="170"/>
      <c r="J3" s="170"/>
      <c r="K3" s="170"/>
      <c r="L3" s="170"/>
      <c r="M3" s="730"/>
      <c r="N3" s="730"/>
      <c r="O3" s="730"/>
      <c r="P3" s="731"/>
      <c r="Q3" s="731"/>
      <c r="R3" s="720"/>
      <c r="S3" s="720"/>
      <c r="T3" s="723"/>
      <c r="U3" s="720"/>
      <c r="V3" s="732"/>
      <c r="W3" s="723"/>
      <c r="X3" s="733" t="s">
        <v>552</v>
      </c>
      <c r="Y3" s="734">
        <f>'Data Input sheet'!D185</f>
        <v>2.5375000000000001</v>
      </c>
      <c r="Z3" s="723"/>
      <c r="AA3" s="726"/>
      <c r="AB3" s="726"/>
      <c r="AC3" s="170"/>
      <c r="AD3" s="586"/>
      <c r="AE3" s="586"/>
      <c r="AF3" s="170"/>
      <c r="AG3" s="170"/>
      <c r="AH3" s="170"/>
      <c r="AI3" s="170"/>
      <c r="AJ3" s="170"/>
      <c r="AK3" s="170"/>
      <c r="AL3" s="170"/>
      <c r="AM3" s="170"/>
      <c r="AN3" s="170"/>
      <c r="AO3" s="170"/>
      <c r="AP3" s="170"/>
      <c r="AQ3" s="170"/>
      <c r="AR3" s="170"/>
      <c r="AS3" s="735" t="str">
        <f>+Cover!R6</f>
        <v>Date of Estimate:12/08/2023</v>
      </c>
      <c r="AT3" s="170"/>
      <c r="AU3" s="170"/>
      <c r="AV3" s="170"/>
      <c r="AW3" s="828"/>
      <c r="AX3" s="726"/>
    </row>
    <row r="4" spans="1:50" ht="15.75" customHeight="1" thickBot="1" x14ac:dyDescent="0.3">
      <c r="A4" s="170"/>
      <c r="B4" s="719"/>
      <c r="C4" s="170"/>
      <c r="D4" s="170"/>
      <c r="E4" s="170"/>
      <c r="F4" s="170"/>
      <c r="G4" s="2295" t="str">
        <f>+Cover!R5</f>
        <v>Estimate #: E-23-373</v>
      </c>
      <c r="H4" s="170"/>
      <c r="I4" s="170"/>
      <c r="J4" s="170"/>
      <c r="K4" s="170"/>
      <c r="L4" s="170"/>
      <c r="M4" s="730"/>
      <c r="N4" s="730"/>
      <c r="O4" s="730"/>
      <c r="P4" s="731"/>
      <c r="Q4" s="731"/>
      <c r="R4" s="720"/>
      <c r="S4" s="720"/>
      <c r="T4" s="723"/>
      <c r="U4" s="720"/>
      <c r="V4" s="728"/>
      <c r="W4" s="728"/>
      <c r="X4" s="723"/>
      <c r="Y4" s="723"/>
      <c r="Z4" s="729"/>
      <c r="AA4" s="726"/>
      <c r="AB4" s="726"/>
      <c r="AC4" s="170"/>
      <c r="AD4" s="586"/>
      <c r="AE4" s="586"/>
      <c r="AF4" s="170"/>
      <c r="AG4" s="170"/>
      <c r="AH4" s="170"/>
      <c r="AI4" s="170"/>
      <c r="AJ4" s="170"/>
      <c r="AK4" s="170"/>
      <c r="AL4" s="170"/>
      <c r="AM4" s="170"/>
      <c r="AN4" s="170"/>
      <c r="AO4" s="170"/>
      <c r="AP4" s="170"/>
      <c r="AQ4" s="170"/>
      <c r="AR4" s="170"/>
      <c r="AS4" s="735" t="str">
        <f>+Cover!C10</f>
        <v>Estimate revision #: 00</v>
      </c>
      <c r="AT4" s="170"/>
      <c r="AU4" s="170"/>
      <c r="AV4" s="170"/>
      <c r="AW4" s="828" t="s">
        <v>628</v>
      </c>
      <c r="AX4" s="726"/>
    </row>
    <row r="5" spans="1:50" ht="16.5" thickTop="1" thickBot="1" x14ac:dyDescent="0.3">
      <c r="A5" s="170"/>
      <c r="B5" s="719"/>
      <c r="C5" s="170"/>
      <c r="D5" s="736" t="s">
        <v>553</v>
      </c>
      <c r="E5" s="548"/>
      <c r="F5" s="548"/>
      <c r="G5" s="737"/>
      <c r="H5" s="548"/>
      <c r="I5" s="548"/>
      <c r="J5" s="548"/>
      <c r="K5" s="548"/>
      <c r="L5" s="548"/>
      <c r="M5" s="738"/>
      <c r="N5" s="738"/>
      <c r="O5" s="738"/>
      <c r="P5" s="739"/>
      <c r="Q5" s="739"/>
      <c r="R5" s="740"/>
      <c r="S5" s="740"/>
      <c r="T5" s="741"/>
      <c r="U5" s="742"/>
      <c r="V5" s="743"/>
      <c r="W5" s="743"/>
      <c r="X5" s="741"/>
      <c r="Y5" s="741"/>
      <c r="Z5" s="744"/>
      <c r="AA5" s="745"/>
      <c r="AB5" s="745"/>
      <c r="AC5" s="548"/>
      <c r="AD5" s="746"/>
      <c r="AE5" s="746"/>
      <c r="AF5" s="548"/>
      <c r="AG5" s="548"/>
      <c r="AH5" s="548"/>
      <c r="AI5" s="548"/>
      <c r="AJ5" s="548"/>
      <c r="AK5" s="548"/>
      <c r="AL5" s="548"/>
      <c r="AM5" s="548"/>
      <c r="AN5" s="548"/>
      <c r="AO5" s="548"/>
      <c r="AP5" s="548"/>
      <c r="AQ5" s="548"/>
      <c r="AR5" s="548"/>
      <c r="AS5" s="548"/>
      <c r="AT5" s="747"/>
      <c r="AU5" s="170"/>
      <c r="AV5" s="170"/>
      <c r="AW5" s="829"/>
      <c r="AX5" s="745"/>
    </row>
    <row r="6" spans="1:50" ht="16.5" thickBot="1" x14ac:dyDescent="0.3">
      <c r="A6" s="170"/>
      <c r="B6" s="719"/>
      <c r="C6" s="170"/>
      <c r="D6" s="2014"/>
      <c r="E6" s="2014"/>
      <c r="F6" s="2014"/>
      <c r="G6" s="2014" t="s">
        <v>554</v>
      </c>
      <c r="H6" s="2015"/>
      <c r="I6" s="2015"/>
      <c r="J6" s="2015"/>
      <c r="K6" s="2015"/>
      <c r="L6" s="2015"/>
      <c r="M6" s="2015"/>
      <c r="N6" s="2015"/>
      <c r="O6" s="2015"/>
      <c r="P6" s="2016"/>
      <c r="Q6" s="2016"/>
      <c r="R6" s="2015"/>
      <c r="S6" s="2015"/>
      <c r="T6" s="2015"/>
      <c r="U6" s="2015"/>
      <c r="V6" s="2015"/>
      <c r="W6" s="2015"/>
      <c r="X6" s="2015"/>
      <c r="Y6" s="2017"/>
      <c r="Z6" s="2017"/>
      <c r="AA6" s="2018"/>
      <c r="AB6" s="2019"/>
      <c r="AC6" s="170"/>
      <c r="AD6" s="755" t="s">
        <v>555</v>
      </c>
      <c r="AE6" s="756"/>
      <c r="AF6" s="757"/>
      <c r="AG6" s="757"/>
      <c r="AH6" s="757"/>
      <c r="AI6" s="757"/>
      <c r="AJ6" s="757"/>
      <c r="AK6" s="757"/>
      <c r="AL6" s="757"/>
      <c r="AM6" s="757"/>
      <c r="AN6" s="757"/>
      <c r="AO6" s="757"/>
      <c r="AP6" s="757"/>
      <c r="AQ6" s="757"/>
      <c r="AR6" s="757"/>
      <c r="AS6" s="758"/>
      <c r="AT6" s="759"/>
      <c r="AU6" s="170"/>
      <c r="AV6" s="170"/>
      <c r="AW6" s="754"/>
      <c r="AX6" s="754"/>
    </row>
    <row r="7" spans="1:50" ht="2.85" customHeight="1" thickBot="1" x14ac:dyDescent="0.3">
      <c r="A7" s="170"/>
      <c r="B7" s="719"/>
      <c r="C7" s="170"/>
      <c r="D7" s="2020"/>
      <c r="E7" s="378"/>
      <c r="F7" s="378"/>
      <c r="G7" s="2021"/>
      <c r="H7" s="378"/>
      <c r="I7" s="378"/>
      <c r="J7" s="378"/>
      <c r="K7" s="378"/>
      <c r="L7" s="378"/>
      <c r="M7" s="2022"/>
      <c r="N7" s="2022"/>
      <c r="O7" s="2022"/>
      <c r="P7" s="2023"/>
      <c r="Q7" s="2023"/>
      <c r="R7" s="2022"/>
      <c r="S7" s="2022"/>
      <c r="T7" s="2024"/>
      <c r="U7" s="2025"/>
      <c r="V7" s="2026"/>
      <c r="W7" s="2026"/>
      <c r="X7" s="2024"/>
      <c r="Y7" s="2024"/>
      <c r="Z7" s="2024"/>
      <c r="AA7" s="2027"/>
      <c r="AB7" s="2027"/>
      <c r="AC7" s="170"/>
      <c r="AD7" s="584"/>
      <c r="AE7" s="584"/>
      <c r="AF7" s="376"/>
      <c r="AG7" s="376"/>
      <c r="AH7" s="376"/>
      <c r="AI7" s="376"/>
      <c r="AJ7" s="376"/>
      <c r="AK7" s="376"/>
      <c r="AL7" s="762"/>
      <c r="AM7" s="762"/>
      <c r="AN7" s="762"/>
      <c r="AO7" s="762"/>
      <c r="AP7" s="762"/>
      <c r="AQ7" s="762"/>
      <c r="AR7" s="762"/>
      <c r="AS7" s="762"/>
      <c r="AT7" s="759"/>
      <c r="AU7" s="170"/>
      <c r="AV7" s="170"/>
      <c r="AW7" s="828"/>
      <c r="AX7" s="726"/>
    </row>
    <row r="8" spans="1:50" ht="63" customHeight="1" thickBot="1" x14ac:dyDescent="0.3">
      <c r="A8" s="170"/>
      <c r="B8" s="719"/>
      <c r="C8" s="170"/>
      <c r="D8" s="2028" t="s">
        <v>630</v>
      </c>
      <c r="E8" s="2028" t="s">
        <v>631</v>
      </c>
      <c r="F8" s="2028" t="s">
        <v>632</v>
      </c>
      <c r="G8" s="2014" t="s">
        <v>206</v>
      </c>
      <c r="H8" s="2029" t="s">
        <v>557</v>
      </c>
      <c r="I8" s="2029" t="s">
        <v>556</v>
      </c>
      <c r="J8" s="2014" t="s">
        <v>560</v>
      </c>
      <c r="K8" s="2014" t="s">
        <v>559</v>
      </c>
      <c r="L8" s="2030" t="s">
        <v>561</v>
      </c>
      <c r="M8" s="2030" t="s">
        <v>562</v>
      </c>
      <c r="N8" s="2030" t="s">
        <v>563</v>
      </c>
      <c r="O8" s="2030" t="s">
        <v>564</v>
      </c>
      <c r="P8" s="2030" t="s">
        <v>565</v>
      </c>
      <c r="Q8" s="2030" t="s">
        <v>566</v>
      </c>
      <c r="R8" s="2030" t="s">
        <v>567</v>
      </c>
      <c r="S8" s="2030" t="s">
        <v>568</v>
      </c>
      <c r="T8" s="2030" t="s">
        <v>569</v>
      </c>
      <c r="U8" s="2030" t="s">
        <v>1740</v>
      </c>
      <c r="V8" s="2030" t="s">
        <v>571</v>
      </c>
      <c r="W8" s="2030" t="s">
        <v>572</v>
      </c>
      <c r="X8" s="2030" t="s">
        <v>573</v>
      </c>
      <c r="Y8" s="2030" t="s">
        <v>574</v>
      </c>
      <c r="Z8" s="2030" t="s">
        <v>575</v>
      </c>
      <c r="AA8" s="2030" t="s">
        <v>1</v>
      </c>
      <c r="AB8" s="2031" t="s">
        <v>576</v>
      </c>
      <c r="AC8" s="765"/>
      <c r="AD8" s="766" t="s">
        <v>577</v>
      </c>
      <c r="AE8" s="766" t="s">
        <v>578</v>
      </c>
      <c r="AF8" s="766" t="s">
        <v>558</v>
      </c>
      <c r="AG8" s="766" t="s">
        <v>579</v>
      </c>
      <c r="AH8" s="766" t="s">
        <v>580</v>
      </c>
      <c r="AI8" s="766" t="s">
        <v>581</v>
      </c>
      <c r="AJ8" s="766" t="s">
        <v>582</v>
      </c>
      <c r="AK8" s="766" t="s">
        <v>583</v>
      </c>
      <c r="AL8" s="766" t="s">
        <v>584</v>
      </c>
      <c r="AM8" s="766" t="s">
        <v>585</v>
      </c>
      <c r="AN8" s="766" t="s">
        <v>586</v>
      </c>
      <c r="AO8" s="766" t="s">
        <v>587</v>
      </c>
      <c r="AP8" s="766" t="s">
        <v>588</v>
      </c>
      <c r="AQ8" s="766" t="s">
        <v>589</v>
      </c>
      <c r="AR8" s="766" t="s">
        <v>590</v>
      </c>
      <c r="AS8" s="767" t="s">
        <v>591</v>
      </c>
      <c r="AT8" s="759"/>
      <c r="AU8" s="170"/>
      <c r="AV8" s="170"/>
      <c r="AW8" s="831" t="s">
        <v>634</v>
      </c>
      <c r="AX8" s="764" t="s">
        <v>635</v>
      </c>
    </row>
    <row r="9" spans="1:50" ht="15" x14ac:dyDescent="0.25">
      <c r="A9" s="784"/>
      <c r="B9" s="719">
        <v>1</v>
      </c>
      <c r="C9" s="170" t="str">
        <f t="shared" ref="C9:C72" si="0">+F9&amp;I9</f>
        <v/>
      </c>
      <c r="D9" s="557"/>
      <c r="E9" s="170"/>
      <c r="F9" s="170"/>
      <c r="G9" s="2007"/>
      <c r="H9" s="1926"/>
      <c r="I9" s="2008"/>
      <c r="J9" s="1926"/>
      <c r="K9" s="1926"/>
      <c r="L9" s="170"/>
      <c r="M9" s="2009">
        <v>0</v>
      </c>
      <c r="N9" s="2010">
        <v>1</v>
      </c>
      <c r="O9" s="773">
        <f t="shared" ref="O9:O41" si="1">+M9*N9</f>
        <v>0</v>
      </c>
      <c r="P9" s="2008" t="s">
        <v>39</v>
      </c>
      <c r="Q9" s="2008" t="s">
        <v>39</v>
      </c>
      <c r="R9" s="2011" t="s">
        <v>73</v>
      </c>
      <c r="S9" s="775">
        <f>SUMIF('Data Input sheet'!$B$118:$B$180,R9,'Data Input sheet'!$D$118:$D$180)</f>
        <v>119</v>
      </c>
      <c r="T9" s="2012">
        <f t="shared" ref="T9:T20" si="2">+O9*S9</f>
        <v>0</v>
      </c>
      <c r="U9" s="2013">
        <v>0</v>
      </c>
      <c r="V9" s="778">
        <f>ROUND(U9*O9,0)</f>
        <v>0</v>
      </c>
      <c r="W9" s="2010"/>
      <c r="X9" s="779"/>
      <c r="Y9" s="2012">
        <v>0</v>
      </c>
      <c r="Z9" s="780">
        <f t="shared" ref="Z9:Z41" si="3">T9+V9+W9+Y9</f>
        <v>0</v>
      </c>
      <c r="AA9" s="2007"/>
      <c r="AB9" s="2007"/>
      <c r="AC9" s="765"/>
      <c r="AD9" s="781">
        <f t="shared" ref="AD9:AD40" si="4">IF(P9="E",+ROUND(H9*O9,0),0)</f>
        <v>0</v>
      </c>
      <c r="AE9" s="781">
        <f t="shared" ref="AE9:AE75" si="5">+AF9-AD9</f>
        <v>0</v>
      </c>
      <c r="AF9" s="781">
        <f t="shared" ref="AF9:AF40" si="6">+H9*O9</f>
        <v>0</v>
      </c>
      <c r="AG9" s="781">
        <f t="shared" ref="AG9:AG40" si="7">IF(P9="E",+ROUND(T9*H9,0),0)</f>
        <v>0</v>
      </c>
      <c r="AH9" s="781">
        <f t="shared" ref="AH9:AH75" si="8">+AI9-AG9</f>
        <v>0</v>
      </c>
      <c r="AI9" s="782">
        <f t="shared" ref="AI9:AI40" si="9">+H9*T9</f>
        <v>0</v>
      </c>
      <c r="AJ9" s="781">
        <f t="shared" ref="AJ9:AJ40" si="10">IF(P9="E",+ROUND(V9*H9,0),0)</f>
        <v>0</v>
      </c>
      <c r="AK9" s="781">
        <f t="shared" ref="AK9:AK75" si="11">+AL9-AJ9</f>
        <v>0</v>
      </c>
      <c r="AL9" s="781">
        <f t="shared" ref="AL9:AL40" si="12">ROUND(V9*H9,0)</f>
        <v>0</v>
      </c>
      <c r="AM9" s="781">
        <f t="shared" ref="AM9:AM40" si="13">IF(Q9="E",+ROUND(W9*H9,0),0)</f>
        <v>0</v>
      </c>
      <c r="AN9" s="781">
        <f t="shared" ref="AN9:AN75" si="14">+AO9-AM9</f>
        <v>0</v>
      </c>
      <c r="AO9" s="781">
        <f t="shared" ref="AO9:AO40" si="15">ROUND(W9*H9,0)</f>
        <v>0</v>
      </c>
      <c r="AP9" s="781">
        <f t="shared" ref="AP9:AP40" si="16">IF(P9="E",+ROUND(Y9*H9,0),0)</f>
        <v>0</v>
      </c>
      <c r="AQ9" s="781">
        <f t="shared" ref="AQ9:AQ75" si="17">+AR9-AP9</f>
        <v>0</v>
      </c>
      <c r="AR9" s="781">
        <f t="shared" ref="AR9:AR40" si="18">ROUND(Y9*H9,0)</f>
        <v>0</v>
      </c>
      <c r="AS9" s="783">
        <f t="shared" ref="AS9:AS75" si="19">+AR9+AO9+AL9+AI9</f>
        <v>0</v>
      </c>
    </row>
    <row r="10" spans="1:50" ht="15" x14ac:dyDescent="0.25">
      <c r="A10" s="784"/>
      <c r="B10" s="719">
        <f>+B9+1</f>
        <v>2</v>
      </c>
      <c r="C10" s="170" t="str">
        <f t="shared" si="0"/>
        <v/>
      </c>
      <c r="D10" s="557"/>
      <c r="E10" s="170"/>
      <c r="F10" s="170"/>
      <c r="G10" s="2007"/>
      <c r="H10" s="1926"/>
      <c r="I10" s="2008"/>
      <c r="J10" s="1926"/>
      <c r="K10" s="1926"/>
      <c r="L10" s="170"/>
      <c r="M10" s="2009">
        <v>0</v>
      </c>
      <c r="N10" s="2010">
        <v>1</v>
      </c>
      <c r="O10" s="773">
        <f t="shared" si="1"/>
        <v>0</v>
      </c>
      <c r="P10" s="2008" t="s">
        <v>39</v>
      </c>
      <c r="Q10" s="2008" t="s">
        <v>39</v>
      </c>
      <c r="R10" s="2011" t="s">
        <v>73</v>
      </c>
      <c r="S10" s="775">
        <f>SUMIF('Data Input sheet'!$B$118:$B$180,R10,'Data Input sheet'!$D$118:$D$180)</f>
        <v>119</v>
      </c>
      <c r="T10" s="2012">
        <f t="shared" si="2"/>
        <v>0</v>
      </c>
      <c r="U10" s="2013">
        <v>0</v>
      </c>
      <c r="V10" s="778">
        <f t="shared" ref="V10:V74" si="20">ROUND(U10*O10,0)</f>
        <v>0</v>
      </c>
      <c r="W10" s="2010"/>
      <c r="X10" s="779"/>
      <c r="Y10" s="2012">
        <v>0</v>
      </c>
      <c r="Z10" s="780">
        <f t="shared" si="3"/>
        <v>0</v>
      </c>
      <c r="AA10" s="2007"/>
      <c r="AB10" s="2007"/>
      <c r="AC10" s="765"/>
      <c r="AD10" s="781">
        <f t="shared" si="4"/>
        <v>0</v>
      </c>
      <c r="AE10" s="781">
        <f t="shared" si="5"/>
        <v>0</v>
      </c>
      <c r="AF10" s="781">
        <f t="shared" si="6"/>
        <v>0</v>
      </c>
      <c r="AG10" s="781">
        <f t="shared" si="7"/>
        <v>0</v>
      </c>
      <c r="AH10" s="781">
        <f t="shared" si="8"/>
        <v>0</v>
      </c>
      <c r="AI10" s="782">
        <f t="shared" si="9"/>
        <v>0</v>
      </c>
      <c r="AJ10" s="781">
        <f t="shared" si="10"/>
        <v>0</v>
      </c>
      <c r="AK10" s="781">
        <f t="shared" si="11"/>
        <v>0</v>
      </c>
      <c r="AL10" s="781">
        <f t="shared" si="12"/>
        <v>0</v>
      </c>
      <c r="AM10" s="781">
        <f t="shared" si="13"/>
        <v>0</v>
      </c>
      <c r="AN10" s="781">
        <f t="shared" si="14"/>
        <v>0</v>
      </c>
      <c r="AO10" s="781">
        <f t="shared" si="15"/>
        <v>0</v>
      </c>
      <c r="AP10" s="781">
        <f t="shared" si="16"/>
        <v>0</v>
      </c>
      <c r="AQ10" s="781">
        <f t="shared" si="17"/>
        <v>0</v>
      </c>
      <c r="AR10" s="781">
        <f t="shared" si="18"/>
        <v>0</v>
      </c>
      <c r="AS10" s="783">
        <f t="shared" si="19"/>
        <v>0</v>
      </c>
    </row>
    <row r="11" spans="1:50" ht="15" x14ac:dyDescent="0.25">
      <c r="A11" s="784"/>
      <c r="B11" s="719">
        <f t="shared" ref="B11:B20" si="21">B10+1</f>
        <v>3</v>
      </c>
      <c r="C11" s="170" t="str">
        <f t="shared" si="0"/>
        <v/>
      </c>
      <c r="D11" s="557"/>
      <c r="E11" s="170"/>
      <c r="F11" s="170"/>
      <c r="G11" s="2007"/>
      <c r="H11" s="1926"/>
      <c r="I11" s="2008"/>
      <c r="J11" s="1926"/>
      <c r="K11" s="1926"/>
      <c r="L11" s="170"/>
      <c r="M11" s="2009">
        <v>0</v>
      </c>
      <c r="N11" s="2010">
        <v>1</v>
      </c>
      <c r="O11" s="773">
        <f t="shared" si="1"/>
        <v>0</v>
      </c>
      <c r="P11" s="2008" t="s">
        <v>39</v>
      </c>
      <c r="Q11" s="2008" t="s">
        <v>39</v>
      </c>
      <c r="R11" s="2011" t="s">
        <v>73</v>
      </c>
      <c r="S11" s="775">
        <f>SUMIF('Data Input sheet'!$B$118:$B$180,R11,'Data Input sheet'!$D$118:$D$180)</f>
        <v>119</v>
      </c>
      <c r="T11" s="2012">
        <f t="shared" si="2"/>
        <v>0</v>
      </c>
      <c r="U11" s="2013">
        <v>0</v>
      </c>
      <c r="V11" s="778">
        <f t="shared" si="20"/>
        <v>0</v>
      </c>
      <c r="W11" s="2010"/>
      <c r="X11" s="779"/>
      <c r="Y11" s="2012">
        <v>0</v>
      </c>
      <c r="Z11" s="780">
        <f t="shared" si="3"/>
        <v>0</v>
      </c>
      <c r="AA11" s="2007"/>
      <c r="AB11" s="2007"/>
      <c r="AC11" s="765"/>
      <c r="AD11" s="781">
        <f t="shared" si="4"/>
        <v>0</v>
      </c>
      <c r="AE11" s="781">
        <f t="shared" si="5"/>
        <v>0</v>
      </c>
      <c r="AF11" s="781">
        <f t="shared" si="6"/>
        <v>0</v>
      </c>
      <c r="AG11" s="781">
        <f t="shared" si="7"/>
        <v>0</v>
      </c>
      <c r="AH11" s="781">
        <f t="shared" si="8"/>
        <v>0</v>
      </c>
      <c r="AI11" s="782">
        <f t="shared" si="9"/>
        <v>0</v>
      </c>
      <c r="AJ11" s="781">
        <f t="shared" si="10"/>
        <v>0</v>
      </c>
      <c r="AK11" s="781">
        <f t="shared" si="11"/>
        <v>0</v>
      </c>
      <c r="AL11" s="781">
        <f t="shared" si="12"/>
        <v>0</v>
      </c>
      <c r="AM11" s="781">
        <f t="shared" si="13"/>
        <v>0</v>
      </c>
      <c r="AN11" s="781">
        <f t="shared" si="14"/>
        <v>0</v>
      </c>
      <c r="AO11" s="781">
        <f t="shared" si="15"/>
        <v>0</v>
      </c>
      <c r="AP11" s="781">
        <f t="shared" si="16"/>
        <v>0</v>
      </c>
      <c r="AQ11" s="781">
        <f t="shared" si="17"/>
        <v>0</v>
      </c>
      <c r="AR11" s="781">
        <f t="shared" si="18"/>
        <v>0</v>
      </c>
      <c r="AS11" s="783">
        <f t="shared" si="19"/>
        <v>0</v>
      </c>
    </row>
    <row r="12" spans="1:50" ht="15" x14ac:dyDescent="0.25">
      <c r="A12" s="784"/>
      <c r="B12" s="719">
        <f t="shared" si="21"/>
        <v>4</v>
      </c>
      <c r="C12" s="170" t="str">
        <f t="shared" si="0"/>
        <v>2LF</v>
      </c>
      <c r="D12" s="557"/>
      <c r="E12" s="170"/>
      <c r="F12" s="170">
        <v>2</v>
      </c>
      <c r="G12" s="2007" t="s">
        <v>637</v>
      </c>
      <c r="H12" s="1926"/>
      <c r="I12" s="2008" t="s">
        <v>728</v>
      </c>
      <c r="J12" s="1926"/>
      <c r="K12" s="1926"/>
      <c r="L12" s="170"/>
      <c r="M12" s="2009"/>
      <c r="N12" s="2010">
        <v>1</v>
      </c>
      <c r="O12" s="773">
        <f t="shared" si="1"/>
        <v>0</v>
      </c>
      <c r="P12" s="2008" t="s">
        <v>39</v>
      </c>
      <c r="Q12" s="2008" t="s">
        <v>39</v>
      </c>
      <c r="R12" s="2011" t="s">
        <v>74</v>
      </c>
      <c r="S12" s="775">
        <f>SUMIF('Data Input sheet'!$B$118:$B$180,R12,'Data Input sheet'!$D$118:$D$180)</f>
        <v>152</v>
      </c>
      <c r="T12" s="2012">
        <f t="shared" si="2"/>
        <v>0</v>
      </c>
      <c r="U12" s="2013">
        <v>0</v>
      </c>
      <c r="V12" s="778">
        <f t="shared" si="20"/>
        <v>0</v>
      </c>
      <c r="W12" s="2010"/>
      <c r="X12" s="779"/>
      <c r="Y12" s="2012">
        <v>18.72</v>
      </c>
      <c r="Z12" s="780">
        <f t="shared" si="3"/>
        <v>18.72</v>
      </c>
      <c r="AA12" s="2007"/>
      <c r="AB12" s="2007"/>
      <c r="AC12" s="765"/>
      <c r="AD12" s="781">
        <f t="shared" si="4"/>
        <v>0</v>
      </c>
      <c r="AE12" s="781">
        <f t="shared" si="5"/>
        <v>0</v>
      </c>
      <c r="AF12" s="781">
        <f t="shared" si="6"/>
        <v>0</v>
      </c>
      <c r="AG12" s="781">
        <f t="shared" si="7"/>
        <v>0</v>
      </c>
      <c r="AH12" s="781">
        <f t="shared" si="8"/>
        <v>0</v>
      </c>
      <c r="AI12" s="782">
        <f t="shared" si="9"/>
        <v>0</v>
      </c>
      <c r="AJ12" s="781">
        <f t="shared" si="10"/>
        <v>0</v>
      </c>
      <c r="AK12" s="781">
        <f t="shared" si="11"/>
        <v>0</v>
      </c>
      <c r="AL12" s="781">
        <f t="shared" si="12"/>
        <v>0</v>
      </c>
      <c r="AM12" s="781">
        <f t="shared" si="13"/>
        <v>0</v>
      </c>
      <c r="AN12" s="781">
        <f t="shared" si="14"/>
        <v>0</v>
      </c>
      <c r="AO12" s="781">
        <f t="shared" si="15"/>
        <v>0</v>
      </c>
      <c r="AP12" s="781">
        <f t="shared" si="16"/>
        <v>0</v>
      </c>
      <c r="AQ12" s="781">
        <f t="shared" si="17"/>
        <v>0</v>
      </c>
      <c r="AR12" s="781">
        <f t="shared" si="18"/>
        <v>0</v>
      </c>
      <c r="AS12" s="783">
        <f t="shared" si="19"/>
        <v>0</v>
      </c>
    </row>
    <row r="13" spans="1:50" ht="15" x14ac:dyDescent="0.25">
      <c r="A13" s="784"/>
      <c r="B13" s="719">
        <f t="shared" si="21"/>
        <v>5</v>
      </c>
      <c r="C13" s="170" t="str">
        <f t="shared" si="0"/>
        <v>2LF</v>
      </c>
      <c r="D13" s="557"/>
      <c r="E13" s="170"/>
      <c r="F13" s="170">
        <v>2</v>
      </c>
      <c r="G13" s="2007" t="s">
        <v>743</v>
      </c>
      <c r="H13" s="1926"/>
      <c r="I13" s="2008" t="s">
        <v>728</v>
      </c>
      <c r="J13" s="1926"/>
      <c r="K13" s="1926"/>
      <c r="L13" s="170"/>
      <c r="M13" s="2009"/>
      <c r="N13" s="2010">
        <v>1</v>
      </c>
      <c r="O13" s="773">
        <f t="shared" si="1"/>
        <v>0</v>
      </c>
      <c r="P13" s="2008" t="s">
        <v>39</v>
      </c>
      <c r="Q13" s="2008" t="s">
        <v>39</v>
      </c>
      <c r="R13" s="2011" t="s">
        <v>74</v>
      </c>
      <c r="S13" s="775">
        <f>SUMIF('Data Input sheet'!$B$118:$B$180,R13,'Data Input sheet'!$D$118:$D$180)</f>
        <v>152</v>
      </c>
      <c r="T13" s="2012">
        <f t="shared" si="2"/>
        <v>0</v>
      </c>
      <c r="U13" s="2013">
        <v>0</v>
      </c>
      <c r="V13" s="778">
        <f t="shared" si="20"/>
        <v>0</v>
      </c>
      <c r="W13" s="2010"/>
      <c r="X13" s="779"/>
      <c r="Y13" s="2012">
        <v>3.12</v>
      </c>
      <c r="Z13" s="780">
        <f t="shared" si="3"/>
        <v>3.12</v>
      </c>
      <c r="AA13" s="2007"/>
      <c r="AB13" s="2007"/>
      <c r="AC13" s="765"/>
      <c r="AD13" s="781">
        <f t="shared" si="4"/>
        <v>0</v>
      </c>
      <c r="AE13" s="781">
        <f t="shared" si="5"/>
        <v>0</v>
      </c>
      <c r="AF13" s="781">
        <f t="shared" si="6"/>
        <v>0</v>
      </c>
      <c r="AG13" s="781">
        <f t="shared" si="7"/>
        <v>0</v>
      </c>
      <c r="AH13" s="781">
        <f t="shared" si="8"/>
        <v>0</v>
      </c>
      <c r="AI13" s="782">
        <f t="shared" si="9"/>
        <v>0</v>
      </c>
      <c r="AJ13" s="781">
        <f t="shared" si="10"/>
        <v>0</v>
      </c>
      <c r="AK13" s="781">
        <f t="shared" si="11"/>
        <v>0</v>
      </c>
      <c r="AL13" s="781">
        <f t="shared" si="12"/>
        <v>0</v>
      </c>
      <c r="AM13" s="781">
        <f t="shared" si="13"/>
        <v>0</v>
      </c>
      <c r="AN13" s="781">
        <f t="shared" si="14"/>
        <v>0</v>
      </c>
      <c r="AO13" s="781">
        <f t="shared" si="15"/>
        <v>0</v>
      </c>
      <c r="AP13" s="781">
        <f t="shared" si="16"/>
        <v>0</v>
      </c>
      <c r="AQ13" s="781">
        <f t="shared" si="17"/>
        <v>0</v>
      </c>
      <c r="AR13" s="781">
        <f t="shared" si="18"/>
        <v>0</v>
      </c>
      <c r="AS13" s="783">
        <f t="shared" si="19"/>
        <v>0</v>
      </c>
    </row>
    <row r="14" spans="1:50" ht="15" x14ac:dyDescent="0.25">
      <c r="A14" s="784"/>
      <c r="B14" s="719">
        <f t="shared" si="21"/>
        <v>6</v>
      </c>
      <c r="C14" s="170" t="str">
        <f t="shared" si="0"/>
        <v>2LF</v>
      </c>
      <c r="D14" s="557"/>
      <c r="E14" s="170"/>
      <c r="F14" s="170">
        <v>2</v>
      </c>
      <c r="G14" s="2007" t="s">
        <v>744</v>
      </c>
      <c r="H14" s="1926"/>
      <c r="I14" s="2008" t="s">
        <v>728</v>
      </c>
      <c r="J14" s="1926"/>
      <c r="K14" s="1926"/>
      <c r="L14" s="170"/>
      <c r="M14" s="2009"/>
      <c r="N14" s="2010">
        <v>1</v>
      </c>
      <c r="O14" s="773">
        <f t="shared" si="1"/>
        <v>0</v>
      </c>
      <c r="P14" s="2008" t="s">
        <v>39</v>
      </c>
      <c r="Q14" s="2008" t="s">
        <v>39</v>
      </c>
      <c r="R14" s="2011" t="s">
        <v>74</v>
      </c>
      <c r="S14" s="775">
        <f>SUMIF('Data Input sheet'!$B$118:$B$180,R14,'Data Input sheet'!$D$118:$D$180)</f>
        <v>152</v>
      </c>
      <c r="T14" s="2012">
        <f t="shared" si="2"/>
        <v>0</v>
      </c>
      <c r="U14" s="2013">
        <v>0</v>
      </c>
      <c r="V14" s="778">
        <f t="shared" si="20"/>
        <v>0</v>
      </c>
      <c r="W14" s="2010"/>
      <c r="X14" s="779"/>
      <c r="Y14" s="2012">
        <v>5.2</v>
      </c>
      <c r="Z14" s="780">
        <f t="shared" si="3"/>
        <v>5.2</v>
      </c>
      <c r="AA14" s="2007"/>
      <c r="AB14" s="2007"/>
      <c r="AC14" s="765"/>
      <c r="AD14" s="781">
        <f t="shared" si="4"/>
        <v>0</v>
      </c>
      <c r="AE14" s="781">
        <f t="shared" si="5"/>
        <v>0</v>
      </c>
      <c r="AF14" s="781">
        <f t="shared" si="6"/>
        <v>0</v>
      </c>
      <c r="AG14" s="781">
        <f t="shared" si="7"/>
        <v>0</v>
      </c>
      <c r="AH14" s="781">
        <f t="shared" si="8"/>
        <v>0</v>
      </c>
      <c r="AI14" s="782">
        <f t="shared" si="9"/>
        <v>0</v>
      </c>
      <c r="AJ14" s="781">
        <f t="shared" si="10"/>
        <v>0</v>
      </c>
      <c r="AK14" s="781">
        <f t="shared" si="11"/>
        <v>0</v>
      </c>
      <c r="AL14" s="781">
        <f t="shared" si="12"/>
        <v>0</v>
      </c>
      <c r="AM14" s="781">
        <f t="shared" si="13"/>
        <v>0</v>
      </c>
      <c r="AN14" s="781">
        <f t="shared" si="14"/>
        <v>0</v>
      </c>
      <c r="AO14" s="781">
        <f t="shared" si="15"/>
        <v>0</v>
      </c>
      <c r="AP14" s="781">
        <f t="shared" si="16"/>
        <v>0</v>
      </c>
      <c r="AQ14" s="781">
        <f t="shared" si="17"/>
        <v>0</v>
      </c>
      <c r="AR14" s="781">
        <f t="shared" si="18"/>
        <v>0</v>
      </c>
      <c r="AS14" s="783">
        <f t="shared" si="19"/>
        <v>0</v>
      </c>
    </row>
    <row r="15" spans="1:50" ht="15" x14ac:dyDescent="0.25">
      <c r="A15" s="784"/>
      <c r="B15" s="719">
        <f t="shared" si="21"/>
        <v>7</v>
      </c>
      <c r="C15" s="170" t="str">
        <f t="shared" si="0"/>
        <v>2LF</v>
      </c>
      <c r="D15" s="557"/>
      <c r="E15" s="170"/>
      <c r="F15" s="170">
        <v>2</v>
      </c>
      <c r="G15" s="2007" t="s">
        <v>745</v>
      </c>
      <c r="H15" s="1926"/>
      <c r="I15" s="2008" t="s">
        <v>728</v>
      </c>
      <c r="J15" s="1926"/>
      <c r="K15" s="1926"/>
      <c r="L15" s="170"/>
      <c r="M15" s="2009"/>
      <c r="N15" s="2010">
        <v>1</v>
      </c>
      <c r="O15" s="773">
        <f t="shared" si="1"/>
        <v>0</v>
      </c>
      <c r="P15" s="2008" t="s">
        <v>39</v>
      </c>
      <c r="Q15" s="2008" t="s">
        <v>39</v>
      </c>
      <c r="R15" s="2011" t="s">
        <v>74</v>
      </c>
      <c r="S15" s="775">
        <f>SUMIF('Data Input sheet'!$B$118:$B$180,R15,'Data Input sheet'!$D$118:$D$180)</f>
        <v>152</v>
      </c>
      <c r="T15" s="2012">
        <f t="shared" si="2"/>
        <v>0</v>
      </c>
      <c r="U15" s="2013">
        <v>0</v>
      </c>
      <c r="V15" s="778">
        <f t="shared" si="20"/>
        <v>0</v>
      </c>
      <c r="W15" s="2010"/>
      <c r="X15" s="779"/>
      <c r="Y15" s="2012">
        <v>67.599999999999994</v>
      </c>
      <c r="Z15" s="780">
        <f t="shared" si="3"/>
        <v>67.599999999999994</v>
      </c>
      <c r="AA15" s="2007" t="s">
        <v>746</v>
      </c>
      <c r="AB15" s="2007"/>
      <c r="AC15" s="765"/>
      <c r="AD15" s="781">
        <f t="shared" si="4"/>
        <v>0</v>
      </c>
      <c r="AE15" s="781">
        <f t="shared" si="5"/>
        <v>0</v>
      </c>
      <c r="AF15" s="781">
        <f t="shared" si="6"/>
        <v>0</v>
      </c>
      <c r="AG15" s="781">
        <f t="shared" si="7"/>
        <v>0</v>
      </c>
      <c r="AH15" s="781">
        <f t="shared" si="8"/>
        <v>0</v>
      </c>
      <c r="AI15" s="782">
        <f t="shared" si="9"/>
        <v>0</v>
      </c>
      <c r="AJ15" s="781">
        <f t="shared" si="10"/>
        <v>0</v>
      </c>
      <c r="AK15" s="781">
        <f t="shared" si="11"/>
        <v>0</v>
      </c>
      <c r="AL15" s="781">
        <f t="shared" si="12"/>
        <v>0</v>
      </c>
      <c r="AM15" s="781">
        <f t="shared" si="13"/>
        <v>0</v>
      </c>
      <c r="AN15" s="781">
        <f t="shared" si="14"/>
        <v>0</v>
      </c>
      <c r="AO15" s="781">
        <f t="shared" si="15"/>
        <v>0</v>
      </c>
      <c r="AP15" s="781">
        <f t="shared" si="16"/>
        <v>0</v>
      </c>
      <c r="AQ15" s="781">
        <f t="shared" si="17"/>
        <v>0</v>
      </c>
      <c r="AR15" s="781">
        <f t="shared" si="18"/>
        <v>0</v>
      </c>
      <c r="AS15" s="783">
        <f t="shared" si="19"/>
        <v>0</v>
      </c>
    </row>
    <row r="16" spans="1:50" ht="15" x14ac:dyDescent="0.25">
      <c r="A16" s="784"/>
      <c r="B16" s="719">
        <f t="shared" si="21"/>
        <v>8</v>
      </c>
      <c r="C16" s="170" t="str">
        <f t="shared" si="0"/>
        <v>2LF</v>
      </c>
      <c r="D16" s="557"/>
      <c r="E16" s="170"/>
      <c r="F16" s="170">
        <v>2</v>
      </c>
      <c r="G16" s="2007" t="s">
        <v>747</v>
      </c>
      <c r="H16" s="1926"/>
      <c r="I16" s="2008" t="s">
        <v>728</v>
      </c>
      <c r="J16" s="1926"/>
      <c r="K16" s="1926"/>
      <c r="L16" s="170"/>
      <c r="M16" s="2009">
        <v>0.02</v>
      </c>
      <c r="N16" s="2010">
        <v>1</v>
      </c>
      <c r="O16" s="773">
        <f t="shared" si="1"/>
        <v>0.02</v>
      </c>
      <c r="P16" s="2008" t="s">
        <v>39</v>
      </c>
      <c r="Q16" s="2008" t="s">
        <v>39</v>
      </c>
      <c r="R16" s="2011" t="s">
        <v>74</v>
      </c>
      <c r="S16" s="775">
        <f>SUMIF('Data Input sheet'!$B$118:$B$180,R16,'Data Input sheet'!$D$118:$D$180)</f>
        <v>152</v>
      </c>
      <c r="T16" s="2012">
        <f t="shared" si="2"/>
        <v>3.04</v>
      </c>
      <c r="U16" s="2013">
        <v>0</v>
      </c>
      <c r="V16" s="778">
        <f t="shared" si="20"/>
        <v>0</v>
      </c>
      <c r="W16" s="2010">
        <v>2.14</v>
      </c>
      <c r="X16" s="779"/>
      <c r="Y16" s="2012"/>
      <c r="Z16" s="780">
        <f t="shared" si="3"/>
        <v>5.18</v>
      </c>
      <c r="AA16" s="2007" t="s">
        <v>748</v>
      </c>
      <c r="AB16" s="2007"/>
      <c r="AC16" s="765"/>
      <c r="AD16" s="781">
        <f t="shared" si="4"/>
        <v>0</v>
      </c>
      <c r="AE16" s="781">
        <f t="shared" si="5"/>
        <v>0</v>
      </c>
      <c r="AF16" s="781">
        <f t="shared" si="6"/>
        <v>0</v>
      </c>
      <c r="AG16" s="781">
        <f t="shared" si="7"/>
        <v>0</v>
      </c>
      <c r="AH16" s="781">
        <f t="shared" si="8"/>
        <v>0</v>
      </c>
      <c r="AI16" s="782">
        <f t="shared" si="9"/>
        <v>0</v>
      </c>
      <c r="AJ16" s="781">
        <f t="shared" si="10"/>
        <v>0</v>
      </c>
      <c r="AK16" s="781">
        <f t="shared" si="11"/>
        <v>0</v>
      </c>
      <c r="AL16" s="781">
        <f t="shared" si="12"/>
        <v>0</v>
      </c>
      <c r="AM16" s="781">
        <f t="shared" si="13"/>
        <v>0</v>
      </c>
      <c r="AN16" s="781">
        <f t="shared" si="14"/>
        <v>0</v>
      </c>
      <c r="AO16" s="781">
        <f t="shared" si="15"/>
        <v>0</v>
      </c>
      <c r="AP16" s="781">
        <f t="shared" si="16"/>
        <v>0</v>
      </c>
      <c r="AQ16" s="781">
        <f t="shared" si="17"/>
        <v>0</v>
      </c>
      <c r="AR16" s="781">
        <f t="shared" si="18"/>
        <v>0</v>
      </c>
      <c r="AS16" s="783">
        <f t="shared" si="19"/>
        <v>0</v>
      </c>
    </row>
    <row r="17" spans="1:45" ht="15" x14ac:dyDescent="0.25">
      <c r="A17" s="784"/>
      <c r="B17" s="719">
        <f t="shared" si="21"/>
        <v>9</v>
      </c>
      <c r="C17" s="170" t="str">
        <f t="shared" si="0"/>
        <v>13LF</v>
      </c>
      <c r="D17" s="557"/>
      <c r="E17" s="170"/>
      <c r="F17" s="170">
        <v>13</v>
      </c>
      <c r="G17" s="2007" t="s">
        <v>749</v>
      </c>
      <c r="H17" s="1926"/>
      <c r="I17" s="2008" t="s">
        <v>728</v>
      </c>
      <c r="J17" s="1926"/>
      <c r="K17" s="1926"/>
      <c r="L17" s="170"/>
      <c r="M17" s="2009">
        <v>4.4999999999999998E-2</v>
      </c>
      <c r="N17" s="2010">
        <v>1</v>
      </c>
      <c r="O17" s="773">
        <f t="shared" si="1"/>
        <v>4.4999999999999998E-2</v>
      </c>
      <c r="P17" s="2008" t="s">
        <v>39</v>
      </c>
      <c r="Q17" s="2008" t="s">
        <v>39</v>
      </c>
      <c r="R17" s="2011" t="s">
        <v>74</v>
      </c>
      <c r="S17" s="775">
        <f>SUMIF('Data Input sheet'!$B$118:$B$180,R17,'Data Input sheet'!$D$118:$D$180)</f>
        <v>152</v>
      </c>
      <c r="T17" s="2012">
        <f t="shared" si="2"/>
        <v>6.84</v>
      </c>
      <c r="U17" s="2013">
        <v>22</v>
      </c>
      <c r="V17" s="778">
        <f t="shared" si="20"/>
        <v>1</v>
      </c>
      <c r="W17" s="2010">
        <v>10.119999999999999</v>
      </c>
      <c r="X17" s="779"/>
      <c r="Y17" s="2012">
        <v>5.2</v>
      </c>
      <c r="Z17" s="780">
        <f t="shared" si="3"/>
        <v>23.16</v>
      </c>
      <c r="AA17" s="2007" t="s">
        <v>750</v>
      </c>
      <c r="AB17" s="2007"/>
      <c r="AC17" s="765"/>
      <c r="AD17" s="781">
        <f t="shared" si="4"/>
        <v>0</v>
      </c>
      <c r="AE17" s="781">
        <f t="shared" si="5"/>
        <v>0</v>
      </c>
      <c r="AF17" s="781">
        <f t="shared" si="6"/>
        <v>0</v>
      </c>
      <c r="AG17" s="781">
        <f t="shared" si="7"/>
        <v>0</v>
      </c>
      <c r="AH17" s="781">
        <f t="shared" si="8"/>
        <v>0</v>
      </c>
      <c r="AI17" s="782">
        <f t="shared" si="9"/>
        <v>0</v>
      </c>
      <c r="AJ17" s="781">
        <f t="shared" si="10"/>
        <v>0</v>
      </c>
      <c r="AK17" s="781">
        <f t="shared" si="11"/>
        <v>0</v>
      </c>
      <c r="AL17" s="781">
        <f t="shared" si="12"/>
        <v>0</v>
      </c>
      <c r="AM17" s="781">
        <f t="shared" si="13"/>
        <v>0</v>
      </c>
      <c r="AN17" s="781">
        <f t="shared" si="14"/>
        <v>0</v>
      </c>
      <c r="AO17" s="781">
        <f t="shared" si="15"/>
        <v>0</v>
      </c>
      <c r="AP17" s="781">
        <f t="shared" si="16"/>
        <v>0</v>
      </c>
      <c r="AQ17" s="781">
        <f t="shared" si="17"/>
        <v>0</v>
      </c>
      <c r="AR17" s="781">
        <f t="shared" si="18"/>
        <v>0</v>
      </c>
      <c r="AS17" s="783">
        <f t="shared" si="19"/>
        <v>0</v>
      </c>
    </row>
    <row r="18" spans="1:45" ht="15" x14ac:dyDescent="0.25">
      <c r="A18" s="784"/>
      <c r="B18" s="719">
        <f t="shared" si="21"/>
        <v>10</v>
      </c>
      <c r="C18" s="170" t="str">
        <f t="shared" si="0"/>
        <v>2EA Loc</v>
      </c>
      <c r="D18" s="557"/>
      <c r="E18" s="170"/>
      <c r="F18" s="170">
        <v>2</v>
      </c>
      <c r="G18" s="2007" t="s">
        <v>751</v>
      </c>
      <c r="H18" s="1926"/>
      <c r="I18" s="2008" t="s">
        <v>1342</v>
      </c>
      <c r="J18" s="1926"/>
      <c r="K18" s="1926"/>
      <c r="L18" s="170"/>
      <c r="M18" s="2009">
        <v>35</v>
      </c>
      <c r="N18" s="2010">
        <v>1</v>
      </c>
      <c r="O18" s="773">
        <f t="shared" si="1"/>
        <v>35</v>
      </c>
      <c r="P18" s="2008" t="s">
        <v>39</v>
      </c>
      <c r="Q18" s="2008" t="s">
        <v>39</v>
      </c>
      <c r="R18" s="2011" t="s">
        <v>74</v>
      </c>
      <c r="S18" s="775">
        <f>SUMIF('Data Input sheet'!$B$118:$B$180,R18,'Data Input sheet'!$D$118:$D$180)</f>
        <v>152</v>
      </c>
      <c r="T18" s="2012">
        <f t="shared" si="2"/>
        <v>5320</v>
      </c>
      <c r="U18" s="2013">
        <v>21</v>
      </c>
      <c r="V18" s="778">
        <f t="shared" si="20"/>
        <v>735</v>
      </c>
      <c r="W18" s="2010">
        <v>629.91999999999996</v>
      </c>
      <c r="X18" s="779"/>
      <c r="Y18" s="2012"/>
      <c r="Z18" s="780">
        <f t="shared" si="3"/>
        <v>6684.92</v>
      </c>
      <c r="AA18" s="2007" t="s">
        <v>752</v>
      </c>
      <c r="AB18" s="2007"/>
      <c r="AC18" s="765"/>
      <c r="AD18" s="781">
        <f t="shared" si="4"/>
        <v>0</v>
      </c>
      <c r="AE18" s="781">
        <f t="shared" si="5"/>
        <v>0</v>
      </c>
      <c r="AF18" s="781">
        <f t="shared" si="6"/>
        <v>0</v>
      </c>
      <c r="AG18" s="781">
        <f t="shared" si="7"/>
        <v>0</v>
      </c>
      <c r="AH18" s="781">
        <f t="shared" si="8"/>
        <v>0</v>
      </c>
      <c r="AI18" s="782">
        <f t="shared" si="9"/>
        <v>0</v>
      </c>
      <c r="AJ18" s="781">
        <f t="shared" si="10"/>
        <v>0</v>
      </c>
      <c r="AK18" s="781">
        <f t="shared" si="11"/>
        <v>0</v>
      </c>
      <c r="AL18" s="781">
        <f t="shared" si="12"/>
        <v>0</v>
      </c>
      <c r="AM18" s="781">
        <f t="shared" si="13"/>
        <v>0</v>
      </c>
      <c r="AN18" s="781">
        <f t="shared" si="14"/>
        <v>0</v>
      </c>
      <c r="AO18" s="781">
        <f t="shared" si="15"/>
        <v>0</v>
      </c>
      <c r="AP18" s="781">
        <f t="shared" si="16"/>
        <v>0</v>
      </c>
      <c r="AQ18" s="781">
        <f t="shared" si="17"/>
        <v>0</v>
      </c>
      <c r="AR18" s="781">
        <f t="shared" si="18"/>
        <v>0</v>
      </c>
      <c r="AS18" s="783">
        <f t="shared" si="19"/>
        <v>0</v>
      </c>
    </row>
    <row r="19" spans="1:45" ht="15" x14ac:dyDescent="0.25">
      <c r="A19" s="784"/>
      <c r="B19" s="719">
        <f t="shared" si="21"/>
        <v>11</v>
      </c>
      <c r="C19" s="170" t="str">
        <f t="shared" si="0"/>
        <v>2LS</v>
      </c>
      <c r="D19" s="557"/>
      <c r="E19" s="170"/>
      <c r="F19" s="170">
        <v>2</v>
      </c>
      <c r="G19" s="2007" t="s">
        <v>83</v>
      </c>
      <c r="H19" s="1926"/>
      <c r="I19" s="2008" t="s">
        <v>640</v>
      </c>
      <c r="J19" s="1926"/>
      <c r="K19" s="1926"/>
      <c r="L19" s="170"/>
      <c r="M19" s="2009"/>
      <c r="N19" s="2010">
        <v>1</v>
      </c>
      <c r="O19" s="773">
        <f t="shared" si="1"/>
        <v>0</v>
      </c>
      <c r="P19" s="2008" t="s">
        <v>39</v>
      </c>
      <c r="Q19" s="2008" t="s">
        <v>39</v>
      </c>
      <c r="R19" s="2011" t="s">
        <v>74</v>
      </c>
      <c r="S19" s="775">
        <f>SUMIF('Data Input sheet'!$B$118:$B$180,R19,'Data Input sheet'!$D$118:$D$180)</f>
        <v>152</v>
      </c>
      <c r="T19" s="2012">
        <f t="shared" si="2"/>
        <v>0</v>
      </c>
      <c r="U19" s="2013">
        <v>0</v>
      </c>
      <c r="V19" s="778">
        <f t="shared" si="20"/>
        <v>0</v>
      </c>
      <c r="W19" s="2010"/>
      <c r="X19" s="779"/>
      <c r="Y19" s="2012">
        <v>0</v>
      </c>
      <c r="Z19" s="780">
        <f t="shared" si="3"/>
        <v>0</v>
      </c>
      <c r="AA19" s="2007" t="s">
        <v>641</v>
      </c>
      <c r="AB19" s="2007"/>
      <c r="AC19" s="765"/>
      <c r="AD19" s="781">
        <f t="shared" si="4"/>
        <v>0</v>
      </c>
      <c r="AE19" s="781">
        <f t="shared" si="5"/>
        <v>0</v>
      </c>
      <c r="AF19" s="781">
        <f t="shared" si="6"/>
        <v>0</v>
      </c>
      <c r="AG19" s="781">
        <f t="shared" si="7"/>
        <v>0</v>
      </c>
      <c r="AH19" s="781">
        <f t="shared" si="8"/>
        <v>0</v>
      </c>
      <c r="AI19" s="782">
        <f t="shared" si="9"/>
        <v>0</v>
      </c>
      <c r="AJ19" s="781">
        <f t="shared" si="10"/>
        <v>0</v>
      </c>
      <c r="AK19" s="781">
        <f t="shared" si="11"/>
        <v>0</v>
      </c>
      <c r="AL19" s="781">
        <f t="shared" si="12"/>
        <v>0</v>
      </c>
      <c r="AM19" s="781">
        <f t="shared" si="13"/>
        <v>0</v>
      </c>
      <c r="AN19" s="781">
        <f t="shared" si="14"/>
        <v>0</v>
      </c>
      <c r="AO19" s="781">
        <f t="shared" si="15"/>
        <v>0</v>
      </c>
      <c r="AP19" s="781">
        <f t="shared" si="16"/>
        <v>0</v>
      </c>
      <c r="AQ19" s="781">
        <f t="shared" si="17"/>
        <v>0</v>
      </c>
      <c r="AR19" s="781">
        <f t="shared" si="18"/>
        <v>0</v>
      </c>
      <c r="AS19" s="783">
        <f t="shared" si="19"/>
        <v>0</v>
      </c>
    </row>
    <row r="20" spans="1:45" ht="15" x14ac:dyDescent="0.25">
      <c r="A20" s="784"/>
      <c r="B20" s="719">
        <f t="shared" si="21"/>
        <v>12</v>
      </c>
      <c r="C20" s="170" t="str">
        <f t="shared" si="0"/>
        <v>2Day</v>
      </c>
      <c r="D20" s="557"/>
      <c r="E20" s="170"/>
      <c r="F20" s="170">
        <v>2</v>
      </c>
      <c r="G20" s="2007" t="s">
        <v>638</v>
      </c>
      <c r="H20" s="1926"/>
      <c r="I20" s="2008" t="s">
        <v>639</v>
      </c>
      <c r="J20" s="1926"/>
      <c r="K20" s="1926"/>
      <c r="L20" s="170"/>
      <c r="M20" s="2009"/>
      <c r="N20" s="2010">
        <v>1</v>
      </c>
      <c r="O20" s="773">
        <f t="shared" si="1"/>
        <v>0</v>
      </c>
      <c r="P20" s="2008" t="s">
        <v>39</v>
      </c>
      <c r="Q20" s="2008" t="s">
        <v>39</v>
      </c>
      <c r="R20" s="2011" t="s">
        <v>74</v>
      </c>
      <c r="S20" s="775">
        <f>SUMIF('Data Input sheet'!$B$118:$B$180,R20,'Data Input sheet'!$D$118:$D$180)</f>
        <v>152</v>
      </c>
      <c r="T20" s="2012">
        <f t="shared" si="2"/>
        <v>0</v>
      </c>
      <c r="U20" s="2013">
        <v>0</v>
      </c>
      <c r="V20" s="778">
        <f t="shared" si="20"/>
        <v>0</v>
      </c>
      <c r="W20" s="2010"/>
      <c r="X20" s="779"/>
      <c r="Y20" s="2012">
        <v>3120</v>
      </c>
      <c r="Z20" s="780">
        <f t="shared" si="3"/>
        <v>3120</v>
      </c>
      <c r="AA20" s="2007"/>
      <c r="AB20" s="2007"/>
      <c r="AC20" s="765"/>
      <c r="AD20" s="781">
        <f t="shared" si="4"/>
        <v>0</v>
      </c>
      <c r="AE20" s="781">
        <f t="shared" si="5"/>
        <v>0</v>
      </c>
      <c r="AF20" s="781">
        <f t="shared" si="6"/>
        <v>0</v>
      </c>
      <c r="AG20" s="781">
        <f t="shared" si="7"/>
        <v>0</v>
      </c>
      <c r="AH20" s="781">
        <f t="shared" si="8"/>
        <v>0</v>
      </c>
      <c r="AI20" s="782">
        <f t="shared" si="9"/>
        <v>0</v>
      </c>
      <c r="AJ20" s="781">
        <f t="shared" si="10"/>
        <v>0</v>
      </c>
      <c r="AK20" s="781">
        <f t="shared" si="11"/>
        <v>0</v>
      </c>
      <c r="AL20" s="781">
        <f t="shared" si="12"/>
        <v>0</v>
      </c>
      <c r="AM20" s="781">
        <f t="shared" si="13"/>
        <v>0</v>
      </c>
      <c r="AN20" s="781">
        <f t="shared" si="14"/>
        <v>0</v>
      </c>
      <c r="AO20" s="781">
        <f t="shared" si="15"/>
        <v>0</v>
      </c>
      <c r="AP20" s="781">
        <f t="shared" si="16"/>
        <v>0</v>
      </c>
      <c r="AQ20" s="781">
        <f t="shared" si="17"/>
        <v>0</v>
      </c>
      <c r="AR20" s="781">
        <f t="shared" si="18"/>
        <v>0</v>
      </c>
      <c r="AS20" s="783">
        <f t="shared" si="19"/>
        <v>0</v>
      </c>
    </row>
    <row r="21" spans="1:45" ht="15" x14ac:dyDescent="0.25">
      <c r="A21" s="784"/>
      <c r="B21" s="719">
        <f>B19+1</f>
        <v>12</v>
      </c>
      <c r="C21" s="170" t="str">
        <f t="shared" si="0"/>
        <v>1LS</v>
      </c>
      <c r="D21" s="557"/>
      <c r="E21" s="170"/>
      <c r="F21" s="170">
        <v>1</v>
      </c>
      <c r="G21" s="2007" t="s">
        <v>84</v>
      </c>
      <c r="H21" s="1926">
        <v>1</v>
      </c>
      <c r="I21" s="2008" t="s">
        <v>640</v>
      </c>
      <c r="J21" s="1926"/>
      <c r="K21" s="1926"/>
      <c r="L21" s="170">
        <v>0.05</v>
      </c>
      <c r="M21" s="2009"/>
      <c r="N21" s="2010">
        <v>1</v>
      </c>
      <c r="O21" s="773">
        <f t="shared" si="1"/>
        <v>0</v>
      </c>
      <c r="P21" s="2008" t="s">
        <v>39</v>
      </c>
      <c r="Q21" s="2008" t="s">
        <v>39</v>
      </c>
      <c r="R21" s="2011" t="s">
        <v>74</v>
      </c>
      <c r="S21" s="775">
        <f>SUMIF('Data Input sheet'!$B$118:$B$180,R21,'Data Input sheet'!$D$118:$D$180)</f>
        <v>152</v>
      </c>
      <c r="T21" s="2012">
        <f>(SUM(AH22:AH81)+SUM(AK22:AK81)+SUM(AN22:AN81)+SUM(AQ22:AQ81))*L21</f>
        <v>0</v>
      </c>
      <c r="U21" s="2013">
        <v>0</v>
      </c>
      <c r="V21" s="778">
        <f t="shared" si="20"/>
        <v>0</v>
      </c>
      <c r="W21" s="2010"/>
      <c r="X21" s="779"/>
      <c r="Y21" s="2012">
        <v>0</v>
      </c>
      <c r="Z21" s="780">
        <f t="shared" si="3"/>
        <v>0</v>
      </c>
      <c r="AA21" s="2007" t="str">
        <f>+"Ave "&amp;$L$21*100&amp; "% of total contractor cost"</f>
        <v>Ave 5% of total contractor cost</v>
      </c>
      <c r="AB21" s="2007"/>
      <c r="AC21" s="765"/>
      <c r="AD21" s="781">
        <f t="shared" si="4"/>
        <v>0</v>
      </c>
      <c r="AE21" s="781">
        <f t="shared" si="5"/>
        <v>0</v>
      </c>
      <c r="AF21" s="781">
        <f t="shared" si="6"/>
        <v>0</v>
      </c>
      <c r="AG21" s="781">
        <f t="shared" si="7"/>
        <v>0</v>
      </c>
      <c r="AH21" s="781">
        <f t="shared" si="8"/>
        <v>0</v>
      </c>
      <c r="AI21" s="782">
        <f t="shared" si="9"/>
        <v>0</v>
      </c>
      <c r="AJ21" s="781">
        <f t="shared" si="10"/>
        <v>0</v>
      </c>
      <c r="AK21" s="781">
        <f t="shared" si="11"/>
        <v>0</v>
      </c>
      <c r="AL21" s="781">
        <f t="shared" si="12"/>
        <v>0</v>
      </c>
      <c r="AM21" s="781">
        <f t="shared" si="13"/>
        <v>0</v>
      </c>
      <c r="AN21" s="781">
        <f t="shared" si="14"/>
        <v>0</v>
      </c>
      <c r="AO21" s="781">
        <f t="shared" si="15"/>
        <v>0</v>
      </c>
      <c r="AP21" s="781">
        <f t="shared" si="16"/>
        <v>0</v>
      </c>
      <c r="AQ21" s="781">
        <f t="shared" si="17"/>
        <v>0</v>
      </c>
      <c r="AR21" s="781">
        <f t="shared" si="18"/>
        <v>0</v>
      </c>
      <c r="AS21" s="783">
        <f t="shared" si="19"/>
        <v>0</v>
      </c>
    </row>
    <row r="22" spans="1:45" ht="15" x14ac:dyDescent="0.25">
      <c r="A22" s="784"/>
      <c r="B22" s="719">
        <f t="shared" ref="B22:B83" si="22">B21+1</f>
        <v>13</v>
      </c>
      <c r="C22" s="170" t="str">
        <f t="shared" si="0"/>
        <v/>
      </c>
      <c r="D22" s="557"/>
      <c r="E22" s="170"/>
      <c r="F22" s="170"/>
      <c r="G22" s="2007"/>
      <c r="H22" s="1926"/>
      <c r="I22" s="2008"/>
      <c r="J22" s="1926"/>
      <c r="K22" s="1926"/>
      <c r="L22" s="170"/>
      <c r="M22" s="2009">
        <v>0</v>
      </c>
      <c r="N22" s="2010">
        <v>1</v>
      </c>
      <c r="O22" s="773">
        <f t="shared" si="1"/>
        <v>0</v>
      </c>
      <c r="P22" s="2008" t="s">
        <v>39</v>
      </c>
      <c r="Q22" s="2008" t="s">
        <v>39</v>
      </c>
      <c r="R22" s="2011" t="s">
        <v>74</v>
      </c>
      <c r="S22" s="775">
        <f>SUMIF('Data Input sheet'!$B$118:$B$180,R22,'Data Input sheet'!$D$118:$D$180)</f>
        <v>152</v>
      </c>
      <c r="T22" s="2012">
        <f t="shared" ref="T22:T41" si="23">+O22*S22</f>
        <v>0</v>
      </c>
      <c r="U22" s="2013">
        <v>0</v>
      </c>
      <c r="V22" s="778">
        <f t="shared" si="20"/>
        <v>0</v>
      </c>
      <c r="W22" s="2010"/>
      <c r="X22" s="779"/>
      <c r="Y22" s="2012">
        <v>0</v>
      </c>
      <c r="Z22" s="780">
        <f t="shared" si="3"/>
        <v>0</v>
      </c>
      <c r="AA22" s="2007"/>
      <c r="AB22" s="2007"/>
      <c r="AC22" s="765"/>
      <c r="AD22" s="781">
        <f t="shared" si="4"/>
        <v>0</v>
      </c>
      <c r="AE22" s="781">
        <f t="shared" si="5"/>
        <v>0</v>
      </c>
      <c r="AF22" s="781">
        <f t="shared" si="6"/>
        <v>0</v>
      </c>
      <c r="AG22" s="781">
        <f t="shared" si="7"/>
        <v>0</v>
      </c>
      <c r="AH22" s="781">
        <f t="shared" si="8"/>
        <v>0</v>
      </c>
      <c r="AI22" s="782">
        <f t="shared" si="9"/>
        <v>0</v>
      </c>
      <c r="AJ22" s="781">
        <f t="shared" si="10"/>
        <v>0</v>
      </c>
      <c r="AK22" s="781">
        <f t="shared" si="11"/>
        <v>0</v>
      </c>
      <c r="AL22" s="781">
        <f t="shared" si="12"/>
        <v>0</v>
      </c>
      <c r="AM22" s="781">
        <f t="shared" si="13"/>
        <v>0</v>
      </c>
      <c r="AN22" s="781">
        <f t="shared" si="14"/>
        <v>0</v>
      </c>
      <c r="AO22" s="781">
        <f t="shared" si="15"/>
        <v>0</v>
      </c>
      <c r="AP22" s="781">
        <f t="shared" si="16"/>
        <v>0</v>
      </c>
      <c r="AQ22" s="781">
        <f t="shared" si="17"/>
        <v>0</v>
      </c>
      <c r="AR22" s="781">
        <f t="shared" si="18"/>
        <v>0</v>
      </c>
      <c r="AS22" s="783">
        <f t="shared" si="19"/>
        <v>0</v>
      </c>
    </row>
    <row r="23" spans="1:45" ht="15" x14ac:dyDescent="0.25">
      <c r="A23" s="784"/>
      <c r="B23" s="719">
        <f t="shared" si="22"/>
        <v>14</v>
      </c>
      <c r="C23" s="170" t="str">
        <f t="shared" si="0"/>
        <v/>
      </c>
      <c r="D23" s="557"/>
      <c r="E23" s="170"/>
      <c r="F23" s="170"/>
      <c r="G23" s="2007"/>
      <c r="H23" s="1926"/>
      <c r="I23" s="2008"/>
      <c r="J23" s="1926"/>
      <c r="K23" s="1926"/>
      <c r="L23" s="170"/>
      <c r="M23" s="2009">
        <v>0</v>
      </c>
      <c r="N23" s="2010">
        <v>1</v>
      </c>
      <c r="O23" s="773">
        <f t="shared" si="1"/>
        <v>0</v>
      </c>
      <c r="P23" s="2008" t="s">
        <v>39</v>
      </c>
      <c r="Q23" s="2008" t="s">
        <v>39</v>
      </c>
      <c r="R23" s="2011" t="s">
        <v>74</v>
      </c>
      <c r="S23" s="775">
        <f>SUMIF('Data Input sheet'!$B$118:$B$180,R23,'Data Input sheet'!$D$118:$D$180)</f>
        <v>152</v>
      </c>
      <c r="T23" s="2012">
        <f t="shared" si="23"/>
        <v>0</v>
      </c>
      <c r="U23" s="2013">
        <v>0</v>
      </c>
      <c r="V23" s="778">
        <f t="shared" si="20"/>
        <v>0</v>
      </c>
      <c r="W23" s="2010"/>
      <c r="X23" s="779"/>
      <c r="Y23" s="2012">
        <v>0</v>
      </c>
      <c r="Z23" s="780">
        <f t="shared" si="3"/>
        <v>0</v>
      </c>
      <c r="AA23" s="2007"/>
      <c r="AB23" s="2007"/>
      <c r="AC23" s="765"/>
      <c r="AD23" s="781">
        <f t="shared" si="4"/>
        <v>0</v>
      </c>
      <c r="AE23" s="781">
        <f t="shared" si="5"/>
        <v>0</v>
      </c>
      <c r="AF23" s="781">
        <f t="shared" si="6"/>
        <v>0</v>
      </c>
      <c r="AG23" s="781">
        <f t="shared" si="7"/>
        <v>0</v>
      </c>
      <c r="AH23" s="781">
        <f t="shared" si="8"/>
        <v>0</v>
      </c>
      <c r="AI23" s="782">
        <f t="shared" si="9"/>
        <v>0</v>
      </c>
      <c r="AJ23" s="781">
        <f t="shared" si="10"/>
        <v>0</v>
      </c>
      <c r="AK23" s="781">
        <f t="shared" si="11"/>
        <v>0</v>
      </c>
      <c r="AL23" s="781">
        <f t="shared" si="12"/>
        <v>0</v>
      </c>
      <c r="AM23" s="781">
        <f t="shared" si="13"/>
        <v>0</v>
      </c>
      <c r="AN23" s="781">
        <f t="shared" si="14"/>
        <v>0</v>
      </c>
      <c r="AO23" s="781">
        <f t="shared" si="15"/>
        <v>0</v>
      </c>
      <c r="AP23" s="781">
        <f t="shared" si="16"/>
        <v>0</v>
      </c>
      <c r="AQ23" s="781">
        <f t="shared" si="17"/>
        <v>0</v>
      </c>
      <c r="AR23" s="781">
        <f t="shared" si="18"/>
        <v>0</v>
      </c>
      <c r="AS23" s="783">
        <f t="shared" si="19"/>
        <v>0</v>
      </c>
    </row>
    <row r="24" spans="1:45" ht="15" x14ac:dyDescent="0.25">
      <c r="A24" s="784"/>
      <c r="B24" s="719">
        <f t="shared" si="22"/>
        <v>15</v>
      </c>
      <c r="C24" s="170" t="str">
        <f t="shared" si="0"/>
        <v/>
      </c>
      <c r="D24" s="557"/>
      <c r="E24" s="170"/>
      <c r="F24" s="170"/>
      <c r="G24" s="2007"/>
      <c r="H24" s="1926"/>
      <c r="I24" s="2008"/>
      <c r="J24" s="1926"/>
      <c r="K24" s="1926"/>
      <c r="L24" s="170"/>
      <c r="M24" s="2009">
        <v>0</v>
      </c>
      <c r="N24" s="2010">
        <v>1</v>
      </c>
      <c r="O24" s="773">
        <f t="shared" si="1"/>
        <v>0</v>
      </c>
      <c r="P24" s="2008" t="s">
        <v>39</v>
      </c>
      <c r="Q24" s="2008" t="s">
        <v>39</v>
      </c>
      <c r="R24" s="2011" t="s">
        <v>74</v>
      </c>
      <c r="S24" s="775">
        <f>SUMIF('Data Input sheet'!$B$118:$B$180,R24,'Data Input sheet'!$D$118:$D$180)</f>
        <v>152</v>
      </c>
      <c r="T24" s="2012">
        <f t="shared" si="23"/>
        <v>0</v>
      </c>
      <c r="U24" s="2013">
        <v>0</v>
      </c>
      <c r="V24" s="778">
        <f t="shared" si="20"/>
        <v>0</v>
      </c>
      <c r="W24" s="2010"/>
      <c r="X24" s="779"/>
      <c r="Y24" s="2012">
        <v>0</v>
      </c>
      <c r="Z24" s="780">
        <f t="shared" si="3"/>
        <v>0</v>
      </c>
      <c r="AA24" s="2007"/>
      <c r="AB24" s="2007"/>
      <c r="AC24" s="765"/>
      <c r="AD24" s="781">
        <f t="shared" si="4"/>
        <v>0</v>
      </c>
      <c r="AE24" s="781">
        <f t="shared" si="5"/>
        <v>0</v>
      </c>
      <c r="AF24" s="781">
        <f t="shared" si="6"/>
        <v>0</v>
      </c>
      <c r="AG24" s="781">
        <f t="shared" si="7"/>
        <v>0</v>
      </c>
      <c r="AH24" s="781">
        <f t="shared" si="8"/>
        <v>0</v>
      </c>
      <c r="AI24" s="782">
        <f t="shared" si="9"/>
        <v>0</v>
      </c>
      <c r="AJ24" s="781">
        <f t="shared" si="10"/>
        <v>0</v>
      </c>
      <c r="AK24" s="781">
        <f t="shared" si="11"/>
        <v>0</v>
      </c>
      <c r="AL24" s="781">
        <f t="shared" si="12"/>
        <v>0</v>
      </c>
      <c r="AM24" s="781">
        <f t="shared" si="13"/>
        <v>0</v>
      </c>
      <c r="AN24" s="781">
        <f t="shared" si="14"/>
        <v>0</v>
      </c>
      <c r="AO24" s="781">
        <f t="shared" si="15"/>
        <v>0</v>
      </c>
      <c r="AP24" s="781">
        <f t="shared" si="16"/>
        <v>0</v>
      </c>
      <c r="AQ24" s="781">
        <f t="shared" si="17"/>
        <v>0</v>
      </c>
      <c r="AR24" s="781">
        <f t="shared" si="18"/>
        <v>0</v>
      </c>
      <c r="AS24" s="783">
        <f t="shared" si="19"/>
        <v>0</v>
      </c>
    </row>
    <row r="25" spans="1:45" ht="15" x14ac:dyDescent="0.25">
      <c r="A25" s="784"/>
      <c r="B25" s="719">
        <f t="shared" si="22"/>
        <v>16</v>
      </c>
      <c r="C25" s="170" t="str">
        <f t="shared" si="0"/>
        <v/>
      </c>
      <c r="D25" s="557"/>
      <c r="E25" s="170"/>
      <c r="F25" s="170"/>
      <c r="G25" s="2007"/>
      <c r="H25" s="1926"/>
      <c r="I25" s="2008"/>
      <c r="J25" s="1926"/>
      <c r="K25" s="1926"/>
      <c r="L25" s="170"/>
      <c r="M25" s="2009">
        <v>0</v>
      </c>
      <c r="N25" s="2010">
        <v>1</v>
      </c>
      <c r="O25" s="773">
        <f t="shared" si="1"/>
        <v>0</v>
      </c>
      <c r="P25" s="2008" t="s">
        <v>39</v>
      </c>
      <c r="Q25" s="2008" t="s">
        <v>39</v>
      </c>
      <c r="R25" s="2011" t="s">
        <v>74</v>
      </c>
      <c r="S25" s="775">
        <f>SUMIF('Data Input sheet'!$B$118:$B$180,R25,'Data Input sheet'!$D$118:$D$180)</f>
        <v>152</v>
      </c>
      <c r="T25" s="2012">
        <f t="shared" si="23"/>
        <v>0</v>
      </c>
      <c r="U25" s="2013">
        <v>0</v>
      </c>
      <c r="V25" s="778">
        <f t="shared" si="20"/>
        <v>0</v>
      </c>
      <c r="W25" s="2010"/>
      <c r="X25" s="779"/>
      <c r="Y25" s="2012">
        <v>0</v>
      </c>
      <c r="Z25" s="780">
        <f t="shared" si="3"/>
        <v>0</v>
      </c>
      <c r="AA25" s="2007"/>
      <c r="AB25" s="2007"/>
      <c r="AC25" s="765"/>
      <c r="AD25" s="781">
        <f t="shared" si="4"/>
        <v>0</v>
      </c>
      <c r="AE25" s="781">
        <f t="shared" si="5"/>
        <v>0</v>
      </c>
      <c r="AF25" s="781">
        <f t="shared" si="6"/>
        <v>0</v>
      </c>
      <c r="AG25" s="781">
        <f t="shared" si="7"/>
        <v>0</v>
      </c>
      <c r="AH25" s="781">
        <f t="shared" si="8"/>
        <v>0</v>
      </c>
      <c r="AI25" s="782">
        <f t="shared" si="9"/>
        <v>0</v>
      </c>
      <c r="AJ25" s="781">
        <f t="shared" si="10"/>
        <v>0</v>
      </c>
      <c r="AK25" s="781">
        <f t="shared" si="11"/>
        <v>0</v>
      </c>
      <c r="AL25" s="781">
        <f t="shared" si="12"/>
        <v>0</v>
      </c>
      <c r="AM25" s="781">
        <f t="shared" si="13"/>
        <v>0</v>
      </c>
      <c r="AN25" s="781">
        <f t="shared" si="14"/>
        <v>0</v>
      </c>
      <c r="AO25" s="781">
        <f t="shared" si="15"/>
        <v>0</v>
      </c>
      <c r="AP25" s="781">
        <f t="shared" si="16"/>
        <v>0</v>
      </c>
      <c r="AQ25" s="781">
        <f t="shared" si="17"/>
        <v>0</v>
      </c>
      <c r="AR25" s="781">
        <f t="shared" si="18"/>
        <v>0</v>
      </c>
      <c r="AS25" s="783">
        <f t="shared" si="19"/>
        <v>0</v>
      </c>
    </row>
    <row r="26" spans="1:45" ht="15" x14ac:dyDescent="0.25">
      <c r="A26" s="784"/>
      <c r="B26" s="719">
        <f t="shared" si="22"/>
        <v>17</v>
      </c>
      <c r="C26" s="170" t="str">
        <f t="shared" si="0"/>
        <v/>
      </c>
      <c r="D26" s="557"/>
      <c r="E26" s="170"/>
      <c r="F26" s="170"/>
      <c r="G26" s="2007"/>
      <c r="H26" s="1926"/>
      <c r="I26" s="2008"/>
      <c r="J26" s="1926"/>
      <c r="K26" s="1926"/>
      <c r="L26" s="170"/>
      <c r="M26" s="2009">
        <v>0</v>
      </c>
      <c r="N26" s="2010">
        <v>1</v>
      </c>
      <c r="O26" s="773">
        <f t="shared" si="1"/>
        <v>0</v>
      </c>
      <c r="P26" s="2008" t="s">
        <v>39</v>
      </c>
      <c r="Q26" s="2008" t="s">
        <v>39</v>
      </c>
      <c r="R26" s="2011" t="s">
        <v>74</v>
      </c>
      <c r="S26" s="775">
        <f>SUMIF('Data Input sheet'!$B$118:$B$180,R26,'Data Input sheet'!$D$118:$D$180)</f>
        <v>152</v>
      </c>
      <c r="T26" s="2012">
        <f t="shared" si="23"/>
        <v>0</v>
      </c>
      <c r="U26" s="2013">
        <v>0</v>
      </c>
      <c r="V26" s="778">
        <f t="shared" si="20"/>
        <v>0</v>
      </c>
      <c r="W26" s="2010"/>
      <c r="X26" s="779"/>
      <c r="Y26" s="2012">
        <v>0</v>
      </c>
      <c r="Z26" s="780">
        <f t="shared" si="3"/>
        <v>0</v>
      </c>
      <c r="AA26" s="2007"/>
      <c r="AB26" s="2007"/>
      <c r="AC26" s="765"/>
      <c r="AD26" s="781">
        <f t="shared" si="4"/>
        <v>0</v>
      </c>
      <c r="AE26" s="781">
        <f t="shared" si="5"/>
        <v>0</v>
      </c>
      <c r="AF26" s="781">
        <f t="shared" si="6"/>
        <v>0</v>
      </c>
      <c r="AG26" s="781">
        <f t="shared" si="7"/>
        <v>0</v>
      </c>
      <c r="AH26" s="781">
        <f t="shared" si="8"/>
        <v>0</v>
      </c>
      <c r="AI26" s="782">
        <f t="shared" si="9"/>
        <v>0</v>
      </c>
      <c r="AJ26" s="781">
        <f t="shared" si="10"/>
        <v>0</v>
      </c>
      <c r="AK26" s="781">
        <f t="shared" si="11"/>
        <v>0</v>
      </c>
      <c r="AL26" s="781">
        <f t="shared" si="12"/>
        <v>0</v>
      </c>
      <c r="AM26" s="781">
        <f t="shared" si="13"/>
        <v>0</v>
      </c>
      <c r="AN26" s="781">
        <f t="shared" si="14"/>
        <v>0</v>
      </c>
      <c r="AO26" s="781">
        <f t="shared" si="15"/>
        <v>0</v>
      </c>
      <c r="AP26" s="781">
        <f t="shared" si="16"/>
        <v>0</v>
      </c>
      <c r="AQ26" s="781">
        <f t="shared" si="17"/>
        <v>0</v>
      </c>
      <c r="AR26" s="781">
        <f t="shared" si="18"/>
        <v>0</v>
      </c>
      <c r="AS26" s="783">
        <f t="shared" si="19"/>
        <v>0</v>
      </c>
    </row>
    <row r="27" spans="1:45" ht="15" x14ac:dyDescent="0.25">
      <c r="A27" s="784"/>
      <c r="B27" s="719">
        <f t="shared" si="22"/>
        <v>18</v>
      </c>
      <c r="C27" s="170" t="str">
        <f t="shared" si="0"/>
        <v>11LF</v>
      </c>
      <c r="D27" s="557"/>
      <c r="E27" s="170"/>
      <c r="F27" s="170">
        <v>11</v>
      </c>
      <c r="G27" s="2007" t="s">
        <v>753</v>
      </c>
      <c r="H27" s="1926">
        <v>0</v>
      </c>
      <c r="I27" s="2008" t="s">
        <v>728</v>
      </c>
      <c r="J27" s="1926"/>
      <c r="K27" s="1926"/>
      <c r="L27" s="170"/>
      <c r="M27" s="2009">
        <v>0.26315789473684209</v>
      </c>
      <c r="N27" s="2010">
        <v>1</v>
      </c>
      <c r="O27" s="773">
        <f t="shared" si="1"/>
        <v>0.26315789473684209</v>
      </c>
      <c r="P27" s="2008" t="s">
        <v>604</v>
      </c>
      <c r="Q27" s="2008" t="s">
        <v>604</v>
      </c>
      <c r="R27" s="2011" t="s">
        <v>77</v>
      </c>
      <c r="S27" s="775">
        <f>SUMIF('Data Input sheet'!$B$118:$B$180,R27,'Data Input sheet'!$D$118:$D$180)</f>
        <v>0</v>
      </c>
      <c r="T27" s="2012">
        <f t="shared" si="23"/>
        <v>0</v>
      </c>
      <c r="U27" s="2013">
        <v>53</v>
      </c>
      <c r="V27" s="778">
        <f t="shared" si="20"/>
        <v>14</v>
      </c>
      <c r="W27" s="2010">
        <v>44.67549457612801</v>
      </c>
      <c r="X27" s="779"/>
      <c r="Y27" s="2012">
        <v>2.08</v>
      </c>
      <c r="Z27" s="780">
        <f t="shared" si="3"/>
        <v>60.755494576128008</v>
      </c>
      <c r="AA27" s="2007" t="s">
        <v>754</v>
      </c>
      <c r="AB27" s="2007" t="s">
        <v>755</v>
      </c>
      <c r="AC27" s="765"/>
      <c r="AD27" s="781">
        <f t="shared" si="4"/>
        <v>0</v>
      </c>
      <c r="AE27" s="781">
        <f t="shared" si="5"/>
        <v>0</v>
      </c>
      <c r="AF27" s="781">
        <f t="shared" si="6"/>
        <v>0</v>
      </c>
      <c r="AG27" s="781">
        <f t="shared" si="7"/>
        <v>0</v>
      </c>
      <c r="AH27" s="781">
        <f t="shared" si="8"/>
        <v>0</v>
      </c>
      <c r="AI27" s="782">
        <f t="shared" si="9"/>
        <v>0</v>
      </c>
      <c r="AJ27" s="781">
        <f t="shared" si="10"/>
        <v>0</v>
      </c>
      <c r="AK27" s="781">
        <f t="shared" si="11"/>
        <v>0</v>
      </c>
      <c r="AL27" s="781">
        <f t="shared" si="12"/>
        <v>0</v>
      </c>
      <c r="AM27" s="781">
        <f t="shared" si="13"/>
        <v>0</v>
      </c>
      <c r="AN27" s="781">
        <f t="shared" si="14"/>
        <v>0</v>
      </c>
      <c r="AO27" s="781">
        <f t="shared" si="15"/>
        <v>0</v>
      </c>
      <c r="AP27" s="781">
        <f t="shared" si="16"/>
        <v>0</v>
      </c>
      <c r="AQ27" s="781">
        <f t="shared" si="17"/>
        <v>0</v>
      </c>
      <c r="AR27" s="781">
        <f t="shared" si="18"/>
        <v>0</v>
      </c>
      <c r="AS27" s="783">
        <f t="shared" si="19"/>
        <v>0</v>
      </c>
    </row>
    <row r="28" spans="1:45" ht="25.5" x14ac:dyDescent="0.25">
      <c r="A28" s="784"/>
      <c r="B28" s="719">
        <f t="shared" si="22"/>
        <v>19</v>
      </c>
      <c r="C28" s="170" t="str">
        <f t="shared" si="0"/>
        <v>11LF</v>
      </c>
      <c r="D28" s="557"/>
      <c r="E28" s="170"/>
      <c r="F28" s="170">
        <v>11</v>
      </c>
      <c r="G28" s="2007" t="s">
        <v>756</v>
      </c>
      <c r="H28" s="1926">
        <v>0</v>
      </c>
      <c r="I28" s="2008" t="s">
        <v>728</v>
      </c>
      <c r="J28" s="1926"/>
      <c r="K28" s="1926"/>
      <c r="L28" s="170"/>
      <c r="M28" s="2009">
        <v>0.35789473684210527</v>
      </c>
      <c r="N28" s="2010">
        <v>1</v>
      </c>
      <c r="O28" s="773">
        <f t="shared" si="1"/>
        <v>0.35789473684210527</v>
      </c>
      <c r="P28" s="2008" t="s">
        <v>39</v>
      </c>
      <c r="Q28" s="2008" t="s">
        <v>39</v>
      </c>
      <c r="R28" s="2011" t="s">
        <v>74</v>
      </c>
      <c r="S28" s="775">
        <f>SUMIF('Data Input sheet'!$B$118:$B$180,R28,'Data Input sheet'!$D$118:$D$180)</f>
        <v>152</v>
      </c>
      <c r="T28" s="2012">
        <f t="shared" si="23"/>
        <v>54.4</v>
      </c>
      <c r="U28" s="2013">
        <v>140</v>
      </c>
      <c r="V28" s="778">
        <f t="shared" si="20"/>
        <v>50</v>
      </c>
      <c r="W28" s="2010">
        <v>44.67549457612801</v>
      </c>
      <c r="X28" s="779"/>
      <c r="Y28" s="2012">
        <v>3.12</v>
      </c>
      <c r="Z28" s="780">
        <f t="shared" si="3"/>
        <v>152.19549457612803</v>
      </c>
      <c r="AA28" s="2007" t="s">
        <v>754</v>
      </c>
      <c r="AB28" s="2007" t="s">
        <v>757</v>
      </c>
      <c r="AC28" s="765"/>
      <c r="AD28" s="781">
        <f t="shared" si="4"/>
        <v>0</v>
      </c>
      <c r="AE28" s="781">
        <f t="shared" si="5"/>
        <v>0</v>
      </c>
      <c r="AF28" s="781">
        <f t="shared" si="6"/>
        <v>0</v>
      </c>
      <c r="AG28" s="781">
        <f t="shared" si="7"/>
        <v>0</v>
      </c>
      <c r="AH28" s="781">
        <f t="shared" si="8"/>
        <v>0</v>
      </c>
      <c r="AI28" s="782">
        <f t="shared" si="9"/>
        <v>0</v>
      </c>
      <c r="AJ28" s="781">
        <f t="shared" si="10"/>
        <v>0</v>
      </c>
      <c r="AK28" s="781">
        <f t="shared" si="11"/>
        <v>0</v>
      </c>
      <c r="AL28" s="781">
        <f t="shared" si="12"/>
        <v>0</v>
      </c>
      <c r="AM28" s="781">
        <f t="shared" si="13"/>
        <v>0</v>
      </c>
      <c r="AN28" s="781">
        <f t="shared" si="14"/>
        <v>0</v>
      </c>
      <c r="AO28" s="781">
        <f t="shared" si="15"/>
        <v>0</v>
      </c>
      <c r="AP28" s="781">
        <f t="shared" si="16"/>
        <v>0</v>
      </c>
      <c r="AQ28" s="781">
        <f t="shared" si="17"/>
        <v>0</v>
      </c>
      <c r="AR28" s="781">
        <f t="shared" si="18"/>
        <v>0</v>
      </c>
      <c r="AS28" s="783">
        <f t="shared" si="19"/>
        <v>0</v>
      </c>
    </row>
    <row r="29" spans="1:45" ht="15" x14ac:dyDescent="0.25">
      <c r="A29" s="784"/>
      <c r="B29" s="719">
        <f t="shared" si="22"/>
        <v>20</v>
      </c>
      <c r="C29" s="170" t="str">
        <f t="shared" si="0"/>
        <v>20LF</v>
      </c>
      <c r="D29" s="557"/>
      <c r="E29" s="170"/>
      <c r="F29" s="170">
        <v>20</v>
      </c>
      <c r="G29" s="2007" t="s">
        <v>758</v>
      </c>
      <c r="H29" s="1926"/>
      <c r="I29" s="2008" t="s">
        <v>728</v>
      </c>
      <c r="J29" s="1926"/>
      <c r="K29" s="1926"/>
      <c r="L29" s="170"/>
      <c r="M29" s="2009">
        <v>0.63157894736842102</v>
      </c>
      <c r="N29" s="2010">
        <v>1</v>
      </c>
      <c r="O29" s="773">
        <f t="shared" si="1"/>
        <v>0.63157894736842102</v>
      </c>
      <c r="P29" s="2008" t="s">
        <v>39</v>
      </c>
      <c r="Q29" s="2008" t="s">
        <v>39</v>
      </c>
      <c r="R29" s="2011" t="s">
        <v>74</v>
      </c>
      <c r="S29" s="775">
        <f>SUMIF('Data Input sheet'!$B$118:$B$180,R29,'Data Input sheet'!$D$118:$D$180)</f>
        <v>152</v>
      </c>
      <c r="T29" s="2012">
        <f t="shared" si="23"/>
        <v>96</v>
      </c>
      <c r="U29" s="2013">
        <v>139</v>
      </c>
      <c r="V29" s="778">
        <f t="shared" si="20"/>
        <v>88</v>
      </c>
      <c r="W29" s="2010">
        <v>44.67549457612801</v>
      </c>
      <c r="X29" s="779"/>
      <c r="Y29" s="2012">
        <v>3.12</v>
      </c>
      <c r="Z29" s="780">
        <f t="shared" si="3"/>
        <v>231.79549457612802</v>
      </c>
      <c r="AA29" s="2007" t="s">
        <v>754</v>
      </c>
      <c r="AB29" s="2007" t="s">
        <v>757</v>
      </c>
      <c r="AC29" s="765"/>
      <c r="AD29" s="781">
        <f t="shared" si="4"/>
        <v>0</v>
      </c>
      <c r="AE29" s="781">
        <f t="shared" si="5"/>
        <v>0</v>
      </c>
      <c r="AF29" s="781">
        <f t="shared" si="6"/>
        <v>0</v>
      </c>
      <c r="AG29" s="781">
        <f t="shared" si="7"/>
        <v>0</v>
      </c>
      <c r="AH29" s="781">
        <f t="shared" si="8"/>
        <v>0</v>
      </c>
      <c r="AI29" s="782">
        <f t="shared" si="9"/>
        <v>0</v>
      </c>
      <c r="AJ29" s="781">
        <f t="shared" si="10"/>
        <v>0</v>
      </c>
      <c r="AK29" s="781">
        <f t="shared" si="11"/>
        <v>0</v>
      </c>
      <c r="AL29" s="781">
        <f t="shared" si="12"/>
        <v>0</v>
      </c>
      <c r="AM29" s="781">
        <f t="shared" si="13"/>
        <v>0</v>
      </c>
      <c r="AN29" s="781">
        <f t="shared" si="14"/>
        <v>0</v>
      </c>
      <c r="AO29" s="781">
        <f t="shared" si="15"/>
        <v>0</v>
      </c>
      <c r="AP29" s="781">
        <f t="shared" si="16"/>
        <v>0</v>
      </c>
      <c r="AQ29" s="781">
        <f t="shared" si="17"/>
        <v>0</v>
      </c>
      <c r="AR29" s="781">
        <f t="shared" si="18"/>
        <v>0</v>
      </c>
      <c r="AS29" s="783">
        <f t="shared" si="19"/>
        <v>0</v>
      </c>
    </row>
    <row r="30" spans="1:45" ht="15" x14ac:dyDescent="0.25">
      <c r="A30" s="784"/>
      <c r="B30" s="719">
        <f t="shared" si="22"/>
        <v>21</v>
      </c>
      <c r="C30" s="170" t="str">
        <f t="shared" si="0"/>
        <v>12CY</v>
      </c>
      <c r="D30" s="557"/>
      <c r="E30" s="170"/>
      <c r="F30" s="170">
        <v>12</v>
      </c>
      <c r="G30" s="2007" t="s">
        <v>759</v>
      </c>
      <c r="H30" s="1926"/>
      <c r="I30" s="2008" t="s">
        <v>671</v>
      </c>
      <c r="J30" s="1926"/>
      <c r="K30" s="1926"/>
      <c r="L30" s="170"/>
      <c r="M30" s="2009">
        <v>30</v>
      </c>
      <c r="N30" s="2010">
        <v>1</v>
      </c>
      <c r="O30" s="773">
        <f t="shared" si="1"/>
        <v>30</v>
      </c>
      <c r="P30" s="2008" t="s">
        <v>39</v>
      </c>
      <c r="Q30" s="2008" t="s">
        <v>39</v>
      </c>
      <c r="R30" s="2011" t="s">
        <v>74</v>
      </c>
      <c r="S30" s="775">
        <f>SUMIF('Data Input sheet'!$B$118:$B$180,R30,'Data Input sheet'!$D$118:$D$180)</f>
        <v>152</v>
      </c>
      <c r="T30" s="2012">
        <f t="shared" si="23"/>
        <v>4560</v>
      </c>
      <c r="U30" s="2013">
        <v>70</v>
      </c>
      <c r="V30" s="778">
        <f t="shared" si="20"/>
        <v>2100</v>
      </c>
      <c r="W30" s="2010">
        <v>2.3865114624000001</v>
      </c>
      <c r="X30" s="779"/>
      <c r="Y30" s="2012">
        <v>0</v>
      </c>
      <c r="Z30" s="780">
        <f t="shared" si="3"/>
        <v>6662.3865114624004</v>
      </c>
      <c r="AA30" s="2007"/>
      <c r="AB30" s="2007" t="s">
        <v>760</v>
      </c>
      <c r="AC30" s="765"/>
      <c r="AD30" s="781">
        <f t="shared" si="4"/>
        <v>0</v>
      </c>
      <c r="AE30" s="781">
        <f t="shared" si="5"/>
        <v>0</v>
      </c>
      <c r="AF30" s="781">
        <f t="shared" si="6"/>
        <v>0</v>
      </c>
      <c r="AG30" s="781">
        <f t="shared" si="7"/>
        <v>0</v>
      </c>
      <c r="AH30" s="781">
        <f t="shared" si="8"/>
        <v>0</v>
      </c>
      <c r="AI30" s="782">
        <f t="shared" si="9"/>
        <v>0</v>
      </c>
      <c r="AJ30" s="781">
        <f t="shared" si="10"/>
        <v>0</v>
      </c>
      <c r="AK30" s="781">
        <f t="shared" si="11"/>
        <v>0</v>
      </c>
      <c r="AL30" s="781">
        <f t="shared" si="12"/>
        <v>0</v>
      </c>
      <c r="AM30" s="781">
        <f t="shared" si="13"/>
        <v>0</v>
      </c>
      <c r="AN30" s="781">
        <f t="shared" si="14"/>
        <v>0</v>
      </c>
      <c r="AO30" s="781">
        <f t="shared" si="15"/>
        <v>0</v>
      </c>
      <c r="AP30" s="781">
        <f t="shared" si="16"/>
        <v>0</v>
      </c>
      <c r="AQ30" s="781">
        <f t="shared" si="17"/>
        <v>0</v>
      </c>
      <c r="AR30" s="781">
        <f t="shared" si="18"/>
        <v>0</v>
      </c>
      <c r="AS30" s="783">
        <f t="shared" si="19"/>
        <v>0</v>
      </c>
    </row>
    <row r="31" spans="1:45" ht="25.5" x14ac:dyDescent="0.25">
      <c r="A31" s="784"/>
      <c r="B31" s="719">
        <f t="shared" si="22"/>
        <v>22</v>
      </c>
      <c r="C31" s="170" t="str">
        <f t="shared" si="0"/>
        <v>19LF</v>
      </c>
      <c r="D31" s="557"/>
      <c r="E31" s="170"/>
      <c r="F31" s="170">
        <v>19</v>
      </c>
      <c r="G31" s="2007" t="s">
        <v>803</v>
      </c>
      <c r="H31" s="1926"/>
      <c r="I31" s="2008" t="s">
        <v>728</v>
      </c>
      <c r="J31" s="1926"/>
      <c r="K31" s="1926"/>
      <c r="L31" s="170"/>
      <c r="M31" s="2009"/>
      <c r="N31" s="2010">
        <v>1</v>
      </c>
      <c r="O31" s="773">
        <f t="shared" si="1"/>
        <v>0</v>
      </c>
      <c r="P31" s="2008" t="s">
        <v>39</v>
      </c>
      <c r="Q31" s="2008" t="s">
        <v>39</v>
      </c>
      <c r="R31" s="2011" t="s">
        <v>74</v>
      </c>
      <c r="S31" s="775">
        <f>SUMIF('Data Input sheet'!$B$118:$B$180,R31,'Data Input sheet'!$D$118:$D$180)</f>
        <v>152</v>
      </c>
      <c r="T31" s="2012">
        <f t="shared" si="23"/>
        <v>0</v>
      </c>
      <c r="U31" s="2013">
        <v>0</v>
      </c>
      <c r="V31" s="778">
        <f t="shared" si="20"/>
        <v>0</v>
      </c>
      <c r="W31" s="2010"/>
      <c r="X31" s="779"/>
      <c r="Y31" s="2012">
        <v>4500</v>
      </c>
      <c r="Z31" s="780">
        <f t="shared" si="3"/>
        <v>4500</v>
      </c>
      <c r="AA31" s="2007"/>
      <c r="AB31" s="2007"/>
      <c r="AC31" s="765"/>
      <c r="AD31" s="781">
        <f t="shared" si="4"/>
        <v>0</v>
      </c>
      <c r="AE31" s="781">
        <f t="shared" si="5"/>
        <v>0</v>
      </c>
      <c r="AF31" s="781">
        <f t="shared" si="6"/>
        <v>0</v>
      </c>
      <c r="AG31" s="781">
        <f t="shared" si="7"/>
        <v>0</v>
      </c>
      <c r="AH31" s="781">
        <f t="shared" si="8"/>
        <v>0</v>
      </c>
      <c r="AI31" s="782">
        <f t="shared" si="9"/>
        <v>0</v>
      </c>
      <c r="AJ31" s="781">
        <f t="shared" si="10"/>
        <v>0</v>
      </c>
      <c r="AK31" s="781">
        <f t="shared" si="11"/>
        <v>0</v>
      </c>
      <c r="AL31" s="781">
        <f t="shared" si="12"/>
        <v>0</v>
      </c>
      <c r="AM31" s="781">
        <f t="shared" si="13"/>
        <v>0</v>
      </c>
      <c r="AN31" s="781">
        <f t="shared" si="14"/>
        <v>0</v>
      </c>
      <c r="AO31" s="781">
        <f t="shared" si="15"/>
        <v>0</v>
      </c>
      <c r="AP31" s="781">
        <f t="shared" si="16"/>
        <v>0</v>
      </c>
      <c r="AQ31" s="781">
        <f t="shared" si="17"/>
        <v>0</v>
      </c>
      <c r="AR31" s="781">
        <f t="shared" si="18"/>
        <v>0</v>
      </c>
      <c r="AS31" s="783">
        <f t="shared" si="19"/>
        <v>0</v>
      </c>
    </row>
    <row r="32" spans="1:45" ht="15" x14ac:dyDescent="0.25">
      <c r="A32" s="784"/>
      <c r="B32" s="719">
        <f t="shared" si="22"/>
        <v>23</v>
      </c>
      <c r="C32" s="170" t="str">
        <f t="shared" si="0"/>
        <v>19LF</v>
      </c>
      <c r="D32" s="557"/>
      <c r="E32" s="170"/>
      <c r="F32" s="170">
        <v>19</v>
      </c>
      <c r="G32" s="2007" t="s">
        <v>762</v>
      </c>
      <c r="H32" s="1926"/>
      <c r="I32" s="2008" t="s">
        <v>728</v>
      </c>
      <c r="J32" s="1926"/>
      <c r="K32" s="1926"/>
      <c r="L32" s="170"/>
      <c r="M32" s="2009"/>
      <c r="N32" s="2010">
        <v>1</v>
      </c>
      <c r="O32" s="773">
        <f t="shared" si="1"/>
        <v>0</v>
      </c>
      <c r="P32" s="2008" t="s">
        <v>39</v>
      </c>
      <c r="Q32" s="2008" t="s">
        <v>39</v>
      </c>
      <c r="R32" s="2011" t="s">
        <v>74</v>
      </c>
      <c r="S32" s="775">
        <f>SUMIF('Data Input sheet'!$B$118:$B$180,R32,'Data Input sheet'!$D$118:$D$180)</f>
        <v>152</v>
      </c>
      <c r="T32" s="2012">
        <f t="shared" si="23"/>
        <v>0</v>
      </c>
      <c r="U32" s="2013">
        <v>0</v>
      </c>
      <c r="V32" s="778">
        <f t="shared" si="20"/>
        <v>0</v>
      </c>
      <c r="W32" s="2010"/>
      <c r="X32" s="779"/>
      <c r="Y32" s="2012">
        <v>3000</v>
      </c>
      <c r="Z32" s="780">
        <f t="shared" si="3"/>
        <v>3000</v>
      </c>
      <c r="AA32" s="2007"/>
      <c r="AB32" s="2007"/>
      <c r="AC32" s="765"/>
      <c r="AD32" s="781">
        <f t="shared" si="4"/>
        <v>0</v>
      </c>
      <c r="AE32" s="781">
        <f t="shared" si="5"/>
        <v>0</v>
      </c>
      <c r="AF32" s="781">
        <f t="shared" si="6"/>
        <v>0</v>
      </c>
      <c r="AG32" s="781">
        <f t="shared" si="7"/>
        <v>0</v>
      </c>
      <c r="AH32" s="781">
        <f t="shared" si="8"/>
        <v>0</v>
      </c>
      <c r="AI32" s="782">
        <f t="shared" si="9"/>
        <v>0</v>
      </c>
      <c r="AJ32" s="781">
        <f t="shared" si="10"/>
        <v>0</v>
      </c>
      <c r="AK32" s="781">
        <f t="shared" si="11"/>
        <v>0</v>
      </c>
      <c r="AL32" s="781">
        <f t="shared" si="12"/>
        <v>0</v>
      </c>
      <c r="AM32" s="781">
        <f t="shared" si="13"/>
        <v>0</v>
      </c>
      <c r="AN32" s="781">
        <f t="shared" si="14"/>
        <v>0</v>
      </c>
      <c r="AO32" s="781">
        <f t="shared" si="15"/>
        <v>0</v>
      </c>
      <c r="AP32" s="781">
        <f t="shared" si="16"/>
        <v>0</v>
      </c>
      <c r="AQ32" s="781">
        <f t="shared" si="17"/>
        <v>0</v>
      </c>
      <c r="AR32" s="781">
        <f t="shared" si="18"/>
        <v>0</v>
      </c>
      <c r="AS32" s="783">
        <f t="shared" si="19"/>
        <v>0</v>
      </c>
    </row>
    <row r="33" spans="1:45" ht="15" x14ac:dyDescent="0.25">
      <c r="A33" s="784"/>
      <c r="B33" s="719">
        <f t="shared" si="22"/>
        <v>24</v>
      </c>
      <c r="C33" s="170" t="str">
        <f t="shared" si="0"/>
        <v>19LF</v>
      </c>
      <c r="D33" s="557"/>
      <c r="E33" s="170"/>
      <c r="F33" s="170">
        <v>19</v>
      </c>
      <c r="G33" s="2007" t="s">
        <v>763</v>
      </c>
      <c r="H33" s="1926"/>
      <c r="I33" s="2008" t="s">
        <v>728</v>
      </c>
      <c r="J33" s="1926"/>
      <c r="K33" s="1926"/>
      <c r="L33" s="170"/>
      <c r="M33" s="2009">
        <v>0.10526315789473684</v>
      </c>
      <c r="N33" s="2010">
        <v>1</v>
      </c>
      <c r="O33" s="773">
        <f t="shared" si="1"/>
        <v>0.10526315789473684</v>
      </c>
      <c r="P33" s="2008" t="s">
        <v>39</v>
      </c>
      <c r="Q33" s="2008" t="s">
        <v>39</v>
      </c>
      <c r="R33" s="2011" t="s">
        <v>74</v>
      </c>
      <c r="S33" s="775">
        <f>SUMIF('Data Input sheet'!$B$118:$B$180,R33,'Data Input sheet'!$D$118:$D$180)</f>
        <v>152</v>
      </c>
      <c r="T33" s="2012">
        <f t="shared" si="23"/>
        <v>16</v>
      </c>
      <c r="U33" s="2013">
        <v>0</v>
      </c>
      <c r="V33" s="778">
        <f t="shared" si="20"/>
        <v>0</v>
      </c>
      <c r="W33" s="2010">
        <v>74.459157626879986</v>
      </c>
      <c r="X33" s="779"/>
      <c r="Y33" s="2012">
        <v>0</v>
      </c>
      <c r="Z33" s="780">
        <f t="shared" si="3"/>
        <v>90.459157626879986</v>
      </c>
      <c r="AA33" s="2007" t="s">
        <v>764</v>
      </c>
      <c r="AB33" s="2007"/>
      <c r="AC33" s="765"/>
      <c r="AD33" s="781">
        <f t="shared" si="4"/>
        <v>0</v>
      </c>
      <c r="AE33" s="781">
        <f t="shared" si="5"/>
        <v>0</v>
      </c>
      <c r="AF33" s="781">
        <f t="shared" si="6"/>
        <v>0</v>
      </c>
      <c r="AG33" s="781">
        <f t="shared" si="7"/>
        <v>0</v>
      </c>
      <c r="AH33" s="781">
        <f t="shared" si="8"/>
        <v>0</v>
      </c>
      <c r="AI33" s="782">
        <f t="shared" si="9"/>
        <v>0</v>
      </c>
      <c r="AJ33" s="781">
        <f t="shared" si="10"/>
        <v>0</v>
      </c>
      <c r="AK33" s="781">
        <f t="shared" si="11"/>
        <v>0</v>
      </c>
      <c r="AL33" s="781">
        <f t="shared" si="12"/>
        <v>0</v>
      </c>
      <c r="AM33" s="781">
        <f t="shared" si="13"/>
        <v>0</v>
      </c>
      <c r="AN33" s="781">
        <f t="shared" si="14"/>
        <v>0</v>
      </c>
      <c r="AO33" s="781">
        <f t="shared" si="15"/>
        <v>0</v>
      </c>
      <c r="AP33" s="781">
        <f t="shared" si="16"/>
        <v>0</v>
      </c>
      <c r="AQ33" s="781">
        <f t="shared" si="17"/>
        <v>0</v>
      </c>
      <c r="AR33" s="781">
        <f t="shared" si="18"/>
        <v>0</v>
      </c>
      <c r="AS33" s="783">
        <f t="shared" si="19"/>
        <v>0</v>
      </c>
    </row>
    <row r="34" spans="1:45" ht="15" x14ac:dyDescent="0.25">
      <c r="A34" s="784"/>
      <c r="B34" s="719">
        <f t="shared" si="22"/>
        <v>25</v>
      </c>
      <c r="C34" s="170" t="str">
        <f t="shared" si="0"/>
        <v>2SY</v>
      </c>
      <c r="D34" s="557"/>
      <c r="E34" s="170"/>
      <c r="F34" s="170">
        <v>2</v>
      </c>
      <c r="G34" s="2007" t="s">
        <v>765</v>
      </c>
      <c r="H34" s="1926"/>
      <c r="I34" s="2008" t="s">
        <v>739</v>
      </c>
      <c r="J34" s="1926"/>
      <c r="K34" s="1926"/>
      <c r="L34" s="170"/>
      <c r="M34" s="2009">
        <v>3.4703157894736845E-2</v>
      </c>
      <c r="N34" s="2010">
        <v>1</v>
      </c>
      <c r="O34" s="773">
        <f t="shared" si="1"/>
        <v>3.4703157894736845E-2</v>
      </c>
      <c r="P34" s="2008" t="s">
        <v>39</v>
      </c>
      <c r="Q34" s="2008" t="s">
        <v>39</v>
      </c>
      <c r="R34" s="2011" t="s">
        <v>74</v>
      </c>
      <c r="S34" s="775">
        <f>SUMIF('Data Input sheet'!$B$118:$B$180,R34,'Data Input sheet'!$D$118:$D$180)</f>
        <v>152</v>
      </c>
      <c r="T34" s="2012">
        <f t="shared" si="23"/>
        <v>5.2748800000000005</v>
      </c>
      <c r="U34" s="2013">
        <v>202</v>
      </c>
      <c r="V34" s="778">
        <f t="shared" si="20"/>
        <v>7</v>
      </c>
      <c r="W34" s="2010">
        <v>11.347862003712001</v>
      </c>
      <c r="X34" s="779"/>
      <c r="Y34" s="2012">
        <v>0</v>
      </c>
      <c r="Z34" s="780">
        <f t="shared" si="3"/>
        <v>23.622742003711998</v>
      </c>
      <c r="AA34" s="2007" t="s">
        <v>766</v>
      </c>
      <c r="AB34" s="2007"/>
      <c r="AC34" s="765"/>
      <c r="AD34" s="781">
        <f t="shared" si="4"/>
        <v>0</v>
      </c>
      <c r="AE34" s="781">
        <f t="shared" si="5"/>
        <v>0</v>
      </c>
      <c r="AF34" s="781">
        <f t="shared" si="6"/>
        <v>0</v>
      </c>
      <c r="AG34" s="781">
        <f t="shared" si="7"/>
        <v>0</v>
      </c>
      <c r="AH34" s="781">
        <f t="shared" si="8"/>
        <v>0</v>
      </c>
      <c r="AI34" s="782">
        <f t="shared" si="9"/>
        <v>0</v>
      </c>
      <c r="AJ34" s="781">
        <f t="shared" si="10"/>
        <v>0</v>
      </c>
      <c r="AK34" s="781">
        <f t="shared" si="11"/>
        <v>0</v>
      </c>
      <c r="AL34" s="781">
        <f t="shared" si="12"/>
        <v>0</v>
      </c>
      <c r="AM34" s="781">
        <f t="shared" si="13"/>
        <v>0</v>
      </c>
      <c r="AN34" s="781">
        <f t="shared" si="14"/>
        <v>0</v>
      </c>
      <c r="AO34" s="781">
        <f t="shared" si="15"/>
        <v>0</v>
      </c>
      <c r="AP34" s="781">
        <f t="shared" si="16"/>
        <v>0</v>
      </c>
      <c r="AQ34" s="781">
        <f t="shared" si="17"/>
        <v>0</v>
      </c>
      <c r="AR34" s="781">
        <f t="shared" si="18"/>
        <v>0</v>
      </c>
      <c r="AS34" s="783">
        <f t="shared" si="19"/>
        <v>0</v>
      </c>
    </row>
    <row r="35" spans="1:45" ht="25.5" x14ac:dyDescent="0.25">
      <c r="A35" s="784"/>
      <c r="B35" s="719">
        <f t="shared" si="22"/>
        <v>26</v>
      </c>
      <c r="C35" s="170" t="str">
        <f t="shared" si="0"/>
        <v>21EA</v>
      </c>
      <c r="D35" s="557"/>
      <c r="E35" s="170"/>
      <c r="F35" s="170">
        <v>21</v>
      </c>
      <c r="G35" s="2007" t="s">
        <v>767</v>
      </c>
      <c r="H35" s="1926"/>
      <c r="I35" s="2008" t="s">
        <v>732</v>
      </c>
      <c r="J35" s="1926"/>
      <c r="K35" s="1926"/>
      <c r="L35" s="170"/>
      <c r="M35" s="2009">
        <v>201.73810526315788</v>
      </c>
      <c r="N35" s="2010">
        <v>1</v>
      </c>
      <c r="O35" s="773">
        <f t="shared" si="1"/>
        <v>201.73810526315788</v>
      </c>
      <c r="P35" s="2008" t="s">
        <v>39</v>
      </c>
      <c r="Q35" s="2008" t="s">
        <v>39</v>
      </c>
      <c r="R35" s="2011" t="s">
        <v>74</v>
      </c>
      <c r="S35" s="775">
        <f>SUMIF('Data Input sheet'!$B$118:$B$180,R35,'Data Input sheet'!$D$118:$D$180)</f>
        <v>152</v>
      </c>
      <c r="T35" s="2012">
        <f t="shared" si="23"/>
        <v>30664.191999999995</v>
      </c>
      <c r="U35" s="2013">
        <v>35</v>
      </c>
      <c r="V35" s="778">
        <f t="shared" si="20"/>
        <v>7061</v>
      </c>
      <c r="W35" s="2010">
        <v>5370</v>
      </c>
      <c r="X35" s="779"/>
      <c r="Y35" s="2012">
        <v>1040</v>
      </c>
      <c r="Z35" s="780">
        <f t="shared" si="3"/>
        <v>44135.191999999995</v>
      </c>
      <c r="AA35" s="2007" t="s">
        <v>804</v>
      </c>
      <c r="AB35" s="2007" t="s">
        <v>769</v>
      </c>
      <c r="AC35" s="765"/>
      <c r="AD35" s="781">
        <f t="shared" si="4"/>
        <v>0</v>
      </c>
      <c r="AE35" s="781">
        <f t="shared" si="5"/>
        <v>0</v>
      </c>
      <c r="AF35" s="781">
        <f t="shared" si="6"/>
        <v>0</v>
      </c>
      <c r="AG35" s="781">
        <f t="shared" si="7"/>
        <v>0</v>
      </c>
      <c r="AH35" s="781">
        <f t="shared" si="8"/>
        <v>0</v>
      </c>
      <c r="AI35" s="782">
        <f t="shared" si="9"/>
        <v>0</v>
      </c>
      <c r="AJ35" s="781">
        <f t="shared" si="10"/>
        <v>0</v>
      </c>
      <c r="AK35" s="781">
        <f t="shared" si="11"/>
        <v>0</v>
      </c>
      <c r="AL35" s="781">
        <f t="shared" si="12"/>
        <v>0</v>
      </c>
      <c r="AM35" s="781">
        <f t="shared" si="13"/>
        <v>0</v>
      </c>
      <c r="AN35" s="781">
        <f t="shared" si="14"/>
        <v>0</v>
      </c>
      <c r="AO35" s="781">
        <f t="shared" si="15"/>
        <v>0</v>
      </c>
      <c r="AP35" s="781">
        <f t="shared" si="16"/>
        <v>0</v>
      </c>
      <c r="AQ35" s="781">
        <f t="shared" si="17"/>
        <v>0</v>
      </c>
      <c r="AR35" s="781">
        <f t="shared" si="18"/>
        <v>0</v>
      </c>
      <c r="AS35" s="783">
        <f t="shared" si="19"/>
        <v>0</v>
      </c>
    </row>
    <row r="36" spans="1:45" ht="15" x14ac:dyDescent="0.25">
      <c r="A36" s="784"/>
      <c r="B36" s="719">
        <f t="shared" si="22"/>
        <v>27</v>
      </c>
      <c r="C36" s="170" t="str">
        <f t="shared" si="0"/>
        <v>12CY</v>
      </c>
      <c r="D36" s="557"/>
      <c r="E36" s="170"/>
      <c r="F36" s="170">
        <v>12</v>
      </c>
      <c r="G36" s="2007" t="s">
        <v>770</v>
      </c>
      <c r="H36" s="1926"/>
      <c r="I36" s="2008" t="s">
        <v>671</v>
      </c>
      <c r="J36" s="1926"/>
      <c r="K36" s="1926"/>
      <c r="L36" s="170"/>
      <c r="M36" s="2009">
        <v>30</v>
      </c>
      <c r="N36" s="2010">
        <v>1</v>
      </c>
      <c r="O36" s="773">
        <f t="shared" si="1"/>
        <v>30</v>
      </c>
      <c r="P36" s="2008" t="s">
        <v>39</v>
      </c>
      <c r="Q36" s="2008" t="s">
        <v>39</v>
      </c>
      <c r="R36" s="2011" t="s">
        <v>74</v>
      </c>
      <c r="S36" s="775">
        <f>SUMIF('Data Input sheet'!$B$118:$B$180,R36,'Data Input sheet'!$D$118:$D$180)</f>
        <v>152</v>
      </c>
      <c r="T36" s="2012">
        <f t="shared" si="23"/>
        <v>4560</v>
      </c>
      <c r="U36" s="2013">
        <v>70</v>
      </c>
      <c r="V36" s="778">
        <f t="shared" si="20"/>
        <v>2100</v>
      </c>
      <c r="W36" s="2010">
        <v>0</v>
      </c>
      <c r="X36" s="779"/>
      <c r="Y36" s="2012">
        <v>0</v>
      </c>
      <c r="Z36" s="780">
        <f t="shared" si="3"/>
        <v>6660</v>
      </c>
      <c r="AA36" s="2007" t="s">
        <v>805</v>
      </c>
      <c r="AB36" s="2007"/>
      <c r="AC36" s="765"/>
      <c r="AD36" s="781">
        <f t="shared" si="4"/>
        <v>0</v>
      </c>
      <c r="AE36" s="781">
        <f t="shared" si="5"/>
        <v>0</v>
      </c>
      <c r="AF36" s="781">
        <f t="shared" si="6"/>
        <v>0</v>
      </c>
      <c r="AG36" s="781">
        <f t="shared" si="7"/>
        <v>0</v>
      </c>
      <c r="AH36" s="781">
        <f t="shared" si="8"/>
        <v>0</v>
      </c>
      <c r="AI36" s="782">
        <f t="shared" si="9"/>
        <v>0</v>
      </c>
      <c r="AJ36" s="781">
        <f t="shared" si="10"/>
        <v>0</v>
      </c>
      <c r="AK36" s="781">
        <f t="shared" si="11"/>
        <v>0</v>
      </c>
      <c r="AL36" s="781">
        <f t="shared" si="12"/>
        <v>0</v>
      </c>
      <c r="AM36" s="781">
        <f t="shared" si="13"/>
        <v>0</v>
      </c>
      <c r="AN36" s="781">
        <f t="shared" si="14"/>
        <v>0</v>
      </c>
      <c r="AO36" s="781">
        <f t="shared" si="15"/>
        <v>0</v>
      </c>
      <c r="AP36" s="781">
        <f t="shared" si="16"/>
        <v>0</v>
      </c>
      <c r="AQ36" s="781">
        <f t="shared" si="17"/>
        <v>0</v>
      </c>
      <c r="AR36" s="781">
        <f t="shared" si="18"/>
        <v>0</v>
      </c>
      <c r="AS36" s="783">
        <f t="shared" si="19"/>
        <v>0</v>
      </c>
    </row>
    <row r="37" spans="1:45" ht="15" x14ac:dyDescent="0.25">
      <c r="A37" s="784"/>
      <c r="B37" s="719">
        <f t="shared" si="22"/>
        <v>28</v>
      </c>
      <c r="C37" s="170" t="str">
        <f t="shared" si="0"/>
        <v>21EA</v>
      </c>
      <c r="D37" s="557"/>
      <c r="E37" s="170"/>
      <c r="F37" s="170">
        <v>21</v>
      </c>
      <c r="G37" s="2007" t="s">
        <v>772</v>
      </c>
      <c r="H37" s="1926"/>
      <c r="I37" s="2008" t="s">
        <v>732</v>
      </c>
      <c r="J37" s="1926"/>
      <c r="K37" s="1926"/>
      <c r="L37" s="170"/>
      <c r="M37" s="2009">
        <v>10.947368421052632</v>
      </c>
      <c r="N37" s="2010">
        <v>1</v>
      </c>
      <c r="O37" s="773">
        <f t="shared" si="1"/>
        <v>10.947368421052632</v>
      </c>
      <c r="P37" s="2008" t="s">
        <v>39</v>
      </c>
      <c r="Q37" s="2008" t="s">
        <v>39</v>
      </c>
      <c r="R37" s="2011" t="s">
        <v>74</v>
      </c>
      <c r="S37" s="775">
        <f>SUMIF('Data Input sheet'!$B$118:$B$180,R37,'Data Input sheet'!$D$118:$D$180)</f>
        <v>152</v>
      </c>
      <c r="T37" s="2012">
        <f t="shared" si="23"/>
        <v>1664</v>
      </c>
      <c r="U37" s="2013">
        <v>35</v>
      </c>
      <c r="V37" s="778">
        <f t="shared" si="20"/>
        <v>383</v>
      </c>
      <c r="W37" s="2010">
        <v>2482</v>
      </c>
      <c r="X37" s="779"/>
      <c r="Y37" s="2012">
        <v>0</v>
      </c>
      <c r="Z37" s="780">
        <f t="shared" si="3"/>
        <v>4529</v>
      </c>
      <c r="AA37" s="2007"/>
      <c r="AB37" s="2007"/>
      <c r="AC37" s="765"/>
      <c r="AD37" s="781">
        <f t="shared" si="4"/>
        <v>0</v>
      </c>
      <c r="AE37" s="781">
        <f t="shared" si="5"/>
        <v>0</v>
      </c>
      <c r="AF37" s="781">
        <f t="shared" si="6"/>
        <v>0</v>
      </c>
      <c r="AG37" s="781">
        <f t="shared" si="7"/>
        <v>0</v>
      </c>
      <c r="AH37" s="781">
        <f t="shared" si="8"/>
        <v>0</v>
      </c>
      <c r="AI37" s="782">
        <f t="shared" si="9"/>
        <v>0</v>
      </c>
      <c r="AJ37" s="781">
        <f t="shared" si="10"/>
        <v>0</v>
      </c>
      <c r="AK37" s="781">
        <f t="shared" si="11"/>
        <v>0</v>
      </c>
      <c r="AL37" s="781">
        <f t="shared" si="12"/>
        <v>0</v>
      </c>
      <c r="AM37" s="781">
        <f t="shared" si="13"/>
        <v>0</v>
      </c>
      <c r="AN37" s="781">
        <f t="shared" si="14"/>
        <v>0</v>
      </c>
      <c r="AO37" s="781">
        <f t="shared" si="15"/>
        <v>0</v>
      </c>
      <c r="AP37" s="781">
        <f t="shared" si="16"/>
        <v>0</v>
      </c>
      <c r="AQ37" s="781">
        <f t="shared" si="17"/>
        <v>0</v>
      </c>
      <c r="AR37" s="781">
        <f t="shared" si="18"/>
        <v>0</v>
      </c>
      <c r="AS37" s="783">
        <f t="shared" si="19"/>
        <v>0</v>
      </c>
    </row>
    <row r="38" spans="1:45" ht="15" x14ac:dyDescent="0.25">
      <c r="A38" s="784"/>
      <c r="B38" s="719">
        <f t="shared" si="22"/>
        <v>29</v>
      </c>
      <c r="C38" s="170" t="str">
        <f t="shared" si="0"/>
        <v/>
      </c>
      <c r="D38" s="557"/>
      <c r="E38" s="170"/>
      <c r="F38" s="170"/>
      <c r="G38" s="2007"/>
      <c r="H38" s="1926"/>
      <c r="I38" s="2008"/>
      <c r="J38" s="1926"/>
      <c r="K38" s="1926"/>
      <c r="L38" s="170"/>
      <c r="M38" s="2009">
        <v>0</v>
      </c>
      <c r="N38" s="2010">
        <v>1</v>
      </c>
      <c r="O38" s="773">
        <f t="shared" si="1"/>
        <v>0</v>
      </c>
      <c r="P38" s="2008" t="s">
        <v>39</v>
      </c>
      <c r="Q38" s="2008" t="s">
        <v>39</v>
      </c>
      <c r="R38" s="2011" t="s">
        <v>73</v>
      </c>
      <c r="S38" s="775">
        <f>SUMIF('Data Input sheet'!$B$118:$B$180,R38,'Data Input sheet'!$D$118:$D$180)</f>
        <v>119</v>
      </c>
      <c r="T38" s="2012">
        <f t="shared" si="23"/>
        <v>0</v>
      </c>
      <c r="U38" s="2013">
        <v>0</v>
      </c>
      <c r="V38" s="778">
        <f t="shared" si="20"/>
        <v>0</v>
      </c>
      <c r="W38" s="2010"/>
      <c r="X38" s="779"/>
      <c r="Y38" s="2012">
        <v>0</v>
      </c>
      <c r="Z38" s="780">
        <f t="shared" si="3"/>
        <v>0</v>
      </c>
      <c r="AA38" s="2007"/>
      <c r="AB38" s="2007"/>
      <c r="AC38" s="765"/>
      <c r="AD38" s="781">
        <f t="shared" si="4"/>
        <v>0</v>
      </c>
      <c r="AE38" s="781">
        <f t="shared" si="5"/>
        <v>0</v>
      </c>
      <c r="AF38" s="781">
        <f t="shared" si="6"/>
        <v>0</v>
      </c>
      <c r="AG38" s="781">
        <f t="shared" si="7"/>
        <v>0</v>
      </c>
      <c r="AH38" s="781">
        <f t="shared" si="8"/>
        <v>0</v>
      </c>
      <c r="AI38" s="782">
        <f t="shared" si="9"/>
        <v>0</v>
      </c>
      <c r="AJ38" s="781">
        <f t="shared" si="10"/>
        <v>0</v>
      </c>
      <c r="AK38" s="781">
        <f t="shared" si="11"/>
        <v>0</v>
      </c>
      <c r="AL38" s="781">
        <f t="shared" si="12"/>
        <v>0</v>
      </c>
      <c r="AM38" s="781">
        <f t="shared" si="13"/>
        <v>0</v>
      </c>
      <c r="AN38" s="781">
        <f t="shared" si="14"/>
        <v>0</v>
      </c>
      <c r="AO38" s="781">
        <f t="shared" si="15"/>
        <v>0</v>
      </c>
      <c r="AP38" s="781">
        <f t="shared" si="16"/>
        <v>0</v>
      </c>
      <c r="AQ38" s="781">
        <f t="shared" si="17"/>
        <v>0</v>
      </c>
      <c r="AR38" s="781">
        <f t="shared" si="18"/>
        <v>0</v>
      </c>
      <c r="AS38" s="783">
        <f t="shared" si="19"/>
        <v>0</v>
      </c>
    </row>
    <row r="39" spans="1:45" ht="15" x14ac:dyDescent="0.25">
      <c r="A39" s="784"/>
      <c r="B39" s="719">
        <f t="shared" si="22"/>
        <v>30</v>
      </c>
      <c r="C39" s="170" t="str">
        <f t="shared" si="0"/>
        <v/>
      </c>
      <c r="D39" s="557"/>
      <c r="E39" s="170"/>
      <c r="F39" s="170"/>
      <c r="G39" s="2007"/>
      <c r="H39" s="1926"/>
      <c r="I39" s="2008"/>
      <c r="J39" s="1926"/>
      <c r="K39" s="1926"/>
      <c r="L39" s="170"/>
      <c r="M39" s="2009">
        <v>0</v>
      </c>
      <c r="N39" s="2010">
        <v>1</v>
      </c>
      <c r="O39" s="773">
        <f t="shared" si="1"/>
        <v>0</v>
      </c>
      <c r="P39" s="2008" t="s">
        <v>39</v>
      </c>
      <c r="Q39" s="2008" t="s">
        <v>39</v>
      </c>
      <c r="R39" s="2011" t="s">
        <v>73</v>
      </c>
      <c r="S39" s="775">
        <f>SUMIF('Data Input sheet'!$B$118:$B$180,R39,'Data Input sheet'!$D$118:$D$180)</f>
        <v>119</v>
      </c>
      <c r="T39" s="2012">
        <f t="shared" si="23"/>
        <v>0</v>
      </c>
      <c r="U39" s="2013">
        <v>0</v>
      </c>
      <c r="V39" s="778">
        <f t="shared" si="20"/>
        <v>0</v>
      </c>
      <c r="W39" s="2010"/>
      <c r="X39" s="779"/>
      <c r="Y39" s="2012">
        <v>0</v>
      </c>
      <c r="Z39" s="780">
        <f t="shared" si="3"/>
        <v>0</v>
      </c>
      <c r="AA39" s="2007"/>
      <c r="AB39" s="2007"/>
      <c r="AC39" s="765"/>
      <c r="AD39" s="781">
        <f t="shared" si="4"/>
        <v>0</v>
      </c>
      <c r="AE39" s="781">
        <f t="shared" si="5"/>
        <v>0</v>
      </c>
      <c r="AF39" s="781">
        <f t="shared" si="6"/>
        <v>0</v>
      </c>
      <c r="AG39" s="781">
        <f t="shared" si="7"/>
        <v>0</v>
      </c>
      <c r="AH39" s="781">
        <f t="shared" si="8"/>
        <v>0</v>
      </c>
      <c r="AI39" s="782">
        <f t="shared" si="9"/>
        <v>0</v>
      </c>
      <c r="AJ39" s="781">
        <f t="shared" si="10"/>
        <v>0</v>
      </c>
      <c r="AK39" s="781">
        <f t="shared" si="11"/>
        <v>0</v>
      </c>
      <c r="AL39" s="781">
        <f t="shared" si="12"/>
        <v>0</v>
      </c>
      <c r="AM39" s="781">
        <f t="shared" si="13"/>
        <v>0</v>
      </c>
      <c r="AN39" s="781">
        <f t="shared" si="14"/>
        <v>0</v>
      </c>
      <c r="AO39" s="781">
        <f t="shared" si="15"/>
        <v>0</v>
      </c>
      <c r="AP39" s="781">
        <f t="shared" si="16"/>
        <v>0</v>
      </c>
      <c r="AQ39" s="781">
        <f t="shared" si="17"/>
        <v>0</v>
      </c>
      <c r="AR39" s="781">
        <f t="shared" si="18"/>
        <v>0</v>
      </c>
      <c r="AS39" s="783">
        <f t="shared" si="19"/>
        <v>0</v>
      </c>
    </row>
    <row r="40" spans="1:45" ht="15" x14ac:dyDescent="0.25">
      <c r="A40" s="784"/>
      <c r="B40" s="719">
        <f t="shared" si="22"/>
        <v>31</v>
      </c>
      <c r="C40" s="170" t="str">
        <f t="shared" si="0"/>
        <v/>
      </c>
      <c r="D40" s="557"/>
      <c r="E40" s="170"/>
      <c r="F40" s="170"/>
      <c r="G40" s="2007"/>
      <c r="H40" s="1926"/>
      <c r="I40" s="2008"/>
      <c r="J40" s="1926"/>
      <c r="K40" s="1926"/>
      <c r="L40" s="170"/>
      <c r="M40" s="2009">
        <v>0</v>
      </c>
      <c r="N40" s="2010">
        <v>1</v>
      </c>
      <c r="O40" s="773">
        <f t="shared" si="1"/>
        <v>0</v>
      </c>
      <c r="P40" s="2008" t="s">
        <v>39</v>
      </c>
      <c r="Q40" s="2008" t="s">
        <v>39</v>
      </c>
      <c r="R40" s="2011" t="s">
        <v>73</v>
      </c>
      <c r="S40" s="775">
        <f>SUMIF('Data Input sheet'!$B$118:$B$180,R40,'Data Input sheet'!$D$118:$D$180)</f>
        <v>119</v>
      </c>
      <c r="T40" s="2012">
        <f t="shared" si="23"/>
        <v>0</v>
      </c>
      <c r="U40" s="2013">
        <v>0</v>
      </c>
      <c r="V40" s="778">
        <f t="shared" si="20"/>
        <v>0</v>
      </c>
      <c r="W40" s="2010"/>
      <c r="X40" s="779"/>
      <c r="Y40" s="2012">
        <v>0</v>
      </c>
      <c r="Z40" s="780">
        <f t="shared" si="3"/>
        <v>0</v>
      </c>
      <c r="AA40" s="2007"/>
      <c r="AB40" s="2007"/>
      <c r="AC40" s="765"/>
      <c r="AD40" s="781">
        <f t="shared" si="4"/>
        <v>0</v>
      </c>
      <c r="AE40" s="781">
        <f t="shared" si="5"/>
        <v>0</v>
      </c>
      <c r="AF40" s="781">
        <f t="shared" si="6"/>
        <v>0</v>
      </c>
      <c r="AG40" s="781">
        <f t="shared" si="7"/>
        <v>0</v>
      </c>
      <c r="AH40" s="781">
        <f t="shared" si="8"/>
        <v>0</v>
      </c>
      <c r="AI40" s="782">
        <f t="shared" si="9"/>
        <v>0</v>
      </c>
      <c r="AJ40" s="781">
        <f t="shared" si="10"/>
        <v>0</v>
      </c>
      <c r="AK40" s="781">
        <f t="shared" si="11"/>
        <v>0</v>
      </c>
      <c r="AL40" s="781">
        <f t="shared" si="12"/>
        <v>0</v>
      </c>
      <c r="AM40" s="781">
        <f t="shared" si="13"/>
        <v>0</v>
      </c>
      <c r="AN40" s="781">
        <f t="shared" si="14"/>
        <v>0</v>
      </c>
      <c r="AO40" s="781">
        <f t="shared" si="15"/>
        <v>0</v>
      </c>
      <c r="AP40" s="781">
        <f t="shared" si="16"/>
        <v>0</v>
      </c>
      <c r="AQ40" s="781">
        <f t="shared" si="17"/>
        <v>0</v>
      </c>
      <c r="AR40" s="781">
        <f t="shared" si="18"/>
        <v>0</v>
      </c>
      <c r="AS40" s="783">
        <f t="shared" si="19"/>
        <v>0</v>
      </c>
    </row>
    <row r="41" spans="1:45" ht="15" x14ac:dyDescent="0.25">
      <c r="A41" s="784"/>
      <c r="B41" s="719">
        <f t="shared" si="22"/>
        <v>32</v>
      </c>
      <c r="C41" s="170" t="str">
        <f t="shared" si="0"/>
        <v/>
      </c>
      <c r="D41" s="557"/>
      <c r="E41" s="170"/>
      <c r="F41" s="170"/>
      <c r="G41" s="2007"/>
      <c r="H41" s="1926"/>
      <c r="I41" s="2008"/>
      <c r="J41" s="1926"/>
      <c r="K41" s="1926"/>
      <c r="L41" s="170"/>
      <c r="M41" s="2009">
        <v>0</v>
      </c>
      <c r="N41" s="2010">
        <v>1</v>
      </c>
      <c r="O41" s="773">
        <f t="shared" si="1"/>
        <v>0</v>
      </c>
      <c r="P41" s="2008" t="s">
        <v>39</v>
      </c>
      <c r="Q41" s="2008" t="s">
        <v>39</v>
      </c>
      <c r="R41" s="2011" t="s">
        <v>73</v>
      </c>
      <c r="S41" s="775">
        <f>SUMIF('Data Input sheet'!$B$118:$B$180,R41,'Data Input sheet'!$D$118:$D$180)</f>
        <v>119</v>
      </c>
      <c r="T41" s="2012">
        <f t="shared" si="23"/>
        <v>0</v>
      </c>
      <c r="U41" s="2013">
        <v>0</v>
      </c>
      <c r="V41" s="778">
        <f t="shared" si="20"/>
        <v>0</v>
      </c>
      <c r="W41" s="2010"/>
      <c r="X41" s="779"/>
      <c r="Y41" s="2012">
        <v>0</v>
      </c>
      <c r="Z41" s="780">
        <f t="shared" si="3"/>
        <v>0</v>
      </c>
      <c r="AA41" s="2007"/>
      <c r="AB41" s="2007"/>
      <c r="AC41" s="765"/>
      <c r="AD41" s="781">
        <f t="shared" ref="AD41:AD75" si="24">IF(P41="E",+ROUND(H41*O41,0),0)</f>
        <v>0</v>
      </c>
      <c r="AE41" s="781">
        <f t="shared" si="5"/>
        <v>0</v>
      </c>
      <c r="AF41" s="781">
        <f t="shared" ref="AF41:AF75" si="25">+H41*O41</f>
        <v>0</v>
      </c>
      <c r="AG41" s="781">
        <f t="shared" ref="AG41:AG75" si="26">IF(P41="E",+ROUND(T41*H41,0),0)</f>
        <v>0</v>
      </c>
      <c r="AH41" s="781">
        <f t="shared" si="8"/>
        <v>0</v>
      </c>
      <c r="AI41" s="782">
        <f t="shared" ref="AI41:AI75" si="27">+H41*T41</f>
        <v>0</v>
      </c>
      <c r="AJ41" s="781">
        <f t="shared" ref="AJ41:AJ75" si="28">IF(P41="E",+ROUND(V41*H41,0),0)</f>
        <v>0</v>
      </c>
      <c r="AK41" s="781">
        <f t="shared" si="11"/>
        <v>0</v>
      </c>
      <c r="AL41" s="781">
        <f t="shared" ref="AL41:AL75" si="29">ROUND(V41*H41,0)</f>
        <v>0</v>
      </c>
      <c r="AM41" s="781">
        <f t="shared" ref="AM41:AM75" si="30">IF(Q41="E",+ROUND(W41*H41,0),0)</f>
        <v>0</v>
      </c>
      <c r="AN41" s="781">
        <f t="shared" si="14"/>
        <v>0</v>
      </c>
      <c r="AO41" s="781">
        <f t="shared" ref="AO41:AO75" si="31">ROUND(W41*H41,0)</f>
        <v>0</v>
      </c>
      <c r="AP41" s="781">
        <f t="shared" ref="AP41:AP75" si="32">IF(P41="E",+ROUND(Y41*H41,0),0)</f>
        <v>0</v>
      </c>
      <c r="AQ41" s="781">
        <f t="shared" si="17"/>
        <v>0</v>
      </c>
      <c r="AR41" s="781">
        <f t="shared" ref="AR41:AR75" si="33">ROUND(Y41*H41,0)</f>
        <v>0</v>
      </c>
      <c r="AS41" s="783">
        <f t="shared" si="19"/>
        <v>0</v>
      </c>
    </row>
    <row r="42" spans="1:45" ht="15" x14ac:dyDescent="0.25">
      <c r="A42" s="784"/>
      <c r="B42" s="719">
        <f t="shared" si="22"/>
        <v>33</v>
      </c>
      <c r="C42" s="170" t="str">
        <f t="shared" si="0"/>
        <v/>
      </c>
      <c r="D42" s="557"/>
      <c r="E42" s="170"/>
      <c r="F42" s="170"/>
      <c r="G42" s="2007"/>
      <c r="H42" s="1926"/>
      <c r="I42" s="2008"/>
      <c r="J42" s="1926"/>
      <c r="K42" s="1926"/>
      <c r="L42" s="170"/>
      <c r="M42" s="2009"/>
      <c r="N42" s="2010"/>
      <c r="O42" s="773"/>
      <c r="P42" s="2008"/>
      <c r="Q42" s="2008"/>
      <c r="R42" s="2011"/>
      <c r="S42" s="775"/>
      <c r="T42" s="2012"/>
      <c r="U42" s="2013">
        <v>0</v>
      </c>
      <c r="V42" s="778">
        <f t="shared" si="20"/>
        <v>0</v>
      </c>
      <c r="W42" s="2010"/>
      <c r="X42" s="779"/>
      <c r="Y42" s="2012"/>
      <c r="Z42" s="780"/>
      <c r="AA42" s="2007"/>
      <c r="AB42" s="2007"/>
      <c r="AC42" s="765"/>
      <c r="AD42" s="781">
        <f t="shared" si="24"/>
        <v>0</v>
      </c>
      <c r="AE42" s="781">
        <f t="shared" si="5"/>
        <v>0</v>
      </c>
      <c r="AF42" s="781">
        <f t="shared" si="25"/>
        <v>0</v>
      </c>
      <c r="AG42" s="781">
        <f t="shared" si="26"/>
        <v>0</v>
      </c>
      <c r="AH42" s="781">
        <f t="shared" si="8"/>
        <v>0</v>
      </c>
      <c r="AI42" s="782">
        <f t="shared" si="27"/>
        <v>0</v>
      </c>
      <c r="AJ42" s="781">
        <f t="shared" si="28"/>
        <v>0</v>
      </c>
      <c r="AK42" s="781">
        <f t="shared" si="11"/>
        <v>0</v>
      </c>
      <c r="AL42" s="781">
        <f t="shared" si="29"/>
        <v>0</v>
      </c>
      <c r="AM42" s="781">
        <f t="shared" si="30"/>
        <v>0</v>
      </c>
      <c r="AN42" s="781">
        <f t="shared" si="14"/>
        <v>0</v>
      </c>
      <c r="AO42" s="781">
        <f t="shared" si="31"/>
        <v>0</v>
      </c>
      <c r="AP42" s="781">
        <f t="shared" si="32"/>
        <v>0</v>
      </c>
      <c r="AQ42" s="781">
        <f t="shared" si="17"/>
        <v>0</v>
      </c>
      <c r="AR42" s="781">
        <f t="shared" si="33"/>
        <v>0</v>
      </c>
      <c r="AS42" s="783">
        <f t="shared" si="19"/>
        <v>0</v>
      </c>
    </row>
    <row r="43" spans="1:45" ht="15" x14ac:dyDescent="0.25">
      <c r="A43" s="784"/>
      <c r="B43" s="719">
        <f t="shared" si="22"/>
        <v>34</v>
      </c>
      <c r="C43" s="170" t="str">
        <f t="shared" si="0"/>
        <v/>
      </c>
      <c r="D43" s="557"/>
      <c r="E43" s="170"/>
      <c r="F43" s="170"/>
      <c r="G43" s="2007"/>
      <c r="H43" s="1926"/>
      <c r="I43" s="2008"/>
      <c r="J43" s="1926"/>
      <c r="K43" s="1926"/>
      <c r="L43" s="170"/>
      <c r="M43" s="2009"/>
      <c r="N43" s="2010"/>
      <c r="O43" s="773"/>
      <c r="P43" s="2008"/>
      <c r="Q43" s="2008"/>
      <c r="R43" s="2011"/>
      <c r="S43" s="775"/>
      <c r="T43" s="2012"/>
      <c r="U43" s="2013">
        <v>0</v>
      </c>
      <c r="V43" s="778">
        <f t="shared" si="20"/>
        <v>0</v>
      </c>
      <c r="W43" s="2010"/>
      <c r="X43" s="779"/>
      <c r="Y43" s="2012"/>
      <c r="Z43" s="780"/>
      <c r="AA43" s="2007"/>
      <c r="AB43" s="2007"/>
      <c r="AC43" s="765"/>
      <c r="AD43" s="781">
        <f t="shared" si="24"/>
        <v>0</v>
      </c>
      <c r="AE43" s="781">
        <f t="shared" si="5"/>
        <v>0</v>
      </c>
      <c r="AF43" s="781">
        <f t="shared" si="25"/>
        <v>0</v>
      </c>
      <c r="AG43" s="781">
        <f t="shared" si="26"/>
        <v>0</v>
      </c>
      <c r="AH43" s="781">
        <f t="shared" si="8"/>
        <v>0</v>
      </c>
      <c r="AI43" s="782">
        <f t="shared" si="27"/>
        <v>0</v>
      </c>
      <c r="AJ43" s="781">
        <f t="shared" si="28"/>
        <v>0</v>
      </c>
      <c r="AK43" s="781">
        <f t="shared" si="11"/>
        <v>0</v>
      </c>
      <c r="AL43" s="781">
        <f t="shared" si="29"/>
        <v>0</v>
      </c>
      <c r="AM43" s="781">
        <f t="shared" si="30"/>
        <v>0</v>
      </c>
      <c r="AN43" s="781">
        <f t="shared" si="14"/>
        <v>0</v>
      </c>
      <c r="AO43" s="781">
        <f t="shared" si="31"/>
        <v>0</v>
      </c>
      <c r="AP43" s="781">
        <f t="shared" si="32"/>
        <v>0</v>
      </c>
      <c r="AQ43" s="781">
        <f t="shared" si="17"/>
        <v>0</v>
      </c>
      <c r="AR43" s="781">
        <f t="shared" si="33"/>
        <v>0</v>
      </c>
      <c r="AS43" s="783">
        <f t="shared" si="19"/>
        <v>0</v>
      </c>
    </row>
    <row r="44" spans="1:45" ht="15" x14ac:dyDescent="0.25">
      <c r="A44" s="784"/>
      <c r="B44" s="719">
        <f t="shared" si="22"/>
        <v>35</v>
      </c>
      <c r="C44" s="170" t="str">
        <f t="shared" si="0"/>
        <v/>
      </c>
      <c r="D44" s="557"/>
      <c r="E44" s="170"/>
      <c r="F44" s="170"/>
      <c r="G44" s="2007"/>
      <c r="H44" s="1926"/>
      <c r="I44" s="2008"/>
      <c r="J44" s="1926"/>
      <c r="K44" s="1926"/>
      <c r="L44" s="170"/>
      <c r="M44" s="2009">
        <v>0</v>
      </c>
      <c r="N44" s="2010">
        <v>1</v>
      </c>
      <c r="O44" s="773">
        <f t="shared" ref="O44:O74" si="34">+M44*N44</f>
        <v>0</v>
      </c>
      <c r="P44" s="2008" t="s">
        <v>39</v>
      </c>
      <c r="Q44" s="2008" t="s">
        <v>39</v>
      </c>
      <c r="R44" s="2011" t="s">
        <v>74</v>
      </c>
      <c r="S44" s="775">
        <f>SUMIF('Data Input sheet'!$B$118:$B$180,R44,'Data Input sheet'!$D$118:$D$180)</f>
        <v>152</v>
      </c>
      <c r="T44" s="2012">
        <f t="shared" ref="T44:T74" si="35">+O44*S44</f>
        <v>0</v>
      </c>
      <c r="U44" s="2013">
        <v>0</v>
      </c>
      <c r="V44" s="778">
        <f t="shared" si="20"/>
        <v>0</v>
      </c>
      <c r="W44" s="2010"/>
      <c r="X44" s="779"/>
      <c r="Y44" s="2012">
        <v>0</v>
      </c>
      <c r="Z44" s="780">
        <f t="shared" ref="Z44:Z74" si="36">T44+V44+W44+Y44</f>
        <v>0</v>
      </c>
      <c r="AA44" s="2007"/>
      <c r="AB44" s="2007"/>
      <c r="AC44" s="765"/>
      <c r="AD44" s="781">
        <f t="shared" si="24"/>
        <v>0</v>
      </c>
      <c r="AE44" s="781">
        <f t="shared" si="5"/>
        <v>0</v>
      </c>
      <c r="AF44" s="781">
        <f t="shared" si="25"/>
        <v>0</v>
      </c>
      <c r="AG44" s="781">
        <f t="shared" si="26"/>
        <v>0</v>
      </c>
      <c r="AH44" s="781">
        <f t="shared" si="8"/>
        <v>0</v>
      </c>
      <c r="AI44" s="782">
        <f t="shared" si="27"/>
        <v>0</v>
      </c>
      <c r="AJ44" s="781">
        <f t="shared" si="28"/>
        <v>0</v>
      </c>
      <c r="AK44" s="781">
        <f t="shared" si="11"/>
        <v>0</v>
      </c>
      <c r="AL44" s="781">
        <f t="shared" si="29"/>
        <v>0</v>
      </c>
      <c r="AM44" s="781">
        <f t="shared" si="30"/>
        <v>0</v>
      </c>
      <c r="AN44" s="781">
        <f t="shared" si="14"/>
        <v>0</v>
      </c>
      <c r="AO44" s="781">
        <f t="shared" si="31"/>
        <v>0</v>
      </c>
      <c r="AP44" s="781">
        <f t="shared" si="32"/>
        <v>0</v>
      </c>
      <c r="AQ44" s="781">
        <f t="shared" si="17"/>
        <v>0</v>
      </c>
      <c r="AR44" s="781">
        <f t="shared" si="33"/>
        <v>0</v>
      </c>
      <c r="AS44" s="783">
        <f t="shared" si="19"/>
        <v>0</v>
      </c>
    </row>
    <row r="45" spans="1:45" ht="15" x14ac:dyDescent="0.25">
      <c r="A45" s="784"/>
      <c r="B45" s="719">
        <f t="shared" si="22"/>
        <v>36</v>
      </c>
      <c r="C45" s="170" t="str">
        <f t="shared" si="0"/>
        <v>31LF</v>
      </c>
      <c r="D45" s="557"/>
      <c r="E45" s="170"/>
      <c r="F45" s="170">
        <v>31</v>
      </c>
      <c r="G45" s="2007" t="s">
        <v>806</v>
      </c>
      <c r="H45" s="1926"/>
      <c r="I45" s="2008" t="s">
        <v>728</v>
      </c>
      <c r="J45" s="1926"/>
      <c r="K45" s="1926"/>
      <c r="L45" s="170"/>
      <c r="M45" s="2009">
        <v>1.2</v>
      </c>
      <c r="N45" s="2010">
        <v>1</v>
      </c>
      <c r="O45" s="773">
        <f t="shared" si="34"/>
        <v>1.2</v>
      </c>
      <c r="P45" s="2008" t="s">
        <v>39</v>
      </c>
      <c r="Q45" s="2008" t="s">
        <v>39</v>
      </c>
      <c r="R45" s="2011" t="s">
        <v>74</v>
      </c>
      <c r="S45" s="775">
        <f>SUMIF('Data Input sheet'!$B$118:$B$180,R45,'Data Input sheet'!$D$118:$D$180)</f>
        <v>152</v>
      </c>
      <c r="T45" s="2012">
        <f t="shared" si="35"/>
        <v>182.4</v>
      </c>
      <c r="U45" s="2013">
        <v>0</v>
      </c>
      <c r="V45" s="778">
        <f t="shared" si="20"/>
        <v>0</v>
      </c>
      <c r="W45" s="2010">
        <v>180</v>
      </c>
      <c r="X45" s="779"/>
      <c r="Y45" s="2012">
        <v>0</v>
      </c>
      <c r="Z45" s="780">
        <f t="shared" si="36"/>
        <v>362.4</v>
      </c>
      <c r="AA45" s="2007"/>
      <c r="AB45" s="2007"/>
      <c r="AC45" s="765"/>
      <c r="AD45" s="781">
        <f t="shared" si="24"/>
        <v>0</v>
      </c>
      <c r="AE45" s="781">
        <f t="shared" si="5"/>
        <v>0</v>
      </c>
      <c r="AF45" s="781">
        <f t="shared" si="25"/>
        <v>0</v>
      </c>
      <c r="AG45" s="781">
        <f t="shared" si="26"/>
        <v>0</v>
      </c>
      <c r="AH45" s="781">
        <f t="shared" si="8"/>
        <v>0</v>
      </c>
      <c r="AI45" s="782">
        <f t="shared" si="27"/>
        <v>0</v>
      </c>
      <c r="AJ45" s="781">
        <f t="shared" si="28"/>
        <v>0</v>
      </c>
      <c r="AK45" s="781">
        <f t="shared" si="11"/>
        <v>0</v>
      </c>
      <c r="AL45" s="781">
        <f t="shared" si="29"/>
        <v>0</v>
      </c>
      <c r="AM45" s="781">
        <f t="shared" si="30"/>
        <v>0</v>
      </c>
      <c r="AN45" s="781">
        <f t="shared" si="14"/>
        <v>0</v>
      </c>
      <c r="AO45" s="781">
        <f t="shared" si="31"/>
        <v>0</v>
      </c>
      <c r="AP45" s="781">
        <f t="shared" si="32"/>
        <v>0</v>
      </c>
      <c r="AQ45" s="781">
        <f t="shared" si="17"/>
        <v>0</v>
      </c>
      <c r="AR45" s="781">
        <f t="shared" si="33"/>
        <v>0</v>
      </c>
      <c r="AS45" s="783">
        <f t="shared" si="19"/>
        <v>0</v>
      </c>
    </row>
    <row r="46" spans="1:45" ht="15" x14ac:dyDescent="0.25">
      <c r="A46" s="784"/>
      <c r="B46" s="719">
        <f t="shared" si="22"/>
        <v>37</v>
      </c>
      <c r="C46" s="170" t="str">
        <f t="shared" si="0"/>
        <v>31LF</v>
      </c>
      <c r="D46" s="557"/>
      <c r="E46" s="170"/>
      <c r="F46" s="170">
        <v>31</v>
      </c>
      <c r="G46" s="2007" t="s">
        <v>807</v>
      </c>
      <c r="H46" s="1926"/>
      <c r="I46" s="2008" t="s">
        <v>728</v>
      </c>
      <c r="J46" s="1926"/>
      <c r="K46" s="1926"/>
      <c r="L46" s="170"/>
      <c r="M46" s="2009">
        <v>0.10947368421052632</v>
      </c>
      <c r="N46" s="2010">
        <v>1</v>
      </c>
      <c r="O46" s="773">
        <f t="shared" si="34"/>
        <v>0.10947368421052632</v>
      </c>
      <c r="P46" s="2008" t="s">
        <v>39</v>
      </c>
      <c r="Q46" s="2008" t="s">
        <v>39</v>
      </c>
      <c r="R46" s="2011" t="s">
        <v>74</v>
      </c>
      <c r="S46" s="775">
        <f>SUMIF('Data Input sheet'!$B$118:$B$180,R46,'Data Input sheet'!$D$118:$D$180)</f>
        <v>152</v>
      </c>
      <c r="T46" s="2012">
        <f t="shared" si="35"/>
        <v>16.64</v>
      </c>
      <c r="U46" s="2013">
        <v>0</v>
      </c>
      <c r="V46" s="778">
        <f t="shared" si="20"/>
        <v>0</v>
      </c>
      <c r="W46" s="2010">
        <v>19.855775367168</v>
      </c>
      <c r="X46" s="779"/>
      <c r="Y46" s="2012">
        <v>0</v>
      </c>
      <c r="Z46" s="780">
        <f t="shared" si="36"/>
        <v>36.495775367168001</v>
      </c>
      <c r="AA46" s="2007"/>
      <c r="AB46" s="2007"/>
      <c r="AC46" s="765"/>
      <c r="AD46" s="781">
        <f t="shared" si="24"/>
        <v>0</v>
      </c>
      <c r="AE46" s="781">
        <f t="shared" si="5"/>
        <v>0</v>
      </c>
      <c r="AF46" s="781">
        <f t="shared" si="25"/>
        <v>0</v>
      </c>
      <c r="AG46" s="781">
        <f t="shared" si="26"/>
        <v>0</v>
      </c>
      <c r="AH46" s="781">
        <f t="shared" si="8"/>
        <v>0</v>
      </c>
      <c r="AI46" s="782">
        <f t="shared" si="27"/>
        <v>0</v>
      </c>
      <c r="AJ46" s="781">
        <f t="shared" si="28"/>
        <v>0</v>
      </c>
      <c r="AK46" s="781">
        <f t="shared" si="11"/>
        <v>0</v>
      </c>
      <c r="AL46" s="781">
        <f t="shared" si="29"/>
        <v>0</v>
      </c>
      <c r="AM46" s="781">
        <f t="shared" si="30"/>
        <v>0</v>
      </c>
      <c r="AN46" s="781">
        <f t="shared" si="14"/>
        <v>0</v>
      </c>
      <c r="AO46" s="781">
        <f t="shared" si="31"/>
        <v>0</v>
      </c>
      <c r="AP46" s="781">
        <f t="shared" si="32"/>
        <v>0</v>
      </c>
      <c r="AQ46" s="781">
        <f t="shared" si="17"/>
        <v>0</v>
      </c>
      <c r="AR46" s="781">
        <f t="shared" si="33"/>
        <v>0</v>
      </c>
      <c r="AS46" s="783">
        <f t="shared" si="19"/>
        <v>0</v>
      </c>
    </row>
    <row r="47" spans="1:45" ht="15" x14ac:dyDescent="0.25">
      <c r="A47" s="784"/>
      <c r="B47" s="719">
        <f t="shared" si="22"/>
        <v>38</v>
      </c>
      <c r="C47" s="170" t="str">
        <f t="shared" si="0"/>
        <v>31LF</v>
      </c>
      <c r="D47" s="557"/>
      <c r="E47" s="170"/>
      <c r="F47" s="170">
        <v>31</v>
      </c>
      <c r="G47" s="2007" t="s">
        <v>808</v>
      </c>
      <c r="H47" s="1926"/>
      <c r="I47" s="2008" t="s">
        <v>728</v>
      </c>
      <c r="J47" s="1926"/>
      <c r="K47" s="1926"/>
      <c r="L47" s="170"/>
      <c r="M47" s="2009">
        <v>0.10027789473684211</v>
      </c>
      <c r="N47" s="2010">
        <v>1</v>
      </c>
      <c r="O47" s="773">
        <f t="shared" si="34"/>
        <v>0.10027789473684211</v>
      </c>
      <c r="P47" s="2008" t="s">
        <v>39</v>
      </c>
      <c r="Q47" s="2008" t="s">
        <v>39</v>
      </c>
      <c r="R47" s="2011" t="s">
        <v>74</v>
      </c>
      <c r="S47" s="775">
        <f>SUMIF('Data Input sheet'!$B$118:$B$180,R47,'Data Input sheet'!$D$118:$D$180)</f>
        <v>152</v>
      </c>
      <c r="T47" s="2012">
        <f t="shared" si="35"/>
        <v>15.242240000000001</v>
      </c>
      <c r="U47" s="2013">
        <v>0</v>
      </c>
      <c r="V47" s="778">
        <f t="shared" si="20"/>
        <v>0</v>
      </c>
      <c r="W47" s="2010">
        <v>14.569175175659524</v>
      </c>
      <c r="X47" s="779"/>
      <c r="Y47" s="2012">
        <v>0</v>
      </c>
      <c r="Z47" s="780">
        <f t="shared" si="36"/>
        <v>29.811415175659526</v>
      </c>
      <c r="AA47" s="2007"/>
      <c r="AB47" s="2007"/>
      <c r="AC47" s="765"/>
      <c r="AD47" s="781">
        <f t="shared" si="24"/>
        <v>0</v>
      </c>
      <c r="AE47" s="781">
        <f t="shared" si="5"/>
        <v>0</v>
      </c>
      <c r="AF47" s="781">
        <f t="shared" si="25"/>
        <v>0</v>
      </c>
      <c r="AG47" s="781">
        <f t="shared" si="26"/>
        <v>0</v>
      </c>
      <c r="AH47" s="781">
        <f t="shared" si="8"/>
        <v>0</v>
      </c>
      <c r="AI47" s="782">
        <f t="shared" si="27"/>
        <v>0</v>
      </c>
      <c r="AJ47" s="781">
        <f t="shared" si="28"/>
        <v>0</v>
      </c>
      <c r="AK47" s="781">
        <f t="shared" si="11"/>
        <v>0</v>
      </c>
      <c r="AL47" s="781">
        <f t="shared" si="29"/>
        <v>0</v>
      </c>
      <c r="AM47" s="781">
        <f t="shared" si="30"/>
        <v>0</v>
      </c>
      <c r="AN47" s="781">
        <f t="shared" si="14"/>
        <v>0</v>
      </c>
      <c r="AO47" s="781">
        <f t="shared" si="31"/>
        <v>0</v>
      </c>
      <c r="AP47" s="781">
        <f t="shared" si="32"/>
        <v>0</v>
      </c>
      <c r="AQ47" s="781">
        <f t="shared" si="17"/>
        <v>0</v>
      </c>
      <c r="AR47" s="781">
        <f t="shared" si="33"/>
        <v>0</v>
      </c>
      <c r="AS47" s="783">
        <f t="shared" si="19"/>
        <v>0</v>
      </c>
    </row>
    <row r="48" spans="1:45" ht="15" x14ac:dyDescent="0.25">
      <c r="A48" s="784"/>
      <c r="B48" s="719">
        <f t="shared" si="22"/>
        <v>39</v>
      </c>
      <c r="C48" s="170" t="str">
        <f t="shared" si="0"/>
        <v>31LF</v>
      </c>
      <c r="D48" s="557"/>
      <c r="E48" s="170"/>
      <c r="F48" s="170">
        <v>31</v>
      </c>
      <c r="G48" s="2007" t="s">
        <v>809</v>
      </c>
      <c r="H48" s="1926"/>
      <c r="I48" s="2008" t="s">
        <v>728</v>
      </c>
      <c r="J48" s="1926"/>
      <c r="K48" s="1926"/>
      <c r="L48" s="170"/>
      <c r="M48" s="2009">
        <v>9.5023157894736851E-2</v>
      </c>
      <c r="N48" s="2010">
        <v>1</v>
      </c>
      <c r="O48" s="773">
        <f t="shared" si="34"/>
        <v>9.5023157894736851E-2</v>
      </c>
      <c r="P48" s="2008" t="s">
        <v>39</v>
      </c>
      <c r="Q48" s="2008" t="s">
        <v>39</v>
      </c>
      <c r="R48" s="2011" t="s">
        <v>74</v>
      </c>
      <c r="S48" s="775">
        <f>SUMIF('Data Input sheet'!$B$118:$B$180,R48,'Data Input sheet'!$D$118:$D$180)</f>
        <v>152</v>
      </c>
      <c r="T48" s="2012">
        <f t="shared" si="35"/>
        <v>14.443520000000001</v>
      </c>
      <c r="U48" s="2013">
        <v>0</v>
      </c>
      <c r="V48" s="778">
        <f t="shared" si="20"/>
        <v>0</v>
      </c>
      <c r="W48" s="2010">
        <v>9.5183623166361606</v>
      </c>
      <c r="X48" s="779"/>
      <c r="Y48" s="2012">
        <v>0</v>
      </c>
      <c r="Z48" s="780">
        <f t="shared" si="36"/>
        <v>23.961882316636164</v>
      </c>
      <c r="AA48" s="2007"/>
      <c r="AB48" s="2007"/>
      <c r="AC48" s="765"/>
      <c r="AD48" s="781">
        <f t="shared" si="24"/>
        <v>0</v>
      </c>
      <c r="AE48" s="781">
        <f t="shared" si="5"/>
        <v>0</v>
      </c>
      <c r="AF48" s="781">
        <f t="shared" si="25"/>
        <v>0</v>
      </c>
      <c r="AG48" s="781">
        <f t="shared" si="26"/>
        <v>0</v>
      </c>
      <c r="AH48" s="781">
        <f t="shared" si="8"/>
        <v>0</v>
      </c>
      <c r="AI48" s="782">
        <f t="shared" si="27"/>
        <v>0</v>
      </c>
      <c r="AJ48" s="781">
        <f t="shared" si="28"/>
        <v>0</v>
      </c>
      <c r="AK48" s="781">
        <f t="shared" si="11"/>
        <v>0</v>
      </c>
      <c r="AL48" s="781">
        <f t="shared" si="29"/>
        <v>0</v>
      </c>
      <c r="AM48" s="781">
        <f t="shared" si="30"/>
        <v>0</v>
      </c>
      <c r="AN48" s="781">
        <f t="shared" si="14"/>
        <v>0</v>
      </c>
      <c r="AO48" s="781">
        <f t="shared" si="31"/>
        <v>0</v>
      </c>
      <c r="AP48" s="781">
        <f t="shared" si="32"/>
        <v>0</v>
      </c>
      <c r="AQ48" s="781">
        <f t="shared" si="17"/>
        <v>0</v>
      </c>
      <c r="AR48" s="781">
        <f t="shared" si="33"/>
        <v>0</v>
      </c>
      <c r="AS48" s="783">
        <f t="shared" si="19"/>
        <v>0</v>
      </c>
    </row>
    <row r="49" spans="1:45" ht="15" x14ac:dyDescent="0.25">
      <c r="A49" s="784"/>
      <c r="B49" s="719">
        <f t="shared" si="22"/>
        <v>40</v>
      </c>
      <c r="C49" s="170" t="str">
        <f t="shared" si="0"/>
        <v>31LF</v>
      </c>
      <c r="D49" s="557"/>
      <c r="E49" s="170"/>
      <c r="F49" s="170">
        <v>31</v>
      </c>
      <c r="G49" s="2007" t="s">
        <v>810</v>
      </c>
      <c r="H49" s="1926"/>
      <c r="I49" s="2008" t="s">
        <v>728</v>
      </c>
      <c r="J49" s="1926"/>
      <c r="K49" s="1926"/>
      <c r="L49" s="170"/>
      <c r="M49" s="2009">
        <v>8.429473684210527E-2</v>
      </c>
      <c r="N49" s="2010">
        <v>1</v>
      </c>
      <c r="O49" s="773">
        <f t="shared" si="34"/>
        <v>8.429473684210527E-2</v>
      </c>
      <c r="P49" s="2008" t="s">
        <v>39</v>
      </c>
      <c r="Q49" s="2008" t="s">
        <v>39</v>
      </c>
      <c r="R49" s="2011" t="s">
        <v>74</v>
      </c>
      <c r="S49" s="775">
        <f>SUMIF('Data Input sheet'!$B$118:$B$180,R49,'Data Input sheet'!$D$118:$D$180)</f>
        <v>152</v>
      </c>
      <c r="T49" s="2012">
        <f t="shared" si="35"/>
        <v>12.812800000000001</v>
      </c>
      <c r="U49" s="2013">
        <v>0</v>
      </c>
      <c r="V49" s="778">
        <f t="shared" si="20"/>
        <v>0</v>
      </c>
      <c r="W49" s="2010">
        <v>7.2225382898073613</v>
      </c>
      <c r="X49" s="779"/>
      <c r="Y49" s="2012">
        <v>0</v>
      </c>
      <c r="Z49" s="780">
        <f t="shared" si="36"/>
        <v>20.035338289807363</v>
      </c>
      <c r="AA49" s="2007"/>
      <c r="AB49" s="2007"/>
      <c r="AC49" s="765"/>
      <c r="AD49" s="781">
        <f t="shared" si="24"/>
        <v>0</v>
      </c>
      <c r="AE49" s="781">
        <f t="shared" si="5"/>
        <v>0</v>
      </c>
      <c r="AF49" s="781">
        <f t="shared" si="25"/>
        <v>0</v>
      </c>
      <c r="AG49" s="781">
        <f t="shared" si="26"/>
        <v>0</v>
      </c>
      <c r="AH49" s="781">
        <f t="shared" si="8"/>
        <v>0</v>
      </c>
      <c r="AI49" s="782">
        <f t="shared" si="27"/>
        <v>0</v>
      </c>
      <c r="AJ49" s="781">
        <f t="shared" si="28"/>
        <v>0</v>
      </c>
      <c r="AK49" s="781">
        <f t="shared" si="11"/>
        <v>0</v>
      </c>
      <c r="AL49" s="781">
        <f t="shared" si="29"/>
        <v>0</v>
      </c>
      <c r="AM49" s="781">
        <f t="shared" si="30"/>
        <v>0</v>
      </c>
      <c r="AN49" s="781">
        <f t="shared" si="14"/>
        <v>0</v>
      </c>
      <c r="AO49" s="781">
        <f t="shared" si="31"/>
        <v>0</v>
      </c>
      <c r="AP49" s="781">
        <f t="shared" si="32"/>
        <v>0</v>
      </c>
      <c r="AQ49" s="781">
        <f t="shared" si="17"/>
        <v>0</v>
      </c>
      <c r="AR49" s="781">
        <f t="shared" si="33"/>
        <v>0</v>
      </c>
      <c r="AS49" s="783">
        <f t="shared" si="19"/>
        <v>0</v>
      </c>
    </row>
    <row r="50" spans="1:45" ht="25.5" x14ac:dyDescent="0.25">
      <c r="A50" s="784"/>
      <c r="B50" s="719">
        <f t="shared" si="22"/>
        <v>41</v>
      </c>
      <c r="C50" s="170" t="str">
        <f t="shared" si="0"/>
        <v>31Ckt. Ft</v>
      </c>
      <c r="D50" s="557"/>
      <c r="E50" s="170"/>
      <c r="F50" s="170">
        <v>31</v>
      </c>
      <c r="G50" s="2007" t="s">
        <v>2416</v>
      </c>
      <c r="H50" s="1926"/>
      <c r="I50" s="2008" t="s">
        <v>1331</v>
      </c>
      <c r="J50" s="1926"/>
      <c r="K50" s="1926"/>
      <c r="L50" s="170"/>
      <c r="M50" s="2009">
        <v>0.656842105263158</v>
      </c>
      <c r="N50" s="2010">
        <v>1</v>
      </c>
      <c r="O50" s="773">
        <f t="shared" si="34"/>
        <v>0.656842105263158</v>
      </c>
      <c r="P50" s="2008" t="s">
        <v>39</v>
      </c>
      <c r="Q50" s="2008" t="s">
        <v>39</v>
      </c>
      <c r="R50" s="2011" t="s">
        <v>74</v>
      </c>
      <c r="S50" s="775">
        <f>SUMIF('Data Input sheet'!$B$118:$B$180,R50,'Data Input sheet'!$D$118:$D$180)</f>
        <v>152</v>
      </c>
      <c r="T50" s="2012">
        <f t="shared" si="35"/>
        <v>99.840000000000018</v>
      </c>
      <c r="U50" s="2013">
        <v>0</v>
      </c>
      <c r="V50" s="778">
        <f t="shared" si="20"/>
        <v>0</v>
      </c>
      <c r="W50" s="2010">
        <v>300</v>
      </c>
      <c r="X50" s="779"/>
      <c r="Y50" s="2012">
        <v>0</v>
      </c>
      <c r="Z50" s="780">
        <f t="shared" si="36"/>
        <v>399.84000000000003</v>
      </c>
      <c r="AA50" s="2007" t="s">
        <v>811</v>
      </c>
      <c r="AB50" s="2007"/>
      <c r="AC50" s="765"/>
      <c r="AD50" s="781">
        <f t="shared" si="24"/>
        <v>0</v>
      </c>
      <c r="AE50" s="781">
        <f t="shared" si="5"/>
        <v>0</v>
      </c>
      <c r="AF50" s="781">
        <f t="shared" si="25"/>
        <v>0</v>
      </c>
      <c r="AG50" s="781">
        <f t="shared" si="26"/>
        <v>0</v>
      </c>
      <c r="AH50" s="781">
        <f t="shared" si="8"/>
        <v>0</v>
      </c>
      <c r="AI50" s="782">
        <f t="shared" si="27"/>
        <v>0</v>
      </c>
      <c r="AJ50" s="781">
        <f t="shared" si="28"/>
        <v>0</v>
      </c>
      <c r="AK50" s="781">
        <f t="shared" si="11"/>
        <v>0</v>
      </c>
      <c r="AL50" s="781">
        <f t="shared" si="29"/>
        <v>0</v>
      </c>
      <c r="AM50" s="781">
        <f t="shared" si="30"/>
        <v>0</v>
      </c>
      <c r="AN50" s="781">
        <f t="shared" si="14"/>
        <v>0</v>
      </c>
      <c r="AO50" s="781">
        <f t="shared" si="31"/>
        <v>0</v>
      </c>
      <c r="AP50" s="781">
        <f t="shared" si="32"/>
        <v>0</v>
      </c>
      <c r="AQ50" s="781">
        <f t="shared" si="17"/>
        <v>0</v>
      </c>
      <c r="AR50" s="781">
        <f t="shared" si="33"/>
        <v>0</v>
      </c>
      <c r="AS50" s="783">
        <f t="shared" si="19"/>
        <v>0</v>
      </c>
    </row>
    <row r="51" spans="1:45" ht="25.5" x14ac:dyDescent="0.25">
      <c r="A51" s="784"/>
      <c r="B51" s="719">
        <f>B48+1</f>
        <v>40</v>
      </c>
      <c r="C51" s="170" t="str">
        <f t="shared" si="0"/>
        <v>31Ckt. Ft</v>
      </c>
      <c r="D51" s="557"/>
      <c r="E51" s="170"/>
      <c r="F51" s="170">
        <v>31</v>
      </c>
      <c r="G51" s="2007" t="s">
        <v>2417</v>
      </c>
      <c r="H51" s="1926"/>
      <c r="I51" s="2008" t="s">
        <v>1331</v>
      </c>
      <c r="J51" s="1926"/>
      <c r="K51" s="1926"/>
      <c r="L51" s="170"/>
      <c r="M51" s="2009">
        <v>0.656842105263158</v>
      </c>
      <c r="N51" s="2010">
        <v>1</v>
      </c>
      <c r="O51" s="773">
        <f t="shared" si="34"/>
        <v>0.656842105263158</v>
      </c>
      <c r="P51" s="2008" t="s">
        <v>39</v>
      </c>
      <c r="Q51" s="2008" t="s">
        <v>39</v>
      </c>
      <c r="R51" s="2011" t="s">
        <v>74</v>
      </c>
      <c r="S51" s="775">
        <f>SUMIF('Data Input sheet'!$B$118:$B$180,R51,'Data Input sheet'!$D$118:$D$180)</f>
        <v>152</v>
      </c>
      <c r="T51" s="2012">
        <f t="shared" si="35"/>
        <v>99.840000000000018</v>
      </c>
      <c r="U51" s="2013">
        <v>0</v>
      </c>
      <c r="V51" s="778">
        <f t="shared" si="20"/>
        <v>0</v>
      </c>
      <c r="W51" s="2010">
        <v>450</v>
      </c>
      <c r="X51" s="779"/>
      <c r="Y51" s="2012">
        <v>0</v>
      </c>
      <c r="Z51" s="780">
        <f t="shared" si="36"/>
        <v>549.84</v>
      </c>
      <c r="AA51" s="2007" t="s">
        <v>811</v>
      </c>
      <c r="AB51" s="2007"/>
      <c r="AC51" s="765"/>
      <c r="AD51" s="781">
        <f t="shared" si="24"/>
        <v>0</v>
      </c>
      <c r="AE51" s="781">
        <f t="shared" si="5"/>
        <v>0</v>
      </c>
      <c r="AF51" s="781">
        <f t="shared" si="25"/>
        <v>0</v>
      </c>
      <c r="AG51" s="781">
        <f t="shared" si="26"/>
        <v>0</v>
      </c>
      <c r="AH51" s="781">
        <f t="shared" si="8"/>
        <v>0</v>
      </c>
      <c r="AI51" s="782">
        <f t="shared" si="27"/>
        <v>0</v>
      </c>
      <c r="AJ51" s="781">
        <f t="shared" si="28"/>
        <v>0</v>
      </c>
      <c r="AK51" s="781">
        <f t="shared" si="11"/>
        <v>0</v>
      </c>
      <c r="AL51" s="781">
        <f t="shared" si="29"/>
        <v>0</v>
      </c>
      <c r="AM51" s="781">
        <f t="shared" si="30"/>
        <v>0</v>
      </c>
      <c r="AN51" s="781">
        <f t="shared" si="14"/>
        <v>0</v>
      </c>
      <c r="AO51" s="781">
        <f t="shared" si="31"/>
        <v>0</v>
      </c>
      <c r="AP51" s="781">
        <f t="shared" si="32"/>
        <v>0</v>
      </c>
      <c r="AQ51" s="781">
        <f t="shared" si="17"/>
        <v>0</v>
      </c>
      <c r="AR51" s="781">
        <f t="shared" si="33"/>
        <v>0</v>
      </c>
      <c r="AS51" s="783">
        <f t="shared" si="19"/>
        <v>0</v>
      </c>
    </row>
    <row r="52" spans="1:45" ht="25.5" x14ac:dyDescent="0.25">
      <c r="A52" s="784"/>
      <c r="B52" s="719">
        <f>B50+1</f>
        <v>42</v>
      </c>
      <c r="C52" s="170" t="str">
        <f t="shared" si="0"/>
        <v>31Ckt. Ft</v>
      </c>
      <c r="D52" s="557"/>
      <c r="E52" s="170"/>
      <c r="F52" s="170">
        <v>31</v>
      </c>
      <c r="G52" s="2007" t="s">
        <v>2418</v>
      </c>
      <c r="H52" s="1926"/>
      <c r="I52" s="2008" t="s">
        <v>1331</v>
      </c>
      <c r="J52" s="1926"/>
      <c r="K52" s="1926"/>
      <c r="L52" s="170"/>
      <c r="M52" s="2009">
        <v>0.656842105263158</v>
      </c>
      <c r="N52" s="2010">
        <v>1</v>
      </c>
      <c r="O52" s="773">
        <f t="shared" si="34"/>
        <v>0.656842105263158</v>
      </c>
      <c r="P52" s="2008" t="s">
        <v>39</v>
      </c>
      <c r="Q52" s="2008" t="s">
        <v>39</v>
      </c>
      <c r="R52" s="2011" t="s">
        <v>74</v>
      </c>
      <c r="S52" s="775">
        <f>SUMIF('Data Input sheet'!$B$118:$B$180,R52,'Data Input sheet'!$D$118:$D$180)</f>
        <v>152</v>
      </c>
      <c r="T52" s="2012">
        <f t="shared" si="35"/>
        <v>99.840000000000018</v>
      </c>
      <c r="U52" s="2013">
        <v>0</v>
      </c>
      <c r="V52" s="778">
        <f t="shared" si="20"/>
        <v>0</v>
      </c>
      <c r="W52" s="2010">
        <v>300</v>
      </c>
      <c r="X52" s="779"/>
      <c r="Y52" s="2012">
        <v>0</v>
      </c>
      <c r="Z52" s="780">
        <f t="shared" si="36"/>
        <v>399.84000000000003</v>
      </c>
      <c r="AA52" s="2007" t="s">
        <v>811</v>
      </c>
      <c r="AB52" s="2007"/>
      <c r="AC52" s="765"/>
      <c r="AD52" s="781">
        <f t="shared" si="24"/>
        <v>0</v>
      </c>
      <c r="AE52" s="781">
        <f t="shared" si="5"/>
        <v>0</v>
      </c>
      <c r="AF52" s="781">
        <f t="shared" si="25"/>
        <v>0</v>
      </c>
      <c r="AG52" s="781">
        <f t="shared" si="26"/>
        <v>0</v>
      </c>
      <c r="AH52" s="781">
        <f t="shared" si="8"/>
        <v>0</v>
      </c>
      <c r="AI52" s="782">
        <f t="shared" si="27"/>
        <v>0</v>
      </c>
      <c r="AJ52" s="781">
        <f t="shared" si="28"/>
        <v>0</v>
      </c>
      <c r="AK52" s="781">
        <f t="shared" si="11"/>
        <v>0</v>
      </c>
      <c r="AL52" s="781">
        <f t="shared" si="29"/>
        <v>0</v>
      </c>
      <c r="AM52" s="781">
        <f t="shared" si="30"/>
        <v>0</v>
      </c>
      <c r="AN52" s="781">
        <f t="shared" si="14"/>
        <v>0</v>
      </c>
      <c r="AO52" s="781">
        <f t="shared" si="31"/>
        <v>0</v>
      </c>
      <c r="AP52" s="781">
        <f t="shared" si="32"/>
        <v>0</v>
      </c>
      <c r="AQ52" s="781">
        <f t="shared" si="17"/>
        <v>0</v>
      </c>
      <c r="AR52" s="781">
        <f t="shared" si="33"/>
        <v>0</v>
      </c>
      <c r="AS52" s="783">
        <f t="shared" si="19"/>
        <v>0</v>
      </c>
    </row>
    <row r="53" spans="1:45" ht="25.5" x14ac:dyDescent="0.25">
      <c r="A53" s="784"/>
      <c r="B53" s="719" t="e">
        <f>#REF!+1</f>
        <v>#REF!</v>
      </c>
      <c r="C53" s="170" t="str">
        <f t="shared" si="0"/>
        <v>31Ckt. Ft</v>
      </c>
      <c r="D53" s="557"/>
      <c r="E53" s="170"/>
      <c r="F53" s="170">
        <v>31</v>
      </c>
      <c r="G53" s="2007" t="s">
        <v>2419</v>
      </c>
      <c r="H53" s="1926"/>
      <c r="I53" s="2008" t="s">
        <v>1331</v>
      </c>
      <c r="J53" s="1926"/>
      <c r="K53" s="1926"/>
      <c r="L53" s="170"/>
      <c r="M53" s="2009">
        <v>0.656842105263158</v>
      </c>
      <c r="N53" s="2010">
        <v>1</v>
      </c>
      <c r="O53" s="773">
        <f t="shared" ref="O53" si="37">+M53*N53</f>
        <v>0.656842105263158</v>
      </c>
      <c r="P53" s="2008" t="s">
        <v>39</v>
      </c>
      <c r="Q53" s="2008" t="s">
        <v>39</v>
      </c>
      <c r="R53" s="2011" t="s">
        <v>74</v>
      </c>
      <c r="S53" s="775">
        <f>SUMIF('Data Input sheet'!$B$118:$B$180,R53,'Data Input sheet'!$D$118:$D$180)</f>
        <v>152</v>
      </c>
      <c r="T53" s="2012">
        <f t="shared" ref="T53" si="38">+O53*S53</f>
        <v>99.840000000000018</v>
      </c>
      <c r="U53" s="2013">
        <v>0</v>
      </c>
      <c r="V53" s="778">
        <f t="shared" ref="V53" si="39">ROUND(U53*O53,0)</f>
        <v>0</v>
      </c>
      <c r="W53" s="2010">
        <v>450</v>
      </c>
      <c r="X53" s="779"/>
      <c r="Y53" s="2012">
        <v>0</v>
      </c>
      <c r="Z53" s="780">
        <f t="shared" ref="Z53" si="40">T53+V53+W53+Y53</f>
        <v>549.84</v>
      </c>
      <c r="AA53" s="2007" t="s">
        <v>811</v>
      </c>
      <c r="AB53" s="2007"/>
      <c r="AC53" s="765"/>
      <c r="AD53" s="781">
        <f t="shared" ref="AD53" si="41">IF(P53="E",+ROUND(H53*O53,0),0)</f>
        <v>0</v>
      </c>
      <c r="AE53" s="781">
        <f t="shared" ref="AE53" si="42">+AF53-AD53</f>
        <v>0</v>
      </c>
      <c r="AF53" s="781">
        <f t="shared" ref="AF53" si="43">+H53*O53</f>
        <v>0</v>
      </c>
      <c r="AG53" s="781">
        <f t="shared" ref="AG53" si="44">IF(P53="E",+ROUND(T53*H53,0),0)</f>
        <v>0</v>
      </c>
      <c r="AH53" s="781">
        <f t="shared" ref="AH53" si="45">+AI53-AG53</f>
        <v>0</v>
      </c>
      <c r="AI53" s="782">
        <f t="shared" ref="AI53" si="46">+H53*T53</f>
        <v>0</v>
      </c>
      <c r="AJ53" s="781">
        <f t="shared" ref="AJ53" si="47">IF(P53="E",+ROUND(V53*H53,0),0)</f>
        <v>0</v>
      </c>
      <c r="AK53" s="781">
        <f t="shared" ref="AK53" si="48">+AL53-AJ53</f>
        <v>0</v>
      </c>
      <c r="AL53" s="781">
        <f t="shared" ref="AL53" si="49">ROUND(V53*H53,0)</f>
        <v>0</v>
      </c>
      <c r="AM53" s="781">
        <f t="shared" ref="AM53" si="50">IF(Q53="E",+ROUND(W53*H53,0),0)</f>
        <v>0</v>
      </c>
      <c r="AN53" s="781">
        <f t="shared" ref="AN53" si="51">+AO53-AM53</f>
        <v>0</v>
      </c>
      <c r="AO53" s="781">
        <f t="shared" ref="AO53" si="52">ROUND(W53*H53,0)</f>
        <v>0</v>
      </c>
      <c r="AP53" s="781">
        <f t="shared" ref="AP53" si="53">IF(P53="E",+ROUND(Y53*H53,0),0)</f>
        <v>0</v>
      </c>
      <c r="AQ53" s="781">
        <f t="shared" ref="AQ53" si="54">+AR53-AP53</f>
        <v>0</v>
      </c>
      <c r="AR53" s="781">
        <f t="shared" ref="AR53" si="55">ROUND(Y53*H53,0)</f>
        <v>0</v>
      </c>
      <c r="AS53" s="783">
        <f t="shared" ref="AS53" si="56">+AR53+AO53+AL53+AI53</f>
        <v>0</v>
      </c>
    </row>
    <row r="54" spans="1:45" ht="25.5" x14ac:dyDescent="0.25">
      <c r="A54" s="784"/>
      <c r="B54" s="719">
        <f>B50+1</f>
        <v>42</v>
      </c>
      <c r="C54" s="170" t="str">
        <f t="shared" si="0"/>
        <v>31Ckt. Ft</v>
      </c>
      <c r="D54" s="557"/>
      <c r="E54" s="170"/>
      <c r="F54" s="170">
        <v>31</v>
      </c>
      <c r="G54" s="2007" t="s">
        <v>2420</v>
      </c>
      <c r="H54" s="1926">
        <v>0</v>
      </c>
      <c r="I54" s="2008" t="s">
        <v>1331</v>
      </c>
      <c r="J54" s="1926"/>
      <c r="K54" s="1926"/>
      <c r="L54" s="170"/>
      <c r="M54" s="2009">
        <v>0.656842105263158</v>
      </c>
      <c r="N54" s="2010">
        <v>1</v>
      </c>
      <c r="O54" s="773">
        <f t="shared" si="34"/>
        <v>0.656842105263158</v>
      </c>
      <c r="P54" s="2008" t="s">
        <v>39</v>
      </c>
      <c r="Q54" s="2008" t="s">
        <v>39</v>
      </c>
      <c r="R54" s="2011" t="s">
        <v>74</v>
      </c>
      <c r="S54" s="775">
        <f>SUMIF('Data Input sheet'!$B$118:$B$180,R54,'Data Input sheet'!$D$118:$D$180)</f>
        <v>152</v>
      </c>
      <c r="T54" s="2012">
        <f t="shared" si="35"/>
        <v>99.840000000000018</v>
      </c>
      <c r="U54" s="2013">
        <v>0</v>
      </c>
      <c r="V54" s="778">
        <f t="shared" si="20"/>
        <v>0</v>
      </c>
      <c r="W54" s="2010">
        <v>283.92</v>
      </c>
      <c r="X54" s="779"/>
      <c r="Y54" s="2012">
        <v>0</v>
      </c>
      <c r="Z54" s="780">
        <f t="shared" si="36"/>
        <v>383.76000000000005</v>
      </c>
      <c r="AA54" s="2007" t="s">
        <v>811</v>
      </c>
      <c r="AB54" s="2007"/>
      <c r="AC54" s="765"/>
      <c r="AD54" s="781">
        <f t="shared" si="24"/>
        <v>0</v>
      </c>
      <c r="AE54" s="781">
        <f t="shared" si="5"/>
        <v>0</v>
      </c>
      <c r="AF54" s="781">
        <f t="shared" si="25"/>
        <v>0</v>
      </c>
      <c r="AG54" s="781">
        <f t="shared" si="26"/>
        <v>0</v>
      </c>
      <c r="AH54" s="781">
        <f t="shared" si="8"/>
        <v>0</v>
      </c>
      <c r="AI54" s="782">
        <f t="shared" si="27"/>
        <v>0</v>
      </c>
      <c r="AJ54" s="781">
        <f t="shared" si="28"/>
        <v>0</v>
      </c>
      <c r="AK54" s="781">
        <f t="shared" si="11"/>
        <v>0</v>
      </c>
      <c r="AL54" s="781">
        <f t="shared" si="29"/>
        <v>0</v>
      </c>
      <c r="AM54" s="781">
        <f t="shared" si="30"/>
        <v>0</v>
      </c>
      <c r="AN54" s="781">
        <f t="shared" si="14"/>
        <v>0</v>
      </c>
      <c r="AO54" s="781">
        <f t="shared" si="31"/>
        <v>0</v>
      </c>
      <c r="AP54" s="781">
        <f t="shared" si="32"/>
        <v>0</v>
      </c>
      <c r="AQ54" s="781">
        <f t="shared" si="17"/>
        <v>0</v>
      </c>
      <c r="AR54" s="781">
        <f t="shared" si="33"/>
        <v>0</v>
      </c>
      <c r="AS54" s="783">
        <f t="shared" si="19"/>
        <v>0</v>
      </c>
    </row>
    <row r="55" spans="1:45" ht="15" x14ac:dyDescent="0.25">
      <c r="A55" s="784"/>
      <c r="B55" s="719">
        <f t="shared" si="22"/>
        <v>43</v>
      </c>
      <c r="C55" s="170" t="str">
        <f t="shared" si="0"/>
        <v>31LF</v>
      </c>
      <c r="D55" s="557"/>
      <c r="E55" s="170"/>
      <c r="F55" s="170">
        <v>31</v>
      </c>
      <c r="G55" s="2007" t="s">
        <v>784</v>
      </c>
      <c r="H55" s="1926"/>
      <c r="I55" s="2008" t="s">
        <v>728</v>
      </c>
      <c r="J55" s="1926"/>
      <c r="K55" s="1926"/>
      <c r="L55" s="170"/>
      <c r="M55" s="2009">
        <v>7.1157894736842101E-2</v>
      </c>
      <c r="N55" s="2010">
        <v>1</v>
      </c>
      <c r="O55" s="773">
        <f t="shared" si="34"/>
        <v>7.1157894736842101E-2</v>
      </c>
      <c r="P55" s="2008" t="s">
        <v>39</v>
      </c>
      <c r="Q55" s="2008" t="s">
        <v>39</v>
      </c>
      <c r="R55" s="2011" t="s">
        <v>74</v>
      </c>
      <c r="S55" s="775">
        <f>SUMIF('Data Input sheet'!$B$118:$B$180,R55,'Data Input sheet'!$D$118:$D$180)</f>
        <v>152</v>
      </c>
      <c r="T55" s="2012">
        <f t="shared" si="35"/>
        <v>10.815999999999999</v>
      </c>
      <c r="U55" s="2013">
        <v>0</v>
      </c>
      <c r="V55" s="778">
        <f t="shared" si="20"/>
        <v>0</v>
      </c>
      <c r="W55" s="2010">
        <v>8.0664087429120013</v>
      </c>
      <c r="X55" s="779"/>
      <c r="Y55" s="2012">
        <v>0</v>
      </c>
      <c r="Z55" s="780">
        <f t="shared" si="36"/>
        <v>18.882408742911998</v>
      </c>
      <c r="AA55" s="2007" t="s">
        <v>785</v>
      </c>
      <c r="AB55" s="2007"/>
      <c r="AC55" s="765"/>
      <c r="AD55" s="781">
        <f t="shared" si="24"/>
        <v>0</v>
      </c>
      <c r="AE55" s="781">
        <f t="shared" si="5"/>
        <v>0</v>
      </c>
      <c r="AF55" s="781">
        <f t="shared" si="25"/>
        <v>0</v>
      </c>
      <c r="AG55" s="781">
        <f t="shared" si="26"/>
        <v>0</v>
      </c>
      <c r="AH55" s="781">
        <f t="shared" si="8"/>
        <v>0</v>
      </c>
      <c r="AI55" s="782">
        <f t="shared" si="27"/>
        <v>0</v>
      </c>
      <c r="AJ55" s="781">
        <f t="shared" si="28"/>
        <v>0</v>
      </c>
      <c r="AK55" s="781">
        <f t="shared" si="11"/>
        <v>0</v>
      </c>
      <c r="AL55" s="781">
        <f t="shared" si="29"/>
        <v>0</v>
      </c>
      <c r="AM55" s="781">
        <f t="shared" si="30"/>
        <v>0</v>
      </c>
      <c r="AN55" s="781">
        <f t="shared" si="14"/>
        <v>0</v>
      </c>
      <c r="AO55" s="781">
        <f t="shared" si="31"/>
        <v>0</v>
      </c>
      <c r="AP55" s="781">
        <f t="shared" si="32"/>
        <v>0</v>
      </c>
      <c r="AQ55" s="781">
        <f t="shared" si="17"/>
        <v>0</v>
      </c>
      <c r="AR55" s="781">
        <f t="shared" si="33"/>
        <v>0</v>
      </c>
      <c r="AS55" s="783">
        <f t="shared" si="19"/>
        <v>0</v>
      </c>
    </row>
    <row r="56" spans="1:45" ht="15" x14ac:dyDescent="0.25">
      <c r="A56" s="784"/>
      <c r="B56" s="719">
        <f t="shared" si="22"/>
        <v>44</v>
      </c>
      <c r="C56" s="170" t="str">
        <f t="shared" si="0"/>
        <v>31LF</v>
      </c>
      <c r="D56" s="557"/>
      <c r="E56" s="170"/>
      <c r="F56" s="170">
        <v>31</v>
      </c>
      <c r="G56" s="2007" t="s">
        <v>813</v>
      </c>
      <c r="H56" s="1926"/>
      <c r="I56" s="2008" t="s">
        <v>728</v>
      </c>
      <c r="J56" s="1926"/>
      <c r="K56" s="1926"/>
      <c r="L56" s="170"/>
      <c r="M56" s="2009">
        <v>0.11</v>
      </c>
      <c r="N56" s="2010">
        <v>1</v>
      </c>
      <c r="O56" s="773">
        <f t="shared" si="34"/>
        <v>0.11</v>
      </c>
      <c r="P56" s="2008" t="s">
        <v>39</v>
      </c>
      <c r="Q56" s="2008" t="s">
        <v>39</v>
      </c>
      <c r="R56" s="2011" t="s">
        <v>74</v>
      </c>
      <c r="S56" s="775">
        <f>SUMIF('Data Input sheet'!$B$118:$B$180,R56,'Data Input sheet'!$D$118:$D$180)</f>
        <v>152</v>
      </c>
      <c r="T56" s="2012">
        <f t="shared" si="35"/>
        <v>16.72</v>
      </c>
      <c r="U56" s="2013">
        <v>0</v>
      </c>
      <c r="V56" s="778">
        <f t="shared" si="20"/>
        <v>0</v>
      </c>
      <c r="W56" s="2010">
        <v>6.24</v>
      </c>
      <c r="X56" s="779"/>
      <c r="Y56" s="2012">
        <v>0</v>
      </c>
      <c r="Z56" s="780">
        <f t="shared" si="36"/>
        <v>22.96</v>
      </c>
      <c r="AA56" s="2007" t="s">
        <v>814</v>
      </c>
      <c r="AB56" s="2007"/>
      <c r="AC56" s="765"/>
      <c r="AD56" s="781">
        <f t="shared" si="24"/>
        <v>0</v>
      </c>
      <c r="AE56" s="781">
        <f t="shared" si="5"/>
        <v>0</v>
      </c>
      <c r="AF56" s="781">
        <f t="shared" si="25"/>
        <v>0</v>
      </c>
      <c r="AG56" s="781">
        <f t="shared" si="26"/>
        <v>0</v>
      </c>
      <c r="AH56" s="781">
        <f t="shared" si="8"/>
        <v>0</v>
      </c>
      <c r="AI56" s="782">
        <f t="shared" si="27"/>
        <v>0</v>
      </c>
      <c r="AJ56" s="781">
        <f t="shared" si="28"/>
        <v>0</v>
      </c>
      <c r="AK56" s="781">
        <f t="shared" si="11"/>
        <v>0</v>
      </c>
      <c r="AL56" s="781">
        <f t="shared" si="29"/>
        <v>0</v>
      </c>
      <c r="AM56" s="781">
        <f t="shared" si="30"/>
        <v>0</v>
      </c>
      <c r="AN56" s="781">
        <f t="shared" si="14"/>
        <v>0</v>
      </c>
      <c r="AO56" s="781">
        <f t="shared" si="31"/>
        <v>0</v>
      </c>
      <c r="AP56" s="781">
        <f t="shared" si="32"/>
        <v>0</v>
      </c>
      <c r="AQ56" s="781">
        <f t="shared" si="17"/>
        <v>0</v>
      </c>
      <c r="AR56" s="781">
        <f t="shared" si="33"/>
        <v>0</v>
      </c>
      <c r="AS56" s="783">
        <f t="shared" si="19"/>
        <v>0</v>
      </c>
    </row>
    <row r="57" spans="1:45" ht="15" x14ac:dyDescent="0.25">
      <c r="A57" s="784"/>
      <c r="B57" s="719">
        <f t="shared" si="22"/>
        <v>45</v>
      </c>
      <c r="C57" s="170" t="str">
        <f t="shared" si="0"/>
        <v>31LF</v>
      </c>
      <c r="D57" s="557"/>
      <c r="E57" s="170"/>
      <c r="F57" s="170">
        <v>31</v>
      </c>
      <c r="G57" s="2007" t="s">
        <v>788</v>
      </c>
      <c r="H57" s="1926"/>
      <c r="I57" s="2008" t="s">
        <v>728</v>
      </c>
      <c r="J57" s="1926"/>
      <c r="K57" s="1926"/>
      <c r="L57" s="170"/>
      <c r="M57" s="2009">
        <v>0.12315789473684212</v>
      </c>
      <c r="N57" s="2010">
        <v>1</v>
      </c>
      <c r="O57" s="773">
        <f t="shared" si="34"/>
        <v>0.12315789473684212</v>
      </c>
      <c r="P57" s="2008" t="s">
        <v>39</v>
      </c>
      <c r="Q57" s="2008" t="s">
        <v>39</v>
      </c>
      <c r="R57" s="2011" t="s">
        <v>74</v>
      </c>
      <c r="S57" s="775">
        <f>SUMIF('Data Input sheet'!$B$118:$B$180,R57,'Data Input sheet'!$D$118:$D$180)</f>
        <v>152</v>
      </c>
      <c r="T57" s="2012">
        <f t="shared" si="35"/>
        <v>18.720000000000002</v>
      </c>
      <c r="U57" s="2013">
        <v>0</v>
      </c>
      <c r="V57" s="778">
        <f t="shared" si="20"/>
        <v>0</v>
      </c>
      <c r="W57" s="2010">
        <v>6.7633734844416011</v>
      </c>
      <c r="X57" s="779"/>
      <c r="Y57" s="2012">
        <v>0</v>
      </c>
      <c r="Z57" s="780">
        <f t="shared" si="36"/>
        <v>25.483373484441604</v>
      </c>
      <c r="AA57" s="2007"/>
      <c r="AB57" s="2007"/>
      <c r="AC57" s="765"/>
      <c r="AD57" s="781">
        <f t="shared" si="24"/>
        <v>0</v>
      </c>
      <c r="AE57" s="781">
        <f t="shared" si="5"/>
        <v>0</v>
      </c>
      <c r="AF57" s="781">
        <f t="shared" si="25"/>
        <v>0</v>
      </c>
      <c r="AG57" s="781">
        <f t="shared" si="26"/>
        <v>0</v>
      </c>
      <c r="AH57" s="781">
        <f t="shared" si="8"/>
        <v>0</v>
      </c>
      <c r="AI57" s="782">
        <f t="shared" si="27"/>
        <v>0</v>
      </c>
      <c r="AJ57" s="781">
        <f t="shared" si="28"/>
        <v>0</v>
      </c>
      <c r="AK57" s="781">
        <f t="shared" si="11"/>
        <v>0</v>
      </c>
      <c r="AL57" s="781">
        <f t="shared" si="29"/>
        <v>0</v>
      </c>
      <c r="AM57" s="781">
        <f t="shared" si="30"/>
        <v>0</v>
      </c>
      <c r="AN57" s="781">
        <f t="shared" si="14"/>
        <v>0</v>
      </c>
      <c r="AO57" s="781">
        <f t="shared" si="31"/>
        <v>0</v>
      </c>
      <c r="AP57" s="781">
        <f t="shared" si="32"/>
        <v>0</v>
      </c>
      <c r="AQ57" s="781">
        <f t="shared" si="17"/>
        <v>0</v>
      </c>
      <c r="AR57" s="781">
        <f t="shared" si="33"/>
        <v>0</v>
      </c>
      <c r="AS57" s="783">
        <f t="shared" si="19"/>
        <v>0</v>
      </c>
    </row>
    <row r="58" spans="1:45" ht="15" x14ac:dyDescent="0.25">
      <c r="A58" s="784"/>
      <c r="B58" s="719">
        <f t="shared" si="22"/>
        <v>46</v>
      </c>
      <c r="C58" s="170" t="str">
        <f t="shared" si="0"/>
        <v>31EA</v>
      </c>
      <c r="D58" s="557"/>
      <c r="E58" s="170"/>
      <c r="F58" s="170">
        <v>31</v>
      </c>
      <c r="G58" s="2007" t="s">
        <v>2426</v>
      </c>
      <c r="H58" s="1926"/>
      <c r="I58" s="2008" t="s">
        <v>732</v>
      </c>
      <c r="J58" s="1926"/>
      <c r="K58" s="1926"/>
      <c r="L58" s="170"/>
      <c r="M58" s="2009">
        <v>32.842105263157897</v>
      </c>
      <c r="N58" s="2010">
        <v>1</v>
      </c>
      <c r="O58" s="773">
        <f t="shared" si="34"/>
        <v>32.842105263157897</v>
      </c>
      <c r="P58" s="2008" t="s">
        <v>39</v>
      </c>
      <c r="Q58" s="2008" t="s">
        <v>39</v>
      </c>
      <c r="R58" s="2011" t="s">
        <v>74</v>
      </c>
      <c r="S58" s="775">
        <f>SUMIF('Data Input sheet'!$B$118:$B$180,R58,'Data Input sheet'!$D$118:$D$180)</f>
        <v>152</v>
      </c>
      <c r="T58" s="2012">
        <f t="shared" si="35"/>
        <v>4992</v>
      </c>
      <c r="U58" s="2013">
        <v>0</v>
      </c>
      <c r="V58" s="778">
        <f t="shared" si="20"/>
        <v>0</v>
      </c>
      <c r="W58" s="2010">
        <v>7445.9157626880024</v>
      </c>
      <c r="X58" s="779"/>
      <c r="Y58" s="2012">
        <v>0</v>
      </c>
      <c r="Z58" s="780">
        <f t="shared" si="36"/>
        <v>12437.915762688002</v>
      </c>
      <c r="AA58" s="2007"/>
      <c r="AB58" s="2007"/>
      <c r="AC58" s="765"/>
      <c r="AD58" s="781">
        <f t="shared" si="24"/>
        <v>0</v>
      </c>
      <c r="AE58" s="781">
        <f t="shared" si="5"/>
        <v>0</v>
      </c>
      <c r="AF58" s="781">
        <f t="shared" si="25"/>
        <v>0</v>
      </c>
      <c r="AG58" s="781">
        <f t="shared" si="26"/>
        <v>0</v>
      </c>
      <c r="AH58" s="781">
        <f t="shared" si="8"/>
        <v>0</v>
      </c>
      <c r="AI58" s="782">
        <f t="shared" si="27"/>
        <v>0</v>
      </c>
      <c r="AJ58" s="781">
        <f t="shared" si="28"/>
        <v>0</v>
      </c>
      <c r="AK58" s="781">
        <f t="shared" si="11"/>
        <v>0</v>
      </c>
      <c r="AL58" s="781">
        <f t="shared" si="29"/>
        <v>0</v>
      </c>
      <c r="AM58" s="781">
        <f t="shared" si="30"/>
        <v>0</v>
      </c>
      <c r="AN58" s="781">
        <f t="shared" si="14"/>
        <v>0</v>
      </c>
      <c r="AO58" s="781">
        <f t="shared" si="31"/>
        <v>0</v>
      </c>
      <c r="AP58" s="781">
        <f t="shared" si="32"/>
        <v>0</v>
      </c>
      <c r="AQ58" s="781">
        <f t="shared" si="17"/>
        <v>0</v>
      </c>
      <c r="AR58" s="781">
        <f t="shared" si="33"/>
        <v>0</v>
      </c>
      <c r="AS58" s="783">
        <f t="shared" si="19"/>
        <v>0</v>
      </c>
    </row>
    <row r="59" spans="1:45" ht="15" x14ac:dyDescent="0.25">
      <c r="A59" s="784"/>
      <c r="B59" s="719">
        <f t="shared" si="22"/>
        <v>47</v>
      </c>
      <c r="C59" s="170" t="str">
        <f t="shared" si="0"/>
        <v>31EA</v>
      </c>
      <c r="D59" s="557"/>
      <c r="E59" s="170"/>
      <c r="F59" s="170">
        <v>31</v>
      </c>
      <c r="G59" s="2007" t="s">
        <v>2427</v>
      </c>
      <c r="H59" s="1926">
        <v>0</v>
      </c>
      <c r="I59" s="2008" t="s">
        <v>732</v>
      </c>
      <c r="J59" s="1926"/>
      <c r="K59" s="1926"/>
      <c r="L59" s="170"/>
      <c r="M59" s="2009">
        <v>32.842105263157897</v>
      </c>
      <c r="N59" s="2010">
        <v>1</v>
      </c>
      <c r="O59" s="773">
        <f t="shared" si="34"/>
        <v>32.842105263157897</v>
      </c>
      <c r="P59" s="2008" t="s">
        <v>39</v>
      </c>
      <c r="Q59" s="2008" t="s">
        <v>39</v>
      </c>
      <c r="R59" s="2011" t="s">
        <v>74</v>
      </c>
      <c r="S59" s="775">
        <f>SUMIF('Data Input sheet'!$B$118:$B$180,R59,'Data Input sheet'!$D$118:$D$180)</f>
        <v>152</v>
      </c>
      <c r="T59" s="2012">
        <f t="shared" si="35"/>
        <v>4992</v>
      </c>
      <c r="U59" s="2013">
        <v>0</v>
      </c>
      <c r="V59" s="778">
        <f t="shared" si="20"/>
        <v>0</v>
      </c>
      <c r="W59" s="2010">
        <v>7756.1622528000007</v>
      </c>
      <c r="X59" s="779"/>
      <c r="Y59" s="2012">
        <v>0</v>
      </c>
      <c r="Z59" s="780">
        <f t="shared" si="36"/>
        <v>12748.162252800001</v>
      </c>
      <c r="AA59" s="2007"/>
      <c r="AB59" s="2007"/>
      <c r="AC59" s="765"/>
      <c r="AD59" s="781">
        <f t="shared" si="24"/>
        <v>0</v>
      </c>
      <c r="AE59" s="781">
        <f t="shared" si="5"/>
        <v>0</v>
      </c>
      <c r="AF59" s="781">
        <f t="shared" si="25"/>
        <v>0</v>
      </c>
      <c r="AG59" s="781">
        <f t="shared" si="26"/>
        <v>0</v>
      </c>
      <c r="AH59" s="781">
        <f t="shared" si="8"/>
        <v>0</v>
      </c>
      <c r="AI59" s="782">
        <f t="shared" si="27"/>
        <v>0</v>
      </c>
      <c r="AJ59" s="781">
        <f t="shared" si="28"/>
        <v>0</v>
      </c>
      <c r="AK59" s="781">
        <f t="shared" si="11"/>
        <v>0</v>
      </c>
      <c r="AL59" s="781">
        <f t="shared" si="29"/>
        <v>0</v>
      </c>
      <c r="AM59" s="781">
        <f t="shared" si="30"/>
        <v>0</v>
      </c>
      <c r="AN59" s="781">
        <f t="shared" si="14"/>
        <v>0</v>
      </c>
      <c r="AO59" s="781">
        <f t="shared" si="31"/>
        <v>0</v>
      </c>
      <c r="AP59" s="781">
        <f t="shared" si="32"/>
        <v>0</v>
      </c>
      <c r="AQ59" s="781">
        <f t="shared" si="17"/>
        <v>0</v>
      </c>
      <c r="AR59" s="781">
        <f t="shared" si="33"/>
        <v>0</v>
      </c>
      <c r="AS59" s="783">
        <f t="shared" si="19"/>
        <v>0</v>
      </c>
    </row>
    <row r="60" spans="1:45" ht="15" x14ac:dyDescent="0.25">
      <c r="A60" s="784"/>
      <c r="B60" s="719">
        <f t="shared" si="22"/>
        <v>48</v>
      </c>
      <c r="C60" s="170" t="str">
        <f t="shared" si="0"/>
        <v>31LF</v>
      </c>
      <c r="D60" s="557"/>
      <c r="E60" s="170"/>
      <c r="F60" s="170">
        <v>31</v>
      </c>
      <c r="G60" s="2007" t="s">
        <v>815</v>
      </c>
      <c r="H60" s="1926"/>
      <c r="I60" s="2008" t="s">
        <v>728</v>
      </c>
      <c r="J60" s="1926"/>
      <c r="K60" s="1926"/>
      <c r="L60" s="170"/>
      <c r="M60" s="2009">
        <v>0.25</v>
      </c>
      <c r="N60" s="2010">
        <v>1</v>
      </c>
      <c r="O60" s="773">
        <f t="shared" si="34"/>
        <v>0.25</v>
      </c>
      <c r="P60" s="2008" t="s">
        <v>39</v>
      </c>
      <c r="Q60" s="2008" t="s">
        <v>39</v>
      </c>
      <c r="R60" s="2011" t="s">
        <v>74</v>
      </c>
      <c r="S60" s="775">
        <f>SUMIF('Data Input sheet'!$B$118:$B$180,R60,'Data Input sheet'!$D$118:$D$180)</f>
        <v>152</v>
      </c>
      <c r="T60" s="2012">
        <f t="shared" si="35"/>
        <v>38</v>
      </c>
      <c r="U60" s="2013">
        <v>0</v>
      </c>
      <c r="V60" s="778">
        <f t="shared" si="20"/>
        <v>0</v>
      </c>
      <c r="W60" s="2010">
        <v>0.62049298022400001</v>
      </c>
      <c r="X60" s="779"/>
      <c r="Y60" s="2012">
        <v>0</v>
      </c>
      <c r="Z60" s="780">
        <f t="shared" si="36"/>
        <v>38.620492980224</v>
      </c>
      <c r="AA60" s="2007"/>
      <c r="AB60" s="2007"/>
      <c r="AC60" s="765"/>
      <c r="AD60" s="781">
        <f t="shared" si="24"/>
        <v>0</v>
      </c>
      <c r="AE60" s="781">
        <f t="shared" si="5"/>
        <v>0</v>
      </c>
      <c r="AF60" s="781">
        <f t="shared" si="25"/>
        <v>0</v>
      </c>
      <c r="AG60" s="781">
        <f t="shared" si="26"/>
        <v>0</v>
      </c>
      <c r="AH60" s="781">
        <f t="shared" si="8"/>
        <v>0</v>
      </c>
      <c r="AI60" s="782">
        <f t="shared" si="27"/>
        <v>0</v>
      </c>
      <c r="AJ60" s="781">
        <f t="shared" si="28"/>
        <v>0</v>
      </c>
      <c r="AK60" s="781">
        <f t="shared" si="11"/>
        <v>0</v>
      </c>
      <c r="AL60" s="781">
        <f t="shared" si="29"/>
        <v>0</v>
      </c>
      <c r="AM60" s="781">
        <f t="shared" si="30"/>
        <v>0</v>
      </c>
      <c r="AN60" s="781">
        <f t="shared" si="14"/>
        <v>0</v>
      </c>
      <c r="AO60" s="781">
        <f t="shared" si="31"/>
        <v>0</v>
      </c>
      <c r="AP60" s="781">
        <f t="shared" si="32"/>
        <v>0</v>
      </c>
      <c r="AQ60" s="781">
        <f t="shared" si="17"/>
        <v>0</v>
      </c>
      <c r="AR60" s="781">
        <f t="shared" si="33"/>
        <v>0</v>
      </c>
      <c r="AS60" s="783">
        <f t="shared" si="19"/>
        <v>0</v>
      </c>
    </row>
    <row r="61" spans="1:45" ht="15" x14ac:dyDescent="0.25">
      <c r="A61" s="784"/>
      <c r="B61" s="719">
        <f t="shared" si="22"/>
        <v>49</v>
      </c>
      <c r="C61" s="170" t="str">
        <f t="shared" si="0"/>
        <v>31EA</v>
      </c>
      <c r="D61" s="557"/>
      <c r="E61" s="170"/>
      <c r="F61" s="170">
        <v>31</v>
      </c>
      <c r="G61" s="2007" t="s">
        <v>816</v>
      </c>
      <c r="H61" s="1926"/>
      <c r="I61" s="2008" t="s">
        <v>732</v>
      </c>
      <c r="J61" s="1926"/>
      <c r="K61" s="1926"/>
      <c r="L61" s="170"/>
      <c r="M61" s="2009">
        <v>20</v>
      </c>
      <c r="N61" s="2010">
        <v>1</v>
      </c>
      <c r="O61" s="773">
        <f t="shared" si="34"/>
        <v>20</v>
      </c>
      <c r="P61" s="2008" t="s">
        <v>39</v>
      </c>
      <c r="Q61" s="2008" t="s">
        <v>39</v>
      </c>
      <c r="R61" s="2011" t="s">
        <v>74</v>
      </c>
      <c r="S61" s="775">
        <f>SUMIF('Data Input sheet'!$B$118:$B$180,R61,'Data Input sheet'!$D$118:$D$180)</f>
        <v>152</v>
      </c>
      <c r="T61" s="2012">
        <f t="shared" si="35"/>
        <v>3040</v>
      </c>
      <c r="U61" s="2013">
        <v>0</v>
      </c>
      <c r="V61" s="778">
        <f t="shared" si="20"/>
        <v>0</v>
      </c>
      <c r="W61" s="2010">
        <v>2500</v>
      </c>
      <c r="X61" s="779"/>
      <c r="Y61" s="2012">
        <v>0</v>
      </c>
      <c r="Z61" s="780">
        <f t="shared" si="36"/>
        <v>5540</v>
      </c>
      <c r="AA61" s="2007"/>
      <c r="AB61" s="2007"/>
      <c r="AC61" s="765"/>
      <c r="AD61" s="781">
        <f t="shared" si="24"/>
        <v>0</v>
      </c>
      <c r="AE61" s="781">
        <f t="shared" si="5"/>
        <v>0</v>
      </c>
      <c r="AF61" s="781">
        <f t="shared" si="25"/>
        <v>0</v>
      </c>
      <c r="AG61" s="781">
        <f t="shared" si="26"/>
        <v>0</v>
      </c>
      <c r="AH61" s="781">
        <f t="shared" si="8"/>
        <v>0</v>
      </c>
      <c r="AI61" s="782">
        <f t="shared" si="27"/>
        <v>0</v>
      </c>
      <c r="AJ61" s="781">
        <f t="shared" si="28"/>
        <v>0</v>
      </c>
      <c r="AK61" s="781">
        <f t="shared" si="11"/>
        <v>0</v>
      </c>
      <c r="AL61" s="781">
        <f t="shared" si="29"/>
        <v>0</v>
      </c>
      <c r="AM61" s="781">
        <f t="shared" si="30"/>
        <v>0</v>
      </c>
      <c r="AN61" s="781">
        <f t="shared" si="14"/>
        <v>0</v>
      </c>
      <c r="AO61" s="781">
        <f t="shared" si="31"/>
        <v>0</v>
      </c>
      <c r="AP61" s="781">
        <f t="shared" si="32"/>
        <v>0</v>
      </c>
      <c r="AQ61" s="781">
        <f t="shared" si="17"/>
        <v>0</v>
      </c>
      <c r="AR61" s="781">
        <f t="shared" si="33"/>
        <v>0</v>
      </c>
      <c r="AS61" s="783">
        <f t="shared" si="19"/>
        <v>0</v>
      </c>
    </row>
    <row r="62" spans="1:45" ht="25.5" x14ac:dyDescent="0.25">
      <c r="A62" s="784"/>
      <c r="B62" s="719">
        <f t="shared" si="22"/>
        <v>50</v>
      </c>
      <c r="C62" s="170" t="str">
        <f t="shared" si="0"/>
        <v>31EA</v>
      </c>
      <c r="D62" s="557"/>
      <c r="E62" s="170"/>
      <c r="F62" s="170">
        <v>31</v>
      </c>
      <c r="G62" s="2007" t="s">
        <v>2799</v>
      </c>
      <c r="H62" s="1926">
        <v>0</v>
      </c>
      <c r="I62" s="2008" t="s">
        <v>732</v>
      </c>
      <c r="J62" s="1926"/>
      <c r="K62" s="1926"/>
      <c r="L62" s="170"/>
      <c r="M62" s="2009">
        <v>25.649684210526317</v>
      </c>
      <c r="N62" s="2010">
        <v>1</v>
      </c>
      <c r="O62" s="773">
        <f t="shared" si="34"/>
        <v>25.649684210526317</v>
      </c>
      <c r="P62" s="2008" t="s">
        <v>39</v>
      </c>
      <c r="Q62" s="2008" t="s">
        <v>39</v>
      </c>
      <c r="R62" s="2011" t="s">
        <v>74</v>
      </c>
      <c r="S62" s="775">
        <f>SUMIF('Data Input sheet'!$B$118:$B$180,R62,'Data Input sheet'!$D$118:$D$180)</f>
        <v>152</v>
      </c>
      <c r="T62" s="2012">
        <f t="shared" si="35"/>
        <v>3898.7520000000004</v>
      </c>
      <c r="U62" s="2013">
        <v>70</v>
      </c>
      <c r="V62" s="778">
        <f t="shared" si="20"/>
        <v>1795</v>
      </c>
      <c r="W62" s="2010">
        <v>4963.943841792001</v>
      </c>
      <c r="X62" s="779"/>
      <c r="Y62" s="2012">
        <v>0</v>
      </c>
      <c r="Z62" s="780">
        <f t="shared" si="36"/>
        <v>10657.695841792001</v>
      </c>
      <c r="AA62" s="2007"/>
      <c r="AB62" s="2007"/>
      <c r="AC62" s="765"/>
      <c r="AD62" s="781">
        <f t="shared" si="24"/>
        <v>0</v>
      </c>
      <c r="AE62" s="781">
        <f t="shared" si="5"/>
        <v>0</v>
      </c>
      <c r="AF62" s="781">
        <f t="shared" si="25"/>
        <v>0</v>
      </c>
      <c r="AG62" s="781">
        <f t="shared" si="26"/>
        <v>0</v>
      </c>
      <c r="AH62" s="781">
        <f t="shared" si="8"/>
        <v>0</v>
      </c>
      <c r="AI62" s="782">
        <f t="shared" si="27"/>
        <v>0</v>
      </c>
      <c r="AJ62" s="781">
        <f t="shared" si="28"/>
        <v>0</v>
      </c>
      <c r="AK62" s="781">
        <f t="shared" si="11"/>
        <v>0</v>
      </c>
      <c r="AL62" s="781">
        <f t="shared" si="29"/>
        <v>0</v>
      </c>
      <c r="AM62" s="781">
        <f t="shared" si="30"/>
        <v>0</v>
      </c>
      <c r="AN62" s="781">
        <f t="shared" si="14"/>
        <v>0</v>
      </c>
      <c r="AO62" s="781">
        <f t="shared" si="31"/>
        <v>0</v>
      </c>
      <c r="AP62" s="781">
        <f t="shared" si="32"/>
        <v>0</v>
      </c>
      <c r="AQ62" s="781">
        <f t="shared" si="17"/>
        <v>0</v>
      </c>
      <c r="AR62" s="781">
        <f t="shared" si="33"/>
        <v>0</v>
      </c>
      <c r="AS62" s="783">
        <f t="shared" si="19"/>
        <v>0</v>
      </c>
    </row>
    <row r="63" spans="1:45" ht="15" x14ac:dyDescent="0.25">
      <c r="A63" s="784"/>
      <c r="B63" s="719">
        <f t="shared" si="22"/>
        <v>51</v>
      </c>
      <c r="C63" s="170" t="str">
        <f t="shared" si="0"/>
        <v>31EA</v>
      </c>
      <c r="D63" s="557"/>
      <c r="E63" s="170"/>
      <c r="F63" s="170">
        <v>31</v>
      </c>
      <c r="G63" s="2007" t="s">
        <v>800</v>
      </c>
      <c r="H63" s="1926">
        <v>0</v>
      </c>
      <c r="I63" s="2008" t="s">
        <v>732</v>
      </c>
      <c r="J63" s="1926"/>
      <c r="K63" s="1926"/>
      <c r="L63" s="170"/>
      <c r="M63" s="2009">
        <v>10.526315789473685</v>
      </c>
      <c r="N63" s="2010">
        <v>1</v>
      </c>
      <c r="O63" s="773">
        <f t="shared" si="34"/>
        <v>10.526315789473685</v>
      </c>
      <c r="P63" s="2008" t="s">
        <v>39</v>
      </c>
      <c r="Q63" s="2008" t="s">
        <v>39</v>
      </c>
      <c r="R63" s="2011" t="s">
        <v>74</v>
      </c>
      <c r="S63" s="775">
        <f>SUMIF('Data Input sheet'!$B$118:$B$180,R63,'Data Input sheet'!$D$118:$D$180)</f>
        <v>152</v>
      </c>
      <c r="T63" s="2012">
        <f t="shared" si="35"/>
        <v>1600</v>
      </c>
      <c r="U63" s="2013">
        <v>175</v>
      </c>
      <c r="V63" s="778">
        <f t="shared" si="20"/>
        <v>1842</v>
      </c>
      <c r="W63" s="2010">
        <v>1551.2324505600002</v>
      </c>
      <c r="X63" s="779"/>
      <c r="Y63" s="2012">
        <v>0</v>
      </c>
      <c r="Z63" s="780">
        <f t="shared" si="36"/>
        <v>4993.23245056</v>
      </c>
      <c r="AA63" s="2007"/>
      <c r="AB63" s="2007"/>
      <c r="AC63" s="765"/>
      <c r="AD63" s="781">
        <f t="shared" si="24"/>
        <v>0</v>
      </c>
      <c r="AE63" s="781">
        <f t="shared" si="5"/>
        <v>0</v>
      </c>
      <c r="AF63" s="781">
        <f t="shared" si="25"/>
        <v>0</v>
      </c>
      <c r="AG63" s="781">
        <f t="shared" si="26"/>
        <v>0</v>
      </c>
      <c r="AH63" s="781">
        <f t="shared" si="8"/>
        <v>0</v>
      </c>
      <c r="AI63" s="782">
        <f t="shared" si="27"/>
        <v>0</v>
      </c>
      <c r="AJ63" s="781">
        <f t="shared" si="28"/>
        <v>0</v>
      </c>
      <c r="AK63" s="781">
        <f t="shared" si="11"/>
        <v>0</v>
      </c>
      <c r="AL63" s="781">
        <f t="shared" si="29"/>
        <v>0</v>
      </c>
      <c r="AM63" s="781">
        <f t="shared" si="30"/>
        <v>0</v>
      </c>
      <c r="AN63" s="781">
        <f t="shared" si="14"/>
        <v>0</v>
      </c>
      <c r="AO63" s="781">
        <f t="shared" si="31"/>
        <v>0</v>
      </c>
      <c r="AP63" s="781">
        <f t="shared" si="32"/>
        <v>0</v>
      </c>
      <c r="AQ63" s="781">
        <f t="shared" si="17"/>
        <v>0</v>
      </c>
      <c r="AR63" s="781">
        <f t="shared" si="33"/>
        <v>0</v>
      </c>
      <c r="AS63" s="783">
        <f t="shared" si="19"/>
        <v>0</v>
      </c>
    </row>
    <row r="64" spans="1:45" ht="25.5" x14ac:dyDescent="0.25">
      <c r="A64" s="784"/>
      <c r="B64" s="719">
        <f t="shared" si="22"/>
        <v>52</v>
      </c>
      <c r="C64" s="170" t="str">
        <f t="shared" si="0"/>
        <v>31EA</v>
      </c>
      <c r="D64" s="557"/>
      <c r="E64" s="170"/>
      <c r="F64" s="170">
        <v>31</v>
      </c>
      <c r="G64" s="2007" t="s">
        <v>2800</v>
      </c>
      <c r="H64" s="1926">
        <v>0</v>
      </c>
      <c r="I64" s="2008" t="s">
        <v>732</v>
      </c>
      <c r="J64" s="1926"/>
      <c r="K64" s="1926"/>
      <c r="L64" s="170"/>
      <c r="M64" s="2009">
        <v>180</v>
      </c>
      <c r="N64" s="2010">
        <v>1</v>
      </c>
      <c r="O64" s="773">
        <f t="shared" si="34"/>
        <v>180</v>
      </c>
      <c r="P64" s="2008" t="s">
        <v>39</v>
      </c>
      <c r="Q64" s="2008" t="s">
        <v>39</v>
      </c>
      <c r="R64" s="2011" t="s">
        <v>74</v>
      </c>
      <c r="S64" s="775">
        <f>SUMIF('Data Input sheet'!$B$118:$B$180,R64,'Data Input sheet'!$D$118:$D$180)</f>
        <v>152</v>
      </c>
      <c r="T64" s="2012">
        <f t="shared" si="35"/>
        <v>27360</v>
      </c>
      <c r="U64" s="2013">
        <v>60</v>
      </c>
      <c r="V64" s="778">
        <f t="shared" si="20"/>
        <v>10800</v>
      </c>
      <c r="W64" s="2010">
        <v>250000</v>
      </c>
      <c r="X64" s="779"/>
      <c r="Y64" s="2012">
        <v>0</v>
      </c>
      <c r="Z64" s="780">
        <f t="shared" si="36"/>
        <v>288160</v>
      </c>
      <c r="AA64" s="2007"/>
      <c r="AB64" s="2007"/>
      <c r="AC64" s="765"/>
      <c r="AD64" s="781">
        <f t="shared" si="24"/>
        <v>0</v>
      </c>
      <c r="AE64" s="781">
        <f t="shared" si="5"/>
        <v>0</v>
      </c>
      <c r="AF64" s="781">
        <f t="shared" si="25"/>
        <v>0</v>
      </c>
      <c r="AG64" s="781">
        <f t="shared" si="26"/>
        <v>0</v>
      </c>
      <c r="AH64" s="781">
        <f t="shared" si="8"/>
        <v>0</v>
      </c>
      <c r="AI64" s="782">
        <f t="shared" si="27"/>
        <v>0</v>
      </c>
      <c r="AJ64" s="781">
        <f t="shared" si="28"/>
        <v>0</v>
      </c>
      <c r="AK64" s="781">
        <f t="shared" si="11"/>
        <v>0</v>
      </c>
      <c r="AL64" s="781">
        <f t="shared" si="29"/>
        <v>0</v>
      </c>
      <c r="AM64" s="781">
        <f t="shared" si="30"/>
        <v>0</v>
      </c>
      <c r="AN64" s="781">
        <f t="shared" si="14"/>
        <v>0</v>
      </c>
      <c r="AO64" s="781">
        <f t="shared" si="31"/>
        <v>0</v>
      </c>
      <c r="AP64" s="781">
        <f t="shared" si="32"/>
        <v>0</v>
      </c>
      <c r="AQ64" s="781">
        <f t="shared" si="17"/>
        <v>0</v>
      </c>
      <c r="AR64" s="781">
        <f t="shared" si="33"/>
        <v>0</v>
      </c>
      <c r="AS64" s="783">
        <f t="shared" si="19"/>
        <v>0</v>
      </c>
    </row>
    <row r="65" spans="1:50" ht="15" x14ac:dyDescent="0.25">
      <c r="A65" s="784"/>
      <c r="B65" s="719">
        <f t="shared" si="22"/>
        <v>53</v>
      </c>
      <c r="C65" s="170" t="str">
        <f t="shared" si="0"/>
        <v>31LS</v>
      </c>
      <c r="D65" s="557"/>
      <c r="E65" s="170"/>
      <c r="F65" s="170">
        <v>31</v>
      </c>
      <c r="G65" s="2007" t="s">
        <v>2795</v>
      </c>
      <c r="H65" s="1926">
        <v>0</v>
      </c>
      <c r="I65" s="2008" t="s">
        <v>640</v>
      </c>
      <c r="J65" s="1926"/>
      <c r="K65" s="1926"/>
      <c r="L65" s="170"/>
      <c r="M65" s="2009">
        <v>300</v>
      </c>
      <c r="N65" s="2010">
        <v>1</v>
      </c>
      <c r="O65" s="773">
        <f t="shared" ref="O65:O68" si="57">+M65*N65</f>
        <v>300</v>
      </c>
      <c r="P65" s="2008" t="s">
        <v>39</v>
      </c>
      <c r="Q65" s="2008" t="s">
        <v>39</v>
      </c>
      <c r="R65" s="2011" t="s">
        <v>74</v>
      </c>
      <c r="S65" s="775">
        <f>SUMIF('Data Input sheet'!$B$118:$B$180,R65,'Data Input sheet'!$D$118:$D$180)</f>
        <v>152</v>
      </c>
      <c r="T65" s="2012">
        <f t="shared" ref="T65:T68" si="58">+O65*S65</f>
        <v>45600</v>
      </c>
      <c r="U65" s="2013">
        <v>50</v>
      </c>
      <c r="V65" s="778">
        <f t="shared" ref="V65:V68" si="59">ROUND(U65*O65,0)</f>
        <v>15000</v>
      </c>
      <c r="W65" s="2010"/>
      <c r="X65" s="779"/>
      <c r="Y65" s="2012">
        <v>0</v>
      </c>
      <c r="Z65" s="780">
        <f t="shared" ref="Z65:Z68" si="60">T65+V65+W65+Y65</f>
        <v>60600</v>
      </c>
      <c r="AA65" s="2007"/>
      <c r="AB65" s="2007"/>
      <c r="AC65" s="765"/>
      <c r="AD65" s="781">
        <f t="shared" ref="AD65:AD68" si="61">IF(P65="E",+ROUND(H65*O65,0),0)</f>
        <v>0</v>
      </c>
      <c r="AE65" s="781">
        <f t="shared" ref="AE65:AE68" si="62">+AF65-AD65</f>
        <v>0</v>
      </c>
      <c r="AF65" s="781">
        <f t="shared" ref="AF65:AF68" si="63">+H65*O65</f>
        <v>0</v>
      </c>
      <c r="AG65" s="781">
        <f t="shared" ref="AG65:AG68" si="64">IF(P65="E",+ROUND(T65*H65,0),0)</f>
        <v>0</v>
      </c>
      <c r="AH65" s="781">
        <f t="shared" ref="AH65:AH68" si="65">+AI65-AG65</f>
        <v>0</v>
      </c>
      <c r="AI65" s="782">
        <f t="shared" ref="AI65:AI68" si="66">+H65*T65</f>
        <v>0</v>
      </c>
      <c r="AJ65" s="781">
        <f t="shared" ref="AJ65:AJ68" si="67">IF(P65="E",+ROUND(V65*H65,0),0)</f>
        <v>0</v>
      </c>
      <c r="AK65" s="781">
        <f t="shared" ref="AK65:AK68" si="68">+AL65-AJ65</f>
        <v>0</v>
      </c>
      <c r="AL65" s="781">
        <f t="shared" ref="AL65:AL68" si="69">ROUND(V65*H65,0)</f>
        <v>0</v>
      </c>
      <c r="AM65" s="781">
        <f t="shared" ref="AM65:AM68" si="70">IF(Q65="E",+ROUND(W65*H65,0),0)</f>
        <v>0</v>
      </c>
      <c r="AN65" s="781">
        <f t="shared" ref="AN65:AN68" si="71">+AO65-AM65</f>
        <v>0</v>
      </c>
      <c r="AO65" s="781">
        <f t="shared" ref="AO65:AO68" si="72">ROUND(W65*H65,0)</f>
        <v>0</v>
      </c>
      <c r="AP65" s="781">
        <f t="shared" ref="AP65:AP68" si="73">IF(P65="E",+ROUND(Y65*H65,0),0)</f>
        <v>0</v>
      </c>
      <c r="AQ65" s="781">
        <f t="shared" ref="AQ65:AQ68" si="74">+AR65-AP65</f>
        <v>0</v>
      </c>
      <c r="AR65" s="781">
        <f t="shared" ref="AR65:AR68" si="75">ROUND(Y65*H65,0)</f>
        <v>0</v>
      </c>
      <c r="AS65" s="783">
        <f t="shared" ref="AS65:AS68" si="76">+AR65+AO65+AL65+AI65</f>
        <v>0</v>
      </c>
    </row>
    <row r="66" spans="1:50" ht="25.5" x14ac:dyDescent="0.25">
      <c r="A66" s="784"/>
      <c r="B66" s="719">
        <f t="shared" si="22"/>
        <v>54</v>
      </c>
      <c r="C66" s="170" t="str">
        <f t="shared" si="0"/>
        <v>31LS</v>
      </c>
      <c r="D66" s="557"/>
      <c r="E66" s="170"/>
      <c r="F66" s="170">
        <v>31</v>
      </c>
      <c r="G66" s="2007" t="s">
        <v>2796</v>
      </c>
      <c r="H66" s="1926"/>
      <c r="I66" s="2008" t="s">
        <v>640</v>
      </c>
      <c r="J66" s="1926"/>
      <c r="K66" s="1926"/>
      <c r="L66" s="170"/>
      <c r="M66" s="2009"/>
      <c r="N66" s="2010">
        <v>1</v>
      </c>
      <c r="O66" s="773">
        <f t="shared" si="57"/>
        <v>0</v>
      </c>
      <c r="P66" s="2008" t="s">
        <v>39</v>
      </c>
      <c r="Q66" s="2008" t="s">
        <v>39</v>
      </c>
      <c r="R66" s="2011" t="s">
        <v>74</v>
      </c>
      <c r="S66" s="775">
        <f>SUMIF('Data Input sheet'!$B$118:$B$180,R66,'Data Input sheet'!$D$118:$D$180)</f>
        <v>152</v>
      </c>
      <c r="T66" s="2012">
        <f t="shared" si="58"/>
        <v>0</v>
      </c>
      <c r="U66" s="2013">
        <v>0</v>
      </c>
      <c r="V66" s="778">
        <f t="shared" si="59"/>
        <v>0</v>
      </c>
      <c r="W66" s="2010"/>
      <c r="X66" s="779"/>
      <c r="Y66" s="2012">
        <v>0</v>
      </c>
      <c r="Z66" s="780">
        <f t="shared" si="60"/>
        <v>0</v>
      </c>
      <c r="AA66" s="2007"/>
      <c r="AB66" s="2007"/>
      <c r="AC66" s="765"/>
      <c r="AD66" s="781">
        <f t="shared" si="61"/>
        <v>0</v>
      </c>
      <c r="AE66" s="781">
        <f t="shared" si="62"/>
        <v>0</v>
      </c>
      <c r="AF66" s="781">
        <f t="shared" si="63"/>
        <v>0</v>
      </c>
      <c r="AG66" s="781">
        <f t="shared" si="64"/>
        <v>0</v>
      </c>
      <c r="AH66" s="781">
        <f t="shared" si="65"/>
        <v>0</v>
      </c>
      <c r="AI66" s="782">
        <f t="shared" si="66"/>
        <v>0</v>
      </c>
      <c r="AJ66" s="781">
        <f t="shared" si="67"/>
        <v>0</v>
      </c>
      <c r="AK66" s="781">
        <f t="shared" si="68"/>
        <v>0</v>
      </c>
      <c r="AL66" s="781">
        <f t="shared" si="69"/>
        <v>0</v>
      </c>
      <c r="AM66" s="781">
        <f t="shared" si="70"/>
        <v>0</v>
      </c>
      <c r="AN66" s="781">
        <f t="shared" si="71"/>
        <v>0</v>
      </c>
      <c r="AO66" s="781">
        <f t="shared" si="72"/>
        <v>0</v>
      </c>
      <c r="AP66" s="781">
        <f t="shared" si="73"/>
        <v>0</v>
      </c>
      <c r="AQ66" s="781">
        <f t="shared" si="74"/>
        <v>0</v>
      </c>
      <c r="AR66" s="781">
        <f t="shared" si="75"/>
        <v>0</v>
      </c>
      <c r="AS66" s="783">
        <f t="shared" si="76"/>
        <v>0</v>
      </c>
    </row>
    <row r="67" spans="1:50" ht="15" x14ac:dyDescent="0.25">
      <c r="A67" s="784"/>
      <c r="B67" s="719">
        <f t="shared" si="22"/>
        <v>55</v>
      </c>
      <c r="C67" s="170" t="str">
        <f t="shared" si="0"/>
        <v>31EA</v>
      </c>
      <c r="D67" s="557"/>
      <c r="E67" s="170"/>
      <c r="F67" s="170">
        <v>31</v>
      </c>
      <c r="G67" s="2007" t="s">
        <v>2797</v>
      </c>
      <c r="H67" s="1926">
        <v>0</v>
      </c>
      <c r="I67" s="2008" t="s">
        <v>732</v>
      </c>
      <c r="J67" s="1926"/>
      <c r="K67" s="1926"/>
      <c r="L67" s="170"/>
      <c r="M67" s="2009">
        <v>3</v>
      </c>
      <c r="N67" s="2010">
        <v>1</v>
      </c>
      <c r="O67" s="773">
        <f t="shared" si="57"/>
        <v>3</v>
      </c>
      <c r="P67" s="2008" t="s">
        <v>39</v>
      </c>
      <c r="Q67" s="2008" t="s">
        <v>39</v>
      </c>
      <c r="R67" s="2011" t="s">
        <v>74</v>
      </c>
      <c r="S67" s="775">
        <f>SUMIF('Data Input sheet'!$B$118:$B$180,R67,'Data Input sheet'!$D$118:$D$180)</f>
        <v>152</v>
      </c>
      <c r="T67" s="2012">
        <f t="shared" si="58"/>
        <v>456</v>
      </c>
      <c r="U67" s="2013">
        <v>25</v>
      </c>
      <c r="V67" s="778">
        <f t="shared" si="59"/>
        <v>75</v>
      </c>
      <c r="W67" s="2010">
        <v>110</v>
      </c>
      <c r="X67" s="779"/>
      <c r="Y67" s="2012">
        <v>0</v>
      </c>
      <c r="Z67" s="780">
        <f t="shared" si="60"/>
        <v>641</v>
      </c>
      <c r="AA67" s="2007"/>
      <c r="AB67" s="2007"/>
      <c r="AC67" s="765"/>
      <c r="AD67" s="781">
        <f t="shared" si="61"/>
        <v>0</v>
      </c>
      <c r="AE67" s="781">
        <f t="shared" si="62"/>
        <v>0</v>
      </c>
      <c r="AF67" s="781">
        <f t="shared" si="63"/>
        <v>0</v>
      </c>
      <c r="AG67" s="781">
        <f t="shared" si="64"/>
        <v>0</v>
      </c>
      <c r="AH67" s="781">
        <f t="shared" si="65"/>
        <v>0</v>
      </c>
      <c r="AI67" s="782">
        <f t="shared" si="66"/>
        <v>0</v>
      </c>
      <c r="AJ67" s="781">
        <f t="shared" si="67"/>
        <v>0</v>
      </c>
      <c r="AK67" s="781">
        <f t="shared" si="68"/>
        <v>0</v>
      </c>
      <c r="AL67" s="781">
        <f t="shared" si="69"/>
        <v>0</v>
      </c>
      <c r="AM67" s="781">
        <f t="shared" si="70"/>
        <v>0</v>
      </c>
      <c r="AN67" s="781">
        <f t="shared" si="71"/>
        <v>0</v>
      </c>
      <c r="AO67" s="781">
        <f t="shared" si="72"/>
        <v>0</v>
      </c>
      <c r="AP67" s="781">
        <f t="shared" si="73"/>
        <v>0</v>
      </c>
      <c r="AQ67" s="781">
        <f t="shared" si="74"/>
        <v>0</v>
      </c>
      <c r="AR67" s="781">
        <f t="shared" si="75"/>
        <v>0</v>
      </c>
      <c r="AS67" s="783">
        <f t="shared" si="76"/>
        <v>0</v>
      </c>
    </row>
    <row r="68" spans="1:50" ht="25.5" x14ac:dyDescent="0.25">
      <c r="A68" s="784"/>
      <c r="B68" s="719">
        <f t="shared" si="22"/>
        <v>56</v>
      </c>
      <c r="C68" s="170" t="str">
        <f t="shared" si="0"/>
        <v>31LS</v>
      </c>
      <c r="D68" s="557"/>
      <c r="E68" s="170"/>
      <c r="F68" s="170">
        <v>31</v>
      </c>
      <c r="G68" s="2007" t="s">
        <v>2798</v>
      </c>
      <c r="H68" s="1926">
        <v>0</v>
      </c>
      <c r="I68" s="2008" t="s">
        <v>640</v>
      </c>
      <c r="J68" s="1926"/>
      <c r="K68" s="1926"/>
      <c r="L68" s="170"/>
      <c r="M68" s="2009">
        <v>100</v>
      </c>
      <c r="N68" s="2010">
        <v>1</v>
      </c>
      <c r="O68" s="773">
        <f t="shared" si="57"/>
        <v>100</v>
      </c>
      <c r="P68" s="2008" t="s">
        <v>39</v>
      </c>
      <c r="Q68" s="2008" t="s">
        <v>39</v>
      </c>
      <c r="R68" s="2011" t="s">
        <v>74</v>
      </c>
      <c r="S68" s="775">
        <f>SUMIF('Data Input sheet'!$B$118:$B$180,R68,'Data Input sheet'!$D$118:$D$180)</f>
        <v>152</v>
      </c>
      <c r="T68" s="2012">
        <f t="shared" si="58"/>
        <v>15200</v>
      </c>
      <c r="U68" s="2013">
        <v>25</v>
      </c>
      <c r="V68" s="778">
        <f t="shared" si="59"/>
        <v>2500</v>
      </c>
      <c r="W68" s="2010">
        <v>5000</v>
      </c>
      <c r="X68" s="779"/>
      <c r="Y68" s="2012">
        <v>0</v>
      </c>
      <c r="Z68" s="780">
        <f t="shared" si="60"/>
        <v>22700</v>
      </c>
      <c r="AA68" s="2007"/>
      <c r="AB68" s="2007"/>
      <c r="AC68" s="765"/>
      <c r="AD68" s="781">
        <f t="shared" si="61"/>
        <v>0</v>
      </c>
      <c r="AE68" s="781">
        <f t="shared" si="62"/>
        <v>0</v>
      </c>
      <c r="AF68" s="781">
        <f t="shared" si="63"/>
        <v>0</v>
      </c>
      <c r="AG68" s="781">
        <f t="shared" si="64"/>
        <v>0</v>
      </c>
      <c r="AH68" s="781">
        <f t="shared" si="65"/>
        <v>0</v>
      </c>
      <c r="AI68" s="782">
        <f t="shared" si="66"/>
        <v>0</v>
      </c>
      <c r="AJ68" s="781">
        <f t="shared" si="67"/>
        <v>0</v>
      </c>
      <c r="AK68" s="781">
        <f t="shared" si="68"/>
        <v>0</v>
      </c>
      <c r="AL68" s="781">
        <f t="shared" si="69"/>
        <v>0</v>
      </c>
      <c r="AM68" s="781">
        <f t="shared" si="70"/>
        <v>0</v>
      </c>
      <c r="AN68" s="781">
        <f t="shared" si="71"/>
        <v>0</v>
      </c>
      <c r="AO68" s="781">
        <f t="shared" si="72"/>
        <v>0</v>
      </c>
      <c r="AP68" s="781">
        <f t="shared" si="73"/>
        <v>0</v>
      </c>
      <c r="AQ68" s="781">
        <f t="shared" si="74"/>
        <v>0</v>
      </c>
      <c r="AR68" s="781">
        <f t="shared" si="75"/>
        <v>0</v>
      </c>
      <c r="AS68" s="783">
        <f t="shared" si="76"/>
        <v>0</v>
      </c>
    </row>
    <row r="69" spans="1:50" ht="15" x14ac:dyDescent="0.25">
      <c r="A69" s="784"/>
      <c r="B69" s="719">
        <f t="shared" si="22"/>
        <v>57</v>
      </c>
      <c r="C69" s="170" t="str">
        <f t="shared" si="0"/>
        <v/>
      </c>
      <c r="D69" s="557"/>
      <c r="E69" s="170"/>
      <c r="F69" s="170"/>
      <c r="G69" s="2007"/>
      <c r="H69" s="1926"/>
      <c r="I69" s="2008"/>
      <c r="J69" s="1926"/>
      <c r="K69" s="1926"/>
      <c r="L69" s="170"/>
      <c r="M69" s="2009">
        <v>0</v>
      </c>
      <c r="N69" s="2010">
        <v>1</v>
      </c>
      <c r="O69" s="773">
        <f t="shared" si="34"/>
        <v>0</v>
      </c>
      <c r="P69" s="2008" t="s">
        <v>39</v>
      </c>
      <c r="Q69" s="2008" t="s">
        <v>39</v>
      </c>
      <c r="R69" s="2011" t="s">
        <v>74</v>
      </c>
      <c r="S69" s="775">
        <f>SUMIF('Data Input sheet'!$B$118:$B$180,R69,'Data Input sheet'!$D$118:$D$180)</f>
        <v>152</v>
      </c>
      <c r="T69" s="2012">
        <f t="shared" si="35"/>
        <v>0</v>
      </c>
      <c r="U69" s="2013">
        <v>0</v>
      </c>
      <c r="V69" s="778">
        <f t="shared" si="20"/>
        <v>0</v>
      </c>
      <c r="W69" s="2010"/>
      <c r="X69" s="779"/>
      <c r="Y69" s="2012">
        <v>0</v>
      </c>
      <c r="Z69" s="780">
        <f t="shared" si="36"/>
        <v>0</v>
      </c>
      <c r="AA69" s="2007"/>
      <c r="AB69" s="2007"/>
      <c r="AC69" s="765"/>
      <c r="AD69" s="781">
        <f t="shared" si="24"/>
        <v>0</v>
      </c>
      <c r="AE69" s="781">
        <f t="shared" si="5"/>
        <v>0</v>
      </c>
      <c r="AF69" s="781">
        <f t="shared" si="25"/>
        <v>0</v>
      </c>
      <c r="AG69" s="781">
        <f t="shared" si="26"/>
        <v>0</v>
      </c>
      <c r="AH69" s="781">
        <f t="shared" si="8"/>
        <v>0</v>
      </c>
      <c r="AI69" s="782">
        <f t="shared" si="27"/>
        <v>0</v>
      </c>
      <c r="AJ69" s="781">
        <f t="shared" si="28"/>
        <v>0</v>
      </c>
      <c r="AK69" s="781">
        <f t="shared" si="11"/>
        <v>0</v>
      </c>
      <c r="AL69" s="781">
        <f t="shared" si="29"/>
        <v>0</v>
      </c>
      <c r="AM69" s="781">
        <f t="shared" si="30"/>
        <v>0</v>
      </c>
      <c r="AN69" s="781">
        <f t="shared" si="14"/>
        <v>0</v>
      </c>
      <c r="AO69" s="781">
        <f t="shared" si="31"/>
        <v>0</v>
      </c>
      <c r="AP69" s="781">
        <f t="shared" si="32"/>
        <v>0</v>
      </c>
      <c r="AQ69" s="781">
        <f t="shared" si="17"/>
        <v>0</v>
      </c>
      <c r="AR69" s="781">
        <f t="shared" si="33"/>
        <v>0</v>
      </c>
      <c r="AS69" s="783">
        <f t="shared" si="19"/>
        <v>0</v>
      </c>
    </row>
    <row r="70" spans="1:50" ht="15" x14ac:dyDescent="0.25">
      <c r="A70" s="784"/>
      <c r="B70" s="719">
        <f t="shared" si="22"/>
        <v>58</v>
      </c>
      <c r="C70" s="170" t="str">
        <f t="shared" si="0"/>
        <v/>
      </c>
      <c r="D70" s="557"/>
      <c r="E70" s="170"/>
      <c r="F70" s="170"/>
      <c r="G70" s="2007"/>
      <c r="H70" s="1926"/>
      <c r="I70" s="2008"/>
      <c r="J70" s="1926"/>
      <c r="K70" s="1926"/>
      <c r="L70" s="170"/>
      <c r="M70" s="2009">
        <v>0</v>
      </c>
      <c r="N70" s="2010">
        <v>1</v>
      </c>
      <c r="O70" s="773">
        <f t="shared" si="34"/>
        <v>0</v>
      </c>
      <c r="P70" s="2008" t="s">
        <v>39</v>
      </c>
      <c r="Q70" s="2008" t="s">
        <v>39</v>
      </c>
      <c r="R70" s="2011" t="s">
        <v>74</v>
      </c>
      <c r="S70" s="775">
        <f>SUMIF('Data Input sheet'!$B$118:$B$180,R70,'Data Input sheet'!$D$118:$D$180)</f>
        <v>152</v>
      </c>
      <c r="T70" s="2012">
        <f t="shared" si="35"/>
        <v>0</v>
      </c>
      <c r="U70" s="2013">
        <v>0</v>
      </c>
      <c r="V70" s="778">
        <f t="shared" si="20"/>
        <v>0</v>
      </c>
      <c r="W70" s="2010"/>
      <c r="X70" s="779"/>
      <c r="Y70" s="2012">
        <v>0</v>
      </c>
      <c r="Z70" s="780">
        <f t="shared" si="36"/>
        <v>0</v>
      </c>
      <c r="AA70" s="2007"/>
      <c r="AB70" s="2007"/>
      <c r="AC70" s="765"/>
      <c r="AD70" s="781">
        <f t="shared" si="24"/>
        <v>0</v>
      </c>
      <c r="AE70" s="781">
        <f t="shared" si="5"/>
        <v>0</v>
      </c>
      <c r="AF70" s="781">
        <f t="shared" si="25"/>
        <v>0</v>
      </c>
      <c r="AG70" s="781">
        <f t="shared" si="26"/>
        <v>0</v>
      </c>
      <c r="AH70" s="781">
        <f t="shared" si="8"/>
        <v>0</v>
      </c>
      <c r="AI70" s="782">
        <f t="shared" si="27"/>
        <v>0</v>
      </c>
      <c r="AJ70" s="781">
        <f t="shared" si="28"/>
        <v>0</v>
      </c>
      <c r="AK70" s="781">
        <f t="shared" si="11"/>
        <v>0</v>
      </c>
      <c r="AL70" s="781">
        <f t="shared" si="29"/>
        <v>0</v>
      </c>
      <c r="AM70" s="781">
        <f t="shared" si="30"/>
        <v>0</v>
      </c>
      <c r="AN70" s="781">
        <f t="shared" si="14"/>
        <v>0</v>
      </c>
      <c r="AO70" s="781">
        <f t="shared" si="31"/>
        <v>0</v>
      </c>
      <c r="AP70" s="781">
        <f t="shared" si="32"/>
        <v>0</v>
      </c>
      <c r="AQ70" s="781">
        <f t="shared" si="17"/>
        <v>0</v>
      </c>
      <c r="AR70" s="781">
        <f t="shared" si="33"/>
        <v>0</v>
      </c>
      <c r="AS70" s="783">
        <f t="shared" si="19"/>
        <v>0</v>
      </c>
    </row>
    <row r="71" spans="1:50" ht="15" x14ac:dyDescent="0.25">
      <c r="A71" s="784"/>
      <c r="B71" s="719">
        <f t="shared" si="22"/>
        <v>59</v>
      </c>
      <c r="C71" s="170" t="str">
        <f t="shared" si="0"/>
        <v/>
      </c>
      <c r="D71" s="557"/>
      <c r="E71" s="170"/>
      <c r="F71" s="170"/>
      <c r="G71" s="2007"/>
      <c r="H71" s="1926"/>
      <c r="I71" s="2008"/>
      <c r="J71" s="1926"/>
      <c r="K71" s="1926"/>
      <c r="L71" s="170"/>
      <c r="M71" s="2009">
        <v>0</v>
      </c>
      <c r="N71" s="2010">
        <v>1</v>
      </c>
      <c r="O71" s="773">
        <f t="shared" si="34"/>
        <v>0</v>
      </c>
      <c r="P71" s="2008" t="s">
        <v>39</v>
      </c>
      <c r="Q71" s="2008" t="s">
        <v>39</v>
      </c>
      <c r="R71" s="2011" t="s">
        <v>74</v>
      </c>
      <c r="S71" s="775">
        <f>SUMIF('Data Input sheet'!$B$118:$B$180,R71,'Data Input sheet'!$D$118:$D$180)</f>
        <v>152</v>
      </c>
      <c r="T71" s="2012">
        <f t="shared" si="35"/>
        <v>0</v>
      </c>
      <c r="U71" s="2013">
        <v>0</v>
      </c>
      <c r="V71" s="778">
        <f t="shared" si="20"/>
        <v>0</v>
      </c>
      <c r="W71" s="2010"/>
      <c r="X71" s="779"/>
      <c r="Y71" s="2012">
        <v>0</v>
      </c>
      <c r="Z71" s="780">
        <f t="shared" si="36"/>
        <v>0</v>
      </c>
      <c r="AA71" s="2007"/>
      <c r="AB71" s="2007"/>
      <c r="AC71" s="765"/>
      <c r="AD71" s="781">
        <f t="shared" si="24"/>
        <v>0</v>
      </c>
      <c r="AE71" s="781">
        <f t="shared" si="5"/>
        <v>0</v>
      </c>
      <c r="AF71" s="781">
        <f t="shared" si="25"/>
        <v>0</v>
      </c>
      <c r="AG71" s="781">
        <f t="shared" si="26"/>
        <v>0</v>
      </c>
      <c r="AH71" s="781">
        <f t="shared" si="8"/>
        <v>0</v>
      </c>
      <c r="AI71" s="782">
        <f t="shared" si="27"/>
        <v>0</v>
      </c>
      <c r="AJ71" s="781">
        <f t="shared" si="28"/>
        <v>0</v>
      </c>
      <c r="AK71" s="781">
        <f t="shared" si="11"/>
        <v>0</v>
      </c>
      <c r="AL71" s="781">
        <f t="shared" si="29"/>
        <v>0</v>
      </c>
      <c r="AM71" s="781">
        <f t="shared" si="30"/>
        <v>0</v>
      </c>
      <c r="AN71" s="781">
        <f t="shared" si="14"/>
        <v>0</v>
      </c>
      <c r="AO71" s="781">
        <f t="shared" si="31"/>
        <v>0</v>
      </c>
      <c r="AP71" s="781">
        <f t="shared" si="32"/>
        <v>0</v>
      </c>
      <c r="AQ71" s="781">
        <f t="shared" si="17"/>
        <v>0</v>
      </c>
      <c r="AR71" s="781">
        <f t="shared" si="33"/>
        <v>0</v>
      </c>
      <c r="AS71" s="783">
        <f t="shared" si="19"/>
        <v>0</v>
      </c>
    </row>
    <row r="72" spans="1:50" ht="15" x14ac:dyDescent="0.25">
      <c r="A72" s="784"/>
      <c r="B72" s="719">
        <f t="shared" si="22"/>
        <v>60</v>
      </c>
      <c r="C72" s="170" t="str">
        <f t="shared" si="0"/>
        <v/>
      </c>
      <c r="D72" s="557"/>
      <c r="E72" s="170"/>
      <c r="F72" s="170"/>
      <c r="G72" s="2007"/>
      <c r="H72" s="1926"/>
      <c r="I72" s="2008"/>
      <c r="J72" s="1926"/>
      <c r="K72" s="1926"/>
      <c r="L72" s="170"/>
      <c r="M72" s="2009">
        <v>0</v>
      </c>
      <c r="N72" s="2010">
        <v>1</v>
      </c>
      <c r="O72" s="773">
        <f t="shared" si="34"/>
        <v>0</v>
      </c>
      <c r="P72" s="2008" t="s">
        <v>39</v>
      </c>
      <c r="Q72" s="2008" t="s">
        <v>39</v>
      </c>
      <c r="R72" s="2011" t="s">
        <v>74</v>
      </c>
      <c r="S72" s="775">
        <f>SUMIF('Data Input sheet'!$B$118:$B$180,R72,'Data Input sheet'!$D$118:$D$180)</f>
        <v>152</v>
      </c>
      <c r="T72" s="2012">
        <f t="shared" si="35"/>
        <v>0</v>
      </c>
      <c r="U72" s="2013">
        <v>0</v>
      </c>
      <c r="V72" s="778">
        <f t="shared" si="20"/>
        <v>0</v>
      </c>
      <c r="W72" s="2010"/>
      <c r="X72" s="779"/>
      <c r="Y72" s="2012">
        <v>0</v>
      </c>
      <c r="Z72" s="780">
        <f t="shared" si="36"/>
        <v>0</v>
      </c>
      <c r="AA72" s="2007"/>
      <c r="AB72" s="2007"/>
      <c r="AC72" s="765"/>
      <c r="AD72" s="781">
        <f t="shared" si="24"/>
        <v>0</v>
      </c>
      <c r="AE72" s="781">
        <f t="shared" si="5"/>
        <v>0</v>
      </c>
      <c r="AF72" s="781">
        <f t="shared" si="25"/>
        <v>0</v>
      </c>
      <c r="AG72" s="781">
        <f t="shared" si="26"/>
        <v>0</v>
      </c>
      <c r="AH72" s="781">
        <f t="shared" si="8"/>
        <v>0</v>
      </c>
      <c r="AI72" s="782">
        <f t="shared" si="27"/>
        <v>0</v>
      </c>
      <c r="AJ72" s="781">
        <f t="shared" si="28"/>
        <v>0</v>
      </c>
      <c r="AK72" s="781">
        <f t="shared" si="11"/>
        <v>0</v>
      </c>
      <c r="AL72" s="781">
        <f t="shared" si="29"/>
        <v>0</v>
      </c>
      <c r="AM72" s="781">
        <f t="shared" si="30"/>
        <v>0</v>
      </c>
      <c r="AN72" s="781">
        <f t="shared" si="14"/>
        <v>0</v>
      </c>
      <c r="AO72" s="781">
        <f t="shared" si="31"/>
        <v>0</v>
      </c>
      <c r="AP72" s="781">
        <f t="shared" si="32"/>
        <v>0</v>
      </c>
      <c r="AQ72" s="781">
        <f t="shared" si="17"/>
        <v>0</v>
      </c>
      <c r="AR72" s="781">
        <f t="shared" si="33"/>
        <v>0</v>
      </c>
      <c r="AS72" s="783">
        <f t="shared" si="19"/>
        <v>0</v>
      </c>
    </row>
    <row r="73" spans="1:50" ht="15" x14ac:dyDescent="0.25">
      <c r="A73" s="784"/>
      <c r="B73" s="719">
        <f t="shared" si="22"/>
        <v>61</v>
      </c>
      <c r="C73" s="170" t="str">
        <f t="shared" ref="C73:C81" si="77">+F73&amp;I73</f>
        <v/>
      </c>
      <c r="D73" s="557"/>
      <c r="E73" s="170"/>
      <c r="F73" s="170"/>
      <c r="G73" s="2007"/>
      <c r="H73" s="1926"/>
      <c r="I73" s="2008"/>
      <c r="J73" s="1926"/>
      <c r="K73" s="1926"/>
      <c r="L73" s="170"/>
      <c r="M73" s="2009">
        <v>0</v>
      </c>
      <c r="N73" s="2010">
        <v>1</v>
      </c>
      <c r="O73" s="773">
        <f t="shared" si="34"/>
        <v>0</v>
      </c>
      <c r="P73" s="2008" t="s">
        <v>39</v>
      </c>
      <c r="Q73" s="2008" t="s">
        <v>39</v>
      </c>
      <c r="R73" s="2011" t="s">
        <v>74</v>
      </c>
      <c r="S73" s="775">
        <f>SUMIF('Data Input sheet'!$B$118:$B$180,R73,'Data Input sheet'!$D$118:$D$180)</f>
        <v>152</v>
      </c>
      <c r="T73" s="2012">
        <f t="shared" si="35"/>
        <v>0</v>
      </c>
      <c r="U73" s="2013">
        <v>0</v>
      </c>
      <c r="V73" s="778">
        <f t="shared" si="20"/>
        <v>0</v>
      </c>
      <c r="W73" s="2010"/>
      <c r="X73" s="779"/>
      <c r="Y73" s="2012">
        <v>0</v>
      </c>
      <c r="Z73" s="780">
        <f t="shared" si="36"/>
        <v>0</v>
      </c>
      <c r="AA73" s="2007"/>
      <c r="AB73" s="2007"/>
      <c r="AC73" s="765"/>
      <c r="AD73" s="781">
        <f t="shared" si="24"/>
        <v>0</v>
      </c>
      <c r="AE73" s="781">
        <f t="shared" si="5"/>
        <v>0</v>
      </c>
      <c r="AF73" s="781">
        <f t="shared" si="25"/>
        <v>0</v>
      </c>
      <c r="AG73" s="781">
        <f t="shared" si="26"/>
        <v>0</v>
      </c>
      <c r="AH73" s="781">
        <f t="shared" si="8"/>
        <v>0</v>
      </c>
      <c r="AI73" s="782">
        <f t="shared" si="27"/>
        <v>0</v>
      </c>
      <c r="AJ73" s="781">
        <f t="shared" si="28"/>
        <v>0</v>
      </c>
      <c r="AK73" s="781">
        <f t="shared" si="11"/>
        <v>0</v>
      </c>
      <c r="AL73" s="781">
        <f t="shared" si="29"/>
        <v>0</v>
      </c>
      <c r="AM73" s="781">
        <f t="shared" si="30"/>
        <v>0</v>
      </c>
      <c r="AN73" s="781">
        <f t="shared" si="14"/>
        <v>0</v>
      </c>
      <c r="AO73" s="781">
        <f t="shared" si="31"/>
        <v>0</v>
      </c>
      <c r="AP73" s="781">
        <f t="shared" si="32"/>
        <v>0</v>
      </c>
      <c r="AQ73" s="781">
        <f t="shared" si="17"/>
        <v>0</v>
      </c>
      <c r="AR73" s="781">
        <f t="shared" si="33"/>
        <v>0</v>
      </c>
      <c r="AS73" s="783">
        <f t="shared" si="19"/>
        <v>0</v>
      </c>
    </row>
    <row r="74" spans="1:50" ht="15" x14ac:dyDescent="0.25">
      <c r="A74" s="784"/>
      <c r="B74" s="719">
        <f t="shared" si="22"/>
        <v>62</v>
      </c>
      <c r="C74" s="170" t="str">
        <f t="shared" si="77"/>
        <v/>
      </c>
      <c r="D74" s="557"/>
      <c r="E74" s="170"/>
      <c r="F74" s="170"/>
      <c r="G74" s="2007"/>
      <c r="H74" s="1926"/>
      <c r="I74" s="2008"/>
      <c r="J74" s="1926"/>
      <c r="K74" s="1926"/>
      <c r="L74" s="170"/>
      <c r="M74" s="2009">
        <v>0</v>
      </c>
      <c r="N74" s="2010">
        <v>1</v>
      </c>
      <c r="O74" s="773">
        <f t="shared" si="34"/>
        <v>0</v>
      </c>
      <c r="P74" s="2008" t="s">
        <v>39</v>
      </c>
      <c r="Q74" s="2008" t="s">
        <v>39</v>
      </c>
      <c r="R74" s="2011" t="s">
        <v>74</v>
      </c>
      <c r="S74" s="775">
        <f>SUMIF('Data Input sheet'!$B$118:$B$180,R74,'Data Input sheet'!$D$118:$D$180)</f>
        <v>152</v>
      </c>
      <c r="T74" s="2012">
        <f t="shared" si="35"/>
        <v>0</v>
      </c>
      <c r="U74" s="2013">
        <v>0</v>
      </c>
      <c r="V74" s="778">
        <f t="shared" si="20"/>
        <v>0</v>
      </c>
      <c r="W74" s="2010"/>
      <c r="X74" s="779"/>
      <c r="Y74" s="2012">
        <v>0</v>
      </c>
      <c r="Z74" s="780">
        <f t="shared" si="36"/>
        <v>0</v>
      </c>
      <c r="AA74" s="2007"/>
      <c r="AB74" s="2007"/>
      <c r="AC74" s="765"/>
      <c r="AD74" s="781">
        <f t="shared" si="24"/>
        <v>0</v>
      </c>
      <c r="AE74" s="781">
        <f t="shared" si="5"/>
        <v>0</v>
      </c>
      <c r="AF74" s="781">
        <f t="shared" si="25"/>
        <v>0</v>
      </c>
      <c r="AG74" s="781">
        <f t="shared" si="26"/>
        <v>0</v>
      </c>
      <c r="AH74" s="781">
        <f t="shared" si="8"/>
        <v>0</v>
      </c>
      <c r="AI74" s="782">
        <f t="shared" si="27"/>
        <v>0</v>
      </c>
      <c r="AJ74" s="781">
        <f t="shared" si="28"/>
        <v>0</v>
      </c>
      <c r="AK74" s="781">
        <f t="shared" si="11"/>
        <v>0</v>
      </c>
      <c r="AL74" s="781">
        <f t="shared" si="29"/>
        <v>0</v>
      </c>
      <c r="AM74" s="781">
        <f t="shared" si="30"/>
        <v>0</v>
      </c>
      <c r="AN74" s="781">
        <f t="shared" si="14"/>
        <v>0</v>
      </c>
      <c r="AO74" s="781">
        <f t="shared" si="31"/>
        <v>0</v>
      </c>
      <c r="AP74" s="781">
        <f t="shared" si="32"/>
        <v>0</v>
      </c>
      <c r="AQ74" s="781">
        <f t="shared" si="17"/>
        <v>0</v>
      </c>
      <c r="AR74" s="781">
        <f t="shared" si="33"/>
        <v>0</v>
      </c>
      <c r="AS74" s="783">
        <f t="shared" si="19"/>
        <v>0</v>
      </c>
    </row>
    <row r="75" spans="1:50" ht="15" x14ac:dyDescent="0.25">
      <c r="A75" s="784"/>
      <c r="B75" s="719">
        <f t="shared" si="22"/>
        <v>63</v>
      </c>
      <c r="C75" s="170" t="str">
        <f t="shared" si="77"/>
        <v/>
      </c>
      <c r="D75" s="557"/>
      <c r="E75" s="170"/>
      <c r="F75" s="170"/>
      <c r="G75" s="787"/>
      <c r="H75" s="784"/>
      <c r="I75" s="784"/>
      <c r="J75" s="784"/>
      <c r="K75" s="784"/>
      <c r="L75" s="170"/>
      <c r="M75" s="773"/>
      <c r="N75" s="773"/>
      <c r="O75" s="773"/>
      <c r="P75" s="788"/>
      <c r="Q75" s="788"/>
      <c r="R75" s="773"/>
      <c r="S75" s="773"/>
      <c r="T75" s="779"/>
      <c r="U75" s="1993"/>
      <c r="V75" s="778"/>
      <c r="W75" s="778"/>
      <c r="X75" s="779"/>
      <c r="Y75" s="779"/>
      <c r="Z75" s="780"/>
      <c r="AA75" s="787" t="s">
        <v>96</v>
      </c>
      <c r="AB75" s="787"/>
      <c r="AC75" s="765"/>
      <c r="AD75" s="781">
        <f t="shared" si="24"/>
        <v>0</v>
      </c>
      <c r="AE75" s="781">
        <f t="shared" si="5"/>
        <v>0</v>
      </c>
      <c r="AF75" s="781">
        <f t="shared" si="25"/>
        <v>0</v>
      </c>
      <c r="AG75" s="781">
        <f t="shared" si="26"/>
        <v>0</v>
      </c>
      <c r="AH75" s="781">
        <f t="shared" si="8"/>
        <v>0</v>
      </c>
      <c r="AI75" s="782">
        <f t="shared" si="27"/>
        <v>0</v>
      </c>
      <c r="AJ75" s="781">
        <f t="shared" si="28"/>
        <v>0</v>
      </c>
      <c r="AK75" s="781">
        <f t="shared" si="11"/>
        <v>0</v>
      </c>
      <c r="AL75" s="781">
        <f t="shared" si="29"/>
        <v>0</v>
      </c>
      <c r="AM75" s="781">
        <f t="shared" si="30"/>
        <v>0</v>
      </c>
      <c r="AN75" s="781">
        <f t="shared" si="14"/>
        <v>0</v>
      </c>
      <c r="AO75" s="781">
        <f t="shared" si="31"/>
        <v>0</v>
      </c>
      <c r="AP75" s="781">
        <f t="shared" si="32"/>
        <v>0</v>
      </c>
      <c r="AQ75" s="781">
        <f t="shared" si="17"/>
        <v>0</v>
      </c>
      <c r="AR75" s="781">
        <f t="shared" si="33"/>
        <v>0</v>
      </c>
      <c r="AS75" s="783">
        <f t="shared" si="19"/>
        <v>0</v>
      </c>
      <c r="AT75" s="790"/>
      <c r="AU75" s="170"/>
      <c r="AV75" s="170"/>
      <c r="AW75" s="836"/>
      <c r="AX75" s="787"/>
    </row>
    <row r="76" spans="1:50" ht="15" x14ac:dyDescent="0.25">
      <c r="A76" s="784"/>
      <c r="B76" s="719">
        <f t="shared" si="22"/>
        <v>64</v>
      </c>
      <c r="C76" s="170" t="str">
        <f t="shared" si="77"/>
        <v/>
      </c>
      <c r="D76" s="557"/>
      <c r="E76" s="170"/>
      <c r="F76" s="170"/>
      <c r="G76" s="787"/>
      <c r="H76" s="784"/>
      <c r="I76" s="784"/>
      <c r="J76" s="784"/>
      <c r="K76" s="784"/>
      <c r="L76" s="170"/>
      <c r="M76" s="773"/>
      <c r="N76" s="773"/>
      <c r="O76" s="773"/>
      <c r="P76" s="788"/>
      <c r="Q76" s="788"/>
      <c r="R76" s="773"/>
      <c r="S76" s="773"/>
      <c r="T76" s="779"/>
      <c r="U76" s="1993"/>
      <c r="V76" s="778"/>
      <c r="W76" s="778"/>
      <c r="X76" s="779"/>
      <c r="Y76" s="779"/>
      <c r="Z76" s="780"/>
      <c r="AA76" s="787"/>
      <c r="AB76" s="787"/>
      <c r="AC76" s="765"/>
      <c r="AD76" s="781">
        <f t="shared" ref="AD76:AD81" si="78">IF(P76="E",+ROUND(H76*O76,0),0)</f>
        <v>0</v>
      </c>
      <c r="AE76" s="781">
        <f t="shared" ref="AE76:AE81" si="79">+AF76-AD76</f>
        <v>0</v>
      </c>
      <c r="AF76" s="781">
        <f t="shared" ref="AF76:AF81" si="80">+H76*O76</f>
        <v>0</v>
      </c>
      <c r="AG76" s="781">
        <f t="shared" ref="AG76:AG81" si="81">IF(P76="E",+ROUND(T76*H76,0),0)</f>
        <v>0</v>
      </c>
      <c r="AH76" s="781">
        <f t="shared" ref="AH76:AH81" si="82">+AI76-AG76</f>
        <v>0</v>
      </c>
      <c r="AI76" s="782">
        <f t="shared" ref="AI76:AI81" si="83">+H76*T76</f>
        <v>0</v>
      </c>
      <c r="AJ76" s="781">
        <f t="shared" ref="AJ76:AJ81" si="84">IF(P76="E",+ROUND(V76*H76,0),0)</f>
        <v>0</v>
      </c>
      <c r="AK76" s="781">
        <f t="shared" ref="AK76:AK81" si="85">+AL76-AJ76</f>
        <v>0</v>
      </c>
      <c r="AL76" s="781">
        <f t="shared" ref="AL76:AL81" si="86">ROUND(V76*H76,0)</f>
        <v>0</v>
      </c>
      <c r="AM76" s="781">
        <f t="shared" ref="AM76:AM81" si="87">IF(Q76="E",+ROUND(W76*H76,0),0)</f>
        <v>0</v>
      </c>
      <c r="AN76" s="781">
        <f t="shared" ref="AN76:AN81" si="88">+AO76-AM76</f>
        <v>0</v>
      </c>
      <c r="AO76" s="781">
        <f t="shared" ref="AO76:AO81" si="89">ROUND(W76*H76,0)</f>
        <v>0</v>
      </c>
      <c r="AP76" s="781">
        <f t="shared" ref="AP76:AP81" si="90">IF(P76="E",+ROUND(Y76*H76,0),0)</f>
        <v>0</v>
      </c>
      <c r="AQ76" s="781">
        <f t="shared" ref="AQ76:AQ81" si="91">+AR76-AP76</f>
        <v>0</v>
      </c>
      <c r="AR76" s="781">
        <f t="shared" ref="AR76:AR81" si="92">ROUND(Y76*H76,0)</f>
        <v>0</v>
      </c>
      <c r="AS76" s="783">
        <f t="shared" ref="AS76:AS81" si="93">+AR76+AO76+AL76+AI76</f>
        <v>0</v>
      </c>
      <c r="AT76" s="790"/>
      <c r="AU76" s="170"/>
      <c r="AV76" s="170"/>
      <c r="AW76" s="836"/>
      <c r="AX76" s="787"/>
    </row>
    <row r="77" spans="1:50" ht="15" x14ac:dyDescent="0.25">
      <c r="A77" s="784"/>
      <c r="B77" s="719">
        <f t="shared" si="22"/>
        <v>65</v>
      </c>
      <c r="C77" s="170" t="str">
        <f t="shared" si="77"/>
        <v/>
      </c>
      <c r="D77" s="557"/>
      <c r="E77" s="170"/>
      <c r="F77" s="170"/>
      <c r="G77" s="787"/>
      <c r="H77" s="784"/>
      <c r="I77" s="784"/>
      <c r="J77" s="784"/>
      <c r="K77" s="784"/>
      <c r="L77" s="170"/>
      <c r="M77" s="773"/>
      <c r="N77" s="773"/>
      <c r="O77" s="773"/>
      <c r="P77" s="788"/>
      <c r="Q77" s="788"/>
      <c r="R77" s="773"/>
      <c r="S77" s="773"/>
      <c r="T77" s="779"/>
      <c r="U77" s="1993"/>
      <c r="V77" s="778"/>
      <c r="W77" s="778"/>
      <c r="X77" s="779"/>
      <c r="Y77" s="779"/>
      <c r="Z77" s="780"/>
      <c r="AA77" s="787"/>
      <c r="AB77" s="787"/>
      <c r="AC77" s="765"/>
      <c r="AD77" s="781">
        <f t="shared" si="78"/>
        <v>0</v>
      </c>
      <c r="AE77" s="781">
        <f t="shared" si="79"/>
        <v>0</v>
      </c>
      <c r="AF77" s="781">
        <f t="shared" si="80"/>
        <v>0</v>
      </c>
      <c r="AG77" s="781">
        <f t="shared" si="81"/>
        <v>0</v>
      </c>
      <c r="AH77" s="781">
        <f t="shared" si="82"/>
        <v>0</v>
      </c>
      <c r="AI77" s="782">
        <f t="shared" si="83"/>
        <v>0</v>
      </c>
      <c r="AJ77" s="781">
        <f t="shared" si="84"/>
        <v>0</v>
      </c>
      <c r="AK77" s="781">
        <f t="shared" si="85"/>
        <v>0</v>
      </c>
      <c r="AL77" s="781">
        <f t="shared" si="86"/>
        <v>0</v>
      </c>
      <c r="AM77" s="781">
        <f t="shared" si="87"/>
        <v>0</v>
      </c>
      <c r="AN77" s="781">
        <f t="shared" si="88"/>
        <v>0</v>
      </c>
      <c r="AO77" s="781">
        <f t="shared" si="89"/>
        <v>0</v>
      </c>
      <c r="AP77" s="781">
        <f t="shared" si="90"/>
        <v>0</v>
      </c>
      <c r="AQ77" s="781">
        <f t="shared" si="91"/>
        <v>0</v>
      </c>
      <c r="AR77" s="781">
        <f t="shared" si="92"/>
        <v>0</v>
      </c>
      <c r="AS77" s="783">
        <f t="shared" si="93"/>
        <v>0</v>
      </c>
      <c r="AT77" s="790"/>
      <c r="AU77" s="170"/>
      <c r="AV77" s="170"/>
      <c r="AW77" s="836"/>
      <c r="AX77" s="787"/>
    </row>
    <row r="78" spans="1:50" ht="15" x14ac:dyDescent="0.25">
      <c r="A78" s="784"/>
      <c r="B78" s="719">
        <f t="shared" si="22"/>
        <v>66</v>
      </c>
      <c r="C78" s="170" t="str">
        <f t="shared" si="77"/>
        <v/>
      </c>
      <c r="D78" s="557"/>
      <c r="E78" s="170"/>
      <c r="F78" s="170"/>
      <c r="G78" s="787"/>
      <c r="H78" s="784"/>
      <c r="I78" s="784"/>
      <c r="J78" s="784"/>
      <c r="K78" s="784"/>
      <c r="L78" s="170"/>
      <c r="M78" s="773"/>
      <c r="N78" s="773"/>
      <c r="O78" s="773"/>
      <c r="P78" s="788"/>
      <c r="Q78" s="788"/>
      <c r="R78" s="773"/>
      <c r="S78" s="773"/>
      <c r="T78" s="779"/>
      <c r="U78" s="1993"/>
      <c r="V78" s="778"/>
      <c r="W78" s="778"/>
      <c r="X78" s="779"/>
      <c r="Y78" s="779"/>
      <c r="Z78" s="780"/>
      <c r="AA78" s="787"/>
      <c r="AB78" s="787"/>
      <c r="AC78" s="765"/>
      <c r="AD78" s="781">
        <f t="shared" si="78"/>
        <v>0</v>
      </c>
      <c r="AE78" s="781">
        <f t="shared" si="79"/>
        <v>0</v>
      </c>
      <c r="AF78" s="781">
        <f t="shared" si="80"/>
        <v>0</v>
      </c>
      <c r="AG78" s="781">
        <f t="shared" si="81"/>
        <v>0</v>
      </c>
      <c r="AH78" s="781">
        <f t="shared" si="82"/>
        <v>0</v>
      </c>
      <c r="AI78" s="782">
        <f t="shared" si="83"/>
        <v>0</v>
      </c>
      <c r="AJ78" s="781">
        <f t="shared" si="84"/>
        <v>0</v>
      </c>
      <c r="AK78" s="781">
        <f t="shared" si="85"/>
        <v>0</v>
      </c>
      <c r="AL78" s="781">
        <f t="shared" si="86"/>
        <v>0</v>
      </c>
      <c r="AM78" s="781">
        <f t="shared" si="87"/>
        <v>0</v>
      </c>
      <c r="AN78" s="781">
        <f t="shared" si="88"/>
        <v>0</v>
      </c>
      <c r="AO78" s="781">
        <f t="shared" si="89"/>
        <v>0</v>
      </c>
      <c r="AP78" s="781">
        <f t="shared" si="90"/>
        <v>0</v>
      </c>
      <c r="AQ78" s="781">
        <f t="shared" si="91"/>
        <v>0</v>
      </c>
      <c r="AR78" s="781">
        <f t="shared" si="92"/>
        <v>0</v>
      </c>
      <c r="AS78" s="783">
        <f t="shared" si="93"/>
        <v>0</v>
      </c>
      <c r="AT78" s="790"/>
      <c r="AU78" s="170"/>
      <c r="AV78" s="170"/>
      <c r="AW78" s="836"/>
      <c r="AX78" s="787"/>
    </row>
    <row r="79" spans="1:50" ht="15" x14ac:dyDescent="0.25">
      <c r="A79" s="784"/>
      <c r="B79" s="719">
        <f t="shared" si="22"/>
        <v>67</v>
      </c>
      <c r="C79" s="170" t="str">
        <f t="shared" si="77"/>
        <v/>
      </c>
      <c r="D79" s="557"/>
      <c r="E79" s="170"/>
      <c r="F79" s="170"/>
      <c r="G79" s="769" t="s">
        <v>96</v>
      </c>
      <c r="H79" s="784"/>
      <c r="I79" s="784"/>
      <c r="J79" s="784"/>
      <c r="K79" s="784"/>
      <c r="L79" s="170"/>
      <c r="M79" s="773"/>
      <c r="N79" s="773"/>
      <c r="O79" s="773"/>
      <c r="P79" s="788"/>
      <c r="Q79" s="788"/>
      <c r="R79" s="773"/>
      <c r="S79" s="773"/>
      <c r="T79" s="779"/>
      <c r="U79" s="1993"/>
      <c r="V79" s="778"/>
      <c r="W79" s="778"/>
      <c r="X79" s="779"/>
      <c r="Y79" s="779"/>
      <c r="Z79" s="780"/>
      <c r="AA79" s="787"/>
      <c r="AB79" s="787"/>
      <c r="AC79" s="765"/>
      <c r="AD79" s="781">
        <f t="shared" si="78"/>
        <v>0</v>
      </c>
      <c r="AE79" s="781">
        <f t="shared" si="79"/>
        <v>0</v>
      </c>
      <c r="AF79" s="781">
        <f t="shared" si="80"/>
        <v>0</v>
      </c>
      <c r="AG79" s="781">
        <f t="shared" si="81"/>
        <v>0</v>
      </c>
      <c r="AH79" s="781">
        <f t="shared" si="82"/>
        <v>0</v>
      </c>
      <c r="AI79" s="782">
        <f t="shared" si="83"/>
        <v>0</v>
      </c>
      <c r="AJ79" s="781">
        <f t="shared" si="84"/>
        <v>0</v>
      </c>
      <c r="AK79" s="781">
        <f t="shared" si="85"/>
        <v>0</v>
      </c>
      <c r="AL79" s="781">
        <f t="shared" si="86"/>
        <v>0</v>
      </c>
      <c r="AM79" s="781">
        <f t="shared" si="87"/>
        <v>0</v>
      </c>
      <c r="AN79" s="781">
        <f t="shared" si="88"/>
        <v>0</v>
      </c>
      <c r="AO79" s="781">
        <f t="shared" si="89"/>
        <v>0</v>
      </c>
      <c r="AP79" s="781">
        <f t="shared" si="90"/>
        <v>0</v>
      </c>
      <c r="AQ79" s="781">
        <f t="shared" si="91"/>
        <v>0</v>
      </c>
      <c r="AR79" s="781">
        <f t="shared" si="92"/>
        <v>0</v>
      </c>
      <c r="AS79" s="783">
        <f t="shared" si="93"/>
        <v>0</v>
      </c>
      <c r="AT79" s="790"/>
      <c r="AU79" s="170"/>
      <c r="AV79" s="170"/>
      <c r="AW79" s="836"/>
      <c r="AX79" s="787"/>
    </row>
    <row r="80" spans="1:50" ht="15" x14ac:dyDescent="0.25">
      <c r="A80" s="784"/>
      <c r="B80" s="719">
        <f t="shared" si="22"/>
        <v>68</v>
      </c>
      <c r="C80" s="170" t="str">
        <f t="shared" si="77"/>
        <v/>
      </c>
      <c r="D80" s="557"/>
      <c r="E80" s="170"/>
      <c r="F80" s="170"/>
      <c r="G80" s="787"/>
      <c r="H80" s="784"/>
      <c r="I80" s="784"/>
      <c r="J80" s="784"/>
      <c r="K80" s="784"/>
      <c r="L80" s="170"/>
      <c r="M80" s="773"/>
      <c r="N80" s="773"/>
      <c r="O80" s="773"/>
      <c r="P80" s="788"/>
      <c r="Q80" s="788"/>
      <c r="R80" s="773"/>
      <c r="S80" s="773"/>
      <c r="T80" s="779"/>
      <c r="U80" s="1993"/>
      <c r="V80" s="778"/>
      <c r="W80" s="778"/>
      <c r="X80" s="779"/>
      <c r="Y80" s="779"/>
      <c r="Z80" s="780"/>
      <c r="AA80" s="787"/>
      <c r="AB80" s="787"/>
      <c r="AC80" s="765"/>
      <c r="AD80" s="781">
        <f t="shared" si="78"/>
        <v>0</v>
      </c>
      <c r="AE80" s="781">
        <f t="shared" si="79"/>
        <v>0</v>
      </c>
      <c r="AF80" s="781">
        <f t="shared" si="80"/>
        <v>0</v>
      </c>
      <c r="AG80" s="781">
        <f t="shared" si="81"/>
        <v>0</v>
      </c>
      <c r="AH80" s="781">
        <f t="shared" si="82"/>
        <v>0</v>
      </c>
      <c r="AI80" s="782">
        <f t="shared" si="83"/>
        <v>0</v>
      </c>
      <c r="AJ80" s="781">
        <f t="shared" si="84"/>
        <v>0</v>
      </c>
      <c r="AK80" s="781">
        <f t="shared" si="85"/>
        <v>0</v>
      </c>
      <c r="AL80" s="781">
        <f t="shared" si="86"/>
        <v>0</v>
      </c>
      <c r="AM80" s="781">
        <f t="shared" si="87"/>
        <v>0</v>
      </c>
      <c r="AN80" s="781">
        <f t="shared" si="88"/>
        <v>0</v>
      </c>
      <c r="AO80" s="781">
        <f t="shared" si="89"/>
        <v>0</v>
      </c>
      <c r="AP80" s="781">
        <f t="shared" si="90"/>
        <v>0</v>
      </c>
      <c r="AQ80" s="781">
        <f t="shared" si="91"/>
        <v>0</v>
      </c>
      <c r="AR80" s="781">
        <f t="shared" si="92"/>
        <v>0</v>
      </c>
      <c r="AS80" s="783">
        <f t="shared" si="93"/>
        <v>0</v>
      </c>
      <c r="AT80" s="790"/>
      <c r="AU80" s="170"/>
      <c r="AV80" s="170"/>
      <c r="AW80" s="836"/>
      <c r="AX80" s="787"/>
    </row>
    <row r="81" spans="1:50" ht="15" x14ac:dyDescent="0.25">
      <c r="A81" s="784"/>
      <c r="B81" s="719">
        <f t="shared" si="22"/>
        <v>69</v>
      </c>
      <c r="C81" s="170" t="str">
        <f t="shared" si="77"/>
        <v/>
      </c>
      <c r="D81" s="557"/>
      <c r="E81" s="170"/>
      <c r="F81" s="170"/>
      <c r="G81" s="787"/>
      <c r="H81" s="784"/>
      <c r="I81" s="784"/>
      <c r="J81" s="784"/>
      <c r="K81" s="784"/>
      <c r="L81" s="170"/>
      <c r="M81" s="773"/>
      <c r="N81" s="773"/>
      <c r="O81" s="773"/>
      <c r="P81" s="788"/>
      <c r="Q81" s="788"/>
      <c r="R81" s="773"/>
      <c r="S81" s="773"/>
      <c r="T81" s="779"/>
      <c r="U81" s="1993"/>
      <c r="V81" s="778"/>
      <c r="W81" s="778"/>
      <c r="X81" s="779"/>
      <c r="Y81" s="779"/>
      <c r="Z81" s="780"/>
      <c r="AA81" s="787"/>
      <c r="AB81" s="787"/>
      <c r="AC81" s="170"/>
      <c r="AD81" s="781">
        <f t="shared" si="78"/>
        <v>0</v>
      </c>
      <c r="AE81" s="781">
        <f t="shared" si="79"/>
        <v>0</v>
      </c>
      <c r="AF81" s="781">
        <f t="shared" si="80"/>
        <v>0</v>
      </c>
      <c r="AG81" s="781">
        <f t="shared" si="81"/>
        <v>0</v>
      </c>
      <c r="AH81" s="781">
        <f t="shared" si="82"/>
        <v>0</v>
      </c>
      <c r="AI81" s="782">
        <f t="shared" si="83"/>
        <v>0</v>
      </c>
      <c r="AJ81" s="781">
        <f t="shared" si="84"/>
        <v>0</v>
      </c>
      <c r="AK81" s="781">
        <f t="shared" si="85"/>
        <v>0</v>
      </c>
      <c r="AL81" s="781">
        <f t="shared" si="86"/>
        <v>0</v>
      </c>
      <c r="AM81" s="781">
        <f t="shared" si="87"/>
        <v>0</v>
      </c>
      <c r="AN81" s="781">
        <f t="shared" si="88"/>
        <v>0</v>
      </c>
      <c r="AO81" s="781">
        <f t="shared" si="89"/>
        <v>0</v>
      </c>
      <c r="AP81" s="781">
        <f t="shared" si="90"/>
        <v>0</v>
      </c>
      <c r="AQ81" s="781">
        <f t="shared" si="91"/>
        <v>0</v>
      </c>
      <c r="AR81" s="781">
        <f t="shared" si="92"/>
        <v>0</v>
      </c>
      <c r="AS81" s="783">
        <f t="shared" si="93"/>
        <v>0</v>
      </c>
      <c r="AT81" s="790"/>
      <c r="AU81" s="170"/>
      <c r="AV81" s="170"/>
      <c r="AW81" s="836"/>
      <c r="AX81" s="787"/>
    </row>
    <row r="82" spans="1:50" ht="15" x14ac:dyDescent="0.25">
      <c r="A82" s="784"/>
      <c r="B82" s="719">
        <f t="shared" si="22"/>
        <v>70</v>
      </c>
      <c r="C82" s="170"/>
      <c r="D82" s="557"/>
      <c r="E82" s="170"/>
      <c r="F82" s="170"/>
      <c r="G82" s="792" t="s">
        <v>592</v>
      </c>
      <c r="H82" s="1071">
        <v>1</v>
      </c>
      <c r="I82" s="1071"/>
      <c r="J82" s="1071">
        <v>1</v>
      </c>
      <c r="K82" s="1071"/>
      <c r="L82" s="1072"/>
      <c r="M82" s="1073"/>
      <c r="N82" s="1073"/>
      <c r="O82" s="1073"/>
      <c r="P82" s="1074"/>
      <c r="Q82" s="1074"/>
      <c r="R82" s="1073"/>
      <c r="S82" s="1073"/>
      <c r="T82" s="1075"/>
      <c r="U82" s="1076"/>
      <c r="V82" s="1077"/>
      <c r="W82" s="1077"/>
      <c r="X82" s="1075"/>
      <c r="Y82" s="1075"/>
      <c r="Z82" s="1078"/>
      <c r="AA82" s="1079"/>
      <c r="AB82" s="1079"/>
      <c r="AC82" s="170"/>
      <c r="AD82" s="1081">
        <f t="shared" ref="AD82:AS82" si="94">SUM(AD10:AD76)</f>
        <v>0</v>
      </c>
      <c r="AE82" s="1081">
        <f t="shared" si="94"/>
        <v>0</v>
      </c>
      <c r="AF82" s="1081">
        <f t="shared" si="94"/>
        <v>0</v>
      </c>
      <c r="AG82" s="1081">
        <f t="shared" si="94"/>
        <v>0</v>
      </c>
      <c r="AH82" s="1081">
        <f t="shared" si="94"/>
        <v>0</v>
      </c>
      <c r="AI82" s="1081">
        <f t="shared" si="94"/>
        <v>0</v>
      </c>
      <c r="AJ82" s="1081">
        <f t="shared" si="94"/>
        <v>0</v>
      </c>
      <c r="AK82" s="1081">
        <f t="shared" si="94"/>
        <v>0</v>
      </c>
      <c r="AL82" s="1081">
        <f t="shared" si="94"/>
        <v>0</v>
      </c>
      <c r="AM82" s="1081">
        <f t="shared" si="94"/>
        <v>0</v>
      </c>
      <c r="AN82" s="1081">
        <f t="shared" si="94"/>
        <v>0</v>
      </c>
      <c r="AO82" s="1081">
        <f t="shared" si="94"/>
        <v>0</v>
      </c>
      <c r="AP82" s="1081">
        <f t="shared" si="94"/>
        <v>0</v>
      </c>
      <c r="AQ82" s="1081">
        <f t="shared" si="94"/>
        <v>0</v>
      </c>
      <c r="AR82" s="1081">
        <f t="shared" si="94"/>
        <v>0</v>
      </c>
      <c r="AS82" s="1081">
        <f t="shared" si="94"/>
        <v>0</v>
      </c>
      <c r="AT82" s="795"/>
      <c r="AU82" s="170"/>
      <c r="AV82" s="170"/>
      <c r="AW82" s="836"/>
      <c r="AX82" s="787"/>
    </row>
    <row r="83" spans="1:50" ht="15.75" thickBot="1" x14ac:dyDescent="0.3">
      <c r="A83" s="784"/>
      <c r="B83" s="719">
        <f t="shared" si="22"/>
        <v>71</v>
      </c>
      <c r="C83" s="170"/>
      <c r="D83" s="574"/>
      <c r="E83" s="576"/>
      <c r="F83" s="576"/>
      <c r="G83" s="796"/>
      <c r="H83" s="797"/>
      <c r="I83" s="797"/>
      <c r="J83" s="797"/>
      <c r="K83" s="797"/>
      <c r="L83" s="576"/>
      <c r="M83" s="798"/>
      <c r="N83" s="798"/>
      <c r="O83" s="798"/>
      <c r="P83" s="799"/>
      <c r="Q83" s="799"/>
      <c r="R83" s="798"/>
      <c r="S83" s="798"/>
      <c r="T83" s="800"/>
      <c r="U83" s="801"/>
      <c r="V83" s="802"/>
      <c r="W83" s="802"/>
      <c r="X83" s="800"/>
      <c r="Y83" s="800"/>
      <c r="Z83" s="803"/>
      <c r="AA83" s="796"/>
      <c r="AB83" s="796"/>
      <c r="AC83" s="804"/>
      <c r="AD83" s="805"/>
      <c r="AE83" s="805"/>
      <c r="AF83" s="576"/>
      <c r="AG83" s="576"/>
      <c r="AH83" s="576"/>
      <c r="AI83" s="806"/>
      <c r="AJ83" s="806"/>
      <c r="AK83" s="806"/>
      <c r="AL83" s="806"/>
      <c r="AM83" s="806"/>
      <c r="AN83" s="806"/>
      <c r="AO83" s="806"/>
      <c r="AP83" s="806"/>
      <c r="AQ83" s="806"/>
      <c r="AR83" s="806"/>
      <c r="AS83" s="806"/>
      <c r="AT83" s="587"/>
      <c r="AU83" s="170"/>
      <c r="AV83" s="170"/>
      <c r="AW83" s="836"/>
      <c r="AX83" s="787"/>
    </row>
    <row r="84" spans="1:50" ht="15.75" thickTop="1" x14ac:dyDescent="0.25">
      <c r="A84" s="170"/>
      <c r="B84" s="719"/>
      <c r="C84" s="170"/>
      <c r="D84" s="170"/>
      <c r="E84" s="170"/>
      <c r="F84" s="170"/>
      <c r="G84" s="170"/>
      <c r="H84" s="170"/>
      <c r="I84" s="170"/>
      <c r="J84" s="170"/>
      <c r="K84" s="170"/>
      <c r="L84" s="170"/>
      <c r="M84" s="170"/>
      <c r="N84" s="170"/>
      <c r="O84" s="170"/>
      <c r="P84" s="170"/>
      <c r="Q84" s="170"/>
      <c r="R84" s="170"/>
      <c r="S84" s="170"/>
      <c r="T84" s="170"/>
      <c r="U84" s="170"/>
      <c r="V84" s="170"/>
      <c r="W84" s="170"/>
      <c r="X84" s="170"/>
      <c r="Y84" s="170"/>
      <c r="Z84" s="170"/>
      <c r="AA84" s="170"/>
      <c r="AB84" s="170"/>
      <c r="AC84" s="170"/>
      <c r="AD84" s="170"/>
      <c r="AE84" s="170"/>
      <c r="AF84" s="170"/>
      <c r="AG84" s="170"/>
      <c r="AH84" s="170"/>
      <c r="AI84" s="170"/>
      <c r="AJ84" s="170"/>
      <c r="AK84" s="170"/>
      <c r="AL84" s="170"/>
      <c r="AM84" s="170"/>
      <c r="AN84" s="170"/>
      <c r="AO84" s="170"/>
      <c r="AP84" s="170"/>
      <c r="AQ84" s="170"/>
      <c r="AR84" s="170"/>
      <c r="AS84" s="170"/>
      <c r="AT84" s="170"/>
      <c r="AU84" s="170"/>
      <c r="AV84" s="170"/>
      <c r="AW84" s="170"/>
      <c r="AX84" s="170"/>
    </row>
    <row r="85" spans="1:50" ht="15" x14ac:dyDescent="0.25">
      <c r="A85" s="170"/>
      <c r="B85" s="719"/>
      <c r="C85" s="170"/>
      <c r="D85" s="168" t="s">
        <v>742</v>
      </c>
      <c r="E85" s="170"/>
      <c r="F85" s="170"/>
      <c r="G85" s="721"/>
      <c r="H85" s="170"/>
      <c r="I85" s="170"/>
      <c r="J85" s="170"/>
      <c r="K85" s="170"/>
      <c r="L85" s="170"/>
      <c r="M85" s="730"/>
      <c r="N85" s="730"/>
      <c r="O85" s="730"/>
      <c r="P85" s="731"/>
      <c r="Q85" s="731"/>
      <c r="R85" s="730"/>
      <c r="S85" s="730"/>
      <c r="T85" s="723"/>
      <c r="U85" s="724"/>
      <c r="V85" s="725"/>
      <c r="W85" s="725"/>
      <c r="X85" s="723"/>
      <c r="Y85" s="723"/>
      <c r="Z85" s="723"/>
      <c r="AA85" s="726"/>
      <c r="AB85" s="726"/>
      <c r="AC85" s="170"/>
      <c r="AD85" s="586"/>
      <c r="AE85" s="586"/>
      <c r="AF85" s="170"/>
      <c r="AG85" s="170"/>
      <c r="AH85" s="170"/>
      <c r="AI85" s="170"/>
      <c r="AJ85" s="170"/>
      <c r="AK85" s="170"/>
      <c r="AL85" s="170"/>
      <c r="AM85" s="170"/>
      <c r="AN85" s="170"/>
      <c r="AO85" s="170"/>
      <c r="AP85" s="170"/>
      <c r="AQ85" s="170"/>
      <c r="AR85" s="170"/>
      <c r="AS85" s="170"/>
      <c r="AT85" s="170"/>
      <c r="AU85" s="170"/>
      <c r="AV85" s="170"/>
      <c r="AW85" s="828"/>
      <c r="AX85" s="726"/>
    </row>
    <row r="86" spans="1:50" ht="15" x14ac:dyDescent="0.25">
      <c r="A86" s="170"/>
      <c r="B86" s="719"/>
      <c r="C86" s="170" t="str">
        <f t="shared" ref="C86:C149" si="95">+F86&amp;I86</f>
        <v>1ls</v>
      </c>
      <c r="D86" s="170"/>
      <c r="E86" s="170"/>
      <c r="F86" s="170">
        <f>+Parameters!D4</f>
        <v>1</v>
      </c>
      <c r="G86" s="170" t="str">
        <f>+Parameters!E4</f>
        <v>General mob / demob</v>
      </c>
      <c r="H86" s="586">
        <f>SUMIF($C$9:$C$82,$C86,H$9:H$82)</f>
        <v>1</v>
      </c>
      <c r="I86" s="170" t="str">
        <f>+Parameters!F4</f>
        <v>ls</v>
      </c>
      <c r="J86" s="170"/>
      <c r="K86" s="170"/>
      <c r="L86" s="170"/>
      <c r="M86" s="730"/>
      <c r="N86" s="730"/>
      <c r="O86" s="730"/>
      <c r="P86" s="731"/>
      <c r="Q86" s="731"/>
      <c r="R86" s="730"/>
      <c r="S86" s="730"/>
      <c r="T86" s="723"/>
      <c r="U86" s="724"/>
      <c r="V86" s="725"/>
      <c r="W86" s="725"/>
      <c r="X86" s="723"/>
      <c r="Y86" s="723"/>
      <c r="Z86" s="723"/>
      <c r="AA86" s="726"/>
      <c r="AB86" s="726"/>
      <c r="AC86" s="170"/>
      <c r="AD86" s="586">
        <f t="shared" ref="AD86:AS95" si="96">SUMIF($F$9:$F$82,$F86,AD$9:AD$82)</f>
        <v>0</v>
      </c>
      <c r="AE86" s="586">
        <f t="shared" si="96"/>
        <v>0</v>
      </c>
      <c r="AF86" s="586">
        <f t="shared" si="96"/>
        <v>0</v>
      </c>
      <c r="AG86" s="586">
        <f t="shared" si="96"/>
        <v>0</v>
      </c>
      <c r="AH86" s="586">
        <f t="shared" si="96"/>
        <v>0</v>
      </c>
      <c r="AI86" s="586">
        <f t="shared" si="96"/>
        <v>0</v>
      </c>
      <c r="AJ86" s="586">
        <f t="shared" si="96"/>
        <v>0</v>
      </c>
      <c r="AK86" s="586">
        <f t="shared" si="96"/>
        <v>0</v>
      </c>
      <c r="AL86" s="586">
        <f t="shared" si="96"/>
        <v>0</v>
      </c>
      <c r="AM86" s="586">
        <f t="shared" si="96"/>
        <v>0</v>
      </c>
      <c r="AN86" s="586">
        <f t="shared" si="96"/>
        <v>0</v>
      </c>
      <c r="AO86" s="586">
        <f t="shared" si="96"/>
        <v>0</v>
      </c>
      <c r="AP86" s="586">
        <f t="shared" si="96"/>
        <v>0</v>
      </c>
      <c r="AQ86" s="586">
        <f t="shared" si="96"/>
        <v>0</v>
      </c>
      <c r="AR86" s="586">
        <f t="shared" si="96"/>
        <v>0</v>
      </c>
      <c r="AS86" s="586">
        <f t="shared" si="96"/>
        <v>0</v>
      </c>
      <c r="AT86" s="170"/>
      <c r="AU86" s="170"/>
      <c r="AV86" s="170"/>
      <c r="AW86" s="828"/>
      <c r="AX86" s="726"/>
    </row>
    <row r="87" spans="1:50" ht="15" x14ac:dyDescent="0.25">
      <c r="A87" s="170"/>
      <c r="B87" s="719"/>
      <c r="C87" s="170" t="str">
        <f t="shared" si="95"/>
        <v>20</v>
      </c>
      <c r="D87" s="170"/>
      <c r="E87" s="170"/>
      <c r="F87" s="170">
        <f>+Parameters!D5</f>
        <v>2</v>
      </c>
      <c r="G87" s="170" t="str">
        <f>+Parameters!E5</f>
        <v>General site work - general inc roads/paving</v>
      </c>
      <c r="H87" s="586">
        <f t="shared" ref="H87:H150" si="97">SUMIF($C$9:$C$82,$C87,H$9:H$82)</f>
        <v>0</v>
      </c>
      <c r="I87" s="170">
        <f>+Parameters!F5</f>
        <v>0</v>
      </c>
      <c r="J87" s="170"/>
      <c r="K87" s="170"/>
      <c r="L87" s="170"/>
      <c r="M87" s="730"/>
      <c r="N87" s="730"/>
      <c r="O87" s="730"/>
      <c r="P87" s="731"/>
      <c r="Q87" s="731"/>
      <c r="R87" s="730"/>
      <c r="S87" s="730"/>
      <c r="T87" s="723"/>
      <c r="U87" s="724"/>
      <c r="V87" s="725"/>
      <c r="W87" s="725"/>
      <c r="X87" s="723"/>
      <c r="Y87" s="723"/>
      <c r="Z87" s="723"/>
      <c r="AA87" s="726"/>
      <c r="AB87" s="726"/>
      <c r="AC87" s="170"/>
      <c r="AD87" s="586">
        <f t="shared" si="96"/>
        <v>0</v>
      </c>
      <c r="AE87" s="586">
        <f t="shared" si="96"/>
        <v>0</v>
      </c>
      <c r="AF87" s="586">
        <f t="shared" si="96"/>
        <v>0</v>
      </c>
      <c r="AG87" s="586">
        <f t="shared" si="96"/>
        <v>0</v>
      </c>
      <c r="AH87" s="586">
        <f t="shared" si="96"/>
        <v>0</v>
      </c>
      <c r="AI87" s="586">
        <f t="shared" si="96"/>
        <v>0</v>
      </c>
      <c r="AJ87" s="586">
        <f t="shared" si="96"/>
        <v>0</v>
      </c>
      <c r="AK87" s="586">
        <f t="shared" si="96"/>
        <v>0</v>
      </c>
      <c r="AL87" s="586">
        <f t="shared" si="96"/>
        <v>0</v>
      </c>
      <c r="AM87" s="586">
        <f t="shared" si="96"/>
        <v>0</v>
      </c>
      <c r="AN87" s="586">
        <f t="shared" si="96"/>
        <v>0</v>
      </c>
      <c r="AO87" s="586">
        <f t="shared" si="96"/>
        <v>0</v>
      </c>
      <c r="AP87" s="586">
        <f t="shared" si="96"/>
        <v>0</v>
      </c>
      <c r="AQ87" s="586">
        <f t="shared" si="96"/>
        <v>0</v>
      </c>
      <c r="AR87" s="586">
        <f t="shared" si="96"/>
        <v>0</v>
      </c>
      <c r="AS87" s="586">
        <f t="shared" si="96"/>
        <v>0</v>
      </c>
      <c r="AT87" s="170"/>
      <c r="AU87" s="170"/>
      <c r="AV87" s="170"/>
      <c r="AW87" s="828"/>
      <c r="AX87" s="726"/>
    </row>
    <row r="88" spans="1:50" ht="15" x14ac:dyDescent="0.25">
      <c r="A88" s="170"/>
      <c r="B88" s="719"/>
      <c r="C88" s="170" t="str">
        <f t="shared" si="95"/>
        <v>3ea</v>
      </c>
      <c r="D88" s="170"/>
      <c r="E88" s="170"/>
      <c r="F88" s="170">
        <f>+Parameters!D6</f>
        <v>3</v>
      </c>
      <c r="G88" s="170" t="str">
        <f>+Parameters!E6</f>
        <v>foundations - Poles - direct embed</v>
      </c>
      <c r="H88" s="586">
        <f t="shared" si="97"/>
        <v>0</v>
      </c>
      <c r="I88" s="170" t="str">
        <f>+Parameters!F6</f>
        <v>ea</v>
      </c>
      <c r="J88" s="170"/>
      <c r="K88" s="170"/>
      <c r="L88" s="170"/>
      <c r="M88" s="730"/>
      <c r="N88" s="730"/>
      <c r="O88" s="730"/>
      <c r="P88" s="731"/>
      <c r="Q88" s="731"/>
      <c r="R88" s="730"/>
      <c r="S88" s="730"/>
      <c r="T88" s="723"/>
      <c r="U88" s="724"/>
      <c r="V88" s="725"/>
      <c r="W88" s="725"/>
      <c r="X88" s="723"/>
      <c r="Y88" s="723"/>
      <c r="Z88" s="723"/>
      <c r="AA88" s="726"/>
      <c r="AB88" s="726"/>
      <c r="AC88" s="170"/>
      <c r="AD88" s="586">
        <f t="shared" si="96"/>
        <v>0</v>
      </c>
      <c r="AE88" s="586">
        <f t="shared" si="96"/>
        <v>0</v>
      </c>
      <c r="AF88" s="586">
        <f t="shared" si="96"/>
        <v>0</v>
      </c>
      <c r="AG88" s="586">
        <f t="shared" si="96"/>
        <v>0</v>
      </c>
      <c r="AH88" s="586">
        <f t="shared" si="96"/>
        <v>0</v>
      </c>
      <c r="AI88" s="586">
        <f t="shared" si="96"/>
        <v>0</v>
      </c>
      <c r="AJ88" s="586">
        <f t="shared" si="96"/>
        <v>0</v>
      </c>
      <c r="AK88" s="586">
        <f t="shared" si="96"/>
        <v>0</v>
      </c>
      <c r="AL88" s="586">
        <f t="shared" si="96"/>
        <v>0</v>
      </c>
      <c r="AM88" s="586">
        <f t="shared" si="96"/>
        <v>0</v>
      </c>
      <c r="AN88" s="586">
        <f t="shared" si="96"/>
        <v>0</v>
      </c>
      <c r="AO88" s="586">
        <f t="shared" si="96"/>
        <v>0</v>
      </c>
      <c r="AP88" s="586">
        <f t="shared" si="96"/>
        <v>0</v>
      </c>
      <c r="AQ88" s="586">
        <f t="shared" si="96"/>
        <v>0</v>
      </c>
      <c r="AR88" s="586">
        <f t="shared" si="96"/>
        <v>0</v>
      </c>
      <c r="AS88" s="586">
        <f t="shared" si="96"/>
        <v>0</v>
      </c>
      <c r="AT88" s="170"/>
      <c r="AU88" s="170"/>
      <c r="AV88" s="170"/>
      <c r="AW88" s="828"/>
      <c r="AX88" s="726"/>
    </row>
    <row r="89" spans="1:50" ht="15" x14ac:dyDescent="0.25">
      <c r="A89" s="170"/>
      <c r="B89" s="719"/>
      <c r="C89" s="170" t="str">
        <f t="shared" si="95"/>
        <v>40</v>
      </c>
      <c r="D89" s="170"/>
      <c r="E89" s="170"/>
      <c r="F89" s="170">
        <f>+Parameters!D7</f>
        <v>4</v>
      </c>
      <c r="G89" s="170" t="str">
        <f>+Parameters!E7</f>
        <v>foundations - Poles - formed conc.</v>
      </c>
      <c r="H89" s="586">
        <f t="shared" si="97"/>
        <v>0</v>
      </c>
      <c r="I89" s="170">
        <f>+Parameters!F7</f>
        <v>0</v>
      </c>
      <c r="J89" s="170"/>
      <c r="K89" s="170"/>
      <c r="L89" s="170"/>
      <c r="M89" s="730"/>
      <c r="N89" s="730"/>
      <c r="O89" s="730"/>
      <c r="P89" s="731"/>
      <c r="Q89" s="731"/>
      <c r="R89" s="730"/>
      <c r="S89" s="730"/>
      <c r="T89" s="723"/>
      <c r="U89" s="724"/>
      <c r="V89" s="725"/>
      <c r="W89" s="725"/>
      <c r="X89" s="723"/>
      <c r="Y89" s="723"/>
      <c r="Z89" s="723"/>
      <c r="AA89" s="726"/>
      <c r="AB89" s="726"/>
      <c r="AC89" s="170"/>
      <c r="AD89" s="586">
        <f t="shared" si="96"/>
        <v>0</v>
      </c>
      <c r="AE89" s="586">
        <f t="shared" si="96"/>
        <v>0</v>
      </c>
      <c r="AF89" s="586">
        <f t="shared" si="96"/>
        <v>0</v>
      </c>
      <c r="AG89" s="586">
        <f t="shared" si="96"/>
        <v>0</v>
      </c>
      <c r="AH89" s="586">
        <f t="shared" si="96"/>
        <v>0</v>
      </c>
      <c r="AI89" s="586">
        <f t="shared" si="96"/>
        <v>0</v>
      </c>
      <c r="AJ89" s="586">
        <f t="shared" si="96"/>
        <v>0</v>
      </c>
      <c r="AK89" s="586">
        <f t="shared" si="96"/>
        <v>0</v>
      </c>
      <c r="AL89" s="586">
        <f t="shared" si="96"/>
        <v>0</v>
      </c>
      <c r="AM89" s="586">
        <f t="shared" si="96"/>
        <v>0</v>
      </c>
      <c r="AN89" s="586">
        <f t="shared" si="96"/>
        <v>0</v>
      </c>
      <c r="AO89" s="586">
        <f t="shared" si="96"/>
        <v>0</v>
      </c>
      <c r="AP89" s="586">
        <f t="shared" si="96"/>
        <v>0</v>
      </c>
      <c r="AQ89" s="586">
        <f t="shared" si="96"/>
        <v>0</v>
      </c>
      <c r="AR89" s="586">
        <f t="shared" si="96"/>
        <v>0</v>
      </c>
      <c r="AS89" s="586">
        <f t="shared" si="96"/>
        <v>0</v>
      </c>
      <c r="AT89" s="170"/>
      <c r="AU89" s="170"/>
      <c r="AV89" s="170"/>
      <c r="AW89" s="828"/>
      <c r="AX89" s="726"/>
    </row>
    <row r="90" spans="1:50" ht="15" x14ac:dyDescent="0.25">
      <c r="A90" s="170"/>
      <c r="B90" s="719"/>
      <c r="C90" s="170" t="str">
        <f t="shared" si="95"/>
        <v>5cy</v>
      </c>
      <c r="D90" s="170"/>
      <c r="E90" s="170"/>
      <c r="F90" s="170">
        <f>+Parameters!D8</f>
        <v>5</v>
      </c>
      <c r="G90" s="170" t="str">
        <f>+Parameters!E8</f>
        <v>foundations - station</v>
      </c>
      <c r="H90" s="586">
        <f t="shared" si="97"/>
        <v>0</v>
      </c>
      <c r="I90" s="170" t="str">
        <f>+Parameters!F8</f>
        <v>cy</v>
      </c>
      <c r="J90" s="170"/>
      <c r="K90" s="170"/>
      <c r="L90" s="170"/>
      <c r="M90" s="730"/>
      <c r="N90" s="730"/>
      <c r="O90" s="730"/>
      <c r="P90" s="731"/>
      <c r="Q90" s="731"/>
      <c r="R90" s="730"/>
      <c r="S90" s="730"/>
      <c r="T90" s="723"/>
      <c r="U90" s="724"/>
      <c r="V90" s="725"/>
      <c r="W90" s="725"/>
      <c r="X90" s="723"/>
      <c r="Y90" s="723"/>
      <c r="Z90" s="723"/>
      <c r="AA90" s="726"/>
      <c r="AB90" s="726"/>
      <c r="AC90" s="170"/>
      <c r="AD90" s="586">
        <f t="shared" si="96"/>
        <v>0</v>
      </c>
      <c r="AE90" s="586">
        <f t="shared" si="96"/>
        <v>0</v>
      </c>
      <c r="AF90" s="586">
        <f t="shared" si="96"/>
        <v>0</v>
      </c>
      <c r="AG90" s="586">
        <f t="shared" si="96"/>
        <v>0</v>
      </c>
      <c r="AH90" s="586">
        <f t="shared" si="96"/>
        <v>0</v>
      </c>
      <c r="AI90" s="586">
        <f t="shared" si="96"/>
        <v>0</v>
      </c>
      <c r="AJ90" s="586">
        <f t="shared" si="96"/>
        <v>0</v>
      </c>
      <c r="AK90" s="586">
        <f t="shared" si="96"/>
        <v>0</v>
      </c>
      <c r="AL90" s="586">
        <f t="shared" si="96"/>
        <v>0</v>
      </c>
      <c r="AM90" s="586">
        <f t="shared" si="96"/>
        <v>0</v>
      </c>
      <c r="AN90" s="586">
        <f t="shared" si="96"/>
        <v>0</v>
      </c>
      <c r="AO90" s="586">
        <f t="shared" si="96"/>
        <v>0</v>
      </c>
      <c r="AP90" s="586">
        <f t="shared" si="96"/>
        <v>0</v>
      </c>
      <c r="AQ90" s="586">
        <f t="shared" si="96"/>
        <v>0</v>
      </c>
      <c r="AR90" s="586">
        <f t="shared" si="96"/>
        <v>0</v>
      </c>
      <c r="AS90" s="586">
        <f t="shared" si="96"/>
        <v>0</v>
      </c>
      <c r="AT90" s="170"/>
      <c r="AU90" s="170"/>
      <c r="AV90" s="170"/>
      <c r="AW90" s="828"/>
      <c r="AX90" s="726"/>
    </row>
    <row r="91" spans="1:50" ht="15" x14ac:dyDescent="0.25">
      <c r="A91" s="170"/>
      <c r="B91" s="719"/>
      <c r="C91" s="170" t="str">
        <f t="shared" si="95"/>
        <v>6cy</v>
      </c>
      <c r="D91" s="170"/>
      <c r="E91" s="170"/>
      <c r="F91" s="170">
        <f>+Parameters!D9</f>
        <v>6</v>
      </c>
      <c r="G91" s="170" t="str">
        <f>+Parameters!E9</f>
        <v>foundations - buildings</v>
      </c>
      <c r="H91" s="586">
        <f t="shared" si="97"/>
        <v>0</v>
      </c>
      <c r="I91" s="170" t="str">
        <f>+Parameters!F9</f>
        <v>cy</v>
      </c>
      <c r="J91" s="170"/>
      <c r="K91" s="170"/>
      <c r="L91" s="170"/>
      <c r="M91" s="730"/>
      <c r="N91" s="730"/>
      <c r="O91" s="730"/>
      <c r="P91" s="731"/>
      <c r="Q91" s="731"/>
      <c r="R91" s="730"/>
      <c r="S91" s="730"/>
      <c r="T91" s="723"/>
      <c r="U91" s="724"/>
      <c r="V91" s="725"/>
      <c r="W91" s="725"/>
      <c r="X91" s="723"/>
      <c r="Y91" s="723"/>
      <c r="Z91" s="723"/>
      <c r="AA91" s="726"/>
      <c r="AB91" s="726"/>
      <c r="AC91" s="170"/>
      <c r="AD91" s="586">
        <f t="shared" si="96"/>
        <v>0</v>
      </c>
      <c r="AE91" s="586">
        <f t="shared" si="96"/>
        <v>0</v>
      </c>
      <c r="AF91" s="586">
        <f t="shared" si="96"/>
        <v>0</v>
      </c>
      <c r="AG91" s="586">
        <f t="shared" si="96"/>
        <v>0</v>
      </c>
      <c r="AH91" s="586">
        <f t="shared" si="96"/>
        <v>0</v>
      </c>
      <c r="AI91" s="586">
        <f t="shared" si="96"/>
        <v>0</v>
      </c>
      <c r="AJ91" s="586">
        <f t="shared" si="96"/>
        <v>0</v>
      </c>
      <c r="AK91" s="586">
        <f t="shared" si="96"/>
        <v>0</v>
      </c>
      <c r="AL91" s="586">
        <f t="shared" si="96"/>
        <v>0</v>
      </c>
      <c r="AM91" s="586">
        <f t="shared" si="96"/>
        <v>0</v>
      </c>
      <c r="AN91" s="586">
        <f t="shared" si="96"/>
        <v>0</v>
      </c>
      <c r="AO91" s="586">
        <f t="shared" si="96"/>
        <v>0</v>
      </c>
      <c r="AP91" s="586">
        <f t="shared" si="96"/>
        <v>0</v>
      </c>
      <c r="AQ91" s="586">
        <f t="shared" si="96"/>
        <v>0</v>
      </c>
      <c r="AR91" s="586">
        <f t="shared" si="96"/>
        <v>0</v>
      </c>
      <c r="AS91" s="586">
        <f t="shared" si="96"/>
        <v>0</v>
      </c>
      <c r="AT91" s="170"/>
      <c r="AU91" s="170"/>
      <c r="AV91" s="170"/>
      <c r="AW91" s="828"/>
      <c r="AX91" s="726"/>
    </row>
    <row r="92" spans="1:50" ht="15" x14ac:dyDescent="0.25">
      <c r="A92" s="170"/>
      <c r="B92" s="719"/>
      <c r="C92" s="170" t="str">
        <f t="shared" si="95"/>
        <v>70</v>
      </c>
      <c r="D92" s="170"/>
      <c r="E92" s="170"/>
      <c r="F92" s="170">
        <f>+Parameters!D10</f>
        <v>7</v>
      </c>
      <c r="G92" s="170" t="str">
        <f>+Parameters!E10</f>
        <v>Piling / Caissons</v>
      </c>
      <c r="H92" s="586">
        <f t="shared" si="97"/>
        <v>0</v>
      </c>
      <c r="I92" s="170">
        <f>+Parameters!F10</f>
        <v>0</v>
      </c>
      <c r="J92" s="170"/>
      <c r="K92" s="170"/>
      <c r="L92" s="170"/>
      <c r="M92" s="730"/>
      <c r="N92" s="730"/>
      <c r="O92" s="730"/>
      <c r="P92" s="731"/>
      <c r="Q92" s="731"/>
      <c r="R92" s="730"/>
      <c r="S92" s="730"/>
      <c r="T92" s="723"/>
      <c r="U92" s="724"/>
      <c r="V92" s="725"/>
      <c r="W92" s="725"/>
      <c r="X92" s="723"/>
      <c r="Y92" s="723"/>
      <c r="Z92" s="723"/>
      <c r="AA92" s="726"/>
      <c r="AB92" s="726"/>
      <c r="AC92" s="170"/>
      <c r="AD92" s="586">
        <f t="shared" si="96"/>
        <v>0</v>
      </c>
      <c r="AE92" s="586">
        <f t="shared" si="96"/>
        <v>0</v>
      </c>
      <c r="AF92" s="586">
        <f t="shared" si="96"/>
        <v>0</v>
      </c>
      <c r="AG92" s="586">
        <f t="shared" si="96"/>
        <v>0</v>
      </c>
      <c r="AH92" s="586">
        <f t="shared" si="96"/>
        <v>0</v>
      </c>
      <c r="AI92" s="586">
        <f t="shared" si="96"/>
        <v>0</v>
      </c>
      <c r="AJ92" s="586">
        <f t="shared" si="96"/>
        <v>0</v>
      </c>
      <c r="AK92" s="586">
        <f t="shared" si="96"/>
        <v>0</v>
      </c>
      <c r="AL92" s="586">
        <f t="shared" si="96"/>
        <v>0</v>
      </c>
      <c r="AM92" s="586">
        <f t="shared" si="96"/>
        <v>0</v>
      </c>
      <c r="AN92" s="586">
        <f t="shared" si="96"/>
        <v>0</v>
      </c>
      <c r="AO92" s="586">
        <f t="shared" si="96"/>
        <v>0</v>
      </c>
      <c r="AP92" s="586">
        <f t="shared" si="96"/>
        <v>0</v>
      </c>
      <c r="AQ92" s="586">
        <f t="shared" si="96"/>
        <v>0</v>
      </c>
      <c r="AR92" s="586">
        <f t="shared" si="96"/>
        <v>0</v>
      </c>
      <c r="AS92" s="586">
        <f t="shared" si="96"/>
        <v>0</v>
      </c>
      <c r="AT92" s="170"/>
      <c r="AU92" s="170"/>
      <c r="AV92" s="170"/>
      <c r="AW92" s="828"/>
      <c r="AX92" s="726"/>
    </row>
    <row r="93" spans="1:50" ht="15" x14ac:dyDescent="0.25">
      <c r="A93" s="170"/>
      <c r="B93" s="719"/>
      <c r="C93" s="170" t="str">
        <f t="shared" si="95"/>
        <v>80</v>
      </c>
      <c r="D93" s="170"/>
      <c r="E93" s="170"/>
      <c r="F93" s="170">
        <f>+Parameters!D11</f>
        <v>8</v>
      </c>
      <c r="G93" s="170" t="str">
        <f>+Parameters!E11</f>
        <v>ROW work ( clearing/ Grubbing/ access roads)</v>
      </c>
      <c r="H93" s="586">
        <f t="shared" si="97"/>
        <v>0</v>
      </c>
      <c r="I93" s="170">
        <f>+Parameters!F11</f>
        <v>0</v>
      </c>
      <c r="J93" s="170"/>
      <c r="K93" s="170"/>
      <c r="L93" s="170"/>
      <c r="M93" s="730"/>
      <c r="N93" s="730"/>
      <c r="O93" s="730"/>
      <c r="P93" s="731"/>
      <c r="Q93" s="731"/>
      <c r="R93" s="730"/>
      <c r="S93" s="730"/>
      <c r="T93" s="723"/>
      <c r="U93" s="724"/>
      <c r="V93" s="725"/>
      <c r="W93" s="725"/>
      <c r="X93" s="723"/>
      <c r="Y93" s="723"/>
      <c r="Z93" s="723"/>
      <c r="AA93" s="726"/>
      <c r="AB93" s="726"/>
      <c r="AC93" s="170"/>
      <c r="AD93" s="586">
        <f t="shared" si="96"/>
        <v>0</v>
      </c>
      <c r="AE93" s="586">
        <f t="shared" si="96"/>
        <v>0</v>
      </c>
      <c r="AF93" s="586">
        <f t="shared" si="96"/>
        <v>0</v>
      </c>
      <c r="AG93" s="586">
        <f t="shared" si="96"/>
        <v>0</v>
      </c>
      <c r="AH93" s="586">
        <f t="shared" si="96"/>
        <v>0</v>
      </c>
      <c r="AI93" s="586">
        <f t="shared" si="96"/>
        <v>0</v>
      </c>
      <c r="AJ93" s="586">
        <f t="shared" si="96"/>
        <v>0</v>
      </c>
      <c r="AK93" s="586">
        <f t="shared" si="96"/>
        <v>0</v>
      </c>
      <c r="AL93" s="586">
        <f t="shared" si="96"/>
        <v>0</v>
      </c>
      <c r="AM93" s="586">
        <f t="shared" si="96"/>
        <v>0</v>
      </c>
      <c r="AN93" s="586">
        <f t="shared" si="96"/>
        <v>0</v>
      </c>
      <c r="AO93" s="586">
        <f t="shared" si="96"/>
        <v>0</v>
      </c>
      <c r="AP93" s="586">
        <f t="shared" si="96"/>
        <v>0</v>
      </c>
      <c r="AQ93" s="586">
        <f t="shared" si="96"/>
        <v>0</v>
      </c>
      <c r="AR93" s="586">
        <f t="shared" si="96"/>
        <v>0</v>
      </c>
      <c r="AS93" s="586">
        <f t="shared" si="96"/>
        <v>0</v>
      </c>
      <c r="AT93" s="170"/>
      <c r="AU93" s="170"/>
      <c r="AV93" s="170"/>
      <c r="AW93" s="828"/>
      <c r="AX93" s="726"/>
    </row>
    <row r="94" spans="1:50" ht="15" x14ac:dyDescent="0.25">
      <c r="A94" s="170"/>
      <c r="B94" s="719"/>
      <c r="C94" s="170" t="str">
        <f t="shared" si="95"/>
        <v>90</v>
      </c>
      <c r="D94" s="170"/>
      <c r="E94" s="170"/>
      <c r="F94" s="170">
        <f>+Parameters!D12</f>
        <v>9</v>
      </c>
      <c r="G94" s="170" t="str">
        <f>+Parameters!E12</f>
        <v>Mats</v>
      </c>
      <c r="H94" s="586">
        <f t="shared" si="97"/>
        <v>0</v>
      </c>
      <c r="I94" s="170">
        <f>+Parameters!F12</f>
        <v>0</v>
      </c>
      <c r="J94" s="170"/>
      <c r="K94" s="170"/>
      <c r="L94" s="170"/>
      <c r="M94" s="730"/>
      <c r="N94" s="730"/>
      <c r="O94" s="730"/>
      <c r="P94" s="731"/>
      <c r="Q94" s="731"/>
      <c r="R94" s="730"/>
      <c r="S94" s="730"/>
      <c r="T94" s="723"/>
      <c r="U94" s="724"/>
      <c r="V94" s="725"/>
      <c r="W94" s="725"/>
      <c r="X94" s="723"/>
      <c r="Y94" s="723"/>
      <c r="Z94" s="723"/>
      <c r="AA94" s="726"/>
      <c r="AB94" s="726"/>
      <c r="AC94" s="170"/>
      <c r="AD94" s="586">
        <f t="shared" si="96"/>
        <v>0</v>
      </c>
      <c r="AE94" s="586">
        <f t="shared" si="96"/>
        <v>0</v>
      </c>
      <c r="AF94" s="586">
        <f t="shared" si="96"/>
        <v>0</v>
      </c>
      <c r="AG94" s="586">
        <f t="shared" si="96"/>
        <v>0</v>
      </c>
      <c r="AH94" s="586">
        <f t="shared" si="96"/>
        <v>0</v>
      </c>
      <c r="AI94" s="586">
        <f t="shared" si="96"/>
        <v>0</v>
      </c>
      <c r="AJ94" s="586">
        <f t="shared" si="96"/>
        <v>0</v>
      </c>
      <c r="AK94" s="586">
        <f t="shared" si="96"/>
        <v>0</v>
      </c>
      <c r="AL94" s="586">
        <f t="shared" si="96"/>
        <v>0</v>
      </c>
      <c r="AM94" s="586">
        <f t="shared" si="96"/>
        <v>0</v>
      </c>
      <c r="AN94" s="586">
        <f t="shared" si="96"/>
        <v>0</v>
      </c>
      <c r="AO94" s="586">
        <f t="shared" si="96"/>
        <v>0</v>
      </c>
      <c r="AP94" s="586">
        <f t="shared" si="96"/>
        <v>0</v>
      </c>
      <c r="AQ94" s="586">
        <f t="shared" si="96"/>
        <v>0</v>
      </c>
      <c r="AR94" s="586">
        <f t="shared" si="96"/>
        <v>0</v>
      </c>
      <c r="AS94" s="586">
        <f t="shared" si="96"/>
        <v>0</v>
      </c>
      <c r="AT94" s="170"/>
      <c r="AU94" s="170"/>
      <c r="AV94" s="170"/>
      <c r="AW94" s="828"/>
      <c r="AX94" s="726"/>
    </row>
    <row r="95" spans="1:50" ht="15" x14ac:dyDescent="0.25">
      <c r="A95" s="170"/>
      <c r="B95" s="719"/>
      <c r="C95" s="170" t="str">
        <f t="shared" si="95"/>
        <v>100</v>
      </c>
      <c r="D95" s="170"/>
      <c r="E95" s="170"/>
      <c r="F95" s="170">
        <f>+Parameters!D13</f>
        <v>10</v>
      </c>
      <c r="G95" s="170" t="str">
        <f>+Parameters!E13</f>
        <v>Crane pads</v>
      </c>
      <c r="H95" s="586">
        <f t="shared" si="97"/>
        <v>0</v>
      </c>
      <c r="I95" s="170">
        <f>+Parameters!F13</f>
        <v>0</v>
      </c>
      <c r="J95" s="170"/>
      <c r="K95" s="170"/>
      <c r="L95" s="170"/>
      <c r="M95" s="730"/>
      <c r="N95" s="730"/>
      <c r="O95" s="730"/>
      <c r="P95" s="731"/>
      <c r="Q95" s="731"/>
      <c r="R95" s="730"/>
      <c r="S95" s="730"/>
      <c r="T95" s="723"/>
      <c r="U95" s="724"/>
      <c r="V95" s="725"/>
      <c r="W95" s="725"/>
      <c r="X95" s="723"/>
      <c r="Y95" s="723"/>
      <c r="Z95" s="723"/>
      <c r="AA95" s="726"/>
      <c r="AB95" s="726"/>
      <c r="AC95" s="170"/>
      <c r="AD95" s="586">
        <f t="shared" si="96"/>
        <v>0</v>
      </c>
      <c r="AE95" s="586">
        <f t="shared" si="96"/>
        <v>0</v>
      </c>
      <c r="AF95" s="586">
        <f t="shared" si="96"/>
        <v>0</v>
      </c>
      <c r="AG95" s="586">
        <f t="shared" si="96"/>
        <v>0</v>
      </c>
      <c r="AH95" s="586">
        <f t="shared" si="96"/>
        <v>0</v>
      </c>
      <c r="AI95" s="586">
        <f t="shared" si="96"/>
        <v>0</v>
      </c>
      <c r="AJ95" s="586">
        <f t="shared" si="96"/>
        <v>0</v>
      </c>
      <c r="AK95" s="586">
        <f t="shared" si="96"/>
        <v>0</v>
      </c>
      <c r="AL95" s="586">
        <f t="shared" si="96"/>
        <v>0</v>
      </c>
      <c r="AM95" s="586">
        <f t="shared" si="96"/>
        <v>0</v>
      </c>
      <c r="AN95" s="586">
        <f t="shared" si="96"/>
        <v>0</v>
      </c>
      <c r="AO95" s="586">
        <f t="shared" si="96"/>
        <v>0</v>
      </c>
      <c r="AP95" s="586">
        <f t="shared" si="96"/>
        <v>0</v>
      </c>
      <c r="AQ95" s="586">
        <f t="shared" si="96"/>
        <v>0</v>
      </c>
      <c r="AR95" s="586">
        <f t="shared" si="96"/>
        <v>0</v>
      </c>
      <c r="AS95" s="586">
        <f t="shared" si="96"/>
        <v>0</v>
      </c>
      <c r="AT95" s="170"/>
      <c r="AU95" s="170"/>
      <c r="AV95" s="170"/>
      <c r="AW95" s="828"/>
      <c r="AX95" s="726"/>
    </row>
    <row r="96" spans="1:50" ht="15" x14ac:dyDescent="0.25">
      <c r="A96" s="170"/>
      <c r="B96" s="719"/>
      <c r="C96" s="170" t="str">
        <f t="shared" si="95"/>
        <v>11cy</v>
      </c>
      <c r="D96" s="170"/>
      <c r="E96" s="170"/>
      <c r="F96" s="170">
        <f>+Parameters!D14</f>
        <v>11</v>
      </c>
      <c r="G96" s="170" t="str">
        <f>+Parameters!E14</f>
        <v>Excavation ( incl machine / hand / trench)</v>
      </c>
      <c r="H96" s="586">
        <f t="shared" si="97"/>
        <v>0</v>
      </c>
      <c r="I96" s="170" t="str">
        <f>+Parameters!F14</f>
        <v>cy</v>
      </c>
      <c r="J96" s="170"/>
      <c r="K96" s="170"/>
      <c r="L96" s="170"/>
      <c r="M96" s="730"/>
      <c r="N96" s="730"/>
      <c r="O96" s="730"/>
      <c r="P96" s="731"/>
      <c r="Q96" s="731"/>
      <c r="R96" s="730"/>
      <c r="S96" s="730"/>
      <c r="T96" s="723"/>
      <c r="U96" s="724"/>
      <c r="V96" s="725"/>
      <c r="W96" s="725"/>
      <c r="X96" s="723"/>
      <c r="Y96" s="723"/>
      <c r="Z96" s="723"/>
      <c r="AA96" s="726"/>
      <c r="AB96" s="726"/>
      <c r="AC96" s="170"/>
      <c r="AD96" s="586">
        <f t="shared" ref="AD96:AS105" si="98">SUMIF($F$9:$F$82,$F96,AD$9:AD$82)</f>
        <v>0</v>
      </c>
      <c r="AE96" s="586">
        <f t="shared" si="98"/>
        <v>0</v>
      </c>
      <c r="AF96" s="586">
        <f t="shared" si="98"/>
        <v>0</v>
      </c>
      <c r="AG96" s="586">
        <f t="shared" si="98"/>
        <v>0</v>
      </c>
      <c r="AH96" s="586">
        <f t="shared" si="98"/>
        <v>0</v>
      </c>
      <c r="AI96" s="586">
        <f t="shared" si="98"/>
        <v>0</v>
      </c>
      <c r="AJ96" s="586">
        <f t="shared" si="98"/>
        <v>0</v>
      </c>
      <c r="AK96" s="586">
        <f t="shared" si="98"/>
        <v>0</v>
      </c>
      <c r="AL96" s="586">
        <f t="shared" si="98"/>
        <v>0</v>
      </c>
      <c r="AM96" s="586">
        <f t="shared" si="98"/>
        <v>0</v>
      </c>
      <c r="AN96" s="586">
        <f t="shared" si="98"/>
        <v>0</v>
      </c>
      <c r="AO96" s="586">
        <f t="shared" si="98"/>
        <v>0</v>
      </c>
      <c r="AP96" s="586">
        <f t="shared" si="98"/>
        <v>0</v>
      </c>
      <c r="AQ96" s="586">
        <f t="shared" si="98"/>
        <v>0</v>
      </c>
      <c r="AR96" s="586">
        <f t="shared" si="98"/>
        <v>0</v>
      </c>
      <c r="AS96" s="586">
        <f t="shared" si="98"/>
        <v>0</v>
      </c>
      <c r="AT96" s="170"/>
      <c r="AU96" s="170"/>
      <c r="AV96" s="170"/>
      <c r="AW96" s="828"/>
      <c r="AX96" s="726"/>
    </row>
    <row r="97" spans="1:50" ht="15" x14ac:dyDescent="0.25">
      <c r="A97" s="170"/>
      <c r="B97" s="719"/>
      <c r="C97" s="170" t="str">
        <f t="shared" si="95"/>
        <v>12cy</v>
      </c>
      <c r="D97" s="170"/>
      <c r="E97" s="170"/>
      <c r="F97" s="170">
        <f>+Parameters!D15</f>
        <v>12</v>
      </c>
      <c r="G97" s="170" t="str">
        <f>+Parameters!E15</f>
        <v>Rock Excavation</v>
      </c>
      <c r="H97" s="586">
        <f t="shared" si="97"/>
        <v>0</v>
      </c>
      <c r="I97" s="170" t="str">
        <f>+Parameters!F15</f>
        <v>cy</v>
      </c>
      <c r="J97" s="170"/>
      <c r="K97" s="170"/>
      <c r="L97" s="170"/>
      <c r="M97" s="730"/>
      <c r="N97" s="730"/>
      <c r="O97" s="730"/>
      <c r="P97" s="731"/>
      <c r="Q97" s="731"/>
      <c r="R97" s="730"/>
      <c r="S97" s="730"/>
      <c r="T97" s="723"/>
      <c r="U97" s="724"/>
      <c r="V97" s="725"/>
      <c r="W97" s="725"/>
      <c r="X97" s="723"/>
      <c r="Y97" s="723"/>
      <c r="Z97" s="723"/>
      <c r="AA97" s="726"/>
      <c r="AB97" s="726"/>
      <c r="AC97" s="170"/>
      <c r="AD97" s="586">
        <f t="shared" si="98"/>
        <v>0</v>
      </c>
      <c r="AE97" s="586">
        <f t="shared" si="98"/>
        <v>0</v>
      </c>
      <c r="AF97" s="586">
        <f t="shared" si="98"/>
        <v>0</v>
      </c>
      <c r="AG97" s="586">
        <f t="shared" si="98"/>
        <v>0</v>
      </c>
      <c r="AH97" s="586">
        <f t="shared" si="98"/>
        <v>0</v>
      </c>
      <c r="AI97" s="586">
        <f t="shared" si="98"/>
        <v>0</v>
      </c>
      <c r="AJ97" s="586">
        <f t="shared" si="98"/>
        <v>0</v>
      </c>
      <c r="AK97" s="586">
        <f t="shared" si="98"/>
        <v>0</v>
      </c>
      <c r="AL97" s="586">
        <f t="shared" si="98"/>
        <v>0</v>
      </c>
      <c r="AM97" s="586">
        <f t="shared" si="98"/>
        <v>0</v>
      </c>
      <c r="AN97" s="586">
        <f t="shared" si="98"/>
        <v>0</v>
      </c>
      <c r="AO97" s="586">
        <f t="shared" si="98"/>
        <v>0</v>
      </c>
      <c r="AP97" s="586">
        <f t="shared" si="98"/>
        <v>0</v>
      </c>
      <c r="AQ97" s="586">
        <f t="shared" si="98"/>
        <v>0</v>
      </c>
      <c r="AR97" s="586">
        <f t="shared" si="98"/>
        <v>0</v>
      </c>
      <c r="AS97" s="586">
        <f t="shared" si="98"/>
        <v>0</v>
      </c>
      <c r="AT97" s="170"/>
      <c r="AU97" s="170"/>
      <c r="AV97" s="170"/>
      <c r="AW97" s="828"/>
      <c r="AX97" s="726"/>
    </row>
    <row r="98" spans="1:50" ht="15" x14ac:dyDescent="0.25">
      <c r="A98" s="170"/>
      <c r="B98" s="719"/>
      <c r="C98" s="170" t="str">
        <f t="shared" si="95"/>
        <v>13cy</v>
      </c>
      <c r="D98" s="170"/>
      <c r="E98" s="170"/>
      <c r="F98" s="170">
        <f>+Parameters!D16</f>
        <v>13</v>
      </c>
      <c r="G98" s="170" t="str">
        <f>+Parameters!E16</f>
        <v>Soil disposal</v>
      </c>
      <c r="H98" s="586">
        <f t="shared" si="97"/>
        <v>0</v>
      </c>
      <c r="I98" s="170" t="str">
        <f>+Parameters!F16</f>
        <v>cy</v>
      </c>
      <c r="J98" s="170"/>
      <c r="K98" s="170"/>
      <c r="L98" s="170"/>
      <c r="M98" s="730"/>
      <c r="N98" s="730"/>
      <c r="O98" s="730"/>
      <c r="P98" s="731"/>
      <c r="Q98" s="731"/>
      <c r="R98" s="730"/>
      <c r="S98" s="730"/>
      <c r="T98" s="723"/>
      <c r="U98" s="724"/>
      <c r="V98" s="725"/>
      <c r="W98" s="725"/>
      <c r="X98" s="723"/>
      <c r="Y98" s="723"/>
      <c r="Z98" s="723"/>
      <c r="AA98" s="726"/>
      <c r="AB98" s="726"/>
      <c r="AC98" s="170"/>
      <c r="AD98" s="586">
        <f t="shared" si="98"/>
        <v>0</v>
      </c>
      <c r="AE98" s="586">
        <f t="shared" si="98"/>
        <v>0</v>
      </c>
      <c r="AF98" s="586">
        <f t="shared" si="98"/>
        <v>0</v>
      </c>
      <c r="AG98" s="586">
        <f t="shared" si="98"/>
        <v>0</v>
      </c>
      <c r="AH98" s="586">
        <f t="shared" si="98"/>
        <v>0</v>
      </c>
      <c r="AI98" s="586">
        <f t="shared" si="98"/>
        <v>0</v>
      </c>
      <c r="AJ98" s="586">
        <f t="shared" si="98"/>
        <v>0</v>
      </c>
      <c r="AK98" s="586">
        <f t="shared" si="98"/>
        <v>0</v>
      </c>
      <c r="AL98" s="586">
        <f t="shared" si="98"/>
        <v>0</v>
      </c>
      <c r="AM98" s="586">
        <f t="shared" si="98"/>
        <v>0</v>
      </c>
      <c r="AN98" s="586">
        <f t="shared" si="98"/>
        <v>0</v>
      </c>
      <c r="AO98" s="586">
        <f t="shared" si="98"/>
        <v>0</v>
      </c>
      <c r="AP98" s="586">
        <f t="shared" si="98"/>
        <v>0</v>
      </c>
      <c r="AQ98" s="586">
        <f t="shared" si="98"/>
        <v>0</v>
      </c>
      <c r="AR98" s="586">
        <f t="shared" si="98"/>
        <v>0</v>
      </c>
      <c r="AS98" s="586">
        <f t="shared" si="98"/>
        <v>0</v>
      </c>
      <c r="AT98" s="170"/>
      <c r="AU98" s="170"/>
      <c r="AV98" s="170"/>
      <c r="AW98" s="828"/>
      <c r="AX98" s="726"/>
    </row>
    <row r="99" spans="1:50" ht="15" x14ac:dyDescent="0.25">
      <c r="A99" s="170"/>
      <c r="B99" s="719"/>
      <c r="C99" s="170" t="str">
        <f t="shared" si="95"/>
        <v>14cy</v>
      </c>
      <c r="D99" s="170"/>
      <c r="E99" s="170"/>
      <c r="F99" s="170">
        <f>+Parameters!D17</f>
        <v>14</v>
      </c>
      <c r="G99" s="170" t="str">
        <f>+Parameters!E17</f>
        <v>Backfill - earth</v>
      </c>
      <c r="H99" s="586">
        <f t="shared" si="97"/>
        <v>0</v>
      </c>
      <c r="I99" s="170" t="str">
        <f>+Parameters!F17</f>
        <v>cy</v>
      </c>
      <c r="J99" s="170"/>
      <c r="K99" s="170"/>
      <c r="L99" s="170"/>
      <c r="M99" s="730"/>
      <c r="N99" s="730"/>
      <c r="O99" s="730"/>
      <c r="P99" s="731"/>
      <c r="Q99" s="731"/>
      <c r="R99" s="730"/>
      <c r="S99" s="730"/>
      <c r="T99" s="723"/>
      <c r="U99" s="724"/>
      <c r="V99" s="725"/>
      <c r="W99" s="725"/>
      <c r="X99" s="723"/>
      <c r="Y99" s="723"/>
      <c r="Z99" s="723"/>
      <c r="AA99" s="726"/>
      <c r="AB99" s="726"/>
      <c r="AC99" s="170"/>
      <c r="AD99" s="586">
        <f t="shared" si="98"/>
        <v>0</v>
      </c>
      <c r="AE99" s="586">
        <f t="shared" si="98"/>
        <v>0</v>
      </c>
      <c r="AF99" s="586">
        <f t="shared" si="98"/>
        <v>0</v>
      </c>
      <c r="AG99" s="586">
        <f t="shared" si="98"/>
        <v>0</v>
      </c>
      <c r="AH99" s="586">
        <f t="shared" si="98"/>
        <v>0</v>
      </c>
      <c r="AI99" s="586">
        <f t="shared" si="98"/>
        <v>0</v>
      </c>
      <c r="AJ99" s="586">
        <f t="shared" si="98"/>
        <v>0</v>
      </c>
      <c r="AK99" s="586">
        <f t="shared" si="98"/>
        <v>0</v>
      </c>
      <c r="AL99" s="586">
        <f t="shared" si="98"/>
        <v>0</v>
      </c>
      <c r="AM99" s="586">
        <f t="shared" si="98"/>
        <v>0</v>
      </c>
      <c r="AN99" s="586">
        <f t="shared" si="98"/>
        <v>0</v>
      </c>
      <c r="AO99" s="586">
        <f t="shared" si="98"/>
        <v>0</v>
      </c>
      <c r="AP99" s="586">
        <f t="shared" si="98"/>
        <v>0</v>
      </c>
      <c r="AQ99" s="586">
        <f t="shared" si="98"/>
        <v>0</v>
      </c>
      <c r="AR99" s="586">
        <f t="shared" si="98"/>
        <v>0</v>
      </c>
      <c r="AS99" s="586">
        <f t="shared" si="98"/>
        <v>0</v>
      </c>
      <c r="AT99" s="170"/>
      <c r="AU99" s="170"/>
      <c r="AV99" s="170"/>
      <c r="AW99" s="828"/>
      <c r="AX99" s="726"/>
    </row>
    <row r="100" spans="1:50" ht="15" x14ac:dyDescent="0.25">
      <c r="A100" s="170"/>
      <c r="B100" s="719"/>
      <c r="C100" s="170" t="str">
        <f t="shared" si="95"/>
        <v>15cy</v>
      </c>
      <c r="D100" s="170"/>
      <c r="E100" s="170"/>
      <c r="F100" s="170">
        <f>+Parameters!D18</f>
        <v>15</v>
      </c>
      <c r="G100" s="170" t="str">
        <f>+Parameters!E18</f>
        <v>Backfill- stone ( incl trap rock and surfacing)</v>
      </c>
      <c r="H100" s="586">
        <f t="shared" si="97"/>
        <v>0</v>
      </c>
      <c r="I100" s="170" t="str">
        <f>+Parameters!F18</f>
        <v>cy</v>
      </c>
      <c r="J100" s="170"/>
      <c r="K100" s="170"/>
      <c r="L100" s="170"/>
      <c r="M100" s="730"/>
      <c r="N100" s="730"/>
      <c r="O100" s="730"/>
      <c r="P100" s="731"/>
      <c r="Q100" s="731"/>
      <c r="R100" s="730"/>
      <c r="S100" s="730"/>
      <c r="T100" s="723"/>
      <c r="U100" s="724"/>
      <c r="V100" s="725"/>
      <c r="W100" s="725"/>
      <c r="X100" s="723"/>
      <c r="Y100" s="723"/>
      <c r="Z100" s="723"/>
      <c r="AA100" s="726"/>
      <c r="AB100" s="726"/>
      <c r="AC100" s="170"/>
      <c r="AD100" s="586">
        <f t="shared" si="98"/>
        <v>0</v>
      </c>
      <c r="AE100" s="586">
        <f t="shared" si="98"/>
        <v>0</v>
      </c>
      <c r="AF100" s="586">
        <f t="shared" si="98"/>
        <v>0</v>
      </c>
      <c r="AG100" s="586">
        <f t="shared" si="98"/>
        <v>0</v>
      </c>
      <c r="AH100" s="586">
        <f t="shared" si="98"/>
        <v>0</v>
      </c>
      <c r="AI100" s="586">
        <f t="shared" si="98"/>
        <v>0</v>
      </c>
      <c r="AJ100" s="586">
        <f t="shared" si="98"/>
        <v>0</v>
      </c>
      <c r="AK100" s="586">
        <f t="shared" si="98"/>
        <v>0</v>
      </c>
      <c r="AL100" s="586">
        <f t="shared" si="98"/>
        <v>0</v>
      </c>
      <c r="AM100" s="586">
        <f t="shared" si="98"/>
        <v>0</v>
      </c>
      <c r="AN100" s="586">
        <f t="shared" si="98"/>
        <v>0</v>
      </c>
      <c r="AO100" s="586">
        <f t="shared" si="98"/>
        <v>0</v>
      </c>
      <c r="AP100" s="586">
        <f t="shared" si="98"/>
        <v>0</v>
      </c>
      <c r="AQ100" s="586">
        <f t="shared" si="98"/>
        <v>0</v>
      </c>
      <c r="AR100" s="586">
        <f t="shared" si="98"/>
        <v>0</v>
      </c>
      <c r="AS100" s="586">
        <f t="shared" si="98"/>
        <v>0</v>
      </c>
      <c r="AT100" s="170"/>
      <c r="AU100" s="170"/>
      <c r="AV100" s="170"/>
      <c r="AW100" s="828"/>
      <c r="AX100" s="726"/>
    </row>
    <row r="101" spans="1:50" ht="15" x14ac:dyDescent="0.25">
      <c r="A101" s="170"/>
      <c r="B101" s="719"/>
      <c r="C101" s="170" t="str">
        <f t="shared" si="95"/>
        <v>16lf</v>
      </c>
      <c r="D101" s="170"/>
      <c r="E101" s="170"/>
      <c r="F101" s="170">
        <f>+Parameters!D19</f>
        <v>16</v>
      </c>
      <c r="G101" s="170" t="str">
        <f>+Parameters!E19</f>
        <v>Fence / Gates</v>
      </c>
      <c r="H101" s="586">
        <f t="shared" si="97"/>
        <v>0</v>
      </c>
      <c r="I101" s="170" t="str">
        <f>+Parameters!F19</f>
        <v>lf</v>
      </c>
      <c r="J101" s="170"/>
      <c r="K101" s="170"/>
      <c r="L101" s="170"/>
      <c r="M101" s="730"/>
      <c r="N101" s="730"/>
      <c r="O101" s="730"/>
      <c r="P101" s="731"/>
      <c r="Q101" s="731"/>
      <c r="R101" s="730"/>
      <c r="S101" s="730"/>
      <c r="T101" s="723"/>
      <c r="U101" s="724"/>
      <c r="V101" s="725"/>
      <c r="W101" s="725"/>
      <c r="X101" s="723"/>
      <c r="Y101" s="723"/>
      <c r="Z101" s="723"/>
      <c r="AA101" s="726"/>
      <c r="AB101" s="726"/>
      <c r="AC101" s="170"/>
      <c r="AD101" s="586">
        <f t="shared" si="98"/>
        <v>0</v>
      </c>
      <c r="AE101" s="586">
        <f t="shared" si="98"/>
        <v>0</v>
      </c>
      <c r="AF101" s="586">
        <f t="shared" si="98"/>
        <v>0</v>
      </c>
      <c r="AG101" s="586">
        <f t="shared" si="98"/>
        <v>0</v>
      </c>
      <c r="AH101" s="586">
        <f t="shared" si="98"/>
        <v>0</v>
      </c>
      <c r="AI101" s="586">
        <f t="shared" si="98"/>
        <v>0</v>
      </c>
      <c r="AJ101" s="586">
        <f t="shared" si="98"/>
        <v>0</v>
      </c>
      <c r="AK101" s="586">
        <f t="shared" si="98"/>
        <v>0</v>
      </c>
      <c r="AL101" s="586">
        <f t="shared" si="98"/>
        <v>0</v>
      </c>
      <c r="AM101" s="586">
        <f t="shared" si="98"/>
        <v>0</v>
      </c>
      <c r="AN101" s="586">
        <f t="shared" si="98"/>
        <v>0</v>
      </c>
      <c r="AO101" s="586">
        <f t="shared" si="98"/>
        <v>0</v>
      </c>
      <c r="AP101" s="586">
        <f t="shared" si="98"/>
        <v>0</v>
      </c>
      <c r="AQ101" s="586">
        <f t="shared" si="98"/>
        <v>0</v>
      </c>
      <c r="AR101" s="586">
        <f t="shared" si="98"/>
        <v>0</v>
      </c>
      <c r="AS101" s="586">
        <f t="shared" si="98"/>
        <v>0</v>
      </c>
      <c r="AT101" s="170"/>
      <c r="AU101" s="170"/>
      <c r="AV101" s="170"/>
      <c r="AW101" s="828"/>
      <c r="AX101" s="726"/>
    </row>
    <row r="102" spans="1:50" ht="15" x14ac:dyDescent="0.25">
      <c r="A102" s="170"/>
      <c r="B102" s="719"/>
      <c r="C102" s="170" t="str">
        <f t="shared" si="95"/>
        <v>17lf</v>
      </c>
      <c r="D102" s="170"/>
      <c r="E102" s="170"/>
      <c r="F102" s="170">
        <f>+Parameters!D20</f>
        <v>17</v>
      </c>
      <c r="G102" s="170" t="str">
        <f>+Parameters!E20</f>
        <v>CIP Fence, Gates, Balistic protection</v>
      </c>
      <c r="H102" s="586">
        <f t="shared" si="97"/>
        <v>0</v>
      </c>
      <c r="I102" s="170" t="str">
        <f>+Parameters!F20</f>
        <v>lf</v>
      </c>
      <c r="J102" s="170"/>
      <c r="K102" s="170"/>
      <c r="L102" s="170"/>
      <c r="M102" s="730"/>
      <c r="N102" s="730"/>
      <c r="O102" s="730"/>
      <c r="P102" s="731"/>
      <c r="Q102" s="731"/>
      <c r="R102" s="730"/>
      <c r="S102" s="730"/>
      <c r="T102" s="723"/>
      <c r="U102" s="724"/>
      <c r="V102" s="725"/>
      <c r="W102" s="725"/>
      <c r="X102" s="723"/>
      <c r="Y102" s="723"/>
      <c r="Z102" s="723"/>
      <c r="AA102" s="726"/>
      <c r="AB102" s="726"/>
      <c r="AC102" s="170"/>
      <c r="AD102" s="586">
        <f t="shared" si="98"/>
        <v>0</v>
      </c>
      <c r="AE102" s="586">
        <f t="shared" si="98"/>
        <v>0</v>
      </c>
      <c r="AF102" s="586">
        <f t="shared" si="98"/>
        <v>0</v>
      </c>
      <c r="AG102" s="586">
        <f t="shared" si="98"/>
        <v>0</v>
      </c>
      <c r="AH102" s="586">
        <f t="shared" si="98"/>
        <v>0</v>
      </c>
      <c r="AI102" s="586">
        <f t="shared" si="98"/>
        <v>0</v>
      </c>
      <c r="AJ102" s="586">
        <f t="shared" si="98"/>
        <v>0</v>
      </c>
      <c r="AK102" s="586">
        <f t="shared" si="98"/>
        <v>0</v>
      </c>
      <c r="AL102" s="586">
        <f t="shared" si="98"/>
        <v>0</v>
      </c>
      <c r="AM102" s="586">
        <f t="shared" si="98"/>
        <v>0</v>
      </c>
      <c r="AN102" s="586">
        <f t="shared" si="98"/>
        <v>0</v>
      </c>
      <c r="AO102" s="586">
        <f t="shared" si="98"/>
        <v>0</v>
      </c>
      <c r="AP102" s="586">
        <f t="shared" si="98"/>
        <v>0</v>
      </c>
      <c r="AQ102" s="586">
        <f t="shared" si="98"/>
        <v>0</v>
      </c>
      <c r="AR102" s="586">
        <f t="shared" si="98"/>
        <v>0</v>
      </c>
      <c r="AS102" s="586">
        <f t="shared" si="98"/>
        <v>0</v>
      </c>
      <c r="AT102" s="170"/>
      <c r="AU102" s="170"/>
      <c r="AV102" s="170"/>
      <c r="AW102" s="828"/>
      <c r="AX102" s="726"/>
    </row>
    <row r="103" spans="1:50" ht="15" x14ac:dyDescent="0.25">
      <c r="A103" s="170"/>
      <c r="B103" s="719"/>
      <c r="C103" s="170" t="str">
        <f t="shared" si="95"/>
        <v>180</v>
      </c>
      <c r="D103" s="170"/>
      <c r="E103" s="170"/>
      <c r="F103" s="170">
        <f>+Parameters!D21</f>
        <v>18</v>
      </c>
      <c r="G103" s="170" t="str">
        <f>+Parameters!E21</f>
        <v>Sound walls/ retaining walls</v>
      </c>
      <c r="H103" s="586">
        <f t="shared" si="97"/>
        <v>0</v>
      </c>
      <c r="I103" s="170">
        <f>+Parameters!F21</f>
        <v>0</v>
      </c>
      <c r="J103" s="170"/>
      <c r="K103" s="170"/>
      <c r="L103" s="170"/>
      <c r="M103" s="730"/>
      <c r="N103" s="730"/>
      <c r="O103" s="730"/>
      <c r="P103" s="731"/>
      <c r="Q103" s="731"/>
      <c r="R103" s="730"/>
      <c r="S103" s="730"/>
      <c r="T103" s="723"/>
      <c r="U103" s="724"/>
      <c r="V103" s="725"/>
      <c r="W103" s="725"/>
      <c r="X103" s="723"/>
      <c r="Y103" s="723"/>
      <c r="Z103" s="723"/>
      <c r="AA103" s="726"/>
      <c r="AB103" s="726"/>
      <c r="AC103" s="170"/>
      <c r="AD103" s="586">
        <f t="shared" si="98"/>
        <v>0</v>
      </c>
      <c r="AE103" s="586">
        <f t="shared" si="98"/>
        <v>0</v>
      </c>
      <c r="AF103" s="586">
        <f t="shared" si="98"/>
        <v>0</v>
      </c>
      <c r="AG103" s="586">
        <f t="shared" si="98"/>
        <v>0</v>
      </c>
      <c r="AH103" s="586">
        <f t="shared" si="98"/>
        <v>0</v>
      </c>
      <c r="AI103" s="586">
        <f t="shared" si="98"/>
        <v>0</v>
      </c>
      <c r="AJ103" s="586">
        <f t="shared" si="98"/>
        <v>0</v>
      </c>
      <c r="AK103" s="586">
        <f t="shared" si="98"/>
        <v>0</v>
      </c>
      <c r="AL103" s="586">
        <f t="shared" si="98"/>
        <v>0</v>
      </c>
      <c r="AM103" s="586">
        <f t="shared" si="98"/>
        <v>0</v>
      </c>
      <c r="AN103" s="586">
        <f t="shared" si="98"/>
        <v>0</v>
      </c>
      <c r="AO103" s="586">
        <f t="shared" si="98"/>
        <v>0</v>
      </c>
      <c r="AP103" s="586">
        <f t="shared" si="98"/>
        <v>0</v>
      </c>
      <c r="AQ103" s="586">
        <f t="shared" si="98"/>
        <v>0</v>
      </c>
      <c r="AR103" s="586">
        <f t="shared" si="98"/>
        <v>0</v>
      </c>
      <c r="AS103" s="586">
        <f t="shared" si="98"/>
        <v>0</v>
      </c>
      <c r="AT103" s="170"/>
      <c r="AU103" s="170"/>
      <c r="AV103" s="170"/>
      <c r="AW103" s="828"/>
      <c r="AX103" s="726"/>
    </row>
    <row r="104" spans="1:50" ht="15" x14ac:dyDescent="0.25">
      <c r="A104" s="170"/>
      <c r="B104" s="719"/>
      <c r="C104" s="170" t="str">
        <f t="shared" si="95"/>
        <v>190</v>
      </c>
      <c r="D104" s="170"/>
      <c r="E104" s="170"/>
      <c r="F104" s="170">
        <f>+Parameters!D22</f>
        <v>19</v>
      </c>
      <c r="G104" s="170" t="str">
        <f>+Parameters!E22</f>
        <v>Other</v>
      </c>
      <c r="H104" s="586">
        <f t="shared" si="97"/>
        <v>0</v>
      </c>
      <c r="I104" s="170">
        <f>+Parameters!F22</f>
        <v>0</v>
      </c>
      <c r="J104" s="170"/>
      <c r="K104" s="170"/>
      <c r="L104" s="170"/>
      <c r="M104" s="730"/>
      <c r="N104" s="730"/>
      <c r="O104" s="730"/>
      <c r="P104" s="731"/>
      <c r="Q104" s="731"/>
      <c r="R104" s="730"/>
      <c r="S104" s="730"/>
      <c r="T104" s="723"/>
      <c r="U104" s="724"/>
      <c r="V104" s="725"/>
      <c r="W104" s="725"/>
      <c r="X104" s="723"/>
      <c r="Y104" s="723"/>
      <c r="Z104" s="723"/>
      <c r="AA104" s="726"/>
      <c r="AB104" s="726"/>
      <c r="AC104" s="170"/>
      <c r="AD104" s="586">
        <f t="shared" si="98"/>
        <v>0</v>
      </c>
      <c r="AE104" s="586">
        <f t="shared" si="98"/>
        <v>0</v>
      </c>
      <c r="AF104" s="586">
        <f t="shared" si="98"/>
        <v>0</v>
      </c>
      <c r="AG104" s="586">
        <f t="shared" si="98"/>
        <v>0</v>
      </c>
      <c r="AH104" s="586">
        <f t="shared" si="98"/>
        <v>0</v>
      </c>
      <c r="AI104" s="586">
        <f t="shared" si="98"/>
        <v>0</v>
      </c>
      <c r="AJ104" s="586">
        <f t="shared" si="98"/>
        <v>0</v>
      </c>
      <c r="AK104" s="586">
        <f t="shared" si="98"/>
        <v>0</v>
      </c>
      <c r="AL104" s="586">
        <f t="shared" si="98"/>
        <v>0</v>
      </c>
      <c r="AM104" s="586">
        <f t="shared" si="98"/>
        <v>0</v>
      </c>
      <c r="AN104" s="586">
        <f t="shared" si="98"/>
        <v>0</v>
      </c>
      <c r="AO104" s="586">
        <f t="shared" si="98"/>
        <v>0</v>
      </c>
      <c r="AP104" s="586">
        <f t="shared" si="98"/>
        <v>0</v>
      </c>
      <c r="AQ104" s="586">
        <f t="shared" si="98"/>
        <v>0</v>
      </c>
      <c r="AR104" s="586">
        <f t="shared" si="98"/>
        <v>0</v>
      </c>
      <c r="AS104" s="586">
        <f t="shared" si="98"/>
        <v>0</v>
      </c>
      <c r="AT104" s="170"/>
      <c r="AU104" s="170"/>
      <c r="AV104" s="170"/>
      <c r="AW104" s="828"/>
      <c r="AX104" s="726"/>
    </row>
    <row r="105" spans="1:50" ht="15" x14ac:dyDescent="0.25">
      <c r="A105" s="170"/>
      <c r="B105" s="719"/>
      <c r="C105" s="170" t="str">
        <f t="shared" si="95"/>
        <v>200</v>
      </c>
      <c r="D105" s="170"/>
      <c r="E105" s="170"/>
      <c r="F105" s="170">
        <f>+Parameters!D23</f>
        <v>20</v>
      </c>
      <c r="G105" s="170" t="str">
        <f>+Parameters!E23</f>
        <v>Trench (Trenwa type)</v>
      </c>
      <c r="H105" s="586">
        <f t="shared" si="97"/>
        <v>0</v>
      </c>
      <c r="I105" s="170">
        <f>+Parameters!F23</f>
        <v>0</v>
      </c>
      <c r="J105" s="170"/>
      <c r="K105" s="170"/>
      <c r="L105" s="170"/>
      <c r="M105" s="730"/>
      <c r="N105" s="730"/>
      <c r="O105" s="730"/>
      <c r="P105" s="731"/>
      <c r="Q105" s="731"/>
      <c r="R105" s="730"/>
      <c r="S105" s="730"/>
      <c r="T105" s="723"/>
      <c r="U105" s="724"/>
      <c r="V105" s="725"/>
      <c r="W105" s="725"/>
      <c r="X105" s="723"/>
      <c r="Y105" s="723"/>
      <c r="Z105" s="723"/>
      <c r="AA105" s="726"/>
      <c r="AB105" s="726"/>
      <c r="AC105" s="170"/>
      <c r="AD105" s="586">
        <f t="shared" si="98"/>
        <v>0</v>
      </c>
      <c r="AE105" s="586">
        <f t="shared" si="98"/>
        <v>0</v>
      </c>
      <c r="AF105" s="586">
        <f t="shared" si="98"/>
        <v>0</v>
      </c>
      <c r="AG105" s="586">
        <f t="shared" si="98"/>
        <v>0</v>
      </c>
      <c r="AH105" s="586">
        <f t="shared" si="98"/>
        <v>0</v>
      </c>
      <c r="AI105" s="586">
        <f t="shared" si="98"/>
        <v>0</v>
      </c>
      <c r="AJ105" s="586">
        <f t="shared" si="98"/>
        <v>0</v>
      </c>
      <c r="AK105" s="586">
        <f t="shared" si="98"/>
        <v>0</v>
      </c>
      <c r="AL105" s="586">
        <f t="shared" si="98"/>
        <v>0</v>
      </c>
      <c r="AM105" s="586">
        <f t="shared" si="98"/>
        <v>0</v>
      </c>
      <c r="AN105" s="586">
        <f t="shared" si="98"/>
        <v>0</v>
      </c>
      <c r="AO105" s="586">
        <f t="shared" si="98"/>
        <v>0</v>
      </c>
      <c r="AP105" s="586">
        <f t="shared" si="98"/>
        <v>0</v>
      </c>
      <c r="AQ105" s="586">
        <f t="shared" si="98"/>
        <v>0</v>
      </c>
      <c r="AR105" s="586">
        <f t="shared" si="98"/>
        <v>0</v>
      </c>
      <c r="AS105" s="586">
        <f t="shared" si="98"/>
        <v>0</v>
      </c>
      <c r="AT105" s="170"/>
      <c r="AU105" s="170"/>
      <c r="AV105" s="170"/>
      <c r="AW105" s="828"/>
      <c r="AX105" s="726"/>
    </row>
    <row r="106" spans="1:50" ht="15" x14ac:dyDescent="0.25">
      <c r="A106" s="170"/>
      <c r="B106" s="719"/>
      <c r="C106" s="170" t="str">
        <f t="shared" si="95"/>
        <v>21lf</v>
      </c>
      <c r="D106" s="170"/>
      <c r="E106" s="170"/>
      <c r="F106" s="170">
        <f>+Parameters!D24</f>
        <v>21</v>
      </c>
      <c r="G106" s="170" t="str">
        <f>+Parameters!E24</f>
        <v>Ductbank ( incl conduit)</v>
      </c>
      <c r="H106" s="586">
        <f t="shared" si="97"/>
        <v>0</v>
      </c>
      <c r="I106" s="170" t="str">
        <f>+Parameters!F24</f>
        <v>lf</v>
      </c>
      <c r="J106" s="170"/>
      <c r="K106" s="170"/>
      <c r="L106" s="170"/>
      <c r="M106" s="730"/>
      <c r="N106" s="730"/>
      <c r="O106" s="730"/>
      <c r="P106" s="731"/>
      <c r="Q106" s="731"/>
      <c r="R106" s="730"/>
      <c r="S106" s="730"/>
      <c r="T106" s="723"/>
      <c r="U106" s="724"/>
      <c r="V106" s="725"/>
      <c r="W106" s="725"/>
      <c r="X106" s="723"/>
      <c r="Y106" s="723"/>
      <c r="Z106" s="723"/>
      <c r="AA106" s="726"/>
      <c r="AB106" s="726"/>
      <c r="AC106" s="170"/>
      <c r="AD106" s="586">
        <f t="shared" ref="AD106:AS115" si="99">SUMIF($F$9:$F$82,$F106,AD$9:AD$82)</f>
        <v>0</v>
      </c>
      <c r="AE106" s="586">
        <f t="shared" si="99"/>
        <v>0</v>
      </c>
      <c r="AF106" s="586">
        <f t="shared" si="99"/>
        <v>0</v>
      </c>
      <c r="AG106" s="586">
        <f t="shared" si="99"/>
        <v>0</v>
      </c>
      <c r="AH106" s="586">
        <f t="shared" si="99"/>
        <v>0</v>
      </c>
      <c r="AI106" s="586">
        <f t="shared" si="99"/>
        <v>0</v>
      </c>
      <c r="AJ106" s="586">
        <f t="shared" si="99"/>
        <v>0</v>
      </c>
      <c r="AK106" s="586">
        <f t="shared" si="99"/>
        <v>0</v>
      </c>
      <c r="AL106" s="586">
        <f t="shared" si="99"/>
        <v>0</v>
      </c>
      <c r="AM106" s="586">
        <f t="shared" si="99"/>
        <v>0</v>
      </c>
      <c r="AN106" s="586">
        <f t="shared" si="99"/>
        <v>0</v>
      </c>
      <c r="AO106" s="586">
        <f t="shared" si="99"/>
        <v>0</v>
      </c>
      <c r="AP106" s="586">
        <f t="shared" si="99"/>
        <v>0</v>
      </c>
      <c r="AQ106" s="586">
        <f t="shared" si="99"/>
        <v>0</v>
      </c>
      <c r="AR106" s="586">
        <f t="shared" si="99"/>
        <v>0</v>
      </c>
      <c r="AS106" s="586">
        <f t="shared" si="99"/>
        <v>0</v>
      </c>
      <c r="AT106" s="170"/>
      <c r="AU106" s="170"/>
      <c r="AV106" s="170"/>
      <c r="AW106" s="828"/>
      <c r="AX106" s="726"/>
    </row>
    <row r="107" spans="1:50" ht="15" x14ac:dyDescent="0.25">
      <c r="A107" s="170"/>
      <c r="B107" s="719"/>
      <c r="C107" s="170" t="str">
        <f t="shared" si="95"/>
        <v>22lf</v>
      </c>
      <c r="D107" s="170"/>
      <c r="E107" s="170"/>
      <c r="F107" s="170">
        <f>+Parameters!D25</f>
        <v>22</v>
      </c>
      <c r="G107" s="170" t="str">
        <f>+Parameters!E25</f>
        <v>Conduit - AG</v>
      </c>
      <c r="H107" s="586">
        <f t="shared" si="97"/>
        <v>0</v>
      </c>
      <c r="I107" s="170" t="str">
        <f>+Parameters!F25</f>
        <v>lf</v>
      </c>
      <c r="J107" s="170"/>
      <c r="K107" s="170"/>
      <c r="L107" s="170"/>
      <c r="M107" s="730"/>
      <c r="N107" s="730"/>
      <c r="O107" s="730"/>
      <c r="P107" s="731"/>
      <c r="Q107" s="731"/>
      <c r="R107" s="730"/>
      <c r="S107" s="730"/>
      <c r="T107" s="723"/>
      <c r="U107" s="724"/>
      <c r="V107" s="725"/>
      <c r="W107" s="725"/>
      <c r="X107" s="723"/>
      <c r="Y107" s="723"/>
      <c r="Z107" s="723"/>
      <c r="AA107" s="726"/>
      <c r="AB107" s="726"/>
      <c r="AC107" s="170"/>
      <c r="AD107" s="586">
        <f t="shared" si="99"/>
        <v>0</v>
      </c>
      <c r="AE107" s="586">
        <f t="shared" si="99"/>
        <v>0</v>
      </c>
      <c r="AF107" s="586">
        <f t="shared" si="99"/>
        <v>0</v>
      </c>
      <c r="AG107" s="586">
        <f t="shared" si="99"/>
        <v>0</v>
      </c>
      <c r="AH107" s="586">
        <f t="shared" si="99"/>
        <v>0</v>
      </c>
      <c r="AI107" s="586">
        <f t="shared" si="99"/>
        <v>0</v>
      </c>
      <c r="AJ107" s="586">
        <f t="shared" si="99"/>
        <v>0</v>
      </c>
      <c r="AK107" s="586">
        <f t="shared" si="99"/>
        <v>0</v>
      </c>
      <c r="AL107" s="586">
        <f t="shared" si="99"/>
        <v>0</v>
      </c>
      <c r="AM107" s="586">
        <f t="shared" si="99"/>
        <v>0</v>
      </c>
      <c r="AN107" s="586">
        <f t="shared" si="99"/>
        <v>0</v>
      </c>
      <c r="AO107" s="586">
        <f t="shared" si="99"/>
        <v>0</v>
      </c>
      <c r="AP107" s="586">
        <f t="shared" si="99"/>
        <v>0</v>
      </c>
      <c r="AQ107" s="586">
        <f t="shared" si="99"/>
        <v>0</v>
      </c>
      <c r="AR107" s="586">
        <f t="shared" si="99"/>
        <v>0</v>
      </c>
      <c r="AS107" s="586">
        <f t="shared" si="99"/>
        <v>0</v>
      </c>
      <c r="AT107" s="170"/>
      <c r="AU107" s="170"/>
      <c r="AV107" s="170"/>
      <c r="AW107" s="828"/>
      <c r="AX107" s="726"/>
    </row>
    <row r="108" spans="1:50" ht="15" x14ac:dyDescent="0.25">
      <c r="A108" s="170"/>
      <c r="B108" s="719"/>
      <c r="C108" s="170" t="str">
        <f t="shared" si="95"/>
        <v>23lf</v>
      </c>
      <c r="D108" s="170"/>
      <c r="E108" s="170"/>
      <c r="F108" s="170">
        <f>+Parameters!D26</f>
        <v>23</v>
      </c>
      <c r="G108" s="170" t="str">
        <f>+Parameters!E26</f>
        <v>Conduit - UG ( excl ductbank)</v>
      </c>
      <c r="H108" s="586">
        <f t="shared" si="97"/>
        <v>0</v>
      </c>
      <c r="I108" s="170" t="str">
        <f>+Parameters!F26</f>
        <v>lf</v>
      </c>
      <c r="J108" s="170"/>
      <c r="K108" s="170"/>
      <c r="L108" s="170"/>
      <c r="M108" s="730"/>
      <c r="N108" s="730"/>
      <c r="O108" s="730"/>
      <c r="P108" s="731"/>
      <c r="Q108" s="731"/>
      <c r="R108" s="730"/>
      <c r="S108" s="730"/>
      <c r="T108" s="723"/>
      <c r="U108" s="724"/>
      <c r="V108" s="725"/>
      <c r="W108" s="725"/>
      <c r="X108" s="723"/>
      <c r="Y108" s="723"/>
      <c r="Z108" s="723"/>
      <c r="AA108" s="726"/>
      <c r="AB108" s="726"/>
      <c r="AC108" s="170"/>
      <c r="AD108" s="586">
        <f t="shared" si="99"/>
        <v>0</v>
      </c>
      <c r="AE108" s="586">
        <f t="shared" si="99"/>
        <v>0</v>
      </c>
      <c r="AF108" s="586">
        <f t="shared" si="99"/>
        <v>0</v>
      </c>
      <c r="AG108" s="586">
        <f t="shared" si="99"/>
        <v>0</v>
      </c>
      <c r="AH108" s="586">
        <f t="shared" si="99"/>
        <v>0</v>
      </c>
      <c r="AI108" s="586">
        <f t="shared" si="99"/>
        <v>0</v>
      </c>
      <c r="AJ108" s="586">
        <f t="shared" si="99"/>
        <v>0</v>
      </c>
      <c r="AK108" s="586">
        <f t="shared" si="99"/>
        <v>0</v>
      </c>
      <c r="AL108" s="586">
        <f t="shared" si="99"/>
        <v>0</v>
      </c>
      <c r="AM108" s="586">
        <f t="shared" si="99"/>
        <v>0</v>
      </c>
      <c r="AN108" s="586">
        <f t="shared" si="99"/>
        <v>0</v>
      </c>
      <c r="AO108" s="586">
        <f t="shared" si="99"/>
        <v>0</v>
      </c>
      <c r="AP108" s="586">
        <f t="shared" si="99"/>
        <v>0</v>
      </c>
      <c r="AQ108" s="586">
        <f t="shared" si="99"/>
        <v>0</v>
      </c>
      <c r="AR108" s="586">
        <f t="shared" si="99"/>
        <v>0</v>
      </c>
      <c r="AS108" s="586">
        <f t="shared" si="99"/>
        <v>0</v>
      </c>
      <c r="AT108" s="170"/>
      <c r="AU108" s="170"/>
      <c r="AV108" s="170"/>
      <c r="AW108" s="828"/>
      <c r="AX108" s="726"/>
    </row>
    <row r="109" spans="1:50" ht="15" x14ac:dyDescent="0.25">
      <c r="A109" s="170"/>
      <c r="B109" s="719"/>
      <c r="C109" s="170" t="str">
        <f t="shared" si="95"/>
        <v>24lf</v>
      </c>
      <c r="D109" s="170"/>
      <c r="E109" s="170"/>
      <c r="F109" s="170">
        <f>+Parameters!D27</f>
        <v>24</v>
      </c>
      <c r="G109" s="170" t="str">
        <f>+Parameters!E27</f>
        <v>Cable tray</v>
      </c>
      <c r="H109" s="586">
        <f t="shared" si="97"/>
        <v>0</v>
      </c>
      <c r="I109" s="170" t="str">
        <f>+Parameters!F27</f>
        <v>lf</v>
      </c>
      <c r="J109" s="170"/>
      <c r="K109" s="170"/>
      <c r="L109" s="170"/>
      <c r="M109" s="730"/>
      <c r="N109" s="730"/>
      <c r="O109" s="730"/>
      <c r="P109" s="731"/>
      <c r="Q109" s="731"/>
      <c r="R109" s="730"/>
      <c r="S109" s="730"/>
      <c r="T109" s="723"/>
      <c r="U109" s="724"/>
      <c r="V109" s="725"/>
      <c r="W109" s="725"/>
      <c r="X109" s="723"/>
      <c r="Y109" s="723"/>
      <c r="Z109" s="723"/>
      <c r="AA109" s="726"/>
      <c r="AB109" s="726"/>
      <c r="AC109" s="170"/>
      <c r="AD109" s="586">
        <f t="shared" si="99"/>
        <v>0</v>
      </c>
      <c r="AE109" s="586">
        <f t="shared" si="99"/>
        <v>0</v>
      </c>
      <c r="AF109" s="586">
        <f t="shared" si="99"/>
        <v>0</v>
      </c>
      <c r="AG109" s="586">
        <f t="shared" si="99"/>
        <v>0</v>
      </c>
      <c r="AH109" s="586">
        <f t="shared" si="99"/>
        <v>0</v>
      </c>
      <c r="AI109" s="586">
        <f t="shared" si="99"/>
        <v>0</v>
      </c>
      <c r="AJ109" s="586">
        <f t="shared" si="99"/>
        <v>0</v>
      </c>
      <c r="AK109" s="586">
        <f t="shared" si="99"/>
        <v>0</v>
      </c>
      <c r="AL109" s="586">
        <f t="shared" si="99"/>
        <v>0</v>
      </c>
      <c r="AM109" s="586">
        <f t="shared" si="99"/>
        <v>0</v>
      </c>
      <c r="AN109" s="586">
        <f t="shared" si="99"/>
        <v>0</v>
      </c>
      <c r="AO109" s="586">
        <f t="shared" si="99"/>
        <v>0</v>
      </c>
      <c r="AP109" s="586">
        <f t="shared" si="99"/>
        <v>0</v>
      </c>
      <c r="AQ109" s="586">
        <f t="shared" si="99"/>
        <v>0</v>
      </c>
      <c r="AR109" s="586">
        <f t="shared" si="99"/>
        <v>0</v>
      </c>
      <c r="AS109" s="586">
        <f t="shared" si="99"/>
        <v>0</v>
      </c>
      <c r="AT109" s="170"/>
      <c r="AU109" s="170"/>
      <c r="AV109" s="170"/>
      <c r="AW109" s="828"/>
      <c r="AX109" s="726"/>
    </row>
    <row r="110" spans="1:50" ht="15" x14ac:dyDescent="0.25">
      <c r="A110" s="170"/>
      <c r="B110" s="719"/>
      <c r="C110" s="170" t="str">
        <f t="shared" si="95"/>
        <v>25lf</v>
      </c>
      <c r="D110" s="170"/>
      <c r="E110" s="170"/>
      <c r="F110" s="170">
        <f>+Parameters!D28</f>
        <v>25</v>
      </c>
      <c r="G110" s="170" t="str">
        <f>+Parameters!E28</f>
        <v>Grounding</v>
      </c>
      <c r="H110" s="586">
        <f t="shared" si="97"/>
        <v>0</v>
      </c>
      <c r="I110" s="170" t="str">
        <f>+Parameters!F28</f>
        <v>lf</v>
      </c>
      <c r="J110" s="170"/>
      <c r="K110" s="170"/>
      <c r="L110" s="170"/>
      <c r="M110" s="730"/>
      <c r="N110" s="730"/>
      <c r="O110" s="730"/>
      <c r="P110" s="731"/>
      <c r="Q110" s="731"/>
      <c r="R110" s="730"/>
      <c r="S110" s="730"/>
      <c r="T110" s="723"/>
      <c r="U110" s="724"/>
      <c r="V110" s="725"/>
      <c r="W110" s="725"/>
      <c r="X110" s="723"/>
      <c r="Y110" s="723"/>
      <c r="Z110" s="723"/>
      <c r="AA110" s="726"/>
      <c r="AB110" s="726"/>
      <c r="AC110" s="170"/>
      <c r="AD110" s="586">
        <f t="shared" si="99"/>
        <v>0</v>
      </c>
      <c r="AE110" s="586">
        <f t="shared" si="99"/>
        <v>0</v>
      </c>
      <c r="AF110" s="586">
        <f t="shared" si="99"/>
        <v>0</v>
      </c>
      <c r="AG110" s="586">
        <f t="shared" si="99"/>
        <v>0</v>
      </c>
      <c r="AH110" s="586">
        <f t="shared" si="99"/>
        <v>0</v>
      </c>
      <c r="AI110" s="586">
        <f t="shared" si="99"/>
        <v>0</v>
      </c>
      <c r="AJ110" s="586">
        <f t="shared" si="99"/>
        <v>0</v>
      </c>
      <c r="AK110" s="586">
        <f t="shared" si="99"/>
        <v>0</v>
      </c>
      <c r="AL110" s="586">
        <f t="shared" si="99"/>
        <v>0</v>
      </c>
      <c r="AM110" s="586">
        <f t="shared" si="99"/>
        <v>0</v>
      </c>
      <c r="AN110" s="586">
        <f t="shared" si="99"/>
        <v>0</v>
      </c>
      <c r="AO110" s="586">
        <f t="shared" si="99"/>
        <v>0</v>
      </c>
      <c r="AP110" s="586">
        <f t="shared" si="99"/>
        <v>0</v>
      </c>
      <c r="AQ110" s="586">
        <f t="shared" si="99"/>
        <v>0</v>
      </c>
      <c r="AR110" s="586">
        <f t="shared" si="99"/>
        <v>0</v>
      </c>
      <c r="AS110" s="586">
        <f t="shared" si="99"/>
        <v>0</v>
      </c>
      <c r="AT110" s="170"/>
      <c r="AU110" s="170"/>
      <c r="AV110" s="170"/>
      <c r="AW110" s="828"/>
      <c r="AX110" s="726"/>
    </row>
    <row r="111" spans="1:50" ht="15" x14ac:dyDescent="0.25">
      <c r="A111" s="170"/>
      <c r="B111" s="719"/>
      <c r="C111" s="170" t="str">
        <f t="shared" si="95"/>
        <v>260</v>
      </c>
      <c r="D111" s="170"/>
      <c r="E111" s="170"/>
      <c r="F111" s="170">
        <f>+Parameters!D29</f>
        <v>26</v>
      </c>
      <c r="G111" s="170" t="str">
        <f>+Parameters!E29</f>
        <v>Lighting</v>
      </c>
      <c r="H111" s="586">
        <f t="shared" si="97"/>
        <v>0</v>
      </c>
      <c r="I111" s="170">
        <f>+Parameters!F29</f>
        <v>0</v>
      </c>
      <c r="J111" s="170"/>
      <c r="K111" s="170"/>
      <c r="L111" s="170"/>
      <c r="M111" s="730"/>
      <c r="N111" s="730"/>
      <c r="O111" s="730"/>
      <c r="P111" s="731"/>
      <c r="Q111" s="731"/>
      <c r="R111" s="730"/>
      <c r="S111" s="730"/>
      <c r="T111" s="723"/>
      <c r="U111" s="724"/>
      <c r="V111" s="725"/>
      <c r="W111" s="725"/>
      <c r="X111" s="723"/>
      <c r="Y111" s="723"/>
      <c r="Z111" s="723"/>
      <c r="AA111" s="726"/>
      <c r="AB111" s="726"/>
      <c r="AC111" s="170"/>
      <c r="AD111" s="586">
        <f t="shared" si="99"/>
        <v>0</v>
      </c>
      <c r="AE111" s="586">
        <f t="shared" si="99"/>
        <v>0</v>
      </c>
      <c r="AF111" s="586">
        <f t="shared" si="99"/>
        <v>0</v>
      </c>
      <c r="AG111" s="586">
        <f t="shared" si="99"/>
        <v>0</v>
      </c>
      <c r="AH111" s="586">
        <f t="shared" si="99"/>
        <v>0</v>
      </c>
      <c r="AI111" s="586">
        <f t="shared" si="99"/>
        <v>0</v>
      </c>
      <c r="AJ111" s="586">
        <f t="shared" si="99"/>
        <v>0</v>
      </c>
      <c r="AK111" s="586">
        <f t="shared" si="99"/>
        <v>0</v>
      </c>
      <c r="AL111" s="586">
        <f t="shared" si="99"/>
        <v>0</v>
      </c>
      <c r="AM111" s="586">
        <f t="shared" si="99"/>
        <v>0</v>
      </c>
      <c r="AN111" s="586">
        <f t="shared" si="99"/>
        <v>0</v>
      </c>
      <c r="AO111" s="586">
        <f t="shared" si="99"/>
        <v>0</v>
      </c>
      <c r="AP111" s="586">
        <f t="shared" si="99"/>
        <v>0</v>
      </c>
      <c r="AQ111" s="586">
        <f t="shared" si="99"/>
        <v>0</v>
      </c>
      <c r="AR111" s="586">
        <f t="shared" si="99"/>
        <v>0</v>
      </c>
      <c r="AS111" s="586">
        <f t="shared" si="99"/>
        <v>0</v>
      </c>
      <c r="AT111" s="170"/>
      <c r="AU111" s="170"/>
      <c r="AV111" s="170"/>
      <c r="AW111" s="828"/>
      <c r="AX111" s="726"/>
    </row>
    <row r="112" spans="1:50" ht="15" x14ac:dyDescent="0.25">
      <c r="A112" s="170"/>
      <c r="B112" s="719"/>
      <c r="C112" s="170" t="str">
        <f t="shared" si="95"/>
        <v>270</v>
      </c>
      <c r="D112" s="170"/>
      <c r="E112" s="170"/>
      <c r="F112" s="170">
        <f>+Parameters!D30</f>
        <v>27</v>
      </c>
      <c r="G112" s="170">
        <f>+Parameters!E30</f>
        <v>0</v>
      </c>
      <c r="H112" s="586">
        <f t="shared" si="97"/>
        <v>0</v>
      </c>
      <c r="I112" s="170">
        <f>+Parameters!F30</f>
        <v>0</v>
      </c>
      <c r="J112" s="170"/>
      <c r="K112" s="170"/>
      <c r="L112" s="170"/>
      <c r="M112" s="730"/>
      <c r="N112" s="730"/>
      <c r="O112" s="730"/>
      <c r="P112" s="731"/>
      <c r="Q112" s="731"/>
      <c r="R112" s="730"/>
      <c r="S112" s="730"/>
      <c r="T112" s="723"/>
      <c r="U112" s="724"/>
      <c r="V112" s="725"/>
      <c r="W112" s="725"/>
      <c r="X112" s="723"/>
      <c r="Y112" s="723"/>
      <c r="Z112" s="723"/>
      <c r="AA112" s="726"/>
      <c r="AB112" s="726"/>
      <c r="AC112" s="170"/>
      <c r="AD112" s="586">
        <f t="shared" si="99"/>
        <v>0</v>
      </c>
      <c r="AE112" s="586">
        <f t="shared" si="99"/>
        <v>0</v>
      </c>
      <c r="AF112" s="586">
        <f t="shared" si="99"/>
        <v>0</v>
      </c>
      <c r="AG112" s="586">
        <f t="shared" si="99"/>
        <v>0</v>
      </c>
      <c r="AH112" s="586">
        <f t="shared" si="99"/>
        <v>0</v>
      </c>
      <c r="AI112" s="586">
        <f t="shared" si="99"/>
        <v>0</v>
      </c>
      <c r="AJ112" s="586">
        <f t="shared" si="99"/>
        <v>0</v>
      </c>
      <c r="AK112" s="586">
        <f t="shared" si="99"/>
        <v>0</v>
      </c>
      <c r="AL112" s="586">
        <f t="shared" si="99"/>
        <v>0</v>
      </c>
      <c r="AM112" s="586">
        <f t="shared" si="99"/>
        <v>0</v>
      </c>
      <c r="AN112" s="586">
        <f t="shared" si="99"/>
        <v>0</v>
      </c>
      <c r="AO112" s="586">
        <f t="shared" si="99"/>
        <v>0</v>
      </c>
      <c r="AP112" s="586">
        <f t="shared" si="99"/>
        <v>0</v>
      </c>
      <c r="AQ112" s="586">
        <f t="shared" si="99"/>
        <v>0</v>
      </c>
      <c r="AR112" s="586">
        <f t="shared" si="99"/>
        <v>0</v>
      </c>
      <c r="AS112" s="586">
        <f t="shared" si="99"/>
        <v>0</v>
      </c>
      <c r="AT112" s="170"/>
      <c r="AU112" s="170"/>
      <c r="AV112" s="170"/>
      <c r="AW112" s="828"/>
      <c r="AX112" s="726"/>
    </row>
    <row r="113" spans="1:50" ht="15" x14ac:dyDescent="0.25">
      <c r="A113" s="170"/>
      <c r="B113" s="719"/>
      <c r="C113" s="170" t="str">
        <f t="shared" si="95"/>
        <v>280</v>
      </c>
      <c r="D113" s="170"/>
      <c r="E113" s="170"/>
      <c r="F113" s="170">
        <f>+Parameters!D31</f>
        <v>28</v>
      </c>
      <c r="G113" s="170">
        <f>+Parameters!E31</f>
        <v>0</v>
      </c>
      <c r="H113" s="586">
        <f t="shared" si="97"/>
        <v>0</v>
      </c>
      <c r="I113" s="170">
        <f>+Parameters!F31</f>
        <v>0</v>
      </c>
      <c r="J113" s="170"/>
      <c r="K113" s="170"/>
      <c r="L113" s="170"/>
      <c r="M113" s="730"/>
      <c r="N113" s="730"/>
      <c r="O113" s="730"/>
      <c r="P113" s="731"/>
      <c r="Q113" s="731"/>
      <c r="R113" s="730"/>
      <c r="S113" s="730"/>
      <c r="T113" s="723"/>
      <c r="U113" s="724"/>
      <c r="V113" s="725"/>
      <c r="W113" s="725"/>
      <c r="X113" s="723"/>
      <c r="Y113" s="723"/>
      <c r="Z113" s="723"/>
      <c r="AA113" s="726"/>
      <c r="AB113" s="726"/>
      <c r="AC113" s="170"/>
      <c r="AD113" s="586">
        <f t="shared" si="99"/>
        <v>0</v>
      </c>
      <c r="AE113" s="586">
        <f t="shared" si="99"/>
        <v>0</v>
      </c>
      <c r="AF113" s="586">
        <f t="shared" si="99"/>
        <v>0</v>
      </c>
      <c r="AG113" s="586">
        <f t="shared" si="99"/>
        <v>0</v>
      </c>
      <c r="AH113" s="586">
        <f t="shared" si="99"/>
        <v>0</v>
      </c>
      <c r="AI113" s="586">
        <f t="shared" si="99"/>
        <v>0</v>
      </c>
      <c r="AJ113" s="586">
        <f t="shared" si="99"/>
        <v>0</v>
      </c>
      <c r="AK113" s="586">
        <f t="shared" si="99"/>
        <v>0</v>
      </c>
      <c r="AL113" s="586">
        <f t="shared" si="99"/>
        <v>0</v>
      </c>
      <c r="AM113" s="586">
        <f t="shared" si="99"/>
        <v>0</v>
      </c>
      <c r="AN113" s="586">
        <f t="shared" si="99"/>
        <v>0</v>
      </c>
      <c r="AO113" s="586">
        <f t="shared" si="99"/>
        <v>0</v>
      </c>
      <c r="AP113" s="586">
        <f t="shared" si="99"/>
        <v>0</v>
      </c>
      <c r="AQ113" s="586">
        <f t="shared" si="99"/>
        <v>0</v>
      </c>
      <c r="AR113" s="586">
        <f t="shared" si="99"/>
        <v>0</v>
      </c>
      <c r="AS113" s="586">
        <f t="shared" si="99"/>
        <v>0</v>
      </c>
      <c r="AT113" s="170"/>
      <c r="AU113" s="170"/>
      <c r="AV113" s="170"/>
      <c r="AW113" s="828"/>
      <c r="AX113" s="726"/>
    </row>
    <row r="114" spans="1:50" ht="15" x14ac:dyDescent="0.25">
      <c r="A114" s="170"/>
      <c r="B114" s="719"/>
      <c r="C114" s="170" t="str">
        <f t="shared" si="95"/>
        <v>290</v>
      </c>
      <c r="D114" s="170"/>
      <c r="E114" s="170"/>
      <c r="F114" s="170">
        <f>+Parameters!D32</f>
        <v>29</v>
      </c>
      <c r="G114" s="170">
        <f>+Parameters!E32</f>
        <v>0</v>
      </c>
      <c r="H114" s="586">
        <f t="shared" si="97"/>
        <v>0</v>
      </c>
      <c r="I114" s="170">
        <f>+Parameters!F32</f>
        <v>0</v>
      </c>
      <c r="J114" s="170"/>
      <c r="K114" s="170"/>
      <c r="L114" s="170"/>
      <c r="M114" s="730"/>
      <c r="N114" s="730"/>
      <c r="O114" s="730"/>
      <c r="P114" s="731"/>
      <c r="Q114" s="731"/>
      <c r="R114" s="730"/>
      <c r="S114" s="730"/>
      <c r="T114" s="723"/>
      <c r="U114" s="724"/>
      <c r="V114" s="725"/>
      <c r="W114" s="725"/>
      <c r="X114" s="723"/>
      <c r="Y114" s="723"/>
      <c r="Z114" s="723"/>
      <c r="AA114" s="726"/>
      <c r="AB114" s="726"/>
      <c r="AC114" s="170"/>
      <c r="AD114" s="586">
        <f t="shared" si="99"/>
        <v>0</v>
      </c>
      <c r="AE114" s="586">
        <f t="shared" si="99"/>
        <v>0</v>
      </c>
      <c r="AF114" s="586">
        <f t="shared" si="99"/>
        <v>0</v>
      </c>
      <c r="AG114" s="586">
        <f t="shared" si="99"/>
        <v>0</v>
      </c>
      <c r="AH114" s="586">
        <f t="shared" si="99"/>
        <v>0</v>
      </c>
      <c r="AI114" s="586">
        <f t="shared" si="99"/>
        <v>0</v>
      </c>
      <c r="AJ114" s="586">
        <f t="shared" si="99"/>
        <v>0</v>
      </c>
      <c r="AK114" s="586">
        <f t="shared" si="99"/>
        <v>0</v>
      </c>
      <c r="AL114" s="586">
        <f t="shared" si="99"/>
        <v>0</v>
      </c>
      <c r="AM114" s="586">
        <f t="shared" si="99"/>
        <v>0</v>
      </c>
      <c r="AN114" s="586">
        <f t="shared" si="99"/>
        <v>0</v>
      </c>
      <c r="AO114" s="586">
        <f t="shared" si="99"/>
        <v>0</v>
      </c>
      <c r="AP114" s="586">
        <f t="shared" si="99"/>
        <v>0</v>
      </c>
      <c r="AQ114" s="586">
        <f t="shared" si="99"/>
        <v>0</v>
      </c>
      <c r="AR114" s="586">
        <f t="shared" si="99"/>
        <v>0</v>
      </c>
      <c r="AS114" s="586">
        <f t="shared" si="99"/>
        <v>0</v>
      </c>
      <c r="AT114" s="170"/>
      <c r="AU114" s="170"/>
      <c r="AV114" s="170"/>
      <c r="AW114" s="828"/>
      <c r="AX114" s="726"/>
    </row>
    <row r="115" spans="1:50" ht="15" x14ac:dyDescent="0.25">
      <c r="A115" s="170"/>
      <c r="B115" s="719"/>
      <c r="C115" s="170" t="str">
        <f t="shared" si="95"/>
        <v>30lf</v>
      </c>
      <c r="D115" s="170"/>
      <c r="E115" s="170"/>
      <c r="F115" s="170">
        <f>+Parameters!D33</f>
        <v>30</v>
      </c>
      <c r="G115" s="170" t="str">
        <f>+Parameters!E33</f>
        <v>Cable - UG - HPFF ( incl terms)</v>
      </c>
      <c r="H115" s="586">
        <f t="shared" si="97"/>
        <v>0</v>
      </c>
      <c r="I115" s="170" t="str">
        <f>+Parameters!F33</f>
        <v>lf</v>
      </c>
      <c r="J115" s="170"/>
      <c r="K115" s="170"/>
      <c r="L115" s="170"/>
      <c r="M115" s="730"/>
      <c r="N115" s="730"/>
      <c r="O115" s="730"/>
      <c r="P115" s="731"/>
      <c r="Q115" s="731"/>
      <c r="R115" s="730"/>
      <c r="S115" s="730"/>
      <c r="T115" s="723"/>
      <c r="U115" s="724"/>
      <c r="V115" s="725"/>
      <c r="W115" s="725"/>
      <c r="X115" s="723"/>
      <c r="Y115" s="723"/>
      <c r="Z115" s="723"/>
      <c r="AA115" s="726"/>
      <c r="AB115" s="726"/>
      <c r="AC115" s="170"/>
      <c r="AD115" s="586">
        <f t="shared" si="99"/>
        <v>0</v>
      </c>
      <c r="AE115" s="586">
        <f t="shared" si="99"/>
        <v>0</v>
      </c>
      <c r="AF115" s="586">
        <f t="shared" si="99"/>
        <v>0</v>
      </c>
      <c r="AG115" s="586">
        <f t="shared" si="99"/>
        <v>0</v>
      </c>
      <c r="AH115" s="586">
        <f t="shared" si="99"/>
        <v>0</v>
      </c>
      <c r="AI115" s="586">
        <f t="shared" si="99"/>
        <v>0</v>
      </c>
      <c r="AJ115" s="586">
        <f t="shared" si="99"/>
        <v>0</v>
      </c>
      <c r="AK115" s="586">
        <f t="shared" si="99"/>
        <v>0</v>
      </c>
      <c r="AL115" s="586">
        <f t="shared" si="99"/>
        <v>0</v>
      </c>
      <c r="AM115" s="586">
        <f t="shared" si="99"/>
        <v>0</v>
      </c>
      <c r="AN115" s="586">
        <f t="shared" si="99"/>
        <v>0</v>
      </c>
      <c r="AO115" s="586">
        <f t="shared" si="99"/>
        <v>0</v>
      </c>
      <c r="AP115" s="586">
        <f t="shared" si="99"/>
        <v>0</v>
      </c>
      <c r="AQ115" s="586">
        <f t="shared" si="99"/>
        <v>0</v>
      </c>
      <c r="AR115" s="586">
        <f t="shared" si="99"/>
        <v>0</v>
      </c>
      <c r="AS115" s="586">
        <f t="shared" si="99"/>
        <v>0</v>
      </c>
      <c r="AT115" s="170"/>
      <c r="AU115" s="170"/>
      <c r="AV115" s="170"/>
      <c r="AW115" s="828"/>
      <c r="AX115" s="726"/>
    </row>
    <row r="116" spans="1:50" ht="15" x14ac:dyDescent="0.25">
      <c r="A116" s="170"/>
      <c r="B116" s="719"/>
      <c r="C116" s="170" t="str">
        <f t="shared" si="95"/>
        <v>31lf</v>
      </c>
      <c r="D116" s="170"/>
      <c r="E116" s="170"/>
      <c r="F116" s="170">
        <f>+Parameters!D34</f>
        <v>31</v>
      </c>
      <c r="G116" s="170" t="str">
        <f>+Parameters!E34</f>
        <v>Cable - UG - XLPE ( incl terms)</v>
      </c>
      <c r="H116" s="586">
        <f t="shared" si="97"/>
        <v>0</v>
      </c>
      <c r="I116" s="170" t="str">
        <f>+Parameters!F34</f>
        <v>lf</v>
      </c>
      <c r="J116" s="170"/>
      <c r="K116" s="170"/>
      <c r="L116" s="170"/>
      <c r="M116" s="730"/>
      <c r="N116" s="730"/>
      <c r="O116" s="730"/>
      <c r="P116" s="731"/>
      <c r="Q116" s="731"/>
      <c r="R116" s="730"/>
      <c r="S116" s="730"/>
      <c r="T116" s="723"/>
      <c r="U116" s="724"/>
      <c r="V116" s="725"/>
      <c r="W116" s="725"/>
      <c r="X116" s="723"/>
      <c r="Y116" s="723"/>
      <c r="Z116" s="723"/>
      <c r="AA116" s="726"/>
      <c r="AB116" s="726"/>
      <c r="AC116" s="170"/>
      <c r="AD116" s="586">
        <f t="shared" ref="AD116:AS125" si="100">SUMIF($F$9:$F$82,$F116,AD$9:AD$82)</f>
        <v>0</v>
      </c>
      <c r="AE116" s="586">
        <f t="shared" si="100"/>
        <v>0</v>
      </c>
      <c r="AF116" s="586">
        <f t="shared" si="100"/>
        <v>0</v>
      </c>
      <c r="AG116" s="586">
        <f t="shared" si="100"/>
        <v>0</v>
      </c>
      <c r="AH116" s="586">
        <f t="shared" si="100"/>
        <v>0</v>
      </c>
      <c r="AI116" s="586">
        <f t="shared" si="100"/>
        <v>0</v>
      </c>
      <c r="AJ116" s="586">
        <f t="shared" si="100"/>
        <v>0</v>
      </c>
      <c r="AK116" s="586">
        <f t="shared" si="100"/>
        <v>0</v>
      </c>
      <c r="AL116" s="586">
        <f t="shared" si="100"/>
        <v>0</v>
      </c>
      <c r="AM116" s="586">
        <f t="shared" si="100"/>
        <v>0</v>
      </c>
      <c r="AN116" s="586">
        <f t="shared" si="100"/>
        <v>0</v>
      </c>
      <c r="AO116" s="586">
        <f t="shared" si="100"/>
        <v>0</v>
      </c>
      <c r="AP116" s="586">
        <f t="shared" si="100"/>
        <v>0</v>
      </c>
      <c r="AQ116" s="586">
        <f t="shared" si="100"/>
        <v>0</v>
      </c>
      <c r="AR116" s="586">
        <f t="shared" si="100"/>
        <v>0</v>
      </c>
      <c r="AS116" s="586">
        <f t="shared" si="100"/>
        <v>0</v>
      </c>
      <c r="AT116" s="170"/>
      <c r="AU116" s="170"/>
      <c r="AV116" s="170"/>
      <c r="AW116" s="828"/>
      <c r="AX116" s="726"/>
    </row>
    <row r="117" spans="1:50" ht="15" x14ac:dyDescent="0.25">
      <c r="A117" s="170"/>
      <c r="B117" s="719"/>
      <c r="C117" s="170" t="str">
        <f t="shared" si="95"/>
        <v>32lf</v>
      </c>
      <c r="D117" s="170"/>
      <c r="E117" s="170"/>
      <c r="F117" s="170">
        <f>+Parameters!D35</f>
        <v>32</v>
      </c>
      <c r="G117" s="170" t="str">
        <f>+Parameters!E35</f>
        <v>Cable - AG under 115kv ( incl terms)</v>
      </c>
      <c r="H117" s="586">
        <f t="shared" si="97"/>
        <v>0</v>
      </c>
      <c r="I117" s="170" t="str">
        <f>+Parameters!F35</f>
        <v>lf</v>
      </c>
      <c r="J117" s="170"/>
      <c r="K117" s="170"/>
      <c r="L117" s="170"/>
      <c r="M117" s="730"/>
      <c r="N117" s="730"/>
      <c r="O117" s="730"/>
      <c r="P117" s="731"/>
      <c r="Q117" s="731"/>
      <c r="R117" s="730"/>
      <c r="S117" s="730"/>
      <c r="T117" s="723"/>
      <c r="U117" s="724"/>
      <c r="V117" s="725"/>
      <c r="W117" s="725"/>
      <c r="X117" s="723"/>
      <c r="Y117" s="723"/>
      <c r="Z117" s="723"/>
      <c r="AA117" s="726"/>
      <c r="AB117" s="726"/>
      <c r="AC117" s="170"/>
      <c r="AD117" s="586">
        <f t="shared" si="100"/>
        <v>0</v>
      </c>
      <c r="AE117" s="586">
        <f t="shared" si="100"/>
        <v>0</v>
      </c>
      <c r="AF117" s="586">
        <f t="shared" si="100"/>
        <v>0</v>
      </c>
      <c r="AG117" s="586">
        <f t="shared" si="100"/>
        <v>0</v>
      </c>
      <c r="AH117" s="586">
        <f t="shared" si="100"/>
        <v>0</v>
      </c>
      <c r="AI117" s="586">
        <f t="shared" si="100"/>
        <v>0</v>
      </c>
      <c r="AJ117" s="586">
        <f t="shared" si="100"/>
        <v>0</v>
      </c>
      <c r="AK117" s="586">
        <f t="shared" si="100"/>
        <v>0</v>
      </c>
      <c r="AL117" s="586">
        <f t="shared" si="100"/>
        <v>0</v>
      </c>
      <c r="AM117" s="586">
        <f t="shared" si="100"/>
        <v>0</v>
      </c>
      <c r="AN117" s="586">
        <f t="shared" si="100"/>
        <v>0</v>
      </c>
      <c r="AO117" s="586">
        <f t="shared" si="100"/>
        <v>0</v>
      </c>
      <c r="AP117" s="586">
        <f t="shared" si="100"/>
        <v>0</v>
      </c>
      <c r="AQ117" s="586">
        <f t="shared" si="100"/>
        <v>0</v>
      </c>
      <c r="AR117" s="586">
        <f t="shared" si="100"/>
        <v>0</v>
      </c>
      <c r="AS117" s="586">
        <f t="shared" si="100"/>
        <v>0</v>
      </c>
      <c r="AT117" s="170"/>
      <c r="AU117" s="170"/>
      <c r="AV117" s="170"/>
      <c r="AW117" s="828"/>
      <c r="AX117" s="726"/>
    </row>
    <row r="118" spans="1:50" ht="15" x14ac:dyDescent="0.25">
      <c r="A118" s="170"/>
      <c r="B118" s="719"/>
      <c r="C118" s="170" t="str">
        <f t="shared" si="95"/>
        <v>33lf</v>
      </c>
      <c r="D118" s="170"/>
      <c r="E118" s="170"/>
      <c r="F118" s="170">
        <f>+Parameters!D36</f>
        <v>33</v>
      </c>
      <c r="G118" s="170" t="str">
        <f>+Parameters!E36</f>
        <v>Cable - AG 115 kv ( incl terms)</v>
      </c>
      <c r="H118" s="586">
        <f t="shared" si="97"/>
        <v>0</v>
      </c>
      <c r="I118" s="170" t="str">
        <f>+Parameters!F36</f>
        <v>lf</v>
      </c>
      <c r="J118" s="170"/>
      <c r="K118" s="170"/>
      <c r="L118" s="170"/>
      <c r="M118" s="730"/>
      <c r="N118" s="730"/>
      <c r="O118" s="730"/>
      <c r="P118" s="731"/>
      <c r="Q118" s="731"/>
      <c r="R118" s="730"/>
      <c r="S118" s="730"/>
      <c r="T118" s="723"/>
      <c r="U118" s="724"/>
      <c r="V118" s="725"/>
      <c r="W118" s="725"/>
      <c r="X118" s="723"/>
      <c r="Y118" s="723"/>
      <c r="Z118" s="723"/>
      <c r="AA118" s="726"/>
      <c r="AB118" s="726"/>
      <c r="AC118" s="170"/>
      <c r="AD118" s="586">
        <f t="shared" si="100"/>
        <v>0</v>
      </c>
      <c r="AE118" s="586">
        <f t="shared" si="100"/>
        <v>0</v>
      </c>
      <c r="AF118" s="586">
        <f t="shared" si="100"/>
        <v>0</v>
      </c>
      <c r="AG118" s="586">
        <f t="shared" si="100"/>
        <v>0</v>
      </c>
      <c r="AH118" s="586">
        <f t="shared" si="100"/>
        <v>0</v>
      </c>
      <c r="AI118" s="586">
        <f t="shared" si="100"/>
        <v>0</v>
      </c>
      <c r="AJ118" s="586">
        <f t="shared" si="100"/>
        <v>0</v>
      </c>
      <c r="AK118" s="586">
        <f t="shared" si="100"/>
        <v>0</v>
      </c>
      <c r="AL118" s="586">
        <f t="shared" si="100"/>
        <v>0</v>
      </c>
      <c r="AM118" s="586">
        <f t="shared" si="100"/>
        <v>0</v>
      </c>
      <c r="AN118" s="586">
        <f t="shared" si="100"/>
        <v>0</v>
      </c>
      <c r="AO118" s="586">
        <f t="shared" si="100"/>
        <v>0</v>
      </c>
      <c r="AP118" s="586">
        <f t="shared" si="100"/>
        <v>0</v>
      </c>
      <c r="AQ118" s="586">
        <f t="shared" si="100"/>
        <v>0</v>
      </c>
      <c r="AR118" s="586">
        <f t="shared" si="100"/>
        <v>0</v>
      </c>
      <c r="AS118" s="586">
        <f t="shared" si="100"/>
        <v>0</v>
      </c>
      <c r="AT118" s="170"/>
      <c r="AU118" s="170"/>
      <c r="AV118" s="170"/>
      <c r="AW118" s="828"/>
      <c r="AX118" s="726"/>
    </row>
    <row r="119" spans="1:50" ht="15" x14ac:dyDescent="0.25">
      <c r="A119" s="170"/>
      <c r="B119" s="719"/>
      <c r="C119" s="170" t="str">
        <f t="shared" si="95"/>
        <v>34lf</v>
      </c>
      <c r="D119" s="170"/>
      <c r="E119" s="170"/>
      <c r="F119" s="170">
        <f>+Parameters!D37</f>
        <v>34</v>
      </c>
      <c r="G119" s="170" t="str">
        <f>+Parameters!E37</f>
        <v>Cable - AG 345 kv ( incl terms)</v>
      </c>
      <c r="H119" s="586">
        <f t="shared" si="97"/>
        <v>0</v>
      </c>
      <c r="I119" s="170" t="str">
        <f>+Parameters!F37</f>
        <v>lf</v>
      </c>
      <c r="J119" s="170"/>
      <c r="K119" s="170"/>
      <c r="L119" s="170"/>
      <c r="M119" s="730"/>
      <c r="N119" s="730"/>
      <c r="O119" s="730"/>
      <c r="P119" s="731"/>
      <c r="Q119" s="731"/>
      <c r="R119" s="730"/>
      <c r="S119" s="730"/>
      <c r="T119" s="723"/>
      <c r="U119" s="724"/>
      <c r="V119" s="725"/>
      <c r="W119" s="725"/>
      <c r="X119" s="723"/>
      <c r="Y119" s="723"/>
      <c r="Z119" s="723"/>
      <c r="AA119" s="726"/>
      <c r="AB119" s="726"/>
      <c r="AC119" s="170"/>
      <c r="AD119" s="586">
        <f t="shared" si="100"/>
        <v>0</v>
      </c>
      <c r="AE119" s="586">
        <f t="shared" si="100"/>
        <v>0</v>
      </c>
      <c r="AF119" s="586">
        <f t="shared" si="100"/>
        <v>0</v>
      </c>
      <c r="AG119" s="586">
        <f t="shared" si="100"/>
        <v>0</v>
      </c>
      <c r="AH119" s="586">
        <f t="shared" si="100"/>
        <v>0</v>
      </c>
      <c r="AI119" s="586">
        <f t="shared" si="100"/>
        <v>0</v>
      </c>
      <c r="AJ119" s="586">
        <f t="shared" si="100"/>
        <v>0</v>
      </c>
      <c r="AK119" s="586">
        <f t="shared" si="100"/>
        <v>0</v>
      </c>
      <c r="AL119" s="586">
        <f t="shared" si="100"/>
        <v>0</v>
      </c>
      <c r="AM119" s="586">
        <f t="shared" si="100"/>
        <v>0</v>
      </c>
      <c r="AN119" s="586">
        <f t="shared" si="100"/>
        <v>0</v>
      </c>
      <c r="AO119" s="586">
        <f t="shared" si="100"/>
        <v>0</v>
      </c>
      <c r="AP119" s="586">
        <f t="shared" si="100"/>
        <v>0</v>
      </c>
      <c r="AQ119" s="586">
        <f t="shared" si="100"/>
        <v>0</v>
      </c>
      <c r="AR119" s="586">
        <f t="shared" si="100"/>
        <v>0</v>
      </c>
      <c r="AS119" s="586">
        <f t="shared" si="100"/>
        <v>0</v>
      </c>
      <c r="AT119" s="170"/>
      <c r="AU119" s="170"/>
      <c r="AV119" s="170"/>
      <c r="AW119" s="828"/>
      <c r="AX119" s="726"/>
    </row>
    <row r="120" spans="1:50" ht="15" x14ac:dyDescent="0.25">
      <c r="A120" s="170"/>
      <c r="B120" s="719"/>
      <c r="C120" s="170" t="str">
        <f t="shared" si="95"/>
        <v>35lf</v>
      </c>
      <c r="D120" s="170"/>
      <c r="E120" s="170"/>
      <c r="F120" s="170">
        <f>+Parameters!D38</f>
        <v>35</v>
      </c>
      <c r="G120" s="170" t="str">
        <f>+Parameters!E38</f>
        <v>Cable - OPGW / Shield ( incl terms)</v>
      </c>
      <c r="H120" s="586">
        <f t="shared" si="97"/>
        <v>0</v>
      </c>
      <c r="I120" s="170" t="str">
        <f>+Parameters!F38</f>
        <v>lf</v>
      </c>
      <c r="J120" s="170"/>
      <c r="K120" s="170"/>
      <c r="L120" s="170"/>
      <c r="M120" s="730"/>
      <c r="N120" s="730"/>
      <c r="O120" s="730"/>
      <c r="P120" s="731"/>
      <c r="Q120" s="731"/>
      <c r="R120" s="730"/>
      <c r="S120" s="730"/>
      <c r="T120" s="723"/>
      <c r="U120" s="724"/>
      <c r="V120" s="725"/>
      <c r="W120" s="725"/>
      <c r="X120" s="723"/>
      <c r="Y120" s="723"/>
      <c r="Z120" s="723"/>
      <c r="AA120" s="726"/>
      <c r="AB120" s="726"/>
      <c r="AC120" s="170"/>
      <c r="AD120" s="586">
        <f t="shared" si="100"/>
        <v>0</v>
      </c>
      <c r="AE120" s="586">
        <f t="shared" si="100"/>
        <v>0</v>
      </c>
      <c r="AF120" s="586">
        <f t="shared" si="100"/>
        <v>0</v>
      </c>
      <c r="AG120" s="586">
        <f t="shared" si="100"/>
        <v>0</v>
      </c>
      <c r="AH120" s="586">
        <f t="shared" si="100"/>
        <v>0</v>
      </c>
      <c r="AI120" s="586">
        <f t="shared" si="100"/>
        <v>0</v>
      </c>
      <c r="AJ120" s="586">
        <f t="shared" si="100"/>
        <v>0</v>
      </c>
      <c r="AK120" s="586">
        <f t="shared" si="100"/>
        <v>0</v>
      </c>
      <c r="AL120" s="586">
        <f t="shared" si="100"/>
        <v>0</v>
      </c>
      <c r="AM120" s="586">
        <f t="shared" si="100"/>
        <v>0</v>
      </c>
      <c r="AN120" s="586">
        <f t="shared" si="100"/>
        <v>0</v>
      </c>
      <c r="AO120" s="586">
        <f t="shared" si="100"/>
        <v>0</v>
      </c>
      <c r="AP120" s="586">
        <f t="shared" si="100"/>
        <v>0</v>
      </c>
      <c r="AQ120" s="586">
        <f t="shared" si="100"/>
        <v>0</v>
      </c>
      <c r="AR120" s="586">
        <f t="shared" si="100"/>
        <v>0</v>
      </c>
      <c r="AS120" s="586">
        <f t="shared" si="100"/>
        <v>0</v>
      </c>
      <c r="AT120" s="170"/>
      <c r="AU120" s="170"/>
      <c r="AV120" s="170"/>
      <c r="AW120" s="828"/>
      <c r="AX120" s="726"/>
    </row>
    <row r="121" spans="1:50" ht="15" x14ac:dyDescent="0.25">
      <c r="A121" s="170"/>
      <c r="B121" s="719"/>
      <c r="C121" s="170" t="str">
        <f t="shared" si="95"/>
        <v>36lf</v>
      </c>
      <c r="D121" s="170"/>
      <c r="E121" s="170"/>
      <c r="F121" s="170">
        <f>+Parameters!D39</f>
        <v>36</v>
      </c>
      <c r="G121" s="170" t="str">
        <f>+Parameters!E39</f>
        <v>Cable - Control ( incl terms)</v>
      </c>
      <c r="H121" s="586">
        <f t="shared" si="97"/>
        <v>0</v>
      </c>
      <c r="I121" s="170" t="str">
        <f>+Parameters!F39</f>
        <v>lf</v>
      </c>
      <c r="J121" s="170"/>
      <c r="K121" s="170"/>
      <c r="L121" s="170"/>
      <c r="M121" s="730"/>
      <c r="N121" s="730"/>
      <c r="O121" s="730"/>
      <c r="P121" s="731"/>
      <c r="Q121" s="731"/>
      <c r="R121" s="730"/>
      <c r="S121" s="730"/>
      <c r="T121" s="723"/>
      <c r="U121" s="724"/>
      <c r="V121" s="725"/>
      <c r="W121" s="725"/>
      <c r="X121" s="723"/>
      <c r="Y121" s="723"/>
      <c r="Z121" s="723"/>
      <c r="AA121" s="726"/>
      <c r="AB121" s="726"/>
      <c r="AC121" s="170"/>
      <c r="AD121" s="586">
        <f t="shared" si="100"/>
        <v>0</v>
      </c>
      <c r="AE121" s="586">
        <f t="shared" si="100"/>
        <v>0</v>
      </c>
      <c r="AF121" s="586">
        <f t="shared" si="100"/>
        <v>0</v>
      </c>
      <c r="AG121" s="586">
        <f t="shared" si="100"/>
        <v>0</v>
      </c>
      <c r="AH121" s="586">
        <f t="shared" si="100"/>
        <v>0</v>
      </c>
      <c r="AI121" s="586">
        <f t="shared" si="100"/>
        <v>0</v>
      </c>
      <c r="AJ121" s="586">
        <f t="shared" si="100"/>
        <v>0</v>
      </c>
      <c r="AK121" s="586">
        <f t="shared" si="100"/>
        <v>0</v>
      </c>
      <c r="AL121" s="586">
        <f t="shared" si="100"/>
        <v>0</v>
      </c>
      <c r="AM121" s="586">
        <f t="shared" si="100"/>
        <v>0</v>
      </c>
      <c r="AN121" s="586">
        <f t="shared" si="100"/>
        <v>0</v>
      </c>
      <c r="AO121" s="586">
        <f t="shared" si="100"/>
        <v>0</v>
      </c>
      <c r="AP121" s="586">
        <f t="shared" si="100"/>
        <v>0</v>
      </c>
      <c r="AQ121" s="586">
        <f t="shared" si="100"/>
        <v>0</v>
      </c>
      <c r="AR121" s="586">
        <f t="shared" si="100"/>
        <v>0</v>
      </c>
      <c r="AS121" s="586">
        <f t="shared" si="100"/>
        <v>0</v>
      </c>
      <c r="AT121" s="170"/>
      <c r="AU121" s="170"/>
      <c r="AV121" s="170"/>
      <c r="AW121" s="828"/>
      <c r="AX121" s="726"/>
    </row>
    <row r="122" spans="1:50" ht="15" x14ac:dyDescent="0.25">
      <c r="A122" s="170"/>
      <c r="B122" s="719"/>
      <c r="C122" s="170" t="str">
        <f t="shared" si="95"/>
        <v>37lf</v>
      </c>
      <c r="D122" s="170"/>
      <c r="E122" s="170"/>
      <c r="F122" s="170">
        <f>+Parameters!D40</f>
        <v>37</v>
      </c>
      <c r="G122" s="170" t="str">
        <f>+Parameters!E40</f>
        <v>Cable - Communication / Oher ( incl terms)</v>
      </c>
      <c r="H122" s="586">
        <f t="shared" si="97"/>
        <v>0</v>
      </c>
      <c r="I122" s="170" t="str">
        <f>+Parameters!F40</f>
        <v>lf</v>
      </c>
      <c r="J122" s="170"/>
      <c r="K122" s="170"/>
      <c r="L122" s="170"/>
      <c r="M122" s="730"/>
      <c r="N122" s="730"/>
      <c r="O122" s="730"/>
      <c r="P122" s="731"/>
      <c r="Q122" s="731"/>
      <c r="R122" s="730"/>
      <c r="S122" s="730"/>
      <c r="T122" s="723"/>
      <c r="U122" s="724"/>
      <c r="V122" s="725"/>
      <c r="W122" s="725"/>
      <c r="X122" s="723"/>
      <c r="Y122" s="723"/>
      <c r="Z122" s="723"/>
      <c r="AA122" s="726"/>
      <c r="AB122" s="726"/>
      <c r="AC122" s="170"/>
      <c r="AD122" s="586">
        <f t="shared" si="100"/>
        <v>0</v>
      </c>
      <c r="AE122" s="586">
        <f t="shared" si="100"/>
        <v>0</v>
      </c>
      <c r="AF122" s="586">
        <f t="shared" si="100"/>
        <v>0</v>
      </c>
      <c r="AG122" s="586">
        <f t="shared" si="100"/>
        <v>0</v>
      </c>
      <c r="AH122" s="586">
        <f t="shared" si="100"/>
        <v>0</v>
      </c>
      <c r="AI122" s="586">
        <f t="shared" si="100"/>
        <v>0</v>
      </c>
      <c r="AJ122" s="586">
        <f t="shared" si="100"/>
        <v>0</v>
      </c>
      <c r="AK122" s="586">
        <f t="shared" si="100"/>
        <v>0</v>
      </c>
      <c r="AL122" s="586">
        <f t="shared" si="100"/>
        <v>0</v>
      </c>
      <c r="AM122" s="586">
        <f t="shared" si="100"/>
        <v>0</v>
      </c>
      <c r="AN122" s="586">
        <f t="shared" si="100"/>
        <v>0</v>
      </c>
      <c r="AO122" s="586">
        <f t="shared" si="100"/>
        <v>0</v>
      </c>
      <c r="AP122" s="586">
        <f t="shared" si="100"/>
        <v>0</v>
      </c>
      <c r="AQ122" s="586">
        <f t="shared" si="100"/>
        <v>0</v>
      </c>
      <c r="AR122" s="586">
        <f t="shared" si="100"/>
        <v>0</v>
      </c>
      <c r="AS122" s="586">
        <f t="shared" si="100"/>
        <v>0</v>
      </c>
      <c r="AT122" s="170"/>
      <c r="AU122" s="170"/>
      <c r="AV122" s="170"/>
      <c r="AW122" s="828"/>
      <c r="AX122" s="726"/>
    </row>
    <row r="123" spans="1:50" ht="15" x14ac:dyDescent="0.25">
      <c r="A123" s="170"/>
      <c r="B123" s="719"/>
      <c r="C123" s="170" t="str">
        <f t="shared" si="95"/>
        <v>38lf</v>
      </c>
      <c r="D123" s="170"/>
      <c r="E123" s="170"/>
      <c r="F123" s="170">
        <f>+Parameters!D41</f>
        <v>38</v>
      </c>
      <c r="G123" s="170" t="str">
        <f>+Parameters!E41</f>
        <v>Cable - Power ( incl terms)</v>
      </c>
      <c r="H123" s="586">
        <f t="shared" si="97"/>
        <v>0</v>
      </c>
      <c r="I123" s="170" t="str">
        <f>+Parameters!F41</f>
        <v>lf</v>
      </c>
      <c r="J123" s="170"/>
      <c r="K123" s="170"/>
      <c r="L123" s="170"/>
      <c r="M123" s="730"/>
      <c r="N123" s="730"/>
      <c r="O123" s="730"/>
      <c r="P123" s="731"/>
      <c r="Q123" s="731"/>
      <c r="R123" s="730"/>
      <c r="S123" s="730"/>
      <c r="T123" s="723"/>
      <c r="U123" s="724"/>
      <c r="V123" s="725"/>
      <c r="W123" s="725"/>
      <c r="X123" s="723"/>
      <c r="Y123" s="723"/>
      <c r="Z123" s="723"/>
      <c r="AA123" s="726"/>
      <c r="AB123" s="726"/>
      <c r="AC123" s="170"/>
      <c r="AD123" s="586">
        <f t="shared" si="100"/>
        <v>0</v>
      </c>
      <c r="AE123" s="586">
        <f t="shared" si="100"/>
        <v>0</v>
      </c>
      <c r="AF123" s="586">
        <f t="shared" si="100"/>
        <v>0</v>
      </c>
      <c r="AG123" s="586">
        <f t="shared" si="100"/>
        <v>0</v>
      </c>
      <c r="AH123" s="586">
        <f t="shared" si="100"/>
        <v>0</v>
      </c>
      <c r="AI123" s="586">
        <f t="shared" si="100"/>
        <v>0</v>
      </c>
      <c r="AJ123" s="586">
        <f t="shared" si="100"/>
        <v>0</v>
      </c>
      <c r="AK123" s="586">
        <f t="shared" si="100"/>
        <v>0</v>
      </c>
      <c r="AL123" s="586">
        <f t="shared" si="100"/>
        <v>0</v>
      </c>
      <c r="AM123" s="586">
        <f t="shared" si="100"/>
        <v>0</v>
      </c>
      <c r="AN123" s="586">
        <f t="shared" si="100"/>
        <v>0</v>
      </c>
      <c r="AO123" s="586">
        <f t="shared" si="100"/>
        <v>0</v>
      </c>
      <c r="AP123" s="586">
        <f t="shared" si="100"/>
        <v>0</v>
      </c>
      <c r="AQ123" s="586">
        <f t="shared" si="100"/>
        <v>0</v>
      </c>
      <c r="AR123" s="586">
        <f t="shared" si="100"/>
        <v>0</v>
      </c>
      <c r="AS123" s="586">
        <f t="shared" si="100"/>
        <v>0</v>
      </c>
      <c r="AT123" s="170"/>
      <c r="AU123" s="170"/>
      <c r="AV123" s="170"/>
      <c r="AW123" s="828"/>
      <c r="AX123" s="726"/>
    </row>
    <row r="124" spans="1:50" ht="15" x14ac:dyDescent="0.25">
      <c r="A124" s="170"/>
      <c r="B124" s="719"/>
      <c r="C124" s="170" t="str">
        <f t="shared" si="95"/>
        <v>39lf</v>
      </c>
      <c r="D124" s="170"/>
      <c r="E124" s="170"/>
      <c r="F124" s="170">
        <f>+Parameters!D42</f>
        <v>39</v>
      </c>
      <c r="G124" s="170" t="str">
        <f>+Parameters!E42</f>
        <v>Cable - Other</v>
      </c>
      <c r="H124" s="586">
        <f t="shared" si="97"/>
        <v>0</v>
      </c>
      <c r="I124" s="170" t="str">
        <f>+Parameters!F42</f>
        <v>lf</v>
      </c>
      <c r="J124" s="170"/>
      <c r="K124" s="170"/>
      <c r="L124" s="170"/>
      <c r="M124" s="730"/>
      <c r="N124" s="730"/>
      <c r="O124" s="730"/>
      <c r="P124" s="731"/>
      <c r="Q124" s="731"/>
      <c r="R124" s="730"/>
      <c r="S124" s="730"/>
      <c r="T124" s="723"/>
      <c r="U124" s="724"/>
      <c r="V124" s="725"/>
      <c r="W124" s="725"/>
      <c r="X124" s="723"/>
      <c r="Y124" s="723"/>
      <c r="Z124" s="723"/>
      <c r="AA124" s="726"/>
      <c r="AB124" s="726"/>
      <c r="AC124" s="170"/>
      <c r="AD124" s="586">
        <f t="shared" si="100"/>
        <v>0</v>
      </c>
      <c r="AE124" s="586">
        <f t="shared" si="100"/>
        <v>0</v>
      </c>
      <c r="AF124" s="586">
        <f t="shared" si="100"/>
        <v>0</v>
      </c>
      <c r="AG124" s="586">
        <f t="shared" si="100"/>
        <v>0</v>
      </c>
      <c r="AH124" s="586">
        <f t="shared" si="100"/>
        <v>0</v>
      </c>
      <c r="AI124" s="586">
        <f t="shared" si="100"/>
        <v>0</v>
      </c>
      <c r="AJ124" s="586">
        <f t="shared" si="100"/>
        <v>0</v>
      </c>
      <c r="AK124" s="586">
        <f t="shared" si="100"/>
        <v>0</v>
      </c>
      <c r="AL124" s="586">
        <f t="shared" si="100"/>
        <v>0</v>
      </c>
      <c r="AM124" s="586">
        <f t="shared" si="100"/>
        <v>0</v>
      </c>
      <c r="AN124" s="586">
        <f t="shared" si="100"/>
        <v>0</v>
      </c>
      <c r="AO124" s="586">
        <f t="shared" si="100"/>
        <v>0</v>
      </c>
      <c r="AP124" s="586">
        <f t="shared" si="100"/>
        <v>0</v>
      </c>
      <c r="AQ124" s="586">
        <f t="shared" si="100"/>
        <v>0</v>
      </c>
      <c r="AR124" s="586">
        <f t="shared" si="100"/>
        <v>0</v>
      </c>
      <c r="AS124" s="586">
        <f t="shared" si="100"/>
        <v>0</v>
      </c>
      <c r="AT124" s="170"/>
      <c r="AU124" s="170"/>
      <c r="AV124" s="170"/>
      <c r="AW124" s="828"/>
      <c r="AX124" s="726"/>
    </row>
    <row r="125" spans="1:50" ht="15" x14ac:dyDescent="0.25">
      <c r="A125" s="170"/>
      <c r="B125" s="719"/>
      <c r="C125" s="170" t="str">
        <f t="shared" si="95"/>
        <v>400</v>
      </c>
      <c r="D125" s="170"/>
      <c r="E125" s="170"/>
      <c r="F125" s="170">
        <f>+Parameters!D43</f>
        <v>40</v>
      </c>
      <c r="G125" s="170" t="str">
        <f>+Parameters!E43</f>
        <v>Structures - buildings</v>
      </c>
      <c r="H125" s="586">
        <f t="shared" si="97"/>
        <v>0</v>
      </c>
      <c r="I125" s="170">
        <f>+Parameters!F43</f>
        <v>0</v>
      </c>
      <c r="J125" s="170"/>
      <c r="K125" s="170"/>
      <c r="L125" s="170"/>
      <c r="M125" s="730"/>
      <c r="N125" s="730"/>
      <c r="O125" s="730"/>
      <c r="P125" s="731"/>
      <c r="Q125" s="731"/>
      <c r="R125" s="730"/>
      <c r="S125" s="730"/>
      <c r="T125" s="723"/>
      <c r="U125" s="724"/>
      <c r="V125" s="725"/>
      <c r="W125" s="725"/>
      <c r="X125" s="723"/>
      <c r="Y125" s="723"/>
      <c r="Z125" s="723"/>
      <c r="AA125" s="726"/>
      <c r="AB125" s="726"/>
      <c r="AC125" s="170"/>
      <c r="AD125" s="586">
        <f t="shared" si="100"/>
        <v>0</v>
      </c>
      <c r="AE125" s="586">
        <f t="shared" si="100"/>
        <v>0</v>
      </c>
      <c r="AF125" s="586">
        <f t="shared" si="100"/>
        <v>0</v>
      </c>
      <c r="AG125" s="586">
        <f t="shared" si="100"/>
        <v>0</v>
      </c>
      <c r="AH125" s="586">
        <f t="shared" si="100"/>
        <v>0</v>
      </c>
      <c r="AI125" s="586">
        <f t="shared" si="100"/>
        <v>0</v>
      </c>
      <c r="AJ125" s="586">
        <f t="shared" si="100"/>
        <v>0</v>
      </c>
      <c r="AK125" s="586">
        <f t="shared" si="100"/>
        <v>0</v>
      </c>
      <c r="AL125" s="586">
        <f t="shared" si="100"/>
        <v>0</v>
      </c>
      <c r="AM125" s="586">
        <f t="shared" si="100"/>
        <v>0</v>
      </c>
      <c r="AN125" s="586">
        <f t="shared" si="100"/>
        <v>0</v>
      </c>
      <c r="AO125" s="586">
        <f t="shared" si="100"/>
        <v>0</v>
      </c>
      <c r="AP125" s="586">
        <f t="shared" si="100"/>
        <v>0</v>
      </c>
      <c r="AQ125" s="586">
        <f t="shared" si="100"/>
        <v>0</v>
      </c>
      <c r="AR125" s="586">
        <f t="shared" si="100"/>
        <v>0</v>
      </c>
      <c r="AS125" s="586">
        <f t="shared" si="100"/>
        <v>0</v>
      </c>
      <c r="AT125" s="170"/>
      <c r="AU125" s="170"/>
      <c r="AV125" s="170"/>
      <c r="AW125" s="828"/>
      <c r="AX125" s="726"/>
    </row>
    <row r="126" spans="1:50" ht="15" x14ac:dyDescent="0.25">
      <c r="A126" s="170"/>
      <c r="B126" s="719"/>
      <c r="C126" s="170" t="str">
        <f t="shared" si="95"/>
        <v>41ea</v>
      </c>
      <c r="D126" s="170"/>
      <c r="E126" s="170"/>
      <c r="F126" s="170">
        <f>+Parameters!D44</f>
        <v>41</v>
      </c>
      <c r="G126" s="170" t="str">
        <f>+Parameters!E44</f>
        <v>Structures - Poles - monopoles</v>
      </c>
      <c r="H126" s="586">
        <f t="shared" si="97"/>
        <v>0</v>
      </c>
      <c r="I126" s="170" t="str">
        <f>+Parameters!F44</f>
        <v>ea</v>
      </c>
      <c r="J126" s="170"/>
      <c r="K126" s="170"/>
      <c r="L126" s="170"/>
      <c r="M126" s="730"/>
      <c r="N126" s="730"/>
      <c r="O126" s="730"/>
      <c r="P126" s="731"/>
      <c r="Q126" s="731"/>
      <c r="R126" s="730"/>
      <c r="S126" s="730"/>
      <c r="T126" s="723"/>
      <c r="U126" s="724"/>
      <c r="V126" s="725"/>
      <c r="W126" s="725"/>
      <c r="X126" s="723"/>
      <c r="Y126" s="723"/>
      <c r="Z126" s="723"/>
      <c r="AA126" s="726"/>
      <c r="AB126" s="726"/>
      <c r="AC126" s="170"/>
      <c r="AD126" s="586">
        <f t="shared" ref="AD126:AS135" si="101">SUMIF($F$9:$F$82,$F126,AD$9:AD$82)</f>
        <v>0</v>
      </c>
      <c r="AE126" s="586">
        <f t="shared" si="101"/>
        <v>0</v>
      </c>
      <c r="AF126" s="586">
        <f t="shared" si="101"/>
        <v>0</v>
      </c>
      <c r="AG126" s="586">
        <f t="shared" si="101"/>
        <v>0</v>
      </c>
      <c r="AH126" s="586">
        <f t="shared" si="101"/>
        <v>0</v>
      </c>
      <c r="AI126" s="586">
        <f t="shared" si="101"/>
        <v>0</v>
      </c>
      <c r="AJ126" s="586">
        <f t="shared" si="101"/>
        <v>0</v>
      </c>
      <c r="AK126" s="586">
        <f t="shared" si="101"/>
        <v>0</v>
      </c>
      <c r="AL126" s="586">
        <f t="shared" si="101"/>
        <v>0</v>
      </c>
      <c r="AM126" s="586">
        <f t="shared" si="101"/>
        <v>0</v>
      </c>
      <c r="AN126" s="586">
        <f t="shared" si="101"/>
        <v>0</v>
      </c>
      <c r="AO126" s="586">
        <f t="shared" si="101"/>
        <v>0</v>
      </c>
      <c r="AP126" s="586">
        <f t="shared" si="101"/>
        <v>0</v>
      </c>
      <c r="AQ126" s="586">
        <f t="shared" si="101"/>
        <v>0</v>
      </c>
      <c r="AR126" s="586">
        <f t="shared" si="101"/>
        <v>0</v>
      </c>
      <c r="AS126" s="586">
        <f t="shared" si="101"/>
        <v>0</v>
      </c>
      <c r="AT126" s="170"/>
      <c r="AU126" s="170"/>
      <c r="AV126" s="170"/>
      <c r="AW126" s="828"/>
      <c r="AX126" s="726"/>
    </row>
    <row r="127" spans="1:50" ht="15" x14ac:dyDescent="0.25">
      <c r="A127" s="170"/>
      <c r="B127" s="719"/>
      <c r="C127" s="170" t="str">
        <f t="shared" si="95"/>
        <v>42ea</v>
      </c>
      <c r="D127" s="170"/>
      <c r="E127" s="170"/>
      <c r="F127" s="170">
        <f>+Parameters!D45</f>
        <v>42</v>
      </c>
      <c r="G127" s="170" t="str">
        <f>+Parameters!E45</f>
        <v>Structures - Poles - frame</v>
      </c>
      <c r="H127" s="586">
        <f t="shared" si="97"/>
        <v>0</v>
      </c>
      <c r="I127" s="170" t="str">
        <f>+Parameters!F45</f>
        <v>ea</v>
      </c>
      <c r="J127" s="170"/>
      <c r="K127" s="170"/>
      <c r="L127" s="170"/>
      <c r="M127" s="730"/>
      <c r="N127" s="730"/>
      <c r="O127" s="730"/>
      <c r="P127" s="731"/>
      <c r="Q127" s="731"/>
      <c r="R127" s="730"/>
      <c r="S127" s="730"/>
      <c r="T127" s="723"/>
      <c r="U127" s="724"/>
      <c r="V127" s="725"/>
      <c r="W127" s="725"/>
      <c r="X127" s="723"/>
      <c r="Y127" s="723"/>
      <c r="Z127" s="723"/>
      <c r="AA127" s="726"/>
      <c r="AB127" s="726"/>
      <c r="AC127" s="170"/>
      <c r="AD127" s="586">
        <f t="shared" si="101"/>
        <v>0</v>
      </c>
      <c r="AE127" s="586">
        <f t="shared" si="101"/>
        <v>0</v>
      </c>
      <c r="AF127" s="586">
        <f t="shared" si="101"/>
        <v>0</v>
      </c>
      <c r="AG127" s="586">
        <f t="shared" si="101"/>
        <v>0</v>
      </c>
      <c r="AH127" s="586">
        <f t="shared" si="101"/>
        <v>0</v>
      </c>
      <c r="AI127" s="586">
        <f t="shared" si="101"/>
        <v>0</v>
      </c>
      <c r="AJ127" s="586">
        <f t="shared" si="101"/>
        <v>0</v>
      </c>
      <c r="AK127" s="586">
        <f t="shared" si="101"/>
        <v>0</v>
      </c>
      <c r="AL127" s="586">
        <f t="shared" si="101"/>
        <v>0</v>
      </c>
      <c r="AM127" s="586">
        <f t="shared" si="101"/>
        <v>0</v>
      </c>
      <c r="AN127" s="586">
        <f t="shared" si="101"/>
        <v>0</v>
      </c>
      <c r="AO127" s="586">
        <f t="shared" si="101"/>
        <v>0</v>
      </c>
      <c r="AP127" s="586">
        <f t="shared" si="101"/>
        <v>0</v>
      </c>
      <c r="AQ127" s="586">
        <f t="shared" si="101"/>
        <v>0</v>
      </c>
      <c r="AR127" s="586">
        <f t="shared" si="101"/>
        <v>0</v>
      </c>
      <c r="AS127" s="586">
        <f t="shared" si="101"/>
        <v>0</v>
      </c>
      <c r="AT127" s="170"/>
      <c r="AU127" s="170"/>
      <c r="AV127" s="170"/>
      <c r="AW127" s="828"/>
      <c r="AX127" s="726"/>
    </row>
    <row r="128" spans="1:50" ht="15" x14ac:dyDescent="0.25">
      <c r="A128" s="170"/>
      <c r="B128" s="719"/>
      <c r="C128" s="170" t="str">
        <f t="shared" si="95"/>
        <v>43ea</v>
      </c>
      <c r="D128" s="170"/>
      <c r="E128" s="170"/>
      <c r="F128" s="170">
        <f>+Parameters!D46</f>
        <v>43</v>
      </c>
      <c r="G128" s="170" t="str">
        <f>+Parameters!E46</f>
        <v>Structures - Poles - Guys</v>
      </c>
      <c r="H128" s="586">
        <f t="shared" si="97"/>
        <v>0</v>
      </c>
      <c r="I128" s="170" t="str">
        <f>+Parameters!F46</f>
        <v>ea</v>
      </c>
      <c r="J128" s="170"/>
      <c r="K128" s="170"/>
      <c r="L128" s="170"/>
      <c r="M128" s="730"/>
      <c r="N128" s="730"/>
      <c r="O128" s="730"/>
      <c r="P128" s="731"/>
      <c r="Q128" s="731"/>
      <c r="R128" s="730"/>
      <c r="S128" s="730"/>
      <c r="T128" s="723"/>
      <c r="U128" s="724"/>
      <c r="V128" s="725"/>
      <c r="W128" s="725"/>
      <c r="X128" s="723"/>
      <c r="Y128" s="723"/>
      <c r="Z128" s="723"/>
      <c r="AA128" s="726"/>
      <c r="AB128" s="726"/>
      <c r="AC128" s="170"/>
      <c r="AD128" s="586">
        <f t="shared" si="101"/>
        <v>0</v>
      </c>
      <c r="AE128" s="586">
        <f t="shared" si="101"/>
        <v>0</v>
      </c>
      <c r="AF128" s="586">
        <f t="shared" si="101"/>
        <v>0</v>
      </c>
      <c r="AG128" s="586">
        <f t="shared" si="101"/>
        <v>0</v>
      </c>
      <c r="AH128" s="586">
        <f t="shared" si="101"/>
        <v>0</v>
      </c>
      <c r="AI128" s="586">
        <f t="shared" si="101"/>
        <v>0</v>
      </c>
      <c r="AJ128" s="586">
        <f t="shared" si="101"/>
        <v>0</v>
      </c>
      <c r="AK128" s="586">
        <f t="shared" si="101"/>
        <v>0</v>
      </c>
      <c r="AL128" s="586">
        <f t="shared" si="101"/>
        <v>0</v>
      </c>
      <c r="AM128" s="586">
        <f t="shared" si="101"/>
        <v>0</v>
      </c>
      <c r="AN128" s="586">
        <f t="shared" si="101"/>
        <v>0</v>
      </c>
      <c r="AO128" s="586">
        <f t="shared" si="101"/>
        <v>0</v>
      </c>
      <c r="AP128" s="586">
        <f t="shared" si="101"/>
        <v>0</v>
      </c>
      <c r="AQ128" s="586">
        <f t="shared" si="101"/>
        <v>0</v>
      </c>
      <c r="AR128" s="586">
        <f t="shared" si="101"/>
        <v>0</v>
      </c>
      <c r="AS128" s="586">
        <f t="shared" si="101"/>
        <v>0</v>
      </c>
      <c r="AT128" s="170"/>
      <c r="AU128" s="170"/>
      <c r="AV128" s="170"/>
      <c r="AW128" s="828"/>
      <c r="AX128" s="726"/>
    </row>
    <row r="129" spans="1:50" ht="15" x14ac:dyDescent="0.25">
      <c r="A129" s="170"/>
      <c r="B129" s="719"/>
      <c r="C129" s="170" t="str">
        <f t="shared" si="95"/>
        <v>440</v>
      </c>
      <c r="D129" s="170"/>
      <c r="E129" s="170"/>
      <c r="F129" s="170">
        <f>+Parameters!D47</f>
        <v>44</v>
      </c>
      <c r="G129" s="170">
        <f>+Parameters!E47</f>
        <v>0</v>
      </c>
      <c r="H129" s="586">
        <f t="shared" si="97"/>
        <v>0</v>
      </c>
      <c r="I129" s="170">
        <f>+Parameters!F47</f>
        <v>0</v>
      </c>
      <c r="J129" s="170"/>
      <c r="K129" s="170"/>
      <c r="L129" s="170"/>
      <c r="M129" s="730"/>
      <c r="N129" s="730"/>
      <c r="O129" s="730"/>
      <c r="P129" s="731"/>
      <c r="Q129" s="731"/>
      <c r="R129" s="730"/>
      <c r="S129" s="730"/>
      <c r="T129" s="723"/>
      <c r="U129" s="724"/>
      <c r="V129" s="725"/>
      <c r="W129" s="725"/>
      <c r="X129" s="723"/>
      <c r="Y129" s="723"/>
      <c r="Z129" s="723"/>
      <c r="AA129" s="726"/>
      <c r="AB129" s="726"/>
      <c r="AC129" s="170"/>
      <c r="AD129" s="586">
        <f t="shared" si="101"/>
        <v>0</v>
      </c>
      <c r="AE129" s="586">
        <f t="shared" si="101"/>
        <v>0</v>
      </c>
      <c r="AF129" s="586">
        <f t="shared" si="101"/>
        <v>0</v>
      </c>
      <c r="AG129" s="586">
        <f t="shared" si="101"/>
        <v>0</v>
      </c>
      <c r="AH129" s="586">
        <f t="shared" si="101"/>
        <v>0</v>
      </c>
      <c r="AI129" s="586">
        <f t="shared" si="101"/>
        <v>0</v>
      </c>
      <c r="AJ129" s="586">
        <f t="shared" si="101"/>
        <v>0</v>
      </c>
      <c r="AK129" s="586">
        <f t="shared" si="101"/>
        <v>0</v>
      </c>
      <c r="AL129" s="586">
        <f t="shared" si="101"/>
        <v>0</v>
      </c>
      <c r="AM129" s="586">
        <f t="shared" si="101"/>
        <v>0</v>
      </c>
      <c r="AN129" s="586">
        <f t="shared" si="101"/>
        <v>0</v>
      </c>
      <c r="AO129" s="586">
        <f t="shared" si="101"/>
        <v>0</v>
      </c>
      <c r="AP129" s="586">
        <f t="shared" si="101"/>
        <v>0</v>
      </c>
      <c r="AQ129" s="586">
        <f t="shared" si="101"/>
        <v>0</v>
      </c>
      <c r="AR129" s="586">
        <f t="shared" si="101"/>
        <v>0</v>
      </c>
      <c r="AS129" s="586">
        <f t="shared" si="101"/>
        <v>0</v>
      </c>
      <c r="AT129" s="170"/>
      <c r="AU129" s="170"/>
      <c r="AV129" s="170"/>
      <c r="AW129" s="828"/>
      <c r="AX129" s="726"/>
    </row>
    <row r="130" spans="1:50" ht="15" x14ac:dyDescent="0.25">
      <c r="A130" s="170"/>
      <c r="B130" s="719"/>
      <c r="C130" s="170" t="str">
        <f t="shared" si="95"/>
        <v>45tn</v>
      </c>
      <c r="D130" s="170"/>
      <c r="E130" s="170"/>
      <c r="F130" s="170">
        <f>+Parameters!D48</f>
        <v>45</v>
      </c>
      <c r="G130" s="170" t="str">
        <f>+Parameters!E48</f>
        <v>Structures - S.S.</v>
      </c>
      <c r="H130" s="586">
        <f t="shared" si="97"/>
        <v>0</v>
      </c>
      <c r="I130" s="170" t="str">
        <f>+Parameters!F48</f>
        <v>tn</v>
      </c>
      <c r="J130" s="170"/>
      <c r="K130" s="170"/>
      <c r="L130" s="170"/>
      <c r="M130" s="730"/>
      <c r="N130" s="730"/>
      <c r="O130" s="730"/>
      <c r="P130" s="731"/>
      <c r="Q130" s="731"/>
      <c r="R130" s="730"/>
      <c r="S130" s="730"/>
      <c r="T130" s="723"/>
      <c r="U130" s="724"/>
      <c r="V130" s="725"/>
      <c r="W130" s="725"/>
      <c r="X130" s="723"/>
      <c r="Y130" s="723"/>
      <c r="Z130" s="723"/>
      <c r="AA130" s="726"/>
      <c r="AB130" s="726"/>
      <c r="AC130" s="170"/>
      <c r="AD130" s="586">
        <f t="shared" si="101"/>
        <v>0</v>
      </c>
      <c r="AE130" s="586">
        <f t="shared" si="101"/>
        <v>0</v>
      </c>
      <c r="AF130" s="586">
        <f t="shared" si="101"/>
        <v>0</v>
      </c>
      <c r="AG130" s="586">
        <f t="shared" si="101"/>
        <v>0</v>
      </c>
      <c r="AH130" s="586">
        <f t="shared" si="101"/>
        <v>0</v>
      </c>
      <c r="AI130" s="586">
        <f t="shared" si="101"/>
        <v>0</v>
      </c>
      <c r="AJ130" s="586">
        <f t="shared" si="101"/>
        <v>0</v>
      </c>
      <c r="AK130" s="586">
        <f t="shared" si="101"/>
        <v>0</v>
      </c>
      <c r="AL130" s="586">
        <f t="shared" si="101"/>
        <v>0</v>
      </c>
      <c r="AM130" s="586">
        <f t="shared" si="101"/>
        <v>0</v>
      </c>
      <c r="AN130" s="586">
        <f t="shared" si="101"/>
        <v>0</v>
      </c>
      <c r="AO130" s="586">
        <f t="shared" si="101"/>
        <v>0</v>
      </c>
      <c r="AP130" s="586">
        <f t="shared" si="101"/>
        <v>0</v>
      </c>
      <c r="AQ130" s="586">
        <f t="shared" si="101"/>
        <v>0</v>
      </c>
      <c r="AR130" s="586">
        <f t="shared" si="101"/>
        <v>0</v>
      </c>
      <c r="AS130" s="586">
        <f t="shared" si="101"/>
        <v>0</v>
      </c>
      <c r="AT130" s="170"/>
      <c r="AU130" s="170"/>
      <c r="AV130" s="170"/>
      <c r="AW130" s="828"/>
      <c r="AX130" s="726"/>
    </row>
    <row r="131" spans="1:50" ht="15" x14ac:dyDescent="0.25">
      <c r="A131" s="170"/>
      <c r="B131" s="719"/>
      <c r="C131" s="170" t="str">
        <f t="shared" si="95"/>
        <v>46tn</v>
      </c>
      <c r="D131" s="170"/>
      <c r="E131" s="170"/>
      <c r="F131" s="170">
        <f>+Parameters!D49</f>
        <v>46</v>
      </c>
      <c r="G131" s="170" t="str">
        <f>+Parameters!E49</f>
        <v>Structures - Platforms</v>
      </c>
      <c r="H131" s="586">
        <f t="shared" si="97"/>
        <v>0</v>
      </c>
      <c r="I131" s="170" t="str">
        <f>+Parameters!F49</f>
        <v>tn</v>
      </c>
      <c r="J131" s="170"/>
      <c r="K131" s="170"/>
      <c r="L131" s="170"/>
      <c r="M131" s="730"/>
      <c r="N131" s="730"/>
      <c r="O131" s="730"/>
      <c r="P131" s="731"/>
      <c r="Q131" s="731"/>
      <c r="R131" s="730"/>
      <c r="S131" s="730"/>
      <c r="T131" s="723"/>
      <c r="U131" s="724"/>
      <c r="V131" s="725"/>
      <c r="W131" s="725"/>
      <c r="X131" s="723"/>
      <c r="Y131" s="723"/>
      <c r="Z131" s="723"/>
      <c r="AA131" s="726"/>
      <c r="AB131" s="726"/>
      <c r="AC131" s="170"/>
      <c r="AD131" s="586">
        <f t="shared" si="101"/>
        <v>0</v>
      </c>
      <c r="AE131" s="586">
        <f t="shared" si="101"/>
        <v>0</v>
      </c>
      <c r="AF131" s="586">
        <f t="shared" si="101"/>
        <v>0</v>
      </c>
      <c r="AG131" s="586">
        <f t="shared" si="101"/>
        <v>0</v>
      </c>
      <c r="AH131" s="586">
        <f t="shared" si="101"/>
        <v>0</v>
      </c>
      <c r="AI131" s="586">
        <f t="shared" si="101"/>
        <v>0</v>
      </c>
      <c r="AJ131" s="586">
        <f t="shared" si="101"/>
        <v>0</v>
      </c>
      <c r="AK131" s="586">
        <f t="shared" si="101"/>
        <v>0</v>
      </c>
      <c r="AL131" s="586">
        <f t="shared" si="101"/>
        <v>0</v>
      </c>
      <c r="AM131" s="586">
        <f t="shared" si="101"/>
        <v>0</v>
      </c>
      <c r="AN131" s="586">
        <f t="shared" si="101"/>
        <v>0</v>
      </c>
      <c r="AO131" s="586">
        <f t="shared" si="101"/>
        <v>0</v>
      </c>
      <c r="AP131" s="586">
        <f t="shared" si="101"/>
        <v>0</v>
      </c>
      <c r="AQ131" s="586">
        <f t="shared" si="101"/>
        <v>0</v>
      </c>
      <c r="AR131" s="586">
        <f t="shared" si="101"/>
        <v>0</v>
      </c>
      <c r="AS131" s="586">
        <f t="shared" si="101"/>
        <v>0</v>
      </c>
      <c r="AT131" s="170"/>
      <c r="AU131" s="170"/>
      <c r="AV131" s="170"/>
      <c r="AW131" s="828"/>
      <c r="AX131" s="726"/>
    </row>
    <row r="132" spans="1:50" ht="15" x14ac:dyDescent="0.25">
      <c r="A132" s="170"/>
      <c r="B132" s="719"/>
      <c r="C132" s="170" t="str">
        <f t="shared" si="95"/>
        <v>470</v>
      </c>
      <c r="D132" s="170"/>
      <c r="E132" s="170"/>
      <c r="F132" s="170">
        <f>+Parameters!D50</f>
        <v>47</v>
      </c>
      <c r="G132" s="170">
        <f>+Parameters!E50</f>
        <v>0</v>
      </c>
      <c r="H132" s="586">
        <f t="shared" si="97"/>
        <v>0</v>
      </c>
      <c r="I132" s="170">
        <f>+Parameters!F50</f>
        <v>0</v>
      </c>
      <c r="J132" s="170"/>
      <c r="K132" s="170"/>
      <c r="L132" s="170"/>
      <c r="M132" s="730"/>
      <c r="N132" s="730"/>
      <c r="O132" s="730"/>
      <c r="P132" s="731"/>
      <c r="Q132" s="731"/>
      <c r="R132" s="730"/>
      <c r="S132" s="730"/>
      <c r="T132" s="723"/>
      <c r="U132" s="724"/>
      <c r="V132" s="725"/>
      <c r="W132" s="725"/>
      <c r="X132" s="723"/>
      <c r="Y132" s="723"/>
      <c r="Z132" s="723"/>
      <c r="AA132" s="726"/>
      <c r="AB132" s="726"/>
      <c r="AC132" s="170"/>
      <c r="AD132" s="586">
        <f t="shared" si="101"/>
        <v>0</v>
      </c>
      <c r="AE132" s="586">
        <f t="shared" si="101"/>
        <v>0</v>
      </c>
      <c r="AF132" s="586">
        <f t="shared" si="101"/>
        <v>0</v>
      </c>
      <c r="AG132" s="586">
        <f t="shared" si="101"/>
        <v>0</v>
      </c>
      <c r="AH132" s="586">
        <f t="shared" si="101"/>
        <v>0</v>
      </c>
      <c r="AI132" s="586">
        <f t="shared" si="101"/>
        <v>0</v>
      </c>
      <c r="AJ132" s="586">
        <f t="shared" si="101"/>
        <v>0</v>
      </c>
      <c r="AK132" s="586">
        <f t="shared" si="101"/>
        <v>0</v>
      </c>
      <c r="AL132" s="586">
        <f t="shared" si="101"/>
        <v>0</v>
      </c>
      <c r="AM132" s="586">
        <f t="shared" si="101"/>
        <v>0</v>
      </c>
      <c r="AN132" s="586">
        <f t="shared" si="101"/>
        <v>0</v>
      </c>
      <c r="AO132" s="586">
        <f t="shared" si="101"/>
        <v>0</v>
      </c>
      <c r="AP132" s="586">
        <f t="shared" si="101"/>
        <v>0</v>
      </c>
      <c r="AQ132" s="586">
        <f t="shared" si="101"/>
        <v>0</v>
      </c>
      <c r="AR132" s="586">
        <f t="shared" si="101"/>
        <v>0</v>
      </c>
      <c r="AS132" s="586">
        <f t="shared" si="101"/>
        <v>0</v>
      </c>
      <c r="AT132" s="170"/>
      <c r="AU132" s="170"/>
      <c r="AV132" s="170"/>
      <c r="AW132" s="828"/>
      <c r="AX132" s="726"/>
    </row>
    <row r="133" spans="1:50" ht="15" x14ac:dyDescent="0.25">
      <c r="A133" s="170"/>
      <c r="B133" s="719"/>
      <c r="C133" s="170" t="str">
        <f t="shared" si="95"/>
        <v>480</v>
      </c>
      <c r="D133" s="170"/>
      <c r="E133" s="170"/>
      <c r="F133" s="170">
        <f>+Parameters!D51</f>
        <v>48</v>
      </c>
      <c r="G133" s="170">
        <f>+Parameters!E51</f>
        <v>0</v>
      </c>
      <c r="H133" s="586">
        <f t="shared" si="97"/>
        <v>0</v>
      </c>
      <c r="I133" s="170">
        <f>+Parameters!F51</f>
        <v>0</v>
      </c>
      <c r="J133" s="170"/>
      <c r="K133" s="170"/>
      <c r="L133" s="170"/>
      <c r="M133" s="730"/>
      <c r="N133" s="730"/>
      <c r="O133" s="730"/>
      <c r="P133" s="731"/>
      <c r="Q133" s="731"/>
      <c r="R133" s="730"/>
      <c r="S133" s="730"/>
      <c r="T133" s="723"/>
      <c r="U133" s="724"/>
      <c r="V133" s="725"/>
      <c r="W133" s="725"/>
      <c r="X133" s="723"/>
      <c r="Y133" s="723"/>
      <c r="Z133" s="723"/>
      <c r="AA133" s="726"/>
      <c r="AB133" s="726"/>
      <c r="AC133" s="170"/>
      <c r="AD133" s="586">
        <f t="shared" si="101"/>
        <v>0</v>
      </c>
      <c r="AE133" s="586">
        <f t="shared" si="101"/>
        <v>0</v>
      </c>
      <c r="AF133" s="586">
        <f t="shared" si="101"/>
        <v>0</v>
      </c>
      <c r="AG133" s="586">
        <f t="shared" si="101"/>
        <v>0</v>
      </c>
      <c r="AH133" s="586">
        <f t="shared" si="101"/>
        <v>0</v>
      </c>
      <c r="AI133" s="586">
        <f t="shared" si="101"/>
        <v>0</v>
      </c>
      <c r="AJ133" s="586">
        <f t="shared" si="101"/>
        <v>0</v>
      </c>
      <c r="AK133" s="586">
        <f t="shared" si="101"/>
        <v>0</v>
      </c>
      <c r="AL133" s="586">
        <f t="shared" si="101"/>
        <v>0</v>
      </c>
      <c r="AM133" s="586">
        <f t="shared" si="101"/>
        <v>0</v>
      </c>
      <c r="AN133" s="586">
        <f t="shared" si="101"/>
        <v>0</v>
      </c>
      <c r="AO133" s="586">
        <f t="shared" si="101"/>
        <v>0</v>
      </c>
      <c r="AP133" s="586">
        <f t="shared" si="101"/>
        <v>0</v>
      </c>
      <c r="AQ133" s="586">
        <f t="shared" si="101"/>
        <v>0</v>
      </c>
      <c r="AR133" s="586">
        <f t="shared" si="101"/>
        <v>0</v>
      </c>
      <c r="AS133" s="586">
        <f t="shared" si="101"/>
        <v>0</v>
      </c>
      <c r="AT133" s="170"/>
      <c r="AU133" s="170"/>
      <c r="AV133" s="170"/>
      <c r="AW133" s="828"/>
      <c r="AX133" s="726"/>
    </row>
    <row r="134" spans="1:50" ht="15" x14ac:dyDescent="0.25">
      <c r="A134" s="170"/>
      <c r="B134" s="719"/>
      <c r="C134" s="170" t="str">
        <f t="shared" si="95"/>
        <v>49tn</v>
      </c>
      <c r="D134" s="170"/>
      <c r="E134" s="170"/>
      <c r="F134" s="170">
        <f>+Parameters!D52</f>
        <v>49</v>
      </c>
      <c r="G134" s="170" t="str">
        <f>+Parameters!E52</f>
        <v>Structures - Others</v>
      </c>
      <c r="H134" s="586">
        <f t="shared" si="97"/>
        <v>0</v>
      </c>
      <c r="I134" s="170" t="str">
        <f>+Parameters!F52</f>
        <v>tn</v>
      </c>
      <c r="J134" s="170"/>
      <c r="K134" s="170"/>
      <c r="L134" s="170"/>
      <c r="M134" s="730"/>
      <c r="N134" s="730"/>
      <c r="O134" s="730"/>
      <c r="P134" s="731"/>
      <c r="Q134" s="731"/>
      <c r="R134" s="730"/>
      <c r="S134" s="730"/>
      <c r="T134" s="723"/>
      <c r="U134" s="724"/>
      <c r="V134" s="725"/>
      <c r="W134" s="725"/>
      <c r="X134" s="723"/>
      <c r="Y134" s="723"/>
      <c r="Z134" s="723"/>
      <c r="AA134" s="726"/>
      <c r="AB134" s="726"/>
      <c r="AC134" s="170"/>
      <c r="AD134" s="586">
        <f t="shared" si="101"/>
        <v>0</v>
      </c>
      <c r="AE134" s="586">
        <f t="shared" si="101"/>
        <v>0</v>
      </c>
      <c r="AF134" s="586">
        <f t="shared" si="101"/>
        <v>0</v>
      </c>
      <c r="AG134" s="586">
        <f t="shared" si="101"/>
        <v>0</v>
      </c>
      <c r="AH134" s="586">
        <f t="shared" si="101"/>
        <v>0</v>
      </c>
      <c r="AI134" s="586">
        <f t="shared" si="101"/>
        <v>0</v>
      </c>
      <c r="AJ134" s="586">
        <f t="shared" si="101"/>
        <v>0</v>
      </c>
      <c r="AK134" s="586">
        <f t="shared" si="101"/>
        <v>0</v>
      </c>
      <c r="AL134" s="586">
        <f t="shared" si="101"/>
        <v>0</v>
      </c>
      <c r="AM134" s="586">
        <f t="shared" si="101"/>
        <v>0</v>
      </c>
      <c r="AN134" s="586">
        <f t="shared" si="101"/>
        <v>0</v>
      </c>
      <c r="AO134" s="586">
        <f t="shared" si="101"/>
        <v>0</v>
      </c>
      <c r="AP134" s="586">
        <f t="shared" si="101"/>
        <v>0</v>
      </c>
      <c r="AQ134" s="586">
        <f t="shared" si="101"/>
        <v>0</v>
      </c>
      <c r="AR134" s="586">
        <f t="shared" si="101"/>
        <v>0</v>
      </c>
      <c r="AS134" s="586">
        <f t="shared" si="101"/>
        <v>0</v>
      </c>
      <c r="AT134" s="170"/>
      <c r="AU134" s="170"/>
      <c r="AV134" s="170"/>
      <c r="AW134" s="828"/>
      <c r="AX134" s="726"/>
    </row>
    <row r="135" spans="1:50" ht="15" x14ac:dyDescent="0.25">
      <c r="A135" s="170"/>
      <c r="B135" s="719"/>
      <c r="C135" s="170" t="str">
        <f t="shared" si="95"/>
        <v>50ea</v>
      </c>
      <c r="D135" s="170"/>
      <c r="E135" s="170"/>
      <c r="F135" s="170">
        <f>+Parameters!D53</f>
        <v>50</v>
      </c>
      <c r="G135" s="170" t="str">
        <f>+Parameters!E53</f>
        <v>Major Eqt - Circuit Breakers</v>
      </c>
      <c r="H135" s="586">
        <f t="shared" si="97"/>
        <v>0</v>
      </c>
      <c r="I135" s="170" t="str">
        <f>+Parameters!F53</f>
        <v>ea</v>
      </c>
      <c r="J135" s="170"/>
      <c r="K135" s="170"/>
      <c r="L135" s="170"/>
      <c r="M135" s="730"/>
      <c r="N135" s="730"/>
      <c r="O135" s="730"/>
      <c r="P135" s="731"/>
      <c r="Q135" s="731"/>
      <c r="R135" s="730"/>
      <c r="S135" s="730"/>
      <c r="T135" s="723"/>
      <c r="U135" s="724"/>
      <c r="V135" s="725"/>
      <c r="W135" s="725"/>
      <c r="X135" s="723"/>
      <c r="Y135" s="723"/>
      <c r="Z135" s="723"/>
      <c r="AA135" s="726"/>
      <c r="AB135" s="726"/>
      <c r="AC135" s="170"/>
      <c r="AD135" s="586">
        <f t="shared" si="101"/>
        <v>0</v>
      </c>
      <c r="AE135" s="586">
        <f t="shared" si="101"/>
        <v>0</v>
      </c>
      <c r="AF135" s="586">
        <f t="shared" si="101"/>
        <v>0</v>
      </c>
      <c r="AG135" s="586">
        <f t="shared" si="101"/>
        <v>0</v>
      </c>
      <c r="AH135" s="586">
        <f t="shared" si="101"/>
        <v>0</v>
      </c>
      <c r="AI135" s="586">
        <f t="shared" si="101"/>
        <v>0</v>
      </c>
      <c r="AJ135" s="586">
        <f t="shared" si="101"/>
        <v>0</v>
      </c>
      <c r="AK135" s="586">
        <f t="shared" si="101"/>
        <v>0</v>
      </c>
      <c r="AL135" s="586">
        <f t="shared" si="101"/>
        <v>0</v>
      </c>
      <c r="AM135" s="586">
        <f t="shared" si="101"/>
        <v>0</v>
      </c>
      <c r="AN135" s="586">
        <f t="shared" si="101"/>
        <v>0</v>
      </c>
      <c r="AO135" s="586">
        <f t="shared" si="101"/>
        <v>0</v>
      </c>
      <c r="AP135" s="586">
        <f t="shared" si="101"/>
        <v>0</v>
      </c>
      <c r="AQ135" s="586">
        <f t="shared" si="101"/>
        <v>0</v>
      </c>
      <c r="AR135" s="586">
        <f t="shared" si="101"/>
        <v>0</v>
      </c>
      <c r="AS135" s="586">
        <f t="shared" si="101"/>
        <v>0</v>
      </c>
      <c r="AT135" s="170"/>
      <c r="AU135" s="170"/>
      <c r="AV135" s="170"/>
      <c r="AW135" s="828"/>
      <c r="AX135" s="726"/>
    </row>
    <row r="136" spans="1:50" ht="15" x14ac:dyDescent="0.25">
      <c r="A136" s="170"/>
      <c r="B136" s="719"/>
      <c r="C136" s="170" t="str">
        <f t="shared" si="95"/>
        <v>51ea</v>
      </c>
      <c r="D136" s="170"/>
      <c r="E136" s="170"/>
      <c r="F136" s="170">
        <f>+Parameters!D54</f>
        <v>51</v>
      </c>
      <c r="G136" s="170" t="str">
        <f>+Parameters!E54</f>
        <v>Major Eqt - Transformers</v>
      </c>
      <c r="H136" s="586">
        <f t="shared" si="97"/>
        <v>0</v>
      </c>
      <c r="I136" s="170" t="str">
        <f>+Parameters!F54</f>
        <v>ea</v>
      </c>
      <c r="J136" s="170"/>
      <c r="K136" s="170"/>
      <c r="L136" s="170"/>
      <c r="M136" s="730"/>
      <c r="N136" s="730"/>
      <c r="O136" s="730"/>
      <c r="P136" s="731"/>
      <c r="Q136" s="731"/>
      <c r="R136" s="730"/>
      <c r="S136" s="730"/>
      <c r="T136" s="723"/>
      <c r="U136" s="724"/>
      <c r="V136" s="725"/>
      <c r="W136" s="725"/>
      <c r="X136" s="723"/>
      <c r="Y136" s="723"/>
      <c r="Z136" s="723"/>
      <c r="AA136" s="726"/>
      <c r="AB136" s="726"/>
      <c r="AC136" s="170"/>
      <c r="AD136" s="586">
        <f t="shared" ref="AD136:AS145" si="102">SUMIF($F$9:$F$82,$F136,AD$9:AD$82)</f>
        <v>0</v>
      </c>
      <c r="AE136" s="586">
        <f t="shared" si="102"/>
        <v>0</v>
      </c>
      <c r="AF136" s="586">
        <f t="shared" si="102"/>
        <v>0</v>
      </c>
      <c r="AG136" s="586">
        <f t="shared" si="102"/>
        <v>0</v>
      </c>
      <c r="AH136" s="586">
        <f t="shared" si="102"/>
        <v>0</v>
      </c>
      <c r="AI136" s="586">
        <f t="shared" si="102"/>
        <v>0</v>
      </c>
      <c r="AJ136" s="586">
        <f t="shared" si="102"/>
        <v>0</v>
      </c>
      <c r="AK136" s="586">
        <f t="shared" si="102"/>
        <v>0</v>
      </c>
      <c r="AL136" s="586">
        <f t="shared" si="102"/>
        <v>0</v>
      </c>
      <c r="AM136" s="586">
        <f t="shared" si="102"/>
        <v>0</v>
      </c>
      <c r="AN136" s="586">
        <f t="shared" si="102"/>
        <v>0</v>
      </c>
      <c r="AO136" s="586">
        <f t="shared" si="102"/>
        <v>0</v>
      </c>
      <c r="AP136" s="586">
        <f t="shared" si="102"/>
        <v>0</v>
      </c>
      <c r="AQ136" s="586">
        <f t="shared" si="102"/>
        <v>0</v>
      </c>
      <c r="AR136" s="586">
        <f t="shared" si="102"/>
        <v>0</v>
      </c>
      <c r="AS136" s="586">
        <f t="shared" si="102"/>
        <v>0</v>
      </c>
      <c r="AT136" s="170"/>
      <c r="AU136" s="170"/>
      <c r="AV136" s="170"/>
      <c r="AW136" s="828"/>
      <c r="AX136" s="726"/>
    </row>
    <row r="137" spans="1:50" ht="15" x14ac:dyDescent="0.25">
      <c r="A137" s="170"/>
      <c r="B137" s="719"/>
      <c r="C137" s="170" t="str">
        <f t="shared" si="95"/>
        <v>52ea</v>
      </c>
      <c r="D137" s="170"/>
      <c r="E137" s="170"/>
      <c r="F137" s="170">
        <f>+Parameters!D55</f>
        <v>52</v>
      </c>
      <c r="G137" s="170" t="str">
        <f>+Parameters!E55</f>
        <v>Major Eqt - Circuit Switchers</v>
      </c>
      <c r="H137" s="586">
        <f t="shared" si="97"/>
        <v>0</v>
      </c>
      <c r="I137" s="170" t="str">
        <f>+Parameters!F55</f>
        <v>ea</v>
      </c>
      <c r="J137" s="170"/>
      <c r="K137" s="170"/>
      <c r="L137" s="170"/>
      <c r="M137" s="730"/>
      <c r="N137" s="730"/>
      <c r="O137" s="730"/>
      <c r="P137" s="731"/>
      <c r="Q137" s="731"/>
      <c r="R137" s="730"/>
      <c r="S137" s="730"/>
      <c r="T137" s="723"/>
      <c r="U137" s="724"/>
      <c r="V137" s="725"/>
      <c r="W137" s="725"/>
      <c r="X137" s="723"/>
      <c r="Y137" s="723"/>
      <c r="Z137" s="723"/>
      <c r="AA137" s="726"/>
      <c r="AB137" s="726"/>
      <c r="AC137" s="170"/>
      <c r="AD137" s="586">
        <f t="shared" si="102"/>
        <v>0</v>
      </c>
      <c r="AE137" s="586">
        <f t="shared" si="102"/>
        <v>0</v>
      </c>
      <c r="AF137" s="586">
        <f t="shared" si="102"/>
        <v>0</v>
      </c>
      <c r="AG137" s="586">
        <f t="shared" si="102"/>
        <v>0</v>
      </c>
      <c r="AH137" s="586">
        <f t="shared" si="102"/>
        <v>0</v>
      </c>
      <c r="AI137" s="586">
        <f t="shared" si="102"/>
        <v>0</v>
      </c>
      <c r="AJ137" s="586">
        <f t="shared" si="102"/>
        <v>0</v>
      </c>
      <c r="AK137" s="586">
        <f t="shared" si="102"/>
        <v>0</v>
      </c>
      <c r="AL137" s="586">
        <f t="shared" si="102"/>
        <v>0</v>
      </c>
      <c r="AM137" s="586">
        <f t="shared" si="102"/>
        <v>0</v>
      </c>
      <c r="AN137" s="586">
        <f t="shared" si="102"/>
        <v>0</v>
      </c>
      <c r="AO137" s="586">
        <f t="shared" si="102"/>
        <v>0</v>
      </c>
      <c r="AP137" s="586">
        <f t="shared" si="102"/>
        <v>0</v>
      </c>
      <c r="AQ137" s="586">
        <f t="shared" si="102"/>
        <v>0</v>
      </c>
      <c r="AR137" s="586">
        <f t="shared" si="102"/>
        <v>0</v>
      </c>
      <c r="AS137" s="586">
        <f t="shared" si="102"/>
        <v>0</v>
      </c>
      <c r="AT137" s="170"/>
      <c r="AU137" s="170"/>
      <c r="AV137" s="170"/>
      <c r="AW137" s="828"/>
      <c r="AX137" s="726"/>
    </row>
    <row r="138" spans="1:50" ht="15" x14ac:dyDescent="0.25">
      <c r="A138" s="170"/>
      <c r="B138" s="719"/>
      <c r="C138" s="170" t="str">
        <f t="shared" si="95"/>
        <v>53ea</v>
      </c>
      <c r="D138" s="170"/>
      <c r="E138" s="170"/>
      <c r="F138" s="170">
        <f>+Parameters!D56</f>
        <v>53</v>
      </c>
      <c r="G138" s="170" t="str">
        <f>+Parameters!E56</f>
        <v>Major Eqt - Disconect Switches</v>
      </c>
      <c r="H138" s="586">
        <f t="shared" si="97"/>
        <v>0</v>
      </c>
      <c r="I138" s="170" t="str">
        <f>+Parameters!F56</f>
        <v>ea</v>
      </c>
      <c r="J138" s="170"/>
      <c r="K138" s="170"/>
      <c r="L138" s="170"/>
      <c r="M138" s="730"/>
      <c r="N138" s="730"/>
      <c r="O138" s="730"/>
      <c r="P138" s="731"/>
      <c r="Q138" s="731"/>
      <c r="R138" s="730"/>
      <c r="S138" s="730"/>
      <c r="T138" s="723"/>
      <c r="U138" s="724"/>
      <c r="V138" s="725"/>
      <c r="W138" s="725"/>
      <c r="X138" s="723"/>
      <c r="Y138" s="723"/>
      <c r="Z138" s="723"/>
      <c r="AA138" s="726"/>
      <c r="AB138" s="726"/>
      <c r="AC138" s="170"/>
      <c r="AD138" s="586">
        <f t="shared" si="102"/>
        <v>0</v>
      </c>
      <c r="AE138" s="586">
        <f t="shared" si="102"/>
        <v>0</v>
      </c>
      <c r="AF138" s="586">
        <f t="shared" si="102"/>
        <v>0</v>
      </c>
      <c r="AG138" s="586">
        <f t="shared" si="102"/>
        <v>0</v>
      </c>
      <c r="AH138" s="586">
        <f t="shared" si="102"/>
        <v>0</v>
      </c>
      <c r="AI138" s="586">
        <f t="shared" si="102"/>
        <v>0</v>
      </c>
      <c r="AJ138" s="586">
        <f t="shared" si="102"/>
        <v>0</v>
      </c>
      <c r="AK138" s="586">
        <f t="shared" si="102"/>
        <v>0</v>
      </c>
      <c r="AL138" s="586">
        <f t="shared" si="102"/>
        <v>0</v>
      </c>
      <c r="AM138" s="586">
        <f t="shared" si="102"/>
        <v>0</v>
      </c>
      <c r="AN138" s="586">
        <f t="shared" si="102"/>
        <v>0</v>
      </c>
      <c r="AO138" s="586">
        <f t="shared" si="102"/>
        <v>0</v>
      </c>
      <c r="AP138" s="586">
        <f t="shared" si="102"/>
        <v>0</v>
      </c>
      <c r="AQ138" s="586">
        <f t="shared" si="102"/>
        <v>0</v>
      </c>
      <c r="AR138" s="586">
        <f t="shared" si="102"/>
        <v>0</v>
      </c>
      <c r="AS138" s="586">
        <f t="shared" si="102"/>
        <v>0</v>
      </c>
      <c r="AT138" s="170"/>
      <c r="AU138" s="170"/>
      <c r="AV138" s="170"/>
      <c r="AW138" s="828"/>
      <c r="AX138" s="726"/>
    </row>
    <row r="139" spans="1:50" ht="15" x14ac:dyDescent="0.25">
      <c r="A139" s="170"/>
      <c r="B139" s="719"/>
      <c r="C139" s="170" t="str">
        <f t="shared" si="95"/>
        <v>54ea</v>
      </c>
      <c r="D139" s="170"/>
      <c r="E139" s="170"/>
      <c r="F139" s="170">
        <f>+Parameters!D57</f>
        <v>54</v>
      </c>
      <c r="G139" s="170" t="str">
        <f>+Parameters!E57</f>
        <v>Major Eqt - Cap Banks</v>
      </c>
      <c r="H139" s="586">
        <f t="shared" si="97"/>
        <v>0</v>
      </c>
      <c r="I139" s="170" t="str">
        <f>+Parameters!F57</f>
        <v>ea</v>
      </c>
      <c r="J139" s="170"/>
      <c r="K139" s="170"/>
      <c r="L139" s="170"/>
      <c r="M139" s="730"/>
      <c r="N139" s="730"/>
      <c r="O139" s="730"/>
      <c r="P139" s="731"/>
      <c r="Q139" s="731"/>
      <c r="R139" s="730"/>
      <c r="S139" s="730"/>
      <c r="T139" s="723"/>
      <c r="U139" s="724"/>
      <c r="V139" s="725"/>
      <c r="W139" s="725"/>
      <c r="X139" s="723"/>
      <c r="Y139" s="723"/>
      <c r="Z139" s="723"/>
      <c r="AA139" s="726"/>
      <c r="AB139" s="726"/>
      <c r="AC139" s="170"/>
      <c r="AD139" s="586">
        <f t="shared" si="102"/>
        <v>0</v>
      </c>
      <c r="AE139" s="586">
        <f t="shared" si="102"/>
        <v>0</v>
      </c>
      <c r="AF139" s="586">
        <f t="shared" si="102"/>
        <v>0</v>
      </c>
      <c r="AG139" s="586">
        <f t="shared" si="102"/>
        <v>0</v>
      </c>
      <c r="AH139" s="586">
        <f t="shared" si="102"/>
        <v>0</v>
      </c>
      <c r="AI139" s="586">
        <f t="shared" si="102"/>
        <v>0</v>
      </c>
      <c r="AJ139" s="586">
        <f t="shared" si="102"/>
        <v>0</v>
      </c>
      <c r="AK139" s="586">
        <f t="shared" si="102"/>
        <v>0</v>
      </c>
      <c r="AL139" s="586">
        <f t="shared" si="102"/>
        <v>0</v>
      </c>
      <c r="AM139" s="586">
        <f t="shared" si="102"/>
        <v>0</v>
      </c>
      <c r="AN139" s="586">
        <f t="shared" si="102"/>
        <v>0</v>
      </c>
      <c r="AO139" s="586">
        <f t="shared" si="102"/>
        <v>0</v>
      </c>
      <c r="AP139" s="586">
        <f t="shared" si="102"/>
        <v>0</v>
      </c>
      <c r="AQ139" s="586">
        <f t="shared" si="102"/>
        <v>0</v>
      </c>
      <c r="AR139" s="586">
        <f t="shared" si="102"/>
        <v>0</v>
      </c>
      <c r="AS139" s="586">
        <f t="shared" si="102"/>
        <v>0</v>
      </c>
      <c r="AT139" s="170"/>
      <c r="AU139" s="170"/>
      <c r="AV139" s="170"/>
      <c r="AW139" s="828"/>
      <c r="AX139" s="726"/>
    </row>
    <row r="140" spans="1:50" ht="15" x14ac:dyDescent="0.25">
      <c r="A140" s="170"/>
      <c r="B140" s="719"/>
      <c r="C140" s="170" t="str">
        <f t="shared" si="95"/>
        <v>55ea</v>
      </c>
      <c r="D140" s="170"/>
      <c r="E140" s="170"/>
      <c r="F140" s="170">
        <f>+Parameters!D58</f>
        <v>55</v>
      </c>
      <c r="G140" s="170" t="str">
        <f>+Parameters!E58</f>
        <v>Major Eqt - Reactors</v>
      </c>
      <c r="H140" s="586">
        <f t="shared" si="97"/>
        <v>0</v>
      </c>
      <c r="I140" s="170" t="str">
        <f>+Parameters!F58</f>
        <v>ea</v>
      </c>
      <c r="J140" s="170"/>
      <c r="K140" s="170"/>
      <c r="L140" s="170"/>
      <c r="M140" s="730"/>
      <c r="N140" s="730"/>
      <c r="O140" s="730"/>
      <c r="P140" s="731"/>
      <c r="Q140" s="731"/>
      <c r="R140" s="730"/>
      <c r="S140" s="730"/>
      <c r="T140" s="723"/>
      <c r="U140" s="724"/>
      <c r="V140" s="725"/>
      <c r="W140" s="725"/>
      <c r="X140" s="723"/>
      <c r="Y140" s="723"/>
      <c r="Z140" s="723"/>
      <c r="AA140" s="726"/>
      <c r="AB140" s="726"/>
      <c r="AC140" s="170"/>
      <c r="AD140" s="586">
        <f t="shared" si="102"/>
        <v>0</v>
      </c>
      <c r="AE140" s="586">
        <f t="shared" si="102"/>
        <v>0</v>
      </c>
      <c r="AF140" s="586">
        <f t="shared" si="102"/>
        <v>0</v>
      </c>
      <c r="AG140" s="586">
        <f t="shared" si="102"/>
        <v>0</v>
      </c>
      <c r="AH140" s="586">
        <f t="shared" si="102"/>
        <v>0</v>
      </c>
      <c r="AI140" s="586">
        <f t="shared" si="102"/>
        <v>0</v>
      </c>
      <c r="AJ140" s="586">
        <f t="shared" si="102"/>
        <v>0</v>
      </c>
      <c r="AK140" s="586">
        <f t="shared" si="102"/>
        <v>0</v>
      </c>
      <c r="AL140" s="586">
        <f t="shared" si="102"/>
        <v>0</v>
      </c>
      <c r="AM140" s="586">
        <f t="shared" si="102"/>
        <v>0</v>
      </c>
      <c r="AN140" s="586">
        <f t="shared" si="102"/>
        <v>0</v>
      </c>
      <c r="AO140" s="586">
        <f t="shared" si="102"/>
        <v>0</v>
      </c>
      <c r="AP140" s="586">
        <f t="shared" si="102"/>
        <v>0</v>
      </c>
      <c r="AQ140" s="586">
        <f t="shared" si="102"/>
        <v>0</v>
      </c>
      <c r="AR140" s="586">
        <f t="shared" si="102"/>
        <v>0</v>
      </c>
      <c r="AS140" s="586">
        <f t="shared" si="102"/>
        <v>0</v>
      </c>
      <c r="AT140" s="170"/>
      <c r="AU140" s="170"/>
      <c r="AV140" s="170"/>
      <c r="AW140" s="828"/>
      <c r="AX140" s="726"/>
    </row>
    <row r="141" spans="1:50" ht="15" x14ac:dyDescent="0.25">
      <c r="A141" s="170"/>
      <c r="B141" s="719"/>
      <c r="C141" s="170" t="str">
        <f t="shared" si="95"/>
        <v>56ea</v>
      </c>
      <c r="D141" s="170"/>
      <c r="E141" s="170"/>
      <c r="F141" s="170">
        <f>+Parameters!D59</f>
        <v>56</v>
      </c>
      <c r="G141" s="170" t="str">
        <f>+Parameters!E59</f>
        <v>Major Eqt - GIS</v>
      </c>
      <c r="H141" s="586">
        <f t="shared" si="97"/>
        <v>0</v>
      </c>
      <c r="I141" s="170" t="str">
        <f>+Parameters!F59</f>
        <v>ea</v>
      </c>
      <c r="J141" s="170"/>
      <c r="K141" s="170"/>
      <c r="L141" s="170"/>
      <c r="M141" s="730"/>
      <c r="N141" s="730"/>
      <c r="O141" s="730"/>
      <c r="P141" s="731"/>
      <c r="Q141" s="731"/>
      <c r="R141" s="730"/>
      <c r="S141" s="730"/>
      <c r="T141" s="723"/>
      <c r="U141" s="724"/>
      <c r="V141" s="725"/>
      <c r="W141" s="725"/>
      <c r="X141" s="723"/>
      <c r="Y141" s="723"/>
      <c r="Z141" s="723"/>
      <c r="AA141" s="726"/>
      <c r="AB141" s="726"/>
      <c r="AC141" s="170"/>
      <c r="AD141" s="586">
        <f t="shared" si="102"/>
        <v>0</v>
      </c>
      <c r="AE141" s="586">
        <f t="shared" si="102"/>
        <v>0</v>
      </c>
      <c r="AF141" s="586">
        <f t="shared" si="102"/>
        <v>0</v>
      </c>
      <c r="AG141" s="586">
        <f t="shared" si="102"/>
        <v>0</v>
      </c>
      <c r="AH141" s="586">
        <f t="shared" si="102"/>
        <v>0</v>
      </c>
      <c r="AI141" s="586">
        <f t="shared" si="102"/>
        <v>0</v>
      </c>
      <c r="AJ141" s="586">
        <f t="shared" si="102"/>
        <v>0</v>
      </c>
      <c r="AK141" s="586">
        <f t="shared" si="102"/>
        <v>0</v>
      </c>
      <c r="AL141" s="586">
        <f t="shared" si="102"/>
        <v>0</v>
      </c>
      <c r="AM141" s="586">
        <f t="shared" si="102"/>
        <v>0</v>
      </c>
      <c r="AN141" s="586">
        <f t="shared" si="102"/>
        <v>0</v>
      </c>
      <c r="AO141" s="586">
        <f t="shared" si="102"/>
        <v>0</v>
      </c>
      <c r="AP141" s="586">
        <f t="shared" si="102"/>
        <v>0</v>
      </c>
      <c r="AQ141" s="586">
        <f t="shared" si="102"/>
        <v>0</v>
      </c>
      <c r="AR141" s="586">
        <f t="shared" si="102"/>
        <v>0</v>
      </c>
      <c r="AS141" s="586">
        <f t="shared" si="102"/>
        <v>0</v>
      </c>
      <c r="AT141" s="170"/>
      <c r="AU141" s="170"/>
      <c r="AV141" s="170"/>
      <c r="AW141" s="828"/>
      <c r="AX141" s="726"/>
    </row>
    <row r="142" spans="1:50" ht="15" x14ac:dyDescent="0.25">
      <c r="A142" s="170"/>
      <c r="B142" s="719"/>
      <c r="C142" s="170" t="str">
        <f t="shared" si="95"/>
        <v>57ea</v>
      </c>
      <c r="D142" s="170"/>
      <c r="E142" s="170"/>
      <c r="F142" s="170">
        <f>+Parameters!D60</f>
        <v>57</v>
      </c>
      <c r="G142" s="170" t="str">
        <f>+Parameters!E60</f>
        <v>Major Eqt - Switchgear</v>
      </c>
      <c r="H142" s="586">
        <f t="shared" si="97"/>
        <v>0</v>
      </c>
      <c r="I142" s="170" t="str">
        <f>+Parameters!F60</f>
        <v>ea</v>
      </c>
      <c r="J142" s="170"/>
      <c r="K142" s="170"/>
      <c r="L142" s="170"/>
      <c r="M142" s="730"/>
      <c r="N142" s="730"/>
      <c r="O142" s="730"/>
      <c r="P142" s="731"/>
      <c r="Q142" s="731"/>
      <c r="R142" s="730"/>
      <c r="S142" s="730"/>
      <c r="T142" s="723"/>
      <c r="U142" s="724"/>
      <c r="V142" s="725"/>
      <c r="W142" s="725"/>
      <c r="X142" s="723"/>
      <c r="Y142" s="723"/>
      <c r="Z142" s="723"/>
      <c r="AA142" s="726"/>
      <c r="AB142" s="726"/>
      <c r="AC142" s="170"/>
      <c r="AD142" s="586">
        <f t="shared" si="102"/>
        <v>0</v>
      </c>
      <c r="AE142" s="586">
        <f t="shared" si="102"/>
        <v>0</v>
      </c>
      <c r="AF142" s="586">
        <f t="shared" si="102"/>
        <v>0</v>
      </c>
      <c r="AG142" s="586">
        <f t="shared" si="102"/>
        <v>0</v>
      </c>
      <c r="AH142" s="586">
        <f t="shared" si="102"/>
        <v>0</v>
      </c>
      <c r="AI142" s="586">
        <f t="shared" si="102"/>
        <v>0</v>
      </c>
      <c r="AJ142" s="586">
        <f t="shared" si="102"/>
        <v>0</v>
      </c>
      <c r="AK142" s="586">
        <f t="shared" si="102"/>
        <v>0</v>
      </c>
      <c r="AL142" s="586">
        <f t="shared" si="102"/>
        <v>0</v>
      </c>
      <c r="AM142" s="586">
        <f t="shared" si="102"/>
        <v>0</v>
      </c>
      <c r="AN142" s="586">
        <f t="shared" si="102"/>
        <v>0</v>
      </c>
      <c r="AO142" s="586">
        <f t="shared" si="102"/>
        <v>0</v>
      </c>
      <c r="AP142" s="586">
        <f t="shared" si="102"/>
        <v>0</v>
      </c>
      <c r="AQ142" s="586">
        <f t="shared" si="102"/>
        <v>0</v>
      </c>
      <c r="AR142" s="586">
        <f t="shared" si="102"/>
        <v>0</v>
      </c>
      <c r="AS142" s="586">
        <f t="shared" si="102"/>
        <v>0</v>
      </c>
      <c r="AT142" s="170"/>
      <c r="AU142" s="170"/>
      <c r="AV142" s="170"/>
      <c r="AW142" s="828"/>
      <c r="AX142" s="726"/>
    </row>
    <row r="143" spans="1:50" ht="15" x14ac:dyDescent="0.25">
      <c r="A143" s="170"/>
      <c r="B143" s="719"/>
      <c r="C143" s="170" t="str">
        <f t="shared" si="95"/>
        <v>580</v>
      </c>
      <c r="D143" s="170"/>
      <c r="E143" s="170"/>
      <c r="F143" s="170">
        <f>+Parameters!D61</f>
        <v>58</v>
      </c>
      <c r="G143" s="170">
        <f>+Parameters!E61</f>
        <v>0</v>
      </c>
      <c r="H143" s="586">
        <f t="shared" si="97"/>
        <v>0</v>
      </c>
      <c r="I143" s="170">
        <f>+Parameters!F61</f>
        <v>0</v>
      </c>
      <c r="J143" s="170"/>
      <c r="K143" s="170"/>
      <c r="L143" s="170"/>
      <c r="M143" s="730"/>
      <c r="N143" s="730"/>
      <c r="O143" s="730"/>
      <c r="P143" s="731"/>
      <c r="Q143" s="731"/>
      <c r="R143" s="730"/>
      <c r="S143" s="730"/>
      <c r="T143" s="723"/>
      <c r="U143" s="724"/>
      <c r="V143" s="725"/>
      <c r="W143" s="725"/>
      <c r="X143" s="723"/>
      <c r="Y143" s="723"/>
      <c r="Z143" s="723"/>
      <c r="AA143" s="726"/>
      <c r="AB143" s="726"/>
      <c r="AC143" s="170"/>
      <c r="AD143" s="586">
        <f t="shared" si="102"/>
        <v>0</v>
      </c>
      <c r="AE143" s="586">
        <f t="shared" si="102"/>
        <v>0</v>
      </c>
      <c r="AF143" s="586">
        <f t="shared" si="102"/>
        <v>0</v>
      </c>
      <c r="AG143" s="586">
        <f t="shared" si="102"/>
        <v>0</v>
      </c>
      <c r="AH143" s="586">
        <f t="shared" si="102"/>
        <v>0</v>
      </c>
      <c r="AI143" s="586">
        <f t="shared" si="102"/>
        <v>0</v>
      </c>
      <c r="AJ143" s="586">
        <f t="shared" si="102"/>
        <v>0</v>
      </c>
      <c r="AK143" s="586">
        <f t="shared" si="102"/>
        <v>0</v>
      </c>
      <c r="AL143" s="586">
        <f t="shared" si="102"/>
        <v>0</v>
      </c>
      <c r="AM143" s="586">
        <f t="shared" si="102"/>
        <v>0</v>
      </c>
      <c r="AN143" s="586">
        <f t="shared" si="102"/>
        <v>0</v>
      </c>
      <c r="AO143" s="586">
        <f t="shared" si="102"/>
        <v>0</v>
      </c>
      <c r="AP143" s="586">
        <f t="shared" si="102"/>
        <v>0</v>
      </c>
      <c r="AQ143" s="586">
        <f t="shared" si="102"/>
        <v>0</v>
      </c>
      <c r="AR143" s="586">
        <f t="shared" si="102"/>
        <v>0</v>
      </c>
      <c r="AS143" s="586">
        <f t="shared" si="102"/>
        <v>0</v>
      </c>
      <c r="AT143" s="170"/>
      <c r="AU143" s="170"/>
      <c r="AV143" s="170"/>
      <c r="AW143" s="828"/>
      <c r="AX143" s="726"/>
    </row>
    <row r="144" spans="1:50" ht="15" x14ac:dyDescent="0.25">
      <c r="A144" s="170"/>
      <c r="B144" s="719"/>
      <c r="C144" s="170" t="str">
        <f t="shared" si="95"/>
        <v>59ea</v>
      </c>
      <c r="D144" s="170"/>
      <c r="E144" s="170"/>
      <c r="F144" s="170">
        <f>+Parameters!D62</f>
        <v>59</v>
      </c>
      <c r="G144" s="170" t="str">
        <f>+Parameters!E62</f>
        <v>Major Eqt - Other</v>
      </c>
      <c r="H144" s="586">
        <f t="shared" si="97"/>
        <v>0</v>
      </c>
      <c r="I144" s="170" t="str">
        <f>+Parameters!F62</f>
        <v>ea</v>
      </c>
      <c r="J144" s="170"/>
      <c r="K144" s="170"/>
      <c r="L144" s="170"/>
      <c r="M144" s="730"/>
      <c r="N144" s="730"/>
      <c r="O144" s="730"/>
      <c r="P144" s="731"/>
      <c r="Q144" s="731"/>
      <c r="R144" s="730"/>
      <c r="S144" s="730"/>
      <c r="T144" s="723"/>
      <c r="U144" s="724"/>
      <c r="V144" s="725"/>
      <c r="W144" s="725"/>
      <c r="X144" s="723"/>
      <c r="Y144" s="723"/>
      <c r="Z144" s="723"/>
      <c r="AA144" s="726"/>
      <c r="AB144" s="726"/>
      <c r="AC144" s="170"/>
      <c r="AD144" s="586">
        <f t="shared" si="102"/>
        <v>0</v>
      </c>
      <c r="AE144" s="586">
        <f t="shared" si="102"/>
        <v>0</v>
      </c>
      <c r="AF144" s="586">
        <f t="shared" si="102"/>
        <v>0</v>
      </c>
      <c r="AG144" s="586">
        <f t="shared" si="102"/>
        <v>0</v>
      </c>
      <c r="AH144" s="586">
        <f t="shared" si="102"/>
        <v>0</v>
      </c>
      <c r="AI144" s="586">
        <f t="shared" si="102"/>
        <v>0</v>
      </c>
      <c r="AJ144" s="586">
        <f t="shared" si="102"/>
        <v>0</v>
      </c>
      <c r="AK144" s="586">
        <f t="shared" si="102"/>
        <v>0</v>
      </c>
      <c r="AL144" s="586">
        <f t="shared" si="102"/>
        <v>0</v>
      </c>
      <c r="AM144" s="586">
        <f t="shared" si="102"/>
        <v>0</v>
      </c>
      <c r="AN144" s="586">
        <f t="shared" si="102"/>
        <v>0</v>
      </c>
      <c r="AO144" s="586">
        <f t="shared" si="102"/>
        <v>0</v>
      </c>
      <c r="AP144" s="586">
        <f t="shared" si="102"/>
        <v>0</v>
      </c>
      <c r="AQ144" s="586">
        <f t="shared" si="102"/>
        <v>0</v>
      </c>
      <c r="AR144" s="586">
        <f t="shared" si="102"/>
        <v>0</v>
      </c>
      <c r="AS144" s="586">
        <f t="shared" si="102"/>
        <v>0</v>
      </c>
      <c r="AT144" s="170"/>
      <c r="AU144" s="170"/>
      <c r="AV144" s="170"/>
      <c r="AW144" s="828"/>
      <c r="AX144" s="726"/>
    </row>
    <row r="145" spans="1:50" ht="15" x14ac:dyDescent="0.25">
      <c r="A145" s="170"/>
      <c r="B145" s="719"/>
      <c r="C145" s="170" t="str">
        <f t="shared" si="95"/>
        <v>600</v>
      </c>
      <c r="D145" s="170"/>
      <c r="E145" s="170"/>
      <c r="F145" s="170">
        <f>+Parameters!D63</f>
        <v>60</v>
      </c>
      <c r="G145" s="170">
        <f>+Parameters!E63</f>
        <v>0</v>
      </c>
      <c r="H145" s="586">
        <f t="shared" si="97"/>
        <v>0</v>
      </c>
      <c r="I145" s="170">
        <f>+Parameters!F63</f>
        <v>0</v>
      </c>
      <c r="J145" s="170"/>
      <c r="K145" s="170"/>
      <c r="L145" s="170"/>
      <c r="M145" s="730"/>
      <c r="N145" s="730"/>
      <c r="O145" s="730"/>
      <c r="P145" s="731"/>
      <c r="Q145" s="731"/>
      <c r="R145" s="730"/>
      <c r="S145" s="730"/>
      <c r="T145" s="723"/>
      <c r="U145" s="724"/>
      <c r="V145" s="725"/>
      <c r="W145" s="725"/>
      <c r="X145" s="723"/>
      <c r="Y145" s="723"/>
      <c r="Z145" s="723"/>
      <c r="AA145" s="726"/>
      <c r="AB145" s="726"/>
      <c r="AC145" s="170"/>
      <c r="AD145" s="586">
        <f t="shared" si="102"/>
        <v>0</v>
      </c>
      <c r="AE145" s="586">
        <f t="shared" si="102"/>
        <v>0</v>
      </c>
      <c r="AF145" s="586">
        <f t="shared" si="102"/>
        <v>0</v>
      </c>
      <c r="AG145" s="586">
        <f t="shared" si="102"/>
        <v>0</v>
      </c>
      <c r="AH145" s="586">
        <f t="shared" si="102"/>
        <v>0</v>
      </c>
      <c r="AI145" s="586">
        <f t="shared" si="102"/>
        <v>0</v>
      </c>
      <c r="AJ145" s="586">
        <f t="shared" si="102"/>
        <v>0</v>
      </c>
      <c r="AK145" s="586">
        <f t="shared" si="102"/>
        <v>0</v>
      </c>
      <c r="AL145" s="586">
        <f t="shared" si="102"/>
        <v>0</v>
      </c>
      <c r="AM145" s="586">
        <f t="shared" si="102"/>
        <v>0</v>
      </c>
      <c r="AN145" s="586">
        <f t="shared" si="102"/>
        <v>0</v>
      </c>
      <c r="AO145" s="586">
        <f t="shared" si="102"/>
        <v>0</v>
      </c>
      <c r="AP145" s="586">
        <f t="shared" si="102"/>
        <v>0</v>
      </c>
      <c r="AQ145" s="586">
        <f t="shared" si="102"/>
        <v>0</v>
      </c>
      <c r="AR145" s="586">
        <f t="shared" si="102"/>
        <v>0</v>
      </c>
      <c r="AS145" s="586">
        <f t="shared" si="102"/>
        <v>0</v>
      </c>
      <c r="AT145" s="170"/>
      <c r="AU145" s="170"/>
      <c r="AV145" s="170"/>
      <c r="AW145" s="828"/>
      <c r="AX145" s="726"/>
    </row>
    <row r="146" spans="1:50" ht="15" x14ac:dyDescent="0.25">
      <c r="A146" s="170"/>
      <c r="B146" s="719"/>
      <c r="C146" s="170" t="str">
        <f t="shared" si="95"/>
        <v>610</v>
      </c>
      <c r="D146" s="170"/>
      <c r="E146" s="170"/>
      <c r="F146" s="170">
        <f>+Parameters!D64</f>
        <v>61</v>
      </c>
      <c r="G146" s="170">
        <f>+Parameters!E64</f>
        <v>0</v>
      </c>
      <c r="H146" s="586">
        <f t="shared" si="97"/>
        <v>0</v>
      </c>
      <c r="I146" s="170">
        <f>+Parameters!F64</f>
        <v>0</v>
      </c>
      <c r="J146" s="170"/>
      <c r="K146" s="170"/>
      <c r="L146" s="170"/>
      <c r="M146" s="730"/>
      <c r="N146" s="730"/>
      <c r="O146" s="730"/>
      <c r="P146" s="731"/>
      <c r="Q146" s="731"/>
      <c r="R146" s="730"/>
      <c r="S146" s="730"/>
      <c r="T146" s="723"/>
      <c r="U146" s="724"/>
      <c r="V146" s="725"/>
      <c r="W146" s="725"/>
      <c r="X146" s="723"/>
      <c r="Y146" s="723"/>
      <c r="Z146" s="723"/>
      <c r="AA146" s="726"/>
      <c r="AB146" s="726"/>
      <c r="AC146" s="170"/>
      <c r="AD146" s="586">
        <f t="shared" ref="AD146:AS155" si="103">SUMIF($F$9:$F$82,$F146,AD$9:AD$82)</f>
        <v>0</v>
      </c>
      <c r="AE146" s="586">
        <f t="shared" si="103"/>
        <v>0</v>
      </c>
      <c r="AF146" s="586">
        <f t="shared" si="103"/>
        <v>0</v>
      </c>
      <c r="AG146" s="586">
        <f t="shared" si="103"/>
        <v>0</v>
      </c>
      <c r="AH146" s="586">
        <f t="shared" si="103"/>
        <v>0</v>
      </c>
      <c r="AI146" s="586">
        <f t="shared" si="103"/>
        <v>0</v>
      </c>
      <c r="AJ146" s="586">
        <f t="shared" si="103"/>
        <v>0</v>
      </c>
      <c r="AK146" s="586">
        <f t="shared" si="103"/>
        <v>0</v>
      </c>
      <c r="AL146" s="586">
        <f t="shared" si="103"/>
        <v>0</v>
      </c>
      <c r="AM146" s="586">
        <f t="shared" si="103"/>
        <v>0</v>
      </c>
      <c r="AN146" s="586">
        <f t="shared" si="103"/>
        <v>0</v>
      </c>
      <c r="AO146" s="586">
        <f t="shared" si="103"/>
        <v>0</v>
      </c>
      <c r="AP146" s="586">
        <f t="shared" si="103"/>
        <v>0</v>
      </c>
      <c r="AQ146" s="586">
        <f t="shared" si="103"/>
        <v>0</v>
      </c>
      <c r="AR146" s="586">
        <f t="shared" si="103"/>
        <v>0</v>
      </c>
      <c r="AS146" s="586">
        <f t="shared" si="103"/>
        <v>0</v>
      </c>
      <c r="AT146" s="170"/>
      <c r="AU146" s="170"/>
      <c r="AV146" s="170"/>
      <c r="AW146" s="828"/>
      <c r="AX146" s="726"/>
    </row>
    <row r="147" spans="1:50" ht="15" x14ac:dyDescent="0.25">
      <c r="A147" s="170"/>
      <c r="B147" s="719"/>
      <c r="C147" s="170" t="str">
        <f t="shared" si="95"/>
        <v>620</v>
      </c>
      <c r="D147" s="170"/>
      <c r="E147" s="170"/>
      <c r="F147" s="170">
        <f>+Parameters!D65</f>
        <v>62</v>
      </c>
      <c r="G147" s="170">
        <f>+Parameters!E65</f>
        <v>0</v>
      </c>
      <c r="H147" s="586">
        <f t="shared" si="97"/>
        <v>0</v>
      </c>
      <c r="I147" s="170">
        <f>+Parameters!F65</f>
        <v>0</v>
      </c>
      <c r="J147" s="170"/>
      <c r="K147" s="170"/>
      <c r="L147" s="170"/>
      <c r="M147" s="730"/>
      <c r="N147" s="730"/>
      <c r="O147" s="730"/>
      <c r="P147" s="731"/>
      <c r="Q147" s="731"/>
      <c r="R147" s="730"/>
      <c r="S147" s="730"/>
      <c r="T147" s="723"/>
      <c r="U147" s="724"/>
      <c r="V147" s="725"/>
      <c r="W147" s="725"/>
      <c r="X147" s="723"/>
      <c r="Y147" s="723"/>
      <c r="Z147" s="723"/>
      <c r="AA147" s="726"/>
      <c r="AB147" s="726"/>
      <c r="AC147" s="170"/>
      <c r="AD147" s="586">
        <f t="shared" si="103"/>
        <v>0</v>
      </c>
      <c r="AE147" s="586">
        <f t="shared" si="103"/>
        <v>0</v>
      </c>
      <c r="AF147" s="586">
        <f t="shared" si="103"/>
        <v>0</v>
      </c>
      <c r="AG147" s="586">
        <f t="shared" si="103"/>
        <v>0</v>
      </c>
      <c r="AH147" s="586">
        <f t="shared" si="103"/>
        <v>0</v>
      </c>
      <c r="AI147" s="586">
        <f t="shared" si="103"/>
        <v>0</v>
      </c>
      <c r="AJ147" s="586">
        <f t="shared" si="103"/>
        <v>0</v>
      </c>
      <c r="AK147" s="586">
        <f t="shared" si="103"/>
        <v>0</v>
      </c>
      <c r="AL147" s="586">
        <f t="shared" si="103"/>
        <v>0</v>
      </c>
      <c r="AM147" s="586">
        <f t="shared" si="103"/>
        <v>0</v>
      </c>
      <c r="AN147" s="586">
        <f t="shared" si="103"/>
        <v>0</v>
      </c>
      <c r="AO147" s="586">
        <f t="shared" si="103"/>
        <v>0</v>
      </c>
      <c r="AP147" s="586">
        <f t="shared" si="103"/>
        <v>0</v>
      </c>
      <c r="AQ147" s="586">
        <f t="shared" si="103"/>
        <v>0</v>
      </c>
      <c r="AR147" s="586">
        <f t="shared" si="103"/>
        <v>0</v>
      </c>
      <c r="AS147" s="586">
        <f t="shared" si="103"/>
        <v>0</v>
      </c>
      <c r="AT147" s="170"/>
      <c r="AU147" s="170"/>
      <c r="AV147" s="170"/>
      <c r="AW147" s="828"/>
      <c r="AX147" s="726"/>
    </row>
    <row r="148" spans="1:50" ht="15" x14ac:dyDescent="0.25">
      <c r="A148" s="170"/>
      <c r="B148" s="719"/>
      <c r="C148" s="170" t="str">
        <f t="shared" si="95"/>
        <v>63lf</v>
      </c>
      <c r="D148" s="170"/>
      <c r="E148" s="170"/>
      <c r="F148" s="170">
        <f>+Parameters!D66</f>
        <v>63</v>
      </c>
      <c r="G148" s="170" t="str">
        <f>+Parameters!E66</f>
        <v>Misc. Eqt - Bus</v>
      </c>
      <c r="H148" s="586">
        <f t="shared" si="97"/>
        <v>0</v>
      </c>
      <c r="I148" s="170" t="str">
        <f>+Parameters!F66</f>
        <v>lf</v>
      </c>
      <c r="J148" s="170"/>
      <c r="K148" s="170"/>
      <c r="L148" s="170"/>
      <c r="M148" s="730"/>
      <c r="N148" s="730"/>
      <c r="O148" s="730"/>
      <c r="P148" s="731"/>
      <c r="Q148" s="731"/>
      <c r="R148" s="730"/>
      <c r="S148" s="730"/>
      <c r="T148" s="723"/>
      <c r="U148" s="724"/>
      <c r="V148" s="725"/>
      <c r="W148" s="725"/>
      <c r="X148" s="723"/>
      <c r="Y148" s="723"/>
      <c r="Z148" s="723"/>
      <c r="AA148" s="726"/>
      <c r="AB148" s="726"/>
      <c r="AC148" s="170"/>
      <c r="AD148" s="586">
        <f t="shared" si="103"/>
        <v>0</v>
      </c>
      <c r="AE148" s="586">
        <f t="shared" si="103"/>
        <v>0</v>
      </c>
      <c r="AF148" s="586">
        <f t="shared" si="103"/>
        <v>0</v>
      </c>
      <c r="AG148" s="586">
        <f t="shared" si="103"/>
        <v>0</v>
      </c>
      <c r="AH148" s="586">
        <f t="shared" si="103"/>
        <v>0</v>
      </c>
      <c r="AI148" s="586">
        <f t="shared" si="103"/>
        <v>0</v>
      </c>
      <c r="AJ148" s="586">
        <f t="shared" si="103"/>
        <v>0</v>
      </c>
      <c r="AK148" s="586">
        <f t="shared" si="103"/>
        <v>0</v>
      </c>
      <c r="AL148" s="586">
        <f t="shared" si="103"/>
        <v>0</v>
      </c>
      <c r="AM148" s="586">
        <f t="shared" si="103"/>
        <v>0</v>
      </c>
      <c r="AN148" s="586">
        <f t="shared" si="103"/>
        <v>0</v>
      </c>
      <c r="AO148" s="586">
        <f t="shared" si="103"/>
        <v>0</v>
      </c>
      <c r="AP148" s="586">
        <f t="shared" si="103"/>
        <v>0</v>
      </c>
      <c r="AQ148" s="586">
        <f t="shared" si="103"/>
        <v>0</v>
      </c>
      <c r="AR148" s="586">
        <f t="shared" si="103"/>
        <v>0</v>
      </c>
      <c r="AS148" s="586">
        <f t="shared" si="103"/>
        <v>0</v>
      </c>
      <c r="AT148" s="170"/>
      <c r="AU148" s="170"/>
      <c r="AV148" s="170"/>
      <c r="AW148" s="828"/>
      <c r="AX148" s="726"/>
    </row>
    <row r="149" spans="1:50" ht="15" x14ac:dyDescent="0.25">
      <c r="A149" s="170"/>
      <c r="B149" s="719"/>
      <c r="C149" s="170" t="str">
        <f t="shared" si="95"/>
        <v>64lf</v>
      </c>
      <c r="D149" s="170"/>
      <c r="E149" s="170"/>
      <c r="F149" s="170">
        <f>+Parameters!D67</f>
        <v>64</v>
      </c>
      <c r="G149" s="170" t="str">
        <f>+Parameters!E67</f>
        <v>Misc. Eqt - Conduit / Tray</v>
      </c>
      <c r="H149" s="586">
        <f t="shared" si="97"/>
        <v>0</v>
      </c>
      <c r="I149" s="170" t="str">
        <f>+Parameters!F67</f>
        <v>lf</v>
      </c>
      <c r="J149" s="170"/>
      <c r="K149" s="170"/>
      <c r="L149" s="170"/>
      <c r="M149" s="730"/>
      <c r="N149" s="730"/>
      <c r="O149" s="730"/>
      <c r="P149" s="731"/>
      <c r="Q149" s="731"/>
      <c r="R149" s="730"/>
      <c r="S149" s="730"/>
      <c r="T149" s="723"/>
      <c r="U149" s="724"/>
      <c r="V149" s="725"/>
      <c r="W149" s="725"/>
      <c r="X149" s="723"/>
      <c r="Y149" s="723"/>
      <c r="Z149" s="723"/>
      <c r="AA149" s="726"/>
      <c r="AB149" s="726"/>
      <c r="AC149" s="170"/>
      <c r="AD149" s="586">
        <f t="shared" si="103"/>
        <v>0</v>
      </c>
      <c r="AE149" s="586">
        <f t="shared" si="103"/>
        <v>0</v>
      </c>
      <c r="AF149" s="586">
        <f t="shared" si="103"/>
        <v>0</v>
      </c>
      <c r="AG149" s="586">
        <f t="shared" si="103"/>
        <v>0</v>
      </c>
      <c r="AH149" s="586">
        <f t="shared" si="103"/>
        <v>0</v>
      </c>
      <c r="AI149" s="586">
        <f t="shared" si="103"/>
        <v>0</v>
      </c>
      <c r="AJ149" s="586">
        <f t="shared" si="103"/>
        <v>0</v>
      </c>
      <c r="AK149" s="586">
        <f t="shared" si="103"/>
        <v>0</v>
      </c>
      <c r="AL149" s="586">
        <f t="shared" si="103"/>
        <v>0</v>
      </c>
      <c r="AM149" s="586">
        <f t="shared" si="103"/>
        <v>0</v>
      </c>
      <c r="AN149" s="586">
        <f t="shared" si="103"/>
        <v>0</v>
      </c>
      <c r="AO149" s="586">
        <f t="shared" si="103"/>
        <v>0</v>
      </c>
      <c r="AP149" s="586">
        <f t="shared" si="103"/>
        <v>0</v>
      </c>
      <c r="AQ149" s="586">
        <f t="shared" si="103"/>
        <v>0</v>
      </c>
      <c r="AR149" s="586">
        <f t="shared" si="103"/>
        <v>0</v>
      </c>
      <c r="AS149" s="586">
        <f t="shared" si="103"/>
        <v>0</v>
      </c>
      <c r="AT149" s="170"/>
      <c r="AU149" s="170"/>
      <c r="AV149" s="170"/>
      <c r="AW149" s="828"/>
      <c r="AX149" s="726"/>
    </row>
    <row r="150" spans="1:50" ht="15" x14ac:dyDescent="0.25">
      <c r="A150" s="170"/>
      <c r="B150" s="719"/>
      <c r="C150" s="170" t="str">
        <f t="shared" ref="C150:C184" si="104">+F150&amp;I150</f>
        <v>65ea</v>
      </c>
      <c r="D150" s="170"/>
      <c r="E150" s="170"/>
      <c r="F150" s="170">
        <f>+Parameters!D68</f>
        <v>65</v>
      </c>
      <c r="G150" s="170" t="str">
        <f>+Parameters!E68</f>
        <v>Misc. Eqt - Insulators</v>
      </c>
      <c r="H150" s="586">
        <f t="shared" si="97"/>
        <v>0</v>
      </c>
      <c r="I150" s="170" t="str">
        <f>+Parameters!F68</f>
        <v>ea</v>
      </c>
      <c r="J150" s="170"/>
      <c r="K150" s="170"/>
      <c r="L150" s="170"/>
      <c r="M150" s="730"/>
      <c r="N150" s="730"/>
      <c r="O150" s="730"/>
      <c r="P150" s="731"/>
      <c r="Q150" s="731"/>
      <c r="R150" s="730"/>
      <c r="S150" s="730"/>
      <c r="T150" s="723"/>
      <c r="U150" s="724"/>
      <c r="V150" s="725"/>
      <c r="W150" s="725"/>
      <c r="X150" s="723"/>
      <c r="Y150" s="723"/>
      <c r="Z150" s="723"/>
      <c r="AA150" s="726"/>
      <c r="AB150" s="726"/>
      <c r="AC150" s="170"/>
      <c r="AD150" s="586">
        <f t="shared" si="103"/>
        <v>0</v>
      </c>
      <c r="AE150" s="586">
        <f t="shared" si="103"/>
        <v>0</v>
      </c>
      <c r="AF150" s="586">
        <f t="shared" si="103"/>
        <v>0</v>
      </c>
      <c r="AG150" s="586">
        <f t="shared" si="103"/>
        <v>0</v>
      </c>
      <c r="AH150" s="586">
        <f t="shared" si="103"/>
        <v>0</v>
      </c>
      <c r="AI150" s="586">
        <f t="shared" si="103"/>
        <v>0</v>
      </c>
      <c r="AJ150" s="586">
        <f t="shared" si="103"/>
        <v>0</v>
      </c>
      <c r="AK150" s="586">
        <f t="shared" si="103"/>
        <v>0</v>
      </c>
      <c r="AL150" s="586">
        <f t="shared" si="103"/>
        <v>0</v>
      </c>
      <c r="AM150" s="586">
        <f t="shared" si="103"/>
        <v>0</v>
      </c>
      <c r="AN150" s="586">
        <f t="shared" si="103"/>
        <v>0</v>
      </c>
      <c r="AO150" s="586">
        <f t="shared" si="103"/>
        <v>0</v>
      </c>
      <c r="AP150" s="586">
        <f t="shared" si="103"/>
        <v>0</v>
      </c>
      <c r="AQ150" s="586">
        <f t="shared" si="103"/>
        <v>0</v>
      </c>
      <c r="AR150" s="586">
        <f t="shared" si="103"/>
        <v>0</v>
      </c>
      <c r="AS150" s="586">
        <f t="shared" si="103"/>
        <v>0</v>
      </c>
      <c r="AT150" s="170"/>
      <c r="AU150" s="170"/>
      <c r="AV150" s="170"/>
      <c r="AW150" s="828"/>
      <c r="AX150" s="726"/>
    </row>
    <row r="151" spans="1:50" ht="15" x14ac:dyDescent="0.25">
      <c r="A151" s="170"/>
      <c r="B151" s="719"/>
      <c r="C151" s="170" t="str">
        <f t="shared" si="104"/>
        <v>66ea</v>
      </c>
      <c r="D151" s="170"/>
      <c r="E151" s="170"/>
      <c r="F151" s="170">
        <f>+Parameters!D69</f>
        <v>66</v>
      </c>
      <c r="G151" s="170" t="str">
        <f>+Parameters!E69</f>
        <v>Misc. Eqt - LA's</v>
      </c>
      <c r="H151" s="586">
        <f t="shared" ref="H151:H184" si="105">SUMIF($C$9:$C$82,$C151,H$9:H$82)</f>
        <v>0</v>
      </c>
      <c r="I151" s="170" t="str">
        <f>+Parameters!F69</f>
        <v>ea</v>
      </c>
      <c r="J151" s="170"/>
      <c r="K151" s="170"/>
      <c r="L151" s="170"/>
      <c r="M151" s="730"/>
      <c r="N151" s="730"/>
      <c r="O151" s="730"/>
      <c r="P151" s="731"/>
      <c r="Q151" s="731"/>
      <c r="R151" s="730"/>
      <c r="S151" s="730"/>
      <c r="T151" s="723"/>
      <c r="U151" s="724"/>
      <c r="V151" s="725"/>
      <c r="W151" s="725"/>
      <c r="X151" s="723"/>
      <c r="Y151" s="723"/>
      <c r="Z151" s="723"/>
      <c r="AA151" s="726"/>
      <c r="AB151" s="726"/>
      <c r="AC151" s="170"/>
      <c r="AD151" s="586">
        <f t="shared" si="103"/>
        <v>0</v>
      </c>
      <c r="AE151" s="586">
        <f t="shared" si="103"/>
        <v>0</v>
      </c>
      <c r="AF151" s="586">
        <f t="shared" si="103"/>
        <v>0</v>
      </c>
      <c r="AG151" s="586">
        <f t="shared" si="103"/>
        <v>0</v>
      </c>
      <c r="AH151" s="586">
        <f t="shared" si="103"/>
        <v>0</v>
      </c>
      <c r="AI151" s="586">
        <f t="shared" si="103"/>
        <v>0</v>
      </c>
      <c r="AJ151" s="586">
        <f t="shared" si="103"/>
        <v>0</v>
      </c>
      <c r="AK151" s="586">
        <f t="shared" si="103"/>
        <v>0</v>
      </c>
      <c r="AL151" s="586">
        <f t="shared" si="103"/>
        <v>0</v>
      </c>
      <c r="AM151" s="586">
        <f t="shared" si="103"/>
        <v>0</v>
      </c>
      <c r="AN151" s="586">
        <f t="shared" si="103"/>
        <v>0</v>
      </c>
      <c r="AO151" s="586">
        <f t="shared" si="103"/>
        <v>0</v>
      </c>
      <c r="AP151" s="586">
        <f t="shared" si="103"/>
        <v>0</v>
      </c>
      <c r="AQ151" s="586">
        <f t="shared" si="103"/>
        <v>0</v>
      </c>
      <c r="AR151" s="586">
        <f t="shared" si="103"/>
        <v>0</v>
      </c>
      <c r="AS151" s="586">
        <f t="shared" si="103"/>
        <v>0</v>
      </c>
      <c r="AT151" s="170"/>
      <c r="AU151" s="170"/>
      <c r="AV151" s="170"/>
      <c r="AW151" s="828"/>
      <c r="AX151" s="726"/>
    </row>
    <row r="152" spans="1:50" ht="15" x14ac:dyDescent="0.25">
      <c r="A152" s="170"/>
      <c r="B152" s="719"/>
      <c r="C152" s="170" t="str">
        <f t="shared" si="104"/>
        <v>67ea</v>
      </c>
      <c r="D152" s="170"/>
      <c r="E152" s="170"/>
      <c r="F152" s="170">
        <f>+Parameters!D70</f>
        <v>67</v>
      </c>
      <c r="G152" s="170" t="str">
        <f>+Parameters!E70</f>
        <v>Misc. Eqt - CCVT</v>
      </c>
      <c r="H152" s="586">
        <f t="shared" si="105"/>
        <v>0</v>
      </c>
      <c r="I152" s="170" t="str">
        <f>+Parameters!F70</f>
        <v>ea</v>
      </c>
      <c r="J152" s="170"/>
      <c r="K152" s="170"/>
      <c r="L152" s="170"/>
      <c r="M152" s="730"/>
      <c r="N152" s="730"/>
      <c r="O152" s="730"/>
      <c r="P152" s="731"/>
      <c r="Q152" s="731"/>
      <c r="R152" s="730"/>
      <c r="S152" s="730"/>
      <c r="T152" s="723"/>
      <c r="U152" s="724"/>
      <c r="V152" s="725"/>
      <c r="W152" s="725"/>
      <c r="X152" s="723"/>
      <c r="Y152" s="723"/>
      <c r="Z152" s="723"/>
      <c r="AA152" s="726"/>
      <c r="AB152" s="726"/>
      <c r="AC152" s="170"/>
      <c r="AD152" s="586">
        <f t="shared" si="103"/>
        <v>0</v>
      </c>
      <c r="AE152" s="586">
        <f t="shared" si="103"/>
        <v>0</v>
      </c>
      <c r="AF152" s="586">
        <f t="shared" si="103"/>
        <v>0</v>
      </c>
      <c r="AG152" s="586">
        <f t="shared" si="103"/>
        <v>0</v>
      </c>
      <c r="AH152" s="586">
        <f t="shared" si="103"/>
        <v>0</v>
      </c>
      <c r="AI152" s="586">
        <f t="shared" si="103"/>
        <v>0</v>
      </c>
      <c r="AJ152" s="586">
        <f t="shared" si="103"/>
        <v>0</v>
      </c>
      <c r="AK152" s="586">
        <f t="shared" si="103"/>
        <v>0</v>
      </c>
      <c r="AL152" s="586">
        <f t="shared" si="103"/>
        <v>0</v>
      </c>
      <c r="AM152" s="586">
        <f t="shared" si="103"/>
        <v>0</v>
      </c>
      <c r="AN152" s="586">
        <f t="shared" si="103"/>
        <v>0</v>
      </c>
      <c r="AO152" s="586">
        <f t="shared" si="103"/>
        <v>0</v>
      </c>
      <c r="AP152" s="586">
        <f t="shared" si="103"/>
        <v>0</v>
      </c>
      <c r="AQ152" s="586">
        <f t="shared" si="103"/>
        <v>0</v>
      </c>
      <c r="AR152" s="586">
        <f t="shared" si="103"/>
        <v>0</v>
      </c>
      <c r="AS152" s="586">
        <f t="shared" si="103"/>
        <v>0</v>
      </c>
      <c r="AT152" s="170"/>
      <c r="AU152" s="170"/>
      <c r="AV152" s="170"/>
      <c r="AW152" s="828"/>
      <c r="AX152" s="726"/>
    </row>
    <row r="153" spans="1:50" ht="15" x14ac:dyDescent="0.25">
      <c r="A153" s="170"/>
      <c r="B153" s="719"/>
      <c r="C153" s="170" t="str">
        <f t="shared" si="104"/>
        <v>680</v>
      </c>
      <c r="D153" s="170"/>
      <c r="E153" s="170"/>
      <c r="F153" s="170">
        <f>+Parameters!D71</f>
        <v>68</v>
      </c>
      <c r="G153" s="170">
        <f>+Parameters!E71</f>
        <v>0</v>
      </c>
      <c r="H153" s="586">
        <f t="shared" si="105"/>
        <v>0</v>
      </c>
      <c r="I153" s="170">
        <f>+Parameters!F71</f>
        <v>0</v>
      </c>
      <c r="J153" s="170"/>
      <c r="K153" s="170"/>
      <c r="L153" s="170"/>
      <c r="M153" s="730"/>
      <c r="N153" s="730"/>
      <c r="O153" s="730"/>
      <c r="P153" s="731"/>
      <c r="Q153" s="731"/>
      <c r="R153" s="730"/>
      <c r="S153" s="730"/>
      <c r="T153" s="723"/>
      <c r="U153" s="724"/>
      <c r="V153" s="725"/>
      <c r="W153" s="725"/>
      <c r="X153" s="723"/>
      <c r="Y153" s="723"/>
      <c r="Z153" s="723"/>
      <c r="AA153" s="726"/>
      <c r="AB153" s="726"/>
      <c r="AC153" s="170"/>
      <c r="AD153" s="586">
        <f t="shared" si="103"/>
        <v>0</v>
      </c>
      <c r="AE153" s="586">
        <f t="shared" si="103"/>
        <v>0</v>
      </c>
      <c r="AF153" s="586">
        <f t="shared" si="103"/>
        <v>0</v>
      </c>
      <c r="AG153" s="586">
        <f t="shared" si="103"/>
        <v>0</v>
      </c>
      <c r="AH153" s="586">
        <f t="shared" si="103"/>
        <v>0</v>
      </c>
      <c r="AI153" s="586">
        <f t="shared" si="103"/>
        <v>0</v>
      </c>
      <c r="AJ153" s="586">
        <f t="shared" si="103"/>
        <v>0</v>
      </c>
      <c r="AK153" s="586">
        <f t="shared" si="103"/>
        <v>0</v>
      </c>
      <c r="AL153" s="586">
        <f t="shared" si="103"/>
        <v>0</v>
      </c>
      <c r="AM153" s="586">
        <f t="shared" si="103"/>
        <v>0</v>
      </c>
      <c r="AN153" s="586">
        <f t="shared" si="103"/>
        <v>0</v>
      </c>
      <c r="AO153" s="586">
        <f t="shared" si="103"/>
        <v>0</v>
      </c>
      <c r="AP153" s="586">
        <f t="shared" si="103"/>
        <v>0</v>
      </c>
      <c r="AQ153" s="586">
        <f t="shared" si="103"/>
        <v>0</v>
      </c>
      <c r="AR153" s="586">
        <f t="shared" si="103"/>
        <v>0</v>
      </c>
      <c r="AS153" s="586">
        <f t="shared" si="103"/>
        <v>0</v>
      </c>
      <c r="AT153" s="170"/>
      <c r="AU153" s="170"/>
      <c r="AV153" s="170"/>
      <c r="AW153" s="828"/>
      <c r="AX153" s="726"/>
    </row>
    <row r="154" spans="1:50" ht="15" x14ac:dyDescent="0.25">
      <c r="A154" s="170"/>
      <c r="B154" s="719"/>
      <c r="C154" s="170" t="str">
        <f t="shared" si="104"/>
        <v>69ea</v>
      </c>
      <c r="D154" s="170"/>
      <c r="E154" s="170"/>
      <c r="F154" s="170">
        <f>+Parameters!D72</f>
        <v>69</v>
      </c>
      <c r="G154" s="170" t="str">
        <f>+Parameters!E72</f>
        <v>Misc. Eqt - Other</v>
      </c>
      <c r="H154" s="586">
        <f t="shared" si="105"/>
        <v>0</v>
      </c>
      <c r="I154" s="170" t="str">
        <f>+Parameters!F72</f>
        <v>ea</v>
      </c>
      <c r="J154" s="170"/>
      <c r="K154" s="170"/>
      <c r="L154" s="170"/>
      <c r="M154" s="730"/>
      <c r="N154" s="730"/>
      <c r="O154" s="730"/>
      <c r="P154" s="731"/>
      <c r="Q154" s="731"/>
      <c r="R154" s="730"/>
      <c r="S154" s="730"/>
      <c r="T154" s="723"/>
      <c r="U154" s="724"/>
      <c r="V154" s="725"/>
      <c r="W154" s="725"/>
      <c r="X154" s="723"/>
      <c r="Y154" s="723"/>
      <c r="Z154" s="723"/>
      <c r="AA154" s="726"/>
      <c r="AB154" s="726"/>
      <c r="AC154" s="170"/>
      <c r="AD154" s="586">
        <f t="shared" si="103"/>
        <v>0</v>
      </c>
      <c r="AE154" s="586">
        <f t="shared" si="103"/>
        <v>0</v>
      </c>
      <c r="AF154" s="586">
        <f t="shared" si="103"/>
        <v>0</v>
      </c>
      <c r="AG154" s="586">
        <f t="shared" si="103"/>
        <v>0</v>
      </c>
      <c r="AH154" s="586">
        <f t="shared" si="103"/>
        <v>0</v>
      </c>
      <c r="AI154" s="586">
        <f t="shared" si="103"/>
        <v>0</v>
      </c>
      <c r="AJ154" s="586">
        <f t="shared" si="103"/>
        <v>0</v>
      </c>
      <c r="AK154" s="586">
        <f t="shared" si="103"/>
        <v>0</v>
      </c>
      <c r="AL154" s="586">
        <f t="shared" si="103"/>
        <v>0</v>
      </c>
      <c r="AM154" s="586">
        <f t="shared" si="103"/>
        <v>0</v>
      </c>
      <c r="AN154" s="586">
        <f t="shared" si="103"/>
        <v>0</v>
      </c>
      <c r="AO154" s="586">
        <f t="shared" si="103"/>
        <v>0</v>
      </c>
      <c r="AP154" s="586">
        <f t="shared" si="103"/>
        <v>0</v>
      </c>
      <c r="AQ154" s="586">
        <f t="shared" si="103"/>
        <v>0</v>
      </c>
      <c r="AR154" s="586">
        <f t="shared" si="103"/>
        <v>0</v>
      </c>
      <c r="AS154" s="586">
        <f t="shared" si="103"/>
        <v>0</v>
      </c>
      <c r="AT154" s="170"/>
      <c r="AU154" s="170"/>
      <c r="AV154" s="170"/>
      <c r="AW154" s="828"/>
      <c r="AX154" s="726"/>
    </row>
    <row r="155" spans="1:50" ht="15" x14ac:dyDescent="0.25">
      <c r="A155" s="170"/>
      <c r="B155" s="719"/>
      <c r="C155" s="170" t="str">
        <f t="shared" si="104"/>
        <v>700</v>
      </c>
      <c r="D155" s="170"/>
      <c r="E155" s="170"/>
      <c r="F155" s="170">
        <f>+Parameters!D73</f>
        <v>70</v>
      </c>
      <c r="G155" s="170" t="str">
        <f>+Parameters!E73</f>
        <v>Control house Buidling</v>
      </c>
      <c r="H155" s="586">
        <f t="shared" si="105"/>
        <v>0</v>
      </c>
      <c r="I155" s="170">
        <f>+Parameters!F73</f>
        <v>0</v>
      </c>
      <c r="J155" s="170"/>
      <c r="K155" s="170"/>
      <c r="L155" s="170"/>
      <c r="M155" s="730"/>
      <c r="N155" s="730"/>
      <c r="O155" s="730"/>
      <c r="P155" s="731"/>
      <c r="Q155" s="731"/>
      <c r="R155" s="730"/>
      <c r="S155" s="730"/>
      <c r="T155" s="723"/>
      <c r="U155" s="724"/>
      <c r="V155" s="725"/>
      <c r="W155" s="725"/>
      <c r="X155" s="723"/>
      <c r="Y155" s="723"/>
      <c r="Z155" s="723"/>
      <c r="AA155" s="726"/>
      <c r="AB155" s="726"/>
      <c r="AC155" s="170"/>
      <c r="AD155" s="586">
        <f t="shared" si="103"/>
        <v>0</v>
      </c>
      <c r="AE155" s="586">
        <f t="shared" si="103"/>
        <v>0</v>
      </c>
      <c r="AF155" s="586">
        <f t="shared" si="103"/>
        <v>0</v>
      </c>
      <c r="AG155" s="586">
        <f t="shared" si="103"/>
        <v>0</v>
      </c>
      <c r="AH155" s="586">
        <f t="shared" si="103"/>
        <v>0</v>
      </c>
      <c r="AI155" s="586">
        <f t="shared" si="103"/>
        <v>0</v>
      </c>
      <c r="AJ155" s="586">
        <f t="shared" si="103"/>
        <v>0</v>
      </c>
      <c r="AK155" s="586">
        <f t="shared" si="103"/>
        <v>0</v>
      </c>
      <c r="AL155" s="586">
        <f t="shared" si="103"/>
        <v>0</v>
      </c>
      <c r="AM155" s="586">
        <f t="shared" si="103"/>
        <v>0</v>
      </c>
      <c r="AN155" s="586">
        <f t="shared" si="103"/>
        <v>0</v>
      </c>
      <c r="AO155" s="586">
        <f t="shared" si="103"/>
        <v>0</v>
      </c>
      <c r="AP155" s="586">
        <f t="shared" si="103"/>
        <v>0</v>
      </c>
      <c r="AQ155" s="586">
        <f t="shared" si="103"/>
        <v>0</v>
      </c>
      <c r="AR155" s="586">
        <f t="shared" si="103"/>
        <v>0</v>
      </c>
      <c r="AS155" s="586">
        <f t="shared" si="103"/>
        <v>0</v>
      </c>
      <c r="AT155" s="170"/>
      <c r="AU155" s="170"/>
      <c r="AV155" s="170"/>
      <c r="AW155" s="828"/>
      <c r="AX155" s="726"/>
    </row>
    <row r="156" spans="1:50" ht="15" x14ac:dyDescent="0.25">
      <c r="A156" s="170"/>
      <c r="B156" s="719"/>
      <c r="C156" s="170" t="str">
        <f t="shared" si="104"/>
        <v>710</v>
      </c>
      <c r="D156" s="170"/>
      <c r="E156" s="170"/>
      <c r="F156" s="170">
        <f>+Parameters!D74</f>
        <v>71</v>
      </c>
      <c r="G156" s="170" t="str">
        <f>+Parameters!E74</f>
        <v>Pre-Eng Building</v>
      </c>
      <c r="H156" s="586">
        <f t="shared" si="105"/>
        <v>0</v>
      </c>
      <c r="I156" s="170">
        <f>+Parameters!F74</f>
        <v>0</v>
      </c>
      <c r="J156" s="170"/>
      <c r="K156" s="170"/>
      <c r="L156" s="170"/>
      <c r="M156" s="730"/>
      <c r="N156" s="730"/>
      <c r="O156" s="730"/>
      <c r="P156" s="731"/>
      <c r="Q156" s="731"/>
      <c r="R156" s="730"/>
      <c r="S156" s="730"/>
      <c r="T156" s="723"/>
      <c r="U156" s="724"/>
      <c r="V156" s="725"/>
      <c r="W156" s="725"/>
      <c r="X156" s="723"/>
      <c r="Y156" s="723"/>
      <c r="Z156" s="723"/>
      <c r="AA156" s="726"/>
      <c r="AB156" s="726"/>
      <c r="AC156" s="170"/>
      <c r="AD156" s="586">
        <f t="shared" ref="AD156:AS165" si="106">SUMIF($F$9:$F$82,$F156,AD$9:AD$82)</f>
        <v>0</v>
      </c>
      <c r="AE156" s="586">
        <f t="shared" si="106"/>
        <v>0</v>
      </c>
      <c r="AF156" s="586">
        <f t="shared" si="106"/>
        <v>0</v>
      </c>
      <c r="AG156" s="586">
        <f t="shared" si="106"/>
        <v>0</v>
      </c>
      <c r="AH156" s="586">
        <f t="shared" si="106"/>
        <v>0</v>
      </c>
      <c r="AI156" s="586">
        <f t="shared" si="106"/>
        <v>0</v>
      </c>
      <c r="AJ156" s="586">
        <f t="shared" si="106"/>
        <v>0</v>
      </c>
      <c r="AK156" s="586">
        <f t="shared" si="106"/>
        <v>0</v>
      </c>
      <c r="AL156" s="586">
        <f t="shared" si="106"/>
        <v>0</v>
      </c>
      <c r="AM156" s="586">
        <f t="shared" si="106"/>
        <v>0</v>
      </c>
      <c r="AN156" s="586">
        <f t="shared" si="106"/>
        <v>0</v>
      </c>
      <c r="AO156" s="586">
        <f t="shared" si="106"/>
        <v>0</v>
      </c>
      <c r="AP156" s="586">
        <f t="shared" si="106"/>
        <v>0</v>
      </c>
      <c r="AQ156" s="586">
        <f t="shared" si="106"/>
        <v>0</v>
      </c>
      <c r="AR156" s="586">
        <f t="shared" si="106"/>
        <v>0</v>
      </c>
      <c r="AS156" s="586">
        <f t="shared" si="106"/>
        <v>0</v>
      </c>
      <c r="AT156" s="170"/>
      <c r="AU156" s="170"/>
      <c r="AV156" s="170"/>
      <c r="AW156" s="828"/>
      <c r="AX156" s="726"/>
    </row>
    <row r="157" spans="1:50" ht="15" x14ac:dyDescent="0.25">
      <c r="A157" s="170"/>
      <c r="B157" s="719"/>
      <c r="C157" s="170" t="str">
        <f t="shared" si="104"/>
        <v>720</v>
      </c>
      <c r="D157" s="170"/>
      <c r="E157" s="170"/>
      <c r="F157" s="170">
        <f>+Parameters!D75</f>
        <v>72</v>
      </c>
      <c r="G157" s="170">
        <f>+Parameters!E75</f>
        <v>0</v>
      </c>
      <c r="H157" s="586">
        <f t="shared" si="105"/>
        <v>0</v>
      </c>
      <c r="I157" s="170">
        <f>+Parameters!F75</f>
        <v>0</v>
      </c>
      <c r="J157" s="170"/>
      <c r="K157" s="170"/>
      <c r="L157" s="170"/>
      <c r="M157" s="730"/>
      <c r="N157" s="730"/>
      <c r="O157" s="730"/>
      <c r="P157" s="731"/>
      <c r="Q157" s="731"/>
      <c r="R157" s="730"/>
      <c r="S157" s="730"/>
      <c r="T157" s="723"/>
      <c r="U157" s="724"/>
      <c r="V157" s="725"/>
      <c r="W157" s="725"/>
      <c r="X157" s="723"/>
      <c r="Y157" s="723"/>
      <c r="Z157" s="723"/>
      <c r="AA157" s="726"/>
      <c r="AB157" s="726"/>
      <c r="AC157" s="170"/>
      <c r="AD157" s="586">
        <f t="shared" si="106"/>
        <v>0</v>
      </c>
      <c r="AE157" s="586">
        <f t="shared" si="106"/>
        <v>0</v>
      </c>
      <c r="AF157" s="586">
        <f t="shared" si="106"/>
        <v>0</v>
      </c>
      <c r="AG157" s="586">
        <f t="shared" si="106"/>
        <v>0</v>
      </c>
      <c r="AH157" s="586">
        <f t="shared" si="106"/>
        <v>0</v>
      </c>
      <c r="AI157" s="586">
        <f t="shared" si="106"/>
        <v>0</v>
      </c>
      <c r="AJ157" s="586">
        <f t="shared" si="106"/>
        <v>0</v>
      </c>
      <c r="AK157" s="586">
        <f t="shared" si="106"/>
        <v>0</v>
      </c>
      <c r="AL157" s="586">
        <f t="shared" si="106"/>
        <v>0</v>
      </c>
      <c r="AM157" s="586">
        <f t="shared" si="106"/>
        <v>0</v>
      </c>
      <c r="AN157" s="586">
        <f t="shared" si="106"/>
        <v>0</v>
      </c>
      <c r="AO157" s="586">
        <f t="shared" si="106"/>
        <v>0</v>
      </c>
      <c r="AP157" s="586">
        <f t="shared" si="106"/>
        <v>0</v>
      </c>
      <c r="AQ157" s="586">
        <f t="shared" si="106"/>
        <v>0</v>
      </c>
      <c r="AR157" s="586">
        <f t="shared" si="106"/>
        <v>0</v>
      </c>
      <c r="AS157" s="586">
        <f t="shared" si="106"/>
        <v>0</v>
      </c>
      <c r="AT157" s="170"/>
      <c r="AU157" s="170"/>
      <c r="AV157" s="170"/>
      <c r="AW157" s="828"/>
      <c r="AX157" s="726"/>
    </row>
    <row r="158" spans="1:50" ht="15" x14ac:dyDescent="0.25">
      <c r="A158" s="170"/>
      <c r="B158" s="719"/>
      <c r="C158" s="170" t="str">
        <f t="shared" si="104"/>
        <v>730</v>
      </c>
      <c r="D158" s="170"/>
      <c r="E158" s="170"/>
      <c r="F158" s="170">
        <f>+Parameters!D76</f>
        <v>73</v>
      </c>
      <c r="G158" s="170">
        <f>+Parameters!E76</f>
        <v>0</v>
      </c>
      <c r="H158" s="586">
        <f t="shared" si="105"/>
        <v>0</v>
      </c>
      <c r="I158" s="170">
        <f>+Parameters!F76</f>
        <v>0</v>
      </c>
      <c r="J158" s="170"/>
      <c r="K158" s="170"/>
      <c r="L158" s="170"/>
      <c r="M158" s="730"/>
      <c r="N158" s="730"/>
      <c r="O158" s="730"/>
      <c r="P158" s="731"/>
      <c r="Q158" s="731"/>
      <c r="R158" s="730"/>
      <c r="S158" s="730"/>
      <c r="T158" s="723"/>
      <c r="U158" s="724"/>
      <c r="V158" s="725"/>
      <c r="W158" s="725"/>
      <c r="X158" s="723"/>
      <c r="Y158" s="723"/>
      <c r="Z158" s="723"/>
      <c r="AA158" s="726"/>
      <c r="AB158" s="726"/>
      <c r="AC158" s="170"/>
      <c r="AD158" s="586">
        <f t="shared" si="106"/>
        <v>0</v>
      </c>
      <c r="AE158" s="586">
        <f t="shared" si="106"/>
        <v>0</v>
      </c>
      <c r="AF158" s="586">
        <f t="shared" si="106"/>
        <v>0</v>
      </c>
      <c r="AG158" s="586">
        <f t="shared" si="106"/>
        <v>0</v>
      </c>
      <c r="AH158" s="586">
        <f t="shared" si="106"/>
        <v>0</v>
      </c>
      <c r="AI158" s="586">
        <f t="shared" si="106"/>
        <v>0</v>
      </c>
      <c r="AJ158" s="586">
        <f t="shared" si="106"/>
        <v>0</v>
      </c>
      <c r="AK158" s="586">
        <f t="shared" si="106"/>
        <v>0</v>
      </c>
      <c r="AL158" s="586">
        <f t="shared" si="106"/>
        <v>0</v>
      </c>
      <c r="AM158" s="586">
        <f t="shared" si="106"/>
        <v>0</v>
      </c>
      <c r="AN158" s="586">
        <f t="shared" si="106"/>
        <v>0</v>
      </c>
      <c r="AO158" s="586">
        <f t="shared" si="106"/>
        <v>0</v>
      </c>
      <c r="AP158" s="586">
        <f t="shared" si="106"/>
        <v>0</v>
      </c>
      <c r="AQ158" s="586">
        <f t="shared" si="106"/>
        <v>0</v>
      </c>
      <c r="AR158" s="586">
        <f t="shared" si="106"/>
        <v>0</v>
      </c>
      <c r="AS158" s="586">
        <f t="shared" si="106"/>
        <v>0</v>
      </c>
      <c r="AT158" s="170"/>
      <c r="AU158" s="170"/>
      <c r="AV158" s="170"/>
      <c r="AW158" s="828"/>
      <c r="AX158" s="726"/>
    </row>
    <row r="159" spans="1:50" ht="15" x14ac:dyDescent="0.25">
      <c r="A159" s="170"/>
      <c r="B159" s="719"/>
      <c r="C159" s="170" t="str">
        <f t="shared" si="104"/>
        <v>740</v>
      </c>
      <c r="D159" s="170"/>
      <c r="E159" s="170"/>
      <c r="F159" s="170">
        <f>+Parameters!D77</f>
        <v>74</v>
      </c>
      <c r="G159" s="170">
        <f>+Parameters!E77</f>
        <v>0</v>
      </c>
      <c r="H159" s="586">
        <f t="shared" si="105"/>
        <v>0</v>
      </c>
      <c r="I159" s="170">
        <f>+Parameters!F77</f>
        <v>0</v>
      </c>
      <c r="J159" s="170"/>
      <c r="K159" s="170"/>
      <c r="L159" s="170"/>
      <c r="M159" s="730"/>
      <c r="N159" s="730"/>
      <c r="O159" s="730"/>
      <c r="P159" s="731"/>
      <c r="Q159" s="731"/>
      <c r="R159" s="730"/>
      <c r="S159" s="730"/>
      <c r="T159" s="723"/>
      <c r="U159" s="724"/>
      <c r="V159" s="725"/>
      <c r="W159" s="725"/>
      <c r="X159" s="723"/>
      <c r="Y159" s="723"/>
      <c r="Z159" s="723"/>
      <c r="AA159" s="726"/>
      <c r="AB159" s="726"/>
      <c r="AC159" s="170"/>
      <c r="AD159" s="586">
        <f t="shared" si="106"/>
        <v>0</v>
      </c>
      <c r="AE159" s="586">
        <f t="shared" si="106"/>
        <v>0</v>
      </c>
      <c r="AF159" s="586">
        <f t="shared" si="106"/>
        <v>0</v>
      </c>
      <c r="AG159" s="586">
        <f t="shared" si="106"/>
        <v>0</v>
      </c>
      <c r="AH159" s="586">
        <f t="shared" si="106"/>
        <v>0</v>
      </c>
      <c r="AI159" s="586">
        <f t="shared" si="106"/>
        <v>0</v>
      </c>
      <c r="AJ159" s="586">
        <f t="shared" si="106"/>
        <v>0</v>
      </c>
      <c r="AK159" s="586">
        <f t="shared" si="106"/>
        <v>0</v>
      </c>
      <c r="AL159" s="586">
        <f t="shared" si="106"/>
        <v>0</v>
      </c>
      <c r="AM159" s="586">
        <f t="shared" si="106"/>
        <v>0</v>
      </c>
      <c r="AN159" s="586">
        <f t="shared" si="106"/>
        <v>0</v>
      </c>
      <c r="AO159" s="586">
        <f t="shared" si="106"/>
        <v>0</v>
      </c>
      <c r="AP159" s="586">
        <f t="shared" si="106"/>
        <v>0</v>
      </c>
      <c r="AQ159" s="586">
        <f t="shared" si="106"/>
        <v>0</v>
      </c>
      <c r="AR159" s="586">
        <f t="shared" si="106"/>
        <v>0</v>
      </c>
      <c r="AS159" s="586">
        <f t="shared" si="106"/>
        <v>0</v>
      </c>
      <c r="AT159" s="170"/>
      <c r="AU159" s="170"/>
      <c r="AV159" s="170"/>
      <c r="AW159" s="828"/>
      <c r="AX159" s="726"/>
    </row>
    <row r="160" spans="1:50" ht="15" x14ac:dyDescent="0.25">
      <c r="A160" s="170"/>
      <c r="B160" s="719"/>
      <c r="C160" s="170" t="str">
        <f t="shared" si="104"/>
        <v>750</v>
      </c>
      <c r="D160" s="170"/>
      <c r="E160" s="170"/>
      <c r="F160" s="170">
        <f>+Parameters!D78</f>
        <v>75</v>
      </c>
      <c r="G160" s="170">
        <f>+Parameters!E78</f>
        <v>0</v>
      </c>
      <c r="H160" s="586">
        <f t="shared" si="105"/>
        <v>0</v>
      </c>
      <c r="I160" s="170">
        <f>+Parameters!F78</f>
        <v>0</v>
      </c>
      <c r="J160" s="170"/>
      <c r="K160" s="170"/>
      <c r="L160" s="170"/>
      <c r="M160" s="730"/>
      <c r="N160" s="730"/>
      <c r="O160" s="730"/>
      <c r="P160" s="731"/>
      <c r="Q160" s="731"/>
      <c r="R160" s="730"/>
      <c r="S160" s="730"/>
      <c r="T160" s="723"/>
      <c r="U160" s="724"/>
      <c r="V160" s="725"/>
      <c r="W160" s="725"/>
      <c r="X160" s="723"/>
      <c r="Y160" s="723"/>
      <c r="Z160" s="723"/>
      <c r="AA160" s="726"/>
      <c r="AB160" s="726"/>
      <c r="AC160" s="170"/>
      <c r="AD160" s="586">
        <f t="shared" si="106"/>
        <v>0</v>
      </c>
      <c r="AE160" s="586">
        <f t="shared" si="106"/>
        <v>0</v>
      </c>
      <c r="AF160" s="586">
        <f t="shared" si="106"/>
        <v>0</v>
      </c>
      <c r="AG160" s="586">
        <f t="shared" si="106"/>
        <v>0</v>
      </c>
      <c r="AH160" s="586">
        <f t="shared" si="106"/>
        <v>0</v>
      </c>
      <c r="AI160" s="586">
        <f t="shared" si="106"/>
        <v>0</v>
      </c>
      <c r="AJ160" s="586">
        <f t="shared" si="106"/>
        <v>0</v>
      </c>
      <c r="AK160" s="586">
        <f t="shared" si="106"/>
        <v>0</v>
      </c>
      <c r="AL160" s="586">
        <f t="shared" si="106"/>
        <v>0</v>
      </c>
      <c r="AM160" s="586">
        <f t="shared" si="106"/>
        <v>0</v>
      </c>
      <c r="AN160" s="586">
        <f t="shared" si="106"/>
        <v>0</v>
      </c>
      <c r="AO160" s="586">
        <f t="shared" si="106"/>
        <v>0</v>
      </c>
      <c r="AP160" s="586">
        <f t="shared" si="106"/>
        <v>0</v>
      </c>
      <c r="AQ160" s="586">
        <f t="shared" si="106"/>
        <v>0</v>
      </c>
      <c r="AR160" s="586">
        <f t="shared" si="106"/>
        <v>0</v>
      </c>
      <c r="AS160" s="586">
        <f t="shared" si="106"/>
        <v>0</v>
      </c>
      <c r="AT160" s="170"/>
      <c r="AU160" s="170"/>
      <c r="AV160" s="170"/>
      <c r="AW160" s="828"/>
      <c r="AX160" s="726"/>
    </row>
    <row r="161" spans="1:50" ht="15" x14ac:dyDescent="0.25">
      <c r="A161" s="170"/>
      <c r="B161" s="719"/>
      <c r="C161" s="170" t="str">
        <f t="shared" si="104"/>
        <v>760</v>
      </c>
      <c r="D161" s="170"/>
      <c r="E161" s="170"/>
      <c r="F161" s="170">
        <f>+Parameters!D79</f>
        <v>76</v>
      </c>
      <c r="G161" s="170">
        <f>+Parameters!E79</f>
        <v>0</v>
      </c>
      <c r="H161" s="586">
        <f t="shared" si="105"/>
        <v>0</v>
      </c>
      <c r="I161" s="170">
        <f>+Parameters!F79</f>
        <v>0</v>
      </c>
      <c r="J161" s="170"/>
      <c r="K161" s="170"/>
      <c r="L161" s="170"/>
      <c r="M161" s="730"/>
      <c r="N161" s="730"/>
      <c r="O161" s="730"/>
      <c r="P161" s="731"/>
      <c r="Q161" s="731"/>
      <c r="R161" s="730"/>
      <c r="S161" s="730"/>
      <c r="T161" s="723"/>
      <c r="U161" s="724"/>
      <c r="V161" s="725"/>
      <c r="W161" s="725"/>
      <c r="X161" s="723"/>
      <c r="Y161" s="723"/>
      <c r="Z161" s="723"/>
      <c r="AA161" s="726"/>
      <c r="AB161" s="726"/>
      <c r="AC161" s="170"/>
      <c r="AD161" s="586">
        <f t="shared" si="106"/>
        <v>0</v>
      </c>
      <c r="AE161" s="586">
        <f t="shared" si="106"/>
        <v>0</v>
      </c>
      <c r="AF161" s="586">
        <f t="shared" si="106"/>
        <v>0</v>
      </c>
      <c r="AG161" s="586">
        <f t="shared" si="106"/>
        <v>0</v>
      </c>
      <c r="AH161" s="586">
        <f t="shared" si="106"/>
        <v>0</v>
      </c>
      <c r="AI161" s="586">
        <f t="shared" si="106"/>
        <v>0</v>
      </c>
      <c r="AJ161" s="586">
        <f t="shared" si="106"/>
        <v>0</v>
      </c>
      <c r="AK161" s="586">
        <f t="shared" si="106"/>
        <v>0</v>
      </c>
      <c r="AL161" s="586">
        <f t="shared" si="106"/>
        <v>0</v>
      </c>
      <c r="AM161" s="586">
        <f t="shared" si="106"/>
        <v>0</v>
      </c>
      <c r="AN161" s="586">
        <f t="shared" si="106"/>
        <v>0</v>
      </c>
      <c r="AO161" s="586">
        <f t="shared" si="106"/>
        <v>0</v>
      </c>
      <c r="AP161" s="586">
        <f t="shared" si="106"/>
        <v>0</v>
      </c>
      <c r="AQ161" s="586">
        <f t="shared" si="106"/>
        <v>0</v>
      </c>
      <c r="AR161" s="586">
        <f t="shared" si="106"/>
        <v>0</v>
      </c>
      <c r="AS161" s="586">
        <f t="shared" si="106"/>
        <v>0</v>
      </c>
      <c r="AT161" s="170"/>
      <c r="AU161" s="170"/>
      <c r="AV161" s="170"/>
      <c r="AW161" s="828"/>
      <c r="AX161" s="726"/>
    </row>
    <row r="162" spans="1:50" ht="15" x14ac:dyDescent="0.25">
      <c r="A162" s="170"/>
      <c r="B162" s="719"/>
      <c r="C162" s="170" t="str">
        <f t="shared" si="104"/>
        <v>770</v>
      </c>
      <c r="D162" s="170"/>
      <c r="E162" s="170"/>
      <c r="F162" s="170">
        <f>+Parameters!D80</f>
        <v>77</v>
      </c>
      <c r="G162" s="170">
        <f>+Parameters!E80</f>
        <v>0</v>
      </c>
      <c r="H162" s="586">
        <f t="shared" si="105"/>
        <v>0</v>
      </c>
      <c r="I162" s="170">
        <f>+Parameters!F80</f>
        <v>0</v>
      </c>
      <c r="J162" s="170"/>
      <c r="K162" s="170"/>
      <c r="L162" s="170"/>
      <c r="M162" s="730"/>
      <c r="N162" s="730"/>
      <c r="O162" s="730"/>
      <c r="P162" s="731"/>
      <c r="Q162" s="731"/>
      <c r="R162" s="730"/>
      <c r="S162" s="730"/>
      <c r="T162" s="723"/>
      <c r="U162" s="724"/>
      <c r="V162" s="725"/>
      <c r="W162" s="725"/>
      <c r="X162" s="723"/>
      <c r="Y162" s="723"/>
      <c r="Z162" s="723"/>
      <c r="AA162" s="726"/>
      <c r="AB162" s="726"/>
      <c r="AC162" s="170"/>
      <c r="AD162" s="586">
        <f t="shared" si="106"/>
        <v>0</v>
      </c>
      <c r="AE162" s="586">
        <f t="shared" si="106"/>
        <v>0</v>
      </c>
      <c r="AF162" s="586">
        <f t="shared" si="106"/>
        <v>0</v>
      </c>
      <c r="AG162" s="586">
        <f t="shared" si="106"/>
        <v>0</v>
      </c>
      <c r="AH162" s="586">
        <f t="shared" si="106"/>
        <v>0</v>
      </c>
      <c r="AI162" s="586">
        <f t="shared" si="106"/>
        <v>0</v>
      </c>
      <c r="AJ162" s="586">
        <f t="shared" si="106"/>
        <v>0</v>
      </c>
      <c r="AK162" s="586">
        <f t="shared" si="106"/>
        <v>0</v>
      </c>
      <c r="AL162" s="586">
        <f t="shared" si="106"/>
        <v>0</v>
      </c>
      <c r="AM162" s="586">
        <f t="shared" si="106"/>
        <v>0</v>
      </c>
      <c r="AN162" s="586">
        <f t="shared" si="106"/>
        <v>0</v>
      </c>
      <c r="AO162" s="586">
        <f t="shared" si="106"/>
        <v>0</v>
      </c>
      <c r="AP162" s="586">
        <f t="shared" si="106"/>
        <v>0</v>
      </c>
      <c r="AQ162" s="586">
        <f t="shared" si="106"/>
        <v>0</v>
      </c>
      <c r="AR162" s="586">
        <f t="shared" si="106"/>
        <v>0</v>
      </c>
      <c r="AS162" s="586">
        <f t="shared" si="106"/>
        <v>0</v>
      </c>
      <c r="AT162" s="170"/>
      <c r="AU162" s="170"/>
      <c r="AV162" s="170"/>
      <c r="AW162" s="828"/>
      <c r="AX162" s="726"/>
    </row>
    <row r="163" spans="1:50" ht="15" x14ac:dyDescent="0.25">
      <c r="A163" s="170"/>
      <c r="B163" s="719"/>
      <c r="C163" s="170" t="str">
        <f t="shared" si="104"/>
        <v>780</v>
      </c>
      <c r="D163" s="170"/>
      <c r="E163" s="170"/>
      <c r="F163" s="170">
        <f>+Parameters!D81</f>
        <v>78</v>
      </c>
      <c r="G163" s="170">
        <f>+Parameters!E81</f>
        <v>0</v>
      </c>
      <c r="H163" s="586">
        <f t="shared" si="105"/>
        <v>0</v>
      </c>
      <c r="I163" s="170">
        <f>+Parameters!F81</f>
        <v>0</v>
      </c>
      <c r="J163" s="170"/>
      <c r="K163" s="170"/>
      <c r="L163" s="170"/>
      <c r="M163" s="730"/>
      <c r="N163" s="730"/>
      <c r="O163" s="730"/>
      <c r="P163" s="731"/>
      <c r="Q163" s="731"/>
      <c r="R163" s="730"/>
      <c r="S163" s="730"/>
      <c r="T163" s="723"/>
      <c r="U163" s="724"/>
      <c r="V163" s="725"/>
      <c r="W163" s="725"/>
      <c r="X163" s="723"/>
      <c r="Y163" s="723"/>
      <c r="Z163" s="723"/>
      <c r="AA163" s="726"/>
      <c r="AB163" s="726"/>
      <c r="AC163" s="170"/>
      <c r="AD163" s="586">
        <f t="shared" si="106"/>
        <v>0</v>
      </c>
      <c r="AE163" s="586">
        <f t="shared" si="106"/>
        <v>0</v>
      </c>
      <c r="AF163" s="586">
        <f t="shared" si="106"/>
        <v>0</v>
      </c>
      <c r="AG163" s="586">
        <f t="shared" si="106"/>
        <v>0</v>
      </c>
      <c r="AH163" s="586">
        <f t="shared" si="106"/>
        <v>0</v>
      </c>
      <c r="AI163" s="586">
        <f t="shared" si="106"/>
        <v>0</v>
      </c>
      <c r="AJ163" s="586">
        <f t="shared" si="106"/>
        <v>0</v>
      </c>
      <c r="AK163" s="586">
        <f t="shared" si="106"/>
        <v>0</v>
      </c>
      <c r="AL163" s="586">
        <f t="shared" si="106"/>
        <v>0</v>
      </c>
      <c r="AM163" s="586">
        <f t="shared" si="106"/>
        <v>0</v>
      </c>
      <c r="AN163" s="586">
        <f t="shared" si="106"/>
        <v>0</v>
      </c>
      <c r="AO163" s="586">
        <f t="shared" si="106"/>
        <v>0</v>
      </c>
      <c r="AP163" s="586">
        <f t="shared" si="106"/>
        <v>0</v>
      </c>
      <c r="AQ163" s="586">
        <f t="shared" si="106"/>
        <v>0</v>
      </c>
      <c r="AR163" s="586">
        <f t="shared" si="106"/>
        <v>0</v>
      </c>
      <c r="AS163" s="586">
        <f t="shared" si="106"/>
        <v>0</v>
      </c>
      <c r="AT163" s="170"/>
      <c r="AU163" s="170"/>
      <c r="AV163" s="170"/>
      <c r="AW163" s="828"/>
      <c r="AX163" s="726"/>
    </row>
    <row r="164" spans="1:50" ht="15" x14ac:dyDescent="0.25">
      <c r="A164" s="170"/>
      <c r="B164" s="719"/>
      <c r="C164" s="170" t="str">
        <f t="shared" si="104"/>
        <v>790</v>
      </c>
      <c r="D164" s="170"/>
      <c r="E164" s="170"/>
      <c r="F164" s="170">
        <f>+Parameters!D82</f>
        <v>79</v>
      </c>
      <c r="G164" s="170">
        <f>+Parameters!E82</f>
        <v>0</v>
      </c>
      <c r="H164" s="586">
        <f t="shared" si="105"/>
        <v>0</v>
      </c>
      <c r="I164" s="170">
        <f>+Parameters!F82</f>
        <v>0</v>
      </c>
      <c r="J164" s="170"/>
      <c r="K164" s="170"/>
      <c r="L164" s="170"/>
      <c r="M164" s="730"/>
      <c r="N164" s="730"/>
      <c r="O164" s="730"/>
      <c r="P164" s="731"/>
      <c r="Q164" s="731"/>
      <c r="R164" s="730"/>
      <c r="S164" s="730"/>
      <c r="T164" s="723"/>
      <c r="U164" s="724"/>
      <c r="V164" s="725"/>
      <c r="W164" s="725"/>
      <c r="X164" s="723"/>
      <c r="Y164" s="723"/>
      <c r="Z164" s="723"/>
      <c r="AA164" s="726"/>
      <c r="AB164" s="726"/>
      <c r="AC164" s="170"/>
      <c r="AD164" s="586">
        <f t="shared" si="106"/>
        <v>0</v>
      </c>
      <c r="AE164" s="586">
        <f t="shared" si="106"/>
        <v>0</v>
      </c>
      <c r="AF164" s="586">
        <f t="shared" si="106"/>
        <v>0</v>
      </c>
      <c r="AG164" s="586">
        <f t="shared" si="106"/>
        <v>0</v>
      </c>
      <c r="AH164" s="586">
        <f t="shared" si="106"/>
        <v>0</v>
      </c>
      <c r="AI164" s="586">
        <f t="shared" si="106"/>
        <v>0</v>
      </c>
      <c r="AJ164" s="586">
        <f t="shared" si="106"/>
        <v>0</v>
      </c>
      <c r="AK164" s="586">
        <f t="shared" si="106"/>
        <v>0</v>
      </c>
      <c r="AL164" s="586">
        <f t="shared" si="106"/>
        <v>0</v>
      </c>
      <c r="AM164" s="586">
        <f t="shared" si="106"/>
        <v>0</v>
      </c>
      <c r="AN164" s="586">
        <f t="shared" si="106"/>
        <v>0</v>
      </c>
      <c r="AO164" s="586">
        <f t="shared" si="106"/>
        <v>0</v>
      </c>
      <c r="AP164" s="586">
        <f t="shared" si="106"/>
        <v>0</v>
      </c>
      <c r="AQ164" s="586">
        <f t="shared" si="106"/>
        <v>0</v>
      </c>
      <c r="AR164" s="586">
        <f t="shared" si="106"/>
        <v>0</v>
      </c>
      <c r="AS164" s="586">
        <f t="shared" si="106"/>
        <v>0</v>
      </c>
      <c r="AT164" s="170"/>
      <c r="AU164" s="170"/>
      <c r="AV164" s="170"/>
      <c r="AW164" s="828"/>
      <c r="AX164" s="726"/>
    </row>
    <row r="165" spans="1:50" ht="15" x14ac:dyDescent="0.25">
      <c r="A165" s="170"/>
      <c r="B165" s="719"/>
      <c r="C165" s="170" t="str">
        <f t="shared" si="104"/>
        <v>800</v>
      </c>
      <c r="D165" s="170"/>
      <c r="E165" s="170"/>
      <c r="F165" s="170">
        <f>+Parameters!D83</f>
        <v>80</v>
      </c>
      <c r="G165" s="170" t="str">
        <f>+Parameters!E83</f>
        <v>Protection and Controls</v>
      </c>
      <c r="H165" s="586">
        <f t="shared" si="105"/>
        <v>0</v>
      </c>
      <c r="I165" s="170">
        <f>+Parameters!F83</f>
        <v>0</v>
      </c>
      <c r="J165" s="170"/>
      <c r="K165" s="170"/>
      <c r="L165" s="170"/>
      <c r="M165" s="730"/>
      <c r="N165" s="730"/>
      <c r="O165" s="730"/>
      <c r="P165" s="731"/>
      <c r="Q165" s="731"/>
      <c r="R165" s="730"/>
      <c r="S165" s="730"/>
      <c r="T165" s="723"/>
      <c r="U165" s="724"/>
      <c r="V165" s="725"/>
      <c r="W165" s="725"/>
      <c r="X165" s="723"/>
      <c r="Y165" s="723"/>
      <c r="Z165" s="723"/>
      <c r="AA165" s="726"/>
      <c r="AB165" s="726"/>
      <c r="AC165" s="170"/>
      <c r="AD165" s="586">
        <f t="shared" si="106"/>
        <v>0</v>
      </c>
      <c r="AE165" s="586">
        <f t="shared" si="106"/>
        <v>0</v>
      </c>
      <c r="AF165" s="586">
        <f t="shared" si="106"/>
        <v>0</v>
      </c>
      <c r="AG165" s="586">
        <f t="shared" si="106"/>
        <v>0</v>
      </c>
      <c r="AH165" s="586">
        <f t="shared" si="106"/>
        <v>0</v>
      </c>
      <c r="AI165" s="586">
        <f t="shared" si="106"/>
        <v>0</v>
      </c>
      <c r="AJ165" s="586">
        <f t="shared" si="106"/>
        <v>0</v>
      </c>
      <c r="AK165" s="586">
        <f t="shared" si="106"/>
        <v>0</v>
      </c>
      <c r="AL165" s="586">
        <f t="shared" si="106"/>
        <v>0</v>
      </c>
      <c r="AM165" s="586">
        <f t="shared" si="106"/>
        <v>0</v>
      </c>
      <c r="AN165" s="586">
        <f t="shared" si="106"/>
        <v>0</v>
      </c>
      <c r="AO165" s="586">
        <f t="shared" si="106"/>
        <v>0</v>
      </c>
      <c r="AP165" s="586">
        <f t="shared" si="106"/>
        <v>0</v>
      </c>
      <c r="AQ165" s="586">
        <f t="shared" si="106"/>
        <v>0</v>
      </c>
      <c r="AR165" s="586">
        <f t="shared" si="106"/>
        <v>0</v>
      </c>
      <c r="AS165" s="586">
        <f t="shared" si="106"/>
        <v>0</v>
      </c>
      <c r="AT165" s="170"/>
      <c r="AU165" s="170"/>
      <c r="AV165" s="170"/>
      <c r="AW165" s="828"/>
      <c r="AX165" s="726"/>
    </row>
    <row r="166" spans="1:50" ht="15" x14ac:dyDescent="0.25">
      <c r="A166" s="170"/>
      <c r="B166" s="719"/>
      <c r="C166" s="170" t="str">
        <f t="shared" si="104"/>
        <v>81ea</v>
      </c>
      <c r="D166" s="170"/>
      <c r="E166" s="170"/>
      <c r="F166" s="170">
        <f>+Parameters!D84</f>
        <v>81</v>
      </c>
      <c r="G166" s="170" t="str">
        <f>+Parameters!E84</f>
        <v>Relays</v>
      </c>
      <c r="H166" s="586">
        <f t="shared" si="105"/>
        <v>0</v>
      </c>
      <c r="I166" s="170" t="str">
        <f>+Parameters!F84</f>
        <v>ea</v>
      </c>
      <c r="J166" s="170"/>
      <c r="K166" s="170"/>
      <c r="L166" s="170"/>
      <c r="M166" s="730"/>
      <c r="N166" s="730"/>
      <c r="O166" s="730"/>
      <c r="P166" s="731"/>
      <c r="Q166" s="731"/>
      <c r="R166" s="730"/>
      <c r="S166" s="730"/>
      <c r="T166" s="723"/>
      <c r="U166" s="724"/>
      <c r="V166" s="725"/>
      <c r="W166" s="725"/>
      <c r="X166" s="723"/>
      <c r="Y166" s="723"/>
      <c r="Z166" s="723"/>
      <c r="AA166" s="726"/>
      <c r="AB166" s="726"/>
      <c r="AC166" s="170"/>
      <c r="AD166" s="586">
        <f t="shared" ref="AD166:AS175" si="107">SUMIF($F$9:$F$82,$F166,AD$9:AD$82)</f>
        <v>0</v>
      </c>
      <c r="AE166" s="586">
        <f t="shared" si="107"/>
        <v>0</v>
      </c>
      <c r="AF166" s="586">
        <f t="shared" si="107"/>
        <v>0</v>
      </c>
      <c r="AG166" s="586">
        <f t="shared" si="107"/>
        <v>0</v>
      </c>
      <c r="AH166" s="586">
        <f t="shared" si="107"/>
        <v>0</v>
      </c>
      <c r="AI166" s="586">
        <f t="shared" si="107"/>
        <v>0</v>
      </c>
      <c r="AJ166" s="586">
        <f t="shared" si="107"/>
        <v>0</v>
      </c>
      <c r="AK166" s="586">
        <f t="shared" si="107"/>
        <v>0</v>
      </c>
      <c r="AL166" s="586">
        <f t="shared" si="107"/>
        <v>0</v>
      </c>
      <c r="AM166" s="586">
        <f t="shared" si="107"/>
        <v>0</v>
      </c>
      <c r="AN166" s="586">
        <f t="shared" si="107"/>
        <v>0</v>
      </c>
      <c r="AO166" s="586">
        <f t="shared" si="107"/>
        <v>0</v>
      </c>
      <c r="AP166" s="586">
        <f t="shared" si="107"/>
        <v>0</v>
      </c>
      <c r="AQ166" s="586">
        <f t="shared" si="107"/>
        <v>0</v>
      </c>
      <c r="AR166" s="586">
        <f t="shared" si="107"/>
        <v>0</v>
      </c>
      <c r="AS166" s="586">
        <f t="shared" si="107"/>
        <v>0</v>
      </c>
      <c r="AT166" s="170"/>
      <c r="AU166" s="170"/>
      <c r="AV166" s="170"/>
      <c r="AW166" s="828"/>
      <c r="AX166" s="726"/>
    </row>
    <row r="167" spans="1:50" ht="15" x14ac:dyDescent="0.25">
      <c r="A167" s="170"/>
      <c r="B167" s="719"/>
      <c r="C167" s="170" t="str">
        <f t="shared" si="104"/>
        <v>82ea</v>
      </c>
      <c r="D167" s="170"/>
      <c r="E167" s="170"/>
      <c r="F167" s="170">
        <f>+Parameters!D85</f>
        <v>82</v>
      </c>
      <c r="G167" s="170" t="str">
        <f>+Parameters!E85</f>
        <v>Cabinets</v>
      </c>
      <c r="H167" s="586">
        <f t="shared" si="105"/>
        <v>0</v>
      </c>
      <c r="I167" s="170" t="str">
        <f>+Parameters!F85</f>
        <v>ea</v>
      </c>
      <c r="J167" s="170"/>
      <c r="K167" s="170"/>
      <c r="L167" s="170"/>
      <c r="M167" s="730"/>
      <c r="N167" s="730"/>
      <c r="O167" s="730"/>
      <c r="P167" s="731"/>
      <c r="Q167" s="731"/>
      <c r="R167" s="730"/>
      <c r="S167" s="730"/>
      <c r="T167" s="723"/>
      <c r="U167" s="724"/>
      <c r="V167" s="725"/>
      <c r="W167" s="725"/>
      <c r="X167" s="723"/>
      <c r="Y167" s="723"/>
      <c r="Z167" s="723"/>
      <c r="AA167" s="726"/>
      <c r="AB167" s="726"/>
      <c r="AC167" s="170"/>
      <c r="AD167" s="586">
        <f t="shared" si="107"/>
        <v>0</v>
      </c>
      <c r="AE167" s="586">
        <f t="shared" si="107"/>
        <v>0</v>
      </c>
      <c r="AF167" s="586">
        <f t="shared" si="107"/>
        <v>0</v>
      </c>
      <c r="AG167" s="586">
        <f t="shared" si="107"/>
        <v>0</v>
      </c>
      <c r="AH167" s="586">
        <f t="shared" si="107"/>
        <v>0</v>
      </c>
      <c r="AI167" s="586">
        <f t="shared" si="107"/>
        <v>0</v>
      </c>
      <c r="AJ167" s="586">
        <f t="shared" si="107"/>
        <v>0</v>
      </c>
      <c r="AK167" s="586">
        <f t="shared" si="107"/>
        <v>0</v>
      </c>
      <c r="AL167" s="586">
        <f t="shared" si="107"/>
        <v>0</v>
      </c>
      <c r="AM167" s="586">
        <f t="shared" si="107"/>
        <v>0</v>
      </c>
      <c r="AN167" s="586">
        <f t="shared" si="107"/>
        <v>0</v>
      </c>
      <c r="AO167" s="586">
        <f t="shared" si="107"/>
        <v>0</v>
      </c>
      <c r="AP167" s="586">
        <f t="shared" si="107"/>
        <v>0</v>
      </c>
      <c r="AQ167" s="586">
        <f t="shared" si="107"/>
        <v>0</v>
      </c>
      <c r="AR167" s="586">
        <f t="shared" si="107"/>
        <v>0</v>
      </c>
      <c r="AS167" s="586">
        <f t="shared" si="107"/>
        <v>0</v>
      </c>
      <c r="AT167" s="170"/>
      <c r="AU167" s="170"/>
      <c r="AV167" s="170"/>
      <c r="AW167" s="828"/>
      <c r="AX167" s="726"/>
    </row>
    <row r="168" spans="1:50" ht="15" x14ac:dyDescent="0.25">
      <c r="A168" s="170"/>
      <c r="B168" s="719"/>
      <c r="C168" s="170" t="str">
        <f t="shared" si="104"/>
        <v>83ea</v>
      </c>
      <c r="D168" s="170"/>
      <c r="E168" s="170"/>
      <c r="F168" s="170">
        <f>+Parameters!D86</f>
        <v>83</v>
      </c>
      <c r="G168" s="170" t="str">
        <f>+Parameters!E86</f>
        <v>Comm. Eqt</v>
      </c>
      <c r="H168" s="586">
        <f t="shared" si="105"/>
        <v>0</v>
      </c>
      <c r="I168" s="170" t="str">
        <f>+Parameters!F86</f>
        <v>ea</v>
      </c>
      <c r="J168" s="170"/>
      <c r="K168" s="170"/>
      <c r="L168" s="170"/>
      <c r="M168" s="730"/>
      <c r="N168" s="730"/>
      <c r="O168" s="730"/>
      <c r="P168" s="731"/>
      <c r="Q168" s="731"/>
      <c r="R168" s="730"/>
      <c r="S168" s="730"/>
      <c r="T168" s="723"/>
      <c r="U168" s="724"/>
      <c r="V168" s="725"/>
      <c r="W168" s="725"/>
      <c r="X168" s="723"/>
      <c r="Y168" s="723"/>
      <c r="Z168" s="723"/>
      <c r="AA168" s="726"/>
      <c r="AB168" s="726"/>
      <c r="AC168" s="170"/>
      <c r="AD168" s="586">
        <f t="shared" si="107"/>
        <v>0</v>
      </c>
      <c r="AE168" s="586">
        <f t="shared" si="107"/>
        <v>0</v>
      </c>
      <c r="AF168" s="586">
        <f t="shared" si="107"/>
        <v>0</v>
      </c>
      <c r="AG168" s="586">
        <f t="shared" si="107"/>
        <v>0</v>
      </c>
      <c r="AH168" s="586">
        <f t="shared" si="107"/>
        <v>0</v>
      </c>
      <c r="AI168" s="586">
        <f t="shared" si="107"/>
        <v>0</v>
      </c>
      <c r="AJ168" s="586">
        <f t="shared" si="107"/>
        <v>0</v>
      </c>
      <c r="AK168" s="586">
        <f t="shared" si="107"/>
        <v>0</v>
      </c>
      <c r="AL168" s="586">
        <f t="shared" si="107"/>
        <v>0</v>
      </c>
      <c r="AM168" s="586">
        <f t="shared" si="107"/>
        <v>0</v>
      </c>
      <c r="AN168" s="586">
        <f t="shared" si="107"/>
        <v>0</v>
      </c>
      <c r="AO168" s="586">
        <f t="shared" si="107"/>
        <v>0</v>
      </c>
      <c r="AP168" s="586">
        <f t="shared" si="107"/>
        <v>0</v>
      </c>
      <c r="AQ168" s="586">
        <f t="shared" si="107"/>
        <v>0</v>
      </c>
      <c r="AR168" s="586">
        <f t="shared" si="107"/>
        <v>0</v>
      </c>
      <c r="AS168" s="586">
        <f t="shared" si="107"/>
        <v>0</v>
      </c>
      <c r="AT168" s="170"/>
      <c r="AU168" s="170"/>
      <c r="AV168" s="170"/>
      <c r="AW168" s="828"/>
      <c r="AX168" s="726"/>
    </row>
    <row r="169" spans="1:50" ht="15" x14ac:dyDescent="0.25">
      <c r="A169" s="170"/>
      <c r="B169" s="719"/>
      <c r="C169" s="170" t="str">
        <f t="shared" si="104"/>
        <v>84ea</v>
      </c>
      <c r="D169" s="170"/>
      <c r="E169" s="170"/>
      <c r="F169" s="170">
        <f>+Parameters!D87</f>
        <v>84</v>
      </c>
      <c r="G169" s="170" t="str">
        <f>+Parameters!E87</f>
        <v>SCADA</v>
      </c>
      <c r="H169" s="586">
        <f t="shared" si="105"/>
        <v>0</v>
      </c>
      <c r="I169" s="170" t="str">
        <f>+Parameters!F87</f>
        <v>ea</v>
      </c>
      <c r="J169" s="170"/>
      <c r="K169" s="170"/>
      <c r="L169" s="170"/>
      <c r="M169" s="730"/>
      <c r="N169" s="730"/>
      <c r="O169" s="730"/>
      <c r="P169" s="731"/>
      <c r="Q169" s="731"/>
      <c r="R169" s="730"/>
      <c r="S169" s="730"/>
      <c r="T169" s="723"/>
      <c r="U169" s="724"/>
      <c r="V169" s="725"/>
      <c r="W169" s="725"/>
      <c r="X169" s="723"/>
      <c r="Y169" s="723"/>
      <c r="Z169" s="723"/>
      <c r="AA169" s="726"/>
      <c r="AB169" s="726"/>
      <c r="AC169" s="170"/>
      <c r="AD169" s="586">
        <f t="shared" si="107"/>
        <v>0</v>
      </c>
      <c r="AE169" s="586">
        <f t="shared" si="107"/>
        <v>0</v>
      </c>
      <c r="AF169" s="586">
        <f t="shared" si="107"/>
        <v>0</v>
      </c>
      <c r="AG169" s="586">
        <f t="shared" si="107"/>
        <v>0</v>
      </c>
      <c r="AH169" s="586">
        <f t="shared" si="107"/>
        <v>0</v>
      </c>
      <c r="AI169" s="586">
        <f t="shared" si="107"/>
        <v>0</v>
      </c>
      <c r="AJ169" s="586">
        <f t="shared" si="107"/>
        <v>0</v>
      </c>
      <c r="AK169" s="586">
        <f t="shared" si="107"/>
        <v>0</v>
      </c>
      <c r="AL169" s="586">
        <f t="shared" si="107"/>
        <v>0</v>
      </c>
      <c r="AM169" s="586">
        <f t="shared" si="107"/>
        <v>0</v>
      </c>
      <c r="AN169" s="586">
        <f t="shared" si="107"/>
        <v>0</v>
      </c>
      <c r="AO169" s="586">
        <f t="shared" si="107"/>
        <v>0</v>
      </c>
      <c r="AP169" s="586">
        <f t="shared" si="107"/>
        <v>0</v>
      </c>
      <c r="AQ169" s="586">
        <f t="shared" si="107"/>
        <v>0</v>
      </c>
      <c r="AR169" s="586">
        <f t="shared" si="107"/>
        <v>0</v>
      </c>
      <c r="AS169" s="586">
        <f t="shared" si="107"/>
        <v>0</v>
      </c>
      <c r="AT169" s="170"/>
      <c r="AU169" s="170"/>
      <c r="AV169" s="170"/>
      <c r="AW169" s="828"/>
      <c r="AX169" s="726"/>
    </row>
    <row r="170" spans="1:50" ht="15" x14ac:dyDescent="0.25">
      <c r="A170" s="170"/>
      <c r="B170" s="719"/>
      <c r="C170" s="170" t="str">
        <f t="shared" si="104"/>
        <v>85ea</v>
      </c>
      <c r="D170" s="170"/>
      <c r="E170" s="170"/>
      <c r="F170" s="170">
        <f>+Parameters!D88</f>
        <v>85</v>
      </c>
      <c r="G170" s="170" t="str">
        <f>+Parameters!E88</f>
        <v>Batteries</v>
      </c>
      <c r="H170" s="586">
        <f t="shared" si="105"/>
        <v>0</v>
      </c>
      <c r="I170" s="170" t="str">
        <f>+Parameters!F88</f>
        <v>ea</v>
      </c>
      <c r="J170" s="170"/>
      <c r="K170" s="170"/>
      <c r="L170" s="170"/>
      <c r="M170" s="730"/>
      <c r="N170" s="730"/>
      <c r="O170" s="730"/>
      <c r="P170" s="731"/>
      <c r="Q170" s="731"/>
      <c r="R170" s="730"/>
      <c r="S170" s="730"/>
      <c r="T170" s="723"/>
      <c r="U170" s="724"/>
      <c r="V170" s="725"/>
      <c r="W170" s="725"/>
      <c r="X170" s="723"/>
      <c r="Y170" s="723"/>
      <c r="Z170" s="723"/>
      <c r="AA170" s="726"/>
      <c r="AB170" s="726"/>
      <c r="AC170" s="170"/>
      <c r="AD170" s="586">
        <f t="shared" si="107"/>
        <v>0</v>
      </c>
      <c r="AE170" s="586">
        <f t="shared" si="107"/>
        <v>0</v>
      </c>
      <c r="AF170" s="586">
        <f t="shared" si="107"/>
        <v>0</v>
      </c>
      <c r="AG170" s="586">
        <f t="shared" si="107"/>
        <v>0</v>
      </c>
      <c r="AH170" s="586">
        <f t="shared" si="107"/>
        <v>0</v>
      </c>
      <c r="AI170" s="586">
        <f t="shared" si="107"/>
        <v>0</v>
      </c>
      <c r="AJ170" s="586">
        <f t="shared" si="107"/>
        <v>0</v>
      </c>
      <c r="AK170" s="586">
        <f t="shared" si="107"/>
        <v>0</v>
      </c>
      <c r="AL170" s="586">
        <f t="shared" si="107"/>
        <v>0</v>
      </c>
      <c r="AM170" s="586">
        <f t="shared" si="107"/>
        <v>0</v>
      </c>
      <c r="AN170" s="586">
        <f t="shared" si="107"/>
        <v>0</v>
      </c>
      <c r="AO170" s="586">
        <f t="shared" si="107"/>
        <v>0</v>
      </c>
      <c r="AP170" s="586">
        <f t="shared" si="107"/>
        <v>0</v>
      </c>
      <c r="AQ170" s="586">
        <f t="shared" si="107"/>
        <v>0</v>
      </c>
      <c r="AR170" s="586">
        <f t="shared" si="107"/>
        <v>0</v>
      </c>
      <c r="AS170" s="586">
        <f t="shared" si="107"/>
        <v>0</v>
      </c>
      <c r="AT170" s="170"/>
      <c r="AU170" s="170"/>
      <c r="AV170" s="170"/>
      <c r="AW170" s="828"/>
      <c r="AX170" s="726"/>
    </row>
    <row r="171" spans="1:50" ht="15" x14ac:dyDescent="0.25">
      <c r="A171" s="170"/>
      <c r="B171" s="719"/>
      <c r="C171" s="170" t="str">
        <f t="shared" si="104"/>
        <v>860</v>
      </c>
      <c r="D171" s="170"/>
      <c r="E171" s="170"/>
      <c r="F171" s="170">
        <f>+Parameters!D89</f>
        <v>86</v>
      </c>
      <c r="G171" s="170">
        <f>+Parameters!E89</f>
        <v>0</v>
      </c>
      <c r="H171" s="586">
        <f t="shared" si="105"/>
        <v>0</v>
      </c>
      <c r="I171" s="170">
        <f>+Parameters!F89</f>
        <v>0</v>
      </c>
      <c r="J171" s="170"/>
      <c r="K171" s="170"/>
      <c r="L171" s="170"/>
      <c r="M171" s="730"/>
      <c r="N171" s="730"/>
      <c r="O171" s="730"/>
      <c r="P171" s="731"/>
      <c r="Q171" s="731"/>
      <c r="R171" s="730"/>
      <c r="S171" s="730"/>
      <c r="T171" s="723"/>
      <c r="U171" s="724"/>
      <c r="V171" s="725"/>
      <c r="W171" s="725"/>
      <c r="X171" s="723"/>
      <c r="Y171" s="723"/>
      <c r="Z171" s="723"/>
      <c r="AA171" s="726"/>
      <c r="AB171" s="726"/>
      <c r="AC171" s="170"/>
      <c r="AD171" s="586">
        <f t="shared" si="107"/>
        <v>0</v>
      </c>
      <c r="AE171" s="586">
        <f t="shared" si="107"/>
        <v>0</v>
      </c>
      <c r="AF171" s="586">
        <f t="shared" si="107"/>
        <v>0</v>
      </c>
      <c r="AG171" s="586">
        <f t="shared" si="107"/>
        <v>0</v>
      </c>
      <c r="AH171" s="586">
        <f t="shared" si="107"/>
        <v>0</v>
      </c>
      <c r="AI171" s="586">
        <f t="shared" si="107"/>
        <v>0</v>
      </c>
      <c r="AJ171" s="586">
        <f t="shared" si="107"/>
        <v>0</v>
      </c>
      <c r="AK171" s="586">
        <f t="shared" si="107"/>
        <v>0</v>
      </c>
      <c r="AL171" s="586">
        <f t="shared" si="107"/>
        <v>0</v>
      </c>
      <c r="AM171" s="586">
        <f t="shared" si="107"/>
        <v>0</v>
      </c>
      <c r="AN171" s="586">
        <f t="shared" si="107"/>
        <v>0</v>
      </c>
      <c r="AO171" s="586">
        <f t="shared" si="107"/>
        <v>0</v>
      </c>
      <c r="AP171" s="586">
        <f t="shared" si="107"/>
        <v>0</v>
      </c>
      <c r="AQ171" s="586">
        <f t="shared" si="107"/>
        <v>0</v>
      </c>
      <c r="AR171" s="586">
        <f t="shared" si="107"/>
        <v>0</v>
      </c>
      <c r="AS171" s="586">
        <f t="shared" si="107"/>
        <v>0</v>
      </c>
      <c r="AT171" s="170"/>
      <c r="AU171" s="170"/>
      <c r="AV171" s="170"/>
      <c r="AW171" s="828"/>
      <c r="AX171" s="726"/>
    </row>
    <row r="172" spans="1:50" ht="15" x14ac:dyDescent="0.25">
      <c r="A172" s="170"/>
      <c r="B172" s="719"/>
      <c r="C172" s="170" t="str">
        <f t="shared" si="104"/>
        <v>870</v>
      </c>
      <c r="D172" s="170"/>
      <c r="E172" s="170"/>
      <c r="F172" s="170">
        <f>+Parameters!D90</f>
        <v>87</v>
      </c>
      <c r="G172" s="170">
        <f>+Parameters!E90</f>
        <v>0</v>
      </c>
      <c r="H172" s="586">
        <f t="shared" si="105"/>
        <v>0</v>
      </c>
      <c r="I172" s="170">
        <f>+Parameters!F90</f>
        <v>0</v>
      </c>
      <c r="J172" s="170"/>
      <c r="K172" s="170"/>
      <c r="L172" s="170"/>
      <c r="M172" s="730"/>
      <c r="N172" s="730"/>
      <c r="O172" s="730"/>
      <c r="P172" s="731"/>
      <c r="Q172" s="731"/>
      <c r="R172" s="730"/>
      <c r="S172" s="730"/>
      <c r="T172" s="723"/>
      <c r="U172" s="724"/>
      <c r="V172" s="725"/>
      <c r="W172" s="725"/>
      <c r="X172" s="723"/>
      <c r="Y172" s="723"/>
      <c r="Z172" s="723"/>
      <c r="AA172" s="726"/>
      <c r="AB172" s="726"/>
      <c r="AC172" s="170"/>
      <c r="AD172" s="586">
        <f t="shared" si="107"/>
        <v>0</v>
      </c>
      <c r="AE172" s="586">
        <f t="shared" si="107"/>
        <v>0</v>
      </c>
      <c r="AF172" s="586">
        <f t="shared" si="107"/>
        <v>0</v>
      </c>
      <c r="AG172" s="586">
        <f t="shared" si="107"/>
        <v>0</v>
      </c>
      <c r="AH172" s="586">
        <f t="shared" si="107"/>
        <v>0</v>
      </c>
      <c r="AI172" s="586">
        <f t="shared" si="107"/>
        <v>0</v>
      </c>
      <c r="AJ172" s="586">
        <f t="shared" si="107"/>
        <v>0</v>
      </c>
      <c r="AK172" s="586">
        <f t="shared" si="107"/>
        <v>0</v>
      </c>
      <c r="AL172" s="586">
        <f t="shared" si="107"/>
        <v>0</v>
      </c>
      <c r="AM172" s="586">
        <f t="shared" si="107"/>
        <v>0</v>
      </c>
      <c r="AN172" s="586">
        <f t="shared" si="107"/>
        <v>0</v>
      </c>
      <c r="AO172" s="586">
        <f t="shared" si="107"/>
        <v>0</v>
      </c>
      <c r="AP172" s="586">
        <f t="shared" si="107"/>
        <v>0</v>
      </c>
      <c r="AQ172" s="586">
        <f t="shared" si="107"/>
        <v>0</v>
      </c>
      <c r="AR172" s="586">
        <f t="shared" si="107"/>
        <v>0</v>
      </c>
      <c r="AS172" s="586">
        <f t="shared" si="107"/>
        <v>0</v>
      </c>
      <c r="AT172" s="170"/>
      <c r="AU172" s="170"/>
      <c r="AV172" s="170"/>
      <c r="AW172" s="828"/>
      <c r="AX172" s="726"/>
    </row>
    <row r="173" spans="1:50" ht="15" x14ac:dyDescent="0.25">
      <c r="A173" s="170"/>
      <c r="B173" s="719"/>
      <c r="C173" s="170" t="str">
        <f t="shared" si="104"/>
        <v>880</v>
      </c>
      <c r="D173" s="170"/>
      <c r="E173" s="170"/>
      <c r="F173" s="170">
        <f>+Parameters!D91</f>
        <v>88</v>
      </c>
      <c r="G173" s="170">
        <f>+Parameters!E91</f>
        <v>0</v>
      </c>
      <c r="H173" s="586">
        <f t="shared" si="105"/>
        <v>0</v>
      </c>
      <c r="I173" s="170">
        <f>+Parameters!F91</f>
        <v>0</v>
      </c>
      <c r="J173" s="170"/>
      <c r="K173" s="170"/>
      <c r="L173" s="170"/>
      <c r="M173" s="730"/>
      <c r="N173" s="730"/>
      <c r="O173" s="730"/>
      <c r="P173" s="731"/>
      <c r="Q173" s="731"/>
      <c r="R173" s="730"/>
      <c r="S173" s="730"/>
      <c r="T173" s="723"/>
      <c r="U173" s="724"/>
      <c r="V173" s="725"/>
      <c r="W173" s="725"/>
      <c r="X173" s="723"/>
      <c r="Y173" s="723"/>
      <c r="Z173" s="723"/>
      <c r="AA173" s="726"/>
      <c r="AB173" s="726"/>
      <c r="AC173" s="170"/>
      <c r="AD173" s="586">
        <f t="shared" si="107"/>
        <v>0</v>
      </c>
      <c r="AE173" s="586">
        <f t="shared" si="107"/>
        <v>0</v>
      </c>
      <c r="AF173" s="586">
        <f t="shared" si="107"/>
        <v>0</v>
      </c>
      <c r="AG173" s="586">
        <f t="shared" si="107"/>
        <v>0</v>
      </c>
      <c r="AH173" s="586">
        <f t="shared" si="107"/>
        <v>0</v>
      </c>
      <c r="AI173" s="586">
        <f t="shared" si="107"/>
        <v>0</v>
      </c>
      <c r="AJ173" s="586">
        <f t="shared" si="107"/>
        <v>0</v>
      </c>
      <c r="AK173" s="586">
        <f t="shared" si="107"/>
        <v>0</v>
      </c>
      <c r="AL173" s="586">
        <f t="shared" si="107"/>
        <v>0</v>
      </c>
      <c r="AM173" s="586">
        <f t="shared" si="107"/>
        <v>0</v>
      </c>
      <c r="AN173" s="586">
        <f t="shared" si="107"/>
        <v>0</v>
      </c>
      <c r="AO173" s="586">
        <f t="shared" si="107"/>
        <v>0</v>
      </c>
      <c r="AP173" s="586">
        <f t="shared" si="107"/>
        <v>0</v>
      </c>
      <c r="AQ173" s="586">
        <f t="shared" si="107"/>
        <v>0</v>
      </c>
      <c r="AR173" s="586">
        <f t="shared" si="107"/>
        <v>0</v>
      </c>
      <c r="AS173" s="586">
        <f t="shared" si="107"/>
        <v>0</v>
      </c>
      <c r="AT173" s="170"/>
      <c r="AU173" s="170"/>
      <c r="AV173" s="170"/>
      <c r="AW173" s="828"/>
      <c r="AX173" s="726"/>
    </row>
    <row r="174" spans="1:50" ht="15" x14ac:dyDescent="0.25">
      <c r="A174" s="170"/>
      <c r="B174" s="719"/>
      <c r="C174" s="170" t="str">
        <f t="shared" si="104"/>
        <v>89ea</v>
      </c>
      <c r="D174" s="170"/>
      <c r="E174" s="170"/>
      <c r="F174" s="170">
        <f>+Parameters!D92</f>
        <v>89</v>
      </c>
      <c r="G174" s="170" t="str">
        <f>+Parameters!E92</f>
        <v>Misc. Protection and controls Eqt.</v>
      </c>
      <c r="H174" s="586">
        <f t="shared" si="105"/>
        <v>0</v>
      </c>
      <c r="I174" s="170" t="str">
        <f>+Parameters!F92</f>
        <v>ea</v>
      </c>
      <c r="J174" s="170"/>
      <c r="K174" s="170"/>
      <c r="L174" s="170"/>
      <c r="M174" s="730"/>
      <c r="N174" s="730"/>
      <c r="O174" s="730"/>
      <c r="P174" s="731"/>
      <c r="Q174" s="731"/>
      <c r="R174" s="730"/>
      <c r="S174" s="730"/>
      <c r="T174" s="723"/>
      <c r="U174" s="724"/>
      <c r="V174" s="725"/>
      <c r="W174" s="725"/>
      <c r="X174" s="723"/>
      <c r="Y174" s="723"/>
      <c r="Z174" s="723"/>
      <c r="AA174" s="726"/>
      <c r="AB174" s="726"/>
      <c r="AC174" s="170"/>
      <c r="AD174" s="586">
        <f t="shared" si="107"/>
        <v>0</v>
      </c>
      <c r="AE174" s="586">
        <f t="shared" si="107"/>
        <v>0</v>
      </c>
      <c r="AF174" s="586">
        <f t="shared" si="107"/>
        <v>0</v>
      </c>
      <c r="AG174" s="586">
        <f t="shared" si="107"/>
        <v>0</v>
      </c>
      <c r="AH174" s="586">
        <f t="shared" si="107"/>
        <v>0</v>
      </c>
      <c r="AI174" s="586">
        <f t="shared" si="107"/>
        <v>0</v>
      </c>
      <c r="AJ174" s="586">
        <f t="shared" si="107"/>
        <v>0</v>
      </c>
      <c r="AK174" s="586">
        <f t="shared" si="107"/>
        <v>0</v>
      </c>
      <c r="AL174" s="586">
        <f t="shared" si="107"/>
        <v>0</v>
      </c>
      <c r="AM174" s="586">
        <f t="shared" si="107"/>
        <v>0</v>
      </c>
      <c r="AN174" s="586">
        <f t="shared" si="107"/>
        <v>0</v>
      </c>
      <c r="AO174" s="586">
        <f t="shared" si="107"/>
        <v>0</v>
      </c>
      <c r="AP174" s="586">
        <f t="shared" si="107"/>
        <v>0</v>
      </c>
      <c r="AQ174" s="586">
        <f t="shared" si="107"/>
        <v>0</v>
      </c>
      <c r="AR174" s="586">
        <f t="shared" si="107"/>
        <v>0</v>
      </c>
      <c r="AS174" s="586">
        <f t="shared" si="107"/>
        <v>0</v>
      </c>
      <c r="AT174" s="170"/>
      <c r="AU174" s="170"/>
      <c r="AV174" s="170"/>
      <c r="AW174" s="828"/>
      <c r="AX174" s="726"/>
    </row>
    <row r="175" spans="1:50" ht="15" x14ac:dyDescent="0.25">
      <c r="A175" s="170"/>
      <c r="B175" s="719"/>
      <c r="C175" s="170" t="str">
        <f t="shared" si="104"/>
        <v>900</v>
      </c>
      <c r="D175" s="170"/>
      <c r="E175" s="170"/>
      <c r="F175" s="170">
        <f>+Parameters!D93</f>
        <v>90</v>
      </c>
      <c r="G175" s="170" t="str">
        <f>+Parameters!E93</f>
        <v>Environmental</v>
      </c>
      <c r="H175" s="586">
        <f t="shared" si="105"/>
        <v>0</v>
      </c>
      <c r="I175" s="170">
        <f>+Parameters!F93</f>
        <v>0</v>
      </c>
      <c r="J175" s="170"/>
      <c r="K175" s="170"/>
      <c r="L175" s="170"/>
      <c r="M175" s="730"/>
      <c r="N175" s="730"/>
      <c r="O175" s="730"/>
      <c r="P175" s="731"/>
      <c r="Q175" s="731"/>
      <c r="R175" s="730"/>
      <c r="S175" s="730"/>
      <c r="T175" s="723"/>
      <c r="U175" s="724"/>
      <c r="V175" s="725"/>
      <c r="W175" s="725"/>
      <c r="X175" s="723"/>
      <c r="Y175" s="723"/>
      <c r="Z175" s="723"/>
      <c r="AA175" s="726"/>
      <c r="AB175" s="726"/>
      <c r="AC175" s="170"/>
      <c r="AD175" s="586">
        <f t="shared" si="107"/>
        <v>0</v>
      </c>
      <c r="AE175" s="586">
        <f t="shared" si="107"/>
        <v>0</v>
      </c>
      <c r="AF175" s="586">
        <f t="shared" si="107"/>
        <v>0</v>
      </c>
      <c r="AG175" s="586">
        <f t="shared" si="107"/>
        <v>0</v>
      </c>
      <c r="AH175" s="586">
        <f t="shared" si="107"/>
        <v>0</v>
      </c>
      <c r="AI175" s="586">
        <f t="shared" si="107"/>
        <v>0</v>
      </c>
      <c r="AJ175" s="586">
        <f t="shared" si="107"/>
        <v>0</v>
      </c>
      <c r="AK175" s="586">
        <f t="shared" si="107"/>
        <v>0</v>
      </c>
      <c r="AL175" s="586">
        <f t="shared" si="107"/>
        <v>0</v>
      </c>
      <c r="AM175" s="586">
        <f t="shared" si="107"/>
        <v>0</v>
      </c>
      <c r="AN175" s="586">
        <f t="shared" si="107"/>
        <v>0</v>
      </c>
      <c r="AO175" s="586">
        <f t="shared" si="107"/>
        <v>0</v>
      </c>
      <c r="AP175" s="586">
        <f t="shared" si="107"/>
        <v>0</v>
      </c>
      <c r="AQ175" s="586">
        <f t="shared" si="107"/>
        <v>0</v>
      </c>
      <c r="AR175" s="586">
        <f t="shared" si="107"/>
        <v>0</v>
      </c>
      <c r="AS175" s="586">
        <f t="shared" si="107"/>
        <v>0</v>
      </c>
      <c r="AT175" s="170"/>
      <c r="AU175" s="170"/>
      <c r="AV175" s="170"/>
      <c r="AW175" s="828"/>
      <c r="AX175" s="726"/>
    </row>
    <row r="176" spans="1:50" ht="15" x14ac:dyDescent="0.25">
      <c r="A176" s="170"/>
      <c r="B176" s="719"/>
      <c r="C176" s="170" t="str">
        <f t="shared" si="104"/>
        <v>910</v>
      </c>
      <c r="D176" s="170"/>
      <c r="E176" s="170"/>
      <c r="F176" s="170">
        <f>+Parameters!D94</f>
        <v>91</v>
      </c>
      <c r="G176" s="170">
        <f>+Parameters!E94</f>
        <v>0</v>
      </c>
      <c r="H176" s="586">
        <f t="shared" si="105"/>
        <v>0</v>
      </c>
      <c r="I176" s="170">
        <f>+Parameters!F94</f>
        <v>0</v>
      </c>
      <c r="J176" s="170"/>
      <c r="K176" s="170"/>
      <c r="L176" s="170"/>
      <c r="M176" s="730"/>
      <c r="N176" s="730"/>
      <c r="O176" s="730"/>
      <c r="P176" s="731"/>
      <c r="Q176" s="731"/>
      <c r="R176" s="730"/>
      <c r="S176" s="730"/>
      <c r="T176" s="723"/>
      <c r="U176" s="724"/>
      <c r="V176" s="725"/>
      <c r="W176" s="725"/>
      <c r="X176" s="723"/>
      <c r="Y176" s="723"/>
      <c r="Z176" s="723"/>
      <c r="AA176" s="726"/>
      <c r="AB176" s="726"/>
      <c r="AC176" s="170"/>
      <c r="AD176" s="586">
        <f t="shared" ref="AD176:AS186" si="108">SUMIF($F$9:$F$82,$F176,AD$9:AD$82)</f>
        <v>0</v>
      </c>
      <c r="AE176" s="586">
        <f t="shared" si="108"/>
        <v>0</v>
      </c>
      <c r="AF176" s="586">
        <f t="shared" si="108"/>
        <v>0</v>
      </c>
      <c r="AG176" s="586">
        <f t="shared" si="108"/>
        <v>0</v>
      </c>
      <c r="AH176" s="586">
        <f t="shared" si="108"/>
        <v>0</v>
      </c>
      <c r="AI176" s="586">
        <f t="shared" si="108"/>
        <v>0</v>
      </c>
      <c r="AJ176" s="586">
        <f t="shared" si="108"/>
        <v>0</v>
      </c>
      <c r="AK176" s="586">
        <f t="shared" si="108"/>
        <v>0</v>
      </c>
      <c r="AL176" s="586">
        <f t="shared" si="108"/>
        <v>0</v>
      </c>
      <c r="AM176" s="586">
        <f t="shared" si="108"/>
        <v>0</v>
      </c>
      <c r="AN176" s="586">
        <f t="shared" si="108"/>
        <v>0</v>
      </c>
      <c r="AO176" s="586">
        <f t="shared" si="108"/>
        <v>0</v>
      </c>
      <c r="AP176" s="586">
        <f t="shared" si="108"/>
        <v>0</v>
      </c>
      <c r="AQ176" s="586">
        <f t="shared" si="108"/>
        <v>0</v>
      </c>
      <c r="AR176" s="586">
        <f t="shared" si="108"/>
        <v>0</v>
      </c>
      <c r="AS176" s="586">
        <f t="shared" si="108"/>
        <v>0</v>
      </c>
      <c r="AT176" s="170"/>
      <c r="AU176" s="170"/>
      <c r="AV176" s="170"/>
      <c r="AW176" s="828"/>
      <c r="AX176" s="726"/>
    </row>
    <row r="177" spans="1:50" ht="15" x14ac:dyDescent="0.25">
      <c r="A177" s="170"/>
      <c r="B177" s="719"/>
      <c r="C177" s="170" t="str">
        <f t="shared" si="104"/>
        <v>920</v>
      </c>
      <c r="D177" s="170"/>
      <c r="E177" s="170"/>
      <c r="F177" s="170">
        <f>+Parameters!D95</f>
        <v>92</v>
      </c>
      <c r="G177" s="170">
        <f>+Parameters!E95</f>
        <v>0</v>
      </c>
      <c r="H177" s="586">
        <f t="shared" si="105"/>
        <v>0</v>
      </c>
      <c r="I177" s="170">
        <f>+Parameters!F95</f>
        <v>0</v>
      </c>
      <c r="J177" s="170"/>
      <c r="K177" s="170"/>
      <c r="L177" s="170"/>
      <c r="M177" s="730"/>
      <c r="N177" s="730"/>
      <c r="O177" s="730"/>
      <c r="P177" s="731"/>
      <c r="Q177" s="731"/>
      <c r="R177" s="730"/>
      <c r="S177" s="730"/>
      <c r="T177" s="723"/>
      <c r="U177" s="724"/>
      <c r="V177" s="725"/>
      <c r="W177" s="725"/>
      <c r="X177" s="723"/>
      <c r="Y177" s="723"/>
      <c r="Z177" s="723"/>
      <c r="AA177" s="726"/>
      <c r="AB177" s="726"/>
      <c r="AC177" s="170"/>
      <c r="AD177" s="586">
        <f t="shared" si="108"/>
        <v>0</v>
      </c>
      <c r="AE177" s="586">
        <f t="shared" si="108"/>
        <v>0</v>
      </c>
      <c r="AF177" s="586">
        <f t="shared" si="108"/>
        <v>0</v>
      </c>
      <c r="AG177" s="586">
        <f t="shared" si="108"/>
        <v>0</v>
      </c>
      <c r="AH177" s="586">
        <f t="shared" si="108"/>
        <v>0</v>
      </c>
      <c r="AI177" s="586">
        <f t="shared" si="108"/>
        <v>0</v>
      </c>
      <c r="AJ177" s="586">
        <f t="shared" si="108"/>
        <v>0</v>
      </c>
      <c r="AK177" s="586">
        <f t="shared" si="108"/>
        <v>0</v>
      </c>
      <c r="AL177" s="586">
        <f t="shared" si="108"/>
        <v>0</v>
      </c>
      <c r="AM177" s="586">
        <f t="shared" si="108"/>
        <v>0</v>
      </c>
      <c r="AN177" s="586">
        <f t="shared" si="108"/>
        <v>0</v>
      </c>
      <c r="AO177" s="586">
        <f t="shared" si="108"/>
        <v>0</v>
      </c>
      <c r="AP177" s="586">
        <f t="shared" si="108"/>
        <v>0</v>
      </c>
      <c r="AQ177" s="586">
        <f t="shared" si="108"/>
        <v>0</v>
      </c>
      <c r="AR177" s="586">
        <f t="shared" si="108"/>
        <v>0</v>
      </c>
      <c r="AS177" s="586">
        <f t="shared" si="108"/>
        <v>0</v>
      </c>
      <c r="AT177" s="170"/>
      <c r="AU177" s="170"/>
      <c r="AV177" s="170"/>
      <c r="AW177" s="828"/>
      <c r="AX177" s="726"/>
    </row>
    <row r="178" spans="1:50" ht="15" x14ac:dyDescent="0.25">
      <c r="A178" s="170"/>
      <c r="B178" s="719"/>
      <c r="C178" s="170" t="str">
        <f t="shared" si="104"/>
        <v>930</v>
      </c>
      <c r="D178" s="170"/>
      <c r="E178" s="170"/>
      <c r="F178" s="170">
        <f>+Parameters!D96</f>
        <v>93</v>
      </c>
      <c r="G178" s="170">
        <f>+Parameters!E96</f>
        <v>0</v>
      </c>
      <c r="H178" s="586">
        <f t="shared" si="105"/>
        <v>0</v>
      </c>
      <c r="I178" s="170">
        <f>+Parameters!F96</f>
        <v>0</v>
      </c>
      <c r="J178" s="170"/>
      <c r="K178" s="170"/>
      <c r="L178" s="170"/>
      <c r="M178" s="730"/>
      <c r="N178" s="730"/>
      <c r="O178" s="730"/>
      <c r="P178" s="731"/>
      <c r="Q178" s="731"/>
      <c r="R178" s="730"/>
      <c r="S178" s="730"/>
      <c r="T178" s="723"/>
      <c r="U178" s="724"/>
      <c r="V178" s="725"/>
      <c r="W178" s="725"/>
      <c r="X178" s="723"/>
      <c r="Y178" s="723"/>
      <c r="Z178" s="723"/>
      <c r="AA178" s="726"/>
      <c r="AB178" s="726"/>
      <c r="AC178" s="170"/>
      <c r="AD178" s="586">
        <f t="shared" si="108"/>
        <v>0</v>
      </c>
      <c r="AE178" s="586">
        <f t="shared" si="108"/>
        <v>0</v>
      </c>
      <c r="AF178" s="586">
        <f t="shared" si="108"/>
        <v>0</v>
      </c>
      <c r="AG178" s="586">
        <f t="shared" si="108"/>
        <v>0</v>
      </c>
      <c r="AH178" s="586">
        <f t="shared" si="108"/>
        <v>0</v>
      </c>
      <c r="AI178" s="586">
        <f t="shared" si="108"/>
        <v>0</v>
      </c>
      <c r="AJ178" s="586">
        <f t="shared" si="108"/>
        <v>0</v>
      </c>
      <c r="AK178" s="586">
        <f t="shared" si="108"/>
        <v>0</v>
      </c>
      <c r="AL178" s="586">
        <f t="shared" si="108"/>
        <v>0</v>
      </c>
      <c r="AM178" s="586">
        <f t="shared" si="108"/>
        <v>0</v>
      </c>
      <c r="AN178" s="586">
        <f t="shared" si="108"/>
        <v>0</v>
      </c>
      <c r="AO178" s="586">
        <f t="shared" si="108"/>
        <v>0</v>
      </c>
      <c r="AP178" s="586">
        <f t="shared" si="108"/>
        <v>0</v>
      </c>
      <c r="AQ178" s="586">
        <f t="shared" si="108"/>
        <v>0</v>
      </c>
      <c r="AR178" s="586">
        <f t="shared" si="108"/>
        <v>0</v>
      </c>
      <c r="AS178" s="586">
        <f t="shared" si="108"/>
        <v>0</v>
      </c>
      <c r="AT178" s="170"/>
      <c r="AU178" s="170"/>
      <c r="AV178" s="170"/>
      <c r="AW178" s="828"/>
      <c r="AX178" s="726"/>
    </row>
    <row r="179" spans="1:50" ht="15" x14ac:dyDescent="0.25">
      <c r="A179" s="170"/>
      <c r="B179" s="719"/>
      <c r="C179" s="170" t="str">
        <f t="shared" si="104"/>
        <v>940</v>
      </c>
      <c r="D179" s="170"/>
      <c r="E179" s="170"/>
      <c r="F179" s="170">
        <f>+Parameters!D97</f>
        <v>94</v>
      </c>
      <c r="G179" s="170">
        <f>+Parameters!E97</f>
        <v>0</v>
      </c>
      <c r="H179" s="586">
        <f t="shared" si="105"/>
        <v>0</v>
      </c>
      <c r="I179" s="170">
        <f>+Parameters!F97</f>
        <v>0</v>
      </c>
      <c r="J179" s="170"/>
      <c r="K179" s="170"/>
      <c r="L179" s="170"/>
      <c r="M179" s="730"/>
      <c r="N179" s="730"/>
      <c r="O179" s="730"/>
      <c r="P179" s="731"/>
      <c r="Q179" s="731"/>
      <c r="R179" s="730"/>
      <c r="S179" s="730"/>
      <c r="T179" s="723"/>
      <c r="U179" s="724"/>
      <c r="V179" s="725"/>
      <c r="W179" s="725"/>
      <c r="X179" s="723"/>
      <c r="Y179" s="723"/>
      <c r="Z179" s="723"/>
      <c r="AA179" s="726"/>
      <c r="AB179" s="726"/>
      <c r="AC179" s="170"/>
      <c r="AD179" s="586">
        <f t="shared" si="108"/>
        <v>0</v>
      </c>
      <c r="AE179" s="586">
        <f t="shared" si="108"/>
        <v>0</v>
      </c>
      <c r="AF179" s="586">
        <f t="shared" si="108"/>
        <v>0</v>
      </c>
      <c r="AG179" s="586">
        <f t="shared" si="108"/>
        <v>0</v>
      </c>
      <c r="AH179" s="586">
        <f t="shared" si="108"/>
        <v>0</v>
      </c>
      <c r="AI179" s="586">
        <f t="shared" si="108"/>
        <v>0</v>
      </c>
      <c r="AJ179" s="586">
        <f t="shared" si="108"/>
        <v>0</v>
      </c>
      <c r="AK179" s="586">
        <f t="shared" si="108"/>
        <v>0</v>
      </c>
      <c r="AL179" s="586">
        <f t="shared" si="108"/>
        <v>0</v>
      </c>
      <c r="AM179" s="586">
        <f t="shared" si="108"/>
        <v>0</v>
      </c>
      <c r="AN179" s="586">
        <f t="shared" si="108"/>
        <v>0</v>
      </c>
      <c r="AO179" s="586">
        <f t="shared" si="108"/>
        <v>0</v>
      </c>
      <c r="AP179" s="586">
        <f t="shared" si="108"/>
        <v>0</v>
      </c>
      <c r="AQ179" s="586">
        <f t="shared" si="108"/>
        <v>0</v>
      </c>
      <c r="AR179" s="586">
        <f t="shared" si="108"/>
        <v>0</v>
      </c>
      <c r="AS179" s="586">
        <f t="shared" si="108"/>
        <v>0</v>
      </c>
      <c r="AT179" s="170"/>
      <c r="AU179" s="170"/>
      <c r="AV179" s="170"/>
      <c r="AW179" s="828"/>
      <c r="AX179" s="726"/>
    </row>
    <row r="180" spans="1:50" ht="15" x14ac:dyDescent="0.25">
      <c r="A180" s="170"/>
      <c r="B180" s="719"/>
      <c r="C180" s="170" t="str">
        <f t="shared" si="104"/>
        <v>950</v>
      </c>
      <c r="D180" s="170"/>
      <c r="E180" s="170"/>
      <c r="F180" s="170">
        <f>+Parameters!D98</f>
        <v>95</v>
      </c>
      <c r="G180" s="170">
        <f>+Parameters!E98</f>
        <v>0</v>
      </c>
      <c r="H180" s="586">
        <f t="shared" si="105"/>
        <v>0</v>
      </c>
      <c r="I180" s="170">
        <f>+Parameters!F98</f>
        <v>0</v>
      </c>
      <c r="J180" s="170"/>
      <c r="K180" s="170"/>
      <c r="L180" s="170"/>
      <c r="M180" s="730"/>
      <c r="N180" s="730"/>
      <c r="O180" s="730"/>
      <c r="P180" s="731"/>
      <c r="Q180" s="731"/>
      <c r="R180" s="730"/>
      <c r="S180" s="730"/>
      <c r="T180" s="723"/>
      <c r="U180" s="724"/>
      <c r="V180" s="725"/>
      <c r="W180" s="725"/>
      <c r="X180" s="723"/>
      <c r="Y180" s="723"/>
      <c r="Z180" s="723"/>
      <c r="AA180" s="726"/>
      <c r="AB180" s="726"/>
      <c r="AC180" s="170"/>
      <c r="AD180" s="586">
        <f t="shared" si="108"/>
        <v>0</v>
      </c>
      <c r="AE180" s="586">
        <f t="shared" si="108"/>
        <v>0</v>
      </c>
      <c r="AF180" s="586">
        <f t="shared" si="108"/>
        <v>0</v>
      </c>
      <c r="AG180" s="586">
        <f t="shared" si="108"/>
        <v>0</v>
      </c>
      <c r="AH180" s="586">
        <f t="shared" si="108"/>
        <v>0</v>
      </c>
      <c r="AI180" s="586">
        <f t="shared" si="108"/>
        <v>0</v>
      </c>
      <c r="AJ180" s="586">
        <f t="shared" si="108"/>
        <v>0</v>
      </c>
      <c r="AK180" s="586">
        <f t="shared" si="108"/>
        <v>0</v>
      </c>
      <c r="AL180" s="586">
        <f t="shared" si="108"/>
        <v>0</v>
      </c>
      <c r="AM180" s="586">
        <f t="shared" si="108"/>
        <v>0</v>
      </c>
      <c r="AN180" s="586">
        <f t="shared" si="108"/>
        <v>0</v>
      </c>
      <c r="AO180" s="586">
        <f t="shared" si="108"/>
        <v>0</v>
      </c>
      <c r="AP180" s="586">
        <f t="shared" si="108"/>
        <v>0</v>
      </c>
      <c r="AQ180" s="586">
        <f t="shared" si="108"/>
        <v>0</v>
      </c>
      <c r="AR180" s="586">
        <f t="shared" si="108"/>
        <v>0</v>
      </c>
      <c r="AS180" s="586">
        <f t="shared" si="108"/>
        <v>0</v>
      </c>
      <c r="AT180" s="170"/>
      <c r="AU180" s="170"/>
      <c r="AV180" s="170"/>
      <c r="AW180" s="828"/>
      <c r="AX180" s="726"/>
    </row>
    <row r="181" spans="1:50" ht="15" x14ac:dyDescent="0.25">
      <c r="A181" s="170"/>
      <c r="B181" s="719"/>
      <c r="C181" s="170" t="str">
        <f t="shared" si="104"/>
        <v>960</v>
      </c>
      <c r="D181" s="170"/>
      <c r="E181" s="170"/>
      <c r="F181" s="170">
        <f>+Parameters!D99</f>
        <v>96</v>
      </c>
      <c r="G181" s="170">
        <f>+Parameters!E99</f>
        <v>0</v>
      </c>
      <c r="H181" s="586">
        <f t="shared" si="105"/>
        <v>0</v>
      </c>
      <c r="I181" s="170">
        <f>+Parameters!F99</f>
        <v>0</v>
      </c>
      <c r="J181" s="170"/>
      <c r="K181" s="170"/>
      <c r="L181" s="170"/>
      <c r="M181" s="730"/>
      <c r="N181" s="730"/>
      <c r="O181" s="730"/>
      <c r="P181" s="731"/>
      <c r="Q181" s="731"/>
      <c r="R181" s="730"/>
      <c r="S181" s="730"/>
      <c r="T181" s="723"/>
      <c r="U181" s="724"/>
      <c r="V181" s="725"/>
      <c r="W181" s="725"/>
      <c r="X181" s="723"/>
      <c r="Y181" s="723"/>
      <c r="Z181" s="723"/>
      <c r="AA181" s="726"/>
      <c r="AB181" s="726"/>
      <c r="AC181" s="170"/>
      <c r="AD181" s="586">
        <f t="shared" si="108"/>
        <v>0</v>
      </c>
      <c r="AE181" s="586">
        <f t="shared" si="108"/>
        <v>0</v>
      </c>
      <c r="AF181" s="586">
        <f t="shared" si="108"/>
        <v>0</v>
      </c>
      <c r="AG181" s="586">
        <f t="shared" si="108"/>
        <v>0</v>
      </c>
      <c r="AH181" s="586">
        <f t="shared" si="108"/>
        <v>0</v>
      </c>
      <c r="AI181" s="586">
        <f t="shared" si="108"/>
        <v>0</v>
      </c>
      <c r="AJ181" s="586">
        <f t="shared" si="108"/>
        <v>0</v>
      </c>
      <c r="AK181" s="586">
        <f t="shared" si="108"/>
        <v>0</v>
      </c>
      <c r="AL181" s="586">
        <f t="shared" si="108"/>
        <v>0</v>
      </c>
      <c r="AM181" s="586">
        <f t="shared" si="108"/>
        <v>0</v>
      </c>
      <c r="AN181" s="586">
        <f t="shared" si="108"/>
        <v>0</v>
      </c>
      <c r="AO181" s="586">
        <f t="shared" si="108"/>
        <v>0</v>
      </c>
      <c r="AP181" s="586">
        <f t="shared" si="108"/>
        <v>0</v>
      </c>
      <c r="AQ181" s="586">
        <f t="shared" si="108"/>
        <v>0</v>
      </c>
      <c r="AR181" s="586">
        <f t="shared" si="108"/>
        <v>0</v>
      </c>
      <c r="AS181" s="586">
        <f t="shared" si="108"/>
        <v>0</v>
      </c>
      <c r="AT181" s="170"/>
      <c r="AU181" s="170"/>
      <c r="AV181" s="170"/>
      <c r="AW181" s="828"/>
      <c r="AX181" s="726"/>
    </row>
    <row r="182" spans="1:50" ht="15" x14ac:dyDescent="0.25">
      <c r="A182" s="170"/>
      <c r="B182" s="719"/>
      <c r="C182" s="170" t="str">
        <f t="shared" si="104"/>
        <v>970</v>
      </c>
      <c r="D182" s="170"/>
      <c r="E182" s="170"/>
      <c r="F182" s="170">
        <f>+Parameters!D100</f>
        <v>97</v>
      </c>
      <c r="G182" s="170">
        <f>+Parameters!E100</f>
        <v>0</v>
      </c>
      <c r="H182" s="586">
        <f t="shared" si="105"/>
        <v>0</v>
      </c>
      <c r="I182" s="170">
        <f>+Parameters!F100</f>
        <v>0</v>
      </c>
      <c r="J182" s="170"/>
      <c r="K182" s="170"/>
      <c r="L182" s="170"/>
      <c r="M182" s="730"/>
      <c r="N182" s="730"/>
      <c r="O182" s="730"/>
      <c r="P182" s="731"/>
      <c r="Q182" s="731"/>
      <c r="R182" s="730"/>
      <c r="S182" s="730"/>
      <c r="T182" s="723"/>
      <c r="U182" s="724"/>
      <c r="V182" s="725"/>
      <c r="W182" s="725"/>
      <c r="X182" s="723"/>
      <c r="Y182" s="723"/>
      <c r="Z182" s="723"/>
      <c r="AA182" s="726"/>
      <c r="AB182" s="726"/>
      <c r="AC182" s="170"/>
      <c r="AD182" s="586">
        <f t="shared" si="108"/>
        <v>0</v>
      </c>
      <c r="AE182" s="586">
        <f t="shared" si="108"/>
        <v>0</v>
      </c>
      <c r="AF182" s="586">
        <f t="shared" si="108"/>
        <v>0</v>
      </c>
      <c r="AG182" s="586">
        <f t="shared" si="108"/>
        <v>0</v>
      </c>
      <c r="AH182" s="586">
        <f t="shared" si="108"/>
        <v>0</v>
      </c>
      <c r="AI182" s="586">
        <f t="shared" si="108"/>
        <v>0</v>
      </c>
      <c r="AJ182" s="586">
        <f t="shared" si="108"/>
        <v>0</v>
      </c>
      <c r="AK182" s="586">
        <f t="shared" si="108"/>
        <v>0</v>
      </c>
      <c r="AL182" s="586">
        <f t="shared" si="108"/>
        <v>0</v>
      </c>
      <c r="AM182" s="586">
        <f t="shared" si="108"/>
        <v>0</v>
      </c>
      <c r="AN182" s="586">
        <f t="shared" si="108"/>
        <v>0</v>
      </c>
      <c r="AO182" s="586">
        <f t="shared" si="108"/>
        <v>0</v>
      </c>
      <c r="AP182" s="586">
        <f t="shared" si="108"/>
        <v>0</v>
      </c>
      <c r="AQ182" s="586">
        <f t="shared" si="108"/>
        <v>0</v>
      </c>
      <c r="AR182" s="586">
        <f t="shared" si="108"/>
        <v>0</v>
      </c>
      <c r="AS182" s="586">
        <f t="shared" si="108"/>
        <v>0</v>
      </c>
      <c r="AT182" s="170"/>
      <c r="AU182" s="170"/>
      <c r="AV182" s="170"/>
      <c r="AW182" s="828"/>
      <c r="AX182" s="726"/>
    </row>
    <row r="183" spans="1:50" ht="15" x14ac:dyDescent="0.25">
      <c r="A183" s="170"/>
      <c r="B183" s="719"/>
      <c r="C183" s="170" t="str">
        <f t="shared" si="104"/>
        <v>980</v>
      </c>
      <c r="D183" s="170"/>
      <c r="E183" s="170"/>
      <c r="F183" s="170">
        <f>+Parameters!D101</f>
        <v>98</v>
      </c>
      <c r="G183" s="170">
        <f>+Parameters!E101</f>
        <v>0</v>
      </c>
      <c r="H183" s="586">
        <f t="shared" si="105"/>
        <v>0</v>
      </c>
      <c r="I183" s="170">
        <f>+Parameters!F101</f>
        <v>0</v>
      </c>
      <c r="J183" s="170"/>
      <c r="K183" s="170"/>
      <c r="L183" s="170"/>
      <c r="M183" s="730"/>
      <c r="N183" s="730"/>
      <c r="O183" s="730"/>
      <c r="P183" s="731"/>
      <c r="Q183" s="731"/>
      <c r="R183" s="730"/>
      <c r="S183" s="730"/>
      <c r="T183" s="723"/>
      <c r="U183" s="724"/>
      <c r="V183" s="725"/>
      <c r="W183" s="725"/>
      <c r="X183" s="723"/>
      <c r="Y183" s="723"/>
      <c r="Z183" s="723"/>
      <c r="AA183" s="726"/>
      <c r="AB183" s="726"/>
      <c r="AC183" s="170"/>
      <c r="AD183" s="586">
        <f t="shared" si="108"/>
        <v>0</v>
      </c>
      <c r="AE183" s="586">
        <f t="shared" si="108"/>
        <v>0</v>
      </c>
      <c r="AF183" s="586">
        <f t="shared" si="108"/>
        <v>0</v>
      </c>
      <c r="AG183" s="586">
        <f t="shared" si="108"/>
        <v>0</v>
      </c>
      <c r="AH183" s="586">
        <f t="shared" si="108"/>
        <v>0</v>
      </c>
      <c r="AI183" s="586">
        <f t="shared" si="108"/>
        <v>0</v>
      </c>
      <c r="AJ183" s="586">
        <f t="shared" si="108"/>
        <v>0</v>
      </c>
      <c r="AK183" s="586">
        <f t="shared" si="108"/>
        <v>0</v>
      </c>
      <c r="AL183" s="586">
        <f t="shared" si="108"/>
        <v>0</v>
      </c>
      <c r="AM183" s="586">
        <f t="shared" si="108"/>
        <v>0</v>
      </c>
      <c r="AN183" s="586">
        <f t="shared" si="108"/>
        <v>0</v>
      </c>
      <c r="AO183" s="586">
        <f t="shared" si="108"/>
        <v>0</v>
      </c>
      <c r="AP183" s="586">
        <f t="shared" si="108"/>
        <v>0</v>
      </c>
      <c r="AQ183" s="586">
        <f t="shared" si="108"/>
        <v>0</v>
      </c>
      <c r="AR183" s="586">
        <f t="shared" si="108"/>
        <v>0</v>
      </c>
      <c r="AS183" s="586">
        <f t="shared" si="108"/>
        <v>0</v>
      </c>
      <c r="AT183" s="170"/>
      <c r="AU183" s="170"/>
      <c r="AV183" s="170"/>
      <c r="AW183" s="828"/>
      <c r="AX183" s="726"/>
    </row>
    <row r="184" spans="1:50" ht="15" x14ac:dyDescent="0.25">
      <c r="A184" s="170"/>
      <c r="B184" s="719"/>
      <c r="C184" s="170" t="str">
        <f t="shared" si="104"/>
        <v>990</v>
      </c>
      <c r="D184" s="170"/>
      <c r="E184" s="170"/>
      <c r="F184" s="170">
        <f>+Parameters!D102</f>
        <v>99</v>
      </c>
      <c r="G184" s="170" t="str">
        <f>+Parameters!E102</f>
        <v>REMOVALS</v>
      </c>
      <c r="H184" s="586">
        <f t="shared" si="105"/>
        <v>0</v>
      </c>
      <c r="I184" s="170">
        <f>+Parameters!F102</f>
        <v>0</v>
      </c>
      <c r="J184" s="170"/>
      <c r="K184" s="170"/>
      <c r="L184" s="170"/>
      <c r="M184" s="730"/>
      <c r="N184" s="730"/>
      <c r="O184" s="730"/>
      <c r="P184" s="731"/>
      <c r="Q184" s="731"/>
      <c r="R184" s="730"/>
      <c r="S184" s="730"/>
      <c r="T184" s="723"/>
      <c r="U184" s="724"/>
      <c r="V184" s="725"/>
      <c r="W184" s="725"/>
      <c r="X184" s="723"/>
      <c r="Y184" s="723"/>
      <c r="Z184" s="723"/>
      <c r="AA184" s="726"/>
      <c r="AB184" s="726"/>
      <c r="AC184" s="170"/>
      <c r="AD184" s="586">
        <f t="shared" si="108"/>
        <v>0</v>
      </c>
      <c r="AE184" s="586">
        <f t="shared" si="108"/>
        <v>0</v>
      </c>
      <c r="AF184" s="586">
        <f t="shared" si="108"/>
        <v>0</v>
      </c>
      <c r="AG184" s="586">
        <f t="shared" si="108"/>
        <v>0</v>
      </c>
      <c r="AH184" s="586">
        <f t="shared" si="108"/>
        <v>0</v>
      </c>
      <c r="AI184" s="586">
        <f t="shared" si="108"/>
        <v>0</v>
      </c>
      <c r="AJ184" s="586">
        <f t="shared" si="108"/>
        <v>0</v>
      </c>
      <c r="AK184" s="586">
        <f t="shared" si="108"/>
        <v>0</v>
      </c>
      <c r="AL184" s="586">
        <f t="shared" si="108"/>
        <v>0</v>
      </c>
      <c r="AM184" s="586">
        <f t="shared" si="108"/>
        <v>0</v>
      </c>
      <c r="AN184" s="586">
        <f t="shared" si="108"/>
        <v>0</v>
      </c>
      <c r="AO184" s="586">
        <f t="shared" si="108"/>
        <v>0</v>
      </c>
      <c r="AP184" s="586">
        <f t="shared" si="108"/>
        <v>0</v>
      </c>
      <c r="AQ184" s="586">
        <f t="shared" si="108"/>
        <v>0</v>
      </c>
      <c r="AR184" s="586">
        <f t="shared" si="108"/>
        <v>0</v>
      </c>
      <c r="AS184" s="586">
        <f t="shared" si="108"/>
        <v>0</v>
      </c>
      <c r="AT184" s="170"/>
      <c r="AU184" s="170"/>
      <c r="AV184" s="170"/>
      <c r="AW184" s="828"/>
      <c r="AX184" s="726"/>
    </row>
    <row r="185" spans="1:50" ht="15" x14ac:dyDescent="0.25">
      <c r="A185" s="170"/>
      <c r="B185" s="719"/>
      <c r="C185" s="170"/>
      <c r="D185" s="170"/>
      <c r="E185" s="170"/>
      <c r="F185" s="170">
        <f>+Parameters!D103</f>
        <v>0</v>
      </c>
      <c r="G185" s="170" t="str">
        <f>+Parameters!E103</f>
        <v>Uncoded amounts ( fix the coding before continuing)</v>
      </c>
      <c r="H185" s="586"/>
      <c r="I185" s="170">
        <f>+Parameters!F103</f>
        <v>0</v>
      </c>
      <c r="J185" s="170"/>
      <c r="K185" s="170"/>
      <c r="L185" s="170"/>
      <c r="M185" s="730"/>
      <c r="N185" s="730"/>
      <c r="O185" s="730"/>
      <c r="P185" s="731"/>
      <c r="Q185" s="731"/>
      <c r="R185" s="730"/>
      <c r="S185" s="730"/>
      <c r="T185" s="723"/>
      <c r="U185" s="724"/>
      <c r="V185" s="725"/>
      <c r="W185" s="725"/>
      <c r="X185" s="723"/>
      <c r="Y185" s="723"/>
      <c r="Z185" s="723"/>
      <c r="AA185" s="726"/>
      <c r="AB185" s="726"/>
      <c r="AC185" s="170"/>
      <c r="AD185" s="586">
        <f t="shared" si="108"/>
        <v>0</v>
      </c>
      <c r="AE185" s="586">
        <f t="shared" si="108"/>
        <v>0</v>
      </c>
      <c r="AF185" s="586">
        <f t="shared" si="108"/>
        <v>0</v>
      </c>
      <c r="AG185" s="586">
        <f t="shared" si="108"/>
        <v>0</v>
      </c>
      <c r="AH185" s="586">
        <f t="shared" si="108"/>
        <v>0</v>
      </c>
      <c r="AI185" s="586">
        <f t="shared" si="108"/>
        <v>0</v>
      </c>
      <c r="AJ185" s="586">
        <f t="shared" si="108"/>
        <v>0</v>
      </c>
      <c r="AK185" s="586">
        <f t="shared" si="108"/>
        <v>0</v>
      </c>
      <c r="AL185" s="586">
        <f t="shared" si="108"/>
        <v>0</v>
      </c>
      <c r="AM185" s="586">
        <f t="shared" si="108"/>
        <v>0</v>
      </c>
      <c r="AN185" s="586">
        <f t="shared" si="108"/>
        <v>0</v>
      </c>
      <c r="AO185" s="586">
        <f t="shared" si="108"/>
        <v>0</v>
      </c>
      <c r="AP185" s="586">
        <f t="shared" si="108"/>
        <v>0</v>
      </c>
      <c r="AQ185" s="586">
        <f t="shared" si="108"/>
        <v>0</v>
      </c>
      <c r="AR185" s="586">
        <f t="shared" si="108"/>
        <v>0</v>
      </c>
      <c r="AS185" s="586">
        <f t="shared" si="108"/>
        <v>0</v>
      </c>
      <c r="AT185" s="170"/>
      <c r="AU185" s="170"/>
      <c r="AV185" s="170"/>
      <c r="AW185" s="828"/>
      <c r="AX185" s="726"/>
    </row>
    <row r="186" spans="1:50" ht="15" x14ac:dyDescent="0.25">
      <c r="A186" s="170"/>
      <c r="B186" s="719"/>
      <c r="C186" s="170"/>
      <c r="D186" s="170"/>
      <c r="E186" s="170"/>
      <c r="F186" s="170">
        <f>+Parameters!D104</f>
        <v>0</v>
      </c>
      <c r="G186" s="170">
        <f>+Parameters!E104</f>
        <v>0</v>
      </c>
      <c r="H186" s="586"/>
      <c r="I186" s="170">
        <f>+Parameters!F104</f>
        <v>0</v>
      </c>
      <c r="J186" s="170"/>
      <c r="K186" s="170"/>
      <c r="L186" s="170"/>
      <c r="M186" s="730"/>
      <c r="N186" s="730"/>
      <c r="O186" s="730"/>
      <c r="P186" s="731"/>
      <c r="Q186" s="731"/>
      <c r="R186" s="730"/>
      <c r="S186" s="730"/>
      <c r="T186" s="723"/>
      <c r="U186" s="724"/>
      <c r="V186" s="725"/>
      <c r="W186" s="725"/>
      <c r="X186" s="723"/>
      <c r="Y186" s="723"/>
      <c r="Z186" s="723"/>
      <c r="AA186" s="726"/>
      <c r="AB186" s="726"/>
      <c r="AC186" s="170"/>
      <c r="AD186" s="586">
        <f t="shared" si="108"/>
        <v>0</v>
      </c>
      <c r="AE186" s="586">
        <f t="shared" si="108"/>
        <v>0</v>
      </c>
      <c r="AF186" s="586">
        <f t="shared" si="108"/>
        <v>0</v>
      </c>
      <c r="AG186" s="586">
        <f t="shared" si="108"/>
        <v>0</v>
      </c>
      <c r="AH186" s="586">
        <f t="shared" si="108"/>
        <v>0</v>
      </c>
      <c r="AI186" s="586">
        <f t="shared" si="108"/>
        <v>0</v>
      </c>
      <c r="AJ186" s="586">
        <f t="shared" si="108"/>
        <v>0</v>
      </c>
      <c r="AK186" s="586">
        <f t="shared" si="108"/>
        <v>0</v>
      </c>
      <c r="AL186" s="586">
        <f t="shared" si="108"/>
        <v>0</v>
      </c>
      <c r="AM186" s="586">
        <f t="shared" si="108"/>
        <v>0</v>
      </c>
      <c r="AN186" s="586">
        <f t="shared" si="108"/>
        <v>0</v>
      </c>
      <c r="AO186" s="586">
        <f t="shared" si="108"/>
        <v>0</v>
      </c>
      <c r="AP186" s="586">
        <f t="shared" si="108"/>
        <v>0</v>
      </c>
      <c r="AQ186" s="586">
        <f t="shared" si="108"/>
        <v>0</v>
      </c>
      <c r="AR186" s="586">
        <f t="shared" si="108"/>
        <v>0</v>
      </c>
      <c r="AS186" s="586">
        <f t="shared" si="108"/>
        <v>0</v>
      </c>
      <c r="AT186" s="170"/>
      <c r="AU186" s="170"/>
      <c r="AV186" s="170"/>
      <c r="AW186" s="828"/>
      <c r="AX186" s="726"/>
    </row>
    <row r="187" spans="1:50" ht="15" x14ac:dyDescent="0.25">
      <c r="A187" s="170"/>
      <c r="B187" s="719"/>
      <c r="C187" s="170"/>
      <c r="D187" s="170"/>
      <c r="E187" s="170"/>
      <c r="F187" s="170"/>
      <c r="G187" s="721"/>
      <c r="H187" s="170"/>
      <c r="I187" s="170"/>
      <c r="J187" s="170"/>
      <c r="K187" s="170"/>
      <c r="L187" s="170"/>
      <c r="M187" s="730"/>
      <c r="N187" s="730"/>
      <c r="O187" s="730"/>
      <c r="P187" s="731"/>
      <c r="Q187" s="731"/>
      <c r="R187" s="730"/>
      <c r="S187" s="730"/>
      <c r="T187" s="723"/>
      <c r="U187" s="724"/>
      <c r="V187" s="725"/>
      <c r="W187" s="725"/>
      <c r="X187" s="723"/>
      <c r="Y187" s="723"/>
      <c r="Z187" s="723"/>
      <c r="AA187" s="726"/>
      <c r="AB187" s="726"/>
      <c r="AC187" s="170"/>
      <c r="AD187" s="586"/>
      <c r="AE187" s="586"/>
      <c r="AF187" s="586"/>
      <c r="AG187" s="586"/>
      <c r="AH187" s="586"/>
      <c r="AI187" s="586"/>
      <c r="AJ187" s="586"/>
      <c r="AK187" s="586"/>
      <c r="AL187" s="586"/>
      <c r="AM187" s="586"/>
      <c r="AN187" s="586"/>
      <c r="AO187" s="586"/>
      <c r="AP187" s="586"/>
      <c r="AQ187" s="586"/>
      <c r="AR187" s="586"/>
      <c r="AS187" s="586"/>
      <c r="AT187" s="170"/>
      <c r="AU187" s="170"/>
      <c r="AV187" s="170"/>
      <c r="AW187" s="828"/>
      <c r="AX187" s="726"/>
    </row>
    <row r="188" spans="1:50" ht="15" x14ac:dyDescent="0.25">
      <c r="A188" s="170"/>
      <c r="B188" s="719"/>
      <c r="C188" s="170"/>
      <c r="D188" s="170"/>
      <c r="E188" s="170"/>
      <c r="F188" s="170"/>
      <c r="G188" s="721"/>
      <c r="H188" s="170"/>
      <c r="I188" s="170"/>
      <c r="J188" s="170"/>
      <c r="K188" s="170"/>
      <c r="L188" s="170"/>
      <c r="M188" s="730"/>
      <c r="N188" s="730"/>
      <c r="O188" s="730"/>
      <c r="P188" s="731"/>
      <c r="Q188" s="731"/>
      <c r="R188" s="730"/>
      <c r="S188" s="730"/>
      <c r="T188" s="723"/>
      <c r="U188" s="724"/>
      <c r="V188" s="725"/>
      <c r="W188" s="725"/>
      <c r="X188" s="723"/>
      <c r="Y188" s="723"/>
      <c r="Z188" s="723"/>
      <c r="AA188" s="726"/>
      <c r="AB188" s="726"/>
      <c r="AC188" s="170"/>
      <c r="AD188" s="586"/>
      <c r="AE188" s="586"/>
      <c r="AF188" s="586"/>
      <c r="AG188" s="586"/>
      <c r="AH188" s="586"/>
      <c r="AI188" s="586"/>
      <c r="AJ188" s="586"/>
      <c r="AK188" s="586"/>
      <c r="AL188" s="586"/>
      <c r="AM188" s="586"/>
      <c r="AN188" s="586"/>
      <c r="AO188" s="586"/>
      <c r="AP188" s="586"/>
      <c r="AQ188" s="586"/>
      <c r="AR188" s="586"/>
      <c r="AS188" s="586"/>
      <c r="AT188" s="170"/>
      <c r="AU188" s="170"/>
      <c r="AV188" s="170"/>
      <c r="AW188" s="828"/>
      <c r="AX188" s="726"/>
    </row>
    <row r="189" spans="1:50" ht="15" x14ac:dyDescent="0.25">
      <c r="A189" s="170"/>
      <c r="B189" s="719"/>
      <c r="C189" s="170"/>
      <c r="D189" s="170"/>
      <c r="E189" s="170"/>
      <c r="F189" s="170"/>
      <c r="G189" s="721"/>
      <c r="H189" s="170"/>
      <c r="I189" s="170"/>
      <c r="J189" s="170"/>
      <c r="K189" s="170"/>
      <c r="L189" s="170"/>
      <c r="M189" s="730"/>
      <c r="N189" s="730"/>
      <c r="O189" s="730"/>
      <c r="P189" s="731"/>
      <c r="Q189" s="731"/>
      <c r="R189" s="730"/>
      <c r="S189" s="730"/>
      <c r="T189" s="723"/>
      <c r="U189" s="724"/>
      <c r="V189" s="725"/>
      <c r="W189" s="725"/>
      <c r="X189" s="723"/>
      <c r="Y189" s="723"/>
      <c r="Z189" s="723"/>
      <c r="AA189" s="726"/>
      <c r="AB189" s="726"/>
      <c r="AC189" s="170"/>
      <c r="AD189" s="586"/>
      <c r="AE189" s="586"/>
      <c r="AF189" s="586"/>
      <c r="AG189" s="586"/>
      <c r="AH189" s="586"/>
      <c r="AI189" s="586"/>
      <c r="AJ189" s="586"/>
      <c r="AK189" s="586"/>
      <c r="AL189" s="586"/>
      <c r="AM189" s="586"/>
      <c r="AN189" s="586"/>
      <c r="AO189" s="586"/>
      <c r="AP189" s="586"/>
      <c r="AQ189" s="586"/>
      <c r="AR189" s="586"/>
      <c r="AS189" s="586"/>
      <c r="AT189" s="170"/>
      <c r="AU189" s="170"/>
      <c r="AV189" s="170"/>
      <c r="AW189" s="828"/>
      <c r="AX189" s="726"/>
    </row>
    <row r="190" spans="1:50" ht="15" x14ac:dyDescent="0.25">
      <c r="A190" s="170"/>
      <c r="B190" s="719"/>
      <c r="C190" s="170"/>
      <c r="D190" s="170"/>
      <c r="E190" s="170"/>
      <c r="F190" s="170"/>
      <c r="G190" s="721" t="s">
        <v>223</v>
      </c>
      <c r="H190" s="170"/>
      <c r="I190" s="170"/>
      <c r="J190" s="170"/>
      <c r="K190" s="170"/>
      <c r="L190" s="170"/>
      <c r="M190" s="730"/>
      <c r="N190" s="730"/>
      <c r="O190" s="730"/>
      <c r="P190" s="731"/>
      <c r="Q190" s="731"/>
      <c r="R190" s="730"/>
      <c r="S190" s="730"/>
      <c r="T190" s="723"/>
      <c r="U190" s="724"/>
      <c r="V190" s="725"/>
      <c r="W190" s="725"/>
      <c r="X190" s="723"/>
      <c r="Y190" s="723"/>
      <c r="Z190" s="723"/>
      <c r="AA190" s="726"/>
      <c r="AB190" s="726"/>
      <c r="AC190" s="170"/>
      <c r="AD190" s="586">
        <f t="shared" ref="AD190:AS190" si="109">SUM(AD86:AD189)</f>
        <v>0</v>
      </c>
      <c r="AE190" s="586">
        <f t="shared" si="109"/>
        <v>0</v>
      </c>
      <c r="AF190" s="586">
        <f t="shared" si="109"/>
        <v>0</v>
      </c>
      <c r="AG190" s="586">
        <f t="shared" si="109"/>
        <v>0</v>
      </c>
      <c r="AH190" s="586">
        <f t="shared" si="109"/>
        <v>0</v>
      </c>
      <c r="AI190" s="586">
        <f t="shared" si="109"/>
        <v>0</v>
      </c>
      <c r="AJ190" s="586">
        <f t="shared" si="109"/>
        <v>0</v>
      </c>
      <c r="AK190" s="586">
        <f t="shared" si="109"/>
        <v>0</v>
      </c>
      <c r="AL190" s="586">
        <f t="shared" si="109"/>
        <v>0</v>
      </c>
      <c r="AM190" s="586">
        <f t="shared" si="109"/>
        <v>0</v>
      </c>
      <c r="AN190" s="586">
        <f t="shared" si="109"/>
        <v>0</v>
      </c>
      <c r="AO190" s="586">
        <f t="shared" si="109"/>
        <v>0</v>
      </c>
      <c r="AP190" s="586">
        <f t="shared" si="109"/>
        <v>0</v>
      </c>
      <c r="AQ190" s="586">
        <f t="shared" si="109"/>
        <v>0</v>
      </c>
      <c r="AR190" s="586">
        <f t="shared" si="109"/>
        <v>0</v>
      </c>
      <c r="AS190" s="586">
        <f t="shared" si="109"/>
        <v>0</v>
      </c>
      <c r="AT190" s="170" t="s">
        <v>395</v>
      </c>
      <c r="AU190" s="170"/>
      <c r="AV190" s="170"/>
      <c r="AW190" s="828"/>
      <c r="AX190" s="726"/>
    </row>
    <row r="191" spans="1:50" ht="15" x14ac:dyDescent="0.25">
      <c r="A191" s="170"/>
      <c r="B191" s="719"/>
      <c r="C191" s="170"/>
      <c r="D191" s="170"/>
      <c r="E191" s="170"/>
      <c r="F191" s="170"/>
      <c r="G191" s="721"/>
      <c r="H191" s="170"/>
      <c r="I191" s="170"/>
      <c r="J191" s="170"/>
      <c r="K191" s="170"/>
      <c r="L191" s="170"/>
      <c r="M191" s="730"/>
      <c r="N191" s="730"/>
      <c r="O191" s="730"/>
      <c r="P191" s="731"/>
      <c r="Q191" s="731"/>
      <c r="R191" s="730"/>
      <c r="S191" s="730"/>
      <c r="T191" s="723"/>
      <c r="U191" s="724"/>
      <c r="V191" s="725"/>
      <c r="W191" s="725"/>
      <c r="X191" s="723"/>
      <c r="Y191" s="723"/>
      <c r="Z191" s="723"/>
      <c r="AA191" s="726"/>
      <c r="AB191" s="726"/>
      <c r="AC191" s="170"/>
      <c r="AD191" s="586"/>
      <c r="AE191" s="586"/>
      <c r="AF191" s="170"/>
      <c r="AG191" s="170"/>
      <c r="AH191" s="170"/>
      <c r="AI191" s="170"/>
      <c r="AJ191" s="170"/>
      <c r="AK191" s="170"/>
      <c r="AL191" s="170"/>
      <c r="AM191" s="170"/>
      <c r="AN191" s="170"/>
      <c r="AO191" s="170"/>
      <c r="AP191" s="170"/>
      <c r="AQ191" s="170"/>
      <c r="AR191" s="170"/>
      <c r="AS191" s="170"/>
      <c r="AT191" s="170"/>
      <c r="AU191" s="170"/>
      <c r="AV191" s="170"/>
      <c r="AW191" s="828"/>
      <c r="AX191" s="726"/>
    </row>
    <row r="192" spans="1:50" ht="15" x14ac:dyDescent="0.25">
      <c r="A192" s="170"/>
      <c r="B192" s="719"/>
      <c r="C192" s="170"/>
      <c r="D192" s="170"/>
      <c r="E192" s="170"/>
      <c r="F192" s="170"/>
      <c r="G192" s="721"/>
      <c r="H192" s="170"/>
      <c r="I192" s="170"/>
      <c r="J192" s="170"/>
      <c r="K192" s="170"/>
      <c r="L192" s="170"/>
      <c r="M192" s="730"/>
      <c r="N192" s="730"/>
      <c r="O192" s="730"/>
      <c r="P192" s="731"/>
      <c r="Q192" s="731"/>
      <c r="R192" s="730"/>
      <c r="S192" s="730"/>
      <c r="T192" s="723"/>
      <c r="U192" s="724"/>
      <c r="V192" s="725"/>
      <c r="W192" s="725"/>
      <c r="X192" s="723"/>
      <c r="Y192" s="723"/>
      <c r="Z192" s="723"/>
      <c r="AA192" s="726"/>
      <c r="AB192" s="726"/>
      <c r="AC192" s="170"/>
      <c r="AD192" s="586"/>
      <c r="AE192" s="586"/>
      <c r="AF192" s="170"/>
      <c r="AG192" s="170"/>
      <c r="AH192" s="170"/>
      <c r="AI192" s="170"/>
      <c r="AJ192" s="170"/>
      <c r="AK192" s="170"/>
      <c r="AL192" s="170"/>
      <c r="AM192" s="170"/>
      <c r="AN192" s="170"/>
      <c r="AO192" s="170"/>
      <c r="AP192" s="170"/>
      <c r="AQ192" s="170"/>
      <c r="AR192" s="170"/>
      <c r="AS192" s="170"/>
      <c r="AT192" s="170"/>
      <c r="AU192" s="170"/>
      <c r="AV192" s="170"/>
      <c r="AW192" s="170"/>
      <c r="AX192" s="170"/>
    </row>
    <row r="193" spans="1:50" ht="15" x14ac:dyDescent="0.25">
      <c r="A193" s="170"/>
      <c r="B193" s="719"/>
      <c r="C193" s="170"/>
      <c r="D193" s="170"/>
      <c r="E193" s="170"/>
      <c r="F193" s="170"/>
      <c r="G193" s="721"/>
      <c r="H193" s="170"/>
      <c r="I193" s="170"/>
      <c r="J193" s="170"/>
      <c r="K193" s="170"/>
      <c r="L193" s="170"/>
      <c r="M193" s="730"/>
      <c r="N193" s="730"/>
      <c r="O193" s="730"/>
      <c r="P193" s="731"/>
      <c r="Q193" s="731"/>
      <c r="R193" s="730"/>
      <c r="S193" s="730"/>
      <c r="T193" s="723"/>
      <c r="U193" s="724"/>
      <c r="V193" s="725"/>
      <c r="W193" s="725"/>
      <c r="X193" s="723"/>
      <c r="Y193" s="723"/>
      <c r="Z193" s="723"/>
      <c r="AA193" s="726"/>
      <c r="AB193" s="726"/>
      <c r="AC193" s="170"/>
      <c r="AD193" s="586"/>
      <c r="AE193" s="586"/>
      <c r="AF193" s="170"/>
      <c r="AG193" s="170"/>
      <c r="AH193" s="170"/>
      <c r="AI193" s="170"/>
      <c r="AJ193" s="170"/>
      <c r="AK193" s="170"/>
      <c r="AL193" s="170"/>
      <c r="AM193" s="170"/>
      <c r="AN193" s="170"/>
      <c r="AO193" s="170"/>
      <c r="AP193" s="170"/>
      <c r="AQ193" s="170"/>
      <c r="AR193" s="170"/>
      <c r="AS193" s="170"/>
      <c r="AT193" s="170"/>
      <c r="AU193" s="170"/>
      <c r="AV193" s="170"/>
      <c r="AW193" s="170"/>
      <c r="AX193" s="170"/>
    </row>
    <row r="194" spans="1:50" ht="15" x14ac:dyDescent="0.25">
      <c r="A194" s="170"/>
      <c r="B194" s="719"/>
      <c r="C194" s="170"/>
      <c r="D194" s="170"/>
      <c r="E194" s="170"/>
      <c r="F194" s="170"/>
      <c r="G194" s="721"/>
      <c r="H194" s="170"/>
      <c r="I194" s="170"/>
      <c r="J194" s="170"/>
      <c r="K194" s="170"/>
      <c r="L194" s="170"/>
      <c r="M194" s="730"/>
      <c r="N194" s="730"/>
      <c r="O194" s="730"/>
      <c r="P194" s="731"/>
      <c r="Q194" s="731"/>
      <c r="R194" s="730"/>
      <c r="S194" s="730"/>
      <c r="T194" s="723"/>
      <c r="U194" s="724"/>
      <c r="V194" s="725"/>
      <c r="W194" s="725"/>
      <c r="X194" s="723"/>
      <c r="Y194" s="723"/>
      <c r="Z194" s="723"/>
      <c r="AA194" s="726"/>
      <c r="AB194" s="726"/>
      <c r="AC194" s="170"/>
      <c r="AD194" s="586"/>
      <c r="AE194" s="586"/>
      <c r="AF194" s="170"/>
      <c r="AG194" s="170"/>
      <c r="AH194" s="170"/>
      <c r="AI194" s="170"/>
      <c r="AJ194" s="170"/>
      <c r="AK194" s="170"/>
      <c r="AL194" s="170"/>
      <c r="AM194" s="170"/>
      <c r="AN194" s="170"/>
      <c r="AO194" s="170"/>
      <c r="AP194" s="170"/>
      <c r="AQ194" s="170"/>
      <c r="AR194" s="170"/>
      <c r="AS194" s="170"/>
      <c r="AT194" s="170"/>
      <c r="AU194" s="170"/>
      <c r="AV194" s="170"/>
      <c r="AW194" s="170"/>
      <c r="AX194" s="170"/>
    </row>
    <row r="195" spans="1:50" ht="15" x14ac:dyDescent="0.25">
      <c r="A195" s="170"/>
      <c r="B195" s="719"/>
      <c r="C195" s="170"/>
      <c r="D195" s="170"/>
      <c r="E195" s="170"/>
      <c r="F195" s="170"/>
      <c r="G195" s="721"/>
      <c r="H195" s="170"/>
      <c r="I195" s="170"/>
      <c r="J195" s="170"/>
      <c r="K195" s="170"/>
      <c r="L195" s="170"/>
      <c r="M195" s="730"/>
      <c r="N195" s="730"/>
      <c r="O195" s="730"/>
      <c r="P195" s="731"/>
      <c r="Q195" s="731"/>
      <c r="R195" s="730"/>
      <c r="S195" s="730"/>
      <c r="T195" s="723"/>
      <c r="U195" s="724"/>
      <c r="V195" s="725"/>
      <c r="W195" s="725"/>
      <c r="X195" s="723"/>
      <c r="Y195" s="723"/>
      <c r="Z195" s="723"/>
      <c r="AA195" s="726"/>
      <c r="AB195" s="726"/>
      <c r="AC195" s="170"/>
      <c r="AD195" s="586"/>
      <c r="AE195" s="586"/>
      <c r="AF195" s="170"/>
      <c r="AG195" s="170"/>
      <c r="AH195" s="170"/>
      <c r="AI195" s="170"/>
      <c r="AJ195" s="170"/>
      <c r="AK195" s="170"/>
      <c r="AL195" s="170"/>
      <c r="AM195" s="170"/>
      <c r="AN195" s="170"/>
      <c r="AO195" s="170"/>
      <c r="AP195" s="170"/>
      <c r="AQ195" s="170"/>
      <c r="AR195" s="170"/>
      <c r="AS195" s="170"/>
      <c r="AT195" s="170"/>
      <c r="AU195" s="170"/>
      <c r="AV195" s="170"/>
      <c r="AW195" s="170"/>
      <c r="AX195" s="170"/>
    </row>
    <row r="196" spans="1:50" ht="15" x14ac:dyDescent="0.25">
      <c r="A196" s="170"/>
      <c r="B196" s="719"/>
      <c r="C196" s="170"/>
      <c r="D196" s="170"/>
      <c r="E196" s="170"/>
      <c r="F196" s="170"/>
      <c r="G196" s="721"/>
      <c r="H196" s="170"/>
      <c r="I196" s="170"/>
      <c r="J196" s="170"/>
      <c r="K196" s="170"/>
      <c r="L196" s="170"/>
      <c r="M196" s="730"/>
      <c r="N196" s="730"/>
      <c r="O196" s="730"/>
      <c r="P196" s="731"/>
      <c r="Q196" s="731"/>
      <c r="R196" s="730"/>
      <c r="S196" s="730"/>
      <c r="T196" s="723"/>
      <c r="U196" s="724"/>
      <c r="V196" s="725"/>
      <c r="W196" s="725"/>
      <c r="X196" s="723"/>
      <c r="Y196" s="723"/>
      <c r="Z196" s="723"/>
      <c r="AA196" s="726"/>
      <c r="AB196" s="726"/>
      <c r="AC196" s="170"/>
      <c r="AD196" s="586"/>
      <c r="AE196" s="586"/>
      <c r="AF196" s="170"/>
      <c r="AG196" s="170"/>
      <c r="AH196" s="170"/>
      <c r="AI196" s="170"/>
      <c r="AJ196" s="170"/>
      <c r="AK196" s="170"/>
      <c r="AL196" s="170"/>
      <c r="AM196" s="170"/>
      <c r="AN196" s="170"/>
      <c r="AO196" s="170"/>
      <c r="AP196" s="170"/>
      <c r="AQ196" s="170"/>
      <c r="AR196" s="170"/>
      <c r="AS196" s="170"/>
      <c r="AT196" s="170"/>
      <c r="AU196" s="170"/>
      <c r="AV196" s="170"/>
      <c r="AW196" s="170"/>
      <c r="AX196" s="170"/>
    </row>
    <row r="197" spans="1:50" ht="15" x14ac:dyDescent="0.25">
      <c r="A197" s="170"/>
      <c r="B197" s="719"/>
      <c r="C197" s="170"/>
      <c r="D197" s="170"/>
      <c r="E197" s="170"/>
      <c r="F197" s="170"/>
      <c r="G197" s="721"/>
      <c r="H197" s="170"/>
      <c r="I197" s="170"/>
      <c r="J197" s="170"/>
      <c r="K197" s="170"/>
      <c r="L197" s="170"/>
      <c r="M197" s="730"/>
      <c r="N197" s="730"/>
      <c r="O197" s="730"/>
      <c r="P197" s="731"/>
      <c r="Q197" s="731"/>
      <c r="R197" s="730"/>
      <c r="S197" s="730"/>
      <c r="T197" s="723"/>
      <c r="U197" s="724"/>
      <c r="V197" s="725"/>
      <c r="W197" s="725"/>
      <c r="X197" s="723"/>
      <c r="Y197" s="723"/>
      <c r="Z197" s="723"/>
      <c r="AA197" s="726"/>
      <c r="AB197" s="726"/>
      <c r="AC197" s="170"/>
      <c r="AD197" s="586"/>
      <c r="AE197" s="586"/>
      <c r="AF197" s="170"/>
      <c r="AG197" s="170"/>
      <c r="AH197" s="170"/>
      <c r="AI197" s="170"/>
      <c r="AJ197" s="170"/>
      <c r="AK197" s="170"/>
      <c r="AL197" s="170"/>
      <c r="AM197" s="170"/>
      <c r="AN197" s="170"/>
      <c r="AO197" s="170"/>
      <c r="AP197" s="170"/>
      <c r="AQ197" s="170"/>
      <c r="AR197" s="170"/>
      <c r="AS197" s="170"/>
      <c r="AT197" s="170"/>
      <c r="AU197" s="170"/>
      <c r="AV197" s="170"/>
      <c r="AW197" s="170"/>
      <c r="AX197" s="170"/>
    </row>
    <row r="198" spans="1:50" ht="15" x14ac:dyDescent="0.25">
      <c r="A198" s="170"/>
      <c r="B198" s="719"/>
      <c r="C198" s="170"/>
      <c r="D198" s="170"/>
      <c r="E198" s="170"/>
      <c r="F198" s="170"/>
      <c r="G198" s="721"/>
      <c r="H198" s="170"/>
      <c r="I198" s="170"/>
      <c r="J198" s="170"/>
      <c r="K198" s="170"/>
      <c r="L198" s="170"/>
      <c r="M198" s="730"/>
      <c r="N198" s="730"/>
      <c r="O198" s="730"/>
      <c r="P198" s="731"/>
      <c r="Q198" s="731"/>
      <c r="R198" s="730"/>
      <c r="S198" s="730"/>
      <c r="T198" s="723"/>
      <c r="U198" s="724"/>
      <c r="V198" s="725"/>
      <c r="W198" s="725"/>
      <c r="X198" s="723"/>
      <c r="Y198" s="723"/>
      <c r="Z198" s="723"/>
      <c r="AA198" s="726"/>
      <c r="AB198" s="726"/>
      <c r="AC198" s="170"/>
      <c r="AD198" s="586"/>
      <c r="AE198" s="586"/>
      <c r="AF198" s="170"/>
      <c r="AG198" s="170"/>
      <c r="AH198" s="170"/>
      <c r="AI198" s="170"/>
      <c r="AJ198" s="170"/>
      <c r="AK198" s="170"/>
      <c r="AL198" s="170"/>
      <c r="AM198" s="170"/>
      <c r="AN198" s="170"/>
      <c r="AO198" s="170"/>
      <c r="AP198" s="170"/>
      <c r="AQ198" s="170"/>
      <c r="AR198" s="170"/>
      <c r="AS198" s="170"/>
      <c r="AT198" s="170"/>
      <c r="AU198" s="170"/>
      <c r="AV198" s="170"/>
      <c r="AW198" s="170"/>
      <c r="AX198" s="170"/>
    </row>
    <row r="199" spans="1:50" ht="15" x14ac:dyDescent="0.25">
      <c r="A199" s="170"/>
      <c r="B199" s="719"/>
      <c r="C199" s="170"/>
      <c r="D199" s="170"/>
      <c r="E199" s="170"/>
      <c r="F199" s="170"/>
      <c r="G199" s="721"/>
      <c r="H199" s="170"/>
      <c r="I199" s="170"/>
      <c r="J199" s="170"/>
      <c r="K199" s="170"/>
      <c r="L199" s="170"/>
      <c r="M199" s="730"/>
      <c r="N199" s="730"/>
      <c r="O199" s="730"/>
      <c r="P199" s="731"/>
      <c r="Q199" s="731"/>
      <c r="R199" s="730"/>
      <c r="S199" s="730"/>
      <c r="T199" s="723"/>
      <c r="U199" s="724"/>
      <c r="V199" s="725"/>
      <c r="W199" s="725"/>
      <c r="X199" s="723"/>
      <c r="Y199" s="723"/>
      <c r="Z199" s="723"/>
      <c r="AA199" s="726"/>
      <c r="AB199" s="726"/>
      <c r="AC199" s="170"/>
      <c r="AD199" s="586"/>
      <c r="AE199" s="586"/>
      <c r="AF199" s="170"/>
      <c r="AG199" s="170"/>
      <c r="AH199" s="170"/>
      <c r="AI199" s="170"/>
      <c r="AJ199" s="170"/>
      <c r="AK199" s="170"/>
      <c r="AL199" s="170"/>
      <c r="AM199" s="170"/>
      <c r="AN199" s="170"/>
      <c r="AO199" s="170"/>
      <c r="AP199" s="170"/>
      <c r="AQ199" s="170"/>
      <c r="AR199" s="170"/>
      <c r="AS199" s="170"/>
      <c r="AT199" s="170"/>
      <c r="AU199" s="170"/>
      <c r="AV199" s="170"/>
      <c r="AW199" s="170"/>
      <c r="AX199" s="170"/>
    </row>
    <row r="200" spans="1:50" ht="15" x14ac:dyDescent="0.25">
      <c r="A200" s="170"/>
      <c r="B200" s="719"/>
      <c r="C200" s="170"/>
      <c r="D200" s="170"/>
      <c r="E200" s="170"/>
      <c r="F200" s="170"/>
      <c r="G200" s="721"/>
      <c r="H200" s="170"/>
      <c r="I200" s="170"/>
      <c r="J200" s="170"/>
      <c r="K200" s="170"/>
      <c r="L200" s="170"/>
      <c r="M200" s="730"/>
      <c r="N200" s="730"/>
      <c r="O200" s="730"/>
      <c r="P200" s="731"/>
      <c r="Q200" s="731"/>
      <c r="R200" s="730"/>
      <c r="S200" s="730"/>
      <c r="T200" s="723"/>
      <c r="U200" s="724"/>
      <c r="V200" s="725"/>
      <c r="W200" s="725"/>
      <c r="X200" s="723"/>
      <c r="Y200" s="723"/>
      <c r="Z200" s="723"/>
      <c r="AA200" s="726"/>
      <c r="AB200" s="726"/>
      <c r="AC200" s="170"/>
      <c r="AD200" s="586"/>
      <c r="AE200" s="586"/>
      <c r="AF200" s="170"/>
      <c r="AG200" s="170"/>
      <c r="AH200" s="170"/>
      <c r="AI200" s="170"/>
      <c r="AJ200" s="170"/>
      <c r="AK200" s="170"/>
      <c r="AL200" s="170"/>
      <c r="AM200" s="170"/>
      <c r="AN200" s="170"/>
      <c r="AO200" s="170"/>
      <c r="AP200" s="170"/>
      <c r="AQ200" s="170"/>
      <c r="AR200" s="170"/>
      <c r="AS200" s="170"/>
      <c r="AT200" s="170"/>
      <c r="AU200" s="170"/>
      <c r="AV200" s="170"/>
      <c r="AW200" s="170"/>
      <c r="AX200" s="170"/>
    </row>
    <row r="201" spans="1:50" ht="15" x14ac:dyDescent="0.25">
      <c r="A201" s="170"/>
      <c r="B201" s="719"/>
      <c r="C201" s="170"/>
      <c r="D201" s="170"/>
      <c r="E201" s="170"/>
      <c r="F201" s="170"/>
      <c r="G201" s="721"/>
      <c r="H201" s="170"/>
      <c r="I201" s="170"/>
      <c r="J201" s="170"/>
      <c r="K201" s="170"/>
      <c r="L201" s="170"/>
      <c r="M201" s="730"/>
      <c r="N201" s="730"/>
      <c r="O201" s="730"/>
      <c r="P201" s="731"/>
      <c r="Q201" s="731"/>
      <c r="R201" s="730"/>
      <c r="S201" s="730"/>
      <c r="T201" s="723"/>
      <c r="U201" s="724"/>
      <c r="V201" s="725"/>
      <c r="W201" s="725"/>
      <c r="X201" s="723"/>
      <c r="Y201" s="723"/>
      <c r="Z201" s="723"/>
      <c r="AA201" s="726"/>
      <c r="AB201" s="726"/>
      <c r="AC201" s="170"/>
      <c r="AD201" s="586"/>
      <c r="AE201" s="586"/>
      <c r="AF201" s="170"/>
      <c r="AG201" s="170"/>
      <c r="AH201" s="170"/>
      <c r="AI201" s="170"/>
      <c r="AJ201" s="170"/>
      <c r="AK201" s="170"/>
      <c r="AL201" s="170"/>
      <c r="AM201" s="170"/>
      <c r="AN201" s="170"/>
      <c r="AO201" s="170"/>
      <c r="AP201" s="170"/>
      <c r="AQ201" s="170"/>
      <c r="AR201" s="170"/>
      <c r="AS201" s="170"/>
      <c r="AT201" s="170"/>
      <c r="AU201" s="170"/>
      <c r="AV201" s="170"/>
      <c r="AW201" s="170"/>
      <c r="AX201" s="170"/>
    </row>
    <row r="202" spans="1:50" ht="15" x14ac:dyDescent="0.25">
      <c r="A202" s="170"/>
      <c r="B202" s="719"/>
      <c r="C202" s="170"/>
      <c r="D202" s="170"/>
      <c r="E202" s="170"/>
      <c r="F202" s="170"/>
      <c r="G202" s="721"/>
      <c r="H202" s="170"/>
      <c r="I202" s="170"/>
      <c r="J202" s="170"/>
      <c r="K202" s="170"/>
      <c r="L202" s="170"/>
      <c r="M202" s="730"/>
      <c r="N202" s="730"/>
      <c r="O202" s="730"/>
      <c r="P202" s="731"/>
      <c r="Q202" s="731"/>
      <c r="R202" s="730"/>
      <c r="S202" s="730"/>
      <c r="T202" s="723"/>
      <c r="U202" s="724"/>
      <c r="V202" s="725"/>
      <c r="W202" s="725"/>
      <c r="X202" s="723"/>
      <c r="Y202" s="723"/>
      <c r="Z202" s="723"/>
      <c r="AA202" s="726"/>
      <c r="AB202" s="726"/>
      <c r="AC202" s="170"/>
      <c r="AD202" s="586"/>
      <c r="AE202" s="586"/>
      <c r="AF202" s="170"/>
      <c r="AG202" s="170"/>
      <c r="AH202" s="170"/>
      <c r="AI202" s="170"/>
      <c r="AJ202" s="170"/>
      <c r="AK202" s="170"/>
      <c r="AL202" s="170"/>
      <c r="AM202" s="170"/>
      <c r="AN202" s="170"/>
      <c r="AO202" s="170"/>
      <c r="AP202" s="170"/>
      <c r="AQ202" s="170"/>
      <c r="AR202" s="170"/>
      <c r="AS202" s="170"/>
      <c r="AT202" s="170"/>
      <c r="AU202" s="170"/>
      <c r="AV202" s="170"/>
      <c r="AW202" s="170"/>
      <c r="AX202" s="170"/>
    </row>
    <row r="203" spans="1:50" ht="15" x14ac:dyDescent="0.25">
      <c r="A203" s="170"/>
      <c r="B203" s="719"/>
      <c r="C203" s="170"/>
      <c r="D203" s="170"/>
      <c r="E203" s="170"/>
      <c r="F203" s="170"/>
      <c r="G203" s="721"/>
      <c r="H203" s="170"/>
      <c r="I203" s="170"/>
      <c r="J203" s="170"/>
      <c r="K203" s="170"/>
      <c r="L203" s="170"/>
      <c r="M203" s="730"/>
      <c r="N203" s="730"/>
      <c r="O203" s="730"/>
      <c r="P203" s="731"/>
      <c r="Q203" s="731"/>
      <c r="R203" s="730"/>
      <c r="S203" s="730"/>
      <c r="T203" s="723"/>
      <c r="U203" s="724"/>
      <c r="V203" s="725"/>
      <c r="W203" s="725"/>
      <c r="X203" s="723"/>
      <c r="Y203" s="723"/>
      <c r="Z203" s="723"/>
      <c r="AA203" s="726"/>
      <c r="AB203" s="726"/>
      <c r="AC203" s="170"/>
      <c r="AD203" s="586"/>
      <c r="AE203" s="586"/>
      <c r="AF203" s="170"/>
      <c r="AG203" s="170"/>
      <c r="AH203" s="170"/>
      <c r="AI203" s="170"/>
      <c r="AJ203" s="170"/>
      <c r="AK203" s="170"/>
      <c r="AL203" s="170"/>
      <c r="AM203" s="170"/>
      <c r="AN203" s="170"/>
      <c r="AO203" s="170"/>
      <c r="AP203" s="170"/>
      <c r="AQ203" s="170"/>
      <c r="AR203" s="170"/>
      <c r="AS203" s="170"/>
      <c r="AT203" s="170"/>
      <c r="AU203" s="170"/>
      <c r="AV203" s="170"/>
      <c r="AW203" s="170"/>
      <c r="AX203" s="170"/>
    </row>
    <row r="204" spans="1:50" ht="15" x14ac:dyDescent="0.25">
      <c r="A204" s="170"/>
      <c r="B204" s="719"/>
      <c r="C204" s="170"/>
      <c r="D204" s="170"/>
      <c r="E204" s="170"/>
      <c r="F204" s="170"/>
      <c r="G204" s="721"/>
      <c r="H204" s="170"/>
      <c r="I204" s="170"/>
      <c r="J204" s="170"/>
      <c r="K204" s="170"/>
      <c r="L204" s="170"/>
      <c r="M204" s="730"/>
      <c r="N204" s="730"/>
      <c r="O204" s="730"/>
      <c r="P204" s="731"/>
      <c r="Q204" s="731"/>
      <c r="R204" s="730"/>
      <c r="S204" s="730"/>
      <c r="T204" s="723"/>
      <c r="U204" s="724"/>
      <c r="V204" s="725"/>
      <c r="W204" s="725"/>
      <c r="X204" s="723"/>
      <c r="Y204" s="723"/>
      <c r="Z204" s="723"/>
      <c r="AA204" s="726"/>
      <c r="AB204" s="726"/>
      <c r="AC204" s="170"/>
      <c r="AD204" s="586"/>
      <c r="AE204" s="586"/>
      <c r="AF204" s="170"/>
      <c r="AG204" s="170"/>
      <c r="AH204" s="170"/>
      <c r="AI204" s="170"/>
      <c r="AJ204" s="170"/>
      <c r="AK204" s="170"/>
      <c r="AL204" s="170"/>
      <c r="AM204" s="170"/>
      <c r="AN204" s="170"/>
      <c r="AO204" s="170"/>
      <c r="AP204" s="170"/>
      <c r="AQ204" s="170"/>
      <c r="AR204" s="170"/>
      <c r="AS204" s="170"/>
      <c r="AT204" s="170"/>
      <c r="AU204" s="170"/>
      <c r="AV204" s="170"/>
      <c r="AW204" s="170"/>
      <c r="AX204" s="170"/>
    </row>
    <row r="205" spans="1:50" ht="15" x14ac:dyDescent="0.25">
      <c r="A205" s="170"/>
      <c r="B205" s="719"/>
      <c r="C205" s="170"/>
      <c r="D205" s="170"/>
      <c r="E205" s="170"/>
      <c r="F205" s="170"/>
      <c r="G205" s="721"/>
      <c r="H205" s="170"/>
      <c r="I205" s="170"/>
      <c r="J205" s="170"/>
      <c r="K205" s="170"/>
      <c r="L205" s="170"/>
      <c r="M205" s="730"/>
      <c r="N205" s="730"/>
      <c r="O205" s="730"/>
      <c r="P205" s="731"/>
      <c r="Q205" s="731"/>
      <c r="R205" s="730"/>
      <c r="S205" s="730"/>
      <c r="T205" s="723"/>
      <c r="U205" s="724"/>
      <c r="V205" s="725"/>
      <c r="W205" s="725"/>
      <c r="X205" s="723"/>
      <c r="Y205" s="723"/>
      <c r="Z205" s="723"/>
      <c r="AA205" s="726"/>
      <c r="AB205" s="726"/>
      <c r="AC205" s="170"/>
      <c r="AD205" s="586"/>
      <c r="AE205" s="586"/>
      <c r="AF205" s="170"/>
      <c r="AG205" s="170"/>
      <c r="AH205" s="170"/>
      <c r="AI205" s="170"/>
      <c r="AJ205" s="170"/>
      <c r="AK205" s="170"/>
      <c r="AL205" s="170"/>
      <c r="AM205" s="170"/>
      <c r="AN205" s="170"/>
      <c r="AO205" s="170"/>
      <c r="AP205" s="170"/>
      <c r="AQ205" s="170"/>
      <c r="AR205" s="170"/>
      <c r="AS205" s="170"/>
      <c r="AT205" s="170"/>
      <c r="AU205" s="170"/>
      <c r="AV205" s="170"/>
      <c r="AW205" s="170"/>
      <c r="AX205" s="170"/>
    </row>
    <row r="206" spans="1:50" ht="15" x14ac:dyDescent="0.25">
      <c r="A206" s="170"/>
      <c r="B206" s="719"/>
      <c r="C206" s="170"/>
      <c r="D206" s="170"/>
      <c r="E206" s="170"/>
      <c r="F206" s="170"/>
      <c r="G206" s="721"/>
      <c r="H206" s="170"/>
      <c r="I206" s="170"/>
      <c r="J206" s="170"/>
      <c r="K206" s="170"/>
      <c r="L206" s="170"/>
      <c r="M206" s="730"/>
      <c r="N206" s="730"/>
      <c r="O206" s="730"/>
      <c r="P206" s="731"/>
      <c r="Q206" s="731"/>
      <c r="R206" s="730"/>
      <c r="S206" s="730"/>
      <c r="T206" s="723"/>
      <c r="U206" s="724"/>
      <c r="V206" s="725"/>
      <c r="W206" s="725"/>
      <c r="X206" s="723"/>
      <c r="Y206" s="723"/>
      <c r="Z206" s="723"/>
      <c r="AA206" s="726"/>
      <c r="AB206" s="726"/>
      <c r="AC206" s="170"/>
      <c r="AD206" s="586"/>
      <c r="AE206" s="586"/>
      <c r="AF206" s="170"/>
      <c r="AG206" s="170"/>
      <c r="AH206" s="170"/>
      <c r="AI206" s="170"/>
      <c r="AJ206" s="170"/>
      <c r="AK206" s="170"/>
      <c r="AL206" s="170"/>
      <c r="AM206" s="170"/>
      <c r="AN206" s="170"/>
      <c r="AO206" s="170"/>
      <c r="AP206" s="170"/>
      <c r="AQ206" s="170"/>
      <c r="AR206" s="170"/>
      <c r="AS206" s="170"/>
      <c r="AT206" s="170"/>
      <c r="AU206" s="170"/>
      <c r="AV206" s="170"/>
      <c r="AW206" s="170"/>
      <c r="AX206" s="170"/>
    </row>
    <row r="207" spans="1:50" ht="15" x14ac:dyDescent="0.25">
      <c r="A207" s="170"/>
      <c r="B207" s="719"/>
      <c r="C207" s="170"/>
      <c r="D207" s="170"/>
      <c r="E207" s="170"/>
      <c r="F207" s="170"/>
      <c r="G207" s="721"/>
      <c r="H207" s="170"/>
      <c r="I207" s="170"/>
      <c r="J207" s="170"/>
      <c r="K207" s="170"/>
      <c r="L207" s="170"/>
      <c r="M207" s="730"/>
      <c r="N207" s="730"/>
      <c r="O207" s="730"/>
      <c r="P207" s="731"/>
      <c r="Q207" s="731"/>
      <c r="R207" s="730"/>
      <c r="S207" s="730"/>
      <c r="T207" s="723"/>
      <c r="U207" s="724"/>
      <c r="V207" s="725"/>
      <c r="W207" s="725"/>
      <c r="X207" s="723"/>
      <c r="Y207" s="723"/>
      <c r="Z207" s="723"/>
      <c r="AA207" s="726"/>
      <c r="AB207" s="726"/>
      <c r="AC207" s="170"/>
      <c r="AD207" s="586"/>
      <c r="AE207" s="586"/>
      <c r="AF207" s="170"/>
      <c r="AG207" s="170"/>
      <c r="AH207" s="170"/>
      <c r="AI207" s="170"/>
      <c r="AJ207" s="170"/>
      <c r="AK207" s="170"/>
      <c r="AL207" s="170"/>
      <c r="AM207" s="170"/>
      <c r="AN207" s="170"/>
      <c r="AO207" s="170"/>
      <c r="AP207" s="170"/>
      <c r="AQ207" s="170"/>
      <c r="AR207" s="170"/>
      <c r="AS207" s="170"/>
      <c r="AT207" s="170"/>
      <c r="AU207" s="170"/>
      <c r="AV207" s="170"/>
      <c r="AW207" s="170"/>
      <c r="AX207" s="170"/>
    </row>
    <row r="208" spans="1:50" ht="15" x14ac:dyDescent="0.25">
      <c r="A208" s="170"/>
      <c r="B208" s="719"/>
      <c r="C208" s="170"/>
      <c r="D208" s="170"/>
      <c r="E208" s="170"/>
      <c r="F208" s="170"/>
      <c r="G208" s="721"/>
      <c r="H208" s="170"/>
      <c r="I208" s="170"/>
      <c r="J208" s="170"/>
      <c r="K208" s="170"/>
      <c r="L208" s="170"/>
      <c r="M208" s="730"/>
      <c r="N208" s="730"/>
      <c r="O208" s="730"/>
      <c r="P208" s="731"/>
      <c r="Q208" s="731"/>
      <c r="R208" s="730"/>
      <c r="S208" s="730"/>
      <c r="T208" s="723"/>
      <c r="U208" s="724"/>
      <c r="V208" s="725"/>
      <c r="W208" s="725"/>
      <c r="X208" s="723"/>
      <c r="Y208" s="723"/>
      <c r="Z208" s="723"/>
      <c r="AA208" s="726"/>
      <c r="AB208" s="726"/>
      <c r="AC208" s="170"/>
      <c r="AD208" s="586"/>
      <c r="AE208" s="586"/>
      <c r="AF208" s="170"/>
      <c r="AG208" s="170"/>
      <c r="AH208" s="170"/>
      <c r="AI208" s="170"/>
      <c r="AJ208" s="170"/>
      <c r="AK208" s="170"/>
      <c r="AL208" s="170"/>
      <c r="AM208" s="170"/>
      <c r="AN208" s="170"/>
      <c r="AO208" s="170"/>
      <c r="AP208" s="170"/>
      <c r="AQ208" s="170"/>
      <c r="AR208" s="170"/>
      <c r="AS208" s="170"/>
      <c r="AT208" s="170"/>
      <c r="AU208" s="170"/>
      <c r="AV208" s="170"/>
      <c r="AW208" s="170"/>
      <c r="AX208" s="170"/>
    </row>
    <row r="209" spans="1:50" ht="15" x14ac:dyDescent="0.25">
      <c r="A209" s="170"/>
      <c r="B209" s="719"/>
      <c r="C209" s="170"/>
      <c r="D209" s="170"/>
      <c r="E209" s="170"/>
      <c r="F209" s="170"/>
      <c r="G209" s="721"/>
      <c r="H209" s="170"/>
      <c r="I209" s="170"/>
      <c r="J209" s="170"/>
      <c r="K209" s="170"/>
      <c r="L209" s="170"/>
      <c r="M209" s="730"/>
      <c r="N209" s="730"/>
      <c r="O209" s="730"/>
      <c r="P209" s="731"/>
      <c r="Q209" s="731"/>
      <c r="R209" s="730"/>
      <c r="S209" s="730"/>
      <c r="T209" s="723"/>
      <c r="U209" s="724"/>
      <c r="V209" s="725"/>
      <c r="W209" s="725"/>
      <c r="X209" s="723"/>
      <c r="Y209" s="723"/>
      <c r="Z209" s="723"/>
      <c r="AA209" s="726"/>
      <c r="AB209" s="726"/>
      <c r="AC209" s="170"/>
      <c r="AD209" s="586"/>
      <c r="AE209" s="586"/>
      <c r="AF209" s="170"/>
      <c r="AG209" s="170"/>
      <c r="AH209" s="170"/>
      <c r="AI209" s="170"/>
      <c r="AJ209" s="170"/>
      <c r="AK209" s="170"/>
      <c r="AL209" s="170"/>
      <c r="AM209" s="170"/>
      <c r="AN209" s="170"/>
      <c r="AO209" s="170"/>
      <c r="AP209" s="170"/>
      <c r="AQ209" s="170"/>
      <c r="AR209" s="170"/>
      <c r="AS209" s="170"/>
      <c r="AT209" s="170"/>
      <c r="AU209" s="170"/>
      <c r="AV209" s="170"/>
      <c r="AW209" s="170"/>
      <c r="AX209" s="170"/>
    </row>
    <row r="210" spans="1:50" ht="15" x14ac:dyDescent="0.25">
      <c r="A210" s="170"/>
      <c r="B210" s="719"/>
      <c r="C210" s="170"/>
      <c r="D210" s="170"/>
      <c r="E210" s="170"/>
      <c r="F210" s="170"/>
      <c r="G210" s="721"/>
      <c r="H210" s="170"/>
      <c r="I210" s="170"/>
      <c r="J210" s="170"/>
      <c r="K210" s="170"/>
      <c r="L210" s="170"/>
      <c r="M210" s="730"/>
      <c r="N210" s="730"/>
      <c r="O210" s="730"/>
      <c r="P210" s="731"/>
      <c r="Q210" s="731"/>
      <c r="R210" s="730"/>
      <c r="S210" s="730"/>
      <c r="T210" s="723"/>
      <c r="U210" s="724"/>
      <c r="V210" s="725"/>
      <c r="W210" s="725"/>
      <c r="X210" s="723"/>
      <c r="Y210" s="723"/>
      <c r="Z210" s="723"/>
      <c r="AA210" s="726"/>
      <c r="AB210" s="726"/>
      <c r="AC210" s="170"/>
      <c r="AD210" s="586"/>
      <c r="AE210" s="586"/>
      <c r="AF210" s="170"/>
      <c r="AG210" s="170"/>
      <c r="AH210" s="170"/>
      <c r="AI210" s="170"/>
      <c r="AJ210" s="170"/>
      <c r="AK210" s="170"/>
      <c r="AL210" s="170"/>
      <c r="AM210" s="170"/>
      <c r="AN210" s="170"/>
      <c r="AO210" s="170"/>
      <c r="AP210" s="170"/>
      <c r="AQ210" s="170"/>
      <c r="AR210" s="170"/>
      <c r="AS210" s="170"/>
      <c r="AT210" s="170"/>
      <c r="AU210" s="170"/>
      <c r="AV210" s="170"/>
      <c r="AW210" s="170"/>
      <c r="AX210" s="170"/>
    </row>
    <row r="211" spans="1:50" ht="15" x14ac:dyDescent="0.25">
      <c r="A211" s="170"/>
      <c r="B211" s="719"/>
      <c r="C211" s="170"/>
      <c r="D211" s="170"/>
      <c r="E211" s="170"/>
      <c r="F211" s="170"/>
      <c r="G211" s="721"/>
      <c r="H211" s="170"/>
      <c r="I211" s="170"/>
      <c r="J211" s="170"/>
      <c r="K211" s="170"/>
      <c r="L211" s="170"/>
      <c r="M211" s="730"/>
      <c r="N211" s="730"/>
      <c r="O211" s="730"/>
      <c r="P211" s="731"/>
      <c r="Q211" s="731"/>
      <c r="R211" s="730"/>
      <c r="S211" s="730"/>
      <c r="T211" s="723"/>
      <c r="U211" s="724"/>
      <c r="V211" s="725"/>
      <c r="W211" s="725"/>
      <c r="X211" s="723"/>
      <c r="Y211" s="723"/>
      <c r="Z211" s="723"/>
      <c r="AA211" s="726"/>
      <c r="AB211" s="726"/>
      <c r="AC211" s="170"/>
      <c r="AD211" s="586"/>
      <c r="AE211" s="586"/>
      <c r="AF211" s="170"/>
      <c r="AG211" s="170"/>
      <c r="AH211" s="170"/>
      <c r="AI211" s="170"/>
      <c r="AJ211" s="170"/>
      <c r="AK211" s="170"/>
      <c r="AL211" s="170"/>
      <c r="AM211" s="170"/>
      <c r="AN211" s="170"/>
      <c r="AO211" s="170"/>
      <c r="AP211" s="170"/>
      <c r="AQ211" s="170"/>
      <c r="AR211" s="170"/>
      <c r="AS211" s="170"/>
      <c r="AT211" s="170"/>
      <c r="AU211" s="170"/>
      <c r="AV211" s="170"/>
      <c r="AW211" s="170"/>
      <c r="AX211" s="170"/>
    </row>
    <row r="212" spans="1:50" ht="15" x14ac:dyDescent="0.25">
      <c r="A212" s="170"/>
      <c r="B212" s="719"/>
      <c r="C212" s="170"/>
      <c r="D212" s="170"/>
      <c r="E212" s="170"/>
      <c r="F212" s="170"/>
      <c r="G212" s="721"/>
      <c r="H212" s="170"/>
      <c r="I212" s="170"/>
      <c r="J212" s="170"/>
      <c r="K212" s="170"/>
      <c r="L212" s="170"/>
      <c r="M212" s="730"/>
      <c r="N212" s="730"/>
      <c r="O212" s="730"/>
      <c r="P212" s="731"/>
      <c r="Q212" s="731"/>
      <c r="R212" s="730"/>
      <c r="S212" s="730"/>
      <c r="T212" s="723"/>
      <c r="U212" s="724"/>
      <c r="V212" s="725"/>
      <c r="W212" s="725"/>
      <c r="X212" s="723"/>
      <c r="Y212" s="723"/>
      <c r="Z212" s="723"/>
      <c r="AA212" s="726"/>
      <c r="AB212" s="726"/>
      <c r="AC212" s="170"/>
      <c r="AD212" s="586"/>
      <c r="AE212" s="586"/>
      <c r="AF212" s="170"/>
      <c r="AG212" s="170"/>
      <c r="AH212" s="170"/>
      <c r="AI212" s="170"/>
      <c r="AJ212" s="170"/>
      <c r="AK212" s="170"/>
      <c r="AL212" s="170"/>
      <c r="AM212" s="170"/>
      <c r="AN212" s="170"/>
      <c r="AO212" s="170"/>
      <c r="AP212" s="170"/>
      <c r="AQ212" s="170"/>
      <c r="AR212" s="170"/>
      <c r="AS212" s="170"/>
      <c r="AT212" s="170"/>
      <c r="AU212" s="170"/>
      <c r="AV212" s="170"/>
      <c r="AW212" s="170"/>
      <c r="AX212" s="170"/>
    </row>
    <row r="213" spans="1:50" ht="15" x14ac:dyDescent="0.25">
      <c r="A213" s="170"/>
      <c r="B213" s="719"/>
      <c r="C213" s="170"/>
      <c r="D213" s="170"/>
      <c r="E213" s="170"/>
      <c r="F213" s="170"/>
      <c r="G213" s="721"/>
      <c r="H213" s="170"/>
      <c r="I213" s="170"/>
      <c r="J213" s="170"/>
      <c r="K213" s="170"/>
      <c r="L213" s="170"/>
      <c r="M213" s="730"/>
      <c r="N213" s="730"/>
      <c r="O213" s="730"/>
      <c r="P213" s="731"/>
      <c r="Q213" s="731"/>
      <c r="R213" s="730"/>
      <c r="S213" s="730"/>
      <c r="T213" s="723"/>
      <c r="U213" s="724"/>
      <c r="V213" s="725"/>
      <c r="W213" s="725"/>
      <c r="X213" s="723"/>
      <c r="Y213" s="723"/>
      <c r="Z213" s="723"/>
      <c r="AA213" s="726"/>
      <c r="AB213" s="726"/>
      <c r="AC213" s="170"/>
      <c r="AD213" s="586"/>
      <c r="AE213" s="586"/>
      <c r="AF213" s="170"/>
      <c r="AG213" s="170"/>
      <c r="AH213" s="170"/>
      <c r="AI213" s="170"/>
      <c r="AJ213" s="170"/>
      <c r="AK213" s="170"/>
      <c r="AL213" s="170"/>
      <c r="AM213" s="170"/>
      <c r="AN213" s="170"/>
      <c r="AO213" s="170"/>
      <c r="AP213" s="170"/>
      <c r="AQ213" s="170"/>
      <c r="AR213" s="170"/>
      <c r="AS213" s="170"/>
      <c r="AT213" s="170"/>
      <c r="AU213" s="170"/>
      <c r="AV213" s="170"/>
      <c r="AW213" s="170"/>
      <c r="AX213" s="170"/>
    </row>
    <row r="214" spans="1:50" ht="15" x14ac:dyDescent="0.25">
      <c r="A214" s="170"/>
      <c r="B214" s="719"/>
      <c r="C214" s="170"/>
      <c r="D214" s="170"/>
      <c r="E214" s="170"/>
      <c r="F214" s="170"/>
      <c r="G214" s="721"/>
      <c r="H214" s="170"/>
      <c r="I214" s="170"/>
      <c r="J214" s="170"/>
      <c r="K214" s="170"/>
      <c r="L214" s="170"/>
      <c r="M214" s="730"/>
      <c r="N214" s="730"/>
      <c r="O214" s="730"/>
      <c r="P214" s="731"/>
      <c r="Q214" s="731"/>
      <c r="R214" s="730"/>
      <c r="S214" s="730"/>
      <c r="T214" s="723"/>
      <c r="U214" s="724"/>
      <c r="V214" s="725"/>
      <c r="W214" s="725"/>
      <c r="X214" s="723"/>
      <c r="Y214" s="723"/>
      <c r="Z214" s="723"/>
      <c r="AA214" s="726"/>
      <c r="AB214" s="726"/>
      <c r="AC214" s="170"/>
      <c r="AD214" s="586"/>
      <c r="AE214" s="586"/>
      <c r="AF214" s="170"/>
      <c r="AG214" s="170"/>
      <c r="AH214" s="170"/>
      <c r="AI214" s="170"/>
      <c r="AJ214" s="170"/>
      <c r="AK214" s="170"/>
      <c r="AL214" s="170"/>
      <c r="AM214" s="170"/>
      <c r="AN214" s="170"/>
      <c r="AO214" s="170"/>
      <c r="AP214" s="170"/>
      <c r="AQ214" s="170"/>
      <c r="AR214" s="170"/>
      <c r="AS214" s="170"/>
      <c r="AT214" s="170"/>
      <c r="AU214" s="170"/>
      <c r="AV214" s="170"/>
      <c r="AW214" s="170"/>
      <c r="AX214" s="170"/>
    </row>
    <row r="215" spans="1:50" ht="15" x14ac:dyDescent="0.25">
      <c r="A215" s="170"/>
      <c r="B215" s="719"/>
      <c r="C215" s="170"/>
      <c r="D215" s="170"/>
      <c r="E215" s="170"/>
      <c r="F215" s="170"/>
      <c r="G215" s="721"/>
      <c r="H215" s="170"/>
      <c r="I215" s="170"/>
      <c r="J215" s="170"/>
      <c r="K215" s="170"/>
      <c r="L215" s="170"/>
      <c r="M215" s="730"/>
      <c r="N215" s="730"/>
      <c r="O215" s="730"/>
      <c r="P215" s="731"/>
      <c r="Q215" s="731"/>
      <c r="R215" s="730"/>
      <c r="S215" s="730"/>
      <c r="T215" s="723"/>
      <c r="U215" s="724"/>
      <c r="V215" s="725"/>
      <c r="W215" s="725"/>
      <c r="X215" s="723"/>
      <c r="Y215" s="723"/>
      <c r="Z215" s="723"/>
      <c r="AA215" s="726"/>
      <c r="AB215" s="726"/>
      <c r="AC215" s="170"/>
      <c r="AD215" s="586"/>
      <c r="AE215" s="586"/>
      <c r="AF215" s="170"/>
      <c r="AG215" s="170"/>
      <c r="AH215" s="170"/>
      <c r="AI215" s="170"/>
      <c r="AJ215" s="170"/>
      <c r="AK215" s="170"/>
      <c r="AL215" s="170"/>
      <c r="AM215" s="170"/>
      <c r="AN215" s="170"/>
      <c r="AO215" s="170"/>
      <c r="AP215" s="170"/>
      <c r="AQ215" s="170"/>
      <c r="AR215" s="170"/>
      <c r="AS215" s="170"/>
      <c r="AT215" s="170"/>
      <c r="AU215" s="170"/>
      <c r="AV215" s="170"/>
      <c r="AW215" s="170"/>
      <c r="AX215" s="170"/>
    </row>
    <row r="216" spans="1:50" ht="15" x14ac:dyDescent="0.25">
      <c r="A216" s="170"/>
      <c r="B216" s="719"/>
      <c r="C216" s="170"/>
      <c r="D216" s="170"/>
      <c r="E216" s="170"/>
      <c r="F216" s="170"/>
      <c r="G216" s="721"/>
      <c r="H216" s="170"/>
      <c r="I216" s="170"/>
      <c r="J216" s="170"/>
      <c r="K216" s="170"/>
      <c r="L216" s="170"/>
      <c r="M216" s="730"/>
      <c r="N216" s="730"/>
      <c r="O216" s="730"/>
      <c r="P216" s="731"/>
      <c r="Q216" s="731"/>
      <c r="R216" s="730"/>
      <c r="S216" s="730"/>
      <c r="T216" s="723"/>
      <c r="U216" s="724"/>
      <c r="V216" s="725"/>
      <c r="W216" s="725"/>
      <c r="X216" s="723"/>
      <c r="Y216" s="723"/>
      <c r="Z216" s="723"/>
      <c r="AA216" s="726"/>
      <c r="AB216" s="726"/>
      <c r="AC216" s="170"/>
      <c r="AD216" s="586"/>
      <c r="AE216" s="586"/>
      <c r="AF216" s="170"/>
      <c r="AG216" s="170"/>
      <c r="AH216" s="170"/>
      <c r="AI216" s="170"/>
      <c r="AJ216" s="170"/>
      <c r="AK216" s="170"/>
      <c r="AL216" s="170"/>
      <c r="AM216" s="170"/>
      <c r="AN216" s="170"/>
      <c r="AO216" s="170"/>
      <c r="AP216" s="170"/>
      <c r="AQ216" s="170"/>
      <c r="AR216" s="170"/>
      <c r="AS216" s="170"/>
      <c r="AT216" s="170"/>
      <c r="AU216" s="170"/>
      <c r="AV216" s="170"/>
      <c r="AW216" s="170"/>
      <c r="AX216" s="170"/>
    </row>
    <row r="217" spans="1:50" ht="15" x14ac:dyDescent="0.25">
      <c r="A217" s="170"/>
      <c r="B217" s="719"/>
      <c r="C217" s="170"/>
      <c r="D217" s="170"/>
      <c r="E217" s="170"/>
      <c r="F217" s="170"/>
      <c r="G217" s="721"/>
      <c r="H217" s="170"/>
      <c r="I217" s="170"/>
      <c r="J217" s="170"/>
      <c r="K217" s="170"/>
      <c r="L217" s="170"/>
      <c r="M217" s="730"/>
      <c r="N217" s="730"/>
      <c r="O217" s="730"/>
      <c r="P217" s="731"/>
      <c r="Q217" s="731"/>
      <c r="R217" s="730"/>
      <c r="S217" s="730"/>
      <c r="T217" s="723"/>
      <c r="U217" s="724"/>
      <c r="V217" s="725"/>
      <c r="W217" s="725"/>
      <c r="X217" s="723"/>
      <c r="Y217" s="723"/>
      <c r="Z217" s="723"/>
      <c r="AA217" s="726"/>
      <c r="AB217" s="726"/>
      <c r="AC217" s="170"/>
      <c r="AD217" s="586"/>
      <c r="AE217" s="586"/>
      <c r="AF217" s="170"/>
      <c r="AG217" s="170"/>
      <c r="AH217" s="170"/>
      <c r="AI217" s="170"/>
      <c r="AJ217" s="170"/>
      <c r="AK217" s="170"/>
      <c r="AL217" s="170"/>
      <c r="AM217" s="170"/>
      <c r="AN217" s="170"/>
      <c r="AO217" s="170"/>
      <c r="AP217" s="170"/>
      <c r="AQ217" s="170"/>
      <c r="AR217" s="170"/>
      <c r="AS217" s="170"/>
      <c r="AT217" s="170"/>
      <c r="AU217" s="170"/>
      <c r="AV217" s="170"/>
      <c r="AW217" s="170"/>
      <c r="AX217" s="170"/>
    </row>
    <row r="218" spans="1:50" ht="15" x14ac:dyDescent="0.25">
      <c r="A218" s="170"/>
      <c r="B218" s="719"/>
      <c r="C218" s="170"/>
      <c r="D218" s="170"/>
      <c r="E218" s="170"/>
      <c r="F218" s="170"/>
      <c r="G218" s="721"/>
      <c r="H218" s="170"/>
      <c r="I218" s="170"/>
      <c r="J218" s="170"/>
      <c r="K218" s="170"/>
      <c r="L218" s="170"/>
      <c r="M218" s="730"/>
      <c r="N218" s="730"/>
      <c r="O218" s="730"/>
      <c r="P218" s="731"/>
      <c r="Q218" s="731"/>
      <c r="R218" s="730"/>
      <c r="S218" s="730"/>
      <c r="T218" s="723"/>
      <c r="U218" s="724"/>
      <c r="V218" s="725"/>
      <c r="W218" s="725"/>
      <c r="X218" s="723"/>
      <c r="Y218" s="723"/>
      <c r="Z218" s="723"/>
      <c r="AA218" s="726"/>
      <c r="AB218" s="726"/>
      <c r="AC218" s="170"/>
      <c r="AD218" s="586"/>
      <c r="AE218" s="586"/>
      <c r="AF218" s="170"/>
      <c r="AG218" s="170"/>
      <c r="AH218" s="170"/>
      <c r="AI218" s="170"/>
      <c r="AJ218" s="170"/>
      <c r="AK218" s="170"/>
      <c r="AL218" s="170"/>
      <c r="AM218" s="170"/>
      <c r="AN218" s="170"/>
      <c r="AO218" s="170"/>
      <c r="AP218" s="170"/>
      <c r="AQ218" s="170"/>
      <c r="AR218" s="170"/>
      <c r="AS218" s="170"/>
      <c r="AT218" s="170"/>
      <c r="AU218" s="170"/>
      <c r="AV218" s="170"/>
      <c r="AW218" s="170"/>
      <c r="AX218" s="170"/>
    </row>
    <row r="219" spans="1:50" ht="15" x14ac:dyDescent="0.25">
      <c r="A219" s="170"/>
      <c r="B219" s="719"/>
      <c r="C219" s="170"/>
      <c r="D219" s="170"/>
      <c r="E219" s="170"/>
      <c r="F219" s="170"/>
      <c r="G219" s="721"/>
      <c r="H219" s="170"/>
      <c r="I219" s="170"/>
      <c r="J219" s="170"/>
      <c r="K219" s="170"/>
      <c r="L219" s="170"/>
      <c r="M219" s="730"/>
      <c r="N219" s="730"/>
      <c r="O219" s="730"/>
      <c r="P219" s="731"/>
      <c r="Q219" s="731"/>
      <c r="R219" s="730"/>
      <c r="S219" s="730"/>
      <c r="T219" s="723"/>
      <c r="U219" s="724"/>
      <c r="V219" s="725"/>
      <c r="W219" s="725"/>
      <c r="X219" s="723"/>
      <c r="Y219" s="723"/>
      <c r="Z219" s="723"/>
      <c r="AA219" s="726"/>
      <c r="AB219" s="726"/>
      <c r="AC219" s="170"/>
      <c r="AD219" s="586"/>
      <c r="AE219" s="586"/>
      <c r="AF219" s="170"/>
      <c r="AG219" s="170"/>
      <c r="AH219" s="170"/>
      <c r="AI219" s="170"/>
      <c r="AJ219" s="170"/>
      <c r="AK219" s="170"/>
      <c r="AL219" s="170"/>
      <c r="AM219" s="170"/>
      <c r="AN219" s="170"/>
      <c r="AO219" s="170"/>
      <c r="AP219" s="170"/>
      <c r="AQ219" s="170"/>
      <c r="AR219" s="170"/>
      <c r="AS219" s="170"/>
      <c r="AT219" s="170"/>
      <c r="AU219" s="170"/>
      <c r="AV219" s="170"/>
      <c r="AW219" s="170"/>
      <c r="AX219" s="170"/>
    </row>
    <row r="220" spans="1:50" ht="15" x14ac:dyDescent="0.25">
      <c r="A220" s="170"/>
      <c r="B220" s="719"/>
      <c r="C220" s="170"/>
      <c r="D220" s="170"/>
      <c r="E220" s="170"/>
      <c r="F220" s="170"/>
      <c r="G220" s="721"/>
      <c r="H220" s="170"/>
      <c r="I220" s="170"/>
      <c r="J220" s="170"/>
      <c r="K220" s="170"/>
      <c r="L220" s="170"/>
      <c r="M220" s="730"/>
      <c r="N220" s="730"/>
      <c r="O220" s="730"/>
      <c r="P220" s="731"/>
      <c r="Q220" s="731"/>
      <c r="R220" s="730"/>
      <c r="S220" s="730"/>
      <c r="T220" s="723"/>
      <c r="U220" s="724"/>
      <c r="V220" s="725"/>
      <c r="W220" s="725"/>
      <c r="X220" s="723"/>
      <c r="Y220" s="723"/>
      <c r="Z220" s="723"/>
      <c r="AA220" s="726"/>
      <c r="AB220" s="726"/>
      <c r="AC220" s="170"/>
      <c r="AD220" s="586"/>
      <c r="AE220" s="586"/>
      <c r="AF220" s="170"/>
      <c r="AG220" s="170"/>
      <c r="AH220" s="170"/>
      <c r="AI220" s="170"/>
      <c r="AJ220" s="170"/>
      <c r="AK220" s="170"/>
      <c r="AL220" s="170"/>
      <c r="AM220" s="170"/>
      <c r="AN220" s="170"/>
      <c r="AO220" s="170"/>
      <c r="AP220" s="170"/>
      <c r="AQ220" s="170"/>
      <c r="AR220" s="170"/>
      <c r="AS220" s="170"/>
      <c r="AT220" s="170"/>
      <c r="AU220" s="170"/>
      <c r="AV220" s="170"/>
      <c r="AW220" s="170"/>
      <c r="AX220" s="170"/>
    </row>
    <row r="221" spans="1:50" ht="15" x14ac:dyDescent="0.25">
      <c r="A221" s="170"/>
      <c r="B221" s="719"/>
      <c r="C221" s="170"/>
      <c r="D221" s="170"/>
      <c r="E221" s="170"/>
      <c r="F221" s="170"/>
      <c r="G221" s="721"/>
      <c r="H221" s="170"/>
      <c r="I221" s="170"/>
      <c r="J221" s="170"/>
      <c r="K221" s="170"/>
      <c r="L221" s="170"/>
      <c r="M221" s="730"/>
      <c r="N221" s="730"/>
      <c r="O221" s="730"/>
      <c r="P221" s="731"/>
      <c r="Q221" s="731"/>
      <c r="R221" s="730"/>
      <c r="S221" s="730"/>
      <c r="T221" s="723"/>
      <c r="U221" s="724"/>
      <c r="V221" s="725"/>
      <c r="W221" s="725"/>
      <c r="X221" s="723"/>
      <c r="Y221" s="723"/>
      <c r="Z221" s="723"/>
      <c r="AA221" s="726"/>
      <c r="AB221" s="726"/>
      <c r="AC221" s="170"/>
      <c r="AD221" s="586"/>
      <c r="AE221" s="586"/>
      <c r="AF221" s="170"/>
      <c r="AG221" s="170"/>
      <c r="AH221" s="170"/>
      <c r="AI221" s="170"/>
      <c r="AJ221" s="170"/>
      <c r="AK221" s="170"/>
      <c r="AL221" s="170"/>
      <c r="AM221" s="170"/>
      <c r="AN221" s="170"/>
      <c r="AO221" s="170"/>
      <c r="AP221" s="170"/>
      <c r="AQ221" s="170"/>
      <c r="AR221" s="170"/>
      <c r="AS221" s="170"/>
      <c r="AT221" s="170"/>
      <c r="AU221" s="170"/>
      <c r="AV221" s="170"/>
      <c r="AW221" s="170"/>
      <c r="AX221" s="170"/>
    </row>
    <row r="222" spans="1:50" ht="15" x14ac:dyDescent="0.25">
      <c r="A222" s="170"/>
      <c r="B222" s="719"/>
      <c r="C222" s="170"/>
      <c r="D222" s="170"/>
      <c r="E222" s="170"/>
      <c r="F222" s="170"/>
      <c r="G222" s="721"/>
      <c r="H222" s="170"/>
      <c r="I222" s="170"/>
      <c r="J222" s="170"/>
      <c r="K222" s="170"/>
      <c r="L222" s="170"/>
      <c r="M222" s="730"/>
      <c r="N222" s="730"/>
      <c r="O222" s="730"/>
      <c r="P222" s="731"/>
      <c r="Q222" s="731"/>
      <c r="R222" s="730"/>
      <c r="S222" s="730"/>
      <c r="T222" s="723"/>
      <c r="U222" s="724"/>
      <c r="V222" s="725"/>
      <c r="W222" s="725"/>
      <c r="X222" s="723"/>
      <c r="Y222" s="723"/>
      <c r="Z222" s="723"/>
      <c r="AA222" s="726"/>
      <c r="AB222" s="726"/>
      <c r="AC222" s="170"/>
      <c r="AD222" s="586"/>
      <c r="AE222" s="586"/>
      <c r="AF222" s="170"/>
      <c r="AG222" s="170"/>
      <c r="AH222" s="170"/>
      <c r="AI222" s="170"/>
      <c r="AJ222" s="170"/>
      <c r="AK222" s="170"/>
      <c r="AL222" s="170"/>
      <c r="AM222" s="170"/>
      <c r="AN222" s="170"/>
      <c r="AO222" s="170"/>
      <c r="AP222" s="170"/>
      <c r="AQ222" s="170"/>
      <c r="AR222" s="170"/>
      <c r="AS222" s="170"/>
      <c r="AT222" s="170"/>
      <c r="AU222" s="170"/>
      <c r="AV222" s="170"/>
      <c r="AW222" s="170"/>
      <c r="AX222" s="170"/>
    </row>
    <row r="223" spans="1:50" ht="15" x14ac:dyDescent="0.25">
      <c r="A223" s="170"/>
      <c r="B223" s="719"/>
      <c r="C223" s="170"/>
      <c r="D223" s="170"/>
      <c r="E223" s="170"/>
      <c r="F223" s="170"/>
      <c r="G223" s="721"/>
      <c r="H223" s="170"/>
      <c r="I223" s="170"/>
      <c r="J223" s="170"/>
      <c r="K223" s="170"/>
      <c r="L223" s="170"/>
      <c r="M223" s="730"/>
      <c r="N223" s="730"/>
      <c r="O223" s="730"/>
      <c r="P223" s="731"/>
      <c r="Q223" s="731"/>
      <c r="R223" s="730"/>
      <c r="S223" s="730"/>
      <c r="T223" s="723"/>
      <c r="U223" s="724"/>
      <c r="V223" s="725"/>
      <c r="W223" s="725"/>
      <c r="X223" s="723"/>
      <c r="Y223" s="723"/>
      <c r="Z223" s="723"/>
      <c r="AA223" s="726"/>
      <c r="AB223" s="726"/>
      <c r="AC223" s="170"/>
      <c r="AD223" s="586"/>
      <c r="AE223" s="586"/>
      <c r="AF223" s="170"/>
      <c r="AG223" s="170"/>
      <c r="AH223" s="170"/>
      <c r="AI223" s="170"/>
      <c r="AJ223" s="170"/>
      <c r="AK223" s="170"/>
      <c r="AL223" s="170"/>
      <c r="AM223" s="170"/>
      <c r="AN223" s="170"/>
      <c r="AO223" s="170"/>
      <c r="AP223" s="170"/>
      <c r="AQ223" s="170"/>
      <c r="AR223" s="170"/>
      <c r="AS223" s="170"/>
      <c r="AT223" s="170"/>
      <c r="AU223" s="170"/>
      <c r="AV223" s="170"/>
      <c r="AW223" s="170"/>
      <c r="AX223" s="170"/>
    </row>
    <row r="224" spans="1:50" ht="15" x14ac:dyDescent="0.25">
      <c r="A224" s="170"/>
      <c r="B224" s="719"/>
      <c r="C224" s="170"/>
      <c r="D224" s="170"/>
      <c r="E224" s="170"/>
      <c r="F224" s="170"/>
      <c r="G224" s="721"/>
      <c r="H224" s="170"/>
      <c r="I224" s="170"/>
      <c r="J224" s="170"/>
      <c r="K224" s="170"/>
      <c r="L224" s="170"/>
      <c r="M224" s="730"/>
      <c r="N224" s="730"/>
      <c r="O224" s="730"/>
      <c r="P224" s="731"/>
      <c r="Q224" s="731"/>
      <c r="R224" s="730"/>
      <c r="S224" s="730"/>
      <c r="T224" s="723"/>
      <c r="U224" s="724"/>
      <c r="V224" s="725"/>
      <c r="W224" s="725"/>
      <c r="X224" s="723"/>
      <c r="Y224" s="723"/>
      <c r="Z224" s="723"/>
      <c r="AA224" s="726"/>
      <c r="AB224" s="726"/>
      <c r="AC224" s="170"/>
      <c r="AD224" s="586"/>
      <c r="AE224" s="586"/>
      <c r="AF224" s="170"/>
      <c r="AG224" s="170"/>
      <c r="AH224" s="170"/>
      <c r="AI224" s="170"/>
      <c r="AJ224" s="170"/>
      <c r="AK224" s="170"/>
      <c r="AL224" s="170"/>
      <c r="AM224" s="170"/>
      <c r="AN224" s="170"/>
      <c r="AO224" s="170"/>
      <c r="AP224" s="170"/>
      <c r="AQ224" s="170"/>
      <c r="AR224" s="170"/>
      <c r="AS224" s="170"/>
      <c r="AT224" s="170"/>
      <c r="AU224" s="170"/>
      <c r="AV224" s="170"/>
      <c r="AW224" s="170"/>
      <c r="AX224" s="170"/>
    </row>
    <row r="225" spans="1:50" ht="15" x14ac:dyDescent="0.25">
      <c r="A225" s="170"/>
      <c r="B225" s="719"/>
      <c r="C225" s="170"/>
      <c r="D225" s="170"/>
      <c r="E225" s="170"/>
      <c r="F225" s="170"/>
      <c r="G225" s="721"/>
      <c r="H225" s="170"/>
      <c r="I225" s="170"/>
      <c r="J225" s="170"/>
      <c r="K225" s="170"/>
      <c r="L225" s="170"/>
      <c r="M225" s="730"/>
      <c r="N225" s="730"/>
      <c r="O225" s="730"/>
      <c r="P225" s="731"/>
      <c r="Q225" s="731"/>
      <c r="R225" s="730"/>
      <c r="S225" s="730"/>
      <c r="T225" s="723"/>
      <c r="U225" s="724"/>
      <c r="V225" s="725"/>
      <c r="W225" s="725"/>
      <c r="X225" s="723"/>
      <c r="Y225" s="723"/>
      <c r="Z225" s="723"/>
      <c r="AA225" s="726"/>
      <c r="AB225" s="726"/>
      <c r="AC225" s="170"/>
      <c r="AD225" s="586"/>
      <c r="AE225" s="586"/>
      <c r="AF225" s="170"/>
      <c r="AG225" s="170"/>
      <c r="AH225" s="170"/>
      <c r="AI225" s="170"/>
      <c r="AJ225" s="170"/>
      <c r="AK225" s="170"/>
      <c r="AL225" s="170"/>
      <c r="AM225" s="170"/>
      <c r="AN225" s="170"/>
      <c r="AO225" s="170"/>
      <c r="AP225" s="170"/>
      <c r="AQ225" s="170"/>
      <c r="AR225" s="170"/>
      <c r="AS225" s="170"/>
      <c r="AT225" s="170"/>
      <c r="AU225" s="170"/>
      <c r="AV225" s="170"/>
      <c r="AW225" s="170"/>
      <c r="AX225" s="170"/>
    </row>
    <row r="226" spans="1:50" ht="15" x14ac:dyDescent="0.25">
      <c r="A226" s="170"/>
      <c r="B226" s="719"/>
      <c r="C226" s="170"/>
      <c r="D226" s="170"/>
      <c r="E226" s="170"/>
      <c r="F226" s="170"/>
      <c r="G226" s="721"/>
      <c r="H226" s="170"/>
      <c r="I226" s="170"/>
      <c r="J226" s="170"/>
      <c r="K226" s="170"/>
      <c r="L226" s="170"/>
      <c r="M226" s="730"/>
      <c r="N226" s="730"/>
      <c r="O226" s="730"/>
      <c r="P226" s="731"/>
      <c r="Q226" s="731"/>
      <c r="R226" s="730"/>
      <c r="S226" s="730"/>
      <c r="T226" s="723"/>
      <c r="U226" s="724"/>
      <c r="V226" s="725"/>
      <c r="W226" s="725"/>
      <c r="X226" s="723"/>
      <c r="Y226" s="723"/>
      <c r="Z226" s="723"/>
      <c r="AA226" s="726"/>
      <c r="AB226" s="726"/>
      <c r="AC226" s="170"/>
      <c r="AD226" s="586"/>
      <c r="AE226" s="586"/>
      <c r="AF226" s="170"/>
      <c r="AG226" s="170"/>
      <c r="AH226" s="170"/>
      <c r="AI226" s="170"/>
      <c r="AJ226" s="170"/>
      <c r="AK226" s="170"/>
      <c r="AL226" s="170"/>
      <c r="AM226" s="170"/>
      <c r="AN226" s="170"/>
      <c r="AO226" s="170"/>
      <c r="AP226" s="170"/>
      <c r="AQ226" s="170"/>
      <c r="AR226" s="170"/>
      <c r="AS226" s="170"/>
      <c r="AT226" s="170"/>
      <c r="AU226" s="170"/>
      <c r="AV226" s="170"/>
      <c r="AW226" s="170"/>
      <c r="AX226" s="170"/>
    </row>
    <row r="227" spans="1:50" ht="15" x14ac:dyDescent="0.25">
      <c r="A227" s="170"/>
      <c r="B227" s="719"/>
      <c r="C227" s="170"/>
      <c r="D227" s="170"/>
      <c r="E227" s="170"/>
      <c r="F227" s="170"/>
      <c r="G227" s="721"/>
      <c r="H227" s="170"/>
      <c r="I227" s="170"/>
      <c r="J227" s="170"/>
      <c r="K227" s="170"/>
      <c r="L227" s="170"/>
      <c r="M227" s="730"/>
      <c r="N227" s="730"/>
      <c r="O227" s="730"/>
      <c r="P227" s="731"/>
      <c r="Q227" s="731"/>
      <c r="R227" s="730"/>
      <c r="S227" s="730"/>
      <c r="T227" s="723"/>
      <c r="U227" s="724"/>
      <c r="V227" s="725"/>
      <c r="W227" s="725"/>
      <c r="X227" s="723"/>
      <c r="Y227" s="723"/>
      <c r="Z227" s="723"/>
      <c r="AA227" s="726"/>
      <c r="AB227" s="726"/>
      <c r="AC227" s="170"/>
      <c r="AD227" s="586"/>
      <c r="AE227" s="586"/>
      <c r="AF227" s="170"/>
      <c r="AG227" s="170"/>
      <c r="AH227" s="170"/>
      <c r="AI227" s="170"/>
      <c r="AJ227" s="170"/>
      <c r="AK227" s="170"/>
      <c r="AL227" s="170"/>
      <c r="AM227" s="170"/>
      <c r="AN227" s="170"/>
      <c r="AO227" s="170"/>
      <c r="AP227" s="170"/>
      <c r="AQ227" s="170"/>
      <c r="AR227" s="170"/>
      <c r="AS227" s="170"/>
      <c r="AT227" s="170"/>
      <c r="AU227" s="170"/>
      <c r="AV227" s="170"/>
      <c r="AW227" s="170"/>
      <c r="AX227" s="170"/>
    </row>
    <row r="228" spans="1:50" ht="15" x14ac:dyDescent="0.25">
      <c r="A228" s="170"/>
      <c r="B228" s="719"/>
      <c r="C228" s="170"/>
      <c r="D228" s="170"/>
      <c r="E228" s="170"/>
      <c r="F228" s="170"/>
      <c r="G228" s="721"/>
      <c r="H228" s="170"/>
      <c r="I228" s="170"/>
      <c r="J228" s="170"/>
      <c r="K228" s="170"/>
      <c r="L228" s="170"/>
      <c r="M228" s="730"/>
      <c r="N228" s="730"/>
      <c r="O228" s="730"/>
      <c r="P228" s="731"/>
      <c r="Q228" s="731"/>
      <c r="R228" s="730"/>
      <c r="S228" s="730"/>
      <c r="T228" s="723"/>
      <c r="U228" s="724"/>
      <c r="V228" s="725"/>
      <c r="W228" s="725"/>
      <c r="X228" s="723"/>
      <c r="Y228" s="723"/>
      <c r="Z228" s="723"/>
      <c r="AA228" s="726"/>
      <c r="AB228" s="726"/>
      <c r="AC228" s="170"/>
      <c r="AD228" s="586"/>
      <c r="AE228" s="586"/>
      <c r="AF228" s="170"/>
      <c r="AG228" s="170"/>
      <c r="AH228" s="170"/>
      <c r="AI228" s="170"/>
      <c r="AJ228" s="170"/>
      <c r="AK228" s="170"/>
      <c r="AL228" s="170"/>
      <c r="AM228" s="170"/>
      <c r="AN228" s="170"/>
      <c r="AO228" s="170"/>
      <c r="AP228" s="170"/>
      <c r="AQ228" s="170"/>
      <c r="AR228" s="170"/>
      <c r="AS228" s="170"/>
      <c r="AT228" s="170"/>
      <c r="AU228" s="170"/>
      <c r="AV228" s="170"/>
      <c r="AW228" s="170"/>
      <c r="AX228" s="170"/>
    </row>
    <row r="229" spans="1:50" ht="15" x14ac:dyDescent="0.25">
      <c r="A229" s="170"/>
      <c r="B229" s="719"/>
      <c r="C229" s="170"/>
      <c r="D229" s="170"/>
      <c r="E229" s="170"/>
      <c r="F229" s="170"/>
      <c r="G229" s="721"/>
      <c r="H229" s="170"/>
      <c r="I229" s="170"/>
      <c r="J229" s="170"/>
      <c r="K229" s="170"/>
      <c r="L229" s="170"/>
      <c r="M229" s="730"/>
      <c r="N229" s="730"/>
      <c r="O229" s="730"/>
      <c r="P229" s="731"/>
      <c r="Q229" s="731"/>
      <c r="R229" s="730"/>
      <c r="S229" s="730"/>
      <c r="T229" s="723"/>
      <c r="U229" s="724"/>
      <c r="V229" s="725"/>
      <c r="W229" s="725"/>
      <c r="X229" s="723"/>
      <c r="Y229" s="723"/>
      <c r="Z229" s="723"/>
      <c r="AA229" s="726"/>
      <c r="AB229" s="726"/>
      <c r="AC229" s="170"/>
      <c r="AD229" s="586"/>
      <c r="AE229" s="586"/>
      <c r="AF229" s="170"/>
      <c r="AG229" s="170"/>
      <c r="AH229" s="170"/>
      <c r="AI229" s="170"/>
      <c r="AJ229" s="170"/>
      <c r="AK229" s="170"/>
      <c r="AL229" s="170"/>
      <c r="AM229" s="170"/>
      <c r="AN229" s="170"/>
      <c r="AO229" s="170"/>
      <c r="AP229" s="170"/>
      <c r="AQ229" s="170"/>
      <c r="AR229" s="170"/>
      <c r="AS229" s="170"/>
      <c r="AT229" s="170"/>
      <c r="AU229" s="170"/>
      <c r="AV229" s="170"/>
      <c r="AW229" s="170"/>
      <c r="AX229" s="170"/>
    </row>
    <row r="230" spans="1:50" ht="15" x14ac:dyDescent="0.25">
      <c r="A230" s="170"/>
      <c r="B230" s="719"/>
      <c r="C230" s="170"/>
      <c r="D230" s="170"/>
      <c r="E230" s="170"/>
      <c r="F230" s="170"/>
      <c r="G230" s="721"/>
      <c r="H230" s="170"/>
      <c r="I230" s="170"/>
      <c r="J230" s="170"/>
      <c r="K230" s="170"/>
      <c r="L230" s="170"/>
      <c r="M230" s="730"/>
      <c r="N230" s="730"/>
      <c r="O230" s="730"/>
      <c r="P230" s="731"/>
      <c r="Q230" s="731"/>
      <c r="R230" s="730"/>
      <c r="S230" s="730"/>
      <c r="T230" s="723"/>
      <c r="U230" s="724"/>
      <c r="V230" s="725"/>
      <c r="W230" s="725"/>
      <c r="X230" s="723"/>
      <c r="Y230" s="723"/>
      <c r="Z230" s="723"/>
      <c r="AA230" s="726"/>
      <c r="AB230" s="726"/>
      <c r="AC230" s="170"/>
      <c r="AD230" s="586"/>
      <c r="AE230" s="586"/>
      <c r="AF230" s="170"/>
      <c r="AG230" s="170"/>
      <c r="AH230" s="170"/>
      <c r="AI230" s="170"/>
      <c r="AJ230" s="170"/>
      <c r="AK230" s="170"/>
      <c r="AL230" s="170"/>
      <c r="AM230" s="170"/>
      <c r="AN230" s="170"/>
      <c r="AO230" s="170"/>
      <c r="AP230" s="170"/>
      <c r="AQ230" s="170"/>
      <c r="AR230" s="170"/>
      <c r="AS230" s="170"/>
      <c r="AT230" s="170"/>
      <c r="AU230" s="170"/>
      <c r="AV230" s="170"/>
      <c r="AW230" s="170"/>
      <c r="AX230" s="170"/>
    </row>
    <row r="231" spans="1:50" ht="15" x14ac:dyDescent="0.25">
      <c r="A231" s="170"/>
      <c r="B231" s="719"/>
      <c r="C231" s="170"/>
      <c r="D231" s="170"/>
      <c r="E231" s="170"/>
      <c r="F231" s="170"/>
      <c r="G231" s="721"/>
      <c r="H231" s="170"/>
      <c r="I231" s="170"/>
      <c r="J231" s="170"/>
      <c r="K231" s="170"/>
      <c r="L231" s="170"/>
      <c r="M231" s="730"/>
      <c r="N231" s="730"/>
      <c r="O231" s="730"/>
      <c r="P231" s="731"/>
      <c r="Q231" s="731"/>
      <c r="R231" s="730"/>
      <c r="S231" s="730"/>
      <c r="T231" s="723"/>
      <c r="U231" s="724"/>
      <c r="V231" s="725"/>
      <c r="W231" s="725"/>
      <c r="X231" s="723"/>
      <c r="Y231" s="723"/>
      <c r="Z231" s="723"/>
      <c r="AA231" s="726"/>
      <c r="AB231" s="726"/>
      <c r="AC231" s="170"/>
      <c r="AD231" s="586"/>
      <c r="AE231" s="586"/>
      <c r="AF231" s="170"/>
      <c r="AG231" s="170"/>
      <c r="AH231" s="170"/>
      <c r="AI231" s="170"/>
      <c r="AJ231" s="170"/>
      <c r="AK231" s="170"/>
      <c r="AL231" s="170"/>
      <c r="AM231" s="170"/>
      <c r="AN231" s="170"/>
      <c r="AO231" s="170"/>
      <c r="AP231" s="170"/>
      <c r="AQ231" s="170"/>
      <c r="AR231" s="170"/>
      <c r="AS231" s="170"/>
      <c r="AT231" s="170"/>
      <c r="AU231" s="170"/>
      <c r="AV231" s="170"/>
      <c r="AW231" s="170"/>
      <c r="AX231" s="170"/>
    </row>
    <row r="232" spans="1:50" ht="15" x14ac:dyDescent="0.25">
      <c r="A232" s="170"/>
      <c r="B232" s="719"/>
      <c r="C232" s="170"/>
      <c r="D232" s="170"/>
      <c r="E232" s="170"/>
      <c r="F232" s="170"/>
      <c r="G232" s="721"/>
      <c r="H232" s="170"/>
      <c r="I232" s="170"/>
      <c r="J232" s="170"/>
      <c r="K232" s="170"/>
      <c r="L232" s="170"/>
      <c r="M232" s="730"/>
      <c r="N232" s="730"/>
      <c r="O232" s="730"/>
      <c r="P232" s="731"/>
      <c r="Q232" s="731"/>
      <c r="R232" s="730"/>
      <c r="S232" s="730"/>
      <c r="T232" s="723"/>
      <c r="U232" s="724"/>
      <c r="V232" s="725"/>
      <c r="W232" s="725"/>
      <c r="X232" s="723"/>
      <c r="Y232" s="723"/>
      <c r="Z232" s="723"/>
      <c r="AA232" s="726"/>
      <c r="AB232" s="726"/>
      <c r="AC232" s="170"/>
      <c r="AD232" s="586"/>
      <c r="AE232" s="586"/>
      <c r="AF232" s="170"/>
      <c r="AG232" s="170"/>
      <c r="AH232" s="170"/>
      <c r="AI232" s="170"/>
      <c r="AJ232" s="170"/>
      <c r="AK232" s="170"/>
      <c r="AL232" s="170"/>
      <c r="AM232" s="170"/>
      <c r="AN232" s="170"/>
      <c r="AO232" s="170"/>
      <c r="AP232" s="170"/>
      <c r="AQ232" s="170"/>
      <c r="AR232" s="170"/>
      <c r="AS232" s="170"/>
      <c r="AT232" s="170"/>
      <c r="AU232" s="170"/>
      <c r="AV232" s="170"/>
      <c r="AW232" s="170"/>
      <c r="AX232" s="170"/>
    </row>
    <row r="233" spans="1:50" ht="15" x14ac:dyDescent="0.25">
      <c r="A233" s="170"/>
      <c r="B233" s="719"/>
      <c r="C233" s="170"/>
      <c r="D233" s="170"/>
      <c r="E233" s="170"/>
      <c r="F233" s="170"/>
      <c r="G233" s="721"/>
      <c r="H233" s="170"/>
      <c r="I233" s="170"/>
      <c r="J233" s="170"/>
      <c r="K233" s="170"/>
      <c r="L233" s="170"/>
      <c r="M233" s="730"/>
      <c r="N233" s="730"/>
      <c r="O233" s="730"/>
      <c r="P233" s="731"/>
      <c r="Q233" s="731"/>
      <c r="R233" s="730"/>
      <c r="S233" s="730"/>
      <c r="T233" s="723"/>
      <c r="U233" s="724"/>
      <c r="V233" s="725"/>
      <c r="W233" s="725"/>
      <c r="X233" s="723"/>
      <c r="Y233" s="723"/>
      <c r="Z233" s="723"/>
      <c r="AA233" s="726"/>
      <c r="AB233" s="726"/>
      <c r="AC233" s="170"/>
      <c r="AD233" s="586"/>
      <c r="AE233" s="586"/>
      <c r="AF233" s="170"/>
      <c r="AG233" s="170"/>
      <c r="AH233" s="170"/>
      <c r="AI233" s="170"/>
      <c r="AJ233" s="170"/>
      <c r="AK233" s="170"/>
      <c r="AL233" s="170"/>
      <c r="AM233" s="170"/>
      <c r="AN233" s="170"/>
      <c r="AO233" s="170"/>
      <c r="AP233" s="170"/>
      <c r="AQ233" s="170"/>
      <c r="AR233" s="170"/>
      <c r="AS233" s="170"/>
      <c r="AT233" s="170"/>
      <c r="AU233" s="170"/>
      <c r="AV233" s="170"/>
      <c r="AW233" s="170"/>
      <c r="AX233" s="170"/>
    </row>
    <row r="234" spans="1:50" ht="15" x14ac:dyDescent="0.25">
      <c r="A234" s="170"/>
      <c r="B234" s="719"/>
      <c r="C234" s="170"/>
      <c r="D234" s="170"/>
      <c r="E234" s="170"/>
      <c r="F234" s="170"/>
      <c r="G234" s="721"/>
      <c r="H234" s="170"/>
      <c r="I234" s="170"/>
      <c r="J234" s="170"/>
      <c r="K234" s="170"/>
      <c r="L234" s="170"/>
      <c r="M234" s="730"/>
      <c r="N234" s="730"/>
      <c r="O234" s="730"/>
      <c r="P234" s="731"/>
      <c r="Q234" s="731"/>
      <c r="R234" s="730"/>
      <c r="S234" s="730"/>
      <c r="T234" s="723"/>
      <c r="U234" s="724"/>
      <c r="V234" s="725"/>
      <c r="W234" s="725"/>
      <c r="X234" s="723"/>
      <c r="Y234" s="723"/>
      <c r="Z234" s="723"/>
      <c r="AA234" s="726"/>
      <c r="AB234" s="726"/>
      <c r="AC234" s="170"/>
      <c r="AD234" s="586"/>
      <c r="AE234" s="586"/>
      <c r="AF234" s="170"/>
      <c r="AG234" s="170"/>
      <c r="AH234" s="170"/>
      <c r="AI234" s="170"/>
      <c r="AJ234" s="170"/>
      <c r="AK234" s="170"/>
      <c r="AL234" s="170"/>
      <c r="AM234" s="170"/>
      <c r="AN234" s="170"/>
      <c r="AO234" s="170"/>
      <c r="AP234" s="170"/>
      <c r="AQ234" s="170"/>
      <c r="AR234" s="170"/>
      <c r="AS234" s="170"/>
      <c r="AT234" s="170"/>
      <c r="AU234" s="170"/>
      <c r="AV234" s="170"/>
      <c r="AW234" s="170"/>
      <c r="AX234" s="170"/>
    </row>
    <row r="235" spans="1:50" ht="15" x14ac:dyDescent="0.25">
      <c r="A235" s="170"/>
      <c r="B235" s="719"/>
      <c r="C235" s="170"/>
      <c r="D235" s="170"/>
      <c r="E235" s="170"/>
      <c r="F235" s="170"/>
      <c r="G235" s="721"/>
      <c r="H235" s="170"/>
      <c r="I235" s="170"/>
      <c r="J235" s="170"/>
      <c r="K235" s="170"/>
      <c r="L235" s="170"/>
      <c r="M235" s="730"/>
      <c r="N235" s="730"/>
      <c r="O235" s="730"/>
      <c r="P235" s="731"/>
      <c r="Q235" s="731"/>
      <c r="R235" s="730"/>
      <c r="S235" s="730"/>
      <c r="T235" s="723"/>
      <c r="U235" s="724"/>
      <c r="V235" s="725"/>
      <c r="W235" s="725"/>
      <c r="X235" s="723"/>
      <c r="Y235" s="723"/>
      <c r="Z235" s="723"/>
      <c r="AA235" s="726"/>
      <c r="AB235" s="726"/>
      <c r="AC235" s="170"/>
      <c r="AD235" s="586"/>
      <c r="AE235" s="586"/>
      <c r="AF235" s="170"/>
      <c r="AG235" s="170"/>
      <c r="AH235" s="170"/>
      <c r="AI235" s="170"/>
      <c r="AJ235" s="170"/>
      <c r="AK235" s="170"/>
      <c r="AL235" s="170"/>
      <c r="AM235" s="170"/>
      <c r="AN235" s="170"/>
      <c r="AO235" s="170"/>
      <c r="AP235" s="170"/>
      <c r="AQ235" s="170"/>
      <c r="AR235" s="170"/>
      <c r="AS235" s="170"/>
      <c r="AT235" s="170"/>
      <c r="AU235" s="170"/>
      <c r="AV235" s="170"/>
      <c r="AW235" s="170"/>
      <c r="AX235" s="170"/>
    </row>
    <row r="236" spans="1:50" ht="15" x14ac:dyDescent="0.25">
      <c r="A236" s="170"/>
      <c r="B236" s="719"/>
      <c r="C236" s="170"/>
      <c r="D236" s="170"/>
      <c r="E236" s="170"/>
      <c r="F236" s="170"/>
      <c r="G236" s="721"/>
      <c r="H236" s="170"/>
      <c r="I236" s="170"/>
      <c r="J236" s="170"/>
      <c r="K236" s="170"/>
      <c r="L236" s="170"/>
      <c r="M236" s="730"/>
      <c r="N236" s="730"/>
      <c r="O236" s="730"/>
      <c r="P236" s="731"/>
      <c r="Q236" s="731"/>
      <c r="R236" s="730"/>
      <c r="S236" s="730"/>
      <c r="T236" s="723"/>
      <c r="U236" s="724"/>
      <c r="V236" s="725"/>
      <c r="W236" s="725"/>
      <c r="X236" s="723"/>
      <c r="Y236" s="723"/>
      <c r="Z236" s="723"/>
      <c r="AA236" s="726"/>
      <c r="AB236" s="726"/>
      <c r="AC236" s="170"/>
      <c r="AD236" s="586"/>
      <c r="AE236" s="586"/>
      <c r="AF236" s="170"/>
      <c r="AG236" s="170"/>
      <c r="AH236" s="170"/>
      <c r="AI236" s="170"/>
      <c r="AJ236" s="170"/>
      <c r="AK236" s="170"/>
      <c r="AL236" s="170"/>
      <c r="AM236" s="170"/>
      <c r="AN236" s="170"/>
      <c r="AO236" s="170"/>
      <c r="AP236" s="170"/>
      <c r="AQ236" s="170"/>
      <c r="AR236" s="170"/>
      <c r="AS236" s="170"/>
      <c r="AT236" s="170"/>
      <c r="AU236" s="170"/>
      <c r="AV236" s="170"/>
      <c r="AW236" s="170"/>
      <c r="AX236" s="170"/>
    </row>
    <row r="237" spans="1:50" ht="15" x14ac:dyDescent="0.25">
      <c r="A237" s="170"/>
      <c r="B237" s="719"/>
      <c r="C237" s="170"/>
      <c r="D237" s="170"/>
      <c r="E237" s="170"/>
      <c r="F237" s="170"/>
      <c r="G237" s="721"/>
      <c r="H237" s="170"/>
      <c r="I237" s="170"/>
      <c r="J237" s="170"/>
      <c r="K237" s="170"/>
      <c r="L237" s="170"/>
      <c r="M237" s="730"/>
      <c r="N237" s="730"/>
      <c r="O237" s="730"/>
      <c r="P237" s="731"/>
      <c r="Q237" s="731"/>
      <c r="R237" s="730"/>
      <c r="S237" s="730"/>
      <c r="T237" s="723"/>
      <c r="U237" s="724"/>
      <c r="V237" s="725"/>
      <c r="W237" s="725"/>
      <c r="X237" s="723"/>
      <c r="Y237" s="723"/>
      <c r="Z237" s="723"/>
      <c r="AA237" s="726"/>
      <c r="AB237" s="726"/>
      <c r="AC237" s="170"/>
      <c r="AD237" s="586"/>
      <c r="AE237" s="586"/>
      <c r="AF237" s="170"/>
      <c r="AG237" s="170"/>
      <c r="AH237" s="170"/>
      <c r="AI237" s="170"/>
      <c r="AJ237" s="170"/>
      <c r="AK237" s="170"/>
      <c r="AL237" s="170"/>
      <c r="AM237" s="170"/>
      <c r="AN237" s="170"/>
      <c r="AO237" s="170"/>
      <c r="AP237" s="170"/>
      <c r="AQ237" s="170"/>
      <c r="AR237" s="170"/>
      <c r="AS237" s="170"/>
      <c r="AT237" s="170"/>
      <c r="AU237" s="170"/>
      <c r="AV237" s="170"/>
      <c r="AW237" s="170"/>
      <c r="AX237" s="170"/>
    </row>
    <row r="238" spans="1:50" ht="15" x14ac:dyDescent="0.25">
      <c r="A238" s="170"/>
      <c r="B238" s="719"/>
      <c r="C238" s="170"/>
      <c r="D238" s="170"/>
      <c r="E238" s="170"/>
      <c r="F238" s="170"/>
      <c r="G238" s="721"/>
      <c r="H238" s="170"/>
      <c r="I238" s="170"/>
      <c r="J238" s="170"/>
      <c r="K238" s="170"/>
      <c r="L238" s="170"/>
      <c r="M238" s="730"/>
      <c r="N238" s="730"/>
      <c r="O238" s="730"/>
      <c r="P238" s="731"/>
      <c r="Q238" s="731"/>
      <c r="R238" s="730"/>
      <c r="S238" s="730"/>
      <c r="T238" s="723"/>
      <c r="U238" s="724"/>
      <c r="V238" s="725"/>
      <c r="W238" s="725"/>
      <c r="X238" s="723"/>
      <c r="Y238" s="723"/>
      <c r="Z238" s="723"/>
      <c r="AA238" s="726"/>
      <c r="AB238" s="726"/>
      <c r="AC238" s="170"/>
      <c r="AD238" s="586"/>
      <c r="AE238" s="586"/>
      <c r="AF238" s="170"/>
      <c r="AG238" s="170"/>
      <c r="AH238" s="170"/>
      <c r="AI238" s="170"/>
      <c r="AJ238" s="170"/>
      <c r="AK238" s="170"/>
      <c r="AL238" s="170"/>
      <c r="AM238" s="170"/>
      <c r="AN238" s="170"/>
      <c r="AO238" s="170"/>
      <c r="AP238" s="170"/>
      <c r="AQ238" s="170"/>
      <c r="AR238" s="170"/>
      <c r="AS238" s="170"/>
      <c r="AT238" s="170"/>
      <c r="AU238" s="170"/>
      <c r="AV238" s="170"/>
      <c r="AW238" s="170"/>
      <c r="AX238" s="170"/>
    </row>
    <row r="239" spans="1:50" ht="15" x14ac:dyDescent="0.25">
      <c r="A239" s="170"/>
      <c r="B239" s="719"/>
      <c r="C239" s="170"/>
      <c r="D239" s="170"/>
      <c r="E239" s="170"/>
      <c r="F239" s="170"/>
      <c r="G239" s="721"/>
      <c r="H239" s="170"/>
      <c r="I239" s="170"/>
      <c r="J239" s="170"/>
      <c r="K239" s="170"/>
      <c r="L239" s="170"/>
      <c r="M239" s="730"/>
      <c r="N239" s="730"/>
      <c r="O239" s="730"/>
      <c r="P239" s="731"/>
      <c r="Q239" s="731"/>
      <c r="R239" s="730"/>
      <c r="S239" s="730"/>
      <c r="T239" s="723"/>
      <c r="U239" s="724"/>
      <c r="V239" s="725"/>
      <c r="W239" s="725"/>
      <c r="X239" s="723"/>
      <c r="Y239" s="723"/>
      <c r="Z239" s="723"/>
      <c r="AA239" s="726"/>
      <c r="AB239" s="726"/>
      <c r="AC239" s="170"/>
      <c r="AD239" s="586"/>
      <c r="AE239" s="586"/>
      <c r="AF239" s="170"/>
      <c r="AG239" s="170"/>
      <c r="AH239" s="170"/>
      <c r="AI239" s="170"/>
      <c r="AJ239" s="170"/>
      <c r="AK239" s="170"/>
      <c r="AL239" s="170"/>
      <c r="AM239" s="170"/>
      <c r="AN239" s="170"/>
      <c r="AO239" s="170"/>
      <c r="AP239" s="170"/>
      <c r="AQ239" s="170"/>
      <c r="AR239" s="170"/>
      <c r="AS239" s="170"/>
      <c r="AT239" s="170"/>
      <c r="AU239" s="170"/>
      <c r="AV239" s="170"/>
      <c r="AW239" s="170"/>
      <c r="AX239" s="170"/>
    </row>
    <row r="240" spans="1:50" ht="15" x14ac:dyDescent="0.25">
      <c r="A240" s="170"/>
      <c r="B240" s="719"/>
      <c r="C240" s="170"/>
      <c r="D240" s="170"/>
      <c r="E240" s="170"/>
      <c r="F240" s="170"/>
      <c r="G240" s="721"/>
      <c r="H240" s="170"/>
      <c r="I240" s="170"/>
      <c r="J240" s="170"/>
      <c r="K240" s="170"/>
      <c r="L240" s="170"/>
      <c r="M240" s="730"/>
      <c r="N240" s="730"/>
      <c r="O240" s="730"/>
      <c r="P240" s="731"/>
      <c r="Q240" s="731"/>
      <c r="R240" s="730"/>
      <c r="S240" s="730"/>
      <c r="T240" s="723"/>
      <c r="U240" s="724"/>
      <c r="V240" s="725"/>
      <c r="W240" s="725"/>
      <c r="X240" s="723"/>
      <c r="Y240" s="723"/>
      <c r="Z240" s="723"/>
      <c r="AA240" s="726"/>
      <c r="AB240" s="726"/>
      <c r="AC240" s="170"/>
      <c r="AD240" s="586"/>
      <c r="AE240" s="586"/>
      <c r="AF240" s="170"/>
      <c r="AG240" s="170"/>
      <c r="AH240" s="170"/>
      <c r="AI240" s="170"/>
      <c r="AJ240" s="170"/>
      <c r="AK240" s="170"/>
      <c r="AL240" s="170"/>
      <c r="AM240" s="170"/>
      <c r="AN240" s="170"/>
      <c r="AO240" s="170"/>
      <c r="AP240" s="170"/>
      <c r="AQ240" s="170"/>
      <c r="AR240" s="170"/>
      <c r="AS240" s="170"/>
      <c r="AT240" s="170"/>
      <c r="AU240" s="170"/>
      <c r="AV240" s="170"/>
      <c r="AW240" s="170"/>
      <c r="AX240" s="170"/>
    </row>
    <row r="241" spans="1:50" ht="15" x14ac:dyDescent="0.25">
      <c r="A241" s="170"/>
      <c r="B241" s="719"/>
      <c r="C241" s="170"/>
      <c r="D241" s="170"/>
      <c r="E241" s="170"/>
      <c r="F241" s="170"/>
      <c r="G241" s="721"/>
      <c r="H241" s="170"/>
      <c r="I241" s="170"/>
      <c r="J241" s="170"/>
      <c r="K241" s="170"/>
      <c r="L241" s="170"/>
      <c r="M241" s="730"/>
      <c r="N241" s="730"/>
      <c r="O241" s="730"/>
      <c r="P241" s="731"/>
      <c r="Q241" s="731"/>
      <c r="R241" s="730"/>
      <c r="S241" s="730"/>
      <c r="T241" s="723"/>
      <c r="U241" s="724"/>
      <c r="V241" s="725"/>
      <c r="W241" s="725"/>
      <c r="X241" s="723"/>
      <c r="Y241" s="723"/>
      <c r="Z241" s="723"/>
      <c r="AA241" s="726"/>
      <c r="AB241" s="726"/>
      <c r="AC241" s="170"/>
      <c r="AD241" s="586"/>
      <c r="AE241" s="586"/>
      <c r="AF241" s="170"/>
      <c r="AG241" s="170"/>
      <c r="AH241" s="170"/>
      <c r="AI241" s="170"/>
      <c r="AJ241" s="170"/>
      <c r="AK241" s="170"/>
      <c r="AL241" s="170"/>
      <c r="AM241" s="170"/>
      <c r="AN241" s="170"/>
      <c r="AO241" s="170"/>
      <c r="AP241" s="170"/>
      <c r="AQ241" s="170"/>
      <c r="AR241" s="170"/>
      <c r="AS241" s="170"/>
      <c r="AT241" s="170"/>
      <c r="AU241" s="170"/>
      <c r="AV241" s="170"/>
      <c r="AW241" s="170"/>
      <c r="AX241" s="170"/>
    </row>
    <row r="242" spans="1:50" ht="15" x14ac:dyDescent="0.25">
      <c r="A242" s="170"/>
      <c r="B242" s="719"/>
      <c r="C242" s="170"/>
      <c r="D242" s="170"/>
      <c r="E242" s="170"/>
      <c r="F242" s="170"/>
      <c r="G242" s="721"/>
      <c r="H242" s="170"/>
      <c r="I242" s="170"/>
      <c r="J242" s="170"/>
      <c r="K242" s="170"/>
      <c r="L242" s="170"/>
      <c r="M242" s="730"/>
      <c r="N242" s="730"/>
      <c r="O242" s="730"/>
      <c r="P242" s="731"/>
      <c r="Q242" s="731"/>
      <c r="R242" s="730"/>
      <c r="S242" s="730"/>
      <c r="T242" s="723"/>
      <c r="U242" s="724"/>
      <c r="V242" s="725"/>
      <c r="W242" s="725"/>
      <c r="X242" s="723"/>
      <c r="Y242" s="723"/>
      <c r="Z242" s="723"/>
      <c r="AA242" s="726"/>
      <c r="AB242" s="726"/>
      <c r="AC242" s="170"/>
      <c r="AD242" s="586"/>
      <c r="AE242" s="586"/>
      <c r="AF242" s="170"/>
      <c r="AG242" s="170"/>
      <c r="AH242" s="170"/>
      <c r="AI242" s="170"/>
      <c r="AJ242" s="170"/>
      <c r="AK242" s="170"/>
      <c r="AL242" s="170"/>
      <c r="AM242" s="170"/>
      <c r="AN242" s="170"/>
      <c r="AO242" s="170"/>
      <c r="AP242" s="170"/>
      <c r="AQ242" s="170"/>
      <c r="AR242" s="170"/>
      <c r="AS242" s="170"/>
      <c r="AT242" s="170"/>
      <c r="AU242" s="170"/>
      <c r="AV242" s="170"/>
      <c r="AW242" s="170"/>
      <c r="AX242" s="170"/>
    </row>
    <row r="243" spans="1:50" ht="15" x14ac:dyDescent="0.25">
      <c r="A243" s="170"/>
      <c r="B243" s="719"/>
      <c r="C243" s="170"/>
      <c r="D243" s="170"/>
      <c r="E243" s="170"/>
      <c r="F243" s="170"/>
      <c r="G243" s="721"/>
      <c r="H243" s="170"/>
      <c r="I243" s="170"/>
      <c r="J243" s="170"/>
      <c r="K243" s="170"/>
      <c r="L243" s="170"/>
      <c r="M243" s="730"/>
      <c r="N243" s="730"/>
      <c r="O243" s="730"/>
      <c r="P243" s="731"/>
      <c r="Q243" s="731"/>
      <c r="R243" s="730"/>
      <c r="S243" s="730"/>
      <c r="T243" s="723"/>
      <c r="U243" s="724"/>
      <c r="V243" s="725"/>
      <c r="W243" s="725"/>
      <c r="X243" s="723"/>
      <c r="Y243" s="723"/>
      <c r="Z243" s="723"/>
      <c r="AA243" s="726"/>
      <c r="AB243" s="726"/>
      <c r="AC243" s="170"/>
      <c r="AD243" s="586"/>
      <c r="AE243" s="586"/>
      <c r="AF243" s="170"/>
      <c r="AG243" s="170"/>
      <c r="AH243" s="170"/>
      <c r="AI243" s="170"/>
      <c r="AJ243" s="170"/>
      <c r="AK243" s="170"/>
      <c r="AL243" s="170"/>
      <c r="AM243" s="170"/>
      <c r="AN243" s="170"/>
      <c r="AO243" s="170"/>
      <c r="AP243" s="170"/>
      <c r="AQ243" s="170"/>
      <c r="AR243" s="170"/>
      <c r="AS243" s="170"/>
      <c r="AT243" s="170"/>
      <c r="AU243" s="170"/>
      <c r="AV243" s="170"/>
      <c r="AW243" s="170"/>
      <c r="AX243" s="170"/>
    </row>
    <row r="244" spans="1:50" ht="15" x14ac:dyDescent="0.25">
      <c r="A244" s="170"/>
      <c r="B244" s="719"/>
      <c r="C244" s="170"/>
      <c r="D244" s="170"/>
      <c r="E244" s="170"/>
      <c r="F244" s="170"/>
      <c r="G244" s="721"/>
      <c r="H244" s="170"/>
      <c r="I244" s="170"/>
      <c r="J244" s="170"/>
      <c r="K244" s="170"/>
      <c r="L244" s="170"/>
      <c r="M244" s="730"/>
      <c r="N244" s="730"/>
      <c r="O244" s="730"/>
      <c r="P244" s="731"/>
      <c r="Q244" s="731"/>
      <c r="R244" s="730"/>
      <c r="S244" s="730"/>
      <c r="T244" s="723"/>
      <c r="U244" s="724"/>
      <c r="V244" s="725"/>
      <c r="W244" s="725"/>
      <c r="X244" s="723"/>
      <c r="Y244" s="723"/>
      <c r="Z244" s="723"/>
      <c r="AA244" s="726"/>
      <c r="AB244" s="726"/>
      <c r="AC244" s="170"/>
      <c r="AD244" s="586"/>
      <c r="AE244" s="586"/>
      <c r="AF244" s="170"/>
      <c r="AG244" s="170"/>
      <c r="AH244" s="170"/>
      <c r="AI244" s="170"/>
      <c r="AJ244" s="170"/>
      <c r="AK244" s="170"/>
      <c r="AL244" s="170"/>
      <c r="AM244" s="170"/>
      <c r="AN244" s="170"/>
      <c r="AO244" s="170"/>
      <c r="AP244" s="170"/>
      <c r="AQ244" s="170"/>
      <c r="AR244" s="170"/>
      <c r="AS244" s="170"/>
      <c r="AT244" s="170"/>
      <c r="AU244" s="170"/>
      <c r="AV244" s="170"/>
      <c r="AW244" s="170"/>
      <c r="AX244" s="170"/>
    </row>
    <row r="245" spans="1:50" ht="15" x14ac:dyDescent="0.25">
      <c r="A245" s="170"/>
      <c r="B245" s="719"/>
      <c r="C245" s="170"/>
      <c r="D245" s="170"/>
      <c r="E245" s="170"/>
      <c r="F245" s="170"/>
      <c r="G245" s="721"/>
      <c r="H245" s="170"/>
      <c r="I245" s="170"/>
      <c r="J245" s="170"/>
      <c r="K245" s="170"/>
      <c r="L245" s="170"/>
      <c r="M245" s="730"/>
      <c r="N245" s="730"/>
      <c r="O245" s="730"/>
      <c r="P245" s="731"/>
      <c r="Q245" s="731"/>
      <c r="R245" s="730"/>
      <c r="S245" s="730"/>
      <c r="T245" s="723"/>
      <c r="U245" s="724"/>
      <c r="V245" s="725"/>
      <c r="W245" s="725"/>
      <c r="X245" s="723"/>
      <c r="Y245" s="723"/>
      <c r="Z245" s="723"/>
      <c r="AA245" s="726"/>
      <c r="AB245" s="726"/>
      <c r="AC245" s="170"/>
      <c r="AD245" s="586"/>
      <c r="AE245" s="586"/>
      <c r="AF245" s="170"/>
      <c r="AG245" s="170"/>
      <c r="AH245" s="170"/>
      <c r="AI245" s="170"/>
      <c r="AJ245" s="170"/>
      <c r="AK245" s="170"/>
      <c r="AL245" s="170"/>
      <c r="AM245" s="170"/>
      <c r="AN245" s="170"/>
      <c r="AO245" s="170"/>
      <c r="AP245" s="170"/>
      <c r="AQ245" s="170"/>
      <c r="AR245" s="170"/>
      <c r="AS245" s="170"/>
      <c r="AT245" s="170"/>
      <c r="AU245" s="170"/>
      <c r="AV245" s="170"/>
      <c r="AW245" s="170"/>
      <c r="AX245" s="170"/>
    </row>
    <row r="246" spans="1:50" ht="15" x14ac:dyDescent="0.25">
      <c r="A246" s="170"/>
      <c r="B246" s="719"/>
      <c r="C246" s="170"/>
      <c r="D246" s="170"/>
      <c r="E246" s="170"/>
      <c r="F246" s="170"/>
      <c r="G246" s="721"/>
      <c r="H246" s="170"/>
      <c r="I246" s="170"/>
      <c r="J246" s="170"/>
      <c r="K246" s="170"/>
      <c r="L246" s="170"/>
      <c r="M246" s="730"/>
      <c r="N246" s="730"/>
      <c r="O246" s="730"/>
      <c r="P246" s="731"/>
      <c r="Q246" s="731"/>
      <c r="R246" s="730"/>
      <c r="S246" s="730"/>
      <c r="T246" s="723"/>
      <c r="U246" s="724"/>
      <c r="V246" s="725"/>
      <c r="W246" s="725"/>
      <c r="X246" s="723"/>
      <c r="Y246" s="723"/>
      <c r="Z246" s="723"/>
      <c r="AA246" s="726"/>
      <c r="AB246" s="726"/>
      <c r="AC246" s="170"/>
      <c r="AD246" s="586"/>
      <c r="AE246" s="586"/>
      <c r="AF246" s="170"/>
      <c r="AG246" s="170"/>
      <c r="AH246" s="170"/>
      <c r="AI246" s="170"/>
      <c r="AJ246" s="170"/>
      <c r="AK246" s="170"/>
      <c r="AL246" s="170"/>
      <c r="AM246" s="170"/>
      <c r="AN246" s="170"/>
      <c r="AO246" s="170"/>
      <c r="AP246" s="170"/>
      <c r="AQ246" s="170"/>
      <c r="AR246" s="170"/>
      <c r="AS246" s="170"/>
      <c r="AT246" s="170"/>
      <c r="AU246" s="170"/>
      <c r="AV246" s="170"/>
      <c r="AW246" s="170"/>
      <c r="AX246" s="170"/>
    </row>
    <row r="247" spans="1:50" ht="15" x14ac:dyDescent="0.25">
      <c r="A247" s="170"/>
      <c r="B247" s="719"/>
      <c r="C247" s="170"/>
      <c r="D247" s="170"/>
      <c r="E247" s="170"/>
      <c r="F247" s="170"/>
      <c r="G247" s="721"/>
      <c r="H247" s="170"/>
      <c r="I247" s="170"/>
      <c r="J247" s="170"/>
      <c r="K247" s="170"/>
      <c r="L247" s="170"/>
      <c r="M247" s="730"/>
      <c r="N247" s="730"/>
      <c r="O247" s="730"/>
      <c r="P247" s="731"/>
      <c r="Q247" s="731"/>
      <c r="R247" s="730"/>
      <c r="S247" s="730"/>
      <c r="T247" s="723"/>
      <c r="U247" s="724"/>
      <c r="V247" s="725"/>
      <c r="W247" s="725"/>
      <c r="X247" s="723"/>
      <c r="Y247" s="723"/>
      <c r="Z247" s="723"/>
      <c r="AA247" s="726"/>
      <c r="AB247" s="726"/>
      <c r="AC247" s="170"/>
      <c r="AD247" s="586"/>
      <c r="AE247" s="586"/>
      <c r="AF247" s="170"/>
      <c r="AG247" s="170"/>
      <c r="AH247" s="170"/>
      <c r="AI247" s="170"/>
      <c r="AJ247" s="170"/>
      <c r="AK247" s="170"/>
      <c r="AL247" s="170"/>
      <c r="AM247" s="170"/>
      <c r="AN247" s="170"/>
      <c r="AO247" s="170"/>
      <c r="AP247" s="170"/>
      <c r="AQ247" s="170"/>
      <c r="AR247" s="170"/>
      <c r="AS247" s="170"/>
      <c r="AT247" s="170"/>
      <c r="AU247" s="170"/>
      <c r="AV247" s="170"/>
      <c r="AW247" s="170"/>
      <c r="AX247" s="170"/>
    </row>
    <row r="248" spans="1:50" ht="15" x14ac:dyDescent="0.25">
      <c r="A248" s="170"/>
      <c r="B248" s="719"/>
      <c r="C248" s="170"/>
      <c r="D248" s="170"/>
      <c r="E248" s="170"/>
      <c r="F248" s="170"/>
      <c r="G248" s="721"/>
      <c r="H248" s="170"/>
      <c r="I248" s="170"/>
      <c r="J248" s="170"/>
      <c r="K248" s="170"/>
      <c r="L248" s="170"/>
      <c r="M248" s="730"/>
      <c r="N248" s="730"/>
      <c r="O248" s="730"/>
      <c r="P248" s="731"/>
      <c r="Q248" s="731"/>
      <c r="R248" s="730"/>
      <c r="S248" s="730"/>
      <c r="T248" s="723"/>
      <c r="U248" s="724"/>
      <c r="V248" s="725"/>
      <c r="W248" s="725"/>
      <c r="X248" s="723"/>
      <c r="Y248" s="723"/>
      <c r="Z248" s="723"/>
      <c r="AA248" s="726"/>
      <c r="AB248" s="726"/>
      <c r="AC248" s="170"/>
      <c r="AD248" s="586"/>
      <c r="AE248" s="586"/>
      <c r="AF248" s="170"/>
      <c r="AG248" s="170"/>
      <c r="AH248" s="170"/>
      <c r="AI248" s="170"/>
      <c r="AJ248" s="170"/>
      <c r="AK248" s="170"/>
      <c r="AL248" s="170"/>
      <c r="AM248" s="170"/>
      <c r="AN248" s="170"/>
      <c r="AO248" s="170"/>
      <c r="AP248" s="170"/>
      <c r="AQ248" s="170"/>
      <c r="AR248" s="170"/>
      <c r="AS248" s="170"/>
      <c r="AT248" s="170"/>
      <c r="AU248" s="170"/>
      <c r="AV248" s="170"/>
      <c r="AW248" s="170"/>
      <c r="AX248" s="170"/>
    </row>
    <row r="249" spans="1:50" ht="15" x14ac:dyDescent="0.25">
      <c r="A249" s="170"/>
      <c r="B249" s="719"/>
      <c r="C249" s="170"/>
      <c r="D249" s="170"/>
      <c r="E249" s="170"/>
      <c r="F249" s="170"/>
      <c r="G249" s="721"/>
      <c r="H249" s="170"/>
      <c r="I249" s="170"/>
      <c r="J249" s="170"/>
      <c r="K249" s="170"/>
      <c r="L249" s="170"/>
      <c r="M249" s="730"/>
      <c r="N249" s="730"/>
      <c r="O249" s="730"/>
      <c r="P249" s="731"/>
      <c r="Q249" s="731"/>
      <c r="R249" s="730"/>
      <c r="S249" s="730"/>
      <c r="T249" s="723"/>
      <c r="U249" s="724"/>
      <c r="V249" s="725"/>
      <c r="W249" s="725"/>
      <c r="X249" s="723"/>
      <c r="Y249" s="723"/>
      <c r="Z249" s="723"/>
      <c r="AA249" s="726"/>
      <c r="AB249" s="726"/>
      <c r="AC249" s="170"/>
      <c r="AD249" s="586"/>
      <c r="AE249" s="586"/>
      <c r="AF249" s="170"/>
      <c r="AG249" s="170"/>
      <c r="AH249" s="170"/>
      <c r="AI249" s="170"/>
      <c r="AJ249" s="170"/>
      <c r="AK249" s="170"/>
      <c r="AL249" s="170"/>
      <c r="AM249" s="170"/>
      <c r="AN249" s="170"/>
      <c r="AO249" s="170"/>
      <c r="AP249" s="170"/>
      <c r="AQ249" s="170"/>
      <c r="AR249" s="170"/>
      <c r="AS249" s="170"/>
      <c r="AT249" s="170"/>
      <c r="AU249" s="170"/>
      <c r="AV249" s="170"/>
      <c r="AW249" s="170"/>
      <c r="AX249" s="170"/>
    </row>
    <row r="250" spans="1:50" ht="15" x14ac:dyDescent="0.25">
      <c r="A250" s="170"/>
      <c r="B250" s="719"/>
      <c r="C250" s="170"/>
      <c r="D250" s="170"/>
      <c r="E250" s="170"/>
      <c r="F250" s="170"/>
      <c r="G250" s="721"/>
      <c r="H250" s="170"/>
      <c r="I250" s="170"/>
      <c r="J250" s="170"/>
      <c r="K250" s="170"/>
      <c r="L250" s="170"/>
      <c r="M250" s="730"/>
      <c r="N250" s="730"/>
      <c r="O250" s="730"/>
      <c r="P250" s="731"/>
      <c r="Q250" s="731"/>
      <c r="R250" s="730"/>
      <c r="S250" s="730"/>
      <c r="T250" s="723"/>
      <c r="U250" s="724"/>
      <c r="V250" s="725"/>
      <c r="W250" s="725"/>
      <c r="X250" s="723"/>
      <c r="Y250" s="723"/>
      <c r="Z250" s="723"/>
      <c r="AA250" s="726"/>
      <c r="AB250" s="726"/>
      <c r="AC250" s="170"/>
      <c r="AD250" s="586"/>
      <c r="AE250" s="586"/>
      <c r="AF250" s="170"/>
      <c r="AG250" s="170"/>
      <c r="AH250" s="170"/>
      <c r="AI250" s="170"/>
      <c r="AJ250" s="170"/>
      <c r="AK250" s="170"/>
      <c r="AL250" s="170"/>
      <c r="AM250" s="170"/>
      <c r="AN250" s="170"/>
      <c r="AO250" s="170"/>
      <c r="AP250" s="170"/>
      <c r="AQ250" s="170"/>
      <c r="AR250" s="170"/>
      <c r="AS250" s="170"/>
      <c r="AT250" s="170"/>
      <c r="AU250" s="170"/>
      <c r="AV250" s="170"/>
      <c r="AW250" s="170"/>
      <c r="AX250" s="170"/>
    </row>
    <row r="251" spans="1:50" ht="15" x14ac:dyDescent="0.25">
      <c r="A251" s="170"/>
      <c r="B251" s="719"/>
      <c r="C251" s="170"/>
      <c r="D251" s="170"/>
      <c r="E251" s="170"/>
      <c r="F251" s="170"/>
      <c r="G251" s="721"/>
      <c r="H251" s="170"/>
      <c r="I251" s="170"/>
      <c r="J251" s="170"/>
      <c r="K251" s="170"/>
      <c r="L251" s="170"/>
      <c r="M251" s="730"/>
      <c r="N251" s="730"/>
      <c r="O251" s="730"/>
      <c r="P251" s="731"/>
      <c r="Q251" s="731"/>
      <c r="R251" s="730"/>
      <c r="S251" s="730"/>
      <c r="T251" s="723"/>
      <c r="U251" s="724"/>
      <c r="V251" s="725"/>
      <c r="W251" s="725"/>
      <c r="X251" s="723"/>
      <c r="Y251" s="723"/>
      <c r="Z251" s="723"/>
      <c r="AA251" s="726"/>
      <c r="AB251" s="726"/>
      <c r="AC251" s="170"/>
      <c r="AD251" s="586"/>
      <c r="AE251" s="586"/>
      <c r="AF251" s="170"/>
      <c r="AG251" s="170"/>
      <c r="AH251" s="170"/>
      <c r="AI251" s="170"/>
      <c r="AJ251" s="170"/>
      <c r="AK251" s="170"/>
      <c r="AL251" s="170"/>
      <c r="AM251" s="170"/>
      <c r="AN251" s="170"/>
      <c r="AO251" s="170"/>
      <c r="AP251" s="170"/>
      <c r="AQ251" s="170"/>
      <c r="AR251" s="170"/>
      <c r="AS251" s="170"/>
      <c r="AT251" s="170"/>
      <c r="AU251" s="170"/>
      <c r="AV251" s="170"/>
      <c r="AW251" s="170"/>
      <c r="AX251" s="170"/>
    </row>
    <row r="252" spans="1:50" ht="15" x14ac:dyDescent="0.25">
      <c r="A252" s="170"/>
      <c r="B252" s="719"/>
      <c r="C252" s="170"/>
      <c r="D252" s="170"/>
      <c r="E252" s="170"/>
      <c r="F252" s="170"/>
      <c r="G252" s="721"/>
      <c r="H252" s="170"/>
      <c r="I252" s="170"/>
      <c r="J252" s="170"/>
      <c r="K252" s="170"/>
      <c r="L252" s="170"/>
      <c r="M252" s="730"/>
      <c r="N252" s="730"/>
      <c r="O252" s="730"/>
      <c r="P252" s="731"/>
      <c r="Q252" s="731"/>
      <c r="R252" s="730"/>
      <c r="S252" s="730"/>
      <c r="T252" s="723"/>
      <c r="U252" s="724"/>
      <c r="V252" s="725"/>
      <c r="W252" s="725"/>
      <c r="X252" s="723"/>
      <c r="Y252" s="723"/>
      <c r="Z252" s="723"/>
      <c r="AA252" s="726"/>
      <c r="AB252" s="726"/>
      <c r="AC252" s="170"/>
      <c r="AD252" s="586"/>
      <c r="AE252" s="586"/>
      <c r="AF252" s="170"/>
      <c r="AG252" s="170"/>
      <c r="AH252" s="170"/>
      <c r="AI252" s="170"/>
      <c r="AJ252" s="170"/>
      <c r="AK252" s="170"/>
      <c r="AL252" s="170"/>
      <c r="AM252" s="170"/>
      <c r="AN252" s="170"/>
      <c r="AO252" s="170"/>
      <c r="AP252" s="170"/>
      <c r="AQ252" s="170"/>
      <c r="AR252" s="170"/>
      <c r="AS252" s="170"/>
      <c r="AT252" s="170"/>
      <c r="AU252" s="170"/>
      <c r="AV252" s="170"/>
      <c r="AW252" s="170"/>
      <c r="AX252" s="170"/>
    </row>
    <row r="253" spans="1:50" ht="15" x14ac:dyDescent="0.25">
      <c r="A253" s="170"/>
      <c r="B253" s="719"/>
      <c r="C253" s="170"/>
      <c r="D253" s="170"/>
      <c r="E253" s="170"/>
      <c r="F253" s="170"/>
      <c r="G253" s="721"/>
      <c r="H253" s="170"/>
      <c r="I253" s="170"/>
      <c r="J253" s="170"/>
      <c r="K253" s="170"/>
      <c r="L253" s="170"/>
      <c r="M253" s="730"/>
      <c r="N253" s="730"/>
      <c r="O253" s="730"/>
      <c r="P253" s="731"/>
      <c r="Q253" s="731"/>
      <c r="R253" s="730"/>
      <c r="S253" s="730"/>
      <c r="T253" s="723"/>
      <c r="U253" s="724"/>
      <c r="V253" s="725"/>
      <c r="W253" s="725"/>
      <c r="X253" s="723"/>
      <c r="Y253" s="723"/>
      <c r="Z253" s="723"/>
      <c r="AA253" s="726"/>
      <c r="AB253" s="726"/>
      <c r="AC253" s="170"/>
      <c r="AD253" s="586"/>
      <c r="AE253" s="586"/>
      <c r="AF253" s="170"/>
      <c r="AG253" s="170"/>
      <c r="AH253" s="170"/>
      <c r="AI253" s="170"/>
      <c r="AJ253" s="170"/>
      <c r="AK253" s="170"/>
      <c r="AL253" s="170"/>
      <c r="AM253" s="170"/>
      <c r="AN253" s="170"/>
      <c r="AO253" s="170"/>
      <c r="AP253" s="170"/>
      <c r="AQ253" s="170"/>
      <c r="AR253" s="170"/>
      <c r="AS253" s="170"/>
      <c r="AT253" s="170"/>
      <c r="AU253" s="170"/>
      <c r="AV253" s="170"/>
      <c r="AW253" s="170"/>
      <c r="AX253" s="170"/>
    </row>
    <row r="254" spans="1:50" ht="15" x14ac:dyDescent="0.25">
      <c r="A254" s="170"/>
      <c r="B254" s="719"/>
      <c r="C254" s="170"/>
      <c r="D254" s="170"/>
      <c r="E254" s="170"/>
      <c r="F254" s="170"/>
      <c r="G254" s="721"/>
      <c r="H254" s="170"/>
      <c r="I254" s="170"/>
      <c r="J254" s="170"/>
      <c r="K254" s="170"/>
      <c r="L254" s="170"/>
      <c r="M254" s="730"/>
      <c r="N254" s="730"/>
      <c r="O254" s="730"/>
      <c r="P254" s="731"/>
      <c r="Q254" s="731"/>
      <c r="R254" s="730"/>
      <c r="S254" s="730"/>
      <c r="T254" s="723"/>
      <c r="U254" s="724"/>
      <c r="V254" s="725"/>
      <c r="W254" s="725"/>
      <c r="X254" s="723"/>
      <c r="Y254" s="723"/>
      <c r="Z254" s="723"/>
      <c r="AA254" s="726"/>
      <c r="AB254" s="726"/>
      <c r="AC254" s="170"/>
      <c r="AD254" s="586"/>
      <c r="AE254" s="586"/>
      <c r="AF254" s="170"/>
      <c r="AG254" s="170"/>
      <c r="AH254" s="170"/>
      <c r="AI254" s="170"/>
      <c r="AJ254" s="170"/>
      <c r="AK254" s="170"/>
      <c r="AL254" s="170"/>
      <c r="AM254" s="170"/>
      <c r="AN254" s="170"/>
      <c r="AO254" s="170"/>
      <c r="AP254" s="170"/>
      <c r="AQ254" s="170"/>
      <c r="AR254" s="170"/>
      <c r="AS254" s="170"/>
      <c r="AT254" s="170"/>
      <c r="AU254" s="170"/>
      <c r="AV254" s="170"/>
      <c r="AW254" s="170"/>
      <c r="AX254" s="170"/>
    </row>
    <row r="255" spans="1:50" ht="15" x14ac:dyDescent="0.25">
      <c r="A255" s="170"/>
      <c r="B255" s="719"/>
      <c r="C255" s="170"/>
      <c r="D255" s="170"/>
      <c r="E255" s="170"/>
      <c r="F255" s="170"/>
      <c r="G255" s="721"/>
      <c r="H255" s="170"/>
      <c r="I255" s="170"/>
      <c r="J255" s="170"/>
      <c r="K255" s="170"/>
      <c r="L255" s="170"/>
      <c r="M255" s="730"/>
      <c r="N255" s="730"/>
      <c r="O255" s="730"/>
      <c r="P255" s="731"/>
      <c r="Q255" s="731"/>
      <c r="R255" s="730"/>
      <c r="S255" s="730"/>
      <c r="T255" s="723"/>
      <c r="U255" s="724"/>
      <c r="V255" s="725"/>
      <c r="W255" s="725"/>
      <c r="X255" s="723"/>
      <c r="Y255" s="723"/>
      <c r="Z255" s="723"/>
      <c r="AA255" s="726"/>
      <c r="AB255" s="726"/>
      <c r="AC255" s="170"/>
      <c r="AD255" s="586"/>
      <c r="AE255" s="586"/>
      <c r="AF255" s="170"/>
      <c r="AG255" s="170"/>
      <c r="AH255" s="170"/>
      <c r="AI255" s="170"/>
      <c r="AJ255" s="170"/>
      <c r="AK255" s="170"/>
      <c r="AL255" s="170"/>
      <c r="AM255" s="170"/>
      <c r="AN255" s="170"/>
      <c r="AO255" s="170"/>
      <c r="AP255" s="170"/>
      <c r="AQ255" s="170"/>
      <c r="AR255" s="170"/>
      <c r="AS255" s="170"/>
      <c r="AT255" s="170"/>
      <c r="AU255" s="170"/>
      <c r="AV255" s="170"/>
      <c r="AW255" s="170"/>
      <c r="AX255" s="170"/>
    </row>
    <row r="256" spans="1:50" ht="15" x14ac:dyDescent="0.25">
      <c r="A256" s="170"/>
      <c r="B256" s="719"/>
      <c r="C256" s="170"/>
      <c r="D256" s="170"/>
      <c r="E256" s="170"/>
      <c r="F256" s="170"/>
      <c r="G256" s="721"/>
      <c r="H256" s="170"/>
      <c r="I256" s="170"/>
      <c r="J256" s="170"/>
      <c r="K256" s="170"/>
      <c r="L256" s="170"/>
      <c r="M256" s="730"/>
      <c r="N256" s="730"/>
      <c r="O256" s="730"/>
      <c r="P256" s="731"/>
      <c r="Q256" s="731"/>
      <c r="R256" s="730"/>
      <c r="S256" s="730"/>
      <c r="T256" s="723"/>
      <c r="U256" s="724"/>
      <c r="V256" s="725"/>
      <c r="W256" s="725"/>
      <c r="X256" s="723"/>
      <c r="Y256" s="723"/>
      <c r="Z256" s="723"/>
      <c r="AA256" s="726"/>
      <c r="AB256" s="726"/>
      <c r="AC256" s="170"/>
      <c r="AD256" s="586"/>
      <c r="AE256" s="586"/>
      <c r="AF256" s="170"/>
      <c r="AG256" s="170"/>
      <c r="AH256" s="170"/>
      <c r="AI256" s="170"/>
      <c r="AJ256" s="170"/>
      <c r="AK256" s="170"/>
      <c r="AL256" s="170"/>
      <c r="AM256" s="170"/>
      <c r="AN256" s="170"/>
      <c r="AO256" s="170"/>
      <c r="AP256" s="170"/>
      <c r="AQ256" s="170"/>
      <c r="AR256" s="170"/>
      <c r="AS256" s="170"/>
      <c r="AT256" s="170"/>
      <c r="AU256" s="170"/>
      <c r="AV256" s="170"/>
      <c r="AW256" s="170"/>
      <c r="AX256" s="170"/>
    </row>
    <row r="257" spans="1:50" ht="15" x14ac:dyDescent="0.25">
      <c r="A257" s="170"/>
      <c r="B257" s="719"/>
      <c r="C257" s="170"/>
      <c r="D257" s="170"/>
      <c r="E257" s="170"/>
      <c r="F257" s="170"/>
      <c r="G257" s="721"/>
      <c r="H257" s="170"/>
      <c r="I257" s="170"/>
      <c r="J257" s="170"/>
      <c r="K257" s="170"/>
      <c r="L257" s="170"/>
      <c r="M257" s="730"/>
      <c r="N257" s="730"/>
      <c r="O257" s="730"/>
      <c r="P257" s="731"/>
      <c r="Q257" s="731"/>
      <c r="R257" s="730"/>
      <c r="S257" s="730"/>
      <c r="T257" s="723"/>
      <c r="U257" s="724"/>
      <c r="V257" s="725"/>
      <c r="W257" s="725"/>
      <c r="X257" s="723"/>
      <c r="Y257" s="723"/>
      <c r="Z257" s="723"/>
      <c r="AA257" s="726"/>
      <c r="AB257" s="726"/>
      <c r="AC257" s="170"/>
      <c r="AD257" s="586"/>
      <c r="AE257" s="586"/>
      <c r="AF257" s="170"/>
      <c r="AG257" s="170"/>
      <c r="AH257" s="170"/>
      <c r="AI257" s="170"/>
      <c r="AJ257" s="170"/>
      <c r="AK257" s="170"/>
      <c r="AL257" s="170"/>
      <c r="AM257" s="170"/>
      <c r="AN257" s="170"/>
      <c r="AO257" s="170"/>
      <c r="AP257" s="170"/>
      <c r="AQ257" s="170"/>
      <c r="AR257" s="170"/>
      <c r="AS257" s="170"/>
      <c r="AT257" s="170"/>
      <c r="AU257" s="170"/>
      <c r="AV257" s="170"/>
      <c r="AW257" s="170"/>
      <c r="AX257" s="170"/>
    </row>
    <row r="258" spans="1:50" ht="15" x14ac:dyDescent="0.25">
      <c r="A258" s="170"/>
      <c r="B258" s="719"/>
      <c r="C258" s="170"/>
      <c r="D258" s="170"/>
      <c r="E258" s="170"/>
      <c r="F258" s="170"/>
      <c r="G258" s="721"/>
      <c r="H258" s="170"/>
      <c r="I258" s="170"/>
      <c r="J258" s="170"/>
      <c r="K258" s="170"/>
      <c r="L258" s="170"/>
      <c r="M258" s="730"/>
      <c r="N258" s="730"/>
      <c r="O258" s="730"/>
      <c r="P258" s="731"/>
      <c r="Q258" s="731"/>
      <c r="R258" s="730"/>
      <c r="S258" s="730"/>
      <c r="T258" s="723"/>
      <c r="U258" s="724"/>
      <c r="V258" s="725"/>
      <c r="W258" s="725"/>
      <c r="X258" s="723"/>
      <c r="Y258" s="723"/>
      <c r="Z258" s="723"/>
      <c r="AA258" s="726"/>
      <c r="AB258" s="726"/>
      <c r="AC258" s="170"/>
      <c r="AD258" s="586"/>
      <c r="AE258" s="586"/>
      <c r="AF258" s="170"/>
      <c r="AG258" s="170"/>
      <c r="AH258" s="170"/>
      <c r="AI258" s="170"/>
      <c r="AJ258" s="170"/>
      <c r="AK258" s="170"/>
      <c r="AL258" s="170"/>
      <c r="AM258" s="170"/>
      <c r="AN258" s="170"/>
      <c r="AO258" s="170"/>
      <c r="AP258" s="170"/>
      <c r="AQ258" s="170"/>
      <c r="AR258" s="170"/>
      <c r="AS258" s="170"/>
      <c r="AT258" s="170"/>
      <c r="AU258" s="170"/>
      <c r="AV258" s="170"/>
      <c r="AW258" s="170"/>
      <c r="AX258" s="170"/>
    </row>
    <row r="259" spans="1:50" ht="15" x14ac:dyDescent="0.25">
      <c r="A259" s="170"/>
      <c r="B259" s="719"/>
      <c r="C259" s="170"/>
      <c r="D259" s="170"/>
      <c r="E259" s="170"/>
      <c r="F259" s="170"/>
      <c r="G259" s="721"/>
      <c r="H259" s="170"/>
      <c r="I259" s="170"/>
      <c r="J259" s="170"/>
      <c r="K259" s="170"/>
      <c r="L259" s="170"/>
      <c r="M259" s="730"/>
      <c r="N259" s="730"/>
      <c r="O259" s="730"/>
      <c r="P259" s="731"/>
      <c r="Q259" s="731"/>
      <c r="R259" s="730"/>
      <c r="S259" s="730"/>
      <c r="T259" s="723"/>
      <c r="U259" s="724"/>
      <c r="V259" s="725"/>
      <c r="W259" s="725"/>
      <c r="X259" s="723"/>
      <c r="Y259" s="723"/>
      <c r="Z259" s="723"/>
      <c r="AA259" s="726"/>
      <c r="AB259" s="726"/>
      <c r="AC259" s="170"/>
      <c r="AD259" s="586"/>
      <c r="AE259" s="586"/>
      <c r="AF259" s="170"/>
      <c r="AG259" s="170"/>
      <c r="AH259" s="170"/>
      <c r="AI259" s="170"/>
      <c r="AJ259" s="170"/>
      <c r="AK259" s="170"/>
      <c r="AL259" s="170"/>
      <c r="AM259" s="170"/>
      <c r="AN259" s="170"/>
      <c r="AO259" s="170"/>
      <c r="AP259" s="170"/>
      <c r="AQ259" s="170"/>
      <c r="AR259" s="170"/>
      <c r="AS259" s="170"/>
      <c r="AT259" s="170"/>
      <c r="AU259" s="170"/>
      <c r="AV259" s="170"/>
      <c r="AW259" s="170"/>
      <c r="AX259" s="170"/>
    </row>
    <row r="260" spans="1:50" ht="15" x14ac:dyDescent="0.25">
      <c r="A260" s="170"/>
      <c r="B260" s="719"/>
      <c r="C260" s="170"/>
      <c r="D260" s="170"/>
      <c r="E260" s="170"/>
      <c r="F260" s="170"/>
      <c r="G260" s="721"/>
      <c r="H260" s="170"/>
      <c r="I260" s="170"/>
      <c r="J260" s="170"/>
      <c r="K260" s="170"/>
      <c r="L260" s="170"/>
      <c r="M260" s="730"/>
      <c r="N260" s="730"/>
      <c r="O260" s="730"/>
      <c r="P260" s="731"/>
      <c r="Q260" s="731"/>
      <c r="R260" s="730"/>
      <c r="S260" s="730"/>
      <c r="T260" s="723"/>
      <c r="U260" s="724"/>
      <c r="V260" s="725"/>
      <c r="W260" s="725"/>
      <c r="X260" s="723"/>
      <c r="Y260" s="723"/>
      <c r="Z260" s="723"/>
      <c r="AA260" s="726"/>
      <c r="AB260" s="726"/>
      <c r="AC260" s="170"/>
      <c r="AD260" s="586"/>
      <c r="AE260" s="586"/>
      <c r="AF260" s="170"/>
      <c r="AG260" s="170"/>
      <c r="AH260" s="170"/>
      <c r="AI260" s="170"/>
      <c r="AJ260" s="170"/>
      <c r="AK260" s="170"/>
      <c r="AL260" s="170"/>
      <c r="AM260" s="170"/>
      <c r="AN260" s="170"/>
      <c r="AO260" s="170"/>
      <c r="AP260" s="170"/>
      <c r="AQ260" s="170"/>
      <c r="AR260" s="170"/>
      <c r="AS260" s="170"/>
      <c r="AT260" s="170"/>
      <c r="AU260" s="170"/>
      <c r="AV260" s="170"/>
      <c r="AW260" s="170"/>
      <c r="AX260" s="170"/>
    </row>
    <row r="261" spans="1:50" ht="15" x14ac:dyDescent="0.25">
      <c r="A261" s="170"/>
      <c r="B261" s="719"/>
      <c r="C261" s="170"/>
      <c r="D261" s="170"/>
      <c r="E261" s="170"/>
      <c r="F261" s="170"/>
      <c r="G261" s="721"/>
      <c r="H261" s="170"/>
      <c r="I261" s="170"/>
      <c r="J261" s="170"/>
      <c r="K261" s="170"/>
      <c r="L261" s="170"/>
      <c r="M261" s="730"/>
      <c r="N261" s="730"/>
      <c r="O261" s="730"/>
      <c r="P261" s="731"/>
      <c r="Q261" s="731"/>
      <c r="R261" s="730"/>
      <c r="S261" s="730"/>
      <c r="T261" s="723"/>
      <c r="U261" s="724"/>
      <c r="V261" s="725"/>
      <c r="W261" s="725"/>
      <c r="X261" s="723"/>
      <c r="Y261" s="723"/>
      <c r="Z261" s="723"/>
      <c r="AA261" s="726"/>
      <c r="AB261" s="726"/>
      <c r="AC261" s="170"/>
      <c r="AD261" s="586"/>
      <c r="AE261" s="586"/>
      <c r="AF261" s="170"/>
      <c r="AG261" s="170"/>
      <c r="AH261" s="170"/>
      <c r="AI261" s="170"/>
      <c r="AJ261" s="170"/>
      <c r="AK261" s="170"/>
      <c r="AL261" s="170"/>
      <c r="AM261" s="170"/>
      <c r="AN261" s="170"/>
      <c r="AO261" s="170"/>
      <c r="AP261" s="170"/>
      <c r="AQ261" s="170"/>
      <c r="AR261" s="170"/>
      <c r="AS261" s="170"/>
      <c r="AT261" s="170"/>
      <c r="AU261" s="170"/>
      <c r="AV261" s="170"/>
      <c r="AW261" s="170"/>
      <c r="AX261" s="170"/>
    </row>
    <row r="262" spans="1:50" ht="15" x14ac:dyDescent="0.25">
      <c r="A262" s="170"/>
      <c r="B262" s="719"/>
      <c r="C262" s="170"/>
      <c r="D262" s="170"/>
      <c r="E262" s="170"/>
      <c r="F262" s="170"/>
      <c r="G262" s="721"/>
      <c r="H262" s="170"/>
      <c r="I262" s="170"/>
      <c r="J262" s="170"/>
      <c r="K262" s="170"/>
      <c r="L262" s="170"/>
      <c r="M262" s="730"/>
      <c r="N262" s="730"/>
      <c r="O262" s="730"/>
      <c r="P262" s="731"/>
      <c r="Q262" s="731"/>
      <c r="R262" s="730"/>
      <c r="S262" s="730"/>
      <c r="T262" s="723"/>
      <c r="U262" s="724"/>
      <c r="V262" s="725"/>
      <c r="W262" s="725"/>
      <c r="X262" s="723"/>
      <c r="Y262" s="723"/>
      <c r="Z262" s="723"/>
      <c r="AA262" s="726"/>
      <c r="AB262" s="726"/>
      <c r="AC262" s="170"/>
      <c r="AD262" s="586"/>
      <c r="AE262" s="586"/>
      <c r="AF262" s="170"/>
      <c r="AG262" s="170"/>
      <c r="AH262" s="170"/>
      <c r="AI262" s="170"/>
      <c r="AJ262" s="170"/>
      <c r="AK262" s="170"/>
      <c r="AL262" s="170"/>
      <c r="AM262" s="170"/>
      <c r="AN262" s="170"/>
      <c r="AO262" s="170"/>
      <c r="AP262" s="170"/>
      <c r="AQ262" s="170"/>
      <c r="AR262" s="170"/>
      <c r="AS262" s="170"/>
      <c r="AT262" s="170"/>
      <c r="AU262" s="170"/>
      <c r="AV262" s="170"/>
      <c r="AW262" s="170"/>
      <c r="AX262" s="170"/>
    </row>
    <row r="263" spans="1:50" ht="15" x14ac:dyDescent="0.25">
      <c r="A263" s="170"/>
      <c r="B263" s="719"/>
      <c r="C263" s="170"/>
      <c r="D263" s="170"/>
      <c r="E263" s="170"/>
      <c r="F263" s="170"/>
      <c r="G263" s="721"/>
      <c r="H263" s="170"/>
      <c r="I263" s="170"/>
      <c r="J263" s="170"/>
      <c r="K263" s="170"/>
      <c r="L263" s="170"/>
      <c r="M263" s="730"/>
      <c r="N263" s="730"/>
      <c r="O263" s="730"/>
      <c r="P263" s="731"/>
      <c r="Q263" s="731"/>
      <c r="R263" s="730"/>
      <c r="S263" s="730"/>
      <c r="T263" s="723"/>
      <c r="U263" s="724"/>
      <c r="V263" s="725"/>
      <c r="W263" s="725"/>
      <c r="X263" s="723"/>
      <c r="Y263" s="723"/>
      <c r="Z263" s="723"/>
      <c r="AA263" s="726"/>
      <c r="AB263" s="726"/>
      <c r="AC263" s="170"/>
      <c r="AD263" s="586"/>
      <c r="AE263" s="586"/>
      <c r="AF263" s="170"/>
      <c r="AG263" s="170"/>
      <c r="AH263" s="170"/>
      <c r="AI263" s="170"/>
      <c r="AJ263" s="170"/>
      <c r="AK263" s="170"/>
      <c r="AL263" s="170"/>
      <c r="AM263" s="170"/>
      <c r="AN263" s="170"/>
      <c r="AO263" s="170"/>
      <c r="AP263" s="170"/>
      <c r="AQ263" s="170"/>
      <c r="AR263" s="170"/>
      <c r="AS263" s="170"/>
      <c r="AT263" s="170"/>
      <c r="AU263" s="170"/>
      <c r="AV263" s="170"/>
      <c r="AW263" s="170"/>
      <c r="AX263" s="170"/>
    </row>
    <row r="264" spans="1:50" ht="15" x14ac:dyDescent="0.25">
      <c r="A264" s="170"/>
      <c r="B264" s="719"/>
      <c r="C264" s="170"/>
      <c r="D264" s="170"/>
      <c r="E264" s="170"/>
      <c r="F264" s="170"/>
      <c r="G264" s="721"/>
      <c r="H264" s="170"/>
      <c r="I264" s="170"/>
      <c r="J264" s="170"/>
      <c r="K264" s="170"/>
      <c r="L264" s="170"/>
      <c r="M264" s="730"/>
      <c r="N264" s="730"/>
      <c r="O264" s="730"/>
      <c r="P264" s="731"/>
      <c r="Q264" s="731"/>
      <c r="R264" s="730"/>
      <c r="S264" s="730"/>
      <c r="T264" s="723"/>
      <c r="U264" s="724"/>
      <c r="V264" s="725"/>
      <c r="W264" s="725"/>
      <c r="X264" s="723"/>
      <c r="Y264" s="723"/>
      <c r="Z264" s="723"/>
      <c r="AA264" s="726"/>
      <c r="AB264" s="726"/>
      <c r="AC264" s="170"/>
      <c r="AD264" s="586"/>
      <c r="AE264" s="586"/>
      <c r="AF264" s="170"/>
      <c r="AG264" s="170"/>
      <c r="AH264" s="170"/>
      <c r="AI264" s="170"/>
      <c r="AJ264" s="170"/>
      <c r="AK264" s="170"/>
      <c r="AL264" s="170"/>
      <c r="AM264" s="170"/>
      <c r="AN264" s="170"/>
      <c r="AO264" s="170"/>
      <c r="AP264" s="170"/>
      <c r="AQ264" s="170"/>
      <c r="AR264" s="170"/>
      <c r="AS264" s="170"/>
      <c r="AT264" s="170"/>
      <c r="AU264" s="170"/>
      <c r="AV264" s="170"/>
      <c r="AW264" s="170"/>
      <c r="AX264" s="170"/>
    </row>
    <row r="265" spans="1:50" ht="15" x14ac:dyDescent="0.25">
      <c r="A265" s="170"/>
      <c r="B265" s="719"/>
      <c r="C265" s="170"/>
      <c r="D265" s="170"/>
      <c r="E265" s="170"/>
      <c r="F265" s="170"/>
      <c r="G265" s="721"/>
      <c r="H265" s="170"/>
      <c r="I265" s="170"/>
      <c r="J265" s="170"/>
      <c r="K265" s="170"/>
      <c r="L265" s="170"/>
      <c r="M265" s="730"/>
      <c r="N265" s="730"/>
      <c r="O265" s="730"/>
      <c r="P265" s="731"/>
      <c r="Q265" s="731"/>
      <c r="R265" s="730"/>
      <c r="S265" s="730"/>
      <c r="T265" s="723"/>
      <c r="U265" s="724"/>
      <c r="V265" s="725"/>
      <c r="W265" s="725"/>
      <c r="X265" s="723"/>
      <c r="Y265" s="723"/>
      <c r="Z265" s="723"/>
      <c r="AA265" s="726"/>
      <c r="AB265" s="726"/>
      <c r="AC265" s="170"/>
      <c r="AD265" s="586"/>
      <c r="AE265" s="586"/>
      <c r="AF265" s="170"/>
      <c r="AG265" s="170"/>
      <c r="AH265" s="170"/>
      <c r="AI265" s="170"/>
      <c r="AJ265" s="170"/>
      <c r="AK265" s="170"/>
      <c r="AL265" s="170"/>
      <c r="AM265" s="170"/>
      <c r="AN265" s="170"/>
      <c r="AO265" s="170"/>
      <c r="AP265" s="170"/>
      <c r="AQ265" s="170"/>
      <c r="AR265" s="170"/>
      <c r="AS265" s="170"/>
      <c r="AT265" s="170"/>
      <c r="AU265" s="170"/>
      <c r="AV265" s="170"/>
      <c r="AW265" s="170"/>
      <c r="AX265" s="170"/>
    </row>
    <row r="266" spans="1:50" ht="15" x14ac:dyDescent="0.25">
      <c r="A266" s="170"/>
      <c r="B266" s="719"/>
      <c r="C266" s="170"/>
      <c r="D266" s="170"/>
      <c r="E266" s="170"/>
      <c r="F266" s="170"/>
      <c r="G266" s="721"/>
      <c r="H266" s="170"/>
      <c r="I266" s="170"/>
      <c r="J266" s="170"/>
      <c r="K266" s="170"/>
      <c r="L266" s="170"/>
      <c r="M266" s="730"/>
      <c r="N266" s="730"/>
      <c r="O266" s="730"/>
      <c r="P266" s="731"/>
      <c r="Q266" s="731"/>
      <c r="R266" s="730"/>
      <c r="S266" s="730"/>
      <c r="T266" s="723"/>
      <c r="U266" s="724"/>
      <c r="V266" s="725"/>
      <c r="W266" s="725"/>
      <c r="X266" s="723"/>
      <c r="Y266" s="723"/>
      <c r="Z266" s="723"/>
      <c r="AA266" s="726"/>
      <c r="AB266" s="726"/>
      <c r="AC266" s="170"/>
      <c r="AD266" s="586"/>
      <c r="AE266" s="586"/>
      <c r="AF266" s="170"/>
      <c r="AG266" s="170"/>
      <c r="AH266" s="170"/>
      <c r="AI266" s="170"/>
      <c r="AJ266" s="170"/>
      <c r="AK266" s="170"/>
      <c r="AL266" s="170"/>
      <c r="AM266" s="170"/>
      <c r="AN266" s="170"/>
      <c r="AO266" s="170"/>
      <c r="AP266" s="170"/>
      <c r="AQ266" s="170"/>
      <c r="AR266" s="170"/>
      <c r="AS266" s="170"/>
      <c r="AT266" s="170"/>
      <c r="AU266" s="170"/>
      <c r="AV266" s="170"/>
      <c r="AW266" s="170"/>
      <c r="AX266" s="170"/>
    </row>
    <row r="267" spans="1:50" ht="15" x14ac:dyDescent="0.25">
      <c r="A267" s="170"/>
      <c r="B267" s="719"/>
      <c r="C267" s="170"/>
      <c r="D267" s="170"/>
      <c r="E267" s="170"/>
      <c r="F267" s="170"/>
      <c r="G267" s="721"/>
      <c r="H267" s="170"/>
      <c r="I267" s="170"/>
      <c r="J267" s="170"/>
      <c r="K267" s="170"/>
      <c r="L267" s="170"/>
      <c r="M267" s="730"/>
      <c r="N267" s="730"/>
      <c r="O267" s="730"/>
      <c r="P267" s="731"/>
      <c r="Q267" s="731"/>
      <c r="R267" s="730"/>
      <c r="S267" s="730"/>
      <c r="T267" s="723"/>
      <c r="U267" s="724"/>
      <c r="V267" s="725"/>
      <c r="W267" s="725"/>
      <c r="X267" s="723"/>
      <c r="Y267" s="723"/>
      <c r="Z267" s="723"/>
      <c r="AA267" s="726"/>
      <c r="AB267" s="726"/>
      <c r="AC267" s="170"/>
      <c r="AD267" s="586"/>
      <c r="AE267" s="586"/>
      <c r="AF267" s="170"/>
      <c r="AG267" s="170"/>
      <c r="AH267" s="170"/>
      <c r="AI267" s="170"/>
      <c r="AJ267" s="170"/>
      <c r="AK267" s="170"/>
      <c r="AL267" s="170"/>
      <c r="AM267" s="170"/>
      <c r="AN267" s="170"/>
      <c r="AO267" s="170"/>
      <c r="AP267" s="170"/>
      <c r="AQ267" s="170"/>
      <c r="AR267" s="170"/>
      <c r="AS267" s="170"/>
      <c r="AT267" s="170"/>
      <c r="AU267" s="170"/>
      <c r="AV267" s="170"/>
      <c r="AW267" s="170"/>
      <c r="AX267" s="170"/>
    </row>
    <row r="268" spans="1:50" ht="15" x14ac:dyDescent="0.25">
      <c r="A268" s="170"/>
      <c r="B268" s="719"/>
      <c r="C268" s="170"/>
      <c r="D268" s="170"/>
      <c r="E268" s="170"/>
      <c r="F268" s="170"/>
      <c r="G268" s="721"/>
      <c r="H268" s="170"/>
      <c r="I268" s="170"/>
      <c r="J268" s="170"/>
      <c r="K268" s="170"/>
      <c r="L268" s="170"/>
      <c r="M268" s="730"/>
      <c r="N268" s="730"/>
      <c r="O268" s="730"/>
      <c r="P268" s="731"/>
      <c r="Q268" s="731"/>
      <c r="R268" s="730"/>
      <c r="S268" s="730"/>
      <c r="T268" s="723"/>
      <c r="U268" s="724"/>
      <c r="V268" s="725"/>
      <c r="W268" s="725"/>
      <c r="X268" s="723"/>
      <c r="Y268" s="723"/>
      <c r="Z268" s="723"/>
      <c r="AA268" s="726"/>
      <c r="AB268" s="726"/>
      <c r="AC268" s="170"/>
      <c r="AD268" s="586"/>
      <c r="AE268" s="586"/>
      <c r="AF268" s="170"/>
      <c r="AG268" s="170"/>
      <c r="AH268" s="170"/>
      <c r="AI268" s="170"/>
      <c r="AJ268" s="170"/>
      <c r="AK268" s="170"/>
      <c r="AL268" s="170"/>
      <c r="AM268" s="170"/>
      <c r="AN268" s="170"/>
      <c r="AO268" s="170"/>
      <c r="AP268" s="170"/>
      <c r="AQ268" s="170"/>
      <c r="AR268" s="170"/>
      <c r="AS268" s="170"/>
      <c r="AT268" s="170"/>
      <c r="AU268" s="170"/>
      <c r="AV268" s="170"/>
      <c r="AW268" s="170"/>
      <c r="AX268" s="170"/>
    </row>
    <row r="269" spans="1:50" ht="15" x14ac:dyDescent="0.25">
      <c r="A269" s="170"/>
      <c r="B269" s="719"/>
      <c r="C269" s="170"/>
      <c r="D269" s="170"/>
      <c r="E269" s="170"/>
      <c r="F269" s="170"/>
      <c r="G269" s="721"/>
      <c r="H269" s="170"/>
      <c r="I269" s="170"/>
      <c r="J269" s="170"/>
      <c r="K269" s="170"/>
      <c r="L269" s="170"/>
      <c r="M269" s="730"/>
      <c r="N269" s="730"/>
      <c r="O269" s="730"/>
      <c r="P269" s="731"/>
      <c r="Q269" s="731"/>
      <c r="R269" s="730"/>
      <c r="S269" s="730"/>
      <c r="T269" s="723"/>
      <c r="U269" s="724"/>
      <c r="V269" s="725"/>
      <c r="W269" s="725"/>
      <c r="X269" s="723"/>
      <c r="Y269" s="723"/>
      <c r="Z269" s="723"/>
      <c r="AA269" s="726"/>
      <c r="AB269" s="726"/>
      <c r="AC269" s="170"/>
      <c r="AD269" s="586"/>
      <c r="AE269" s="586"/>
      <c r="AF269" s="170"/>
      <c r="AG269" s="170"/>
      <c r="AH269" s="170"/>
      <c r="AI269" s="170"/>
      <c r="AJ269" s="170"/>
      <c r="AK269" s="170"/>
      <c r="AL269" s="170"/>
      <c r="AM269" s="170"/>
      <c r="AN269" s="170"/>
      <c r="AO269" s="170"/>
      <c r="AP269" s="170"/>
      <c r="AQ269" s="170"/>
      <c r="AR269" s="170"/>
      <c r="AS269" s="170"/>
      <c r="AT269" s="170"/>
      <c r="AU269" s="170"/>
      <c r="AV269" s="170"/>
      <c r="AW269" s="170"/>
      <c r="AX269" s="170"/>
    </row>
    <row r="270" spans="1:50" ht="15" x14ac:dyDescent="0.25">
      <c r="A270" s="170"/>
      <c r="B270" s="719"/>
      <c r="C270" s="170"/>
      <c r="D270" s="170"/>
      <c r="E270" s="170"/>
      <c r="F270" s="170"/>
      <c r="G270" s="721"/>
      <c r="H270" s="170"/>
      <c r="I270" s="170"/>
      <c r="J270" s="170"/>
      <c r="K270" s="170"/>
      <c r="L270" s="170"/>
      <c r="M270" s="730"/>
      <c r="N270" s="730"/>
      <c r="O270" s="730"/>
      <c r="P270" s="731"/>
      <c r="Q270" s="731"/>
      <c r="R270" s="730"/>
      <c r="S270" s="730"/>
      <c r="T270" s="723"/>
      <c r="U270" s="724"/>
      <c r="V270" s="725"/>
      <c r="W270" s="725"/>
      <c r="X270" s="723"/>
      <c r="Y270" s="723"/>
      <c r="Z270" s="723"/>
      <c r="AA270" s="726"/>
      <c r="AB270" s="726"/>
      <c r="AC270" s="170"/>
      <c r="AD270" s="586"/>
      <c r="AE270" s="586"/>
      <c r="AF270" s="170"/>
      <c r="AG270" s="170"/>
      <c r="AH270" s="170"/>
      <c r="AI270" s="170"/>
      <c r="AJ270" s="170"/>
      <c r="AK270" s="170"/>
      <c r="AL270" s="170"/>
      <c r="AM270" s="170"/>
      <c r="AN270" s="170"/>
      <c r="AO270" s="170"/>
      <c r="AP270" s="170"/>
      <c r="AQ270" s="170"/>
      <c r="AR270" s="170"/>
      <c r="AS270" s="170"/>
      <c r="AT270" s="170"/>
      <c r="AU270" s="170"/>
      <c r="AV270" s="170"/>
      <c r="AW270" s="170"/>
      <c r="AX270" s="170"/>
    </row>
    <row r="271" spans="1:50" ht="15" x14ac:dyDescent="0.25">
      <c r="A271" s="170"/>
      <c r="B271" s="719"/>
      <c r="C271" s="170"/>
      <c r="D271" s="170"/>
      <c r="E271" s="170"/>
      <c r="F271" s="170"/>
      <c r="G271" s="721"/>
      <c r="H271" s="170"/>
      <c r="I271" s="170"/>
      <c r="J271" s="170"/>
      <c r="K271" s="170"/>
      <c r="L271" s="170"/>
      <c r="M271" s="730"/>
      <c r="N271" s="730"/>
      <c r="O271" s="730"/>
      <c r="P271" s="731"/>
      <c r="Q271" s="731"/>
      <c r="R271" s="730"/>
      <c r="S271" s="730"/>
      <c r="T271" s="723"/>
      <c r="U271" s="724"/>
      <c r="V271" s="725"/>
      <c r="W271" s="725"/>
      <c r="X271" s="723"/>
      <c r="Y271" s="723"/>
      <c r="Z271" s="723"/>
      <c r="AA271" s="726"/>
      <c r="AB271" s="726"/>
      <c r="AC271" s="170"/>
      <c r="AD271" s="586"/>
      <c r="AE271" s="586"/>
      <c r="AF271" s="170"/>
      <c r="AG271" s="170"/>
      <c r="AH271" s="170"/>
      <c r="AI271" s="170"/>
      <c r="AJ271" s="170"/>
      <c r="AK271" s="170"/>
      <c r="AL271" s="170"/>
      <c r="AM271" s="170"/>
      <c r="AN271" s="170"/>
      <c r="AO271" s="170"/>
      <c r="AP271" s="170"/>
      <c r="AQ271" s="170"/>
      <c r="AR271" s="170"/>
      <c r="AS271" s="170"/>
      <c r="AT271" s="170"/>
      <c r="AU271" s="170"/>
      <c r="AV271" s="170"/>
      <c r="AW271" s="170"/>
      <c r="AX271" s="170"/>
    </row>
    <row r="272" spans="1:50" ht="15" x14ac:dyDescent="0.25">
      <c r="A272" s="170"/>
      <c r="B272" s="719"/>
      <c r="C272" s="170"/>
      <c r="D272" s="170"/>
      <c r="E272" s="170"/>
      <c r="F272" s="170"/>
      <c r="G272" s="721"/>
      <c r="H272" s="170"/>
      <c r="I272" s="170"/>
      <c r="J272" s="170"/>
      <c r="K272" s="170"/>
      <c r="L272" s="170"/>
      <c r="M272" s="730"/>
      <c r="N272" s="730"/>
      <c r="O272" s="730"/>
      <c r="P272" s="731"/>
      <c r="Q272" s="731"/>
      <c r="R272" s="730"/>
      <c r="S272" s="730"/>
      <c r="T272" s="723"/>
      <c r="U272" s="724"/>
      <c r="V272" s="725"/>
      <c r="W272" s="725"/>
      <c r="X272" s="723"/>
      <c r="Y272" s="723"/>
      <c r="Z272" s="723"/>
      <c r="AA272" s="726"/>
      <c r="AB272" s="726"/>
      <c r="AC272" s="170"/>
      <c r="AD272" s="586"/>
      <c r="AE272" s="586"/>
      <c r="AF272" s="170"/>
      <c r="AG272" s="170"/>
      <c r="AH272" s="170"/>
      <c r="AI272" s="170"/>
      <c r="AJ272" s="170"/>
      <c r="AK272" s="170"/>
      <c r="AL272" s="170"/>
      <c r="AM272" s="170"/>
      <c r="AN272" s="170"/>
      <c r="AO272" s="170"/>
      <c r="AP272" s="170"/>
      <c r="AQ272" s="170"/>
      <c r="AR272" s="170"/>
      <c r="AS272" s="170"/>
      <c r="AT272" s="170"/>
      <c r="AU272" s="170"/>
      <c r="AV272" s="170"/>
      <c r="AW272" s="170"/>
      <c r="AX272" s="170"/>
    </row>
    <row r="273" spans="1:50" ht="15" x14ac:dyDescent="0.25">
      <c r="A273" s="170"/>
      <c r="B273" s="719"/>
      <c r="C273" s="170"/>
      <c r="D273" s="170"/>
      <c r="E273" s="170"/>
      <c r="F273" s="170"/>
      <c r="G273" s="721"/>
      <c r="H273" s="170"/>
      <c r="I273" s="170"/>
      <c r="J273" s="170"/>
      <c r="K273" s="170"/>
      <c r="L273" s="170"/>
      <c r="M273" s="730"/>
      <c r="N273" s="730"/>
      <c r="O273" s="730"/>
      <c r="P273" s="731"/>
      <c r="Q273" s="731"/>
      <c r="R273" s="730"/>
      <c r="S273" s="730"/>
      <c r="T273" s="723"/>
      <c r="U273" s="724"/>
      <c r="V273" s="725"/>
      <c r="W273" s="725"/>
      <c r="X273" s="723"/>
      <c r="Y273" s="723"/>
      <c r="Z273" s="723"/>
      <c r="AA273" s="726"/>
      <c r="AB273" s="726"/>
      <c r="AC273" s="170"/>
      <c r="AD273" s="586"/>
      <c r="AE273" s="586"/>
      <c r="AF273" s="170"/>
      <c r="AG273" s="170"/>
      <c r="AH273" s="170"/>
      <c r="AI273" s="170"/>
      <c r="AJ273" s="170"/>
      <c r="AK273" s="170"/>
      <c r="AL273" s="170"/>
      <c r="AM273" s="170"/>
      <c r="AN273" s="170"/>
      <c r="AO273" s="170"/>
      <c r="AP273" s="170"/>
      <c r="AQ273" s="170"/>
      <c r="AR273" s="170"/>
      <c r="AS273" s="170"/>
      <c r="AT273" s="170"/>
      <c r="AU273" s="170"/>
      <c r="AV273" s="170"/>
      <c r="AW273" s="170"/>
      <c r="AX273" s="170"/>
    </row>
    <row r="274" spans="1:50" ht="15" x14ac:dyDescent="0.25">
      <c r="A274" s="170"/>
      <c r="B274" s="719"/>
      <c r="C274" s="170"/>
      <c r="D274" s="170"/>
      <c r="E274" s="170"/>
      <c r="F274" s="170"/>
      <c r="G274" s="721"/>
      <c r="H274" s="170"/>
      <c r="I274" s="170"/>
      <c r="J274" s="170"/>
      <c r="K274" s="170"/>
      <c r="L274" s="170"/>
      <c r="M274" s="730"/>
      <c r="N274" s="730"/>
      <c r="O274" s="730"/>
      <c r="P274" s="731"/>
      <c r="Q274" s="731"/>
      <c r="R274" s="730"/>
      <c r="S274" s="730"/>
      <c r="T274" s="723"/>
      <c r="U274" s="724"/>
      <c r="V274" s="725"/>
      <c r="W274" s="725"/>
      <c r="X274" s="723"/>
      <c r="Y274" s="723"/>
      <c r="Z274" s="723"/>
      <c r="AA274" s="726"/>
      <c r="AB274" s="726"/>
      <c r="AC274" s="170"/>
      <c r="AD274" s="586"/>
      <c r="AE274" s="586"/>
      <c r="AF274" s="170"/>
      <c r="AG274" s="170"/>
      <c r="AH274" s="170"/>
      <c r="AI274" s="170"/>
      <c r="AJ274" s="170"/>
      <c r="AK274" s="170"/>
      <c r="AL274" s="170"/>
      <c r="AM274" s="170"/>
      <c r="AN274" s="170"/>
      <c r="AO274" s="170"/>
      <c r="AP274" s="170"/>
      <c r="AQ274" s="170"/>
      <c r="AR274" s="170"/>
      <c r="AS274" s="170"/>
      <c r="AT274" s="170"/>
      <c r="AU274" s="170"/>
      <c r="AV274" s="170"/>
      <c r="AW274" s="170"/>
      <c r="AX274" s="170"/>
    </row>
    <row r="275" spans="1:50" ht="15" x14ac:dyDescent="0.25">
      <c r="A275" s="170"/>
      <c r="B275" s="719"/>
      <c r="C275" s="170"/>
      <c r="D275" s="170"/>
      <c r="E275" s="170"/>
      <c r="F275" s="170"/>
      <c r="G275" s="721"/>
      <c r="H275" s="170"/>
      <c r="I275" s="170"/>
      <c r="J275" s="170"/>
      <c r="K275" s="170"/>
      <c r="L275" s="170"/>
      <c r="M275" s="730"/>
      <c r="N275" s="730"/>
      <c r="O275" s="730"/>
      <c r="P275" s="731"/>
      <c r="Q275" s="731"/>
      <c r="R275" s="730"/>
      <c r="S275" s="730"/>
      <c r="T275" s="723"/>
      <c r="U275" s="724"/>
      <c r="V275" s="725"/>
      <c r="W275" s="725"/>
      <c r="X275" s="723"/>
      <c r="Y275" s="723"/>
      <c r="Z275" s="723"/>
      <c r="AA275" s="726"/>
      <c r="AB275" s="726"/>
      <c r="AC275" s="170"/>
      <c r="AD275" s="586"/>
      <c r="AE275" s="586"/>
      <c r="AF275" s="170"/>
      <c r="AG275" s="170"/>
      <c r="AH275" s="170"/>
      <c r="AI275" s="170"/>
      <c r="AJ275" s="170"/>
      <c r="AK275" s="170"/>
      <c r="AL275" s="170"/>
      <c r="AM275" s="170"/>
      <c r="AN275" s="170"/>
      <c r="AO275" s="170"/>
      <c r="AP275" s="170"/>
      <c r="AQ275" s="170"/>
      <c r="AR275" s="170"/>
      <c r="AS275" s="170"/>
      <c r="AT275" s="170"/>
      <c r="AU275" s="170"/>
      <c r="AV275" s="170"/>
      <c r="AW275" s="170"/>
      <c r="AX275" s="170"/>
    </row>
    <row r="276" spans="1:50" ht="15" x14ac:dyDescent="0.25">
      <c r="A276" s="170"/>
      <c r="B276" s="719"/>
      <c r="C276" s="170"/>
      <c r="D276" s="170"/>
      <c r="E276" s="170"/>
      <c r="F276" s="170"/>
      <c r="G276" s="721"/>
      <c r="H276" s="170"/>
      <c r="I276" s="170"/>
      <c r="J276" s="170"/>
      <c r="K276" s="170"/>
      <c r="L276" s="170"/>
      <c r="M276" s="730"/>
      <c r="N276" s="730"/>
      <c r="O276" s="730"/>
      <c r="P276" s="731"/>
      <c r="Q276" s="731"/>
      <c r="R276" s="730"/>
      <c r="S276" s="730"/>
      <c r="T276" s="723"/>
      <c r="U276" s="724"/>
      <c r="V276" s="725"/>
      <c r="W276" s="725"/>
      <c r="X276" s="723"/>
      <c r="Y276" s="723"/>
      <c r="Z276" s="723"/>
      <c r="AA276" s="726"/>
      <c r="AB276" s="726"/>
      <c r="AC276" s="170"/>
      <c r="AD276" s="586"/>
      <c r="AE276" s="586"/>
      <c r="AF276" s="170"/>
      <c r="AG276" s="170"/>
      <c r="AH276" s="170"/>
      <c r="AI276" s="170"/>
      <c r="AJ276" s="170"/>
      <c r="AK276" s="170"/>
      <c r="AL276" s="170"/>
      <c r="AM276" s="170"/>
      <c r="AN276" s="170"/>
      <c r="AO276" s="170"/>
      <c r="AP276" s="170"/>
      <c r="AQ276" s="170"/>
      <c r="AR276" s="170"/>
      <c r="AS276" s="170"/>
      <c r="AT276" s="170"/>
      <c r="AU276" s="170"/>
      <c r="AV276" s="170"/>
      <c r="AW276" s="170"/>
      <c r="AX276" s="170"/>
    </row>
    <row r="277" spans="1:50" ht="15" x14ac:dyDescent="0.25">
      <c r="A277" s="170"/>
      <c r="B277" s="719"/>
      <c r="C277" s="170"/>
      <c r="D277" s="170"/>
      <c r="E277" s="170"/>
      <c r="F277" s="170"/>
      <c r="G277" s="721"/>
      <c r="H277" s="170"/>
      <c r="I277" s="170"/>
      <c r="J277" s="170"/>
      <c r="K277" s="170"/>
      <c r="L277" s="170"/>
      <c r="M277" s="730"/>
      <c r="N277" s="730"/>
      <c r="O277" s="730"/>
      <c r="P277" s="731"/>
      <c r="Q277" s="731"/>
      <c r="R277" s="730"/>
      <c r="S277" s="730"/>
      <c r="T277" s="723"/>
      <c r="U277" s="724"/>
      <c r="V277" s="725"/>
      <c r="W277" s="725"/>
      <c r="X277" s="723"/>
      <c r="Y277" s="723"/>
      <c r="Z277" s="723"/>
      <c r="AA277" s="726"/>
      <c r="AB277" s="726"/>
      <c r="AC277" s="170"/>
      <c r="AD277" s="586"/>
      <c r="AE277" s="586"/>
      <c r="AF277" s="170"/>
      <c r="AG277" s="170"/>
      <c r="AH277" s="170"/>
      <c r="AI277" s="170"/>
      <c r="AJ277" s="170"/>
      <c r="AK277" s="170"/>
      <c r="AL277" s="170"/>
      <c r="AM277" s="170"/>
      <c r="AN277" s="170"/>
      <c r="AO277" s="170"/>
      <c r="AP277" s="170"/>
      <c r="AQ277" s="170"/>
      <c r="AR277" s="170"/>
      <c r="AS277" s="170"/>
      <c r="AT277" s="170"/>
      <c r="AU277" s="170"/>
      <c r="AV277" s="170"/>
      <c r="AW277" s="170"/>
      <c r="AX277" s="170"/>
    </row>
    <row r="278" spans="1:50" ht="15" x14ac:dyDescent="0.25">
      <c r="A278" s="170"/>
      <c r="B278" s="719"/>
      <c r="C278" s="170"/>
      <c r="D278" s="170"/>
      <c r="E278" s="170"/>
      <c r="F278" s="170"/>
      <c r="G278" s="721"/>
      <c r="H278" s="170"/>
      <c r="I278" s="170"/>
      <c r="J278" s="170"/>
      <c r="K278" s="170"/>
      <c r="L278" s="170"/>
      <c r="M278" s="730"/>
      <c r="N278" s="730"/>
      <c r="O278" s="730"/>
      <c r="P278" s="731"/>
      <c r="Q278" s="731"/>
      <c r="R278" s="730"/>
      <c r="S278" s="730"/>
      <c r="T278" s="723"/>
      <c r="U278" s="724"/>
      <c r="V278" s="725"/>
      <c r="W278" s="725"/>
      <c r="X278" s="723"/>
      <c r="Y278" s="723"/>
      <c r="Z278" s="723"/>
      <c r="AA278" s="726"/>
      <c r="AB278" s="726"/>
      <c r="AC278" s="170"/>
      <c r="AD278" s="586"/>
      <c r="AE278" s="586"/>
      <c r="AF278" s="170"/>
      <c r="AG278" s="170"/>
      <c r="AH278" s="170"/>
      <c r="AI278" s="170"/>
      <c r="AJ278" s="170"/>
      <c r="AK278" s="170"/>
      <c r="AL278" s="170"/>
      <c r="AM278" s="170"/>
      <c r="AN278" s="170"/>
      <c r="AO278" s="170"/>
      <c r="AP278" s="170"/>
      <c r="AQ278" s="170"/>
      <c r="AR278" s="170"/>
      <c r="AS278" s="170"/>
      <c r="AT278" s="170"/>
      <c r="AU278" s="170"/>
      <c r="AV278" s="170"/>
      <c r="AW278" s="170"/>
      <c r="AX278" s="170"/>
    </row>
    <row r="279" spans="1:50" ht="15" x14ac:dyDescent="0.25">
      <c r="A279" s="170"/>
      <c r="B279" s="719"/>
      <c r="C279" s="170"/>
      <c r="D279" s="170"/>
      <c r="E279" s="170"/>
      <c r="F279" s="170"/>
      <c r="G279" s="721"/>
      <c r="H279" s="170"/>
      <c r="I279" s="170"/>
      <c r="J279" s="170"/>
      <c r="K279" s="170"/>
      <c r="L279" s="170"/>
      <c r="M279" s="730"/>
      <c r="N279" s="730"/>
      <c r="O279" s="730"/>
      <c r="P279" s="731"/>
      <c r="Q279" s="731"/>
      <c r="R279" s="730"/>
      <c r="S279" s="730"/>
      <c r="T279" s="723"/>
      <c r="U279" s="724"/>
      <c r="V279" s="725"/>
      <c r="W279" s="725"/>
      <c r="X279" s="723"/>
      <c r="Y279" s="723"/>
      <c r="Z279" s="723"/>
      <c r="AA279" s="726"/>
      <c r="AB279" s="726"/>
      <c r="AC279" s="170"/>
      <c r="AD279" s="586"/>
      <c r="AE279" s="586"/>
      <c r="AF279" s="170"/>
      <c r="AG279" s="170"/>
      <c r="AH279" s="170"/>
      <c r="AI279" s="170"/>
      <c r="AJ279" s="170"/>
      <c r="AK279" s="170"/>
      <c r="AL279" s="170"/>
      <c r="AM279" s="170"/>
      <c r="AN279" s="170"/>
      <c r="AO279" s="170"/>
      <c r="AP279" s="170"/>
      <c r="AQ279" s="170"/>
      <c r="AR279" s="170"/>
      <c r="AS279" s="170"/>
      <c r="AT279" s="170"/>
      <c r="AU279" s="170"/>
      <c r="AV279" s="170"/>
      <c r="AW279" s="170"/>
      <c r="AX279" s="170"/>
    </row>
    <row r="280" spans="1:50" ht="15" x14ac:dyDescent="0.25">
      <c r="A280" s="170"/>
      <c r="B280" s="719"/>
      <c r="C280" s="170"/>
      <c r="D280" s="170"/>
      <c r="E280" s="170"/>
      <c r="F280" s="170"/>
      <c r="G280" s="721"/>
      <c r="H280" s="170"/>
      <c r="I280" s="170"/>
      <c r="J280" s="170"/>
      <c r="K280" s="170"/>
      <c r="L280" s="170"/>
      <c r="M280" s="730"/>
      <c r="N280" s="730"/>
      <c r="O280" s="730"/>
      <c r="P280" s="731"/>
      <c r="Q280" s="731"/>
      <c r="R280" s="730"/>
      <c r="S280" s="730"/>
      <c r="T280" s="723"/>
      <c r="U280" s="724"/>
      <c r="V280" s="725"/>
      <c r="W280" s="725"/>
      <c r="X280" s="723"/>
      <c r="Y280" s="723"/>
      <c r="Z280" s="723"/>
      <c r="AA280" s="726"/>
      <c r="AB280" s="726"/>
      <c r="AC280" s="170"/>
      <c r="AD280" s="586"/>
      <c r="AE280" s="586"/>
      <c r="AF280" s="170"/>
      <c r="AG280" s="170"/>
      <c r="AH280" s="170"/>
      <c r="AI280" s="170"/>
      <c r="AJ280" s="170"/>
      <c r="AK280" s="170"/>
      <c r="AL280" s="170"/>
      <c r="AM280" s="170"/>
      <c r="AN280" s="170"/>
      <c r="AO280" s="170"/>
      <c r="AP280" s="170"/>
      <c r="AQ280" s="170"/>
      <c r="AR280" s="170"/>
      <c r="AS280" s="170"/>
      <c r="AT280" s="170"/>
      <c r="AU280" s="170"/>
      <c r="AV280" s="170"/>
      <c r="AW280" s="170"/>
      <c r="AX280" s="170"/>
    </row>
    <row r="281" spans="1:50" ht="15" x14ac:dyDescent="0.25">
      <c r="A281" s="170"/>
      <c r="B281" s="719"/>
      <c r="C281" s="170"/>
      <c r="D281" s="170"/>
      <c r="E281" s="170"/>
      <c r="F281" s="170"/>
      <c r="G281" s="721"/>
      <c r="H281" s="170"/>
      <c r="I281" s="170"/>
      <c r="J281" s="170"/>
      <c r="K281" s="170"/>
      <c r="L281" s="170"/>
      <c r="M281" s="730"/>
      <c r="N281" s="730"/>
      <c r="O281" s="730"/>
      <c r="P281" s="731"/>
      <c r="Q281" s="731"/>
      <c r="R281" s="730"/>
      <c r="S281" s="730"/>
      <c r="T281" s="723"/>
      <c r="U281" s="724"/>
      <c r="V281" s="725"/>
      <c r="W281" s="725"/>
      <c r="X281" s="723"/>
      <c r="Y281" s="723"/>
      <c r="Z281" s="723"/>
      <c r="AA281" s="726"/>
      <c r="AB281" s="726"/>
      <c r="AC281" s="170"/>
      <c r="AD281" s="586"/>
      <c r="AE281" s="586"/>
      <c r="AF281" s="170"/>
      <c r="AG281" s="170"/>
      <c r="AH281" s="170"/>
      <c r="AI281" s="170"/>
      <c r="AJ281" s="170"/>
      <c r="AK281" s="170"/>
      <c r="AL281" s="170"/>
      <c r="AM281" s="170"/>
      <c r="AN281" s="170"/>
      <c r="AO281" s="170"/>
      <c r="AP281" s="170"/>
      <c r="AQ281" s="170"/>
      <c r="AR281" s="170"/>
      <c r="AS281" s="170"/>
      <c r="AT281" s="170"/>
      <c r="AU281" s="170"/>
      <c r="AV281" s="170"/>
      <c r="AW281" s="170"/>
      <c r="AX281" s="170"/>
    </row>
    <row r="282" spans="1:50" ht="15" x14ac:dyDescent="0.25">
      <c r="A282" s="170"/>
      <c r="B282" s="719"/>
      <c r="C282" s="170"/>
      <c r="D282" s="170"/>
      <c r="E282" s="170"/>
      <c r="F282" s="170"/>
      <c r="G282" s="721"/>
      <c r="H282" s="170"/>
      <c r="I282" s="170"/>
      <c r="J282" s="170"/>
      <c r="K282" s="170"/>
      <c r="L282" s="170"/>
      <c r="M282" s="730"/>
      <c r="N282" s="730"/>
      <c r="O282" s="730"/>
      <c r="P282" s="731"/>
      <c r="Q282" s="731"/>
      <c r="R282" s="730"/>
      <c r="S282" s="730"/>
      <c r="T282" s="723"/>
      <c r="U282" s="724"/>
      <c r="V282" s="725"/>
      <c r="W282" s="725"/>
      <c r="X282" s="723"/>
      <c r="Y282" s="723"/>
      <c r="Z282" s="723"/>
      <c r="AA282" s="726"/>
      <c r="AB282" s="726"/>
      <c r="AC282" s="170"/>
      <c r="AD282" s="586"/>
      <c r="AE282" s="586"/>
      <c r="AF282" s="170"/>
      <c r="AG282" s="170"/>
      <c r="AH282" s="170"/>
      <c r="AI282" s="170"/>
      <c r="AJ282" s="170"/>
      <c r="AK282" s="170"/>
      <c r="AL282" s="170"/>
      <c r="AM282" s="170"/>
      <c r="AN282" s="170"/>
      <c r="AO282" s="170"/>
      <c r="AP282" s="170"/>
      <c r="AQ282" s="170"/>
      <c r="AR282" s="170"/>
      <c r="AS282" s="170"/>
      <c r="AT282" s="170"/>
      <c r="AU282" s="170"/>
      <c r="AV282" s="170"/>
      <c r="AW282" s="170"/>
      <c r="AX282" s="170"/>
    </row>
    <row r="283" spans="1:50" ht="15" x14ac:dyDescent="0.25">
      <c r="A283" s="170"/>
      <c r="B283" s="719"/>
      <c r="C283" s="170"/>
      <c r="D283" s="170"/>
      <c r="E283" s="170"/>
      <c r="F283" s="170"/>
      <c r="G283" s="721"/>
      <c r="H283" s="170"/>
      <c r="I283" s="170"/>
      <c r="J283" s="170"/>
      <c r="K283" s="170"/>
      <c r="L283" s="170"/>
      <c r="M283" s="730"/>
      <c r="N283" s="730"/>
      <c r="O283" s="730"/>
      <c r="P283" s="731"/>
      <c r="Q283" s="731"/>
      <c r="R283" s="730"/>
      <c r="S283" s="730"/>
      <c r="T283" s="723"/>
      <c r="U283" s="724"/>
      <c r="V283" s="725"/>
      <c r="W283" s="725"/>
      <c r="X283" s="723"/>
      <c r="Y283" s="723"/>
      <c r="Z283" s="723"/>
      <c r="AA283" s="726"/>
      <c r="AB283" s="726"/>
      <c r="AC283" s="170"/>
      <c r="AD283" s="586"/>
      <c r="AE283" s="586"/>
      <c r="AF283" s="170"/>
      <c r="AG283" s="170"/>
      <c r="AH283" s="170"/>
      <c r="AI283" s="170"/>
      <c r="AJ283" s="170"/>
      <c r="AK283" s="170"/>
      <c r="AL283" s="170"/>
      <c r="AM283" s="170"/>
      <c r="AN283" s="170"/>
      <c r="AO283" s="170"/>
      <c r="AP283" s="170"/>
      <c r="AQ283" s="170"/>
      <c r="AR283" s="170"/>
      <c r="AS283" s="170"/>
      <c r="AT283" s="170"/>
      <c r="AU283" s="170"/>
      <c r="AV283" s="170"/>
      <c r="AW283" s="170"/>
      <c r="AX283" s="170"/>
    </row>
    <row r="284" spans="1:50" ht="15" x14ac:dyDescent="0.25">
      <c r="A284" s="170"/>
      <c r="B284" s="719"/>
      <c r="C284" s="170"/>
      <c r="D284" s="170"/>
      <c r="E284" s="170"/>
      <c r="F284" s="170"/>
      <c r="G284" s="721"/>
      <c r="H284" s="170"/>
      <c r="I284" s="170"/>
      <c r="J284" s="170"/>
      <c r="K284" s="170"/>
      <c r="L284" s="170"/>
      <c r="M284" s="730"/>
      <c r="N284" s="730"/>
      <c r="O284" s="730"/>
      <c r="P284" s="731"/>
      <c r="Q284" s="731"/>
      <c r="R284" s="730"/>
      <c r="S284" s="730"/>
      <c r="T284" s="723"/>
      <c r="U284" s="724"/>
      <c r="V284" s="725"/>
      <c r="W284" s="725"/>
      <c r="X284" s="723"/>
      <c r="Y284" s="723"/>
      <c r="Z284" s="723"/>
      <c r="AA284" s="726"/>
      <c r="AB284" s="726"/>
      <c r="AC284" s="170"/>
      <c r="AD284" s="586"/>
      <c r="AE284" s="586"/>
      <c r="AF284" s="170"/>
      <c r="AG284" s="170"/>
      <c r="AH284" s="170"/>
      <c r="AI284" s="170"/>
      <c r="AJ284" s="170"/>
      <c r="AK284" s="170"/>
      <c r="AL284" s="170"/>
      <c r="AM284" s="170"/>
      <c r="AN284" s="170"/>
      <c r="AO284" s="170"/>
      <c r="AP284" s="170"/>
      <c r="AQ284" s="170"/>
      <c r="AR284" s="170"/>
      <c r="AS284" s="170"/>
      <c r="AT284" s="170"/>
      <c r="AU284" s="170"/>
      <c r="AV284" s="170"/>
      <c r="AW284" s="170"/>
      <c r="AX284" s="170"/>
    </row>
    <row r="285" spans="1:50" ht="15" x14ac:dyDescent="0.25">
      <c r="A285" s="170"/>
      <c r="B285" s="719"/>
      <c r="C285" s="170"/>
      <c r="D285" s="170"/>
      <c r="E285" s="170"/>
      <c r="F285" s="170"/>
      <c r="G285" s="721"/>
      <c r="H285" s="170"/>
      <c r="I285" s="170"/>
      <c r="J285" s="170"/>
      <c r="K285" s="170"/>
      <c r="L285" s="170"/>
      <c r="M285" s="730"/>
      <c r="N285" s="730"/>
      <c r="O285" s="730"/>
      <c r="P285" s="731"/>
      <c r="Q285" s="731"/>
      <c r="R285" s="730"/>
      <c r="S285" s="730"/>
      <c r="T285" s="723"/>
      <c r="U285" s="724"/>
      <c r="V285" s="725"/>
      <c r="W285" s="725"/>
      <c r="X285" s="723"/>
      <c r="Y285" s="723"/>
      <c r="Z285" s="723"/>
      <c r="AA285" s="726"/>
      <c r="AB285" s="726"/>
      <c r="AC285" s="170"/>
      <c r="AD285" s="586"/>
      <c r="AE285" s="586"/>
      <c r="AF285" s="170"/>
      <c r="AG285" s="170"/>
      <c r="AH285" s="170"/>
      <c r="AI285" s="170"/>
      <c r="AJ285" s="170"/>
      <c r="AK285" s="170"/>
      <c r="AL285" s="170"/>
      <c r="AM285" s="170"/>
      <c r="AN285" s="170"/>
      <c r="AO285" s="170"/>
      <c r="AP285" s="170"/>
      <c r="AQ285" s="170"/>
      <c r="AR285" s="170"/>
      <c r="AS285" s="170"/>
      <c r="AT285" s="170"/>
      <c r="AU285" s="170"/>
      <c r="AV285" s="170"/>
      <c r="AW285" s="170"/>
      <c r="AX285" s="170"/>
    </row>
    <row r="286" spans="1:50" ht="15" x14ac:dyDescent="0.25">
      <c r="A286" s="170"/>
      <c r="B286" s="719"/>
      <c r="C286" s="170"/>
      <c r="D286" s="170"/>
      <c r="E286" s="170"/>
      <c r="F286" s="170"/>
      <c r="G286" s="721"/>
      <c r="H286" s="170"/>
      <c r="I286" s="170"/>
      <c r="J286" s="170"/>
      <c r="K286" s="170"/>
      <c r="L286" s="170"/>
      <c r="M286" s="730"/>
      <c r="N286" s="730"/>
      <c r="O286" s="730"/>
      <c r="P286" s="731"/>
      <c r="Q286" s="731"/>
      <c r="R286" s="730"/>
      <c r="S286" s="730"/>
      <c r="T286" s="723"/>
      <c r="U286" s="724"/>
      <c r="V286" s="725"/>
      <c r="W286" s="725"/>
      <c r="X286" s="723"/>
      <c r="Y286" s="723"/>
      <c r="Z286" s="723"/>
      <c r="AA286" s="726"/>
      <c r="AB286" s="726"/>
      <c r="AC286" s="170"/>
      <c r="AD286" s="586"/>
      <c r="AE286" s="586"/>
      <c r="AF286" s="170"/>
      <c r="AG286" s="170"/>
      <c r="AH286" s="170"/>
      <c r="AI286" s="170"/>
      <c r="AJ286" s="170"/>
      <c r="AK286" s="170"/>
      <c r="AL286" s="170"/>
      <c r="AM286" s="170"/>
      <c r="AN286" s="170"/>
      <c r="AO286" s="170"/>
      <c r="AP286" s="170"/>
      <c r="AQ286" s="170"/>
      <c r="AR286" s="170"/>
      <c r="AS286" s="170"/>
      <c r="AT286" s="170"/>
      <c r="AU286" s="170"/>
      <c r="AV286" s="170"/>
      <c r="AW286" s="170"/>
      <c r="AX286" s="170"/>
    </row>
    <row r="287" spans="1:50" ht="15" x14ac:dyDescent="0.25">
      <c r="A287" s="170"/>
      <c r="B287" s="719"/>
      <c r="C287" s="170"/>
      <c r="D287" s="170"/>
      <c r="E287" s="170"/>
      <c r="F287" s="170"/>
      <c r="G287" s="721"/>
      <c r="H287" s="170"/>
      <c r="I287" s="170"/>
      <c r="J287" s="170"/>
      <c r="K287" s="170"/>
      <c r="L287" s="170"/>
      <c r="M287" s="730"/>
      <c r="N287" s="730"/>
      <c r="O287" s="730"/>
      <c r="P287" s="731"/>
      <c r="Q287" s="731"/>
      <c r="R287" s="730"/>
      <c r="S287" s="730"/>
      <c r="T287" s="723"/>
      <c r="U287" s="724"/>
      <c r="V287" s="725"/>
      <c r="W287" s="725"/>
      <c r="X287" s="723"/>
      <c r="Y287" s="723"/>
      <c r="Z287" s="723"/>
      <c r="AA287" s="726"/>
      <c r="AB287" s="726"/>
      <c r="AC287" s="170"/>
      <c r="AD287" s="586"/>
      <c r="AE287" s="586"/>
      <c r="AF287" s="170"/>
      <c r="AG287" s="170"/>
      <c r="AH287" s="170"/>
      <c r="AI287" s="170"/>
      <c r="AJ287" s="170"/>
      <c r="AK287" s="170"/>
      <c r="AL287" s="170"/>
      <c r="AM287" s="170"/>
      <c r="AN287" s="170"/>
      <c r="AO287" s="170"/>
      <c r="AP287" s="170"/>
      <c r="AQ287" s="170"/>
      <c r="AR287" s="170"/>
      <c r="AS287" s="170"/>
      <c r="AT287" s="170"/>
      <c r="AU287" s="170"/>
      <c r="AV287" s="170"/>
      <c r="AW287" s="170"/>
      <c r="AX287" s="170"/>
    </row>
    <row r="288" spans="1:50" ht="15" x14ac:dyDescent="0.25">
      <c r="A288" s="170"/>
      <c r="B288" s="719"/>
      <c r="C288" s="170"/>
      <c r="D288" s="170"/>
      <c r="E288" s="170"/>
      <c r="F288" s="170"/>
      <c r="G288" s="721"/>
      <c r="H288" s="170"/>
      <c r="I288" s="170"/>
      <c r="J288" s="170"/>
      <c r="K288" s="170"/>
      <c r="L288" s="170"/>
      <c r="M288" s="730"/>
      <c r="N288" s="730"/>
      <c r="O288" s="730"/>
      <c r="P288" s="731"/>
      <c r="Q288" s="731"/>
      <c r="R288" s="730"/>
      <c r="S288" s="730"/>
      <c r="T288" s="723"/>
      <c r="U288" s="724"/>
      <c r="V288" s="725"/>
      <c r="W288" s="725"/>
      <c r="X288" s="723"/>
      <c r="Y288" s="723"/>
      <c r="Z288" s="723"/>
      <c r="AA288" s="726"/>
      <c r="AB288" s="726"/>
      <c r="AC288" s="170"/>
      <c r="AD288" s="586"/>
      <c r="AE288" s="586"/>
      <c r="AF288" s="170"/>
      <c r="AG288" s="170"/>
      <c r="AH288" s="170"/>
      <c r="AI288" s="170"/>
      <c r="AJ288" s="170"/>
      <c r="AK288" s="170"/>
      <c r="AL288" s="170"/>
      <c r="AM288" s="170"/>
      <c r="AN288" s="170"/>
      <c r="AO288" s="170"/>
      <c r="AP288" s="170"/>
      <c r="AQ288" s="170"/>
      <c r="AR288" s="170"/>
      <c r="AS288" s="170"/>
      <c r="AT288" s="170"/>
      <c r="AU288" s="170"/>
      <c r="AV288" s="170"/>
      <c r="AW288" s="170"/>
      <c r="AX288" s="170"/>
    </row>
    <row r="289" spans="1:50" ht="15" x14ac:dyDescent="0.25">
      <c r="A289" s="170"/>
      <c r="B289" s="719"/>
      <c r="C289" s="170"/>
      <c r="D289" s="170"/>
      <c r="E289" s="170"/>
      <c r="F289" s="170"/>
      <c r="G289" s="721"/>
      <c r="H289" s="170"/>
      <c r="I289" s="170"/>
      <c r="J289" s="170"/>
      <c r="K289" s="170"/>
      <c r="L289" s="170"/>
      <c r="M289" s="730"/>
      <c r="N289" s="730"/>
      <c r="O289" s="730"/>
      <c r="P289" s="731"/>
      <c r="Q289" s="731"/>
      <c r="R289" s="730"/>
      <c r="S289" s="730"/>
      <c r="T289" s="723"/>
      <c r="U289" s="724"/>
      <c r="V289" s="725"/>
      <c r="W289" s="725"/>
      <c r="X289" s="723"/>
      <c r="Y289" s="723"/>
      <c r="Z289" s="723"/>
      <c r="AA289" s="726"/>
      <c r="AB289" s="726"/>
      <c r="AC289" s="170"/>
      <c r="AD289" s="586"/>
      <c r="AE289" s="586"/>
      <c r="AF289" s="170"/>
      <c r="AG289" s="170"/>
      <c r="AH289" s="170"/>
      <c r="AI289" s="170"/>
      <c r="AJ289" s="170"/>
      <c r="AK289" s="170"/>
      <c r="AL289" s="170"/>
      <c r="AM289" s="170"/>
      <c r="AN289" s="170"/>
      <c r="AO289" s="170"/>
      <c r="AP289" s="170"/>
      <c r="AQ289" s="170"/>
      <c r="AR289" s="170"/>
      <c r="AS289" s="170"/>
      <c r="AT289" s="170"/>
      <c r="AU289" s="170"/>
      <c r="AV289" s="170"/>
      <c r="AW289" s="170"/>
      <c r="AX289" s="170"/>
    </row>
    <row r="290" spans="1:50" ht="15" x14ac:dyDescent="0.25">
      <c r="A290" s="170"/>
      <c r="B290" s="719"/>
      <c r="C290" s="170"/>
      <c r="D290" s="170"/>
      <c r="E290" s="170"/>
      <c r="F290" s="170"/>
      <c r="G290" s="721"/>
      <c r="H290" s="170"/>
      <c r="I290" s="170"/>
      <c r="J290" s="170"/>
      <c r="K290" s="170"/>
      <c r="L290" s="170"/>
      <c r="M290" s="730"/>
      <c r="N290" s="730"/>
      <c r="O290" s="730"/>
      <c r="P290" s="731"/>
      <c r="Q290" s="731"/>
      <c r="R290" s="730"/>
      <c r="S290" s="730"/>
      <c r="T290" s="723"/>
      <c r="U290" s="724"/>
      <c r="V290" s="725"/>
      <c r="W290" s="725"/>
      <c r="X290" s="723"/>
      <c r="Y290" s="723"/>
      <c r="Z290" s="723"/>
      <c r="AA290" s="726"/>
      <c r="AB290" s="726"/>
      <c r="AC290" s="170"/>
      <c r="AD290" s="586"/>
      <c r="AE290" s="586"/>
      <c r="AF290" s="170"/>
      <c r="AG290" s="170"/>
      <c r="AH290" s="170"/>
      <c r="AI290" s="170"/>
      <c r="AJ290" s="170"/>
      <c r="AK290" s="170"/>
      <c r="AL290" s="170"/>
      <c r="AM290" s="170"/>
      <c r="AN290" s="170"/>
      <c r="AO290" s="170"/>
      <c r="AP290" s="170"/>
      <c r="AQ290" s="170"/>
      <c r="AR290" s="170"/>
      <c r="AS290" s="170"/>
      <c r="AT290" s="170"/>
      <c r="AU290" s="170"/>
      <c r="AV290" s="170"/>
      <c r="AW290" s="170"/>
      <c r="AX290" s="170"/>
    </row>
    <row r="291" spans="1:50" ht="15" x14ac:dyDescent="0.25">
      <c r="A291" s="170"/>
      <c r="B291" s="719"/>
      <c r="C291" s="170"/>
      <c r="D291" s="170"/>
      <c r="E291" s="170"/>
      <c r="F291" s="170"/>
      <c r="G291" s="721"/>
      <c r="H291" s="170"/>
      <c r="I291" s="170"/>
      <c r="J291" s="170"/>
      <c r="K291" s="170"/>
      <c r="L291" s="170"/>
      <c r="M291" s="730"/>
      <c r="N291" s="730"/>
      <c r="O291" s="730"/>
      <c r="P291" s="731"/>
      <c r="Q291" s="731"/>
      <c r="R291" s="730"/>
      <c r="S291" s="730"/>
      <c r="T291" s="723"/>
      <c r="U291" s="724"/>
      <c r="V291" s="725"/>
      <c r="W291" s="725"/>
      <c r="X291" s="723"/>
      <c r="Y291" s="723"/>
      <c r="Z291" s="723"/>
      <c r="AA291" s="726"/>
      <c r="AB291" s="726"/>
      <c r="AC291" s="170"/>
      <c r="AD291" s="586"/>
      <c r="AE291" s="586"/>
      <c r="AF291" s="170"/>
      <c r="AG291" s="170"/>
      <c r="AH291" s="170"/>
      <c r="AI291" s="170"/>
      <c r="AJ291" s="170"/>
      <c r="AK291" s="170"/>
      <c r="AL291" s="170"/>
      <c r="AM291" s="170"/>
      <c r="AN291" s="170"/>
      <c r="AO291" s="170"/>
      <c r="AP291" s="170"/>
      <c r="AQ291" s="170"/>
      <c r="AR291" s="170"/>
      <c r="AS291" s="170"/>
      <c r="AT291" s="170"/>
      <c r="AU291" s="170"/>
      <c r="AV291" s="170"/>
      <c r="AW291" s="170"/>
      <c r="AX291" s="170"/>
    </row>
    <row r="292" spans="1:50" ht="15" x14ac:dyDescent="0.25">
      <c r="A292" s="170"/>
      <c r="B292" s="719"/>
      <c r="C292" s="170"/>
      <c r="D292" s="170"/>
      <c r="E292" s="170"/>
      <c r="F292" s="170"/>
      <c r="G292" s="721"/>
      <c r="H292" s="170"/>
      <c r="I292" s="170"/>
      <c r="J292" s="170"/>
      <c r="K292" s="170"/>
      <c r="L292" s="170"/>
      <c r="M292" s="730"/>
      <c r="N292" s="730"/>
      <c r="O292" s="730"/>
      <c r="P292" s="731"/>
      <c r="Q292" s="731"/>
      <c r="R292" s="730"/>
      <c r="S292" s="730"/>
      <c r="T292" s="723"/>
      <c r="U292" s="724"/>
      <c r="V292" s="725"/>
      <c r="W292" s="725"/>
      <c r="X292" s="723"/>
      <c r="Y292" s="723"/>
      <c r="Z292" s="723"/>
      <c r="AA292" s="726"/>
      <c r="AB292" s="726"/>
      <c r="AC292" s="170"/>
      <c r="AD292" s="586"/>
      <c r="AE292" s="586"/>
      <c r="AF292" s="170"/>
      <c r="AG292" s="170"/>
      <c r="AH292" s="170"/>
      <c r="AI292" s="170"/>
      <c r="AJ292" s="170"/>
      <c r="AK292" s="170"/>
      <c r="AL292" s="170"/>
      <c r="AM292" s="170"/>
      <c r="AN292" s="170"/>
      <c r="AO292" s="170"/>
      <c r="AP292" s="170"/>
      <c r="AQ292" s="170"/>
      <c r="AR292" s="170"/>
      <c r="AS292" s="170"/>
      <c r="AT292" s="170"/>
      <c r="AU292" s="170"/>
      <c r="AV292" s="170"/>
      <c r="AW292" s="170"/>
      <c r="AX292" s="170"/>
    </row>
    <row r="293" spans="1:50" ht="15" x14ac:dyDescent="0.25">
      <c r="A293" s="170"/>
      <c r="B293" s="719"/>
      <c r="C293" s="170"/>
      <c r="D293" s="170"/>
      <c r="E293" s="170"/>
      <c r="F293" s="170"/>
      <c r="G293" s="721"/>
      <c r="H293" s="170"/>
      <c r="I293" s="170"/>
      <c r="J293" s="170"/>
      <c r="K293" s="170"/>
      <c r="L293" s="170"/>
      <c r="M293" s="730"/>
      <c r="N293" s="730"/>
      <c r="O293" s="730"/>
      <c r="P293" s="731"/>
      <c r="Q293" s="731"/>
      <c r="R293" s="730"/>
      <c r="S293" s="730"/>
      <c r="T293" s="723"/>
      <c r="U293" s="724"/>
      <c r="V293" s="725"/>
      <c r="W293" s="725"/>
      <c r="X293" s="723"/>
      <c r="Y293" s="723"/>
      <c r="Z293" s="723"/>
      <c r="AA293" s="726"/>
      <c r="AB293" s="726"/>
      <c r="AC293" s="170"/>
      <c r="AD293" s="586"/>
      <c r="AE293" s="586"/>
      <c r="AF293" s="170"/>
      <c r="AG293" s="170"/>
      <c r="AH293" s="170"/>
      <c r="AI293" s="170"/>
      <c r="AJ293" s="170"/>
      <c r="AK293" s="170"/>
      <c r="AL293" s="170"/>
      <c r="AM293" s="170"/>
      <c r="AN293" s="170"/>
      <c r="AO293" s="170"/>
      <c r="AP293" s="170"/>
      <c r="AQ293" s="170"/>
      <c r="AR293" s="170"/>
      <c r="AS293" s="170"/>
      <c r="AT293" s="170"/>
      <c r="AU293" s="170"/>
      <c r="AV293" s="170"/>
      <c r="AW293" s="170"/>
      <c r="AX293" s="170"/>
    </row>
    <row r="294" spans="1:50" ht="15" x14ac:dyDescent="0.25">
      <c r="A294" s="170"/>
      <c r="B294" s="719"/>
      <c r="C294" s="170"/>
      <c r="D294" s="170"/>
      <c r="E294" s="170"/>
      <c r="F294" s="170"/>
      <c r="G294" s="721"/>
      <c r="H294" s="170"/>
      <c r="I294" s="170"/>
      <c r="J294" s="170"/>
      <c r="K294" s="170"/>
      <c r="L294" s="170"/>
      <c r="M294" s="730"/>
      <c r="N294" s="730"/>
      <c r="O294" s="730"/>
      <c r="P294" s="731"/>
      <c r="Q294" s="731"/>
      <c r="R294" s="730"/>
      <c r="S294" s="730"/>
      <c r="T294" s="723"/>
      <c r="U294" s="724"/>
      <c r="V294" s="725"/>
      <c r="W294" s="725"/>
      <c r="X294" s="723"/>
      <c r="Y294" s="723"/>
      <c r="Z294" s="723"/>
      <c r="AA294" s="726"/>
      <c r="AB294" s="726"/>
      <c r="AC294" s="170"/>
      <c r="AD294" s="586"/>
      <c r="AE294" s="586"/>
      <c r="AF294" s="170"/>
      <c r="AG294" s="170"/>
      <c r="AH294" s="170"/>
      <c r="AI294" s="170"/>
      <c r="AJ294" s="170"/>
      <c r="AK294" s="170"/>
      <c r="AL294" s="170"/>
      <c r="AM294" s="170"/>
      <c r="AN294" s="170"/>
      <c r="AO294" s="170"/>
      <c r="AP294" s="170"/>
      <c r="AQ294" s="170"/>
      <c r="AR294" s="170"/>
      <c r="AS294" s="170"/>
      <c r="AT294" s="170"/>
      <c r="AU294" s="170"/>
      <c r="AV294" s="170"/>
      <c r="AW294" s="170"/>
      <c r="AX294" s="170"/>
    </row>
    <row r="295" spans="1:50" ht="15" x14ac:dyDescent="0.25">
      <c r="A295" s="170"/>
      <c r="B295" s="719"/>
      <c r="C295" s="170"/>
      <c r="D295" s="170"/>
      <c r="E295" s="170"/>
      <c r="F295" s="170"/>
      <c r="G295" s="721"/>
      <c r="H295" s="170"/>
      <c r="I295" s="170"/>
      <c r="J295" s="170"/>
      <c r="K295" s="170"/>
      <c r="L295" s="170"/>
      <c r="M295" s="730"/>
      <c r="N295" s="730"/>
      <c r="O295" s="730"/>
      <c r="P295" s="731"/>
      <c r="Q295" s="731"/>
      <c r="R295" s="730"/>
      <c r="S295" s="730"/>
      <c r="T295" s="723"/>
      <c r="U295" s="724"/>
      <c r="V295" s="725"/>
      <c r="W295" s="725"/>
      <c r="X295" s="723"/>
      <c r="Y295" s="723"/>
      <c r="Z295" s="723"/>
      <c r="AA295" s="726"/>
      <c r="AB295" s="726"/>
      <c r="AC295" s="170"/>
      <c r="AD295" s="586"/>
      <c r="AE295" s="586"/>
      <c r="AF295" s="170"/>
      <c r="AG295" s="170"/>
      <c r="AH295" s="170"/>
      <c r="AI295" s="170"/>
      <c r="AJ295" s="170"/>
      <c r="AK295" s="170"/>
      <c r="AL295" s="170"/>
      <c r="AM295" s="170"/>
      <c r="AN295" s="170"/>
      <c r="AO295" s="170"/>
      <c r="AP295" s="170"/>
      <c r="AQ295" s="170"/>
      <c r="AR295" s="170"/>
      <c r="AS295" s="170"/>
      <c r="AT295" s="170"/>
      <c r="AU295" s="170"/>
      <c r="AV295" s="170"/>
      <c r="AW295" s="170"/>
      <c r="AX295" s="170"/>
    </row>
    <row r="296" spans="1:50" ht="15" x14ac:dyDescent="0.25">
      <c r="A296" s="170"/>
      <c r="B296" s="719"/>
      <c r="C296" s="170"/>
      <c r="D296" s="170"/>
      <c r="E296" s="170"/>
      <c r="F296" s="170"/>
      <c r="G296" s="721"/>
      <c r="H296" s="170"/>
      <c r="I296" s="170"/>
      <c r="J296" s="170"/>
      <c r="K296" s="170"/>
      <c r="L296" s="170"/>
      <c r="M296" s="730"/>
      <c r="N296" s="730"/>
      <c r="O296" s="730"/>
      <c r="P296" s="731"/>
      <c r="Q296" s="731"/>
      <c r="R296" s="730"/>
      <c r="S296" s="730"/>
      <c r="T296" s="723"/>
      <c r="U296" s="724"/>
      <c r="V296" s="725"/>
      <c r="W296" s="725"/>
      <c r="X296" s="723"/>
      <c r="Y296" s="723"/>
      <c r="Z296" s="723"/>
      <c r="AA296" s="726"/>
      <c r="AB296" s="726"/>
      <c r="AC296" s="170"/>
      <c r="AD296" s="586"/>
      <c r="AE296" s="586"/>
      <c r="AF296" s="170"/>
      <c r="AG296" s="170"/>
      <c r="AH296" s="170"/>
      <c r="AI296" s="170"/>
      <c r="AJ296" s="170"/>
      <c r="AK296" s="170"/>
      <c r="AL296" s="170"/>
      <c r="AM296" s="170"/>
      <c r="AN296" s="170"/>
      <c r="AO296" s="170"/>
      <c r="AP296" s="170"/>
      <c r="AQ296" s="170"/>
      <c r="AR296" s="170"/>
      <c r="AS296" s="170"/>
      <c r="AT296" s="170"/>
      <c r="AU296" s="170"/>
      <c r="AV296" s="170"/>
      <c r="AW296" s="170"/>
      <c r="AX296" s="170"/>
    </row>
    <row r="297" spans="1:50" ht="15" x14ac:dyDescent="0.25">
      <c r="A297" s="170"/>
      <c r="B297" s="719"/>
      <c r="C297" s="170"/>
      <c r="D297" s="170"/>
      <c r="E297" s="170"/>
      <c r="F297" s="170"/>
      <c r="G297" s="721"/>
      <c r="H297" s="170"/>
      <c r="I297" s="170"/>
      <c r="J297" s="170"/>
      <c r="K297" s="170"/>
      <c r="L297" s="170"/>
      <c r="M297" s="730"/>
      <c r="N297" s="730"/>
      <c r="O297" s="730"/>
      <c r="P297" s="731"/>
      <c r="Q297" s="731"/>
      <c r="R297" s="730"/>
      <c r="S297" s="730"/>
      <c r="T297" s="723"/>
      <c r="U297" s="724"/>
      <c r="V297" s="725"/>
      <c r="W297" s="725"/>
      <c r="X297" s="723"/>
      <c r="Y297" s="723"/>
      <c r="Z297" s="723"/>
      <c r="AA297" s="726"/>
      <c r="AB297" s="726"/>
      <c r="AC297" s="170"/>
      <c r="AD297" s="586"/>
      <c r="AE297" s="586"/>
      <c r="AF297" s="170"/>
      <c r="AG297" s="170"/>
      <c r="AH297" s="170"/>
      <c r="AI297" s="170"/>
      <c r="AJ297" s="170"/>
      <c r="AK297" s="170"/>
      <c r="AL297" s="170"/>
      <c r="AM297" s="170"/>
      <c r="AN297" s="170"/>
      <c r="AO297" s="170"/>
      <c r="AP297" s="170"/>
      <c r="AQ297" s="170"/>
      <c r="AR297" s="170"/>
      <c r="AS297" s="170"/>
      <c r="AT297" s="170"/>
      <c r="AU297" s="170"/>
      <c r="AV297" s="170"/>
      <c r="AW297" s="170"/>
      <c r="AX297" s="170"/>
    </row>
    <row r="298" spans="1:50" ht="15" x14ac:dyDescent="0.25">
      <c r="A298" s="170"/>
      <c r="B298" s="719"/>
      <c r="C298" s="170"/>
      <c r="D298" s="170"/>
      <c r="E298" s="170"/>
      <c r="F298" s="170"/>
      <c r="G298" s="721"/>
      <c r="H298" s="170"/>
      <c r="I298" s="170"/>
      <c r="J298" s="170"/>
      <c r="K298" s="170"/>
      <c r="L298" s="170"/>
      <c r="M298" s="730"/>
      <c r="N298" s="730"/>
      <c r="O298" s="730"/>
      <c r="P298" s="731"/>
      <c r="Q298" s="731"/>
      <c r="R298" s="730"/>
      <c r="S298" s="730"/>
      <c r="T298" s="723"/>
      <c r="U298" s="724"/>
      <c r="V298" s="725"/>
      <c r="W298" s="725"/>
      <c r="X298" s="723"/>
      <c r="Y298" s="723"/>
      <c r="Z298" s="723"/>
      <c r="AA298" s="726"/>
      <c r="AB298" s="726"/>
      <c r="AC298" s="170"/>
      <c r="AD298" s="586"/>
      <c r="AE298" s="586"/>
      <c r="AF298" s="170"/>
      <c r="AG298" s="170"/>
      <c r="AH298" s="170"/>
      <c r="AI298" s="170"/>
      <c r="AJ298" s="170"/>
      <c r="AK298" s="170"/>
      <c r="AL298" s="170"/>
      <c r="AM298" s="170"/>
      <c r="AN298" s="170"/>
      <c r="AO298" s="170"/>
      <c r="AP298" s="170"/>
      <c r="AQ298" s="170"/>
      <c r="AR298" s="170"/>
      <c r="AS298" s="170"/>
      <c r="AT298" s="170"/>
      <c r="AU298" s="170"/>
      <c r="AV298" s="170"/>
      <c r="AW298" s="170"/>
      <c r="AX298" s="170"/>
    </row>
    <row r="299" spans="1:50" ht="15" x14ac:dyDescent="0.25">
      <c r="A299" s="170"/>
      <c r="B299" s="719"/>
      <c r="C299" s="170"/>
      <c r="D299" s="170"/>
      <c r="E299" s="170"/>
      <c r="F299" s="170"/>
      <c r="G299" s="721"/>
      <c r="H299" s="170"/>
      <c r="I299" s="170"/>
      <c r="J299" s="170"/>
      <c r="K299" s="170"/>
      <c r="L299" s="170"/>
      <c r="M299" s="730"/>
      <c r="N299" s="730"/>
      <c r="O299" s="730"/>
      <c r="P299" s="731"/>
      <c r="Q299" s="731"/>
      <c r="R299" s="730"/>
      <c r="S299" s="730"/>
      <c r="T299" s="723"/>
      <c r="U299" s="724"/>
      <c r="V299" s="725"/>
      <c r="W299" s="725"/>
      <c r="X299" s="723"/>
      <c r="Y299" s="723"/>
      <c r="Z299" s="723"/>
      <c r="AA299" s="726"/>
      <c r="AB299" s="726"/>
      <c r="AC299" s="170"/>
      <c r="AD299" s="586"/>
      <c r="AE299" s="586"/>
      <c r="AF299" s="170"/>
      <c r="AG299" s="170"/>
      <c r="AH299" s="170"/>
      <c r="AI299" s="170"/>
      <c r="AJ299" s="170"/>
      <c r="AK299" s="170"/>
      <c r="AL299" s="170"/>
      <c r="AM299" s="170"/>
      <c r="AN299" s="170"/>
      <c r="AO299" s="170"/>
      <c r="AP299" s="170"/>
      <c r="AQ299" s="170"/>
      <c r="AR299" s="170"/>
      <c r="AS299" s="170"/>
      <c r="AT299" s="170"/>
      <c r="AU299" s="170"/>
      <c r="AV299" s="170"/>
      <c r="AW299" s="170"/>
      <c r="AX299" s="170"/>
    </row>
    <row r="300" spans="1:50" ht="15" x14ac:dyDescent="0.25">
      <c r="A300" s="170"/>
      <c r="B300" s="719"/>
      <c r="C300" s="170"/>
      <c r="D300" s="170"/>
      <c r="E300" s="170"/>
      <c r="F300" s="170"/>
      <c r="G300" s="721"/>
      <c r="H300" s="170"/>
      <c r="I300" s="170"/>
      <c r="J300" s="170"/>
      <c r="K300" s="170"/>
      <c r="L300" s="170"/>
      <c r="M300" s="730"/>
      <c r="N300" s="730"/>
      <c r="O300" s="730"/>
      <c r="P300" s="731"/>
      <c r="Q300" s="731"/>
      <c r="R300" s="730"/>
      <c r="S300" s="730"/>
      <c r="T300" s="723"/>
      <c r="U300" s="724"/>
      <c r="V300" s="725"/>
      <c r="W300" s="725"/>
      <c r="X300" s="723"/>
      <c r="Y300" s="723"/>
      <c r="Z300" s="723"/>
      <c r="AA300" s="726"/>
      <c r="AB300" s="726"/>
      <c r="AC300" s="170"/>
      <c r="AD300" s="586"/>
      <c r="AE300" s="586"/>
      <c r="AF300" s="170"/>
      <c r="AG300" s="170"/>
      <c r="AH300" s="170"/>
      <c r="AI300" s="170"/>
      <c r="AJ300" s="170"/>
      <c r="AK300" s="170"/>
      <c r="AL300" s="170"/>
      <c r="AM300" s="170"/>
      <c r="AN300" s="170"/>
      <c r="AO300" s="170"/>
      <c r="AP300" s="170"/>
      <c r="AQ300" s="170"/>
      <c r="AR300" s="170"/>
      <c r="AS300" s="170"/>
      <c r="AT300" s="170"/>
      <c r="AU300" s="170"/>
      <c r="AV300" s="170"/>
      <c r="AW300" s="170"/>
      <c r="AX300" s="170"/>
    </row>
    <row r="301" spans="1:50" ht="15" x14ac:dyDescent="0.25">
      <c r="A301" s="170"/>
      <c r="B301" s="719"/>
      <c r="C301" s="170"/>
      <c r="D301" s="170"/>
      <c r="E301" s="170"/>
      <c r="F301" s="170"/>
      <c r="G301" s="721"/>
      <c r="H301" s="170"/>
      <c r="I301" s="170"/>
      <c r="J301" s="170"/>
      <c r="K301" s="170"/>
      <c r="L301" s="170"/>
      <c r="M301" s="730"/>
      <c r="N301" s="730"/>
      <c r="O301" s="730"/>
      <c r="P301" s="731"/>
      <c r="Q301" s="731"/>
      <c r="R301" s="730"/>
      <c r="S301" s="730"/>
      <c r="T301" s="723"/>
      <c r="U301" s="724"/>
      <c r="V301" s="725"/>
      <c r="W301" s="725"/>
      <c r="X301" s="723"/>
      <c r="Y301" s="723"/>
      <c r="Z301" s="723"/>
      <c r="AA301" s="726"/>
      <c r="AB301" s="726"/>
      <c r="AC301" s="170"/>
      <c r="AD301" s="586"/>
      <c r="AE301" s="586"/>
      <c r="AF301" s="170"/>
      <c r="AG301" s="170"/>
      <c r="AH301" s="170"/>
      <c r="AI301" s="170"/>
      <c r="AJ301" s="170"/>
      <c r="AK301" s="170"/>
      <c r="AL301" s="170"/>
      <c r="AM301" s="170"/>
      <c r="AN301" s="170"/>
      <c r="AO301" s="170"/>
      <c r="AP301" s="170"/>
      <c r="AQ301" s="170"/>
      <c r="AR301" s="170"/>
      <c r="AS301" s="170"/>
      <c r="AT301" s="170"/>
      <c r="AU301" s="170"/>
      <c r="AV301" s="170"/>
      <c r="AW301" s="170"/>
      <c r="AX301" s="170"/>
    </row>
    <row r="302" spans="1:50" ht="15" x14ac:dyDescent="0.25">
      <c r="A302" s="170"/>
      <c r="B302" s="719"/>
      <c r="C302" s="170"/>
      <c r="D302" s="170"/>
      <c r="E302" s="170"/>
      <c r="F302" s="170"/>
      <c r="G302" s="721"/>
      <c r="H302" s="170"/>
      <c r="I302" s="170"/>
      <c r="J302" s="170"/>
      <c r="K302" s="170"/>
      <c r="L302" s="170"/>
      <c r="M302" s="730"/>
      <c r="N302" s="730"/>
      <c r="O302" s="730"/>
      <c r="P302" s="731"/>
      <c r="Q302" s="731"/>
      <c r="R302" s="730"/>
      <c r="S302" s="730"/>
      <c r="T302" s="723"/>
      <c r="U302" s="724"/>
      <c r="V302" s="725"/>
      <c r="W302" s="725"/>
      <c r="X302" s="723"/>
      <c r="Y302" s="723"/>
      <c r="Z302" s="723"/>
      <c r="AA302" s="726"/>
      <c r="AB302" s="726"/>
      <c r="AC302" s="170"/>
      <c r="AD302" s="586"/>
      <c r="AE302" s="586"/>
      <c r="AF302" s="170"/>
      <c r="AG302" s="170"/>
      <c r="AH302" s="170"/>
      <c r="AI302" s="170"/>
      <c r="AJ302" s="170"/>
      <c r="AK302" s="170"/>
      <c r="AL302" s="170"/>
      <c r="AM302" s="170"/>
      <c r="AN302" s="170"/>
      <c r="AO302" s="170"/>
      <c r="AP302" s="170"/>
      <c r="AQ302" s="170"/>
      <c r="AR302" s="170"/>
      <c r="AS302" s="170"/>
      <c r="AT302" s="170"/>
      <c r="AU302" s="170"/>
      <c r="AV302" s="170"/>
      <c r="AW302" s="170"/>
      <c r="AX302" s="170"/>
    </row>
    <row r="303" spans="1:50" ht="15" x14ac:dyDescent="0.25">
      <c r="A303" s="170"/>
      <c r="B303" s="719"/>
      <c r="C303" s="170"/>
      <c r="D303" s="170"/>
      <c r="E303" s="170"/>
      <c r="F303" s="170"/>
      <c r="G303" s="721"/>
      <c r="H303" s="170"/>
      <c r="I303" s="170"/>
      <c r="J303" s="170"/>
      <c r="K303" s="170"/>
      <c r="L303" s="170"/>
      <c r="M303" s="730"/>
      <c r="N303" s="730"/>
      <c r="O303" s="730"/>
      <c r="P303" s="731"/>
      <c r="Q303" s="731"/>
      <c r="R303" s="730"/>
      <c r="S303" s="730"/>
      <c r="T303" s="723"/>
      <c r="U303" s="724"/>
      <c r="V303" s="725"/>
      <c r="W303" s="725"/>
      <c r="X303" s="723"/>
      <c r="Y303" s="723"/>
      <c r="Z303" s="723"/>
      <c r="AA303" s="726"/>
      <c r="AB303" s="726"/>
      <c r="AC303" s="170"/>
      <c r="AD303" s="586"/>
      <c r="AE303" s="586"/>
      <c r="AF303" s="170"/>
      <c r="AG303" s="170"/>
      <c r="AH303" s="170"/>
      <c r="AI303" s="170"/>
      <c r="AJ303" s="170"/>
      <c r="AK303" s="170"/>
      <c r="AL303" s="170"/>
      <c r="AM303" s="170"/>
      <c r="AN303" s="170"/>
      <c r="AO303" s="170"/>
      <c r="AP303" s="170"/>
      <c r="AQ303" s="170"/>
      <c r="AR303" s="170"/>
      <c r="AS303" s="170"/>
      <c r="AT303" s="170"/>
      <c r="AU303" s="170"/>
      <c r="AV303" s="170"/>
      <c r="AW303" s="170"/>
      <c r="AX303" s="170"/>
    </row>
    <row r="304" spans="1:50" ht="15" x14ac:dyDescent="0.25">
      <c r="A304" s="170"/>
      <c r="B304" s="719"/>
      <c r="C304" s="170"/>
      <c r="D304" s="170"/>
      <c r="E304" s="170"/>
      <c r="F304" s="170"/>
      <c r="G304" s="721"/>
      <c r="H304" s="170"/>
      <c r="I304" s="170"/>
      <c r="J304" s="170"/>
      <c r="K304" s="170"/>
      <c r="L304" s="170"/>
      <c r="M304" s="730"/>
      <c r="N304" s="730"/>
      <c r="O304" s="730"/>
      <c r="P304" s="731"/>
      <c r="Q304" s="731"/>
      <c r="R304" s="730"/>
      <c r="S304" s="730"/>
      <c r="T304" s="723"/>
      <c r="U304" s="724"/>
      <c r="V304" s="725"/>
      <c r="W304" s="725"/>
      <c r="X304" s="723"/>
      <c r="Y304" s="723"/>
      <c r="Z304" s="723"/>
      <c r="AA304" s="726"/>
      <c r="AB304" s="726"/>
      <c r="AC304" s="170"/>
      <c r="AD304" s="586"/>
      <c r="AE304" s="586"/>
      <c r="AF304" s="170"/>
      <c r="AG304" s="170"/>
      <c r="AH304" s="170"/>
      <c r="AI304" s="170"/>
      <c r="AJ304" s="170"/>
      <c r="AK304" s="170"/>
      <c r="AL304" s="170"/>
      <c r="AM304" s="170"/>
      <c r="AN304" s="170"/>
      <c r="AO304" s="170"/>
      <c r="AP304" s="170"/>
      <c r="AQ304" s="170"/>
      <c r="AR304" s="170"/>
      <c r="AS304" s="170"/>
      <c r="AT304" s="170"/>
      <c r="AU304" s="170"/>
      <c r="AV304" s="170"/>
      <c r="AW304" s="170"/>
      <c r="AX304" s="170"/>
    </row>
    <row r="305" spans="1:50" ht="15" x14ac:dyDescent="0.25">
      <c r="A305" s="170"/>
      <c r="B305" s="719"/>
      <c r="C305" s="170"/>
      <c r="D305" s="170"/>
      <c r="E305" s="170"/>
      <c r="F305" s="170"/>
      <c r="G305" s="721"/>
      <c r="H305" s="170"/>
      <c r="I305" s="170"/>
      <c r="J305" s="170"/>
      <c r="K305" s="170"/>
      <c r="L305" s="170"/>
      <c r="M305" s="730"/>
      <c r="N305" s="730"/>
      <c r="O305" s="730"/>
      <c r="P305" s="731"/>
      <c r="Q305" s="731"/>
      <c r="R305" s="730"/>
      <c r="S305" s="730"/>
      <c r="T305" s="723"/>
      <c r="U305" s="724"/>
      <c r="V305" s="725"/>
      <c r="W305" s="725"/>
      <c r="X305" s="723"/>
      <c r="Y305" s="723"/>
      <c r="Z305" s="723"/>
      <c r="AA305" s="726"/>
      <c r="AB305" s="726"/>
      <c r="AC305" s="170"/>
      <c r="AD305" s="586"/>
      <c r="AE305" s="586"/>
      <c r="AF305" s="170"/>
      <c r="AG305" s="170"/>
      <c r="AH305" s="170"/>
      <c r="AI305" s="170"/>
      <c r="AJ305" s="170"/>
      <c r="AK305" s="170"/>
      <c r="AL305" s="170"/>
      <c r="AM305" s="170"/>
      <c r="AN305" s="170"/>
      <c r="AO305" s="170"/>
      <c r="AP305" s="170"/>
      <c r="AQ305" s="170"/>
      <c r="AR305" s="170"/>
      <c r="AS305" s="170"/>
      <c r="AT305" s="170"/>
      <c r="AU305" s="170"/>
      <c r="AV305" s="170"/>
      <c r="AW305" s="170"/>
      <c r="AX305" s="170"/>
    </row>
    <row r="306" spans="1:50" ht="15" x14ac:dyDescent="0.25">
      <c r="A306" s="170"/>
      <c r="B306" s="719"/>
      <c r="C306" s="170"/>
      <c r="D306" s="170"/>
      <c r="E306" s="170"/>
      <c r="F306" s="170"/>
      <c r="G306" s="721"/>
      <c r="H306" s="170"/>
      <c r="I306" s="170"/>
      <c r="J306" s="170"/>
      <c r="K306" s="170"/>
      <c r="L306" s="170"/>
      <c r="M306" s="730"/>
      <c r="N306" s="730"/>
      <c r="O306" s="730"/>
      <c r="P306" s="731"/>
      <c r="Q306" s="731"/>
      <c r="R306" s="730"/>
      <c r="S306" s="730"/>
      <c r="T306" s="723"/>
      <c r="U306" s="724"/>
      <c r="V306" s="725"/>
      <c r="W306" s="725"/>
      <c r="X306" s="723"/>
      <c r="Y306" s="723"/>
      <c r="Z306" s="723"/>
      <c r="AA306" s="726"/>
      <c r="AB306" s="726"/>
      <c r="AC306" s="170"/>
      <c r="AD306" s="586"/>
      <c r="AE306" s="586"/>
      <c r="AF306" s="170"/>
      <c r="AG306" s="170"/>
      <c r="AH306" s="170"/>
      <c r="AI306" s="170"/>
      <c r="AJ306" s="170"/>
      <c r="AK306" s="170"/>
      <c r="AL306" s="170"/>
      <c r="AM306" s="170"/>
      <c r="AN306" s="170"/>
      <c r="AO306" s="170"/>
      <c r="AP306" s="170"/>
      <c r="AQ306" s="170"/>
      <c r="AR306" s="170"/>
      <c r="AS306" s="170"/>
      <c r="AT306" s="170"/>
      <c r="AU306" s="170"/>
      <c r="AV306" s="170"/>
      <c r="AW306" s="170"/>
      <c r="AX306" s="170"/>
    </row>
    <row r="307" spans="1:50" ht="15" x14ac:dyDescent="0.25">
      <c r="A307" s="170"/>
      <c r="B307" s="719"/>
      <c r="C307" s="170"/>
      <c r="D307" s="170"/>
      <c r="E307" s="170"/>
      <c r="F307" s="170"/>
      <c r="G307" s="721"/>
      <c r="H307" s="170"/>
      <c r="I307" s="170"/>
      <c r="J307" s="170"/>
      <c r="K307" s="170"/>
      <c r="L307" s="170"/>
      <c r="M307" s="730"/>
      <c r="N307" s="730"/>
      <c r="O307" s="730"/>
      <c r="P307" s="731"/>
      <c r="Q307" s="731"/>
      <c r="R307" s="730"/>
      <c r="S307" s="730"/>
      <c r="T307" s="723"/>
      <c r="U307" s="724"/>
      <c r="V307" s="725"/>
      <c r="W307" s="725"/>
      <c r="X307" s="723"/>
      <c r="Y307" s="723"/>
      <c r="Z307" s="723"/>
      <c r="AA307" s="726"/>
      <c r="AB307" s="726"/>
      <c r="AC307" s="170"/>
      <c r="AD307" s="586"/>
      <c r="AE307" s="586"/>
      <c r="AF307" s="170"/>
      <c r="AG307" s="170"/>
      <c r="AH307" s="170"/>
      <c r="AI307" s="170"/>
      <c r="AJ307" s="170"/>
      <c r="AK307" s="170"/>
      <c r="AL307" s="170"/>
      <c r="AM307" s="170"/>
      <c r="AN307" s="170"/>
      <c r="AO307" s="170"/>
      <c r="AP307" s="170"/>
      <c r="AQ307" s="170"/>
      <c r="AR307" s="170"/>
      <c r="AS307" s="170"/>
      <c r="AT307" s="170"/>
      <c r="AU307" s="170"/>
      <c r="AV307" s="170"/>
      <c r="AW307" s="170"/>
      <c r="AX307" s="170"/>
    </row>
    <row r="308" spans="1:50" ht="15" x14ac:dyDescent="0.25">
      <c r="A308" s="170"/>
      <c r="B308" s="719"/>
      <c r="C308" s="170"/>
      <c r="D308" s="170"/>
      <c r="E308" s="170"/>
      <c r="F308" s="170"/>
      <c r="G308" s="721"/>
      <c r="H308" s="170"/>
      <c r="I308" s="170"/>
      <c r="J308" s="170"/>
      <c r="K308" s="170"/>
      <c r="L308" s="170"/>
      <c r="M308" s="730"/>
      <c r="N308" s="730"/>
      <c r="O308" s="730"/>
      <c r="P308" s="731"/>
      <c r="Q308" s="731"/>
      <c r="R308" s="730"/>
      <c r="S308" s="730"/>
      <c r="T308" s="723"/>
      <c r="U308" s="724"/>
      <c r="V308" s="725"/>
      <c r="W308" s="725"/>
      <c r="X308" s="723"/>
      <c r="Y308" s="723"/>
      <c r="Z308" s="723"/>
      <c r="AA308" s="726"/>
      <c r="AB308" s="726"/>
      <c r="AC308" s="170"/>
      <c r="AD308" s="586"/>
      <c r="AE308" s="586"/>
      <c r="AF308" s="170"/>
      <c r="AG308" s="170"/>
      <c r="AH308" s="170"/>
      <c r="AI308" s="170"/>
      <c r="AJ308" s="170"/>
      <c r="AK308" s="170"/>
      <c r="AL308" s="170"/>
      <c r="AM308" s="170"/>
      <c r="AN308" s="170"/>
      <c r="AO308" s="170"/>
      <c r="AP308" s="170"/>
      <c r="AQ308" s="170"/>
      <c r="AR308" s="170"/>
      <c r="AS308" s="170"/>
      <c r="AT308" s="170"/>
      <c r="AU308" s="170"/>
      <c r="AV308" s="170"/>
      <c r="AW308" s="170"/>
      <c r="AX308" s="170"/>
    </row>
    <row r="309" spans="1:50" ht="15" x14ac:dyDescent="0.25">
      <c r="A309" s="170"/>
      <c r="B309" s="719"/>
      <c r="C309" s="170"/>
      <c r="D309" s="170"/>
      <c r="E309" s="170"/>
      <c r="F309" s="170"/>
      <c r="G309" s="721"/>
      <c r="H309" s="170"/>
      <c r="I309" s="170"/>
      <c r="J309" s="170"/>
      <c r="K309" s="170"/>
      <c r="L309" s="170"/>
      <c r="M309" s="730"/>
      <c r="N309" s="730"/>
      <c r="O309" s="730"/>
      <c r="P309" s="731"/>
      <c r="Q309" s="731"/>
      <c r="R309" s="730"/>
      <c r="S309" s="730"/>
      <c r="T309" s="723"/>
      <c r="U309" s="724"/>
      <c r="V309" s="725"/>
      <c r="W309" s="725"/>
      <c r="X309" s="723"/>
      <c r="Y309" s="723"/>
      <c r="Z309" s="723"/>
      <c r="AA309" s="726"/>
      <c r="AB309" s="726"/>
      <c r="AC309" s="170"/>
      <c r="AD309" s="586"/>
      <c r="AE309" s="586"/>
      <c r="AF309" s="170"/>
      <c r="AG309" s="170"/>
      <c r="AH309" s="170"/>
      <c r="AI309" s="170"/>
      <c r="AJ309" s="170"/>
      <c r="AK309" s="170"/>
      <c r="AL309" s="170"/>
      <c r="AM309" s="170"/>
      <c r="AN309" s="170"/>
      <c r="AO309" s="170"/>
      <c r="AP309" s="170"/>
      <c r="AQ309" s="170"/>
      <c r="AR309" s="170"/>
      <c r="AS309" s="170"/>
      <c r="AT309" s="170"/>
      <c r="AU309" s="170"/>
      <c r="AV309" s="170"/>
      <c r="AW309" s="170"/>
      <c r="AX309" s="170"/>
    </row>
    <row r="310" spans="1:50" ht="15" x14ac:dyDescent="0.25">
      <c r="A310" s="170"/>
      <c r="B310" s="719"/>
      <c r="C310" s="170"/>
      <c r="D310" s="170"/>
      <c r="E310" s="170"/>
      <c r="F310" s="170"/>
      <c r="G310" s="721"/>
      <c r="H310" s="170"/>
      <c r="I310" s="170"/>
      <c r="J310" s="170"/>
      <c r="K310" s="170"/>
      <c r="L310" s="170"/>
      <c r="M310" s="730"/>
      <c r="N310" s="730"/>
      <c r="O310" s="730"/>
      <c r="P310" s="731"/>
      <c r="Q310" s="731"/>
      <c r="R310" s="730"/>
      <c r="S310" s="730"/>
      <c r="T310" s="723"/>
      <c r="U310" s="724"/>
      <c r="V310" s="725"/>
      <c r="W310" s="725"/>
      <c r="X310" s="723"/>
      <c r="Y310" s="723"/>
      <c r="Z310" s="723"/>
      <c r="AA310" s="726"/>
      <c r="AB310" s="726"/>
      <c r="AC310" s="170"/>
      <c r="AD310" s="586"/>
      <c r="AE310" s="586"/>
      <c r="AF310" s="170"/>
      <c r="AG310" s="170"/>
      <c r="AH310" s="170"/>
      <c r="AI310" s="170"/>
      <c r="AJ310" s="170"/>
      <c r="AK310" s="170"/>
      <c r="AL310" s="170"/>
      <c r="AM310" s="170"/>
      <c r="AN310" s="170"/>
      <c r="AO310" s="170"/>
      <c r="AP310" s="170"/>
      <c r="AQ310" s="170"/>
      <c r="AR310" s="170"/>
      <c r="AS310" s="170"/>
      <c r="AT310" s="170"/>
      <c r="AU310" s="170"/>
      <c r="AV310" s="170"/>
      <c r="AW310" s="170"/>
      <c r="AX310" s="170"/>
    </row>
    <row r="311" spans="1:50" ht="15" x14ac:dyDescent="0.25">
      <c r="A311" s="170"/>
      <c r="B311" s="719"/>
      <c r="C311" s="170"/>
      <c r="D311" s="170"/>
      <c r="E311" s="170"/>
      <c r="F311" s="170"/>
      <c r="G311" s="721"/>
      <c r="H311" s="170"/>
      <c r="I311" s="170"/>
      <c r="J311" s="170"/>
      <c r="K311" s="170"/>
      <c r="L311" s="170"/>
      <c r="M311" s="730"/>
      <c r="N311" s="730"/>
      <c r="O311" s="730"/>
      <c r="P311" s="731"/>
      <c r="Q311" s="731"/>
      <c r="R311" s="730"/>
      <c r="S311" s="730"/>
      <c r="T311" s="723"/>
      <c r="U311" s="724"/>
      <c r="V311" s="725"/>
      <c r="W311" s="725"/>
      <c r="X311" s="723"/>
      <c r="Y311" s="723"/>
      <c r="Z311" s="723"/>
      <c r="AA311" s="726"/>
      <c r="AB311" s="726"/>
      <c r="AC311" s="170"/>
      <c r="AD311" s="586"/>
      <c r="AE311" s="586"/>
      <c r="AF311" s="170"/>
      <c r="AG311" s="170"/>
      <c r="AH311" s="170"/>
      <c r="AI311" s="170"/>
      <c r="AJ311" s="170"/>
      <c r="AK311" s="170"/>
      <c r="AL311" s="170"/>
      <c r="AM311" s="170"/>
      <c r="AN311" s="170"/>
      <c r="AO311" s="170"/>
      <c r="AP311" s="170"/>
      <c r="AQ311" s="170"/>
      <c r="AR311" s="170"/>
      <c r="AS311" s="170"/>
      <c r="AT311" s="170"/>
      <c r="AU311" s="170"/>
      <c r="AV311" s="170"/>
      <c r="AW311" s="170"/>
      <c r="AX311" s="170"/>
    </row>
    <row r="312" spans="1:50" ht="15" x14ac:dyDescent="0.25">
      <c r="A312" s="170"/>
      <c r="B312" s="719"/>
      <c r="C312" s="170"/>
      <c r="D312" s="170"/>
      <c r="E312" s="170"/>
      <c r="F312" s="170"/>
      <c r="G312" s="721"/>
      <c r="H312" s="170"/>
      <c r="I312" s="170"/>
      <c r="J312" s="170"/>
      <c r="K312" s="170"/>
      <c r="L312" s="170"/>
      <c r="M312" s="730"/>
      <c r="N312" s="730"/>
      <c r="O312" s="730"/>
      <c r="P312" s="731"/>
      <c r="Q312" s="731"/>
      <c r="R312" s="730"/>
      <c r="S312" s="730"/>
      <c r="T312" s="723"/>
      <c r="U312" s="724"/>
      <c r="V312" s="725"/>
      <c r="W312" s="725"/>
      <c r="X312" s="723"/>
      <c r="Y312" s="723"/>
      <c r="Z312" s="723"/>
      <c r="AA312" s="726"/>
      <c r="AB312" s="726"/>
      <c r="AC312" s="170"/>
      <c r="AD312" s="586"/>
      <c r="AE312" s="586"/>
      <c r="AF312" s="170"/>
      <c r="AG312" s="170"/>
      <c r="AH312" s="170"/>
      <c r="AI312" s="170"/>
      <c r="AJ312" s="170"/>
      <c r="AK312" s="170"/>
      <c r="AL312" s="170"/>
      <c r="AM312" s="170"/>
      <c r="AN312" s="170"/>
      <c r="AO312" s="170"/>
      <c r="AP312" s="170"/>
      <c r="AQ312" s="170"/>
      <c r="AR312" s="170"/>
      <c r="AS312" s="170"/>
      <c r="AT312" s="170"/>
      <c r="AU312" s="170"/>
      <c r="AV312" s="170"/>
      <c r="AW312" s="170"/>
      <c r="AX312" s="170"/>
    </row>
    <row r="313" spans="1:50" ht="15" x14ac:dyDescent="0.25">
      <c r="A313" s="170"/>
      <c r="B313" s="719"/>
      <c r="C313" s="170"/>
      <c r="D313" s="170"/>
      <c r="E313" s="170"/>
      <c r="F313" s="170"/>
      <c r="G313" s="721"/>
      <c r="H313" s="170"/>
      <c r="I313" s="170"/>
      <c r="J313" s="170"/>
      <c r="K313" s="170"/>
      <c r="L313" s="170"/>
      <c r="M313" s="730"/>
      <c r="N313" s="730"/>
      <c r="O313" s="730"/>
      <c r="P313" s="731"/>
      <c r="Q313" s="731"/>
      <c r="R313" s="730"/>
      <c r="S313" s="730"/>
      <c r="T313" s="723"/>
      <c r="U313" s="724"/>
      <c r="V313" s="725"/>
      <c r="W313" s="725"/>
      <c r="X313" s="723"/>
      <c r="Y313" s="723"/>
      <c r="Z313" s="723"/>
      <c r="AA313" s="726"/>
      <c r="AB313" s="726"/>
      <c r="AC313" s="170"/>
      <c r="AD313" s="586"/>
      <c r="AE313" s="586"/>
      <c r="AF313" s="170"/>
      <c r="AG313" s="170"/>
      <c r="AH313" s="170"/>
      <c r="AI313" s="170"/>
      <c r="AJ313" s="170"/>
      <c r="AK313" s="170"/>
      <c r="AL313" s="170"/>
      <c r="AM313" s="170"/>
      <c r="AN313" s="170"/>
      <c r="AO313" s="170"/>
      <c r="AP313" s="170"/>
      <c r="AQ313" s="170"/>
      <c r="AR313" s="170"/>
      <c r="AS313" s="170"/>
      <c r="AT313" s="170"/>
      <c r="AU313" s="170"/>
      <c r="AV313" s="170"/>
      <c r="AW313" s="170"/>
      <c r="AX313" s="170"/>
    </row>
    <row r="314" spans="1:50" ht="15" x14ac:dyDescent="0.25">
      <c r="A314" s="170"/>
      <c r="B314" s="719"/>
      <c r="C314" s="170"/>
      <c r="D314" s="170"/>
      <c r="E314" s="170"/>
      <c r="F314" s="170"/>
      <c r="G314" s="721"/>
      <c r="H314" s="170"/>
      <c r="I314" s="170"/>
      <c r="J314" s="170"/>
      <c r="K314" s="170"/>
      <c r="L314" s="170"/>
      <c r="M314" s="730"/>
      <c r="N314" s="730"/>
      <c r="O314" s="730"/>
      <c r="P314" s="731"/>
      <c r="Q314" s="731"/>
      <c r="R314" s="730"/>
      <c r="S314" s="730"/>
      <c r="T314" s="723"/>
      <c r="U314" s="724"/>
      <c r="V314" s="725"/>
      <c r="W314" s="725"/>
      <c r="X314" s="723"/>
      <c r="Y314" s="723"/>
      <c r="Z314" s="723"/>
      <c r="AA314" s="726"/>
      <c r="AB314" s="726"/>
      <c r="AC314" s="170"/>
      <c r="AD314" s="586"/>
      <c r="AE314" s="586"/>
      <c r="AF314" s="170"/>
      <c r="AG314" s="170"/>
      <c r="AH314" s="170"/>
      <c r="AI314" s="170"/>
      <c r="AJ314" s="170"/>
      <c r="AK314" s="170"/>
      <c r="AL314" s="170"/>
      <c r="AM314" s="170"/>
      <c r="AN314" s="170"/>
      <c r="AO314" s="170"/>
      <c r="AP314" s="170"/>
      <c r="AQ314" s="170"/>
      <c r="AR314" s="170"/>
      <c r="AS314" s="170"/>
      <c r="AT314" s="170"/>
      <c r="AU314" s="170"/>
      <c r="AV314" s="170"/>
      <c r="AW314" s="170"/>
      <c r="AX314" s="170"/>
    </row>
    <row r="315" spans="1:50" ht="15" x14ac:dyDescent="0.25">
      <c r="A315" s="170"/>
      <c r="B315" s="719"/>
      <c r="C315" s="170"/>
      <c r="D315" s="170"/>
      <c r="E315" s="170"/>
      <c r="F315" s="170"/>
      <c r="G315" s="721"/>
      <c r="H315" s="170"/>
      <c r="I315" s="170"/>
      <c r="J315" s="170"/>
      <c r="K315" s="170"/>
      <c r="L315" s="170"/>
      <c r="M315" s="730"/>
      <c r="N315" s="730"/>
      <c r="O315" s="730"/>
      <c r="P315" s="731"/>
      <c r="Q315" s="731"/>
      <c r="R315" s="730"/>
      <c r="S315" s="730"/>
      <c r="T315" s="723"/>
      <c r="U315" s="724"/>
      <c r="V315" s="725"/>
      <c r="W315" s="725"/>
      <c r="X315" s="723"/>
      <c r="Y315" s="723"/>
      <c r="Z315" s="723"/>
      <c r="AA315" s="726"/>
      <c r="AB315" s="726"/>
      <c r="AC315" s="170"/>
      <c r="AD315" s="586"/>
      <c r="AE315" s="586"/>
      <c r="AF315" s="170"/>
      <c r="AG315" s="170"/>
      <c r="AH315" s="170"/>
      <c r="AI315" s="170"/>
      <c r="AJ315" s="170"/>
      <c r="AK315" s="170"/>
      <c r="AL315" s="170"/>
      <c r="AM315" s="170"/>
      <c r="AN315" s="170"/>
      <c r="AO315" s="170"/>
      <c r="AP315" s="170"/>
      <c r="AQ315" s="170"/>
      <c r="AR315" s="170"/>
      <c r="AS315" s="170"/>
      <c r="AT315" s="170"/>
      <c r="AU315" s="170"/>
      <c r="AV315" s="170"/>
      <c r="AW315" s="170"/>
      <c r="AX315" s="170"/>
    </row>
    <row r="316" spans="1:50" ht="15" x14ac:dyDescent="0.25">
      <c r="A316" s="170"/>
      <c r="B316" s="719"/>
      <c r="C316" s="170"/>
      <c r="D316" s="170"/>
      <c r="E316" s="170"/>
      <c r="F316" s="170"/>
      <c r="G316" s="721"/>
      <c r="H316" s="170"/>
      <c r="I316" s="170"/>
      <c r="J316" s="170"/>
      <c r="K316" s="170"/>
      <c r="L316" s="170"/>
      <c r="M316" s="730"/>
      <c r="N316" s="730"/>
      <c r="O316" s="730"/>
      <c r="P316" s="731"/>
      <c r="Q316" s="731"/>
      <c r="R316" s="730"/>
      <c r="S316" s="730"/>
      <c r="T316" s="723"/>
      <c r="U316" s="724"/>
      <c r="V316" s="725"/>
      <c r="W316" s="725"/>
      <c r="X316" s="723"/>
      <c r="Y316" s="723"/>
      <c r="Z316" s="723"/>
      <c r="AA316" s="726"/>
      <c r="AB316" s="726"/>
      <c r="AC316" s="170"/>
      <c r="AD316" s="586"/>
      <c r="AE316" s="586"/>
      <c r="AF316" s="170"/>
      <c r="AG316" s="170"/>
      <c r="AH316" s="170"/>
      <c r="AI316" s="170"/>
      <c r="AJ316" s="170"/>
      <c r="AK316" s="170"/>
      <c r="AL316" s="170"/>
      <c r="AM316" s="170"/>
      <c r="AN316" s="170"/>
      <c r="AO316" s="170"/>
      <c r="AP316" s="170"/>
      <c r="AQ316" s="170"/>
      <c r="AR316" s="170"/>
      <c r="AS316" s="170"/>
      <c r="AT316" s="170"/>
      <c r="AU316" s="170"/>
      <c r="AV316" s="170"/>
      <c r="AW316" s="170"/>
      <c r="AX316" s="170"/>
    </row>
    <row r="317" spans="1:50" ht="15" x14ac:dyDescent="0.25">
      <c r="A317" s="170"/>
      <c r="B317" s="719"/>
      <c r="C317" s="170"/>
      <c r="D317" s="170"/>
      <c r="E317" s="170"/>
      <c r="F317" s="170"/>
      <c r="G317" s="721"/>
      <c r="H317" s="170"/>
      <c r="I317" s="170"/>
      <c r="J317" s="170"/>
      <c r="K317" s="170"/>
      <c r="L317" s="170"/>
      <c r="M317" s="730"/>
      <c r="N317" s="730"/>
      <c r="O317" s="730"/>
      <c r="P317" s="731"/>
      <c r="Q317" s="731"/>
      <c r="R317" s="730"/>
      <c r="S317" s="730"/>
      <c r="T317" s="723"/>
      <c r="U317" s="724"/>
      <c r="V317" s="725"/>
      <c r="W317" s="725"/>
      <c r="X317" s="723"/>
      <c r="Y317" s="723"/>
      <c r="Z317" s="723"/>
      <c r="AA317" s="726"/>
      <c r="AB317" s="726"/>
      <c r="AC317" s="170"/>
      <c r="AD317" s="586"/>
      <c r="AE317" s="586"/>
      <c r="AF317" s="170"/>
      <c r="AG317" s="170"/>
      <c r="AH317" s="170"/>
      <c r="AI317" s="170"/>
      <c r="AJ317" s="170"/>
      <c r="AK317" s="170"/>
      <c r="AL317" s="170"/>
      <c r="AM317" s="170"/>
      <c r="AN317" s="170"/>
      <c r="AO317" s="170"/>
      <c r="AP317" s="170"/>
      <c r="AQ317" s="170"/>
      <c r="AR317" s="170"/>
      <c r="AS317" s="170"/>
      <c r="AT317" s="170"/>
      <c r="AU317" s="170"/>
      <c r="AV317" s="170"/>
      <c r="AW317" s="170"/>
      <c r="AX317" s="170"/>
    </row>
    <row r="318" spans="1:50" ht="15" x14ac:dyDescent="0.25">
      <c r="A318" s="170"/>
      <c r="B318" s="719"/>
      <c r="C318" s="170"/>
      <c r="D318" s="170"/>
      <c r="E318" s="170"/>
      <c r="F318" s="170"/>
      <c r="G318" s="721"/>
      <c r="H318" s="170"/>
      <c r="I318" s="170"/>
      <c r="J318" s="170"/>
      <c r="K318" s="170"/>
      <c r="L318" s="170"/>
      <c r="M318" s="730"/>
      <c r="N318" s="730"/>
      <c r="O318" s="730"/>
      <c r="P318" s="731"/>
      <c r="Q318" s="731"/>
      <c r="R318" s="730"/>
      <c r="S318" s="730"/>
      <c r="T318" s="723"/>
      <c r="U318" s="724"/>
      <c r="V318" s="725"/>
      <c r="W318" s="725"/>
      <c r="X318" s="723"/>
      <c r="Y318" s="723"/>
      <c r="Z318" s="723"/>
      <c r="AA318" s="726"/>
      <c r="AB318" s="726"/>
      <c r="AC318" s="170"/>
      <c r="AD318" s="586"/>
      <c r="AE318" s="586"/>
      <c r="AF318" s="170"/>
      <c r="AG318" s="170"/>
      <c r="AH318" s="170"/>
      <c r="AI318" s="170"/>
      <c r="AJ318" s="170"/>
      <c r="AK318" s="170"/>
      <c r="AL318" s="170"/>
      <c r="AM318" s="170"/>
      <c r="AN318" s="170"/>
      <c r="AO318" s="170"/>
      <c r="AP318" s="170"/>
      <c r="AQ318" s="170"/>
      <c r="AR318" s="170"/>
      <c r="AS318" s="170"/>
      <c r="AT318" s="170"/>
      <c r="AU318" s="170"/>
      <c r="AV318" s="170"/>
      <c r="AW318" s="170"/>
      <c r="AX318" s="170"/>
    </row>
    <row r="319" spans="1:50" ht="15" x14ac:dyDescent="0.25">
      <c r="A319" s="170"/>
      <c r="B319" s="719"/>
      <c r="C319" s="170"/>
      <c r="D319" s="170"/>
      <c r="E319" s="170"/>
      <c r="F319" s="170"/>
      <c r="G319" s="721"/>
      <c r="H319" s="170"/>
      <c r="I319" s="170"/>
      <c r="J319" s="170"/>
      <c r="K319" s="170"/>
      <c r="L319" s="170"/>
      <c r="M319" s="730"/>
      <c r="N319" s="730"/>
      <c r="O319" s="730"/>
      <c r="P319" s="731"/>
      <c r="Q319" s="731"/>
      <c r="R319" s="730"/>
      <c r="S319" s="730"/>
      <c r="T319" s="723"/>
      <c r="U319" s="724"/>
      <c r="V319" s="725"/>
      <c r="W319" s="725"/>
      <c r="X319" s="723"/>
      <c r="Y319" s="723"/>
      <c r="Z319" s="723"/>
      <c r="AA319" s="726"/>
      <c r="AB319" s="726"/>
      <c r="AC319" s="170"/>
      <c r="AD319" s="586"/>
      <c r="AE319" s="586"/>
      <c r="AF319" s="170"/>
      <c r="AG319" s="170"/>
      <c r="AH319" s="170"/>
      <c r="AI319" s="170"/>
      <c r="AJ319" s="170"/>
      <c r="AK319" s="170"/>
      <c r="AL319" s="170"/>
      <c r="AM319" s="170"/>
      <c r="AN319" s="170"/>
      <c r="AO319" s="170"/>
      <c r="AP319" s="170"/>
      <c r="AQ319" s="170"/>
      <c r="AR319" s="170"/>
      <c r="AS319" s="170"/>
      <c r="AT319" s="170"/>
      <c r="AU319" s="170"/>
      <c r="AV319" s="170"/>
      <c r="AW319" s="170"/>
      <c r="AX319" s="170"/>
    </row>
    <row r="320" spans="1:50" ht="15" x14ac:dyDescent="0.25">
      <c r="A320" s="170"/>
      <c r="B320" s="719"/>
      <c r="C320" s="170"/>
      <c r="D320" s="170"/>
      <c r="E320" s="170"/>
      <c r="F320" s="170"/>
      <c r="G320" s="721"/>
      <c r="H320" s="170"/>
      <c r="I320" s="170"/>
      <c r="J320" s="170"/>
      <c r="K320" s="170"/>
      <c r="L320" s="170"/>
      <c r="M320" s="730"/>
      <c r="N320" s="730"/>
      <c r="O320" s="730"/>
      <c r="P320" s="731"/>
      <c r="Q320" s="731"/>
      <c r="R320" s="730"/>
      <c r="S320" s="730"/>
      <c r="T320" s="723"/>
      <c r="U320" s="724"/>
      <c r="V320" s="725"/>
      <c r="W320" s="725"/>
      <c r="X320" s="723"/>
      <c r="Y320" s="723"/>
      <c r="Z320" s="723"/>
      <c r="AA320" s="726"/>
      <c r="AB320" s="726"/>
      <c r="AC320" s="170"/>
      <c r="AD320" s="586"/>
      <c r="AE320" s="586"/>
      <c r="AF320" s="170"/>
      <c r="AG320" s="170"/>
      <c r="AH320" s="170"/>
      <c r="AI320" s="170"/>
      <c r="AJ320" s="170"/>
      <c r="AK320" s="170"/>
      <c r="AL320" s="170"/>
      <c r="AM320" s="170"/>
      <c r="AN320" s="170"/>
      <c r="AO320" s="170"/>
      <c r="AP320" s="170"/>
      <c r="AQ320" s="170"/>
      <c r="AR320" s="170"/>
      <c r="AS320" s="170"/>
      <c r="AT320" s="170"/>
      <c r="AU320" s="170"/>
      <c r="AV320" s="170"/>
      <c r="AW320" s="170"/>
      <c r="AX320" s="170"/>
    </row>
    <row r="321" spans="1:50" ht="15" x14ac:dyDescent="0.25">
      <c r="A321" s="170"/>
      <c r="B321" s="719"/>
      <c r="C321" s="170"/>
      <c r="D321" s="170"/>
      <c r="E321" s="170"/>
      <c r="F321" s="170"/>
      <c r="G321" s="721"/>
      <c r="H321" s="170"/>
      <c r="I321" s="170"/>
      <c r="J321" s="170"/>
      <c r="K321" s="170"/>
      <c r="L321" s="170"/>
      <c r="M321" s="730"/>
      <c r="N321" s="730"/>
      <c r="O321" s="730"/>
      <c r="P321" s="731"/>
      <c r="Q321" s="731"/>
      <c r="R321" s="730"/>
      <c r="S321" s="730"/>
      <c r="T321" s="723"/>
      <c r="U321" s="724"/>
      <c r="V321" s="725"/>
      <c r="W321" s="725"/>
      <c r="X321" s="723"/>
      <c r="Y321" s="723"/>
      <c r="Z321" s="723"/>
      <c r="AA321" s="726"/>
      <c r="AB321" s="726"/>
      <c r="AC321" s="170"/>
      <c r="AD321" s="586"/>
      <c r="AE321" s="586"/>
      <c r="AF321" s="170"/>
      <c r="AG321" s="170"/>
      <c r="AH321" s="170"/>
      <c r="AI321" s="170"/>
      <c r="AJ321" s="170"/>
      <c r="AK321" s="170"/>
      <c r="AL321" s="170"/>
      <c r="AM321" s="170"/>
      <c r="AN321" s="170"/>
      <c r="AO321" s="170"/>
      <c r="AP321" s="170"/>
      <c r="AQ321" s="170"/>
      <c r="AR321" s="170"/>
      <c r="AS321" s="170"/>
      <c r="AT321" s="170"/>
      <c r="AU321" s="170"/>
      <c r="AV321" s="170"/>
      <c r="AW321" s="170"/>
      <c r="AX321" s="170"/>
    </row>
    <row r="322" spans="1:50" ht="15" x14ac:dyDescent="0.25">
      <c r="A322" s="170"/>
      <c r="B322" s="719"/>
      <c r="C322" s="170"/>
      <c r="D322" s="170"/>
      <c r="E322" s="170"/>
      <c r="F322" s="170"/>
      <c r="G322" s="721"/>
      <c r="H322" s="170"/>
      <c r="I322" s="170"/>
      <c r="J322" s="170"/>
      <c r="K322" s="170"/>
      <c r="L322" s="170"/>
      <c r="M322" s="730"/>
      <c r="N322" s="730"/>
      <c r="O322" s="730"/>
      <c r="P322" s="731"/>
      <c r="Q322" s="731"/>
      <c r="R322" s="730"/>
      <c r="S322" s="730"/>
      <c r="T322" s="723"/>
      <c r="U322" s="724"/>
      <c r="V322" s="725"/>
      <c r="W322" s="725"/>
      <c r="X322" s="723"/>
      <c r="Y322" s="723"/>
      <c r="Z322" s="723"/>
      <c r="AA322" s="726"/>
      <c r="AB322" s="726"/>
      <c r="AC322" s="170"/>
      <c r="AD322" s="586"/>
      <c r="AE322" s="586"/>
      <c r="AF322" s="170"/>
      <c r="AG322" s="170"/>
      <c r="AH322" s="170"/>
      <c r="AI322" s="170"/>
      <c r="AJ322" s="170"/>
      <c r="AK322" s="170"/>
      <c r="AL322" s="170"/>
      <c r="AM322" s="170"/>
      <c r="AN322" s="170"/>
      <c r="AO322" s="170"/>
      <c r="AP322" s="170"/>
      <c r="AQ322" s="170"/>
      <c r="AR322" s="170"/>
      <c r="AS322" s="170"/>
      <c r="AT322" s="170"/>
      <c r="AU322" s="170"/>
      <c r="AV322" s="170"/>
      <c r="AW322" s="170"/>
      <c r="AX322" s="170"/>
    </row>
    <row r="323" spans="1:50" ht="15" x14ac:dyDescent="0.25">
      <c r="A323" s="170"/>
      <c r="B323" s="719"/>
      <c r="C323" s="170"/>
      <c r="D323" s="170"/>
      <c r="E323" s="170"/>
      <c r="F323" s="170"/>
      <c r="G323" s="721"/>
      <c r="H323" s="170"/>
      <c r="I323" s="170"/>
      <c r="J323" s="170"/>
      <c r="K323" s="170"/>
      <c r="L323" s="170"/>
      <c r="M323" s="730"/>
      <c r="N323" s="730"/>
      <c r="O323" s="730"/>
      <c r="P323" s="731"/>
      <c r="Q323" s="731"/>
      <c r="R323" s="730"/>
      <c r="S323" s="730"/>
      <c r="T323" s="723"/>
      <c r="U323" s="724"/>
      <c r="V323" s="725"/>
      <c r="W323" s="725"/>
      <c r="X323" s="723"/>
      <c r="Y323" s="723"/>
      <c r="Z323" s="723"/>
      <c r="AA323" s="726"/>
      <c r="AB323" s="726"/>
      <c r="AC323" s="170"/>
      <c r="AD323" s="586"/>
      <c r="AE323" s="586"/>
      <c r="AF323" s="170"/>
      <c r="AG323" s="170"/>
      <c r="AH323" s="170"/>
      <c r="AI323" s="170"/>
      <c r="AJ323" s="170"/>
      <c r="AK323" s="170"/>
      <c r="AL323" s="170"/>
      <c r="AM323" s="170"/>
      <c r="AN323" s="170"/>
      <c r="AO323" s="170"/>
      <c r="AP323" s="170"/>
      <c r="AQ323" s="170"/>
      <c r="AR323" s="170"/>
      <c r="AS323" s="170"/>
      <c r="AT323" s="170"/>
      <c r="AU323" s="170"/>
      <c r="AV323" s="170"/>
      <c r="AW323" s="170"/>
      <c r="AX323" s="170"/>
    </row>
    <row r="324" spans="1:50" ht="15" x14ac:dyDescent="0.25">
      <c r="A324" s="170"/>
      <c r="B324" s="719"/>
      <c r="C324" s="170"/>
      <c r="D324" s="170"/>
      <c r="E324" s="170"/>
      <c r="F324" s="170"/>
      <c r="G324" s="721"/>
      <c r="H324" s="170"/>
      <c r="I324" s="170"/>
      <c r="J324" s="170"/>
      <c r="K324" s="170"/>
      <c r="L324" s="170"/>
      <c r="M324" s="730"/>
      <c r="N324" s="730"/>
      <c r="O324" s="730"/>
      <c r="P324" s="731"/>
      <c r="Q324" s="731"/>
      <c r="R324" s="730"/>
      <c r="S324" s="730"/>
      <c r="T324" s="723"/>
      <c r="U324" s="724"/>
      <c r="V324" s="725"/>
      <c r="W324" s="725"/>
      <c r="X324" s="723"/>
      <c r="Y324" s="723"/>
      <c r="Z324" s="723"/>
      <c r="AA324" s="726"/>
      <c r="AB324" s="726"/>
      <c r="AC324" s="170"/>
      <c r="AD324" s="586"/>
      <c r="AE324" s="586"/>
      <c r="AF324" s="170"/>
      <c r="AG324" s="170"/>
      <c r="AH324" s="170"/>
      <c r="AI324" s="170"/>
      <c r="AJ324" s="170"/>
      <c r="AK324" s="170"/>
      <c r="AL324" s="170"/>
      <c r="AM324" s="170"/>
      <c r="AN324" s="170"/>
      <c r="AO324" s="170"/>
      <c r="AP324" s="170"/>
      <c r="AQ324" s="170"/>
      <c r="AR324" s="170"/>
      <c r="AS324" s="170"/>
      <c r="AT324" s="170"/>
      <c r="AU324" s="170"/>
      <c r="AV324" s="170"/>
      <c r="AW324" s="170"/>
      <c r="AX324" s="170"/>
    </row>
    <row r="325" spans="1:50" ht="15" x14ac:dyDescent="0.25">
      <c r="A325" s="170"/>
      <c r="B325" s="719"/>
      <c r="C325" s="170"/>
      <c r="D325" s="170"/>
      <c r="E325" s="170"/>
      <c r="F325" s="170"/>
      <c r="G325" s="721"/>
      <c r="H325" s="170"/>
      <c r="I325" s="170"/>
      <c r="J325" s="170"/>
      <c r="K325" s="170"/>
      <c r="L325" s="170"/>
      <c r="M325" s="730"/>
      <c r="N325" s="730"/>
      <c r="O325" s="730"/>
      <c r="P325" s="731"/>
      <c r="Q325" s="731"/>
      <c r="R325" s="730"/>
      <c r="S325" s="730"/>
      <c r="T325" s="723"/>
      <c r="U325" s="724"/>
      <c r="V325" s="725"/>
      <c r="W325" s="725"/>
      <c r="X325" s="723"/>
      <c r="Y325" s="723"/>
      <c r="Z325" s="723"/>
      <c r="AA325" s="726"/>
      <c r="AB325" s="726"/>
      <c r="AC325" s="170"/>
      <c r="AD325" s="586"/>
      <c r="AE325" s="586"/>
      <c r="AF325" s="170"/>
      <c r="AG325" s="170"/>
      <c r="AH325" s="170"/>
      <c r="AI325" s="170"/>
      <c r="AJ325" s="170"/>
      <c r="AK325" s="170"/>
      <c r="AL325" s="170"/>
      <c r="AM325" s="170"/>
      <c r="AN325" s="170"/>
      <c r="AO325" s="170"/>
      <c r="AP325" s="170"/>
      <c r="AQ325" s="170"/>
      <c r="AR325" s="170"/>
      <c r="AS325" s="170"/>
      <c r="AT325" s="170"/>
      <c r="AU325" s="170"/>
      <c r="AV325" s="170"/>
      <c r="AW325" s="170"/>
      <c r="AX325" s="170"/>
    </row>
    <row r="326" spans="1:50" ht="15" x14ac:dyDescent="0.25">
      <c r="A326" s="170"/>
      <c r="B326" s="719"/>
      <c r="C326" s="170"/>
      <c r="D326" s="170"/>
      <c r="E326" s="170"/>
      <c r="F326" s="170"/>
      <c r="G326" s="721"/>
      <c r="H326" s="170"/>
      <c r="I326" s="170"/>
      <c r="J326" s="170"/>
      <c r="K326" s="170"/>
      <c r="L326" s="170"/>
      <c r="M326" s="730"/>
      <c r="N326" s="730"/>
      <c r="O326" s="730"/>
      <c r="P326" s="731"/>
      <c r="Q326" s="731"/>
      <c r="R326" s="730"/>
      <c r="S326" s="730"/>
      <c r="T326" s="723"/>
      <c r="U326" s="724"/>
      <c r="V326" s="725"/>
      <c r="W326" s="725"/>
      <c r="X326" s="723"/>
      <c r="Y326" s="723"/>
      <c r="Z326" s="723"/>
      <c r="AA326" s="726"/>
      <c r="AB326" s="726"/>
      <c r="AC326" s="170"/>
      <c r="AD326" s="586"/>
      <c r="AE326" s="586"/>
      <c r="AF326" s="170"/>
      <c r="AG326" s="170"/>
      <c r="AH326" s="170"/>
      <c r="AI326" s="170"/>
      <c r="AJ326" s="170"/>
      <c r="AK326" s="170"/>
      <c r="AL326" s="170"/>
      <c r="AM326" s="170"/>
      <c r="AN326" s="170"/>
      <c r="AO326" s="170"/>
      <c r="AP326" s="170"/>
      <c r="AQ326" s="170"/>
      <c r="AR326" s="170"/>
      <c r="AS326" s="170"/>
      <c r="AT326" s="170"/>
      <c r="AU326" s="170"/>
      <c r="AV326" s="170"/>
      <c r="AW326" s="170"/>
      <c r="AX326" s="170"/>
    </row>
    <row r="327" spans="1:50" ht="15" x14ac:dyDescent="0.25">
      <c r="A327" s="170"/>
      <c r="B327" s="719"/>
      <c r="C327" s="170"/>
      <c r="D327" s="170"/>
      <c r="E327" s="170"/>
      <c r="F327" s="170"/>
      <c r="G327" s="721"/>
      <c r="H327" s="170"/>
      <c r="I327" s="170"/>
      <c r="J327" s="170"/>
      <c r="K327" s="170"/>
      <c r="L327" s="170"/>
      <c r="M327" s="730"/>
      <c r="N327" s="730"/>
      <c r="O327" s="730"/>
      <c r="P327" s="731"/>
      <c r="Q327" s="731"/>
      <c r="R327" s="730"/>
      <c r="S327" s="730"/>
      <c r="T327" s="723"/>
      <c r="U327" s="724"/>
      <c r="V327" s="725"/>
      <c r="W327" s="725"/>
      <c r="X327" s="723"/>
      <c r="Y327" s="723"/>
      <c r="Z327" s="723"/>
      <c r="AA327" s="726"/>
      <c r="AB327" s="726"/>
      <c r="AC327" s="170"/>
      <c r="AD327" s="586"/>
      <c r="AE327" s="586"/>
      <c r="AF327" s="170"/>
      <c r="AG327" s="170"/>
      <c r="AH327" s="170"/>
      <c r="AI327" s="170"/>
      <c r="AJ327" s="170"/>
      <c r="AK327" s="170"/>
      <c r="AL327" s="170"/>
      <c r="AM327" s="170"/>
      <c r="AN327" s="170"/>
      <c r="AO327" s="170"/>
      <c r="AP327" s="170"/>
      <c r="AQ327" s="170"/>
      <c r="AR327" s="170"/>
      <c r="AS327" s="170"/>
      <c r="AT327" s="170"/>
      <c r="AU327" s="170"/>
      <c r="AV327" s="170"/>
      <c r="AW327" s="170"/>
      <c r="AX327" s="170"/>
    </row>
    <row r="328" spans="1:50" ht="15" x14ac:dyDescent="0.25">
      <c r="A328" s="170"/>
      <c r="B328" s="719"/>
      <c r="C328" s="170"/>
      <c r="D328" s="170"/>
      <c r="E328" s="170"/>
      <c r="F328" s="170"/>
      <c r="G328" s="721"/>
      <c r="H328" s="170"/>
      <c r="I328" s="170"/>
      <c r="J328" s="170"/>
      <c r="K328" s="170"/>
      <c r="L328" s="170"/>
      <c r="M328" s="730"/>
      <c r="N328" s="730"/>
      <c r="O328" s="730"/>
      <c r="P328" s="731"/>
      <c r="Q328" s="731"/>
      <c r="R328" s="730"/>
      <c r="S328" s="730"/>
      <c r="T328" s="723"/>
      <c r="U328" s="724"/>
      <c r="V328" s="725"/>
      <c r="W328" s="725"/>
      <c r="X328" s="723"/>
      <c r="Y328" s="723"/>
      <c r="Z328" s="723"/>
      <c r="AA328" s="726"/>
      <c r="AB328" s="726"/>
      <c r="AC328" s="170"/>
      <c r="AD328" s="586"/>
      <c r="AE328" s="586"/>
      <c r="AF328" s="170"/>
      <c r="AG328" s="170"/>
      <c r="AH328" s="170"/>
      <c r="AI328" s="170"/>
      <c r="AJ328" s="170"/>
      <c r="AK328" s="170"/>
      <c r="AL328" s="170"/>
      <c r="AM328" s="170"/>
      <c r="AN328" s="170"/>
      <c r="AO328" s="170"/>
      <c r="AP328" s="170"/>
      <c r="AQ328" s="170"/>
      <c r="AR328" s="170"/>
      <c r="AS328" s="170"/>
      <c r="AT328" s="170"/>
      <c r="AU328" s="170"/>
      <c r="AV328" s="170"/>
      <c r="AW328" s="170"/>
      <c r="AX328" s="170"/>
    </row>
    <row r="329" spans="1:50" ht="15" x14ac:dyDescent="0.25">
      <c r="A329" s="170"/>
      <c r="B329" s="719"/>
      <c r="C329" s="170"/>
      <c r="D329" s="170"/>
      <c r="E329" s="170"/>
      <c r="F329" s="170"/>
      <c r="G329" s="721"/>
      <c r="H329" s="170"/>
      <c r="I329" s="170"/>
      <c r="J329" s="170"/>
      <c r="K329" s="170"/>
      <c r="L329" s="170"/>
      <c r="M329" s="730"/>
      <c r="N329" s="730"/>
      <c r="O329" s="730"/>
      <c r="P329" s="731"/>
      <c r="Q329" s="731"/>
      <c r="R329" s="730"/>
      <c r="S329" s="730"/>
      <c r="T329" s="723"/>
      <c r="U329" s="724"/>
      <c r="V329" s="725"/>
      <c r="W329" s="725"/>
      <c r="X329" s="723"/>
      <c r="Y329" s="723"/>
      <c r="Z329" s="723"/>
      <c r="AA329" s="726"/>
      <c r="AB329" s="726"/>
      <c r="AC329" s="170"/>
      <c r="AD329" s="586"/>
      <c r="AE329" s="586"/>
      <c r="AF329" s="170"/>
      <c r="AG329" s="170"/>
      <c r="AH329" s="170"/>
      <c r="AI329" s="170"/>
      <c r="AJ329" s="170"/>
      <c r="AK329" s="170"/>
      <c r="AL329" s="170"/>
      <c r="AM329" s="170"/>
      <c r="AN329" s="170"/>
      <c r="AO329" s="170"/>
      <c r="AP329" s="170"/>
      <c r="AQ329" s="170"/>
      <c r="AR329" s="170"/>
      <c r="AS329" s="170"/>
      <c r="AT329" s="170"/>
      <c r="AU329" s="170"/>
      <c r="AV329" s="170"/>
      <c r="AW329" s="170"/>
      <c r="AX329" s="170"/>
    </row>
    <row r="330" spans="1:50" ht="15" x14ac:dyDescent="0.25">
      <c r="A330" s="170"/>
      <c r="B330" s="719"/>
      <c r="C330" s="170"/>
      <c r="D330" s="170"/>
      <c r="E330" s="170"/>
      <c r="F330" s="170"/>
      <c r="G330" s="721"/>
      <c r="H330" s="170"/>
      <c r="I330" s="170"/>
      <c r="J330" s="170"/>
      <c r="K330" s="170"/>
      <c r="L330" s="170"/>
      <c r="M330" s="730"/>
      <c r="N330" s="730"/>
      <c r="O330" s="730"/>
      <c r="P330" s="731"/>
      <c r="Q330" s="731"/>
      <c r="R330" s="730"/>
      <c r="S330" s="730"/>
      <c r="T330" s="723"/>
      <c r="U330" s="724"/>
      <c r="V330" s="725"/>
      <c r="W330" s="725"/>
      <c r="X330" s="723"/>
      <c r="Y330" s="723"/>
      <c r="Z330" s="723"/>
      <c r="AA330" s="726"/>
      <c r="AB330" s="726"/>
      <c r="AC330" s="170"/>
      <c r="AD330" s="586"/>
      <c r="AE330" s="586"/>
      <c r="AF330" s="170"/>
      <c r="AG330" s="170"/>
      <c r="AH330" s="170"/>
      <c r="AI330" s="170"/>
      <c r="AJ330" s="170"/>
      <c r="AK330" s="170"/>
      <c r="AL330" s="170"/>
      <c r="AM330" s="170"/>
      <c r="AN330" s="170"/>
      <c r="AO330" s="170"/>
      <c r="AP330" s="170"/>
      <c r="AQ330" s="170"/>
      <c r="AR330" s="170"/>
      <c r="AS330" s="170"/>
      <c r="AT330" s="170"/>
      <c r="AU330" s="170"/>
      <c r="AV330" s="170"/>
      <c r="AW330" s="170"/>
      <c r="AX330" s="170"/>
    </row>
    <row r="331" spans="1:50" ht="15" x14ac:dyDescent="0.25">
      <c r="A331" s="170"/>
      <c r="B331" s="719"/>
      <c r="C331" s="170"/>
      <c r="D331" s="170"/>
      <c r="E331" s="170"/>
      <c r="F331" s="170"/>
      <c r="G331" s="721"/>
      <c r="H331" s="170"/>
      <c r="I331" s="170"/>
      <c r="J331" s="170"/>
      <c r="K331" s="170"/>
      <c r="L331" s="170"/>
      <c r="M331" s="730"/>
      <c r="N331" s="730"/>
      <c r="O331" s="730"/>
      <c r="P331" s="731"/>
      <c r="Q331" s="731"/>
      <c r="R331" s="730"/>
      <c r="S331" s="730"/>
      <c r="T331" s="723"/>
      <c r="U331" s="724"/>
      <c r="V331" s="725"/>
      <c r="W331" s="725"/>
      <c r="X331" s="723"/>
      <c r="Y331" s="723"/>
      <c r="Z331" s="723"/>
      <c r="AA331" s="726"/>
      <c r="AB331" s="726"/>
      <c r="AC331" s="170"/>
      <c r="AD331" s="586"/>
      <c r="AE331" s="586"/>
      <c r="AF331" s="170"/>
      <c r="AG331" s="170"/>
      <c r="AH331" s="170"/>
      <c r="AI331" s="170"/>
      <c r="AJ331" s="170"/>
      <c r="AK331" s="170"/>
      <c r="AL331" s="170"/>
      <c r="AM331" s="170"/>
      <c r="AN331" s="170"/>
      <c r="AO331" s="170"/>
      <c r="AP331" s="170"/>
      <c r="AQ331" s="170"/>
      <c r="AR331" s="170"/>
      <c r="AS331" s="170"/>
      <c r="AT331" s="170"/>
      <c r="AU331" s="170"/>
      <c r="AV331" s="170"/>
      <c r="AW331" s="170"/>
      <c r="AX331" s="170"/>
    </row>
    <row r="332" spans="1:50" ht="15" x14ac:dyDescent="0.25">
      <c r="A332" s="170"/>
      <c r="B332" s="719"/>
      <c r="C332" s="170"/>
      <c r="D332" s="170"/>
      <c r="E332" s="170"/>
      <c r="F332" s="170"/>
      <c r="G332" s="721"/>
      <c r="H332" s="170"/>
      <c r="I332" s="170"/>
      <c r="J332" s="170"/>
      <c r="K332" s="170"/>
      <c r="L332" s="170"/>
      <c r="M332" s="730"/>
      <c r="N332" s="730"/>
      <c r="O332" s="730"/>
      <c r="P332" s="731"/>
      <c r="Q332" s="731"/>
      <c r="R332" s="730"/>
      <c r="S332" s="730"/>
      <c r="T332" s="723"/>
      <c r="U332" s="724"/>
      <c r="V332" s="725"/>
      <c r="W332" s="725"/>
      <c r="X332" s="723"/>
      <c r="Y332" s="723"/>
      <c r="Z332" s="723"/>
      <c r="AA332" s="726"/>
      <c r="AB332" s="726"/>
      <c r="AC332" s="170"/>
      <c r="AD332" s="586"/>
      <c r="AE332" s="586"/>
      <c r="AF332" s="170"/>
      <c r="AG332" s="170"/>
      <c r="AH332" s="170"/>
      <c r="AI332" s="170"/>
      <c r="AJ332" s="170"/>
      <c r="AK332" s="170"/>
      <c r="AL332" s="170"/>
      <c r="AM332" s="170"/>
      <c r="AN332" s="170"/>
      <c r="AO332" s="170"/>
      <c r="AP332" s="170"/>
      <c r="AQ332" s="170"/>
      <c r="AR332" s="170"/>
      <c r="AS332" s="170"/>
      <c r="AT332" s="170"/>
      <c r="AU332" s="170"/>
      <c r="AV332" s="170"/>
      <c r="AW332" s="170"/>
      <c r="AX332" s="170"/>
    </row>
    <row r="333" spans="1:50" ht="15" x14ac:dyDescent="0.25">
      <c r="A333" s="170"/>
      <c r="B333" s="719"/>
      <c r="C333" s="170"/>
      <c r="D333" s="170"/>
      <c r="E333" s="170"/>
      <c r="F333" s="170"/>
      <c r="G333" s="721"/>
      <c r="H333" s="170"/>
      <c r="I333" s="170"/>
      <c r="J333" s="170"/>
      <c r="K333" s="170"/>
      <c r="L333" s="170"/>
      <c r="M333" s="730"/>
      <c r="N333" s="730"/>
      <c r="O333" s="730"/>
      <c r="P333" s="731"/>
      <c r="Q333" s="731"/>
      <c r="R333" s="730"/>
      <c r="S333" s="730"/>
      <c r="T333" s="723"/>
      <c r="U333" s="724"/>
      <c r="V333" s="725"/>
      <c r="W333" s="725"/>
      <c r="X333" s="723"/>
      <c r="Y333" s="723"/>
      <c r="Z333" s="723"/>
      <c r="AA333" s="726"/>
      <c r="AB333" s="726"/>
      <c r="AC333" s="170"/>
      <c r="AD333" s="586"/>
      <c r="AE333" s="586"/>
      <c r="AF333" s="170"/>
      <c r="AG333" s="170"/>
      <c r="AH333" s="170"/>
      <c r="AI333" s="170"/>
      <c r="AJ333" s="170"/>
      <c r="AK333" s="170"/>
      <c r="AL333" s="170"/>
      <c r="AM333" s="170"/>
      <c r="AN333" s="170"/>
      <c r="AO333" s="170"/>
      <c r="AP333" s="170"/>
      <c r="AQ333" s="170"/>
      <c r="AR333" s="170"/>
      <c r="AS333" s="170"/>
      <c r="AT333" s="170"/>
      <c r="AU333" s="170"/>
      <c r="AV333" s="170"/>
      <c r="AW333" s="170"/>
      <c r="AX333" s="170"/>
    </row>
    <row r="334" spans="1:50" ht="15" x14ac:dyDescent="0.25">
      <c r="A334" s="170"/>
      <c r="B334" s="719"/>
      <c r="C334" s="170"/>
      <c r="D334" s="170"/>
      <c r="E334" s="170"/>
      <c r="F334" s="170"/>
      <c r="G334" s="721"/>
      <c r="H334" s="170"/>
      <c r="I334" s="170"/>
      <c r="J334" s="170"/>
      <c r="K334" s="170"/>
      <c r="L334" s="170"/>
      <c r="M334" s="730"/>
      <c r="N334" s="730"/>
      <c r="O334" s="730"/>
      <c r="P334" s="731"/>
      <c r="Q334" s="731"/>
      <c r="R334" s="730"/>
      <c r="S334" s="730"/>
      <c r="T334" s="723"/>
      <c r="U334" s="724"/>
      <c r="V334" s="725"/>
      <c r="W334" s="725"/>
      <c r="X334" s="723"/>
      <c r="Y334" s="723"/>
      <c r="Z334" s="723"/>
      <c r="AA334" s="726"/>
      <c r="AB334" s="726"/>
      <c r="AC334" s="170"/>
      <c r="AD334" s="586"/>
      <c r="AE334" s="586"/>
      <c r="AF334" s="170"/>
      <c r="AG334" s="170"/>
      <c r="AH334" s="170"/>
      <c r="AI334" s="170"/>
      <c r="AJ334" s="170"/>
      <c r="AK334" s="170"/>
      <c r="AL334" s="170"/>
      <c r="AM334" s="170"/>
      <c r="AN334" s="170"/>
      <c r="AO334" s="170"/>
      <c r="AP334" s="170"/>
      <c r="AQ334" s="170"/>
      <c r="AR334" s="170"/>
      <c r="AS334" s="170"/>
      <c r="AT334" s="170"/>
      <c r="AU334" s="170"/>
      <c r="AV334" s="170"/>
      <c r="AW334" s="170"/>
      <c r="AX334" s="170"/>
    </row>
    <row r="335" spans="1:50" ht="15" x14ac:dyDescent="0.25">
      <c r="A335" s="170"/>
      <c r="B335" s="719"/>
      <c r="C335" s="170"/>
      <c r="D335" s="170"/>
      <c r="E335" s="170"/>
      <c r="F335" s="170"/>
      <c r="G335" s="721"/>
      <c r="H335" s="170"/>
      <c r="I335" s="170"/>
      <c r="J335" s="170"/>
      <c r="K335" s="170"/>
      <c r="L335" s="170"/>
      <c r="M335" s="730"/>
      <c r="N335" s="730"/>
      <c r="O335" s="730"/>
      <c r="P335" s="731"/>
      <c r="Q335" s="731"/>
      <c r="R335" s="730"/>
      <c r="S335" s="730"/>
      <c r="T335" s="723"/>
      <c r="U335" s="724"/>
      <c r="V335" s="725"/>
      <c r="W335" s="725"/>
      <c r="X335" s="723"/>
      <c r="Y335" s="723"/>
      <c r="Z335" s="723"/>
      <c r="AA335" s="726"/>
      <c r="AB335" s="726"/>
      <c r="AC335" s="170"/>
      <c r="AD335" s="586"/>
      <c r="AE335" s="586"/>
      <c r="AF335" s="170"/>
      <c r="AG335" s="170"/>
      <c r="AH335" s="170"/>
      <c r="AI335" s="170"/>
      <c r="AJ335" s="170"/>
      <c r="AK335" s="170"/>
      <c r="AL335" s="170"/>
      <c r="AM335" s="170"/>
      <c r="AN335" s="170"/>
      <c r="AO335" s="170"/>
      <c r="AP335" s="170"/>
      <c r="AQ335" s="170"/>
      <c r="AR335" s="170"/>
      <c r="AS335" s="170"/>
      <c r="AT335" s="170"/>
      <c r="AU335" s="170"/>
      <c r="AV335" s="170"/>
      <c r="AW335" s="170"/>
      <c r="AX335" s="170"/>
    </row>
    <row r="336" spans="1:50" ht="15" x14ac:dyDescent="0.25">
      <c r="A336" s="170"/>
      <c r="B336" s="719"/>
      <c r="C336" s="170"/>
      <c r="D336" s="170"/>
      <c r="E336" s="170"/>
      <c r="F336" s="170"/>
      <c r="G336" s="721"/>
      <c r="H336" s="170"/>
      <c r="I336" s="170"/>
      <c r="J336" s="170"/>
      <c r="K336" s="170"/>
      <c r="L336" s="170"/>
      <c r="M336" s="730"/>
      <c r="N336" s="730"/>
      <c r="O336" s="730"/>
      <c r="P336" s="731"/>
      <c r="Q336" s="731"/>
      <c r="R336" s="730"/>
      <c r="S336" s="730"/>
      <c r="T336" s="723"/>
      <c r="U336" s="724"/>
      <c r="V336" s="725"/>
      <c r="W336" s="725"/>
      <c r="X336" s="723"/>
      <c r="Y336" s="723"/>
      <c r="Z336" s="723"/>
      <c r="AA336" s="726"/>
      <c r="AB336" s="726"/>
      <c r="AC336" s="170"/>
      <c r="AD336" s="586"/>
      <c r="AE336" s="586"/>
      <c r="AF336" s="170"/>
      <c r="AG336" s="170"/>
      <c r="AH336" s="170"/>
      <c r="AI336" s="170"/>
      <c r="AJ336" s="170"/>
      <c r="AK336" s="170"/>
      <c r="AL336" s="170"/>
      <c r="AM336" s="170"/>
      <c r="AN336" s="170"/>
      <c r="AO336" s="170"/>
      <c r="AP336" s="170"/>
      <c r="AQ336" s="170"/>
      <c r="AR336" s="170"/>
      <c r="AS336" s="170"/>
      <c r="AT336" s="170"/>
      <c r="AU336" s="170"/>
      <c r="AV336" s="170"/>
      <c r="AW336" s="170"/>
      <c r="AX336" s="170"/>
    </row>
    <row r="337" spans="1:50" ht="15" x14ac:dyDescent="0.25">
      <c r="A337" s="170"/>
      <c r="B337" s="719"/>
      <c r="C337" s="170"/>
      <c r="D337" s="170"/>
      <c r="E337" s="170"/>
      <c r="F337" s="170"/>
      <c r="G337" s="721"/>
      <c r="H337" s="170"/>
      <c r="I337" s="170"/>
      <c r="J337" s="170"/>
      <c r="K337" s="170"/>
      <c r="L337" s="170"/>
      <c r="M337" s="730"/>
      <c r="N337" s="730"/>
      <c r="O337" s="730"/>
      <c r="P337" s="731"/>
      <c r="Q337" s="731"/>
      <c r="R337" s="730"/>
      <c r="S337" s="730"/>
      <c r="T337" s="723"/>
      <c r="U337" s="724"/>
      <c r="V337" s="725"/>
      <c r="W337" s="725"/>
      <c r="X337" s="723"/>
      <c r="Y337" s="723"/>
      <c r="Z337" s="723"/>
      <c r="AA337" s="726"/>
      <c r="AB337" s="726"/>
      <c r="AC337" s="170"/>
      <c r="AD337" s="586"/>
      <c r="AE337" s="586"/>
      <c r="AF337" s="170"/>
      <c r="AG337" s="170"/>
      <c r="AH337" s="170"/>
      <c r="AI337" s="170"/>
      <c r="AJ337" s="170"/>
      <c r="AK337" s="170"/>
      <c r="AL337" s="170"/>
      <c r="AM337" s="170"/>
      <c r="AN337" s="170"/>
      <c r="AO337" s="170"/>
      <c r="AP337" s="170"/>
      <c r="AQ337" s="170"/>
      <c r="AR337" s="170"/>
      <c r="AS337" s="170"/>
      <c r="AT337" s="170"/>
      <c r="AU337" s="170"/>
      <c r="AV337" s="170"/>
      <c r="AW337" s="170"/>
      <c r="AX337" s="170"/>
    </row>
    <row r="338" spans="1:50" ht="15" x14ac:dyDescent="0.25">
      <c r="A338" s="170"/>
      <c r="B338" s="719"/>
      <c r="C338" s="170"/>
      <c r="D338" s="170"/>
      <c r="E338" s="170"/>
      <c r="F338" s="170"/>
      <c r="G338" s="721"/>
      <c r="H338" s="170"/>
      <c r="I338" s="170"/>
      <c r="J338" s="170"/>
      <c r="K338" s="170"/>
      <c r="L338" s="170"/>
      <c r="M338" s="730"/>
      <c r="N338" s="730"/>
      <c r="O338" s="730"/>
      <c r="P338" s="731"/>
      <c r="Q338" s="731"/>
      <c r="R338" s="730"/>
      <c r="S338" s="730"/>
      <c r="T338" s="723"/>
      <c r="U338" s="724"/>
      <c r="V338" s="725"/>
      <c r="W338" s="725"/>
      <c r="X338" s="723"/>
      <c r="Y338" s="723"/>
      <c r="Z338" s="723"/>
      <c r="AA338" s="726"/>
      <c r="AB338" s="726"/>
      <c r="AC338" s="170"/>
      <c r="AD338" s="586"/>
      <c r="AE338" s="586"/>
      <c r="AF338" s="170"/>
      <c r="AG338" s="170"/>
      <c r="AH338" s="170"/>
      <c r="AI338" s="170"/>
      <c r="AJ338" s="170"/>
      <c r="AK338" s="170"/>
      <c r="AL338" s="170"/>
      <c r="AM338" s="170"/>
      <c r="AN338" s="170"/>
      <c r="AO338" s="170"/>
      <c r="AP338" s="170"/>
      <c r="AQ338" s="170"/>
      <c r="AR338" s="170"/>
      <c r="AS338" s="170"/>
      <c r="AT338" s="170"/>
      <c r="AU338" s="170"/>
      <c r="AV338" s="170"/>
      <c r="AW338" s="170"/>
      <c r="AX338" s="170"/>
    </row>
    <row r="339" spans="1:50" ht="15" x14ac:dyDescent="0.25">
      <c r="A339" s="170"/>
      <c r="B339" s="719"/>
      <c r="C339" s="170"/>
      <c r="D339" s="170"/>
      <c r="E339" s="170"/>
      <c r="F339" s="170"/>
      <c r="G339" s="721"/>
      <c r="H339" s="170"/>
      <c r="I339" s="170"/>
      <c r="J339" s="170"/>
      <c r="K339" s="170"/>
      <c r="L339" s="170"/>
      <c r="M339" s="730"/>
      <c r="N339" s="730"/>
      <c r="O339" s="730"/>
      <c r="P339" s="731"/>
      <c r="Q339" s="731"/>
      <c r="R339" s="730"/>
      <c r="S339" s="730"/>
      <c r="T339" s="723"/>
      <c r="U339" s="724"/>
      <c r="V339" s="725"/>
      <c r="W339" s="725"/>
      <c r="X339" s="723"/>
      <c r="Y339" s="723"/>
      <c r="Z339" s="723"/>
      <c r="AA339" s="726"/>
      <c r="AB339" s="726"/>
      <c r="AC339" s="170"/>
      <c r="AD339" s="586"/>
      <c r="AE339" s="586"/>
      <c r="AF339" s="170"/>
      <c r="AG339" s="170"/>
      <c r="AH339" s="170"/>
      <c r="AI339" s="170"/>
      <c r="AJ339" s="170"/>
      <c r="AK339" s="170"/>
      <c r="AL339" s="170"/>
      <c r="AM339" s="170"/>
      <c r="AN339" s="170"/>
      <c r="AO339" s="170"/>
      <c r="AP339" s="170"/>
      <c r="AQ339" s="170"/>
      <c r="AR339" s="170"/>
      <c r="AS339" s="170"/>
      <c r="AT339" s="170"/>
      <c r="AU339" s="170"/>
      <c r="AV339" s="170"/>
      <c r="AW339" s="170"/>
      <c r="AX339" s="170"/>
    </row>
    <row r="340" spans="1:50" ht="15" x14ac:dyDescent="0.25">
      <c r="A340" s="170"/>
      <c r="B340" s="719"/>
      <c r="C340" s="170"/>
      <c r="D340" s="170"/>
      <c r="E340" s="170"/>
      <c r="F340" s="170"/>
      <c r="G340" s="721"/>
      <c r="H340" s="170"/>
      <c r="I340" s="170"/>
      <c r="J340" s="170"/>
      <c r="K340" s="170"/>
      <c r="L340" s="170"/>
      <c r="M340" s="730"/>
      <c r="N340" s="730"/>
      <c r="O340" s="730"/>
      <c r="P340" s="731"/>
      <c r="Q340" s="731"/>
      <c r="R340" s="730"/>
      <c r="S340" s="730"/>
      <c r="T340" s="723"/>
      <c r="U340" s="724"/>
      <c r="V340" s="725"/>
      <c r="W340" s="725"/>
      <c r="X340" s="723"/>
      <c r="Y340" s="723"/>
      <c r="Z340" s="723"/>
      <c r="AA340" s="726"/>
      <c r="AB340" s="726"/>
      <c r="AC340" s="170"/>
      <c r="AD340" s="586"/>
      <c r="AE340" s="586"/>
      <c r="AF340" s="170"/>
      <c r="AG340" s="170"/>
      <c r="AH340" s="170"/>
      <c r="AI340" s="170"/>
      <c r="AJ340" s="170"/>
      <c r="AK340" s="170"/>
      <c r="AL340" s="170"/>
      <c r="AM340" s="170"/>
      <c r="AN340" s="170"/>
      <c r="AO340" s="170"/>
      <c r="AP340" s="170"/>
      <c r="AQ340" s="170"/>
      <c r="AR340" s="170"/>
      <c r="AS340" s="170"/>
      <c r="AT340" s="170"/>
      <c r="AU340" s="170"/>
      <c r="AV340" s="170"/>
      <c r="AW340" s="170"/>
      <c r="AX340" s="170"/>
    </row>
    <row r="341" spans="1:50" ht="15" x14ac:dyDescent="0.25">
      <c r="A341" s="170"/>
      <c r="B341" s="719"/>
      <c r="C341" s="170"/>
      <c r="D341" s="170"/>
      <c r="E341" s="170"/>
      <c r="F341" s="170"/>
      <c r="G341" s="721"/>
      <c r="H341" s="170"/>
      <c r="I341" s="170"/>
      <c r="J341" s="170"/>
      <c r="K341" s="170"/>
      <c r="L341" s="170"/>
      <c r="M341" s="730"/>
      <c r="N341" s="730"/>
      <c r="O341" s="730"/>
      <c r="P341" s="731"/>
      <c r="Q341" s="731"/>
      <c r="R341" s="730"/>
      <c r="S341" s="730"/>
      <c r="T341" s="723"/>
      <c r="U341" s="724"/>
      <c r="V341" s="725"/>
      <c r="W341" s="725"/>
      <c r="X341" s="723"/>
      <c r="Y341" s="723"/>
      <c r="Z341" s="723"/>
      <c r="AA341" s="726"/>
      <c r="AB341" s="726"/>
      <c r="AC341" s="170"/>
      <c r="AD341" s="586"/>
      <c r="AE341" s="586"/>
      <c r="AF341" s="170"/>
      <c r="AG341" s="170"/>
      <c r="AH341" s="170"/>
      <c r="AI341" s="170"/>
      <c r="AJ341" s="170"/>
      <c r="AK341" s="170"/>
      <c r="AL341" s="170"/>
      <c r="AM341" s="170"/>
      <c r="AN341" s="170"/>
      <c r="AO341" s="170"/>
      <c r="AP341" s="170"/>
      <c r="AQ341" s="170"/>
      <c r="AR341" s="170"/>
      <c r="AS341" s="170"/>
      <c r="AT341" s="170"/>
      <c r="AU341" s="170"/>
      <c r="AV341" s="170"/>
      <c r="AW341" s="170"/>
      <c r="AX341" s="170"/>
    </row>
    <row r="342" spans="1:50" ht="15" x14ac:dyDescent="0.25">
      <c r="A342" s="170"/>
      <c r="B342" s="719"/>
      <c r="C342" s="170"/>
      <c r="D342" s="170"/>
      <c r="E342" s="170"/>
      <c r="F342" s="170"/>
      <c r="G342" s="721"/>
      <c r="H342" s="170"/>
      <c r="I342" s="170"/>
      <c r="J342" s="170"/>
      <c r="K342" s="170"/>
      <c r="L342" s="170"/>
      <c r="M342" s="730"/>
      <c r="N342" s="730"/>
      <c r="O342" s="730"/>
      <c r="P342" s="731"/>
      <c r="Q342" s="731"/>
      <c r="R342" s="730"/>
      <c r="S342" s="730"/>
      <c r="T342" s="723"/>
      <c r="U342" s="724"/>
      <c r="V342" s="725"/>
      <c r="W342" s="725"/>
      <c r="X342" s="723"/>
      <c r="Y342" s="723"/>
      <c r="Z342" s="723"/>
      <c r="AA342" s="726"/>
      <c r="AB342" s="726"/>
      <c r="AC342" s="170"/>
      <c r="AD342" s="586"/>
      <c r="AE342" s="586"/>
      <c r="AF342" s="170"/>
      <c r="AG342" s="170"/>
      <c r="AH342" s="170"/>
      <c r="AI342" s="170"/>
      <c r="AJ342" s="170"/>
      <c r="AK342" s="170"/>
      <c r="AL342" s="170"/>
      <c r="AM342" s="170"/>
      <c r="AN342" s="170"/>
      <c r="AO342" s="170"/>
      <c r="AP342" s="170"/>
      <c r="AQ342" s="170"/>
      <c r="AR342" s="170"/>
      <c r="AS342" s="170"/>
      <c r="AT342" s="170"/>
      <c r="AU342" s="170"/>
      <c r="AV342" s="170"/>
      <c r="AW342" s="170"/>
      <c r="AX342" s="170"/>
    </row>
    <row r="343" spans="1:50" ht="15" x14ac:dyDescent="0.25">
      <c r="A343" s="170"/>
      <c r="B343" s="719"/>
      <c r="C343" s="170"/>
      <c r="D343" s="170"/>
      <c r="E343" s="170"/>
      <c r="F343" s="170"/>
      <c r="G343" s="721"/>
      <c r="H343" s="170"/>
      <c r="I343" s="170"/>
      <c r="J343" s="170"/>
      <c r="K343" s="170"/>
      <c r="L343" s="170"/>
      <c r="M343" s="730"/>
      <c r="N343" s="730"/>
      <c r="O343" s="730"/>
      <c r="P343" s="731"/>
      <c r="Q343" s="731"/>
      <c r="R343" s="730"/>
      <c r="S343" s="730"/>
      <c r="T343" s="723"/>
      <c r="U343" s="724"/>
      <c r="V343" s="725"/>
      <c r="W343" s="725"/>
      <c r="X343" s="723"/>
      <c r="Y343" s="723"/>
      <c r="Z343" s="723"/>
      <c r="AA343" s="726"/>
      <c r="AB343" s="726"/>
      <c r="AC343" s="170"/>
      <c r="AD343" s="586"/>
      <c r="AE343" s="586"/>
      <c r="AF343" s="170"/>
      <c r="AG343" s="170"/>
      <c r="AH343" s="170"/>
      <c r="AI343" s="170"/>
      <c r="AJ343" s="170"/>
      <c r="AK343" s="170"/>
      <c r="AL343" s="170"/>
      <c r="AM343" s="170"/>
      <c r="AN343" s="170"/>
      <c r="AO343" s="170"/>
      <c r="AP343" s="170"/>
      <c r="AQ343" s="170"/>
      <c r="AR343" s="170"/>
      <c r="AS343" s="170"/>
      <c r="AT343" s="170"/>
      <c r="AU343" s="170"/>
      <c r="AV343" s="170"/>
      <c r="AW343" s="170"/>
      <c r="AX343" s="170"/>
    </row>
    <row r="344" spans="1:50" ht="15" x14ac:dyDescent="0.25">
      <c r="A344" s="170"/>
      <c r="B344" s="719"/>
      <c r="C344" s="170"/>
      <c r="D344" s="170"/>
      <c r="E344" s="170"/>
      <c r="F344" s="170"/>
      <c r="G344" s="721"/>
      <c r="H344" s="170"/>
      <c r="I344" s="170"/>
      <c r="J344" s="170"/>
      <c r="K344" s="170"/>
      <c r="L344" s="170"/>
      <c r="M344" s="730"/>
      <c r="N344" s="730"/>
      <c r="O344" s="730"/>
      <c r="P344" s="731"/>
      <c r="Q344" s="731"/>
      <c r="R344" s="730"/>
      <c r="S344" s="730"/>
      <c r="T344" s="723"/>
      <c r="U344" s="724"/>
      <c r="V344" s="725"/>
      <c r="W344" s="725"/>
      <c r="X344" s="723"/>
      <c r="Y344" s="723"/>
      <c r="Z344" s="723"/>
      <c r="AA344" s="726"/>
      <c r="AB344" s="726"/>
      <c r="AC344" s="170"/>
      <c r="AD344" s="586"/>
      <c r="AE344" s="586"/>
      <c r="AF344" s="170"/>
      <c r="AG344" s="170"/>
      <c r="AH344" s="170"/>
      <c r="AI344" s="170"/>
      <c r="AJ344" s="170"/>
      <c r="AK344" s="170"/>
      <c r="AL344" s="170"/>
      <c r="AM344" s="170"/>
      <c r="AN344" s="170"/>
      <c r="AO344" s="170"/>
      <c r="AP344" s="170"/>
      <c r="AQ344" s="170"/>
      <c r="AR344" s="170"/>
      <c r="AS344" s="170"/>
      <c r="AT344" s="170"/>
      <c r="AU344" s="170"/>
      <c r="AV344" s="170"/>
      <c r="AW344" s="170"/>
      <c r="AX344" s="170"/>
    </row>
    <row r="345" spans="1:50" ht="15" x14ac:dyDescent="0.25">
      <c r="A345" s="170"/>
      <c r="B345" s="719"/>
      <c r="C345" s="170"/>
      <c r="D345" s="170"/>
      <c r="E345" s="170"/>
      <c r="F345" s="170"/>
      <c r="G345" s="721"/>
      <c r="H345" s="170"/>
      <c r="I345" s="170"/>
      <c r="J345" s="170"/>
      <c r="K345" s="170"/>
      <c r="L345" s="170"/>
      <c r="M345" s="730"/>
      <c r="N345" s="730"/>
      <c r="O345" s="730"/>
      <c r="P345" s="731"/>
      <c r="Q345" s="731"/>
      <c r="R345" s="730"/>
      <c r="S345" s="730"/>
      <c r="T345" s="723"/>
      <c r="U345" s="724"/>
      <c r="V345" s="725"/>
      <c r="W345" s="725"/>
      <c r="X345" s="723"/>
      <c r="Y345" s="723"/>
      <c r="Z345" s="723"/>
      <c r="AA345" s="726"/>
      <c r="AB345" s="726"/>
      <c r="AC345" s="170"/>
      <c r="AD345" s="586"/>
      <c r="AE345" s="586"/>
      <c r="AF345" s="170"/>
      <c r="AG345" s="170"/>
      <c r="AH345" s="170"/>
      <c r="AI345" s="170"/>
      <c r="AJ345" s="170"/>
      <c r="AK345" s="170"/>
      <c r="AL345" s="170"/>
      <c r="AM345" s="170"/>
      <c r="AN345" s="170"/>
      <c r="AO345" s="170"/>
      <c r="AP345" s="170"/>
      <c r="AQ345" s="170"/>
      <c r="AR345" s="170"/>
      <c r="AS345" s="170"/>
      <c r="AT345" s="170"/>
      <c r="AU345" s="170"/>
      <c r="AV345" s="170"/>
      <c r="AW345" s="170"/>
      <c r="AX345" s="170"/>
    </row>
    <row r="346" spans="1:50" ht="15" x14ac:dyDescent="0.25">
      <c r="A346" s="170"/>
      <c r="B346" s="719"/>
      <c r="C346" s="170"/>
      <c r="D346" s="170"/>
      <c r="E346" s="170"/>
      <c r="F346" s="170"/>
      <c r="G346" s="721"/>
      <c r="H346" s="170"/>
      <c r="I346" s="170"/>
      <c r="J346" s="170"/>
      <c r="K346" s="170"/>
      <c r="L346" s="170"/>
      <c r="M346" s="730"/>
      <c r="N346" s="730"/>
      <c r="O346" s="730"/>
      <c r="P346" s="731"/>
      <c r="Q346" s="731"/>
      <c r="R346" s="730"/>
      <c r="S346" s="730"/>
      <c r="T346" s="723"/>
      <c r="U346" s="724"/>
      <c r="V346" s="725"/>
      <c r="W346" s="725"/>
      <c r="X346" s="723"/>
      <c r="Y346" s="723"/>
      <c r="Z346" s="723"/>
      <c r="AA346" s="726"/>
      <c r="AB346" s="726"/>
      <c r="AC346" s="170"/>
      <c r="AD346" s="586"/>
      <c r="AE346" s="586"/>
      <c r="AF346" s="170"/>
      <c r="AG346" s="170"/>
      <c r="AH346" s="170"/>
      <c r="AI346" s="170"/>
      <c r="AJ346" s="170"/>
      <c r="AK346" s="170"/>
      <c r="AL346" s="170"/>
      <c r="AM346" s="170"/>
      <c r="AN346" s="170"/>
      <c r="AO346" s="170"/>
      <c r="AP346" s="170"/>
      <c r="AQ346" s="170"/>
      <c r="AR346" s="170"/>
      <c r="AS346" s="170"/>
      <c r="AT346" s="170"/>
      <c r="AU346" s="170"/>
      <c r="AV346" s="170"/>
      <c r="AW346" s="170"/>
      <c r="AX346" s="170"/>
    </row>
    <row r="347" spans="1:50" ht="15" x14ac:dyDescent="0.25">
      <c r="A347" s="170"/>
      <c r="B347" s="719"/>
      <c r="C347" s="170"/>
      <c r="D347" s="170"/>
      <c r="E347" s="170"/>
      <c r="F347" s="170"/>
      <c r="G347" s="721"/>
      <c r="H347" s="170"/>
      <c r="I347" s="170"/>
      <c r="J347" s="170"/>
      <c r="K347" s="170"/>
      <c r="L347" s="170"/>
      <c r="M347" s="730"/>
      <c r="N347" s="730"/>
      <c r="O347" s="730"/>
      <c r="P347" s="731"/>
      <c r="Q347" s="731"/>
      <c r="R347" s="730"/>
      <c r="S347" s="730"/>
      <c r="T347" s="723"/>
      <c r="U347" s="724"/>
      <c r="V347" s="725"/>
      <c r="W347" s="725"/>
      <c r="X347" s="723"/>
      <c r="Y347" s="723"/>
      <c r="Z347" s="723"/>
      <c r="AA347" s="726"/>
      <c r="AB347" s="726"/>
      <c r="AC347" s="170"/>
      <c r="AD347" s="586"/>
      <c r="AE347" s="586"/>
      <c r="AF347" s="170"/>
      <c r="AG347" s="170"/>
      <c r="AH347" s="170"/>
      <c r="AI347" s="170"/>
      <c r="AJ347" s="170"/>
      <c r="AK347" s="170"/>
      <c r="AL347" s="170"/>
      <c r="AM347" s="170"/>
      <c r="AN347" s="170"/>
      <c r="AO347" s="170"/>
      <c r="AP347" s="170"/>
      <c r="AQ347" s="170"/>
      <c r="AR347" s="170"/>
      <c r="AS347" s="170"/>
      <c r="AT347" s="170"/>
      <c r="AU347" s="170"/>
      <c r="AV347" s="170"/>
      <c r="AW347" s="170"/>
      <c r="AX347" s="170"/>
    </row>
    <row r="348" spans="1:50" ht="15" x14ac:dyDescent="0.25">
      <c r="A348" s="170"/>
      <c r="B348" s="719"/>
      <c r="C348" s="170"/>
      <c r="D348" s="170"/>
      <c r="E348" s="170"/>
      <c r="F348" s="170"/>
      <c r="G348" s="721"/>
      <c r="H348" s="170"/>
      <c r="I348" s="170"/>
      <c r="J348" s="170"/>
      <c r="K348" s="170"/>
      <c r="L348" s="170"/>
      <c r="M348" s="730"/>
      <c r="N348" s="730"/>
      <c r="O348" s="730"/>
      <c r="P348" s="731"/>
      <c r="Q348" s="731"/>
      <c r="R348" s="730"/>
      <c r="S348" s="730"/>
      <c r="T348" s="723"/>
      <c r="U348" s="724"/>
      <c r="V348" s="725"/>
      <c r="W348" s="725"/>
      <c r="X348" s="723"/>
      <c r="Y348" s="723"/>
      <c r="Z348" s="723"/>
      <c r="AA348" s="726"/>
      <c r="AB348" s="726"/>
      <c r="AC348" s="170"/>
      <c r="AD348" s="586"/>
      <c r="AE348" s="586"/>
      <c r="AF348" s="170"/>
      <c r="AG348" s="170"/>
      <c r="AH348" s="170"/>
      <c r="AI348" s="170"/>
      <c r="AJ348" s="170"/>
      <c r="AK348" s="170"/>
      <c r="AL348" s="170"/>
      <c r="AM348" s="170"/>
      <c r="AN348" s="170"/>
      <c r="AO348" s="170"/>
      <c r="AP348" s="170"/>
      <c r="AQ348" s="170"/>
      <c r="AR348" s="170"/>
      <c r="AS348" s="170"/>
      <c r="AT348" s="170"/>
      <c r="AU348" s="170"/>
      <c r="AV348" s="170"/>
      <c r="AW348" s="170"/>
      <c r="AX348" s="170"/>
    </row>
    <row r="349" spans="1:50" ht="15" x14ac:dyDescent="0.25">
      <c r="A349" s="170"/>
      <c r="B349" s="719"/>
      <c r="C349" s="170"/>
      <c r="D349" s="170"/>
      <c r="E349" s="170"/>
      <c r="F349" s="170"/>
      <c r="G349" s="721"/>
      <c r="H349" s="170"/>
      <c r="I349" s="170"/>
      <c r="J349" s="170"/>
      <c r="K349" s="170"/>
      <c r="L349" s="170"/>
      <c r="M349" s="730"/>
      <c r="N349" s="730"/>
      <c r="O349" s="730"/>
      <c r="P349" s="731"/>
      <c r="Q349" s="731"/>
      <c r="R349" s="730"/>
      <c r="S349" s="730"/>
      <c r="T349" s="723"/>
      <c r="U349" s="724"/>
      <c r="V349" s="725"/>
      <c r="W349" s="725"/>
      <c r="X349" s="723"/>
      <c r="Y349" s="723"/>
      <c r="Z349" s="723"/>
      <c r="AA349" s="726"/>
      <c r="AB349" s="726"/>
      <c r="AC349" s="170"/>
      <c r="AD349" s="586"/>
      <c r="AE349" s="586"/>
      <c r="AF349" s="170"/>
      <c r="AG349" s="170"/>
      <c r="AH349" s="170"/>
      <c r="AI349" s="170"/>
      <c r="AJ349" s="170"/>
      <c r="AK349" s="170"/>
      <c r="AL349" s="170"/>
      <c r="AM349" s="170"/>
      <c r="AN349" s="170"/>
      <c r="AO349" s="170"/>
      <c r="AP349" s="170"/>
      <c r="AQ349" s="170"/>
      <c r="AR349" s="170"/>
      <c r="AS349" s="170"/>
      <c r="AT349" s="170"/>
      <c r="AU349" s="170"/>
      <c r="AV349" s="170"/>
      <c r="AW349" s="170"/>
      <c r="AX349" s="170"/>
    </row>
    <row r="350" spans="1:50" ht="15" x14ac:dyDescent="0.25">
      <c r="A350" s="170"/>
      <c r="B350" s="719"/>
      <c r="C350" s="170"/>
      <c r="D350" s="170"/>
      <c r="E350" s="170"/>
      <c r="F350" s="170"/>
      <c r="G350" s="721"/>
      <c r="H350" s="170"/>
      <c r="I350" s="170"/>
      <c r="J350" s="170"/>
      <c r="K350" s="170"/>
      <c r="L350" s="170"/>
      <c r="M350" s="730"/>
      <c r="N350" s="730"/>
      <c r="O350" s="730"/>
      <c r="P350" s="731"/>
      <c r="Q350" s="731"/>
      <c r="R350" s="730"/>
      <c r="S350" s="730"/>
      <c r="T350" s="723"/>
      <c r="U350" s="724"/>
      <c r="V350" s="725"/>
      <c r="W350" s="725"/>
      <c r="X350" s="723"/>
      <c r="Y350" s="723"/>
      <c r="Z350" s="723"/>
      <c r="AA350" s="726"/>
      <c r="AB350" s="726"/>
      <c r="AC350" s="170"/>
      <c r="AD350" s="586"/>
      <c r="AE350" s="586"/>
      <c r="AF350" s="170"/>
      <c r="AG350" s="170"/>
      <c r="AH350" s="170"/>
      <c r="AI350" s="170"/>
      <c r="AJ350" s="170"/>
      <c r="AK350" s="170"/>
      <c r="AL350" s="170"/>
      <c r="AM350" s="170"/>
      <c r="AN350" s="170"/>
      <c r="AO350" s="170"/>
      <c r="AP350" s="170"/>
      <c r="AQ350" s="170"/>
      <c r="AR350" s="170"/>
      <c r="AS350" s="170"/>
      <c r="AT350" s="170"/>
      <c r="AU350" s="170"/>
      <c r="AV350" s="170"/>
      <c r="AW350" s="170"/>
      <c r="AX350" s="170"/>
    </row>
    <row r="351" spans="1:50" ht="15" x14ac:dyDescent="0.25">
      <c r="A351" s="170"/>
      <c r="B351" s="719"/>
      <c r="C351" s="170"/>
      <c r="D351" s="170"/>
      <c r="E351" s="170"/>
      <c r="F351" s="170"/>
      <c r="G351" s="721"/>
      <c r="H351" s="170"/>
      <c r="I351" s="170"/>
      <c r="J351" s="170"/>
      <c r="K351" s="170"/>
      <c r="L351" s="170"/>
      <c r="M351" s="730"/>
      <c r="N351" s="730"/>
      <c r="O351" s="730"/>
      <c r="P351" s="731"/>
      <c r="Q351" s="731"/>
      <c r="R351" s="730"/>
      <c r="S351" s="730"/>
      <c r="T351" s="723"/>
      <c r="U351" s="724"/>
      <c r="V351" s="725"/>
      <c r="W351" s="725"/>
      <c r="X351" s="723"/>
      <c r="Y351" s="723"/>
      <c r="Z351" s="723"/>
      <c r="AA351" s="726"/>
      <c r="AB351" s="726"/>
      <c r="AC351" s="170"/>
      <c r="AD351" s="586"/>
      <c r="AE351" s="586"/>
      <c r="AF351" s="170"/>
      <c r="AG351" s="170"/>
      <c r="AH351" s="170"/>
      <c r="AI351" s="170"/>
      <c r="AJ351" s="170"/>
      <c r="AK351" s="170"/>
      <c r="AL351" s="170"/>
      <c r="AM351" s="170"/>
      <c r="AN351" s="170"/>
      <c r="AO351" s="170"/>
      <c r="AP351" s="170"/>
      <c r="AQ351" s="170"/>
      <c r="AR351" s="170"/>
      <c r="AS351" s="170"/>
      <c r="AT351" s="170"/>
      <c r="AU351" s="170"/>
      <c r="AV351" s="170"/>
      <c r="AW351" s="170"/>
      <c r="AX351" s="170"/>
    </row>
    <row r="352" spans="1:50" ht="15" x14ac:dyDescent="0.25">
      <c r="A352" s="170"/>
      <c r="B352" s="719"/>
      <c r="C352" s="170"/>
      <c r="D352" s="170"/>
      <c r="E352" s="170"/>
      <c r="F352" s="170"/>
      <c r="G352" s="721"/>
      <c r="H352" s="170"/>
      <c r="I352" s="170"/>
      <c r="J352" s="170"/>
      <c r="K352" s="170"/>
      <c r="L352" s="170"/>
      <c r="M352" s="730"/>
      <c r="N352" s="730"/>
      <c r="O352" s="730"/>
      <c r="P352" s="731"/>
      <c r="Q352" s="731"/>
      <c r="R352" s="730"/>
      <c r="S352" s="730"/>
      <c r="T352" s="723"/>
      <c r="U352" s="724"/>
      <c r="V352" s="725"/>
      <c r="W352" s="725"/>
      <c r="X352" s="723"/>
      <c r="Y352" s="723"/>
      <c r="Z352" s="723"/>
      <c r="AA352" s="726"/>
      <c r="AB352" s="726"/>
      <c r="AC352" s="170"/>
      <c r="AD352" s="586"/>
      <c r="AE352" s="586"/>
      <c r="AF352" s="170"/>
      <c r="AG352" s="170"/>
      <c r="AH352" s="170"/>
      <c r="AI352" s="170"/>
      <c r="AJ352" s="170"/>
      <c r="AK352" s="170"/>
      <c r="AL352" s="170"/>
      <c r="AM352" s="170"/>
      <c r="AN352" s="170"/>
      <c r="AO352" s="170"/>
      <c r="AP352" s="170"/>
      <c r="AQ352" s="170"/>
      <c r="AR352" s="170"/>
      <c r="AS352" s="170"/>
      <c r="AT352" s="170"/>
      <c r="AU352" s="170"/>
      <c r="AV352" s="170"/>
      <c r="AW352" s="170"/>
      <c r="AX352" s="170"/>
    </row>
    <row r="353" spans="1:50" ht="15" x14ac:dyDescent="0.25">
      <c r="A353" s="170"/>
      <c r="B353" s="719"/>
      <c r="C353" s="170"/>
      <c r="D353" s="170"/>
      <c r="E353" s="170"/>
      <c r="F353" s="170"/>
      <c r="G353" s="721"/>
      <c r="H353" s="170"/>
      <c r="I353" s="170"/>
      <c r="J353" s="170"/>
      <c r="K353" s="170"/>
      <c r="L353" s="170"/>
      <c r="M353" s="730"/>
      <c r="N353" s="730"/>
      <c r="O353" s="730"/>
      <c r="P353" s="731"/>
      <c r="Q353" s="731"/>
      <c r="R353" s="730"/>
      <c r="S353" s="730"/>
      <c r="T353" s="723"/>
      <c r="U353" s="724"/>
      <c r="V353" s="725"/>
      <c r="W353" s="725"/>
      <c r="X353" s="723"/>
      <c r="Y353" s="723"/>
      <c r="Z353" s="723"/>
      <c r="AA353" s="726"/>
      <c r="AB353" s="726"/>
      <c r="AC353" s="170"/>
      <c r="AD353" s="586"/>
      <c r="AE353" s="586"/>
      <c r="AF353" s="170"/>
      <c r="AG353" s="170"/>
      <c r="AH353" s="170"/>
      <c r="AI353" s="170"/>
      <c r="AJ353" s="170"/>
      <c r="AK353" s="170"/>
      <c r="AL353" s="170"/>
      <c r="AM353" s="170"/>
      <c r="AN353" s="170"/>
      <c r="AO353" s="170"/>
      <c r="AP353" s="170"/>
      <c r="AQ353" s="170"/>
      <c r="AR353" s="170"/>
      <c r="AS353" s="170"/>
      <c r="AT353" s="170"/>
      <c r="AU353" s="170"/>
      <c r="AV353" s="170"/>
      <c r="AW353" s="170"/>
      <c r="AX353" s="170"/>
    </row>
    <row r="354" spans="1:50" ht="15" x14ac:dyDescent="0.25">
      <c r="A354" s="170"/>
      <c r="B354" s="719"/>
      <c r="C354" s="170"/>
      <c r="D354" s="170"/>
      <c r="E354" s="170"/>
      <c r="F354" s="170"/>
      <c r="G354" s="721"/>
      <c r="H354" s="170"/>
      <c r="I354" s="170"/>
      <c r="J354" s="170"/>
      <c r="K354" s="170"/>
      <c r="L354" s="170"/>
      <c r="M354" s="730"/>
      <c r="N354" s="730"/>
      <c r="O354" s="730"/>
      <c r="P354" s="731"/>
      <c r="Q354" s="731"/>
      <c r="R354" s="730"/>
      <c r="S354" s="730"/>
      <c r="T354" s="723"/>
      <c r="U354" s="724"/>
      <c r="V354" s="725"/>
      <c r="W354" s="725"/>
      <c r="X354" s="723"/>
      <c r="Y354" s="723"/>
      <c r="Z354" s="723"/>
      <c r="AA354" s="726"/>
      <c r="AB354" s="726"/>
      <c r="AC354" s="170"/>
      <c r="AD354" s="586"/>
      <c r="AE354" s="586"/>
      <c r="AF354" s="170"/>
      <c r="AG354" s="170"/>
      <c r="AH354" s="170"/>
      <c r="AI354" s="170"/>
      <c r="AJ354" s="170"/>
      <c r="AK354" s="170"/>
      <c r="AL354" s="170"/>
      <c r="AM354" s="170"/>
      <c r="AN354" s="170"/>
      <c r="AO354" s="170"/>
      <c r="AP354" s="170"/>
      <c r="AQ354" s="170"/>
      <c r="AR354" s="170"/>
      <c r="AS354" s="170"/>
      <c r="AT354" s="170"/>
      <c r="AU354" s="170"/>
      <c r="AV354" s="170"/>
      <c r="AW354" s="170"/>
      <c r="AX354" s="170"/>
    </row>
    <row r="355" spans="1:50" ht="15" x14ac:dyDescent="0.25">
      <c r="A355" s="170"/>
      <c r="B355" s="719"/>
      <c r="C355" s="170"/>
      <c r="D355" s="170"/>
      <c r="E355" s="170"/>
      <c r="F355" s="170"/>
      <c r="G355" s="721"/>
      <c r="H355" s="170"/>
      <c r="I355" s="170"/>
      <c r="J355" s="170"/>
      <c r="K355" s="170"/>
      <c r="L355" s="170"/>
      <c r="M355" s="730"/>
      <c r="N355" s="730"/>
      <c r="O355" s="730"/>
      <c r="P355" s="731"/>
      <c r="Q355" s="731"/>
      <c r="R355" s="730"/>
      <c r="S355" s="730"/>
      <c r="T355" s="723"/>
      <c r="U355" s="724"/>
      <c r="V355" s="725"/>
      <c r="W355" s="725"/>
      <c r="X355" s="723"/>
      <c r="Y355" s="723"/>
      <c r="Z355" s="723"/>
      <c r="AA355" s="726"/>
      <c r="AB355" s="726"/>
      <c r="AC355" s="170"/>
      <c r="AD355" s="586"/>
      <c r="AE355" s="586"/>
      <c r="AF355" s="170"/>
      <c r="AG355" s="170"/>
      <c r="AH355" s="170"/>
      <c r="AI355" s="170"/>
      <c r="AJ355" s="170"/>
      <c r="AK355" s="170"/>
      <c r="AL355" s="170"/>
      <c r="AM355" s="170"/>
      <c r="AN355" s="170"/>
      <c r="AO355" s="170"/>
      <c r="AP355" s="170"/>
      <c r="AQ355" s="170"/>
      <c r="AR355" s="170"/>
      <c r="AS355" s="170"/>
      <c r="AT355" s="170"/>
      <c r="AU355" s="170"/>
      <c r="AV355" s="170"/>
      <c r="AW355" s="170"/>
      <c r="AX355" s="170"/>
    </row>
    <row r="356" spans="1:50" ht="15" x14ac:dyDescent="0.25">
      <c r="A356" s="170"/>
      <c r="B356" s="719"/>
      <c r="C356" s="170"/>
      <c r="D356" s="170"/>
      <c r="E356" s="170"/>
      <c r="F356" s="170"/>
      <c r="G356" s="721"/>
      <c r="H356" s="170"/>
      <c r="I356" s="170"/>
      <c r="J356" s="170"/>
      <c r="K356" s="170"/>
      <c r="L356" s="170"/>
      <c r="M356" s="730"/>
      <c r="N356" s="730"/>
      <c r="O356" s="730"/>
      <c r="P356" s="731"/>
      <c r="Q356" s="731"/>
      <c r="R356" s="730"/>
      <c r="S356" s="730"/>
      <c r="T356" s="723"/>
      <c r="U356" s="724"/>
      <c r="V356" s="725"/>
      <c r="W356" s="725"/>
      <c r="X356" s="723"/>
      <c r="Y356" s="723"/>
      <c r="Z356" s="723"/>
      <c r="AA356" s="726"/>
      <c r="AB356" s="726"/>
      <c r="AC356" s="170"/>
      <c r="AD356" s="586"/>
      <c r="AE356" s="586"/>
      <c r="AF356" s="170"/>
      <c r="AG356" s="170"/>
      <c r="AH356" s="170"/>
      <c r="AI356" s="170"/>
      <c r="AJ356" s="170"/>
      <c r="AK356" s="170"/>
      <c r="AL356" s="170"/>
      <c r="AM356" s="170"/>
      <c r="AN356" s="170"/>
      <c r="AO356" s="170"/>
      <c r="AP356" s="170"/>
      <c r="AQ356" s="170"/>
      <c r="AR356" s="170"/>
      <c r="AS356" s="170"/>
      <c r="AT356" s="170"/>
      <c r="AU356" s="170"/>
      <c r="AV356" s="170"/>
      <c r="AW356" s="170"/>
      <c r="AX356" s="170"/>
    </row>
    <row r="357" spans="1:50" ht="15" x14ac:dyDescent="0.25">
      <c r="A357" s="170"/>
      <c r="B357" s="719"/>
      <c r="C357" s="170"/>
      <c r="D357" s="170"/>
      <c r="E357" s="170"/>
      <c r="F357" s="170"/>
      <c r="G357" s="721"/>
      <c r="H357" s="170"/>
      <c r="I357" s="170"/>
      <c r="J357" s="170"/>
      <c r="K357" s="170"/>
      <c r="L357" s="170"/>
      <c r="M357" s="730"/>
      <c r="N357" s="730"/>
      <c r="O357" s="730"/>
      <c r="P357" s="731"/>
      <c r="Q357" s="731"/>
      <c r="R357" s="730"/>
      <c r="S357" s="730"/>
      <c r="T357" s="723"/>
      <c r="U357" s="724"/>
      <c r="V357" s="725"/>
      <c r="W357" s="725"/>
      <c r="X357" s="723"/>
      <c r="Y357" s="723"/>
      <c r="Z357" s="723"/>
      <c r="AA357" s="726"/>
      <c r="AB357" s="726"/>
      <c r="AC357" s="170"/>
      <c r="AD357" s="586"/>
      <c r="AE357" s="586"/>
      <c r="AF357" s="170"/>
      <c r="AG357" s="170"/>
      <c r="AH357" s="170"/>
      <c r="AI357" s="170"/>
      <c r="AJ357" s="170"/>
      <c r="AK357" s="170"/>
      <c r="AL357" s="170"/>
      <c r="AM357" s="170"/>
      <c r="AN357" s="170"/>
      <c r="AO357" s="170"/>
      <c r="AP357" s="170"/>
      <c r="AQ357" s="170"/>
      <c r="AR357" s="170"/>
      <c r="AS357" s="170"/>
      <c r="AT357" s="170"/>
      <c r="AU357" s="170"/>
      <c r="AV357" s="170"/>
      <c r="AW357" s="170"/>
      <c r="AX357" s="170"/>
    </row>
    <row r="358" spans="1:50" ht="15" x14ac:dyDescent="0.25">
      <c r="A358" s="170"/>
      <c r="B358" s="719"/>
      <c r="C358" s="170"/>
      <c r="D358" s="170"/>
      <c r="E358" s="170"/>
      <c r="F358" s="170"/>
      <c r="G358" s="721"/>
      <c r="H358" s="170"/>
      <c r="I358" s="170"/>
      <c r="J358" s="170"/>
      <c r="K358" s="170"/>
      <c r="L358" s="170"/>
      <c r="M358" s="730"/>
      <c r="N358" s="730"/>
      <c r="O358" s="730"/>
      <c r="P358" s="731"/>
      <c r="Q358" s="731"/>
      <c r="R358" s="730"/>
      <c r="S358" s="730"/>
      <c r="T358" s="723"/>
      <c r="U358" s="724"/>
      <c r="V358" s="725"/>
      <c r="W358" s="725"/>
      <c r="X358" s="723"/>
      <c r="Y358" s="723"/>
      <c r="Z358" s="723"/>
      <c r="AA358" s="726"/>
      <c r="AB358" s="726"/>
      <c r="AC358" s="170"/>
      <c r="AD358" s="586"/>
      <c r="AE358" s="586"/>
      <c r="AF358" s="170"/>
      <c r="AG358" s="170"/>
      <c r="AH358" s="170"/>
      <c r="AI358" s="170"/>
      <c r="AJ358" s="170"/>
      <c r="AK358" s="170"/>
      <c r="AL358" s="170"/>
      <c r="AM358" s="170"/>
      <c r="AN358" s="170"/>
      <c r="AO358" s="170"/>
      <c r="AP358" s="170"/>
      <c r="AQ358" s="170"/>
      <c r="AR358" s="170"/>
      <c r="AS358" s="170"/>
      <c r="AT358" s="170"/>
      <c r="AU358" s="170"/>
      <c r="AV358" s="170"/>
      <c r="AW358" s="170"/>
      <c r="AX358" s="170"/>
    </row>
    <row r="359" spans="1:50" ht="15" x14ac:dyDescent="0.25">
      <c r="A359" s="170"/>
      <c r="B359" s="719"/>
      <c r="C359" s="170"/>
      <c r="D359" s="170"/>
      <c r="E359" s="170"/>
      <c r="F359" s="170"/>
      <c r="G359" s="721"/>
      <c r="H359" s="170"/>
      <c r="I359" s="170"/>
      <c r="J359" s="170"/>
      <c r="K359" s="170"/>
      <c r="L359" s="170"/>
      <c r="M359" s="730"/>
      <c r="N359" s="730"/>
      <c r="O359" s="730"/>
      <c r="P359" s="731"/>
      <c r="Q359" s="731"/>
      <c r="R359" s="730"/>
      <c r="S359" s="730"/>
      <c r="T359" s="723"/>
      <c r="U359" s="724"/>
      <c r="V359" s="725"/>
      <c r="W359" s="725"/>
      <c r="X359" s="723"/>
      <c r="Y359" s="723"/>
      <c r="Z359" s="723"/>
      <c r="AA359" s="726"/>
      <c r="AB359" s="726"/>
      <c r="AC359" s="170"/>
      <c r="AD359" s="586"/>
      <c r="AE359" s="586"/>
      <c r="AF359" s="170"/>
      <c r="AG359" s="170"/>
      <c r="AH359" s="170"/>
      <c r="AI359" s="170"/>
      <c r="AJ359" s="170"/>
      <c r="AK359" s="170"/>
      <c r="AL359" s="170"/>
      <c r="AM359" s="170"/>
      <c r="AN359" s="170"/>
      <c r="AO359" s="170"/>
      <c r="AP359" s="170"/>
      <c r="AQ359" s="170"/>
      <c r="AR359" s="170"/>
      <c r="AS359" s="170"/>
      <c r="AT359" s="170"/>
      <c r="AU359" s="170"/>
      <c r="AV359" s="170"/>
      <c r="AW359" s="170"/>
      <c r="AX359" s="170"/>
    </row>
    <row r="360" spans="1:50" ht="15" x14ac:dyDescent="0.25">
      <c r="A360" s="170"/>
      <c r="B360" s="719"/>
      <c r="C360" s="170"/>
      <c r="D360" s="170"/>
      <c r="E360" s="170"/>
      <c r="F360" s="170"/>
      <c r="G360" s="721"/>
      <c r="H360" s="170"/>
      <c r="I360" s="170"/>
      <c r="J360" s="170"/>
      <c r="K360" s="170"/>
      <c r="L360" s="170"/>
      <c r="M360" s="730"/>
      <c r="N360" s="730"/>
      <c r="O360" s="730"/>
      <c r="P360" s="731"/>
      <c r="Q360" s="731"/>
      <c r="R360" s="730"/>
      <c r="S360" s="730"/>
      <c r="T360" s="723"/>
      <c r="U360" s="724"/>
      <c r="V360" s="725"/>
      <c r="W360" s="725"/>
      <c r="X360" s="723"/>
      <c r="Y360" s="723"/>
      <c r="Z360" s="723"/>
      <c r="AA360" s="726"/>
      <c r="AB360" s="726"/>
      <c r="AC360" s="170"/>
      <c r="AD360" s="586"/>
      <c r="AE360" s="586"/>
      <c r="AF360" s="170"/>
      <c r="AG360" s="170"/>
      <c r="AH360" s="170"/>
      <c r="AI360" s="170"/>
      <c r="AJ360" s="170"/>
      <c r="AK360" s="170"/>
      <c r="AL360" s="170"/>
      <c r="AM360" s="170"/>
      <c r="AN360" s="170"/>
      <c r="AO360" s="170"/>
      <c r="AP360" s="170"/>
      <c r="AQ360" s="170"/>
      <c r="AR360" s="170"/>
      <c r="AS360" s="170"/>
      <c r="AT360" s="170"/>
      <c r="AU360" s="170"/>
      <c r="AV360" s="170"/>
      <c r="AW360" s="170"/>
      <c r="AX360" s="170"/>
    </row>
    <row r="361" spans="1:50" ht="15" x14ac:dyDescent="0.25">
      <c r="A361" s="170"/>
      <c r="B361" s="719"/>
      <c r="C361" s="170"/>
      <c r="D361" s="170"/>
      <c r="E361" s="170"/>
      <c r="F361" s="170"/>
      <c r="G361" s="721"/>
      <c r="H361" s="170"/>
      <c r="I361" s="170"/>
      <c r="J361" s="170"/>
      <c r="K361" s="170"/>
      <c r="L361" s="170"/>
      <c r="M361" s="730"/>
      <c r="N361" s="730"/>
      <c r="O361" s="730"/>
      <c r="P361" s="731"/>
      <c r="Q361" s="731"/>
      <c r="R361" s="730"/>
      <c r="S361" s="730"/>
      <c r="T361" s="723"/>
      <c r="U361" s="724"/>
      <c r="V361" s="725"/>
      <c r="W361" s="725"/>
      <c r="X361" s="723"/>
      <c r="Y361" s="723"/>
      <c r="Z361" s="723"/>
      <c r="AA361" s="726"/>
      <c r="AB361" s="726"/>
      <c r="AC361" s="170"/>
      <c r="AD361" s="586"/>
      <c r="AE361" s="586"/>
      <c r="AF361" s="170"/>
      <c r="AG361" s="170"/>
      <c r="AH361" s="170"/>
      <c r="AI361" s="170"/>
      <c r="AJ361" s="170"/>
      <c r="AK361" s="170"/>
      <c r="AL361" s="170"/>
      <c r="AM361" s="170"/>
      <c r="AN361" s="170"/>
      <c r="AO361" s="170"/>
      <c r="AP361" s="170"/>
      <c r="AQ361" s="170"/>
      <c r="AR361" s="170"/>
      <c r="AS361" s="170"/>
      <c r="AT361" s="170"/>
      <c r="AU361" s="170"/>
      <c r="AV361" s="170"/>
      <c r="AW361" s="170"/>
      <c r="AX361" s="170"/>
    </row>
    <row r="362" spans="1:50" ht="15" x14ac:dyDescent="0.25">
      <c r="A362" s="170"/>
      <c r="B362" s="719"/>
      <c r="C362" s="170"/>
      <c r="D362" s="170"/>
      <c r="E362" s="170"/>
      <c r="F362" s="170"/>
      <c r="G362" s="721"/>
      <c r="H362" s="170"/>
      <c r="I362" s="170"/>
      <c r="J362" s="170"/>
      <c r="K362" s="170"/>
      <c r="L362" s="170"/>
      <c r="M362" s="730"/>
      <c r="N362" s="730"/>
      <c r="O362" s="730"/>
      <c r="P362" s="731"/>
      <c r="Q362" s="731"/>
      <c r="R362" s="730"/>
      <c r="S362" s="730"/>
      <c r="T362" s="723"/>
      <c r="U362" s="724"/>
      <c r="V362" s="725"/>
      <c r="W362" s="725"/>
      <c r="X362" s="723"/>
      <c r="Y362" s="723"/>
      <c r="Z362" s="723"/>
      <c r="AA362" s="726"/>
      <c r="AB362" s="726"/>
      <c r="AC362" s="170"/>
      <c r="AD362" s="586"/>
      <c r="AE362" s="586"/>
      <c r="AF362" s="170"/>
      <c r="AG362" s="170"/>
      <c r="AH362" s="170"/>
      <c r="AI362" s="170"/>
      <c r="AJ362" s="170"/>
      <c r="AK362" s="170"/>
      <c r="AL362" s="170"/>
      <c r="AM362" s="170"/>
      <c r="AN362" s="170"/>
      <c r="AO362" s="170"/>
      <c r="AP362" s="170"/>
      <c r="AQ362" s="170"/>
      <c r="AR362" s="170"/>
      <c r="AS362" s="170"/>
      <c r="AT362" s="170"/>
      <c r="AU362" s="170"/>
      <c r="AV362" s="170"/>
      <c r="AW362" s="170"/>
      <c r="AX362" s="170"/>
    </row>
    <row r="363" spans="1:50" ht="15" x14ac:dyDescent="0.25">
      <c r="A363" s="170"/>
      <c r="B363" s="719"/>
      <c r="C363" s="170"/>
      <c r="D363" s="170"/>
      <c r="E363" s="170"/>
      <c r="F363" s="170"/>
      <c r="G363" s="721"/>
      <c r="H363" s="170"/>
      <c r="I363" s="170"/>
      <c r="J363" s="170"/>
      <c r="K363" s="170"/>
      <c r="L363" s="170"/>
      <c r="M363" s="730"/>
      <c r="N363" s="730"/>
      <c r="O363" s="730"/>
      <c r="P363" s="731"/>
      <c r="Q363" s="731"/>
      <c r="R363" s="730"/>
      <c r="S363" s="730"/>
      <c r="T363" s="723"/>
      <c r="U363" s="724"/>
      <c r="V363" s="725"/>
      <c r="W363" s="725"/>
      <c r="X363" s="723"/>
      <c r="Y363" s="723"/>
      <c r="Z363" s="723"/>
      <c r="AA363" s="726"/>
      <c r="AB363" s="726"/>
      <c r="AC363" s="170"/>
      <c r="AD363" s="586"/>
      <c r="AE363" s="586"/>
      <c r="AF363" s="170"/>
      <c r="AG363" s="170"/>
      <c r="AH363" s="170"/>
      <c r="AI363" s="170"/>
      <c r="AJ363" s="170"/>
      <c r="AK363" s="170"/>
      <c r="AL363" s="170"/>
      <c r="AM363" s="170"/>
      <c r="AN363" s="170"/>
      <c r="AO363" s="170"/>
      <c r="AP363" s="170"/>
      <c r="AQ363" s="170"/>
      <c r="AR363" s="170"/>
      <c r="AS363" s="170"/>
      <c r="AT363" s="170"/>
      <c r="AU363" s="170"/>
      <c r="AV363" s="170"/>
      <c r="AW363" s="170"/>
      <c r="AX363" s="170"/>
    </row>
    <row r="364" spans="1:50" ht="15" x14ac:dyDescent="0.25">
      <c r="A364" s="170"/>
      <c r="B364" s="719"/>
      <c r="C364" s="170"/>
      <c r="D364" s="170"/>
      <c r="E364" s="170"/>
      <c r="F364" s="170"/>
      <c r="G364" s="721"/>
      <c r="H364" s="170"/>
      <c r="I364" s="170"/>
      <c r="J364" s="170"/>
      <c r="K364" s="170"/>
      <c r="L364" s="170"/>
      <c r="M364" s="730"/>
      <c r="N364" s="730"/>
      <c r="O364" s="730"/>
      <c r="P364" s="731"/>
      <c r="Q364" s="731"/>
      <c r="R364" s="730"/>
      <c r="S364" s="730"/>
      <c r="T364" s="723"/>
      <c r="U364" s="724"/>
      <c r="V364" s="725"/>
      <c r="W364" s="725"/>
      <c r="X364" s="723"/>
      <c r="Y364" s="723"/>
      <c r="Z364" s="723"/>
      <c r="AA364" s="726"/>
      <c r="AB364" s="726"/>
      <c r="AC364" s="170"/>
      <c r="AD364" s="586"/>
      <c r="AE364" s="586"/>
      <c r="AF364" s="170"/>
      <c r="AG364" s="170"/>
      <c r="AH364" s="170"/>
      <c r="AI364" s="170"/>
      <c r="AJ364" s="170"/>
      <c r="AK364" s="170"/>
      <c r="AL364" s="170"/>
      <c r="AM364" s="170"/>
      <c r="AN364" s="170"/>
      <c r="AO364" s="170"/>
      <c r="AP364" s="170"/>
      <c r="AQ364" s="170"/>
      <c r="AR364" s="170"/>
      <c r="AS364" s="170"/>
      <c r="AT364" s="170"/>
      <c r="AU364" s="170"/>
      <c r="AV364" s="170"/>
      <c r="AW364" s="170"/>
      <c r="AX364" s="170"/>
    </row>
    <row r="365" spans="1:50" ht="15" x14ac:dyDescent="0.25">
      <c r="A365" s="170"/>
      <c r="B365" s="719"/>
      <c r="C365" s="170"/>
      <c r="D365" s="170"/>
      <c r="E365" s="170"/>
      <c r="F365" s="170"/>
      <c r="G365" s="721"/>
      <c r="H365" s="170"/>
      <c r="I365" s="170"/>
      <c r="J365" s="170"/>
      <c r="K365" s="170"/>
      <c r="L365" s="170"/>
      <c r="M365" s="730"/>
      <c r="N365" s="730"/>
      <c r="O365" s="730"/>
      <c r="P365" s="731"/>
      <c r="Q365" s="731"/>
      <c r="R365" s="730"/>
      <c r="S365" s="730"/>
      <c r="T365" s="723"/>
      <c r="U365" s="724"/>
      <c r="V365" s="725"/>
      <c r="W365" s="725"/>
      <c r="X365" s="723"/>
      <c r="Y365" s="723"/>
      <c r="Z365" s="723"/>
      <c r="AA365" s="726"/>
      <c r="AB365" s="726"/>
      <c r="AC365" s="170"/>
      <c r="AD365" s="586"/>
      <c r="AE365" s="586"/>
      <c r="AF365" s="170"/>
      <c r="AG365" s="170"/>
      <c r="AH365" s="170"/>
      <c r="AI365" s="170"/>
      <c r="AJ365" s="170"/>
      <c r="AK365" s="170"/>
      <c r="AL365" s="170"/>
      <c r="AM365" s="170"/>
      <c r="AN365" s="170"/>
      <c r="AO365" s="170"/>
      <c r="AP365" s="170"/>
      <c r="AQ365" s="170"/>
      <c r="AR365" s="170"/>
      <c r="AS365" s="170"/>
      <c r="AT365" s="170"/>
      <c r="AU365" s="170"/>
      <c r="AV365" s="170"/>
      <c r="AW365" s="170"/>
      <c r="AX365" s="170"/>
    </row>
    <row r="366" spans="1:50" ht="15" x14ac:dyDescent="0.25">
      <c r="A366" s="170"/>
      <c r="B366" s="719"/>
      <c r="C366" s="170"/>
      <c r="D366" s="170"/>
      <c r="E366" s="170"/>
      <c r="F366" s="170"/>
      <c r="G366" s="721"/>
      <c r="H366" s="170"/>
      <c r="I366" s="170"/>
      <c r="J366" s="170"/>
      <c r="K366" s="170"/>
      <c r="L366" s="170"/>
      <c r="M366" s="730"/>
      <c r="N366" s="730"/>
      <c r="O366" s="730"/>
      <c r="P366" s="731"/>
      <c r="Q366" s="731"/>
      <c r="R366" s="730"/>
      <c r="S366" s="730"/>
      <c r="T366" s="723"/>
      <c r="U366" s="724"/>
      <c r="V366" s="725"/>
      <c r="W366" s="725"/>
      <c r="X366" s="723"/>
      <c r="Y366" s="723"/>
      <c r="Z366" s="723"/>
      <c r="AA366" s="726"/>
      <c r="AB366" s="726"/>
      <c r="AC366" s="170"/>
      <c r="AD366" s="586"/>
      <c r="AE366" s="586"/>
      <c r="AF366" s="170"/>
      <c r="AG366" s="170"/>
      <c r="AH366" s="170"/>
      <c r="AI366" s="170"/>
      <c r="AJ366" s="170"/>
      <c r="AK366" s="170"/>
      <c r="AL366" s="170"/>
      <c r="AM366" s="170"/>
      <c r="AN366" s="170"/>
      <c r="AO366" s="170"/>
      <c r="AP366" s="170"/>
      <c r="AQ366" s="170"/>
      <c r="AR366" s="170"/>
      <c r="AS366" s="170"/>
      <c r="AT366" s="170"/>
      <c r="AU366" s="170"/>
      <c r="AV366" s="170"/>
      <c r="AW366" s="170"/>
      <c r="AX366" s="170"/>
    </row>
    <row r="367" spans="1:50" ht="15" x14ac:dyDescent="0.25">
      <c r="A367" s="170"/>
      <c r="B367" s="719"/>
      <c r="C367" s="170"/>
      <c r="D367" s="170"/>
      <c r="E367" s="170"/>
      <c r="F367" s="170"/>
      <c r="G367" s="721"/>
      <c r="H367" s="170"/>
      <c r="I367" s="170"/>
      <c r="J367" s="170"/>
      <c r="K367" s="170"/>
      <c r="L367" s="170"/>
      <c r="M367" s="730"/>
      <c r="N367" s="730"/>
      <c r="O367" s="730"/>
      <c r="P367" s="731"/>
      <c r="Q367" s="731"/>
      <c r="R367" s="730"/>
      <c r="S367" s="730"/>
      <c r="T367" s="723"/>
      <c r="U367" s="724"/>
      <c r="V367" s="725"/>
      <c r="W367" s="725"/>
      <c r="X367" s="723"/>
      <c r="Y367" s="723"/>
      <c r="Z367" s="723"/>
      <c r="AA367" s="726"/>
      <c r="AB367" s="726"/>
      <c r="AC367" s="170"/>
      <c r="AD367" s="586"/>
      <c r="AE367" s="586"/>
      <c r="AF367" s="170"/>
      <c r="AG367" s="170"/>
      <c r="AH367" s="170"/>
      <c r="AI367" s="170"/>
      <c r="AJ367" s="170"/>
      <c r="AK367" s="170"/>
      <c r="AL367" s="170"/>
      <c r="AM367" s="170"/>
      <c r="AN367" s="170"/>
      <c r="AO367" s="170"/>
      <c r="AP367" s="170"/>
      <c r="AQ367" s="170"/>
      <c r="AR367" s="170"/>
      <c r="AS367" s="170"/>
      <c r="AT367" s="170"/>
      <c r="AU367" s="170"/>
      <c r="AV367" s="170"/>
      <c r="AW367" s="170"/>
      <c r="AX367" s="170"/>
    </row>
    <row r="368" spans="1:50" ht="15" x14ac:dyDescent="0.25">
      <c r="A368" s="170"/>
      <c r="B368" s="719"/>
      <c r="C368" s="170"/>
      <c r="D368" s="170"/>
      <c r="E368" s="170"/>
      <c r="F368" s="170"/>
      <c r="G368" s="721"/>
      <c r="H368" s="170"/>
      <c r="I368" s="170"/>
      <c r="J368" s="170"/>
      <c r="K368" s="170"/>
      <c r="L368" s="170"/>
      <c r="M368" s="730"/>
      <c r="N368" s="730"/>
      <c r="O368" s="730"/>
      <c r="P368" s="731"/>
      <c r="Q368" s="731"/>
      <c r="R368" s="730"/>
      <c r="S368" s="730"/>
      <c r="T368" s="723"/>
      <c r="U368" s="724"/>
      <c r="V368" s="725"/>
      <c r="W368" s="725"/>
      <c r="X368" s="723"/>
      <c r="Y368" s="723"/>
      <c r="Z368" s="723"/>
      <c r="AA368" s="726"/>
      <c r="AB368" s="726"/>
      <c r="AC368" s="170"/>
      <c r="AD368" s="586"/>
      <c r="AE368" s="586"/>
      <c r="AF368" s="170"/>
      <c r="AG368" s="170"/>
      <c r="AH368" s="170"/>
      <c r="AI368" s="170"/>
      <c r="AJ368" s="170"/>
      <c r="AK368" s="170"/>
      <c r="AL368" s="170"/>
      <c r="AM368" s="170"/>
      <c r="AN368" s="170"/>
      <c r="AO368" s="170"/>
      <c r="AP368" s="170"/>
      <c r="AQ368" s="170"/>
      <c r="AR368" s="170"/>
      <c r="AS368" s="170"/>
      <c r="AT368" s="170"/>
      <c r="AU368" s="170"/>
      <c r="AV368" s="170"/>
      <c r="AW368" s="170"/>
      <c r="AX368" s="170"/>
    </row>
    <row r="369" spans="1:50" ht="15" x14ac:dyDescent="0.25">
      <c r="A369" s="170"/>
      <c r="B369" s="719"/>
      <c r="C369" s="170"/>
      <c r="D369" s="170"/>
      <c r="E369" s="170"/>
      <c r="F369" s="170"/>
      <c r="G369" s="721"/>
      <c r="H369" s="170"/>
      <c r="I369" s="170"/>
      <c r="J369" s="170"/>
      <c r="K369" s="170"/>
      <c r="L369" s="170"/>
      <c r="M369" s="730"/>
      <c r="N369" s="730"/>
      <c r="O369" s="730"/>
      <c r="P369" s="731"/>
      <c r="Q369" s="731"/>
      <c r="R369" s="730"/>
      <c r="S369" s="730"/>
      <c r="T369" s="723"/>
      <c r="U369" s="724"/>
      <c r="V369" s="725"/>
      <c r="W369" s="725"/>
      <c r="X369" s="723"/>
      <c r="Y369" s="723"/>
      <c r="Z369" s="723"/>
      <c r="AA369" s="726"/>
      <c r="AB369" s="726"/>
      <c r="AC369" s="170"/>
      <c r="AD369" s="586"/>
      <c r="AE369" s="586"/>
      <c r="AF369" s="170"/>
      <c r="AG369" s="170"/>
      <c r="AH369" s="170"/>
      <c r="AI369" s="170"/>
      <c r="AJ369" s="170"/>
      <c r="AK369" s="170"/>
      <c r="AL369" s="170"/>
      <c r="AM369" s="170"/>
      <c r="AN369" s="170"/>
      <c r="AO369" s="170"/>
      <c r="AP369" s="170"/>
      <c r="AQ369" s="170"/>
      <c r="AR369" s="170"/>
      <c r="AS369" s="170"/>
      <c r="AT369" s="170"/>
      <c r="AU369" s="170"/>
      <c r="AV369" s="170"/>
      <c r="AW369" s="170"/>
      <c r="AX369" s="170"/>
    </row>
    <row r="370" spans="1:50" ht="15" x14ac:dyDescent="0.25">
      <c r="A370" s="170"/>
      <c r="B370" s="719"/>
      <c r="C370" s="170"/>
      <c r="D370" s="170"/>
      <c r="E370" s="170"/>
      <c r="F370" s="170"/>
      <c r="G370" s="721"/>
      <c r="H370" s="170"/>
      <c r="I370" s="170"/>
      <c r="J370" s="170"/>
      <c r="K370" s="170"/>
      <c r="L370" s="170"/>
      <c r="M370" s="730"/>
      <c r="N370" s="730"/>
      <c r="O370" s="730"/>
      <c r="P370" s="731"/>
      <c r="Q370" s="731"/>
      <c r="R370" s="730"/>
      <c r="S370" s="730"/>
      <c r="T370" s="723"/>
      <c r="U370" s="724"/>
      <c r="V370" s="725"/>
      <c r="W370" s="725"/>
      <c r="X370" s="723"/>
      <c r="Y370" s="723"/>
      <c r="Z370" s="723"/>
      <c r="AA370" s="726"/>
      <c r="AB370" s="726"/>
      <c r="AC370" s="170"/>
      <c r="AD370" s="586"/>
      <c r="AE370" s="586"/>
      <c r="AF370" s="170"/>
      <c r="AG370" s="170"/>
      <c r="AH370" s="170"/>
      <c r="AI370" s="170"/>
      <c r="AJ370" s="170"/>
      <c r="AK370" s="170"/>
      <c r="AL370" s="170"/>
      <c r="AM370" s="170"/>
      <c r="AN370" s="170"/>
      <c r="AO370" s="170"/>
      <c r="AP370" s="170"/>
      <c r="AQ370" s="170"/>
      <c r="AR370" s="170"/>
      <c r="AS370" s="170"/>
      <c r="AT370" s="170"/>
      <c r="AU370" s="170"/>
      <c r="AV370" s="170"/>
      <c r="AW370" s="170"/>
      <c r="AX370" s="170"/>
    </row>
    <row r="371" spans="1:50" ht="15" x14ac:dyDescent="0.25">
      <c r="A371" s="170"/>
      <c r="B371" s="719"/>
      <c r="C371" s="170"/>
      <c r="D371" s="170"/>
      <c r="E371" s="170"/>
      <c r="F371" s="170"/>
      <c r="G371" s="721"/>
      <c r="H371" s="170"/>
      <c r="I371" s="170"/>
      <c r="J371" s="170"/>
      <c r="K371" s="170"/>
      <c r="L371" s="170"/>
      <c r="M371" s="730"/>
      <c r="N371" s="730"/>
      <c r="O371" s="730"/>
      <c r="P371" s="731"/>
      <c r="Q371" s="731"/>
      <c r="R371" s="730"/>
      <c r="S371" s="730"/>
      <c r="T371" s="723"/>
      <c r="U371" s="724"/>
      <c r="V371" s="725"/>
      <c r="W371" s="725"/>
      <c r="X371" s="723"/>
      <c r="Y371" s="723"/>
      <c r="Z371" s="723"/>
      <c r="AA371" s="726"/>
      <c r="AB371" s="726"/>
      <c r="AC371" s="170"/>
      <c r="AD371" s="586"/>
      <c r="AE371" s="586"/>
      <c r="AF371" s="170"/>
      <c r="AG371" s="170"/>
      <c r="AH371" s="170"/>
      <c r="AI371" s="170"/>
      <c r="AJ371" s="170"/>
      <c r="AK371" s="170"/>
      <c r="AL371" s="170"/>
      <c r="AM371" s="170"/>
      <c r="AN371" s="170"/>
      <c r="AO371" s="170"/>
      <c r="AP371" s="170"/>
      <c r="AQ371" s="170"/>
      <c r="AR371" s="170"/>
      <c r="AS371" s="170"/>
      <c r="AT371" s="170"/>
      <c r="AU371" s="170"/>
      <c r="AV371" s="170"/>
      <c r="AW371" s="170"/>
      <c r="AX371" s="170"/>
    </row>
    <row r="372" spans="1:50" ht="15" x14ac:dyDescent="0.25">
      <c r="A372" s="170"/>
      <c r="B372" s="719"/>
      <c r="C372" s="170"/>
      <c r="D372" s="170"/>
      <c r="E372" s="170"/>
      <c r="F372" s="170"/>
      <c r="G372" s="721"/>
      <c r="H372" s="170"/>
      <c r="I372" s="170"/>
      <c r="J372" s="170"/>
      <c r="K372" s="170"/>
      <c r="L372" s="170"/>
      <c r="M372" s="730"/>
      <c r="N372" s="730"/>
      <c r="O372" s="730"/>
      <c r="P372" s="731"/>
      <c r="Q372" s="731"/>
      <c r="R372" s="730"/>
      <c r="S372" s="730"/>
      <c r="T372" s="723"/>
      <c r="U372" s="724"/>
      <c r="V372" s="725"/>
      <c r="W372" s="725"/>
      <c r="X372" s="723"/>
      <c r="Y372" s="723"/>
      <c r="Z372" s="723"/>
      <c r="AA372" s="726"/>
      <c r="AB372" s="726"/>
      <c r="AC372" s="170"/>
      <c r="AD372" s="586"/>
      <c r="AE372" s="586"/>
      <c r="AF372" s="170"/>
      <c r="AG372" s="170"/>
      <c r="AH372" s="170"/>
      <c r="AI372" s="170"/>
      <c r="AJ372" s="170"/>
      <c r="AK372" s="170"/>
      <c r="AL372" s="170"/>
      <c r="AM372" s="170"/>
      <c r="AN372" s="170"/>
      <c r="AO372" s="170"/>
      <c r="AP372" s="170"/>
      <c r="AQ372" s="170"/>
      <c r="AR372" s="170"/>
      <c r="AS372" s="170"/>
      <c r="AT372" s="170"/>
      <c r="AU372" s="170"/>
      <c r="AV372" s="170"/>
      <c r="AW372" s="170"/>
      <c r="AX372" s="170"/>
    </row>
    <row r="373" spans="1:50" ht="15" x14ac:dyDescent="0.25">
      <c r="A373" s="170"/>
      <c r="B373" s="719"/>
      <c r="C373" s="170"/>
      <c r="D373" s="170"/>
      <c r="E373" s="170"/>
      <c r="F373" s="170"/>
      <c r="G373" s="721"/>
      <c r="H373" s="170"/>
      <c r="I373" s="170"/>
      <c r="J373" s="170"/>
      <c r="K373" s="170"/>
      <c r="L373" s="170"/>
      <c r="M373" s="730"/>
      <c r="N373" s="730"/>
      <c r="O373" s="730"/>
      <c r="P373" s="731"/>
      <c r="Q373" s="731"/>
      <c r="R373" s="730"/>
      <c r="S373" s="730"/>
      <c r="T373" s="723"/>
      <c r="U373" s="724"/>
      <c r="V373" s="725"/>
      <c r="W373" s="725"/>
      <c r="X373" s="723"/>
      <c r="Y373" s="723"/>
      <c r="Z373" s="723"/>
      <c r="AA373" s="726"/>
      <c r="AB373" s="726"/>
      <c r="AC373" s="170"/>
      <c r="AD373" s="586"/>
      <c r="AE373" s="586"/>
      <c r="AF373" s="170"/>
      <c r="AG373" s="170"/>
      <c r="AH373" s="170"/>
      <c r="AI373" s="170"/>
      <c r="AJ373" s="170"/>
      <c r="AK373" s="170"/>
      <c r="AL373" s="170"/>
      <c r="AM373" s="170"/>
      <c r="AN373" s="170"/>
      <c r="AO373" s="170"/>
      <c r="AP373" s="170"/>
      <c r="AQ373" s="170"/>
      <c r="AR373" s="170"/>
      <c r="AS373" s="170"/>
      <c r="AT373" s="170"/>
      <c r="AU373" s="170"/>
      <c r="AV373" s="170"/>
      <c r="AW373" s="170"/>
      <c r="AX373" s="170"/>
    </row>
    <row r="374" spans="1:50" ht="15" x14ac:dyDescent="0.25">
      <c r="A374" s="170"/>
      <c r="B374" s="719"/>
      <c r="C374" s="170"/>
      <c r="D374" s="170"/>
      <c r="E374" s="170"/>
      <c r="F374" s="170"/>
      <c r="G374" s="721"/>
      <c r="H374" s="170"/>
      <c r="I374" s="170"/>
      <c r="J374" s="170"/>
      <c r="K374" s="170"/>
      <c r="L374" s="170"/>
      <c r="M374" s="730"/>
      <c r="N374" s="730"/>
      <c r="O374" s="730"/>
      <c r="P374" s="731"/>
      <c r="Q374" s="731"/>
      <c r="R374" s="730"/>
      <c r="S374" s="730"/>
      <c r="T374" s="723"/>
      <c r="U374" s="724"/>
      <c r="V374" s="725"/>
      <c r="W374" s="725"/>
      <c r="X374" s="723"/>
      <c r="Y374" s="723"/>
      <c r="Z374" s="723"/>
      <c r="AA374" s="726"/>
      <c r="AB374" s="726"/>
      <c r="AC374" s="170"/>
      <c r="AD374" s="586"/>
      <c r="AE374" s="586"/>
      <c r="AF374" s="170"/>
      <c r="AG374" s="170"/>
      <c r="AH374" s="170"/>
      <c r="AI374" s="170"/>
      <c r="AJ374" s="170"/>
      <c r="AK374" s="170"/>
      <c r="AL374" s="170"/>
      <c r="AM374" s="170"/>
      <c r="AN374" s="170"/>
      <c r="AO374" s="170"/>
      <c r="AP374" s="170"/>
      <c r="AQ374" s="170"/>
      <c r="AR374" s="170"/>
      <c r="AS374" s="170"/>
      <c r="AT374" s="170"/>
      <c r="AU374" s="170"/>
      <c r="AV374" s="170"/>
      <c r="AW374" s="170"/>
      <c r="AX374" s="170"/>
    </row>
    <row r="375" spans="1:50" ht="15" x14ac:dyDescent="0.25">
      <c r="A375" s="170"/>
      <c r="B375" s="719"/>
      <c r="C375" s="170"/>
      <c r="D375" s="170"/>
      <c r="E375" s="170"/>
      <c r="F375" s="170"/>
      <c r="G375" s="721"/>
      <c r="H375" s="170"/>
      <c r="I375" s="170"/>
      <c r="J375" s="170"/>
      <c r="K375" s="170"/>
      <c r="L375" s="170"/>
      <c r="M375" s="730"/>
      <c r="N375" s="730"/>
      <c r="O375" s="730"/>
      <c r="P375" s="731"/>
      <c r="Q375" s="731"/>
      <c r="R375" s="730"/>
      <c r="S375" s="730"/>
      <c r="T375" s="723"/>
      <c r="U375" s="724"/>
      <c r="V375" s="725"/>
      <c r="W375" s="725"/>
      <c r="X375" s="723"/>
      <c r="Y375" s="723"/>
      <c r="Z375" s="723"/>
      <c r="AA375" s="726"/>
      <c r="AB375" s="726"/>
      <c r="AC375" s="170"/>
      <c r="AD375" s="586"/>
      <c r="AE375" s="586"/>
      <c r="AF375" s="170"/>
      <c r="AG375" s="170"/>
      <c r="AH375" s="170"/>
      <c r="AI375" s="170"/>
      <c r="AJ375" s="170"/>
      <c r="AK375" s="170"/>
      <c r="AL375" s="170"/>
      <c r="AM375" s="170"/>
      <c r="AN375" s="170"/>
      <c r="AO375" s="170"/>
      <c r="AP375" s="170"/>
      <c r="AQ375" s="170"/>
      <c r="AR375" s="170"/>
      <c r="AS375" s="170"/>
      <c r="AT375" s="170"/>
      <c r="AU375" s="170"/>
      <c r="AV375" s="170"/>
      <c r="AW375" s="170"/>
      <c r="AX375" s="170"/>
    </row>
    <row r="376" spans="1:50" ht="15" x14ac:dyDescent="0.25">
      <c r="A376" s="170"/>
      <c r="B376" s="719"/>
      <c r="C376" s="170"/>
      <c r="D376" s="170"/>
      <c r="E376" s="170"/>
      <c r="F376" s="170"/>
      <c r="G376" s="721"/>
      <c r="H376" s="170"/>
      <c r="I376" s="170"/>
      <c r="J376" s="170"/>
      <c r="K376" s="170"/>
      <c r="L376" s="170"/>
      <c r="M376" s="730"/>
      <c r="N376" s="730"/>
      <c r="O376" s="730"/>
      <c r="P376" s="731"/>
      <c r="Q376" s="731"/>
      <c r="R376" s="730"/>
      <c r="S376" s="730"/>
      <c r="T376" s="723"/>
      <c r="U376" s="724"/>
      <c r="V376" s="725"/>
      <c r="W376" s="725"/>
      <c r="X376" s="723"/>
      <c r="Y376" s="723"/>
      <c r="Z376" s="723"/>
      <c r="AA376" s="726"/>
      <c r="AB376" s="726"/>
      <c r="AC376" s="170"/>
      <c r="AD376" s="586"/>
      <c r="AE376" s="586"/>
      <c r="AF376" s="170"/>
      <c r="AG376" s="170"/>
      <c r="AH376" s="170"/>
      <c r="AI376" s="170"/>
      <c r="AJ376" s="170"/>
      <c r="AK376" s="170"/>
      <c r="AL376" s="170"/>
      <c r="AM376" s="170"/>
      <c r="AN376" s="170"/>
      <c r="AO376" s="170"/>
      <c r="AP376" s="170"/>
      <c r="AQ376" s="170"/>
      <c r="AR376" s="170"/>
      <c r="AS376" s="170"/>
      <c r="AT376" s="170"/>
      <c r="AU376" s="170"/>
      <c r="AV376" s="170"/>
      <c r="AW376" s="170"/>
      <c r="AX376" s="170"/>
    </row>
    <row r="377" spans="1:50" ht="15" x14ac:dyDescent="0.25">
      <c r="A377" s="170"/>
      <c r="B377" s="719"/>
      <c r="C377" s="170"/>
      <c r="D377" s="170"/>
      <c r="E377" s="170"/>
      <c r="F377" s="170"/>
      <c r="G377" s="721"/>
      <c r="H377" s="170"/>
      <c r="I377" s="170"/>
      <c r="J377" s="170"/>
      <c r="K377" s="170"/>
      <c r="L377" s="170"/>
      <c r="M377" s="730"/>
      <c r="N377" s="730"/>
      <c r="O377" s="730"/>
      <c r="P377" s="731"/>
      <c r="Q377" s="731"/>
      <c r="R377" s="730"/>
      <c r="S377" s="730"/>
      <c r="T377" s="723"/>
      <c r="U377" s="724"/>
      <c r="V377" s="725"/>
      <c r="W377" s="725"/>
      <c r="X377" s="723"/>
      <c r="Y377" s="723"/>
      <c r="Z377" s="723"/>
      <c r="AA377" s="726"/>
      <c r="AB377" s="726"/>
      <c r="AC377" s="170"/>
      <c r="AD377" s="586"/>
      <c r="AE377" s="586"/>
      <c r="AF377" s="170"/>
      <c r="AG377" s="170"/>
      <c r="AH377" s="170"/>
      <c r="AI377" s="170"/>
      <c r="AJ377" s="170"/>
      <c r="AK377" s="170"/>
      <c r="AL377" s="170"/>
      <c r="AM377" s="170"/>
      <c r="AN377" s="170"/>
      <c r="AO377" s="170"/>
      <c r="AP377" s="170"/>
      <c r="AQ377" s="170"/>
      <c r="AR377" s="170"/>
      <c r="AS377" s="170"/>
      <c r="AT377" s="170"/>
      <c r="AU377" s="170"/>
      <c r="AV377" s="170"/>
      <c r="AW377" s="170"/>
      <c r="AX377" s="170"/>
    </row>
    <row r="378" spans="1:50" ht="15" x14ac:dyDescent="0.25">
      <c r="A378" s="170"/>
      <c r="B378" s="719"/>
      <c r="C378" s="170"/>
      <c r="D378" s="170"/>
      <c r="E378" s="170"/>
      <c r="F378" s="170"/>
      <c r="G378" s="721"/>
      <c r="H378" s="170"/>
      <c r="I378" s="170"/>
      <c r="J378" s="170"/>
      <c r="K378" s="170"/>
      <c r="L378" s="170"/>
      <c r="M378" s="730"/>
      <c r="N378" s="730"/>
      <c r="O378" s="730"/>
      <c r="P378" s="731"/>
      <c r="Q378" s="731"/>
      <c r="R378" s="730"/>
      <c r="S378" s="730"/>
      <c r="T378" s="723"/>
      <c r="U378" s="724"/>
      <c r="V378" s="725"/>
      <c r="W378" s="725"/>
      <c r="X378" s="723"/>
      <c r="Y378" s="723"/>
      <c r="Z378" s="723"/>
      <c r="AA378" s="726"/>
      <c r="AB378" s="726"/>
      <c r="AC378" s="170"/>
      <c r="AD378" s="586"/>
      <c r="AE378" s="586"/>
      <c r="AF378" s="170"/>
      <c r="AG378" s="170"/>
      <c r="AH378" s="170"/>
      <c r="AI378" s="170"/>
      <c r="AJ378" s="170"/>
      <c r="AK378" s="170"/>
      <c r="AL378" s="170"/>
      <c r="AM378" s="170"/>
      <c r="AN378" s="170"/>
      <c r="AO378" s="170"/>
      <c r="AP378" s="170"/>
      <c r="AQ378" s="170"/>
      <c r="AR378" s="170"/>
      <c r="AS378" s="170"/>
      <c r="AT378" s="170"/>
      <c r="AU378" s="170"/>
      <c r="AV378" s="170"/>
      <c r="AW378" s="170"/>
      <c r="AX378" s="170"/>
    </row>
    <row r="379" spans="1:50" ht="15" x14ac:dyDescent="0.25">
      <c r="A379" s="170"/>
      <c r="B379" s="719"/>
      <c r="C379" s="170"/>
      <c r="D379" s="170"/>
      <c r="E379" s="170"/>
      <c r="F379" s="170"/>
      <c r="G379" s="721"/>
      <c r="H379" s="170"/>
      <c r="I379" s="170"/>
      <c r="J379" s="170"/>
      <c r="K379" s="170"/>
      <c r="L379" s="170"/>
      <c r="M379" s="730"/>
      <c r="N379" s="730"/>
      <c r="O379" s="730"/>
      <c r="P379" s="731"/>
      <c r="Q379" s="731"/>
      <c r="R379" s="730"/>
      <c r="S379" s="730"/>
      <c r="T379" s="723"/>
      <c r="U379" s="724"/>
      <c r="V379" s="725"/>
      <c r="W379" s="725"/>
      <c r="X379" s="723"/>
      <c r="Y379" s="723"/>
      <c r="Z379" s="723"/>
      <c r="AA379" s="726"/>
      <c r="AB379" s="726"/>
      <c r="AC379" s="170"/>
      <c r="AD379" s="586"/>
      <c r="AE379" s="586"/>
      <c r="AF379" s="170"/>
      <c r="AG379" s="170"/>
      <c r="AH379" s="170"/>
      <c r="AI379" s="170"/>
      <c r="AJ379" s="170"/>
      <c r="AK379" s="170"/>
      <c r="AL379" s="170"/>
      <c r="AM379" s="170"/>
      <c r="AN379" s="170"/>
      <c r="AO379" s="170"/>
      <c r="AP379" s="170"/>
      <c r="AQ379" s="170"/>
      <c r="AR379" s="170"/>
      <c r="AS379" s="170"/>
      <c r="AT379" s="170"/>
      <c r="AU379" s="170"/>
      <c r="AV379" s="170"/>
      <c r="AW379" s="170"/>
      <c r="AX379" s="170"/>
    </row>
    <row r="380" spans="1:50" ht="15" x14ac:dyDescent="0.25">
      <c r="A380" s="170"/>
      <c r="B380" s="719"/>
      <c r="C380" s="170"/>
      <c r="D380" s="170"/>
      <c r="E380" s="170"/>
      <c r="F380" s="170"/>
      <c r="G380" s="721"/>
      <c r="H380" s="170"/>
      <c r="I380" s="170"/>
      <c r="J380" s="170"/>
      <c r="K380" s="170"/>
      <c r="L380" s="170"/>
      <c r="M380" s="730"/>
      <c r="N380" s="730"/>
      <c r="O380" s="730"/>
      <c r="P380" s="731"/>
      <c r="Q380" s="731"/>
      <c r="R380" s="730"/>
      <c r="S380" s="730"/>
      <c r="T380" s="723"/>
      <c r="U380" s="724"/>
      <c r="V380" s="725"/>
      <c r="W380" s="725"/>
      <c r="X380" s="723"/>
      <c r="Y380" s="723"/>
      <c r="Z380" s="723"/>
      <c r="AA380" s="726"/>
      <c r="AB380" s="726"/>
      <c r="AC380" s="170"/>
      <c r="AD380" s="586"/>
      <c r="AE380" s="586"/>
      <c r="AF380" s="170"/>
      <c r="AG380" s="170"/>
      <c r="AH380" s="170"/>
      <c r="AI380" s="170"/>
      <c r="AJ380" s="170"/>
      <c r="AK380" s="170"/>
      <c r="AL380" s="170"/>
      <c r="AM380" s="170"/>
      <c r="AN380" s="170"/>
      <c r="AO380" s="170"/>
      <c r="AP380" s="170"/>
      <c r="AQ380" s="170"/>
      <c r="AR380" s="170"/>
      <c r="AS380" s="170"/>
      <c r="AT380" s="170"/>
      <c r="AU380" s="170"/>
      <c r="AV380" s="170"/>
      <c r="AW380" s="170"/>
      <c r="AX380" s="170"/>
    </row>
    <row r="381" spans="1:50" ht="15" x14ac:dyDescent="0.25">
      <c r="A381" s="170"/>
      <c r="B381" s="719"/>
      <c r="C381" s="170"/>
      <c r="D381" s="170"/>
      <c r="E381" s="170"/>
      <c r="F381" s="170"/>
      <c r="G381" s="721"/>
      <c r="H381" s="170"/>
      <c r="I381" s="170"/>
      <c r="J381" s="170"/>
      <c r="K381" s="170"/>
      <c r="L381" s="170"/>
      <c r="M381" s="730"/>
      <c r="N381" s="730"/>
      <c r="O381" s="730"/>
      <c r="P381" s="731"/>
      <c r="Q381" s="731"/>
      <c r="R381" s="730"/>
      <c r="S381" s="730"/>
      <c r="T381" s="723"/>
      <c r="U381" s="724"/>
      <c r="V381" s="725"/>
      <c r="W381" s="725"/>
      <c r="X381" s="723"/>
      <c r="Y381" s="723"/>
      <c r="Z381" s="723"/>
      <c r="AA381" s="726"/>
      <c r="AB381" s="726"/>
      <c r="AC381" s="170"/>
      <c r="AD381" s="586"/>
      <c r="AE381" s="586"/>
      <c r="AF381" s="170"/>
      <c r="AG381" s="170"/>
      <c r="AH381" s="170"/>
      <c r="AI381" s="170"/>
      <c r="AJ381" s="170"/>
      <c r="AK381" s="170"/>
      <c r="AL381" s="170"/>
      <c r="AM381" s="170"/>
      <c r="AN381" s="170"/>
      <c r="AO381" s="170"/>
      <c r="AP381" s="170"/>
      <c r="AQ381" s="170"/>
      <c r="AR381" s="170"/>
      <c r="AS381" s="170"/>
      <c r="AT381" s="170"/>
      <c r="AU381" s="170"/>
      <c r="AV381" s="170"/>
      <c r="AW381" s="170"/>
      <c r="AX381" s="170"/>
    </row>
    <row r="382" spans="1:50" ht="15" x14ac:dyDescent="0.25">
      <c r="A382" s="170"/>
      <c r="B382" s="719"/>
      <c r="C382" s="170"/>
      <c r="D382" s="170"/>
      <c r="E382" s="170"/>
      <c r="F382" s="170"/>
      <c r="G382" s="721"/>
      <c r="H382" s="170"/>
      <c r="I382" s="170"/>
      <c r="J382" s="170"/>
      <c r="K382" s="170"/>
      <c r="L382" s="170"/>
      <c r="M382" s="730"/>
      <c r="N382" s="730"/>
      <c r="O382" s="730"/>
      <c r="P382" s="731"/>
      <c r="Q382" s="731"/>
      <c r="R382" s="730"/>
      <c r="S382" s="730"/>
      <c r="T382" s="723"/>
      <c r="U382" s="724"/>
      <c r="V382" s="725"/>
      <c r="W382" s="725"/>
      <c r="X382" s="723"/>
      <c r="Y382" s="723"/>
      <c r="Z382" s="723"/>
      <c r="AA382" s="726"/>
      <c r="AB382" s="726"/>
      <c r="AC382" s="170"/>
      <c r="AD382" s="586"/>
      <c r="AE382" s="586"/>
      <c r="AF382" s="170"/>
      <c r="AG382" s="170"/>
      <c r="AH382" s="170"/>
      <c r="AI382" s="170"/>
      <c r="AJ382" s="170"/>
      <c r="AK382" s="170"/>
      <c r="AL382" s="170"/>
      <c r="AM382" s="170"/>
      <c r="AN382" s="170"/>
      <c r="AO382" s="170"/>
      <c r="AP382" s="170"/>
      <c r="AQ382" s="170"/>
      <c r="AR382" s="170"/>
      <c r="AS382" s="170"/>
      <c r="AT382" s="170"/>
      <c r="AU382" s="170"/>
      <c r="AV382" s="170"/>
      <c r="AW382" s="170"/>
      <c r="AX382" s="170"/>
    </row>
    <row r="383" spans="1:50" ht="15" x14ac:dyDescent="0.25">
      <c r="A383" s="170"/>
      <c r="B383" s="719"/>
      <c r="C383" s="170"/>
      <c r="D383" s="170"/>
      <c r="E383" s="170"/>
      <c r="F383" s="170"/>
      <c r="G383" s="721"/>
      <c r="H383" s="170"/>
      <c r="I383" s="170"/>
      <c r="J383" s="170"/>
      <c r="K383" s="170"/>
      <c r="L383" s="170"/>
      <c r="M383" s="730"/>
      <c r="N383" s="730"/>
      <c r="O383" s="730"/>
      <c r="P383" s="731"/>
      <c r="Q383" s="731"/>
      <c r="R383" s="730"/>
      <c r="S383" s="730"/>
      <c r="T383" s="723"/>
      <c r="U383" s="724"/>
      <c r="V383" s="725"/>
      <c r="W383" s="725"/>
      <c r="X383" s="723"/>
      <c r="Y383" s="723"/>
      <c r="Z383" s="723"/>
      <c r="AA383" s="726"/>
      <c r="AB383" s="726"/>
      <c r="AC383" s="170"/>
      <c r="AD383" s="586"/>
      <c r="AE383" s="586"/>
      <c r="AF383" s="170"/>
      <c r="AG383" s="170"/>
      <c r="AH383" s="170"/>
      <c r="AI383" s="170"/>
      <c r="AJ383" s="170"/>
      <c r="AK383" s="170"/>
      <c r="AL383" s="170"/>
      <c r="AM383" s="170"/>
      <c r="AN383" s="170"/>
      <c r="AO383" s="170"/>
      <c r="AP383" s="170"/>
      <c r="AQ383" s="170"/>
      <c r="AR383" s="170"/>
      <c r="AS383" s="170"/>
      <c r="AT383" s="170"/>
      <c r="AU383" s="170"/>
      <c r="AV383" s="170"/>
      <c r="AW383" s="170"/>
      <c r="AX383" s="170"/>
    </row>
    <row r="384" spans="1:50" ht="15" x14ac:dyDescent="0.25">
      <c r="A384" s="170"/>
      <c r="B384" s="719"/>
      <c r="C384" s="170"/>
      <c r="D384" s="170"/>
      <c r="E384" s="170"/>
      <c r="F384" s="170"/>
      <c r="G384" s="721"/>
      <c r="H384" s="170"/>
      <c r="I384" s="170"/>
      <c r="J384" s="170"/>
      <c r="K384" s="170"/>
      <c r="L384" s="170"/>
      <c r="M384" s="730"/>
      <c r="N384" s="730"/>
      <c r="O384" s="730"/>
      <c r="P384" s="731"/>
      <c r="Q384" s="731"/>
      <c r="R384" s="730"/>
      <c r="S384" s="730"/>
      <c r="T384" s="723"/>
      <c r="U384" s="724"/>
      <c r="V384" s="725"/>
      <c r="W384" s="725"/>
      <c r="X384" s="723"/>
      <c r="Y384" s="723"/>
      <c r="Z384" s="723"/>
      <c r="AA384" s="726"/>
      <c r="AB384" s="726"/>
      <c r="AC384" s="170"/>
      <c r="AD384" s="586"/>
      <c r="AE384" s="586"/>
      <c r="AF384" s="170"/>
      <c r="AG384" s="170"/>
      <c r="AH384" s="170"/>
      <c r="AI384" s="170"/>
      <c r="AJ384" s="170"/>
      <c r="AK384" s="170"/>
      <c r="AL384" s="170"/>
      <c r="AM384" s="170"/>
      <c r="AN384" s="170"/>
      <c r="AO384" s="170"/>
      <c r="AP384" s="170"/>
      <c r="AQ384" s="170"/>
      <c r="AR384" s="170"/>
      <c r="AS384" s="170"/>
      <c r="AT384" s="170"/>
      <c r="AU384" s="170"/>
      <c r="AV384" s="170"/>
      <c r="AW384" s="170"/>
      <c r="AX384" s="170"/>
    </row>
    <row r="385" spans="1:50" ht="15" x14ac:dyDescent="0.25">
      <c r="A385" s="170"/>
      <c r="B385" s="719"/>
      <c r="C385" s="170"/>
      <c r="D385" s="170"/>
      <c r="E385" s="170"/>
      <c r="F385" s="170"/>
      <c r="G385" s="721"/>
      <c r="H385" s="170"/>
      <c r="I385" s="170"/>
      <c r="J385" s="170"/>
      <c r="K385" s="170"/>
      <c r="L385" s="170"/>
      <c r="M385" s="730"/>
      <c r="N385" s="730"/>
      <c r="O385" s="730"/>
      <c r="P385" s="731"/>
      <c r="Q385" s="731"/>
      <c r="R385" s="730"/>
      <c r="S385" s="730"/>
      <c r="T385" s="723"/>
      <c r="U385" s="724"/>
      <c r="V385" s="725"/>
      <c r="W385" s="725"/>
      <c r="X385" s="723"/>
      <c r="Y385" s="723"/>
      <c r="Z385" s="723"/>
      <c r="AA385" s="726"/>
      <c r="AB385" s="726"/>
      <c r="AC385" s="170"/>
      <c r="AD385" s="586"/>
      <c r="AE385" s="586"/>
      <c r="AF385" s="170"/>
      <c r="AG385" s="170"/>
      <c r="AH385" s="170"/>
      <c r="AI385" s="170"/>
      <c r="AJ385" s="170"/>
      <c r="AK385" s="170"/>
      <c r="AL385" s="170"/>
      <c r="AM385" s="170"/>
      <c r="AN385" s="170"/>
      <c r="AO385" s="170"/>
      <c r="AP385" s="170"/>
      <c r="AQ385" s="170"/>
      <c r="AR385" s="170"/>
      <c r="AS385" s="170"/>
      <c r="AT385" s="170"/>
      <c r="AU385" s="170"/>
      <c r="AV385" s="170"/>
      <c r="AW385" s="170"/>
      <c r="AX385" s="170"/>
    </row>
    <row r="386" spans="1:50" ht="15" x14ac:dyDescent="0.25">
      <c r="A386" s="170"/>
      <c r="B386" s="719"/>
      <c r="C386" s="170"/>
      <c r="D386" s="170"/>
      <c r="E386" s="170"/>
      <c r="F386" s="170"/>
      <c r="G386" s="721"/>
      <c r="H386" s="170"/>
      <c r="I386" s="170"/>
      <c r="J386" s="170"/>
      <c r="K386" s="170"/>
      <c r="L386" s="170"/>
      <c r="M386" s="730"/>
      <c r="N386" s="730"/>
      <c r="O386" s="730"/>
      <c r="P386" s="731"/>
      <c r="Q386" s="731"/>
      <c r="R386" s="730"/>
      <c r="S386" s="730"/>
      <c r="T386" s="723"/>
      <c r="U386" s="724"/>
      <c r="V386" s="725"/>
      <c r="W386" s="725"/>
      <c r="X386" s="723"/>
      <c r="Y386" s="723"/>
      <c r="Z386" s="723"/>
      <c r="AA386" s="726"/>
      <c r="AB386" s="726"/>
      <c r="AC386" s="170"/>
      <c r="AD386" s="586"/>
      <c r="AE386" s="586"/>
      <c r="AF386" s="170"/>
      <c r="AG386" s="170"/>
      <c r="AH386" s="170"/>
      <c r="AI386" s="170"/>
      <c r="AJ386" s="170"/>
      <c r="AK386" s="170"/>
      <c r="AL386" s="170"/>
      <c r="AM386" s="170"/>
      <c r="AN386" s="170"/>
      <c r="AO386" s="170"/>
      <c r="AP386" s="170"/>
      <c r="AQ386" s="170"/>
      <c r="AR386" s="170"/>
      <c r="AS386" s="170"/>
      <c r="AT386" s="170"/>
      <c r="AU386" s="170"/>
      <c r="AV386" s="170"/>
      <c r="AW386" s="170"/>
      <c r="AX386" s="170"/>
    </row>
    <row r="387" spans="1:50" ht="15" x14ac:dyDescent="0.25">
      <c r="A387" s="170"/>
      <c r="B387" s="719"/>
      <c r="C387" s="170"/>
      <c r="D387" s="170"/>
      <c r="E387" s="170"/>
      <c r="F387" s="170"/>
      <c r="G387" s="721"/>
      <c r="H387" s="170"/>
      <c r="I387" s="170"/>
      <c r="J387" s="170"/>
      <c r="K387" s="170"/>
      <c r="L387" s="170"/>
      <c r="M387" s="730"/>
      <c r="N387" s="730"/>
      <c r="O387" s="730"/>
      <c r="P387" s="731"/>
      <c r="Q387" s="731"/>
      <c r="R387" s="730"/>
      <c r="S387" s="730"/>
      <c r="T387" s="723"/>
      <c r="U387" s="724"/>
      <c r="V387" s="725"/>
      <c r="W387" s="725"/>
      <c r="X387" s="723"/>
      <c r="Y387" s="723"/>
      <c r="Z387" s="723"/>
      <c r="AA387" s="726"/>
      <c r="AB387" s="726"/>
      <c r="AC387" s="170"/>
      <c r="AD387" s="586"/>
      <c r="AE387" s="586"/>
      <c r="AF387" s="170"/>
      <c r="AG387" s="170"/>
      <c r="AH387" s="170"/>
      <c r="AI387" s="170"/>
      <c r="AJ387" s="170"/>
      <c r="AK387" s="170"/>
      <c r="AL387" s="170"/>
      <c r="AM387" s="170"/>
      <c r="AN387" s="170"/>
      <c r="AO387" s="170"/>
      <c r="AP387" s="170"/>
      <c r="AQ387" s="170"/>
      <c r="AR387" s="170"/>
      <c r="AS387" s="170"/>
      <c r="AT387" s="170"/>
      <c r="AU387" s="170"/>
      <c r="AV387" s="170"/>
      <c r="AW387" s="170"/>
      <c r="AX387" s="170"/>
    </row>
    <row r="388" spans="1:50" ht="15" x14ac:dyDescent="0.25">
      <c r="A388" s="170"/>
      <c r="B388" s="719"/>
      <c r="C388" s="170"/>
      <c r="D388" s="170"/>
      <c r="E388" s="170"/>
      <c r="F388" s="170"/>
      <c r="G388" s="721"/>
      <c r="H388" s="170"/>
      <c r="I388" s="170"/>
      <c r="J388" s="170"/>
      <c r="K388" s="170"/>
      <c r="L388" s="170"/>
      <c r="M388" s="730"/>
      <c r="N388" s="730"/>
      <c r="O388" s="730"/>
      <c r="P388" s="731"/>
      <c r="Q388" s="731"/>
      <c r="R388" s="730"/>
      <c r="S388" s="730"/>
      <c r="T388" s="723"/>
      <c r="U388" s="724"/>
      <c r="V388" s="725"/>
      <c r="W388" s="725"/>
      <c r="X388" s="723"/>
      <c r="Y388" s="723"/>
      <c r="Z388" s="723"/>
      <c r="AA388" s="726"/>
      <c r="AB388" s="726"/>
      <c r="AC388" s="170"/>
      <c r="AD388" s="586"/>
      <c r="AE388" s="586"/>
      <c r="AF388" s="170"/>
      <c r="AG388" s="170"/>
      <c r="AH388" s="170"/>
      <c r="AI388" s="170"/>
      <c r="AJ388" s="170"/>
      <c r="AK388" s="170"/>
      <c r="AL388" s="170"/>
      <c r="AM388" s="170"/>
      <c r="AN388" s="170"/>
      <c r="AO388" s="170"/>
      <c r="AP388" s="170"/>
      <c r="AQ388" s="170"/>
      <c r="AR388" s="170"/>
      <c r="AS388" s="170"/>
      <c r="AT388" s="170"/>
      <c r="AU388" s="170"/>
      <c r="AV388" s="170"/>
      <c r="AW388" s="170"/>
      <c r="AX388" s="170"/>
    </row>
    <row r="389" spans="1:50" ht="15" x14ac:dyDescent="0.25">
      <c r="A389" s="170"/>
      <c r="B389" s="719"/>
      <c r="C389" s="170"/>
      <c r="D389" s="170"/>
      <c r="E389" s="170"/>
      <c r="F389" s="170"/>
      <c r="G389" s="721"/>
      <c r="H389" s="170"/>
      <c r="I389" s="170"/>
      <c r="J389" s="170"/>
      <c r="K389" s="170"/>
      <c r="L389" s="170"/>
      <c r="M389" s="730"/>
      <c r="N389" s="730"/>
      <c r="O389" s="730"/>
      <c r="P389" s="731"/>
      <c r="Q389" s="731"/>
      <c r="R389" s="730"/>
      <c r="S389" s="730"/>
      <c r="T389" s="723"/>
      <c r="U389" s="724"/>
      <c r="V389" s="725"/>
      <c r="W389" s="725"/>
      <c r="X389" s="723"/>
      <c r="Y389" s="723"/>
      <c r="Z389" s="723"/>
      <c r="AA389" s="726"/>
      <c r="AB389" s="726"/>
      <c r="AC389" s="170"/>
      <c r="AD389" s="586"/>
      <c r="AE389" s="586"/>
      <c r="AF389" s="170"/>
      <c r="AG389" s="170"/>
      <c r="AH389" s="170"/>
      <c r="AI389" s="170"/>
      <c r="AJ389" s="170"/>
      <c r="AK389" s="170"/>
      <c r="AL389" s="170"/>
      <c r="AM389" s="170"/>
      <c r="AN389" s="170"/>
      <c r="AO389" s="170"/>
      <c r="AP389" s="170"/>
      <c r="AQ389" s="170"/>
      <c r="AR389" s="170"/>
      <c r="AS389" s="170"/>
      <c r="AT389" s="170"/>
      <c r="AU389" s="170"/>
      <c r="AV389" s="170"/>
      <c r="AW389" s="170"/>
      <c r="AX389" s="170"/>
    </row>
    <row r="390" spans="1:50" ht="15" x14ac:dyDescent="0.25">
      <c r="A390" s="170"/>
      <c r="B390" s="719"/>
      <c r="C390" s="170"/>
      <c r="D390" s="170"/>
      <c r="E390" s="170"/>
      <c r="F390" s="170"/>
      <c r="G390" s="721"/>
      <c r="H390" s="170"/>
      <c r="I390" s="170"/>
      <c r="J390" s="170"/>
      <c r="K390" s="170"/>
      <c r="L390" s="170"/>
      <c r="M390" s="730"/>
      <c r="N390" s="730"/>
      <c r="O390" s="730"/>
      <c r="P390" s="731"/>
      <c r="Q390" s="731"/>
      <c r="R390" s="730"/>
      <c r="S390" s="730"/>
      <c r="T390" s="723"/>
      <c r="U390" s="724"/>
      <c r="V390" s="725"/>
      <c r="W390" s="725"/>
      <c r="X390" s="723"/>
      <c r="Y390" s="723"/>
      <c r="Z390" s="723"/>
      <c r="AA390" s="726"/>
      <c r="AB390" s="726"/>
      <c r="AC390" s="170"/>
      <c r="AD390" s="586"/>
      <c r="AE390" s="586"/>
      <c r="AF390" s="170"/>
      <c r="AG390" s="170"/>
      <c r="AH390" s="170"/>
      <c r="AI390" s="170"/>
      <c r="AJ390" s="170"/>
      <c r="AK390" s="170"/>
      <c r="AL390" s="170"/>
      <c r="AM390" s="170"/>
      <c r="AN390" s="170"/>
      <c r="AO390" s="170"/>
      <c r="AP390" s="170"/>
      <c r="AQ390" s="170"/>
      <c r="AR390" s="170"/>
      <c r="AS390" s="170"/>
      <c r="AT390" s="170"/>
      <c r="AU390" s="170"/>
      <c r="AV390" s="170"/>
      <c r="AW390" s="170"/>
      <c r="AX390" s="170"/>
    </row>
    <row r="391" spans="1:50" ht="15" x14ac:dyDescent="0.25">
      <c r="A391" s="170"/>
      <c r="B391" s="719"/>
      <c r="C391" s="170"/>
      <c r="D391" s="170"/>
      <c r="E391" s="170"/>
      <c r="F391" s="170"/>
      <c r="G391" s="721"/>
      <c r="H391" s="170"/>
      <c r="I391" s="170"/>
      <c r="J391" s="170"/>
      <c r="K391" s="170"/>
      <c r="L391" s="170"/>
      <c r="M391" s="730"/>
      <c r="N391" s="730"/>
      <c r="O391" s="730"/>
      <c r="P391" s="731"/>
      <c r="Q391" s="731"/>
      <c r="R391" s="730"/>
      <c r="S391" s="730"/>
      <c r="T391" s="723"/>
      <c r="U391" s="724"/>
      <c r="V391" s="725"/>
      <c r="W391" s="725"/>
      <c r="X391" s="723"/>
      <c r="Y391" s="723"/>
      <c r="Z391" s="723"/>
      <c r="AA391" s="726"/>
      <c r="AB391" s="726"/>
      <c r="AC391" s="170"/>
      <c r="AD391" s="586"/>
      <c r="AE391" s="586"/>
      <c r="AF391" s="170"/>
      <c r="AG391" s="170"/>
      <c r="AH391" s="170"/>
      <c r="AI391" s="170"/>
      <c r="AJ391" s="170"/>
      <c r="AK391" s="170"/>
      <c r="AL391" s="170"/>
      <c r="AM391" s="170"/>
      <c r="AN391" s="170"/>
      <c r="AO391" s="170"/>
      <c r="AP391" s="170"/>
      <c r="AQ391" s="170"/>
      <c r="AR391" s="170"/>
      <c r="AS391" s="170"/>
      <c r="AT391" s="170"/>
      <c r="AU391" s="170"/>
      <c r="AV391" s="170"/>
      <c r="AW391" s="170"/>
      <c r="AX391" s="170"/>
    </row>
    <row r="392" spans="1:50" ht="15" x14ac:dyDescent="0.25">
      <c r="A392" s="170"/>
      <c r="B392" s="719"/>
      <c r="C392" s="170"/>
      <c r="D392" s="170"/>
      <c r="E392" s="170"/>
      <c r="F392" s="170"/>
      <c r="G392" s="721"/>
      <c r="H392" s="170"/>
      <c r="I392" s="170"/>
      <c r="J392" s="170"/>
      <c r="K392" s="170"/>
      <c r="L392" s="170"/>
      <c r="M392" s="730"/>
      <c r="N392" s="730"/>
      <c r="O392" s="730"/>
      <c r="P392" s="731"/>
      <c r="Q392" s="731"/>
      <c r="R392" s="730"/>
      <c r="S392" s="730"/>
      <c r="T392" s="723"/>
      <c r="U392" s="724"/>
      <c r="V392" s="725"/>
      <c r="W392" s="725"/>
      <c r="X392" s="723"/>
      <c r="Y392" s="723"/>
      <c r="Z392" s="723"/>
      <c r="AA392" s="726"/>
      <c r="AB392" s="726"/>
      <c r="AC392" s="170"/>
      <c r="AD392" s="586"/>
      <c r="AE392" s="586"/>
      <c r="AF392" s="170"/>
      <c r="AG392" s="170"/>
      <c r="AH392" s="170"/>
      <c r="AI392" s="170"/>
      <c r="AJ392" s="170"/>
      <c r="AK392" s="170"/>
      <c r="AL392" s="170"/>
      <c r="AM392" s="170"/>
      <c r="AN392" s="170"/>
      <c r="AO392" s="170"/>
      <c r="AP392" s="170"/>
      <c r="AQ392" s="170"/>
      <c r="AR392" s="170"/>
      <c r="AS392" s="170"/>
      <c r="AT392" s="170"/>
      <c r="AU392" s="170"/>
      <c r="AV392" s="170"/>
      <c r="AW392" s="170"/>
      <c r="AX392" s="170"/>
    </row>
    <row r="393" spans="1:50" ht="15" x14ac:dyDescent="0.25">
      <c r="A393" s="170"/>
      <c r="B393" s="719"/>
      <c r="C393" s="170"/>
      <c r="D393" s="170"/>
      <c r="E393" s="170"/>
      <c r="F393" s="170"/>
      <c r="G393" s="721"/>
      <c r="H393" s="170"/>
      <c r="I393" s="170"/>
      <c r="J393" s="170"/>
      <c r="K393" s="170"/>
      <c r="L393" s="170"/>
      <c r="M393" s="730"/>
      <c r="N393" s="730"/>
      <c r="O393" s="730"/>
      <c r="P393" s="731"/>
      <c r="Q393" s="731"/>
      <c r="R393" s="730"/>
      <c r="S393" s="730"/>
      <c r="T393" s="723"/>
      <c r="U393" s="724"/>
      <c r="V393" s="725"/>
      <c r="W393" s="725"/>
      <c r="X393" s="723"/>
      <c r="Y393" s="723"/>
      <c r="Z393" s="723"/>
      <c r="AA393" s="726"/>
      <c r="AB393" s="726"/>
      <c r="AC393" s="170"/>
      <c r="AD393" s="586"/>
      <c r="AE393" s="586"/>
      <c r="AF393" s="170"/>
      <c r="AG393" s="170"/>
      <c r="AH393" s="170"/>
      <c r="AI393" s="170"/>
      <c r="AJ393" s="170"/>
      <c r="AK393" s="170"/>
      <c r="AL393" s="170"/>
      <c r="AM393" s="170"/>
      <c r="AN393" s="170"/>
      <c r="AO393" s="170"/>
      <c r="AP393" s="170"/>
      <c r="AQ393" s="170"/>
      <c r="AR393" s="170"/>
      <c r="AS393" s="170"/>
      <c r="AT393" s="170"/>
      <c r="AU393" s="170"/>
      <c r="AV393" s="170"/>
      <c r="AW393" s="170"/>
      <c r="AX393" s="170"/>
    </row>
    <row r="394" spans="1:50" ht="15" x14ac:dyDescent="0.25">
      <c r="A394" s="170"/>
      <c r="B394" s="719"/>
      <c r="C394" s="170"/>
      <c r="D394" s="170"/>
      <c r="E394" s="170"/>
      <c r="F394" s="170"/>
      <c r="G394" s="721"/>
      <c r="H394" s="170"/>
      <c r="I394" s="170"/>
      <c r="J394" s="170"/>
      <c r="K394" s="170"/>
      <c r="L394" s="170"/>
      <c r="M394" s="730"/>
      <c r="N394" s="730"/>
      <c r="O394" s="730"/>
      <c r="P394" s="731"/>
      <c r="Q394" s="731"/>
      <c r="R394" s="730"/>
      <c r="S394" s="730"/>
      <c r="T394" s="723"/>
      <c r="U394" s="724"/>
      <c r="V394" s="725"/>
      <c r="W394" s="725"/>
      <c r="X394" s="723"/>
      <c r="Y394" s="723"/>
      <c r="Z394" s="723"/>
      <c r="AA394" s="726"/>
      <c r="AB394" s="726"/>
      <c r="AC394" s="170"/>
      <c r="AD394" s="586"/>
      <c r="AE394" s="586"/>
      <c r="AF394" s="170"/>
      <c r="AG394" s="170"/>
      <c r="AH394" s="170"/>
      <c r="AI394" s="170"/>
      <c r="AJ394" s="170"/>
      <c r="AK394" s="170"/>
      <c r="AL394" s="170"/>
      <c r="AM394" s="170"/>
      <c r="AN394" s="170"/>
      <c r="AO394" s="170"/>
      <c r="AP394" s="170"/>
      <c r="AQ394" s="170"/>
      <c r="AR394" s="170"/>
      <c r="AS394" s="170"/>
      <c r="AT394" s="170"/>
      <c r="AU394" s="170"/>
      <c r="AV394" s="170"/>
      <c r="AW394" s="170"/>
      <c r="AX394" s="170"/>
    </row>
    <row r="395" spans="1:50" ht="15" x14ac:dyDescent="0.25">
      <c r="A395" s="170"/>
      <c r="B395" s="719"/>
      <c r="C395" s="170"/>
      <c r="D395" s="170"/>
      <c r="E395" s="170"/>
      <c r="F395" s="170"/>
      <c r="G395" s="721"/>
      <c r="H395" s="170"/>
      <c r="I395" s="170"/>
      <c r="J395" s="170"/>
      <c r="K395" s="170"/>
      <c r="L395" s="170"/>
      <c r="M395" s="730"/>
      <c r="N395" s="730"/>
      <c r="O395" s="730"/>
      <c r="P395" s="731"/>
      <c r="Q395" s="731"/>
      <c r="R395" s="730"/>
      <c r="S395" s="730"/>
      <c r="T395" s="723"/>
      <c r="U395" s="724"/>
      <c r="V395" s="725"/>
      <c r="W395" s="725"/>
      <c r="X395" s="723"/>
      <c r="Y395" s="723"/>
      <c r="Z395" s="723"/>
      <c r="AA395" s="726"/>
      <c r="AB395" s="726"/>
      <c r="AC395" s="170"/>
      <c r="AD395" s="586"/>
      <c r="AE395" s="586"/>
      <c r="AF395" s="170"/>
      <c r="AG395" s="170"/>
      <c r="AH395" s="170"/>
      <c r="AI395" s="170"/>
      <c r="AJ395" s="170"/>
      <c r="AK395" s="170"/>
      <c r="AL395" s="170"/>
      <c r="AM395" s="170"/>
      <c r="AN395" s="170"/>
      <c r="AO395" s="170"/>
      <c r="AP395" s="170"/>
      <c r="AQ395" s="170"/>
      <c r="AR395" s="170"/>
      <c r="AS395" s="170"/>
      <c r="AT395" s="170"/>
      <c r="AU395" s="170"/>
      <c r="AV395" s="170"/>
      <c r="AW395" s="170"/>
      <c r="AX395" s="170"/>
    </row>
    <row r="396" spans="1:50" ht="15" x14ac:dyDescent="0.25">
      <c r="A396" s="170"/>
      <c r="B396" s="719"/>
      <c r="C396" s="170"/>
      <c r="D396" s="170"/>
      <c r="E396" s="170"/>
      <c r="F396" s="170"/>
      <c r="G396" s="721"/>
      <c r="H396" s="170"/>
      <c r="I396" s="170"/>
      <c r="J396" s="170"/>
      <c r="K396" s="170"/>
      <c r="L396" s="170"/>
      <c r="M396" s="730"/>
      <c r="N396" s="730"/>
      <c r="O396" s="730"/>
      <c r="P396" s="731"/>
      <c r="Q396" s="731"/>
      <c r="R396" s="730"/>
      <c r="S396" s="730"/>
      <c r="T396" s="723"/>
      <c r="U396" s="724"/>
      <c r="V396" s="725"/>
      <c r="W396" s="725"/>
      <c r="X396" s="723"/>
      <c r="Y396" s="723"/>
      <c r="Z396" s="723"/>
      <c r="AA396" s="726"/>
      <c r="AB396" s="726"/>
      <c r="AC396" s="170"/>
      <c r="AD396" s="586"/>
      <c r="AE396" s="586"/>
      <c r="AF396" s="170"/>
      <c r="AG396" s="170"/>
      <c r="AH396" s="170"/>
      <c r="AI396" s="170"/>
      <c r="AJ396" s="170"/>
      <c r="AK396" s="170"/>
      <c r="AL396" s="170"/>
      <c r="AM396" s="170"/>
      <c r="AN396" s="170"/>
      <c r="AO396" s="170"/>
      <c r="AP396" s="170"/>
      <c r="AQ396" s="170"/>
      <c r="AR396" s="170"/>
      <c r="AS396" s="170"/>
      <c r="AT396" s="170"/>
      <c r="AU396" s="170"/>
      <c r="AV396" s="170"/>
      <c r="AW396" s="170"/>
      <c r="AX396" s="170"/>
    </row>
    <row r="397" spans="1:50" ht="15" x14ac:dyDescent="0.25">
      <c r="A397" s="170"/>
      <c r="B397" s="719"/>
      <c r="C397" s="170"/>
      <c r="D397" s="170"/>
      <c r="E397" s="170"/>
      <c r="F397" s="170"/>
      <c r="G397" s="721"/>
      <c r="H397" s="170"/>
      <c r="I397" s="170"/>
      <c r="J397" s="170"/>
      <c r="K397" s="170"/>
      <c r="L397" s="170"/>
      <c r="M397" s="730"/>
      <c r="N397" s="730"/>
      <c r="O397" s="730"/>
      <c r="P397" s="731"/>
      <c r="Q397" s="731"/>
      <c r="R397" s="730"/>
      <c r="S397" s="730"/>
      <c r="T397" s="723"/>
      <c r="U397" s="724"/>
      <c r="V397" s="725"/>
      <c r="W397" s="725"/>
      <c r="X397" s="723"/>
      <c r="Y397" s="723"/>
      <c r="Z397" s="723"/>
      <c r="AA397" s="726"/>
      <c r="AB397" s="726"/>
      <c r="AC397" s="170"/>
      <c r="AD397" s="586"/>
      <c r="AE397" s="586"/>
      <c r="AF397" s="170"/>
      <c r="AG397" s="170"/>
      <c r="AH397" s="170"/>
      <c r="AI397" s="170"/>
      <c r="AJ397" s="170"/>
      <c r="AK397" s="170"/>
      <c r="AL397" s="170"/>
      <c r="AM397" s="170"/>
      <c r="AN397" s="170"/>
      <c r="AO397" s="170"/>
      <c r="AP397" s="170"/>
      <c r="AQ397" s="170"/>
      <c r="AR397" s="170"/>
      <c r="AS397" s="170"/>
      <c r="AT397" s="170"/>
      <c r="AU397" s="170"/>
      <c r="AV397" s="170"/>
      <c r="AW397" s="170"/>
      <c r="AX397" s="170"/>
    </row>
    <row r="398" spans="1:50" ht="15" x14ac:dyDescent="0.25">
      <c r="A398" s="170"/>
      <c r="B398" s="719"/>
      <c r="C398" s="170"/>
      <c r="D398" s="170"/>
      <c r="E398" s="170"/>
      <c r="F398" s="170"/>
      <c r="G398" s="721"/>
      <c r="H398" s="170"/>
      <c r="I398" s="170"/>
      <c r="J398" s="170"/>
      <c r="K398" s="170"/>
      <c r="L398" s="170"/>
      <c r="M398" s="730"/>
      <c r="N398" s="730"/>
      <c r="O398" s="730"/>
      <c r="P398" s="731"/>
      <c r="Q398" s="731"/>
      <c r="R398" s="730"/>
      <c r="S398" s="730"/>
      <c r="T398" s="723"/>
      <c r="U398" s="724"/>
      <c r="V398" s="725"/>
      <c r="W398" s="725"/>
      <c r="X398" s="723"/>
      <c r="Y398" s="723"/>
      <c r="Z398" s="723"/>
      <c r="AA398" s="726"/>
      <c r="AB398" s="726"/>
      <c r="AC398" s="170"/>
      <c r="AD398" s="586"/>
      <c r="AE398" s="586"/>
      <c r="AF398" s="170"/>
      <c r="AG398" s="170"/>
      <c r="AH398" s="170"/>
      <c r="AI398" s="170"/>
      <c r="AJ398" s="170"/>
      <c r="AK398" s="170"/>
      <c r="AL398" s="170"/>
      <c r="AM398" s="170"/>
      <c r="AN398" s="170"/>
      <c r="AO398" s="170"/>
      <c r="AP398" s="170"/>
      <c r="AQ398" s="170"/>
      <c r="AR398" s="170"/>
      <c r="AS398" s="170"/>
      <c r="AT398" s="170"/>
      <c r="AU398" s="170"/>
      <c r="AV398" s="170"/>
      <c r="AW398" s="170"/>
      <c r="AX398" s="170"/>
    </row>
    <row r="399" spans="1:50" ht="15" x14ac:dyDescent="0.25">
      <c r="A399" s="170"/>
      <c r="B399" s="719"/>
      <c r="C399" s="170"/>
      <c r="D399" s="170"/>
      <c r="E399" s="170"/>
      <c r="F399" s="170"/>
      <c r="G399" s="721"/>
      <c r="H399" s="170"/>
      <c r="I399" s="170"/>
      <c r="J399" s="170"/>
      <c r="K399" s="170"/>
      <c r="L399" s="170"/>
      <c r="M399" s="730"/>
      <c r="N399" s="730"/>
      <c r="O399" s="730"/>
      <c r="P399" s="731"/>
      <c r="Q399" s="731"/>
      <c r="R399" s="730"/>
      <c r="S399" s="730"/>
      <c r="T399" s="723"/>
      <c r="U399" s="724"/>
      <c r="V399" s="725"/>
      <c r="W399" s="725"/>
      <c r="X399" s="723"/>
      <c r="Y399" s="723"/>
      <c r="Z399" s="723"/>
      <c r="AA399" s="726"/>
      <c r="AB399" s="726"/>
      <c r="AC399" s="170"/>
      <c r="AD399" s="586"/>
      <c r="AE399" s="586"/>
      <c r="AF399" s="170"/>
      <c r="AG399" s="170"/>
      <c r="AH399" s="170"/>
      <c r="AI399" s="170"/>
      <c r="AJ399" s="170"/>
      <c r="AK399" s="170"/>
      <c r="AL399" s="170"/>
      <c r="AM399" s="170"/>
      <c r="AN399" s="170"/>
      <c r="AO399" s="170"/>
      <c r="AP399" s="170"/>
      <c r="AQ399" s="170"/>
      <c r="AR399" s="170"/>
      <c r="AS399" s="170"/>
      <c r="AT399" s="170"/>
      <c r="AU399" s="170"/>
      <c r="AV399" s="170"/>
      <c r="AW399" s="170"/>
      <c r="AX399" s="170"/>
    </row>
    <row r="400" spans="1:50" ht="15" x14ac:dyDescent="0.25">
      <c r="A400" s="170"/>
      <c r="B400" s="719"/>
      <c r="C400" s="170"/>
      <c r="D400" s="170"/>
      <c r="E400" s="170"/>
      <c r="F400" s="170"/>
      <c r="G400" s="721"/>
      <c r="H400" s="170"/>
      <c r="I400" s="170"/>
      <c r="J400" s="170"/>
      <c r="K400" s="170"/>
      <c r="L400" s="170"/>
      <c r="M400" s="730"/>
      <c r="N400" s="730"/>
      <c r="O400" s="730"/>
      <c r="P400" s="731"/>
      <c r="Q400" s="731"/>
      <c r="R400" s="730"/>
      <c r="S400" s="730"/>
      <c r="T400" s="723"/>
      <c r="U400" s="724"/>
      <c r="V400" s="725"/>
      <c r="W400" s="725"/>
      <c r="X400" s="723"/>
      <c r="Y400" s="723"/>
      <c r="Z400" s="723"/>
      <c r="AA400" s="726"/>
      <c r="AB400" s="726"/>
      <c r="AC400" s="170"/>
      <c r="AD400" s="586"/>
      <c r="AE400" s="586"/>
      <c r="AF400" s="170"/>
      <c r="AG400" s="170"/>
      <c r="AH400" s="170"/>
      <c r="AI400" s="170"/>
      <c r="AJ400" s="170"/>
      <c r="AK400" s="170"/>
      <c r="AL400" s="170"/>
      <c r="AM400" s="170"/>
      <c r="AN400" s="170"/>
      <c r="AO400" s="170"/>
      <c r="AP400" s="170"/>
      <c r="AQ400" s="170"/>
      <c r="AR400" s="170"/>
      <c r="AS400" s="170"/>
      <c r="AT400" s="170"/>
      <c r="AU400" s="170"/>
      <c r="AV400" s="170"/>
      <c r="AW400" s="170"/>
      <c r="AX400" s="170"/>
    </row>
    <row r="401" spans="1:50" ht="15" x14ac:dyDescent="0.25">
      <c r="A401" s="170"/>
      <c r="B401" s="719"/>
      <c r="C401" s="170"/>
      <c r="D401" s="170"/>
      <c r="E401" s="170"/>
      <c r="F401" s="170"/>
      <c r="G401" s="721"/>
      <c r="H401" s="170"/>
      <c r="I401" s="170"/>
      <c r="J401" s="170"/>
      <c r="K401" s="170"/>
      <c r="L401" s="170"/>
      <c r="M401" s="730"/>
      <c r="N401" s="730"/>
      <c r="O401" s="730"/>
      <c r="P401" s="731"/>
      <c r="Q401" s="731"/>
      <c r="R401" s="730"/>
      <c r="S401" s="730"/>
      <c r="T401" s="723"/>
      <c r="U401" s="724"/>
      <c r="V401" s="725"/>
      <c r="W401" s="725"/>
      <c r="X401" s="723"/>
      <c r="Y401" s="723"/>
      <c r="Z401" s="723"/>
      <c r="AA401" s="726"/>
      <c r="AB401" s="726"/>
      <c r="AC401" s="170"/>
      <c r="AD401" s="586"/>
      <c r="AE401" s="586"/>
      <c r="AF401" s="170"/>
      <c r="AG401" s="170"/>
      <c r="AH401" s="170"/>
      <c r="AI401" s="170"/>
      <c r="AJ401" s="170"/>
      <c r="AK401" s="170"/>
      <c r="AL401" s="170"/>
      <c r="AM401" s="170"/>
      <c r="AN401" s="170"/>
      <c r="AO401" s="170"/>
      <c r="AP401" s="170"/>
      <c r="AQ401" s="170"/>
      <c r="AR401" s="170"/>
      <c r="AS401" s="170"/>
      <c r="AT401" s="170"/>
      <c r="AU401" s="170"/>
      <c r="AV401" s="170"/>
      <c r="AW401" s="170"/>
      <c r="AX401" s="170"/>
    </row>
    <row r="402" spans="1:50" ht="15" x14ac:dyDescent="0.25">
      <c r="A402" s="170"/>
      <c r="B402" s="719"/>
      <c r="C402" s="170"/>
      <c r="D402" s="170"/>
      <c r="E402" s="170"/>
      <c r="F402" s="170"/>
      <c r="G402" s="721"/>
      <c r="H402" s="170"/>
      <c r="I402" s="170"/>
      <c r="J402" s="170"/>
      <c r="K402" s="170"/>
      <c r="L402" s="170"/>
      <c r="M402" s="730"/>
      <c r="N402" s="730"/>
      <c r="O402" s="730"/>
      <c r="P402" s="731"/>
      <c r="Q402" s="731"/>
      <c r="R402" s="730"/>
      <c r="S402" s="730"/>
      <c r="T402" s="723"/>
      <c r="U402" s="724"/>
      <c r="V402" s="725"/>
      <c r="W402" s="725"/>
      <c r="X402" s="723"/>
      <c r="Y402" s="723"/>
      <c r="Z402" s="723"/>
      <c r="AA402" s="726"/>
      <c r="AB402" s="726"/>
      <c r="AC402" s="170"/>
      <c r="AD402" s="586"/>
      <c r="AE402" s="586"/>
      <c r="AF402" s="170"/>
      <c r="AG402" s="170"/>
      <c r="AH402" s="170"/>
      <c r="AI402" s="170"/>
      <c r="AJ402" s="170"/>
      <c r="AK402" s="170"/>
      <c r="AL402" s="170"/>
      <c r="AM402" s="170"/>
      <c r="AN402" s="170"/>
      <c r="AO402" s="170"/>
      <c r="AP402" s="170"/>
      <c r="AQ402" s="170"/>
      <c r="AR402" s="170"/>
      <c r="AS402" s="170"/>
      <c r="AT402" s="170"/>
      <c r="AU402" s="170"/>
      <c r="AV402" s="170"/>
      <c r="AW402" s="170"/>
      <c r="AX402" s="170"/>
    </row>
    <row r="403" spans="1:50" ht="15" x14ac:dyDescent="0.25">
      <c r="A403" s="170"/>
      <c r="B403" s="719"/>
      <c r="C403" s="170"/>
      <c r="D403" s="170"/>
      <c r="E403" s="170"/>
      <c r="F403" s="170"/>
      <c r="G403" s="721"/>
      <c r="H403" s="170"/>
      <c r="I403" s="170"/>
      <c r="J403" s="170"/>
      <c r="K403" s="170"/>
      <c r="L403" s="170"/>
      <c r="M403" s="730"/>
      <c r="N403" s="730"/>
      <c r="O403" s="730"/>
      <c r="P403" s="731"/>
      <c r="Q403" s="731"/>
      <c r="R403" s="730"/>
      <c r="S403" s="730"/>
      <c r="T403" s="723"/>
      <c r="U403" s="724"/>
      <c r="V403" s="725"/>
      <c r="W403" s="725"/>
      <c r="X403" s="723"/>
      <c r="Y403" s="723"/>
      <c r="Z403" s="723"/>
      <c r="AA403" s="726"/>
      <c r="AB403" s="726"/>
      <c r="AC403" s="170"/>
      <c r="AD403" s="586"/>
      <c r="AE403" s="586"/>
      <c r="AF403" s="170"/>
      <c r="AG403" s="170"/>
      <c r="AH403" s="170"/>
      <c r="AI403" s="170"/>
      <c r="AJ403" s="170"/>
      <c r="AK403" s="170"/>
      <c r="AL403" s="170"/>
      <c r="AM403" s="170"/>
      <c r="AN403" s="170"/>
      <c r="AO403" s="170"/>
      <c r="AP403" s="170"/>
      <c r="AQ403" s="170"/>
      <c r="AR403" s="170"/>
      <c r="AS403" s="170"/>
      <c r="AT403" s="170"/>
      <c r="AU403" s="170"/>
      <c r="AV403" s="170"/>
      <c r="AW403" s="170"/>
      <c r="AX403" s="170"/>
    </row>
    <row r="404" spans="1:50" ht="15" x14ac:dyDescent="0.25">
      <c r="A404" s="170"/>
      <c r="B404" s="719"/>
      <c r="C404" s="170"/>
      <c r="D404" s="170"/>
      <c r="E404" s="170"/>
      <c r="F404" s="170"/>
      <c r="G404" s="721"/>
      <c r="H404" s="170"/>
      <c r="I404" s="170"/>
      <c r="J404" s="170"/>
      <c r="K404" s="170"/>
      <c r="L404" s="170"/>
      <c r="M404" s="730"/>
      <c r="N404" s="730"/>
      <c r="O404" s="730"/>
      <c r="P404" s="731"/>
      <c r="Q404" s="731"/>
      <c r="R404" s="730"/>
      <c r="S404" s="730"/>
      <c r="T404" s="723"/>
      <c r="U404" s="724"/>
      <c r="V404" s="725"/>
      <c r="W404" s="725"/>
      <c r="X404" s="723"/>
      <c r="Y404" s="723"/>
      <c r="Z404" s="723"/>
      <c r="AA404" s="726"/>
      <c r="AB404" s="726"/>
      <c r="AC404" s="170"/>
      <c r="AD404" s="586"/>
      <c r="AE404" s="586"/>
      <c r="AF404" s="170"/>
      <c r="AG404" s="170"/>
      <c r="AH404" s="170"/>
      <c r="AI404" s="170"/>
      <c r="AJ404" s="170"/>
      <c r="AK404" s="170"/>
      <c r="AL404" s="170"/>
      <c r="AM404" s="170"/>
      <c r="AN404" s="170"/>
      <c r="AO404" s="170"/>
      <c r="AP404" s="170"/>
      <c r="AQ404" s="170"/>
      <c r="AR404" s="170"/>
      <c r="AS404" s="170"/>
      <c r="AT404" s="170"/>
      <c r="AU404" s="170"/>
      <c r="AV404" s="170"/>
      <c r="AW404" s="170"/>
      <c r="AX404" s="170"/>
    </row>
    <row r="405" spans="1:50" ht="15" x14ac:dyDescent="0.25">
      <c r="A405" s="170"/>
      <c r="B405" s="719"/>
      <c r="C405" s="170"/>
      <c r="D405" s="170"/>
      <c r="E405" s="170"/>
      <c r="F405" s="170"/>
      <c r="G405" s="721"/>
      <c r="H405" s="170"/>
      <c r="I405" s="170"/>
      <c r="J405" s="170"/>
      <c r="K405" s="170"/>
      <c r="L405" s="170"/>
      <c r="M405" s="730"/>
      <c r="N405" s="730"/>
      <c r="O405" s="730"/>
      <c r="P405" s="731"/>
      <c r="Q405" s="731"/>
      <c r="R405" s="730"/>
      <c r="S405" s="730"/>
      <c r="T405" s="723"/>
      <c r="U405" s="724"/>
      <c r="V405" s="725"/>
      <c r="W405" s="725"/>
      <c r="X405" s="723"/>
      <c r="Y405" s="723"/>
      <c r="Z405" s="723"/>
      <c r="AA405" s="726"/>
      <c r="AB405" s="726"/>
      <c r="AC405" s="170"/>
      <c r="AD405" s="586"/>
      <c r="AE405" s="586"/>
      <c r="AF405" s="170"/>
      <c r="AG405" s="170"/>
      <c r="AH405" s="170"/>
      <c r="AI405" s="170"/>
      <c r="AJ405" s="170"/>
      <c r="AK405" s="170"/>
      <c r="AL405" s="170"/>
      <c r="AM405" s="170"/>
      <c r="AN405" s="170"/>
      <c r="AO405" s="170"/>
      <c r="AP405" s="170"/>
      <c r="AQ405" s="170"/>
      <c r="AR405" s="170"/>
      <c r="AS405" s="170"/>
      <c r="AT405" s="170"/>
      <c r="AU405" s="170"/>
      <c r="AV405" s="170"/>
      <c r="AW405" s="170"/>
      <c r="AX405" s="170"/>
    </row>
    <row r="406" spans="1:50" ht="15" x14ac:dyDescent="0.25">
      <c r="A406" s="170"/>
      <c r="B406" s="719"/>
      <c r="C406" s="170"/>
      <c r="D406" s="170"/>
      <c r="E406" s="170"/>
      <c r="F406" s="170"/>
      <c r="G406" s="721"/>
      <c r="H406" s="170"/>
      <c r="I406" s="170"/>
      <c r="J406" s="170"/>
      <c r="K406" s="170"/>
      <c r="L406" s="170"/>
      <c r="M406" s="730"/>
      <c r="N406" s="730"/>
      <c r="O406" s="730"/>
      <c r="P406" s="731"/>
      <c r="Q406" s="731"/>
      <c r="R406" s="730"/>
      <c r="S406" s="730"/>
      <c r="T406" s="723"/>
      <c r="U406" s="724"/>
      <c r="V406" s="725"/>
      <c r="W406" s="725"/>
      <c r="X406" s="723"/>
      <c r="Y406" s="723"/>
      <c r="Z406" s="723"/>
      <c r="AA406" s="726"/>
      <c r="AB406" s="726"/>
      <c r="AC406" s="170"/>
      <c r="AD406" s="586"/>
      <c r="AE406" s="586"/>
      <c r="AF406" s="170"/>
      <c r="AG406" s="170"/>
      <c r="AH406" s="170"/>
      <c r="AI406" s="170"/>
      <c r="AJ406" s="170"/>
      <c r="AK406" s="170"/>
      <c r="AL406" s="170"/>
      <c r="AM406" s="170"/>
      <c r="AN406" s="170"/>
      <c r="AO406" s="170"/>
      <c r="AP406" s="170"/>
      <c r="AQ406" s="170"/>
      <c r="AR406" s="170"/>
      <c r="AS406" s="170"/>
      <c r="AT406" s="170"/>
      <c r="AU406" s="170"/>
      <c r="AV406" s="170"/>
      <c r="AW406" s="170"/>
      <c r="AX406" s="170"/>
    </row>
    <row r="407" spans="1:50" ht="15" x14ac:dyDescent="0.25">
      <c r="A407" s="170"/>
      <c r="B407" s="719"/>
      <c r="C407" s="170"/>
      <c r="D407" s="170"/>
      <c r="E407" s="170"/>
      <c r="F407" s="170"/>
      <c r="G407" s="721"/>
      <c r="H407" s="170"/>
      <c r="I407" s="170"/>
      <c r="J407" s="170"/>
      <c r="K407" s="170"/>
      <c r="L407" s="170"/>
      <c r="M407" s="730"/>
      <c r="N407" s="730"/>
      <c r="O407" s="730"/>
      <c r="P407" s="731"/>
      <c r="Q407" s="731"/>
      <c r="R407" s="730"/>
      <c r="S407" s="730"/>
      <c r="T407" s="723"/>
      <c r="U407" s="724"/>
      <c r="V407" s="725"/>
      <c r="W407" s="725"/>
      <c r="X407" s="723"/>
      <c r="Y407" s="723"/>
      <c r="Z407" s="723"/>
      <c r="AA407" s="726"/>
      <c r="AB407" s="726"/>
      <c r="AC407" s="170"/>
      <c r="AD407" s="586"/>
      <c r="AE407" s="586"/>
      <c r="AF407" s="170"/>
      <c r="AG407" s="170"/>
      <c r="AH407" s="170"/>
      <c r="AI407" s="170"/>
      <c r="AJ407" s="170"/>
      <c r="AK407" s="170"/>
      <c r="AL407" s="170"/>
      <c r="AM407" s="170"/>
      <c r="AN407" s="170"/>
      <c r="AO407" s="170"/>
      <c r="AP407" s="170"/>
      <c r="AQ407" s="170"/>
      <c r="AR407" s="170"/>
      <c r="AS407" s="170"/>
      <c r="AT407" s="170"/>
      <c r="AU407" s="170"/>
      <c r="AV407" s="170"/>
      <c r="AW407" s="170"/>
      <c r="AX407" s="170"/>
    </row>
    <row r="408" spans="1:50" ht="15" x14ac:dyDescent="0.25">
      <c r="A408" s="170"/>
      <c r="B408" s="719"/>
      <c r="C408" s="170"/>
      <c r="D408" s="170"/>
      <c r="E408" s="170"/>
      <c r="F408" s="170"/>
      <c r="G408" s="721"/>
      <c r="H408" s="170"/>
      <c r="I408" s="170"/>
      <c r="J408" s="170"/>
      <c r="K408" s="170"/>
      <c r="L408" s="170"/>
      <c r="M408" s="730"/>
      <c r="N408" s="730"/>
      <c r="O408" s="730"/>
      <c r="P408" s="731"/>
      <c r="Q408" s="731"/>
      <c r="R408" s="730"/>
      <c r="S408" s="730"/>
      <c r="T408" s="723"/>
      <c r="U408" s="724"/>
      <c r="V408" s="725"/>
      <c r="W408" s="725"/>
      <c r="X408" s="723"/>
      <c r="Y408" s="723"/>
      <c r="Z408" s="723"/>
      <c r="AA408" s="726"/>
      <c r="AB408" s="726"/>
      <c r="AC408" s="170"/>
      <c r="AD408" s="586"/>
      <c r="AE408" s="586"/>
      <c r="AF408" s="170"/>
      <c r="AG408" s="170"/>
      <c r="AH408" s="170"/>
      <c r="AI408" s="170"/>
      <c r="AJ408" s="170"/>
      <c r="AK408" s="170"/>
      <c r="AL408" s="170"/>
      <c r="AM408" s="170"/>
      <c r="AN408" s="170"/>
      <c r="AO408" s="170"/>
      <c r="AP408" s="170"/>
      <c r="AQ408" s="170"/>
      <c r="AR408" s="170"/>
      <c r="AS408" s="170"/>
      <c r="AT408" s="170"/>
      <c r="AU408" s="170"/>
      <c r="AV408" s="170"/>
      <c r="AW408" s="170"/>
      <c r="AX408" s="170"/>
    </row>
    <row r="409" spans="1:50" ht="15" x14ac:dyDescent="0.25">
      <c r="A409" s="170"/>
      <c r="B409" s="719"/>
      <c r="C409" s="170"/>
      <c r="D409" s="170"/>
      <c r="E409" s="170"/>
      <c r="F409" s="170"/>
      <c r="G409" s="721"/>
      <c r="H409" s="170"/>
      <c r="I409" s="170"/>
      <c r="J409" s="170"/>
      <c r="K409" s="170"/>
      <c r="L409" s="170"/>
      <c r="M409" s="730"/>
      <c r="N409" s="730"/>
      <c r="O409" s="730"/>
      <c r="P409" s="731"/>
      <c r="Q409" s="731"/>
      <c r="R409" s="730"/>
      <c r="S409" s="730"/>
      <c r="T409" s="723"/>
      <c r="U409" s="724"/>
      <c r="V409" s="725"/>
      <c r="W409" s="725"/>
      <c r="X409" s="723"/>
      <c r="Y409" s="723"/>
      <c r="Z409" s="723"/>
      <c r="AA409" s="726"/>
      <c r="AB409" s="726"/>
      <c r="AC409" s="170"/>
      <c r="AD409" s="586"/>
      <c r="AE409" s="586"/>
      <c r="AF409" s="170"/>
      <c r="AG409" s="170"/>
      <c r="AH409" s="170"/>
      <c r="AI409" s="170"/>
      <c r="AJ409" s="170"/>
      <c r="AK409" s="170"/>
      <c r="AL409" s="170"/>
      <c r="AM409" s="170"/>
      <c r="AN409" s="170"/>
      <c r="AO409" s="170"/>
      <c r="AP409" s="170"/>
      <c r="AQ409" s="170"/>
      <c r="AR409" s="170"/>
      <c r="AS409" s="170"/>
      <c r="AT409" s="170"/>
      <c r="AU409" s="170"/>
      <c r="AV409" s="170"/>
      <c r="AW409" s="170"/>
      <c r="AX409" s="170"/>
    </row>
    <row r="410" spans="1:50" ht="15" x14ac:dyDescent="0.25">
      <c r="A410" s="170"/>
      <c r="B410" s="719"/>
      <c r="C410" s="170"/>
      <c r="D410" s="170"/>
      <c r="E410" s="170"/>
      <c r="F410" s="170"/>
      <c r="G410" s="721"/>
      <c r="H410" s="170"/>
      <c r="I410" s="170"/>
      <c r="J410" s="170"/>
      <c r="K410" s="170"/>
      <c r="L410" s="170"/>
      <c r="M410" s="730"/>
      <c r="N410" s="730"/>
      <c r="O410" s="730"/>
      <c r="P410" s="731"/>
      <c r="Q410" s="731"/>
      <c r="R410" s="730"/>
      <c r="S410" s="730"/>
      <c r="T410" s="723"/>
      <c r="U410" s="724"/>
      <c r="V410" s="725"/>
      <c r="W410" s="725"/>
      <c r="X410" s="723"/>
      <c r="Y410" s="723"/>
      <c r="Z410" s="723"/>
      <c r="AA410" s="726"/>
      <c r="AB410" s="726"/>
      <c r="AC410" s="170"/>
      <c r="AD410" s="586"/>
      <c r="AE410" s="586"/>
      <c r="AF410" s="170"/>
      <c r="AG410" s="170"/>
      <c r="AH410" s="170"/>
      <c r="AI410" s="170"/>
      <c r="AJ410" s="170"/>
      <c r="AK410" s="170"/>
      <c r="AL410" s="170"/>
      <c r="AM410" s="170"/>
      <c r="AN410" s="170"/>
      <c r="AO410" s="170"/>
      <c r="AP410" s="170"/>
      <c r="AQ410" s="170"/>
      <c r="AR410" s="170"/>
      <c r="AS410" s="170"/>
      <c r="AT410" s="170"/>
      <c r="AU410" s="170"/>
      <c r="AV410" s="170"/>
      <c r="AW410" s="170"/>
      <c r="AX410" s="170"/>
    </row>
    <row r="411" spans="1:50" ht="15" x14ac:dyDescent="0.25">
      <c r="A411" s="170"/>
      <c r="B411" s="719"/>
      <c r="C411" s="170"/>
      <c r="D411" s="170"/>
      <c r="E411" s="170"/>
      <c r="F411" s="170"/>
      <c r="G411" s="721"/>
      <c r="H411" s="170"/>
      <c r="I411" s="170"/>
      <c r="J411" s="170"/>
      <c r="K411" s="170"/>
      <c r="L411" s="170"/>
      <c r="M411" s="730"/>
      <c r="N411" s="730"/>
      <c r="O411" s="730"/>
      <c r="P411" s="731"/>
      <c r="Q411" s="731"/>
      <c r="R411" s="730"/>
      <c r="S411" s="730"/>
      <c r="T411" s="723"/>
      <c r="U411" s="724"/>
      <c r="V411" s="725"/>
      <c r="W411" s="725"/>
      <c r="X411" s="723"/>
      <c r="Y411" s="723"/>
      <c r="Z411" s="723"/>
      <c r="AA411" s="726"/>
      <c r="AB411" s="726"/>
      <c r="AC411" s="170"/>
      <c r="AD411" s="586"/>
      <c r="AE411" s="586"/>
      <c r="AF411" s="170"/>
      <c r="AG411" s="170"/>
      <c r="AH411" s="170"/>
      <c r="AI411" s="170"/>
      <c r="AJ411" s="170"/>
      <c r="AK411" s="170"/>
      <c r="AL411" s="170"/>
      <c r="AM411" s="170"/>
      <c r="AN411" s="170"/>
      <c r="AO411" s="170"/>
      <c r="AP411" s="170"/>
      <c r="AQ411" s="170"/>
      <c r="AR411" s="170"/>
      <c r="AS411" s="170"/>
      <c r="AT411" s="170"/>
      <c r="AU411" s="170"/>
      <c r="AV411" s="170"/>
      <c r="AW411" s="170"/>
      <c r="AX411" s="170"/>
    </row>
    <row r="412" spans="1:50" ht="15" x14ac:dyDescent="0.25">
      <c r="A412" s="170"/>
      <c r="B412" s="719"/>
      <c r="C412" s="170"/>
      <c r="D412" s="170"/>
      <c r="E412" s="170"/>
      <c r="F412" s="170"/>
      <c r="G412" s="721"/>
      <c r="H412" s="170"/>
      <c r="I412" s="170"/>
      <c r="J412" s="170"/>
      <c r="K412" s="170"/>
      <c r="L412" s="170"/>
      <c r="M412" s="730"/>
      <c r="N412" s="730"/>
      <c r="O412" s="730"/>
      <c r="P412" s="731"/>
      <c r="Q412" s="731"/>
      <c r="R412" s="730"/>
      <c r="S412" s="730"/>
      <c r="T412" s="723"/>
      <c r="U412" s="724"/>
      <c r="V412" s="725"/>
      <c r="W412" s="725"/>
      <c r="X412" s="723"/>
      <c r="Y412" s="723"/>
      <c r="Z412" s="723"/>
      <c r="AA412" s="726"/>
      <c r="AB412" s="726"/>
      <c r="AC412" s="170"/>
      <c r="AD412" s="586"/>
      <c r="AE412" s="586"/>
      <c r="AF412" s="170"/>
      <c r="AG412" s="170"/>
      <c r="AH412" s="170"/>
      <c r="AI412" s="170"/>
      <c r="AJ412" s="170"/>
      <c r="AK412" s="170"/>
      <c r="AL412" s="170"/>
      <c r="AM412" s="170"/>
      <c r="AN412" s="170"/>
      <c r="AO412" s="170"/>
      <c r="AP412" s="170"/>
      <c r="AQ412" s="170"/>
      <c r="AR412" s="170"/>
      <c r="AS412" s="170"/>
      <c r="AT412" s="170"/>
      <c r="AU412" s="170"/>
      <c r="AV412" s="170"/>
      <c r="AW412" s="170"/>
      <c r="AX412" s="170"/>
    </row>
    <row r="413" spans="1:50" ht="15" x14ac:dyDescent="0.25">
      <c r="A413" s="170"/>
      <c r="B413" s="719"/>
      <c r="C413" s="170"/>
      <c r="D413" s="170"/>
      <c r="E413" s="170"/>
      <c r="F413" s="170"/>
      <c r="G413" s="721"/>
      <c r="H413" s="170"/>
      <c r="I413" s="170"/>
      <c r="J413" s="170"/>
      <c r="K413" s="170"/>
      <c r="L413" s="170"/>
      <c r="M413" s="730"/>
      <c r="N413" s="730"/>
      <c r="O413" s="730"/>
      <c r="P413" s="731"/>
      <c r="Q413" s="731"/>
      <c r="R413" s="730"/>
      <c r="S413" s="730"/>
      <c r="T413" s="723"/>
      <c r="U413" s="724"/>
      <c r="V413" s="725"/>
      <c r="W413" s="725"/>
      <c r="X413" s="723"/>
      <c r="Y413" s="723"/>
      <c r="Z413" s="723"/>
      <c r="AA413" s="726"/>
      <c r="AB413" s="726"/>
      <c r="AC413" s="170"/>
      <c r="AD413" s="586"/>
      <c r="AE413" s="586"/>
      <c r="AF413" s="170"/>
      <c r="AG413" s="170"/>
      <c r="AH413" s="170"/>
      <c r="AI413" s="170"/>
      <c r="AJ413" s="170"/>
      <c r="AK413" s="170"/>
      <c r="AL413" s="170"/>
      <c r="AM413" s="170"/>
      <c r="AN413" s="170"/>
      <c r="AO413" s="170"/>
      <c r="AP413" s="170"/>
      <c r="AQ413" s="170"/>
      <c r="AR413" s="170"/>
      <c r="AS413" s="170"/>
      <c r="AT413" s="170"/>
      <c r="AU413" s="170"/>
      <c r="AV413" s="170"/>
      <c r="AW413" s="170"/>
      <c r="AX413" s="170"/>
    </row>
    <row r="414" spans="1:50" ht="15" x14ac:dyDescent="0.25">
      <c r="A414" s="170"/>
      <c r="B414" s="719"/>
      <c r="C414" s="170"/>
      <c r="D414" s="170"/>
      <c r="E414" s="170"/>
      <c r="F414" s="170"/>
      <c r="G414" s="721"/>
      <c r="H414" s="170"/>
      <c r="I414" s="170"/>
      <c r="J414" s="170"/>
      <c r="K414" s="170"/>
      <c r="L414" s="170"/>
      <c r="M414" s="730"/>
      <c r="N414" s="730"/>
      <c r="O414" s="730"/>
      <c r="P414" s="731"/>
      <c r="Q414" s="731"/>
      <c r="R414" s="730"/>
      <c r="S414" s="730"/>
      <c r="T414" s="723"/>
      <c r="U414" s="724"/>
      <c r="V414" s="725"/>
      <c r="W414" s="725"/>
      <c r="X414" s="723"/>
      <c r="Y414" s="723"/>
      <c r="Z414" s="723"/>
      <c r="AA414" s="726"/>
      <c r="AB414" s="726"/>
      <c r="AC414" s="170"/>
      <c r="AD414" s="586"/>
      <c r="AE414" s="586"/>
      <c r="AF414" s="170"/>
      <c r="AG414" s="170"/>
      <c r="AH414" s="170"/>
      <c r="AI414" s="170"/>
      <c r="AJ414" s="170"/>
      <c r="AK414" s="170"/>
      <c r="AL414" s="170"/>
      <c r="AM414" s="170"/>
      <c r="AN414" s="170"/>
      <c r="AO414" s="170"/>
      <c r="AP414" s="170"/>
      <c r="AQ414" s="170"/>
      <c r="AR414" s="170"/>
      <c r="AS414" s="170"/>
      <c r="AT414" s="170"/>
      <c r="AU414" s="170"/>
      <c r="AV414" s="170"/>
      <c r="AW414" s="170"/>
      <c r="AX414" s="170"/>
    </row>
    <row r="415" spans="1:50" ht="15" x14ac:dyDescent="0.25">
      <c r="A415" s="170"/>
      <c r="B415" s="719"/>
      <c r="C415" s="170"/>
      <c r="D415" s="170"/>
      <c r="E415" s="170"/>
      <c r="F415" s="170"/>
      <c r="G415" s="721"/>
      <c r="H415" s="170"/>
      <c r="I415" s="170"/>
      <c r="J415" s="170"/>
      <c r="K415" s="170"/>
      <c r="L415" s="170"/>
      <c r="M415" s="730"/>
      <c r="N415" s="730"/>
      <c r="O415" s="730"/>
      <c r="P415" s="731"/>
      <c r="Q415" s="731"/>
      <c r="R415" s="730"/>
      <c r="S415" s="730"/>
      <c r="T415" s="723"/>
      <c r="U415" s="724"/>
      <c r="V415" s="725"/>
      <c r="W415" s="725"/>
      <c r="X415" s="723"/>
      <c r="Y415" s="723"/>
      <c r="Z415" s="723"/>
      <c r="AA415" s="726"/>
      <c r="AB415" s="726"/>
      <c r="AC415" s="170"/>
      <c r="AD415" s="586"/>
      <c r="AE415" s="586"/>
      <c r="AF415" s="170"/>
      <c r="AG415" s="170"/>
      <c r="AH415" s="170"/>
      <c r="AI415" s="170"/>
      <c r="AJ415" s="170"/>
      <c r="AK415" s="170"/>
      <c r="AL415" s="170"/>
      <c r="AM415" s="170"/>
      <c r="AN415" s="170"/>
      <c r="AO415" s="170"/>
      <c r="AP415" s="170"/>
      <c r="AQ415" s="170"/>
      <c r="AR415" s="170"/>
      <c r="AS415" s="170"/>
      <c r="AT415" s="170"/>
      <c r="AU415" s="170"/>
      <c r="AV415" s="170"/>
      <c r="AW415" s="170"/>
      <c r="AX415" s="170"/>
    </row>
    <row r="416" spans="1:50" ht="15" x14ac:dyDescent="0.25">
      <c r="A416" s="170"/>
      <c r="B416" s="719"/>
      <c r="C416" s="170"/>
      <c r="D416" s="170"/>
      <c r="E416" s="170"/>
      <c r="F416" s="170"/>
      <c r="G416" s="721"/>
      <c r="H416" s="170"/>
      <c r="I416" s="170"/>
      <c r="J416" s="170"/>
      <c r="K416" s="170"/>
      <c r="L416" s="170"/>
      <c r="M416" s="730"/>
      <c r="N416" s="730"/>
      <c r="O416" s="730"/>
      <c r="P416" s="731"/>
      <c r="Q416" s="731"/>
      <c r="R416" s="730"/>
      <c r="S416" s="730"/>
      <c r="T416" s="723"/>
      <c r="U416" s="724"/>
      <c r="V416" s="725"/>
      <c r="W416" s="725"/>
      <c r="X416" s="723"/>
      <c r="Y416" s="723"/>
      <c r="Z416" s="723"/>
      <c r="AA416" s="726"/>
      <c r="AB416" s="726"/>
      <c r="AC416" s="170"/>
      <c r="AD416" s="586"/>
      <c r="AE416" s="586"/>
      <c r="AF416" s="170"/>
      <c r="AG416" s="170"/>
      <c r="AH416" s="170"/>
      <c r="AI416" s="170"/>
      <c r="AJ416" s="170"/>
      <c r="AK416" s="170"/>
      <c r="AL416" s="170"/>
      <c r="AM416" s="170"/>
      <c r="AN416" s="170"/>
      <c r="AO416" s="170"/>
      <c r="AP416" s="170"/>
      <c r="AQ416" s="170"/>
      <c r="AR416" s="170"/>
      <c r="AS416" s="170"/>
      <c r="AT416" s="170"/>
      <c r="AU416" s="170"/>
      <c r="AV416" s="170"/>
      <c r="AW416" s="170"/>
      <c r="AX416" s="170"/>
    </row>
    <row r="417" spans="1:50" ht="15" x14ac:dyDescent="0.25">
      <c r="A417" s="170"/>
      <c r="B417" s="719"/>
      <c r="C417" s="170"/>
      <c r="D417" s="170"/>
      <c r="E417" s="170"/>
      <c r="F417" s="170"/>
      <c r="G417" s="721"/>
      <c r="H417" s="170"/>
      <c r="I417" s="170"/>
      <c r="J417" s="170"/>
      <c r="K417" s="170"/>
      <c r="L417" s="170"/>
      <c r="M417" s="730"/>
      <c r="N417" s="730"/>
      <c r="O417" s="730"/>
      <c r="P417" s="731"/>
      <c r="Q417" s="731"/>
      <c r="R417" s="730"/>
      <c r="S417" s="730"/>
      <c r="T417" s="723"/>
      <c r="U417" s="724"/>
      <c r="V417" s="725"/>
      <c r="W417" s="725"/>
      <c r="X417" s="723"/>
      <c r="Y417" s="723"/>
      <c r="Z417" s="723"/>
      <c r="AA417" s="726"/>
      <c r="AB417" s="726"/>
      <c r="AC417" s="170"/>
      <c r="AD417" s="586"/>
      <c r="AE417" s="586"/>
      <c r="AF417" s="170"/>
      <c r="AG417" s="170"/>
      <c r="AH417" s="170"/>
      <c r="AI417" s="170"/>
      <c r="AJ417" s="170"/>
      <c r="AK417" s="170"/>
      <c r="AL417" s="170"/>
      <c r="AM417" s="170"/>
      <c r="AN417" s="170"/>
      <c r="AO417" s="170"/>
      <c r="AP417" s="170"/>
      <c r="AQ417" s="170"/>
      <c r="AR417" s="170"/>
      <c r="AS417" s="170"/>
      <c r="AT417" s="170"/>
      <c r="AU417" s="170"/>
      <c r="AV417" s="170"/>
      <c r="AW417" s="170"/>
      <c r="AX417" s="170"/>
    </row>
    <row r="418" spans="1:50" ht="15" x14ac:dyDescent="0.25">
      <c r="A418" s="170"/>
      <c r="B418" s="719"/>
      <c r="C418" s="170"/>
      <c r="D418" s="170"/>
      <c r="E418" s="170"/>
      <c r="F418" s="170"/>
      <c r="G418" s="721"/>
      <c r="H418" s="170"/>
      <c r="I418" s="170"/>
      <c r="J418" s="170"/>
      <c r="K418" s="170"/>
      <c r="L418" s="170"/>
      <c r="M418" s="730"/>
      <c r="N418" s="730"/>
      <c r="O418" s="730"/>
      <c r="P418" s="731"/>
      <c r="Q418" s="731"/>
      <c r="R418" s="730"/>
      <c r="S418" s="730"/>
      <c r="T418" s="723"/>
      <c r="U418" s="724"/>
      <c r="V418" s="725"/>
      <c r="W418" s="725"/>
      <c r="X418" s="723"/>
      <c r="Y418" s="723"/>
      <c r="Z418" s="723"/>
      <c r="AA418" s="726"/>
      <c r="AB418" s="726"/>
      <c r="AC418" s="170"/>
      <c r="AD418" s="586"/>
      <c r="AE418" s="586"/>
      <c r="AF418" s="170"/>
      <c r="AG418" s="170"/>
      <c r="AH418" s="170"/>
      <c r="AI418" s="170"/>
      <c r="AJ418" s="170"/>
      <c r="AK418" s="170"/>
      <c r="AL418" s="170"/>
      <c r="AM418" s="170"/>
      <c r="AN418" s="170"/>
      <c r="AO418" s="170"/>
      <c r="AP418" s="170"/>
      <c r="AQ418" s="170"/>
      <c r="AR418" s="170"/>
      <c r="AS418" s="170"/>
      <c r="AT418" s="170"/>
      <c r="AU418" s="170"/>
      <c r="AV418" s="170"/>
      <c r="AW418" s="170"/>
      <c r="AX418" s="170"/>
    </row>
    <row r="419" spans="1:50" ht="15" x14ac:dyDescent="0.25">
      <c r="A419" s="170"/>
      <c r="B419" s="719"/>
      <c r="C419" s="170"/>
      <c r="D419" s="170"/>
      <c r="E419" s="170"/>
      <c r="F419" s="170"/>
      <c r="G419" s="721"/>
      <c r="H419" s="170"/>
      <c r="I419" s="170"/>
      <c r="J419" s="170"/>
      <c r="K419" s="170"/>
      <c r="L419" s="170"/>
      <c r="M419" s="730"/>
      <c r="N419" s="730"/>
      <c r="O419" s="730"/>
      <c r="P419" s="731"/>
      <c r="Q419" s="731"/>
      <c r="R419" s="730"/>
      <c r="S419" s="730"/>
      <c r="T419" s="723"/>
      <c r="U419" s="724"/>
      <c r="V419" s="725"/>
      <c r="W419" s="725"/>
      <c r="X419" s="723"/>
      <c r="Y419" s="723"/>
      <c r="Z419" s="723"/>
      <c r="AA419" s="726"/>
      <c r="AB419" s="726"/>
      <c r="AC419" s="170"/>
      <c r="AD419" s="586"/>
      <c r="AE419" s="586"/>
      <c r="AF419" s="170"/>
      <c r="AG419" s="170"/>
      <c r="AH419" s="170"/>
      <c r="AI419" s="170"/>
      <c r="AJ419" s="170"/>
      <c r="AK419" s="170"/>
      <c r="AL419" s="170"/>
      <c r="AM419" s="170"/>
      <c r="AN419" s="170"/>
      <c r="AO419" s="170"/>
      <c r="AP419" s="170"/>
      <c r="AQ419" s="170"/>
      <c r="AR419" s="170"/>
      <c r="AS419" s="170"/>
      <c r="AT419" s="170"/>
      <c r="AU419" s="170"/>
      <c r="AV419" s="170"/>
      <c r="AW419" s="170"/>
      <c r="AX419" s="170"/>
    </row>
    <row r="420" spans="1:50" ht="15" x14ac:dyDescent="0.25">
      <c r="A420" s="170"/>
      <c r="B420" s="719"/>
      <c r="C420" s="170"/>
      <c r="D420" s="170"/>
      <c r="E420" s="170"/>
      <c r="F420" s="170"/>
      <c r="G420" s="721"/>
      <c r="H420" s="170"/>
      <c r="I420" s="170"/>
      <c r="J420" s="170"/>
      <c r="K420" s="170"/>
      <c r="L420" s="170"/>
      <c r="M420" s="730"/>
      <c r="N420" s="730"/>
      <c r="O420" s="730"/>
      <c r="P420" s="731"/>
      <c r="Q420" s="731"/>
      <c r="R420" s="730"/>
      <c r="S420" s="730"/>
      <c r="T420" s="723"/>
      <c r="U420" s="724"/>
      <c r="V420" s="725"/>
      <c r="W420" s="725"/>
      <c r="X420" s="723"/>
      <c r="Y420" s="723"/>
      <c r="Z420" s="723"/>
      <c r="AA420" s="726"/>
      <c r="AB420" s="726"/>
      <c r="AC420" s="170"/>
      <c r="AD420" s="586"/>
      <c r="AE420" s="586"/>
      <c r="AF420" s="170"/>
      <c r="AG420" s="170"/>
      <c r="AH420" s="170"/>
      <c r="AI420" s="170"/>
      <c r="AJ420" s="170"/>
      <c r="AK420" s="170"/>
      <c r="AL420" s="170"/>
      <c r="AM420" s="170"/>
      <c r="AN420" s="170"/>
      <c r="AO420" s="170"/>
      <c r="AP420" s="170"/>
      <c r="AQ420" s="170"/>
      <c r="AR420" s="170"/>
      <c r="AS420" s="170"/>
      <c r="AT420" s="170"/>
      <c r="AU420" s="170"/>
      <c r="AV420" s="170"/>
      <c r="AW420" s="170"/>
      <c r="AX420" s="170"/>
    </row>
    <row r="421" spans="1:50" ht="15" x14ac:dyDescent="0.25">
      <c r="A421" s="170"/>
      <c r="B421" s="719"/>
      <c r="C421" s="170"/>
      <c r="D421" s="170"/>
      <c r="E421" s="170"/>
      <c r="F421" s="170"/>
      <c r="G421" s="721"/>
      <c r="H421" s="170"/>
      <c r="I421" s="170"/>
      <c r="J421" s="170"/>
      <c r="K421" s="170"/>
      <c r="L421" s="170"/>
      <c r="M421" s="730"/>
      <c r="N421" s="730"/>
      <c r="O421" s="730"/>
      <c r="P421" s="731"/>
      <c r="Q421" s="731"/>
      <c r="R421" s="730"/>
      <c r="S421" s="730"/>
      <c r="T421" s="723"/>
      <c r="U421" s="724"/>
      <c r="V421" s="725"/>
      <c r="W421" s="725"/>
      <c r="X421" s="723"/>
      <c r="Y421" s="723"/>
      <c r="Z421" s="723"/>
      <c r="AA421" s="726"/>
      <c r="AB421" s="726"/>
      <c r="AC421" s="170"/>
      <c r="AD421" s="586"/>
      <c r="AE421" s="586"/>
      <c r="AF421" s="170"/>
      <c r="AG421" s="170"/>
      <c r="AH421" s="170"/>
      <c r="AI421" s="170"/>
      <c r="AJ421" s="170"/>
      <c r="AK421" s="170"/>
      <c r="AL421" s="170"/>
      <c r="AM421" s="170"/>
      <c r="AN421" s="170"/>
      <c r="AO421" s="170"/>
      <c r="AP421" s="170"/>
      <c r="AQ421" s="170"/>
      <c r="AR421" s="170"/>
      <c r="AS421" s="170"/>
      <c r="AT421" s="170"/>
      <c r="AU421" s="170"/>
      <c r="AV421" s="170"/>
      <c r="AW421" s="170"/>
      <c r="AX421" s="170"/>
    </row>
    <row r="422" spans="1:50" ht="15" x14ac:dyDescent="0.25">
      <c r="A422" s="170"/>
      <c r="B422" s="719"/>
      <c r="C422" s="170"/>
      <c r="D422" s="170"/>
      <c r="E422" s="170"/>
      <c r="F422" s="170"/>
      <c r="G422" s="721"/>
      <c r="H422" s="170"/>
      <c r="I422" s="170"/>
      <c r="J422" s="170"/>
      <c r="K422" s="170"/>
      <c r="L422" s="170"/>
      <c r="M422" s="730"/>
      <c r="N422" s="730"/>
      <c r="O422" s="730"/>
      <c r="P422" s="731"/>
      <c r="Q422" s="731"/>
      <c r="R422" s="730"/>
      <c r="S422" s="730"/>
      <c r="T422" s="723"/>
      <c r="U422" s="724"/>
      <c r="V422" s="725"/>
      <c r="W422" s="725"/>
      <c r="X422" s="723"/>
      <c r="Y422" s="723"/>
      <c r="Z422" s="723"/>
      <c r="AA422" s="726"/>
      <c r="AB422" s="726"/>
      <c r="AC422" s="170"/>
      <c r="AD422" s="586"/>
      <c r="AE422" s="586"/>
      <c r="AF422" s="170"/>
      <c r="AG422" s="170"/>
      <c r="AH422" s="170"/>
      <c r="AI422" s="170"/>
      <c r="AJ422" s="170"/>
      <c r="AK422" s="170"/>
      <c r="AL422" s="170"/>
      <c r="AM422" s="170"/>
      <c r="AN422" s="170"/>
      <c r="AO422" s="170"/>
      <c r="AP422" s="170"/>
      <c r="AQ422" s="170"/>
      <c r="AR422" s="170"/>
      <c r="AS422" s="170"/>
      <c r="AT422" s="170"/>
      <c r="AU422" s="170"/>
      <c r="AV422" s="170"/>
      <c r="AW422" s="170"/>
      <c r="AX422" s="170"/>
    </row>
    <row r="423" spans="1:50" ht="15" x14ac:dyDescent="0.25">
      <c r="A423" s="170"/>
      <c r="B423" s="719"/>
      <c r="C423" s="170"/>
      <c r="D423" s="170"/>
      <c r="E423" s="170"/>
      <c r="F423" s="170"/>
      <c r="G423" s="721"/>
      <c r="H423" s="170"/>
      <c r="I423" s="170"/>
      <c r="J423" s="170"/>
      <c r="K423" s="170"/>
      <c r="L423" s="170"/>
      <c r="M423" s="730"/>
      <c r="N423" s="730"/>
      <c r="O423" s="730"/>
      <c r="P423" s="731"/>
      <c r="Q423" s="731"/>
      <c r="R423" s="730"/>
      <c r="S423" s="730"/>
      <c r="T423" s="723"/>
      <c r="U423" s="724"/>
      <c r="V423" s="725"/>
      <c r="W423" s="725"/>
      <c r="X423" s="723"/>
      <c r="Y423" s="723"/>
      <c r="Z423" s="723"/>
      <c r="AA423" s="726"/>
      <c r="AB423" s="726"/>
      <c r="AC423" s="170"/>
      <c r="AD423" s="586"/>
      <c r="AE423" s="586"/>
      <c r="AF423" s="170"/>
      <c r="AG423" s="170"/>
      <c r="AH423" s="170"/>
      <c r="AI423" s="170"/>
      <c r="AJ423" s="170"/>
      <c r="AK423" s="170"/>
      <c r="AL423" s="170"/>
      <c r="AM423" s="170"/>
      <c r="AN423" s="170"/>
      <c r="AO423" s="170"/>
      <c r="AP423" s="170"/>
      <c r="AQ423" s="170"/>
      <c r="AR423" s="170"/>
      <c r="AS423" s="170"/>
      <c r="AT423" s="170"/>
      <c r="AU423" s="170"/>
      <c r="AV423" s="170"/>
      <c r="AW423" s="170"/>
      <c r="AX423" s="170"/>
    </row>
    <row r="424" spans="1:50" ht="15" x14ac:dyDescent="0.25">
      <c r="A424" s="170"/>
      <c r="B424" s="719"/>
      <c r="C424" s="170"/>
      <c r="D424" s="170"/>
      <c r="E424" s="170"/>
      <c r="F424" s="170"/>
      <c r="G424" s="721"/>
      <c r="H424" s="170"/>
      <c r="I424" s="170"/>
      <c r="J424" s="170"/>
      <c r="K424" s="170"/>
      <c r="L424" s="170"/>
      <c r="M424" s="730"/>
      <c r="N424" s="730"/>
      <c r="O424" s="730"/>
      <c r="P424" s="731"/>
      <c r="Q424" s="731"/>
      <c r="R424" s="730"/>
      <c r="S424" s="730"/>
      <c r="T424" s="723"/>
      <c r="U424" s="724"/>
      <c r="V424" s="725"/>
      <c r="W424" s="725"/>
      <c r="X424" s="723"/>
      <c r="Y424" s="723"/>
      <c r="Z424" s="723"/>
      <c r="AA424" s="726"/>
      <c r="AB424" s="726"/>
      <c r="AC424" s="170"/>
      <c r="AD424" s="586"/>
      <c r="AE424" s="586"/>
      <c r="AF424" s="170"/>
      <c r="AG424" s="170"/>
      <c r="AH424" s="170"/>
      <c r="AI424" s="170"/>
      <c r="AJ424" s="170"/>
      <c r="AK424" s="170"/>
      <c r="AL424" s="170"/>
      <c r="AM424" s="170"/>
      <c r="AN424" s="170"/>
      <c r="AO424" s="170"/>
      <c r="AP424" s="170"/>
      <c r="AQ424" s="170"/>
      <c r="AR424" s="170"/>
      <c r="AS424" s="170"/>
      <c r="AT424" s="170"/>
      <c r="AU424" s="170"/>
      <c r="AV424" s="170"/>
      <c r="AW424" s="170"/>
      <c r="AX424" s="170"/>
    </row>
    <row r="425" spans="1:50" ht="15" x14ac:dyDescent="0.25">
      <c r="A425" s="170"/>
      <c r="B425" s="719"/>
      <c r="C425" s="170"/>
      <c r="D425" s="170"/>
      <c r="E425" s="170"/>
      <c r="F425" s="170"/>
      <c r="G425" s="721"/>
      <c r="H425" s="170"/>
      <c r="I425" s="170"/>
      <c r="J425" s="170"/>
      <c r="K425" s="170"/>
      <c r="L425" s="170"/>
      <c r="M425" s="730"/>
      <c r="N425" s="730"/>
      <c r="O425" s="730"/>
      <c r="P425" s="731"/>
      <c r="Q425" s="731"/>
      <c r="R425" s="730"/>
      <c r="S425" s="730"/>
      <c r="T425" s="723"/>
      <c r="U425" s="724"/>
      <c r="V425" s="725"/>
      <c r="W425" s="725"/>
      <c r="X425" s="723"/>
      <c r="Y425" s="723"/>
      <c r="Z425" s="723"/>
      <c r="AA425" s="726"/>
      <c r="AB425" s="726"/>
      <c r="AC425" s="170"/>
      <c r="AD425" s="586"/>
      <c r="AE425" s="586"/>
      <c r="AF425" s="170"/>
      <c r="AG425" s="170"/>
      <c r="AH425" s="170"/>
      <c r="AI425" s="170"/>
      <c r="AJ425" s="170"/>
      <c r="AK425" s="170"/>
      <c r="AL425" s="170"/>
      <c r="AM425" s="170"/>
      <c r="AN425" s="170"/>
      <c r="AO425" s="170"/>
      <c r="AP425" s="170"/>
      <c r="AQ425" s="170"/>
      <c r="AR425" s="170"/>
      <c r="AS425" s="170"/>
      <c r="AT425" s="170"/>
      <c r="AU425" s="170"/>
      <c r="AV425" s="170"/>
      <c r="AW425" s="170"/>
      <c r="AX425" s="170"/>
    </row>
    <row r="426" spans="1:50" ht="15" x14ac:dyDescent="0.25">
      <c r="A426" s="170"/>
      <c r="B426" s="719"/>
      <c r="C426" s="170"/>
      <c r="D426" s="170"/>
      <c r="E426" s="170"/>
      <c r="F426" s="170"/>
      <c r="G426" s="721"/>
      <c r="H426" s="170"/>
      <c r="I426" s="170"/>
      <c r="J426" s="170"/>
      <c r="K426" s="170"/>
      <c r="L426" s="170"/>
      <c r="M426" s="730"/>
      <c r="N426" s="730"/>
      <c r="O426" s="730"/>
      <c r="P426" s="731"/>
      <c r="Q426" s="731"/>
      <c r="R426" s="730"/>
      <c r="S426" s="730"/>
      <c r="T426" s="723"/>
      <c r="U426" s="724"/>
      <c r="V426" s="725"/>
      <c r="W426" s="725"/>
      <c r="X426" s="723"/>
      <c r="Y426" s="723"/>
      <c r="Z426" s="723"/>
      <c r="AA426" s="726"/>
      <c r="AB426" s="726"/>
      <c r="AC426" s="170"/>
      <c r="AD426" s="586"/>
      <c r="AE426" s="586"/>
      <c r="AF426" s="170"/>
      <c r="AG426" s="170"/>
      <c r="AH426" s="170"/>
      <c r="AI426" s="170"/>
      <c r="AJ426" s="170"/>
      <c r="AK426" s="170"/>
      <c r="AL426" s="170"/>
      <c r="AM426" s="170"/>
      <c r="AN426" s="170"/>
      <c r="AO426" s="170"/>
      <c r="AP426" s="170"/>
      <c r="AQ426" s="170"/>
      <c r="AR426" s="170"/>
      <c r="AS426" s="170"/>
      <c r="AT426" s="170"/>
      <c r="AU426" s="170"/>
      <c r="AV426" s="170"/>
      <c r="AW426" s="170"/>
      <c r="AX426" s="170"/>
    </row>
    <row r="427" spans="1:50" ht="15" x14ac:dyDescent="0.25">
      <c r="A427" s="170"/>
      <c r="B427" s="719"/>
      <c r="C427" s="170"/>
      <c r="D427" s="170"/>
      <c r="E427" s="170"/>
      <c r="F427" s="170"/>
      <c r="G427" s="721"/>
      <c r="H427" s="170"/>
      <c r="I427" s="170"/>
      <c r="J427" s="170"/>
      <c r="K427" s="170"/>
      <c r="L427" s="170"/>
      <c r="M427" s="730"/>
      <c r="N427" s="730"/>
      <c r="O427" s="730"/>
      <c r="P427" s="731"/>
      <c r="Q427" s="731"/>
      <c r="R427" s="730"/>
      <c r="S427" s="730"/>
      <c r="T427" s="723"/>
      <c r="U427" s="724"/>
      <c r="V427" s="725"/>
      <c r="W427" s="725"/>
      <c r="X427" s="723"/>
      <c r="Y427" s="723"/>
      <c r="Z427" s="723"/>
      <c r="AA427" s="726"/>
      <c r="AB427" s="726"/>
      <c r="AC427" s="170"/>
      <c r="AD427" s="586"/>
      <c r="AE427" s="586"/>
      <c r="AF427" s="170"/>
      <c r="AG427" s="170"/>
      <c r="AH427" s="170"/>
      <c r="AI427" s="170"/>
      <c r="AJ427" s="170"/>
      <c r="AK427" s="170"/>
      <c r="AL427" s="170"/>
      <c r="AM427" s="170"/>
      <c r="AN427" s="170"/>
      <c r="AO427" s="170"/>
      <c r="AP427" s="170"/>
      <c r="AQ427" s="170"/>
      <c r="AR427" s="170"/>
      <c r="AS427" s="170"/>
      <c r="AT427" s="170"/>
      <c r="AU427" s="170"/>
      <c r="AV427" s="170"/>
      <c r="AW427" s="170"/>
      <c r="AX427" s="170"/>
    </row>
    <row r="428" spans="1:50" ht="15" x14ac:dyDescent="0.25">
      <c r="A428" s="170"/>
      <c r="B428" s="719"/>
      <c r="C428" s="170"/>
      <c r="D428" s="170"/>
      <c r="E428" s="170"/>
      <c r="F428" s="170"/>
      <c r="G428" s="721"/>
      <c r="H428" s="170"/>
      <c r="I428" s="170"/>
      <c r="J428" s="170"/>
      <c r="K428" s="170"/>
      <c r="L428" s="170"/>
      <c r="M428" s="730"/>
      <c r="N428" s="730"/>
      <c r="O428" s="730"/>
      <c r="P428" s="731"/>
      <c r="Q428" s="731"/>
      <c r="R428" s="730"/>
      <c r="S428" s="730"/>
      <c r="T428" s="723"/>
      <c r="U428" s="724"/>
      <c r="V428" s="725"/>
      <c r="W428" s="725"/>
      <c r="X428" s="723"/>
      <c r="Y428" s="723"/>
      <c r="Z428" s="723"/>
      <c r="AA428" s="726"/>
      <c r="AB428" s="726"/>
      <c r="AC428" s="170"/>
      <c r="AD428" s="586"/>
      <c r="AE428" s="586"/>
      <c r="AF428" s="170"/>
      <c r="AG428" s="170"/>
      <c r="AH428" s="170"/>
      <c r="AI428" s="170"/>
      <c r="AJ428" s="170"/>
      <c r="AK428" s="170"/>
      <c r="AL428" s="170"/>
      <c r="AM428" s="170"/>
      <c r="AN428" s="170"/>
      <c r="AO428" s="170"/>
      <c r="AP428" s="170"/>
      <c r="AQ428" s="170"/>
      <c r="AR428" s="170"/>
      <c r="AS428" s="170"/>
      <c r="AT428" s="170"/>
      <c r="AU428" s="170"/>
      <c r="AV428" s="170"/>
      <c r="AW428" s="170"/>
      <c r="AX428" s="170"/>
    </row>
    <row r="429" spans="1:50" ht="15" x14ac:dyDescent="0.25">
      <c r="A429" s="170"/>
      <c r="B429" s="719"/>
      <c r="C429" s="170"/>
      <c r="D429" s="170"/>
      <c r="E429" s="170"/>
      <c r="F429" s="170"/>
      <c r="G429" s="721"/>
      <c r="H429" s="170"/>
      <c r="I429" s="170"/>
      <c r="J429" s="170"/>
      <c r="K429" s="170"/>
      <c r="L429" s="170"/>
      <c r="M429" s="730"/>
      <c r="N429" s="730"/>
      <c r="O429" s="730"/>
      <c r="P429" s="731"/>
      <c r="Q429" s="731"/>
      <c r="R429" s="730"/>
      <c r="S429" s="730"/>
      <c r="T429" s="723"/>
      <c r="U429" s="724"/>
      <c r="V429" s="725"/>
      <c r="W429" s="725"/>
      <c r="X429" s="723"/>
      <c r="Y429" s="723"/>
      <c r="Z429" s="723"/>
      <c r="AA429" s="726"/>
      <c r="AB429" s="726"/>
      <c r="AC429" s="170"/>
      <c r="AD429" s="586"/>
      <c r="AE429" s="586"/>
      <c r="AF429" s="170"/>
      <c r="AG429" s="170"/>
      <c r="AH429" s="170"/>
      <c r="AI429" s="170"/>
      <c r="AJ429" s="170"/>
      <c r="AK429" s="170"/>
      <c r="AL429" s="170"/>
      <c r="AM429" s="170"/>
      <c r="AN429" s="170"/>
      <c r="AO429" s="170"/>
      <c r="AP429" s="170"/>
      <c r="AQ429" s="170"/>
      <c r="AR429" s="170"/>
      <c r="AS429" s="170"/>
      <c r="AT429" s="170"/>
      <c r="AU429" s="170"/>
      <c r="AV429" s="170"/>
      <c r="AW429" s="170"/>
      <c r="AX429" s="170"/>
    </row>
    <row r="430" spans="1:50" ht="15" x14ac:dyDescent="0.25">
      <c r="A430" s="170"/>
      <c r="B430" s="719"/>
      <c r="C430" s="170"/>
      <c r="D430" s="170"/>
      <c r="E430" s="170"/>
      <c r="F430" s="170"/>
      <c r="G430" s="721"/>
      <c r="H430" s="170"/>
      <c r="I430" s="170"/>
      <c r="J430" s="170"/>
      <c r="K430" s="170"/>
      <c r="L430" s="170"/>
      <c r="M430" s="730"/>
      <c r="N430" s="730"/>
      <c r="O430" s="730"/>
      <c r="P430" s="731"/>
      <c r="Q430" s="731"/>
      <c r="R430" s="730"/>
      <c r="S430" s="730"/>
      <c r="T430" s="723"/>
      <c r="U430" s="724"/>
      <c r="V430" s="725"/>
      <c r="W430" s="725"/>
      <c r="X430" s="723"/>
      <c r="Y430" s="723"/>
      <c r="Z430" s="723"/>
      <c r="AA430" s="726"/>
      <c r="AB430" s="726"/>
      <c r="AC430" s="170"/>
      <c r="AD430" s="586"/>
      <c r="AE430" s="586"/>
      <c r="AF430" s="170"/>
      <c r="AG430" s="170"/>
      <c r="AH430" s="170"/>
      <c r="AI430" s="170"/>
      <c r="AJ430" s="170"/>
      <c r="AK430" s="170"/>
      <c r="AL430" s="170"/>
      <c r="AM430" s="170"/>
      <c r="AN430" s="170"/>
      <c r="AO430" s="170"/>
      <c r="AP430" s="170"/>
      <c r="AQ430" s="170"/>
      <c r="AR430" s="170"/>
      <c r="AS430" s="170"/>
      <c r="AT430" s="170"/>
      <c r="AU430" s="170"/>
      <c r="AV430" s="170"/>
      <c r="AW430" s="170"/>
      <c r="AX430" s="170"/>
    </row>
    <row r="431" spans="1:50" ht="15" x14ac:dyDescent="0.25">
      <c r="A431" s="170"/>
      <c r="B431" s="719"/>
      <c r="C431" s="170"/>
      <c r="D431" s="170"/>
      <c r="E431" s="170"/>
      <c r="F431" s="170"/>
      <c r="G431" s="721"/>
      <c r="H431" s="170"/>
      <c r="I431" s="170"/>
      <c r="J431" s="170"/>
      <c r="K431" s="170"/>
      <c r="L431" s="170"/>
      <c r="M431" s="730"/>
      <c r="N431" s="730"/>
      <c r="O431" s="730"/>
      <c r="P431" s="731"/>
      <c r="Q431" s="731"/>
      <c r="R431" s="730"/>
      <c r="S431" s="730"/>
      <c r="T431" s="723"/>
      <c r="U431" s="724"/>
      <c r="V431" s="725"/>
      <c r="W431" s="725"/>
      <c r="X431" s="723"/>
      <c r="Y431" s="723"/>
      <c r="Z431" s="723"/>
      <c r="AA431" s="726"/>
      <c r="AB431" s="726"/>
      <c r="AC431" s="170"/>
      <c r="AD431" s="586"/>
      <c r="AE431" s="586"/>
      <c r="AF431" s="170"/>
      <c r="AG431" s="170"/>
      <c r="AH431" s="170"/>
      <c r="AI431" s="170"/>
      <c r="AJ431" s="170"/>
      <c r="AK431" s="170"/>
      <c r="AL431" s="170"/>
      <c r="AM431" s="170"/>
      <c r="AN431" s="170"/>
      <c r="AO431" s="170"/>
      <c r="AP431" s="170"/>
      <c r="AQ431" s="170"/>
      <c r="AR431" s="170"/>
      <c r="AS431" s="170"/>
      <c r="AT431" s="170"/>
      <c r="AU431" s="170"/>
      <c r="AV431" s="170"/>
      <c r="AW431" s="170"/>
      <c r="AX431" s="170"/>
    </row>
    <row r="432" spans="1:50" ht="15" x14ac:dyDescent="0.25">
      <c r="A432" s="170"/>
      <c r="B432" s="719"/>
      <c r="C432" s="170"/>
      <c r="D432" s="170"/>
      <c r="E432" s="170"/>
      <c r="F432" s="170"/>
      <c r="G432" s="721"/>
      <c r="H432" s="170"/>
      <c r="I432" s="170"/>
      <c r="J432" s="170"/>
      <c r="K432" s="170"/>
      <c r="L432" s="170"/>
      <c r="M432" s="730"/>
      <c r="N432" s="730"/>
      <c r="O432" s="730"/>
      <c r="P432" s="731"/>
      <c r="Q432" s="731"/>
      <c r="R432" s="730"/>
      <c r="S432" s="730"/>
      <c r="T432" s="723"/>
      <c r="U432" s="724"/>
      <c r="V432" s="725"/>
      <c r="W432" s="725"/>
      <c r="X432" s="723"/>
      <c r="Y432" s="723"/>
      <c r="Z432" s="723"/>
      <c r="AA432" s="726"/>
      <c r="AB432" s="726"/>
      <c r="AC432" s="170"/>
      <c r="AD432" s="586"/>
      <c r="AE432" s="586"/>
      <c r="AF432" s="170"/>
      <c r="AG432" s="170"/>
      <c r="AH432" s="170"/>
      <c r="AI432" s="170"/>
      <c r="AJ432" s="170"/>
      <c r="AK432" s="170"/>
      <c r="AL432" s="170"/>
      <c r="AM432" s="170"/>
      <c r="AN432" s="170"/>
      <c r="AO432" s="170"/>
      <c r="AP432" s="170"/>
      <c r="AQ432" s="170"/>
      <c r="AR432" s="170"/>
      <c r="AS432" s="170"/>
      <c r="AT432" s="170"/>
      <c r="AU432" s="170"/>
      <c r="AV432" s="170"/>
      <c r="AW432" s="170"/>
      <c r="AX432" s="170"/>
    </row>
    <row r="433" spans="1:50" ht="15" x14ac:dyDescent="0.25">
      <c r="A433" s="170"/>
      <c r="B433" s="719"/>
      <c r="C433" s="170"/>
      <c r="D433" s="170"/>
      <c r="E433" s="170"/>
      <c r="F433" s="170"/>
      <c r="G433" s="721"/>
      <c r="H433" s="170"/>
      <c r="I433" s="170"/>
      <c r="J433" s="170"/>
      <c r="K433" s="170"/>
      <c r="L433" s="170"/>
      <c r="M433" s="730"/>
      <c r="N433" s="730"/>
      <c r="O433" s="730"/>
      <c r="P433" s="731"/>
      <c r="Q433" s="731"/>
      <c r="R433" s="730"/>
      <c r="S433" s="730"/>
      <c r="T433" s="723"/>
      <c r="U433" s="724"/>
      <c r="V433" s="725"/>
      <c r="W433" s="725"/>
      <c r="X433" s="723"/>
      <c r="Y433" s="723"/>
      <c r="Z433" s="723"/>
      <c r="AA433" s="726"/>
      <c r="AB433" s="726"/>
      <c r="AC433" s="170"/>
      <c r="AD433" s="586"/>
      <c r="AE433" s="586"/>
      <c r="AF433" s="170"/>
      <c r="AG433" s="170"/>
      <c r="AH433" s="170"/>
      <c r="AI433" s="170"/>
      <c r="AJ433" s="170"/>
      <c r="AK433" s="170"/>
      <c r="AL433" s="170"/>
      <c r="AM433" s="170"/>
      <c r="AN433" s="170"/>
      <c r="AO433" s="170"/>
      <c r="AP433" s="170"/>
      <c r="AQ433" s="170"/>
      <c r="AR433" s="170"/>
      <c r="AS433" s="170"/>
      <c r="AT433" s="170"/>
      <c r="AU433" s="170"/>
      <c r="AV433" s="170"/>
      <c r="AW433" s="170"/>
      <c r="AX433" s="170"/>
    </row>
    <row r="434" spans="1:50" ht="15" x14ac:dyDescent="0.25">
      <c r="A434" s="170"/>
      <c r="B434" s="719"/>
      <c r="C434" s="170"/>
      <c r="D434" s="170"/>
      <c r="E434" s="170"/>
      <c r="F434" s="170"/>
      <c r="G434" s="721"/>
      <c r="H434" s="170"/>
      <c r="I434" s="170"/>
      <c r="J434" s="170"/>
      <c r="K434" s="170"/>
      <c r="L434" s="170"/>
      <c r="M434" s="730"/>
      <c r="N434" s="730"/>
      <c r="O434" s="730"/>
      <c r="P434" s="731"/>
      <c r="Q434" s="731"/>
      <c r="R434" s="730"/>
      <c r="S434" s="730"/>
      <c r="T434" s="723"/>
      <c r="U434" s="724"/>
      <c r="V434" s="725"/>
      <c r="W434" s="725"/>
      <c r="X434" s="723"/>
      <c r="Y434" s="723"/>
      <c r="Z434" s="723"/>
      <c r="AA434" s="726"/>
      <c r="AB434" s="726"/>
      <c r="AC434" s="170"/>
      <c r="AD434" s="586"/>
      <c r="AE434" s="586"/>
      <c r="AF434" s="170"/>
      <c r="AG434" s="170"/>
      <c r="AH434" s="170"/>
      <c r="AI434" s="170"/>
      <c r="AJ434" s="170"/>
      <c r="AK434" s="170"/>
      <c r="AL434" s="170"/>
      <c r="AM434" s="170"/>
      <c r="AN434" s="170"/>
      <c r="AO434" s="170"/>
      <c r="AP434" s="170"/>
      <c r="AQ434" s="170"/>
      <c r="AR434" s="170"/>
      <c r="AS434" s="170"/>
      <c r="AT434" s="170"/>
      <c r="AU434" s="170"/>
      <c r="AV434" s="170"/>
      <c r="AW434" s="170"/>
      <c r="AX434" s="170"/>
    </row>
    <row r="435" spans="1:50" ht="15" x14ac:dyDescent="0.25">
      <c r="A435" s="170"/>
      <c r="B435" s="719"/>
      <c r="C435" s="170"/>
      <c r="D435" s="170"/>
      <c r="E435" s="170"/>
      <c r="F435" s="170"/>
      <c r="G435" s="721"/>
      <c r="H435" s="170"/>
      <c r="I435" s="170"/>
      <c r="J435" s="170"/>
      <c r="K435" s="170"/>
      <c r="L435" s="170"/>
      <c r="M435" s="730"/>
      <c r="N435" s="730"/>
      <c r="O435" s="730"/>
      <c r="P435" s="731"/>
      <c r="Q435" s="731"/>
      <c r="R435" s="730"/>
      <c r="S435" s="730"/>
      <c r="T435" s="723"/>
      <c r="U435" s="724"/>
      <c r="V435" s="725"/>
      <c r="W435" s="725"/>
      <c r="X435" s="723"/>
      <c r="Y435" s="723"/>
      <c r="Z435" s="723"/>
      <c r="AA435" s="726"/>
      <c r="AB435" s="726"/>
      <c r="AC435" s="170"/>
      <c r="AD435" s="586"/>
      <c r="AE435" s="586"/>
      <c r="AF435" s="170"/>
      <c r="AG435" s="170"/>
      <c r="AH435" s="170"/>
      <c r="AI435" s="170"/>
      <c r="AJ435" s="170"/>
      <c r="AK435" s="170"/>
      <c r="AL435" s="170"/>
      <c r="AM435" s="170"/>
      <c r="AN435" s="170"/>
      <c r="AO435" s="170"/>
      <c r="AP435" s="170"/>
      <c r="AQ435" s="170"/>
      <c r="AR435" s="170"/>
      <c r="AS435" s="170"/>
      <c r="AT435" s="170"/>
      <c r="AU435" s="170"/>
      <c r="AV435" s="170"/>
      <c r="AW435" s="170"/>
      <c r="AX435" s="170"/>
    </row>
    <row r="436" spans="1:50" ht="15" x14ac:dyDescent="0.25">
      <c r="A436" s="170"/>
      <c r="B436" s="719"/>
      <c r="C436" s="170"/>
      <c r="D436" s="170"/>
      <c r="E436" s="170"/>
      <c r="F436" s="170"/>
      <c r="G436" s="721"/>
      <c r="H436" s="170"/>
      <c r="I436" s="170"/>
      <c r="J436" s="170"/>
      <c r="K436" s="170"/>
      <c r="L436" s="170"/>
      <c r="M436" s="730"/>
      <c r="N436" s="730"/>
      <c r="O436" s="730"/>
      <c r="P436" s="731"/>
      <c r="Q436" s="731"/>
      <c r="R436" s="730"/>
      <c r="S436" s="730"/>
      <c r="T436" s="723"/>
      <c r="U436" s="724"/>
      <c r="V436" s="725"/>
      <c r="W436" s="725"/>
      <c r="X436" s="723"/>
      <c r="Y436" s="723"/>
      <c r="Z436" s="723"/>
      <c r="AA436" s="726"/>
      <c r="AB436" s="726"/>
      <c r="AC436" s="170"/>
      <c r="AD436" s="586"/>
      <c r="AE436" s="586"/>
      <c r="AF436" s="170"/>
      <c r="AG436" s="170"/>
      <c r="AH436" s="170"/>
      <c r="AI436" s="170"/>
      <c r="AJ436" s="170"/>
      <c r="AK436" s="170"/>
      <c r="AL436" s="170"/>
      <c r="AM436" s="170"/>
      <c r="AN436" s="170"/>
      <c r="AO436" s="170"/>
      <c r="AP436" s="170"/>
      <c r="AQ436" s="170"/>
      <c r="AR436" s="170"/>
      <c r="AS436" s="170"/>
      <c r="AT436" s="170"/>
      <c r="AU436" s="170"/>
      <c r="AV436" s="170"/>
      <c r="AW436" s="170"/>
      <c r="AX436" s="170"/>
    </row>
    <row r="437" spans="1:50" ht="15" x14ac:dyDescent="0.25">
      <c r="A437" s="170"/>
      <c r="B437" s="719"/>
      <c r="C437" s="170"/>
      <c r="D437" s="170"/>
      <c r="E437" s="170"/>
      <c r="F437" s="170"/>
      <c r="G437" s="721"/>
      <c r="H437" s="170"/>
      <c r="I437" s="170"/>
      <c r="J437" s="170"/>
      <c r="K437" s="170"/>
      <c r="L437" s="170"/>
      <c r="M437" s="730"/>
      <c r="N437" s="730"/>
      <c r="O437" s="730"/>
      <c r="P437" s="731"/>
      <c r="Q437" s="731"/>
      <c r="R437" s="730"/>
      <c r="S437" s="730"/>
      <c r="T437" s="723"/>
      <c r="U437" s="724"/>
      <c r="V437" s="725"/>
      <c r="W437" s="725"/>
      <c r="X437" s="723"/>
      <c r="Y437" s="723"/>
      <c r="Z437" s="723"/>
      <c r="AA437" s="726"/>
      <c r="AB437" s="726"/>
      <c r="AC437" s="170"/>
      <c r="AD437" s="586"/>
      <c r="AE437" s="586"/>
      <c r="AF437" s="170"/>
      <c r="AG437" s="170"/>
      <c r="AH437" s="170"/>
      <c r="AI437" s="170"/>
      <c r="AJ437" s="170"/>
      <c r="AK437" s="170"/>
      <c r="AL437" s="170"/>
      <c r="AM437" s="170"/>
      <c r="AN437" s="170"/>
      <c r="AO437" s="170"/>
      <c r="AP437" s="170"/>
      <c r="AQ437" s="170"/>
      <c r="AR437" s="170"/>
      <c r="AS437" s="170"/>
      <c r="AT437" s="170"/>
      <c r="AU437" s="170"/>
      <c r="AV437" s="170"/>
      <c r="AW437" s="170"/>
      <c r="AX437" s="170"/>
    </row>
    <row r="438" spans="1:50" ht="15" x14ac:dyDescent="0.25">
      <c r="A438" s="170"/>
      <c r="B438" s="719"/>
      <c r="C438" s="170"/>
      <c r="D438" s="170"/>
      <c r="E438" s="170"/>
      <c r="F438" s="170"/>
      <c r="G438" s="721"/>
      <c r="H438" s="170"/>
      <c r="I438" s="170"/>
      <c r="J438" s="170"/>
      <c r="K438" s="170"/>
      <c r="L438" s="170"/>
      <c r="M438" s="730"/>
      <c r="N438" s="730"/>
      <c r="O438" s="730"/>
      <c r="P438" s="731"/>
      <c r="Q438" s="731"/>
      <c r="R438" s="730"/>
      <c r="S438" s="730"/>
      <c r="T438" s="723"/>
      <c r="U438" s="724"/>
      <c r="V438" s="725"/>
      <c r="W438" s="725"/>
      <c r="X438" s="723"/>
      <c r="Y438" s="723"/>
      <c r="Z438" s="723"/>
      <c r="AA438" s="726"/>
      <c r="AB438" s="726"/>
      <c r="AC438" s="170"/>
      <c r="AD438" s="586"/>
      <c r="AE438" s="586"/>
      <c r="AF438" s="170"/>
      <c r="AG438" s="170"/>
      <c r="AH438" s="170"/>
      <c r="AI438" s="170"/>
      <c r="AJ438" s="170"/>
      <c r="AK438" s="170"/>
      <c r="AL438" s="170"/>
      <c r="AM438" s="170"/>
      <c r="AN438" s="170"/>
      <c r="AO438" s="170"/>
      <c r="AP438" s="170"/>
      <c r="AQ438" s="170"/>
      <c r="AR438" s="170"/>
      <c r="AS438" s="170"/>
      <c r="AT438" s="170"/>
      <c r="AU438" s="170"/>
      <c r="AV438" s="170"/>
      <c r="AW438" s="170"/>
      <c r="AX438" s="170"/>
    </row>
    <row r="439" spans="1:50" ht="15" x14ac:dyDescent="0.25">
      <c r="A439" s="170"/>
      <c r="B439" s="719"/>
      <c r="C439" s="170"/>
      <c r="D439" s="170"/>
      <c r="E439" s="170"/>
      <c r="F439" s="170"/>
      <c r="G439" s="721"/>
      <c r="H439" s="170"/>
      <c r="I439" s="170"/>
      <c r="J439" s="170"/>
      <c r="K439" s="170"/>
      <c r="L439" s="170"/>
      <c r="M439" s="730"/>
      <c r="N439" s="730"/>
      <c r="O439" s="730"/>
      <c r="P439" s="731"/>
      <c r="Q439" s="731"/>
      <c r="R439" s="730"/>
      <c r="S439" s="730"/>
      <c r="T439" s="723"/>
      <c r="U439" s="724"/>
      <c r="V439" s="725"/>
      <c r="W439" s="725"/>
      <c r="X439" s="723"/>
      <c r="Y439" s="723"/>
      <c r="Z439" s="723"/>
      <c r="AA439" s="726"/>
      <c r="AB439" s="726"/>
      <c r="AC439" s="170"/>
      <c r="AD439" s="586"/>
      <c r="AE439" s="586"/>
      <c r="AF439" s="170"/>
      <c r="AG439" s="170"/>
      <c r="AH439" s="170"/>
      <c r="AI439" s="170"/>
      <c r="AJ439" s="170"/>
      <c r="AK439" s="170"/>
      <c r="AL439" s="170"/>
      <c r="AM439" s="170"/>
      <c r="AN439" s="170"/>
      <c r="AO439" s="170"/>
      <c r="AP439" s="170"/>
      <c r="AQ439" s="170"/>
      <c r="AR439" s="170"/>
      <c r="AS439" s="170"/>
      <c r="AT439" s="170"/>
      <c r="AU439" s="170"/>
      <c r="AV439" s="170"/>
      <c r="AW439" s="170"/>
      <c r="AX439" s="170"/>
    </row>
    <row r="440" spans="1:50" ht="15" x14ac:dyDescent="0.25">
      <c r="A440" s="170"/>
      <c r="B440" s="719"/>
      <c r="C440" s="170"/>
      <c r="D440" s="170"/>
      <c r="E440" s="170"/>
      <c r="F440" s="170"/>
      <c r="G440" s="721"/>
      <c r="H440" s="170"/>
      <c r="I440" s="170"/>
      <c r="J440" s="170"/>
      <c r="K440" s="170"/>
      <c r="L440" s="170"/>
      <c r="M440" s="730"/>
      <c r="N440" s="730"/>
      <c r="O440" s="730"/>
      <c r="P440" s="731"/>
      <c r="Q440" s="731"/>
      <c r="R440" s="730"/>
      <c r="S440" s="730"/>
      <c r="T440" s="723"/>
      <c r="U440" s="724"/>
      <c r="V440" s="725"/>
      <c r="W440" s="725"/>
      <c r="X440" s="723"/>
      <c r="Y440" s="723"/>
      <c r="Z440" s="723"/>
      <c r="AA440" s="726"/>
      <c r="AB440" s="726"/>
      <c r="AC440" s="170"/>
      <c r="AD440" s="586"/>
      <c r="AE440" s="586"/>
      <c r="AF440" s="170"/>
      <c r="AG440" s="170"/>
      <c r="AH440" s="170"/>
      <c r="AI440" s="170"/>
      <c r="AJ440" s="170"/>
      <c r="AK440" s="170"/>
      <c r="AL440" s="170"/>
      <c r="AM440" s="170"/>
      <c r="AN440" s="170"/>
      <c r="AO440" s="170"/>
      <c r="AP440" s="170"/>
      <c r="AQ440" s="170"/>
      <c r="AR440" s="170"/>
      <c r="AS440" s="170"/>
      <c r="AT440" s="170"/>
      <c r="AU440" s="170"/>
      <c r="AV440" s="170"/>
      <c r="AW440" s="170"/>
      <c r="AX440" s="170"/>
    </row>
    <row r="441" spans="1:50" ht="15" x14ac:dyDescent="0.25">
      <c r="A441" s="170"/>
      <c r="B441" s="719"/>
      <c r="C441" s="170"/>
      <c r="D441" s="170"/>
      <c r="E441" s="170"/>
      <c r="F441" s="170"/>
      <c r="G441" s="721"/>
      <c r="H441" s="170"/>
      <c r="I441" s="170"/>
      <c r="J441" s="170"/>
      <c r="K441" s="170"/>
      <c r="L441" s="170"/>
      <c r="M441" s="730"/>
      <c r="N441" s="730"/>
      <c r="O441" s="730"/>
      <c r="P441" s="731"/>
      <c r="Q441" s="731"/>
      <c r="R441" s="730"/>
      <c r="S441" s="730"/>
      <c r="T441" s="723"/>
      <c r="U441" s="724"/>
      <c r="V441" s="725"/>
      <c r="W441" s="725"/>
      <c r="X441" s="723"/>
      <c r="Y441" s="723"/>
      <c r="Z441" s="723"/>
      <c r="AA441" s="726"/>
      <c r="AB441" s="726"/>
      <c r="AC441" s="170"/>
      <c r="AD441" s="586"/>
      <c r="AE441" s="586"/>
      <c r="AF441" s="170"/>
      <c r="AG441" s="170"/>
      <c r="AH441" s="170"/>
      <c r="AI441" s="170"/>
      <c r="AJ441" s="170"/>
      <c r="AK441" s="170"/>
      <c r="AL441" s="170"/>
      <c r="AM441" s="170"/>
      <c r="AN441" s="170"/>
      <c r="AO441" s="170"/>
      <c r="AP441" s="170"/>
      <c r="AQ441" s="170"/>
      <c r="AR441" s="170"/>
      <c r="AS441" s="170"/>
      <c r="AT441" s="170"/>
      <c r="AU441" s="170"/>
      <c r="AV441" s="170"/>
      <c r="AW441" s="170"/>
      <c r="AX441" s="170"/>
    </row>
    <row r="442" spans="1:50" ht="15" x14ac:dyDescent="0.25">
      <c r="A442" s="170"/>
      <c r="B442" s="719"/>
      <c r="C442" s="170"/>
      <c r="D442" s="170"/>
      <c r="E442" s="170"/>
      <c r="F442" s="170"/>
      <c r="G442" s="721"/>
      <c r="H442" s="170"/>
      <c r="I442" s="170"/>
      <c r="J442" s="170"/>
      <c r="K442" s="170"/>
      <c r="L442" s="170"/>
      <c r="M442" s="730"/>
      <c r="N442" s="730"/>
      <c r="O442" s="730"/>
      <c r="P442" s="731"/>
      <c r="Q442" s="731"/>
      <c r="R442" s="730"/>
      <c r="S442" s="730"/>
      <c r="T442" s="723"/>
      <c r="U442" s="724"/>
      <c r="V442" s="725"/>
      <c r="W442" s="725"/>
      <c r="X442" s="723"/>
      <c r="Y442" s="723"/>
      <c r="Z442" s="723"/>
      <c r="AA442" s="726"/>
      <c r="AB442" s="726"/>
      <c r="AC442" s="170"/>
      <c r="AD442" s="586"/>
      <c r="AE442" s="586"/>
      <c r="AF442" s="170"/>
      <c r="AG442" s="170"/>
      <c r="AH442" s="170"/>
      <c r="AI442" s="170"/>
      <c r="AJ442" s="170"/>
      <c r="AK442" s="170"/>
      <c r="AL442" s="170"/>
      <c r="AM442" s="170"/>
      <c r="AN442" s="170"/>
      <c r="AO442" s="170"/>
      <c r="AP442" s="170"/>
      <c r="AQ442" s="170"/>
      <c r="AR442" s="170"/>
      <c r="AS442" s="170"/>
      <c r="AT442" s="170"/>
      <c r="AU442" s="170"/>
      <c r="AV442" s="170"/>
      <c r="AW442" s="170"/>
      <c r="AX442" s="170"/>
    </row>
    <row r="443" spans="1:50" ht="15" x14ac:dyDescent="0.25">
      <c r="A443" s="170"/>
      <c r="B443" s="719"/>
      <c r="C443" s="170"/>
      <c r="D443" s="170"/>
      <c r="E443" s="170"/>
      <c r="F443" s="170"/>
      <c r="G443" s="721"/>
      <c r="H443" s="170"/>
      <c r="I443" s="170"/>
      <c r="J443" s="170"/>
      <c r="K443" s="170"/>
      <c r="L443" s="170"/>
      <c r="M443" s="730"/>
      <c r="N443" s="730"/>
      <c r="O443" s="730"/>
      <c r="P443" s="731"/>
      <c r="Q443" s="731"/>
      <c r="R443" s="730"/>
      <c r="S443" s="730"/>
      <c r="T443" s="723"/>
      <c r="U443" s="724"/>
      <c r="V443" s="725"/>
      <c r="W443" s="725"/>
      <c r="X443" s="723"/>
      <c r="Y443" s="723"/>
      <c r="Z443" s="723"/>
      <c r="AA443" s="726"/>
      <c r="AB443" s="726"/>
      <c r="AC443" s="170"/>
      <c r="AD443" s="586"/>
      <c r="AE443" s="586"/>
      <c r="AF443" s="170"/>
      <c r="AG443" s="170"/>
      <c r="AH443" s="170"/>
      <c r="AI443" s="170"/>
      <c r="AJ443" s="170"/>
      <c r="AK443" s="170"/>
      <c r="AL443" s="170"/>
      <c r="AM443" s="170"/>
      <c r="AN443" s="170"/>
      <c r="AO443" s="170"/>
      <c r="AP443" s="170"/>
      <c r="AQ443" s="170"/>
      <c r="AR443" s="170"/>
      <c r="AS443" s="170"/>
      <c r="AT443" s="170"/>
      <c r="AU443" s="170"/>
      <c r="AV443" s="170"/>
      <c r="AW443" s="170"/>
      <c r="AX443" s="170"/>
    </row>
    <row r="444" spans="1:50" ht="15" x14ac:dyDescent="0.25">
      <c r="A444" s="170"/>
      <c r="B444" s="719"/>
      <c r="C444" s="170"/>
      <c r="D444" s="170"/>
      <c r="E444" s="170"/>
      <c r="F444" s="170"/>
      <c r="G444" s="721"/>
      <c r="H444" s="170"/>
      <c r="I444" s="170"/>
      <c r="J444" s="170"/>
      <c r="K444" s="170"/>
      <c r="L444" s="170"/>
      <c r="M444" s="730"/>
      <c r="N444" s="730"/>
      <c r="O444" s="730"/>
      <c r="P444" s="731"/>
      <c r="Q444" s="731"/>
      <c r="R444" s="730"/>
      <c r="S444" s="730"/>
      <c r="T444" s="723"/>
      <c r="U444" s="724"/>
      <c r="V444" s="725"/>
      <c r="W444" s="725"/>
      <c r="X444" s="723"/>
      <c r="Y444" s="723"/>
      <c r="Z444" s="723"/>
      <c r="AA444" s="726"/>
      <c r="AB444" s="726"/>
      <c r="AC444" s="170"/>
      <c r="AD444" s="586"/>
      <c r="AE444" s="586"/>
      <c r="AF444" s="170"/>
      <c r="AG444" s="170"/>
      <c r="AH444" s="170"/>
      <c r="AI444" s="170"/>
      <c r="AJ444" s="170"/>
      <c r="AK444" s="170"/>
      <c r="AL444" s="170"/>
      <c r="AM444" s="170"/>
      <c r="AN444" s="170"/>
      <c r="AO444" s="170"/>
      <c r="AP444" s="170"/>
      <c r="AQ444" s="170"/>
      <c r="AR444" s="170"/>
      <c r="AS444" s="170"/>
      <c r="AT444" s="170"/>
      <c r="AU444" s="170"/>
      <c r="AV444" s="170"/>
      <c r="AW444" s="170"/>
      <c r="AX444" s="170"/>
    </row>
    <row r="445" spans="1:50" ht="15" x14ac:dyDescent="0.25">
      <c r="A445" s="170"/>
      <c r="B445" s="719"/>
      <c r="C445" s="170"/>
      <c r="D445" s="170"/>
      <c r="E445" s="170"/>
      <c r="F445" s="170"/>
      <c r="G445" s="721"/>
      <c r="H445" s="170"/>
      <c r="I445" s="170"/>
      <c r="J445" s="170"/>
      <c r="K445" s="170"/>
      <c r="L445" s="170"/>
      <c r="M445" s="730"/>
      <c r="N445" s="730"/>
      <c r="O445" s="730"/>
      <c r="P445" s="731"/>
      <c r="Q445" s="731"/>
      <c r="R445" s="730"/>
      <c r="S445" s="730"/>
      <c r="T445" s="723"/>
      <c r="U445" s="724"/>
      <c r="V445" s="725"/>
      <c r="W445" s="725"/>
      <c r="X445" s="723"/>
      <c r="Y445" s="723"/>
      <c r="Z445" s="723"/>
      <c r="AA445" s="726"/>
      <c r="AB445" s="726"/>
      <c r="AC445" s="170"/>
      <c r="AD445" s="586"/>
      <c r="AE445" s="586"/>
      <c r="AF445" s="170"/>
      <c r="AG445" s="170"/>
      <c r="AH445" s="170"/>
      <c r="AI445" s="170"/>
      <c r="AJ445" s="170"/>
      <c r="AK445" s="170"/>
      <c r="AL445" s="170"/>
      <c r="AM445" s="170"/>
      <c r="AN445" s="170"/>
      <c r="AO445" s="170"/>
      <c r="AP445" s="170"/>
      <c r="AQ445" s="170"/>
      <c r="AR445" s="170"/>
      <c r="AS445" s="170"/>
      <c r="AT445" s="170"/>
      <c r="AU445" s="170"/>
      <c r="AV445" s="170"/>
      <c r="AW445" s="170"/>
      <c r="AX445" s="170"/>
    </row>
    <row r="446" spans="1:50" ht="15" x14ac:dyDescent="0.25">
      <c r="A446" s="170"/>
      <c r="B446" s="719"/>
      <c r="C446" s="170"/>
      <c r="D446" s="170"/>
      <c r="E446" s="170"/>
      <c r="F446" s="170"/>
      <c r="G446" s="721"/>
      <c r="H446" s="170"/>
      <c r="I446" s="170"/>
      <c r="J446" s="170"/>
      <c r="K446" s="170"/>
      <c r="L446" s="170"/>
      <c r="M446" s="730"/>
      <c r="N446" s="730"/>
      <c r="O446" s="730"/>
      <c r="P446" s="731"/>
      <c r="Q446" s="731"/>
      <c r="R446" s="730"/>
      <c r="S446" s="730"/>
      <c r="T446" s="723"/>
      <c r="U446" s="724"/>
      <c r="V446" s="725"/>
      <c r="W446" s="725"/>
      <c r="X446" s="723"/>
      <c r="Y446" s="723"/>
      <c r="Z446" s="723"/>
      <c r="AA446" s="726"/>
      <c r="AB446" s="726"/>
      <c r="AC446" s="170"/>
      <c r="AD446" s="586"/>
      <c r="AE446" s="586"/>
      <c r="AF446" s="170"/>
      <c r="AG446" s="170"/>
      <c r="AH446" s="170"/>
      <c r="AI446" s="170"/>
      <c r="AJ446" s="170"/>
      <c r="AK446" s="170"/>
      <c r="AL446" s="170"/>
      <c r="AM446" s="170"/>
      <c r="AN446" s="170"/>
      <c r="AO446" s="170"/>
      <c r="AP446" s="170"/>
      <c r="AQ446" s="170"/>
      <c r="AR446" s="170"/>
      <c r="AS446" s="170"/>
      <c r="AT446" s="170"/>
      <c r="AU446" s="170"/>
      <c r="AV446" s="170"/>
      <c r="AW446" s="170"/>
      <c r="AX446" s="170"/>
    </row>
    <row r="447" spans="1:50" ht="15" x14ac:dyDescent="0.25">
      <c r="A447" s="170"/>
      <c r="B447" s="719"/>
      <c r="C447" s="170"/>
      <c r="D447" s="170"/>
      <c r="E447" s="170"/>
      <c r="F447" s="170"/>
      <c r="G447" s="721"/>
      <c r="H447" s="170"/>
      <c r="I447" s="170"/>
      <c r="J447" s="170"/>
      <c r="K447" s="170"/>
      <c r="L447" s="170"/>
      <c r="M447" s="730"/>
      <c r="N447" s="730"/>
      <c r="O447" s="730"/>
      <c r="P447" s="731"/>
      <c r="Q447" s="731"/>
      <c r="R447" s="730"/>
      <c r="S447" s="730"/>
      <c r="T447" s="723"/>
      <c r="U447" s="724"/>
      <c r="V447" s="725"/>
      <c r="W447" s="725"/>
      <c r="X447" s="723"/>
      <c r="Y447" s="723"/>
      <c r="Z447" s="723"/>
      <c r="AA447" s="726"/>
      <c r="AB447" s="726"/>
      <c r="AC447" s="170"/>
      <c r="AD447" s="586"/>
      <c r="AE447" s="586"/>
      <c r="AF447" s="170"/>
      <c r="AG447" s="170"/>
      <c r="AH447" s="170"/>
      <c r="AI447" s="170"/>
      <c r="AJ447" s="170"/>
      <c r="AK447" s="170"/>
      <c r="AL447" s="170"/>
      <c r="AM447" s="170"/>
      <c r="AN447" s="170"/>
      <c r="AO447" s="170"/>
      <c r="AP447" s="170"/>
      <c r="AQ447" s="170"/>
      <c r="AR447" s="170"/>
      <c r="AS447" s="170"/>
      <c r="AT447" s="170"/>
      <c r="AU447" s="170"/>
      <c r="AV447" s="170"/>
      <c r="AW447" s="170"/>
      <c r="AX447" s="170"/>
    </row>
    <row r="448" spans="1:50" ht="15" x14ac:dyDescent="0.25">
      <c r="A448" s="170"/>
      <c r="B448" s="719"/>
      <c r="C448" s="170"/>
      <c r="D448" s="170"/>
      <c r="E448" s="170"/>
      <c r="F448" s="170"/>
      <c r="G448" s="721"/>
      <c r="H448" s="170"/>
      <c r="I448" s="170"/>
      <c r="J448" s="170"/>
      <c r="K448" s="170"/>
      <c r="L448" s="170"/>
      <c r="M448" s="730"/>
      <c r="N448" s="730"/>
      <c r="O448" s="730"/>
      <c r="P448" s="731"/>
      <c r="Q448" s="731"/>
      <c r="R448" s="730"/>
      <c r="S448" s="730"/>
      <c r="T448" s="723"/>
      <c r="U448" s="724"/>
      <c r="V448" s="725"/>
      <c r="W448" s="725"/>
      <c r="X448" s="723"/>
      <c r="Y448" s="723"/>
      <c r="Z448" s="723"/>
      <c r="AA448" s="726"/>
      <c r="AB448" s="726"/>
      <c r="AC448" s="170"/>
      <c r="AD448" s="586"/>
      <c r="AE448" s="586"/>
      <c r="AF448" s="170"/>
      <c r="AG448" s="170"/>
      <c r="AH448" s="170"/>
      <c r="AI448" s="170"/>
      <c r="AJ448" s="170"/>
      <c r="AK448" s="170"/>
      <c r="AL448" s="170"/>
      <c r="AM448" s="170"/>
      <c r="AN448" s="170"/>
      <c r="AO448" s="170"/>
      <c r="AP448" s="170"/>
      <c r="AQ448" s="170"/>
      <c r="AR448" s="170"/>
      <c r="AS448" s="170"/>
      <c r="AT448" s="170"/>
      <c r="AU448" s="170"/>
      <c r="AV448" s="170"/>
      <c r="AW448" s="170"/>
      <c r="AX448" s="170"/>
    </row>
    <row r="449" spans="1:50" ht="15" x14ac:dyDescent="0.25">
      <c r="A449" s="170"/>
      <c r="B449" s="719"/>
      <c r="C449" s="170"/>
      <c r="D449" s="170"/>
      <c r="E449" s="170"/>
      <c r="F449" s="170"/>
      <c r="G449" s="721"/>
      <c r="H449" s="170"/>
      <c r="I449" s="170"/>
      <c r="J449" s="170"/>
      <c r="K449" s="170"/>
      <c r="L449" s="170"/>
      <c r="M449" s="730"/>
      <c r="N449" s="730"/>
      <c r="O449" s="730"/>
      <c r="P449" s="731"/>
      <c r="Q449" s="731"/>
      <c r="R449" s="730"/>
      <c r="S449" s="730"/>
      <c r="T449" s="723"/>
      <c r="U449" s="724"/>
      <c r="V449" s="725"/>
      <c r="W449" s="725"/>
      <c r="X449" s="723"/>
      <c r="Y449" s="723"/>
      <c r="Z449" s="723"/>
      <c r="AA449" s="726"/>
      <c r="AB449" s="726"/>
      <c r="AC449" s="170"/>
      <c r="AD449" s="586"/>
      <c r="AE449" s="586"/>
      <c r="AF449" s="170"/>
      <c r="AG449" s="170"/>
      <c r="AH449" s="170"/>
      <c r="AI449" s="170"/>
      <c r="AJ449" s="170"/>
      <c r="AK449" s="170"/>
      <c r="AL449" s="170"/>
      <c r="AM449" s="170"/>
      <c r="AN449" s="170"/>
      <c r="AO449" s="170"/>
      <c r="AP449" s="170"/>
      <c r="AQ449" s="170"/>
      <c r="AR449" s="170"/>
      <c r="AS449" s="170"/>
      <c r="AT449" s="170"/>
      <c r="AU449" s="170"/>
      <c r="AV449" s="170"/>
      <c r="AW449" s="170"/>
      <c r="AX449" s="170"/>
    </row>
    <row r="450" spans="1:50" ht="15" x14ac:dyDescent="0.25">
      <c r="A450" s="170"/>
      <c r="B450" s="719"/>
      <c r="C450" s="170"/>
      <c r="D450" s="170"/>
      <c r="E450" s="170"/>
      <c r="F450" s="170"/>
      <c r="G450" s="721"/>
      <c r="H450" s="170"/>
      <c r="I450" s="170"/>
      <c r="J450" s="170"/>
      <c r="K450" s="170"/>
      <c r="L450" s="170"/>
      <c r="M450" s="730"/>
      <c r="N450" s="730"/>
      <c r="O450" s="730"/>
      <c r="P450" s="731"/>
      <c r="Q450" s="731"/>
      <c r="R450" s="730"/>
      <c r="S450" s="730"/>
      <c r="T450" s="723"/>
      <c r="U450" s="724"/>
      <c r="V450" s="725"/>
      <c r="W450" s="725"/>
      <c r="X450" s="723"/>
      <c r="Y450" s="723"/>
      <c r="Z450" s="723"/>
      <c r="AA450" s="726"/>
      <c r="AB450" s="726"/>
      <c r="AC450" s="170"/>
      <c r="AD450" s="586"/>
      <c r="AE450" s="586"/>
      <c r="AF450" s="170"/>
      <c r="AG450" s="170"/>
      <c r="AH450" s="170"/>
      <c r="AI450" s="170"/>
      <c r="AJ450" s="170"/>
      <c r="AK450" s="170"/>
      <c r="AL450" s="170"/>
      <c r="AM450" s="170"/>
      <c r="AN450" s="170"/>
      <c r="AO450" s="170"/>
      <c r="AP450" s="170"/>
      <c r="AQ450" s="170"/>
      <c r="AR450" s="170"/>
      <c r="AS450" s="170"/>
      <c r="AT450" s="170"/>
      <c r="AU450" s="170"/>
      <c r="AV450" s="170"/>
      <c r="AW450" s="170"/>
      <c r="AX450" s="170"/>
    </row>
    <row r="451" spans="1:50" ht="15" x14ac:dyDescent="0.25">
      <c r="A451" s="170"/>
      <c r="B451" s="719"/>
      <c r="C451" s="170"/>
      <c r="D451" s="170"/>
      <c r="E451" s="170"/>
      <c r="F451" s="170"/>
      <c r="G451" s="721"/>
      <c r="H451" s="170"/>
      <c r="I451" s="170"/>
      <c r="J451" s="170"/>
      <c r="K451" s="170"/>
      <c r="L451" s="170"/>
      <c r="M451" s="730"/>
      <c r="N451" s="730"/>
      <c r="O451" s="730"/>
      <c r="P451" s="731"/>
      <c r="Q451" s="731"/>
      <c r="R451" s="730"/>
      <c r="S451" s="730"/>
      <c r="T451" s="723"/>
      <c r="U451" s="724"/>
      <c r="V451" s="725"/>
      <c r="W451" s="725"/>
      <c r="X451" s="723"/>
      <c r="Y451" s="723"/>
      <c r="Z451" s="723"/>
      <c r="AA451" s="726"/>
      <c r="AB451" s="726"/>
      <c r="AC451" s="170"/>
      <c r="AD451" s="586"/>
      <c r="AE451" s="586"/>
      <c r="AF451" s="170"/>
      <c r="AG451" s="170"/>
      <c r="AH451" s="170"/>
      <c r="AI451" s="170"/>
      <c r="AJ451" s="170"/>
      <c r="AK451" s="170"/>
      <c r="AL451" s="170"/>
      <c r="AM451" s="170"/>
      <c r="AN451" s="170"/>
      <c r="AO451" s="170"/>
      <c r="AP451" s="170"/>
      <c r="AQ451" s="170"/>
      <c r="AR451" s="170"/>
      <c r="AS451" s="170"/>
      <c r="AT451" s="170"/>
      <c r="AU451" s="170"/>
      <c r="AV451" s="170"/>
      <c r="AW451" s="170"/>
      <c r="AX451" s="170"/>
    </row>
    <row r="452" spans="1:50" ht="15" x14ac:dyDescent="0.25">
      <c r="A452" s="170"/>
      <c r="B452" s="719"/>
      <c r="C452" s="170"/>
      <c r="D452" s="170"/>
      <c r="E452" s="170"/>
      <c r="F452" s="170"/>
      <c r="G452" s="721"/>
      <c r="H452" s="170"/>
      <c r="I452" s="170"/>
      <c r="J452" s="170"/>
      <c r="K452" s="170"/>
      <c r="L452" s="170"/>
      <c r="M452" s="730"/>
      <c r="N452" s="730"/>
      <c r="O452" s="730"/>
      <c r="P452" s="731"/>
      <c r="Q452" s="731"/>
      <c r="R452" s="730"/>
      <c r="S452" s="730"/>
      <c r="T452" s="723"/>
      <c r="U452" s="724"/>
      <c r="V452" s="725"/>
      <c r="W452" s="725"/>
      <c r="X452" s="723"/>
      <c r="Y452" s="723"/>
      <c r="Z452" s="723"/>
      <c r="AA452" s="726"/>
      <c r="AB452" s="726"/>
      <c r="AC452" s="170"/>
      <c r="AD452" s="586"/>
      <c r="AE452" s="586"/>
      <c r="AF452" s="170"/>
      <c r="AG452" s="170"/>
      <c r="AH452" s="170"/>
      <c r="AI452" s="170"/>
      <c r="AJ452" s="170"/>
      <c r="AK452" s="170"/>
      <c r="AL452" s="170"/>
      <c r="AM452" s="170"/>
      <c r="AN452" s="170"/>
      <c r="AO452" s="170"/>
      <c r="AP452" s="170"/>
      <c r="AQ452" s="170"/>
      <c r="AR452" s="170"/>
      <c r="AS452" s="170"/>
      <c r="AT452" s="170"/>
      <c r="AU452" s="170"/>
      <c r="AV452" s="170"/>
      <c r="AW452" s="170"/>
      <c r="AX452" s="170"/>
    </row>
    <row r="453" spans="1:50" ht="15" x14ac:dyDescent="0.25">
      <c r="A453" s="170"/>
      <c r="B453" s="719"/>
      <c r="C453" s="170"/>
      <c r="D453" s="170"/>
      <c r="E453" s="170"/>
      <c r="F453" s="170"/>
      <c r="G453" s="721"/>
      <c r="H453" s="170"/>
      <c r="I453" s="170"/>
      <c r="J453" s="170"/>
      <c r="K453" s="170"/>
      <c r="L453" s="170"/>
      <c r="M453" s="730"/>
      <c r="N453" s="730"/>
      <c r="O453" s="730"/>
      <c r="P453" s="731"/>
      <c r="Q453" s="731"/>
      <c r="R453" s="730"/>
      <c r="S453" s="730"/>
      <c r="T453" s="723"/>
      <c r="U453" s="724"/>
      <c r="V453" s="725"/>
      <c r="W453" s="725"/>
      <c r="X453" s="723"/>
      <c r="Y453" s="723"/>
      <c r="Z453" s="723"/>
      <c r="AA453" s="726"/>
      <c r="AB453" s="726"/>
      <c r="AC453" s="170"/>
      <c r="AD453" s="586"/>
      <c r="AE453" s="586"/>
      <c r="AF453" s="170"/>
      <c r="AG453" s="170"/>
      <c r="AH453" s="170"/>
      <c r="AI453" s="170"/>
      <c r="AJ453" s="170"/>
      <c r="AK453" s="170"/>
      <c r="AL453" s="170"/>
      <c r="AM453" s="170"/>
      <c r="AN453" s="170"/>
      <c r="AO453" s="170"/>
      <c r="AP453" s="170"/>
      <c r="AQ453" s="170"/>
      <c r="AR453" s="170"/>
      <c r="AS453" s="170"/>
      <c r="AT453" s="170"/>
      <c r="AU453" s="170"/>
      <c r="AV453" s="170"/>
      <c r="AW453" s="170"/>
      <c r="AX453" s="170"/>
    </row>
    <row r="454" spans="1:50" ht="15" x14ac:dyDescent="0.25">
      <c r="A454" s="170"/>
      <c r="B454" s="719"/>
      <c r="C454" s="170"/>
      <c r="D454" s="170"/>
      <c r="E454" s="170"/>
      <c r="F454" s="170"/>
      <c r="G454" s="721"/>
      <c r="H454" s="170"/>
      <c r="I454" s="170"/>
      <c r="J454" s="170"/>
      <c r="K454" s="170"/>
      <c r="L454" s="170"/>
      <c r="M454" s="730"/>
      <c r="N454" s="730"/>
      <c r="O454" s="730"/>
      <c r="P454" s="731"/>
      <c r="Q454" s="731"/>
      <c r="R454" s="730"/>
      <c r="S454" s="730"/>
      <c r="T454" s="723"/>
      <c r="U454" s="724"/>
      <c r="V454" s="725"/>
      <c r="W454" s="725"/>
      <c r="X454" s="723"/>
      <c r="Y454" s="723"/>
      <c r="Z454" s="723"/>
      <c r="AA454" s="726"/>
      <c r="AB454" s="726"/>
      <c r="AC454" s="170"/>
      <c r="AD454" s="586"/>
      <c r="AE454" s="586"/>
      <c r="AF454" s="170"/>
      <c r="AG454" s="170"/>
      <c r="AH454" s="170"/>
      <c r="AI454" s="170"/>
      <c r="AJ454" s="170"/>
      <c r="AK454" s="170"/>
      <c r="AL454" s="170"/>
      <c r="AM454" s="170"/>
      <c r="AN454" s="170"/>
      <c r="AO454" s="170"/>
      <c r="AP454" s="170"/>
      <c r="AQ454" s="170"/>
      <c r="AR454" s="170"/>
      <c r="AS454" s="170"/>
      <c r="AT454" s="170"/>
      <c r="AU454" s="170"/>
      <c r="AV454" s="170"/>
      <c r="AW454" s="170"/>
      <c r="AX454" s="170"/>
    </row>
    <row r="455" spans="1:50" ht="15" x14ac:dyDescent="0.25">
      <c r="A455" s="170"/>
      <c r="B455" s="719"/>
      <c r="C455" s="170"/>
      <c r="D455" s="170"/>
      <c r="E455" s="170"/>
      <c r="F455" s="170"/>
      <c r="G455" s="721"/>
      <c r="H455" s="170"/>
      <c r="I455" s="170"/>
      <c r="J455" s="170"/>
      <c r="K455" s="170"/>
      <c r="L455" s="170"/>
      <c r="M455" s="730"/>
      <c r="N455" s="730"/>
      <c r="O455" s="730"/>
      <c r="P455" s="731"/>
      <c r="Q455" s="731"/>
      <c r="R455" s="730"/>
      <c r="S455" s="730"/>
      <c r="T455" s="723"/>
      <c r="U455" s="724"/>
      <c r="V455" s="725"/>
      <c r="W455" s="725"/>
      <c r="X455" s="723"/>
      <c r="Y455" s="723"/>
      <c r="Z455" s="723"/>
      <c r="AA455" s="726"/>
      <c r="AB455" s="726"/>
      <c r="AC455" s="170"/>
      <c r="AD455" s="586"/>
      <c r="AE455" s="586"/>
      <c r="AF455" s="170"/>
      <c r="AG455" s="170"/>
      <c r="AH455" s="170"/>
      <c r="AI455" s="170"/>
      <c r="AJ455" s="170"/>
      <c r="AK455" s="170"/>
      <c r="AL455" s="170"/>
      <c r="AM455" s="170"/>
      <c r="AN455" s="170"/>
      <c r="AO455" s="170"/>
      <c r="AP455" s="170"/>
      <c r="AQ455" s="170"/>
      <c r="AR455" s="170"/>
      <c r="AS455" s="170"/>
      <c r="AT455" s="170"/>
      <c r="AU455" s="170"/>
      <c r="AV455" s="170"/>
      <c r="AW455" s="170"/>
      <c r="AX455" s="170"/>
    </row>
    <row r="456" spans="1:50" ht="15" x14ac:dyDescent="0.25">
      <c r="A456" s="170"/>
      <c r="B456" s="719"/>
      <c r="C456" s="170"/>
      <c r="D456" s="170"/>
      <c r="E456" s="170"/>
      <c r="F456" s="170"/>
      <c r="G456" s="721"/>
      <c r="H456" s="170"/>
      <c r="I456" s="170"/>
      <c r="J456" s="170"/>
      <c r="K456" s="170"/>
      <c r="L456" s="170"/>
      <c r="M456" s="730"/>
      <c r="N456" s="730"/>
      <c r="O456" s="730"/>
      <c r="P456" s="731"/>
      <c r="Q456" s="731"/>
      <c r="R456" s="730"/>
      <c r="S456" s="730"/>
      <c r="T456" s="723"/>
      <c r="U456" s="724"/>
      <c r="V456" s="725"/>
      <c r="W456" s="725"/>
      <c r="X456" s="723"/>
      <c r="Y456" s="723"/>
      <c r="Z456" s="723"/>
      <c r="AA456" s="726"/>
      <c r="AB456" s="726"/>
      <c r="AC456" s="170"/>
      <c r="AD456" s="586"/>
      <c r="AE456" s="586"/>
      <c r="AF456" s="170"/>
      <c r="AG456" s="170"/>
      <c r="AH456" s="170"/>
      <c r="AI456" s="170"/>
      <c r="AJ456" s="170"/>
      <c r="AK456" s="170"/>
      <c r="AL456" s="170"/>
      <c r="AM456" s="170"/>
      <c r="AN456" s="170"/>
      <c r="AO456" s="170"/>
      <c r="AP456" s="170"/>
      <c r="AQ456" s="170"/>
      <c r="AR456" s="170"/>
      <c r="AS456" s="170"/>
      <c r="AT456" s="170"/>
      <c r="AU456" s="170"/>
      <c r="AV456" s="170"/>
      <c r="AW456" s="170"/>
      <c r="AX456" s="170"/>
    </row>
    <row r="457" spans="1:50" ht="15" x14ac:dyDescent="0.25">
      <c r="A457" s="170"/>
      <c r="B457" s="719"/>
      <c r="C457" s="170"/>
      <c r="D457" s="170"/>
      <c r="E457" s="170"/>
      <c r="F457" s="170"/>
      <c r="G457" s="721"/>
      <c r="H457" s="170"/>
      <c r="I457" s="170"/>
      <c r="J457" s="170"/>
      <c r="K457" s="170"/>
      <c r="L457" s="170"/>
      <c r="M457" s="730"/>
      <c r="N457" s="730"/>
      <c r="O457" s="730"/>
      <c r="P457" s="731"/>
      <c r="Q457" s="731"/>
      <c r="R457" s="730"/>
      <c r="S457" s="730"/>
      <c r="T457" s="723"/>
      <c r="U457" s="724"/>
      <c r="V457" s="725"/>
      <c r="W457" s="725"/>
      <c r="X457" s="723"/>
      <c r="Y457" s="723"/>
      <c r="Z457" s="723"/>
      <c r="AA457" s="726"/>
      <c r="AB457" s="726"/>
      <c r="AC457" s="170"/>
      <c r="AD457" s="586"/>
      <c r="AE457" s="586"/>
      <c r="AF457" s="170"/>
      <c r="AG457" s="170"/>
      <c r="AH457" s="170"/>
      <c r="AI457" s="170"/>
      <c r="AJ457" s="170"/>
      <c r="AK457" s="170"/>
      <c r="AL457" s="170"/>
      <c r="AM457" s="170"/>
      <c r="AN457" s="170"/>
      <c r="AO457" s="170"/>
      <c r="AP457" s="170"/>
      <c r="AQ457" s="170"/>
      <c r="AR457" s="170"/>
      <c r="AS457" s="170"/>
      <c r="AT457" s="170"/>
      <c r="AU457" s="170"/>
      <c r="AV457" s="170"/>
      <c r="AW457" s="170"/>
      <c r="AX457" s="170"/>
    </row>
    <row r="458" spans="1:50" ht="15" x14ac:dyDescent="0.25">
      <c r="A458" s="170"/>
      <c r="B458" s="719"/>
      <c r="C458" s="170"/>
      <c r="D458" s="170"/>
      <c r="E458" s="170"/>
      <c r="F458" s="170"/>
      <c r="G458" s="721"/>
      <c r="H458" s="170"/>
      <c r="I458" s="170"/>
      <c r="J458" s="170"/>
      <c r="K458" s="170"/>
      <c r="L458" s="170"/>
      <c r="M458" s="730"/>
      <c r="N458" s="730"/>
      <c r="O458" s="730"/>
      <c r="P458" s="731"/>
      <c r="Q458" s="731"/>
      <c r="R458" s="730"/>
      <c r="S458" s="730"/>
      <c r="T458" s="723"/>
      <c r="U458" s="724"/>
      <c r="V458" s="725"/>
      <c r="W458" s="725"/>
      <c r="X458" s="723"/>
      <c r="Y458" s="723"/>
      <c r="Z458" s="723"/>
      <c r="AA458" s="726"/>
      <c r="AB458" s="726"/>
      <c r="AC458" s="170"/>
      <c r="AD458" s="586"/>
      <c r="AE458" s="586"/>
      <c r="AF458" s="170"/>
      <c r="AG458" s="170"/>
      <c r="AH458" s="170"/>
      <c r="AI458" s="170"/>
      <c r="AJ458" s="170"/>
      <c r="AK458" s="170"/>
      <c r="AL458" s="170"/>
      <c r="AM458" s="170"/>
      <c r="AN458" s="170"/>
      <c r="AO458" s="170"/>
      <c r="AP458" s="170"/>
      <c r="AQ458" s="170"/>
      <c r="AR458" s="170"/>
      <c r="AS458" s="170"/>
      <c r="AT458" s="170"/>
      <c r="AU458" s="170"/>
      <c r="AV458" s="170"/>
      <c r="AW458" s="170"/>
      <c r="AX458" s="170"/>
    </row>
    <row r="459" spans="1:50" ht="15" x14ac:dyDescent="0.25">
      <c r="A459" s="170"/>
      <c r="B459" s="719"/>
      <c r="C459" s="170"/>
      <c r="D459" s="170"/>
      <c r="E459" s="170"/>
      <c r="F459" s="170"/>
      <c r="G459" s="721"/>
      <c r="H459" s="170"/>
      <c r="I459" s="170"/>
      <c r="J459" s="170"/>
      <c r="K459" s="170"/>
      <c r="L459" s="170"/>
      <c r="M459" s="730"/>
      <c r="N459" s="730"/>
      <c r="O459" s="730"/>
      <c r="P459" s="731"/>
      <c r="Q459" s="731"/>
      <c r="R459" s="730"/>
      <c r="S459" s="730"/>
      <c r="T459" s="723"/>
      <c r="U459" s="724"/>
      <c r="V459" s="725"/>
      <c r="W459" s="725"/>
      <c r="X459" s="723"/>
      <c r="Y459" s="723"/>
      <c r="Z459" s="723"/>
      <c r="AA459" s="726"/>
      <c r="AB459" s="726"/>
      <c r="AC459" s="170"/>
      <c r="AD459" s="586"/>
      <c r="AE459" s="586"/>
      <c r="AF459" s="170"/>
      <c r="AG459" s="170"/>
      <c r="AH459" s="170"/>
      <c r="AI459" s="170"/>
      <c r="AJ459" s="170"/>
      <c r="AK459" s="170"/>
      <c r="AL459" s="170"/>
      <c r="AM459" s="170"/>
      <c r="AN459" s="170"/>
      <c r="AO459" s="170"/>
      <c r="AP459" s="170"/>
      <c r="AQ459" s="170"/>
      <c r="AR459" s="170"/>
      <c r="AS459" s="170"/>
      <c r="AT459" s="170"/>
      <c r="AU459" s="170"/>
      <c r="AV459" s="170"/>
      <c r="AW459" s="170"/>
      <c r="AX459" s="170"/>
    </row>
    <row r="460" spans="1:50" ht="15" x14ac:dyDescent="0.25">
      <c r="A460" s="170"/>
      <c r="B460" s="719"/>
      <c r="C460" s="170"/>
      <c r="D460" s="170"/>
      <c r="E460" s="170"/>
      <c r="F460" s="170"/>
      <c r="G460" s="721"/>
      <c r="H460" s="170"/>
      <c r="I460" s="170"/>
      <c r="J460" s="170"/>
      <c r="K460" s="170"/>
      <c r="L460" s="170"/>
      <c r="M460" s="730"/>
      <c r="N460" s="730"/>
      <c r="O460" s="730"/>
      <c r="P460" s="731"/>
      <c r="Q460" s="731"/>
      <c r="R460" s="730"/>
      <c r="S460" s="730"/>
      <c r="T460" s="723"/>
      <c r="U460" s="724"/>
      <c r="V460" s="725"/>
      <c r="W460" s="725"/>
      <c r="X460" s="723"/>
      <c r="Y460" s="723"/>
      <c r="Z460" s="723"/>
      <c r="AA460" s="726"/>
      <c r="AB460" s="726"/>
      <c r="AC460" s="170"/>
      <c r="AD460" s="586"/>
      <c r="AE460" s="586"/>
      <c r="AF460" s="170"/>
      <c r="AG460" s="170"/>
      <c r="AH460" s="170"/>
      <c r="AI460" s="170"/>
      <c r="AJ460" s="170"/>
      <c r="AK460" s="170"/>
      <c r="AL460" s="170"/>
      <c r="AM460" s="170"/>
      <c r="AN460" s="170"/>
      <c r="AO460" s="170"/>
      <c r="AP460" s="170"/>
      <c r="AQ460" s="170"/>
      <c r="AR460" s="170"/>
      <c r="AS460" s="170"/>
      <c r="AT460" s="170"/>
      <c r="AU460" s="170"/>
      <c r="AV460" s="170"/>
      <c r="AW460" s="170"/>
      <c r="AX460" s="170"/>
    </row>
    <row r="461" spans="1:50" ht="15" x14ac:dyDescent="0.25">
      <c r="A461" s="170"/>
      <c r="B461" s="719"/>
      <c r="C461" s="170"/>
      <c r="D461" s="170"/>
      <c r="E461" s="170"/>
      <c r="F461" s="170"/>
      <c r="G461" s="721"/>
      <c r="H461" s="170"/>
      <c r="I461" s="170"/>
      <c r="J461" s="170"/>
      <c r="K461" s="170"/>
      <c r="L461" s="170"/>
      <c r="M461" s="730"/>
      <c r="N461" s="730"/>
      <c r="O461" s="730"/>
      <c r="P461" s="731"/>
      <c r="Q461" s="731"/>
      <c r="R461" s="730"/>
      <c r="S461" s="730"/>
      <c r="T461" s="723"/>
      <c r="U461" s="724"/>
      <c r="V461" s="725"/>
      <c r="W461" s="725"/>
      <c r="X461" s="723"/>
      <c r="Y461" s="723"/>
      <c r="Z461" s="723"/>
      <c r="AA461" s="726"/>
      <c r="AB461" s="726"/>
      <c r="AC461" s="170"/>
      <c r="AD461" s="586"/>
      <c r="AE461" s="586"/>
      <c r="AF461" s="170"/>
      <c r="AG461" s="170"/>
      <c r="AH461" s="170"/>
      <c r="AI461" s="170"/>
      <c r="AJ461" s="170"/>
      <c r="AK461" s="170"/>
      <c r="AL461" s="170"/>
      <c r="AM461" s="170"/>
      <c r="AN461" s="170"/>
      <c r="AO461" s="170"/>
      <c r="AP461" s="170"/>
      <c r="AQ461" s="170"/>
      <c r="AR461" s="170"/>
      <c r="AS461" s="170"/>
      <c r="AT461" s="170"/>
      <c r="AU461" s="170"/>
      <c r="AV461" s="170"/>
      <c r="AW461" s="170"/>
      <c r="AX461" s="170"/>
    </row>
    <row r="462" spans="1:50" ht="15" x14ac:dyDescent="0.25">
      <c r="A462" s="170"/>
      <c r="B462" s="719"/>
      <c r="C462" s="170"/>
      <c r="D462" s="170"/>
      <c r="E462" s="170"/>
      <c r="F462" s="170"/>
      <c r="G462" s="721"/>
      <c r="H462" s="170"/>
      <c r="I462" s="170"/>
      <c r="J462" s="170"/>
      <c r="K462" s="170"/>
      <c r="L462" s="170"/>
      <c r="M462" s="730"/>
      <c r="N462" s="730"/>
      <c r="O462" s="730"/>
      <c r="P462" s="731"/>
      <c r="Q462" s="731"/>
      <c r="R462" s="730"/>
      <c r="S462" s="730"/>
      <c r="T462" s="723"/>
      <c r="U462" s="724"/>
      <c r="V462" s="725"/>
      <c r="W462" s="725"/>
      <c r="X462" s="723"/>
      <c r="Y462" s="723"/>
      <c r="Z462" s="723"/>
      <c r="AA462" s="726"/>
      <c r="AB462" s="726"/>
      <c r="AC462" s="170"/>
      <c r="AD462" s="586"/>
      <c r="AE462" s="586"/>
      <c r="AF462" s="170"/>
      <c r="AG462" s="170"/>
      <c r="AH462" s="170"/>
      <c r="AI462" s="170"/>
      <c r="AJ462" s="170"/>
      <c r="AK462" s="170"/>
      <c r="AL462" s="170"/>
      <c r="AM462" s="170"/>
      <c r="AN462" s="170"/>
      <c r="AO462" s="170"/>
      <c r="AP462" s="170"/>
      <c r="AQ462" s="170"/>
      <c r="AR462" s="170"/>
      <c r="AS462" s="170"/>
      <c r="AT462" s="170"/>
      <c r="AU462" s="170"/>
      <c r="AV462" s="170"/>
      <c r="AW462" s="170"/>
      <c r="AX462" s="170"/>
    </row>
    <row r="463" spans="1:50" ht="15" x14ac:dyDescent="0.25">
      <c r="A463" s="170"/>
      <c r="B463" s="719"/>
      <c r="C463" s="170"/>
      <c r="D463" s="170"/>
      <c r="E463" s="170"/>
      <c r="F463" s="170"/>
      <c r="G463" s="721"/>
      <c r="H463" s="170"/>
      <c r="I463" s="170"/>
      <c r="J463" s="170"/>
      <c r="K463" s="170"/>
      <c r="L463" s="170"/>
      <c r="M463" s="730"/>
      <c r="N463" s="730"/>
      <c r="O463" s="730"/>
      <c r="P463" s="731"/>
      <c r="Q463" s="731"/>
      <c r="R463" s="730"/>
      <c r="S463" s="730"/>
      <c r="T463" s="723"/>
      <c r="U463" s="724"/>
      <c r="V463" s="725"/>
      <c r="W463" s="725"/>
      <c r="X463" s="723"/>
      <c r="Y463" s="723"/>
      <c r="Z463" s="723"/>
      <c r="AA463" s="726"/>
      <c r="AB463" s="726"/>
      <c r="AC463" s="170"/>
      <c r="AD463" s="586"/>
      <c r="AE463" s="586"/>
      <c r="AF463" s="170"/>
      <c r="AG463" s="170"/>
      <c r="AH463" s="170"/>
      <c r="AI463" s="170"/>
      <c r="AJ463" s="170"/>
      <c r="AK463" s="170"/>
      <c r="AL463" s="170"/>
      <c r="AM463" s="170"/>
      <c r="AN463" s="170"/>
      <c r="AO463" s="170"/>
      <c r="AP463" s="170"/>
      <c r="AQ463" s="170"/>
      <c r="AR463" s="170"/>
      <c r="AS463" s="170"/>
      <c r="AT463" s="170"/>
      <c r="AU463" s="170"/>
      <c r="AV463" s="170"/>
      <c r="AW463" s="170"/>
      <c r="AX463" s="170"/>
    </row>
    <row r="464" spans="1:50" ht="15" x14ac:dyDescent="0.25">
      <c r="A464" s="170"/>
      <c r="B464" s="719"/>
      <c r="C464" s="170"/>
      <c r="D464" s="170"/>
      <c r="E464" s="170"/>
      <c r="F464" s="170"/>
      <c r="G464" s="721"/>
      <c r="H464" s="170"/>
      <c r="I464" s="170"/>
      <c r="J464" s="170"/>
      <c r="K464" s="170"/>
      <c r="L464" s="170"/>
      <c r="M464" s="730"/>
      <c r="N464" s="730"/>
      <c r="O464" s="730"/>
      <c r="P464" s="731"/>
      <c r="Q464" s="731"/>
      <c r="R464" s="730"/>
      <c r="S464" s="730"/>
      <c r="T464" s="723"/>
      <c r="U464" s="724"/>
      <c r="V464" s="725"/>
      <c r="W464" s="725"/>
      <c r="X464" s="723"/>
      <c r="Y464" s="723"/>
      <c r="Z464" s="723"/>
      <c r="AA464" s="726"/>
      <c r="AB464" s="726"/>
      <c r="AC464" s="170"/>
      <c r="AD464" s="586"/>
      <c r="AE464" s="586"/>
      <c r="AF464" s="170"/>
      <c r="AG464" s="170"/>
      <c r="AH464" s="170"/>
      <c r="AI464" s="170"/>
      <c r="AJ464" s="170"/>
      <c r="AK464" s="170"/>
      <c r="AL464" s="170"/>
      <c r="AM464" s="170"/>
      <c r="AN464" s="170"/>
      <c r="AO464" s="170"/>
      <c r="AP464" s="170"/>
      <c r="AQ464" s="170"/>
      <c r="AR464" s="170"/>
      <c r="AS464" s="170"/>
      <c r="AT464" s="170"/>
      <c r="AU464" s="170"/>
      <c r="AV464" s="170"/>
      <c r="AW464" s="170"/>
      <c r="AX464" s="170"/>
    </row>
    <row r="465" spans="1:50" ht="15" x14ac:dyDescent="0.25">
      <c r="A465" s="170"/>
      <c r="B465" s="719"/>
      <c r="C465" s="170"/>
      <c r="D465" s="170"/>
      <c r="E465" s="170"/>
      <c r="F465" s="170"/>
      <c r="G465" s="721"/>
      <c r="H465" s="170"/>
      <c r="I465" s="170"/>
      <c r="J465" s="170"/>
      <c r="K465" s="170"/>
      <c r="L465" s="170"/>
      <c r="M465" s="730"/>
      <c r="N465" s="730"/>
      <c r="O465" s="730"/>
      <c r="P465" s="731"/>
      <c r="Q465" s="731"/>
      <c r="R465" s="730"/>
      <c r="S465" s="730"/>
      <c r="T465" s="723"/>
      <c r="U465" s="724"/>
      <c r="V465" s="725"/>
      <c r="W465" s="725"/>
      <c r="X465" s="723"/>
      <c r="Y465" s="723"/>
      <c r="Z465" s="723"/>
      <c r="AA465" s="726"/>
      <c r="AB465" s="726"/>
      <c r="AC465" s="170"/>
      <c r="AD465" s="586"/>
      <c r="AE465" s="586"/>
      <c r="AF465" s="170"/>
      <c r="AG465" s="170"/>
      <c r="AH465" s="170"/>
      <c r="AI465" s="170"/>
      <c r="AJ465" s="170"/>
      <c r="AK465" s="170"/>
      <c r="AL465" s="170"/>
      <c r="AM465" s="170"/>
      <c r="AN465" s="170"/>
      <c r="AO465" s="170"/>
      <c r="AP465" s="170"/>
      <c r="AQ465" s="170"/>
      <c r="AR465" s="170"/>
      <c r="AS465" s="170"/>
      <c r="AT465" s="170"/>
      <c r="AU465" s="170"/>
      <c r="AV465" s="170"/>
      <c r="AW465" s="170"/>
      <c r="AX465" s="170"/>
    </row>
    <row r="466" spans="1:50" ht="15" x14ac:dyDescent="0.25">
      <c r="A466" s="170"/>
      <c r="B466" s="719"/>
      <c r="C466" s="170"/>
      <c r="D466" s="170"/>
      <c r="E466" s="170"/>
      <c r="F466" s="170"/>
      <c r="G466" s="721"/>
      <c r="H466" s="170"/>
      <c r="I466" s="170"/>
      <c r="J466" s="170"/>
      <c r="K466" s="170"/>
      <c r="L466" s="170"/>
      <c r="M466" s="730"/>
      <c r="N466" s="730"/>
      <c r="O466" s="730"/>
      <c r="P466" s="731"/>
      <c r="Q466" s="731"/>
      <c r="R466" s="730"/>
      <c r="S466" s="730"/>
      <c r="T466" s="723"/>
      <c r="U466" s="724"/>
      <c r="V466" s="725"/>
      <c r="W466" s="725"/>
      <c r="X466" s="723"/>
      <c r="Y466" s="723"/>
      <c r="Z466" s="723"/>
      <c r="AA466" s="726"/>
      <c r="AB466" s="726"/>
      <c r="AC466" s="170"/>
      <c r="AD466" s="586"/>
      <c r="AE466" s="586"/>
      <c r="AF466" s="170"/>
      <c r="AG466" s="170"/>
      <c r="AH466" s="170"/>
      <c r="AI466" s="170"/>
      <c r="AJ466" s="170"/>
      <c r="AK466" s="170"/>
      <c r="AL466" s="170"/>
      <c r="AM466" s="170"/>
      <c r="AN466" s="170"/>
      <c r="AO466" s="170"/>
      <c r="AP466" s="170"/>
      <c r="AQ466" s="170"/>
      <c r="AR466" s="170"/>
      <c r="AS466" s="170"/>
      <c r="AT466" s="170"/>
      <c r="AU466" s="170"/>
      <c r="AV466" s="170"/>
      <c r="AW466" s="170"/>
      <c r="AX466" s="170"/>
    </row>
    <row r="467" spans="1:50" ht="15" x14ac:dyDescent="0.25">
      <c r="A467" s="170"/>
      <c r="B467" s="719"/>
      <c r="C467" s="170"/>
      <c r="D467" s="170"/>
      <c r="E467" s="170"/>
      <c r="F467" s="170"/>
      <c r="G467" s="721"/>
      <c r="H467" s="170"/>
      <c r="I467" s="170"/>
      <c r="J467" s="170"/>
      <c r="K467" s="170"/>
      <c r="L467" s="170"/>
      <c r="M467" s="730"/>
      <c r="N467" s="730"/>
      <c r="O467" s="730"/>
      <c r="P467" s="731"/>
      <c r="Q467" s="731"/>
      <c r="R467" s="730"/>
      <c r="S467" s="730"/>
      <c r="T467" s="723"/>
      <c r="U467" s="724"/>
      <c r="V467" s="725"/>
      <c r="W467" s="725"/>
      <c r="X467" s="723"/>
      <c r="Y467" s="723"/>
      <c r="Z467" s="723"/>
      <c r="AA467" s="726"/>
      <c r="AB467" s="726"/>
      <c r="AC467" s="170"/>
      <c r="AD467" s="586"/>
      <c r="AE467" s="586"/>
      <c r="AF467" s="170"/>
      <c r="AG467" s="170"/>
      <c r="AH467" s="170"/>
      <c r="AI467" s="170"/>
      <c r="AJ467" s="170"/>
      <c r="AK467" s="170"/>
      <c r="AL467" s="170"/>
      <c r="AM467" s="170"/>
      <c r="AN467" s="170"/>
      <c r="AO467" s="170"/>
      <c r="AP467" s="170"/>
      <c r="AQ467" s="170"/>
      <c r="AR467" s="170"/>
      <c r="AS467" s="170"/>
      <c r="AT467" s="170"/>
      <c r="AU467" s="170"/>
      <c r="AV467" s="170"/>
      <c r="AW467" s="170"/>
      <c r="AX467" s="170"/>
    </row>
    <row r="468" spans="1:50" ht="15" x14ac:dyDescent="0.25">
      <c r="A468" s="170"/>
      <c r="B468" s="719"/>
      <c r="C468" s="170"/>
      <c r="D468" s="170"/>
      <c r="E468" s="170"/>
      <c r="F468" s="170"/>
      <c r="G468" s="721"/>
      <c r="H468" s="170"/>
      <c r="I468" s="170"/>
      <c r="J468" s="170"/>
      <c r="K468" s="170"/>
      <c r="L468" s="170"/>
      <c r="M468" s="730"/>
      <c r="N468" s="730"/>
      <c r="O468" s="730"/>
      <c r="P468" s="731"/>
      <c r="Q468" s="731"/>
      <c r="R468" s="730"/>
      <c r="S468" s="730"/>
      <c r="T468" s="723"/>
      <c r="U468" s="724"/>
      <c r="V468" s="725"/>
      <c r="W468" s="725"/>
      <c r="X468" s="723"/>
      <c r="Y468" s="723"/>
      <c r="Z468" s="723"/>
      <c r="AA468" s="726"/>
      <c r="AB468" s="726"/>
      <c r="AC468" s="170"/>
      <c r="AD468" s="586"/>
      <c r="AE468" s="586"/>
      <c r="AF468" s="170"/>
      <c r="AG468" s="170"/>
      <c r="AH468" s="170"/>
      <c r="AI468" s="170"/>
      <c r="AJ468" s="170"/>
      <c r="AK468" s="170"/>
      <c r="AL468" s="170"/>
      <c r="AM468" s="170"/>
      <c r="AN468" s="170"/>
      <c r="AO468" s="170"/>
      <c r="AP468" s="170"/>
      <c r="AQ468" s="170"/>
      <c r="AR468" s="170"/>
      <c r="AS468" s="170"/>
      <c r="AT468" s="170"/>
      <c r="AU468" s="170"/>
      <c r="AV468" s="170"/>
      <c r="AW468" s="170"/>
      <c r="AX468" s="170"/>
    </row>
    <row r="469" spans="1:50" ht="15" x14ac:dyDescent="0.25">
      <c r="A469" s="170"/>
      <c r="B469" s="719"/>
      <c r="C469" s="170"/>
      <c r="D469" s="170"/>
      <c r="E469" s="170"/>
      <c r="F469" s="170"/>
      <c r="G469" s="721"/>
      <c r="H469" s="170"/>
      <c r="I469" s="170"/>
      <c r="J469" s="170"/>
      <c r="K469" s="170"/>
      <c r="L469" s="170"/>
      <c r="M469" s="730"/>
      <c r="N469" s="730"/>
      <c r="O469" s="730"/>
      <c r="P469" s="731"/>
      <c r="Q469" s="731"/>
      <c r="R469" s="730"/>
      <c r="S469" s="730"/>
      <c r="T469" s="723"/>
      <c r="U469" s="724"/>
      <c r="V469" s="725"/>
      <c r="W469" s="725"/>
      <c r="X469" s="723"/>
      <c r="Y469" s="723"/>
      <c r="Z469" s="723"/>
      <c r="AA469" s="726"/>
      <c r="AB469" s="726"/>
      <c r="AC469" s="170"/>
      <c r="AD469" s="586"/>
      <c r="AE469" s="586"/>
      <c r="AF469" s="170"/>
      <c r="AG469" s="170"/>
      <c r="AH469" s="170"/>
      <c r="AI469" s="170"/>
      <c r="AJ469" s="170"/>
      <c r="AK469" s="170"/>
      <c r="AL469" s="170"/>
      <c r="AM469" s="170"/>
      <c r="AN469" s="170"/>
      <c r="AO469" s="170"/>
      <c r="AP469" s="170"/>
      <c r="AQ469" s="170"/>
      <c r="AR469" s="170"/>
      <c r="AS469" s="170"/>
      <c r="AT469" s="170"/>
      <c r="AU469" s="170"/>
      <c r="AV469" s="170"/>
      <c r="AW469" s="170"/>
      <c r="AX469" s="170"/>
    </row>
    <row r="470" spans="1:50" ht="15" x14ac:dyDescent="0.25">
      <c r="A470" s="170"/>
      <c r="B470" s="719"/>
      <c r="C470" s="170"/>
      <c r="D470" s="170"/>
      <c r="E470" s="170"/>
      <c r="F470" s="170"/>
      <c r="G470" s="721"/>
      <c r="H470" s="170"/>
      <c r="I470" s="170"/>
      <c r="J470" s="170"/>
      <c r="K470" s="170"/>
      <c r="L470" s="170"/>
      <c r="M470" s="730"/>
      <c r="N470" s="730"/>
      <c r="O470" s="730"/>
      <c r="P470" s="731"/>
      <c r="Q470" s="731"/>
      <c r="R470" s="730"/>
      <c r="S470" s="730"/>
      <c r="T470" s="723"/>
      <c r="U470" s="724"/>
      <c r="V470" s="725"/>
      <c r="W470" s="725"/>
      <c r="X470" s="723"/>
      <c r="Y470" s="723"/>
      <c r="Z470" s="723"/>
      <c r="AA470" s="726"/>
      <c r="AB470" s="726"/>
      <c r="AC470" s="170"/>
      <c r="AD470" s="586"/>
      <c r="AE470" s="586"/>
      <c r="AF470" s="170"/>
      <c r="AG470" s="170"/>
      <c r="AH470" s="170"/>
      <c r="AI470" s="170"/>
      <c r="AJ470" s="170"/>
      <c r="AK470" s="170"/>
      <c r="AL470" s="170"/>
      <c r="AM470" s="170"/>
      <c r="AN470" s="170"/>
      <c r="AO470" s="170"/>
      <c r="AP470" s="170"/>
      <c r="AQ470" s="170"/>
      <c r="AR470" s="170"/>
      <c r="AS470" s="170"/>
      <c r="AT470" s="170"/>
      <c r="AU470" s="170"/>
      <c r="AV470" s="170"/>
      <c r="AW470" s="170"/>
      <c r="AX470" s="170"/>
    </row>
    <row r="471" spans="1:50" ht="15" x14ac:dyDescent="0.25">
      <c r="A471" s="170"/>
      <c r="B471" s="719"/>
      <c r="C471" s="170"/>
      <c r="D471" s="170"/>
      <c r="E471" s="170"/>
      <c r="F471" s="170"/>
      <c r="G471" s="721"/>
      <c r="H471" s="170"/>
      <c r="I471" s="170"/>
      <c r="J471" s="170"/>
      <c r="K471" s="170"/>
      <c r="L471" s="170"/>
      <c r="M471" s="730"/>
      <c r="N471" s="730"/>
      <c r="O471" s="730"/>
      <c r="P471" s="731"/>
      <c r="Q471" s="731"/>
      <c r="R471" s="730"/>
      <c r="S471" s="730"/>
      <c r="T471" s="723"/>
      <c r="U471" s="724"/>
      <c r="V471" s="725"/>
      <c r="W471" s="725"/>
      <c r="X471" s="723"/>
      <c r="Y471" s="723"/>
      <c r="Z471" s="723"/>
      <c r="AA471" s="726"/>
      <c r="AB471" s="726"/>
      <c r="AC471" s="170"/>
      <c r="AD471" s="586"/>
      <c r="AE471" s="586"/>
      <c r="AF471" s="170"/>
      <c r="AG471" s="170"/>
      <c r="AH471" s="170"/>
      <c r="AI471" s="170"/>
      <c r="AJ471" s="170"/>
      <c r="AK471" s="170"/>
      <c r="AL471" s="170"/>
      <c r="AM471" s="170"/>
      <c r="AN471" s="170"/>
      <c r="AO471" s="170"/>
      <c r="AP471" s="170"/>
      <c r="AQ471" s="170"/>
      <c r="AR471" s="170"/>
      <c r="AS471" s="170"/>
      <c r="AT471" s="170"/>
      <c r="AU471" s="170"/>
      <c r="AV471" s="170"/>
      <c r="AW471" s="170"/>
      <c r="AX471" s="170"/>
    </row>
    <row r="472" spans="1:50" ht="15" x14ac:dyDescent="0.25">
      <c r="A472" s="170"/>
      <c r="B472" s="719"/>
      <c r="C472" s="170"/>
      <c r="D472" s="170"/>
      <c r="E472" s="170"/>
      <c r="F472" s="170"/>
      <c r="G472" s="721"/>
      <c r="H472" s="170"/>
      <c r="I472" s="170"/>
      <c r="J472" s="170"/>
      <c r="K472" s="170"/>
      <c r="L472" s="170"/>
      <c r="M472" s="730"/>
      <c r="N472" s="730"/>
      <c r="O472" s="730"/>
      <c r="P472" s="731"/>
      <c r="Q472" s="731"/>
      <c r="R472" s="730"/>
      <c r="S472" s="730"/>
      <c r="T472" s="723"/>
      <c r="U472" s="724"/>
      <c r="V472" s="725"/>
      <c r="W472" s="725"/>
      <c r="X472" s="723"/>
      <c r="Y472" s="723"/>
      <c r="Z472" s="723"/>
      <c r="AA472" s="726"/>
      <c r="AB472" s="726"/>
      <c r="AC472" s="170"/>
      <c r="AD472" s="586"/>
      <c r="AE472" s="586"/>
      <c r="AF472" s="170"/>
      <c r="AG472" s="170"/>
      <c r="AH472" s="170"/>
      <c r="AI472" s="170"/>
      <c r="AJ472" s="170"/>
      <c r="AK472" s="170"/>
      <c r="AL472" s="170"/>
      <c r="AM472" s="170"/>
      <c r="AN472" s="170"/>
      <c r="AO472" s="170"/>
      <c r="AP472" s="170"/>
      <c r="AQ472" s="170"/>
      <c r="AR472" s="170"/>
      <c r="AS472" s="170"/>
      <c r="AT472" s="170"/>
      <c r="AU472" s="170"/>
      <c r="AV472" s="170"/>
      <c r="AW472" s="170"/>
      <c r="AX472" s="170"/>
    </row>
    <row r="473" spans="1:50" ht="15" x14ac:dyDescent="0.25">
      <c r="A473" s="170"/>
      <c r="B473" s="719"/>
      <c r="C473" s="170"/>
      <c r="D473" s="170"/>
      <c r="E473" s="170"/>
      <c r="F473" s="170"/>
      <c r="G473" s="721"/>
      <c r="H473" s="170"/>
      <c r="I473" s="170"/>
      <c r="J473" s="170"/>
      <c r="K473" s="170"/>
      <c r="L473" s="170"/>
      <c r="M473" s="730"/>
      <c r="N473" s="730"/>
      <c r="O473" s="730"/>
      <c r="P473" s="731"/>
      <c r="Q473" s="731"/>
      <c r="R473" s="730"/>
      <c r="S473" s="730"/>
      <c r="T473" s="723"/>
      <c r="U473" s="724"/>
      <c r="V473" s="725"/>
      <c r="W473" s="725"/>
      <c r="X473" s="723"/>
      <c r="Y473" s="723"/>
      <c r="Z473" s="723"/>
      <c r="AA473" s="726"/>
      <c r="AB473" s="726"/>
      <c r="AC473" s="170"/>
      <c r="AD473" s="586"/>
      <c r="AE473" s="586"/>
      <c r="AF473" s="170"/>
      <c r="AG473" s="170"/>
      <c r="AH473" s="170"/>
      <c r="AI473" s="170"/>
      <c r="AJ473" s="170"/>
      <c r="AK473" s="170"/>
      <c r="AL473" s="170"/>
      <c r="AM473" s="170"/>
      <c r="AN473" s="170"/>
      <c r="AO473" s="170"/>
      <c r="AP473" s="170"/>
      <c r="AQ473" s="170"/>
      <c r="AR473" s="170"/>
      <c r="AS473" s="170"/>
      <c r="AT473" s="170"/>
      <c r="AU473" s="170"/>
      <c r="AV473" s="170"/>
      <c r="AW473" s="170"/>
      <c r="AX473" s="170"/>
    </row>
    <row r="474" spans="1:50" ht="15" x14ac:dyDescent="0.25">
      <c r="A474" s="170"/>
      <c r="B474" s="719"/>
      <c r="C474" s="170"/>
      <c r="D474" s="170"/>
      <c r="E474" s="170"/>
      <c r="F474" s="170"/>
      <c r="G474" s="721"/>
      <c r="H474" s="170"/>
      <c r="I474" s="170"/>
      <c r="J474" s="170"/>
      <c r="K474" s="170"/>
      <c r="L474" s="170"/>
      <c r="M474" s="730"/>
      <c r="N474" s="730"/>
      <c r="O474" s="730"/>
      <c r="P474" s="731"/>
      <c r="Q474" s="731"/>
      <c r="R474" s="730"/>
      <c r="S474" s="730"/>
      <c r="T474" s="723"/>
      <c r="U474" s="724"/>
      <c r="V474" s="725"/>
      <c r="W474" s="725"/>
      <c r="X474" s="723"/>
      <c r="Y474" s="723"/>
      <c r="Z474" s="723"/>
      <c r="AA474" s="726"/>
      <c r="AB474" s="726"/>
      <c r="AC474" s="170"/>
      <c r="AD474" s="586"/>
      <c r="AE474" s="586"/>
      <c r="AF474" s="170"/>
      <c r="AG474" s="170"/>
      <c r="AH474" s="170"/>
      <c r="AI474" s="170"/>
      <c r="AJ474" s="170"/>
      <c r="AK474" s="170"/>
      <c r="AL474" s="170"/>
      <c r="AM474" s="170"/>
      <c r="AN474" s="170"/>
      <c r="AO474" s="170"/>
      <c r="AP474" s="170"/>
      <c r="AQ474" s="170"/>
      <c r="AR474" s="170"/>
      <c r="AS474" s="170"/>
      <c r="AT474" s="170"/>
      <c r="AU474" s="170"/>
      <c r="AV474" s="170"/>
      <c r="AW474" s="170"/>
      <c r="AX474" s="170"/>
    </row>
    <row r="475" spans="1:50" ht="15" x14ac:dyDescent="0.25">
      <c r="A475" s="170"/>
      <c r="B475" s="719"/>
      <c r="C475" s="170"/>
      <c r="D475" s="170"/>
      <c r="E475" s="170"/>
      <c r="F475" s="170"/>
      <c r="G475" s="721"/>
      <c r="H475" s="170"/>
      <c r="I475" s="170"/>
      <c r="J475" s="170"/>
      <c r="K475" s="170"/>
      <c r="L475" s="170"/>
      <c r="M475" s="730"/>
      <c r="N475" s="730"/>
      <c r="O475" s="730"/>
      <c r="P475" s="731"/>
      <c r="Q475" s="731"/>
      <c r="R475" s="730"/>
      <c r="S475" s="730"/>
      <c r="T475" s="723"/>
      <c r="U475" s="724"/>
      <c r="V475" s="725"/>
      <c r="W475" s="725"/>
      <c r="X475" s="723"/>
      <c r="Y475" s="723"/>
      <c r="Z475" s="723"/>
      <c r="AA475" s="726"/>
      <c r="AB475" s="726"/>
      <c r="AC475" s="170"/>
      <c r="AD475" s="586"/>
      <c r="AE475" s="586"/>
      <c r="AF475" s="170"/>
      <c r="AG475" s="170"/>
      <c r="AH475" s="170"/>
      <c r="AI475" s="170"/>
      <c r="AJ475" s="170"/>
      <c r="AK475" s="170"/>
      <c r="AL475" s="170"/>
      <c r="AM475" s="170"/>
      <c r="AN475" s="170"/>
      <c r="AO475" s="170"/>
      <c r="AP475" s="170"/>
      <c r="AQ475" s="170"/>
      <c r="AR475" s="170"/>
      <c r="AS475" s="170"/>
      <c r="AT475" s="170"/>
      <c r="AU475" s="170"/>
      <c r="AV475" s="170"/>
      <c r="AW475" s="170"/>
      <c r="AX475" s="170"/>
    </row>
    <row r="476" spans="1:50" ht="15" x14ac:dyDescent="0.25">
      <c r="A476" s="170"/>
      <c r="B476" s="719"/>
      <c r="C476" s="170"/>
      <c r="D476" s="170"/>
      <c r="E476" s="170"/>
      <c r="F476" s="170"/>
      <c r="G476" s="721"/>
      <c r="H476" s="170"/>
      <c r="I476" s="170"/>
      <c r="J476" s="170"/>
      <c r="K476" s="170"/>
      <c r="L476" s="170"/>
      <c r="M476" s="730"/>
      <c r="N476" s="730"/>
      <c r="O476" s="730"/>
      <c r="P476" s="731"/>
      <c r="Q476" s="731"/>
      <c r="R476" s="730"/>
      <c r="S476" s="730"/>
      <c r="T476" s="723"/>
      <c r="U476" s="724"/>
      <c r="V476" s="725"/>
      <c r="W476" s="725"/>
      <c r="X476" s="723"/>
      <c r="Y476" s="723"/>
      <c r="Z476" s="723"/>
      <c r="AA476" s="726"/>
      <c r="AB476" s="726"/>
      <c r="AC476" s="170"/>
      <c r="AD476" s="586"/>
      <c r="AE476" s="586"/>
      <c r="AF476" s="170"/>
      <c r="AG476" s="170"/>
      <c r="AH476" s="170"/>
      <c r="AI476" s="170"/>
      <c r="AJ476" s="170"/>
      <c r="AK476" s="170"/>
      <c r="AL476" s="170"/>
      <c r="AM476" s="170"/>
      <c r="AN476" s="170"/>
      <c r="AO476" s="170"/>
      <c r="AP476" s="170"/>
      <c r="AQ476" s="170"/>
      <c r="AR476" s="170"/>
      <c r="AS476" s="170"/>
      <c r="AT476" s="170"/>
      <c r="AU476" s="170"/>
      <c r="AV476" s="170"/>
      <c r="AW476" s="170"/>
      <c r="AX476" s="170"/>
    </row>
    <row r="477" spans="1:50" ht="15" x14ac:dyDescent="0.25">
      <c r="A477" s="170"/>
      <c r="B477" s="719"/>
      <c r="C477" s="170"/>
      <c r="D477" s="170"/>
      <c r="E477" s="170"/>
      <c r="F477" s="170"/>
      <c r="G477" s="721"/>
      <c r="H477" s="170"/>
      <c r="I477" s="170"/>
      <c r="J477" s="170"/>
      <c r="K477" s="170"/>
      <c r="L477" s="170"/>
      <c r="M477" s="730"/>
      <c r="N477" s="730"/>
      <c r="O477" s="730"/>
      <c r="P477" s="731"/>
      <c r="Q477" s="731"/>
      <c r="R477" s="730"/>
      <c r="S477" s="730"/>
      <c r="T477" s="723"/>
      <c r="U477" s="724"/>
      <c r="V477" s="725"/>
      <c r="W477" s="725"/>
      <c r="X477" s="723"/>
      <c r="Y477" s="723"/>
      <c r="Z477" s="723"/>
      <c r="AA477" s="726"/>
      <c r="AB477" s="726"/>
      <c r="AC477" s="170"/>
      <c r="AD477" s="586"/>
      <c r="AE477" s="586"/>
      <c r="AF477" s="170"/>
      <c r="AG477" s="170"/>
      <c r="AH477" s="170"/>
      <c r="AI477" s="170"/>
      <c r="AJ477" s="170"/>
      <c r="AK477" s="170"/>
      <c r="AL477" s="170"/>
      <c r="AM477" s="170"/>
      <c r="AN477" s="170"/>
      <c r="AO477" s="170"/>
      <c r="AP477" s="170"/>
      <c r="AQ477" s="170"/>
      <c r="AR477" s="170"/>
      <c r="AS477" s="170"/>
      <c r="AT477" s="170"/>
      <c r="AU477" s="170"/>
      <c r="AV477" s="170"/>
      <c r="AW477" s="170"/>
      <c r="AX477" s="170"/>
    </row>
    <row r="478" spans="1:50" ht="15" x14ac:dyDescent="0.25">
      <c r="A478" s="170"/>
      <c r="B478" s="719"/>
      <c r="C478" s="170"/>
      <c r="D478" s="170"/>
      <c r="E478" s="170"/>
      <c r="F478" s="170"/>
      <c r="G478" s="721"/>
      <c r="H478" s="170"/>
      <c r="I478" s="170"/>
      <c r="J478" s="170"/>
      <c r="K478" s="170"/>
      <c r="L478" s="170"/>
      <c r="M478" s="730"/>
      <c r="N478" s="730"/>
      <c r="O478" s="730"/>
      <c r="P478" s="731"/>
      <c r="Q478" s="731"/>
      <c r="R478" s="730"/>
      <c r="S478" s="730"/>
      <c r="T478" s="723"/>
      <c r="U478" s="724"/>
      <c r="V478" s="725"/>
      <c r="W478" s="725"/>
      <c r="X478" s="723"/>
      <c r="Y478" s="723"/>
      <c r="Z478" s="723"/>
      <c r="AA478" s="726"/>
      <c r="AB478" s="726"/>
      <c r="AC478" s="170"/>
      <c r="AD478" s="586"/>
      <c r="AE478" s="586"/>
      <c r="AF478" s="170"/>
      <c r="AG478" s="170"/>
      <c r="AH478" s="170"/>
      <c r="AI478" s="170"/>
      <c r="AJ478" s="170"/>
      <c r="AK478" s="170"/>
      <c r="AL478" s="170"/>
      <c r="AM478" s="170"/>
      <c r="AN478" s="170"/>
      <c r="AO478" s="170"/>
      <c r="AP478" s="170"/>
      <c r="AQ478" s="170"/>
      <c r="AR478" s="170"/>
      <c r="AS478" s="170"/>
      <c r="AT478" s="170"/>
      <c r="AU478" s="170"/>
      <c r="AV478" s="170"/>
      <c r="AW478" s="170"/>
      <c r="AX478" s="170"/>
    </row>
    <row r="479" spans="1:50" ht="15" x14ac:dyDescent="0.25">
      <c r="A479" s="170"/>
      <c r="B479" s="719"/>
      <c r="C479" s="170"/>
      <c r="D479" s="170"/>
      <c r="E479" s="170"/>
      <c r="F479" s="170"/>
      <c r="G479" s="721"/>
      <c r="H479" s="170"/>
      <c r="I479" s="170"/>
      <c r="J479" s="170"/>
      <c r="K479" s="170"/>
      <c r="L479" s="170"/>
      <c r="M479" s="730"/>
      <c r="N479" s="730"/>
      <c r="O479" s="730"/>
      <c r="P479" s="731"/>
      <c r="Q479" s="731"/>
      <c r="R479" s="730"/>
      <c r="S479" s="730"/>
      <c r="T479" s="723"/>
      <c r="U479" s="724"/>
      <c r="V479" s="725"/>
      <c r="W479" s="725"/>
      <c r="X479" s="723"/>
      <c r="Y479" s="723"/>
      <c r="Z479" s="723"/>
      <c r="AA479" s="726"/>
      <c r="AB479" s="726"/>
      <c r="AC479" s="170"/>
      <c r="AD479" s="586"/>
      <c r="AE479" s="586"/>
      <c r="AF479" s="170"/>
      <c r="AG479" s="170"/>
      <c r="AH479" s="170"/>
      <c r="AI479" s="170"/>
      <c r="AJ479" s="170"/>
      <c r="AK479" s="170"/>
      <c r="AL479" s="170"/>
      <c r="AM479" s="170"/>
      <c r="AN479" s="170"/>
      <c r="AO479" s="170"/>
      <c r="AP479" s="170"/>
      <c r="AQ479" s="170"/>
      <c r="AR479" s="170"/>
      <c r="AS479" s="170"/>
      <c r="AT479" s="170"/>
      <c r="AU479" s="170"/>
      <c r="AV479" s="170"/>
      <c r="AW479" s="170"/>
      <c r="AX479" s="170"/>
    </row>
    <row r="480" spans="1:50" ht="15" x14ac:dyDescent="0.25">
      <c r="A480" s="170"/>
      <c r="B480" s="719"/>
      <c r="C480" s="170"/>
      <c r="D480" s="170"/>
      <c r="E480" s="170"/>
      <c r="F480" s="170"/>
      <c r="G480" s="721"/>
      <c r="H480" s="170"/>
      <c r="I480" s="170"/>
      <c r="J480" s="170"/>
      <c r="K480" s="170"/>
      <c r="L480" s="170"/>
      <c r="M480" s="730"/>
      <c r="N480" s="730"/>
      <c r="O480" s="730"/>
      <c r="P480" s="731"/>
      <c r="Q480" s="731"/>
      <c r="R480" s="730"/>
      <c r="S480" s="730"/>
      <c r="T480" s="723"/>
      <c r="U480" s="724"/>
      <c r="V480" s="725"/>
      <c r="W480" s="725"/>
      <c r="X480" s="723"/>
      <c r="Y480" s="723"/>
      <c r="Z480" s="723"/>
      <c r="AA480" s="726"/>
      <c r="AB480" s="726"/>
      <c r="AC480" s="170"/>
      <c r="AD480" s="586"/>
      <c r="AE480" s="586"/>
      <c r="AF480" s="170"/>
      <c r="AG480" s="170"/>
      <c r="AH480" s="170"/>
      <c r="AI480" s="170"/>
      <c r="AJ480" s="170"/>
      <c r="AK480" s="170"/>
      <c r="AL480" s="170"/>
      <c r="AM480" s="170"/>
      <c r="AN480" s="170"/>
      <c r="AO480" s="170"/>
      <c r="AP480" s="170"/>
      <c r="AQ480" s="170"/>
      <c r="AR480" s="170"/>
      <c r="AS480" s="170"/>
      <c r="AT480" s="170"/>
      <c r="AU480" s="170"/>
      <c r="AV480" s="170"/>
      <c r="AW480" s="170"/>
      <c r="AX480" s="170"/>
    </row>
    <row r="481" spans="1:50" ht="15" x14ac:dyDescent="0.25">
      <c r="A481" s="170"/>
      <c r="B481" s="719"/>
      <c r="C481" s="170"/>
      <c r="D481" s="170"/>
      <c r="E481" s="170"/>
      <c r="F481" s="170"/>
      <c r="G481" s="721"/>
      <c r="H481" s="170"/>
      <c r="I481" s="170"/>
      <c r="J481" s="170"/>
      <c r="K481" s="170"/>
      <c r="L481" s="170"/>
      <c r="M481" s="730"/>
      <c r="N481" s="730"/>
      <c r="O481" s="730"/>
      <c r="P481" s="731"/>
      <c r="Q481" s="731"/>
      <c r="R481" s="730"/>
      <c r="S481" s="730"/>
      <c r="T481" s="723"/>
      <c r="U481" s="724"/>
      <c r="V481" s="725"/>
      <c r="W481" s="725"/>
      <c r="X481" s="723"/>
      <c r="Y481" s="723"/>
      <c r="Z481" s="723"/>
      <c r="AA481" s="726"/>
      <c r="AB481" s="726"/>
      <c r="AC481" s="170"/>
      <c r="AD481" s="586"/>
      <c r="AE481" s="586"/>
      <c r="AF481" s="170"/>
      <c r="AG481" s="170"/>
      <c r="AH481" s="170"/>
      <c r="AI481" s="170"/>
      <c r="AJ481" s="170"/>
      <c r="AK481" s="170"/>
      <c r="AL481" s="170"/>
      <c r="AM481" s="170"/>
      <c r="AN481" s="170"/>
      <c r="AO481" s="170"/>
      <c r="AP481" s="170"/>
      <c r="AQ481" s="170"/>
      <c r="AR481" s="170"/>
      <c r="AS481" s="170"/>
      <c r="AT481" s="170"/>
      <c r="AU481" s="170"/>
      <c r="AV481" s="170"/>
      <c r="AW481" s="170"/>
      <c r="AX481" s="170"/>
    </row>
    <row r="482" spans="1:50" ht="15" x14ac:dyDescent="0.25">
      <c r="A482" s="170"/>
      <c r="B482" s="719"/>
      <c r="C482" s="170"/>
      <c r="D482" s="170"/>
      <c r="E482" s="170"/>
      <c r="F482" s="170"/>
      <c r="G482" s="721"/>
      <c r="H482" s="170"/>
      <c r="I482" s="170"/>
      <c r="J482" s="170"/>
      <c r="K482" s="170"/>
      <c r="L482" s="170"/>
      <c r="M482" s="730"/>
      <c r="N482" s="730"/>
      <c r="O482" s="730"/>
      <c r="P482" s="731"/>
      <c r="Q482" s="731"/>
      <c r="R482" s="730"/>
      <c r="S482" s="730"/>
      <c r="T482" s="723"/>
      <c r="U482" s="724"/>
      <c r="V482" s="725"/>
      <c r="W482" s="725"/>
      <c r="X482" s="723"/>
      <c r="Y482" s="723"/>
      <c r="Z482" s="723"/>
      <c r="AA482" s="726"/>
      <c r="AB482" s="726"/>
      <c r="AC482" s="170"/>
      <c r="AD482" s="586"/>
      <c r="AE482" s="586"/>
      <c r="AF482" s="170"/>
      <c r="AG482" s="170"/>
      <c r="AH482" s="170"/>
      <c r="AI482" s="170"/>
      <c r="AJ482" s="170"/>
      <c r="AK482" s="170"/>
      <c r="AL482" s="170"/>
      <c r="AM482" s="170"/>
      <c r="AN482" s="170"/>
      <c r="AO482" s="170"/>
      <c r="AP482" s="170"/>
      <c r="AQ482" s="170"/>
      <c r="AR482" s="170"/>
      <c r="AS482" s="170"/>
      <c r="AT482" s="170"/>
      <c r="AU482" s="170"/>
      <c r="AV482" s="170"/>
      <c r="AW482" s="170"/>
      <c r="AX482" s="170"/>
    </row>
    <row r="483" spans="1:50" ht="15" x14ac:dyDescent="0.25">
      <c r="A483" s="170"/>
      <c r="B483" s="719"/>
      <c r="C483" s="170"/>
      <c r="D483" s="170"/>
      <c r="E483" s="170"/>
      <c r="F483" s="170"/>
      <c r="G483" s="721"/>
      <c r="H483" s="170"/>
      <c r="I483" s="170"/>
      <c r="J483" s="170"/>
      <c r="K483" s="170"/>
      <c r="L483" s="170"/>
      <c r="M483" s="730"/>
      <c r="N483" s="730"/>
      <c r="O483" s="730"/>
      <c r="P483" s="731"/>
      <c r="Q483" s="731"/>
      <c r="R483" s="730"/>
      <c r="S483" s="730"/>
      <c r="T483" s="723"/>
      <c r="U483" s="724"/>
      <c r="V483" s="725"/>
      <c r="W483" s="725"/>
      <c r="X483" s="723"/>
      <c r="Y483" s="723"/>
      <c r="Z483" s="723"/>
      <c r="AA483" s="726"/>
      <c r="AB483" s="726"/>
      <c r="AC483" s="170"/>
      <c r="AD483" s="586"/>
      <c r="AE483" s="586"/>
      <c r="AF483" s="170"/>
      <c r="AG483" s="170"/>
      <c r="AH483" s="170"/>
      <c r="AI483" s="170"/>
      <c r="AJ483" s="170"/>
      <c r="AK483" s="170"/>
      <c r="AL483" s="170"/>
      <c r="AM483" s="170"/>
      <c r="AN483" s="170"/>
      <c r="AO483" s="170"/>
      <c r="AP483" s="170"/>
      <c r="AQ483" s="170"/>
      <c r="AR483" s="170"/>
      <c r="AS483" s="170"/>
      <c r="AT483" s="170"/>
      <c r="AU483" s="170"/>
      <c r="AV483" s="170"/>
      <c r="AW483" s="170"/>
      <c r="AX483" s="170"/>
    </row>
    <row r="484" spans="1:50" ht="15" x14ac:dyDescent="0.25">
      <c r="A484" s="170"/>
      <c r="B484" s="719"/>
      <c r="C484" s="170"/>
      <c r="D484" s="170"/>
      <c r="E484" s="170"/>
      <c r="F484" s="170"/>
      <c r="G484" s="721"/>
      <c r="H484" s="170"/>
      <c r="I484" s="170"/>
      <c r="J484" s="170"/>
      <c r="K484" s="170"/>
      <c r="L484" s="170"/>
      <c r="M484" s="730"/>
      <c r="N484" s="730"/>
      <c r="O484" s="730"/>
      <c r="P484" s="731"/>
      <c r="Q484" s="731"/>
      <c r="R484" s="730"/>
      <c r="S484" s="730"/>
      <c r="T484" s="723"/>
      <c r="U484" s="724"/>
      <c r="V484" s="725"/>
      <c r="W484" s="725"/>
      <c r="X484" s="723"/>
      <c r="Y484" s="723"/>
      <c r="Z484" s="723"/>
      <c r="AA484" s="726"/>
      <c r="AB484" s="726"/>
      <c r="AC484" s="170"/>
      <c r="AD484" s="586"/>
      <c r="AE484" s="586"/>
      <c r="AF484" s="170"/>
      <c r="AG484" s="170"/>
      <c r="AH484" s="170"/>
      <c r="AI484" s="170"/>
      <c r="AJ484" s="170"/>
      <c r="AK484" s="170"/>
      <c r="AL484" s="170"/>
      <c r="AM484" s="170"/>
      <c r="AN484" s="170"/>
      <c r="AO484" s="170"/>
      <c r="AP484" s="170"/>
      <c r="AQ484" s="170"/>
      <c r="AR484" s="170"/>
      <c r="AS484" s="170"/>
      <c r="AT484" s="170"/>
      <c r="AU484" s="170"/>
      <c r="AV484" s="170"/>
      <c r="AW484" s="170"/>
      <c r="AX484" s="170"/>
    </row>
    <row r="485" spans="1:50" ht="15" x14ac:dyDescent="0.25">
      <c r="A485" s="170"/>
      <c r="B485" s="719"/>
      <c r="C485" s="170"/>
      <c r="D485" s="170"/>
      <c r="E485" s="170"/>
      <c r="F485" s="170"/>
      <c r="G485" s="721"/>
      <c r="H485" s="170"/>
      <c r="I485" s="170"/>
      <c r="J485" s="170"/>
      <c r="K485" s="170"/>
      <c r="L485" s="170"/>
      <c r="M485" s="730"/>
      <c r="N485" s="730"/>
      <c r="O485" s="730"/>
      <c r="P485" s="731"/>
      <c r="Q485" s="731"/>
      <c r="R485" s="730"/>
      <c r="S485" s="730"/>
      <c r="T485" s="723"/>
      <c r="U485" s="724"/>
      <c r="V485" s="725"/>
      <c r="W485" s="725"/>
      <c r="X485" s="723"/>
      <c r="Y485" s="723"/>
      <c r="Z485" s="723"/>
      <c r="AA485" s="726"/>
      <c r="AB485" s="726"/>
      <c r="AC485" s="170"/>
      <c r="AD485" s="586"/>
      <c r="AE485" s="586"/>
      <c r="AF485" s="170"/>
      <c r="AG485" s="170"/>
      <c r="AH485" s="170"/>
      <c r="AI485" s="170"/>
      <c r="AJ485" s="170"/>
      <c r="AK485" s="170"/>
      <c r="AL485" s="170"/>
      <c r="AM485" s="170"/>
      <c r="AN485" s="170"/>
      <c r="AO485" s="170"/>
      <c r="AP485" s="170"/>
      <c r="AQ485" s="170"/>
      <c r="AR485" s="170"/>
      <c r="AS485" s="170"/>
      <c r="AT485" s="170"/>
      <c r="AU485" s="170"/>
      <c r="AV485" s="170"/>
      <c r="AW485" s="170"/>
      <c r="AX485" s="170"/>
    </row>
    <row r="486" spans="1:50" ht="15" x14ac:dyDescent="0.25">
      <c r="A486" s="170"/>
      <c r="B486" s="719"/>
      <c r="C486" s="170"/>
      <c r="D486" s="170"/>
      <c r="E486" s="170"/>
      <c r="F486" s="170"/>
      <c r="G486" s="721"/>
      <c r="H486" s="170"/>
      <c r="I486" s="170"/>
      <c r="J486" s="170"/>
      <c r="K486" s="170"/>
      <c r="L486" s="170"/>
      <c r="M486" s="730"/>
      <c r="N486" s="730"/>
      <c r="O486" s="730"/>
      <c r="P486" s="731"/>
      <c r="Q486" s="731"/>
      <c r="R486" s="730"/>
      <c r="S486" s="730"/>
      <c r="T486" s="723"/>
      <c r="U486" s="724"/>
      <c r="V486" s="725"/>
      <c r="W486" s="725"/>
      <c r="X486" s="723"/>
      <c r="Y486" s="723"/>
      <c r="Z486" s="723"/>
      <c r="AA486" s="726"/>
      <c r="AB486" s="726"/>
      <c r="AC486" s="170"/>
      <c r="AD486" s="586"/>
      <c r="AE486" s="586"/>
      <c r="AF486" s="170"/>
      <c r="AG486" s="170"/>
      <c r="AH486" s="170"/>
      <c r="AI486" s="170"/>
      <c r="AJ486" s="170"/>
      <c r="AK486" s="170"/>
      <c r="AL486" s="170"/>
      <c r="AM486" s="170"/>
      <c r="AN486" s="170"/>
      <c r="AO486" s="170"/>
      <c r="AP486" s="170"/>
      <c r="AQ486" s="170"/>
      <c r="AR486" s="170"/>
      <c r="AS486" s="170"/>
      <c r="AT486" s="170"/>
      <c r="AU486" s="170"/>
      <c r="AV486" s="170"/>
      <c r="AW486" s="170"/>
      <c r="AX486" s="170"/>
    </row>
    <row r="487" spans="1:50" ht="15" x14ac:dyDescent="0.25">
      <c r="A487" s="170"/>
      <c r="B487" s="719"/>
      <c r="C487" s="170"/>
      <c r="D487" s="170"/>
      <c r="E487" s="170"/>
      <c r="F487" s="170"/>
      <c r="G487" s="721"/>
      <c r="H487" s="170"/>
      <c r="I487" s="170"/>
      <c r="J487" s="170"/>
      <c r="K487" s="170"/>
      <c r="L487" s="170"/>
      <c r="M487" s="730"/>
      <c r="N487" s="730"/>
      <c r="O487" s="730"/>
      <c r="P487" s="731"/>
      <c r="Q487" s="731"/>
      <c r="R487" s="730"/>
      <c r="S487" s="730"/>
      <c r="T487" s="723"/>
      <c r="U487" s="724"/>
      <c r="V487" s="725"/>
      <c r="W487" s="725"/>
      <c r="X487" s="723"/>
      <c r="Y487" s="723"/>
      <c r="Z487" s="723"/>
      <c r="AA487" s="726"/>
      <c r="AB487" s="726"/>
      <c r="AC487" s="170"/>
      <c r="AD487" s="586"/>
      <c r="AE487" s="586"/>
      <c r="AF487" s="170"/>
      <c r="AG487" s="170"/>
      <c r="AH487" s="170"/>
      <c r="AI487" s="170"/>
      <c r="AJ487" s="170"/>
      <c r="AK487" s="170"/>
      <c r="AL487" s="170"/>
      <c r="AM487" s="170"/>
      <c r="AN487" s="170"/>
      <c r="AO487" s="170"/>
      <c r="AP487" s="170"/>
      <c r="AQ487" s="170"/>
      <c r="AR487" s="170"/>
      <c r="AS487" s="170"/>
      <c r="AT487" s="170"/>
      <c r="AU487" s="170"/>
      <c r="AV487" s="170"/>
      <c r="AW487" s="170"/>
      <c r="AX487" s="170"/>
    </row>
    <row r="488" spans="1:50" ht="15" x14ac:dyDescent="0.25">
      <c r="A488" s="170"/>
      <c r="B488" s="719"/>
      <c r="C488" s="170"/>
      <c r="D488" s="170"/>
      <c r="E488" s="170"/>
      <c r="F488" s="170"/>
      <c r="G488" s="721"/>
      <c r="H488" s="170"/>
      <c r="I488" s="170"/>
      <c r="J488" s="170"/>
      <c r="K488" s="170"/>
      <c r="L488" s="170"/>
      <c r="M488" s="730"/>
      <c r="N488" s="730"/>
      <c r="O488" s="730"/>
      <c r="P488" s="731"/>
      <c r="Q488" s="731"/>
      <c r="R488" s="730"/>
      <c r="S488" s="730"/>
      <c r="T488" s="723"/>
      <c r="U488" s="724"/>
      <c r="V488" s="725"/>
      <c r="W488" s="725"/>
      <c r="X488" s="723"/>
      <c r="Y488" s="723"/>
      <c r="Z488" s="723"/>
      <c r="AA488" s="726"/>
      <c r="AB488" s="726"/>
      <c r="AC488" s="170"/>
      <c r="AD488" s="586"/>
      <c r="AE488" s="586"/>
      <c r="AF488" s="170"/>
      <c r="AG488" s="170"/>
      <c r="AH488" s="170"/>
      <c r="AI488" s="170"/>
      <c r="AJ488" s="170"/>
      <c r="AK488" s="170"/>
      <c r="AL488" s="170"/>
      <c r="AM488" s="170"/>
      <c r="AN488" s="170"/>
      <c r="AO488" s="170"/>
      <c r="AP488" s="170"/>
      <c r="AQ488" s="170"/>
      <c r="AR488" s="170"/>
      <c r="AS488" s="170"/>
      <c r="AT488" s="170"/>
      <c r="AU488" s="170"/>
      <c r="AV488" s="170"/>
      <c r="AW488" s="170"/>
      <c r="AX488" s="170"/>
    </row>
    <row r="489" spans="1:50" ht="15" x14ac:dyDescent="0.25">
      <c r="A489" s="170"/>
      <c r="B489" s="719"/>
      <c r="C489" s="170"/>
      <c r="D489" s="170"/>
      <c r="E489" s="170"/>
      <c r="F489" s="170"/>
      <c r="G489" s="721"/>
      <c r="H489" s="170"/>
      <c r="I489" s="170"/>
      <c r="J489" s="170"/>
      <c r="K489" s="170"/>
      <c r="L489" s="170"/>
      <c r="M489" s="730"/>
      <c r="N489" s="730"/>
      <c r="O489" s="730"/>
      <c r="P489" s="731"/>
      <c r="Q489" s="731"/>
      <c r="R489" s="730"/>
      <c r="S489" s="730"/>
      <c r="T489" s="723"/>
      <c r="U489" s="724"/>
      <c r="V489" s="725"/>
      <c r="W489" s="725"/>
      <c r="X489" s="723"/>
      <c r="Y489" s="723"/>
      <c r="Z489" s="723"/>
      <c r="AA489" s="726"/>
      <c r="AB489" s="726"/>
      <c r="AC489" s="170"/>
      <c r="AD489" s="586"/>
      <c r="AE489" s="586"/>
      <c r="AF489" s="170"/>
      <c r="AG489" s="170"/>
      <c r="AH489" s="170"/>
      <c r="AI489" s="170"/>
      <c r="AJ489" s="170"/>
      <c r="AK489" s="170"/>
      <c r="AL489" s="170"/>
      <c r="AM489" s="170"/>
      <c r="AN489" s="170"/>
      <c r="AO489" s="170"/>
      <c r="AP489" s="170"/>
      <c r="AQ489" s="170"/>
      <c r="AR489" s="170"/>
      <c r="AS489" s="170"/>
      <c r="AT489" s="170"/>
      <c r="AU489" s="170"/>
      <c r="AV489" s="170"/>
      <c r="AW489" s="170"/>
      <c r="AX489" s="170"/>
    </row>
    <row r="490" spans="1:50" ht="15" x14ac:dyDescent="0.25">
      <c r="A490" s="170"/>
      <c r="B490" s="719"/>
      <c r="C490" s="170"/>
      <c r="D490" s="170"/>
      <c r="E490" s="170"/>
      <c r="F490" s="170"/>
      <c r="G490" s="721"/>
      <c r="H490" s="170"/>
      <c r="I490" s="170"/>
      <c r="J490" s="170"/>
      <c r="K490" s="170"/>
      <c r="L490" s="170"/>
      <c r="M490" s="730"/>
      <c r="N490" s="730"/>
      <c r="O490" s="730"/>
      <c r="P490" s="731"/>
      <c r="Q490" s="731"/>
      <c r="R490" s="730"/>
      <c r="S490" s="730"/>
      <c r="T490" s="723"/>
      <c r="U490" s="724"/>
      <c r="V490" s="725"/>
      <c r="W490" s="725"/>
      <c r="X490" s="723"/>
      <c r="Y490" s="723"/>
      <c r="Z490" s="723"/>
      <c r="AA490" s="726"/>
      <c r="AB490" s="726"/>
      <c r="AC490" s="170"/>
      <c r="AD490" s="586"/>
      <c r="AE490" s="586"/>
      <c r="AF490" s="170"/>
      <c r="AG490" s="170"/>
      <c r="AH490" s="170"/>
      <c r="AI490" s="170"/>
      <c r="AJ490" s="170"/>
      <c r="AK490" s="170"/>
      <c r="AL490" s="170"/>
      <c r="AM490" s="170"/>
      <c r="AN490" s="170"/>
      <c r="AO490" s="170"/>
      <c r="AP490" s="170"/>
      <c r="AQ490" s="170"/>
      <c r="AR490" s="170"/>
      <c r="AS490" s="170"/>
      <c r="AT490" s="170"/>
      <c r="AU490" s="170"/>
      <c r="AV490" s="170"/>
      <c r="AW490" s="170"/>
      <c r="AX490" s="170"/>
    </row>
    <row r="491" spans="1:50" ht="15" x14ac:dyDescent="0.25">
      <c r="A491" s="170"/>
      <c r="B491" s="719"/>
      <c r="C491" s="170"/>
      <c r="D491" s="170"/>
      <c r="E491" s="170"/>
      <c r="F491" s="170"/>
      <c r="G491" s="721"/>
      <c r="H491" s="170"/>
      <c r="I491" s="170"/>
      <c r="J491" s="170"/>
      <c r="K491" s="170"/>
      <c r="L491" s="170"/>
      <c r="M491" s="730"/>
      <c r="N491" s="730"/>
      <c r="O491" s="730"/>
      <c r="P491" s="731"/>
      <c r="Q491" s="731"/>
      <c r="R491" s="730"/>
      <c r="S491" s="730"/>
      <c r="T491" s="723"/>
      <c r="U491" s="724"/>
      <c r="V491" s="725"/>
      <c r="W491" s="725"/>
      <c r="X491" s="723"/>
      <c r="Y491" s="723"/>
      <c r="Z491" s="723"/>
      <c r="AA491" s="726"/>
      <c r="AB491" s="726"/>
      <c r="AC491" s="170"/>
      <c r="AD491" s="586"/>
      <c r="AE491" s="586"/>
      <c r="AF491" s="170"/>
      <c r="AG491" s="170"/>
      <c r="AH491" s="170"/>
      <c r="AI491" s="170"/>
      <c r="AJ491" s="170"/>
      <c r="AK491" s="170"/>
      <c r="AL491" s="170"/>
      <c r="AM491" s="170"/>
      <c r="AN491" s="170"/>
      <c r="AO491" s="170"/>
      <c r="AP491" s="170"/>
      <c r="AQ491" s="170"/>
      <c r="AR491" s="170"/>
      <c r="AS491" s="170"/>
      <c r="AT491" s="170"/>
      <c r="AU491" s="170"/>
      <c r="AV491" s="170"/>
      <c r="AW491" s="170"/>
      <c r="AX491" s="170"/>
    </row>
    <row r="492" spans="1:50" ht="15" x14ac:dyDescent="0.25">
      <c r="A492" s="170"/>
      <c r="B492" s="719"/>
      <c r="C492" s="170"/>
      <c r="D492" s="170"/>
      <c r="E492" s="170"/>
      <c r="F492" s="170"/>
      <c r="G492" s="721"/>
      <c r="H492" s="170"/>
      <c r="I492" s="170"/>
      <c r="J492" s="170"/>
      <c r="K492" s="170"/>
      <c r="L492" s="170"/>
      <c r="M492" s="730"/>
      <c r="N492" s="730"/>
      <c r="O492" s="730"/>
      <c r="P492" s="731"/>
      <c r="Q492" s="731"/>
      <c r="R492" s="730"/>
      <c r="S492" s="730"/>
      <c r="T492" s="723"/>
      <c r="U492" s="724"/>
      <c r="V492" s="725"/>
      <c r="W492" s="725"/>
      <c r="X492" s="723"/>
      <c r="Y492" s="723"/>
      <c r="Z492" s="723"/>
      <c r="AA492" s="726"/>
      <c r="AB492" s="726"/>
      <c r="AC492" s="170"/>
      <c r="AD492" s="586"/>
      <c r="AE492" s="586"/>
      <c r="AF492" s="170"/>
      <c r="AG492" s="170"/>
      <c r="AH492" s="170"/>
      <c r="AI492" s="170"/>
      <c r="AJ492" s="170"/>
      <c r="AK492" s="170"/>
      <c r="AL492" s="170"/>
      <c r="AM492" s="170"/>
      <c r="AN492" s="170"/>
      <c r="AO492" s="170"/>
      <c r="AP492" s="170"/>
      <c r="AQ492" s="170"/>
      <c r="AR492" s="170"/>
      <c r="AS492" s="170"/>
      <c r="AT492" s="170"/>
      <c r="AU492" s="170"/>
      <c r="AV492" s="170"/>
      <c r="AW492" s="170"/>
      <c r="AX492" s="170"/>
    </row>
    <row r="493" spans="1:50" ht="15" x14ac:dyDescent="0.25">
      <c r="A493" s="170"/>
      <c r="B493" s="719"/>
      <c r="C493" s="170"/>
      <c r="D493" s="170"/>
      <c r="E493" s="170"/>
      <c r="F493" s="170"/>
      <c r="G493" s="721"/>
      <c r="H493" s="170"/>
      <c r="I493" s="170"/>
      <c r="J493" s="170"/>
      <c r="K493" s="170"/>
      <c r="L493" s="170"/>
      <c r="M493" s="730"/>
      <c r="N493" s="730"/>
      <c r="O493" s="730"/>
      <c r="P493" s="731"/>
      <c r="Q493" s="731"/>
      <c r="R493" s="730"/>
      <c r="S493" s="730"/>
      <c r="T493" s="723"/>
      <c r="U493" s="724"/>
      <c r="V493" s="725"/>
      <c r="W493" s="725"/>
      <c r="X493" s="723"/>
      <c r="Y493" s="723"/>
      <c r="Z493" s="723"/>
      <c r="AA493" s="726"/>
      <c r="AB493" s="726"/>
      <c r="AC493" s="170"/>
      <c r="AD493" s="586"/>
      <c r="AE493" s="586"/>
      <c r="AF493" s="170"/>
      <c r="AG493" s="170"/>
      <c r="AH493" s="170"/>
      <c r="AI493" s="170"/>
      <c r="AJ493" s="170"/>
      <c r="AK493" s="170"/>
      <c r="AL493" s="170"/>
      <c r="AM493" s="170"/>
      <c r="AN493" s="170"/>
      <c r="AO493" s="170"/>
      <c r="AP493" s="170"/>
      <c r="AQ493" s="170"/>
      <c r="AR493" s="170"/>
      <c r="AS493" s="170"/>
      <c r="AT493" s="170"/>
      <c r="AU493" s="170"/>
      <c r="AV493" s="170"/>
      <c r="AW493" s="170"/>
      <c r="AX493" s="170"/>
    </row>
    <row r="494" spans="1:50" ht="15" x14ac:dyDescent="0.25">
      <c r="A494" s="170"/>
      <c r="B494" s="719"/>
      <c r="C494" s="170"/>
      <c r="D494" s="170"/>
      <c r="E494" s="170"/>
      <c r="F494" s="170"/>
      <c r="G494" s="721"/>
      <c r="H494" s="170"/>
      <c r="I494" s="170"/>
      <c r="J494" s="170"/>
      <c r="K494" s="170"/>
      <c r="L494" s="170"/>
      <c r="M494" s="730"/>
      <c r="N494" s="730"/>
      <c r="O494" s="730"/>
      <c r="P494" s="731"/>
      <c r="Q494" s="731"/>
      <c r="R494" s="730"/>
      <c r="S494" s="730"/>
      <c r="T494" s="723"/>
      <c r="U494" s="724"/>
      <c r="V494" s="725"/>
      <c r="W494" s="725"/>
      <c r="X494" s="723"/>
      <c r="Y494" s="723"/>
      <c r="Z494" s="723"/>
      <c r="AA494" s="726"/>
      <c r="AB494" s="726"/>
      <c r="AC494" s="170"/>
      <c r="AD494" s="586"/>
      <c r="AE494" s="586"/>
      <c r="AF494" s="170"/>
      <c r="AG494" s="170"/>
      <c r="AH494" s="170"/>
      <c r="AI494" s="170"/>
      <c r="AJ494" s="170"/>
      <c r="AK494" s="170"/>
      <c r="AL494" s="170"/>
      <c r="AM494" s="170"/>
      <c r="AN494" s="170"/>
      <c r="AO494" s="170"/>
      <c r="AP494" s="170"/>
      <c r="AQ494" s="170"/>
      <c r="AR494" s="170"/>
      <c r="AS494" s="170"/>
      <c r="AT494" s="170"/>
      <c r="AU494" s="170"/>
      <c r="AV494" s="170"/>
      <c r="AW494" s="170"/>
      <c r="AX494" s="170"/>
    </row>
    <row r="495" spans="1:50" ht="15" x14ac:dyDescent="0.25">
      <c r="A495" s="170"/>
      <c r="B495" s="719"/>
      <c r="C495" s="170"/>
      <c r="D495" s="170"/>
      <c r="E495" s="170"/>
      <c r="F495" s="170"/>
      <c r="G495" s="721"/>
      <c r="H495" s="170"/>
      <c r="I495" s="170"/>
      <c r="J495" s="170"/>
      <c r="K495" s="170"/>
      <c r="L495" s="170"/>
      <c r="M495" s="730"/>
      <c r="N495" s="730"/>
      <c r="O495" s="730"/>
      <c r="P495" s="731"/>
      <c r="Q495" s="731"/>
      <c r="R495" s="730"/>
      <c r="S495" s="730"/>
      <c r="T495" s="723"/>
      <c r="U495" s="724"/>
      <c r="V495" s="725"/>
      <c r="W495" s="725"/>
      <c r="X495" s="723"/>
      <c r="Y495" s="723"/>
      <c r="Z495" s="723"/>
      <c r="AA495" s="726"/>
      <c r="AB495" s="726"/>
      <c r="AC495" s="170"/>
      <c r="AD495" s="586"/>
      <c r="AE495" s="586"/>
      <c r="AF495" s="170"/>
      <c r="AG495" s="170"/>
      <c r="AH495" s="170"/>
      <c r="AI495" s="170"/>
      <c r="AJ495" s="170"/>
      <c r="AK495" s="170"/>
      <c r="AL495" s="170"/>
      <c r="AM495" s="170"/>
      <c r="AN495" s="170"/>
      <c r="AO495" s="170"/>
      <c r="AP495" s="170"/>
      <c r="AQ495" s="170"/>
      <c r="AR495" s="170"/>
      <c r="AS495" s="170"/>
      <c r="AT495" s="170"/>
      <c r="AU495" s="170"/>
      <c r="AV495" s="170"/>
      <c r="AW495" s="170"/>
      <c r="AX495" s="170"/>
    </row>
    <row r="496" spans="1:50" ht="15" x14ac:dyDescent="0.25">
      <c r="A496" s="170"/>
      <c r="B496" s="719"/>
      <c r="C496" s="170"/>
      <c r="D496" s="170"/>
      <c r="E496" s="170"/>
      <c r="F496" s="170"/>
      <c r="G496" s="721"/>
      <c r="H496" s="170"/>
      <c r="I496" s="170"/>
      <c r="J496" s="170"/>
      <c r="K496" s="170"/>
      <c r="L496" s="170"/>
      <c r="M496" s="730"/>
      <c r="N496" s="730"/>
      <c r="O496" s="730"/>
      <c r="P496" s="731"/>
      <c r="Q496" s="731"/>
      <c r="R496" s="730"/>
      <c r="S496" s="730"/>
      <c r="T496" s="723"/>
      <c r="U496" s="724"/>
      <c r="V496" s="725"/>
      <c r="W496" s="725"/>
      <c r="X496" s="723"/>
      <c r="Y496" s="723"/>
      <c r="Z496" s="723"/>
      <c r="AA496" s="726"/>
      <c r="AB496" s="726"/>
      <c r="AC496" s="170"/>
      <c r="AD496" s="586"/>
      <c r="AE496" s="586"/>
      <c r="AF496" s="170"/>
      <c r="AG496" s="170"/>
      <c r="AH496" s="170"/>
      <c r="AI496" s="170"/>
      <c r="AJ496" s="170"/>
      <c r="AK496" s="170"/>
      <c r="AL496" s="170"/>
      <c r="AM496" s="170"/>
      <c r="AN496" s="170"/>
      <c r="AO496" s="170"/>
      <c r="AP496" s="170"/>
      <c r="AQ496" s="170"/>
      <c r="AR496" s="170"/>
      <c r="AS496" s="170"/>
      <c r="AT496" s="170"/>
      <c r="AU496" s="170"/>
      <c r="AV496" s="170"/>
      <c r="AW496" s="170"/>
      <c r="AX496" s="170"/>
    </row>
    <row r="497" spans="1:50" ht="15" x14ac:dyDescent="0.25">
      <c r="A497" s="170"/>
      <c r="B497" s="719"/>
      <c r="C497" s="170"/>
      <c r="D497" s="170"/>
      <c r="E497" s="170"/>
      <c r="F497" s="170"/>
      <c r="G497" s="721"/>
      <c r="H497" s="170"/>
      <c r="I497" s="170"/>
      <c r="J497" s="170"/>
      <c r="K497" s="170"/>
      <c r="L497" s="170"/>
      <c r="M497" s="730"/>
      <c r="N497" s="730"/>
      <c r="O497" s="730"/>
      <c r="P497" s="731"/>
      <c r="Q497" s="731"/>
      <c r="R497" s="730"/>
      <c r="S497" s="730"/>
      <c r="T497" s="723"/>
      <c r="U497" s="724"/>
      <c r="V497" s="725"/>
      <c r="W497" s="725"/>
      <c r="X497" s="723"/>
      <c r="Y497" s="723"/>
      <c r="Z497" s="723"/>
      <c r="AA497" s="726"/>
      <c r="AB497" s="726"/>
      <c r="AC497" s="170"/>
      <c r="AD497" s="586"/>
      <c r="AE497" s="586"/>
      <c r="AF497" s="170"/>
      <c r="AG497" s="170"/>
      <c r="AH497" s="170"/>
      <c r="AI497" s="170"/>
      <c r="AJ497" s="170"/>
      <c r="AK497" s="170"/>
      <c r="AL497" s="170"/>
      <c r="AM497" s="170"/>
      <c r="AN497" s="170"/>
      <c r="AO497" s="170"/>
      <c r="AP497" s="170"/>
      <c r="AQ497" s="170"/>
      <c r="AR497" s="170"/>
      <c r="AS497" s="170"/>
      <c r="AT497" s="170"/>
      <c r="AU497" s="170"/>
      <c r="AV497" s="170"/>
      <c r="AW497" s="170"/>
      <c r="AX497" s="170"/>
    </row>
    <row r="498" spans="1:50" ht="15" x14ac:dyDescent="0.25">
      <c r="A498" s="170"/>
      <c r="B498" s="719"/>
      <c r="C498" s="170"/>
      <c r="D498" s="170"/>
      <c r="E498" s="170"/>
      <c r="F498" s="170"/>
      <c r="G498" s="721"/>
      <c r="H498" s="170"/>
      <c r="I498" s="170"/>
      <c r="J498" s="170"/>
      <c r="K498" s="170"/>
      <c r="L498" s="170"/>
      <c r="M498" s="730"/>
      <c r="N498" s="730"/>
      <c r="O498" s="730"/>
      <c r="P498" s="731"/>
      <c r="Q498" s="731"/>
      <c r="R498" s="730"/>
      <c r="S498" s="730"/>
      <c r="T498" s="723"/>
      <c r="U498" s="724"/>
      <c r="V498" s="725"/>
      <c r="W498" s="725"/>
      <c r="X498" s="723"/>
      <c r="Y498" s="723"/>
      <c r="Z498" s="723"/>
      <c r="AA498" s="726"/>
      <c r="AB498" s="726"/>
      <c r="AC498" s="170"/>
      <c r="AD498" s="586"/>
      <c r="AE498" s="586"/>
      <c r="AF498" s="170"/>
      <c r="AG498" s="170"/>
      <c r="AH498" s="170"/>
      <c r="AI498" s="170"/>
      <c r="AJ498" s="170"/>
      <c r="AK498" s="170"/>
      <c r="AL498" s="170"/>
      <c r="AM498" s="170"/>
      <c r="AN498" s="170"/>
      <c r="AO498" s="170"/>
      <c r="AP498" s="170"/>
      <c r="AQ498" s="170"/>
      <c r="AR498" s="170"/>
      <c r="AS498" s="170"/>
      <c r="AT498" s="170"/>
      <c r="AU498" s="170"/>
      <c r="AV498" s="170"/>
      <c r="AW498" s="170"/>
      <c r="AX498" s="170"/>
    </row>
    <row r="499" spans="1:50" ht="15" x14ac:dyDescent="0.25">
      <c r="A499" s="170"/>
      <c r="B499" s="719"/>
      <c r="C499" s="170"/>
      <c r="D499" s="170"/>
      <c r="E499" s="170"/>
      <c r="F499" s="170"/>
      <c r="G499" s="721"/>
      <c r="H499" s="170"/>
      <c r="I499" s="170"/>
      <c r="J499" s="170"/>
      <c r="K499" s="170"/>
      <c r="L499" s="170"/>
      <c r="M499" s="730"/>
      <c r="N499" s="730"/>
      <c r="O499" s="730"/>
      <c r="P499" s="731"/>
      <c r="Q499" s="731"/>
      <c r="R499" s="730"/>
      <c r="S499" s="730"/>
      <c r="T499" s="723"/>
      <c r="U499" s="724"/>
      <c r="V499" s="725"/>
      <c r="W499" s="725"/>
      <c r="X499" s="723"/>
      <c r="Y499" s="723"/>
      <c r="Z499" s="723"/>
      <c r="AA499" s="726"/>
      <c r="AB499" s="726"/>
      <c r="AC499" s="170"/>
      <c r="AD499" s="586"/>
      <c r="AE499" s="586"/>
      <c r="AF499" s="170"/>
      <c r="AG499" s="170"/>
      <c r="AH499" s="170"/>
      <c r="AI499" s="170"/>
      <c r="AJ499" s="170"/>
      <c r="AK499" s="170"/>
      <c r="AL499" s="170"/>
      <c r="AM499" s="170"/>
      <c r="AN499" s="170"/>
      <c r="AO499" s="170"/>
      <c r="AP499" s="170"/>
      <c r="AQ499" s="170"/>
      <c r="AR499" s="170"/>
      <c r="AS499" s="170"/>
      <c r="AT499" s="170"/>
      <c r="AU499" s="170"/>
      <c r="AV499" s="170"/>
      <c r="AW499" s="170"/>
      <c r="AX499" s="170"/>
    </row>
    <row r="500" spans="1:50" ht="15" x14ac:dyDescent="0.25">
      <c r="A500" s="170"/>
      <c r="B500" s="719"/>
      <c r="C500" s="170"/>
      <c r="D500" s="170"/>
      <c r="E500" s="170"/>
      <c r="F500" s="170"/>
      <c r="G500" s="721"/>
      <c r="H500" s="170"/>
      <c r="I500" s="170"/>
      <c r="J500" s="170"/>
      <c r="K500" s="170"/>
      <c r="L500" s="170"/>
      <c r="M500" s="730"/>
      <c r="N500" s="730"/>
      <c r="O500" s="730"/>
      <c r="P500" s="731"/>
      <c r="Q500" s="731"/>
      <c r="R500" s="730"/>
      <c r="S500" s="730"/>
      <c r="T500" s="723"/>
      <c r="U500" s="724"/>
      <c r="V500" s="725"/>
      <c r="W500" s="725"/>
      <c r="X500" s="723"/>
      <c r="Y500" s="723"/>
      <c r="Z500" s="723"/>
      <c r="AA500" s="726"/>
      <c r="AB500" s="726"/>
      <c r="AC500" s="170"/>
      <c r="AD500" s="586"/>
      <c r="AE500" s="586"/>
      <c r="AF500" s="170"/>
      <c r="AG500" s="170"/>
      <c r="AH500" s="170"/>
      <c r="AI500" s="170"/>
      <c r="AJ500" s="170"/>
      <c r="AK500" s="170"/>
      <c r="AL500" s="170"/>
      <c r="AM500" s="170"/>
      <c r="AN500" s="170"/>
      <c r="AO500" s="170"/>
      <c r="AP500" s="170"/>
      <c r="AQ500" s="170"/>
      <c r="AR500" s="170"/>
      <c r="AS500" s="170"/>
      <c r="AT500" s="170"/>
      <c r="AU500" s="170"/>
      <c r="AV500" s="170"/>
      <c r="AW500" s="170"/>
      <c r="AX500" s="170"/>
    </row>
    <row r="501" spans="1:50" ht="15" x14ac:dyDescent="0.25">
      <c r="A501" s="170"/>
      <c r="B501" s="719"/>
      <c r="C501" s="170"/>
      <c r="D501" s="170"/>
      <c r="E501" s="170"/>
      <c r="F501" s="170"/>
      <c r="G501" s="721"/>
      <c r="H501" s="170"/>
      <c r="I501" s="170"/>
      <c r="J501" s="170"/>
      <c r="K501" s="170"/>
      <c r="L501" s="170"/>
      <c r="M501" s="730"/>
      <c r="N501" s="730"/>
      <c r="O501" s="730"/>
      <c r="P501" s="731"/>
      <c r="Q501" s="731"/>
      <c r="R501" s="730"/>
      <c r="S501" s="730"/>
      <c r="T501" s="723"/>
      <c r="U501" s="724"/>
      <c r="V501" s="725"/>
      <c r="W501" s="725"/>
      <c r="X501" s="723"/>
      <c r="Y501" s="723"/>
      <c r="Z501" s="723"/>
      <c r="AA501" s="726"/>
      <c r="AB501" s="726"/>
      <c r="AC501" s="170"/>
      <c r="AD501" s="586"/>
      <c r="AE501" s="586"/>
      <c r="AF501" s="170"/>
      <c r="AG501" s="170"/>
      <c r="AH501" s="170"/>
      <c r="AI501" s="170"/>
      <c r="AJ501" s="170"/>
      <c r="AK501" s="170"/>
      <c r="AL501" s="170"/>
      <c r="AM501" s="170"/>
      <c r="AN501" s="170"/>
      <c r="AO501" s="170"/>
      <c r="AP501" s="170"/>
      <c r="AQ501" s="170"/>
      <c r="AR501" s="170"/>
      <c r="AS501" s="170"/>
      <c r="AT501" s="170"/>
      <c r="AU501" s="170"/>
      <c r="AV501" s="170"/>
      <c r="AW501" s="170"/>
      <c r="AX501" s="170"/>
    </row>
    <row r="502" spans="1:50" ht="15" x14ac:dyDescent="0.25">
      <c r="A502" s="170"/>
      <c r="B502" s="719"/>
      <c r="C502" s="170"/>
      <c r="D502" s="170"/>
      <c r="E502" s="170"/>
      <c r="F502" s="170"/>
      <c r="G502" s="721"/>
      <c r="H502" s="170"/>
      <c r="I502" s="170"/>
      <c r="J502" s="170"/>
      <c r="K502" s="170"/>
      <c r="L502" s="170"/>
      <c r="M502" s="730"/>
      <c r="N502" s="730"/>
      <c r="O502" s="730"/>
      <c r="P502" s="731"/>
      <c r="Q502" s="731"/>
      <c r="R502" s="730"/>
      <c r="S502" s="730"/>
      <c r="T502" s="723"/>
      <c r="U502" s="724"/>
      <c r="V502" s="725"/>
      <c r="W502" s="725"/>
      <c r="X502" s="723"/>
      <c r="Y502" s="723"/>
      <c r="Z502" s="723"/>
      <c r="AA502" s="726"/>
      <c r="AB502" s="726"/>
      <c r="AC502" s="170"/>
      <c r="AD502" s="586"/>
      <c r="AE502" s="586"/>
      <c r="AF502" s="170"/>
      <c r="AG502" s="170"/>
      <c r="AH502" s="170"/>
      <c r="AI502" s="170"/>
      <c r="AJ502" s="170"/>
      <c r="AK502" s="170"/>
      <c r="AL502" s="170"/>
      <c r="AM502" s="170"/>
      <c r="AN502" s="170"/>
      <c r="AO502" s="170"/>
      <c r="AP502" s="170"/>
      <c r="AQ502" s="170"/>
      <c r="AR502" s="170"/>
      <c r="AS502" s="170"/>
      <c r="AT502" s="170"/>
      <c r="AU502" s="170"/>
      <c r="AV502" s="170"/>
      <c r="AW502" s="170"/>
      <c r="AX502" s="170"/>
    </row>
    <row r="503" spans="1:50" ht="15" x14ac:dyDescent="0.25">
      <c r="A503" s="170"/>
      <c r="B503" s="719"/>
      <c r="C503" s="170"/>
      <c r="D503" s="170"/>
      <c r="E503" s="170"/>
      <c r="F503" s="170"/>
      <c r="G503" s="721"/>
      <c r="H503" s="170"/>
      <c r="I503" s="170"/>
      <c r="J503" s="170"/>
      <c r="K503" s="170"/>
      <c r="L503" s="170"/>
      <c r="M503" s="730"/>
      <c r="N503" s="730"/>
      <c r="O503" s="730"/>
      <c r="P503" s="731"/>
      <c r="Q503" s="731"/>
      <c r="R503" s="730"/>
      <c r="S503" s="730"/>
      <c r="T503" s="723"/>
      <c r="U503" s="724"/>
      <c r="V503" s="725"/>
      <c r="W503" s="725"/>
      <c r="X503" s="723"/>
      <c r="Y503" s="723"/>
      <c r="Z503" s="723"/>
      <c r="AA503" s="726"/>
      <c r="AB503" s="726"/>
      <c r="AC503" s="170"/>
      <c r="AD503" s="586"/>
      <c r="AE503" s="586"/>
      <c r="AF503" s="170"/>
      <c r="AG503" s="170"/>
      <c r="AH503" s="170"/>
      <c r="AI503" s="170"/>
      <c r="AJ503" s="170"/>
      <c r="AK503" s="170"/>
      <c r="AL503" s="170"/>
      <c r="AM503" s="170"/>
      <c r="AN503" s="170"/>
      <c r="AO503" s="170"/>
      <c r="AP503" s="170"/>
      <c r="AQ503" s="170"/>
      <c r="AR503" s="170"/>
      <c r="AS503" s="170"/>
      <c r="AT503" s="170"/>
      <c r="AU503" s="170"/>
      <c r="AV503" s="170"/>
      <c r="AW503" s="170"/>
      <c r="AX503" s="170"/>
    </row>
    <row r="504" spans="1:50" ht="15" x14ac:dyDescent="0.25">
      <c r="A504" s="170"/>
      <c r="B504" s="719"/>
      <c r="C504" s="170"/>
      <c r="D504" s="170"/>
      <c r="E504" s="170"/>
      <c r="F504" s="170"/>
      <c r="G504" s="721"/>
      <c r="H504" s="170"/>
      <c r="I504" s="170"/>
      <c r="J504" s="170"/>
      <c r="K504" s="170"/>
      <c r="L504" s="170"/>
      <c r="M504" s="730"/>
      <c r="N504" s="730"/>
      <c r="O504" s="730"/>
      <c r="P504" s="731"/>
      <c r="Q504" s="731"/>
      <c r="R504" s="730"/>
      <c r="S504" s="730"/>
      <c r="T504" s="723"/>
      <c r="U504" s="724"/>
      <c r="V504" s="725"/>
      <c r="W504" s="725"/>
      <c r="X504" s="723"/>
      <c r="Y504" s="723"/>
      <c r="Z504" s="723"/>
      <c r="AA504" s="726"/>
      <c r="AB504" s="726"/>
      <c r="AC504" s="170"/>
      <c r="AD504" s="586"/>
      <c r="AE504" s="586"/>
      <c r="AF504" s="170"/>
      <c r="AG504" s="170"/>
      <c r="AH504" s="170"/>
      <c r="AI504" s="170"/>
      <c r="AJ504" s="170"/>
      <c r="AK504" s="170"/>
      <c r="AL504" s="170"/>
      <c r="AM504" s="170"/>
      <c r="AN504" s="170"/>
      <c r="AO504" s="170"/>
      <c r="AP504" s="170"/>
      <c r="AQ504" s="170"/>
      <c r="AR504" s="170"/>
      <c r="AS504" s="170"/>
      <c r="AT504" s="170"/>
      <c r="AU504" s="170"/>
      <c r="AV504" s="170"/>
      <c r="AW504" s="170"/>
      <c r="AX504" s="170"/>
    </row>
    <row r="505" spans="1:50" ht="15" x14ac:dyDescent="0.25">
      <c r="A505" s="170"/>
      <c r="B505" s="719"/>
      <c r="C505" s="170"/>
      <c r="D505" s="170"/>
      <c r="E505" s="170"/>
      <c r="F505" s="170"/>
      <c r="G505" s="721"/>
      <c r="H505" s="170"/>
      <c r="I505" s="170"/>
      <c r="J505" s="170"/>
      <c r="K505" s="170"/>
      <c r="L505" s="170"/>
      <c r="M505" s="730"/>
      <c r="N505" s="730"/>
      <c r="O505" s="730"/>
      <c r="P505" s="731"/>
      <c r="Q505" s="731"/>
      <c r="R505" s="730"/>
      <c r="S505" s="730"/>
      <c r="T505" s="723"/>
      <c r="U505" s="724"/>
      <c r="V505" s="725"/>
      <c r="W505" s="725"/>
      <c r="X505" s="723"/>
      <c r="Y505" s="723"/>
      <c r="Z505" s="723"/>
      <c r="AA505" s="726"/>
      <c r="AB505" s="726"/>
      <c r="AC505" s="170"/>
      <c r="AD505" s="586"/>
      <c r="AE505" s="586"/>
      <c r="AF505" s="170"/>
      <c r="AG505" s="170"/>
      <c r="AH505" s="170"/>
      <c r="AI505" s="170"/>
      <c r="AJ505" s="170"/>
      <c r="AK505" s="170"/>
      <c r="AL505" s="170"/>
      <c r="AM505" s="170"/>
      <c r="AN505" s="170"/>
      <c r="AO505" s="170"/>
      <c r="AP505" s="170"/>
      <c r="AQ505" s="170"/>
      <c r="AR505" s="170"/>
      <c r="AS505" s="170"/>
      <c r="AT505" s="170"/>
      <c r="AU505" s="170"/>
      <c r="AV505" s="170"/>
      <c r="AW505" s="170"/>
      <c r="AX505" s="170"/>
    </row>
    <row r="506" spans="1:50" ht="15" x14ac:dyDescent="0.25">
      <c r="A506" s="170"/>
      <c r="B506" s="719"/>
      <c r="C506" s="170"/>
      <c r="D506" s="170"/>
      <c r="E506" s="170"/>
      <c r="F506" s="170"/>
      <c r="G506" s="721"/>
      <c r="H506" s="170"/>
      <c r="I506" s="170"/>
      <c r="J506" s="170"/>
      <c r="K506" s="170"/>
      <c r="L506" s="170"/>
      <c r="M506" s="730"/>
      <c r="N506" s="730"/>
      <c r="O506" s="730"/>
      <c r="P506" s="731"/>
      <c r="Q506" s="731"/>
      <c r="R506" s="730"/>
      <c r="S506" s="730"/>
      <c r="T506" s="723"/>
      <c r="U506" s="724"/>
      <c r="V506" s="725"/>
      <c r="W506" s="725"/>
      <c r="X506" s="723"/>
      <c r="Y506" s="723"/>
      <c r="Z506" s="723"/>
      <c r="AA506" s="726"/>
      <c r="AB506" s="726"/>
      <c r="AC506" s="170"/>
      <c r="AD506" s="586"/>
      <c r="AE506" s="586"/>
      <c r="AF506" s="170"/>
      <c r="AG506" s="170"/>
      <c r="AH506" s="170"/>
      <c r="AI506" s="170"/>
      <c r="AJ506" s="170"/>
      <c r="AK506" s="170"/>
      <c r="AL506" s="170"/>
      <c r="AM506" s="170"/>
      <c r="AN506" s="170"/>
      <c r="AO506" s="170"/>
      <c r="AP506" s="170"/>
      <c r="AQ506" s="170"/>
      <c r="AR506" s="170"/>
      <c r="AS506" s="170"/>
      <c r="AT506" s="170"/>
      <c r="AU506" s="170"/>
      <c r="AV506" s="170"/>
      <c r="AW506" s="170"/>
      <c r="AX506" s="170"/>
    </row>
    <row r="507" spans="1:50" ht="15" x14ac:dyDescent="0.25">
      <c r="A507" s="170"/>
      <c r="B507" s="719"/>
      <c r="C507" s="170"/>
      <c r="D507" s="170"/>
      <c r="E507" s="170"/>
      <c r="F507" s="170"/>
      <c r="G507" s="721"/>
      <c r="H507" s="170"/>
      <c r="I507" s="170"/>
      <c r="J507" s="170"/>
      <c r="K507" s="170"/>
      <c r="L507" s="170"/>
      <c r="M507" s="730"/>
      <c r="N507" s="730"/>
      <c r="O507" s="730"/>
      <c r="P507" s="731"/>
      <c r="Q507" s="731"/>
      <c r="R507" s="730"/>
      <c r="S507" s="730"/>
      <c r="T507" s="723"/>
      <c r="U507" s="724"/>
      <c r="V507" s="725"/>
      <c r="W507" s="725"/>
      <c r="X507" s="723"/>
      <c r="Y507" s="723"/>
      <c r="Z507" s="723"/>
      <c r="AA507" s="726"/>
      <c r="AB507" s="726"/>
      <c r="AC507" s="170"/>
      <c r="AD507" s="586"/>
      <c r="AE507" s="586"/>
      <c r="AF507" s="170"/>
      <c r="AG507" s="170"/>
      <c r="AH507" s="170"/>
      <c r="AI507" s="170"/>
      <c r="AJ507" s="170"/>
      <c r="AK507" s="170"/>
      <c r="AL507" s="170"/>
      <c r="AM507" s="170"/>
      <c r="AN507" s="170"/>
      <c r="AO507" s="170"/>
      <c r="AP507" s="170"/>
      <c r="AQ507" s="170"/>
      <c r="AR507" s="170"/>
      <c r="AS507" s="170"/>
      <c r="AT507" s="170"/>
      <c r="AU507" s="170"/>
      <c r="AV507" s="170"/>
      <c r="AW507" s="170"/>
      <c r="AX507" s="170"/>
    </row>
    <row r="508" spans="1:50" ht="15" x14ac:dyDescent="0.25">
      <c r="A508" s="170"/>
      <c r="B508" s="719"/>
      <c r="C508" s="170"/>
      <c r="D508" s="170"/>
      <c r="E508" s="170"/>
      <c r="F508" s="170"/>
      <c r="G508" s="721"/>
      <c r="H508" s="170"/>
      <c r="I508" s="170"/>
      <c r="J508" s="170"/>
      <c r="K508" s="170"/>
      <c r="L508" s="170"/>
      <c r="M508" s="730"/>
      <c r="N508" s="730"/>
      <c r="O508" s="730"/>
      <c r="P508" s="731"/>
      <c r="Q508" s="731"/>
      <c r="R508" s="730"/>
      <c r="S508" s="730"/>
      <c r="T508" s="723"/>
      <c r="U508" s="724"/>
      <c r="V508" s="725"/>
      <c r="W508" s="725"/>
      <c r="X508" s="723"/>
      <c r="Y508" s="723"/>
      <c r="Z508" s="723"/>
      <c r="AA508" s="726"/>
      <c r="AB508" s="726"/>
      <c r="AC508" s="170"/>
      <c r="AD508" s="586"/>
      <c r="AE508" s="586"/>
      <c r="AF508" s="170"/>
      <c r="AG508" s="170"/>
      <c r="AH508" s="170"/>
      <c r="AI508" s="170"/>
      <c r="AJ508" s="170"/>
      <c r="AK508" s="170"/>
      <c r="AL508" s="170"/>
      <c r="AM508" s="170"/>
      <c r="AN508" s="170"/>
      <c r="AO508" s="170"/>
      <c r="AP508" s="170"/>
      <c r="AQ508" s="170"/>
      <c r="AR508" s="170"/>
      <c r="AS508" s="170"/>
      <c r="AT508" s="170"/>
      <c r="AU508" s="170"/>
      <c r="AV508" s="170"/>
      <c r="AW508" s="170"/>
      <c r="AX508" s="170"/>
    </row>
    <row r="509" spans="1:50" ht="15" x14ac:dyDescent="0.25">
      <c r="A509" s="170"/>
      <c r="B509" s="719"/>
      <c r="C509" s="170"/>
      <c r="D509" s="170"/>
      <c r="E509" s="170"/>
      <c r="F509" s="170"/>
      <c r="G509" s="721"/>
      <c r="H509" s="170"/>
      <c r="I509" s="170"/>
      <c r="J509" s="170"/>
      <c r="K509" s="170"/>
      <c r="L509" s="170"/>
      <c r="M509" s="730"/>
      <c r="N509" s="730"/>
      <c r="O509" s="730"/>
      <c r="P509" s="731"/>
      <c r="Q509" s="731"/>
      <c r="R509" s="730"/>
      <c r="S509" s="730"/>
      <c r="T509" s="723"/>
      <c r="U509" s="724"/>
      <c r="V509" s="725"/>
      <c r="W509" s="725"/>
      <c r="X509" s="723"/>
      <c r="Y509" s="723"/>
      <c r="Z509" s="723"/>
      <c r="AA509" s="726"/>
      <c r="AB509" s="726"/>
      <c r="AC509" s="170"/>
      <c r="AD509" s="586"/>
      <c r="AE509" s="586"/>
      <c r="AF509" s="170"/>
      <c r="AG509" s="170"/>
      <c r="AH509" s="170"/>
      <c r="AI509" s="170"/>
      <c r="AJ509" s="170"/>
      <c r="AK509" s="170"/>
      <c r="AL509" s="170"/>
      <c r="AM509" s="170"/>
      <c r="AN509" s="170"/>
      <c r="AO509" s="170"/>
      <c r="AP509" s="170"/>
      <c r="AQ509" s="170"/>
      <c r="AR509" s="170"/>
      <c r="AS509" s="170"/>
      <c r="AT509" s="170"/>
      <c r="AU509" s="170"/>
      <c r="AV509" s="170"/>
      <c r="AW509" s="170"/>
      <c r="AX509" s="170"/>
    </row>
    <row r="510" spans="1:50" ht="15" x14ac:dyDescent="0.25">
      <c r="A510" s="170"/>
      <c r="B510" s="719"/>
      <c r="C510" s="170"/>
      <c r="D510" s="170"/>
      <c r="E510" s="170"/>
      <c r="F510" s="170"/>
      <c r="G510" s="721"/>
      <c r="H510" s="170"/>
      <c r="I510" s="170"/>
      <c r="J510" s="170"/>
      <c r="K510" s="170"/>
      <c r="L510" s="170"/>
      <c r="M510" s="730"/>
      <c r="N510" s="730"/>
      <c r="O510" s="730"/>
      <c r="P510" s="731"/>
      <c r="Q510" s="731"/>
      <c r="R510" s="730"/>
      <c r="S510" s="730"/>
      <c r="T510" s="723"/>
      <c r="U510" s="724"/>
      <c r="V510" s="725"/>
      <c r="W510" s="725"/>
      <c r="X510" s="723"/>
      <c r="Y510" s="723"/>
      <c r="Z510" s="723"/>
      <c r="AA510" s="726"/>
      <c r="AB510" s="726"/>
      <c r="AC510" s="170"/>
      <c r="AD510" s="586"/>
      <c r="AE510" s="586"/>
      <c r="AF510" s="170"/>
      <c r="AG510" s="170"/>
      <c r="AH510" s="170"/>
      <c r="AI510" s="170"/>
      <c r="AJ510" s="170"/>
      <c r="AK510" s="170"/>
      <c r="AL510" s="170"/>
      <c r="AM510" s="170"/>
      <c r="AN510" s="170"/>
      <c r="AO510" s="170"/>
      <c r="AP510" s="170"/>
      <c r="AQ510" s="170"/>
      <c r="AR510" s="170"/>
      <c r="AS510" s="170"/>
      <c r="AT510" s="170"/>
      <c r="AU510" s="170"/>
      <c r="AV510" s="170"/>
      <c r="AW510" s="170"/>
      <c r="AX510" s="170"/>
    </row>
    <row r="511" spans="1:50" ht="15" x14ac:dyDescent="0.25">
      <c r="A511" s="170"/>
      <c r="B511" s="719"/>
      <c r="C511" s="170"/>
      <c r="D511" s="170"/>
      <c r="E511" s="170"/>
      <c r="F511" s="170"/>
      <c r="G511" s="721"/>
      <c r="H511" s="170"/>
      <c r="I511" s="170"/>
      <c r="J511" s="170"/>
      <c r="K511" s="170"/>
      <c r="L511" s="170"/>
      <c r="M511" s="730"/>
      <c r="N511" s="730"/>
      <c r="O511" s="730"/>
      <c r="P511" s="731"/>
      <c r="Q511" s="731"/>
      <c r="R511" s="730"/>
      <c r="S511" s="730"/>
      <c r="T511" s="723"/>
      <c r="U511" s="724"/>
      <c r="V511" s="725"/>
      <c r="W511" s="725"/>
      <c r="X511" s="723"/>
      <c r="Y511" s="723"/>
      <c r="Z511" s="723"/>
      <c r="AA511" s="726"/>
      <c r="AB511" s="726"/>
      <c r="AC511" s="170"/>
      <c r="AD511" s="586"/>
      <c r="AE511" s="586"/>
      <c r="AF511" s="170"/>
      <c r="AG511" s="170"/>
      <c r="AH511" s="170"/>
      <c r="AI511" s="170"/>
      <c r="AJ511" s="170"/>
      <c r="AK511" s="170"/>
      <c r="AL511" s="170"/>
      <c r="AM511" s="170"/>
      <c r="AN511" s="170"/>
      <c r="AO511" s="170"/>
      <c r="AP511" s="170"/>
      <c r="AQ511" s="170"/>
      <c r="AR511" s="170"/>
      <c r="AS511" s="170"/>
      <c r="AT511" s="170"/>
      <c r="AU511" s="170"/>
      <c r="AV511" s="170"/>
      <c r="AW511" s="170"/>
      <c r="AX511" s="170"/>
    </row>
    <row r="512" spans="1:50" ht="15" x14ac:dyDescent="0.25">
      <c r="A512" s="170"/>
      <c r="B512" s="719"/>
      <c r="C512" s="170"/>
      <c r="D512" s="170"/>
      <c r="E512" s="170"/>
      <c r="F512" s="170"/>
      <c r="G512" s="721"/>
      <c r="H512" s="170"/>
      <c r="I512" s="170"/>
      <c r="J512" s="170"/>
      <c r="K512" s="170"/>
      <c r="L512" s="170"/>
      <c r="M512" s="730"/>
      <c r="N512" s="730"/>
      <c r="O512" s="730"/>
      <c r="P512" s="731"/>
      <c r="Q512" s="731"/>
      <c r="R512" s="730"/>
      <c r="S512" s="730"/>
      <c r="T512" s="723"/>
      <c r="U512" s="724"/>
      <c r="V512" s="725"/>
      <c r="W512" s="725"/>
      <c r="X512" s="723"/>
      <c r="Y512" s="723"/>
      <c r="Z512" s="723"/>
      <c r="AA512" s="726"/>
      <c r="AB512" s="726"/>
      <c r="AC512" s="170"/>
      <c r="AD512" s="586"/>
      <c r="AE512" s="586"/>
      <c r="AF512" s="170"/>
      <c r="AG512" s="170"/>
      <c r="AH512" s="170"/>
      <c r="AI512" s="170"/>
      <c r="AJ512" s="170"/>
      <c r="AK512" s="170"/>
      <c r="AL512" s="170"/>
      <c r="AM512" s="170"/>
      <c r="AN512" s="170"/>
      <c r="AO512" s="170"/>
      <c r="AP512" s="170"/>
      <c r="AQ512" s="170"/>
      <c r="AR512" s="170"/>
      <c r="AS512" s="170"/>
      <c r="AT512" s="170"/>
      <c r="AU512" s="170"/>
      <c r="AV512" s="170"/>
      <c r="AW512" s="170"/>
      <c r="AX512" s="170"/>
    </row>
    <row r="513" spans="1:50" ht="15" x14ac:dyDescent="0.25">
      <c r="A513" s="170"/>
      <c r="B513" s="719"/>
      <c r="C513" s="170"/>
      <c r="D513" s="170"/>
      <c r="E513" s="170"/>
      <c r="F513" s="170"/>
      <c r="G513" s="721"/>
      <c r="H513" s="170"/>
      <c r="I513" s="170"/>
      <c r="J513" s="170"/>
      <c r="K513" s="170"/>
      <c r="L513" s="170"/>
      <c r="M513" s="730"/>
      <c r="N513" s="730"/>
      <c r="O513" s="730"/>
      <c r="P513" s="731"/>
      <c r="Q513" s="731"/>
      <c r="R513" s="730"/>
      <c r="S513" s="730"/>
      <c r="T513" s="723"/>
      <c r="U513" s="724"/>
      <c r="V513" s="725"/>
      <c r="W513" s="725"/>
      <c r="X513" s="723"/>
      <c r="Y513" s="723"/>
      <c r="Z513" s="723"/>
      <c r="AA513" s="726"/>
      <c r="AB513" s="726"/>
      <c r="AC513" s="170"/>
      <c r="AD513" s="586"/>
      <c r="AE513" s="586"/>
      <c r="AF513" s="170"/>
      <c r="AG513" s="170"/>
      <c r="AH513" s="170"/>
      <c r="AI513" s="170"/>
      <c r="AJ513" s="170"/>
      <c r="AK513" s="170"/>
      <c r="AL513" s="170"/>
      <c r="AM513" s="170"/>
      <c r="AN513" s="170"/>
      <c r="AO513" s="170"/>
      <c r="AP513" s="170"/>
      <c r="AQ513" s="170"/>
      <c r="AR513" s="170"/>
      <c r="AS513" s="170"/>
      <c r="AT513" s="170"/>
      <c r="AU513" s="170"/>
      <c r="AV513" s="170"/>
      <c r="AW513" s="170"/>
      <c r="AX513" s="170"/>
    </row>
    <row r="514" spans="1:50" ht="15" x14ac:dyDescent="0.25">
      <c r="A514" s="170"/>
      <c r="B514" s="719"/>
      <c r="C514" s="170"/>
      <c r="D514" s="170"/>
      <c r="E514" s="170"/>
      <c r="F514" s="170"/>
      <c r="G514" s="721"/>
      <c r="H514" s="170"/>
      <c r="I514" s="170"/>
      <c r="J514" s="170"/>
      <c r="K514" s="170"/>
      <c r="L514" s="170"/>
      <c r="M514" s="730"/>
      <c r="N514" s="730"/>
      <c r="O514" s="730"/>
      <c r="P514" s="731"/>
      <c r="Q514" s="731"/>
      <c r="R514" s="730"/>
      <c r="S514" s="730"/>
      <c r="T514" s="723"/>
      <c r="U514" s="724"/>
      <c r="V514" s="725"/>
      <c r="W514" s="725"/>
      <c r="X514" s="723"/>
      <c r="Y514" s="723"/>
      <c r="Z514" s="723"/>
      <c r="AA514" s="726"/>
      <c r="AB514" s="726"/>
      <c r="AC514" s="170"/>
      <c r="AD514" s="586"/>
      <c r="AE514" s="586"/>
      <c r="AF514" s="170"/>
      <c r="AG514" s="170"/>
      <c r="AH514" s="170"/>
      <c r="AI514" s="170"/>
      <c r="AJ514" s="170"/>
      <c r="AK514" s="170"/>
      <c r="AL514" s="170"/>
      <c r="AM514" s="170"/>
      <c r="AN514" s="170"/>
      <c r="AO514" s="170"/>
      <c r="AP514" s="170"/>
      <c r="AQ514" s="170"/>
      <c r="AR514" s="170"/>
      <c r="AS514" s="170"/>
      <c r="AT514" s="170"/>
      <c r="AU514" s="170"/>
      <c r="AV514" s="170"/>
      <c r="AW514" s="170"/>
      <c r="AX514" s="170"/>
    </row>
    <row r="515" spans="1:50" ht="15" x14ac:dyDescent="0.25">
      <c r="A515" s="170"/>
      <c r="B515" s="719"/>
      <c r="C515" s="170"/>
      <c r="D515" s="170"/>
      <c r="E515" s="170"/>
      <c r="F515" s="170"/>
      <c r="G515" s="721"/>
      <c r="H515" s="170"/>
      <c r="I515" s="170"/>
      <c r="J515" s="170"/>
      <c r="K515" s="170"/>
      <c r="L515" s="170"/>
      <c r="M515" s="730"/>
      <c r="N515" s="730"/>
      <c r="O515" s="730"/>
      <c r="P515" s="731"/>
      <c r="Q515" s="731"/>
      <c r="R515" s="730"/>
      <c r="S515" s="730"/>
      <c r="T515" s="723"/>
      <c r="U515" s="724"/>
      <c r="V515" s="725"/>
      <c r="W515" s="725"/>
      <c r="X515" s="723"/>
      <c r="Y515" s="723"/>
      <c r="Z515" s="723"/>
      <c r="AA515" s="726"/>
      <c r="AB515" s="726"/>
      <c r="AC515" s="170"/>
      <c r="AD515" s="586"/>
      <c r="AE515" s="586"/>
      <c r="AF515" s="170"/>
      <c r="AG515" s="170"/>
      <c r="AH515" s="170"/>
      <c r="AI515" s="170"/>
      <c r="AJ515" s="170"/>
      <c r="AK515" s="170"/>
      <c r="AL515" s="170"/>
      <c r="AM515" s="170"/>
      <c r="AN515" s="170"/>
      <c r="AO515" s="170"/>
      <c r="AP515" s="170"/>
      <c r="AQ515" s="170"/>
      <c r="AR515" s="170"/>
      <c r="AS515" s="170"/>
      <c r="AT515" s="170"/>
      <c r="AU515" s="170"/>
      <c r="AV515" s="170"/>
      <c r="AW515" s="170"/>
      <c r="AX515" s="170"/>
    </row>
    <row r="516" spans="1:50" ht="15" x14ac:dyDescent="0.25">
      <c r="A516" s="170"/>
      <c r="B516" s="719"/>
      <c r="C516" s="170"/>
      <c r="D516" s="170"/>
      <c r="E516" s="170"/>
      <c r="F516" s="170"/>
      <c r="G516" s="721"/>
      <c r="H516" s="170"/>
      <c r="I516" s="170"/>
      <c r="J516" s="170"/>
      <c r="K516" s="170"/>
      <c r="L516" s="170"/>
      <c r="M516" s="730"/>
      <c r="N516" s="730"/>
      <c r="O516" s="730"/>
      <c r="P516" s="731"/>
      <c r="Q516" s="731"/>
      <c r="R516" s="730"/>
      <c r="S516" s="730"/>
      <c r="T516" s="723"/>
      <c r="U516" s="724"/>
      <c r="V516" s="725"/>
      <c r="W516" s="725"/>
      <c r="X516" s="723"/>
      <c r="Y516" s="723"/>
      <c r="Z516" s="723"/>
      <c r="AA516" s="726"/>
      <c r="AB516" s="726"/>
      <c r="AC516" s="170"/>
      <c r="AD516" s="586"/>
      <c r="AE516" s="586"/>
      <c r="AF516" s="170"/>
      <c r="AG516" s="170"/>
      <c r="AH516" s="170"/>
      <c r="AI516" s="170"/>
      <c r="AJ516" s="170"/>
      <c r="AK516" s="170"/>
      <c r="AL516" s="170"/>
      <c r="AM516" s="170"/>
      <c r="AN516" s="170"/>
      <c r="AO516" s="170"/>
      <c r="AP516" s="170"/>
      <c r="AQ516" s="170"/>
      <c r="AR516" s="170"/>
      <c r="AS516" s="170"/>
      <c r="AT516" s="170"/>
      <c r="AU516" s="170"/>
      <c r="AV516" s="170"/>
      <c r="AW516" s="170"/>
      <c r="AX516" s="170"/>
    </row>
    <row r="517" spans="1:50" ht="15" x14ac:dyDescent="0.25">
      <c r="A517" s="170"/>
      <c r="B517" s="719"/>
      <c r="C517" s="170"/>
      <c r="D517" s="170"/>
      <c r="E517" s="170"/>
      <c r="F517" s="170"/>
      <c r="G517" s="721"/>
      <c r="H517" s="170"/>
      <c r="I517" s="170"/>
      <c r="J517" s="170"/>
      <c r="K517" s="170"/>
      <c r="L517" s="170"/>
      <c r="M517" s="730"/>
      <c r="N517" s="730"/>
      <c r="O517" s="730"/>
      <c r="P517" s="731"/>
      <c r="Q517" s="731"/>
      <c r="R517" s="730"/>
      <c r="S517" s="730"/>
      <c r="T517" s="723"/>
      <c r="U517" s="724"/>
      <c r="V517" s="725"/>
      <c r="W517" s="725"/>
      <c r="X517" s="723"/>
      <c r="Y517" s="723"/>
      <c r="Z517" s="723"/>
      <c r="AA517" s="726"/>
      <c r="AB517" s="726"/>
      <c r="AC517" s="170"/>
      <c r="AD517" s="586"/>
      <c r="AE517" s="586"/>
      <c r="AF517" s="170"/>
      <c r="AG517" s="170"/>
      <c r="AH517" s="170"/>
      <c r="AI517" s="170"/>
      <c r="AJ517" s="170"/>
      <c r="AK517" s="170"/>
      <c r="AL517" s="170"/>
      <c r="AM517" s="170"/>
      <c r="AN517" s="170"/>
      <c r="AO517" s="170"/>
      <c r="AP517" s="170"/>
      <c r="AQ517" s="170"/>
      <c r="AR517" s="170"/>
      <c r="AS517" s="170"/>
      <c r="AT517" s="170"/>
      <c r="AU517" s="170"/>
      <c r="AV517" s="170"/>
      <c r="AW517" s="170"/>
      <c r="AX517" s="170"/>
    </row>
    <row r="518" spans="1:50" ht="15" x14ac:dyDescent="0.25">
      <c r="A518" s="170"/>
      <c r="B518" s="719"/>
      <c r="C518" s="170"/>
      <c r="D518" s="170"/>
      <c r="E518" s="170"/>
      <c r="F518" s="170"/>
      <c r="G518" s="721"/>
      <c r="H518" s="170"/>
      <c r="I518" s="170"/>
      <c r="J518" s="170"/>
      <c r="K518" s="170"/>
      <c r="L518" s="170"/>
      <c r="M518" s="730"/>
      <c r="N518" s="730"/>
      <c r="O518" s="730"/>
      <c r="P518" s="731"/>
      <c r="Q518" s="731"/>
      <c r="R518" s="730"/>
      <c r="S518" s="730"/>
      <c r="T518" s="723"/>
      <c r="U518" s="724"/>
      <c r="V518" s="725"/>
      <c r="W518" s="725"/>
      <c r="X518" s="723"/>
      <c r="Y518" s="723"/>
      <c r="Z518" s="723"/>
      <c r="AA518" s="726"/>
      <c r="AB518" s="726"/>
      <c r="AC518" s="170"/>
      <c r="AD518" s="586"/>
      <c r="AE518" s="586"/>
      <c r="AF518" s="170"/>
      <c r="AG518" s="170"/>
      <c r="AH518" s="170"/>
      <c r="AI518" s="170"/>
      <c r="AJ518" s="170"/>
      <c r="AK518" s="170"/>
      <c r="AL518" s="170"/>
      <c r="AM518" s="170"/>
      <c r="AN518" s="170"/>
      <c r="AO518" s="170"/>
      <c r="AP518" s="170"/>
      <c r="AQ518" s="170"/>
      <c r="AR518" s="170"/>
      <c r="AS518" s="170"/>
      <c r="AT518" s="170"/>
      <c r="AU518" s="170"/>
      <c r="AV518" s="170"/>
      <c r="AW518" s="170"/>
      <c r="AX518" s="170"/>
    </row>
    <row r="519" spans="1:50" ht="15" x14ac:dyDescent="0.25">
      <c r="A519" s="170"/>
      <c r="B519" s="719"/>
      <c r="C519" s="170"/>
      <c r="D519" s="170"/>
      <c r="E519" s="170"/>
      <c r="F519" s="170"/>
      <c r="G519" s="721"/>
      <c r="H519" s="170"/>
      <c r="I519" s="170"/>
      <c r="J519" s="170"/>
      <c r="K519" s="170"/>
      <c r="L519" s="170"/>
      <c r="M519" s="730"/>
      <c r="N519" s="730"/>
      <c r="O519" s="730"/>
      <c r="P519" s="731"/>
      <c r="Q519" s="731"/>
      <c r="R519" s="730"/>
      <c r="S519" s="730"/>
      <c r="T519" s="723"/>
      <c r="U519" s="724"/>
      <c r="V519" s="725"/>
      <c r="W519" s="725"/>
      <c r="X519" s="723"/>
      <c r="Y519" s="723"/>
      <c r="Z519" s="723"/>
      <c r="AA519" s="726"/>
      <c r="AB519" s="726"/>
      <c r="AC519" s="170"/>
      <c r="AD519" s="586"/>
      <c r="AE519" s="586"/>
      <c r="AF519" s="170"/>
      <c r="AG519" s="170"/>
      <c r="AH519" s="170"/>
      <c r="AI519" s="170"/>
      <c r="AJ519" s="170"/>
      <c r="AK519" s="170"/>
      <c r="AL519" s="170"/>
      <c r="AM519" s="170"/>
      <c r="AN519" s="170"/>
      <c r="AO519" s="170"/>
      <c r="AP519" s="170"/>
      <c r="AQ519" s="170"/>
      <c r="AR519" s="170"/>
      <c r="AS519" s="170"/>
      <c r="AT519" s="170"/>
      <c r="AU519" s="170"/>
      <c r="AV519" s="170"/>
      <c r="AW519" s="170"/>
      <c r="AX519" s="170"/>
    </row>
    <row r="520" spans="1:50" ht="15" x14ac:dyDescent="0.25">
      <c r="A520" s="170"/>
      <c r="B520" s="719"/>
      <c r="C520" s="170"/>
      <c r="D520" s="170"/>
      <c r="E520" s="170"/>
      <c r="F520" s="170"/>
      <c r="G520" s="721"/>
      <c r="H520" s="170"/>
      <c r="I520" s="170"/>
      <c r="J520" s="170"/>
      <c r="K520" s="170"/>
      <c r="L520" s="170"/>
      <c r="M520" s="730"/>
      <c r="N520" s="730"/>
      <c r="O520" s="730"/>
      <c r="P520" s="731"/>
      <c r="Q520" s="731"/>
      <c r="R520" s="730"/>
      <c r="S520" s="730"/>
      <c r="T520" s="723"/>
      <c r="U520" s="724"/>
      <c r="V520" s="725"/>
      <c r="W520" s="725"/>
      <c r="X520" s="723"/>
      <c r="Y520" s="723"/>
      <c r="Z520" s="723"/>
      <c r="AA520" s="726"/>
      <c r="AB520" s="726"/>
      <c r="AC520" s="170"/>
      <c r="AD520" s="586"/>
      <c r="AE520" s="586"/>
      <c r="AF520" s="170"/>
      <c r="AG520" s="170"/>
      <c r="AH520" s="170"/>
      <c r="AI520" s="170"/>
      <c r="AJ520" s="170"/>
      <c r="AK520" s="170"/>
      <c r="AL520" s="170"/>
      <c r="AM520" s="170"/>
      <c r="AN520" s="170"/>
      <c r="AO520" s="170"/>
      <c r="AP520" s="170"/>
      <c r="AQ520" s="170"/>
      <c r="AR520" s="170"/>
      <c r="AS520" s="170"/>
      <c r="AT520" s="170"/>
      <c r="AU520" s="170"/>
      <c r="AV520" s="170"/>
      <c r="AW520" s="170"/>
      <c r="AX520" s="170"/>
    </row>
    <row r="521" spans="1:50" ht="15" x14ac:dyDescent="0.25">
      <c r="A521" s="170"/>
      <c r="B521" s="719"/>
      <c r="C521" s="170"/>
      <c r="D521" s="170"/>
      <c r="E521" s="170"/>
      <c r="F521" s="170"/>
      <c r="G521" s="721"/>
      <c r="H521" s="170"/>
      <c r="I521" s="170"/>
      <c r="J521" s="170"/>
      <c r="K521" s="170"/>
      <c r="L521" s="170"/>
      <c r="M521" s="730"/>
      <c r="N521" s="730"/>
      <c r="O521" s="730"/>
      <c r="P521" s="731"/>
      <c r="Q521" s="731"/>
      <c r="R521" s="730"/>
      <c r="S521" s="730"/>
      <c r="T521" s="723"/>
      <c r="U521" s="724"/>
      <c r="V521" s="725"/>
      <c r="W521" s="725"/>
      <c r="X521" s="723"/>
      <c r="Y521" s="723"/>
      <c r="Z521" s="723"/>
      <c r="AA521" s="726"/>
      <c r="AB521" s="726"/>
      <c r="AC521" s="170"/>
      <c r="AD521" s="586"/>
      <c r="AE521" s="586"/>
      <c r="AF521" s="170"/>
      <c r="AG521" s="170"/>
      <c r="AH521" s="170"/>
      <c r="AI521" s="170"/>
      <c r="AJ521" s="170"/>
      <c r="AK521" s="170"/>
      <c r="AL521" s="170"/>
      <c r="AM521" s="170"/>
      <c r="AN521" s="170"/>
      <c r="AO521" s="170"/>
      <c r="AP521" s="170"/>
      <c r="AQ521" s="170"/>
      <c r="AR521" s="170"/>
      <c r="AS521" s="170"/>
      <c r="AT521" s="170"/>
      <c r="AU521" s="170"/>
      <c r="AV521" s="170"/>
      <c r="AW521" s="170"/>
      <c r="AX521" s="170"/>
    </row>
    <row r="522" spans="1:50" ht="15" x14ac:dyDescent="0.25">
      <c r="A522" s="170"/>
      <c r="B522" s="719"/>
      <c r="C522" s="170"/>
      <c r="D522" s="170"/>
      <c r="E522" s="170"/>
      <c r="F522" s="170"/>
      <c r="G522" s="721"/>
      <c r="H522" s="170"/>
      <c r="I522" s="170"/>
      <c r="J522" s="170"/>
      <c r="K522" s="170"/>
      <c r="L522" s="170"/>
      <c r="M522" s="730"/>
      <c r="N522" s="730"/>
      <c r="O522" s="730"/>
      <c r="P522" s="731"/>
      <c r="Q522" s="731"/>
      <c r="R522" s="730"/>
      <c r="S522" s="730"/>
      <c r="T522" s="723"/>
      <c r="U522" s="724"/>
      <c r="V522" s="725"/>
      <c r="W522" s="725"/>
      <c r="X522" s="723"/>
      <c r="Y522" s="723"/>
      <c r="Z522" s="723"/>
      <c r="AA522" s="726"/>
      <c r="AB522" s="726"/>
      <c r="AC522" s="170"/>
      <c r="AD522" s="586"/>
      <c r="AE522" s="586"/>
      <c r="AF522" s="170"/>
      <c r="AG522" s="170"/>
      <c r="AH522" s="170"/>
      <c r="AI522" s="170"/>
      <c r="AJ522" s="170"/>
      <c r="AK522" s="170"/>
      <c r="AL522" s="170"/>
      <c r="AM522" s="170"/>
      <c r="AN522" s="170"/>
      <c r="AO522" s="170"/>
      <c r="AP522" s="170"/>
      <c r="AQ522" s="170"/>
      <c r="AR522" s="170"/>
      <c r="AS522" s="170"/>
      <c r="AT522" s="170"/>
      <c r="AU522" s="170"/>
      <c r="AV522" s="170"/>
      <c r="AW522" s="170"/>
      <c r="AX522" s="170"/>
    </row>
    <row r="523" spans="1:50" ht="15" x14ac:dyDescent="0.25">
      <c r="A523" s="170"/>
      <c r="B523" s="719"/>
      <c r="C523" s="170"/>
      <c r="D523" s="170"/>
      <c r="E523" s="170"/>
      <c r="F523" s="170"/>
      <c r="G523" s="721"/>
      <c r="H523" s="170"/>
      <c r="I523" s="170"/>
      <c r="J523" s="170"/>
      <c r="K523" s="170"/>
      <c r="L523" s="170"/>
      <c r="M523" s="730"/>
      <c r="N523" s="730"/>
      <c r="O523" s="730"/>
      <c r="P523" s="731"/>
      <c r="Q523" s="731"/>
      <c r="R523" s="730"/>
      <c r="S523" s="730"/>
      <c r="T523" s="723"/>
      <c r="U523" s="724"/>
      <c r="V523" s="725"/>
      <c r="W523" s="725"/>
      <c r="X523" s="723"/>
      <c r="Y523" s="723"/>
      <c r="Z523" s="723"/>
      <c r="AA523" s="726"/>
      <c r="AB523" s="726"/>
      <c r="AC523" s="170"/>
      <c r="AD523" s="586"/>
      <c r="AE523" s="586"/>
      <c r="AF523" s="170"/>
      <c r="AG523" s="170"/>
      <c r="AH523" s="170"/>
      <c r="AI523" s="170"/>
      <c r="AJ523" s="170"/>
      <c r="AK523" s="170"/>
      <c r="AL523" s="170"/>
      <c r="AM523" s="170"/>
      <c r="AN523" s="170"/>
      <c r="AO523" s="170"/>
      <c r="AP523" s="170"/>
      <c r="AQ523" s="170"/>
      <c r="AR523" s="170"/>
      <c r="AS523" s="170"/>
      <c r="AT523" s="170"/>
      <c r="AU523" s="170"/>
      <c r="AV523" s="170"/>
      <c r="AW523" s="170"/>
      <c r="AX523" s="170"/>
    </row>
    <row r="524" spans="1:50" ht="15" x14ac:dyDescent="0.25">
      <c r="A524" s="170"/>
      <c r="B524" s="719"/>
      <c r="C524" s="170"/>
      <c r="D524" s="170"/>
      <c r="E524" s="170"/>
      <c r="F524" s="170"/>
      <c r="G524" s="721"/>
      <c r="H524" s="170"/>
      <c r="I524" s="170"/>
      <c r="J524" s="170"/>
      <c r="K524" s="170"/>
      <c r="L524" s="170"/>
      <c r="M524" s="730"/>
      <c r="N524" s="730"/>
      <c r="O524" s="730"/>
      <c r="P524" s="731"/>
      <c r="Q524" s="731"/>
      <c r="R524" s="730"/>
      <c r="S524" s="730"/>
      <c r="T524" s="723"/>
      <c r="U524" s="724"/>
      <c r="V524" s="725"/>
      <c r="W524" s="725"/>
      <c r="X524" s="723"/>
      <c r="Y524" s="723"/>
      <c r="Z524" s="723"/>
      <c r="AA524" s="726"/>
      <c r="AB524" s="726"/>
      <c r="AC524" s="170"/>
      <c r="AD524" s="586"/>
      <c r="AE524" s="586"/>
      <c r="AF524" s="170"/>
      <c r="AG524" s="170"/>
      <c r="AH524" s="170"/>
      <c r="AI524" s="170"/>
      <c r="AJ524" s="170"/>
      <c r="AK524" s="170"/>
      <c r="AL524" s="170"/>
      <c r="AM524" s="170"/>
      <c r="AN524" s="170"/>
      <c r="AO524" s="170"/>
      <c r="AP524" s="170"/>
      <c r="AQ524" s="170"/>
      <c r="AR524" s="170"/>
      <c r="AS524" s="170"/>
      <c r="AT524" s="170"/>
      <c r="AU524" s="170"/>
      <c r="AV524" s="170"/>
      <c r="AW524" s="170"/>
      <c r="AX524" s="170"/>
    </row>
    <row r="525" spans="1:50" ht="15" x14ac:dyDescent="0.25">
      <c r="A525" s="170"/>
      <c r="B525" s="719"/>
      <c r="C525" s="170"/>
      <c r="D525" s="170"/>
      <c r="E525" s="170"/>
      <c r="F525" s="170"/>
      <c r="G525" s="721"/>
      <c r="H525" s="170"/>
      <c r="I525" s="170"/>
      <c r="J525" s="170"/>
      <c r="K525" s="170"/>
      <c r="L525" s="170"/>
      <c r="M525" s="730"/>
      <c r="N525" s="730"/>
      <c r="O525" s="730"/>
      <c r="P525" s="731"/>
      <c r="Q525" s="731"/>
      <c r="R525" s="730"/>
      <c r="S525" s="730"/>
      <c r="T525" s="723"/>
      <c r="U525" s="724"/>
      <c r="V525" s="725"/>
      <c r="W525" s="725"/>
      <c r="X525" s="723"/>
      <c r="Y525" s="723"/>
      <c r="Z525" s="723"/>
      <c r="AA525" s="726"/>
      <c r="AB525" s="726"/>
      <c r="AC525" s="170"/>
      <c r="AD525" s="586"/>
      <c r="AE525" s="586"/>
      <c r="AF525" s="170"/>
      <c r="AG525" s="170"/>
      <c r="AH525" s="170"/>
      <c r="AI525" s="170"/>
      <c r="AJ525" s="170"/>
      <c r="AK525" s="170"/>
      <c r="AL525" s="170"/>
      <c r="AM525" s="170"/>
      <c r="AN525" s="170"/>
      <c r="AO525" s="170"/>
      <c r="AP525" s="170"/>
      <c r="AQ525" s="170"/>
      <c r="AR525" s="170"/>
      <c r="AS525" s="170"/>
      <c r="AT525" s="170"/>
      <c r="AU525" s="170"/>
      <c r="AV525" s="170"/>
      <c r="AW525" s="170"/>
      <c r="AX525" s="170"/>
    </row>
    <row r="526" spans="1:50" ht="15" x14ac:dyDescent="0.25">
      <c r="A526" s="170"/>
      <c r="B526" s="719"/>
      <c r="C526" s="170"/>
      <c r="D526" s="170"/>
      <c r="E526" s="170"/>
      <c r="F526" s="170"/>
      <c r="G526" s="721"/>
      <c r="H526" s="170"/>
      <c r="I526" s="170"/>
      <c r="J526" s="170"/>
      <c r="K526" s="170"/>
      <c r="L526" s="170"/>
      <c r="M526" s="730"/>
      <c r="N526" s="730"/>
      <c r="O526" s="730"/>
      <c r="P526" s="731"/>
      <c r="Q526" s="731"/>
      <c r="R526" s="730"/>
      <c r="S526" s="730"/>
      <c r="T526" s="723"/>
      <c r="U526" s="724"/>
      <c r="V526" s="725"/>
      <c r="W526" s="725"/>
      <c r="X526" s="723"/>
      <c r="Y526" s="723"/>
      <c r="Z526" s="723"/>
      <c r="AA526" s="726"/>
      <c r="AB526" s="726"/>
      <c r="AC526" s="170"/>
      <c r="AD526" s="586"/>
      <c r="AE526" s="586"/>
      <c r="AF526" s="170"/>
      <c r="AG526" s="170"/>
      <c r="AH526" s="170"/>
      <c r="AI526" s="170"/>
      <c r="AJ526" s="170"/>
      <c r="AK526" s="170"/>
      <c r="AL526" s="170"/>
      <c r="AM526" s="170"/>
      <c r="AN526" s="170"/>
      <c r="AO526" s="170"/>
      <c r="AP526" s="170"/>
      <c r="AQ526" s="170"/>
      <c r="AR526" s="170"/>
      <c r="AS526" s="170"/>
      <c r="AT526" s="170"/>
      <c r="AU526" s="170"/>
      <c r="AV526" s="170"/>
      <c r="AW526" s="170"/>
      <c r="AX526" s="170"/>
    </row>
    <row r="527" spans="1:50" ht="15" x14ac:dyDescent="0.25">
      <c r="A527" s="170"/>
      <c r="B527" s="719"/>
      <c r="C527" s="170"/>
      <c r="D527" s="170"/>
      <c r="E527" s="170"/>
      <c r="F527" s="170"/>
      <c r="G527" s="721"/>
      <c r="H527" s="170"/>
      <c r="I527" s="170"/>
      <c r="J527" s="170"/>
      <c r="K527" s="170"/>
      <c r="L527" s="170"/>
      <c r="M527" s="730"/>
      <c r="N527" s="730"/>
      <c r="O527" s="730"/>
      <c r="P527" s="731"/>
      <c r="Q527" s="731"/>
      <c r="R527" s="730"/>
      <c r="S527" s="730"/>
      <c r="T527" s="723"/>
      <c r="U527" s="724"/>
      <c r="V527" s="725"/>
      <c r="W527" s="725"/>
      <c r="X527" s="723"/>
      <c r="Y527" s="723"/>
      <c r="Z527" s="723"/>
      <c r="AA527" s="726"/>
      <c r="AB527" s="726"/>
      <c r="AC527" s="170"/>
      <c r="AD527" s="586"/>
      <c r="AE527" s="586"/>
      <c r="AF527" s="170"/>
      <c r="AG527" s="170"/>
      <c r="AH527" s="170"/>
      <c r="AI527" s="170"/>
      <c r="AJ527" s="170"/>
      <c r="AK527" s="170"/>
      <c r="AL527" s="170"/>
      <c r="AM527" s="170"/>
      <c r="AN527" s="170"/>
      <c r="AO527" s="170"/>
      <c r="AP527" s="170"/>
      <c r="AQ527" s="170"/>
      <c r="AR527" s="170"/>
      <c r="AS527" s="170"/>
      <c r="AT527" s="170"/>
      <c r="AU527" s="170"/>
      <c r="AV527" s="170"/>
      <c r="AW527" s="170"/>
      <c r="AX527" s="170"/>
    </row>
    <row r="528" spans="1:50" ht="15" x14ac:dyDescent="0.25">
      <c r="A528" s="170"/>
      <c r="B528" s="719"/>
      <c r="C528" s="170"/>
      <c r="D528" s="170"/>
      <c r="E528" s="170"/>
      <c r="F528" s="170"/>
      <c r="G528" s="721"/>
      <c r="H528" s="170"/>
      <c r="I528" s="170"/>
      <c r="J528" s="170"/>
      <c r="K528" s="170"/>
      <c r="L528" s="170"/>
      <c r="M528" s="730"/>
      <c r="N528" s="730"/>
      <c r="O528" s="730"/>
      <c r="P528" s="731"/>
      <c r="Q528" s="731"/>
      <c r="R528" s="730"/>
      <c r="S528" s="730"/>
      <c r="T528" s="723"/>
      <c r="U528" s="724"/>
      <c r="V528" s="725"/>
      <c r="W528" s="725"/>
      <c r="X528" s="723"/>
      <c r="Y528" s="723"/>
      <c r="Z528" s="723"/>
      <c r="AA528" s="726"/>
      <c r="AB528" s="726"/>
      <c r="AC528" s="170"/>
      <c r="AD528" s="586"/>
      <c r="AE528" s="586"/>
      <c r="AF528" s="170"/>
      <c r="AG528" s="170"/>
      <c r="AH528" s="170"/>
      <c r="AI528" s="170"/>
      <c r="AJ528" s="170"/>
      <c r="AK528" s="170"/>
      <c r="AL528" s="170"/>
      <c r="AM528" s="170"/>
      <c r="AN528" s="170"/>
      <c r="AO528" s="170"/>
      <c r="AP528" s="170"/>
      <c r="AQ528" s="170"/>
      <c r="AR528" s="170"/>
      <c r="AS528" s="170"/>
      <c r="AT528" s="170"/>
      <c r="AU528" s="170"/>
      <c r="AV528" s="170"/>
      <c r="AW528" s="170"/>
      <c r="AX528" s="170"/>
    </row>
    <row r="529" spans="1:50" ht="15" x14ac:dyDescent="0.25">
      <c r="A529" s="170"/>
      <c r="B529" s="719"/>
      <c r="C529" s="170"/>
      <c r="D529" s="170"/>
      <c r="E529" s="170"/>
      <c r="F529" s="170"/>
      <c r="G529" s="721"/>
      <c r="H529" s="170"/>
      <c r="I529" s="170"/>
      <c r="J529" s="170"/>
      <c r="K529" s="170"/>
      <c r="L529" s="170"/>
      <c r="M529" s="730"/>
      <c r="N529" s="730"/>
      <c r="O529" s="730"/>
      <c r="P529" s="731"/>
      <c r="Q529" s="731"/>
      <c r="R529" s="730"/>
      <c r="S529" s="730"/>
      <c r="T529" s="723"/>
      <c r="U529" s="724"/>
      <c r="V529" s="725"/>
      <c r="W529" s="725"/>
      <c r="X529" s="723"/>
      <c r="Y529" s="723"/>
      <c r="Z529" s="723"/>
      <c r="AA529" s="726"/>
      <c r="AB529" s="726"/>
      <c r="AC529" s="170"/>
      <c r="AD529" s="586"/>
      <c r="AE529" s="586"/>
      <c r="AF529" s="170"/>
      <c r="AG529" s="170"/>
      <c r="AH529" s="170"/>
      <c r="AI529" s="170"/>
      <c r="AJ529" s="170"/>
      <c r="AK529" s="170"/>
      <c r="AL529" s="170"/>
      <c r="AM529" s="170"/>
      <c r="AN529" s="170"/>
      <c r="AO529" s="170"/>
      <c r="AP529" s="170"/>
      <c r="AQ529" s="170"/>
      <c r="AR529" s="170"/>
      <c r="AS529" s="170"/>
      <c r="AT529" s="170"/>
      <c r="AU529" s="170"/>
      <c r="AV529" s="170"/>
      <c r="AW529" s="170"/>
      <c r="AX529" s="170"/>
    </row>
    <row r="530" spans="1:50" ht="15" x14ac:dyDescent="0.25">
      <c r="A530" s="170"/>
      <c r="B530" s="719"/>
      <c r="C530" s="170"/>
      <c r="D530" s="170"/>
      <c r="E530" s="170"/>
      <c r="F530" s="170"/>
      <c r="G530" s="721"/>
      <c r="H530" s="170"/>
      <c r="I530" s="170"/>
      <c r="J530" s="170"/>
      <c r="K530" s="170"/>
      <c r="L530" s="170"/>
      <c r="M530" s="730"/>
      <c r="N530" s="730"/>
      <c r="O530" s="730"/>
      <c r="P530" s="731"/>
      <c r="Q530" s="731"/>
      <c r="R530" s="730"/>
      <c r="S530" s="730"/>
      <c r="T530" s="723"/>
      <c r="U530" s="724"/>
      <c r="V530" s="725"/>
      <c r="W530" s="725"/>
      <c r="X530" s="723"/>
      <c r="Y530" s="723"/>
      <c r="Z530" s="723"/>
      <c r="AA530" s="726"/>
      <c r="AB530" s="726"/>
      <c r="AC530" s="170"/>
      <c r="AD530" s="586"/>
      <c r="AE530" s="586"/>
      <c r="AF530" s="170"/>
      <c r="AG530" s="170"/>
      <c r="AH530" s="170"/>
      <c r="AI530" s="170"/>
      <c r="AJ530" s="170"/>
      <c r="AK530" s="170"/>
      <c r="AL530" s="170"/>
      <c r="AM530" s="170"/>
      <c r="AN530" s="170"/>
      <c r="AO530" s="170"/>
      <c r="AP530" s="170"/>
      <c r="AQ530" s="170"/>
      <c r="AR530" s="170"/>
      <c r="AS530" s="170"/>
      <c r="AT530" s="170"/>
      <c r="AU530" s="170"/>
      <c r="AV530" s="170"/>
      <c r="AW530" s="170"/>
      <c r="AX530" s="170"/>
    </row>
    <row r="531" spans="1:50" ht="15" x14ac:dyDescent="0.25">
      <c r="A531" s="170"/>
      <c r="B531" s="719"/>
      <c r="C531" s="170"/>
      <c r="D531" s="170"/>
      <c r="E531" s="170"/>
      <c r="F531" s="170"/>
      <c r="G531" s="721"/>
      <c r="H531" s="170"/>
      <c r="I531" s="170"/>
      <c r="J531" s="170"/>
      <c r="K531" s="170"/>
      <c r="L531" s="170"/>
      <c r="M531" s="730"/>
      <c r="N531" s="730"/>
      <c r="O531" s="730"/>
      <c r="P531" s="731"/>
      <c r="Q531" s="731"/>
      <c r="R531" s="730"/>
      <c r="S531" s="730"/>
      <c r="T531" s="723"/>
      <c r="U531" s="724"/>
      <c r="V531" s="725"/>
      <c r="W531" s="725"/>
      <c r="X531" s="723"/>
      <c r="Y531" s="723"/>
      <c r="Z531" s="723"/>
      <c r="AA531" s="726"/>
      <c r="AB531" s="726"/>
      <c r="AC531" s="170"/>
      <c r="AD531" s="586"/>
      <c r="AE531" s="586"/>
      <c r="AF531" s="170"/>
      <c r="AG531" s="170"/>
      <c r="AH531" s="170"/>
      <c r="AI531" s="170"/>
      <c r="AJ531" s="170"/>
      <c r="AK531" s="170"/>
      <c r="AL531" s="170"/>
      <c r="AM531" s="170"/>
      <c r="AN531" s="170"/>
      <c r="AO531" s="170"/>
      <c r="AP531" s="170"/>
      <c r="AQ531" s="170"/>
      <c r="AR531" s="170"/>
      <c r="AS531" s="170"/>
      <c r="AT531" s="170"/>
      <c r="AU531" s="170"/>
      <c r="AV531" s="170"/>
      <c r="AW531" s="170"/>
      <c r="AX531" s="170"/>
    </row>
    <row r="532" spans="1:50" ht="15" x14ac:dyDescent="0.25">
      <c r="A532" s="170"/>
      <c r="B532" s="719"/>
      <c r="C532" s="170"/>
      <c r="D532" s="170"/>
      <c r="E532" s="170"/>
      <c r="F532" s="170"/>
      <c r="G532" s="721"/>
      <c r="H532" s="170"/>
      <c r="I532" s="170"/>
      <c r="J532" s="170"/>
      <c r="K532" s="170"/>
      <c r="L532" s="170"/>
      <c r="M532" s="730"/>
      <c r="N532" s="730"/>
      <c r="O532" s="730"/>
      <c r="P532" s="731"/>
      <c r="Q532" s="731"/>
      <c r="R532" s="730"/>
      <c r="S532" s="730"/>
      <c r="T532" s="723"/>
      <c r="U532" s="724"/>
      <c r="V532" s="725"/>
      <c r="W532" s="725"/>
      <c r="X532" s="723"/>
      <c r="Y532" s="723"/>
      <c r="Z532" s="723"/>
      <c r="AA532" s="726"/>
      <c r="AB532" s="726"/>
      <c r="AC532" s="170"/>
      <c r="AD532" s="586"/>
      <c r="AE532" s="586"/>
      <c r="AF532" s="170"/>
      <c r="AG532" s="170"/>
      <c r="AH532" s="170"/>
      <c r="AI532" s="170"/>
      <c r="AJ532" s="170"/>
      <c r="AK532" s="170"/>
      <c r="AL532" s="170"/>
      <c r="AM532" s="170"/>
      <c r="AN532" s="170"/>
      <c r="AO532" s="170"/>
      <c r="AP532" s="170"/>
      <c r="AQ532" s="170"/>
      <c r="AR532" s="170"/>
      <c r="AS532" s="170"/>
      <c r="AT532" s="170"/>
      <c r="AU532" s="170"/>
      <c r="AV532" s="170"/>
      <c r="AW532" s="170"/>
      <c r="AX532" s="170"/>
    </row>
    <row r="533" spans="1:50" ht="15" x14ac:dyDescent="0.25">
      <c r="A533" s="170"/>
      <c r="B533" s="719"/>
      <c r="C533" s="170"/>
      <c r="D533" s="170"/>
      <c r="E533" s="170"/>
      <c r="F533" s="170"/>
      <c r="G533" s="721"/>
      <c r="H533" s="170"/>
      <c r="I533" s="170"/>
      <c r="J533" s="170"/>
      <c r="K533" s="170"/>
      <c r="L533" s="170"/>
      <c r="M533" s="730"/>
      <c r="N533" s="730"/>
      <c r="O533" s="730"/>
      <c r="P533" s="731"/>
      <c r="Q533" s="731"/>
      <c r="R533" s="730"/>
      <c r="S533" s="730"/>
      <c r="T533" s="723"/>
      <c r="U533" s="724"/>
      <c r="V533" s="725"/>
      <c r="W533" s="725"/>
      <c r="X533" s="723"/>
      <c r="Y533" s="723"/>
      <c r="Z533" s="723"/>
      <c r="AA533" s="726"/>
      <c r="AB533" s="726"/>
      <c r="AC533" s="170"/>
      <c r="AD533" s="586"/>
      <c r="AE533" s="586"/>
      <c r="AF533" s="170"/>
      <c r="AG533" s="170"/>
      <c r="AH533" s="170"/>
      <c r="AI533" s="170"/>
      <c r="AJ533" s="170"/>
      <c r="AK533" s="170"/>
      <c r="AL533" s="170"/>
      <c r="AM533" s="170"/>
      <c r="AN533" s="170"/>
      <c r="AO533" s="170"/>
      <c r="AP533" s="170"/>
      <c r="AQ533" s="170"/>
      <c r="AR533" s="170"/>
      <c r="AS533" s="170"/>
      <c r="AT533" s="170"/>
      <c r="AU533" s="170"/>
      <c r="AV533" s="170"/>
      <c r="AW533" s="170"/>
      <c r="AX533" s="170"/>
    </row>
    <row r="534" spans="1:50" ht="15" x14ac:dyDescent="0.25">
      <c r="A534" s="170"/>
      <c r="B534" s="719"/>
      <c r="C534" s="170"/>
      <c r="D534" s="170"/>
      <c r="E534" s="170"/>
      <c r="F534" s="170"/>
      <c r="G534" s="721"/>
      <c r="H534" s="170"/>
      <c r="I534" s="170"/>
      <c r="J534" s="170"/>
      <c r="K534" s="170"/>
      <c r="L534" s="170"/>
      <c r="M534" s="730"/>
      <c r="N534" s="730"/>
      <c r="O534" s="730"/>
      <c r="P534" s="731"/>
      <c r="Q534" s="731"/>
      <c r="R534" s="730"/>
      <c r="S534" s="730"/>
      <c r="T534" s="723"/>
      <c r="U534" s="724"/>
      <c r="V534" s="725"/>
      <c r="W534" s="725"/>
      <c r="X534" s="723"/>
      <c r="Y534" s="723"/>
      <c r="Z534" s="723"/>
      <c r="AA534" s="726"/>
      <c r="AB534" s="726"/>
      <c r="AC534" s="170"/>
      <c r="AD534" s="586"/>
      <c r="AE534" s="586"/>
      <c r="AF534" s="170"/>
      <c r="AG534" s="170"/>
      <c r="AH534" s="170"/>
      <c r="AI534" s="170"/>
      <c r="AJ534" s="170"/>
      <c r="AK534" s="170"/>
      <c r="AL534" s="170"/>
      <c r="AM534" s="170"/>
      <c r="AN534" s="170"/>
      <c r="AO534" s="170"/>
      <c r="AP534" s="170"/>
      <c r="AQ534" s="170"/>
      <c r="AR534" s="170"/>
      <c r="AS534" s="170"/>
      <c r="AT534" s="170"/>
      <c r="AU534" s="170"/>
      <c r="AV534" s="170"/>
      <c r="AW534" s="170"/>
      <c r="AX534" s="170"/>
    </row>
    <row r="535" spans="1:50" ht="15" x14ac:dyDescent="0.25">
      <c r="A535" s="170"/>
      <c r="B535" s="719"/>
      <c r="C535" s="170"/>
      <c r="D535" s="170"/>
      <c r="E535" s="170"/>
      <c r="F535" s="170"/>
      <c r="G535" s="721"/>
      <c r="H535" s="170"/>
      <c r="I535" s="170"/>
      <c r="J535" s="170"/>
      <c r="K535" s="170"/>
      <c r="L535" s="170"/>
      <c r="M535" s="730"/>
      <c r="N535" s="730"/>
      <c r="O535" s="730"/>
      <c r="P535" s="731"/>
      <c r="Q535" s="731"/>
      <c r="R535" s="730"/>
      <c r="S535" s="730"/>
      <c r="T535" s="723"/>
      <c r="U535" s="724"/>
      <c r="V535" s="725"/>
      <c r="W535" s="725"/>
      <c r="X535" s="723"/>
      <c r="Y535" s="723"/>
      <c r="Z535" s="723"/>
      <c r="AA535" s="726"/>
      <c r="AB535" s="726"/>
      <c r="AC535" s="170"/>
      <c r="AD535" s="586"/>
      <c r="AE535" s="586"/>
      <c r="AF535" s="170"/>
      <c r="AG535" s="170"/>
      <c r="AH535" s="170"/>
      <c r="AI535" s="170"/>
      <c r="AJ535" s="170"/>
      <c r="AK535" s="170"/>
      <c r="AL535" s="170"/>
      <c r="AM535" s="170"/>
      <c r="AN535" s="170"/>
      <c r="AO535" s="170"/>
      <c r="AP535" s="170"/>
      <c r="AQ535" s="170"/>
      <c r="AR535" s="170"/>
      <c r="AS535" s="170"/>
      <c r="AT535" s="170"/>
      <c r="AU535" s="170"/>
      <c r="AV535" s="170"/>
      <c r="AW535" s="170"/>
      <c r="AX535" s="170"/>
    </row>
    <row r="536" spans="1:50" ht="15" x14ac:dyDescent="0.25">
      <c r="A536" s="170"/>
      <c r="B536" s="719"/>
      <c r="C536" s="170"/>
      <c r="D536" s="170"/>
      <c r="E536" s="170"/>
      <c r="F536" s="170"/>
      <c r="G536" s="721"/>
      <c r="H536" s="170"/>
      <c r="I536" s="170"/>
      <c r="J536" s="170"/>
      <c r="K536" s="170"/>
      <c r="L536" s="170"/>
      <c r="M536" s="730"/>
      <c r="N536" s="730"/>
      <c r="O536" s="730"/>
      <c r="P536" s="731"/>
      <c r="Q536" s="731"/>
      <c r="R536" s="730"/>
      <c r="S536" s="730"/>
      <c r="T536" s="723"/>
      <c r="U536" s="724"/>
      <c r="V536" s="725"/>
      <c r="W536" s="725"/>
      <c r="X536" s="723"/>
      <c r="Y536" s="723"/>
      <c r="Z536" s="723"/>
      <c r="AA536" s="726"/>
      <c r="AB536" s="726"/>
      <c r="AC536" s="170"/>
      <c r="AD536" s="586"/>
      <c r="AE536" s="586"/>
      <c r="AF536" s="170"/>
      <c r="AG536" s="170"/>
      <c r="AH536" s="170"/>
      <c r="AI536" s="170"/>
      <c r="AJ536" s="170"/>
      <c r="AK536" s="170"/>
      <c r="AL536" s="170"/>
      <c r="AM536" s="170"/>
      <c r="AN536" s="170"/>
      <c r="AO536" s="170"/>
      <c r="AP536" s="170"/>
      <c r="AQ536" s="170"/>
      <c r="AR536" s="170"/>
      <c r="AS536" s="170"/>
      <c r="AT536" s="170"/>
      <c r="AU536" s="170"/>
      <c r="AV536" s="170"/>
      <c r="AW536" s="170"/>
      <c r="AX536" s="170"/>
    </row>
    <row r="537" spans="1:50" ht="15" x14ac:dyDescent="0.25">
      <c r="A537" s="170"/>
      <c r="B537" s="719"/>
      <c r="C537" s="170"/>
      <c r="D537" s="170"/>
      <c r="E537" s="170"/>
      <c r="F537" s="170"/>
      <c r="G537" s="721"/>
      <c r="H537" s="170"/>
      <c r="I537" s="170"/>
      <c r="J537" s="170"/>
      <c r="K537" s="170"/>
      <c r="L537" s="170"/>
      <c r="M537" s="730"/>
      <c r="N537" s="730"/>
      <c r="O537" s="730"/>
      <c r="P537" s="731"/>
      <c r="Q537" s="731"/>
      <c r="R537" s="730"/>
      <c r="S537" s="730"/>
      <c r="T537" s="723"/>
      <c r="U537" s="724"/>
      <c r="V537" s="725"/>
      <c r="W537" s="725"/>
      <c r="X537" s="723"/>
      <c r="Y537" s="723"/>
      <c r="Z537" s="723"/>
      <c r="AA537" s="726"/>
      <c r="AB537" s="726"/>
      <c r="AC537" s="170"/>
      <c r="AD537" s="586"/>
      <c r="AE537" s="586"/>
      <c r="AF537" s="170"/>
      <c r="AG537" s="170"/>
      <c r="AH537" s="170"/>
      <c r="AI537" s="170"/>
      <c r="AJ537" s="170"/>
      <c r="AK537" s="170"/>
      <c r="AL537" s="170"/>
      <c r="AM537" s="170"/>
      <c r="AN537" s="170"/>
      <c r="AO537" s="170"/>
      <c r="AP537" s="170"/>
      <c r="AQ537" s="170"/>
      <c r="AR537" s="170"/>
      <c r="AS537" s="170"/>
      <c r="AT537" s="170"/>
      <c r="AU537" s="170"/>
      <c r="AV537" s="170"/>
      <c r="AW537" s="170"/>
      <c r="AX537" s="170"/>
    </row>
    <row r="538" spans="1:50" ht="15" x14ac:dyDescent="0.25">
      <c r="A538" s="170"/>
      <c r="B538" s="719"/>
      <c r="C538" s="170"/>
      <c r="D538" s="170"/>
      <c r="E538" s="170"/>
      <c r="F538" s="170"/>
      <c r="G538" s="721"/>
      <c r="H538" s="170"/>
      <c r="I538" s="170"/>
      <c r="J538" s="170"/>
      <c r="K538" s="170"/>
      <c r="L538" s="170"/>
      <c r="M538" s="730"/>
      <c r="N538" s="730"/>
      <c r="O538" s="730"/>
      <c r="P538" s="731"/>
      <c r="Q538" s="731"/>
      <c r="R538" s="730"/>
      <c r="S538" s="730"/>
      <c r="T538" s="723"/>
      <c r="U538" s="724"/>
      <c r="V538" s="725"/>
      <c r="W538" s="725"/>
      <c r="X538" s="723"/>
      <c r="Y538" s="723"/>
      <c r="Z538" s="723"/>
      <c r="AA538" s="726"/>
      <c r="AB538" s="726"/>
      <c r="AC538" s="170"/>
      <c r="AD538" s="586"/>
      <c r="AE538" s="586"/>
      <c r="AF538" s="170"/>
      <c r="AG538" s="170"/>
      <c r="AH538" s="170"/>
      <c r="AI538" s="170"/>
      <c r="AJ538" s="170"/>
      <c r="AK538" s="170"/>
      <c r="AL538" s="170"/>
      <c r="AM538" s="170"/>
      <c r="AN538" s="170"/>
      <c r="AO538" s="170"/>
      <c r="AP538" s="170"/>
      <c r="AQ538" s="170"/>
      <c r="AR538" s="170"/>
      <c r="AS538" s="170"/>
      <c r="AT538" s="170"/>
      <c r="AU538" s="170"/>
      <c r="AV538" s="170"/>
      <c r="AW538" s="170"/>
      <c r="AX538" s="170"/>
    </row>
    <row r="539" spans="1:50" ht="15" x14ac:dyDescent="0.25">
      <c r="A539" s="170"/>
      <c r="B539" s="719"/>
      <c r="C539" s="170"/>
      <c r="D539" s="170"/>
      <c r="E539" s="170"/>
      <c r="F539" s="170"/>
      <c r="G539" s="721"/>
      <c r="H539" s="170"/>
      <c r="I539" s="170"/>
      <c r="J539" s="170"/>
      <c r="K539" s="170"/>
      <c r="L539" s="170"/>
      <c r="M539" s="730"/>
      <c r="N539" s="730"/>
      <c r="O539" s="730"/>
      <c r="P539" s="731"/>
      <c r="Q539" s="731"/>
      <c r="R539" s="730"/>
      <c r="S539" s="730"/>
      <c r="T539" s="723"/>
      <c r="U539" s="724"/>
      <c r="V539" s="725"/>
      <c r="W539" s="725"/>
      <c r="X539" s="723"/>
      <c r="Y539" s="723"/>
      <c r="Z539" s="723"/>
      <c r="AA539" s="726"/>
      <c r="AB539" s="726"/>
      <c r="AC539" s="170"/>
      <c r="AD539" s="586"/>
      <c r="AE539" s="586"/>
      <c r="AF539" s="170"/>
      <c r="AG539" s="170"/>
      <c r="AH539" s="170"/>
      <c r="AI539" s="170"/>
      <c r="AJ539" s="170"/>
      <c r="AK539" s="170"/>
      <c r="AL539" s="170"/>
      <c r="AM539" s="170"/>
      <c r="AN539" s="170"/>
      <c r="AO539" s="170"/>
      <c r="AP539" s="170"/>
      <c r="AQ539" s="170"/>
      <c r="AR539" s="170"/>
      <c r="AS539" s="170"/>
      <c r="AT539" s="170"/>
      <c r="AU539" s="170"/>
      <c r="AV539" s="170"/>
      <c r="AW539" s="170"/>
      <c r="AX539" s="170"/>
    </row>
    <row r="540" spans="1:50" ht="15" x14ac:dyDescent="0.25">
      <c r="A540" s="170"/>
      <c r="B540" s="719"/>
      <c r="C540" s="170"/>
      <c r="D540" s="170"/>
      <c r="E540" s="170"/>
      <c r="F540" s="170"/>
      <c r="G540" s="721"/>
      <c r="H540" s="170"/>
      <c r="I540" s="170"/>
      <c r="J540" s="170"/>
      <c r="K540" s="170"/>
      <c r="L540" s="170"/>
      <c r="M540" s="730"/>
      <c r="N540" s="730"/>
      <c r="O540" s="730"/>
      <c r="P540" s="731"/>
      <c r="Q540" s="731"/>
      <c r="R540" s="730"/>
      <c r="S540" s="730"/>
      <c r="T540" s="723"/>
      <c r="U540" s="724"/>
      <c r="V540" s="725"/>
      <c r="W540" s="725"/>
      <c r="X540" s="723"/>
      <c r="Y540" s="723"/>
      <c r="Z540" s="723"/>
      <c r="AA540" s="726"/>
      <c r="AB540" s="726"/>
      <c r="AC540" s="170"/>
      <c r="AD540" s="586"/>
      <c r="AE540" s="586"/>
      <c r="AF540" s="170"/>
      <c r="AG540" s="170"/>
      <c r="AH540" s="170"/>
      <c r="AI540" s="170"/>
      <c r="AJ540" s="170"/>
      <c r="AK540" s="170"/>
      <c r="AL540" s="170"/>
      <c r="AM540" s="170"/>
      <c r="AN540" s="170"/>
      <c r="AO540" s="170"/>
      <c r="AP540" s="170"/>
      <c r="AQ540" s="170"/>
      <c r="AR540" s="170"/>
      <c r="AS540" s="170"/>
      <c r="AT540" s="170"/>
      <c r="AU540" s="170"/>
      <c r="AV540" s="170"/>
      <c r="AW540" s="170"/>
      <c r="AX540" s="170"/>
    </row>
    <row r="541" spans="1:50" ht="15" x14ac:dyDescent="0.25">
      <c r="A541" s="170"/>
      <c r="B541" s="719"/>
      <c r="C541" s="170"/>
      <c r="D541" s="170"/>
      <c r="E541" s="170"/>
      <c r="F541" s="170"/>
      <c r="G541" s="721"/>
      <c r="H541" s="170"/>
      <c r="I541" s="170"/>
      <c r="J541" s="170"/>
      <c r="K541" s="170"/>
      <c r="L541" s="170"/>
      <c r="M541" s="730"/>
      <c r="N541" s="730"/>
      <c r="O541" s="730"/>
      <c r="P541" s="731"/>
      <c r="Q541" s="731"/>
      <c r="R541" s="730"/>
      <c r="S541" s="730"/>
      <c r="T541" s="723"/>
      <c r="U541" s="724"/>
      <c r="V541" s="725"/>
      <c r="W541" s="725"/>
      <c r="X541" s="723"/>
      <c r="Y541" s="723"/>
      <c r="Z541" s="723"/>
      <c r="AA541" s="726"/>
      <c r="AB541" s="726"/>
      <c r="AC541" s="170"/>
      <c r="AD541" s="586"/>
      <c r="AE541" s="586"/>
      <c r="AF541" s="170"/>
      <c r="AG541" s="170"/>
      <c r="AH541" s="170"/>
      <c r="AI541" s="170"/>
      <c r="AJ541" s="170"/>
      <c r="AK541" s="170"/>
      <c r="AL541" s="170"/>
      <c r="AM541" s="170"/>
      <c r="AN541" s="170"/>
      <c r="AO541" s="170"/>
      <c r="AP541" s="170"/>
      <c r="AQ541" s="170"/>
      <c r="AR541" s="170"/>
      <c r="AS541" s="170"/>
      <c r="AT541" s="170"/>
      <c r="AU541" s="170"/>
      <c r="AV541" s="170"/>
      <c r="AW541" s="170"/>
      <c r="AX541" s="170"/>
    </row>
    <row r="542" spans="1:50" ht="15" x14ac:dyDescent="0.25">
      <c r="A542" s="170"/>
      <c r="B542" s="719"/>
      <c r="C542" s="170"/>
      <c r="D542" s="170"/>
      <c r="E542" s="170"/>
      <c r="F542" s="170"/>
      <c r="G542" s="721"/>
      <c r="H542" s="170"/>
      <c r="I542" s="170"/>
      <c r="J542" s="170"/>
      <c r="K542" s="170"/>
      <c r="L542" s="170"/>
      <c r="M542" s="730"/>
      <c r="N542" s="730"/>
      <c r="O542" s="730"/>
      <c r="P542" s="731"/>
      <c r="Q542" s="731"/>
      <c r="R542" s="730"/>
      <c r="S542" s="730"/>
      <c r="T542" s="723"/>
      <c r="U542" s="724"/>
      <c r="V542" s="725"/>
      <c r="W542" s="725"/>
      <c r="X542" s="723"/>
      <c r="Y542" s="723"/>
      <c r="Z542" s="723"/>
      <c r="AA542" s="726"/>
      <c r="AB542" s="726"/>
      <c r="AC542" s="170"/>
      <c r="AD542" s="586"/>
      <c r="AE542" s="586"/>
      <c r="AF542" s="170"/>
      <c r="AG542" s="170"/>
      <c r="AH542" s="170"/>
      <c r="AI542" s="170"/>
      <c r="AJ542" s="170"/>
      <c r="AK542" s="170"/>
      <c r="AL542" s="170"/>
      <c r="AM542" s="170"/>
      <c r="AN542" s="170"/>
      <c r="AO542" s="170"/>
      <c r="AP542" s="170"/>
      <c r="AQ542" s="170"/>
      <c r="AR542" s="170"/>
      <c r="AS542" s="170"/>
      <c r="AT542" s="170"/>
      <c r="AU542" s="170"/>
      <c r="AV542" s="170"/>
      <c r="AW542" s="170"/>
      <c r="AX542" s="170"/>
    </row>
    <row r="543" spans="1:50" ht="15" x14ac:dyDescent="0.25">
      <c r="A543" s="170"/>
      <c r="B543" s="719"/>
      <c r="C543" s="170"/>
      <c r="D543" s="170"/>
      <c r="E543" s="170"/>
      <c r="F543" s="170"/>
      <c r="G543" s="721"/>
      <c r="H543" s="170"/>
      <c r="I543" s="170"/>
      <c r="J543" s="170"/>
      <c r="K543" s="170"/>
      <c r="L543" s="170"/>
      <c r="M543" s="730"/>
      <c r="N543" s="730"/>
      <c r="O543" s="730"/>
      <c r="P543" s="731"/>
      <c r="Q543" s="731"/>
      <c r="R543" s="730"/>
      <c r="S543" s="730"/>
      <c r="T543" s="723"/>
      <c r="U543" s="724"/>
      <c r="V543" s="725"/>
      <c r="W543" s="725"/>
      <c r="X543" s="723"/>
      <c r="Y543" s="723"/>
      <c r="Z543" s="723"/>
      <c r="AA543" s="726"/>
      <c r="AB543" s="726"/>
      <c r="AC543" s="170"/>
      <c r="AD543" s="586"/>
      <c r="AE543" s="586"/>
      <c r="AF543" s="170"/>
      <c r="AG543" s="170"/>
      <c r="AH543" s="170"/>
      <c r="AI543" s="170"/>
      <c r="AJ543" s="170"/>
      <c r="AK543" s="170"/>
      <c r="AL543" s="170"/>
      <c r="AM543" s="170"/>
      <c r="AN543" s="170"/>
      <c r="AO543" s="170"/>
      <c r="AP543" s="170"/>
      <c r="AQ543" s="170"/>
      <c r="AR543" s="170"/>
      <c r="AS543" s="170"/>
      <c r="AT543" s="170"/>
      <c r="AU543" s="170"/>
      <c r="AV543" s="170"/>
      <c r="AW543" s="170"/>
      <c r="AX543" s="170"/>
    </row>
    <row r="544" spans="1:50" ht="15" x14ac:dyDescent="0.25">
      <c r="A544" s="170"/>
      <c r="B544" s="719"/>
      <c r="C544" s="170"/>
      <c r="D544" s="170"/>
      <c r="E544" s="170"/>
      <c r="F544" s="170"/>
      <c r="G544" s="721"/>
      <c r="H544" s="170"/>
      <c r="I544" s="170"/>
      <c r="J544" s="170"/>
      <c r="K544" s="170"/>
      <c r="L544" s="170"/>
      <c r="M544" s="730"/>
      <c r="N544" s="730"/>
      <c r="O544" s="730"/>
      <c r="P544" s="731"/>
      <c r="Q544" s="731"/>
      <c r="R544" s="730"/>
      <c r="S544" s="730"/>
      <c r="T544" s="723"/>
      <c r="U544" s="724"/>
      <c r="V544" s="725"/>
      <c r="W544" s="725"/>
      <c r="X544" s="723"/>
      <c r="Y544" s="723"/>
      <c r="Z544" s="723"/>
      <c r="AA544" s="726"/>
      <c r="AB544" s="726"/>
      <c r="AC544" s="170"/>
      <c r="AD544" s="586"/>
      <c r="AE544" s="586"/>
      <c r="AF544" s="170"/>
      <c r="AG544" s="170"/>
      <c r="AH544" s="170"/>
      <c r="AI544" s="170"/>
      <c r="AJ544" s="170"/>
      <c r="AK544" s="170"/>
      <c r="AL544" s="170"/>
      <c r="AM544" s="170"/>
      <c r="AN544" s="170"/>
      <c r="AO544" s="170"/>
      <c r="AP544" s="170"/>
      <c r="AQ544" s="170"/>
      <c r="AR544" s="170"/>
      <c r="AS544" s="170"/>
      <c r="AT544" s="170"/>
      <c r="AU544" s="170"/>
      <c r="AV544" s="170"/>
      <c r="AW544" s="170"/>
      <c r="AX544" s="170"/>
    </row>
    <row r="545" spans="1:50" ht="15" x14ac:dyDescent="0.25">
      <c r="A545" s="170"/>
      <c r="B545" s="719"/>
      <c r="C545" s="170"/>
      <c r="D545" s="170"/>
      <c r="E545" s="170"/>
      <c r="F545" s="170"/>
      <c r="G545" s="721"/>
      <c r="H545" s="170"/>
      <c r="I545" s="170"/>
      <c r="J545" s="170"/>
      <c r="K545" s="170"/>
      <c r="L545" s="170"/>
      <c r="M545" s="730"/>
      <c r="N545" s="730"/>
      <c r="O545" s="730"/>
      <c r="P545" s="731"/>
      <c r="Q545" s="731"/>
      <c r="R545" s="730"/>
      <c r="S545" s="730"/>
      <c r="T545" s="723"/>
      <c r="U545" s="724"/>
      <c r="V545" s="725"/>
      <c r="W545" s="725"/>
      <c r="X545" s="723"/>
      <c r="Y545" s="723"/>
      <c r="Z545" s="723"/>
      <c r="AA545" s="726"/>
      <c r="AB545" s="726"/>
      <c r="AC545" s="170"/>
      <c r="AD545" s="586"/>
      <c r="AE545" s="586"/>
      <c r="AF545" s="170"/>
      <c r="AG545" s="170"/>
      <c r="AH545" s="170"/>
      <c r="AI545" s="170"/>
      <c r="AJ545" s="170"/>
      <c r="AK545" s="170"/>
      <c r="AL545" s="170"/>
      <c r="AM545" s="170"/>
      <c r="AN545" s="170"/>
      <c r="AO545" s="170"/>
      <c r="AP545" s="170"/>
      <c r="AQ545" s="170"/>
      <c r="AR545" s="170"/>
      <c r="AS545" s="170"/>
      <c r="AT545" s="170"/>
      <c r="AU545" s="170"/>
      <c r="AV545" s="170"/>
      <c r="AW545" s="170"/>
      <c r="AX545" s="170"/>
    </row>
    <row r="546" spans="1:50" ht="15" x14ac:dyDescent="0.25">
      <c r="A546" s="170"/>
      <c r="B546" s="719"/>
      <c r="C546" s="170"/>
      <c r="D546" s="170"/>
      <c r="E546" s="170"/>
      <c r="F546" s="170"/>
      <c r="G546" s="721"/>
      <c r="H546" s="170"/>
      <c r="I546" s="170"/>
      <c r="J546" s="170"/>
      <c r="K546" s="170"/>
      <c r="L546" s="170"/>
      <c r="M546" s="730"/>
      <c r="N546" s="730"/>
      <c r="O546" s="730"/>
      <c r="P546" s="731"/>
      <c r="Q546" s="731"/>
      <c r="R546" s="730"/>
      <c r="S546" s="730"/>
      <c r="T546" s="723"/>
      <c r="U546" s="724"/>
      <c r="V546" s="725"/>
      <c r="W546" s="725"/>
      <c r="X546" s="723"/>
      <c r="Y546" s="723"/>
      <c r="Z546" s="723"/>
      <c r="AA546" s="726"/>
      <c r="AB546" s="726"/>
      <c r="AC546" s="170"/>
      <c r="AD546" s="586"/>
      <c r="AE546" s="586"/>
      <c r="AF546" s="170"/>
      <c r="AG546" s="170"/>
      <c r="AH546" s="170"/>
      <c r="AI546" s="170"/>
      <c r="AJ546" s="170"/>
      <c r="AK546" s="170"/>
      <c r="AL546" s="170"/>
      <c r="AM546" s="170"/>
      <c r="AN546" s="170"/>
      <c r="AO546" s="170"/>
      <c r="AP546" s="170"/>
      <c r="AQ546" s="170"/>
      <c r="AR546" s="170"/>
      <c r="AS546" s="170"/>
      <c r="AT546" s="170"/>
      <c r="AU546" s="170"/>
      <c r="AV546" s="170"/>
      <c r="AW546" s="170"/>
      <c r="AX546" s="170"/>
    </row>
    <row r="547" spans="1:50" ht="15" x14ac:dyDescent="0.25">
      <c r="A547" s="170"/>
      <c r="B547" s="719"/>
      <c r="C547" s="170"/>
      <c r="D547" s="170"/>
      <c r="E547" s="170"/>
      <c r="F547" s="170"/>
      <c r="G547" s="721"/>
      <c r="H547" s="170"/>
      <c r="I547" s="170"/>
      <c r="J547" s="170"/>
      <c r="K547" s="170"/>
      <c r="L547" s="170"/>
      <c r="M547" s="730"/>
      <c r="N547" s="730"/>
      <c r="O547" s="730"/>
      <c r="P547" s="731"/>
      <c r="Q547" s="731"/>
      <c r="R547" s="730"/>
      <c r="S547" s="730"/>
      <c r="T547" s="723"/>
      <c r="U547" s="724"/>
      <c r="V547" s="725"/>
      <c r="W547" s="725"/>
      <c r="X547" s="723"/>
      <c r="Y547" s="723"/>
      <c r="Z547" s="723"/>
      <c r="AA547" s="726"/>
      <c r="AB547" s="726"/>
      <c r="AC547" s="170"/>
      <c r="AD547" s="586"/>
      <c r="AE547" s="586"/>
      <c r="AF547" s="170"/>
      <c r="AG547" s="170"/>
      <c r="AH547" s="170"/>
      <c r="AI547" s="170"/>
      <c r="AJ547" s="170"/>
      <c r="AK547" s="170"/>
      <c r="AL547" s="170"/>
      <c r="AM547" s="170"/>
      <c r="AN547" s="170"/>
      <c r="AO547" s="170"/>
      <c r="AP547" s="170"/>
      <c r="AQ547" s="170"/>
      <c r="AR547" s="170"/>
      <c r="AS547" s="170"/>
      <c r="AT547" s="170"/>
      <c r="AU547" s="170"/>
      <c r="AV547" s="170"/>
      <c r="AW547" s="170"/>
      <c r="AX547" s="170"/>
    </row>
    <row r="548" spans="1:50" ht="15" x14ac:dyDescent="0.25">
      <c r="A548" s="170"/>
      <c r="B548" s="719"/>
      <c r="C548" s="170"/>
      <c r="D548" s="170"/>
      <c r="E548" s="170"/>
      <c r="F548" s="170"/>
      <c r="G548" s="721"/>
      <c r="H548" s="170"/>
      <c r="I548" s="170"/>
      <c r="J548" s="170"/>
      <c r="K548" s="170"/>
      <c r="L548" s="170"/>
      <c r="M548" s="730"/>
      <c r="N548" s="730"/>
      <c r="O548" s="730"/>
      <c r="P548" s="731"/>
      <c r="Q548" s="731"/>
      <c r="R548" s="730"/>
      <c r="S548" s="730"/>
      <c r="T548" s="723"/>
      <c r="U548" s="724"/>
      <c r="V548" s="725"/>
      <c r="W548" s="725"/>
      <c r="X548" s="723"/>
      <c r="Y548" s="723"/>
      <c r="Z548" s="723"/>
      <c r="AA548" s="726"/>
      <c r="AB548" s="726"/>
      <c r="AC548" s="170"/>
      <c r="AD548" s="586"/>
      <c r="AE548" s="586"/>
      <c r="AF548" s="170"/>
      <c r="AG548" s="170"/>
      <c r="AH548" s="170"/>
      <c r="AI548" s="170"/>
      <c r="AJ548" s="170"/>
      <c r="AK548" s="170"/>
      <c r="AL548" s="170"/>
      <c r="AM548" s="170"/>
      <c r="AN548" s="170"/>
      <c r="AO548" s="170"/>
      <c r="AP548" s="170"/>
      <c r="AQ548" s="170"/>
      <c r="AR548" s="170"/>
      <c r="AS548" s="170"/>
      <c r="AT548" s="170"/>
      <c r="AU548" s="170"/>
      <c r="AV548" s="170"/>
      <c r="AW548" s="170"/>
      <c r="AX548" s="170"/>
    </row>
    <row r="549" spans="1:50" ht="15" x14ac:dyDescent="0.25">
      <c r="A549" s="170"/>
      <c r="B549" s="719"/>
      <c r="C549" s="170"/>
      <c r="D549" s="170"/>
      <c r="E549" s="170"/>
      <c r="F549" s="170"/>
      <c r="G549" s="721"/>
      <c r="H549" s="170"/>
      <c r="I549" s="170"/>
      <c r="J549" s="170"/>
      <c r="K549" s="170"/>
      <c r="L549" s="170"/>
      <c r="M549" s="730"/>
      <c r="N549" s="730"/>
      <c r="O549" s="730"/>
      <c r="P549" s="731"/>
      <c r="Q549" s="731"/>
      <c r="R549" s="730"/>
      <c r="S549" s="730"/>
      <c r="T549" s="723"/>
      <c r="U549" s="724"/>
      <c r="V549" s="725"/>
      <c r="W549" s="725"/>
      <c r="X549" s="723"/>
      <c r="Y549" s="723"/>
      <c r="Z549" s="723"/>
      <c r="AA549" s="726"/>
      <c r="AB549" s="726"/>
      <c r="AC549" s="170"/>
      <c r="AD549" s="586"/>
      <c r="AE549" s="586"/>
      <c r="AF549" s="170"/>
      <c r="AG549" s="170"/>
      <c r="AH549" s="170"/>
      <c r="AI549" s="170"/>
      <c r="AJ549" s="170"/>
      <c r="AK549" s="170"/>
      <c r="AL549" s="170"/>
      <c r="AM549" s="170"/>
      <c r="AN549" s="170"/>
      <c r="AO549" s="170"/>
      <c r="AP549" s="170"/>
      <c r="AQ549" s="170"/>
      <c r="AR549" s="170"/>
      <c r="AS549" s="170"/>
      <c r="AT549" s="170"/>
      <c r="AU549" s="170"/>
      <c r="AV549" s="170"/>
      <c r="AW549" s="170"/>
      <c r="AX549" s="170"/>
    </row>
    <row r="550" spans="1:50" ht="15" x14ac:dyDescent="0.25">
      <c r="A550" s="170"/>
      <c r="B550" s="719"/>
      <c r="C550" s="170"/>
      <c r="D550" s="170"/>
      <c r="E550" s="170"/>
      <c r="F550" s="170"/>
      <c r="G550" s="721"/>
      <c r="H550" s="170"/>
      <c r="I550" s="170"/>
      <c r="J550" s="170"/>
      <c r="K550" s="170"/>
      <c r="L550" s="170"/>
      <c r="M550" s="730"/>
      <c r="N550" s="730"/>
      <c r="O550" s="730"/>
      <c r="P550" s="731"/>
      <c r="Q550" s="731"/>
      <c r="R550" s="730"/>
      <c r="S550" s="730"/>
      <c r="T550" s="723"/>
      <c r="U550" s="724"/>
      <c r="V550" s="725"/>
      <c r="W550" s="725"/>
      <c r="X550" s="723"/>
      <c r="Y550" s="723"/>
      <c r="Z550" s="723"/>
      <c r="AA550" s="726"/>
      <c r="AB550" s="726"/>
      <c r="AC550" s="170"/>
      <c r="AD550" s="586"/>
      <c r="AE550" s="586"/>
      <c r="AF550" s="170"/>
      <c r="AG550" s="170"/>
      <c r="AH550" s="170"/>
      <c r="AI550" s="170"/>
      <c r="AJ550" s="170"/>
      <c r="AK550" s="170"/>
      <c r="AL550" s="170"/>
      <c r="AM550" s="170"/>
      <c r="AN550" s="170"/>
      <c r="AO550" s="170"/>
      <c r="AP550" s="170"/>
      <c r="AQ550" s="170"/>
      <c r="AR550" s="170"/>
      <c r="AS550" s="170"/>
      <c r="AT550" s="170"/>
      <c r="AU550" s="170"/>
      <c r="AV550" s="170"/>
      <c r="AW550" s="170"/>
      <c r="AX550" s="170"/>
    </row>
    <row r="551" spans="1:50" ht="15" x14ac:dyDescent="0.25">
      <c r="A551" s="170"/>
      <c r="B551" s="719"/>
      <c r="C551" s="170"/>
      <c r="D551" s="170"/>
      <c r="E551" s="170"/>
      <c r="F551" s="170"/>
      <c r="G551" s="721"/>
      <c r="H551" s="170"/>
      <c r="I551" s="170"/>
      <c r="J551" s="170"/>
      <c r="K551" s="170"/>
      <c r="L551" s="170"/>
      <c r="M551" s="730"/>
      <c r="N551" s="730"/>
      <c r="O551" s="730"/>
      <c r="P551" s="731"/>
      <c r="Q551" s="731"/>
      <c r="R551" s="730"/>
      <c r="S551" s="730"/>
      <c r="T551" s="723"/>
      <c r="U551" s="724"/>
      <c r="V551" s="725"/>
      <c r="W551" s="725"/>
      <c r="X551" s="723"/>
      <c r="Y551" s="723"/>
      <c r="Z551" s="723"/>
      <c r="AA551" s="726"/>
      <c r="AB551" s="726"/>
      <c r="AC551" s="170"/>
      <c r="AD551" s="586"/>
      <c r="AE551" s="586"/>
      <c r="AF551" s="170"/>
      <c r="AG551" s="170"/>
      <c r="AH551" s="170"/>
      <c r="AI551" s="170"/>
      <c r="AJ551" s="170"/>
      <c r="AK551" s="170"/>
      <c r="AL551" s="170"/>
      <c r="AM551" s="170"/>
      <c r="AN551" s="170"/>
      <c r="AO551" s="170"/>
      <c r="AP551" s="170"/>
      <c r="AQ551" s="170"/>
      <c r="AR551" s="170"/>
      <c r="AS551" s="170"/>
      <c r="AT551" s="170"/>
      <c r="AU551" s="170"/>
      <c r="AV551" s="170"/>
      <c r="AW551" s="170"/>
      <c r="AX551" s="170"/>
    </row>
    <row r="552" spans="1:50" ht="15" x14ac:dyDescent="0.25">
      <c r="A552" s="170"/>
      <c r="B552" s="719"/>
      <c r="C552" s="170"/>
      <c r="D552" s="170"/>
      <c r="E552" s="170"/>
      <c r="F552" s="170"/>
      <c r="G552" s="721"/>
      <c r="H552" s="170"/>
      <c r="I552" s="170"/>
      <c r="J552" s="170"/>
      <c r="K552" s="170"/>
      <c r="L552" s="170"/>
      <c r="M552" s="730"/>
      <c r="N552" s="730"/>
      <c r="O552" s="730"/>
      <c r="P552" s="731"/>
      <c r="Q552" s="731"/>
      <c r="R552" s="730"/>
      <c r="S552" s="730"/>
      <c r="T552" s="723"/>
      <c r="U552" s="724"/>
      <c r="V552" s="725"/>
      <c r="W552" s="725"/>
      <c r="X552" s="723"/>
      <c r="Y552" s="723"/>
      <c r="Z552" s="723"/>
      <c r="AA552" s="726"/>
      <c r="AB552" s="726"/>
      <c r="AC552" s="170"/>
      <c r="AD552" s="586"/>
      <c r="AE552" s="586"/>
      <c r="AF552" s="170"/>
      <c r="AG552" s="170"/>
      <c r="AH552" s="170"/>
      <c r="AI552" s="170"/>
      <c r="AJ552" s="170"/>
      <c r="AK552" s="170"/>
      <c r="AL552" s="170"/>
      <c r="AM552" s="170"/>
      <c r="AN552" s="170"/>
      <c r="AO552" s="170"/>
      <c r="AP552" s="170"/>
      <c r="AQ552" s="170"/>
      <c r="AR552" s="170"/>
      <c r="AS552" s="170"/>
      <c r="AT552" s="170"/>
      <c r="AU552" s="170"/>
      <c r="AV552" s="170"/>
      <c r="AW552" s="170"/>
      <c r="AX552" s="170"/>
    </row>
    <row r="553" spans="1:50" ht="15" x14ac:dyDescent="0.25">
      <c r="A553" s="170"/>
      <c r="B553" s="719"/>
      <c r="C553" s="170"/>
      <c r="D553" s="170"/>
      <c r="E553" s="170"/>
      <c r="F553" s="170"/>
      <c r="G553" s="721"/>
      <c r="H553" s="170"/>
      <c r="I553" s="170"/>
      <c r="J553" s="170"/>
      <c r="K553" s="170"/>
      <c r="L553" s="170"/>
      <c r="M553" s="730"/>
      <c r="N553" s="730"/>
      <c r="O553" s="730"/>
      <c r="P553" s="731"/>
      <c r="Q553" s="731"/>
      <c r="R553" s="730"/>
      <c r="S553" s="730"/>
      <c r="T553" s="723"/>
      <c r="U553" s="724"/>
      <c r="V553" s="725"/>
      <c r="W553" s="725"/>
      <c r="X553" s="723"/>
      <c r="Y553" s="723"/>
      <c r="Z553" s="723"/>
      <c r="AA553" s="726"/>
      <c r="AB553" s="726"/>
      <c r="AC553" s="170"/>
      <c r="AD553" s="586"/>
      <c r="AE553" s="586"/>
      <c r="AF553" s="170"/>
      <c r="AG553" s="170"/>
      <c r="AH553" s="170"/>
      <c r="AI553" s="170"/>
      <c r="AJ553" s="170"/>
      <c r="AK553" s="170"/>
      <c r="AL553" s="170"/>
      <c r="AM553" s="170"/>
      <c r="AN553" s="170"/>
      <c r="AO553" s="170"/>
      <c r="AP553" s="170"/>
      <c r="AQ553" s="170"/>
      <c r="AR553" s="170"/>
      <c r="AS553" s="170"/>
      <c r="AT553" s="170"/>
      <c r="AU553" s="170"/>
      <c r="AV553" s="170"/>
      <c r="AW553" s="170"/>
      <c r="AX553" s="170"/>
    </row>
    <row r="554" spans="1:50" ht="15" x14ac:dyDescent="0.25">
      <c r="A554" s="170"/>
      <c r="B554" s="719"/>
      <c r="C554" s="170"/>
      <c r="D554" s="170"/>
      <c r="E554" s="170"/>
      <c r="F554" s="170"/>
      <c r="G554" s="721"/>
      <c r="H554" s="170"/>
      <c r="I554" s="170"/>
      <c r="J554" s="170"/>
      <c r="K554" s="170"/>
      <c r="L554" s="170"/>
      <c r="M554" s="730"/>
      <c r="N554" s="730"/>
      <c r="O554" s="730"/>
      <c r="P554" s="731"/>
      <c r="Q554" s="731"/>
      <c r="R554" s="730"/>
      <c r="S554" s="730"/>
      <c r="T554" s="723"/>
      <c r="U554" s="724"/>
      <c r="V554" s="725"/>
      <c r="W554" s="725"/>
      <c r="X554" s="723"/>
      <c r="Y554" s="723"/>
      <c r="Z554" s="723"/>
      <c r="AA554" s="726"/>
      <c r="AB554" s="726"/>
      <c r="AC554" s="170"/>
      <c r="AD554" s="586"/>
      <c r="AE554" s="586"/>
      <c r="AF554" s="170"/>
      <c r="AG554" s="170"/>
      <c r="AH554" s="170"/>
      <c r="AI554" s="170"/>
      <c r="AJ554" s="170"/>
      <c r="AK554" s="170"/>
      <c r="AL554" s="170"/>
      <c r="AM554" s="170"/>
      <c r="AN554" s="170"/>
      <c r="AO554" s="170"/>
      <c r="AP554" s="170"/>
      <c r="AQ554" s="170"/>
      <c r="AR554" s="170"/>
      <c r="AS554" s="170"/>
      <c r="AT554" s="170"/>
      <c r="AU554" s="170"/>
      <c r="AV554" s="170"/>
      <c r="AW554" s="170"/>
      <c r="AX554" s="170"/>
    </row>
    <row r="555" spans="1:50" ht="15" x14ac:dyDescent="0.25">
      <c r="A555" s="170"/>
      <c r="B555" s="719"/>
      <c r="C555" s="170"/>
      <c r="D555" s="170"/>
      <c r="E555" s="170"/>
      <c r="F555" s="170"/>
      <c r="G555" s="721"/>
      <c r="H555" s="170"/>
      <c r="I555" s="170"/>
      <c r="J555" s="170"/>
      <c r="K555" s="170"/>
      <c r="L555" s="170"/>
      <c r="M555" s="730"/>
      <c r="N555" s="730"/>
      <c r="O555" s="730"/>
      <c r="P555" s="731"/>
      <c r="Q555" s="731"/>
      <c r="R555" s="730"/>
      <c r="S555" s="730"/>
      <c r="T555" s="723"/>
      <c r="U555" s="724"/>
      <c r="V555" s="725"/>
      <c r="W555" s="725"/>
      <c r="X555" s="723"/>
      <c r="Y555" s="723"/>
      <c r="Z555" s="723"/>
      <c r="AA555" s="726"/>
      <c r="AB555" s="726"/>
      <c r="AC555" s="170"/>
      <c r="AD555" s="586"/>
      <c r="AE555" s="586"/>
      <c r="AF555" s="170"/>
      <c r="AG555" s="170"/>
      <c r="AH555" s="170"/>
      <c r="AI555" s="170"/>
      <c r="AJ555" s="170"/>
      <c r="AK555" s="170"/>
      <c r="AL555" s="170"/>
      <c r="AM555" s="170"/>
      <c r="AN555" s="170"/>
      <c r="AO555" s="170"/>
      <c r="AP555" s="170"/>
      <c r="AQ555" s="170"/>
      <c r="AR555" s="170"/>
      <c r="AS555" s="170"/>
      <c r="AT555" s="170"/>
      <c r="AU555" s="170"/>
      <c r="AV555" s="170"/>
      <c r="AW555" s="170"/>
      <c r="AX555" s="170"/>
    </row>
    <row r="556" spans="1:50" ht="15" x14ac:dyDescent="0.25">
      <c r="A556" s="170"/>
      <c r="B556" s="719"/>
      <c r="C556" s="170"/>
      <c r="D556" s="170"/>
      <c r="E556" s="170"/>
      <c r="F556" s="170"/>
      <c r="G556" s="721"/>
      <c r="H556" s="170"/>
      <c r="I556" s="170"/>
      <c r="J556" s="170"/>
      <c r="K556" s="170"/>
      <c r="L556" s="170"/>
      <c r="M556" s="730"/>
      <c r="N556" s="730"/>
      <c r="O556" s="730"/>
      <c r="P556" s="731"/>
      <c r="Q556" s="731"/>
      <c r="R556" s="730"/>
      <c r="S556" s="730"/>
      <c r="T556" s="723"/>
      <c r="U556" s="724"/>
      <c r="V556" s="725"/>
      <c r="W556" s="725"/>
      <c r="X556" s="723"/>
      <c r="Y556" s="723"/>
      <c r="Z556" s="723"/>
      <c r="AA556" s="726"/>
      <c r="AB556" s="726"/>
      <c r="AC556" s="170"/>
      <c r="AD556" s="586"/>
      <c r="AE556" s="586"/>
      <c r="AF556" s="170"/>
      <c r="AG556" s="170"/>
      <c r="AH556" s="170"/>
      <c r="AI556" s="170"/>
      <c r="AJ556" s="170"/>
      <c r="AK556" s="170"/>
      <c r="AL556" s="170"/>
      <c r="AM556" s="170"/>
      <c r="AN556" s="170"/>
      <c r="AO556" s="170"/>
      <c r="AP556" s="170"/>
      <c r="AQ556" s="170"/>
      <c r="AR556" s="170"/>
      <c r="AS556" s="170"/>
      <c r="AT556" s="170"/>
      <c r="AU556" s="170"/>
      <c r="AV556" s="170"/>
      <c r="AW556" s="170"/>
      <c r="AX556" s="170"/>
    </row>
    <row r="557" spans="1:50" ht="15" x14ac:dyDescent="0.25">
      <c r="A557" s="170"/>
      <c r="B557" s="719"/>
      <c r="C557" s="170"/>
      <c r="D557" s="170"/>
      <c r="E557" s="170"/>
      <c r="F557" s="170"/>
      <c r="G557" s="721"/>
      <c r="H557" s="170"/>
      <c r="I557" s="170"/>
      <c r="J557" s="170"/>
      <c r="K557" s="170"/>
      <c r="L557" s="170"/>
      <c r="M557" s="730"/>
      <c r="N557" s="730"/>
      <c r="O557" s="730"/>
      <c r="P557" s="731"/>
      <c r="Q557" s="731"/>
      <c r="R557" s="730"/>
      <c r="S557" s="730"/>
      <c r="T557" s="723"/>
      <c r="U557" s="724"/>
      <c r="V557" s="725"/>
      <c r="W557" s="725"/>
      <c r="X557" s="723"/>
      <c r="Y557" s="723"/>
      <c r="Z557" s="723"/>
      <c r="AA557" s="726"/>
      <c r="AB557" s="726"/>
      <c r="AC557" s="170"/>
      <c r="AD557" s="586"/>
      <c r="AE557" s="586"/>
      <c r="AF557" s="170"/>
      <c r="AG557" s="170"/>
      <c r="AH557" s="170"/>
      <c r="AI557" s="170"/>
      <c r="AJ557" s="170"/>
      <c r="AK557" s="170"/>
      <c r="AL557" s="170"/>
      <c r="AM557" s="170"/>
      <c r="AN557" s="170"/>
      <c r="AO557" s="170"/>
      <c r="AP557" s="170"/>
      <c r="AQ557" s="170"/>
      <c r="AR557" s="170"/>
      <c r="AS557" s="170"/>
      <c r="AT557" s="170"/>
      <c r="AU557" s="170"/>
      <c r="AV557" s="170"/>
      <c r="AW557" s="170"/>
      <c r="AX557" s="170"/>
    </row>
    <row r="558" spans="1:50" ht="15" x14ac:dyDescent="0.25">
      <c r="A558" s="170"/>
      <c r="B558" s="719"/>
      <c r="C558" s="170"/>
      <c r="D558" s="170"/>
      <c r="E558" s="170"/>
      <c r="F558" s="170"/>
      <c r="G558" s="721"/>
      <c r="H558" s="170"/>
      <c r="I558" s="170"/>
      <c r="J558" s="170"/>
      <c r="K558" s="170"/>
      <c r="L558" s="170"/>
      <c r="M558" s="730"/>
      <c r="N558" s="730"/>
      <c r="O558" s="730"/>
      <c r="P558" s="731"/>
      <c r="Q558" s="731"/>
      <c r="R558" s="730"/>
      <c r="S558" s="730"/>
      <c r="T558" s="723"/>
      <c r="U558" s="724"/>
      <c r="V558" s="725"/>
      <c r="W558" s="725"/>
      <c r="X558" s="723"/>
      <c r="Y558" s="723"/>
      <c r="Z558" s="723"/>
      <c r="AA558" s="726"/>
      <c r="AB558" s="726"/>
      <c r="AC558" s="170"/>
      <c r="AD558" s="586"/>
      <c r="AE558" s="586"/>
      <c r="AF558" s="170"/>
      <c r="AG558" s="170"/>
      <c r="AH558" s="170"/>
      <c r="AI558" s="170"/>
      <c r="AJ558" s="170"/>
      <c r="AK558" s="170"/>
      <c r="AL558" s="170"/>
      <c r="AM558" s="170"/>
      <c r="AN558" s="170"/>
      <c r="AO558" s="170"/>
      <c r="AP558" s="170"/>
      <c r="AQ558" s="170"/>
      <c r="AR558" s="170"/>
      <c r="AS558" s="170"/>
      <c r="AT558" s="170"/>
      <c r="AU558" s="170"/>
      <c r="AV558" s="170"/>
      <c r="AW558" s="170"/>
      <c r="AX558" s="170"/>
    </row>
    <row r="559" spans="1:50" ht="15" x14ac:dyDescent="0.25">
      <c r="A559" s="170"/>
      <c r="B559" s="719"/>
      <c r="C559" s="170"/>
      <c r="D559" s="170"/>
      <c r="E559" s="170"/>
      <c r="F559" s="170"/>
      <c r="G559" s="721"/>
      <c r="H559" s="170"/>
      <c r="I559" s="170"/>
      <c r="J559" s="170"/>
      <c r="K559" s="170"/>
      <c r="L559" s="170"/>
      <c r="M559" s="730"/>
      <c r="N559" s="730"/>
      <c r="O559" s="730"/>
      <c r="P559" s="731"/>
      <c r="Q559" s="731"/>
      <c r="R559" s="730"/>
      <c r="S559" s="730"/>
      <c r="T559" s="723"/>
      <c r="U559" s="724"/>
      <c r="V559" s="725"/>
      <c r="W559" s="725"/>
      <c r="X559" s="723"/>
      <c r="Y559" s="723"/>
      <c r="Z559" s="723"/>
      <c r="AA559" s="726"/>
      <c r="AB559" s="726"/>
      <c r="AC559" s="170"/>
      <c r="AD559" s="586"/>
      <c r="AE559" s="586"/>
      <c r="AF559" s="170"/>
      <c r="AG559" s="170"/>
      <c r="AH559" s="170"/>
      <c r="AI559" s="170"/>
      <c r="AJ559" s="170"/>
      <c r="AK559" s="170"/>
      <c r="AL559" s="170"/>
      <c r="AM559" s="170"/>
      <c r="AN559" s="170"/>
      <c r="AO559" s="170"/>
      <c r="AP559" s="170"/>
      <c r="AQ559" s="170"/>
      <c r="AR559" s="170"/>
      <c r="AS559" s="170"/>
      <c r="AT559" s="170"/>
      <c r="AU559" s="170"/>
      <c r="AV559" s="170"/>
      <c r="AW559" s="170"/>
      <c r="AX559" s="170"/>
    </row>
    <row r="560" spans="1:50" ht="15" x14ac:dyDescent="0.25">
      <c r="A560" s="170"/>
      <c r="B560" s="719"/>
      <c r="C560" s="170"/>
      <c r="D560" s="170"/>
      <c r="E560" s="170"/>
      <c r="F560" s="170"/>
      <c r="G560" s="721"/>
      <c r="H560" s="170"/>
      <c r="I560" s="170"/>
      <c r="J560" s="170"/>
      <c r="K560" s="170"/>
      <c r="L560" s="170"/>
      <c r="M560" s="730"/>
      <c r="N560" s="730"/>
      <c r="O560" s="730"/>
      <c r="P560" s="731"/>
      <c r="Q560" s="731"/>
      <c r="R560" s="730"/>
      <c r="S560" s="730"/>
      <c r="T560" s="723"/>
      <c r="U560" s="724"/>
      <c r="V560" s="725"/>
      <c r="W560" s="725"/>
      <c r="X560" s="723"/>
      <c r="Y560" s="723"/>
      <c r="Z560" s="723"/>
      <c r="AA560" s="726"/>
      <c r="AB560" s="726"/>
      <c r="AC560" s="170"/>
      <c r="AD560" s="586"/>
      <c r="AE560" s="586"/>
      <c r="AF560" s="170"/>
      <c r="AG560" s="170"/>
      <c r="AH560" s="170"/>
      <c r="AI560" s="170"/>
      <c r="AJ560" s="170"/>
      <c r="AK560" s="170"/>
      <c r="AL560" s="170"/>
      <c r="AM560" s="170"/>
      <c r="AN560" s="170"/>
      <c r="AO560" s="170"/>
      <c r="AP560" s="170"/>
      <c r="AQ560" s="170"/>
      <c r="AR560" s="170"/>
      <c r="AS560" s="170"/>
      <c r="AT560" s="170"/>
      <c r="AU560" s="170"/>
      <c r="AV560" s="170"/>
      <c r="AW560" s="170"/>
      <c r="AX560" s="170"/>
    </row>
    <row r="561" spans="1:50" ht="15" x14ac:dyDescent="0.25">
      <c r="A561" s="170"/>
      <c r="B561" s="719"/>
      <c r="C561" s="170"/>
      <c r="D561" s="170"/>
      <c r="E561" s="170"/>
      <c r="F561" s="170"/>
      <c r="G561" s="721"/>
      <c r="H561" s="170"/>
      <c r="I561" s="170"/>
      <c r="J561" s="170"/>
      <c r="K561" s="170"/>
      <c r="L561" s="170"/>
      <c r="M561" s="730"/>
      <c r="N561" s="730"/>
      <c r="O561" s="730"/>
      <c r="P561" s="731"/>
      <c r="Q561" s="731"/>
      <c r="R561" s="730"/>
      <c r="S561" s="730"/>
      <c r="T561" s="723"/>
      <c r="U561" s="724"/>
      <c r="V561" s="725"/>
      <c r="W561" s="725"/>
      <c r="X561" s="723"/>
      <c r="Y561" s="723"/>
      <c r="Z561" s="723"/>
      <c r="AA561" s="726"/>
      <c r="AB561" s="726"/>
      <c r="AC561" s="170"/>
      <c r="AD561" s="586"/>
      <c r="AE561" s="586"/>
      <c r="AF561" s="170"/>
      <c r="AG561" s="170"/>
      <c r="AH561" s="170"/>
      <c r="AI561" s="170"/>
      <c r="AJ561" s="170"/>
      <c r="AK561" s="170"/>
      <c r="AL561" s="170"/>
      <c r="AM561" s="170"/>
      <c r="AN561" s="170"/>
      <c r="AO561" s="170"/>
      <c r="AP561" s="170"/>
      <c r="AQ561" s="170"/>
      <c r="AR561" s="170"/>
      <c r="AS561" s="170"/>
      <c r="AT561" s="170"/>
      <c r="AU561" s="170"/>
      <c r="AV561" s="170"/>
      <c r="AW561" s="170"/>
      <c r="AX561" s="170"/>
    </row>
    <row r="562" spans="1:50" ht="15" x14ac:dyDescent="0.25">
      <c r="A562" s="170"/>
      <c r="B562" s="719"/>
      <c r="C562" s="170"/>
      <c r="D562" s="170"/>
      <c r="E562" s="170"/>
      <c r="F562" s="170"/>
      <c r="G562" s="721"/>
      <c r="H562" s="170"/>
      <c r="I562" s="170"/>
      <c r="J562" s="170"/>
      <c r="K562" s="170"/>
      <c r="L562" s="170"/>
      <c r="M562" s="730"/>
      <c r="N562" s="730"/>
      <c r="O562" s="730"/>
      <c r="P562" s="731"/>
      <c r="Q562" s="731"/>
      <c r="R562" s="730"/>
      <c r="S562" s="730"/>
      <c r="T562" s="723"/>
      <c r="U562" s="724"/>
      <c r="V562" s="725"/>
      <c r="W562" s="725"/>
      <c r="X562" s="723"/>
      <c r="Y562" s="723"/>
      <c r="Z562" s="723"/>
      <c r="AA562" s="726"/>
      <c r="AB562" s="726"/>
      <c r="AC562" s="170"/>
      <c r="AD562" s="586"/>
      <c r="AE562" s="586"/>
      <c r="AF562" s="170"/>
      <c r="AG562" s="170"/>
      <c r="AH562" s="170"/>
      <c r="AI562" s="170"/>
      <c r="AJ562" s="170"/>
      <c r="AK562" s="170"/>
      <c r="AL562" s="170"/>
      <c r="AM562" s="170"/>
      <c r="AN562" s="170"/>
      <c r="AO562" s="170"/>
      <c r="AP562" s="170"/>
      <c r="AQ562" s="170"/>
      <c r="AR562" s="170"/>
      <c r="AS562" s="170"/>
      <c r="AT562" s="170"/>
      <c r="AU562" s="170"/>
      <c r="AV562" s="170"/>
      <c r="AW562" s="170"/>
      <c r="AX562" s="170"/>
    </row>
    <row r="563" spans="1:50" ht="15" x14ac:dyDescent="0.25">
      <c r="A563" s="170"/>
      <c r="B563" s="719"/>
      <c r="C563" s="170"/>
      <c r="D563" s="170"/>
      <c r="E563" s="170"/>
      <c r="F563" s="170"/>
      <c r="G563" s="721"/>
      <c r="H563" s="170"/>
      <c r="I563" s="170"/>
      <c r="J563" s="170"/>
      <c r="K563" s="170"/>
      <c r="L563" s="170"/>
      <c r="M563" s="730"/>
      <c r="N563" s="730"/>
      <c r="O563" s="730"/>
      <c r="P563" s="731"/>
      <c r="Q563" s="731"/>
      <c r="R563" s="730"/>
      <c r="S563" s="730"/>
      <c r="T563" s="723"/>
      <c r="U563" s="724"/>
      <c r="V563" s="725"/>
      <c r="W563" s="725"/>
      <c r="X563" s="723"/>
      <c r="Y563" s="723"/>
      <c r="Z563" s="723"/>
      <c r="AA563" s="726"/>
      <c r="AB563" s="726"/>
      <c r="AC563" s="170"/>
      <c r="AD563" s="586"/>
      <c r="AE563" s="586"/>
      <c r="AF563" s="170"/>
      <c r="AG563" s="170"/>
      <c r="AH563" s="170"/>
      <c r="AI563" s="170"/>
      <c r="AJ563" s="170"/>
      <c r="AK563" s="170"/>
      <c r="AL563" s="170"/>
      <c r="AM563" s="170"/>
      <c r="AN563" s="170"/>
      <c r="AO563" s="170"/>
      <c r="AP563" s="170"/>
      <c r="AQ563" s="170"/>
      <c r="AR563" s="170"/>
      <c r="AS563" s="170"/>
      <c r="AT563" s="170"/>
      <c r="AU563" s="170"/>
      <c r="AV563" s="170"/>
      <c r="AW563" s="170"/>
      <c r="AX563" s="170"/>
    </row>
    <row r="564" spans="1:50" ht="15" x14ac:dyDescent="0.25">
      <c r="A564" s="170"/>
      <c r="B564" s="719"/>
      <c r="C564" s="170"/>
      <c r="D564" s="170"/>
      <c r="E564" s="170"/>
      <c r="F564" s="170"/>
      <c r="G564" s="721"/>
      <c r="H564" s="170"/>
      <c r="I564" s="170"/>
      <c r="J564" s="170"/>
      <c r="K564" s="170"/>
      <c r="L564" s="170"/>
      <c r="M564" s="730"/>
      <c r="N564" s="730"/>
      <c r="O564" s="730"/>
      <c r="P564" s="731"/>
      <c r="Q564" s="731"/>
      <c r="R564" s="730"/>
      <c r="S564" s="730"/>
      <c r="T564" s="723"/>
      <c r="U564" s="724"/>
      <c r="V564" s="725"/>
      <c r="W564" s="725"/>
      <c r="X564" s="723"/>
      <c r="Y564" s="723"/>
      <c r="Z564" s="723"/>
      <c r="AA564" s="726"/>
      <c r="AB564" s="726"/>
      <c r="AC564" s="170"/>
      <c r="AD564" s="586"/>
      <c r="AE564" s="586"/>
      <c r="AF564" s="170"/>
      <c r="AG564" s="170"/>
      <c r="AH564" s="170"/>
      <c r="AI564" s="170"/>
      <c r="AJ564" s="170"/>
      <c r="AK564" s="170"/>
      <c r="AL564" s="170"/>
      <c r="AM564" s="170"/>
      <c r="AN564" s="170"/>
      <c r="AO564" s="170"/>
      <c r="AP564" s="170"/>
      <c r="AQ564" s="170"/>
      <c r="AR564" s="170"/>
      <c r="AS564" s="170"/>
      <c r="AT564" s="170"/>
      <c r="AU564" s="170"/>
      <c r="AV564" s="170"/>
      <c r="AW564" s="170"/>
      <c r="AX564" s="170"/>
    </row>
    <row r="565" spans="1:50" ht="15" x14ac:dyDescent="0.25">
      <c r="A565" s="170"/>
      <c r="B565" s="719"/>
      <c r="C565" s="170"/>
      <c r="D565" s="170"/>
      <c r="E565" s="170"/>
      <c r="F565" s="170"/>
      <c r="G565" s="721"/>
      <c r="H565" s="170"/>
      <c r="I565" s="170"/>
      <c r="J565" s="170"/>
      <c r="K565" s="170"/>
      <c r="L565" s="170"/>
      <c r="M565" s="730"/>
      <c r="N565" s="730"/>
      <c r="O565" s="730"/>
      <c r="P565" s="731"/>
      <c r="Q565" s="731"/>
      <c r="R565" s="730"/>
      <c r="S565" s="730"/>
      <c r="T565" s="723"/>
      <c r="U565" s="724"/>
      <c r="V565" s="725"/>
      <c r="W565" s="725"/>
      <c r="X565" s="723"/>
      <c r="Y565" s="723"/>
      <c r="Z565" s="723"/>
      <c r="AA565" s="726"/>
      <c r="AB565" s="726"/>
      <c r="AC565" s="170"/>
      <c r="AD565" s="586"/>
      <c r="AE565" s="586"/>
      <c r="AF565" s="170"/>
      <c r="AG565" s="170"/>
      <c r="AH565" s="170"/>
      <c r="AI565" s="170"/>
      <c r="AJ565" s="170"/>
      <c r="AK565" s="170"/>
      <c r="AL565" s="170"/>
      <c r="AM565" s="170"/>
      <c r="AN565" s="170"/>
      <c r="AO565" s="170"/>
      <c r="AP565" s="170"/>
      <c r="AQ565" s="170"/>
      <c r="AR565" s="170"/>
      <c r="AS565" s="170"/>
      <c r="AT565" s="170"/>
      <c r="AU565" s="170"/>
      <c r="AV565" s="170"/>
      <c r="AW565" s="170"/>
      <c r="AX565" s="170"/>
    </row>
    <row r="566" spans="1:50" ht="15" x14ac:dyDescent="0.25">
      <c r="A566" s="170"/>
      <c r="B566" s="719"/>
      <c r="C566" s="170"/>
      <c r="D566" s="170"/>
      <c r="E566" s="170"/>
      <c r="F566" s="170"/>
      <c r="G566" s="721"/>
      <c r="H566" s="170"/>
      <c r="I566" s="170"/>
      <c r="J566" s="170"/>
      <c r="K566" s="170"/>
      <c r="L566" s="170"/>
      <c r="M566" s="730"/>
      <c r="N566" s="730"/>
      <c r="O566" s="730"/>
      <c r="P566" s="731"/>
      <c r="Q566" s="731"/>
      <c r="R566" s="730"/>
      <c r="S566" s="730"/>
      <c r="T566" s="723"/>
      <c r="U566" s="724"/>
      <c r="V566" s="725"/>
      <c r="W566" s="725"/>
      <c r="X566" s="723"/>
      <c r="Y566" s="723"/>
      <c r="Z566" s="723"/>
      <c r="AA566" s="726"/>
      <c r="AB566" s="726"/>
      <c r="AC566" s="170"/>
      <c r="AD566" s="586"/>
      <c r="AE566" s="586"/>
      <c r="AF566" s="170"/>
      <c r="AG566" s="170"/>
      <c r="AH566" s="170"/>
      <c r="AI566" s="170"/>
      <c r="AJ566" s="170"/>
      <c r="AK566" s="170"/>
      <c r="AL566" s="170"/>
      <c r="AM566" s="170"/>
      <c r="AN566" s="170"/>
      <c r="AO566" s="170"/>
      <c r="AP566" s="170"/>
      <c r="AQ566" s="170"/>
      <c r="AR566" s="170"/>
      <c r="AS566" s="170"/>
      <c r="AT566" s="170"/>
      <c r="AU566" s="170"/>
      <c r="AV566" s="170"/>
      <c r="AW566" s="170"/>
      <c r="AX566" s="170"/>
    </row>
    <row r="567" spans="1:50" ht="15" x14ac:dyDescent="0.25">
      <c r="A567" s="170"/>
      <c r="B567" s="719"/>
      <c r="C567" s="170"/>
      <c r="D567" s="170"/>
      <c r="E567" s="170"/>
      <c r="F567" s="170"/>
      <c r="G567" s="721"/>
      <c r="H567" s="170"/>
      <c r="I567" s="170"/>
      <c r="J567" s="170"/>
      <c r="K567" s="170"/>
      <c r="L567" s="170"/>
      <c r="M567" s="730"/>
      <c r="N567" s="730"/>
      <c r="O567" s="730"/>
      <c r="P567" s="731"/>
      <c r="Q567" s="731"/>
      <c r="R567" s="730"/>
      <c r="S567" s="730"/>
      <c r="T567" s="723"/>
      <c r="U567" s="724"/>
      <c r="V567" s="725"/>
      <c r="W567" s="725"/>
      <c r="X567" s="723"/>
      <c r="Y567" s="723"/>
      <c r="Z567" s="723"/>
      <c r="AA567" s="726"/>
      <c r="AB567" s="726"/>
      <c r="AC567" s="170"/>
      <c r="AD567" s="586"/>
      <c r="AE567" s="586"/>
      <c r="AF567" s="170"/>
      <c r="AG567" s="170"/>
      <c r="AH567" s="170"/>
      <c r="AI567" s="170"/>
      <c r="AJ567" s="170"/>
      <c r="AK567" s="170"/>
      <c r="AL567" s="170"/>
      <c r="AM567" s="170"/>
      <c r="AN567" s="170"/>
      <c r="AO567" s="170"/>
      <c r="AP567" s="170"/>
      <c r="AQ567" s="170"/>
      <c r="AR567" s="170"/>
      <c r="AS567" s="170"/>
      <c r="AT567" s="170"/>
      <c r="AU567" s="170"/>
      <c r="AV567" s="170"/>
      <c r="AW567" s="170"/>
      <c r="AX567" s="170"/>
    </row>
    <row r="568" spans="1:50" ht="15" x14ac:dyDescent="0.25">
      <c r="A568" s="170"/>
      <c r="B568" s="719"/>
      <c r="C568" s="170"/>
      <c r="D568" s="170"/>
      <c r="E568" s="170"/>
      <c r="F568" s="170"/>
      <c r="G568" s="721"/>
      <c r="H568" s="170"/>
      <c r="I568" s="170"/>
      <c r="J568" s="170"/>
      <c r="K568" s="170"/>
      <c r="L568" s="170"/>
      <c r="M568" s="730"/>
      <c r="N568" s="730"/>
      <c r="O568" s="730"/>
      <c r="P568" s="731"/>
      <c r="Q568" s="731"/>
      <c r="R568" s="730"/>
      <c r="S568" s="730"/>
      <c r="T568" s="723"/>
      <c r="U568" s="724"/>
      <c r="V568" s="725"/>
      <c r="W568" s="725"/>
      <c r="X568" s="723"/>
      <c r="Y568" s="723"/>
      <c r="Z568" s="723"/>
      <c r="AA568" s="726"/>
      <c r="AB568" s="726"/>
      <c r="AC568" s="170"/>
      <c r="AD568" s="586"/>
      <c r="AE568" s="586"/>
      <c r="AF568" s="170"/>
      <c r="AG568" s="170"/>
      <c r="AH568" s="170"/>
      <c r="AI568" s="170"/>
      <c r="AJ568" s="170"/>
      <c r="AK568" s="170"/>
      <c r="AL568" s="170"/>
      <c r="AM568" s="170"/>
      <c r="AN568" s="170"/>
      <c r="AO568" s="170"/>
      <c r="AP568" s="170"/>
      <c r="AQ568" s="170"/>
      <c r="AR568" s="170"/>
      <c r="AS568" s="170"/>
      <c r="AT568" s="170"/>
      <c r="AU568" s="170"/>
      <c r="AV568" s="170"/>
      <c r="AW568" s="170"/>
      <c r="AX568" s="170"/>
    </row>
    <row r="569" spans="1:50" ht="15" x14ac:dyDescent="0.25">
      <c r="A569" s="170"/>
      <c r="B569" s="719"/>
      <c r="C569" s="170"/>
      <c r="D569" s="170"/>
      <c r="E569" s="170"/>
      <c r="F569" s="170"/>
      <c r="G569" s="721"/>
      <c r="H569" s="170"/>
      <c r="I569" s="170"/>
      <c r="J569" s="170"/>
      <c r="K569" s="170"/>
      <c r="L569" s="170"/>
      <c r="M569" s="730"/>
      <c r="N569" s="730"/>
      <c r="O569" s="730"/>
      <c r="P569" s="731"/>
      <c r="Q569" s="731"/>
      <c r="R569" s="730"/>
      <c r="S569" s="730"/>
      <c r="T569" s="723"/>
      <c r="U569" s="724"/>
      <c r="V569" s="725"/>
      <c r="W569" s="725"/>
      <c r="X569" s="723"/>
      <c r="Y569" s="723"/>
      <c r="Z569" s="723"/>
      <c r="AA569" s="726"/>
      <c r="AB569" s="726"/>
      <c r="AC569" s="170"/>
      <c r="AD569" s="586"/>
      <c r="AE569" s="586"/>
      <c r="AF569" s="170"/>
      <c r="AG569" s="170"/>
      <c r="AH569" s="170"/>
      <c r="AI569" s="170"/>
      <c r="AJ569" s="170"/>
      <c r="AK569" s="170"/>
      <c r="AL569" s="170"/>
      <c r="AM569" s="170"/>
      <c r="AN569" s="170"/>
      <c r="AO569" s="170"/>
      <c r="AP569" s="170"/>
      <c r="AQ569" s="170"/>
      <c r="AR569" s="170"/>
      <c r="AS569" s="170"/>
      <c r="AT569" s="170"/>
      <c r="AU569" s="170"/>
      <c r="AV569" s="170"/>
      <c r="AW569" s="170"/>
      <c r="AX569" s="170"/>
    </row>
    <row r="570" spans="1:50" ht="15" x14ac:dyDescent="0.25">
      <c r="A570" s="170"/>
      <c r="B570" s="719"/>
      <c r="C570" s="170"/>
      <c r="D570" s="170"/>
      <c r="E570" s="170"/>
      <c r="F570" s="170"/>
      <c r="G570" s="721"/>
      <c r="H570" s="170"/>
      <c r="I570" s="170"/>
      <c r="J570" s="170"/>
      <c r="K570" s="170"/>
      <c r="L570" s="170"/>
      <c r="M570" s="730"/>
      <c r="N570" s="730"/>
      <c r="O570" s="730"/>
      <c r="P570" s="731"/>
      <c r="Q570" s="731"/>
      <c r="R570" s="730"/>
      <c r="S570" s="730"/>
      <c r="T570" s="723"/>
      <c r="U570" s="724"/>
      <c r="V570" s="725"/>
      <c r="W570" s="725"/>
      <c r="X570" s="723"/>
      <c r="Y570" s="723"/>
      <c r="Z570" s="723"/>
      <c r="AA570" s="726"/>
      <c r="AB570" s="726"/>
      <c r="AC570" s="170"/>
      <c r="AD570" s="586"/>
      <c r="AE570" s="586"/>
      <c r="AF570" s="170"/>
      <c r="AG570" s="170"/>
      <c r="AH570" s="170"/>
      <c r="AI570" s="170"/>
      <c r="AJ570" s="170"/>
      <c r="AK570" s="170"/>
      <c r="AL570" s="170"/>
      <c r="AM570" s="170"/>
      <c r="AN570" s="170"/>
      <c r="AO570" s="170"/>
      <c r="AP570" s="170"/>
      <c r="AQ570" s="170"/>
      <c r="AR570" s="170"/>
      <c r="AS570" s="170"/>
      <c r="AT570" s="170"/>
      <c r="AU570" s="170"/>
      <c r="AV570" s="170"/>
      <c r="AW570" s="170"/>
      <c r="AX570" s="170"/>
    </row>
    <row r="571" spans="1:50" ht="15" x14ac:dyDescent="0.25">
      <c r="A571" s="170"/>
      <c r="B571" s="719"/>
      <c r="C571" s="170"/>
      <c r="D571" s="170"/>
      <c r="E571" s="170"/>
      <c r="F571" s="170"/>
      <c r="G571" s="721"/>
      <c r="H571" s="170"/>
      <c r="I571" s="170"/>
      <c r="J571" s="170"/>
      <c r="K571" s="170"/>
      <c r="L571" s="170"/>
      <c r="M571" s="730"/>
      <c r="N571" s="730"/>
      <c r="O571" s="730"/>
      <c r="P571" s="731"/>
      <c r="Q571" s="731"/>
      <c r="R571" s="730"/>
      <c r="S571" s="730"/>
      <c r="T571" s="723"/>
      <c r="U571" s="724"/>
      <c r="V571" s="725"/>
      <c r="W571" s="725"/>
      <c r="X571" s="723"/>
      <c r="Y571" s="723"/>
      <c r="Z571" s="723"/>
      <c r="AA571" s="726"/>
      <c r="AB571" s="726"/>
      <c r="AC571" s="170"/>
      <c r="AD571" s="586"/>
      <c r="AE571" s="586"/>
      <c r="AF571" s="170"/>
      <c r="AG571" s="170"/>
      <c r="AH571" s="170"/>
      <c r="AI571" s="170"/>
      <c r="AJ571" s="170"/>
      <c r="AK571" s="170"/>
      <c r="AL571" s="170"/>
      <c r="AM571" s="170"/>
      <c r="AN571" s="170"/>
      <c r="AO571" s="170"/>
      <c r="AP571" s="170"/>
      <c r="AQ571" s="170"/>
      <c r="AR571" s="170"/>
      <c r="AS571" s="170"/>
      <c r="AT571" s="170"/>
      <c r="AU571" s="170"/>
      <c r="AV571" s="170"/>
      <c r="AW571" s="170"/>
      <c r="AX571" s="170"/>
    </row>
    <row r="572" spans="1:50" ht="15" x14ac:dyDescent="0.25">
      <c r="A572" s="170"/>
      <c r="B572" s="719"/>
      <c r="C572" s="170"/>
      <c r="D572" s="170"/>
      <c r="E572" s="170"/>
      <c r="F572" s="170"/>
      <c r="G572" s="721"/>
      <c r="H572" s="170"/>
      <c r="I572" s="170"/>
      <c r="J572" s="170"/>
      <c r="K572" s="170"/>
      <c r="L572" s="170"/>
      <c r="M572" s="730"/>
      <c r="N572" s="730"/>
      <c r="O572" s="730"/>
      <c r="P572" s="731"/>
      <c r="Q572" s="731"/>
      <c r="R572" s="730"/>
      <c r="S572" s="730"/>
      <c r="T572" s="723"/>
      <c r="U572" s="724"/>
      <c r="V572" s="725"/>
      <c r="W572" s="725"/>
      <c r="X572" s="723"/>
      <c r="Y572" s="723"/>
      <c r="Z572" s="723"/>
      <c r="AA572" s="726"/>
      <c r="AB572" s="726"/>
      <c r="AC572" s="170"/>
      <c r="AD572" s="586"/>
      <c r="AE572" s="586"/>
      <c r="AF572" s="170"/>
      <c r="AG572" s="170"/>
      <c r="AH572" s="170"/>
      <c r="AI572" s="170"/>
      <c r="AJ572" s="170"/>
      <c r="AK572" s="170"/>
      <c r="AL572" s="170"/>
      <c r="AM572" s="170"/>
      <c r="AN572" s="170"/>
      <c r="AO572" s="170"/>
      <c r="AP572" s="170"/>
      <c r="AQ572" s="170"/>
      <c r="AR572" s="170"/>
      <c r="AS572" s="170"/>
      <c r="AT572" s="170"/>
      <c r="AU572" s="170"/>
      <c r="AV572" s="170"/>
      <c r="AW572" s="170"/>
      <c r="AX572" s="170"/>
    </row>
    <row r="573" spans="1:50" ht="15" x14ac:dyDescent="0.25">
      <c r="A573" s="170"/>
      <c r="B573" s="719"/>
      <c r="C573" s="170"/>
      <c r="D573" s="170"/>
      <c r="E573" s="170"/>
      <c r="F573" s="170"/>
      <c r="G573" s="721"/>
      <c r="H573" s="170"/>
      <c r="I573" s="170"/>
      <c r="J573" s="170"/>
      <c r="K573" s="170"/>
      <c r="L573" s="170"/>
      <c r="M573" s="730"/>
      <c r="N573" s="730"/>
      <c r="O573" s="730"/>
      <c r="P573" s="731"/>
      <c r="Q573" s="731"/>
      <c r="R573" s="730"/>
      <c r="S573" s="730"/>
      <c r="T573" s="723"/>
      <c r="U573" s="724"/>
      <c r="V573" s="725"/>
      <c r="W573" s="725"/>
      <c r="X573" s="723"/>
      <c r="Y573" s="723"/>
      <c r="Z573" s="723"/>
      <c r="AA573" s="726"/>
      <c r="AB573" s="726"/>
      <c r="AC573" s="170"/>
      <c r="AD573" s="586"/>
      <c r="AE573" s="586"/>
      <c r="AF573" s="170"/>
      <c r="AG573" s="170"/>
      <c r="AH573" s="170"/>
      <c r="AI573" s="170"/>
      <c r="AJ573" s="170"/>
      <c r="AK573" s="170"/>
      <c r="AL573" s="170"/>
      <c r="AM573" s="170"/>
      <c r="AN573" s="170"/>
      <c r="AO573" s="170"/>
      <c r="AP573" s="170"/>
      <c r="AQ573" s="170"/>
      <c r="AR573" s="170"/>
      <c r="AS573" s="170"/>
      <c r="AT573" s="170"/>
      <c r="AU573" s="170"/>
      <c r="AV573" s="170"/>
      <c r="AW573" s="170"/>
      <c r="AX573" s="170"/>
    </row>
    <row r="574" spans="1:50" ht="15" x14ac:dyDescent="0.25">
      <c r="A574" s="170"/>
      <c r="B574" s="719"/>
      <c r="C574" s="170"/>
      <c r="D574" s="170"/>
      <c r="E574" s="170"/>
      <c r="F574" s="170"/>
      <c r="G574" s="721"/>
      <c r="H574" s="170"/>
      <c r="I574" s="170"/>
      <c r="J574" s="170"/>
      <c r="K574" s="170"/>
      <c r="L574" s="170"/>
      <c r="M574" s="730"/>
      <c r="N574" s="730"/>
      <c r="O574" s="730"/>
      <c r="P574" s="731"/>
      <c r="Q574" s="731"/>
      <c r="R574" s="730"/>
      <c r="S574" s="730"/>
      <c r="T574" s="723"/>
      <c r="U574" s="724"/>
      <c r="V574" s="725"/>
      <c r="W574" s="725"/>
      <c r="X574" s="723"/>
      <c r="Y574" s="723"/>
      <c r="Z574" s="723"/>
      <c r="AA574" s="726"/>
      <c r="AB574" s="726"/>
      <c r="AC574" s="170"/>
      <c r="AD574" s="586"/>
      <c r="AE574" s="586"/>
      <c r="AF574" s="170"/>
      <c r="AG574" s="170"/>
      <c r="AH574" s="170"/>
      <c r="AI574" s="170"/>
      <c r="AJ574" s="170"/>
      <c r="AK574" s="170"/>
      <c r="AL574" s="170"/>
      <c r="AM574" s="170"/>
      <c r="AN574" s="170"/>
      <c r="AO574" s="170"/>
      <c r="AP574" s="170"/>
      <c r="AQ574" s="170"/>
      <c r="AR574" s="170"/>
      <c r="AS574" s="170"/>
      <c r="AT574" s="170"/>
      <c r="AU574" s="170"/>
      <c r="AV574" s="170"/>
      <c r="AW574" s="170"/>
      <c r="AX574" s="170"/>
    </row>
    <row r="575" spans="1:50" ht="15" x14ac:dyDescent="0.25">
      <c r="A575" s="170"/>
      <c r="B575" s="719"/>
      <c r="C575" s="170"/>
      <c r="D575" s="170"/>
      <c r="E575" s="170"/>
      <c r="F575" s="170"/>
      <c r="G575" s="721"/>
      <c r="H575" s="170"/>
      <c r="I575" s="170"/>
      <c r="J575" s="170"/>
      <c r="K575" s="170"/>
      <c r="L575" s="170"/>
      <c r="M575" s="730"/>
      <c r="N575" s="730"/>
      <c r="O575" s="730"/>
      <c r="P575" s="731"/>
      <c r="Q575" s="731"/>
      <c r="R575" s="730"/>
      <c r="S575" s="730"/>
      <c r="T575" s="723"/>
      <c r="U575" s="724"/>
      <c r="V575" s="725"/>
      <c r="W575" s="725"/>
      <c r="X575" s="723"/>
      <c r="Y575" s="723"/>
      <c r="Z575" s="723"/>
      <c r="AA575" s="726"/>
      <c r="AB575" s="726"/>
      <c r="AC575" s="170"/>
      <c r="AD575" s="586"/>
      <c r="AE575" s="586"/>
      <c r="AF575" s="170"/>
      <c r="AG575" s="170"/>
      <c r="AH575" s="170"/>
      <c r="AI575" s="170"/>
      <c r="AJ575" s="170"/>
      <c r="AK575" s="170"/>
      <c r="AL575" s="170"/>
      <c r="AM575" s="170"/>
      <c r="AN575" s="170"/>
      <c r="AO575" s="170"/>
      <c r="AP575" s="170"/>
      <c r="AQ575" s="170"/>
      <c r="AR575" s="170"/>
      <c r="AS575" s="170"/>
      <c r="AT575" s="170"/>
      <c r="AU575" s="170"/>
      <c r="AV575" s="170"/>
      <c r="AW575" s="170"/>
      <c r="AX575" s="170"/>
    </row>
    <row r="576" spans="1:50" ht="15" x14ac:dyDescent="0.25">
      <c r="A576" s="170"/>
      <c r="B576" s="719"/>
      <c r="C576" s="170"/>
      <c r="D576" s="170"/>
      <c r="E576" s="170"/>
      <c r="F576" s="170"/>
      <c r="G576" s="721"/>
      <c r="H576" s="170"/>
      <c r="I576" s="170"/>
      <c r="J576" s="170"/>
      <c r="K576" s="170"/>
      <c r="L576" s="170"/>
      <c r="M576" s="730"/>
      <c r="N576" s="730"/>
      <c r="O576" s="730"/>
      <c r="P576" s="731"/>
      <c r="Q576" s="731"/>
      <c r="R576" s="730"/>
      <c r="S576" s="730"/>
      <c r="T576" s="723"/>
      <c r="U576" s="724"/>
      <c r="V576" s="725"/>
      <c r="W576" s="725"/>
      <c r="X576" s="723"/>
      <c r="Y576" s="723"/>
      <c r="Z576" s="723"/>
      <c r="AA576" s="726"/>
      <c r="AB576" s="726"/>
      <c r="AC576" s="170"/>
      <c r="AD576" s="586"/>
      <c r="AE576" s="586"/>
      <c r="AF576" s="170"/>
      <c r="AG576" s="170"/>
      <c r="AH576" s="170"/>
      <c r="AI576" s="170"/>
      <c r="AJ576" s="170"/>
      <c r="AK576" s="170"/>
      <c r="AL576" s="170"/>
      <c r="AM576" s="170"/>
      <c r="AN576" s="170"/>
      <c r="AO576" s="170"/>
      <c r="AP576" s="170"/>
      <c r="AQ576" s="170"/>
      <c r="AR576" s="170"/>
      <c r="AS576" s="170"/>
      <c r="AT576" s="170"/>
      <c r="AU576" s="170"/>
      <c r="AV576" s="170"/>
      <c r="AW576" s="170"/>
      <c r="AX576" s="170"/>
    </row>
    <row r="577" spans="1:50" ht="15" x14ac:dyDescent="0.25">
      <c r="A577" s="170"/>
      <c r="B577" s="719"/>
      <c r="C577" s="170"/>
      <c r="D577" s="170"/>
      <c r="E577" s="170"/>
      <c r="F577" s="170"/>
      <c r="G577" s="721"/>
      <c r="H577" s="170"/>
      <c r="I577" s="170"/>
      <c r="J577" s="170"/>
      <c r="K577" s="170"/>
      <c r="L577" s="170"/>
      <c r="M577" s="730"/>
      <c r="N577" s="730"/>
      <c r="O577" s="730"/>
      <c r="P577" s="731"/>
      <c r="Q577" s="731"/>
      <c r="R577" s="730"/>
      <c r="S577" s="730"/>
      <c r="T577" s="723"/>
      <c r="U577" s="724"/>
      <c r="V577" s="725"/>
      <c r="W577" s="725"/>
      <c r="X577" s="723"/>
      <c r="Y577" s="723"/>
      <c r="Z577" s="723"/>
      <c r="AA577" s="726"/>
      <c r="AB577" s="726"/>
      <c r="AC577" s="170"/>
      <c r="AD577" s="586"/>
      <c r="AE577" s="586"/>
      <c r="AF577" s="170"/>
      <c r="AG577" s="170"/>
      <c r="AH577" s="170"/>
      <c r="AI577" s="170"/>
      <c r="AJ577" s="170"/>
      <c r="AK577" s="170"/>
      <c r="AL577" s="170"/>
      <c r="AM577" s="170"/>
      <c r="AN577" s="170"/>
      <c r="AO577" s="170"/>
      <c r="AP577" s="170"/>
      <c r="AQ577" s="170"/>
      <c r="AR577" s="170"/>
      <c r="AS577" s="170"/>
      <c r="AT577" s="170"/>
      <c r="AU577" s="170"/>
      <c r="AV577" s="170"/>
      <c r="AW577" s="170"/>
      <c r="AX577" s="170"/>
    </row>
    <row r="578" spans="1:50" ht="15" x14ac:dyDescent="0.25">
      <c r="A578" s="170"/>
      <c r="B578" s="719"/>
      <c r="C578" s="170"/>
      <c r="D578" s="170"/>
      <c r="E578" s="170"/>
      <c r="F578" s="170"/>
      <c r="G578" s="721"/>
      <c r="H578" s="170"/>
      <c r="I578" s="170"/>
      <c r="J578" s="170"/>
      <c r="K578" s="170"/>
      <c r="L578" s="170"/>
      <c r="M578" s="730"/>
      <c r="N578" s="730"/>
      <c r="O578" s="730"/>
      <c r="P578" s="731"/>
      <c r="Q578" s="731"/>
      <c r="R578" s="730"/>
      <c r="S578" s="730"/>
      <c r="T578" s="723"/>
      <c r="U578" s="724"/>
      <c r="V578" s="725"/>
      <c r="W578" s="725"/>
      <c r="X578" s="723"/>
      <c r="Y578" s="723"/>
      <c r="Z578" s="723"/>
      <c r="AA578" s="726"/>
      <c r="AB578" s="726"/>
      <c r="AC578" s="170"/>
      <c r="AD578" s="586"/>
      <c r="AE578" s="586"/>
      <c r="AF578" s="170"/>
      <c r="AG578" s="170"/>
      <c r="AH578" s="170"/>
      <c r="AI578" s="170"/>
      <c r="AJ578" s="170"/>
      <c r="AK578" s="170"/>
      <c r="AL578" s="170"/>
      <c r="AM578" s="170"/>
      <c r="AN578" s="170"/>
      <c r="AO578" s="170"/>
      <c r="AP578" s="170"/>
      <c r="AQ578" s="170"/>
      <c r="AR578" s="170"/>
      <c r="AS578" s="170"/>
      <c r="AT578" s="170"/>
      <c r="AU578" s="170"/>
      <c r="AV578" s="170"/>
      <c r="AW578" s="170"/>
      <c r="AX578" s="170"/>
    </row>
    <row r="579" spans="1:50" ht="15" x14ac:dyDescent="0.25">
      <c r="A579" s="170"/>
      <c r="B579" s="719"/>
      <c r="C579" s="170"/>
      <c r="D579" s="170"/>
      <c r="E579" s="170"/>
      <c r="F579" s="170"/>
      <c r="G579" s="721"/>
      <c r="H579" s="170"/>
      <c r="I579" s="170"/>
      <c r="J579" s="170"/>
      <c r="K579" s="170"/>
      <c r="L579" s="170"/>
      <c r="M579" s="730"/>
      <c r="N579" s="730"/>
      <c r="O579" s="730"/>
      <c r="P579" s="731"/>
      <c r="Q579" s="731"/>
      <c r="R579" s="730"/>
      <c r="S579" s="730"/>
      <c r="T579" s="723"/>
      <c r="U579" s="724"/>
      <c r="V579" s="725"/>
      <c r="W579" s="725"/>
      <c r="X579" s="723"/>
      <c r="Y579" s="723"/>
      <c r="Z579" s="723"/>
      <c r="AA579" s="726"/>
      <c r="AB579" s="726"/>
      <c r="AC579" s="170"/>
      <c r="AD579" s="586"/>
      <c r="AE579" s="586"/>
      <c r="AF579" s="170"/>
      <c r="AG579" s="170"/>
      <c r="AH579" s="170"/>
      <c r="AI579" s="170"/>
      <c r="AJ579" s="170"/>
      <c r="AK579" s="170"/>
      <c r="AL579" s="170"/>
      <c r="AM579" s="170"/>
      <c r="AN579" s="170"/>
      <c r="AO579" s="170"/>
      <c r="AP579" s="170"/>
      <c r="AQ579" s="170"/>
      <c r="AR579" s="170"/>
      <c r="AS579" s="170"/>
      <c r="AT579" s="170"/>
      <c r="AU579" s="170"/>
      <c r="AV579" s="170"/>
      <c r="AW579" s="170"/>
      <c r="AX579" s="170"/>
    </row>
    <row r="580" spans="1:50" ht="15" x14ac:dyDescent="0.25">
      <c r="A580" s="170"/>
      <c r="B580" s="719"/>
      <c r="C580" s="170"/>
      <c r="D580" s="170"/>
      <c r="E580" s="170"/>
      <c r="F580" s="170"/>
      <c r="G580" s="721"/>
      <c r="H580" s="170"/>
      <c r="I580" s="170"/>
      <c r="J580" s="170"/>
      <c r="K580" s="170"/>
      <c r="L580" s="170"/>
      <c r="M580" s="730"/>
      <c r="N580" s="730"/>
      <c r="O580" s="730"/>
      <c r="P580" s="731"/>
      <c r="Q580" s="731"/>
      <c r="R580" s="730"/>
      <c r="S580" s="730"/>
      <c r="T580" s="723"/>
      <c r="U580" s="724"/>
      <c r="V580" s="725"/>
      <c r="W580" s="725"/>
      <c r="X580" s="723"/>
      <c r="Y580" s="723"/>
      <c r="Z580" s="723"/>
      <c r="AA580" s="726"/>
      <c r="AB580" s="726"/>
      <c r="AC580" s="170"/>
      <c r="AD580" s="586"/>
      <c r="AE580" s="586"/>
      <c r="AF580" s="170"/>
      <c r="AG580" s="170"/>
      <c r="AH580" s="170"/>
      <c r="AI580" s="170"/>
      <c r="AJ580" s="170"/>
      <c r="AK580" s="170"/>
      <c r="AL580" s="170"/>
      <c r="AM580" s="170"/>
      <c r="AN580" s="170"/>
      <c r="AO580" s="170"/>
      <c r="AP580" s="170"/>
      <c r="AQ580" s="170"/>
      <c r="AR580" s="170"/>
      <c r="AS580" s="170"/>
      <c r="AT580" s="170"/>
      <c r="AU580" s="170"/>
      <c r="AV580" s="170"/>
      <c r="AW580" s="170"/>
      <c r="AX580" s="170"/>
    </row>
    <row r="581" spans="1:50" ht="15" x14ac:dyDescent="0.25">
      <c r="A581" s="170"/>
      <c r="B581" s="719"/>
      <c r="C581" s="170"/>
      <c r="D581" s="170"/>
      <c r="E581" s="170"/>
      <c r="F581" s="170"/>
      <c r="G581" s="721"/>
      <c r="H581" s="170"/>
      <c r="I581" s="170"/>
      <c r="J581" s="170"/>
      <c r="K581" s="170"/>
      <c r="L581" s="170"/>
      <c r="M581" s="730"/>
      <c r="N581" s="730"/>
      <c r="O581" s="730"/>
      <c r="P581" s="731"/>
      <c r="Q581" s="731"/>
      <c r="R581" s="730"/>
      <c r="S581" s="730"/>
      <c r="T581" s="723"/>
      <c r="U581" s="724"/>
      <c r="V581" s="725"/>
      <c r="W581" s="725"/>
      <c r="X581" s="723"/>
      <c r="Y581" s="723"/>
      <c r="Z581" s="723"/>
      <c r="AA581" s="726"/>
      <c r="AB581" s="726"/>
      <c r="AC581" s="170"/>
      <c r="AD581" s="586"/>
      <c r="AE581" s="586"/>
      <c r="AF581" s="170"/>
      <c r="AG581" s="170"/>
      <c r="AH581" s="170"/>
      <c r="AI581" s="170"/>
      <c r="AJ581" s="170"/>
      <c r="AK581" s="170"/>
      <c r="AL581" s="170"/>
      <c r="AM581" s="170"/>
      <c r="AN581" s="170"/>
      <c r="AO581" s="170"/>
      <c r="AP581" s="170"/>
      <c r="AQ581" s="170"/>
      <c r="AR581" s="170"/>
      <c r="AS581" s="170"/>
      <c r="AT581" s="170"/>
      <c r="AU581" s="170"/>
      <c r="AV581" s="170"/>
      <c r="AW581" s="170"/>
      <c r="AX581" s="170"/>
    </row>
    <row r="582" spans="1:50" ht="15" x14ac:dyDescent="0.25">
      <c r="A582" s="170"/>
      <c r="B582" s="719"/>
      <c r="C582" s="170"/>
      <c r="D582" s="170"/>
      <c r="E582" s="170"/>
      <c r="F582" s="170"/>
      <c r="G582" s="721"/>
      <c r="H582" s="170"/>
      <c r="I582" s="170"/>
      <c r="J582" s="170"/>
      <c r="K582" s="170"/>
      <c r="L582" s="170"/>
      <c r="M582" s="730"/>
      <c r="N582" s="730"/>
      <c r="O582" s="730"/>
      <c r="P582" s="731"/>
      <c r="Q582" s="731"/>
      <c r="R582" s="730"/>
      <c r="S582" s="730"/>
      <c r="T582" s="723"/>
      <c r="U582" s="724"/>
      <c r="V582" s="725"/>
      <c r="W582" s="725"/>
      <c r="X582" s="723"/>
      <c r="Y582" s="723"/>
      <c r="Z582" s="723"/>
      <c r="AA582" s="726"/>
      <c r="AB582" s="726"/>
      <c r="AC582" s="170"/>
      <c r="AD582" s="586"/>
      <c r="AE582" s="586"/>
      <c r="AF582" s="170"/>
      <c r="AG582" s="170"/>
      <c r="AH582" s="170"/>
      <c r="AI582" s="170"/>
      <c r="AJ582" s="170"/>
      <c r="AK582" s="170"/>
      <c r="AL582" s="170"/>
      <c r="AM582" s="170"/>
      <c r="AN582" s="170"/>
      <c r="AO582" s="170"/>
      <c r="AP582" s="170"/>
      <c r="AQ582" s="170"/>
      <c r="AR582" s="170"/>
      <c r="AS582" s="170"/>
      <c r="AT582" s="170"/>
      <c r="AU582" s="170"/>
      <c r="AV582" s="170"/>
      <c r="AW582" s="170"/>
      <c r="AX582" s="170"/>
    </row>
    <row r="583" spans="1:50" ht="15" x14ac:dyDescent="0.25">
      <c r="A583" s="170"/>
      <c r="B583" s="719"/>
      <c r="C583" s="170"/>
      <c r="D583" s="170"/>
      <c r="E583" s="170"/>
      <c r="F583" s="170"/>
      <c r="G583" s="721"/>
      <c r="H583" s="170"/>
      <c r="I583" s="170"/>
      <c r="J583" s="170"/>
      <c r="K583" s="170"/>
      <c r="L583" s="170"/>
      <c r="M583" s="730"/>
      <c r="N583" s="730"/>
      <c r="O583" s="730"/>
      <c r="P583" s="731"/>
      <c r="Q583" s="731"/>
      <c r="R583" s="730"/>
      <c r="S583" s="730"/>
      <c r="T583" s="723"/>
      <c r="U583" s="724"/>
      <c r="V583" s="725"/>
      <c r="W583" s="725"/>
      <c r="X583" s="723"/>
      <c r="Y583" s="723"/>
      <c r="Z583" s="723"/>
      <c r="AA583" s="726"/>
      <c r="AB583" s="726"/>
      <c r="AC583" s="170"/>
      <c r="AD583" s="586"/>
      <c r="AE583" s="586"/>
      <c r="AF583" s="170"/>
      <c r="AG583" s="170"/>
      <c r="AH583" s="170"/>
      <c r="AI583" s="170"/>
      <c r="AJ583" s="170"/>
      <c r="AK583" s="170"/>
      <c r="AL583" s="170"/>
      <c r="AM583" s="170"/>
      <c r="AN583" s="170"/>
      <c r="AO583" s="170"/>
      <c r="AP583" s="170"/>
      <c r="AQ583" s="170"/>
      <c r="AR583" s="170"/>
      <c r="AS583" s="170"/>
      <c r="AT583" s="170"/>
      <c r="AU583" s="170"/>
      <c r="AV583" s="170"/>
      <c r="AW583" s="170"/>
      <c r="AX583" s="170"/>
    </row>
    <row r="584" spans="1:50" ht="15" x14ac:dyDescent="0.25">
      <c r="A584" s="170"/>
      <c r="B584" s="719"/>
      <c r="C584" s="170"/>
      <c r="D584" s="170"/>
      <c r="E584" s="170"/>
      <c r="F584" s="170"/>
      <c r="G584" s="721"/>
      <c r="H584" s="170"/>
      <c r="I584" s="170"/>
      <c r="J584" s="170"/>
      <c r="K584" s="170"/>
      <c r="L584" s="170"/>
      <c r="M584" s="730"/>
      <c r="N584" s="730"/>
      <c r="O584" s="730"/>
      <c r="P584" s="731"/>
      <c r="Q584" s="731"/>
      <c r="R584" s="730"/>
      <c r="S584" s="730"/>
      <c r="T584" s="723"/>
      <c r="U584" s="724"/>
      <c r="V584" s="725"/>
      <c r="W584" s="725"/>
      <c r="X584" s="723"/>
      <c r="Y584" s="723"/>
      <c r="Z584" s="723"/>
      <c r="AA584" s="726"/>
      <c r="AB584" s="726"/>
      <c r="AC584" s="170"/>
      <c r="AD584" s="586"/>
      <c r="AE584" s="586"/>
      <c r="AF584" s="170"/>
      <c r="AG584" s="170"/>
      <c r="AH584" s="170"/>
      <c r="AI584" s="170"/>
      <c r="AJ584" s="170"/>
      <c r="AK584" s="170"/>
      <c r="AL584" s="170"/>
      <c r="AM584" s="170"/>
      <c r="AN584" s="170"/>
      <c r="AO584" s="170"/>
      <c r="AP584" s="170"/>
      <c r="AQ584" s="170"/>
      <c r="AR584" s="170"/>
      <c r="AS584" s="170"/>
      <c r="AT584" s="170"/>
      <c r="AU584" s="170"/>
      <c r="AV584" s="170"/>
      <c r="AW584" s="170"/>
      <c r="AX584" s="170"/>
    </row>
    <row r="585" spans="1:50" ht="15" x14ac:dyDescent="0.25">
      <c r="A585" s="170"/>
      <c r="B585" s="719"/>
      <c r="C585" s="170"/>
      <c r="D585" s="170"/>
      <c r="E585" s="170"/>
      <c r="F585" s="170"/>
      <c r="G585" s="721"/>
      <c r="H585" s="170"/>
      <c r="I585" s="170"/>
      <c r="J585" s="170"/>
      <c r="K585" s="170"/>
      <c r="L585" s="170"/>
      <c r="M585" s="730"/>
      <c r="N585" s="730"/>
      <c r="O585" s="730"/>
      <c r="P585" s="731"/>
      <c r="Q585" s="731"/>
      <c r="R585" s="730"/>
      <c r="S585" s="730"/>
      <c r="T585" s="723"/>
      <c r="U585" s="724"/>
      <c r="V585" s="725"/>
      <c r="W585" s="725"/>
      <c r="X585" s="723"/>
      <c r="Y585" s="723"/>
      <c r="Z585" s="723"/>
      <c r="AA585" s="726"/>
      <c r="AB585" s="726"/>
      <c r="AC585" s="170"/>
      <c r="AD585" s="586"/>
      <c r="AE585" s="586"/>
      <c r="AF585" s="170"/>
      <c r="AG585" s="170"/>
      <c r="AH585" s="170"/>
      <c r="AI585" s="170"/>
      <c r="AJ585" s="170"/>
      <c r="AK585" s="170"/>
      <c r="AL585" s="170"/>
      <c r="AM585" s="170"/>
      <c r="AN585" s="170"/>
      <c r="AO585" s="170"/>
      <c r="AP585" s="170"/>
      <c r="AQ585" s="170"/>
      <c r="AR585" s="170"/>
      <c r="AS585" s="170"/>
      <c r="AT585" s="170"/>
      <c r="AU585" s="170"/>
      <c r="AV585" s="170"/>
      <c r="AW585" s="170"/>
      <c r="AX585" s="170"/>
    </row>
    <row r="586" spans="1:50" ht="15" x14ac:dyDescent="0.25">
      <c r="A586" s="170"/>
      <c r="B586" s="719"/>
      <c r="C586" s="170"/>
      <c r="D586" s="170"/>
      <c r="E586" s="170"/>
      <c r="F586" s="170"/>
      <c r="G586" s="721"/>
      <c r="H586" s="170"/>
      <c r="I586" s="170"/>
      <c r="J586" s="170"/>
      <c r="K586" s="170"/>
      <c r="L586" s="170"/>
      <c r="M586" s="730"/>
      <c r="N586" s="730"/>
      <c r="O586" s="730"/>
      <c r="P586" s="731"/>
      <c r="Q586" s="731"/>
      <c r="R586" s="730"/>
      <c r="S586" s="730"/>
      <c r="T586" s="723"/>
      <c r="U586" s="724"/>
      <c r="V586" s="725"/>
      <c r="W586" s="725"/>
      <c r="X586" s="723"/>
      <c r="Y586" s="723"/>
      <c r="Z586" s="723"/>
      <c r="AA586" s="726"/>
      <c r="AB586" s="726"/>
      <c r="AC586" s="170"/>
      <c r="AD586" s="586"/>
      <c r="AE586" s="586"/>
      <c r="AF586" s="170"/>
      <c r="AG586" s="170"/>
      <c r="AH586" s="170"/>
      <c r="AI586" s="170"/>
      <c r="AJ586" s="170"/>
      <c r="AK586" s="170"/>
      <c r="AL586" s="170"/>
      <c r="AM586" s="170"/>
      <c r="AN586" s="170"/>
      <c r="AO586" s="170"/>
      <c r="AP586" s="170"/>
      <c r="AQ586" s="170"/>
      <c r="AR586" s="170"/>
      <c r="AS586" s="170"/>
      <c r="AT586" s="170"/>
      <c r="AU586" s="170"/>
      <c r="AV586" s="170"/>
      <c r="AW586" s="170"/>
      <c r="AX586" s="170"/>
    </row>
    <row r="587" spans="1:50" ht="15" x14ac:dyDescent="0.25">
      <c r="A587" s="170"/>
      <c r="B587" s="719"/>
      <c r="C587" s="170"/>
      <c r="D587" s="170"/>
      <c r="E587" s="170"/>
      <c r="F587" s="170"/>
      <c r="G587" s="721"/>
      <c r="H587" s="170"/>
      <c r="I587" s="170"/>
      <c r="J587" s="170"/>
      <c r="K587" s="170"/>
      <c r="L587" s="170"/>
      <c r="M587" s="730"/>
      <c r="N587" s="730"/>
      <c r="O587" s="730"/>
      <c r="P587" s="731"/>
      <c r="Q587" s="731"/>
      <c r="R587" s="730"/>
      <c r="S587" s="730"/>
      <c r="T587" s="723"/>
      <c r="U587" s="724"/>
      <c r="V587" s="725"/>
      <c r="W587" s="725"/>
      <c r="X587" s="723"/>
      <c r="Y587" s="723"/>
      <c r="Z587" s="723"/>
      <c r="AA587" s="726"/>
      <c r="AB587" s="726"/>
      <c r="AC587" s="170"/>
      <c r="AD587" s="586"/>
      <c r="AE587" s="586"/>
      <c r="AF587" s="170"/>
      <c r="AG587" s="170"/>
      <c r="AH587" s="170"/>
      <c r="AI587" s="170"/>
      <c r="AJ587" s="170"/>
      <c r="AK587" s="170"/>
      <c r="AL587" s="170"/>
      <c r="AM587" s="170"/>
      <c r="AN587" s="170"/>
      <c r="AO587" s="170"/>
      <c r="AP587" s="170"/>
      <c r="AQ587" s="170"/>
      <c r="AR587" s="170"/>
      <c r="AS587" s="170"/>
      <c r="AT587" s="170"/>
      <c r="AU587" s="170"/>
      <c r="AV587" s="170"/>
      <c r="AW587" s="170"/>
      <c r="AX587" s="170"/>
    </row>
    <row r="588" spans="1:50" ht="15" x14ac:dyDescent="0.25">
      <c r="A588" s="170"/>
      <c r="B588" s="719"/>
      <c r="C588" s="170"/>
      <c r="D588" s="170"/>
      <c r="E588" s="170"/>
      <c r="F588" s="170"/>
      <c r="G588" s="721"/>
      <c r="H588" s="170"/>
      <c r="I588" s="170"/>
      <c r="J588" s="170"/>
      <c r="K588" s="170"/>
      <c r="L588" s="170"/>
      <c r="M588" s="730"/>
      <c r="N588" s="730"/>
      <c r="O588" s="730"/>
      <c r="P588" s="731"/>
      <c r="Q588" s="731"/>
      <c r="R588" s="730"/>
      <c r="S588" s="730"/>
      <c r="T588" s="723"/>
      <c r="U588" s="724"/>
      <c r="V588" s="725"/>
      <c r="W588" s="725"/>
      <c r="X588" s="723"/>
      <c r="Y588" s="723"/>
      <c r="Z588" s="723"/>
      <c r="AA588" s="726"/>
      <c r="AB588" s="726"/>
      <c r="AC588" s="170"/>
      <c r="AD588" s="586"/>
      <c r="AE588" s="586"/>
      <c r="AF588" s="170"/>
      <c r="AG588" s="170"/>
      <c r="AH588" s="170"/>
      <c r="AI588" s="170"/>
      <c r="AJ588" s="170"/>
      <c r="AK588" s="170"/>
      <c r="AL588" s="170"/>
      <c r="AM588" s="170"/>
      <c r="AN588" s="170"/>
      <c r="AO588" s="170"/>
      <c r="AP588" s="170"/>
      <c r="AQ588" s="170"/>
      <c r="AR588" s="170"/>
      <c r="AS588" s="170"/>
      <c r="AT588" s="170"/>
      <c r="AU588" s="170"/>
      <c r="AV588" s="170"/>
      <c r="AW588" s="170"/>
      <c r="AX588" s="170"/>
    </row>
    <row r="589" spans="1:50" ht="15" x14ac:dyDescent="0.25">
      <c r="A589" s="170"/>
      <c r="B589" s="719"/>
      <c r="C589" s="170"/>
      <c r="D589" s="170"/>
      <c r="E589" s="170"/>
      <c r="F589" s="170"/>
      <c r="G589" s="721"/>
      <c r="H589" s="170"/>
      <c r="I589" s="170"/>
      <c r="J589" s="170"/>
      <c r="K589" s="170"/>
      <c r="L589" s="170"/>
      <c r="M589" s="730"/>
      <c r="N589" s="730"/>
      <c r="O589" s="730"/>
      <c r="P589" s="731"/>
      <c r="Q589" s="731"/>
      <c r="R589" s="730"/>
      <c r="S589" s="730"/>
      <c r="T589" s="723"/>
      <c r="U589" s="724"/>
      <c r="V589" s="725"/>
      <c r="W589" s="725"/>
      <c r="X589" s="723"/>
      <c r="Y589" s="723"/>
      <c r="Z589" s="723"/>
      <c r="AA589" s="726"/>
      <c r="AB589" s="726"/>
      <c r="AC589" s="170"/>
      <c r="AD589" s="586"/>
      <c r="AE589" s="586"/>
      <c r="AF589" s="170"/>
      <c r="AG589" s="170"/>
      <c r="AH589" s="170"/>
      <c r="AI589" s="170"/>
      <c r="AJ589" s="170"/>
      <c r="AK589" s="170"/>
      <c r="AL589" s="170"/>
      <c r="AM589" s="170"/>
      <c r="AN589" s="170"/>
      <c r="AO589" s="170"/>
      <c r="AP589" s="170"/>
      <c r="AQ589" s="170"/>
      <c r="AR589" s="170"/>
      <c r="AS589" s="170"/>
      <c r="AT589" s="170"/>
      <c r="AU589" s="170"/>
      <c r="AV589" s="170"/>
      <c r="AW589" s="170"/>
      <c r="AX589" s="170"/>
    </row>
    <row r="590" spans="1:50" ht="15" x14ac:dyDescent="0.25">
      <c r="A590" s="170"/>
      <c r="B590" s="719"/>
      <c r="C590" s="170"/>
      <c r="D590" s="170"/>
      <c r="E590" s="170"/>
      <c r="F590" s="170"/>
      <c r="G590" s="721"/>
      <c r="H590" s="170"/>
      <c r="I590" s="170"/>
      <c r="J590" s="170"/>
      <c r="K590" s="170"/>
      <c r="L590" s="170"/>
      <c r="M590" s="730"/>
      <c r="N590" s="730"/>
      <c r="O590" s="730"/>
      <c r="P590" s="731"/>
      <c r="Q590" s="731"/>
      <c r="R590" s="730"/>
      <c r="S590" s="730"/>
      <c r="T590" s="723"/>
      <c r="U590" s="724"/>
      <c r="V590" s="725"/>
      <c r="W590" s="725"/>
      <c r="X590" s="723"/>
      <c r="Y590" s="723"/>
      <c r="Z590" s="723"/>
      <c r="AA590" s="726"/>
      <c r="AB590" s="726"/>
      <c r="AC590" s="170"/>
      <c r="AD590" s="586"/>
      <c r="AE590" s="586"/>
      <c r="AF590" s="170"/>
      <c r="AG590" s="170"/>
      <c r="AH590" s="170"/>
      <c r="AI590" s="170"/>
      <c r="AJ590" s="170"/>
      <c r="AK590" s="170"/>
      <c r="AL590" s="170"/>
      <c r="AM590" s="170"/>
      <c r="AN590" s="170"/>
      <c r="AO590" s="170"/>
      <c r="AP590" s="170"/>
      <c r="AQ590" s="170"/>
      <c r="AR590" s="170"/>
      <c r="AS590" s="170"/>
      <c r="AT590" s="170"/>
      <c r="AU590" s="170"/>
      <c r="AV590" s="170"/>
      <c r="AW590" s="170"/>
      <c r="AX590" s="170"/>
    </row>
    <row r="591" spans="1:50" ht="15" x14ac:dyDescent="0.25">
      <c r="A591" s="170"/>
      <c r="B591" s="719"/>
      <c r="C591" s="170"/>
      <c r="D591" s="170"/>
      <c r="E591" s="170"/>
      <c r="F591" s="170"/>
      <c r="G591" s="721"/>
      <c r="H591" s="170"/>
      <c r="I591" s="170"/>
      <c r="J591" s="170"/>
      <c r="K591" s="170"/>
      <c r="L591" s="170"/>
      <c r="M591" s="730"/>
      <c r="N591" s="730"/>
      <c r="O591" s="730"/>
      <c r="P591" s="731"/>
      <c r="Q591" s="731"/>
      <c r="R591" s="730"/>
      <c r="S591" s="730"/>
      <c r="T591" s="723"/>
      <c r="U591" s="724"/>
      <c r="V591" s="725"/>
      <c r="W591" s="725"/>
      <c r="X591" s="723"/>
      <c r="Y591" s="723"/>
      <c r="Z591" s="723"/>
      <c r="AA591" s="726"/>
      <c r="AB591" s="726"/>
      <c r="AC591" s="170"/>
      <c r="AD591" s="586"/>
      <c r="AE591" s="586"/>
      <c r="AF591" s="170"/>
      <c r="AG591" s="170"/>
      <c r="AH591" s="170"/>
      <c r="AI591" s="170"/>
      <c r="AJ591" s="170"/>
      <c r="AK591" s="170"/>
      <c r="AL591" s="170"/>
      <c r="AM591" s="170"/>
      <c r="AN591" s="170"/>
      <c r="AO591" s="170"/>
      <c r="AP591" s="170"/>
      <c r="AQ591" s="170"/>
      <c r="AR591" s="170"/>
      <c r="AS591" s="170"/>
      <c r="AT591" s="170"/>
      <c r="AU591" s="170"/>
      <c r="AV591" s="170"/>
      <c r="AW591" s="170"/>
      <c r="AX591" s="170"/>
    </row>
    <row r="592" spans="1:50" ht="15" x14ac:dyDescent="0.25">
      <c r="A592" s="170"/>
      <c r="B592" s="719"/>
      <c r="C592" s="170"/>
      <c r="D592" s="170"/>
      <c r="E592" s="170"/>
      <c r="F592" s="170"/>
      <c r="G592" s="721"/>
      <c r="H592" s="170"/>
      <c r="I592" s="170"/>
      <c r="J592" s="170"/>
      <c r="K592" s="170"/>
      <c r="L592" s="170"/>
      <c r="M592" s="730"/>
      <c r="N592" s="730"/>
      <c r="O592" s="730"/>
      <c r="P592" s="731"/>
      <c r="Q592" s="731"/>
      <c r="R592" s="730"/>
      <c r="S592" s="730"/>
      <c r="T592" s="723"/>
      <c r="U592" s="724"/>
      <c r="V592" s="725"/>
      <c r="W592" s="725"/>
      <c r="X592" s="723"/>
      <c r="Y592" s="723"/>
      <c r="Z592" s="723"/>
      <c r="AA592" s="726"/>
      <c r="AB592" s="726"/>
      <c r="AC592" s="170"/>
      <c r="AD592" s="586"/>
      <c r="AE592" s="586"/>
      <c r="AF592" s="170"/>
      <c r="AG592" s="170"/>
      <c r="AH592" s="170"/>
      <c r="AI592" s="170"/>
      <c r="AJ592" s="170"/>
      <c r="AK592" s="170"/>
      <c r="AL592" s="170"/>
      <c r="AM592" s="170"/>
      <c r="AN592" s="170"/>
      <c r="AO592" s="170"/>
      <c r="AP592" s="170"/>
      <c r="AQ592" s="170"/>
      <c r="AR592" s="170"/>
      <c r="AS592" s="170"/>
      <c r="AT592" s="170"/>
      <c r="AU592" s="170"/>
      <c r="AV592" s="170"/>
      <c r="AW592" s="170"/>
      <c r="AX592" s="170"/>
    </row>
    <row r="593" spans="1:50" ht="15" x14ac:dyDescent="0.25">
      <c r="A593" s="170"/>
      <c r="B593" s="719"/>
      <c r="C593" s="170"/>
      <c r="D593" s="170"/>
      <c r="E593" s="170"/>
      <c r="F593" s="170"/>
      <c r="G593" s="721"/>
      <c r="H593" s="170"/>
      <c r="I593" s="170"/>
      <c r="J593" s="170"/>
      <c r="K593" s="170"/>
      <c r="L593" s="170"/>
      <c r="M593" s="730"/>
      <c r="N593" s="730"/>
      <c r="O593" s="730"/>
      <c r="P593" s="731"/>
      <c r="Q593" s="731"/>
      <c r="R593" s="730"/>
      <c r="S593" s="730"/>
      <c r="T593" s="723"/>
      <c r="U593" s="724"/>
      <c r="V593" s="725"/>
      <c r="W593" s="725"/>
      <c r="X593" s="723"/>
      <c r="Y593" s="723"/>
      <c r="Z593" s="723"/>
      <c r="AA593" s="726"/>
      <c r="AB593" s="726"/>
      <c r="AC593" s="170"/>
      <c r="AD593" s="586"/>
      <c r="AE593" s="586"/>
      <c r="AF593" s="170"/>
      <c r="AG593" s="170"/>
      <c r="AH593" s="170"/>
      <c r="AI593" s="170"/>
      <c r="AJ593" s="170"/>
      <c r="AK593" s="170"/>
      <c r="AL593" s="170"/>
      <c r="AM593" s="170"/>
      <c r="AN593" s="170"/>
      <c r="AO593" s="170"/>
      <c r="AP593" s="170"/>
      <c r="AQ593" s="170"/>
      <c r="AR593" s="170"/>
      <c r="AS593" s="170"/>
      <c r="AT593" s="170"/>
      <c r="AU593" s="170"/>
      <c r="AV593" s="170"/>
      <c r="AW593" s="170"/>
      <c r="AX593" s="170"/>
    </row>
    <row r="594" spans="1:50" ht="15" x14ac:dyDescent="0.25">
      <c r="A594" s="170"/>
      <c r="B594" s="719"/>
      <c r="C594" s="170"/>
      <c r="D594" s="170"/>
      <c r="E594" s="170"/>
      <c r="F594" s="170"/>
      <c r="G594" s="721"/>
      <c r="H594" s="170"/>
      <c r="I594" s="170"/>
      <c r="J594" s="170"/>
      <c r="K594" s="170"/>
      <c r="L594" s="170"/>
      <c r="M594" s="730"/>
      <c r="N594" s="730"/>
      <c r="O594" s="730"/>
      <c r="P594" s="731"/>
      <c r="Q594" s="731"/>
      <c r="R594" s="730"/>
      <c r="S594" s="730"/>
      <c r="T594" s="723"/>
      <c r="U594" s="724"/>
      <c r="V594" s="725"/>
      <c r="W594" s="725"/>
      <c r="X594" s="723"/>
      <c r="Y594" s="723"/>
      <c r="Z594" s="723"/>
      <c r="AA594" s="726"/>
      <c r="AB594" s="726"/>
      <c r="AC594" s="170"/>
      <c r="AD594" s="586"/>
      <c r="AE594" s="586"/>
      <c r="AF594" s="170"/>
      <c r="AG594" s="170"/>
      <c r="AH594" s="170"/>
      <c r="AI594" s="170"/>
      <c r="AJ594" s="170"/>
      <c r="AK594" s="170"/>
      <c r="AL594" s="170"/>
      <c r="AM594" s="170"/>
      <c r="AN594" s="170"/>
      <c r="AO594" s="170"/>
      <c r="AP594" s="170"/>
      <c r="AQ594" s="170"/>
      <c r="AR594" s="170"/>
      <c r="AS594" s="170"/>
      <c r="AT594" s="170"/>
      <c r="AU594" s="170"/>
      <c r="AV594" s="170"/>
      <c r="AW594" s="170"/>
      <c r="AX594" s="170"/>
    </row>
    <row r="595" spans="1:50" ht="15" x14ac:dyDescent="0.25">
      <c r="A595" s="170"/>
      <c r="B595" s="719"/>
      <c r="C595" s="170"/>
      <c r="D595" s="170"/>
      <c r="E595" s="170"/>
      <c r="F595" s="170"/>
      <c r="G595" s="721"/>
      <c r="H595" s="170"/>
      <c r="I595" s="170"/>
      <c r="J595" s="170"/>
      <c r="K595" s="170"/>
      <c r="L595" s="170"/>
      <c r="M595" s="730"/>
      <c r="N595" s="730"/>
      <c r="O595" s="730"/>
      <c r="P595" s="731"/>
      <c r="Q595" s="731"/>
      <c r="R595" s="730"/>
      <c r="S595" s="730"/>
      <c r="T595" s="723"/>
      <c r="U595" s="724"/>
      <c r="V595" s="725"/>
      <c r="W595" s="725"/>
      <c r="X595" s="723"/>
      <c r="Y595" s="723"/>
      <c r="Z595" s="723"/>
      <c r="AA595" s="726"/>
      <c r="AB595" s="726"/>
      <c r="AC595" s="170"/>
      <c r="AD595" s="586"/>
      <c r="AE595" s="586"/>
      <c r="AF595" s="170"/>
      <c r="AG595" s="170"/>
      <c r="AH595" s="170"/>
      <c r="AI595" s="170"/>
      <c r="AJ595" s="170"/>
      <c r="AK595" s="170"/>
      <c r="AL595" s="170"/>
      <c r="AM595" s="170"/>
      <c r="AN595" s="170"/>
      <c r="AO595" s="170"/>
      <c r="AP595" s="170"/>
      <c r="AQ595" s="170"/>
      <c r="AR595" s="170"/>
      <c r="AS595" s="170"/>
      <c r="AT595" s="170"/>
      <c r="AU595" s="170"/>
      <c r="AV595" s="170"/>
      <c r="AW595" s="170"/>
      <c r="AX595" s="170"/>
    </row>
    <row r="596" spans="1:50" ht="15" x14ac:dyDescent="0.25">
      <c r="A596" s="170"/>
      <c r="B596" s="719"/>
      <c r="C596" s="170"/>
      <c r="D596" s="170"/>
      <c r="E596" s="170"/>
      <c r="F596" s="170"/>
      <c r="G596" s="721"/>
      <c r="H596" s="170"/>
      <c r="I596" s="170"/>
      <c r="J596" s="170"/>
      <c r="K596" s="170"/>
      <c r="L596" s="170"/>
      <c r="M596" s="730"/>
      <c r="N596" s="730"/>
      <c r="O596" s="730"/>
      <c r="P596" s="731"/>
      <c r="Q596" s="731"/>
      <c r="R596" s="730"/>
      <c r="S596" s="730"/>
      <c r="T596" s="723"/>
      <c r="U596" s="724"/>
      <c r="V596" s="725"/>
      <c r="W596" s="725"/>
      <c r="X596" s="723"/>
      <c r="Y596" s="723"/>
      <c r="Z596" s="723"/>
      <c r="AA596" s="726"/>
      <c r="AB596" s="726"/>
      <c r="AC596" s="170"/>
      <c r="AD596" s="586"/>
      <c r="AE596" s="586"/>
      <c r="AF596" s="170"/>
      <c r="AG596" s="170"/>
      <c r="AH596" s="170"/>
      <c r="AI596" s="170"/>
      <c r="AJ596" s="170"/>
      <c r="AK596" s="170"/>
      <c r="AL596" s="170"/>
      <c r="AM596" s="170"/>
      <c r="AN596" s="170"/>
      <c r="AO596" s="170"/>
      <c r="AP596" s="170"/>
      <c r="AQ596" s="170"/>
      <c r="AR596" s="170"/>
      <c r="AS596" s="170"/>
      <c r="AT596" s="170"/>
      <c r="AU596" s="170"/>
      <c r="AV596" s="170"/>
      <c r="AW596" s="170"/>
      <c r="AX596" s="170"/>
    </row>
    <row r="597" spans="1:50" ht="15" x14ac:dyDescent="0.25">
      <c r="A597" s="170"/>
      <c r="B597" s="719"/>
      <c r="C597" s="170"/>
      <c r="D597" s="170"/>
      <c r="E597" s="170"/>
      <c r="F597" s="170"/>
      <c r="G597" s="721"/>
      <c r="H597" s="170"/>
      <c r="I597" s="170"/>
      <c r="J597" s="170"/>
      <c r="K597" s="170"/>
      <c r="L597" s="170"/>
      <c r="M597" s="730"/>
      <c r="N597" s="730"/>
      <c r="O597" s="730"/>
      <c r="P597" s="731"/>
      <c r="Q597" s="731"/>
      <c r="R597" s="730"/>
      <c r="S597" s="730"/>
      <c r="T597" s="723"/>
      <c r="U597" s="724"/>
      <c r="V597" s="725"/>
      <c r="W597" s="725"/>
      <c r="X597" s="723"/>
      <c r="Y597" s="723"/>
      <c r="Z597" s="723"/>
      <c r="AA597" s="726"/>
      <c r="AB597" s="726"/>
      <c r="AC597" s="170"/>
      <c r="AD597" s="586"/>
      <c r="AE597" s="586"/>
      <c r="AF597" s="170"/>
      <c r="AG597" s="170"/>
      <c r="AH597" s="170"/>
      <c r="AI597" s="170"/>
      <c r="AJ597" s="170"/>
      <c r="AK597" s="170"/>
      <c r="AL597" s="170"/>
      <c r="AM597" s="170"/>
      <c r="AN597" s="170"/>
      <c r="AO597" s="170"/>
      <c r="AP597" s="170"/>
      <c r="AQ597" s="170"/>
      <c r="AR597" s="170"/>
      <c r="AS597" s="170"/>
      <c r="AT597" s="170"/>
      <c r="AU597" s="170"/>
      <c r="AV597" s="170"/>
      <c r="AW597" s="170"/>
      <c r="AX597" s="170"/>
    </row>
    <row r="598" spans="1:50" ht="15" x14ac:dyDescent="0.25">
      <c r="A598" s="170"/>
      <c r="B598" s="719"/>
      <c r="C598" s="170"/>
      <c r="D598" s="170"/>
      <c r="E598" s="170"/>
      <c r="F598" s="170"/>
      <c r="G598" s="721"/>
      <c r="H598" s="170"/>
      <c r="I598" s="170"/>
      <c r="J598" s="170"/>
      <c r="K598" s="170"/>
      <c r="L598" s="170"/>
      <c r="M598" s="730"/>
      <c r="N598" s="730"/>
      <c r="O598" s="730"/>
      <c r="P598" s="731"/>
      <c r="Q598" s="731"/>
      <c r="R598" s="730"/>
      <c r="S598" s="730"/>
      <c r="T598" s="723"/>
      <c r="U598" s="724"/>
      <c r="V598" s="725"/>
      <c r="W598" s="725"/>
      <c r="X598" s="723"/>
      <c r="Y598" s="723"/>
      <c r="Z598" s="723"/>
      <c r="AA598" s="726"/>
      <c r="AB598" s="726"/>
      <c r="AC598" s="170"/>
      <c r="AD598" s="586"/>
      <c r="AE598" s="586"/>
      <c r="AF598" s="170"/>
      <c r="AG598" s="170"/>
      <c r="AH598" s="170"/>
      <c r="AI598" s="170"/>
      <c r="AJ598" s="170"/>
      <c r="AK598" s="170"/>
      <c r="AL598" s="170"/>
      <c r="AM598" s="170"/>
      <c r="AN598" s="170"/>
      <c r="AO598" s="170"/>
      <c r="AP598" s="170"/>
      <c r="AQ598" s="170"/>
      <c r="AR598" s="170"/>
      <c r="AS598" s="170"/>
      <c r="AT598" s="170"/>
      <c r="AU598" s="170"/>
      <c r="AV598" s="170"/>
      <c r="AW598" s="170"/>
      <c r="AX598" s="170"/>
    </row>
    <row r="599" spans="1:50" ht="15" x14ac:dyDescent="0.25">
      <c r="A599" s="170"/>
      <c r="B599" s="719"/>
      <c r="C599" s="170"/>
      <c r="D599" s="170"/>
      <c r="E599" s="170"/>
      <c r="F599" s="170"/>
      <c r="G599" s="721"/>
      <c r="H599" s="170"/>
      <c r="I599" s="170"/>
      <c r="J599" s="170"/>
      <c r="K599" s="170"/>
      <c r="L599" s="170"/>
      <c r="M599" s="730"/>
      <c r="N599" s="730"/>
      <c r="O599" s="730"/>
      <c r="P599" s="731"/>
      <c r="Q599" s="731"/>
      <c r="R599" s="730"/>
      <c r="S599" s="730"/>
      <c r="T599" s="723"/>
      <c r="U599" s="724"/>
      <c r="V599" s="725"/>
      <c r="W599" s="725"/>
      <c r="X599" s="723"/>
      <c r="Y599" s="723"/>
      <c r="Z599" s="723"/>
      <c r="AA599" s="726"/>
      <c r="AB599" s="726"/>
      <c r="AC599" s="170"/>
      <c r="AD599" s="586"/>
      <c r="AE599" s="586"/>
      <c r="AF599" s="170"/>
      <c r="AG599" s="170"/>
      <c r="AH599" s="170"/>
      <c r="AI599" s="170"/>
      <c r="AJ599" s="170"/>
      <c r="AK599" s="170"/>
      <c r="AL599" s="170"/>
      <c r="AM599" s="170"/>
      <c r="AN599" s="170"/>
      <c r="AO599" s="170"/>
      <c r="AP599" s="170"/>
      <c r="AQ599" s="170"/>
      <c r="AR599" s="170"/>
      <c r="AS599" s="170"/>
      <c r="AT599" s="170"/>
      <c r="AU599" s="170"/>
      <c r="AV599" s="170"/>
      <c r="AW599" s="170"/>
      <c r="AX599" s="170"/>
    </row>
    <row r="600" spans="1:50" ht="15" x14ac:dyDescent="0.25">
      <c r="A600" s="170"/>
      <c r="B600" s="719"/>
      <c r="C600" s="170"/>
      <c r="D600" s="170"/>
      <c r="E600" s="170"/>
      <c r="F600" s="170"/>
      <c r="G600" s="721"/>
      <c r="H600" s="170"/>
      <c r="I600" s="170"/>
      <c r="J600" s="170"/>
      <c r="K600" s="170"/>
      <c r="L600" s="170"/>
      <c r="M600" s="730"/>
      <c r="N600" s="730"/>
      <c r="O600" s="730"/>
      <c r="P600" s="731"/>
      <c r="Q600" s="731"/>
      <c r="R600" s="730"/>
      <c r="S600" s="730"/>
      <c r="T600" s="723"/>
      <c r="U600" s="724"/>
      <c r="V600" s="725"/>
      <c r="W600" s="725"/>
      <c r="X600" s="723"/>
      <c r="Y600" s="723"/>
      <c r="Z600" s="723"/>
      <c r="AA600" s="726"/>
      <c r="AB600" s="726"/>
      <c r="AC600" s="170"/>
      <c r="AD600" s="586"/>
      <c r="AE600" s="586"/>
      <c r="AF600" s="170"/>
      <c r="AG600" s="170"/>
      <c r="AH600" s="170"/>
      <c r="AI600" s="170"/>
      <c r="AJ600" s="170"/>
      <c r="AK600" s="170"/>
      <c r="AL600" s="170"/>
      <c r="AM600" s="170"/>
      <c r="AN600" s="170"/>
      <c r="AO600" s="170"/>
      <c r="AP600" s="170"/>
      <c r="AQ600" s="170"/>
      <c r="AR600" s="170"/>
      <c r="AS600" s="170"/>
      <c r="AT600" s="170"/>
      <c r="AU600" s="170"/>
      <c r="AV600" s="170"/>
      <c r="AW600" s="170"/>
      <c r="AX600" s="170"/>
    </row>
    <row r="601" spans="1:50" ht="15" x14ac:dyDescent="0.25">
      <c r="A601" s="170"/>
      <c r="B601" s="719"/>
      <c r="C601" s="170"/>
      <c r="D601" s="170"/>
      <c r="E601" s="170"/>
      <c r="F601" s="170"/>
      <c r="G601" s="721"/>
      <c r="H601" s="170"/>
      <c r="I601" s="170"/>
      <c r="J601" s="170"/>
      <c r="K601" s="170"/>
      <c r="L601" s="170"/>
      <c r="M601" s="730"/>
      <c r="N601" s="730"/>
      <c r="O601" s="730"/>
      <c r="P601" s="731"/>
      <c r="Q601" s="731"/>
      <c r="R601" s="730"/>
      <c r="S601" s="730"/>
      <c r="T601" s="723"/>
      <c r="U601" s="724"/>
      <c r="V601" s="725"/>
      <c r="W601" s="725"/>
      <c r="X601" s="723"/>
      <c r="Y601" s="723"/>
      <c r="Z601" s="723"/>
      <c r="AA601" s="726"/>
      <c r="AB601" s="726"/>
      <c r="AC601" s="170"/>
      <c r="AD601" s="586"/>
      <c r="AE601" s="586"/>
      <c r="AF601" s="170"/>
      <c r="AG601" s="170"/>
      <c r="AH601" s="170"/>
      <c r="AI601" s="170"/>
      <c r="AJ601" s="170"/>
      <c r="AK601" s="170"/>
      <c r="AL601" s="170"/>
      <c r="AM601" s="170"/>
      <c r="AN601" s="170"/>
      <c r="AO601" s="170"/>
      <c r="AP601" s="170"/>
      <c r="AQ601" s="170"/>
      <c r="AR601" s="170"/>
      <c r="AS601" s="170"/>
      <c r="AT601" s="170"/>
      <c r="AU601" s="170"/>
      <c r="AV601" s="170"/>
      <c r="AW601" s="170"/>
      <c r="AX601" s="170"/>
    </row>
    <row r="602" spans="1:50" ht="15" x14ac:dyDescent="0.25">
      <c r="A602" s="170"/>
      <c r="B602" s="719"/>
      <c r="C602" s="170"/>
      <c r="D602" s="170"/>
      <c r="E602" s="170"/>
      <c r="F602" s="170"/>
      <c r="G602" s="721"/>
      <c r="H602" s="170"/>
      <c r="I602" s="170"/>
      <c r="J602" s="170"/>
      <c r="K602" s="170"/>
      <c r="L602" s="170"/>
      <c r="M602" s="730"/>
      <c r="N602" s="730"/>
      <c r="O602" s="730"/>
      <c r="P602" s="731"/>
      <c r="Q602" s="731"/>
      <c r="R602" s="730"/>
      <c r="S602" s="730"/>
      <c r="T602" s="723"/>
      <c r="U602" s="724"/>
      <c r="V602" s="725"/>
      <c r="W602" s="725"/>
      <c r="X602" s="723"/>
      <c r="Y602" s="723"/>
      <c r="Z602" s="723"/>
      <c r="AA602" s="726"/>
      <c r="AB602" s="726"/>
      <c r="AC602" s="170"/>
      <c r="AD602" s="586"/>
      <c r="AE602" s="586"/>
      <c r="AF602" s="170"/>
      <c r="AG602" s="170"/>
      <c r="AH602" s="170"/>
      <c r="AI602" s="170"/>
      <c r="AJ602" s="170"/>
      <c r="AK602" s="170"/>
      <c r="AL602" s="170"/>
      <c r="AM602" s="170"/>
      <c r="AN602" s="170"/>
      <c r="AO602" s="170"/>
      <c r="AP602" s="170"/>
      <c r="AQ602" s="170"/>
      <c r="AR602" s="170"/>
      <c r="AS602" s="170"/>
      <c r="AT602" s="170"/>
      <c r="AU602" s="170"/>
      <c r="AV602" s="170"/>
      <c r="AW602" s="170"/>
      <c r="AX602" s="170"/>
    </row>
    <row r="603" spans="1:50" ht="15" x14ac:dyDescent="0.25">
      <c r="A603" s="170"/>
      <c r="B603" s="719"/>
      <c r="C603" s="170"/>
      <c r="D603" s="170"/>
      <c r="E603" s="170"/>
      <c r="F603" s="170"/>
      <c r="G603" s="721"/>
      <c r="H603" s="170"/>
      <c r="I603" s="170"/>
      <c r="J603" s="170"/>
      <c r="K603" s="170"/>
      <c r="L603" s="170"/>
      <c r="M603" s="730"/>
      <c r="N603" s="730"/>
      <c r="O603" s="730"/>
      <c r="P603" s="731"/>
      <c r="Q603" s="731"/>
      <c r="R603" s="730"/>
      <c r="S603" s="730"/>
      <c r="T603" s="723"/>
      <c r="U603" s="724"/>
      <c r="V603" s="725"/>
      <c r="W603" s="725"/>
      <c r="X603" s="723"/>
      <c r="Y603" s="723"/>
      <c r="Z603" s="723"/>
      <c r="AA603" s="726"/>
      <c r="AB603" s="726"/>
      <c r="AC603" s="170"/>
      <c r="AD603" s="586"/>
      <c r="AE603" s="586"/>
      <c r="AF603" s="170"/>
      <c r="AG603" s="170"/>
      <c r="AH603" s="170"/>
      <c r="AI603" s="170"/>
      <c r="AJ603" s="170"/>
      <c r="AK603" s="170"/>
      <c r="AL603" s="170"/>
      <c r="AM603" s="170"/>
      <c r="AN603" s="170"/>
      <c r="AO603" s="170"/>
      <c r="AP603" s="170"/>
      <c r="AQ603" s="170"/>
      <c r="AR603" s="170"/>
      <c r="AS603" s="170"/>
      <c r="AT603" s="170"/>
      <c r="AU603" s="170"/>
      <c r="AV603" s="170"/>
      <c r="AW603" s="170"/>
      <c r="AX603" s="170"/>
    </row>
    <row r="604" spans="1:50" ht="15" x14ac:dyDescent="0.25">
      <c r="A604" s="170"/>
      <c r="B604" s="719"/>
      <c r="C604" s="170"/>
      <c r="D604" s="170"/>
      <c r="E604" s="170"/>
      <c r="F604" s="170"/>
      <c r="G604" s="721"/>
      <c r="H604" s="170"/>
      <c r="I604" s="170"/>
      <c r="J604" s="170"/>
      <c r="K604" s="170"/>
      <c r="L604" s="170"/>
      <c r="M604" s="730"/>
      <c r="N604" s="730"/>
      <c r="O604" s="730"/>
      <c r="P604" s="731"/>
      <c r="Q604" s="731"/>
      <c r="R604" s="730"/>
      <c r="S604" s="730"/>
      <c r="T604" s="723"/>
      <c r="U604" s="724"/>
      <c r="V604" s="725"/>
      <c r="W604" s="725"/>
      <c r="X604" s="723"/>
      <c r="Y604" s="723"/>
      <c r="Z604" s="723"/>
      <c r="AA604" s="726"/>
      <c r="AB604" s="726"/>
      <c r="AC604" s="170"/>
      <c r="AD604" s="586"/>
      <c r="AE604" s="586"/>
      <c r="AF604" s="170"/>
      <c r="AG604" s="170"/>
      <c r="AH604" s="170"/>
      <c r="AI604" s="170"/>
      <c r="AJ604" s="170"/>
      <c r="AK604" s="170"/>
      <c r="AL604" s="170"/>
      <c r="AM604" s="170"/>
      <c r="AN604" s="170"/>
      <c r="AO604" s="170"/>
      <c r="AP604" s="170"/>
      <c r="AQ604" s="170"/>
      <c r="AR604" s="170"/>
      <c r="AS604" s="170"/>
      <c r="AT604" s="170"/>
      <c r="AU604" s="170"/>
      <c r="AV604" s="170"/>
      <c r="AW604" s="170"/>
      <c r="AX604" s="170"/>
    </row>
    <row r="605" spans="1:50" ht="15" x14ac:dyDescent="0.25">
      <c r="A605" s="170"/>
      <c r="B605" s="719"/>
      <c r="C605" s="170"/>
      <c r="D605" s="170"/>
      <c r="E605" s="170"/>
      <c r="F605" s="170"/>
      <c r="G605" s="721"/>
      <c r="H605" s="170"/>
      <c r="I605" s="170"/>
      <c r="J605" s="170"/>
      <c r="K605" s="170"/>
      <c r="L605" s="170"/>
      <c r="M605" s="730"/>
      <c r="N605" s="730"/>
      <c r="O605" s="730"/>
      <c r="P605" s="731"/>
      <c r="Q605" s="731"/>
      <c r="R605" s="730"/>
      <c r="S605" s="730"/>
      <c r="T605" s="723"/>
      <c r="U605" s="724"/>
      <c r="V605" s="725"/>
      <c r="W605" s="725"/>
      <c r="X605" s="723"/>
      <c r="Y605" s="723"/>
      <c r="Z605" s="723"/>
      <c r="AA605" s="726"/>
      <c r="AB605" s="726"/>
      <c r="AC605" s="170"/>
      <c r="AD605" s="586"/>
      <c r="AE605" s="586"/>
      <c r="AF605" s="170"/>
      <c r="AG605" s="170"/>
      <c r="AH605" s="170"/>
      <c r="AI605" s="170"/>
      <c r="AJ605" s="170"/>
      <c r="AK605" s="170"/>
      <c r="AL605" s="170"/>
      <c r="AM605" s="170"/>
      <c r="AN605" s="170"/>
      <c r="AO605" s="170"/>
      <c r="AP605" s="170"/>
      <c r="AQ605" s="170"/>
      <c r="AR605" s="170"/>
      <c r="AS605" s="170"/>
      <c r="AT605" s="170"/>
      <c r="AU605" s="170"/>
      <c r="AV605" s="170"/>
      <c r="AW605" s="170"/>
      <c r="AX605" s="170"/>
    </row>
    <row r="606" spans="1:50" ht="15" x14ac:dyDescent="0.25">
      <c r="A606" s="170"/>
      <c r="B606" s="719"/>
      <c r="C606" s="170"/>
      <c r="D606" s="170"/>
      <c r="E606" s="170"/>
      <c r="F606" s="170"/>
      <c r="G606" s="721"/>
      <c r="H606" s="170"/>
      <c r="I606" s="170"/>
      <c r="J606" s="170"/>
      <c r="K606" s="170"/>
      <c r="L606" s="170"/>
      <c r="M606" s="730"/>
      <c r="N606" s="730"/>
      <c r="O606" s="730"/>
      <c r="P606" s="731"/>
      <c r="Q606" s="731"/>
      <c r="R606" s="730"/>
      <c r="S606" s="730"/>
      <c r="T606" s="723"/>
      <c r="U606" s="724"/>
      <c r="V606" s="725"/>
      <c r="W606" s="725"/>
      <c r="X606" s="723"/>
      <c r="Y606" s="723"/>
      <c r="Z606" s="723"/>
      <c r="AA606" s="726"/>
      <c r="AB606" s="726"/>
      <c r="AC606" s="170"/>
      <c r="AD606" s="586"/>
      <c r="AE606" s="586"/>
      <c r="AF606" s="170"/>
      <c r="AG606" s="170"/>
      <c r="AH606" s="170"/>
      <c r="AI606" s="170"/>
      <c r="AJ606" s="170"/>
      <c r="AK606" s="170"/>
      <c r="AL606" s="170"/>
      <c r="AM606" s="170"/>
      <c r="AN606" s="170"/>
      <c r="AO606" s="170"/>
      <c r="AP606" s="170"/>
      <c r="AQ606" s="170"/>
      <c r="AR606" s="170"/>
      <c r="AS606" s="170"/>
      <c r="AT606" s="170"/>
      <c r="AU606" s="170"/>
      <c r="AV606" s="170"/>
      <c r="AW606" s="170"/>
      <c r="AX606" s="170"/>
    </row>
    <row r="607" spans="1:50" ht="15" x14ac:dyDescent="0.25">
      <c r="A607" s="170"/>
      <c r="B607" s="719"/>
      <c r="C607" s="170"/>
      <c r="D607" s="170"/>
      <c r="E607" s="170"/>
      <c r="F607" s="170"/>
      <c r="G607" s="721"/>
      <c r="H607" s="170"/>
      <c r="I607" s="170"/>
      <c r="J607" s="170"/>
      <c r="K607" s="170"/>
      <c r="L607" s="170"/>
      <c r="M607" s="730"/>
      <c r="N607" s="730"/>
      <c r="O607" s="730"/>
      <c r="P607" s="731"/>
      <c r="Q607" s="731"/>
      <c r="R607" s="730"/>
      <c r="S607" s="730"/>
      <c r="T607" s="723"/>
      <c r="U607" s="724"/>
      <c r="V607" s="725"/>
      <c r="W607" s="725"/>
      <c r="X607" s="723"/>
      <c r="Y607" s="723"/>
      <c r="Z607" s="723"/>
      <c r="AA607" s="726"/>
      <c r="AB607" s="726"/>
      <c r="AC607" s="170"/>
      <c r="AD607" s="586"/>
      <c r="AE607" s="586"/>
      <c r="AF607" s="170"/>
      <c r="AG607" s="170"/>
      <c r="AH607" s="170"/>
      <c r="AI607" s="170"/>
      <c r="AJ607" s="170"/>
      <c r="AK607" s="170"/>
      <c r="AL607" s="170"/>
      <c r="AM607" s="170"/>
      <c r="AN607" s="170"/>
      <c r="AO607" s="170"/>
      <c r="AP607" s="170"/>
      <c r="AQ607" s="170"/>
      <c r="AR607" s="170"/>
      <c r="AS607" s="170"/>
      <c r="AT607" s="170"/>
      <c r="AU607" s="170"/>
      <c r="AV607" s="170"/>
      <c r="AW607" s="170"/>
      <c r="AX607" s="170"/>
    </row>
    <row r="608" spans="1:50" ht="15" x14ac:dyDescent="0.25">
      <c r="A608" s="170"/>
      <c r="B608" s="719"/>
      <c r="C608" s="170"/>
      <c r="D608" s="170"/>
      <c r="E608" s="170"/>
      <c r="F608" s="170"/>
      <c r="G608" s="721"/>
      <c r="H608" s="170"/>
      <c r="I608" s="170"/>
      <c r="J608" s="170"/>
      <c r="K608" s="170"/>
      <c r="L608" s="170"/>
      <c r="M608" s="730"/>
      <c r="N608" s="730"/>
      <c r="O608" s="730"/>
      <c r="P608" s="731"/>
      <c r="Q608" s="731"/>
      <c r="R608" s="730"/>
      <c r="S608" s="730"/>
      <c r="T608" s="723"/>
      <c r="U608" s="724"/>
      <c r="V608" s="725"/>
      <c r="W608" s="725"/>
      <c r="X608" s="723"/>
      <c r="Y608" s="723"/>
      <c r="Z608" s="723"/>
      <c r="AA608" s="726"/>
      <c r="AB608" s="726"/>
      <c r="AC608" s="170"/>
      <c r="AD608" s="586"/>
      <c r="AE608" s="586"/>
      <c r="AF608" s="170"/>
      <c r="AG608" s="170"/>
      <c r="AH608" s="170"/>
      <c r="AI608" s="170"/>
      <c r="AJ608" s="170"/>
      <c r="AK608" s="170"/>
      <c r="AL608" s="170"/>
      <c r="AM608" s="170"/>
      <c r="AN608" s="170"/>
      <c r="AO608" s="170"/>
      <c r="AP608" s="170"/>
      <c r="AQ608" s="170"/>
      <c r="AR608" s="170"/>
      <c r="AS608" s="170"/>
      <c r="AT608" s="170"/>
      <c r="AU608" s="170"/>
      <c r="AV608" s="170"/>
      <c r="AW608" s="170"/>
      <c r="AX608" s="170"/>
    </row>
    <row r="609" spans="1:50" ht="15" x14ac:dyDescent="0.25">
      <c r="A609" s="170"/>
      <c r="B609" s="719"/>
      <c r="C609" s="170"/>
      <c r="D609" s="170"/>
      <c r="E609" s="170"/>
      <c r="F609" s="170"/>
      <c r="G609" s="721"/>
      <c r="H609" s="170"/>
      <c r="I609" s="170"/>
      <c r="J609" s="170"/>
      <c r="K609" s="170"/>
      <c r="L609" s="170"/>
      <c r="M609" s="730"/>
      <c r="N609" s="730"/>
      <c r="O609" s="730"/>
      <c r="P609" s="731"/>
      <c r="Q609" s="731"/>
      <c r="R609" s="730"/>
      <c r="S609" s="730"/>
      <c r="T609" s="723"/>
      <c r="U609" s="724"/>
      <c r="V609" s="725"/>
      <c r="W609" s="725"/>
      <c r="X609" s="723"/>
      <c r="Y609" s="723"/>
      <c r="Z609" s="723"/>
      <c r="AA609" s="726"/>
      <c r="AB609" s="726"/>
      <c r="AC609" s="170"/>
      <c r="AD609" s="586"/>
      <c r="AE609" s="586"/>
      <c r="AF609" s="170"/>
      <c r="AG609" s="170"/>
      <c r="AH609" s="170"/>
      <c r="AI609" s="170"/>
      <c r="AJ609" s="170"/>
      <c r="AK609" s="170"/>
      <c r="AL609" s="170"/>
      <c r="AM609" s="170"/>
      <c r="AN609" s="170"/>
      <c r="AO609" s="170"/>
      <c r="AP609" s="170"/>
      <c r="AQ609" s="170"/>
      <c r="AR609" s="170"/>
      <c r="AS609" s="170"/>
      <c r="AT609" s="170"/>
      <c r="AU609" s="170"/>
      <c r="AV609" s="170"/>
      <c r="AW609" s="170"/>
      <c r="AX609" s="170"/>
    </row>
    <row r="610" spans="1:50" ht="15" x14ac:dyDescent="0.25">
      <c r="A610" s="170"/>
      <c r="B610" s="719"/>
      <c r="C610" s="170"/>
      <c r="D610" s="170"/>
      <c r="E610" s="170"/>
      <c r="F610" s="170"/>
      <c r="G610" s="721"/>
      <c r="H610" s="170"/>
      <c r="I610" s="170"/>
      <c r="J610" s="170"/>
      <c r="K610" s="170"/>
      <c r="L610" s="170"/>
      <c r="M610" s="730"/>
      <c r="N610" s="730"/>
      <c r="O610" s="730"/>
      <c r="P610" s="731"/>
      <c r="Q610" s="731"/>
      <c r="R610" s="730"/>
      <c r="S610" s="730"/>
      <c r="T610" s="723"/>
      <c r="U610" s="724"/>
      <c r="V610" s="725"/>
      <c r="W610" s="725"/>
      <c r="X610" s="723"/>
      <c r="Y610" s="723"/>
      <c r="Z610" s="723"/>
      <c r="AA610" s="726"/>
      <c r="AB610" s="726"/>
      <c r="AC610" s="170"/>
      <c r="AD610" s="586"/>
      <c r="AE610" s="586"/>
      <c r="AF610" s="170"/>
      <c r="AG610" s="170"/>
      <c r="AH610" s="170"/>
      <c r="AI610" s="170"/>
      <c r="AJ610" s="170"/>
      <c r="AK610" s="170"/>
      <c r="AL610" s="170"/>
      <c r="AM610" s="170"/>
      <c r="AN610" s="170"/>
      <c r="AO610" s="170"/>
      <c r="AP610" s="170"/>
      <c r="AQ610" s="170"/>
      <c r="AR610" s="170"/>
      <c r="AS610" s="170"/>
      <c r="AT610" s="170"/>
      <c r="AU610" s="170"/>
      <c r="AV610" s="170"/>
      <c r="AW610" s="170"/>
      <c r="AX610" s="170"/>
    </row>
    <row r="611" spans="1:50" ht="15" x14ac:dyDescent="0.25">
      <c r="A611" s="170"/>
      <c r="B611" s="719"/>
      <c r="C611" s="170"/>
      <c r="D611" s="170"/>
      <c r="E611" s="170"/>
      <c r="F611" s="170"/>
      <c r="G611" s="721"/>
      <c r="H611" s="170"/>
      <c r="I611" s="170"/>
      <c r="J611" s="170"/>
      <c r="K611" s="170"/>
      <c r="L611" s="170"/>
      <c r="M611" s="730"/>
      <c r="N611" s="730"/>
      <c r="O611" s="730"/>
      <c r="P611" s="731"/>
      <c r="Q611" s="731"/>
      <c r="R611" s="730"/>
      <c r="S611" s="730"/>
      <c r="T611" s="723"/>
      <c r="U611" s="724"/>
      <c r="V611" s="725"/>
      <c r="W611" s="725"/>
      <c r="X611" s="723"/>
      <c r="Y611" s="723"/>
      <c r="Z611" s="723"/>
      <c r="AA611" s="726"/>
      <c r="AB611" s="726"/>
      <c r="AC611" s="170"/>
      <c r="AD611" s="586"/>
      <c r="AE611" s="586"/>
      <c r="AF611" s="170"/>
      <c r="AG611" s="170"/>
      <c r="AH611" s="170"/>
      <c r="AI611" s="170"/>
      <c r="AJ611" s="170"/>
      <c r="AK611" s="170"/>
      <c r="AL611" s="170"/>
      <c r="AM611" s="170"/>
      <c r="AN611" s="170"/>
      <c r="AO611" s="170"/>
      <c r="AP611" s="170"/>
      <c r="AQ611" s="170"/>
      <c r="AR611" s="170"/>
      <c r="AS611" s="170"/>
      <c r="AT611" s="170"/>
      <c r="AU611" s="170"/>
      <c r="AV611" s="170"/>
      <c r="AW611" s="170"/>
      <c r="AX611" s="170"/>
    </row>
    <row r="612" spans="1:50" ht="15" x14ac:dyDescent="0.25">
      <c r="A612" s="170"/>
      <c r="B612" s="719"/>
      <c r="C612" s="170"/>
      <c r="D612" s="170"/>
      <c r="E612" s="170"/>
      <c r="F612" s="170"/>
      <c r="G612" s="721"/>
      <c r="H612" s="170"/>
      <c r="I612" s="170"/>
      <c r="J612" s="170"/>
      <c r="K612" s="170"/>
      <c r="L612" s="170"/>
      <c r="M612" s="730"/>
      <c r="N612" s="730"/>
      <c r="O612" s="730"/>
      <c r="P612" s="731"/>
      <c r="Q612" s="731"/>
      <c r="R612" s="730"/>
      <c r="S612" s="730"/>
      <c r="T612" s="723"/>
      <c r="U612" s="724"/>
      <c r="V612" s="725"/>
      <c r="W612" s="725"/>
      <c r="X612" s="723"/>
      <c r="Y612" s="723"/>
      <c r="Z612" s="723"/>
      <c r="AA612" s="726"/>
      <c r="AB612" s="726"/>
      <c r="AC612" s="170"/>
      <c r="AD612" s="586"/>
      <c r="AE612" s="586"/>
      <c r="AF612" s="170"/>
      <c r="AG612" s="170"/>
      <c r="AH612" s="170"/>
      <c r="AI612" s="170"/>
      <c r="AJ612" s="170"/>
      <c r="AK612" s="170"/>
      <c r="AL612" s="170"/>
      <c r="AM612" s="170"/>
      <c r="AN612" s="170"/>
      <c r="AO612" s="170"/>
      <c r="AP612" s="170"/>
      <c r="AQ612" s="170"/>
      <c r="AR612" s="170"/>
      <c r="AS612" s="170"/>
      <c r="AT612" s="170"/>
      <c r="AU612" s="170"/>
      <c r="AV612" s="170"/>
      <c r="AW612" s="170"/>
      <c r="AX612" s="170"/>
    </row>
    <row r="613" spans="1:50" ht="15" x14ac:dyDescent="0.25">
      <c r="A613" s="170"/>
      <c r="B613" s="719"/>
      <c r="C613" s="170"/>
      <c r="D613" s="170"/>
      <c r="E613" s="170"/>
      <c r="F613" s="170"/>
      <c r="G613" s="721"/>
      <c r="H613" s="170"/>
      <c r="I613" s="170"/>
      <c r="J613" s="170"/>
      <c r="K613" s="170"/>
      <c r="L613" s="170"/>
      <c r="M613" s="730"/>
      <c r="N613" s="730"/>
      <c r="O613" s="730"/>
      <c r="P613" s="731"/>
      <c r="Q613" s="731"/>
      <c r="R613" s="730"/>
      <c r="S613" s="730"/>
      <c r="T613" s="723"/>
      <c r="U613" s="724"/>
      <c r="V613" s="725"/>
      <c r="W613" s="725"/>
      <c r="X613" s="723"/>
      <c r="Y613" s="723"/>
      <c r="Z613" s="723"/>
      <c r="AA613" s="726"/>
      <c r="AB613" s="726"/>
      <c r="AC613" s="170"/>
      <c r="AD613" s="586"/>
      <c r="AE613" s="586"/>
      <c r="AF613" s="170"/>
      <c r="AG613" s="170"/>
      <c r="AH613" s="170"/>
      <c r="AI613" s="170"/>
      <c r="AJ613" s="170"/>
      <c r="AK613" s="170"/>
      <c r="AL613" s="170"/>
      <c r="AM613" s="170"/>
      <c r="AN613" s="170"/>
      <c r="AO613" s="170"/>
      <c r="AP613" s="170"/>
      <c r="AQ613" s="170"/>
      <c r="AR613" s="170"/>
      <c r="AS613" s="170"/>
      <c r="AT613" s="170"/>
      <c r="AU613" s="170"/>
      <c r="AV613" s="170"/>
      <c r="AW613" s="170"/>
      <c r="AX613" s="170"/>
    </row>
    <row r="614" spans="1:50" ht="15" x14ac:dyDescent="0.25">
      <c r="A614" s="170"/>
      <c r="B614" s="719"/>
      <c r="C614" s="170"/>
      <c r="D614" s="170"/>
      <c r="E614" s="170"/>
      <c r="F614" s="170"/>
      <c r="G614" s="721"/>
      <c r="H614" s="170"/>
      <c r="I614" s="170"/>
      <c r="J614" s="170"/>
      <c r="K614" s="170"/>
      <c r="L614" s="170"/>
      <c r="M614" s="730"/>
      <c r="N614" s="730"/>
      <c r="O614" s="730"/>
      <c r="P614" s="731"/>
      <c r="Q614" s="731"/>
      <c r="R614" s="730"/>
      <c r="S614" s="730"/>
      <c r="T614" s="723"/>
      <c r="U614" s="724"/>
      <c r="V614" s="725"/>
      <c r="W614" s="725"/>
      <c r="X614" s="723"/>
      <c r="Y614" s="723"/>
      <c r="Z614" s="723"/>
      <c r="AA614" s="726"/>
      <c r="AB614" s="726"/>
      <c r="AC614" s="170"/>
      <c r="AD614" s="586"/>
      <c r="AE614" s="586"/>
      <c r="AF614" s="170"/>
      <c r="AG614" s="170"/>
      <c r="AH614" s="170"/>
      <c r="AI614" s="170"/>
      <c r="AJ614" s="170"/>
      <c r="AK614" s="170"/>
      <c r="AL614" s="170"/>
      <c r="AM614" s="170"/>
      <c r="AN614" s="170"/>
      <c r="AO614" s="170"/>
      <c r="AP614" s="170"/>
      <c r="AQ614" s="170"/>
      <c r="AR614" s="170"/>
      <c r="AS614" s="170"/>
      <c r="AT614" s="170"/>
      <c r="AU614" s="170"/>
      <c r="AV614" s="170"/>
      <c r="AW614" s="170"/>
      <c r="AX614" s="170"/>
    </row>
    <row r="615" spans="1:50" ht="15" x14ac:dyDescent="0.25">
      <c r="A615" s="170"/>
      <c r="B615" s="719"/>
      <c r="C615" s="170"/>
      <c r="D615" s="170"/>
      <c r="E615" s="170"/>
      <c r="F615" s="170"/>
      <c r="G615" s="721"/>
      <c r="H615" s="170"/>
      <c r="I615" s="170"/>
      <c r="J615" s="170"/>
      <c r="K615" s="170"/>
      <c r="L615" s="170"/>
      <c r="M615" s="730"/>
      <c r="N615" s="730"/>
      <c r="O615" s="730"/>
      <c r="P615" s="731"/>
      <c r="Q615" s="731"/>
      <c r="R615" s="730"/>
      <c r="S615" s="730"/>
      <c r="T615" s="723"/>
      <c r="U615" s="724"/>
      <c r="V615" s="725"/>
      <c r="W615" s="725"/>
      <c r="X615" s="723"/>
      <c r="Y615" s="723"/>
      <c r="Z615" s="723"/>
      <c r="AA615" s="726"/>
      <c r="AB615" s="726"/>
      <c r="AC615" s="170"/>
      <c r="AD615" s="586"/>
      <c r="AE615" s="586"/>
      <c r="AF615" s="170"/>
      <c r="AG615" s="170"/>
      <c r="AH615" s="170"/>
      <c r="AI615" s="170"/>
      <c r="AJ615" s="170"/>
      <c r="AK615" s="170"/>
      <c r="AL615" s="170"/>
      <c r="AM615" s="170"/>
      <c r="AN615" s="170"/>
      <c r="AO615" s="170"/>
      <c r="AP615" s="170"/>
      <c r="AQ615" s="170"/>
      <c r="AR615" s="170"/>
      <c r="AS615" s="170"/>
      <c r="AT615" s="170"/>
      <c r="AU615" s="170"/>
      <c r="AV615" s="170"/>
      <c r="AW615" s="170"/>
      <c r="AX615" s="170"/>
    </row>
    <row r="616" spans="1:50" ht="15" x14ac:dyDescent="0.25">
      <c r="A616" s="170"/>
      <c r="B616" s="719"/>
      <c r="C616" s="170"/>
      <c r="D616" s="170"/>
      <c r="E616" s="170"/>
      <c r="F616" s="170"/>
      <c r="G616" s="721"/>
      <c r="H616" s="170"/>
      <c r="I616" s="170"/>
      <c r="J616" s="170"/>
      <c r="K616" s="170"/>
      <c r="L616" s="170"/>
      <c r="M616" s="730"/>
      <c r="N616" s="730"/>
      <c r="O616" s="730"/>
      <c r="P616" s="731"/>
      <c r="Q616" s="731"/>
      <c r="R616" s="730"/>
      <c r="S616" s="730"/>
      <c r="T616" s="723"/>
      <c r="U616" s="724"/>
      <c r="V616" s="725"/>
      <c r="W616" s="725"/>
      <c r="X616" s="723"/>
      <c r="Y616" s="723"/>
      <c r="Z616" s="723"/>
      <c r="AA616" s="726"/>
      <c r="AB616" s="726"/>
      <c r="AC616" s="170"/>
      <c r="AD616" s="586"/>
      <c r="AE616" s="586"/>
      <c r="AF616" s="170"/>
      <c r="AG616" s="170"/>
      <c r="AH616" s="170"/>
      <c r="AI616" s="170"/>
      <c r="AJ616" s="170"/>
      <c r="AK616" s="170"/>
      <c r="AL616" s="170"/>
      <c r="AM616" s="170"/>
      <c r="AN616" s="170"/>
      <c r="AO616" s="170"/>
      <c r="AP616" s="170"/>
      <c r="AQ616" s="170"/>
      <c r="AR616" s="170"/>
      <c r="AS616" s="170"/>
      <c r="AT616" s="170"/>
      <c r="AU616" s="170"/>
      <c r="AV616" s="170"/>
      <c r="AW616" s="170"/>
      <c r="AX616" s="170"/>
    </row>
    <row r="617" spans="1:50" ht="15" x14ac:dyDescent="0.25">
      <c r="A617" s="170"/>
      <c r="B617" s="719"/>
      <c r="C617" s="170"/>
      <c r="D617" s="170"/>
      <c r="E617" s="170"/>
      <c r="F617" s="170"/>
      <c r="G617" s="721"/>
      <c r="H617" s="170"/>
      <c r="I617" s="170"/>
      <c r="J617" s="170"/>
      <c r="K617" s="170"/>
      <c r="L617" s="170"/>
      <c r="M617" s="730"/>
      <c r="N617" s="730"/>
      <c r="O617" s="730"/>
      <c r="P617" s="731"/>
      <c r="Q617" s="731"/>
      <c r="R617" s="730"/>
      <c r="S617" s="730"/>
      <c r="T617" s="723"/>
      <c r="U617" s="724"/>
      <c r="V617" s="725"/>
      <c r="W617" s="725"/>
      <c r="X617" s="723"/>
      <c r="Y617" s="723"/>
      <c r="Z617" s="723"/>
      <c r="AA617" s="726"/>
      <c r="AB617" s="726"/>
      <c r="AC617" s="170"/>
      <c r="AD617" s="586"/>
      <c r="AE617" s="586"/>
      <c r="AF617" s="170"/>
      <c r="AG617" s="170"/>
      <c r="AH617" s="170"/>
      <c r="AI617" s="170"/>
      <c r="AJ617" s="170"/>
      <c r="AK617" s="170"/>
      <c r="AL617" s="170"/>
      <c r="AM617" s="170"/>
      <c r="AN617" s="170"/>
      <c r="AO617" s="170"/>
      <c r="AP617" s="170"/>
      <c r="AQ617" s="170"/>
      <c r="AR617" s="170"/>
      <c r="AS617" s="170"/>
      <c r="AT617" s="170"/>
      <c r="AU617" s="170"/>
      <c r="AV617" s="170"/>
      <c r="AW617" s="170"/>
      <c r="AX617" s="170"/>
    </row>
    <row r="618" spans="1:50" ht="15" x14ac:dyDescent="0.25">
      <c r="A618" s="170"/>
      <c r="B618" s="719"/>
      <c r="C618" s="170"/>
      <c r="D618" s="170"/>
      <c r="E618" s="170"/>
      <c r="F618" s="170"/>
      <c r="G618" s="721"/>
      <c r="H618" s="170"/>
      <c r="I618" s="170"/>
      <c r="J618" s="170"/>
      <c r="K618" s="170"/>
      <c r="L618" s="170"/>
      <c r="M618" s="730"/>
      <c r="N618" s="730"/>
      <c r="O618" s="730"/>
      <c r="P618" s="731"/>
      <c r="Q618" s="731"/>
      <c r="R618" s="730"/>
      <c r="S618" s="730"/>
      <c r="T618" s="723"/>
      <c r="U618" s="724"/>
      <c r="V618" s="725"/>
      <c r="W618" s="725"/>
      <c r="X618" s="723"/>
      <c r="Y618" s="723"/>
      <c r="Z618" s="723"/>
      <c r="AA618" s="726"/>
      <c r="AB618" s="726"/>
      <c r="AC618" s="170"/>
      <c r="AD618" s="586"/>
      <c r="AE618" s="586"/>
      <c r="AF618" s="170"/>
      <c r="AG618" s="170"/>
      <c r="AH618" s="170"/>
      <c r="AI618" s="170"/>
      <c r="AJ618" s="170"/>
      <c r="AK618" s="170"/>
      <c r="AL618" s="170"/>
      <c r="AM618" s="170"/>
      <c r="AN618" s="170"/>
      <c r="AO618" s="170"/>
      <c r="AP618" s="170"/>
      <c r="AQ618" s="170"/>
      <c r="AR618" s="170"/>
      <c r="AS618" s="170"/>
      <c r="AT618" s="170"/>
      <c r="AU618" s="170"/>
      <c r="AV618" s="170"/>
      <c r="AW618" s="170"/>
      <c r="AX618" s="170"/>
    </row>
    <row r="619" spans="1:50" ht="15" x14ac:dyDescent="0.25">
      <c r="A619" s="170"/>
      <c r="B619" s="719"/>
      <c r="C619" s="170"/>
      <c r="D619" s="170"/>
      <c r="E619" s="170"/>
      <c r="F619" s="170"/>
      <c r="G619" s="721"/>
      <c r="H619" s="170"/>
      <c r="I619" s="170"/>
      <c r="J619" s="170"/>
      <c r="K619" s="170"/>
      <c r="L619" s="170"/>
      <c r="M619" s="730"/>
      <c r="N619" s="730"/>
      <c r="O619" s="730"/>
      <c r="P619" s="731"/>
      <c r="Q619" s="731"/>
      <c r="R619" s="730"/>
      <c r="S619" s="730"/>
      <c r="T619" s="723"/>
      <c r="U619" s="724"/>
      <c r="V619" s="725"/>
      <c r="W619" s="725"/>
      <c r="X619" s="723"/>
      <c r="Y619" s="723"/>
      <c r="Z619" s="723"/>
      <c r="AA619" s="726"/>
      <c r="AB619" s="726"/>
      <c r="AC619" s="170"/>
      <c r="AD619" s="586"/>
      <c r="AE619" s="586"/>
      <c r="AF619" s="170"/>
      <c r="AG619" s="170"/>
      <c r="AH619" s="170"/>
      <c r="AI619" s="170"/>
      <c r="AJ619" s="170"/>
      <c r="AK619" s="170"/>
      <c r="AL619" s="170"/>
      <c r="AM619" s="170"/>
      <c r="AN619" s="170"/>
      <c r="AO619" s="170"/>
      <c r="AP619" s="170"/>
      <c r="AQ619" s="170"/>
      <c r="AR619" s="170"/>
      <c r="AS619" s="170"/>
      <c r="AT619" s="170"/>
      <c r="AU619" s="170"/>
      <c r="AV619" s="170"/>
      <c r="AW619" s="170"/>
      <c r="AX619" s="170"/>
    </row>
    <row r="620" spans="1:50" ht="15" x14ac:dyDescent="0.25">
      <c r="A620" s="170"/>
      <c r="B620" s="719"/>
      <c r="C620" s="170"/>
      <c r="D620" s="170"/>
      <c r="E620" s="170"/>
      <c r="F620" s="170"/>
      <c r="G620" s="721"/>
      <c r="H620" s="170"/>
      <c r="I620" s="170"/>
      <c r="J620" s="170"/>
      <c r="K620" s="170"/>
      <c r="L620" s="170"/>
      <c r="M620" s="730"/>
      <c r="N620" s="730"/>
      <c r="O620" s="730"/>
      <c r="P620" s="731"/>
      <c r="Q620" s="731"/>
      <c r="R620" s="730"/>
      <c r="S620" s="730"/>
      <c r="T620" s="723"/>
      <c r="U620" s="724"/>
      <c r="V620" s="725"/>
      <c r="W620" s="725"/>
      <c r="X620" s="723"/>
      <c r="Y620" s="723"/>
      <c r="Z620" s="723"/>
      <c r="AA620" s="726"/>
      <c r="AB620" s="726"/>
      <c r="AC620" s="170"/>
      <c r="AD620" s="586"/>
      <c r="AE620" s="586"/>
      <c r="AF620" s="170"/>
      <c r="AG620" s="170"/>
      <c r="AH620" s="170"/>
      <c r="AI620" s="170"/>
      <c r="AJ620" s="170"/>
      <c r="AK620" s="170"/>
      <c r="AL620" s="170"/>
      <c r="AM620" s="170"/>
      <c r="AN620" s="170"/>
      <c r="AO620" s="170"/>
      <c r="AP620" s="170"/>
      <c r="AQ620" s="170"/>
      <c r="AR620" s="170"/>
      <c r="AS620" s="170"/>
      <c r="AT620" s="170"/>
      <c r="AU620" s="170"/>
      <c r="AV620" s="170"/>
      <c r="AW620" s="170"/>
      <c r="AX620" s="170"/>
    </row>
    <row r="621" spans="1:50" ht="15" x14ac:dyDescent="0.25">
      <c r="A621" s="170"/>
      <c r="B621" s="719"/>
      <c r="C621" s="170"/>
      <c r="D621" s="170"/>
      <c r="E621" s="170"/>
      <c r="F621" s="170"/>
      <c r="G621" s="721"/>
      <c r="H621" s="170"/>
      <c r="I621" s="170"/>
      <c r="J621" s="170"/>
      <c r="K621" s="170"/>
      <c r="L621" s="170"/>
      <c r="M621" s="730"/>
      <c r="N621" s="730"/>
      <c r="O621" s="730"/>
      <c r="P621" s="731"/>
      <c r="Q621" s="731"/>
      <c r="R621" s="730"/>
      <c r="S621" s="730"/>
      <c r="T621" s="723"/>
      <c r="U621" s="724"/>
      <c r="V621" s="725"/>
      <c r="W621" s="725"/>
      <c r="X621" s="723"/>
      <c r="Y621" s="723"/>
      <c r="Z621" s="723"/>
      <c r="AA621" s="726"/>
      <c r="AB621" s="726"/>
      <c r="AC621" s="170"/>
      <c r="AD621" s="586"/>
      <c r="AE621" s="586"/>
      <c r="AF621" s="170"/>
      <c r="AG621" s="170"/>
      <c r="AH621" s="170"/>
      <c r="AI621" s="170"/>
      <c r="AJ621" s="170"/>
      <c r="AK621" s="170"/>
      <c r="AL621" s="170"/>
      <c r="AM621" s="170"/>
      <c r="AN621" s="170"/>
      <c r="AO621" s="170"/>
      <c r="AP621" s="170"/>
      <c r="AQ621" s="170"/>
      <c r="AR621" s="170"/>
      <c r="AS621" s="170"/>
      <c r="AT621" s="170"/>
      <c r="AU621" s="170"/>
      <c r="AV621" s="170"/>
      <c r="AW621" s="170"/>
      <c r="AX621" s="170"/>
    </row>
    <row r="622" spans="1:50" ht="15" x14ac:dyDescent="0.25">
      <c r="A622" s="170"/>
      <c r="B622" s="719"/>
      <c r="C622" s="170"/>
      <c r="D622" s="170"/>
      <c r="E622" s="170"/>
      <c r="F622" s="170"/>
      <c r="G622" s="721"/>
      <c r="H622" s="170"/>
      <c r="I622" s="170"/>
      <c r="J622" s="170"/>
      <c r="K622" s="170"/>
      <c r="L622" s="170"/>
      <c r="M622" s="730"/>
      <c r="N622" s="730"/>
      <c r="O622" s="730"/>
      <c r="P622" s="731"/>
      <c r="Q622" s="731"/>
      <c r="R622" s="730"/>
      <c r="S622" s="730"/>
      <c r="T622" s="723"/>
      <c r="U622" s="724"/>
      <c r="V622" s="725"/>
      <c r="W622" s="725"/>
      <c r="X622" s="723"/>
      <c r="Y622" s="723"/>
      <c r="Z622" s="723"/>
      <c r="AA622" s="726"/>
      <c r="AB622" s="726"/>
      <c r="AC622" s="170"/>
      <c r="AD622" s="586"/>
      <c r="AE622" s="586"/>
      <c r="AF622" s="170"/>
      <c r="AG622" s="170"/>
      <c r="AH622" s="170"/>
      <c r="AI622" s="170"/>
      <c r="AJ622" s="170"/>
      <c r="AK622" s="170"/>
      <c r="AL622" s="170"/>
      <c r="AM622" s="170"/>
      <c r="AN622" s="170"/>
      <c r="AO622" s="170"/>
      <c r="AP622" s="170"/>
      <c r="AQ622" s="170"/>
      <c r="AR622" s="170"/>
      <c r="AS622" s="170"/>
      <c r="AT622" s="170"/>
      <c r="AU622" s="170"/>
      <c r="AV622" s="170"/>
      <c r="AW622" s="170"/>
      <c r="AX622" s="170"/>
    </row>
    <row r="623" spans="1:50" ht="15" x14ac:dyDescent="0.25">
      <c r="A623" s="170"/>
      <c r="B623" s="719"/>
      <c r="C623" s="170"/>
      <c r="D623" s="170"/>
      <c r="E623" s="170"/>
      <c r="F623" s="170"/>
      <c r="G623" s="721"/>
      <c r="H623" s="170"/>
      <c r="I623" s="170"/>
      <c r="J623" s="170"/>
      <c r="K623" s="170"/>
      <c r="L623" s="170"/>
      <c r="M623" s="730"/>
      <c r="N623" s="730"/>
      <c r="O623" s="730"/>
      <c r="P623" s="731"/>
      <c r="Q623" s="731"/>
      <c r="R623" s="730"/>
      <c r="S623" s="730"/>
      <c r="T623" s="723"/>
      <c r="U623" s="724"/>
      <c r="V623" s="725"/>
      <c r="W623" s="725"/>
      <c r="X623" s="723"/>
      <c r="Y623" s="723"/>
      <c r="Z623" s="723"/>
      <c r="AA623" s="726"/>
      <c r="AB623" s="726"/>
      <c r="AC623" s="170"/>
      <c r="AD623" s="586"/>
      <c r="AE623" s="586"/>
      <c r="AF623" s="170"/>
      <c r="AG623" s="170"/>
      <c r="AH623" s="170"/>
      <c r="AI623" s="170"/>
      <c r="AJ623" s="170"/>
      <c r="AK623" s="170"/>
      <c r="AL623" s="170"/>
      <c r="AM623" s="170"/>
      <c r="AN623" s="170"/>
      <c r="AO623" s="170"/>
      <c r="AP623" s="170"/>
      <c r="AQ623" s="170"/>
      <c r="AR623" s="170"/>
      <c r="AS623" s="170"/>
      <c r="AT623" s="170"/>
      <c r="AU623" s="170"/>
      <c r="AV623" s="170"/>
      <c r="AW623" s="170"/>
      <c r="AX623" s="170"/>
    </row>
    <row r="624" spans="1:50" ht="15" x14ac:dyDescent="0.25">
      <c r="A624" s="170"/>
      <c r="B624" s="719"/>
      <c r="C624" s="170"/>
      <c r="D624" s="170"/>
      <c r="E624" s="170"/>
      <c r="F624" s="170"/>
      <c r="G624" s="721"/>
      <c r="H624" s="170"/>
      <c r="I624" s="170"/>
      <c r="J624" s="170"/>
      <c r="K624" s="170"/>
      <c r="L624" s="170"/>
      <c r="M624" s="730"/>
      <c r="N624" s="730"/>
      <c r="O624" s="730"/>
      <c r="P624" s="731"/>
      <c r="Q624" s="731"/>
      <c r="R624" s="730"/>
      <c r="S624" s="730"/>
      <c r="T624" s="723"/>
      <c r="U624" s="724"/>
      <c r="V624" s="725"/>
      <c r="W624" s="725"/>
      <c r="X624" s="723"/>
      <c r="Y624" s="723"/>
      <c r="Z624" s="723"/>
      <c r="AA624" s="726"/>
      <c r="AB624" s="726"/>
      <c r="AC624" s="170"/>
      <c r="AD624" s="586"/>
      <c r="AE624" s="586"/>
      <c r="AF624" s="170"/>
      <c r="AG624" s="170"/>
      <c r="AH624" s="170"/>
      <c r="AI624" s="170"/>
      <c r="AJ624" s="170"/>
      <c r="AK624" s="170"/>
      <c r="AL624" s="170"/>
      <c r="AM624" s="170"/>
      <c r="AN624" s="170"/>
      <c r="AO624" s="170"/>
      <c r="AP624" s="170"/>
      <c r="AQ624" s="170"/>
      <c r="AR624" s="170"/>
      <c r="AS624" s="170"/>
      <c r="AT624" s="170"/>
      <c r="AU624" s="170"/>
      <c r="AV624" s="170"/>
      <c r="AW624" s="170"/>
      <c r="AX624" s="170"/>
    </row>
    <row r="625" spans="1:50" ht="15" x14ac:dyDescent="0.25">
      <c r="A625" s="170"/>
      <c r="B625" s="719"/>
      <c r="C625" s="170"/>
      <c r="D625" s="170"/>
      <c r="E625" s="170"/>
      <c r="F625" s="170"/>
      <c r="G625" s="721"/>
      <c r="H625" s="170"/>
      <c r="I625" s="170"/>
      <c r="J625" s="170"/>
      <c r="K625" s="170"/>
      <c r="L625" s="170"/>
      <c r="M625" s="730"/>
      <c r="N625" s="730"/>
      <c r="O625" s="730"/>
      <c r="P625" s="731"/>
      <c r="Q625" s="731"/>
      <c r="R625" s="730"/>
      <c r="S625" s="730"/>
      <c r="T625" s="723"/>
      <c r="U625" s="724"/>
      <c r="V625" s="725"/>
      <c r="W625" s="725"/>
      <c r="X625" s="723"/>
      <c r="Y625" s="723"/>
      <c r="Z625" s="723"/>
      <c r="AA625" s="726"/>
      <c r="AB625" s="726"/>
      <c r="AC625" s="170"/>
      <c r="AD625" s="586"/>
      <c r="AE625" s="586"/>
      <c r="AF625" s="170"/>
      <c r="AG625" s="170"/>
      <c r="AH625" s="170"/>
      <c r="AI625" s="170"/>
      <c r="AJ625" s="170"/>
      <c r="AK625" s="170"/>
      <c r="AL625" s="170"/>
      <c r="AM625" s="170"/>
      <c r="AN625" s="170"/>
      <c r="AO625" s="170"/>
      <c r="AP625" s="170"/>
      <c r="AQ625" s="170"/>
      <c r="AR625" s="170"/>
      <c r="AS625" s="170"/>
      <c r="AT625" s="170"/>
      <c r="AU625" s="170"/>
      <c r="AV625" s="170"/>
      <c r="AW625" s="170"/>
      <c r="AX625" s="170"/>
    </row>
    <row r="626" spans="1:50" ht="15" x14ac:dyDescent="0.25">
      <c r="A626" s="170"/>
      <c r="B626" s="719"/>
      <c r="C626" s="170"/>
      <c r="D626" s="170"/>
      <c r="E626" s="170"/>
      <c r="F626" s="170"/>
      <c r="G626" s="721"/>
      <c r="H626" s="170"/>
      <c r="I626" s="170"/>
      <c r="J626" s="170"/>
      <c r="K626" s="170"/>
      <c r="L626" s="170"/>
      <c r="M626" s="730"/>
      <c r="N626" s="730"/>
      <c r="O626" s="730"/>
      <c r="P626" s="731"/>
      <c r="Q626" s="731"/>
      <c r="R626" s="730"/>
      <c r="S626" s="730"/>
      <c r="T626" s="723"/>
      <c r="U626" s="724"/>
      <c r="V626" s="725"/>
      <c r="W626" s="725"/>
      <c r="X626" s="723"/>
      <c r="Y626" s="723"/>
      <c r="Z626" s="723"/>
      <c r="AA626" s="726"/>
      <c r="AB626" s="726"/>
      <c r="AC626" s="170"/>
      <c r="AD626" s="586"/>
      <c r="AE626" s="586"/>
      <c r="AF626" s="170"/>
      <c r="AG626" s="170"/>
      <c r="AH626" s="170"/>
      <c r="AI626" s="170"/>
      <c r="AJ626" s="170"/>
      <c r="AK626" s="170"/>
      <c r="AL626" s="170"/>
      <c r="AM626" s="170"/>
      <c r="AN626" s="170"/>
      <c r="AO626" s="170"/>
      <c r="AP626" s="170"/>
      <c r="AQ626" s="170"/>
      <c r="AR626" s="170"/>
      <c r="AS626" s="170"/>
      <c r="AT626" s="170"/>
      <c r="AU626" s="170"/>
      <c r="AV626" s="170"/>
      <c r="AW626" s="170"/>
      <c r="AX626" s="170"/>
    </row>
    <row r="627" spans="1:50" ht="15" x14ac:dyDescent="0.25">
      <c r="A627" s="170"/>
      <c r="B627" s="719"/>
      <c r="C627" s="170"/>
      <c r="D627" s="170"/>
      <c r="E627" s="170"/>
      <c r="F627" s="170"/>
      <c r="G627" s="721"/>
      <c r="H627" s="170"/>
      <c r="I627" s="170"/>
      <c r="J627" s="170"/>
      <c r="K627" s="170"/>
      <c r="L627" s="170"/>
      <c r="M627" s="730"/>
      <c r="N627" s="730"/>
      <c r="O627" s="730"/>
      <c r="P627" s="731"/>
      <c r="Q627" s="731"/>
      <c r="R627" s="730"/>
      <c r="S627" s="730"/>
      <c r="T627" s="723"/>
      <c r="U627" s="724"/>
      <c r="V627" s="725"/>
      <c r="W627" s="725"/>
      <c r="X627" s="723"/>
      <c r="Y627" s="723"/>
      <c r="Z627" s="723"/>
      <c r="AA627" s="726"/>
      <c r="AB627" s="726"/>
      <c r="AC627" s="170"/>
      <c r="AD627" s="586"/>
      <c r="AE627" s="586"/>
      <c r="AF627" s="170"/>
      <c r="AG627" s="170"/>
      <c r="AH627" s="170"/>
      <c r="AI627" s="170"/>
      <c r="AJ627" s="170"/>
      <c r="AK627" s="170"/>
      <c r="AL627" s="170"/>
      <c r="AM627" s="170"/>
      <c r="AN627" s="170"/>
      <c r="AO627" s="170"/>
      <c r="AP627" s="170"/>
      <c r="AQ627" s="170"/>
      <c r="AR627" s="170"/>
      <c r="AS627" s="170"/>
      <c r="AT627" s="170"/>
      <c r="AU627" s="170"/>
      <c r="AV627" s="170"/>
      <c r="AW627" s="170"/>
      <c r="AX627" s="170"/>
    </row>
    <row r="628" spans="1:50" ht="15" x14ac:dyDescent="0.25">
      <c r="A628" s="170"/>
      <c r="B628" s="719"/>
      <c r="C628" s="170"/>
      <c r="D628" s="170"/>
      <c r="E628" s="170"/>
      <c r="F628" s="170"/>
      <c r="G628" s="721"/>
      <c r="H628" s="170"/>
      <c r="I628" s="170"/>
      <c r="J628" s="170"/>
      <c r="K628" s="170"/>
      <c r="L628" s="170"/>
      <c r="M628" s="730"/>
      <c r="N628" s="730"/>
      <c r="O628" s="730"/>
      <c r="P628" s="731"/>
      <c r="Q628" s="731"/>
      <c r="R628" s="730"/>
      <c r="S628" s="730"/>
      <c r="T628" s="723"/>
      <c r="U628" s="724"/>
      <c r="V628" s="725"/>
      <c r="W628" s="725"/>
      <c r="X628" s="723"/>
      <c r="Y628" s="723"/>
      <c r="Z628" s="723"/>
      <c r="AA628" s="726"/>
      <c r="AB628" s="726"/>
      <c r="AC628" s="170"/>
      <c r="AD628" s="586"/>
      <c r="AE628" s="586"/>
      <c r="AF628" s="170"/>
      <c r="AG628" s="170"/>
      <c r="AH628" s="170"/>
      <c r="AI628" s="170"/>
      <c r="AJ628" s="170"/>
      <c r="AK628" s="170"/>
      <c r="AL628" s="170"/>
      <c r="AM628" s="170"/>
      <c r="AN628" s="170"/>
      <c r="AO628" s="170"/>
      <c r="AP628" s="170"/>
      <c r="AQ628" s="170"/>
      <c r="AR628" s="170"/>
      <c r="AS628" s="170"/>
      <c r="AT628" s="170"/>
      <c r="AU628" s="170"/>
      <c r="AV628" s="170"/>
      <c r="AW628" s="170"/>
      <c r="AX628" s="170"/>
    </row>
    <row r="629" spans="1:50" ht="15" x14ac:dyDescent="0.25">
      <c r="A629" s="170"/>
      <c r="B629" s="719"/>
      <c r="C629" s="170"/>
      <c r="D629" s="170"/>
      <c r="E629" s="170"/>
      <c r="F629" s="170"/>
      <c r="G629" s="721"/>
      <c r="H629" s="170"/>
      <c r="I629" s="170"/>
      <c r="J629" s="170"/>
      <c r="K629" s="170"/>
      <c r="L629" s="170"/>
      <c r="M629" s="730"/>
      <c r="N629" s="730"/>
      <c r="O629" s="730"/>
      <c r="P629" s="731"/>
      <c r="Q629" s="731"/>
      <c r="R629" s="730"/>
      <c r="S629" s="730"/>
      <c r="T629" s="723"/>
      <c r="U629" s="724"/>
      <c r="V629" s="725"/>
      <c r="W629" s="725"/>
      <c r="X629" s="723"/>
      <c r="Y629" s="723"/>
      <c r="Z629" s="723"/>
      <c r="AA629" s="726"/>
      <c r="AB629" s="726"/>
      <c r="AC629" s="170"/>
      <c r="AD629" s="586"/>
      <c r="AE629" s="586"/>
      <c r="AF629" s="170"/>
      <c r="AG629" s="170"/>
      <c r="AH629" s="170"/>
      <c r="AI629" s="170"/>
      <c r="AJ629" s="170"/>
      <c r="AK629" s="170"/>
      <c r="AL629" s="170"/>
      <c r="AM629" s="170"/>
      <c r="AN629" s="170"/>
      <c r="AO629" s="170"/>
      <c r="AP629" s="170"/>
      <c r="AQ629" s="170"/>
      <c r="AR629" s="170"/>
      <c r="AS629" s="170"/>
      <c r="AT629" s="170"/>
      <c r="AU629" s="170"/>
      <c r="AV629" s="170"/>
      <c r="AW629" s="170"/>
      <c r="AX629" s="170"/>
    </row>
    <row r="630" spans="1:50" ht="15" x14ac:dyDescent="0.25">
      <c r="A630" s="170"/>
      <c r="B630" s="719"/>
      <c r="C630" s="170"/>
      <c r="D630" s="170"/>
      <c r="E630" s="170"/>
      <c r="F630" s="170"/>
      <c r="G630" s="721"/>
      <c r="H630" s="170"/>
      <c r="I630" s="170"/>
      <c r="J630" s="170"/>
      <c r="K630" s="170"/>
      <c r="L630" s="170"/>
      <c r="M630" s="730"/>
      <c r="N630" s="730"/>
      <c r="O630" s="730"/>
      <c r="P630" s="731"/>
      <c r="Q630" s="731"/>
      <c r="R630" s="730"/>
      <c r="S630" s="730"/>
      <c r="T630" s="723"/>
      <c r="U630" s="724"/>
      <c r="V630" s="725"/>
      <c r="W630" s="725"/>
      <c r="X630" s="723"/>
      <c r="Y630" s="723"/>
      <c r="Z630" s="723"/>
      <c r="AA630" s="726"/>
      <c r="AB630" s="726"/>
      <c r="AC630" s="170"/>
      <c r="AD630" s="586"/>
      <c r="AE630" s="586"/>
      <c r="AF630" s="170"/>
      <c r="AG630" s="170"/>
      <c r="AH630" s="170"/>
      <c r="AI630" s="170"/>
      <c r="AJ630" s="170"/>
      <c r="AK630" s="170"/>
      <c r="AL630" s="170"/>
      <c r="AM630" s="170"/>
      <c r="AN630" s="170"/>
      <c r="AO630" s="170"/>
      <c r="AP630" s="170"/>
      <c r="AQ630" s="170"/>
      <c r="AR630" s="170"/>
      <c r="AS630" s="170"/>
      <c r="AT630" s="170"/>
      <c r="AU630" s="170"/>
      <c r="AV630" s="170"/>
      <c r="AW630" s="170"/>
      <c r="AX630" s="170"/>
    </row>
    <row r="631" spans="1:50" ht="15" x14ac:dyDescent="0.25">
      <c r="A631" s="170"/>
      <c r="B631" s="719"/>
      <c r="C631" s="170"/>
      <c r="D631" s="170"/>
      <c r="E631" s="170"/>
      <c r="F631" s="170"/>
      <c r="G631" s="721"/>
      <c r="H631" s="170"/>
      <c r="I631" s="170"/>
      <c r="J631" s="170"/>
      <c r="K631" s="170"/>
      <c r="L631" s="170"/>
      <c r="M631" s="730"/>
      <c r="N631" s="730"/>
      <c r="O631" s="730"/>
      <c r="P631" s="731"/>
      <c r="Q631" s="731"/>
      <c r="R631" s="730"/>
      <c r="S631" s="730"/>
      <c r="T631" s="723"/>
      <c r="U631" s="724"/>
      <c r="V631" s="725"/>
      <c r="W631" s="725"/>
      <c r="X631" s="723"/>
      <c r="Y631" s="723"/>
      <c r="Z631" s="723"/>
      <c r="AA631" s="726"/>
      <c r="AB631" s="726"/>
      <c r="AC631" s="170"/>
      <c r="AD631" s="586"/>
      <c r="AE631" s="586"/>
      <c r="AF631" s="170"/>
      <c r="AG631" s="170"/>
      <c r="AH631" s="170"/>
      <c r="AI631" s="170"/>
      <c r="AJ631" s="170"/>
      <c r="AK631" s="170"/>
      <c r="AL631" s="170"/>
      <c r="AM631" s="170"/>
      <c r="AN631" s="170"/>
      <c r="AO631" s="170"/>
      <c r="AP631" s="170"/>
      <c r="AQ631" s="170"/>
      <c r="AR631" s="170"/>
      <c r="AS631" s="170"/>
      <c r="AT631" s="170"/>
      <c r="AU631" s="170"/>
      <c r="AV631" s="170"/>
      <c r="AW631" s="170"/>
      <c r="AX631" s="170"/>
    </row>
    <row r="632" spans="1:50" ht="15" x14ac:dyDescent="0.25">
      <c r="A632" s="170"/>
      <c r="B632" s="719"/>
      <c r="C632" s="170"/>
      <c r="D632" s="170"/>
      <c r="E632" s="170"/>
      <c r="F632" s="170"/>
      <c r="G632" s="721"/>
      <c r="H632" s="170"/>
      <c r="I632" s="170"/>
      <c r="J632" s="170"/>
      <c r="K632" s="170"/>
      <c r="L632" s="170"/>
      <c r="M632" s="730"/>
      <c r="N632" s="730"/>
      <c r="O632" s="730"/>
      <c r="P632" s="731"/>
      <c r="Q632" s="731"/>
      <c r="R632" s="730"/>
      <c r="S632" s="730"/>
      <c r="T632" s="723"/>
      <c r="U632" s="724"/>
      <c r="V632" s="725"/>
      <c r="W632" s="725"/>
      <c r="X632" s="723"/>
      <c r="Y632" s="723"/>
      <c r="Z632" s="723"/>
      <c r="AA632" s="726"/>
      <c r="AB632" s="726"/>
      <c r="AC632" s="170"/>
      <c r="AD632" s="586"/>
      <c r="AE632" s="586"/>
      <c r="AF632" s="170"/>
      <c r="AG632" s="170"/>
      <c r="AH632" s="170"/>
      <c r="AI632" s="170"/>
      <c r="AJ632" s="170"/>
      <c r="AK632" s="170"/>
      <c r="AL632" s="170"/>
      <c r="AM632" s="170"/>
      <c r="AN632" s="170"/>
      <c r="AO632" s="170"/>
      <c r="AP632" s="170"/>
      <c r="AQ632" s="170"/>
      <c r="AR632" s="170"/>
      <c r="AS632" s="170"/>
      <c r="AT632" s="170"/>
      <c r="AU632" s="170"/>
      <c r="AV632" s="170"/>
      <c r="AW632" s="170"/>
      <c r="AX632" s="170"/>
    </row>
    <row r="633" spans="1:50" ht="15" x14ac:dyDescent="0.25">
      <c r="A633" s="170"/>
      <c r="B633" s="719"/>
      <c r="C633" s="170"/>
      <c r="D633" s="170"/>
      <c r="E633" s="170"/>
      <c r="F633" s="170"/>
      <c r="G633" s="721"/>
      <c r="H633" s="170"/>
      <c r="I633" s="170"/>
      <c r="J633" s="170"/>
      <c r="K633" s="170"/>
      <c r="L633" s="170"/>
      <c r="M633" s="730"/>
      <c r="N633" s="730"/>
      <c r="O633" s="730"/>
      <c r="P633" s="731"/>
      <c r="Q633" s="731"/>
      <c r="R633" s="730"/>
      <c r="S633" s="730"/>
      <c r="T633" s="723"/>
      <c r="U633" s="724"/>
      <c r="V633" s="725"/>
      <c r="W633" s="725"/>
      <c r="X633" s="723"/>
      <c r="Y633" s="723"/>
      <c r="Z633" s="723"/>
      <c r="AA633" s="726"/>
      <c r="AB633" s="726"/>
      <c r="AC633" s="170"/>
      <c r="AD633" s="586"/>
      <c r="AE633" s="586"/>
      <c r="AF633" s="170"/>
      <c r="AG633" s="170"/>
      <c r="AH633" s="170"/>
      <c r="AI633" s="170"/>
      <c r="AJ633" s="170"/>
      <c r="AK633" s="170"/>
      <c r="AL633" s="170"/>
      <c r="AM633" s="170"/>
      <c r="AN633" s="170"/>
      <c r="AO633" s="170"/>
      <c r="AP633" s="170"/>
      <c r="AQ633" s="170"/>
      <c r="AR633" s="170"/>
      <c r="AS633" s="170"/>
      <c r="AT633" s="170"/>
      <c r="AU633" s="170"/>
      <c r="AV633" s="170"/>
      <c r="AW633" s="170"/>
      <c r="AX633" s="170"/>
    </row>
    <row r="634" spans="1:50" ht="15" x14ac:dyDescent="0.25">
      <c r="A634" s="170"/>
      <c r="B634" s="719"/>
      <c r="C634" s="170"/>
      <c r="D634" s="170"/>
      <c r="E634" s="170"/>
      <c r="F634" s="170"/>
      <c r="G634" s="721"/>
      <c r="H634" s="170"/>
      <c r="I634" s="170"/>
      <c r="J634" s="170"/>
      <c r="K634" s="170"/>
      <c r="L634" s="170"/>
      <c r="M634" s="730"/>
      <c r="N634" s="730"/>
      <c r="O634" s="730"/>
      <c r="P634" s="731"/>
      <c r="Q634" s="731"/>
      <c r="R634" s="730"/>
      <c r="S634" s="730"/>
      <c r="T634" s="723"/>
      <c r="U634" s="724"/>
      <c r="V634" s="725"/>
      <c r="W634" s="725"/>
      <c r="X634" s="723"/>
      <c r="Y634" s="723"/>
      <c r="Z634" s="723"/>
      <c r="AA634" s="726"/>
      <c r="AB634" s="726"/>
      <c r="AC634" s="170"/>
      <c r="AD634" s="586"/>
      <c r="AE634" s="586"/>
      <c r="AF634" s="170"/>
      <c r="AG634" s="170"/>
      <c r="AH634" s="170"/>
      <c r="AI634" s="170"/>
      <c r="AJ634" s="170"/>
      <c r="AK634" s="170"/>
      <c r="AL634" s="170"/>
      <c r="AM634" s="170"/>
      <c r="AN634" s="170"/>
      <c r="AO634" s="170"/>
      <c r="AP634" s="170"/>
      <c r="AQ634" s="170"/>
      <c r="AR634" s="170"/>
      <c r="AS634" s="170"/>
      <c r="AT634" s="170"/>
      <c r="AU634" s="170"/>
      <c r="AV634" s="170"/>
      <c r="AW634" s="170"/>
      <c r="AX634" s="170"/>
    </row>
    <row r="635" spans="1:50" ht="15" x14ac:dyDescent="0.25">
      <c r="A635" s="170"/>
      <c r="B635" s="719"/>
      <c r="C635" s="170"/>
      <c r="D635" s="170"/>
      <c r="E635" s="170"/>
      <c r="F635" s="170"/>
      <c r="G635" s="721"/>
      <c r="H635" s="170"/>
      <c r="I635" s="170"/>
      <c r="J635" s="170"/>
      <c r="K635" s="170"/>
      <c r="L635" s="170"/>
      <c r="M635" s="730"/>
      <c r="N635" s="730"/>
      <c r="O635" s="730"/>
      <c r="P635" s="731"/>
      <c r="Q635" s="731"/>
      <c r="R635" s="730"/>
      <c r="S635" s="730"/>
      <c r="T635" s="723"/>
      <c r="U635" s="724"/>
      <c r="V635" s="725"/>
      <c r="W635" s="725"/>
      <c r="X635" s="723"/>
      <c r="Y635" s="723"/>
      <c r="Z635" s="723"/>
      <c r="AA635" s="726"/>
      <c r="AB635" s="726"/>
      <c r="AC635" s="170"/>
      <c r="AD635" s="586"/>
      <c r="AE635" s="586"/>
      <c r="AF635" s="170"/>
      <c r="AG635" s="170"/>
      <c r="AH635" s="170"/>
      <c r="AI635" s="170"/>
      <c r="AJ635" s="170"/>
      <c r="AK635" s="170"/>
      <c r="AL635" s="170"/>
      <c r="AM635" s="170"/>
      <c r="AN635" s="170"/>
      <c r="AO635" s="170"/>
      <c r="AP635" s="170"/>
      <c r="AQ635" s="170"/>
      <c r="AR635" s="170"/>
      <c r="AS635" s="170"/>
      <c r="AT635" s="170"/>
      <c r="AU635" s="170"/>
      <c r="AV635" s="170"/>
      <c r="AW635" s="170"/>
      <c r="AX635" s="170"/>
    </row>
    <row r="636" spans="1:50" ht="15" x14ac:dyDescent="0.25">
      <c r="A636" s="170"/>
      <c r="B636" s="719"/>
      <c r="C636" s="170"/>
      <c r="D636" s="170"/>
      <c r="E636" s="170"/>
      <c r="F636" s="170"/>
      <c r="G636" s="721"/>
      <c r="H636" s="170"/>
      <c r="I636" s="170"/>
      <c r="J636" s="170"/>
      <c r="K636" s="170"/>
      <c r="L636" s="170"/>
      <c r="M636" s="730"/>
      <c r="N636" s="730"/>
      <c r="O636" s="730"/>
      <c r="P636" s="731"/>
      <c r="Q636" s="731"/>
      <c r="R636" s="730"/>
      <c r="S636" s="730"/>
      <c r="T636" s="723"/>
      <c r="U636" s="724"/>
      <c r="V636" s="725"/>
      <c r="W636" s="725"/>
      <c r="X636" s="723"/>
      <c r="Y636" s="723"/>
      <c r="Z636" s="723"/>
      <c r="AA636" s="726"/>
      <c r="AB636" s="726"/>
      <c r="AC636" s="170"/>
      <c r="AD636" s="586"/>
      <c r="AE636" s="586"/>
      <c r="AF636" s="170"/>
      <c r="AG636" s="170"/>
      <c r="AH636" s="170"/>
      <c r="AI636" s="170"/>
      <c r="AJ636" s="170"/>
      <c r="AK636" s="170"/>
      <c r="AL636" s="170"/>
      <c r="AM636" s="170"/>
      <c r="AN636" s="170"/>
      <c r="AO636" s="170"/>
      <c r="AP636" s="170"/>
      <c r="AQ636" s="170"/>
      <c r="AR636" s="170"/>
      <c r="AS636" s="170"/>
      <c r="AT636" s="170"/>
      <c r="AU636" s="170"/>
      <c r="AV636" s="170"/>
      <c r="AW636" s="170"/>
      <c r="AX636" s="170"/>
    </row>
    <row r="637" spans="1:50" ht="15" x14ac:dyDescent="0.25">
      <c r="A637" s="170"/>
      <c r="B637" s="719"/>
      <c r="C637" s="170"/>
      <c r="D637" s="170"/>
      <c r="E637" s="170"/>
      <c r="F637" s="170"/>
      <c r="G637" s="721"/>
      <c r="H637" s="170"/>
      <c r="I637" s="170"/>
      <c r="J637" s="170"/>
      <c r="K637" s="170"/>
      <c r="L637" s="170"/>
      <c r="M637" s="730"/>
      <c r="N637" s="730"/>
      <c r="O637" s="730"/>
      <c r="P637" s="731"/>
      <c r="Q637" s="731"/>
      <c r="R637" s="730"/>
      <c r="S637" s="730"/>
      <c r="T637" s="723"/>
      <c r="U637" s="724"/>
      <c r="V637" s="725"/>
      <c r="W637" s="725"/>
      <c r="X637" s="723"/>
      <c r="Y637" s="723"/>
      <c r="Z637" s="723"/>
      <c r="AA637" s="726"/>
      <c r="AB637" s="726"/>
      <c r="AC637" s="170"/>
      <c r="AD637" s="586"/>
      <c r="AE637" s="586"/>
      <c r="AF637" s="170"/>
      <c r="AG637" s="170"/>
      <c r="AH637" s="170"/>
      <c r="AI637" s="170"/>
      <c r="AJ637" s="170"/>
      <c r="AK637" s="170"/>
      <c r="AL637" s="170"/>
      <c r="AM637" s="170"/>
      <c r="AN637" s="170"/>
      <c r="AO637" s="170"/>
      <c r="AP637" s="170"/>
      <c r="AQ637" s="170"/>
      <c r="AR637" s="170"/>
      <c r="AS637" s="170"/>
      <c r="AT637" s="170"/>
      <c r="AU637" s="170"/>
      <c r="AV637" s="170"/>
      <c r="AW637" s="170"/>
      <c r="AX637" s="170"/>
    </row>
    <row r="638" spans="1:50" ht="15" x14ac:dyDescent="0.25">
      <c r="A638" s="170"/>
      <c r="B638" s="719"/>
      <c r="C638" s="170"/>
      <c r="D638" s="170"/>
      <c r="E638" s="170"/>
      <c r="F638" s="170"/>
      <c r="G638" s="721"/>
      <c r="H638" s="170"/>
      <c r="I638" s="170"/>
      <c r="J638" s="170"/>
      <c r="K638" s="170"/>
      <c r="L638" s="170"/>
      <c r="M638" s="730"/>
      <c r="N638" s="730"/>
      <c r="O638" s="730"/>
      <c r="P638" s="731"/>
      <c r="Q638" s="731"/>
      <c r="R638" s="730"/>
      <c r="S638" s="730"/>
      <c r="T638" s="723"/>
      <c r="U638" s="724"/>
      <c r="V638" s="725"/>
      <c r="W638" s="725"/>
      <c r="X638" s="723"/>
      <c r="Y638" s="723"/>
      <c r="Z638" s="723"/>
      <c r="AA638" s="726"/>
      <c r="AB638" s="726"/>
      <c r="AC638" s="170"/>
      <c r="AD638" s="586"/>
      <c r="AE638" s="586"/>
      <c r="AF638" s="170"/>
      <c r="AG638" s="170"/>
      <c r="AH638" s="170"/>
      <c r="AI638" s="170"/>
      <c r="AJ638" s="170"/>
      <c r="AK638" s="170"/>
      <c r="AL638" s="170"/>
      <c r="AM638" s="170"/>
      <c r="AN638" s="170"/>
      <c r="AO638" s="170"/>
      <c r="AP638" s="170"/>
      <c r="AQ638" s="170"/>
      <c r="AR638" s="170"/>
      <c r="AS638" s="170"/>
      <c r="AT638" s="170"/>
      <c r="AU638" s="170"/>
      <c r="AV638" s="170"/>
      <c r="AW638" s="170"/>
      <c r="AX638" s="170"/>
    </row>
    <row r="639" spans="1:50" ht="15" x14ac:dyDescent="0.25">
      <c r="A639" s="170"/>
      <c r="B639" s="719"/>
      <c r="C639" s="170"/>
      <c r="D639" s="170"/>
      <c r="E639" s="170"/>
      <c r="F639" s="170"/>
      <c r="G639" s="721"/>
      <c r="H639" s="170"/>
      <c r="I639" s="170"/>
      <c r="J639" s="170"/>
      <c r="K639" s="170"/>
      <c r="L639" s="170"/>
      <c r="M639" s="730"/>
      <c r="N639" s="730"/>
      <c r="O639" s="730"/>
      <c r="P639" s="731"/>
      <c r="Q639" s="731"/>
      <c r="R639" s="730"/>
      <c r="S639" s="730"/>
      <c r="T639" s="723"/>
      <c r="U639" s="724"/>
      <c r="V639" s="725"/>
      <c r="W639" s="725"/>
      <c r="X639" s="723"/>
      <c r="Y639" s="723"/>
      <c r="Z639" s="723"/>
      <c r="AA639" s="726"/>
      <c r="AB639" s="726"/>
      <c r="AC639" s="170"/>
      <c r="AD639" s="586"/>
      <c r="AE639" s="586"/>
      <c r="AF639" s="170"/>
      <c r="AG639" s="170"/>
      <c r="AH639" s="170"/>
      <c r="AI639" s="170"/>
      <c r="AJ639" s="170"/>
      <c r="AK639" s="170"/>
      <c r="AL639" s="170"/>
      <c r="AM639" s="170"/>
      <c r="AN639" s="170"/>
      <c r="AO639" s="170"/>
      <c r="AP639" s="170"/>
      <c r="AQ639" s="170"/>
      <c r="AR639" s="170"/>
      <c r="AS639" s="170"/>
      <c r="AT639" s="170"/>
      <c r="AU639" s="170"/>
      <c r="AV639" s="170"/>
      <c r="AW639" s="170"/>
      <c r="AX639" s="170"/>
    </row>
    <row r="640" spans="1:50" ht="15" x14ac:dyDescent="0.25">
      <c r="A640" s="170"/>
      <c r="B640" s="719"/>
      <c r="C640" s="170"/>
      <c r="D640" s="170"/>
      <c r="E640" s="170"/>
      <c r="F640" s="170"/>
      <c r="G640" s="721"/>
      <c r="H640" s="170"/>
      <c r="I640" s="170"/>
      <c r="J640" s="170"/>
      <c r="K640" s="170"/>
      <c r="L640" s="170"/>
      <c r="M640" s="730"/>
      <c r="N640" s="730"/>
      <c r="O640" s="730"/>
      <c r="P640" s="731"/>
      <c r="Q640" s="731"/>
      <c r="R640" s="730"/>
      <c r="S640" s="730"/>
      <c r="T640" s="723"/>
      <c r="U640" s="724"/>
      <c r="V640" s="725"/>
      <c r="W640" s="725"/>
      <c r="X640" s="723"/>
      <c r="Y640" s="723"/>
      <c r="Z640" s="723"/>
      <c r="AA640" s="726"/>
      <c r="AB640" s="726"/>
      <c r="AC640" s="170"/>
      <c r="AD640" s="586"/>
      <c r="AE640" s="586"/>
      <c r="AF640" s="170"/>
      <c r="AG640" s="170"/>
      <c r="AH640" s="170"/>
      <c r="AI640" s="170"/>
      <c r="AJ640" s="170"/>
      <c r="AK640" s="170"/>
      <c r="AL640" s="170"/>
      <c r="AM640" s="170"/>
      <c r="AN640" s="170"/>
      <c r="AO640" s="170"/>
      <c r="AP640" s="170"/>
      <c r="AQ640" s="170"/>
      <c r="AR640" s="170"/>
      <c r="AS640" s="170"/>
      <c r="AT640" s="170"/>
      <c r="AU640" s="170"/>
      <c r="AV640" s="170"/>
      <c r="AW640" s="170"/>
      <c r="AX640" s="170"/>
    </row>
    <row r="641" spans="1:50" ht="15" x14ac:dyDescent="0.25">
      <c r="A641" s="170"/>
      <c r="B641" s="719"/>
      <c r="C641" s="170"/>
      <c r="D641" s="170"/>
      <c r="E641" s="170"/>
      <c r="F641" s="170"/>
      <c r="G641" s="721"/>
      <c r="H641" s="170"/>
      <c r="I641" s="170"/>
      <c r="J641" s="170"/>
      <c r="K641" s="170"/>
      <c r="L641" s="170"/>
      <c r="M641" s="730"/>
      <c r="N641" s="730"/>
      <c r="O641" s="730"/>
      <c r="P641" s="731"/>
      <c r="Q641" s="731"/>
      <c r="R641" s="730"/>
      <c r="S641" s="730"/>
      <c r="T641" s="723"/>
      <c r="U641" s="724"/>
      <c r="V641" s="725"/>
      <c r="W641" s="725"/>
      <c r="X641" s="723"/>
      <c r="Y641" s="723"/>
      <c r="Z641" s="723"/>
      <c r="AA641" s="726"/>
      <c r="AB641" s="726"/>
      <c r="AC641" s="170"/>
      <c r="AD641" s="586"/>
      <c r="AE641" s="586"/>
      <c r="AF641" s="170"/>
      <c r="AG641" s="170"/>
      <c r="AH641" s="170"/>
      <c r="AI641" s="170"/>
      <c r="AJ641" s="170"/>
      <c r="AK641" s="170"/>
      <c r="AL641" s="170"/>
      <c r="AM641" s="170"/>
      <c r="AN641" s="170"/>
      <c r="AO641" s="170"/>
      <c r="AP641" s="170"/>
      <c r="AQ641" s="170"/>
      <c r="AR641" s="170"/>
      <c r="AS641" s="170"/>
      <c r="AT641" s="170"/>
      <c r="AU641" s="170"/>
      <c r="AV641" s="170"/>
      <c r="AW641" s="170"/>
      <c r="AX641" s="170"/>
    </row>
    <row r="642" spans="1:50" ht="15" x14ac:dyDescent="0.25">
      <c r="A642" s="170"/>
      <c r="B642" s="719"/>
      <c r="C642" s="170"/>
      <c r="D642" s="170"/>
      <c r="E642" s="170"/>
      <c r="F642" s="170"/>
      <c r="G642" s="721"/>
      <c r="H642" s="170"/>
      <c r="I642" s="170"/>
      <c r="J642" s="170"/>
      <c r="K642" s="170"/>
      <c r="L642" s="170"/>
      <c r="M642" s="730"/>
      <c r="N642" s="730"/>
      <c r="O642" s="730"/>
      <c r="P642" s="731"/>
      <c r="Q642" s="731"/>
      <c r="R642" s="730"/>
      <c r="S642" s="730"/>
      <c r="T642" s="723"/>
      <c r="U642" s="724"/>
      <c r="V642" s="725"/>
      <c r="W642" s="725"/>
      <c r="X642" s="723"/>
      <c r="Y642" s="723"/>
      <c r="Z642" s="723"/>
      <c r="AA642" s="726"/>
      <c r="AB642" s="726"/>
      <c r="AC642" s="170"/>
      <c r="AD642" s="586"/>
      <c r="AE642" s="586"/>
      <c r="AF642" s="170"/>
      <c r="AG642" s="170"/>
      <c r="AH642" s="170"/>
      <c r="AI642" s="170"/>
      <c r="AJ642" s="170"/>
      <c r="AK642" s="170"/>
      <c r="AL642" s="170"/>
      <c r="AM642" s="170"/>
      <c r="AN642" s="170"/>
      <c r="AO642" s="170"/>
      <c r="AP642" s="170"/>
      <c r="AQ642" s="170"/>
      <c r="AR642" s="170"/>
      <c r="AS642" s="170"/>
      <c r="AT642" s="170"/>
      <c r="AU642" s="170"/>
      <c r="AV642" s="170"/>
      <c r="AW642" s="170"/>
      <c r="AX642" s="170"/>
    </row>
    <row r="643" spans="1:50" ht="15" x14ac:dyDescent="0.25">
      <c r="A643" s="170"/>
      <c r="B643" s="719"/>
      <c r="C643" s="170"/>
      <c r="D643" s="170"/>
      <c r="E643" s="170"/>
      <c r="F643" s="170"/>
      <c r="G643" s="721"/>
      <c r="H643" s="170"/>
      <c r="I643" s="170"/>
      <c r="J643" s="170"/>
      <c r="K643" s="170"/>
      <c r="L643" s="170"/>
      <c r="M643" s="730"/>
      <c r="N643" s="730"/>
      <c r="O643" s="730"/>
      <c r="P643" s="731"/>
      <c r="Q643" s="731"/>
      <c r="R643" s="730"/>
      <c r="S643" s="730"/>
      <c r="T643" s="723"/>
      <c r="U643" s="724"/>
      <c r="V643" s="725"/>
      <c r="W643" s="725"/>
      <c r="X643" s="723"/>
      <c r="Y643" s="723"/>
      <c r="Z643" s="723"/>
      <c r="AA643" s="726"/>
      <c r="AB643" s="726"/>
      <c r="AC643" s="170"/>
      <c r="AD643" s="586"/>
      <c r="AE643" s="586"/>
      <c r="AF643" s="170"/>
      <c r="AG643" s="170"/>
      <c r="AH643" s="170"/>
      <c r="AI643" s="170"/>
      <c r="AJ643" s="170"/>
      <c r="AK643" s="170"/>
      <c r="AL643" s="170"/>
      <c r="AM643" s="170"/>
      <c r="AN643" s="170"/>
      <c r="AO643" s="170"/>
      <c r="AP643" s="170"/>
      <c r="AQ643" s="170"/>
      <c r="AR643" s="170"/>
      <c r="AS643" s="170"/>
      <c r="AT643" s="170"/>
      <c r="AU643" s="170"/>
      <c r="AV643" s="170"/>
      <c r="AW643" s="170"/>
      <c r="AX643" s="170"/>
    </row>
    <row r="644" spans="1:50" ht="15" x14ac:dyDescent="0.25">
      <c r="A644" s="170"/>
      <c r="B644" s="719"/>
      <c r="C644" s="170"/>
      <c r="D644" s="170"/>
      <c r="E644" s="170"/>
      <c r="F644" s="170"/>
      <c r="G644" s="721"/>
      <c r="H644" s="170"/>
      <c r="I644" s="170"/>
      <c r="J644" s="170"/>
      <c r="K644" s="170"/>
      <c r="L644" s="170"/>
      <c r="M644" s="730"/>
      <c r="N644" s="730"/>
      <c r="O644" s="730"/>
      <c r="P644" s="731"/>
      <c r="Q644" s="731"/>
      <c r="R644" s="730"/>
      <c r="S644" s="730"/>
      <c r="T644" s="723"/>
      <c r="U644" s="724"/>
      <c r="V644" s="725"/>
      <c r="W644" s="725"/>
      <c r="X644" s="723"/>
      <c r="Y644" s="723"/>
      <c r="Z644" s="723"/>
      <c r="AA644" s="726"/>
      <c r="AB644" s="726"/>
      <c r="AC644" s="170"/>
      <c r="AD644" s="586"/>
      <c r="AE644" s="586"/>
      <c r="AF644" s="170"/>
      <c r="AG644" s="170"/>
      <c r="AH644" s="170"/>
      <c r="AI644" s="170"/>
      <c r="AJ644" s="170"/>
      <c r="AK644" s="170"/>
      <c r="AL644" s="170"/>
      <c r="AM644" s="170"/>
      <c r="AN644" s="170"/>
      <c r="AO644" s="170"/>
      <c r="AP644" s="170"/>
      <c r="AQ644" s="170"/>
      <c r="AR644" s="170"/>
      <c r="AS644" s="170"/>
      <c r="AT644" s="170"/>
      <c r="AU644" s="170"/>
      <c r="AV644" s="170"/>
      <c r="AW644" s="170"/>
      <c r="AX644" s="170"/>
    </row>
    <row r="645" spans="1:50" ht="15" x14ac:dyDescent="0.25">
      <c r="A645" s="170"/>
      <c r="B645" s="719"/>
      <c r="C645" s="170"/>
      <c r="D645" s="170"/>
      <c r="E645" s="170"/>
      <c r="F645" s="170"/>
      <c r="G645" s="721"/>
      <c r="H645" s="170"/>
      <c r="I645" s="170"/>
      <c r="J645" s="170"/>
      <c r="K645" s="170"/>
      <c r="L645" s="170"/>
      <c r="M645" s="730"/>
      <c r="N645" s="730"/>
      <c r="O645" s="730"/>
      <c r="P645" s="731"/>
      <c r="Q645" s="731"/>
      <c r="R645" s="730"/>
      <c r="S645" s="730"/>
      <c r="T645" s="723"/>
      <c r="U645" s="724"/>
      <c r="V645" s="725"/>
      <c r="W645" s="725"/>
      <c r="X645" s="723"/>
      <c r="Y645" s="723"/>
      <c r="Z645" s="723"/>
      <c r="AA645" s="726"/>
      <c r="AB645" s="726"/>
      <c r="AC645" s="170"/>
      <c r="AD645" s="586"/>
      <c r="AE645" s="586"/>
      <c r="AF645" s="170"/>
      <c r="AG645" s="170"/>
      <c r="AH645" s="170"/>
      <c r="AI645" s="170"/>
      <c r="AJ645" s="170"/>
      <c r="AK645" s="170"/>
      <c r="AL645" s="170"/>
      <c r="AM645" s="170"/>
      <c r="AN645" s="170"/>
      <c r="AO645" s="170"/>
      <c r="AP645" s="170"/>
      <c r="AQ645" s="170"/>
      <c r="AR645" s="170"/>
      <c r="AS645" s="170"/>
      <c r="AT645" s="170"/>
      <c r="AU645" s="170"/>
      <c r="AV645" s="170"/>
      <c r="AW645" s="170"/>
      <c r="AX645" s="170"/>
    </row>
    <row r="646" spans="1:50" ht="15" x14ac:dyDescent="0.25">
      <c r="A646" s="170"/>
      <c r="B646" s="719"/>
      <c r="C646" s="170"/>
      <c r="D646" s="170"/>
      <c r="E646" s="170"/>
      <c r="F646" s="170"/>
      <c r="G646" s="721"/>
      <c r="H646" s="170"/>
      <c r="I646" s="170"/>
      <c r="J646" s="170"/>
      <c r="K646" s="170"/>
      <c r="L646" s="170"/>
      <c r="M646" s="730"/>
      <c r="N646" s="730"/>
      <c r="O646" s="730"/>
      <c r="P646" s="731"/>
      <c r="Q646" s="731"/>
      <c r="R646" s="730"/>
      <c r="S646" s="730"/>
      <c r="T646" s="723"/>
      <c r="U646" s="724"/>
      <c r="V646" s="725"/>
      <c r="W646" s="725"/>
      <c r="X646" s="723"/>
      <c r="Y646" s="723"/>
      <c r="Z646" s="723"/>
      <c r="AA646" s="726"/>
      <c r="AB646" s="726"/>
      <c r="AC646" s="170"/>
      <c r="AD646" s="586"/>
      <c r="AE646" s="586"/>
      <c r="AF646" s="170"/>
      <c r="AG646" s="170"/>
      <c r="AH646" s="170"/>
      <c r="AI646" s="170"/>
      <c r="AJ646" s="170"/>
      <c r="AK646" s="170"/>
      <c r="AL646" s="170"/>
      <c r="AM646" s="170"/>
      <c r="AN646" s="170"/>
      <c r="AO646" s="170"/>
      <c r="AP646" s="170"/>
      <c r="AQ646" s="170"/>
      <c r="AR646" s="170"/>
      <c r="AS646" s="170"/>
      <c r="AT646" s="170"/>
      <c r="AU646" s="170"/>
      <c r="AV646" s="170"/>
      <c r="AW646" s="170"/>
      <c r="AX646" s="170"/>
    </row>
    <row r="647" spans="1:50" ht="15" x14ac:dyDescent="0.25">
      <c r="A647" s="170"/>
      <c r="B647" s="719"/>
      <c r="C647" s="170"/>
      <c r="D647" s="170"/>
      <c r="E647" s="170"/>
      <c r="F647" s="170"/>
      <c r="G647" s="721"/>
      <c r="H647" s="170"/>
      <c r="I647" s="170"/>
      <c r="J647" s="170"/>
      <c r="K647" s="170"/>
      <c r="L647" s="170"/>
      <c r="M647" s="730"/>
      <c r="N647" s="730"/>
      <c r="O647" s="730"/>
      <c r="P647" s="731"/>
      <c r="Q647" s="731"/>
      <c r="R647" s="730"/>
      <c r="S647" s="730"/>
      <c r="T647" s="723"/>
      <c r="U647" s="724"/>
      <c r="V647" s="725"/>
      <c r="W647" s="725"/>
      <c r="X647" s="723"/>
      <c r="Y647" s="723"/>
      <c r="Z647" s="723"/>
      <c r="AA647" s="726"/>
      <c r="AB647" s="726"/>
      <c r="AC647" s="170"/>
      <c r="AD647" s="586"/>
      <c r="AE647" s="586"/>
      <c r="AF647" s="170"/>
      <c r="AG647" s="170"/>
      <c r="AH647" s="170"/>
      <c r="AI647" s="170"/>
      <c r="AJ647" s="170"/>
      <c r="AK647" s="170"/>
      <c r="AL647" s="170"/>
      <c r="AM647" s="170"/>
      <c r="AN647" s="170"/>
      <c r="AO647" s="170"/>
      <c r="AP647" s="170"/>
      <c r="AQ647" s="170"/>
      <c r="AR647" s="170"/>
      <c r="AS647" s="170"/>
      <c r="AT647" s="170"/>
      <c r="AU647" s="170"/>
      <c r="AV647" s="170"/>
      <c r="AW647" s="170"/>
      <c r="AX647" s="170"/>
    </row>
    <row r="648" spans="1:50" ht="15" x14ac:dyDescent="0.25">
      <c r="A648" s="170"/>
      <c r="B648" s="719"/>
      <c r="C648" s="170"/>
      <c r="D648" s="170"/>
      <c r="E648" s="170"/>
      <c r="F648" s="170"/>
      <c r="G648" s="721"/>
      <c r="H648" s="170"/>
      <c r="I648" s="170"/>
      <c r="J648" s="170"/>
      <c r="K648" s="170"/>
      <c r="L648" s="170"/>
      <c r="M648" s="730"/>
      <c r="N648" s="730"/>
      <c r="O648" s="730"/>
      <c r="P648" s="731"/>
      <c r="Q648" s="731"/>
      <c r="R648" s="730"/>
      <c r="S648" s="730"/>
      <c r="T648" s="723"/>
      <c r="U648" s="724"/>
      <c r="V648" s="725"/>
      <c r="W648" s="725"/>
      <c r="X648" s="723"/>
      <c r="Y648" s="723"/>
      <c r="Z648" s="723"/>
      <c r="AA648" s="726"/>
      <c r="AB648" s="726"/>
      <c r="AC648" s="170"/>
      <c r="AD648" s="586"/>
      <c r="AE648" s="586"/>
      <c r="AF648" s="170"/>
      <c r="AG648" s="170"/>
      <c r="AH648" s="170"/>
      <c r="AI648" s="170"/>
      <c r="AJ648" s="170"/>
      <c r="AK648" s="170"/>
      <c r="AL648" s="170"/>
      <c r="AM648" s="170"/>
      <c r="AN648" s="170"/>
      <c r="AO648" s="170"/>
      <c r="AP648" s="170"/>
      <c r="AQ648" s="170"/>
      <c r="AR648" s="170"/>
      <c r="AS648" s="170"/>
      <c r="AT648" s="170"/>
      <c r="AU648" s="170"/>
      <c r="AV648" s="170"/>
      <c r="AW648" s="170"/>
      <c r="AX648" s="170"/>
    </row>
    <row r="649" spans="1:50" ht="15" x14ac:dyDescent="0.25">
      <c r="A649" s="170"/>
      <c r="B649" s="719"/>
      <c r="C649" s="170"/>
      <c r="D649" s="170"/>
      <c r="E649" s="170"/>
      <c r="F649" s="170"/>
      <c r="G649" s="721"/>
      <c r="H649" s="170"/>
      <c r="I649" s="170"/>
      <c r="J649" s="170"/>
      <c r="K649" s="170"/>
      <c r="L649" s="170"/>
      <c r="M649" s="730"/>
      <c r="N649" s="730"/>
      <c r="O649" s="730"/>
      <c r="P649" s="731"/>
      <c r="Q649" s="731"/>
      <c r="R649" s="730"/>
      <c r="S649" s="730"/>
      <c r="T649" s="723"/>
      <c r="U649" s="724"/>
      <c r="V649" s="725"/>
      <c r="W649" s="725"/>
      <c r="X649" s="723"/>
      <c r="Y649" s="723"/>
      <c r="Z649" s="723"/>
      <c r="AA649" s="726"/>
      <c r="AB649" s="726"/>
      <c r="AC649" s="170"/>
      <c r="AD649" s="586"/>
      <c r="AE649" s="586"/>
      <c r="AF649" s="170"/>
      <c r="AG649" s="170"/>
      <c r="AH649" s="170"/>
      <c r="AI649" s="170"/>
      <c r="AJ649" s="170"/>
      <c r="AK649" s="170"/>
      <c r="AL649" s="170"/>
      <c r="AM649" s="170"/>
      <c r="AN649" s="170"/>
      <c r="AO649" s="170"/>
      <c r="AP649" s="170"/>
      <c r="AQ649" s="170"/>
      <c r="AR649" s="170"/>
      <c r="AS649" s="170"/>
      <c r="AT649" s="170"/>
      <c r="AU649" s="170"/>
      <c r="AV649" s="170"/>
      <c r="AW649" s="170"/>
      <c r="AX649" s="170"/>
    </row>
    <row r="650" spans="1:50" ht="15" x14ac:dyDescent="0.25">
      <c r="A650" s="170"/>
      <c r="B650" s="719"/>
      <c r="C650" s="170"/>
      <c r="D650" s="170"/>
      <c r="E650" s="170"/>
      <c r="F650" s="170"/>
      <c r="G650" s="721"/>
      <c r="H650" s="170"/>
      <c r="I650" s="170"/>
      <c r="J650" s="170"/>
      <c r="K650" s="170"/>
      <c r="L650" s="170"/>
      <c r="M650" s="730"/>
      <c r="N650" s="730"/>
      <c r="O650" s="730"/>
      <c r="P650" s="731"/>
      <c r="Q650" s="731"/>
      <c r="R650" s="730"/>
      <c r="S650" s="730"/>
      <c r="T650" s="723"/>
      <c r="U650" s="724"/>
      <c r="V650" s="725"/>
      <c r="W650" s="725"/>
      <c r="X650" s="723"/>
      <c r="Y650" s="723"/>
      <c r="Z650" s="723"/>
      <c r="AA650" s="726"/>
      <c r="AB650" s="726"/>
      <c r="AC650" s="170"/>
      <c r="AD650" s="586"/>
      <c r="AE650" s="586"/>
      <c r="AF650" s="170"/>
      <c r="AG650" s="170"/>
      <c r="AH650" s="170"/>
      <c r="AI650" s="170"/>
      <c r="AJ650" s="170"/>
      <c r="AK650" s="170"/>
      <c r="AL650" s="170"/>
      <c r="AM650" s="170"/>
      <c r="AN650" s="170"/>
      <c r="AO650" s="170"/>
      <c r="AP650" s="170"/>
      <c r="AQ650" s="170"/>
      <c r="AR650" s="170"/>
      <c r="AS650" s="170"/>
      <c r="AT650" s="170"/>
      <c r="AU650" s="170"/>
      <c r="AV650" s="170"/>
      <c r="AW650" s="170"/>
      <c r="AX650" s="170"/>
    </row>
    <row r="651" spans="1:50" ht="15" x14ac:dyDescent="0.25">
      <c r="A651" s="170"/>
      <c r="B651" s="719"/>
      <c r="C651" s="170"/>
      <c r="D651" s="170"/>
      <c r="E651" s="170"/>
      <c r="F651" s="170"/>
      <c r="G651" s="721"/>
      <c r="H651" s="170"/>
      <c r="I651" s="170"/>
      <c r="J651" s="170"/>
      <c r="K651" s="170"/>
      <c r="L651" s="170"/>
      <c r="M651" s="730"/>
      <c r="N651" s="730"/>
      <c r="O651" s="730"/>
      <c r="P651" s="731"/>
      <c r="Q651" s="731"/>
      <c r="R651" s="730"/>
      <c r="S651" s="730"/>
      <c r="T651" s="723"/>
      <c r="U651" s="724"/>
      <c r="V651" s="725"/>
      <c r="W651" s="725"/>
      <c r="X651" s="723"/>
      <c r="Y651" s="723"/>
      <c r="Z651" s="723"/>
      <c r="AA651" s="726"/>
      <c r="AB651" s="726"/>
      <c r="AC651" s="170"/>
      <c r="AD651" s="586"/>
      <c r="AE651" s="586"/>
      <c r="AF651" s="170"/>
      <c r="AG651" s="170"/>
      <c r="AH651" s="170"/>
      <c r="AI651" s="170"/>
      <c r="AJ651" s="170"/>
      <c r="AK651" s="170"/>
      <c r="AL651" s="170"/>
      <c r="AM651" s="170"/>
      <c r="AN651" s="170"/>
      <c r="AO651" s="170"/>
      <c r="AP651" s="170"/>
      <c r="AQ651" s="170"/>
      <c r="AR651" s="170"/>
      <c r="AS651" s="170"/>
      <c r="AT651" s="170"/>
      <c r="AU651" s="170"/>
      <c r="AV651" s="170"/>
      <c r="AW651" s="170"/>
      <c r="AX651" s="170"/>
    </row>
    <row r="652" spans="1:50" ht="15" x14ac:dyDescent="0.25">
      <c r="A652" s="170"/>
      <c r="B652" s="719"/>
      <c r="C652" s="170"/>
      <c r="D652" s="170"/>
      <c r="E652" s="170"/>
      <c r="F652" s="170"/>
      <c r="G652" s="721"/>
      <c r="H652" s="170"/>
      <c r="I652" s="170"/>
      <c r="J652" s="170"/>
      <c r="K652" s="170"/>
      <c r="L652" s="170"/>
      <c r="M652" s="730"/>
      <c r="N652" s="730"/>
      <c r="O652" s="730"/>
      <c r="P652" s="731"/>
      <c r="Q652" s="731"/>
      <c r="R652" s="730"/>
      <c r="S652" s="730"/>
      <c r="T652" s="723"/>
      <c r="U652" s="724"/>
      <c r="V652" s="725"/>
      <c r="W652" s="725"/>
      <c r="X652" s="723"/>
      <c r="Y652" s="723"/>
      <c r="Z652" s="723"/>
      <c r="AA652" s="726"/>
      <c r="AB652" s="726"/>
      <c r="AC652" s="170"/>
      <c r="AD652" s="586"/>
      <c r="AE652" s="586"/>
      <c r="AF652" s="170"/>
      <c r="AG652" s="170"/>
      <c r="AH652" s="170"/>
      <c r="AI652" s="170"/>
      <c r="AJ652" s="170"/>
      <c r="AK652" s="170"/>
      <c r="AL652" s="170"/>
      <c r="AM652" s="170"/>
      <c r="AN652" s="170"/>
      <c r="AO652" s="170"/>
      <c r="AP652" s="170"/>
      <c r="AQ652" s="170"/>
      <c r="AR652" s="170"/>
      <c r="AS652" s="170"/>
      <c r="AT652" s="170"/>
      <c r="AU652" s="170"/>
      <c r="AV652" s="170"/>
      <c r="AW652" s="170"/>
      <c r="AX652" s="170"/>
    </row>
    <row r="653" spans="1:50" ht="15" x14ac:dyDescent="0.25">
      <c r="A653" s="170"/>
      <c r="B653" s="719"/>
      <c r="C653" s="170"/>
      <c r="D653" s="170"/>
      <c r="E653" s="170"/>
      <c r="F653" s="170"/>
      <c r="G653" s="721"/>
      <c r="H653" s="170"/>
      <c r="I653" s="170"/>
      <c r="J653" s="170"/>
      <c r="K653" s="170"/>
      <c r="L653" s="170"/>
      <c r="M653" s="730"/>
      <c r="N653" s="730"/>
      <c r="O653" s="730"/>
      <c r="P653" s="731"/>
      <c r="Q653" s="731"/>
      <c r="R653" s="730"/>
      <c r="S653" s="730"/>
      <c r="T653" s="723"/>
      <c r="U653" s="724"/>
      <c r="V653" s="725"/>
      <c r="W653" s="725"/>
      <c r="X653" s="723"/>
      <c r="Y653" s="723"/>
      <c r="Z653" s="723"/>
      <c r="AA653" s="726"/>
      <c r="AB653" s="726"/>
      <c r="AC653" s="170"/>
      <c r="AD653" s="586"/>
      <c r="AE653" s="586"/>
      <c r="AF653" s="170"/>
      <c r="AG653" s="170"/>
      <c r="AH653" s="170"/>
      <c r="AI653" s="170"/>
      <c r="AJ653" s="170"/>
      <c r="AK653" s="170"/>
      <c r="AL653" s="170"/>
      <c r="AM653" s="170"/>
      <c r="AN653" s="170"/>
      <c r="AO653" s="170"/>
      <c r="AP653" s="170"/>
      <c r="AQ653" s="170"/>
      <c r="AR653" s="170"/>
      <c r="AS653" s="170"/>
      <c r="AT653" s="170"/>
      <c r="AU653" s="170"/>
      <c r="AV653" s="170"/>
      <c r="AW653" s="170"/>
      <c r="AX653" s="170"/>
    </row>
    <row r="654" spans="1:50" ht="15" x14ac:dyDescent="0.25">
      <c r="A654" s="170"/>
      <c r="B654" s="719"/>
      <c r="C654" s="170"/>
      <c r="D654" s="170"/>
      <c r="E654" s="170"/>
      <c r="F654" s="170"/>
      <c r="G654" s="721"/>
      <c r="H654" s="170"/>
      <c r="I654" s="170"/>
      <c r="J654" s="170"/>
      <c r="K654" s="170"/>
      <c r="L654" s="170"/>
      <c r="M654" s="730"/>
      <c r="N654" s="730"/>
      <c r="O654" s="730"/>
      <c r="P654" s="731"/>
      <c r="Q654" s="731"/>
      <c r="R654" s="730"/>
      <c r="S654" s="730"/>
      <c r="T654" s="723"/>
      <c r="U654" s="724"/>
      <c r="V654" s="725"/>
      <c r="W654" s="725"/>
      <c r="X654" s="723"/>
      <c r="Y654" s="723"/>
      <c r="Z654" s="723"/>
      <c r="AA654" s="726"/>
      <c r="AB654" s="726"/>
      <c r="AC654" s="170"/>
      <c r="AD654" s="586"/>
      <c r="AE654" s="586"/>
      <c r="AF654" s="170"/>
      <c r="AG654" s="170"/>
      <c r="AH654" s="170"/>
      <c r="AI654" s="170"/>
      <c r="AJ654" s="170"/>
      <c r="AK654" s="170"/>
      <c r="AL654" s="170"/>
      <c r="AM654" s="170"/>
      <c r="AN654" s="170"/>
      <c r="AO654" s="170"/>
      <c r="AP654" s="170"/>
      <c r="AQ654" s="170"/>
      <c r="AR654" s="170"/>
      <c r="AS654" s="170"/>
      <c r="AT654" s="170"/>
      <c r="AU654" s="170"/>
      <c r="AV654" s="170"/>
      <c r="AW654" s="170"/>
      <c r="AX654" s="170"/>
    </row>
    <row r="655" spans="1:50" ht="15" x14ac:dyDescent="0.25">
      <c r="A655" s="170"/>
      <c r="B655" s="719"/>
      <c r="C655" s="170"/>
      <c r="D655" s="170"/>
      <c r="E655" s="170"/>
      <c r="F655" s="170"/>
      <c r="G655" s="721"/>
      <c r="H655" s="170"/>
      <c r="I655" s="170"/>
      <c r="J655" s="170"/>
      <c r="K655" s="170"/>
      <c r="L655" s="170"/>
      <c r="M655" s="730"/>
      <c r="N655" s="730"/>
      <c r="O655" s="730"/>
      <c r="P655" s="731"/>
      <c r="Q655" s="731"/>
      <c r="R655" s="730"/>
      <c r="S655" s="730"/>
      <c r="T655" s="723"/>
      <c r="U655" s="724"/>
      <c r="V655" s="725"/>
      <c r="W655" s="725"/>
      <c r="X655" s="723"/>
      <c r="Y655" s="723"/>
      <c r="Z655" s="723"/>
      <c r="AA655" s="726"/>
      <c r="AB655" s="726"/>
      <c r="AC655" s="170"/>
      <c r="AD655" s="586"/>
      <c r="AE655" s="586"/>
      <c r="AF655" s="170"/>
      <c r="AG655" s="170"/>
      <c r="AH655" s="170"/>
      <c r="AI655" s="170"/>
      <c r="AJ655" s="170"/>
      <c r="AK655" s="170"/>
      <c r="AL655" s="170"/>
      <c r="AM655" s="170"/>
      <c r="AN655" s="170"/>
      <c r="AO655" s="170"/>
      <c r="AP655" s="170"/>
      <c r="AQ655" s="170"/>
      <c r="AR655" s="170"/>
      <c r="AS655" s="170"/>
      <c r="AT655" s="170"/>
      <c r="AU655" s="170"/>
      <c r="AV655" s="170"/>
      <c r="AW655" s="170"/>
      <c r="AX655" s="170"/>
    </row>
    <row r="656" spans="1:50" ht="15" x14ac:dyDescent="0.25">
      <c r="A656" s="170"/>
      <c r="B656" s="719"/>
      <c r="C656" s="170"/>
      <c r="D656" s="170"/>
      <c r="E656" s="170"/>
      <c r="F656" s="170"/>
      <c r="G656" s="721"/>
      <c r="H656" s="170"/>
      <c r="I656" s="170"/>
      <c r="J656" s="170"/>
      <c r="K656" s="170"/>
      <c r="L656" s="170"/>
      <c r="M656" s="730"/>
      <c r="N656" s="730"/>
      <c r="O656" s="730"/>
      <c r="P656" s="731"/>
      <c r="Q656" s="731"/>
      <c r="R656" s="730"/>
      <c r="S656" s="730"/>
      <c r="T656" s="723"/>
      <c r="U656" s="724"/>
      <c r="V656" s="725"/>
      <c r="W656" s="725"/>
      <c r="X656" s="723"/>
      <c r="Y656" s="723"/>
      <c r="Z656" s="723"/>
      <c r="AA656" s="726"/>
      <c r="AB656" s="726"/>
      <c r="AC656" s="170"/>
      <c r="AD656" s="586"/>
      <c r="AE656" s="586"/>
      <c r="AF656" s="170"/>
      <c r="AG656" s="170"/>
      <c r="AH656" s="170"/>
      <c r="AI656" s="170"/>
      <c r="AJ656" s="170"/>
      <c r="AK656" s="170"/>
      <c r="AL656" s="170"/>
      <c r="AM656" s="170"/>
      <c r="AN656" s="170"/>
      <c r="AO656" s="170"/>
      <c r="AP656" s="170"/>
      <c r="AQ656" s="170"/>
      <c r="AR656" s="170"/>
      <c r="AS656" s="170"/>
      <c r="AT656" s="170"/>
      <c r="AU656" s="170"/>
      <c r="AV656" s="170"/>
      <c r="AW656" s="170"/>
      <c r="AX656" s="170"/>
    </row>
    <row r="657" spans="1:50" ht="15" x14ac:dyDescent="0.25">
      <c r="A657" s="170"/>
      <c r="B657" s="719"/>
      <c r="C657" s="170"/>
      <c r="D657" s="170"/>
      <c r="E657" s="170"/>
      <c r="F657" s="170"/>
      <c r="G657" s="721"/>
      <c r="H657" s="170"/>
      <c r="I657" s="170"/>
      <c r="J657" s="170"/>
      <c r="K657" s="170"/>
      <c r="L657" s="170"/>
      <c r="M657" s="730"/>
      <c r="N657" s="730"/>
      <c r="O657" s="730"/>
      <c r="P657" s="731"/>
      <c r="Q657" s="731"/>
      <c r="R657" s="730"/>
      <c r="S657" s="730"/>
      <c r="T657" s="723"/>
      <c r="U657" s="724"/>
      <c r="V657" s="725"/>
      <c r="W657" s="725"/>
      <c r="X657" s="723"/>
      <c r="Y657" s="723"/>
      <c r="Z657" s="723"/>
      <c r="AA657" s="726"/>
      <c r="AB657" s="726"/>
      <c r="AC657" s="170"/>
      <c r="AD657" s="586"/>
      <c r="AE657" s="586"/>
      <c r="AF657" s="170"/>
      <c r="AG657" s="170"/>
      <c r="AH657" s="170"/>
      <c r="AI657" s="170"/>
      <c r="AJ657" s="170"/>
      <c r="AK657" s="170"/>
      <c r="AL657" s="170"/>
      <c r="AM657" s="170"/>
      <c r="AN657" s="170"/>
      <c r="AO657" s="170"/>
      <c r="AP657" s="170"/>
      <c r="AQ657" s="170"/>
      <c r="AR657" s="170"/>
      <c r="AS657" s="170"/>
      <c r="AT657" s="170"/>
      <c r="AU657" s="170"/>
      <c r="AV657" s="170"/>
      <c r="AW657" s="170"/>
      <c r="AX657" s="170"/>
    </row>
    <row r="658" spans="1:50" ht="15" x14ac:dyDescent="0.25">
      <c r="A658" s="170"/>
      <c r="B658" s="719"/>
      <c r="C658" s="170"/>
      <c r="D658" s="170"/>
      <c r="E658" s="170"/>
      <c r="F658" s="170"/>
      <c r="G658" s="721"/>
      <c r="H658" s="170"/>
      <c r="I658" s="170"/>
      <c r="J658" s="170"/>
      <c r="K658" s="170"/>
      <c r="L658" s="170"/>
      <c r="M658" s="730"/>
      <c r="N658" s="730"/>
      <c r="O658" s="730"/>
      <c r="P658" s="731"/>
      <c r="Q658" s="731"/>
      <c r="R658" s="730"/>
      <c r="S658" s="730"/>
      <c r="T658" s="723"/>
      <c r="U658" s="724"/>
      <c r="V658" s="725"/>
      <c r="W658" s="725"/>
      <c r="X658" s="723"/>
      <c r="Y658" s="723"/>
      <c r="Z658" s="723"/>
      <c r="AA658" s="726"/>
      <c r="AB658" s="726"/>
      <c r="AC658" s="170"/>
      <c r="AD658" s="586"/>
      <c r="AE658" s="586"/>
      <c r="AF658" s="170"/>
      <c r="AG658" s="170"/>
      <c r="AH658" s="170"/>
      <c r="AI658" s="170"/>
      <c r="AJ658" s="170"/>
      <c r="AK658" s="170"/>
      <c r="AL658" s="170"/>
      <c r="AM658" s="170"/>
      <c r="AN658" s="170"/>
      <c r="AO658" s="170"/>
      <c r="AP658" s="170"/>
      <c r="AQ658" s="170"/>
      <c r="AR658" s="170"/>
      <c r="AS658" s="170"/>
      <c r="AT658" s="170"/>
      <c r="AU658" s="170"/>
      <c r="AV658" s="170"/>
      <c r="AW658" s="170"/>
      <c r="AX658" s="170"/>
    </row>
    <row r="659" spans="1:50" ht="15" x14ac:dyDescent="0.25">
      <c r="A659" s="170"/>
      <c r="B659" s="719"/>
      <c r="C659" s="170"/>
      <c r="D659" s="170"/>
      <c r="E659" s="170"/>
      <c r="F659" s="170"/>
      <c r="G659" s="721"/>
      <c r="H659" s="170"/>
      <c r="I659" s="170"/>
      <c r="J659" s="170"/>
      <c r="K659" s="170"/>
      <c r="L659" s="170"/>
      <c r="M659" s="730"/>
      <c r="N659" s="730"/>
      <c r="O659" s="730"/>
      <c r="P659" s="731"/>
      <c r="Q659" s="731"/>
      <c r="R659" s="730"/>
      <c r="S659" s="730"/>
      <c r="T659" s="723"/>
      <c r="U659" s="724"/>
      <c r="V659" s="725"/>
      <c r="W659" s="725"/>
      <c r="X659" s="723"/>
      <c r="Y659" s="723"/>
      <c r="Z659" s="723"/>
      <c r="AA659" s="726"/>
      <c r="AB659" s="726"/>
      <c r="AC659" s="170"/>
      <c r="AD659" s="586"/>
      <c r="AE659" s="586"/>
      <c r="AF659" s="170"/>
      <c r="AG659" s="170"/>
      <c r="AH659" s="170"/>
      <c r="AI659" s="170"/>
      <c r="AJ659" s="170"/>
      <c r="AK659" s="170"/>
      <c r="AL659" s="170"/>
      <c r="AM659" s="170"/>
      <c r="AN659" s="170"/>
      <c r="AO659" s="170"/>
      <c r="AP659" s="170"/>
      <c r="AQ659" s="170"/>
      <c r="AR659" s="170"/>
      <c r="AS659" s="170"/>
      <c r="AT659" s="170"/>
      <c r="AU659" s="170"/>
      <c r="AV659" s="170"/>
      <c r="AW659" s="170"/>
      <c r="AX659" s="170"/>
    </row>
    <row r="660" spans="1:50" ht="15" x14ac:dyDescent="0.25">
      <c r="A660" s="170"/>
      <c r="B660" s="719"/>
      <c r="C660" s="170"/>
      <c r="D660" s="170"/>
      <c r="E660" s="170"/>
      <c r="F660" s="170"/>
      <c r="G660" s="721"/>
      <c r="H660" s="170"/>
      <c r="I660" s="170"/>
      <c r="J660" s="170"/>
      <c r="K660" s="170"/>
      <c r="L660" s="170"/>
      <c r="M660" s="730"/>
      <c r="N660" s="730"/>
      <c r="O660" s="730"/>
      <c r="P660" s="731"/>
      <c r="Q660" s="731"/>
      <c r="R660" s="730"/>
      <c r="S660" s="730"/>
      <c r="T660" s="723"/>
      <c r="U660" s="724"/>
      <c r="V660" s="725"/>
      <c r="W660" s="725"/>
      <c r="X660" s="723"/>
      <c r="Y660" s="723"/>
      <c r="Z660" s="723"/>
      <c r="AA660" s="726"/>
      <c r="AB660" s="726"/>
      <c r="AC660" s="170"/>
      <c r="AD660" s="586"/>
      <c r="AE660" s="586"/>
      <c r="AF660" s="170"/>
      <c r="AG660" s="170"/>
      <c r="AH660" s="170"/>
      <c r="AI660" s="170"/>
      <c r="AJ660" s="170"/>
      <c r="AK660" s="170"/>
      <c r="AL660" s="170"/>
      <c r="AM660" s="170"/>
      <c r="AN660" s="170"/>
      <c r="AO660" s="170"/>
      <c r="AP660" s="170"/>
      <c r="AQ660" s="170"/>
      <c r="AR660" s="170"/>
      <c r="AS660" s="170"/>
      <c r="AT660" s="170"/>
      <c r="AU660" s="170"/>
      <c r="AV660" s="170"/>
      <c r="AW660" s="170"/>
      <c r="AX660" s="170"/>
    </row>
    <row r="661" spans="1:50" ht="15" x14ac:dyDescent="0.25">
      <c r="A661" s="170"/>
      <c r="B661" s="719"/>
      <c r="C661" s="170"/>
      <c r="D661" s="170"/>
      <c r="E661" s="170"/>
      <c r="F661" s="170"/>
      <c r="G661" s="721"/>
      <c r="H661" s="170"/>
      <c r="I661" s="170"/>
      <c r="J661" s="170"/>
      <c r="K661" s="170"/>
      <c r="L661" s="170"/>
      <c r="M661" s="730"/>
      <c r="N661" s="730"/>
      <c r="O661" s="730"/>
      <c r="P661" s="731"/>
      <c r="Q661" s="731"/>
      <c r="R661" s="730"/>
      <c r="S661" s="730"/>
      <c r="T661" s="723"/>
      <c r="U661" s="724"/>
      <c r="V661" s="725"/>
      <c r="W661" s="725"/>
      <c r="X661" s="723"/>
      <c r="Y661" s="723"/>
      <c r="Z661" s="723"/>
      <c r="AA661" s="726"/>
      <c r="AB661" s="726"/>
      <c r="AC661" s="170"/>
      <c r="AD661" s="586"/>
      <c r="AE661" s="586"/>
      <c r="AF661" s="170"/>
      <c r="AG661" s="170"/>
      <c r="AH661" s="170"/>
      <c r="AI661" s="170"/>
      <c r="AJ661" s="170"/>
      <c r="AK661" s="170"/>
      <c r="AL661" s="170"/>
      <c r="AM661" s="170"/>
      <c r="AN661" s="170"/>
      <c r="AO661" s="170"/>
      <c r="AP661" s="170"/>
      <c r="AQ661" s="170"/>
      <c r="AR661" s="170"/>
      <c r="AS661" s="170"/>
      <c r="AT661" s="170"/>
      <c r="AU661" s="170"/>
      <c r="AV661" s="170"/>
      <c r="AW661" s="170"/>
      <c r="AX661" s="170"/>
    </row>
    <row r="662" spans="1:50" ht="15" x14ac:dyDescent="0.25">
      <c r="A662" s="170"/>
      <c r="B662" s="719"/>
      <c r="C662" s="170"/>
      <c r="D662" s="170"/>
      <c r="E662" s="170"/>
      <c r="F662" s="170"/>
      <c r="G662" s="721"/>
      <c r="H662" s="170"/>
      <c r="I662" s="170"/>
      <c r="J662" s="170"/>
      <c r="K662" s="170"/>
      <c r="L662" s="170"/>
      <c r="M662" s="730"/>
      <c r="N662" s="730"/>
      <c r="O662" s="730"/>
      <c r="P662" s="731"/>
      <c r="Q662" s="731"/>
      <c r="R662" s="730"/>
      <c r="S662" s="730"/>
      <c r="T662" s="723"/>
      <c r="U662" s="724"/>
      <c r="V662" s="725"/>
      <c r="W662" s="725"/>
      <c r="X662" s="723"/>
      <c r="Y662" s="723"/>
      <c r="Z662" s="723"/>
      <c r="AA662" s="726"/>
      <c r="AB662" s="726"/>
      <c r="AC662" s="170"/>
      <c r="AD662" s="586"/>
      <c r="AE662" s="586"/>
      <c r="AF662" s="170"/>
      <c r="AG662" s="170"/>
      <c r="AH662" s="170"/>
      <c r="AI662" s="170"/>
      <c r="AJ662" s="170"/>
      <c r="AK662" s="170"/>
      <c r="AL662" s="170"/>
      <c r="AM662" s="170"/>
      <c r="AN662" s="170"/>
      <c r="AO662" s="170"/>
      <c r="AP662" s="170"/>
      <c r="AQ662" s="170"/>
      <c r="AR662" s="170"/>
      <c r="AS662" s="170"/>
      <c r="AT662" s="170"/>
      <c r="AU662" s="170"/>
      <c r="AV662" s="170"/>
      <c r="AW662" s="170"/>
      <c r="AX662" s="170"/>
    </row>
    <row r="663" spans="1:50" ht="15" x14ac:dyDescent="0.25">
      <c r="A663" s="170"/>
      <c r="B663" s="719"/>
      <c r="C663" s="170"/>
      <c r="D663" s="170"/>
      <c r="E663" s="170"/>
      <c r="F663" s="170"/>
      <c r="G663" s="721"/>
      <c r="H663" s="170"/>
      <c r="I663" s="170"/>
      <c r="J663" s="170"/>
      <c r="K663" s="170"/>
      <c r="L663" s="170"/>
      <c r="M663" s="730"/>
      <c r="N663" s="730"/>
      <c r="O663" s="730"/>
      <c r="P663" s="731"/>
      <c r="Q663" s="731"/>
      <c r="R663" s="730"/>
      <c r="S663" s="730"/>
      <c r="T663" s="723"/>
      <c r="U663" s="724"/>
      <c r="V663" s="725"/>
      <c r="W663" s="725"/>
      <c r="X663" s="723"/>
      <c r="Y663" s="723"/>
      <c r="Z663" s="723"/>
      <c r="AA663" s="726"/>
      <c r="AB663" s="726"/>
      <c r="AC663" s="170"/>
      <c r="AD663" s="586"/>
      <c r="AE663" s="586"/>
      <c r="AF663" s="170"/>
      <c r="AG663" s="170"/>
      <c r="AH663" s="170"/>
      <c r="AI663" s="170"/>
      <c r="AJ663" s="170"/>
      <c r="AK663" s="170"/>
      <c r="AL663" s="170"/>
      <c r="AM663" s="170"/>
      <c r="AN663" s="170"/>
      <c r="AO663" s="170"/>
      <c r="AP663" s="170"/>
      <c r="AQ663" s="170"/>
      <c r="AR663" s="170"/>
      <c r="AS663" s="170"/>
      <c r="AT663" s="170"/>
      <c r="AU663" s="170"/>
      <c r="AV663" s="170"/>
      <c r="AW663" s="170"/>
      <c r="AX663" s="170"/>
    </row>
    <row r="664" spans="1:50" ht="15" x14ac:dyDescent="0.25">
      <c r="A664" s="170"/>
      <c r="B664" s="719"/>
      <c r="C664" s="170"/>
      <c r="D664" s="170"/>
      <c r="E664" s="170"/>
      <c r="F664" s="170"/>
      <c r="G664" s="721"/>
      <c r="H664" s="170"/>
      <c r="I664" s="170"/>
      <c r="J664" s="170"/>
      <c r="K664" s="170"/>
      <c r="L664" s="170"/>
      <c r="M664" s="730"/>
      <c r="N664" s="730"/>
      <c r="O664" s="730"/>
      <c r="P664" s="731"/>
      <c r="Q664" s="731"/>
      <c r="R664" s="730"/>
      <c r="S664" s="730"/>
      <c r="T664" s="723"/>
      <c r="U664" s="724"/>
      <c r="V664" s="725"/>
      <c r="W664" s="725"/>
      <c r="X664" s="723"/>
      <c r="Y664" s="723"/>
      <c r="Z664" s="723"/>
      <c r="AA664" s="726"/>
      <c r="AB664" s="726"/>
      <c r="AC664" s="170"/>
      <c r="AD664" s="586"/>
      <c r="AE664" s="586"/>
      <c r="AF664" s="170"/>
      <c r="AG664" s="170"/>
      <c r="AH664" s="170"/>
      <c r="AI664" s="170"/>
      <c r="AJ664" s="170"/>
      <c r="AK664" s="170"/>
      <c r="AL664" s="170"/>
      <c r="AM664" s="170"/>
      <c r="AN664" s="170"/>
      <c r="AO664" s="170"/>
      <c r="AP664" s="170"/>
      <c r="AQ664" s="170"/>
      <c r="AR664" s="170"/>
      <c r="AS664" s="170"/>
      <c r="AT664" s="170"/>
      <c r="AU664" s="170"/>
      <c r="AV664" s="170"/>
      <c r="AW664" s="170"/>
      <c r="AX664" s="170"/>
    </row>
    <row r="665" spans="1:50" ht="15" x14ac:dyDescent="0.25">
      <c r="A665" s="170"/>
      <c r="B665" s="719"/>
      <c r="C665" s="170"/>
      <c r="D665" s="170"/>
      <c r="E665" s="170"/>
      <c r="F665" s="170"/>
      <c r="G665" s="721"/>
      <c r="H665" s="170"/>
      <c r="I665" s="170"/>
      <c r="J665" s="170"/>
      <c r="K665" s="170"/>
      <c r="L665" s="170"/>
      <c r="M665" s="730"/>
      <c r="N665" s="730"/>
      <c r="O665" s="730"/>
      <c r="P665" s="731"/>
      <c r="Q665" s="731"/>
      <c r="R665" s="730"/>
      <c r="S665" s="730"/>
      <c r="T665" s="723"/>
      <c r="U665" s="724"/>
      <c r="V665" s="725"/>
      <c r="W665" s="725"/>
      <c r="X665" s="723"/>
      <c r="Y665" s="723"/>
      <c r="Z665" s="723"/>
      <c r="AA665" s="726"/>
      <c r="AB665" s="726"/>
      <c r="AC665" s="170"/>
      <c r="AD665" s="586"/>
      <c r="AE665" s="586"/>
      <c r="AF665" s="170"/>
      <c r="AG665" s="170"/>
      <c r="AH665" s="170"/>
      <c r="AI665" s="170"/>
      <c r="AJ665" s="170"/>
      <c r="AK665" s="170"/>
      <c r="AL665" s="170"/>
      <c r="AM665" s="170"/>
      <c r="AN665" s="170"/>
      <c r="AO665" s="170"/>
      <c r="AP665" s="170"/>
      <c r="AQ665" s="170"/>
      <c r="AR665" s="170"/>
      <c r="AS665" s="170"/>
      <c r="AT665" s="170"/>
      <c r="AU665" s="170"/>
      <c r="AV665" s="170"/>
      <c r="AW665" s="170"/>
      <c r="AX665" s="170"/>
    </row>
    <row r="666" spans="1:50" ht="15" x14ac:dyDescent="0.25">
      <c r="A666" s="170"/>
      <c r="B666" s="719"/>
      <c r="C666" s="170"/>
      <c r="D666" s="170"/>
      <c r="E666" s="170"/>
      <c r="F666" s="170"/>
      <c r="G666" s="721"/>
      <c r="H666" s="170"/>
      <c r="I666" s="170"/>
      <c r="J666" s="170"/>
      <c r="K666" s="170"/>
      <c r="L666" s="170"/>
      <c r="M666" s="730"/>
      <c r="N666" s="730"/>
      <c r="O666" s="730"/>
      <c r="P666" s="731"/>
      <c r="Q666" s="731"/>
      <c r="R666" s="730"/>
      <c r="S666" s="730"/>
      <c r="T666" s="723"/>
      <c r="U666" s="724"/>
      <c r="V666" s="725"/>
      <c r="W666" s="725"/>
      <c r="X666" s="723"/>
      <c r="Y666" s="723"/>
      <c r="Z666" s="723"/>
      <c r="AA666" s="726"/>
      <c r="AB666" s="726"/>
      <c r="AC666" s="170"/>
      <c r="AD666" s="586"/>
      <c r="AE666" s="586"/>
      <c r="AF666" s="170"/>
      <c r="AG666" s="170"/>
      <c r="AH666" s="170"/>
      <c r="AI666" s="170"/>
      <c r="AJ666" s="170"/>
      <c r="AK666" s="170"/>
      <c r="AL666" s="170"/>
      <c r="AM666" s="170"/>
      <c r="AN666" s="170"/>
      <c r="AO666" s="170"/>
      <c r="AP666" s="170"/>
      <c r="AQ666" s="170"/>
      <c r="AR666" s="170"/>
      <c r="AS666" s="170"/>
      <c r="AT666" s="170"/>
      <c r="AU666" s="170"/>
      <c r="AV666" s="170"/>
      <c r="AW666" s="170"/>
      <c r="AX666" s="170"/>
    </row>
    <row r="667" spans="1:50" ht="15" x14ac:dyDescent="0.25">
      <c r="A667" s="170"/>
      <c r="B667" s="719"/>
      <c r="C667" s="170"/>
      <c r="D667" s="170"/>
      <c r="E667" s="170"/>
      <c r="F667" s="170"/>
      <c r="G667" s="721"/>
      <c r="H667" s="170"/>
      <c r="I667" s="170"/>
      <c r="J667" s="170"/>
      <c r="K667" s="170"/>
      <c r="L667" s="170"/>
      <c r="M667" s="730"/>
      <c r="N667" s="730"/>
      <c r="O667" s="730"/>
      <c r="P667" s="731"/>
      <c r="Q667" s="731"/>
      <c r="R667" s="730"/>
      <c r="S667" s="730"/>
      <c r="T667" s="723"/>
      <c r="U667" s="724"/>
      <c r="V667" s="725"/>
      <c r="W667" s="725"/>
      <c r="X667" s="723"/>
      <c r="Y667" s="723"/>
      <c r="Z667" s="723"/>
      <c r="AA667" s="726"/>
      <c r="AB667" s="726"/>
      <c r="AC667" s="170"/>
      <c r="AD667" s="586"/>
      <c r="AE667" s="586"/>
      <c r="AF667" s="170"/>
      <c r="AG667" s="170"/>
      <c r="AH667" s="170"/>
      <c r="AI667" s="170"/>
      <c r="AJ667" s="170"/>
      <c r="AK667" s="170"/>
      <c r="AL667" s="170"/>
      <c r="AM667" s="170"/>
      <c r="AN667" s="170"/>
      <c r="AO667" s="170"/>
      <c r="AP667" s="170"/>
      <c r="AQ667" s="170"/>
      <c r="AR667" s="170"/>
      <c r="AS667" s="170"/>
      <c r="AT667" s="170"/>
      <c r="AU667" s="170"/>
      <c r="AV667" s="170"/>
      <c r="AW667" s="170"/>
      <c r="AX667" s="170"/>
    </row>
    <row r="668" spans="1:50" ht="15" x14ac:dyDescent="0.25">
      <c r="A668" s="170"/>
      <c r="B668" s="719"/>
      <c r="C668" s="170"/>
      <c r="D668" s="170"/>
      <c r="E668" s="170"/>
      <c r="F668" s="170"/>
      <c r="G668" s="721"/>
      <c r="H668" s="170"/>
      <c r="I668" s="170"/>
      <c r="J668" s="170"/>
      <c r="K668" s="170"/>
      <c r="L668" s="170"/>
      <c r="M668" s="730"/>
      <c r="N668" s="730"/>
      <c r="O668" s="730"/>
      <c r="P668" s="731"/>
      <c r="Q668" s="731"/>
      <c r="R668" s="730"/>
      <c r="S668" s="730"/>
      <c r="T668" s="723"/>
      <c r="U668" s="724"/>
      <c r="V668" s="725"/>
      <c r="W668" s="725"/>
      <c r="X668" s="723"/>
      <c r="Y668" s="723"/>
      <c r="Z668" s="723"/>
      <c r="AA668" s="726"/>
      <c r="AB668" s="726"/>
      <c r="AC668" s="170"/>
      <c r="AD668" s="586"/>
      <c r="AE668" s="586"/>
      <c r="AF668" s="170"/>
      <c r="AG668" s="170"/>
      <c r="AH668" s="170"/>
      <c r="AI668" s="170"/>
      <c r="AJ668" s="170"/>
      <c r="AK668" s="170"/>
      <c r="AL668" s="170"/>
      <c r="AM668" s="170"/>
      <c r="AN668" s="170"/>
      <c r="AO668" s="170"/>
      <c r="AP668" s="170"/>
      <c r="AQ668" s="170"/>
      <c r="AR668" s="170"/>
      <c r="AS668" s="170"/>
      <c r="AT668" s="170"/>
      <c r="AU668" s="170"/>
      <c r="AV668" s="170"/>
      <c r="AW668" s="170"/>
      <c r="AX668" s="170"/>
    </row>
    <row r="669" spans="1:50" ht="15" x14ac:dyDescent="0.25">
      <c r="A669" s="170"/>
      <c r="B669" s="719"/>
      <c r="C669" s="170"/>
      <c r="D669" s="170"/>
      <c r="E669" s="170"/>
      <c r="F669" s="170"/>
      <c r="G669" s="721"/>
      <c r="H669" s="170"/>
      <c r="I669" s="170"/>
      <c r="J669" s="170"/>
      <c r="K669" s="170"/>
      <c r="L669" s="170"/>
      <c r="M669" s="730"/>
      <c r="N669" s="730"/>
      <c r="O669" s="730"/>
      <c r="P669" s="731"/>
      <c r="Q669" s="731"/>
      <c r="R669" s="730"/>
      <c r="S669" s="730"/>
      <c r="T669" s="723"/>
      <c r="U669" s="724"/>
      <c r="V669" s="725"/>
      <c r="W669" s="725"/>
      <c r="X669" s="723"/>
      <c r="Y669" s="723"/>
      <c r="Z669" s="723"/>
      <c r="AA669" s="726"/>
      <c r="AB669" s="726"/>
      <c r="AC669" s="170"/>
      <c r="AD669" s="586"/>
      <c r="AE669" s="586"/>
      <c r="AF669" s="170"/>
      <c r="AG669" s="170"/>
      <c r="AH669" s="170"/>
      <c r="AI669" s="170"/>
      <c r="AJ669" s="170"/>
      <c r="AK669" s="170"/>
      <c r="AL669" s="170"/>
      <c r="AM669" s="170"/>
      <c r="AN669" s="170"/>
      <c r="AO669" s="170"/>
      <c r="AP669" s="170"/>
      <c r="AQ669" s="170"/>
      <c r="AR669" s="170"/>
      <c r="AS669" s="170"/>
      <c r="AT669" s="170"/>
      <c r="AU669" s="170"/>
      <c r="AV669" s="170"/>
      <c r="AW669" s="170"/>
      <c r="AX669" s="170"/>
    </row>
    <row r="670" spans="1:50" ht="15" x14ac:dyDescent="0.25">
      <c r="A670" s="170"/>
      <c r="B670" s="719"/>
      <c r="C670" s="170"/>
      <c r="D670" s="170"/>
      <c r="E670" s="170"/>
      <c r="F670" s="170"/>
      <c r="G670" s="721"/>
      <c r="H670" s="170"/>
      <c r="I670" s="170"/>
      <c r="J670" s="170"/>
      <c r="K670" s="170"/>
      <c r="L670" s="170"/>
      <c r="M670" s="730"/>
      <c r="N670" s="730"/>
      <c r="O670" s="730"/>
      <c r="P670" s="731"/>
      <c r="Q670" s="731"/>
      <c r="R670" s="730"/>
      <c r="S670" s="730"/>
      <c r="T670" s="723"/>
      <c r="U670" s="724"/>
      <c r="V670" s="725"/>
      <c r="W670" s="725"/>
      <c r="X670" s="723"/>
      <c r="Y670" s="723"/>
      <c r="Z670" s="723"/>
      <c r="AA670" s="726"/>
      <c r="AB670" s="726"/>
      <c r="AC670" s="170"/>
      <c r="AD670" s="586"/>
      <c r="AE670" s="586"/>
      <c r="AF670" s="170"/>
      <c r="AG670" s="170"/>
      <c r="AH670" s="170"/>
      <c r="AI670" s="170"/>
      <c r="AJ670" s="170"/>
      <c r="AK670" s="170"/>
      <c r="AL670" s="170"/>
      <c r="AM670" s="170"/>
      <c r="AN670" s="170"/>
      <c r="AO670" s="170"/>
      <c r="AP670" s="170"/>
      <c r="AQ670" s="170"/>
      <c r="AR670" s="170"/>
      <c r="AS670" s="170"/>
      <c r="AT670" s="170"/>
      <c r="AU670" s="170"/>
      <c r="AV670" s="170"/>
      <c r="AW670" s="170"/>
      <c r="AX670" s="170"/>
    </row>
    <row r="671" spans="1:50" ht="15" x14ac:dyDescent="0.25">
      <c r="A671" s="170"/>
      <c r="B671" s="719"/>
      <c r="C671" s="170"/>
      <c r="D671" s="170"/>
      <c r="E671" s="170"/>
      <c r="F671" s="170"/>
      <c r="G671" s="721"/>
      <c r="H671" s="170"/>
      <c r="I671" s="170"/>
      <c r="J671" s="170"/>
      <c r="K671" s="170"/>
      <c r="L671" s="170"/>
      <c r="M671" s="730"/>
      <c r="N671" s="730"/>
      <c r="O671" s="730"/>
      <c r="P671" s="731"/>
      <c r="Q671" s="731"/>
      <c r="R671" s="730"/>
      <c r="S671" s="730"/>
      <c r="T671" s="723"/>
      <c r="U671" s="724"/>
      <c r="V671" s="725"/>
      <c r="W671" s="725"/>
      <c r="X671" s="723"/>
      <c r="Y671" s="723"/>
      <c r="Z671" s="723"/>
      <c r="AA671" s="726"/>
      <c r="AB671" s="726"/>
      <c r="AC671" s="170"/>
      <c r="AD671" s="586"/>
      <c r="AE671" s="586"/>
      <c r="AF671" s="170"/>
      <c r="AG671" s="170"/>
      <c r="AH671" s="170"/>
      <c r="AI671" s="170"/>
      <c r="AJ671" s="170"/>
      <c r="AK671" s="170"/>
      <c r="AL671" s="170"/>
      <c r="AM671" s="170"/>
      <c r="AN671" s="170"/>
      <c r="AO671" s="170"/>
      <c r="AP671" s="170"/>
      <c r="AQ671" s="170"/>
      <c r="AR671" s="170"/>
      <c r="AS671" s="170"/>
      <c r="AT671" s="170"/>
      <c r="AU671" s="170"/>
      <c r="AV671" s="170"/>
      <c r="AW671" s="170"/>
      <c r="AX671" s="170"/>
    </row>
    <row r="672" spans="1:50" ht="15" x14ac:dyDescent="0.25">
      <c r="A672" s="170"/>
      <c r="B672" s="719"/>
      <c r="C672" s="170"/>
      <c r="D672" s="170"/>
      <c r="E672" s="170"/>
      <c r="F672" s="170"/>
      <c r="G672" s="721"/>
      <c r="H672" s="170"/>
      <c r="I672" s="170"/>
      <c r="J672" s="170"/>
      <c r="K672" s="170"/>
      <c r="L672" s="170"/>
      <c r="M672" s="730"/>
      <c r="N672" s="730"/>
      <c r="O672" s="730"/>
      <c r="P672" s="731"/>
      <c r="Q672" s="731"/>
      <c r="R672" s="730"/>
      <c r="S672" s="730"/>
      <c r="T672" s="723"/>
      <c r="U672" s="724"/>
      <c r="V672" s="725"/>
      <c r="W672" s="725"/>
      <c r="X672" s="723"/>
      <c r="Y672" s="723"/>
      <c r="Z672" s="723"/>
      <c r="AA672" s="726"/>
      <c r="AB672" s="726"/>
      <c r="AC672" s="170"/>
      <c r="AD672" s="586"/>
      <c r="AE672" s="586"/>
      <c r="AF672" s="170"/>
      <c r="AG672" s="170"/>
      <c r="AH672" s="170"/>
      <c r="AI672" s="170"/>
      <c r="AJ672" s="170"/>
      <c r="AK672" s="170"/>
      <c r="AL672" s="170"/>
      <c r="AM672" s="170"/>
      <c r="AN672" s="170"/>
      <c r="AO672" s="170"/>
      <c r="AP672" s="170"/>
      <c r="AQ672" s="170"/>
      <c r="AR672" s="170"/>
      <c r="AS672" s="170"/>
      <c r="AT672" s="170"/>
      <c r="AU672" s="170"/>
      <c r="AV672" s="170"/>
      <c r="AW672" s="170"/>
      <c r="AX672" s="170"/>
    </row>
    <row r="673" spans="1:50" ht="15" x14ac:dyDescent="0.25">
      <c r="A673" s="170"/>
      <c r="B673" s="719"/>
      <c r="C673" s="170"/>
      <c r="D673" s="170"/>
      <c r="E673" s="170"/>
      <c r="F673" s="170"/>
      <c r="G673" s="721"/>
      <c r="H673" s="170"/>
      <c r="I673" s="170"/>
      <c r="J673" s="170"/>
      <c r="K673" s="170"/>
      <c r="L673" s="170"/>
      <c r="M673" s="730"/>
      <c r="N673" s="730"/>
      <c r="O673" s="730"/>
      <c r="P673" s="731"/>
      <c r="Q673" s="731"/>
      <c r="R673" s="730"/>
      <c r="S673" s="730"/>
      <c r="T673" s="723"/>
      <c r="U673" s="724"/>
      <c r="V673" s="725"/>
      <c r="W673" s="725"/>
      <c r="X673" s="723"/>
      <c r="Y673" s="723"/>
      <c r="Z673" s="723"/>
      <c r="AA673" s="726"/>
      <c r="AB673" s="726"/>
      <c r="AC673" s="170"/>
      <c r="AD673" s="586"/>
      <c r="AE673" s="586"/>
      <c r="AF673" s="170"/>
      <c r="AG673" s="170"/>
      <c r="AH673" s="170"/>
      <c r="AI673" s="170"/>
      <c r="AJ673" s="170"/>
      <c r="AK673" s="170"/>
      <c r="AL673" s="170"/>
      <c r="AM673" s="170"/>
      <c r="AN673" s="170"/>
      <c r="AO673" s="170"/>
      <c r="AP673" s="170"/>
      <c r="AQ673" s="170"/>
      <c r="AR673" s="170"/>
      <c r="AS673" s="170"/>
      <c r="AT673" s="170"/>
      <c r="AU673" s="170"/>
      <c r="AV673" s="170"/>
      <c r="AW673" s="170"/>
      <c r="AX673" s="170"/>
    </row>
    <row r="674" spans="1:50" ht="15" x14ac:dyDescent="0.25">
      <c r="A674" s="170"/>
      <c r="B674" s="719"/>
      <c r="C674" s="170"/>
      <c r="D674" s="170"/>
      <c r="E674" s="170"/>
      <c r="F674" s="170"/>
      <c r="G674" s="721"/>
      <c r="H674" s="170"/>
      <c r="I674" s="170"/>
      <c r="J674" s="170"/>
      <c r="K674" s="170"/>
      <c r="L674" s="170"/>
      <c r="M674" s="730"/>
      <c r="N674" s="730"/>
      <c r="O674" s="730"/>
      <c r="P674" s="731"/>
      <c r="Q674" s="731"/>
      <c r="R674" s="730"/>
      <c r="S674" s="730"/>
      <c r="T674" s="723"/>
      <c r="U674" s="724"/>
      <c r="V674" s="725"/>
      <c r="W674" s="725"/>
      <c r="X674" s="723"/>
      <c r="Y674" s="723"/>
      <c r="Z674" s="723"/>
      <c r="AA674" s="726"/>
      <c r="AB674" s="726"/>
      <c r="AC674" s="170"/>
      <c r="AD674" s="586"/>
      <c r="AE674" s="586"/>
      <c r="AF674" s="170"/>
      <c r="AG674" s="170"/>
      <c r="AH674" s="170"/>
      <c r="AI674" s="170"/>
      <c r="AJ674" s="170"/>
      <c r="AK674" s="170"/>
      <c r="AL674" s="170"/>
      <c r="AM674" s="170"/>
      <c r="AN674" s="170"/>
      <c r="AO674" s="170"/>
      <c r="AP674" s="170"/>
      <c r="AQ674" s="170"/>
      <c r="AR674" s="170"/>
      <c r="AS674" s="170"/>
      <c r="AT674" s="170"/>
      <c r="AU674" s="170"/>
      <c r="AV674" s="170"/>
      <c r="AW674" s="170"/>
      <c r="AX674" s="170"/>
    </row>
    <row r="675" spans="1:50" ht="15" x14ac:dyDescent="0.25">
      <c r="A675" s="170"/>
      <c r="B675" s="719"/>
      <c r="C675" s="170"/>
      <c r="D675" s="170"/>
      <c r="E675" s="170"/>
      <c r="F675" s="170"/>
      <c r="G675" s="721"/>
      <c r="H675" s="170"/>
      <c r="I675" s="170"/>
      <c r="J675" s="170"/>
      <c r="K675" s="170"/>
      <c r="L675" s="170"/>
      <c r="M675" s="730"/>
      <c r="N675" s="730"/>
      <c r="O675" s="730"/>
      <c r="P675" s="731"/>
      <c r="Q675" s="731"/>
      <c r="R675" s="730"/>
      <c r="S675" s="730"/>
      <c r="T675" s="723"/>
      <c r="U675" s="724"/>
      <c r="V675" s="725"/>
      <c r="W675" s="725"/>
      <c r="X675" s="723"/>
      <c r="Y675" s="723"/>
      <c r="Z675" s="723"/>
      <c r="AA675" s="726"/>
      <c r="AB675" s="726"/>
      <c r="AC675" s="170"/>
      <c r="AD675" s="586"/>
      <c r="AE675" s="586"/>
      <c r="AF675" s="170"/>
      <c r="AG675" s="170"/>
      <c r="AH675" s="170"/>
      <c r="AI675" s="170"/>
      <c r="AJ675" s="170"/>
      <c r="AK675" s="170"/>
      <c r="AL675" s="170"/>
      <c r="AM675" s="170"/>
      <c r="AN675" s="170"/>
      <c r="AO675" s="170"/>
      <c r="AP675" s="170"/>
      <c r="AQ675" s="170"/>
      <c r="AR675" s="170"/>
      <c r="AS675" s="170"/>
      <c r="AT675" s="170"/>
      <c r="AU675" s="170"/>
      <c r="AV675" s="170"/>
      <c r="AW675" s="170"/>
      <c r="AX675" s="170"/>
    </row>
    <row r="676" spans="1:50" ht="15" x14ac:dyDescent="0.25">
      <c r="A676" s="170"/>
      <c r="B676" s="719"/>
      <c r="C676" s="170"/>
      <c r="D676" s="170"/>
      <c r="E676" s="170"/>
      <c r="F676" s="170"/>
      <c r="G676" s="721"/>
      <c r="H676" s="170"/>
      <c r="I676" s="170"/>
      <c r="J676" s="170"/>
      <c r="K676" s="170"/>
      <c r="L676" s="170"/>
      <c r="M676" s="730"/>
      <c r="N676" s="730"/>
      <c r="O676" s="730"/>
      <c r="P676" s="731"/>
      <c r="Q676" s="731"/>
      <c r="R676" s="730"/>
      <c r="S676" s="730"/>
      <c r="T676" s="723"/>
      <c r="U676" s="724"/>
      <c r="V676" s="725"/>
      <c r="W676" s="725"/>
      <c r="X676" s="723"/>
      <c r="Y676" s="723"/>
      <c r="Z676" s="723"/>
      <c r="AA676" s="726"/>
      <c r="AB676" s="726"/>
      <c r="AC676" s="170"/>
      <c r="AD676" s="586"/>
      <c r="AE676" s="586"/>
      <c r="AF676" s="170"/>
      <c r="AG676" s="170"/>
      <c r="AH676" s="170"/>
      <c r="AI676" s="170"/>
      <c r="AJ676" s="170"/>
      <c r="AK676" s="170"/>
      <c r="AL676" s="170"/>
      <c r="AM676" s="170"/>
      <c r="AN676" s="170"/>
      <c r="AO676" s="170"/>
      <c r="AP676" s="170"/>
      <c r="AQ676" s="170"/>
      <c r="AR676" s="170"/>
      <c r="AS676" s="170"/>
      <c r="AT676" s="170"/>
      <c r="AU676" s="170"/>
      <c r="AV676" s="170"/>
      <c r="AW676" s="170"/>
      <c r="AX676" s="170"/>
    </row>
    <row r="677" spans="1:50" ht="15" x14ac:dyDescent="0.25">
      <c r="A677" s="170"/>
      <c r="B677" s="719"/>
      <c r="C677" s="170"/>
      <c r="D677" s="170"/>
      <c r="E677" s="170"/>
      <c r="F677" s="170"/>
      <c r="G677" s="721"/>
      <c r="H677" s="170"/>
      <c r="I677" s="170"/>
      <c r="J677" s="170"/>
      <c r="K677" s="170"/>
      <c r="L677" s="170"/>
      <c r="M677" s="730"/>
      <c r="N677" s="730"/>
      <c r="O677" s="730"/>
      <c r="P677" s="731"/>
      <c r="Q677" s="731"/>
      <c r="R677" s="730"/>
      <c r="S677" s="730"/>
      <c r="T677" s="723"/>
      <c r="U677" s="724"/>
      <c r="V677" s="725"/>
      <c r="W677" s="725"/>
      <c r="X677" s="723"/>
      <c r="Y677" s="723"/>
      <c r="Z677" s="723"/>
      <c r="AA677" s="726"/>
      <c r="AB677" s="726"/>
      <c r="AC677" s="170"/>
      <c r="AD677" s="586"/>
      <c r="AE677" s="586"/>
      <c r="AF677" s="170"/>
      <c r="AG677" s="170"/>
      <c r="AH677" s="170"/>
      <c r="AI677" s="170"/>
      <c r="AJ677" s="170"/>
      <c r="AK677" s="170"/>
      <c r="AL677" s="170"/>
      <c r="AM677" s="170"/>
      <c r="AN677" s="170"/>
      <c r="AO677" s="170"/>
      <c r="AP677" s="170"/>
      <c r="AQ677" s="170"/>
      <c r="AR677" s="170"/>
      <c r="AS677" s="170"/>
      <c r="AT677" s="170"/>
      <c r="AU677" s="170"/>
      <c r="AV677" s="170"/>
      <c r="AW677" s="170"/>
      <c r="AX677" s="170"/>
    </row>
    <row r="678" spans="1:50" ht="15" x14ac:dyDescent="0.25">
      <c r="A678" s="170"/>
      <c r="B678" s="719"/>
      <c r="C678" s="170"/>
      <c r="D678" s="170"/>
      <c r="E678" s="170"/>
      <c r="F678" s="170"/>
      <c r="G678" s="721"/>
      <c r="H678" s="170"/>
      <c r="I678" s="170"/>
      <c r="J678" s="170"/>
      <c r="K678" s="170"/>
      <c r="L678" s="170"/>
      <c r="M678" s="730"/>
      <c r="N678" s="730"/>
      <c r="O678" s="730"/>
      <c r="P678" s="731"/>
      <c r="Q678" s="731"/>
      <c r="R678" s="730"/>
      <c r="S678" s="730"/>
      <c r="T678" s="723"/>
      <c r="U678" s="724"/>
      <c r="V678" s="725"/>
      <c r="W678" s="725"/>
      <c r="X678" s="723"/>
      <c r="Y678" s="723"/>
      <c r="Z678" s="723"/>
      <c r="AA678" s="726"/>
      <c r="AB678" s="726"/>
      <c r="AC678" s="170"/>
      <c r="AD678" s="586"/>
      <c r="AE678" s="586"/>
      <c r="AF678" s="170"/>
      <c r="AG678" s="170"/>
      <c r="AH678" s="170"/>
      <c r="AI678" s="170"/>
      <c r="AJ678" s="170"/>
      <c r="AK678" s="170"/>
      <c r="AL678" s="170"/>
      <c r="AM678" s="170"/>
      <c r="AN678" s="170"/>
      <c r="AO678" s="170"/>
      <c r="AP678" s="170"/>
      <c r="AQ678" s="170"/>
      <c r="AR678" s="170"/>
      <c r="AS678" s="170"/>
      <c r="AT678" s="170"/>
      <c r="AU678" s="170"/>
      <c r="AV678" s="170"/>
      <c r="AW678" s="170"/>
      <c r="AX678" s="170"/>
    </row>
    <row r="679" spans="1:50" ht="15" x14ac:dyDescent="0.25">
      <c r="A679" s="170"/>
      <c r="B679" s="719"/>
      <c r="C679" s="170"/>
      <c r="D679" s="170"/>
      <c r="E679" s="170"/>
      <c r="F679" s="170"/>
      <c r="G679" s="721"/>
      <c r="H679" s="170"/>
      <c r="I679" s="170"/>
      <c r="J679" s="170"/>
      <c r="K679" s="170"/>
      <c r="L679" s="170"/>
      <c r="M679" s="730"/>
      <c r="N679" s="730"/>
      <c r="O679" s="730"/>
      <c r="P679" s="731"/>
      <c r="Q679" s="731"/>
      <c r="R679" s="730"/>
      <c r="S679" s="730"/>
      <c r="T679" s="723"/>
      <c r="U679" s="724"/>
      <c r="V679" s="725"/>
      <c r="W679" s="725"/>
      <c r="X679" s="723"/>
      <c r="Y679" s="723"/>
      <c r="Z679" s="723"/>
      <c r="AA679" s="726"/>
      <c r="AB679" s="726"/>
      <c r="AC679" s="170"/>
      <c r="AD679" s="586"/>
      <c r="AE679" s="586"/>
      <c r="AF679" s="170"/>
      <c r="AG679" s="170"/>
      <c r="AH679" s="170"/>
      <c r="AI679" s="170"/>
      <c r="AJ679" s="170"/>
      <c r="AK679" s="170"/>
      <c r="AL679" s="170"/>
      <c r="AM679" s="170"/>
      <c r="AN679" s="170"/>
      <c r="AO679" s="170"/>
      <c r="AP679" s="170"/>
      <c r="AQ679" s="170"/>
      <c r="AR679" s="170"/>
      <c r="AS679" s="170"/>
      <c r="AT679" s="170"/>
      <c r="AU679" s="170"/>
      <c r="AV679" s="170"/>
      <c r="AW679" s="170"/>
      <c r="AX679" s="170"/>
    </row>
    <row r="680" spans="1:50" ht="15" x14ac:dyDescent="0.25">
      <c r="A680" s="170"/>
      <c r="B680" s="719"/>
      <c r="C680" s="170"/>
      <c r="D680" s="170"/>
      <c r="E680" s="170"/>
      <c r="F680" s="170"/>
      <c r="G680" s="721"/>
      <c r="H680" s="170"/>
      <c r="I680" s="170"/>
      <c r="J680" s="170"/>
      <c r="K680" s="170"/>
      <c r="L680" s="170"/>
      <c r="M680" s="730"/>
      <c r="N680" s="730"/>
      <c r="O680" s="730"/>
      <c r="P680" s="731"/>
      <c r="Q680" s="731"/>
      <c r="R680" s="730"/>
      <c r="S680" s="730"/>
      <c r="T680" s="723"/>
      <c r="U680" s="724"/>
      <c r="V680" s="725"/>
      <c r="W680" s="725"/>
      <c r="X680" s="723"/>
      <c r="Y680" s="723"/>
      <c r="Z680" s="723"/>
      <c r="AA680" s="726"/>
      <c r="AB680" s="726"/>
      <c r="AC680" s="170"/>
      <c r="AD680" s="586"/>
      <c r="AE680" s="586"/>
      <c r="AF680" s="170"/>
      <c r="AG680" s="170"/>
      <c r="AH680" s="170"/>
      <c r="AI680" s="170"/>
      <c r="AJ680" s="170"/>
      <c r="AK680" s="170"/>
      <c r="AL680" s="170"/>
      <c r="AM680" s="170"/>
      <c r="AN680" s="170"/>
      <c r="AO680" s="170"/>
      <c r="AP680" s="170"/>
      <c r="AQ680" s="170"/>
      <c r="AR680" s="170"/>
      <c r="AS680" s="170"/>
      <c r="AT680" s="170"/>
      <c r="AU680" s="170"/>
      <c r="AV680" s="170"/>
      <c r="AW680" s="170"/>
      <c r="AX680" s="170"/>
    </row>
  </sheetData>
  <sheetProtection algorithmName="SHA-512" hashValue="UzUwfOywgYxhwZB9A+hOk9xdiRqSdv7CljbxXE2pt9a4WnnC9hopQPuJdyGab8mvOtdfzCDIFjHOBIdftEkXDg==" saltValue="10c50LPd1j75wY19JWFtAA==" spinCount="100000" sheet="1" scenarios="1" formatCells="0" formatColumns="0" formatRows="0" autoFilter="0"/>
  <autoFilter ref="D8:AB75" xr:uid="{CE12A219-1674-4139-9FA2-A98F3CA7ED64}"/>
  <conditionalFormatting sqref="F9">
    <cfRule type="cellIs" dxfId="163" priority="7" operator="equal">
      <formula>0</formula>
    </cfRule>
  </conditionalFormatting>
  <conditionalFormatting sqref="F10:F50 F54:F74">
    <cfRule type="cellIs" dxfId="162" priority="6" operator="equal">
      <formula>0</formula>
    </cfRule>
  </conditionalFormatting>
  <conditionalFormatting sqref="F53">
    <cfRule type="cellIs" dxfId="161" priority="3" operator="equal">
      <formula>0</formula>
    </cfRule>
  </conditionalFormatting>
  <conditionalFormatting sqref="F52">
    <cfRule type="cellIs" dxfId="160" priority="2" operator="equal">
      <formula>0</formula>
    </cfRule>
  </conditionalFormatting>
  <conditionalFormatting sqref="F51">
    <cfRule type="cellIs" dxfId="159" priority="1" operator="equal">
      <formula>0</formula>
    </cfRule>
  </conditionalFormatting>
  <dataValidations disablePrompts="1" count="1">
    <dataValidation type="list" allowBlank="1" showInputMessage="1" showErrorMessage="1" sqref="P9:Q74" xr:uid="{378B717A-B711-42E6-8142-3A7417F2851E}">
      <formula1>"E, Other"</formula1>
    </dataValidation>
  </dataValidations>
  <printOptions horizontalCentered="1"/>
  <pageMargins left="0.25" right="0.25" top="0.42" bottom="0.33" header="0.19" footer="0.16"/>
  <pageSetup scale="65" fitToHeight="0" orientation="landscape"/>
  <headerFooter alignWithMargins="0">
    <oddFooter>&amp;CPage &amp;P of &amp;N</oddFooter>
  </headerFooter>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677C9BB-D9BA-46C1-AB49-D5DC13408330}">
          <x14:formula1>
            <xm:f>Parameters!$D$311:$D$351</xm:f>
          </x14:formula1>
          <xm:sqref>I12:I21 I27:I37 I45:I62</xm:sqref>
        </x14:dataValidation>
        <x14:dataValidation type="list" allowBlank="1" showInputMessage="1" showErrorMessage="1" xr:uid="{FD9C742D-CEF8-4B4E-8174-EE6E828531C3}">
          <x14:formula1>
            <xm:f>'Data Input sheet'!$B$118:$B$179</xm:f>
          </x14:formula1>
          <xm:sqref>R9:R74</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496E5-C2F5-494A-8818-0E107F313CBF}">
  <sheetPr codeName="Sheet211">
    <tabColor rgb="FFFFC000"/>
    <pageSetUpPr autoPageBreaks="0" fitToPage="1"/>
  </sheetPr>
  <dimension ref="A1:AX680"/>
  <sheetViews>
    <sheetView zoomScale="93" zoomScaleNormal="93" workbookViewId="0">
      <pane xSplit="9" ySplit="8" topLeftCell="J9" activePane="bottomRight" state="frozen"/>
      <selection activeCell="H10" sqref="H10"/>
      <selection pane="topRight" activeCell="H10" sqref="H10"/>
      <selection pane="bottomLeft" activeCell="H10" sqref="H10"/>
      <selection pane="bottomRight" activeCell="Z9" sqref="Z9"/>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30.5703125" customWidth="1"/>
    <col min="8" max="8" width="8.42578125" customWidth="1"/>
    <col min="9" max="9" width="7.42578125" customWidth="1"/>
    <col min="10" max="11" width="8.42578125" customWidth="1"/>
    <col min="12" max="12" width="7.42578125" customWidth="1" outlineLevel="1"/>
    <col min="13" max="16" width="8.42578125" customWidth="1" outlineLevel="1"/>
    <col min="17" max="17" width="8.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3.42578125" customWidth="1" outlineLevel="1"/>
    <col min="24" max="24" width="13" customWidth="1" outlineLevel="1"/>
    <col min="25" max="25" width="13.42578125" customWidth="1" outlineLevel="1"/>
    <col min="26" max="26" width="13.5703125"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3.5703125" customWidth="1"/>
    <col min="48" max="48" width="11.5703125" customWidth="1"/>
    <col min="49" max="49" width="11.42578125" customWidth="1"/>
    <col min="50" max="50" width="74.42578125" customWidth="1"/>
  </cols>
  <sheetData>
    <row r="1" spans="1:50" ht="30" x14ac:dyDescent="0.25">
      <c r="A1" s="170"/>
      <c r="B1" s="719"/>
      <c r="C1" s="170"/>
      <c r="D1" s="170"/>
      <c r="E1" s="170"/>
      <c r="F1" s="170"/>
      <c r="G1" s="2295" t="str">
        <f>+Cover!C5</f>
        <v>Project Title: Battery Storage - Hyde Park</v>
      </c>
      <c r="H1" s="170"/>
      <c r="I1" s="170"/>
      <c r="J1" s="170"/>
      <c r="K1" s="170"/>
      <c r="L1" s="170"/>
      <c r="M1" s="720"/>
      <c r="N1" s="720"/>
      <c r="O1" s="720"/>
      <c r="P1" s="722"/>
      <c r="Q1" s="722"/>
      <c r="R1" s="720"/>
      <c r="S1" s="720"/>
      <c r="T1" s="723"/>
      <c r="U1" s="724"/>
      <c r="V1" s="725"/>
      <c r="W1" s="725"/>
      <c r="X1" s="723"/>
      <c r="Y1" s="723"/>
      <c r="Z1" s="723"/>
      <c r="AA1" s="726"/>
      <c r="AB1" s="726"/>
      <c r="AC1" s="170"/>
      <c r="AD1" s="586"/>
      <c r="AE1" s="586"/>
      <c r="AF1" s="727"/>
      <c r="AG1" s="727"/>
      <c r="AH1" s="727"/>
      <c r="AI1" s="170"/>
      <c r="AJ1" s="170"/>
      <c r="AK1" s="170"/>
      <c r="AL1" s="170"/>
      <c r="AM1" s="170"/>
      <c r="AN1" s="170"/>
      <c r="AO1" s="170"/>
      <c r="AP1" s="170"/>
      <c r="AQ1" s="170"/>
      <c r="AR1" s="170"/>
      <c r="AS1" s="170"/>
      <c r="AT1" s="170"/>
      <c r="AU1" s="170"/>
      <c r="AV1" s="170"/>
      <c r="AW1" s="828"/>
      <c r="AX1" s="726"/>
    </row>
    <row r="2" spans="1:50" ht="15" x14ac:dyDescent="0.25">
      <c r="A2" s="170"/>
      <c r="B2" s="719"/>
      <c r="C2" s="170"/>
      <c r="D2" s="170"/>
      <c r="E2" s="170"/>
      <c r="F2" s="170"/>
      <c r="G2" s="2295" t="str">
        <f>+Cover!C8</f>
        <v>Project Number: 21334</v>
      </c>
      <c r="H2" s="170"/>
      <c r="I2" s="170"/>
      <c r="J2" s="170"/>
      <c r="K2" s="170"/>
      <c r="L2" s="170"/>
      <c r="M2" s="720"/>
      <c r="N2" s="720"/>
      <c r="O2" s="720"/>
      <c r="P2" s="722"/>
      <c r="Q2" s="722"/>
      <c r="R2" s="720"/>
      <c r="S2" s="720"/>
      <c r="T2" s="723"/>
      <c r="U2" s="720"/>
      <c r="V2" s="728"/>
      <c r="W2" s="728"/>
      <c r="X2" s="729"/>
      <c r="Y2" s="729"/>
      <c r="Z2" s="723"/>
      <c r="AA2" s="726"/>
      <c r="AB2" s="726"/>
      <c r="AC2" s="170"/>
      <c r="AD2" s="586"/>
      <c r="AE2" s="586"/>
      <c r="AF2" s="170"/>
      <c r="AG2" s="170"/>
      <c r="AH2" s="170"/>
      <c r="AI2" s="170"/>
      <c r="AJ2" s="170"/>
      <c r="AK2" s="170"/>
      <c r="AL2" s="170"/>
      <c r="AM2" s="170"/>
      <c r="AN2" s="170"/>
      <c r="AO2" s="170"/>
      <c r="AP2" s="170"/>
      <c r="AQ2" s="170"/>
      <c r="AR2" s="170"/>
      <c r="AS2" s="735" t="str" cm="1">
        <f t="array" ref="AS2:AT2">+Cover!R8:S8</f>
        <v>Estimate done by: PAG</v>
      </c>
      <c r="AT2" s="170">
        <v>0</v>
      </c>
      <c r="AU2" s="170"/>
      <c r="AV2" s="170"/>
      <c r="AW2" s="828"/>
      <c r="AX2" s="726"/>
    </row>
    <row r="3" spans="1:50" ht="15" x14ac:dyDescent="0.25">
      <c r="A3" s="170"/>
      <c r="B3" s="719"/>
      <c r="C3" s="170"/>
      <c r="D3" s="170"/>
      <c r="E3" s="170"/>
      <c r="F3" s="170"/>
      <c r="G3" s="2295" t="str">
        <f>+Cover!C9</f>
        <v>WO &amp; Task #: 80089926</v>
      </c>
      <c r="H3" s="170"/>
      <c r="I3" s="170"/>
      <c r="J3" s="170"/>
      <c r="K3" s="170"/>
      <c r="L3" s="170"/>
      <c r="M3" s="730"/>
      <c r="N3" s="730"/>
      <c r="O3" s="730"/>
      <c r="P3" s="731"/>
      <c r="Q3" s="731"/>
      <c r="R3" s="720"/>
      <c r="S3" s="720"/>
      <c r="T3" s="723"/>
      <c r="U3" s="720"/>
      <c r="V3" s="732"/>
      <c r="W3" s="723"/>
      <c r="X3" s="733" t="s">
        <v>552</v>
      </c>
      <c r="Y3" s="734">
        <f>'Data Input sheet'!D185</f>
        <v>2.5375000000000001</v>
      </c>
      <c r="Z3" s="723"/>
      <c r="AA3" s="726"/>
      <c r="AB3" s="726"/>
      <c r="AC3" s="170"/>
      <c r="AD3" s="586"/>
      <c r="AE3" s="586"/>
      <c r="AF3" s="170"/>
      <c r="AG3" s="170"/>
      <c r="AH3" s="170"/>
      <c r="AI3" s="170"/>
      <c r="AJ3" s="170"/>
      <c r="AK3" s="170"/>
      <c r="AL3" s="170"/>
      <c r="AM3" s="170"/>
      <c r="AN3" s="170"/>
      <c r="AO3" s="170"/>
      <c r="AP3" s="170"/>
      <c r="AQ3" s="170"/>
      <c r="AR3" s="170"/>
      <c r="AS3" s="735" t="str">
        <f>+Cover!R6</f>
        <v>Date of Estimate:12/08/2023</v>
      </c>
      <c r="AT3" s="170"/>
      <c r="AU3" s="170"/>
      <c r="AV3" s="170"/>
      <c r="AW3" s="828"/>
      <c r="AX3" s="726"/>
    </row>
    <row r="4" spans="1:50" ht="15.75" customHeight="1" thickBot="1" x14ac:dyDescent="0.3">
      <c r="A4" s="170"/>
      <c r="B4" s="719"/>
      <c r="C4" s="170"/>
      <c r="D4" s="170"/>
      <c r="E4" s="170"/>
      <c r="F4" s="170"/>
      <c r="G4" s="2295" t="str">
        <f>+Cover!R5</f>
        <v>Estimate #: E-23-373</v>
      </c>
      <c r="H4" s="170"/>
      <c r="I4" s="170"/>
      <c r="J4" s="170"/>
      <c r="K4" s="170"/>
      <c r="L4" s="170"/>
      <c r="M4" s="730"/>
      <c r="N4" s="730"/>
      <c r="O4" s="730"/>
      <c r="P4" s="731"/>
      <c r="Q4" s="731"/>
      <c r="R4" s="720"/>
      <c r="S4" s="720"/>
      <c r="T4" s="723"/>
      <c r="U4" s="720"/>
      <c r="V4" s="728"/>
      <c r="W4" s="728"/>
      <c r="X4" s="723"/>
      <c r="Y4" s="723"/>
      <c r="Z4" s="729"/>
      <c r="AA4" s="726"/>
      <c r="AB4" s="726"/>
      <c r="AC4" s="170"/>
      <c r="AD4" s="586"/>
      <c r="AE4" s="586"/>
      <c r="AF4" s="170"/>
      <c r="AG4" s="170"/>
      <c r="AH4" s="170"/>
      <c r="AI4" s="170"/>
      <c r="AJ4" s="170"/>
      <c r="AK4" s="170"/>
      <c r="AL4" s="170"/>
      <c r="AM4" s="170"/>
      <c r="AN4" s="170"/>
      <c r="AO4" s="170"/>
      <c r="AP4" s="170"/>
      <c r="AQ4" s="170"/>
      <c r="AR4" s="170"/>
      <c r="AS4" s="735" t="str">
        <f>+Cover!C10</f>
        <v>Estimate revision #: 00</v>
      </c>
      <c r="AT4" s="170"/>
      <c r="AU4" s="170"/>
      <c r="AV4" s="170"/>
      <c r="AW4" s="828" t="s">
        <v>628</v>
      </c>
      <c r="AX4" s="726"/>
    </row>
    <row r="5" spans="1:50" ht="16.5" thickTop="1" thickBot="1" x14ac:dyDescent="0.3">
      <c r="A5" s="170"/>
      <c r="B5" s="719"/>
      <c r="C5" s="170"/>
      <c r="D5" s="736" t="s">
        <v>553</v>
      </c>
      <c r="E5" s="548"/>
      <c r="F5" s="548"/>
      <c r="G5" s="737"/>
      <c r="H5" s="548"/>
      <c r="I5" s="548"/>
      <c r="J5" s="548"/>
      <c r="K5" s="548"/>
      <c r="L5" s="548"/>
      <c r="M5" s="738"/>
      <c r="N5" s="738"/>
      <c r="O5" s="738"/>
      <c r="P5" s="739"/>
      <c r="Q5" s="739"/>
      <c r="R5" s="740"/>
      <c r="S5" s="740"/>
      <c r="T5" s="741"/>
      <c r="U5" s="742"/>
      <c r="V5" s="743"/>
      <c r="W5" s="743"/>
      <c r="X5" s="741"/>
      <c r="Y5" s="741"/>
      <c r="Z5" s="744"/>
      <c r="AA5" s="745"/>
      <c r="AB5" s="745"/>
      <c r="AC5" s="548"/>
      <c r="AD5" s="746"/>
      <c r="AE5" s="746"/>
      <c r="AF5" s="548"/>
      <c r="AG5" s="548"/>
      <c r="AH5" s="548"/>
      <c r="AI5" s="548"/>
      <c r="AJ5" s="548"/>
      <c r="AK5" s="548"/>
      <c r="AL5" s="548"/>
      <c r="AM5" s="548"/>
      <c r="AN5" s="548"/>
      <c r="AO5" s="548"/>
      <c r="AP5" s="548"/>
      <c r="AQ5" s="548"/>
      <c r="AR5" s="548"/>
      <c r="AS5" s="548"/>
      <c r="AT5" s="747"/>
      <c r="AU5" s="170"/>
      <c r="AV5" s="170"/>
      <c r="AW5" s="829"/>
      <c r="AX5" s="745"/>
    </row>
    <row r="6" spans="1:50" ht="16.5" thickBot="1" x14ac:dyDescent="0.3">
      <c r="A6" s="170"/>
      <c r="B6" s="719"/>
      <c r="C6" s="170"/>
      <c r="D6" s="2014"/>
      <c r="E6" s="2014"/>
      <c r="F6" s="2014"/>
      <c r="G6" s="2014" t="s">
        <v>554</v>
      </c>
      <c r="H6" s="2015"/>
      <c r="I6" s="2015"/>
      <c r="J6" s="2015"/>
      <c r="K6" s="2015"/>
      <c r="L6" s="2015"/>
      <c r="M6" s="2015"/>
      <c r="N6" s="2015"/>
      <c r="O6" s="2015"/>
      <c r="P6" s="2016"/>
      <c r="Q6" s="2016"/>
      <c r="R6" s="2015"/>
      <c r="S6" s="2015"/>
      <c r="T6" s="2015"/>
      <c r="U6" s="2015"/>
      <c r="V6" s="2015"/>
      <c r="W6" s="2015"/>
      <c r="X6" s="2015"/>
      <c r="Y6" s="2017"/>
      <c r="Z6" s="2017"/>
      <c r="AA6" s="2018"/>
      <c r="AB6" s="2019"/>
      <c r="AC6" s="170"/>
      <c r="AD6" s="755" t="s">
        <v>555</v>
      </c>
      <c r="AE6" s="756"/>
      <c r="AF6" s="757"/>
      <c r="AG6" s="757"/>
      <c r="AH6" s="757"/>
      <c r="AI6" s="757"/>
      <c r="AJ6" s="757"/>
      <c r="AK6" s="757"/>
      <c r="AL6" s="757"/>
      <c r="AM6" s="757"/>
      <c r="AN6" s="757"/>
      <c r="AO6" s="757"/>
      <c r="AP6" s="757"/>
      <c r="AQ6" s="757"/>
      <c r="AR6" s="757"/>
      <c r="AS6" s="758"/>
      <c r="AT6" s="759"/>
      <c r="AU6" s="170"/>
      <c r="AV6" s="170"/>
      <c r="AW6" s="754"/>
      <c r="AX6" s="754"/>
    </row>
    <row r="7" spans="1:50" ht="2.85" customHeight="1" thickBot="1" x14ac:dyDescent="0.3">
      <c r="A7" s="170"/>
      <c r="B7" s="719"/>
      <c r="C7" s="170"/>
      <c r="D7" s="2020"/>
      <c r="E7" s="378"/>
      <c r="F7" s="378"/>
      <c r="G7" s="2021"/>
      <c r="H7" s="378"/>
      <c r="I7" s="378"/>
      <c r="J7" s="378"/>
      <c r="K7" s="378"/>
      <c r="L7" s="378"/>
      <c r="M7" s="2022"/>
      <c r="N7" s="2022"/>
      <c r="O7" s="2022"/>
      <c r="P7" s="2023"/>
      <c r="Q7" s="2023"/>
      <c r="R7" s="2022"/>
      <c r="S7" s="2022"/>
      <c r="T7" s="2024"/>
      <c r="U7" s="2025"/>
      <c r="V7" s="2026"/>
      <c r="W7" s="2026"/>
      <c r="X7" s="2024"/>
      <c r="Y7" s="2024"/>
      <c r="Z7" s="2024"/>
      <c r="AA7" s="2027"/>
      <c r="AB7" s="2027"/>
      <c r="AC7" s="170"/>
      <c r="AD7" s="584"/>
      <c r="AE7" s="584"/>
      <c r="AF7" s="376"/>
      <c r="AG7" s="376"/>
      <c r="AH7" s="376"/>
      <c r="AI7" s="376"/>
      <c r="AJ7" s="376"/>
      <c r="AK7" s="376"/>
      <c r="AL7" s="762"/>
      <c r="AM7" s="762"/>
      <c r="AN7" s="762"/>
      <c r="AO7" s="762"/>
      <c r="AP7" s="762"/>
      <c r="AQ7" s="762"/>
      <c r="AR7" s="762"/>
      <c r="AS7" s="762"/>
      <c r="AT7" s="759"/>
      <c r="AU7" s="170"/>
      <c r="AV7" s="170"/>
      <c r="AW7" s="828"/>
      <c r="AX7" s="726"/>
    </row>
    <row r="8" spans="1:50" ht="63" customHeight="1" thickBot="1" x14ac:dyDescent="0.3">
      <c r="A8" s="170"/>
      <c r="B8" s="719"/>
      <c r="C8" s="170"/>
      <c r="D8" s="2028" t="s">
        <v>630</v>
      </c>
      <c r="E8" s="2028" t="s">
        <v>631</v>
      </c>
      <c r="F8" s="2028" t="s">
        <v>632</v>
      </c>
      <c r="G8" s="2014" t="s">
        <v>206</v>
      </c>
      <c r="H8" s="2029" t="s">
        <v>557</v>
      </c>
      <c r="I8" s="2029" t="s">
        <v>556</v>
      </c>
      <c r="J8" s="2014" t="s">
        <v>560</v>
      </c>
      <c r="K8" s="2014" t="s">
        <v>559</v>
      </c>
      <c r="L8" s="2030" t="s">
        <v>561</v>
      </c>
      <c r="M8" s="2030" t="s">
        <v>562</v>
      </c>
      <c r="N8" s="2030" t="s">
        <v>563</v>
      </c>
      <c r="O8" s="2030" t="s">
        <v>564</v>
      </c>
      <c r="P8" s="2030" t="s">
        <v>565</v>
      </c>
      <c r="Q8" s="2030" t="s">
        <v>566</v>
      </c>
      <c r="R8" s="2030" t="s">
        <v>567</v>
      </c>
      <c r="S8" s="2030" t="s">
        <v>568</v>
      </c>
      <c r="T8" s="2030" t="s">
        <v>569</v>
      </c>
      <c r="U8" s="2030" t="s">
        <v>1740</v>
      </c>
      <c r="V8" s="2030" t="s">
        <v>571</v>
      </c>
      <c r="W8" s="2030" t="s">
        <v>572</v>
      </c>
      <c r="X8" s="2030" t="s">
        <v>573</v>
      </c>
      <c r="Y8" s="2030" t="s">
        <v>574</v>
      </c>
      <c r="Z8" s="2030" t="s">
        <v>575</v>
      </c>
      <c r="AA8" s="2030" t="s">
        <v>1</v>
      </c>
      <c r="AB8" s="2031" t="s">
        <v>576</v>
      </c>
      <c r="AC8" s="765"/>
      <c r="AD8" s="766" t="s">
        <v>577</v>
      </c>
      <c r="AE8" s="766" t="s">
        <v>578</v>
      </c>
      <c r="AF8" s="766" t="s">
        <v>558</v>
      </c>
      <c r="AG8" s="766" t="s">
        <v>579</v>
      </c>
      <c r="AH8" s="766" t="s">
        <v>580</v>
      </c>
      <c r="AI8" s="766" t="s">
        <v>581</v>
      </c>
      <c r="AJ8" s="766" t="s">
        <v>582</v>
      </c>
      <c r="AK8" s="766" t="s">
        <v>583</v>
      </c>
      <c r="AL8" s="766" t="s">
        <v>584</v>
      </c>
      <c r="AM8" s="766" t="s">
        <v>585</v>
      </c>
      <c r="AN8" s="766" t="s">
        <v>586</v>
      </c>
      <c r="AO8" s="766" t="s">
        <v>587</v>
      </c>
      <c r="AP8" s="766" t="s">
        <v>588</v>
      </c>
      <c r="AQ8" s="766" t="s">
        <v>589</v>
      </c>
      <c r="AR8" s="766" t="s">
        <v>590</v>
      </c>
      <c r="AS8" s="767" t="s">
        <v>591</v>
      </c>
      <c r="AT8" s="759"/>
      <c r="AU8" s="170"/>
      <c r="AV8" s="170"/>
      <c r="AW8" s="831" t="s">
        <v>634</v>
      </c>
      <c r="AX8" s="764" t="s">
        <v>635</v>
      </c>
    </row>
    <row r="9" spans="1:50" ht="15" x14ac:dyDescent="0.25">
      <c r="A9" s="784"/>
      <c r="B9" s="719">
        <v>1</v>
      </c>
      <c r="C9" s="170" t="str">
        <f t="shared" ref="C9:C72" si="0">+F9&amp;I9</f>
        <v/>
      </c>
      <c r="D9" s="557"/>
      <c r="E9" s="170"/>
      <c r="F9" s="170"/>
      <c r="G9" s="2007"/>
      <c r="H9" s="1926"/>
      <c r="I9" s="2008"/>
      <c r="J9" s="1926"/>
      <c r="K9" s="1926"/>
      <c r="L9" s="170"/>
      <c r="M9" s="2009">
        <v>0</v>
      </c>
      <c r="N9" s="2010">
        <v>1</v>
      </c>
      <c r="O9" s="773">
        <f t="shared" ref="O9:O41" si="1">+M9*N9</f>
        <v>0</v>
      </c>
      <c r="P9" s="2008" t="s">
        <v>39</v>
      </c>
      <c r="Q9" s="2008" t="s">
        <v>39</v>
      </c>
      <c r="R9" s="2011" t="s">
        <v>73</v>
      </c>
      <c r="S9" s="775">
        <f>SUMIF('Data Input sheet'!$B$118:$B$180,R9,'Data Input sheet'!$D$118:$D$180)</f>
        <v>119</v>
      </c>
      <c r="T9" s="2012">
        <f t="shared" ref="T9:T74" si="2">+O9*S9</f>
        <v>0</v>
      </c>
      <c r="U9" s="2013">
        <v>0</v>
      </c>
      <c r="V9" s="778">
        <f>ROUND(U9*O9,0)</f>
        <v>0</v>
      </c>
      <c r="W9" s="2010"/>
      <c r="X9" s="779"/>
      <c r="Y9" s="2012">
        <v>0</v>
      </c>
      <c r="Z9" s="780">
        <f t="shared" ref="Z9:Z41" si="3">T9+V9+W9+Y9</f>
        <v>0</v>
      </c>
      <c r="AA9" s="2007"/>
      <c r="AB9" s="2007"/>
      <c r="AC9" s="765"/>
      <c r="AD9" s="781">
        <f t="shared" ref="AD9:AD40" si="4">IF(P9="E",+ROUND(H9*O9,0),0)</f>
        <v>0</v>
      </c>
      <c r="AE9" s="781">
        <f t="shared" ref="AE9:AE75" si="5">+AF9-AD9</f>
        <v>0</v>
      </c>
      <c r="AF9" s="781">
        <f t="shared" ref="AF9:AF40" si="6">+H9*O9</f>
        <v>0</v>
      </c>
      <c r="AG9" s="781">
        <f t="shared" ref="AG9:AG40" si="7">IF(P9="E",+ROUND(T9*H9,0),0)</f>
        <v>0</v>
      </c>
      <c r="AH9" s="781">
        <f t="shared" ref="AH9:AH75" si="8">+AI9-AG9</f>
        <v>0</v>
      </c>
      <c r="AI9" s="782">
        <f t="shared" ref="AI9:AI40" si="9">+H9*T9</f>
        <v>0</v>
      </c>
      <c r="AJ9" s="781">
        <f t="shared" ref="AJ9:AJ40" si="10">IF(P9="E",+ROUND(V9*H9,0),0)</f>
        <v>0</v>
      </c>
      <c r="AK9" s="781">
        <f t="shared" ref="AK9:AK75" si="11">+AL9-AJ9</f>
        <v>0</v>
      </c>
      <c r="AL9" s="781">
        <f t="shared" ref="AL9:AL40" si="12">ROUND(V9*H9,0)</f>
        <v>0</v>
      </c>
      <c r="AM9" s="781">
        <f t="shared" ref="AM9:AM40" si="13">IF(Q9="E",+ROUND(W9*H9,0),0)</f>
        <v>0</v>
      </c>
      <c r="AN9" s="781">
        <f t="shared" ref="AN9:AN75" si="14">+AO9-AM9</f>
        <v>0</v>
      </c>
      <c r="AO9" s="781">
        <f t="shared" ref="AO9:AO40" si="15">ROUND(W9*H9,0)</f>
        <v>0</v>
      </c>
      <c r="AP9" s="781">
        <f t="shared" ref="AP9:AP40" si="16">IF(P9="E",+ROUND(Y9*H9,0),0)</f>
        <v>0</v>
      </c>
      <c r="AQ9" s="781">
        <f t="shared" ref="AQ9:AQ75" si="17">+AR9-AP9</f>
        <v>0</v>
      </c>
      <c r="AR9" s="781">
        <f t="shared" ref="AR9:AR40" si="18">ROUND(Y9*H9,0)</f>
        <v>0</v>
      </c>
      <c r="AS9" s="783">
        <f t="shared" ref="AS9:AS75" si="19">+AR9+AO9+AL9+AI9</f>
        <v>0</v>
      </c>
    </row>
    <row r="10" spans="1:50" ht="15" x14ac:dyDescent="0.25">
      <c r="A10" s="784"/>
      <c r="B10" s="719">
        <f>+B9+1</f>
        <v>2</v>
      </c>
      <c r="C10" s="170" t="str">
        <f t="shared" si="0"/>
        <v/>
      </c>
      <c r="D10" s="557"/>
      <c r="E10" s="170"/>
      <c r="F10" s="170"/>
      <c r="G10" s="2007"/>
      <c r="H10" s="1926"/>
      <c r="I10" s="2008"/>
      <c r="J10" s="1926"/>
      <c r="K10" s="1926"/>
      <c r="L10" s="170"/>
      <c r="M10" s="2009">
        <v>0</v>
      </c>
      <c r="N10" s="2010">
        <v>1</v>
      </c>
      <c r="O10" s="773">
        <f t="shared" si="1"/>
        <v>0</v>
      </c>
      <c r="P10" s="2008" t="s">
        <v>39</v>
      </c>
      <c r="Q10" s="2008" t="s">
        <v>39</v>
      </c>
      <c r="R10" s="2011" t="s">
        <v>73</v>
      </c>
      <c r="S10" s="775">
        <f>SUMIF('Data Input sheet'!$B$118:$B$180,R10,'Data Input sheet'!$D$118:$D$180)</f>
        <v>119</v>
      </c>
      <c r="T10" s="2012">
        <f t="shared" si="2"/>
        <v>0</v>
      </c>
      <c r="U10" s="2013">
        <v>0</v>
      </c>
      <c r="V10" s="778">
        <f t="shared" ref="V10:V74" si="20">ROUND(U10*O10,0)</f>
        <v>0</v>
      </c>
      <c r="W10" s="2010"/>
      <c r="X10" s="779"/>
      <c r="Y10" s="2012">
        <v>0</v>
      </c>
      <c r="Z10" s="780">
        <f t="shared" si="3"/>
        <v>0</v>
      </c>
      <c r="AA10" s="2007"/>
      <c r="AB10" s="2007"/>
      <c r="AC10" s="765"/>
      <c r="AD10" s="781">
        <f t="shared" si="4"/>
        <v>0</v>
      </c>
      <c r="AE10" s="781">
        <f t="shared" si="5"/>
        <v>0</v>
      </c>
      <c r="AF10" s="781">
        <f t="shared" si="6"/>
        <v>0</v>
      </c>
      <c r="AG10" s="781">
        <f t="shared" si="7"/>
        <v>0</v>
      </c>
      <c r="AH10" s="781">
        <f t="shared" si="8"/>
        <v>0</v>
      </c>
      <c r="AI10" s="782">
        <f t="shared" si="9"/>
        <v>0</v>
      </c>
      <c r="AJ10" s="781">
        <f t="shared" si="10"/>
        <v>0</v>
      </c>
      <c r="AK10" s="781">
        <f t="shared" si="11"/>
        <v>0</v>
      </c>
      <c r="AL10" s="781">
        <f t="shared" si="12"/>
        <v>0</v>
      </c>
      <c r="AM10" s="781">
        <f t="shared" si="13"/>
        <v>0</v>
      </c>
      <c r="AN10" s="781">
        <f t="shared" si="14"/>
        <v>0</v>
      </c>
      <c r="AO10" s="781">
        <f t="shared" si="15"/>
        <v>0</v>
      </c>
      <c r="AP10" s="781">
        <f t="shared" si="16"/>
        <v>0</v>
      </c>
      <c r="AQ10" s="781">
        <f t="shared" si="17"/>
        <v>0</v>
      </c>
      <c r="AR10" s="781">
        <f t="shared" si="18"/>
        <v>0</v>
      </c>
      <c r="AS10" s="783">
        <f t="shared" si="19"/>
        <v>0</v>
      </c>
    </row>
    <row r="11" spans="1:50" ht="15" x14ac:dyDescent="0.25">
      <c r="A11" s="784"/>
      <c r="B11" s="719">
        <f t="shared" ref="B11:B20" si="21">B10+1</f>
        <v>3</v>
      </c>
      <c r="C11" s="170" t="str">
        <f t="shared" si="0"/>
        <v/>
      </c>
      <c r="D11" s="557"/>
      <c r="E11" s="170"/>
      <c r="F11" s="170"/>
      <c r="G11" s="2007"/>
      <c r="H11" s="1926"/>
      <c r="I11" s="2008"/>
      <c r="J11" s="1926"/>
      <c r="K11" s="1926"/>
      <c r="L11" s="170"/>
      <c r="M11" s="2009">
        <v>0</v>
      </c>
      <c r="N11" s="2010">
        <v>1</v>
      </c>
      <c r="O11" s="773">
        <f t="shared" si="1"/>
        <v>0</v>
      </c>
      <c r="P11" s="2008" t="s">
        <v>39</v>
      </c>
      <c r="Q11" s="2008" t="s">
        <v>39</v>
      </c>
      <c r="R11" s="2011" t="s">
        <v>73</v>
      </c>
      <c r="S11" s="775">
        <f>SUMIF('Data Input sheet'!$B$118:$B$180,R11,'Data Input sheet'!$D$118:$D$180)</f>
        <v>119</v>
      </c>
      <c r="T11" s="2012">
        <f t="shared" si="2"/>
        <v>0</v>
      </c>
      <c r="U11" s="2013">
        <v>0</v>
      </c>
      <c r="V11" s="778">
        <f t="shared" si="20"/>
        <v>0</v>
      </c>
      <c r="W11" s="2010"/>
      <c r="X11" s="779"/>
      <c r="Y11" s="2012">
        <v>0</v>
      </c>
      <c r="Z11" s="780">
        <f t="shared" si="3"/>
        <v>0</v>
      </c>
      <c r="AA11" s="2007"/>
      <c r="AB11" s="2007"/>
      <c r="AC11" s="765"/>
      <c r="AD11" s="781">
        <f t="shared" si="4"/>
        <v>0</v>
      </c>
      <c r="AE11" s="781">
        <f t="shared" si="5"/>
        <v>0</v>
      </c>
      <c r="AF11" s="781">
        <f t="shared" si="6"/>
        <v>0</v>
      </c>
      <c r="AG11" s="781">
        <f t="shared" si="7"/>
        <v>0</v>
      </c>
      <c r="AH11" s="781">
        <f t="shared" si="8"/>
        <v>0</v>
      </c>
      <c r="AI11" s="782">
        <f t="shared" si="9"/>
        <v>0</v>
      </c>
      <c r="AJ11" s="781">
        <f t="shared" si="10"/>
        <v>0</v>
      </c>
      <c r="AK11" s="781">
        <f t="shared" si="11"/>
        <v>0</v>
      </c>
      <c r="AL11" s="781">
        <f t="shared" si="12"/>
        <v>0</v>
      </c>
      <c r="AM11" s="781">
        <f t="shared" si="13"/>
        <v>0</v>
      </c>
      <c r="AN11" s="781">
        <f t="shared" si="14"/>
        <v>0</v>
      </c>
      <c r="AO11" s="781">
        <f t="shared" si="15"/>
        <v>0</v>
      </c>
      <c r="AP11" s="781">
        <f t="shared" si="16"/>
        <v>0</v>
      </c>
      <c r="AQ11" s="781">
        <f t="shared" si="17"/>
        <v>0</v>
      </c>
      <c r="AR11" s="781">
        <f t="shared" si="18"/>
        <v>0</v>
      </c>
      <c r="AS11" s="783">
        <f t="shared" si="19"/>
        <v>0</v>
      </c>
    </row>
    <row r="12" spans="1:50" ht="15" x14ac:dyDescent="0.25">
      <c r="A12" s="784"/>
      <c r="B12" s="719">
        <f t="shared" si="21"/>
        <v>4</v>
      </c>
      <c r="C12" s="170" t="str">
        <f t="shared" si="0"/>
        <v>2LF</v>
      </c>
      <c r="D12" s="557"/>
      <c r="E12" s="170"/>
      <c r="F12" s="170">
        <v>2</v>
      </c>
      <c r="G12" s="2007" t="s">
        <v>637</v>
      </c>
      <c r="H12" s="1926"/>
      <c r="I12" s="2008" t="s">
        <v>728</v>
      </c>
      <c r="J12" s="1926"/>
      <c r="K12" s="1926"/>
      <c r="L12" s="170"/>
      <c r="M12" s="2009"/>
      <c r="N12" s="2010">
        <v>1</v>
      </c>
      <c r="O12" s="773">
        <f t="shared" si="1"/>
        <v>0</v>
      </c>
      <c r="P12" s="2008" t="s">
        <v>39</v>
      </c>
      <c r="Q12" s="2008" t="s">
        <v>39</v>
      </c>
      <c r="R12" s="2011" t="s">
        <v>74</v>
      </c>
      <c r="S12" s="775">
        <f>SUMIF('Data Input sheet'!$B$118:$B$180,R12,'Data Input sheet'!$D$118:$D$180)</f>
        <v>152</v>
      </c>
      <c r="T12" s="2012">
        <f t="shared" si="2"/>
        <v>0</v>
      </c>
      <c r="U12" s="2013">
        <v>0</v>
      </c>
      <c r="V12" s="778">
        <f t="shared" si="20"/>
        <v>0</v>
      </c>
      <c r="W12" s="2010"/>
      <c r="X12" s="779"/>
      <c r="Y12" s="2012">
        <v>18.72</v>
      </c>
      <c r="Z12" s="780">
        <f t="shared" si="3"/>
        <v>18.72</v>
      </c>
      <c r="AA12" s="2007"/>
      <c r="AB12" s="2007"/>
      <c r="AC12" s="765"/>
      <c r="AD12" s="781">
        <f t="shared" si="4"/>
        <v>0</v>
      </c>
      <c r="AE12" s="781">
        <f t="shared" si="5"/>
        <v>0</v>
      </c>
      <c r="AF12" s="781">
        <f t="shared" si="6"/>
        <v>0</v>
      </c>
      <c r="AG12" s="781">
        <f t="shared" si="7"/>
        <v>0</v>
      </c>
      <c r="AH12" s="781">
        <f t="shared" si="8"/>
        <v>0</v>
      </c>
      <c r="AI12" s="782">
        <f t="shared" si="9"/>
        <v>0</v>
      </c>
      <c r="AJ12" s="781">
        <f t="shared" si="10"/>
        <v>0</v>
      </c>
      <c r="AK12" s="781">
        <f t="shared" si="11"/>
        <v>0</v>
      </c>
      <c r="AL12" s="781">
        <f t="shared" si="12"/>
        <v>0</v>
      </c>
      <c r="AM12" s="781">
        <f t="shared" si="13"/>
        <v>0</v>
      </c>
      <c r="AN12" s="781">
        <f t="shared" si="14"/>
        <v>0</v>
      </c>
      <c r="AO12" s="781">
        <f t="shared" si="15"/>
        <v>0</v>
      </c>
      <c r="AP12" s="781">
        <f t="shared" si="16"/>
        <v>0</v>
      </c>
      <c r="AQ12" s="781">
        <f t="shared" si="17"/>
        <v>0</v>
      </c>
      <c r="AR12" s="781">
        <f t="shared" si="18"/>
        <v>0</v>
      </c>
      <c r="AS12" s="783">
        <f t="shared" si="19"/>
        <v>0</v>
      </c>
    </row>
    <row r="13" spans="1:50" ht="15" x14ac:dyDescent="0.25">
      <c r="A13" s="784"/>
      <c r="B13" s="719">
        <f t="shared" si="21"/>
        <v>5</v>
      </c>
      <c r="C13" s="170" t="str">
        <f t="shared" si="0"/>
        <v>2LF</v>
      </c>
      <c r="D13" s="557"/>
      <c r="E13" s="170"/>
      <c r="F13" s="170">
        <v>2</v>
      </c>
      <c r="G13" s="2007" t="s">
        <v>743</v>
      </c>
      <c r="H13" s="1926"/>
      <c r="I13" s="2008" t="s">
        <v>728</v>
      </c>
      <c r="J13" s="1926"/>
      <c r="K13" s="1926"/>
      <c r="L13" s="170"/>
      <c r="M13" s="2009"/>
      <c r="N13" s="2010">
        <v>1</v>
      </c>
      <c r="O13" s="773">
        <f t="shared" si="1"/>
        <v>0</v>
      </c>
      <c r="P13" s="2008" t="s">
        <v>39</v>
      </c>
      <c r="Q13" s="2008" t="s">
        <v>39</v>
      </c>
      <c r="R13" s="2011" t="s">
        <v>74</v>
      </c>
      <c r="S13" s="775">
        <f>SUMIF('Data Input sheet'!$B$118:$B$180,R13,'Data Input sheet'!$D$118:$D$180)</f>
        <v>152</v>
      </c>
      <c r="T13" s="2012">
        <f t="shared" si="2"/>
        <v>0</v>
      </c>
      <c r="U13" s="2013">
        <v>0</v>
      </c>
      <c r="V13" s="778">
        <f t="shared" si="20"/>
        <v>0</v>
      </c>
      <c r="W13" s="2010"/>
      <c r="X13" s="779"/>
      <c r="Y13" s="2012">
        <v>3.12</v>
      </c>
      <c r="Z13" s="780">
        <f t="shared" si="3"/>
        <v>3.12</v>
      </c>
      <c r="AA13" s="2007"/>
      <c r="AB13" s="2007"/>
      <c r="AC13" s="765"/>
      <c r="AD13" s="781">
        <f t="shared" si="4"/>
        <v>0</v>
      </c>
      <c r="AE13" s="781">
        <f t="shared" si="5"/>
        <v>0</v>
      </c>
      <c r="AF13" s="781">
        <f t="shared" si="6"/>
        <v>0</v>
      </c>
      <c r="AG13" s="781">
        <f t="shared" si="7"/>
        <v>0</v>
      </c>
      <c r="AH13" s="781">
        <f t="shared" si="8"/>
        <v>0</v>
      </c>
      <c r="AI13" s="782">
        <f t="shared" si="9"/>
        <v>0</v>
      </c>
      <c r="AJ13" s="781">
        <f t="shared" si="10"/>
        <v>0</v>
      </c>
      <c r="AK13" s="781">
        <f t="shared" si="11"/>
        <v>0</v>
      </c>
      <c r="AL13" s="781">
        <f t="shared" si="12"/>
        <v>0</v>
      </c>
      <c r="AM13" s="781">
        <f t="shared" si="13"/>
        <v>0</v>
      </c>
      <c r="AN13" s="781">
        <f t="shared" si="14"/>
        <v>0</v>
      </c>
      <c r="AO13" s="781">
        <f t="shared" si="15"/>
        <v>0</v>
      </c>
      <c r="AP13" s="781">
        <f t="shared" si="16"/>
        <v>0</v>
      </c>
      <c r="AQ13" s="781">
        <f t="shared" si="17"/>
        <v>0</v>
      </c>
      <c r="AR13" s="781">
        <f t="shared" si="18"/>
        <v>0</v>
      </c>
      <c r="AS13" s="783">
        <f t="shared" si="19"/>
        <v>0</v>
      </c>
    </row>
    <row r="14" spans="1:50" ht="15" x14ac:dyDescent="0.25">
      <c r="A14" s="784"/>
      <c r="B14" s="719">
        <f t="shared" si="21"/>
        <v>6</v>
      </c>
      <c r="C14" s="170" t="str">
        <f t="shared" si="0"/>
        <v>2LF</v>
      </c>
      <c r="D14" s="557"/>
      <c r="E14" s="170"/>
      <c r="F14" s="170">
        <v>2</v>
      </c>
      <c r="G14" s="2007" t="s">
        <v>744</v>
      </c>
      <c r="H14" s="1926"/>
      <c r="I14" s="2008" t="s">
        <v>728</v>
      </c>
      <c r="J14" s="1926"/>
      <c r="K14" s="1926"/>
      <c r="L14" s="170"/>
      <c r="M14" s="2009"/>
      <c r="N14" s="2010">
        <v>1</v>
      </c>
      <c r="O14" s="773">
        <f t="shared" si="1"/>
        <v>0</v>
      </c>
      <c r="P14" s="2008" t="s">
        <v>39</v>
      </c>
      <c r="Q14" s="2008" t="s">
        <v>39</v>
      </c>
      <c r="R14" s="2011" t="s">
        <v>74</v>
      </c>
      <c r="S14" s="775">
        <f>SUMIF('Data Input sheet'!$B$118:$B$180,R14,'Data Input sheet'!$D$118:$D$180)</f>
        <v>152</v>
      </c>
      <c r="T14" s="2012">
        <f t="shared" si="2"/>
        <v>0</v>
      </c>
      <c r="U14" s="2013">
        <v>0</v>
      </c>
      <c r="V14" s="778">
        <f t="shared" si="20"/>
        <v>0</v>
      </c>
      <c r="W14" s="2010"/>
      <c r="X14" s="779"/>
      <c r="Y14" s="2012">
        <v>5.2</v>
      </c>
      <c r="Z14" s="780">
        <f t="shared" si="3"/>
        <v>5.2</v>
      </c>
      <c r="AA14" s="2007"/>
      <c r="AB14" s="2007"/>
      <c r="AC14" s="765"/>
      <c r="AD14" s="781">
        <f t="shared" si="4"/>
        <v>0</v>
      </c>
      <c r="AE14" s="781">
        <f t="shared" si="5"/>
        <v>0</v>
      </c>
      <c r="AF14" s="781">
        <f t="shared" si="6"/>
        <v>0</v>
      </c>
      <c r="AG14" s="781">
        <f t="shared" si="7"/>
        <v>0</v>
      </c>
      <c r="AH14" s="781">
        <f t="shared" si="8"/>
        <v>0</v>
      </c>
      <c r="AI14" s="782">
        <f t="shared" si="9"/>
        <v>0</v>
      </c>
      <c r="AJ14" s="781">
        <f t="shared" si="10"/>
        <v>0</v>
      </c>
      <c r="AK14" s="781">
        <f t="shared" si="11"/>
        <v>0</v>
      </c>
      <c r="AL14" s="781">
        <f t="shared" si="12"/>
        <v>0</v>
      </c>
      <c r="AM14" s="781">
        <f t="shared" si="13"/>
        <v>0</v>
      </c>
      <c r="AN14" s="781">
        <f t="shared" si="14"/>
        <v>0</v>
      </c>
      <c r="AO14" s="781">
        <f t="shared" si="15"/>
        <v>0</v>
      </c>
      <c r="AP14" s="781">
        <f t="shared" si="16"/>
        <v>0</v>
      </c>
      <c r="AQ14" s="781">
        <f t="shared" si="17"/>
        <v>0</v>
      </c>
      <c r="AR14" s="781">
        <f t="shared" si="18"/>
        <v>0</v>
      </c>
      <c r="AS14" s="783">
        <f t="shared" si="19"/>
        <v>0</v>
      </c>
    </row>
    <row r="15" spans="1:50" ht="15" x14ac:dyDescent="0.25">
      <c r="A15" s="784"/>
      <c r="B15" s="719">
        <f t="shared" si="21"/>
        <v>7</v>
      </c>
      <c r="C15" s="170" t="str">
        <f t="shared" si="0"/>
        <v>2LF</v>
      </c>
      <c r="D15" s="557"/>
      <c r="E15" s="170"/>
      <c r="F15" s="170">
        <v>2</v>
      </c>
      <c r="G15" s="2007" t="s">
        <v>745</v>
      </c>
      <c r="H15" s="1926"/>
      <c r="I15" s="2008" t="s">
        <v>728</v>
      </c>
      <c r="J15" s="1926"/>
      <c r="K15" s="1926"/>
      <c r="L15" s="170"/>
      <c r="M15" s="2009"/>
      <c r="N15" s="2010">
        <v>1</v>
      </c>
      <c r="O15" s="773">
        <f t="shared" si="1"/>
        <v>0</v>
      </c>
      <c r="P15" s="2008" t="s">
        <v>39</v>
      </c>
      <c r="Q15" s="2008" t="s">
        <v>39</v>
      </c>
      <c r="R15" s="2011" t="s">
        <v>74</v>
      </c>
      <c r="S15" s="775">
        <f>SUMIF('Data Input sheet'!$B$118:$B$180,R15,'Data Input sheet'!$D$118:$D$180)</f>
        <v>152</v>
      </c>
      <c r="T15" s="2012">
        <f t="shared" si="2"/>
        <v>0</v>
      </c>
      <c r="U15" s="2013">
        <v>0</v>
      </c>
      <c r="V15" s="778">
        <f t="shared" si="20"/>
        <v>0</v>
      </c>
      <c r="W15" s="2010"/>
      <c r="X15" s="779"/>
      <c r="Y15" s="2012">
        <v>67.599999999999994</v>
      </c>
      <c r="Z15" s="780">
        <f t="shared" si="3"/>
        <v>67.599999999999994</v>
      </c>
      <c r="AA15" s="2007" t="s">
        <v>746</v>
      </c>
      <c r="AB15" s="2007"/>
      <c r="AC15" s="765"/>
      <c r="AD15" s="781">
        <f t="shared" si="4"/>
        <v>0</v>
      </c>
      <c r="AE15" s="781">
        <f t="shared" si="5"/>
        <v>0</v>
      </c>
      <c r="AF15" s="781">
        <f t="shared" si="6"/>
        <v>0</v>
      </c>
      <c r="AG15" s="781">
        <f t="shared" si="7"/>
        <v>0</v>
      </c>
      <c r="AH15" s="781">
        <f t="shared" si="8"/>
        <v>0</v>
      </c>
      <c r="AI15" s="782">
        <f t="shared" si="9"/>
        <v>0</v>
      </c>
      <c r="AJ15" s="781">
        <f t="shared" si="10"/>
        <v>0</v>
      </c>
      <c r="AK15" s="781">
        <f t="shared" si="11"/>
        <v>0</v>
      </c>
      <c r="AL15" s="781">
        <f t="shared" si="12"/>
        <v>0</v>
      </c>
      <c r="AM15" s="781">
        <f t="shared" si="13"/>
        <v>0</v>
      </c>
      <c r="AN15" s="781">
        <f t="shared" si="14"/>
        <v>0</v>
      </c>
      <c r="AO15" s="781">
        <f t="shared" si="15"/>
        <v>0</v>
      </c>
      <c r="AP15" s="781">
        <f t="shared" si="16"/>
        <v>0</v>
      </c>
      <c r="AQ15" s="781">
        <f t="shared" si="17"/>
        <v>0</v>
      </c>
      <c r="AR15" s="781">
        <f t="shared" si="18"/>
        <v>0</v>
      </c>
      <c r="AS15" s="783">
        <f t="shared" si="19"/>
        <v>0</v>
      </c>
    </row>
    <row r="16" spans="1:50" ht="15" x14ac:dyDescent="0.25">
      <c r="A16" s="784"/>
      <c r="B16" s="719">
        <f t="shared" si="21"/>
        <v>8</v>
      </c>
      <c r="C16" s="170" t="str">
        <f t="shared" si="0"/>
        <v>2LF</v>
      </c>
      <c r="D16" s="557"/>
      <c r="E16" s="170"/>
      <c r="F16" s="170">
        <v>2</v>
      </c>
      <c r="G16" s="2007" t="s">
        <v>747</v>
      </c>
      <c r="H16" s="1926"/>
      <c r="I16" s="2008" t="s">
        <v>728</v>
      </c>
      <c r="J16" s="1926"/>
      <c r="K16" s="1926"/>
      <c r="L16" s="170"/>
      <c r="M16" s="2009">
        <v>0.02</v>
      </c>
      <c r="N16" s="2010">
        <v>1</v>
      </c>
      <c r="O16" s="773">
        <f t="shared" si="1"/>
        <v>0.02</v>
      </c>
      <c r="P16" s="2008" t="s">
        <v>39</v>
      </c>
      <c r="Q16" s="2008" t="s">
        <v>39</v>
      </c>
      <c r="R16" s="2011" t="s">
        <v>74</v>
      </c>
      <c r="S16" s="775">
        <f>SUMIF('Data Input sheet'!$B$118:$B$180,R16,'Data Input sheet'!$D$118:$D$180)</f>
        <v>152</v>
      </c>
      <c r="T16" s="2012">
        <f t="shared" si="2"/>
        <v>3.04</v>
      </c>
      <c r="U16" s="2013">
        <v>0</v>
      </c>
      <c r="V16" s="778">
        <f t="shared" si="20"/>
        <v>0</v>
      </c>
      <c r="W16" s="2010">
        <v>2.14</v>
      </c>
      <c r="X16" s="779"/>
      <c r="Y16" s="2012"/>
      <c r="Z16" s="780">
        <f t="shared" si="3"/>
        <v>5.18</v>
      </c>
      <c r="AA16" s="2007" t="s">
        <v>748</v>
      </c>
      <c r="AB16" s="2007"/>
      <c r="AC16" s="765"/>
      <c r="AD16" s="781">
        <f t="shared" si="4"/>
        <v>0</v>
      </c>
      <c r="AE16" s="781">
        <f t="shared" si="5"/>
        <v>0</v>
      </c>
      <c r="AF16" s="781">
        <f t="shared" si="6"/>
        <v>0</v>
      </c>
      <c r="AG16" s="781">
        <f t="shared" si="7"/>
        <v>0</v>
      </c>
      <c r="AH16" s="781">
        <f t="shared" si="8"/>
        <v>0</v>
      </c>
      <c r="AI16" s="782">
        <f t="shared" si="9"/>
        <v>0</v>
      </c>
      <c r="AJ16" s="781">
        <f t="shared" si="10"/>
        <v>0</v>
      </c>
      <c r="AK16" s="781">
        <f t="shared" si="11"/>
        <v>0</v>
      </c>
      <c r="AL16" s="781">
        <f t="shared" si="12"/>
        <v>0</v>
      </c>
      <c r="AM16" s="781">
        <f t="shared" si="13"/>
        <v>0</v>
      </c>
      <c r="AN16" s="781">
        <f t="shared" si="14"/>
        <v>0</v>
      </c>
      <c r="AO16" s="781">
        <f t="shared" si="15"/>
        <v>0</v>
      </c>
      <c r="AP16" s="781">
        <f t="shared" si="16"/>
        <v>0</v>
      </c>
      <c r="AQ16" s="781">
        <f t="shared" si="17"/>
        <v>0</v>
      </c>
      <c r="AR16" s="781">
        <f t="shared" si="18"/>
        <v>0</v>
      </c>
      <c r="AS16" s="783">
        <f t="shared" si="19"/>
        <v>0</v>
      </c>
    </row>
    <row r="17" spans="1:45" ht="15" x14ac:dyDescent="0.25">
      <c r="A17" s="784"/>
      <c r="B17" s="719">
        <f t="shared" si="21"/>
        <v>9</v>
      </c>
      <c r="C17" s="170" t="str">
        <f t="shared" si="0"/>
        <v>13LF</v>
      </c>
      <c r="D17" s="557"/>
      <c r="E17" s="170"/>
      <c r="F17" s="170">
        <v>13</v>
      </c>
      <c r="G17" s="2007" t="s">
        <v>749</v>
      </c>
      <c r="H17" s="1926"/>
      <c r="I17" s="2008" t="s">
        <v>728</v>
      </c>
      <c r="J17" s="1926"/>
      <c r="K17" s="1926"/>
      <c r="L17" s="170"/>
      <c r="M17" s="2009">
        <v>4.4999999999999998E-2</v>
      </c>
      <c r="N17" s="2010">
        <v>1</v>
      </c>
      <c r="O17" s="773">
        <f t="shared" si="1"/>
        <v>4.4999999999999998E-2</v>
      </c>
      <c r="P17" s="2008" t="s">
        <v>39</v>
      </c>
      <c r="Q17" s="2008" t="s">
        <v>39</v>
      </c>
      <c r="R17" s="2011" t="s">
        <v>74</v>
      </c>
      <c r="S17" s="775">
        <f>SUMIF('Data Input sheet'!$B$118:$B$180,R17,'Data Input sheet'!$D$118:$D$180)</f>
        <v>152</v>
      </c>
      <c r="T17" s="2012">
        <f t="shared" si="2"/>
        <v>6.84</v>
      </c>
      <c r="U17" s="2013">
        <v>21</v>
      </c>
      <c r="V17" s="778">
        <f t="shared" si="20"/>
        <v>1</v>
      </c>
      <c r="W17" s="2010">
        <v>10.119999999999999</v>
      </c>
      <c r="X17" s="779"/>
      <c r="Y17" s="2012">
        <v>5.2</v>
      </c>
      <c r="Z17" s="780">
        <f t="shared" si="3"/>
        <v>23.16</v>
      </c>
      <c r="AA17" s="2007" t="s">
        <v>750</v>
      </c>
      <c r="AB17" s="2007"/>
      <c r="AC17" s="765"/>
      <c r="AD17" s="781">
        <f t="shared" si="4"/>
        <v>0</v>
      </c>
      <c r="AE17" s="781">
        <f t="shared" si="5"/>
        <v>0</v>
      </c>
      <c r="AF17" s="781">
        <f t="shared" si="6"/>
        <v>0</v>
      </c>
      <c r="AG17" s="781">
        <f t="shared" si="7"/>
        <v>0</v>
      </c>
      <c r="AH17" s="781">
        <f t="shared" si="8"/>
        <v>0</v>
      </c>
      <c r="AI17" s="782">
        <f t="shared" si="9"/>
        <v>0</v>
      </c>
      <c r="AJ17" s="781">
        <f t="shared" si="10"/>
        <v>0</v>
      </c>
      <c r="AK17" s="781">
        <f t="shared" si="11"/>
        <v>0</v>
      </c>
      <c r="AL17" s="781">
        <f t="shared" si="12"/>
        <v>0</v>
      </c>
      <c r="AM17" s="781">
        <f t="shared" si="13"/>
        <v>0</v>
      </c>
      <c r="AN17" s="781">
        <f t="shared" si="14"/>
        <v>0</v>
      </c>
      <c r="AO17" s="781">
        <f t="shared" si="15"/>
        <v>0</v>
      </c>
      <c r="AP17" s="781">
        <f t="shared" si="16"/>
        <v>0</v>
      </c>
      <c r="AQ17" s="781">
        <f t="shared" si="17"/>
        <v>0</v>
      </c>
      <c r="AR17" s="781">
        <f t="shared" si="18"/>
        <v>0</v>
      </c>
      <c r="AS17" s="783">
        <f t="shared" si="19"/>
        <v>0</v>
      </c>
    </row>
    <row r="18" spans="1:45" ht="15" x14ac:dyDescent="0.25">
      <c r="A18" s="784"/>
      <c r="B18" s="719">
        <f t="shared" si="21"/>
        <v>10</v>
      </c>
      <c r="C18" s="170" t="str">
        <f t="shared" si="0"/>
        <v>2EA Loc</v>
      </c>
      <c r="D18" s="557"/>
      <c r="E18" s="170"/>
      <c r="F18" s="170">
        <v>2</v>
      </c>
      <c r="G18" s="2007" t="s">
        <v>751</v>
      </c>
      <c r="H18" s="1926"/>
      <c r="I18" s="2008" t="s">
        <v>1342</v>
      </c>
      <c r="J18" s="1926"/>
      <c r="K18" s="1926"/>
      <c r="L18" s="170"/>
      <c r="M18" s="2009">
        <v>35</v>
      </c>
      <c r="N18" s="2010">
        <v>1</v>
      </c>
      <c r="O18" s="773">
        <f t="shared" si="1"/>
        <v>35</v>
      </c>
      <c r="P18" s="2008" t="s">
        <v>39</v>
      </c>
      <c r="Q18" s="2008" t="s">
        <v>39</v>
      </c>
      <c r="R18" s="2011" t="s">
        <v>74</v>
      </c>
      <c r="S18" s="775">
        <f>SUMIF('Data Input sheet'!$B$118:$B$180,R18,'Data Input sheet'!$D$118:$D$180)</f>
        <v>152</v>
      </c>
      <c r="T18" s="2012">
        <f t="shared" si="2"/>
        <v>5320</v>
      </c>
      <c r="U18" s="2013">
        <v>21</v>
      </c>
      <c r="V18" s="778">
        <f t="shared" si="20"/>
        <v>735</v>
      </c>
      <c r="W18" s="2010">
        <v>629.91999999999996</v>
      </c>
      <c r="X18" s="779"/>
      <c r="Y18" s="2012"/>
      <c r="Z18" s="780">
        <f t="shared" si="3"/>
        <v>6684.92</v>
      </c>
      <c r="AA18" s="2007" t="s">
        <v>752</v>
      </c>
      <c r="AB18" s="2007"/>
      <c r="AC18" s="765"/>
      <c r="AD18" s="781">
        <f t="shared" si="4"/>
        <v>0</v>
      </c>
      <c r="AE18" s="781">
        <f t="shared" si="5"/>
        <v>0</v>
      </c>
      <c r="AF18" s="781">
        <f t="shared" si="6"/>
        <v>0</v>
      </c>
      <c r="AG18" s="781">
        <f t="shared" si="7"/>
        <v>0</v>
      </c>
      <c r="AH18" s="781">
        <f t="shared" si="8"/>
        <v>0</v>
      </c>
      <c r="AI18" s="782">
        <f t="shared" si="9"/>
        <v>0</v>
      </c>
      <c r="AJ18" s="781">
        <f t="shared" si="10"/>
        <v>0</v>
      </c>
      <c r="AK18" s="781">
        <f t="shared" si="11"/>
        <v>0</v>
      </c>
      <c r="AL18" s="781">
        <f t="shared" si="12"/>
        <v>0</v>
      </c>
      <c r="AM18" s="781">
        <f t="shared" si="13"/>
        <v>0</v>
      </c>
      <c r="AN18" s="781">
        <f t="shared" si="14"/>
        <v>0</v>
      </c>
      <c r="AO18" s="781">
        <f t="shared" si="15"/>
        <v>0</v>
      </c>
      <c r="AP18" s="781">
        <f t="shared" si="16"/>
        <v>0</v>
      </c>
      <c r="AQ18" s="781">
        <f t="shared" si="17"/>
        <v>0</v>
      </c>
      <c r="AR18" s="781">
        <f t="shared" si="18"/>
        <v>0</v>
      </c>
      <c r="AS18" s="783">
        <f t="shared" si="19"/>
        <v>0</v>
      </c>
    </row>
    <row r="19" spans="1:45" ht="15" x14ac:dyDescent="0.25">
      <c r="A19" s="784"/>
      <c r="B19" s="719">
        <f t="shared" si="21"/>
        <v>11</v>
      </c>
      <c r="C19" s="170" t="str">
        <f t="shared" si="0"/>
        <v>2LS</v>
      </c>
      <c r="D19" s="557"/>
      <c r="E19" s="170"/>
      <c r="F19" s="170">
        <v>2</v>
      </c>
      <c r="G19" s="2007" t="s">
        <v>83</v>
      </c>
      <c r="H19" s="1926"/>
      <c r="I19" s="2008" t="s">
        <v>640</v>
      </c>
      <c r="J19" s="1926"/>
      <c r="K19" s="1926"/>
      <c r="L19" s="170"/>
      <c r="M19" s="2009"/>
      <c r="N19" s="2010">
        <v>1</v>
      </c>
      <c r="O19" s="773">
        <f t="shared" si="1"/>
        <v>0</v>
      </c>
      <c r="P19" s="2008" t="s">
        <v>39</v>
      </c>
      <c r="Q19" s="2008" t="s">
        <v>39</v>
      </c>
      <c r="R19" s="2011" t="s">
        <v>74</v>
      </c>
      <c r="S19" s="775">
        <f>SUMIF('Data Input sheet'!$B$118:$B$180,R19,'Data Input sheet'!$D$118:$D$180)</f>
        <v>152</v>
      </c>
      <c r="T19" s="2012">
        <f t="shared" si="2"/>
        <v>0</v>
      </c>
      <c r="U19" s="2013">
        <v>0</v>
      </c>
      <c r="V19" s="778">
        <f t="shared" si="20"/>
        <v>0</v>
      </c>
      <c r="W19" s="2010"/>
      <c r="X19" s="779"/>
      <c r="Y19" s="2012">
        <v>0</v>
      </c>
      <c r="Z19" s="780">
        <f t="shared" si="3"/>
        <v>0</v>
      </c>
      <c r="AA19" s="2007" t="s">
        <v>641</v>
      </c>
      <c r="AB19" s="2007"/>
      <c r="AC19" s="765"/>
      <c r="AD19" s="781">
        <f t="shared" si="4"/>
        <v>0</v>
      </c>
      <c r="AE19" s="781">
        <f t="shared" si="5"/>
        <v>0</v>
      </c>
      <c r="AF19" s="781">
        <f t="shared" si="6"/>
        <v>0</v>
      </c>
      <c r="AG19" s="781">
        <f t="shared" si="7"/>
        <v>0</v>
      </c>
      <c r="AH19" s="781">
        <f t="shared" si="8"/>
        <v>0</v>
      </c>
      <c r="AI19" s="782">
        <f t="shared" si="9"/>
        <v>0</v>
      </c>
      <c r="AJ19" s="781">
        <f t="shared" si="10"/>
        <v>0</v>
      </c>
      <c r="AK19" s="781">
        <f t="shared" si="11"/>
        <v>0</v>
      </c>
      <c r="AL19" s="781">
        <f t="shared" si="12"/>
        <v>0</v>
      </c>
      <c r="AM19" s="781">
        <f t="shared" si="13"/>
        <v>0</v>
      </c>
      <c r="AN19" s="781">
        <f t="shared" si="14"/>
        <v>0</v>
      </c>
      <c r="AO19" s="781">
        <f t="shared" si="15"/>
        <v>0</v>
      </c>
      <c r="AP19" s="781">
        <f t="shared" si="16"/>
        <v>0</v>
      </c>
      <c r="AQ19" s="781">
        <f t="shared" si="17"/>
        <v>0</v>
      </c>
      <c r="AR19" s="781">
        <f t="shared" si="18"/>
        <v>0</v>
      </c>
      <c r="AS19" s="783">
        <f t="shared" si="19"/>
        <v>0</v>
      </c>
    </row>
    <row r="20" spans="1:45" ht="15" x14ac:dyDescent="0.25">
      <c r="A20" s="784"/>
      <c r="B20" s="719">
        <f t="shared" si="21"/>
        <v>12</v>
      </c>
      <c r="C20" s="170" t="str">
        <f t="shared" si="0"/>
        <v>2Day</v>
      </c>
      <c r="D20" s="557"/>
      <c r="E20" s="170"/>
      <c r="F20" s="170">
        <v>2</v>
      </c>
      <c r="G20" s="2007" t="s">
        <v>638</v>
      </c>
      <c r="H20" s="1926"/>
      <c r="I20" s="2008" t="s">
        <v>639</v>
      </c>
      <c r="J20" s="1926"/>
      <c r="K20" s="1926"/>
      <c r="L20" s="170"/>
      <c r="M20" s="2009"/>
      <c r="N20" s="2010">
        <v>1</v>
      </c>
      <c r="O20" s="773">
        <f t="shared" si="1"/>
        <v>0</v>
      </c>
      <c r="P20" s="2008" t="s">
        <v>39</v>
      </c>
      <c r="Q20" s="2008" t="s">
        <v>39</v>
      </c>
      <c r="R20" s="2011" t="s">
        <v>74</v>
      </c>
      <c r="S20" s="775">
        <f>SUMIF('Data Input sheet'!$B$118:$B$180,R20,'Data Input sheet'!$D$118:$D$180)</f>
        <v>152</v>
      </c>
      <c r="T20" s="2012">
        <f t="shared" si="2"/>
        <v>0</v>
      </c>
      <c r="U20" s="2013">
        <v>0</v>
      </c>
      <c r="V20" s="778">
        <f t="shared" si="20"/>
        <v>0</v>
      </c>
      <c r="W20" s="2010"/>
      <c r="X20" s="779"/>
      <c r="Y20" s="2012">
        <v>3120</v>
      </c>
      <c r="Z20" s="780">
        <f t="shared" si="3"/>
        <v>3120</v>
      </c>
      <c r="AA20" s="2007"/>
      <c r="AB20" s="2007"/>
      <c r="AC20" s="765"/>
      <c r="AD20" s="781">
        <f t="shared" si="4"/>
        <v>0</v>
      </c>
      <c r="AE20" s="781">
        <f t="shared" si="5"/>
        <v>0</v>
      </c>
      <c r="AF20" s="781">
        <f t="shared" si="6"/>
        <v>0</v>
      </c>
      <c r="AG20" s="781">
        <f t="shared" si="7"/>
        <v>0</v>
      </c>
      <c r="AH20" s="781">
        <f t="shared" si="8"/>
        <v>0</v>
      </c>
      <c r="AI20" s="782">
        <f t="shared" si="9"/>
        <v>0</v>
      </c>
      <c r="AJ20" s="781">
        <f t="shared" si="10"/>
        <v>0</v>
      </c>
      <c r="AK20" s="781">
        <f t="shared" si="11"/>
        <v>0</v>
      </c>
      <c r="AL20" s="781">
        <f t="shared" si="12"/>
        <v>0</v>
      </c>
      <c r="AM20" s="781">
        <f t="shared" si="13"/>
        <v>0</v>
      </c>
      <c r="AN20" s="781">
        <f t="shared" si="14"/>
        <v>0</v>
      </c>
      <c r="AO20" s="781">
        <f t="shared" si="15"/>
        <v>0</v>
      </c>
      <c r="AP20" s="781">
        <f t="shared" si="16"/>
        <v>0</v>
      </c>
      <c r="AQ20" s="781">
        <f t="shared" si="17"/>
        <v>0</v>
      </c>
      <c r="AR20" s="781">
        <f t="shared" si="18"/>
        <v>0</v>
      </c>
      <c r="AS20" s="783">
        <f t="shared" si="19"/>
        <v>0</v>
      </c>
    </row>
    <row r="21" spans="1:45" ht="15" x14ac:dyDescent="0.25">
      <c r="A21" s="784"/>
      <c r="B21" s="719">
        <f>B19+1</f>
        <v>12</v>
      </c>
      <c r="C21" s="170" t="str">
        <f t="shared" si="0"/>
        <v>1LS</v>
      </c>
      <c r="D21" s="557"/>
      <c r="E21" s="170"/>
      <c r="F21" s="170">
        <v>1</v>
      </c>
      <c r="G21" s="2007" t="s">
        <v>84</v>
      </c>
      <c r="H21" s="1926">
        <v>1</v>
      </c>
      <c r="I21" s="2008" t="s">
        <v>640</v>
      </c>
      <c r="J21" s="1926"/>
      <c r="K21" s="1926"/>
      <c r="L21" s="170">
        <v>0.05</v>
      </c>
      <c r="M21" s="2009"/>
      <c r="N21" s="2010">
        <v>1</v>
      </c>
      <c r="O21" s="773">
        <f t="shared" si="1"/>
        <v>0</v>
      </c>
      <c r="P21" s="2008" t="s">
        <v>39</v>
      </c>
      <c r="Q21" s="2008" t="s">
        <v>39</v>
      </c>
      <c r="R21" s="2011" t="s">
        <v>74</v>
      </c>
      <c r="S21" s="775">
        <f>SUMIF('Data Input sheet'!$B$118:$B$180,R21,'Data Input sheet'!$D$118:$D$180)</f>
        <v>152</v>
      </c>
      <c r="T21" s="2012">
        <f t="shared" si="2"/>
        <v>0</v>
      </c>
      <c r="U21" s="2013">
        <v>0</v>
      </c>
      <c r="V21" s="778">
        <f t="shared" si="20"/>
        <v>0</v>
      </c>
      <c r="W21" s="2010"/>
      <c r="X21" s="779"/>
      <c r="Y21" s="2012">
        <v>0</v>
      </c>
      <c r="Z21" s="780">
        <f t="shared" si="3"/>
        <v>0</v>
      </c>
      <c r="AA21" s="2007" t="str">
        <f>+"Ave "&amp;$L$21*100&amp; "% of total contractor cost"</f>
        <v>Ave 5% of total contractor cost</v>
      </c>
      <c r="AB21" s="2007"/>
      <c r="AC21" s="765"/>
      <c r="AD21" s="781">
        <f t="shared" si="4"/>
        <v>0</v>
      </c>
      <c r="AE21" s="781">
        <f t="shared" si="5"/>
        <v>0</v>
      </c>
      <c r="AF21" s="781">
        <f t="shared" si="6"/>
        <v>0</v>
      </c>
      <c r="AG21" s="781">
        <f t="shared" si="7"/>
        <v>0</v>
      </c>
      <c r="AH21" s="781">
        <f t="shared" si="8"/>
        <v>0</v>
      </c>
      <c r="AI21" s="782">
        <f t="shared" si="9"/>
        <v>0</v>
      </c>
      <c r="AJ21" s="781">
        <f t="shared" si="10"/>
        <v>0</v>
      </c>
      <c r="AK21" s="781">
        <f t="shared" si="11"/>
        <v>0</v>
      </c>
      <c r="AL21" s="781">
        <f t="shared" si="12"/>
        <v>0</v>
      </c>
      <c r="AM21" s="781">
        <f t="shared" si="13"/>
        <v>0</v>
      </c>
      <c r="AN21" s="781">
        <f t="shared" si="14"/>
        <v>0</v>
      </c>
      <c r="AO21" s="781">
        <f t="shared" si="15"/>
        <v>0</v>
      </c>
      <c r="AP21" s="781">
        <f t="shared" si="16"/>
        <v>0</v>
      </c>
      <c r="AQ21" s="781">
        <f t="shared" si="17"/>
        <v>0</v>
      </c>
      <c r="AR21" s="781">
        <f t="shared" si="18"/>
        <v>0</v>
      </c>
      <c r="AS21" s="783">
        <f t="shared" si="19"/>
        <v>0</v>
      </c>
    </row>
    <row r="22" spans="1:45" ht="15" x14ac:dyDescent="0.25">
      <c r="A22" s="784"/>
      <c r="B22" s="719">
        <f t="shared" ref="B22:B83" si="22">B21+1</f>
        <v>13</v>
      </c>
      <c r="C22" s="170" t="str">
        <f t="shared" si="0"/>
        <v/>
      </c>
      <c r="D22" s="557"/>
      <c r="E22" s="170"/>
      <c r="F22" s="170"/>
      <c r="G22" s="2007"/>
      <c r="H22" s="1926"/>
      <c r="I22" s="2008"/>
      <c r="J22" s="1926"/>
      <c r="K22" s="1926"/>
      <c r="L22" s="170"/>
      <c r="M22" s="2009">
        <v>0</v>
      </c>
      <c r="N22" s="2010">
        <v>1</v>
      </c>
      <c r="O22" s="773">
        <f t="shared" si="1"/>
        <v>0</v>
      </c>
      <c r="P22" s="2008" t="s">
        <v>39</v>
      </c>
      <c r="Q22" s="2008" t="s">
        <v>39</v>
      </c>
      <c r="R22" s="2011" t="s">
        <v>74</v>
      </c>
      <c r="S22" s="775">
        <f>SUMIF('Data Input sheet'!$B$118:$B$180,R22,'Data Input sheet'!$D$118:$D$180)</f>
        <v>152</v>
      </c>
      <c r="T22" s="2012">
        <f t="shared" si="2"/>
        <v>0</v>
      </c>
      <c r="U22" s="2013">
        <v>0</v>
      </c>
      <c r="V22" s="778">
        <f t="shared" si="20"/>
        <v>0</v>
      </c>
      <c r="W22" s="2010"/>
      <c r="X22" s="779"/>
      <c r="Y22" s="2012">
        <v>0</v>
      </c>
      <c r="Z22" s="780">
        <f t="shared" si="3"/>
        <v>0</v>
      </c>
      <c r="AA22" s="2007"/>
      <c r="AB22" s="2007"/>
      <c r="AC22" s="765"/>
      <c r="AD22" s="781">
        <f t="shared" si="4"/>
        <v>0</v>
      </c>
      <c r="AE22" s="781">
        <f t="shared" si="5"/>
        <v>0</v>
      </c>
      <c r="AF22" s="781">
        <f t="shared" si="6"/>
        <v>0</v>
      </c>
      <c r="AG22" s="781">
        <f t="shared" si="7"/>
        <v>0</v>
      </c>
      <c r="AH22" s="781">
        <f t="shared" si="8"/>
        <v>0</v>
      </c>
      <c r="AI22" s="782">
        <f t="shared" si="9"/>
        <v>0</v>
      </c>
      <c r="AJ22" s="781">
        <f t="shared" si="10"/>
        <v>0</v>
      </c>
      <c r="AK22" s="781">
        <f t="shared" si="11"/>
        <v>0</v>
      </c>
      <c r="AL22" s="781">
        <f t="shared" si="12"/>
        <v>0</v>
      </c>
      <c r="AM22" s="781">
        <f t="shared" si="13"/>
        <v>0</v>
      </c>
      <c r="AN22" s="781">
        <f t="shared" si="14"/>
        <v>0</v>
      </c>
      <c r="AO22" s="781">
        <f t="shared" si="15"/>
        <v>0</v>
      </c>
      <c r="AP22" s="781">
        <f t="shared" si="16"/>
        <v>0</v>
      </c>
      <c r="AQ22" s="781">
        <f t="shared" si="17"/>
        <v>0</v>
      </c>
      <c r="AR22" s="781">
        <f t="shared" si="18"/>
        <v>0</v>
      </c>
      <c r="AS22" s="783">
        <f t="shared" si="19"/>
        <v>0</v>
      </c>
    </row>
    <row r="23" spans="1:45" ht="15" x14ac:dyDescent="0.25">
      <c r="A23" s="784"/>
      <c r="B23" s="719">
        <f t="shared" si="22"/>
        <v>14</v>
      </c>
      <c r="C23" s="170" t="str">
        <f t="shared" si="0"/>
        <v/>
      </c>
      <c r="D23" s="557"/>
      <c r="E23" s="170"/>
      <c r="F23" s="170"/>
      <c r="G23" s="2007"/>
      <c r="H23" s="1926"/>
      <c r="I23" s="2008"/>
      <c r="J23" s="1926"/>
      <c r="K23" s="1926"/>
      <c r="L23" s="170"/>
      <c r="M23" s="2009">
        <v>0</v>
      </c>
      <c r="N23" s="2010">
        <v>1</v>
      </c>
      <c r="O23" s="773">
        <f t="shared" si="1"/>
        <v>0</v>
      </c>
      <c r="P23" s="2008" t="s">
        <v>39</v>
      </c>
      <c r="Q23" s="2008" t="s">
        <v>39</v>
      </c>
      <c r="R23" s="2011" t="s">
        <v>74</v>
      </c>
      <c r="S23" s="775">
        <f>SUMIF('Data Input sheet'!$B$118:$B$180,R23,'Data Input sheet'!$D$118:$D$180)</f>
        <v>152</v>
      </c>
      <c r="T23" s="2012">
        <f t="shared" si="2"/>
        <v>0</v>
      </c>
      <c r="U23" s="2013">
        <v>0</v>
      </c>
      <c r="V23" s="778">
        <f t="shared" si="20"/>
        <v>0</v>
      </c>
      <c r="W23" s="2010"/>
      <c r="X23" s="779"/>
      <c r="Y23" s="2012">
        <v>0</v>
      </c>
      <c r="Z23" s="780">
        <f t="shared" si="3"/>
        <v>0</v>
      </c>
      <c r="AA23" s="2007"/>
      <c r="AB23" s="2007"/>
      <c r="AC23" s="765"/>
      <c r="AD23" s="781">
        <f t="shared" si="4"/>
        <v>0</v>
      </c>
      <c r="AE23" s="781">
        <f t="shared" si="5"/>
        <v>0</v>
      </c>
      <c r="AF23" s="781">
        <f t="shared" si="6"/>
        <v>0</v>
      </c>
      <c r="AG23" s="781">
        <f t="shared" si="7"/>
        <v>0</v>
      </c>
      <c r="AH23" s="781">
        <f t="shared" si="8"/>
        <v>0</v>
      </c>
      <c r="AI23" s="782">
        <f t="shared" si="9"/>
        <v>0</v>
      </c>
      <c r="AJ23" s="781">
        <f t="shared" si="10"/>
        <v>0</v>
      </c>
      <c r="AK23" s="781">
        <f t="shared" si="11"/>
        <v>0</v>
      </c>
      <c r="AL23" s="781">
        <f t="shared" si="12"/>
        <v>0</v>
      </c>
      <c r="AM23" s="781">
        <f t="shared" si="13"/>
        <v>0</v>
      </c>
      <c r="AN23" s="781">
        <f t="shared" si="14"/>
        <v>0</v>
      </c>
      <c r="AO23" s="781">
        <f t="shared" si="15"/>
        <v>0</v>
      </c>
      <c r="AP23" s="781">
        <f t="shared" si="16"/>
        <v>0</v>
      </c>
      <c r="AQ23" s="781">
        <f t="shared" si="17"/>
        <v>0</v>
      </c>
      <c r="AR23" s="781">
        <f t="shared" si="18"/>
        <v>0</v>
      </c>
      <c r="AS23" s="783">
        <f t="shared" si="19"/>
        <v>0</v>
      </c>
    </row>
    <row r="24" spans="1:45" ht="15" x14ac:dyDescent="0.25">
      <c r="A24" s="784"/>
      <c r="B24" s="719">
        <f t="shared" si="22"/>
        <v>15</v>
      </c>
      <c r="C24" s="170" t="str">
        <f t="shared" si="0"/>
        <v/>
      </c>
      <c r="D24" s="557"/>
      <c r="E24" s="170"/>
      <c r="F24" s="170"/>
      <c r="G24" s="2007"/>
      <c r="H24" s="1926"/>
      <c r="I24" s="2008"/>
      <c r="J24" s="1926"/>
      <c r="K24" s="1926"/>
      <c r="L24" s="170"/>
      <c r="M24" s="2009">
        <v>0</v>
      </c>
      <c r="N24" s="2010">
        <v>1</v>
      </c>
      <c r="O24" s="773">
        <f t="shared" si="1"/>
        <v>0</v>
      </c>
      <c r="P24" s="2008" t="s">
        <v>39</v>
      </c>
      <c r="Q24" s="2008" t="s">
        <v>39</v>
      </c>
      <c r="R24" s="2011" t="s">
        <v>74</v>
      </c>
      <c r="S24" s="775">
        <f>SUMIF('Data Input sheet'!$B$118:$B$180,R24,'Data Input sheet'!$D$118:$D$180)</f>
        <v>152</v>
      </c>
      <c r="T24" s="2012">
        <f t="shared" si="2"/>
        <v>0</v>
      </c>
      <c r="U24" s="2013">
        <v>0</v>
      </c>
      <c r="V24" s="778">
        <f t="shared" si="20"/>
        <v>0</v>
      </c>
      <c r="W24" s="2010"/>
      <c r="X24" s="779"/>
      <c r="Y24" s="2012">
        <v>0</v>
      </c>
      <c r="Z24" s="780">
        <f t="shared" si="3"/>
        <v>0</v>
      </c>
      <c r="AA24" s="2007"/>
      <c r="AB24" s="2007"/>
      <c r="AC24" s="765"/>
      <c r="AD24" s="781">
        <f t="shared" si="4"/>
        <v>0</v>
      </c>
      <c r="AE24" s="781">
        <f t="shared" si="5"/>
        <v>0</v>
      </c>
      <c r="AF24" s="781">
        <f t="shared" si="6"/>
        <v>0</v>
      </c>
      <c r="AG24" s="781">
        <f t="shared" si="7"/>
        <v>0</v>
      </c>
      <c r="AH24" s="781">
        <f t="shared" si="8"/>
        <v>0</v>
      </c>
      <c r="AI24" s="782">
        <f t="shared" si="9"/>
        <v>0</v>
      </c>
      <c r="AJ24" s="781">
        <f t="shared" si="10"/>
        <v>0</v>
      </c>
      <c r="AK24" s="781">
        <f t="shared" si="11"/>
        <v>0</v>
      </c>
      <c r="AL24" s="781">
        <f t="shared" si="12"/>
        <v>0</v>
      </c>
      <c r="AM24" s="781">
        <f t="shared" si="13"/>
        <v>0</v>
      </c>
      <c r="AN24" s="781">
        <f t="shared" si="14"/>
        <v>0</v>
      </c>
      <c r="AO24" s="781">
        <f t="shared" si="15"/>
        <v>0</v>
      </c>
      <c r="AP24" s="781">
        <f t="shared" si="16"/>
        <v>0</v>
      </c>
      <c r="AQ24" s="781">
        <f t="shared" si="17"/>
        <v>0</v>
      </c>
      <c r="AR24" s="781">
        <f t="shared" si="18"/>
        <v>0</v>
      </c>
      <c r="AS24" s="783">
        <f t="shared" si="19"/>
        <v>0</v>
      </c>
    </row>
    <row r="25" spans="1:45" ht="15" x14ac:dyDescent="0.25">
      <c r="A25" s="784"/>
      <c r="B25" s="719">
        <f t="shared" si="22"/>
        <v>16</v>
      </c>
      <c r="C25" s="170" t="str">
        <f t="shared" si="0"/>
        <v/>
      </c>
      <c r="D25" s="557"/>
      <c r="E25" s="170"/>
      <c r="F25" s="170"/>
      <c r="G25" s="2007"/>
      <c r="H25" s="1926"/>
      <c r="I25" s="2008"/>
      <c r="J25" s="1926"/>
      <c r="K25" s="1926"/>
      <c r="L25" s="170"/>
      <c r="M25" s="2009">
        <v>0</v>
      </c>
      <c r="N25" s="2010">
        <v>1</v>
      </c>
      <c r="O25" s="773">
        <f t="shared" si="1"/>
        <v>0</v>
      </c>
      <c r="P25" s="2008" t="s">
        <v>39</v>
      </c>
      <c r="Q25" s="2008" t="s">
        <v>39</v>
      </c>
      <c r="R25" s="2011" t="s">
        <v>74</v>
      </c>
      <c r="S25" s="775">
        <f>SUMIF('Data Input sheet'!$B$118:$B$180,R25,'Data Input sheet'!$D$118:$D$180)</f>
        <v>152</v>
      </c>
      <c r="T25" s="2012">
        <f t="shared" si="2"/>
        <v>0</v>
      </c>
      <c r="U25" s="2013">
        <v>0</v>
      </c>
      <c r="V25" s="778">
        <f t="shared" si="20"/>
        <v>0</v>
      </c>
      <c r="W25" s="2010"/>
      <c r="X25" s="779"/>
      <c r="Y25" s="2012">
        <v>0</v>
      </c>
      <c r="Z25" s="780">
        <f t="shared" si="3"/>
        <v>0</v>
      </c>
      <c r="AA25" s="2007"/>
      <c r="AB25" s="2007"/>
      <c r="AC25" s="765"/>
      <c r="AD25" s="781">
        <f t="shared" si="4"/>
        <v>0</v>
      </c>
      <c r="AE25" s="781">
        <f t="shared" si="5"/>
        <v>0</v>
      </c>
      <c r="AF25" s="781">
        <f t="shared" si="6"/>
        <v>0</v>
      </c>
      <c r="AG25" s="781">
        <f t="shared" si="7"/>
        <v>0</v>
      </c>
      <c r="AH25" s="781">
        <f t="shared" si="8"/>
        <v>0</v>
      </c>
      <c r="AI25" s="782">
        <f t="shared" si="9"/>
        <v>0</v>
      </c>
      <c r="AJ25" s="781">
        <f t="shared" si="10"/>
        <v>0</v>
      </c>
      <c r="AK25" s="781">
        <f t="shared" si="11"/>
        <v>0</v>
      </c>
      <c r="AL25" s="781">
        <f t="shared" si="12"/>
        <v>0</v>
      </c>
      <c r="AM25" s="781">
        <f t="shared" si="13"/>
        <v>0</v>
      </c>
      <c r="AN25" s="781">
        <f t="shared" si="14"/>
        <v>0</v>
      </c>
      <c r="AO25" s="781">
        <f t="shared" si="15"/>
        <v>0</v>
      </c>
      <c r="AP25" s="781">
        <f t="shared" si="16"/>
        <v>0</v>
      </c>
      <c r="AQ25" s="781">
        <f t="shared" si="17"/>
        <v>0</v>
      </c>
      <c r="AR25" s="781">
        <f t="shared" si="18"/>
        <v>0</v>
      </c>
      <c r="AS25" s="783">
        <f t="shared" si="19"/>
        <v>0</v>
      </c>
    </row>
    <row r="26" spans="1:45" ht="15" x14ac:dyDescent="0.25">
      <c r="A26" s="784"/>
      <c r="B26" s="719">
        <f t="shared" si="22"/>
        <v>17</v>
      </c>
      <c r="C26" s="170" t="str">
        <f t="shared" si="0"/>
        <v/>
      </c>
      <c r="D26" s="557"/>
      <c r="E26" s="170"/>
      <c r="F26" s="170"/>
      <c r="G26" s="2007"/>
      <c r="H26" s="1926"/>
      <c r="I26" s="2008"/>
      <c r="J26" s="1926"/>
      <c r="K26" s="1926"/>
      <c r="L26" s="170"/>
      <c r="M26" s="2009">
        <v>0</v>
      </c>
      <c r="N26" s="2010">
        <v>1</v>
      </c>
      <c r="O26" s="773">
        <f t="shared" si="1"/>
        <v>0</v>
      </c>
      <c r="P26" s="2008" t="s">
        <v>39</v>
      </c>
      <c r="Q26" s="2008" t="s">
        <v>39</v>
      </c>
      <c r="R26" s="2011" t="s">
        <v>74</v>
      </c>
      <c r="S26" s="775">
        <f>SUMIF('Data Input sheet'!$B$118:$B$180,R26,'Data Input sheet'!$D$118:$D$180)</f>
        <v>152</v>
      </c>
      <c r="T26" s="2012">
        <f t="shared" si="2"/>
        <v>0</v>
      </c>
      <c r="U26" s="2013">
        <v>0</v>
      </c>
      <c r="V26" s="778">
        <f t="shared" si="20"/>
        <v>0</v>
      </c>
      <c r="W26" s="2010"/>
      <c r="X26" s="779"/>
      <c r="Y26" s="2012">
        <v>0</v>
      </c>
      <c r="Z26" s="780">
        <f t="shared" si="3"/>
        <v>0</v>
      </c>
      <c r="AA26" s="2007"/>
      <c r="AB26" s="2007"/>
      <c r="AC26" s="765"/>
      <c r="AD26" s="781">
        <f t="shared" si="4"/>
        <v>0</v>
      </c>
      <c r="AE26" s="781">
        <f t="shared" si="5"/>
        <v>0</v>
      </c>
      <c r="AF26" s="781">
        <f t="shared" si="6"/>
        <v>0</v>
      </c>
      <c r="AG26" s="781">
        <f t="shared" si="7"/>
        <v>0</v>
      </c>
      <c r="AH26" s="781">
        <f t="shared" si="8"/>
        <v>0</v>
      </c>
      <c r="AI26" s="782">
        <f t="shared" si="9"/>
        <v>0</v>
      </c>
      <c r="AJ26" s="781">
        <f t="shared" si="10"/>
        <v>0</v>
      </c>
      <c r="AK26" s="781">
        <f t="shared" si="11"/>
        <v>0</v>
      </c>
      <c r="AL26" s="781">
        <f t="shared" si="12"/>
        <v>0</v>
      </c>
      <c r="AM26" s="781">
        <f t="shared" si="13"/>
        <v>0</v>
      </c>
      <c r="AN26" s="781">
        <f t="shared" si="14"/>
        <v>0</v>
      </c>
      <c r="AO26" s="781">
        <f t="shared" si="15"/>
        <v>0</v>
      </c>
      <c r="AP26" s="781">
        <f t="shared" si="16"/>
        <v>0</v>
      </c>
      <c r="AQ26" s="781">
        <f t="shared" si="17"/>
        <v>0</v>
      </c>
      <c r="AR26" s="781">
        <f t="shared" si="18"/>
        <v>0</v>
      </c>
      <c r="AS26" s="783">
        <f t="shared" si="19"/>
        <v>0</v>
      </c>
    </row>
    <row r="27" spans="1:45" ht="15" x14ac:dyDescent="0.25">
      <c r="A27" s="784"/>
      <c r="B27" s="719">
        <f t="shared" si="22"/>
        <v>18</v>
      </c>
      <c r="C27" s="170" t="str">
        <f t="shared" si="0"/>
        <v>11LF</v>
      </c>
      <c r="D27" s="557"/>
      <c r="E27" s="170"/>
      <c r="F27" s="170">
        <v>11</v>
      </c>
      <c r="G27" s="2007" t="s">
        <v>753</v>
      </c>
      <c r="H27" s="1926"/>
      <c r="I27" s="2008" t="s">
        <v>728</v>
      </c>
      <c r="J27" s="1926"/>
      <c r="K27" s="1926"/>
      <c r="L27" s="170"/>
      <c r="M27" s="2009">
        <v>0.26315789473684209</v>
      </c>
      <c r="N27" s="2010">
        <v>1</v>
      </c>
      <c r="O27" s="773">
        <f t="shared" si="1"/>
        <v>0.26315789473684209</v>
      </c>
      <c r="P27" s="2008" t="s">
        <v>39</v>
      </c>
      <c r="Q27" s="2008" t="s">
        <v>39</v>
      </c>
      <c r="R27" s="2011" t="s">
        <v>74</v>
      </c>
      <c r="S27" s="775">
        <f>SUMIF('Data Input sheet'!$B$118:$B$180,R27,'Data Input sheet'!$D$118:$D$180)</f>
        <v>152</v>
      </c>
      <c r="T27" s="2012">
        <f t="shared" si="2"/>
        <v>40</v>
      </c>
      <c r="U27" s="2013">
        <v>139</v>
      </c>
      <c r="V27" s="778">
        <f t="shared" si="20"/>
        <v>37</v>
      </c>
      <c r="W27" s="2010">
        <v>44.67549457612801</v>
      </c>
      <c r="X27" s="779"/>
      <c r="Y27" s="2012">
        <v>1.7472000000000001</v>
      </c>
      <c r="Z27" s="780">
        <f t="shared" si="3"/>
        <v>123.42269457612802</v>
      </c>
      <c r="AA27" s="2007" t="s">
        <v>754</v>
      </c>
      <c r="AB27" s="2007" t="s">
        <v>755</v>
      </c>
      <c r="AC27" s="765"/>
      <c r="AD27" s="781">
        <f t="shared" si="4"/>
        <v>0</v>
      </c>
      <c r="AE27" s="781">
        <f t="shared" si="5"/>
        <v>0</v>
      </c>
      <c r="AF27" s="781">
        <f t="shared" si="6"/>
        <v>0</v>
      </c>
      <c r="AG27" s="781">
        <f t="shared" si="7"/>
        <v>0</v>
      </c>
      <c r="AH27" s="781">
        <f t="shared" si="8"/>
        <v>0</v>
      </c>
      <c r="AI27" s="782">
        <f t="shared" si="9"/>
        <v>0</v>
      </c>
      <c r="AJ27" s="781">
        <f t="shared" si="10"/>
        <v>0</v>
      </c>
      <c r="AK27" s="781">
        <f t="shared" si="11"/>
        <v>0</v>
      </c>
      <c r="AL27" s="781">
        <f t="shared" si="12"/>
        <v>0</v>
      </c>
      <c r="AM27" s="781">
        <f t="shared" si="13"/>
        <v>0</v>
      </c>
      <c r="AN27" s="781">
        <f t="shared" si="14"/>
        <v>0</v>
      </c>
      <c r="AO27" s="781">
        <f t="shared" si="15"/>
        <v>0</v>
      </c>
      <c r="AP27" s="781">
        <f t="shared" si="16"/>
        <v>0</v>
      </c>
      <c r="AQ27" s="781">
        <f t="shared" si="17"/>
        <v>0</v>
      </c>
      <c r="AR27" s="781">
        <f t="shared" si="18"/>
        <v>0</v>
      </c>
      <c r="AS27" s="783">
        <f t="shared" si="19"/>
        <v>0</v>
      </c>
    </row>
    <row r="28" spans="1:45" ht="25.5" x14ac:dyDescent="0.25">
      <c r="A28" s="784"/>
      <c r="B28" s="719">
        <f t="shared" si="22"/>
        <v>19</v>
      </c>
      <c r="C28" s="170" t="str">
        <f t="shared" si="0"/>
        <v>11LF</v>
      </c>
      <c r="D28" s="557"/>
      <c r="E28" s="170"/>
      <c r="F28" s="170">
        <v>11</v>
      </c>
      <c r="G28" s="2007" t="s">
        <v>756</v>
      </c>
      <c r="H28" s="1926"/>
      <c r="I28" s="2008" t="s">
        <v>728</v>
      </c>
      <c r="J28" s="1926"/>
      <c r="K28" s="1926"/>
      <c r="L28" s="170"/>
      <c r="M28" s="2009">
        <v>0.35789473684210527</v>
      </c>
      <c r="N28" s="2010">
        <v>1</v>
      </c>
      <c r="O28" s="773">
        <f t="shared" si="1"/>
        <v>0.35789473684210527</v>
      </c>
      <c r="P28" s="2008" t="s">
        <v>39</v>
      </c>
      <c r="Q28" s="2008" t="s">
        <v>39</v>
      </c>
      <c r="R28" s="2011" t="s">
        <v>74</v>
      </c>
      <c r="S28" s="775">
        <f>SUMIF('Data Input sheet'!$B$118:$B$180,R28,'Data Input sheet'!$D$118:$D$180)</f>
        <v>152</v>
      </c>
      <c r="T28" s="2012">
        <f t="shared" si="2"/>
        <v>54.4</v>
      </c>
      <c r="U28" s="2013">
        <v>139</v>
      </c>
      <c r="V28" s="778">
        <f t="shared" si="20"/>
        <v>50</v>
      </c>
      <c r="W28" s="2010">
        <v>44.67549457612801</v>
      </c>
      <c r="X28" s="779"/>
      <c r="Y28" s="2012">
        <v>3.0472000000000001</v>
      </c>
      <c r="Z28" s="780">
        <f t="shared" si="3"/>
        <v>152.12269457612803</v>
      </c>
      <c r="AA28" s="2007" t="s">
        <v>754</v>
      </c>
      <c r="AB28" s="2007" t="s">
        <v>757</v>
      </c>
      <c r="AC28" s="765"/>
      <c r="AD28" s="781">
        <f t="shared" si="4"/>
        <v>0</v>
      </c>
      <c r="AE28" s="781">
        <f t="shared" si="5"/>
        <v>0</v>
      </c>
      <c r="AF28" s="781">
        <f t="shared" si="6"/>
        <v>0</v>
      </c>
      <c r="AG28" s="781">
        <f t="shared" si="7"/>
        <v>0</v>
      </c>
      <c r="AH28" s="781">
        <f t="shared" si="8"/>
        <v>0</v>
      </c>
      <c r="AI28" s="782">
        <f t="shared" si="9"/>
        <v>0</v>
      </c>
      <c r="AJ28" s="781">
        <f t="shared" si="10"/>
        <v>0</v>
      </c>
      <c r="AK28" s="781">
        <f t="shared" si="11"/>
        <v>0</v>
      </c>
      <c r="AL28" s="781">
        <f t="shared" si="12"/>
        <v>0</v>
      </c>
      <c r="AM28" s="781">
        <f t="shared" si="13"/>
        <v>0</v>
      </c>
      <c r="AN28" s="781">
        <f t="shared" si="14"/>
        <v>0</v>
      </c>
      <c r="AO28" s="781">
        <f t="shared" si="15"/>
        <v>0</v>
      </c>
      <c r="AP28" s="781">
        <f t="shared" si="16"/>
        <v>0</v>
      </c>
      <c r="AQ28" s="781">
        <f t="shared" si="17"/>
        <v>0</v>
      </c>
      <c r="AR28" s="781">
        <f t="shared" si="18"/>
        <v>0</v>
      </c>
      <c r="AS28" s="783">
        <f t="shared" si="19"/>
        <v>0</v>
      </c>
    </row>
    <row r="29" spans="1:45" ht="15" x14ac:dyDescent="0.25">
      <c r="A29" s="784"/>
      <c r="B29" s="719">
        <f t="shared" si="22"/>
        <v>20</v>
      </c>
      <c r="C29" s="170" t="str">
        <f t="shared" si="0"/>
        <v>20LF</v>
      </c>
      <c r="D29" s="557"/>
      <c r="E29" s="170"/>
      <c r="F29" s="170">
        <v>20</v>
      </c>
      <c r="G29" s="2007" t="s">
        <v>758</v>
      </c>
      <c r="H29" s="1926"/>
      <c r="I29" s="2008" t="s">
        <v>728</v>
      </c>
      <c r="J29" s="1926"/>
      <c r="K29" s="1926"/>
      <c r="L29" s="170"/>
      <c r="M29" s="2009">
        <v>0.63157894736842102</v>
      </c>
      <c r="N29" s="2010">
        <v>1</v>
      </c>
      <c r="O29" s="773">
        <f t="shared" si="1"/>
        <v>0.63157894736842102</v>
      </c>
      <c r="P29" s="2008" t="s">
        <v>39</v>
      </c>
      <c r="Q29" s="2008" t="s">
        <v>39</v>
      </c>
      <c r="R29" s="2011" t="s">
        <v>74</v>
      </c>
      <c r="S29" s="775">
        <f>SUMIF('Data Input sheet'!$B$118:$B$180,R29,'Data Input sheet'!$D$118:$D$180)</f>
        <v>152</v>
      </c>
      <c r="T29" s="2012">
        <f t="shared" si="2"/>
        <v>96</v>
      </c>
      <c r="U29" s="2013">
        <v>70</v>
      </c>
      <c r="V29" s="778">
        <f t="shared" si="20"/>
        <v>44</v>
      </c>
      <c r="W29" s="2010">
        <v>44.67549457612801</v>
      </c>
      <c r="X29" s="779"/>
      <c r="Y29" s="2012">
        <v>3.0472000000000001</v>
      </c>
      <c r="Z29" s="780">
        <f t="shared" si="3"/>
        <v>187.72269457612802</v>
      </c>
      <c r="AA29" s="2007" t="s">
        <v>754</v>
      </c>
      <c r="AB29" s="2007" t="s">
        <v>757</v>
      </c>
      <c r="AC29" s="765"/>
      <c r="AD29" s="781">
        <f t="shared" si="4"/>
        <v>0</v>
      </c>
      <c r="AE29" s="781">
        <f t="shared" si="5"/>
        <v>0</v>
      </c>
      <c r="AF29" s="781">
        <f t="shared" si="6"/>
        <v>0</v>
      </c>
      <c r="AG29" s="781">
        <f t="shared" si="7"/>
        <v>0</v>
      </c>
      <c r="AH29" s="781">
        <f t="shared" si="8"/>
        <v>0</v>
      </c>
      <c r="AI29" s="782">
        <f t="shared" si="9"/>
        <v>0</v>
      </c>
      <c r="AJ29" s="781">
        <f t="shared" si="10"/>
        <v>0</v>
      </c>
      <c r="AK29" s="781">
        <f t="shared" si="11"/>
        <v>0</v>
      </c>
      <c r="AL29" s="781">
        <f t="shared" si="12"/>
        <v>0</v>
      </c>
      <c r="AM29" s="781">
        <f t="shared" si="13"/>
        <v>0</v>
      </c>
      <c r="AN29" s="781">
        <f t="shared" si="14"/>
        <v>0</v>
      </c>
      <c r="AO29" s="781">
        <f t="shared" si="15"/>
        <v>0</v>
      </c>
      <c r="AP29" s="781">
        <f t="shared" si="16"/>
        <v>0</v>
      </c>
      <c r="AQ29" s="781">
        <f t="shared" si="17"/>
        <v>0</v>
      </c>
      <c r="AR29" s="781">
        <f t="shared" si="18"/>
        <v>0</v>
      </c>
      <c r="AS29" s="783">
        <f t="shared" si="19"/>
        <v>0</v>
      </c>
    </row>
    <row r="30" spans="1:45" ht="15" x14ac:dyDescent="0.25">
      <c r="A30" s="784"/>
      <c r="B30" s="719">
        <f t="shared" si="22"/>
        <v>21</v>
      </c>
      <c r="C30" s="170" t="str">
        <f t="shared" si="0"/>
        <v>12CY</v>
      </c>
      <c r="D30" s="557"/>
      <c r="E30" s="170"/>
      <c r="F30" s="170">
        <v>12</v>
      </c>
      <c r="G30" s="2007" t="s">
        <v>759</v>
      </c>
      <c r="H30" s="1926"/>
      <c r="I30" s="2008" t="s">
        <v>671</v>
      </c>
      <c r="J30" s="1926"/>
      <c r="K30" s="1926"/>
      <c r="L30" s="170"/>
      <c r="M30" s="2009">
        <v>30</v>
      </c>
      <c r="N30" s="2010">
        <v>1</v>
      </c>
      <c r="O30" s="773">
        <f t="shared" si="1"/>
        <v>30</v>
      </c>
      <c r="P30" s="2008" t="s">
        <v>39</v>
      </c>
      <c r="Q30" s="2008" t="s">
        <v>39</v>
      </c>
      <c r="R30" s="2011" t="s">
        <v>74</v>
      </c>
      <c r="S30" s="775">
        <f>SUMIF('Data Input sheet'!$B$118:$B$180,R30,'Data Input sheet'!$D$118:$D$180)</f>
        <v>152</v>
      </c>
      <c r="T30" s="2012">
        <f t="shared" si="2"/>
        <v>4560</v>
      </c>
      <c r="U30" s="2013">
        <v>70</v>
      </c>
      <c r="V30" s="778">
        <f t="shared" si="20"/>
        <v>2100</v>
      </c>
      <c r="W30" s="2010">
        <v>2.4819719208960001</v>
      </c>
      <c r="X30" s="779"/>
      <c r="Y30" s="2012">
        <v>0</v>
      </c>
      <c r="Z30" s="780">
        <f t="shared" si="3"/>
        <v>6662.4819719208963</v>
      </c>
      <c r="AA30" s="2007" t="s">
        <v>817</v>
      </c>
      <c r="AB30" s="2007" t="s">
        <v>760</v>
      </c>
      <c r="AC30" s="765"/>
      <c r="AD30" s="781">
        <f t="shared" si="4"/>
        <v>0</v>
      </c>
      <c r="AE30" s="781">
        <f t="shared" si="5"/>
        <v>0</v>
      </c>
      <c r="AF30" s="781">
        <f t="shared" si="6"/>
        <v>0</v>
      </c>
      <c r="AG30" s="781">
        <f t="shared" si="7"/>
        <v>0</v>
      </c>
      <c r="AH30" s="781">
        <f t="shared" si="8"/>
        <v>0</v>
      </c>
      <c r="AI30" s="782">
        <f t="shared" si="9"/>
        <v>0</v>
      </c>
      <c r="AJ30" s="781">
        <f t="shared" si="10"/>
        <v>0</v>
      </c>
      <c r="AK30" s="781">
        <f t="shared" si="11"/>
        <v>0</v>
      </c>
      <c r="AL30" s="781">
        <f t="shared" si="12"/>
        <v>0</v>
      </c>
      <c r="AM30" s="781">
        <f t="shared" si="13"/>
        <v>0</v>
      </c>
      <c r="AN30" s="781">
        <f t="shared" si="14"/>
        <v>0</v>
      </c>
      <c r="AO30" s="781">
        <f t="shared" si="15"/>
        <v>0</v>
      </c>
      <c r="AP30" s="781">
        <f t="shared" si="16"/>
        <v>0</v>
      </c>
      <c r="AQ30" s="781">
        <f t="shared" si="17"/>
        <v>0</v>
      </c>
      <c r="AR30" s="781">
        <f t="shared" si="18"/>
        <v>0</v>
      </c>
      <c r="AS30" s="783">
        <f t="shared" si="19"/>
        <v>0</v>
      </c>
    </row>
    <row r="31" spans="1:45" ht="25.5" x14ac:dyDescent="0.25">
      <c r="A31" s="784"/>
      <c r="B31" s="719">
        <f t="shared" si="22"/>
        <v>22</v>
      </c>
      <c r="C31" s="170" t="str">
        <f t="shared" si="0"/>
        <v>19LF</v>
      </c>
      <c r="D31" s="557"/>
      <c r="E31" s="170"/>
      <c r="F31" s="170">
        <v>19</v>
      </c>
      <c r="G31" s="2007" t="s">
        <v>803</v>
      </c>
      <c r="H31" s="1926"/>
      <c r="I31" s="2008" t="s">
        <v>728</v>
      </c>
      <c r="J31" s="1926"/>
      <c r="K31" s="1926"/>
      <c r="L31" s="170"/>
      <c r="M31" s="2009">
        <v>0</v>
      </c>
      <c r="N31" s="2010">
        <v>1</v>
      </c>
      <c r="O31" s="773">
        <f t="shared" si="1"/>
        <v>0</v>
      </c>
      <c r="P31" s="2008" t="s">
        <v>39</v>
      </c>
      <c r="Q31" s="2008" t="s">
        <v>39</v>
      </c>
      <c r="R31" s="2011" t="s">
        <v>74</v>
      </c>
      <c r="S31" s="775">
        <f>SUMIF('Data Input sheet'!$B$118:$B$180,R31,'Data Input sheet'!$D$118:$D$180)</f>
        <v>152</v>
      </c>
      <c r="T31" s="2012">
        <f t="shared" si="2"/>
        <v>0</v>
      </c>
      <c r="U31" s="2013">
        <v>0</v>
      </c>
      <c r="V31" s="778">
        <f t="shared" si="20"/>
        <v>0</v>
      </c>
      <c r="W31" s="2010"/>
      <c r="X31" s="779"/>
      <c r="Y31" s="2012">
        <v>4500</v>
      </c>
      <c r="Z31" s="780">
        <f t="shared" si="3"/>
        <v>4500</v>
      </c>
      <c r="AA31" s="2007"/>
      <c r="AB31" s="2007"/>
      <c r="AC31" s="765"/>
      <c r="AD31" s="781">
        <f t="shared" si="4"/>
        <v>0</v>
      </c>
      <c r="AE31" s="781">
        <f t="shared" si="5"/>
        <v>0</v>
      </c>
      <c r="AF31" s="781">
        <f t="shared" si="6"/>
        <v>0</v>
      </c>
      <c r="AG31" s="781">
        <f t="shared" si="7"/>
        <v>0</v>
      </c>
      <c r="AH31" s="781">
        <f t="shared" si="8"/>
        <v>0</v>
      </c>
      <c r="AI31" s="782">
        <f t="shared" si="9"/>
        <v>0</v>
      </c>
      <c r="AJ31" s="781">
        <f t="shared" si="10"/>
        <v>0</v>
      </c>
      <c r="AK31" s="781">
        <f t="shared" si="11"/>
        <v>0</v>
      </c>
      <c r="AL31" s="781">
        <f t="shared" si="12"/>
        <v>0</v>
      </c>
      <c r="AM31" s="781">
        <f t="shared" si="13"/>
        <v>0</v>
      </c>
      <c r="AN31" s="781">
        <f t="shared" si="14"/>
        <v>0</v>
      </c>
      <c r="AO31" s="781">
        <f t="shared" si="15"/>
        <v>0</v>
      </c>
      <c r="AP31" s="781">
        <f t="shared" si="16"/>
        <v>0</v>
      </c>
      <c r="AQ31" s="781">
        <f t="shared" si="17"/>
        <v>0</v>
      </c>
      <c r="AR31" s="781">
        <f t="shared" si="18"/>
        <v>0</v>
      </c>
      <c r="AS31" s="783">
        <f t="shared" si="19"/>
        <v>0</v>
      </c>
    </row>
    <row r="32" spans="1:45" ht="15" x14ac:dyDescent="0.25">
      <c r="A32" s="784"/>
      <c r="B32" s="719">
        <f t="shared" si="22"/>
        <v>23</v>
      </c>
      <c r="C32" s="170" t="str">
        <f t="shared" si="0"/>
        <v>19LF</v>
      </c>
      <c r="D32" s="557"/>
      <c r="E32" s="170"/>
      <c r="F32" s="170">
        <v>19</v>
      </c>
      <c r="G32" s="2007" t="s">
        <v>762</v>
      </c>
      <c r="H32" s="1926"/>
      <c r="I32" s="2008" t="s">
        <v>728</v>
      </c>
      <c r="J32" s="1926"/>
      <c r="K32" s="1926"/>
      <c r="L32" s="170"/>
      <c r="M32" s="2009">
        <v>0</v>
      </c>
      <c r="N32" s="2010">
        <v>1</v>
      </c>
      <c r="O32" s="773">
        <f t="shared" si="1"/>
        <v>0</v>
      </c>
      <c r="P32" s="2008" t="s">
        <v>39</v>
      </c>
      <c r="Q32" s="2008" t="s">
        <v>39</v>
      </c>
      <c r="R32" s="2011" t="s">
        <v>74</v>
      </c>
      <c r="S32" s="775">
        <f>SUMIF('Data Input sheet'!$B$118:$B$180,R32,'Data Input sheet'!$D$118:$D$180)</f>
        <v>152</v>
      </c>
      <c r="T32" s="2012">
        <f t="shared" si="2"/>
        <v>0</v>
      </c>
      <c r="U32" s="2013">
        <v>0</v>
      </c>
      <c r="V32" s="778">
        <f t="shared" si="20"/>
        <v>0</v>
      </c>
      <c r="W32" s="2010"/>
      <c r="X32" s="779"/>
      <c r="Y32" s="2012">
        <v>3000</v>
      </c>
      <c r="Z32" s="780">
        <f t="shared" si="3"/>
        <v>3000</v>
      </c>
      <c r="AA32" s="2007"/>
      <c r="AB32" s="2007"/>
      <c r="AC32" s="765"/>
      <c r="AD32" s="781">
        <f t="shared" si="4"/>
        <v>0</v>
      </c>
      <c r="AE32" s="781">
        <f t="shared" si="5"/>
        <v>0</v>
      </c>
      <c r="AF32" s="781">
        <f t="shared" si="6"/>
        <v>0</v>
      </c>
      <c r="AG32" s="781">
        <f t="shared" si="7"/>
        <v>0</v>
      </c>
      <c r="AH32" s="781">
        <f t="shared" si="8"/>
        <v>0</v>
      </c>
      <c r="AI32" s="782">
        <f t="shared" si="9"/>
        <v>0</v>
      </c>
      <c r="AJ32" s="781">
        <f t="shared" si="10"/>
        <v>0</v>
      </c>
      <c r="AK32" s="781">
        <f t="shared" si="11"/>
        <v>0</v>
      </c>
      <c r="AL32" s="781">
        <f t="shared" si="12"/>
        <v>0</v>
      </c>
      <c r="AM32" s="781">
        <f t="shared" si="13"/>
        <v>0</v>
      </c>
      <c r="AN32" s="781">
        <f t="shared" si="14"/>
        <v>0</v>
      </c>
      <c r="AO32" s="781">
        <f t="shared" si="15"/>
        <v>0</v>
      </c>
      <c r="AP32" s="781">
        <f t="shared" si="16"/>
        <v>0</v>
      </c>
      <c r="AQ32" s="781">
        <f t="shared" si="17"/>
        <v>0</v>
      </c>
      <c r="AR32" s="781">
        <f t="shared" si="18"/>
        <v>0</v>
      </c>
      <c r="AS32" s="783">
        <f t="shared" si="19"/>
        <v>0</v>
      </c>
    </row>
    <row r="33" spans="1:45" ht="15" x14ac:dyDescent="0.25">
      <c r="A33" s="784"/>
      <c r="B33" s="719">
        <f t="shared" si="22"/>
        <v>24</v>
      </c>
      <c r="C33" s="170" t="str">
        <f t="shared" si="0"/>
        <v>19LF</v>
      </c>
      <c r="D33" s="557"/>
      <c r="E33" s="170"/>
      <c r="F33" s="170">
        <v>19</v>
      </c>
      <c r="G33" s="2007" t="s">
        <v>763</v>
      </c>
      <c r="H33" s="1926"/>
      <c r="I33" s="2008" t="s">
        <v>728</v>
      </c>
      <c r="J33" s="1926"/>
      <c r="K33" s="1926"/>
      <c r="L33" s="170"/>
      <c r="M33" s="2009">
        <v>0.1368421052631579</v>
      </c>
      <c r="N33" s="2010">
        <v>1</v>
      </c>
      <c r="O33" s="773">
        <f t="shared" si="1"/>
        <v>0.1368421052631579</v>
      </c>
      <c r="P33" s="2008" t="s">
        <v>39</v>
      </c>
      <c r="Q33" s="2008" t="s">
        <v>39</v>
      </c>
      <c r="R33" s="2011" t="s">
        <v>74</v>
      </c>
      <c r="S33" s="775">
        <f>SUMIF('Data Input sheet'!$B$118:$B$180,R33,'Data Input sheet'!$D$118:$D$180)</f>
        <v>152</v>
      </c>
      <c r="T33" s="2012">
        <f t="shared" si="2"/>
        <v>20.8</v>
      </c>
      <c r="U33" s="2013">
        <v>0</v>
      </c>
      <c r="V33" s="778">
        <f t="shared" si="20"/>
        <v>0</v>
      </c>
      <c r="W33" s="2010">
        <v>74.459157626879986</v>
      </c>
      <c r="X33" s="779"/>
      <c r="Y33" s="2012"/>
      <c r="Z33" s="780">
        <f t="shared" si="3"/>
        <v>95.259157626879983</v>
      </c>
      <c r="AA33" s="2007" t="s">
        <v>818</v>
      </c>
      <c r="AB33" s="2007"/>
      <c r="AC33" s="765"/>
      <c r="AD33" s="781">
        <f t="shared" si="4"/>
        <v>0</v>
      </c>
      <c r="AE33" s="781">
        <f t="shared" si="5"/>
        <v>0</v>
      </c>
      <c r="AF33" s="781">
        <f t="shared" si="6"/>
        <v>0</v>
      </c>
      <c r="AG33" s="781">
        <f t="shared" si="7"/>
        <v>0</v>
      </c>
      <c r="AH33" s="781">
        <f t="shared" si="8"/>
        <v>0</v>
      </c>
      <c r="AI33" s="782">
        <f t="shared" si="9"/>
        <v>0</v>
      </c>
      <c r="AJ33" s="781">
        <f t="shared" si="10"/>
        <v>0</v>
      </c>
      <c r="AK33" s="781">
        <f t="shared" si="11"/>
        <v>0</v>
      </c>
      <c r="AL33" s="781">
        <f t="shared" si="12"/>
        <v>0</v>
      </c>
      <c r="AM33" s="781">
        <f t="shared" si="13"/>
        <v>0</v>
      </c>
      <c r="AN33" s="781">
        <f t="shared" si="14"/>
        <v>0</v>
      </c>
      <c r="AO33" s="781">
        <f t="shared" si="15"/>
        <v>0</v>
      </c>
      <c r="AP33" s="781">
        <f t="shared" si="16"/>
        <v>0</v>
      </c>
      <c r="AQ33" s="781">
        <f t="shared" si="17"/>
        <v>0</v>
      </c>
      <c r="AR33" s="781">
        <f t="shared" si="18"/>
        <v>0</v>
      </c>
      <c r="AS33" s="783">
        <f t="shared" si="19"/>
        <v>0</v>
      </c>
    </row>
    <row r="34" spans="1:45" ht="15" x14ac:dyDescent="0.25">
      <c r="A34" s="784"/>
      <c r="B34" s="719">
        <f t="shared" si="22"/>
        <v>25</v>
      </c>
      <c r="C34" s="170" t="str">
        <f t="shared" si="0"/>
        <v>2SY</v>
      </c>
      <c r="D34" s="557"/>
      <c r="E34" s="170"/>
      <c r="F34" s="170">
        <v>2</v>
      </c>
      <c r="G34" s="2007" t="s">
        <v>765</v>
      </c>
      <c r="H34" s="1926"/>
      <c r="I34" s="2008" t="s">
        <v>739</v>
      </c>
      <c r="J34" s="1926"/>
      <c r="K34" s="1926"/>
      <c r="L34" s="170"/>
      <c r="M34" s="2009">
        <v>3.4703157894736845E-2</v>
      </c>
      <c r="N34" s="2010">
        <v>1</v>
      </c>
      <c r="O34" s="773">
        <f t="shared" si="1"/>
        <v>3.4703157894736845E-2</v>
      </c>
      <c r="P34" s="2008" t="s">
        <v>39</v>
      </c>
      <c r="Q34" s="2008" t="s">
        <v>39</v>
      </c>
      <c r="R34" s="2011" t="s">
        <v>74</v>
      </c>
      <c r="S34" s="775">
        <f>SUMIF('Data Input sheet'!$B$118:$B$180,R34,'Data Input sheet'!$D$118:$D$180)</f>
        <v>152</v>
      </c>
      <c r="T34" s="2012">
        <f t="shared" si="2"/>
        <v>5.2748800000000005</v>
      </c>
      <c r="U34" s="2013">
        <v>202</v>
      </c>
      <c r="V34" s="778">
        <f t="shared" si="20"/>
        <v>7</v>
      </c>
      <c r="W34" s="2010">
        <v>11.801776483860481</v>
      </c>
      <c r="X34" s="779"/>
      <c r="Y34" s="2012"/>
      <c r="Z34" s="780">
        <f t="shared" si="3"/>
        <v>24.076656483860482</v>
      </c>
      <c r="AA34" s="2007" t="s">
        <v>766</v>
      </c>
      <c r="AB34" s="2007"/>
      <c r="AC34" s="765"/>
      <c r="AD34" s="781">
        <f t="shared" si="4"/>
        <v>0</v>
      </c>
      <c r="AE34" s="781">
        <f t="shared" si="5"/>
        <v>0</v>
      </c>
      <c r="AF34" s="781">
        <f t="shared" si="6"/>
        <v>0</v>
      </c>
      <c r="AG34" s="781">
        <f t="shared" si="7"/>
        <v>0</v>
      </c>
      <c r="AH34" s="781">
        <f t="shared" si="8"/>
        <v>0</v>
      </c>
      <c r="AI34" s="782">
        <f t="shared" si="9"/>
        <v>0</v>
      </c>
      <c r="AJ34" s="781">
        <f t="shared" si="10"/>
        <v>0</v>
      </c>
      <c r="AK34" s="781">
        <f t="shared" si="11"/>
        <v>0</v>
      </c>
      <c r="AL34" s="781">
        <f t="shared" si="12"/>
        <v>0</v>
      </c>
      <c r="AM34" s="781">
        <f t="shared" si="13"/>
        <v>0</v>
      </c>
      <c r="AN34" s="781">
        <f t="shared" si="14"/>
        <v>0</v>
      </c>
      <c r="AO34" s="781">
        <f t="shared" si="15"/>
        <v>0</v>
      </c>
      <c r="AP34" s="781">
        <f t="shared" si="16"/>
        <v>0</v>
      </c>
      <c r="AQ34" s="781">
        <f t="shared" si="17"/>
        <v>0</v>
      </c>
      <c r="AR34" s="781">
        <f t="shared" si="18"/>
        <v>0</v>
      </c>
      <c r="AS34" s="783">
        <f t="shared" si="19"/>
        <v>0</v>
      </c>
    </row>
    <row r="35" spans="1:45" ht="15" x14ac:dyDescent="0.25">
      <c r="A35" s="784"/>
      <c r="B35" s="719">
        <f t="shared" si="22"/>
        <v>26</v>
      </c>
      <c r="C35" s="170" t="str">
        <f t="shared" si="0"/>
        <v>21EA</v>
      </c>
      <c r="D35" s="557"/>
      <c r="E35" s="170"/>
      <c r="F35" s="170">
        <v>21</v>
      </c>
      <c r="G35" s="2007" t="s">
        <v>767</v>
      </c>
      <c r="H35" s="1926"/>
      <c r="I35" s="2008" t="s">
        <v>732</v>
      </c>
      <c r="J35" s="1926"/>
      <c r="K35" s="1926"/>
      <c r="L35" s="170"/>
      <c r="M35" s="2009">
        <v>240.16336842105264</v>
      </c>
      <c r="N35" s="2010">
        <v>1</v>
      </c>
      <c r="O35" s="773">
        <f t="shared" si="1"/>
        <v>240.16336842105264</v>
      </c>
      <c r="P35" s="2008" t="s">
        <v>39</v>
      </c>
      <c r="Q35" s="2008" t="s">
        <v>39</v>
      </c>
      <c r="R35" s="2011" t="s">
        <v>74</v>
      </c>
      <c r="S35" s="775">
        <f>SUMIF('Data Input sheet'!$B$118:$B$180,R35,'Data Input sheet'!$D$118:$D$180)</f>
        <v>152</v>
      </c>
      <c r="T35" s="2012">
        <f t="shared" si="2"/>
        <v>36504.832000000002</v>
      </c>
      <c r="U35" s="2013">
        <v>35</v>
      </c>
      <c r="V35" s="778">
        <f t="shared" si="20"/>
        <v>8406</v>
      </c>
      <c r="W35" s="2010">
        <v>59988.020342095879</v>
      </c>
      <c r="X35" s="779"/>
      <c r="Y35" s="2012">
        <v>1040</v>
      </c>
      <c r="Z35" s="780">
        <f t="shared" si="3"/>
        <v>105938.85234209588</v>
      </c>
      <c r="AA35" s="2007" t="s">
        <v>819</v>
      </c>
      <c r="AB35" s="2007" t="s">
        <v>769</v>
      </c>
      <c r="AC35" s="765"/>
      <c r="AD35" s="781">
        <f t="shared" si="4"/>
        <v>0</v>
      </c>
      <c r="AE35" s="781">
        <f t="shared" si="5"/>
        <v>0</v>
      </c>
      <c r="AF35" s="781">
        <f t="shared" si="6"/>
        <v>0</v>
      </c>
      <c r="AG35" s="781">
        <f t="shared" si="7"/>
        <v>0</v>
      </c>
      <c r="AH35" s="781">
        <f t="shared" si="8"/>
        <v>0</v>
      </c>
      <c r="AI35" s="782">
        <f t="shared" si="9"/>
        <v>0</v>
      </c>
      <c r="AJ35" s="781">
        <f t="shared" si="10"/>
        <v>0</v>
      </c>
      <c r="AK35" s="781">
        <f t="shared" si="11"/>
        <v>0</v>
      </c>
      <c r="AL35" s="781">
        <f t="shared" si="12"/>
        <v>0</v>
      </c>
      <c r="AM35" s="781">
        <f t="shared" si="13"/>
        <v>0</v>
      </c>
      <c r="AN35" s="781">
        <f t="shared" si="14"/>
        <v>0</v>
      </c>
      <c r="AO35" s="781">
        <f t="shared" si="15"/>
        <v>0</v>
      </c>
      <c r="AP35" s="781">
        <f t="shared" si="16"/>
        <v>0</v>
      </c>
      <c r="AQ35" s="781">
        <f t="shared" si="17"/>
        <v>0</v>
      </c>
      <c r="AR35" s="781">
        <f t="shared" si="18"/>
        <v>0</v>
      </c>
      <c r="AS35" s="783">
        <f t="shared" si="19"/>
        <v>0</v>
      </c>
    </row>
    <row r="36" spans="1:45" ht="15" x14ac:dyDescent="0.25">
      <c r="A36" s="784"/>
      <c r="B36" s="719">
        <f t="shared" si="22"/>
        <v>27</v>
      </c>
      <c r="C36" s="170" t="str">
        <f t="shared" si="0"/>
        <v>12CY</v>
      </c>
      <c r="D36" s="557"/>
      <c r="E36" s="170"/>
      <c r="F36" s="170">
        <v>12</v>
      </c>
      <c r="G36" s="2007" t="s">
        <v>770</v>
      </c>
      <c r="H36" s="1926">
        <v>0</v>
      </c>
      <c r="I36" s="2008" t="s">
        <v>671</v>
      </c>
      <c r="J36" s="1926"/>
      <c r="K36" s="1926"/>
      <c r="L36" s="170"/>
      <c r="M36" s="2009">
        <v>30</v>
      </c>
      <c r="N36" s="2010">
        <v>1</v>
      </c>
      <c r="O36" s="773">
        <f t="shared" si="1"/>
        <v>30</v>
      </c>
      <c r="P36" s="2008" t="s">
        <v>39</v>
      </c>
      <c r="Q36" s="2008" t="s">
        <v>39</v>
      </c>
      <c r="R36" s="2011" t="s">
        <v>74</v>
      </c>
      <c r="S36" s="775">
        <f>SUMIF('Data Input sheet'!$B$118:$B$180,R36,'Data Input sheet'!$D$118:$D$180)</f>
        <v>152</v>
      </c>
      <c r="T36" s="2012">
        <f t="shared" si="2"/>
        <v>4560</v>
      </c>
      <c r="U36" s="2013">
        <v>70</v>
      </c>
      <c r="V36" s="778">
        <f t="shared" si="20"/>
        <v>2100</v>
      </c>
      <c r="W36" s="2010">
        <v>0</v>
      </c>
      <c r="X36" s="779"/>
      <c r="Y36" s="2012">
        <v>0</v>
      </c>
      <c r="Z36" s="780">
        <f t="shared" si="3"/>
        <v>6660</v>
      </c>
      <c r="AA36" s="2007" t="s">
        <v>820</v>
      </c>
      <c r="AB36" s="2007"/>
      <c r="AC36" s="765"/>
      <c r="AD36" s="781">
        <f t="shared" si="4"/>
        <v>0</v>
      </c>
      <c r="AE36" s="781">
        <f t="shared" si="5"/>
        <v>0</v>
      </c>
      <c r="AF36" s="781">
        <f t="shared" si="6"/>
        <v>0</v>
      </c>
      <c r="AG36" s="781">
        <f t="shared" si="7"/>
        <v>0</v>
      </c>
      <c r="AH36" s="781">
        <f t="shared" si="8"/>
        <v>0</v>
      </c>
      <c r="AI36" s="782">
        <f t="shared" si="9"/>
        <v>0</v>
      </c>
      <c r="AJ36" s="781">
        <f t="shared" si="10"/>
        <v>0</v>
      </c>
      <c r="AK36" s="781">
        <f t="shared" si="11"/>
        <v>0</v>
      </c>
      <c r="AL36" s="781">
        <f t="shared" si="12"/>
        <v>0</v>
      </c>
      <c r="AM36" s="781">
        <f t="shared" si="13"/>
        <v>0</v>
      </c>
      <c r="AN36" s="781">
        <f t="shared" si="14"/>
        <v>0</v>
      </c>
      <c r="AO36" s="781">
        <f t="shared" si="15"/>
        <v>0</v>
      </c>
      <c r="AP36" s="781">
        <f t="shared" si="16"/>
        <v>0</v>
      </c>
      <c r="AQ36" s="781">
        <f t="shared" si="17"/>
        <v>0</v>
      </c>
      <c r="AR36" s="781">
        <f t="shared" si="18"/>
        <v>0</v>
      </c>
      <c r="AS36" s="783">
        <f t="shared" si="19"/>
        <v>0</v>
      </c>
    </row>
    <row r="37" spans="1:45" ht="15" x14ac:dyDescent="0.25">
      <c r="A37" s="784"/>
      <c r="B37" s="719">
        <f t="shared" si="22"/>
        <v>28</v>
      </c>
      <c r="C37" s="170" t="str">
        <f t="shared" si="0"/>
        <v>21EA</v>
      </c>
      <c r="D37" s="557"/>
      <c r="E37" s="170"/>
      <c r="F37" s="170">
        <v>21</v>
      </c>
      <c r="G37" s="2007" t="s">
        <v>772</v>
      </c>
      <c r="H37" s="1926"/>
      <c r="I37" s="2008" t="s">
        <v>732</v>
      </c>
      <c r="J37" s="1926"/>
      <c r="K37" s="1926"/>
      <c r="L37" s="170"/>
      <c r="M37" s="2009">
        <v>10.947368421052632</v>
      </c>
      <c r="N37" s="2010">
        <v>1</v>
      </c>
      <c r="O37" s="773">
        <f t="shared" si="1"/>
        <v>10.947368421052632</v>
      </c>
      <c r="P37" s="2008" t="s">
        <v>39</v>
      </c>
      <c r="Q37" s="2008" t="s">
        <v>39</v>
      </c>
      <c r="R37" s="2011" t="s">
        <v>74</v>
      </c>
      <c r="S37" s="775">
        <f>SUMIF('Data Input sheet'!$B$118:$B$180,R37,'Data Input sheet'!$D$118:$D$180)</f>
        <v>152</v>
      </c>
      <c r="T37" s="2012">
        <f t="shared" si="2"/>
        <v>1664</v>
      </c>
      <c r="U37" s="2013">
        <v>35</v>
      </c>
      <c r="V37" s="778">
        <f t="shared" si="20"/>
        <v>383</v>
      </c>
      <c r="W37" s="2010">
        <v>2481.9719208960005</v>
      </c>
      <c r="X37" s="779"/>
      <c r="Y37" s="2012"/>
      <c r="Z37" s="780">
        <f t="shared" si="3"/>
        <v>4528.9719208960005</v>
      </c>
      <c r="AA37" s="2007"/>
      <c r="AB37" s="2007"/>
      <c r="AC37" s="765"/>
      <c r="AD37" s="781">
        <f t="shared" si="4"/>
        <v>0</v>
      </c>
      <c r="AE37" s="781">
        <f t="shared" si="5"/>
        <v>0</v>
      </c>
      <c r="AF37" s="781">
        <f t="shared" si="6"/>
        <v>0</v>
      </c>
      <c r="AG37" s="781">
        <f t="shared" si="7"/>
        <v>0</v>
      </c>
      <c r="AH37" s="781">
        <f t="shared" si="8"/>
        <v>0</v>
      </c>
      <c r="AI37" s="782">
        <f t="shared" si="9"/>
        <v>0</v>
      </c>
      <c r="AJ37" s="781">
        <f t="shared" si="10"/>
        <v>0</v>
      </c>
      <c r="AK37" s="781">
        <f t="shared" si="11"/>
        <v>0</v>
      </c>
      <c r="AL37" s="781">
        <f t="shared" si="12"/>
        <v>0</v>
      </c>
      <c r="AM37" s="781">
        <f t="shared" si="13"/>
        <v>0</v>
      </c>
      <c r="AN37" s="781">
        <f t="shared" si="14"/>
        <v>0</v>
      </c>
      <c r="AO37" s="781">
        <f t="shared" si="15"/>
        <v>0</v>
      </c>
      <c r="AP37" s="781">
        <f t="shared" si="16"/>
        <v>0</v>
      </c>
      <c r="AQ37" s="781">
        <f t="shared" si="17"/>
        <v>0</v>
      </c>
      <c r="AR37" s="781">
        <f t="shared" si="18"/>
        <v>0</v>
      </c>
      <c r="AS37" s="783">
        <f t="shared" si="19"/>
        <v>0</v>
      </c>
    </row>
    <row r="38" spans="1:45" ht="15" x14ac:dyDescent="0.25">
      <c r="A38" s="784"/>
      <c r="B38" s="719">
        <f t="shared" si="22"/>
        <v>29</v>
      </c>
      <c r="C38" s="170" t="str">
        <f t="shared" si="0"/>
        <v/>
      </c>
      <c r="D38" s="557"/>
      <c r="E38" s="170"/>
      <c r="F38" s="170"/>
      <c r="G38" s="2007"/>
      <c r="H38" s="1926"/>
      <c r="I38" s="2008"/>
      <c r="J38" s="1926"/>
      <c r="K38" s="1926"/>
      <c r="L38" s="170"/>
      <c r="M38" s="2009">
        <v>0</v>
      </c>
      <c r="N38" s="2010">
        <v>1</v>
      </c>
      <c r="O38" s="773">
        <f t="shared" si="1"/>
        <v>0</v>
      </c>
      <c r="P38" s="2008" t="s">
        <v>39</v>
      </c>
      <c r="Q38" s="2008" t="s">
        <v>39</v>
      </c>
      <c r="R38" s="2011" t="s">
        <v>73</v>
      </c>
      <c r="S38" s="775">
        <f>SUMIF('Data Input sheet'!$B$118:$B$180,R38,'Data Input sheet'!$D$118:$D$180)</f>
        <v>119</v>
      </c>
      <c r="T38" s="2012">
        <f t="shared" si="2"/>
        <v>0</v>
      </c>
      <c r="U38" s="2013">
        <v>0</v>
      </c>
      <c r="V38" s="778">
        <f t="shared" si="20"/>
        <v>0</v>
      </c>
      <c r="W38" s="2010"/>
      <c r="X38" s="779"/>
      <c r="Y38" s="2012">
        <v>0</v>
      </c>
      <c r="Z38" s="780">
        <f t="shared" si="3"/>
        <v>0</v>
      </c>
      <c r="AA38" s="2007"/>
      <c r="AB38" s="2007"/>
      <c r="AC38" s="765"/>
      <c r="AD38" s="781">
        <f t="shared" si="4"/>
        <v>0</v>
      </c>
      <c r="AE38" s="781">
        <f t="shared" si="5"/>
        <v>0</v>
      </c>
      <c r="AF38" s="781">
        <f t="shared" si="6"/>
        <v>0</v>
      </c>
      <c r="AG38" s="781">
        <f t="shared" si="7"/>
        <v>0</v>
      </c>
      <c r="AH38" s="781">
        <f t="shared" si="8"/>
        <v>0</v>
      </c>
      <c r="AI38" s="782">
        <f t="shared" si="9"/>
        <v>0</v>
      </c>
      <c r="AJ38" s="781">
        <f t="shared" si="10"/>
        <v>0</v>
      </c>
      <c r="AK38" s="781">
        <f t="shared" si="11"/>
        <v>0</v>
      </c>
      <c r="AL38" s="781">
        <f t="shared" si="12"/>
        <v>0</v>
      </c>
      <c r="AM38" s="781">
        <f t="shared" si="13"/>
        <v>0</v>
      </c>
      <c r="AN38" s="781">
        <f t="shared" si="14"/>
        <v>0</v>
      </c>
      <c r="AO38" s="781">
        <f t="shared" si="15"/>
        <v>0</v>
      </c>
      <c r="AP38" s="781">
        <f t="shared" si="16"/>
        <v>0</v>
      </c>
      <c r="AQ38" s="781">
        <f t="shared" si="17"/>
        <v>0</v>
      </c>
      <c r="AR38" s="781">
        <f t="shared" si="18"/>
        <v>0</v>
      </c>
      <c r="AS38" s="783">
        <f t="shared" si="19"/>
        <v>0</v>
      </c>
    </row>
    <row r="39" spans="1:45" ht="15" x14ac:dyDescent="0.25">
      <c r="A39" s="784"/>
      <c r="B39" s="719">
        <f t="shared" si="22"/>
        <v>30</v>
      </c>
      <c r="C39" s="170" t="str">
        <f t="shared" si="0"/>
        <v/>
      </c>
      <c r="D39" s="557"/>
      <c r="E39" s="170"/>
      <c r="F39" s="170"/>
      <c r="G39" s="2007"/>
      <c r="H39" s="1926"/>
      <c r="I39" s="2008"/>
      <c r="J39" s="1926"/>
      <c r="K39" s="1926"/>
      <c r="L39" s="170"/>
      <c r="M39" s="2009">
        <v>0</v>
      </c>
      <c r="N39" s="2010">
        <v>1</v>
      </c>
      <c r="O39" s="773">
        <f t="shared" si="1"/>
        <v>0</v>
      </c>
      <c r="P39" s="2008" t="s">
        <v>39</v>
      </c>
      <c r="Q39" s="2008" t="s">
        <v>39</v>
      </c>
      <c r="R39" s="2011" t="s">
        <v>73</v>
      </c>
      <c r="S39" s="775">
        <f>SUMIF('Data Input sheet'!$B$118:$B$180,R39,'Data Input sheet'!$D$118:$D$180)</f>
        <v>119</v>
      </c>
      <c r="T39" s="2012">
        <f t="shared" si="2"/>
        <v>0</v>
      </c>
      <c r="U39" s="2013">
        <v>0</v>
      </c>
      <c r="V39" s="778">
        <f t="shared" si="20"/>
        <v>0</v>
      </c>
      <c r="W39" s="2010"/>
      <c r="X39" s="779"/>
      <c r="Y39" s="2012">
        <v>0</v>
      </c>
      <c r="Z39" s="780">
        <f t="shared" si="3"/>
        <v>0</v>
      </c>
      <c r="AA39" s="2007"/>
      <c r="AB39" s="2007"/>
      <c r="AC39" s="765"/>
      <c r="AD39" s="781">
        <f t="shared" si="4"/>
        <v>0</v>
      </c>
      <c r="AE39" s="781">
        <f t="shared" si="5"/>
        <v>0</v>
      </c>
      <c r="AF39" s="781">
        <f t="shared" si="6"/>
        <v>0</v>
      </c>
      <c r="AG39" s="781">
        <f t="shared" si="7"/>
        <v>0</v>
      </c>
      <c r="AH39" s="781">
        <f t="shared" si="8"/>
        <v>0</v>
      </c>
      <c r="AI39" s="782">
        <f t="shared" si="9"/>
        <v>0</v>
      </c>
      <c r="AJ39" s="781">
        <f t="shared" si="10"/>
        <v>0</v>
      </c>
      <c r="AK39" s="781">
        <f t="shared" si="11"/>
        <v>0</v>
      </c>
      <c r="AL39" s="781">
        <f t="shared" si="12"/>
        <v>0</v>
      </c>
      <c r="AM39" s="781">
        <f t="shared" si="13"/>
        <v>0</v>
      </c>
      <c r="AN39" s="781">
        <f t="shared" si="14"/>
        <v>0</v>
      </c>
      <c r="AO39" s="781">
        <f t="shared" si="15"/>
        <v>0</v>
      </c>
      <c r="AP39" s="781">
        <f t="shared" si="16"/>
        <v>0</v>
      </c>
      <c r="AQ39" s="781">
        <f t="shared" si="17"/>
        <v>0</v>
      </c>
      <c r="AR39" s="781">
        <f t="shared" si="18"/>
        <v>0</v>
      </c>
      <c r="AS39" s="783">
        <f t="shared" si="19"/>
        <v>0</v>
      </c>
    </row>
    <row r="40" spans="1:45" ht="15" x14ac:dyDescent="0.25">
      <c r="A40" s="784"/>
      <c r="B40" s="719">
        <f t="shared" si="22"/>
        <v>31</v>
      </c>
      <c r="C40" s="170" t="str">
        <f t="shared" si="0"/>
        <v/>
      </c>
      <c r="D40" s="557"/>
      <c r="E40" s="170"/>
      <c r="F40" s="170"/>
      <c r="G40" s="2007"/>
      <c r="H40" s="1926"/>
      <c r="I40" s="2008"/>
      <c r="J40" s="1926"/>
      <c r="K40" s="1926"/>
      <c r="L40" s="170"/>
      <c r="M40" s="2009">
        <v>0</v>
      </c>
      <c r="N40" s="2010">
        <v>1</v>
      </c>
      <c r="O40" s="773">
        <f t="shared" si="1"/>
        <v>0</v>
      </c>
      <c r="P40" s="2008" t="s">
        <v>39</v>
      </c>
      <c r="Q40" s="2008" t="s">
        <v>39</v>
      </c>
      <c r="R40" s="2011" t="s">
        <v>73</v>
      </c>
      <c r="S40" s="775">
        <f>SUMIF('Data Input sheet'!$B$118:$B$180,R40,'Data Input sheet'!$D$118:$D$180)</f>
        <v>119</v>
      </c>
      <c r="T40" s="2012">
        <f t="shared" si="2"/>
        <v>0</v>
      </c>
      <c r="U40" s="2013">
        <v>0</v>
      </c>
      <c r="V40" s="778">
        <f t="shared" si="20"/>
        <v>0</v>
      </c>
      <c r="W40" s="2010"/>
      <c r="X40" s="779"/>
      <c r="Y40" s="2012">
        <v>0</v>
      </c>
      <c r="Z40" s="780">
        <f t="shared" si="3"/>
        <v>0</v>
      </c>
      <c r="AA40" s="2007"/>
      <c r="AB40" s="2007"/>
      <c r="AC40" s="765"/>
      <c r="AD40" s="781">
        <f t="shared" si="4"/>
        <v>0</v>
      </c>
      <c r="AE40" s="781">
        <f t="shared" si="5"/>
        <v>0</v>
      </c>
      <c r="AF40" s="781">
        <f t="shared" si="6"/>
        <v>0</v>
      </c>
      <c r="AG40" s="781">
        <f t="shared" si="7"/>
        <v>0</v>
      </c>
      <c r="AH40" s="781">
        <f t="shared" si="8"/>
        <v>0</v>
      </c>
      <c r="AI40" s="782">
        <f t="shared" si="9"/>
        <v>0</v>
      </c>
      <c r="AJ40" s="781">
        <f t="shared" si="10"/>
        <v>0</v>
      </c>
      <c r="AK40" s="781">
        <f t="shared" si="11"/>
        <v>0</v>
      </c>
      <c r="AL40" s="781">
        <f t="shared" si="12"/>
        <v>0</v>
      </c>
      <c r="AM40" s="781">
        <f t="shared" si="13"/>
        <v>0</v>
      </c>
      <c r="AN40" s="781">
        <f t="shared" si="14"/>
        <v>0</v>
      </c>
      <c r="AO40" s="781">
        <f t="shared" si="15"/>
        <v>0</v>
      </c>
      <c r="AP40" s="781">
        <f t="shared" si="16"/>
        <v>0</v>
      </c>
      <c r="AQ40" s="781">
        <f t="shared" si="17"/>
        <v>0</v>
      </c>
      <c r="AR40" s="781">
        <f t="shared" si="18"/>
        <v>0</v>
      </c>
      <c r="AS40" s="783">
        <f t="shared" si="19"/>
        <v>0</v>
      </c>
    </row>
    <row r="41" spans="1:45" ht="15" x14ac:dyDescent="0.25">
      <c r="A41" s="784"/>
      <c r="B41" s="719">
        <f t="shared" si="22"/>
        <v>32</v>
      </c>
      <c r="C41" s="170" t="str">
        <f t="shared" si="0"/>
        <v/>
      </c>
      <c r="D41" s="557"/>
      <c r="E41" s="170"/>
      <c r="F41" s="170"/>
      <c r="G41" s="2007"/>
      <c r="H41" s="1926"/>
      <c r="I41" s="2008"/>
      <c r="J41" s="1926"/>
      <c r="K41" s="1926"/>
      <c r="L41" s="170"/>
      <c r="M41" s="2009">
        <v>0</v>
      </c>
      <c r="N41" s="2010">
        <v>1</v>
      </c>
      <c r="O41" s="773">
        <f t="shared" si="1"/>
        <v>0</v>
      </c>
      <c r="P41" s="2008" t="s">
        <v>39</v>
      </c>
      <c r="Q41" s="2008" t="s">
        <v>39</v>
      </c>
      <c r="R41" s="2011" t="s">
        <v>73</v>
      </c>
      <c r="S41" s="775">
        <f>SUMIF('Data Input sheet'!$B$118:$B$180,R41,'Data Input sheet'!$D$118:$D$180)</f>
        <v>119</v>
      </c>
      <c r="T41" s="2012">
        <f t="shared" si="2"/>
        <v>0</v>
      </c>
      <c r="U41" s="2013">
        <v>0</v>
      </c>
      <c r="V41" s="778">
        <f t="shared" si="20"/>
        <v>0</v>
      </c>
      <c r="W41" s="2010"/>
      <c r="X41" s="779"/>
      <c r="Y41" s="2012">
        <v>0</v>
      </c>
      <c r="Z41" s="780">
        <f t="shared" si="3"/>
        <v>0</v>
      </c>
      <c r="AA41" s="2007"/>
      <c r="AB41" s="2007"/>
      <c r="AC41" s="765"/>
      <c r="AD41" s="781">
        <f t="shared" ref="AD41:AD75" si="23">IF(P41="E",+ROUND(H41*O41,0),0)</f>
        <v>0</v>
      </c>
      <c r="AE41" s="781">
        <f t="shared" si="5"/>
        <v>0</v>
      </c>
      <c r="AF41" s="781">
        <f t="shared" ref="AF41:AF75" si="24">+H41*O41</f>
        <v>0</v>
      </c>
      <c r="AG41" s="781">
        <f t="shared" ref="AG41:AG75" si="25">IF(P41="E",+ROUND(T41*H41,0),0)</f>
        <v>0</v>
      </c>
      <c r="AH41" s="781">
        <f t="shared" si="8"/>
        <v>0</v>
      </c>
      <c r="AI41" s="782">
        <f t="shared" ref="AI41:AI75" si="26">+H41*T41</f>
        <v>0</v>
      </c>
      <c r="AJ41" s="781">
        <f t="shared" ref="AJ41:AJ75" si="27">IF(P41="E",+ROUND(V41*H41,0),0)</f>
        <v>0</v>
      </c>
      <c r="AK41" s="781">
        <f t="shared" si="11"/>
        <v>0</v>
      </c>
      <c r="AL41" s="781">
        <f t="shared" ref="AL41:AL75" si="28">ROUND(V41*H41,0)</f>
        <v>0</v>
      </c>
      <c r="AM41" s="781">
        <f t="shared" ref="AM41:AM75" si="29">IF(Q41="E",+ROUND(W41*H41,0),0)</f>
        <v>0</v>
      </c>
      <c r="AN41" s="781">
        <f t="shared" si="14"/>
        <v>0</v>
      </c>
      <c r="AO41" s="781">
        <f t="shared" ref="AO41:AO75" si="30">ROUND(W41*H41,0)</f>
        <v>0</v>
      </c>
      <c r="AP41" s="781">
        <f t="shared" ref="AP41:AP75" si="31">IF(P41="E",+ROUND(Y41*H41,0),0)</f>
        <v>0</v>
      </c>
      <c r="AQ41" s="781">
        <f t="shared" si="17"/>
        <v>0</v>
      </c>
      <c r="AR41" s="781">
        <f t="shared" ref="AR41:AR75" si="32">ROUND(Y41*H41,0)</f>
        <v>0</v>
      </c>
      <c r="AS41" s="783">
        <f t="shared" si="19"/>
        <v>0</v>
      </c>
    </row>
    <row r="42" spans="1:45" ht="15" x14ac:dyDescent="0.25">
      <c r="A42" s="784"/>
      <c r="B42" s="719">
        <f t="shared" si="22"/>
        <v>33</v>
      </c>
      <c r="C42" s="170" t="str">
        <f t="shared" si="0"/>
        <v/>
      </c>
      <c r="D42" s="557"/>
      <c r="E42" s="170"/>
      <c r="F42" s="170"/>
      <c r="G42" s="2007"/>
      <c r="H42" s="1926"/>
      <c r="I42" s="2008"/>
      <c r="J42" s="1926"/>
      <c r="K42" s="1926"/>
      <c r="L42" s="170"/>
      <c r="M42" s="2009"/>
      <c r="N42" s="2010"/>
      <c r="O42" s="773"/>
      <c r="P42" s="2008"/>
      <c r="Q42" s="2008"/>
      <c r="R42" s="2011"/>
      <c r="S42" s="775"/>
      <c r="T42" s="2012">
        <f t="shared" si="2"/>
        <v>0</v>
      </c>
      <c r="U42" s="2013">
        <v>0</v>
      </c>
      <c r="V42" s="778">
        <f t="shared" si="20"/>
        <v>0</v>
      </c>
      <c r="W42" s="2010"/>
      <c r="X42" s="779"/>
      <c r="Y42" s="2012"/>
      <c r="Z42" s="780"/>
      <c r="AA42" s="2007"/>
      <c r="AB42" s="2007"/>
      <c r="AC42" s="765"/>
      <c r="AD42" s="781">
        <f t="shared" si="23"/>
        <v>0</v>
      </c>
      <c r="AE42" s="781">
        <f t="shared" si="5"/>
        <v>0</v>
      </c>
      <c r="AF42" s="781">
        <f t="shared" si="24"/>
        <v>0</v>
      </c>
      <c r="AG42" s="781">
        <f t="shared" si="25"/>
        <v>0</v>
      </c>
      <c r="AH42" s="781">
        <f t="shared" si="8"/>
        <v>0</v>
      </c>
      <c r="AI42" s="782">
        <f t="shared" si="26"/>
        <v>0</v>
      </c>
      <c r="AJ42" s="781">
        <f t="shared" si="27"/>
        <v>0</v>
      </c>
      <c r="AK42" s="781">
        <f t="shared" si="11"/>
        <v>0</v>
      </c>
      <c r="AL42" s="781">
        <f t="shared" si="28"/>
        <v>0</v>
      </c>
      <c r="AM42" s="781">
        <f t="shared" si="29"/>
        <v>0</v>
      </c>
      <c r="AN42" s="781">
        <f t="shared" si="14"/>
        <v>0</v>
      </c>
      <c r="AO42" s="781">
        <f t="shared" si="30"/>
        <v>0</v>
      </c>
      <c r="AP42" s="781">
        <f t="shared" si="31"/>
        <v>0</v>
      </c>
      <c r="AQ42" s="781">
        <f t="shared" si="17"/>
        <v>0</v>
      </c>
      <c r="AR42" s="781">
        <f t="shared" si="32"/>
        <v>0</v>
      </c>
      <c r="AS42" s="783">
        <f t="shared" si="19"/>
        <v>0</v>
      </c>
    </row>
    <row r="43" spans="1:45" ht="15" x14ac:dyDescent="0.25">
      <c r="A43" s="784"/>
      <c r="B43" s="719">
        <f t="shared" si="22"/>
        <v>34</v>
      </c>
      <c r="C43" s="170" t="str">
        <f t="shared" si="0"/>
        <v/>
      </c>
      <c r="D43" s="557"/>
      <c r="E43" s="170"/>
      <c r="F43" s="170"/>
      <c r="G43" s="2007"/>
      <c r="H43" s="1926"/>
      <c r="I43" s="2008"/>
      <c r="J43" s="1926"/>
      <c r="K43" s="1926"/>
      <c r="L43" s="170"/>
      <c r="M43" s="2009"/>
      <c r="N43" s="2010"/>
      <c r="O43" s="773"/>
      <c r="P43" s="2008"/>
      <c r="Q43" s="2008"/>
      <c r="R43" s="2011"/>
      <c r="S43" s="775"/>
      <c r="T43" s="2012">
        <f t="shared" si="2"/>
        <v>0</v>
      </c>
      <c r="U43" s="2013">
        <v>0</v>
      </c>
      <c r="V43" s="778">
        <f t="shared" si="20"/>
        <v>0</v>
      </c>
      <c r="W43" s="2010"/>
      <c r="X43" s="779"/>
      <c r="Y43" s="2012"/>
      <c r="Z43" s="780"/>
      <c r="AA43" s="2007"/>
      <c r="AB43" s="2007"/>
      <c r="AC43" s="765"/>
      <c r="AD43" s="781">
        <f t="shared" si="23"/>
        <v>0</v>
      </c>
      <c r="AE43" s="781">
        <f t="shared" si="5"/>
        <v>0</v>
      </c>
      <c r="AF43" s="781">
        <f t="shared" si="24"/>
        <v>0</v>
      </c>
      <c r="AG43" s="781">
        <f t="shared" si="25"/>
        <v>0</v>
      </c>
      <c r="AH43" s="781">
        <f t="shared" si="8"/>
        <v>0</v>
      </c>
      <c r="AI43" s="782">
        <f t="shared" si="26"/>
        <v>0</v>
      </c>
      <c r="AJ43" s="781">
        <f t="shared" si="27"/>
        <v>0</v>
      </c>
      <c r="AK43" s="781">
        <f t="shared" si="11"/>
        <v>0</v>
      </c>
      <c r="AL43" s="781">
        <f t="shared" si="28"/>
        <v>0</v>
      </c>
      <c r="AM43" s="781">
        <f t="shared" si="29"/>
        <v>0</v>
      </c>
      <c r="AN43" s="781">
        <f t="shared" si="14"/>
        <v>0</v>
      </c>
      <c r="AO43" s="781">
        <f t="shared" si="30"/>
        <v>0</v>
      </c>
      <c r="AP43" s="781">
        <f t="shared" si="31"/>
        <v>0</v>
      </c>
      <c r="AQ43" s="781">
        <f t="shared" si="17"/>
        <v>0</v>
      </c>
      <c r="AR43" s="781">
        <f t="shared" si="32"/>
        <v>0</v>
      </c>
      <c r="AS43" s="783">
        <f t="shared" si="19"/>
        <v>0</v>
      </c>
    </row>
    <row r="44" spans="1:45" ht="15" x14ac:dyDescent="0.25">
      <c r="A44" s="784"/>
      <c r="B44" s="719">
        <f t="shared" si="22"/>
        <v>35</v>
      </c>
      <c r="C44" s="170" t="str">
        <f t="shared" si="0"/>
        <v/>
      </c>
      <c r="D44" s="557"/>
      <c r="E44" s="170"/>
      <c r="F44" s="170"/>
      <c r="G44" s="2007"/>
      <c r="H44" s="1926"/>
      <c r="I44" s="2008"/>
      <c r="J44" s="1926"/>
      <c r="K44" s="1926"/>
      <c r="L44" s="170"/>
      <c r="M44" s="2009">
        <v>0</v>
      </c>
      <c r="N44" s="2010">
        <v>1</v>
      </c>
      <c r="O44" s="773">
        <f t="shared" ref="O44:O74" si="33">+M44*N44</f>
        <v>0</v>
      </c>
      <c r="P44" s="2008" t="s">
        <v>39</v>
      </c>
      <c r="Q44" s="2008" t="s">
        <v>39</v>
      </c>
      <c r="R44" s="2011" t="s">
        <v>74</v>
      </c>
      <c r="S44" s="775">
        <f>SUMIF('Data Input sheet'!$B$118:$B$180,R44,'Data Input sheet'!$D$118:$D$180)</f>
        <v>152</v>
      </c>
      <c r="T44" s="2012">
        <f t="shared" si="2"/>
        <v>0</v>
      </c>
      <c r="U44" s="2013">
        <v>0</v>
      </c>
      <c r="V44" s="778">
        <f t="shared" si="20"/>
        <v>0</v>
      </c>
      <c r="W44" s="2010"/>
      <c r="X44" s="779"/>
      <c r="Y44" s="2012">
        <v>0</v>
      </c>
      <c r="Z44" s="780">
        <f t="shared" ref="Z44:Z74" si="34">T44+V44+W44+Y44</f>
        <v>0</v>
      </c>
      <c r="AA44" s="2007"/>
      <c r="AB44" s="2007"/>
      <c r="AC44" s="765"/>
      <c r="AD44" s="781">
        <f t="shared" si="23"/>
        <v>0</v>
      </c>
      <c r="AE44" s="781">
        <f t="shared" si="5"/>
        <v>0</v>
      </c>
      <c r="AF44" s="781">
        <f t="shared" si="24"/>
        <v>0</v>
      </c>
      <c r="AG44" s="781">
        <f t="shared" si="25"/>
        <v>0</v>
      </c>
      <c r="AH44" s="781">
        <f t="shared" si="8"/>
        <v>0</v>
      </c>
      <c r="AI44" s="782">
        <f t="shared" si="26"/>
        <v>0</v>
      </c>
      <c r="AJ44" s="781">
        <f t="shared" si="27"/>
        <v>0</v>
      </c>
      <c r="AK44" s="781">
        <f t="shared" si="11"/>
        <v>0</v>
      </c>
      <c r="AL44" s="781">
        <f t="shared" si="28"/>
        <v>0</v>
      </c>
      <c r="AM44" s="781">
        <f t="shared" si="29"/>
        <v>0</v>
      </c>
      <c r="AN44" s="781">
        <f t="shared" si="14"/>
        <v>0</v>
      </c>
      <c r="AO44" s="781">
        <f t="shared" si="30"/>
        <v>0</v>
      </c>
      <c r="AP44" s="781">
        <f t="shared" si="31"/>
        <v>0</v>
      </c>
      <c r="AQ44" s="781">
        <f t="shared" si="17"/>
        <v>0</v>
      </c>
      <c r="AR44" s="781">
        <f t="shared" si="32"/>
        <v>0</v>
      </c>
      <c r="AS44" s="783">
        <f t="shared" si="19"/>
        <v>0</v>
      </c>
    </row>
    <row r="45" spans="1:45" ht="25.5" x14ac:dyDescent="0.25">
      <c r="A45" s="784"/>
      <c r="B45" s="719">
        <f t="shared" si="22"/>
        <v>36</v>
      </c>
      <c r="C45" s="170" t="str">
        <f t="shared" si="0"/>
        <v>31LF</v>
      </c>
      <c r="D45" s="557"/>
      <c r="E45" s="170"/>
      <c r="F45" s="170">
        <v>31</v>
      </c>
      <c r="G45" s="2007" t="s">
        <v>821</v>
      </c>
      <c r="H45" s="1926"/>
      <c r="I45" s="2008" t="s">
        <v>728</v>
      </c>
      <c r="J45" s="1926"/>
      <c r="K45" s="1926"/>
      <c r="L45" s="170"/>
      <c r="M45" s="2009">
        <v>0.96216421052631584</v>
      </c>
      <c r="N45" s="2010">
        <v>1</v>
      </c>
      <c r="O45" s="773">
        <f t="shared" si="33"/>
        <v>0.96216421052631584</v>
      </c>
      <c r="P45" s="2008" t="s">
        <v>39</v>
      </c>
      <c r="Q45" s="2008" t="s">
        <v>39</v>
      </c>
      <c r="R45" s="2011" t="s">
        <v>74</v>
      </c>
      <c r="S45" s="775">
        <f>SUMIF('Data Input sheet'!$B$118:$B$180,R45,'Data Input sheet'!$D$118:$D$180)</f>
        <v>152</v>
      </c>
      <c r="T45" s="2012">
        <f t="shared" si="2"/>
        <v>146.24896000000001</v>
      </c>
      <c r="U45" s="2013">
        <v>0</v>
      </c>
      <c r="V45" s="778">
        <f t="shared" si="20"/>
        <v>0</v>
      </c>
      <c r="W45" s="2010">
        <v>139.43718251593731</v>
      </c>
      <c r="X45" s="779"/>
      <c r="Y45" s="2012">
        <v>0</v>
      </c>
      <c r="Z45" s="780">
        <f t="shared" si="34"/>
        <v>285.68614251593732</v>
      </c>
      <c r="AA45" s="2007"/>
      <c r="AB45" s="2007"/>
      <c r="AC45" s="765"/>
      <c r="AD45" s="781">
        <f t="shared" si="23"/>
        <v>0</v>
      </c>
      <c r="AE45" s="781">
        <f t="shared" si="5"/>
        <v>0</v>
      </c>
      <c r="AF45" s="781">
        <f t="shared" si="24"/>
        <v>0</v>
      </c>
      <c r="AG45" s="781">
        <f t="shared" si="25"/>
        <v>0</v>
      </c>
      <c r="AH45" s="781">
        <f t="shared" si="8"/>
        <v>0</v>
      </c>
      <c r="AI45" s="782">
        <f t="shared" si="26"/>
        <v>0</v>
      </c>
      <c r="AJ45" s="781">
        <f t="shared" si="27"/>
        <v>0</v>
      </c>
      <c r="AK45" s="781">
        <f t="shared" si="11"/>
        <v>0</v>
      </c>
      <c r="AL45" s="781">
        <f t="shared" si="28"/>
        <v>0</v>
      </c>
      <c r="AM45" s="781">
        <f t="shared" si="29"/>
        <v>0</v>
      </c>
      <c r="AN45" s="781">
        <f t="shared" si="14"/>
        <v>0</v>
      </c>
      <c r="AO45" s="781">
        <f t="shared" si="30"/>
        <v>0</v>
      </c>
      <c r="AP45" s="781">
        <f t="shared" si="31"/>
        <v>0</v>
      </c>
      <c r="AQ45" s="781">
        <f t="shared" si="17"/>
        <v>0</v>
      </c>
      <c r="AR45" s="781">
        <f t="shared" si="32"/>
        <v>0</v>
      </c>
      <c r="AS45" s="783">
        <f t="shared" si="19"/>
        <v>0</v>
      </c>
    </row>
    <row r="46" spans="1:45" ht="15" x14ac:dyDescent="0.25">
      <c r="A46" s="784"/>
      <c r="B46" s="719">
        <f t="shared" si="22"/>
        <v>37</v>
      </c>
      <c r="C46" s="170" t="str">
        <f t="shared" si="0"/>
        <v>31LF</v>
      </c>
      <c r="D46" s="557"/>
      <c r="E46" s="170"/>
      <c r="F46" s="170">
        <v>31</v>
      </c>
      <c r="G46" s="2007" t="s">
        <v>807</v>
      </c>
      <c r="H46" s="1926"/>
      <c r="I46" s="2008" t="s">
        <v>728</v>
      </c>
      <c r="J46" s="1926"/>
      <c r="K46" s="1926"/>
      <c r="L46" s="170"/>
      <c r="M46" s="2009">
        <v>0.11363368421052633</v>
      </c>
      <c r="N46" s="2010">
        <v>1</v>
      </c>
      <c r="O46" s="773">
        <f t="shared" si="33"/>
        <v>0.11363368421052633</v>
      </c>
      <c r="P46" s="2008" t="s">
        <v>39</v>
      </c>
      <c r="Q46" s="2008" t="s">
        <v>39</v>
      </c>
      <c r="R46" s="2011" t="s">
        <v>74</v>
      </c>
      <c r="S46" s="775">
        <f>SUMIF('Data Input sheet'!$B$118:$B$180,R46,'Data Input sheet'!$D$118:$D$180)</f>
        <v>152</v>
      </c>
      <c r="T46" s="2012">
        <f t="shared" si="2"/>
        <v>17.272320000000001</v>
      </c>
      <c r="U46" s="2013">
        <v>0</v>
      </c>
      <c r="V46" s="778">
        <f t="shared" si="20"/>
        <v>0</v>
      </c>
      <c r="W46" s="2010">
        <v>19.284921825361923</v>
      </c>
      <c r="X46" s="779"/>
      <c r="Y46" s="2012">
        <v>0</v>
      </c>
      <c r="Z46" s="780">
        <f t="shared" si="34"/>
        <v>36.557241825361928</v>
      </c>
      <c r="AA46" s="2007"/>
      <c r="AB46" s="2007"/>
      <c r="AC46" s="765"/>
      <c r="AD46" s="781">
        <f t="shared" si="23"/>
        <v>0</v>
      </c>
      <c r="AE46" s="781">
        <f t="shared" si="5"/>
        <v>0</v>
      </c>
      <c r="AF46" s="781">
        <f t="shared" si="24"/>
        <v>0</v>
      </c>
      <c r="AG46" s="781">
        <f t="shared" si="25"/>
        <v>0</v>
      </c>
      <c r="AH46" s="781">
        <f t="shared" si="8"/>
        <v>0</v>
      </c>
      <c r="AI46" s="782">
        <f t="shared" si="26"/>
        <v>0</v>
      </c>
      <c r="AJ46" s="781">
        <f t="shared" si="27"/>
        <v>0</v>
      </c>
      <c r="AK46" s="781">
        <f t="shared" si="11"/>
        <v>0</v>
      </c>
      <c r="AL46" s="781">
        <f t="shared" si="28"/>
        <v>0</v>
      </c>
      <c r="AM46" s="781">
        <f t="shared" si="29"/>
        <v>0</v>
      </c>
      <c r="AN46" s="781">
        <f t="shared" si="14"/>
        <v>0</v>
      </c>
      <c r="AO46" s="781">
        <f t="shared" si="30"/>
        <v>0</v>
      </c>
      <c r="AP46" s="781">
        <f t="shared" si="31"/>
        <v>0</v>
      </c>
      <c r="AQ46" s="781">
        <f t="shared" si="17"/>
        <v>0</v>
      </c>
      <c r="AR46" s="781">
        <f t="shared" si="32"/>
        <v>0</v>
      </c>
      <c r="AS46" s="783">
        <f t="shared" si="19"/>
        <v>0</v>
      </c>
    </row>
    <row r="47" spans="1:45" ht="15" x14ac:dyDescent="0.25">
      <c r="A47" s="784"/>
      <c r="B47" s="719">
        <f t="shared" si="22"/>
        <v>38</v>
      </c>
      <c r="C47" s="170" t="str">
        <f t="shared" si="0"/>
        <v>31LF</v>
      </c>
      <c r="D47" s="557"/>
      <c r="E47" s="170"/>
      <c r="F47" s="170">
        <v>31</v>
      </c>
      <c r="G47" s="2007" t="s">
        <v>822</v>
      </c>
      <c r="H47" s="1926"/>
      <c r="I47" s="2008" t="s">
        <v>728</v>
      </c>
      <c r="J47" s="1926"/>
      <c r="K47" s="1926"/>
      <c r="L47" s="170"/>
      <c r="M47" s="2009">
        <v>0.10027789473684211</v>
      </c>
      <c r="N47" s="2010">
        <v>1</v>
      </c>
      <c r="O47" s="773">
        <f t="shared" si="33"/>
        <v>0.10027789473684211</v>
      </c>
      <c r="P47" s="2008" t="s">
        <v>39</v>
      </c>
      <c r="Q47" s="2008" t="s">
        <v>39</v>
      </c>
      <c r="R47" s="2011" t="s">
        <v>74</v>
      </c>
      <c r="S47" s="775">
        <f>SUMIF('Data Input sheet'!$B$118:$B$180,R47,'Data Input sheet'!$D$118:$D$180)</f>
        <v>152</v>
      </c>
      <c r="T47" s="2012">
        <f t="shared" si="2"/>
        <v>15.242240000000001</v>
      </c>
      <c r="U47" s="2013">
        <v>0</v>
      </c>
      <c r="V47" s="778">
        <f t="shared" si="20"/>
        <v>0</v>
      </c>
      <c r="W47" s="2010">
        <v>14.569175175659524</v>
      </c>
      <c r="X47" s="779"/>
      <c r="Y47" s="2012">
        <v>0</v>
      </c>
      <c r="Z47" s="780">
        <f t="shared" si="34"/>
        <v>29.811415175659526</v>
      </c>
      <c r="AA47" s="2007"/>
      <c r="AB47" s="2007"/>
      <c r="AC47" s="765"/>
      <c r="AD47" s="781">
        <f t="shared" si="23"/>
        <v>0</v>
      </c>
      <c r="AE47" s="781">
        <f t="shared" si="5"/>
        <v>0</v>
      </c>
      <c r="AF47" s="781">
        <f t="shared" si="24"/>
        <v>0</v>
      </c>
      <c r="AG47" s="781">
        <f t="shared" si="25"/>
        <v>0</v>
      </c>
      <c r="AH47" s="781">
        <f t="shared" si="8"/>
        <v>0</v>
      </c>
      <c r="AI47" s="782">
        <f t="shared" si="26"/>
        <v>0</v>
      </c>
      <c r="AJ47" s="781">
        <f t="shared" si="27"/>
        <v>0</v>
      </c>
      <c r="AK47" s="781">
        <f t="shared" si="11"/>
        <v>0</v>
      </c>
      <c r="AL47" s="781">
        <f t="shared" si="28"/>
        <v>0</v>
      </c>
      <c r="AM47" s="781">
        <f t="shared" si="29"/>
        <v>0</v>
      </c>
      <c r="AN47" s="781">
        <f t="shared" si="14"/>
        <v>0</v>
      </c>
      <c r="AO47" s="781">
        <f t="shared" si="30"/>
        <v>0</v>
      </c>
      <c r="AP47" s="781">
        <f t="shared" si="31"/>
        <v>0</v>
      </c>
      <c r="AQ47" s="781">
        <f t="shared" si="17"/>
        <v>0</v>
      </c>
      <c r="AR47" s="781">
        <f t="shared" si="32"/>
        <v>0</v>
      </c>
      <c r="AS47" s="783">
        <f t="shared" si="19"/>
        <v>0</v>
      </c>
    </row>
    <row r="48" spans="1:45" ht="15" x14ac:dyDescent="0.25">
      <c r="A48" s="784"/>
      <c r="B48" s="719">
        <f t="shared" si="22"/>
        <v>39</v>
      </c>
      <c r="C48" s="170" t="str">
        <f t="shared" si="0"/>
        <v>31LF</v>
      </c>
      <c r="D48" s="557"/>
      <c r="E48" s="170"/>
      <c r="F48" s="170">
        <v>31</v>
      </c>
      <c r="G48" s="2007" t="s">
        <v>823</v>
      </c>
      <c r="H48" s="1926"/>
      <c r="I48" s="2008" t="s">
        <v>728</v>
      </c>
      <c r="J48" s="1926"/>
      <c r="K48" s="1926"/>
      <c r="L48" s="170"/>
      <c r="M48" s="2009">
        <v>9.5023157894736851E-2</v>
      </c>
      <c r="N48" s="2010">
        <v>1</v>
      </c>
      <c r="O48" s="773">
        <f t="shared" si="33"/>
        <v>9.5023157894736851E-2</v>
      </c>
      <c r="P48" s="2008" t="s">
        <v>39</v>
      </c>
      <c r="Q48" s="2008" t="s">
        <v>39</v>
      </c>
      <c r="R48" s="2011" t="s">
        <v>74</v>
      </c>
      <c r="S48" s="775">
        <f>SUMIF('Data Input sheet'!$B$118:$B$180,R48,'Data Input sheet'!$D$118:$D$180)</f>
        <v>152</v>
      </c>
      <c r="T48" s="2012">
        <f t="shared" si="2"/>
        <v>14.443520000000001</v>
      </c>
      <c r="U48" s="2013">
        <v>0</v>
      </c>
      <c r="V48" s="778">
        <f t="shared" si="20"/>
        <v>0</v>
      </c>
      <c r="W48" s="2010">
        <v>9.5183623166361606</v>
      </c>
      <c r="X48" s="779"/>
      <c r="Y48" s="2012">
        <v>0</v>
      </c>
      <c r="Z48" s="780">
        <f t="shared" si="34"/>
        <v>23.961882316636164</v>
      </c>
      <c r="AA48" s="2007"/>
      <c r="AB48" s="2007"/>
      <c r="AC48" s="765"/>
      <c r="AD48" s="781">
        <f t="shared" si="23"/>
        <v>0</v>
      </c>
      <c r="AE48" s="781">
        <f t="shared" si="5"/>
        <v>0</v>
      </c>
      <c r="AF48" s="781">
        <f t="shared" si="24"/>
        <v>0</v>
      </c>
      <c r="AG48" s="781">
        <f t="shared" si="25"/>
        <v>0</v>
      </c>
      <c r="AH48" s="781">
        <f t="shared" si="8"/>
        <v>0</v>
      </c>
      <c r="AI48" s="782">
        <f t="shared" si="26"/>
        <v>0</v>
      </c>
      <c r="AJ48" s="781">
        <f t="shared" si="27"/>
        <v>0</v>
      </c>
      <c r="AK48" s="781">
        <f t="shared" si="11"/>
        <v>0</v>
      </c>
      <c r="AL48" s="781">
        <f t="shared" si="28"/>
        <v>0</v>
      </c>
      <c r="AM48" s="781">
        <f t="shared" si="29"/>
        <v>0</v>
      </c>
      <c r="AN48" s="781">
        <f t="shared" si="14"/>
        <v>0</v>
      </c>
      <c r="AO48" s="781">
        <f t="shared" si="30"/>
        <v>0</v>
      </c>
      <c r="AP48" s="781">
        <f t="shared" si="31"/>
        <v>0</v>
      </c>
      <c r="AQ48" s="781">
        <f t="shared" si="17"/>
        <v>0</v>
      </c>
      <c r="AR48" s="781">
        <f t="shared" si="32"/>
        <v>0</v>
      </c>
      <c r="AS48" s="783">
        <f t="shared" si="19"/>
        <v>0</v>
      </c>
    </row>
    <row r="49" spans="1:45" ht="15" x14ac:dyDescent="0.25">
      <c r="A49" s="784"/>
      <c r="B49" s="719">
        <f t="shared" si="22"/>
        <v>40</v>
      </c>
      <c r="C49" s="170" t="str">
        <f t="shared" si="0"/>
        <v>31LF</v>
      </c>
      <c r="D49" s="557"/>
      <c r="E49" s="170"/>
      <c r="F49" s="170">
        <v>31</v>
      </c>
      <c r="G49" s="2007" t="s">
        <v>824</v>
      </c>
      <c r="H49" s="1926"/>
      <c r="I49" s="2008" t="s">
        <v>728</v>
      </c>
      <c r="J49" s="1926"/>
      <c r="K49" s="1926"/>
      <c r="L49" s="170"/>
      <c r="M49" s="2009">
        <v>8.429473684210527E-2</v>
      </c>
      <c r="N49" s="2010">
        <v>1</v>
      </c>
      <c r="O49" s="773">
        <f t="shared" si="33"/>
        <v>8.429473684210527E-2</v>
      </c>
      <c r="P49" s="2008" t="s">
        <v>39</v>
      </c>
      <c r="Q49" s="2008" t="s">
        <v>39</v>
      </c>
      <c r="R49" s="2011" t="s">
        <v>74</v>
      </c>
      <c r="S49" s="775">
        <f>SUMIF('Data Input sheet'!$B$118:$B$180,R49,'Data Input sheet'!$D$118:$D$180)</f>
        <v>152</v>
      </c>
      <c r="T49" s="2012">
        <f t="shared" si="2"/>
        <v>12.812800000000001</v>
      </c>
      <c r="U49" s="2013">
        <v>0</v>
      </c>
      <c r="V49" s="778">
        <f t="shared" si="20"/>
        <v>0</v>
      </c>
      <c r="W49" s="2010">
        <v>7.2225382898073613</v>
      </c>
      <c r="X49" s="779"/>
      <c r="Y49" s="2012">
        <v>0</v>
      </c>
      <c r="Z49" s="780">
        <f t="shared" si="34"/>
        <v>20.035338289807363</v>
      </c>
      <c r="AA49" s="2007"/>
      <c r="AB49" s="2007"/>
      <c r="AC49" s="765"/>
      <c r="AD49" s="781">
        <f t="shared" si="23"/>
        <v>0</v>
      </c>
      <c r="AE49" s="781">
        <f t="shared" si="5"/>
        <v>0</v>
      </c>
      <c r="AF49" s="781">
        <f t="shared" si="24"/>
        <v>0</v>
      </c>
      <c r="AG49" s="781">
        <f t="shared" si="25"/>
        <v>0</v>
      </c>
      <c r="AH49" s="781">
        <f t="shared" si="8"/>
        <v>0</v>
      </c>
      <c r="AI49" s="782">
        <f t="shared" si="26"/>
        <v>0</v>
      </c>
      <c r="AJ49" s="781">
        <f t="shared" si="27"/>
        <v>0</v>
      </c>
      <c r="AK49" s="781">
        <f t="shared" si="11"/>
        <v>0</v>
      </c>
      <c r="AL49" s="781">
        <f t="shared" si="28"/>
        <v>0</v>
      </c>
      <c r="AM49" s="781">
        <f t="shared" si="29"/>
        <v>0</v>
      </c>
      <c r="AN49" s="781">
        <f t="shared" si="14"/>
        <v>0</v>
      </c>
      <c r="AO49" s="781">
        <f t="shared" si="30"/>
        <v>0</v>
      </c>
      <c r="AP49" s="781">
        <f t="shared" si="31"/>
        <v>0</v>
      </c>
      <c r="AQ49" s="781">
        <f t="shared" si="17"/>
        <v>0</v>
      </c>
      <c r="AR49" s="781">
        <f t="shared" si="32"/>
        <v>0</v>
      </c>
      <c r="AS49" s="783">
        <f t="shared" si="19"/>
        <v>0</v>
      </c>
    </row>
    <row r="50" spans="1:45" ht="25.5" x14ac:dyDescent="0.25">
      <c r="A50" s="784"/>
      <c r="B50" s="719">
        <f>B47+1</f>
        <v>39</v>
      </c>
      <c r="C50" s="170" t="str">
        <f t="shared" si="0"/>
        <v>31Ckt. Ft</v>
      </c>
      <c r="D50" s="557"/>
      <c r="E50" s="170"/>
      <c r="F50" s="170">
        <v>31</v>
      </c>
      <c r="G50" s="2007" t="s">
        <v>2428</v>
      </c>
      <c r="H50" s="1926">
        <v>0</v>
      </c>
      <c r="I50" s="2008" t="s">
        <v>1331</v>
      </c>
      <c r="J50" s="1926"/>
      <c r="K50" s="1926"/>
      <c r="L50" s="170"/>
      <c r="M50" s="2009">
        <v>0</v>
      </c>
      <c r="N50" s="2010">
        <v>1</v>
      </c>
      <c r="O50" s="773">
        <f t="shared" ref="O50:O51" si="35">+M50*N50</f>
        <v>0</v>
      </c>
      <c r="P50" s="2008" t="s">
        <v>39</v>
      </c>
      <c r="Q50" s="2008" t="s">
        <v>39</v>
      </c>
      <c r="R50" s="2011" t="s">
        <v>74</v>
      </c>
      <c r="S50" s="775">
        <f>SUMIF('Data Input sheet'!$B$118:$B$180,R50,'Data Input sheet'!$D$118:$D$180)</f>
        <v>152</v>
      </c>
      <c r="T50" s="2012">
        <f t="shared" ref="T50:T51" si="36">+O50*S50</f>
        <v>0</v>
      </c>
      <c r="U50" s="2013">
        <v>0</v>
      </c>
      <c r="V50" s="778">
        <f t="shared" ref="V50:V51" si="37">ROUND(U50*O50,0)</f>
        <v>0</v>
      </c>
      <c r="W50" s="2010">
        <v>0</v>
      </c>
      <c r="X50" s="779"/>
      <c r="Y50" s="2012">
        <v>0</v>
      </c>
      <c r="Z50" s="780">
        <f t="shared" ref="Z50:Z51" si="38">T50+V50+W50+Y50</f>
        <v>0</v>
      </c>
      <c r="AA50" s="2007" t="s">
        <v>811</v>
      </c>
      <c r="AB50" s="2007"/>
      <c r="AC50" s="765"/>
      <c r="AD50" s="781">
        <f t="shared" ref="AD50:AD51" si="39">IF(P50="E",+ROUND(H50*O50,0),0)</f>
        <v>0</v>
      </c>
      <c r="AE50" s="781">
        <f t="shared" ref="AE50:AE51" si="40">+AF50-AD50</f>
        <v>0</v>
      </c>
      <c r="AF50" s="781">
        <f t="shared" ref="AF50:AF51" si="41">+H50*O50</f>
        <v>0</v>
      </c>
      <c r="AG50" s="781">
        <f t="shared" ref="AG50:AG51" si="42">IF(P50="E",+ROUND(T50*H50,0),0)</f>
        <v>0</v>
      </c>
      <c r="AH50" s="781">
        <f t="shared" ref="AH50:AH51" si="43">+AI50-AG50</f>
        <v>0</v>
      </c>
      <c r="AI50" s="782">
        <f t="shared" ref="AI50:AI51" si="44">+H50*T50</f>
        <v>0</v>
      </c>
      <c r="AJ50" s="781">
        <f t="shared" ref="AJ50:AJ51" si="45">IF(P50="E",+ROUND(V50*H50,0),0)</f>
        <v>0</v>
      </c>
      <c r="AK50" s="781">
        <f t="shared" ref="AK50:AK51" si="46">+AL50-AJ50</f>
        <v>0</v>
      </c>
      <c r="AL50" s="781">
        <f t="shared" ref="AL50:AL51" si="47">ROUND(V50*H50,0)</f>
        <v>0</v>
      </c>
      <c r="AM50" s="781">
        <f t="shared" ref="AM50:AM51" si="48">IF(Q50="E",+ROUND(W50*H50,0),0)</f>
        <v>0</v>
      </c>
      <c r="AN50" s="781">
        <f t="shared" ref="AN50:AN51" si="49">+AO50-AM50</f>
        <v>0</v>
      </c>
      <c r="AO50" s="781">
        <f t="shared" ref="AO50:AO51" si="50">ROUND(W50*H50,0)</f>
        <v>0</v>
      </c>
      <c r="AP50" s="781">
        <f t="shared" ref="AP50:AP51" si="51">IF(P50="E",+ROUND(Y50*H50,0),0)</f>
        <v>0</v>
      </c>
      <c r="AQ50" s="781">
        <f t="shared" ref="AQ50:AQ51" si="52">+AR50-AP50</f>
        <v>0</v>
      </c>
      <c r="AR50" s="781">
        <f t="shared" ref="AR50:AR51" si="53">ROUND(Y50*H50,0)</f>
        <v>0</v>
      </c>
      <c r="AS50" s="783">
        <f t="shared" ref="AS50:AS51" si="54">+AR50+AO50+AL50+AI50</f>
        <v>0</v>
      </c>
    </row>
    <row r="51" spans="1:45" ht="25.5" x14ac:dyDescent="0.25">
      <c r="A51" s="784"/>
      <c r="B51" s="719">
        <f>B48+1</f>
        <v>40</v>
      </c>
      <c r="C51" s="170" t="str">
        <f t="shared" si="0"/>
        <v>31Ckt. Ft</v>
      </c>
      <c r="D51" s="557"/>
      <c r="E51" s="170"/>
      <c r="F51" s="170">
        <v>31</v>
      </c>
      <c r="G51" s="2007" t="s">
        <v>2423</v>
      </c>
      <c r="H51" s="1926">
        <v>0</v>
      </c>
      <c r="I51" s="2008" t="s">
        <v>1331</v>
      </c>
      <c r="J51" s="1926"/>
      <c r="K51" s="1926"/>
      <c r="L51" s="170"/>
      <c r="M51" s="2009">
        <v>0</v>
      </c>
      <c r="N51" s="2010">
        <v>1</v>
      </c>
      <c r="O51" s="773">
        <f t="shared" si="35"/>
        <v>0</v>
      </c>
      <c r="P51" s="2008" t="s">
        <v>39</v>
      </c>
      <c r="Q51" s="2008" t="s">
        <v>39</v>
      </c>
      <c r="R51" s="2011" t="s">
        <v>74</v>
      </c>
      <c r="S51" s="775">
        <f>SUMIF('Data Input sheet'!$B$118:$B$180,R51,'Data Input sheet'!$D$118:$D$180)</f>
        <v>152</v>
      </c>
      <c r="T51" s="2012">
        <f t="shared" si="36"/>
        <v>0</v>
      </c>
      <c r="U51" s="2013">
        <v>0</v>
      </c>
      <c r="V51" s="778">
        <f t="shared" si="37"/>
        <v>0</v>
      </c>
      <c r="W51" s="2010">
        <v>0</v>
      </c>
      <c r="X51" s="779"/>
      <c r="Y51" s="2012">
        <v>0</v>
      </c>
      <c r="Z51" s="780">
        <f t="shared" si="38"/>
        <v>0</v>
      </c>
      <c r="AA51" s="2007" t="s">
        <v>811</v>
      </c>
      <c r="AB51" s="2007"/>
      <c r="AC51" s="765"/>
      <c r="AD51" s="781">
        <f t="shared" si="39"/>
        <v>0</v>
      </c>
      <c r="AE51" s="781">
        <f t="shared" si="40"/>
        <v>0</v>
      </c>
      <c r="AF51" s="781">
        <f t="shared" si="41"/>
        <v>0</v>
      </c>
      <c r="AG51" s="781">
        <f t="shared" si="42"/>
        <v>0</v>
      </c>
      <c r="AH51" s="781">
        <f t="shared" si="43"/>
        <v>0</v>
      </c>
      <c r="AI51" s="782">
        <f t="shared" si="44"/>
        <v>0</v>
      </c>
      <c r="AJ51" s="781">
        <f t="shared" si="45"/>
        <v>0</v>
      </c>
      <c r="AK51" s="781">
        <f t="shared" si="46"/>
        <v>0</v>
      </c>
      <c r="AL51" s="781">
        <f t="shared" si="47"/>
        <v>0</v>
      </c>
      <c r="AM51" s="781">
        <f t="shared" si="48"/>
        <v>0</v>
      </c>
      <c r="AN51" s="781">
        <f t="shared" si="49"/>
        <v>0</v>
      </c>
      <c r="AO51" s="781">
        <f t="shared" si="50"/>
        <v>0</v>
      </c>
      <c r="AP51" s="781">
        <f t="shared" si="51"/>
        <v>0</v>
      </c>
      <c r="AQ51" s="781">
        <f t="shared" si="52"/>
        <v>0</v>
      </c>
      <c r="AR51" s="781">
        <f t="shared" si="53"/>
        <v>0</v>
      </c>
      <c r="AS51" s="783">
        <f t="shared" si="54"/>
        <v>0</v>
      </c>
    </row>
    <row r="52" spans="1:45" ht="25.5" x14ac:dyDescent="0.25">
      <c r="A52" s="784"/>
      <c r="B52" s="719">
        <f>B49+1</f>
        <v>41</v>
      </c>
      <c r="C52" s="170" t="str">
        <f t="shared" si="0"/>
        <v>31Ckt. Ft</v>
      </c>
      <c r="D52" s="557"/>
      <c r="E52" s="170"/>
      <c r="F52" s="170">
        <v>31</v>
      </c>
      <c r="G52" s="2007" t="s">
        <v>2422</v>
      </c>
      <c r="H52" s="1926">
        <v>0</v>
      </c>
      <c r="I52" s="2008" t="s">
        <v>1331</v>
      </c>
      <c r="J52" s="1926"/>
      <c r="K52" s="1926"/>
      <c r="L52" s="170"/>
      <c r="M52" s="2009">
        <v>0.656842105263158</v>
      </c>
      <c r="N52" s="2010">
        <v>1</v>
      </c>
      <c r="O52" s="773">
        <f t="shared" si="33"/>
        <v>0.656842105263158</v>
      </c>
      <c r="P52" s="2008" t="s">
        <v>39</v>
      </c>
      <c r="Q52" s="2008" t="s">
        <v>39</v>
      </c>
      <c r="R52" s="2011" t="s">
        <v>74</v>
      </c>
      <c r="S52" s="775">
        <f>SUMIF('Data Input sheet'!$B$118:$B$180,R52,'Data Input sheet'!$D$118:$D$180)</f>
        <v>152</v>
      </c>
      <c r="T52" s="2012">
        <f t="shared" si="2"/>
        <v>99.840000000000018</v>
      </c>
      <c r="U52" s="2013">
        <v>0</v>
      </c>
      <c r="V52" s="778">
        <f t="shared" si="20"/>
        <v>0</v>
      </c>
      <c r="W52" s="2010">
        <v>468</v>
      </c>
      <c r="X52" s="779"/>
      <c r="Y52" s="2012">
        <v>0</v>
      </c>
      <c r="Z52" s="780">
        <f t="shared" si="34"/>
        <v>567.84</v>
      </c>
      <c r="AA52" s="2007" t="s">
        <v>811</v>
      </c>
      <c r="AB52" s="2007"/>
      <c r="AC52" s="765"/>
      <c r="AD52" s="781">
        <f t="shared" si="23"/>
        <v>0</v>
      </c>
      <c r="AE52" s="781">
        <f t="shared" si="5"/>
        <v>0</v>
      </c>
      <c r="AF52" s="781">
        <f t="shared" si="24"/>
        <v>0</v>
      </c>
      <c r="AG52" s="781">
        <f t="shared" si="25"/>
        <v>0</v>
      </c>
      <c r="AH52" s="781">
        <f t="shared" si="8"/>
        <v>0</v>
      </c>
      <c r="AI52" s="782">
        <f t="shared" si="26"/>
        <v>0</v>
      </c>
      <c r="AJ52" s="781">
        <f t="shared" si="27"/>
        <v>0</v>
      </c>
      <c r="AK52" s="781">
        <f t="shared" si="11"/>
        <v>0</v>
      </c>
      <c r="AL52" s="781">
        <f t="shared" si="28"/>
        <v>0</v>
      </c>
      <c r="AM52" s="781">
        <f t="shared" si="29"/>
        <v>0</v>
      </c>
      <c r="AN52" s="781">
        <f t="shared" si="14"/>
        <v>0</v>
      </c>
      <c r="AO52" s="781">
        <f t="shared" si="30"/>
        <v>0</v>
      </c>
      <c r="AP52" s="781">
        <f t="shared" si="31"/>
        <v>0</v>
      </c>
      <c r="AQ52" s="781">
        <f t="shared" si="17"/>
        <v>0</v>
      </c>
      <c r="AR52" s="781">
        <f t="shared" si="32"/>
        <v>0</v>
      </c>
      <c r="AS52" s="783">
        <f t="shared" si="19"/>
        <v>0</v>
      </c>
    </row>
    <row r="53" spans="1:45" ht="25.5" x14ac:dyDescent="0.25">
      <c r="A53" s="784"/>
      <c r="B53" s="719">
        <f>B50+1</f>
        <v>40</v>
      </c>
      <c r="C53" s="170" t="str">
        <f t="shared" si="0"/>
        <v>31Ckt. Ft</v>
      </c>
      <c r="D53" s="557"/>
      <c r="E53" s="170"/>
      <c r="F53" s="170">
        <v>31</v>
      </c>
      <c r="G53" s="2007" t="s">
        <v>2421</v>
      </c>
      <c r="H53" s="1926">
        <v>0</v>
      </c>
      <c r="I53" s="2008" t="s">
        <v>1331</v>
      </c>
      <c r="J53" s="1926"/>
      <c r="K53" s="1926"/>
      <c r="L53" s="170"/>
      <c r="M53" s="2009">
        <v>0.656842105263158</v>
      </c>
      <c r="N53" s="2010">
        <v>1</v>
      </c>
      <c r="O53" s="773">
        <f t="shared" ref="O53" si="55">+M53*N53</f>
        <v>0.656842105263158</v>
      </c>
      <c r="P53" s="2008" t="s">
        <v>39</v>
      </c>
      <c r="Q53" s="2008" t="s">
        <v>39</v>
      </c>
      <c r="R53" s="2011" t="s">
        <v>74</v>
      </c>
      <c r="S53" s="775">
        <f>SUMIF('Data Input sheet'!$B$118:$B$180,R53,'Data Input sheet'!$D$118:$D$180)</f>
        <v>152</v>
      </c>
      <c r="T53" s="2012">
        <f t="shared" ref="T53" si="56">+O53*S53</f>
        <v>99.840000000000018</v>
      </c>
      <c r="U53" s="2013">
        <v>0</v>
      </c>
      <c r="V53" s="778">
        <f t="shared" ref="V53" si="57">ROUND(U53*O53,0)</f>
        <v>0</v>
      </c>
      <c r="W53" s="2010">
        <v>0</v>
      </c>
      <c r="X53" s="779"/>
      <c r="Y53" s="2012">
        <v>0</v>
      </c>
      <c r="Z53" s="780">
        <f t="shared" ref="Z53" si="58">T53+V53+W53+Y53</f>
        <v>99.840000000000018</v>
      </c>
      <c r="AA53" s="2007" t="s">
        <v>811</v>
      </c>
      <c r="AB53" s="2007"/>
      <c r="AC53" s="765"/>
      <c r="AD53" s="781">
        <f t="shared" ref="AD53" si="59">IF(P53="E",+ROUND(H53*O53,0),0)</f>
        <v>0</v>
      </c>
      <c r="AE53" s="781">
        <f t="shared" ref="AE53" si="60">+AF53-AD53</f>
        <v>0</v>
      </c>
      <c r="AF53" s="781">
        <f t="shared" ref="AF53" si="61">+H53*O53</f>
        <v>0</v>
      </c>
      <c r="AG53" s="781">
        <f t="shared" ref="AG53" si="62">IF(P53="E",+ROUND(T53*H53,0),0)</f>
        <v>0</v>
      </c>
      <c r="AH53" s="781">
        <f t="shared" ref="AH53" si="63">+AI53-AG53</f>
        <v>0</v>
      </c>
      <c r="AI53" s="782">
        <f t="shared" ref="AI53" si="64">+H53*T53</f>
        <v>0</v>
      </c>
      <c r="AJ53" s="781">
        <f t="shared" ref="AJ53" si="65">IF(P53="E",+ROUND(V53*H53,0),0)</f>
        <v>0</v>
      </c>
      <c r="AK53" s="781">
        <f t="shared" ref="AK53" si="66">+AL53-AJ53</f>
        <v>0</v>
      </c>
      <c r="AL53" s="781">
        <f t="shared" ref="AL53" si="67">ROUND(V53*H53,0)</f>
        <v>0</v>
      </c>
      <c r="AM53" s="781">
        <f t="shared" ref="AM53" si="68">IF(Q53="E",+ROUND(W53*H53,0),0)</f>
        <v>0</v>
      </c>
      <c r="AN53" s="781">
        <f t="shared" ref="AN53" si="69">+AO53-AM53</f>
        <v>0</v>
      </c>
      <c r="AO53" s="781">
        <f t="shared" ref="AO53" si="70">ROUND(W53*H53,0)</f>
        <v>0</v>
      </c>
      <c r="AP53" s="781">
        <f t="shared" ref="AP53" si="71">IF(P53="E",+ROUND(Y53*H53,0),0)</f>
        <v>0</v>
      </c>
      <c r="AQ53" s="781">
        <f t="shared" ref="AQ53" si="72">+AR53-AP53</f>
        <v>0</v>
      </c>
      <c r="AR53" s="781">
        <f t="shared" ref="AR53" si="73">ROUND(Y53*H53,0)</f>
        <v>0</v>
      </c>
      <c r="AS53" s="783">
        <f t="shared" ref="AS53" si="74">+AR53+AO53+AL53+AI53</f>
        <v>0</v>
      </c>
    </row>
    <row r="54" spans="1:45" ht="15" x14ac:dyDescent="0.25">
      <c r="A54" s="784"/>
      <c r="B54" s="719">
        <f>B52+1</f>
        <v>42</v>
      </c>
      <c r="C54" s="170" t="str">
        <f t="shared" si="0"/>
        <v>31LF</v>
      </c>
      <c r="D54" s="557"/>
      <c r="E54" s="170"/>
      <c r="F54" s="170">
        <v>31</v>
      </c>
      <c r="G54" s="2007" t="s">
        <v>784</v>
      </c>
      <c r="H54" s="1926"/>
      <c r="I54" s="2008" t="s">
        <v>728</v>
      </c>
      <c r="J54" s="1926"/>
      <c r="K54" s="1926"/>
      <c r="L54" s="170"/>
      <c r="M54" s="2009">
        <v>7.1157894736842101E-2</v>
      </c>
      <c r="N54" s="2010">
        <v>1</v>
      </c>
      <c r="O54" s="773">
        <f t="shared" si="33"/>
        <v>7.1157894736842101E-2</v>
      </c>
      <c r="P54" s="2008" t="s">
        <v>39</v>
      </c>
      <c r="Q54" s="2008" t="s">
        <v>39</v>
      </c>
      <c r="R54" s="2011" t="s">
        <v>74</v>
      </c>
      <c r="S54" s="775">
        <f>SUMIF('Data Input sheet'!$B$118:$B$180,R54,'Data Input sheet'!$D$118:$D$180)</f>
        <v>152</v>
      </c>
      <c r="T54" s="2012">
        <f t="shared" si="2"/>
        <v>10.815999999999999</v>
      </c>
      <c r="U54" s="2013">
        <v>0</v>
      </c>
      <c r="V54" s="778">
        <f t="shared" si="20"/>
        <v>0</v>
      </c>
      <c r="W54" s="2010">
        <v>8.0664087429120013</v>
      </c>
      <c r="X54" s="779"/>
      <c r="Y54" s="2012">
        <v>0</v>
      </c>
      <c r="Z54" s="780">
        <f t="shared" si="34"/>
        <v>18.882408742911998</v>
      </c>
      <c r="AA54" s="2007" t="s">
        <v>785</v>
      </c>
      <c r="AB54" s="2007"/>
      <c r="AC54" s="765"/>
      <c r="AD54" s="781">
        <f t="shared" si="23"/>
        <v>0</v>
      </c>
      <c r="AE54" s="781">
        <f t="shared" si="5"/>
        <v>0</v>
      </c>
      <c r="AF54" s="781">
        <f t="shared" si="24"/>
        <v>0</v>
      </c>
      <c r="AG54" s="781">
        <f t="shared" si="25"/>
        <v>0</v>
      </c>
      <c r="AH54" s="781">
        <f t="shared" si="8"/>
        <v>0</v>
      </c>
      <c r="AI54" s="782">
        <f t="shared" si="26"/>
        <v>0</v>
      </c>
      <c r="AJ54" s="781">
        <f t="shared" si="27"/>
        <v>0</v>
      </c>
      <c r="AK54" s="781">
        <f t="shared" si="11"/>
        <v>0</v>
      </c>
      <c r="AL54" s="781">
        <f t="shared" si="28"/>
        <v>0</v>
      </c>
      <c r="AM54" s="781">
        <f t="shared" si="29"/>
        <v>0</v>
      </c>
      <c r="AN54" s="781">
        <f t="shared" si="14"/>
        <v>0</v>
      </c>
      <c r="AO54" s="781">
        <f t="shared" si="30"/>
        <v>0</v>
      </c>
      <c r="AP54" s="781">
        <f t="shared" si="31"/>
        <v>0</v>
      </c>
      <c r="AQ54" s="781">
        <f t="shared" si="17"/>
        <v>0</v>
      </c>
      <c r="AR54" s="781">
        <f t="shared" si="32"/>
        <v>0</v>
      </c>
      <c r="AS54" s="783">
        <f t="shared" si="19"/>
        <v>0</v>
      </c>
    </row>
    <row r="55" spans="1:45" ht="15" x14ac:dyDescent="0.25">
      <c r="A55" s="784"/>
      <c r="B55" s="719">
        <f t="shared" si="22"/>
        <v>43</v>
      </c>
      <c r="C55" s="170" t="str">
        <f t="shared" si="0"/>
        <v>31LF</v>
      </c>
      <c r="D55" s="557"/>
      <c r="E55" s="170"/>
      <c r="F55" s="170">
        <v>31</v>
      </c>
      <c r="G55" s="2007" t="s">
        <v>813</v>
      </c>
      <c r="H55" s="1926"/>
      <c r="I55" s="2008" t="s">
        <v>728</v>
      </c>
      <c r="J55" s="1926"/>
      <c r="K55" s="1926"/>
      <c r="L55" s="170"/>
      <c r="M55" s="2009">
        <v>0.11</v>
      </c>
      <c r="N55" s="2010">
        <v>1</v>
      </c>
      <c r="O55" s="773">
        <f t="shared" si="33"/>
        <v>0.11</v>
      </c>
      <c r="P55" s="2008" t="s">
        <v>39</v>
      </c>
      <c r="Q55" s="2008" t="s">
        <v>39</v>
      </c>
      <c r="R55" s="2011" t="s">
        <v>74</v>
      </c>
      <c r="S55" s="775">
        <f>SUMIF('Data Input sheet'!$B$118:$B$180,R55,'Data Input sheet'!$D$118:$D$180)</f>
        <v>152</v>
      </c>
      <c r="T55" s="2012">
        <f t="shared" si="2"/>
        <v>16.72</v>
      </c>
      <c r="U55" s="2013">
        <v>0</v>
      </c>
      <c r="V55" s="778">
        <f t="shared" si="20"/>
        <v>0</v>
      </c>
      <c r="W55" s="2010">
        <v>6.24</v>
      </c>
      <c r="X55" s="779"/>
      <c r="Y55" s="2012">
        <v>0</v>
      </c>
      <c r="Z55" s="780">
        <f t="shared" si="34"/>
        <v>22.96</v>
      </c>
      <c r="AA55" s="2007" t="s">
        <v>814</v>
      </c>
      <c r="AB55" s="2007"/>
      <c r="AC55" s="765"/>
      <c r="AD55" s="781">
        <f t="shared" si="23"/>
        <v>0</v>
      </c>
      <c r="AE55" s="781">
        <f t="shared" si="5"/>
        <v>0</v>
      </c>
      <c r="AF55" s="781">
        <f t="shared" si="24"/>
        <v>0</v>
      </c>
      <c r="AG55" s="781">
        <f t="shared" si="25"/>
        <v>0</v>
      </c>
      <c r="AH55" s="781">
        <f t="shared" si="8"/>
        <v>0</v>
      </c>
      <c r="AI55" s="782">
        <f t="shared" si="26"/>
        <v>0</v>
      </c>
      <c r="AJ55" s="781">
        <f t="shared" si="27"/>
        <v>0</v>
      </c>
      <c r="AK55" s="781">
        <f t="shared" si="11"/>
        <v>0</v>
      </c>
      <c r="AL55" s="781">
        <f t="shared" si="28"/>
        <v>0</v>
      </c>
      <c r="AM55" s="781">
        <f t="shared" si="29"/>
        <v>0</v>
      </c>
      <c r="AN55" s="781">
        <f t="shared" si="14"/>
        <v>0</v>
      </c>
      <c r="AO55" s="781">
        <f t="shared" si="30"/>
        <v>0</v>
      </c>
      <c r="AP55" s="781">
        <f t="shared" si="31"/>
        <v>0</v>
      </c>
      <c r="AQ55" s="781">
        <f t="shared" si="17"/>
        <v>0</v>
      </c>
      <c r="AR55" s="781">
        <f t="shared" si="32"/>
        <v>0</v>
      </c>
      <c r="AS55" s="783">
        <f t="shared" si="19"/>
        <v>0</v>
      </c>
    </row>
    <row r="56" spans="1:45" ht="15" x14ac:dyDescent="0.25">
      <c r="A56" s="784"/>
      <c r="B56" s="719">
        <f t="shared" si="22"/>
        <v>44</v>
      </c>
      <c r="C56" s="170" t="str">
        <f t="shared" si="0"/>
        <v>31LF</v>
      </c>
      <c r="D56" s="557"/>
      <c r="E56" s="170"/>
      <c r="F56" s="170">
        <v>31</v>
      </c>
      <c r="G56" s="2007" t="s">
        <v>788</v>
      </c>
      <c r="H56" s="1926"/>
      <c r="I56" s="2008" t="s">
        <v>728</v>
      </c>
      <c r="J56" s="1926"/>
      <c r="K56" s="1926"/>
      <c r="L56" s="170"/>
      <c r="M56" s="2009">
        <v>0.12315789473684212</v>
      </c>
      <c r="N56" s="2010">
        <v>1</v>
      </c>
      <c r="O56" s="773">
        <f t="shared" si="33"/>
        <v>0.12315789473684212</v>
      </c>
      <c r="P56" s="2008" t="s">
        <v>39</v>
      </c>
      <c r="Q56" s="2008" t="s">
        <v>39</v>
      </c>
      <c r="R56" s="2011" t="s">
        <v>74</v>
      </c>
      <c r="S56" s="775">
        <f>SUMIF('Data Input sheet'!$B$118:$B$180,R56,'Data Input sheet'!$D$118:$D$180)</f>
        <v>152</v>
      </c>
      <c r="T56" s="2012">
        <f t="shared" si="2"/>
        <v>18.720000000000002</v>
      </c>
      <c r="U56" s="2013">
        <v>0</v>
      </c>
      <c r="V56" s="778">
        <f t="shared" si="20"/>
        <v>0</v>
      </c>
      <c r="W56" s="2010">
        <v>6.7137340460236814</v>
      </c>
      <c r="X56" s="779"/>
      <c r="Y56" s="2012">
        <v>0</v>
      </c>
      <c r="Z56" s="780">
        <f t="shared" si="34"/>
        <v>25.433734046023684</v>
      </c>
      <c r="AA56" s="2007"/>
      <c r="AB56" s="2007"/>
      <c r="AC56" s="765"/>
      <c r="AD56" s="781">
        <f t="shared" si="23"/>
        <v>0</v>
      </c>
      <c r="AE56" s="781">
        <f t="shared" si="5"/>
        <v>0</v>
      </c>
      <c r="AF56" s="781">
        <f t="shared" si="24"/>
        <v>0</v>
      </c>
      <c r="AG56" s="781">
        <f t="shared" si="25"/>
        <v>0</v>
      </c>
      <c r="AH56" s="781">
        <f t="shared" si="8"/>
        <v>0</v>
      </c>
      <c r="AI56" s="782">
        <f t="shared" si="26"/>
        <v>0</v>
      </c>
      <c r="AJ56" s="781">
        <f t="shared" si="27"/>
        <v>0</v>
      </c>
      <c r="AK56" s="781">
        <f t="shared" si="11"/>
        <v>0</v>
      </c>
      <c r="AL56" s="781">
        <f t="shared" si="28"/>
        <v>0</v>
      </c>
      <c r="AM56" s="781">
        <f t="shared" si="29"/>
        <v>0</v>
      </c>
      <c r="AN56" s="781">
        <f t="shared" si="14"/>
        <v>0</v>
      </c>
      <c r="AO56" s="781">
        <f t="shared" si="30"/>
        <v>0</v>
      </c>
      <c r="AP56" s="781">
        <f t="shared" si="31"/>
        <v>0</v>
      </c>
      <c r="AQ56" s="781">
        <f t="shared" si="17"/>
        <v>0</v>
      </c>
      <c r="AR56" s="781">
        <f t="shared" si="32"/>
        <v>0</v>
      </c>
      <c r="AS56" s="783">
        <f t="shared" si="19"/>
        <v>0</v>
      </c>
    </row>
    <row r="57" spans="1:45" ht="15" x14ac:dyDescent="0.25">
      <c r="A57" s="784"/>
      <c r="B57" s="719">
        <f t="shared" si="22"/>
        <v>45</v>
      </c>
      <c r="C57" s="170" t="str">
        <f t="shared" si="0"/>
        <v>31EA</v>
      </c>
      <c r="D57" s="557"/>
      <c r="E57" s="170"/>
      <c r="F57" s="170">
        <v>31</v>
      </c>
      <c r="G57" s="2007" t="s">
        <v>2424</v>
      </c>
      <c r="H57" s="1926"/>
      <c r="I57" s="2008" t="s">
        <v>732</v>
      </c>
      <c r="J57" s="1926"/>
      <c r="K57" s="1926"/>
      <c r="L57" s="170"/>
      <c r="M57" s="2009">
        <v>76.631578947368425</v>
      </c>
      <c r="N57" s="2010">
        <v>1</v>
      </c>
      <c r="O57" s="773">
        <f t="shared" si="33"/>
        <v>76.631578947368425</v>
      </c>
      <c r="P57" s="2008" t="s">
        <v>39</v>
      </c>
      <c r="Q57" s="2008" t="s">
        <v>39</v>
      </c>
      <c r="R57" s="2011" t="s">
        <v>74</v>
      </c>
      <c r="S57" s="775">
        <f>SUMIF('Data Input sheet'!$B$118:$B$180,R57,'Data Input sheet'!$D$118:$D$180)</f>
        <v>152</v>
      </c>
      <c r="T57" s="2012">
        <f t="shared" si="2"/>
        <v>11648</v>
      </c>
      <c r="U57" s="2013">
        <v>0</v>
      </c>
      <c r="V57" s="778">
        <f t="shared" si="20"/>
        <v>0</v>
      </c>
      <c r="W57" s="2010">
        <v>35988.592852992006</v>
      </c>
      <c r="X57" s="779"/>
      <c r="Y57" s="2012">
        <v>0</v>
      </c>
      <c r="Z57" s="780">
        <f t="shared" si="34"/>
        <v>47636.592852992006</v>
      </c>
      <c r="AA57" s="2007"/>
      <c r="AB57" s="2007"/>
      <c r="AC57" s="765"/>
      <c r="AD57" s="781">
        <f t="shared" si="23"/>
        <v>0</v>
      </c>
      <c r="AE57" s="781">
        <f t="shared" si="5"/>
        <v>0</v>
      </c>
      <c r="AF57" s="781">
        <f t="shared" si="24"/>
        <v>0</v>
      </c>
      <c r="AG57" s="781">
        <f t="shared" si="25"/>
        <v>0</v>
      </c>
      <c r="AH57" s="781">
        <f t="shared" si="8"/>
        <v>0</v>
      </c>
      <c r="AI57" s="782">
        <f t="shared" si="26"/>
        <v>0</v>
      </c>
      <c r="AJ57" s="781">
        <f t="shared" si="27"/>
        <v>0</v>
      </c>
      <c r="AK57" s="781">
        <f t="shared" si="11"/>
        <v>0</v>
      </c>
      <c r="AL57" s="781">
        <f t="shared" si="28"/>
        <v>0</v>
      </c>
      <c r="AM57" s="781">
        <f t="shared" si="29"/>
        <v>0</v>
      </c>
      <c r="AN57" s="781">
        <f t="shared" si="14"/>
        <v>0</v>
      </c>
      <c r="AO57" s="781">
        <f t="shared" si="30"/>
        <v>0</v>
      </c>
      <c r="AP57" s="781">
        <f t="shared" si="31"/>
        <v>0</v>
      </c>
      <c r="AQ57" s="781">
        <f t="shared" si="17"/>
        <v>0</v>
      </c>
      <c r="AR57" s="781">
        <f t="shared" si="32"/>
        <v>0</v>
      </c>
      <c r="AS57" s="783">
        <f t="shared" si="19"/>
        <v>0</v>
      </c>
    </row>
    <row r="58" spans="1:45" ht="15" x14ac:dyDescent="0.25">
      <c r="A58" s="784"/>
      <c r="B58" s="719">
        <f t="shared" si="22"/>
        <v>46</v>
      </c>
      <c r="C58" s="170" t="str">
        <f t="shared" si="0"/>
        <v>31EA</v>
      </c>
      <c r="D58" s="557"/>
      <c r="E58" s="170"/>
      <c r="F58" s="170">
        <v>31</v>
      </c>
      <c r="G58" s="2007" t="s">
        <v>2425</v>
      </c>
      <c r="H58" s="1926"/>
      <c r="I58" s="2008" t="s">
        <v>732</v>
      </c>
      <c r="J58" s="1926"/>
      <c r="K58" s="1926"/>
      <c r="L58" s="170"/>
      <c r="M58" s="2009">
        <v>232.63157894736841</v>
      </c>
      <c r="N58" s="2010">
        <v>1</v>
      </c>
      <c r="O58" s="773">
        <f t="shared" si="33"/>
        <v>232.63157894736841</v>
      </c>
      <c r="P58" s="2008" t="s">
        <v>39</v>
      </c>
      <c r="Q58" s="2008" t="s">
        <v>39</v>
      </c>
      <c r="R58" s="2011" t="s">
        <v>74</v>
      </c>
      <c r="S58" s="775">
        <f>SUMIF('Data Input sheet'!$B$118:$B$180,R58,'Data Input sheet'!$D$118:$D$180)</f>
        <v>152</v>
      </c>
      <c r="T58" s="2012">
        <f t="shared" si="2"/>
        <v>35360</v>
      </c>
      <c r="U58" s="2013">
        <v>0</v>
      </c>
      <c r="V58" s="778">
        <f t="shared" si="20"/>
        <v>0</v>
      </c>
      <c r="W58" s="2010">
        <v>34127.113912320005</v>
      </c>
      <c r="X58" s="779"/>
      <c r="Y58" s="2012">
        <v>0</v>
      </c>
      <c r="Z58" s="780">
        <f t="shared" si="34"/>
        <v>69487.113912319997</v>
      </c>
      <c r="AA58" s="2007"/>
      <c r="AB58" s="2007"/>
      <c r="AC58" s="765"/>
      <c r="AD58" s="781">
        <f t="shared" si="23"/>
        <v>0</v>
      </c>
      <c r="AE58" s="781">
        <f t="shared" si="5"/>
        <v>0</v>
      </c>
      <c r="AF58" s="781">
        <f t="shared" si="24"/>
        <v>0</v>
      </c>
      <c r="AG58" s="781">
        <f t="shared" si="25"/>
        <v>0</v>
      </c>
      <c r="AH58" s="781">
        <f t="shared" si="8"/>
        <v>0</v>
      </c>
      <c r="AI58" s="782">
        <f t="shared" si="26"/>
        <v>0</v>
      </c>
      <c r="AJ58" s="781">
        <f t="shared" si="27"/>
        <v>0</v>
      </c>
      <c r="AK58" s="781">
        <f t="shared" si="11"/>
        <v>0</v>
      </c>
      <c r="AL58" s="781">
        <f t="shared" si="28"/>
        <v>0</v>
      </c>
      <c r="AM58" s="781">
        <f t="shared" si="29"/>
        <v>0</v>
      </c>
      <c r="AN58" s="781">
        <f t="shared" si="14"/>
        <v>0</v>
      </c>
      <c r="AO58" s="781">
        <f t="shared" si="30"/>
        <v>0</v>
      </c>
      <c r="AP58" s="781">
        <f t="shared" si="31"/>
        <v>0</v>
      </c>
      <c r="AQ58" s="781">
        <f t="shared" si="17"/>
        <v>0</v>
      </c>
      <c r="AR58" s="781">
        <f t="shared" si="32"/>
        <v>0</v>
      </c>
      <c r="AS58" s="783">
        <f t="shared" si="19"/>
        <v>0</v>
      </c>
    </row>
    <row r="59" spans="1:45" ht="15" x14ac:dyDescent="0.25">
      <c r="A59" s="784"/>
      <c r="B59" s="719">
        <f t="shared" si="22"/>
        <v>47</v>
      </c>
      <c r="C59" s="170" t="str">
        <f t="shared" si="0"/>
        <v>31LF</v>
      </c>
      <c r="D59" s="557"/>
      <c r="E59" s="170"/>
      <c r="F59" s="170">
        <v>31</v>
      </c>
      <c r="G59" s="2007" t="s">
        <v>796</v>
      </c>
      <c r="H59" s="1926"/>
      <c r="I59" s="2008" t="s">
        <v>728</v>
      </c>
      <c r="J59" s="1926"/>
      <c r="K59" s="1926"/>
      <c r="L59" s="170"/>
      <c r="M59" s="2009">
        <v>5.4736842105263164E-3</v>
      </c>
      <c r="N59" s="2010">
        <v>1</v>
      </c>
      <c r="O59" s="773">
        <f t="shared" si="33"/>
        <v>5.4736842105263164E-3</v>
      </c>
      <c r="P59" s="2008" t="s">
        <v>39</v>
      </c>
      <c r="Q59" s="2008" t="s">
        <v>39</v>
      </c>
      <c r="R59" s="2011" t="s">
        <v>74</v>
      </c>
      <c r="S59" s="775">
        <f>SUMIF('Data Input sheet'!$B$118:$B$180,R59,'Data Input sheet'!$D$118:$D$180)</f>
        <v>152</v>
      </c>
      <c r="T59" s="2012">
        <f t="shared" si="2"/>
        <v>0.83200000000000007</v>
      </c>
      <c r="U59" s="2013">
        <v>0</v>
      </c>
      <c r="V59" s="778">
        <f t="shared" si="20"/>
        <v>0</v>
      </c>
      <c r="W59" s="2010">
        <v>0.62049298022400001</v>
      </c>
      <c r="X59" s="779"/>
      <c r="Y59" s="2012">
        <v>0</v>
      </c>
      <c r="Z59" s="780">
        <f t="shared" si="34"/>
        <v>1.4524929802240001</v>
      </c>
      <c r="AA59" s="2007"/>
      <c r="AB59" s="2007"/>
      <c r="AC59" s="765"/>
      <c r="AD59" s="781">
        <f t="shared" si="23"/>
        <v>0</v>
      </c>
      <c r="AE59" s="781">
        <f t="shared" si="5"/>
        <v>0</v>
      </c>
      <c r="AF59" s="781">
        <f t="shared" si="24"/>
        <v>0</v>
      </c>
      <c r="AG59" s="781">
        <f t="shared" si="25"/>
        <v>0</v>
      </c>
      <c r="AH59" s="781">
        <f t="shared" si="8"/>
        <v>0</v>
      </c>
      <c r="AI59" s="782">
        <f t="shared" si="26"/>
        <v>0</v>
      </c>
      <c r="AJ59" s="781">
        <f t="shared" si="27"/>
        <v>0</v>
      </c>
      <c r="AK59" s="781">
        <f t="shared" si="11"/>
        <v>0</v>
      </c>
      <c r="AL59" s="781">
        <f t="shared" si="28"/>
        <v>0</v>
      </c>
      <c r="AM59" s="781">
        <f t="shared" si="29"/>
        <v>0</v>
      </c>
      <c r="AN59" s="781">
        <f t="shared" si="14"/>
        <v>0</v>
      </c>
      <c r="AO59" s="781">
        <f t="shared" si="30"/>
        <v>0</v>
      </c>
      <c r="AP59" s="781">
        <f t="shared" si="31"/>
        <v>0</v>
      </c>
      <c r="AQ59" s="781">
        <f t="shared" si="17"/>
        <v>0</v>
      </c>
      <c r="AR59" s="781">
        <f t="shared" si="32"/>
        <v>0</v>
      </c>
      <c r="AS59" s="783">
        <f t="shared" si="19"/>
        <v>0</v>
      </c>
    </row>
    <row r="60" spans="1:45" ht="15" x14ac:dyDescent="0.25">
      <c r="A60" s="784"/>
      <c r="B60" s="719">
        <f t="shared" si="22"/>
        <v>48</v>
      </c>
      <c r="C60" s="170" t="str">
        <f t="shared" si="0"/>
        <v>31EA</v>
      </c>
      <c r="D60" s="557"/>
      <c r="E60" s="170"/>
      <c r="F60" s="170">
        <v>31</v>
      </c>
      <c r="G60" s="2007" t="s">
        <v>797</v>
      </c>
      <c r="H60" s="1926"/>
      <c r="I60" s="2008" t="s">
        <v>732</v>
      </c>
      <c r="J60" s="1926"/>
      <c r="K60" s="1926"/>
      <c r="L60" s="170"/>
      <c r="M60" s="2009">
        <v>16.421052631578949</v>
      </c>
      <c r="N60" s="2010">
        <v>1</v>
      </c>
      <c r="O60" s="773">
        <f t="shared" si="33"/>
        <v>16.421052631578949</v>
      </c>
      <c r="P60" s="2008" t="s">
        <v>39</v>
      </c>
      <c r="Q60" s="2008" t="s">
        <v>39</v>
      </c>
      <c r="R60" s="2011" t="s">
        <v>74</v>
      </c>
      <c r="S60" s="775">
        <f>SUMIF('Data Input sheet'!$B$118:$B$180,R60,'Data Input sheet'!$D$118:$D$180)</f>
        <v>152</v>
      </c>
      <c r="T60" s="2012">
        <f t="shared" si="2"/>
        <v>2496</v>
      </c>
      <c r="U60" s="2013">
        <v>0</v>
      </c>
      <c r="V60" s="778">
        <f t="shared" si="20"/>
        <v>0</v>
      </c>
      <c r="W60" s="2010">
        <v>124.09859604480002</v>
      </c>
      <c r="X60" s="779"/>
      <c r="Y60" s="2012">
        <v>0</v>
      </c>
      <c r="Z60" s="780">
        <f t="shared" si="34"/>
        <v>2620.0985960448002</v>
      </c>
      <c r="AA60" s="2007"/>
      <c r="AB60" s="2007"/>
      <c r="AC60" s="765"/>
      <c r="AD60" s="781">
        <f t="shared" si="23"/>
        <v>0</v>
      </c>
      <c r="AE60" s="781">
        <f t="shared" si="5"/>
        <v>0</v>
      </c>
      <c r="AF60" s="781">
        <f t="shared" si="24"/>
        <v>0</v>
      </c>
      <c r="AG60" s="781">
        <f t="shared" si="25"/>
        <v>0</v>
      </c>
      <c r="AH60" s="781">
        <f t="shared" si="8"/>
        <v>0</v>
      </c>
      <c r="AI60" s="782">
        <f t="shared" si="26"/>
        <v>0</v>
      </c>
      <c r="AJ60" s="781">
        <f t="shared" si="27"/>
        <v>0</v>
      </c>
      <c r="AK60" s="781">
        <f t="shared" si="11"/>
        <v>0</v>
      </c>
      <c r="AL60" s="781">
        <f t="shared" si="28"/>
        <v>0</v>
      </c>
      <c r="AM60" s="781">
        <f t="shared" si="29"/>
        <v>0</v>
      </c>
      <c r="AN60" s="781">
        <f t="shared" si="14"/>
        <v>0</v>
      </c>
      <c r="AO60" s="781">
        <f t="shared" si="30"/>
        <v>0</v>
      </c>
      <c r="AP60" s="781">
        <f t="shared" si="31"/>
        <v>0</v>
      </c>
      <c r="AQ60" s="781">
        <f t="shared" si="17"/>
        <v>0</v>
      </c>
      <c r="AR60" s="781">
        <f t="shared" si="32"/>
        <v>0</v>
      </c>
      <c r="AS60" s="783">
        <f t="shared" si="19"/>
        <v>0</v>
      </c>
    </row>
    <row r="61" spans="1:45" ht="15" x14ac:dyDescent="0.25">
      <c r="A61" s="784"/>
      <c r="B61" s="719">
        <f t="shared" si="22"/>
        <v>49</v>
      </c>
      <c r="C61" s="170" t="str">
        <f t="shared" si="0"/>
        <v>31EA</v>
      </c>
      <c r="D61" s="557"/>
      <c r="E61" s="170"/>
      <c r="F61" s="170">
        <v>31</v>
      </c>
      <c r="G61" s="2007" t="s">
        <v>799</v>
      </c>
      <c r="H61" s="1926"/>
      <c r="I61" s="2008" t="s">
        <v>732</v>
      </c>
      <c r="J61" s="1926"/>
      <c r="K61" s="1926"/>
      <c r="L61" s="170"/>
      <c r="M61" s="2009">
        <v>28</v>
      </c>
      <c r="N61" s="2010">
        <v>1</v>
      </c>
      <c r="O61" s="773">
        <f t="shared" si="33"/>
        <v>28</v>
      </c>
      <c r="P61" s="2008" t="s">
        <v>39</v>
      </c>
      <c r="Q61" s="2008" t="s">
        <v>39</v>
      </c>
      <c r="R61" s="2011" t="s">
        <v>74</v>
      </c>
      <c r="S61" s="775">
        <f>SUMIF('Data Input sheet'!$B$118:$B$180,R61,'Data Input sheet'!$D$118:$D$180)</f>
        <v>152</v>
      </c>
      <c r="T61" s="2012">
        <f t="shared" si="2"/>
        <v>4256</v>
      </c>
      <c r="U61" s="2013">
        <v>70</v>
      </c>
      <c r="V61" s="778">
        <f t="shared" si="20"/>
        <v>1960</v>
      </c>
      <c r="W61" s="2010">
        <v>5956.7326101504013</v>
      </c>
      <c r="X61" s="779"/>
      <c r="Y61" s="2012">
        <v>0</v>
      </c>
      <c r="Z61" s="780">
        <f t="shared" si="34"/>
        <v>12172.7326101504</v>
      </c>
      <c r="AA61" s="2007"/>
      <c r="AB61" s="2007"/>
      <c r="AC61" s="765"/>
      <c r="AD61" s="781">
        <f t="shared" si="23"/>
        <v>0</v>
      </c>
      <c r="AE61" s="781">
        <f t="shared" si="5"/>
        <v>0</v>
      </c>
      <c r="AF61" s="781">
        <f t="shared" si="24"/>
        <v>0</v>
      </c>
      <c r="AG61" s="781">
        <f t="shared" si="25"/>
        <v>0</v>
      </c>
      <c r="AH61" s="781">
        <f t="shared" si="8"/>
        <v>0</v>
      </c>
      <c r="AI61" s="782">
        <f t="shared" si="26"/>
        <v>0</v>
      </c>
      <c r="AJ61" s="781">
        <f t="shared" si="27"/>
        <v>0</v>
      </c>
      <c r="AK61" s="781">
        <f t="shared" si="11"/>
        <v>0</v>
      </c>
      <c r="AL61" s="781">
        <f t="shared" si="28"/>
        <v>0</v>
      </c>
      <c r="AM61" s="781">
        <f t="shared" si="29"/>
        <v>0</v>
      </c>
      <c r="AN61" s="781">
        <f t="shared" si="14"/>
        <v>0</v>
      </c>
      <c r="AO61" s="781">
        <f t="shared" si="30"/>
        <v>0</v>
      </c>
      <c r="AP61" s="781">
        <f t="shared" si="31"/>
        <v>0</v>
      </c>
      <c r="AQ61" s="781">
        <f t="shared" si="17"/>
        <v>0</v>
      </c>
      <c r="AR61" s="781">
        <f t="shared" si="32"/>
        <v>0</v>
      </c>
      <c r="AS61" s="783">
        <f t="shared" si="19"/>
        <v>0</v>
      </c>
    </row>
    <row r="62" spans="1:45" ht="15" x14ac:dyDescent="0.25">
      <c r="A62" s="784"/>
      <c r="B62" s="719">
        <f t="shared" si="22"/>
        <v>50</v>
      </c>
      <c r="C62" s="170" t="str">
        <f t="shared" si="0"/>
        <v>31EA</v>
      </c>
      <c r="D62" s="557"/>
      <c r="E62" s="170"/>
      <c r="F62" s="170">
        <v>31</v>
      </c>
      <c r="G62" s="2007" t="s">
        <v>800</v>
      </c>
      <c r="H62" s="1926"/>
      <c r="I62" s="2008" t="s">
        <v>732</v>
      </c>
      <c r="J62" s="1926"/>
      <c r="K62" s="1926"/>
      <c r="L62" s="170"/>
      <c r="M62" s="2009">
        <v>12.631578947368421</v>
      </c>
      <c r="N62" s="2010">
        <v>1</v>
      </c>
      <c r="O62" s="773">
        <f t="shared" si="33"/>
        <v>12.631578947368421</v>
      </c>
      <c r="P62" s="2008" t="s">
        <v>39</v>
      </c>
      <c r="Q62" s="2008" t="s">
        <v>39</v>
      </c>
      <c r="R62" s="2011" t="s">
        <v>74</v>
      </c>
      <c r="S62" s="775">
        <f>SUMIF('Data Input sheet'!$B$118:$B$180,R62,'Data Input sheet'!$D$118:$D$180)</f>
        <v>152</v>
      </c>
      <c r="T62" s="2012">
        <f t="shared" si="2"/>
        <v>1920</v>
      </c>
      <c r="U62" s="2013">
        <v>175</v>
      </c>
      <c r="V62" s="778">
        <f t="shared" si="20"/>
        <v>2211</v>
      </c>
      <c r="W62" s="2010">
        <v>1861.4789406720006</v>
      </c>
      <c r="X62" s="779"/>
      <c r="Y62" s="2012">
        <v>0</v>
      </c>
      <c r="Z62" s="780">
        <f t="shared" si="34"/>
        <v>5992.478940672001</v>
      </c>
      <c r="AA62" s="2007" t="s">
        <v>801</v>
      </c>
      <c r="AB62" s="2007"/>
      <c r="AC62" s="765"/>
      <c r="AD62" s="781">
        <f t="shared" si="23"/>
        <v>0</v>
      </c>
      <c r="AE62" s="781">
        <f t="shared" si="5"/>
        <v>0</v>
      </c>
      <c r="AF62" s="781">
        <f t="shared" si="24"/>
        <v>0</v>
      </c>
      <c r="AG62" s="781">
        <f t="shared" si="25"/>
        <v>0</v>
      </c>
      <c r="AH62" s="781">
        <f t="shared" si="8"/>
        <v>0</v>
      </c>
      <c r="AI62" s="782">
        <f t="shared" si="26"/>
        <v>0</v>
      </c>
      <c r="AJ62" s="781">
        <f t="shared" si="27"/>
        <v>0</v>
      </c>
      <c r="AK62" s="781">
        <f t="shared" si="11"/>
        <v>0</v>
      </c>
      <c r="AL62" s="781">
        <f t="shared" si="28"/>
        <v>0</v>
      </c>
      <c r="AM62" s="781">
        <f t="shared" si="29"/>
        <v>0</v>
      </c>
      <c r="AN62" s="781">
        <f t="shared" si="14"/>
        <v>0</v>
      </c>
      <c r="AO62" s="781">
        <f t="shared" si="30"/>
        <v>0</v>
      </c>
      <c r="AP62" s="781">
        <f t="shared" si="31"/>
        <v>0</v>
      </c>
      <c r="AQ62" s="781">
        <f t="shared" si="17"/>
        <v>0</v>
      </c>
      <c r="AR62" s="781">
        <f t="shared" si="32"/>
        <v>0</v>
      </c>
      <c r="AS62" s="783">
        <f t="shared" si="19"/>
        <v>0</v>
      </c>
    </row>
    <row r="63" spans="1:45" ht="25.5" x14ac:dyDescent="0.25">
      <c r="A63" s="784"/>
      <c r="B63" s="719">
        <f t="shared" si="22"/>
        <v>51</v>
      </c>
      <c r="C63" s="170" t="str">
        <f t="shared" si="0"/>
        <v>31EA</v>
      </c>
      <c r="D63" s="557"/>
      <c r="E63" s="170"/>
      <c r="F63" s="170">
        <v>31</v>
      </c>
      <c r="G63" s="2007" t="s">
        <v>2800</v>
      </c>
      <c r="H63" s="1926">
        <v>0</v>
      </c>
      <c r="I63" s="2008" t="s">
        <v>732</v>
      </c>
      <c r="J63" s="1926"/>
      <c r="K63" s="1926"/>
      <c r="L63" s="170"/>
      <c r="M63" s="2009">
        <v>180</v>
      </c>
      <c r="N63" s="2010">
        <v>1</v>
      </c>
      <c r="O63" s="773">
        <f t="shared" si="33"/>
        <v>180</v>
      </c>
      <c r="P63" s="2008" t="s">
        <v>39</v>
      </c>
      <c r="Q63" s="2008" t="s">
        <v>39</v>
      </c>
      <c r="R63" s="2011" t="s">
        <v>74</v>
      </c>
      <c r="S63" s="775">
        <f>SUMIF('Data Input sheet'!$B$118:$B$180,R63,'Data Input sheet'!$D$118:$D$180)</f>
        <v>152</v>
      </c>
      <c r="T63" s="2012">
        <f t="shared" si="2"/>
        <v>27360</v>
      </c>
      <c r="U63" s="2013">
        <v>60</v>
      </c>
      <c r="V63" s="778">
        <f t="shared" si="20"/>
        <v>10800</v>
      </c>
      <c r="W63" s="2010">
        <v>250000</v>
      </c>
      <c r="X63" s="779"/>
      <c r="Y63" s="2012">
        <v>0</v>
      </c>
      <c r="Z63" s="780">
        <f t="shared" si="34"/>
        <v>288160</v>
      </c>
      <c r="AA63" s="2007"/>
      <c r="AB63" s="2007"/>
      <c r="AC63" s="765"/>
      <c r="AD63" s="781">
        <f t="shared" si="23"/>
        <v>0</v>
      </c>
      <c r="AE63" s="781">
        <f t="shared" si="5"/>
        <v>0</v>
      </c>
      <c r="AF63" s="781">
        <f t="shared" si="24"/>
        <v>0</v>
      </c>
      <c r="AG63" s="781">
        <f t="shared" si="25"/>
        <v>0</v>
      </c>
      <c r="AH63" s="781">
        <f t="shared" si="8"/>
        <v>0</v>
      </c>
      <c r="AI63" s="782">
        <f t="shared" si="26"/>
        <v>0</v>
      </c>
      <c r="AJ63" s="781">
        <f t="shared" si="27"/>
        <v>0</v>
      </c>
      <c r="AK63" s="781">
        <f t="shared" si="11"/>
        <v>0</v>
      </c>
      <c r="AL63" s="781">
        <f t="shared" si="28"/>
        <v>0</v>
      </c>
      <c r="AM63" s="781">
        <f t="shared" si="29"/>
        <v>0</v>
      </c>
      <c r="AN63" s="781">
        <f t="shared" si="14"/>
        <v>0</v>
      </c>
      <c r="AO63" s="781">
        <f t="shared" si="30"/>
        <v>0</v>
      </c>
      <c r="AP63" s="781">
        <f t="shared" si="31"/>
        <v>0</v>
      </c>
      <c r="AQ63" s="781">
        <f t="shared" si="17"/>
        <v>0</v>
      </c>
      <c r="AR63" s="781">
        <f t="shared" si="32"/>
        <v>0</v>
      </c>
      <c r="AS63" s="783">
        <f t="shared" si="19"/>
        <v>0</v>
      </c>
    </row>
    <row r="64" spans="1:45" ht="15" x14ac:dyDescent="0.25">
      <c r="A64" s="784"/>
      <c r="B64" s="719">
        <f t="shared" si="22"/>
        <v>52</v>
      </c>
      <c r="C64" s="170" t="str">
        <f t="shared" si="0"/>
        <v>31LS</v>
      </c>
      <c r="D64" s="557"/>
      <c r="E64" s="170"/>
      <c r="F64" s="170">
        <v>31</v>
      </c>
      <c r="G64" s="2007" t="s">
        <v>2795</v>
      </c>
      <c r="H64" s="1926">
        <v>0</v>
      </c>
      <c r="I64" s="2008" t="s">
        <v>640</v>
      </c>
      <c r="J64" s="1926"/>
      <c r="K64" s="1926"/>
      <c r="L64" s="170"/>
      <c r="M64" s="2009">
        <v>300</v>
      </c>
      <c r="N64" s="2010">
        <v>1</v>
      </c>
      <c r="O64" s="773">
        <f t="shared" si="33"/>
        <v>300</v>
      </c>
      <c r="P64" s="2008" t="s">
        <v>39</v>
      </c>
      <c r="Q64" s="2008" t="s">
        <v>39</v>
      </c>
      <c r="R64" s="2011" t="s">
        <v>74</v>
      </c>
      <c r="S64" s="775">
        <f>SUMIF('Data Input sheet'!$B$118:$B$180,R64,'Data Input sheet'!$D$118:$D$180)</f>
        <v>152</v>
      </c>
      <c r="T64" s="2012">
        <f t="shared" si="2"/>
        <v>45600</v>
      </c>
      <c r="U64" s="2013">
        <v>50</v>
      </c>
      <c r="V64" s="778">
        <f t="shared" si="20"/>
        <v>15000</v>
      </c>
      <c r="W64" s="2010"/>
      <c r="X64" s="779"/>
      <c r="Y64" s="2012">
        <v>0</v>
      </c>
      <c r="Z64" s="780">
        <f t="shared" si="34"/>
        <v>60600</v>
      </c>
      <c r="AA64" s="2007"/>
      <c r="AB64" s="2007"/>
      <c r="AC64" s="765"/>
      <c r="AD64" s="781">
        <f t="shared" si="23"/>
        <v>0</v>
      </c>
      <c r="AE64" s="781">
        <f t="shared" si="5"/>
        <v>0</v>
      </c>
      <c r="AF64" s="781">
        <f t="shared" si="24"/>
        <v>0</v>
      </c>
      <c r="AG64" s="781">
        <f t="shared" si="25"/>
        <v>0</v>
      </c>
      <c r="AH64" s="781">
        <f t="shared" si="8"/>
        <v>0</v>
      </c>
      <c r="AI64" s="782">
        <f t="shared" si="26"/>
        <v>0</v>
      </c>
      <c r="AJ64" s="781">
        <f t="shared" si="27"/>
        <v>0</v>
      </c>
      <c r="AK64" s="781">
        <f t="shared" si="11"/>
        <v>0</v>
      </c>
      <c r="AL64" s="781">
        <f t="shared" si="28"/>
        <v>0</v>
      </c>
      <c r="AM64" s="781">
        <f t="shared" si="29"/>
        <v>0</v>
      </c>
      <c r="AN64" s="781">
        <f t="shared" si="14"/>
        <v>0</v>
      </c>
      <c r="AO64" s="781">
        <f t="shared" si="30"/>
        <v>0</v>
      </c>
      <c r="AP64" s="781">
        <f t="shared" si="31"/>
        <v>0</v>
      </c>
      <c r="AQ64" s="781">
        <f t="shared" si="17"/>
        <v>0</v>
      </c>
      <c r="AR64" s="781">
        <f t="shared" si="32"/>
        <v>0</v>
      </c>
      <c r="AS64" s="783">
        <f t="shared" si="19"/>
        <v>0</v>
      </c>
    </row>
    <row r="65" spans="1:50" ht="25.5" x14ac:dyDescent="0.25">
      <c r="A65" s="784"/>
      <c r="B65" s="719">
        <f t="shared" si="22"/>
        <v>53</v>
      </c>
      <c r="C65" s="170" t="str">
        <f t="shared" si="0"/>
        <v>31LS</v>
      </c>
      <c r="D65" s="557"/>
      <c r="E65" s="170"/>
      <c r="F65" s="170">
        <v>31</v>
      </c>
      <c r="G65" s="2007" t="s">
        <v>2796</v>
      </c>
      <c r="H65" s="1926"/>
      <c r="I65" s="2008" t="s">
        <v>640</v>
      </c>
      <c r="J65" s="1926"/>
      <c r="K65" s="1926"/>
      <c r="L65" s="170"/>
      <c r="M65" s="2009"/>
      <c r="N65" s="2010">
        <v>1</v>
      </c>
      <c r="O65" s="773">
        <f t="shared" si="33"/>
        <v>0</v>
      </c>
      <c r="P65" s="2008" t="s">
        <v>39</v>
      </c>
      <c r="Q65" s="2008" t="s">
        <v>39</v>
      </c>
      <c r="R65" s="2011" t="s">
        <v>74</v>
      </c>
      <c r="S65" s="775">
        <f>SUMIF('Data Input sheet'!$B$118:$B$180,R65,'Data Input sheet'!$D$118:$D$180)</f>
        <v>152</v>
      </c>
      <c r="T65" s="2012">
        <f t="shared" si="2"/>
        <v>0</v>
      </c>
      <c r="U65" s="2013">
        <v>0</v>
      </c>
      <c r="V65" s="778">
        <f t="shared" si="20"/>
        <v>0</v>
      </c>
      <c r="W65" s="2010"/>
      <c r="X65" s="779"/>
      <c r="Y65" s="2012">
        <v>0</v>
      </c>
      <c r="Z65" s="780">
        <f t="shared" si="34"/>
        <v>0</v>
      </c>
      <c r="AA65" s="2007"/>
      <c r="AB65" s="2007"/>
      <c r="AC65" s="765"/>
      <c r="AD65" s="781">
        <f t="shared" si="23"/>
        <v>0</v>
      </c>
      <c r="AE65" s="781">
        <f t="shared" si="5"/>
        <v>0</v>
      </c>
      <c r="AF65" s="781">
        <f t="shared" si="24"/>
        <v>0</v>
      </c>
      <c r="AG65" s="781">
        <f t="shared" si="25"/>
        <v>0</v>
      </c>
      <c r="AH65" s="781">
        <f t="shared" si="8"/>
        <v>0</v>
      </c>
      <c r="AI65" s="782">
        <f t="shared" si="26"/>
        <v>0</v>
      </c>
      <c r="AJ65" s="781">
        <f t="shared" si="27"/>
        <v>0</v>
      </c>
      <c r="AK65" s="781">
        <f t="shared" si="11"/>
        <v>0</v>
      </c>
      <c r="AL65" s="781">
        <f t="shared" si="28"/>
        <v>0</v>
      </c>
      <c r="AM65" s="781">
        <f t="shared" si="29"/>
        <v>0</v>
      </c>
      <c r="AN65" s="781">
        <f t="shared" si="14"/>
        <v>0</v>
      </c>
      <c r="AO65" s="781">
        <f t="shared" si="30"/>
        <v>0</v>
      </c>
      <c r="AP65" s="781">
        <f t="shared" si="31"/>
        <v>0</v>
      </c>
      <c r="AQ65" s="781">
        <f t="shared" si="17"/>
        <v>0</v>
      </c>
      <c r="AR65" s="781">
        <f t="shared" si="32"/>
        <v>0</v>
      </c>
      <c r="AS65" s="783">
        <f t="shared" si="19"/>
        <v>0</v>
      </c>
    </row>
    <row r="66" spans="1:50" ht="15" x14ac:dyDescent="0.25">
      <c r="A66" s="784"/>
      <c r="B66" s="719">
        <f t="shared" si="22"/>
        <v>54</v>
      </c>
      <c r="C66" s="170" t="str">
        <f t="shared" si="0"/>
        <v>31EA</v>
      </c>
      <c r="D66" s="557"/>
      <c r="E66" s="170"/>
      <c r="F66" s="170">
        <v>31</v>
      </c>
      <c r="G66" s="2007" t="s">
        <v>2797</v>
      </c>
      <c r="H66" s="1926">
        <v>0</v>
      </c>
      <c r="I66" s="2008" t="s">
        <v>732</v>
      </c>
      <c r="J66" s="1926"/>
      <c r="K66" s="1926"/>
      <c r="L66" s="170"/>
      <c r="M66" s="2009">
        <v>3</v>
      </c>
      <c r="N66" s="2010">
        <v>1</v>
      </c>
      <c r="O66" s="773">
        <f t="shared" si="33"/>
        <v>3</v>
      </c>
      <c r="P66" s="2008" t="s">
        <v>39</v>
      </c>
      <c r="Q66" s="2008" t="s">
        <v>39</v>
      </c>
      <c r="R66" s="2011" t="s">
        <v>74</v>
      </c>
      <c r="S66" s="775">
        <f>SUMIF('Data Input sheet'!$B$118:$B$180,R66,'Data Input sheet'!$D$118:$D$180)</f>
        <v>152</v>
      </c>
      <c r="T66" s="2012">
        <f t="shared" si="2"/>
        <v>456</v>
      </c>
      <c r="U66" s="2013">
        <v>25</v>
      </c>
      <c r="V66" s="778">
        <f t="shared" si="20"/>
        <v>75</v>
      </c>
      <c r="W66" s="2010">
        <v>110</v>
      </c>
      <c r="X66" s="779"/>
      <c r="Y66" s="2012">
        <v>0</v>
      </c>
      <c r="Z66" s="780">
        <f t="shared" si="34"/>
        <v>641</v>
      </c>
      <c r="AA66" s="2007"/>
      <c r="AB66" s="2007"/>
      <c r="AC66" s="765"/>
      <c r="AD66" s="781">
        <f t="shared" si="23"/>
        <v>0</v>
      </c>
      <c r="AE66" s="781">
        <f t="shared" si="5"/>
        <v>0</v>
      </c>
      <c r="AF66" s="781">
        <f t="shared" si="24"/>
        <v>0</v>
      </c>
      <c r="AG66" s="781">
        <f t="shared" si="25"/>
        <v>0</v>
      </c>
      <c r="AH66" s="781">
        <f t="shared" si="8"/>
        <v>0</v>
      </c>
      <c r="AI66" s="782">
        <f t="shared" si="26"/>
        <v>0</v>
      </c>
      <c r="AJ66" s="781">
        <f t="shared" si="27"/>
        <v>0</v>
      </c>
      <c r="AK66" s="781">
        <f t="shared" si="11"/>
        <v>0</v>
      </c>
      <c r="AL66" s="781">
        <f t="shared" si="28"/>
        <v>0</v>
      </c>
      <c r="AM66" s="781">
        <f t="shared" si="29"/>
        <v>0</v>
      </c>
      <c r="AN66" s="781">
        <f t="shared" si="14"/>
        <v>0</v>
      </c>
      <c r="AO66" s="781">
        <f t="shared" si="30"/>
        <v>0</v>
      </c>
      <c r="AP66" s="781">
        <f t="shared" si="31"/>
        <v>0</v>
      </c>
      <c r="AQ66" s="781">
        <f t="shared" si="17"/>
        <v>0</v>
      </c>
      <c r="AR66" s="781">
        <f t="shared" si="32"/>
        <v>0</v>
      </c>
      <c r="AS66" s="783">
        <f t="shared" si="19"/>
        <v>0</v>
      </c>
    </row>
    <row r="67" spans="1:50" ht="25.5" x14ac:dyDescent="0.25">
      <c r="A67" s="784"/>
      <c r="B67" s="719">
        <f t="shared" si="22"/>
        <v>55</v>
      </c>
      <c r="C67" s="170" t="str">
        <f t="shared" si="0"/>
        <v>31LS</v>
      </c>
      <c r="D67" s="557"/>
      <c r="E67" s="170"/>
      <c r="F67" s="170">
        <v>31</v>
      </c>
      <c r="G67" s="2007" t="s">
        <v>2798</v>
      </c>
      <c r="H67" s="1926">
        <v>0</v>
      </c>
      <c r="I67" s="2008" t="s">
        <v>640</v>
      </c>
      <c r="J67" s="1926"/>
      <c r="K67" s="1926"/>
      <c r="L67" s="170"/>
      <c r="M67" s="2009">
        <v>100</v>
      </c>
      <c r="N67" s="2010">
        <v>1</v>
      </c>
      <c r="O67" s="773">
        <f t="shared" si="33"/>
        <v>100</v>
      </c>
      <c r="P67" s="2008" t="s">
        <v>39</v>
      </c>
      <c r="Q67" s="2008" t="s">
        <v>39</v>
      </c>
      <c r="R67" s="2011" t="s">
        <v>74</v>
      </c>
      <c r="S67" s="775">
        <f>SUMIF('Data Input sheet'!$B$118:$B$180,R67,'Data Input sheet'!$D$118:$D$180)</f>
        <v>152</v>
      </c>
      <c r="T67" s="2012">
        <f t="shared" si="2"/>
        <v>15200</v>
      </c>
      <c r="U67" s="2013">
        <v>25</v>
      </c>
      <c r="V67" s="778">
        <f t="shared" si="20"/>
        <v>2500</v>
      </c>
      <c r="W67" s="2010">
        <v>5000</v>
      </c>
      <c r="X67" s="779"/>
      <c r="Y67" s="2012">
        <v>0</v>
      </c>
      <c r="Z67" s="780">
        <f t="shared" si="34"/>
        <v>22700</v>
      </c>
      <c r="AA67" s="2007"/>
      <c r="AB67" s="2007"/>
      <c r="AC67" s="765"/>
      <c r="AD67" s="781">
        <f t="shared" si="23"/>
        <v>0</v>
      </c>
      <c r="AE67" s="781">
        <f t="shared" si="5"/>
        <v>0</v>
      </c>
      <c r="AF67" s="781">
        <f t="shared" si="24"/>
        <v>0</v>
      </c>
      <c r="AG67" s="781">
        <f t="shared" si="25"/>
        <v>0</v>
      </c>
      <c r="AH67" s="781">
        <f t="shared" si="8"/>
        <v>0</v>
      </c>
      <c r="AI67" s="782">
        <f t="shared" si="26"/>
        <v>0</v>
      </c>
      <c r="AJ67" s="781">
        <f t="shared" si="27"/>
        <v>0</v>
      </c>
      <c r="AK67" s="781">
        <f t="shared" si="11"/>
        <v>0</v>
      </c>
      <c r="AL67" s="781">
        <f t="shared" si="28"/>
        <v>0</v>
      </c>
      <c r="AM67" s="781">
        <f t="shared" si="29"/>
        <v>0</v>
      </c>
      <c r="AN67" s="781">
        <f t="shared" si="14"/>
        <v>0</v>
      </c>
      <c r="AO67" s="781">
        <f t="shared" si="30"/>
        <v>0</v>
      </c>
      <c r="AP67" s="781">
        <f t="shared" si="31"/>
        <v>0</v>
      </c>
      <c r="AQ67" s="781">
        <f t="shared" si="17"/>
        <v>0</v>
      </c>
      <c r="AR67" s="781">
        <f t="shared" si="32"/>
        <v>0</v>
      </c>
      <c r="AS67" s="783">
        <f t="shared" si="19"/>
        <v>0</v>
      </c>
    </row>
    <row r="68" spans="1:50" ht="15" x14ac:dyDescent="0.25">
      <c r="A68" s="784"/>
      <c r="B68" s="719">
        <f t="shared" si="22"/>
        <v>56</v>
      </c>
      <c r="C68" s="170" t="str">
        <f t="shared" si="0"/>
        <v>31</v>
      </c>
      <c r="D68" s="557"/>
      <c r="E68" s="170"/>
      <c r="F68" s="170">
        <v>31</v>
      </c>
      <c r="G68" s="2007"/>
      <c r="H68" s="1926"/>
      <c r="I68" s="2008"/>
      <c r="J68" s="1926"/>
      <c r="K68" s="1926"/>
      <c r="L68" s="170"/>
      <c r="M68" s="2009"/>
      <c r="N68" s="2010">
        <v>1</v>
      </c>
      <c r="O68" s="773">
        <f t="shared" si="33"/>
        <v>0</v>
      </c>
      <c r="P68" s="2008" t="s">
        <v>39</v>
      </c>
      <c r="Q68" s="2008" t="s">
        <v>39</v>
      </c>
      <c r="R68" s="2011" t="s">
        <v>74</v>
      </c>
      <c r="S68" s="775">
        <f>SUMIF('Data Input sheet'!$B$118:$B$180,R68,'Data Input sheet'!$D$118:$D$180)</f>
        <v>152</v>
      </c>
      <c r="T68" s="2012">
        <f t="shared" si="2"/>
        <v>0</v>
      </c>
      <c r="U68" s="2013">
        <v>0</v>
      </c>
      <c r="V68" s="778">
        <f t="shared" si="20"/>
        <v>0</v>
      </c>
      <c r="W68" s="2010"/>
      <c r="X68" s="779"/>
      <c r="Y68" s="2012">
        <v>0</v>
      </c>
      <c r="Z68" s="780">
        <f t="shared" si="34"/>
        <v>0</v>
      </c>
      <c r="AA68" s="2007"/>
      <c r="AB68" s="2007"/>
      <c r="AC68" s="765"/>
      <c r="AD68" s="781">
        <f t="shared" si="23"/>
        <v>0</v>
      </c>
      <c r="AE68" s="781">
        <f t="shared" si="5"/>
        <v>0</v>
      </c>
      <c r="AF68" s="781">
        <f t="shared" si="24"/>
        <v>0</v>
      </c>
      <c r="AG68" s="781">
        <f t="shared" si="25"/>
        <v>0</v>
      </c>
      <c r="AH68" s="781">
        <f t="shared" si="8"/>
        <v>0</v>
      </c>
      <c r="AI68" s="782">
        <f t="shared" si="26"/>
        <v>0</v>
      </c>
      <c r="AJ68" s="781">
        <f t="shared" si="27"/>
        <v>0</v>
      </c>
      <c r="AK68" s="781">
        <f t="shared" si="11"/>
        <v>0</v>
      </c>
      <c r="AL68" s="781">
        <f t="shared" si="28"/>
        <v>0</v>
      </c>
      <c r="AM68" s="781">
        <f t="shared" si="29"/>
        <v>0</v>
      </c>
      <c r="AN68" s="781">
        <f t="shared" si="14"/>
        <v>0</v>
      </c>
      <c r="AO68" s="781">
        <f t="shared" si="30"/>
        <v>0</v>
      </c>
      <c r="AP68" s="781">
        <f t="shared" si="31"/>
        <v>0</v>
      </c>
      <c r="AQ68" s="781">
        <f t="shared" si="17"/>
        <v>0</v>
      </c>
      <c r="AR68" s="781">
        <f t="shared" si="32"/>
        <v>0</v>
      </c>
      <c r="AS68" s="783">
        <f t="shared" si="19"/>
        <v>0</v>
      </c>
    </row>
    <row r="69" spans="1:50" ht="15" x14ac:dyDescent="0.25">
      <c r="A69" s="784"/>
      <c r="B69" s="719">
        <f t="shared" si="22"/>
        <v>57</v>
      </c>
      <c r="C69" s="170" t="str">
        <f t="shared" si="0"/>
        <v>31</v>
      </c>
      <c r="D69" s="557"/>
      <c r="E69" s="170"/>
      <c r="F69" s="170">
        <v>31</v>
      </c>
      <c r="G69" s="2007"/>
      <c r="H69" s="1926"/>
      <c r="I69" s="2008"/>
      <c r="J69" s="1926"/>
      <c r="K69" s="1926"/>
      <c r="L69" s="170"/>
      <c r="M69" s="2009">
        <v>0</v>
      </c>
      <c r="N69" s="2010">
        <v>1</v>
      </c>
      <c r="O69" s="773">
        <f t="shared" si="33"/>
        <v>0</v>
      </c>
      <c r="P69" s="2008" t="s">
        <v>39</v>
      </c>
      <c r="Q69" s="2008" t="s">
        <v>39</v>
      </c>
      <c r="R69" s="2011" t="s">
        <v>74</v>
      </c>
      <c r="S69" s="775">
        <f>SUMIF('Data Input sheet'!$B$118:$B$180,R69,'Data Input sheet'!$D$118:$D$180)</f>
        <v>152</v>
      </c>
      <c r="T69" s="2012">
        <f t="shared" si="2"/>
        <v>0</v>
      </c>
      <c r="U69" s="2013">
        <v>0</v>
      </c>
      <c r="V69" s="778">
        <f t="shared" si="20"/>
        <v>0</v>
      </c>
      <c r="W69" s="2010"/>
      <c r="X69" s="779"/>
      <c r="Y69" s="2012">
        <v>0</v>
      </c>
      <c r="Z69" s="780">
        <f t="shared" si="34"/>
        <v>0</v>
      </c>
      <c r="AA69" s="2007"/>
      <c r="AB69" s="2007"/>
      <c r="AC69" s="765"/>
      <c r="AD69" s="781">
        <f t="shared" si="23"/>
        <v>0</v>
      </c>
      <c r="AE69" s="781">
        <f t="shared" si="5"/>
        <v>0</v>
      </c>
      <c r="AF69" s="781">
        <f t="shared" si="24"/>
        <v>0</v>
      </c>
      <c r="AG69" s="781">
        <f t="shared" si="25"/>
        <v>0</v>
      </c>
      <c r="AH69" s="781">
        <f t="shared" si="8"/>
        <v>0</v>
      </c>
      <c r="AI69" s="782">
        <f t="shared" si="26"/>
        <v>0</v>
      </c>
      <c r="AJ69" s="781">
        <f t="shared" si="27"/>
        <v>0</v>
      </c>
      <c r="AK69" s="781">
        <f t="shared" si="11"/>
        <v>0</v>
      </c>
      <c r="AL69" s="781">
        <f t="shared" si="28"/>
        <v>0</v>
      </c>
      <c r="AM69" s="781">
        <f t="shared" si="29"/>
        <v>0</v>
      </c>
      <c r="AN69" s="781">
        <f t="shared" si="14"/>
        <v>0</v>
      </c>
      <c r="AO69" s="781">
        <f t="shared" si="30"/>
        <v>0</v>
      </c>
      <c r="AP69" s="781">
        <f t="shared" si="31"/>
        <v>0</v>
      </c>
      <c r="AQ69" s="781">
        <f t="shared" si="17"/>
        <v>0</v>
      </c>
      <c r="AR69" s="781">
        <f t="shared" si="32"/>
        <v>0</v>
      </c>
      <c r="AS69" s="783">
        <f t="shared" si="19"/>
        <v>0</v>
      </c>
    </row>
    <row r="70" spans="1:50" ht="15" x14ac:dyDescent="0.25">
      <c r="A70" s="784"/>
      <c r="B70" s="719">
        <f t="shared" si="22"/>
        <v>58</v>
      </c>
      <c r="C70" s="170" t="str">
        <f t="shared" si="0"/>
        <v>31</v>
      </c>
      <c r="D70" s="557"/>
      <c r="E70" s="170"/>
      <c r="F70" s="170">
        <v>31</v>
      </c>
      <c r="G70" s="2007"/>
      <c r="H70" s="1926"/>
      <c r="I70" s="2008"/>
      <c r="J70" s="1926"/>
      <c r="K70" s="1926"/>
      <c r="L70" s="170"/>
      <c r="M70" s="2009">
        <v>0</v>
      </c>
      <c r="N70" s="2010">
        <v>1</v>
      </c>
      <c r="O70" s="773">
        <f t="shared" si="33"/>
        <v>0</v>
      </c>
      <c r="P70" s="2008" t="s">
        <v>39</v>
      </c>
      <c r="Q70" s="2008" t="s">
        <v>39</v>
      </c>
      <c r="R70" s="2011" t="s">
        <v>74</v>
      </c>
      <c r="S70" s="775">
        <f>SUMIF('Data Input sheet'!$B$118:$B$180,R70,'Data Input sheet'!$D$118:$D$180)</f>
        <v>152</v>
      </c>
      <c r="T70" s="2012">
        <f t="shared" si="2"/>
        <v>0</v>
      </c>
      <c r="U70" s="2013">
        <v>0</v>
      </c>
      <c r="V70" s="778">
        <f t="shared" si="20"/>
        <v>0</v>
      </c>
      <c r="W70" s="2010"/>
      <c r="X70" s="779"/>
      <c r="Y70" s="2012">
        <v>0</v>
      </c>
      <c r="Z70" s="780">
        <f t="shared" si="34"/>
        <v>0</v>
      </c>
      <c r="AA70" s="2007"/>
      <c r="AB70" s="2007"/>
      <c r="AC70" s="765"/>
      <c r="AD70" s="781">
        <f t="shared" si="23"/>
        <v>0</v>
      </c>
      <c r="AE70" s="781">
        <f t="shared" si="5"/>
        <v>0</v>
      </c>
      <c r="AF70" s="781">
        <f t="shared" si="24"/>
        <v>0</v>
      </c>
      <c r="AG70" s="781">
        <f t="shared" si="25"/>
        <v>0</v>
      </c>
      <c r="AH70" s="781">
        <f t="shared" si="8"/>
        <v>0</v>
      </c>
      <c r="AI70" s="782">
        <f t="shared" si="26"/>
        <v>0</v>
      </c>
      <c r="AJ70" s="781">
        <f t="shared" si="27"/>
        <v>0</v>
      </c>
      <c r="AK70" s="781">
        <f t="shared" si="11"/>
        <v>0</v>
      </c>
      <c r="AL70" s="781">
        <f t="shared" si="28"/>
        <v>0</v>
      </c>
      <c r="AM70" s="781">
        <f t="shared" si="29"/>
        <v>0</v>
      </c>
      <c r="AN70" s="781">
        <f t="shared" si="14"/>
        <v>0</v>
      </c>
      <c r="AO70" s="781">
        <f t="shared" si="30"/>
        <v>0</v>
      </c>
      <c r="AP70" s="781">
        <f t="shared" si="31"/>
        <v>0</v>
      </c>
      <c r="AQ70" s="781">
        <f t="shared" si="17"/>
        <v>0</v>
      </c>
      <c r="AR70" s="781">
        <f t="shared" si="32"/>
        <v>0</v>
      </c>
      <c r="AS70" s="783">
        <f t="shared" si="19"/>
        <v>0</v>
      </c>
    </row>
    <row r="71" spans="1:50" ht="15" x14ac:dyDescent="0.25">
      <c r="A71" s="784"/>
      <c r="B71" s="719">
        <f t="shared" si="22"/>
        <v>59</v>
      </c>
      <c r="C71" s="170" t="str">
        <f t="shared" si="0"/>
        <v>31</v>
      </c>
      <c r="D71" s="557"/>
      <c r="E71" s="170"/>
      <c r="F71" s="170">
        <v>31</v>
      </c>
      <c r="G71" s="2007"/>
      <c r="H71" s="1926"/>
      <c r="I71" s="2008"/>
      <c r="J71" s="1926"/>
      <c r="K71" s="1926"/>
      <c r="L71" s="170"/>
      <c r="M71" s="2009">
        <v>0</v>
      </c>
      <c r="N71" s="2010">
        <v>1</v>
      </c>
      <c r="O71" s="773">
        <f t="shared" si="33"/>
        <v>0</v>
      </c>
      <c r="P71" s="2008" t="s">
        <v>39</v>
      </c>
      <c r="Q71" s="2008" t="s">
        <v>39</v>
      </c>
      <c r="R71" s="2011" t="s">
        <v>74</v>
      </c>
      <c r="S71" s="775">
        <f>SUMIF('Data Input sheet'!$B$118:$B$180,R71,'Data Input sheet'!$D$118:$D$180)</f>
        <v>152</v>
      </c>
      <c r="T71" s="2012">
        <f t="shared" si="2"/>
        <v>0</v>
      </c>
      <c r="U71" s="2013">
        <v>0</v>
      </c>
      <c r="V71" s="778">
        <f t="shared" si="20"/>
        <v>0</v>
      </c>
      <c r="W71" s="2010"/>
      <c r="X71" s="779"/>
      <c r="Y71" s="2012">
        <v>0</v>
      </c>
      <c r="Z71" s="780">
        <f t="shared" si="34"/>
        <v>0</v>
      </c>
      <c r="AA71" s="2007"/>
      <c r="AB71" s="2007"/>
      <c r="AC71" s="765"/>
      <c r="AD71" s="781">
        <f t="shared" si="23"/>
        <v>0</v>
      </c>
      <c r="AE71" s="781">
        <f t="shared" si="5"/>
        <v>0</v>
      </c>
      <c r="AF71" s="781">
        <f t="shared" si="24"/>
        <v>0</v>
      </c>
      <c r="AG71" s="781">
        <f t="shared" si="25"/>
        <v>0</v>
      </c>
      <c r="AH71" s="781">
        <f t="shared" si="8"/>
        <v>0</v>
      </c>
      <c r="AI71" s="782">
        <f t="shared" si="26"/>
        <v>0</v>
      </c>
      <c r="AJ71" s="781">
        <f t="shared" si="27"/>
        <v>0</v>
      </c>
      <c r="AK71" s="781">
        <f t="shared" si="11"/>
        <v>0</v>
      </c>
      <c r="AL71" s="781">
        <f t="shared" si="28"/>
        <v>0</v>
      </c>
      <c r="AM71" s="781">
        <f t="shared" si="29"/>
        <v>0</v>
      </c>
      <c r="AN71" s="781">
        <f t="shared" si="14"/>
        <v>0</v>
      </c>
      <c r="AO71" s="781">
        <f t="shared" si="30"/>
        <v>0</v>
      </c>
      <c r="AP71" s="781">
        <f t="shared" si="31"/>
        <v>0</v>
      </c>
      <c r="AQ71" s="781">
        <f t="shared" si="17"/>
        <v>0</v>
      </c>
      <c r="AR71" s="781">
        <f t="shared" si="32"/>
        <v>0</v>
      </c>
      <c r="AS71" s="783">
        <f t="shared" si="19"/>
        <v>0</v>
      </c>
    </row>
    <row r="72" spans="1:50" ht="15" x14ac:dyDescent="0.25">
      <c r="A72" s="784"/>
      <c r="B72" s="719">
        <f t="shared" si="22"/>
        <v>60</v>
      </c>
      <c r="C72" s="170" t="str">
        <f t="shared" si="0"/>
        <v>31</v>
      </c>
      <c r="D72" s="557"/>
      <c r="E72" s="170"/>
      <c r="F72" s="170">
        <v>31</v>
      </c>
      <c r="G72" s="2007"/>
      <c r="H72" s="1926"/>
      <c r="I72" s="2008"/>
      <c r="J72" s="1926"/>
      <c r="K72" s="1926"/>
      <c r="L72" s="170"/>
      <c r="M72" s="2009">
        <v>0</v>
      </c>
      <c r="N72" s="2010">
        <v>1</v>
      </c>
      <c r="O72" s="773">
        <f t="shared" si="33"/>
        <v>0</v>
      </c>
      <c r="P72" s="2008" t="s">
        <v>39</v>
      </c>
      <c r="Q72" s="2008" t="s">
        <v>39</v>
      </c>
      <c r="R72" s="2011" t="s">
        <v>74</v>
      </c>
      <c r="S72" s="775">
        <f>SUMIF('Data Input sheet'!$B$118:$B$180,R72,'Data Input sheet'!$D$118:$D$180)</f>
        <v>152</v>
      </c>
      <c r="T72" s="2012">
        <f t="shared" si="2"/>
        <v>0</v>
      </c>
      <c r="U72" s="2013">
        <v>0</v>
      </c>
      <c r="V72" s="778">
        <f t="shared" si="20"/>
        <v>0</v>
      </c>
      <c r="W72" s="2010"/>
      <c r="X72" s="779"/>
      <c r="Y72" s="2012">
        <v>0</v>
      </c>
      <c r="Z72" s="780">
        <f t="shared" si="34"/>
        <v>0</v>
      </c>
      <c r="AA72" s="2007"/>
      <c r="AB72" s="2007"/>
      <c r="AC72" s="765"/>
      <c r="AD72" s="781">
        <f t="shared" si="23"/>
        <v>0</v>
      </c>
      <c r="AE72" s="781">
        <f t="shared" si="5"/>
        <v>0</v>
      </c>
      <c r="AF72" s="781">
        <f t="shared" si="24"/>
        <v>0</v>
      </c>
      <c r="AG72" s="781">
        <f t="shared" si="25"/>
        <v>0</v>
      </c>
      <c r="AH72" s="781">
        <f t="shared" si="8"/>
        <v>0</v>
      </c>
      <c r="AI72" s="782">
        <f t="shared" si="26"/>
        <v>0</v>
      </c>
      <c r="AJ72" s="781">
        <f t="shared" si="27"/>
        <v>0</v>
      </c>
      <c r="AK72" s="781">
        <f t="shared" si="11"/>
        <v>0</v>
      </c>
      <c r="AL72" s="781">
        <f t="shared" si="28"/>
        <v>0</v>
      </c>
      <c r="AM72" s="781">
        <f t="shared" si="29"/>
        <v>0</v>
      </c>
      <c r="AN72" s="781">
        <f t="shared" si="14"/>
        <v>0</v>
      </c>
      <c r="AO72" s="781">
        <f t="shared" si="30"/>
        <v>0</v>
      </c>
      <c r="AP72" s="781">
        <f t="shared" si="31"/>
        <v>0</v>
      </c>
      <c r="AQ72" s="781">
        <f t="shared" si="17"/>
        <v>0</v>
      </c>
      <c r="AR72" s="781">
        <f t="shared" si="32"/>
        <v>0</v>
      </c>
      <c r="AS72" s="783">
        <f t="shared" si="19"/>
        <v>0</v>
      </c>
    </row>
    <row r="73" spans="1:50" ht="15" x14ac:dyDescent="0.25">
      <c r="A73" s="784"/>
      <c r="B73" s="719">
        <f t="shared" si="22"/>
        <v>61</v>
      </c>
      <c r="C73" s="170" t="str">
        <f t="shared" ref="C73:C81" si="75">+F73&amp;I73</f>
        <v>31</v>
      </c>
      <c r="D73" s="557"/>
      <c r="E73" s="170"/>
      <c r="F73" s="170">
        <v>31</v>
      </c>
      <c r="G73" s="2007"/>
      <c r="H73" s="1926"/>
      <c r="I73" s="2008"/>
      <c r="J73" s="1926"/>
      <c r="K73" s="1926"/>
      <c r="L73" s="170"/>
      <c r="M73" s="2009">
        <v>0</v>
      </c>
      <c r="N73" s="2010">
        <v>1</v>
      </c>
      <c r="O73" s="773">
        <f t="shared" si="33"/>
        <v>0</v>
      </c>
      <c r="P73" s="2008" t="s">
        <v>39</v>
      </c>
      <c r="Q73" s="2008" t="s">
        <v>39</v>
      </c>
      <c r="R73" s="2011" t="s">
        <v>74</v>
      </c>
      <c r="S73" s="775">
        <f>SUMIF('Data Input sheet'!$B$118:$B$180,R73,'Data Input sheet'!$D$118:$D$180)</f>
        <v>152</v>
      </c>
      <c r="T73" s="2012">
        <f t="shared" si="2"/>
        <v>0</v>
      </c>
      <c r="U73" s="2013">
        <v>0</v>
      </c>
      <c r="V73" s="778">
        <f t="shared" si="20"/>
        <v>0</v>
      </c>
      <c r="W73" s="2010"/>
      <c r="X73" s="779"/>
      <c r="Y73" s="2012">
        <v>0</v>
      </c>
      <c r="Z73" s="780">
        <f t="shared" si="34"/>
        <v>0</v>
      </c>
      <c r="AA73" s="2007"/>
      <c r="AB73" s="2007"/>
      <c r="AC73" s="765"/>
      <c r="AD73" s="781">
        <f t="shared" si="23"/>
        <v>0</v>
      </c>
      <c r="AE73" s="781">
        <f t="shared" si="5"/>
        <v>0</v>
      </c>
      <c r="AF73" s="781">
        <f t="shared" si="24"/>
        <v>0</v>
      </c>
      <c r="AG73" s="781">
        <f t="shared" si="25"/>
        <v>0</v>
      </c>
      <c r="AH73" s="781">
        <f t="shared" si="8"/>
        <v>0</v>
      </c>
      <c r="AI73" s="782">
        <f t="shared" si="26"/>
        <v>0</v>
      </c>
      <c r="AJ73" s="781">
        <f t="shared" si="27"/>
        <v>0</v>
      </c>
      <c r="AK73" s="781">
        <f t="shared" si="11"/>
        <v>0</v>
      </c>
      <c r="AL73" s="781">
        <f t="shared" si="28"/>
        <v>0</v>
      </c>
      <c r="AM73" s="781">
        <f t="shared" si="29"/>
        <v>0</v>
      </c>
      <c r="AN73" s="781">
        <f t="shared" si="14"/>
        <v>0</v>
      </c>
      <c r="AO73" s="781">
        <f t="shared" si="30"/>
        <v>0</v>
      </c>
      <c r="AP73" s="781">
        <f t="shared" si="31"/>
        <v>0</v>
      </c>
      <c r="AQ73" s="781">
        <f t="shared" si="17"/>
        <v>0</v>
      </c>
      <c r="AR73" s="781">
        <f t="shared" si="32"/>
        <v>0</v>
      </c>
      <c r="AS73" s="783">
        <f t="shared" si="19"/>
        <v>0</v>
      </c>
    </row>
    <row r="74" spans="1:50" ht="15" x14ac:dyDescent="0.25">
      <c r="A74" s="784"/>
      <c r="B74" s="719">
        <f t="shared" si="22"/>
        <v>62</v>
      </c>
      <c r="C74" s="170" t="str">
        <f t="shared" si="75"/>
        <v>31</v>
      </c>
      <c r="D74" s="557"/>
      <c r="E74" s="170"/>
      <c r="F74" s="170">
        <v>31</v>
      </c>
      <c r="G74" s="2007"/>
      <c r="H74" s="1926"/>
      <c r="I74" s="2008"/>
      <c r="J74" s="1926"/>
      <c r="K74" s="1926"/>
      <c r="L74" s="170"/>
      <c r="M74" s="2009">
        <v>0</v>
      </c>
      <c r="N74" s="2010">
        <v>1</v>
      </c>
      <c r="O74" s="773">
        <f t="shared" si="33"/>
        <v>0</v>
      </c>
      <c r="P74" s="2008" t="s">
        <v>39</v>
      </c>
      <c r="Q74" s="2008" t="s">
        <v>39</v>
      </c>
      <c r="R74" s="2011" t="s">
        <v>74</v>
      </c>
      <c r="S74" s="775">
        <f>SUMIF('Data Input sheet'!$B$118:$B$180,R74,'Data Input sheet'!$D$118:$D$180)</f>
        <v>152</v>
      </c>
      <c r="T74" s="2012">
        <f t="shared" si="2"/>
        <v>0</v>
      </c>
      <c r="U74" s="2013">
        <v>0</v>
      </c>
      <c r="V74" s="778">
        <f t="shared" si="20"/>
        <v>0</v>
      </c>
      <c r="W74" s="2010"/>
      <c r="X74" s="779"/>
      <c r="Y74" s="2012">
        <v>0</v>
      </c>
      <c r="Z74" s="780">
        <f t="shared" si="34"/>
        <v>0</v>
      </c>
      <c r="AA74" s="2007"/>
      <c r="AB74" s="2007"/>
      <c r="AC74" s="765"/>
      <c r="AD74" s="781">
        <f t="shared" si="23"/>
        <v>0</v>
      </c>
      <c r="AE74" s="781">
        <f t="shared" si="5"/>
        <v>0</v>
      </c>
      <c r="AF74" s="781">
        <f t="shared" si="24"/>
        <v>0</v>
      </c>
      <c r="AG74" s="781">
        <f t="shared" si="25"/>
        <v>0</v>
      </c>
      <c r="AH74" s="781">
        <f t="shared" si="8"/>
        <v>0</v>
      </c>
      <c r="AI74" s="782">
        <f t="shared" si="26"/>
        <v>0</v>
      </c>
      <c r="AJ74" s="781">
        <f t="shared" si="27"/>
        <v>0</v>
      </c>
      <c r="AK74" s="781">
        <f t="shared" si="11"/>
        <v>0</v>
      </c>
      <c r="AL74" s="781">
        <f t="shared" si="28"/>
        <v>0</v>
      </c>
      <c r="AM74" s="781">
        <f t="shared" si="29"/>
        <v>0</v>
      </c>
      <c r="AN74" s="781">
        <f t="shared" si="14"/>
        <v>0</v>
      </c>
      <c r="AO74" s="781">
        <f t="shared" si="30"/>
        <v>0</v>
      </c>
      <c r="AP74" s="781">
        <f t="shared" si="31"/>
        <v>0</v>
      </c>
      <c r="AQ74" s="781">
        <f t="shared" si="17"/>
        <v>0</v>
      </c>
      <c r="AR74" s="781">
        <f t="shared" si="32"/>
        <v>0</v>
      </c>
      <c r="AS74" s="783">
        <f t="shared" si="19"/>
        <v>0</v>
      </c>
    </row>
    <row r="75" spans="1:50" ht="15" x14ac:dyDescent="0.25">
      <c r="A75" s="784"/>
      <c r="B75" s="719">
        <f t="shared" si="22"/>
        <v>63</v>
      </c>
      <c r="C75" s="170" t="str">
        <f t="shared" si="75"/>
        <v/>
      </c>
      <c r="D75" s="557"/>
      <c r="E75" s="170"/>
      <c r="F75" s="170"/>
      <c r="G75" s="787"/>
      <c r="H75" s="784"/>
      <c r="I75" s="784"/>
      <c r="J75" s="784"/>
      <c r="K75" s="784"/>
      <c r="L75" s="170"/>
      <c r="M75" s="773"/>
      <c r="N75" s="773"/>
      <c r="O75" s="773"/>
      <c r="P75" s="788"/>
      <c r="Q75" s="788"/>
      <c r="R75" s="773"/>
      <c r="S75" s="773"/>
      <c r="T75" s="779"/>
      <c r="U75" s="789">
        <v>0</v>
      </c>
      <c r="V75" s="778"/>
      <c r="W75" s="778"/>
      <c r="X75" s="779"/>
      <c r="Y75" s="779"/>
      <c r="Z75" s="780"/>
      <c r="AA75" s="787" t="s">
        <v>96</v>
      </c>
      <c r="AB75" s="787"/>
      <c r="AC75" s="765"/>
      <c r="AD75" s="781">
        <f t="shared" si="23"/>
        <v>0</v>
      </c>
      <c r="AE75" s="781">
        <f t="shared" si="5"/>
        <v>0</v>
      </c>
      <c r="AF75" s="781">
        <f t="shared" si="24"/>
        <v>0</v>
      </c>
      <c r="AG75" s="781">
        <f t="shared" si="25"/>
        <v>0</v>
      </c>
      <c r="AH75" s="781">
        <f t="shared" si="8"/>
        <v>0</v>
      </c>
      <c r="AI75" s="782">
        <f t="shared" si="26"/>
        <v>0</v>
      </c>
      <c r="AJ75" s="781">
        <f t="shared" si="27"/>
        <v>0</v>
      </c>
      <c r="AK75" s="781">
        <f t="shared" si="11"/>
        <v>0</v>
      </c>
      <c r="AL75" s="781">
        <f t="shared" si="28"/>
        <v>0</v>
      </c>
      <c r="AM75" s="781">
        <f t="shared" si="29"/>
        <v>0</v>
      </c>
      <c r="AN75" s="781">
        <f t="shared" si="14"/>
        <v>0</v>
      </c>
      <c r="AO75" s="781">
        <f t="shared" si="30"/>
        <v>0</v>
      </c>
      <c r="AP75" s="781">
        <f t="shared" si="31"/>
        <v>0</v>
      </c>
      <c r="AQ75" s="781">
        <f t="shared" si="17"/>
        <v>0</v>
      </c>
      <c r="AR75" s="781">
        <f t="shared" si="32"/>
        <v>0</v>
      </c>
      <c r="AS75" s="783">
        <f t="shared" si="19"/>
        <v>0</v>
      </c>
      <c r="AT75" s="790"/>
      <c r="AU75" s="170"/>
      <c r="AV75" s="170"/>
      <c r="AW75" s="836"/>
      <c r="AX75" s="787"/>
    </row>
    <row r="76" spans="1:50" ht="15" x14ac:dyDescent="0.25">
      <c r="A76" s="784"/>
      <c r="B76" s="719">
        <f t="shared" si="22"/>
        <v>64</v>
      </c>
      <c r="C76" s="170" t="str">
        <f t="shared" si="75"/>
        <v/>
      </c>
      <c r="D76" s="557"/>
      <c r="E76" s="170"/>
      <c r="F76" s="170"/>
      <c r="G76" s="787"/>
      <c r="H76" s="784"/>
      <c r="I76" s="784"/>
      <c r="J76" s="784"/>
      <c r="K76" s="784"/>
      <c r="L76" s="170"/>
      <c r="M76" s="773"/>
      <c r="N76" s="773"/>
      <c r="O76" s="773"/>
      <c r="P76" s="788"/>
      <c r="Q76" s="788"/>
      <c r="R76" s="773"/>
      <c r="S76" s="773"/>
      <c r="T76" s="779"/>
      <c r="U76" s="789">
        <v>0</v>
      </c>
      <c r="V76" s="778"/>
      <c r="W76" s="778"/>
      <c r="X76" s="779"/>
      <c r="Y76" s="779"/>
      <c r="Z76" s="780"/>
      <c r="AA76" s="787"/>
      <c r="AB76" s="787"/>
      <c r="AC76" s="765"/>
      <c r="AD76" s="781">
        <f t="shared" ref="AD76:AD81" si="76">IF(P76="E",+ROUND(H76*O76,0),0)</f>
        <v>0</v>
      </c>
      <c r="AE76" s="781">
        <f t="shared" ref="AE76:AE81" si="77">+AF76-AD76</f>
        <v>0</v>
      </c>
      <c r="AF76" s="781">
        <f t="shared" ref="AF76:AF81" si="78">+H76*O76</f>
        <v>0</v>
      </c>
      <c r="AG76" s="781">
        <f t="shared" ref="AG76:AG81" si="79">IF(P76="E",+ROUND(T76*H76,0),0)</f>
        <v>0</v>
      </c>
      <c r="AH76" s="781">
        <f t="shared" ref="AH76:AH81" si="80">+AI76-AG76</f>
        <v>0</v>
      </c>
      <c r="AI76" s="782">
        <f t="shared" ref="AI76:AI81" si="81">+H76*T76</f>
        <v>0</v>
      </c>
      <c r="AJ76" s="781">
        <f t="shared" ref="AJ76:AJ81" si="82">IF(P76="E",+ROUND(V76*H76,0),0)</f>
        <v>0</v>
      </c>
      <c r="AK76" s="781">
        <f t="shared" ref="AK76:AK81" si="83">+AL76-AJ76</f>
        <v>0</v>
      </c>
      <c r="AL76" s="781">
        <f t="shared" ref="AL76:AL81" si="84">ROUND(V76*H76,0)</f>
        <v>0</v>
      </c>
      <c r="AM76" s="781">
        <f t="shared" ref="AM76:AM81" si="85">IF(Q76="E",+ROUND(W76*H76,0),0)</f>
        <v>0</v>
      </c>
      <c r="AN76" s="781">
        <f t="shared" ref="AN76:AN81" si="86">+AO76-AM76</f>
        <v>0</v>
      </c>
      <c r="AO76" s="781">
        <f t="shared" ref="AO76:AO81" si="87">ROUND(W76*H76,0)</f>
        <v>0</v>
      </c>
      <c r="AP76" s="781">
        <f t="shared" ref="AP76:AP81" si="88">IF(P76="E",+ROUND(Y76*H76,0),0)</f>
        <v>0</v>
      </c>
      <c r="AQ76" s="781">
        <f t="shared" ref="AQ76:AQ81" si="89">+AR76-AP76</f>
        <v>0</v>
      </c>
      <c r="AR76" s="781">
        <f t="shared" ref="AR76:AR81" si="90">ROUND(Y76*H76,0)</f>
        <v>0</v>
      </c>
      <c r="AS76" s="783">
        <f t="shared" ref="AS76:AS82" si="91">+AR76+AO76+AL76+AI76</f>
        <v>0</v>
      </c>
      <c r="AT76" s="790"/>
      <c r="AU76" s="170"/>
      <c r="AV76" s="170"/>
      <c r="AW76" s="836"/>
      <c r="AX76" s="787"/>
    </row>
    <row r="77" spans="1:50" ht="15" x14ac:dyDescent="0.25">
      <c r="A77" s="784"/>
      <c r="B77" s="719">
        <f t="shared" si="22"/>
        <v>65</v>
      </c>
      <c r="C77" s="170" t="str">
        <f t="shared" si="75"/>
        <v/>
      </c>
      <c r="D77" s="557"/>
      <c r="E77" s="170"/>
      <c r="F77" s="170"/>
      <c r="G77" s="787"/>
      <c r="H77" s="784"/>
      <c r="I77" s="784"/>
      <c r="J77" s="784"/>
      <c r="K77" s="784"/>
      <c r="L77" s="170"/>
      <c r="M77" s="773"/>
      <c r="N77" s="773"/>
      <c r="O77" s="773"/>
      <c r="P77" s="788"/>
      <c r="Q77" s="788"/>
      <c r="R77" s="773"/>
      <c r="S77" s="773"/>
      <c r="T77" s="779"/>
      <c r="U77" s="789">
        <v>0</v>
      </c>
      <c r="V77" s="778"/>
      <c r="W77" s="778"/>
      <c r="X77" s="779"/>
      <c r="Y77" s="779"/>
      <c r="Z77" s="780"/>
      <c r="AA77" s="787"/>
      <c r="AB77" s="787"/>
      <c r="AC77" s="765"/>
      <c r="AD77" s="781">
        <f t="shared" si="76"/>
        <v>0</v>
      </c>
      <c r="AE77" s="781">
        <f t="shared" si="77"/>
        <v>0</v>
      </c>
      <c r="AF77" s="781">
        <f t="shared" si="78"/>
        <v>0</v>
      </c>
      <c r="AG77" s="781">
        <f t="shared" si="79"/>
        <v>0</v>
      </c>
      <c r="AH77" s="781">
        <f t="shared" si="80"/>
        <v>0</v>
      </c>
      <c r="AI77" s="782">
        <f t="shared" si="81"/>
        <v>0</v>
      </c>
      <c r="AJ77" s="781">
        <f t="shared" si="82"/>
        <v>0</v>
      </c>
      <c r="AK77" s="781">
        <f t="shared" si="83"/>
        <v>0</v>
      </c>
      <c r="AL77" s="781">
        <f t="shared" si="84"/>
        <v>0</v>
      </c>
      <c r="AM77" s="781">
        <f t="shared" si="85"/>
        <v>0</v>
      </c>
      <c r="AN77" s="781">
        <f t="shared" si="86"/>
        <v>0</v>
      </c>
      <c r="AO77" s="781">
        <f t="shared" si="87"/>
        <v>0</v>
      </c>
      <c r="AP77" s="781">
        <f t="shared" si="88"/>
        <v>0</v>
      </c>
      <c r="AQ77" s="781">
        <f t="shared" si="89"/>
        <v>0</v>
      </c>
      <c r="AR77" s="781">
        <f t="shared" si="90"/>
        <v>0</v>
      </c>
      <c r="AS77" s="783">
        <f t="shared" si="91"/>
        <v>0</v>
      </c>
      <c r="AT77" s="790"/>
      <c r="AU77" s="170"/>
      <c r="AV77" s="170"/>
      <c r="AW77" s="836"/>
      <c r="AX77" s="787"/>
    </row>
    <row r="78" spans="1:50" ht="15" x14ac:dyDescent="0.25">
      <c r="A78" s="784"/>
      <c r="B78" s="719">
        <f t="shared" si="22"/>
        <v>66</v>
      </c>
      <c r="C78" s="170" t="str">
        <f t="shared" si="75"/>
        <v/>
      </c>
      <c r="D78" s="557"/>
      <c r="E78" s="170"/>
      <c r="F78" s="170"/>
      <c r="G78" s="787"/>
      <c r="H78" s="784"/>
      <c r="I78" s="784"/>
      <c r="J78" s="784"/>
      <c r="K78" s="784"/>
      <c r="L78" s="170"/>
      <c r="M78" s="773"/>
      <c r="N78" s="773"/>
      <c r="O78" s="773"/>
      <c r="P78" s="788"/>
      <c r="Q78" s="788"/>
      <c r="R78" s="773"/>
      <c r="S78" s="773"/>
      <c r="T78" s="779"/>
      <c r="U78" s="789">
        <v>0</v>
      </c>
      <c r="V78" s="778"/>
      <c r="W78" s="778"/>
      <c r="X78" s="779"/>
      <c r="Y78" s="779"/>
      <c r="Z78" s="780"/>
      <c r="AA78" s="787"/>
      <c r="AB78" s="787"/>
      <c r="AC78" s="765"/>
      <c r="AD78" s="781">
        <f t="shared" si="76"/>
        <v>0</v>
      </c>
      <c r="AE78" s="781">
        <f t="shared" si="77"/>
        <v>0</v>
      </c>
      <c r="AF78" s="781">
        <f t="shared" si="78"/>
        <v>0</v>
      </c>
      <c r="AG78" s="781">
        <f t="shared" si="79"/>
        <v>0</v>
      </c>
      <c r="AH78" s="781">
        <f t="shared" si="80"/>
        <v>0</v>
      </c>
      <c r="AI78" s="782">
        <f t="shared" si="81"/>
        <v>0</v>
      </c>
      <c r="AJ78" s="781">
        <f t="shared" si="82"/>
        <v>0</v>
      </c>
      <c r="AK78" s="781">
        <f t="shared" si="83"/>
        <v>0</v>
      </c>
      <c r="AL78" s="781">
        <f t="shared" si="84"/>
        <v>0</v>
      </c>
      <c r="AM78" s="781">
        <f t="shared" si="85"/>
        <v>0</v>
      </c>
      <c r="AN78" s="781">
        <f t="shared" si="86"/>
        <v>0</v>
      </c>
      <c r="AO78" s="781">
        <f t="shared" si="87"/>
        <v>0</v>
      </c>
      <c r="AP78" s="781">
        <f t="shared" si="88"/>
        <v>0</v>
      </c>
      <c r="AQ78" s="781">
        <f t="shared" si="89"/>
        <v>0</v>
      </c>
      <c r="AR78" s="781">
        <f t="shared" si="90"/>
        <v>0</v>
      </c>
      <c r="AS78" s="783">
        <f t="shared" si="91"/>
        <v>0</v>
      </c>
      <c r="AT78" s="790"/>
      <c r="AU78" s="170"/>
      <c r="AV78" s="170"/>
      <c r="AW78" s="836"/>
      <c r="AX78" s="787"/>
    </row>
    <row r="79" spans="1:50" ht="15" x14ac:dyDescent="0.25">
      <c r="A79" s="784"/>
      <c r="B79" s="719">
        <f t="shared" si="22"/>
        <v>67</v>
      </c>
      <c r="C79" s="170" t="str">
        <f t="shared" si="75"/>
        <v/>
      </c>
      <c r="D79" s="557"/>
      <c r="E79" s="170"/>
      <c r="F79" s="170"/>
      <c r="G79" s="769"/>
      <c r="H79" s="784"/>
      <c r="I79" s="784"/>
      <c r="J79" s="784"/>
      <c r="K79" s="784"/>
      <c r="L79" s="170"/>
      <c r="M79" s="773"/>
      <c r="N79" s="773"/>
      <c r="O79" s="773"/>
      <c r="P79" s="788"/>
      <c r="Q79" s="788"/>
      <c r="R79" s="773"/>
      <c r="S79" s="773"/>
      <c r="T79" s="779"/>
      <c r="U79" s="789">
        <v>0</v>
      </c>
      <c r="V79" s="778"/>
      <c r="W79" s="778"/>
      <c r="X79" s="779"/>
      <c r="Y79" s="779"/>
      <c r="Z79" s="780"/>
      <c r="AA79" s="787"/>
      <c r="AB79" s="787"/>
      <c r="AC79" s="765"/>
      <c r="AD79" s="781">
        <f t="shared" si="76"/>
        <v>0</v>
      </c>
      <c r="AE79" s="781">
        <f t="shared" si="77"/>
        <v>0</v>
      </c>
      <c r="AF79" s="781">
        <f t="shared" si="78"/>
        <v>0</v>
      </c>
      <c r="AG79" s="781">
        <f t="shared" si="79"/>
        <v>0</v>
      </c>
      <c r="AH79" s="781">
        <f t="shared" si="80"/>
        <v>0</v>
      </c>
      <c r="AI79" s="782">
        <f t="shared" si="81"/>
        <v>0</v>
      </c>
      <c r="AJ79" s="781">
        <f t="shared" si="82"/>
        <v>0</v>
      </c>
      <c r="AK79" s="781">
        <f t="shared" si="83"/>
        <v>0</v>
      </c>
      <c r="AL79" s="781">
        <f t="shared" si="84"/>
        <v>0</v>
      </c>
      <c r="AM79" s="781">
        <f t="shared" si="85"/>
        <v>0</v>
      </c>
      <c r="AN79" s="781">
        <f t="shared" si="86"/>
        <v>0</v>
      </c>
      <c r="AO79" s="781">
        <f t="shared" si="87"/>
        <v>0</v>
      </c>
      <c r="AP79" s="781">
        <f t="shared" si="88"/>
        <v>0</v>
      </c>
      <c r="AQ79" s="781">
        <f t="shared" si="89"/>
        <v>0</v>
      </c>
      <c r="AR79" s="781">
        <f t="shared" si="90"/>
        <v>0</v>
      </c>
      <c r="AS79" s="783">
        <f t="shared" si="91"/>
        <v>0</v>
      </c>
      <c r="AT79" s="790"/>
      <c r="AU79" s="170"/>
      <c r="AV79" s="170"/>
      <c r="AW79" s="836"/>
      <c r="AX79" s="787"/>
    </row>
    <row r="80" spans="1:50" ht="15" x14ac:dyDescent="0.25">
      <c r="A80" s="784"/>
      <c r="B80" s="719">
        <f t="shared" si="22"/>
        <v>68</v>
      </c>
      <c r="C80" s="170" t="str">
        <f t="shared" si="75"/>
        <v/>
      </c>
      <c r="D80" s="557"/>
      <c r="E80" s="170"/>
      <c r="F80" s="170"/>
      <c r="G80" s="787"/>
      <c r="H80" s="784"/>
      <c r="I80" s="784"/>
      <c r="J80" s="784"/>
      <c r="K80" s="784"/>
      <c r="L80" s="170"/>
      <c r="M80" s="773"/>
      <c r="N80" s="773"/>
      <c r="O80" s="773"/>
      <c r="P80" s="788"/>
      <c r="Q80" s="788"/>
      <c r="R80" s="773"/>
      <c r="S80" s="773"/>
      <c r="T80" s="779"/>
      <c r="U80" s="789">
        <v>0</v>
      </c>
      <c r="V80" s="778"/>
      <c r="W80" s="778"/>
      <c r="X80" s="779"/>
      <c r="Y80" s="779"/>
      <c r="Z80" s="780"/>
      <c r="AA80" s="787"/>
      <c r="AB80" s="787"/>
      <c r="AC80" s="765"/>
      <c r="AD80" s="781">
        <f t="shared" si="76"/>
        <v>0</v>
      </c>
      <c r="AE80" s="781">
        <f t="shared" si="77"/>
        <v>0</v>
      </c>
      <c r="AF80" s="781">
        <f t="shared" si="78"/>
        <v>0</v>
      </c>
      <c r="AG80" s="781">
        <f t="shared" si="79"/>
        <v>0</v>
      </c>
      <c r="AH80" s="781">
        <f t="shared" si="80"/>
        <v>0</v>
      </c>
      <c r="AI80" s="782">
        <f t="shared" si="81"/>
        <v>0</v>
      </c>
      <c r="AJ80" s="781">
        <f t="shared" si="82"/>
        <v>0</v>
      </c>
      <c r="AK80" s="781">
        <f t="shared" si="83"/>
        <v>0</v>
      </c>
      <c r="AL80" s="781">
        <f t="shared" si="84"/>
        <v>0</v>
      </c>
      <c r="AM80" s="781">
        <f t="shared" si="85"/>
        <v>0</v>
      </c>
      <c r="AN80" s="781">
        <f t="shared" si="86"/>
        <v>0</v>
      </c>
      <c r="AO80" s="781">
        <f t="shared" si="87"/>
        <v>0</v>
      </c>
      <c r="AP80" s="781">
        <f t="shared" si="88"/>
        <v>0</v>
      </c>
      <c r="AQ80" s="781">
        <f t="shared" si="89"/>
        <v>0</v>
      </c>
      <c r="AR80" s="781">
        <f t="shared" si="90"/>
        <v>0</v>
      </c>
      <c r="AS80" s="783">
        <f t="shared" si="91"/>
        <v>0</v>
      </c>
      <c r="AT80" s="790"/>
      <c r="AU80" s="170"/>
      <c r="AV80" s="170"/>
      <c r="AW80" s="836"/>
      <c r="AX80" s="787"/>
    </row>
    <row r="81" spans="1:50" ht="15" x14ac:dyDescent="0.25">
      <c r="A81" s="784"/>
      <c r="B81" s="719">
        <f t="shared" si="22"/>
        <v>69</v>
      </c>
      <c r="C81" s="170" t="str">
        <f t="shared" si="75"/>
        <v/>
      </c>
      <c r="D81" s="557"/>
      <c r="E81" s="170"/>
      <c r="F81" s="170"/>
      <c r="G81" s="787"/>
      <c r="H81" s="784"/>
      <c r="I81" s="784"/>
      <c r="J81" s="784"/>
      <c r="K81" s="784"/>
      <c r="L81" s="170"/>
      <c r="M81" s="773"/>
      <c r="N81" s="773"/>
      <c r="O81" s="773"/>
      <c r="P81" s="788"/>
      <c r="Q81" s="788"/>
      <c r="R81" s="773"/>
      <c r="S81" s="773"/>
      <c r="T81" s="779"/>
      <c r="U81" s="789"/>
      <c r="V81" s="778"/>
      <c r="W81" s="778"/>
      <c r="X81" s="779"/>
      <c r="Y81" s="779"/>
      <c r="Z81" s="780"/>
      <c r="AA81" s="787"/>
      <c r="AB81" s="787"/>
      <c r="AC81" s="170"/>
      <c r="AD81" s="781">
        <f t="shared" si="76"/>
        <v>0</v>
      </c>
      <c r="AE81" s="781">
        <f t="shared" si="77"/>
        <v>0</v>
      </c>
      <c r="AF81" s="781">
        <f t="shared" si="78"/>
        <v>0</v>
      </c>
      <c r="AG81" s="781">
        <f t="shared" si="79"/>
        <v>0</v>
      </c>
      <c r="AH81" s="781">
        <f t="shared" si="80"/>
        <v>0</v>
      </c>
      <c r="AI81" s="782">
        <f t="shared" si="81"/>
        <v>0</v>
      </c>
      <c r="AJ81" s="781">
        <f t="shared" si="82"/>
        <v>0</v>
      </c>
      <c r="AK81" s="781">
        <f t="shared" si="83"/>
        <v>0</v>
      </c>
      <c r="AL81" s="781">
        <f t="shared" si="84"/>
        <v>0</v>
      </c>
      <c r="AM81" s="781">
        <f t="shared" si="85"/>
        <v>0</v>
      </c>
      <c r="AN81" s="781">
        <f t="shared" si="86"/>
        <v>0</v>
      </c>
      <c r="AO81" s="781">
        <f t="shared" si="87"/>
        <v>0</v>
      </c>
      <c r="AP81" s="781">
        <f t="shared" si="88"/>
        <v>0</v>
      </c>
      <c r="AQ81" s="781">
        <f t="shared" si="89"/>
        <v>0</v>
      </c>
      <c r="AR81" s="781">
        <f t="shared" si="90"/>
        <v>0</v>
      </c>
      <c r="AS81" s="783">
        <f t="shared" si="91"/>
        <v>0</v>
      </c>
      <c r="AT81" s="790"/>
      <c r="AU81" s="170"/>
      <c r="AV81" s="170"/>
      <c r="AW81" s="836"/>
      <c r="AX81" s="787"/>
    </row>
    <row r="82" spans="1:50" ht="15" x14ac:dyDescent="0.25">
      <c r="A82" s="784"/>
      <c r="B82" s="719">
        <f t="shared" si="22"/>
        <v>70</v>
      </c>
      <c r="C82" s="170"/>
      <c r="D82" s="557"/>
      <c r="E82" s="170"/>
      <c r="F82" s="170"/>
      <c r="G82" s="792" t="s">
        <v>592</v>
      </c>
      <c r="H82" s="1071">
        <v>1</v>
      </c>
      <c r="I82" s="1071"/>
      <c r="J82" s="1071">
        <v>1</v>
      </c>
      <c r="K82" s="1071"/>
      <c r="L82" s="1072"/>
      <c r="M82" s="1073"/>
      <c r="N82" s="1073"/>
      <c r="O82" s="1073"/>
      <c r="P82" s="1074"/>
      <c r="Q82" s="1074"/>
      <c r="R82" s="1073"/>
      <c r="S82" s="1073"/>
      <c r="T82" s="1075"/>
      <c r="U82" s="1076"/>
      <c r="V82" s="1077"/>
      <c r="W82" s="1077"/>
      <c r="X82" s="1075"/>
      <c r="Y82" s="1075"/>
      <c r="Z82" s="1078"/>
      <c r="AA82" s="1079"/>
      <c r="AB82" s="1079"/>
      <c r="AC82" s="170"/>
      <c r="AD82" s="1081">
        <f t="shared" ref="AD82:AR82" si="92">SUM(AD10:AD76)</f>
        <v>0</v>
      </c>
      <c r="AE82" s="1081">
        <f t="shared" si="92"/>
        <v>0</v>
      </c>
      <c r="AF82" s="1081">
        <f t="shared" si="92"/>
        <v>0</v>
      </c>
      <c r="AG82" s="1081">
        <f t="shared" si="92"/>
        <v>0</v>
      </c>
      <c r="AH82" s="1081">
        <f t="shared" si="92"/>
        <v>0</v>
      </c>
      <c r="AI82" s="1081">
        <f t="shared" si="92"/>
        <v>0</v>
      </c>
      <c r="AJ82" s="1081">
        <f t="shared" si="92"/>
        <v>0</v>
      </c>
      <c r="AK82" s="1081">
        <f t="shared" si="92"/>
        <v>0</v>
      </c>
      <c r="AL82" s="1081">
        <f t="shared" si="92"/>
        <v>0</v>
      </c>
      <c r="AM82" s="1081">
        <f t="shared" si="92"/>
        <v>0</v>
      </c>
      <c r="AN82" s="1081">
        <f t="shared" si="92"/>
        <v>0</v>
      </c>
      <c r="AO82" s="1081">
        <f t="shared" si="92"/>
        <v>0</v>
      </c>
      <c r="AP82" s="1081">
        <f t="shared" si="92"/>
        <v>0</v>
      </c>
      <c r="AQ82" s="1081">
        <f t="shared" si="92"/>
        <v>0</v>
      </c>
      <c r="AR82" s="1081">
        <f t="shared" si="92"/>
        <v>0</v>
      </c>
      <c r="AS82" s="1081">
        <f t="shared" si="91"/>
        <v>0</v>
      </c>
      <c r="AT82" s="795"/>
      <c r="AU82" s="170"/>
      <c r="AV82" s="170"/>
      <c r="AW82" s="836"/>
      <c r="AX82" s="787"/>
    </row>
    <row r="83" spans="1:50" ht="15.75" thickBot="1" x14ac:dyDescent="0.3">
      <c r="A83" s="784"/>
      <c r="B83" s="719">
        <f t="shared" si="22"/>
        <v>71</v>
      </c>
      <c r="C83" s="170"/>
      <c r="D83" s="574"/>
      <c r="E83" s="576"/>
      <c r="F83" s="576"/>
      <c r="G83" s="796"/>
      <c r="H83" s="797"/>
      <c r="I83" s="797"/>
      <c r="J83" s="797"/>
      <c r="K83" s="797"/>
      <c r="L83" s="576"/>
      <c r="M83" s="798"/>
      <c r="N83" s="798"/>
      <c r="O83" s="798"/>
      <c r="P83" s="799"/>
      <c r="Q83" s="799"/>
      <c r="R83" s="798"/>
      <c r="S83" s="798"/>
      <c r="T83" s="800"/>
      <c r="U83" s="801"/>
      <c r="V83" s="802"/>
      <c r="W83" s="802"/>
      <c r="X83" s="800"/>
      <c r="Y83" s="800"/>
      <c r="Z83" s="803"/>
      <c r="AA83" s="796"/>
      <c r="AB83" s="796"/>
      <c r="AC83" s="804"/>
      <c r="AD83" s="805"/>
      <c r="AE83" s="805"/>
      <c r="AF83" s="576"/>
      <c r="AG83" s="576"/>
      <c r="AH83" s="576"/>
      <c r="AI83" s="806"/>
      <c r="AJ83" s="806"/>
      <c r="AK83" s="806"/>
      <c r="AL83" s="806"/>
      <c r="AM83" s="806"/>
      <c r="AN83" s="806"/>
      <c r="AO83" s="806"/>
      <c r="AP83" s="806"/>
      <c r="AQ83" s="806"/>
      <c r="AR83" s="806"/>
      <c r="AS83" s="806"/>
      <c r="AT83" s="587"/>
      <c r="AU83" s="170"/>
      <c r="AV83" s="170"/>
      <c r="AW83" s="836"/>
      <c r="AX83" s="787"/>
    </row>
    <row r="84" spans="1:50" ht="15.75" thickTop="1" x14ac:dyDescent="0.25">
      <c r="A84" s="170"/>
      <c r="B84" s="719"/>
      <c r="C84" s="170"/>
      <c r="D84" s="170"/>
      <c r="E84" s="170"/>
      <c r="F84" s="170"/>
      <c r="G84" s="170"/>
      <c r="H84" s="170"/>
      <c r="I84" s="170"/>
      <c r="J84" s="170"/>
      <c r="K84" s="170"/>
      <c r="L84" s="170"/>
      <c r="M84" s="170"/>
      <c r="N84" s="170"/>
      <c r="O84" s="170"/>
      <c r="P84" s="170"/>
      <c r="Q84" s="170"/>
      <c r="R84" s="170"/>
      <c r="S84" s="170"/>
      <c r="T84" s="170"/>
      <c r="U84" s="170"/>
      <c r="V84" s="170"/>
      <c r="W84" s="170"/>
      <c r="X84" s="170"/>
      <c r="Y84" s="170"/>
      <c r="Z84" s="170"/>
      <c r="AA84" s="170"/>
      <c r="AB84" s="170"/>
      <c r="AC84" s="170"/>
      <c r="AD84" s="170"/>
      <c r="AE84" s="170"/>
      <c r="AF84" s="170"/>
      <c r="AG84" s="170"/>
      <c r="AH84" s="170"/>
      <c r="AI84" s="170"/>
      <c r="AJ84" s="170"/>
      <c r="AK84" s="170"/>
      <c r="AL84" s="170"/>
      <c r="AM84" s="170"/>
      <c r="AN84" s="170"/>
      <c r="AO84" s="170"/>
      <c r="AP84" s="170"/>
      <c r="AQ84" s="170"/>
      <c r="AR84" s="170"/>
      <c r="AS84" s="170"/>
      <c r="AT84" s="170"/>
      <c r="AU84" s="170"/>
      <c r="AV84" s="170"/>
      <c r="AW84" s="170"/>
      <c r="AX84" s="170"/>
    </row>
    <row r="85" spans="1:50" ht="15" x14ac:dyDescent="0.25">
      <c r="A85" s="170"/>
      <c r="B85" s="719"/>
      <c r="C85" s="170"/>
      <c r="D85" s="168" t="s">
        <v>742</v>
      </c>
      <c r="E85" s="170"/>
      <c r="F85" s="170"/>
      <c r="G85" s="721"/>
      <c r="H85" s="170"/>
      <c r="I85" s="170"/>
      <c r="J85" s="170"/>
      <c r="K85" s="170"/>
      <c r="L85" s="170"/>
      <c r="M85" s="730"/>
      <c r="N85" s="730"/>
      <c r="O85" s="730"/>
      <c r="P85" s="731"/>
      <c r="Q85" s="731"/>
      <c r="R85" s="730"/>
      <c r="S85" s="730"/>
      <c r="T85" s="723"/>
      <c r="U85" s="724"/>
      <c r="V85" s="725"/>
      <c r="W85" s="725"/>
      <c r="X85" s="723"/>
      <c r="Y85" s="723"/>
      <c r="Z85" s="723"/>
      <c r="AA85" s="726"/>
      <c r="AB85" s="726"/>
      <c r="AC85" s="170"/>
      <c r="AD85" s="586"/>
      <c r="AE85" s="586"/>
      <c r="AF85" s="170"/>
      <c r="AG85" s="170"/>
      <c r="AH85" s="170"/>
      <c r="AI85" s="170"/>
      <c r="AJ85" s="170"/>
      <c r="AK85" s="170"/>
      <c r="AL85" s="170"/>
      <c r="AM85" s="170"/>
      <c r="AN85" s="170"/>
      <c r="AO85" s="170"/>
      <c r="AP85" s="170"/>
      <c r="AQ85" s="170"/>
      <c r="AR85" s="170"/>
      <c r="AS85" s="170"/>
      <c r="AT85" s="170"/>
      <c r="AU85" s="170"/>
      <c r="AV85" s="170"/>
      <c r="AW85" s="828"/>
      <c r="AX85" s="726"/>
    </row>
    <row r="86" spans="1:50" ht="15" x14ac:dyDescent="0.25">
      <c r="A86" s="170"/>
      <c r="B86" s="719"/>
      <c r="C86" s="170" t="str">
        <f t="shared" ref="C86:C149" si="93">+F86&amp;I86</f>
        <v>1ls</v>
      </c>
      <c r="D86" s="170"/>
      <c r="E86" s="170"/>
      <c r="F86" s="170">
        <f>+Parameters!D4</f>
        <v>1</v>
      </c>
      <c r="G86" s="170" t="str">
        <f>+Parameters!E4</f>
        <v>General mob / demob</v>
      </c>
      <c r="H86" s="586">
        <f>SUMIF($C$9:$C$82,$C86,H$9:H$82)</f>
        <v>1</v>
      </c>
      <c r="I86" s="170" t="str">
        <f>+Parameters!F4</f>
        <v>ls</v>
      </c>
      <c r="J86" s="170"/>
      <c r="K86" s="170"/>
      <c r="L86" s="170"/>
      <c r="M86" s="730"/>
      <c r="N86" s="730"/>
      <c r="O86" s="730"/>
      <c r="P86" s="731"/>
      <c r="Q86" s="731"/>
      <c r="R86" s="730"/>
      <c r="S86" s="730"/>
      <c r="T86" s="723"/>
      <c r="U86" s="724"/>
      <c r="V86" s="725"/>
      <c r="W86" s="725"/>
      <c r="X86" s="723"/>
      <c r="Y86" s="723"/>
      <c r="Z86" s="723"/>
      <c r="AA86" s="726"/>
      <c r="AB86" s="726"/>
      <c r="AC86" s="170"/>
      <c r="AD86" s="586">
        <f t="shared" ref="AD86:AS95" si="94">SUMIF($F$9:$F$82,$F86,AD$9:AD$82)</f>
        <v>0</v>
      </c>
      <c r="AE86" s="586">
        <f t="shared" si="94"/>
        <v>0</v>
      </c>
      <c r="AF86" s="586">
        <f t="shared" si="94"/>
        <v>0</v>
      </c>
      <c r="AG86" s="586">
        <f t="shared" si="94"/>
        <v>0</v>
      </c>
      <c r="AH86" s="586">
        <f t="shared" si="94"/>
        <v>0</v>
      </c>
      <c r="AI86" s="586">
        <f t="shared" si="94"/>
        <v>0</v>
      </c>
      <c r="AJ86" s="586">
        <f t="shared" si="94"/>
        <v>0</v>
      </c>
      <c r="AK86" s="586">
        <f t="shared" si="94"/>
        <v>0</v>
      </c>
      <c r="AL86" s="586">
        <f t="shared" si="94"/>
        <v>0</v>
      </c>
      <c r="AM86" s="586">
        <f t="shared" si="94"/>
        <v>0</v>
      </c>
      <c r="AN86" s="586">
        <f t="shared" si="94"/>
        <v>0</v>
      </c>
      <c r="AO86" s="586">
        <f t="shared" si="94"/>
        <v>0</v>
      </c>
      <c r="AP86" s="586">
        <f t="shared" si="94"/>
        <v>0</v>
      </c>
      <c r="AQ86" s="586">
        <f t="shared" si="94"/>
        <v>0</v>
      </c>
      <c r="AR86" s="586">
        <f t="shared" si="94"/>
        <v>0</v>
      </c>
      <c r="AS86" s="586">
        <f t="shared" si="94"/>
        <v>0</v>
      </c>
      <c r="AT86" s="170"/>
      <c r="AU86" s="170"/>
      <c r="AV86" s="170"/>
      <c r="AW86" s="828"/>
      <c r="AX86" s="726"/>
    </row>
    <row r="87" spans="1:50" ht="15" x14ac:dyDescent="0.25">
      <c r="A87" s="170"/>
      <c r="B87" s="719"/>
      <c r="C87" s="170" t="str">
        <f t="shared" si="93"/>
        <v>20</v>
      </c>
      <c r="D87" s="170"/>
      <c r="E87" s="170"/>
      <c r="F87" s="170">
        <f>+Parameters!D5</f>
        <v>2</v>
      </c>
      <c r="G87" s="170" t="str">
        <f>+Parameters!E5</f>
        <v>General site work - general inc roads/paving</v>
      </c>
      <c r="H87" s="586">
        <f t="shared" ref="H87:H150" si="95">SUMIF($C$9:$C$82,$C87,H$9:H$82)</f>
        <v>0</v>
      </c>
      <c r="I87" s="170">
        <f>+Parameters!F5</f>
        <v>0</v>
      </c>
      <c r="J87" s="170"/>
      <c r="K87" s="170"/>
      <c r="L87" s="170"/>
      <c r="M87" s="730"/>
      <c r="N87" s="730"/>
      <c r="O87" s="730"/>
      <c r="P87" s="731"/>
      <c r="Q87" s="731"/>
      <c r="R87" s="730"/>
      <c r="S87" s="730"/>
      <c r="T87" s="723"/>
      <c r="U87" s="724"/>
      <c r="V87" s="725"/>
      <c r="W87" s="725"/>
      <c r="X87" s="723"/>
      <c r="Y87" s="723"/>
      <c r="Z87" s="723"/>
      <c r="AA87" s="726"/>
      <c r="AB87" s="726"/>
      <c r="AC87" s="170"/>
      <c r="AD87" s="586">
        <f t="shared" si="94"/>
        <v>0</v>
      </c>
      <c r="AE87" s="586">
        <f t="shared" si="94"/>
        <v>0</v>
      </c>
      <c r="AF87" s="586">
        <f t="shared" si="94"/>
        <v>0</v>
      </c>
      <c r="AG87" s="586">
        <f t="shared" si="94"/>
        <v>0</v>
      </c>
      <c r="AH87" s="586">
        <f t="shared" si="94"/>
        <v>0</v>
      </c>
      <c r="AI87" s="586">
        <f t="shared" si="94"/>
        <v>0</v>
      </c>
      <c r="AJ87" s="586">
        <f t="shared" si="94"/>
        <v>0</v>
      </c>
      <c r="AK87" s="586">
        <f t="shared" si="94"/>
        <v>0</v>
      </c>
      <c r="AL87" s="586">
        <f t="shared" si="94"/>
        <v>0</v>
      </c>
      <c r="AM87" s="586">
        <f t="shared" si="94"/>
        <v>0</v>
      </c>
      <c r="AN87" s="586">
        <f t="shared" si="94"/>
        <v>0</v>
      </c>
      <c r="AO87" s="586">
        <f t="shared" si="94"/>
        <v>0</v>
      </c>
      <c r="AP87" s="586">
        <f t="shared" si="94"/>
        <v>0</v>
      </c>
      <c r="AQ87" s="586">
        <f t="shared" si="94"/>
        <v>0</v>
      </c>
      <c r="AR87" s="586">
        <f t="shared" si="94"/>
        <v>0</v>
      </c>
      <c r="AS87" s="586">
        <f t="shared" si="94"/>
        <v>0</v>
      </c>
      <c r="AT87" s="170"/>
      <c r="AU87" s="170"/>
      <c r="AV87" s="170"/>
      <c r="AW87" s="828"/>
      <c r="AX87" s="726"/>
    </row>
    <row r="88" spans="1:50" ht="15" x14ac:dyDescent="0.25">
      <c r="A88" s="170"/>
      <c r="B88" s="719"/>
      <c r="C88" s="170" t="str">
        <f t="shared" si="93"/>
        <v>3ea</v>
      </c>
      <c r="D88" s="170"/>
      <c r="E88" s="170"/>
      <c r="F88" s="170">
        <f>+Parameters!D6</f>
        <v>3</v>
      </c>
      <c r="G88" s="170" t="str">
        <f>+Parameters!E6</f>
        <v>foundations - Poles - direct embed</v>
      </c>
      <c r="H88" s="586">
        <f t="shared" si="95"/>
        <v>0</v>
      </c>
      <c r="I88" s="170" t="str">
        <f>+Parameters!F6</f>
        <v>ea</v>
      </c>
      <c r="J88" s="170"/>
      <c r="K88" s="170"/>
      <c r="L88" s="170"/>
      <c r="M88" s="730"/>
      <c r="N88" s="730"/>
      <c r="O88" s="730"/>
      <c r="P88" s="731"/>
      <c r="Q88" s="731"/>
      <c r="R88" s="730"/>
      <c r="S88" s="730"/>
      <c r="T88" s="723"/>
      <c r="U88" s="724"/>
      <c r="V88" s="725"/>
      <c r="W88" s="725"/>
      <c r="X88" s="723"/>
      <c r="Y88" s="723"/>
      <c r="Z88" s="723"/>
      <c r="AA88" s="726"/>
      <c r="AB88" s="726"/>
      <c r="AC88" s="170"/>
      <c r="AD88" s="586">
        <f t="shared" si="94"/>
        <v>0</v>
      </c>
      <c r="AE88" s="586">
        <f t="shared" si="94"/>
        <v>0</v>
      </c>
      <c r="AF88" s="586">
        <f t="shared" si="94"/>
        <v>0</v>
      </c>
      <c r="AG88" s="586">
        <f t="shared" si="94"/>
        <v>0</v>
      </c>
      <c r="AH88" s="586">
        <f t="shared" si="94"/>
        <v>0</v>
      </c>
      <c r="AI88" s="586">
        <f t="shared" si="94"/>
        <v>0</v>
      </c>
      <c r="AJ88" s="586">
        <f t="shared" si="94"/>
        <v>0</v>
      </c>
      <c r="AK88" s="586">
        <f t="shared" si="94"/>
        <v>0</v>
      </c>
      <c r="AL88" s="586">
        <f t="shared" si="94"/>
        <v>0</v>
      </c>
      <c r="AM88" s="586">
        <f t="shared" si="94"/>
        <v>0</v>
      </c>
      <c r="AN88" s="586">
        <f t="shared" si="94"/>
        <v>0</v>
      </c>
      <c r="AO88" s="586">
        <f t="shared" si="94"/>
        <v>0</v>
      </c>
      <c r="AP88" s="586">
        <f t="shared" si="94"/>
        <v>0</v>
      </c>
      <c r="AQ88" s="586">
        <f t="shared" si="94"/>
        <v>0</v>
      </c>
      <c r="AR88" s="586">
        <f t="shared" si="94"/>
        <v>0</v>
      </c>
      <c r="AS88" s="586">
        <f t="shared" si="94"/>
        <v>0</v>
      </c>
      <c r="AT88" s="170"/>
      <c r="AU88" s="170"/>
      <c r="AV88" s="170"/>
      <c r="AW88" s="828"/>
      <c r="AX88" s="726"/>
    </row>
    <row r="89" spans="1:50" ht="15" x14ac:dyDescent="0.25">
      <c r="A89" s="170"/>
      <c r="B89" s="719"/>
      <c r="C89" s="170" t="str">
        <f t="shared" si="93"/>
        <v>40</v>
      </c>
      <c r="D89" s="170"/>
      <c r="E89" s="170"/>
      <c r="F89" s="170">
        <f>+Parameters!D7</f>
        <v>4</v>
      </c>
      <c r="G89" s="170" t="str">
        <f>+Parameters!E7</f>
        <v>foundations - Poles - formed conc.</v>
      </c>
      <c r="H89" s="586">
        <f t="shared" si="95"/>
        <v>0</v>
      </c>
      <c r="I89" s="170">
        <f>+Parameters!F7</f>
        <v>0</v>
      </c>
      <c r="J89" s="170"/>
      <c r="K89" s="170"/>
      <c r="L89" s="170"/>
      <c r="M89" s="730"/>
      <c r="N89" s="730"/>
      <c r="O89" s="730"/>
      <c r="P89" s="731"/>
      <c r="Q89" s="731"/>
      <c r="R89" s="730"/>
      <c r="S89" s="730"/>
      <c r="T89" s="723"/>
      <c r="U89" s="724"/>
      <c r="V89" s="725"/>
      <c r="W89" s="725"/>
      <c r="X89" s="723"/>
      <c r="Y89" s="723"/>
      <c r="Z89" s="723"/>
      <c r="AA89" s="726"/>
      <c r="AB89" s="726"/>
      <c r="AC89" s="170"/>
      <c r="AD89" s="586">
        <f t="shared" si="94"/>
        <v>0</v>
      </c>
      <c r="AE89" s="586">
        <f t="shared" si="94"/>
        <v>0</v>
      </c>
      <c r="AF89" s="586">
        <f t="shared" si="94"/>
        <v>0</v>
      </c>
      <c r="AG89" s="586">
        <f t="shared" si="94"/>
        <v>0</v>
      </c>
      <c r="AH89" s="586">
        <f t="shared" si="94"/>
        <v>0</v>
      </c>
      <c r="AI89" s="586">
        <f t="shared" si="94"/>
        <v>0</v>
      </c>
      <c r="AJ89" s="586">
        <f t="shared" si="94"/>
        <v>0</v>
      </c>
      <c r="AK89" s="586">
        <f t="shared" si="94"/>
        <v>0</v>
      </c>
      <c r="AL89" s="586">
        <f t="shared" si="94"/>
        <v>0</v>
      </c>
      <c r="AM89" s="586">
        <f t="shared" si="94"/>
        <v>0</v>
      </c>
      <c r="AN89" s="586">
        <f t="shared" si="94"/>
        <v>0</v>
      </c>
      <c r="AO89" s="586">
        <f t="shared" si="94"/>
        <v>0</v>
      </c>
      <c r="AP89" s="586">
        <f t="shared" si="94"/>
        <v>0</v>
      </c>
      <c r="AQ89" s="586">
        <f t="shared" si="94"/>
        <v>0</v>
      </c>
      <c r="AR89" s="586">
        <f t="shared" si="94"/>
        <v>0</v>
      </c>
      <c r="AS89" s="586">
        <f t="shared" si="94"/>
        <v>0</v>
      </c>
      <c r="AT89" s="170"/>
      <c r="AU89" s="170"/>
      <c r="AV89" s="170"/>
      <c r="AW89" s="828"/>
      <c r="AX89" s="726"/>
    </row>
    <row r="90" spans="1:50" ht="15" x14ac:dyDescent="0.25">
      <c r="A90" s="170"/>
      <c r="B90" s="719"/>
      <c r="C90" s="170" t="str">
        <f t="shared" si="93"/>
        <v>5cy</v>
      </c>
      <c r="D90" s="170"/>
      <c r="E90" s="170"/>
      <c r="F90" s="170">
        <f>+Parameters!D8</f>
        <v>5</v>
      </c>
      <c r="G90" s="170" t="str">
        <f>+Parameters!E8</f>
        <v>foundations - station</v>
      </c>
      <c r="H90" s="586">
        <f t="shared" si="95"/>
        <v>0</v>
      </c>
      <c r="I90" s="170" t="str">
        <f>+Parameters!F8</f>
        <v>cy</v>
      </c>
      <c r="J90" s="170"/>
      <c r="K90" s="170"/>
      <c r="L90" s="170"/>
      <c r="M90" s="730"/>
      <c r="N90" s="730"/>
      <c r="O90" s="730"/>
      <c r="P90" s="731"/>
      <c r="Q90" s="731"/>
      <c r="R90" s="730"/>
      <c r="S90" s="730"/>
      <c r="T90" s="723"/>
      <c r="U90" s="724"/>
      <c r="V90" s="725"/>
      <c r="W90" s="725"/>
      <c r="X90" s="723"/>
      <c r="Y90" s="723"/>
      <c r="Z90" s="723"/>
      <c r="AA90" s="726"/>
      <c r="AB90" s="726"/>
      <c r="AC90" s="170"/>
      <c r="AD90" s="586">
        <f t="shared" si="94"/>
        <v>0</v>
      </c>
      <c r="AE90" s="586">
        <f t="shared" si="94"/>
        <v>0</v>
      </c>
      <c r="AF90" s="586">
        <f t="shared" si="94"/>
        <v>0</v>
      </c>
      <c r="AG90" s="586">
        <f t="shared" si="94"/>
        <v>0</v>
      </c>
      <c r="AH90" s="586">
        <f t="shared" si="94"/>
        <v>0</v>
      </c>
      <c r="AI90" s="586">
        <f t="shared" si="94"/>
        <v>0</v>
      </c>
      <c r="AJ90" s="586">
        <f t="shared" si="94"/>
        <v>0</v>
      </c>
      <c r="AK90" s="586">
        <f t="shared" si="94"/>
        <v>0</v>
      </c>
      <c r="AL90" s="586">
        <f t="shared" si="94"/>
        <v>0</v>
      </c>
      <c r="AM90" s="586">
        <f t="shared" si="94"/>
        <v>0</v>
      </c>
      <c r="AN90" s="586">
        <f t="shared" si="94"/>
        <v>0</v>
      </c>
      <c r="AO90" s="586">
        <f t="shared" si="94"/>
        <v>0</v>
      </c>
      <c r="AP90" s="586">
        <f t="shared" si="94"/>
        <v>0</v>
      </c>
      <c r="AQ90" s="586">
        <f t="shared" si="94"/>
        <v>0</v>
      </c>
      <c r="AR90" s="586">
        <f t="shared" si="94"/>
        <v>0</v>
      </c>
      <c r="AS90" s="586">
        <f t="shared" si="94"/>
        <v>0</v>
      </c>
      <c r="AT90" s="170"/>
      <c r="AU90" s="170"/>
      <c r="AV90" s="170"/>
      <c r="AW90" s="828"/>
      <c r="AX90" s="726"/>
    </row>
    <row r="91" spans="1:50" ht="15" x14ac:dyDescent="0.25">
      <c r="A91" s="170"/>
      <c r="B91" s="719"/>
      <c r="C91" s="170" t="str">
        <f t="shared" si="93"/>
        <v>6cy</v>
      </c>
      <c r="D91" s="170"/>
      <c r="E91" s="170"/>
      <c r="F91" s="170">
        <f>+Parameters!D9</f>
        <v>6</v>
      </c>
      <c r="G91" s="170" t="str">
        <f>+Parameters!E9</f>
        <v>foundations - buildings</v>
      </c>
      <c r="H91" s="586">
        <f t="shared" si="95"/>
        <v>0</v>
      </c>
      <c r="I91" s="170" t="str">
        <f>+Parameters!F9</f>
        <v>cy</v>
      </c>
      <c r="J91" s="170"/>
      <c r="K91" s="170"/>
      <c r="L91" s="170"/>
      <c r="M91" s="730"/>
      <c r="N91" s="730"/>
      <c r="O91" s="730"/>
      <c r="P91" s="731"/>
      <c r="Q91" s="731"/>
      <c r="R91" s="730"/>
      <c r="S91" s="730"/>
      <c r="T91" s="723"/>
      <c r="U91" s="724"/>
      <c r="V91" s="725"/>
      <c r="W91" s="725"/>
      <c r="X91" s="723"/>
      <c r="Y91" s="723"/>
      <c r="Z91" s="723"/>
      <c r="AA91" s="726"/>
      <c r="AB91" s="726"/>
      <c r="AC91" s="170"/>
      <c r="AD91" s="586">
        <f t="shared" si="94"/>
        <v>0</v>
      </c>
      <c r="AE91" s="586">
        <f t="shared" si="94"/>
        <v>0</v>
      </c>
      <c r="AF91" s="586">
        <f t="shared" si="94"/>
        <v>0</v>
      </c>
      <c r="AG91" s="586">
        <f t="shared" si="94"/>
        <v>0</v>
      </c>
      <c r="AH91" s="586">
        <f t="shared" si="94"/>
        <v>0</v>
      </c>
      <c r="AI91" s="586">
        <f t="shared" si="94"/>
        <v>0</v>
      </c>
      <c r="AJ91" s="586">
        <f t="shared" si="94"/>
        <v>0</v>
      </c>
      <c r="AK91" s="586">
        <f t="shared" si="94"/>
        <v>0</v>
      </c>
      <c r="AL91" s="586">
        <f t="shared" si="94"/>
        <v>0</v>
      </c>
      <c r="AM91" s="586">
        <f t="shared" si="94"/>
        <v>0</v>
      </c>
      <c r="AN91" s="586">
        <f t="shared" si="94"/>
        <v>0</v>
      </c>
      <c r="AO91" s="586">
        <f t="shared" si="94"/>
        <v>0</v>
      </c>
      <c r="AP91" s="586">
        <f t="shared" si="94"/>
        <v>0</v>
      </c>
      <c r="AQ91" s="586">
        <f t="shared" si="94"/>
        <v>0</v>
      </c>
      <c r="AR91" s="586">
        <f t="shared" si="94"/>
        <v>0</v>
      </c>
      <c r="AS91" s="586">
        <f t="shared" si="94"/>
        <v>0</v>
      </c>
      <c r="AT91" s="170"/>
      <c r="AU91" s="170"/>
      <c r="AV91" s="170"/>
      <c r="AW91" s="828"/>
      <c r="AX91" s="726"/>
    </row>
    <row r="92" spans="1:50" ht="15" x14ac:dyDescent="0.25">
      <c r="A92" s="170"/>
      <c r="B92" s="719"/>
      <c r="C92" s="170" t="str">
        <f t="shared" si="93"/>
        <v>70</v>
      </c>
      <c r="D92" s="170"/>
      <c r="E92" s="170"/>
      <c r="F92" s="170">
        <f>+Parameters!D10</f>
        <v>7</v>
      </c>
      <c r="G92" s="170" t="str">
        <f>+Parameters!E10</f>
        <v>Piling / Caissons</v>
      </c>
      <c r="H92" s="586">
        <f t="shared" si="95"/>
        <v>0</v>
      </c>
      <c r="I92" s="170">
        <f>+Parameters!F10</f>
        <v>0</v>
      </c>
      <c r="J92" s="170"/>
      <c r="K92" s="170"/>
      <c r="L92" s="170"/>
      <c r="M92" s="730"/>
      <c r="N92" s="730"/>
      <c r="O92" s="730"/>
      <c r="P92" s="731"/>
      <c r="Q92" s="731"/>
      <c r="R92" s="730"/>
      <c r="S92" s="730"/>
      <c r="T92" s="723"/>
      <c r="U92" s="724"/>
      <c r="V92" s="725"/>
      <c r="W92" s="725"/>
      <c r="X92" s="723"/>
      <c r="Y92" s="723"/>
      <c r="Z92" s="723"/>
      <c r="AA92" s="726"/>
      <c r="AB92" s="726"/>
      <c r="AC92" s="170"/>
      <c r="AD92" s="586">
        <f t="shared" si="94"/>
        <v>0</v>
      </c>
      <c r="AE92" s="586">
        <f t="shared" si="94"/>
        <v>0</v>
      </c>
      <c r="AF92" s="586">
        <f t="shared" si="94"/>
        <v>0</v>
      </c>
      <c r="AG92" s="586">
        <f t="shared" si="94"/>
        <v>0</v>
      </c>
      <c r="AH92" s="586">
        <f t="shared" si="94"/>
        <v>0</v>
      </c>
      <c r="AI92" s="586">
        <f t="shared" si="94"/>
        <v>0</v>
      </c>
      <c r="AJ92" s="586">
        <f t="shared" si="94"/>
        <v>0</v>
      </c>
      <c r="AK92" s="586">
        <f t="shared" si="94"/>
        <v>0</v>
      </c>
      <c r="AL92" s="586">
        <f t="shared" si="94"/>
        <v>0</v>
      </c>
      <c r="AM92" s="586">
        <f t="shared" si="94"/>
        <v>0</v>
      </c>
      <c r="AN92" s="586">
        <f t="shared" si="94"/>
        <v>0</v>
      </c>
      <c r="AO92" s="586">
        <f t="shared" si="94"/>
        <v>0</v>
      </c>
      <c r="AP92" s="586">
        <f t="shared" si="94"/>
        <v>0</v>
      </c>
      <c r="AQ92" s="586">
        <f t="shared" si="94"/>
        <v>0</v>
      </c>
      <c r="AR92" s="586">
        <f t="shared" si="94"/>
        <v>0</v>
      </c>
      <c r="AS92" s="586">
        <f t="shared" si="94"/>
        <v>0</v>
      </c>
      <c r="AT92" s="170"/>
      <c r="AU92" s="170"/>
      <c r="AV92" s="170"/>
      <c r="AW92" s="828"/>
      <c r="AX92" s="726"/>
    </row>
    <row r="93" spans="1:50" ht="15" x14ac:dyDescent="0.25">
      <c r="A93" s="170"/>
      <c r="B93" s="719"/>
      <c r="C93" s="170" t="str">
        <f t="shared" si="93"/>
        <v>80</v>
      </c>
      <c r="D93" s="170"/>
      <c r="E93" s="170"/>
      <c r="F93" s="170">
        <f>+Parameters!D11</f>
        <v>8</v>
      </c>
      <c r="G93" s="170" t="str">
        <f>+Parameters!E11</f>
        <v>ROW work ( clearing/ Grubbing/ access roads)</v>
      </c>
      <c r="H93" s="586">
        <f t="shared" si="95"/>
        <v>0</v>
      </c>
      <c r="I93" s="170">
        <f>+Parameters!F11</f>
        <v>0</v>
      </c>
      <c r="J93" s="170"/>
      <c r="K93" s="170"/>
      <c r="L93" s="170"/>
      <c r="M93" s="730"/>
      <c r="N93" s="730"/>
      <c r="O93" s="730"/>
      <c r="P93" s="731"/>
      <c r="Q93" s="731"/>
      <c r="R93" s="730"/>
      <c r="S93" s="730"/>
      <c r="T93" s="723"/>
      <c r="U93" s="724"/>
      <c r="V93" s="725"/>
      <c r="W93" s="725"/>
      <c r="X93" s="723"/>
      <c r="Y93" s="723"/>
      <c r="Z93" s="723"/>
      <c r="AA93" s="726"/>
      <c r="AB93" s="726"/>
      <c r="AC93" s="170"/>
      <c r="AD93" s="586">
        <f t="shared" si="94"/>
        <v>0</v>
      </c>
      <c r="AE93" s="586">
        <f t="shared" si="94"/>
        <v>0</v>
      </c>
      <c r="AF93" s="586">
        <f t="shared" si="94"/>
        <v>0</v>
      </c>
      <c r="AG93" s="586">
        <f t="shared" si="94"/>
        <v>0</v>
      </c>
      <c r="AH93" s="586">
        <f t="shared" si="94"/>
        <v>0</v>
      </c>
      <c r="AI93" s="586">
        <f t="shared" si="94"/>
        <v>0</v>
      </c>
      <c r="AJ93" s="586">
        <f t="shared" si="94"/>
        <v>0</v>
      </c>
      <c r="AK93" s="586">
        <f t="shared" si="94"/>
        <v>0</v>
      </c>
      <c r="AL93" s="586">
        <f t="shared" si="94"/>
        <v>0</v>
      </c>
      <c r="AM93" s="586">
        <f t="shared" si="94"/>
        <v>0</v>
      </c>
      <c r="AN93" s="586">
        <f t="shared" si="94"/>
        <v>0</v>
      </c>
      <c r="AO93" s="586">
        <f t="shared" si="94"/>
        <v>0</v>
      </c>
      <c r="AP93" s="586">
        <f t="shared" si="94"/>
        <v>0</v>
      </c>
      <c r="AQ93" s="586">
        <f t="shared" si="94"/>
        <v>0</v>
      </c>
      <c r="AR93" s="586">
        <f t="shared" si="94"/>
        <v>0</v>
      </c>
      <c r="AS93" s="586">
        <f t="shared" si="94"/>
        <v>0</v>
      </c>
      <c r="AT93" s="170"/>
      <c r="AU93" s="170"/>
      <c r="AV93" s="170"/>
      <c r="AW93" s="828"/>
      <c r="AX93" s="726"/>
    </row>
    <row r="94" spans="1:50" ht="15" x14ac:dyDescent="0.25">
      <c r="A94" s="170"/>
      <c r="B94" s="719"/>
      <c r="C94" s="170" t="str">
        <f t="shared" si="93"/>
        <v>90</v>
      </c>
      <c r="D94" s="170"/>
      <c r="E94" s="170"/>
      <c r="F94" s="170">
        <f>+Parameters!D12</f>
        <v>9</v>
      </c>
      <c r="G94" s="170" t="str">
        <f>+Parameters!E12</f>
        <v>Mats</v>
      </c>
      <c r="H94" s="586">
        <f t="shared" si="95"/>
        <v>0</v>
      </c>
      <c r="I94" s="170">
        <f>+Parameters!F12</f>
        <v>0</v>
      </c>
      <c r="J94" s="170"/>
      <c r="K94" s="170"/>
      <c r="L94" s="170"/>
      <c r="M94" s="730"/>
      <c r="N94" s="730"/>
      <c r="O94" s="730"/>
      <c r="P94" s="731"/>
      <c r="Q94" s="731"/>
      <c r="R94" s="730"/>
      <c r="S94" s="730"/>
      <c r="T94" s="723"/>
      <c r="U94" s="724"/>
      <c r="V94" s="725"/>
      <c r="W94" s="725"/>
      <c r="X94" s="723"/>
      <c r="Y94" s="723"/>
      <c r="Z94" s="723"/>
      <c r="AA94" s="726"/>
      <c r="AB94" s="726"/>
      <c r="AC94" s="170"/>
      <c r="AD94" s="586">
        <f t="shared" si="94"/>
        <v>0</v>
      </c>
      <c r="AE94" s="586">
        <f t="shared" si="94"/>
        <v>0</v>
      </c>
      <c r="AF94" s="586">
        <f t="shared" si="94"/>
        <v>0</v>
      </c>
      <c r="AG94" s="586">
        <f t="shared" si="94"/>
        <v>0</v>
      </c>
      <c r="AH94" s="586">
        <f t="shared" si="94"/>
        <v>0</v>
      </c>
      <c r="AI94" s="586">
        <f t="shared" si="94"/>
        <v>0</v>
      </c>
      <c r="AJ94" s="586">
        <f t="shared" si="94"/>
        <v>0</v>
      </c>
      <c r="AK94" s="586">
        <f t="shared" si="94"/>
        <v>0</v>
      </c>
      <c r="AL94" s="586">
        <f t="shared" si="94"/>
        <v>0</v>
      </c>
      <c r="AM94" s="586">
        <f t="shared" si="94"/>
        <v>0</v>
      </c>
      <c r="AN94" s="586">
        <f t="shared" si="94"/>
        <v>0</v>
      </c>
      <c r="AO94" s="586">
        <f t="shared" si="94"/>
        <v>0</v>
      </c>
      <c r="AP94" s="586">
        <f t="shared" si="94"/>
        <v>0</v>
      </c>
      <c r="AQ94" s="586">
        <f t="shared" si="94"/>
        <v>0</v>
      </c>
      <c r="AR94" s="586">
        <f t="shared" si="94"/>
        <v>0</v>
      </c>
      <c r="AS94" s="586">
        <f t="shared" si="94"/>
        <v>0</v>
      </c>
      <c r="AT94" s="170"/>
      <c r="AU94" s="170"/>
      <c r="AV94" s="170"/>
      <c r="AW94" s="828"/>
      <c r="AX94" s="726"/>
    </row>
    <row r="95" spans="1:50" ht="15" x14ac:dyDescent="0.25">
      <c r="A95" s="170"/>
      <c r="B95" s="719"/>
      <c r="C95" s="170" t="str">
        <f t="shared" si="93"/>
        <v>100</v>
      </c>
      <c r="D95" s="170"/>
      <c r="E95" s="170"/>
      <c r="F95" s="170">
        <f>+Parameters!D13</f>
        <v>10</v>
      </c>
      <c r="G95" s="170" t="str">
        <f>+Parameters!E13</f>
        <v>Crane pads</v>
      </c>
      <c r="H95" s="586">
        <f t="shared" si="95"/>
        <v>0</v>
      </c>
      <c r="I95" s="170">
        <f>+Parameters!F13</f>
        <v>0</v>
      </c>
      <c r="J95" s="170"/>
      <c r="K95" s="170"/>
      <c r="L95" s="170"/>
      <c r="M95" s="730"/>
      <c r="N95" s="730"/>
      <c r="O95" s="730"/>
      <c r="P95" s="731"/>
      <c r="Q95" s="731"/>
      <c r="R95" s="730"/>
      <c r="S95" s="730"/>
      <c r="T95" s="723"/>
      <c r="U95" s="724"/>
      <c r="V95" s="725"/>
      <c r="W95" s="725"/>
      <c r="X95" s="723"/>
      <c r="Y95" s="723"/>
      <c r="Z95" s="723"/>
      <c r="AA95" s="726"/>
      <c r="AB95" s="726"/>
      <c r="AC95" s="170"/>
      <c r="AD95" s="586">
        <f t="shared" si="94"/>
        <v>0</v>
      </c>
      <c r="AE95" s="586">
        <f t="shared" si="94"/>
        <v>0</v>
      </c>
      <c r="AF95" s="586">
        <f t="shared" si="94"/>
        <v>0</v>
      </c>
      <c r="AG95" s="586">
        <f t="shared" si="94"/>
        <v>0</v>
      </c>
      <c r="AH95" s="586">
        <f t="shared" si="94"/>
        <v>0</v>
      </c>
      <c r="AI95" s="586">
        <f t="shared" si="94"/>
        <v>0</v>
      </c>
      <c r="AJ95" s="586">
        <f t="shared" si="94"/>
        <v>0</v>
      </c>
      <c r="AK95" s="586">
        <f t="shared" si="94"/>
        <v>0</v>
      </c>
      <c r="AL95" s="586">
        <f t="shared" si="94"/>
        <v>0</v>
      </c>
      <c r="AM95" s="586">
        <f t="shared" si="94"/>
        <v>0</v>
      </c>
      <c r="AN95" s="586">
        <f t="shared" si="94"/>
        <v>0</v>
      </c>
      <c r="AO95" s="586">
        <f t="shared" si="94"/>
        <v>0</v>
      </c>
      <c r="AP95" s="586">
        <f t="shared" si="94"/>
        <v>0</v>
      </c>
      <c r="AQ95" s="586">
        <f t="shared" si="94"/>
        <v>0</v>
      </c>
      <c r="AR95" s="586">
        <f t="shared" si="94"/>
        <v>0</v>
      </c>
      <c r="AS95" s="586">
        <f t="shared" si="94"/>
        <v>0</v>
      </c>
      <c r="AT95" s="170"/>
      <c r="AU95" s="170"/>
      <c r="AV95" s="170"/>
      <c r="AW95" s="828"/>
      <c r="AX95" s="726"/>
    </row>
    <row r="96" spans="1:50" ht="15" x14ac:dyDescent="0.25">
      <c r="A96" s="170"/>
      <c r="B96" s="719"/>
      <c r="C96" s="170" t="str">
        <f t="shared" si="93"/>
        <v>11cy</v>
      </c>
      <c r="D96" s="170"/>
      <c r="E96" s="170"/>
      <c r="F96" s="170">
        <f>+Parameters!D14</f>
        <v>11</v>
      </c>
      <c r="G96" s="170" t="str">
        <f>+Parameters!E14</f>
        <v>Excavation ( incl machine / hand / trench)</v>
      </c>
      <c r="H96" s="586">
        <f t="shared" si="95"/>
        <v>0</v>
      </c>
      <c r="I96" s="170" t="str">
        <f>+Parameters!F14</f>
        <v>cy</v>
      </c>
      <c r="J96" s="170"/>
      <c r="K96" s="170"/>
      <c r="L96" s="170"/>
      <c r="M96" s="730"/>
      <c r="N96" s="730"/>
      <c r="O96" s="730"/>
      <c r="P96" s="731"/>
      <c r="Q96" s="731"/>
      <c r="R96" s="730"/>
      <c r="S96" s="730"/>
      <c r="T96" s="723"/>
      <c r="U96" s="724"/>
      <c r="V96" s="725"/>
      <c r="W96" s="725"/>
      <c r="X96" s="723"/>
      <c r="Y96" s="723"/>
      <c r="Z96" s="723"/>
      <c r="AA96" s="726"/>
      <c r="AB96" s="726"/>
      <c r="AC96" s="170"/>
      <c r="AD96" s="586">
        <f t="shared" ref="AD96:AS105" si="96">SUMIF($F$9:$F$82,$F96,AD$9:AD$82)</f>
        <v>0</v>
      </c>
      <c r="AE96" s="586">
        <f t="shared" si="96"/>
        <v>0</v>
      </c>
      <c r="AF96" s="586">
        <f t="shared" si="96"/>
        <v>0</v>
      </c>
      <c r="AG96" s="586">
        <f t="shared" si="96"/>
        <v>0</v>
      </c>
      <c r="AH96" s="586">
        <f t="shared" si="96"/>
        <v>0</v>
      </c>
      <c r="AI96" s="586">
        <f t="shared" si="96"/>
        <v>0</v>
      </c>
      <c r="AJ96" s="586">
        <f t="shared" si="96"/>
        <v>0</v>
      </c>
      <c r="AK96" s="586">
        <f t="shared" si="96"/>
        <v>0</v>
      </c>
      <c r="AL96" s="586">
        <f t="shared" si="96"/>
        <v>0</v>
      </c>
      <c r="AM96" s="586">
        <f t="shared" si="96"/>
        <v>0</v>
      </c>
      <c r="AN96" s="586">
        <f t="shared" si="96"/>
        <v>0</v>
      </c>
      <c r="AO96" s="586">
        <f t="shared" si="96"/>
        <v>0</v>
      </c>
      <c r="AP96" s="586">
        <f t="shared" si="96"/>
        <v>0</v>
      </c>
      <c r="AQ96" s="586">
        <f t="shared" si="96"/>
        <v>0</v>
      </c>
      <c r="AR96" s="586">
        <f t="shared" si="96"/>
        <v>0</v>
      </c>
      <c r="AS96" s="586">
        <f t="shared" si="96"/>
        <v>0</v>
      </c>
      <c r="AT96" s="170"/>
      <c r="AU96" s="170"/>
      <c r="AV96" s="170"/>
      <c r="AW96" s="828"/>
      <c r="AX96" s="726"/>
    </row>
    <row r="97" spans="1:50" ht="15" x14ac:dyDescent="0.25">
      <c r="A97" s="170"/>
      <c r="B97" s="719"/>
      <c r="C97" s="170" t="str">
        <f t="shared" si="93"/>
        <v>12cy</v>
      </c>
      <c r="D97" s="170"/>
      <c r="E97" s="170"/>
      <c r="F97" s="170">
        <f>+Parameters!D15</f>
        <v>12</v>
      </c>
      <c r="G97" s="170" t="str">
        <f>+Parameters!E15</f>
        <v>Rock Excavation</v>
      </c>
      <c r="H97" s="586">
        <f t="shared" si="95"/>
        <v>0</v>
      </c>
      <c r="I97" s="170" t="str">
        <f>+Parameters!F15</f>
        <v>cy</v>
      </c>
      <c r="J97" s="170"/>
      <c r="K97" s="170"/>
      <c r="L97" s="170"/>
      <c r="M97" s="730"/>
      <c r="N97" s="730"/>
      <c r="O97" s="730"/>
      <c r="P97" s="731"/>
      <c r="Q97" s="731"/>
      <c r="R97" s="730"/>
      <c r="S97" s="730"/>
      <c r="T97" s="723"/>
      <c r="U97" s="724"/>
      <c r="V97" s="725"/>
      <c r="W97" s="725"/>
      <c r="X97" s="723"/>
      <c r="Y97" s="723"/>
      <c r="Z97" s="723"/>
      <c r="AA97" s="726"/>
      <c r="AB97" s="726"/>
      <c r="AC97" s="170"/>
      <c r="AD97" s="586">
        <f t="shared" si="96"/>
        <v>0</v>
      </c>
      <c r="AE97" s="586">
        <f t="shared" si="96"/>
        <v>0</v>
      </c>
      <c r="AF97" s="586">
        <f t="shared" si="96"/>
        <v>0</v>
      </c>
      <c r="AG97" s="586">
        <f t="shared" si="96"/>
        <v>0</v>
      </c>
      <c r="AH97" s="586">
        <f t="shared" si="96"/>
        <v>0</v>
      </c>
      <c r="AI97" s="586">
        <f t="shared" si="96"/>
        <v>0</v>
      </c>
      <c r="AJ97" s="586">
        <f t="shared" si="96"/>
        <v>0</v>
      </c>
      <c r="AK97" s="586">
        <f t="shared" si="96"/>
        <v>0</v>
      </c>
      <c r="AL97" s="586">
        <f t="shared" si="96"/>
        <v>0</v>
      </c>
      <c r="AM97" s="586">
        <f t="shared" si="96"/>
        <v>0</v>
      </c>
      <c r="AN97" s="586">
        <f t="shared" si="96"/>
        <v>0</v>
      </c>
      <c r="AO97" s="586">
        <f t="shared" si="96"/>
        <v>0</v>
      </c>
      <c r="AP97" s="586">
        <f t="shared" si="96"/>
        <v>0</v>
      </c>
      <c r="AQ97" s="586">
        <f t="shared" si="96"/>
        <v>0</v>
      </c>
      <c r="AR97" s="586">
        <f t="shared" si="96"/>
        <v>0</v>
      </c>
      <c r="AS97" s="586">
        <f t="shared" si="96"/>
        <v>0</v>
      </c>
      <c r="AT97" s="170"/>
      <c r="AU97" s="170"/>
      <c r="AV97" s="170"/>
      <c r="AW97" s="828"/>
      <c r="AX97" s="726"/>
    </row>
    <row r="98" spans="1:50" ht="15" x14ac:dyDescent="0.25">
      <c r="A98" s="170"/>
      <c r="B98" s="719"/>
      <c r="C98" s="170" t="str">
        <f t="shared" si="93"/>
        <v>13cy</v>
      </c>
      <c r="D98" s="170"/>
      <c r="E98" s="170"/>
      <c r="F98" s="170">
        <f>+Parameters!D16</f>
        <v>13</v>
      </c>
      <c r="G98" s="170" t="str">
        <f>+Parameters!E16</f>
        <v>Soil disposal</v>
      </c>
      <c r="H98" s="586">
        <f t="shared" si="95"/>
        <v>0</v>
      </c>
      <c r="I98" s="170" t="str">
        <f>+Parameters!F16</f>
        <v>cy</v>
      </c>
      <c r="J98" s="170"/>
      <c r="K98" s="170"/>
      <c r="L98" s="170"/>
      <c r="M98" s="730"/>
      <c r="N98" s="730"/>
      <c r="O98" s="730"/>
      <c r="P98" s="731"/>
      <c r="Q98" s="731"/>
      <c r="R98" s="730"/>
      <c r="S98" s="730"/>
      <c r="T98" s="723"/>
      <c r="U98" s="724"/>
      <c r="V98" s="725"/>
      <c r="W98" s="725"/>
      <c r="X98" s="723"/>
      <c r="Y98" s="723"/>
      <c r="Z98" s="723"/>
      <c r="AA98" s="726"/>
      <c r="AB98" s="726"/>
      <c r="AC98" s="170"/>
      <c r="AD98" s="586">
        <f t="shared" si="96"/>
        <v>0</v>
      </c>
      <c r="AE98" s="586">
        <f t="shared" si="96"/>
        <v>0</v>
      </c>
      <c r="AF98" s="586">
        <f t="shared" si="96"/>
        <v>0</v>
      </c>
      <c r="AG98" s="586">
        <f t="shared" si="96"/>
        <v>0</v>
      </c>
      <c r="AH98" s="586">
        <f t="shared" si="96"/>
        <v>0</v>
      </c>
      <c r="AI98" s="586">
        <f t="shared" si="96"/>
        <v>0</v>
      </c>
      <c r="AJ98" s="586">
        <f t="shared" si="96"/>
        <v>0</v>
      </c>
      <c r="AK98" s="586">
        <f t="shared" si="96"/>
        <v>0</v>
      </c>
      <c r="AL98" s="586">
        <f t="shared" si="96"/>
        <v>0</v>
      </c>
      <c r="AM98" s="586">
        <f t="shared" si="96"/>
        <v>0</v>
      </c>
      <c r="AN98" s="586">
        <f t="shared" si="96"/>
        <v>0</v>
      </c>
      <c r="AO98" s="586">
        <f t="shared" si="96"/>
        <v>0</v>
      </c>
      <c r="AP98" s="586">
        <f t="shared" si="96"/>
        <v>0</v>
      </c>
      <c r="AQ98" s="586">
        <f t="shared" si="96"/>
        <v>0</v>
      </c>
      <c r="AR98" s="586">
        <f t="shared" si="96"/>
        <v>0</v>
      </c>
      <c r="AS98" s="586">
        <f t="shared" si="96"/>
        <v>0</v>
      </c>
      <c r="AT98" s="170"/>
      <c r="AU98" s="170"/>
      <c r="AV98" s="170"/>
      <c r="AW98" s="828"/>
      <c r="AX98" s="726"/>
    </row>
    <row r="99" spans="1:50" ht="15" x14ac:dyDescent="0.25">
      <c r="A99" s="170"/>
      <c r="B99" s="719"/>
      <c r="C99" s="170" t="str">
        <f t="shared" si="93"/>
        <v>14cy</v>
      </c>
      <c r="D99" s="170"/>
      <c r="E99" s="170"/>
      <c r="F99" s="170">
        <f>+Parameters!D17</f>
        <v>14</v>
      </c>
      <c r="G99" s="170" t="str">
        <f>+Parameters!E17</f>
        <v>Backfill - earth</v>
      </c>
      <c r="H99" s="586">
        <f t="shared" si="95"/>
        <v>0</v>
      </c>
      <c r="I99" s="170" t="str">
        <f>+Parameters!F17</f>
        <v>cy</v>
      </c>
      <c r="J99" s="170"/>
      <c r="K99" s="170"/>
      <c r="L99" s="170"/>
      <c r="M99" s="730"/>
      <c r="N99" s="730"/>
      <c r="O99" s="730"/>
      <c r="P99" s="731"/>
      <c r="Q99" s="731"/>
      <c r="R99" s="730"/>
      <c r="S99" s="730"/>
      <c r="T99" s="723"/>
      <c r="U99" s="724"/>
      <c r="V99" s="725"/>
      <c r="W99" s="725"/>
      <c r="X99" s="723"/>
      <c r="Y99" s="723"/>
      <c r="Z99" s="723"/>
      <c r="AA99" s="726"/>
      <c r="AB99" s="726"/>
      <c r="AC99" s="170"/>
      <c r="AD99" s="586">
        <f t="shared" si="96"/>
        <v>0</v>
      </c>
      <c r="AE99" s="586">
        <f t="shared" si="96"/>
        <v>0</v>
      </c>
      <c r="AF99" s="586">
        <f t="shared" si="96"/>
        <v>0</v>
      </c>
      <c r="AG99" s="586">
        <f t="shared" si="96"/>
        <v>0</v>
      </c>
      <c r="AH99" s="586">
        <f t="shared" si="96"/>
        <v>0</v>
      </c>
      <c r="AI99" s="586">
        <f t="shared" si="96"/>
        <v>0</v>
      </c>
      <c r="AJ99" s="586">
        <f t="shared" si="96"/>
        <v>0</v>
      </c>
      <c r="AK99" s="586">
        <f t="shared" si="96"/>
        <v>0</v>
      </c>
      <c r="AL99" s="586">
        <f t="shared" si="96"/>
        <v>0</v>
      </c>
      <c r="AM99" s="586">
        <f t="shared" si="96"/>
        <v>0</v>
      </c>
      <c r="AN99" s="586">
        <f t="shared" si="96"/>
        <v>0</v>
      </c>
      <c r="AO99" s="586">
        <f t="shared" si="96"/>
        <v>0</v>
      </c>
      <c r="AP99" s="586">
        <f t="shared" si="96"/>
        <v>0</v>
      </c>
      <c r="AQ99" s="586">
        <f t="shared" si="96"/>
        <v>0</v>
      </c>
      <c r="AR99" s="586">
        <f t="shared" si="96"/>
        <v>0</v>
      </c>
      <c r="AS99" s="586">
        <f t="shared" si="96"/>
        <v>0</v>
      </c>
      <c r="AT99" s="170"/>
      <c r="AU99" s="170"/>
      <c r="AV99" s="170"/>
      <c r="AW99" s="828"/>
      <c r="AX99" s="726"/>
    </row>
    <row r="100" spans="1:50" ht="15" x14ac:dyDescent="0.25">
      <c r="A100" s="170"/>
      <c r="B100" s="719"/>
      <c r="C100" s="170" t="str">
        <f t="shared" si="93"/>
        <v>15cy</v>
      </c>
      <c r="D100" s="170"/>
      <c r="E100" s="170"/>
      <c r="F100" s="170">
        <f>+Parameters!D18</f>
        <v>15</v>
      </c>
      <c r="G100" s="170" t="str">
        <f>+Parameters!E18</f>
        <v>Backfill- stone ( incl trap rock and surfacing)</v>
      </c>
      <c r="H100" s="586">
        <f t="shared" si="95"/>
        <v>0</v>
      </c>
      <c r="I100" s="170" t="str">
        <f>+Parameters!F18</f>
        <v>cy</v>
      </c>
      <c r="J100" s="170"/>
      <c r="K100" s="170"/>
      <c r="L100" s="170"/>
      <c r="M100" s="730"/>
      <c r="N100" s="730"/>
      <c r="O100" s="730"/>
      <c r="P100" s="731"/>
      <c r="Q100" s="731"/>
      <c r="R100" s="730"/>
      <c r="S100" s="730"/>
      <c r="T100" s="723"/>
      <c r="U100" s="724"/>
      <c r="V100" s="725"/>
      <c r="W100" s="725"/>
      <c r="X100" s="723"/>
      <c r="Y100" s="723"/>
      <c r="Z100" s="723"/>
      <c r="AA100" s="726"/>
      <c r="AB100" s="726"/>
      <c r="AC100" s="170"/>
      <c r="AD100" s="586">
        <f t="shared" si="96"/>
        <v>0</v>
      </c>
      <c r="AE100" s="586">
        <f t="shared" si="96"/>
        <v>0</v>
      </c>
      <c r="AF100" s="586">
        <f t="shared" si="96"/>
        <v>0</v>
      </c>
      <c r="AG100" s="586">
        <f t="shared" si="96"/>
        <v>0</v>
      </c>
      <c r="AH100" s="586">
        <f t="shared" si="96"/>
        <v>0</v>
      </c>
      <c r="AI100" s="586">
        <f t="shared" si="96"/>
        <v>0</v>
      </c>
      <c r="AJ100" s="586">
        <f t="shared" si="96"/>
        <v>0</v>
      </c>
      <c r="AK100" s="586">
        <f t="shared" si="96"/>
        <v>0</v>
      </c>
      <c r="AL100" s="586">
        <f t="shared" si="96"/>
        <v>0</v>
      </c>
      <c r="AM100" s="586">
        <f t="shared" si="96"/>
        <v>0</v>
      </c>
      <c r="AN100" s="586">
        <f t="shared" si="96"/>
        <v>0</v>
      </c>
      <c r="AO100" s="586">
        <f t="shared" si="96"/>
        <v>0</v>
      </c>
      <c r="AP100" s="586">
        <f t="shared" si="96"/>
        <v>0</v>
      </c>
      <c r="AQ100" s="586">
        <f t="shared" si="96"/>
        <v>0</v>
      </c>
      <c r="AR100" s="586">
        <f t="shared" si="96"/>
        <v>0</v>
      </c>
      <c r="AS100" s="586">
        <f t="shared" si="96"/>
        <v>0</v>
      </c>
      <c r="AT100" s="170"/>
      <c r="AU100" s="170"/>
      <c r="AV100" s="170"/>
      <c r="AW100" s="828"/>
      <c r="AX100" s="726"/>
    </row>
    <row r="101" spans="1:50" ht="15" x14ac:dyDescent="0.25">
      <c r="A101" s="170"/>
      <c r="B101" s="719"/>
      <c r="C101" s="170" t="str">
        <f t="shared" si="93"/>
        <v>16lf</v>
      </c>
      <c r="D101" s="170"/>
      <c r="E101" s="170"/>
      <c r="F101" s="170">
        <f>+Parameters!D19</f>
        <v>16</v>
      </c>
      <c r="G101" s="170" t="str">
        <f>+Parameters!E19</f>
        <v>Fence / Gates</v>
      </c>
      <c r="H101" s="586">
        <f t="shared" si="95"/>
        <v>0</v>
      </c>
      <c r="I101" s="170" t="str">
        <f>+Parameters!F19</f>
        <v>lf</v>
      </c>
      <c r="J101" s="170"/>
      <c r="K101" s="170"/>
      <c r="L101" s="170"/>
      <c r="M101" s="730"/>
      <c r="N101" s="730"/>
      <c r="O101" s="730"/>
      <c r="P101" s="731"/>
      <c r="Q101" s="731"/>
      <c r="R101" s="730"/>
      <c r="S101" s="730"/>
      <c r="T101" s="723"/>
      <c r="U101" s="724"/>
      <c r="V101" s="725"/>
      <c r="W101" s="725"/>
      <c r="X101" s="723"/>
      <c r="Y101" s="723"/>
      <c r="Z101" s="723"/>
      <c r="AA101" s="726"/>
      <c r="AB101" s="726"/>
      <c r="AC101" s="170"/>
      <c r="AD101" s="586">
        <f t="shared" si="96"/>
        <v>0</v>
      </c>
      <c r="AE101" s="586">
        <f t="shared" si="96"/>
        <v>0</v>
      </c>
      <c r="AF101" s="586">
        <f t="shared" si="96"/>
        <v>0</v>
      </c>
      <c r="AG101" s="586">
        <f t="shared" si="96"/>
        <v>0</v>
      </c>
      <c r="AH101" s="586">
        <f t="shared" si="96"/>
        <v>0</v>
      </c>
      <c r="AI101" s="586">
        <f t="shared" si="96"/>
        <v>0</v>
      </c>
      <c r="AJ101" s="586">
        <f t="shared" si="96"/>
        <v>0</v>
      </c>
      <c r="AK101" s="586">
        <f t="shared" si="96"/>
        <v>0</v>
      </c>
      <c r="AL101" s="586">
        <f t="shared" si="96"/>
        <v>0</v>
      </c>
      <c r="AM101" s="586">
        <f t="shared" si="96"/>
        <v>0</v>
      </c>
      <c r="AN101" s="586">
        <f t="shared" si="96"/>
        <v>0</v>
      </c>
      <c r="AO101" s="586">
        <f t="shared" si="96"/>
        <v>0</v>
      </c>
      <c r="AP101" s="586">
        <f t="shared" si="96"/>
        <v>0</v>
      </c>
      <c r="AQ101" s="586">
        <f t="shared" si="96"/>
        <v>0</v>
      </c>
      <c r="AR101" s="586">
        <f t="shared" si="96"/>
        <v>0</v>
      </c>
      <c r="AS101" s="586">
        <f t="shared" si="96"/>
        <v>0</v>
      </c>
      <c r="AT101" s="170"/>
      <c r="AU101" s="170"/>
      <c r="AV101" s="170"/>
      <c r="AW101" s="828"/>
      <c r="AX101" s="726"/>
    </row>
    <row r="102" spans="1:50" ht="15" x14ac:dyDescent="0.25">
      <c r="A102" s="170"/>
      <c r="B102" s="719"/>
      <c r="C102" s="170" t="str">
        <f t="shared" si="93"/>
        <v>17lf</v>
      </c>
      <c r="D102" s="170"/>
      <c r="E102" s="170"/>
      <c r="F102" s="170">
        <f>+Parameters!D20</f>
        <v>17</v>
      </c>
      <c r="G102" s="170" t="str">
        <f>+Parameters!E20</f>
        <v>CIP Fence, Gates, Balistic protection</v>
      </c>
      <c r="H102" s="586">
        <f t="shared" si="95"/>
        <v>0</v>
      </c>
      <c r="I102" s="170" t="str">
        <f>+Parameters!F20</f>
        <v>lf</v>
      </c>
      <c r="J102" s="170"/>
      <c r="K102" s="170"/>
      <c r="L102" s="170"/>
      <c r="M102" s="730"/>
      <c r="N102" s="730"/>
      <c r="O102" s="730"/>
      <c r="P102" s="731"/>
      <c r="Q102" s="731"/>
      <c r="R102" s="730"/>
      <c r="S102" s="730"/>
      <c r="T102" s="723"/>
      <c r="U102" s="724"/>
      <c r="V102" s="725"/>
      <c r="W102" s="725"/>
      <c r="X102" s="723"/>
      <c r="Y102" s="723"/>
      <c r="Z102" s="723"/>
      <c r="AA102" s="726"/>
      <c r="AB102" s="726"/>
      <c r="AC102" s="170"/>
      <c r="AD102" s="586">
        <f t="shared" si="96"/>
        <v>0</v>
      </c>
      <c r="AE102" s="586">
        <f t="shared" si="96"/>
        <v>0</v>
      </c>
      <c r="AF102" s="586">
        <f t="shared" si="96"/>
        <v>0</v>
      </c>
      <c r="AG102" s="586">
        <f t="shared" si="96"/>
        <v>0</v>
      </c>
      <c r="AH102" s="586">
        <f t="shared" si="96"/>
        <v>0</v>
      </c>
      <c r="AI102" s="586">
        <f t="shared" si="96"/>
        <v>0</v>
      </c>
      <c r="AJ102" s="586">
        <f t="shared" si="96"/>
        <v>0</v>
      </c>
      <c r="AK102" s="586">
        <f t="shared" si="96"/>
        <v>0</v>
      </c>
      <c r="AL102" s="586">
        <f t="shared" si="96"/>
        <v>0</v>
      </c>
      <c r="AM102" s="586">
        <f t="shared" si="96"/>
        <v>0</v>
      </c>
      <c r="AN102" s="586">
        <f t="shared" si="96"/>
        <v>0</v>
      </c>
      <c r="AO102" s="586">
        <f t="shared" si="96"/>
        <v>0</v>
      </c>
      <c r="AP102" s="586">
        <f t="shared" si="96"/>
        <v>0</v>
      </c>
      <c r="AQ102" s="586">
        <f t="shared" si="96"/>
        <v>0</v>
      </c>
      <c r="AR102" s="586">
        <f t="shared" si="96"/>
        <v>0</v>
      </c>
      <c r="AS102" s="586">
        <f t="shared" si="96"/>
        <v>0</v>
      </c>
      <c r="AT102" s="170"/>
      <c r="AU102" s="170"/>
      <c r="AV102" s="170"/>
      <c r="AW102" s="828"/>
      <c r="AX102" s="726"/>
    </row>
    <row r="103" spans="1:50" ht="15" x14ac:dyDescent="0.25">
      <c r="A103" s="170"/>
      <c r="B103" s="719"/>
      <c r="C103" s="170" t="str">
        <f t="shared" si="93"/>
        <v>180</v>
      </c>
      <c r="D103" s="170"/>
      <c r="E103" s="170"/>
      <c r="F103" s="170">
        <f>+Parameters!D21</f>
        <v>18</v>
      </c>
      <c r="G103" s="170" t="str">
        <f>+Parameters!E21</f>
        <v>Sound walls/ retaining walls</v>
      </c>
      <c r="H103" s="586">
        <f t="shared" si="95"/>
        <v>0</v>
      </c>
      <c r="I103" s="170">
        <f>+Parameters!F21</f>
        <v>0</v>
      </c>
      <c r="J103" s="170"/>
      <c r="K103" s="170"/>
      <c r="L103" s="170"/>
      <c r="M103" s="730"/>
      <c r="N103" s="730"/>
      <c r="O103" s="730"/>
      <c r="P103" s="731"/>
      <c r="Q103" s="731"/>
      <c r="R103" s="730"/>
      <c r="S103" s="730"/>
      <c r="T103" s="723"/>
      <c r="U103" s="724"/>
      <c r="V103" s="725"/>
      <c r="W103" s="725"/>
      <c r="X103" s="723"/>
      <c r="Y103" s="723"/>
      <c r="Z103" s="723"/>
      <c r="AA103" s="726"/>
      <c r="AB103" s="726"/>
      <c r="AC103" s="170"/>
      <c r="AD103" s="586">
        <f t="shared" si="96"/>
        <v>0</v>
      </c>
      <c r="AE103" s="586">
        <f t="shared" si="96"/>
        <v>0</v>
      </c>
      <c r="AF103" s="586">
        <f t="shared" si="96"/>
        <v>0</v>
      </c>
      <c r="AG103" s="586">
        <f t="shared" si="96"/>
        <v>0</v>
      </c>
      <c r="AH103" s="586">
        <f t="shared" si="96"/>
        <v>0</v>
      </c>
      <c r="AI103" s="586">
        <f t="shared" si="96"/>
        <v>0</v>
      </c>
      <c r="AJ103" s="586">
        <f t="shared" si="96"/>
        <v>0</v>
      </c>
      <c r="AK103" s="586">
        <f t="shared" si="96"/>
        <v>0</v>
      </c>
      <c r="AL103" s="586">
        <f t="shared" si="96"/>
        <v>0</v>
      </c>
      <c r="AM103" s="586">
        <f t="shared" si="96"/>
        <v>0</v>
      </c>
      <c r="AN103" s="586">
        <f t="shared" si="96"/>
        <v>0</v>
      </c>
      <c r="AO103" s="586">
        <f t="shared" si="96"/>
        <v>0</v>
      </c>
      <c r="AP103" s="586">
        <f t="shared" si="96"/>
        <v>0</v>
      </c>
      <c r="AQ103" s="586">
        <f t="shared" si="96"/>
        <v>0</v>
      </c>
      <c r="AR103" s="586">
        <f t="shared" si="96"/>
        <v>0</v>
      </c>
      <c r="AS103" s="586">
        <f t="shared" si="96"/>
        <v>0</v>
      </c>
      <c r="AT103" s="170"/>
      <c r="AU103" s="170"/>
      <c r="AV103" s="170"/>
      <c r="AW103" s="828"/>
      <c r="AX103" s="726"/>
    </row>
    <row r="104" spans="1:50" ht="15" x14ac:dyDescent="0.25">
      <c r="A104" s="170"/>
      <c r="B104" s="719"/>
      <c r="C104" s="170" t="str">
        <f t="shared" si="93"/>
        <v>190</v>
      </c>
      <c r="D104" s="170"/>
      <c r="E104" s="170"/>
      <c r="F104" s="170">
        <f>+Parameters!D22</f>
        <v>19</v>
      </c>
      <c r="G104" s="170" t="str">
        <f>+Parameters!E22</f>
        <v>Other</v>
      </c>
      <c r="H104" s="586">
        <f t="shared" si="95"/>
        <v>0</v>
      </c>
      <c r="I104" s="170">
        <f>+Parameters!F22</f>
        <v>0</v>
      </c>
      <c r="J104" s="170"/>
      <c r="K104" s="170"/>
      <c r="L104" s="170"/>
      <c r="M104" s="730"/>
      <c r="N104" s="730"/>
      <c r="O104" s="730"/>
      <c r="P104" s="731"/>
      <c r="Q104" s="731"/>
      <c r="R104" s="730"/>
      <c r="S104" s="730"/>
      <c r="T104" s="723"/>
      <c r="U104" s="724"/>
      <c r="V104" s="725"/>
      <c r="W104" s="725"/>
      <c r="X104" s="723"/>
      <c r="Y104" s="723"/>
      <c r="Z104" s="723"/>
      <c r="AA104" s="726"/>
      <c r="AB104" s="726"/>
      <c r="AC104" s="170"/>
      <c r="AD104" s="586">
        <f t="shared" si="96"/>
        <v>0</v>
      </c>
      <c r="AE104" s="586">
        <f t="shared" si="96"/>
        <v>0</v>
      </c>
      <c r="AF104" s="586">
        <f t="shared" si="96"/>
        <v>0</v>
      </c>
      <c r="AG104" s="586">
        <f t="shared" si="96"/>
        <v>0</v>
      </c>
      <c r="AH104" s="586">
        <f t="shared" si="96"/>
        <v>0</v>
      </c>
      <c r="AI104" s="586">
        <f t="shared" si="96"/>
        <v>0</v>
      </c>
      <c r="AJ104" s="586">
        <f t="shared" si="96"/>
        <v>0</v>
      </c>
      <c r="AK104" s="586">
        <f t="shared" si="96"/>
        <v>0</v>
      </c>
      <c r="AL104" s="586">
        <f t="shared" si="96"/>
        <v>0</v>
      </c>
      <c r="AM104" s="586">
        <f t="shared" si="96"/>
        <v>0</v>
      </c>
      <c r="AN104" s="586">
        <f t="shared" si="96"/>
        <v>0</v>
      </c>
      <c r="AO104" s="586">
        <f t="shared" si="96"/>
        <v>0</v>
      </c>
      <c r="AP104" s="586">
        <f t="shared" si="96"/>
        <v>0</v>
      </c>
      <c r="AQ104" s="586">
        <f t="shared" si="96"/>
        <v>0</v>
      </c>
      <c r="AR104" s="586">
        <f t="shared" si="96"/>
        <v>0</v>
      </c>
      <c r="AS104" s="586">
        <f t="shared" si="96"/>
        <v>0</v>
      </c>
      <c r="AT104" s="170"/>
      <c r="AU104" s="170"/>
      <c r="AV104" s="170"/>
      <c r="AW104" s="828"/>
      <c r="AX104" s="726"/>
    </row>
    <row r="105" spans="1:50" ht="15" x14ac:dyDescent="0.25">
      <c r="A105" s="170"/>
      <c r="B105" s="719"/>
      <c r="C105" s="170" t="str">
        <f t="shared" si="93"/>
        <v>200</v>
      </c>
      <c r="D105" s="170"/>
      <c r="E105" s="170"/>
      <c r="F105" s="170">
        <f>+Parameters!D23</f>
        <v>20</v>
      </c>
      <c r="G105" s="170" t="str">
        <f>+Parameters!E23</f>
        <v>Trench (Trenwa type)</v>
      </c>
      <c r="H105" s="586">
        <f t="shared" si="95"/>
        <v>0</v>
      </c>
      <c r="I105" s="170">
        <f>+Parameters!F23</f>
        <v>0</v>
      </c>
      <c r="J105" s="170"/>
      <c r="K105" s="170"/>
      <c r="L105" s="170"/>
      <c r="M105" s="730"/>
      <c r="N105" s="730"/>
      <c r="O105" s="730"/>
      <c r="P105" s="731"/>
      <c r="Q105" s="731"/>
      <c r="R105" s="730"/>
      <c r="S105" s="730"/>
      <c r="T105" s="723"/>
      <c r="U105" s="724"/>
      <c r="V105" s="725"/>
      <c r="W105" s="725"/>
      <c r="X105" s="723"/>
      <c r="Y105" s="723"/>
      <c r="Z105" s="723"/>
      <c r="AA105" s="726"/>
      <c r="AB105" s="726"/>
      <c r="AC105" s="170"/>
      <c r="AD105" s="586">
        <f t="shared" si="96"/>
        <v>0</v>
      </c>
      <c r="AE105" s="586">
        <f t="shared" si="96"/>
        <v>0</v>
      </c>
      <c r="AF105" s="586">
        <f t="shared" si="96"/>
        <v>0</v>
      </c>
      <c r="AG105" s="586">
        <f t="shared" si="96"/>
        <v>0</v>
      </c>
      <c r="AH105" s="586">
        <f t="shared" si="96"/>
        <v>0</v>
      </c>
      <c r="AI105" s="586">
        <f t="shared" si="96"/>
        <v>0</v>
      </c>
      <c r="AJ105" s="586">
        <f t="shared" si="96"/>
        <v>0</v>
      </c>
      <c r="AK105" s="586">
        <f t="shared" si="96"/>
        <v>0</v>
      </c>
      <c r="AL105" s="586">
        <f t="shared" si="96"/>
        <v>0</v>
      </c>
      <c r="AM105" s="586">
        <f t="shared" si="96"/>
        <v>0</v>
      </c>
      <c r="AN105" s="586">
        <f t="shared" si="96"/>
        <v>0</v>
      </c>
      <c r="AO105" s="586">
        <f t="shared" si="96"/>
        <v>0</v>
      </c>
      <c r="AP105" s="586">
        <f t="shared" si="96"/>
        <v>0</v>
      </c>
      <c r="AQ105" s="586">
        <f t="shared" si="96"/>
        <v>0</v>
      </c>
      <c r="AR105" s="586">
        <f t="shared" si="96"/>
        <v>0</v>
      </c>
      <c r="AS105" s="586">
        <f t="shared" si="96"/>
        <v>0</v>
      </c>
      <c r="AT105" s="170"/>
      <c r="AU105" s="170"/>
      <c r="AV105" s="170"/>
      <c r="AW105" s="828"/>
      <c r="AX105" s="726"/>
    </row>
    <row r="106" spans="1:50" ht="15" x14ac:dyDescent="0.25">
      <c r="A106" s="170"/>
      <c r="B106" s="719"/>
      <c r="C106" s="170" t="str">
        <f t="shared" si="93"/>
        <v>21lf</v>
      </c>
      <c r="D106" s="170"/>
      <c r="E106" s="170"/>
      <c r="F106" s="170">
        <f>+Parameters!D24</f>
        <v>21</v>
      </c>
      <c r="G106" s="170" t="str">
        <f>+Parameters!E24</f>
        <v>Ductbank ( incl conduit)</v>
      </c>
      <c r="H106" s="586">
        <f t="shared" si="95"/>
        <v>0</v>
      </c>
      <c r="I106" s="170" t="str">
        <f>+Parameters!F24</f>
        <v>lf</v>
      </c>
      <c r="J106" s="170"/>
      <c r="K106" s="170"/>
      <c r="L106" s="170"/>
      <c r="M106" s="730"/>
      <c r="N106" s="730"/>
      <c r="O106" s="730"/>
      <c r="P106" s="731"/>
      <c r="Q106" s="731"/>
      <c r="R106" s="730"/>
      <c r="S106" s="730"/>
      <c r="T106" s="723"/>
      <c r="U106" s="724"/>
      <c r="V106" s="725"/>
      <c r="W106" s="725"/>
      <c r="X106" s="723"/>
      <c r="Y106" s="723"/>
      <c r="Z106" s="723"/>
      <c r="AA106" s="726"/>
      <c r="AB106" s="726"/>
      <c r="AC106" s="170"/>
      <c r="AD106" s="586">
        <f t="shared" ref="AD106:AS115" si="97">SUMIF($F$9:$F$82,$F106,AD$9:AD$82)</f>
        <v>0</v>
      </c>
      <c r="AE106" s="586">
        <f t="shared" si="97"/>
        <v>0</v>
      </c>
      <c r="AF106" s="586">
        <f t="shared" si="97"/>
        <v>0</v>
      </c>
      <c r="AG106" s="586">
        <f t="shared" si="97"/>
        <v>0</v>
      </c>
      <c r="AH106" s="586">
        <f t="shared" si="97"/>
        <v>0</v>
      </c>
      <c r="AI106" s="586">
        <f t="shared" si="97"/>
        <v>0</v>
      </c>
      <c r="AJ106" s="586">
        <f t="shared" si="97"/>
        <v>0</v>
      </c>
      <c r="AK106" s="586">
        <f t="shared" si="97"/>
        <v>0</v>
      </c>
      <c r="AL106" s="586">
        <f t="shared" si="97"/>
        <v>0</v>
      </c>
      <c r="AM106" s="586">
        <f t="shared" si="97"/>
        <v>0</v>
      </c>
      <c r="AN106" s="586">
        <f t="shared" si="97"/>
        <v>0</v>
      </c>
      <c r="AO106" s="586">
        <f t="shared" si="97"/>
        <v>0</v>
      </c>
      <c r="AP106" s="586">
        <f t="shared" si="97"/>
        <v>0</v>
      </c>
      <c r="AQ106" s="586">
        <f t="shared" si="97"/>
        <v>0</v>
      </c>
      <c r="AR106" s="586">
        <f t="shared" si="97"/>
        <v>0</v>
      </c>
      <c r="AS106" s="586">
        <f t="shared" si="97"/>
        <v>0</v>
      </c>
      <c r="AT106" s="170"/>
      <c r="AU106" s="170"/>
      <c r="AV106" s="170"/>
      <c r="AW106" s="828"/>
      <c r="AX106" s="726"/>
    </row>
    <row r="107" spans="1:50" ht="15" x14ac:dyDescent="0.25">
      <c r="A107" s="170"/>
      <c r="B107" s="719"/>
      <c r="C107" s="170" t="str">
        <f t="shared" si="93"/>
        <v>22lf</v>
      </c>
      <c r="D107" s="170"/>
      <c r="E107" s="170"/>
      <c r="F107" s="170">
        <f>+Parameters!D25</f>
        <v>22</v>
      </c>
      <c r="G107" s="170" t="str">
        <f>+Parameters!E25</f>
        <v>Conduit - AG</v>
      </c>
      <c r="H107" s="586">
        <f t="shared" si="95"/>
        <v>0</v>
      </c>
      <c r="I107" s="170" t="str">
        <f>+Parameters!F25</f>
        <v>lf</v>
      </c>
      <c r="J107" s="170"/>
      <c r="K107" s="170"/>
      <c r="L107" s="170"/>
      <c r="M107" s="730"/>
      <c r="N107" s="730"/>
      <c r="O107" s="730"/>
      <c r="P107" s="731"/>
      <c r="Q107" s="731"/>
      <c r="R107" s="730"/>
      <c r="S107" s="730"/>
      <c r="T107" s="723"/>
      <c r="U107" s="724"/>
      <c r="V107" s="725"/>
      <c r="W107" s="725"/>
      <c r="X107" s="723"/>
      <c r="Y107" s="723"/>
      <c r="Z107" s="723"/>
      <c r="AA107" s="726"/>
      <c r="AB107" s="726"/>
      <c r="AC107" s="170"/>
      <c r="AD107" s="586">
        <f t="shared" si="97"/>
        <v>0</v>
      </c>
      <c r="AE107" s="586">
        <f t="shared" si="97"/>
        <v>0</v>
      </c>
      <c r="AF107" s="586">
        <f t="shared" si="97"/>
        <v>0</v>
      </c>
      <c r="AG107" s="586">
        <f t="shared" si="97"/>
        <v>0</v>
      </c>
      <c r="AH107" s="586">
        <f t="shared" si="97"/>
        <v>0</v>
      </c>
      <c r="AI107" s="586">
        <f t="shared" si="97"/>
        <v>0</v>
      </c>
      <c r="AJ107" s="586">
        <f t="shared" si="97"/>
        <v>0</v>
      </c>
      <c r="AK107" s="586">
        <f t="shared" si="97"/>
        <v>0</v>
      </c>
      <c r="AL107" s="586">
        <f t="shared" si="97"/>
        <v>0</v>
      </c>
      <c r="AM107" s="586">
        <f t="shared" si="97"/>
        <v>0</v>
      </c>
      <c r="AN107" s="586">
        <f t="shared" si="97"/>
        <v>0</v>
      </c>
      <c r="AO107" s="586">
        <f t="shared" si="97"/>
        <v>0</v>
      </c>
      <c r="AP107" s="586">
        <f t="shared" si="97"/>
        <v>0</v>
      </c>
      <c r="AQ107" s="586">
        <f t="shared" si="97"/>
        <v>0</v>
      </c>
      <c r="AR107" s="586">
        <f t="shared" si="97"/>
        <v>0</v>
      </c>
      <c r="AS107" s="586">
        <f t="shared" si="97"/>
        <v>0</v>
      </c>
      <c r="AT107" s="170"/>
      <c r="AU107" s="170"/>
      <c r="AV107" s="170"/>
      <c r="AW107" s="828"/>
      <c r="AX107" s="726"/>
    </row>
    <row r="108" spans="1:50" ht="15" x14ac:dyDescent="0.25">
      <c r="A108" s="170"/>
      <c r="B108" s="719"/>
      <c r="C108" s="170" t="str">
        <f t="shared" si="93"/>
        <v>23lf</v>
      </c>
      <c r="D108" s="170"/>
      <c r="E108" s="170"/>
      <c r="F108" s="170">
        <f>+Parameters!D26</f>
        <v>23</v>
      </c>
      <c r="G108" s="170" t="str">
        <f>+Parameters!E26</f>
        <v>Conduit - UG ( excl ductbank)</v>
      </c>
      <c r="H108" s="586">
        <f t="shared" si="95"/>
        <v>0</v>
      </c>
      <c r="I108" s="170" t="str">
        <f>+Parameters!F26</f>
        <v>lf</v>
      </c>
      <c r="J108" s="170"/>
      <c r="K108" s="170"/>
      <c r="L108" s="170"/>
      <c r="M108" s="730"/>
      <c r="N108" s="730"/>
      <c r="O108" s="730"/>
      <c r="P108" s="731"/>
      <c r="Q108" s="731"/>
      <c r="R108" s="730"/>
      <c r="S108" s="730"/>
      <c r="T108" s="723"/>
      <c r="U108" s="724"/>
      <c r="V108" s="725"/>
      <c r="W108" s="725"/>
      <c r="X108" s="723"/>
      <c r="Y108" s="723"/>
      <c r="Z108" s="723"/>
      <c r="AA108" s="726"/>
      <c r="AB108" s="726"/>
      <c r="AC108" s="170"/>
      <c r="AD108" s="586">
        <f t="shared" si="97"/>
        <v>0</v>
      </c>
      <c r="AE108" s="586">
        <f t="shared" si="97"/>
        <v>0</v>
      </c>
      <c r="AF108" s="586">
        <f t="shared" si="97"/>
        <v>0</v>
      </c>
      <c r="AG108" s="586">
        <f t="shared" si="97"/>
        <v>0</v>
      </c>
      <c r="AH108" s="586">
        <f t="shared" si="97"/>
        <v>0</v>
      </c>
      <c r="AI108" s="586">
        <f t="shared" si="97"/>
        <v>0</v>
      </c>
      <c r="AJ108" s="586">
        <f t="shared" si="97"/>
        <v>0</v>
      </c>
      <c r="AK108" s="586">
        <f t="shared" si="97"/>
        <v>0</v>
      </c>
      <c r="AL108" s="586">
        <f t="shared" si="97"/>
        <v>0</v>
      </c>
      <c r="AM108" s="586">
        <f t="shared" si="97"/>
        <v>0</v>
      </c>
      <c r="AN108" s="586">
        <f t="shared" si="97"/>
        <v>0</v>
      </c>
      <c r="AO108" s="586">
        <f t="shared" si="97"/>
        <v>0</v>
      </c>
      <c r="AP108" s="586">
        <f t="shared" si="97"/>
        <v>0</v>
      </c>
      <c r="AQ108" s="586">
        <f t="shared" si="97"/>
        <v>0</v>
      </c>
      <c r="AR108" s="586">
        <f t="shared" si="97"/>
        <v>0</v>
      </c>
      <c r="AS108" s="586">
        <f t="shared" si="97"/>
        <v>0</v>
      </c>
      <c r="AT108" s="170"/>
      <c r="AU108" s="170"/>
      <c r="AV108" s="170"/>
      <c r="AW108" s="828"/>
      <c r="AX108" s="726"/>
    </row>
    <row r="109" spans="1:50" ht="15" x14ac:dyDescent="0.25">
      <c r="A109" s="170"/>
      <c r="B109" s="719"/>
      <c r="C109" s="170" t="str">
        <f t="shared" si="93"/>
        <v>24lf</v>
      </c>
      <c r="D109" s="170"/>
      <c r="E109" s="170"/>
      <c r="F109" s="170">
        <f>+Parameters!D27</f>
        <v>24</v>
      </c>
      <c r="G109" s="170" t="str">
        <f>+Parameters!E27</f>
        <v>Cable tray</v>
      </c>
      <c r="H109" s="586">
        <f t="shared" si="95"/>
        <v>0</v>
      </c>
      <c r="I109" s="170" t="str">
        <f>+Parameters!F27</f>
        <v>lf</v>
      </c>
      <c r="J109" s="170"/>
      <c r="K109" s="170"/>
      <c r="L109" s="170"/>
      <c r="M109" s="730"/>
      <c r="N109" s="730"/>
      <c r="O109" s="730"/>
      <c r="P109" s="731"/>
      <c r="Q109" s="731"/>
      <c r="R109" s="730"/>
      <c r="S109" s="730"/>
      <c r="T109" s="723"/>
      <c r="U109" s="724"/>
      <c r="V109" s="725"/>
      <c r="W109" s="725"/>
      <c r="X109" s="723"/>
      <c r="Y109" s="723"/>
      <c r="Z109" s="723"/>
      <c r="AA109" s="726"/>
      <c r="AB109" s="726"/>
      <c r="AC109" s="170"/>
      <c r="AD109" s="586">
        <f t="shared" si="97"/>
        <v>0</v>
      </c>
      <c r="AE109" s="586">
        <f t="shared" si="97"/>
        <v>0</v>
      </c>
      <c r="AF109" s="586">
        <f t="shared" si="97"/>
        <v>0</v>
      </c>
      <c r="AG109" s="586">
        <f t="shared" si="97"/>
        <v>0</v>
      </c>
      <c r="AH109" s="586">
        <f t="shared" si="97"/>
        <v>0</v>
      </c>
      <c r="AI109" s="586">
        <f t="shared" si="97"/>
        <v>0</v>
      </c>
      <c r="AJ109" s="586">
        <f t="shared" si="97"/>
        <v>0</v>
      </c>
      <c r="AK109" s="586">
        <f t="shared" si="97"/>
        <v>0</v>
      </c>
      <c r="AL109" s="586">
        <f t="shared" si="97"/>
        <v>0</v>
      </c>
      <c r="AM109" s="586">
        <f t="shared" si="97"/>
        <v>0</v>
      </c>
      <c r="AN109" s="586">
        <f t="shared" si="97"/>
        <v>0</v>
      </c>
      <c r="AO109" s="586">
        <f t="shared" si="97"/>
        <v>0</v>
      </c>
      <c r="AP109" s="586">
        <f t="shared" si="97"/>
        <v>0</v>
      </c>
      <c r="AQ109" s="586">
        <f t="shared" si="97"/>
        <v>0</v>
      </c>
      <c r="AR109" s="586">
        <f t="shared" si="97"/>
        <v>0</v>
      </c>
      <c r="AS109" s="586">
        <f t="shared" si="97"/>
        <v>0</v>
      </c>
      <c r="AT109" s="170"/>
      <c r="AU109" s="170"/>
      <c r="AV109" s="170"/>
      <c r="AW109" s="828"/>
      <c r="AX109" s="726"/>
    </row>
    <row r="110" spans="1:50" ht="15" x14ac:dyDescent="0.25">
      <c r="A110" s="170"/>
      <c r="B110" s="719"/>
      <c r="C110" s="170" t="str">
        <f t="shared" si="93"/>
        <v>25lf</v>
      </c>
      <c r="D110" s="170"/>
      <c r="E110" s="170"/>
      <c r="F110" s="170">
        <f>+Parameters!D28</f>
        <v>25</v>
      </c>
      <c r="G110" s="170" t="str">
        <f>+Parameters!E28</f>
        <v>Grounding</v>
      </c>
      <c r="H110" s="586">
        <f t="shared" si="95"/>
        <v>0</v>
      </c>
      <c r="I110" s="170" t="str">
        <f>+Parameters!F28</f>
        <v>lf</v>
      </c>
      <c r="J110" s="170"/>
      <c r="K110" s="170"/>
      <c r="L110" s="170"/>
      <c r="M110" s="730"/>
      <c r="N110" s="730"/>
      <c r="O110" s="730"/>
      <c r="P110" s="731"/>
      <c r="Q110" s="731"/>
      <c r="R110" s="730"/>
      <c r="S110" s="730"/>
      <c r="T110" s="723"/>
      <c r="U110" s="724"/>
      <c r="V110" s="725"/>
      <c r="W110" s="725"/>
      <c r="X110" s="723"/>
      <c r="Y110" s="723"/>
      <c r="Z110" s="723"/>
      <c r="AA110" s="726"/>
      <c r="AB110" s="726"/>
      <c r="AC110" s="170"/>
      <c r="AD110" s="586">
        <f t="shared" si="97"/>
        <v>0</v>
      </c>
      <c r="AE110" s="586">
        <f t="shared" si="97"/>
        <v>0</v>
      </c>
      <c r="AF110" s="586">
        <f t="shared" si="97"/>
        <v>0</v>
      </c>
      <c r="AG110" s="586">
        <f t="shared" si="97"/>
        <v>0</v>
      </c>
      <c r="AH110" s="586">
        <f t="shared" si="97"/>
        <v>0</v>
      </c>
      <c r="AI110" s="586">
        <f t="shared" si="97"/>
        <v>0</v>
      </c>
      <c r="AJ110" s="586">
        <f t="shared" si="97"/>
        <v>0</v>
      </c>
      <c r="AK110" s="586">
        <f t="shared" si="97"/>
        <v>0</v>
      </c>
      <c r="AL110" s="586">
        <f t="shared" si="97"/>
        <v>0</v>
      </c>
      <c r="AM110" s="586">
        <f t="shared" si="97"/>
        <v>0</v>
      </c>
      <c r="AN110" s="586">
        <f t="shared" si="97"/>
        <v>0</v>
      </c>
      <c r="AO110" s="586">
        <f t="shared" si="97"/>
        <v>0</v>
      </c>
      <c r="AP110" s="586">
        <f t="shared" si="97"/>
        <v>0</v>
      </c>
      <c r="AQ110" s="586">
        <f t="shared" si="97"/>
        <v>0</v>
      </c>
      <c r="AR110" s="586">
        <f t="shared" si="97"/>
        <v>0</v>
      </c>
      <c r="AS110" s="586">
        <f t="shared" si="97"/>
        <v>0</v>
      </c>
      <c r="AT110" s="170"/>
      <c r="AU110" s="170"/>
      <c r="AV110" s="170"/>
      <c r="AW110" s="828"/>
      <c r="AX110" s="726"/>
    </row>
    <row r="111" spans="1:50" ht="15" x14ac:dyDescent="0.25">
      <c r="A111" s="170"/>
      <c r="B111" s="719"/>
      <c r="C111" s="170" t="str">
        <f t="shared" si="93"/>
        <v>260</v>
      </c>
      <c r="D111" s="170"/>
      <c r="E111" s="170"/>
      <c r="F111" s="170">
        <f>+Parameters!D29</f>
        <v>26</v>
      </c>
      <c r="G111" s="170" t="str">
        <f>+Parameters!E29</f>
        <v>Lighting</v>
      </c>
      <c r="H111" s="586">
        <f t="shared" si="95"/>
        <v>0</v>
      </c>
      <c r="I111" s="170">
        <f>+Parameters!F29</f>
        <v>0</v>
      </c>
      <c r="J111" s="170"/>
      <c r="K111" s="170"/>
      <c r="L111" s="170"/>
      <c r="M111" s="730"/>
      <c r="N111" s="730"/>
      <c r="O111" s="730"/>
      <c r="P111" s="731"/>
      <c r="Q111" s="731"/>
      <c r="R111" s="730"/>
      <c r="S111" s="730"/>
      <c r="T111" s="723"/>
      <c r="U111" s="724"/>
      <c r="V111" s="725"/>
      <c r="W111" s="725"/>
      <c r="X111" s="723"/>
      <c r="Y111" s="723"/>
      <c r="Z111" s="723"/>
      <c r="AA111" s="726"/>
      <c r="AB111" s="726"/>
      <c r="AC111" s="170"/>
      <c r="AD111" s="586">
        <f t="shared" si="97"/>
        <v>0</v>
      </c>
      <c r="AE111" s="586">
        <f t="shared" si="97"/>
        <v>0</v>
      </c>
      <c r="AF111" s="586">
        <f t="shared" si="97"/>
        <v>0</v>
      </c>
      <c r="AG111" s="586">
        <f t="shared" si="97"/>
        <v>0</v>
      </c>
      <c r="AH111" s="586">
        <f t="shared" si="97"/>
        <v>0</v>
      </c>
      <c r="AI111" s="586">
        <f t="shared" si="97"/>
        <v>0</v>
      </c>
      <c r="AJ111" s="586">
        <f t="shared" si="97"/>
        <v>0</v>
      </c>
      <c r="AK111" s="586">
        <f t="shared" si="97"/>
        <v>0</v>
      </c>
      <c r="AL111" s="586">
        <f t="shared" si="97"/>
        <v>0</v>
      </c>
      <c r="AM111" s="586">
        <f t="shared" si="97"/>
        <v>0</v>
      </c>
      <c r="AN111" s="586">
        <f t="shared" si="97"/>
        <v>0</v>
      </c>
      <c r="AO111" s="586">
        <f t="shared" si="97"/>
        <v>0</v>
      </c>
      <c r="AP111" s="586">
        <f t="shared" si="97"/>
        <v>0</v>
      </c>
      <c r="AQ111" s="586">
        <f t="shared" si="97"/>
        <v>0</v>
      </c>
      <c r="AR111" s="586">
        <f t="shared" si="97"/>
        <v>0</v>
      </c>
      <c r="AS111" s="586">
        <f t="shared" si="97"/>
        <v>0</v>
      </c>
      <c r="AT111" s="170"/>
      <c r="AU111" s="170"/>
      <c r="AV111" s="170"/>
      <c r="AW111" s="828"/>
      <c r="AX111" s="726"/>
    </row>
    <row r="112" spans="1:50" ht="15" x14ac:dyDescent="0.25">
      <c r="A112" s="170"/>
      <c r="B112" s="719"/>
      <c r="C112" s="170" t="str">
        <f t="shared" si="93"/>
        <v>270</v>
      </c>
      <c r="D112" s="170"/>
      <c r="E112" s="170"/>
      <c r="F112" s="170">
        <f>+Parameters!D30</f>
        <v>27</v>
      </c>
      <c r="G112" s="170">
        <f>+Parameters!E30</f>
        <v>0</v>
      </c>
      <c r="H112" s="586">
        <f t="shared" si="95"/>
        <v>0</v>
      </c>
      <c r="I112" s="170">
        <f>+Parameters!F30</f>
        <v>0</v>
      </c>
      <c r="J112" s="170"/>
      <c r="K112" s="170"/>
      <c r="L112" s="170"/>
      <c r="M112" s="730"/>
      <c r="N112" s="730"/>
      <c r="O112" s="730"/>
      <c r="P112" s="731"/>
      <c r="Q112" s="731"/>
      <c r="R112" s="730"/>
      <c r="S112" s="730"/>
      <c r="T112" s="723"/>
      <c r="U112" s="724"/>
      <c r="V112" s="725"/>
      <c r="W112" s="725"/>
      <c r="X112" s="723"/>
      <c r="Y112" s="723"/>
      <c r="Z112" s="723"/>
      <c r="AA112" s="726"/>
      <c r="AB112" s="726"/>
      <c r="AC112" s="170"/>
      <c r="AD112" s="586">
        <f t="shared" si="97"/>
        <v>0</v>
      </c>
      <c r="AE112" s="586">
        <f t="shared" si="97"/>
        <v>0</v>
      </c>
      <c r="AF112" s="586">
        <f t="shared" si="97"/>
        <v>0</v>
      </c>
      <c r="AG112" s="586">
        <f t="shared" si="97"/>
        <v>0</v>
      </c>
      <c r="AH112" s="586">
        <f t="shared" si="97"/>
        <v>0</v>
      </c>
      <c r="AI112" s="586">
        <f t="shared" si="97"/>
        <v>0</v>
      </c>
      <c r="AJ112" s="586">
        <f t="shared" si="97"/>
        <v>0</v>
      </c>
      <c r="AK112" s="586">
        <f t="shared" si="97"/>
        <v>0</v>
      </c>
      <c r="AL112" s="586">
        <f t="shared" si="97"/>
        <v>0</v>
      </c>
      <c r="AM112" s="586">
        <f t="shared" si="97"/>
        <v>0</v>
      </c>
      <c r="AN112" s="586">
        <f t="shared" si="97"/>
        <v>0</v>
      </c>
      <c r="AO112" s="586">
        <f t="shared" si="97"/>
        <v>0</v>
      </c>
      <c r="AP112" s="586">
        <f t="shared" si="97"/>
        <v>0</v>
      </c>
      <c r="AQ112" s="586">
        <f t="shared" si="97"/>
        <v>0</v>
      </c>
      <c r="AR112" s="586">
        <f t="shared" si="97"/>
        <v>0</v>
      </c>
      <c r="AS112" s="586">
        <f t="shared" si="97"/>
        <v>0</v>
      </c>
      <c r="AT112" s="170"/>
      <c r="AU112" s="170"/>
      <c r="AV112" s="170"/>
      <c r="AW112" s="828"/>
      <c r="AX112" s="726"/>
    </row>
    <row r="113" spans="1:50" ht="15" x14ac:dyDescent="0.25">
      <c r="A113" s="170"/>
      <c r="B113" s="719"/>
      <c r="C113" s="170" t="str">
        <f t="shared" si="93"/>
        <v>280</v>
      </c>
      <c r="D113" s="170"/>
      <c r="E113" s="170"/>
      <c r="F113" s="170">
        <f>+Parameters!D31</f>
        <v>28</v>
      </c>
      <c r="G113" s="170">
        <f>+Parameters!E31</f>
        <v>0</v>
      </c>
      <c r="H113" s="586">
        <f t="shared" si="95"/>
        <v>0</v>
      </c>
      <c r="I113" s="170">
        <f>+Parameters!F31</f>
        <v>0</v>
      </c>
      <c r="J113" s="170"/>
      <c r="K113" s="170"/>
      <c r="L113" s="170"/>
      <c r="M113" s="730"/>
      <c r="N113" s="730"/>
      <c r="O113" s="730"/>
      <c r="P113" s="731"/>
      <c r="Q113" s="731"/>
      <c r="R113" s="730"/>
      <c r="S113" s="730"/>
      <c r="T113" s="723"/>
      <c r="U113" s="724"/>
      <c r="V113" s="725"/>
      <c r="W113" s="725"/>
      <c r="X113" s="723"/>
      <c r="Y113" s="723"/>
      <c r="Z113" s="723"/>
      <c r="AA113" s="726"/>
      <c r="AB113" s="726"/>
      <c r="AC113" s="170"/>
      <c r="AD113" s="586">
        <f t="shared" si="97"/>
        <v>0</v>
      </c>
      <c r="AE113" s="586">
        <f t="shared" si="97"/>
        <v>0</v>
      </c>
      <c r="AF113" s="586">
        <f t="shared" si="97"/>
        <v>0</v>
      </c>
      <c r="AG113" s="586">
        <f t="shared" si="97"/>
        <v>0</v>
      </c>
      <c r="AH113" s="586">
        <f t="shared" si="97"/>
        <v>0</v>
      </c>
      <c r="AI113" s="586">
        <f t="shared" si="97"/>
        <v>0</v>
      </c>
      <c r="AJ113" s="586">
        <f t="shared" si="97"/>
        <v>0</v>
      </c>
      <c r="AK113" s="586">
        <f t="shared" si="97"/>
        <v>0</v>
      </c>
      <c r="AL113" s="586">
        <f t="shared" si="97"/>
        <v>0</v>
      </c>
      <c r="AM113" s="586">
        <f t="shared" si="97"/>
        <v>0</v>
      </c>
      <c r="AN113" s="586">
        <f t="shared" si="97"/>
        <v>0</v>
      </c>
      <c r="AO113" s="586">
        <f t="shared" si="97"/>
        <v>0</v>
      </c>
      <c r="AP113" s="586">
        <f t="shared" si="97"/>
        <v>0</v>
      </c>
      <c r="AQ113" s="586">
        <f t="shared" si="97"/>
        <v>0</v>
      </c>
      <c r="AR113" s="586">
        <f t="shared" si="97"/>
        <v>0</v>
      </c>
      <c r="AS113" s="586">
        <f t="shared" si="97"/>
        <v>0</v>
      </c>
      <c r="AT113" s="170"/>
      <c r="AU113" s="170"/>
      <c r="AV113" s="170"/>
      <c r="AW113" s="828"/>
      <c r="AX113" s="726"/>
    </row>
    <row r="114" spans="1:50" ht="15" x14ac:dyDescent="0.25">
      <c r="A114" s="170"/>
      <c r="B114" s="719"/>
      <c r="C114" s="170" t="str">
        <f t="shared" si="93"/>
        <v>290</v>
      </c>
      <c r="D114" s="170"/>
      <c r="E114" s="170"/>
      <c r="F114" s="170">
        <f>+Parameters!D32</f>
        <v>29</v>
      </c>
      <c r="G114" s="170">
        <f>+Parameters!E32</f>
        <v>0</v>
      </c>
      <c r="H114" s="586">
        <f t="shared" si="95"/>
        <v>0</v>
      </c>
      <c r="I114" s="170">
        <f>+Parameters!F32</f>
        <v>0</v>
      </c>
      <c r="J114" s="170"/>
      <c r="K114" s="170"/>
      <c r="L114" s="170"/>
      <c r="M114" s="730"/>
      <c r="N114" s="730"/>
      <c r="O114" s="730"/>
      <c r="P114" s="731"/>
      <c r="Q114" s="731"/>
      <c r="R114" s="730"/>
      <c r="S114" s="730"/>
      <c r="T114" s="723"/>
      <c r="U114" s="724"/>
      <c r="V114" s="725"/>
      <c r="W114" s="725"/>
      <c r="X114" s="723"/>
      <c r="Y114" s="723"/>
      <c r="Z114" s="723"/>
      <c r="AA114" s="726"/>
      <c r="AB114" s="726"/>
      <c r="AC114" s="170"/>
      <c r="AD114" s="586">
        <f t="shared" si="97"/>
        <v>0</v>
      </c>
      <c r="AE114" s="586">
        <f t="shared" si="97"/>
        <v>0</v>
      </c>
      <c r="AF114" s="586">
        <f t="shared" si="97"/>
        <v>0</v>
      </c>
      <c r="AG114" s="586">
        <f t="shared" si="97"/>
        <v>0</v>
      </c>
      <c r="AH114" s="586">
        <f t="shared" si="97"/>
        <v>0</v>
      </c>
      <c r="AI114" s="586">
        <f t="shared" si="97"/>
        <v>0</v>
      </c>
      <c r="AJ114" s="586">
        <f t="shared" si="97"/>
        <v>0</v>
      </c>
      <c r="AK114" s="586">
        <f t="shared" si="97"/>
        <v>0</v>
      </c>
      <c r="AL114" s="586">
        <f t="shared" si="97"/>
        <v>0</v>
      </c>
      <c r="AM114" s="586">
        <f t="shared" si="97"/>
        <v>0</v>
      </c>
      <c r="AN114" s="586">
        <f t="shared" si="97"/>
        <v>0</v>
      </c>
      <c r="AO114" s="586">
        <f t="shared" si="97"/>
        <v>0</v>
      </c>
      <c r="AP114" s="586">
        <f t="shared" si="97"/>
        <v>0</v>
      </c>
      <c r="AQ114" s="586">
        <f t="shared" si="97"/>
        <v>0</v>
      </c>
      <c r="AR114" s="586">
        <f t="shared" si="97"/>
        <v>0</v>
      </c>
      <c r="AS114" s="586">
        <f t="shared" si="97"/>
        <v>0</v>
      </c>
      <c r="AT114" s="170"/>
      <c r="AU114" s="170"/>
      <c r="AV114" s="170"/>
      <c r="AW114" s="828"/>
      <c r="AX114" s="726"/>
    </row>
    <row r="115" spans="1:50" ht="15" x14ac:dyDescent="0.25">
      <c r="A115" s="170"/>
      <c r="B115" s="719"/>
      <c r="C115" s="170" t="str">
        <f t="shared" si="93"/>
        <v>30lf</v>
      </c>
      <c r="D115" s="170"/>
      <c r="E115" s="170"/>
      <c r="F115" s="170">
        <f>+Parameters!D33</f>
        <v>30</v>
      </c>
      <c r="G115" s="170" t="str">
        <f>+Parameters!E33</f>
        <v>Cable - UG - HPFF ( incl terms)</v>
      </c>
      <c r="H115" s="586">
        <f t="shared" si="95"/>
        <v>0</v>
      </c>
      <c r="I115" s="170" t="str">
        <f>+Parameters!F33</f>
        <v>lf</v>
      </c>
      <c r="J115" s="170"/>
      <c r="K115" s="170"/>
      <c r="L115" s="170"/>
      <c r="M115" s="730"/>
      <c r="N115" s="730"/>
      <c r="O115" s="730"/>
      <c r="P115" s="731"/>
      <c r="Q115" s="731"/>
      <c r="R115" s="730"/>
      <c r="S115" s="730"/>
      <c r="T115" s="723"/>
      <c r="U115" s="724"/>
      <c r="V115" s="725"/>
      <c r="W115" s="725"/>
      <c r="X115" s="723"/>
      <c r="Y115" s="723"/>
      <c r="Z115" s="723"/>
      <c r="AA115" s="726"/>
      <c r="AB115" s="726"/>
      <c r="AC115" s="170"/>
      <c r="AD115" s="586">
        <f t="shared" si="97"/>
        <v>0</v>
      </c>
      <c r="AE115" s="586">
        <f t="shared" si="97"/>
        <v>0</v>
      </c>
      <c r="AF115" s="586">
        <f t="shared" si="97"/>
        <v>0</v>
      </c>
      <c r="AG115" s="586">
        <f t="shared" si="97"/>
        <v>0</v>
      </c>
      <c r="AH115" s="586">
        <f t="shared" si="97"/>
        <v>0</v>
      </c>
      <c r="AI115" s="586">
        <f t="shared" si="97"/>
        <v>0</v>
      </c>
      <c r="AJ115" s="586">
        <f t="shared" si="97"/>
        <v>0</v>
      </c>
      <c r="AK115" s="586">
        <f t="shared" si="97"/>
        <v>0</v>
      </c>
      <c r="AL115" s="586">
        <f t="shared" si="97"/>
        <v>0</v>
      </c>
      <c r="AM115" s="586">
        <f t="shared" si="97"/>
        <v>0</v>
      </c>
      <c r="AN115" s="586">
        <f t="shared" si="97"/>
        <v>0</v>
      </c>
      <c r="AO115" s="586">
        <f t="shared" si="97"/>
        <v>0</v>
      </c>
      <c r="AP115" s="586">
        <f t="shared" si="97"/>
        <v>0</v>
      </c>
      <c r="AQ115" s="586">
        <f t="shared" si="97"/>
        <v>0</v>
      </c>
      <c r="AR115" s="586">
        <f t="shared" si="97"/>
        <v>0</v>
      </c>
      <c r="AS115" s="586">
        <f t="shared" si="97"/>
        <v>0</v>
      </c>
      <c r="AT115" s="170"/>
      <c r="AU115" s="170"/>
      <c r="AV115" s="170"/>
      <c r="AW115" s="828"/>
      <c r="AX115" s="726"/>
    </row>
    <row r="116" spans="1:50" ht="15" x14ac:dyDescent="0.25">
      <c r="A116" s="170"/>
      <c r="B116" s="719"/>
      <c r="C116" s="170" t="str">
        <f t="shared" si="93"/>
        <v>31lf</v>
      </c>
      <c r="D116" s="170"/>
      <c r="E116" s="170"/>
      <c r="F116" s="170">
        <f>+Parameters!D34</f>
        <v>31</v>
      </c>
      <c r="G116" s="170" t="str">
        <f>+Parameters!E34</f>
        <v>Cable - UG - XLPE ( incl terms)</v>
      </c>
      <c r="H116" s="586">
        <f t="shared" si="95"/>
        <v>0</v>
      </c>
      <c r="I116" s="170" t="str">
        <f>+Parameters!F34</f>
        <v>lf</v>
      </c>
      <c r="J116" s="170"/>
      <c r="K116" s="170"/>
      <c r="L116" s="170"/>
      <c r="M116" s="730"/>
      <c r="N116" s="730"/>
      <c r="O116" s="730"/>
      <c r="P116" s="731"/>
      <c r="Q116" s="731"/>
      <c r="R116" s="730"/>
      <c r="S116" s="730"/>
      <c r="T116" s="723"/>
      <c r="U116" s="724"/>
      <c r="V116" s="725"/>
      <c r="W116" s="725"/>
      <c r="X116" s="723"/>
      <c r="Y116" s="723"/>
      <c r="Z116" s="723"/>
      <c r="AA116" s="726"/>
      <c r="AB116" s="726"/>
      <c r="AC116" s="170"/>
      <c r="AD116" s="586">
        <f t="shared" ref="AD116:AS125" si="98">SUMIF($F$9:$F$82,$F116,AD$9:AD$82)</f>
        <v>0</v>
      </c>
      <c r="AE116" s="586">
        <f t="shared" si="98"/>
        <v>0</v>
      </c>
      <c r="AF116" s="586">
        <f t="shared" si="98"/>
        <v>0</v>
      </c>
      <c r="AG116" s="586">
        <f t="shared" si="98"/>
        <v>0</v>
      </c>
      <c r="AH116" s="586">
        <f t="shared" si="98"/>
        <v>0</v>
      </c>
      <c r="AI116" s="586">
        <f t="shared" si="98"/>
        <v>0</v>
      </c>
      <c r="AJ116" s="586">
        <f t="shared" si="98"/>
        <v>0</v>
      </c>
      <c r="AK116" s="586">
        <f t="shared" si="98"/>
        <v>0</v>
      </c>
      <c r="AL116" s="586">
        <f t="shared" si="98"/>
        <v>0</v>
      </c>
      <c r="AM116" s="586">
        <f t="shared" si="98"/>
        <v>0</v>
      </c>
      <c r="AN116" s="586">
        <f t="shared" si="98"/>
        <v>0</v>
      </c>
      <c r="AO116" s="586">
        <f t="shared" si="98"/>
        <v>0</v>
      </c>
      <c r="AP116" s="586">
        <f t="shared" si="98"/>
        <v>0</v>
      </c>
      <c r="AQ116" s="586">
        <f t="shared" si="98"/>
        <v>0</v>
      </c>
      <c r="AR116" s="586">
        <f t="shared" si="98"/>
        <v>0</v>
      </c>
      <c r="AS116" s="586">
        <f t="shared" si="98"/>
        <v>0</v>
      </c>
      <c r="AT116" s="170"/>
      <c r="AU116" s="170"/>
      <c r="AV116" s="170"/>
      <c r="AW116" s="828"/>
      <c r="AX116" s="726"/>
    </row>
    <row r="117" spans="1:50" ht="15" x14ac:dyDescent="0.25">
      <c r="A117" s="170"/>
      <c r="B117" s="719"/>
      <c r="C117" s="170" t="str">
        <f t="shared" si="93"/>
        <v>32lf</v>
      </c>
      <c r="D117" s="170"/>
      <c r="E117" s="170"/>
      <c r="F117" s="170">
        <f>+Parameters!D35</f>
        <v>32</v>
      </c>
      <c r="G117" s="170" t="str">
        <f>+Parameters!E35</f>
        <v>Cable - AG under 115kv ( incl terms)</v>
      </c>
      <c r="H117" s="586">
        <f t="shared" si="95"/>
        <v>0</v>
      </c>
      <c r="I117" s="170" t="str">
        <f>+Parameters!F35</f>
        <v>lf</v>
      </c>
      <c r="J117" s="170"/>
      <c r="K117" s="170"/>
      <c r="L117" s="170"/>
      <c r="M117" s="730"/>
      <c r="N117" s="730"/>
      <c r="O117" s="730"/>
      <c r="P117" s="731"/>
      <c r="Q117" s="731"/>
      <c r="R117" s="730"/>
      <c r="S117" s="730"/>
      <c r="T117" s="723"/>
      <c r="U117" s="724"/>
      <c r="V117" s="725"/>
      <c r="W117" s="725"/>
      <c r="X117" s="723"/>
      <c r="Y117" s="723"/>
      <c r="Z117" s="723"/>
      <c r="AA117" s="726"/>
      <c r="AB117" s="726"/>
      <c r="AC117" s="170"/>
      <c r="AD117" s="586">
        <f t="shared" si="98"/>
        <v>0</v>
      </c>
      <c r="AE117" s="586">
        <f t="shared" si="98"/>
        <v>0</v>
      </c>
      <c r="AF117" s="586">
        <f t="shared" si="98"/>
        <v>0</v>
      </c>
      <c r="AG117" s="586">
        <f t="shared" si="98"/>
        <v>0</v>
      </c>
      <c r="AH117" s="586">
        <f t="shared" si="98"/>
        <v>0</v>
      </c>
      <c r="AI117" s="586">
        <f t="shared" si="98"/>
        <v>0</v>
      </c>
      <c r="AJ117" s="586">
        <f t="shared" si="98"/>
        <v>0</v>
      </c>
      <c r="AK117" s="586">
        <f t="shared" si="98"/>
        <v>0</v>
      </c>
      <c r="AL117" s="586">
        <f t="shared" si="98"/>
        <v>0</v>
      </c>
      <c r="AM117" s="586">
        <f t="shared" si="98"/>
        <v>0</v>
      </c>
      <c r="AN117" s="586">
        <f t="shared" si="98"/>
        <v>0</v>
      </c>
      <c r="AO117" s="586">
        <f t="shared" si="98"/>
        <v>0</v>
      </c>
      <c r="AP117" s="586">
        <f t="shared" si="98"/>
        <v>0</v>
      </c>
      <c r="AQ117" s="586">
        <f t="shared" si="98"/>
        <v>0</v>
      </c>
      <c r="AR117" s="586">
        <f t="shared" si="98"/>
        <v>0</v>
      </c>
      <c r="AS117" s="586">
        <f t="shared" si="98"/>
        <v>0</v>
      </c>
      <c r="AT117" s="170"/>
      <c r="AU117" s="170"/>
      <c r="AV117" s="170"/>
      <c r="AW117" s="828"/>
      <c r="AX117" s="726"/>
    </row>
    <row r="118" spans="1:50" ht="15" x14ac:dyDescent="0.25">
      <c r="A118" s="170"/>
      <c r="B118" s="719"/>
      <c r="C118" s="170" t="str">
        <f t="shared" si="93"/>
        <v>33lf</v>
      </c>
      <c r="D118" s="170"/>
      <c r="E118" s="170"/>
      <c r="F118" s="170">
        <f>+Parameters!D36</f>
        <v>33</v>
      </c>
      <c r="G118" s="170" t="str">
        <f>+Parameters!E36</f>
        <v>Cable - AG 115 kv ( incl terms)</v>
      </c>
      <c r="H118" s="586">
        <f t="shared" si="95"/>
        <v>0</v>
      </c>
      <c r="I118" s="170" t="str">
        <f>+Parameters!F36</f>
        <v>lf</v>
      </c>
      <c r="J118" s="170"/>
      <c r="K118" s="170"/>
      <c r="L118" s="170"/>
      <c r="M118" s="730"/>
      <c r="N118" s="730"/>
      <c r="O118" s="730"/>
      <c r="P118" s="731"/>
      <c r="Q118" s="731"/>
      <c r="R118" s="730"/>
      <c r="S118" s="730"/>
      <c r="T118" s="723"/>
      <c r="U118" s="724"/>
      <c r="V118" s="725"/>
      <c r="W118" s="725"/>
      <c r="X118" s="723"/>
      <c r="Y118" s="723"/>
      <c r="Z118" s="723"/>
      <c r="AA118" s="726"/>
      <c r="AB118" s="726"/>
      <c r="AC118" s="170"/>
      <c r="AD118" s="586">
        <f t="shared" si="98"/>
        <v>0</v>
      </c>
      <c r="AE118" s="586">
        <f t="shared" si="98"/>
        <v>0</v>
      </c>
      <c r="AF118" s="586">
        <f t="shared" si="98"/>
        <v>0</v>
      </c>
      <c r="AG118" s="586">
        <f t="shared" si="98"/>
        <v>0</v>
      </c>
      <c r="AH118" s="586">
        <f t="shared" si="98"/>
        <v>0</v>
      </c>
      <c r="AI118" s="586">
        <f t="shared" si="98"/>
        <v>0</v>
      </c>
      <c r="AJ118" s="586">
        <f t="shared" si="98"/>
        <v>0</v>
      </c>
      <c r="AK118" s="586">
        <f t="shared" si="98"/>
        <v>0</v>
      </c>
      <c r="AL118" s="586">
        <f t="shared" si="98"/>
        <v>0</v>
      </c>
      <c r="AM118" s="586">
        <f t="shared" si="98"/>
        <v>0</v>
      </c>
      <c r="AN118" s="586">
        <f t="shared" si="98"/>
        <v>0</v>
      </c>
      <c r="AO118" s="586">
        <f t="shared" si="98"/>
        <v>0</v>
      </c>
      <c r="AP118" s="586">
        <f t="shared" si="98"/>
        <v>0</v>
      </c>
      <c r="AQ118" s="586">
        <f t="shared" si="98"/>
        <v>0</v>
      </c>
      <c r="AR118" s="586">
        <f t="shared" si="98"/>
        <v>0</v>
      </c>
      <c r="AS118" s="586">
        <f t="shared" si="98"/>
        <v>0</v>
      </c>
      <c r="AT118" s="170"/>
      <c r="AU118" s="170"/>
      <c r="AV118" s="170"/>
      <c r="AW118" s="828"/>
      <c r="AX118" s="726"/>
    </row>
    <row r="119" spans="1:50" ht="15" x14ac:dyDescent="0.25">
      <c r="A119" s="170"/>
      <c r="B119" s="719"/>
      <c r="C119" s="170" t="str">
        <f t="shared" si="93"/>
        <v>34lf</v>
      </c>
      <c r="D119" s="170"/>
      <c r="E119" s="170"/>
      <c r="F119" s="170">
        <f>+Parameters!D37</f>
        <v>34</v>
      </c>
      <c r="G119" s="170" t="str">
        <f>+Parameters!E37</f>
        <v>Cable - AG 345 kv ( incl terms)</v>
      </c>
      <c r="H119" s="586">
        <f t="shared" si="95"/>
        <v>0</v>
      </c>
      <c r="I119" s="170" t="str">
        <f>+Parameters!F37</f>
        <v>lf</v>
      </c>
      <c r="J119" s="170"/>
      <c r="K119" s="170"/>
      <c r="L119" s="170"/>
      <c r="M119" s="730"/>
      <c r="N119" s="730"/>
      <c r="O119" s="730"/>
      <c r="P119" s="731"/>
      <c r="Q119" s="731"/>
      <c r="R119" s="730"/>
      <c r="S119" s="730"/>
      <c r="T119" s="723"/>
      <c r="U119" s="724"/>
      <c r="V119" s="725"/>
      <c r="W119" s="725"/>
      <c r="X119" s="723"/>
      <c r="Y119" s="723"/>
      <c r="Z119" s="723"/>
      <c r="AA119" s="726"/>
      <c r="AB119" s="726"/>
      <c r="AC119" s="170"/>
      <c r="AD119" s="586">
        <f t="shared" si="98"/>
        <v>0</v>
      </c>
      <c r="AE119" s="586">
        <f t="shared" si="98"/>
        <v>0</v>
      </c>
      <c r="AF119" s="586">
        <f t="shared" si="98"/>
        <v>0</v>
      </c>
      <c r="AG119" s="586">
        <f t="shared" si="98"/>
        <v>0</v>
      </c>
      <c r="AH119" s="586">
        <f t="shared" si="98"/>
        <v>0</v>
      </c>
      <c r="AI119" s="586">
        <f t="shared" si="98"/>
        <v>0</v>
      </c>
      <c r="AJ119" s="586">
        <f t="shared" si="98"/>
        <v>0</v>
      </c>
      <c r="AK119" s="586">
        <f t="shared" si="98"/>
        <v>0</v>
      </c>
      <c r="AL119" s="586">
        <f t="shared" si="98"/>
        <v>0</v>
      </c>
      <c r="AM119" s="586">
        <f t="shared" si="98"/>
        <v>0</v>
      </c>
      <c r="AN119" s="586">
        <f t="shared" si="98"/>
        <v>0</v>
      </c>
      <c r="AO119" s="586">
        <f t="shared" si="98"/>
        <v>0</v>
      </c>
      <c r="AP119" s="586">
        <f t="shared" si="98"/>
        <v>0</v>
      </c>
      <c r="AQ119" s="586">
        <f t="shared" si="98"/>
        <v>0</v>
      </c>
      <c r="AR119" s="586">
        <f t="shared" si="98"/>
        <v>0</v>
      </c>
      <c r="AS119" s="586">
        <f t="shared" si="98"/>
        <v>0</v>
      </c>
      <c r="AT119" s="170"/>
      <c r="AU119" s="170"/>
      <c r="AV119" s="170"/>
      <c r="AW119" s="828"/>
      <c r="AX119" s="726"/>
    </row>
    <row r="120" spans="1:50" ht="15" x14ac:dyDescent="0.25">
      <c r="A120" s="170"/>
      <c r="B120" s="719"/>
      <c r="C120" s="170" t="str">
        <f t="shared" si="93"/>
        <v>35lf</v>
      </c>
      <c r="D120" s="170"/>
      <c r="E120" s="170"/>
      <c r="F120" s="170">
        <f>+Parameters!D38</f>
        <v>35</v>
      </c>
      <c r="G120" s="170" t="str">
        <f>+Parameters!E38</f>
        <v>Cable - OPGW / Shield ( incl terms)</v>
      </c>
      <c r="H120" s="586">
        <f t="shared" si="95"/>
        <v>0</v>
      </c>
      <c r="I120" s="170" t="str">
        <f>+Parameters!F38</f>
        <v>lf</v>
      </c>
      <c r="J120" s="170"/>
      <c r="K120" s="170"/>
      <c r="L120" s="170"/>
      <c r="M120" s="730"/>
      <c r="N120" s="730"/>
      <c r="O120" s="730"/>
      <c r="P120" s="731"/>
      <c r="Q120" s="731"/>
      <c r="R120" s="730"/>
      <c r="S120" s="730"/>
      <c r="T120" s="723"/>
      <c r="U120" s="724"/>
      <c r="V120" s="725"/>
      <c r="W120" s="725"/>
      <c r="X120" s="723"/>
      <c r="Y120" s="723"/>
      <c r="Z120" s="723"/>
      <c r="AA120" s="726"/>
      <c r="AB120" s="726"/>
      <c r="AC120" s="170"/>
      <c r="AD120" s="586">
        <f t="shared" si="98"/>
        <v>0</v>
      </c>
      <c r="AE120" s="586">
        <f t="shared" si="98"/>
        <v>0</v>
      </c>
      <c r="AF120" s="586">
        <f t="shared" si="98"/>
        <v>0</v>
      </c>
      <c r="AG120" s="586">
        <f t="shared" si="98"/>
        <v>0</v>
      </c>
      <c r="AH120" s="586">
        <f t="shared" si="98"/>
        <v>0</v>
      </c>
      <c r="AI120" s="586">
        <f t="shared" si="98"/>
        <v>0</v>
      </c>
      <c r="AJ120" s="586">
        <f t="shared" si="98"/>
        <v>0</v>
      </c>
      <c r="AK120" s="586">
        <f t="shared" si="98"/>
        <v>0</v>
      </c>
      <c r="AL120" s="586">
        <f t="shared" si="98"/>
        <v>0</v>
      </c>
      <c r="AM120" s="586">
        <f t="shared" si="98"/>
        <v>0</v>
      </c>
      <c r="AN120" s="586">
        <f t="shared" si="98"/>
        <v>0</v>
      </c>
      <c r="AO120" s="586">
        <f t="shared" si="98"/>
        <v>0</v>
      </c>
      <c r="AP120" s="586">
        <f t="shared" si="98"/>
        <v>0</v>
      </c>
      <c r="AQ120" s="586">
        <f t="shared" si="98"/>
        <v>0</v>
      </c>
      <c r="AR120" s="586">
        <f t="shared" si="98"/>
        <v>0</v>
      </c>
      <c r="AS120" s="586">
        <f t="shared" si="98"/>
        <v>0</v>
      </c>
      <c r="AT120" s="170"/>
      <c r="AU120" s="170"/>
      <c r="AV120" s="170"/>
      <c r="AW120" s="828"/>
      <c r="AX120" s="726"/>
    </row>
    <row r="121" spans="1:50" ht="15" x14ac:dyDescent="0.25">
      <c r="A121" s="170"/>
      <c r="B121" s="719"/>
      <c r="C121" s="170" t="str">
        <f t="shared" si="93"/>
        <v>36lf</v>
      </c>
      <c r="D121" s="170"/>
      <c r="E121" s="170"/>
      <c r="F121" s="170">
        <f>+Parameters!D39</f>
        <v>36</v>
      </c>
      <c r="G121" s="170" t="str">
        <f>+Parameters!E39</f>
        <v>Cable - Control ( incl terms)</v>
      </c>
      <c r="H121" s="586">
        <f t="shared" si="95"/>
        <v>0</v>
      </c>
      <c r="I121" s="170" t="str">
        <f>+Parameters!F39</f>
        <v>lf</v>
      </c>
      <c r="J121" s="170"/>
      <c r="K121" s="170"/>
      <c r="L121" s="170"/>
      <c r="M121" s="730"/>
      <c r="N121" s="730"/>
      <c r="O121" s="730"/>
      <c r="P121" s="731"/>
      <c r="Q121" s="731"/>
      <c r="R121" s="730"/>
      <c r="S121" s="730"/>
      <c r="T121" s="723"/>
      <c r="U121" s="724"/>
      <c r="V121" s="725"/>
      <c r="W121" s="725"/>
      <c r="X121" s="723"/>
      <c r="Y121" s="723"/>
      <c r="Z121" s="723"/>
      <c r="AA121" s="726"/>
      <c r="AB121" s="726"/>
      <c r="AC121" s="170"/>
      <c r="AD121" s="586">
        <f t="shared" si="98"/>
        <v>0</v>
      </c>
      <c r="AE121" s="586">
        <f t="shared" si="98"/>
        <v>0</v>
      </c>
      <c r="AF121" s="586">
        <f t="shared" si="98"/>
        <v>0</v>
      </c>
      <c r="AG121" s="586">
        <f t="shared" si="98"/>
        <v>0</v>
      </c>
      <c r="AH121" s="586">
        <f t="shared" si="98"/>
        <v>0</v>
      </c>
      <c r="AI121" s="586">
        <f t="shared" si="98"/>
        <v>0</v>
      </c>
      <c r="AJ121" s="586">
        <f t="shared" si="98"/>
        <v>0</v>
      </c>
      <c r="AK121" s="586">
        <f t="shared" si="98"/>
        <v>0</v>
      </c>
      <c r="AL121" s="586">
        <f t="shared" si="98"/>
        <v>0</v>
      </c>
      <c r="AM121" s="586">
        <f t="shared" si="98"/>
        <v>0</v>
      </c>
      <c r="AN121" s="586">
        <f t="shared" si="98"/>
        <v>0</v>
      </c>
      <c r="AO121" s="586">
        <f t="shared" si="98"/>
        <v>0</v>
      </c>
      <c r="AP121" s="586">
        <f t="shared" si="98"/>
        <v>0</v>
      </c>
      <c r="AQ121" s="586">
        <f t="shared" si="98"/>
        <v>0</v>
      </c>
      <c r="AR121" s="586">
        <f t="shared" si="98"/>
        <v>0</v>
      </c>
      <c r="AS121" s="586">
        <f t="shared" si="98"/>
        <v>0</v>
      </c>
      <c r="AT121" s="170"/>
      <c r="AU121" s="170"/>
      <c r="AV121" s="170"/>
      <c r="AW121" s="828"/>
      <c r="AX121" s="726"/>
    </row>
    <row r="122" spans="1:50" ht="15" x14ac:dyDescent="0.25">
      <c r="A122" s="170"/>
      <c r="B122" s="719"/>
      <c r="C122" s="170" t="str">
        <f t="shared" si="93"/>
        <v>37lf</v>
      </c>
      <c r="D122" s="170"/>
      <c r="E122" s="170"/>
      <c r="F122" s="170">
        <f>+Parameters!D40</f>
        <v>37</v>
      </c>
      <c r="G122" s="170" t="str">
        <f>+Parameters!E40</f>
        <v>Cable - Communication / Oher ( incl terms)</v>
      </c>
      <c r="H122" s="586">
        <f t="shared" si="95"/>
        <v>0</v>
      </c>
      <c r="I122" s="170" t="str">
        <f>+Parameters!F40</f>
        <v>lf</v>
      </c>
      <c r="J122" s="170"/>
      <c r="K122" s="170"/>
      <c r="L122" s="170"/>
      <c r="M122" s="730"/>
      <c r="N122" s="730"/>
      <c r="O122" s="730"/>
      <c r="P122" s="731"/>
      <c r="Q122" s="731"/>
      <c r="R122" s="730"/>
      <c r="S122" s="730"/>
      <c r="T122" s="723"/>
      <c r="U122" s="724"/>
      <c r="V122" s="725"/>
      <c r="W122" s="725"/>
      <c r="X122" s="723"/>
      <c r="Y122" s="723"/>
      <c r="Z122" s="723"/>
      <c r="AA122" s="726"/>
      <c r="AB122" s="726"/>
      <c r="AC122" s="170"/>
      <c r="AD122" s="586">
        <f t="shared" si="98"/>
        <v>0</v>
      </c>
      <c r="AE122" s="586">
        <f t="shared" si="98"/>
        <v>0</v>
      </c>
      <c r="AF122" s="586">
        <f t="shared" si="98"/>
        <v>0</v>
      </c>
      <c r="AG122" s="586">
        <f t="shared" si="98"/>
        <v>0</v>
      </c>
      <c r="AH122" s="586">
        <f t="shared" si="98"/>
        <v>0</v>
      </c>
      <c r="AI122" s="586">
        <f t="shared" si="98"/>
        <v>0</v>
      </c>
      <c r="AJ122" s="586">
        <f t="shared" si="98"/>
        <v>0</v>
      </c>
      <c r="AK122" s="586">
        <f t="shared" si="98"/>
        <v>0</v>
      </c>
      <c r="AL122" s="586">
        <f t="shared" si="98"/>
        <v>0</v>
      </c>
      <c r="AM122" s="586">
        <f t="shared" si="98"/>
        <v>0</v>
      </c>
      <c r="AN122" s="586">
        <f t="shared" si="98"/>
        <v>0</v>
      </c>
      <c r="AO122" s="586">
        <f t="shared" si="98"/>
        <v>0</v>
      </c>
      <c r="AP122" s="586">
        <f t="shared" si="98"/>
        <v>0</v>
      </c>
      <c r="AQ122" s="586">
        <f t="shared" si="98"/>
        <v>0</v>
      </c>
      <c r="AR122" s="586">
        <f t="shared" si="98"/>
        <v>0</v>
      </c>
      <c r="AS122" s="586">
        <f t="shared" si="98"/>
        <v>0</v>
      </c>
      <c r="AT122" s="170"/>
      <c r="AU122" s="170"/>
      <c r="AV122" s="170"/>
      <c r="AW122" s="828"/>
      <c r="AX122" s="726"/>
    </row>
    <row r="123" spans="1:50" ht="15" x14ac:dyDescent="0.25">
      <c r="A123" s="170"/>
      <c r="B123" s="719"/>
      <c r="C123" s="170" t="str">
        <f t="shared" si="93"/>
        <v>38lf</v>
      </c>
      <c r="D123" s="170"/>
      <c r="E123" s="170"/>
      <c r="F123" s="170">
        <f>+Parameters!D41</f>
        <v>38</v>
      </c>
      <c r="G123" s="170" t="str">
        <f>+Parameters!E41</f>
        <v>Cable - Power ( incl terms)</v>
      </c>
      <c r="H123" s="586">
        <f t="shared" si="95"/>
        <v>0</v>
      </c>
      <c r="I123" s="170" t="str">
        <f>+Parameters!F41</f>
        <v>lf</v>
      </c>
      <c r="J123" s="170"/>
      <c r="K123" s="170"/>
      <c r="L123" s="170"/>
      <c r="M123" s="730"/>
      <c r="N123" s="730"/>
      <c r="O123" s="730"/>
      <c r="P123" s="731"/>
      <c r="Q123" s="731"/>
      <c r="R123" s="730"/>
      <c r="S123" s="730"/>
      <c r="T123" s="723"/>
      <c r="U123" s="724"/>
      <c r="V123" s="725"/>
      <c r="W123" s="725"/>
      <c r="X123" s="723"/>
      <c r="Y123" s="723"/>
      <c r="Z123" s="723"/>
      <c r="AA123" s="726"/>
      <c r="AB123" s="726"/>
      <c r="AC123" s="170"/>
      <c r="AD123" s="586">
        <f t="shared" si="98"/>
        <v>0</v>
      </c>
      <c r="AE123" s="586">
        <f t="shared" si="98"/>
        <v>0</v>
      </c>
      <c r="AF123" s="586">
        <f t="shared" si="98"/>
        <v>0</v>
      </c>
      <c r="AG123" s="586">
        <f t="shared" si="98"/>
        <v>0</v>
      </c>
      <c r="AH123" s="586">
        <f t="shared" si="98"/>
        <v>0</v>
      </c>
      <c r="AI123" s="586">
        <f t="shared" si="98"/>
        <v>0</v>
      </c>
      <c r="AJ123" s="586">
        <f t="shared" si="98"/>
        <v>0</v>
      </c>
      <c r="AK123" s="586">
        <f t="shared" si="98"/>
        <v>0</v>
      </c>
      <c r="AL123" s="586">
        <f t="shared" si="98"/>
        <v>0</v>
      </c>
      <c r="AM123" s="586">
        <f t="shared" si="98"/>
        <v>0</v>
      </c>
      <c r="AN123" s="586">
        <f t="shared" si="98"/>
        <v>0</v>
      </c>
      <c r="AO123" s="586">
        <f t="shared" si="98"/>
        <v>0</v>
      </c>
      <c r="AP123" s="586">
        <f t="shared" si="98"/>
        <v>0</v>
      </c>
      <c r="AQ123" s="586">
        <f t="shared" si="98"/>
        <v>0</v>
      </c>
      <c r="AR123" s="586">
        <f t="shared" si="98"/>
        <v>0</v>
      </c>
      <c r="AS123" s="586">
        <f t="shared" si="98"/>
        <v>0</v>
      </c>
      <c r="AT123" s="170"/>
      <c r="AU123" s="170"/>
      <c r="AV123" s="170"/>
      <c r="AW123" s="828"/>
      <c r="AX123" s="726"/>
    </row>
    <row r="124" spans="1:50" ht="15" x14ac:dyDescent="0.25">
      <c r="A124" s="170"/>
      <c r="B124" s="719"/>
      <c r="C124" s="170" t="str">
        <f t="shared" si="93"/>
        <v>39lf</v>
      </c>
      <c r="D124" s="170"/>
      <c r="E124" s="170"/>
      <c r="F124" s="170">
        <f>+Parameters!D42</f>
        <v>39</v>
      </c>
      <c r="G124" s="170" t="str">
        <f>+Parameters!E42</f>
        <v>Cable - Other</v>
      </c>
      <c r="H124" s="586">
        <f t="shared" si="95"/>
        <v>0</v>
      </c>
      <c r="I124" s="170" t="str">
        <f>+Parameters!F42</f>
        <v>lf</v>
      </c>
      <c r="J124" s="170"/>
      <c r="K124" s="170"/>
      <c r="L124" s="170"/>
      <c r="M124" s="730"/>
      <c r="N124" s="730"/>
      <c r="O124" s="730"/>
      <c r="P124" s="731"/>
      <c r="Q124" s="731"/>
      <c r="R124" s="730"/>
      <c r="S124" s="730"/>
      <c r="T124" s="723"/>
      <c r="U124" s="724"/>
      <c r="V124" s="725"/>
      <c r="W124" s="725"/>
      <c r="X124" s="723"/>
      <c r="Y124" s="723"/>
      <c r="Z124" s="723"/>
      <c r="AA124" s="726"/>
      <c r="AB124" s="726"/>
      <c r="AC124" s="170"/>
      <c r="AD124" s="586">
        <f t="shared" si="98"/>
        <v>0</v>
      </c>
      <c r="AE124" s="586">
        <f t="shared" si="98"/>
        <v>0</v>
      </c>
      <c r="AF124" s="586">
        <f t="shared" si="98"/>
        <v>0</v>
      </c>
      <c r="AG124" s="586">
        <f t="shared" si="98"/>
        <v>0</v>
      </c>
      <c r="AH124" s="586">
        <f t="shared" si="98"/>
        <v>0</v>
      </c>
      <c r="AI124" s="586">
        <f t="shared" si="98"/>
        <v>0</v>
      </c>
      <c r="AJ124" s="586">
        <f t="shared" si="98"/>
        <v>0</v>
      </c>
      <c r="AK124" s="586">
        <f t="shared" si="98"/>
        <v>0</v>
      </c>
      <c r="AL124" s="586">
        <f t="shared" si="98"/>
        <v>0</v>
      </c>
      <c r="AM124" s="586">
        <f t="shared" si="98"/>
        <v>0</v>
      </c>
      <c r="AN124" s="586">
        <f t="shared" si="98"/>
        <v>0</v>
      </c>
      <c r="AO124" s="586">
        <f t="shared" si="98"/>
        <v>0</v>
      </c>
      <c r="AP124" s="586">
        <f t="shared" si="98"/>
        <v>0</v>
      </c>
      <c r="AQ124" s="586">
        <f t="shared" si="98"/>
        <v>0</v>
      </c>
      <c r="AR124" s="586">
        <f t="shared" si="98"/>
        <v>0</v>
      </c>
      <c r="AS124" s="586">
        <f t="shared" si="98"/>
        <v>0</v>
      </c>
      <c r="AT124" s="170"/>
      <c r="AU124" s="170"/>
      <c r="AV124" s="170"/>
      <c r="AW124" s="828"/>
      <c r="AX124" s="726"/>
    </row>
    <row r="125" spans="1:50" ht="15" x14ac:dyDescent="0.25">
      <c r="A125" s="170"/>
      <c r="B125" s="719"/>
      <c r="C125" s="170" t="str">
        <f t="shared" si="93"/>
        <v>400</v>
      </c>
      <c r="D125" s="170"/>
      <c r="E125" s="170"/>
      <c r="F125" s="170">
        <f>+Parameters!D43</f>
        <v>40</v>
      </c>
      <c r="G125" s="170" t="str">
        <f>+Parameters!E43</f>
        <v>Structures - buildings</v>
      </c>
      <c r="H125" s="586">
        <f t="shared" si="95"/>
        <v>0</v>
      </c>
      <c r="I125" s="170">
        <f>+Parameters!F43</f>
        <v>0</v>
      </c>
      <c r="J125" s="170"/>
      <c r="K125" s="170"/>
      <c r="L125" s="170"/>
      <c r="M125" s="730"/>
      <c r="N125" s="730"/>
      <c r="O125" s="730"/>
      <c r="P125" s="731"/>
      <c r="Q125" s="731"/>
      <c r="R125" s="730"/>
      <c r="S125" s="730"/>
      <c r="T125" s="723"/>
      <c r="U125" s="724"/>
      <c r="V125" s="725"/>
      <c r="W125" s="725"/>
      <c r="X125" s="723"/>
      <c r="Y125" s="723"/>
      <c r="Z125" s="723"/>
      <c r="AA125" s="726"/>
      <c r="AB125" s="726"/>
      <c r="AC125" s="170"/>
      <c r="AD125" s="586">
        <f t="shared" si="98"/>
        <v>0</v>
      </c>
      <c r="AE125" s="586">
        <f t="shared" si="98"/>
        <v>0</v>
      </c>
      <c r="AF125" s="586">
        <f t="shared" si="98"/>
        <v>0</v>
      </c>
      <c r="AG125" s="586">
        <f t="shared" si="98"/>
        <v>0</v>
      </c>
      <c r="AH125" s="586">
        <f t="shared" si="98"/>
        <v>0</v>
      </c>
      <c r="AI125" s="586">
        <f t="shared" si="98"/>
        <v>0</v>
      </c>
      <c r="AJ125" s="586">
        <f t="shared" si="98"/>
        <v>0</v>
      </c>
      <c r="AK125" s="586">
        <f t="shared" si="98"/>
        <v>0</v>
      </c>
      <c r="AL125" s="586">
        <f t="shared" si="98"/>
        <v>0</v>
      </c>
      <c r="AM125" s="586">
        <f t="shared" si="98"/>
        <v>0</v>
      </c>
      <c r="AN125" s="586">
        <f t="shared" si="98"/>
        <v>0</v>
      </c>
      <c r="AO125" s="586">
        <f t="shared" si="98"/>
        <v>0</v>
      </c>
      <c r="AP125" s="586">
        <f t="shared" si="98"/>
        <v>0</v>
      </c>
      <c r="AQ125" s="586">
        <f t="shared" si="98"/>
        <v>0</v>
      </c>
      <c r="AR125" s="586">
        <f t="shared" si="98"/>
        <v>0</v>
      </c>
      <c r="AS125" s="586">
        <f t="shared" si="98"/>
        <v>0</v>
      </c>
      <c r="AT125" s="170"/>
      <c r="AU125" s="170"/>
      <c r="AV125" s="170"/>
      <c r="AW125" s="828"/>
      <c r="AX125" s="726"/>
    </row>
    <row r="126" spans="1:50" ht="15" x14ac:dyDescent="0.25">
      <c r="A126" s="170"/>
      <c r="B126" s="719"/>
      <c r="C126" s="170" t="str">
        <f t="shared" si="93"/>
        <v>41ea</v>
      </c>
      <c r="D126" s="170"/>
      <c r="E126" s="170"/>
      <c r="F126" s="170">
        <f>+Parameters!D44</f>
        <v>41</v>
      </c>
      <c r="G126" s="170" t="str">
        <f>+Parameters!E44</f>
        <v>Structures - Poles - monopoles</v>
      </c>
      <c r="H126" s="586">
        <f t="shared" si="95"/>
        <v>0</v>
      </c>
      <c r="I126" s="170" t="str">
        <f>+Parameters!F44</f>
        <v>ea</v>
      </c>
      <c r="J126" s="170"/>
      <c r="K126" s="170"/>
      <c r="L126" s="170"/>
      <c r="M126" s="730"/>
      <c r="N126" s="730"/>
      <c r="O126" s="730"/>
      <c r="P126" s="731"/>
      <c r="Q126" s="731"/>
      <c r="R126" s="730"/>
      <c r="S126" s="730"/>
      <c r="T126" s="723"/>
      <c r="U126" s="724"/>
      <c r="V126" s="725"/>
      <c r="W126" s="725"/>
      <c r="X126" s="723"/>
      <c r="Y126" s="723"/>
      <c r="Z126" s="723"/>
      <c r="AA126" s="726"/>
      <c r="AB126" s="726"/>
      <c r="AC126" s="170"/>
      <c r="AD126" s="586">
        <f t="shared" ref="AD126:AS135" si="99">SUMIF($F$9:$F$82,$F126,AD$9:AD$82)</f>
        <v>0</v>
      </c>
      <c r="AE126" s="586">
        <f t="shared" si="99"/>
        <v>0</v>
      </c>
      <c r="AF126" s="586">
        <f t="shared" si="99"/>
        <v>0</v>
      </c>
      <c r="AG126" s="586">
        <f t="shared" si="99"/>
        <v>0</v>
      </c>
      <c r="AH126" s="586">
        <f t="shared" si="99"/>
        <v>0</v>
      </c>
      <c r="AI126" s="586">
        <f t="shared" si="99"/>
        <v>0</v>
      </c>
      <c r="AJ126" s="586">
        <f t="shared" si="99"/>
        <v>0</v>
      </c>
      <c r="AK126" s="586">
        <f t="shared" si="99"/>
        <v>0</v>
      </c>
      <c r="AL126" s="586">
        <f t="shared" si="99"/>
        <v>0</v>
      </c>
      <c r="AM126" s="586">
        <f t="shared" si="99"/>
        <v>0</v>
      </c>
      <c r="AN126" s="586">
        <f t="shared" si="99"/>
        <v>0</v>
      </c>
      <c r="AO126" s="586">
        <f t="shared" si="99"/>
        <v>0</v>
      </c>
      <c r="AP126" s="586">
        <f t="shared" si="99"/>
        <v>0</v>
      </c>
      <c r="AQ126" s="586">
        <f t="shared" si="99"/>
        <v>0</v>
      </c>
      <c r="AR126" s="586">
        <f t="shared" si="99"/>
        <v>0</v>
      </c>
      <c r="AS126" s="586">
        <f t="shared" si="99"/>
        <v>0</v>
      </c>
      <c r="AT126" s="170"/>
      <c r="AU126" s="170"/>
      <c r="AV126" s="170"/>
      <c r="AW126" s="828"/>
      <c r="AX126" s="726"/>
    </row>
    <row r="127" spans="1:50" ht="15" x14ac:dyDescent="0.25">
      <c r="A127" s="170"/>
      <c r="B127" s="719"/>
      <c r="C127" s="170" t="str">
        <f t="shared" si="93"/>
        <v>42ea</v>
      </c>
      <c r="D127" s="170"/>
      <c r="E127" s="170"/>
      <c r="F127" s="170">
        <f>+Parameters!D45</f>
        <v>42</v>
      </c>
      <c r="G127" s="170" t="str">
        <f>+Parameters!E45</f>
        <v>Structures - Poles - frame</v>
      </c>
      <c r="H127" s="586">
        <f t="shared" si="95"/>
        <v>0</v>
      </c>
      <c r="I127" s="170" t="str">
        <f>+Parameters!F45</f>
        <v>ea</v>
      </c>
      <c r="J127" s="170"/>
      <c r="K127" s="170"/>
      <c r="L127" s="170"/>
      <c r="M127" s="730"/>
      <c r="N127" s="730"/>
      <c r="O127" s="730"/>
      <c r="P127" s="731"/>
      <c r="Q127" s="731"/>
      <c r="R127" s="730"/>
      <c r="S127" s="730"/>
      <c r="T127" s="723"/>
      <c r="U127" s="724"/>
      <c r="V127" s="725"/>
      <c r="W127" s="725"/>
      <c r="X127" s="723"/>
      <c r="Y127" s="723"/>
      <c r="Z127" s="723"/>
      <c r="AA127" s="726"/>
      <c r="AB127" s="726"/>
      <c r="AC127" s="170"/>
      <c r="AD127" s="586">
        <f t="shared" si="99"/>
        <v>0</v>
      </c>
      <c r="AE127" s="586">
        <f t="shared" si="99"/>
        <v>0</v>
      </c>
      <c r="AF127" s="586">
        <f t="shared" si="99"/>
        <v>0</v>
      </c>
      <c r="AG127" s="586">
        <f t="shared" si="99"/>
        <v>0</v>
      </c>
      <c r="AH127" s="586">
        <f t="shared" si="99"/>
        <v>0</v>
      </c>
      <c r="AI127" s="586">
        <f t="shared" si="99"/>
        <v>0</v>
      </c>
      <c r="AJ127" s="586">
        <f t="shared" si="99"/>
        <v>0</v>
      </c>
      <c r="AK127" s="586">
        <f t="shared" si="99"/>
        <v>0</v>
      </c>
      <c r="AL127" s="586">
        <f t="shared" si="99"/>
        <v>0</v>
      </c>
      <c r="AM127" s="586">
        <f t="shared" si="99"/>
        <v>0</v>
      </c>
      <c r="AN127" s="586">
        <f t="shared" si="99"/>
        <v>0</v>
      </c>
      <c r="AO127" s="586">
        <f t="shared" si="99"/>
        <v>0</v>
      </c>
      <c r="AP127" s="586">
        <f t="shared" si="99"/>
        <v>0</v>
      </c>
      <c r="AQ127" s="586">
        <f t="shared" si="99"/>
        <v>0</v>
      </c>
      <c r="AR127" s="586">
        <f t="shared" si="99"/>
        <v>0</v>
      </c>
      <c r="AS127" s="586">
        <f t="shared" si="99"/>
        <v>0</v>
      </c>
      <c r="AT127" s="170"/>
      <c r="AU127" s="170"/>
      <c r="AV127" s="170"/>
      <c r="AW127" s="828"/>
      <c r="AX127" s="726"/>
    </row>
    <row r="128" spans="1:50" ht="15" x14ac:dyDescent="0.25">
      <c r="A128" s="170"/>
      <c r="B128" s="719"/>
      <c r="C128" s="170" t="str">
        <f t="shared" si="93"/>
        <v>43ea</v>
      </c>
      <c r="D128" s="170"/>
      <c r="E128" s="170"/>
      <c r="F128" s="170">
        <f>+Parameters!D46</f>
        <v>43</v>
      </c>
      <c r="G128" s="170" t="str">
        <f>+Parameters!E46</f>
        <v>Structures - Poles - Guys</v>
      </c>
      <c r="H128" s="586">
        <f t="shared" si="95"/>
        <v>0</v>
      </c>
      <c r="I128" s="170" t="str">
        <f>+Parameters!F46</f>
        <v>ea</v>
      </c>
      <c r="J128" s="170"/>
      <c r="K128" s="170"/>
      <c r="L128" s="170"/>
      <c r="M128" s="730"/>
      <c r="N128" s="730"/>
      <c r="O128" s="730"/>
      <c r="P128" s="731"/>
      <c r="Q128" s="731"/>
      <c r="R128" s="730"/>
      <c r="S128" s="730"/>
      <c r="T128" s="723"/>
      <c r="U128" s="724"/>
      <c r="V128" s="725"/>
      <c r="W128" s="725"/>
      <c r="X128" s="723"/>
      <c r="Y128" s="723"/>
      <c r="Z128" s="723"/>
      <c r="AA128" s="726"/>
      <c r="AB128" s="726"/>
      <c r="AC128" s="170"/>
      <c r="AD128" s="586">
        <f t="shared" si="99"/>
        <v>0</v>
      </c>
      <c r="AE128" s="586">
        <f t="shared" si="99"/>
        <v>0</v>
      </c>
      <c r="AF128" s="586">
        <f t="shared" si="99"/>
        <v>0</v>
      </c>
      <c r="AG128" s="586">
        <f t="shared" si="99"/>
        <v>0</v>
      </c>
      <c r="AH128" s="586">
        <f t="shared" si="99"/>
        <v>0</v>
      </c>
      <c r="AI128" s="586">
        <f t="shared" si="99"/>
        <v>0</v>
      </c>
      <c r="AJ128" s="586">
        <f t="shared" si="99"/>
        <v>0</v>
      </c>
      <c r="AK128" s="586">
        <f t="shared" si="99"/>
        <v>0</v>
      </c>
      <c r="AL128" s="586">
        <f t="shared" si="99"/>
        <v>0</v>
      </c>
      <c r="AM128" s="586">
        <f t="shared" si="99"/>
        <v>0</v>
      </c>
      <c r="AN128" s="586">
        <f t="shared" si="99"/>
        <v>0</v>
      </c>
      <c r="AO128" s="586">
        <f t="shared" si="99"/>
        <v>0</v>
      </c>
      <c r="AP128" s="586">
        <f t="shared" si="99"/>
        <v>0</v>
      </c>
      <c r="AQ128" s="586">
        <f t="shared" si="99"/>
        <v>0</v>
      </c>
      <c r="AR128" s="586">
        <f t="shared" si="99"/>
        <v>0</v>
      </c>
      <c r="AS128" s="586">
        <f t="shared" si="99"/>
        <v>0</v>
      </c>
      <c r="AT128" s="170"/>
      <c r="AU128" s="170"/>
      <c r="AV128" s="170"/>
      <c r="AW128" s="828"/>
      <c r="AX128" s="726"/>
    </row>
    <row r="129" spans="1:50" ht="15" x14ac:dyDescent="0.25">
      <c r="A129" s="170"/>
      <c r="B129" s="719"/>
      <c r="C129" s="170" t="str">
        <f t="shared" si="93"/>
        <v>440</v>
      </c>
      <c r="D129" s="170"/>
      <c r="E129" s="170"/>
      <c r="F129" s="170">
        <f>+Parameters!D47</f>
        <v>44</v>
      </c>
      <c r="G129" s="170">
        <f>+Parameters!E47</f>
        <v>0</v>
      </c>
      <c r="H129" s="586">
        <f t="shared" si="95"/>
        <v>0</v>
      </c>
      <c r="I129" s="170">
        <f>+Parameters!F47</f>
        <v>0</v>
      </c>
      <c r="J129" s="170"/>
      <c r="K129" s="170"/>
      <c r="L129" s="170"/>
      <c r="M129" s="730"/>
      <c r="N129" s="730"/>
      <c r="O129" s="730"/>
      <c r="P129" s="731"/>
      <c r="Q129" s="731"/>
      <c r="R129" s="730"/>
      <c r="S129" s="730"/>
      <c r="T129" s="723"/>
      <c r="U129" s="724"/>
      <c r="V129" s="725"/>
      <c r="W129" s="725"/>
      <c r="X129" s="723"/>
      <c r="Y129" s="723"/>
      <c r="Z129" s="723"/>
      <c r="AA129" s="726"/>
      <c r="AB129" s="726"/>
      <c r="AC129" s="170"/>
      <c r="AD129" s="586">
        <f t="shared" si="99"/>
        <v>0</v>
      </c>
      <c r="AE129" s="586">
        <f t="shared" si="99"/>
        <v>0</v>
      </c>
      <c r="AF129" s="586">
        <f t="shared" si="99"/>
        <v>0</v>
      </c>
      <c r="AG129" s="586">
        <f t="shared" si="99"/>
        <v>0</v>
      </c>
      <c r="AH129" s="586">
        <f t="shared" si="99"/>
        <v>0</v>
      </c>
      <c r="AI129" s="586">
        <f t="shared" si="99"/>
        <v>0</v>
      </c>
      <c r="AJ129" s="586">
        <f t="shared" si="99"/>
        <v>0</v>
      </c>
      <c r="AK129" s="586">
        <f t="shared" si="99"/>
        <v>0</v>
      </c>
      <c r="AL129" s="586">
        <f t="shared" si="99"/>
        <v>0</v>
      </c>
      <c r="AM129" s="586">
        <f t="shared" si="99"/>
        <v>0</v>
      </c>
      <c r="AN129" s="586">
        <f t="shared" si="99"/>
        <v>0</v>
      </c>
      <c r="AO129" s="586">
        <f t="shared" si="99"/>
        <v>0</v>
      </c>
      <c r="AP129" s="586">
        <f t="shared" si="99"/>
        <v>0</v>
      </c>
      <c r="AQ129" s="586">
        <f t="shared" si="99"/>
        <v>0</v>
      </c>
      <c r="AR129" s="586">
        <f t="shared" si="99"/>
        <v>0</v>
      </c>
      <c r="AS129" s="586">
        <f t="shared" si="99"/>
        <v>0</v>
      </c>
      <c r="AT129" s="170"/>
      <c r="AU129" s="170"/>
      <c r="AV129" s="170"/>
      <c r="AW129" s="828"/>
      <c r="AX129" s="726"/>
    </row>
    <row r="130" spans="1:50" ht="15" x14ac:dyDescent="0.25">
      <c r="A130" s="170"/>
      <c r="B130" s="719"/>
      <c r="C130" s="170" t="str">
        <f t="shared" si="93"/>
        <v>45tn</v>
      </c>
      <c r="D130" s="170"/>
      <c r="E130" s="170"/>
      <c r="F130" s="170">
        <f>+Parameters!D48</f>
        <v>45</v>
      </c>
      <c r="G130" s="170" t="str">
        <f>+Parameters!E48</f>
        <v>Structures - S.S.</v>
      </c>
      <c r="H130" s="586">
        <f t="shared" si="95"/>
        <v>0</v>
      </c>
      <c r="I130" s="170" t="str">
        <f>+Parameters!F48</f>
        <v>tn</v>
      </c>
      <c r="J130" s="170"/>
      <c r="K130" s="170"/>
      <c r="L130" s="170"/>
      <c r="M130" s="730"/>
      <c r="N130" s="730"/>
      <c r="O130" s="730"/>
      <c r="P130" s="731"/>
      <c r="Q130" s="731"/>
      <c r="R130" s="730"/>
      <c r="S130" s="730"/>
      <c r="T130" s="723"/>
      <c r="U130" s="724"/>
      <c r="V130" s="725"/>
      <c r="W130" s="725"/>
      <c r="X130" s="723"/>
      <c r="Y130" s="723"/>
      <c r="Z130" s="723"/>
      <c r="AA130" s="726"/>
      <c r="AB130" s="726"/>
      <c r="AC130" s="170"/>
      <c r="AD130" s="586">
        <f t="shared" si="99"/>
        <v>0</v>
      </c>
      <c r="AE130" s="586">
        <f t="shared" si="99"/>
        <v>0</v>
      </c>
      <c r="AF130" s="586">
        <f t="shared" si="99"/>
        <v>0</v>
      </c>
      <c r="AG130" s="586">
        <f t="shared" si="99"/>
        <v>0</v>
      </c>
      <c r="AH130" s="586">
        <f t="shared" si="99"/>
        <v>0</v>
      </c>
      <c r="AI130" s="586">
        <f t="shared" si="99"/>
        <v>0</v>
      </c>
      <c r="AJ130" s="586">
        <f t="shared" si="99"/>
        <v>0</v>
      </c>
      <c r="AK130" s="586">
        <f t="shared" si="99"/>
        <v>0</v>
      </c>
      <c r="AL130" s="586">
        <f t="shared" si="99"/>
        <v>0</v>
      </c>
      <c r="AM130" s="586">
        <f t="shared" si="99"/>
        <v>0</v>
      </c>
      <c r="AN130" s="586">
        <f t="shared" si="99"/>
        <v>0</v>
      </c>
      <c r="AO130" s="586">
        <f t="shared" si="99"/>
        <v>0</v>
      </c>
      <c r="AP130" s="586">
        <f t="shared" si="99"/>
        <v>0</v>
      </c>
      <c r="AQ130" s="586">
        <f t="shared" si="99"/>
        <v>0</v>
      </c>
      <c r="AR130" s="586">
        <f t="shared" si="99"/>
        <v>0</v>
      </c>
      <c r="AS130" s="586">
        <f t="shared" si="99"/>
        <v>0</v>
      </c>
      <c r="AT130" s="170"/>
      <c r="AU130" s="170"/>
      <c r="AV130" s="170"/>
      <c r="AW130" s="828"/>
      <c r="AX130" s="726"/>
    </row>
    <row r="131" spans="1:50" ht="15" x14ac:dyDescent="0.25">
      <c r="A131" s="170"/>
      <c r="B131" s="719"/>
      <c r="C131" s="170" t="str">
        <f t="shared" si="93"/>
        <v>46tn</v>
      </c>
      <c r="D131" s="170"/>
      <c r="E131" s="170"/>
      <c r="F131" s="170">
        <f>+Parameters!D49</f>
        <v>46</v>
      </c>
      <c r="G131" s="170" t="str">
        <f>+Parameters!E49</f>
        <v>Structures - Platforms</v>
      </c>
      <c r="H131" s="586">
        <f t="shared" si="95"/>
        <v>0</v>
      </c>
      <c r="I131" s="170" t="str">
        <f>+Parameters!F49</f>
        <v>tn</v>
      </c>
      <c r="J131" s="170"/>
      <c r="K131" s="170"/>
      <c r="L131" s="170"/>
      <c r="M131" s="730"/>
      <c r="N131" s="730"/>
      <c r="O131" s="730"/>
      <c r="P131" s="731"/>
      <c r="Q131" s="731"/>
      <c r="R131" s="730"/>
      <c r="S131" s="730"/>
      <c r="T131" s="723"/>
      <c r="U131" s="724"/>
      <c r="V131" s="725"/>
      <c r="W131" s="725"/>
      <c r="X131" s="723"/>
      <c r="Y131" s="723"/>
      <c r="Z131" s="723"/>
      <c r="AA131" s="726"/>
      <c r="AB131" s="726"/>
      <c r="AC131" s="170"/>
      <c r="AD131" s="586">
        <f t="shared" si="99"/>
        <v>0</v>
      </c>
      <c r="AE131" s="586">
        <f t="shared" si="99"/>
        <v>0</v>
      </c>
      <c r="AF131" s="586">
        <f t="shared" si="99"/>
        <v>0</v>
      </c>
      <c r="AG131" s="586">
        <f t="shared" si="99"/>
        <v>0</v>
      </c>
      <c r="AH131" s="586">
        <f t="shared" si="99"/>
        <v>0</v>
      </c>
      <c r="AI131" s="586">
        <f t="shared" si="99"/>
        <v>0</v>
      </c>
      <c r="AJ131" s="586">
        <f t="shared" si="99"/>
        <v>0</v>
      </c>
      <c r="AK131" s="586">
        <f t="shared" si="99"/>
        <v>0</v>
      </c>
      <c r="AL131" s="586">
        <f t="shared" si="99"/>
        <v>0</v>
      </c>
      <c r="AM131" s="586">
        <f t="shared" si="99"/>
        <v>0</v>
      </c>
      <c r="AN131" s="586">
        <f t="shared" si="99"/>
        <v>0</v>
      </c>
      <c r="AO131" s="586">
        <f t="shared" si="99"/>
        <v>0</v>
      </c>
      <c r="AP131" s="586">
        <f t="shared" si="99"/>
        <v>0</v>
      </c>
      <c r="AQ131" s="586">
        <f t="shared" si="99"/>
        <v>0</v>
      </c>
      <c r="AR131" s="586">
        <f t="shared" si="99"/>
        <v>0</v>
      </c>
      <c r="AS131" s="586">
        <f t="shared" si="99"/>
        <v>0</v>
      </c>
      <c r="AT131" s="170"/>
      <c r="AU131" s="170"/>
      <c r="AV131" s="170"/>
      <c r="AW131" s="828"/>
      <c r="AX131" s="726"/>
    </row>
    <row r="132" spans="1:50" ht="15" x14ac:dyDescent="0.25">
      <c r="A132" s="170"/>
      <c r="B132" s="719"/>
      <c r="C132" s="170" t="str">
        <f t="shared" si="93"/>
        <v>470</v>
      </c>
      <c r="D132" s="170"/>
      <c r="E132" s="170"/>
      <c r="F132" s="170">
        <f>+Parameters!D50</f>
        <v>47</v>
      </c>
      <c r="G132" s="170">
        <f>+Parameters!E50</f>
        <v>0</v>
      </c>
      <c r="H132" s="586">
        <f t="shared" si="95"/>
        <v>0</v>
      </c>
      <c r="I132" s="170">
        <f>+Parameters!F50</f>
        <v>0</v>
      </c>
      <c r="J132" s="170"/>
      <c r="K132" s="170"/>
      <c r="L132" s="170"/>
      <c r="M132" s="730"/>
      <c r="N132" s="730"/>
      <c r="O132" s="730"/>
      <c r="P132" s="731"/>
      <c r="Q132" s="731"/>
      <c r="R132" s="730"/>
      <c r="S132" s="730"/>
      <c r="T132" s="723"/>
      <c r="U132" s="724"/>
      <c r="V132" s="725"/>
      <c r="W132" s="725"/>
      <c r="X132" s="723"/>
      <c r="Y132" s="723"/>
      <c r="Z132" s="723"/>
      <c r="AA132" s="726"/>
      <c r="AB132" s="726"/>
      <c r="AC132" s="170"/>
      <c r="AD132" s="586">
        <f t="shared" si="99"/>
        <v>0</v>
      </c>
      <c r="AE132" s="586">
        <f t="shared" si="99"/>
        <v>0</v>
      </c>
      <c r="AF132" s="586">
        <f t="shared" si="99"/>
        <v>0</v>
      </c>
      <c r="AG132" s="586">
        <f t="shared" si="99"/>
        <v>0</v>
      </c>
      <c r="AH132" s="586">
        <f t="shared" si="99"/>
        <v>0</v>
      </c>
      <c r="AI132" s="586">
        <f t="shared" si="99"/>
        <v>0</v>
      </c>
      <c r="AJ132" s="586">
        <f t="shared" si="99"/>
        <v>0</v>
      </c>
      <c r="AK132" s="586">
        <f t="shared" si="99"/>
        <v>0</v>
      </c>
      <c r="AL132" s="586">
        <f t="shared" si="99"/>
        <v>0</v>
      </c>
      <c r="AM132" s="586">
        <f t="shared" si="99"/>
        <v>0</v>
      </c>
      <c r="AN132" s="586">
        <f t="shared" si="99"/>
        <v>0</v>
      </c>
      <c r="AO132" s="586">
        <f t="shared" si="99"/>
        <v>0</v>
      </c>
      <c r="AP132" s="586">
        <f t="shared" si="99"/>
        <v>0</v>
      </c>
      <c r="AQ132" s="586">
        <f t="shared" si="99"/>
        <v>0</v>
      </c>
      <c r="AR132" s="586">
        <f t="shared" si="99"/>
        <v>0</v>
      </c>
      <c r="AS132" s="586">
        <f t="shared" si="99"/>
        <v>0</v>
      </c>
      <c r="AT132" s="170"/>
      <c r="AU132" s="170"/>
      <c r="AV132" s="170"/>
      <c r="AW132" s="828"/>
      <c r="AX132" s="726"/>
    </row>
    <row r="133" spans="1:50" ht="15" x14ac:dyDescent="0.25">
      <c r="A133" s="170"/>
      <c r="B133" s="719"/>
      <c r="C133" s="170" t="str">
        <f t="shared" si="93"/>
        <v>480</v>
      </c>
      <c r="D133" s="170"/>
      <c r="E133" s="170"/>
      <c r="F133" s="170">
        <f>+Parameters!D51</f>
        <v>48</v>
      </c>
      <c r="G133" s="170">
        <f>+Parameters!E51</f>
        <v>0</v>
      </c>
      <c r="H133" s="586">
        <f t="shared" si="95"/>
        <v>0</v>
      </c>
      <c r="I133" s="170">
        <f>+Parameters!F51</f>
        <v>0</v>
      </c>
      <c r="J133" s="170"/>
      <c r="K133" s="170"/>
      <c r="L133" s="170"/>
      <c r="M133" s="730"/>
      <c r="N133" s="730"/>
      <c r="O133" s="730"/>
      <c r="P133" s="731"/>
      <c r="Q133" s="731"/>
      <c r="R133" s="730"/>
      <c r="S133" s="730"/>
      <c r="T133" s="723"/>
      <c r="U133" s="724"/>
      <c r="V133" s="725"/>
      <c r="W133" s="725"/>
      <c r="X133" s="723"/>
      <c r="Y133" s="723"/>
      <c r="Z133" s="723"/>
      <c r="AA133" s="726"/>
      <c r="AB133" s="726"/>
      <c r="AC133" s="170"/>
      <c r="AD133" s="586">
        <f t="shared" si="99"/>
        <v>0</v>
      </c>
      <c r="AE133" s="586">
        <f t="shared" si="99"/>
        <v>0</v>
      </c>
      <c r="AF133" s="586">
        <f t="shared" si="99"/>
        <v>0</v>
      </c>
      <c r="AG133" s="586">
        <f t="shared" si="99"/>
        <v>0</v>
      </c>
      <c r="AH133" s="586">
        <f t="shared" si="99"/>
        <v>0</v>
      </c>
      <c r="AI133" s="586">
        <f t="shared" si="99"/>
        <v>0</v>
      </c>
      <c r="AJ133" s="586">
        <f t="shared" si="99"/>
        <v>0</v>
      </c>
      <c r="AK133" s="586">
        <f t="shared" si="99"/>
        <v>0</v>
      </c>
      <c r="AL133" s="586">
        <f t="shared" si="99"/>
        <v>0</v>
      </c>
      <c r="AM133" s="586">
        <f t="shared" si="99"/>
        <v>0</v>
      </c>
      <c r="AN133" s="586">
        <f t="shared" si="99"/>
        <v>0</v>
      </c>
      <c r="AO133" s="586">
        <f t="shared" si="99"/>
        <v>0</v>
      </c>
      <c r="AP133" s="586">
        <f t="shared" si="99"/>
        <v>0</v>
      </c>
      <c r="AQ133" s="586">
        <f t="shared" si="99"/>
        <v>0</v>
      </c>
      <c r="AR133" s="586">
        <f t="shared" si="99"/>
        <v>0</v>
      </c>
      <c r="AS133" s="586">
        <f t="shared" si="99"/>
        <v>0</v>
      </c>
      <c r="AT133" s="170"/>
      <c r="AU133" s="170"/>
      <c r="AV133" s="170"/>
      <c r="AW133" s="828"/>
      <c r="AX133" s="726"/>
    </row>
    <row r="134" spans="1:50" ht="15" x14ac:dyDescent="0.25">
      <c r="A134" s="170"/>
      <c r="B134" s="719"/>
      <c r="C134" s="170" t="str">
        <f t="shared" si="93"/>
        <v>49tn</v>
      </c>
      <c r="D134" s="170"/>
      <c r="E134" s="170"/>
      <c r="F134" s="170">
        <f>+Parameters!D52</f>
        <v>49</v>
      </c>
      <c r="G134" s="170" t="str">
        <f>+Parameters!E52</f>
        <v>Structures - Others</v>
      </c>
      <c r="H134" s="586">
        <f t="shared" si="95"/>
        <v>0</v>
      </c>
      <c r="I134" s="170" t="str">
        <f>+Parameters!F52</f>
        <v>tn</v>
      </c>
      <c r="J134" s="170"/>
      <c r="K134" s="170"/>
      <c r="L134" s="170"/>
      <c r="M134" s="730"/>
      <c r="N134" s="730"/>
      <c r="O134" s="730"/>
      <c r="P134" s="731"/>
      <c r="Q134" s="731"/>
      <c r="R134" s="730"/>
      <c r="S134" s="730"/>
      <c r="T134" s="723"/>
      <c r="U134" s="724"/>
      <c r="V134" s="725"/>
      <c r="W134" s="725"/>
      <c r="X134" s="723"/>
      <c r="Y134" s="723"/>
      <c r="Z134" s="723"/>
      <c r="AA134" s="726"/>
      <c r="AB134" s="726"/>
      <c r="AC134" s="170"/>
      <c r="AD134" s="586">
        <f t="shared" si="99"/>
        <v>0</v>
      </c>
      <c r="AE134" s="586">
        <f t="shared" si="99"/>
        <v>0</v>
      </c>
      <c r="AF134" s="586">
        <f t="shared" si="99"/>
        <v>0</v>
      </c>
      <c r="AG134" s="586">
        <f t="shared" si="99"/>
        <v>0</v>
      </c>
      <c r="AH134" s="586">
        <f t="shared" si="99"/>
        <v>0</v>
      </c>
      <c r="AI134" s="586">
        <f t="shared" si="99"/>
        <v>0</v>
      </c>
      <c r="AJ134" s="586">
        <f t="shared" si="99"/>
        <v>0</v>
      </c>
      <c r="AK134" s="586">
        <f t="shared" si="99"/>
        <v>0</v>
      </c>
      <c r="AL134" s="586">
        <f t="shared" si="99"/>
        <v>0</v>
      </c>
      <c r="AM134" s="586">
        <f t="shared" si="99"/>
        <v>0</v>
      </c>
      <c r="AN134" s="586">
        <f t="shared" si="99"/>
        <v>0</v>
      </c>
      <c r="AO134" s="586">
        <f t="shared" si="99"/>
        <v>0</v>
      </c>
      <c r="AP134" s="586">
        <f t="shared" si="99"/>
        <v>0</v>
      </c>
      <c r="AQ134" s="586">
        <f t="shared" si="99"/>
        <v>0</v>
      </c>
      <c r="AR134" s="586">
        <f t="shared" si="99"/>
        <v>0</v>
      </c>
      <c r="AS134" s="586">
        <f t="shared" si="99"/>
        <v>0</v>
      </c>
      <c r="AT134" s="170"/>
      <c r="AU134" s="170"/>
      <c r="AV134" s="170"/>
      <c r="AW134" s="828"/>
      <c r="AX134" s="726"/>
    </row>
    <row r="135" spans="1:50" ht="15" x14ac:dyDescent="0.25">
      <c r="A135" s="170"/>
      <c r="B135" s="719"/>
      <c r="C135" s="170" t="str">
        <f t="shared" si="93"/>
        <v>50ea</v>
      </c>
      <c r="D135" s="170"/>
      <c r="E135" s="170"/>
      <c r="F135" s="170">
        <f>+Parameters!D53</f>
        <v>50</v>
      </c>
      <c r="G135" s="170" t="str">
        <f>+Parameters!E53</f>
        <v>Major Eqt - Circuit Breakers</v>
      </c>
      <c r="H135" s="586">
        <f t="shared" si="95"/>
        <v>0</v>
      </c>
      <c r="I135" s="170" t="str">
        <f>+Parameters!F53</f>
        <v>ea</v>
      </c>
      <c r="J135" s="170"/>
      <c r="K135" s="170"/>
      <c r="L135" s="170"/>
      <c r="M135" s="730"/>
      <c r="N135" s="730"/>
      <c r="O135" s="730"/>
      <c r="P135" s="731"/>
      <c r="Q135" s="731"/>
      <c r="R135" s="730"/>
      <c r="S135" s="730"/>
      <c r="T135" s="723"/>
      <c r="U135" s="724"/>
      <c r="V135" s="725"/>
      <c r="W135" s="725"/>
      <c r="X135" s="723"/>
      <c r="Y135" s="723"/>
      <c r="Z135" s="723"/>
      <c r="AA135" s="726"/>
      <c r="AB135" s="726"/>
      <c r="AC135" s="170"/>
      <c r="AD135" s="586">
        <f t="shared" si="99"/>
        <v>0</v>
      </c>
      <c r="AE135" s="586">
        <f t="shared" si="99"/>
        <v>0</v>
      </c>
      <c r="AF135" s="586">
        <f t="shared" si="99"/>
        <v>0</v>
      </c>
      <c r="AG135" s="586">
        <f t="shared" si="99"/>
        <v>0</v>
      </c>
      <c r="AH135" s="586">
        <f t="shared" si="99"/>
        <v>0</v>
      </c>
      <c r="AI135" s="586">
        <f t="shared" si="99"/>
        <v>0</v>
      </c>
      <c r="AJ135" s="586">
        <f t="shared" si="99"/>
        <v>0</v>
      </c>
      <c r="AK135" s="586">
        <f t="shared" si="99"/>
        <v>0</v>
      </c>
      <c r="AL135" s="586">
        <f t="shared" si="99"/>
        <v>0</v>
      </c>
      <c r="AM135" s="586">
        <f t="shared" si="99"/>
        <v>0</v>
      </c>
      <c r="AN135" s="586">
        <f t="shared" si="99"/>
        <v>0</v>
      </c>
      <c r="AO135" s="586">
        <f t="shared" si="99"/>
        <v>0</v>
      </c>
      <c r="AP135" s="586">
        <f t="shared" si="99"/>
        <v>0</v>
      </c>
      <c r="AQ135" s="586">
        <f t="shared" si="99"/>
        <v>0</v>
      </c>
      <c r="AR135" s="586">
        <f t="shared" si="99"/>
        <v>0</v>
      </c>
      <c r="AS135" s="586">
        <f t="shared" si="99"/>
        <v>0</v>
      </c>
      <c r="AT135" s="170"/>
      <c r="AU135" s="170"/>
      <c r="AV135" s="170"/>
      <c r="AW135" s="828"/>
      <c r="AX135" s="726"/>
    </row>
    <row r="136" spans="1:50" ht="15" x14ac:dyDescent="0.25">
      <c r="A136" s="170"/>
      <c r="B136" s="719"/>
      <c r="C136" s="170" t="str">
        <f t="shared" si="93"/>
        <v>51ea</v>
      </c>
      <c r="D136" s="170"/>
      <c r="E136" s="170"/>
      <c r="F136" s="170">
        <f>+Parameters!D54</f>
        <v>51</v>
      </c>
      <c r="G136" s="170" t="str">
        <f>+Parameters!E54</f>
        <v>Major Eqt - Transformers</v>
      </c>
      <c r="H136" s="586">
        <f t="shared" si="95"/>
        <v>0</v>
      </c>
      <c r="I136" s="170" t="str">
        <f>+Parameters!F54</f>
        <v>ea</v>
      </c>
      <c r="J136" s="170"/>
      <c r="K136" s="170"/>
      <c r="L136" s="170"/>
      <c r="M136" s="730"/>
      <c r="N136" s="730"/>
      <c r="O136" s="730"/>
      <c r="P136" s="731"/>
      <c r="Q136" s="731"/>
      <c r="R136" s="730"/>
      <c r="S136" s="730"/>
      <c r="T136" s="723"/>
      <c r="U136" s="724"/>
      <c r="V136" s="725"/>
      <c r="W136" s="725"/>
      <c r="X136" s="723"/>
      <c r="Y136" s="723"/>
      <c r="Z136" s="723"/>
      <c r="AA136" s="726"/>
      <c r="AB136" s="726"/>
      <c r="AC136" s="170"/>
      <c r="AD136" s="586">
        <f t="shared" ref="AD136:AS145" si="100">SUMIF($F$9:$F$82,$F136,AD$9:AD$82)</f>
        <v>0</v>
      </c>
      <c r="AE136" s="586">
        <f t="shared" si="100"/>
        <v>0</v>
      </c>
      <c r="AF136" s="586">
        <f t="shared" si="100"/>
        <v>0</v>
      </c>
      <c r="AG136" s="586">
        <f t="shared" si="100"/>
        <v>0</v>
      </c>
      <c r="AH136" s="586">
        <f t="shared" si="100"/>
        <v>0</v>
      </c>
      <c r="AI136" s="586">
        <f t="shared" si="100"/>
        <v>0</v>
      </c>
      <c r="AJ136" s="586">
        <f t="shared" si="100"/>
        <v>0</v>
      </c>
      <c r="AK136" s="586">
        <f t="shared" si="100"/>
        <v>0</v>
      </c>
      <c r="AL136" s="586">
        <f t="shared" si="100"/>
        <v>0</v>
      </c>
      <c r="AM136" s="586">
        <f t="shared" si="100"/>
        <v>0</v>
      </c>
      <c r="AN136" s="586">
        <f t="shared" si="100"/>
        <v>0</v>
      </c>
      <c r="AO136" s="586">
        <f t="shared" si="100"/>
        <v>0</v>
      </c>
      <c r="AP136" s="586">
        <f t="shared" si="100"/>
        <v>0</v>
      </c>
      <c r="AQ136" s="586">
        <f t="shared" si="100"/>
        <v>0</v>
      </c>
      <c r="AR136" s="586">
        <f t="shared" si="100"/>
        <v>0</v>
      </c>
      <c r="AS136" s="586">
        <f t="shared" si="100"/>
        <v>0</v>
      </c>
      <c r="AT136" s="170"/>
      <c r="AU136" s="170"/>
      <c r="AV136" s="170"/>
      <c r="AW136" s="828"/>
      <c r="AX136" s="726"/>
    </row>
    <row r="137" spans="1:50" ht="15" x14ac:dyDescent="0.25">
      <c r="A137" s="170"/>
      <c r="B137" s="719"/>
      <c r="C137" s="170" t="str">
        <f t="shared" si="93"/>
        <v>52ea</v>
      </c>
      <c r="D137" s="170"/>
      <c r="E137" s="170"/>
      <c r="F137" s="170">
        <f>+Parameters!D55</f>
        <v>52</v>
      </c>
      <c r="G137" s="170" t="str">
        <f>+Parameters!E55</f>
        <v>Major Eqt - Circuit Switchers</v>
      </c>
      <c r="H137" s="586">
        <f t="shared" si="95"/>
        <v>0</v>
      </c>
      <c r="I137" s="170" t="str">
        <f>+Parameters!F55</f>
        <v>ea</v>
      </c>
      <c r="J137" s="170"/>
      <c r="K137" s="170"/>
      <c r="L137" s="170"/>
      <c r="M137" s="730"/>
      <c r="N137" s="730"/>
      <c r="O137" s="730"/>
      <c r="P137" s="731"/>
      <c r="Q137" s="731"/>
      <c r="R137" s="730"/>
      <c r="S137" s="730"/>
      <c r="T137" s="723"/>
      <c r="U137" s="724"/>
      <c r="V137" s="725"/>
      <c r="W137" s="725"/>
      <c r="X137" s="723"/>
      <c r="Y137" s="723"/>
      <c r="Z137" s="723"/>
      <c r="AA137" s="726"/>
      <c r="AB137" s="726"/>
      <c r="AC137" s="170"/>
      <c r="AD137" s="586">
        <f t="shared" si="100"/>
        <v>0</v>
      </c>
      <c r="AE137" s="586">
        <f t="shared" si="100"/>
        <v>0</v>
      </c>
      <c r="AF137" s="586">
        <f t="shared" si="100"/>
        <v>0</v>
      </c>
      <c r="AG137" s="586">
        <f t="shared" si="100"/>
        <v>0</v>
      </c>
      <c r="AH137" s="586">
        <f t="shared" si="100"/>
        <v>0</v>
      </c>
      <c r="AI137" s="586">
        <f t="shared" si="100"/>
        <v>0</v>
      </c>
      <c r="AJ137" s="586">
        <f t="shared" si="100"/>
        <v>0</v>
      </c>
      <c r="AK137" s="586">
        <f t="shared" si="100"/>
        <v>0</v>
      </c>
      <c r="AL137" s="586">
        <f t="shared" si="100"/>
        <v>0</v>
      </c>
      <c r="AM137" s="586">
        <f t="shared" si="100"/>
        <v>0</v>
      </c>
      <c r="AN137" s="586">
        <f t="shared" si="100"/>
        <v>0</v>
      </c>
      <c r="AO137" s="586">
        <f t="shared" si="100"/>
        <v>0</v>
      </c>
      <c r="AP137" s="586">
        <f t="shared" si="100"/>
        <v>0</v>
      </c>
      <c r="AQ137" s="586">
        <f t="shared" si="100"/>
        <v>0</v>
      </c>
      <c r="AR137" s="586">
        <f t="shared" si="100"/>
        <v>0</v>
      </c>
      <c r="AS137" s="586">
        <f t="shared" si="100"/>
        <v>0</v>
      </c>
      <c r="AT137" s="170"/>
      <c r="AU137" s="170"/>
      <c r="AV137" s="170"/>
      <c r="AW137" s="828"/>
      <c r="AX137" s="726"/>
    </row>
    <row r="138" spans="1:50" ht="15" x14ac:dyDescent="0.25">
      <c r="A138" s="170"/>
      <c r="B138" s="719"/>
      <c r="C138" s="170" t="str">
        <f t="shared" si="93"/>
        <v>53ea</v>
      </c>
      <c r="D138" s="170"/>
      <c r="E138" s="170"/>
      <c r="F138" s="170">
        <f>+Parameters!D56</f>
        <v>53</v>
      </c>
      <c r="G138" s="170" t="str">
        <f>+Parameters!E56</f>
        <v>Major Eqt - Disconect Switches</v>
      </c>
      <c r="H138" s="586">
        <f t="shared" si="95"/>
        <v>0</v>
      </c>
      <c r="I138" s="170" t="str">
        <f>+Parameters!F56</f>
        <v>ea</v>
      </c>
      <c r="J138" s="170"/>
      <c r="K138" s="170"/>
      <c r="L138" s="170"/>
      <c r="M138" s="730"/>
      <c r="N138" s="730"/>
      <c r="O138" s="730"/>
      <c r="P138" s="731"/>
      <c r="Q138" s="731"/>
      <c r="R138" s="730"/>
      <c r="S138" s="730"/>
      <c r="T138" s="723"/>
      <c r="U138" s="724"/>
      <c r="V138" s="725"/>
      <c r="W138" s="725"/>
      <c r="X138" s="723"/>
      <c r="Y138" s="723"/>
      <c r="Z138" s="723"/>
      <c r="AA138" s="726"/>
      <c r="AB138" s="726"/>
      <c r="AC138" s="170"/>
      <c r="AD138" s="586">
        <f t="shared" si="100"/>
        <v>0</v>
      </c>
      <c r="AE138" s="586">
        <f t="shared" si="100"/>
        <v>0</v>
      </c>
      <c r="AF138" s="586">
        <f t="shared" si="100"/>
        <v>0</v>
      </c>
      <c r="AG138" s="586">
        <f t="shared" si="100"/>
        <v>0</v>
      </c>
      <c r="AH138" s="586">
        <f t="shared" si="100"/>
        <v>0</v>
      </c>
      <c r="AI138" s="586">
        <f t="shared" si="100"/>
        <v>0</v>
      </c>
      <c r="AJ138" s="586">
        <f t="shared" si="100"/>
        <v>0</v>
      </c>
      <c r="AK138" s="586">
        <f t="shared" si="100"/>
        <v>0</v>
      </c>
      <c r="AL138" s="586">
        <f t="shared" si="100"/>
        <v>0</v>
      </c>
      <c r="AM138" s="586">
        <f t="shared" si="100"/>
        <v>0</v>
      </c>
      <c r="AN138" s="586">
        <f t="shared" si="100"/>
        <v>0</v>
      </c>
      <c r="AO138" s="586">
        <f t="shared" si="100"/>
        <v>0</v>
      </c>
      <c r="AP138" s="586">
        <f t="shared" si="100"/>
        <v>0</v>
      </c>
      <c r="AQ138" s="586">
        <f t="shared" si="100"/>
        <v>0</v>
      </c>
      <c r="AR138" s="586">
        <f t="shared" si="100"/>
        <v>0</v>
      </c>
      <c r="AS138" s="586">
        <f t="shared" si="100"/>
        <v>0</v>
      </c>
      <c r="AT138" s="170"/>
      <c r="AU138" s="170"/>
      <c r="AV138" s="170"/>
      <c r="AW138" s="828"/>
      <c r="AX138" s="726"/>
    </row>
    <row r="139" spans="1:50" ht="15" x14ac:dyDescent="0.25">
      <c r="A139" s="170"/>
      <c r="B139" s="719"/>
      <c r="C139" s="170" t="str">
        <f t="shared" si="93"/>
        <v>54ea</v>
      </c>
      <c r="D139" s="170"/>
      <c r="E139" s="170"/>
      <c r="F139" s="170">
        <f>+Parameters!D57</f>
        <v>54</v>
      </c>
      <c r="G139" s="170" t="str">
        <f>+Parameters!E57</f>
        <v>Major Eqt - Cap Banks</v>
      </c>
      <c r="H139" s="586">
        <f t="shared" si="95"/>
        <v>0</v>
      </c>
      <c r="I139" s="170" t="str">
        <f>+Parameters!F57</f>
        <v>ea</v>
      </c>
      <c r="J139" s="170"/>
      <c r="K139" s="170"/>
      <c r="L139" s="170"/>
      <c r="M139" s="730"/>
      <c r="N139" s="730"/>
      <c r="O139" s="730"/>
      <c r="P139" s="731"/>
      <c r="Q139" s="731"/>
      <c r="R139" s="730"/>
      <c r="S139" s="730"/>
      <c r="T139" s="723"/>
      <c r="U139" s="724"/>
      <c r="V139" s="725"/>
      <c r="W139" s="725"/>
      <c r="X139" s="723"/>
      <c r="Y139" s="723"/>
      <c r="Z139" s="723"/>
      <c r="AA139" s="726"/>
      <c r="AB139" s="726"/>
      <c r="AC139" s="170"/>
      <c r="AD139" s="586">
        <f t="shared" si="100"/>
        <v>0</v>
      </c>
      <c r="AE139" s="586">
        <f t="shared" si="100"/>
        <v>0</v>
      </c>
      <c r="AF139" s="586">
        <f t="shared" si="100"/>
        <v>0</v>
      </c>
      <c r="AG139" s="586">
        <f t="shared" si="100"/>
        <v>0</v>
      </c>
      <c r="AH139" s="586">
        <f t="shared" si="100"/>
        <v>0</v>
      </c>
      <c r="AI139" s="586">
        <f t="shared" si="100"/>
        <v>0</v>
      </c>
      <c r="AJ139" s="586">
        <f t="shared" si="100"/>
        <v>0</v>
      </c>
      <c r="AK139" s="586">
        <f t="shared" si="100"/>
        <v>0</v>
      </c>
      <c r="AL139" s="586">
        <f t="shared" si="100"/>
        <v>0</v>
      </c>
      <c r="AM139" s="586">
        <f t="shared" si="100"/>
        <v>0</v>
      </c>
      <c r="AN139" s="586">
        <f t="shared" si="100"/>
        <v>0</v>
      </c>
      <c r="AO139" s="586">
        <f t="shared" si="100"/>
        <v>0</v>
      </c>
      <c r="AP139" s="586">
        <f t="shared" si="100"/>
        <v>0</v>
      </c>
      <c r="AQ139" s="586">
        <f t="shared" si="100"/>
        <v>0</v>
      </c>
      <c r="AR139" s="586">
        <f t="shared" si="100"/>
        <v>0</v>
      </c>
      <c r="AS139" s="586">
        <f t="shared" si="100"/>
        <v>0</v>
      </c>
      <c r="AT139" s="170"/>
      <c r="AU139" s="170"/>
      <c r="AV139" s="170"/>
      <c r="AW139" s="828"/>
      <c r="AX139" s="726"/>
    </row>
    <row r="140" spans="1:50" ht="15" x14ac:dyDescent="0.25">
      <c r="A140" s="170"/>
      <c r="B140" s="719"/>
      <c r="C140" s="170" t="str">
        <f t="shared" si="93"/>
        <v>55ea</v>
      </c>
      <c r="D140" s="170"/>
      <c r="E140" s="170"/>
      <c r="F140" s="170">
        <f>+Parameters!D58</f>
        <v>55</v>
      </c>
      <c r="G140" s="170" t="str">
        <f>+Parameters!E58</f>
        <v>Major Eqt - Reactors</v>
      </c>
      <c r="H140" s="586">
        <f t="shared" si="95"/>
        <v>0</v>
      </c>
      <c r="I140" s="170" t="str">
        <f>+Parameters!F58</f>
        <v>ea</v>
      </c>
      <c r="J140" s="170"/>
      <c r="K140" s="170"/>
      <c r="L140" s="170"/>
      <c r="M140" s="730"/>
      <c r="N140" s="730"/>
      <c r="O140" s="730"/>
      <c r="P140" s="731"/>
      <c r="Q140" s="731"/>
      <c r="R140" s="730"/>
      <c r="S140" s="730"/>
      <c r="T140" s="723"/>
      <c r="U140" s="724"/>
      <c r="V140" s="725"/>
      <c r="W140" s="725"/>
      <c r="X140" s="723"/>
      <c r="Y140" s="723"/>
      <c r="Z140" s="723"/>
      <c r="AA140" s="726"/>
      <c r="AB140" s="726"/>
      <c r="AC140" s="170"/>
      <c r="AD140" s="586">
        <f t="shared" si="100"/>
        <v>0</v>
      </c>
      <c r="AE140" s="586">
        <f t="shared" si="100"/>
        <v>0</v>
      </c>
      <c r="AF140" s="586">
        <f t="shared" si="100"/>
        <v>0</v>
      </c>
      <c r="AG140" s="586">
        <f t="shared" si="100"/>
        <v>0</v>
      </c>
      <c r="AH140" s="586">
        <f t="shared" si="100"/>
        <v>0</v>
      </c>
      <c r="AI140" s="586">
        <f t="shared" si="100"/>
        <v>0</v>
      </c>
      <c r="AJ140" s="586">
        <f t="shared" si="100"/>
        <v>0</v>
      </c>
      <c r="AK140" s="586">
        <f t="shared" si="100"/>
        <v>0</v>
      </c>
      <c r="AL140" s="586">
        <f t="shared" si="100"/>
        <v>0</v>
      </c>
      <c r="AM140" s="586">
        <f t="shared" si="100"/>
        <v>0</v>
      </c>
      <c r="AN140" s="586">
        <f t="shared" si="100"/>
        <v>0</v>
      </c>
      <c r="AO140" s="586">
        <f t="shared" si="100"/>
        <v>0</v>
      </c>
      <c r="AP140" s="586">
        <f t="shared" si="100"/>
        <v>0</v>
      </c>
      <c r="AQ140" s="586">
        <f t="shared" si="100"/>
        <v>0</v>
      </c>
      <c r="AR140" s="586">
        <f t="shared" si="100"/>
        <v>0</v>
      </c>
      <c r="AS140" s="586">
        <f t="shared" si="100"/>
        <v>0</v>
      </c>
      <c r="AT140" s="170"/>
      <c r="AU140" s="170"/>
      <c r="AV140" s="170"/>
      <c r="AW140" s="828"/>
      <c r="AX140" s="726"/>
    </row>
    <row r="141" spans="1:50" ht="15" x14ac:dyDescent="0.25">
      <c r="A141" s="170"/>
      <c r="B141" s="719"/>
      <c r="C141" s="170" t="str">
        <f t="shared" si="93"/>
        <v>56ea</v>
      </c>
      <c r="D141" s="170"/>
      <c r="E141" s="170"/>
      <c r="F141" s="170">
        <f>+Parameters!D59</f>
        <v>56</v>
      </c>
      <c r="G141" s="170" t="str">
        <f>+Parameters!E59</f>
        <v>Major Eqt - GIS</v>
      </c>
      <c r="H141" s="586">
        <f t="shared" si="95"/>
        <v>0</v>
      </c>
      <c r="I141" s="170" t="str">
        <f>+Parameters!F59</f>
        <v>ea</v>
      </c>
      <c r="J141" s="170"/>
      <c r="K141" s="170"/>
      <c r="L141" s="170"/>
      <c r="M141" s="730"/>
      <c r="N141" s="730"/>
      <c r="O141" s="730"/>
      <c r="P141" s="731"/>
      <c r="Q141" s="731"/>
      <c r="R141" s="730"/>
      <c r="S141" s="730"/>
      <c r="T141" s="723"/>
      <c r="U141" s="724"/>
      <c r="V141" s="725"/>
      <c r="W141" s="725"/>
      <c r="X141" s="723"/>
      <c r="Y141" s="723"/>
      <c r="Z141" s="723"/>
      <c r="AA141" s="726"/>
      <c r="AB141" s="726"/>
      <c r="AC141" s="170"/>
      <c r="AD141" s="586">
        <f t="shared" si="100"/>
        <v>0</v>
      </c>
      <c r="AE141" s="586">
        <f t="shared" si="100"/>
        <v>0</v>
      </c>
      <c r="AF141" s="586">
        <f t="shared" si="100"/>
        <v>0</v>
      </c>
      <c r="AG141" s="586">
        <f t="shared" si="100"/>
        <v>0</v>
      </c>
      <c r="AH141" s="586">
        <f t="shared" si="100"/>
        <v>0</v>
      </c>
      <c r="AI141" s="586">
        <f t="shared" si="100"/>
        <v>0</v>
      </c>
      <c r="AJ141" s="586">
        <f t="shared" si="100"/>
        <v>0</v>
      </c>
      <c r="AK141" s="586">
        <f t="shared" si="100"/>
        <v>0</v>
      </c>
      <c r="AL141" s="586">
        <f t="shared" si="100"/>
        <v>0</v>
      </c>
      <c r="AM141" s="586">
        <f t="shared" si="100"/>
        <v>0</v>
      </c>
      <c r="AN141" s="586">
        <f t="shared" si="100"/>
        <v>0</v>
      </c>
      <c r="AO141" s="586">
        <f t="shared" si="100"/>
        <v>0</v>
      </c>
      <c r="AP141" s="586">
        <f t="shared" si="100"/>
        <v>0</v>
      </c>
      <c r="AQ141" s="586">
        <f t="shared" si="100"/>
        <v>0</v>
      </c>
      <c r="AR141" s="586">
        <f t="shared" si="100"/>
        <v>0</v>
      </c>
      <c r="AS141" s="586">
        <f t="shared" si="100"/>
        <v>0</v>
      </c>
      <c r="AT141" s="170"/>
      <c r="AU141" s="170"/>
      <c r="AV141" s="170"/>
      <c r="AW141" s="828"/>
      <c r="AX141" s="726"/>
    </row>
    <row r="142" spans="1:50" ht="15" x14ac:dyDescent="0.25">
      <c r="A142" s="170"/>
      <c r="B142" s="719"/>
      <c r="C142" s="170" t="str">
        <f t="shared" si="93"/>
        <v>57ea</v>
      </c>
      <c r="D142" s="170"/>
      <c r="E142" s="170"/>
      <c r="F142" s="170">
        <f>+Parameters!D60</f>
        <v>57</v>
      </c>
      <c r="G142" s="170" t="str">
        <f>+Parameters!E60</f>
        <v>Major Eqt - Switchgear</v>
      </c>
      <c r="H142" s="586">
        <f t="shared" si="95"/>
        <v>0</v>
      </c>
      <c r="I142" s="170" t="str">
        <f>+Parameters!F60</f>
        <v>ea</v>
      </c>
      <c r="J142" s="170"/>
      <c r="K142" s="170"/>
      <c r="L142" s="170"/>
      <c r="M142" s="730"/>
      <c r="N142" s="730"/>
      <c r="O142" s="730"/>
      <c r="P142" s="731"/>
      <c r="Q142" s="731"/>
      <c r="R142" s="730"/>
      <c r="S142" s="730"/>
      <c r="T142" s="723"/>
      <c r="U142" s="724"/>
      <c r="V142" s="725"/>
      <c r="W142" s="725"/>
      <c r="X142" s="723"/>
      <c r="Y142" s="723"/>
      <c r="Z142" s="723"/>
      <c r="AA142" s="726"/>
      <c r="AB142" s="726"/>
      <c r="AC142" s="170"/>
      <c r="AD142" s="586">
        <f t="shared" si="100"/>
        <v>0</v>
      </c>
      <c r="AE142" s="586">
        <f t="shared" si="100"/>
        <v>0</v>
      </c>
      <c r="AF142" s="586">
        <f t="shared" si="100"/>
        <v>0</v>
      </c>
      <c r="AG142" s="586">
        <f t="shared" si="100"/>
        <v>0</v>
      </c>
      <c r="AH142" s="586">
        <f t="shared" si="100"/>
        <v>0</v>
      </c>
      <c r="AI142" s="586">
        <f t="shared" si="100"/>
        <v>0</v>
      </c>
      <c r="AJ142" s="586">
        <f t="shared" si="100"/>
        <v>0</v>
      </c>
      <c r="AK142" s="586">
        <f t="shared" si="100"/>
        <v>0</v>
      </c>
      <c r="AL142" s="586">
        <f t="shared" si="100"/>
        <v>0</v>
      </c>
      <c r="AM142" s="586">
        <f t="shared" si="100"/>
        <v>0</v>
      </c>
      <c r="AN142" s="586">
        <f t="shared" si="100"/>
        <v>0</v>
      </c>
      <c r="AO142" s="586">
        <f t="shared" si="100"/>
        <v>0</v>
      </c>
      <c r="AP142" s="586">
        <f t="shared" si="100"/>
        <v>0</v>
      </c>
      <c r="AQ142" s="586">
        <f t="shared" si="100"/>
        <v>0</v>
      </c>
      <c r="AR142" s="586">
        <f t="shared" si="100"/>
        <v>0</v>
      </c>
      <c r="AS142" s="586">
        <f t="shared" si="100"/>
        <v>0</v>
      </c>
      <c r="AT142" s="170"/>
      <c r="AU142" s="170"/>
      <c r="AV142" s="170"/>
      <c r="AW142" s="828"/>
      <c r="AX142" s="726"/>
    </row>
    <row r="143" spans="1:50" ht="15" x14ac:dyDescent="0.25">
      <c r="A143" s="170"/>
      <c r="B143" s="719"/>
      <c r="C143" s="170" t="str">
        <f t="shared" si="93"/>
        <v>580</v>
      </c>
      <c r="D143" s="170"/>
      <c r="E143" s="170"/>
      <c r="F143" s="170">
        <f>+Parameters!D61</f>
        <v>58</v>
      </c>
      <c r="G143" s="170">
        <f>+Parameters!E61</f>
        <v>0</v>
      </c>
      <c r="H143" s="586">
        <f t="shared" si="95"/>
        <v>0</v>
      </c>
      <c r="I143" s="170">
        <f>+Parameters!F61</f>
        <v>0</v>
      </c>
      <c r="J143" s="170"/>
      <c r="K143" s="170"/>
      <c r="L143" s="170"/>
      <c r="M143" s="730"/>
      <c r="N143" s="730"/>
      <c r="O143" s="730"/>
      <c r="P143" s="731"/>
      <c r="Q143" s="731"/>
      <c r="R143" s="730"/>
      <c r="S143" s="730"/>
      <c r="T143" s="723"/>
      <c r="U143" s="724"/>
      <c r="V143" s="725"/>
      <c r="W143" s="725"/>
      <c r="X143" s="723"/>
      <c r="Y143" s="723"/>
      <c r="Z143" s="723"/>
      <c r="AA143" s="726"/>
      <c r="AB143" s="726"/>
      <c r="AC143" s="170"/>
      <c r="AD143" s="586">
        <f t="shared" si="100"/>
        <v>0</v>
      </c>
      <c r="AE143" s="586">
        <f t="shared" si="100"/>
        <v>0</v>
      </c>
      <c r="AF143" s="586">
        <f t="shared" si="100"/>
        <v>0</v>
      </c>
      <c r="AG143" s="586">
        <f t="shared" si="100"/>
        <v>0</v>
      </c>
      <c r="AH143" s="586">
        <f t="shared" si="100"/>
        <v>0</v>
      </c>
      <c r="AI143" s="586">
        <f t="shared" si="100"/>
        <v>0</v>
      </c>
      <c r="AJ143" s="586">
        <f t="shared" si="100"/>
        <v>0</v>
      </c>
      <c r="AK143" s="586">
        <f t="shared" si="100"/>
        <v>0</v>
      </c>
      <c r="AL143" s="586">
        <f t="shared" si="100"/>
        <v>0</v>
      </c>
      <c r="AM143" s="586">
        <f t="shared" si="100"/>
        <v>0</v>
      </c>
      <c r="AN143" s="586">
        <f t="shared" si="100"/>
        <v>0</v>
      </c>
      <c r="AO143" s="586">
        <f t="shared" si="100"/>
        <v>0</v>
      </c>
      <c r="AP143" s="586">
        <f t="shared" si="100"/>
        <v>0</v>
      </c>
      <c r="AQ143" s="586">
        <f t="shared" si="100"/>
        <v>0</v>
      </c>
      <c r="AR143" s="586">
        <f t="shared" si="100"/>
        <v>0</v>
      </c>
      <c r="AS143" s="586">
        <f t="shared" si="100"/>
        <v>0</v>
      </c>
      <c r="AT143" s="170"/>
      <c r="AU143" s="170"/>
      <c r="AV143" s="170"/>
      <c r="AW143" s="828"/>
      <c r="AX143" s="726"/>
    </row>
    <row r="144" spans="1:50" ht="15" x14ac:dyDescent="0.25">
      <c r="A144" s="170"/>
      <c r="B144" s="719"/>
      <c r="C144" s="170" t="str">
        <f t="shared" si="93"/>
        <v>59ea</v>
      </c>
      <c r="D144" s="170"/>
      <c r="E144" s="170"/>
      <c r="F144" s="170">
        <f>+Parameters!D62</f>
        <v>59</v>
      </c>
      <c r="G144" s="170" t="str">
        <f>+Parameters!E62</f>
        <v>Major Eqt - Other</v>
      </c>
      <c r="H144" s="586">
        <f t="shared" si="95"/>
        <v>0</v>
      </c>
      <c r="I144" s="170" t="str">
        <f>+Parameters!F62</f>
        <v>ea</v>
      </c>
      <c r="J144" s="170"/>
      <c r="K144" s="170"/>
      <c r="L144" s="170"/>
      <c r="M144" s="730"/>
      <c r="N144" s="730"/>
      <c r="O144" s="730"/>
      <c r="P144" s="731"/>
      <c r="Q144" s="731"/>
      <c r="R144" s="730"/>
      <c r="S144" s="730"/>
      <c r="T144" s="723"/>
      <c r="U144" s="724"/>
      <c r="V144" s="725"/>
      <c r="W144" s="725"/>
      <c r="X144" s="723"/>
      <c r="Y144" s="723"/>
      <c r="Z144" s="723"/>
      <c r="AA144" s="726"/>
      <c r="AB144" s="726"/>
      <c r="AC144" s="170"/>
      <c r="AD144" s="586">
        <f t="shared" si="100"/>
        <v>0</v>
      </c>
      <c r="AE144" s="586">
        <f t="shared" si="100"/>
        <v>0</v>
      </c>
      <c r="AF144" s="586">
        <f t="shared" si="100"/>
        <v>0</v>
      </c>
      <c r="AG144" s="586">
        <f t="shared" si="100"/>
        <v>0</v>
      </c>
      <c r="AH144" s="586">
        <f t="shared" si="100"/>
        <v>0</v>
      </c>
      <c r="AI144" s="586">
        <f t="shared" si="100"/>
        <v>0</v>
      </c>
      <c r="AJ144" s="586">
        <f t="shared" si="100"/>
        <v>0</v>
      </c>
      <c r="AK144" s="586">
        <f t="shared" si="100"/>
        <v>0</v>
      </c>
      <c r="AL144" s="586">
        <f t="shared" si="100"/>
        <v>0</v>
      </c>
      <c r="AM144" s="586">
        <f t="shared" si="100"/>
        <v>0</v>
      </c>
      <c r="AN144" s="586">
        <f t="shared" si="100"/>
        <v>0</v>
      </c>
      <c r="AO144" s="586">
        <f t="shared" si="100"/>
        <v>0</v>
      </c>
      <c r="AP144" s="586">
        <f t="shared" si="100"/>
        <v>0</v>
      </c>
      <c r="AQ144" s="586">
        <f t="shared" si="100"/>
        <v>0</v>
      </c>
      <c r="AR144" s="586">
        <f t="shared" si="100"/>
        <v>0</v>
      </c>
      <c r="AS144" s="586">
        <f t="shared" si="100"/>
        <v>0</v>
      </c>
      <c r="AT144" s="170"/>
      <c r="AU144" s="170"/>
      <c r="AV144" s="170"/>
      <c r="AW144" s="828"/>
      <c r="AX144" s="726"/>
    </row>
    <row r="145" spans="1:50" ht="15" x14ac:dyDescent="0.25">
      <c r="A145" s="170"/>
      <c r="B145" s="719"/>
      <c r="C145" s="170" t="str">
        <f t="shared" si="93"/>
        <v>600</v>
      </c>
      <c r="D145" s="170"/>
      <c r="E145" s="170"/>
      <c r="F145" s="170">
        <f>+Parameters!D63</f>
        <v>60</v>
      </c>
      <c r="G145" s="170">
        <f>+Parameters!E63</f>
        <v>0</v>
      </c>
      <c r="H145" s="586">
        <f t="shared" si="95"/>
        <v>0</v>
      </c>
      <c r="I145" s="170">
        <f>+Parameters!F63</f>
        <v>0</v>
      </c>
      <c r="J145" s="170"/>
      <c r="K145" s="170"/>
      <c r="L145" s="170"/>
      <c r="M145" s="730"/>
      <c r="N145" s="730"/>
      <c r="O145" s="730"/>
      <c r="P145" s="731"/>
      <c r="Q145" s="731"/>
      <c r="R145" s="730"/>
      <c r="S145" s="730"/>
      <c r="T145" s="723"/>
      <c r="U145" s="724"/>
      <c r="V145" s="725"/>
      <c r="W145" s="725"/>
      <c r="X145" s="723"/>
      <c r="Y145" s="723"/>
      <c r="Z145" s="723"/>
      <c r="AA145" s="726"/>
      <c r="AB145" s="726"/>
      <c r="AC145" s="170"/>
      <c r="AD145" s="586">
        <f t="shared" si="100"/>
        <v>0</v>
      </c>
      <c r="AE145" s="586">
        <f t="shared" si="100"/>
        <v>0</v>
      </c>
      <c r="AF145" s="586">
        <f t="shared" si="100"/>
        <v>0</v>
      </c>
      <c r="AG145" s="586">
        <f t="shared" si="100"/>
        <v>0</v>
      </c>
      <c r="AH145" s="586">
        <f t="shared" si="100"/>
        <v>0</v>
      </c>
      <c r="AI145" s="586">
        <f t="shared" si="100"/>
        <v>0</v>
      </c>
      <c r="AJ145" s="586">
        <f t="shared" si="100"/>
        <v>0</v>
      </c>
      <c r="AK145" s="586">
        <f t="shared" si="100"/>
        <v>0</v>
      </c>
      <c r="AL145" s="586">
        <f t="shared" si="100"/>
        <v>0</v>
      </c>
      <c r="AM145" s="586">
        <f t="shared" si="100"/>
        <v>0</v>
      </c>
      <c r="AN145" s="586">
        <f t="shared" si="100"/>
        <v>0</v>
      </c>
      <c r="AO145" s="586">
        <f t="shared" si="100"/>
        <v>0</v>
      </c>
      <c r="AP145" s="586">
        <f t="shared" si="100"/>
        <v>0</v>
      </c>
      <c r="AQ145" s="586">
        <f t="shared" si="100"/>
        <v>0</v>
      </c>
      <c r="AR145" s="586">
        <f t="shared" si="100"/>
        <v>0</v>
      </c>
      <c r="AS145" s="586">
        <f t="shared" si="100"/>
        <v>0</v>
      </c>
      <c r="AT145" s="170"/>
      <c r="AU145" s="170"/>
      <c r="AV145" s="170"/>
      <c r="AW145" s="828"/>
      <c r="AX145" s="726"/>
    </row>
    <row r="146" spans="1:50" ht="15" x14ac:dyDescent="0.25">
      <c r="A146" s="170"/>
      <c r="B146" s="719"/>
      <c r="C146" s="170" t="str">
        <f t="shared" si="93"/>
        <v>610</v>
      </c>
      <c r="D146" s="170"/>
      <c r="E146" s="170"/>
      <c r="F146" s="170">
        <f>+Parameters!D64</f>
        <v>61</v>
      </c>
      <c r="G146" s="170">
        <f>+Parameters!E64</f>
        <v>0</v>
      </c>
      <c r="H146" s="586">
        <f t="shared" si="95"/>
        <v>0</v>
      </c>
      <c r="I146" s="170">
        <f>+Parameters!F64</f>
        <v>0</v>
      </c>
      <c r="J146" s="170"/>
      <c r="K146" s="170"/>
      <c r="L146" s="170"/>
      <c r="M146" s="730"/>
      <c r="N146" s="730"/>
      <c r="O146" s="730"/>
      <c r="P146" s="731"/>
      <c r="Q146" s="731"/>
      <c r="R146" s="730"/>
      <c r="S146" s="730"/>
      <c r="T146" s="723"/>
      <c r="U146" s="724"/>
      <c r="V146" s="725"/>
      <c r="W146" s="725"/>
      <c r="X146" s="723"/>
      <c r="Y146" s="723"/>
      <c r="Z146" s="723"/>
      <c r="AA146" s="726"/>
      <c r="AB146" s="726"/>
      <c r="AC146" s="170"/>
      <c r="AD146" s="586">
        <f t="shared" ref="AD146:AS155" si="101">SUMIF($F$9:$F$82,$F146,AD$9:AD$82)</f>
        <v>0</v>
      </c>
      <c r="AE146" s="586">
        <f t="shared" si="101"/>
        <v>0</v>
      </c>
      <c r="AF146" s="586">
        <f t="shared" si="101"/>
        <v>0</v>
      </c>
      <c r="AG146" s="586">
        <f t="shared" si="101"/>
        <v>0</v>
      </c>
      <c r="AH146" s="586">
        <f t="shared" si="101"/>
        <v>0</v>
      </c>
      <c r="AI146" s="586">
        <f t="shared" si="101"/>
        <v>0</v>
      </c>
      <c r="AJ146" s="586">
        <f t="shared" si="101"/>
        <v>0</v>
      </c>
      <c r="AK146" s="586">
        <f t="shared" si="101"/>
        <v>0</v>
      </c>
      <c r="AL146" s="586">
        <f t="shared" si="101"/>
        <v>0</v>
      </c>
      <c r="AM146" s="586">
        <f t="shared" si="101"/>
        <v>0</v>
      </c>
      <c r="AN146" s="586">
        <f t="shared" si="101"/>
        <v>0</v>
      </c>
      <c r="AO146" s="586">
        <f t="shared" si="101"/>
        <v>0</v>
      </c>
      <c r="AP146" s="586">
        <f t="shared" si="101"/>
        <v>0</v>
      </c>
      <c r="AQ146" s="586">
        <f t="shared" si="101"/>
        <v>0</v>
      </c>
      <c r="AR146" s="586">
        <f t="shared" si="101"/>
        <v>0</v>
      </c>
      <c r="AS146" s="586">
        <f t="shared" si="101"/>
        <v>0</v>
      </c>
      <c r="AT146" s="170"/>
      <c r="AU146" s="170"/>
      <c r="AV146" s="170"/>
      <c r="AW146" s="828"/>
      <c r="AX146" s="726"/>
    </row>
    <row r="147" spans="1:50" ht="15" x14ac:dyDescent="0.25">
      <c r="A147" s="170"/>
      <c r="B147" s="719"/>
      <c r="C147" s="170" t="str">
        <f t="shared" si="93"/>
        <v>620</v>
      </c>
      <c r="D147" s="170"/>
      <c r="E147" s="170"/>
      <c r="F147" s="170">
        <f>+Parameters!D65</f>
        <v>62</v>
      </c>
      <c r="G147" s="170">
        <f>+Parameters!E65</f>
        <v>0</v>
      </c>
      <c r="H147" s="586">
        <f t="shared" si="95"/>
        <v>0</v>
      </c>
      <c r="I147" s="170">
        <f>+Parameters!F65</f>
        <v>0</v>
      </c>
      <c r="J147" s="170"/>
      <c r="K147" s="170"/>
      <c r="L147" s="170"/>
      <c r="M147" s="730"/>
      <c r="N147" s="730"/>
      <c r="O147" s="730"/>
      <c r="P147" s="731"/>
      <c r="Q147" s="731"/>
      <c r="R147" s="730"/>
      <c r="S147" s="730"/>
      <c r="T147" s="723"/>
      <c r="U147" s="724"/>
      <c r="V147" s="725"/>
      <c r="W147" s="725"/>
      <c r="X147" s="723"/>
      <c r="Y147" s="723"/>
      <c r="Z147" s="723"/>
      <c r="AA147" s="726"/>
      <c r="AB147" s="726"/>
      <c r="AC147" s="170"/>
      <c r="AD147" s="586">
        <f t="shared" si="101"/>
        <v>0</v>
      </c>
      <c r="AE147" s="586">
        <f t="shared" si="101"/>
        <v>0</v>
      </c>
      <c r="AF147" s="586">
        <f t="shared" si="101"/>
        <v>0</v>
      </c>
      <c r="AG147" s="586">
        <f t="shared" si="101"/>
        <v>0</v>
      </c>
      <c r="AH147" s="586">
        <f t="shared" si="101"/>
        <v>0</v>
      </c>
      <c r="AI147" s="586">
        <f t="shared" si="101"/>
        <v>0</v>
      </c>
      <c r="AJ147" s="586">
        <f t="shared" si="101"/>
        <v>0</v>
      </c>
      <c r="AK147" s="586">
        <f t="shared" si="101"/>
        <v>0</v>
      </c>
      <c r="AL147" s="586">
        <f t="shared" si="101"/>
        <v>0</v>
      </c>
      <c r="AM147" s="586">
        <f t="shared" si="101"/>
        <v>0</v>
      </c>
      <c r="AN147" s="586">
        <f t="shared" si="101"/>
        <v>0</v>
      </c>
      <c r="AO147" s="586">
        <f t="shared" si="101"/>
        <v>0</v>
      </c>
      <c r="AP147" s="586">
        <f t="shared" si="101"/>
        <v>0</v>
      </c>
      <c r="AQ147" s="586">
        <f t="shared" si="101"/>
        <v>0</v>
      </c>
      <c r="AR147" s="586">
        <f t="shared" si="101"/>
        <v>0</v>
      </c>
      <c r="AS147" s="586">
        <f t="shared" si="101"/>
        <v>0</v>
      </c>
      <c r="AT147" s="170"/>
      <c r="AU147" s="170"/>
      <c r="AV147" s="170"/>
      <c r="AW147" s="828"/>
      <c r="AX147" s="726"/>
    </row>
    <row r="148" spans="1:50" ht="15" x14ac:dyDescent="0.25">
      <c r="A148" s="170"/>
      <c r="B148" s="719"/>
      <c r="C148" s="170" t="str">
        <f t="shared" si="93"/>
        <v>63lf</v>
      </c>
      <c r="D148" s="170"/>
      <c r="E148" s="170"/>
      <c r="F148" s="170">
        <f>+Parameters!D66</f>
        <v>63</v>
      </c>
      <c r="G148" s="170" t="str">
        <f>+Parameters!E66</f>
        <v>Misc. Eqt - Bus</v>
      </c>
      <c r="H148" s="586">
        <f t="shared" si="95"/>
        <v>0</v>
      </c>
      <c r="I148" s="170" t="str">
        <f>+Parameters!F66</f>
        <v>lf</v>
      </c>
      <c r="J148" s="170"/>
      <c r="K148" s="170"/>
      <c r="L148" s="170"/>
      <c r="M148" s="730"/>
      <c r="N148" s="730"/>
      <c r="O148" s="730"/>
      <c r="P148" s="731"/>
      <c r="Q148" s="731"/>
      <c r="R148" s="730"/>
      <c r="S148" s="730"/>
      <c r="T148" s="723"/>
      <c r="U148" s="724"/>
      <c r="V148" s="725"/>
      <c r="W148" s="725"/>
      <c r="X148" s="723"/>
      <c r="Y148" s="723"/>
      <c r="Z148" s="723"/>
      <c r="AA148" s="726"/>
      <c r="AB148" s="726"/>
      <c r="AC148" s="170"/>
      <c r="AD148" s="586">
        <f t="shared" si="101"/>
        <v>0</v>
      </c>
      <c r="AE148" s="586">
        <f t="shared" si="101"/>
        <v>0</v>
      </c>
      <c r="AF148" s="586">
        <f t="shared" si="101"/>
        <v>0</v>
      </c>
      <c r="AG148" s="586">
        <f t="shared" si="101"/>
        <v>0</v>
      </c>
      <c r="AH148" s="586">
        <f t="shared" si="101"/>
        <v>0</v>
      </c>
      <c r="AI148" s="586">
        <f t="shared" si="101"/>
        <v>0</v>
      </c>
      <c r="AJ148" s="586">
        <f t="shared" si="101"/>
        <v>0</v>
      </c>
      <c r="AK148" s="586">
        <f t="shared" si="101"/>
        <v>0</v>
      </c>
      <c r="AL148" s="586">
        <f t="shared" si="101"/>
        <v>0</v>
      </c>
      <c r="AM148" s="586">
        <f t="shared" si="101"/>
        <v>0</v>
      </c>
      <c r="AN148" s="586">
        <f t="shared" si="101"/>
        <v>0</v>
      </c>
      <c r="AO148" s="586">
        <f t="shared" si="101"/>
        <v>0</v>
      </c>
      <c r="AP148" s="586">
        <f t="shared" si="101"/>
        <v>0</v>
      </c>
      <c r="AQ148" s="586">
        <f t="shared" si="101"/>
        <v>0</v>
      </c>
      <c r="AR148" s="586">
        <f t="shared" si="101"/>
        <v>0</v>
      </c>
      <c r="AS148" s="586">
        <f t="shared" si="101"/>
        <v>0</v>
      </c>
      <c r="AT148" s="170"/>
      <c r="AU148" s="170"/>
      <c r="AV148" s="170"/>
      <c r="AW148" s="828"/>
      <c r="AX148" s="726"/>
    </row>
    <row r="149" spans="1:50" ht="15" x14ac:dyDescent="0.25">
      <c r="A149" s="170"/>
      <c r="B149" s="719"/>
      <c r="C149" s="170" t="str">
        <f t="shared" si="93"/>
        <v>64lf</v>
      </c>
      <c r="D149" s="170"/>
      <c r="E149" s="170"/>
      <c r="F149" s="170">
        <f>+Parameters!D67</f>
        <v>64</v>
      </c>
      <c r="G149" s="170" t="str">
        <f>+Parameters!E67</f>
        <v>Misc. Eqt - Conduit / Tray</v>
      </c>
      <c r="H149" s="586">
        <f t="shared" si="95"/>
        <v>0</v>
      </c>
      <c r="I149" s="170" t="str">
        <f>+Parameters!F67</f>
        <v>lf</v>
      </c>
      <c r="J149" s="170"/>
      <c r="K149" s="170"/>
      <c r="L149" s="170"/>
      <c r="M149" s="730"/>
      <c r="N149" s="730"/>
      <c r="O149" s="730"/>
      <c r="P149" s="731"/>
      <c r="Q149" s="731"/>
      <c r="R149" s="730"/>
      <c r="S149" s="730"/>
      <c r="T149" s="723"/>
      <c r="U149" s="724"/>
      <c r="V149" s="725"/>
      <c r="W149" s="725"/>
      <c r="X149" s="723"/>
      <c r="Y149" s="723"/>
      <c r="Z149" s="723"/>
      <c r="AA149" s="726"/>
      <c r="AB149" s="726"/>
      <c r="AC149" s="170"/>
      <c r="AD149" s="586">
        <f t="shared" si="101"/>
        <v>0</v>
      </c>
      <c r="AE149" s="586">
        <f t="shared" si="101"/>
        <v>0</v>
      </c>
      <c r="AF149" s="586">
        <f t="shared" si="101"/>
        <v>0</v>
      </c>
      <c r="AG149" s="586">
        <f t="shared" si="101"/>
        <v>0</v>
      </c>
      <c r="AH149" s="586">
        <f t="shared" si="101"/>
        <v>0</v>
      </c>
      <c r="AI149" s="586">
        <f t="shared" si="101"/>
        <v>0</v>
      </c>
      <c r="AJ149" s="586">
        <f t="shared" si="101"/>
        <v>0</v>
      </c>
      <c r="AK149" s="586">
        <f t="shared" si="101"/>
        <v>0</v>
      </c>
      <c r="AL149" s="586">
        <f t="shared" si="101"/>
        <v>0</v>
      </c>
      <c r="AM149" s="586">
        <f t="shared" si="101"/>
        <v>0</v>
      </c>
      <c r="AN149" s="586">
        <f t="shared" si="101"/>
        <v>0</v>
      </c>
      <c r="AO149" s="586">
        <f t="shared" si="101"/>
        <v>0</v>
      </c>
      <c r="AP149" s="586">
        <f t="shared" si="101"/>
        <v>0</v>
      </c>
      <c r="AQ149" s="586">
        <f t="shared" si="101"/>
        <v>0</v>
      </c>
      <c r="AR149" s="586">
        <f t="shared" si="101"/>
        <v>0</v>
      </c>
      <c r="AS149" s="586">
        <f t="shared" si="101"/>
        <v>0</v>
      </c>
      <c r="AT149" s="170"/>
      <c r="AU149" s="170"/>
      <c r="AV149" s="170"/>
      <c r="AW149" s="828"/>
      <c r="AX149" s="726"/>
    </row>
    <row r="150" spans="1:50" ht="15" x14ac:dyDescent="0.25">
      <c r="A150" s="170"/>
      <c r="B150" s="719"/>
      <c r="C150" s="170" t="str">
        <f t="shared" ref="C150:C184" si="102">+F150&amp;I150</f>
        <v>65ea</v>
      </c>
      <c r="D150" s="170"/>
      <c r="E150" s="170"/>
      <c r="F150" s="170">
        <f>+Parameters!D68</f>
        <v>65</v>
      </c>
      <c r="G150" s="170" t="str">
        <f>+Parameters!E68</f>
        <v>Misc. Eqt - Insulators</v>
      </c>
      <c r="H150" s="586">
        <f t="shared" si="95"/>
        <v>0</v>
      </c>
      <c r="I150" s="170" t="str">
        <f>+Parameters!F68</f>
        <v>ea</v>
      </c>
      <c r="J150" s="170"/>
      <c r="K150" s="170"/>
      <c r="L150" s="170"/>
      <c r="M150" s="730"/>
      <c r="N150" s="730"/>
      <c r="O150" s="730"/>
      <c r="P150" s="731"/>
      <c r="Q150" s="731"/>
      <c r="R150" s="730"/>
      <c r="S150" s="730"/>
      <c r="T150" s="723"/>
      <c r="U150" s="724"/>
      <c r="V150" s="725"/>
      <c r="W150" s="725"/>
      <c r="X150" s="723"/>
      <c r="Y150" s="723"/>
      <c r="Z150" s="723"/>
      <c r="AA150" s="726"/>
      <c r="AB150" s="726"/>
      <c r="AC150" s="170"/>
      <c r="AD150" s="586">
        <f t="shared" si="101"/>
        <v>0</v>
      </c>
      <c r="AE150" s="586">
        <f t="shared" si="101"/>
        <v>0</v>
      </c>
      <c r="AF150" s="586">
        <f t="shared" si="101"/>
        <v>0</v>
      </c>
      <c r="AG150" s="586">
        <f t="shared" si="101"/>
        <v>0</v>
      </c>
      <c r="AH150" s="586">
        <f t="shared" si="101"/>
        <v>0</v>
      </c>
      <c r="AI150" s="586">
        <f t="shared" si="101"/>
        <v>0</v>
      </c>
      <c r="AJ150" s="586">
        <f t="shared" si="101"/>
        <v>0</v>
      </c>
      <c r="AK150" s="586">
        <f t="shared" si="101"/>
        <v>0</v>
      </c>
      <c r="AL150" s="586">
        <f t="shared" si="101"/>
        <v>0</v>
      </c>
      <c r="AM150" s="586">
        <f t="shared" si="101"/>
        <v>0</v>
      </c>
      <c r="AN150" s="586">
        <f t="shared" si="101"/>
        <v>0</v>
      </c>
      <c r="AO150" s="586">
        <f t="shared" si="101"/>
        <v>0</v>
      </c>
      <c r="AP150" s="586">
        <f t="shared" si="101"/>
        <v>0</v>
      </c>
      <c r="AQ150" s="586">
        <f t="shared" si="101"/>
        <v>0</v>
      </c>
      <c r="AR150" s="586">
        <f t="shared" si="101"/>
        <v>0</v>
      </c>
      <c r="AS150" s="586">
        <f t="shared" si="101"/>
        <v>0</v>
      </c>
      <c r="AT150" s="170"/>
      <c r="AU150" s="170"/>
      <c r="AV150" s="170"/>
      <c r="AW150" s="828"/>
      <c r="AX150" s="726"/>
    </row>
    <row r="151" spans="1:50" ht="15" x14ac:dyDescent="0.25">
      <c r="A151" s="170"/>
      <c r="B151" s="719"/>
      <c r="C151" s="170" t="str">
        <f t="shared" si="102"/>
        <v>66ea</v>
      </c>
      <c r="D151" s="170"/>
      <c r="E151" s="170"/>
      <c r="F151" s="170">
        <f>+Parameters!D69</f>
        <v>66</v>
      </c>
      <c r="G151" s="170" t="str">
        <f>+Parameters!E69</f>
        <v>Misc. Eqt - LA's</v>
      </c>
      <c r="H151" s="586">
        <f t="shared" ref="H151:H184" si="103">SUMIF($C$9:$C$82,$C151,H$9:H$82)</f>
        <v>0</v>
      </c>
      <c r="I151" s="170" t="str">
        <f>+Parameters!F69</f>
        <v>ea</v>
      </c>
      <c r="J151" s="170"/>
      <c r="K151" s="170"/>
      <c r="L151" s="170"/>
      <c r="M151" s="730"/>
      <c r="N151" s="730"/>
      <c r="O151" s="730"/>
      <c r="P151" s="731"/>
      <c r="Q151" s="731"/>
      <c r="R151" s="730"/>
      <c r="S151" s="730"/>
      <c r="T151" s="723"/>
      <c r="U151" s="724"/>
      <c r="V151" s="725"/>
      <c r="W151" s="725"/>
      <c r="X151" s="723"/>
      <c r="Y151" s="723"/>
      <c r="Z151" s="723"/>
      <c r="AA151" s="726"/>
      <c r="AB151" s="726"/>
      <c r="AC151" s="170"/>
      <c r="AD151" s="586">
        <f t="shared" si="101"/>
        <v>0</v>
      </c>
      <c r="AE151" s="586">
        <f t="shared" si="101"/>
        <v>0</v>
      </c>
      <c r="AF151" s="586">
        <f t="shared" si="101"/>
        <v>0</v>
      </c>
      <c r="AG151" s="586">
        <f t="shared" si="101"/>
        <v>0</v>
      </c>
      <c r="AH151" s="586">
        <f t="shared" si="101"/>
        <v>0</v>
      </c>
      <c r="AI151" s="586">
        <f t="shared" si="101"/>
        <v>0</v>
      </c>
      <c r="AJ151" s="586">
        <f t="shared" si="101"/>
        <v>0</v>
      </c>
      <c r="AK151" s="586">
        <f t="shared" si="101"/>
        <v>0</v>
      </c>
      <c r="AL151" s="586">
        <f t="shared" si="101"/>
        <v>0</v>
      </c>
      <c r="AM151" s="586">
        <f t="shared" si="101"/>
        <v>0</v>
      </c>
      <c r="AN151" s="586">
        <f t="shared" si="101"/>
        <v>0</v>
      </c>
      <c r="AO151" s="586">
        <f t="shared" si="101"/>
        <v>0</v>
      </c>
      <c r="AP151" s="586">
        <f t="shared" si="101"/>
        <v>0</v>
      </c>
      <c r="AQ151" s="586">
        <f t="shared" si="101"/>
        <v>0</v>
      </c>
      <c r="AR151" s="586">
        <f t="shared" si="101"/>
        <v>0</v>
      </c>
      <c r="AS151" s="586">
        <f t="shared" si="101"/>
        <v>0</v>
      </c>
      <c r="AT151" s="170"/>
      <c r="AU151" s="170"/>
      <c r="AV151" s="170"/>
      <c r="AW151" s="828"/>
      <c r="AX151" s="726"/>
    </row>
    <row r="152" spans="1:50" ht="15" x14ac:dyDescent="0.25">
      <c r="A152" s="170"/>
      <c r="B152" s="719"/>
      <c r="C152" s="170" t="str">
        <f t="shared" si="102"/>
        <v>67ea</v>
      </c>
      <c r="D152" s="170"/>
      <c r="E152" s="170"/>
      <c r="F152" s="170">
        <f>+Parameters!D70</f>
        <v>67</v>
      </c>
      <c r="G152" s="170" t="str">
        <f>+Parameters!E70</f>
        <v>Misc. Eqt - CCVT</v>
      </c>
      <c r="H152" s="586">
        <f t="shared" si="103"/>
        <v>0</v>
      </c>
      <c r="I152" s="170" t="str">
        <f>+Parameters!F70</f>
        <v>ea</v>
      </c>
      <c r="J152" s="170"/>
      <c r="K152" s="170"/>
      <c r="L152" s="170"/>
      <c r="M152" s="730"/>
      <c r="N152" s="730"/>
      <c r="O152" s="730"/>
      <c r="P152" s="731"/>
      <c r="Q152" s="731"/>
      <c r="R152" s="730"/>
      <c r="S152" s="730"/>
      <c r="T152" s="723"/>
      <c r="U152" s="724"/>
      <c r="V152" s="725"/>
      <c r="W152" s="725"/>
      <c r="X152" s="723"/>
      <c r="Y152" s="723"/>
      <c r="Z152" s="723"/>
      <c r="AA152" s="726"/>
      <c r="AB152" s="726"/>
      <c r="AC152" s="170"/>
      <c r="AD152" s="586">
        <f t="shared" si="101"/>
        <v>0</v>
      </c>
      <c r="AE152" s="586">
        <f t="shared" si="101"/>
        <v>0</v>
      </c>
      <c r="AF152" s="586">
        <f t="shared" si="101"/>
        <v>0</v>
      </c>
      <c r="AG152" s="586">
        <f t="shared" si="101"/>
        <v>0</v>
      </c>
      <c r="AH152" s="586">
        <f t="shared" si="101"/>
        <v>0</v>
      </c>
      <c r="AI152" s="586">
        <f t="shared" si="101"/>
        <v>0</v>
      </c>
      <c r="AJ152" s="586">
        <f t="shared" si="101"/>
        <v>0</v>
      </c>
      <c r="AK152" s="586">
        <f t="shared" si="101"/>
        <v>0</v>
      </c>
      <c r="AL152" s="586">
        <f t="shared" si="101"/>
        <v>0</v>
      </c>
      <c r="AM152" s="586">
        <f t="shared" si="101"/>
        <v>0</v>
      </c>
      <c r="AN152" s="586">
        <f t="shared" si="101"/>
        <v>0</v>
      </c>
      <c r="AO152" s="586">
        <f t="shared" si="101"/>
        <v>0</v>
      </c>
      <c r="AP152" s="586">
        <f t="shared" si="101"/>
        <v>0</v>
      </c>
      <c r="AQ152" s="586">
        <f t="shared" si="101"/>
        <v>0</v>
      </c>
      <c r="AR152" s="586">
        <f t="shared" si="101"/>
        <v>0</v>
      </c>
      <c r="AS152" s="586">
        <f t="shared" si="101"/>
        <v>0</v>
      </c>
      <c r="AT152" s="170"/>
      <c r="AU152" s="170"/>
      <c r="AV152" s="170"/>
      <c r="AW152" s="828"/>
      <c r="AX152" s="726"/>
    </row>
    <row r="153" spans="1:50" ht="15" x14ac:dyDescent="0.25">
      <c r="A153" s="170"/>
      <c r="B153" s="719"/>
      <c r="C153" s="170" t="str">
        <f t="shared" si="102"/>
        <v>680</v>
      </c>
      <c r="D153" s="170"/>
      <c r="E153" s="170"/>
      <c r="F153" s="170">
        <f>+Parameters!D71</f>
        <v>68</v>
      </c>
      <c r="G153" s="170">
        <f>+Parameters!E71</f>
        <v>0</v>
      </c>
      <c r="H153" s="586">
        <f t="shared" si="103"/>
        <v>0</v>
      </c>
      <c r="I153" s="170">
        <f>+Parameters!F71</f>
        <v>0</v>
      </c>
      <c r="J153" s="170"/>
      <c r="K153" s="170"/>
      <c r="L153" s="170"/>
      <c r="M153" s="730"/>
      <c r="N153" s="730"/>
      <c r="O153" s="730"/>
      <c r="P153" s="731"/>
      <c r="Q153" s="731"/>
      <c r="R153" s="730"/>
      <c r="S153" s="730"/>
      <c r="T153" s="723"/>
      <c r="U153" s="724"/>
      <c r="V153" s="725"/>
      <c r="W153" s="725"/>
      <c r="X153" s="723"/>
      <c r="Y153" s="723"/>
      <c r="Z153" s="723"/>
      <c r="AA153" s="726"/>
      <c r="AB153" s="726"/>
      <c r="AC153" s="170"/>
      <c r="AD153" s="586">
        <f t="shared" si="101"/>
        <v>0</v>
      </c>
      <c r="AE153" s="586">
        <f t="shared" si="101"/>
        <v>0</v>
      </c>
      <c r="AF153" s="586">
        <f t="shared" si="101"/>
        <v>0</v>
      </c>
      <c r="AG153" s="586">
        <f t="shared" si="101"/>
        <v>0</v>
      </c>
      <c r="AH153" s="586">
        <f t="shared" si="101"/>
        <v>0</v>
      </c>
      <c r="AI153" s="586">
        <f t="shared" si="101"/>
        <v>0</v>
      </c>
      <c r="AJ153" s="586">
        <f t="shared" si="101"/>
        <v>0</v>
      </c>
      <c r="AK153" s="586">
        <f t="shared" si="101"/>
        <v>0</v>
      </c>
      <c r="AL153" s="586">
        <f t="shared" si="101"/>
        <v>0</v>
      </c>
      <c r="AM153" s="586">
        <f t="shared" si="101"/>
        <v>0</v>
      </c>
      <c r="AN153" s="586">
        <f t="shared" si="101"/>
        <v>0</v>
      </c>
      <c r="AO153" s="586">
        <f t="shared" si="101"/>
        <v>0</v>
      </c>
      <c r="AP153" s="586">
        <f t="shared" si="101"/>
        <v>0</v>
      </c>
      <c r="AQ153" s="586">
        <f t="shared" si="101"/>
        <v>0</v>
      </c>
      <c r="AR153" s="586">
        <f t="shared" si="101"/>
        <v>0</v>
      </c>
      <c r="AS153" s="586">
        <f t="shared" si="101"/>
        <v>0</v>
      </c>
      <c r="AT153" s="170"/>
      <c r="AU153" s="170"/>
      <c r="AV153" s="170"/>
      <c r="AW153" s="828"/>
      <c r="AX153" s="726"/>
    </row>
    <row r="154" spans="1:50" ht="15" x14ac:dyDescent="0.25">
      <c r="A154" s="170"/>
      <c r="B154" s="719"/>
      <c r="C154" s="170" t="str">
        <f t="shared" si="102"/>
        <v>69ea</v>
      </c>
      <c r="D154" s="170"/>
      <c r="E154" s="170"/>
      <c r="F154" s="170">
        <f>+Parameters!D72</f>
        <v>69</v>
      </c>
      <c r="G154" s="170" t="str">
        <f>+Parameters!E72</f>
        <v>Misc. Eqt - Other</v>
      </c>
      <c r="H154" s="586">
        <f t="shared" si="103"/>
        <v>0</v>
      </c>
      <c r="I154" s="170" t="str">
        <f>+Parameters!F72</f>
        <v>ea</v>
      </c>
      <c r="J154" s="170"/>
      <c r="K154" s="170"/>
      <c r="L154" s="170"/>
      <c r="M154" s="730"/>
      <c r="N154" s="730"/>
      <c r="O154" s="730"/>
      <c r="P154" s="731"/>
      <c r="Q154" s="731"/>
      <c r="R154" s="730"/>
      <c r="S154" s="730"/>
      <c r="T154" s="723"/>
      <c r="U154" s="724"/>
      <c r="V154" s="725"/>
      <c r="W154" s="725"/>
      <c r="X154" s="723"/>
      <c r="Y154" s="723"/>
      <c r="Z154" s="723"/>
      <c r="AA154" s="726"/>
      <c r="AB154" s="726"/>
      <c r="AC154" s="170"/>
      <c r="AD154" s="586">
        <f t="shared" si="101"/>
        <v>0</v>
      </c>
      <c r="AE154" s="586">
        <f t="shared" si="101"/>
        <v>0</v>
      </c>
      <c r="AF154" s="586">
        <f t="shared" si="101"/>
        <v>0</v>
      </c>
      <c r="AG154" s="586">
        <f t="shared" si="101"/>
        <v>0</v>
      </c>
      <c r="AH154" s="586">
        <f t="shared" si="101"/>
        <v>0</v>
      </c>
      <c r="AI154" s="586">
        <f t="shared" si="101"/>
        <v>0</v>
      </c>
      <c r="AJ154" s="586">
        <f t="shared" si="101"/>
        <v>0</v>
      </c>
      <c r="AK154" s="586">
        <f t="shared" si="101"/>
        <v>0</v>
      </c>
      <c r="AL154" s="586">
        <f t="shared" si="101"/>
        <v>0</v>
      </c>
      <c r="AM154" s="586">
        <f t="shared" si="101"/>
        <v>0</v>
      </c>
      <c r="AN154" s="586">
        <f t="shared" si="101"/>
        <v>0</v>
      </c>
      <c r="AO154" s="586">
        <f t="shared" si="101"/>
        <v>0</v>
      </c>
      <c r="AP154" s="586">
        <f t="shared" si="101"/>
        <v>0</v>
      </c>
      <c r="AQ154" s="586">
        <f t="shared" si="101"/>
        <v>0</v>
      </c>
      <c r="AR154" s="586">
        <f t="shared" si="101"/>
        <v>0</v>
      </c>
      <c r="AS154" s="586">
        <f t="shared" si="101"/>
        <v>0</v>
      </c>
      <c r="AT154" s="170"/>
      <c r="AU154" s="170"/>
      <c r="AV154" s="170"/>
      <c r="AW154" s="828"/>
      <c r="AX154" s="726"/>
    </row>
    <row r="155" spans="1:50" ht="15" x14ac:dyDescent="0.25">
      <c r="A155" s="170"/>
      <c r="B155" s="719"/>
      <c r="C155" s="170" t="str">
        <f t="shared" si="102"/>
        <v>700</v>
      </c>
      <c r="D155" s="170"/>
      <c r="E155" s="170"/>
      <c r="F155" s="170">
        <f>+Parameters!D73</f>
        <v>70</v>
      </c>
      <c r="G155" s="170" t="str">
        <f>+Parameters!E73</f>
        <v>Control house Buidling</v>
      </c>
      <c r="H155" s="586">
        <f t="shared" si="103"/>
        <v>0</v>
      </c>
      <c r="I155" s="170">
        <f>+Parameters!F73</f>
        <v>0</v>
      </c>
      <c r="J155" s="170"/>
      <c r="K155" s="170"/>
      <c r="L155" s="170"/>
      <c r="M155" s="730"/>
      <c r="N155" s="730"/>
      <c r="O155" s="730"/>
      <c r="P155" s="731"/>
      <c r="Q155" s="731"/>
      <c r="R155" s="730"/>
      <c r="S155" s="730"/>
      <c r="T155" s="723"/>
      <c r="U155" s="724"/>
      <c r="V155" s="725"/>
      <c r="W155" s="725"/>
      <c r="X155" s="723"/>
      <c r="Y155" s="723"/>
      <c r="Z155" s="723"/>
      <c r="AA155" s="726"/>
      <c r="AB155" s="726"/>
      <c r="AC155" s="170"/>
      <c r="AD155" s="586">
        <f t="shared" si="101"/>
        <v>0</v>
      </c>
      <c r="AE155" s="586">
        <f t="shared" si="101"/>
        <v>0</v>
      </c>
      <c r="AF155" s="586">
        <f t="shared" si="101"/>
        <v>0</v>
      </c>
      <c r="AG155" s="586">
        <f t="shared" si="101"/>
        <v>0</v>
      </c>
      <c r="AH155" s="586">
        <f t="shared" si="101"/>
        <v>0</v>
      </c>
      <c r="AI155" s="586">
        <f t="shared" si="101"/>
        <v>0</v>
      </c>
      <c r="AJ155" s="586">
        <f t="shared" si="101"/>
        <v>0</v>
      </c>
      <c r="AK155" s="586">
        <f t="shared" si="101"/>
        <v>0</v>
      </c>
      <c r="AL155" s="586">
        <f t="shared" si="101"/>
        <v>0</v>
      </c>
      <c r="AM155" s="586">
        <f t="shared" si="101"/>
        <v>0</v>
      </c>
      <c r="AN155" s="586">
        <f t="shared" si="101"/>
        <v>0</v>
      </c>
      <c r="AO155" s="586">
        <f t="shared" si="101"/>
        <v>0</v>
      </c>
      <c r="AP155" s="586">
        <f t="shared" si="101"/>
        <v>0</v>
      </c>
      <c r="AQ155" s="586">
        <f t="shared" si="101"/>
        <v>0</v>
      </c>
      <c r="AR155" s="586">
        <f t="shared" si="101"/>
        <v>0</v>
      </c>
      <c r="AS155" s="586">
        <f t="shared" si="101"/>
        <v>0</v>
      </c>
      <c r="AT155" s="170"/>
      <c r="AU155" s="170"/>
      <c r="AV155" s="170"/>
      <c r="AW155" s="828"/>
      <c r="AX155" s="726"/>
    </row>
    <row r="156" spans="1:50" ht="15" x14ac:dyDescent="0.25">
      <c r="A156" s="170"/>
      <c r="B156" s="719"/>
      <c r="C156" s="170" t="str">
        <f t="shared" si="102"/>
        <v>710</v>
      </c>
      <c r="D156" s="170"/>
      <c r="E156" s="170"/>
      <c r="F156" s="170">
        <f>+Parameters!D74</f>
        <v>71</v>
      </c>
      <c r="G156" s="170" t="str">
        <f>+Parameters!E74</f>
        <v>Pre-Eng Building</v>
      </c>
      <c r="H156" s="586">
        <f t="shared" si="103"/>
        <v>0</v>
      </c>
      <c r="I156" s="170">
        <f>+Parameters!F74</f>
        <v>0</v>
      </c>
      <c r="J156" s="170"/>
      <c r="K156" s="170"/>
      <c r="L156" s="170"/>
      <c r="M156" s="730"/>
      <c r="N156" s="730"/>
      <c r="O156" s="730"/>
      <c r="P156" s="731"/>
      <c r="Q156" s="731"/>
      <c r="R156" s="730"/>
      <c r="S156" s="730"/>
      <c r="T156" s="723"/>
      <c r="U156" s="724"/>
      <c r="V156" s="725"/>
      <c r="W156" s="725"/>
      <c r="X156" s="723"/>
      <c r="Y156" s="723"/>
      <c r="Z156" s="723"/>
      <c r="AA156" s="726"/>
      <c r="AB156" s="726"/>
      <c r="AC156" s="170"/>
      <c r="AD156" s="586">
        <f t="shared" ref="AD156:AS165" si="104">SUMIF($F$9:$F$82,$F156,AD$9:AD$82)</f>
        <v>0</v>
      </c>
      <c r="AE156" s="586">
        <f t="shared" si="104"/>
        <v>0</v>
      </c>
      <c r="AF156" s="586">
        <f t="shared" si="104"/>
        <v>0</v>
      </c>
      <c r="AG156" s="586">
        <f t="shared" si="104"/>
        <v>0</v>
      </c>
      <c r="AH156" s="586">
        <f t="shared" si="104"/>
        <v>0</v>
      </c>
      <c r="AI156" s="586">
        <f t="shared" si="104"/>
        <v>0</v>
      </c>
      <c r="AJ156" s="586">
        <f t="shared" si="104"/>
        <v>0</v>
      </c>
      <c r="AK156" s="586">
        <f t="shared" si="104"/>
        <v>0</v>
      </c>
      <c r="AL156" s="586">
        <f t="shared" si="104"/>
        <v>0</v>
      </c>
      <c r="AM156" s="586">
        <f t="shared" si="104"/>
        <v>0</v>
      </c>
      <c r="AN156" s="586">
        <f t="shared" si="104"/>
        <v>0</v>
      </c>
      <c r="AO156" s="586">
        <f t="shared" si="104"/>
        <v>0</v>
      </c>
      <c r="AP156" s="586">
        <f t="shared" si="104"/>
        <v>0</v>
      </c>
      <c r="AQ156" s="586">
        <f t="shared" si="104"/>
        <v>0</v>
      </c>
      <c r="AR156" s="586">
        <f t="shared" si="104"/>
        <v>0</v>
      </c>
      <c r="AS156" s="586">
        <f t="shared" si="104"/>
        <v>0</v>
      </c>
      <c r="AT156" s="170"/>
      <c r="AU156" s="170"/>
      <c r="AV156" s="170"/>
      <c r="AW156" s="828"/>
      <c r="AX156" s="726"/>
    </row>
    <row r="157" spans="1:50" ht="15" x14ac:dyDescent="0.25">
      <c r="A157" s="170"/>
      <c r="B157" s="719"/>
      <c r="C157" s="170" t="str">
        <f t="shared" si="102"/>
        <v>720</v>
      </c>
      <c r="D157" s="170"/>
      <c r="E157" s="170"/>
      <c r="F157" s="170">
        <f>+Parameters!D75</f>
        <v>72</v>
      </c>
      <c r="G157" s="170">
        <f>+Parameters!E75</f>
        <v>0</v>
      </c>
      <c r="H157" s="586">
        <f t="shared" si="103"/>
        <v>0</v>
      </c>
      <c r="I157" s="170">
        <f>+Parameters!F75</f>
        <v>0</v>
      </c>
      <c r="J157" s="170"/>
      <c r="K157" s="170"/>
      <c r="L157" s="170"/>
      <c r="M157" s="730"/>
      <c r="N157" s="730"/>
      <c r="O157" s="730"/>
      <c r="P157" s="731"/>
      <c r="Q157" s="731"/>
      <c r="R157" s="730"/>
      <c r="S157" s="730"/>
      <c r="T157" s="723"/>
      <c r="U157" s="724"/>
      <c r="V157" s="725"/>
      <c r="W157" s="725"/>
      <c r="X157" s="723"/>
      <c r="Y157" s="723"/>
      <c r="Z157" s="723"/>
      <c r="AA157" s="726"/>
      <c r="AB157" s="726"/>
      <c r="AC157" s="170"/>
      <c r="AD157" s="586">
        <f t="shared" si="104"/>
        <v>0</v>
      </c>
      <c r="AE157" s="586">
        <f t="shared" si="104"/>
        <v>0</v>
      </c>
      <c r="AF157" s="586">
        <f t="shared" si="104"/>
        <v>0</v>
      </c>
      <c r="AG157" s="586">
        <f t="shared" si="104"/>
        <v>0</v>
      </c>
      <c r="AH157" s="586">
        <f t="shared" si="104"/>
        <v>0</v>
      </c>
      <c r="AI157" s="586">
        <f t="shared" si="104"/>
        <v>0</v>
      </c>
      <c r="AJ157" s="586">
        <f t="shared" si="104"/>
        <v>0</v>
      </c>
      <c r="AK157" s="586">
        <f t="shared" si="104"/>
        <v>0</v>
      </c>
      <c r="AL157" s="586">
        <f t="shared" si="104"/>
        <v>0</v>
      </c>
      <c r="AM157" s="586">
        <f t="shared" si="104"/>
        <v>0</v>
      </c>
      <c r="AN157" s="586">
        <f t="shared" si="104"/>
        <v>0</v>
      </c>
      <c r="AO157" s="586">
        <f t="shared" si="104"/>
        <v>0</v>
      </c>
      <c r="AP157" s="586">
        <f t="shared" si="104"/>
        <v>0</v>
      </c>
      <c r="AQ157" s="586">
        <f t="shared" si="104"/>
        <v>0</v>
      </c>
      <c r="AR157" s="586">
        <f t="shared" si="104"/>
        <v>0</v>
      </c>
      <c r="AS157" s="586">
        <f t="shared" si="104"/>
        <v>0</v>
      </c>
      <c r="AT157" s="170"/>
      <c r="AU157" s="170"/>
      <c r="AV157" s="170"/>
      <c r="AW157" s="828"/>
      <c r="AX157" s="726"/>
    </row>
    <row r="158" spans="1:50" ht="15" x14ac:dyDescent="0.25">
      <c r="A158" s="170"/>
      <c r="B158" s="719"/>
      <c r="C158" s="170" t="str">
        <f t="shared" si="102"/>
        <v>730</v>
      </c>
      <c r="D158" s="170"/>
      <c r="E158" s="170"/>
      <c r="F158" s="170">
        <f>+Parameters!D76</f>
        <v>73</v>
      </c>
      <c r="G158" s="170">
        <f>+Parameters!E76</f>
        <v>0</v>
      </c>
      <c r="H158" s="586">
        <f t="shared" si="103"/>
        <v>0</v>
      </c>
      <c r="I158" s="170">
        <f>+Parameters!F76</f>
        <v>0</v>
      </c>
      <c r="J158" s="170"/>
      <c r="K158" s="170"/>
      <c r="L158" s="170"/>
      <c r="M158" s="730"/>
      <c r="N158" s="730"/>
      <c r="O158" s="730"/>
      <c r="P158" s="731"/>
      <c r="Q158" s="731"/>
      <c r="R158" s="730"/>
      <c r="S158" s="730"/>
      <c r="T158" s="723"/>
      <c r="U158" s="724"/>
      <c r="V158" s="725"/>
      <c r="W158" s="725"/>
      <c r="X158" s="723"/>
      <c r="Y158" s="723"/>
      <c r="Z158" s="723"/>
      <c r="AA158" s="726"/>
      <c r="AB158" s="726"/>
      <c r="AC158" s="170"/>
      <c r="AD158" s="586">
        <f t="shared" si="104"/>
        <v>0</v>
      </c>
      <c r="AE158" s="586">
        <f t="shared" si="104"/>
        <v>0</v>
      </c>
      <c r="AF158" s="586">
        <f t="shared" si="104"/>
        <v>0</v>
      </c>
      <c r="AG158" s="586">
        <f t="shared" si="104"/>
        <v>0</v>
      </c>
      <c r="AH158" s="586">
        <f t="shared" si="104"/>
        <v>0</v>
      </c>
      <c r="AI158" s="586">
        <f t="shared" si="104"/>
        <v>0</v>
      </c>
      <c r="AJ158" s="586">
        <f t="shared" si="104"/>
        <v>0</v>
      </c>
      <c r="AK158" s="586">
        <f t="shared" si="104"/>
        <v>0</v>
      </c>
      <c r="AL158" s="586">
        <f t="shared" si="104"/>
        <v>0</v>
      </c>
      <c r="AM158" s="586">
        <f t="shared" si="104"/>
        <v>0</v>
      </c>
      <c r="AN158" s="586">
        <f t="shared" si="104"/>
        <v>0</v>
      </c>
      <c r="AO158" s="586">
        <f t="shared" si="104"/>
        <v>0</v>
      </c>
      <c r="AP158" s="586">
        <f t="shared" si="104"/>
        <v>0</v>
      </c>
      <c r="AQ158" s="586">
        <f t="shared" si="104"/>
        <v>0</v>
      </c>
      <c r="AR158" s="586">
        <f t="shared" si="104"/>
        <v>0</v>
      </c>
      <c r="AS158" s="586">
        <f t="shared" si="104"/>
        <v>0</v>
      </c>
      <c r="AT158" s="170"/>
      <c r="AU158" s="170"/>
      <c r="AV158" s="170"/>
      <c r="AW158" s="828"/>
      <c r="AX158" s="726"/>
    </row>
    <row r="159" spans="1:50" ht="15" x14ac:dyDescent="0.25">
      <c r="A159" s="170"/>
      <c r="B159" s="719"/>
      <c r="C159" s="170" t="str">
        <f t="shared" si="102"/>
        <v>740</v>
      </c>
      <c r="D159" s="170"/>
      <c r="E159" s="170"/>
      <c r="F159" s="170">
        <f>+Parameters!D77</f>
        <v>74</v>
      </c>
      <c r="G159" s="170">
        <f>+Parameters!E77</f>
        <v>0</v>
      </c>
      <c r="H159" s="586">
        <f t="shared" si="103"/>
        <v>0</v>
      </c>
      <c r="I159" s="170">
        <f>+Parameters!F77</f>
        <v>0</v>
      </c>
      <c r="J159" s="170"/>
      <c r="K159" s="170"/>
      <c r="L159" s="170"/>
      <c r="M159" s="730"/>
      <c r="N159" s="730"/>
      <c r="O159" s="730"/>
      <c r="P159" s="731"/>
      <c r="Q159" s="731"/>
      <c r="R159" s="730"/>
      <c r="S159" s="730"/>
      <c r="T159" s="723"/>
      <c r="U159" s="724"/>
      <c r="V159" s="725"/>
      <c r="W159" s="725"/>
      <c r="X159" s="723"/>
      <c r="Y159" s="723"/>
      <c r="Z159" s="723"/>
      <c r="AA159" s="726"/>
      <c r="AB159" s="726"/>
      <c r="AC159" s="170"/>
      <c r="AD159" s="586">
        <f t="shared" si="104"/>
        <v>0</v>
      </c>
      <c r="AE159" s="586">
        <f t="shared" si="104"/>
        <v>0</v>
      </c>
      <c r="AF159" s="586">
        <f t="shared" si="104"/>
        <v>0</v>
      </c>
      <c r="AG159" s="586">
        <f t="shared" si="104"/>
        <v>0</v>
      </c>
      <c r="AH159" s="586">
        <f t="shared" si="104"/>
        <v>0</v>
      </c>
      <c r="AI159" s="586">
        <f t="shared" si="104"/>
        <v>0</v>
      </c>
      <c r="AJ159" s="586">
        <f t="shared" si="104"/>
        <v>0</v>
      </c>
      <c r="AK159" s="586">
        <f t="shared" si="104"/>
        <v>0</v>
      </c>
      <c r="AL159" s="586">
        <f t="shared" si="104"/>
        <v>0</v>
      </c>
      <c r="AM159" s="586">
        <f t="shared" si="104"/>
        <v>0</v>
      </c>
      <c r="AN159" s="586">
        <f t="shared" si="104"/>
        <v>0</v>
      </c>
      <c r="AO159" s="586">
        <f t="shared" si="104"/>
        <v>0</v>
      </c>
      <c r="AP159" s="586">
        <f t="shared" si="104"/>
        <v>0</v>
      </c>
      <c r="AQ159" s="586">
        <f t="shared" si="104"/>
        <v>0</v>
      </c>
      <c r="AR159" s="586">
        <f t="shared" si="104"/>
        <v>0</v>
      </c>
      <c r="AS159" s="586">
        <f t="shared" si="104"/>
        <v>0</v>
      </c>
      <c r="AT159" s="170"/>
      <c r="AU159" s="170"/>
      <c r="AV159" s="170"/>
      <c r="AW159" s="828"/>
      <c r="AX159" s="726"/>
    </row>
    <row r="160" spans="1:50" ht="15" x14ac:dyDescent="0.25">
      <c r="A160" s="170"/>
      <c r="B160" s="719"/>
      <c r="C160" s="170" t="str">
        <f t="shared" si="102"/>
        <v>750</v>
      </c>
      <c r="D160" s="170"/>
      <c r="E160" s="170"/>
      <c r="F160" s="170">
        <f>+Parameters!D78</f>
        <v>75</v>
      </c>
      <c r="G160" s="170">
        <f>+Parameters!E78</f>
        <v>0</v>
      </c>
      <c r="H160" s="586">
        <f t="shared" si="103"/>
        <v>0</v>
      </c>
      <c r="I160" s="170">
        <f>+Parameters!F78</f>
        <v>0</v>
      </c>
      <c r="J160" s="170"/>
      <c r="K160" s="170"/>
      <c r="L160" s="170"/>
      <c r="M160" s="730"/>
      <c r="N160" s="730"/>
      <c r="O160" s="730"/>
      <c r="P160" s="731"/>
      <c r="Q160" s="731"/>
      <c r="R160" s="730"/>
      <c r="S160" s="730"/>
      <c r="T160" s="723"/>
      <c r="U160" s="724"/>
      <c r="V160" s="725"/>
      <c r="W160" s="725"/>
      <c r="X160" s="723"/>
      <c r="Y160" s="723"/>
      <c r="Z160" s="723"/>
      <c r="AA160" s="726"/>
      <c r="AB160" s="726"/>
      <c r="AC160" s="170"/>
      <c r="AD160" s="586">
        <f t="shared" si="104"/>
        <v>0</v>
      </c>
      <c r="AE160" s="586">
        <f t="shared" si="104"/>
        <v>0</v>
      </c>
      <c r="AF160" s="586">
        <f t="shared" si="104"/>
        <v>0</v>
      </c>
      <c r="AG160" s="586">
        <f t="shared" si="104"/>
        <v>0</v>
      </c>
      <c r="AH160" s="586">
        <f t="shared" si="104"/>
        <v>0</v>
      </c>
      <c r="AI160" s="586">
        <f t="shared" si="104"/>
        <v>0</v>
      </c>
      <c r="AJ160" s="586">
        <f t="shared" si="104"/>
        <v>0</v>
      </c>
      <c r="AK160" s="586">
        <f t="shared" si="104"/>
        <v>0</v>
      </c>
      <c r="AL160" s="586">
        <f t="shared" si="104"/>
        <v>0</v>
      </c>
      <c r="AM160" s="586">
        <f t="shared" si="104"/>
        <v>0</v>
      </c>
      <c r="AN160" s="586">
        <f t="shared" si="104"/>
        <v>0</v>
      </c>
      <c r="AO160" s="586">
        <f t="shared" si="104"/>
        <v>0</v>
      </c>
      <c r="AP160" s="586">
        <f t="shared" si="104"/>
        <v>0</v>
      </c>
      <c r="AQ160" s="586">
        <f t="shared" si="104"/>
        <v>0</v>
      </c>
      <c r="AR160" s="586">
        <f t="shared" si="104"/>
        <v>0</v>
      </c>
      <c r="AS160" s="586">
        <f t="shared" si="104"/>
        <v>0</v>
      </c>
      <c r="AT160" s="170"/>
      <c r="AU160" s="170"/>
      <c r="AV160" s="170"/>
      <c r="AW160" s="828"/>
      <c r="AX160" s="726"/>
    </row>
    <row r="161" spans="1:50" ht="15" x14ac:dyDescent="0.25">
      <c r="A161" s="170"/>
      <c r="B161" s="719"/>
      <c r="C161" s="170" t="str">
        <f t="shared" si="102"/>
        <v>760</v>
      </c>
      <c r="D161" s="170"/>
      <c r="E161" s="170"/>
      <c r="F161" s="170">
        <f>+Parameters!D79</f>
        <v>76</v>
      </c>
      <c r="G161" s="170">
        <f>+Parameters!E79</f>
        <v>0</v>
      </c>
      <c r="H161" s="586">
        <f t="shared" si="103"/>
        <v>0</v>
      </c>
      <c r="I161" s="170">
        <f>+Parameters!F79</f>
        <v>0</v>
      </c>
      <c r="J161" s="170"/>
      <c r="K161" s="170"/>
      <c r="L161" s="170"/>
      <c r="M161" s="730"/>
      <c r="N161" s="730"/>
      <c r="O161" s="730"/>
      <c r="P161" s="731"/>
      <c r="Q161" s="731"/>
      <c r="R161" s="730"/>
      <c r="S161" s="730"/>
      <c r="T161" s="723"/>
      <c r="U161" s="724"/>
      <c r="V161" s="725"/>
      <c r="W161" s="725"/>
      <c r="X161" s="723"/>
      <c r="Y161" s="723"/>
      <c r="Z161" s="723"/>
      <c r="AA161" s="726"/>
      <c r="AB161" s="726"/>
      <c r="AC161" s="170"/>
      <c r="AD161" s="586">
        <f t="shared" si="104"/>
        <v>0</v>
      </c>
      <c r="AE161" s="586">
        <f t="shared" si="104"/>
        <v>0</v>
      </c>
      <c r="AF161" s="586">
        <f t="shared" si="104"/>
        <v>0</v>
      </c>
      <c r="AG161" s="586">
        <f t="shared" si="104"/>
        <v>0</v>
      </c>
      <c r="AH161" s="586">
        <f t="shared" si="104"/>
        <v>0</v>
      </c>
      <c r="AI161" s="586">
        <f t="shared" si="104"/>
        <v>0</v>
      </c>
      <c r="AJ161" s="586">
        <f t="shared" si="104"/>
        <v>0</v>
      </c>
      <c r="AK161" s="586">
        <f t="shared" si="104"/>
        <v>0</v>
      </c>
      <c r="AL161" s="586">
        <f t="shared" si="104"/>
        <v>0</v>
      </c>
      <c r="AM161" s="586">
        <f t="shared" si="104"/>
        <v>0</v>
      </c>
      <c r="AN161" s="586">
        <f t="shared" si="104"/>
        <v>0</v>
      </c>
      <c r="AO161" s="586">
        <f t="shared" si="104"/>
        <v>0</v>
      </c>
      <c r="AP161" s="586">
        <f t="shared" si="104"/>
        <v>0</v>
      </c>
      <c r="AQ161" s="586">
        <f t="shared" si="104"/>
        <v>0</v>
      </c>
      <c r="AR161" s="586">
        <f t="shared" si="104"/>
        <v>0</v>
      </c>
      <c r="AS161" s="586">
        <f t="shared" si="104"/>
        <v>0</v>
      </c>
      <c r="AT161" s="170"/>
      <c r="AU161" s="170"/>
      <c r="AV161" s="170"/>
      <c r="AW161" s="828"/>
      <c r="AX161" s="726"/>
    </row>
    <row r="162" spans="1:50" ht="15" x14ac:dyDescent="0.25">
      <c r="A162" s="170"/>
      <c r="B162" s="719"/>
      <c r="C162" s="170" t="str">
        <f t="shared" si="102"/>
        <v>770</v>
      </c>
      <c r="D162" s="170"/>
      <c r="E162" s="170"/>
      <c r="F162" s="170">
        <f>+Parameters!D80</f>
        <v>77</v>
      </c>
      <c r="G162" s="170">
        <f>+Parameters!E80</f>
        <v>0</v>
      </c>
      <c r="H162" s="586">
        <f t="shared" si="103"/>
        <v>0</v>
      </c>
      <c r="I162" s="170">
        <f>+Parameters!F80</f>
        <v>0</v>
      </c>
      <c r="J162" s="170"/>
      <c r="K162" s="170"/>
      <c r="L162" s="170"/>
      <c r="M162" s="730"/>
      <c r="N162" s="730"/>
      <c r="O162" s="730"/>
      <c r="P162" s="731"/>
      <c r="Q162" s="731"/>
      <c r="R162" s="730"/>
      <c r="S162" s="730"/>
      <c r="T162" s="723"/>
      <c r="U162" s="724"/>
      <c r="V162" s="725"/>
      <c r="W162" s="725"/>
      <c r="X162" s="723"/>
      <c r="Y162" s="723"/>
      <c r="Z162" s="723"/>
      <c r="AA162" s="726"/>
      <c r="AB162" s="726"/>
      <c r="AC162" s="170"/>
      <c r="AD162" s="586">
        <f t="shared" si="104"/>
        <v>0</v>
      </c>
      <c r="AE162" s="586">
        <f t="shared" si="104"/>
        <v>0</v>
      </c>
      <c r="AF162" s="586">
        <f t="shared" si="104"/>
        <v>0</v>
      </c>
      <c r="AG162" s="586">
        <f t="shared" si="104"/>
        <v>0</v>
      </c>
      <c r="AH162" s="586">
        <f t="shared" si="104"/>
        <v>0</v>
      </c>
      <c r="AI162" s="586">
        <f t="shared" si="104"/>
        <v>0</v>
      </c>
      <c r="AJ162" s="586">
        <f t="shared" si="104"/>
        <v>0</v>
      </c>
      <c r="AK162" s="586">
        <f t="shared" si="104"/>
        <v>0</v>
      </c>
      <c r="AL162" s="586">
        <f t="shared" si="104"/>
        <v>0</v>
      </c>
      <c r="AM162" s="586">
        <f t="shared" si="104"/>
        <v>0</v>
      </c>
      <c r="AN162" s="586">
        <f t="shared" si="104"/>
        <v>0</v>
      </c>
      <c r="AO162" s="586">
        <f t="shared" si="104"/>
        <v>0</v>
      </c>
      <c r="AP162" s="586">
        <f t="shared" si="104"/>
        <v>0</v>
      </c>
      <c r="AQ162" s="586">
        <f t="shared" si="104"/>
        <v>0</v>
      </c>
      <c r="AR162" s="586">
        <f t="shared" si="104"/>
        <v>0</v>
      </c>
      <c r="AS162" s="586">
        <f t="shared" si="104"/>
        <v>0</v>
      </c>
      <c r="AT162" s="170"/>
      <c r="AU162" s="170"/>
      <c r="AV162" s="170"/>
      <c r="AW162" s="828"/>
      <c r="AX162" s="726"/>
    </row>
    <row r="163" spans="1:50" ht="15" x14ac:dyDescent="0.25">
      <c r="A163" s="170"/>
      <c r="B163" s="719"/>
      <c r="C163" s="170" t="str">
        <f t="shared" si="102"/>
        <v>780</v>
      </c>
      <c r="D163" s="170"/>
      <c r="E163" s="170"/>
      <c r="F163" s="170">
        <f>+Parameters!D81</f>
        <v>78</v>
      </c>
      <c r="G163" s="170">
        <f>+Parameters!E81</f>
        <v>0</v>
      </c>
      <c r="H163" s="586">
        <f t="shared" si="103"/>
        <v>0</v>
      </c>
      <c r="I163" s="170">
        <f>+Parameters!F81</f>
        <v>0</v>
      </c>
      <c r="J163" s="170"/>
      <c r="K163" s="170"/>
      <c r="L163" s="170"/>
      <c r="M163" s="730"/>
      <c r="N163" s="730"/>
      <c r="O163" s="730"/>
      <c r="P163" s="731"/>
      <c r="Q163" s="731"/>
      <c r="R163" s="730"/>
      <c r="S163" s="730"/>
      <c r="T163" s="723"/>
      <c r="U163" s="724"/>
      <c r="V163" s="725"/>
      <c r="W163" s="725"/>
      <c r="X163" s="723"/>
      <c r="Y163" s="723"/>
      <c r="Z163" s="723"/>
      <c r="AA163" s="726"/>
      <c r="AB163" s="726"/>
      <c r="AC163" s="170"/>
      <c r="AD163" s="586">
        <f t="shared" si="104"/>
        <v>0</v>
      </c>
      <c r="AE163" s="586">
        <f t="shared" si="104"/>
        <v>0</v>
      </c>
      <c r="AF163" s="586">
        <f t="shared" si="104"/>
        <v>0</v>
      </c>
      <c r="AG163" s="586">
        <f t="shared" si="104"/>
        <v>0</v>
      </c>
      <c r="AH163" s="586">
        <f t="shared" si="104"/>
        <v>0</v>
      </c>
      <c r="AI163" s="586">
        <f t="shared" si="104"/>
        <v>0</v>
      </c>
      <c r="AJ163" s="586">
        <f t="shared" si="104"/>
        <v>0</v>
      </c>
      <c r="AK163" s="586">
        <f t="shared" si="104"/>
        <v>0</v>
      </c>
      <c r="AL163" s="586">
        <f t="shared" si="104"/>
        <v>0</v>
      </c>
      <c r="AM163" s="586">
        <f t="shared" si="104"/>
        <v>0</v>
      </c>
      <c r="AN163" s="586">
        <f t="shared" si="104"/>
        <v>0</v>
      </c>
      <c r="AO163" s="586">
        <f t="shared" si="104"/>
        <v>0</v>
      </c>
      <c r="AP163" s="586">
        <f t="shared" si="104"/>
        <v>0</v>
      </c>
      <c r="AQ163" s="586">
        <f t="shared" si="104"/>
        <v>0</v>
      </c>
      <c r="AR163" s="586">
        <f t="shared" si="104"/>
        <v>0</v>
      </c>
      <c r="AS163" s="586">
        <f t="shared" si="104"/>
        <v>0</v>
      </c>
      <c r="AT163" s="170"/>
      <c r="AU163" s="170"/>
      <c r="AV163" s="170"/>
      <c r="AW163" s="828"/>
      <c r="AX163" s="726"/>
    </row>
    <row r="164" spans="1:50" ht="15" x14ac:dyDescent="0.25">
      <c r="A164" s="170"/>
      <c r="B164" s="719"/>
      <c r="C164" s="170" t="str">
        <f t="shared" si="102"/>
        <v>790</v>
      </c>
      <c r="D164" s="170"/>
      <c r="E164" s="170"/>
      <c r="F164" s="170">
        <f>+Parameters!D82</f>
        <v>79</v>
      </c>
      <c r="G164" s="170">
        <f>+Parameters!E82</f>
        <v>0</v>
      </c>
      <c r="H164" s="586">
        <f t="shared" si="103"/>
        <v>0</v>
      </c>
      <c r="I164" s="170">
        <f>+Parameters!F82</f>
        <v>0</v>
      </c>
      <c r="J164" s="170"/>
      <c r="K164" s="170"/>
      <c r="L164" s="170"/>
      <c r="M164" s="730"/>
      <c r="N164" s="730"/>
      <c r="O164" s="730"/>
      <c r="P164" s="731"/>
      <c r="Q164" s="731"/>
      <c r="R164" s="730"/>
      <c r="S164" s="730"/>
      <c r="T164" s="723"/>
      <c r="U164" s="724"/>
      <c r="V164" s="725"/>
      <c r="W164" s="725"/>
      <c r="X164" s="723"/>
      <c r="Y164" s="723"/>
      <c r="Z164" s="723"/>
      <c r="AA164" s="726"/>
      <c r="AB164" s="726"/>
      <c r="AC164" s="170"/>
      <c r="AD164" s="586">
        <f t="shared" si="104"/>
        <v>0</v>
      </c>
      <c r="AE164" s="586">
        <f t="shared" si="104"/>
        <v>0</v>
      </c>
      <c r="AF164" s="586">
        <f t="shared" si="104"/>
        <v>0</v>
      </c>
      <c r="AG164" s="586">
        <f t="shared" si="104"/>
        <v>0</v>
      </c>
      <c r="AH164" s="586">
        <f t="shared" si="104"/>
        <v>0</v>
      </c>
      <c r="AI164" s="586">
        <f t="shared" si="104"/>
        <v>0</v>
      </c>
      <c r="AJ164" s="586">
        <f t="shared" si="104"/>
        <v>0</v>
      </c>
      <c r="AK164" s="586">
        <f t="shared" si="104"/>
        <v>0</v>
      </c>
      <c r="AL164" s="586">
        <f t="shared" si="104"/>
        <v>0</v>
      </c>
      <c r="AM164" s="586">
        <f t="shared" si="104"/>
        <v>0</v>
      </c>
      <c r="AN164" s="586">
        <f t="shared" si="104"/>
        <v>0</v>
      </c>
      <c r="AO164" s="586">
        <f t="shared" si="104"/>
        <v>0</v>
      </c>
      <c r="AP164" s="586">
        <f t="shared" si="104"/>
        <v>0</v>
      </c>
      <c r="AQ164" s="586">
        <f t="shared" si="104"/>
        <v>0</v>
      </c>
      <c r="AR164" s="586">
        <f t="shared" si="104"/>
        <v>0</v>
      </c>
      <c r="AS164" s="586">
        <f t="shared" si="104"/>
        <v>0</v>
      </c>
      <c r="AT164" s="170"/>
      <c r="AU164" s="170"/>
      <c r="AV164" s="170"/>
      <c r="AW164" s="828"/>
      <c r="AX164" s="726"/>
    </row>
    <row r="165" spans="1:50" ht="15" x14ac:dyDescent="0.25">
      <c r="A165" s="170"/>
      <c r="B165" s="719"/>
      <c r="C165" s="170" t="str">
        <f t="shared" si="102"/>
        <v>800</v>
      </c>
      <c r="D165" s="170"/>
      <c r="E165" s="170"/>
      <c r="F165" s="170">
        <f>+Parameters!D83</f>
        <v>80</v>
      </c>
      <c r="G165" s="170" t="str">
        <f>+Parameters!E83</f>
        <v>Protection and Controls</v>
      </c>
      <c r="H165" s="586">
        <f t="shared" si="103"/>
        <v>0</v>
      </c>
      <c r="I165" s="170">
        <f>+Parameters!F83</f>
        <v>0</v>
      </c>
      <c r="J165" s="170"/>
      <c r="K165" s="170"/>
      <c r="L165" s="170"/>
      <c r="M165" s="730"/>
      <c r="N165" s="730"/>
      <c r="O165" s="730"/>
      <c r="P165" s="731"/>
      <c r="Q165" s="731"/>
      <c r="R165" s="730"/>
      <c r="S165" s="730"/>
      <c r="T165" s="723"/>
      <c r="U165" s="724"/>
      <c r="V165" s="725"/>
      <c r="W165" s="725"/>
      <c r="X165" s="723"/>
      <c r="Y165" s="723"/>
      <c r="Z165" s="723"/>
      <c r="AA165" s="726"/>
      <c r="AB165" s="726"/>
      <c r="AC165" s="170"/>
      <c r="AD165" s="586">
        <f t="shared" si="104"/>
        <v>0</v>
      </c>
      <c r="AE165" s="586">
        <f t="shared" si="104"/>
        <v>0</v>
      </c>
      <c r="AF165" s="586">
        <f t="shared" si="104"/>
        <v>0</v>
      </c>
      <c r="AG165" s="586">
        <f t="shared" si="104"/>
        <v>0</v>
      </c>
      <c r="AH165" s="586">
        <f t="shared" si="104"/>
        <v>0</v>
      </c>
      <c r="AI165" s="586">
        <f t="shared" si="104"/>
        <v>0</v>
      </c>
      <c r="AJ165" s="586">
        <f t="shared" si="104"/>
        <v>0</v>
      </c>
      <c r="AK165" s="586">
        <f t="shared" si="104"/>
        <v>0</v>
      </c>
      <c r="AL165" s="586">
        <f t="shared" si="104"/>
        <v>0</v>
      </c>
      <c r="AM165" s="586">
        <f t="shared" si="104"/>
        <v>0</v>
      </c>
      <c r="AN165" s="586">
        <f t="shared" si="104"/>
        <v>0</v>
      </c>
      <c r="AO165" s="586">
        <f t="shared" si="104"/>
        <v>0</v>
      </c>
      <c r="AP165" s="586">
        <f t="shared" si="104"/>
        <v>0</v>
      </c>
      <c r="AQ165" s="586">
        <f t="shared" si="104"/>
        <v>0</v>
      </c>
      <c r="AR165" s="586">
        <f t="shared" si="104"/>
        <v>0</v>
      </c>
      <c r="AS165" s="586">
        <f t="shared" si="104"/>
        <v>0</v>
      </c>
      <c r="AT165" s="170"/>
      <c r="AU165" s="170"/>
      <c r="AV165" s="170"/>
      <c r="AW165" s="828"/>
      <c r="AX165" s="726"/>
    </row>
    <row r="166" spans="1:50" ht="15" x14ac:dyDescent="0.25">
      <c r="A166" s="170"/>
      <c r="B166" s="719"/>
      <c r="C166" s="170" t="str">
        <f t="shared" si="102"/>
        <v>81ea</v>
      </c>
      <c r="D166" s="170"/>
      <c r="E166" s="170"/>
      <c r="F166" s="170">
        <f>+Parameters!D84</f>
        <v>81</v>
      </c>
      <c r="G166" s="170" t="str">
        <f>+Parameters!E84</f>
        <v>Relays</v>
      </c>
      <c r="H166" s="586">
        <f t="shared" si="103"/>
        <v>0</v>
      </c>
      <c r="I166" s="170" t="str">
        <f>+Parameters!F84</f>
        <v>ea</v>
      </c>
      <c r="J166" s="170"/>
      <c r="K166" s="170"/>
      <c r="L166" s="170"/>
      <c r="M166" s="730"/>
      <c r="N166" s="730"/>
      <c r="O166" s="730"/>
      <c r="P166" s="731"/>
      <c r="Q166" s="731"/>
      <c r="R166" s="730"/>
      <c r="S166" s="730"/>
      <c r="T166" s="723"/>
      <c r="U166" s="724"/>
      <c r="V166" s="725"/>
      <c r="W166" s="725"/>
      <c r="X166" s="723"/>
      <c r="Y166" s="723"/>
      <c r="Z166" s="723"/>
      <c r="AA166" s="726"/>
      <c r="AB166" s="726"/>
      <c r="AC166" s="170"/>
      <c r="AD166" s="586">
        <f t="shared" ref="AD166:AS175" si="105">SUMIF($F$9:$F$82,$F166,AD$9:AD$82)</f>
        <v>0</v>
      </c>
      <c r="AE166" s="586">
        <f t="shared" si="105"/>
        <v>0</v>
      </c>
      <c r="AF166" s="586">
        <f t="shared" si="105"/>
        <v>0</v>
      </c>
      <c r="AG166" s="586">
        <f t="shared" si="105"/>
        <v>0</v>
      </c>
      <c r="AH166" s="586">
        <f t="shared" si="105"/>
        <v>0</v>
      </c>
      <c r="AI166" s="586">
        <f t="shared" si="105"/>
        <v>0</v>
      </c>
      <c r="AJ166" s="586">
        <f t="shared" si="105"/>
        <v>0</v>
      </c>
      <c r="AK166" s="586">
        <f t="shared" si="105"/>
        <v>0</v>
      </c>
      <c r="AL166" s="586">
        <f t="shared" si="105"/>
        <v>0</v>
      </c>
      <c r="AM166" s="586">
        <f t="shared" si="105"/>
        <v>0</v>
      </c>
      <c r="AN166" s="586">
        <f t="shared" si="105"/>
        <v>0</v>
      </c>
      <c r="AO166" s="586">
        <f t="shared" si="105"/>
        <v>0</v>
      </c>
      <c r="AP166" s="586">
        <f t="shared" si="105"/>
        <v>0</v>
      </c>
      <c r="AQ166" s="586">
        <f t="shared" si="105"/>
        <v>0</v>
      </c>
      <c r="AR166" s="586">
        <f t="shared" si="105"/>
        <v>0</v>
      </c>
      <c r="AS166" s="586">
        <f t="shared" si="105"/>
        <v>0</v>
      </c>
      <c r="AT166" s="170"/>
      <c r="AU166" s="170"/>
      <c r="AV166" s="170"/>
      <c r="AW166" s="828"/>
      <c r="AX166" s="726"/>
    </row>
    <row r="167" spans="1:50" ht="15" x14ac:dyDescent="0.25">
      <c r="A167" s="170"/>
      <c r="B167" s="719"/>
      <c r="C167" s="170" t="str">
        <f t="shared" si="102"/>
        <v>82ea</v>
      </c>
      <c r="D167" s="170"/>
      <c r="E167" s="170"/>
      <c r="F167" s="170">
        <f>+Parameters!D85</f>
        <v>82</v>
      </c>
      <c r="G167" s="170" t="str">
        <f>+Parameters!E85</f>
        <v>Cabinets</v>
      </c>
      <c r="H167" s="586">
        <f t="shared" si="103"/>
        <v>0</v>
      </c>
      <c r="I167" s="170" t="str">
        <f>+Parameters!F85</f>
        <v>ea</v>
      </c>
      <c r="J167" s="170"/>
      <c r="K167" s="170"/>
      <c r="L167" s="170"/>
      <c r="M167" s="730"/>
      <c r="N167" s="730"/>
      <c r="O167" s="730"/>
      <c r="P167" s="731"/>
      <c r="Q167" s="731"/>
      <c r="R167" s="730"/>
      <c r="S167" s="730"/>
      <c r="T167" s="723"/>
      <c r="U167" s="724"/>
      <c r="V167" s="725"/>
      <c r="W167" s="725"/>
      <c r="X167" s="723"/>
      <c r="Y167" s="723"/>
      <c r="Z167" s="723"/>
      <c r="AA167" s="726"/>
      <c r="AB167" s="726"/>
      <c r="AC167" s="170"/>
      <c r="AD167" s="586">
        <f t="shared" si="105"/>
        <v>0</v>
      </c>
      <c r="AE167" s="586">
        <f t="shared" si="105"/>
        <v>0</v>
      </c>
      <c r="AF167" s="586">
        <f t="shared" si="105"/>
        <v>0</v>
      </c>
      <c r="AG167" s="586">
        <f t="shared" si="105"/>
        <v>0</v>
      </c>
      <c r="AH167" s="586">
        <f t="shared" si="105"/>
        <v>0</v>
      </c>
      <c r="AI167" s="586">
        <f t="shared" si="105"/>
        <v>0</v>
      </c>
      <c r="AJ167" s="586">
        <f t="shared" si="105"/>
        <v>0</v>
      </c>
      <c r="AK167" s="586">
        <f t="shared" si="105"/>
        <v>0</v>
      </c>
      <c r="AL167" s="586">
        <f t="shared" si="105"/>
        <v>0</v>
      </c>
      <c r="AM167" s="586">
        <f t="shared" si="105"/>
        <v>0</v>
      </c>
      <c r="AN167" s="586">
        <f t="shared" si="105"/>
        <v>0</v>
      </c>
      <c r="AO167" s="586">
        <f t="shared" si="105"/>
        <v>0</v>
      </c>
      <c r="AP167" s="586">
        <f t="shared" si="105"/>
        <v>0</v>
      </c>
      <c r="AQ167" s="586">
        <f t="shared" si="105"/>
        <v>0</v>
      </c>
      <c r="AR167" s="586">
        <f t="shared" si="105"/>
        <v>0</v>
      </c>
      <c r="AS167" s="586">
        <f t="shared" si="105"/>
        <v>0</v>
      </c>
      <c r="AT167" s="170"/>
      <c r="AU167" s="170"/>
      <c r="AV167" s="170"/>
      <c r="AW167" s="828"/>
      <c r="AX167" s="726"/>
    </row>
    <row r="168" spans="1:50" ht="15" x14ac:dyDescent="0.25">
      <c r="A168" s="170"/>
      <c r="B168" s="719"/>
      <c r="C168" s="170" t="str">
        <f t="shared" si="102"/>
        <v>83ea</v>
      </c>
      <c r="D168" s="170"/>
      <c r="E168" s="170"/>
      <c r="F168" s="170">
        <f>+Parameters!D86</f>
        <v>83</v>
      </c>
      <c r="G168" s="170" t="str">
        <f>+Parameters!E86</f>
        <v>Comm. Eqt</v>
      </c>
      <c r="H168" s="586">
        <f t="shared" si="103"/>
        <v>0</v>
      </c>
      <c r="I168" s="170" t="str">
        <f>+Parameters!F86</f>
        <v>ea</v>
      </c>
      <c r="J168" s="170"/>
      <c r="K168" s="170"/>
      <c r="L168" s="170"/>
      <c r="M168" s="730"/>
      <c r="N168" s="730"/>
      <c r="O168" s="730"/>
      <c r="P168" s="731"/>
      <c r="Q168" s="731"/>
      <c r="R168" s="730"/>
      <c r="S168" s="730"/>
      <c r="T168" s="723"/>
      <c r="U168" s="724"/>
      <c r="V168" s="725"/>
      <c r="W168" s="725"/>
      <c r="X168" s="723"/>
      <c r="Y168" s="723"/>
      <c r="Z168" s="723"/>
      <c r="AA168" s="726"/>
      <c r="AB168" s="726"/>
      <c r="AC168" s="170"/>
      <c r="AD168" s="586">
        <f t="shared" si="105"/>
        <v>0</v>
      </c>
      <c r="AE168" s="586">
        <f t="shared" si="105"/>
        <v>0</v>
      </c>
      <c r="AF168" s="586">
        <f t="shared" si="105"/>
        <v>0</v>
      </c>
      <c r="AG168" s="586">
        <f t="shared" si="105"/>
        <v>0</v>
      </c>
      <c r="AH168" s="586">
        <f t="shared" si="105"/>
        <v>0</v>
      </c>
      <c r="AI168" s="586">
        <f t="shared" si="105"/>
        <v>0</v>
      </c>
      <c r="AJ168" s="586">
        <f t="shared" si="105"/>
        <v>0</v>
      </c>
      <c r="AK168" s="586">
        <f t="shared" si="105"/>
        <v>0</v>
      </c>
      <c r="AL168" s="586">
        <f t="shared" si="105"/>
        <v>0</v>
      </c>
      <c r="AM168" s="586">
        <f t="shared" si="105"/>
        <v>0</v>
      </c>
      <c r="AN168" s="586">
        <f t="shared" si="105"/>
        <v>0</v>
      </c>
      <c r="AO168" s="586">
        <f t="shared" si="105"/>
        <v>0</v>
      </c>
      <c r="AP168" s="586">
        <f t="shared" si="105"/>
        <v>0</v>
      </c>
      <c r="AQ168" s="586">
        <f t="shared" si="105"/>
        <v>0</v>
      </c>
      <c r="AR168" s="586">
        <f t="shared" si="105"/>
        <v>0</v>
      </c>
      <c r="AS168" s="586">
        <f t="shared" si="105"/>
        <v>0</v>
      </c>
      <c r="AT168" s="170"/>
      <c r="AU168" s="170"/>
      <c r="AV168" s="170"/>
      <c r="AW168" s="828"/>
      <c r="AX168" s="726"/>
    </row>
    <row r="169" spans="1:50" ht="15" x14ac:dyDescent="0.25">
      <c r="A169" s="170"/>
      <c r="B169" s="719"/>
      <c r="C169" s="170" t="str">
        <f t="shared" si="102"/>
        <v>84ea</v>
      </c>
      <c r="D169" s="170"/>
      <c r="E169" s="170"/>
      <c r="F169" s="170">
        <f>+Parameters!D87</f>
        <v>84</v>
      </c>
      <c r="G169" s="170" t="str">
        <f>+Parameters!E87</f>
        <v>SCADA</v>
      </c>
      <c r="H169" s="586">
        <f t="shared" si="103"/>
        <v>0</v>
      </c>
      <c r="I169" s="170" t="str">
        <f>+Parameters!F87</f>
        <v>ea</v>
      </c>
      <c r="J169" s="170"/>
      <c r="K169" s="170"/>
      <c r="L169" s="170"/>
      <c r="M169" s="730"/>
      <c r="N169" s="730"/>
      <c r="O169" s="730"/>
      <c r="P169" s="731"/>
      <c r="Q169" s="731"/>
      <c r="R169" s="730"/>
      <c r="S169" s="730"/>
      <c r="T169" s="723"/>
      <c r="U169" s="724"/>
      <c r="V169" s="725"/>
      <c r="W169" s="725"/>
      <c r="X169" s="723"/>
      <c r="Y169" s="723"/>
      <c r="Z169" s="723"/>
      <c r="AA169" s="726"/>
      <c r="AB169" s="726"/>
      <c r="AC169" s="170"/>
      <c r="AD169" s="586">
        <f t="shared" si="105"/>
        <v>0</v>
      </c>
      <c r="AE169" s="586">
        <f t="shared" si="105"/>
        <v>0</v>
      </c>
      <c r="AF169" s="586">
        <f t="shared" si="105"/>
        <v>0</v>
      </c>
      <c r="AG169" s="586">
        <f t="shared" si="105"/>
        <v>0</v>
      </c>
      <c r="AH169" s="586">
        <f t="shared" si="105"/>
        <v>0</v>
      </c>
      <c r="AI169" s="586">
        <f t="shared" si="105"/>
        <v>0</v>
      </c>
      <c r="AJ169" s="586">
        <f t="shared" si="105"/>
        <v>0</v>
      </c>
      <c r="AK169" s="586">
        <f t="shared" si="105"/>
        <v>0</v>
      </c>
      <c r="AL169" s="586">
        <f t="shared" si="105"/>
        <v>0</v>
      </c>
      <c r="AM169" s="586">
        <f t="shared" si="105"/>
        <v>0</v>
      </c>
      <c r="AN169" s="586">
        <f t="shared" si="105"/>
        <v>0</v>
      </c>
      <c r="AO169" s="586">
        <f t="shared" si="105"/>
        <v>0</v>
      </c>
      <c r="AP169" s="586">
        <f t="shared" si="105"/>
        <v>0</v>
      </c>
      <c r="AQ169" s="586">
        <f t="shared" si="105"/>
        <v>0</v>
      </c>
      <c r="AR169" s="586">
        <f t="shared" si="105"/>
        <v>0</v>
      </c>
      <c r="AS169" s="586">
        <f t="shared" si="105"/>
        <v>0</v>
      </c>
      <c r="AT169" s="170"/>
      <c r="AU169" s="170"/>
      <c r="AV169" s="170"/>
      <c r="AW169" s="828"/>
      <c r="AX169" s="726"/>
    </row>
    <row r="170" spans="1:50" ht="15" x14ac:dyDescent="0.25">
      <c r="A170" s="170"/>
      <c r="B170" s="719"/>
      <c r="C170" s="170" t="str">
        <f t="shared" si="102"/>
        <v>85ea</v>
      </c>
      <c r="D170" s="170"/>
      <c r="E170" s="170"/>
      <c r="F170" s="170">
        <f>+Parameters!D88</f>
        <v>85</v>
      </c>
      <c r="G170" s="170" t="str">
        <f>+Parameters!E88</f>
        <v>Batteries</v>
      </c>
      <c r="H170" s="586">
        <f t="shared" si="103"/>
        <v>0</v>
      </c>
      <c r="I170" s="170" t="str">
        <f>+Parameters!F88</f>
        <v>ea</v>
      </c>
      <c r="J170" s="170"/>
      <c r="K170" s="170"/>
      <c r="L170" s="170"/>
      <c r="M170" s="730"/>
      <c r="N170" s="730"/>
      <c r="O170" s="730"/>
      <c r="P170" s="731"/>
      <c r="Q170" s="731"/>
      <c r="R170" s="730"/>
      <c r="S170" s="730"/>
      <c r="T170" s="723"/>
      <c r="U170" s="724"/>
      <c r="V170" s="725"/>
      <c r="W170" s="725"/>
      <c r="X170" s="723"/>
      <c r="Y170" s="723"/>
      <c r="Z170" s="723"/>
      <c r="AA170" s="726"/>
      <c r="AB170" s="726"/>
      <c r="AC170" s="170"/>
      <c r="AD170" s="586">
        <f t="shared" si="105"/>
        <v>0</v>
      </c>
      <c r="AE170" s="586">
        <f t="shared" si="105"/>
        <v>0</v>
      </c>
      <c r="AF170" s="586">
        <f t="shared" si="105"/>
        <v>0</v>
      </c>
      <c r="AG170" s="586">
        <f t="shared" si="105"/>
        <v>0</v>
      </c>
      <c r="AH170" s="586">
        <f t="shared" si="105"/>
        <v>0</v>
      </c>
      <c r="AI170" s="586">
        <f t="shared" si="105"/>
        <v>0</v>
      </c>
      <c r="AJ170" s="586">
        <f t="shared" si="105"/>
        <v>0</v>
      </c>
      <c r="AK170" s="586">
        <f t="shared" si="105"/>
        <v>0</v>
      </c>
      <c r="AL170" s="586">
        <f t="shared" si="105"/>
        <v>0</v>
      </c>
      <c r="AM170" s="586">
        <f t="shared" si="105"/>
        <v>0</v>
      </c>
      <c r="AN170" s="586">
        <f t="shared" si="105"/>
        <v>0</v>
      </c>
      <c r="AO170" s="586">
        <f t="shared" si="105"/>
        <v>0</v>
      </c>
      <c r="AP170" s="586">
        <f t="shared" si="105"/>
        <v>0</v>
      </c>
      <c r="AQ170" s="586">
        <f t="shared" si="105"/>
        <v>0</v>
      </c>
      <c r="AR170" s="586">
        <f t="shared" si="105"/>
        <v>0</v>
      </c>
      <c r="AS170" s="586">
        <f t="shared" si="105"/>
        <v>0</v>
      </c>
      <c r="AT170" s="170"/>
      <c r="AU170" s="170"/>
      <c r="AV170" s="170"/>
      <c r="AW170" s="828"/>
      <c r="AX170" s="726"/>
    </row>
    <row r="171" spans="1:50" ht="15" x14ac:dyDescent="0.25">
      <c r="A171" s="170"/>
      <c r="B171" s="719"/>
      <c r="C171" s="170" t="str">
        <f t="shared" si="102"/>
        <v>860</v>
      </c>
      <c r="D171" s="170"/>
      <c r="E171" s="170"/>
      <c r="F171" s="170">
        <f>+Parameters!D89</f>
        <v>86</v>
      </c>
      <c r="G171" s="170">
        <f>+Parameters!E89</f>
        <v>0</v>
      </c>
      <c r="H171" s="586">
        <f t="shared" si="103"/>
        <v>0</v>
      </c>
      <c r="I171" s="170">
        <f>+Parameters!F89</f>
        <v>0</v>
      </c>
      <c r="J171" s="170"/>
      <c r="K171" s="170"/>
      <c r="L171" s="170"/>
      <c r="M171" s="730"/>
      <c r="N171" s="730"/>
      <c r="O171" s="730"/>
      <c r="P171" s="731"/>
      <c r="Q171" s="731"/>
      <c r="R171" s="730"/>
      <c r="S171" s="730"/>
      <c r="T171" s="723"/>
      <c r="U171" s="724"/>
      <c r="V171" s="725"/>
      <c r="W171" s="725"/>
      <c r="X171" s="723"/>
      <c r="Y171" s="723"/>
      <c r="Z171" s="723"/>
      <c r="AA171" s="726"/>
      <c r="AB171" s="726"/>
      <c r="AC171" s="170"/>
      <c r="AD171" s="586">
        <f t="shared" si="105"/>
        <v>0</v>
      </c>
      <c r="AE171" s="586">
        <f t="shared" si="105"/>
        <v>0</v>
      </c>
      <c r="AF171" s="586">
        <f t="shared" si="105"/>
        <v>0</v>
      </c>
      <c r="AG171" s="586">
        <f t="shared" si="105"/>
        <v>0</v>
      </c>
      <c r="AH171" s="586">
        <f t="shared" si="105"/>
        <v>0</v>
      </c>
      <c r="AI171" s="586">
        <f t="shared" si="105"/>
        <v>0</v>
      </c>
      <c r="AJ171" s="586">
        <f t="shared" si="105"/>
        <v>0</v>
      </c>
      <c r="AK171" s="586">
        <f t="shared" si="105"/>
        <v>0</v>
      </c>
      <c r="AL171" s="586">
        <f t="shared" si="105"/>
        <v>0</v>
      </c>
      <c r="AM171" s="586">
        <f t="shared" si="105"/>
        <v>0</v>
      </c>
      <c r="AN171" s="586">
        <f t="shared" si="105"/>
        <v>0</v>
      </c>
      <c r="AO171" s="586">
        <f t="shared" si="105"/>
        <v>0</v>
      </c>
      <c r="AP171" s="586">
        <f t="shared" si="105"/>
        <v>0</v>
      </c>
      <c r="AQ171" s="586">
        <f t="shared" si="105"/>
        <v>0</v>
      </c>
      <c r="AR171" s="586">
        <f t="shared" si="105"/>
        <v>0</v>
      </c>
      <c r="AS171" s="586">
        <f t="shared" si="105"/>
        <v>0</v>
      </c>
      <c r="AT171" s="170"/>
      <c r="AU171" s="170"/>
      <c r="AV171" s="170"/>
      <c r="AW171" s="828"/>
      <c r="AX171" s="726"/>
    </row>
    <row r="172" spans="1:50" ht="15" x14ac:dyDescent="0.25">
      <c r="A172" s="170"/>
      <c r="B172" s="719"/>
      <c r="C172" s="170" t="str">
        <f t="shared" si="102"/>
        <v>870</v>
      </c>
      <c r="D172" s="170"/>
      <c r="E172" s="170"/>
      <c r="F172" s="170">
        <f>+Parameters!D90</f>
        <v>87</v>
      </c>
      <c r="G172" s="170">
        <f>+Parameters!E90</f>
        <v>0</v>
      </c>
      <c r="H172" s="586">
        <f t="shared" si="103"/>
        <v>0</v>
      </c>
      <c r="I172" s="170">
        <f>+Parameters!F90</f>
        <v>0</v>
      </c>
      <c r="J172" s="170"/>
      <c r="K172" s="170"/>
      <c r="L172" s="170"/>
      <c r="M172" s="730"/>
      <c r="N172" s="730"/>
      <c r="O172" s="730"/>
      <c r="P172" s="731"/>
      <c r="Q172" s="731"/>
      <c r="R172" s="730"/>
      <c r="S172" s="730"/>
      <c r="T172" s="723"/>
      <c r="U172" s="724"/>
      <c r="V172" s="725"/>
      <c r="W172" s="725"/>
      <c r="X172" s="723"/>
      <c r="Y172" s="723"/>
      <c r="Z172" s="723"/>
      <c r="AA172" s="726"/>
      <c r="AB172" s="726"/>
      <c r="AC172" s="170"/>
      <c r="AD172" s="586">
        <f t="shared" si="105"/>
        <v>0</v>
      </c>
      <c r="AE172" s="586">
        <f t="shared" si="105"/>
        <v>0</v>
      </c>
      <c r="AF172" s="586">
        <f t="shared" si="105"/>
        <v>0</v>
      </c>
      <c r="AG172" s="586">
        <f t="shared" si="105"/>
        <v>0</v>
      </c>
      <c r="AH172" s="586">
        <f t="shared" si="105"/>
        <v>0</v>
      </c>
      <c r="AI172" s="586">
        <f t="shared" si="105"/>
        <v>0</v>
      </c>
      <c r="AJ172" s="586">
        <f t="shared" si="105"/>
        <v>0</v>
      </c>
      <c r="AK172" s="586">
        <f t="shared" si="105"/>
        <v>0</v>
      </c>
      <c r="AL172" s="586">
        <f t="shared" si="105"/>
        <v>0</v>
      </c>
      <c r="AM172" s="586">
        <f t="shared" si="105"/>
        <v>0</v>
      </c>
      <c r="AN172" s="586">
        <f t="shared" si="105"/>
        <v>0</v>
      </c>
      <c r="AO172" s="586">
        <f t="shared" si="105"/>
        <v>0</v>
      </c>
      <c r="AP172" s="586">
        <f t="shared" si="105"/>
        <v>0</v>
      </c>
      <c r="AQ172" s="586">
        <f t="shared" si="105"/>
        <v>0</v>
      </c>
      <c r="AR172" s="586">
        <f t="shared" si="105"/>
        <v>0</v>
      </c>
      <c r="AS172" s="586">
        <f t="shared" si="105"/>
        <v>0</v>
      </c>
      <c r="AT172" s="170"/>
      <c r="AU172" s="170"/>
      <c r="AV172" s="170"/>
      <c r="AW172" s="828"/>
      <c r="AX172" s="726"/>
    </row>
    <row r="173" spans="1:50" ht="15" x14ac:dyDescent="0.25">
      <c r="A173" s="170"/>
      <c r="B173" s="719"/>
      <c r="C173" s="170" t="str">
        <f t="shared" si="102"/>
        <v>880</v>
      </c>
      <c r="D173" s="170"/>
      <c r="E173" s="170"/>
      <c r="F173" s="170">
        <f>+Parameters!D91</f>
        <v>88</v>
      </c>
      <c r="G173" s="170">
        <f>+Parameters!E91</f>
        <v>0</v>
      </c>
      <c r="H173" s="586">
        <f t="shared" si="103"/>
        <v>0</v>
      </c>
      <c r="I173" s="170">
        <f>+Parameters!F91</f>
        <v>0</v>
      </c>
      <c r="J173" s="170"/>
      <c r="K173" s="170"/>
      <c r="L173" s="170"/>
      <c r="M173" s="730"/>
      <c r="N173" s="730"/>
      <c r="O173" s="730"/>
      <c r="P173" s="731"/>
      <c r="Q173" s="731"/>
      <c r="R173" s="730"/>
      <c r="S173" s="730"/>
      <c r="T173" s="723"/>
      <c r="U173" s="724"/>
      <c r="V173" s="725"/>
      <c r="W173" s="725"/>
      <c r="X173" s="723"/>
      <c r="Y173" s="723"/>
      <c r="Z173" s="723"/>
      <c r="AA173" s="726"/>
      <c r="AB173" s="726"/>
      <c r="AC173" s="170"/>
      <c r="AD173" s="586">
        <f t="shared" si="105"/>
        <v>0</v>
      </c>
      <c r="AE173" s="586">
        <f t="shared" si="105"/>
        <v>0</v>
      </c>
      <c r="AF173" s="586">
        <f t="shared" si="105"/>
        <v>0</v>
      </c>
      <c r="AG173" s="586">
        <f t="shared" si="105"/>
        <v>0</v>
      </c>
      <c r="AH173" s="586">
        <f t="shared" si="105"/>
        <v>0</v>
      </c>
      <c r="AI173" s="586">
        <f t="shared" si="105"/>
        <v>0</v>
      </c>
      <c r="AJ173" s="586">
        <f t="shared" si="105"/>
        <v>0</v>
      </c>
      <c r="AK173" s="586">
        <f t="shared" si="105"/>
        <v>0</v>
      </c>
      <c r="AL173" s="586">
        <f t="shared" si="105"/>
        <v>0</v>
      </c>
      <c r="AM173" s="586">
        <f t="shared" si="105"/>
        <v>0</v>
      </c>
      <c r="AN173" s="586">
        <f t="shared" si="105"/>
        <v>0</v>
      </c>
      <c r="AO173" s="586">
        <f t="shared" si="105"/>
        <v>0</v>
      </c>
      <c r="AP173" s="586">
        <f t="shared" si="105"/>
        <v>0</v>
      </c>
      <c r="AQ173" s="586">
        <f t="shared" si="105"/>
        <v>0</v>
      </c>
      <c r="AR173" s="586">
        <f t="shared" si="105"/>
        <v>0</v>
      </c>
      <c r="AS173" s="586">
        <f t="shared" si="105"/>
        <v>0</v>
      </c>
      <c r="AT173" s="170"/>
      <c r="AU173" s="170"/>
      <c r="AV173" s="170"/>
      <c r="AW173" s="828"/>
      <c r="AX173" s="726"/>
    </row>
    <row r="174" spans="1:50" ht="15" x14ac:dyDescent="0.25">
      <c r="A174" s="170"/>
      <c r="B174" s="719"/>
      <c r="C174" s="170" t="str">
        <f t="shared" si="102"/>
        <v>89ea</v>
      </c>
      <c r="D174" s="170"/>
      <c r="E174" s="170"/>
      <c r="F174" s="170">
        <f>+Parameters!D92</f>
        <v>89</v>
      </c>
      <c r="G174" s="170" t="str">
        <f>+Parameters!E92</f>
        <v>Misc. Protection and controls Eqt.</v>
      </c>
      <c r="H174" s="586">
        <f t="shared" si="103"/>
        <v>0</v>
      </c>
      <c r="I174" s="170" t="str">
        <f>+Parameters!F92</f>
        <v>ea</v>
      </c>
      <c r="J174" s="170"/>
      <c r="K174" s="170"/>
      <c r="L174" s="170"/>
      <c r="M174" s="730"/>
      <c r="N174" s="730"/>
      <c r="O174" s="730"/>
      <c r="P174" s="731"/>
      <c r="Q174" s="731"/>
      <c r="R174" s="730"/>
      <c r="S174" s="730"/>
      <c r="T174" s="723"/>
      <c r="U174" s="724"/>
      <c r="V174" s="725"/>
      <c r="W174" s="725"/>
      <c r="X174" s="723"/>
      <c r="Y174" s="723"/>
      <c r="Z174" s="723"/>
      <c r="AA174" s="726"/>
      <c r="AB174" s="726"/>
      <c r="AC174" s="170"/>
      <c r="AD174" s="586">
        <f t="shared" si="105"/>
        <v>0</v>
      </c>
      <c r="AE174" s="586">
        <f t="shared" si="105"/>
        <v>0</v>
      </c>
      <c r="AF174" s="586">
        <f t="shared" si="105"/>
        <v>0</v>
      </c>
      <c r="AG174" s="586">
        <f t="shared" si="105"/>
        <v>0</v>
      </c>
      <c r="AH174" s="586">
        <f t="shared" si="105"/>
        <v>0</v>
      </c>
      <c r="AI174" s="586">
        <f t="shared" si="105"/>
        <v>0</v>
      </c>
      <c r="AJ174" s="586">
        <f t="shared" si="105"/>
        <v>0</v>
      </c>
      <c r="AK174" s="586">
        <f t="shared" si="105"/>
        <v>0</v>
      </c>
      <c r="AL174" s="586">
        <f t="shared" si="105"/>
        <v>0</v>
      </c>
      <c r="AM174" s="586">
        <f t="shared" si="105"/>
        <v>0</v>
      </c>
      <c r="AN174" s="586">
        <f t="shared" si="105"/>
        <v>0</v>
      </c>
      <c r="AO174" s="586">
        <f t="shared" si="105"/>
        <v>0</v>
      </c>
      <c r="AP174" s="586">
        <f t="shared" si="105"/>
        <v>0</v>
      </c>
      <c r="AQ174" s="586">
        <f t="shared" si="105"/>
        <v>0</v>
      </c>
      <c r="AR174" s="586">
        <f t="shared" si="105"/>
        <v>0</v>
      </c>
      <c r="AS174" s="586">
        <f t="shared" si="105"/>
        <v>0</v>
      </c>
      <c r="AT174" s="170"/>
      <c r="AU174" s="170"/>
      <c r="AV174" s="170"/>
      <c r="AW174" s="828"/>
      <c r="AX174" s="726"/>
    </row>
    <row r="175" spans="1:50" ht="15" x14ac:dyDescent="0.25">
      <c r="A175" s="170"/>
      <c r="B175" s="719"/>
      <c r="C175" s="170" t="str">
        <f t="shared" si="102"/>
        <v>900</v>
      </c>
      <c r="D175" s="170"/>
      <c r="E175" s="170"/>
      <c r="F175" s="170">
        <f>+Parameters!D93</f>
        <v>90</v>
      </c>
      <c r="G175" s="170" t="str">
        <f>+Parameters!E93</f>
        <v>Environmental</v>
      </c>
      <c r="H175" s="586">
        <f t="shared" si="103"/>
        <v>0</v>
      </c>
      <c r="I175" s="170">
        <f>+Parameters!F93</f>
        <v>0</v>
      </c>
      <c r="J175" s="170"/>
      <c r="K175" s="170"/>
      <c r="L175" s="170"/>
      <c r="M175" s="730"/>
      <c r="N175" s="730"/>
      <c r="O175" s="730"/>
      <c r="P175" s="731"/>
      <c r="Q175" s="731"/>
      <c r="R175" s="730"/>
      <c r="S175" s="730"/>
      <c r="T175" s="723"/>
      <c r="U175" s="724"/>
      <c r="V175" s="725"/>
      <c r="W175" s="725"/>
      <c r="X175" s="723"/>
      <c r="Y175" s="723"/>
      <c r="Z175" s="723"/>
      <c r="AA175" s="726"/>
      <c r="AB175" s="726"/>
      <c r="AC175" s="170"/>
      <c r="AD175" s="586">
        <f t="shared" si="105"/>
        <v>0</v>
      </c>
      <c r="AE175" s="586">
        <f t="shared" si="105"/>
        <v>0</v>
      </c>
      <c r="AF175" s="586">
        <f t="shared" si="105"/>
        <v>0</v>
      </c>
      <c r="AG175" s="586">
        <f t="shared" si="105"/>
        <v>0</v>
      </c>
      <c r="AH175" s="586">
        <f t="shared" si="105"/>
        <v>0</v>
      </c>
      <c r="AI175" s="586">
        <f t="shared" si="105"/>
        <v>0</v>
      </c>
      <c r="AJ175" s="586">
        <f t="shared" si="105"/>
        <v>0</v>
      </c>
      <c r="AK175" s="586">
        <f t="shared" si="105"/>
        <v>0</v>
      </c>
      <c r="AL175" s="586">
        <f t="shared" si="105"/>
        <v>0</v>
      </c>
      <c r="AM175" s="586">
        <f t="shared" si="105"/>
        <v>0</v>
      </c>
      <c r="AN175" s="586">
        <f t="shared" si="105"/>
        <v>0</v>
      </c>
      <c r="AO175" s="586">
        <f t="shared" si="105"/>
        <v>0</v>
      </c>
      <c r="AP175" s="586">
        <f t="shared" si="105"/>
        <v>0</v>
      </c>
      <c r="AQ175" s="586">
        <f t="shared" si="105"/>
        <v>0</v>
      </c>
      <c r="AR175" s="586">
        <f t="shared" si="105"/>
        <v>0</v>
      </c>
      <c r="AS175" s="586">
        <f t="shared" si="105"/>
        <v>0</v>
      </c>
      <c r="AT175" s="170"/>
      <c r="AU175" s="170"/>
      <c r="AV175" s="170"/>
      <c r="AW175" s="828"/>
      <c r="AX175" s="726"/>
    </row>
    <row r="176" spans="1:50" ht="15" x14ac:dyDescent="0.25">
      <c r="A176" s="170"/>
      <c r="B176" s="719"/>
      <c r="C176" s="170" t="str">
        <f t="shared" si="102"/>
        <v>910</v>
      </c>
      <c r="D176" s="170"/>
      <c r="E176" s="170"/>
      <c r="F176" s="170">
        <f>+Parameters!D94</f>
        <v>91</v>
      </c>
      <c r="G176" s="170">
        <f>+Parameters!E94</f>
        <v>0</v>
      </c>
      <c r="H176" s="586">
        <f t="shared" si="103"/>
        <v>0</v>
      </c>
      <c r="I176" s="170">
        <f>+Parameters!F94</f>
        <v>0</v>
      </c>
      <c r="J176" s="170"/>
      <c r="K176" s="170"/>
      <c r="L176" s="170"/>
      <c r="M176" s="730"/>
      <c r="N176" s="730"/>
      <c r="O176" s="730"/>
      <c r="P176" s="731"/>
      <c r="Q176" s="731"/>
      <c r="R176" s="730"/>
      <c r="S176" s="730"/>
      <c r="T176" s="723"/>
      <c r="U176" s="724"/>
      <c r="V176" s="725"/>
      <c r="W176" s="725"/>
      <c r="X176" s="723"/>
      <c r="Y176" s="723"/>
      <c r="Z176" s="723"/>
      <c r="AA176" s="726"/>
      <c r="AB176" s="726"/>
      <c r="AC176" s="170"/>
      <c r="AD176" s="586">
        <f t="shared" ref="AD176:AS186" si="106">SUMIF($F$9:$F$82,$F176,AD$9:AD$82)</f>
        <v>0</v>
      </c>
      <c r="AE176" s="586">
        <f t="shared" si="106"/>
        <v>0</v>
      </c>
      <c r="AF176" s="586">
        <f t="shared" si="106"/>
        <v>0</v>
      </c>
      <c r="AG176" s="586">
        <f t="shared" si="106"/>
        <v>0</v>
      </c>
      <c r="AH176" s="586">
        <f t="shared" si="106"/>
        <v>0</v>
      </c>
      <c r="AI176" s="586">
        <f t="shared" si="106"/>
        <v>0</v>
      </c>
      <c r="AJ176" s="586">
        <f t="shared" si="106"/>
        <v>0</v>
      </c>
      <c r="AK176" s="586">
        <f t="shared" si="106"/>
        <v>0</v>
      </c>
      <c r="AL176" s="586">
        <f t="shared" si="106"/>
        <v>0</v>
      </c>
      <c r="AM176" s="586">
        <f t="shared" si="106"/>
        <v>0</v>
      </c>
      <c r="AN176" s="586">
        <f t="shared" si="106"/>
        <v>0</v>
      </c>
      <c r="AO176" s="586">
        <f t="shared" si="106"/>
        <v>0</v>
      </c>
      <c r="AP176" s="586">
        <f t="shared" si="106"/>
        <v>0</v>
      </c>
      <c r="AQ176" s="586">
        <f t="shared" si="106"/>
        <v>0</v>
      </c>
      <c r="AR176" s="586">
        <f t="shared" si="106"/>
        <v>0</v>
      </c>
      <c r="AS176" s="586">
        <f t="shared" si="106"/>
        <v>0</v>
      </c>
      <c r="AT176" s="170"/>
      <c r="AU176" s="170"/>
      <c r="AV176" s="170"/>
      <c r="AW176" s="828"/>
      <c r="AX176" s="726"/>
    </row>
    <row r="177" spans="1:50" ht="15" x14ac:dyDescent="0.25">
      <c r="A177" s="170"/>
      <c r="B177" s="719"/>
      <c r="C177" s="170" t="str">
        <f t="shared" si="102"/>
        <v>920</v>
      </c>
      <c r="D177" s="170"/>
      <c r="E177" s="170"/>
      <c r="F177" s="170">
        <f>+Parameters!D95</f>
        <v>92</v>
      </c>
      <c r="G177" s="170">
        <f>+Parameters!E95</f>
        <v>0</v>
      </c>
      <c r="H177" s="586">
        <f t="shared" si="103"/>
        <v>0</v>
      </c>
      <c r="I177" s="170">
        <f>+Parameters!F95</f>
        <v>0</v>
      </c>
      <c r="J177" s="170"/>
      <c r="K177" s="170"/>
      <c r="L177" s="170"/>
      <c r="M177" s="730"/>
      <c r="N177" s="730"/>
      <c r="O177" s="730"/>
      <c r="P177" s="731"/>
      <c r="Q177" s="731"/>
      <c r="R177" s="730"/>
      <c r="S177" s="730"/>
      <c r="T177" s="723"/>
      <c r="U177" s="724"/>
      <c r="V177" s="725"/>
      <c r="W177" s="725"/>
      <c r="X177" s="723"/>
      <c r="Y177" s="723"/>
      <c r="Z177" s="723"/>
      <c r="AA177" s="726"/>
      <c r="AB177" s="726"/>
      <c r="AC177" s="170"/>
      <c r="AD177" s="586">
        <f t="shared" si="106"/>
        <v>0</v>
      </c>
      <c r="AE177" s="586">
        <f t="shared" si="106"/>
        <v>0</v>
      </c>
      <c r="AF177" s="586">
        <f t="shared" si="106"/>
        <v>0</v>
      </c>
      <c r="AG177" s="586">
        <f t="shared" si="106"/>
        <v>0</v>
      </c>
      <c r="AH177" s="586">
        <f t="shared" si="106"/>
        <v>0</v>
      </c>
      <c r="AI177" s="586">
        <f t="shared" si="106"/>
        <v>0</v>
      </c>
      <c r="AJ177" s="586">
        <f t="shared" si="106"/>
        <v>0</v>
      </c>
      <c r="AK177" s="586">
        <f t="shared" si="106"/>
        <v>0</v>
      </c>
      <c r="AL177" s="586">
        <f t="shared" si="106"/>
        <v>0</v>
      </c>
      <c r="AM177" s="586">
        <f t="shared" si="106"/>
        <v>0</v>
      </c>
      <c r="AN177" s="586">
        <f t="shared" si="106"/>
        <v>0</v>
      </c>
      <c r="AO177" s="586">
        <f t="shared" si="106"/>
        <v>0</v>
      </c>
      <c r="AP177" s="586">
        <f t="shared" si="106"/>
        <v>0</v>
      </c>
      <c r="AQ177" s="586">
        <f t="shared" si="106"/>
        <v>0</v>
      </c>
      <c r="AR177" s="586">
        <f t="shared" si="106"/>
        <v>0</v>
      </c>
      <c r="AS177" s="586">
        <f t="shared" si="106"/>
        <v>0</v>
      </c>
      <c r="AT177" s="170"/>
      <c r="AU177" s="170"/>
      <c r="AV177" s="170"/>
      <c r="AW177" s="828"/>
      <c r="AX177" s="726"/>
    </row>
    <row r="178" spans="1:50" ht="15" x14ac:dyDescent="0.25">
      <c r="A178" s="170"/>
      <c r="B178" s="719"/>
      <c r="C178" s="170" t="str">
        <f t="shared" si="102"/>
        <v>930</v>
      </c>
      <c r="D178" s="170"/>
      <c r="E178" s="170"/>
      <c r="F178" s="170">
        <f>+Parameters!D96</f>
        <v>93</v>
      </c>
      <c r="G178" s="170">
        <f>+Parameters!E96</f>
        <v>0</v>
      </c>
      <c r="H178" s="586">
        <f t="shared" si="103"/>
        <v>0</v>
      </c>
      <c r="I178" s="170">
        <f>+Parameters!F96</f>
        <v>0</v>
      </c>
      <c r="J178" s="170"/>
      <c r="K178" s="170"/>
      <c r="L178" s="170"/>
      <c r="M178" s="730"/>
      <c r="N178" s="730"/>
      <c r="O178" s="730"/>
      <c r="P178" s="731"/>
      <c r="Q178" s="731"/>
      <c r="R178" s="730"/>
      <c r="S178" s="730"/>
      <c r="T178" s="723"/>
      <c r="U178" s="724"/>
      <c r="V178" s="725"/>
      <c r="W178" s="725"/>
      <c r="X178" s="723"/>
      <c r="Y178" s="723"/>
      <c r="Z178" s="723"/>
      <c r="AA178" s="726"/>
      <c r="AB178" s="726"/>
      <c r="AC178" s="170"/>
      <c r="AD178" s="586">
        <f t="shared" si="106"/>
        <v>0</v>
      </c>
      <c r="AE178" s="586">
        <f t="shared" si="106"/>
        <v>0</v>
      </c>
      <c r="AF178" s="586">
        <f t="shared" si="106"/>
        <v>0</v>
      </c>
      <c r="AG178" s="586">
        <f t="shared" si="106"/>
        <v>0</v>
      </c>
      <c r="AH178" s="586">
        <f t="shared" si="106"/>
        <v>0</v>
      </c>
      <c r="AI178" s="586">
        <f t="shared" si="106"/>
        <v>0</v>
      </c>
      <c r="AJ178" s="586">
        <f t="shared" si="106"/>
        <v>0</v>
      </c>
      <c r="AK178" s="586">
        <f t="shared" si="106"/>
        <v>0</v>
      </c>
      <c r="AL178" s="586">
        <f t="shared" si="106"/>
        <v>0</v>
      </c>
      <c r="AM178" s="586">
        <f t="shared" si="106"/>
        <v>0</v>
      </c>
      <c r="AN178" s="586">
        <f t="shared" si="106"/>
        <v>0</v>
      </c>
      <c r="AO178" s="586">
        <f t="shared" si="106"/>
        <v>0</v>
      </c>
      <c r="AP178" s="586">
        <f t="shared" si="106"/>
        <v>0</v>
      </c>
      <c r="AQ178" s="586">
        <f t="shared" si="106"/>
        <v>0</v>
      </c>
      <c r="AR178" s="586">
        <f t="shared" si="106"/>
        <v>0</v>
      </c>
      <c r="AS178" s="586">
        <f t="shared" si="106"/>
        <v>0</v>
      </c>
      <c r="AT178" s="170"/>
      <c r="AU178" s="170"/>
      <c r="AV178" s="170"/>
      <c r="AW178" s="828"/>
      <c r="AX178" s="726"/>
    </row>
    <row r="179" spans="1:50" ht="15" x14ac:dyDescent="0.25">
      <c r="A179" s="170"/>
      <c r="B179" s="719"/>
      <c r="C179" s="170" t="str">
        <f t="shared" si="102"/>
        <v>940</v>
      </c>
      <c r="D179" s="170"/>
      <c r="E179" s="170"/>
      <c r="F179" s="170">
        <f>+Parameters!D97</f>
        <v>94</v>
      </c>
      <c r="G179" s="170">
        <f>+Parameters!E97</f>
        <v>0</v>
      </c>
      <c r="H179" s="586">
        <f t="shared" si="103"/>
        <v>0</v>
      </c>
      <c r="I179" s="170">
        <f>+Parameters!F97</f>
        <v>0</v>
      </c>
      <c r="J179" s="170"/>
      <c r="K179" s="170"/>
      <c r="L179" s="170"/>
      <c r="M179" s="730"/>
      <c r="N179" s="730"/>
      <c r="O179" s="730"/>
      <c r="P179" s="731"/>
      <c r="Q179" s="731"/>
      <c r="R179" s="730"/>
      <c r="S179" s="730"/>
      <c r="T179" s="723"/>
      <c r="U179" s="724"/>
      <c r="V179" s="725"/>
      <c r="W179" s="725"/>
      <c r="X179" s="723"/>
      <c r="Y179" s="723"/>
      <c r="Z179" s="723"/>
      <c r="AA179" s="726"/>
      <c r="AB179" s="726"/>
      <c r="AC179" s="170"/>
      <c r="AD179" s="586">
        <f t="shared" si="106"/>
        <v>0</v>
      </c>
      <c r="AE179" s="586">
        <f t="shared" si="106"/>
        <v>0</v>
      </c>
      <c r="AF179" s="586">
        <f t="shared" si="106"/>
        <v>0</v>
      </c>
      <c r="AG179" s="586">
        <f t="shared" si="106"/>
        <v>0</v>
      </c>
      <c r="AH179" s="586">
        <f t="shared" si="106"/>
        <v>0</v>
      </c>
      <c r="AI179" s="586">
        <f t="shared" si="106"/>
        <v>0</v>
      </c>
      <c r="AJ179" s="586">
        <f t="shared" si="106"/>
        <v>0</v>
      </c>
      <c r="AK179" s="586">
        <f t="shared" si="106"/>
        <v>0</v>
      </c>
      <c r="AL179" s="586">
        <f t="shared" si="106"/>
        <v>0</v>
      </c>
      <c r="AM179" s="586">
        <f t="shared" si="106"/>
        <v>0</v>
      </c>
      <c r="AN179" s="586">
        <f t="shared" si="106"/>
        <v>0</v>
      </c>
      <c r="AO179" s="586">
        <f t="shared" si="106"/>
        <v>0</v>
      </c>
      <c r="AP179" s="586">
        <f t="shared" si="106"/>
        <v>0</v>
      </c>
      <c r="AQ179" s="586">
        <f t="shared" si="106"/>
        <v>0</v>
      </c>
      <c r="AR179" s="586">
        <f t="shared" si="106"/>
        <v>0</v>
      </c>
      <c r="AS179" s="586">
        <f t="shared" si="106"/>
        <v>0</v>
      </c>
      <c r="AT179" s="170"/>
      <c r="AU179" s="170"/>
      <c r="AV179" s="170"/>
      <c r="AW179" s="828"/>
      <c r="AX179" s="726"/>
    </row>
    <row r="180" spans="1:50" ht="15" x14ac:dyDescent="0.25">
      <c r="A180" s="170"/>
      <c r="B180" s="719"/>
      <c r="C180" s="170" t="str">
        <f t="shared" si="102"/>
        <v>950</v>
      </c>
      <c r="D180" s="170"/>
      <c r="E180" s="170"/>
      <c r="F180" s="170">
        <f>+Parameters!D98</f>
        <v>95</v>
      </c>
      <c r="G180" s="170">
        <f>+Parameters!E98</f>
        <v>0</v>
      </c>
      <c r="H180" s="586">
        <f t="shared" si="103"/>
        <v>0</v>
      </c>
      <c r="I180" s="170">
        <f>+Parameters!F98</f>
        <v>0</v>
      </c>
      <c r="J180" s="170"/>
      <c r="K180" s="170"/>
      <c r="L180" s="170"/>
      <c r="M180" s="730"/>
      <c r="N180" s="730"/>
      <c r="O180" s="730"/>
      <c r="P180" s="731"/>
      <c r="Q180" s="731"/>
      <c r="R180" s="730"/>
      <c r="S180" s="730"/>
      <c r="T180" s="723"/>
      <c r="U180" s="724"/>
      <c r="V180" s="725"/>
      <c r="W180" s="725"/>
      <c r="X180" s="723"/>
      <c r="Y180" s="723"/>
      <c r="Z180" s="723"/>
      <c r="AA180" s="726"/>
      <c r="AB180" s="726"/>
      <c r="AC180" s="170"/>
      <c r="AD180" s="586">
        <f t="shared" si="106"/>
        <v>0</v>
      </c>
      <c r="AE180" s="586">
        <f t="shared" si="106"/>
        <v>0</v>
      </c>
      <c r="AF180" s="586">
        <f t="shared" si="106"/>
        <v>0</v>
      </c>
      <c r="AG180" s="586">
        <f t="shared" si="106"/>
        <v>0</v>
      </c>
      <c r="AH180" s="586">
        <f t="shared" si="106"/>
        <v>0</v>
      </c>
      <c r="AI180" s="586">
        <f t="shared" si="106"/>
        <v>0</v>
      </c>
      <c r="AJ180" s="586">
        <f t="shared" si="106"/>
        <v>0</v>
      </c>
      <c r="AK180" s="586">
        <f t="shared" si="106"/>
        <v>0</v>
      </c>
      <c r="AL180" s="586">
        <f t="shared" si="106"/>
        <v>0</v>
      </c>
      <c r="AM180" s="586">
        <f t="shared" si="106"/>
        <v>0</v>
      </c>
      <c r="AN180" s="586">
        <f t="shared" si="106"/>
        <v>0</v>
      </c>
      <c r="AO180" s="586">
        <f t="shared" si="106"/>
        <v>0</v>
      </c>
      <c r="AP180" s="586">
        <f t="shared" si="106"/>
        <v>0</v>
      </c>
      <c r="AQ180" s="586">
        <f t="shared" si="106"/>
        <v>0</v>
      </c>
      <c r="AR180" s="586">
        <f t="shared" si="106"/>
        <v>0</v>
      </c>
      <c r="AS180" s="586">
        <f t="shared" si="106"/>
        <v>0</v>
      </c>
      <c r="AT180" s="170"/>
      <c r="AU180" s="170"/>
      <c r="AV180" s="170"/>
      <c r="AW180" s="828"/>
      <c r="AX180" s="726"/>
    </row>
    <row r="181" spans="1:50" ht="15" x14ac:dyDescent="0.25">
      <c r="A181" s="170"/>
      <c r="B181" s="719"/>
      <c r="C181" s="170" t="str">
        <f t="shared" si="102"/>
        <v>960</v>
      </c>
      <c r="D181" s="170"/>
      <c r="E181" s="170"/>
      <c r="F181" s="170">
        <f>+Parameters!D99</f>
        <v>96</v>
      </c>
      <c r="G181" s="170">
        <f>+Parameters!E99</f>
        <v>0</v>
      </c>
      <c r="H181" s="586">
        <f t="shared" si="103"/>
        <v>0</v>
      </c>
      <c r="I181" s="170">
        <f>+Parameters!F99</f>
        <v>0</v>
      </c>
      <c r="J181" s="170"/>
      <c r="K181" s="170"/>
      <c r="L181" s="170"/>
      <c r="M181" s="730"/>
      <c r="N181" s="730"/>
      <c r="O181" s="730"/>
      <c r="P181" s="731"/>
      <c r="Q181" s="731"/>
      <c r="R181" s="730"/>
      <c r="S181" s="730"/>
      <c r="T181" s="723"/>
      <c r="U181" s="724"/>
      <c r="V181" s="725"/>
      <c r="W181" s="725"/>
      <c r="X181" s="723"/>
      <c r="Y181" s="723"/>
      <c r="Z181" s="723"/>
      <c r="AA181" s="726"/>
      <c r="AB181" s="726"/>
      <c r="AC181" s="170"/>
      <c r="AD181" s="586">
        <f t="shared" si="106"/>
        <v>0</v>
      </c>
      <c r="AE181" s="586">
        <f t="shared" si="106"/>
        <v>0</v>
      </c>
      <c r="AF181" s="586">
        <f t="shared" si="106"/>
        <v>0</v>
      </c>
      <c r="AG181" s="586">
        <f t="shared" si="106"/>
        <v>0</v>
      </c>
      <c r="AH181" s="586">
        <f t="shared" si="106"/>
        <v>0</v>
      </c>
      <c r="AI181" s="586">
        <f t="shared" si="106"/>
        <v>0</v>
      </c>
      <c r="AJ181" s="586">
        <f t="shared" si="106"/>
        <v>0</v>
      </c>
      <c r="AK181" s="586">
        <f t="shared" si="106"/>
        <v>0</v>
      </c>
      <c r="AL181" s="586">
        <f t="shared" si="106"/>
        <v>0</v>
      </c>
      <c r="AM181" s="586">
        <f t="shared" si="106"/>
        <v>0</v>
      </c>
      <c r="AN181" s="586">
        <f t="shared" si="106"/>
        <v>0</v>
      </c>
      <c r="AO181" s="586">
        <f t="shared" si="106"/>
        <v>0</v>
      </c>
      <c r="AP181" s="586">
        <f t="shared" si="106"/>
        <v>0</v>
      </c>
      <c r="AQ181" s="586">
        <f t="shared" si="106"/>
        <v>0</v>
      </c>
      <c r="AR181" s="586">
        <f t="shared" si="106"/>
        <v>0</v>
      </c>
      <c r="AS181" s="586">
        <f t="shared" si="106"/>
        <v>0</v>
      </c>
      <c r="AT181" s="170"/>
      <c r="AU181" s="170"/>
      <c r="AV181" s="170"/>
      <c r="AW181" s="828"/>
      <c r="AX181" s="726"/>
    </row>
    <row r="182" spans="1:50" ht="15" x14ac:dyDescent="0.25">
      <c r="A182" s="170"/>
      <c r="B182" s="719"/>
      <c r="C182" s="170" t="str">
        <f t="shared" si="102"/>
        <v>970</v>
      </c>
      <c r="D182" s="170"/>
      <c r="E182" s="170"/>
      <c r="F182" s="170">
        <f>+Parameters!D100</f>
        <v>97</v>
      </c>
      <c r="G182" s="170">
        <f>+Parameters!E100</f>
        <v>0</v>
      </c>
      <c r="H182" s="586">
        <f t="shared" si="103"/>
        <v>0</v>
      </c>
      <c r="I182" s="170">
        <f>+Parameters!F100</f>
        <v>0</v>
      </c>
      <c r="J182" s="170"/>
      <c r="K182" s="170"/>
      <c r="L182" s="170"/>
      <c r="M182" s="730"/>
      <c r="N182" s="730"/>
      <c r="O182" s="730"/>
      <c r="P182" s="731"/>
      <c r="Q182" s="731"/>
      <c r="R182" s="730"/>
      <c r="S182" s="730"/>
      <c r="T182" s="723"/>
      <c r="U182" s="724"/>
      <c r="V182" s="725"/>
      <c r="W182" s="725"/>
      <c r="X182" s="723"/>
      <c r="Y182" s="723"/>
      <c r="Z182" s="723"/>
      <c r="AA182" s="726"/>
      <c r="AB182" s="726"/>
      <c r="AC182" s="170"/>
      <c r="AD182" s="586">
        <f t="shared" si="106"/>
        <v>0</v>
      </c>
      <c r="AE182" s="586">
        <f t="shared" si="106"/>
        <v>0</v>
      </c>
      <c r="AF182" s="586">
        <f t="shared" si="106"/>
        <v>0</v>
      </c>
      <c r="AG182" s="586">
        <f t="shared" si="106"/>
        <v>0</v>
      </c>
      <c r="AH182" s="586">
        <f t="shared" si="106"/>
        <v>0</v>
      </c>
      <c r="AI182" s="586">
        <f t="shared" si="106"/>
        <v>0</v>
      </c>
      <c r="AJ182" s="586">
        <f t="shared" si="106"/>
        <v>0</v>
      </c>
      <c r="AK182" s="586">
        <f t="shared" si="106"/>
        <v>0</v>
      </c>
      <c r="AL182" s="586">
        <f t="shared" si="106"/>
        <v>0</v>
      </c>
      <c r="AM182" s="586">
        <f t="shared" si="106"/>
        <v>0</v>
      </c>
      <c r="AN182" s="586">
        <f t="shared" si="106"/>
        <v>0</v>
      </c>
      <c r="AO182" s="586">
        <f t="shared" si="106"/>
        <v>0</v>
      </c>
      <c r="AP182" s="586">
        <f t="shared" si="106"/>
        <v>0</v>
      </c>
      <c r="AQ182" s="586">
        <f t="shared" si="106"/>
        <v>0</v>
      </c>
      <c r="AR182" s="586">
        <f t="shared" si="106"/>
        <v>0</v>
      </c>
      <c r="AS182" s="586">
        <f t="shared" si="106"/>
        <v>0</v>
      </c>
      <c r="AT182" s="170"/>
      <c r="AU182" s="170"/>
      <c r="AV182" s="170"/>
      <c r="AW182" s="828"/>
      <c r="AX182" s="726"/>
    </row>
    <row r="183" spans="1:50" ht="15" x14ac:dyDescent="0.25">
      <c r="A183" s="170"/>
      <c r="B183" s="719"/>
      <c r="C183" s="170" t="str">
        <f t="shared" si="102"/>
        <v>980</v>
      </c>
      <c r="D183" s="170"/>
      <c r="E183" s="170"/>
      <c r="F183" s="170">
        <f>+Parameters!D101</f>
        <v>98</v>
      </c>
      <c r="G183" s="170">
        <f>+Parameters!E101</f>
        <v>0</v>
      </c>
      <c r="H183" s="586">
        <f t="shared" si="103"/>
        <v>0</v>
      </c>
      <c r="I183" s="170">
        <f>+Parameters!F101</f>
        <v>0</v>
      </c>
      <c r="J183" s="170"/>
      <c r="K183" s="170"/>
      <c r="L183" s="170"/>
      <c r="M183" s="730"/>
      <c r="N183" s="730"/>
      <c r="O183" s="730"/>
      <c r="P183" s="731"/>
      <c r="Q183" s="731"/>
      <c r="R183" s="730"/>
      <c r="S183" s="730"/>
      <c r="T183" s="723"/>
      <c r="U183" s="724"/>
      <c r="V183" s="725"/>
      <c r="W183" s="725"/>
      <c r="X183" s="723"/>
      <c r="Y183" s="723"/>
      <c r="Z183" s="723"/>
      <c r="AA183" s="726"/>
      <c r="AB183" s="726"/>
      <c r="AC183" s="170"/>
      <c r="AD183" s="586">
        <f t="shared" si="106"/>
        <v>0</v>
      </c>
      <c r="AE183" s="586">
        <f t="shared" si="106"/>
        <v>0</v>
      </c>
      <c r="AF183" s="586">
        <f t="shared" si="106"/>
        <v>0</v>
      </c>
      <c r="AG183" s="586">
        <f t="shared" si="106"/>
        <v>0</v>
      </c>
      <c r="AH183" s="586">
        <f t="shared" si="106"/>
        <v>0</v>
      </c>
      <c r="AI183" s="586">
        <f t="shared" si="106"/>
        <v>0</v>
      </c>
      <c r="AJ183" s="586">
        <f t="shared" si="106"/>
        <v>0</v>
      </c>
      <c r="AK183" s="586">
        <f t="shared" si="106"/>
        <v>0</v>
      </c>
      <c r="AL183" s="586">
        <f t="shared" si="106"/>
        <v>0</v>
      </c>
      <c r="AM183" s="586">
        <f t="shared" si="106"/>
        <v>0</v>
      </c>
      <c r="AN183" s="586">
        <f t="shared" si="106"/>
        <v>0</v>
      </c>
      <c r="AO183" s="586">
        <f t="shared" si="106"/>
        <v>0</v>
      </c>
      <c r="AP183" s="586">
        <f t="shared" si="106"/>
        <v>0</v>
      </c>
      <c r="AQ183" s="586">
        <f t="shared" si="106"/>
        <v>0</v>
      </c>
      <c r="AR183" s="586">
        <f t="shared" si="106"/>
        <v>0</v>
      </c>
      <c r="AS183" s="586">
        <f t="shared" si="106"/>
        <v>0</v>
      </c>
      <c r="AT183" s="170"/>
      <c r="AU183" s="170"/>
      <c r="AV183" s="170"/>
      <c r="AW183" s="828"/>
      <c r="AX183" s="726"/>
    </row>
    <row r="184" spans="1:50" ht="15" x14ac:dyDescent="0.25">
      <c r="A184" s="170"/>
      <c r="B184" s="719"/>
      <c r="C184" s="170" t="str">
        <f t="shared" si="102"/>
        <v>990</v>
      </c>
      <c r="D184" s="170"/>
      <c r="E184" s="170"/>
      <c r="F184" s="170">
        <f>+Parameters!D102</f>
        <v>99</v>
      </c>
      <c r="G184" s="170" t="str">
        <f>+Parameters!E102</f>
        <v>REMOVALS</v>
      </c>
      <c r="H184" s="586">
        <f t="shared" si="103"/>
        <v>0</v>
      </c>
      <c r="I184" s="170">
        <f>+Parameters!F102</f>
        <v>0</v>
      </c>
      <c r="J184" s="170"/>
      <c r="K184" s="170"/>
      <c r="L184" s="170"/>
      <c r="M184" s="730"/>
      <c r="N184" s="730"/>
      <c r="O184" s="730"/>
      <c r="P184" s="731"/>
      <c r="Q184" s="731"/>
      <c r="R184" s="730"/>
      <c r="S184" s="730"/>
      <c r="T184" s="723"/>
      <c r="U184" s="724"/>
      <c r="V184" s="725"/>
      <c r="W184" s="725"/>
      <c r="X184" s="723"/>
      <c r="Y184" s="723"/>
      <c r="Z184" s="723"/>
      <c r="AA184" s="726"/>
      <c r="AB184" s="726"/>
      <c r="AC184" s="170"/>
      <c r="AD184" s="586">
        <f t="shared" si="106"/>
        <v>0</v>
      </c>
      <c r="AE184" s="586">
        <f t="shared" si="106"/>
        <v>0</v>
      </c>
      <c r="AF184" s="586">
        <f t="shared" si="106"/>
        <v>0</v>
      </c>
      <c r="AG184" s="586">
        <f t="shared" si="106"/>
        <v>0</v>
      </c>
      <c r="AH184" s="586">
        <f t="shared" si="106"/>
        <v>0</v>
      </c>
      <c r="AI184" s="586">
        <f t="shared" si="106"/>
        <v>0</v>
      </c>
      <c r="AJ184" s="586">
        <f t="shared" si="106"/>
        <v>0</v>
      </c>
      <c r="AK184" s="586">
        <f t="shared" si="106"/>
        <v>0</v>
      </c>
      <c r="AL184" s="586">
        <f t="shared" si="106"/>
        <v>0</v>
      </c>
      <c r="AM184" s="586">
        <f t="shared" si="106"/>
        <v>0</v>
      </c>
      <c r="AN184" s="586">
        <f t="shared" si="106"/>
        <v>0</v>
      </c>
      <c r="AO184" s="586">
        <f t="shared" si="106"/>
        <v>0</v>
      </c>
      <c r="AP184" s="586">
        <f t="shared" si="106"/>
        <v>0</v>
      </c>
      <c r="AQ184" s="586">
        <f t="shared" si="106"/>
        <v>0</v>
      </c>
      <c r="AR184" s="586">
        <f t="shared" si="106"/>
        <v>0</v>
      </c>
      <c r="AS184" s="586">
        <f t="shared" si="106"/>
        <v>0</v>
      </c>
      <c r="AT184" s="170"/>
      <c r="AU184" s="170"/>
      <c r="AV184" s="170"/>
      <c r="AW184" s="828"/>
      <c r="AX184" s="726"/>
    </row>
    <row r="185" spans="1:50" ht="15" x14ac:dyDescent="0.25">
      <c r="A185" s="170"/>
      <c r="B185" s="719"/>
      <c r="C185" s="170"/>
      <c r="D185" s="170"/>
      <c r="E185" s="170"/>
      <c r="F185" s="170">
        <f>+Parameters!D103</f>
        <v>0</v>
      </c>
      <c r="G185" s="170" t="str">
        <f>+Parameters!E103</f>
        <v>Uncoded amounts ( fix the coding before continuing)</v>
      </c>
      <c r="H185" s="586"/>
      <c r="I185" s="170">
        <f>+Parameters!F103</f>
        <v>0</v>
      </c>
      <c r="J185" s="170"/>
      <c r="K185" s="170"/>
      <c r="L185" s="170"/>
      <c r="M185" s="730"/>
      <c r="N185" s="730"/>
      <c r="O185" s="730"/>
      <c r="P185" s="731"/>
      <c r="Q185" s="731"/>
      <c r="R185" s="730"/>
      <c r="S185" s="730"/>
      <c r="T185" s="723"/>
      <c r="U185" s="724"/>
      <c r="V185" s="725"/>
      <c r="W185" s="725"/>
      <c r="X185" s="723"/>
      <c r="Y185" s="723"/>
      <c r="Z185" s="723"/>
      <c r="AA185" s="726"/>
      <c r="AB185" s="726"/>
      <c r="AC185" s="170"/>
      <c r="AD185" s="586">
        <f t="shared" si="106"/>
        <v>0</v>
      </c>
      <c r="AE185" s="586">
        <f t="shared" si="106"/>
        <v>0</v>
      </c>
      <c r="AF185" s="586">
        <f t="shared" si="106"/>
        <v>0</v>
      </c>
      <c r="AG185" s="586">
        <f t="shared" si="106"/>
        <v>0</v>
      </c>
      <c r="AH185" s="586">
        <f t="shared" si="106"/>
        <v>0</v>
      </c>
      <c r="AI185" s="586">
        <f t="shared" si="106"/>
        <v>0</v>
      </c>
      <c r="AJ185" s="586">
        <f t="shared" si="106"/>
        <v>0</v>
      </c>
      <c r="AK185" s="586">
        <f t="shared" si="106"/>
        <v>0</v>
      </c>
      <c r="AL185" s="586">
        <f t="shared" si="106"/>
        <v>0</v>
      </c>
      <c r="AM185" s="586">
        <f t="shared" si="106"/>
        <v>0</v>
      </c>
      <c r="AN185" s="586">
        <f t="shared" si="106"/>
        <v>0</v>
      </c>
      <c r="AO185" s="586">
        <f t="shared" si="106"/>
        <v>0</v>
      </c>
      <c r="AP185" s="586">
        <f t="shared" si="106"/>
        <v>0</v>
      </c>
      <c r="AQ185" s="586">
        <f t="shared" si="106"/>
        <v>0</v>
      </c>
      <c r="AR185" s="586">
        <f t="shared" si="106"/>
        <v>0</v>
      </c>
      <c r="AS185" s="586">
        <f t="shared" si="106"/>
        <v>0</v>
      </c>
      <c r="AT185" s="170"/>
      <c r="AU185" s="170"/>
      <c r="AV185" s="170"/>
      <c r="AW185" s="828"/>
      <c r="AX185" s="726"/>
    </row>
    <row r="186" spans="1:50" ht="15" x14ac:dyDescent="0.25">
      <c r="A186" s="170"/>
      <c r="B186" s="719"/>
      <c r="C186" s="170"/>
      <c r="D186" s="170"/>
      <c r="E186" s="170"/>
      <c r="F186" s="170">
        <f>+Parameters!D104</f>
        <v>0</v>
      </c>
      <c r="G186" s="170">
        <f>+Parameters!E104</f>
        <v>0</v>
      </c>
      <c r="H186" s="586"/>
      <c r="I186" s="170">
        <f>+Parameters!F104</f>
        <v>0</v>
      </c>
      <c r="J186" s="170"/>
      <c r="K186" s="170"/>
      <c r="L186" s="170"/>
      <c r="M186" s="730"/>
      <c r="N186" s="730"/>
      <c r="O186" s="730"/>
      <c r="P186" s="731"/>
      <c r="Q186" s="731"/>
      <c r="R186" s="730"/>
      <c r="S186" s="730"/>
      <c r="T186" s="723"/>
      <c r="U186" s="724"/>
      <c r="V186" s="725"/>
      <c r="W186" s="725"/>
      <c r="X186" s="723"/>
      <c r="Y186" s="723"/>
      <c r="Z186" s="723"/>
      <c r="AA186" s="726"/>
      <c r="AB186" s="726"/>
      <c r="AC186" s="170"/>
      <c r="AD186" s="586">
        <f t="shared" si="106"/>
        <v>0</v>
      </c>
      <c r="AE186" s="586">
        <f t="shared" si="106"/>
        <v>0</v>
      </c>
      <c r="AF186" s="586">
        <f t="shared" si="106"/>
        <v>0</v>
      </c>
      <c r="AG186" s="586">
        <f t="shared" si="106"/>
        <v>0</v>
      </c>
      <c r="AH186" s="586">
        <f t="shared" si="106"/>
        <v>0</v>
      </c>
      <c r="AI186" s="586">
        <f t="shared" si="106"/>
        <v>0</v>
      </c>
      <c r="AJ186" s="586">
        <f t="shared" si="106"/>
        <v>0</v>
      </c>
      <c r="AK186" s="586">
        <f t="shared" si="106"/>
        <v>0</v>
      </c>
      <c r="AL186" s="586">
        <f t="shared" si="106"/>
        <v>0</v>
      </c>
      <c r="AM186" s="586">
        <f t="shared" si="106"/>
        <v>0</v>
      </c>
      <c r="AN186" s="586">
        <f t="shared" si="106"/>
        <v>0</v>
      </c>
      <c r="AO186" s="586">
        <f t="shared" si="106"/>
        <v>0</v>
      </c>
      <c r="AP186" s="586">
        <f t="shared" si="106"/>
        <v>0</v>
      </c>
      <c r="AQ186" s="586">
        <f t="shared" si="106"/>
        <v>0</v>
      </c>
      <c r="AR186" s="586">
        <f t="shared" si="106"/>
        <v>0</v>
      </c>
      <c r="AS186" s="586">
        <f t="shared" si="106"/>
        <v>0</v>
      </c>
      <c r="AT186" s="170"/>
      <c r="AU186" s="170"/>
      <c r="AV186" s="170"/>
      <c r="AW186" s="828"/>
      <c r="AX186" s="726"/>
    </row>
    <row r="187" spans="1:50" ht="15" x14ac:dyDescent="0.25">
      <c r="A187" s="170"/>
      <c r="B187" s="719"/>
      <c r="C187" s="170"/>
      <c r="D187" s="170"/>
      <c r="E187" s="170"/>
      <c r="F187" s="170"/>
      <c r="G187" s="721"/>
      <c r="H187" s="170"/>
      <c r="I187" s="170"/>
      <c r="J187" s="170"/>
      <c r="K187" s="170"/>
      <c r="L187" s="170"/>
      <c r="M187" s="730"/>
      <c r="N187" s="730"/>
      <c r="O187" s="730"/>
      <c r="P187" s="731"/>
      <c r="Q187" s="731"/>
      <c r="R187" s="730"/>
      <c r="S187" s="730"/>
      <c r="T187" s="723"/>
      <c r="U187" s="724"/>
      <c r="V187" s="725"/>
      <c r="W187" s="725"/>
      <c r="X187" s="723"/>
      <c r="Y187" s="723"/>
      <c r="Z187" s="723"/>
      <c r="AA187" s="726"/>
      <c r="AB187" s="726"/>
      <c r="AC187" s="170"/>
      <c r="AD187" s="586"/>
      <c r="AE187" s="586"/>
      <c r="AF187" s="586"/>
      <c r="AG187" s="586"/>
      <c r="AH187" s="586"/>
      <c r="AI187" s="586"/>
      <c r="AJ187" s="586"/>
      <c r="AK187" s="586"/>
      <c r="AL187" s="586"/>
      <c r="AM187" s="586"/>
      <c r="AN187" s="586"/>
      <c r="AO187" s="586"/>
      <c r="AP187" s="586"/>
      <c r="AQ187" s="586"/>
      <c r="AR187" s="586"/>
      <c r="AS187" s="586"/>
      <c r="AT187" s="170"/>
      <c r="AU187" s="170"/>
      <c r="AV187" s="170"/>
      <c r="AW187" s="828"/>
      <c r="AX187" s="726"/>
    </row>
    <row r="188" spans="1:50" ht="15" x14ac:dyDescent="0.25">
      <c r="A188" s="170"/>
      <c r="B188" s="719"/>
      <c r="C188" s="170"/>
      <c r="D188" s="170"/>
      <c r="E188" s="170"/>
      <c r="F188" s="170"/>
      <c r="G188" s="721"/>
      <c r="H188" s="170"/>
      <c r="I188" s="170"/>
      <c r="J188" s="170"/>
      <c r="K188" s="170"/>
      <c r="L188" s="170"/>
      <c r="M188" s="730"/>
      <c r="N188" s="730"/>
      <c r="O188" s="730"/>
      <c r="P188" s="731"/>
      <c r="Q188" s="731"/>
      <c r="R188" s="730"/>
      <c r="S188" s="730"/>
      <c r="T188" s="723"/>
      <c r="U188" s="724"/>
      <c r="V188" s="725"/>
      <c r="W188" s="725"/>
      <c r="X188" s="723"/>
      <c r="Y188" s="723"/>
      <c r="Z188" s="723"/>
      <c r="AA188" s="726"/>
      <c r="AB188" s="726"/>
      <c r="AC188" s="170"/>
      <c r="AD188" s="586"/>
      <c r="AE188" s="586"/>
      <c r="AF188" s="586"/>
      <c r="AG188" s="586"/>
      <c r="AH188" s="586"/>
      <c r="AI188" s="586"/>
      <c r="AJ188" s="586"/>
      <c r="AK188" s="586"/>
      <c r="AL188" s="586"/>
      <c r="AM188" s="586"/>
      <c r="AN188" s="586"/>
      <c r="AO188" s="586"/>
      <c r="AP188" s="586"/>
      <c r="AQ188" s="586"/>
      <c r="AR188" s="586"/>
      <c r="AS188" s="586"/>
      <c r="AT188" s="170"/>
      <c r="AU188" s="170"/>
      <c r="AV188" s="170"/>
      <c r="AW188" s="828"/>
      <c r="AX188" s="726"/>
    </row>
    <row r="189" spans="1:50" ht="15" x14ac:dyDescent="0.25">
      <c r="A189" s="170"/>
      <c r="B189" s="719"/>
      <c r="C189" s="170"/>
      <c r="D189" s="170"/>
      <c r="E189" s="170"/>
      <c r="F189" s="170"/>
      <c r="G189" s="721"/>
      <c r="H189" s="170"/>
      <c r="I189" s="170"/>
      <c r="J189" s="170"/>
      <c r="K189" s="170"/>
      <c r="L189" s="170"/>
      <c r="M189" s="730"/>
      <c r="N189" s="730"/>
      <c r="O189" s="730"/>
      <c r="P189" s="731"/>
      <c r="Q189" s="731"/>
      <c r="R189" s="730"/>
      <c r="S189" s="730"/>
      <c r="T189" s="723"/>
      <c r="U189" s="724"/>
      <c r="V189" s="725"/>
      <c r="W189" s="725"/>
      <c r="X189" s="723"/>
      <c r="Y189" s="723"/>
      <c r="Z189" s="723"/>
      <c r="AA189" s="726"/>
      <c r="AB189" s="726"/>
      <c r="AC189" s="170"/>
      <c r="AD189" s="586"/>
      <c r="AE189" s="586"/>
      <c r="AF189" s="586"/>
      <c r="AG189" s="586"/>
      <c r="AH189" s="586"/>
      <c r="AI189" s="586"/>
      <c r="AJ189" s="586"/>
      <c r="AK189" s="586"/>
      <c r="AL189" s="586"/>
      <c r="AM189" s="586"/>
      <c r="AN189" s="586"/>
      <c r="AO189" s="586"/>
      <c r="AP189" s="586"/>
      <c r="AQ189" s="586"/>
      <c r="AR189" s="586"/>
      <c r="AS189" s="586"/>
      <c r="AT189" s="170"/>
      <c r="AU189" s="170"/>
      <c r="AV189" s="170"/>
      <c r="AW189" s="828"/>
      <c r="AX189" s="726"/>
    </row>
    <row r="190" spans="1:50" ht="15" x14ac:dyDescent="0.25">
      <c r="A190" s="170"/>
      <c r="B190" s="719"/>
      <c r="C190" s="170"/>
      <c r="D190" s="170"/>
      <c r="E190" s="170"/>
      <c r="F190" s="170"/>
      <c r="G190" s="721" t="s">
        <v>223</v>
      </c>
      <c r="H190" s="170"/>
      <c r="I190" s="170"/>
      <c r="J190" s="170"/>
      <c r="K190" s="170"/>
      <c r="L190" s="170"/>
      <c r="M190" s="730"/>
      <c r="N190" s="730"/>
      <c r="O190" s="730"/>
      <c r="P190" s="731"/>
      <c r="Q190" s="731"/>
      <c r="R190" s="730"/>
      <c r="S190" s="730"/>
      <c r="T190" s="723"/>
      <c r="U190" s="724"/>
      <c r="V190" s="725"/>
      <c r="W190" s="725"/>
      <c r="X190" s="723"/>
      <c r="Y190" s="723"/>
      <c r="Z190" s="723"/>
      <c r="AA190" s="726"/>
      <c r="AB190" s="726"/>
      <c r="AC190" s="170"/>
      <c r="AD190" s="586">
        <f t="shared" ref="AD190:AS190" si="107">SUM(AD86:AD189)</f>
        <v>0</v>
      </c>
      <c r="AE190" s="586">
        <f t="shared" si="107"/>
        <v>0</v>
      </c>
      <c r="AF190" s="586">
        <f t="shared" si="107"/>
        <v>0</v>
      </c>
      <c r="AG190" s="586">
        <f t="shared" si="107"/>
        <v>0</v>
      </c>
      <c r="AH190" s="586">
        <f t="shared" si="107"/>
        <v>0</v>
      </c>
      <c r="AI190" s="586">
        <f t="shared" si="107"/>
        <v>0</v>
      </c>
      <c r="AJ190" s="586">
        <f t="shared" si="107"/>
        <v>0</v>
      </c>
      <c r="AK190" s="586">
        <f t="shared" si="107"/>
        <v>0</v>
      </c>
      <c r="AL190" s="586">
        <f t="shared" si="107"/>
        <v>0</v>
      </c>
      <c r="AM190" s="586">
        <f t="shared" si="107"/>
        <v>0</v>
      </c>
      <c r="AN190" s="586">
        <f t="shared" si="107"/>
        <v>0</v>
      </c>
      <c r="AO190" s="586">
        <f t="shared" si="107"/>
        <v>0</v>
      </c>
      <c r="AP190" s="586">
        <f t="shared" si="107"/>
        <v>0</v>
      </c>
      <c r="AQ190" s="586">
        <f t="shared" si="107"/>
        <v>0</v>
      </c>
      <c r="AR190" s="586">
        <f t="shared" si="107"/>
        <v>0</v>
      </c>
      <c r="AS190" s="586">
        <f t="shared" si="107"/>
        <v>0</v>
      </c>
      <c r="AT190" s="170" t="s">
        <v>395</v>
      </c>
      <c r="AU190" s="170"/>
      <c r="AV190" s="170"/>
      <c r="AW190" s="828"/>
      <c r="AX190" s="726"/>
    </row>
    <row r="191" spans="1:50" ht="15" x14ac:dyDescent="0.25">
      <c r="A191" s="170"/>
      <c r="B191" s="719"/>
      <c r="C191" s="170"/>
      <c r="D191" s="170"/>
      <c r="E191" s="170"/>
      <c r="F191" s="170"/>
      <c r="G191" s="721"/>
      <c r="H191" s="170"/>
      <c r="I191" s="170"/>
      <c r="J191" s="170"/>
      <c r="K191" s="170"/>
      <c r="L191" s="170"/>
      <c r="M191" s="730"/>
      <c r="N191" s="730"/>
      <c r="O191" s="730"/>
      <c r="P191" s="731"/>
      <c r="Q191" s="731"/>
      <c r="R191" s="730"/>
      <c r="S191" s="730"/>
      <c r="T191" s="723"/>
      <c r="U191" s="724"/>
      <c r="V191" s="725"/>
      <c r="W191" s="725"/>
      <c r="X191" s="723"/>
      <c r="Y191" s="723"/>
      <c r="Z191" s="723"/>
      <c r="AA191" s="726"/>
      <c r="AB191" s="726"/>
      <c r="AC191" s="170"/>
      <c r="AD191" s="586"/>
      <c r="AE191" s="586"/>
      <c r="AF191" s="170"/>
      <c r="AG191" s="170"/>
      <c r="AH191" s="170"/>
      <c r="AI191" s="170"/>
      <c r="AJ191" s="170"/>
      <c r="AK191" s="170"/>
      <c r="AL191" s="170"/>
      <c r="AM191" s="170"/>
      <c r="AN191" s="170"/>
      <c r="AO191" s="170"/>
      <c r="AP191" s="170"/>
      <c r="AQ191" s="170"/>
      <c r="AR191" s="170"/>
      <c r="AS191" s="170"/>
      <c r="AT191" s="170"/>
      <c r="AU191" s="170"/>
      <c r="AV191" s="170"/>
      <c r="AW191" s="828"/>
      <c r="AX191" s="726"/>
    </row>
    <row r="192" spans="1:50" ht="15" x14ac:dyDescent="0.25">
      <c r="A192" s="170"/>
      <c r="B192" s="719"/>
      <c r="C192" s="170"/>
      <c r="D192" s="170"/>
      <c r="E192" s="170"/>
      <c r="F192" s="170"/>
      <c r="G192" s="721"/>
      <c r="H192" s="170"/>
      <c r="I192" s="170"/>
      <c r="J192" s="170"/>
      <c r="K192" s="170"/>
      <c r="L192" s="170"/>
      <c r="M192" s="730"/>
      <c r="N192" s="730"/>
      <c r="O192" s="730"/>
      <c r="P192" s="731"/>
      <c r="Q192" s="731"/>
      <c r="R192" s="730"/>
      <c r="S192" s="730"/>
      <c r="T192" s="723"/>
      <c r="U192" s="724"/>
      <c r="V192" s="725"/>
      <c r="W192" s="725"/>
      <c r="X192" s="723"/>
      <c r="Y192" s="723"/>
      <c r="Z192" s="723"/>
      <c r="AA192" s="726"/>
      <c r="AB192" s="726"/>
      <c r="AC192" s="170"/>
      <c r="AD192" s="586"/>
      <c r="AE192" s="586"/>
      <c r="AF192" s="170"/>
      <c r="AG192" s="170"/>
      <c r="AH192" s="170"/>
      <c r="AI192" s="170"/>
      <c r="AJ192" s="170"/>
      <c r="AK192" s="170"/>
      <c r="AL192" s="170"/>
      <c r="AM192" s="170"/>
      <c r="AN192" s="170"/>
      <c r="AO192" s="170"/>
      <c r="AP192" s="170"/>
      <c r="AQ192" s="170"/>
      <c r="AR192" s="170"/>
      <c r="AS192" s="170"/>
      <c r="AT192" s="170"/>
      <c r="AU192" s="170"/>
      <c r="AV192" s="170"/>
      <c r="AW192" s="170"/>
      <c r="AX192" s="170"/>
    </row>
    <row r="193" spans="1:50" ht="15" x14ac:dyDescent="0.25">
      <c r="A193" s="170"/>
      <c r="B193" s="719"/>
      <c r="C193" s="170"/>
      <c r="D193" s="170"/>
      <c r="E193" s="170"/>
      <c r="F193" s="170"/>
      <c r="G193" s="721"/>
      <c r="H193" s="170"/>
      <c r="I193" s="170"/>
      <c r="J193" s="170"/>
      <c r="K193" s="170"/>
      <c r="L193" s="170"/>
      <c r="M193" s="730"/>
      <c r="N193" s="730"/>
      <c r="O193" s="730"/>
      <c r="P193" s="731"/>
      <c r="Q193" s="731"/>
      <c r="R193" s="730"/>
      <c r="S193" s="730"/>
      <c r="T193" s="723"/>
      <c r="U193" s="724"/>
      <c r="V193" s="725"/>
      <c r="W193" s="725"/>
      <c r="X193" s="723"/>
      <c r="Y193" s="723"/>
      <c r="Z193" s="723"/>
      <c r="AA193" s="726"/>
      <c r="AB193" s="726"/>
      <c r="AC193" s="170"/>
      <c r="AD193" s="586"/>
      <c r="AE193" s="586"/>
      <c r="AF193" s="170"/>
      <c r="AG193" s="170"/>
      <c r="AH193" s="170"/>
      <c r="AI193" s="170"/>
      <c r="AJ193" s="170"/>
      <c r="AK193" s="170"/>
      <c r="AL193" s="170"/>
      <c r="AM193" s="170"/>
      <c r="AN193" s="170"/>
      <c r="AO193" s="170"/>
      <c r="AP193" s="170"/>
      <c r="AQ193" s="170"/>
      <c r="AR193" s="170"/>
      <c r="AS193" s="170"/>
      <c r="AT193" s="170"/>
      <c r="AU193" s="170"/>
      <c r="AV193" s="170"/>
      <c r="AW193" s="170"/>
      <c r="AX193" s="170"/>
    </row>
    <row r="194" spans="1:50" ht="15" x14ac:dyDescent="0.25">
      <c r="A194" s="170"/>
      <c r="B194" s="719"/>
      <c r="C194" s="170"/>
      <c r="D194" s="170"/>
      <c r="E194" s="170"/>
      <c r="F194" s="170"/>
      <c r="G194" s="721"/>
      <c r="H194" s="170"/>
      <c r="I194" s="170"/>
      <c r="J194" s="170"/>
      <c r="K194" s="170"/>
      <c r="L194" s="170"/>
      <c r="M194" s="730"/>
      <c r="N194" s="730"/>
      <c r="O194" s="730"/>
      <c r="P194" s="731"/>
      <c r="Q194" s="731"/>
      <c r="R194" s="730"/>
      <c r="S194" s="730"/>
      <c r="T194" s="723"/>
      <c r="U194" s="724"/>
      <c r="V194" s="725"/>
      <c r="W194" s="725"/>
      <c r="X194" s="723"/>
      <c r="Y194" s="723"/>
      <c r="Z194" s="723"/>
      <c r="AA194" s="726"/>
      <c r="AB194" s="726"/>
      <c r="AC194" s="170"/>
      <c r="AD194" s="586"/>
      <c r="AE194" s="586"/>
      <c r="AF194" s="170"/>
      <c r="AG194" s="170"/>
      <c r="AH194" s="170"/>
      <c r="AI194" s="170"/>
      <c r="AJ194" s="170"/>
      <c r="AK194" s="170"/>
      <c r="AL194" s="170"/>
      <c r="AM194" s="170"/>
      <c r="AN194" s="170"/>
      <c r="AO194" s="170"/>
      <c r="AP194" s="170"/>
      <c r="AQ194" s="170"/>
      <c r="AR194" s="170"/>
      <c r="AS194" s="170"/>
      <c r="AT194" s="170"/>
      <c r="AU194" s="170"/>
      <c r="AV194" s="170"/>
      <c r="AW194" s="170"/>
      <c r="AX194" s="170"/>
    </row>
    <row r="195" spans="1:50" ht="15" x14ac:dyDescent="0.25">
      <c r="A195" s="170"/>
      <c r="B195" s="719"/>
      <c r="C195" s="170"/>
      <c r="D195" s="170"/>
      <c r="E195" s="170"/>
      <c r="F195" s="170"/>
      <c r="G195" s="721"/>
      <c r="H195" s="170"/>
      <c r="I195" s="170"/>
      <c r="J195" s="170"/>
      <c r="K195" s="170"/>
      <c r="L195" s="170"/>
      <c r="M195" s="730"/>
      <c r="N195" s="730"/>
      <c r="O195" s="730"/>
      <c r="P195" s="731"/>
      <c r="Q195" s="731"/>
      <c r="R195" s="730"/>
      <c r="S195" s="730"/>
      <c r="T195" s="723"/>
      <c r="U195" s="724"/>
      <c r="V195" s="725"/>
      <c r="W195" s="725"/>
      <c r="X195" s="723"/>
      <c r="Y195" s="723"/>
      <c r="Z195" s="723"/>
      <c r="AA195" s="726"/>
      <c r="AB195" s="726"/>
      <c r="AC195" s="170"/>
      <c r="AD195" s="586"/>
      <c r="AE195" s="586"/>
      <c r="AF195" s="170"/>
      <c r="AG195" s="170"/>
      <c r="AH195" s="170"/>
      <c r="AI195" s="170"/>
      <c r="AJ195" s="170"/>
      <c r="AK195" s="170"/>
      <c r="AL195" s="170"/>
      <c r="AM195" s="170"/>
      <c r="AN195" s="170"/>
      <c r="AO195" s="170"/>
      <c r="AP195" s="170"/>
      <c r="AQ195" s="170"/>
      <c r="AR195" s="170"/>
      <c r="AS195" s="170"/>
      <c r="AT195" s="170"/>
      <c r="AU195" s="170"/>
      <c r="AV195" s="170"/>
      <c r="AW195" s="170"/>
      <c r="AX195" s="170"/>
    </row>
    <row r="196" spans="1:50" ht="15" x14ac:dyDescent="0.25">
      <c r="A196" s="170"/>
      <c r="B196" s="719"/>
      <c r="C196" s="170"/>
      <c r="D196" s="170"/>
      <c r="E196" s="170"/>
      <c r="F196" s="170"/>
      <c r="G196" s="721"/>
      <c r="H196" s="170"/>
      <c r="I196" s="170"/>
      <c r="J196" s="170"/>
      <c r="K196" s="170"/>
      <c r="L196" s="170"/>
      <c r="M196" s="730"/>
      <c r="N196" s="730"/>
      <c r="O196" s="730"/>
      <c r="P196" s="731"/>
      <c r="Q196" s="731"/>
      <c r="R196" s="730"/>
      <c r="S196" s="730"/>
      <c r="T196" s="723"/>
      <c r="U196" s="724"/>
      <c r="V196" s="725"/>
      <c r="W196" s="725"/>
      <c r="X196" s="723"/>
      <c r="Y196" s="723"/>
      <c r="Z196" s="723"/>
      <c r="AA196" s="726"/>
      <c r="AB196" s="726"/>
      <c r="AC196" s="170"/>
      <c r="AD196" s="586"/>
      <c r="AE196" s="586"/>
      <c r="AF196" s="170"/>
      <c r="AG196" s="170"/>
      <c r="AH196" s="170"/>
      <c r="AI196" s="170"/>
      <c r="AJ196" s="170"/>
      <c r="AK196" s="170"/>
      <c r="AL196" s="170"/>
      <c r="AM196" s="170"/>
      <c r="AN196" s="170"/>
      <c r="AO196" s="170"/>
      <c r="AP196" s="170"/>
      <c r="AQ196" s="170"/>
      <c r="AR196" s="170"/>
      <c r="AS196" s="170"/>
      <c r="AT196" s="170"/>
      <c r="AU196" s="170"/>
      <c r="AV196" s="170"/>
      <c r="AW196" s="170"/>
      <c r="AX196" s="170"/>
    </row>
    <row r="197" spans="1:50" ht="15" x14ac:dyDescent="0.25">
      <c r="A197" s="170"/>
      <c r="B197" s="719"/>
      <c r="C197" s="170"/>
      <c r="D197" s="170"/>
      <c r="E197" s="170"/>
      <c r="F197" s="170"/>
      <c r="G197" s="721"/>
      <c r="H197" s="170"/>
      <c r="I197" s="170"/>
      <c r="J197" s="170"/>
      <c r="K197" s="170"/>
      <c r="L197" s="170"/>
      <c r="M197" s="730"/>
      <c r="N197" s="730"/>
      <c r="O197" s="730"/>
      <c r="P197" s="731"/>
      <c r="Q197" s="731"/>
      <c r="R197" s="730"/>
      <c r="S197" s="730"/>
      <c r="T197" s="723"/>
      <c r="U197" s="724"/>
      <c r="V197" s="725"/>
      <c r="W197" s="725"/>
      <c r="X197" s="723"/>
      <c r="Y197" s="723"/>
      <c r="Z197" s="723"/>
      <c r="AA197" s="726"/>
      <c r="AB197" s="726"/>
      <c r="AC197" s="170"/>
      <c r="AD197" s="586"/>
      <c r="AE197" s="586"/>
      <c r="AF197" s="170"/>
      <c r="AG197" s="170"/>
      <c r="AH197" s="170"/>
      <c r="AI197" s="170"/>
      <c r="AJ197" s="170"/>
      <c r="AK197" s="170"/>
      <c r="AL197" s="170"/>
      <c r="AM197" s="170"/>
      <c r="AN197" s="170"/>
      <c r="AO197" s="170"/>
      <c r="AP197" s="170"/>
      <c r="AQ197" s="170"/>
      <c r="AR197" s="170"/>
      <c r="AS197" s="170"/>
      <c r="AT197" s="170"/>
      <c r="AU197" s="170"/>
      <c r="AV197" s="170"/>
      <c r="AW197" s="170"/>
      <c r="AX197" s="170"/>
    </row>
    <row r="198" spans="1:50" ht="15" x14ac:dyDescent="0.25">
      <c r="A198" s="170"/>
      <c r="B198" s="719"/>
      <c r="C198" s="170"/>
      <c r="D198" s="170"/>
      <c r="E198" s="170"/>
      <c r="F198" s="170"/>
      <c r="G198" s="721"/>
      <c r="H198" s="170"/>
      <c r="I198" s="170"/>
      <c r="J198" s="170"/>
      <c r="K198" s="170"/>
      <c r="L198" s="170"/>
      <c r="M198" s="730"/>
      <c r="N198" s="730"/>
      <c r="O198" s="730"/>
      <c r="P198" s="731"/>
      <c r="Q198" s="731"/>
      <c r="R198" s="730"/>
      <c r="S198" s="730"/>
      <c r="T198" s="723"/>
      <c r="U198" s="724"/>
      <c r="V198" s="725"/>
      <c r="W198" s="725"/>
      <c r="X198" s="723"/>
      <c r="Y198" s="723"/>
      <c r="Z198" s="723"/>
      <c r="AA198" s="726"/>
      <c r="AB198" s="726"/>
      <c r="AC198" s="170"/>
      <c r="AD198" s="586"/>
      <c r="AE198" s="586"/>
      <c r="AF198" s="170"/>
      <c r="AG198" s="170"/>
      <c r="AH198" s="170"/>
      <c r="AI198" s="170"/>
      <c r="AJ198" s="170"/>
      <c r="AK198" s="170"/>
      <c r="AL198" s="170"/>
      <c r="AM198" s="170"/>
      <c r="AN198" s="170"/>
      <c r="AO198" s="170"/>
      <c r="AP198" s="170"/>
      <c r="AQ198" s="170"/>
      <c r="AR198" s="170"/>
      <c r="AS198" s="170"/>
      <c r="AT198" s="170"/>
      <c r="AU198" s="170"/>
      <c r="AV198" s="170"/>
      <c r="AW198" s="170"/>
      <c r="AX198" s="170"/>
    </row>
    <row r="199" spans="1:50" ht="15" x14ac:dyDescent="0.25">
      <c r="A199" s="170"/>
      <c r="B199" s="719"/>
      <c r="C199" s="170"/>
      <c r="D199" s="170"/>
      <c r="E199" s="170"/>
      <c r="F199" s="170"/>
      <c r="G199" s="721"/>
      <c r="H199" s="170"/>
      <c r="I199" s="170"/>
      <c r="J199" s="170"/>
      <c r="K199" s="170"/>
      <c r="L199" s="170"/>
      <c r="M199" s="730"/>
      <c r="N199" s="730"/>
      <c r="O199" s="730"/>
      <c r="P199" s="731"/>
      <c r="Q199" s="731"/>
      <c r="R199" s="730"/>
      <c r="S199" s="730"/>
      <c r="T199" s="723"/>
      <c r="U199" s="724"/>
      <c r="V199" s="725"/>
      <c r="W199" s="725"/>
      <c r="X199" s="723"/>
      <c r="Y199" s="723"/>
      <c r="Z199" s="723"/>
      <c r="AA199" s="726"/>
      <c r="AB199" s="726"/>
      <c r="AC199" s="170"/>
      <c r="AD199" s="586"/>
      <c r="AE199" s="586"/>
      <c r="AF199" s="170"/>
      <c r="AG199" s="170"/>
      <c r="AH199" s="170"/>
      <c r="AI199" s="170"/>
      <c r="AJ199" s="170"/>
      <c r="AK199" s="170"/>
      <c r="AL199" s="170"/>
      <c r="AM199" s="170"/>
      <c r="AN199" s="170"/>
      <c r="AO199" s="170"/>
      <c r="AP199" s="170"/>
      <c r="AQ199" s="170"/>
      <c r="AR199" s="170"/>
      <c r="AS199" s="170"/>
      <c r="AT199" s="170"/>
      <c r="AU199" s="170"/>
      <c r="AV199" s="170"/>
      <c r="AW199" s="170"/>
      <c r="AX199" s="170"/>
    </row>
    <row r="200" spans="1:50" ht="15" x14ac:dyDescent="0.25">
      <c r="A200" s="170"/>
      <c r="B200" s="719"/>
      <c r="C200" s="170"/>
      <c r="D200" s="170"/>
      <c r="E200" s="170"/>
      <c r="F200" s="170"/>
      <c r="G200" s="721"/>
      <c r="H200" s="170"/>
      <c r="I200" s="170"/>
      <c r="J200" s="170"/>
      <c r="K200" s="170"/>
      <c r="L200" s="170"/>
      <c r="M200" s="730"/>
      <c r="N200" s="730"/>
      <c r="O200" s="730"/>
      <c r="P200" s="731"/>
      <c r="Q200" s="731"/>
      <c r="R200" s="730"/>
      <c r="S200" s="730"/>
      <c r="T200" s="723"/>
      <c r="U200" s="724"/>
      <c r="V200" s="725"/>
      <c r="W200" s="725"/>
      <c r="X200" s="723"/>
      <c r="Y200" s="723"/>
      <c r="Z200" s="723"/>
      <c r="AA200" s="726"/>
      <c r="AB200" s="726"/>
      <c r="AC200" s="170"/>
      <c r="AD200" s="586"/>
      <c r="AE200" s="586"/>
      <c r="AF200" s="170"/>
      <c r="AG200" s="170"/>
      <c r="AH200" s="170"/>
      <c r="AI200" s="170"/>
      <c r="AJ200" s="170"/>
      <c r="AK200" s="170"/>
      <c r="AL200" s="170"/>
      <c r="AM200" s="170"/>
      <c r="AN200" s="170"/>
      <c r="AO200" s="170"/>
      <c r="AP200" s="170"/>
      <c r="AQ200" s="170"/>
      <c r="AR200" s="170"/>
      <c r="AS200" s="170"/>
      <c r="AT200" s="170"/>
      <c r="AU200" s="170"/>
      <c r="AV200" s="170"/>
      <c r="AW200" s="170"/>
      <c r="AX200" s="170"/>
    </row>
    <row r="201" spans="1:50" ht="15" x14ac:dyDescent="0.25">
      <c r="A201" s="170"/>
      <c r="B201" s="719"/>
      <c r="C201" s="170"/>
      <c r="D201" s="170"/>
      <c r="E201" s="170"/>
      <c r="F201" s="170"/>
      <c r="G201" s="721"/>
      <c r="H201" s="170"/>
      <c r="I201" s="170"/>
      <c r="J201" s="170"/>
      <c r="K201" s="170"/>
      <c r="L201" s="170"/>
      <c r="M201" s="730"/>
      <c r="N201" s="730"/>
      <c r="O201" s="730"/>
      <c r="P201" s="731"/>
      <c r="Q201" s="731"/>
      <c r="R201" s="730"/>
      <c r="S201" s="730"/>
      <c r="T201" s="723"/>
      <c r="U201" s="724"/>
      <c r="V201" s="725"/>
      <c r="W201" s="725"/>
      <c r="X201" s="723"/>
      <c r="Y201" s="723"/>
      <c r="Z201" s="723"/>
      <c r="AA201" s="726"/>
      <c r="AB201" s="726"/>
      <c r="AC201" s="170"/>
      <c r="AD201" s="586"/>
      <c r="AE201" s="586"/>
      <c r="AF201" s="170"/>
      <c r="AG201" s="170"/>
      <c r="AH201" s="170"/>
      <c r="AI201" s="170"/>
      <c r="AJ201" s="170"/>
      <c r="AK201" s="170"/>
      <c r="AL201" s="170"/>
      <c r="AM201" s="170"/>
      <c r="AN201" s="170"/>
      <c r="AO201" s="170"/>
      <c r="AP201" s="170"/>
      <c r="AQ201" s="170"/>
      <c r="AR201" s="170"/>
      <c r="AS201" s="170"/>
      <c r="AT201" s="170"/>
      <c r="AU201" s="170"/>
      <c r="AV201" s="170"/>
      <c r="AW201" s="170"/>
      <c r="AX201" s="170"/>
    </row>
    <row r="202" spans="1:50" ht="15" x14ac:dyDescent="0.25">
      <c r="A202" s="170"/>
      <c r="B202" s="719"/>
      <c r="C202" s="170"/>
      <c r="D202" s="170"/>
      <c r="E202" s="170"/>
      <c r="F202" s="170"/>
      <c r="G202" s="721"/>
      <c r="H202" s="170"/>
      <c r="I202" s="170"/>
      <c r="J202" s="170"/>
      <c r="K202" s="170"/>
      <c r="L202" s="170"/>
      <c r="M202" s="730"/>
      <c r="N202" s="730"/>
      <c r="O202" s="730"/>
      <c r="P202" s="731"/>
      <c r="Q202" s="731"/>
      <c r="R202" s="730"/>
      <c r="S202" s="730"/>
      <c r="T202" s="723"/>
      <c r="U202" s="724"/>
      <c r="V202" s="725"/>
      <c r="W202" s="725"/>
      <c r="X202" s="723"/>
      <c r="Y202" s="723"/>
      <c r="Z202" s="723"/>
      <c r="AA202" s="726"/>
      <c r="AB202" s="726"/>
      <c r="AC202" s="170"/>
      <c r="AD202" s="586"/>
      <c r="AE202" s="586"/>
      <c r="AF202" s="170"/>
      <c r="AG202" s="170"/>
      <c r="AH202" s="170"/>
      <c r="AI202" s="170"/>
      <c r="AJ202" s="170"/>
      <c r="AK202" s="170"/>
      <c r="AL202" s="170"/>
      <c r="AM202" s="170"/>
      <c r="AN202" s="170"/>
      <c r="AO202" s="170"/>
      <c r="AP202" s="170"/>
      <c r="AQ202" s="170"/>
      <c r="AR202" s="170"/>
      <c r="AS202" s="170"/>
      <c r="AT202" s="170"/>
      <c r="AU202" s="170"/>
      <c r="AV202" s="170"/>
      <c r="AW202" s="170"/>
      <c r="AX202" s="170"/>
    </row>
    <row r="203" spans="1:50" ht="15" x14ac:dyDescent="0.25">
      <c r="A203" s="170"/>
      <c r="B203" s="719"/>
      <c r="C203" s="170"/>
      <c r="D203" s="170"/>
      <c r="E203" s="170"/>
      <c r="F203" s="170"/>
      <c r="G203" s="721"/>
      <c r="H203" s="170"/>
      <c r="I203" s="170"/>
      <c r="J203" s="170"/>
      <c r="K203" s="170"/>
      <c r="L203" s="170"/>
      <c r="M203" s="730"/>
      <c r="N203" s="730"/>
      <c r="O203" s="730"/>
      <c r="P203" s="731"/>
      <c r="Q203" s="731"/>
      <c r="R203" s="730"/>
      <c r="S203" s="730"/>
      <c r="T203" s="723"/>
      <c r="U203" s="724"/>
      <c r="V203" s="725"/>
      <c r="W203" s="725"/>
      <c r="X203" s="723"/>
      <c r="Y203" s="723"/>
      <c r="Z203" s="723"/>
      <c r="AA203" s="726"/>
      <c r="AB203" s="726"/>
      <c r="AC203" s="170"/>
      <c r="AD203" s="586"/>
      <c r="AE203" s="586"/>
      <c r="AF203" s="170"/>
      <c r="AG203" s="170"/>
      <c r="AH203" s="170"/>
      <c r="AI203" s="170"/>
      <c r="AJ203" s="170"/>
      <c r="AK203" s="170"/>
      <c r="AL203" s="170"/>
      <c r="AM203" s="170"/>
      <c r="AN203" s="170"/>
      <c r="AO203" s="170"/>
      <c r="AP203" s="170"/>
      <c r="AQ203" s="170"/>
      <c r="AR203" s="170"/>
      <c r="AS203" s="170"/>
      <c r="AT203" s="170"/>
      <c r="AU203" s="170"/>
      <c r="AV203" s="170"/>
      <c r="AW203" s="170"/>
      <c r="AX203" s="170"/>
    </row>
    <row r="204" spans="1:50" ht="15" x14ac:dyDescent="0.25">
      <c r="A204" s="170"/>
      <c r="B204" s="719"/>
      <c r="C204" s="170"/>
      <c r="D204" s="170"/>
      <c r="E204" s="170"/>
      <c r="F204" s="170"/>
      <c r="G204" s="721"/>
      <c r="H204" s="170"/>
      <c r="I204" s="170"/>
      <c r="J204" s="170"/>
      <c r="K204" s="170"/>
      <c r="L204" s="170"/>
      <c r="M204" s="730"/>
      <c r="N204" s="730"/>
      <c r="O204" s="730"/>
      <c r="P204" s="731"/>
      <c r="Q204" s="731"/>
      <c r="R204" s="730"/>
      <c r="S204" s="730"/>
      <c r="T204" s="723"/>
      <c r="U204" s="724"/>
      <c r="V204" s="725"/>
      <c r="W204" s="725"/>
      <c r="X204" s="723"/>
      <c r="Y204" s="723"/>
      <c r="Z204" s="723"/>
      <c r="AA204" s="726"/>
      <c r="AB204" s="726"/>
      <c r="AC204" s="170"/>
      <c r="AD204" s="586"/>
      <c r="AE204" s="586"/>
      <c r="AF204" s="170"/>
      <c r="AG204" s="170"/>
      <c r="AH204" s="170"/>
      <c r="AI204" s="170"/>
      <c r="AJ204" s="170"/>
      <c r="AK204" s="170"/>
      <c r="AL204" s="170"/>
      <c r="AM204" s="170"/>
      <c r="AN204" s="170"/>
      <c r="AO204" s="170"/>
      <c r="AP204" s="170"/>
      <c r="AQ204" s="170"/>
      <c r="AR204" s="170"/>
      <c r="AS204" s="170"/>
      <c r="AT204" s="170"/>
      <c r="AU204" s="170"/>
      <c r="AV204" s="170"/>
      <c r="AW204" s="170"/>
      <c r="AX204" s="170"/>
    </row>
    <row r="205" spans="1:50" ht="15" x14ac:dyDescent="0.25">
      <c r="A205" s="170"/>
      <c r="B205" s="719"/>
      <c r="C205" s="170"/>
      <c r="D205" s="170"/>
      <c r="E205" s="170"/>
      <c r="F205" s="170"/>
      <c r="G205" s="721"/>
      <c r="H205" s="170"/>
      <c r="I205" s="170"/>
      <c r="J205" s="170"/>
      <c r="K205" s="170"/>
      <c r="L205" s="170"/>
      <c r="M205" s="730"/>
      <c r="N205" s="730"/>
      <c r="O205" s="730"/>
      <c r="P205" s="731"/>
      <c r="Q205" s="731"/>
      <c r="R205" s="730"/>
      <c r="S205" s="730"/>
      <c r="T205" s="723"/>
      <c r="U205" s="724"/>
      <c r="V205" s="725"/>
      <c r="W205" s="725"/>
      <c r="X205" s="723"/>
      <c r="Y205" s="723"/>
      <c r="Z205" s="723"/>
      <c r="AA205" s="726"/>
      <c r="AB205" s="726"/>
      <c r="AC205" s="170"/>
      <c r="AD205" s="586"/>
      <c r="AE205" s="586"/>
      <c r="AF205" s="170"/>
      <c r="AG205" s="170"/>
      <c r="AH205" s="170"/>
      <c r="AI205" s="170"/>
      <c r="AJ205" s="170"/>
      <c r="AK205" s="170"/>
      <c r="AL205" s="170"/>
      <c r="AM205" s="170"/>
      <c r="AN205" s="170"/>
      <c r="AO205" s="170"/>
      <c r="AP205" s="170"/>
      <c r="AQ205" s="170"/>
      <c r="AR205" s="170"/>
      <c r="AS205" s="170"/>
      <c r="AT205" s="170"/>
      <c r="AU205" s="170"/>
      <c r="AV205" s="170"/>
      <c r="AW205" s="170"/>
      <c r="AX205" s="170"/>
    </row>
    <row r="206" spans="1:50" ht="15" x14ac:dyDescent="0.25">
      <c r="A206" s="170"/>
      <c r="B206" s="719"/>
      <c r="C206" s="170"/>
      <c r="D206" s="170"/>
      <c r="E206" s="170"/>
      <c r="F206" s="170"/>
      <c r="G206" s="721"/>
      <c r="H206" s="170"/>
      <c r="I206" s="170"/>
      <c r="J206" s="170"/>
      <c r="K206" s="170"/>
      <c r="L206" s="170"/>
      <c r="M206" s="730"/>
      <c r="N206" s="730"/>
      <c r="O206" s="730"/>
      <c r="P206" s="731"/>
      <c r="Q206" s="731"/>
      <c r="R206" s="730"/>
      <c r="S206" s="730"/>
      <c r="T206" s="723"/>
      <c r="U206" s="724"/>
      <c r="V206" s="725"/>
      <c r="W206" s="725"/>
      <c r="X206" s="723"/>
      <c r="Y206" s="723"/>
      <c r="Z206" s="723"/>
      <c r="AA206" s="726"/>
      <c r="AB206" s="726"/>
      <c r="AC206" s="170"/>
      <c r="AD206" s="586"/>
      <c r="AE206" s="586"/>
      <c r="AF206" s="170"/>
      <c r="AG206" s="170"/>
      <c r="AH206" s="170"/>
      <c r="AI206" s="170"/>
      <c r="AJ206" s="170"/>
      <c r="AK206" s="170"/>
      <c r="AL206" s="170"/>
      <c r="AM206" s="170"/>
      <c r="AN206" s="170"/>
      <c r="AO206" s="170"/>
      <c r="AP206" s="170"/>
      <c r="AQ206" s="170"/>
      <c r="AR206" s="170"/>
      <c r="AS206" s="170"/>
      <c r="AT206" s="170"/>
      <c r="AU206" s="170"/>
      <c r="AV206" s="170"/>
      <c r="AW206" s="170"/>
      <c r="AX206" s="170"/>
    </row>
    <row r="207" spans="1:50" ht="15" x14ac:dyDescent="0.25">
      <c r="A207" s="170"/>
      <c r="B207" s="719"/>
      <c r="C207" s="170"/>
      <c r="D207" s="170"/>
      <c r="E207" s="170"/>
      <c r="F207" s="170"/>
      <c r="G207" s="721"/>
      <c r="H207" s="170"/>
      <c r="I207" s="170"/>
      <c r="J207" s="170"/>
      <c r="K207" s="170"/>
      <c r="L207" s="170"/>
      <c r="M207" s="730"/>
      <c r="N207" s="730"/>
      <c r="O207" s="730"/>
      <c r="P207" s="731"/>
      <c r="Q207" s="731"/>
      <c r="R207" s="730"/>
      <c r="S207" s="730"/>
      <c r="T207" s="723"/>
      <c r="U207" s="724"/>
      <c r="V207" s="725"/>
      <c r="W207" s="725"/>
      <c r="X207" s="723"/>
      <c r="Y207" s="723"/>
      <c r="Z207" s="723"/>
      <c r="AA207" s="726"/>
      <c r="AB207" s="726"/>
      <c r="AC207" s="170"/>
      <c r="AD207" s="586"/>
      <c r="AE207" s="586"/>
      <c r="AF207" s="170"/>
      <c r="AG207" s="170"/>
      <c r="AH207" s="170"/>
      <c r="AI207" s="170"/>
      <c r="AJ207" s="170"/>
      <c r="AK207" s="170"/>
      <c r="AL207" s="170"/>
      <c r="AM207" s="170"/>
      <c r="AN207" s="170"/>
      <c r="AO207" s="170"/>
      <c r="AP207" s="170"/>
      <c r="AQ207" s="170"/>
      <c r="AR207" s="170"/>
      <c r="AS207" s="170"/>
      <c r="AT207" s="170"/>
      <c r="AU207" s="170"/>
      <c r="AV207" s="170"/>
      <c r="AW207" s="170"/>
      <c r="AX207" s="170"/>
    </row>
    <row r="208" spans="1:50" ht="15" x14ac:dyDescent="0.25">
      <c r="A208" s="170"/>
      <c r="B208" s="719"/>
      <c r="C208" s="170"/>
      <c r="D208" s="170"/>
      <c r="E208" s="170"/>
      <c r="F208" s="170"/>
      <c r="G208" s="721"/>
      <c r="H208" s="170"/>
      <c r="I208" s="170"/>
      <c r="J208" s="170"/>
      <c r="K208" s="170"/>
      <c r="L208" s="170"/>
      <c r="M208" s="730"/>
      <c r="N208" s="730"/>
      <c r="O208" s="730"/>
      <c r="P208" s="731"/>
      <c r="Q208" s="731"/>
      <c r="R208" s="730"/>
      <c r="S208" s="730"/>
      <c r="T208" s="723"/>
      <c r="U208" s="724"/>
      <c r="V208" s="725"/>
      <c r="W208" s="725"/>
      <c r="X208" s="723"/>
      <c r="Y208" s="723"/>
      <c r="Z208" s="723"/>
      <c r="AA208" s="726"/>
      <c r="AB208" s="726"/>
      <c r="AC208" s="170"/>
      <c r="AD208" s="586"/>
      <c r="AE208" s="586"/>
      <c r="AF208" s="170"/>
      <c r="AG208" s="170"/>
      <c r="AH208" s="170"/>
      <c r="AI208" s="170"/>
      <c r="AJ208" s="170"/>
      <c r="AK208" s="170"/>
      <c r="AL208" s="170"/>
      <c r="AM208" s="170"/>
      <c r="AN208" s="170"/>
      <c r="AO208" s="170"/>
      <c r="AP208" s="170"/>
      <c r="AQ208" s="170"/>
      <c r="AR208" s="170"/>
      <c r="AS208" s="170"/>
      <c r="AT208" s="170"/>
      <c r="AU208" s="170"/>
      <c r="AV208" s="170"/>
      <c r="AW208" s="170"/>
      <c r="AX208" s="170"/>
    </row>
    <row r="209" spans="1:50" ht="15" x14ac:dyDescent="0.25">
      <c r="A209" s="170"/>
      <c r="B209" s="719"/>
      <c r="C209" s="170"/>
      <c r="D209" s="170"/>
      <c r="E209" s="170"/>
      <c r="F209" s="170"/>
      <c r="G209" s="721"/>
      <c r="H209" s="170"/>
      <c r="I209" s="170"/>
      <c r="J209" s="170"/>
      <c r="K209" s="170"/>
      <c r="L209" s="170"/>
      <c r="M209" s="730"/>
      <c r="N209" s="730"/>
      <c r="O209" s="730"/>
      <c r="P209" s="731"/>
      <c r="Q209" s="731"/>
      <c r="R209" s="730"/>
      <c r="S209" s="730"/>
      <c r="T209" s="723"/>
      <c r="U209" s="724"/>
      <c r="V209" s="725"/>
      <c r="W209" s="725"/>
      <c r="X209" s="723"/>
      <c r="Y209" s="723"/>
      <c r="Z209" s="723"/>
      <c r="AA209" s="726"/>
      <c r="AB209" s="726"/>
      <c r="AC209" s="170"/>
      <c r="AD209" s="586"/>
      <c r="AE209" s="586"/>
      <c r="AF209" s="170"/>
      <c r="AG209" s="170"/>
      <c r="AH209" s="170"/>
      <c r="AI209" s="170"/>
      <c r="AJ209" s="170"/>
      <c r="AK209" s="170"/>
      <c r="AL209" s="170"/>
      <c r="AM209" s="170"/>
      <c r="AN209" s="170"/>
      <c r="AO209" s="170"/>
      <c r="AP209" s="170"/>
      <c r="AQ209" s="170"/>
      <c r="AR209" s="170"/>
      <c r="AS209" s="170"/>
      <c r="AT209" s="170"/>
      <c r="AU209" s="170"/>
      <c r="AV209" s="170"/>
      <c r="AW209" s="170"/>
      <c r="AX209" s="170"/>
    </row>
    <row r="210" spans="1:50" ht="15" x14ac:dyDescent="0.25">
      <c r="A210" s="170"/>
      <c r="B210" s="719"/>
      <c r="C210" s="170"/>
      <c r="D210" s="170"/>
      <c r="E210" s="170"/>
      <c r="F210" s="170"/>
      <c r="G210" s="721"/>
      <c r="H210" s="170"/>
      <c r="I210" s="170"/>
      <c r="J210" s="170"/>
      <c r="K210" s="170"/>
      <c r="L210" s="170"/>
      <c r="M210" s="730"/>
      <c r="N210" s="730"/>
      <c r="O210" s="730"/>
      <c r="P210" s="731"/>
      <c r="Q210" s="731"/>
      <c r="R210" s="730"/>
      <c r="S210" s="730"/>
      <c r="T210" s="723"/>
      <c r="U210" s="724"/>
      <c r="V210" s="725"/>
      <c r="W210" s="725"/>
      <c r="X210" s="723"/>
      <c r="Y210" s="723"/>
      <c r="Z210" s="723"/>
      <c r="AA210" s="726"/>
      <c r="AB210" s="726"/>
      <c r="AC210" s="170"/>
      <c r="AD210" s="586"/>
      <c r="AE210" s="586"/>
      <c r="AF210" s="170"/>
      <c r="AG210" s="170"/>
      <c r="AH210" s="170"/>
      <c r="AI210" s="170"/>
      <c r="AJ210" s="170"/>
      <c r="AK210" s="170"/>
      <c r="AL210" s="170"/>
      <c r="AM210" s="170"/>
      <c r="AN210" s="170"/>
      <c r="AO210" s="170"/>
      <c r="AP210" s="170"/>
      <c r="AQ210" s="170"/>
      <c r="AR210" s="170"/>
      <c r="AS210" s="170"/>
      <c r="AT210" s="170"/>
      <c r="AU210" s="170"/>
      <c r="AV210" s="170"/>
      <c r="AW210" s="170"/>
      <c r="AX210" s="170"/>
    </row>
    <row r="211" spans="1:50" ht="15" x14ac:dyDescent="0.25">
      <c r="A211" s="170"/>
      <c r="B211" s="719"/>
      <c r="C211" s="170"/>
      <c r="D211" s="170"/>
      <c r="E211" s="170"/>
      <c r="F211" s="170"/>
      <c r="G211" s="721"/>
      <c r="H211" s="170"/>
      <c r="I211" s="170"/>
      <c r="J211" s="170"/>
      <c r="K211" s="170"/>
      <c r="L211" s="170"/>
      <c r="M211" s="730"/>
      <c r="N211" s="730"/>
      <c r="O211" s="730"/>
      <c r="P211" s="731"/>
      <c r="Q211" s="731"/>
      <c r="R211" s="730"/>
      <c r="S211" s="730"/>
      <c r="T211" s="723"/>
      <c r="U211" s="724"/>
      <c r="V211" s="725"/>
      <c r="W211" s="725"/>
      <c r="X211" s="723"/>
      <c r="Y211" s="723"/>
      <c r="Z211" s="723"/>
      <c r="AA211" s="726"/>
      <c r="AB211" s="726"/>
      <c r="AC211" s="170"/>
      <c r="AD211" s="586"/>
      <c r="AE211" s="586"/>
      <c r="AF211" s="170"/>
      <c r="AG211" s="170"/>
      <c r="AH211" s="170"/>
      <c r="AI211" s="170"/>
      <c r="AJ211" s="170"/>
      <c r="AK211" s="170"/>
      <c r="AL211" s="170"/>
      <c r="AM211" s="170"/>
      <c r="AN211" s="170"/>
      <c r="AO211" s="170"/>
      <c r="AP211" s="170"/>
      <c r="AQ211" s="170"/>
      <c r="AR211" s="170"/>
      <c r="AS211" s="170"/>
      <c r="AT211" s="170"/>
      <c r="AU211" s="170"/>
      <c r="AV211" s="170"/>
      <c r="AW211" s="170"/>
      <c r="AX211" s="170"/>
    </row>
    <row r="212" spans="1:50" ht="15" x14ac:dyDescent="0.25">
      <c r="A212" s="170"/>
      <c r="B212" s="719"/>
      <c r="C212" s="170"/>
      <c r="D212" s="170"/>
      <c r="E212" s="170"/>
      <c r="F212" s="170"/>
      <c r="G212" s="721"/>
      <c r="H212" s="170"/>
      <c r="I212" s="170"/>
      <c r="J212" s="170"/>
      <c r="K212" s="170"/>
      <c r="L212" s="170"/>
      <c r="M212" s="730"/>
      <c r="N212" s="730"/>
      <c r="O212" s="730"/>
      <c r="P212" s="731"/>
      <c r="Q212" s="731"/>
      <c r="R212" s="730"/>
      <c r="S212" s="730"/>
      <c r="T212" s="723"/>
      <c r="U212" s="724"/>
      <c r="V212" s="725"/>
      <c r="W212" s="725"/>
      <c r="X212" s="723"/>
      <c r="Y212" s="723"/>
      <c r="Z212" s="723"/>
      <c r="AA212" s="726"/>
      <c r="AB212" s="726"/>
      <c r="AC212" s="170"/>
      <c r="AD212" s="586"/>
      <c r="AE212" s="586"/>
      <c r="AF212" s="170"/>
      <c r="AG212" s="170"/>
      <c r="AH212" s="170"/>
      <c r="AI212" s="170"/>
      <c r="AJ212" s="170"/>
      <c r="AK212" s="170"/>
      <c r="AL212" s="170"/>
      <c r="AM212" s="170"/>
      <c r="AN212" s="170"/>
      <c r="AO212" s="170"/>
      <c r="AP212" s="170"/>
      <c r="AQ212" s="170"/>
      <c r="AR212" s="170"/>
      <c r="AS212" s="170"/>
      <c r="AT212" s="170"/>
      <c r="AU212" s="170"/>
      <c r="AV212" s="170"/>
      <c r="AW212" s="170"/>
      <c r="AX212" s="170"/>
    </row>
    <row r="213" spans="1:50" ht="15" x14ac:dyDescent="0.25">
      <c r="A213" s="170"/>
      <c r="B213" s="719"/>
      <c r="C213" s="170"/>
      <c r="D213" s="170"/>
      <c r="E213" s="170"/>
      <c r="F213" s="170"/>
      <c r="G213" s="721"/>
      <c r="H213" s="170"/>
      <c r="I213" s="170"/>
      <c r="J213" s="170"/>
      <c r="K213" s="170"/>
      <c r="L213" s="170"/>
      <c r="M213" s="730"/>
      <c r="N213" s="730"/>
      <c r="O213" s="730"/>
      <c r="P213" s="731"/>
      <c r="Q213" s="731"/>
      <c r="R213" s="730"/>
      <c r="S213" s="730"/>
      <c r="T213" s="723"/>
      <c r="U213" s="724"/>
      <c r="V213" s="725"/>
      <c r="W213" s="725"/>
      <c r="X213" s="723"/>
      <c r="Y213" s="723"/>
      <c r="Z213" s="723"/>
      <c r="AA213" s="726"/>
      <c r="AB213" s="726"/>
      <c r="AC213" s="170"/>
      <c r="AD213" s="586"/>
      <c r="AE213" s="586"/>
      <c r="AF213" s="170"/>
      <c r="AG213" s="170"/>
      <c r="AH213" s="170"/>
      <c r="AI213" s="170"/>
      <c r="AJ213" s="170"/>
      <c r="AK213" s="170"/>
      <c r="AL213" s="170"/>
      <c r="AM213" s="170"/>
      <c r="AN213" s="170"/>
      <c r="AO213" s="170"/>
      <c r="AP213" s="170"/>
      <c r="AQ213" s="170"/>
      <c r="AR213" s="170"/>
      <c r="AS213" s="170"/>
      <c r="AT213" s="170"/>
      <c r="AU213" s="170"/>
      <c r="AV213" s="170"/>
      <c r="AW213" s="170"/>
      <c r="AX213" s="170"/>
    </row>
    <row r="214" spans="1:50" ht="15" x14ac:dyDescent="0.25">
      <c r="A214" s="170"/>
      <c r="B214" s="719"/>
      <c r="C214" s="170"/>
      <c r="D214" s="170"/>
      <c r="E214" s="170"/>
      <c r="F214" s="170"/>
      <c r="G214" s="721"/>
      <c r="H214" s="170"/>
      <c r="I214" s="170"/>
      <c r="J214" s="170"/>
      <c r="K214" s="170"/>
      <c r="L214" s="170"/>
      <c r="M214" s="730"/>
      <c r="N214" s="730"/>
      <c r="O214" s="730"/>
      <c r="P214" s="731"/>
      <c r="Q214" s="731"/>
      <c r="R214" s="730"/>
      <c r="S214" s="730"/>
      <c r="T214" s="723"/>
      <c r="U214" s="724"/>
      <c r="V214" s="725"/>
      <c r="W214" s="725"/>
      <c r="X214" s="723"/>
      <c r="Y214" s="723"/>
      <c r="Z214" s="723"/>
      <c r="AA214" s="726"/>
      <c r="AB214" s="726"/>
      <c r="AC214" s="170"/>
      <c r="AD214" s="586"/>
      <c r="AE214" s="586"/>
      <c r="AF214" s="170"/>
      <c r="AG214" s="170"/>
      <c r="AH214" s="170"/>
      <c r="AI214" s="170"/>
      <c r="AJ214" s="170"/>
      <c r="AK214" s="170"/>
      <c r="AL214" s="170"/>
      <c r="AM214" s="170"/>
      <c r="AN214" s="170"/>
      <c r="AO214" s="170"/>
      <c r="AP214" s="170"/>
      <c r="AQ214" s="170"/>
      <c r="AR214" s="170"/>
      <c r="AS214" s="170"/>
      <c r="AT214" s="170"/>
      <c r="AU214" s="170"/>
      <c r="AV214" s="170"/>
      <c r="AW214" s="170"/>
      <c r="AX214" s="170"/>
    </row>
    <row r="215" spans="1:50" ht="15" x14ac:dyDescent="0.25">
      <c r="A215" s="170"/>
      <c r="B215" s="719"/>
      <c r="C215" s="170"/>
      <c r="D215" s="170"/>
      <c r="E215" s="170"/>
      <c r="F215" s="170"/>
      <c r="G215" s="721"/>
      <c r="H215" s="170"/>
      <c r="I215" s="170"/>
      <c r="J215" s="170"/>
      <c r="K215" s="170"/>
      <c r="L215" s="170"/>
      <c r="M215" s="730"/>
      <c r="N215" s="730"/>
      <c r="O215" s="730"/>
      <c r="P215" s="731"/>
      <c r="Q215" s="731"/>
      <c r="R215" s="730"/>
      <c r="S215" s="730"/>
      <c r="T215" s="723"/>
      <c r="U215" s="724"/>
      <c r="V215" s="725"/>
      <c r="W215" s="725"/>
      <c r="X215" s="723"/>
      <c r="Y215" s="723"/>
      <c r="Z215" s="723"/>
      <c r="AA215" s="726"/>
      <c r="AB215" s="726"/>
      <c r="AC215" s="170"/>
      <c r="AD215" s="586"/>
      <c r="AE215" s="586"/>
      <c r="AF215" s="170"/>
      <c r="AG215" s="170"/>
      <c r="AH215" s="170"/>
      <c r="AI215" s="170"/>
      <c r="AJ215" s="170"/>
      <c r="AK215" s="170"/>
      <c r="AL215" s="170"/>
      <c r="AM215" s="170"/>
      <c r="AN215" s="170"/>
      <c r="AO215" s="170"/>
      <c r="AP215" s="170"/>
      <c r="AQ215" s="170"/>
      <c r="AR215" s="170"/>
      <c r="AS215" s="170"/>
      <c r="AT215" s="170"/>
      <c r="AU215" s="170"/>
      <c r="AV215" s="170"/>
      <c r="AW215" s="170"/>
      <c r="AX215" s="170"/>
    </row>
    <row r="216" spans="1:50" ht="15" x14ac:dyDescent="0.25">
      <c r="A216" s="170"/>
      <c r="B216" s="719"/>
      <c r="C216" s="170"/>
      <c r="D216" s="170"/>
      <c r="E216" s="170"/>
      <c r="F216" s="170"/>
      <c r="G216" s="721"/>
      <c r="H216" s="170"/>
      <c r="I216" s="170"/>
      <c r="J216" s="170"/>
      <c r="K216" s="170"/>
      <c r="L216" s="170"/>
      <c r="M216" s="730"/>
      <c r="N216" s="730"/>
      <c r="O216" s="730"/>
      <c r="P216" s="731"/>
      <c r="Q216" s="731"/>
      <c r="R216" s="730"/>
      <c r="S216" s="730"/>
      <c r="T216" s="723"/>
      <c r="U216" s="724"/>
      <c r="V216" s="725"/>
      <c r="W216" s="725"/>
      <c r="X216" s="723"/>
      <c r="Y216" s="723"/>
      <c r="Z216" s="723"/>
      <c r="AA216" s="726"/>
      <c r="AB216" s="726"/>
      <c r="AC216" s="170"/>
      <c r="AD216" s="586"/>
      <c r="AE216" s="586"/>
      <c r="AF216" s="170"/>
      <c r="AG216" s="170"/>
      <c r="AH216" s="170"/>
      <c r="AI216" s="170"/>
      <c r="AJ216" s="170"/>
      <c r="AK216" s="170"/>
      <c r="AL216" s="170"/>
      <c r="AM216" s="170"/>
      <c r="AN216" s="170"/>
      <c r="AO216" s="170"/>
      <c r="AP216" s="170"/>
      <c r="AQ216" s="170"/>
      <c r="AR216" s="170"/>
      <c r="AS216" s="170"/>
      <c r="AT216" s="170"/>
      <c r="AU216" s="170"/>
      <c r="AV216" s="170"/>
      <c r="AW216" s="170"/>
      <c r="AX216" s="170"/>
    </row>
    <row r="217" spans="1:50" ht="15" x14ac:dyDescent="0.25">
      <c r="A217" s="170"/>
      <c r="B217" s="719"/>
      <c r="C217" s="170"/>
      <c r="D217" s="170"/>
      <c r="E217" s="170"/>
      <c r="F217" s="170"/>
      <c r="G217" s="721"/>
      <c r="H217" s="170"/>
      <c r="I217" s="170"/>
      <c r="J217" s="170"/>
      <c r="K217" s="170"/>
      <c r="L217" s="170"/>
      <c r="M217" s="730"/>
      <c r="N217" s="730"/>
      <c r="O217" s="730"/>
      <c r="P217" s="731"/>
      <c r="Q217" s="731"/>
      <c r="R217" s="730"/>
      <c r="S217" s="730"/>
      <c r="T217" s="723"/>
      <c r="U217" s="724"/>
      <c r="V217" s="725"/>
      <c r="W217" s="725"/>
      <c r="X217" s="723"/>
      <c r="Y217" s="723"/>
      <c r="Z217" s="723"/>
      <c r="AA217" s="726"/>
      <c r="AB217" s="726"/>
      <c r="AC217" s="170"/>
      <c r="AD217" s="586"/>
      <c r="AE217" s="586"/>
      <c r="AF217" s="170"/>
      <c r="AG217" s="170"/>
      <c r="AH217" s="170"/>
      <c r="AI217" s="170"/>
      <c r="AJ217" s="170"/>
      <c r="AK217" s="170"/>
      <c r="AL217" s="170"/>
      <c r="AM217" s="170"/>
      <c r="AN217" s="170"/>
      <c r="AO217" s="170"/>
      <c r="AP217" s="170"/>
      <c r="AQ217" s="170"/>
      <c r="AR217" s="170"/>
      <c r="AS217" s="170"/>
      <c r="AT217" s="170"/>
      <c r="AU217" s="170"/>
      <c r="AV217" s="170"/>
      <c r="AW217" s="170"/>
      <c r="AX217" s="170"/>
    </row>
    <row r="218" spans="1:50" ht="15" x14ac:dyDescent="0.25">
      <c r="A218" s="170"/>
      <c r="B218" s="719"/>
      <c r="C218" s="170"/>
      <c r="D218" s="170"/>
      <c r="E218" s="170"/>
      <c r="F218" s="170"/>
      <c r="G218" s="721"/>
      <c r="H218" s="170"/>
      <c r="I218" s="170"/>
      <c r="J218" s="170"/>
      <c r="K218" s="170"/>
      <c r="L218" s="170"/>
      <c r="M218" s="730"/>
      <c r="N218" s="730"/>
      <c r="O218" s="730"/>
      <c r="P218" s="731"/>
      <c r="Q218" s="731"/>
      <c r="R218" s="730"/>
      <c r="S218" s="730"/>
      <c r="T218" s="723"/>
      <c r="U218" s="724"/>
      <c r="V218" s="725"/>
      <c r="W218" s="725"/>
      <c r="X218" s="723"/>
      <c r="Y218" s="723"/>
      <c r="Z218" s="723"/>
      <c r="AA218" s="726"/>
      <c r="AB218" s="726"/>
      <c r="AC218" s="170"/>
      <c r="AD218" s="586"/>
      <c r="AE218" s="586"/>
      <c r="AF218" s="170"/>
      <c r="AG218" s="170"/>
      <c r="AH218" s="170"/>
      <c r="AI218" s="170"/>
      <c r="AJ218" s="170"/>
      <c r="AK218" s="170"/>
      <c r="AL218" s="170"/>
      <c r="AM218" s="170"/>
      <c r="AN218" s="170"/>
      <c r="AO218" s="170"/>
      <c r="AP218" s="170"/>
      <c r="AQ218" s="170"/>
      <c r="AR218" s="170"/>
      <c r="AS218" s="170"/>
      <c r="AT218" s="170"/>
      <c r="AU218" s="170"/>
      <c r="AV218" s="170"/>
      <c r="AW218" s="170"/>
      <c r="AX218" s="170"/>
    </row>
    <row r="219" spans="1:50" ht="15" x14ac:dyDescent="0.25">
      <c r="A219" s="170"/>
      <c r="B219" s="719"/>
      <c r="C219" s="170"/>
      <c r="D219" s="170"/>
      <c r="E219" s="170"/>
      <c r="F219" s="170"/>
      <c r="G219" s="721"/>
      <c r="H219" s="170"/>
      <c r="I219" s="170"/>
      <c r="J219" s="170"/>
      <c r="K219" s="170"/>
      <c r="L219" s="170"/>
      <c r="M219" s="730"/>
      <c r="N219" s="730"/>
      <c r="O219" s="730"/>
      <c r="P219" s="731"/>
      <c r="Q219" s="731"/>
      <c r="R219" s="730"/>
      <c r="S219" s="730"/>
      <c r="T219" s="723"/>
      <c r="U219" s="724"/>
      <c r="V219" s="725"/>
      <c r="W219" s="725"/>
      <c r="X219" s="723"/>
      <c r="Y219" s="723"/>
      <c r="Z219" s="723"/>
      <c r="AA219" s="726"/>
      <c r="AB219" s="726"/>
      <c r="AC219" s="170"/>
      <c r="AD219" s="586"/>
      <c r="AE219" s="586"/>
      <c r="AF219" s="170"/>
      <c r="AG219" s="170"/>
      <c r="AH219" s="170"/>
      <c r="AI219" s="170"/>
      <c r="AJ219" s="170"/>
      <c r="AK219" s="170"/>
      <c r="AL219" s="170"/>
      <c r="AM219" s="170"/>
      <c r="AN219" s="170"/>
      <c r="AO219" s="170"/>
      <c r="AP219" s="170"/>
      <c r="AQ219" s="170"/>
      <c r="AR219" s="170"/>
      <c r="AS219" s="170"/>
      <c r="AT219" s="170"/>
      <c r="AU219" s="170"/>
      <c r="AV219" s="170"/>
      <c r="AW219" s="170"/>
      <c r="AX219" s="170"/>
    </row>
    <row r="220" spans="1:50" ht="15" x14ac:dyDescent="0.25">
      <c r="A220" s="170"/>
      <c r="B220" s="719"/>
      <c r="C220" s="170"/>
      <c r="D220" s="170"/>
      <c r="E220" s="170"/>
      <c r="F220" s="170"/>
      <c r="G220" s="721"/>
      <c r="H220" s="170"/>
      <c r="I220" s="170"/>
      <c r="J220" s="170"/>
      <c r="K220" s="170"/>
      <c r="L220" s="170"/>
      <c r="M220" s="730"/>
      <c r="N220" s="730"/>
      <c r="O220" s="730"/>
      <c r="P220" s="731"/>
      <c r="Q220" s="731"/>
      <c r="R220" s="730"/>
      <c r="S220" s="730"/>
      <c r="T220" s="723"/>
      <c r="U220" s="724"/>
      <c r="V220" s="725"/>
      <c r="W220" s="725"/>
      <c r="X220" s="723"/>
      <c r="Y220" s="723"/>
      <c r="Z220" s="723"/>
      <c r="AA220" s="726"/>
      <c r="AB220" s="726"/>
      <c r="AC220" s="170"/>
      <c r="AD220" s="586"/>
      <c r="AE220" s="586"/>
      <c r="AF220" s="170"/>
      <c r="AG220" s="170"/>
      <c r="AH220" s="170"/>
      <c r="AI220" s="170"/>
      <c r="AJ220" s="170"/>
      <c r="AK220" s="170"/>
      <c r="AL220" s="170"/>
      <c r="AM220" s="170"/>
      <c r="AN220" s="170"/>
      <c r="AO220" s="170"/>
      <c r="AP220" s="170"/>
      <c r="AQ220" s="170"/>
      <c r="AR220" s="170"/>
      <c r="AS220" s="170"/>
      <c r="AT220" s="170"/>
      <c r="AU220" s="170"/>
      <c r="AV220" s="170"/>
      <c r="AW220" s="170"/>
      <c r="AX220" s="170"/>
    </row>
    <row r="221" spans="1:50" ht="15" x14ac:dyDescent="0.25">
      <c r="A221" s="170"/>
      <c r="B221" s="719"/>
      <c r="C221" s="170"/>
      <c r="D221" s="170"/>
      <c r="E221" s="170"/>
      <c r="F221" s="170"/>
      <c r="G221" s="721"/>
      <c r="H221" s="170"/>
      <c r="I221" s="170"/>
      <c r="J221" s="170"/>
      <c r="K221" s="170"/>
      <c r="L221" s="170"/>
      <c r="M221" s="730"/>
      <c r="N221" s="730"/>
      <c r="O221" s="730"/>
      <c r="P221" s="731"/>
      <c r="Q221" s="731"/>
      <c r="R221" s="730"/>
      <c r="S221" s="730"/>
      <c r="T221" s="723"/>
      <c r="U221" s="724"/>
      <c r="V221" s="725"/>
      <c r="W221" s="725"/>
      <c r="X221" s="723"/>
      <c r="Y221" s="723"/>
      <c r="Z221" s="723"/>
      <c r="AA221" s="726"/>
      <c r="AB221" s="726"/>
      <c r="AC221" s="170"/>
      <c r="AD221" s="586"/>
      <c r="AE221" s="586"/>
      <c r="AF221" s="170"/>
      <c r="AG221" s="170"/>
      <c r="AH221" s="170"/>
      <c r="AI221" s="170"/>
      <c r="AJ221" s="170"/>
      <c r="AK221" s="170"/>
      <c r="AL221" s="170"/>
      <c r="AM221" s="170"/>
      <c r="AN221" s="170"/>
      <c r="AO221" s="170"/>
      <c r="AP221" s="170"/>
      <c r="AQ221" s="170"/>
      <c r="AR221" s="170"/>
      <c r="AS221" s="170"/>
      <c r="AT221" s="170"/>
      <c r="AU221" s="170"/>
      <c r="AV221" s="170"/>
      <c r="AW221" s="170"/>
      <c r="AX221" s="170"/>
    </row>
    <row r="222" spans="1:50" ht="15" x14ac:dyDescent="0.25">
      <c r="A222" s="170"/>
      <c r="B222" s="719"/>
      <c r="C222" s="170"/>
      <c r="D222" s="170"/>
      <c r="E222" s="170"/>
      <c r="F222" s="170"/>
      <c r="G222" s="721"/>
      <c r="H222" s="170"/>
      <c r="I222" s="170"/>
      <c r="J222" s="170"/>
      <c r="K222" s="170"/>
      <c r="L222" s="170"/>
      <c r="M222" s="730"/>
      <c r="N222" s="730"/>
      <c r="O222" s="730"/>
      <c r="P222" s="731"/>
      <c r="Q222" s="731"/>
      <c r="R222" s="730"/>
      <c r="S222" s="730"/>
      <c r="T222" s="723"/>
      <c r="U222" s="724"/>
      <c r="V222" s="725"/>
      <c r="W222" s="725"/>
      <c r="X222" s="723"/>
      <c r="Y222" s="723"/>
      <c r="Z222" s="723"/>
      <c r="AA222" s="726"/>
      <c r="AB222" s="726"/>
      <c r="AC222" s="170"/>
      <c r="AD222" s="586"/>
      <c r="AE222" s="586"/>
      <c r="AF222" s="170"/>
      <c r="AG222" s="170"/>
      <c r="AH222" s="170"/>
      <c r="AI222" s="170"/>
      <c r="AJ222" s="170"/>
      <c r="AK222" s="170"/>
      <c r="AL222" s="170"/>
      <c r="AM222" s="170"/>
      <c r="AN222" s="170"/>
      <c r="AO222" s="170"/>
      <c r="AP222" s="170"/>
      <c r="AQ222" s="170"/>
      <c r="AR222" s="170"/>
      <c r="AS222" s="170"/>
      <c r="AT222" s="170"/>
      <c r="AU222" s="170"/>
      <c r="AV222" s="170"/>
      <c r="AW222" s="170"/>
      <c r="AX222" s="170"/>
    </row>
    <row r="223" spans="1:50" ht="15" x14ac:dyDescent="0.25">
      <c r="A223" s="170"/>
      <c r="B223" s="719"/>
      <c r="C223" s="170"/>
      <c r="D223" s="170"/>
      <c r="E223" s="170"/>
      <c r="F223" s="170"/>
      <c r="G223" s="721"/>
      <c r="H223" s="170"/>
      <c r="I223" s="170"/>
      <c r="J223" s="170"/>
      <c r="K223" s="170"/>
      <c r="L223" s="170"/>
      <c r="M223" s="730"/>
      <c r="N223" s="730"/>
      <c r="O223" s="730"/>
      <c r="P223" s="731"/>
      <c r="Q223" s="731"/>
      <c r="R223" s="730"/>
      <c r="S223" s="730"/>
      <c r="T223" s="723"/>
      <c r="U223" s="724"/>
      <c r="V223" s="725"/>
      <c r="W223" s="725"/>
      <c r="X223" s="723"/>
      <c r="Y223" s="723"/>
      <c r="Z223" s="723"/>
      <c r="AA223" s="726"/>
      <c r="AB223" s="726"/>
      <c r="AC223" s="170"/>
      <c r="AD223" s="586"/>
      <c r="AE223" s="586"/>
      <c r="AF223" s="170"/>
      <c r="AG223" s="170"/>
      <c r="AH223" s="170"/>
      <c r="AI223" s="170"/>
      <c r="AJ223" s="170"/>
      <c r="AK223" s="170"/>
      <c r="AL223" s="170"/>
      <c r="AM223" s="170"/>
      <c r="AN223" s="170"/>
      <c r="AO223" s="170"/>
      <c r="AP223" s="170"/>
      <c r="AQ223" s="170"/>
      <c r="AR223" s="170"/>
      <c r="AS223" s="170"/>
      <c r="AT223" s="170"/>
      <c r="AU223" s="170"/>
      <c r="AV223" s="170"/>
      <c r="AW223" s="170"/>
      <c r="AX223" s="170"/>
    </row>
    <row r="224" spans="1:50" ht="15" x14ac:dyDescent="0.25">
      <c r="A224" s="170"/>
      <c r="B224" s="719"/>
      <c r="C224" s="170"/>
      <c r="D224" s="170"/>
      <c r="E224" s="170"/>
      <c r="F224" s="170"/>
      <c r="G224" s="721"/>
      <c r="H224" s="170"/>
      <c r="I224" s="170"/>
      <c r="J224" s="170"/>
      <c r="K224" s="170"/>
      <c r="L224" s="170"/>
      <c r="M224" s="730"/>
      <c r="N224" s="730"/>
      <c r="O224" s="730"/>
      <c r="P224" s="731"/>
      <c r="Q224" s="731"/>
      <c r="R224" s="730"/>
      <c r="S224" s="730"/>
      <c r="T224" s="723"/>
      <c r="U224" s="724"/>
      <c r="V224" s="725"/>
      <c r="W224" s="725"/>
      <c r="X224" s="723"/>
      <c r="Y224" s="723"/>
      <c r="Z224" s="723"/>
      <c r="AA224" s="726"/>
      <c r="AB224" s="726"/>
      <c r="AC224" s="170"/>
      <c r="AD224" s="586"/>
      <c r="AE224" s="586"/>
      <c r="AF224" s="170"/>
      <c r="AG224" s="170"/>
      <c r="AH224" s="170"/>
      <c r="AI224" s="170"/>
      <c r="AJ224" s="170"/>
      <c r="AK224" s="170"/>
      <c r="AL224" s="170"/>
      <c r="AM224" s="170"/>
      <c r="AN224" s="170"/>
      <c r="AO224" s="170"/>
      <c r="AP224" s="170"/>
      <c r="AQ224" s="170"/>
      <c r="AR224" s="170"/>
      <c r="AS224" s="170"/>
      <c r="AT224" s="170"/>
      <c r="AU224" s="170"/>
      <c r="AV224" s="170"/>
      <c r="AW224" s="170"/>
      <c r="AX224" s="170"/>
    </row>
    <row r="225" spans="1:50" ht="15" x14ac:dyDescent="0.25">
      <c r="A225" s="170"/>
      <c r="B225" s="719"/>
      <c r="C225" s="170"/>
      <c r="D225" s="170"/>
      <c r="E225" s="170"/>
      <c r="F225" s="170"/>
      <c r="G225" s="721"/>
      <c r="H225" s="170"/>
      <c r="I225" s="170"/>
      <c r="J225" s="170"/>
      <c r="K225" s="170"/>
      <c r="L225" s="170"/>
      <c r="M225" s="730"/>
      <c r="N225" s="730"/>
      <c r="O225" s="730"/>
      <c r="P225" s="731"/>
      <c r="Q225" s="731"/>
      <c r="R225" s="730"/>
      <c r="S225" s="730"/>
      <c r="T225" s="723"/>
      <c r="U225" s="724"/>
      <c r="V225" s="725"/>
      <c r="W225" s="725"/>
      <c r="X225" s="723"/>
      <c r="Y225" s="723"/>
      <c r="Z225" s="723"/>
      <c r="AA225" s="726"/>
      <c r="AB225" s="726"/>
      <c r="AC225" s="170"/>
      <c r="AD225" s="586"/>
      <c r="AE225" s="586"/>
      <c r="AF225" s="170"/>
      <c r="AG225" s="170"/>
      <c r="AH225" s="170"/>
      <c r="AI225" s="170"/>
      <c r="AJ225" s="170"/>
      <c r="AK225" s="170"/>
      <c r="AL225" s="170"/>
      <c r="AM225" s="170"/>
      <c r="AN225" s="170"/>
      <c r="AO225" s="170"/>
      <c r="AP225" s="170"/>
      <c r="AQ225" s="170"/>
      <c r="AR225" s="170"/>
      <c r="AS225" s="170"/>
      <c r="AT225" s="170"/>
      <c r="AU225" s="170"/>
      <c r="AV225" s="170"/>
      <c r="AW225" s="170"/>
      <c r="AX225" s="170"/>
    </row>
    <row r="226" spans="1:50" ht="15" x14ac:dyDescent="0.25">
      <c r="A226" s="170"/>
      <c r="B226" s="719"/>
      <c r="C226" s="170"/>
      <c r="D226" s="170"/>
      <c r="E226" s="170"/>
      <c r="F226" s="170"/>
      <c r="G226" s="721"/>
      <c r="H226" s="170"/>
      <c r="I226" s="170"/>
      <c r="J226" s="170"/>
      <c r="K226" s="170"/>
      <c r="L226" s="170"/>
      <c r="M226" s="730"/>
      <c r="N226" s="730"/>
      <c r="O226" s="730"/>
      <c r="P226" s="731"/>
      <c r="Q226" s="731"/>
      <c r="R226" s="730"/>
      <c r="S226" s="730"/>
      <c r="T226" s="723"/>
      <c r="U226" s="724"/>
      <c r="V226" s="725"/>
      <c r="W226" s="725"/>
      <c r="X226" s="723"/>
      <c r="Y226" s="723"/>
      <c r="Z226" s="723"/>
      <c r="AA226" s="726"/>
      <c r="AB226" s="726"/>
      <c r="AC226" s="170"/>
      <c r="AD226" s="586"/>
      <c r="AE226" s="586"/>
      <c r="AF226" s="170"/>
      <c r="AG226" s="170"/>
      <c r="AH226" s="170"/>
      <c r="AI226" s="170"/>
      <c r="AJ226" s="170"/>
      <c r="AK226" s="170"/>
      <c r="AL226" s="170"/>
      <c r="AM226" s="170"/>
      <c r="AN226" s="170"/>
      <c r="AO226" s="170"/>
      <c r="AP226" s="170"/>
      <c r="AQ226" s="170"/>
      <c r="AR226" s="170"/>
      <c r="AS226" s="170"/>
      <c r="AT226" s="170"/>
      <c r="AU226" s="170"/>
      <c r="AV226" s="170"/>
      <c r="AW226" s="170"/>
      <c r="AX226" s="170"/>
    </row>
    <row r="227" spans="1:50" ht="15" x14ac:dyDescent="0.25">
      <c r="A227" s="170"/>
      <c r="B227" s="719"/>
      <c r="C227" s="170"/>
      <c r="D227" s="170"/>
      <c r="E227" s="170"/>
      <c r="F227" s="170"/>
      <c r="G227" s="721"/>
      <c r="H227" s="170"/>
      <c r="I227" s="170"/>
      <c r="J227" s="170"/>
      <c r="K227" s="170"/>
      <c r="L227" s="170"/>
      <c r="M227" s="730"/>
      <c r="N227" s="730"/>
      <c r="O227" s="730"/>
      <c r="P227" s="731"/>
      <c r="Q227" s="731"/>
      <c r="R227" s="730"/>
      <c r="S227" s="730"/>
      <c r="T227" s="723"/>
      <c r="U227" s="724"/>
      <c r="V227" s="725"/>
      <c r="W227" s="725"/>
      <c r="X227" s="723"/>
      <c r="Y227" s="723"/>
      <c r="Z227" s="723"/>
      <c r="AA227" s="726"/>
      <c r="AB227" s="726"/>
      <c r="AC227" s="170"/>
      <c r="AD227" s="586"/>
      <c r="AE227" s="586"/>
      <c r="AF227" s="170"/>
      <c r="AG227" s="170"/>
      <c r="AH227" s="170"/>
      <c r="AI227" s="170"/>
      <c r="AJ227" s="170"/>
      <c r="AK227" s="170"/>
      <c r="AL227" s="170"/>
      <c r="AM227" s="170"/>
      <c r="AN227" s="170"/>
      <c r="AO227" s="170"/>
      <c r="AP227" s="170"/>
      <c r="AQ227" s="170"/>
      <c r="AR227" s="170"/>
      <c r="AS227" s="170"/>
      <c r="AT227" s="170"/>
      <c r="AU227" s="170"/>
      <c r="AV227" s="170"/>
      <c r="AW227" s="170"/>
      <c r="AX227" s="170"/>
    </row>
    <row r="228" spans="1:50" ht="15" x14ac:dyDescent="0.25">
      <c r="A228" s="170"/>
      <c r="B228" s="719"/>
      <c r="C228" s="170"/>
      <c r="D228" s="170"/>
      <c r="E228" s="170"/>
      <c r="F228" s="170"/>
      <c r="G228" s="721"/>
      <c r="H228" s="170"/>
      <c r="I228" s="170"/>
      <c r="J228" s="170"/>
      <c r="K228" s="170"/>
      <c r="L228" s="170"/>
      <c r="M228" s="730"/>
      <c r="N228" s="730"/>
      <c r="O228" s="730"/>
      <c r="P228" s="731"/>
      <c r="Q228" s="731"/>
      <c r="R228" s="730"/>
      <c r="S228" s="730"/>
      <c r="T228" s="723"/>
      <c r="U228" s="724"/>
      <c r="V228" s="725"/>
      <c r="W228" s="725"/>
      <c r="X228" s="723"/>
      <c r="Y228" s="723"/>
      <c r="Z228" s="723"/>
      <c r="AA228" s="726"/>
      <c r="AB228" s="726"/>
      <c r="AC228" s="170"/>
      <c r="AD228" s="586"/>
      <c r="AE228" s="586"/>
      <c r="AF228" s="170"/>
      <c r="AG228" s="170"/>
      <c r="AH228" s="170"/>
      <c r="AI228" s="170"/>
      <c r="AJ228" s="170"/>
      <c r="AK228" s="170"/>
      <c r="AL228" s="170"/>
      <c r="AM228" s="170"/>
      <c r="AN228" s="170"/>
      <c r="AO228" s="170"/>
      <c r="AP228" s="170"/>
      <c r="AQ228" s="170"/>
      <c r="AR228" s="170"/>
      <c r="AS228" s="170"/>
      <c r="AT228" s="170"/>
      <c r="AU228" s="170"/>
      <c r="AV228" s="170"/>
      <c r="AW228" s="170"/>
      <c r="AX228" s="170"/>
    </row>
    <row r="229" spans="1:50" ht="15" x14ac:dyDescent="0.25">
      <c r="A229" s="170"/>
      <c r="B229" s="719"/>
      <c r="C229" s="170"/>
      <c r="D229" s="170"/>
      <c r="E229" s="170"/>
      <c r="F229" s="170"/>
      <c r="G229" s="721"/>
      <c r="H229" s="170"/>
      <c r="I229" s="170"/>
      <c r="J229" s="170"/>
      <c r="K229" s="170"/>
      <c r="L229" s="170"/>
      <c r="M229" s="730"/>
      <c r="N229" s="730"/>
      <c r="O229" s="730"/>
      <c r="P229" s="731"/>
      <c r="Q229" s="731"/>
      <c r="R229" s="730"/>
      <c r="S229" s="730"/>
      <c r="T229" s="723"/>
      <c r="U229" s="724"/>
      <c r="V229" s="725"/>
      <c r="W229" s="725"/>
      <c r="X229" s="723"/>
      <c r="Y229" s="723"/>
      <c r="Z229" s="723"/>
      <c r="AA229" s="726"/>
      <c r="AB229" s="726"/>
      <c r="AC229" s="170"/>
      <c r="AD229" s="586"/>
      <c r="AE229" s="586"/>
      <c r="AF229" s="170"/>
      <c r="AG229" s="170"/>
      <c r="AH229" s="170"/>
      <c r="AI229" s="170"/>
      <c r="AJ229" s="170"/>
      <c r="AK229" s="170"/>
      <c r="AL229" s="170"/>
      <c r="AM229" s="170"/>
      <c r="AN229" s="170"/>
      <c r="AO229" s="170"/>
      <c r="AP229" s="170"/>
      <c r="AQ229" s="170"/>
      <c r="AR229" s="170"/>
      <c r="AS229" s="170"/>
      <c r="AT229" s="170"/>
      <c r="AU229" s="170"/>
      <c r="AV229" s="170"/>
      <c r="AW229" s="170"/>
      <c r="AX229" s="170"/>
    </row>
    <row r="230" spans="1:50" ht="15" x14ac:dyDescent="0.25">
      <c r="A230" s="170"/>
      <c r="B230" s="719"/>
      <c r="C230" s="170"/>
      <c r="D230" s="170"/>
      <c r="E230" s="170"/>
      <c r="F230" s="170"/>
      <c r="G230" s="721"/>
      <c r="H230" s="170"/>
      <c r="I230" s="170"/>
      <c r="J230" s="170"/>
      <c r="K230" s="170"/>
      <c r="L230" s="170"/>
      <c r="M230" s="730"/>
      <c r="N230" s="730"/>
      <c r="O230" s="730"/>
      <c r="P230" s="731"/>
      <c r="Q230" s="731"/>
      <c r="R230" s="730"/>
      <c r="S230" s="730"/>
      <c r="T230" s="723"/>
      <c r="U230" s="724"/>
      <c r="V230" s="725"/>
      <c r="W230" s="725"/>
      <c r="X230" s="723"/>
      <c r="Y230" s="723"/>
      <c r="Z230" s="723"/>
      <c r="AA230" s="726"/>
      <c r="AB230" s="726"/>
      <c r="AC230" s="170"/>
      <c r="AD230" s="586"/>
      <c r="AE230" s="586"/>
      <c r="AF230" s="170"/>
      <c r="AG230" s="170"/>
      <c r="AH230" s="170"/>
      <c r="AI230" s="170"/>
      <c r="AJ230" s="170"/>
      <c r="AK230" s="170"/>
      <c r="AL230" s="170"/>
      <c r="AM230" s="170"/>
      <c r="AN230" s="170"/>
      <c r="AO230" s="170"/>
      <c r="AP230" s="170"/>
      <c r="AQ230" s="170"/>
      <c r="AR230" s="170"/>
      <c r="AS230" s="170"/>
      <c r="AT230" s="170"/>
      <c r="AU230" s="170"/>
      <c r="AV230" s="170"/>
      <c r="AW230" s="170"/>
      <c r="AX230" s="170"/>
    </row>
    <row r="231" spans="1:50" ht="15" x14ac:dyDescent="0.25">
      <c r="A231" s="170"/>
      <c r="B231" s="719"/>
      <c r="C231" s="170"/>
      <c r="D231" s="170"/>
      <c r="E231" s="170"/>
      <c r="F231" s="170"/>
      <c r="G231" s="721"/>
      <c r="H231" s="170"/>
      <c r="I231" s="170"/>
      <c r="J231" s="170"/>
      <c r="K231" s="170"/>
      <c r="L231" s="170"/>
      <c r="M231" s="730"/>
      <c r="N231" s="730"/>
      <c r="O231" s="730"/>
      <c r="P231" s="731"/>
      <c r="Q231" s="731"/>
      <c r="R231" s="730"/>
      <c r="S231" s="730"/>
      <c r="T231" s="723"/>
      <c r="U231" s="724"/>
      <c r="V231" s="725"/>
      <c r="W231" s="725"/>
      <c r="X231" s="723"/>
      <c r="Y231" s="723"/>
      <c r="Z231" s="723"/>
      <c r="AA231" s="726"/>
      <c r="AB231" s="726"/>
      <c r="AC231" s="170"/>
      <c r="AD231" s="586"/>
      <c r="AE231" s="586"/>
      <c r="AF231" s="170"/>
      <c r="AG231" s="170"/>
      <c r="AH231" s="170"/>
      <c r="AI231" s="170"/>
      <c r="AJ231" s="170"/>
      <c r="AK231" s="170"/>
      <c r="AL231" s="170"/>
      <c r="AM231" s="170"/>
      <c r="AN231" s="170"/>
      <c r="AO231" s="170"/>
      <c r="AP231" s="170"/>
      <c r="AQ231" s="170"/>
      <c r="AR231" s="170"/>
      <c r="AS231" s="170"/>
      <c r="AT231" s="170"/>
      <c r="AU231" s="170"/>
      <c r="AV231" s="170"/>
      <c r="AW231" s="170"/>
      <c r="AX231" s="170"/>
    </row>
    <row r="232" spans="1:50" ht="15" x14ac:dyDescent="0.25">
      <c r="A232" s="170"/>
      <c r="B232" s="719"/>
      <c r="C232" s="170"/>
      <c r="D232" s="170"/>
      <c r="E232" s="170"/>
      <c r="F232" s="170"/>
      <c r="G232" s="721"/>
      <c r="H232" s="170"/>
      <c r="I232" s="170"/>
      <c r="J232" s="170"/>
      <c r="K232" s="170"/>
      <c r="L232" s="170"/>
      <c r="M232" s="730"/>
      <c r="N232" s="730"/>
      <c r="O232" s="730"/>
      <c r="P232" s="731"/>
      <c r="Q232" s="731"/>
      <c r="R232" s="730"/>
      <c r="S232" s="730"/>
      <c r="T232" s="723"/>
      <c r="U232" s="724"/>
      <c r="V232" s="725"/>
      <c r="W232" s="725"/>
      <c r="X232" s="723"/>
      <c r="Y232" s="723"/>
      <c r="Z232" s="723"/>
      <c r="AA232" s="726"/>
      <c r="AB232" s="726"/>
      <c r="AC232" s="170"/>
      <c r="AD232" s="586"/>
      <c r="AE232" s="586"/>
      <c r="AF232" s="170"/>
      <c r="AG232" s="170"/>
      <c r="AH232" s="170"/>
      <c r="AI232" s="170"/>
      <c r="AJ232" s="170"/>
      <c r="AK232" s="170"/>
      <c r="AL232" s="170"/>
      <c r="AM232" s="170"/>
      <c r="AN232" s="170"/>
      <c r="AO232" s="170"/>
      <c r="AP232" s="170"/>
      <c r="AQ232" s="170"/>
      <c r="AR232" s="170"/>
      <c r="AS232" s="170"/>
      <c r="AT232" s="170"/>
      <c r="AU232" s="170"/>
      <c r="AV232" s="170"/>
      <c r="AW232" s="170"/>
      <c r="AX232" s="170"/>
    </row>
    <row r="233" spans="1:50" ht="15" x14ac:dyDescent="0.25">
      <c r="A233" s="170"/>
      <c r="B233" s="719"/>
      <c r="C233" s="170"/>
      <c r="D233" s="170"/>
      <c r="E233" s="170"/>
      <c r="F233" s="170"/>
      <c r="G233" s="721"/>
      <c r="H233" s="170"/>
      <c r="I233" s="170"/>
      <c r="J233" s="170"/>
      <c r="K233" s="170"/>
      <c r="L233" s="170"/>
      <c r="M233" s="730"/>
      <c r="N233" s="730"/>
      <c r="O233" s="730"/>
      <c r="P233" s="731"/>
      <c r="Q233" s="731"/>
      <c r="R233" s="730"/>
      <c r="S233" s="730"/>
      <c r="T233" s="723"/>
      <c r="U233" s="724"/>
      <c r="V233" s="725"/>
      <c r="W233" s="725"/>
      <c r="X233" s="723"/>
      <c r="Y233" s="723"/>
      <c r="Z233" s="723"/>
      <c r="AA233" s="726"/>
      <c r="AB233" s="726"/>
      <c r="AC233" s="170"/>
      <c r="AD233" s="586"/>
      <c r="AE233" s="586"/>
      <c r="AF233" s="170"/>
      <c r="AG233" s="170"/>
      <c r="AH233" s="170"/>
      <c r="AI233" s="170"/>
      <c r="AJ233" s="170"/>
      <c r="AK233" s="170"/>
      <c r="AL233" s="170"/>
      <c r="AM233" s="170"/>
      <c r="AN233" s="170"/>
      <c r="AO233" s="170"/>
      <c r="AP233" s="170"/>
      <c r="AQ233" s="170"/>
      <c r="AR233" s="170"/>
      <c r="AS233" s="170"/>
      <c r="AT233" s="170"/>
      <c r="AU233" s="170"/>
      <c r="AV233" s="170"/>
      <c r="AW233" s="170"/>
      <c r="AX233" s="170"/>
    </row>
    <row r="234" spans="1:50" ht="15" x14ac:dyDescent="0.25">
      <c r="A234" s="170"/>
      <c r="B234" s="719"/>
      <c r="C234" s="170"/>
      <c r="D234" s="170"/>
      <c r="E234" s="170"/>
      <c r="F234" s="170"/>
      <c r="G234" s="721"/>
      <c r="H234" s="170"/>
      <c r="I234" s="170"/>
      <c r="J234" s="170"/>
      <c r="K234" s="170"/>
      <c r="L234" s="170"/>
      <c r="M234" s="730"/>
      <c r="N234" s="730"/>
      <c r="O234" s="730"/>
      <c r="P234" s="731"/>
      <c r="Q234" s="731"/>
      <c r="R234" s="730"/>
      <c r="S234" s="730"/>
      <c r="T234" s="723"/>
      <c r="U234" s="724"/>
      <c r="V234" s="725"/>
      <c r="W234" s="725"/>
      <c r="X234" s="723"/>
      <c r="Y234" s="723"/>
      <c r="Z234" s="723"/>
      <c r="AA234" s="726"/>
      <c r="AB234" s="726"/>
      <c r="AC234" s="170"/>
      <c r="AD234" s="586"/>
      <c r="AE234" s="586"/>
      <c r="AF234" s="170"/>
      <c r="AG234" s="170"/>
      <c r="AH234" s="170"/>
      <c r="AI234" s="170"/>
      <c r="AJ234" s="170"/>
      <c r="AK234" s="170"/>
      <c r="AL234" s="170"/>
      <c r="AM234" s="170"/>
      <c r="AN234" s="170"/>
      <c r="AO234" s="170"/>
      <c r="AP234" s="170"/>
      <c r="AQ234" s="170"/>
      <c r="AR234" s="170"/>
      <c r="AS234" s="170"/>
      <c r="AT234" s="170"/>
      <c r="AU234" s="170"/>
      <c r="AV234" s="170"/>
      <c r="AW234" s="170"/>
      <c r="AX234" s="170"/>
    </row>
    <row r="235" spans="1:50" ht="15" x14ac:dyDescent="0.25">
      <c r="A235" s="170"/>
      <c r="B235" s="719"/>
      <c r="C235" s="170"/>
      <c r="D235" s="170"/>
      <c r="E235" s="170"/>
      <c r="F235" s="170"/>
      <c r="G235" s="721"/>
      <c r="H235" s="170"/>
      <c r="I235" s="170"/>
      <c r="J235" s="170"/>
      <c r="K235" s="170"/>
      <c r="L235" s="170"/>
      <c r="M235" s="730"/>
      <c r="N235" s="730"/>
      <c r="O235" s="730"/>
      <c r="P235" s="731"/>
      <c r="Q235" s="731"/>
      <c r="R235" s="730"/>
      <c r="S235" s="730"/>
      <c r="T235" s="723"/>
      <c r="U235" s="724"/>
      <c r="V235" s="725"/>
      <c r="W235" s="725"/>
      <c r="X235" s="723"/>
      <c r="Y235" s="723"/>
      <c r="Z235" s="723"/>
      <c r="AA235" s="726"/>
      <c r="AB235" s="726"/>
      <c r="AC235" s="170"/>
      <c r="AD235" s="586"/>
      <c r="AE235" s="586"/>
      <c r="AF235" s="170"/>
      <c r="AG235" s="170"/>
      <c r="AH235" s="170"/>
      <c r="AI235" s="170"/>
      <c r="AJ235" s="170"/>
      <c r="AK235" s="170"/>
      <c r="AL235" s="170"/>
      <c r="AM235" s="170"/>
      <c r="AN235" s="170"/>
      <c r="AO235" s="170"/>
      <c r="AP235" s="170"/>
      <c r="AQ235" s="170"/>
      <c r="AR235" s="170"/>
      <c r="AS235" s="170"/>
      <c r="AT235" s="170"/>
      <c r="AU235" s="170"/>
      <c r="AV235" s="170"/>
      <c r="AW235" s="170"/>
      <c r="AX235" s="170"/>
    </row>
    <row r="236" spans="1:50" ht="15" x14ac:dyDescent="0.25">
      <c r="A236" s="170"/>
      <c r="B236" s="719"/>
      <c r="C236" s="170"/>
      <c r="D236" s="170"/>
      <c r="E236" s="170"/>
      <c r="F236" s="170"/>
      <c r="G236" s="721"/>
      <c r="H236" s="170"/>
      <c r="I236" s="170"/>
      <c r="J236" s="170"/>
      <c r="K236" s="170"/>
      <c r="L236" s="170"/>
      <c r="M236" s="730"/>
      <c r="N236" s="730"/>
      <c r="O236" s="730"/>
      <c r="P236" s="731"/>
      <c r="Q236" s="731"/>
      <c r="R236" s="730"/>
      <c r="S236" s="730"/>
      <c r="T236" s="723"/>
      <c r="U236" s="724"/>
      <c r="V236" s="725"/>
      <c r="W236" s="725"/>
      <c r="X236" s="723"/>
      <c r="Y236" s="723"/>
      <c r="Z236" s="723"/>
      <c r="AA236" s="726"/>
      <c r="AB236" s="726"/>
      <c r="AC236" s="170"/>
      <c r="AD236" s="586"/>
      <c r="AE236" s="586"/>
      <c r="AF236" s="170"/>
      <c r="AG236" s="170"/>
      <c r="AH236" s="170"/>
      <c r="AI236" s="170"/>
      <c r="AJ236" s="170"/>
      <c r="AK236" s="170"/>
      <c r="AL236" s="170"/>
      <c r="AM236" s="170"/>
      <c r="AN236" s="170"/>
      <c r="AO236" s="170"/>
      <c r="AP236" s="170"/>
      <c r="AQ236" s="170"/>
      <c r="AR236" s="170"/>
      <c r="AS236" s="170"/>
      <c r="AT236" s="170"/>
      <c r="AU236" s="170"/>
      <c r="AV236" s="170"/>
      <c r="AW236" s="170"/>
      <c r="AX236" s="170"/>
    </row>
    <row r="237" spans="1:50" ht="15" x14ac:dyDescent="0.25">
      <c r="A237" s="170"/>
      <c r="B237" s="719"/>
      <c r="C237" s="170"/>
      <c r="D237" s="170"/>
      <c r="E237" s="170"/>
      <c r="F237" s="170"/>
      <c r="G237" s="721"/>
      <c r="H237" s="170"/>
      <c r="I237" s="170"/>
      <c r="J237" s="170"/>
      <c r="K237" s="170"/>
      <c r="L237" s="170"/>
      <c r="M237" s="730"/>
      <c r="N237" s="730"/>
      <c r="O237" s="730"/>
      <c r="P237" s="731"/>
      <c r="Q237" s="731"/>
      <c r="R237" s="730"/>
      <c r="S237" s="730"/>
      <c r="T237" s="723"/>
      <c r="U237" s="724"/>
      <c r="V237" s="725"/>
      <c r="W237" s="725"/>
      <c r="X237" s="723"/>
      <c r="Y237" s="723"/>
      <c r="Z237" s="723"/>
      <c r="AA237" s="726"/>
      <c r="AB237" s="726"/>
      <c r="AC237" s="170"/>
      <c r="AD237" s="586"/>
      <c r="AE237" s="586"/>
      <c r="AF237" s="170"/>
      <c r="AG237" s="170"/>
      <c r="AH237" s="170"/>
      <c r="AI237" s="170"/>
      <c r="AJ237" s="170"/>
      <c r="AK237" s="170"/>
      <c r="AL237" s="170"/>
      <c r="AM237" s="170"/>
      <c r="AN237" s="170"/>
      <c r="AO237" s="170"/>
      <c r="AP237" s="170"/>
      <c r="AQ237" s="170"/>
      <c r="AR237" s="170"/>
      <c r="AS237" s="170"/>
      <c r="AT237" s="170"/>
      <c r="AU237" s="170"/>
      <c r="AV237" s="170"/>
      <c r="AW237" s="170"/>
      <c r="AX237" s="170"/>
    </row>
    <row r="238" spans="1:50" ht="15" x14ac:dyDescent="0.25">
      <c r="A238" s="170"/>
      <c r="B238" s="719"/>
      <c r="C238" s="170"/>
      <c r="D238" s="170"/>
      <c r="E238" s="170"/>
      <c r="F238" s="170"/>
      <c r="G238" s="721"/>
      <c r="H238" s="170"/>
      <c r="I238" s="170"/>
      <c r="J238" s="170"/>
      <c r="K238" s="170"/>
      <c r="L238" s="170"/>
      <c r="M238" s="730"/>
      <c r="N238" s="730"/>
      <c r="O238" s="730"/>
      <c r="P238" s="731"/>
      <c r="Q238" s="731"/>
      <c r="R238" s="730"/>
      <c r="S238" s="730"/>
      <c r="T238" s="723"/>
      <c r="U238" s="724"/>
      <c r="V238" s="725"/>
      <c r="W238" s="725"/>
      <c r="X238" s="723"/>
      <c r="Y238" s="723"/>
      <c r="Z238" s="723"/>
      <c r="AA238" s="726"/>
      <c r="AB238" s="726"/>
      <c r="AC238" s="170"/>
      <c r="AD238" s="586"/>
      <c r="AE238" s="586"/>
      <c r="AF238" s="170"/>
      <c r="AG238" s="170"/>
      <c r="AH238" s="170"/>
      <c r="AI238" s="170"/>
      <c r="AJ238" s="170"/>
      <c r="AK238" s="170"/>
      <c r="AL238" s="170"/>
      <c r="AM238" s="170"/>
      <c r="AN238" s="170"/>
      <c r="AO238" s="170"/>
      <c r="AP238" s="170"/>
      <c r="AQ238" s="170"/>
      <c r="AR238" s="170"/>
      <c r="AS238" s="170"/>
      <c r="AT238" s="170"/>
      <c r="AU238" s="170"/>
      <c r="AV238" s="170"/>
      <c r="AW238" s="170"/>
      <c r="AX238" s="170"/>
    </row>
    <row r="239" spans="1:50" ht="15" x14ac:dyDescent="0.25">
      <c r="A239" s="170"/>
      <c r="B239" s="719"/>
      <c r="C239" s="170"/>
      <c r="D239" s="170"/>
      <c r="E239" s="170"/>
      <c r="F239" s="170"/>
      <c r="G239" s="721"/>
      <c r="H239" s="170"/>
      <c r="I239" s="170"/>
      <c r="J239" s="170"/>
      <c r="K239" s="170"/>
      <c r="L239" s="170"/>
      <c r="M239" s="730"/>
      <c r="N239" s="730"/>
      <c r="O239" s="730"/>
      <c r="P239" s="731"/>
      <c r="Q239" s="731"/>
      <c r="R239" s="730"/>
      <c r="S239" s="730"/>
      <c r="T239" s="723"/>
      <c r="U239" s="724"/>
      <c r="V239" s="725"/>
      <c r="W239" s="725"/>
      <c r="X239" s="723"/>
      <c r="Y239" s="723"/>
      <c r="Z239" s="723"/>
      <c r="AA239" s="726"/>
      <c r="AB239" s="726"/>
      <c r="AC239" s="170"/>
      <c r="AD239" s="586"/>
      <c r="AE239" s="586"/>
      <c r="AF239" s="170"/>
      <c r="AG239" s="170"/>
      <c r="AH239" s="170"/>
      <c r="AI239" s="170"/>
      <c r="AJ239" s="170"/>
      <c r="AK239" s="170"/>
      <c r="AL239" s="170"/>
      <c r="AM239" s="170"/>
      <c r="AN239" s="170"/>
      <c r="AO239" s="170"/>
      <c r="AP239" s="170"/>
      <c r="AQ239" s="170"/>
      <c r="AR239" s="170"/>
      <c r="AS239" s="170"/>
      <c r="AT239" s="170"/>
      <c r="AU239" s="170"/>
      <c r="AV239" s="170"/>
      <c r="AW239" s="170"/>
      <c r="AX239" s="170"/>
    </row>
    <row r="240" spans="1:50" ht="15" x14ac:dyDescent="0.25">
      <c r="A240" s="170"/>
      <c r="B240" s="719"/>
      <c r="C240" s="170"/>
      <c r="D240" s="170"/>
      <c r="E240" s="170"/>
      <c r="F240" s="170"/>
      <c r="G240" s="721"/>
      <c r="H240" s="170"/>
      <c r="I240" s="170"/>
      <c r="J240" s="170"/>
      <c r="K240" s="170"/>
      <c r="L240" s="170"/>
      <c r="M240" s="730"/>
      <c r="N240" s="730"/>
      <c r="O240" s="730"/>
      <c r="P240" s="731"/>
      <c r="Q240" s="731"/>
      <c r="R240" s="730"/>
      <c r="S240" s="730"/>
      <c r="T240" s="723"/>
      <c r="U240" s="724"/>
      <c r="V240" s="725"/>
      <c r="W240" s="725"/>
      <c r="X240" s="723"/>
      <c r="Y240" s="723"/>
      <c r="Z240" s="723"/>
      <c r="AA240" s="726"/>
      <c r="AB240" s="726"/>
      <c r="AC240" s="170"/>
      <c r="AD240" s="586"/>
      <c r="AE240" s="586"/>
      <c r="AF240" s="170"/>
      <c r="AG240" s="170"/>
      <c r="AH240" s="170"/>
      <c r="AI240" s="170"/>
      <c r="AJ240" s="170"/>
      <c r="AK240" s="170"/>
      <c r="AL240" s="170"/>
      <c r="AM240" s="170"/>
      <c r="AN240" s="170"/>
      <c r="AO240" s="170"/>
      <c r="AP240" s="170"/>
      <c r="AQ240" s="170"/>
      <c r="AR240" s="170"/>
      <c r="AS240" s="170"/>
      <c r="AT240" s="170"/>
      <c r="AU240" s="170"/>
      <c r="AV240" s="170"/>
      <c r="AW240" s="170"/>
      <c r="AX240" s="170"/>
    </row>
    <row r="241" spans="1:50" ht="15" x14ac:dyDescent="0.25">
      <c r="A241" s="170"/>
      <c r="B241" s="719"/>
      <c r="C241" s="170"/>
      <c r="D241" s="170"/>
      <c r="E241" s="170"/>
      <c r="F241" s="170"/>
      <c r="G241" s="721"/>
      <c r="H241" s="170"/>
      <c r="I241" s="170"/>
      <c r="J241" s="170"/>
      <c r="K241" s="170"/>
      <c r="L241" s="170"/>
      <c r="M241" s="730"/>
      <c r="N241" s="730"/>
      <c r="O241" s="730"/>
      <c r="P241" s="731"/>
      <c r="Q241" s="731"/>
      <c r="R241" s="730"/>
      <c r="S241" s="730"/>
      <c r="T241" s="723"/>
      <c r="U241" s="724"/>
      <c r="V241" s="725"/>
      <c r="W241" s="725"/>
      <c r="X241" s="723"/>
      <c r="Y241" s="723"/>
      <c r="Z241" s="723"/>
      <c r="AA241" s="726"/>
      <c r="AB241" s="726"/>
      <c r="AC241" s="170"/>
      <c r="AD241" s="586"/>
      <c r="AE241" s="586"/>
      <c r="AF241" s="170"/>
      <c r="AG241" s="170"/>
      <c r="AH241" s="170"/>
      <c r="AI241" s="170"/>
      <c r="AJ241" s="170"/>
      <c r="AK241" s="170"/>
      <c r="AL241" s="170"/>
      <c r="AM241" s="170"/>
      <c r="AN241" s="170"/>
      <c r="AO241" s="170"/>
      <c r="AP241" s="170"/>
      <c r="AQ241" s="170"/>
      <c r="AR241" s="170"/>
      <c r="AS241" s="170"/>
      <c r="AT241" s="170"/>
      <c r="AU241" s="170"/>
      <c r="AV241" s="170"/>
      <c r="AW241" s="170"/>
      <c r="AX241" s="170"/>
    </row>
    <row r="242" spans="1:50" ht="15" x14ac:dyDescent="0.25">
      <c r="A242" s="170"/>
      <c r="B242" s="719"/>
      <c r="C242" s="170"/>
      <c r="D242" s="170"/>
      <c r="E242" s="170"/>
      <c r="F242" s="170"/>
      <c r="G242" s="721"/>
      <c r="H242" s="170"/>
      <c r="I242" s="170"/>
      <c r="J242" s="170"/>
      <c r="K242" s="170"/>
      <c r="L242" s="170"/>
      <c r="M242" s="730"/>
      <c r="N242" s="730"/>
      <c r="O242" s="730"/>
      <c r="P242" s="731"/>
      <c r="Q242" s="731"/>
      <c r="R242" s="730"/>
      <c r="S242" s="730"/>
      <c r="T242" s="723"/>
      <c r="U242" s="724"/>
      <c r="V242" s="725"/>
      <c r="W242" s="725"/>
      <c r="X242" s="723"/>
      <c r="Y242" s="723"/>
      <c r="Z242" s="723"/>
      <c r="AA242" s="726"/>
      <c r="AB242" s="726"/>
      <c r="AC242" s="170"/>
      <c r="AD242" s="586"/>
      <c r="AE242" s="586"/>
      <c r="AF242" s="170"/>
      <c r="AG242" s="170"/>
      <c r="AH242" s="170"/>
      <c r="AI242" s="170"/>
      <c r="AJ242" s="170"/>
      <c r="AK242" s="170"/>
      <c r="AL242" s="170"/>
      <c r="AM242" s="170"/>
      <c r="AN242" s="170"/>
      <c r="AO242" s="170"/>
      <c r="AP242" s="170"/>
      <c r="AQ242" s="170"/>
      <c r="AR242" s="170"/>
      <c r="AS242" s="170"/>
      <c r="AT242" s="170"/>
      <c r="AU242" s="170"/>
      <c r="AV242" s="170"/>
      <c r="AW242" s="170"/>
      <c r="AX242" s="170"/>
    </row>
    <row r="243" spans="1:50" ht="15" x14ac:dyDescent="0.25">
      <c r="A243" s="170"/>
      <c r="B243" s="719"/>
      <c r="C243" s="170"/>
      <c r="D243" s="170"/>
      <c r="E243" s="170"/>
      <c r="F243" s="170"/>
      <c r="G243" s="721"/>
      <c r="H243" s="170"/>
      <c r="I243" s="170"/>
      <c r="J243" s="170"/>
      <c r="K243" s="170"/>
      <c r="L243" s="170"/>
      <c r="M243" s="730"/>
      <c r="N243" s="730"/>
      <c r="O243" s="730"/>
      <c r="P243" s="731"/>
      <c r="Q243" s="731"/>
      <c r="R243" s="730"/>
      <c r="S243" s="730"/>
      <c r="T243" s="723"/>
      <c r="U243" s="724"/>
      <c r="V243" s="725"/>
      <c r="W243" s="725"/>
      <c r="X243" s="723"/>
      <c r="Y243" s="723"/>
      <c r="Z243" s="723"/>
      <c r="AA243" s="726"/>
      <c r="AB243" s="726"/>
      <c r="AC243" s="170"/>
      <c r="AD243" s="586"/>
      <c r="AE243" s="586"/>
      <c r="AF243" s="170"/>
      <c r="AG243" s="170"/>
      <c r="AH243" s="170"/>
      <c r="AI243" s="170"/>
      <c r="AJ243" s="170"/>
      <c r="AK243" s="170"/>
      <c r="AL243" s="170"/>
      <c r="AM243" s="170"/>
      <c r="AN243" s="170"/>
      <c r="AO243" s="170"/>
      <c r="AP243" s="170"/>
      <c r="AQ243" s="170"/>
      <c r="AR243" s="170"/>
      <c r="AS243" s="170"/>
      <c r="AT243" s="170"/>
      <c r="AU243" s="170"/>
      <c r="AV243" s="170"/>
      <c r="AW243" s="170"/>
      <c r="AX243" s="170"/>
    </row>
    <row r="244" spans="1:50" ht="15" x14ac:dyDescent="0.25">
      <c r="A244" s="170"/>
      <c r="B244" s="719"/>
      <c r="C244" s="170"/>
      <c r="D244" s="170"/>
      <c r="E244" s="170"/>
      <c r="F244" s="170"/>
      <c r="G244" s="721"/>
      <c r="H244" s="170"/>
      <c r="I244" s="170"/>
      <c r="J244" s="170"/>
      <c r="K244" s="170"/>
      <c r="L244" s="170"/>
      <c r="M244" s="730"/>
      <c r="N244" s="730"/>
      <c r="O244" s="730"/>
      <c r="P244" s="731"/>
      <c r="Q244" s="731"/>
      <c r="R244" s="730"/>
      <c r="S244" s="730"/>
      <c r="T244" s="723"/>
      <c r="U244" s="724"/>
      <c r="V244" s="725"/>
      <c r="W244" s="725"/>
      <c r="X244" s="723"/>
      <c r="Y244" s="723"/>
      <c r="Z244" s="723"/>
      <c r="AA244" s="726"/>
      <c r="AB244" s="726"/>
      <c r="AC244" s="170"/>
      <c r="AD244" s="586"/>
      <c r="AE244" s="586"/>
      <c r="AF244" s="170"/>
      <c r="AG244" s="170"/>
      <c r="AH244" s="170"/>
      <c r="AI244" s="170"/>
      <c r="AJ244" s="170"/>
      <c r="AK244" s="170"/>
      <c r="AL244" s="170"/>
      <c r="AM244" s="170"/>
      <c r="AN244" s="170"/>
      <c r="AO244" s="170"/>
      <c r="AP244" s="170"/>
      <c r="AQ244" s="170"/>
      <c r="AR244" s="170"/>
      <c r="AS244" s="170"/>
      <c r="AT244" s="170"/>
      <c r="AU244" s="170"/>
      <c r="AV244" s="170"/>
      <c r="AW244" s="170"/>
      <c r="AX244" s="170"/>
    </row>
    <row r="245" spans="1:50" ht="15" x14ac:dyDescent="0.25">
      <c r="A245" s="170"/>
      <c r="B245" s="719"/>
      <c r="C245" s="170"/>
      <c r="D245" s="170"/>
      <c r="E245" s="170"/>
      <c r="F245" s="170"/>
      <c r="G245" s="721"/>
      <c r="H245" s="170"/>
      <c r="I245" s="170"/>
      <c r="J245" s="170"/>
      <c r="K245" s="170"/>
      <c r="L245" s="170"/>
      <c r="M245" s="730"/>
      <c r="N245" s="730"/>
      <c r="O245" s="730"/>
      <c r="P245" s="731"/>
      <c r="Q245" s="731"/>
      <c r="R245" s="730"/>
      <c r="S245" s="730"/>
      <c r="T245" s="723"/>
      <c r="U245" s="724"/>
      <c r="V245" s="725"/>
      <c r="W245" s="725"/>
      <c r="X245" s="723"/>
      <c r="Y245" s="723"/>
      <c r="Z245" s="723"/>
      <c r="AA245" s="726"/>
      <c r="AB245" s="726"/>
      <c r="AC245" s="170"/>
      <c r="AD245" s="586"/>
      <c r="AE245" s="586"/>
      <c r="AF245" s="170"/>
      <c r="AG245" s="170"/>
      <c r="AH245" s="170"/>
      <c r="AI245" s="170"/>
      <c r="AJ245" s="170"/>
      <c r="AK245" s="170"/>
      <c r="AL245" s="170"/>
      <c r="AM245" s="170"/>
      <c r="AN245" s="170"/>
      <c r="AO245" s="170"/>
      <c r="AP245" s="170"/>
      <c r="AQ245" s="170"/>
      <c r="AR245" s="170"/>
      <c r="AS245" s="170"/>
      <c r="AT245" s="170"/>
      <c r="AU245" s="170"/>
      <c r="AV245" s="170"/>
      <c r="AW245" s="170"/>
      <c r="AX245" s="170"/>
    </row>
    <row r="246" spans="1:50" ht="15" x14ac:dyDescent="0.25">
      <c r="A246" s="170"/>
      <c r="B246" s="719"/>
      <c r="C246" s="170"/>
      <c r="D246" s="170"/>
      <c r="E246" s="170"/>
      <c r="F246" s="170"/>
      <c r="G246" s="721"/>
      <c r="H246" s="170"/>
      <c r="I246" s="170"/>
      <c r="J246" s="170"/>
      <c r="K246" s="170"/>
      <c r="L246" s="170"/>
      <c r="M246" s="730"/>
      <c r="N246" s="730"/>
      <c r="O246" s="730"/>
      <c r="P246" s="731"/>
      <c r="Q246" s="731"/>
      <c r="R246" s="730"/>
      <c r="S246" s="730"/>
      <c r="T246" s="723"/>
      <c r="U246" s="724"/>
      <c r="V246" s="725"/>
      <c r="W246" s="725"/>
      <c r="X246" s="723"/>
      <c r="Y246" s="723"/>
      <c r="Z246" s="723"/>
      <c r="AA246" s="726"/>
      <c r="AB246" s="726"/>
      <c r="AC246" s="170"/>
      <c r="AD246" s="586"/>
      <c r="AE246" s="586"/>
      <c r="AF246" s="170"/>
      <c r="AG246" s="170"/>
      <c r="AH246" s="170"/>
      <c r="AI246" s="170"/>
      <c r="AJ246" s="170"/>
      <c r="AK246" s="170"/>
      <c r="AL246" s="170"/>
      <c r="AM246" s="170"/>
      <c r="AN246" s="170"/>
      <c r="AO246" s="170"/>
      <c r="AP246" s="170"/>
      <c r="AQ246" s="170"/>
      <c r="AR246" s="170"/>
      <c r="AS246" s="170"/>
      <c r="AT246" s="170"/>
      <c r="AU246" s="170"/>
      <c r="AV246" s="170"/>
      <c r="AW246" s="170"/>
      <c r="AX246" s="170"/>
    </row>
    <row r="247" spans="1:50" ht="15" x14ac:dyDescent="0.25">
      <c r="A247" s="170"/>
      <c r="B247" s="719"/>
      <c r="C247" s="170"/>
      <c r="D247" s="170"/>
      <c r="E247" s="170"/>
      <c r="F247" s="170"/>
      <c r="G247" s="721"/>
      <c r="H247" s="170"/>
      <c r="I247" s="170"/>
      <c r="J247" s="170"/>
      <c r="K247" s="170"/>
      <c r="L247" s="170"/>
      <c r="M247" s="730"/>
      <c r="N247" s="730"/>
      <c r="O247" s="730"/>
      <c r="P247" s="731"/>
      <c r="Q247" s="731"/>
      <c r="R247" s="730"/>
      <c r="S247" s="730"/>
      <c r="T247" s="723"/>
      <c r="U247" s="724"/>
      <c r="V247" s="725"/>
      <c r="W247" s="725"/>
      <c r="X247" s="723"/>
      <c r="Y247" s="723"/>
      <c r="Z247" s="723"/>
      <c r="AA247" s="726"/>
      <c r="AB247" s="726"/>
      <c r="AC247" s="170"/>
      <c r="AD247" s="586"/>
      <c r="AE247" s="586"/>
      <c r="AF247" s="170"/>
      <c r="AG247" s="170"/>
      <c r="AH247" s="170"/>
      <c r="AI247" s="170"/>
      <c r="AJ247" s="170"/>
      <c r="AK247" s="170"/>
      <c r="AL247" s="170"/>
      <c r="AM247" s="170"/>
      <c r="AN247" s="170"/>
      <c r="AO247" s="170"/>
      <c r="AP247" s="170"/>
      <c r="AQ247" s="170"/>
      <c r="AR247" s="170"/>
      <c r="AS247" s="170"/>
      <c r="AT247" s="170"/>
      <c r="AU247" s="170"/>
      <c r="AV247" s="170"/>
      <c r="AW247" s="170"/>
      <c r="AX247" s="170"/>
    </row>
    <row r="248" spans="1:50" ht="15" x14ac:dyDescent="0.25">
      <c r="A248" s="170"/>
      <c r="B248" s="719"/>
      <c r="C248" s="170"/>
      <c r="D248" s="170"/>
      <c r="E248" s="170"/>
      <c r="F248" s="170"/>
      <c r="G248" s="721"/>
      <c r="H248" s="170"/>
      <c r="I248" s="170"/>
      <c r="J248" s="170"/>
      <c r="K248" s="170"/>
      <c r="L248" s="170"/>
      <c r="M248" s="730"/>
      <c r="N248" s="730"/>
      <c r="O248" s="730"/>
      <c r="P248" s="731"/>
      <c r="Q248" s="731"/>
      <c r="R248" s="730"/>
      <c r="S248" s="730"/>
      <c r="T248" s="723"/>
      <c r="U248" s="724"/>
      <c r="V248" s="725"/>
      <c r="W248" s="725"/>
      <c r="X248" s="723"/>
      <c r="Y248" s="723"/>
      <c r="Z248" s="723"/>
      <c r="AA248" s="726"/>
      <c r="AB248" s="726"/>
      <c r="AC248" s="170"/>
      <c r="AD248" s="586"/>
      <c r="AE248" s="586"/>
      <c r="AF248" s="170"/>
      <c r="AG248" s="170"/>
      <c r="AH248" s="170"/>
      <c r="AI248" s="170"/>
      <c r="AJ248" s="170"/>
      <c r="AK248" s="170"/>
      <c r="AL248" s="170"/>
      <c r="AM248" s="170"/>
      <c r="AN248" s="170"/>
      <c r="AO248" s="170"/>
      <c r="AP248" s="170"/>
      <c r="AQ248" s="170"/>
      <c r="AR248" s="170"/>
      <c r="AS248" s="170"/>
      <c r="AT248" s="170"/>
      <c r="AU248" s="170"/>
      <c r="AV248" s="170"/>
      <c r="AW248" s="170"/>
      <c r="AX248" s="170"/>
    </row>
    <row r="249" spans="1:50" ht="15" x14ac:dyDescent="0.25">
      <c r="A249" s="170"/>
      <c r="B249" s="719"/>
      <c r="C249" s="170"/>
      <c r="D249" s="170"/>
      <c r="E249" s="170"/>
      <c r="F249" s="170"/>
      <c r="G249" s="721"/>
      <c r="H249" s="170"/>
      <c r="I249" s="170"/>
      <c r="J249" s="170"/>
      <c r="K249" s="170"/>
      <c r="L249" s="170"/>
      <c r="M249" s="730"/>
      <c r="N249" s="730"/>
      <c r="O249" s="730"/>
      <c r="P249" s="731"/>
      <c r="Q249" s="731"/>
      <c r="R249" s="730"/>
      <c r="S249" s="730"/>
      <c r="T249" s="723"/>
      <c r="U249" s="724"/>
      <c r="V249" s="725"/>
      <c r="W249" s="725"/>
      <c r="X249" s="723"/>
      <c r="Y249" s="723"/>
      <c r="Z249" s="723"/>
      <c r="AA249" s="726"/>
      <c r="AB249" s="726"/>
      <c r="AC249" s="170"/>
      <c r="AD249" s="586"/>
      <c r="AE249" s="586"/>
      <c r="AF249" s="170"/>
      <c r="AG249" s="170"/>
      <c r="AH249" s="170"/>
      <c r="AI249" s="170"/>
      <c r="AJ249" s="170"/>
      <c r="AK249" s="170"/>
      <c r="AL249" s="170"/>
      <c r="AM249" s="170"/>
      <c r="AN249" s="170"/>
      <c r="AO249" s="170"/>
      <c r="AP249" s="170"/>
      <c r="AQ249" s="170"/>
      <c r="AR249" s="170"/>
      <c r="AS249" s="170"/>
      <c r="AT249" s="170"/>
      <c r="AU249" s="170"/>
      <c r="AV249" s="170"/>
      <c r="AW249" s="170"/>
      <c r="AX249" s="170"/>
    </row>
    <row r="250" spans="1:50" ht="15" x14ac:dyDescent="0.25">
      <c r="A250" s="170"/>
      <c r="B250" s="719"/>
      <c r="C250" s="170"/>
      <c r="D250" s="170"/>
      <c r="E250" s="170"/>
      <c r="F250" s="170"/>
      <c r="G250" s="721"/>
      <c r="H250" s="170"/>
      <c r="I250" s="170"/>
      <c r="J250" s="170"/>
      <c r="K250" s="170"/>
      <c r="L250" s="170"/>
      <c r="M250" s="730"/>
      <c r="N250" s="730"/>
      <c r="O250" s="730"/>
      <c r="P250" s="731"/>
      <c r="Q250" s="731"/>
      <c r="R250" s="730"/>
      <c r="S250" s="730"/>
      <c r="T250" s="723"/>
      <c r="U250" s="724"/>
      <c r="V250" s="725"/>
      <c r="W250" s="725"/>
      <c r="X250" s="723"/>
      <c r="Y250" s="723"/>
      <c r="Z250" s="723"/>
      <c r="AA250" s="726"/>
      <c r="AB250" s="726"/>
      <c r="AC250" s="170"/>
      <c r="AD250" s="586"/>
      <c r="AE250" s="586"/>
      <c r="AF250" s="170"/>
      <c r="AG250" s="170"/>
      <c r="AH250" s="170"/>
      <c r="AI250" s="170"/>
      <c r="AJ250" s="170"/>
      <c r="AK250" s="170"/>
      <c r="AL250" s="170"/>
      <c r="AM250" s="170"/>
      <c r="AN250" s="170"/>
      <c r="AO250" s="170"/>
      <c r="AP250" s="170"/>
      <c r="AQ250" s="170"/>
      <c r="AR250" s="170"/>
      <c r="AS250" s="170"/>
      <c r="AT250" s="170"/>
      <c r="AU250" s="170"/>
      <c r="AV250" s="170"/>
      <c r="AW250" s="170"/>
      <c r="AX250" s="170"/>
    </row>
    <row r="251" spans="1:50" ht="15" x14ac:dyDescent="0.25">
      <c r="A251" s="170"/>
      <c r="B251" s="719"/>
      <c r="C251" s="170"/>
      <c r="D251" s="170"/>
      <c r="E251" s="170"/>
      <c r="F251" s="170"/>
      <c r="G251" s="721"/>
      <c r="H251" s="170"/>
      <c r="I251" s="170"/>
      <c r="J251" s="170"/>
      <c r="K251" s="170"/>
      <c r="L251" s="170"/>
      <c r="M251" s="730"/>
      <c r="N251" s="730"/>
      <c r="O251" s="730"/>
      <c r="P251" s="731"/>
      <c r="Q251" s="731"/>
      <c r="R251" s="730"/>
      <c r="S251" s="730"/>
      <c r="T251" s="723"/>
      <c r="U251" s="724"/>
      <c r="V251" s="725"/>
      <c r="W251" s="725"/>
      <c r="X251" s="723"/>
      <c r="Y251" s="723"/>
      <c r="Z251" s="723"/>
      <c r="AA251" s="726"/>
      <c r="AB251" s="726"/>
      <c r="AC251" s="170"/>
      <c r="AD251" s="586"/>
      <c r="AE251" s="586"/>
      <c r="AF251" s="170"/>
      <c r="AG251" s="170"/>
      <c r="AH251" s="170"/>
      <c r="AI251" s="170"/>
      <c r="AJ251" s="170"/>
      <c r="AK251" s="170"/>
      <c r="AL251" s="170"/>
      <c r="AM251" s="170"/>
      <c r="AN251" s="170"/>
      <c r="AO251" s="170"/>
      <c r="AP251" s="170"/>
      <c r="AQ251" s="170"/>
      <c r="AR251" s="170"/>
      <c r="AS251" s="170"/>
      <c r="AT251" s="170"/>
      <c r="AU251" s="170"/>
      <c r="AV251" s="170"/>
      <c r="AW251" s="170"/>
      <c r="AX251" s="170"/>
    </row>
    <row r="252" spans="1:50" ht="15" x14ac:dyDescent="0.25">
      <c r="A252" s="170"/>
      <c r="B252" s="719"/>
      <c r="C252" s="170"/>
      <c r="D252" s="170"/>
      <c r="E252" s="170"/>
      <c r="F252" s="170"/>
      <c r="G252" s="721"/>
      <c r="H252" s="170"/>
      <c r="I252" s="170"/>
      <c r="J252" s="170"/>
      <c r="K252" s="170"/>
      <c r="L252" s="170"/>
      <c r="M252" s="730"/>
      <c r="N252" s="730"/>
      <c r="O252" s="730"/>
      <c r="P252" s="731"/>
      <c r="Q252" s="731"/>
      <c r="R252" s="730"/>
      <c r="S252" s="730"/>
      <c r="T252" s="723"/>
      <c r="U252" s="724"/>
      <c r="V252" s="725"/>
      <c r="W252" s="725"/>
      <c r="X252" s="723"/>
      <c r="Y252" s="723"/>
      <c r="Z252" s="723"/>
      <c r="AA252" s="726"/>
      <c r="AB252" s="726"/>
      <c r="AC252" s="170"/>
      <c r="AD252" s="586"/>
      <c r="AE252" s="586"/>
      <c r="AF252" s="170"/>
      <c r="AG252" s="170"/>
      <c r="AH252" s="170"/>
      <c r="AI252" s="170"/>
      <c r="AJ252" s="170"/>
      <c r="AK252" s="170"/>
      <c r="AL252" s="170"/>
      <c r="AM252" s="170"/>
      <c r="AN252" s="170"/>
      <c r="AO252" s="170"/>
      <c r="AP252" s="170"/>
      <c r="AQ252" s="170"/>
      <c r="AR252" s="170"/>
      <c r="AS252" s="170"/>
      <c r="AT252" s="170"/>
      <c r="AU252" s="170"/>
      <c r="AV252" s="170"/>
      <c r="AW252" s="170"/>
      <c r="AX252" s="170"/>
    </row>
    <row r="253" spans="1:50" ht="15" x14ac:dyDescent="0.25">
      <c r="A253" s="170"/>
      <c r="B253" s="719"/>
      <c r="C253" s="170"/>
      <c r="D253" s="170"/>
      <c r="E253" s="170"/>
      <c r="F253" s="170"/>
      <c r="G253" s="721"/>
      <c r="H253" s="170"/>
      <c r="I253" s="170"/>
      <c r="J253" s="170"/>
      <c r="K253" s="170"/>
      <c r="L253" s="170"/>
      <c r="M253" s="730"/>
      <c r="N253" s="730"/>
      <c r="O253" s="730"/>
      <c r="P253" s="731"/>
      <c r="Q253" s="731"/>
      <c r="R253" s="730"/>
      <c r="S253" s="730"/>
      <c r="T253" s="723"/>
      <c r="U253" s="724"/>
      <c r="V253" s="725"/>
      <c r="W253" s="725"/>
      <c r="X253" s="723"/>
      <c r="Y253" s="723"/>
      <c r="Z253" s="723"/>
      <c r="AA253" s="726"/>
      <c r="AB253" s="726"/>
      <c r="AC253" s="170"/>
      <c r="AD253" s="586"/>
      <c r="AE253" s="586"/>
      <c r="AF253" s="170"/>
      <c r="AG253" s="170"/>
      <c r="AH253" s="170"/>
      <c r="AI253" s="170"/>
      <c r="AJ253" s="170"/>
      <c r="AK253" s="170"/>
      <c r="AL253" s="170"/>
      <c r="AM253" s="170"/>
      <c r="AN253" s="170"/>
      <c r="AO253" s="170"/>
      <c r="AP253" s="170"/>
      <c r="AQ253" s="170"/>
      <c r="AR253" s="170"/>
      <c r="AS253" s="170"/>
      <c r="AT253" s="170"/>
      <c r="AU253" s="170"/>
      <c r="AV253" s="170"/>
      <c r="AW253" s="170"/>
      <c r="AX253" s="170"/>
    </row>
    <row r="254" spans="1:50" ht="15" x14ac:dyDescent="0.25">
      <c r="A254" s="170"/>
      <c r="B254" s="719"/>
      <c r="C254" s="170"/>
      <c r="D254" s="170"/>
      <c r="E254" s="170"/>
      <c r="F254" s="170"/>
      <c r="G254" s="721"/>
      <c r="H254" s="170"/>
      <c r="I254" s="170"/>
      <c r="J254" s="170"/>
      <c r="K254" s="170"/>
      <c r="L254" s="170"/>
      <c r="M254" s="730"/>
      <c r="N254" s="730"/>
      <c r="O254" s="730"/>
      <c r="P254" s="731"/>
      <c r="Q254" s="731"/>
      <c r="R254" s="730"/>
      <c r="S254" s="730"/>
      <c r="T254" s="723"/>
      <c r="U254" s="724"/>
      <c r="V254" s="725"/>
      <c r="W254" s="725"/>
      <c r="X254" s="723"/>
      <c r="Y254" s="723"/>
      <c r="Z254" s="723"/>
      <c r="AA254" s="726"/>
      <c r="AB254" s="726"/>
      <c r="AC254" s="170"/>
      <c r="AD254" s="586"/>
      <c r="AE254" s="586"/>
      <c r="AF254" s="170"/>
      <c r="AG254" s="170"/>
      <c r="AH254" s="170"/>
      <c r="AI254" s="170"/>
      <c r="AJ254" s="170"/>
      <c r="AK254" s="170"/>
      <c r="AL254" s="170"/>
      <c r="AM254" s="170"/>
      <c r="AN254" s="170"/>
      <c r="AO254" s="170"/>
      <c r="AP254" s="170"/>
      <c r="AQ254" s="170"/>
      <c r="AR254" s="170"/>
      <c r="AS254" s="170"/>
      <c r="AT254" s="170"/>
      <c r="AU254" s="170"/>
      <c r="AV254" s="170"/>
      <c r="AW254" s="170"/>
      <c r="AX254" s="170"/>
    </row>
    <row r="255" spans="1:50" ht="15" x14ac:dyDescent="0.25">
      <c r="A255" s="170"/>
      <c r="B255" s="719"/>
      <c r="C255" s="170"/>
      <c r="D255" s="170"/>
      <c r="E255" s="170"/>
      <c r="F255" s="170"/>
      <c r="G255" s="721"/>
      <c r="H255" s="170"/>
      <c r="I255" s="170"/>
      <c r="J255" s="170"/>
      <c r="K255" s="170"/>
      <c r="L255" s="170"/>
      <c r="M255" s="730"/>
      <c r="N255" s="730"/>
      <c r="O255" s="730"/>
      <c r="P255" s="731"/>
      <c r="Q255" s="731"/>
      <c r="R255" s="730"/>
      <c r="S255" s="730"/>
      <c r="T255" s="723"/>
      <c r="U255" s="724"/>
      <c r="V255" s="725"/>
      <c r="W255" s="725"/>
      <c r="X255" s="723"/>
      <c r="Y255" s="723"/>
      <c r="Z255" s="723"/>
      <c r="AA255" s="726"/>
      <c r="AB255" s="726"/>
      <c r="AC255" s="170"/>
      <c r="AD255" s="586"/>
      <c r="AE255" s="586"/>
      <c r="AF255" s="170"/>
      <c r="AG255" s="170"/>
      <c r="AH255" s="170"/>
      <c r="AI255" s="170"/>
      <c r="AJ255" s="170"/>
      <c r="AK255" s="170"/>
      <c r="AL255" s="170"/>
      <c r="AM255" s="170"/>
      <c r="AN255" s="170"/>
      <c r="AO255" s="170"/>
      <c r="AP255" s="170"/>
      <c r="AQ255" s="170"/>
      <c r="AR255" s="170"/>
      <c r="AS255" s="170"/>
      <c r="AT255" s="170"/>
      <c r="AU255" s="170"/>
      <c r="AV255" s="170"/>
      <c r="AW255" s="170"/>
      <c r="AX255" s="170"/>
    </row>
    <row r="256" spans="1:50" ht="15" x14ac:dyDescent="0.25">
      <c r="A256" s="170"/>
      <c r="B256" s="719"/>
      <c r="C256" s="170"/>
      <c r="D256" s="170"/>
      <c r="E256" s="170"/>
      <c r="F256" s="170"/>
      <c r="G256" s="721"/>
      <c r="H256" s="170"/>
      <c r="I256" s="170"/>
      <c r="J256" s="170"/>
      <c r="K256" s="170"/>
      <c r="L256" s="170"/>
      <c r="M256" s="730"/>
      <c r="N256" s="730"/>
      <c r="O256" s="730"/>
      <c r="P256" s="731"/>
      <c r="Q256" s="731"/>
      <c r="R256" s="730"/>
      <c r="S256" s="730"/>
      <c r="T256" s="723"/>
      <c r="U256" s="724"/>
      <c r="V256" s="725"/>
      <c r="W256" s="725"/>
      <c r="X256" s="723"/>
      <c r="Y256" s="723"/>
      <c r="Z256" s="723"/>
      <c r="AA256" s="726"/>
      <c r="AB256" s="726"/>
      <c r="AC256" s="170"/>
      <c r="AD256" s="586"/>
      <c r="AE256" s="586"/>
      <c r="AF256" s="170"/>
      <c r="AG256" s="170"/>
      <c r="AH256" s="170"/>
      <c r="AI256" s="170"/>
      <c r="AJ256" s="170"/>
      <c r="AK256" s="170"/>
      <c r="AL256" s="170"/>
      <c r="AM256" s="170"/>
      <c r="AN256" s="170"/>
      <c r="AO256" s="170"/>
      <c r="AP256" s="170"/>
      <c r="AQ256" s="170"/>
      <c r="AR256" s="170"/>
      <c r="AS256" s="170"/>
      <c r="AT256" s="170"/>
      <c r="AU256" s="170"/>
      <c r="AV256" s="170"/>
      <c r="AW256" s="170"/>
      <c r="AX256" s="170"/>
    </row>
    <row r="257" spans="1:50" ht="15" x14ac:dyDescent="0.25">
      <c r="A257" s="170"/>
      <c r="B257" s="719"/>
      <c r="C257" s="170"/>
      <c r="D257" s="170"/>
      <c r="E257" s="170"/>
      <c r="F257" s="170"/>
      <c r="G257" s="721"/>
      <c r="H257" s="170"/>
      <c r="I257" s="170"/>
      <c r="J257" s="170"/>
      <c r="K257" s="170"/>
      <c r="L257" s="170"/>
      <c r="M257" s="730"/>
      <c r="N257" s="730"/>
      <c r="O257" s="730"/>
      <c r="P257" s="731"/>
      <c r="Q257" s="731"/>
      <c r="R257" s="730"/>
      <c r="S257" s="730"/>
      <c r="T257" s="723"/>
      <c r="U257" s="724"/>
      <c r="V257" s="725"/>
      <c r="W257" s="725"/>
      <c r="X257" s="723"/>
      <c r="Y257" s="723"/>
      <c r="Z257" s="723"/>
      <c r="AA257" s="726"/>
      <c r="AB257" s="726"/>
      <c r="AC257" s="170"/>
      <c r="AD257" s="586"/>
      <c r="AE257" s="586"/>
      <c r="AF257" s="170"/>
      <c r="AG257" s="170"/>
      <c r="AH257" s="170"/>
      <c r="AI257" s="170"/>
      <c r="AJ257" s="170"/>
      <c r="AK257" s="170"/>
      <c r="AL257" s="170"/>
      <c r="AM257" s="170"/>
      <c r="AN257" s="170"/>
      <c r="AO257" s="170"/>
      <c r="AP257" s="170"/>
      <c r="AQ257" s="170"/>
      <c r="AR257" s="170"/>
      <c r="AS257" s="170"/>
      <c r="AT257" s="170"/>
      <c r="AU257" s="170"/>
      <c r="AV257" s="170"/>
      <c r="AW257" s="170"/>
      <c r="AX257" s="170"/>
    </row>
    <row r="258" spans="1:50" ht="15" x14ac:dyDescent="0.25">
      <c r="A258" s="170"/>
      <c r="B258" s="719"/>
      <c r="C258" s="170"/>
      <c r="D258" s="170"/>
      <c r="E258" s="170"/>
      <c r="F258" s="170"/>
      <c r="G258" s="721"/>
      <c r="H258" s="170"/>
      <c r="I258" s="170"/>
      <c r="J258" s="170"/>
      <c r="K258" s="170"/>
      <c r="L258" s="170"/>
      <c r="M258" s="730"/>
      <c r="N258" s="730"/>
      <c r="O258" s="730"/>
      <c r="P258" s="731"/>
      <c r="Q258" s="731"/>
      <c r="R258" s="730"/>
      <c r="S258" s="730"/>
      <c r="T258" s="723"/>
      <c r="U258" s="724"/>
      <c r="V258" s="725"/>
      <c r="W258" s="725"/>
      <c r="X258" s="723"/>
      <c r="Y258" s="723"/>
      <c r="Z258" s="723"/>
      <c r="AA258" s="726"/>
      <c r="AB258" s="726"/>
      <c r="AC258" s="170"/>
      <c r="AD258" s="586"/>
      <c r="AE258" s="586"/>
      <c r="AF258" s="170"/>
      <c r="AG258" s="170"/>
      <c r="AH258" s="170"/>
      <c r="AI258" s="170"/>
      <c r="AJ258" s="170"/>
      <c r="AK258" s="170"/>
      <c r="AL258" s="170"/>
      <c r="AM258" s="170"/>
      <c r="AN258" s="170"/>
      <c r="AO258" s="170"/>
      <c r="AP258" s="170"/>
      <c r="AQ258" s="170"/>
      <c r="AR258" s="170"/>
      <c r="AS258" s="170"/>
      <c r="AT258" s="170"/>
      <c r="AU258" s="170"/>
      <c r="AV258" s="170"/>
      <c r="AW258" s="170"/>
      <c r="AX258" s="170"/>
    </row>
    <row r="259" spans="1:50" ht="15" x14ac:dyDescent="0.25">
      <c r="A259" s="170"/>
      <c r="B259" s="719"/>
      <c r="C259" s="170"/>
      <c r="D259" s="170"/>
      <c r="E259" s="170"/>
      <c r="F259" s="170"/>
      <c r="G259" s="721"/>
      <c r="H259" s="170"/>
      <c r="I259" s="170"/>
      <c r="J259" s="170"/>
      <c r="K259" s="170"/>
      <c r="L259" s="170"/>
      <c r="M259" s="730"/>
      <c r="N259" s="730"/>
      <c r="O259" s="730"/>
      <c r="P259" s="731"/>
      <c r="Q259" s="731"/>
      <c r="R259" s="730"/>
      <c r="S259" s="730"/>
      <c r="T259" s="723"/>
      <c r="U259" s="724"/>
      <c r="V259" s="725"/>
      <c r="W259" s="725"/>
      <c r="X259" s="723"/>
      <c r="Y259" s="723"/>
      <c r="Z259" s="723"/>
      <c r="AA259" s="726"/>
      <c r="AB259" s="726"/>
      <c r="AC259" s="170"/>
      <c r="AD259" s="586"/>
      <c r="AE259" s="586"/>
      <c r="AF259" s="170"/>
      <c r="AG259" s="170"/>
      <c r="AH259" s="170"/>
      <c r="AI259" s="170"/>
      <c r="AJ259" s="170"/>
      <c r="AK259" s="170"/>
      <c r="AL259" s="170"/>
      <c r="AM259" s="170"/>
      <c r="AN259" s="170"/>
      <c r="AO259" s="170"/>
      <c r="AP259" s="170"/>
      <c r="AQ259" s="170"/>
      <c r="AR259" s="170"/>
      <c r="AS259" s="170"/>
      <c r="AT259" s="170"/>
      <c r="AU259" s="170"/>
      <c r="AV259" s="170"/>
      <c r="AW259" s="170"/>
      <c r="AX259" s="170"/>
    </row>
    <row r="260" spans="1:50" ht="15" x14ac:dyDescent="0.25">
      <c r="A260" s="170"/>
      <c r="B260" s="719"/>
      <c r="C260" s="170"/>
      <c r="D260" s="170"/>
      <c r="E260" s="170"/>
      <c r="F260" s="170"/>
      <c r="G260" s="721"/>
      <c r="H260" s="170"/>
      <c r="I260" s="170"/>
      <c r="J260" s="170"/>
      <c r="K260" s="170"/>
      <c r="L260" s="170"/>
      <c r="M260" s="730"/>
      <c r="N260" s="730"/>
      <c r="O260" s="730"/>
      <c r="P260" s="731"/>
      <c r="Q260" s="731"/>
      <c r="R260" s="730"/>
      <c r="S260" s="730"/>
      <c r="T260" s="723"/>
      <c r="U260" s="724"/>
      <c r="V260" s="725"/>
      <c r="W260" s="725"/>
      <c r="X260" s="723"/>
      <c r="Y260" s="723"/>
      <c r="Z260" s="723"/>
      <c r="AA260" s="726"/>
      <c r="AB260" s="726"/>
      <c r="AC260" s="170"/>
      <c r="AD260" s="586"/>
      <c r="AE260" s="586"/>
      <c r="AF260" s="170"/>
      <c r="AG260" s="170"/>
      <c r="AH260" s="170"/>
      <c r="AI260" s="170"/>
      <c r="AJ260" s="170"/>
      <c r="AK260" s="170"/>
      <c r="AL260" s="170"/>
      <c r="AM260" s="170"/>
      <c r="AN260" s="170"/>
      <c r="AO260" s="170"/>
      <c r="AP260" s="170"/>
      <c r="AQ260" s="170"/>
      <c r="AR260" s="170"/>
      <c r="AS260" s="170"/>
      <c r="AT260" s="170"/>
      <c r="AU260" s="170"/>
      <c r="AV260" s="170"/>
      <c r="AW260" s="170"/>
      <c r="AX260" s="170"/>
    </row>
    <row r="261" spans="1:50" ht="15" x14ac:dyDescent="0.25">
      <c r="A261" s="170"/>
      <c r="B261" s="719"/>
      <c r="C261" s="170"/>
      <c r="D261" s="170"/>
      <c r="E261" s="170"/>
      <c r="F261" s="170"/>
      <c r="G261" s="721"/>
      <c r="H261" s="170"/>
      <c r="I261" s="170"/>
      <c r="J261" s="170"/>
      <c r="K261" s="170"/>
      <c r="L261" s="170"/>
      <c r="M261" s="730"/>
      <c r="N261" s="730"/>
      <c r="O261" s="730"/>
      <c r="P261" s="731"/>
      <c r="Q261" s="731"/>
      <c r="R261" s="730"/>
      <c r="S261" s="730"/>
      <c r="T261" s="723"/>
      <c r="U261" s="724"/>
      <c r="V261" s="725"/>
      <c r="W261" s="725"/>
      <c r="X261" s="723"/>
      <c r="Y261" s="723"/>
      <c r="Z261" s="723"/>
      <c r="AA261" s="726"/>
      <c r="AB261" s="726"/>
      <c r="AC261" s="170"/>
      <c r="AD261" s="586"/>
      <c r="AE261" s="586"/>
      <c r="AF261" s="170"/>
      <c r="AG261" s="170"/>
      <c r="AH261" s="170"/>
      <c r="AI261" s="170"/>
      <c r="AJ261" s="170"/>
      <c r="AK261" s="170"/>
      <c r="AL261" s="170"/>
      <c r="AM261" s="170"/>
      <c r="AN261" s="170"/>
      <c r="AO261" s="170"/>
      <c r="AP261" s="170"/>
      <c r="AQ261" s="170"/>
      <c r="AR261" s="170"/>
      <c r="AS261" s="170"/>
      <c r="AT261" s="170"/>
      <c r="AU261" s="170"/>
      <c r="AV261" s="170"/>
      <c r="AW261" s="170"/>
      <c r="AX261" s="170"/>
    </row>
    <row r="262" spans="1:50" ht="15" x14ac:dyDescent="0.25">
      <c r="A262" s="170"/>
      <c r="B262" s="719"/>
      <c r="C262" s="170"/>
      <c r="D262" s="170"/>
      <c r="E262" s="170"/>
      <c r="F262" s="170"/>
      <c r="G262" s="721"/>
      <c r="H262" s="170"/>
      <c r="I262" s="170"/>
      <c r="J262" s="170"/>
      <c r="K262" s="170"/>
      <c r="L262" s="170"/>
      <c r="M262" s="730"/>
      <c r="N262" s="730"/>
      <c r="O262" s="730"/>
      <c r="P262" s="731"/>
      <c r="Q262" s="731"/>
      <c r="R262" s="730"/>
      <c r="S262" s="730"/>
      <c r="T262" s="723"/>
      <c r="U262" s="724"/>
      <c r="V262" s="725"/>
      <c r="W262" s="725"/>
      <c r="X262" s="723"/>
      <c r="Y262" s="723"/>
      <c r="Z262" s="723"/>
      <c r="AA262" s="726"/>
      <c r="AB262" s="726"/>
      <c r="AC262" s="170"/>
      <c r="AD262" s="586"/>
      <c r="AE262" s="586"/>
      <c r="AF262" s="170"/>
      <c r="AG262" s="170"/>
      <c r="AH262" s="170"/>
      <c r="AI262" s="170"/>
      <c r="AJ262" s="170"/>
      <c r="AK262" s="170"/>
      <c r="AL262" s="170"/>
      <c r="AM262" s="170"/>
      <c r="AN262" s="170"/>
      <c r="AO262" s="170"/>
      <c r="AP262" s="170"/>
      <c r="AQ262" s="170"/>
      <c r="AR262" s="170"/>
      <c r="AS262" s="170"/>
      <c r="AT262" s="170"/>
      <c r="AU262" s="170"/>
      <c r="AV262" s="170"/>
      <c r="AW262" s="170"/>
      <c r="AX262" s="170"/>
    </row>
    <row r="263" spans="1:50" ht="15" x14ac:dyDescent="0.25">
      <c r="A263" s="170"/>
      <c r="B263" s="719"/>
      <c r="C263" s="170"/>
      <c r="D263" s="170"/>
      <c r="E263" s="170"/>
      <c r="F263" s="170"/>
      <c r="G263" s="721"/>
      <c r="H263" s="170"/>
      <c r="I263" s="170"/>
      <c r="J263" s="170"/>
      <c r="K263" s="170"/>
      <c r="L263" s="170"/>
      <c r="M263" s="730"/>
      <c r="N263" s="730"/>
      <c r="O263" s="730"/>
      <c r="P263" s="731"/>
      <c r="Q263" s="731"/>
      <c r="R263" s="730"/>
      <c r="S263" s="730"/>
      <c r="T263" s="723"/>
      <c r="U263" s="724"/>
      <c r="V263" s="725"/>
      <c r="W263" s="725"/>
      <c r="X263" s="723"/>
      <c r="Y263" s="723"/>
      <c r="Z263" s="723"/>
      <c r="AA263" s="726"/>
      <c r="AB263" s="726"/>
      <c r="AC263" s="170"/>
      <c r="AD263" s="586"/>
      <c r="AE263" s="586"/>
      <c r="AF263" s="170"/>
      <c r="AG263" s="170"/>
      <c r="AH263" s="170"/>
      <c r="AI263" s="170"/>
      <c r="AJ263" s="170"/>
      <c r="AK263" s="170"/>
      <c r="AL263" s="170"/>
      <c r="AM263" s="170"/>
      <c r="AN263" s="170"/>
      <c r="AO263" s="170"/>
      <c r="AP263" s="170"/>
      <c r="AQ263" s="170"/>
      <c r="AR263" s="170"/>
      <c r="AS263" s="170"/>
      <c r="AT263" s="170"/>
      <c r="AU263" s="170"/>
      <c r="AV263" s="170"/>
      <c r="AW263" s="170"/>
      <c r="AX263" s="170"/>
    </row>
    <row r="264" spans="1:50" ht="15" x14ac:dyDescent="0.25">
      <c r="A264" s="170"/>
      <c r="B264" s="719"/>
      <c r="C264" s="170"/>
      <c r="D264" s="170"/>
      <c r="E264" s="170"/>
      <c r="F264" s="170"/>
      <c r="G264" s="721"/>
      <c r="H264" s="170"/>
      <c r="I264" s="170"/>
      <c r="J264" s="170"/>
      <c r="K264" s="170"/>
      <c r="L264" s="170"/>
      <c r="M264" s="730"/>
      <c r="N264" s="730"/>
      <c r="O264" s="730"/>
      <c r="P264" s="731"/>
      <c r="Q264" s="731"/>
      <c r="R264" s="730"/>
      <c r="S264" s="730"/>
      <c r="T264" s="723"/>
      <c r="U264" s="724"/>
      <c r="V264" s="725"/>
      <c r="W264" s="725"/>
      <c r="X264" s="723"/>
      <c r="Y264" s="723"/>
      <c r="Z264" s="723"/>
      <c r="AA264" s="726"/>
      <c r="AB264" s="726"/>
      <c r="AC264" s="170"/>
      <c r="AD264" s="586"/>
      <c r="AE264" s="586"/>
      <c r="AF264" s="170"/>
      <c r="AG264" s="170"/>
      <c r="AH264" s="170"/>
      <c r="AI264" s="170"/>
      <c r="AJ264" s="170"/>
      <c r="AK264" s="170"/>
      <c r="AL264" s="170"/>
      <c r="AM264" s="170"/>
      <c r="AN264" s="170"/>
      <c r="AO264" s="170"/>
      <c r="AP264" s="170"/>
      <c r="AQ264" s="170"/>
      <c r="AR264" s="170"/>
      <c r="AS264" s="170"/>
      <c r="AT264" s="170"/>
      <c r="AU264" s="170"/>
      <c r="AV264" s="170"/>
      <c r="AW264" s="170"/>
      <c r="AX264" s="170"/>
    </row>
    <row r="265" spans="1:50" ht="15" x14ac:dyDescent="0.25">
      <c r="A265" s="170"/>
      <c r="B265" s="719"/>
      <c r="C265" s="170"/>
      <c r="D265" s="170"/>
      <c r="E265" s="170"/>
      <c r="F265" s="170"/>
      <c r="G265" s="721"/>
      <c r="H265" s="170"/>
      <c r="I265" s="170"/>
      <c r="J265" s="170"/>
      <c r="K265" s="170"/>
      <c r="L265" s="170"/>
      <c r="M265" s="730"/>
      <c r="N265" s="730"/>
      <c r="O265" s="730"/>
      <c r="P265" s="731"/>
      <c r="Q265" s="731"/>
      <c r="R265" s="730"/>
      <c r="S265" s="730"/>
      <c r="T265" s="723"/>
      <c r="U265" s="724"/>
      <c r="V265" s="725"/>
      <c r="W265" s="725"/>
      <c r="X265" s="723"/>
      <c r="Y265" s="723"/>
      <c r="Z265" s="723"/>
      <c r="AA265" s="726"/>
      <c r="AB265" s="726"/>
      <c r="AC265" s="170"/>
      <c r="AD265" s="586"/>
      <c r="AE265" s="586"/>
      <c r="AF265" s="170"/>
      <c r="AG265" s="170"/>
      <c r="AH265" s="170"/>
      <c r="AI265" s="170"/>
      <c r="AJ265" s="170"/>
      <c r="AK265" s="170"/>
      <c r="AL265" s="170"/>
      <c r="AM265" s="170"/>
      <c r="AN265" s="170"/>
      <c r="AO265" s="170"/>
      <c r="AP265" s="170"/>
      <c r="AQ265" s="170"/>
      <c r="AR265" s="170"/>
      <c r="AS265" s="170"/>
      <c r="AT265" s="170"/>
      <c r="AU265" s="170"/>
      <c r="AV265" s="170"/>
      <c r="AW265" s="170"/>
      <c r="AX265" s="170"/>
    </row>
    <row r="266" spans="1:50" ht="15" x14ac:dyDescent="0.25">
      <c r="A266" s="170"/>
      <c r="B266" s="719"/>
      <c r="C266" s="170"/>
      <c r="D266" s="170"/>
      <c r="E266" s="170"/>
      <c r="F266" s="170"/>
      <c r="G266" s="721"/>
      <c r="H266" s="170"/>
      <c r="I266" s="170"/>
      <c r="J266" s="170"/>
      <c r="K266" s="170"/>
      <c r="L266" s="170"/>
      <c r="M266" s="730"/>
      <c r="N266" s="730"/>
      <c r="O266" s="730"/>
      <c r="P266" s="731"/>
      <c r="Q266" s="731"/>
      <c r="R266" s="730"/>
      <c r="S266" s="730"/>
      <c r="T266" s="723"/>
      <c r="U266" s="724"/>
      <c r="V266" s="725"/>
      <c r="W266" s="725"/>
      <c r="X266" s="723"/>
      <c r="Y266" s="723"/>
      <c r="Z266" s="723"/>
      <c r="AA266" s="726"/>
      <c r="AB266" s="726"/>
      <c r="AC266" s="170"/>
      <c r="AD266" s="586"/>
      <c r="AE266" s="586"/>
      <c r="AF266" s="170"/>
      <c r="AG266" s="170"/>
      <c r="AH266" s="170"/>
      <c r="AI266" s="170"/>
      <c r="AJ266" s="170"/>
      <c r="AK266" s="170"/>
      <c r="AL266" s="170"/>
      <c r="AM266" s="170"/>
      <c r="AN266" s="170"/>
      <c r="AO266" s="170"/>
      <c r="AP266" s="170"/>
      <c r="AQ266" s="170"/>
      <c r="AR266" s="170"/>
      <c r="AS266" s="170"/>
      <c r="AT266" s="170"/>
      <c r="AU266" s="170"/>
      <c r="AV266" s="170"/>
      <c r="AW266" s="170"/>
      <c r="AX266" s="170"/>
    </row>
    <row r="267" spans="1:50" ht="15" x14ac:dyDescent="0.25">
      <c r="A267" s="170"/>
      <c r="B267" s="719"/>
      <c r="C267" s="170"/>
      <c r="D267" s="170"/>
      <c r="E267" s="170"/>
      <c r="F267" s="170"/>
      <c r="G267" s="721"/>
      <c r="H267" s="170"/>
      <c r="I267" s="170"/>
      <c r="J267" s="170"/>
      <c r="K267" s="170"/>
      <c r="L267" s="170"/>
      <c r="M267" s="730"/>
      <c r="N267" s="730"/>
      <c r="O267" s="730"/>
      <c r="P267" s="731"/>
      <c r="Q267" s="731"/>
      <c r="R267" s="730"/>
      <c r="S267" s="730"/>
      <c r="T267" s="723"/>
      <c r="U267" s="724"/>
      <c r="V267" s="725"/>
      <c r="W267" s="725"/>
      <c r="X267" s="723"/>
      <c r="Y267" s="723"/>
      <c r="Z267" s="723"/>
      <c r="AA267" s="726"/>
      <c r="AB267" s="726"/>
      <c r="AC267" s="170"/>
      <c r="AD267" s="586"/>
      <c r="AE267" s="586"/>
      <c r="AF267" s="170"/>
      <c r="AG267" s="170"/>
      <c r="AH267" s="170"/>
      <c r="AI267" s="170"/>
      <c r="AJ267" s="170"/>
      <c r="AK267" s="170"/>
      <c r="AL267" s="170"/>
      <c r="AM267" s="170"/>
      <c r="AN267" s="170"/>
      <c r="AO267" s="170"/>
      <c r="AP267" s="170"/>
      <c r="AQ267" s="170"/>
      <c r="AR267" s="170"/>
      <c r="AS267" s="170"/>
      <c r="AT267" s="170"/>
      <c r="AU267" s="170"/>
      <c r="AV267" s="170"/>
      <c r="AW267" s="170"/>
      <c r="AX267" s="170"/>
    </row>
    <row r="268" spans="1:50" ht="15" x14ac:dyDescent="0.25">
      <c r="A268" s="170"/>
      <c r="B268" s="719"/>
      <c r="C268" s="170"/>
      <c r="D268" s="170"/>
      <c r="E268" s="170"/>
      <c r="F268" s="170"/>
      <c r="G268" s="721"/>
      <c r="H268" s="170"/>
      <c r="I268" s="170"/>
      <c r="J268" s="170"/>
      <c r="K268" s="170"/>
      <c r="L268" s="170"/>
      <c r="M268" s="730"/>
      <c r="N268" s="730"/>
      <c r="O268" s="730"/>
      <c r="P268" s="731"/>
      <c r="Q268" s="731"/>
      <c r="R268" s="730"/>
      <c r="S268" s="730"/>
      <c r="T268" s="723"/>
      <c r="U268" s="724"/>
      <c r="V268" s="725"/>
      <c r="W268" s="725"/>
      <c r="X268" s="723"/>
      <c r="Y268" s="723"/>
      <c r="Z268" s="723"/>
      <c r="AA268" s="726"/>
      <c r="AB268" s="726"/>
      <c r="AC268" s="170"/>
      <c r="AD268" s="586"/>
      <c r="AE268" s="586"/>
      <c r="AF268" s="170"/>
      <c r="AG268" s="170"/>
      <c r="AH268" s="170"/>
      <c r="AI268" s="170"/>
      <c r="AJ268" s="170"/>
      <c r="AK268" s="170"/>
      <c r="AL268" s="170"/>
      <c r="AM268" s="170"/>
      <c r="AN268" s="170"/>
      <c r="AO268" s="170"/>
      <c r="AP268" s="170"/>
      <c r="AQ268" s="170"/>
      <c r="AR268" s="170"/>
      <c r="AS268" s="170"/>
      <c r="AT268" s="170"/>
      <c r="AU268" s="170"/>
      <c r="AV268" s="170"/>
      <c r="AW268" s="170"/>
      <c r="AX268" s="170"/>
    </row>
    <row r="269" spans="1:50" ht="15" x14ac:dyDescent="0.25">
      <c r="A269" s="170"/>
      <c r="B269" s="719"/>
      <c r="C269" s="170"/>
      <c r="D269" s="170"/>
      <c r="E269" s="170"/>
      <c r="F269" s="170"/>
      <c r="G269" s="721"/>
      <c r="H269" s="170"/>
      <c r="I269" s="170"/>
      <c r="J269" s="170"/>
      <c r="K269" s="170"/>
      <c r="L269" s="170"/>
      <c r="M269" s="730"/>
      <c r="N269" s="730"/>
      <c r="O269" s="730"/>
      <c r="P269" s="731"/>
      <c r="Q269" s="731"/>
      <c r="R269" s="730"/>
      <c r="S269" s="730"/>
      <c r="T269" s="723"/>
      <c r="U269" s="724"/>
      <c r="V269" s="725"/>
      <c r="W269" s="725"/>
      <c r="X269" s="723"/>
      <c r="Y269" s="723"/>
      <c r="Z269" s="723"/>
      <c r="AA269" s="726"/>
      <c r="AB269" s="726"/>
      <c r="AC269" s="170"/>
      <c r="AD269" s="586"/>
      <c r="AE269" s="586"/>
      <c r="AF269" s="170"/>
      <c r="AG269" s="170"/>
      <c r="AH269" s="170"/>
      <c r="AI269" s="170"/>
      <c r="AJ269" s="170"/>
      <c r="AK269" s="170"/>
      <c r="AL269" s="170"/>
      <c r="AM269" s="170"/>
      <c r="AN269" s="170"/>
      <c r="AO269" s="170"/>
      <c r="AP269" s="170"/>
      <c r="AQ269" s="170"/>
      <c r="AR269" s="170"/>
      <c r="AS269" s="170"/>
      <c r="AT269" s="170"/>
      <c r="AU269" s="170"/>
      <c r="AV269" s="170"/>
      <c r="AW269" s="170"/>
      <c r="AX269" s="170"/>
    </row>
    <row r="270" spans="1:50" ht="15" x14ac:dyDescent="0.25">
      <c r="A270" s="170"/>
      <c r="B270" s="719"/>
      <c r="C270" s="170"/>
      <c r="D270" s="170"/>
      <c r="E270" s="170"/>
      <c r="F270" s="170"/>
      <c r="G270" s="721"/>
      <c r="H270" s="170"/>
      <c r="I270" s="170"/>
      <c r="J270" s="170"/>
      <c r="K270" s="170"/>
      <c r="L270" s="170"/>
      <c r="M270" s="730"/>
      <c r="N270" s="730"/>
      <c r="O270" s="730"/>
      <c r="P270" s="731"/>
      <c r="Q270" s="731"/>
      <c r="R270" s="730"/>
      <c r="S270" s="730"/>
      <c r="T270" s="723"/>
      <c r="U270" s="724"/>
      <c r="V270" s="725"/>
      <c r="W270" s="725"/>
      <c r="X270" s="723"/>
      <c r="Y270" s="723"/>
      <c r="Z270" s="723"/>
      <c r="AA270" s="726"/>
      <c r="AB270" s="726"/>
      <c r="AC270" s="170"/>
      <c r="AD270" s="586"/>
      <c r="AE270" s="586"/>
      <c r="AF270" s="170"/>
      <c r="AG270" s="170"/>
      <c r="AH270" s="170"/>
      <c r="AI270" s="170"/>
      <c r="AJ270" s="170"/>
      <c r="AK270" s="170"/>
      <c r="AL270" s="170"/>
      <c r="AM270" s="170"/>
      <c r="AN270" s="170"/>
      <c r="AO270" s="170"/>
      <c r="AP270" s="170"/>
      <c r="AQ270" s="170"/>
      <c r="AR270" s="170"/>
      <c r="AS270" s="170"/>
      <c r="AT270" s="170"/>
      <c r="AU270" s="170"/>
      <c r="AV270" s="170"/>
      <c r="AW270" s="170"/>
      <c r="AX270" s="170"/>
    </row>
    <row r="271" spans="1:50" ht="15" x14ac:dyDescent="0.25">
      <c r="A271" s="170"/>
      <c r="B271" s="719"/>
      <c r="C271" s="170"/>
      <c r="D271" s="170"/>
      <c r="E271" s="170"/>
      <c r="F271" s="170"/>
      <c r="G271" s="721"/>
      <c r="H271" s="170"/>
      <c r="I271" s="170"/>
      <c r="J271" s="170"/>
      <c r="K271" s="170"/>
      <c r="L271" s="170"/>
      <c r="M271" s="730"/>
      <c r="N271" s="730"/>
      <c r="O271" s="730"/>
      <c r="P271" s="731"/>
      <c r="Q271" s="731"/>
      <c r="R271" s="730"/>
      <c r="S271" s="730"/>
      <c r="T271" s="723"/>
      <c r="U271" s="724"/>
      <c r="V271" s="725"/>
      <c r="W271" s="725"/>
      <c r="X271" s="723"/>
      <c r="Y271" s="723"/>
      <c r="Z271" s="723"/>
      <c r="AA271" s="726"/>
      <c r="AB271" s="726"/>
      <c r="AC271" s="170"/>
      <c r="AD271" s="586"/>
      <c r="AE271" s="586"/>
      <c r="AF271" s="170"/>
      <c r="AG271" s="170"/>
      <c r="AH271" s="170"/>
      <c r="AI271" s="170"/>
      <c r="AJ271" s="170"/>
      <c r="AK271" s="170"/>
      <c r="AL271" s="170"/>
      <c r="AM271" s="170"/>
      <c r="AN271" s="170"/>
      <c r="AO271" s="170"/>
      <c r="AP271" s="170"/>
      <c r="AQ271" s="170"/>
      <c r="AR271" s="170"/>
      <c r="AS271" s="170"/>
      <c r="AT271" s="170"/>
      <c r="AU271" s="170"/>
      <c r="AV271" s="170"/>
      <c r="AW271" s="170"/>
      <c r="AX271" s="170"/>
    </row>
    <row r="272" spans="1:50" ht="15" x14ac:dyDescent="0.25">
      <c r="A272" s="170"/>
      <c r="B272" s="719"/>
      <c r="C272" s="170"/>
      <c r="D272" s="170"/>
      <c r="E272" s="170"/>
      <c r="F272" s="170"/>
      <c r="G272" s="721"/>
      <c r="H272" s="170"/>
      <c r="I272" s="170"/>
      <c r="J272" s="170"/>
      <c r="K272" s="170"/>
      <c r="L272" s="170"/>
      <c r="M272" s="730"/>
      <c r="N272" s="730"/>
      <c r="O272" s="730"/>
      <c r="P272" s="731"/>
      <c r="Q272" s="731"/>
      <c r="R272" s="730"/>
      <c r="S272" s="730"/>
      <c r="T272" s="723"/>
      <c r="U272" s="724"/>
      <c r="V272" s="725"/>
      <c r="W272" s="725"/>
      <c r="X272" s="723"/>
      <c r="Y272" s="723"/>
      <c r="Z272" s="723"/>
      <c r="AA272" s="726"/>
      <c r="AB272" s="726"/>
      <c r="AC272" s="170"/>
      <c r="AD272" s="586"/>
      <c r="AE272" s="586"/>
      <c r="AF272" s="170"/>
      <c r="AG272" s="170"/>
      <c r="AH272" s="170"/>
      <c r="AI272" s="170"/>
      <c r="AJ272" s="170"/>
      <c r="AK272" s="170"/>
      <c r="AL272" s="170"/>
      <c r="AM272" s="170"/>
      <c r="AN272" s="170"/>
      <c r="AO272" s="170"/>
      <c r="AP272" s="170"/>
      <c r="AQ272" s="170"/>
      <c r="AR272" s="170"/>
      <c r="AS272" s="170"/>
      <c r="AT272" s="170"/>
      <c r="AU272" s="170"/>
      <c r="AV272" s="170"/>
      <c r="AW272" s="170"/>
      <c r="AX272" s="170"/>
    </row>
    <row r="273" spans="1:50" ht="15" x14ac:dyDescent="0.25">
      <c r="A273" s="170"/>
      <c r="B273" s="719"/>
      <c r="C273" s="170"/>
      <c r="D273" s="170"/>
      <c r="E273" s="170"/>
      <c r="F273" s="170"/>
      <c r="G273" s="721"/>
      <c r="H273" s="170"/>
      <c r="I273" s="170"/>
      <c r="J273" s="170"/>
      <c r="K273" s="170"/>
      <c r="L273" s="170"/>
      <c r="M273" s="730"/>
      <c r="N273" s="730"/>
      <c r="O273" s="730"/>
      <c r="P273" s="731"/>
      <c r="Q273" s="731"/>
      <c r="R273" s="730"/>
      <c r="S273" s="730"/>
      <c r="T273" s="723"/>
      <c r="U273" s="724"/>
      <c r="V273" s="725"/>
      <c r="W273" s="725"/>
      <c r="X273" s="723"/>
      <c r="Y273" s="723"/>
      <c r="Z273" s="723"/>
      <c r="AA273" s="726"/>
      <c r="AB273" s="726"/>
      <c r="AC273" s="170"/>
      <c r="AD273" s="586"/>
      <c r="AE273" s="586"/>
      <c r="AF273" s="170"/>
      <c r="AG273" s="170"/>
      <c r="AH273" s="170"/>
      <c r="AI273" s="170"/>
      <c r="AJ273" s="170"/>
      <c r="AK273" s="170"/>
      <c r="AL273" s="170"/>
      <c r="AM273" s="170"/>
      <c r="AN273" s="170"/>
      <c r="AO273" s="170"/>
      <c r="AP273" s="170"/>
      <c r="AQ273" s="170"/>
      <c r="AR273" s="170"/>
      <c r="AS273" s="170"/>
      <c r="AT273" s="170"/>
      <c r="AU273" s="170"/>
      <c r="AV273" s="170"/>
      <c r="AW273" s="170"/>
      <c r="AX273" s="170"/>
    </row>
    <row r="274" spans="1:50" ht="15" x14ac:dyDescent="0.25">
      <c r="A274" s="170"/>
      <c r="B274" s="719"/>
      <c r="C274" s="170"/>
      <c r="D274" s="170"/>
      <c r="E274" s="170"/>
      <c r="F274" s="170"/>
      <c r="G274" s="721"/>
      <c r="H274" s="170"/>
      <c r="I274" s="170"/>
      <c r="J274" s="170"/>
      <c r="K274" s="170"/>
      <c r="L274" s="170"/>
      <c r="M274" s="730"/>
      <c r="N274" s="730"/>
      <c r="O274" s="730"/>
      <c r="P274" s="731"/>
      <c r="Q274" s="731"/>
      <c r="R274" s="730"/>
      <c r="S274" s="730"/>
      <c r="T274" s="723"/>
      <c r="U274" s="724"/>
      <c r="V274" s="725"/>
      <c r="W274" s="725"/>
      <c r="X274" s="723"/>
      <c r="Y274" s="723"/>
      <c r="Z274" s="723"/>
      <c r="AA274" s="726"/>
      <c r="AB274" s="726"/>
      <c r="AC274" s="170"/>
      <c r="AD274" s="586"/>
      <c r="AE274" s="586"/>
      <c r="AF274" s="170"/>
      <c r="AG274" s="170"/>
      <c r="AH274" s="170"/>
      <c r="AI274" s="170"/>
      <c r="AJ274" s="170"/>
      <c r="AK274" s="170"/>
      <c r="AL274" s="170"/>
      <c r="AM274" s="170"/>
      <c r="AN274" s="170"/>
      <c r="AO274" s="170"/>
      <c r="AP274" s="170"/>
      <c r="AQ274" s="170"/>
      <c r="AR274" s="170"/>
      <c r="AS274" s="170"/>
      <c r="AT274" s="170"/>
      <c r="AU274" s="170"/>
      <c r="AV274" s="170"/>
      <c r="AW274" s="170"/>
      <c r="AX274" s="170"/>
    </row>
    <row r="275" spans="1:50" ht="15" x14ac:dyDescent="0.25">
      <c r="A275" s="170"/>
      <c r="B275" s="719"/>
      <c r="C275" s="170"/>
      <c r="D275" s="170"/>
      <c r="E275" s="170"/>
      <c r="F275" s="170"/>
      <c r="G275" s="721"/>
      <c r="H275" s="170"/>
      <c r="I275" s="170"/>
      <c r="J275" s="170"/>
      <c r="K275" s="170"/>
      <c r="L275" s="170"/>
      <c r="M275" s="730"/>
      <c r="N275" s="730"/>
      <c r="O275" s="730"/>
      <c r="P275" s="731"/>
      <c r="Q275" s="731"/>
      <c r="R275" s="730"/>
      <c r="S275" s="730"/>
      <c r="T275" s="723"/>
      <c r="U275" s="724"/>
      <c r="V275" s="725"/>
      <c r="W275" s="725"/>
      <c r="X275" s="723"/>
      <c r="Y275" s="723"/>
      <c r="Z275" s="723"/>
      <c r="AA275" s="726"/>
      <c r="AB275" s="726"/>
      <c r="AC275" s="170"/>
      <c r="AD275" s="586"/>
      <c r="AE275" s="586"/>
      <c r="AF275" s="170"/>
      <c r="AG275" s="170"/>
      <c r="AH275" s="170"/>
      <c r="AI275" s="170"/>
      <c r="AJ275" s="170"/>
      <c r="AK275" s="170"/>
      <c r="AL275" s="170"/>
      <c r="AM275" s="170"/>
      <c r="AN275" s="170"/>
      <c r="AO275" s="170"/>
      <c r="AP275" s="170"/>
      <c r="AQ275" s="170"/>
      <c r="AR275" s="170"/>
      <c r="AS275" s="170"/>
      <c r="AT275" s="170"/>
      <c r="AU275" s="170"/>
      <c r="AV275" s="170"/>
      <c r="AW275" s="170"/>
      <c r="AX275" s="170"/>
    </row>
    <row r="276" spans="1:50" ht="15" x14ac:dyDescent="0.25">
      <c r="A276" s="170"/>
      <c r="B276" s="719"/>
      <c r="C276" s="170"/>
      <c r="D276" s="170"/>
      <c r="E276" s="170"/>
      <c r="F276" s="170"/>
      <c r="G276" s="721"/>
      <c r="H276" s="170"/>
      <c r="I276" s="170"/>
      <c r="J276" s="170"/>
      <c r="K276" s="170"/>
      <c r="L276" s="170"/>
      <c r="M276" s="730"/>
      <c r="N276" s="730"/>
      <c r="O276" s="730"/>
      <c r="P276" s="731"/>
      <c r="Q276" s="731"/>
      <c r="R276" s="730"/>
      <c r="S276" s="730"/>
      <c r="T276" s="723"/>
      <c r="U276" s="724"/>
      <c r="V276" s="725"/>
      <c r="W276" s="725"/>
      <c r="X276" s="723"/>
      <c r="Y276" s="723"/>
      <c r="Z276" s="723"/>
      <c r="AA276" s="726"/>
      <c r="AB276" s="726"/>
      <c r="AC276" s="170"/>
      <c r="AD276" s="586"/>
      <c r="AE276" s="586"/>
      <c r="AF276" s="170"/>
      <c r="AG276" s="170"/>
      <c r="AH276" s="170"/>
      <c r="AI276" s="170"/>
      <c r="AJ276" s="170"/>
      <c r="AK276" s="170"/>
      <c r="AL276" s="170"/>
      <c r="AM276" s="170"/>
      <c r="AN276" s="170"/>
      <c r="AO276" s="170"/>
      <c r="AP276" s="170"/>
      <c r="AQ276" s="170"/>
      <c r="AR276" s="170"/>
      <c r="AS276" s="170"/>
      <c r="AT276" s="170"/>
      <c r="AU276" s="170"/>
      <c r="AV276" s="170"/>
      <c r="AW276" s="170"/>
      <c r="AX276" s="170"/>
    </row>
    <row r="277" spans="1:50" ht="15" x14ac:dyDescent="0.25">
      <c r="A277" s="170"/>
      <c r="B277" s="719"/>
      <c r="C277" s="170"/>
      <c r="D277" s="170"/>
      <c r="E277" s="170"/>
      <c r="F277" s="170"/>
      <c r="G277" s="721"/>
      <c r="H277" s="170"/>
      <c r="I277" s="170"/>
      <c r="J277" s="170"/>
      <c r="K277" s="170"/>
      <c r="L277" s="170"/>
      <c r="M277" s="730"/>
      <c r="N277" s="730"/>
      <c r="O277" s="730"/>
      <c r="P277" s="731"/>
      <c r="Q277" s="731"/>
      <c r="R277" s="730"/>
      <c r="S277" s="730"/>
      <c r="T277" s="723"/>
      <c r="U277" s="724"/>
      <c r="V277" s="725"/>
      <c r="W277" s="725"/>
      <c r="X277" s="723"/>
      <c r="Y277" s="723"/>
      <c r="Z277" s="723"/>
      <c r="AA277" s="726"/>
      <c r="AB277" s="726"/>
      <c r="AC277" s="170"/>
      <c r="AD277" s="586"/>
      <c r="AE277" s="586"/>
      <c r="AF277" s="170"/>
      <c r="AG277" s="170"/>
      <c r="AH277" s="170"/>
      <c r="AI277" s="170"/>
      <c r="AJ277" s="170"/>
      <c r="AK277" s="170"/>
      <c r="AL277" s="170"/>
      <c r="AM277" s="170"/>
      <c r="AN277" s="170"/>
      <c r="AO277" s="170"/>
      <c r="AP277" s="170"/>
      <c r="AQ277" s="170"/>
      <c r="AR277" s="170"/>
      <c r="AS277" s="170"/>
      <c r="AT277" s="170"/>
      <c r="AU277" s="170"/>
      <c r="AV277" s="170"/>
      <c r="AW277" s="170"/>
      <c r="AX277" s="170"/>
    </row>
    <row r="278" spans="1:50" ht="15" x14ac:dyDescent="0.25">
      <c r="A278" s="170"/>
      <c r="B278" s="719"/>
      <c r="C278" s="170"/>
      <c r="D278" s="170"/>
      <c r="E278" s="170"/>
      <c r="F278" s="170"/>
      <c r="G278" s="721"/>
      <c r="H278" s="170"/>
      <c r="I278" s="170"/>
      <c r="J278" s="170"/>
      <c r="K278" s="170"/>
      <c r="L278" s="170"/>
      <c r="M278" s="730"/>
      <c r="N278" s="730"/>
      <c r="O278" s="730"/>
      <c r="P278" s="731"/>
      <c r="Q278" s="731"/>
      <c r="R278" s="730"/>
      <c r="S278" s="730"/>
      <c r="T278" s="723"/>
      <c r="U278" s="724"/>
      <c r="V278" s="725"/>
      <c r="W278" s="725"/>
      <c r="X278" s="723"/>
      <c r="Y278" s="723"/>
      <c r="Z278" s="723"/>
      <c r="AA278" s="726"/>
      <c r="AB278" s="726"/>
      <c r="AC278" s="170"/>
      <c r="AD278" s="586"/>
      <c r="AE278" s="586"/>
      <c r="AF278" s="170"/>
      <c r="AG278" s="170"/>
      <c r="AH278" s="170"/>
      <c r="AI278" s="170"/>
      <c r="AJ278" s="170"/>
      <c r="AK278" s="170"/>
      <c r="AL278" s="170"/>
      <c r="AM278" s="170"/>
      <c r="AN278" s="170"/>
      <c r="AO278" s="170"/>
      <c r="AP278" s="170"/>
      <c r="AQ278" s="170"/>
      <c r="AR278" s="170"/>
      <c r="AS278" s="170"/>
      <c r="AT278" s="170"/>
      <c r="AU278" s="170"/>
      <c r="AV278" s="170"/>
      <c r="AW278" s="170"/>
      <c r="AX278" s="170"/>
    </row>
    <row r="279" spans="1:50" ht="15" x14ac:dyDescent="0.25">
      <c r="A279" s="170"/>
      <c r="B279" s="719"/>
      <c r="C279" s="170"/>
      <c r="D279" s="170"/>
      <c r="E279" s="170"/>
      <c r="F279" s="170"/>
      <c r="G279" s="721"/>
      <c r="H279" s="170"/>
      <c r="I279" s="170"/>
      <c r="J279" s="170"/>
      <c r="K279" s="170"/>
      <c r="L279" s="170"/>
      <c r="M279" s="730"/>
      <c r="N279" s="730"/>
      <c r="O279" s="730"/>
      <c r="P279" s="731"/>
      <c r="Q279" s="731"/>
      <c r="R279" s="730"/>
      <c r="S279" s="730"/>
      <c r="T279" s="723"/>
      <c r="U279" s="724"/>
      <c r="V279" s="725"/>
      <c r="W279" s="725"/>
      <c r="X279" s="723"/>
      <c r="Y279" s="723"/>
      <c r="Z279" s="723"/>
      <c r="AA279" s="726"/>
      <c r="AB279" s="726"/>
      <c r="AC279" s="170"/>
      <c r="AD279" s="586"/>
      <c r="AE279" s="586"/>
      <c r="AF279" s="170"/>
      <c r="AG279" s="170"/>
      <c r="AH279" s="170"/>
      <c r="AI279" s="170"/>
      <c r="AJ279" s="170"/>
      <c r="AK279" s="170"/>
      <c r="AL279" s="170"/>
      <c r="AM279" s="170"/>
      <c r="AN279" s="170"/>
      <c r="AO279" s="170"/>
      <c r="AP279" s="170"/>
      <c r="AQ279" s="170"/>
      <c r="AR279" s="170"/>
      <c r="AS279" s="170"/>
      <c r="AT279" s="170"/>
      <c r="AU279" s="170"/>
      <c r="AV279" s="170"/>
      <c r="AW279" s="170"/>
      <c r="AX279" s="170"/>
    </row>
    <row r="280" spans="1:50" ht="15" x14ac:dyDescent="0.25">
      <c r="A280" s="170"/>
      <c r="B280" s="719"/>
      <c r="C280" s="170"/>
      <c r="D280" s="170"/>
      <c r="E280" s="170"/>
      <c r="F280" s="170"/>
      <c r="G280" s="721"/>
      <c r="H280" s="170"/>
      <c r="I280" s="170"/>
      <c r="J280" s="170"/>
      <c r="K280" s="170"/>
      <c r="L280" s="170"/>
      <c r="M280" s="730"/>
      <c r="N280" s="730"/>
      <c r="O280" s="730"/>
      <c r="P280" s="731"/>
      <c r="Q280" s="731"/>
      <c r="R280" s="730"/>
      <c r="S280" s="730"/>
      <c r="T280" s="723"/>
      <c r="U280" s="724"/>
      <c r="V280" s="725"/>
      <c r="W280" s="725"/>
      <c r="X280" s="723"/>
      <c r="Y280" s="723"/>
      <c r="Z280" s="723"/>
      <c r="AA280" s="726"/>
      <c r="AB280" s="726"/>
      <c r="AC280" s="170"/>
      <c r="AD280" s="586"/>
      <c r="AE280" s="586"/>
      <c r="AF280" s="170"/>
      <c r="AG280" s="170"/>
      <c r="AH280" s="170"/>
      <c r="AI280" s="170"/>
      <c r="AJ280" s="170"/>
      <c r="AK280" s="170"/>
      <c r="AL280" s="170"/>
      <c r="AM280" s="170"/>
      <c r="AN280" s="170"/>
      <c r="AO280" s="170"/>
      <c r="AP280" s="170"/>
      <c r="AQ280" s="170"/>
      <c r="AR280" s="170"/>
      <c r="AS280" s="170"/>
      <c r="AT280" s="170"/>
      <c r="AU280" s="170"/>
      <c r="AV280" s="170"/>
      <c r="AW280" s="170"/>
      <c r="AX280" s="170"/>
    </row>
    <row r="281" spans="1:50" ht="15" x14ac:dyDescent="0.25">
      <c r="A281" s="170"/>
      <c r="B281" s="719"/>
      <c r="C281" s="170"/>
      <c r="D281" s="170"/>
      <c r="E281" s="170"/>
      <c r="F281" s="170"/>
      <c r="G281" s="721"/>
      <c r="H281" s="170"/>
      <c r="I281" s="170"/>
      <c r="J281" s="170"/>
      <c r="K281" s="170"/>
      <c r="L281" s="170"/>
      <c r="M281" s="730"/>
      <c r="N281" s="730"/>
      <c r="O281" s="730"/>
      <c r="P281" s="731"/>
      <c r="Q281" s="731"/>
      <c r="R281" s="730"/>
      <c r="S281" s="730"/>
      <c r="T281" s="723"/>
      <c r="U281" s="724"/>
      <c r="V281" s="725"/>
      <c r="W281" s="725"/>
      <c r="X281" s="723"/>
      <c r="Y281" s="723"/>
      <c r="Z281" s="723"/>
      <c r="AA281" s="726"/>
      <c r="AB281" s="726"/>
      <c r="AC281" s="170"/>
      <c r="AD281" s="586"/>
      <c r="AE281" s="586"/>
      <c r="AF281" s="170"/>
      <c r="AG281" s="170"/>
      <c r="AH281" s="170"/>
      <c r="AI281" s="170"/>
      <c r="AJ281" s="170"/>
      <c r="AK281" s="170"/>
      <c r="AL281" s="170"/>
      <c r="AM281" s="170"/>
      <c r="AN281" s="170"/>
      <c r="AO281" s="170"/>
      <c r="AP281" s="170"/>
      <c r="AQ281" s="170"/>
      <c r="AR281" s="170"/>
      <c r="AS281" s="170"/>
      <c r="AT281" s="170"/>
      <c r="AU281" s="170"/>
      <c r="AV281" s="170"/>
      <c r="AW281" s="170"/>
      <c r="AX281" s="170"/>
    </row>
    <row r="282" spans="1:50" ht="15" x14ac:dyDescent="0.25">
      <c r="A282" s="170"/>
      <c r="B282" s="719"/>
      <c r="C282" s="170"/>
      <c r="D282" s="170"/>
      <c r="E282" s="170"/>
      <c r="F282" s="170"/>
      <c r="G282" s="721"/>
      <c r="H282" s="170"/>
      <c r="I282" s="170"/>
      <c r="J282" s="170"/>
      <c r="K282" s="170"/>
      <c r="L282" s="170"/>
      <c r="M282" s="730"/>
      <c r="N282" s="730"/>
      <c r="O282" s="730"/>
      <c r="P282" s="731"/>
      <c r="Q282" s="731"/>
      <c r="R282" s="730"/>
      <c r="S282" s="730"/>
      <c r="T282" s="723"/>
      <c r="U282" s="724"/>
      <c r="V282" s="725"/>
      <c r="W282" s="725"/>
      <c r="X282" s="723"/>
      <c r="Y282" s="723"/>
      <c r="Z282" s="723"/>
      <c r="AA282" s="726"/>
      <c r="AB282" s="726"/>
      <c r="AC282" s="170"/>
      <c r="AD282" s="586"/>
      <c r="AE282" s="586"/>
      <c r="AF282" s="170"/>
      <c r="AG282" s="170"/>
      <c r="AH282" s="170"/>
      <c r="AI282" s="170"/>
      <c r="AJ282" s="170"/>
      <c r="AK282" s="170"/>
      <c r="AL282" s="170"/>
      <c r="AM282" s="170"/>
      <c r="AN282" s="170"/>
      <c r="AO282" s="170"/>
      <c r="AP282" s="170"/>
      <c r="AQ282" s="170"/>
      <c r="AR282" s="170"/>
      <c r="AS282" s="170"/>
      <c r="AT282" s="170"/>
      <c r="AU282" s="170"/>
      <c r="AV282" s="170"/>
      <c r="AW282" s="170"/>
      <c r="AX282" s="170"/>
    </row>
    <row r="283" spans="1:50" ht="15" x14ac:dyDescent="0.25">
      <c r="A283" s="170"/>
      <c r="B283" s="719"/>
      <c r="C283" s="170"/>
      <c r="D283" s="170"/>
      <c r="E283" s="170"/>
      <c r="F283" s="170"/>
      <c r="G283" s="721"/>
      <c r="H283" s="170"/>
      <c r="I283" s="170"/>
      <c r="J283" s="170"/>
      <c r="K283" s="170"/>
      <c r="L283" s="170"/>
      <c r="M283" s="730"/>
      <c r="N283" s="730"/>
      <c r="O283" s="730"/>
      <c r="P283" s="731"/>
      <c r="Q283" s="731"/>
      <c r="R283" s="730"/>
      <c r="S283" s="730"/>
      <c r="T283" s="723"/>
      <c r="U283" s="724"/>
      <c r="V283" s="725"/>
      <c r="W283" s="725"/>
      <c r="X283" s="723"/>
      <c r="Y283" s="723"/>
      <c r="Z283" s="723"/>
      <c r="AA283" s="726"/>
      <c r="AB283" s="726"/>
      <c r="AC283" s="170"/>
      <c r="AD283" s="586"/>
      <c r="AE283" s="586"/>
      <c r="AF283" s="170"/>
      <c r="AG283" s="170"/>
      <c r="AH283" s="170"/>
      <c r="AI283" s="170"/>
      <c r="AJ283" s="170"/>
      <c r="AK283" s="170"/>
      <c r="AL283" s="170"/>
      <c r="AM283" s="170"/>
      <c r="AN283" s="170"/>
      <c r="AO283" s="170"/>
      <c r="AP283" s="170"/>
      <c r="AQ283" s="170"/>
      <c r="AR283" s="170"/>
      <c r="AS283" s="170"/>
      <c r="AT283" s="170"/>
      <c r="AU283" s="170"/>
      <c r="AV283" s="170"/>
      <c r="AW283" s="170"/>
      <c r="AX283" s="170"/>
    </row>
    <row r="284" spans="1:50" ht="15" x14ac:dyDescent="0.25">
      <c r="A284" s="170"/>
      <c r="B284" s="719"/>
      <c r="C284" s="170"/>
      <c r="D284" s="170"/>
      <c r="E284" s="170"/>
      <c r="F284" s="170"/>
      <c r="G284" s="721"/>
      <c r="H284" s="170"/>
      <c r="I284" s="170"/>
      <c r="J284" s="170"/>
      <c r="K284" s="170"/>
      <c r="L284" s="170"/>
      <c r="M284" s="730"/>
      <c r="N284" s="730"/>
      <c r="O284" s="730"/>
      <c r="P284" s="731"/>
      <c r="Q284" s="731"/>
      <c r="R284" s="730"/>
      <c r="S284" s="730"/>
      <c r="T284" s="723"/>
      <c r="U284" s="724"/>
      <c r="V284" s="725"/>
      <c r="W284" s="725"/>
      <c r="X284" s="723"/>
      <c r="Y284" s="723"/>
      <c r="Z284" s="723"/>
      <c r="AA284" s="726"/>
      <c r="AB284" s="726"/>
      <c r="AC284" s="170"/>
      <c r="AD284" s="586"/>
      <c r="AE284" s="586"/>
      <c r="AF284" s="170"/>
      <c r="AG284" s="170"/>
      <c r="AH284" s="170"/>
      <c r="AI284" s="170"/>
      <c r="AJ284" s="170"/>
      <c r="AK284" s="170"/>
      <c r="AL284" s="170"/>
      <c r="AM284" s="170"/>
      <c r="AN284" s="170"/>
      <c r="AO284" s="170"/>
      <c r="AP284" s="170"/>
      <c r="AQ284" s="170"/>
      <c r="AR284" s="170"/>
      <c r="AS284" s="170"/>
      <c r="AT284" s="170"/>
      <c r="AU284" s="170"/>
      <c r="AV284" s="170"/>
      <c r="AW284" s="170"/>
      <c r="AX284" s="170"/>
    </row>
    <row r="285" spans="1:50" ht="15" x14ac:dyDescent="0.25">
      <c r="A285" s="170"/>
      <c r="B285" s="719"/>
      <c r="C285" s="170"/>
      <c r="D285" s="170"/>
      <c r="E285" s="170"/>
      <c r="F285" s="170"/>
      <c r="G285" s="721"/>
      <c r="H285" s="170"/>
      <c r="I285" s="170"/>
      <c r="J285" s="170"/>
      <c r="K285" s="170"/>
      <c r="L285" s="170"/>
      <c r="M285" s="730"/>
      <c r="N285" s="730"/>
      <c r="O285" s="730"/>
      <c r="P285" s="731"/>
      <c r="Q285" s="731"/>
      <c r="R285" s="730"/>
      <c r="S285" s="730"/>
      <c r="T285" s="723"/>
      <c r="U285" s="724"/>
      <c r="V285" s="725"/>
      <c r="W285" s="725"/>
      <c r="X285" s="723"/>
      <c r="Y285" s="723"/>
      <c r="Z285" s="723"/>
      <c r="AA285" s="726"/>
      <c r="AB285" s="726"/>
      <c r="AC285" s="170"/>
      <c r="AD285" s="586"/>
      <c r="AE285" s="586"/>
      <c r="AF285" s="170"/>
      <c r="AG285" s="170"/>
      <c r="AH285" s="170"/>
      <c r="AI285" s="170"/>
      <c r="AJ285" s="170"/>
      <c r="AK285" s="170"/>
      <c r="AL285" s="170"/>
      <c r="AM285" s="170"/>
      <c r="AN285" s="170"/>
      <c r="AO285" s="170"/>
      <c r="AP285" s="170"/>
      <c r="AQ285" s="170"/>
      <c r="AR285" s="170"/>
      <c r="AS285" s="170"/>
      <c r="AT285" s="170"/>
      <c r="AU285" s="170"/>
      <c r="AV285" s="170"/>
      <c r="AW285" s="170"/>
      <c r="AX285" s="170"/>
    </row>
    <row r="286" spans="1:50" ht="15" x14ac:dyDescent="0.25">
      <c r="A286" s="170"/>
      <c r="B286" s="719"/>
      <c r="C286" s="170"/>
      <c r="D286" s="170"/>
      <c r="E286" s="170"/>
      <c r="F286" s="170"/>
      <c r="G286" s="721"/>
      <c r="H286" s="170"/>
      <c r="I286" s="170"/>
      <c r="J286" s="170"/>
      <c r="K286" s="170"/>
      <c r="L286" s="170"/>
      <c r="M286" s="730"/>
      <c r="N286" s="730"/>
      <c r="O286" s="730"/>
      <c r="P286" s="731"/>
      <c r="Q286" s="731"/>
      <c r="R286" s="730"/>
      <c r="S286" s="730"/>
      <c r="T286" s="723"/>
      <c r="U286" s="724"/>
      <c r="V286" s="725"/>
      <c r="W286" s="725"/>
      <c r="X286" s="723"/>
      <c r="Y286" s="723"/>
      <c r="Z286" s="723"/>
      <c r="AA286" s="726"/>
      <c r="AB286" s="726"/>
      <c r="AC286" s="170"/>
      <c r="AD286" s="586"/>
      <c r="AE286" s="586"/>
      <c r="AF286" s="170"/>
      <c r="AG286" s="170"/>
      <c r="AH286" s="170"/>
      <c r="AI286" s="170"/>
      <c r="AJ286" s="170"/>
      <c r="AK286" s="170"/>
      <c r="AL286" s="170"/>
      <c r="AM286" s="170"/>
      <c r="AN286" s="170"/>
      <c r="AO286" s="170"/>
      <c r="AP286" s="170"/>
      <c r="AQ286" s="170"/>
      <c r="AR286" s="170"/>
      <c r="AS286" s="170"/>
      <c r="AT286" s="170"/>
      <c r="AU286" s="170"/>
      <c r="AV286" s="170"/>
      <c r="AW286" s="170"/>
      <c r="AX286" s="170"/>
    </row>
    <row r="287" spans="1:50" ht="15" x14ac:dyDescent="0.25">
      <c r="A287" s="170"/>
      <c r="B287" s="719"/>
      <c r="C287" s="170"/>
      <c r="D287" s="170"/>
      <c r="E287" s="170"/>
      <c r="F287" s="170"/>
      <c r="G287" s="721"/>
      <c r="H287" s="170"/>
      <c r="I287" s="170"/>
      <c r="J287" s="170"/>
      <c r="K287" s="170"/>
      <c r="L287" s="170"/>
      <c r="M287" s="730"/>
      <c r="N287" s="730"/>
      <c r="O287" s="730"/>
      <c r="P287" s="731"/>
      <c r="Q287" s="731"/>
      <c r="R287" s="730"/>
      <c r="S287" s="730"/>
      <c r="T287" s="723"/>
      <c r="U287" s="724"/>
      <c r="V287" s="725"/>
      <c r="W287" s="725"/>
      <c r="X287" s="723"/>
      <c r="Y287" s="723"/>
      <c r="Z287" s="723"/>
      <c r="AA287" s="726"/>
      <c r="AB287" s="726"/>
      <c r="AC287" s="170"/>
      <c r="AD287" s="586"/>
      <c r="AE287" s="586"/>
      <c r="AF287" s="170"/>
      <c r="AG287" s="170"/>
      <c r="AH287" s="170"/>
      <c r="AI287" s="170"/>
      <c r="AJ287" s="170"/>
      <c r="AK287" s="170"/>
      <c r="AL287" s="170"/>
      <c r="AM287" s="170"/>
      <c r="AN287" s="170"/>
      <c r="AO287" s="170"/>
      <c r="AP287" s="170"/>
      <c r="AQ287" s="170"/>
      <c r="AR287" s="170"/>
      <c r="AS287" s="170"/>
      <c r="AT287" s="170"/>
      <c r="AU287" s="170"/>
      <c r="AV287" s="170"/>
      <c r="AW287" s="170"/>
      <c r="AX287" s="170"/>
    </row>
    <row r="288" spans="1:50" ht="15" x14ac:dyDescent="0.25">
      <c r="A288" s="170"/>
      <c r="B288" s="719"/>
      <c r="C288" s="170"/>
      <c r="D288" s="170"/>
      <c r="E288" s="170"/>
      <c r="F288" s="170"/>
      <c r="G288" s="721"/>
      <c r="H288" s="170"/>
      <c r="I288" s="170"/>
      <c r="J288" s="170"/>
      <c r="K288" s="170"/>
      <c r="L288" s="170"/>
      <c r="M288" s="730"/>
      <c r="N288" s="730"/>
      <c r="O288" s="730"/>
      <c r="P288" s="731"/>
      <c r="Q288" s="731"/>
      <c r="R288" s="730"/>
      <c r="S288" s="730"/>
      <c r="T288" s="723"/>
      <c r="U288" s="724"/>
      <c r="V288" s="725"/>
      <c r="W288" s="725"/>
      <c r="X288" s="723"/>
      <c r="Y288" s="723"/>
      <c r="Z288" s="723"/>
      <c r="AA288" s="726"/>
      <c r="AB288" s="726"/>
      <c r="AC288" s="170"/>
      <c r="AD288" s="586"/>
      <c r="AE288" s="586"/>
      <c r="AF288" s="170"/>
      <c r="AG288" s="170"/>
      <c r="AH288" s="170"/>
      <c r="AI288" s="170"/>
      <c r="AJ288" s="170"/>
      <c r="AK288" s="170"/>
      <c r="AL288" s="170"/>
      <c r="AM288" s="170"/>
      <c r="AN288" s="170"/>
      <c r="AO288" s="170"/>
      <c r="AP288" s="170"/>
      <c r="AQ288" s="170"/>
      <c r="AR288" s="170"/>
      <c r="AS288" s="170"/>
      <c r="AT288" s="170"/>
      <c r="AU288" s="170"/>
      <c r="AV288" s="170"/>
      <c r="AW288" s="170"/>
      <c r="AX288" s="170"/>
    </row>
    <row r="289" spans="1:50" ht="15" x14ac:dyDescent="0.25">
      <c r="A289" s="170"/>
      <c r="B289" s="719"/>
      <c r="C289" s="170"/>
      <c r="D289" s="170"/>
      <c r="E289" s="170"/>
      <c r="F289" s="170"/>
      <c r="G289" s="721"/>
      <c r="H289" s="170"/>
      <c r="I289" s="170"/>
      <c r="J289" s="170"/>
      <c r="K289" s="170"/>
      <c r="L289" s="170"/>
      <c r="M289" s="730"/>
      <c r="N289" s="730"/>
      <c r="O289" s="730"/>
      <c r="P289" s="731"/>
      <c r="Q289" s="731"/>
      <c r="R289" s="730"/>
      <c r="S289" s="730"/>
      <c r="T289" s="723"/>
      <c r="U289" s="724"/>
      <c r="V289" s="725"/>
      <c r="W289" s="725"/>
      <c r="X289" s="723"/>
      <c r="Y289" s="723"/>
      <c r="Z289" s="723"/>
      <c r="AA289" s="726"/>
      <c r="AB289" s="726"/>
      <c r="AC289" s="170"/>
      <c r="AD289" s="586"/>
      <c r="AE289" s="586"/>
      <c r="AF289" s="170"/>
      <c r="AG289" s="170"/>
      <c r="AH289" s="170"/>
      <c r="AI289" s="170"/>
      <c r="AJ289" s="170"/>
      <c r="AK289" s="170"/>
      <c r="AL289" s="170"/>
      <c r="AM289" s="170"/>
      <c r="AN289" s="170"/>
      <c r="AO289" s="170"/>
      <c r="AP289" s="170"/>
      <c r="AQ289" s="170"/>
      <c r="AR289" s="170"/>
      <c r="AS289" s="170"/>
      <c r="AT289" s="170"/>
      <c r="AU289" s="170"/>
      <c r="AV289" s="170"/>
      <c r="AW289" s="170"/>
      <c r="AX289" s="170"/>
    </row>
    <row r="290" spans="1:50" ht="15" x14ac:dyDescent="0.25">
      <c r="A290" s="170"/>
      <c r="B290" s="719"/>
      <c r="C290" s="170"/>
      <c r="D290" s="170"/>
      <c r="E290" s="170"/>
      <c r="F290" s="170"/>
      <c r="G290" s="721"/>
      <c r="H290" s="170"/>
      <c r="I290" s="170"/>
      <c r="J290" s="170"/>
      <c r="K290" s="170"/>
      <c r="L290" s="170"/>
      <c r="M290" s="730"/>
      <c r="N290" s="730"/>
      <c r="O290" s="730"/>
      <c r="P290" s="731"/>
      <c r="Q290" s="731"/>
      <c r="R290" s="730"/>
      <c r="S290" s="730"/>
      <c r="T290" s="723"/>
      <c r="U290" s="724"/>
      <c r="V290" s="725"/>
      <c r="W290" s="725"/>
      <c r="X290" s="723"/>
      <c r="Y290" s="723"/>
      <c r="Z290" s="723"/>
      <c r="AA290" s="726"/>
      <c r="AB290" s="726"/>
      <c r="AC290" s="170"/>
      <c r="AD290" s="586"/>
      <c r="AE290" s="586"/>
      <c r="AF290" s="170"/>
      <c r="AG290" s="170"/>
      <c r="AH290" s="170"/>
      <c r="AI290" s="170"/>
      <c r="AJ290" s="170"/>
      <c r="AK290" s="170"/>
      <c r="AL290" s="170"/>
      <c r="AM290" s="170"/>
      <c r="AN290" s="170"/>
      <c r="AO290" s="170"/>
      <c r="AP290" s="170"/>
      <c r="AQ290" s="170"/>
      <c r="AR290" s="170"/>
      <c r="AS290" s="170"/>
      <c r="AT290" s="170"/>
      <c r="AU290" s="170"/>
      <c r="AV290" s="170"/>
      <c r="AW290" s="170"/>
      <c r="AX290" s="170"/>
    </row>
    <row r="291" spans="1:50" ht="15" x14ac:dyDescent="0.25">
      <c r="A291" s="170"/>
      <c r="B291" s="719"/>
      <c r="C291" s="170"/>
      <c r="D291" s="170"/>
      <c r="E291" s="170"/>
      <c r="F291" s="170"/>
      <c r="G291" s="721"/>
      <c r="H291" s="170"/>
      <c r="I291" s="170"/>
      <c r="J291" s="170"/>
      <c r="K291" s="170"/>
      <c r="L291" s="170"/>
      <c r="M291" s="730"/>
      <c r="N291" s="730"/>
      <c r="O291" s="730"/>
      <c r="P291" s="731"/>
      <c r="Q291" s="731"/>
      <c r="R291" s="730"/>
      <c r="S291" s="730"/>
      <c r="T291" s="723"/>
      <c r="U291" s="724"/>
      <c r="V291" s="725"/>
      <c r="W291" s="725"/>
      <c r="X291" s="723"/>
      <c r="Y291" s="723"/>
      <c r="Z291" s="723"/>
      <c r="AA291" s="726"/>
      <c r="AB291" s="726"/>
      <c r="AC291" s="170"/>
      <c r="AD291" s="586"/>
      <c r="AE291" s="586"/>
      <c r="AF291" s="170"/>
      <c r="AG291" s="170"/>
      <c r="AH291" s="170"/>
      <c r="AI291" s="170"/>
      <c r="AJ291" s="170"/>
      <c r="AK291" s="170"/>
      <c r="AL291" s="170"/>
      <c r="AM291" s="170"/>
      <c r="AN291" s="170"/>
      <c r="AO291" s="170"/>
      <c r="AP291" s="170"/>
      <c r="AQ291" s="170"/>
      <c r="AR291" s="170"/>
      <c r="AS291" s="170"/>
      <c r="AT291" s="170"/>
      <c r="AU291" s="170"/>
      <c r="AV291" s="170"/>
      <c r="AW291" s="170"/>
      <c r="AX291" s="170"/>
    </row>
    <row r="292" spans="1:50" ht="15" x14ac:dyDescent="0.25">
      <c r="A292" s="170"/>
      <c r="B292" s="719"/>
      <c r="C292" s="170"/>
      <c r="D292" s="170"/>
      <c r="E292" s="170"/>
      <c r="F292" s="170"/>
      <c r="G292" s="721"/>
      <c r="H292" s="170"/>
      <c r="I292" s="170"/>
      <c r="J292" s="170"/>
      <c r="K292" s="170"/>
      <c r="L292" s="170"/>
      <c r="M292" s="730"/>
      <c r="N292" s="730"/>
      <c r="O292" s="730"/>
      <c r="P292" s="731"/>
      <c r="Q292" s="731"/>
      <c r="R292" s="730"/>
      <c r="S292" s="730"/>
      <c r="T292" s="723"/>
      <c r="U292" s="724"/>
      <c r="V292" s="725"/>
      <c r="W292" s="725"/>
      <c r="X292" s="723"/>
      <c r="Y292" s="723"/>
      <c r="Z292" s="723"/>
      <c r="AA292" s="726"/>
      <c r="AB292" s="726"/>
      <c r="AC292" s="170"/>
      <c r="AD292" s="586"/>
      <c r="AE292" s="586"/>
      <c r="AF292" s="170"/>
      <c r="AG292" s="170"/>
      <c r="AH292" s="170"/>
      <c r="AI292" s="170"/>
      <c r="AJ292" s="170"/>
      <c r="AK292" s="170"/>
      <c r="AL292" s="170"/>
      <c r="AM292" s="170"/>
      <c r="AN292" s="170"/>
      <c r="AO292" s="170"/>
      <c r="AP292" s="170"/>
      <c r="AQ292" s="170"/>
      <c r="AR292" s="170"/>
      <c r="AS292" s="170"/>
      <c r="AT292" s="170"/>
      <c r="AU292" s="170"/>
      <c r="AV292" s="170"/>
      <c r="AW292" s="170"/>
      <c r="AX292" s="170"/>
    </row>
    <row r="293" spans="1:50" ht="15" x14ac:dyDescent="0.25">
      <c r="A293" s="170"/>
      <c r="B293" s="719"/>
      <c r="C293" s="170"/>
      <c r="D293" s="170"/>
      <c r="E293" s="170"/>
      <c r="F293" s="170"/>
      <c r="G293" s="721"/>
      <c r="H293" s="170"/>
      <c r="I293" s="170"/>
      <c r="J293" s="170"/>
      <c r="K293" s="170"/>
      <c r="L293" s="170"/>
      <c r="M293" s="730"/>
      <c r="N293" s="730"/>
      <c r="O293" s="730"/>
      <c r="P293" s="731"/>
      <c r="Q293" s="731"/>
      <c r="R293" s="730"/>
      <c r="S293" s="730"/>
      <c r="T293" s="723"/>
      <c r="U293" s="724"/>
      <c r="V293" s="725"/>
      <c r="W293" s="725"/>
      <c r="X293" s="723"/>
      <c r="Y293" s="723"/>
      <c r="Z293" s="723"/>
      <c r="AA293" s="726"/>
      <c r="AB293" s="726"/>
      <c r="AC293" s="170"/>
      <c r="AD293" s="586"/>
      <c r="AE293" s="586"/>
      <c r="AF293" s="170"/>
      <c r="AG293" s="170"/>
      <c r="AH293" s="170"/>
      <c r="AI293" s="170"/>
      <c r="AJ293" s="170"/>
      <c r="AK293" s="170"/>
      <c r="AL293" s="170"/>
      <c r="AM293" s="170"/>
      <c r="AN293" s="170"/>
      <c r="AO293" s="170"/>
      <c r="AP293" s="170"/>
      <c r="AQ293" s="170"/>
      <c r="AR293" s="170"/>
      <c r="AS293" s="170"/>
      <c r="AT293" s="170"/>
      <c r="AU293" s="170"/>
      <c r="AV293" s="170"/>
      <c r="AW293" s="170"/>
      <c r="AX293" s="170"/>
    </row>
    <row r="294" spans="1:50" ht="15" x14ac:dyDescent="0.25">
      <c r="A294" s="170"/>
      <c r="B294" s="719"/>
      <c r="C294" s="170"/>
      <c r="D294" s="170"/>
      <c r="E294" s="170"/>
      <c r="F294" s="170"/>
      <c r="G294" s="721"/>
      <c r="H294" s="170"/>
      <c r="I294" s="170"/>
      <c r="J294" s="170"/>
      <c r="K294" s="170"/>
      <c r="L294" s="170"/>
      <c r="M294" s="730"/>
      <c r="N294" s="730"/>
      <c r="O294" s="730"/>
      <c r="P294" s="731"/>
      <c r="Q294" s="731"/>
      <c r="R294" s="730"/>
      <c r="S294" s="730"/>
      <c r="T294" s="723"/>
      <c r="U294" s="724"/>
      <c r="V294" s="725"/>
      <c r="W294" s="725"/>
      <c r="X294" s="723"/>
      <c r="Y294" s="723"/>
      <c r="Z294" s="723"/>
      <c r="AA294" s="726"/>
      <c r="AB294" s="726"/>
      <c r="AC294" s="170"/>
      <c r="AD294" s="586"/>
      <c r="AE294" s="586"/>
      <c r="AF294" s="170"/>
      <c r="AG294" s="170"/>
      <c r="AH294" s="170"/>
      <c r="AI294" s="170"/>
      <c r="AJ294" s="170"/>
      <c r="AK294" s="170"/>
      <c r="AL294" s="170"/>
      <c r="AM294" s="170"/>
      <c r="AN294" s="170"/>
      <c r="AO294" s="170"/>
      <c r="AP294" s="170"/>
      <c r="AQ294" s="170"/>
      <c r="AR294" s="170"/>
      <c r="AS294" s="170"/>
      <c r="AT294" s="170"/>
      <c r="AU294" s="170"/>
      <c r="AV294" s="170"/>
      <c r="AW294" s="170"/>
      <c r="AX294" s="170"/>
    </row>
    <row r="295" spans="1:50" ht="15" x14ac:dyDescent="0.25">
      <c r="A295" s="170"/>
      <c r="B295" s="719"/>
      <c r="C295" s="170"/>
      <c r="D295" s="170"/>
      <c r="E295" s="170"/>
      <c r="F295" s="170"/>
      <c r="G295" s="721"/>
      <c r="H295" s="170"/>
      <c r="I295" s="170"/>
      <c r="J295" s="170"/>
      <c r="K295" s="170"/>
      <c r="L295" s="170"/>
      <c r="M295" s="730"/>
      <c r="N295" s="730"/>
      <c r="O295" s="730"/>
      <c r="P295" s="731"/>
      <c r="Q295" s="731"/>
      <c r="R295" s="730"/>
      <c r="S295" s="730"/>
      <c r="T295" s="723"/>
      <c r="U295" s="724"/>
      <c r="V295" s="725"/>
      <c r="W295" s="725"/>
      <c r="X295" s="723"/>
      <c r="Y295" s="723"/>
      <c r="Z295" s="723"/>
      <c r="AA295" s="726"/>
      <c r="AB295" s="726"/>
      <c r="AC295" s="170"/>
      <c r="AD295" s="586"/>
      <c r="AE295" s="586"/>
      <c r="AF295" s="170"/>
      <c r="AG295" s="170"/>
      <c r="AH295" s="170"/>
      <c r="AI295" s="170"/>
      <c r="AJ295" s="170"/>
      <c r="AK295" s="170"/>
      <c r="AL295" s="170"/>
      <c r="AM295" s="170"/>
      <c r="AN295" s="170"/>
      <c r="AO295" s="170"/>
      <c r="AP295" s="170"/>
      <c r="AQ295" s="170"/>
      <c r="AR295" s="170"/>
      <c r="AS295" s="170"/>
      <c r="AT295" s="170"/>
      <c r="AU295" s="170"/>
      <c r="AV295" s="170"/>
      <c r="AW295" s="170"/>
      <c r="AX295" s="170"/>
    </row>
    <row r="296" spans="1:50" ht="15" x14ac:dyDescent="0.25">
      <c r="A296" s="170"/>
      <c r="B296" s="719"/>
      <c r="C296" s="170"/>
      <c r="D296" s="170"/>
      <c r="E296" s="170"/>
      <c r="F296" s="170"/>
      <c r="G296" s="721"/>
      <c r="H296" s="170"/>
      <c r="I296" s="170"/>
      <c r="J296" s="170"/>
      <c r="K296" s="170"/>
      <c r="L296" s="170"/>
      <c r="M296" s="730"/>
      <c r="N296" s="730"/>
      <c r="O296" s="730"/>
      <c r="P296" s="731"/>
      <c r="Q296" s="731"/>
      <c r="R296" s="730"/>
      <c r="S296" s="730"/>
      <c r="T296" s="723"/>
      <c r="U296" s="724"/>
      <c r="V296" s="725"/>
      <c r="W296" s="725"/>
      <c r="X296" s="723"/>
      <c r="Y296" s="723"/>
      <c r="Z296" s="723"/>
      <c r="AA296" s="726"/>
      <c r="AB296" s="726"/>
      <c r="AC296" s="170"/>
      <c r="AD296" s="586"/>
      <c r="AE296" s="586"/>
      <c r="AF296" s="170"/>
      <c r="AG296" s="170"/>
      <c r="AH296" s="170"/>
      <c r="AI296" s="170"/>
      <c r="AJ296" s="170"/>
      <c r="AK296" s="170"/>
      <c r="AL296" s="170"/>
      <c r="AM296" s="170"/>
      <c r="AN296" s="170"/>
      <c r="AO296" s="170"/>
      <c r="AP296" s="170"/>
      <c r="AQ296" s="170"/>
      <c r="AR296" s="170"/>
      <c r="AS296" s="170"/>
      <c r="AT296" s="170"/>
      <c r="AU296" s="170"/>
      <c r="AV296" s="170"/>
      <c r="AW296" s="170"/>
      <c r="AX296" s="170"/>
    </row>
    <row r="297" spans="1:50" ht="15" x14ac:dyDescent="0.25">
      <c r="A297" s="170"/>
      <c r="B297" s="719"/>
      <c r="C297" s="170"/>
      <c r="D297" s="170"/>
      <c r="E297" s="170"/>
      <c r="F297" s="170"/>
      <c r="G297" s="721"/>
      <c r="H297" s="170"/>
      <c r="I297" s="170"/>
      <c r="J297" s="170"/>
      <c r="K297" s="170"/>
      <c r="L297" s="170"/>
      <c r="M297" s="730"/>
      <c r="N297" s="730"/>
      <c r="O297" s="730"/>
      <c r="P297" s="731"/>
      <c r="Q297" s="731"/>
      <c r="R297" s="730"/>
      <c r="S297" s="730"/>
      <c r="T297" s="723"/>
      <c r="U297" s="724"/>
      <c r="V297" s="725"/>
      <c r="W297" s="725"/>
      <c r="X297" s="723"/>
      <c r="Y297" s="723"/>
      <c r="Z297" s="723"/>
      <c r="AA297" s="726"/>
      <c r="AB297" s="726"/>
      <c r="AC297" s="170"/>
      <c r="AD297" s="586"/>
      <c r="AE297" s="586"/>
      <c r="AF297" s="170"/>
      <c r="AG297" s="170"/>
      <c r="AH297" s="170"/>
      <c r="AI297" s="170"/>
      <c r="AJ297" s="170"/>
      <c r="AK297" s="170"/>
      <c r="AL297" s="170"/>
      <c r="AM297" s="170"/>
      <c r="AN297" s="170"/>
      <c r="AO297" s="170"/>
      <c r="AP297" s="170"/>
      <c r="AQ297" s="170"/>
      <c r="AR297" s="170"/>
      <c r="AS297" s="170"/>
      <c r="AT297" s="170"/>
      <c r="AU297" s="170"/>
      <c r="AV297" s="170"/>
      <c r="AW297" s="170"/>
      <c r="AX297" s="170"/>
    </row>
    <row r="298" spans="1:50" ht="15" x14ac:dyDescent="0.25">
      <c r="A298" s="170"/>
      <c r="B298" s="719"/>
      <c r="C298" s="170"/>
      <c r="D298" s="170"/>
      <c r="E298" s="170"/>
      <c r="F298" s="170"/>
      <c r="G298" s="721"/>
      <c r="H298" s="170"/>
      <c r="I298" s="170"/>
      <c r="J298" s="170"/>
      <c r="K298" s="170"/>
      <c r="L298" s="170"/>
      <c r="M298" s="730"/>
      <c r="N298" s="730"/>
      <c r="O298" s="730"/>
      <c r="P298" s="731"/>
      <c r="Q298" s="731"/>
      <c r="R298" s="730"/>
      <c r="S298" s="730"/>
      <c r="T298" s="723"/>
      <c r="U298" s="724"/>
      <c r="V298" s="725"/>
      <c r="W298" s="725"/>
      <c r="X298" s="723"/>
      <c r="Y298" s="723"/>
      <c r="Z298" s="723"/>
      <c r="AA298" s="726"/>
      <c r="AB298" s="726"/>
      <c r="AC298" s="170"/>
      <c r="AD298" s="586"/>
      <c r="AE298" s="586"/>
      <c r="AF298" s="170"/>
      <c r="AG298" s="170"/>
      <c r="AH298" s="170"/>
      <c r="AI298" s="170"/>
      <c r="AJ298" s="170"/>
      <c r="AK298" s="170"/>
      <c r="AL298" s="170"/>
      <c r="AM298" s="170"/>
      <c r="AN298" s="170"/>
      <c r="AO298" s="170"/>
      <c r="AP298" s="170"/>
      <c r="AQ298" s="170"/>
      <c r="AR298" s="170"/>
      <c r="AS298" s="170"/>
      <c r="AT298" s="170"/>
      <c r="AU298" s="170"/>
      <c r="AV298" s="170"/>
      <c r="AW298" s="170"/>
      <c r="AX298" s="170"/>
    </row>
    <row r="299" spans="1:50" ht="15" x14ac:dyDescent="0.25">
      <c r="A299" s="170"/>
      <c r="B299" s="719"/>
      <c r="C299" s="170"/>
      <c r="D299" s="170"/>
      <c r="E299" s="170"/>
      <c r="F299" s="170"/>
      <c r="G299" s="721"/>
      <c r="H299" s="170"/>
      <c r="I299" s="170"/>
      <c r="J299" s="170"/>
      <c r="K299" s="170"/>
      <c r="L299" s="170"/>
      <c r="M299" s="730"/>
      <c r="N299" s="730"/>
      <c r="O299" s="730"/>
      <c r="P299" s="731"/>
      <c r="Q299" s="731"/>
      <c r="R299" s="730"/>
      <c r="S299" s="730"/>
      <c r="T299" s="723"/>
      <c r="U299" s="724"/>
      <c r="V299" s="725"/>
      <c r="W299" s="725"/>
      <c r="X299" s="723"/>
      <c r="Y299" s="723"/>
      <c r="Z299" s="723"/>
      <c r="AA299" s="726"/>
      <c r="AB299" s="726"/>
      <c r="AC299" s="170"/>
      <c r="AD299" s="586"/>
      <c r="AE299" s="586"/>
      <c r="AF299" s="170"/>
      <c r="AG299" s="170"/>
      <c r="AH299" s="170"/>
      <c r="AI299" s="170"/>
      <c r="AJ299" s="170"/>
      <c r="AK299" s="170"/>
      <c r="AL299" s="170"/>
      <c r="AM299" s="170"/>
      <c r="AN299" s="170"/>
      <c r="AO299" s="170"/>
      <c r="AP299" s="170"/>
      <c r="AQ299" s="170"/>
      <c r="AR299" s="170"/>
      <c r="AS299" s="170"/>
      <c r="AT299" s="170"/>
      <c r="AU299" s="170"/>
      <c r="AV299" s="170"/>
      <c r="AW299" s="170"/>
      <c r="AX299" s="170"/>
    </row>
    <row r="300" spans="1:50" ht="15" x14ac:dyDescent="0.25">
      <c r="A300" s="170"/>
      <c r="B300" s="719"/>
      <c r="C300" s="170"/>
      <c r="D300" s="170"/>
      <c r="E300" s="170"/>
      <c r="F300" s="170"/>
      <c r="G300" s="721"/>
      <c r="H300" s="170"/>
      <c r="I300" s="170"/>
      <c r="J300" s="170"/>
      <c r="K300" s="170"/>
      <c r="L300" s="170"/>
      <c r="M300" s="730"/>
      <c r="N300" s="730"/>
      <c r="O300" s="730"/>
      <c r="P300" s="731"/>
      <c r="Q300" s="731"/>
      <c r="R300" s="730"/>
      <c r="S300" s="730"/>
      <c r="T300" s="723"/>
      <c r="U300" s="724"/>
      <c r="V300" s="725"/>
      <c r="W300" s="725"/>
      <c r="X300" s="723"/>
      <c r="Y300" s="723"/>
      <c r="Z300" s="723"/>
      <c r="AA300" s="726"/>
      <c r="AB300" s="726"/>
      <c r="AC300" s="170"/>
      <c r="AD300" s="586"/>
      <c r="AE300" s="586"/>
      <c r="AF300" s="170"/>
      <c r="AG300" s="170"/>
      <c r="AH300" s="170"/>
      <c r="AI300" s="170"/>
      <c r="AJ300" s="170"/>
      <c r="AK300" s="170"/>
      <c r="AL300" s="170"/>
      <c r="AM300" s="170"/>
      <c r="AN300" s="170"/>
      <c r="AO300" s="170"/>
      <c r="AP300" s="170"/>
      <c r="AQ300" s="170"/>
      <c r="AR300" s="170"/>
      <c r="AS300" s="170"/>
      <c r="AT300" s="170"/>
      <c r="AU300" s="170"/>
      <c r="AV300" s="170"/>
      <c r="AW300" s="170"/>
      <c r="AX300" s="170"/>
    </row>
    <row r="301" spans="1:50" ht="15" x14ac:dyDescent="0.25">
      <c r="A301" s="170"/>
      <c r="B301" s="719"/>
      <c r="C301" s="170"/>
      <c r="D301" s="170"/>
      <c r="E301" s="170"/>
      <c r="F301" s="170"/>
      <c r="G301" s="721"/>
      <c r="H301" s="170"/>
      <c r="I301" s="170"/>
      <c r="J301" s="170"/>
      <c r="K301" s="170"/>
      <c r="L301" s="170"/>
      <c r="M301" s="730"/>
      <c r="N301" s="730"/>
      <c r="O301" s="730"/>
      <c r="P301" s="731"/>
      <c r="Q301" s="731"/>
      <c r="R301" s="730"/>
      <c r="S301" s="730"/>
      <c r="T301" s="723"/>
      <c r="U301" s="724"/>
      <c r="V301" s="725"/>
      <c r="W301" s="725"/>
      <c r="X301" s="723"/>
      <c r="Y301" s="723"/>
      <c r="Z301" s="723"/>
      <c r="AA301" s="726"/>
      <c r="AB301" s="726"/>
      <c r="AC301" s="170"/>
      <c r="AD301" s="586"/>
      <c r="AE301" s="586"/>
      <c r="AF301" s="170"/>
      <c r="AG301" s="170"/>
      <c r="AH301" s="170"/>
      <c r="AI301" s="170"/>
      <c r="AJ301" s="170"/>
      <c r="AK301" s="170"/>
      <c r="AL301" s="170"/>
      <c r="AM301" s="170"/>
      <c r="AN301" s="170"/>
      <c r="AO301" s="170"/>
      <c r="AP301" s="170"/>
      <c r="AQ301" s="170"/>
      <c r="AR301" s="170"/>
      <c r="AS301" s="170"/>
      <c r="AT301" s="170"/>
      <c r="AU301" s="170"/>
      <c r="AV301" s="170"/>
      <c r="AW301" s="170"/>
      <c r="AX301" s="170"/>
    </row>
    <row r="302" spans="1:50" ht="15" x14ac:dyDescent="0.25">
      <c r="A302" s="170"/>
      <c r="B302" s="719"/>
      <c r="C302" s="170"/>
      <c r="D302" s="170"/>
      <c r="E302" s="170"/>
      <c r="F302" s="170"/>
      <c r="G302" s="721"/>
      <c r="H302" s="170"/>
      <c r="I302" s="170"/>
      <c r="J302" s="170"/>
      <c r="K302" s="170"/>
      <c r="L302" s="170"/>
      <c r="M302" s="730"/>
      <c r="N302" s="730"/>
      <c r="O302" s="730"/>
      <c r="P302" s="731"/>
      <c r="Q302" s="731"/>
      <c r="R302" s="730"/>
      <c r="S302" s="730"/>
      <c r="T302" s="723"/>
      <c r="U302" s="724"/>
      <c r="V302" s="725"/>
      <c r="W302" s="725"/>
      <c r="X302" s="723"/>
      <c r="Y302" s="723"/>
      <c r="Z302" s="723"/>
      <c r="AA302" s="726"/>
      <c r="AB302" s="726"/>
      <c r="AC302" s="170"/>
      <c r="AD302" s="586"/>
      <c r="AE302" s="586"/>
      <c r="AF302" s="170"/>
      <c r="AG302" s="170"/>
      <c r="AH302" s="170"/>
      <c r="AI302" s="170"/>
      <c r="AJ302" s="170"/>
      <c r="AK302" s="170"/>
      <c r="AL302" s="170"/>
      <c r="AM302" s="170"/>
      <c r="AN302" s="170"/>
      <c r="AO302" s="170"/>
      <c r="AP302" s="170"/>
      <c r="AQ302" s="170"/>
      <c r="AR302" s="170"/>
      <c r="AS302" s="170"/>
      <c r="AT302" s="170"/>
      <c r="AU302" s="170"/>
      <c r="AV302" s="170"/>
      <c r="AW302" s="170"/>
      <c r="AX302" s="170"/>
    </row>
    <row r="303" spans="1:50" ht="15" x14ac:dyDescent="0.25">
      <c r="A303" s="170"/>
      <c r="B303" s="719"/>
      <c r="C303" s="170"/>
      <c r="D303" s="170"/>
      <c r="E303" s="170"/>
      <c r="F303" s="170"/>
      <c r="G303" s="721"/>
      <c r="H303" s="170"/>
      <c r="I303" s="170"/>
      <c r="J303" s="170"/>
      <c r="K303" s="170"/>
      <c r="L303" s="170"/>
      <c r="M303" s="730"/>
      <c r="N303" s="730"/>
      <c r="O303" s="730"/>
      <c r="P303" s="731"/>
      <c r="Q303" s="731"/>
      <c r="R303" s="730"/>
      <c r="S303" s="730"/>
      <c r="T303" s="723"/>
      <c r="U303" s="724"/>
      <c r="V303" s="725"/>
      <c r="W303" s="725"/>
      <c r="X303" s="723"/>
      <c r="Y303" s="723"/>
      <c r="Z303" s="723"/>
      <c r="AA303" s="726"/>
      <c r="AB303" s="726"/>
      <c r="AC303" s="170"/>
      <c r="AD303" s="586"/>
      <c r="AE303" s="586"/>
      <c r="AF303" s="170"/>
      <c r="AG303" s="170"/>
      <c r="AH303" s="170"/>
      <c r="AI303" s="170"/>
      <c r="AJ303" s="170"/>
      <c r="AK303" s="170"/>
      <c r="AL303" s="170"/>
      <c r="AM303" s="170"/>
      <c r="AN303" s="170"/>
      <c r="AO303" s="170"/>
      <c r="AP303" s="170"/>
      <c r="AQ303" s="170"/>
      <c r="AR303" s="170"/>
      <c r="AS303" s="170"/>
      <c r="AT303" s="170"/>
      <c r="AU303" s="170"/>
      <c r="AV303" s="170"/>
      <c r="AW303" s="170"/>
      <c r="AX303" s="170"/>
    </row>
    <row r="304" spans="1:50" ht="15" x14ac:dyDescent="0.25">
      <c r="A304" s="170"/>
      <c r="B304" s="719"/>
      <c r="C304" s="170"/>
      <c r="D304" s="170"/>
      <c r="E304" s="170"/>
      <c r="F304" s="170"/>
      <c r="G304" s="721"/>
      <c r="H304" s="170"/>
      <c r="I304" s="170"/>
      <c r="J304" s="170"/>
      <c r="K304" s="170"/>
      <c r="L304" s="170"/>
      <c r="M304" s="730"/>
      <c r="N304" s="730"/>
      <c r="O304" s="730"/>
      <c r="P304" s="731"/>
      <c r="Q304" s="731"/>
      <c r="R304" s="730"/>
      <c r="S304" s="730"/>
      <c r="T304" s="723"/>
      <c r="U304" s="724"/>
      <c r="V304" s="725"/>
      <c r="W304" s="725"/>
      <c r="X304" s="723"/>
      <c r="Y304" s="723"/>
      <c r="Z304" s="723"/>
      <c r="AA304" s="726"/>
      <c r="AB304" s="726"/>
      <c r="AC304" s="170"/>
      <c r="AD304" s="586"/>
      <c r="AE304" s="586"/>
      <c r="AF304" s="170"/>
      <c r="AG304" s="170"/>
      <c r="AH304" s="170"/>
      <c r="AI304" s="170"/>
      <c r="AJ304" s="170"/>
      <c r="AK304" s="170"/>
      <c r="AL304" s="170"/>
      <c r="AM304" s="170"/>
      <c r="AN304" s="170"/>
      <c r="AO304" s="170"/>
      <c r="AP304" s="170"/>
      <c r="AQ304" s="170"/>
      <c r="AR304" s="170"/>
      <c r="AS304" s="170"/>
      <c r="AT304" s="170"/>
      <c r="AU304" s="170"/>
      <c r="AV304" s="170"/>
      <c r="AW304" s="170"/>
      <c r="AX304" s="170"/>
    </row>
    <row r="305" spans="1:50" ht="15" x14ac:dyDescent="0.25">
      <c r="A305" s="170"/>
      <c r="B305" s="719"/>
      <c r="C305" s="170"/>
      <c r="D305" s="170"/>
      <c r="E305" s="170"/>
      <c r="F305" s="170"/>
      <c r="G305" s="721"/>
      <c r="H305" s="170"/>
      <c r="I305" s="170"/>
      <c r="J305" s="170"/>
      <c r="K305" s="170"/>
      <c r="L305" s="170"/>
      <c r="M305" s="730"/>
      <c r="N305" s="730"/>
      <c r="O305" s="730"/>
      <c r="P305" s="731"/>
      <c r="Q305" s="731"/>
      <c r="R305" s="730"/>
      <c r="S305" s="730"/>
      <c r="T305" s="723"/>
      <c r="U305" s="724"/>
      <c r="V305" s="725"/>
      <c r="W305" s="725"/>
      <c r="X305" s="723"/>
      <c r="Y305" s="723"/>
      <c r="Z305" s="723"/>
      <c r="AA305" s="726"/>
      <c r="AB305" s="726"/>
      <c r="AC305" s="170"/>
      <c r="AD305" s="586"/>
      <c r="AE305" s="586"/>
      <c r="AF305" s="170"/>
      <c r="AG305" s="170"/>
      <c r="AH305" s="170"/>
      <c r="AI305" s="170"/>
      <c r="AJ305" s="170"/>
      <c r="AK305" s="170"/>
      <c r="AL305" s="170"/>
      <c r="AM305" s="170"/>
      <c r="AN305" s="170"/>
      <c r="AO305" s="170"/>
      <c r="AP305" s="170"/>
      <c r="AQ305" s="170"/>
      <c r="AR305" s="170"/>
      <c r="AS305" s="170"/>
      <c r="AT305" s="170"/>
      <c r="AU305" s="170"/>
      <c r="AV305" s="170"/>
      <c r="AW305" s="170"/>
      <c r="AX305" s="170"/>
    </row>
    <row r="306" spans="1:50" ht="15" x14ac:dyDescent="0.25">
      <c r="A306" s="170"/>
      <c r="B306" s="719"/>
      <c r="C306" s="170"/>
      <c r="D306" s="170"/>
      <c r="E306" s="170"/>
      <c r="F306" s="170"/>
      <c r="G306" s="721"/>
      <c r="H306" s="170"/>
      <c r="I306" s="170"/>
      <c r="J306" s="170"/>
      <c r="K306" s="170"/>
      <c r="L306" s="170"/>
      <c r="M306" s="730"/>
      <c r="N306" s="730"/>
      <c r="O306" s="730"/>
      <c r="P306" s="731"/>
      <c r="Q306" s="731"/>
      <c r="R306" s="730"/>
      <c r="S306" s="730"/>
      <c r="T306" s="723"/>
      <c r="U306" s="724"/>
      <c r="V306" s="725"/>
      <c r="W306" s="725"/>
      <c r="X306" s="723"/>
      <c r="Y306" s="723"/>
      <c r="Z306" s="723"/>
      <c r="AA306" s="726"/>
      <c r="AB306" s="726"/>
      <c r="AC306" s="170"/>
      <c r="AD306" s="586"/>
      <c r="AE306" s="586"/>
      <c r="AF306" s="170"/>
      <c r="AG306" s="170"/>
      <c r="AH306" s="170"/>
      <c r="AI306" s="170"/>
      <c r="AJ306" s="170"/>
      <c r="AK306" s="170"/>
      <c r="AL306" s="170"/>
      <c r="AM306" s="170"/>
      <c r="AN306" s="170"/>
      <c r="AO306" s="170"/>
      <c r="AP306" s="170"/>
      <c r="AQ306" s="170"/>
      <c r="AR306" s="170"/>
      <c r="AS306" s="170"/>
      <c r="AT306" s="170"/>
      <c r="AU306" s="170"/>
      <c r="AV306" s="170"/>
      <c r="AW306" s="170"/>
      <c r="AX306" s="170"/>
    </row>
    <row r="307" spans="1:50" ht="15" x14ac:dyDescent="0.25">
      <c r="A307" s="170"/>
      <c r="B307" s="719"/>
      <c r="C307" s="170"/>
      <c r="D307" s="170"/>
      <c r="E307" s="170"/>
      <c r="F307" s="170"/>
      <c r="G307" s="721"/>
      <c r="H307" s="170"/>
      <c r="I307" s="170"/>
      <c r="J307" s="170"/>
      <c r="K307" s="170"/>
      <c r="L307" s="170"/>
      <c r="M307" s="730"/>
      <c r="N307" s="730"/>
      <c r="O307" s="730"/>
      <c r="P307" s="731"/>
      <c r="Q307" s="731"/>
      <c r="R307" s="730"/>
      <c r="S307" s="730"/>
      <c r="T307" s="723"/>
      <c r="U307" s="724"/>
      <c r="V307" s="725"/>
      <c r="W307" s="725"/>
      <c r="X307" s="723"/>
      <c r="Y307" s="723"/>
      <c r="Z307" s="723"/>
      <c r="AA307" s="726"/>
      <c r="AB307" s="726"/>
      <c r="AC307" s="170"/>
      <c r="AD307" s="586"/>
      <c r="AE307" s="586"/>
      <c r="AF307" s="170"/>
      <c r="AG307" s="170"/>
      <c r="AH307" s="170"/>
      <c r="AI307" s="170"/>
      <c r="AJ307" s="170"/>
      <c r="AK307" s="170"/>
      <c r="AL307" s="170"/>
      <c r="AM307" s="170"/>
      <c r="AN307" s="170"/>
      <c r="AO307" s="170"/>
      <c r="AP307" s="170"/>
      <c r="AQ307" s="170"/>
      <c r="AR307" s="170"/>
      <c r="AS307" s="170"/>
      <c r="AT307" s="170"/>
      <c r="AU307" s="170"/>
      <c r="AV307" s="170"/>
      <c r="AW307" s="170"/>
      <c r="AX307" s="170"/>
    </row>
    <row r="308" spans="1:50" ht="15" x14ac:dyDescent="0.25">
      <c r="A308" s="170"/>
      <c r="B308" s="719"/>
      <c r="C308" s="170"/>
      <c r="D308" s="170"/>
      <c r="E308" s="170"/>
      <c r="F308" s="170"/>
      <c r="G308" s="721"/>
      <c r="H308" s="170"/>
      <c r="I308" s="170"/>
      <c r="J308" s="170"/>
      <c r="K308" s="170"/>
      <c r="L308" s="170"/>
      <c r="M308" s="730"/>
      <c r="N308" s="730"/>
      <c r="O308" s="730"/>
      <c r="P308" s="731"/>
      <c r="Q308" s="731"/>
      <c r="R308" s="730"/>
      <c r="S308" s="730"/>
      <c r="T308" s="723"/>
      <c r="U308" s="724"/>
      <c r="V308" s="725"/>
      <c r="W308" s="725"/>
      <c r="X308" s="723"/>
      <c r="Y308" s="723"/>
      <c r="Z308" s="723"/>
      <c r="AA308" s="726"/>
      <c r="AB308" s="726"/>
      <c r="AC308" s="170"/>
      <c r="AD308" s="586"/>
      <c r="AE308" s="586"/>
      <c r="AF308" s="170"/>
      <c r="AG308" s="170"/>
      <c r="AH308" s="170"/>
      <c r="AI308" s="170"/>
      <c r="AJ308" s="170"/>
      <c r="AK308" s="170"/>
      <c r="AL308" s="170"/>
      <c r="AM308" s="170"/>
      <c r="AN308" s="170"/>
      <c r="AO308" s="170"/>
      <c r="AP308" s="170"/>
      <c r="AQ308" s="170"/>
      <c r="AR308" s="170"/>
      <c r="AS308" s="170"/>
      <c r="AT308" s="170"/>
      <c r="AU308" s="170"/>
      <c r="AV308" s="170"/>
      <c r="AW308" s="170"/>
      <c r="AX308" s="170"/>
    </row>
    <row r="309" spans="1:50" ht="15" x14ac:dyDescent="0.25">
      <c r="A309" s="170"/>
      <c r="B309" s="719"/>
      <c r="C309" s="170"/>
      <c r="D309" s="170"/>
      <c r="E309" s="170"/>
      <c r="F309" s="170"/>
      <c r="G309" s="721"/>
      <c r="H309" s="170"/>
      <c r="I309" s="170"/>
      <c r="J309" s="170"/>
      <c r="K309" s="170"/>
      <c r="L309" s="170"/>
      <c r="M309" s="730"/>
      <c r="N309" s="730"/>
      <c r="O309" s="730"/>
      <c r="P309" s="731"/>
      <c r="Q309" s="731"/>
      <c r="R309" s="730"/>
      <c r="S309" s="730"/>
      <c r="T309" s="723"/>
      <c r="U309" s="724"/>
      <c r="V309" s="725"/>
      <c r="W309" s="725"/>
      <c r="X309" s="723"/>
      <c r="Y309" s="723"/>
      <c r="Z309" s="723"/>
      <c r="AA309" s="726"/>
      <c r="AB309" s="726"/>
      <c r="AC309" s="170"/>
      <c r="AD309" s="586"/>
      <c r="AE309" s="586"/>
      <c r="AF309" s="170"/>
      <c r="AG309" s="170"/>
      <c r="AH309" s="170"/>
      <c r="AI309" s="170"/>
      <c r="AJ309" s="170"/>
      <c r="AK309" s="170"/>
      <c r="AL309" s="170"/>
      <c r="AM309" s="170"/>
      <c r="AN309" s="170"/>
      <c r="AO309" s="170"/>
      <c r="AP309" s="170"/>
      <c r="AQ309" s="170"/>
      <c r="AR309" s="170"/>
      <c r="AS309" s="170"/>
      <c r="AT309" s="170"/>
      <c r="AU309" s="170"/>
      <c r="AV309" s="170"/>
      <c r="AW309" s="170"/>
      <c r="AX309" s="170"/>
    </row>
    <row r="310" spans="1:50" ht="15" x14ac:dyDescent="0.25">
      <c r="A310" s="170"/>
      <c r="B310" s="719"/>
      <c r="C310" s="170"/>
      <c r="D310" s="170"/>
      <c r="E310" s="170"/>
      <c r="F310" s="170"/>
      <c r="G310" s="721"/>
      <c r="H310" s="170"/>
      <c r="I310" s="170"/>
      <c r="J310" s="170"/>
      <c r="K310" s="170"/>
      <c r="L310" s="170"/>
      <c r="M310" s="730"/>
      <c r="N310" s="730"/>
      <c r="O310" s="730"/>
      <c r="P310" s="731"/>
      <c r="Q310" s="731"/>
      <c r="R310" s="730"/>
      <c r="S310" s="730"/>
      <c r="T310" s="723"/>
      <c r="U310" s="724"/>
      <c r="V310" s="725"/>
      <c r="W310" s="725"/>
      <c r="X310" s="723"/>
      <c r="Y310" s="723"/>
      <c r="Z310" s="723"/>
      <c r="AA310" s="726"/>
      <c r="AB310" s="726"/>
      <c r="AC310" s="170"/>
      <c r="AD310" s="586"/>
      <c r="AE310" s="586"/>
      <c r="AF310" s="170"/>
      <c r="AG310" s="170"/>
      <c r="AH310" s="170"/>
      <c r="AI310" s="170"/>
      <c r="AJ310" s="170"/>
      <c r="AK310" s="170"/>
      <c r="AL310" s="170"/>
      <c r="AM310" s="170"/>
      <c r="AN310" s="170"/>
      <c r="AO310" s="170"/>
      <c r="AP310" s="170"/>
      <c r="AQ310" s="170"/>
      <c r="AR310" s="170"/>
      <c r="AS310" s="170"/>
      <c r="AT310" s="170"/>
      <c r="AU310" s="170"/>
      <c r="AV310" s="170"/>
      <c r="AW310" s="170"/>
      <c r="AX310" s="170"/>
    </row>
    <row r="311" spans="1:50" ht="15" x14ac:dyDescent="0.25">
      <c r="A311" s="170"/>
      <c r="B311" s="719"/>
      <c r="C311" s="170"/>
      <c r="D311" s="170"/>
      <c r="E311" s="170"/>
      <c r="F311" s="170"/>
      <c r="G311" s="721"/>
      <c r="H311" s="170"/>
      <c r="I311" s="170"/>
      <c r="J311" s="170"/>
      <c r="K311" s="170"/>
      <c r="L311" s="170"/>
      <c r="M311" s="730"/>
      <c r="N311" s="730"/>
      <c r="O311" s="730"/>
      <c r="P311" s="731"/>
      <c r="Q311" s="731"/>
      <c r="R311" s="730"/>
      <c r="S311" s="730"/>
      <c r="T311" s="723"/>
      <c r="U311" s="724"/>
      <c r="V311" s="725"/>
      <c r="W311" s="725"/>
      <c r="X311" s="723"/>
      <c r="Y311" s="723"/>
      <c r="Z311" s="723"/>
      <c r="AA311" s="726"/>
      <c r="AB311" s="726"/>
      <c r="AC311" s="170"/>
      <c r="AD311" s="586"/>
      <c r="AE311" s="586"/>
      <c r="AF311" s="170"/>
      <c r="AG311" s="170"/>
      <c r="AH311" s="170"/>
      <c r="AI311" s="170"/>
      <c r="AJ311" s="170"/>
      <c r="AK311" s="170"/>
      <c r="AL311" s="170"/>
      <c r="AM311" s="170"/>
      <c r="AN311" s="170"/>
      <c r="AO311" s="170"/>
      <c r="AP311" s="170"/>
      <c r="AQ311" s="170"/>
      <c r="AR311" s="170"/>
      <c r="AS311" s="170"/>
      <c r="AT311" s="170"/>
      <c r="AU311" s="170"/>
      <c r="AV311" s="170"/>
      <c r="AW311" s="170"/>
      <c r="AX311" s="170"/>
    </row>
    <row r="312" spans="1:50" ht="15" x14ac:dyDescent="0.25">
      <c r="A312" s="170"/>
      <c r="B312" s="719"/>
      <c r="C312" s="170"/>
      <c r="D312" s="170"/>
      <c r="E312" s="170"/>
      <c r="F312" s="170"/>
      <c r="G312" s="721"/>
      <c r="H312" s="170"/>
      <c r="I312" s="170"/>
      <c r="J312" s="170"/>
      <c r="K312" s="170"/>
      <c r="L312" s="170"/>
      <c r="M312" s="730"/>
      <c r="N312" s="730"/>
      <c r="O312" s="730"/>
      <c r="P312" s="731"/>
      <c r="Q312" s="731"/>
      <c r="R312" s="730"/>
      <c r="S312" s="730"/>
      <c r="T312" s="723"/>
      <c r="U312" s="724"/>
      <c r="V312" s="725"/>
      <c r="W312" s="725"/>
      <c r="X312" s="723"/>
      <c r="Y312" s="723"/>
      <c r="Z312" s="723"/>
      <c r="AA312" s="726"/>
      <c r="AB312" s="726"/>
      <c r="AC312" s="170"/>
      <c r="AD312" s="586"/>
      <c r="AE312" s="586"/>
      <c r="AF312" s="170"/>
      <c r="AG312" s="170"/>
      <c r="AH312" s="170"/>
      <c r="AI312" s="170"/>
      <c r="AJ312" s="170"/>
      <c r="AK312" s="170"/>
      <c r="AL312" s="170"/>
      <c r="AM312" s="170"/>
      <c r="AN312" s="170"/>
      <c r="AO312" s="170"/>
      <c r="AP312" s="170"/>
      <c r="AQ312" s="170"/>
      <c r="AR312" s="170"/>
      <c r="AS312" s="170"/>
      <c r="AT312" s="170"/>
      <c r="AU312" s="170"/>
      <c r="AV312" s="170"/>
      <c r="AW312" s="170"/>
      <c r="AX312" s="170"/>
    </row>
    <row r="313" spans="1:50" ht="15" x14ac:dyDescent="0.25">
      <c r="A313" s="170"/>
      <c r="B313" s="719"/>
      <c r="C313" s="170"/>
      <c r="D313" s="170"/>
      <c r="E313" s="170"/>
      <c r="F313" s="170"/>
      <c r="G313" s="721"/>
      <c r="H313" s="170"/>
      <c r="I313" s="170"/>
      <c r="J313" s="170"/>
      <c r="K313" s="170"/>
      <c r="L313" s="170"/>
      <c r="M313" s="730"/>
      <c r="N313" s="730"/>
      <c r="O313" s="730"/>
      <c r="P313" s="731"/>
      <c r="Q313" s="731"/>
      <c r="R313" s="730"/>
      <c r="S313" s="730"/>
      <c r="T313" s="723"/>
      <c r="U313" s="724"/>
      <c r="V313" s="725"/>
      <c r="W313" s="725"/>
      <c r="X313" s="723"/>
      <c r="Y313" s="723"/>
      <c r="Z313" s="723"/>
      <c r="AA313" s="726"/>
      <c r="AB313" s="726"/>
      <c r="AC313" s="170"/>
      <c r="AD313" s="586"/>
      <c r="AE313" s="586"/>
      <c r="AF313" s="170"/>
      <c r="AG313" s="170"/>
      <c r="AH313" s="170"/>
      <c r="AI313" s="170"/>
      <c r="AJ313" s="170"/>
      <c r="AK313" s="170"/>
      <c r="AL313" s="170"/>
      <c r="AM313" s="170"/>
      <c r="AN313" s="170"/>
      <c r="AO313" s="170"/>
      <c r="AP313" s="170"/>
      <c r="AQ313" s="170"/>
      <c r="AR313" s="170"/>
      <c r="AS313" s="170"/>
      <c r="AT313" s="170"/>
      <c r="AU313" s="170"/>
      <c r="AV313" s="170"/>
      <c r="AW313" s="170"/>
      <c r="AX313" s="170"/>
    </row>
    <row r="314" spans="1:50" ht="15" x14ac:dyDescent="0.25">
      <c r="A314" s="170"/>
      <c r="B314" s="719"/>
      <c r="C314" s="170"/>
      <c r="D314" s="170"/>
      <c r="E314" s="170"/>
      <c r="F314" s="170"/>
      <c r="G314" s="721"/>
      <c r="H314" s="170"/>
      <c r="I314" s="170"/>
      <c r="J314" s="170"/>
      <c r="K314" s="170"/>
      <c r="L314" s="170"/>
      <c r="M314" s="730"/>
      <c r="N314" s="730"/>
      <c r="O314" s="730"/>
      <c r="P314" s="731"/>
      <c r="Q314" s="731"/>
      <c r="R314" s="730"/>
      <c r="S314" s="730"/>
      <c r="T314" s="723"/>
      <c r="U314" s="724"/>
      <c r="V314" s="725"/>
      <c r="W314" s="725"/>
      <c r="X314" s="723"/>
      <c r="Y314" s="723"/>
      <c r="Z314" s="723"/>
      <c r="AA314" s="726"/>
      <c r="AB314" s="726"/>
      <c r="AC314" s="170"/>
      <c r="AD314" s="586"/>
      <c r="AE314" s="586"/>
      <c r="AF314" s="170"/>
      <c r="AG314" s="170"/>
      <c r="AH314" s="170"/>
      <c r="AI314" s="170"/>
      <c r="AJ314" s="170"/>
      <c r="AK314" s="170"/>
      <c r="AL314" s="170"/>
      <c r="AM314" s="170"/>
      <c r="AN314" s="170"/>
      <c r="AO314" s="170"/>
      <c r="AP314" s="170"/>
      <c r="AQ314" s="170"/>
      <c r="AR314" s="170"/>
      <c r="AS314" s="170"/>
      <c r="AT314" s="170"/>
      <c r="AU314" s="170"/>
      <c r="AV314" s="170"/>
      <c r="AW314" s="170"/>
      <c r="AX314" s="170"/>
    </row>
    <row r="315" spans="1:50" ht="15" x14ac:dyDescent="0.25">
      <c r="A315" s="170"/>
      <c r="B315" s="719"/>
      <c r="C315" s="170"/>
      <c r="D315" s="170"/>
      <c r="E315" s="170"/>
      <c r="F315" s="170"/>
      <c r="G315" s="721"/>
      <c r="H315" s="170"/>
      <c r="I315" s="170"/>
      <c r="J315" s="170"/>
      <c r="K315" s="170"/>
      <c r="L315" s="170"/>
      <c r="M315" s="730"/>
      <c r="N315" s="730"/>
      <c r="O315" s="730"/>
      <c r="P315" s="731"/>
      <c r="Q315" s="731"/>
      <c r="R315" s="730"/>
      <c r="S315" s="730"/>
      <c r="T315" s="723"/>
      <c r="U315" s="724"/>
      <c r="V315" s="725"/>
      <c r="W315" s="725"/>
      <c r="X315" s="723"/>
      <c r="Y315" s="723"/>
      <c r="Z315" s="723"/>
      <c r="AA315" s="726"/>
      <c r="AB315" s="726"/>
      <c r="AC315" s="170"/>
      <c r="AD315" s="586"/>
      <c r="AE315" s="586"/>
      <c r="AF315" s="170"/>
      <c r="AG315" s="170"/>
      <c r="AH315" s="170"/>
      <c r="AI315" s="170"/>
      <c r="AJ315" s="170"/>
      <c r="AK315" s="170"/>
      <c r="AL315" s="170"/>
      <c r="AM315" s="170"/>
      <c r="AN315" s="170"/>
      <c r="AO315" s="170"/>
      <c r="AP315" s="170"/>
      <c r="AQ315" s="170"/>
      <c r="AR315" s="170"/>
      <c r="AS315" s="170"/>
      <c r="AT315" s="170"/>
      <c r="AU315" s="170"/>
      <c r="AV315" s="170"/>
      <c r="AW315" s="170"/>
      <c r="AX315" s="170"/>
    </row>
    <row r="316" spans="1:50" ht="15" x14ac:dyDescent="0.25">
      <c r="A316" s="170"/>
      <c r="B316" s="719"/>
      <c r="C316" s="170"/>
      <c r="D316" s="170"/>
      <c r="E316" s="170"/>
      <c r="F316" s="170"/>
      <c r="G316" s="721"/>
      <c r="H316" s="170"/>
      <c r="I316" s="170"/>
      <c r="J316" s="170"/>
      <c r="K316" s="170"/>
      <c r="L316" s="170"/>
      <c r="M316" s="730"/>
      <c r="N316" s="730"/>
      <c r="O316" s="730"/>
      <c r="P316" s="731"/>
      <c r="Q316" s="731"/>
      <c r="R316" s="730"/>
      <c r="S316" s="730"/>
      <c r="T316" s="723"/>
      <c r="U316" s="724"/>
      <c r="V316" s="725"/>
      <c r="W316" s="725"/>
      <c r="X316" s="723"/>
      <c r="Y316" s="723"/>
      <c r="Z316" s="723"/>
      <c r="AA316" s="726"/>
      <c r="AB316" s="726"/>
      <c r="AC316" s="170"/>
      <c r="AD316" s="586"/>
      <c r="AE316" s="586"/>
      <c r="AF316" s="170"/>
      <c r="AG316" s="170"/>
      <c r="AH316" s="170"/>
      <c r="AI316" s="170"/>
      <c r="AJ316" s="170"/>
      <c r="AK316" s="170"/>
      <c r="AL316" s="170"/>
      <c r="AM316" s="170"/>
      <c r="AN316" s="170"/>
      <c r="AO316" s="170"/>
      <c r="AP316" s="170"/>
      <c r="AQ316" s="170"/>
      <c r="AR316" s="170"/>
      <c r="AS316" s="170"/>
      <c r="AT316" s="170"/>
      <c r="AU316" s="170"/>
      <c r="AV316" s="170"/>
      <c r="AW316" s="170"/>
      <c r="AX316" s="170"/>
    </row>
    <row r="317" spans="1:50" ht="15" x14ac:dyDescent="0.25">
      <c r="A317" s="170"/>
      <c r="B317" s="719"/>
      <c r="C317" s="170"/>
      <c r="D317" s="170"/>
      <c r="E317" s="170"/>
      <c r="F317" s="170"/>
      <c r="G317" s="721"/>
      <c r="H317" s="170"/>
      <c r="I317" s="170"/>
      <c r="J317" s="170"/>
      <c r="K317" s="170"/>
      <c r="L317" s="170"/>
      <c r="M317" s="730"/>
      <c r="N317" s="730"/>
      <c r="O317" s="730"/>
      <c r="P317" s="731"/>
      <c r="Q317" s="731"/>
      <c r="R317" s="730"/>
      <c r="S317" s="730"/>
      <c r="T317" s="723"/>
      <c r="U317" s="724"/>
      <c r="V317" s="725"/>
      <c r="W317" s="725"/>
      <c r="X317" s="723"/>
      <c r="Y317" s="723"/>
      <c r="Z317" s="723"/>
      <c r="AA317" s="726"/>
      <c r="AB317" s="726"/>
      <c r="AC317" s="170"/>
      <c r="AD317" s="586"/>
      <c r="AE317" s="586"/>
      <c r="AF317" s="170"/>
      <c r="AG317" s="170"/>
      <c r="AH317" s="170"/>
      <c r="AI317" s="170"/>
      <c r="AJ317" s="170"/>
      <c r="AK317" s="170"/>
      <c r="AL317" s="170"/>
      <c r="AM317" s="170"/>
      <c r="AN317" s="170"/>
      <c r="AO317" s="170"/>
      <c r="AP317" s="170"/>
      <c r="AQ317" s="170"/>
      <c r="AR317" s="170"/>
      <c r="AS317" s="170"/>
      <c r="AT317" s="170"/>
      <c r="AU317" s="170"/>
      <c r="AV317" s="170"/>
      <c r="AW317" s="170"/>
      <c r="AX317" s="170"/>
    </row>
    <row r="318" spans="1:50" ht="15" x14ac:dyDescent="0.25">
      <c r="A318" s="170"/>
      <c r="B318" s="719"/>
      <c r="C318" s="170"/>
      <c r="D318" s="170"/>
      <c r="E318" s="170"/>
      <c r="F318" s="170"/>
      <c r="G318" s="721"/>
      <c r="H318" s="170"/>
      <c r="I318" s="170"/>
      <c r="J318" s="170"/>
      <c r="K318" s="170"/>
      <c r="L318" s="170"/>
      <c r="M318" s="730"/>
      <c r="N318" s="730"/>
      <c r="O318" s="730"/>
      <c r="P318" s="731"/>
      <c r="Q318" s="731"/>
      <c r="R318" s="730"/>
      <c r="S318" s="730"/>
      <c r="T318" s="723"/>
      <c r="U318" s="724"/>
      <c r="V318" s="725"/>
      <c r="W318" s="725"/>
      <c r="X318" s="723"/>
      <c r="Y318" s="723"/>
      <c r="Z318" s="723"/>
      <c r="AA318" s="726"/>
      <c r="AB318" s="726"/>
      <c r="AC318" s="170"/>
      <c r="AD318" s="586"/>
      <c r="AE318" s="586"/>
      <c r="AF318" s="170"/>
      <c r="AG318" s="170"/>
      <c r="AH318" s="170"/>
      <c r="AI318" s="170"/>
      <c r="AJ318" s="170"/>
      <c r="AK318" s="170"/>
      <c r="AL318" s="170"/>
      <c r="AM318" s="170"/>
      <c r="AN318" s="170"/>
      <c r="AO318" s="170"/>
      <c r="AP318" s="170"/>
      <c r="AQ318" s="170"/>
      <c r="AR318" s="170"/>
      <c r="AS318" s="170"/>
      <c r="AT318" s="170"/>
      <c r="AU318" s="170"/>
      <c r="AV318" s="170"/>
      <c r="AW318" s="170"/>
      <c r="AX318" s="170"/>
    </row>
    <row r="319" spans="1:50" ht="15" x14ac:dyDescent="0.25">
      <c r="A319" s="170"/>
      <c r="B319" s="719"/>
      <c r="C319" s="170"/>
      <c r="D319" s="170"/>
      <c r="E319" s="170"/>
      <c r="F319" s="170"/>
      <c r="G319" s="721"/>
      <c r="H319" s="170"/>
      <c r="I319" s="170"/>
      <c r="J319" s="170"/>
      <c r="K319" s="170"/>
      <c r="L319" s="170"/>
      <c r="M319" s="730"/>
      <c r="N319" s="730"/>
      <c r="O319" s="730"/>
      <c r="P319" s="731"/>
      <c r="Q319" s="731"/>
      <c r="R319" s="730"/>
      <c r="S319" s="730"/>
      <c r="T319" s="723"/>
      <c r="U319" s="724"/>
      <c r="V319" s="725"/>
      <c r="W319" s="725"/>
      <c r="X319" s="723"/>
      <c r="Y319" s="723"/>
      <c r="Z319" s="723"/>
      <c r="AA319" s="726"/>
      <c r="AB319" s="726"/>
      <c r="AC319" s="170"/>
      <c r="AD319" s="586"/>
      <c r="AE319" s="586"/>
      <c r="AF319" s="170"/>
      <c r="AG319" s="170"/>
      <c r="AH319" s="170"/>
      <c r="AI319" s="170"/>
      <c r="AJ319" s="170"/>
      <c r="AK319" s="170"/>
      <c r="AL319" s="170"/>
      <c r="AM319" s="170"/>
      <c r="AN319" s="170"/>
      <c r="AO319" s="170"/>
      <c r="AP319" s="170"/>
      <c r="AQ319" s="170"/>
      <c r="AR319" s="170"/>
      <c r="AS319" s="170"/>
      <c r="AT319" s="170"/>
      <c r="AU319" s="170"/>
      <c r="AV319" s="170"/>
      <c r="AW319" s="170"/>
      <c r="AX319" s="170"/>
    </row>
    <row r="320" spans="1:50" ht="15" x14ac:dyDescent="0.25">
      <c r="A320" s="170"/>
      <c r="B320" s="719"/>
      <c r="C320" s="170"/>
      <c r="D320" s="170"/>
      <c r="E320" s="170"/>
      <c r="F320" s="170"/>
      <c r="G320" s="721"/>
      <c r="H320" s="170"/>
      <c r="I320" s="170"/>
      <c r="J320" s="170"/>
      <c r="K320" s="170"/>
      <c r="L320" s="170"/>
      <c r="M320" s="730"/>
      <c r="N320" s="730"/>
      <c r="O320" s="730"/>
      <c r="P320" s="731"/>
      <c r="Q320" s="731"/>
      <c r="R320" s="730"/>
      <c r="S320" s="730"/>
      <c r="T320" s="723"/>
      <c r="U320" s="724"/>
      <c r="V320" s="725"/>
      <c r="W320" s="725"/>
      <c r="X320" s="723"/>
      <c r="Y320" s="723"/>
      <c r="Z320" s="723"/>
      <c r="AA320" s="726"/>
      <c r="AB320" s="726"/>
      <c r="AC320" s="170"/>
      <c r="AD320" s="586"/>
      <c r="AE320" s="586"/>
      <c r="AF320" s="170"/>
      <c r="AG320" s="170"/>
      <c r="AH320" s="170"/>
      <c r="AI320" s="170"/>
      <c r="AJ320" s="170"/>
      <c r="AK320" s="170"/>
      <c r="AL320" s="170"/>
      <c r="AM320" s="170"/>
      <c r="AN320" s="170"/>
      <c r="AO320" s="170"/>
      <c r="AP320" s="170"/>
      <c r="AQ320" s="170"/>
      <c r="AR320" s="170"/>
      <c r="AS320" s="170"/>
      <c r="AT320" s="170"/>
      <c r="AU320" s="170"/>
      <c r="AV320" s="170"/>
      <c r="AW320" s="170"/>
      <c r="AX320" s="170"/>
    </row>
    <row r="321" spans="1:50" ht="15" x14ac:dyDescent="0.25">
      <c r="A321" s="170"/>
      <c r="B321" s="719"/>
      <c r="C321" s="170"/>
      <c r="D321" s="170"/>
      <c r="E321" s="170"/>
      <c r="F321" s="170"/>
      <c r="G321" s="721"/>
      <c r="H321" s="170"/>
      <c r="I321" s="170"/>
      <c r="J321" s="170"/>
      <c r="K321" s="170"/>
      <c r="L321" s="170"/>
      <c r="M321" s="730"/>
      <c r="N321" s="730"/>
      <c r="O321" s="730"/>
      <c r="P321" s="731"/>
      <c r="Q321" s="731"/>
      <c r="R321" s="730"/>
      <c r="S321" s="730"/>
      <c r="T321" s="723"/>
      <c r="U321" s="724"/>
      <c r="V321" s="725"/>
      <c r="W321" s="725"/>
      <c r="X321" s="723"/>
      <c r="Y321" s="723"/>
      <c r="Z321" s="723"/>
      <c r="AA321" s="726"/>
      <c r="AB321" s="726"/>
      <c r="AC321" s="170"/>
      <c r="AD321" s="586"/>
      <c r="AE321" s="586"/>
      <c r="AF321" s="170"/>
      <c r="AG321" s="170"/>
      <c r="AH321" s="170"/>
      <c r="AI321" s="170"/>
      <c r="AJ321" s="170"/>
      <c r="AK321" s="170"/>
      <c r="AL321" s="170"/>
      <c r="AM321" s="170"/>
      <c r="AN321" s="170"/>
      <c r="AO321" s="170"/>
      <c r="AP321" s="170"/>
      <c r="AQ321" s="170"/>
      <c r="AR321" s="170"/>
      <c r="AS321" s="170"/>
      <c r="AT321" s="170"/>
      <c r="AU321" s="170"/>
      <c r="AV321" s="170"/>
      <c r="AW321" s="170"/>
      <c r="AX321" s="170"/>
    </row>
    <row r="322" spans="1:50" ht="15" x14ac:dyDescent="0.25">
      <c r="A322" s="170"/>
      <c r="B322" s="719"/>
      <c r="C322" s="170"/>
      <c r="D322" s="170"/>
      <c r="E322" s="170"/>
      <c r="F322" s="170"/>
      <c r="G322" s="721"/>
      <c r="H322" s="170"/>
      <c r="I322" s="170"/>
      <c r="J322" s="170"/>
      <c r="K322" s="170"/>
      <c r="L322" s="170"/>
      <c r="M322" s="730"/>
      <c r="N322" s="730"/>
      <c r="O322" s="730"/>
      <c r="P322" s="731"/>
      <c r="Q322" s="731"/>
      <c r="R322" s="730"/>
      <c r="S322" s="730"/>
      <c r="T322" s="723"/>
      <c r="U322" s="724"/>
      <c r="V322" s="725"/>
      <c r="W322" s="725"/>
      <c r="X322" s="723"/>
      <c r="Y322" s="723"/>
      <c r="Z322" s="723"/>
      <c r="AA322" s="726"/>
      <c r="AB322" s="726"/>
      <c r="AC322" s="170"/>
      <c r="AD322" s="586"/>
      <c r="AE322" s="586"/>
      <c r="AF322" s="170"/>
      <c r="AG322" s="170"/>
      <c r="AH322" s="170"/>
      <c r="AI322" s="170"/>
      <c r="AJ322" s="170"/>
      <c r="AK322" s="170"/>
      <c r="AL322" s="170"/>
      <c r="AM322" s="170"/>
      <c r="AN322" s="170"/>
      <c r="AO322" s="170"/>
      <c r="AP322" s="170"/>
      <c r="AQ322" s="170"/>
      <c r="AR322" s="170"/>
      <c r="AS322" s="170"/>
      <c r="AT322" s="170"/>
      <c r="AU322" s="170"/>
      <c r="AV322" s="170"/>
      <c r="AW322" s="170"/>
      <c r="AX322" s="170"/>
    </row>
    <row r="323" spans="1:50" ht="15" x14ac:dyDescent="0.25">
      <c r="A323" s="170"/>
      <c r="B323" s="719"/>
      <c r="C323" s="170"/>
      <c r="D323" s="170"/>
      <c r="E323" s="170"/>
      <c r="F323" s="170"/>
      <c r="G323" s="721"/>
      <c r="H323" s="170"/>
      <c r="I323" s="170"/>
      <c r="J323" s="170"/>
      <c r="K323" s="170"/>
      <c r="L323" s="170"/>
      <c r="M323" s="730"/>
      <c r="N323" s="730"/>
      <c r="O323" s="730"/>
      <c r="P323" s="731"/>
      <c r="Q323" s="731"/>
      <c r="R323" s="730"/>
      <c r="S323" s="730"/>
      <c r="T323" s="723"/>
      <c r="U323" s="724"/>
      <c r="V323" s="725"/>
      <c r="W323" s="725"/>
      <c r="X323" s="723"/>
      <c r="Y323" s="723"/>
      <c r="Z323" s="723"/>
      <c r="AA323" s="726"/>
      <c r="AB323" s="726"/>
      <c r="AC323" s="170"/>
      <c r="AD323" s="586"/>
      <c r="AE323" s="586"/>
      <c r="AF323" s="170"/>
      <c r="AG323" s="170"/>
      <c r="AH323" s="170"/>
      <c r="AI323" s="170"/>
      <c r="AJ323" s="170"/>
      <c r="AK323" s="170"/>
      <c r="AL323" s="170"/>
      <c r="AM323" s="170"/>
      <c r="AN323" s="170"/>
      <c r="AO323" s="170"/>
      <c r="AP323" s="170"/>
      <c r="AQ323" s="170"/>
      <c r="AR323" s="170"/>
      <c r="AS323" s="170"/>
      <c r="AT323" s="170"/>
      <c r="AU323" s="170"/>
      <c r="AV323" s="170"/>
      <c r="AW323" s="170"/>
      <c r="AX323" s="170"/>
    </row>
    <row r="324" spans="1:50" ht="15" x14ac:dyDescent="0.25">
      <c r="A324" s="170"/>
      <c r="B324" s="719"/>
      <c r="C324" s="170"/>
      <c r="D324" s="170"/>
      <c r="E324" s="170"/>
      <c r="F324" s="170"/>
      <c r="G324" s="721"/>
      <c r="H324" s="170"/>
      <c r="I324" s="170"/>
      <c r="J324" s="170"/>
      <c r="K324" s="170"/>
      <c r="L324" s="170"/>
      <c r="M324" s="730"/>
      <c r="N324" s="730"/>
      <c r="O324" s="730"/>
      <c r="P324" s="731"/>
      <c r="Q324" s="731"/>
      <c r="R324" s="730"/>
      <c r="S324" s="730"/>
      <c r="T324" s="723"/>
      <c r="U324" s="724"/>
      <c r="V324" s="725"/>
      <c r="W324" s="725"/>
      <c r="X324" s="723"/>
      <c r="Y324" s="723"/>
      <c r="Z324" s="723"/>
      <c r="AA324" s="726"/>
      <c r="AB324" s="726"/>
      <c r="AC324" s="170"/>
      <c r="AD324" s="586"/>
      <c r="AE324" s="586"/>
      <c r="AF324" s="170"/>
      <c r="AG324" s="170"/>
      <c r="AH324" s="170"/>
      <c r="AI324" s="170"/>
      <c r="AJ324" s="170"/>
      <c r="AK324" s="170"/>
      <c r="AL324" s="170"/>
      <c r="AM324" s="170"/>
      <c r="AN324" s="170"/>
      <c r="AO324" s="170"/>
      <c r="AP324" s="170"/>
      <c r="AQ324" s="170"/>
      <c r="AR324" s="170"/>
      <c r="AS324" s="170"/>
      <c r="AT324" s="170"/>
      <c r="AU324" s="170"/>
      <c r="AV324" s="170"/>
      <c r="AW324" s="170"/>
      <c r="AX324" s="170"/>
    </row>
    <row r="325" spans="1:50" ht="15" x14ac:dyDescent="0.25">
      <c r="A325" s="170"/>
      <c r="B325" s="719"/>
      <c r="C325" s="170"/>
      <c r="D325" s="170"/>
      <c r="E325" s="170"/>
      <c r="F325" s="170"/>
      <c r="G325" s="721"/>
      <c r="H325" s="170"/>
      <c r="I325" s="170"/>
      <c r="J325" s="170"/>
      <c r="K325" s="170"/>
      <c r="L325" s="170"/>
      <c r="M325" s="730"/>
      <c r="N325" s="730"/>
      <c r="O325" s="730"/>
      <c r="P325" s="731"/>
      <c r="Q325" s="731"/>
      <c r="R325" s="730"/>
      <c r="S325" s="730"/>
      <c r="T325" s="723"/>
      <c r="U325" s="724"/>
      <c r="V325" s="725"/>
      <c r="W325" s="725"/>
      <c r="X325" s="723"/>
      <c r="Y325" s="723"/>
      <c r="Z325" s="723"/>
      <c r="AA325" s="726"/>
      <c r="AB325" s="726"/>
      <c r="AC325" s="170"/>
      <c r="AD325" s="586"/>
      <c r="AE325" s="586"/>
      <c r="AF325" s="170"/>
      <c r="AG325" s="170"/>
      <c r="AH325" s="170"/>
      <c r="AI325" s="170"/>
      <c r="AJ325" s="170"/>
      <c r="AK325" s="170"/>
      <c r="AL325" s="170"/>
      <c r="AM325" s="170"/>
      <c r="AN325" s="170"/>
      <c r="AO325" s="170"/>
      <c r="AP325" s="170"/>
      <c r="AQ325" s="170"/>
      <c r="AR325" s="170"/>
      <c r="AS325" s="170"/>
      <c r="AT325" s="170"/>
      <c r="AU325" s="170"/>
      <c r="AV325" s="170"/>
      <c r="AW325" s="170"/>
      <c r="AX325" s="170"/>
    </row>
    <row r="326" spans="1:50" ht="15" x14ac:dyDescent="0.25">
      <c r="A326" s="170"/>
      <c r="B326" s="719"/>
      <c r="C326" s="170"/>
      <c r="D326" s="170"/>
      <c r="E326" s="170"/>
      <c r="F326" s="170"/>
      <c r="G326" s="721"/>
      <c r="H326" s="170"/>
      <c r="I326" s="170"/>
      <c r="J326" s="170"/>
      <c r="K326" s="170"/>
      <c r="L326" s="170"/>
      <c r="M326" s="730"/>
      <c r="N326" s="730"/>
      <c r="O326" s="730"/>
      <c r="P326" s="731"/>
      <c r="Q326" s="731"/>
      <c r="R326" s="730"/>
      <c r="S326" s="730"/>
      <c r="T326" s="723"/>
      <c r="U326" s="724"/>
      <c r="V326" s="725"/>
      <c r="W326" s="725"/>
      <c r="X326" s="723"/>
      <c r="Y326" s="723"/>
      <c r="Z326" s="723"/>
      <c r="AA326" s="726"/>
      <c r="AB326" s="726"/>
      <c r="AC326" s="170"/>
      <c r="AD326" s="586"/>
      <c r="AE326" s="586"/>
      <c r="AF326" s="170"/>
      <c r="AG326" s="170"/>
      <c r="AH326" s="170"/>
      <c r="AI326" s="170"/>
      <c r="AJ326" s="170"/>
      <c r="AK326" s="170"/>
      <c r="AL326" s="170"/>
      <c r="AM326" s="170"/>
      <c r="AN326" s="170"/>
      <c r="AO326" s="170"/>
      <c r="AP326" s="170"/>
      <c r="AQ326" s="170"/>
      <c r="AR326" s="170"/>
      <c r="AS326" s="170"/>
      <c r="AT326" s="170"/>
      <c r="AU326" s="170"/>
      <c r="AV326" s="170"/>
      <c r="AW326" s="170"/>
      <c r="AX326" s="170"/>
    </row>
    <row r="327" spans="1:50" ht="15" x14ac:dyDescent="0.25">
      <c r="A327" s="170"/>
      <c r="B327" s="719"/>
      <c r="C327" s="170"/>
      <c r="D327" s="170"/>
      <c r="E327" s="170"/>
      <c r="F327" s="170"/>
      <c r="G327" s="721"/>
      <c r="H327" s="170"/>
      <c r="I327" s="170"/>
      <c r="J327" s="170"/>
      <c r="K327" s="170"/>
      <c r="L327" s="170"/>
      <c r="M327" s="730"/>
      <c r="N327" s="730"/>
      <c r="O327" s="730"/>
      <c r="P327" s="731"/>
      <c r="Q327" s="731"/>
      <c r="R327" s="730"/>
      <c r="S327" s="730"/>
      <c r="T327" s="723"/>
      <c r="U327" s="724"/>
      <c r="V327" s="725"/>
      <c r="W327" s="725"/>
      <c r="X327" s="723"/>
      <c r="Y327" s="723"/>
      <c r="Z327" s="723"/>
      <c r="AA327" s="726"/>
      <c r="AB327" s="726"/>
      <c r="AC327" s="170"/>
      <c r="AD327" s="586"/>
      <c r="AE327" s="586"/>
      <c r="AF327" s="170"/>
      <c r="AG327" s="170"/>
      <c r="AH327" s="170"/>
      <c r="AI327" s="170"/>
      <c r="AJ327" s="170"/>
      <c r="AK327" s="170"/>
      <c r="AL327" s="170"/>
      <c r="AM327" s="170"/>
      <c r="AN327" s="170"/>
      <c r="AO327" s="170"/>
      <c r="AP327" s="170"/>
      <c r="AQ327" s="170"/>
      <c r="AR327" s="170"/>
      <c r="AS327" s="170"/>
      <c r="AT327" s="170"/>
      <c r="AU327" s="170"/>
      <c r="AV327" s="170"/>
      <c r="AW327" s="170"/>
      <c r="AX327" s="170"/>
    </row>
    <row r="328" spans="1:50" ht="15" x14ac:dyDescent="0.25">
      <c r="A328" s="170"/>
      <c r="B328" s="719"/>
      <c r="C328" s="170"/>
      <c r="D328" s="170"/>
      <c r="E328" s="170"/>
      <c r="F328" s="170"/>
      <c r="G328" s="721"/>
      <c r="H328" s="170"/>
      <c r="I328" s="170"/>
      <c r="J328" s="170"/>
      <c r="K328" s="170"/>
      <c r="L328" s="170"/>
      <c r="M328" s="730"/>
      <c r="N328" s="730"/>
      <c r="O328" s="730"/>
      <c r="P328" s="731"/>
      <c r="Q328" s="731"/>
      <c r="R328" s="730"/>
      <c r="S328" s="730"/>
      <c r="T328" s="723"/>
      <c r="U328" s="724"/>
      <c r="V328" s="725"/>
      <c r="W328" s="725"/>
      <c r="X328" s="723"/>
      <c r="Y328" s="723"/>
      <c r="Z328" s="723"/>
      <c r="AA328" s="726"/>
      <c r="AB328" s="726"/>
      <c r="AC328" s="170"/>
      <c r="AD328" s="586"/>
      <c r="AE328" s="586"/>
      <c r="AF328" s="170"/>
      <c r="AG328" s="170"/>
      <c r="AH328" s="170"/>
      <c r="AI328" s="170"/>
      <c r="AJ328" s="170"/>
      <c r="AK328" s="170"/>
      <c r="AL328" s="170"/>
      <c r="AM328" s="170"/>
      <c r="AN328" s="170"/>
      <c r="AO328" s="170"/>
      <c r="AP328" s="170"/>
      <c r="AQ328" s="170"/>
      <c r="AR328" s="170"/>
      <c r="AS328" s="170"/>
      <c r="AT328" s="170"/>
      <c r="AU328" s="170"/>
      <c r="AV328" s="170"/>
      <c r="AW328" s="170"/>
      <c r="AX328" s="170"/>
    </row>
    <row r="329" spans="1:50" ht="15" x14ac:dyDescent="0.25">
      <c r="A329" s="170"/>
      <c r="B329" s="719"/>
      <c r="C329" s="170"/>
      <c r="D329" s="170"/>
      <c r="E329" s="170"/>
      <c r="F329" s="170"/>
      <c r="G329" s="721"/>
      <c r="H329" s="170"/>
      <c r="I329" s="170"/>
      <c r="J329" s="170"/>
      <c r="K329" s="170"/>
      <c r="L329" s="170"/>
      <c r="M329" s="730"/>
      <c r="N329" s="730"/>
      <c r="O329" s="730"/>
      <c r="P329" s="731"/>
      <c r="Q329" s="731"/>
      <c r="R329" s="730"/>
      <c r="S329" s="730"/>
      <c r="T329" s="723"/>
      <c r="U329" s="724"/>
      <c r="V329" s="725"/>
      <c r="W329" s="725"/>
      <c r="X329" s="723"/>
      <c r="Y329" s="723"/>
      <c r="Z329" s="723"/>
      <c r="AA329" s="726"/>
      <c r="AB329" s="726"/>
      <c r="AC329" s="170"/>
      <c r="AD329" s="586"/>
      <c r="AE329" s="586"/>
      <c r="AF329" s="170"/>
      <c r="AG329" s="170"/>
      <c r="AH329" s="170"/>
      <c r="AI329" s="170"/>
      <c r="AJ329" s="170"/>
      <c r="AK329" s="170"/>
      <c r="AL329" s="170"/>
      <c r="AM329" s="170"/>
      <c r="AN329" s="170"/>
      <c r="AO329" s="170"/>
      <c r="AP329" s="170"/>
      <c r="AQ329" s="170"/>
      <c r="AR329" s="170"/>
      <c r="AS329" s="170"/>
      <c r="AT329" s="170"/>
      <c r="AU329" s="170"/>
      <c r="AV329" s="170"/>
      <c r="AW329" s="170"/>
      <c r="AX329" s="170"/>
    </row>
    <row r="330" spans="1:50" ht="15" x14ac:dyDescent="0.25">
      <c r="A330" s="170"/>
      <c r="B330" s="719"/>
      <c r="C330" s="170"/>
      <c r="D330" s="170"/>
      <c r="E330" s="170"/>
      <c r="F330" s="170"/>
      <c r="G330" s="721"/>
      <c r="H330" s="170"/>
      <c r="I330" s="170"/>
      <c r="J330" s="170"/>
      <c r="K330" s="170"/>
      <c r="L330" s="170"/>
      <c r="M330" s="730"/>
      <c r="N330" s="730"/>
      <c r="O330" s="730"/>
      <c r="P330" s="731"/>
      <c r="Q330" s="731"/>
      <c r="R330" s="730"/>
      <c r="S330" s="730"/>
      <c r="T330" s="723"/>
      <c r="U330" s="724"/>
      <c r="V330" s="725"/>
      <c r="W330" s="725"/>
      <c r="X330" s="723"/>
      <c r="Y330" s="723"/>
      <c r="Z330" s="723"/>
      <c r="AA330" s="726"/>
      <c r="AB330" s="726"/>
      <c r="AC330" s="170"/>
      <c r="AD330" s="586"/>
      <c r="AE330" s="586"/>
      <c r="AF330" s="170"/>
      <c r="AG330" s="170"/>
      <c r="AH330" s="170"/>
      <c r="AI330" s="170"/>
      <c r="AJ330" s="170"/>
      <c r="AK330" s="170"/>
      <c r="AL330" s="170"/>
      <c r="AM330" s="170"/>
      <c r="AN330" s="170"/>
      <c r="AO330" s="170"/>
      <c r="AP330" s="170"/>
      <c r="AQ330" s="170"/>
      <c r="AR330" s="170"/>
      <c r="AS330" s="170"/>
      <c r="AT330" s="170"/>
      <c r="AU330" s="170"/>
      <c r="AV330" s="170"/>
      <c r="AW330" s="170"/>
      <c r="AX330" s="170"/>
    </row>
    <row r="331" spans="1:50" ht="15" x14ac:dyDescent="0.25">
      <c r="A331" s="170"/>
      <c r="B331" s="719"/>
      <c r="C331" s="170"/>
      <c r="D331" s="170"/>
      <c r="E331" s="170"/>
      <c r="F331" s="170"/>
      <c r="G331" s="721"/>
      <c r="H331" s="170"/>
      <c r="I331" s="170"/>
      <c r="J331" s="170"/>
      <c r="K331" s="170"/>
      <c r="L331" s="170"/>
      <c r="M331" s="730"/>
      <c r="N331" s="730"/>
      <c r="O331" s="730"/>
      <c r="P331" s="731"/>
      <c r="Q331" s="731"/>
      <c r="R331" s="730"/>
      <c r="S331" s="730"/>
      <c r="T331" s="723"/>
      <c r="U331" s="724"/>
      <c r="V331" s="725"/>
      <c r="W331" s="725"/>
      <c r="X331" s="723"/>
      <c r="Y331" s="723"/>
      <c r="Z331" s="723"/>
      <c r="AA331" s="726"/>
      <c r="AB331" s="726"/>
      <c r="AC331" s="170"/>
      <c r="AD331" s="586"/>
      <c r="AE331" s="586"/>
      <c r="AF331" s="170"/>
      <c r="AG331" s="170"/>
      <c r="AH331" s="170"/>
      <c r="AI331" s="170"/>
      <c r="AJ331" s="170"/>
      <c r="AK331" s="170"/>
      <c r="AL331" s="170"/>
      <c r="AM331" s="170"/>
      <c r="AN331" s="170"/>
      <c r="AO331" s="170"/>
      <c r="AP331" s="170"/>
      <c r="AQ331" s="170"/>
      <c r="AR331" s="170"/>
      <c r="AS331" s="170"/>
      <c r="AT331" s="170"/>
      <c r="AU331" s="170"/>
      <c r="AV331" s="170"/>
      <c r="AW331" s="170"/>
      <c r="AX331" s="170"/>
    </row>
    <row r="332" spans="1:50" ht="15" x14ac:dyDescent="0.25">
      <c r="A332" s="170"/>
      <c r="B332" s="719"/>
      <c r="C332" s="170"/>
      <c r="D332" s="170"/>
      <c r="E332" s="170"/>
      <c r="F332" s="170"/>
      <c r="G332" s="721"/>
      <c r="H332" s="170"/>
      <c r="I332" s="170"/>
      <c r="J332" s="170"/>
      <c r="K332" s="170"/>
      <c r="L332" s="170"/>
      <c r="M332" s="730"/>
      <c r="N332" s="730"/>
      <c r="O332" s="730"/>
      <c r="P332" s="731"/>
      <c r="Q332" s="731"/>
      <c r="R332" s="730"/>
      <c r="S332" s="730"/>
      <c r="T332" s="723"/>
      <c r="U332" s="724"/>
      <c r="V332" s="725"/>
      <c r="W332" s="725"/>
      <c r="X332" s="723"/>
      <c r="Y332" s="723"/>
      <c r="Z332" s="723"/>
      <c r="AA332" s="726"/>
      <c r="AB332" s="726"/>
      <c r="AC332" s="170"/>
      <c r="AD332" s="586"/>
      <c r="AE332" s="586"/>
      <c r="AF332" s="170"/>
      <c r="AG332" s="170"/>
      <c r="AH332" s="170"/>
      <c r="AI332" s="170"/>
      <c r="AJ332" s="170"/>
      <c r="AK332" s="170"/>
      <c r="AL332" s="170"/>
      <c r="AM332" s="170"/>
      <c r="AN332" s="170"/>
      <c r="AO332" s="170"/>
      <c r="AP332" s="170"/>
      <c r="AQ332" s="170"/>
      <c r="AR332" s="170"/>
      <c r="AS332" s="170"/>
      <c r="AT332" s="170"/>
      <c r="AU332" s="170"/>
      <c r="AV332" s="170"/>
      <c r="AW332" s="170"/>
      <c r="AX332" s="170"/>
    </row>
    <row r="333" spans="1:50" ht="15" x14ac:dyDescent="0.25">
      <c r="A333" s="170"/>
      <c r="B333" s="719"/>
      <c r="C333" s="170"/>
      <c r="D333" s="170"/>
      <c r="E333" s="170"/>
      <c r="F333" s="170"/>
      <c r="G333" s="721"/>
      <c r="H333" s="170"/>
      <c r="I333" s="170"/>
      <c r="J333" s="170"/>
      <c r="K333" s="170"/>
      <c r="L333" s="170"/>
      <c r="M333" s="730"/>
      <c r="N333" s="730"/>
      <c r="O333" s="730"/>
      <c r="P333" s="731"/>
      <c r="Q333" s="731"/>
      <c r="R333" s="730"/>
      <c r="S333" s="730"/>
      <c r="T333" s="723"/>
      <c r="U333" s="724"/>
      <c r="V333" s="725"/>
      <c r="W333" s="725"/>
      <c r="X333" s="723"/>
      <c r="Y333" s="723"/>
      <c r="Z333" s="723"/>
      <c r="AA333" s="726"/>
      <c r="AB333" s="726"/>
      <c r="AC333" s="170"/>
      <c r="AD333" s="586"/>
      <c r="AE333" s="586"/>
      <c r="AF333" s="170"/>
      <c r="AG333" s="170"/>
      <c r="AH333" s="170"/>
      <c r="AI333" s="170"/>
      <c r="AJ333" s="170"/>
      <c r="AK333" s="170"/>
      <c r="AL333" s="170"/>
      <c r="AM333" s="170"/>
      <c r="AN333" s="170"/>
      <c r="AO333" s="170"/>
      <c r="AP333" s="170"/>
      <c r="AQ333" s="170"/>
      <c r="AR333" s="170"/>
      <c r="AS333" s="170"/>
      <c r="AT333" s="170"/>
      <c r="AU333" s="170"/>
      <c r="AV333" s="170"/>
      <c r="AW333" s="170"/>
      <c r="AX333" s="170"/>
    </row>
    <row r="334" spans="1:50" ht="15" x14ac:dyDescent="0.25">
      <c r="A334" s="170"/>
      <c r="B334" s="719"/>
      <c r="C334" s="170"/>
      <c r="D334" s="170"/>
      <c r="E334" s="170"/>
      <c r="F334" s="170"/>
      <c r="G334" s="721"/>
      <c r="H334" s="170"/>
      <c r="I334" s="170"/>
      <c r="J334" s="170"/>
      <c r="K334" s="170"/>
      <c r="L334" s="170"/>
      <c r="M334" s="730"/>
      <c r="N334" s="730"/>
      <c r="O334" s="730"/>
      <c r="P334" s="731"/>
      <c r="Q334" s="731"/>
      <c r="R334" s="730"/>
      <c r="S334" s="730"/>
      <c r="T334" s="723"/>
      <c r="U334" s="724"/>
      <c r="V334" s="725"/>
      <c r="W334" s="725"/>
      <c r="X334" s="723"/>
      <c r="Y334" s="723"/>
      <c r="Z334" s="723"/>
      <c r="AA334" s="726"/>
      <c r="AB334" s="726"/>
      <c r="AC334" s="170"/>
      <c r="AD334" s="586"/>
      <c r="AE334" s="586"/>
      <c r="AF334" s="170"/>
      <c r="AG334" s="170"/>
      <c r="AH334" s="170"/>
      <c r="AI334" s="170"/>
      <c r="AJ334" s="170"/>
      <c r="AK334" s="170"/>
      <c r="AL334" s="170"/>
      <c r="AM334" s="170"/>
      <c r="AN334" s="170"/>
      <c r="AO334" s="170"/>
      <c r="AP334" s="170"/>
      <c r="AQ334" s="170"/>
      <c r="AR334" s="170"/>
      <c r="AS334" s="170"/>
      <c r="AT334" s="170"/>
      <c r="AU334" s="170"/>
      <c r="AV334" s="170"/>
      <c r="AW334" s="170"/>
      <c r="AX334" s="170"/>
    </row>
    <row r="335" spans="1:50" ht="15" x14ac:dyDescent="0.25">
      <c r="A335" s="170"/>
      <c r="B335" s="719"/>
      <c r="C335" s="170"/>
      <c r="D335" s="170"/>
      <c r="E335" s="170"/>
      <c r="F335" s="170"/>
      <c r="G335" s="721"/>
      <c r="H335" s="170"/>
      <c r="I335" s="170"/>
      <c r="J335" s="170"/>
      <c r="K335" s="170"/>
      <c r="L335" s="170"/>
      <c r="M335" s="730"/>
      <c r="N335" s="730"/>
      <c r="O335" s="730"/>
      <c r="P335" s="731"/>
      <c r="Q335" s="731"/>
      <c r="R335" s="730"/>
      <c r="S335" s="730"/>
      <c r="T335" s="723"/>
      <c r="U335" s="724"/>
      <c r="V335" s="725"/>
      <c r="W335" s="725"/>
      <c r="X335" s="723"/>
      <c r="Y335" s="723"/>
      <c r="Z335" s="723"/>
      <c r="AA335" s="726"/>
      <c r="AB335" s="726"/>
      <c r="AC335" s="170"/>
      <c r="AD335" s="586"/>
      <c r="AE335" s="586"/>
      <c r="AF335" s="170"/>
      <c r="AG335" s="170"/>
      <c r="AH335" s="170"/>
      <c r="AI335" s="170"/>
      <c r="AJ335" s="170"/>
      <c r="AK335" s="170"/>
      <c r="AL335" s="170"/>
      <c r="AM335" s="170"/>
      <c r="AN335" s="170"/>
      <c r="AO335" s="170"/>
      <c r="AP335" s="170"/>
      <c r="AQ335" s="170"/>
      <c r="AR335" s="170"/>
      <c r="AS335" s="170"/>
      <c r="AT335" s="170"/>
      <c r="AU335" s="170"/>
      <c r="AV335" s="170"/>
      <c r="AW335" s="170"/>
      <c r="AX335" s="170"/>
    </row>
    <row r="336" spans="1:50" ht="15" x14ac:dyDescent="0.25">
      <c r="A336" s="170"/>
      <c r="B336" s="719"/>
      <c r="C336" s="170"/>
      <c r="D336" s="170"/>
      <c r="E336" s="170"/>
      <c r="F336" s="170"/>
      <c r="G336" s="721"/>
      <c r="H336" s="170"/>
      <c r="I336" s="170"/>
      <c r="J336" s="170"/>
      <c r="K336" s="170"/>
      <c r="L336" s="170"/>
      <c r="M336" s="730"/>
      <c r="N336" s="730"/>
      <c r="O336" s="730"/>
      <c r="P336" s="731"/>
      <c r="Q336" s="731"/>
      <c r="R336" s="730"/>
      <c r="S336" s="730"/>
      <c r="T336" s="723"/>
      <c r="U336" s="724"/>
      <c r="V336" s="725"/>
      <c r="W336" s="725"/>
      <c r="X336" s="723"/>
      <c r="Y336" s="723"/>
      <c r="Z336" s="723"/>
      <c r="AA336" s="726"/>
      <c r="AB336" s="726"/>
      <c r="AC336" s="170"/>
      <c r="AD336" s="586"/>
      <c r="AE336" s="586"/>
      <c r="AF336" s="170"/>
      <c r="AG336" s="170"/>
      <c r="AH336" s="170"/>
      <c r="AI336" s="170"/>
      <c r="AJ336" s="170"/>
      <c r="AK336" s="170"/>
      <c r="AL336" s="170"/>
      <c r="AM336" s="170"/>
      <c r="AN336" s="170"/>
      <c r="AO336" s="170"/>
      <c r="AP336" s="170"/>
      <c r="AQ336" s="170"/>
      <c r="AR336" s="170"/>
      <c r="AS336" s="170"/>
      <c r="AT336" s="170"/>
      <c r="AU336" s="170"/>
      <c r="AV336" s="170"/>
      <c r="AW336" s="170"/>
      <c r="AX336" s="170"/>
    </row>
    <row r="337" spans="1:50" ht="15" x14ac:dyDescent="0.25">
      <c r="A337" s="170"/>
      <c r="B337" s="719"/>
      <c r="C337" s="170"/>
      <c r="D337" s="170"/>
      <c r="E337" s="170"/>
      <c r="F337" s="170"/>
      <c r="G337" s="721"/>
      <c r="H337" s="170"/>
      <c r="I337" s="170"/>
      <c r="J337" s="170"/>
      <c r="K337" s="170"/>
      <c r="L337" s="170"/>
      <c r="M337" s="730"/>
      <c r="N337" s="730"/>
      <c r="O337" s="730"/>
      <c r="P337" s="731"/>
      <c r="Q337" s="731"/>
      <c r="R337" s="730"/>
      <c r="S337" s="730"/>
      <c r="T337" s="723"/>
      <c r="U337" s="724"/>
      <c r="V337" s="725"/>
      <c r="W337" s="725"/>
      <c r="X337" s="723"/>
      <c r="Y337" s="723"/>
      <c r="Z337" s="723"/>
      <c r="AA337" s="726"/>
      <c r="AB337" s="726"/>
      <c r="AC337" s="170"/>
      <c r="AD337" s="586"/>
      <c r="AE337" s="586"/>
      <c r="AF337" s="170"/>
      <c r="AG337" s="170"/>
      <c r="AH337" s="170"/>
      <c r="AI337" s="170"/>
      <c r="AJ337" s="170"/>
      <c r="AK337" s="170"/>
      <c r="AL337" s="170"/>
      <c r="AM337" s="170"/>
      <c r="AN337" s="170"/>
      <c r="AO337" s="170"/>
      <c r="AP337" s="170"/>
      <c r="AQ337" s="170"/>
      <c r="AR337" s="170"/>
      <c r="AS337" s="170"/>
      <c r="AT337" s="170"/>
      <c r="AU337" s="170"/>
      <c r="AV337" s="170"/>
      <c r="AW337" s="170"/>
      <c r="AX337" s="170"/>
    </row>
    <row r="338" spans="1:50" ht="15" x14ac:dyDescent="0.25">
      <c r="A338" s="170"/>
      <c r="B338" s="719"/>
      <c r="C338" s="170"/>
      <c r="D338" s="170"/>
      <c r="E338" s="170"/>
      <c r="F338" s="170"/>
      <c r="G338" s="721"/>
      <c r="H338" s="170"/>
      <c r="I338" s="170"/>
      <c r="J338" s="170"/>
      <c r="K338" s="170"/>
      <c r="L338" s="170"/>
      <c r="M338" s="730"/>
      <c r="N338" s="730"/>
      <c r="O338" s="730"/>
      <c r="P338" s="731"/>
      <c r="Q338" s="731"/>
      <c r="R338" s="730"/>
      <c r="S338" s="730"/>
      <c r="T338" s="723"/>
      <c r="U338" s="724"/>
      <c r="V338" s="725"/>
      <c r="W338" s="725"/>
      <c r="X338" s="723"/>
      <c r="Y338" s="723"/>
      <c r="Z338" s="723"/>
      <c r="AA338" s="726"/>
      <c r="AB338" s="726"/>
      <c r="AC338" s="170"/>
      <c r="AD338" s="586"/>
      <c r="AE338" s="586"/>
      <c r="AF338" s="170"/>
      <c r="AG338" s="170"/>
      <c r="AH338" s="170"/>
      <c r="AI338" s="170"/>
      <c r="AJ338" s="170"/>
      <c r="AK338" s="170"/>
      <c r="AL338" s="170"/>
      <c r="AM338" s="170"/>
      <c r="AN338" s="170"/>
      <c r="AO338" s="170"/>
      <c r="AP338" s="170"/>
      <c r="AQ338" s="170"/>
      <c r="AR338" s="170"/>
      <c r="AS338" s="170"/>
      <c r="AT338" s="170"/>
      <c r="AU338" s="170"/>
      <c r="AV338" s="170"/>
      <c r="AW338" s="170"/>
      <c r="AX338" s="170"/>
    </row>
    <row r="339" spans="1:50" ht="15" x14ac:dyDescent="0.25">
      <c r="A339" s="170"/>
      <c r="B339" s="719"/>
      <c r="C339" s="170"/>
      <c r="D339" s="170"/>
      <c r="E339" s="170"/>
      <c r="F339" s="170"/>
      <c r="G339" s="721"/>
      <c r="H339" s="170"/>
      <c r="I339" s="170"/>
      <c r="J339" s="170"/>
      <c r="K339" s="170"/>
      <c r="L339" s="170"/>
      <c r="M339" s="730"/>
      <c r="N339" s="730"/>
      <c r="O339" s="730"/>
      <c r="P339" s="731"/>
      <c r="Q339" s="731"/>
      <c r="R339" s="730"/>
      <c r="S339" s="730"/>
      <c r="T339" s="723"/>
      <c r="U339" s="724"/>
      <c r="V339" s="725"/>
      <c r="W339" s="725"/>
      <c r="X339" s="723"/>
      <c r="Y339" s="723"/>
      <c r="Z339" s="723"/>
      <c r="AA339" s="726"/>
      <c r="AB339" s="726"/>
      <c r="AC339" s="170"/>
      <c r="AD339" s="586"/>
      <c r="AE339" s="586"/>
      <c r="AF339" s="170"/>
      <c r="AG339" s="170"/>
      <c r="AH339" s="170"/>
      <c r="AI339" s="170"/>
      <c r="AJ339" s="170"/>
      <c r="AK339" s="170"/>
      <c r="AL339" s="170"/>
      <c r="AM339" s="170"/>
      <c r="AN339" s="170"/>
      <c r="AO339" s="170"/>
      <c r="AP339" s="170"/>
      <c r="AQ339" s="170"/>
      <c r="AR339" s="170"/>
      <c r="AS339" s="170"/>
      <c r="AT339" s="170"/>
      <c r="AU339" s="170"/>
      <c r="AV339" s="170"/>
      <c r="AW339" s="170"/>
      <c r="AX339" s="170"/>
    </row>
    <row r="340" spans="1:50" ht="15" x14ac:dyDescent="0.25">
      <c r="A340" s="170"/>
      <c r="B340" s="719"/>
      <c r="C340" s="170"/>
      <c r="D340" s="170"/>
      <c r="E340" s="170"/>
      <c r="F340" s="170"/>
      <c r="G340" s="721"/>
      <c r="H340" s="170"/>
      <c r="I340" s="170"/>
      <c r="J340" s="170"/>
      <c r="K340" s="170"/>
      <c r="L340" s="170"/>
      <c r="M340" s="730"/>
      <c r="N340" s="730"/>
      <c r="O340" s="730"/>
      <c r="P340" s="731"/>
      <c r="Q340" s="731"/>
      <c r="R340" s="730"/>
      <c r="S340" s="730"/>
      <c r="T340" s="723"/>
      <c r="U340" s="724"/>
      <c r="V340" s="725"/>
      <c r="W340" s="725"/>
      <c r="X340" s="723"/>
      <c r="Y340" s="723"/>
      <c r="Z340" s="723"/>
      <c r="AA340" s="726"/>
      <c r="AB340" s="726"/>
      <c r="AC340" s="170"/>
      <c r="AD340" s="586"/>
      <c r="AE340" s="586"/>
      <c r="AF340" s="170"/>
      <c r="AG340" s="170"/>
      <c r="AH340" s="170"/>
      <c r="AI340" s="170"/>
      <c r="AJ340" s="170"/>
      <c r="AK340" s="170"/>
      <c r="AL340" s="170"/>
      <c r="AM340" s="170"/>
      <c r="AN340" s="170"/>
      <c r="AO340" s="170"/>
      <c r="AP340" s="170"/>
      <c r="AQ340" s="170"/>
      <c r="AR340" s="170"/>
      <c r="AS340" s="170"/>
      <c r="AT340" s="170"/>
      <c r="AU340" s="170"/>
      <c r="AV340" s="170"/>
      <c r="AW340" s="170"/>
      <c r="AX340" s="170"/>
    </row>
    <row r="341" spans="1:50" ht="15" x14ac:dyDescent="0.25">
      <c r="A341" s="170"/>
      <c r="B341" s="719"/>
      <c r="C341" s="170"/>
      <c r="D341" s="170"/>
      <c r="E341" s="170"/>
      <c r="F341" s="170"/>
      <c r="G341" s="721"/>
      <c r="H341" s="170"/>
      <c r="I341" s="170"/>
      <c r="J341" s="170"/>
      <c r="K341" s="170"/>
      <c r="L341" s="170"/>
      <c r="M341" s="730"/>
      <c r="N341" s="730"/>
      <c r="O341" s="730"/>
      <c r="P341" s="731"/>
      <c r="Q341" s="731"/>
      <c r="R341" s="730"/>
      <c r="S341" s="730"/>
      <c r="T341" s="723"/>
      <c r="U341" s="724"/>
      <c r="V341" s="725"/>
      <c r="W341" s="725"/>
      <c r="X341" s="723"/>
      <c r="Y341" s="723"/>
      <c r="Z341" s="723"/>
      <c r="AA341" s="726"/>
      <c r="AB341" s="726"/>
      <c r="AC341" s="170"/>
      <c r="AD341" s="586"/>
      <c r="AE341" s="586"/>
      <c r="AF341" s="170"/>
      <c r="AG341" s="170"/>
      <c r="AH341" s="170"/>
      <c r="AI341" s="170"/>
      <c r="AJ341" s="170"/>
      <c r="AK341" s="170"/>
      <c r="AL341" s="170"/>
      <c r="AM341" s="170"/>
      <c r="AN341" s="170"/>
      <c r="AO341" s="170"/>
      <c r="AP341" s="170"/>
      <c r="AQ341" s="170"/>
      <c r="AR341" s="170"/>
      <c r="AS341" s="170"/>
      <c r="AT341" s="170"/>
      <c r="AU341" s="170"/>
      <c r="AV341" s="170"/>
      <c r="AW341" s="170"/>
      <c r="AX341" s="170"/>
    </row>
    <row r="342" spans="1:50" ht="15" x14ac:dyDescent="0.25">
      <c r="A342" s="170"/>
      <c r="B342" s="719"/>
      <c r="C342" s="170"/>
      <c r="D342" s="170"/>
      <c r="E342" s="170"/>
      <c r="F342" s="170"/>
      <c r="G342" s="721"/>
      <c r="H342" s="170"/>
      <c r="I342" s="170"/>
      <c r="J342" s="170"/>
      <c r="K342" s="170"/>
      <c r="L342" s="170"/>
      <c r="M342" s="730"/>
      <c r="N342" s="730"/>
      <c r="O342" s="730"/>
      <c r="P342" s="731"/>
      <c r="Q342" s="731"/>
      <c r="R342" s="730"/>
      <c r="S342" s="730"/>
      <c r="T342" s="723"/>
      <c r="U342" s="724"/>
      <c r="V342" s="725"/>
      <c r="W342" s="725"/>
      <c r="X342" s="723"/>
      <c r="Y342" s="723"/>
      <c r="Z342" s="723"/>
      <c r="AA342" s="726"/>
      <c r="AB342" s="726"/>
      <c r="AC342" s="170"/>
      <c r="AD342" s="586"/>
      <c r="AE342" s="586"/>
      <c r="AF342" s="170"/>
      <c r="AG342" s="170"/>
      <c r="AH342" s="170"/>
      <c r="AI342" s="170"/>
      <c r="AJ342" s="170"/>
      <c r="AK342" s="170"/>
      <c r="AL342" s="170"/>
      <c r="AM342" s="170"/>
      <c r="AN342" s="170"/>
      <c r="AO342" s="170"/>
      <c r="AP342" s="170"/>
      <c r="AQ342" s="170"/>
      <c r="AR342" s="170"/>
      <c r="AS342" s="170"/>
      <c r="AT342" s="170"/>
      <c r="AU342" s="170"/>
      <c r="AV342" s="170"/>
      <c r="AW342" s="170"/>
      <c r="AX342" s="170"/>
    </row>
    <row r="343" spans="1:50" ht="15" x14ac:dyDescent="0.25">
      <c r="A343" s="170"/>
      <c r="B343" s="719"/>
      <c r="C343" s="170"/>
      <c r="D343" s="170"/>
      <c r="E343" s="170"/>
      <c r="F343" s="170"/>
      <c r="G343" s="721"/>
      <c r="H343" s="170"/>
      <c r="I343" s="170"/>
      <c r="J343" s="170"/>
      <c r="K343" s="170"/>
      <c r="L343" s="170"/>
      <c r="M343" s="730"/>
      <c r="N343" s="730"/>
      <c r="O343" s="730"/>
      <c r="P343" s="731"/>
      <c r="Q343" s="731"/>
      <c r="R343" s="730"/>
      <c r="S343" s="730"/>
      <c r="T343" s="723"/>
      <c r="U343" s="724"/>
      <c r="V343" s="725"/>
      <c r="W343" s="725"/>
      <c r="X343" s="723"/>
      <c r="Y343" s="723"/>
      <c r="Z343" s="723"/>
      <c r="AA343" s="726"/>
      <c r="AB343" s="726"/>
      <c r="AC343" s="170"/>
      <c r="AD343" s="586"/>
      <c r="AE343" s="586"/>
      <c r="AF343" s="170"/>
      <c r="AG343" s="170"/>
      <c r="AH343" s="170"/>
      <c r="AI343" s="170"/>
      <c r="AJ343" s="170"/>
      <c r="AK343" s="170"/>
      <c r="AL343" s="170"/>
      <c r="AM343" s="170"/>
      <c r="AN343" s="170"/>
      <c r="AO343" s="170"/>
      <c r="AP343" s="170"/>
      <c r="AQ343" s="170"/>
      <c r="AR343" s="170"/>
      <c r="AS343" s="170"/>
      <c r="AT343" s="170"/>
      <c r="AU343" s="170"/>
      <c r="AV343" s="170"/>
      <c r="AW343" s="170"/>
      <c r="AX343" s="170"/>
    </row>
    <row r="344" spans="1:50" ht="15" x14ac:dyDescent="0.25">
      <c r="A344" s="170"/>
      <c r="B344" s="719"/>
      <c r="C344" s="170"/>
      <c r="D344" s="170"/>
      <c r="E344" s="170"/>
      <c r="F344" s="170"/>
      <c r="G344" s="721"/>
      <c r="H344" s="170"/>
      <c r="I344" s="170"/>
      <c r="J344" s="170"/>
      <c r="K344" s="170"/>
      <c r="L344" s="170"/>
      <c r="M344" s="730"/>
      <c r="N344" s="730"/>
      <c r="O344" s="730"/>
      <c r="P344" s="731"/>
      <c r="Q344" s="731"/>
      <c r="R344" s="730"/>
      <c r="S344" s="730"/>
      <c r="T344" s="723"/>
      <c r="U344" s="724"/>
      <c r="V344" s="725"/>
      <c r="W344" s="725"/>
      <c r="X344" s="723"/>
      <c r="Y344" s="723"/>
      <c r="Z344" s="723"/>
      <c r="AA344" s="726"/>
      <c r="AB344" s="726"/>
      <c r="AC344" s="170"/>
      <c r="AD344" s="586"/>
      <c r="AE344" s="586"/>
      <c r="AF344" s="170"/>
      <c r="AG344" s="170"/>
      <c r="AH344" s="170"/>
      <c r="AI344" s="170"/>
      <c r="AJ344" s="170"/>
      <c r="AK344" s="170"/>
      <c r="AL344" s="170"/>
      <c r="AM344" s="170"/>
      <c r="AN344" s="170"/>
      <c r="AO344" s="170"/>
      <c r="AP344" s="170"/>
      <c r="AQ344" s="170"/>
      <c r="AR344" s="170"/>
      <c r="AS344" s="170"/>
      <c r="AT344" s="170"/>
      <c r="AU344" s="170"/>
      <c r="AV344" s="170"/>
      <c r="AW344" s="170"/>
      <c r="AX344" s="170"/>
    </row>
    <row r="345" spans="1:50" ht="15" x14ac:dyDescent="0.25">
      <c r="A345" s="170"/>
      <c r="B345" s="719"/>
      <c r="C345" s="170"/>
      <c r="D345" s="170"/>
      <c r="E345" s="170"/>
      <c r="F345" s="170"/>
      <c r="G345" s="721"/>
      <c r="H345" s="170"/>
      <c r="I345" s="170"/>
      <c r="J345" s="170"/>
      <c r="K345" s="170"/>
      <c r="L345" s="170"/>
      <c r="M345" s="730"/>
      <c r="N345" s="730"/>
      <c r="O345" s="730"/>
      <c r="P345" s="731"/>
      <c r="Q345" s="731"/>
      <c r="R345" s="730"/>
      <c r="S345" s="730"/>
      <c r="T345" s="723"/>
      <c r="U345" s="724"/>
      <c r="V345" s="725"/>
      <c r="W345" s="725"/>
      <c r="X345" s="723"/>
      <c r="Y345" s="723"/>
      <c r="Z345" s="723"/>
      <c r="AA345" s="726"/>
      <c r="AB345" s="726"/>
      <c r="AC345" s="170"/>
      <c r="AD345" s="586"/>
      <c r="AE345" s="586"/>
      <c r="AF345" s="170"/>
      <c r="AG345" s="170"/>
      <c r="AH345" s="170"/>
      <c r="AI345" s="170"/>
      <c r="AJ345" s="170"/>
      <c r="AK345" s="170"/>
      <c r="AL345" s="170"/>
      <c r="AM345" s="170"/>
      <c r="AN345" s="170"/>
      <c r="AO345" s="170"/>
      <c r="AP345" s="170"/>
      <c r="AQ345" s="170"/>
      <c r="AR345" s="170"/>
      <c r="AS345" s="170"/>
      <c r="AT345" s="170"/>
      <c r="AU345" s="170"/>
      <c r="AV345" s="170"/>
      <c r="AW345" s="170"/>
      <c r="AX345" s="170"/>
    </row>
    <row r="346" spans="1:50" ht="15" x14ac:dyDescent="0.25">
      <c r="A346" s="170"/>
      <c r="B346" s="719"/>
      <c r="C346" s="170"/>
      <c r="D346" s="170"/>
      <c r="E346" s="170"/>
      <c r="F346" s="170"/>
      <c r="G346" s="721"/>
      <c r="H346" s="170"/>
      <c r="I346" s="170"/>
      <c r="J346" s="170"/>
      <c r="K346" s="170"/>
      <c r="L346" s="170"/>
      <c r="M346" s="730"/>
      <c r="N346" s="730"/>
      <c r="O346" s="730"/>
      <c r="P346" s="731"/>
      <c r="Q346" s="731"/>
      <c r="R346" s="730"/>
      <c r="S346" s="730"/>
      <c r="T346" s="723"/>
      <c r="U346" s="724"/>
      <c r="V346" s="725"/>
      <c r="W346" s="725"/>
      <c r="X346" s="723"/>
      <c r="Y346" s="723"/>
      <c r="Z346" s="723"/>
      <c r="AA346" s="726"/>
      <c r="AB346" s="726"/>
      <c r="AC346" s="170"/>
      <c r="AD346" s="586"/>
      <c r="AE346" s="586"/>
      <c r="AF346" s="170"/>
      <c r="AG346" s="170"/>
      <c r="AH346" s="170"/>
      <c r="AI346" s="170"/>
      <c r="AJ346" s="170"/>
      <c r="AK346" s="170"/>
      <c r="AL346" s="170"/>
      <c r="AM346" s="170"/>
      <c r="AN346" s="170"/>
      <c r="AO346" s="170"/>
      <c r="AP346" s="170"/>
      <c r="AQ346" s="170"/>
      <c r="AR346" s="170"/>
      <c r="AS346" s="170"/>
      <c r="AT346" s="170"/>
      <c r="AU346" s="170"/>
      <c r="AV346" s="170"/>
      <c r="AW346" s="170"/>
      <c r="AX346" s="170"/>
    </row>
    <row r="347" spans="1:50" ht="15" x14ac:dyDescent="0.25">
      <c r="A347" s="170"/>
      <c r="B347" s="719"/>
      <c r="C347" s="170"/>
      <c r="D347" s="170"/>
      <c r="E347" s="170"/>
      <c r="F347" s="170"/>
      <c r="G347" s="721"/>
      <c r="H347" s="170"/>
      <c r="I347" s="170"/>
      <c r="J347" s="170"/>
      <c r="K347" s="170"/>
      <c r="L347" s="170"/>
      <c r="M347" s="730"/>
      <c r="N347" s="730"/>
      <c r="O347" s="730"/>
      <c r="P347" s="731"/>
      <c r="Q347" s="731"/>
      <c r="R347" s="730"/>
      <c r="S347" s="730"/>
      <c r="T347" s="723"/>
      <c r="U347" s="724"/>
      <c r="V347" s="725"/>
      <c r="W347" s="725"/>
      <c r="X347" s="723"/>
      <c r="Y347" s="723"/>
      <c r="Z347" s="723"/>
      <c r="AA347" s="726"/>
      <c r="AB347" s="726"/>
      <c r="AC347" s="170"/>
      <c r="AD347" s="586"/>
      <c r="AE347" s="586"/>
      <c r="AF347" s="170"/>
      <c r="AG347" s="170"/>
      <c r="AH347" s="170"/>
      <c r="AI347" s="170"/>
      <c r="AJ347" s="170"/>
      <c r="AK347" s="170"/>
      <c r="AL347" s="170"/>
      <c r="AM347" s="170"/>
      <c r="AN347" s="170"/>
      <c r="AO347" s="170"/>
      <c r="AP347" s="170"/>
      <c r="AQ347" s="170"/>
      <c r="AR347" s="170"/>
      <c r="AS347" s="170"/>
      <c r="AT347" s="170"/>
      <c r="AU347" s="170"/>
      <c r="AV347" s="170"/>
      <c r="AW347" s="170"/>
      <c r="AX347" s="170"/>
    </row>
    <row r="348" spans="1:50" ht="15" x14ac:dyDescent="0.25">
      <c r="A348" s="170"/>
      <c r="B348" s="719"/>
      <c r="C348" s="170"/>
      <c r="D348" s="170"/>
      <c r="E348" s="170"/>
      <c r="F348" s="170"/>
      <c r="G348" s="721"/>
      <c r="H348" s="170"/>
      <c r="I348" s="170"/>
      <c r="J348" s="170"/>
      <c r="K348" s="170"/>
      <c r="L348" s="170"/>
      <c r="M348" s="730"/>
      <c r="N348" s="730"/>
      <c r="O348" s="730"/>
      <c r="P348" s="731"/>
      <c r="Q348" s="731"/>
      <c r="R348" s="730"/>
      <c r="S348" s="730"/>
      <c r="T348" s="723"/>
      <c r="U348" s="724"/>
      <c r="V348" s="725"/>
      <c r="W348" s="725"/>
      <c r="X348" s="723"/>
      <c r="Y348" s="723"/>
      <c r="Z348" s="723"/>
      <c r="AA348" s="726"/>
      <c r="AB348" s="726"/>
      <c r="AC348" s="170"/>
      <c r="AD348" s="586"/>
      <c r="AE348" s="586"/>
      <c r="AF348" s="170"/>
      <c r="AG348" s="170"/>
      <c r="AH348" s="170"/>
      <c r="AI348" s="170"/>
      <c r="AJ348" s="170"/>
      <c r="AK348" s="170"/>
      <c r="AL348" s="170"/>
      <c r="AM348" s="170"/>
      <c r="AN348" s="170"/>
      <c r="AO348" s="170"/>
      <c r="AP348" s="170"/>
      <c r="AQ348" s="170"/>
      <c r="AR348" s="170"/>
      <c r="AS348" s="170"/>
      <c r="AT348" s="170"/>
      <c r="AU348" s="170"/>
      <c r="AV348" s="170"/>
      <c r="AW348" s="170"/>
      <c r="AX348" s="170"/>
    </row>
    <row r="349" spans="1:50" ht="15" x14ac:dyDescent="0.25">
      <c r="A349" s="170"/>
      <c r="B349" s="719"/>
      <c r="C349" s="170"/>
      <c r="D349" s="170"/>
      <c r="E349" s="170"/>
      <c r="F349" s="170"/>
      <c r="G349" s="721"/>
      <c r="H349" s="170"/>
      <c r="I349" s="170"/>
      <c r="J349" s="170"/>
      <c r="K349" s="170"/>
      <c r="L349" s="170"/>
      <c r="M349" s="730"/>
      <c r="N349" s="730"/>
      <c r="O349" s="730"/>
      <c r="P349" s="731"/>
      <c r="Q349" s="731"/>
      <c r="R349" s="730"/>
      <c r="S349" s="730"/>
      <c r="T349" s="723"/>
      <c r="U349" s="724"/>
      <c r="V349" s="725"/>
      <c r="W349" s="725"/>
      <c r="X349" s="723"/>
      <c r="Y349" s="723"/>
      <c r="Z349" s="723"/>
      <c r="AA349" s="726"/>
      <c r="AB349" s="726"/>
      <c r="AC349" s="170"/>
      <c r="AD349" s="586"/>
      <c r="AE349" s="586"/>
      <c r="AF349" s="170"/>
      <c r="AG349" s="170"/>
      <c r="AH349" s="170"/>
      <c r="AI349" s="170"/>
      <c r="AJ349" s="170"/>
      <c r="AK349" s="170"/>
      <c r="AL349" s="170"/>
      <c r="AM349" s="170"/>
      <c r="AN349" s="170"/>
      <c r="AO349" s="170"/>
      <c r="AP349" s="170"/>
      <c r="AQ349" s="170"/>
      <c r="AR349" s="170"/>
      <c r="AS349" s="170"/>
      <c r="AT349" s="170"/>
      <c r="AU349" s="170"/>
      <c r="AV349" s="170"/>
      <c r="AW349" s="170"/>
      <c r="AX349" s="170"/>
    </row>
    <row r="350" spans="1:50" ht="15" x14ac:dyDescent="0.25">
      <c r="A350" s="170"/>
      <c r="B350" s="719"/>
      <c r="C350" s="170"/>
      <c r="D350" s="170"/>
      <c r="E350" s="170"/>
      <c r="F350" s="170"/>
      <c r="G350" s="721"/>
      <c r="H350" s="170"/>
      <c r="I350" s="170"/>
      <c r="J350" s="170"/>
      <c r="K350" s="170"/>
      <c r="L350" s="170"/>
      <c r="M350" s="730"/>
      <c r="N350" s="730"/>
      <c r="O350" s="730"/>
      <c r="P350" s="731"/>
      <c r="Q350" s="731"/>
      <c r="R350" s="730"/>
      <c r="S350" s="730"/>
      <c r="T350" s="723"/>
      <c r="U350" s="724"/>
      <c r="V350" s="725"/>
      <c r="W350" s="725"/>
      <c r="X350" s="723"/>
      <c r="Y350" s="723"/>
      <c r="Z350" s="723"/>
      <c r="AA350" s="726"/>
      <c r="AB350" s="726"/>
      <c r="AC350" s="170"/>
      <c r="AD350" s="586"/>
      <c r="AE350" s="586"/>
      <c r="AF350" s="170"/>
      <c r="AG350" s="170"/>
      <c r="AH350" s="170"/>
      <c r="AI350" s="170"/>
      <c r="AJ350" s="170"/>
      <c r="AK350" s="170"/>
      <c r="AL350" s="170"/>
      <c r="AM350" s="170"/>
      <c r="AN350" s="170"/>
      <c r="AO350" s="170"/>
      <c r="AP350" s="170"/>
      <c r="AQ350" s="170"/>
      <c r="AR350" s="170"/>
      <c r="AS350" s="170"/>
      <c r="AT350" s="170"/>
      <c r="AU350" s="170"/>
      <c r="AV350" s="170"/>
      <c r="AW350" s="170"/>
      <c r="AX350" s="170"/>
    </row>
    <row r="351" spans="1:50" ht="15" x14ac:dyDescent="0.25">
      <c r="A351" s="170"/>
      <c r="B351" s="719"/>
      <c r="C351" s="170"/>
      <c r="D351" s="170"/>
      <c r="E351" s="170"/>
      <c r="F351" s="170"/>
      <c r="G351" s="721"/>
      <c r="H351" s="170"/>
      <c r="I351" s="170"/>
      <c r="J351" s="170"/>
      <c r="K351" s="170"/>
      <c r="L351" s="170"/>
      <c r="M351" s="730"/>
      <c r="N351" s="730"/>
      <c r="O351" s="730"/>
      <c r="P351" s="731"/>
      <c r="Q351" s="731"/>
      <c r="R351" s="730"/>
      <c r="S351" s="730"/>
      <c r="T351" s="723"/>
      <c r="U351" s="724"/>
      <c r="V351" s="725"/>
      <c r="W351" s="725"/>
      <c r="X351" s="723"/>
      <c r="Y351" s="723"/>
      <c r="Z351" s="723"/>
      <c r="AA351" s="726"/>
      <c r="AB351" s="726"/>
      <c r="AC351" s="170"/>
      <c r="AD351" s="586"/>
      <c r="AE351" s="586"/>
      <c r="AF351" s="170"/>
      <c r="AG351" s="170"/>
      <c r="AH351" s="170"/>
      <c r="AI351" s="170"/>
      <c r="AJ351" s="170"/>
      <c r="AK351" s="170"/>
      <c r="AL351" s="170"/>
      <c r="AM351" s="170"/>
      <c r="AN351" s="170"/>
      <c r="AO351" s="170"/>
      <c r="AP351" s="170"/>
      <c r="AQ351" s="170"/>
      <c r="AR351" s="170"/>
      <c r="AS351" s="170"/>
      <c r="AT351" s="170"/>
      <c r="AU351" s="170"/>
      <c r="AV351" s="170"/>
      <c r="AW351" s="170"/>
      <c r="AX351" s="170"/>
    </row>
    <row r="352" spans="1:50" ht="15" x14ac:dyDescent="0.25">
      <c r="A352" s="170"/>
      <c r="B352" s="719"/>
      <c r="C352" s="170"/>
      <c r="D352" s="170"/>
      <c r="E352" s="170"/>
      <c r="F352" s="170"/>
      <c r="G352" s="721"/>
      <c r="H352" s="170"/>
      <c r="I352" s="170"/>
      <c r="J352" s="170"/>
      <c r="K352" s="170"/>
      <c r="L352" s="170"/>
      <c r="M352" s="730"/>
      <c r="N352" s="730"/>
      <c r="O352" s="730"/>
      <c r="P352" s="731"/>
      <c r="Q352" s="731"/>
      <c r="R352" s="730"/>
      <c r="S352" s="730"/>
      <c r="T352" s="723"/>
      <c r="U352" s="724"/>
      <c r="V352" s="725"/>
      <c r="W352" s="725"/>
      <c r="X352" s="723"/>
      <c r="Y352" s="723"/>
      <c r="Z352" s="723"/>
      <c r="AA352" s="726"/>
      <c r="AB352" s="726"/>
      <c r="AC352" s="170"/>
      <c r="AD352" s="586"/>
      <c r="AE352" s="586"/>
      <c r="AF352" s="170"/>
      <c r="AG352" s="170"/>
      <c r="AH352" s="170"/>
      <c r="AI352" s="170"/>
      <c r="AJ352" s="170"/>
      <c r="AK352" s="170"/>
      <c r="AL352" s="170"/>
      <c r="AM352" s="170"/>
      <c r="AN352" s="170"/>
      <c r="AO352" s="170"/>
      <c r="AP352" s="170"/>
      <c r="AQ352" s="170"/>
      <c r="AR352" s="170"/>
      <c r="AS352" s="170"/>
      <c r="AT352" s="170"/>
      <c r="AU352" s="170"/>
      <c r="AV352" s="170"/>
      <c r="AW352" s="170"/>
      <c r="AX352" s="170"/>
    </row>
    <row r="353" spans="1:50" ht="15" x14ac:dyDescent="0.25">
      <c r="A353" s="170"/>
      <c r="B353" s="719"/>
      <c r="C353" s="170"/>
      <c r="D353" s="170"/>
      <c r="E353" s="170"/>
      <c r="F353" s="170"/>
      <c r="G353" s="721"/>
      <c r="H353" s="170"/>
      <c r="I353" s="170"/>
      <c r="J353" s="170"/>
      <c r="K353" s="170"/>
      <c r="L353" s="170"/>
      <c r="M353" s="730"/>
      <c r="N353" s="730"/>
      <c r="O353" s="730"/>
      <c r="P353" s="731"/>
      <c r="Q353" s="731"/>
      <c r="R353" s="730"/>
      <c r="S353" s="730"/>
      <c r="T353" s="723"/>
      <c r="U353" s="724"/>
      <c r="V353" s="725"/>
      <c r="W353" s="725"/>
      <c r="X353" s="723"/>
      <c r="Y353" s="723"/>
      <c r="Z353" s="723"/>
      <c r="AA353" s="726"/>
      <c r="AB353" s="726"/>
      <c r="AC353" s="170"/>
      <c r="AD353" s="586"/>
      <c r="AE353" s="586"/>
      <c r="AF353" s="170"/>
      <c r="AG353" s="170"/>
      <c r="AH353" s="170"/>
      <c r="AI353" s="170"/>
      <c r="AJ353" s="170"/>
      <c r="AK353" s="170"/>
      <c r="AL353" s="170"/>
      <c r="AM353" s="170"/>
      <c r="AN353" s="170"/>
      <c r="AO353" s="170"/>
      <c r="AP353" s="170"/>
      <c r="AQ353" s="170"/>
      <c r="AR353" s="170"/>
      <c r="AS353" s="170"/>
      <c r="AT353" s="170"/>
      <c r="AU353" s="170"/>
      <c r="AV353" s="170"/>
      <c r="AW353" s="170"/>
      <c r="AX353" s="170"/>
    </row>
    <row r="354" spans="1:50" ht="15" x14ac:dyDescent="0.25">
      <c r="A354" s="170"/>
      <c r="B354" s="719"/>
      <c r="C354" s="170"/>
      <c r="D354" s="170"/>
      <c r="E354" s="170"/>
      <c r="F354" s="170"/>
      <c r="G354" s="721"/>
      <c r="H354" s="170"/>
      <c r="I354" s="170"/>
      <c r="J354" s="170"/>
      <c r="K354" s="170"/>
      <c r="L354" s="170"/>
      <c r="M354" s="730"/>
      <c r="N354" s="730"/>
      <c r="O354" s="730"/>
      <c r="P354" s="731"/>
      <c r="Q354" s="731"/>
      <c r="R354" s="730"/>
      <c r="S354" s="730"/>
      <c r="T354" s="723"/>
      <c r="U354" s="724"/>
      <c r="V354" s="725"/>
      <c r="W354" s="725"/>
      <c r="X354" s="723"/>
      <c r="Y354" s="723"/>
      <c r="Z354" s="723"/>
      <c r="AA354" s="726"/>
      <c r="AB354" s="726"/>
      <c r="AC354" s="170"/>
      <c r="AD354" s="586"/>
      <c r="AE354" s="586"/>
      <c r="AF354" s="170"/>
      <c r="AG354" s="170"/>
      <c r="AH354" s="170"/>
      <c r="AI354" s="170"/>
      <c r="AJ354" s="170"/>
      <c r="AK354" s="170"/>
      <c r="AL354" s="170"/>
      <c r="AM354" s="170"/>
      <c r="AN354" s="170"/>
      <c r="AO354" s="170"/>
      <c r="AP354" s="170"/>
      <c r="AQ354" s="170"/>
      <c r="AR354" s="170"/>
      <c r="AS354" s="170"/>
      <c r="AT354" s="170"/>
      <c r="AU354" s="170"/>
      <c r="AV354" s="170"/>
      <c r="AW354" s="170"/>
      <c r="AX354" s="170"/>
    </row>
    <row r="355" spans="1:50" ht="15" x14ac:dyDescent="0.25">
      <c r="A355" s="170"/>
      <c r="B355" s="719"/>
      <c r="C355" s="170"/>
      <c r="D355" s="170"/>
      <c r="E355" s="170"/>
      <c r="F355" s="170"/>
      <c r="G355" s="721"/>
      <c r="H355" s="170"/>
      <c r="I355" s="170"/>
      <c r="J355" s="170"/>
      <c r="K355" s="170"/>
      <c r="L355" s="170"/>
      <c r="M355" s="730"/>
      <c r="N355" s="730"/>
      <c r="O355" s="730"/>
      <c r="P355" s="731"/>
      <c r="Q355" s="731"/>
      <c r="R355" s="730"/>
      <c r="S355" s="730"/>
      <c r="T355" s="723"/>
      <c r="U355" s="724"/>
      <c r="V355" s="725"/>
      <c r="W355" s="725"/>
      <c r="X355" s="723"/>
      <c r="Y355" s="723"/>
      <c r="Z355" s="723"/>
      <c r="AA355" s="726"/>
      <c r="AB355" s="726"/>
      <c r="AC355" s="170"/>
      <c r="AD355" s="586"/>
      <c r="AE355" s="586"/>
      <c r="AF355" s="170"/>
      <c r="AG355" s="170"/>
      <c r="AH355" s="170"/>
      <c r="AI355" s="170"/>
      <c r="AJ355" s="170"/>
      <c r="AK355" s="170"/>
      <c r="AL355" s="170"/>
      <c r="AM355" s="170"/>
      <c r="AN355" s="170"/>
      <c r="AO355" s="170"/>
      <c r="AP355" s="170"/>
      <c r="AQ355" s="170"/>
      <c r="AR355" s="170"/>
      <c r="AS355" s="170"/>
      <c r="AT355" s="170"/>
      <c r="AU355" s="170"/>
      <c r="AV355" s="170"/>
      <c r="AW355" s="170"/>
      <c r="AX355" s="170"/>
    </row>
    <row r="356" spans="1:50" ht="15" x14ac:dyDescent="0.25">
      <c r="A356" s="170"/>
      <c r="B356" s="719"/>
      <c r="C356" s="170"/>
      <c r="D356" s="170"/>
      <c r="E356" s="170"/>
      <c r="F356" s="170"/>
      <c r="G356" s="721"/>
      <c r="H356" s="170"/>
      <c r="I356" s="170"/>
      <c r="J356" s="170"/>
      <c r="K356" s="170"/>
      <c r="L356" s="170"/>
      <c r="M356" s="730"/>
      <c r="N356" s="730"/>
      <c r="O356" s="730"/>
      <c r="P356" s="731"/>
      <c r="Q356" s="731"/>
      <c r="R356" s="730"/>
      <c r="S356" s="730"/>
      <c r="T356" s="723"/>
      <c r="U356" s="724"/>
      <c r="V356" s="725"/>
      <c r="W356" s="725"/>
      <c r="X356" s="723"/>
      <c r="Y356" s="723"/>
      <c r="Z356" s="723"/>
      <c r="AA356" s="726"/>
      <c r="AB356" s="726"/>
      <c r="AC356" s="170"/>
      <c r="AD356" s="586"/>
      <c r="AE356" s="586"/>
      <c r="AF356" s="170"/>
      <c r="AG356" s="170"/>
      <c r="AH356" s="170"/>
      <c r="AI356" s="170"/>
      <c r="AJ356" s="170"/>
      <c r="AK356" s="170"/>
      <c r="AL356" s="170"/>
      <c r="AM356" s="170"/>
      <c r="AN356" s="170"/>
      <c r="AO356" s="170"/>
      <c r="AP356" s="170"/>
      <c r="AQ356" s="170"/>
      <c r="AR356" s="170"/>
      <c r="AS356" s="170"/>
      <c r="AT356" s="170"/>
      <c r="AU356" s="170"/>
      <c r="AV356" s="170"/>
      <c r="AW356" s="170"/>
      <c r="AX356" s="170"/>
    </row>
    <row r="357" spans="1:50" ht="15" x14ac:dyDescent="0.25">
      <c r="A357" s="170"/>
      <c r="B357" s="719"/>
      <c r="C357" s="170"/>
      <c r="D357" s="170"/>
      <c r="E357" s="170"/>
      <c r="F357" s="170"/>
      <c r="G357" s="721"/>
      <c r="H357" s="170"/>
      <c r="I357" s="170"/>
      <c r="J357" s="170"/>
      <c r="K357" s="170"/>
      <c r="L357" s="170"/>
      <c r="M357" s="730"/>
      <c r="N357" s="730"/>
      <c r="O357" s="730"/>
      <c r="P357" s="731"/>
      <c r="Q357" s="731"/>
      <c r="R357" s="730"/>
      <c r="S357" s="730"/>
      <c r="T357" s="723"/>
      <c r="U357" s="724"/>
      <c r="V357" s="725"/>
      <c r="W357" s="725"/>
      <c r="X357" s="723"/>
      <c r="Y357" s="723"/>
      <c r="Z357" s="723"/>
      <c r="AA357" s="726"/>
      <c r="AB357" s="726"/>
      <c r="AC357" s="170"/>
      <c r="AD357" s="586"/>
      <c r="AE357" s="586"/>
      <c r="AF357" s="170"/>
      <c r="AG357" s="170"/>
      <c r="AH357" s="170"/>
      <c r="AI357" s="170"/>
      <c r="AJ357" s="170"/>
      <c r="AK357" s="170"/>
      <c r="AL357" s="170"/>
      <c r="AM357" s="170"/>
      <c r="AN357" s="170"/>
      <c r="AO357" s="170"/>
      <c r="AP357" s="170"/>
      <c r="AQ357" s="170"/>
      <c r="AR357" s="170"/>
      <c r="AS357" s="170"/>
      <c r="AT357" s="170"/>
      <c r="AU357" s="170"/>
      <c r="AV357" s="170"/>
      <c r="AW357" s="170"/>
      <c r="AX357" s="170"/>
    </row>
    <row r="358" spans="1:50" ht="15" x14ac:dyDescent="0.25">
      <c r="A358" s="170"/>
      <c r="B358" s="719"/>
      <c r="C358" s="170"/>
      <c r="D358" s="170"/>
      <c r="E358" s="170"/>
      <c r="F358" s="170"/>
      <c r="G358" s="721"/>
      <c r="H358" s="170"/>
      <c r="I358" s="170"/>
      <c r="J358" s="170"/>
      <c r="K358" s="170"/>
      <c r="L358" s="170"/>
      <c r="M358" s="730"/>
      <c r="N358" s="730"/>
      <c r="O358" s="730"/>
      <c r="P358" s="731"/>
      <c r="Q358" s="731"/>
      <c r="R358" s="730"/>
      <c r="S358" s="730"/>
      <c r="T358" s="723"/>
      <c r="U358" s="724"/>
      <c r="V358" s="725"/>
      <c r="W358" s="725"/>
      <c r="X358" s="723"/>
      <c r="Y358" s="723"/>
      <c r="Z358" s="723"/>
      <c r="AA358" s="726"/>
      <c r="AB358" s="726"/>
      <c r="AC358" s="170"/>
      <c r="AD358" s="586"/>
      <c r="AE358" s="586"/>
      <c r="AF358" s="170"/>
      <c r="AG358" s="170"/>
      <c r="AH358" s="170"/>
      <c r="AI358" s="170"/>
      <c r="AJ358" s="170"/>
      <c r="AK358" s="170"/>
      <c r="AL358" s="170"/>
      <c r="AM358" s="170"/>
      <c r="AN358" s="170"/>
      <c r="AO358" s="170"/>
      <c r="AP358" s="170"/>
      <c r="AQ358" s="170"/>
      <c r="AR358" s="170"/>
      <c r="AS358" s="170"/>
      <c r="AT358" s="170"/>
      <c r="AU358" s="170"/>
      <c r="AV358" s="170"/>
      <c r="AW358" s="170"/>
      <c r="AX358" s="170"/>
    </row>
    <row r="359" spans="1:50" ht="15" x14ac:dyDescent="0.25">
      <c r="A359" s="170"/>
      <c r="B359" s="719"/>
      <c r="C359" s="170"/>
      <c r="D359" s="170"/>
      <c r="E359" s="170"/>
      <c r="F359" s="170"/>
      <c r="G359" s="721"/>
      <c r="H359" s="170"/>
      <c r="I359" s="170"/>
      <c r="J359" s="170"/>
      <c r="K359" s="170"/>
      <c r="L359" s="170"/>
      <c r="M359" s="730"/>
      <c r="N359" s="730"/>
      <c r="O359" s="730"/>
      <c r="P359" s="731"/>
      <c r="Q359" s="731"/>
      <c r="R359" s="730"/>
      <c r="S359" s="730"/>
      <c r="T359" s="723"/>
      <c r="U359" s="724"/>
      <c r="V359" s="725"/>
      <c r="W359" s="725"/>
      <c r="X359" s="723"/>
      <c r="Y359" s="723"/>
      <c r="Z359" s="723"/>
      <c r="AA359" s="726"/>
      <c r="AB359" s="726"/>
      <c r="AC359" s="170"/>
      <c r="AD359" s="586"/>
      <c r="AE359" s="586"/>
      <c r="AF359" s="170"/>
      <c r="AG359" s="170"/>
      <c r="AH359" s="170"/>
      <c r="AI359" s="170"/>
      <c r="AJ359" s="170"/>
      <c r="AK359" s="170"/>
      <c r="AL359" s="170"/>
      <c r="AM359" s="170"/>
      <c r="AN359" s="170"/>
      <c r="AO359" s="170"/>
      <c r="AP359" s="170"/>
      <c r="AQ359" s="170"/>
      <c r="AR359" s="170"/>
      <c r="AS359" s="170"/>
      <c r="AT359" s="170"/>
      <c r="AU359" s="170"/>
      <c r="AV359" s="170"/>
      <c r="AW359" s="170"/>
      <c r="AX359" s="170"/>
    </row>
    <row r="360" spans="1:50" ht="15" x14ac:dyDescent="0.25">
      <c r="A360" s="170"/>
      <c r="B360" s="719"/>
      <c r="C360" s="170"/>
      <c r="D360" s="170"/>
      <c r="E360" s="170"/>
      <c r="F360" s="170"/>
      <c r="G360" s="721"/>
      <c r="H360" s="170"/>
      <c r="I360" s="170"/>
      <c r="J360" s="170"/>
      <c r="K360" s="170"/>
      <c r="L360" s="170"/>
      <c r="M360" s="730"/>
      <c r="N360" s="730"/>
      <c r="O360" s="730"/>
      <c r="P360" s="731"/>
      <c r="Q360" s="731"/>
      <c r="R360" s="730"/>
      <c r="S360" s="730"/>
      <c r="T360" s="723"/>
      <c r="U360" s="724"/>
      <c r="V360" s="725"/>
      <c r="W360" s="725"/>
      <c r="X360" s="723"/>
      <c r="Y360" s="723"/>
      <c r="Z360" s="723"/>
      <c r="AA360" s="726"/>
      <c r="AB360" s="726"/>
      <c r="AC360" s="170"/>
      <c r="AD360" s="586"/>
      <c r="AE360" s="586"/>
      <c r="AF360" s="170"/>
      <c r="AG360" s="170"/>
      <c r="AH360" s="170"/>
      <c r="AI360" s="170"/>
      <c r="AJ360" s="170"/>
      <c r="AK360" s="170"/>
      <c r="AL360" s="170"/>
      <c r="AM360" s="170"/>
      <c r="AN360" s="170"/>
      <c r="AO360" s="170"/>
      <c r="AP360" s="170"/>
      <c r="AQ360" s="170"/>
      <c r="AR360" s="170"/>
      <c r="AS360" s="170"/>
      <c r="AT360" s="170"/>
      <c r="AU360" s="170"/>
      <c r="AV360" s="170"/>
      <c r="AW360" s="170"/>
      <c r="AX360" s="170"/>
    </row>
    <row r="361" spans="1:50" ht="15" x14ac:dyDescent="0.25">
      <c r="A361" s="170"/>
      <c r="B361" s="719"/>
      <c r="C361" s="170"/>
      <c r="D361" s="170"/>
      <c r="E361" s="170"/>
      <c r="F361" s="170"/>
      <c r="G361" s="721"/>
      <c r="H361" s="170"/>
      <c r="I361" s="170"/>
      <c r="J361" s="170"/>
      <c r="K361" s="170"/>
      <c r="L361" s="170"/>
      <c r="M361" s="730"/>
      <c r="N361" s="730"/>
      <c r="O361" s="730"/>
      <c r="P361" s="731"/>
      <c r="Q361" s="731"/>
      <c r="R361" s="730"/>
      <c r="S361" s="730"/>
      <c r="T361" s="723"/>
      <c r="U361" s="724"/>
      <c r="V361" s="725"/>
      <c r="W361" s="725"/>
      <c r="X361" s="723"/>
      <c r="Y361" s="723"/>
      <c r="Z361" s="723"/>
      <c r="AA361" s="726"/>
      <c r="AB361" s="726"/>
      <c r="AC361" s="170"/>
      <c r="AD361" s="586"/>
      <c r="AE361" s="586"/>
      <c r="AF361" s="170"/>
      <c r="AG361" s="170"/>
      <c r="AH361" s="170"/>
      <c r="AI361" s="170"/>
      <c r="AJ361" s="170"/>
      <c r="AK361" s="170"/>
      <c r="AL361" s="170"/>
      <c r="AM361" s="170"/>
      <c r="AN361" s="170"/>
      <c r="AO361" s="170"/>
      <c r="AP361" s="170"/>
      <c r="AQ361" s="170"/>
      <c r="AR361" s="170"/>
      <c r="AS361" s="170"/>
      <c r="AT361" s="170"/>
      <c r="AU361" s="170"/>
      <c r="AV361" s="170"/>
      <c r="AW361" s="170"/>
      <c r="AX361" s="170"/>
    </row>
    <row r="362" spans="1:50" ht="15" x14ac:dyDescent="0.25">
      <c r="A362" s="170"/>
      <c r="B362" s="719"/>
      <c r="C362" s="170"/>
      <c r="D362" s="170"/>
      <c r="E362" s="170"/>
      <c r="F362" s="170"/>
      <c r="G362" s="721"/>
      <c r="H362" s="170"/>
      <c r="I362" s="170"/>
      <c r="J362" s="170"/>
      <c r="K362" s="170"/>
      <c r="L362" s="170"/>
      <c r="M362" s="730"/>
      <c r="N362" s="730"/>
      <c r="O362" s="730"/>
      <c r="P362" s="731"/>
      <c r="Q362" s="731"/>
      <c r="R362" s="730"/>
      <c r="S362" s="730"/>
      <c r="T362" s="723"/>
      <c r="U362" s="724"/>
      <c r="V362" s="725"/>
      <c r="W362" s="725"/>
      <c r="X362" s="723"/>
      <c r="Y362" s="723"/>
      <c r="Z362" s="723"/>
      <c r="AA362" s="726"/>
      <c r="AB362" s="726"/>
      <c r="AC362" s="170"/>
      <c r="AD362" s="586"/>
      <c r="AE362" s="586"/>
      <c r="AF362" s="170"/>
      <c r="AG362" s="170"/>
      <c r="AH362" s="170"/>
      <c r="AI362" s="170"/>
      <c r="AJ362" s="170"/>
      <c r="AK362" s="170"/>
      <c r="AL362" s="170"/>
      <c r="AM362" s="170"/>
      <c r="AN362" s="170"/>
      <c r="AO362" s="170"/>
      <c r="AP362" s="170"/>
      <c r="AQ362" s="170"/>
      <c r="AR362" s="170"/>
      <c r="AS362" s="170"/>
      <c r="AT362" s="170"/>
      <c r="AU362" s="170"/>
      <c r="AV362" s="170"/>
      <c r="AW362" s="170"/>
      <c r="AX362" s="170"/>
    </row>
    <row r="363" spans="1:50" ht="15" x14ac:dyDescent="0.25">
      <c r="A363" s="170"/>
      <c r="B363" s="719"/>
      <c r="C363" s="170"/>
      <c r="D363" s="170"/>
      <c r="E363" s="170"/>
      <c r="F363" s="170"/>
      <c r="G363" s="721"/>
      <c r="H363" s="170"/>
      <c r="I363" s="170"/>
      <c r="J363" s="170"/>
      <c r="K363" s="170"/>
      <c r="L363" s="170"/>
      <c r="M363" s="730"/>
      <c r="N363" s="730"/>
      <c r="O363" s="730"/>
      <c r="P363" s="731"/>
      <c r="Q363" s="731"/>
      <c r="R363" s="730"/>
      <c r="S363" s="730"/>
      <c r="T363" s="723"/>
      <c r="U363" s="724"/>
      <c r="V363" s="725"/>
      <c r="W363" s="725"/>
      <c r="X363" s="723"/>
      <c r="Y363" s="723"/>
      <c r="Z363" s="723"/>
      <c r="AA363" s="726"/>
      <c r="AB363" s="726"/>
      <c r="AC363" s="170"/>
      <c r="AD363" s="586"/>
      <c r="AE363" s="586"/>
      <c r="AF363" s="170"/>
      <c r="AG363" s="170"/>
      <c r="AH363" s="170"/>
      <c r="AI363" s="170"/>
      <c r="AJ363" s="170"/>
      <c r="AK363" s="170"/>
      <c r="AL363" s="170"/>
      <c r="AM363" s="170"/>
      <c r="AN363" s="170"/>
      <c r="AO363" s="170"/>
      <c r="AP363" s="170"/>
      <c r="AQ363" s="170"/>
      <c r="AR363" s="170"/>
      <c r="AS363" s="170"/>
      <c r="AT363" s="170"/>
      <c r="AU363" s="170"/>
      <c r="AV363" s="170"/>
      <c r="AW363" s="170"/>
      <c r="AX363" s="170"/>
    </row>
    <row r="364" spans="1:50" ht="15" x14ac:dyDescent="0.25">
      <c r="A364" s="170"/>
      <c r="B364" s="719"/>
      <c r="C364" s="170"/>
      <c r="D364" s="170"/>
      <c r="E364" s="170"/>
      <c r="F364" s="170"/>
      <c r="G364" s="721"/>
      <c r="H364" s="170"/>
      <c r="I364" s="170"/>
      <c r="J364" s="170"/>
      <c r="K364" s="170"/>
      <c r="L364" s="170"/>
      <c r="M364" s="730"/>
      <c r="N364" s="730"/>
      <c r="O364" s="730"/>
      <c r="P364" s="731"/>
      <c r="Q364" s="731"/>
      <c r="R364" s="730"/>
      <c r="S364" s="730"/>
      <c r="T364" s="723"/>
      <c r="U364" s="724"/>
      <c r="V364" s="725"/>
      <c r="W364" s="725"/>
      <c r="X364" s="723"/>
      <c r="Y364" s="723"/>
      <c r="Z364" s="723"/>
      <c r="AA364" s="726"/>
      <c r="AB364" s="726"/>
      <c r="AC364" s="170"/>
      <c r="AD364" s="586"/>
      <c r="AE364" s="586"/>
      <c r="AF364" s="170"/>
      <c r="AG364" s="170"/>
      <c r="AH364" s="170"/>
      <c r="AI364" s="170"/>
      <c r="AJ364" s="170"/>
      <c r="AK364" s="170"/>
      <c r="AL364" s="170"/>
      <c r="AM364" s="170"/>
      <c r="AN364" s="170"/>
      <c r="AO364" s="170"/>
      <c r="AP364" s="170"/>
      <c r="AQ364" s="170"/>
      <c r="AR364" s="170"/>
      <c r="AS364" s="170"/>
      <c r="AT364" s="170"/>
      <c r="AU364" s="170"/>
      <c r="AV364" s="170"/>
      <c r="AW364" s="170"/>
      <c r="AX364" s="170"/>
    </row>
    <row r="365" spans="1:50" ht="15" x14ac:dyDescent="0.25">
      <c r="A365" s="170"/>
      <c r="B365" s="719"/>
      <c r="C365" s="170"/>
      <c r="D365" s="170"/>
      <c r="E365" s="170"/>
      <c r="F365" s="170"/>
      <c r="G365" s="721"/>
      <c r="H365" s="170"/>
      <c r="I365" s="170"/>
      <c r="J365" s="170"/>
      <c r="K365" s="170"/>
      <c r="L365" s="170"/>
      <c r="M365" s="730"/>
      <c r="N365" s="730"/>
      <c r="O365" s="730"/>
      <c r="P365" s="731"/>
      <c r="Q365" s="731"/>
      <c r="R365" s="730"/>
      <c r="S365" s="730"/>
      <c r="T365" s="723"/>
      <c r="U365" s="724"/>
      <c r="V365" s="725"/>
      <c r="W365" s="725"/>
      <c r="X365" s="723"/>
      <c r="Y365" s="723"/>
      <c r="Z365" s="723"/>
      <c r="AA365" s="726"/>
      <c r="AB365" s="726"/>
      <c r="AC365" s="170"/>
      <c r="AD365" s="586"/>
      <c r="AE365" s="586"/>
      <c r="AF365" s="170"/>
      <c r="AG365" s="170"/>
      <c r="AH365" s="170"/>
      <c r="AI365" s="170"/>
      <c r="AJ365" s="170"/>
      <c r="AK365" s="170"/>
      <c r="AL365" s="170"/>
      <c r="AM365" s="170"/>
      <c r="AN365" s="170"/>
      <c r="AO365" s="170"/>
      <c r="AP365" s="170"/>
      <c r="AQ365" s="170"/>
      <c r="AR365" s="170"/>
      <c r="AS365" s="170"/>
      <c r="AT365" s="170"/>
      <c r="AU365" s="170"/>
      <c r="AV365" s="170"/>
      <c r="AW365" s="170"/>
      <c r="AX365" s="170"/>
    </row>
    <row r="366" spans="1:50" ht="15" x14ac:dyDescent="0.25">
      <c r="A366" s="170"/>
      <c r="B366" s="719"/>
      <c r="C366" s="170"/>
      <c r="D366" s="170"/>
      <c r="E366" s="170"/>
      <c r="F366" s="170"/>
      <c r="G366" s="721"/>
      <c r="H366" s="170"/>
      <c r="I366" s="170"/>
      <c r="J366" s="170"/>
      <c r="K366" s="170"/>
      <c r="L366" s="170"/>
      <c r="M366" s="730"/>
      <c r="N366" s="730"/>
      <c r="O366" s="730"/>
      <c r="P366" s="731"/>
      <c r="Q366" s="731"/>
      <c r="R366" s="730"/>
      <c r="S366" s="730"/>
      <c r="T366" s="723"/>
      <c r="U366" s="724"/>
      <c r="V366" s="725"/>
      <c r="W366" s="725"/>
      <c r="X366" s="723"/>
      <c r="Y366" s="723"/>
      <c r="Z366" s="723"/>
      <c r="AA366" s="726"/>
      <c r="AB366" s="726"/>
      <c r="AC366" s="170"/>
      <c r="AD366" s="586"/>
      <c r="AE366" s="586"/>
      <c r="AF366" s="170"/>
      <c r="AG366" s="170"/>
      <c r="AH366" s="170"/>
      <c r="AI366" s="170"/>
      <c r="AJ366" s="170"/>
      <c r="AK366" s="170"/>
      <c r="AL366" s="170"/>
      <c r="AM366" s="170"/>
      <c r="AN366" s="170"/>
      <c r="AO366" s="170"/>
      <c r="AP366" s="170"/>
      <c r="AQ366" s="170"/>
      <c r="AR366" s="170"/>
      <c r="AS366" s="170"/>
      <c r="AT366" s="170"/>
      <c r="AU366" s="170"/>
      <c r="AV366" s="170"/>
      <c r="AW366" s="170"/>
      <c r="AX366" s="170"/>
    </row>
    <row r="367" spans="1:50" ht="15" x14ac:dyDescent="0.25">
      <c r="A367" s="170"/>
      <c r="B367" s="719"/>
      <c r="C367" s="170"/>
      <c r="D367" s="170"/>
      <c r="E367" s="170"/>
      <c r="F367" s="170"/>
      <c r="G367" s="721"/>
      <c r="H367" s="170"/>
      <c r="I367" s="170"/>
      <c r="J367" s="170"/>
      <c r="K367" s="170"/>
      <c r="L367" s="170"/>
      <c r="M367" s="730"/>
      <c r="N367" s="730"/>
      <c r="O367" s="730"/>
      <c r="P367" s="731"/>
      <c r="Q367" s="731"/>
      <c r="R367" s="730"/>
      <c r="S367" s="730"/>
      <c r="T367" s="723"/>
      <c r="U367" s="724"/>
      <c r="V367" s="725"/>
      <c r="W367" s="725"/>
      <c r="X367" s="723"/>
      <c r="Y367" s="723"/>
      <c r="Z367" s="723"/>
      <c r="AA367" s="726"/>
      <c r="AB367" s="726"/>
      <c r="AC367" s="170"/>
      <c r="AD367" s="586"/>
      <c r="AE367" s="586"/>
      <c r="AF367" s="170"/>
      <c r="AG367" s="170"/>
      <c r="AH367" s="170"/>
      <c r="AI367" s="170"/>
      <c r="AJ367" s="170"/>
      <c r="AK367" s="170"/>
      <c r="AL367" s="170"/>
      <c r="AM367" s="170"/>
      <c r="AN367" s="170"/>
      <c r="AO367" s="170"/>
      <c r="AP367" s="170"/>
      <c r="AQ367" s="170"/>
      <c r="AR367" s="170"/>
      <c r="AS367" s="170"/>
      <c r="AT367" s="170"/>
      <c r="AU367" s="170"/>
      <c r="AV367" s="170"/>
      <c r="AW367" s="170"/>
      <c r="AX367" s="170"/>
    </row>
    <row r="368" spans="1:50" ht="15" x14ac:dyDescent="0.25">
      <c r="A368" s="170"/>
      <c r="B368" s="719"/>
      <c r="C368" s="170"/>
      <c r="D368" s="170"/>
      <c r="E368" s="170"/>
      <c r="F368" s="170"/>
      <c r="G368" s="721"/>
      <c r="H368" s="170"/>
      <c r="I368" s="170"/>
      <c r="J368" s="170"/>
      <c r="K368" s="170"/>
      <c r="L368" s="170"/>
      <c r="M368" s="730"/>
      <c r="N368" s="730"/>
      <c r="O368" s="730"/>
      <c r="P368" s="731"/>
      <c r="Q368" s="731"/>
      <c r="R368" s="730"/>
      <c r="S368" s="730"/>
      <c r="T368" s="723"/>
      <c r="U368" s="724"/>
      <c r="V368" s="725"/>
      <c r="W368" s="725"/>
      <c r="X368" s="723"/>
      <c r="Y368" s="723"/>
      <c r="Z368" s="723"/>
      <c r="AA368" s="726"/>
      <c r="AB368" s="726"/>
      <c r="AC368" s="170"/>
      <c r="AD368" s="586"/>
      <c r="AE368" s="586"/>
      <c r="AF368" s="170"/>
      <c r="AG368" s="170"/>
      <c r="AH368" s="170"/>
      <c r="AI368" s="170"/>
      <c r="AJ368" s="170"/>
      <c r="AK368" s="170"/>
      <c r="AL368" s="170"/>
      <c r="AM368" s="170"/>
      <c r="AN368" s="170"/>
      <c r="AO368" s="170"/>
      <c r="AP368" s="170"/>
      <c r="AQ368" s="170"/>
      <c r="AR368" s="170"/>
      <c r="AS368" s="170"/>
      <c r="AT368" s="170"/>
      <c r="AU368" s="170"/>
      <c r="AV368" s="170"/>
      <c r="AW368" s="170"/>
      <c r="AX368" s="170"/>
    </row>
    <row r="369" spans="1:50" ht="15" x14ac:dyDescent="0.25">
      <c r="A369" s="170"/>
      <c r="B369" s="719"/>
      <c r="C369" s="170"/>
      <c r="D369" s="170"/>
      <c r="E369" s="170"/>
      <c r="F369" s="170"/>
      <c r="G369" s="721"/>
      <c r="H369" s="170"/>
      <c r="I369" s="170"/>
      <c r="J369" s="170"/>
      <c r="K369" s="170"/>
      <c r="L369" s="170"/>
      <c r="M369" s="730"/>
      <c r="N369" s="730"/>
      <c r="O369" s="730"/>
      <c r="P369" s="731"/>
      <c r="Q369" s="731"/>
      <c r="R369" s="730"/>
      <c r="S369" s="730"/>
      <c r="T369" s="723"/>
      <c r="U369" s="724"/>
      <c r="V369" s="725"/>
      <c r="W369" s="725"/>
      <c r="X369" s="723"/>
      <c r="Y369" s="723"/>
      <c r="Z369" s="723"/>
      <c r="AA369" s="726"/>
      <c r="AB369" s="726"/>
      <c r="AC369" s="170"/>
      <c r="AD369" s="586"/>
      <c r="AE369" s="586"/>
      <c r="AF369" s="170"/>
      <c r="AG369" s="170"/>
      <c r="AH369" s="170"/>
      <c r="AI369" s="170"/>
      <c r="AJ369" s="170"/>
      <c r="AK369" s="170"/>
      <c r="AL369" s="170"/>
      <c r="AM369" s="170"/>
      <c r="AN369" s="170"/>
      <c r="AO369" s="170"/>
      <c r="AP369" s="170"/>
      <c r="AQ369" s="170"/>
      <c r="AR369" s="170"/>
      <c r="AS369" s="170"/>
      <c r="AT369" s="170"/>
      <c r="AU369" s="170"/>
      <c r="AV369" s="170"/>
      <c r="AW369" s="170"/>
      <c r="AX369" s="170"/>
    </row>
    <row r="370" spans="1:50" ht="15" x14ac:dyDescent="0.25">
      <c r="A370" s="170"/>
      <c r="B370" s="719"/>
      <c r="C370" s="170"/>
      <c r="D370" s="170"/>
      <c r="E370" s="170"/>
      <c r="F370" s="170"/>
      <c r="G370" s="721"/>
      <c r="H370" s="170"/>
      <c r="I370" s="170"/>
      <c r="J370" s="170"/>
      <c r="K370" s="170"/>
      <c r="L370" s="170"/>
      <c r="M370" s="730"/>
      <c r="N370" s="730"/>
      <c r="O370" s="730"/>
      <c r="P370" s="731"/>
      <c r="Q370" s="731"/>
      <c r="R370" s="730"/>
      <c r="S370" s="730"/>
      <c r="T370" s="723"/>
      <c r="U370" s="724"/>
      <c r="V370" s="725"/>
      <c r="W370" s="725"/>
      <c r="X370" s="723"/>
      <c r="Y370" s="723"/>
      <c r="Z370" s="723"/>
      <c r="AA370" s="726"/>
      <c r="AB370" s="726"/>
      <c r="AC370" s="170"/>
      <c r="AD370" s="586"/>
      <c r="AE370" s="586"/>
      <c r="AF370" s="170"/>
      <c r="AG370" s="170"/>
      <c r="AH370" s="170"/>
      <c r="AI370" s="170"/>
      <c r="AJ370" s="170"/>
      <c r="AK370" s="170"/>
      <c r="AL370" s="170"/>
      <c r="AM370" s="170"/>
      <c r="AN370" s="170"/>
      <c r="AO370" s="170"/>
      <c r="AP370" s="170"/>
      <c r="AQ370" s="170"/>
      <c r="AR370" s="170"/>
      <c r="AS370" s="170"/>
      <c r="AT370" s="170"/>
      <c r="AU370" s="170"/>
      <c r="AV370" s="170"/>
      <c r="AW370" s="170"/>
      <c r="AX370" s="170"/>
    </row>
    <row r="371" spans="1:50" ht="15" x14ac:dyDescent="0.25">
      <c r="A371" s="170"/>
      <c r="B371" s="719"/>
      <c r="C371" s="170"/>
      <c r="D371" s="170"/>
      <c r="E371" s="170"/>
      <c r="F371" s="170"/>
      <c r="G371" s="721"/>
      <c r="H371" s="170"/>
      <c r="I371" s="170"/>
      <c r="J371" s="170"/>
      <c r="K371" s="170"/>
      <c r="L371" s="170"/>
      <c r="M371" s="730"/>
      <c r="N371" s="730"/>
      <c r="O371" s="730"/>
      <c r="P371" s="731"/>
      <c r="Q371" s="731"/>
      <c r="R371" s="730"/>
      <c r="S371" s="730"/>
      <c r="T371" s="723"/>
      <c r="U371" s="724"/>
      <c r="V371" s="725"/>
      <c r="W371" s="725"/>
      <c r="X371" s="723"/>
      <c r="Y371" s="723"/>
      <c r="Z371" s="723"/>
      <c r="AA371" s="726"/>
      <c r="AB371" s="726"/>
      <c r="AC371" s="170"/>
      <c r="AD371" s="586"/>
      <c r="AE371" s="586"/>
      <c r="AF371" s="170"/>
      <c r="AG371" s="170"/>
      <c r="AH371" s="170"/>
      <c r="AI371" s="170"/>
      <c r="AJ371" s="170"/>
      <c r="AK371" s="170"/>
      <c r="AL371" s="170"/>
      <c r="AM371" s="170"/>
      <c r="AN371" s="170"/>
      <c r="AO371" s="170"/>
      <c r="AP371" s="170"/>
      <c r="AQ371" s="170"/>
      <c r="AR371" s="170"/>
      <c r="AS371" s="170"/>
      <c r="AT371" s="170"/>
      <c r="AU371" s="170"/>
      <c r="AV371" s="170"/>
      <c r="AW371" s="170"/>
      <c r="AX371" s="170"/>
    </row>
    <row r="372" spans="1:50" ht="15" x14ac:dyDescent="0.25">
      <c r="A372" s="170"/>
      <c r="B372" s="719"/>
      <c r="C372" s="170"/>
      <c r="D372" s="170"/>
      <c r="E372" s="170"/>
      <c r="F372" s="170"/>
      <c r="G372" s="721"/>
      <c r="H372" s="170"/>
      <c r="I372" s="170"/>
      <c r="J372" s="170"/>
      <c r="K372" s="170"/>
      <c r="L372" s="170"/>
      <c r="M372" s="730"/>
      <c r="N372" s="730"/>
      <c r="O372" s="730"/>
      <c r="P372" s="731"/>
      <c r="Q372" s="731"/>
      <c r="R372" s="730"/>
      <c r="S372" s="730"/>
      <c r="T372" s="723"/>
      <c r="U372" s="724"/>
      <c r="V372" s="725"/>
      <c r="W372" s="725"/>
      <c r="X372" s="723"/>
      <c r="Y372" s="723"/>
      <c r="Z372" s="723"/>
      <c r="AA372" s="726"/>
      <c r="AB372" s="726"/>
      <c r="AC372" s="170"/>
      <c r="AD372" s="586"/>
      <c r="AE372" s="586"/>
      <c r="AF372" s="170"/>
      <c r="AG372" s="170"/>
      <c r="AH372" s="170"/>
      <c r="AI372" s="170"/>
      <c r="AJ372" s="170"/>
      <c r="AK372" s="170"/>
      <c r="AL372" s="170"/>
      <c r="AM372" s="170"/>
      <c r="AN372" s="170"/>
      <c r="AO372" s="170"/>
      <c r="AP372" s="170"/>
      <c r="AQ372" s="170"/>
      <c r="AR372" s="170"/>
      <c r="AS372" s="170"/>
      <c r="AT372" s="170"/>
      <c r="AU372" s="170"/>
      <c r="AV372" s="170"/>
      <c r="AW372" s="170"/>
      <c r="AX372" s="170"/>
    </row>
    <row r="373" spans="1:50" ht="15" x14ac:dyDescent="0.25">
      <c r="A373" s="170"/>
      <c r="B373" s="719"/>
      <c r="C373" s="170"/>
      <c r="D373" s="170"/>
      <c r="E373" s="170"/>
      <c r="F373" s="170"/>
      <c r="G373" s="721"/>
      <c r="H373" s="170"/>
      <c r="I373" s="170"/>
      <c r="J373" s="170"/>
      <c r="K373" s="170"/>
      <c r="L373" s="170"/>
      <c r="M373" s="730"/>
      <c r="N373" s="730"/>
      <c r="O373" s="730"/>
      <c r="P373" s="731"/>
      <c r="Q373" s="731"/>
      <c r="R373" s="730"/>
      <c r="S373" s="730"/>
      <c r="T373" s="723"/>
      <c r="U373" s="724"/>
      <c r="V373" s="725"/>
      <c r="W373" s="725"/>
      <c r="X373" s="723"/>
      <c r="Y373" s="723"/>
      <c r="Z373" s="723"/>
      <c r="AA373" s="726"/>
      <c r="AB373" s="726"/>
      <c r="AC373" s="170"/>
      <c r="AD373" s="586"/>
      <c r="AE373" s="586"/>
      <c r="AF373" s="170"/>
      <c r="AG373" s="170"/>
      <c r="AH373" s="170"/>
      <c r="AI373" s="170"/>
      <c r="AJ373" s="170"/>
      <c r="AK373" s="170"/>
      <c r="AL373" s="170"/>
      <c r="AM373" s="170"/>
      <c r="AN373" s="170"/>
      <c r="AO373" s="170"/>
      <c r="AP373" s="170"/>
      <c r="AQ373" s="170"/>
      <c r="AR373" s="170"/>
      <c r="AS373" s="170"/>
      <c r="AT373" s="170"/>
      <c r="AU373" s="170"/>
      <c r="AV373" s="170"/>
      <c r="AW373" s="170"/>
      <c r="AX373" s="170"/>
    </row>
    <row r="374" spans="1:50" ht="15" x14ac:dyDescent="0.25">
      <c r="A374" s="170"/>
      <c r="B374" s="719"/>
      <c r="C374" s="170"/>
      <c r="D374" s="170"/>
      <c r="E374" s="170"/>
      <c r="F374" s="170"/>
      <c r="G374" s="721"/>
      <c r="H374" s="170"/>
      <c r="I374" s="170"/>
      <c r="J374" s="170"/>
      <c r="K374" s="170"/>
      <c r="L374" s="170"/>
      <c r="M374" s="730"/>
      <c r="N374" s="730"/>
      <c r="O374" s="730"/>
      <c r="P374" s="731"/>
      <c r="Q374" s="731"/>
      <c r="R374" s="730"/>
      <c r="S374" s="730"/>
      <c r="T374" s="723"/>
      <c r="U374" s="724"/>
      <c r="V374" s="725"/>
      <c r="W374" s="725"/>
      <c r="X374" s="723"/>
      <c r="Y374" s="723"/>
      <c r="Z374" s="723"/>
      <c r="AA374" s="726"/>
      <c r="AB374" s="726"/>
      <c r="AC374" s="170"/>
      <c r="AD374" s="586"/>
      <c r="AE374" s="586"/>
      <c r="AF374" s="170"/>
      <c r="AG374" s="170"/>
      <c r="AH374" s="170"/>
      <c r="AI374" s="170"/>
      <c r="AJ374" s="170"/>
      <c r="AK374" s="170"/>
      <c r="AL374" s="170"/>
      <c r="AM374" s="170"/>
      <c r="AN374" s="170"/>
      <c r="AO374" s="170"/>
      <c r="AP374" s="170"/>
      <c r="AQ374" s="170"/>
      <c r="AR374" s="170"/>
      <c r="AS374" s="170"/>
      <c r="AT374" s="170"/>
      <c r="AU374" s="170"/>
      <c r="AV374" s="170"/>
      <c r="AW374" s="170"/>
      <c r="AX374" s="170"/>
    </row>
    <row r="375" spans="1:50" ht="15" x14ac:dyDescent="0.25">
      <c r="A375" s="170"/>
      <c r="B375" s="719"/>
      <c r="C375" s="170"/>
      <c r="D375" s="170"/>
      <c r="E375" s="170"/>
      <c r="F375" s="170"/>
      <c r="G375" s="721"/>
      <c r="H375" s="170"/>
      <c r="I375" s="170"/>
      <c r="J375" s="170"/>
      <c r="K375" s="170"/>
      <c r="L375" s="170"/>
      <c r="M375" s="730"/>
      <c r="N375" s="730"/>
      <c r="O375" s="730"/>
      <c r="P375" s="731"/>
      <c r="Q375" s="731"/>
      <c r="R375" s="730"/>
      <c r="S375" s="730"/>
      <c r="T375" s="723"/>
      <c r="U375" s="724"/>
      <c r="V375" s="725"/>
      <c r="W375" s="725"/>
      <c r="X375" s="723"/>
      <c r="Y375" s="723"/>
      <c r="Z375" s="723"/>
      <c r="AA375" s="726"/>
      <c r="AB375" s="726"/>
      <c r="AC375" s="170"/>
      <c r="AD375" s="586"/>
      <c r="AE375" s="586"/>
      <c r="AF375" s="170"/>
      <c r="AG375" s="170"/>
      <c r="AH375" s="170"/>
      <c r="AI375" s="170"/>
      <c r="AJ375" s="170"/>
      <c r="AK375" s="170"/>
      <c r="AL375" s="170"/>
      <c r="AM375" s="170"/>
      <c r="AN375" s="170"/>
      <c r="AO375" s="170"/>
      <c r="AP375" s="170"/>
      <c r="AQ375" s="170"/>
      <c r="AR375" s="170"/>
      <c r="AS375" s="170"/>
      <c r="AT375" s="170"/>
      <c r="AU375" s="170"/>
      <c r="AV375" s="170"/>
      <c r="AW375" s="170"/>
      <c r="AX375" s="170"/>
    </row>
    <row r="376" spans="1:50" ht="15" x14ac:dyDescent="0.25">
      <c r="A376" s="170"/>
      <c r="B376" s="719"/>
      <c r="C376" s="170"/>
      <c r="D376" s="170"/>
      <c r="E376" s="170"/>
      <c r="F376" s="170"/>
      <c r="G376" s="721"/>
      <c r="H376" s="170"/>
      <c r="I376" s="170"/>
      <c r="J376" s="170"/>
      <c r="K376" s="170"/>
      <c r="L376" s="170"/>
      <c r="M376" s="730"/>
      <c r="N376" s="730"/>
      <c r="O376" s="730"/>
      <c r="P376" s="731"/>
      <c r="Q376" s="731"/>
      <c r="R376" s="730"/>
      <c r="S376" s="730"/>
      <c r="T376" s="723"/>
      <c r="U376" s="724"/>
      <c r="V376" s="725"/>
      <c r="W376" s="725"/>
      <c r="X376" s="723"/>
      <c r="Y376" s="723"/>
      <c r="Z376" s="723"/>
      <c r="AA376" s="726"/>
      <c r="AB376" s="726"/>
      <c r="AC376" s="170"/>
      <c r="AD376" s="586"/>
      <c r="AE376" s="586"/>
      <c r="AF376" s="170"/>
      <c r="AG376" s="170"/>
      <c r="AH376" s="170"/>
      <c r="AI376" s="170"/>
      <c r="AJ376" s="170"/>
      <c r="AK376" s="170"/>
      <c r="AL376" s="170"/>
      <c r="AM376" s="170"/>
      <c r="AN376" s="170"/>
      <c r="AO376" s="170"/>
      <c r="AP376" s="170"/>
      <c r="AQ376" s="170"/>
      <c r="AR376" s="170"/>
      <c r="AS376" s="170"/>
      <c r="AT376" s="170"/>
      <c r="AU376" s="170"/>
      <c r="AV376" s="170"/>
      <c r="AW376" s="170"/>
      <c r="AX376" s="170"/>
    </row>
    <row r="377" spans="1:50" ht="15" x14ac:dyDescent="0.25">
      <c r="A377" s="170"/>
      <c r="B377" s="719"/>
      <c r="C377" s="170"/>
      <c r="D377" s="170"/>
      <c r="E377" s="170"/>
      <c r="F377" s="170"/>
      <c r="G377" s="721"/>
      <c r="H377" s="170"/>
      <c r="I377" s="170"/>
      <c r="J377" s="170"/>
      <c r="K377" s="170"/>
      <c r="L377" s="170"/>
      <c r="M377" s="730"/>
      <c r="N377" s="730"/>
      <c r="O377" s="730"/>
      <c r="P377" s="731"/>
      <c r="Q377" s="731"/>
      <c r="R377" s="730"/>
      <c r="S377" s="730"/>
      <c r="T377" s="723"/>
      <c r="U377" s="724"/>
      <c r="V377" s="725"/>
      <c r="W377" s="725"/>
      <c r="X377" s="723"/>
      <c r="Y377" s="723"/>
      <c r="Z377" s="723"/>
      <c r="AA377" s="726"/>
      <c r="AB377" s="726"/>
      <c r="AC377" s="170"/>
      <c r="AD377" s="586"/>
      <c r="AE377" s="586"/>
      <c r="AF377" s="170"/>
      <c r="AG377" s="170"/>
      <c r="AH377" s="170"/>
      <c r="AI377" s="170"/>
      <c r="AJ377" s="170"/>
      <c r="AK377" s="170"/>
      <c r="AL377" s="170"/>
      <c r="AM377" s="170"/>
      <c r="AN377" s="170"/>
      <c r="AO377" s="170"/>
      <c r="AP377" s="170"/>
      <c r="AQ377" s="170"/>
      <c r="AR377" s="170"/>
      <c r="AS377" s="170"/>
      <c r="AT377" s="170"/>
      <c r="AU377" s="170"/>
      <c r="AV377" s="170"/>
      <c r="AW377" s="170"/>
      <c r="AX377" s="170"/>
    </row>
    <row r="378" spans="1:50" ht="15" x14ac:dyDescent="0.25">
      <c r="A378" s="170"/>
      <c r="B378" s="719"/>
      <c r="C378" s="170"/>
      <c r="D378" s="170"/>
      <c r="E378" s="170"/>
      <c r="F378" s="170"/>
      <c r="G378" s="721"/>
      <c r="H378" s="170"/>
      <c r="I378" s="170"/>
      <c r="J378" s="170"/>
      <c r="K378" s="170"/>
      <c r="L378" s="170"/>
      <c r="M378" s="730"/>
      <c r="N378" s="730"/>
      <c r="O378" s="730"/>
      <c r="P378" s="731"/>
      <c r="Q378" s="731"/>
      <c r="R378" s="730"/>
      <c r="S378" s="730"/>
      <c r="T378" s="723"/>
      <c r="U378" s="724"/>
      <c r="V378" s="725"/>
      <c r="W378" s="725"/>
      <c r="X378" s="723"/>
      <c r="Y378" s="723"/>
      <c r="Z378" s="723"/>
      <c r="AA378" s="726"/>
      <c r="AB378" s="726"/>
      <c r="AC378" s="170"/>
      <c r="AD378" s="586"/>
      <c r="AE378" s="586"/>
      <c r="AF378" s="170"/>
      <c r="AG378" s="170"/>
      <c r="AH378" s="170"/>
      <c r="AI378" s="170"/>
      <c r="AJ378" s="170"/>
      <c r="AK378" s="170"/>
      <c r="AL378" s="170"/>
      <c r="AM378" s="170"/>
      <c r="AN378" s="170"/>
      <c r="AO378" s="170"/>
      <c r="AP378" s="170"/>
      <c r="AQ378" s="170"/>
      <c r="AR378" s="170"/>
      <c r="AS378" s="170"/>
      <c r="AT378" s="170"/>
      <c r="AU378" s="170"/>
      <c r="AV378" s="170"/>
      <c r="AW378" s="170"/>
      <c r="AX378" s="170"/>
    </row>
    <row r="379" spans="1:50" ht="15" x14ac:dyDescent="0.25">
      <c r="A379" s="170"/>
      <c r="B379" s="719"/>
      <c r="C379" s="170"/>
      <c r="D379" s="170"/>
      <c r="E379" s="170"/>
      <c r="F379" s="170"/>
      <c r="G379" s="721"/>
      <c r="H379" s="170"/>
      <c r="I379" s="170"/>
      <c r="J379" s="170"/>
      <c r="K379" s="170"/>
      <c r="L379" s="170"/>
      <c r="M379" s="730"/>
      <c r="N379" s="730"/>
      <c r="O379" s="730"/>
      <c r="P379" s="731"/>
      <c r="Q379" s="731"/>
      <c r="R379" s="730"/>
      <c r="S379" s="730"/>
      <c r="T379" s="723"/>
      <c r="U379" s="724"/>
      <c r="V379" s="725"/>
      <c r="W379" s="725"/>
      <c r="X379" s="723"/>
      <c r="Y379" s="723"/>
      <c r="Z379" s="723"/>
      <c r="AA379" s="726"/>
      <c r="AB379" s="726"/>
      <c r="AC379" s="170"/>
      <c r="AD379" s="586"/>
      <c r="AE379" s="586"/>
      <c r="AF379" s="170"/>
      <c r="AG379" s="170"/>
      <c r="AH379" s="170"/>
      <c r="AI379" s="170"/>
      <c r="AJ379" s="170"/>
      <c r="AK379" s="170"/>
      <c r="AL379" s="170"/>
      <c r="AM379" s="170"/>
      <c r="AN379" s="170"/>
      <c r="AO379" s="170"/>
      <c r="AP379" s="170"/>
      <c r="AQ379" s="170"/>
      <c r="AR379" s="170"/>
      <c r="AS379" s="170"/>
      <c r="AT379" s="170"/>
      <c r="AU379" s="170"/>
      <c r="AV379" s="170"/>
      <c r="AW379" s="170"/>
      <c r="AX379" s="170"/>
    </row>
    <row r="380" spans="1:50" ht="15" x14ac:dyDescent="0.25">
      <c r="A380" s="170"/>
      <c r="B380" s="719"/>
      <c r="C380" s="170"/>
      <c r="D380" s="170"/>
      <c r="E380" s="170"/>
      <c r="F380" s="170"/>
      <c r="G380" s="721"/>
      <c r="H380" s="170"/>
      <c r="I380" s="170"/>
      <c r="J380" s="170"/>
      <c r="K380" s="170"/>
      <c r="L380" s="170"/>
      <c r="M380" s="730"/>
      <c r="N380" s="730"/>
      <c r="O380" s="730"/>
      <c r="P380" s="731"/>
      <c r="Q380" s="731"/>
      <c r="R380" s="730"/>
      <c r="S380" s="730"/>
      <c r="T380" s="723"/>
      <c r="U380" s="724"/>
      <c r="V380" s="725"/>
      <c r="W380" s="725"/>
      <c r="X380" s="723"/>
      <c r="Y380" s="723"/>
      <c r="Z380" s="723"/>
      <c r="AA380" s="726"/>
      <c r="AB380" s="726"/>
      <c r="AC380" s="170"/>
      <c r="AD380" s="586"/>
      <c r="AE380" s="586"/>
      <c r="AF380" s="170"/>
      <c r="AG380" s="170"/>
      <c r="AH380" s="170"/>
      <c r="AI380" s="170"/>
      <c r="AJ380" s="170"/>
      <c r="AK380" s="170"/>
      <c r="AL380" s="170"/>
      <c r="AM380" s="170"/>
      <c r="AN380" s="170"/>
      <c r="AO380" s="170"/>
      <c r="AP380" s="170"/>
      <c r="AQ380" s="170"/>
      <c r="AR380" s="170"/>
      <c r="AS380" s="170"/>
      <c r="AT380" s="170"/>
      <c r="AU380" s="170"/>
      <c r="AV380" s="170"/>
      <c r="AW380" s="170"/>
      <c r="AX380" s="170"/>
    </row>
    <row r="381" spans="1:50" ht="15" x14ac:dyDescent="0.25">
      <c r="A381" s="170"/>
      <c r="B381" s="719"/>
      <c r="C381" s="170"/>
      <c r="D381" s="170"/>
      <c r="E381" s="170"/>
      <c r="F381" s="170"/>
      <c r="G381" s="721"/>
      <c r="H381" s="170"/>
      <c r="I381" s="170"/>
      <c r="J381" s="170"/>
      <c r="K381" s="170"/>
      <c r="L381" s="170"/>
      <c r="M381" s="730"/>
      <c r="N381" s="730"/>
      <c r="O381" s="730"/>
      <c r="P381" s="731"/>
      <c r="Q381" s="731"/>
      <c r="R381" s="730"/>
      <c r="S381" s="730"/>
      <c r="T381" s="723"/>
      <c r="U381" s="724"/>
      <c r="V381" s="725"/>
      <c r="W381" s="725"/>
      <c r="X381" s="723"/>
      <c r="Y381" s="723"/>
      <c r="Z381" s="723"/>
      <c r="AA381" s="726"/>
      <c r="AB381" s="726"/>
      <c r="AC381" s="170"/>
      <c r="AD381" s="586"/>
      <c r="AE381" s="586"/>
      <c r="AF381" s="170"/>
      <c r="AG381" s="170"/>
      <c r="AH381" s="170"/>
      <c r="AI381" s="170"/>
      <c r="AJ381" s="170"/>
      <c r="AK381" s="170"/>
      <c r="AL381" s="170"/>
      <c r="AM381" s="170"/>
      <c r="AN381" s="170"/>
      <c r="AO381" s="170"/>
      <c r="AP381" s="170"/>
      <c r="AQ381" s="170"/>
      <c r="AR381" s="170"/>
      <c r="AS381" s="170"/>
      <c r="AT381" s="170"/>
      <c r="AU381" s="170"/>
      <c r="AV381" s="170"/>
      <c r="AW381" s="170"/>
      <c r="AX381" s="170"/>
    </row>
    <row r="382" spans="1:50" ht="15" x14ac:dyDescent="0.25">
      <c r="A382" s="170"/>
      <c r="B382" s="719"/>
      <c r="C382" s="170"/>
      <c r="D382" s="170"/>
      <c r="E382" s="170"/>
      <c r="F382" s="170"/>
      <c r="G382" s="721"/>
      <c r="H382" s="170"/>
      <c r="I382" s="170"/>
      <c r="J382" s="170"/>
      <c r="K382" s="170"/>
      <c r="L382" s="170"/>
      <c r="M382" s="730"/>
      <c r="N382" s="730"/>
      <c r="O382" s="730"/>
      <c r="P382" s="731"/>
      <c r="Q382" s="731"/>
      <c r="R382" s="730"/>
      <c r="S382" s="730"/>
      <c r="T382" s="723"/>
      <c r="U382" s="724"/>
      <c r="V382" s="725"/>
      <c r="W382" s="725"/>
      <c r="X382" s="723"/>
      <c r="Y382" s="723"/>
      <c r="Z382" s="723"/>
      <c r="AA382" s="726"/>
      <c r="AB382" s="726"/>
      <c r="AC382" s="170"/>
      <c r="AD382" s="586"/>
      <c r="AE382" s="586"/>
      <c r="AF382" s="170"/>
      <c r="AG382" s="170"/>
      <c r="AH382" s="170"/>
      <c r="AI382" s="170"/>
      <c r="AJ382" s="170"/>
      <c r="AK382" s="170"/>
      <c r="AL382" s="170"/>
      <c r="AM382" s="170"/>
      <c r="AN382" s="170"/>
      <c r="AO382" s="170"/>
      <c r="AP382" s="170"/>
      <c r="AQ382" s="170"/>
      <c r="AR382" s="170"/>
      <c r="AS382" s="170"/>
      <c r="AT382" s="170"/>
      <c r="AU382" s="170"/>
      <c r="AV382" s="170"/>
      <c r="AW382" s="170"/>
      <c r="AX382" s="170"/>
    </row>
    <row r="383" spans="1:50" ht="15" x14ac:dyDescent="0.25">
      <c r="A383" s="170"/>
      <c r="B383" s="719"/>
      <c r="C383" s="170"/>
      <c r="D383" s="170"/>
      <c r="E383" s="170"/>
      <c r="F383" s="170"/>
      <c r="G383" s="721"/>
      <c r="H383" s="170"/>
      <c r="I383" s="170"/>
      <c r="J383" s="170"/>
      <c r="K383" s="170"/>
      <c r="L383" s="170"/>
      <c r="M383" s="730"/>
      <c r="N383" s="730"/>
      <c r="O383" s="730"/>
      <c r="P383" s="731"/>
      <c r="Q383" s="731"/>
      <c r="R383" s="730"/>
      <c r="S383" s="730"/>
      <c r="T383" s="723"/>
      <c r="U383" s="724"/>
      <c r="V383" s="725"/>
      <c r="W383" s="725"/>
      <c r="X383" s="723"/>
      <c r="Y383" s="723"/>
      <c r="Z383" s="723"/>
      <c r="AA383" s="726"/>
      <c r="AB383" s="726"/>
      <c r="AC383" s="170"/>
      <c r="AD383" s="586"/>
      <c r="AE383" s="586"/>
      <c r="AF383" s="170"/>
      <c r="AG383" s="170"/>
      <c r="AH383" s="170"/>
      <c r="AI383" s="170"/>
      <c r="AJ383" s="170"/>
      <c r="AK383" s="170"/>
      <c r="AL383" s="170"/>
      <c r="AM383" s="170"/>
      <c r="AN383" s="170"/>
      <c r="AO383" s="170"/>
      <c r="AP383" s="170"/>
      <c r="AQ383" s="170"/>
      <c r="AR383" s="170"/>
      <c r="AS383" s="170"/>
      <c r="AT383" s="170"/>
      <c r="AU383" s="170"/>
      <c r="AV383" s="170"/>
      <c r="AW383" s="170"/>
      <c r="AX383" s="170"/>
    </row>
    <row r="384" spans="1:50" ht="15" x14ac:dyDescent="0.25">
      <c r="A384" s="170"/>
      <c r="B384" s="719"/>
      <c r="C384" s="170"/>
      <c r="D384" s="170"/>
      <c r="E384" s="170"/>
      <c r="F384" s="170"/>
      <c r="G384" s="721"/>
      <c r="H384" s="170"/>
      <c r="I384" s="170"/>
      <c r="J384" s="170"/>
      <c r="K384" s="170"/>
      <c r="L384" s="170"/>
      <c r="M384" s="730"/>
      <c r="N384" s="730"/>
      <c r="O384" s="730"/>
      <c r="P384" s="731"/>
      <c r="Q384" s="731"/>
      <c r="R384" s="730"/>
      <c r="S384" s="730"/>
      <c r="T384" s="723"/>
      <c r="U384" s="724"/>
      <c r="V384" s="725"/>
      <c r="W384" s="725"/>
      <c r="X384" s="723"/>
      <c r="Y384" s="723"/>
      <c r="Z384" s="723"/>
      <c r="AA384" s="726"/>
      <c r="AB384" s="726"/>
      <c r="AC384" s="170"/>
      <c r="AD384" s="586"/>
      <c r="AE384" s="586"/>
      <c r="AF384" s="170"/>
      <c r="AG384" s="170"/>
      <c r="AH384" s="170"/>
      <c r="AI384" s="170"/>
      <c r="AJ384" s="170"/>
      <c r="AK384" s="170"/>
      <c r="AL384" s="170"/>
      <c r="AM384" s="170"/>
      <c r="AN384" s="170"/>
      <c r="AO384" s="170"/>
      <c r="AP384" s="170"/>
      <c r="AQ384" s="170"/>
      <c r="AR384" s="170"/>
      <c r="AS384" s="170"/>
      <c r="AT384" s="170"/>
      <c r="AU384" s="170"/>
      <c r="AV384" s="170"/>
      <c r="AW384" s="170"/>
      <c r="AX384" s="170"/>
    </row>
    <row r="385" spans="1:50" ht="15" x14ac:dyDescent="0.25">
      <c r="A385" s="170"/>
      <c r="B385" s="719"/>
      <c r="C385" s="170"/>
      <c r="D385" s="170"/>
      <c r="E385" s="170"/>
      <c r="F385" s="170"/>
      <c r="G385" s="721"/>
      <c r="H385" s="170"/>
      <c r="I385" s="170"/>
      <c r="J385" s="170"/>
      <c r="K385" s="170"/>
      <c r="L385" s="170"/>
      <c r="M385" s="730"/>
      <c r="N385" s="730"/>
      <c r="O385" s="730"/>
      <c r="P385" s="731"/>
      <c r="Q385" s="731"/>
      <c r="R385" s="730"/>
      <c r="S385" s="730"/>
      <c r="T385" s="723"/>
      <c r="U385" s="724"/>
      <c r="V385" s="725"/>
      <c r="W385" s="725"/>
      <c r="X385" s="723"/>
      <c r="Y385" s="723"/>
      <c r="Z385" s="723"/>
      <c r="AA385" s="726"/>
      <c r="AB385" s="726"/>
      <c r="AC385" s="170"/>
      <c r="AD385" s="586"/>
      <c r="AE385" s="586"/>
      <c r="AF385" s="170"/>
      <c r="AG385" s="170"/>
      <c r="AH385" s="170"/>
      <c r="AI385" s="170"/>
      <c r="AJ385" s="170"/>
      <c r="AK385" s="170"/>
      <c r="AL385" s="170"/>
      <c r="AM385" s="170"/>
      <c r="AN385" s="170"/>
      <c r="AO385" s="170"/>
      <c r="AP385" s="170"/>
      <c r="AQ385" s="170"/>
      <c r="AR385" s="170"/>
      <c r="AS385" s="170"/>
      <c r="AT385" s="170"/>
      <c r="AU385" s="170"/>
      <c r="AV385" s="170"/>
      <c r="AW385" s="170"/>
      <c r="AX385" s="170"/>
    </row>
    <row r="386" spans="1:50" ht="15" x14ac:dyDescent="0.25">
      <c r="A386" s="170"/>
      <c r="B386" s="719"/>
      <c r="C386" s="170"/>
      <c r="D386" s="170"/>
      <c r="E386" s="170"/>
      <c r="F386" s="170"/>
      <c r="G386" s="721"/>
      <c r="H386" s="170"/>
      <c r="I386" s="170"/>
      <c r="J386" s="170"/>
      <c r="K386" s="170"/>
      <c r="L386" s="170"/>
      <c r="M386" s="730"/>
      <c r="N386" s="730"/>
      <c r="O386" s="730"/>
      <c r="P386" s="731"/>
      <c r="Q386" s="731"/>
      <c r="R386" s="730"/>
      <c r="S386" s="730"/>
      <c r="T386" s="723"/>
      <c r="U386" s="724"/>
      <c r="V386" s="725"/>
      <c r="W386" s="725"/>
      <c r="X386" s="723"/>
      <c r="Y386" s="723"/>
      <c r="Z386" s="723"/>
      <c r="AA386" s="726"/>
      <c r="AB386" s="726"/>
      <c r="AC386" s="170"/>
      <c r="AD386" s="586"/>
      <c r="AE386" s="586"/>
      <c r="AF386" s="170"/>
      <c r="AG386" s="170"/>
      <c r="AH386" s="170"/>
      <c r="AI386" s="170"/>
      <c r="AJ386" s="170"/>
      <c r="AK386" s="170"/>
      <c r="AL386" s="170"/>
      <c r="AM386" s="170"/>
      <c r="AN386" s="170"/>
      <c r="AO386" s="170"/>
      <c r="AP386" s="170"/>
      <c r="AQ386" s="170"/>
      <c r="AR386" s="170"/>
      <c r="AS386" s="170"/>
      <c r="AT386" s="170"/>
      <c r="AU386" s="170"/>
      <c r="AV386" s="170"/>
      <c r="AW386" s="170"/>
      <c r="AX386" s="170"/>
    </row>
    <row r="387" spans="1:50" ht="15" x14ac:dyDescent="0.25">
      <c r="A387" s="170"/>
      <c r="B387" s="719"/>
      <c r="C387" s="170"/>
      <c r="D387" s="170"/>
      <c r="E387" s="170"/>
      <c r="F387" s="170"/>
      <c r="G387" s="721"/>
      <c r="H387" s="170"/>
      <c r="I387" s="170"/>
      <c r="J387" s="170"/>
      <c r="K387" s="170"/>
      <c r="L387" s="170"/>
      <c r="M387" s="730"/>
      <c r="N387" s="730"/>
      <c r="O387" s="730"/>
      <c r="P387" s="731"/>
      <c r="Q387" s="731"/>
      <c r="R387" s="730"/>
      <c r="S387" s="730"/>
      <c r="T387" s="723"/>
      <c r="U387" s="724"/>
      <c r="V387" s="725"/>
      <c r="W387" s="725"/>
      <c r="X387" s="723"/>
      <c r="Y387" s="723"/>
      <c r="Z387" s="723"/>
      <c r="AA387" s="726"/>
      <c r="AB387" s="726"/>
      <c r="AC387" s="170"/>
      <c r="AD387" s="586"/>
      <c r="AE387" s="586"/>
      <c r="AF387" s="170"/>
      <c r="AG387" s="170"/>
      <c r="AH387" s="170"/>
      <c r="AI387" s="170"/>
      <c r="AJ387" s="170"/>
      <c r="AK387" s="170"/>
      <c r="AL387" s="170"/>
      <c r="AM387" s="170"/>
      <c r="AN387" s="170"/>
      <c r="AO387" s="170"/>
      <c r="AP387" s="170"/>
      <c r="AQ387" s="170"/>
      <c r="AR387" s="170"/>
      <c r="AS387" s="170"/>
      <c r="AT387" s="170"/>
      <c r="AU387" s="170"/>
      <c r="AV387" s="170"/>
      <c r="AW387" s="170"/>
      <c r="AX387" s="170"/>
    </row>
    <row r="388" spans="1:50" ht="15" x14ac:dyDescent="0.25">
      <c r="A388" s="170"/>
      <c r="B388" s="719"/>
      <c r="C388" s="170"/>
      <c r="D388" s="170"/>
      <c r="E388" s="170"/>
      <c r="F388" s="170"/>
      <c r="G388" s="721"/>
      <c r="H388" s="170"/>
      <c r="I388" s="170"/>
      <c r="J388" s="170"/>
      <c r="K388" s="170"/>
      <c r="L388" s="170"/>
      <c r="M388" s="730"/>
      <c r="N388" s="730"/>
      <c r="O388" s="730"/>
      <c r="P388" s="731"/>
      <c r="Q388" s="731"/>
      <c r="R388" s="730"/>
      <c r="S388" s="730"/>
      <c r="T388" s="723"/>
      <c r="U388" s="724"/>
      <c r="V388" s="725"/>
      <c r="W388" s="725"/>
      <c r="X388" s="723"/>
      <c r="Y388" s="723"/>
      <c r="Z388" s="723"/>
      <c r="AA388" s="726"/>
      <c r="AB388" s="726"/>
      <c r="AC388" s="170"/>
      <c r="AD388" s="586"/>
      <c r="AE388" s="586"/>
      <c r="AF388" s="170"/>
      <c r="AG388" s="170"/>
      <c r="AH388" s="170"/>
      <c r="AI388" s="170"/>
      <c r="AJ388" s="170"/>
      <c r="AK388" s="170"/>
      <c r="AL388" s="170"/>
      <c r="AM388" s="170"/>
      <c r="AN388" s="170"/>
      <c r="AO388" s="170"/>
      <c r="AP388" s="170"/>
      <c r="AQ388" s="170"/>
      <c r="AR388" s="170"/>
      <c r="AS388" s="170"/>
      <c r="AT388" s="170"/>
      <c r="AU388" s="170"/>
      <c r="AV388" s="170"/>
      <c r="AW388" s="170"/>
      <c r="AX388" s="170"/>
    </row>
    <row r="389" spans="1:50" ht="15" x14ac:dyDescent="0.25">
      <c r="A389" s="170"/>
      <c r="B389" s="719"/>
      <c r="C389" s="170"/>
      <c r="D389" s="170"/>
      <c r="E389" s="170"/>
      <c r="F389" s="170"/>
      <c r="G389" s="721"/>
      <c r="H389" s="170"/>
      <c r="I389" s="170"/>
      <c r="J389" s="170"/>
      <c r="K389" s="170"/>
      <c r="L389" s="170"/>
      <c r="M389" s="730"/>
      <c r="N389" s="730"/>
      <c r="O389" s="730"/>
      <c r="P389" s="731"/>
      <c r="Q389" s="731"/>
      <c r="R389" s="730"/>
      <c r="S389" s="730"/>
      <c r="T389" s="723"/>
      <c r="U389" s="724"/>
      <c r="V389" s="725"/>
      <c r="W389" s="725"/>
      <c r="X389" s="723"/>
      <c r="Y389" s="723"/>
      <c r="Z389" s="723"/>
      <c r="AA389" s="726"/>
      <c r="AB389" s="726"/>
      <c r="AC389" s="170"/>
      <c r="AD389" s="586"/>
      <c r="AE389" s="586"/>
      <c r="AF389" s="170"/>
      <c r="AG389" s="170"/>
      <c r="AH389" s="170"/>
      <c r="AI389" s="170"/>
      <c r="AJ389" s="170"/>
      <c r="AK389" s="170"/>
      <c r="AL389" s="170"/>
      <c r="AM389" s="170"/>
      <c r="AN389" s="170"/>
      <c r="AO389" s="170"/>
      <c r="AP389" s="170"/>
      <c r="AQ389" s="170"/>
      <c r="AR389" s="170"/>
      <c r="AS389" s="170"/>
      <c r="AT389" s="170"/>
      <c r="AU389" s="170"/>
      <c r="AV389" s="170"/>
      <c r="AW389" s="170"/>
      <c r="AX389" s="170"/>
    </row>
    <row r="390" spans="1:50" ht="15" x14ac:dyDescent="0.25">
      <c r="A390" s="170"/>
      <c r="B390" s="719"/>
      <c r="C390" s="170"/>
      <c r="D390" s="170"/>
      <c r="E390" s="170"/>
      <c r="F390" s="170"/>
      <c r="G390" s="721"/>
      <c r="H390" s="170"/>
      <c r="I390" s="170"/>
      <c r="J390" s="170"/>
      <c r="K390" s="170"/>
      <c r="L390" s="170"/>
      <c r="M390" s="730"/>
      <c r="N390" s="730"/>
      <c r="O390" s="730"/>
      <c r="P390" s="731"/>
      <c r="Q390" s="731"/>
      <c r="R390" s="730"/>
      <c r="S390" s="730"/>
      <c r="T390" s="723"/>
      <c r="U390" s="724"/>
      <c r="V390" s="725"/>
      <c r="W390" s="725"/>
      <c r="X390" s="723"/>
      <c r="Y390" s="723"/>
      <c r="Z390" s="723"/>
      <c r="AA390" s="726"/>
      <c r="AB390" s="726"/>
      <c r="AC390" s="170"/>
      <c r="AD390" s="586"/>
      <c r="AE390" s="586"/>
      <c r="AF390" s="170"/>
      <c r="AG390" s="170"/>
      <c r="AH390" s="170"/>
      <c r="AI390" s="170"/>
      <c r="AJ390" s="170"/>
      <c r="AK390" s="170"/>
      <c r="AL390" s="170"/>
      <c r="AM390" s="170"/>
      <c r="AN390" s="170"/>
      <c r="AO390" s="170"/>
      <c r="AP390" s="170"/>
      <c r="AQ390" s="170"/>
      <c r="AR390" s="170"/>
      <c r="AS390" s="170"/>
      <c r="AT390" s="170"/>
      <c r="AU390" s="170"/>
      <c r="AV390" s="170"/>
      <c r="AW390" s="170"/>
      <c r="AX390" s="170"/>
    </row>
    <row r="391" spans="1:50" ht="15" x14ac:dyDescent="0.25">
      <c r="A391" s="170"/>
      <c r="B391" s="719"/>
      <c r="C391" s="170"/>
      <c r="D391" s="170"/>
      <c r="E391" s="170"/>
      <c r="F391" s="170"/>
      <c r="G391" s="721"/>
      <c r="H391" s="170"/>
      <c r="I391" s="170"/>
      <c r="J391" s="170"/>
      <c r="K391" s="170"/>
      <c r="L391" s="170"/>
      <c r="M391" s="730"/>
      <c r="N391" s="730"/>
      <c r="O391" s="730"/>
      <c r="P391" s="731"/>
      <c r="Q391" s="731"/>
      <c r="R391" s="730"/>
      <c r="S391" s="730"/>
      <c r="T391" s="723"/>
      <c r="U391" s="724"/>
      <c r="V391" s="725"/>
      <c r="W391" s="725"/>
      <c r="X391" s="723"/>
      <c r="Y391" s="723"/>
      <c r="Z391" s="723"/>
      <c r="AA391" s="726"/>
      <c r="AB391" s="726"/>
      <c r="AC391" s="170"/>
      <c r="AD391" s="586"/>
      <c r="AE391" s="586"/>
      <c r="AF391" s="170"/>
      <c r="AG391" s="170"/>
      <c r="AH391" s="170"/>
      <c r="AI391" s="170"/>
      <c r="AJ391" s="170"/>
      <c r="AK391" s="170"/>
      <c r="AL391" s="170"/>
      <c r="AM391" s="170"/>
      <c r="AN391" s="170"/>
      <c r="AO391" s="170"/>
      <c r="AP391" s="170"/>
      <c r="AQ391" s="170"/>
      <c r="AR391" s="170"/>
      <c r="AS391" s="170"/>
      <c r="AT391" s="170"/>
      <c r="AU391" s="170"/>
      <c r="AV391" s="170"/>
      <c r="AW391" s="170"/>
      <c r="AX391" s="170"/>
    </row>
    <row r="392" spans="1:50" ht="15" x14ac:dyDescent="0.25">
      <c r="A392" s="170"/>
      <c r="B392" s="719"/>
      <c r="C392" s="170"/>
      <c r="D392" s="170"/>
      <c r="E392" s="170"/>
      <c r="F392" s="170"/>
      <c r="G392" s="721"/>
      <c r="H392" s="170"/>
      <c r="I392" s="170"/>
      <c r="J392" s="170"/>
      <c r="K392" s="170"/>
      <c r="L392" s="170"/>
      <c r="M392" s="730"/>
      <c r="N392" s="730"/>
      <c r="O392" s="730"/>
      <c r="P392" s="731"/>
      <c r="Q392" s="731"/>
      <c r="R392" s="730"/>
      <c r="S392" s="730"/>
      <c r="T392" s="723"/>
      <c r="U392" s="724"/>
      <c r="V392" s="725"/>
      <c r="W392" s="725"/>
      <c r="X392" s="723"/>
      <c r="Y392" s="723"/>
      <c r="Z392" s="723"/>
      <c r="AA392" s="726"/>
      <c r="AB392" s="726"/>
      <c r="AC392" s="170"/>
      <c r="AD392" s="586"/>
      <c r="AE392" s="586"/>
      <c r="AF392" s="170"/>
      <c r="AG392" s="170"/>
      <c r="AH392" s="170"/>
      <c r="AI392" s="170"/>
      <c r="AJ392" s="170"/>
      <c r="AK392" s="170"/>
      <c r="AL392" s="170"/>
      <c r="AM392" s="170"/>
      <c r="AN392" s="170"/>
      <c r="AO392" s="170"/>
      <c r="AP392" s="170"/>
      <c r="AQ392" s="170"/>
      <c r="AR392" s="170"/>
      <c r="AS392" s="170"/>
      <c r="AT392" s="170"/>
      <c r="AU392" s="170"/>
      <c r="AV392" s="170"/>
      <c r="AW392" s="170"/>
      <c r="AX392" s="170"/>
    </row>
    <row r="393" spans="1:50" ht="15" x14ac:dyDescent="0.25">
      <c r="A393" s="170"/>
      <c r="B393" s="719"/>
      <c r="C393" s="170"/>
      <c r="D393" s="170"/>
      <c r="E393" s="170"/>
      <c r="F393" s="170"/>
      <c r="G393" s="721"/>
      <c r="H393" s="170"/>
      <c r="I393" s="170"/>
      <c r="J393" s="170"/>
      <c r="K393" s="170"/>
      <c r="L393" s="170"/>
      <c r="M393" s="730"/>
      <c r="N393" s="730"/>
      <c r="O393" s="730"/>
      <c r="P393" s="731"/>
      <c r="Q393" s="731"/>
      <c r="R393" s="730"/>
      <c r="S393" s="730"/>
      <c r="T393" s="723"/>
      <c r="U393" s="724"/>
      <c r="V393" s="725"/>
      <c r="W393" s="725"/>
      <c r="X393" s="723"/>
      <c r="Y393" s="723"/>
      <c r="Z393" s="723"/>
      <c r="AA393" s="726"/>
      <c r="AB393" s="726"/>
      <c r="AC393" s="170"/>
      <c r="AD393" s="586"/>
      <c r="AE393" s="586"/>
      <c r="AF393" s="170"/>
      <c r="AG393" s="170"/>
      <c r="AH393" s="170"/>
      <c r="AI393" s="170"/>
      <c r="AJ393" s="170"/>
      <c r="AK393" s="170"/>
      <c r="AL393" s="170"/>
      <c r="AM393" s="170"/>
      <c r="AN393" s="170"/>
      <c r="AO393" s="170"/>
      <c r="AP393" s="170"/>
      <c r="AQ393" s="170"/>
      <c r="AR393" s="170"/>
      <c r="AS393" s="170"/>
      <c r="AT393" s="170"/>
      <c r="AU393" s="170"/>
      <c r="AV393" s="170"/>
      <c r="AW393" s="170"/>
      <c r="AX393" s="170"/>
    </row>
    <row r="394" spans="1:50" ht="15" x14ac:dyDescent="0.25">
      <c r="A394" s="170"/>
      <c r="B394" s="719"/>
      <c r="C394" s="170"/>
      <c r="D394" s="170"/>
      <c r="E394" s="170"/>
      <c r="F394" s="170"/>
      <c r="G394" s="721"/>
      <c r="H394" s="170"/>
      <c r="I394" s="170"/>
      <c r="J394" s="170"/>
      <c r="K394" s="170"/>
      <c r="L394" s="170"/>
      <c r="M394" s="730"/>
      <c r="N394" s="730"/>
      <c r="O394" s="730"/>
      <c r="P394" s="731"/>
      <c r="Q394" s="731"/>
      <c r="R394" s="730"/>
      <c r="S394" s="730"/>
      <c r="T394" s="723"/>
      <c r="U394" s="724"/>
      <c r="V394" s="725"/>
      <c r="W394" s="725"/>
      <c r="X394" s="723"/>
      <c r="Y394" s="723"/>
      <c r="Z394" s="723"/>
      <c r="AA394" s="726"/>
      <c r="AB394" s="726"/>
      <c r="AC394" s="170"/>
      <c r="AD394" s="586"/>
      <c r="AE394" s="586"/>
      <c r="AF394" s="170"/>
      <c r="AG394" s="170"/>
      <c r="AH394" s="170"/>
      <c r="AI394" s="170"/>
      <c r="AJ394" s="170"/>
      <c r="AK394" s="170"/>
      <c r="AL394" s="170"/>
      <c r="AM394" s="170"/>
      <c r="AN394" s="170"/>
      <c r="AO394" s="170"/>
      <c r="AP394" s="170"/>
      <c r="AQ394" s="170"/>
      <c r="AR394" s="170"/>
      <c r="AS394" s="170"/>
      <c r="AT394" s="170"/>
      <c r="AU394" s="170"/>
      <c r="AV394" s="170"/>
      <c r="AW394" s="170"/>
      <c r="AX394" s="170"/>
    </row>
    <row r="395" spans="1:50" ht="15" x14ac:dyDescent="0.25">
      <c r="A395" s="170"/>
      <c r="B395" s="719"/>
      <c r="C395" s="170"/>
      <c r="D395" s="170"/>
      <c r="E395" s="170"/>
      <c r="F395" s="170"/>
      <c r="G395" s="721"/>
      <c r="H395" s="170"/>
      <c r="I395" s="170"/>
      <c r="J395" s="170"/>
      <c r="K395" s="170"/>
      <c r="L395" s="170"/>
      <c r="M395" s="730"/>
      <c r="N395" s="730"/>
      <c r="O395" s="730"/>
      <c r="P395" s="731"/>
      <c r="Q395" s="731"/>
      <c r="R395" s="730"/>
      <c r="S395" s="730"/>
      <c r="T395" s="723"/>
      <c r="U395" s="724"/>
      <c r="V395" s="725"/>
      <c r="W395" s="725"/>
      <c r="X395" s="723"/>
      <c r="Y395" s="723"/>
      <c r="Z395" s="723"/>
      <c r="AA395" s="726"/>
      <c r="AB395" s="726"/>
      <c r="AC395" s="170"/>
      <c r="AD395" s="586"/>
      <c r="AE395" s="586"/>
      <c r="AF395" s="170"/>
      <c r="AG395" s="170"/>
      <c r="AH395" s="170"/>
      <c r="AI395" s="170"/>
      <c r="AJ395" s="170"/>
      <c r="AK395" s="170"/>
      <c r="AL395" s="170"/>
      <c r="AM395" s="170"/>
      <c r="AN395" s="170"/>
      <c r="AO395" s="170"/>
      <c r="AP395" s="170"/>
      <c r="AQ395" s="170"/>
      <c r="AR395" s="170"/>
      <c r="AS395" s="170"/>
      <c r="AT395" s="170"/>
      <c r="AU395" s="170"/>
      <c r="AV395" s="170"/>
      <c r="AW395" s="170"/>
      <c r="AX395" s="170"/>
    </row>
    <row r="396" spans="1:50" ht="15" x14ac:dyDescent="0.25">
      <c r="A396" s="170"/>
      <c r="B396" s="719"/>
      <c r="C396" s="170"/>
      <c r="D396" s="170"/>
      <c r="E396" s="170"/>
      <c r="F396" s="170"/>
      <c r="G396" s="721"/>
      <c r="H396" s="170"/>
      <c r="I396" s="170"/>
      <c r="J396" s="170"/>
      <c r="K396" s="170"/>
      <c r="L396" s="170"/>
      <c r="M396" s="730"/>
      <c r="N396" s="730"/>
      <c r="O396" s="730"/>
      <c r="P396" s="731"/>
      <c r="Q396" s="731"/>
      <c r="R396" s="730"/>
      <c r="S396" s="730"/>
      <c r="T396" s="723"/>
      <c r="U396" s="724"/>
      <c r="V396" s="725"/>
      <c r="W396" s="725"/>
      <c r="X396" s="723"/>
      <c r="Y396" s="723"/>
      <c r="Z396" s="723"/>
      <c r="AA396" s="726"/>
      <c r="AB396" s="726"/>
      <c r="AC396" s="170"/>
      <c r="AD396" s="586"/>
      <c r="AE396" s="586"/>
      <c r="AF396" s="170"/>
      <c r="AG396" s="170"/>
      <c r="AH396" s="170"/>
      <c r="AI396" s="170"/>
      <c r="AJ396" s="170"/>
      <c r="AK396" s="170"/>
      <c r="AL396" s="170"/>
      <c r="AM396" s="170"/>
      <c r="AN396" s="170"/>
      <c r="AO396" s="170"/>
      <c r="AP396" s="170"/>
      <c r="AQ396" s="170"/>
      <c r="AR396" s="170"/>
      <c r="AS396" s="170"/>
      <c r="AT396" s="170"/>
      <c r="AU396" s="170"/>
      <c r="AV396" s="170"/>
      <c r="AW396" s="170"/>
      <c r="AX396" s="170"/>
    </row>
    <row r="397" spans="1:50" ht="15" x14ac:dyDescent="0.25">
      <c r="A397" s="170"/>
      <c r="B397" s="719"/>
      <c r="C397" s="170"/>
      <c r="D397" s="170"/>
      <c r="E397" s="170"/>
      <c r="F397" s="170"/>
      <c r="G397" s="721"/>
      <c r="H397" s="170"/>
      <c r="I397" s="170"/>
      <c r="J397" s="170"/>
      <c r="K397" s="170"/>
      <c r="L397" s="170"/>
      <c r="M397" s="730"/>
      <c r="N397" s="730"/>
      <c r="O397" s="730"/>
      <c r="P397" s="731"/>
      <c r="Q397" s="731"/>
      <c r="R397" s="730"/>
      <c r="S397" s="730"/>
      <c r="T397" s="723"/>
      <c r="U397" s="724"/>
      <c r="V397" s="725"/>
      <c r="W397" s="725"/>
      <c r="X397" s="723"/>
      <c r="Y397" s="723"/>
      <c r="Z397" s="723"/>
      <c r="AA397" s="726"/>
      <c r="AB397" s="726"/>
      <c r="AC397" s="170"/>
      <c r="AD397" s="586"/>
      <c r="AE397" s="586"/>
      <c r="AF397" s="170"/>
      <c r="AG397" s="170"/>
      <c r="AH397" s="170"/>
      <c r="AI397" s="170"/>
      <c r="AJ397" s="170"/>
      <c r="AK397" s="170"/>
      <c r="AL397" s="170"/>
      <c r="AM397" s="170"/>
      <c r="AN397" s="170"/>
      <c r="AO397" s="170"/>
      <c r="AP397" s="170"/>
      <c r="AQ397" s="170"/>
      <c r="AR397" s="170"/>
      <c r="AS397" s="170"/>
      <c r="AT397" s="170"/>
      <c r="AU397" s="170"/>
      <c r="AV397" s="170"/>
      <c r="AW397" s="170"/>
      <c r="AX397" s="170"/>
    </row>
    <row r="398" spans="1:50" ht="15" x14ac:dyDescent="0.25">
      <c r="A398" s="170"/>
      <c r="B398" s="719"/>
      <c r="C398" s="170"/>
      <c r="D398" s="170"/>
      <c r="E398" s="170"/>
      <c r="F398" s="170"/>
      <c r="G398" s="721"/>
      <c r="H398" s="170"/>
      <c r="I398" s="170"/>
      <c r="J398" s="170"/>
      <c r="K398" s="170"/>
      <c r="L398" s="170"/>
      <c r="M398" s="730"/>
      <c r="N398" s="730"/>
      <c r="O398" s="730"/>
      <c r="P398" s="731"/>
      <c r="Q398" s="731"/>
      <c r="R398" s="730"/>
      <c r="S398" s="730"/>
      <c r="T398" s="723"/>
      <c r="U398" s="724"/>
      <c r="V398" s="725"/>
      <c r="W398" s="725"/>
      <c r="X398" s="723"/>
      <c r="Y398" s="723"/>
      <c r="Z398" s="723"/>
      <c r="AA398" s="726"/>
      <c r="AB398" s="726"/>
      <c r="AC398" s="170"/>
      <c r="AD398" s="586"/>
      <c r="AE398" s="586"/>
      <c r="AF398" s="170"/>
      <c r="AG398" s="170"/>
      <c r="AH398" s="170"/>
      <c r="AI398" s="170"/>
      <c r="AJ398" s="170"/>
      <c r="AK398" s="170"/>
      <c r="AL398" s="170"/>
      <c r="AM398" s="170"/>
      <c r="AN398" s="170"/>
      <c r="AO398" s="170"/>
      <c r="AP398" s="170"/>
      <c r="AQ398" s="170"/>
      <c r="AR398" s="170"/>
      <c r="AS398" s="170"/>
      <c r="AT398" s="170"/>
      <c r="AU398" s="170"/>
      <c r="AV398" s="170"/>
      <c r="AW398" s="170"/>
      <c r="AX398" s="170"/>
    </row>
    <row r="399" spans="1:50" ht="15" x14ac:dyDescent="0.25">
      <c r="A399" s="170"/>
      <c r="B399" s="719"/>
      <c r="C399" s="170"/>
      <c r="D399" s="170"/>
      <c r="E399" s="170"/>
      <c r="F399" s="170"/>
      <c r="G399" s="721"/>
      <c r="H399" s="170"/>
      <c r="I399" s="170"/>
      <c r="J399" s="170"/>
      <c r="K399" s="170"/>
      <c r="L399" s="170"/>
      <c r="M399" s="730"/>
      <c r="N399" s="730"/>
      <c r="O399" s="730"/>
      <c r="P399" s="731"/>
      <c r="Q399" s="731"/>
      <c r="R399" s="730"/>
      <c r="S399" s="730"/>
      <c r="T399" s="723"/>
      <c r="U399" s="724"/>
      <c r="V399" s="725"/>
      <c r="W399" s="725"/>
      <c r="X399" s="723"/>
      <c r="Y399" s="723"/>
      <c r="Z399" s="723"/>
      <c r="AA399" s="726"/>
      <c r="AB399" s="726"/>
      <c r="AC399" s="170"/>
      <c r="AD399" s="586"/>
      <c r="AE399" s="586"/>
      <c r="AF399" s="170"/>
      <c r="AG399" s="170"/>
      <c r="AH399" s="170"/>
      <c r="AI399" s="170"/>
      <c r="AJ399" s="170"/>
      <c r="AK399" s="170"/>
      <c r="AL399" s="170"/>
      <c r="AM399" s="170"/>
      <c r="AN399" s="170"/>
      <c r="AO399" s="170"/>
      <c r="AP399" s="170"/>
      <c r="AQ399" s="170"/>
      <c r="AR399" s="170"/>
      <c r="AS399" s="170"/>
      <c r="AT399" s="170"/>
      <c r="AU399" s="170"/>
      <c r="AV399" s="170"/>
      <c r="AW399" s="170"/>
      <c r="AX399" s="170"/>
    </row>
    <row r="400" spans="1:50" ht="15" x14ac:dyDescent="0.25">
      <c r="A400" s="170"/>
      <c r="B400" s="719"/>
      <c r="C400" s="170"/>
      <c r="D400" s="170"/>
      <c r="E400" s="170"/>
      <c r="F400" s="170"/>
      <c r="G400" s="721"/>
      <c r="H400" s="170"/>
      <c r="I400" s="170"/>
      <c r="J400" s="170"/>
      <c r="K400" s="170"/>
      <c r="L400" s="170"/>
      <c r="M400" s="730"/>
      <c r="N400" s="730"/>
      <c r="O400" s="730"/>
      <c r="P400" s="731"/>
      <c r="Q400" s="731"/>
      <c r="R400" s="730"/>
      <c r="S400" s="730"/>
      <c r="T400" s="723"/>
      <c r="U400" s="724"/>
      <c r="V400" s="725"/>
      <c r="W400" s="725"/>
      <c r="X400" s="723"/>
      <c r="Y400" s="723"/>
      <c r="Z400" s="723"/>
      <c r="AA400" s="726"/>
      <c r="AB400" s="726"/>
      <c r="AC400" s="170"/>
      <c r="AD400" s="586"/>
      <c r="AE400" s="586"/>
      <c r="AF400" s="170"/>
      <c r="AG400" s="170"/>
      <c r="AH400" s="170"/>
      <c r="AI400" s="170"/>
      <c r="AJ400" s="170"/>
      <c r="AK400" s="170"/>
      <c r="AL400" s="170"/>
      <c r="AM400" s="170"/>
      <c r="AN400" s="170"/>
      <c r="AO400" s="170"/>
      <c r="AP400" s="170"/>
      <c r="AQ400" s="170"/>
      <c r="AR400" s="170"/>
      <c r="AS400" s="170"/>
      <c r="AT400" s="170"/>
      <c r="AU400" s="170"/>
      <c r="AV400" s="170"/>
      <c r="AW400" s="170"/>
      <c r="AX400" s="170"/>
    </row>
    <row r="401" spans="1:50" ht="15" x14ac:dyDescent="0.25">
      <c r="A401" s="170"/>
      <c r="B401" s="719"/>
      <c r="C401" s="170"/>
      <c r="D401" s="170"/>
      <c r="E401" s="170"/>
      <c r="F401" s="170"/>
      <c r="G401" s="721"/>
      <c r="H401" s="170"/>
      <c r="I401" s="170"/>
      <c r="J401" s="170"/>
      <c r="K401" s="170"/>
      <c r="L401" s="170"/>
      <c r="M401" s="730"/>
      <c r="N401" s="730"/>
      <c r="O401" s="730"/>
      <c r="P401" s="731"/>
      <c r="Q401" s="731"/>
      <c r="R401" s="730"/>
      <c r="S401" s="730"/>
      <c r="T401" s="723"/>
      <c r="U401" s="724"/>
      <c r="V401" s="725"/>
      <c r="W401" s="725"/>
      <c r="X401" s="723"/>
      <c r="Y401" s="723"/>
      <c r="Z401" s="723"/>
      <c r="AA401" s="726"/>
      <c r="AB401" s="726"/>
      <c r="AC401" s="170"/>
      <c r="AD401" s="586"/>
      <c r="AE401" s="586"/>
      <c r="AF401" s="170"/>
      <c r="AG401" s="170"/>
      <c r="AH401" s="170"/>
      <c r="AI401" s="170"/>
      <c r="AJ401" s="170"/>
      <c r="AK401" s="170"/>
      <c r="AL401" s="170"/>
      <c r="AM401" s="170"/>
      <c r="AN401" s="170"/>
      <c r="AO401" s="170"/>
      <c r="AP401" s="170"/>
      <c r="AQ401" s="170"/>
      <c r="AR401" s="170"/>
      <c r="AS401" s="170"/>
      <c r="AT401" s="170"/>
      <c r="AU401" s="170"/>
      <c r="AV401" s="170"/>
      <c r="AW401" s="170"/>
      <c r="AX401" s="170"/>
    </row>
    <row r="402" spans="1:50" ht="15" x14ac:dyDescent="0.25">
      <c r="A402" s="170"/>
      <c r="B402" s="719"/>
      <c r="C402" s="170"/>
      <c r="D402" s="170"/>
      <c r="E402" s="170"/>
      <c r="F402" s="170"/>
      <c r="G402" s="721"/>
      <c r="H402" s="170"/>
      <c r="I402" s="170"/>
      <c r="J402" s="170"/>
      <c r="K402" s="170"/>
      <c r="L402" s="170"/>
      <c r="M402" s="730"/>
      <c r="N402" s="730"/>
      <c r="O402" s="730"/>
      <c r="P402" s="731"/>
      <c r="Q402" s="731"/>
      <c r="R402" s="730"/>
      <c r="S402" s="730"/>
      <c r="T402" s="723"/>
      <c r="U402" s="724"/>
      <c r="V402" s="725"/>
      <c r="W402" s="725"/>
      <c r="X402" s="723"/>
      <c r="Y402" s="723"/>
      <c r="Z402" s="723"/>
      <c r="AA402" s="726"/>
      <c r="AB402" s="726"/>
      <c r="AC402" s="170"/>
      <c r="AD402" s="586"/>
      <c r="AE402" s="586"/>
      <c r="AF402" s="170"/>
      <c r="AG402" s="170"/>
      <c r="AH402" s="170"/>
      <c r="AI402" s="170"/>
      <c r="AJ402" s="170"/>
      <c r="AK402" s="170"/>
      <c r="AL402" s="170"/>
      <c r="AM402" s="170"/>
      <c r="AN402" s="170"/>
      <c r="AO402" s="170"/>
      <c r="AP402" s="170"/>
      <c r="AQ402" s="170"/>
      <c r="AR402" s="170"/>
      <c r="AS402" s="170"/>
      <c r="AT402" s="170"/>
      <c r="AU402" s="170"/>
      <c r="AV402" s="170"/>
      <c r="AW402" s="170"/>
      <c r="AX402" s="170"/>
    </row>
    <row r="403" spans="1:50" ht="15" x14ac:dyDescent="0.25">
      <c r="A403" s="170"/>
      <c r="B403" s="719"/>
      <c r="C403" s="170"/>
      <c r="D403" s="170"/>
      <c r="E403" s="170"/>
      <c r="F403" s="170"/>
      <c r="G403" s="721"/>
      <c r="H403" s="170"/>
      <c r="I403" s="170"/>
      <c r="J403" s="170"/>
      <c r="K403" s="170"/>
      <c r="L403" s="170"/>
      <c r="M403" s="730"/>
      <c r="N403" s="730"/>
      <c r="O403" s="730"/>
      <c r="P403" s="731"/>
      <c r="Q403" s="731"/>
      <c r="R403" s="730"/>
      <c r="S403" s="730"/>
      <c r="T403" s="723"/>
      <c r="U403" s="724"/>
      <c r="V403" s="725"/>
      <c r="W403" s="725"/>
      <c r="X403" s="723"/>
      <c r="Y403" s="723"/>
      <c r="Z403" s="723"/>
      <c r="AA403" s="726"/>
      <c r="AB403" s="726"/>
      <c r="AC403" s="170"/>
      <c r="AD403" s="586"/>
      <c r="AE403" s="586"/>
      <c r="AF403" s="170"/>
      <c r="AG403" s="170"/>
      <c r="AH403" s="170"/>
      <c r="AI403" s="170"/>
      <c r="AJ403" s="170"/>
      <c r="AK403" s="170"/>
      <c r="AL403" s="170"/>
      <c r="AM403" s="170"/>
      <c r="AN403" s="170"/>
      <c r="AO403" s="170"/>
      <c r="AP403" s="170"/>
      <c r="AQ403" s="170"/>
      <c r="AR403" s="170"/>
      <c r="AS403" s="170"/>
      <c r="AT403" s="170"/>
      <c r="AU403" s="170"/>
      <c r="AV403" s="170"/>
      <c r="AW403" s="170"/>
      <c r="AX403" s="170"/>
    </row>
    <row r="404" spans="1:50" ht="15" x14ac:dyDescent="0.25">
      <c r="A404" s="170"/>
      <c r="B404" s="719"/>
      <c r="C404" s="170"/>
      <c r="D404" s="170"/>
      <c r="E404" s="170"/>
      <c r="F404" s="170"/>
      <c r="G404" s="721"/>
      <c r="H404" s="170"/>
      <c r="I404" s="170"/>
      <c r="J404" s="170"/>
      <c r="K404" s="170"/>
      <c r="L404" s="170"/>
      <c r="M404" s="730"/>
      <c r="N404" s="730"/>
      <c r="O404" s="730"/>
      <c r="P404" s="731"/>
      <c r="Q404" s="731"/>
      <c r="R404" s="730"/>
      <c r="S404" s="730"/>
      <c r="T404" s="723"/>
      <c r="U404" s="724"/>
      <c r="V404" s="725"/>
      <c r="W404" s="725"/>
      <c r="X404" s="723"/>
      <c r="Y404" s="723"/>
      <c r="Z404" s="723"/>
      <c r="AA404" s="726"/>
      <c r="AB404" s="726"/>
      <c r="AC404" s="170"/>
      <c r="AD404" s="586"/>
      <c r="AE404" s="586"/>
      <c r="AF404" s="170"/>
      <c r="AG404" s="170"/>
      <c r="AH404" s="170"/>
      <c r="AI404" s="170"/>
      <c r="AJ404" s="170"/>
      <c r="AK404" s="170"/>
      <c r="AL404" s="170"/>
      <c r="AM404" s="170"/>
      <c r="AN404" s="170"/>
      <c r="AO404" s="170"/>
      <c r="AP404" s="170"/>
      <c r="AQ404" s="170"/>
      <c r="AR404" s="170"/>
      <c r="AS404" s="170"/>
      <c r="AT404" s="170"/>
      <c r="AU404" s="170"/>
      <c r="AV404" s="170"/>
      <c r="AW404" s="170"/>
      <c r="AX404" s="170"/>
    </row>
    <row r="405" spans="1:50" ht="15" x14ac:dyDescent="0.25">
      <c r="A405" s="170"/>
      <c r="B405" s="719"/>
      <c r="C405" s="170"/>
      <c r="D405" s="170"/>
      <c r="E405" s="170"/>
      <c r="F405" s="170"/>
      <c r="G405" s="721"/>
      <c r="H405" s="170"/>
      <c r="I405" s="170"/>
      <c r="J405" s="170"/>
      <c r="K405" s="170"/>
      <c r="L405" s="170"/>
      <c r="M405" s="730"/>
      <c r="N405" s="730"/>
      <c r="O405" s="730"/>
      <c r="P405" s="731"/>
      <c r="Q405" s="731"/>
      <c r="R405" s="730"/>
      <c r="S405" s="730"/>
      <c r="T405" s="723"/>
      <c r="U405" s="724"/>
      <c r="V405" s="725"/>
      <c r="W405" s="725"/>
      <c r="X405" s="723"/>
      <c r="Y405" s="723"/>
      <c r="Z405" s="723"/>
      <c r="AA405" s="726"/>
      <c r="AB405" s="726"/>
      <c r="AC405" s="170"/>
      <c r="AD405" s="586"/>
      <c r="AE405" s="586"/>
      <c r="AF405" s="170"/>
      <c r="AG405" s="170"/>
      <c r="AH405" s="170"/>
      <c r="AI405" s="170"/>
      <c r="AJ405" s="170"/>
      <c r="AK405" s="170"/>
      <c r="AL405" s="170"/>
      <c r="AM405" s="170"/>
      <c r="AN405" s="170"/>
      <c r="AO405" s="170"/>
      <c r="AP405" s="170"/>
      <c r="AQ405" s="170"/>
      <c r="AR405" s="170"/>
      <c r="AS405" s="170"/>
      <c r="AT405" s="170"/>
      <c r="AU405" s="170"/>
      <c r="AV405" s="170"/>
      <c r="AW405" s="170"/>
      <c r="AX405" s="170"/>
    </row>
    <row r="406" spans="1:50" ht="15" x14ac:dyDescent="0.25">
      <c r="A406" s="170"/>
      <c r="B406" s="719"/>
      <c r="C406" s="170"/>
      <c r="D406" s="170"/>
      <c r="E406" s="170"/>
      <c r="F406" s="170"/>
      <c r="G406" s="721"/>
      <c r="H406" s="170"/>
      <c r="I406" s="170"/>
      <c r="J406" s="170"/>
      <c r="K406" s="170"/>
      <c r="L406" s="170"/>
      <c r="M406" s="730"/>
      <c r="N406" s="730"/>
      <c r="O406" s="730"/>
      <c r="P406" s="731"/>
      <c r="Q406" s="731"/>
      <c r="R406" s="730"/>
      <c r="S406" s="730"/>
      <c r="T406" s="723"/>
      <c r="U406" s="724"/>
      <c r="V406" s="725"/>
      <c r="W406" s="725"/>
      <c r="X406" s="723"/>
      <c r="Y406" s="723"/>
      <c r="Z406" s="723"/>
      <c r="AA406" s="726"/>
      <c r="AB406" s="726"/>
      <c r="AC406" s="170"/>
      <c r="AD406" s="586"/>
      <c r="AE406" s="586"/>
      <c r="AF406" s="170"/>
      <c r="AG406" s="170"/>
      <c r="AH406" s="170"/>
      <c r="AI406" s="170"/>
      <c r="AJ406" s="170"/>
      <c r="AK406" s="170"/>
      <c r="AL406" s="170"/>
      <c r="AM406" s="170"/>
      <c r="AN406" s="170"/>
      <c r="AO406" s="170"/>
      <c r="AP406" s="170"/>
      <c r="AQ406" s="170"/>
      <c r="AR406" s="170"/>
      <c r="AS406" s="170"/>
      <c r="AT406" s="170"/>
      <c r="AU406" s="170"/>
      <c r="AV406" s="170"/>
      <c r="AW406" s="170"/>
      <c r="AX406" s="170"/>
    </row>
    <row r="407" spans="1:50" ht="15" x14ac:dyDescent="0.25">
      <c r="A407" s="170"/>
      <c r="B407" s="719"/>
      <c r="C407" s="170"/>
      <c r="D407" s="170"/>
      <c r="E407" s="170"/>
      <c r="F407" s="170"/>
      <c r="G407" s="721"/>
      <c r="H407" s="170"/>
      <c r="I407" s="170"/>
      <c r="J407" s="170"/>
      <c r="K407" s="170"/>
      <c r="L407" s="170"/>
      <c r="M407" s="730"/>
      <c r="N407" s="730"/>
      <c r="O407" s="730"/>
      <c r="P407" s="731"/>
      <c r="Q407" s="731"/>
      <c r="R407" s="730"/>
      <c r="S407" s="730"/>
      <c r="T407" s="723"/>
      <c r="U407" s="724"/>
      <c r="V407" s="725"/>
      <c r="W407" s="725"/>
      <c r="X407" s="723"/>
      <c r="Y407" s="723"/>
      <c r="Z407" s="723"/>
      <c r="AA407" s="726"/>
      <c r="AB407" s="726"/>
      <c r="AC407" s="170"/>
      <c r="AD407" s="586"/>
      <c r="AE407" s="586"/>
      <c r="AF407" s="170"/>
      <c r="AG407" s="170"/>
      <c r="AH407" s="170"/>
      <c r="AI407" s="170"/>
      <c r="AJ407" s="170"/>
      <c r="AK407" s="170"/>
      <c r="AL407" s="170"/>
      <c r="AM407" s="170"/>
      <c r="AN407" s="170"/>
      <c r="AO407" s="170"/>
      <c r="AP407" s="170"/>
      <c r="AQ407" s="170"/>
      <c r="AR407" s="170"/>
      <c r="AS407" s="170"/>
      <c r="AT407" s="170"/>
      <c r="AU407" s="170"/>
      <c r="AV407" s="170"/>
      <c r="AW407" s="170"/>
      <c r="AX407" s="170"/>
    </row>
    <row r="408" spans="1:50" ht="15" x14ac:dyDescent="0.25">
      <c r="A408" s="170"/>
      <c r="B408" s="719"/>
      <c r="C408" s="170"/>
      <c r="D408" s="170"/>
      <c r="E408" s="170"/>
      <c r="F408" s="170"/>
      <c r="G408" s="721"/>
      <c r="H408" s="170"/>
      <c r="I408" s="170"/>
      <c r="J408" s="170"/>
      <c r="K408" s="170"/>
      <c r="L408" s="170"/>
      <c r="M408" s="730"/>
      <c r="N408" s="730"/>
      <c r="O408" s="730"/>
      <c r="P408" s="731"/>
      <c r="Q408" s="731"/>
      <c r="R408" s="730"/>
      <c r="S408" s="730"/>
      <c r="T408" s="723"/>
      <c r="U408" s="724"/>
      <c r="V408" s="725"/>
      <c r="W408" s="725"/>
      <c r="X408" s="723"/>
      <c r="Y408" s="723"/>
      <c r="Z408" s="723"/>
      <c r="AA408" s="726"/>
      <c r="AB408" s="726"/>
      <c r="AC408" s="170"/>
      <c r="AD408" s="586"/>
      <c r="AE408" s="586"/>
      <c r="AF408" s="170"/>
      <c r="AG408" s="170"/>
      <c r="AH408" s="170"/>
      <c r="AI408" s="170"/>
      <c r="AJ408" s="170"/>
      <c r="AK408" s="170"/>
      <c r="AL408" s="170"/>
      <c r="AM408" s="170"/>
      <c r="AN408" s="170"/>
      <c r="AO408" s="170"/>
      <c r="AP408" s="170"/>
      <c r="AQ408" s="170"/>
      <c r="AR408" s="170"/>
      <c r="AS408" s="170"/>
      <c r="AT408" s="170"/>
      <c r="AU408" s="170"/>
      <c r="AV408" s="170"/>
      <c r="AW408" s="170"/>
      <c r="AX408" s="170"/>
    </row>
    <row r="409" spans="1:50" ht="15" x14ac:dyDescent="0.25">
      <c r="A409" s="170"/>
      <c r="B409" s="719"/>
      <c r="C409" s="170"/>
      <c r="D409" s="170"/>
      <c r="E409" s="170"/>
      <c r="F409" s="170"/>
      <c r="G409" s="721"/>
      <c r="H409" s="170"/>
      <c r="I409" s="170"/>
      <c r="J409" s="170"/>
      <c r="K409" s="170"/>
      <c r="L409" s="170"/>
      <c r="M409" s="730"/>
      <c r="N409" s="730"/>
      <c r="O409" s="730"/>
      <c r="P409" s="731"/>
      <c r="Q409" s="731"/>
      <c r="R409" s="730"/>
      <c r="S409" s="730"/>
      <c r="T409" s="723"/>
      <c r="U409" s="724"/>
      <c r="V409" s="725"/>
      <c r="W409" s="725"/>
      <c r="X409" s="723"/>
      <c r="Y409" s="723"/>
      <c r="Z409" s="723"/>
      <c r="AA409" s="726"/>
      <c r="AB409" s="726"/>
      <c r="AC409" s="170"/>
      <c r="AD409" s="586"/>
      <c r="AE409" s="586"/>
      <c r="AF409" s="170"/>
      <c r="AG409" s="170"/>
      <c r="AH409" s="170"/>
      <c r="AI409" s="170"/>
      <c r="AJ409" s="170"/>
      <c r="AK409" s="170"/>
      <c r="AL409" s="170"/>
      <c r="AM409" s="170"/>
      <c r="AN409" s="170"/>
      <c r="AO409" s="170"/>
      <c r="AP409" s="170"/>
      <c r="AQ409" s="170"/>
      <c r="AR409" s="170"/>
      <c r="AS409" s="170"/>
      <c r="AT409" s="170"/>
      <c r="AU409" s="170"/>
      <c r="AV409" s="170"/>
      <c r="AW409" s="170"/>
      <c r="AX409" s="170"/>
    </row>
    <row r="410" spans="1:50" ht="15" x14ac:dyDescent="0.25">
      <c r="A410" s="170"/>
      <c r="B410" s="719"/>
      <c r="C410" s="170"/>
      <c r="D410" s="170"/>
      <c r="E410" s="170"/>
      <c r="F410" s="170"/>
      <c r="G410" s="721"/>
      <c r="H410" s="170"/>
      <c r="I410" s="170"/>
      <c r="J410" s="170"/>
      <c r="K410" s="170"/>
      <c r="L410" s="170"/>
      <c r="M410" s="730"/>
      <c r="N410" s="730"/>
      <c r="O410" s="730"/>
      <c r="P410" s="731"/>
      <c r="Q410" s="731"/>
      <c r="R410" s="730"/>
      <c r="S410" s="730"/>
      <c r="T410" s="723"/>
      <c r="U410" s="724"/>
      <c r="V410" s="725"/>
      <c r="W410" s="725"/>
      <c r="X410" s="723"/>
      <c r="Y410" s="723"/>
      <c r="Z410" s="723"/>
      <c r="AA410" s="726"/>
      <c r="AB410" s="726"/>
      <c r="AC410" s="170"/>
      <c r="AD410" s="586"/>
      <c r="AE410" s="586"/>
      <c r="AF410" s="170"/>
      <c r="AG410" s="170"/>
      <c r="AH410" s="170"/>
      <c r="AI410" s="170"/>
      <c r="AJ410" s="170"/>
      <c r="AK410" s="170"/>
      <c r="AL410" s="170"/>
      <c r="AM410" s="170"/>
      <c r="AN410" s="170"/>
      <c r="AO410" s="170"/>
      <c r="AP410" s="170"/>
      <c r="AQ410" s="170"/>
      <c r="AR410" s="170"/>
      <c r="AS410" s="170"/>
      <c r="AT410" s="170"/>
      <c r="AU410" s="170"/>
      <c r="AV410" s="170"/>
      <c r="AW410" s="170"/>
      <c r="AX410" s="170"/>
    </row>
    <row r="411" spans="1:50" ht="15" x14ac:dyDescent="0.25">
      <c r="A411" s="170"/>
      <c r="B411" s="719"/>
      <c r="C411" s="170"/>
      <c r="D411" s="170"/>
      <c r="E411" s="170"/>
      <c r="F411" s="170"/>
      <c r="G411" s="721"/>
      <c r="H411" s="170"/>
      <c r="I411" s="170"/>
      <c r="J411" s="170"/>
      <c r="K411" s="170"/>
      <c r="L411" s="170"/>
      <c r="M411" s="730"/>
      <c r="N411" s="730"/>
      <c r="O411" s="730"/>
      <c r="P411" s="731"/>
      <c r="Q411" s="731"/>
      <c r="R411" s="730"/>
      <c r="S411" s="730"/>
      <c r="T411" s="723"/>
      <c r="U411" s="724"/>
      <c r="V411" s="725"/>
      <c r="W411" s="725"/>
      <c r="X411" s="723"/>
      <c r="Y411" s="723"/>
      <c r="Z411" s="723"/>
      <c r="AA411" s="726"/>
      <c r="AB411" s="726"/>
      <c r="AC411" s="170"/>
      <c r="AD411" s="586"/>
      <c r="AE411" s="586"/>
      <c r="AF411" s="170"/>
      <c r="AG411" s="170"/>
      <c r="AH411" s="170"/>
      <c r="AI411" s="170"/>
      <c r="AJ411" s="170"/>
      <c r="AK411" s="170"/>
      <c r="AL411" s="170"/>
      <c r="AM411" s="170"/>
      <c r="AN411" s="170"/>
      <c r="AO411" s="170"/>
      <c r="AP411" s="170"/>
      <c r="AQ411" s="170"/>
      <c r="AR411" s="170"/>
      <c r="AS411" s="170"/>
      <c r="AT411" s="170"/>
      <c r="AU411" s="170"/>
      <c r="AV411" s="170"/>
      <c r="AW411" s="170"/>
      <c r="AX411" s="170"/>
    </row>
    <row r="412" spans="1:50" ht="15" x14ac:dyDescent="0.25">
      <c r="A412" s="170"/>
      <c r="B412" s="719"/>
      <c r="C412" s="170"/>
      <c r="D412" s="170"/>
      <c r="E412" s="170"/>
      <c r="F412" s="170"/>
      <c r="G412" s="721"/>
      <c r="H412" s="170"/>
      <c r="I412" s="170"/>
      <c r="J412" s="170"/>
      <c r="K412" s="170"/>
      <c r="L412" s="170"/>
      <c r="M412" s="730"/>
      <c r="N412" s="730"/>
      <c r="O412" s="730"/>
      <c r="P412" s="731"/>
      <c r="Q412" s="731"/>
      <c r="R412" s="730"/>
      <c r="S412" s="730"/>
      <c r="T412" s="723"/>
      <c r="U412" s="724"/>
      <c r="V412" s="725"/>
      <c r="W412" s="725"/>
      <c r="X412" s="723"/>
      <c r="Y412" s="723"/>
      <c r="Z412" s="723"/>
      <c r="AA412" s="726"/>
      <c r="AB412" s="726"/>
      <c r="AC412" s="170"/>
      <c r="AD412" s="586"/>
      <c r="AE412" s="586"/>
      <c r="AF412" s="170"/>
      <c r="AG412" s="170"/>
      <c r="AH412" s="170"/>
      <c r="AI412" s="170"/>
      <c r="AJ412" s="170"/>
      <c r="AK412" s="170"/>
      <c r="AL412" s="170"/>
      <c r="AM412" s="170"/>
      <c r="AN412" s="170"/>
      <c r="AO412" s="170"/>
      <c r="AP412" s="170"/>
      <c r="AQ412" s="170"/>
      <c r="AR412" s="170"/>
      <c r="AS412" s="170"/>
      <c r="AT412" s="170"/>
      <c r="AU412" s="170"/>
      <c r="AV412" s="170"/>
      <c r="AW412" s="170"/>
      <c r="AX412" s="170"/>
    </row>
    <row r="413" spans="1:50" ht="15" x14ac:dyDescent="0.25">
      <c r="A413" s="170"/>
      <c r="B413" s="719"/>
      <c r="C413" s="170"/>
      <c r="D413" s="170"/>
      <c r="E413" s="170"/>
      <c r="F413" s="170"/>
      <c r="G413" s="721"/>
      <c r="H413" s="170"/>
      <c r="I413" s="170"/>
      <c r="J413" s="170"/>
      <c r="K413" s="170"/>
      <c r="L413" s="170"/>
      <c r="M413" s="730"/>
      <c r="N413" s="730"/>
      <c r="O413" s="730"/>
      <c r="P413" s="731"/>
      <c r="Q413" s="731"/>
      <c r="R413" s="730"/>
      <c r="S413" s="730"/>
      <c r="T413" s="723"/>
      <c r="U413" s="724"/>
      <c r="V413" s="725"/>
      <c r="W413" s="725"/>
      <c r="X413" s="723"/>
      <c r="Y413" s="723"/>
      <c r="Z413" s="723"/>
      <c r="AA413" s="726"/>
      <c r="AB413" s="726"/>
      <c r="AC413" s="170"/>
      <c r="AD413" s="586"/>
      <c r="AE413" s="586"/>
      <c r="AF413" s="170"/>
      <c r="AG413" s="170"/>
      <c r="AH413" s="170"/>
      <c r="AI413" s="170"/>
      <c r="AJ413" s="170"/>
      <c r="AK413" s="170"/>
      <c r="AL413" s="170"/>
      <c r="AM413" s="170"/>
      <c r="AN413" s="170"/>
      <c r="AO413" s="170"/>
      <c r="AP413" s="170"/>
      <c r="AQ413" s="170"/>
      <c r="AR413" s="170"/>
      <c r="AS413" s="170"/>
      <c r="AT413" s="170"/>
      <c r="AU413" s="170"/>
      <c r="AV413" s="170"/>
      <c r="AW413" s="170"/>
      <c r="AX413" s="170"/>
    </row>
    <row r="414" spans="1:50" ht="15" x14ac:dyDescent="0.25">
      <c r="A414" s="170"/>
      <c r="B414" s="719"/>
      <c r="C414" s="170"/>
      <c r="D414" s="170"/>
      <c r="E414" s="170"/>
      <c r="F414" s="170"/>
      <c r="G414" s="721"/>
      <c r="H414" s="170"/>
      <c r="I414" s="170"/>
      <c r="J414" s="170"/>
      <c r="K414" s="170"/>
      <c r="L414" s="170"/>
      <c r="M414" s="730"/>
      <c r="N414" s="730"/>
      <c r="O414" s="730"/>
      <c r="P414" s="731"/>
      <c r="Q414" s="731"/>
      <c r="R414" s="730"/>
      <c r="S414" s="730"/>
      <c r="T414" s="723"/>
      <c r="U414" s="724"/>
      <c r="V414" s="725"/>
      <c r="W414" s="725"/>
      <c r="X414" s="723"/>
      <c r="Y414" s="723"/>
      <c r="Z414" s="723"/>
      <c r="AA414" s="726"/>
      <c r="AB414" s="726"/>
      <c r="AC414" s="170"/>
      <c r="AD414" s="586"/>
      <c r="AE414" s="586"/>
      <c r="AF414" s="170"/>
      <c r="AG414" s="170"/>
      <c r="AH414" s="170"/>
      <c r="AI414" s="170"/>
      <c r="AJ414" s="170"/>
      <c r="AK414" s="170"/>
      <c r="AL414" s="170"/>
      <c r="AM414" s="170"/>
      <c r="AN414" s="170"/>
      <c r="AO414" s="170"/>
      <c r="AP414" s="170"/>
      <c r="AQ414" s="170"/>
      <c r="AR414" s="170"/>
      <c r="AS414" s="170"/>
      <c r="AT414" s="170"/>
      <c r="AU414" s="170"/>
      <c r="AV414" s="170"/>
      <c r="AW414" s="170"/>
      <c r="AX414" s="170"/>
    </row>
    <row r="415" spans="1:50" ht="15" x14ac:dyDescent="0.25">
      <c r="A415" s="170"/>
      <c r="B415" s="719"/>
      <c r="C415" s="170"/>
      <c r="D415" s="170"/>
      <c r="E415" s="170"/>
      <c r="F415" s="170"/>
      <c r="G415" s="721"/>
      <c r="H415" s="170"/>
      <c r="I415" s="170"/>
      <c r="J415" s="170"/>
      <c r="K415" s="170"/>
      <c r="L415" s="170"/>
      <c r="M415" s="730"/>
      <c r="N415" s="730"/>
      <c r="O415" s="730"/>
      <c r="P415" s="731"/>
      <c r="Q415" s="731"/>
      <c r="R415" s="730"/>
      <c r="S415" s="730"/>
      <c r="T415" s="723"/>
      <c r="U415" s="724"/>
      <c r="V415" s="725"/>
      <c r="W415" s="725"/>
      <c r="X415" s="723"/>
      <c r="Y415" s="723"/>
      <c r="Z415" s="723"/>
      <c r="AA415" s="726"/>
      <c r="AB415" s="726"/>
      <c r="AC415" s="170"/>
      <c r="AD415" s="586"/>
      <c r="AE415" s="586"/>
      <c r="AF415" s="170"/>
      <c r="AG415" s="170"/>
      <c r="AH415" s="170"/>
      <c r="AI415" s="170"/>
      <c r="AJ415" s="170"/>
      <c r="AK415" s="170"/>
      <c r="AL415" s="170"/>
      <c r="AM415" s="170"/>
      <c r="AN415" s="170"/>
      <c r="AO415" s="170"/>
      <c r="AP415" s="170"/>
      <c r="AQ415" s="170"/>
      <c r="AR415" s="170"/>
      <c r="AS415" s="170"/>
      <c r="AT415" s="170"/>
      <c r="AU415" s="170"/>
      <c r="AV415" s="170"/>
      <c r="AW415" s="170"/>
      <c r="AX415" s="170"/>
    </row>
    <row r="416" spans="1:50" ht="15" x14ac:dyDescent="0.25">
      <c r="A416" s="170"/>
      <c r="B416" s="719"/>
      <c r="C416" s="170"/>
      <c r="D416" s="170"/>
      <c r="E416" s="170"/>
      <c r="F416" s="170"/>
      <c r="G416" s="721"/>
      <c r="H416" s="170"/>
      <c r="I416" s="170"/>
      <c r="J416" s="170"/>
      <c r="K416" s="170"/>
      <c r="L416" s="170"/>
      <c r="M416" s="730"/>
      <c r="N416" s="730"/>
      <c r="O416" s="730"/>
      <c r="P416" s="731"/>
      <c r="Q416" s="731"/>
      <c r="R416" s="730"/>
      <c r="S416" s="730"/>
      <c r="T416" s="723"/>
      <c r="U416" s="724"/>
      <c r="V416" s="725"/>
      <c r="W416" s="725"/>
      <c r="X416" s="723"/>
      <c r="Y416" s="723"/>
      <c r="Z416" s="723"/>
      <c r="AA416" s="726"/>
      <c r="AB416" s="726"/>
      <c r="AC416" s="170"/>
      <c r="AD416" s="586"/>
      <c r="AE416" s="586"/>
      <c r="AF416" s="170"/>
      <c r="AG416" s="170"/>
      <c r="AH416" s="170"/>
      <c r="AI416" s="170"/>
      <c r="AJ416" s="170"/>
      <c r="AK416" s="170"/>
      <c r="AL416" s="170"/>
      <c r="AM416" s="170"/>
      <c r="AN416" s="170"/>
      <c r="AO416" s="170"/>
      <c r="AP416" s="170"/>
      <c r="AQ416" s="170"/>
      <c r="AR416" s="170"/>
      <c r="AS416" s="170"/>
      <c r="AT416" s="170"/>
      <c r="AU416" s="170"/>
      <c r="AV416" s="170"/>
      <c r="AW416" s="170"/>
      <c r="AX416" s="170"/>
    </row>
    <row r="417" spans="1:50" ht="15" x14ac:dyDescent="0.25">
      <c r="A417" s="170"/>
      <c r="B417" s="719"/>
      <c r="C417" s="170"/>
      <c r="D417" s="170"/>
      <c r="E417" s="170"/>
      <c r="F417" s="170"/>
      <c r="G417" s="721"/>
      <c r="H417" s="170"/>
      <c r="I417" s="170"/>
      <c r="J417" s="170"/>
      <c r="K417" s="170"/>
      <c r="L417" s="170"/>
      <c r="M417" s="730"/>
      <c r="N417" s="730"/>
      <c r="O417" s="730"/>
      <c r="P417" s="731"/>
      <c r="Q417" s="731"/>
      <c r="R417" s="730"/>
      <c r="S417" s="730"/>
      <c r="T417" s="723"/>
      <c r="U417" s="724"/>
      <c r="V417" s="725"/>
      <c r="W417" s="725"/>
      <c r="X417" s="723"/>
      <c r="Y417" s="723"/>
      <c r="Z417" s="723"/>
      <c r="AA417" s="726"/>
      <c r="AB417" s="726"/>
      <c r="AC417" s="170"/>
      <c r="AD417" s="586"/>
      <c r="AE417" s="586"/>
      <c r="AF417" s="170"/>
      <c r="AG417" s="170"/>
      <c r="AH417" s="170"/>
      <c r="AI417" s="170"/>
      <c r="AJ417" s="170"/>
      <c r="AK417" s="170"/>
      <c r="AL417" s="170"/>
      <c r="AM417" s="170"/>
      <c r="AN417" s="170"/>
      <c r="AO417" s="170"/>
      <c r="AP417" s="170"/>
      <c r="AQ417" s="170"/>
      <c r="AR417" s="170"/>
      <c r="AS417" s="170"/>
      <c r="AT417" s="170"/>
      <c r="AU417" s="170"/>
      <c r="AV417" s="170"/>
      <c r="AW417" s="170"/>
      <c r="AX417" s="170"/>
    </row>
    <row r="418" spans="1:50" ht="15" x14ac:dyDescent="0.25">
      <c r="A418" s="170"/>
      <c r="B418" s="719"/>
      <c r="C418" s="170"/>
      <c r="D418" s="170"/>
      <c r="E418" s="170"/>
      <c r="F418" s="170"/>
      <c r="G418" s="721"/>
      <c r="H418" s="170"/>
      <c r="I418" s="170"/>
      <c r="J418" s="170"/>
      <c r="K418" s="170"/>
      <c r="L418" s="170"/>
      <c r="M418" s="730"/>
      <c r="N418" s="730"/>
      <c r="O418" s="730"/>
      <c r="P418" s="731"/>
      <c r="Q418" s="731"/>
      <c r="R418" s="730"/>
      <c r="S418" s="730"/>
      <c r="T418" s="723"/>
      <c r="U418" s="724"/>
      <c r="V418" s="725"/>
      <c r="W418" s="725"/>
      <c r="X418" s="723"/>
      <c r="Y418" s="723"/>
      <c r="Z418" s="723"/>
      <c r="AA418" s="726"/>
      <c r="AB418" s="726"/>
      <c r="AC418" s="170"/>
      <c r="AD418" s="586"/>
      <c r="AE418" s="586"/>
      <c r="AF418" s="170"/>
      <c r="AG418" s="170"/>
      <c r="AH418" s="170"/>
      <c r="AI418" s="170"/>
      <c r="AJ418" s="170"/>
      <c r="AK418" s="170"/>
      <c r="AL418" s="170"/>
      <c r="AM418" s="170"/>
      <c r="AN418" s="170"/>
      <c r="AO418" s="170"/>
      <c r="AP418" s="170"/>
      <c r="AQ418" s="170"/>
      <c r="AR418" s="170"/>
      <c r="AS418" s="170"/>
      <c r="AT418" s="170"/>
      <c r="AU418" s="170"/>
      <c r="AV418" s="170"/>
      <c r="AW418" s="170"/>
      <c r="AX418" s="170"/>
    </row>
    <row r="419" spans="1:50" ht="15" x14ac:dyDescent="0.25">
      <c r="A419" s="170"/>
      <c r="B419" s="719"/>
      <c r="C419" s="170"/>
      <c r="D419" s="170"/>
      <c r="E419" s="170"/>
      <c r="F419" s="170"/>
      <c r="G419" s="721"/>
      <c r="H419" s="170"/>
      <c r="I419" s="170"/>
      <c r="J419" s="170"/>
      <c r="K419" s="170"/>
      <c r="L419" s="170"/>
      <c r="M419" s="730"/>
      <c r="N419" s="730"/>
      <c r="O419" s="730"/>
      <c r="P419" s="731"/>
      <c r="Q419" s="731"/>
      <c r="R419" s="730"/>
      <c r="S419" s="730"/>
      <c r="T419" s="723"/>
      <c r="U419" s="724"/>
      <c r="V419" s="725"/>
      <c r="W419" s="725"/>
      <c r="X419" s="723"/>
      <c r="Y419" s="723"/>
      <c r="Z419" s="723"/>
      <c r="AA419" s="726"/>
      <c r="AB419" s="726"/>
      <c r="AC419" s="170"/>
      <c r="AD419" s="586"/>
      <c r="AE419" s="586"/>
      <c r="AF419" s="170"/>
      <c r="AG419" s="170"/>
      <c r="AH419" s="170"/>
      <c r="AI419" s="170"/>
      <c r="AJ419" s="170"/>
      <c r="AK419" s="170"/>
      <c r="AL419" s="170"/>
      <c r="AM419" s="170"/>
      <c r="AN419" s="170"/>
      <c r="AO419" s="170"/>
      <c r="AP419" s="170"/>
      <c r="AQ419" s="170"/>
      <c r="AR419" s="170"/>
      <c r="AS419" s="170"/>
      <c r="AT419" s="170"/>
      <c r="AU419" s="170"/>
      <c r="AV419" s="170"/>
      <c r="AW419" s="170"/>
      <c r="AX419" s="170"/>
    </row>
    <row r="420" spans="1:50" ht="15" x14ac:dyDescent="0.25">
      <c r="A420" s="170"/>
      <c r="B420" s="719"/>
      <c r="C420" s="170"/>
      <c r="D420" s="170"/>
      <c r="E420" s="170"/>
      <c r="F420" s="170"/>
      <c r="G420" s="721"/>
      <c r="H420" s="170"/>
      <c r="I420" s="170"/>
      <c r="J420" s="170"/>
      <c r="K420" s="170"/>
      <c r="L420" s="170"/>
      <c r="M420" s="730"/>
      <c r="N420" s="730"/>
      <c r="O420" s="730"/>
      <c r="P420" s="731"/>
      <c r="Q420" s="731"/>
      <c r="R420" s="730"/>
      <c r="S420" s="730"/>
      <c r="T420" s="723"/>
      <c r="U420" s="724"/>
      <c r="V420" s="725"/>
      <c r="W420" s="725"/>
      <c r="X420" s="723"/>
      <c r="Y420" s="723"/>
      <c r="Z420" s="723"/>
      <c r="AA420" s="726"/>
      <c r="AB420" s="726"/>
      <c r="AC420" s="170"/>
      <c r="AD420" s="586"/>
      <c r="AE420" s="586"/>
      <c r="AF420" s="170"/>
      <c r="AG420" s="170"/>
      <c r="AH420" s="170"/>
      <c r="AI420" s="170"/>
      <c r="AJ420" s="170"/>
      <c r="AK420" s="170"/>
      <c r="AL420" s="170"/>
      <c r="AM420" s="170"/>
      <c r="AN420" s="170"/>
      <c r="AO420" s="170"/>
      <c r="AP420" s="170"/>
      <c r="AQ420" s="170"/>
      <c r="AR420" s="170"/>
      <c r="AS420" s="170"/>
      <c r="AT420" s="170"/>
      <c r="AU420" s="170"/>
      <c r="AV420" s="170"/>
      <c r="AW420" s="170"/>
      <c r="AX420" s="170"/>
    </row>
    <row r="421" spans="1:50" ht="15" x14ac:dyDescent="0.25">
      <c r="A421" s="170"/>
      <c r="B421" s="719"/>
      <c r="C421" s="170"/>
      <c r="D421" s="170"/>
      <c r="E421" s="170"/>
      <c r="F421" s="170"/>
      <c r="G421" s="721"/>
      <c r="H421" s="170"/>
      <c r="I421" s="170"/>
      <c r="J421" s="170"/>
      <c r="K421" s="170"/>
      <c r="L421" s="170"/>
      <c r="M421" s="730"/>
      <c r="N421" s="730"/>
      <c r="O421" s="730"/>
      <c r="P421" s="731"/>
      <c r="Q421" s="731"/>
      <c r="R421" s="730"/>
      <c r="S421" s="730"/>
      <c r="T421" s="723"/>
      <c r="U421" s="724"/>
      <c r="V421" s="725"/>
      <c r="W421" s="725"/>
      <c r="X421" s="723"/>
      <c r="Y421" s="723"/>
      <c r="Z421" s="723"/>
      <c r="AA421" s="726"/>
      <c r="AB421" s="726"/>
      <c r="AC421" s="170"/>
      <c r="AD421" s="586"/>
      <c r="AE421" s="586"/>
      <c r="AF421" s="170"/>
      <c r="AG421" s="170"/>
      <c r="AH421" s="170"/>
      <c r="AI421" s="170"/>
      <c r="AJ421" s="170"/>
      <c r="AK421" s="170"/>
      <c r="AL421" s="170"/>
      <c r="AM421" s="170"/>
      <c r="AN421" s="170"/>
      <c r="AO421" s="170"/>
      <c r="AP421" s="170"/>
      <c r="AQ421" s="170"/>
      <c r="AR421" s="170"/>
      <c r="AS421" s="170"/>
      <c r="AT421" s="170"/>
      <c r="AU421" s="170"/>
      <c r="AV421" s="170"/>
      <c r="AW421" s="170"/>
      <c r="AX421" s="170"/>
    </row>
    <row r="422" spans="1:50" ht="15" x14ac:dyDescent="0.25">
      <c r="A422" s="170"/>
      <c r="B422" s="719"/>
      <c r="C422" s="170"/>
      <c r="D422" s="170"/>
      <c r="E422" s="170"/>
      <c r="F422" s="170"/>
      <c r="G422" s="721"/>
      <c r="H422" s="170"/>
      <c r="I422" s="170"/>
      <c r="J422" s="170"/>
      <c r="K422" s="170"/>
      <c r="L422" s="170"/>
      <c r="M422" s="730"/>
      <c r="N422" s="730"/>
      <c r="O422" s="730"/>
      <c r="P422" s="731"/>
      <c r="Q422" s="731"/>
      <c r="R422" s="730"/>
      <c r="S422" s="730"/>
      <c r="T422" s="723"/>
      <c r="U422" s="724"/>
      <c r="V422" s="725"/>
      <c r="W422" s="725"/>
      <c r="X422" s="723"/>
      <c r="Y422" s="723"/>
      <c r="Z422" s="723"/>
      <c r="AA422" s="726"/>
      <c r="AB422" s="726"/>
      <c r="AC422" s="170"/>
      <c r="AD422" s="586"/>
      <c r="AE422" s="586"/>
      <c r="AF422" s="170"/>
      <c r="AG422" s="170"/>
      <c r="AH422" s="170"/>
      <c r="AI422" s="170"/>
      <c r="AJ422" s="170"/>
      <c r="AK422" s="170"/>
      <c r="AL422" s="170"/>
      <c r="AM422" s="170"/>
      <c r="AN422" s="170"/>
      <c r="AO422" s="170"/>
      <c r="AP422" s="170"/>
      <c r="AQ422" s="170"/>
      <c r="AR422" s="170"/>
      <c r="AS422" s="170"/>
      <c r="AT422" s="170"/>
      <c r="AU422" s="170"/>
      <c r="AV422" s="170"/>
      <c r="AW422" s="170"/>
      <c r="AX422" s="170"/>
    </row>
    <row r="423" spans="1:50" ht="15" x14ac:dyDescent="0.25">
      <c r="A423" s="170"/>
      <c r="B423" s="719"/>
      <c r="C423" s="170"/>
      <c r="D423" s="170"/>
      <c r="E423" s="170"/>
      <c r="F423" s="170"/>
      <c r="G423" s="721"/>
      <c r="H423" s="170"/>
      <c r="I423" s="170"/>
      <c r="J423" s="170"/>
      <c r="K423" s="170"/>
      <c r="L423" s="170"/>
      <c r="M423" s="730"/>
      <c r="N423" s="730"/>
      <c r="O423" s="730"/>
      <c r="P423" s="731"/>
      <c r="Q423" s="731"/>
      <c r="R423" s="730"/>
      <c r="S423" s="730"/>
      <c r="T423" s="723"/>
      <c r="U423" s="724"/>
      <c r="V423" s="725"/>
      <c r="W423" s="725"/>
      <c r="X423" s="723"/>
      <c r="Y423" s="723"/>
      <c r="Z423" s="723"/>
      <c r="AA423" s="726"/>
      <c r="AB423" s="726"/>
      <c r="AC423" s="170"/>
      <c r="AD423" s="586"/>
      <c r="AE423" s="586"/>
      <c r="AF423" s="170"/>
      <c r="AG423" s="170"/>
      <c r="AH423" s="170"/>
      <c r="AI423" s="170"/>
      <c r="AJ423" s="170"/>
      <c r="AK423" s="170"/>
      <c r="AL423" s="170"/>
      <c r="AM423" s="170"/>
      <c r="AN423" s="170"/>
      <c r="AO423" s="170"/>
      <c r="AP423" s="170"/>
      <c r="AQ423" s="170"/>
      <c r="AR423" s="170"/>
      <c r="AS423" s="170"/>
      <c r="AT423" s="170"/>
      <c r="AU423" s="170"/>
      <c r="AV423" s="170"/>
      <c r="AW423" s="170"/>
      <c r="AX423" s="170"/>
    </row>
    <row r="424" spans="1:50" ht="15" x14ac:dyDescent="0.25">
      <c r="A424" s="170"/>
      <c r="B424" s="719"/>
      <c r="C424" s="170"/>
      <c r="D424" s="170"/>
      <c r="E424" s="170"/>
      <c r="F424" s="170"/>
      <c r="G424" s="721"/>
      <c r="H424" s="170"/>
      <c r="I424" s="170"/>
      <c r="J424" s="170"/>
      <c r="K424" s="170"/>
      <c r="L424" s="170"/>
      <c r="M424" s="730"/>
      <c r="N424" s="730"/>
      <c r="O424" s="730"/>
      <c r="P424" s="731"/>
      <c r="Q424" s="731"/>
      <c r="R424" s="730"/>
      <c r="S424" s="730"/>
      <c r="T424" s="723"/>
      <c r="U424" s="724"/>
      <c r="V424" s="725"/>
      <c r="W424" s="725"/>
      <c r="X424" s="723"/>
      <c r="Y424" s="723"/>
      <c r="Z424" s="723"/>
      <c r="AA424" s="726"/>
      <c r="AB424" s="726"/>
      <c r="AC424" s="170"/>
      <c r="AD424" s="586"/>
      <c r="AE424" s="586"/>
      <c r="AF424" s="170"/>
      <c r="AG424" s="170"/>
      <c r="AH424" s="170"/>
      <c r="AI424" s="170"/>
      <c r="AJ424" s="170"/>
      <c r="AK424" s="170"/>
      <c r="AL424" s="170"/>
      <c r="AM424" s="170"/>
      <c r="AN424" s="170"/>
      <c r="AO424" s="170"/>
      <c r="AP424" s="170"/>
      <c r="AQ424" s="170"/>
      <c r="AR424" s="170"/>
      <c r="AS424" s="170"/>
      <c r="AT424" s="170"/>
      <c r="AU424" s="170"/>
      <c r="AV424" s="170"/>
      <c r="AW424" s="170"/>
      <c r="AX424" s="170"/>
    </row>
    <row r="425" spans="1:50" ht="15" x14ac:dyDescent="0.25">
      <c r="A425" s="170"/>
      <c r="B425" s="719"/>
      <c r="C425" s="170"/>
      <c r="D425" s="170"/>
      <c r="E425" s="170"/>
      <c r="F425" s="170"/>
      <c r="G425" s="721"/>
      <c r="H425" s="170"/>
      <c r="I425" s="170"/>
      <c r="J425" s="170"/>
      <c r="K425" s="170"/>
      <c r="L425" s="170"/>
      <c r="M425" s="730"/>
      <c r="N425" s="730"/>
      <c r="O425" s="730"/>
      <c r="P425" s="731"/>
      <c r="Q425" s="731"/>
      <c r="R425" s="730"/>
      <c r="S425" s="730"/>
      <c r="T425" s="723"/>
      <c r="U425" s="724"/>
      <c r="V425" s="725"/>
      <c r="W425" s="725"/>
      <c r="X425" s="723"/>
      <c r="Y425" s="723"/>
      <c r="Z425" s="723"/>
      <c r="AA425" s="726"/>
      <c r="AB425" s="726"/>
      <c r="AC425" s="170"/>
      <c r="AD425" s="586"/>
      <c r="AE425" s="586"/>
      <c r="AF425" s="170"/>
      <c r="AG425" s="170"/>
      <c r="AH425" s="170"/>
      <c r="AI425" s="170"/>
      <c r="AJ425" s="170"/>
      <c r="AK425" s="170"/>
      <c r="AL425" s="170"/>
      <c r="AM425" s="170"/>
      <c r="AN425" s="170"/>
      <c r="AO425" s="170"/>
      <c r="AP425" s="170"/>
      <c r="AQ425" s="170"/>
      <c r="AR425" s="170"/>
      <c r="AS425" s="170"/>
      <c r="AT425" s="170"/>
      <c r="AU425" s="170"/>
      <c r="AV425" s="170"/>
      <c r="AW425" s="170"/>
      <c r="AX425" s="170"/>
    </row>
    <row r="426" spans="1:50" ht="15" x14ac:dyDescent="0.25">
      <c r="A426" s="170"/>
      <c r="B426" s="719"/>
      <c r="C426" s="170"/>
      <c r="D426" s="170"/>
      <c r="E426" s="170"/>
      <c r="F426" s="170"/>
      <c r="G426" s="721"/>
      <c r="H426" s="170"/>
      <c r="I426" s="170"/>
      <c r="J426" s="170"/>
      <c r="K426" s="170"/>
      <c r="L426" s="170"/>
      <c r="M426" s="730"/>
      <c r="N426" s="730"/>
      <c r="O426" s="730"/>
      <c r="P426" s="731"/>
      <c r="Q426" s="731"/>
      <c r="R426" s="730"/>
      <c r="S426" s="730"/>
      <c r="T426" s="723"/>
      <c r="U426" s="724"/>
      <c r="V426" s="725"/>
      <c r="W426" s="725"/>
      <c r="X426" s="723"/>
      <c r="Y426" s="723"/>
      <c r="Z426" s="723"/>
      <c r="AA426" s="726"/>
      <c r="AB426" s="726"/>
      <c r="AC426" s="170"/>
      <c r="AD426" s="586"/>
      <c r="AE426" s="586"/>
      <c r="AF426" s="170"/>
      <c r="AG426" s="170"/>
      <c r="AH426" s="170"/>
      <c r="AI426" s="170"/>
      <c r="AJ426" s="170"/>
      <c r="AK426" s="170"/>
      <c r="AL426" s="170"/>
      <c r="AM426" s="170"/>
      <c r="AN426" s="170"/>
      <c r="AO426" s="170"/>
      <c r="AP426" s="170"/>
      <c r="AQ426" s="170"/>
      <c r="AR426" s="170"/>
      <c r="AS426" s="170"/>
      <c r="AT426" s="170"/>
      <c r="AU426" s="170"/>
      <c r="AV426" s="170"/>
      <c r="AW426" s="170"/>
      <c r="AX426" s="170"/>
    </row>
    <row r="427" spans="1:50" ht="15" x14ac:dyDescent="0.25">
      <c r="A427" s="170"/>
      <c r="B427" s="719"/>
      <c r="C427" s="170"/>
      <c r="D427" s="170"/>
      <c r="E427" s="170"/>
      <c r="F427" s="170"/>
      <c r="G427" s="721"/>
      <c r="H427" s="170"/>
      <c r="I427" s="170"/>
      <c r="J427" s="170"/>
      <c r="K427" s="170"/>
      <c r="L427" s="170"/>
      <c r="M427" s="730"/>
      <c r="N427" s="730"/>
      <c r="O427" s="730"/>
      <c r="P427" s="731"/>
      <c r="Q427" s="731"/>
      <c r="R427" s="730"/>
      <c r="S427" s="730"/>
      <c r="T427" s="723"/>
      <c r="U427" s="724"/>
      <c r="V427" s="725"/>
      <c r="W427" s="725"/>
      <c r="X427" s="723"/>
      <c r="Y427" s="723"/>
      <c r="Z427" s="723"/>
      <c r="AA427" s="726"/>
      <c r="AB427" s="726"/>
      <c r="AC427" s="170"/>
      <c r="AD427" s="586"/>
      <c r="AE427" s="586"/>
      <c r="AF427" s="170"/>
      <c r="AG427" s="170"/>
      <c r="AH427" s="170"/>
      <c r="AI427" s="170"/>
      <c r="AJ427" s="170"/>
      <c r="AK427" s="170"/>
      <c r="AL427" s="170"/>
      <c r="AM427" s="170"/>
      <c r="AN427" s="170"/>
      <c r="AO427" s="170"/>
      <c r="AP427" s="170"/>
      <c r="AQ427" s="170"/>
      <c r="AR427" s="170"/>
      <c r="AS427" s="170"/>
      <c r="AT427" s="170"/>
      <c r="AU427" s="170"/>
      <c r="AV427" s="170"/>
      <c r="AW427" s="170"/>
      <c r="AX427" s="170"/>
    </row>
    <row r="428" spans="1:50" ht="15" x14ac:dyDescent="0.25">
      <c r="A428" s="170"/>
      <c r="B428" s="719"/>
      <c r="C428" s="170"/>
      <c r="D428" s="170"/>
      <c r="E428" s="170"/>
      <c r="F428" s="170"/>
      <c r="G428" s="721"/>
      <c r="H428" s="170"/>
      <c r="I428" s="170"/>
      <c r="J428" s="170"/>
      <c r="K428" s="170"/>
      <c r="L428" s="170"/>
      <c r="M428" s="730"/>
      <c r="N428" s="730"/>
      <c r="O428" s="730"/>
      <c r="P428" s="731"/>
      <c r="Q428" s="731"/>
      <c r="R428" s="730"/>
      <c r="S428" s="730"/>
      <c r="T428" s="723"/>
      <c r="U428" s="724"/>
      <c r="V428" s="725"/>
      <c r="W428" s="725"/>
      <c r="X428" s="723"/>
      <c r="Y428" s="723"/>
      <c r="Z428" s="723"/>
      <c r="AA428" s="726"/>
      <c r="AB428" s="726"/>
      <c r="AC428" s="170"/>
      <c r="AD428" s="586"/>
      <c r="AE428" s="586"/>
      <c r="AF428" s="170"/>
      <c r="AG428" s="170"/>
      <c r="AH428" s="170"/>
      <c r="AI428" s="170"/>
      <c r="AJ428" s="170"/>
      <c r="AK428" s="170"/>
      <c r="AL428" s="170"/>
      <c r="AM428" s="170"/>
      <c r="AN428" s="170"/>
      <c r="AO428" s="170"/>
      <c r="AP428" s="170"/>
      <c r="AQ428" s="170"/>
      <c r="AR428" s="170"/>
      <c r="AS428" s="170"/>
      <c r="AT428" s="170"/>
      <c r="AU428" s="170"/>
      <c r="AV428" s="170"/>
      <c r="AW428" s="170"/>
      <c r="AX428" s="170"/>
    </row>
    <row r="429" spans="1:50" ht="15" x14ac:dyDescent="0.25">
      <c r="A429" s="170"/>
      <c r="B429" s="719"/>
      <c r="C429" s="170"/>
      <c r="D429" s="170"/>
      <c r="E429" s="170"/>
      <c r="F429" s="170"/>
      <c r="G429" s="721"/>
      <c r="H429" s="170"/>
      <c r="I429" s="170"/>
      <c r="J429" s="170"/>
      <c r="K429" s="170"/>
      <c r="L429" s="170"/>
      <c r="M429" s="730"/>
      <c r="N429" s="730"/>
      <c r="O429" s="730"/>
      <c r="P429" s="731"/>
      <c r="Q429" s="731"/>
      <c r="R429" s="730"/>
      <c r="S429" s="730"/>
      <c r="T429" s="723"/>
      <c r="U429" s="724"/>
      <c r="V429" s="725"/>
      <c r="W429" s="725"/>
      <c r="X429" s="723"/>
      <c r="Y429" s="723"/>
      <c r="Z429" s="723"/>
      <c r="AA429" s="726"/>
      <c r="AB429" s="726"/>
      <c r="AC429" s="170"/>
      <c r="AD429" s="586"/>
      <c r="AE429" s="586"/>
      <c r="AF429" s="170"/>
      <c r="AG429" s="170"/>
      <c r="AH429" s="170"/>
      <c r="AI429" s="170"/>
      <c r="AJ429" s="170"/>
      <c r="AK429" s="170"/>
      <c r="AL429" s="170"/>
      <c r="AM429" s="170"/>
      <c r="AN429" s="170"/>
      <c r="AO429" s="170"/>
      <c r="AP429" s="170"/>
      <c r="AQ429" s="170"/>
      <c r="AR429" s="170"/>
      <c r="AS429" s="170"/>
      <c r="AT429" s="170"/>
      <c r="AU429" s="170"/>
      <c r="AV429" s="170"/>
      <c r="AW429" s="170"/>
      <c r="AX429" s="170"/>
    </row>
    <row r="430" spans="1:50" ht="15" x14ac:dyDescent="0.25">
      <c r="A430" s="170"/>
      <c r="B430" s="719"/>
      <c r="C430" s="170"/>
      <c r="D430" s="170"/>
      <c r="E430" s="170"/>
      <c r="F430" s="170"/>
      <c r="G430" s="721"/>
      <c r="H430" s="170"/>
      <c r="I430" s="170"/>
      <c r="J430" s="170"/>
      <c r="K430" s="170"/>
      <c r="L430" s="170"/>
      <c r="M430" s="730"/>
      <c r="N430" s="730"/>
      <c r="O430" s="730"/>
      <c r="P430" s="731"/>
      <c r="Q430" s="731"/>
      <c r="R430" s="730"/>
      <c r="S430" s="730"/>
      <c r="T430" s="723"/>
      <c r="U430" s="724"/>
      <c r="V430" s="725"/>
      <c r="W430" s="725"/>
      <c r="X430" s="723"/>
      <c r="Y430" s="723"/>
      <c r="Z430" s="723"/>
      <c r="AA430" s="726"/>
      <c r="AB430" s="726"/>
      <c r="AC430" s="170"/>
      <c r="AD430" s="586"/>
      <c r="AE430" s="586"/>
      <c r="AF430" s="170"/>
      <c r="AG430" s="170"/>
      <c r="AH430" s="170"/>
      <c r="AI430" s="170"/>
      <c r="AJ430" s="170"/>
      <c r="AK430" s="170"/>
      <c r="AL430" s="170"/>
      <c r="AM430" s="170"/>
      <c r="AN430" s="170"/>
      <c r="AO430" s="170"/>
      <c r="AP430" s="170"/>
      <c r="AQ430" s="170"/>
      <c r="AR430" s="170"/>
      <c r="AS430" s="170"/>
      <c r="AT430" s="170"/>
      <c r="AU430" s="170"/>
      <c r="AV430" s="170"/>
      <c r="AW430" s="170"/>
      <c r="AX430" s="170"/>
    </row>
    <row r="431" spans="1:50" ht="15" x14ac:dyDescent="0.25">
      <c r="A431" s="170"/>
      <c r="B431" s="719"/>
      <c r="C431" s="170"/>
      <c r="D431" s="170"/>
      <c r="E431" s="170"/>
      <c r="F431" s="170"/>
      <c r="G431" s="721"/>
      <c r="H431" s="170"/>
      <c r="I431" s="170"/>
      <c r="J431" s="170"/>
      <c r="K431" s="170"/>
      <c r="L431" s="170"/>
      <c r="M431" s="730"/>
      <c r="N431" s="730"/>
      <c r="O431" s="730"/>
      <c r="P431" s="731"/>
      <c r="Q431" s="731"/>
      <c r="R431" s="730"/>
      <c r="S431" s="730"/>
      <c r="T431" s="723"/>
      <c r="U431" s="724"/>
      <c r="V431" s="725"/>
      <c r="W431" s="725"/>
      <c r="X431" s="723"/>
      <c r="Y431" s="723"/>
      <c r="Z431" s="723"/>
      <c r="AA431" s="726"/>
      <c r="AB431" s="726"/>
      <c r="AC431" s="170"/>
      <c r="AD431" s="586"/>
      <c r="AE431" s="586"/>
      <c r="AF431" s="170"/>
      <c r="AG431" s="170"/>
      <c r="AH431" s="170"/>
      <c r="AI431" s="170"/>
      <c r="AJ431" s="170"/>
      <c r="AK431" s="170"/>
      <c r="AL431" s="170"/>
      <c r="AM431" s="170"/>
      <c r="AN431" s="170"/>
      <c r="AO431" s="170"/>
      <c r="AP431" s="170"/>
      <c r="AQ431" s="170"/>
      <c r="AR431" s="170"/>
      <c r="AS431" s="170"/>
      <c r="AT431" s="170"/>
      <c r="AU431" s="170"/>
      <c r="AV431" s="170"/>
      <c r="AW431" s="170"/>
      <c r="AX431" s="170"/>
    </row>
    <row r="432" spans="1:50" ht="15" x14ac:dyDescent="0.25">
      <c r="A432" s="170"/>
      <c r="B432" s="719"/>
      <c r="C432" s="170"/>
      <c r="D432" s="170"/>
      <c r="E432" s="170"/>
      <c r="F432" s="170"/>
      <c r="G432" s="721"/>
      <c r="H432" s="170"/>
      <c r="I432" s="170"/>
      <c r="J432" s="170"/>
      <c r="K432" s="170"/>
      <c r="L432" s="170"/>
      <c r="M432" s="730"/>
      <c r="N432" s="730"/>
      <c r="O432" s="730"/>
      <c r="P432" s="731"/>
      <c r="Q432" s="731"/>
      <c r="R432" s="730"/>
      <c r="S432" s="730"/>
      <c r="T432" s="723"/>
      <c r="U432" s="724"/>
      <c r="V432" s="725"/>
      <c r="W432" s="725"/>
      <c r="X432" s="723"/>
      <c r="Y432" s="723"/>
      <c r="Z432" s="723"/>
      <c r="AA432" s="726"/>
      <c r="AB432" s="726"/>
      <c r="AC432" s="170"/>
      <c r="AD432" s="586"/>
      <c r="AE432" s="586"/>
      <c r="AF432" s="170"/>
      <c r="AG432" s="170"/>
      <c r="AH432" s="170"/>
      <c r="AI432" s="170"/>
      <c r="AJ432" s="170"/>
      <c r="AK432" s="170"/>
      <c r="AL432" s="170"/>
      <c r="AM432" s="170"/>
      <c r="AN432" s="170"/>
      <c r="AO432" s="170"/>
      <c r="AP432" s="170"/>
      <c r="AQ432" s="170"/>
      <c r="AR432" s="170"/>
      <c r="AS432" s="170"/>
      <c r="AT432" s="170"/>
      <c r="AU432" s="170"/>
      <c r="AV432" s="170"/>
      <c r="AW432" s="170"/>
      <c r="AX432" s="170"/>
    </row>
    <row r="433" spans="1:50" ht="15" x14ac:dyDescent="0.25">
      <c r="A433" s="170"/>
      <c r="B433" s="719"/>
      <c r="C433" s="170"/>
      <c r="D433" s="170"/>
      <c r="E433" s="170"/>
      <c r="F433" s="170"/>
      <c r="G433" s="721"/>
      <c r="H433" s="170"/>
      <c r="I433" s="170"/>
      <c r="J433" s="170"/>
      <c r="K433" s="170"/>
      <c r="L433" s="170"/>
      <c r="M433" s="730"/>
      <c r="N433" s="730"/>
      <c r="O433" s="730"/>
      <c r="P433" s="731"/>
      <c r="Q433" s="731"/>
      <c r="R433" s="730"/>
      <c r="S433" s="730"/>
      <c r="T433" s="723"/>
      <c r="U433" s="724"/>
      <c r="V433" s="725"/>
      <c r="W433" s="725"/>
      <c r="X433" s="723"/>
      <c r="Y433" s="723"/>
      <c r="Z433" s="723"/>
      <c r="AA433" s="726"/>
      <c r="AB433" s="726"/>
      <c r="AC433" s="170"/>
      <c r="AD433" s="586"/>
      <c r="AE433" s="586"/>
      <c r="AF433" s="170"/>
      <c r="AG433" s="170"/>
      <c r="AH433" s="170"/>
      <c r="AI433" s="170"/>
      <c r="AJ433" s="170"/>
      <c r="AK433" s="170"/>
      <c r="AL433" s="170"/>
      <c r="AM433" s="170"/>
      <c r="AN433" s="170"/>
      <c r="AO433" s="170"/>
      <c r="AP433" s="170"/>
      <c r="AQ433" s="170"/>
      <c r="AR433" s="170"/>
      <c r="AS433" s="170"/>
      <c r="AT433" s="170"/>
      <c r="AU433" s="170"/>
      <c r="AV433" s="170"/>
      <c r="AW433" s="170"/>
      <c r="AX433" s="170"/>
    </row>
    <row r="434" spans="1:50" ht="15" x14ac:dyDescent="0.25">
      <c r="A434" s="170"/>
      <c r="B434" s="719"/>
      <c r="C434" s="170"/>
      <c r="D434" s="170"/>
      <c r="E434" s="170"/>
      <c r="F434" s="170"/>
      <c r="G434" s="721"/>
      <c r="H434" s="170"/>
      <c r="I434" s="170"/>
      <c r="J434" s="170"/>
      <c r="K434" s="170"/>
      <c r="L434" s="170"/>
      <c r="M434" s="730"/>
      <c r="N434" s="730"/>
      <c r="O434" s="730"/>
      <c r="P434" s="731"/>
      <c r="Q434" s="731"/>
      <c r="R434" s="730"/>
      <c r="S434" s="730"/>
      <c r="T434" s="723"/>
      <c r="U434" s="724"/>
      <c r="V434" s="725"/>
      <c r="W434" s="725"/>
      <c r="X434" s="723"/>
      <c r="Y434" s="723"/>
      <c r="Z434" s="723"/>
      <c r="AA434" s="726"/>
      <c r="AB434" s="726"/>
      <c r="AC434" s="170"/>
      <c r="AD434" s="586"/>
      <c r="AE434" s="586"/>
      <c r="AF434" s="170"/>
      <c r="AG434" s="170"/>
      <c r="AH434" s="170"/>
      <c r="AI434" s="170"/>
      <c r="AJ434" s="170"/>
      <c r="AK434" s="170"/>
      <c r="AL434" s="170"/>
      <c r="AM434" s="170"/>
      <c r="AN434" s="170"/>
      <c r="AO434" s="170"/>
      <c r="AP434" s="170"/>
      <c r="AQ434" s="170"/>
      <c r="AR434" s="170"/>
      <c r="AS434" s="170"/>
      <c r="AT434" s="170"/>
      <c r="AU434" s="170"/>
      <c r="AV434" s="170"/>
      <c r="AW434" s="170"/>
      <c r="AX434" s="170"/>
    </row>
    <row r="435" spans="1:50" ht="15" x14ac:dyDescent="0.25">
      <c r="A435" s="170"/>
      <c r="B435" s="719"/>
      <c r="C435" s="170"/>
      <c r="D435" s="170"/>
      <c r="E435" s="170"/>
      <c r="F435" s="170"/>
      <c r="G435" s="721"/>
      <c r="H435" s="170"/>
      <c r="I435" s="170"/>
      <c r="J435" s="170"/>
      <c r="K435" s="170"/>
      <c r="L435" s="170"/>
      <c r="M435" s="730"/>
      <c r="N435" s="730"/>
      <c r="O435" s="730"/>
      <c r="P435" s="731"/>
      <c r="Q435" s="731"/>
      <c r="R435" s="730"/>
      <c r="S435" s="730"/>
      <c r="T435" s="723"/>
      <c r="U435" s="724"/>
      <c r="V435" s="725"/>
      <c r="W435" s="725"/>
      <c r="X435" s="723"/>
      <c r="Y435" s="723"/>
      <c r="Z435" s="723"/>
      <c r="AA435" s="726"/>
      <c r="AB435" s="726"/>
      <c r="AC435" s="170"/>
      <c r="AD435" s="586"/>
      <c r="AE435" s="586"/>
      <c r="AF435" s="170"/>
      <c r="AG435" s="170"/>
      <c r="AH435" s="170"/>
      <c r="AI435" s="170"/>
      <c r="AJ435" s="170"/>
      <c r="AK435" s="170"/>
      <c r="AL435" s="170"/>
      <c r="AM435" s="170"/>
      <c r="AN435" s="170"/>
      <c r="AO435" s="170"/>
      <c r="AP435" s="170"/>
      <c r="AQ435" s="170"/>
      <c r="AR435" s="170"/>
      <c r="AS435" s="170"/>
      <c r="AT435" s="170"/>
      <c r="AU435" s="170"/>
      <c r="AV435" s="170"/>
      <c r="AW435" s="170"/>
      <c r="AX435" s="170"/>
    </row>
    <row r="436" spans="1:50" ht="15" x14ac:dyDescent="0.25">
      <c r="A436" s="170"/>
      <c r="B436" s="719"/>
      <c r="C436" s="170"/>
      <c r="D436" s="170"/>
      <c r="E436" s="170"/>
      <c r="F436" s="170"/>
      <c r="G436" s="721"/>
      <c r="H436" s="170"/>
      <c r="I436" s="170"/>
      <c r="J436" s="170"/>
      <c r="K436" s="170"/>
      <c r="L436" s="170"/>
      <c r="M436" s="730"/>
      <c r="N436" s="730"/>
      <c r="O436" s="730"/>
      <c r="P436" s="731"/>
      <c r="Q436" s="731"/>
      <c r="R436" s="730"/>
      <c r="S436" s="730"/>
      <c r="T436" s="723"/>
      <c r="U436" s="724"/>
      <c r="V436" s="725"/>
      <c r="W436" s="725"/>
      <c r="X436" s="723"/>
      <c r="Y436" s="723"/>
      <c r="Z436" s="723"/>
      <c r="AA436" s="726"/>
      <c r="AB436" s="726"/>
      <c r="AC436" s="170"/>
      <c r="AD436" s="586"/>
      <c r="AE436" s="586"/>
      <c r="AF436" s="170"/>
      <c r="AG436" s="170"/>
      <c r="AH436" s="170"/>
      <c r="AI436" s="170"/>
      <c r="AJ436" s="170"/>
      <c r="AK436" s="170"/>
      <c r="AL436" s="170"/>
      <c r="AM436" s="170"/>
      <c r="AN436" s="170"/>
      <c r="AO436" s="170"/>
      <c r="AP436" s="170"/>
      <c r="AQ436" s="170"/>
      <c r="AR436" s="170"/>
      <c r="AS436" s="170"/>
      <c r="AT436" s="170"/>
      <c r="AU436" s="170"/>
      <c r="AV436" s="170"/>
      <c r="AW436" s="170"/>
      <c r="AX436" s="170"/>
    </row>
    <row r="437" spans="1:50" ht="15" x14ac:dyDescent="0.25">
      <c r="A437" s="170"/>
      <c r="B437" s="719"/>
      <c r="C437" s="170"/>
      <c r="D437" s="170"/>
      <c r="E437" s="170"/>
      <c r="F437" s="170"/>
      <c r="G437" s="721"/>
      <c r="H437" s="170"/>
      <c r="I437" s="170"/>
      <c r="J437" s="170"/>
      <c r="K437" s="170"/>
      <c r="L437" s="170"/>
      <c r="M437" s="730"/>
      <c r="N437" s="730"/>
      <c r="O437" s="730"/>
      <c r="P437" s="731"/>
      <c r="Q437" s="731"/>
      <c r="R437" s="730"/>
      <c r="S437" s="730"/>
      <c r="T437" s="723"/>
      <c r="U437" s="724"/>
      <c r="V437" s="725"/>
      <c r="W437" s="725"/>
      <c r="X437" s="723"/>
      <c r="Y437" s="723"/>
      <c r="Z437" s="723"/>
      <c r="AA437" s="726"/>
      <c r="AB437" s="726"/>
      <c r="AC437" s="170"/>
      <c r="AD437" s="586"/>
      <c r="AE437" s="586"/>
      <c r="AF437" s="170"/>
      <c r="AG437" s="170"/>
      <c r="AH437" s="170"/>
      <c r="AI437" s="170"/>
      <c r="AJ437" s="170"/>
      <c r="AK437" s="170"/>
      <c r="AL437" s="170"/>
      <c r="AM437" s="170"/>
      <c r="AN437" s="170"/>
      <c r="AO437" s="170"/>
      <c r="AP437" s="170"/>
      <c r="AQ437" s="170"/>
      <c r="AR437" s="170"/>
      <c r="AS437" s="170"/>
      <c r="AT437" s="170"/>
      <c r="AU437" s="170"/>
      <c r="AV437" s="170"/>
      <c r="AW437" s="170"/>
      <c r="AX437" s="170"/>
    </row>
    <row r="438" spans="1:50" ht="15" x14ac:dyDescent="0.25">
      <c r="A438" s="170"/>
      <c r="B438" s="719"/>
      <c r="C438" s="170"/>
      <c r="D438" s="170"/>
      <c r="E438" s="170"/>
      <c r="F438" s="170"/>
      <c r="G438" s="721"/>
      <c r="H438" s="170"/>
      <c r="I438" s="170"/>
      <c r="J438" s="170"/>
      <c r="K438" s="170"/>
      <c r="L438" s="170"/>
      <c r="M438" s="730"/>
      <c r="N438" s="730"/>
      <c r="O438" s="730"/>
      <c r="P438" s="731"/>
      <c r="Q438" s="731"/>
      <c r="R438" s="730"/>
      <c r="S438" s="730"/>
      <c r="T438" s="723"/>
      <c r="U438" s="724"/>
      <c r="V438" s="725"/>
      <c r="W438" s="725"/>
      <c r="X438" s="723"/>
      <c r="Y438" s="723"/>
      <c r="Z438" s="723"/>
      <c r="AA438" s="726"/>
      <c r="AB438" s="726"/>
      <c r="AC438" s="170"/>
      <c r="AD438" s="586"/>
      <c r="AE438" s="586"/>
      <c r="AF438" s="170"/>
      <c r="AG438" s="170"/>
      <c r="AH438" s="170"/>
      <c r="AI438" s="170"/>
      <c r="AJ438" s="170"/>
      <c r="AK438" s="170"/>
      <c r="AL438" s="170"/>
      <c r="AM438" s="170"/>
      <c r="AN438" s="170"/>
      <c r="AO438" s="170"/>
      <c r="AP438" s="170"/>
      <c r="AQ438" s="170"/>
      <c r="AR438" s="170"/>
      <c r="AS438" s="170"/>
      <c r="AT438" s="170"/>
      <c r="AU438" s="170"/>
      <c r="AV438" s="170"/>
      <c r="AW438" s="170"/>
      <c r="AX438" s="170"/>
    </row>
    <row r="439" spans="1:50" ht="15" x14ac:dyDescent="0.25">
      <c r="A439" s="170"/>
      <c r="B439" s="719"/>
      <c r="C439" s="170"/>
      <c r="D439" s="170"/>
      <c r="E439" s="170"/>
      <c r="F439" s="170"/>
      <c r="G439" s="721"/>
      <c r="H439" s="170"/>
      <c r="I439" s="170"/>
      <c r="J439" s="170"/>
      <c r="K439" s="170"/>
      <c r="L439" s="170"/>
      <c r="M439" s="730"/>
      <c r="N439" s="730"/>
      <c r="O439" s="730"/>
      <c r="P439" s="731"/>
      <c r="Q439" s="731"/>
      <c r="R439" s="730"/>
      <c r="S439" s="730"/>
      <c r="T439" s="723"/>
      <c r="U439" s="724"/>
      <c r="V439" s="725"/>
      <c r="W439" s="725"/>
      <c r="X439" s="723"/>
      <c r="Y439" s="723"/>
      <c r="Z439" s="723"/>
      <c r="AA439" s="726"/>
      <c r="AB439" s="726"/>
      <c r="AC439" s="170"/>
      <c r="AD439" s="586"/>
      <c r="AE439" s="586"/>
      <c r="AF439" s="170"/>
      <c r="AG439" s="170"/>
      <c r="AH439" s="170"/>
      <c r="AI439" s="170"/>
      <c r="AJ439" s="170"/>
      <c r="AK439" s="170"/>
      <c r="AL439" s="170"/>
      <c r="AM439" s="170"/>
      <c r="AN439" s="170"/>
      <c r="AO439" s="170"/>
      <c r="AP439" s="170"/>
      <c r="AQ439" s="170"/>
      <c r="AR439" s="170"/>
      <c r="AS439" s="170"/>
      <c r="AT439" s="170"/>
      <c r="AU439" s="170"/>
      <c r="AV439" s="170"/>
      <c r="AW439" s="170"/>
      <c r="AX439" s="170"/>
    </row>
    <row r="440" spans="1:50" ht="15" x14ac:dyDescent="0.25">
      <c r="A440" s="170"/>
      <c r="B440" s="719"/>
      <c r="C440" s="170"/>
      <c r="D440" s="170"/>
      <c r="E440" s="170"/>
      <c r="F440" s="170"/>
      <c r="G440" s="721"/>
      <c r="H440" s="170"/>
      <c r="I440" s="170"/>
      <c r="J440" s="170"/>
      <c r="K440" s="170"/>
      <c r="L440" s="170"/>
      <c r="M440" s="730"/>
      <c r="N440" s="730"/>
      <c r="O440" s="730"/>
      <c r="P440" s="731"/>
      <c r="Q440" s="731"/>
      <c r="R440" s="730"/>
      <c r="S440" s="730"/>
      <c r="T440" s="723"/>
      <c r="U440" s="724"/>
      <c r="V440" s="725"/>
      <c r="W440" s="725"/>
      <c r="X440" s="723"/>
      <c r="Y440" s="723"/>
      <c r="Z440" s="723"/>
      <c r="AA440" s="726"/>
      <c r="AB440" s="726"/>
      <c r="AC440" s="170"/>
      <c r="AD440" s="586"/>
      <c r="AE440" s="586"/>
      <c r="AF440" s="170"/>
      <c r="AG440" s="170"/>
      <c r="AH440" s="170"/>
      <c r="AI440" s="170"/>
      <c r="AJ440" s="170"/>
      <c r="AK440" s="170"/>
      <c r="AL440" s="170"/>
      <c r="AM440" s="170"/>
      <c r="AN440" s="170"/>
      <c r="AO440" s="170"/>
      <c r="AP440" s="170"/>
      <c r="AQ440" s="170"/>
      <c r="AR440" s="170"/>
      <c r="AS440" s="170"/>
      <c r="AT440" s="170"/>
      <c r="AU440" s="170"/>
      <c r="AV440" s="170"/>
      <c r="AW440" s="170"/>
      <c r="AX440" s="170"/>
    </row>
    <row r="441" spans="1:50" ht="15" x14ac:dyDescent="0.25">
      <c r="A441" s="170"/>
      <c r="B441" s="719"/>
      <c r="C441" s="170"/>
      <c r="D441" s="170"/>
      <c r="E441" s="170"/>
      <c r="F441" s="170"/>
      <c r="G441" s="721"/>
      <c r="H441" s="170"/>
      <c r="I441" s="170"/>
      <c r="J441" s="170"/>
      <c r="K441" s="170"/>
      <c r="L441" s="170"/>
      <c r="M441" s="730"/>
      <c r="N441" s="730"/>
      <c r="O441" s="730"/>
      <c r="P441" s="731"/>
      <c r="Q441" s="731"/>
      <c r="R441" s="730"/>
      <c r="S441" s="730"/>
      <c r="T441" s="723"/>
      <c r="U441" s="724"/>
      <c r="V441" s="725"/>
      <c r="W441" s="725"/>
      <c r="X441" s="723"/>
      <c r="Y441" s="723"/>
      <c r="Z441" s="723"/>
      <c r="AA441" s="726"/>
      <c r="AB441" s="726"/>
      <c r="AC441" s="170"/>
      <c r="AD441" s="586"/>
      <c r="AE441" s="586"/>
      <c r="AF441" s="170"/>
      <c r="AG441" s="170"/>
      <c r="AH441" s="170"/>
      <c r="AI441" s="170"/>
      <c r="AJ441" s="170"/>
      <c r="AK441" s="170"/>
      <c r="AL441" s="170"/>
      <c r="AM441" s="170"/>
      <c r="AN441" s="170"/>
      <c r="AO441" s="170"/>
      <c r="AP441" s="170"/>
      <c r="AQ441" s="170"/>
      <c r="AR441" s="170"/>
      <c r="AS441" s="170"/>
      <c r="AT441" s="170"/>
      <c r="AU441" s="170"/>
      <c r="AV441" s="170"/>
      <c r="AW441" s="170"/>
      <c r="AX441" s="170"/>
    </row>
    <row r="442" spans="1:50" ht="15" x14ac:dyDescent="0.25">
      <c r="A442" s="170"/>
      <c r="B442" s="719"/>
      <c r="C442" s="170"/>
      <c r="D442" s="170"/>
      <c r="E442" s="170"/>
      <c r="F442" s="170"/>
      <c r="G442" s="721"/>
      <c r="H442" s="170"/>
      <c r="I442" s="170"/>
      <c r="J442" s="170"/>
      <c r="K442" s="170"/>
      <c r="L442" s="170"/>
      <c r="M442" s="730"/>
      <c r="N442" s="730"/>
      <c r="O442" s="730"/>
      <c r="P442" s="731"/>
      <c r="Q442" s="731"/>
      <c r="R442" s="730"/>
      <c r="S442" s="730"/>
      <c r="T442" s="723"/>
      <c r="U442" s="724"/>
      <c r="V442" s="725"/>
      <c r="W442" s="725"/>
      <c r="X442" s="723"/>
      <c r="Y442" s="723"/>
      <c r="Z442" s="723"/>
      <c r="AA442" s="726"/>
      <c r="AB442" s="726"/>
      <c r="AC442" s="170"/>
      <c r="AD442" s="586"/>
      <c r="AE442" s="586"/>
      <c r="AF442" s="170"/>
      <c r="AG442" s="170"/>
      <c r="AH442" s="170"/>
      <c r="AI442" s="170"/>
      <c r="AJ442" s="170"/>
      <c r="AK442" s="170"/>
      <c r="AL442" s="170"/>
      <c r="AM442" s="170"/>
      <c r="AN442" s="170"/>
      <c r="AO442" s="170"/>
      <c r="AP442" s="170"/>
      <c r="AQ442" s="170"/>
      <c r="AR442" s="170"/>
      <c r="AS442" s="170"/>
      <c r="AT442" s="170"/>
      <c r="AU442" s="170"/>
      <c r="AV442" s="170"/>
      <c r="AW442" s="170"/>
      <c r="AX442" s="170"/>
    </row>
    <row r="443" spans="1:50" ht="15" x14ac:dyDescent="0.25">
      <c r="A443" s="170"/>
      <c r="B443" s="719"/>
      <c r="C443" s="170"/>
      <c r="D443" s="170"/>
      <c r="E443" s="170"/>
      <c r="F443" s="170"/>
      <c r="G443" s="721"/>
      <c r="H443" s="170"/>
      <c r="I443" s="170"/>
      <c r="J443" s="170"/>
      <c r="K443" s="170"/>
      <c r="L443" s="170"/>
      <c r="M443" s="730"/>
      <c r="N443" s="730"/>
      <c r="O443" s="730"/>
      <c r="P443" s="731"/>
      <c r="Q443" s="731"/>
      <c r="R443" s="730"/>
      <c r="S443" s="730"/>
      <c r="T443" s="723"/>
      <c r="U443" s="724"/>
      <c r="V443" s="725"/>
      <c r="W443" s="725"/>
      <c r="X443" s="723"/>
      <c r="Y443" s="723"/>
      <c r="Z443" s="723"/>
      <c r="AA443" s="726"/>
      <c r="AB443" s="726"/>
      <c r="AC443" s="170"/>
      <c r="AD443" s="586"/>
      <c r="AE443" s="586"/>
      <c r="AF443" s="170"/>
      <c r="AG443" s="170"/>
      <c r="AH443" s="170"/>
      <c r="AI443" s="170"/>
      <c r="AJ443" s="170"/>
      <c r="AK443" s="170"/>
      <c r="AL443" s="170"/>
      <c r="AM443" s="170"/>
      <c r="AN443" s="170"/>
      <c r="AO443" s="170"/>
      <c r="AP443" s="170"/>
      <c r="AQ443" s="170"/>
      <c r="AR443" s="170"/>
      <c r="AS443" s="170"/>
      <c r="AT443" s="170"/>
      <c r="AU443" s="170"/>
      <c r="AV443" s="170"/>
      <c r="AW443" s="170"/>
      <c r="AX443" s="170"/>
    </row>
    <row r="444" spans="1:50" ht="15" x14ac:dyDescent="0.25">
      <c r="A444" s="170"/>
      <c r="B444" s="719"/>
      <c r="C444" s="170"/>
      <c r="D444" s="170"/>
      <c r="E444" s="170"/>
      <c r="F444" s="170"/>
      <c r="G444" s="721"/>
      <c r="H444" s="170"/>
      <c r="I444" s="170"/>
      <c r="J444" s="170"/>
      <c r="K444" s="170"/>
      <c r="L444" s="170"/>
      <c r="M444" s="730"/>
      <c r="N444" s="730"/>
      <c r="O444" s="730"/>
      <c r="P444" s="731"/>
      <c r="Q444" s="731"/>
      <c r="R444" s="730"/>
      <c r="S444" s="730"/>
      <c r="T444" s="723"/>
      <c r="U444" s="724"/>
      <c r="V444" s="725"/>
      <c r="W444" s="725"/>
      <c r="X444" s="723"/>
      <c r="Y444" s="723"/>
      <c r="Z444" s="723"/>
      <c r="AA444" s="726"/>
      <c r="AB444" s="726"/>
      <c r="AC444" s="170"/>
      <c r="AD444" s="586"/>
      <c r="AE444" s="586"/>
      <c r="AF444" s="170"/>
      <c r="AG444" s="170"/>
      <c r="AH444" s="170"/>
      <c r="AI444" s="170"/>
      <c r="AJ444" s="170"/>
      <c r="AK444" s="170"/>
      <c r="AL444" s="170"/>
      <c r="AM444" s="170"/>
      <c r="AN444" s="170"/>
      <c r="AO444" s="170"/>
      <c r="AP444" s="170"/>
      <c r="AQ444" s="170"/>
      <c r="AR444" s="170"/>
      <c r="AS444" s="170"/>
      <c r="AT444" s="170"/>
      <c r="AU444" s="170"/>
      <c r="AV444" s="170"/>
      <c r="AW444" s="170"/>
      <c r="AX444" s="170"/>
    </row>
    <row r="445" spans="1:50" ht="15" x14ac:dyDescent="0.25">
      <c r="A445" s="170"/>
      <c r="B445" s="719"/>
      <c r="C445" s="170"/>
      <c r="D445" s="170"/>
      <c r="E445" s="170"/>
      <c r="F445" s="170"/>
      <c r="G445" s="721"/>
      <c r="H445" s="170"/>
      <c r="I445" s="170"/>
      <c r="J445" s="170"/>
      <c r="K445" s="170"/>
      <c r="L445" s="170"/>
      <c r="M445" s="730"/>
      <c r="N445" s="730"/>
      <c r="O445" s="730"/>
      <c r="P445" s="731"/>
      <c r="Q445" s="731"/>
      <c r="R445" s="730"/>
      <c r="S445" s="730"/>
      <c r="T445" s="723"/>
      <c r="U445" s="724"/>
      <c r="V445" s="725"/>
      <c r="W445" s="725"/>
      <c r="X445" s="723"/>
      <c r="Y445" s="723"/>
      <c r="Z445" s="723"/>
      <c r="AA445" s="726"/>
      <c r="AB445" s="726"/>
      <c r="AC445" s="170"/>
      <c r="AD445" s="586"/>
      <c r="AE445" s="586"/>
      <c r="AF445" s="170"/>
      <c r="AG445" s="170"/>
      <c r="AH445" s="170"/>
      <c r="AI445" s="170"/>
      <c r="AJ445" s="170"/>
      <c r="AK445" s="170"/>
      <c r="AL445" s="170"/>
      <c r="AM445" s="170"/>
      <c r="AN445" s="170"/>
      <c r="AO445" s="170"/>
      <c r="AP445" s="170"/>
      <c r="AQ445" s="170"/>
      <c r="AR445" s="170"/>
      <c r="AS445" s="170"/>
      <c r="AT445" s="170"/>
      <c r="AU445" s="170"/>
      <c r="AV445" s="170"/>
      <c r="AW445" s="170"/>
      <c r="AX445" s="170"/>
    </row>
    <row r="446" spans="1:50" ht="15" x14ac:dyDescent="0.25">
      <c r="A446" s="170"/>
      <c r="B446" s="719"/>
      <c r="C446" s="170"/>
      <c r="D446" s="170"/>
      <c r="E446" s="170"/>
      <c r="F446" s="170"/>
      <c r="G446" s="721"/>
      <c r="H446" s="170"/>
      <c r="I446" s="170"/>
      <c r="J446" s="170"/>
      <c r="K446" s="170"/>
      <c r="L446" s="170"/>
      <c r="M446" s="730"/>
      <c r="N446" s="730"/>
      <c r="O446" s="730"/>
      <c r="P446" s="731"/>
      <c r="Q446" s="731"/>
      <c r="R446" s="730"/>
      <c r="S446" s="730"/>
      <c r="T446" s="723"/>
      <c r="U446" s="724"/>
      <c r="V446" s="725"/>
      <c r="W446" s="725"/>
      <c r="X446" s="723"/>
      <c r="Y446" s="723"/>
      <c r="Z446" s="723"/>
      <c r="AA446" s="726"/>
      <c r="AB446" s="726"/>
      <c r="AC446" s="170"/>
      <c r="AD446" s="586"/>
      <c r="AE446" s="586"/>
      <c r="AF446" s="170"/>
      <c r="AG446" s="170"/>
      <c r="AH446" s="170"/>
      <c r="AI446" s="170"/>
      <c r="AJ446" s="170"/>
      <c r="AK446" s="170"/>
      <c r="AL446" s="170"/>
      <c r="AM446" s="170"/>
      <c r="AN446" s="170"/>
      <c r="AO446" s="170"/>
      <c r="AP446" s="170"/>
      <c r="AQ446" s="170"/>
      <c r="AR446" s="170"/>
      <c r="AS446" s="170"/>
      <c r="AT446" s="170"/>
      <c r="AU446" s="170"/>
      <c r="AV446" s="170"/>
      <c r="AW446" s="170"/>
      <c r="AX446" s="170"/>
    </row>
    <row r="447" spans="1:50" ht="15" x14ac:dyDescent="0.25">
      <c r="A447" s="170"/>
      <c r="B447" s="719"/>
      <c r="C447" s="170"/>
      <c r="D447" s="170"/>
      <c r="E447" s="170"/>
      <c r="F447" s="170"/>
      <c r="G447" s="721"/>
      <c r="H447" s="170"/>
      <c r="I447" s="170"/>
      <c r="J447" s="170"/>
      <c r="K447" s="170"/>
      <c r="L447" s="170"/>
      <c r="M447" s="730"/>
      <c r="N447" s="730"/>
      <c r="O447" s="730"/>
      <c r="P447" s="731"/>
      <c r="Q447" s="731"/>
      <c r="R447" s="730"/>
      <c r="S447" s="730"/>
      <c r="T447" s="723"/>
      <c r="U447" s="724"/>
      <c r="V447" s="725"/>
      <c r="W447" s="725"/>
      <c r="X447" s="723"/>
      <c r="Y447" s="723"/>
      <c r="Z447" s="723"/>
      <c r="AA447" s="726"/>
      <c r="AB447" s="726"/>
      <c r="AC447" s="170"/>
      <c r="AD447" s="586"/>
      <c r="AE447" s="586"/>
      <c r="AF447" s="170"/>
      <c r="AG447" s="170"/>
      <c r="AH447" s="170"/>
      <c r="AI447" s="170"/>
      <c r="AJ447" s="170"/>
      <c r="AK447" s="170"/>
      <c r="AL447" s="170"/>
      <c r="AM447" s="170"/>
      <c r="AN447" s="170"/>
      <c r="AO447" s="170"/>
      <c r="AP447" s="170"/>
      <c r="AQ447" s="170"/>
      <c r="AR447" s="170"/>
      <c r="AS447" s="170"/>
      <c r="AT447" s="170"/>
      <c r="AU447" s="170"/>
      <c r="AV447" s="170"/>
      <c r="AW447" s="170"/>
      <c r="AX447" s="170"/>
    </row>
    <row r="448" spans="1:50" ht="15" x14ac:dyDescent="0.25">
      <c r="A448" s="170"/>
      <c r="B448" s="719"/>
      <c r="C448" s="170"/>
      <c r="D448" s="170"/>
      <c r="E448" s="170"/>
      <c r="F448" s="170"/>
      <c r="G448" s="721"/>
      <c r="H448" s="170"/>
      <c r="I448" s="170"/>
      <c r="J448" s="170"/>
      <c r="K448" s="170"/>
      <c r="L448" s="170"/>
      <c r="M448" s="730"/>
      <c r="N448" s="730"/>
      <c r="O448" s="730"/>
      <c r="P448" s="731"/>
      <c r="Q448" s="731"/>
      <c r="R448" s="730"/>
      <c r="S448" s="730"/>
      <c r="T448" s="723"/>
      <c r="U448" s="724"/>
      <c r="V448" s="725"/>
      <c r="W448" s="725"/>
      <c r="X448" s="723"/>
      <c r="Y448" s="723"/>
      <c r="Z448" s="723"/>
      <c r="AA448" s="726"/>
      <c r="AB448" s="726"/>
      <c r="AC448" s="170"/>
      <c r="AD448" s="586"/>
      <c r="AE448" s="586"/>
      <c r="AF448" s="170"/>
      <c r="AG448" s="170"/>
      <c r="AH448" s="170"/>
      <c r="AI448" s="170"/>
      <c r="AJ448" s="170"/>
      <c r="AK448" s="170"/>
      <c r="AL448" s="170"/>
      <c r="AM448" s="170"/>
      <c r="AN448" s="170"/>
      <c r="AO448" s="170"/>
      <c r="AP448" s="170"/>
      <c r="AQ448" s="170"/>
      <c r="AR448" s="170"/>
      <c r="AS448" s="170"/>
      <c r="AT448" s="170"/>
      <c r="AU448" s="170"/>
      <c r="AV448" s="170"/>
      <c r="AW448" s="170"/>
      <c r="AX448" s="170"/>
    </row>
    <row r="449" spans="1:50" ht="15" x14ac:dyDescent="0.25">
      <c r="A449" s="170"/>
      <c r="B449" s="719"/>
      <c r="C449" s="170"/>
      <c r="D449" s="170"/>
      <c r="E449" s="170"/>
      <c r="F449" s="170"/>
      <c r="G449" s="721"/>
      <c r="H449" s="170"/>
      <c r="I449" s="170"/>
      <c r="J449" s="170"/>
      <c r="K449" s="170"/>
      <c r="L449" s="170"/>
      <c r="M449" s="730"/>
      <c r="N449" s="730"/>
      <c r="O449" s="730"/>
      <c r="P449" s="731"/>
      <c r="Q449" s="731"/>
      <c r="R449" s="730"/>
      <c r="S449" s="730"/>
      <c r="T449" s="723"/>
      <c r="U449" s="724"/>
      <c r="V449" s="725"/>
      <c r="W449" s="725"/>
      <c r="X449" s="723"/>
      <c r="Y449" s="723"/>
      <c r="Z449" s="723"/>
      <c r="AA449" s="726"/>
      <c r="AB449" s="726"/>
      <c r="AC449" s="170"/>
      <c r="AD449" s="586"/>
      <c r="AE449" s="586"/>
      <c r="AF449" s="170"/>
      <c r="AG449" s="170"/>
      <c r="AH449" s="170"/>
      <c r="AI449" s="170"/>
      <c r="AJ449" s="170"/>
      <c r="AK449" s="170"/>
      <c r="AL449" s="170"/>
      <c r="AM449" s="170"/>
      <c r="AN449" s="170"/>
      <c r="AO449" s="170"/>
      <c r="AP449" s="170"/>
      <c r="AQ449" s="170"/>
      <c r="AR449" s="170"/>
      <c r="AS449" s="170"/>
      <c r="AT449" s="170"/>
      <c r="AU449" s="170"/>
      <c r="AV449" s="170"/>
      <c r="AW449" s="170"/>
      <c r="AX449" s="170"/>
    </row>
    <row r="450" spans="1:50" ht="15" x14ac:dyDescent="0.25">
      <c r="A450" s="170"/>
      <c r="B450" s="719"/>
      <c r="C450" s="170"/>
      <c r="D450" s="170"/>
      <c r="E450" s="170"/>
      <c r="F450" s="170"/>
      <c r="G450" s="721"/>
      <c r="H450" s="170"/>
      <c r="I450" s="170"/>
      <c r="J450" s="170"/>
      <c r="K450" s="170"/>
      <c r="L450" s="170"/>
      <c r="M450" s="730"/>
      <c r="N450" s="730"/>
      <c r="O450" s="730"/>
      <c r="P450" s="731"/>
      <c r="Q450" s="731"/>
      <c r="R450" s="730"/>
      <c r="S450" s="730"/>
      <c r="T450" s="723"/>
      <c r="U450" s="724"/>
      <c r="V450" s="725"/>
      <c r="W450" s="725"/>
      <c r="X450" s="723"/>
      <c r="Y450" s="723"/>
      <c r="Z450" s="723"/>
      <c r="AA450" s="726"/>
      <c r="AB450" s="726"/>
      <c r="AC450" s="170"/>
      <c r="AD450" s="586"/>
      <c r="AE450" s="586"/>
      <c r="AF450" s="170"/>
      <c r="AG450" s="170"/>
      <c r="AH450" s="170"/>
      <c r="AI450" s="170"/>
      <c r="AJ450" s="170"/>
      <c r="AK450" s="170"/>
      <c r="AL450" s="170"/>
      <c r="AM450" s="170"/>
      <c r="AN450" s="170"/>
      <c r="AO450" s="170"/>
      <c r="AP450" s="170"/>
      <c r="AQ450" s="170"/>
      <c r="AR450" s="170"/>
      <c r="AS450" s="170"/>
      <c r="AT450" s="170"/>
      <c r="AU450" s="170"/>
      <c r="AV450" s="170"/>
      <c r="AW450" s="170"/>
      <c r="AX450" s="170"/>
    </row>
    <row r="451" spans="1:50" ht="15" x14ac:dyDescent="0.25">
      <c r="A451" s="170"/>
      <c r="B451" s="719"/>
      <c r="C451" s="170"/>
      <c r="D451" s="170"/>
      <c r="E451" s="170"/>
      <c r="F451" s="170"/>
      <c r="G451" s="721"/>
      <c r="H451" s="170"/>
      <c r="I451" s="170"/>
      <c r="J451" s="170"/>
      <c r="K451" s="170"/>
      <c r="L451" s="170"/>
      <c r="M451" s="730"/>
      <c r="N451" s="730"/>
      <c r="O451" s="730"/>
      <c r="P451" s="731"/>
      <c r="Q451" s="731"/>
      <c r="R451" s="730"/>
      <c r="S451" s="730"/>
      <c r="T451" s="723"/>
      <c r="U451" s="724"/>
      <c r="V451" s="725"/>
      <c r="W451" s="725"/>
      <c r="X451" s="723"/>
      <c r="Y451" s="723"/>
      <c r="Z451" s="723"/>
      <c r="AA451" s="726"/>
      <c r="AB451" s="726"/>
      <c r="AC451" s="170"/>
      <c r="AD451" s="586"/>
      <c r="AE451" s="586"/>
      <c r="AF451" s="170"/>
      <c r="AG451" s="170"/>
      <c r="AH451" s="170"/>
      <c r="AI451" s="170"/>
      <c r="AJ451" s="170"/>
      <c r="AK451" s="170"/>
      <c r="AL451" s="170"/>
      <c r="AM451" s="170"/>
      <c r="AN451" s="170"/>
      <c r="AO451" s="170"/>
      <c r="AP451" s="170"/>
      <c r="AQ451" s="170"/>
      <c r="AR451" s="170"/>
      <c r="AS451" s="170"/>
      <c r="AT451" s="170"/>
      <c r="AU451" s="170"/>
      <c r="AV451" s="170"/>
      <c r="AW451" s="170"/>
      <c r="AX451" s="170"/>
    </row>
    <row r="452" spans="1:50" ht="15" x14ac:dyDescent="0.25">
      <c r="A452" s="170"/>
      <c r="B452" s="719"/>
      <c r="C452" s="170"/>
      <c r="D452" s="170"/>
      <c r="E452" s="170"/>
      <c r="F452" s="170"/>
      <c r="G452" s="721"/>
      <c r="H452" s="170"/>
      <c r="I452" s="170"/>
      <c r="J452" s="170"/>
      <c r="K452" s="170"/>
      <c r="L452" s="170"/>
      <c r="M452" s="730"/>
      <c r="N452" s="730"/>
      <c r="O452" s="730"/>
      <c r="P452" s="731"/>
      <c r="Q452" s="731"/>
      <c r="R452" s="730"/>
      <c r="S452" s="730"/>
      <c r="T452" s="723"/>
      <c r="U452" s="724"/>
      <c r="V452" s="725"/>
      <c r="W452" s="725"/>
      <c r="X452" s="723"/>
      <c r="Y452" s="723"/>
      <c r="Z452" s="723"/>
      <c r="AA452" s="726"/>
      <c r="AB452" s="726"/>
      <c r="AC452" s="170"/>
      <c r="AD452" s="586"/>
      <c r="AE452" s="586"/>
      <c r="AF452" s="170"/>
      <c r="AG452" s="170"/>
      <c r="AH452" s="170"/>
      <c r="AI452" s="170"/>
      <c r="AJ452" s="170"/>
      <c r="AK452" s="170"/>
      <c r="AL452" s="170"/>
      <c r="AM452" s="170"/>
      <c r="AN452" s="170"/>
      <c r="AO452" s="170"/>
      <c r="AP452" s="170"/>
      <c r="AQ452" s="170"/>
      <c r="AR452" s="170"/>
      <c r="AS452" s="170"/>
      <c r="AT452" s="170"/>
      <c r="AU452" s="170"/>
      <c r="AV452" s="170"/>
      <c r="AW452" s="170"/>
      <c r="AX452" s="170"/>
    </row>
    <row r="453" spans="1:50" ht="15" x14ac:dyDescent="0.25">
      <c r="A453" s="170"/>
      <c r="B453" s="719"/>
      <c r="C453" s="170"/>
      <c r="D453" s="170"/>
      <c r="E453" s="170"/>
      <c r="F453" s="170"/>
      <c r="G453" s="721"/>
      <c r="H453" s="170"/>
      <c r="I453" s="170"/>
      <c r="J453" s="170"/>
      <c r="K453" s="170"/>
      <c r="L453" s="170"/>
      <c r="M453" s="730"/>
      <c r="N453" s="730"/>
      <c r="O453" s="730"/>
      <c r="P453" s="731"/>
      <c r="Q453" s="731"/>
      <c r="R453" s="730"/>
      <c r="S453" s="730"/>
      <c r="T453" s="723"/>
      <c r="U453" s="724"/>
      <c r="V453" s="725"/>
      <c r="W453" s="725"/>
      <c r="X453" s="723"/>
      <c r="Y453" s="723"/>
      <c r="Z453" s="723"/>
      <c r="AA453" s="726"/>
      <c r="AB453" s="726"/>
      <c r="AC453" s="170"/>
      <c r="AD453" s="586"/>
      <c r="AE453" s="586"/>
      <c r="AF453" s="170"/>
      <c r="AG453" s="170"/>
      <c r="AH453" s="170"/>
      <c r="AI453" s="170"/>
      <c r="AJ453" s="170"/>
      <c r="AK453" s="170"/>
      <c r="AL453" s="170"/>
      <c r="AM453" s="170"/>
      <c r="AN453" s="170"/>
      <c r="AO453" s="170"/>
      <c r="AP453" s="170"/>
      <c r="AQ453" s="170"/>
      <c r="AR453" s="170"/>
      <c r="AS453" s="170"/>
      <c r="AT453" s="170"/>
      <c r="AU453" s="170"/>
      <c r="AV453" s="170"/>
      <c r="AW453" s="170"/>
      <c r="AX453" s="170"/>
    </row>
    <row r="454" spans="1:50" ht="15" x14ac:dyDescent="0.25">
      <c r="A454" s="170"/>
      <c r="B454" s="719"/>
      <c r="C454" s="170"/>
      <c r="D454" s="170"/>
      <c r="E454" s="170"/>
      <c r="F454" s="170"/>
      <c r="G454" s="721"/>
      <c r="H454" s="170"/>
      <c r="I454" s="170"/>
      <c r="J454" s="170"/>
      <c r="K454" s="170"/>
      <c r="L454" s="170"/>
      <c r="M454" s="730"/>
      <c r="N454" s="730"/>
      <c r="O454" s="730"/>
      <c r="P454" s="731"/>
      <c r="Q454" s="731"/>
      <c r="R454" s="730"/>
      <c r="S454" s="730"/>
      <c r="T454" s="723"/>
      <c r="U454" s="724"/>
      <c r="V454" s="725"/>
      <c r="W454" s="725"/>
      <c r="X454" s="723"/>
      <c r="Y454" s="723"/>
      <c r="Z454" s="723"/>
      <c r="AA454" s="726"/>
      <c r="AB454" s="726"/>
      <c r="AC454" s="170"/>
      <c r="AD454" s="586"/>
      <c r="AE454" s="586"/>
      <c r="AF454" s="170"/>
      <c r="AG454" s="170"/>
      <c r="AH454" s="170"/>
      <c r="AI454" s="170"/>
      <c r="AJ454" s="170"/>
      <c r="AK454" s="170"/>
      <c r="AL454" s="170"/>
      <c r="AM454" s="170"/>
      <c r="AN454" s="170"/>
      <c r="AO454" s="170"/>
      <c r="AP454" s="170"/>
      <c r="AQ454" s="170"/>
      <c r="AR454" s="170"/>
      <c r="AS454" s="170"/>
      <c r="AT454" s="170"/>
      <c r="AU454" s="170"/>
      <c r="AV454" s="170"/>
      <c r="AW454" s="170"/>
      <c r="AX454" s="170"/>
    </row>
    <row r="455" spans="1:50" ht="15" x14ac:dyDescent="0.25">
      <c r="A455" s="170"/>
      <c r="B455" s="719"/>
      <c r="C455" s="170"/>
      <c r="D455" s="170"/>
      <c r="E455" s="170"/>
      <c r="F455" s="170"/>
      <c r="G455" s="721"/>
      <c r="H455" s="170"/>
      <c r="I455" s="170"/>
      <c r="J455" s="170"/>
      <c r="K455" s="170"/>
      <c r="L455" s="170"/>
      <c r="M455" s="730"/>
      <c r="N455" s="730"/>
      <c r="O455" s="730"/>
      <c r="P455" s="731"/>
      <c r="Q455" s="731"/>
      <c r="R455" s="730"/>
      <c r="S455" s="730"/>
      <c r="T455" s="723"/>
      <c r="U455" s="724"/>
      <c r="V455" s="725"/>
      <c r="W455" s="725"/>
      <c r="X455" s="723"/>
      <c r="Y455" s="723"/>
      <c r="Z455" s="723"/>
      <c r="AA455" s="726"/>
      <c r="AB455" s="726"/>
      <c r="AC455" s="170"/>
      <c r="AD455" s="586"/>
      <c r="AE455" s="586"/>
      <c r="AF455" s="170"/>
      <c r="AG455" s="170"/>
      <c r="AH455" s="170"/>
      <c r="AI455" s="170"/>
      <c r="AJ455" s="170"/>
      <c r="AK455" s="170"/>
      <c r="AL455" s="170"/>
      <c r="AM455" s="170"/>
      <c r="AN455" s="170"/>
      <c r="AO455" s="170"/>
      <c r="AP455" s="170"/>
      <c r="AQ455" s="170"/>
      <c r="AR455" s="170"/>
      <c r="AS455" s="170"/>
      <c r="AT455" s="170"/>
      <c r="AU455" s="170"/>
      <c r="AV455" s="170"/>
      <c r="AW455" s="170"/>
      <c r="AX455" s="170"/>
    </row>
    <row r="456" spans="1:50" ht="15" x14ac:dyDescent="0.25">
      <c r="A456" s="170"/>
      <c r="B456" s="719"/>
      <c r="C456" s="170"/>
      <c r="D456" s="170"/>
      <c r="E456" s="170"/>
      <c r="F456" s="170"/>
      <c r="G456" s="721"/>
      <c r="H456" s="170"/>
      <c r="I456" s="170"/>
      <c r="J456" s="170"/>
      <c r="K456" s="170"/>
      <c r="L456" s="170"/>
      <c r="M456" s="730"/>
      <c r="N456" s="730"/>
      <c r="O456" s="730"/>
      <c r="P456" s="731"/>
      <c r="Q456" s="731"/>
      <c r="R456" s="730"/>
      <c r="S456" s="730"/>
      <c r="T456" s="723"/>
      <c r="U456" s="724"/>
      <c r="V456" s="725"/>
      <c r="W456" s="725"/>
      <c r="X456" s="723"/>
      <c r="Y456" s="723"/>
      <c r="Z456" s="723"/>
      <c r="AA456" s="726"/>
      <c r="AB456" s="726"/>
      <c r="AC456" s="170"/>
      <c r="AD456" s="586"/>
      <c r="AE456" s="586"/>
      <c r="AF456" s="170"/>
      <c r="AG456" s="170"/>
      <c r="AH456" s="170"/>
      <c r="AI456" s="170"/>
      <c r="AJ456" s="170"/>
      <c r="AK456" s="170"/>
      <c r="AL456" s="170"/>
      <c r="AM456" s="170"/>
      <c r="AN456" s="170"/>
      <c r="AO456" s="170"/>
      <c r="AP456" s="170"/>
      <c r="AQ456" s="170"/>
      <c r="AR456" s="170"/>
      <c r="AS456" s="170"/>
      <c r="AT456" s="170"/>
      <c r="AU456" s="170"/>
      <c r="AV456" s="170"/>
      <c r="AW456" s="170"/>
      <c r="AX456" s="170"/>
    </row>
    <row r="457" spans="1:50" ht="15" x14ac:dyDescent="0.25">
      <c r="A457" s="170"/>
      <c r="B457" s="719"/>
      <c r="C457" s="170"/>
      <c r="D457" s="170"/>
      <c r="E457" s="170"/>
      <c r="F457" s="170"/>
      <c r="G457" s="721"/>
      <c r="H457" s="170"/>
      <c r="I457" s="170"/>
      <c r="J457" s="170"/>
      <c r="K457" s="170"/>
      <c r="L457" s="170"/>
      <c r="M457" s="730"/>
      <c r="N457" s="730"/>
      <c r="O457" s="730"/>
      <c r="P457" s="731"/>
      <c r="Q457" s="731"/>
      <c r="R457" s="730"/>
      <c r="S457" s="730"/>
      <c r="T457" s="723"/>
      <c r="U457" s="724"/>
      <c r="V457" s="725"/>
      <c r="W457" s="725"/>
      <c r="X457" s="723"/>
      <c r="Y457" s="723"/>
      <c r="Z457" s="723"/>
      <c r="AA457" s="726"/>
      <c r="AB457" s="726"/>
      <c r="AC457" s="170"/>
      <c r="AD457" s="586"/>
      <c r="AE457" s="586"/>
      <c r="AF457" s="170"/>
      <c r="AG457" s="170"/>
      <c r="AH457" s="170"/>
      <c r="AI457" s="170"/>
      <c r="AJ457" s="170"/>
      <c r="AK457" s="170"/>
      <c r="AL457" s="170"/>
      <c r="AM457" s="170"/>
      <c r="AN457" s="170"/>
      <c r="AO457" s="170"/>
      <c r="AP457" s="170"/>
      <c r="AQ457" s="170"/>
      <c r="AR457" s="170"/>
      <c r="AS457" s="170"/>
      <c r="AT457" s="170"/>
      <c r="AU457" s="170"/>
      <c r="AV457" s="170"/>
      <c r="AW457" s="170"/>
      <c r="AX457" s="170"/>
    </row>
    <row r="458" spans="1:50" ht="15" x14ac:dyDescent="0.25">
      <c r="A458" s="170"/>
      <c r="B458" s="719"/>
      <c r="C458" s="170"/>
      <c r="D458" s="170"/>
      <c r="E458" s="170"/>
      <c r="F458" s="170"/>
      <c r="G458" s="721"/>
      <c r="H458" s="170"/>
      <c r="I458" s="170"/>
      <c r="J458" s="170"/>
      <c r="K458" s="170"/>
      <c r="L458" s="170"/>
      <c r="M458" s="730"/>
      <c r="N458" s="730"/>
      <c r="O458" s="730"/>
      <c r="P458" s="731"/>
      <c r="Q458" s="731"/>
      <c r="R458" s="730"/>
      <c r="S458" s="730"/>
      <c r="T458" s="723"/>
      <c r="U458" s="724"/>
      <c r="V458" s="725"/>
      <c r="W458" s="725"/>
      <c r="X458" s="723"/>
      <c r="Y458" s="723"/>
      <c r="Z458" s="723"/>
      <c r="AA458" s="726"/>
      <c r="AB458" s="726"/>
      <c r="AC458" s="170"/>
      <c r="AD458" s="586"/>
      <c r="AE458" s="586"/>
      <c r="AF458" s="170"/>
      <c r="AG458" s="170"/>
      <c r="AH458" s="170"/>
      <c r="AI458" s="170"/>
      <c r="AJ458" s="170"/>
      <c r="AK458" s="170"/>
      <c r="AL458" s="170"/>
      <c r="AM458" s="170"/>
      <c r="AN458" s="170"/>
      <c r="AO458" s="170"/>
      <c r="AP458" s="170"/>
      <c r="AQ458" s="170"/>
      <c r="AR458" s="170"/>
      <c r="AS458" s="170"/>
      <c r="AT458" s="170"/>
      <c r="AU458" s="170"/>
      <c r="AV458" s="170"/>
      <c r="AW458" s="170"/>
      <c r="AX458" s="170"/>
    </row>
    <row r="459" spans="1:50" ht="15" x14ac:dyDescent="0.25">
      <c r="A459" s="170"/>
      <c r="B459" s="719"/>
      <c r="C459" s="170"/>
      <c r="D459" s="170"/>
      <c r="E459" s="170"/>
      <c r="F459" s="170"/>
      <c r="G459" s="721"/>
      <c r="H459" s="170"/>
      <c r="I459" s="170"/>
      <c r="J459" s="170"/>
      <c r="K459" s="170"/>
      <c r="L459" s="170"/>
      <c r="M459" s="730"/>
      <c r="N459" s="730"/>
      <c r="O459" s="730"/>
      <c r="P459" s="731"/>
      <c r="Q459" s="731"/>
      <c r="R459" s="730"/>
      <c r="S459" s="730"/>
      <c r="T459" s="723"/>
      <c r="U459" s="724"/>
      <c r="V459" s="725"/>
      <c r="W459" s="725"/>
      <c r="X459" s="723"/>
      <c r="Y459" s="723"/>
      <c r="Z459" s="723"/>
      <c r="AA459" s="726"/>
      <c r="AB459" s="726"/>
      <c r="AC459" s="170"/>
      <c r="AD459" s="586"/>
      <c r="AE459" s="586"/>
      <c r="AF459" s="170"/>
      <c r="AG459" s="170"/>
      <c r="AH459" s="170"/>
      <c r="AI459" s="170"/>
      <c r="AJ459" s="170"/>
      <c r="AK459" s="170"/>
      <c r="AL459" s="170"/>
      <c r="AM459" s="170"/>
      <c r="AN459" s="170"/>
      <c r="AO459" s="170"/>
      <c r="AP459" s="170"/>
      <c r="AQ459" s="170"/>
      <c r="AR459" s="170"/>
      <c r="AS459" s="170"/>
      <c r="AT459" s="170"/>
      <c r="AU459" s="170"/>
      <c r="AV459" s="170"/>
      <c r="AW459" s="170"/>
      <c r="AX459" s="170"/>
    </row>
    <row r="460" spans="1:50" ht="15" x14ac:dyDescent="0.25">
      <c r="A460" s="170"/>
      <c r="B460" s="719"/>
      <c r="C460" s="170"/>
      <c r="D460" s="170"/>
      <c r="E460" s="170"/>
      <c r="F460" s="170"/>
      <c r="G460" s="721"/>
      <c r="H460" s="170"/>
      <c r="I460" s="170"/>
      <c r="J460" s="170"/>
      <c r="K460" s="170"/>
      <c r="L460" s="170"/>
      <c r="M460" s="730"/>
      <c r="N460" s="730"/>
      <c r="O460" s="730"/>
      <c r="P460" s="731"/>
      <c r="Q460" s="731"/>
      <c r="R460" s="730"/>
      <c r="S460" s="730"/>
      <c r="T460" s="723"/>
      <c r="U460" s="724"/>
      <c r="V460" s="725"/>
      <c r="W460" s="725"/>
      <c r="X460" s="723"/>
      <c r="Y460" s="723"/>
      <c r="Z460" s="723"/>
      <c r="AA460" s="726"/>
      <c r="AB460" s="726"/>
      <c r="AC460" s="170"/>
      <c r="AD460" s="586"/>
      <c r="AE460" s="586"/>
      <c r="AF460" s="170"/>
      <c r="AG460" s="170"/>
      <c r="AH460" s="170"/>
      <c r="AI460" s="170"/>
      <c r="AJ460" s="170"/>
      <c r="AK460" s="170"/>
      <c r="AL460" s="170"/>
      <c r="AM460" s="170"/>
      <c r="AN460" s="170"/>
      <c r="AO460" s="170"/>
      <c r="AP460" s="170"/>
      <c r="AQ460" s="170"/>
      <c r="AR460" s="170"/>
      <c r="AS460" s="170"/>
      <c r="AT460" s="170"/>
      <c r="AU460" s="170"/>
      <c r="AV460" s="170"/>
      <c r="AW460" s="170"/>
      <c r="AX460" s="170"/>
    </row>
    <row r="461" spans="1:50" ht="15" x14ac:dyDescent="0.25">
      <c r="A461" s="170"/>
      <c r="B461" s="719"/>
      <c r="C461" s="170"/>
      <c r="D461" s="170"/>
      <c r="E461" s="170"/>
      <c r="F461" s="170"/>
      <c r="G461" s="721"/>
      <c r="H461" s="170"/>
      <c r="I461" s="170"/>
      <c r="J461" s="170"/>
      <c r="K461" s="170"/>
      <c r="L461" s="170"/>
      <c r="M461" s="730"/>
      <c r="N461" s="730"/>
      <c r="O461" s="730"/>
      <c r="P461" s="731"/>
      <c r="Q461" s="731"/>
      <c r="R461" s="730"/>
      <c r="S461" s="730"/>
      <c r="T461" s="723"/>
      <c r="U461" s="724"/>
      <c r="V461" s="725"/>
      <c r="W461" s="725"/>
      <c r="X461" s="723"/>
      <c r="Y461" s="723"/>
      <c r="Z461" s="723"/>
      <c r="AA461" s="726"/>
      <c r="AB461" s="726"/>
      <c r="AC461" s="170"/>
      <c r="AD461" s="586"/>
      <c r="AE461" s="586"/>
      <c r="AF461" s="170"/>
      <c r="AG461" s="170"/>
      <c r="AH461" s="170"/>
      <c r="AI461" s="170"/>
      <c r="AJ461" s="170"/>
      <c r="AK461" s="170"/>
      <c r="AL461" s="170"/>
      <c r="AM461" s="170"/>
      <c r="AN461" s="170"/>
      <c r="AO461" s="170"/>
      <c r="AP461" s="170"/>
      <c r="AQ461" s="170"/>
      <c r="AR461" s="170"/>
      <c r="AS461" s="170"/>
      <c r="AT461" s="170"/>
      <c r="AU461" s="170"/>
      <c r="AV461" s="170"/>
      <c r="AW461" s="170"/>
      <c r="AX461" s="170"/>
    </row>
    <row r="462" spans="1:50" ht="15" x14ac:dyDescent="0.25">
      <c r="A462" s="170"/>
      <c r="B462" s="719"/>
      <c r="C462" s="170"/>
      <c r="D462" s="170"/>
      <c r="E462" s="170"/>
      <c r="F462" s="170"/>
      <c r="G462" s="721"/>
      <c r="H462" s="170"/>
      <c r="I462" s="170"/>
      <c r="J462" s="170"/>
      <c r="K462" s="170"/>
      <c r="L462" s="170"/>
      <c r="M462" s="730"/>
      <c r="N462" s="730"/>
      <c r="O462" s="730"/>
      <c r="P462" s="731"/>
      <c r="Q462" s="731"/>
      <c r="R462" s="730"/>
      <c r="S462" s="730"/>
      <c r="T462" s="723"/>
      <c r="U462" s="724"/>
      <c r="V462" s="725"/>
      <c r="W462" s="725"/>
      <c r="X462" s="723"/>
      <c r="Y462" s="723"/>
      <c r="Z462" s="723"/>
      <c r="AA462" s="726"/>
      <c r="AB462" s="726"/>
      <c r="AC462" s="170"/>
      <c r="AD462" s="586"/>
      <c r="AE462" s="586"/>
      <c r="AF462" s="170"/>
      <c r="AG462" s="170"/>
      <c r="AH462" s="170"/>
      <c r="AI462" s="170"/>
      <c r="AJ462" s="170"/>
      <c r="AK462" s="170"/>
      <c r="AL462" s="170"/>
      <c r="AM462" s="170"/>
      <c r="AN462" s="170"/>
      <c r="AO462" s="170"/>
      <c r="AP462" s="170"/>
      <c r="AQ462" s="170"/>
      <c r="AR462" s="170"/>
      <c r="AS462" s="170"/>
      <c r="AT462" s="170"/>
      <c r="AU462" s="170"/>
      <c r="AV462" s="170"/>
      <c r="AW462" s="170"/>
      <c r="AX462" s="170"/>
    </row>
    <row r="463" spans="1:50" ht="15" x14ac:dyDescent="0.25">
      <c r="A463" s="170"/>
      <c r="B463" s="719"/>
      <c r="C463" s="170"/>
      <c r="D463" s="170"/>
      <c r="E463" s="170"/>
      <c r="F463" s="170"/>
      <c r="G463" s="721"/>
      <c r="H463" s="170"/>
      <c r="I463" s="170"/>
      <c r="J463" s="170"/>
      <c r="K463" s="170"/>
      <c r="L463" s="170"/>
      <c r="M463" s="730"/>
      <c r="N463" s="730"/>
      <c r="O463" s="730"/>
      <c r="P463" s="731"/>
      <c r="Q463" s="731"/>
      <c r="R463" s="730"/>
      <c r="S463" s="730"/>
      <c r="T463" s="723"/>
      <c r="U463" s="724"/>
      <c r="V463" s="725"/>
      <c r="W463" s="725"/>
      <c r="X463" s="723"/>
      <c r="Y463" s="723"/>
      <c r="Z463" s="723"/>
      <c r="AA463" s="726"/>
      <c r="AB463" s="726"/>
      <c r="AC463" s="170"/>
      <c r="AD463" s="586"/>
      <c r="AE463" s="586"/>
      <c r="AF463" s="170"/>
      <c r="AG463" s="170"/>
      <c r="AH463" s="170"/>
      <c r="AI463" s="170"/>
      <c r="AJ463" s="170"/>
      <c r="AK463" s="170"/>
      <c r="AL463" s="170"/>
      <c r="AM463" s="170"/>
      <c r="AN463" s="170"/>
      <c r="AO463" s="170"/>
      <c r="AP463" s="170"/>
      <c r="AQ463" s="170"/>
      <c r="AR463" s="170"/>
      <c r="AS463" s="170"/>
      <c r="AT463" s="170"/>
      <c r="AU463" s="170"/>
      <c r="AV463" s="170"/>
      <c r="AW463" s="170"/>
      <c r="AX463" s="170"/>
    </row>
    <row r="464" spans="1:50" ht="15" x14ac:dyDescent="0.25">
      <c r="A464" s="170"/>
      <c r="B464" s="719"/>
      <c r="C464" s="170"/>
      <c r="D464" s="170"/>
      <c r="E464" s="170"/>
      <c r="F464" s="170"/>
      <c r="G464" s="721"/>
      <c r="H464" s="170"/>
      <c r="I464" s="170"/>
      <c r="J464" s="170"/>
      <c r="K464" s="170"/>
      <c r="L464" s="170"/>
      <c r="M464" s="730"/>
      <c r="N464" s="730"/>
      <c r="O464" s="730"/>
      <c r="P464" s="731"/>
      <c r="Q464" s="731"/>
      <c r="R464" s="730"/>
      <c r="S464" s="730"/>
      <c r="T464" s="723"/>
      <c r="U464" s="724"/>
      <c r="V464" s="725"/>
      <c r="W464" s="725"/>
      <c r="X464" s="723"/>
      <c r="Y464" s="723"/>
      <c r="Z464" s="723"/>
      <c r="AA464" s="726"/>
      <c r="AB464" s="726"/>
      <c r="AC464" s="170"/>
      <c r="AD464" s="586"/>
      <c r="AE464" s="586"/>
      <c r="AF464" s="170"/>
      <c r="AG464" s="170"/>
      <c r="AH464" s="170"/>
      <c r="AI464" s="170"/>
      <c r="AJ464" s="170"/>
      <c r="AK464" s="170"/>
      <c r="AL464" s="170"/>
      <c r="AM464" s="170"/>
      <c r="AN464" s="170"/>
      <c r="AO464" s="170"/>
      <c r="AP464" s="170"/>
      <c r="AQ464" s="170"/>
      <c r="AR464" s="170"/>
      <c r="AS464" s="170"/>
      <c r="AT464" s="170"/>
      <c r="AU464" s="170"/>
      <c r="AV464" s="170"/>
      <c r="AW464" s="170"/>
      <c r="AX464" s="170"/>
    </row>
    <row r="465" spans="1:50" ht="15" x14ac:dyDescent="0.25">
      <c r="A465" s="170"/>
      <c r="B465" s="719"/>
      <c r="C465" s="170"/>
      <c r="D465" s="170"/>
      <c r="E465" s="170"/>
      <c r="F465" s="170"/>
      <c r="G465" s="721"/>
      <c r="H465" s="170"/>
      <c r="I465" s="170"/>
      <c r="J465" s="170"/>
      <c r="K465" s="170"/>
      <c r="L465" s="170"/>
      <c r="M465" s="730"/>
      <c r="N465" s="730"/>
      <c r="O465" s="730"/>
      <c r="P465" s="731"/>
      <c r="Q465" s="731"/>
      <c r="R465" s="730"/>
      <c r="S465" s="730"/>
      <c r="T465" s="723"/>
      <c r="U465" s="724"/>
      <c r="V465" s="725"/>
      <c r="W465" s="725"/>
      <c r="X465" s="723"/>
      <c r="Y465" s="723"/>
      <c r="Z465" s="723"/>
      <c r="AA465" s="726"/>
      <c r="AB465" s="726"/>
      <c r="AC465" s="170"/>
      <c r="AD465" s="586"/>
      <c r="AE465" s="586"/>
      <c r="AF465" s="170"/>
      <c r="AG465" s="170"/>
      <c r="AH465" s="170"/>
      <c r="AI465" s="170"/>
      <c r="AJ465" s="170"/>
      <c r="AK465" s="170"/>
      <c r="AL465" s="170"/>
      <c r="AM465" s="170"/>
      <c r="AN465" s="170"/>
      <c r="AO465" s="170"/>
      <c r="AP465" s="170"/>
      <c r="AQ465" s="170"/>
      <c r="AR465" s="170"/>
      <c r="AS465" s="170"/>
      <c r="AT465" s="170"/>
      <c r="AU465" s="170"/>
      <c r="AV465" s="170"/>
      <c r="AW465" s="170"/>
      <c r="AX465" s="170"/>
    </row>
    <row r="466" spans="1:50" ht="15" x14ac:dyDescent="0.25">
      <c r="A466" s="170"/>
      <c r="B466" s="719"/>
      <c r="C466" s="170"/>
      <c r="D466" s="170"/>
      <c r="E466" s="170"/>
      <c r="F466" s="170"/>
      <c r="G466" s="721"/>
      <c r="H466" s="170"/>
      <c r="I466" s="170"/>
      <c r="J466" s="170"/>
      <c r="K466" s="170"/>
      <c r="L466" s="170"/>
      <c r="M466" s="730"/>
      <c r="N466" s="730"/>
      <c r="O466" s="730"/>
      <c r="P466" s="731"/>
      <c r="Q466" s="731"/>
      <c r="R466" s="730"/>
      <c r="S466" s="730"/>
      <c r="T466" s="723"/>
      <c r="U466" s="724"/>
      <c r="V466" s="725"/>
      <c r="W466" s="725"/>
      <c r="X466" s="723"/>
      <c r="Y466" s="723"/>
      <c r="Z466" s="723"/>
      <c r="AA466" s="726"/>
      <c r="AB466" s="726"/>
      <c r="AC466" s="170"/>
      <c r="AD466" s="586"/>
      <c r="AE466" s="586"/>
      <c r="AF466" s="170"/>
      <c r="AG466" s="170"/>
      <c r="AH466" s="170"/>
      <c r="AI466" s="170"/>
      <c r="AJ466" s="170"/>
      <c r="AK466" s="170"/>
      <c r="AL466" s="170"/>
      <c r="AM466" s="170"/>
      <c r="AN466" s="170"/>
      <c r="AO466" s="170"/>
      <c r="AP466" s="170"/>
      <c r="AQ466" s="170"/>
      <c r="AR466" s="170"/>
      <c r="AS466" s="170"/>
      <c r="AT466" s="170"/>
      <c r="AU466" s="170"/>
      <c r="AV466" s="170"/>
      <c r="AW466" s="170"/>
      <c r="AX466" s="170"/>
    </row>
    <row r="467" spans="1:50" ht="15" x14ac:dyDescent="0.25">
      <c r="A467" s="170"/>
      <c r="B467" s="719"/>
      <c r="C467" s="170"/>
      <c r="D467" s="170"/>
      <c r="E467" s="170"/>
      <c r="F467" s="170"/>
      <c r="G467" s="721"/>
      <c r="H467" s="170"/>
      <c r="I467" s="170"/>
      <c r="J467" s="170"/>
      <c r="K467" s="170"/>
      <c r="L467" s="170"/>
      <c r="M467" s="730"/>
      <c r="N467" s="730"/>
      <c r="O467" s="730"/>
      <c r="P467" s="731"/>
      <c r="Q467" s="731"/>
      <c r="R467" s="730"/>
      <c r="S467" s="730"/>
      <c r="T467" s="723"/>
      <c r="U467" s="724"/>
      <c r="V467" s="725"/>
      <c r="W467" s="725"/>
      <c r="X467" s="723"/>
      <c r="Y467" s="723"/>
      <c r="Z467" s="723"/>
      <c r="AA467" s="726"/>
      <c r="AB467" s="726"/>
      <c r="AC467" s="170"/>
      <c r="AD467" s="586"/>
      <c r="AE467" s="586"/>
      <c r="AF467" s="170"/>
      <c r="AG467" s="170"/>
      <c r="AH467" s="170"/>
      <c r="AI467" s="170"/>
      <c r="AJ467" s="170"/>
      <c r="AK467" s="170"/>
      <c r="AL467" s="170"/>
      <c r="AM467" s="170"/>
      <c r="AN467" s="170"/>
      <c r="AO467" s="170"/>
      <c r="AP467" s="170"/>
      <c r="AQ467" s="170"/>
      <c r="AR467" s="170"/>
      <c r="AS467" s="170"/>
      <c r="AT467" s="170"/>
      <c r="AU467" s="170"/>
      <c r="AV467" s="170"/>
      <c r="AW467" s="170"/>
      <c r="AX467" s="170"/>
    </row>
    <row r="468" spans="1:50" ht="15" x14ac:dyDescent="0.25">
      <c r="A468" s="170"/>
      <c r="B468" s="719"/>
      <c r="C468" s="170"/>
      <c r="D468" s="170"/>
      <c r="E468" s="170"/>
      <c r="F468" s="170"/>
      <c r="G468" s="721"/>
      <c r="H468" s="170"/>
      <c r="I468" s="170"/>
      <c r="J468" s="170"/>
      <c r="K468" s="170"/>
      <c r="L468" s="170"/>
      <c r="M468" s="730"/>
      <c r="N468" s="730"/>
      <c r="O468" s="730"/>
      <c r="P468" s="731"/>
      <c r="Q468" s="731"/>
      <c r="R468" s="730"/>
      <c r="S468" s="730"/>
      <c r="T468" s="723"/>
      <c r="U468" s="724"/>
      <c r="V468" s="725"/>
      <c r="W468" s="725"/>
      <c r="X468" s="723"/>
      <c r="Y468" s="723"/>
      <c r="Z468" s="723"/>
      <c r="AA468" s="726"/>
      <c r="AB468" s="726"/>
      <c r="AC468" s="170"/>
      <c r="AD468" s="586"/>
      <c r="AE468" s="586"/>
      <c r="AF468" s="170"/>
      <c r="AG468" s="170"/>
      <c r="AH468" s="170"/>
      <c r="AI468" s="170"/>
      <c r="AJ468" s="170"/>
      <c r="AK468" s="170"/>
      <c r="AL468" s="170"/>
      <c r="AM468" s="170"/>
      <c r="AN468" s="170"/>
      <c r="AO468" s="170"/>
      <c r="AP468" s="170"/>
      <c r="AQ468" s="170"/>
      <c r="AR468" s="170"/>
      <c r="AS468" s="170"/>
      <c r="AT468" s="170"/>
      <c r="AU468" s="170"/>
      <c r="AV468" s="170"/>
      <c r="AW468" s="170"/>
      <c r="AX468" s="170"/>
    </row>
    <row r="469" spans="1:50" ht="15" x14ac:dyDescent="0.25">
      <c r="A469" s="170"/>
      <c r="B469" s="719"/>
      <c r="C469" s="170"/>
      <c r="D469" s="170"/>
      <c r="E469" s="170"/>
      <c r="F469" s="170"/>
      <c r="G469" s="721"/>
      <c r="H469" s="170"/>
      <c r="I469" s="170"/>
      <c r="J469" s="170"/>
      <c r="K469" s="170"/>
      <c r="L469" s="170"/>
      <c r="M469" s="730"/>
      <c r="N469" s="730"/>
      <c r="O469" s="730"/>
      <c r="P469" s="731"/>
      <c r="Q469" s="731"/>
      <c r="R469" s="730"/>
      <c r="S469" s="730"/>
      <c r="T469" s="723"/>
      <c r="U469" s="724"/>
      <c r="V469" s="725"/>
      <c r="W469" s="725"/>
      <c r="X469" s="723"/>
      <c r="Y469" s="723"/>
      <c r="Z469" s="723"/>
      <c r="AA469" s="726"/>
      <c r="AB469" s="726"/>
      <c r="AC469" s="170"/>
      <c r="AD469" s="586"/>
      <c r="AE469" s="586"/>
      <c r="AF469" s="170"/>
      <c r="AG469" s="170"/>
      <c r="AH469" s="170"/>
      <c r="AI469" s="170"/>
      <c r="AJ469" s="170"/>
      <c r="AK469" s="170"/>
      <c r="AL469" s="170"/>
      <c r="AM469" s="170"/>
      <c r="AN469" s="170"/>
      <c r="AO469" s="170"/>
      <c r="AP469" s="170"/>
      <c r="AQ469" s="170"/>
      <c r="AR469" s="170"/>
      <c r="AS469" s="170"/>
      <c r="AT469" s="170"/>
      <c r="AU469" s="170"/>
      <c r="AV469" s="170"/>
      <c r="AW469" s="170"/>
      <c r="AX469" s="170"/>
    </row>
    <row r="470" spans="1:50" ht="15" x14ac:dyDescent="0.25">
      <c r="A470" s="170"/>
      <c r="B470" s="719"/>
      <c r="C470" s="170"/>
      <c r="D470" s="170"/>
      <c r="E470" s="170"/>
      <c r="F470" s="170"/>
      <c r="G470" s="721"/>
      <c r="H470" s="170"/>
      <c r="I470" s="170"/>
      <c r="J470" s="170"/>
      <c r="K470" s="170"/>
      <c r="L470" s="170"/>
      <c r="M470" s="730"/>
      <c r="N470" s="730"/>
      <c r="O470" s="730"/>
      <c r="P470" s="731"/>
      <c r="Q470" s="731"/>
      <c r="R470" s="730"/>
      <c r="S470" s="730"/>
      <c r="T470" s="723"/>
      <c r="U470" s="724"/>
      <c r="V470" s="725"/>
      <c r="W470" s="725"/>
      <c r="X470" s="723"/>
      <c r="Y470" s="723"/>
      <c r="Z470" s="723"/>
      <c r="AA470" s="726"/>
      <c r="AB470" s="726"/>
      <c r="AC470" s="170"/>
      <c r="AD470" s="586"/>
      <c r="AE470" s="586"/>
      <c r="AF470" s="170"/>
      <c r="AG470" s="170"/>
      <c r="AH470" s="170"/>
      <c r="AI470" s="170"/>
      <c r="AJ470" s="170"/>
      <c r="AK470" s="170"/>
      <c r="AL470" s="170"/>
      <c r="AM470" s="170"/>
      <c r="AN470" s="170"/>
      <c r="AO470" s="170"/>
      <c r="AP470" s="170"/>
      <c r="AQ470" s="170"/>
      <c r="AR470" s="170"/>
      <c r="AS470" s="170"/>
      <c r="AT470" s="170"/>
      <c r="AU470" s="170"/>
      <c r="AV470" s="170"/>
      <c r="AW470" s="170"/>
      <c r="AX470" s="170"/>
    </row>
    <row r="471" spans="1:50" ht="15" x14ac:dyDescent="0.25">
      <c r="A471" s="170"/>
      <c r="B471" s="719"/>
      <c r="C471" s="170"/>
      <c r="D471" s="170"/>
      <c r="E471" s="170"/>
      <c r="F471" s="170"/>
      <c r="G471" s="721"/>
      <c r="H471" s="170"/>
      <c r="I471" s="170"/>
      <c r="J471" s="170"/>
      <c r="K471" s="170"/>
      <c r="L471" s="170"/>
      <c r="M471" s="730"/>
      <c r="N471" s="730"/>
      <c r="O471" s="730"/>
      <c r="P471" s="731"/>
      <c r="Q471" s="731"/>
      <c r="R471" s="730"/>
      <c r="S471" s="730"/>
      <c r="T471" s="723"/>
      <c r="U471" s="724"/>
      <c r="V471" s="725"/>
      <c r="W471" s="725"/>
      <c r="X471" s="723"/>
      <c r="Y471" s="723"/>
      <c r="Z471" s="723"/>
      <c r="AA471" s="726"/>
      <c r="AB471" s="726"/>
      <c r="AC471" s="170"/>
      <c r="AD471" s="586"/>
      <c r="AE471" s="586"/>
      <c r="AF471" s="170"/>
      <c r="AG471" s="170"/>
      <c r="AH471" s="170"/>
      <c r="AI471" s="170"/>
      <c r="AJ471" s="170"/>
      <c r="AK471" s="170"/>
      <c r="AL471" s="170"/>
      <c r="AM471" s="170"/>
      <c r="AN471" s="170"/>
      <c r="AO471" s="170"/>
      <c r="AP471" s="170"/>
      <c r="AQ471" s="170"/>
      <c r="AR471" s="170"/>
      <c r="AS471" s="170"/>
      <c r="AT471" s="170"/>
      <c r="AU471" s="170"/>
      <c r="AV471" s="170"/>
      <c r="AW471" s="170"/>
      <c r="AX471" s="170"/>
    </row>
    <row r="472" spans="1:50" ht="15" x14ac:dyDescent="0.25">
      <c r="A472" s="170"/>
      <c r="B472" s="719"/>
      <c r="C472" s="170"/>
      <c r="D472" s="170"/>
      <c r="E472" s="170"/>
      <c r="F472" s="170"/>
      <c r="G472" s="721"/>
      <c r="H472" s="170"/>
      <c r="I472" s="170"/>
      <c r="J472" s="170"/>
      <c r="K472" s="170"/>
      <c r="L472" s="170"/>
      <c r="M472" s="730"/>
      <c r="N472" s="730"/>
      <c r="O472" s="730"/>
      <c r="P472" s="731"/>
      <c r="Q472" s="731"/>
      <c r="R472" s="730"/>
      <c r="S472" s="730"/>
      <c r="T472" s="723"/>
      <c r="U472" s="724"/>
      <c r="V472" s="725"/>
      <c r="W472" s="725"/>
      <c r="X472" s="723"/>
      <c r="Y472" s="723"/>
      <c r="Z472" s="723"/>
      <c r="AA472" s="726"/>
      <c r="AB472" s="726"/>
      <c r="AC472" s="170"/>
      <c r="AD472" s="586"/>
      <c r="AE472" s="586"/>
      <c r="AF472" s="170"/>
      <c r="AG472" s="170"/>
      <c r="AH472" s="170"/>
      <c r="AI472" s="170"/>
      <c r="AJ472" s="170"/>
      <c r="AK472" s="170"/>
      <c r="AL472" s="170"/>
      <c r="AM472" s="170"/>
      <c r="AN472" s="170"/>
      <c r="AO472" s="170"/>
      <c r="AP472" s="170"/>
      <c r="AQ472" s="170"/>
      <c r="AR472" s="170"/>
      <c r="AS472" s="170"/>
      <c r="AT472" s="170"/>
      <c r="AU472" s="170"/>
      <c r="AV472" s="170"/>
      <c r="AW472" s="170"/>
      <c r="AX472" s="170"/>
    </row>
    <row r="473" spans="1:50" ht="15" x14ac:dyDescent="0.25">
      <c r="A473" s="170"/>
      <c r="B473" s="719"/>
      <c r="C473" s="170"/>
      <c r="D473" s="170"/>
      <c r="E473" s="170"/>
      <c r="F473" s="170"/>
      <c r="G473" s="721"/>
      <c r="H473" s="170"/>
      <c r="I473" s="170"/>
      <c r="J473" s="170"/>
      <c r="K473" s="170"/>
      <c r="L473" s="170"/>
      <c r="M473" s="730"/>
      <c r="N473" s="730"/>
      <c r="O473" s="730"/>
      <c r="P473" s="731"/>
      <c r="Q473" s="731"/>
      <c r="R473" s="730"/>
      <c r="S473" s="730"/>
      <c r="T473" s="723"/>
      <c r="U473" s="724"/>
      <c r="V473" s="725"/>
      <c r="W473" s="725"/>
      <c r="X473" s="723"/>
      <c r="Y473" s="723"/>
      <c r="Z473" s="723"/>
      <c r="AA473" s="726"/>
      <c r="AB473" s="726"/>
      <c r="AC473" s="170"/>
      <c r="AD473" s="586"/>
      <c r="AE473" s="586"/>
      <c r="AF473" s="170"/>
      <c r="AG473" s="170"/>
      <c r="AH473" s="170"/>
      <c r="AI473" s="170"/>
      <c r="AJ473" s="170"/>
      <c r="AK473" s="170"/>
      <c r="AL473" s="170"/>
      <c r="AM473" s="170"/>
      <c r="AN473" s="170"/>
      <c r="AO473" s="170"/>
      <c r="AP473" s="170"/>
      <c r="AQ473" s="170"/>
      <c r="AR473" s="170"/>
      <c r="AS473" s="170"/>
      <c r="AT473" s="170"/>
      <c r="AU473" s="170"/>
      <c r="AV473" s="170"/>
      <c r="AW473" s="170"/>
      <c r="AX473" s="170"/>
    </row>
    <row r="474" spans="1:50" ht="15" x14ac:dyDescent="0.25">
      <c r="A474" s="170"/>
      <c r="B474" s="719"/>
      <c r="C474" s="170"/>
      <c r="D474" s="170"/>
      <c r="E474" s="170"/>
      <c r="F474" s="170"/>
      <c r="G474" s="721"/>
      <c r="H474" s="170"/>
      <c r="I474" s="170"/>
      <c r="J474" s="170"/>
      <c r="K474" s="170"/>
      <c r="L474" s="170"/>
      <c r="M474" s="730"/>
      <c r="N474" s="730"/>
      <c r="O474" s="730"/>
      <c r="P474" s="731"/>
      <c r="Q474" s="731"/>
      <c r="R474" s="730"/>
      <c r="S474" s="730"/>
      <c r="T474" s="723"/>
      <c r="U474" s="724"/>
      <c r="V474" s="725"/>
      <c r="W474" s="725"/>
      <c r="X474" s="723"/>
      <c r="Y474" s="723"/>
      <c r="Z474" s="723"/>
      <c r="AA474" s="726"/>
      <c r="AB474" s="726"/>
      <c r="AC474" s="170"/>
      <c r="AD474" s="586"/>
      <c r="AE474" s="586"/>
      <c r="AF474" s="170"/>
      <c r="AG474" s="170"/>
      <c r="AH474" s="170"/>
      <c r="AI474" s="170"/>
      <c r="AJ474" s="170"/>
      <c r="AK474" s="170"/>
      <c r="AL474" s="170"/>
      <c r="AM474" s="170"/>
      <c r="AN474" s="170"/>
      <c r="AO474" s="170"/>
      <c r="AP474" s="170"/>
      <c r="AQ474" s="170"/>
      <c r="AR474" s="170"/>
      <c r="AS474" s="170"/>
      <c r="AT474" s="170"/>
      <c r="AU474" s="170"/>
      <c r="AV474" s="170"/>
      <c r="AW474" s="170"/>
      <c r="AX474" s="170"/>
    </row>
    <row r="475" spans="1:50" ht="15" x14ac:dyDescent="0.25">
      <c r="A475" s="170"/>
      <c r="B475" s="719"/>
      <c r="C475" s="170"/>
      <c r="D475" s="170"/>
      <c r="E475" s="170"/>
      <c r="F475" s="170"/>
      <c r="G475" s="721"/>
      <c r="H475" s="170"/>
      <c r="I475" s="170"/>
      <c r="J475" s="170"/>
      <c r="K475" s="170"/>
      <c r="L475" s="170"/>
      <c r="M475" s="730"/>
      <c r="N475" s="730"/>
      <c r="O475" s="730"/>
      <c r="P475" s="731"/>
      <c r="Q475" s="731"/>
      <c r="R475" s="730"/>
      <c r="S475" s="730"/>
      <c r="T475" s="723"/>
      <c r="U475" s="724"/>
      <c r="V475" s="725"/>
      <c r="W475" s="725"/>
      <c r="X475" s="723"/>
      <c r="Y475" s="723"/>
      <c r="Z475" s="723"/>
      <c r="AA475" s="726"/>
      <c r="AB475" s="726"/>
      <c r="AC475" s="170"/>
      <c r="AD475" s="586"/>
      <c r="AE475" s="586"/>
      <c r="AF475" s="170"/>
      <c r="AG475" s="170"/>
      <c r="AH475" s="170"/>
      <c r="AI475" s="170"/>
      <c r="AJ475" s="170"/>
      <c r="AK475" s="170"/>
      <c r="AL475" s="170"/>
      <c r="AM475" s="170"/>
      <c r="AN475" s="170"/>
      <c r="AO475" s="170"/>
      <c r="AP475" s="170"/>
      <c r="AQ475" s="170"/>
      <c r="AR475" s="170"/>
      <c r="AS475" s="170"/>
      <c r="AT475" s="170"/>
      <c r="AU475" s="170"/>
      <c r="AV475" s="170"/>
      <c r="AW475" s="170"/>
      <c r="AX475" s="170"/>
    </row>
    <row r="476" spans="1:50" ht="15" x14ac:dyDescent="0.25">
      <c r="A476" s="170"/>
      <c r="B476" s="719"/>
      <c r="C476" s="170"/>
      <c r="D476" s="170"/>
      <c r="E476" s="170"/>
      <c r="F476" s="170"/>
      <c r="G476" s="721"/>
      <c r="H476" s="170"/>
      <c r="I476" s="170"/>
      <c r="J476" s="170"/>
      <c r="K476" s="170"/>
      <c r="L476" s="170"/>
      <c r="M476" s="730"/>
      <c r="N476" s="730"/>
      <c r="O476" s="730"/>
      <c r="P476" s="731"/>
      <c r="Q476" s="731"/>
      <c r="R476" s="730"/>
      <c r="S476" s="730"/>
      <c r="T476" s="723"/>
      <c r="U476" s="724"/>
      <c r="V476" s="725"/>
      <c r="W476" s="725"/>
      <c r="X476" s="723"/>
      <c r="Y476" s="723"/>
      <c r="Z476" s="723"/>
      <c r="AA476" s="726"/>
      <c r="AB476" s="726"/>
      <c r="AC476" s="170"/>
      <c r="AD476" s="586"/>
      <c r="AE476" s="586"/>
      <c r="AF476" s="170"/>
      <c r="AG476" s="170"/>
      <c r="AH476" s="170"/>
      <c r="AI476" s="170"/>
      <c r="AJ476" s="170"/>
      <c r="AK476" s="170"/>
      <c r="AL476" s="170"/>
      <c r="AM476" s="170"/>
      <c r="AN476" s="170"/>
      <c r="AO476" s="170"/>
      <c r="AP476" s="170"/>
      <c r="AQ476" s="170"/>
      <c r="AR476" s="170"/>
      <c r="AS476" s="170"/>
      <c r="AT476" s="170"/>
      <c r="AU476" s="170"/>
      <c r="AV476" s="170"/>
      <c r="AW476" s="170"/>
      <c r="AX476" s="170"/>
    </row>
    <row r="477" spans="1:50" ht="15" x14ac:dyDescent="0.25">
      <c r="A477" s="170"/>
      <c r="B477" s="719"/>
      <c r="C477" s="170"/>
      <c r="D477" s="170"/>
      <c r="E477" s="170"/>
      <c r="F477" s="170"/>
      <c r="G477" s="721"/>
      <c r="H477" s="170"/>
      <c r="I477" s="170"/>
      <c r="J477" s="170"/>
      <c r="K477" s="170"/>
      <c r="L477" s="170"/>
      <c r="M477" s="730"/>
      <c r="N477" s="730"/>
      <c r="O477" s="730"/>
      <c r="P477" s="731"/>
      <c r="Q477" s="731"/>
      <c r="R477" s="730"/>
      <c r="S477" s="730"/>
      <c r="T477" s="723"/>
      <c r="U477" s="724"/>
      <c r="V477" s="725"/>
      <c r="W477" s="725"/>
      <c r="X477" s="723"/>
      <c r="Y477" s="723"/>
      <c r="Z477" s="723"/>
      <c r="AA477" s="726"/>
      <c r="AB477" s="726"/>
      <c r="AC477" s="170"/>
      <c r="AD477" s="586"/>
      <c r="AE477" s="586"/>
      <c r="AF477" s="170"/>
      <c r="AG477" s="170"/>
      <c r="AH477" s="170"/>
      <c r="AI477" s="170"/>
      <c r="AJ477" s="170"/>
      <c r="AK477" s="170"/>
      <c r="AL477" s="170"/>
      <c r="AM477" s="170"/>
      <c r="AN477" s="170"/>
      <c r="AO477" s="170"/>
      <c r="AP477" s="170"/>
      <c r="AQ477" s="170"/>
      <c r="AR477" s="170"/>
      <c r="AS477" s="170"/>
      <c r="AT477" s="170"/>
      <c r="AU477" s="170"/>
      <c r="AV477" s="170"/>
      <c r="AW477" s="170"/>
      <c r="AX477" s="170"/>
    </row>
    <row r="478" spans="1:50" ht="15" x14ac:dyDescent="0.25">
      <c r="A478" s="170"/>
      <c r="B478" s="719"/>
      <c r="C478" s="170"/>
      <c r="D478" s="170"/>
      <c r="E478" s="170"/>
      <c r="F478" s="170"/>
      <c r="G478" s="721"/>
      <c r="H478" s="170"/>
      <c r="I478" s="170"/>
      <c r="J478" s="170"/>
      <c r="K478" s="170"/>
      <c r="L478" s="170"/>
      <c r="M478" s="730"/>
      <c r="N478" s="730"/>
      <c r="O478" s="730"/>
      <c r="P478" s="731"/>
      <c r="Q478" s="731"/>
      <c r="R478" s="730"/>
      <c r="S478" s="730"/>
      <c r="T478" s="723"/>
      <c r="U478" s="724"/>
      <c r="V478" s="725"/>
      <c r="W478" s="725"/>
      <c r="X478" s="723"/>
      <c r="Y478" s="723"/>
      <c r="Z478" s="723"/>
      <c r="AA478" s="726"/>
      <c r="AB478" s="726"/>
      <c r="AC478" s="170"/>
      <c r="AD478" s="586"/>
      <c r="AE478" s="586"/>
      <c r="AF478" s="170"/>
      <c r="AG478" s="170"/>
      <c r="AH478" s="170"/>
      <c r="AI478" s="170"/>
      <c r="AJ478" s="170"/>
      <c r="AK478" s="170"/>
      <c r="AL478" s="170"/>
      <c r="AM478" s="170"/>
      <c r="AN478" s="170"/>
      <c r="AO478" s="170"/>
      <c r="AP478" s="170"/>
      <c r="AQ478" s="170"/>
      <c r="AR478" s="170"/>
      <c r="AS478" s="170"/>
      <c r="AT478" s="170"/>
      <c r="AU478" s="170"/>
      <c r="AV478" s="170"/>
      <c r="AW478" s="170"/>
      <c r="AX478" s="170"/>
    </row>
    <row r="479" spans="1:50" ht="15" x14ac:dyDescent="0.25">
      <c r="A479" s="170"/>
      <c r="B479" s="719"/>
      <c r="C479" s="170"/>
      <c r="D479" s="170"/>
      <c r="E479" s="170"/>
      <c r="F479" s="170"/>
      <c r="G479" s="721"/>
      <c r="H479" s="170"/>
      <c r="I479" s="170"/>
      <c r="J479" s="170"/>
      <c r="K479" s="170"/>
      <c r="L479" s="170"/>
      <c r="M479" s="730"/>
      <c r="N479" s="730"/>
      <c r="O479" s="730"/>
      <c r="P479" s="731"/>
      <c r="Q479" s="731"/>
      <c r="R479" s="730"/>
      <c r="S479" s="730"/>
      <c r="T479" s="723"/>
      <c r="U479" s="724"/>
      <c r="V479" s="725"/>
      <c r="W479" s="725"/>
      <c r="X479" s="723"/>
      <c r="Y479" s="723"/>
      <c r="Z479" s="723"/>
      <c r="AA479" s="726"/>
      <c r="AB479" s="726"/>
      <c r="AC479" s="170"/>
      <c r="AD479" s="586"/>
      <c r="AE479" s="586"/>
      <c r="AF479" s="170"/>
      <c r="AG479" s="170"/>
      <c r="AH479" s="170"/>
      <c r="AI479" s="170"/>
      <c r="AJ479" s="170"/>
      <c r="AK479" s="170"/>
      <c r="AL479" s="170"/>
      <c r="AM479" s="170"/>
      <c r="AN479" s="170"/>
      <c r="AO479" s="170"/>
      <c r="AP479" s="170"/>
      <c r="AQ479" s="170"/>
      <c r="AR479" s="170"/>
      <c r="AS479" s="170"/>
      <c r="AT479" s="170"/>
      <c r="AU479" s="170"/>
      <c r="AV479" s="170"/>
      <c r="AW479" s="170"/>
      <c r="AX479" s="170"/>
    </row>
    <row r="480" spans="1:50" ht="15" x14ac:dyDescent="0.25">
      <c r="A480" s="170"/>
      <c r="B480" s="719"/>
      <c r="C480" s="170"/>
      <c r="D480" s="170"/>
      <c r="E480" s="170"/>
      <c r="F480" s="170"/>
      <c r="G480" s="721"/>
      <c r="H480" s="170"/>
      <c r="I480" s="170"/>
      <c r="J480" s="170"/>
      <c r="K480" s="170"/>
      <c r="L480" s="170"/>
      <c r="M480" s="730"/>
      <c r="N480" s="730"/>
      <c r="O480" s="730"/>
      <c r="P480" s="731"/>
      <c r="Q480" s="731"/>
      <c r="R480" s="730"/>
      <c r="S480" s="730"/>
      <c r="T480" s="723"/>
      <c r="U480" s="724"/>
      <c r="V480" s="725"/>
      <c r="W480" s="725"/>
      <c r="X480" s="723"/>
      <c r="Y480" s="723"/>
      <c r="Z480" s="723"/>
      <c r="AA480" s="726"/>
      <c r="AB480" s="726"/>
      <c r="AC480" s="170"/>
      <c r="AD480" s="586"/>
      <c r="AE480" s="586"/>
      <c r="AF480" s="170"/>
      <c r="AG480" s="170"/>
      <c r="AH480" s="170"/>
      <c r="AI480" s="170"/>
      <c r="AJ480" s="170"/>
      <c r="AK480" s="170"/>
      <c r="AL480" s="170"/>
      <c r="AM480" s="170"/>
      <c r="AN480" s="170"/>
      <c r="AO480" s="170"/>
      <c r="AP480" s="170"/>
      <c r="AQ480" s="170"/>
      <c r="AR480" s="170"/>
      <c r="AS480" s="170"/>
      <c r="AT480" s="170"/>
      <c r="AU480" s="170"/>
      <c r="AV480" s="170"/>
      <c r="AW480" s="170"/>
      <c r="AX480" s="170"/>
    </row>
    <row r="481" spans="1:50" ht="15" x14ac:dyDescent="0.25">
      <c r="A481" s="170"/>
      <c r="B481" s="719"/>
      <c r="C481" s="170"/>
      <c r="D481" s="170"/>
      <c r="E481" s="170"/>
      <c r="F481" s="170"/>
      <c r="G481" s="721"/>
      <c r="H481" s="170"/>
      <c r="I481" s="170"/>
      <c r="J481" s="170"/>
      <c r="K481" s="170"/>
      <c r="L481" s="170"/>
      <c r="M481" s="730"/>
      <c r="N481" s="730"/>
      <c r="O481" s="730"/>
      <c r="P481" s="731"/>
      <c r="Q481" s="731"/>
      <c r="R481" s="730"/>
      <c r="S481" s="730"/>
      <c r="T481" s="723"/>
      <c r="U481" s="724"/>
      <c r="V481" s="725"/>
      <c r="W481" s="725"/>
      <c r="X481" s="723"/>
      <c r="Y481" s="723"/>
      <c r="Z481" s="723"/>
      <c r="AA481" s="726"/>
      <c r="AB481" s="726"/>
      <c r="AC481" s="170"/>
      <c r="AD481" s="586"/>
      <c r="AE481" s="586"/>
      <c r="AF481" s="170"/>
      <c r="AG481" s="170"/>
      <c r="AH481" s="170"/>
      <c r="AI481" s="170"/>
      <c r="AJ481" s="170"/>
      <c r="AK481" s="170"/>
      <c r="AL481" s="170"/>
      <c r="AM481" s="170"/>
      <c r="AN481" s="170"/>
      <c r="AO481" s="170"/>
      <c r="AP481" s="170"/>
      <c r="AQ481" s="170"/>
      <c r="AR481" s="170"/>
      <c r="AS481" s="170"/>
      <c r="AT481" s="170"/>
      <c r="AU481" s="170"/>
      <c r="AV481" s="170"/>
      <c r="AW481" s="170"/>
      <c r="AX481" s="170"/>
    </row>
    <row r="482" spans="1:50" ht="15" x14ac:dyDescent="0.25">
      <c r="A482" s="170"/>
      <c r="B482" s="719"/>
      <c r="C482" s="170"/>
      <c r="D482" s="170"/>
      <c r="E482" s="170"/>
      <c r="F482" s="170"/>
      <c r="G482" s="721"/>
      <c r="H482" s="170"/>
      <c r="I482" s="170"/>
      <c r="J482" s="170"/>
      <c r="K482" s="170"/>
      <c r="L482" s="170"/>
      <c r="M482" s="730"/>
      <c r="N482" s="730"/>
      <c r="O482" s="730"/>
      <c r="P482" s="731"/>
      <c r="Q482" s="731"/>
      <c r="R482" s="730"/>
      <c r="S482" s="730"/>
      <c r="T482" s="723"/>
      <c r="U482" s="724"/>
      <c r="V482" s="725"/>
      <c r="W482" s="725"/>
      <c r="X482" s="723"/>
      <c r="Y482" s="723"/>
      <c r="Z482" s="723"/>
      <c r="AA482" s="726"/>
      <c r="AB482" s="726"/>
      <c r="AC482" s="170"/>
      <c r="AD482" s="586"/>
      <c r="AE482" s="586"/>
      <c r="AF482" s="170"/>
      <c r="AG482" s="170"/>
      <c r="AH482" s="170"/>
      <c r="AI482" s="170"/>
      <c r="AJ482" s="170"/>
      <c r="AK482" s="170"/>
      <c r="AL482" s="170"/>
      <c r="AM482" s="170"/>
      <c r="AN482" s="170"/>
      <c r="AO482" s="170"/>
      <c r="AP482" s="170"/>
      <c r="AQ482" s="170"/>
      <c r="AR482" s="170"/>
      <c r="AS482" s="170"/>
      <c r="AT482" s="170"/>
      <c r="AU482" s="170"/>
      <c r="AV482" s="170"/>
      <c r="AW482" s="170"/>
      <c r="AX482" s="170"/>
    </row>
    <row r="483" spans="1:50" ht="15" x14ac:dyDescent="0.25">
      <c r="A483" s="170"/>
      <c r="B483" s="719"/>
      <c r="C483" s="170"/>
      <c r="D483" s="170"/>
      <c r="E483" s="170"/>
      <c r="F483" s="170"/>
      <c r="G483" s="721"/>
      <c r="H483" s="170"/>
      <c r="I483" s="170"/>
      <c r="J483" s="170"/>
      <c r="K483" s="170"/>
      <c r="L483" s="170"/>
      <c r="M483" s="730"/>
      <c r="N483" s="730"/>
      <c r="O483" s="730"/>
      <c r="P483" s="731"/>
      <c r="Q483" s="731"/>
      <c r="R483" s="730"/>
      <c r="S483" s="730"/>
      <c r="T483" s="723"/>
      <c r="U483" s="724"/>
      <c r="V483" s="725"/>
      <c r="W483" s="725"/>
      <c r="X483" s="723"/>
      <c r="Y483" s="723"/>
      <c r="Z483" s="723"/>
      <c r="AA483" s="726"/>
      <c r="AB483" s="726"/>
      <c r="AC483" s="170"/>
      <c r="AD483" s="586"/>
      <c r="AE483" s="586"/>
      <c r="AF483" s="170"/>
      <c r="AG483" s="170"/>
      <c r="AH483" s="170"/>
      <c r="AI483" s="170"/>
      <c r="AJ483" s="170"/>
      <c r="AK483" s="170"/>
      <c r="AL483" s="170"/>
      <c r="AM483" s="170"/>
      <c r="AN483" s="170"/>
      <c r="AO483" s="170"/>
      <c r="AP483" s="170"/>
      <c r="AQ483" s="170"/>
      <c r="AR483" s="170"/>
      <c r="AS483" s="170"/>
      <c r="AT483" s="170"/>
      <c r="AU483" s="170"/>
      <c r="AV483" s="170"/>
      <c r="AW483" s="170"/>
      <c r="AX483" s="170"/>
    </row>
    <row r="484" spans="1:50" ht="15" x14ac:dyDescent="0.25">
      <c r="A484" s="170"/>
      <c r="B484" s="719"/>
      <c r="C484" s="170"/>
      <c r="D484" s="170"/>
      <c r="E484" s="170"/>
      <c r="F484" s="170"/>
      <c r="G484" s="721"/>
      <c r="H484" s="170"/>
      <c r="I484" s="170"/>
      <c r="J484" s="170"/>
      <c r="K484" s="170"/>
      <c r="L484" s="170"/>
      <c r="M484" s="730"/>
      <c r="N484" s="730"/>
      <c r="O484" s="730"/>
      <c r="P484" s="731"/>
      <c r="Q484" s="731"/>
      <c r="R484" s="730"/>
      <c r="S484" s="730"/>
      <c r="T484" s="723"/>
      <c r="U484" s="724"/>
      <c r="V484" s="725"/>
      <c r="W484" s="725"/>
      <c r="X484" s="723"/>
      <c r="Y484" s="723"/>
      <c r="Z484" s="723"/>
      <c r="AA484" s="726"/>
      <c r="AB484" s="726"/>
      <c r="AC484" s="170"/>
      <c r="AD484" s="586"/>
      <c r="AE484" s="586"/>
      <c r="AF484" s="170"/>
      <c r="AG484" s="170"/>
      <c r="AH484" s="170"/>
      <c r="AI484" s="170"/>
      <c r="AJ484" s="170"/>
      <c r="AK484" s="170"/>
      <c r="AL484" s="170"/>
      <c r="AM484" s="170"/>
      <c r="AN484" s="170"/>
      <c r="AO484" s="170"/>
      <c r="AP484" s="170"/>
      <c r="AQ484" s="170"/>
      <c r="AR484" s="170"/>
      <c r="AS484" s="170"/>
      <c r="AT484" s="170"/>
      <c r="AU484" s="170"/>
      <c r="AV484" s="170"/>
      <c r="AW484" s="170"/>
      <c r="AX484" s="170"/>
    </row>
    <row r="485" spans="1:50" ht="15" x14ac:dyDescent="0.25">
      <c r="A485" s="170"/>
      <c r="B485" s="719"/>
      <c r="C485" s="170"/>
      <c r="D485" s="170"/>
      <c r="E485" s="170"/>
      <c r="F485" s="170"/>
      <c r="G485" s="721"/>
      <c r="H485" s="170"/>
      <c r="I485" s="170"/>
      <c r="J485" s="170"/>
      <c r="K485" s="170"/>
      <c r="L485" s="170"/>
      <c r="M485" s="730"/>
      <c r="N485" s="730"/>
      <c r="O485" s="730"/>
      <c r="P485" s="731"/>
      <c r="Q485" s="731"/>
      <c r="R485" s="730"/>
      <c r="S485" s="730"/>
      <c r="T485" s="723"/>
      <c r="U485" s="724"/>
      <c r="V485" s="725"/>
      <c r="W485" s="725"/>
      <c r="X485" s="723"/>
      <c r="Y485" s="723"/>
      <c r="Z485" s="723"/>
      <c r="AA485" s="726"/>
      <c r="AB485" s="726"/>
      <c r="AC485" s="170"/>
      <c r="AD485" s="586"/>
      <c r="AE485" s="586"/>
      <c r="AF485" s="170"/>
      <c r="AG485" s="170"/>
      <c r="AH485" s="170"/>
      <c r="AI485" s="170"/>
      <c r="AJ485" s="170"/>
      <c r="AK485" s="170"/>
      <c r="AL485" s="170"/>
      <c r="AM485" s="170"/>
      <c r="AN485" s="170"/>
      <c r="AO485" s="170"/>
      <c r="AP485" s="170"/>
      <c r="AQ485" s="170"/>
      <c r="AR485" s="170"/>
      <c r="AS485" s="170"/>
      <c r="AT485" s="170"/>
      <c r="AU485" s="170"/>
      <c r="AV485" s="170"/>
      <c r="AW485" s="170"/>
      <c r="AX485" s="170"/>
    </row>
    <row r="486" spans="1:50" ht="15" x14ac:dyDescent="0.25">
      <c r="A486" s="170"/>
      <c r="B486" s="719"/>
      <c r="C486" s="170"/>
      <c r="D486" s="170"/>
      <c r="E486" s="170"/>
      <c r="F486" s="170"/>
      <c r="G486" s="721"/>
      <c r="H486" s="170"/>
      <c r="I486" s="170"/>
      <c r="J486" s="170"/>
      <c r="K486" s="170"/>
      <c r="L486" s="170"/>
      <c r="M486" s="730"/>
      <c r="N486" s="730"/>
      <c r="O486" s="730"/>
      <c r="P486" s="731"/>
      <c r="Q486" s="731"/>
      <c r="R486" s="730"/>
      <c r="S486" s="730"/>
      <c r="T486" s="723"/>
      <c r="U486" s="724"/>
      <c r="V486" s="725"/>
      <c r="W486" s="725"/>
      <c r="X486" s="723"/>
      <c r="Y486" s="723"/>
      <c r="Z486" s="723"/>
      <c r="AA486" s="726"/>
      <c r="AB486" s="726"/>
      <c r="AC486" s="170"/>
      <c r="AD486" s="586"/>
      <c r="AE486" s="586"/>
      <c r="AF486" s="170"/>
      <c r="AG486" s="170"/>
      <c r="AH486" s="170"/>
      <c r="AI486" s="170"/>
      <c r="AJ486" s="170"/>
      <c r="AK486" s="170"/>
      <c r="AL486" s="170"/>
      <c r="AM486" s="170"/>
      <c r="AN486" s="170"/>
      <c r="AO486" s="170"/>
      <c r="AP486" s="170"/>
      <c r="AQ486" s="170"/>
      <c r="AR486" s="170"/>
      <c r="AS486" s="170"/>
      <c r="AT486" s="170"/>
      <c r="AU486" s="170"/>
      <c r="AV486" s="170"/>
      <c r="AW486" s="170"/>
      <c r="AX486" s="170"/>
    </row>
    <row r="487" spans="1:50" ht="15" x14ac:dyDescent="0.25">
      <c r="A487" s="170"/>
      <c r="B487" s="719"/>
      <c r="C487" s="170"/>
      <c r="D487" s="170"/>
      <c r="E487" s="170"/>
      <c r="F487" s="170"/>
      <c r="G487" s="721"/>
      <c r="H487" s="170"/>
      <c r="I487" s="170"/>
      <c r="J487" s="170"/>
      <c r="K487" s="170"/>
      <c r="L487" s="170"/>
      <c r="M487" s="730"/>
      <c r="N487" s="730"/>
      <c r="O487" s="730"/>
      <c r="P487" s="731"/>
      <c r="Q487" s="731"/>
      <c r="R487" s="730"/>
      <c r="S487" s="730"/>
      <c r="T487" s="723"/>
      <c r="U487" s="724"/>
      <c r="V487" s="725"/>
      <c r="W487" s="725"/>
      <c r="X487" s="723"/>
      <c r="Y487" s="723"/>
      <c r="Z487" s="723"/>
      <c r="AA487" s="726"/>
      <c r="AB487" s="726"/>
      <c r="AC487" s="170"/>
      <c r="AD487" s="586"/>
      <c r="AE487" s="586"/>
      <c r="AF487" s="170"/>
      <c r="AG487" s="170"/>
      <c r="AH487" s="170"/>
      <c r="AI487" s="170"/>
      <c r="AJ487" s="170"/>
      <c r="AK487" s="170"/>
      <c r="AL487" s="170"/>
      <c r="AM487" s="170"/>
      <c r="AN487" s="170"/>
      <c r="AO487" s="170"/>
      <c r="AP487" s="170"/>
      <c r="AQ487" s="170"/>
      <c r="AR487" s="170"/>
      <c r="AS487" s="170"/>
      <c r="AT487" s="170"/>
      <c r="AU487" s="170"/>
      <c r="AV487" s="170"/>
      <c r="AW487" s="170"/>
      <c r="AX487" s="170"/>
    </row>
    <row r="488" spans="1:50" ht="15" x14ac:dyDescent="0.25">
      <c r="A488" s="170"/>
      <c r="B488" s="719"/>
      <c r="C488" s="170"/>
      <c r="D488" s="170"/>
      <c r="E488" s="170"/>
      <c r="F488" s="170"/>
      <c r="G488" s="721"/>
      <c r="H488" s="170"/>
      <c r="I488" s="170"/>
      <c r="J488" s="170"/>
      <c r="K488" s="170"/>
      <c r="L488" s="170"/>
      <c r="M488" s="730"/>
      <c r="N488" s="730"/>
      <c r="O488" s="730"/>
      <c r="P488" s="731"/>
      <c r="Q488" s="731"/>
      <c r="R488" s="730"/>
      <c r="S488" s="730"/>
      <c r="T488" s="723"/>
      <c r="U488" s="724"/>
      <c r="V488" s="725"/>
      <c r="W488" s="725"/>
      <c r="X488" s="723"/>
      <c r="Y488" s="723"/>
      <c r="Z488" s="723"/>
      <c r="AA488" s="726"/>
      <c r="AB488" s="726"/>
      <c r="AC488" s="170"/>
      <c r="AD488" s="586"/>
      <c r="AE488" s="586"/>
      <c r="AF488" s="170"/>
      <c r="AG488" s="170"/>
      <c r="AH488" s="170"/>
      <c r="AI488" s="170"/>
      <c r="AJ488" s="170"/>
      <c r="AK488" s="170"/>
      <c r="AL488" s="170"/>
      <c r="AM488" s="170"/>
      <c r="AN488" s="170"/>
      <c r="AO488" s="170"/>
      <c r="AP488" s="170"/>
      <c r="AQ488" s="170"/>
      <c r="AR488" s="170"/>
      <c r="AS488" s="170"/>
      <c r="AT488" s="170"/>
      <c r="AU488" s="170"/>
      <c r="AV488" s="170"/>
      <c r="AW488" s="170"/>
      <c r="AX488" s="170"/>
    </row>
    <row r="489" spans="1:50" ht="15" x14ac:dyDescent="0.25">
      <c r="A489" s="170"/>
      <c r="B489" s="719"/>
      <c r="C489" s="170"/>
      <c r="D489" s="170"/>
      <c r="E489" s="170"/>
      <c r="F489" s="170"/>
      <c r="G489" s="721"/>
      <c r="H489" s="170"/>
      <c r="I489" s="170"/>
      <c r="J489" s="170"/>
      <c r="K489" s="170"/>
      <c r="L489" s="170"/>
      <c r="M489" s="730"/>
      <c r="N489" s="730"/>
      <c r="O489" s="730"/>
      <c r="P489" s="731"/>
      <c r="Q489" s="731"/>
      <c r="R489" s="730"/>
      <c r="S489" s="730"/>
      <c r="T489" s="723"/>
      <c r="U489" s="724"/>
      <c r="V489" s="725"/>
      <c r="W489" s="725"/>
      <c r="X489" s="723"/>
      <c r="Y489" s="723"/>
      <c r="Z489" s="723"/>
      <c r="AA489" s="726"/>
      <c r="AB489" s="726"/>
      <c r="AC489" s="170"/>
      <c r="AD489" s="586"/>
      <c r="AE489" s="586"/>
      <c r="AF489" s="170"/>
      <c r="AG489" s="170"/>
      <c r="AH489" s="170"/>
      <c r="AI489" s="170"/>
      <c r="AJ489" s="170"/>
      <c r="AK489" s="170"/>
      <c r="AL489" s="170"/>
      <c r="AM489" s="170"/>
      <c r="AN489" s="170"/>
      <c r="AO489" s="170"/>
      <c r="AP489" s="170"/>
      <c r="AQ489" s="170"/>
      <c r="AR489" s="170"/>
      <c r="AS489" s="170"/>
      <c r="AT489" s="170"/>
      <c r="AU489" s="170"/>
      <c r="AV489" s="170"/>
      <c r="AW489" s="170"/>
      <c r="AX489" s="170"/>
    </row>
    <row r="490" spans="1:50" ht="15" x14ac:dyDescent="0.25">
      <c r="A490" s="170"/>
      <c r="B490" s="719"/>
      <c r="C490" s="170"/>
      <c r="D490" s="170"/>
      <c r="E490" s="170"/>
      <c r="F490" s="170"/>
      <c r="G490" s="721"/>
      <c r="H490" s="170"/>
      <c r="I490" s="170"/>
      <c r="J490" s="170"/>
      <c r="K490" s="170"/>
      <c r="L490" s="170"/>
      <c r="M490" s="730"/>
      <c r="N490" s="730"/>
      <c r="O490" s="730"/>
      <c r="P490" s="731"/>
      <c r="Q490" s="731"/>
      <c r="R490" s="730"/>
      <c r="S490" s="730"/>
      <c r="T490" s="723"/>
      <c r="U490" s="724"/>
      <c r="V490" s="725"/>
      <c r="W490" s="725"/>
      <c r="X490" s="723"/>
      <c r="Y490" s="723"/>
      <c r="Z490" s="723"/>
      <c r="AA490" s="726"/>
      <c r="AB490" s="726"/>
      <c r="AC490" s="170"/>
      <c r="AD490" s="586"/>
      <c r="AE490" s="586"/>
      <c r="AF490" s="170"/>
      <c r="AG490" s="170"/>
      <c r="AH490" s="170"/>
      <c r="AI490" s="170"/>
      <c r="AJ490" s="170"/>
      <c r="AK490" s="170"/>
      <c r="AL490" s="170"/>
      <c r="AM490" s="170"/>
      <c r="AN490" s="170"/>
      <c r="AO490" s="170"/>
      <c r="AP490" s="170"/>
      <c r="AQ490" s="170"/>
      <c r="AR490" s="170"/>
      <c r="AS490" s="170"/>
      <c r="AT490" s="170"/>
      <c r="AU490" s="170"/>
      <c r="AV490" s="170"/>
      <c r="AW490" s="170"/>
      <c r="AX490" s="170"/>
    </row>
    <row r="491" spans="1:50" ht="15" x14ac:dyDescent="0.25">
      <c r="A491" s="170"/>
      <c r="B491" s="719"/>
      <c r="C491" s="170"/>
      <c r="D491" s="170"/>
      <c r="E491" s="170"/>
      <c r="F491" s="170"/>
      <c r="G491" s="721"/>
      <c r="H491" s="170"/>
      <c r="I491" s="170"/>
      <c r="J491" s="170"/>
      <c r="K491" s="170"/>
      <c r="L491" s="170"/>
      <c r="M491" s="730"/>
      <c r="N491" s="730"/>
      <c r="O491" s="730"/>
      <c r="P491" s="731"/>
      <c r="Q491" s="731"/>
      <c r="R491" s="730"/>
      <c r="S491" s="730"/>
      <c r="T491" s="723"/>
      <c r="U491" s="724"/>
      <c r="V491" s="725"/>
      <c r="W491" s="725"/>
      <c r="X491" s="723"/>
      <c r="Y491" s="723"/>
      <c r="Z491" s="723"/>
      <c r="AA491" s="726"/>
      <c r="AB491" s="726"/>
      <c r="AC491" s="170"/>
      <c r="AD491" s="586"/>
      <c r="AE491" s="586"/>
      <c r="AF491" s="170"/>
      <c r="AG491" s="170"/>
      <c r="AH491" s="170"/>
      <c r="AI491" s="170"/>
      <c r="AJ491" s="170"/>
      <c r="AK491" s="170"/>
      <c r="AL491" s="170"/>
      <c r="AM491" s="170"/>
      <c r="AN491" s="170"/>
      <c r="AO491" s="170"/>
      <c r="AP491" s="170"/>
      <c r="AQ491" s="170"/>
      <c r="AR491" s="170"/>
      <c r="AS491" s="170"/>
      <c r="AT491" s="170"/>
      <c r="AU491" s="170"/>
      <c r="AV491" s="170"/>
      <c r="AW491" s="170"/>
      <c r="AX491" s="170"/>
    </row>
    <row r="492" spans="1:50" ht="15" x14ac:dyDescent="0.25">
      <c r="A492" s="170"/>
      <c r="B492" s="719"/>
      <c r="C492" s="170"/>
      <c r="D492" s="170"/>
      <c r="E492" s="170"/>
      <c r="F492" s="170"/>
      <c r="G492" s="721"/>
      <c r="H492" s="170"/>
      <c r="I492" s="170"/>
      <c r="J492" s="170"/>
      <c r="K492" s="170"/>
      <c r="L492" s="170"/>
      <c r="M492" s="730"/>
      <c r="N492" s="730"/>
      <c r="O492" s="730"/>
      <c r="P492" s="731"/>
      <c r="Q492" s="731"/>
      <c r="R492" s="730"/>
      <c r="S492" s="730"/>
      <c r="T492" s="723"/>
      <c r="U492" s="724"/>
      <c r="V492" s="725"/>
      <c r="W492" s="725"/>
      <c r="X492" s="723"/>
      <c r="Y492" s="723"/>
      <c r="Z492" s="723"/>
      <c r="AA492" s="726"/>
      <c r="AB492" s="726"/>
      <c r="AC492" s="170"/>
      <c r="AD492" s="586"/>
      <c r="AE492" s="586"/>
      <c r="AF492" s="170"/>
      <c r="AG492" s="170"/>
      <c r="AH492" s="170"/>
      <c r="AI492" s="170"/>
      <c r="AJ492" s="170"/>
      <c r="AK492" s="170"/>
      <c r="AL492" s="170"/>
      <c r="AM492" s="170"/>
      <c r="AN492" s="170"/>
      <c r="AO492" s="170"/>
      <c r="AP492" s="170"/>
      <c r="AQ492" s="170"/>
      <c r="AR492" s="170"/>
      <c r="AS492" s="170"/>
      <c r="AT492" s="170"/>
      <c r="AU492" s="170"/>
      <c r="AV492" s="170"/>
      <c r="AW492" s="170"/>
      <c r="AX492" s="170"/>
    </row>
    <row r="493" spans="1:50" ht="15" x14ac:dyDescent="0.25">
      <c r="A493" s="170"/>
      <c r="B493" s="719"/>
      <c r="C493" s="170"/>
      <c r="D493" s="170"/>
      <c r="E493" s="170"/>
      <c r="F493" s="170"/>
      <c r="G493" s="721"/>
      <c r="H493" s="170"/>
      <c r="I493" s="170"/>
      <c r="J493" s="170"/>
      <c r="K493" s="170"/>
      <c r="L493" s="170"/>
      <c r="M493" s="730"/>
      <c r="N493" s="730"/>
      <c r="O493" s="730"/>
      <c r="P493" s="731"/>
      <c r="Q493" s="731"/>
      <c r="R493" s="730"/>
      <c r="S493" s="730"/>
      <c r="T493" s="723"/>
      <c r="U493" s="724"/>
      <c r="V493" s="725"/>
      <c r="W493" s="725"/>
      <c r="X493" s="723"/>
      <c r="Y493" s="723"/>
      <c r="Z493" s="723"/>
      <c r="AA493" s="726"/>
      <c r="AB493" s="726"/>
      <c r="AC493" s="170"/>
      <c r="AD493" s="586"/>
      <c r="AE493" s="586"/>
      <c r="AF493" s="170"/>
      <c r="AG493" s="170"/>
      <c r="AH493" s="170"/>
      <c r="AI493" s="170"/>
      <c r="AJ493" s="170"/>
      <c r="AK493" s="170"/>
      <c r="AL493" s="170"/>
      <c r="AM493" s="170"/>
      <c r="AN493" s="170"/>
      <c r="AO493" s="170"/>
      <c r="AP493" s="170"/>
      <c r="AQ493" s="170"/>
      <c r="AR493" s="170"/>
      <c r="AS493" s="170"/>
      <c r="AT493" s="170"/>
      <c r="AU493" s="170"/>
      <c r="AV493" s="170"/>
      <c r="AW493" s="170"/>
      <c r="AX493" s="170"/>
    </row>
    <row r="494" spans="1:50" ht="15" x14ac:dyDescent="0.25">
      <c r="A494" s="170"/>
      <c r="B494" s="719"/>
      <c r="C494" s="170"/>
      <c r="D494" s="170"/>
      <c r="E494" s="170"/>
      <c r="F494" s="170"/>
      <c r="G494" s="721"/>
      <c r="H494" s="170"/>
      <c r="I494" s="170"/>
      <c r="J494" s="170"/>
      <c r="K494" s="170"/>
      <c r="L494" s="170"/>
      <c r="M494" s="730"/>
      <c r="N494" s="730"/>
      <c r="O494" s="730"/>
      <c r="P494" s="731"/>
      <c r="Q494" s="731"/>
      <c r="R494" s="730"/>
      <c r="S494" s="730"/>
      <c r="T494" s="723"/>
      <c r="U494" s="724"/>
      <c r="V494" s="725"/>
      <c r="W494" s="725"/>
      <c r="X494" s="723"/>
      <c r="Y494" s="723"/>
      <c r="Z494" s="723"/>
      <c r="AA494" s="726"/>
      <c r="AB494" s="726"/>
      <c r="AC494" s="170"/>
      <c r="AD494" s="586"/>
      <c r="AE494" s="586"/>
      <c r="AF494" s="170"/>
      <c r="AG494" s="170"/>
      <c r="AH494" s="170"/>
      <c r="AI494" s="170"/>
      <c r="AJ494" s="170"/>
      <c r="AK494" s="170"/>
      <c r="AL494" s="170"/>
      <c r="AM494" s="170"/>
      <c r="AN494" s="170"/>
      <c r="AO494" s="170"/>
      <c r="AP494" s="170"/>
      <c r="AQ494" s="170"/>
      <c r="AR494" s="170"/>
      <c r="AS494" s="170"/>
      <c r="AT494" s="170"/>
      <c r="AU494" s="170"/>
      <c r="AV494" s="170"/>
      <c r="AW494" s="170"/>
      <c r="AX494" s="170"/>
    </row>
    <row r="495" spans="1:50" ht="15" x14ac:dyDescent="0.25">
      <c r="A495" s="170"/>
      <c r="B495" s="719"/>
      <c r="C495" s="170"/>
      <c r="D495" s="170"/>
      <c r="E495" s="170"/>
      <c r="F495" s="170"/>
      <c r="G495" s="721"/>
      <c r="H495" s="170"/>
      <c r="I495" s="170"/>
      <c r="J495" s="170"/>
      <c r="K495" s="170"/>
      <c r="L495" s="170"/>
      <c r="M495" s="730"/>
      <c r="N495" s="730"/>
      <c r="O495" s="730"/>
      <c r="P495" s="731"/>
      <c r="Q495" s="731"/>
      <c r="R495" s="730"/>
      <c r="S495" s="730"/>
      <c r="T495" s="723"/>
      <c r="U495" s="724"/>
      <c r="V495" s="725"/>
      <c r="W495" s="725"/>
      <c r="X495" s="723"/>
      <c r="Y495" s="723"/>
      <c r="Z495" s="723"/>
      <c r="AA495" s="726"/>
      <c r="AB495" s="726"/>
      <c r="AC495" s="170"/>
      <c r="AD495" s="586"/>
      <c r="AE495" s="586"/>
      <c r="AF495" s="170"/>
      <c r="AG495" s="170"/>
      <c r="AH495" s="170"/>
      <c r="AI495" s="170"/>
      <c r="AJ495" s="170"/>
      <c r="AK495" s="170"/>
      <c r="AL495" s="170"/>
      <c r="AM495" s="170"/>
      <c r="AN495" s="170"/>
      <c r="AO495" s="170"/>
      <c r="AP495" s="170"/>
      <c r="AQ495" s="170"/>
      <c r="AR495" s="170"/>
      <c r="AS495" s="170"/>
      <c r="AT495" s="170"/>
      <c r="AU495" s="170"/>
      <c r="AV495" s="170"/>
      <c r="AW495" s="170"/>
      <c r="AX495" s="170"/>
    </row>
    <row r="496" spans="1:50" ht="15" x14ac:dyDescent="0.25">
      <c r="A496" s="170"/>
      <c r="B496" s="719"/>
      <c r="C496" s="170"/>
      <c r="D496" s="170"/>
      <c r="E496" s="170"/>
      <c r="F496" s="170"/>
      <c r="G496" s="721"/>
      <c r="H496" s="170"/>
      <c r="I496" s="170"/>
      <c r="J496" s="170"/>
      <c r="K496" s="170"/>
      <c r="L496" s="170"/>
      <c r="M496" s="730"/>
      <c r="N496" s="730"/>
      <c r="O496" s="730"/>
      <c r="P496" s="731"/>
      <c r="Q496" s="731"/>
      <c r="R496" s="730"/>
      <c r="S496" s="730"/>
      <c r="T496" s="723"/>
      <c r="U496" s="724"/>
      <c r="V496" s="725"/>
      <c r="W496" s="725"/>
      <c r="X496" s="723"/>
      <c r="Y496" s="723"/>
      <c r="Z496" s="723"/>
      <c r="AA496" s="726"/>
      <c r="AB496" s="726"/>
      <c r="AC496" s="170"/>
      <c r="AD496" s="586"/>
      <c r="AE496" s="586"/>
      <c r="AF496" s="170"/>
      <c r="AG496" s="170"/>
      <c r="AH496" s="170"/>
      <c r="AI496" s="170"/>
      <c r="AJ496" s="170"/>
      <c r="AK496" s="170"/>
      <c r="AL496" s="170"/>
      <c r="AM496" s="170"/>
      <c r="AN496" s="170"/>
      <c r="AO496" s="170"/>
      <c r="AP496" s="170"/>
      <c r="AQ496" s="170"/>
      <c r="AR496" s="170"/>
      <c r="AS496" s="170"/>
      <c r="AT496" s="170"/>
      <c r="AU496" s="170"/>
      <c r="AV496" s="170"/>
      <c r="AW496" s="170"/>
      <c r="AX496" s="170"/>
    </row>
    <row r="497" spans="1:50" ht="15" x14ac:dyDescent="0.25">
      <c r="A497" s="170"/>
      <c r="B497" s="719"/>
      <c r="C497" s="170"/>
      <c r="D497" s="170"/>
      <c r="E497" s="170"/>
      <c r="F497" s="170"/>
      <c r="G497" s="721"/>
      <c r="H497" s="170"/>
      <c r="I497" s="170"/>
      <c r="J497" s="170"/>
      <c r="K497" s="170"/>
      <c r="L497" s="170"/>
      <c r="M497" s="730"/>
      <c r="N497" s="730"/>
      <c r="O497" s="730"/>
      <c r="P497" s="731"/>
      <c r="Q497" s="731"/>
      <c r="R497" s="730"/>
      <c r="S497" s="730"/>
      <c r="T497" s="723"/>
      <c r="U497" s="724"/>
      <c r="V497" s="725"/>
      <c r="W497" s="725"/>
      <c r="X497" s="723"/>
      <c r="Y497" s="723"/>
      <c r="Z497" s="723"/>
      <c r="AA497" s="726"/>
      <c r="AB497" s="726"/>
      <c r="AC497" s="170"/>
      <c r="AD497" s="586"/>
      <c r="AE497" s="586"/>
      <c r="AF497" s="170"/>
      <c r="AG497" s="170"/>
      <c r="AH497" s="170"/>
      <c r="AI497" s="170"/>
      <c r="AJ497" s="170"/>
      <c r="AK497" s="170"/>
      <c r="AL497" s="170"/>
      <c r="AM497" s="170"/>
      <c r="AN497" s="170"/>
      <c r="AO497" s="170"/>
      <c r="AP497" s="170"/>
      <c r="AQ497" s="170"/>
      <c r="AR497" s="170"/>
      <c r="AS497" s="170"/>
      <c r="AT497" s="170"/>
      <c r="AU497" s="170"/>
      <c r="AV497" s="170"/>
      <c r="AW497" s="170"/>
      <c r="AX497" s="170"/>
    </row>
    <row r="498" spans="1:50" ht="15" x14ac:dyDescent="0.25">
      <c r="A498" s="170"/>
      <c r="B498" s="719"/>
      <c r="C498" s="170"/>
      <c r="D498" s="170"/>
      <c r="E498" s="170"/>
      <c r="F498" s="170"/>
      <c r="G498" s="721"/>
      <c r="H498" s="170"/>
      <c r="I498" s="170"/>
      <c r="J498" s="170"/>
      <c r="K498" s="170"/>
      <c r="L498" s="170"/>
      <c r="M498" s="730"/>
      <c r="N498" s="730"/>
      <c r="O498" s="730"/>
      <c r="P498" s="731"/>
      <c r="Q498" s="731"/>
      <c r="R498" s="730"/>
      <c r="S498" s="730"/>
      <c r="T498" s="723"/>
      <c r="U498" s="724"/>
      <c r="V498" s="725"/>
      <c r="W498" s="725"/>
      <c r="X498" s="723"/>
      <c r="Y498" s="723"/>
      <c r="Z498" s="723"/>
      <c r="AA498" s="726"/>
      <c r="AB498" s="726"/>
      <c r="AC498" s="170"/>
      <c r="AD498" s="586"/>
      <c r="AE498" s="586"/>
      <c r="AF498" s="170"/>
      <c r="AG498" s="170"/>
      <c r="AH498" s="170"/>
      <c r="AI498" s="170"/>
      <c r="AJ498" s="170"/>
      <c r="AK498" s="170"/>
      <c r="AL498" s="170"/>
      <c r="AM498" s="170"/>
      <c r="AN498" s="170"/>
      <c r="AO498" s="170"/>
      <c r="AP498" s="170"/>
      <c r="AQ498" s="170"/>
      <c r="AR498" s="170"/>
      <c r="AS498" s="170"/>
      <c r="AT498" s="170"/>
      <c r="AU498" s="170"/>
      <c r="AV498" s="170"/>
      <c r="AW498" s="170"/>
      <c r="AX498" s="170"/>
    </row>
    <row r="499" spans="1:50" ht="15" x14ac:dyDescent="0.25">
      <c r="A499" s="170"/>
      <c r="B499" s="719"/>
      <c r="C499" s="170"/>
      <c r="D499" s="170"/>
      <c r="E499" s="170"/>
      <c r="F499" s="170"/>
      <c r="G499" s="721"/>
      <c r="H499" s="170"/>
      <c r="I499" s="170"/>
      <c r="J499" s="170"/>
      <c r="K499" s="170"/>
      <c r="L499" s="170"/>
      <c r="M499" s="730"/>
      <c r="N499" s="730"/>
      <c r="O499" s="730"/>
      <c r="P499" s="731"/>
      <c r="Q499" s="731"/>
      <c r="R499" s="730"/>
      <c r="S499" s="730"/>
      <c r="T499" s="723"/>
      <c r="U499" s="724"/>
      <c r="V499" s="725"/>
      <c r="W499" s="725"/>
      <c r="X499" s="723"/>
      <c r="Y499" s="723"/>
      <c r="Z499" s="723"/>
      <c r="AA499" s="726"/>
      <c r="AB499" s="726"/>
      <c r="AC499" s="170"/>
      <c r="AD499" s="586"/>
      <c r="AE499" s="586"/>
      <c r="AF499" s="170"/>
      <c r="AG499" s="170"/>
      <c r="AH499" s="170"/>
      <c r="AI499" s="170"/>
      <c r="AJ499" s="170"/>
      <c r="AK499" s="170"/>
      <c r="AL499" s="170"/>
      <c r="AM499" s="170"/>
      <c r="AN499" s="170"/>
      <c r="AO499" s="170"/>
      <c r="AP499" s="170"/>
      <c r="AQ499" s="170"/>
      <c r="AR499" s="170"/>
      <c r="AS499" s="170"/>
      <c r="AT499" s="170"/>
      <c r="AU499" s="170"/>
      <c r="AV499" s="170"/>
      <c r="AW499" s="170"/>
      <c r="AX499" s="170"/>
    </row>
    <row r="500" spans="1:50" ht="15" x14ac:dyDescent="0.25">
      <c r="A500" s="170"/>
      <c r="B500" s="719"/>
      <c r="C500" s="170"/>
      <c r="D500" s="170"/>
      <c r="E500" s="170"/>
      <c r="F500" s="170"/>
      <c r="G500" s="721"/>
      <c r="H500" s="170"/>
      <c r="I500" s="170"/>
      <c r="J500" s="170"/>
      <c r="K500" s="170"/>
      <c r="L500" s="170"/>
      <c r="M500" s="730"/>
      <c r="N500" s="730"/>
      <c r="O500" s="730"/>
      <c r="P500" s="731"/>
      <c r="Q500" s="731"/>
      <c r="R500" s="730"/>
      <c r="S500" s="730"/>
      <c r="T500" s="723"/>
      <c r="U500" s="724"/>
      <c r="V500" s="725"/>
      <c r="W500" s="725"/>
      <c r="X500" s="723"/>
      <c r="Y500" s="723"/>
      <c r="Z500" s="723"/>
      <c r="AA500" s="726"/>
      <c r="AB500" s="726"/>
      <c r="AC500" s="170"/>
      <c r="AD500" s="586"/>
      <c r="AE500" s="586"/>
      <c r="AF500" s="170"/>
      <c r="AG500" s="170"/>
      <c r="AH500" s="170"/>
      <c r="AI500" s="170"/>
      <c r="AJ500" s="170"/>
      <c r="AK500" s="170"/>
      <c r="AL500" s="170"/>
      <c r="AM500" s="170"/>
      <c r="AN500" s="170"/>
      <c r="AO500" s="170"/>
      <c r="AP500" s="170"/>
      <c r="AQ500" s="170"/>
      <c r="AR500" s="170"/>
      <c r="AS500" s="170"/>
      <c r="AT500" s="170"/>
      <c r="AU500" s="170"/>
      <c r="AV500" s="170"/>
      <c r="AW500" s="170"/>
      <c r="AX500" s="170"/>
    </row>
    <row r="501" spans="1:50" ht="15" x14ac:dyDescent="0.25">
      <c r="A501" s="170"/>
      <c r="B501" s="719"/>
      <c r="C501" s="170"/>
      <c r="D501" s="170"/>
      <c r="E501" s="170"/>
      <c r="F501" s="170"/>
      <c r="G501" s="721"/>
      <c r="H501" s="170"/>
      <c r="I501" s="170"/>
      <c r="J501" s="170"/>
      <c r="K501" s="170"/>
      <c r="L501" s="170"/>
      <c r="M501" s="730"/>
      <c r="N501" s="730"/>
      <c r="O501" s="730"/>
      <c r="P501" s="731"/>
      <c r="Q501" s="731"/>
      <c r="R501" s="730"/>
      <c r="S501" s="730"/>
      <c r="T501" s="723"/>
      <c r="U501" s="724"/>
      <c r="V501" s="725"/>
      <c r="W501" s="725"/>
      <c r="X501" s="723"/>
      <c r="Y501" s="723"/>
      <c r="Z501" s="723"/>
      <c r="AA501" s="726"/>
      <c r="AB501" s="726"/>
      <c r="AC501" s="170"/>
      <c r="AD501" s="586"/>
      <c r="AE501" s="586"/>
      <c r="AF501" s="170"/>
      <c r="AG501" s="170"/>
      <c r="AH501" s="170"/>
      <c r="AI501" s="170"/>
      <c r="AJ501" s="170"/>
      <c r="AK501" s="170"/>
      <c r="AL501" s="170"/>
      <c r="AM501" s="170"/>
      <c r="AN501" s="170"/>
      <c r="AO501" s="170"/>
      <c r="AP501" s="170"/>
      <c r="AQ501" s="170"/>
      <c r="AR501" s="170"/>
      <c r="AS501" s="170"/>
      <c r="AT501" s="170"/>
      <c r="AU501" s="170"/>
      <c r="AV501" s="170"/>
      <c r="AW501" s="170"/>
      <c r="AX501" s="170"/>
    </row>
    <row r="502" spans="1:50" ht="15" x14ac:dyDescent="0.25">
      <c r="A502" s="170"/>
      <c r="B502" s="719"/>
      <c r="C502" s="170"/>
      <c r="D502" s="170"/>
      <c r="E502" s="170"/>
      <c r="F502" s="170"/>
      <c r="G502" s="721"/>
      <c r="H502" s="170"/>
      <c r="I502" s="170"/>
      <c r="J502" s="170"/>
      <c r="K502" s="170"/>
      <c r="L502" s="170"/>
      <c r="M502" s="730"/>
      <c r="N502" s="730"/>
      <c r="O502" s="730"/>
      <c r="P502" s="731"/>
      <c r="Q502" s="731"/>
      <c r="R502" s="730"/>
      <c r="S502" s="730"/>
      <c r="T502" s="723"/>
      <c r="U502" s="724"/>
      <c r="V502" s="725"/>
      <c r="W502" s="725"/>
      <c r="X502" s="723"/>
      <c r="Y502" s="723"/>
      <c r="Z502" s="723"/>
      <c r="AA502" s="726"/>
      <c r="AB502" s="726"/>
      <c r="AC502" s="170"/>
      <c r="AD502" s="586"/>
      <c r="AE502" s="586"/>
      <c r="AF502" s="170"/>
      <c r="AG502" s="170"/>
      <c r="AH502" s="170"/>
      <c r="AI502" s="170"/>
      <c r="AJ502" s="170"/>
      <c r="AK502" s="170"/>
      <c r="AL502" s="170"/>
      <c r="AM502" s="170"/>
      <c r="AN502" s="170"/>
      <c r="AO502" s="170"/>
      <c r="AP502" s="170"/>
      <c r="AQ502" s="170"/>
      <c r="AR502" s="170"/>
      <c r="AS502" s="170"/>
      <c r="AT502" s="170"/>
      <c r="AU502" s="170"/>
      <c r="AV502" s="170"/>
      <c r="AW502" s="170"/>
      <c r="AX502" s="170"/>
    </row>
    <row r="503" spans="1:50" ht="15" x14ac:dyDescent="0.25">
      <c r="A503" s="170"/>
      <c r="B503" s="719"/>
      <c r="C503" s="170"/>
      <c r="D503" s="170"/>
      <c r="E503" s="170"/>
      <c r="F503" s="170"/>
      <c r="G503" s="721"/>
      <c r="H503" s="170"/>
      <c r="I503" s="170"/>
      <c r="J503" s="170"/>
      <c r="K503" s="170"/>
      <c r="L503" s="170"/>
      <c r="M503" s="730"/>
      <c r="N503" s="730"/>
      <c r="O503" s="730"/>
      <c r="P503" s="731"/>
      <c r="Q503" s="731"/>
      <c r="R503" s="730"/>
      <c r="S503" s="730"/>
      <c r="T503" s="723"/>
      <c r="U503" s="724"/>
      <c r="V503" s="725"/>
      <c r="W503" s="725"/>
      <c r="X503" s="723"/>
      <c r="Y503" s="723"/>
      <c r="Z503" s="723"/>
      <c r="AA503" s="726"/>
      <c r="AB503" s="726"/>
      <c r="AC503" s="170"/>
      <c r="AD503" s="586"/>
      <c r="AE503" s="586"/>
      <c r="AF503" s="170"/>
      <c r="AG503" s="170"/>
      <c r="AH503" s="170"/>
      <c r="AI503" s="170"/>
      <c r="AJ503" s="170"/>
      <c r="AK503" s="170"/>
      <c r="AL503" s="170"/>
      <c r="AM503" s="170"/>
      <c r="AN503" s="170"/>
      <c r="AO503" s="170"/>
      <c r="AP503" s="170"/>
      <c r="AQ503" s="170"/>
      <c r="AR503" s="170"/>
      <c r="AS503" s="170"/>
      <c r="AT503" s="170"/>
      <c r="AU503" s="170"/>
      <c r="AV503" s="170"/>
      <c r="AW503" s="170"/>
      <c r="AX503" s="170"/>
    </row>
    <row r="504" spans="1:50" ht="15" x14ac:dyDescent="0.25">
      <c r="A504" s="170"/>
      <c r="B504" s="719"/>
      <c r="C504" s="170"/>
      <c r="D504" s="170"/>
      <c r="E504" s="170"/>
      <c r="F504" s="170"/>
      <c r="G504" s="721"/>
      <c r="H504" s="170"/>
      <c r="I504" s="170"/>
      <c r="J504" s="170"/>
      <c r="K504" s="170"/>
      <c r="L504" s="170"/>
      <c r="M504" s="730"/>
      <c r="N504" s="730"/>
      <c r="O504" s="730"/>
      <c r="P504" s="731"/>
      <c r="Q504" s="731"/>
      <c r="R504" s="730"/>
      <c r="S504" s="730"/>
      <c r="T504" s="723"/>
      <c r="U504" s="724"/>
      <c r="V504" s="725"/>
      <c r="W504" s="725"/>
      <c r="X504" s="723"/>
      <c r="Y504" s="723"/>
      <c r="Z504" s="723"/>
      <c r="AA504" s="726"/>
      <c r="AB504" s="726"/>
      <c r="AC504" s="170"/>
      <c r="AD504" s="586"/>
      <c r="AE504" s="586"/>
      <c r="AF504" s="170"/>
      <c r="AG504" s="170"/>
      <c r="AH504" s="170"/>
      <c r="AI504" s="170"/>
      <c r="AJ504" s="170"/>
      <c r="AK504" s="170"/>
      <c r="AL504" s="170"/>
      <c r="AM504" s="170"/>
      <c r="AN504" s="170"/>
      <c r="AO504" s="170"/>
      <c r="AP504" s="170"/>
      <c r="AQ504" s="170"/>
      <c r="AR504" s="170"/>
      <c r="AS504" s="170"/>
      <c r="AT504" s="170"/>
      <c r="AU504" s="170"/>
      <c r="AV504" s="170"/>
      <c r="AW504" s="170"/>
      <c r="AX504" s="170"/>
    </row>
    <row r="505" spans="1:50" ht="15" x14ac:dyDescent="0.25">
      <c r="A505" s="170"/>
      <c r="B505" s="719"/>
      <c r="C505" s="170"/>
      <c r="D505" s="170"/>
      <c r="E505" s="170"/>
      <c r="F505" s="170"/>
      <c r="G505" s="721"/>
      <c r="H505" s="170"/>
      <c r="I505" s="170"/>
      <c r="J505" s="170"/>
      <c r="K505" s="170"/>
      <c r="L505" s="170"/>
      <c r="M505" s="730"/>
      <c r="N505" s="730"/>
      <c r="O505" s="730"/>
      <c r="P505" s="731"/>
      <c r="Q505" s="731"/>
      <c r="R505" s="730"/>
      <c r="S505" s="730"/>
      <c r="T505" s="723"/>
      <c r="U505" s="724"/>
      <c r="V505" s="725"/>
      <c r="W505" s="725"/>
      <c r="X505" s="723"/>
      <c r="Y505" s="723"/>
      <c r="Z505" s="723"/>
      <c r="AA505" s="726"/>
      <c r="AB505" s="726"/>
      <c r="AC505" s="170"/>
      <c r="AD505" s="586"/>
      <c r="AE505" s="586"/>
      <c r="AF505" s="170"/>
      <c r="AG505" s="170"/>
      <c r="AH505" s="170"/>
      <c r="AI505" s="170"/>
      <c r="AJ505" s="170"/>
      <c r="AK505" s="170"/>
      <c r="AL505" s="170"/>
      <c r="AM505" s="170"/>
      <c r="AN505" s="170"/>
      <c r="AO505" s="170"/>
      <c r="AP505" s="170"/>
      <c r="AQ505" s="170"/>
      <c r="AR505" s="170"/>
      <c r="AS505" s="170"/>
      <c r="AT505" s="170"/>
      <c r="AU505" s="170"/>
      <c r="AV505" s="170"/>
      <c r="AW505" s="170"/>
      <c r="AX505" s="170"/>
    </row>
    <row r="506" spans="1:50" ht="15" x14ac:dyDescent="0.25">
      <c r="A506" s="170"/>
      <c r="B506" s="719"/>
      <c r="C506" s="170"/>
      <c r="D506" s="170"/>
      <c r="E506" s="170"/>
      <c r="F506" s="170"/>
      <c r="G506" s="721"/>
      <c r="H506" s="170"/>
      <c r="I506" s="170"/>
      <c r="J506" s="170"/>
      <c r="K506" s="170"/>
      <c r="L506" s="170"/>
      <c r="M506" s="730"/>
      <c r="N506" s="730"/>
      <c r="O506" s="730"/>
      <c r="P506" s="731"/>
      <c r="Q506" s="731"/>
      <c r="R506" s="730"/>
      <c r="S506" s="730"/>
      <c r="T506" s="723"/>
      <c r="U506" s="724"/>
      <c r="V506" s="725"/>
      <c r="W506" s="725"/>
      <c r="X506" s="723"/>
      <c r="Y506" s="723"/>
      <c r="Z506" s="723"/>
      <c r="AA506" s="726"/>
      <c r="AB506" s="726"/>
      <c r="AC506" s="170"/>
      <c r="AD506" s="586"/>
      <c r="AE506" s="586"/>
      <c r="AF506" s="170"/>
      <c r="AG506" s="170"/>
      <c r="AH506" s="170"/>
      <c r="AI506" s="170"/>
      <c r="AJ506" s="170"/>
      <c r="AK506" s="170"/>
      <c r="AL506" s="170"/>
      <c r="AM506" s="170"/>
      <c r="AN506" s="170"/>
      <c r="AO506" s="170"/>
      <c r="AP506" s="170"/>
      <c r="AQ506" s="170"/>
      <c r="AR506" s="170"/>
      <c r="AS506" s="170"/>
      <c r="AT506" s="170"/>
      <c r="AU506" s="170"/>
      <c r="AV506" s="170"/>
      <c r="AW506" s="170"/>
      <c r="AX506" s="170"/>
    </row>
    <row r="507" spans="1:50" ht="15" x14ac:dyDescent="0.25">
      <c r="A507" s="170"/>
      <c r="B507" s="719"/>
      <c r="C507" s="170"/>
      <c r="D507" s="170"/>
      <c r="E507" s="170"/>
      <c r="F507" s="170"/>
      <c r="G507" s="721"/>
      <c r="H507" s="170"/>
      <c r="I507" s="170"/>
      <c r="J507" s="170"/>
      <c r="K507" s="170"/>
      <c r="L507" s="170"/>
      <c r="M507" s="730"/>
      <c r="N507" s="730"/>
      <c r="O507" s="730"/>
      <c r="P507" s="731"/>
      <c r="Q507" s="731"/>
      <c r="R507" s="730"/>
      <c r="S507" s="730"/>
      <c r="T507" s="723"/>
      <c r="U507" s="724"/>
      <c r="V507" s="725"/>
      <c r="W507" s="725"/>
      <c r="X507" s="723"/>
      <c r="Y507" s="723"/>
      <c r="Z507" s="723"/>
      <c r="AA507" s="726"/>
      <c r="AB507" s="726"/>
      <c r="AC507" s="170"/>
      <c r="AD507" s="586"/>
      <c r="AE507" s="586"/>
      <c r="AF507" s="170"/>
      <c r="AG507" s="170"/>
      <c r="AH507" s="170"/>
      <c r="AI507" s="170"/>
      <c r="AJ507" s="170"/>
      <c r="AK507" s="170"/>
      <c r="AL507" s="170"/>
      <c r="AM507" s="170"/>
      <c r="AN507" s="170"/>
      <c r="AO507" s="170"/>
      <c r="AP507" s="170"/>
      <c r="AQ507" s="170"/>
      <c r="AR507" s="170"/>
      <c r="AS507" s="170"/>
      <c r="AT507" s="170"/>
      <c r="AU507" s="170"/>
      <c r="AV507" s="170"/>
      <c r="AW507" s="170"/>
      <c r="AX507" s="170"/>
    </row>
    <row r="508" spans="1:50" ht="15" x14ac:dyDescent="0.25">
      <c r="A508" s="170"/>
      <c r="B508" s="719"/>
      <c r="C508" s="170"/>
      <c r="D508" s="170"/>
      <c r="E508" s="170"/>
      <c r="F508" s="170"/>
      <c r="G508" s="721"/>
      <c r="H508" s="170"/>
      <c r="I508" s="170"/>
      <c r="J508" s="170"/>
      <c r="K508" s="170"/>
      <c r="L508" s="170"/>
      <c r="M508" s="730"/>
      <c r="N508" s="730"/>
      <c r="O508" s="730"/>
      <c r="P508" s="731"/>
      <c r="Q508" s="731"/>
      <c r="R508" s="730"/>
      <c r="S508" s="730"/>
      <c r="T508" s="723"/>
      <c r="U508" s="724"/>
      <c r="V508" s="725"/>
      <c r="W508" s="725"/>
      <c r="X508" s="723"/>
      <c r="Y508" s="723"/>
      <c r="Z508" s="723"/>
      <c r="AA508" s="726"/>
      <c r="AB508" s="726"/>
      <c r="AC508" s="170"/>
      <c r="AD508" s="586"/>
      <c r="AE508" s="586"/>
      <c r="AF508" s="170"/>
      <c r="AG508" s="170"/>
      <c r="AH508" s="170"/>
      <c r="AI508" s="170"/>
      <c r="AJ508" s="170"/>
      <c r="AK508" s="170"/>
      <c r="AL508" s="170"/>
      <c r="AM508" s="170"/>
      <c r="AN508" s="170"/>
      <c r="AO508" s="170"/>
      <c r="AP508" s="170"/>
      <c r="AQ508" s="170"/>
      <c r="AR508" s="170"/>
      <c r="AS508" s="170"/>
      <c r="AT508" s="170"/>
      <c r="AU508" s="170"/>
      <c r="AV508" s="170"/>
      <c r="AW508" s="170"/>
      <c r="AX508" s="170"/>
    </row>
    <row r="509" spans="1:50" ht="15" x14ac:dyDescent="0.25">
      <c r="A509" s="170"/>
      <c r="B509" s="719"/>
      <c r="C509" s="170"/>
      <c r="D509" s="170"/>
      <c r="E509" s="170"/>
      <c r="F509" s="170"/>
      <c r="G509" s="721"/>
      <c r="H509" s="170"/>
      <c r="I509" s="170"/>
      <c r="J509" s="170"/>
      <c r="K509" s="170"/>
      <c r="L509" s="170"/>
      <c r="M509" s="730"/>
      <c r="N509" s="730"/>
      <c r="O509" s="730"/>
      <c r="P509" s="731"/>
      <c r="Q509" s="731"/>
      <c r="R509" s="730"/>
      <c r="S509" s="730"/>
      <c r="T509" s="723"/>
      <c r="U509" s="724"/>
      <c r="V509" s="725"/>
      <c r="W509" s="725"/>
      <c r="X509" s="723"/>
      <c r="Y509" s="723"/>
      <c r="Z509" s="723"/>
      <c r="AA509" s="726"/>
      <c r="AB509" s="726"/>
      <c r="AC509" s="170"/>
      <c r="AD509" s="586"/>
      <c r="AE509" s="586"/>
      <c r="AF509" s="170"/>
      <c r="AG509" s="170"/>
      <c r="AH509" s="170"/>
      <c r="AI509" s="170"/>
      <c r="AJ509" s="170"/>
      <c r="AK509" s="170"/>
      <c r="AL509" s="170"/>
      <c r="AM509" s="170"/>
      <c r="AN509" s="170"/>
      <c r="AO509" s="170"/>
      <c r="AP509" s="170"/>
      <c r="AQ509" s="170"/>
      <c r="AR509" s="170"/>
      <c r="AS509" s="170"/>
      <c r="AT509" s="170"/>
      <c r="AU509" s="170"/>
      <c r="AV509" s="170"/>
      <c r="AW509" s="170"/>
      <c r="AX509" s="170"/>
    </row>
    <row r="510" spans="1:50" ht="15" x14ac:dyDescent="0.25">
      <c r="A510" s="170"/>
      <c r="B510" s="719"/>
      <c r="C510" s="170"/>
      <c r="D510" s="170"/>
      <c r="E510" s="170"/>
      <c r="F510" s="170"/>
      <c r="G510" s="721"/>
      <c r="H510" s="170"/>
      <c r="I510" s="170"/>
      <c r="J510" s="170"/>
      <c r="K510" s="170"/>
      <c r="L510" s="170"/>
      <c r="M510" s="730"/>
      <c r="N510" s="730"/>
      <c r="O510" s="730"/>
      <c r="P510" s="731"/>
      <c r="Q510" s="731"/>
      <c r="R510" s="730"/>
      <c r="S510" s="730"/>
      <c r="T510" s="723"/>
      <c r="U510" s="724"/>
      <c r="V510" s="725"/>
      <c r="W510" s="725"/>
      <c r="X510" s="723"/>
      <c r="Y510" s="723"/>
      <c r="Z510" s="723"/>
      <c r="AA510" s="726"/>
      <c r="AB510" s="726"/>
      <c r="AC510" s="170"/>
      <c r="AD510" s="586"/>
      <c r="AE510" s="586"/>
      <c r="AF510" s="170"/>
      <c r="AG510" s="170"/>
      <c r="AH510" s="170"/>
      <c r="AI510" s="170"/>
      <c r="AJ510" s="170"/>
      <c r="AK510" s="170"/>
      <c r="AL510" s="170"/>
      <c r="AM510" s="170"/>
      <c r="AN510" s="170"/>
      <c r="AO510" s="170"/>
      <c r="AP510" s="170"/>
      <c r="AQ510" s="170"/>
      <c r="AR510" s="170"/>
      <c r="AS510" s="170"/>
      <c r="AT510" s="170"/>
      <c r="AU510" s="170"/>
      <c r="AV510" s="170"/>
      <c r="AW510" s="170"/>
      <c r="AX510" s="170"/>
    </row>
    <row r="511" spans="1:50" ht="15" x14ac:dyDescent="0.25">
      <c r="A511" s="170"/>
      <c r="B511" s="719"/>
      <c r="C511" s="170"/>
      <c r="D511" s="170"/>
      <c r="E511" s="170"/>
      <c r="F511" s="170"/>
      <c r="G511" s="721"/>
      <c r="H511" s="170"/>
      <c r="I511" s="170"/>
      <c r="J511" s="170"/>
      <c r="K511" s="170"/>
      <c r="L511" s="170"/>
      <c r="M511" s="730"/>
      <c r="N511" s="730"/>
      <c r="O511" s="730"/>
      <c r="P511" s="731"/>
      <c r="Q511" s="731"/>
      <c r="R511" s="730"/>
      <c r="S511" s="730"/>
      <c r="T511" s="723"/>
      <c r="U511" s="724"/>
      <c r="V511" s="725"/>
      <c r="W511" s="725"/>
      <c r="X511" s="723"/>
      <c r="Y511" s="723"/>
      <c r="Z511" s="723"/>
      <c r="AA511" s="726"/>
      <c r="AB511" s="726"/>
      <c r="AC511" s="170"/>
      <c r="AD511" s="586"/>
      <c r="AE511" s="586"/>
      <c r="AF511" s="170"/>
      <c r="AG511" s="170"/>
      <c r="AH511" s="170"/>
      <c r="AI511" s="170"/>
      <c r="AJ511" s="170"/>
      <c r="AK511" s="170"/>
      <c r="AL511" s="170"/>
      <c r="AM511" s="170"/>
      <c r="AN511" s="170"/>
      <c r="AO511" s="170"/>
      <c r="AP511" s="170"/>
      <c r="AQ511" s="170"/>
      <c r="AR511" s="170"/>
      <c r="AS511" s="170"/>
      <c r="AT511" s="170"/>
      <c r="AU511" s="170"/>
      <c r="AV511" s="170"/>
      <c r="AW511" s="170"/>
      <c r="AX511" s="170"/>
    </row>
    <row r="512" spans="1:50" ht="15" x14ac:dyDescent="0.25">
      <c r="A512" s="170"/>
      <c r="B512" s="719"/>
      <c r="C512" s="170"/>
      <c r="D512" s="170"/>
      <c r="E512" s="170"/>
      <c r="F512" s="170"/>
      <c r="G512" s="721"/>
      <c r="H512" s="170"/>
      <c r="I512" s="170"/>
      <c r="J512" s="170"/>
      <c r="K512" s="170"/>
      <c r="L512" s="170"/>
      <c r="M512" s="730"/>
      <c r="N512" s="730"/>
      <c r="O512" s="730"/>
      <c r="P512" s="731"/>
      <c r="Q512" s="731"/>
      <c r="R512" s="730"/>
      <c r="S512" s="730"/>
      <c r="T512" s="723"/>
      <c r="U512" s="724"/>
      <c r="V512" s="725"/>
      <c r="W512" s="725"/>
      <c r="X512" s="723"/>
      <c r="Y512" s="723"/>
      <c r="Z512" s="723"/>
      <c r="AA512" s="726"/>
      <c r="AB512" s="726"/>
      <c r="AC512" s="170"/>
      <c r="AD512" s="586"/>
      <c r="AE512" s="586"/>
      <c r="AF512" s="170"/>
      <c r="AG512" s="170"/>
      <c r="AH512" s="170"/>
      <c r="AI512" s="170"/>
      <c r="AJ512" s="170"/>
      <c r="AK512" s="170"/>
      <c r="AL512" s="170"/>
      <c r="AM512" s="170"/>
      <c r="AN512" s="170"/>
      <c r="AO512" s="170"/>
      <c r="AP512" s="170"/>
      <c r="AQ512" s="170"/>
      <c r="AR512" s="170"/>
      <c r="AS512" s="170"/>
      <c r="AT512" s="170"/>
      <c r="AU512" s="170"/>
      <c r="AV512" s="170"/>
      <c r="AW512" s="170"/>
      <c r="AX512" s="170"/>
    </row>
    <row r="513" spans="1:50" ht="15" x14ac:dyDescent="0.25">
      <c r="A513" s="170"/>
      <c r="B513" s="719"/>
      <c r="C513" s="170"/>
      <c r="D513" s="170"/>
      <c r="E513" s="170"/>
      <c r="F513" s="170"/>
      <c r="G513" s="721"/>
      <c r="H513" s="170"/>
      <c r="I513" s="170"/>
      <c r="J513" s="170"/>
      <c r="K513" s="170"/>
      <c r="L513" s="170"/>
      <c r="M513" s="730"/>
      <c r="N513" s="730"/>
      <c r="O513" s="730"/>
      <c r="P513" s="731"/>
      <c r="Q513" s="731"/>
      <c r="R513" s="730"/>
      <c r="S513" s="730"/>
      <c r="T513" s="723"/>
      <c r="U513" s="724"/>
      <c r="V513" s="725"/>
      <c r="W513" s="725"/>
      <c r="X513" s="723"/>
      <c r="Y513" s="723"/>
      <c r="Z513" s="723"/>
      <c r="AA513" s="726"/>
      <c r="AB513" s="726"/>
      <c r="AC513" s="170"/>
      <c r="AD513" s="586"/>
      <c r="AE513" s="586"/>
      <c r="AF513" s="170"/>
      <c r="AG513" s="170"/>
      <c r="AH513" s="170"/>
      <c r="AI513" s="170"/>
      <c r="AJ513" s="170"/>
      <c r="AK513" s="170"/>
      <c r="AL513" s="170"/>
      <c r="AM513" s="170"/>
      <c r="AN513" s="170"/>
      <c r="AO513" s="170"/>
      <c r="AP513" s="170"/>
      <c r="AQ513" s="170"/>
      <c r="AR513" s="170"/>
      <c r="AS513" s="170"/>
      <c r="AT513" s="170"/>
      <c r="AU513" s="170"/>
      <c r="AV513" s="170"/>
      <c r="AW513" s="170"/>
      <c r="AX513" s="170"/>
    </row>
    <row r="514" spans="1:50" ht="15" x14ac:dyDescent="0.25">
      <c r="A514" s="170"/>
      <c r="B514" s="719"/>
      <c r="C514" s="170"/>
      <c r="D514" s="170"/>
      <c r="E514" s="170"/>
      <c r="F514" s="170"/>
      <c r="G514" s="721"/>
      <c r="H514" s="170"/>
      <c r="I514" s="170"/>
      <c r="J514" s="170"/>
      <c r="K514" s="170"/>
      <c r="L514" s="170"/>
      <c r="M514" s="730"/>
      <c r="N514" s="730"/>
      <c r="O514" s="730"/>
      <c r="P514" s="731"/>
      <c r="Q514" s="731"/>
      <c r="R514" s="730"/>
      <c r="S514" s="730"/>
      <c r="T514" s="723"/>
      <c r="U514" s="724"/>
      <c r="V514" s="725"/>
      <c r="W514" s="725"/>
      <c r="X514" s="723"/>
      <c r="Y514" s="723"/>
      <c r="Z514" s="723"/>
      <c r="AA514" s="726"/>
      <c r="AB514" s="726"/>
      <c r="AC514" s="170"/>
      <c r="AD514" s="586"/>
      <c r="AE514" s="586"/>
      <c r="AF514" s="170"/>
      <c r="AG514" s="170"/>
      <c r="AH514" s="170"/>
      <c r="AI514" s="170"/>
      <c r="AJ514" s="170"/>
      <c r="AK514" s="170"/>
      <c r="AL514" s="170"/>
      <c r="AM514" s="170"/>
      <c r="AN514" s="170"/>
      <c r="AO514" s="170"/>
      <c r="AP514" s="170"/>
      <c r="AQ514" s="170"/>
      <c r="AR514" s="170"/>
      <c r="AS514" s="170"/>
      <c r="AT514" s="170"/>
      <c r="AU514" s="170"/>
      <c r="AV514" s="170"/>
      <c r="AW514" s="170"/>
      <c r="AX514" s="170"/>
    </row>
    <row r="515" spans="1:50" ht="15" x14ac:dyDescent="0.25">
      <c r="A515" s="170"/>
      <c r="B515" s="719"/>
      <c r="C515" s="170"/>
      <c r="D515" s="170"/>
      <c r="E515" s="170"/>
      <c r="F515" s="170"/>
      <c r="G515" s="721"/>
      <c r="H515" s="170"/>
      <c r="I515" s="170"/>
      <c r="J515" s="170"/>
      <c r="K515" s="170"/>
      <c r="L515" s="170"/>
      <c r="M515" s="730"/>
      <c r="N515" s="730"/>
      <c r="O515" s="730"/>
      <c r="P515" s="731"/>
      <c r="Q515" s="731"/>
      <c r="R515" s="730"/>
      <c r="S515" s="730"/>
      <c r="T515" s="723"/>
      <c r="U515" s="724"/>
      <c r="V515" s="725"/>
      <c r="W515" s="725"/>
      <c r="X515" s="723"/>
      <c r="Y515" s="723"/>
      <c r="Z515" s="723"/>
      <c r="AA515" s="726"/>
      <c r="AB515" s="726"/>
      <c r="AC515" s="170"/>
      <c r="AD515" s="586"/>
      <c r="AE515" s="586"/>
      <c r="AF515" s="170"/>
      <c r="AG515" s="170"/>
      <c r="AH515" s="170"/>
      <c r="AI515" s="170"/>
      <c r="AJ515" s="170"/>
      <c r="AK515" s="170"/>
      <c r="AL515" s="170"/>
      <c r="AM515" s="170"/>
      <c r="AN515" s="170"/>
      <c r="AO515" s="170"/>
      <c r="AP515" s="170"/>
      <c r="AQ515" s="170"/>
      <c r="AR515" s="170"/>
      <c r="AS515" s="170"/>
      <c r="AT515" s="170"/>
      <c r="AU515" s="170"/>
      <c r="AV515" s="170"/>
      <c r="AW515" s="170"/>
      <c r="AX515" s="170"/>
    </row>
    <row r="516" spans="1:50" ht="15" x14ac:dyDescent="0.25">
      <c r="A516" s="170"/>
      <c r="B516" s="719"/>
      <c r="C516" s="170"/>
      <c r="D516" s="170"/>
      <c r="E516" s="170"/>
      <c r="F516" s="170"/>
      <c r="G516" s="721"/>
      <c r="H516" s="170"/>
      <c r="I516" s="170"/>
      <c r="J516" s="170"/>
      <c r="K516" s="170"/>
      <c r="L516" s="170"/>
      <c r="M516" s="730"/>
      <c r="N516" s="730"/>
      <c r="O516" s="730"/>
      <c r="P516" s="731"/>
      <c r="Q516" s="731"/>
      <c r="R516" s="730"/>
      <c r="S516" s="730"/>
      <c r="T516" s="723"/>
      <c r="U516" s="724"/>
      <c r="V516" s="725"/>
      <c r="W516" s="725"/>
      <c r="X516" s="723"/>
      <c r="Y516" s="723"/>
      <c r="Z516" s="723"/>
      <c r="AA516" s="726"/>
      <c r="AB516" s="726"/>
      <c r="AC516" s="170"/>
      <c r="AD516" s="586"/>
      <c r="AE516" s="586"/>
      <c r="AF516" s="170"/>
      <c r="AG516" s="170"/>
      <c r="AH516" s="170"/>
      <c r="AI516" s="170"/>
      <c r="AJ516" s="170"/>
      <c r="AK516" s="170"/>
      <c r="AL516" s="170"/>
      <c r="AM516" s="170"/>
      <c r="AN516" s="170"/>
      <c r="AO516" s="170"/>
      <c r="AP516" s="170"/>
      <c r="AQ516" s="170"/>
      <c r="AR516" s="170"/>
      <c r="AS516" s="170"/>
      <c r="AT516" s="170"/>
      <c r="AU516" s="170"/>
      <c r="AV516" s="170"/>
      <c r="AW516" s="170"/>
      <c r="AX516" s="170"/>
    </row>
    <row r="517" spans="1:50" ht="15" x14ac:dyDescent="0.25">
      <c r="A517" s="170"/>
      <c r="B517" s="719"/>
      <c r="C517" s="170"/>
      <c r="D517" s="170"/>
      <c r="E517" s="170"/>
      <c r="F517" s="170"/>
      <c r="G517" s="721"/>
      <c r="H517" s="170"/>
      <c r="I517" s="170"/>
      <c r="J517" s="170"/>
      <c r="K517" s="170"/>
      <c r="L517" s="170"/>
      <c r="M517" s="730"/>
      <c r="N517" s="730"/>
      <c r="O517" s="730"/>
      <c r="P517" s="731"/>
      <c r="Q517" s="731"/>
      <c r="R517" s="730"/>
      <c r="S517" s="730"/>
      <c r="T517" s="723"/>
      <c r="U517" s="724"/>
      <c r="V517" s="725"/>
      <c r="W517" s="725"/>
      <c r="X517" s="723"/>
      <c r="Y517" s="723"/>
      <c r="Z517" s="723"/>
      <c r="AA517" s="726"/>
      <c r="AB517" s="726"/>
      <c r="AC517" s="170"/>
      <c r="AD517" s="586"/>
      <c r="AE517" s="586"/>
      <c r="AF517" s="170"/>
      <c r="AG517" s="170"/>
      <c r="AH517" s="170"/>
      <c r="AI517" s="170"/>
      <c r="AJ517" s="170"/>
      <c r="AK517" s="170"/>
      <c r="AL517" s="170"/>
      <c r="AM517" s="170"/>
      <c r="AN517" s="170"/>
      <c r="AO517" s="170"/>
      <c r="AP517" s="170"/>
      <c r="AQ517" s="170"/>
      <c r="AR517" s="170"/>
      <c r="AS517" s="170"/>
      <c r="AT517" s="170"/>
      <c r="AU517" s="170"/>
      <c r="AV517" s="170"/>
      <c r="AW517" s="170"/>
      <c r="AX517" s="170"/>
    </row>
    <row r="518" spans="1:50" ht="15" x14ac:dyDescent="0.25">
      <c r="A518" s="170"/>
      <c r="B518" s="719"/>
      <c r="C518" s="170"/>
      <c r="D518" s="170"/>
      <c r="E518" s="170"/>
      <c r="F518" s="170"/>
      <c r="G518" s="721"/>
      <c r="H518" s="170"/>
      <c r="I518" s="170"/>
      <c r="J518" s="170"/>
      <c r="K518" s="170"/>
      <c r="L518" s="170"/>
      <c r="M518" s="730"/>
      <c r="N518" s="730"/>
      <c r="O518" s="730"/>
      <c r="P518" s="731"/>
      <c r="Q518" s="731"/>
      <c r="R518" s="730"/>
      <c r="S518" s="730"/>
      <c r="T518" s="723"/>
      <c r="U518" s="724"/>
      <c r="V518" s="725"/>
      <c r="W518" s="725"/>
      <c r="X518" s="723"/>
      <c r="Y518" s="723"/>
      <c r="Z518" s="723"/>
      <c r="AA518" s="726"/>
      <c r="AB518" s="726"/>
      <c r="AC518" s="170"/>
      <c r="AD518" s="586"/>
      <c r="AE518" s="586"/>
      <c r="AF518" s="170"/>
      <c r="AG518" s="170"/>
      <c r="AH518" s="170"/>
      <c r="AI518" s="170"/>
      <c r="AJ518" s="170"/>
      <c r="AK518" s="170"/>
      <c r="AL518" s="170"/>
      <c r="AM518" s="170"/>
      <c r="AN518" s="170"/>
      <c r="AO518" s="170"/>
      <c r="AP518" s="170"/>
      <c r="AQ518" s="170"/>
      <c r="AR518" s="170"/>
      <c r="AS518" s="170"/>
      <c r="AT518" s="170"/>
      <c r="AU518" s="170"/>
      <c r="AV518" s="170"/>
      <c r="AW518" s="170"/>
      <c r="AX518" s="170"/>
    </row>
    <row r="519" spans="1:50" ht="15" x14ac:dyDescent="0.25">
      <c r="A519" s="170"/>
      <c r="B519" s="719"/>
      <c r="C519" s="170"/>
      <c r="D519" s="170"/>
      <c r="E519" s="170"/>
      <c r="F519" s="170"/>
      <c r="G519" s="721"/>
      <c r="H519" s="170"/>
      <c r="I519" s="170"/>
      <c r="J519" s="170"/>
      <c r="K519" s="170"/>
      <c r="L519" s="170"/>
      <c r="M519" s="730"/>
      <c r="N519" s="730"/>
      <c r="O519" s="730"/>
      <c r="P519" s="731"/>
      <c r="Q519" s="731"/>
      <c r="R519" s="730"/>
      <c r="S519" s="730"/>
      <c r="T519" s="723"/>
      <c r="U519" s="724"/>
      <c r="V519" s="725"/>
      <c r="W519" s="725"/>
      <c r="X519" s="723"/>
      <c r="Y519" s="723"/>
      <c r="Z519" s="723"/>
      <c r="AA519" s="726"/>
      <c r="AB519" s="726"/>
      <c r="AC519" s="170"/>
      <c r="AD519" s="586"/>
      <c r="AE519" s="586"/>
      <c r="AF519" s="170"/>
      <c r="AG519" s="170"/>
      <c r="AH519" s="170"/>
      <c r="AI519" s="170"/>
      <c r="AJ519" s="170"/>
      <c r="AK519" s="170"/>
      <c r="AL519" s="170"/>
      <c r="AM519" s="170"/>
      <c r="AN519" s="170"/>
      <c r="AO519" s="170"/>
      <c r="AP519" s="170"/>
      <c r="AQ519" s="170"/>
      <c r="AR519" s="170"/>
      <c r="AS519" s="170"/>
      <c r="AT519" s="170"/>
      <c r="AU519" s="170"/>
      <c r="AV519" s="170"/>
      <c r="AW519" s="170"/>
      <c r="AX519" s="170"/>
    </row>
    <row r="520" spans="1:50" ht="15" x14ac:dyDescent="0.25">
      <c r="A520" s="170"/>
      <c r="B520" s="719"/>
      <c r="C520" s="170"/>
      <c r="D520" s="170"/>
      <c r="E520" s="170"/>
      <c r="F520" s="170"/>
      <c r="G520" s="721"/>
      <c r="H520" s="170"/>
      <c r="I520" s="170"/>
      <c r="J520" s="170"/>
      <c r="K520" s="170"/>
      <c r="L520" s="170"/>
      <c r="M520" s="730"/>
      <c r="N520" s="730"/>
      <c r="O520" s="730"/>
      <c r="P520" s="731"/>
      <c r="Q520" s="731"/>
      <c r="R520" s="730"/>
      <c r="S520" s="730"/>
      <c r="T520" s="723"/>
      <c r="U520" s="724"/>
      <c r="V520" s="725"/>
      <c r="W520" s="725"/>
      <c r="X520" s="723"/>
      <c r="Y520" s="723"/>
      <c r="Z520" s="723"/>
      <c r="AA520" s="726"/>
      <c r="AB520" s="726"/>
      <c r="AC520" s="170"/>
      <c r="AD520" s="586"/>
      <c r="AE520" s="586"/>
      <c r="AF520" s="170"/>
      <c r="AG520" s="170"/>
      <c r="AH520" s="170"/>
      <c r="AI520" s="170"/>
      <c r="AJ520" s="170"/>
      <c r="AK520" s="170"/>
      <c r="AL520" s="170"/>
      <c r="AM520" s="170"/>
      <c r="AN520" s="170"/>
      <c r="AO520" s="170"/>
      <c r="AP520" s="170"/>
      <c r="AQ520" s="170"/>
      <c r="AR520" s="170"/>
      <c r="AS520" s="170"/>
      <c r="AT520" s="170"/>
      <c r="AU520" s="170"/>
      <c r="AV520" s="170"/>
      <c r="AW520" s="170"/>
      <c r="AX520" s="170"/>
    </row>
    <row r="521" spans="1:50" ht="15" x14ac:dyDescent="0.25">
      <c r="A521" s="170"/>
      <c r="B521" s="719"/>
      <c r="C521" s="170"/>
      <c r="D521" s="170"/>
      <c r="E521" s="170"/>
      <c r="F521" s="170"/>
      <c r="G521" s="721"/>
      <c r="H521" s="170"/>
      <c r="I521" s="170"/>
      <c r="J521" s="170"/>
      <c r="K521" s="170"/>
      <c r="L521" s="170"/>
      <c r="M521" s="730"/>
      <c r="N521" s="730"/>
      <c r="O521" s="730"/>
      <c r="P521" s="731"/>
      <c r="Q521" s="731"/>
      <c r="R521" s="730"/>
      <c r="S521" s="730"/>
      <c r="T521" s="723"/>
      <c r="U521" s="724"/>
      <c r="V521" s="725"/>
      <c r="W521" s="725"/>
      <c r="X521" s="723"/>
      <c r="Y521" s="723"/>
      <c r="Z521" s="723"/>
      <c r="AA521" s="726"/>
      <c r="AB521" s="726"/>
      <c r="AC521" s="170"/>
      <c r="AD521" s="586"/>
      <c r="AE521" s="586"/>
      <c r="AF521" s="170"/>
      <c r="AG521" s="170"/>
      <c r="AH521" s="170"/>
      <c r="AI521" s="170"/>
      <c r="AJ521" s="170"/>
      <c r="AK521" s="170"/>
      <c r="AL521" s="170"/>
      <c r="AM521" s="170"/>
      <c r="AN521" s="170"/>
      <c r="AO521" s="170"/>
      <c r="AP521" s="170"/>
      <c r="AQ521" s="170"/>
      <c r="AR521" s="170"/>
      <c r="AS521" s="170"/>
      <c r="AT521" s="170"/>
      <c r="AU521" s="170"/>
      <c r="AV521" s="170"/>
      <c r="AW521" s="170"/>
      <c r="AX521" s="170"/>
    </row>
    <row r="522" spans="1:50" ht="15" x14ac:dyDescent="0.25">
      <c r="A522" s="170"/>
      <c r="B522" s="719"/>
      <c r="C522" s="170"/>
      <c r="D522" s="170"/>
      <c r="E522" s="170"/>
      <c r="F522" s="170"/>
      <c r="G522" s="721"/>
      <c r="H522" s="170"/>
      <c r="I522" s="170"/>
      <c r="J522" s="170"/>
      <c r="K522" s="170"/>
      <c r="L522" s="170"/>
      <c r="M522" s="730"/>
      <c r="N522" s="730"/>
      <c r="O522" s="730"/>
      <c r="P522" s="731"/>
      <c r="Q522" s="731"/>
      <c r="R522" s="730"/>
      <c r="S522" s="730"/>
      <c r="T522" s="723"/>
      <c r="U522" s="724"/>
      <c r="V522" s="725"/>
      <c r="W522" s="725"/>
      <c r="X522" s="723"/>
      <c r="Y522" s="723"/>
      <c r="Z522" s="723"/>
      <c r="AA522" s="726"/>
      <c r="AB522" s="726"/>
      <c r="AC522" s="170"/>
      <c r="AD522" s="586"/>
      <c r="AE522" s="586"/>
      <c r="AF522" s="170"/>
      <c r="AG522" s="170"/>
      <c r="AH522" s="170"/>
      <c r="AI522" s="170"/>
      <c r="AJ522" s="170"/>
      <c r="AK522" s="170"/>
      <c r="AL522" s="170"/>
      <c r="AM522" s="170"/>
      <c r="AN522" s="170"/>
      <c r="AO522" s="170"/>
      <c r="AP522" s="170"/>
      <c r="AQ522" s="170"/>
      <c r="AR522" s="170"/>
      <c r="AS522" s="170"/>
      <c r="AT522" s="170"/>
      <c r="AU522" s="170"/>
      <c r="AV522" s="170"/>
      <c r="AW522" s="170"/>
      <c r="AX522" s="170"/>
    </row>
    <row r="523" spans="1:50" ht="15" x14ac:dyDescent="0.25">
      <c r="A523" s="170"/>
      <c r="B523" s="719"/>
      <c r="C523" s="170"/>
      <c r="D523" s="170"/>
      <c r="E523" s="170"/>
      <c r="F523" s="170"/>
      <c r="G523" s="721"/>
      <c r="H523" s="170"/>
      <c r="I523" s="170"/>
      <c r="J523" s="170"/>
      <c r="K523" s="170"/>
      <c r="L523" s="170"/>
      <c r="M523" s="730"/>
      <c r="N523" s="730"/>
      <c r="O523" s="730"/>
      <c r="P523" s="731"/>
      <c r="Q523" s="731"/>
      <c r="R523" s="730"/>
      <c r="S523" s="730"/>
      <c r="T523" s="723"/>
      <c r="U523" s="724"/>
      <c r="V523" s="725"/>
      <c r="W523" s="725"/>
      <c r="X523" s="723"/>
      <c r="Y523" s="723"/>
      <c r="Z523" s="723"/>
      <c r="AA523" s="726"/>
      <c r="AB523" s="726"/>
      <c r="AC523" s="170"/>
      <c r="AD523" s="586"/>
      <c r="AE523" s="586"/>
      <c r="AF523" s="170"/>
      <c r="AG523" s="170"/>
      <c r="AH523" s="170"/>
      <c r="AI523" s="170"/>
      <c r="AJ523" s="170"/>
      <c r="AK523" s="170"/>
      <c r="AL523" s="170"/>
      <c r="AM523" s="170"/>
      <c r="AN523" s="170"/>
      <c r="AO523" s="170"/>
      <c r="AP523" s="170"/>
      <c r="AQ523" s="170"/>
      <c r="AR523" s="170"/>
      <c r="AS523" s="170"/>
      <c r="AT523" s="170"/>
      <c r="AU523" s="170"/>
      <c r="AV523" s="170"/>
      <c r="AW523" s="170"/>
      <c r="AX523" s="170"/>
    </row>
    <row r="524" spans="1:50" ht="15" x14ac:dyDescent="0.25">
      <c r="A524" s="170"/>
      <c r="B524" s="719"/>
      <c r="C524" s="170"/>
      <c r="D524" s="170"/>
      <c r="E524" s="170"/>
      <c r="F524" s="170"/>
      <c r="G524" s="721"/>
      <c r="H524" s="170"/>
      <c r="I524" s="170"/>
      <c r="J524" s="170"/>
      <c r="K524" s="170"/>
      <c r="L524" s="170"/>
      <c r="M524" s="730"/>
      <c r="N524" s="730"/>
      <c r="O524" s="730"/>
      <c r="P524" s="731"/>
      <c r="Q524" s="731"/>
      <c r="R524" s="730"/>
      <c r="S524" s="730"/>
      <c r="T524" s="723"/>
      <c r="U524" s="724"/>
      <c r="V524" s="725"/>
      <c r="W524" s="725"/>
      <c r="X524" s="723"/>
      <c r="Y524" s="723"/>
      <c r="Z524" s="723"/>
      <c r="AA524" s="726"/>
      <c r="AB524" s="726"/>
      <c r="AC524" s="170"/>
      <c r="AD524" s="586"/>
      <c r="AE524" s="586"/>
      <c r="AF524" s="170"/>
      <c r="AG524" s="170"/>
      <c r="AH524" s="170"/>
      <c r="AI524" s="170"/>
      <c r="AJ524" s="170"/>
      <c r="AK524" s="170"/>
      <c r="AL524" s="170"/>
      <c r="AM524" s="170"/>
      <c r="AN524" s="170"/>
      <c r="AO524" s="170"/>
      <c r="AP524" s="170"/>
      <c r="AQ524" s="170"/>
      <c r="AR524" s="170"/>
      <c r="AS524" s="170"/>
      <c r="AT524" s="170"/>
      <c r="AU524" s="170"/>
      <c r="AV524" s="170"/>
      <c r="AW524" s="170"/>
      <c r="AX524" s="170"/>
    </row>
    <row r="525" spans="1:50" ht="15" x14ac:dyDescent="0.25">
      <c r="A525" s="170"/>
      <c r="B525" s="719"/>
      <c r="C525" s="170"/>
      <c r="D525" s="170"/>
      <c r="E525" s="170"/>
      <c r="F525" s="170"/>
      <c r="G525" s="721"/>
      <c r="H525" s="170"/>
      <c r="I525" s="170"/>
      <c r="J525" s="170"/>
      <c r="K525" s="170"/>
      <c r="L525" s="170"/>
      <c r="M525" s="730"/>
      <c r="N525" s="730"/>
      <c r="O525" s="730"/>
      <c r="P525" s="731"/>
      <c r="Q525" s="731"/>
      <c r="R525" s="730"/>
      <c r="S525" s="730"/>
      <c r="T525" s="723"/>
      <c r="U525" s="724"/>
      <c r="V525" s="725"/>
      <c r="W525" s="725"/>
      <c r="X525" s="723"/>
      <c r="Y525" s="723"/>
      <c r="Z525" s="723"/>
      <c r="AA525" s="726"/>
      <c r="AB525" s="726"/>
      <c r="AC525" s="170"/>
      <c r="AD525" s="586"/>
      <c r="AE525" s="586"/>
      <c r="AF525" s="170"/>
      <c r="AG525" s="170"/>
      <c r="AH525" s="170"/>
      <c r="AI525" s="170"/>
      <c r="AJ525" s="170"/>
      <c r="AK525" s="170"/>
      <c r="AL525" s="170"/>
      <c r="AM525" s="170"/>
      <c r="AN525" s="170"/>
      <c r="AO525" s="170"/>
      <c r="AP525" s="170"/>
      <c r="AQ525" s="170"/>
      <c r="AR525" s="170"/>
      <c r="AS525" s="170"/>
      <c r="AT525" s="170"/>
      <c r="AU525" s="170"/>
      <c r="AV525" s="170"/>
      <c r="AW525" s="170"/>
      <c r="AX525" s="170"/>
    </row>
    <row r="526" spans="1:50" ht="15" x14ac:dyDescent="0.25">
      <c r="A526" s="170"/>
      <c r="B526" s="719"/>
      <c r="C526" s="170"/>
      <c r="D526" s="170"/>
      <c r="E526" s="170"/>
      <c r="F526" s="170"/>
      <c r="G526" s="721"/>
      <c r="H526" s="170"/>
      <c r="I526" s="170"/>
      <c r="J526" s="170"/>
      <c r="K526" s="170"/>
      <c r="L526" s="170"/>
      <c r="M526" s="730"/>
      <c r="N526" s="730"/>
      <c r="O526" s="730"/>
      <c r="P526" s="731"/>
      <c r="Q526" s="731"/>
      <c r="R526" s="730"/>
      <c r="S526" s="730"/>
      <c r="T526" s="723"/>
      <c r="U526" s="724"/>
      <c r="V526" s="725"/>
      <c r="W526" s="725"/>
      <c r="X526" s="723"/>
      <c r="Y526" s="723"/>
      <c r="Z526" s="723"/>
      <c r="AA526" s="726"/>
      <c r="AB526" s="726"/>
      <c r="AC526" s="170"/>
      <c r="AD526" s="586"/>
      <c r="AE526" s="586"/>
      <c r="AF526" s="170"/>
      <c r="AG526" s="170"/>
      <c r="AH526" s="170"/>
      <c r="AI526" s="170"/>
      <c r="AJ526" s="170"/>
      <c r="AK526" s="170"/>
      <c r="AL526" s="170"/>
      <c r="AM526" s="170"/>
      <c r="AN526" s="170"/>
      <c r="AO526" s="170"/>
      <c r="AP526" s="170"/>
      <c r="AQ526" s="170"/>
      <c r="AR526" s="170"/>
      <c r="AS526" s="170"/>
      <c r="AT526" s="170"/>
      <c r="AU526" s="170"/>
      <c r="AV526" s="170"/>
      <c r="AW526" s="170"/>
      <c r="AX526" s="170"/>
    </row>
    <row r="527" spans="1:50" ht="15" x14ac:dyDescent="0.25">
      <c r="A527" s="170"/>
      <c r="B527" s="719"/>
      <c r="C527" s="170"/>
      <c r="D527" s="170"/>
      <c r="E527" s="170"/>
      <c r="F527" s="170"/>
      <c r="G527" s="721"/>
      <c r="H527" s="170"/>
      <c r="I527" s="170"/>
      <c r="J527" s="170"/>
      <c r="K527" s="170"/>
      <c r="L527" s="170"/>
      <c r="M527" s="730"/>
      <c r="N527" s="730"/>
      <c r="O527" s="730"/>
      <c r="P527" s="731"/>
      <c r="Q527" s="731"/>
      <c r="R527" s="730"/>
      <c r="S527" s="730"/>
      <c r="T527" s="723"/>
      <c r="U527" s="724"/>
      <c r="V527" s="725"/>
      <c r="W527" s="725"/>
      <c r="X527" s="723"/>
      <c r="Y527" s="723"/>
      <c r="Z527" s="723"/>
      <c r="AA527" s="726"/>
      <c r="AB527" s="726"/>
      <c r="AC527" s="170"/>
      <c r="AD527" s="586"/>
      <c r="AE527" s="586"/>
      <c r="AF527" s="170"/>
      <c r="AG527" s="170"/>
      <c r="AH527" s="170"/>
      <c r="AI527" s="170"/>
      <c r="AJ527" s="170"/>
      <c r="AK527" s="170"/>
      <c r="AL527" s="170"/>
      <c r="AM527" s="170"/>
      <c r="AN527" s="170"/>
      <c r="AO527" s="170"/>
      <c r="AP527" s="170"/>
      <c r="AQ527" s="170"/>
      <c r="AR527" s="170"/>
      <c r="AS527" s="170"/>
      <c r="AT527" s="170"/>
      <c r="AU527" s="170"/>
      <c r="AV527" s="170"/>
      <c r="AW527" s="170"/>
      <c r="AX527" s="170"/>
    </row>
    <row r="528" spans="1:50" ht="15" x14ac:dyDescent="0.25">
      <c r="A528" s="170"/>
      <c r="B528" s="719"/>
      <c r="C528" s="170"/>
      <c r="D528" s="170"/>
      <c r="E528" s="170"/>
      <c r="F528" s="170"/>
      <c r="G528" s="721"/>
      <c r="H528" s="170"/>
      <c r="I528" s="170"/>
      <c r="J528" s="170"/>
      <c r="K528" s="170"/>
      <c r="L528" s="170"/>
      <c r="M528" s="730"/>
      <c r="N528" s="730"/>
      <c r="O528" s="730"/>
      <c r="P528" s="731"/>
      <c r="Q528" s="731"/>
      <c r="R528" s="730"/>
      <c r="S528" s="730"/>
      <c r="T528" s="723"/>
      <c r="U528" s="724"/>
      <c r="V528" s="725"/>
      <c r="W528" s="725"/>
      <c r="X528" s="723"/>
      <c r="Y528" s="723"/>
      <c r="Z528" s="723"/>
      <c r="AA528" s="726"/>
      <c r="AB528" s="726"/>
      <c r="AC528" s="170"/>
      <c r="AD528" s="586"/>
      <c r="AE528" s="586"/>
      <c r="AF528" s="170"/>
      <c r="AG528" s="170"/>
      <c r="AH528" s="170"/>
      <c r="AI528" s="170"/>
      <c r="AJ528" s="170"/>
      <c r="AK528" s="170"/>
      <c r="AL528" s="170"/>
      <c r="AM528" s="170"/>
      <c r="AN528" s="170"/>
      <c r="AO528" s="170"/>
      <c r="AP528" s="170"/>
      <c r="AQ528" s="170"/>
      <c r="AR528" s="170"/>
      <c r="AS528" s="170"/>
      <c r="AT528" s="170"/>
      <c r="AU528" s="170"/>
      <c r="AV528" s="170"/>
      <c r="AW528" s="170"/>
      <c r="AX528" s="170"/>
    </row>
    <row r="529" spans="1:50" ht="15" x14ac:dyDescent="0.25">
      <c r="A529" s="170"/>
      <c r="B529" s="719"/>
      <c r="C529" s="170"/>
      <c r="D529" s="170"/>
      <c r="E529" s="170"/>
      <c r="F529" s="170"/>
      <c r="G529" s="721"/>
      <c r="H529" s="170"/>
      <c r="I529" s="170"/>
      <c r="J529" s="170"/>
      <c r="K529" s="170"/>
      <c r="L529" s="170"/>
      <c r="M529" s="730"/>
      <c r="N529" s="730"/>
      <c r="O529" s="730"/>
      <c r="P529" s="731"/>
      <c r="Q529" s="731"/>
      <c r="R529" s="730"/>
      <c r="S529" s="730"/>
      <c r="T529" s="723"/>
      <c r="U529" s="724"/>
      <c r="V529" s="725"/>
      <c r="W529" s="725"/>
      <c r="X529" s="723"/>
      <c r="Y529" s="723"/>
      <c r="Z529" s="723"/>
      <c r="AA529" s="726"/>
      <c r="AB529" s="726"/>
      <c r="AC529" s="170"/>
      <c r="AD529" s="586"/>
      <c r="AE529" s="586"/>
      <c r="AF529" s="170"/>
      <c r="AG529" s="170"/>
      <c r="AH529" s="170"/>
      <c r="AI529" s="170"/>
      <c r="AJ529" s="170"/>
      <c r="AK529" s="170"/>
      <c r="AL529" s="170"/>
      <c r="AM529" s="170"/>
      <c r="AN529" s="170"/>
      <c r="AO529" s="170"/>
      <c r="AP529" s="170"/>
      <c r="AQ529" s="170"/>
      <c r="AR529" s="170"/>
      <c r="AS529" s="170"/>
      <c r="AT529" s="170"/>
      <c r="AU529" s="170"/>
      <c r="AV529" s="170"/>
      <c r="AW529" s="170"/>
      <c r="AX529" s="170"/>
    </row>
    <row r="530" spans="1:50" ht="15" x14ac:dyDescent="0.25">
      <c r="A530" s="170"/>
      <c r="B530" s="719"/>
      <c r="C530" s="170"/>
      <c r="D530" s="170"/>
      <c r="E530" s="170"/>
      <c r="F530" s="170"/>
      <c r="G530" s="721"/>
      <c r="H530" s="170"/>
      <c r="I530" s="170"/>
      <c r="J530" s="170"/>
      <c r="K530" s="170"/>
      <c r="L530" s="170"/>
      <c r="M530" s="730"/>
      <c r="N530" s="730"/>
      <c r="O530" s="730"/>
      <c r="P530" s="731"/>
      <c r="Q530" s="731"/>
      <c r="R530" s="730"/>
      <c r="S530" s="730"/>
      <c r="T530" s="723"/>
      <c r="U530" s="724"/>
      <c r="V530" s="725"/>
      <c r="W530" s="725"/>
      <c r="X530" s="723"/>
      <c r="Y530" s="723"/>
      <c r="Z530" s="723"/>
      <c r="AA530" s="726"/>
      <c r="AB530" s="726"/>
      <c r="AC530" s="170"/>
      <c r="AD530" s="586"/>
      <c r="AE530" s="586"/>
      <c r="AF530" s="170"/>
      <c r="AG530" s="170"/>
      <c r="AH530" s="170"/>
      <c r="AI530" s="170"/>
      <c r="AJ530" s="170"/>
      <c r="AK530" s="170"/>
      <c r="AL530" s="170"/>
      <c r="AM530" s="170"/>
      <c r="AN530" s="170"/>
      <c r="AO530" s="170"/>
      <c r="AP530" s="170"/>
      <c r="AQ530" s="170"/>
      <c r="AR530" s="170"/>
      <c r="AS530" s="170"/>
      <c r="AT530" s="170"/>
      <c r="AU530" s="170"/>
      <c r="AV530" s="170"/>
      <c r="AW530" s="170"/>
      <c r="AX530" s="170"/>
    </row>
    <row r="531" spans="1:50" ht="15" x14ac:dyDescent="0.25">
      <c r="A531" s="170"/>
      <c r="B531" s="719"/>
      <c r="C531" s="170"/>
      <c r="D531" s="170"/>
      <c r="E531" s="170"/>
      <c r="F531" s="170"/>
      <c r="G531" s="721"/>
      <c r="H531" s="170"/>
      <c r="I531" s="170"/>
      <c r="J531" s="170"/>
      <c r="K531" s="170"/>
      <c r="L531" s="170"/>
      <c r="M531" s="730"/>
      <c r="N531" s="730"/>
      <c r="O531" s="730"/>
      <c r="P531" s="731"/>
      <c r="Q531" s="731"/>
      <c r="R531" s="730"/>
      <c r="S531" s="730"/>
      <c r="T531" s="723"/>
      <c r="U531" s="724"/>
      <c r="V531" s="725"/>
      <c r="W531" s="725"/>
      <c r="X531" s="723"/>
      <c r="Y531" s="723"/>
      <c r="Z531" s="723"/>
      <c r="AA531" s="726"/>
      <c r="AB531" s="726"/>
      <c r="AC531" s="170"/>
      <c r="AD531" s="586"/>
      <c r="AE531" s="586"/>
      <c r="AF531" s="170"/>
      <c r="AG531" s="170"/>
      <c r="AH531" s="170"/>
      <c r="AI531" s="170"/>
      <c r="AJ531" s="170"/>
      <c r="AK531" s="170"/>
      <c r="AL531" s="170"/>
      <c r="AM531" s="170"/>
      <c r="AN531" s="170"/>
      <c r="AO531" s="170"/>
      <c r="AP531" s="170"/>
      <c r="AQ531" s="170"/>
      <c r="AR531" s="170"/>
      <c r="AS531" s="170"/>
      <c r="AT531" s="170"/>
      <c r="AU531" s="170"/>
      <c r="AV531" s="170"/>
      <c r="AW531" s="170"/>
      <c r="AX531" s="170"/>
    </row>
    <row r="532" spans="1:50" ht="15" x14ac:dyDescent="0.25">
      <c r="A532" s="170"/>
      <c r="B532" s="719"/>
      <c r="C532" s="170"/>
      <c r="D532" s="170"/>
      <c r="E532" s="170"/>
      <c r="F532" s="170"/>
      <c r="G532" s="721"/>
      <c r="H532" s="170"/>
      <c r="I532" s="170"/>
      <c r="J532" s="170"/>
      <c r="K532" s="170"/>
      <c r="L532" s="170"/>
      <c r="M532" s="730"/>
      <c r="N532" s="730"/>
      <c r="O532" s="730"/>
      <c r="P532" s="731"/>
      <c r="Q532" s="731"/>
      <c r="R532" s="730"/>
      <c r="S532" s="730"/>
      <c r="T532" s="723"/>
      <c r="U532" s="724"/>
      <c r="V532" s="725"/>
      <c r="W532" s="725"/>
      <c r="X532" s="723"/>
      <c r="Y532" s="723"/>
      <c r="Z532" s="723"/>
      <c r="AA532" s="726"/>
      <c r="AB532" s="726"/>
      <c r="AC532" s="170"/>
      <c r="AD532" s="586"/>
      <c r="AE532" s="586"/>
      <c r="AF532" s="170"/>
      <c r="AG532" s="170"/>
      <c r="AH532" s="170"/>
      <c r="AI532" s="170"/>
      <c r="AJ532" s="170"/>
      <c r="AK532" s="170"/>
      <c r="AL532" s="170"/>
      <c r="AM532" s="170"/>
      <c r="AN532" s="170"/>
      <c r="AO532" s="170"/>
      <c r="AP532" s="170"/>
      <c r="AQ532" s="170"/>
      <c r="AR532" s="170"/>
      <c r="AS532" s="170"/>
      <c r="AT532" s="170"/>
      <c r="AU532" s="170"/>
      <c r="AV532" s="170"/>
      <c r="AW532" s="170"/>
      <c r="AX532" s="170"/>
    </row>
    <row r="533" spans="1:50" ht="15" x14ac:dyDescent="0.25">
      <c r="A533" s="170"/>
      <c r="B533" s="719"/>
      <c r="C533" s="170"/>
      <c r="D533" s="170"/>
      <c r="E533" s="170"/>
      <c r="F533" s="170"/>
      <c r="G533" s="721"/>
      <c r="H533" s="170"/>
      <c r="I533" s="170"/>
      <c r="J533" s="170"/>
      <c r="K533" s="170"/>
      <c r="L533" s="170"/>
      <c r="M533" s="730"/>
      <c r="N533" s="730"/>
      <c r="O533" s="730"/>
      <c r="P533" s="731"/>
      <c r="Q533" s="731"/>
      <c r="R533" s="730"/>
      <c r="S533" s="730"/>
      <c r="T533" s="723"/>
      <c r="U533" s="724"/>
      <c r="V533" s="725"/>
      <c r="W533" s="725"/>
      <c r="X533" s="723"/>
      <c r="Y533" s="723"/>
      <c r="Z533" s="723"/>
      <c r="AA533" s="726"/>
      <c r="AB533" s="726"/>
      <c r="AC533" s="170"/>
      <c r="AD533" s="586"/>
      <c r="AE533" s="586"/>
      <c r="AF533" s="170"/>
      <c r="AG533" s="170"/>
      <c r="AH533" s="170"/>
      <c r="AI533" s="170"/>
      <c r="AJ533" s="170"/>
      <c r="AK533" s="170"/>
      <c r="AL533" s="170"/>
      <c r="AM533" s="170"/>
      <c r="AN533" s="170"/>
      <c r="AO533" s="170"/>
      <c r="AP533" s="170"/>
      <c r="AQ533" s="170"/>
      <c r="AR533" s="170"/>
      <c r="AS533" s="170"/>
      <c r="AT533" s="170"/>
      <c r="AU533" s="170"/>
      <c r="AV533" s="170"/>
      <c r="AW533" s="170"/>
      <c r="AX533" s="170"/>
    </row>
    <row r="534" spans="1:50" ht="15" x14ac:dyDescent="0.25">
      <c r="A534" s="170"/>
      <c r="B534" s="719"/>
      <c r="C534" s="170"/>
      <c r="D534" s="170"/>
      <c r="E534" s="170"/>
      <c r="F534" s="170"/>
      <c r="G534" s="721"/>
      <c r="H534" s="170"/>
      <c r="I534" s="170"/>
      <c r="J534" s="170"/>
      <c r="K534" s="170"/>
      <c r="L534" s="170"/>
      <c r="M534" s="730"/>
      <c r="N534" s="730"/>
      <c r="O534" s="730"/>
      <c r="P534" s="731"/>
      <c r="Q534" s="731"/>
      <c r="R534" s="730"/>
      <c r="S534" s="730"/>
      <c r="T534" s="723"/>
      <c r="U534" s="724"/>
      <c r="V534" s="725"/>
      <c r="W534" s="725"/>
      <c r="X534" s="723"/>
      <c r="Y534" s="723"/>
      <c r="Z534" s="723"/>
      <c r="AA534" s="726"/>
      <c r="AB534" s="726"/>
      <c r="AC534" s="170"/>
      <c r="AD534" s="586"/>
      <c r="AE534" s="586"/>
      <c r="AF534" s="170"/>
      <c r="AG534" s="170"/>
      <c r="AH534" s="170"/>
      <c r="AI534" s="170"/>
      <c r="AJ534" s="170"/>
      <c r="AK534" s="170"/>
      <c r="AL534" s="170"/>
      <c r="AM534" s="170"/>
      <c r="AN534" s="170"/>
      <c r="AO534" s="170"/>
      <c r="AP534" s="170"/>
      <c r="AQ534" s="170"/>
      <c r="AR534" s="170"/>
      <c r="AS534" s="170"/>
      <c r="AT534" s="170"/>
      <c r="AU534" s="170"/>
      <c r="AV534" s="170"/>
      <c r="AW534" s="170"/>
      <c r="AX534" s="170"/>
    </row>
    <row r="535" spans="1:50" ht="15" x14ac:dyDescent="0.25">
      <c r="A535" s="170"/>
      <c r="B535" s="719"/>
      <c r="C535" s="170"/>
      <c r="D535" s="170"/>
      <c r="E535" s="170"/>
      <c r="F535" s="170"/>
      <c r="G535" s="721"/>
      <c r="H535" s="170"/>
      <c r="I535" s="170"/>
      <c r="J535" s="170"/>
      <c r="K535" s="170"/>
      <c r="L535" s="170"/>
      <c r="M535" s="730"/>
      <c r="N535" s="730"/>
      <c r="O535" s="730"/>
      <c r="P535" s="731"/>
      <c r="Q535" s="731"/>
      <c r="R535" s="730"/>
      <c r="S535" s="730"/>
      <c r="T535" s="723"/>
      <c r="U535" s="724"/>
      <c r="V535" s="725"/>
      <c r="W535" s="725"/>
      <c r="X535" s="723"/>
      <c r="Y535" s="723"/>
      <c r="Z535" s="723"/>
      <c r="AA535" s="726"/>
      <c r="AB535" s="726"/>
      <c r="AC535" s="170"/>
      <c r="AD535" s="586"/>
      <c r="AE535" s="586"/>
      <c r="AF535" s="170"/>
      <c r="AG535" s="170"/>
      <c r="AH535" s="170"/>
      <c r="AI535" s="170"/>
      <c r="AJ535" s="170"/>
      <c r="AK535" s="170"/>
      <c r="AL535" s="170"/>
      <c r="AM535" s="170"/>
      <c r="AN535" s="170"/>
      <c r="AO535" s="170"/>
      <c r="AP535" s="170"/>
      <c r="AQ535" s="170"/>
      <c r="AR535" s="170"/>
      <c r="AS535" s="170"/>
      <c r="AT535" s="170"/>
      <c r="AU535" s="170"/>
      <c r="AV535" s="170"/>
      <c r="AW535" s="170"/>
      <c r="AX535" s="170"/>
    </row>
    <row r="536" spans="1:50" ht="15" x14ac:dyDescent="0.25">
      <c r="A536" s="170"/>
      <c r="B536" s="719"/>
      <c r="C536" s="170"/>
      <c r="D536" s="170"/>
      <c r="E536" s="170"/>
      <c r="F536" s="170"/>
      <c r="G536" s="721"/>
      <c r="H536" s="170"/>
      <c r="I536" s="170"/>
      <c r="J536" s="170"/>
      <c r="K536" s="170"/>
      <c r="L536" s="170"/>
      <c r="M536" s="730"/>
      <c r="N536" s="730"/>
      <c r="O536" s="730"/>
      <c r="P536" s="731"/>
      <c r="Q536" s="731"/>
      <c r="R536" s="730"/>
      <c r="S536" s="730"/>
      <c r="T536" s="723"/>
      <c r="U536" s="724"/>
      <c r="V536" s="725"/>
      <c r="W536" s="725"/>
      <c r="X536" s="723"/>
      <c r="Y536" s="723"/>
      <c r="Z536" s="723"/>
      <c r="AA536" s="726"/>
      <c r="AB536" s="726"/>
      <c r="AC536" s="170"/>
      <c r="AD536" s="586"/>
      <c r="AE536" s="586"/>
      <c r="AF536" s="170"/>
      <c r="AG536" s="170"/>
      <c r="AH536" s="170"/>
      <c r="AI536" s="170"/>
      <c r="AJ536" s="170"/>
      <c r="AK536" s="170"/>
      <c r="AL536" s="170"/>
      <c r="AM536" s="170"/>
      <c r="AN536" s="170"/>
      <c r="AO536" s="170"/>
      <c r="AP536" s="170"/>
      <c r="AQ536" s="170"/>
      <c r="AR536" s="170"/>
      <c r="AS536" s="170"/>
      <c r="AT536" s="170"/>
      <c r="AU536" s="170"/>
      <c r="AV536" s="170"/>
      <c r="AW536" s="170"/>
      <c r="AX536" s="170"/>
    </row>
    <row r="537" spans="1:50" ht="15" x14ac:dyDescent="0.25">
      <c r="A537" s="170"/>
      <c r="B537" s="719"/>
      <c r="C537" s="170"/>
      <c r="D537" s="170"/>
      <c r="E537" s="170"/>
      <c r="F537" s="170"/>
      <c r="G537" s="721"/>
      <c r="H537" s="170"/>
      <c r="I537" s="170"/>
      <c r="J537" s="170"/>
      <c r="K537" s="170"/>
      <c r="L537" s="170"/>
      <c r="M537" s="730"/>
      <c r="N537" s="730"/>
      <c r="O537" s="730"/>
      <c r="P537" s="731"/>
      <c r="Q537" s="731"/>
      <c r="R537" s="730"/>
      <c r="S537" s="730"/>
      <c r="T537" s="723"/>
      <c r="U537" s="724"/>
      <c r="V537" s="725"/>
      <c r="W537" s="725"/>
      <c r="X537" s="723"/>
      <c r="Y537" s="723"/>
      <c r="Z537" s="723"/>
      <c r="AA537" s="726"/>
      <c r="AB537" s="726"/>
      <c r="AC537" s="170"/>
      <c r="AD537" s="586"/>
      <c r="AE537" s="586"/>
      <c r="AF537" s="170"/>
      <c r="AG537" s="170"/>
      <c r="AH537" s="170"/>
      <c r="AI537" s="170"/>
      <c r="AJ537" s="170"/>
      <c r="AK537" s="170"/>
      <c r="AL537" s="170"/>
      <c r="AM537" s="170"/>
      <c r="AN537" s="170"/>
      <c r="AO537" s="170"/>
      <c r="AP537" s="170"/>
      <c r="AQ537" s="170"/>
      <c r="AR537" s="170"/>
      <c r="AS537" s="170"/>
      <c r="AT537" s="170"/>
      <c r="AU537" s="170"/>
      <c r="AV537" s="170"/>
      <c r="AW537" s="170"/>
      <c r="AX537" s="170"/>
    </row>
    <row r="538" spans="1:50" ht="15" x14ac:dyDescent="0.25">
      <c r="A538" s="170"/>
      <c r="B538" s="719"/>
      <c r="C538" s="170"/>
      <c r="D538" s="170"/>
      <c r="E538" s="170"/>
      <c r="F538" s="170"/>
      <c r="G538" s="721"/>
      <c r="H538" s="170"/>
      <c r="I538" s="170"/>
      <c r="J538" s="170"/>
      <c r="K538" s="170"/>
      <c r="L538" s="170"/>
      <c r="M538" s="730"/>
      <c r="N538" s="730"/>
      <c r="O538" s="730"/>
      <c r="P538" s="731"/>
      <c r="Q538" s="731"/>
      <c r="R538" s="730"/>
      <c r="S538" s="730"/>
      <c r="T538" s="723"/>
      <c r="U538" s="724"/>
      <c r="V538" s="725"/>
      <c r="W538" s="725"/>
      <c r="X538" s="723"/>
      <c r="Y538" s="723"/>
      <c r="Z538" s="723"/>
      <c r="AA538" s="726"/>
      <c r="AB538" s="726"/>
      <c r="AC538" s="170"/>
      <c r="AD538" s="586"/>
      <c r="AE538" s="586"/>
      <c r="AF538" s="170"/>
      <c r="AG538" s="170"/>
      <c r="AH538" s="170"/>
      <c r="AI538" s="170"/>
      <c r="AJ538" s="170"/>
      <c r="AK538" s="170"/>
      <c r="AL538" s="170"/>
      <c r="AM538" s="170"/>
      <c r="AN538" s="170"/>
      <c r="AO538" s="170"/>
      <c r="AP538" s="170"/>
      <c r="AQ538" s="170"/>
      <c r="AR538" s="170"/>
      <c r="AS538" s="170"/>
      <c r="AT538" s="170"/>
      <c r="AU538" s="170"/>
      <c r="AV538" s="170"/>
      <c r="AW538" s="170"/>
      <c r="AX538" s="170"/>
    </row>
    <row r="539" spans="1:50" ht="15" x14ac:dyDescent="0.25">
      <c r="A539" s="170"/>
      <c r="B539" s="719"/>
      <c r="C539" s="170"/>
      <c r="D539" s="170"/>
      <c r="E539" s="170"/>
      <c r="F539" s="170"/>
      <c r="G539" s="721"/>
      <c r="H539" s="170"/>
      <c r="I539" s="170"/>
      <c r="J539" s="170"/>
      <c r="K539" s="170"/>
      <c r="L539" s="170"/>
      <c r="M539" s="730"/>
      <c r="N539" s="730"/>
      <c r="O539" s="730"/>
      <c r="P539" s="731"/>
      <c r="Q539" s="731"/>
      <c r="R539" s="730"/>
      <c r="S539" s="730"/>
      <c r="T539" s="723"/>
      <c r="U539" s="724"/>
      <c r="V539" s="725"/>
      <c r="W539" s="725"/>
      <c r="X539" s="723"/>
      <c r="Y539" s="723"/>
      <c r="Z539" s="723"/>
      <c r="AA539" s="726"/>
      <c r="AB539" s="726"/>
      <c r="AC539" s="170"/>
      <c r="AD539" s="586"/>
      <c r="AE539" s="586"/>
      <c r="AF539" s="170"/>
      <c r="AG539" s="170"/>
      <c r="AH539" s="170"/>
      <c r="AI539" s="170"/>
      <c r="AJ539" s="170"/>
      <c r="AK539" s="170"/>
      <c r="AL539" s="170"/>
      <c r="AM539" s="170"/>
      <c r="AN539" s="170"/>
      <c r="AO539" s="170"/>
      <c r="AP539" s="170"/>
      <c r="AQ539" s="170"/>
      <c r="AR539" s="170"/>
      <c r="AS539" s="170"/>
      <c r="AT539" s="170"/>
      <c r="AU539" s="170"/>
      <c r="AV539" s="170"/>
      <c r="AW539" s="170"/>
      <c r="AX539" s="170"/>
    </row>
    <row r="540" spans="1:50" ht="15" x14ac:dyDescent="0.25">
      <c r="A540" s="170"/>
      <c r="B540" s="719"/>
      <c r="C540" s="170"/>
      <c r="D540" s="170"/>
      <c r="E540" s="170"/>
      <c r="F540" s="170"/>
      <c r="G540" s="721"/>
      <c r="H540" s="170"/>
      <c r="I540" s="170"/>
      <c r="J540" s="170"/>
      <c r="K540" s="170"/>
      <c r="L540" s="170"/>
      <c r="M540" s="730"/>
      <c r="N540" s="730"/>
      <c r="O540" s="730"/>
      <c r="P540" s="731"/>
      <c r="Q540" s="731"/>
      <c r="R540" s="730"/>
      <c r="S540" s="730"/>
      <c r="T540" s="723"/>
      <c r="U540" s="724"/>
      <c r="V540" s="725"/>
      <c r="W540" s="725"/>
      <c r="X540" s="723"/>
      <c r="Y540" s="723"/>
      <c r="Z540" s="723"/>
      <c r="AA540" s="726"/>
      <c r="AB540" s="726"/>
      <c r="AC540" s="170"/>
      <c r="AD540" s="586"/>
      <c r="AE540" s="586"/>
      <c r="AF540" s="170"/>
      <c r="AG540" s="170"/>
      <c r="AH540" s="170"/>
      <c r="AI540" s="170"/>
      <c r="AJ540" s="170"/>
      <c r="AK540" s="170"/>
      <c r="AL540" s="170"/>
      <c r="AM540" s="170"/>
      <c r="AN540" s="170"/>
      <c r="AO540" s="170"/>
      <c r="AP540" s="170"/>
      <c r="AQ540" s="170"/>
      <c r="AR540" s="170"/>
      <c r="AS540" s="170"/>
      <c r="AT540" s="170"/>
      <c r="AU540" s="170"/>
      <c r="AV540" s="170"/>
      <c r="AW540" s="170"/>
      <c r="AX540" s="170"/>
    </row>
    <row r="541" spans="1:50" ht="15" x14ac:dyDescent="0.25">
      <c r="A541" s="170"/>
      <c r="B541" s="719"/>
      <c r="C541" s="170"/>
      <c r="D541" s="170"/>
      <c r="E541" s="170"/>
      <c r="F541" s="170"/>
      <c r="G541" s="721"/>
      <c r="H541" s="170"/>
      <c r="I541" s="170"/>
      <c r="J541" s="170"/>
      <c r="K541" s="170"/>
      <c r="L541" s="170"/>
      <c r="M541" s="730"/>
      <c r="N541" s="730"/>
      <c r="O541" s="730"/>
      <c r="P541" s="731"/>
      <c r="Q541" s="731"/>
      <c r="R541" s="730"/>
      <c r="S541" s="730"/>
      <c r="T541" s="723"/>
      <c r="U541" s="724"/>
      <c r="V541" s="725"/>
      <c r="W541" s="725"/>
      <c r="X541" s="723"/>
      <c r="Y541" s="723"/>
      <c r="Z541" s="723"/>
      <c r="AA541" s="726"/>
      <c r="AB541" s="726"/>
      <c r="AC541" s="170"/>
      <c r="AD541" s="586"/>
      <c r="AE541" s="586"/>
      <c r="AF541" s="170"/>
      <c r="AG541" s="170"/>
      <c r="AH541" s="170"/>
      <c r="AI541" s="170"/>
      <c r="AJ541" s="170"/>
      <c r="AK541" s="170"/>
      <c r="AL541" s="170"/>
      <c r="AM541" s="170"/>
      <c r="AN541" s="170"/>
      <c r="AO541" s="170"/>
      <c r="AP541" s="170"/>
      <c r="AQ541" s="170"/>
      <c r="AR541" s="170"/>
      <c r="AS541" s="170"/>
      <c r="AT541" s="170"/>
      <c r="AU541" s="170"/>
      <c r="AV541" s="170"/>
      <c r="AW541" s="170"/>
      <c r="AX541" s="170"/>
    </row>
    <row r="542" spans="1:50" ht="15" x14ac:dyDescent="0.25">
      <c r="A542" s="170"/>
      <c r="B542" s="719"/>
      <c r="C542" s="170"/>
      <c r="D542" s="170"/>
      <c r="E542" s="170"/>
      <c r="F542" s="170"/>
      <c r="G542" s="721"/>
      <c r="H542" s="170"/>
      <c r="I542" s="170"/>
      <c r="J542" s="170"/>
      <c r="K542" s="170"/>
      <c r="L542" s="170"/>
      <c r="M542" s="730"/>
      <c r="N542" s="730"/>
      <c r="O542" s="730"/>
      <c r="P542" s="731"/>
      <c r="Q542" s="731"/>
      <c r="R542" s="730"/>
      <c r="S542" s="730"/>
      <c r="T542" s="723"/>
      <c r="U542" s="724"/>
      <c r="V542" s="725"/>
      <c r="W542" s="725"/>
      <c r="X542" s="723"/>
      <c r="Y542" s="723"/>
      <c r="Z542" s="723"/>
      <c r="AA542" s="726"/>
      <c r="AB542" s="726"/>
      <c r="AC542" s="170"/>
      <c r="AD542" s="586"/>
      <c r="AE542" s="586"/>
      <c r="AF542" s="170"/>
      <c r="AG542" s="170"/>
      <c r="AH542" s="170"/>
      <c r="AI542" s="170"/>
      <c r="AJ542" s="170"/>
      <c r="AK542" s="170"/>
      <c r="AL542" s="170"/>
      <c r="AM542" s="170"/>
      <c r="AN542" s="170"/>
      <c r="AO542" s="170"/>
      <c r="AP542" s="170"/>
      <c r="AQ542" s="170"/>
      <c r="AR542" s="170"/>
      <c r="AS542" s="170"/>
      <c r="AT542" s="170"/>
      <c r="AU542" s="170"/>
      <c r="AV542" s="170"/>
      <c r="AW542" s="170"/>
      <c r="AX542" s="170"/>
    </row>
    <row r="543" spans="1:50" ht="15" x14ac:dyDescent="0.25">
      <c r="A543" s="170"/>
      <c r="B543" s="719"/>
      <c r="C543" s="170"/>
      <c r="D543" s="170"/>
      <c r="E543" s="170"/>
      <c r="F543" s="170"/>
      <c r="G543" s="721"/>
      <c r="H543" s="170"/>
      <c r="I543" s="170"/>
      <c r="J543" s="170"/>
      <c r="K543" s="170"/>
      <c r="L543" s="170"/>
      <c r="M543" s="730"/>
      <c r="N543" s="730"/>
      <c r="O543" s="730"/>
      <c r="P543" s="731"/>
      <c r="Q543" s="731"/>
      <c r="R543" s="730"/>
      <c r="S543" s="730"/>
      <c r="T543" s="723"/>
      <c r="U543" s="724"/>
      <c r="V543" s="725"/>
      <c r="W543" s="725"/>
      <c r="X543" s="723"/>
      <c r="Y543" s="723"/>
      <c r="Z543" s="723"/>
      <c r="AA543" s="726"/>
      <c r="AB543" s="726"/>
      <c r="AC543" s="170"/>
      <c r="AD543" s="586"/>
      <c r="AE543" s="586"/>
      <c r="AF543" s="170"/>
      <c r="AG543" s="170"/>
      <c r="AH543" s="170"/>
      <c r="AI543" s="170"/>
      <c r="AJ543" s="170"/>
      <c r="AK543" s="170"/>
      <c r="AL543" s="170"/>
      <c r="AM543" s="170"/>
      <c r="AN543" s="170"/>
      <c r="AO543" s="170"/>
      <c r="AP543" s="170"/>
      <c r="AQ543" s="170"/>
      <c r="AR543" s="170"/>
      <c r="AS543" s="170"/>
      <c r="AT543" s="170"/>
      <c r="AU543" s="170"/>
      <c r="AV543" s="170"/>
      <c r="AW543" s="170"/>
      <c r="AX543" s="170"/>
    </row>
    <row r="544" spans="1:50" ht="15" x14ac:dyDescent="0.25">
      <c r="A544" s="170"/>
      <c r="B544" s="719"/>
      <c r="C544" s="170"/>
      <c r="D544" s="170"/>
      <c r="E544" s="170"/>
      <c r="F544" s="170"/>
      <c r="G544" s="721"/>
      <c r="H544" s="170"/>
      <c r="I544" s="170"/>
      <c r="J544" s="170"/>
      <c r="K544" s="170"/>
      <c r="L544" s="170"/>
      <c r="M544" s="730"/>
      <c r="N544" s="730"/>
      <c r="O544" s="730"/>
      <c r="P544" s="731"/>
      <c r="Q544" s="731"/>
      <c r="R544" s="730"/>
      <c r="S544" s="730"/>
      <c r="T544" s="723"/>
      <c r="U544" s="724"/>
      <c r="V544" s="725"/>
      <c r="W544" s="725"/>
      <c r="X544" s="723"/>
      <c r="Y544" s="723"/>
      <c r="Z544" s="723"/>
      <c r="AA544" s="726"/>
      <c r="AB544" s="726"/>
      <c r="AC544" s="170"/>
      <c r="AD544" s="586"/>
      <c r="AE544" s="586"/>
      <c r="AF544" s="170"/>
      <c r="AG544" s="170"/>
      <c r="AH544" s="170"/>
      <c r="AI544" s="170"/>
      <c r="AJ544" s="170"/>
      <c r="AK544" s="170"/>
      <c r="AL544" s="170"/>
      <c r="AM544" s="170"/>
      <c r="AN544" s="170"/>
      <c r="AO544" s="170"/>
      <c r="AP544" s="170"/>
      <c r="AQ544" s="170"/>
      <c r="AR544" s="170"/>
      <c r="AS544" s="170"/>
      <c r="AT544" s="170"/>
      <c r="AU544" s="170"/>
      <c r="AV544" s="170"/>
      <c r="AW544" s="170"/>
      <c r="AX544" s="170"/>
    </row>
    <row r="545" spans="1:50" ht="15" x14ac:dyDescent="0.25">
      <c r="A545" s="170"/>
      <c r="B545" s="719"/>
      <c r="C545" s="170"/>
      <c r="D545" s="170"/>
      <c r="E545" s="170"/>
      <c r="F545" s="170"/>
      <c r="G545" s="721"/>
      <c r="H545" s="170"/>
      <c r="I545" s="170"/>
      <c r="J545" s="170"/>
      <c r="K545" s="170"/>
      <c r="L545" s="170"/>
      <c r="M545" s="730"/>
      <c r="N545" s="730"/>
      <c r="O545" s="730"/>
      <c r="P545" s="731"/>
      <c r="Q545" s="731"/>
      <c r="R545" s="730"/>
      <c r="S545" s="730"/>
      <c r="T545" s="723"/>
      <c r="U545" s="724"/>
      <c r="V545" s="725"/>
      <c r="W545" s="725"/>
      <c r="X545" s="723"/>
      <c r="Y545" s="723"/>
      <c r="Z545" s="723"/>
      <c r="AA545" s="726"/>
      <c r="AB545" s="726"/>
      <c r="AC545" s="170"/>
      <c r="AD545" s="586"/>
      <c r="AE545" s="586"/>
      <c r="AF545" s="170"/>
      <c r="AG545" s="170"/>
      <c r="AH545" s="170"/>
      <c r="AI545" s="170"/>
      <c r="AJ545" s="170"/>
      <c r="AK545" s="170"/>
      <c r="AL545" s="170"/>
      <c r="AM545" s="170"/>
      <c r="AN545" s="170"/>
      <c r="AO545" s="170"/>
      <c r="AP545" s="170"/>
      <c r="AQ545" s="170"/>
      <c r="AR545" s="170"/>
      <c r="AS545" s="170"/>
      <c r="AT545" s="170"/>
      <c r="AU545" s="170"/>
      <c r="AV545" s="170"/>
      <c r="AW545" s="170"/>
      <c r="AX545" s="170"/>
    </row>
    <row r="546" spans="1:50" ht="15" x14ac:dyDescent="0.25">
      <c r="A546" s="170"/>
      <c r="B546" s="719"/>
      <c r="C546" s="170"/>
      <c r="D546" s="170"/>
      <c r="E546" s="170"/>
      <c r="F546" s="170"/>
      <c r="G546" s="721"/>
      <c r="H546" s="170"/>
      <c r="I546" s="170"/>
      <c r="J546" s="170"/>
      <c r="K546" s="170"/>
      <c r="L546" s="170"/>
      <c r="M546" s="730"/>
      <c r="N546" s="730"/>
      <c r="O546" s="730"/>
      <c r="P546" s="731"/>
      <c r="Q546" s="731"/>
      <c r="R546" s="730"/>
      <c r="S546" s="730"/>
      <c r="T546" s="723"/>
      <c r="U546" s="724"/>
      <c r="V546" s="725"/>
      <c r="W546" s="725"/>
      <c r="X546" s="723"/>
      <c r="Y546" s="723"/>
      <c r="Z546" s="723"/>
      <c r="AA546" s="726"/>
      <c r="AB546" s="726"/>
      <c r="AC546" s="170"/>
      <c r="AD546" s="586"/>
      <c r="AE546" s="586"/>
      <c r="AF546" s="170"/>
      <c r="AG546" s="170"/>
      <c r="AH546" s="170"/>
      <c r="AI546" s="170"/>
      <c r="AJ546" s="170"/>
      <c r="AK546" s="170"/>
      <c r="AL546" s="170"/>
      <c r="AM546" s="170"/>
      <c r="AN546" s="170"/>
      <c r="AO546" s="170"/>
      <c r="AP546" s="170"/>
      <c r="AQ546" s="170"/>
      <c r="AR546" s="170"/>
      <c r="AS546" s="170"/>
      <c r="AT546" s="170"/>
      <c r="AU546" s="170"/>
      <c r="AV546" s="170"/>
      <c r="AW546" s="170"/>
      <c r="AX546" s="170"/>
    </row>
    <row r="547" spans="1:50" ht="15" x14ac:dyDescent="0.25">
      <c r="A547" s="170"/>
      <c r="B547" s="719"/>
      <c r="C547" s="170"/>
      <c r="D547" s="170"/>
      <c r="E547" s="170"/>
      <c r="F547" s="170"/>
      <c r="G547" s="721"/>
      <c r="H547" s="170"/>
      <c r="I547" s="170"/>
      <c r="J547" s="170"/>
      <c r="K547" s="170"/>
      <c r="L547" s="170"/>
      <c r="M547" s="730"/>
      <c r="N547" s="730"/>
      <c r="O547" s="730"/>
      <c r="P547" s="731"/>
      <c r="Q547" s="731"/>
      <c r="R547" s="730"/>
      <c r="S547" s="730"/>
      <c r="T547" s="723"/>
      <c r="U547" s="724"/>
      <c r="V547" s="725"/>
      <c r="W547" s="725"/>
      <c r="X547" s="723"/>
      <c r="Y547" s="723"/>
      <c r="Z547" s="723"/>
      <c r="AA547" s="726"/>
      <c r="AB547" s="726"/>
      <c r="AC547" s="170"/>
      <c r="AD547" s="586"/>
      <c r="AE547" s="586"/>
      <c r="AF547" s="170"/>
      <c r="AG547" s="170"/>
      <c r="AH547" s="170"/>
      <c r="AI547" s="170"/>
      <c r="AJ547" s="170"/>
      <c r="AK547" s="170"/>
      <c r="AL547" s="170"/>
      <c r="AM547" s="170"/>
      <c r="AN547" s="170"/>
      <c r="AO547" s="170"/>
      <c r="AP547" s="170"/>
      <c r="AQ547" s="170"/>
      <c r="AR547" s="170"/>
      <c r="AS547" s="170"/>
      <c r="AT547" s="170"/>
      <c r="AU547" s="170"/>
      <c r="AV547" s="170"/>
      <c r="AW547" s="170"/>
      <c r="AX547" s="170"/>
    </row>
    <row r="548" spans="1:50" ht="15" x14ac:dyDescent="0.25">
      <c r="A548" s="170"/>
      <c r="B548" s="719"/>
      <c r="C548" s="170"/>
      <c r="D548" s="170"/>
      <c r="E548" s="170"/>
      <c r="F548" s="170"/>
      <c r="G548" s="721"/>
      <c r="H548" s="170"/>
      <c r="I548" s="170"/>
      <c r="J548" s="170"/>
      <c r="K548" s="170"/>
      <c r="L548" s="170"/>
      <c r="M548" s="730"/>
      <c r="N548" s="730"/>
      <c r="O548" s="730"/>
      <c r="P548" s="731"/>
      <c r="Q548" s="731"/>
      <c r="R548" s="730"/>
      <c r="S548" s="730"/>
      <c r="T548" s="723"/>
      <c r="U548" s="724"/>
      <c r="V548" s="725"/>
      <c r="W548" s="725"/>
      <c r="X548" s="723"/>
      <c r="Y548" s="723"/>
      <c r="Z548" s="723"/>
      <c r="AA548" s="726"/>
      <c r="AB548" s="726"/>
      <c r="AC548" s="170"/>
      <c r="AD548" s="586"/>
      <c r="AE548" s="586"/>
      <c r="AF548" s="170"/>
      <c r="AG548" s="170"/>
      <c r="AH548" s="170"/>
      <c r="AI548" s="170"/>
      <c r="AJ548" s="170"/>
      <c r="AK548" s="170"/>
      <c r="AL548" s="170"/>
      <c r="AM548" s="170"/>
      <c r="AN548" s="170"/>
      <c r="AO548" s="170"/>
      <c r="AP548" s="170"/>
      <c r="AQ548" s="170"/>
      <c r="AR548" s="170"/>
      <c r="AS548" s="170"/>
      <c r="AT548" s="170"/>
      <c r="AU548" s="170"/>
      <c r="AV548" s="170"/>
      <c r="AW548" s="170"/>
      <c r="AX548" s="170"/>
    </row>
    <row r="549" spans="1:50" ht="15" x14ac:dyDescent="0.25">
      <c r="A549" s="170"/>
      <c r="B549" s="719"/>
      <c r="C549" s="170"/>
      <c r="D549" s="170"/>
      <c r="E549" s="170"/>
      <c r="F549" s="170"/>
      <c r="G549" s="721"/>
      <c r="H549" s="170"/>
      <c r="I549" s="170"/>
      <c r="J549" s="170"/>
      <c r="K549" s="170"/>
      <c r="L549" s="170"/>
      <c r="M549" s="730"/>
      <c r="N549" s="730"/>
      <c r="O549" s="730"/>
      <c r="P549" s="731"/>
      <c r="Q549" s="731"/>
      <c r="R549" s="730"/>
      <c r="S549" s="730"/>
      <c r="T549" s="723"/>
      <c r="U549" s="724"/>
      <c r="V549" s="725"/>
      <c r="W549" s="725"/>
      <c r="X549" s="723"/>
      <c r="Y549" s="723"/>
      <c r="Z549" s="723"/>
      <c r="AA549" s="726"/>
      <c r="AB549" s="726"/>
      <c r="AC549" s="170"/>
      <c r="AD549" s="586"/>
      <c r="AE549" s="586"/>
      <c r="AF549" s="170"/>
      <c r="AG549" s="170"/>
      <c r="AH549" s="170"/>
      <c r="AI549" s="170"/>
      <c r="AJ549" s="170"/>
      <c r="AK549" s="170"/>
      <c r="AL549" s="170"/>
      <c r="AM549" s="170"/>
      <c r="AN549" s="170"/>
      <c r="AO549" s="170"/>
      <c r="AP549" s="170"/>
      <c r="AQ549" s="170"/>
      <c r="AR549" s="170"/>
      <c r="AS549" s="170"/>
      <c r="AT549" s="170"/>
      <c r="AU549" s="170"/>
      <c r="AV549" s="170"/>
      <c r="AW549" s="170"/>
      <c r="AX549" s="170"/>
    </row>
    <row r="550" spans="1:50" ht="15" x14ac:dyDescent="0.25">
      <c r="A550" s="170"/>
      <c r="B550" s="719"/>
      <c r="C550" s="170"/>
      <c r="D550" s="170"/>
      <c r="E550" s="170"/>
      <c r="F550" s="170"/>
      <c r="G550" s="721"/>
      <c r="H550" s="170"/>
      <c r="I550" s="170"/>
      <c r="J550" s="170"/>
      <c r="K550" s="170"/>
      <c r="L550" s="170"/>
      <c r="M550" s="730"/>
      <c r="N550" s="730"/>
      <c r="O550" s="730"/>
      <c r="P550" s="731"/>
      <c r="Q550" s="731"/>
      <c r="R550" s="730"/>
      <c r="S550" s="730"/>
      <c r="T550" s="723"/>
      <c r="U550" s="724"/>
      <c r="V550" s="725"/>
      <c r="W550" s="725"/>
      <c r="X550" s="723"/>
      <c r="Y550" s="723"/>
      <c r="Z550" s="723"/>
      <c r="AA550" s="726"/>
      <c r="AB550" s="726"/>
      <c r="AC550" s="170"/>
      <c r="AD550" s="586"/>
      <c r="AE550" s="586"/>
      <c r="AF550" s="170"/>
      <c r="AG550" s="170"/>
      <c r="AH550" s="170"/>
      <c r="AI550" s="170"/>
      <c r="AJ550" s="170"/>
      <c r="AK550" s="170"/>
      <c r="AL550" s="170"/>
      <c r="AM550" s="170"/>
      <c r="AN550" s="170"/>
      <c r="AO550" s="170"/>
      <c r="AP550" s="170"/>
      <c r="AQ550" s="170"/>
      <c r="AR550" s="170"/>
      <c r="AS550" s="170"/>
      <c r="AT550" s="170"/>
      <c r="AU550" s="170"/>
      <c r="AV550" s="170"/>
      <c r="AW550" s="170"/>
      <c r="AX550" s="170"/>
    </row>
    <row r="551" spans="1:50" ht="15" x14ac:dyDescent="0.25">
      <c r="A551" s="170"/>
      <c r="B551" s="719"/>
      <c r="C551" s="170"/>
      <c r="D551" s="170"/>
      <c r="E551" s="170"/>
      <c r="F551" s="170"/>
      <c r="G551" s="721"/>
      <c r="H551" s="170"/>
      <c r="I551" s="170"/>
      <c r="J551" s="170"/>
      <c r="K551" s="170"/>
      <c r="L551" s="170"/>
      <c r="M551" s="730"/>
      <c r="N551" s="730"/>
      <c r="O551" s="730"/>
      <c r="P551" s="731"/>
      <c r="Q551" s="731"/>
      <c r="R551" s="730"/>
      <c r="S551" s="730"/>
      <c r="T551" s="723"/>
      <c r="U551" s="724"/>
      <c r="V551" s="725"/>
      <c r="W551" s="725"/>
      <c r="X551" s="723"/>
      <c r="Y551" s="723"/>
      <c r="Z551" s="723"/>
      <c r="AA551" s="726"/>
      <c r="AB551" s="726"/>
      <c r="AC551" s="170"/>
      <c r="AD551" s="586"/>
      <c r="AE551" s="586"/>
      <c r="AF551" s="170"/>
      <c r="AG551" s="170"/>
      <c r="AH551" s="170"/>
      <c r="AI551" s="170"/>
      <c r="AJ551" s="170"/>
      <c r="AK551" s="170"/>
      <c r="AL551" s="170"/>
      <c r="AM551" s="170"/>
      <c r="AN551" s="170"/>
      <c r="AO551" s="170"/>
      <c r="AP551" s="170"/>
      <c r="AQ551" s="170"/>
      <c r="AR551" s="170"/>
      <c r="AS551" s="170"/>
      <c r="AT551" s="170"/>
      <c r="AU551" s="170"/>
      <c r="AV551" s="170"/>
      <c r="AW551" s="170"/>
      <c r="AX551" s="170"/>
    </row>
    <row r="552" spans="1:50" ht="15" x14ac:dyDescent="0.25">
      <c r="A552" s="170"/>
      <c r="B552" s="719"/>
      <c r="C552" s="170"/>
      <c r="D552" s="170"/>
      <c r="E552" s="170"/>
      <c r="F552" s="170"/>
      <c r="G552" s="721"/>
      <c r="H552" s="170"/>
      <c r="I552" s="170"/>
      <c r="J552" s="170"/>
      <c r="K552" s="170"/>
      <c r="L552" s="170"/>
      <c r="M552" s="730"/>
      <c r="N552" s="730"/>
      <c r="O552" s="730"/>
      <c r="P552" s="731"/>
      <c r="Q552" s="731"/>
      <c r="R552" s="730"/>
      <c r="S552" s="730"/>
      <c r="T552" s="723"/>
      <c r="U552" s="724"/>
      <c r="V552" s="725"/>
      <c r="W552" s="725"/>
      <c r="X552" s="723"/>
      <c r="Y552" s="723"/>
      <c r="Z552" s="723"/>
      <c r="AA552" s="726"/>
      <c r="AB552" s="726"/>
      <c r="AC552" s="170"/>
      <c r="AD552" s="586"/>
      <c r="AE552" s="586"/>
      <c r="AF552" s="170"/>
      <c r="AG552" s="170"/>
      <c r="AH552" s="170"/>
      <c r="AI552" s="170"/>
      <c r="AJ552" s="170"/>
      <c r="AK552" s="170"/>
      <c r="AL552" s="170"/>
      <c r="AM552" s="170"/>
      <c r="AN552" s="170"/>
      <c r="AO552" s="170"/>
      <c r="AP552" s="170"/>
      <c r="AQ552" s="170"/>
      <c r="AR552" s="170"/>
      <c r="AS552" s="170"/>
      <c r="AT552" s="170"/>
      <c r="AU552" s="170"/>
      <c r="AV552" s="170"/>
      <c r="AW552" s="170"/>
      <c r="AX552" s="170"/>
    </row>
    <row r="553" spans="1:50" ht="15" x14ac:dyDescent="0.25">
      <c r="A553" s="170"/>
      <c r="B553" s="719"/>
      <c r="C553" s="170"/>
      <c r="D553" s="170"/>
      <c r="E553" s="170"/>
      <c r="F553" s="170"/>
      <c r="G553" s="721"/>
      <c r="H553" s="170"/>
      <c r="I553" s="170"/>
      <c r="J553" s="170"/>
      <c r="K553" s="170"/>
      <c r="L553" s="170"/>
      <c r="M553" s="730"/>
      <c r="N553" s="730"/>
      <c r="O553" s="730"/>
      <c r="P553" s="731"/>
      <c r="Q553" s="731"/>
      <c r="R553" s="730"/>
      <c r="S553" s="730"/>
      <c r="T553" s="723"/>
      <c r="U553" s="724"/>
      <c r="V553" s="725"/>
      <c r="W553" s="725"/>
      <c r="X553" s="723"/>
      <c r="Y553" s="723"/>
      <c r="Z553" s="723"/>
      <c r="AA553" s="726"/>
      <c r="AB553" s="726"/>
      <c r="AC553" s="170"/>
      <c r="AD553" s="586"/>
      <c r="AE553" s="586"/>
      <c r="AF553" s="170"/>
      <c r="AG553" s="170"/>
      <c r="AH553" s="170"/>
      <c r="AI553" s="170"/>
      <c r="AJ553" s="170"/>
      <c r="AK553" s="170"/>
      <c r="AL553" s="170"/>
      <c r="AM553" s="170"/>
      <c r="AN553" s="170"/>
      <c r="AO553" s="170"/>
      <c r="AP553" s="170"/>
      <c r="AQ553" s="170"/>
      <c r="AR553" s="170"/>
      <c r="AS553" s="170"/>
      <c r="AT553" s="170"/>
      <c r="AU553" s="170"/>
      <c r="AV553" s="170"/>
      <c r="AW553" s="170"/>
      <c r="AX553" s="170"/>
    </row>
    <row r="554" spans="1:50" ht="15" x14ac:dyDescent="0.25">
      <c r="A554" s="170"/>
      <c r="B554" s="719"/>
      <c r="C554" s="170"/>
      <c r="D554" s="170"/>
      <c r="E554" s="170"/>
      <c r="F554" s="170"/>
      <c r="G554" s="721"/>
      <c r="H554" s="170"/>
      <c r="I554" s="170"/>
      <c r="J554" s="170"/>
      <c r="K554" s="170"/>
      <c r="L554" s="170"/>
      <c r="M554" s="730"/>
      <c r="N554" s="730"/>
      <c r="O554" s="730"/>
      <c r="P554" s="731"/>
      <c r="Q554" s="731"/>
      <c r="R554" s="730"/>
      <c r="S554" s="730"/>
      <c r="T554" s="723"/>
      <c r="U554" s="724"/>
      <c r="V554" s="725"/>
      <c r="W554" s="725"/>
      <c r="X554" s="723"/>
      <c r="Y554" s="723"/>
      <c r="Z554" s="723"/>
      <c r="AA554" s="726"/>
      <c r="AB554" s="726"/>
      <c r="AC554" s="170"/>
      <c r="AD554" s="586"/>
      <c r="AE554" s="586"/>
      <c r="AF554" s="170"/>
      <c r="AG554" s="170"/>
      <c r="AH554" s="170"/>
      <c r="AI554" s="170"/>
      <c r="AJ554" s="170"/>
      <c r="AK554" s="170"/>
      <c r="AL554" s="170"/>
      <c r="AM554" s="170"/>
      <c r="AN554" s="170"/>
      <c r="AO554" s="170"/>
      <c r="AP554" s="170"/>
      <c r="AQ554" s="170"/>
      <c r="AR554" s="170"/>
      <c r="AS554" s="170"/>
      <c r="AT554" s="170"/>
      <c r="AU554" s="170"/>
      <c r="AV554" s="170"/>
      <c r="AW554" s="170"/>
      <c r="AX554" s="170"/>
    </row>
    <row r="555" spans="1:50" ht="15" x14ac:dyDescent="0.25">
      <c r="A555" s="170"/>
      <c r="B555" s="719"/>
      <c r="C555" s="170"/>
      <c r="D555" s="170"/>
      <c r="E555" s="170"/>
      <c r="F555" s="170"/>
      <c r="G555" s="721"/>
      <c r="H555" s="170"/>
      <c r="I555" s="170"/>
      <c r="J555" s="170"/>
      <c r="K555" s="170"/>
      <c r="L555" s="170"/>
      <c r="M555" s="730"/>
      <c r="N555" s="730"/>
      <c r="O555" s="730"/>
      <c r="P555" s="731"/>
      <c r="Q555" s="731"/>
      <c r="R555" s="730"/>
      <c r="S555" s="730"/>
      <c r="T555" s="723"/>
      <c r="U555" s="724"/>
      <c r="V555" s="725"/>
      <c r="W555" s="725"/>
      <c r="X555" s="723"/>
      <c r="Y555" s="723"/>
      <c r="Z555" s="723"/>
      <c r="AA555" s="726"/>
      <c r="AB555" s="726"/>
      <c r="AC555" s="170"/>
      <c r="AD555" s="586"/>
      <c r="AE555" s="586"/>
      <c r="AF555" s="170"/>
      <c r="AG555" s="170"/>
      <c r="AH555" s="170"/>
      <c r="AI555" s="170"/>
      <c r="AJ555" s="170"/>
      <c r="AK555" s="170"/>
      <c r="AL555" s="170"/>
      <c r="AM555" s="170"/>
      <c r="AN555" s="170"/>
      <c r="AO555" s="170"/>
      <c r="AP555" s="170"/>
      <c r="AQ555" s="170"/>
      <c r="AR555" s="170"/>
      <c r="AS555" s="170"/>
      <c r="AT555" s="170"/>
      <c r="AU555" s="170"/>
      <c r="AV555" s="170"/>
      <c r="AW555" s="170"/>
      <c r="AX555" s="170"/>
    </row>
    <row r="556" spans="1:50" ht="15" x14ac:dyDescent="0.25">
      <c r="A556" s="170"/>
      <c r="B556" s="719"/>
      <c r="C556" s="170"/>
      <c r="D556" s="170"/>
      <c r="E556" s="170"/>
      <c r="F556" s="170"/>
      <c r="G556" s="721"/>
      <c r="H556" s="170"/>
      <c r="I556" s="170"/>
      <c r="J556" s="170"/>
      <c r="K556" s="170"/>
      <c r="L556" s="170"/>
      <c r="M556" s="730"/>
      <c r="N556" s="730"/>
      <c r="O556" s="730"/>
      <c r="P556" s="731"/>
      <c r="Q556" s="731"/>
      <c r="R556" s="730"/>
      <c r="S556" s="730"/>
      <c r="T556" s="723"/>
      <c r="U556" s="724"/>
      <c r="V556" s="725"/>
      <c r="W556" s="725"/>
      <c r="X556" s="723"/>
      <c r="Y556" s="723"/>
      <c r="Z556" s="723"/>
      <c r="AA556" s="726"/>
      <c r="AB556" s="726"/>
      <c r="AC556" s="170"/>
      <c r="AD556" s="586"/>
      <c r="AE556" s="586"/>
      <c r="AF556" s="170"/>
      <c r="AG556" s="170"/>
      <c r="AH556" s="170"/>
      <c r="AI556" s="170"/>
      <c r="AJ556" s="170"/>
      <c r="AK556" s="170"/>
      <c r="AL556" s="170"/>
      <c r="AM556" s="170"/>
      <c r="AN556" s="170"/>
      <c r="AO556" s="170"/>
      <c r="AP556" s="170"/>
      <c r="AQ556" s="170"/>
      <c r="AR556" s="170"/>
      <c r="AS556" s="170"/>
      <c r="AT556" s="170"/>
      <c r="AU556" s="170"/>
      <c r="AV556" s="170"/>
      <c r="AW556" s="170"/>
      <c r="AX556" s="170"/>
    </row>
    <row r="557" spans="1:50" ht="15" x14ac:dyDescent="0.25">
      <c r="A557" s="170"/>
      <c r="B557" s="719"/>
      <c r="C557" s="170"/>
      <c r="D557" s="170"/>
      <c r="E557" s="170"/>
      <c r="F557" s="170"/>
      <c r="G557" s="721"/>
      <c r="H557" s="170"/>
      <c r="I557" s="170"/>
      <c r="J557" s="170"/>
      <c r="K557" s="170"/>
      <c r="L557" s="170"/>
      <c r="M557" s="730"/>
      <c r="N557" s="730"/>
      <c r="O557" s="730"/>
      <c r="P557" s="731"/>
      <c r="Q557" s="731"/>
      <c r="R557" s="730"/>
      <c r="S557" s="730"/>
      <c r="T557" s="723"/>
      <c r="U557" s="724"/>
      <c r="V557" s="725"/>
      <c r="W557" s="725"/>
      <c r="X557" s="723"/>
      <c r="Y557" s="723"/>
      <c r="Z557" s="723"/>
      <c r="AA557" s="726"/>
      <c r="AB557" s="726"/>
      <c r="AC557" s="170"/>
      <c r="AD557" s="586"/>
      <c r="AE557" s="586"/>
      <c r="AF557" s="170"/>
      <c r="AG557" s="170"/>
      <c r="AH557" s="170"/>
      <c r="AI557" s="170"/>
      <c r="AJ557" s="170"/>
      <c r="AK557" s="170"/>
      <c r="AL557" s="170"/>
      <c r="AM557" s="170"/>
      <c r="AN557" s="170"/>
      <c r="AO557" s="170"/>
      <c r="AP557" s="170"/>
      <c r="AQ557" s="170"/>
      <c r="AR557" s="170"/>
      <c r="AS557" s="170"/>
      <c r="AT557" s="170"/>
      <c r="AU557" s="170"/>
      <c r="AV557" s="170"/>
      <c r="AW557" s="170"/>
      <c r="AX557" s="170"/>
    </row>
    <row r="558" spans="1:50" ht="15" x14ac:dyDescent="0.25">
      <c r="A558" s="170"/>
      <c r="B558" s="719"/>
      <c r="C558" s="170"/>
      <c r="D558" s="170"/>
      <c r="E558" s="170"/>
      <c r="F558" s="170"/>
      <c r="G558" s="721"/>
      <c r="H558" s="170"/>
      <c r="I558" s="170"/>
      <c r="J558" s="170"/>
      <c r="K558" s="170"/>
      <c r="L558" s="170"/>
      <c r="M558" s="730"/>
      <c r="N558" s="730"/>
      <c r="O558" s="730"/>
      <c r="P558" s="731"/>
      <c r="Q558" s="731"/>
      <c r="R558" s="730"/>
      <c r="S558" s="730"/>
      <c r="T558" s="723"/>
      <c r="U558" s="724"/>
      <c r="V558" s="725"/>
      <c r="W558" s="725"/>
      <c r="X558" s="723"/>
      <c r="Y558" s="723"/>
      <c r="Z558" s="723"/>
      <c r="AA558" s="726"/>
      <c r="AB558" s="726"/>
      <c r="AC558" s="170"/>
      <c r="AD558" s="586"/>
      <c r="AE558" s="586"/>
      <c r="AF558" s="170"/>
      <c r="AG558" s="170"/>
      <c r="AH558" s="170"/>
      <c r="AI558" s="170"/>
      <c r="AJ558" s="170"/>
      <c r="AK558" s="170"/>
      <c r="AL558" s="170"/>
      <c r="AM558" s="170"/>
      <c r="AN558" s="170"/>
      <c r="AO558" s="170"/>
      <c r="AP558" s="170"/>
      <c r="AQ558" s="170"/>
      <c r="AR558" s="170"/>
      <c r="AS558" s="170"/>
      <c r="AT558" s="170"/>
      <c r="AU558" s="170"/>
      <c r="AV558" s="170"/>
      <c r="AW558" s="170"/>
      <c r="AX558" s="170"/>
    </row>
    <row r="559" spans="1:50" ht="15" x14ac:dyDescent="0.25">
      <c r="A559" s="170"/>
      <c r="B559" s="719"/>
      <c r="C559" s="170"/>
      <c r="D559" s="170"/>
      <c r="E559" s="170"/>
      <c r="F559" s="170"/>
      <c r="G559" s="721"/>
      <c r="H559" s="170"/>
      <c r="I559" s="170"/>
      <c r="J559" s="170"/>
      <c r="K559" s="170"/>
      <c r="L559" s="170"/>
      <c r="M559" s="730"/>
      <c r="N559" s="730"/>
      <c r="O559" s="730"/>
      <c r="P559" s="731"/>
      <c r="Q559" s="731"/>
      <c r="R559" s="730"/>
      <c r="S559" s="730"/>
      <c r="T559" s="723"/>
      <c r="U559" s="724"/>
      <c r="V559" s="725"/>
      <c r="W559" s="725"/>
      <c r="X559" s="723"/>
      <c r="Y559" s="723"/>
      <c r="Z559" s="723"/>
      <c r="AA559" s="726"/>
      <c r="AB559" s="726"/>
      <c r="AC559" s="170"/>
      <c r="AD559" s="586"/>
      <c r="AE559" s="586"/>
      <c r="AF559" s="170"/>
      <c r="AG559" s="170"/>
      <c r="AH559" s="170"/>
      <c r="AI559" s="170"/>
      <c r="AJ559" s="170"/>
      <c r="AK559" s="170"/>
      <c r="AL559" s="170"/>
      <c r="AM559" s="170"/>
      <c r="AN559" s="170"/>
      <c r="AO559" s="170"/>
      <c r="AP559" s="170"/>
      <c r="AQ559" s="170"/>
      <c r="AR559" s="170"/>
      <c r="AS559" s="170"/>
      <c r="AT559" s="170"/>
      <c r="AU559" s="170"/>
      <c r="AV559" s="170"/>
      <c r="AW559" s="170"/>
      <c r="AX559" s="170"/>
    </row>
    <row r="560" spans="1:50" ht="15" x14ac:dyDescent="0.25">
      <c r="A560" s="170"/>
      <c r="B560" s="719"/>
      <c r="C560" s="170"/>
      <c r="D560" s="170"/>
      <c r="E560" s="170"/>
      <c r="F560" s="170"/>
      <c r="G560" s="721"/>
      <c r="H560" s="170"/>
      <c r="I560" s="170"/>
      <c r="J560" s="170"/>
      <c r="K560" s="170"/>
      <c r="L560" s="170"/>
      <c r="M560" s="730"/>
      <c r="N560" s="730"/>
      <c r="O560" s="730"/>
      <c r="P560" s="731"/>
      <c r="Q560" s="731"/>
      <c r="R560" s="730"/>
      <c r="S560" s="730"/>
      <c r="T560" s="723"/>
      <c r="U560" s="724"/>
      <c r="V560" s="725"/>
      <c r="W560" s="725"/>
      <c r="X560" s="723"/>
      <c r="Y560" s="723"/>
      <c r="Z560" s="723"/>
      <c r="AA560" s="726"/>
      <c r="AB560" s="726"/>
      <c r="AC560" s="170"/>
      <c r="AD560" s="586"/>
      <c r="AE560" s="586"/>
      <c r="AF560" s="170"/>
      <c r="AG560" s="170"/>
      <c r="AH560" s="170"/>
      <c r="AI560" s="170"/>
      <c r="AJ560" s="170"/>
      <c r="AK560" s="170"/>
      <c r="AL560" s="170"/>
      <c r="AM560" s="170"/>
      <c r="AN560" s="170"/>
      <c r="AO560" s="170"/>
      <c r="AP560" s="170"/>
      <c r="AQ560" s="170"/>
      <c r="AR560" s="170"/>
      <c r="AS560" s="170"/>
      <c r="AT560" s="170"/>
      <c r="AU560" s="170"/>
      <c r="AV560" s="170"/>
      <c r="AW560" s="170"/>
      <c r="AX560" s="170"/>
    </row>
    <row r="561" spans="1:50" ht="15" x14ac:dyDescent="0.25">
      <c r="A561" s="170"/>
      <c r="B561" s="719"/>
      <c r="C561" s="170"/>
      <c r="D561" s="170"/>
      <c r="E561" s="170"/>
      <c r="F561" s="170"/>
      <c r="G561" s="721"/>
      <c r="H561" s="170"/>
      <c r="I561" s="170"/>
      <c r="J561" s="170"/>
      <c r="K561" s="170"/>
      <c r="L561" s="170"/>
      <c r="M561" s="730"/>
      <c r="N561" s="730"/>
      <c r="O561" s="730"/>
      <c r="P561" s="731"/>
      <c r="Q561" s="731"/>
      <c r="R561" s="730"/>
      <c r="S561" s="730"/>
      <c r="T561" s="723"/>
      <c r="U561" s="724"/>
      <c r="V561" s="725"/>
      <c r="W561" s="725"/>
      <c r="X561" s="723"/>
      <c r="Y561" s="723"/>
      <c r="Z561" s="723"/>
      <c r="AA561" s="726"/>
      <c r="AB561" s="726"/>
      <c r="AC561" s="170"/>
      <c r="AD561" s="586"/>
      <c r="AE561" s="586"/>
      <c r="AF561" s="170"/>
      <c r="AG561" s="170"/>
      <c r="AH561" s="170"/>
      <c r="AI561" s="170"/>
      <c r="AJ561" s="170"/>
      <c r="AK561" s="170"/>
      <c r="AL561" s="170"/>
      <c r="AM561" s="170"/>
      <c r="AN561" s="170"/>
      <c r="AO561" s="170"/>
      <c r="AP561" s="170"/>
      <c r="AQ561" s="170"/>
      <c r="AR561" s="170"/>
      <c r="AS561" s="170"/>
      <c r="AT561" s="170"/>
      <c r="AU561" s="170"/>
      <c r="AV561" s="170"/>
      <c r="AW561" s="170"/>
      <c r="AX561" s="170"/>
    </row>
    <row r="562" spans="1:50" ht="15" x14ac:dyDescent="0.25">
      <c r="A562" s="170"/>
      <c r="B562" s="719"/>
      <c r="C562" s="170"/>
      <c r="D562" s="170"/>
      <c r="E562" s="170"/>
      <c r="F562" s="170"/>
      <c r="G562" s="721"/>
      <c r="H562" s="170"/>
      <c r="I562" s="170"/>
      <c r="J562" s="170"/>
      <c r="K562" s="170"/>
      <c r="L562" s="170"/>
      <c r="M562" s="730"/>
      <c r="N562" s="730"/>
      <c r="O562" s="730"/>
      <c r="P562" s="731"/>
      <c r="Q562" s="731"/>
      <c r="R562" s="730"/>
      <c r="S562" s="730"/>
      <c r="T562" s="723"/>
      <c r="U562" s="724"/>
      <c r="V562" s="725"/>
      <c r="W562" s="725"/>
      <c r="X562" s="723"/>
      <c r="Y562" s="723"/>
      <c r="Z562" s="723"/>
      <c r="AA562" s="726"/>
      <c r="AB562" s="726"/>
      <c r="AC562" s="170"/>
      <c r="AD562" s="586"/>
      <c r="AE562" s="586"/>
      <c r="AF562" s="170"/>
      <c r="AG562" s="170"/>
      <c r="AH562" s="170"/>
      <c r="AI562" s="170"/>
      <c r="AJ562" s="170"/>
      <c r="AK562" s="170"/>
      <c r="AL562" s="170"/>
      <c r="AM562" s="170"/>
      <c r="AN562" s="170"/>
      <c r="AO562" s="170"/>
      <c r="AP562" s="170"/>
      <c r="AQ562" s="170"/>
      <c r="AR562" s="170"/>
      <c r="AS562" s="170"/>
      <c r="AT562" s="170"/>
      <c r="AU562" s="170"/>
      <c r="AV562" s="170"/>
      <c r="AW562" s="170"/>
      <c r="AX562" s="170"/>
    </row>
    <row r="563" spans="1:50" ht="15" x14ac:dyDescent="0.25">
      <c r="A563" s="170"/>
      <c r="B563" s="719"/>
      <c r="C563" s="170"/>
      <c r="D563" s="170"/>
      <c r="E563" s="170"/>
      <c r="F563" s="170"/>
      <c r="G563" s="721"/>
      <c r="H563" s="170"/>
      <c r="I563" s="170"/>
      <c r="J563" s="170"/>
      <c r="K563" s="170"/>
      <c r="L563" s="170"/>
      <c r="M563" s="730"/>
      <c r="N563" s="730"/>
      <c r="O563" s="730"/>
      <c r="P563" s="731"/>
      <c r="Q563" s="731"/>
      <c r="R563" s="730"/>
      <c r="S563" s="730"/>
      <c r="T563" s="723"/>
      <c r="U563" s="724"/>
      <c r="V563" s="725"/>
      <c r="W563" s="725"/>
      <c r="X563" s="723"/>
      <c r="Y563" s="723"/>
      <c r="Z563" s="723"/>
      <c r="AA563" s="726"/>
      <c r="AB563" s="726"/>
      <c r="AC563" s="170"/>
      <c r="AD563" s="586"/>
      <c r="AE563" s="586"/>
      <c r="AF563" s="170"/>
      <c r="AG563" s="170"/>
      <c r="AH563" s="170"/>
      <c r="AI563" s="170"/>
      <c r="AJ563" s="170"/>
      <c r="AK563" s="170"/>
      <c r="AL563" s="170"/>
      <c r="AM563" s="170"/>
      <c r="AN563" s="170"/>
      <c r="AO563" s="170"/>
      <c r="AP563" s="170"/>
      <c r="AQ563" s="170"/>
      <c r="AR563" s="170"/>
      <c r="AS563" s="170"/>
      <c r="AT563" s="170"/>
      <c r="AU563" s="170"/>
      <c r="AV563" s="170"/>
      <c r="AW563" s="170"/>
      <c r="AX563" s="170"/>
    </row>
    <row r="564" spans="1:50" ht="15" x14ac:dyDescent="0.25">
      <c r="A564" s="170"/>
      <c r="B564" s="719"/>
      <c r="C564" s="170"/>
      <c r="D564" s="170"/>
      <c r="E564" s="170"/>
      <c r="F564" s="170"/>
      <c r="G564" s="721"/>
      <c r="H564" s="170"/>
      <c r="I564" s="170"/>
      <c r="J564" s="170"/>
      <c r="K564" s="170"/>
      <c r="L564" s="170"/>
      <c r="M564" s="730"/>
      <c r="N564" s="730"/>
      <c r="O564" s="730"/>
      <c r="P564" s="731"/>
      <c r="Q564" s="731"/>
      <c r="R564" s="730"/>
      <c r="S564" s="730"/>
      <c r="T564" s="723"/>
      <c r="U564" s="724"/>
      <c r="V564" s="725"/>
      <c r="W564" s="725"/>
      <c r="X564" s="723"/>
      <c r="Y564" s="723"/>
      <c r="Z564" s="723"/>
      <c r="AA564" s="726"/>
      <c r="AB564" s="726"/>
      <c r="AC564" s="170"/>
      <c r="AD564" s="586"/>
      <c r="AE564" s="586"/>
      <c r="AF564" s="170"/>
      <c r="AG564" s="170"/>
      <c r="AH564" s="170"/>
      <c r="AI564" s="170"/>
      <c r="AJ564" s="170"/>
      <c r="AK564" s="170"/>
      <c r="AL564" s="170"/>
      <c r="AM564" s="170"/>
      <c r="AN564" s="170"/>
      <c r="AO564" s="170"/>
      <c r="AP564" s="170"/>
      <c r="AQ564" s="170"/>
      <c r="AR564" s="170"/>
      <c r="AS564" s="170"/>
      <c r="AT564" s="170"/>
      <c r="AU564" s="170"/>
      <c r="AV564" s="170"/>
      <c r="AW564" s="170"/>
      <c r="AX564" s="170"/>
    </row>
    <row r="565" spans="1:50" ht="15" x14ac:dyDescent="0.25">
      <c r="A565" s="170"/>
      <c r="B565" s="719"/>
      <c r="C565" s="170"/>
      <c r="D565" s="170"/>
      <c r="E565" s="170"/>
      <c r="F565" s="170"/>
      <c r="G565" s="721"/>
      <c r="H565" s="170"/>
      <c r="I565" s="170"/>
      <c r="J565" s="170"/>
      <c r="K565" s="170"/>
      <c r="L565" s="170"/>
      <c r="M565" s="730"/>
      <c r="N565" s="730"/>
      <c r="O565" s="730"/>
      <c r="P565" s="731"/>
      <c r="Q565" s="731"/>
      <c r="R565" s="730"/>
      <c r="S565" s="730"/>
      <c r="T565" s="723"/>
      <c r="U565" s="724"/>
      <c r="V565" s="725"/>
      <c r="W565" s="725"/>
      <c r="X565" s="723"/>
      <c r="Y565" s="723"/>
      <c r="Z565" s="723"/>
      <c r="AA565" s="726"/>
      <c r="AB565" s="726"/>
      <c r="AC565" s="170"/>
      <c r="AD565" s="586"/>
      <c r="AE565" s="586"/>
      <c r="AF565" s="170"/>
      <c r="AG565" s="170"/>
      <c r="AH565" s="170"/>
      <c r="AI565" s="170"/>
      <c r="AJ565" s="170"/>
      <c r="AK565" s="170"/>
      <c r="AL565" s="170"/>
      <c r="AM565" s="170"/>
      <c r="AN565" s="170"/>
      <c r="AO565" s="170"/>
      <c r="AP565" s="170"/>
      <c r="AQ565" s="170"/>
      <c r="AR565" s="170"/>
      <c r="AS565" s="170"/>
      <c r="AT565" s="170"/>
      <c r="AU565" s="170"/>
      <c r="AV565" s="170"/>
      <c r="AW565" s="170"/>
      <c r="AX565" s="170"/>
    </row>
    <row r="566" spans="1:50" ht="15" x14ac:dyDescent="0.25">
      <c r="A566" s="170"/>
      <c r="B566" s="719"/>
      <c r="C566" s="170"/>
      <c r="D566" s="170"/>
      <c r="E566" s="170"/>
      <c r="F566" s="170"/>
      <c r="G566" s="721"/>
      <c r="H566" s="170"/>
      <c r="I566" s="170"/>
      <c r="J566" s="170"/>
      <c r="K566" s="170"/>
      <c r="L566" s="170"/>
      <c r="M566" s="730"/>
      <c r="N566" s="730"/>
      <c r="O566" s="730"/>
      <c r="P566" s="731"/>
      <c r="Q566" s="731"/>
      <c r="R566" s="730"/>
      <c r="S566" s="730"/>
      <c r="T566" s="723"/>
      <c r="U566" s="724"/>
      <c r="V566" s="725"/>
      <c r="W566" s="725"/>
      <c r="X566" s="723"/>
      <c r="Y566" s="723"/>
      <c r="Z566" s="723"/>
      <c r="AA566" s="726"/>
      <c r="AB566" s="726"/>
      <c r="AC566" s="170"/>
      <c r="AD566" s="586"/>
      <c r="AE566" s="586"/>
      <c r="AF566" s="170"/>
      <c r="AG566" s="170"/>
      <c r="AH566" s="170"/>
      <c r="AI566" s="170"/>
      <c r="AJ566" s="170"/>
      <c r="AK566" s="170"/>
      <c r="AL566" s="170"/>
      <c r="AM566" s="170"/>
      <c r="AN566" s="170"/>
      <c r="AO566" s="170"/>
      <c r="AP566" s="170"/>
      <c r="AQ566" s="170"/>
      <c r="AR566" s="170"/>
      <c r="AS566" s="170"/>
      <c r="AT566" s="170"/>
      <c r="AU566" s="170"/>
      <c r="AV566" s="170"/>
      <c r="AW566" s="170"/>
      <c r="AX566" s="170"/>
    </row>
    <row r="567" spans="1:50" ht="15" x14ac:dyDescent="0.25">
      <c r="A567" s="170"/>
      <c r="B567" s="719"/>
      <c r="C567" s="170"/>
      <c r="D567" s="170"/>
      <c r="E567" s="170"/>
      <c r="F567" s="170"/>
      <c r="G567" s="721"/>
      <c r="H567" s="170"/>
      <c r="I567" s="170"/>
      <c r="J567" s="170"/>
      <c r="K567" s="170"/>
      <c r="L567" s="170"/>
      <c r="M567" s="730"/>
      <c r="N567" s="730"/>
      <c r="O567" s="730"/>
      <c r="P567" s="731"/>
      <c r="Q567" s="731"/>
      <c r="R567" s="730"/>
      <c r="S567" s="730"/>
      <c r="T567" s="723"/>
      <c r="U567" s="724"/>
      <c r="V567" s="725"/>
      <c r="W567" s="725"/>
      <c r="X567" s="723"/>
      <c r="Y567" s="723"/>
      <c r="Z567" s="723"/>
      <c r="AA567" s="726"/>
      <c r="AB567" s="726"/>
      <c r="AC567" s="170"/>
      <c r="AD567" s="586"/>
      <c r="AE567" s="586"/>
      <c r="AF567" s="170"/>
      <c r="AG567" s="170"/>
      <c r="AH567" s="170"/>
      <c r="AI567" s="170"/>
      <c r="AJ567" s="170"/>
      <c r="AK567" s="170"/>
      <c r="AL567" s="170"/>
      <c r="AM567" s="170"/>
      <c r="AN567" s="170"/>
      <c r="AO567" s="170"/>
      <c r="AP567" s="170"/>
      <c r="AQ567" s="170"/>
      <c r="AR567" s="170"/>
      <c r="AS567" s="170"/>
      <c r="AT567" s="170"/>
      <c r="AU567" s="170"/>
      <c r="AV567" s="170"/>
      <c r="AW567" s="170"/>
      <c r="AX567" s="170"/>
    </row>
    <row r="568" spans="1:50" ht="15" x14ac:dyDescent="0.25">
      <c r="A568" s="170"/>
      <c r="B568" s="719"/>
      <c r="C568" s="170"/>
      <c r="D568" s="170"/>
      <c r="E568" s="170"/>
      <c r="F568" s="170"/>
      <c r="G568" s="721"/>
      <c r="H568" s="170"/>
      <c r="I568" s="170"/>
      <c r="J568" s="170"/>
      <c r="K568" s="170"/>
      <c r="L568" s="170"/>
      <c r="M568" s="730"/>
      <c r="N568" s="730"/>
      <c r="O568" s="730"/>
      <c r="P568" s="731"/>
      <c r="Q568" s="731"/>
      <c r="R568" s="730"/>
      <c r="S568" s="730"/>
      <c r="T568" s="723"/>
      <c r="U568" s="724"/>
      <c r="V568" s="725"/>
      <c r="W568" s="725"/>
      <c r="X568" s="723"/>
      <c r="Y568" s="723"/>
      <c r="Z568" s="723"/>
      <c r="AA568" s="726"/>
      <c r="AB568" s="726"/>
      <c r="AC568" s="170"/>
      <c r="AD568" s="586"/>
      <c r="AE568" s="586"/>
      <c r="AF568" s="170"/>
      <c r="AG568" s="170"/>
      <c r="AH568" s="170"/>
      <c r="AI568" s="170"/>
      <c r="AJ568" s="170"/>
      <c r="AK568" s="170"/>
      <c r="AL568" s="170"/>
      <c r="AM568" s="170"/>
      <c r="AN568" s="170"/>
      <c r="AO568" s="170"/>
      <c r="AP568" s="170"/>
      <c r="AQ568" s="170"/>
      <c r="AR568" s="170"/>
      <c r="AS568" s="170"/>
      <c r="AT568" s="170"/>
      <c r="AU568" s="170"/>
      <c r="AV568" s="170"/>
      <c r="AW568" s="170"/>
      <c r="AX568" s="170"/>
    </row>
    <row r="569" spans="1:50" ht="15" x14ac:dyDescent="0.25">
      <c r="A569" s="170"/>
      <c r="B569" s="719"/>
      <c r="C569" s="170"/>
      <c r="D569" s="170"/>
      <c r="E569" s="170"/>
      <c r="F569" s="170"/>
      <c r="G569" s="721"/>
      <c r="H569" s="170"/>
      <c r="I569" s="170"/>
      <c r="J569" s="170"/>
      <c r="K569" s="170"/>
      <c r="L569" s="170"/>
      <c r="M569" s="730"/>
      <c r="N569" s="730"/>
      <c r="O569" s="730"/>
      <c r="P569" s="731"/>
      <c r="Q569" s="731"/>
      <c r="R569" s="730"/>
      <c r="S569" s="730"/>
      <c r="T569" s="723"/>
      <c r="U569" s="724"/>
      <c r="V569" s="725"/>
      <c r="W569" s="725"/>
      <c r="X569" s="723"/>
      <c r="Y569" s="723"/>
      <c r="Z569" s="723"/>
      <c r="AA569" s="726"/>
      <c r="AB569" s="726"/>
      <c r="AC569" s="170"/>
      <c r="AD569" s="586"/>
      <c r="AE569" s="586"/>
      <c r="AF569" s="170"/>
      <c r="AG569" s="170"/>
      <c r="AH569" s="170"/>
      <c r="AI569" s="170"/>
      <c r="AJ569" s="170"/>
      <c r="AK569" s="170"/>
      <c r="AL569" s="170"/>
      <c r="AM569" s="170"/>
      <c r="AN569" s="170"/>
      <c r="AO569" s="170"/>
      <c r="AP569" s="170"/>
      <c r="AQ569" s="170"/>
      <c r="AR569" s="170"/>
      <c r="AS569" s="170"/>
      <c r="AT569" s="170"/>
      <c r="AU569" s="170"/>
      <c r="AV569" s="170"/>
      <c r="AW569" s="170"/>
      <c r="AX569" s="170"/>
    </row>
    <row r="570" spans="1:50" ht="15" x14ac:dyDescent="0.25">
      <c r="A570" s="170"/>
      <c r="B570" s="719"/>
      <c r="C570" s="170"/>
      <c r="D570" s="170"/>
      <c r="E570" s="170"/>
      <c r="F570" s="170"/>
      <c r="G570" s="721"/>
      <c r="H570" s="170"/>
      <c r="I570" s="170"/>
      <c r="J570" s="170"/>
      <c r="K570" s="170"/>
      <c r="L570" s="170"/>
      <c r="M570" s="730"/>
      <c r="N570" s="730"/>
      <c r="O570" s="730"/>
      <c r="P570" s="731"/>
      <c r="Q570" s="731"/>
      <c r="R570" s="730"/>
      <c r="S570" s="730"/>
      <c r="T570" s="723"/>
      <c r="U570" s="724"/>
      <c r="V570" s="725"/>
      <c r="W570" s="725"/>
      <c r="X570" s="723"/>
      <c r="Y570" s="723"/>
      <c r="Z570" s="723"/>
      <c r="AA570" s="726"/>
      <c r="AB570" s="726"/>
      <c r="AC570" s="170"/>
      <c r="AD570" s="586"/>
      <c r="AE570" s="586"/>
      <c r="AF570" s="170"/>
      <c r="AG570" s="170"/>
      <c r="AH570" s="170"/>
      <c r="AI570" s="170"/>
      <c r="AJ570" s="170"/>
      <c r="AK570" s="170"/>
      <c r="AL570" s="170"/>
      <c r="AM570" s="170"/>
      <c r="AN570" s="170"/>
      <c r="AO570" s="170"/>
      <c r="AP570" s="170"/>
      <c r="AQ570" s="170"/>
      <c r="AR570" s="170"/>
      <c r="AS570" s="170"/>
      <c r="AT570" s="170"/>
      <c r="AU570" s="170"/>
      <c r="AV570" s="170"/>
      <c r="AW570" s="170"/>
      <c r="AX570" s="170"/>
    </row>
    <row r="571" spans="1:50" ht="15" x14ac:dyDescent="0.25">
      <c r="A571" s="170"/>
      <c r="B571" s="719"/>
      <c r="C571" s="170"/>
      <c r="D571" s="170"/>
      <c r="E571" s="170"/>
      <c r="F571" s="170"/>
      <c r="G571" s="721"/>
      <c r="H571" s="170"/>
      <c r="I571" s="170"/>
      <c r="J571" s="170"/>
      <c r="K571" s="170"/>
      <c r="L571" s="170"/>
      <c r="M571" s="730"/>
      <c r="N571" s="730"/>
      <c r="O571" s="730"/>
      <c r="P571" s="731"/>
      <c r="Q571" s="731"/>
      <c r="R571" s="730"/>
      <c r="S571" s="730"/>
      <c r="T571" s="723"/>
      <c r="U571" s="724"/>
      <c r="V571" s="725"/>
      <c r="W571" s="725"/>
      <c r="X571" s="723"/>
      <c r="Y571" s="723"/>
      <c r="Z571" s="723"/>
      <c r="AA571" s="726"/>
      <c r="AB571" s="726"/>
      <c r="AC571" s="170"/>
      <c r="AD571" s="586"/>
      <c r="AE571" s="586"/>
      <c r="AF571" s="170"/>
      <c r="AG571" s="170"/>
      <c r="AH571" s="170"/>
      <c r="AI571" s="170"/>
      <c r="AJ571" s="170"/>
      <c r="AK571" s="170"/>
      <c r="AL571" s="170"/>
      <c r="AM571" s="170"/>
      <c r="AN571" s="170"/>
      <c r="AO571" s="170"/>
      <c r="AP571" s="170"/>
      <c r="AQ571" s="170"/>
      <c r="AR571" s="170"/>
      <c r="AS571" s="170"/>
      <c r="AT571" s="170"/>
      <c r="AU571" s="170"/>
      <c r="AV571" s="170"/>
      <c r="AW571" s="170"/>
      <c r="AX571" s="170"/>
    </row>
    <row r="572" spans="1:50" ht="15" x14ac:dyDescent="0.25">
      <c r="A572" s="170"/>
      <c r="B572" s="719"/>
      <c r="C572" s="170"/>
      <c r="D572" s="170"/>
      <c r="E572" s="170"/>
      <c r="F572" s="170"/>
      <c r="G572" s="721"/>
      <c r="H572" s="170"/>
      <c r="I572" s="170"/>
      <c r="J572" s="170"/>
      <c r="K572" s="170"/>
      <c r="L572" s="170"/>
      <c r="M572" s="730"/>
      <c r="N572" s="730"/>
      <c r="O572" s="730"/>
      <c r="P572" s="731"/>
      <c r="Q572" s="731"/>
      <c r="R572" s="730"/>
      <c r="S572" s="730"/>
      <c r="T572" s="723"/>
      <c r="U572" s="724"/>
      <c r="V572" s="725"/>
      <c r="W572" s="725"/>
      <c r="X572" s="723"/>
      <c r="Y572" s="723"/>
      <c r="Z572" s="723"/>
      <c r="AA572" s="726"/>
      <c r="AB572" s="726"/>
      <c r="AC572" s="170"/>
      <c r="AD572" s="586"/>
      <c r="AE572" s="586"/>
      <c r="AF572" s="170"/>
      <c r="AG572" s="170"/>
      <c r="AH572" s="170"/>
      <c r="AI572" s="170"/>
      <c r="AJ572" s="170"/>
      <c r="AK572" s="170"/>
      <c r="AL572" s="170"/>
      <c r="AM572" s="170"/>
      <c r="AN572" s="170"/>
      <c r="AO572" s="170"/>
      <c r="AP572" s="170"/>
      <c r="AQ572" s="170"/>
      <c r="AR572" s="170"/>
      <c r="AS572" s="170"/>
      <c r="AT572" s="170"/>
      <c r="AU572" s="170"/>
      <c r="AV572" s="170"/>
      <c r="AW572" s="170"/>
      <c r="AX572" s="170"/>
    </row>
    <row r="573" spans="1:50" ht="15" x14ac:dyDescent="0.25">
      <c r="A573" s="170"/>
      <c r="B573" s="719"/>
      <c r="C573" s="170"/>
      <c r="D573" s="170"/>
      <c r="E573" s="170"/>
      <c r="F573" s="170"/>
      <c r="G573" s="721"/>
      <c r="H573" s="170"/>
      <c r="I573" s="170"/>
      <c r="J573" s="170"/>
      <c r="K573" s="170"/>
      <c r="L573" s="170"/>
      <c r="M573" s="730"/>
      <c r="N573" s="730"/>
      <c r="O573" s="730"/>
      <c r="P573" s="731"/>
      <c r="Q573" s="731"/>
      <c r="R573" s="730"/>
      <c r="S573" s="730"/>
      <c r="T573" s="723"/>
      <c r="U573" s="724"/>
      <c r="V573" s="725"/>
      <c r="W573" s="725"/>
      <c r="X573" s="723"/>
      <c r="Y573" s="723"/>
      <c r="Z573" s="723"/>
      <c r="AA573" s="726"/>
      <c r="AB573" s="726"/>
      <c r="AC573" s="170"/>
      <c r="AD573" s="586"/>
      <c r="AE573" s="586"/>
      <c r="AF573" s="170"/>
      <c r="AG573" s="170"/>
      <c r="AH573" s="170"/>
      <c r="AI573" s="170"/>
      <c r="AJ573" s="170"/>
      <c r="AK573" s="170"/>
      <c r="AL573" s="170"/>
      <c r="AM573" s="170"/>
      <c r="AN573" s="170"/>
      <c r="AO573" s="170"/>
      <c r="AP573" s="170"/>
      <c r="AQ573" s="170"/>
      <c r="AR573" s="170"/>
      <c r="AS573" s="170"/>
      <c r="AT573" s="170"/>
      <c r="AU573" s="170"/>
      <c r="AV573" s="170"/>
      <c r="AW573" s="170"/>
      <c r="AX573" s="170"/>
    </row>
    <row r="574" spans="1:50" ht="15" x14ac:dyDescent="0.25">
      <c r="A574" s="170"/>
      <c r="B574" s="719"/>
      <c r="C574" s="170"/>
      <c r="D574" s="170"/>
      <c r="E574" s="170"/>
      <c r="F574" s="170"/>
      <c r="G574" s="721"/>
      <c r="H574" s="170"/>
      <c r="I574" s="170"/>
      <c r="J574" s="170"/>
      <c r="K574" s="170"/>
      <c r="L574" s="170"/>
      <c r="M574" s="730"/>
      <c r="N574" s="730"/>
      <c r="O574" s="730"/>
      <c r="P574" s="731"/>
      <c r="Q574" s="731"/>
      <c r="R574" s="730"/>
      <c r="S574" s="730"/>
      <c r="T574" s="723"/>
      <c r="U574" s="724"/>
      <c r="V574" s="725"/>
      <c r="W574" s="725"/>
      <c r="X574" s="723"/>
      <c r="Y574" s="723"/>
      <c r="Z574" s="723"/>
      <c r="AA574" s="726"/>
      <c r="AB574" s="726"/>
      <c r="AC574" s="170"/>
      <c r="AD574" s="586"/>
      <c r="AE574" s="586"/>
      <c r="AF574" s="170"/>
      <c r="AG574" s="170"/>
      <c r="AH574" s="170"/>
      <c r="AI574" s="170"/>
      <c r="AJ574" s="170"/>
      <c r="AK574" s="170"/>
      <c r="AL574" s="170"/>
      <c r="AM574" s="170"/>
      <c r="AN574" s="170"/>
      <c r="AO574" s="170"/>
      <c r="AP574" s="170"/>
      <c r="AQ574" s="170"/>
      <c r="AR574" s="170"/>
      <c r="AS574" s="170"/>
      <c r="AT574" s="170"/>
      <c r="AU574" s="170"/>
      <c r="AV574" s="170"/>
      <c r="AW574" s="170"/>
      <c r="AX574" s="170"/>
    </row>
    <row r="575" spans="1:50" ht="15" x14ac:dyDescent="0.25">
      <c r="A575" s="170"/>
      <c r="B575" s="719"/>
      <c r="C575" s="170"/>
      <c r="D575" s="170"/>
      <c r="E575" s="170"/>
      <c r="F575" s="170"/>
      <c r="G575" s="721"/>
      <c r="H575" s="170"/>
      <c r="I575" s="170"/>
      <c r="J575" s="170"/>
      <c r="K575" s="170"/>
      <c r="L575" s="170"/>
      <c r="M575" s="730"/>
      <c r="N575" s="730"/>
      <c r="O575" s="730"/>
      <c r="P575" s="731"/>
      <c r="Q575" s="731"/>
      <c r="R575" s="730"/>
      <c r="S575" s="730"/>
      <c r="T575" s="723"/>
      <c r="U575" s="724"/>
      <c r="V575" s="725"/>
      <c r="W575" s="725"/>
      <c r="X575" s="723"/>
      <c r="Y575" s="723"/>
      <c r="Z575" s="723"/>
      <c r="AA575" s="726"/>
      <c r="AB575" s="726"/>
      <c r="AC575" s="170"/>
      <c r="AD575" s="586"/>
      <c r="AE575" s="586"/>
      <c r="AF575" s="170"/>
      <c r="AG575" s="170"/>
      <c r="AH575" s="170"/>
      <c r="AI575" s="170"/>
      <c r="AJ575" s="170"/>
      <c r="AK575" s="170"/>
      <c r="AL575" s="170"/>
      <c r="AM575" s="170"/>
      <c r="AN575" s="170"/>
      <c r="AO575" s="170"/>
      <c r="AP575" s="170"/>
      <c r="AQ575" s="170"/>
      <c r="AR575" s="170"/>
      <c r="AS575" s="170"/>
      <c r="AT575" s="170"/>
      <c r="AU575" s="170"/>
      <c r="AV575" s="170"/>
      <c r="AW575" s="170"/>
      <c r="AX575" s="170"/>
    </row>
    <row r="576" spans="1:50" ht="15" x14ac:dyDescent="0.25">
      <c r="A576" s="170"/>
      <c r="B576" s="719"/>
      <c r="C576" s="170"/>
      <c r="D576" s="170"/>
      <c r="E576" s="170"/>
      <c r="F576" s="170"/>
      <c r="G576" s="721"/>
      <c r="H576" s="170"/>
      <c r="I576" s="170"/>
      <c r="J576" s="170"/>
      <c r="K576" s="170"/>
      <c r="L576" s="170"/>
      <c r="M576" s="730"/>
      <c r="N576" s="730"/>
      <c r="O576" s="730"/>
      <c r="P576" s="731"/>
      <c r="Q576" s="731"/>
      <c r="R576" s="730"/>
      <c r="S576" s="730"/>
      <c r="T576" s="723"/>
      <c r="U576" s="724"/>
      <c r="V576" s="725"/>
      <c r="W576" s="725"/>
      <c r="X576" s="723"/>
      <c r="Y576" s="723"/>
      <c r="Z576" s="723"/>
      <c r="AA576" s="726"/>
      <c r="AB576" s="726"/>
      <c r="AC576" s="170"/>
      <c r="AD576" s="586"/>
      <c r="AE576" s="586"/>
      <c r="AF576" s="170"/>
      <c r="AG576" s="170"/>
      <c r="AH576" s="170"/>
      <c r="AI576" s="170"/>
      <c r="AJ576" s="170"/>
      <c r="AK576" s="170"/>
      <c r="AL576" s="170"/>
      <c r="AM576" s="170"/>
      <c r="AN576" s="170"/>
      <c r="AO576" s="170"/>
      <c r="AP576" s="170"/>
      <c r="AQ576" s="170"/>
      <c r="AR576" s="170"/>
      <c r="AS576" s="170"/>
      <c r="AT576" s="170"/>
      <c r="AU576" s="170"/>
      <c r="AV576" s="170"/>
      <c r="AW576" s="170"/>
      <c r="AX576" s="170"/>
    </row>
    <row r="577" spans="1:50" ht="15" x14ac:dyDescent="0.25">
      <c r="A577" s="170"/>
      <c r="B577" s="719"/>
      <c r="C577" s="170"/>
      <c r="D577" s="170"/>
      <c r="E577" s="170"/>
      <c r="F577" s="170"/>
      <c r="G577" s="721"/>
      <c r="H577" s="170"/>
      <c r="I577" s="170"/>
      <c r="J577" s="170"/>
      <c r="K577" s="170"/>
      <c r="L577" s="170"/>
      <c r="M577" s="730"/>
      <c r="N577" s="730"/>
      <c r="O577" s="730"/>
      <c r="P577" s="731"/>
      <c r="Q577" s="731"/>
      <c r="R577" s="730"/>
      <c r="S577" s="730"/>
      <c r="T577" s="723"/>
      <c r="U577" s="724"/>
      <c r="V577" s="725"/>
      <c r="W577" s="725"/>
      <c r="X577" s="723"/>
      <c r="Y577" s="723"/>
      <c r="Z577" s="723"/>
      <c r="AA577" s="726"/>
      <c r="AB577" s="726"/>
      <c r="AC577" s="170"/>
      <c r="AD577" s="586"/>
      <c r="AE577" s="586"/>
      <c r="AF577" s="170"/>
      <c r="AG577" s="170"/>
      <c r="AH577" s="170"/>
      <c r="AI577" s="170"/>
      <c r="AJ577" s="170"/>
      <c r="AK577" s="170"/>
      <c r="AL577" s="170"/>
      <c r="AM577" s="170"/>
      <c r="AN577" s="170"/>
      <c r="AO577" s="170"/>
      <c r="AP577" s="170"/>
      <c r="AQ577" s="170"/>
      <c r="AR577" s="170"/>
      <c r="AS577" s="170"/>
      <c r="AT577" s="170"/>
      <c r="AU577" s="170"/>
      <c r="AV577" s="170"/>
      <c r="AW577" s="170"/>
      <c r="AX577" s="170"/>
    </row>
    <row r="578" spans="1:50" ht="15" x14ac:dyDescent="0.25">
      <c r="A578" s="170"/>
      <c r="B578" s="719"/>
      <c r="C578" s="170"/>
      <c r="D578" s="170"/>
      <c r="E578" s="170"/>
      <c r="F578" s="170"/>
      <c r="G578" s="721"/>
      <c r="H578" s="170"/>
      <c r="I578" s="170"/>
      <c r="J578" s="170"/>
      <c r="K578" s="170"/>
      <c r="L578" s="170"/>
      <c r="M578" s="730"/>
      <c r="N578" s="730"/>
      <c r="O578" s="730"/>
      <c r="P578" s="731"/>
      <c r="Q578" s="731"/>
      <c r="R578" s="730"/>
      <c r="S578" s="730"/>
      <c r="T578" s="723"/>
      <c r="U578" s="724"/>
      <c r="V578" s="725"/>
      <c r="W578" s="725"/>
      <c r="X578" s="723"/>
      <c r="Y578" s="723"/>
      <c r="Z578" s="723"/>
      <c r="AA578" s="726"/>
      <c r="AB578" s="726"/>
      <c r="AC578" s="170"/>
      <c r="AD578" s="586"/>
      <c r="AE578" s="586"/>
      <c r="AF578" s="170"/>
      <c r="AG578" s="170"/>
      <c r="AH578" s="170"/>
      <c r="AI578" s="170"/>
      <c r="AJ578" s="170"/>
      <c r="AK578" s="170"/>
      <c r="AL578" s="170"/>
      <c r="AM578" s="170"/>
      <c r="AN578" s="170"/>
      <c r="AO578" s="170"/>
      <c r="AP578" s="170"/>
      <c r="AQ578" s="170"/>
      <c r="AR578" s="170"/>
      <c r="AS578" s="170"/>
      <c r="AT578" s="170"/>
      <c r="AU578" s="170"/>
      <c r="AV578" s="170"/>
      <c r="AW578" s="170"/>
      <c r="AX578" s="170"/>
    </row>
    <row r="579" spans="1:50" ht="15" x14ac:dyDescent="0.25">
      <c r="A579" s="170"/>
      <c r="B579" s="719"/>
      <c r="C579" s="170"/>
      <c r="D579" s="170"/>
      <c r="E579" s="170"/>
      <c r="F579" s="170"/>
      <c r="G579" s="721"/>
      <c r="H579" s="170"/>
      <c r="I579" s="170"/>
      <c r="J579" s="170"/>
      <c r="K579" s="170"/>
      <c r="L579" s="170"/>
      <c r="M579" s="730"/>
      <c r="N579" s="730"/>
      <c r="O579" s="730"/>
      <c r="P579" s="731"/>
      <c r="Q579" s="731"/>
      <c r="R579" s="730"/>
      <c r="S579" s="730"/>
      <c r="T579" s="723"/>
      <c r="U579" s="724"/>
      <c r="V579" s="725"/>
      <c r="W579" s="725"/>
      <c r="X579" s="723"/>
      <c r="Y579" s="723"/>
      <c r="Z579" s="723"/>
      <c r="AA579" s="726"/>
      <c r="AB579" s="726"/>
      <c r="AC579" s="170"/>
      <c r="AD579" s="586"/>
      <c r="AE579" s="586"/>
      <c r="AF579" s="170"/>
      <c r="AG579" s="170"/>
      <c r="AH579" s="170"/>
      <c r="AI579" s="170"/>
      <c r="AJ579" s="170"/>
      <c r="AK579" s="170"/>
      <c r="AL579" s="170"/>
      <c r="AM579" s="170"/>
      <c r="AN579" s="170"/>
      <c r="AO579" s="170"/>
      <c r="AP579" s="170"/>
      <c r="AQ579" s="170"/>
      <c r="AR579" s="170"/>
      <c r="AS579" s="170"/>
      <c r="AT579" s="170"/>
      <c r="AU579" s="170"/>
      <c r="AV579" s="170"/>
      <c r="AW579" s="170"/>
      <c r="AX579" s="170"/>
    </row>
    <row r="580" spans="1:50" ht="15" x14ac:dyDescent="0.25">
      <c r="A580" s="170"/>
      <c r="B580" s="719"/>
      <c r="C580" s="170"/>
      <c r="D580" s="170"/>
      <c r="E580" s="170"/>
      <c r="F580" s="170"/>
      <c r="G580" s="721"/>
      <c r="H580" s="170"/>
      <c r="I580" s="170"/>
      <c r="J580" s="170"/>
      <c r="K580" s="170"/>
      <c r="L580" s="170"/>
      <c r="M580" s="730"/>
      <c r="N580" s="730"/>
      <c r="O580" s="730"/>
      <c r="P580" s="731"/>
      <c r="Q580" s="731"/>
      <c r="R580" s="730"/>
      <c r="S580" s="730"/>
      <c r="T580" s="723"/>
      <c r="U580" s="724"/>
      <c r="V580" s="725"/>
      <c r="W580" s="725"/>
      <c r="X580" s="723"/>
      <c r="Y580" s="723"/>
      <c r="Z580" s="723"/>
      <c r="AA580" s="726"/>
      <c r="AB580" s="726"/>
      <c r="AC580" s="170"/>
      <c r="AD580" s="586"/>
      <c r="AE580" s="586"/>
      <c r="AF580" s="170"/>
      <c r="AG580" s="170"/>
      <c r="AH580" s="170"/>
      <c r="AI580" s="170"/>
      <c r="AJ580" s="170"/>
      <c r="AK580" s="170"/>
      <c r="AL580" s="170"/>
      <c r="AM580" s="170"/>
      <c r="AN580" s="170"/>
      <c r="AO580" s="170"/>
      <c r="AP580" s="170"/>
      <c r="AQ580" s="170"/>
      <c r="AR580" s="170"/>
      <c r="AS580" s="170"/>
      <c r="AT580" s="170"/>
      <c r="AU580" s="170"/>
      <c r="AV580" s="170"/>
      <c r="AW580" s="170"/>
      <c r="AX580" s="170"/>
    </row>
    <row r="581" spans="1:50" ht="15" x14ac:dyDescent="0.25">
      <c r="A581" s="170"/>
      <c r="B581" s="719"/>
      <c r="C581" s="170"/>
      <c r="D581" s="170"/>
      <c r="E581" s="170"/>
      <c r="F581" s="170"/>
      <c r="G581" s="721"/>
      <c r="H581" s="170"/>
      <c r="I581" s="170"/>
      <c r="J581" s="170"/>
      <c r="K581" s="170"/>
      <c r="L581" s="170"/>
      <c r="M581" s="730"/>
      <c r="N581" s="730"/>
      <c r="O581" s="730"/>
      <c r="P581" s="731"/>
      <c r="Q581" s="731"/>
      <c r="R581" s="730"/>
      <c r="S581" s="730"/>
      <c r="T581" s="723"/>
      <c r="U581" s="724"/>
      <c r="V581" s="725"/>
      <c r="W581" s="725"/>
      <c r="X581" s="723"/>
      <c r="Y581" s="723"/>
      <c r="Z581" s="723"/>
      <c r="AA581" s="726"/>
      <c r="AB581" s="726"/>
      <c r="AC581" s="170"/>
      <c r="AD581" s="586"/>
      <c r="AE581" s="586"/>
      <c r="AF581" s="170"/>
      <c r="AG581" s="170"/>
      <c r="AH581" s="170"/>
      <c r="AI581" s="170"/>
      <c r="AJ581" s="170"/>
      <c r="AK581" s="170"/>
      <c r="AL581" s="170"/>
      <c r="AM581" s="170"/>
      <c r="AN581" s="170"/>
      <c r="AO581" s="170"/>
      <c r="AP581" s="170"/>
      <c r="AQ581" s="170"/>
      <c r="AR581" s="170"/>
      <c r="AS581" s="170"/>
      <c r="AT581" s="170"/>
      <c r="AU581" s="170"/>
      <c r="AV581" s="170"/>
      <c r="AW581" s="170"/>
      <c r="AX581" s="170"/>
    </row>
    <row r="582" spans="1:50" ht="15" x14ac:dyDescent="0.25">
      <c r="A582" s="170"/>
      <c r="B582" s="719"/>
      <c r="C582" s="170"/>
      <c r="D582" s="170"/>
      <c r="E582" s="170"/>
      <c r="F582" s="170"/>
      <c r="G582" s="721"/>
      <c r="H582" s="170"/>
      <c r="I582" s="170"/>
      <c r="J582" s="170"/>
      <c r="K582" s="170"/>
      <c r="L582" s="170"/>
      <c r="M582" s="730"/>
      <c r="N582" s="730"/>
      <c r="O582" s="730"/>
      <c r="P582" s="731"/>
      <c r="Q582" s="731"/>
      <c r="R582" s="730"/>
      <c r="S582" s="730"/>
      <c r="T582" s="723"/>
      <c r="U582" s="724"/>
      <c r="V582" s="725"/>
      <c r="W582" s="725"/>
      <c r="X582" s="723"/>
      <c r="Y582" s="723"/>
      <c r="Z582" s="723"/>
      <c r="AA582" s="726"/>
      <c r="AB582" s="726"/>
      <c r="AC582" s="170"/>
      <c r="AD582" s="586"/>
      <c r="AE582" s="586"/>
      <c r="AF582" s="170"/>
      <c r="AG582" s="170"/>
      <c r="AH582" s="170"/>
      <c r="AI582" s="170"/>
      <c r="AJ582" s="170"/>
      <c r="AK582" s="170"/>
      <c r="AL582" s="170"/>
      <c r="AM582" s="170"/>
      <c r="AN582" s="170"/>
      <c r="AO582" s="170"/>
      <c r="AP582" s="170"/>
      <c r="AQ582" s="170"/>
      <c r="AR582" s="170"/>
      <c r="AS582" s="170"/>
      <c r="AT582" s="170"/>
      <c r="AU582" s="170"/>
      <c r="AV582" s="170"/>
      <c r="AW582" s="170"/>
      <c r="AX582" s="170"/>
    </row>
    <row r="583" spans="1:50" ht="15" x14ac:dyDescent="0.25">
      <c r="A583" s="170"/>
      <c r="B583" s="719"/>
      <c r="C583" s="170"/>
      <c r="D583" s="170"/>
      <c r="E583" s="170"/>
      <c r="F583" s="170"/>
      <c r="G583" s="721"/>
      <c r="H583" s="170"/>
      <c r="I583" s="170"/>
      <c r="J583" s="170"/>
      <c r="K583" s="170"/>
      <c r="L583" s="170"/>
      <c r="M583" s="730"/>
      <c r="N583" s="730"/>
      <c r="O583" s="730"/>
      <c r="P583" s="731"/>
      <c r="Q583" s="731"/>
      <c r="R583" s="730"/>
      <c r="S583" s="730"/>
      <c r="T583" s="723"/>
      <c r="U583" s="724"/>
      <c r="V583" s="725"/>
      <c r="W583" s="725"/>
      <c r="X583" s="723"/>
      <c r="Y583" s="723"/>
      <c r="Z583" s="723"/>
      <c r="AA583" s="726"/>
      <c r="AB583" s="726"/>
      <c r="AC583" s="170"/>
      <c r="AD583" s="586"/>
      <c r="AE583" s="586"/>
      <c r="AF583" s="170"/>
      <c r="AG583" s="170"/>
      <c r="AH583" s="170"/>
      <c r="AI583" s="170"/>
      <c r="AJ583" s="170"/>
      <c r="AK583" s="170"/>
      <c r="AL583" s="170"/>
      <c r="AM583" s="170"/>
      <c r="AN583" s="170"/>
      <c r="AO583" s="170"/>
      <c r="AP583" s="170"/>
      <c r="AQ583" s="170"/>
      <c r="AR583" s="170"/>
      <c r="AS583" s="170"/>
      <c r="AT583" s="170"/>
      <c r="AU583" s="170"/>
      <c r="AV583" s="170"/>
      <c r="AW583" s="170"/>
      <c r="AX583" s="170"/>
    </row>
    <row r="584" spans="1:50" ht="15" x14ac:dyDescent="0.25">
      <c r="A584" s="170"/>
      <c r="B584" s="719"/>
      <c r="C584" s="170"/>
      <c r="D584" s="170"/>
      <c r="E584" s="170"/>
      <c r="F584" s="170"/>
      <c r="G584" s="721"/>
      <c r="H584" s="170"/>
      <c r="I584" s="170"/>
      <c r="J584" s="170"/>
      <c r="K584" s="170"/>
      <c r="L584" s="170"/>
      <c r="M584" s="730"/>
      <c r="N584" s="730"/>
      <c r="O584" s="730"/>
      <c r="P584" s="731"/>
      <c r="Q584" s="731"/>
      <c r="R584" s="730"/>
      <c r="S584" s="730"/>
      <c r="T584" s="723"/>
      <c r="U584" s="724"/>
      <c r="V584" s="725"/>
      <c r="W584" s="725"/>
      <c r="X584" s="723"/>
      <c r="Y584" s="723"/>
      <c r="Z584" s="723"/>
      <c r="AA584" s="726"/>
      <c r="AB584" s="726"/>
      <c r="AC584" s="170"/>
      <c r="AD584" s="586"/>
      <c r="AE584" s="586"/>
      <c r="AF584" s="170"/>
      <c r="AG584" s="170"/>
      <c r="AH584" s="170"/>
      <c r="AI584" s="170"/>
      <c r="AJ584" s="170"/>
      <c r="AK584" s="170"/>
      <c r="AL584" s="170"/>
      <c r="AM584" s="170"/>
      <c r="AN584" s="170"/>
      <c r="AO584" s="170"/>
      <c r="AP584" s="170"/>
      <c r="AQ584" s="170"/>
      <c r="AR584" s="170"/>
      <c r="AS584" s="170"/>
      <c r="AT584" s="170"/>
      <c r="AU584" s="170"/>
      <c r="AV584" s="170"/>
      <c r="AW584" s="170"/>
      <c r="AX584" s="170"/>
    </row>
    <row r="585" spans="1:50" ht="15" x14ac:dyDescent="0.25">
      <c r="A585" s="170"/>
      <c r="B585" s="719"/>
      <c r="C585" s="170"/>
      <c r="D585" s="170"/>
      <c r="E585" s="170"/>
      <c r="F585" s="170"/>
      <c r="G585" s="721"/>
      <c r="H585" s="170"/>
      <c r="I585" s="170"/>
      <c r="J585" s="170"/>
      <c r="K585" s="170"/>
      <c r="L585" s="170"/>
      <c r="M585" s="730"/>
      <c r="N585" s="730"/>
      <c r="O585" s="730"/>
      <c r="P585" s="731"/>
      <c r="Q585" s="731"/>
      <c r="R585" s="730"/>
      <c r="S585" s="730"/>
      <c r="T585" s="723"/>
      <c r="U585" s="724"/>
      <c r="V585" s="725"/>
      <c r="W585" s="725"/>
      <c r="X585" s="723"/>
      <c r="Y585" s="723"/>
      <c r="Z585" s="723"/>
      <c r="AA585" s="726"/>
      <c r="AB585" s="726"/>
      <c r="AC585" s="170"/>
      <c r="AD585" s="586"/>
      <c r="AE585" s="586"/>
      <c r="AF585" s="170"/>
      <c r="AG585" s="170"/>
      <c r="AH585" s="170"/>
      <c r="AI585" s="170"/>
      <c r="AJ585" s="170"/>
      <c r="AK585" s="170"/>
      <c r="AL585" s="170"/>
      <c r="AM585" s="170"/>
      <c r="AN585" s="170"/>
      <c r="AO585" s="170"/>
      <c r="AP585" s="170"/>
      <c r="AQ585" s="170"/>
      <c r="AR585" s="170"/>
      <c r="AS585" s="170"/>
      <c r="AT585" s="170"/>
      <c r="AU585" s="170"/>
      <c r="AV585" s="170"/>
      <c r="AW585" s="170"/>
      <c r="AX585" s="170"/>
    </row>
    <row r="586" spans="1:50" ht="15" x14ac:dyDescent="0.25">
      <c r="A586" s="170"/>
      <c r="B586" s="719"/>
      <c r="C586" s="170"/>
      <c r="D586" s="170"/>
      <c r="E586" s="170"/>
      <c r="F586" s="170"/>
      <c r="G586" s="721"/>
      <c r="H586" s="170"/>
      <c r="I586" s="170"/>
      <c r="J586" s="170"/>
      <c r="K586" s="170"/>
      <c r="L586" s="170"/>
      <c r="M586" s="730"/>
      <c r="N586" s="730"/>
      <c r="O586" s="730"/>
      <c r="P586" s="731"/>
      <c r="Q586" s="731"/>
      <c r="R586" s="730"/>
      <c r="S586" s="730"/>
      <c r="T586" s="723"/>
      <c r="U586" s="724"/>
      <c r="V586" s="725"/>
      <c r="W586" s="725"/>
      <c r="X586" s="723"/>
      <c r="Y586" s="723"/>
      <c r="Z586" s="723"/>
      <c r="AA586" s="726"/>
      <c r="AB586" s="726"/>
      <c r="AC586" s="170"/>
      <c r="AD586" s="586"/>
      <c r="AE586" s="586"/>
      <c r="AF586" s="170"/>
      <c r="AG586" s="170"/>
      <c r="AH586" s="170"/>
      <c r="AI586" s="170"/>
      <c r="AJ586" s="170"/>
      <c r="AK586" s="170"/>
      <c r="AL586" s="170"/>
      <c r="AM586" s="170"/>
      <c r="AN586" s="170"/>
      <c r="AO586" s="170"/>
      <c r="AP586" s="170"/>
      <c r="AQ586" s="170"/>
      <c r="AR586" s="170"/>
      <c r="AS586" s="170"/>
      <c r="AT586" s="170"/>
      <c r="AU586" s="170"/>
      <c r="AV586" s="170"/>
      <c r="AW586" s="170"/>
      <c r="AX586" s="170"/>
    </row>
    <row r="587" spans="1:50" ht="15" x14ac:dyDescent="0.25">
      <c r="A587" s="170"/>
      <c r="B587" s="719"/>
      <c r="C587" s="170"/>
      <c r="D587" s="170"/>
      <c r="E587" s="170"/>
      <c r="F587" s="170"/>
      <c r="G587" s="721"/>
      <c r="H587" s="170"/>
      <c r="I587" s="170"/>
      <c r="J587" s="170"/>
      <c r="K587" s="170"/>
      <c r="L587" s="170"/>
      <c r="M587" s="730"/>
      <c r="N587" s="730"/>
      <c r="O587" s="730"/>
      <c r="P587" s="731"/>
      <c r="Q587" s="731"/>
      <c r="R587" s="730"/>
      <c r="S587" s="730"/>
      <c r="T587" s="723"/>
      <c r="U587" s="724"/>
      <c r="V587" s="725"/>
      <c r="W587" s="725"/>
      <c r="X587" s="723"/>
      <c r="Y587" s="723"/>
      <c r="Z587" s="723"/>
      <c r="AA587" s="726"/>
      <c r="AB587" s="726"/>
      <c r="AC587" s="170"/>
      <c r="AD587" s="586"/>
      <c r="AE587" s="586"/>
      <c r="AF587" s="170"/>
      <c r="AG587" s="170"/>
      <c r="AH587" s="170"/>
      <c r="AI587" s="170"/>
      <c r="AJ587" s="170"/>
      <c r="AK587" s="170"/>
      <c r="AL587" s="170"/>
      <c r="AM587" s="170"/>
      <c r="AN587" s="170"/>
      <c r="AO587" s="170"/>
      <c r="AP587" s="170"/>
      <c r="AQ587" s="170"/>
      <c r="AR587" s="170"/>
      <c r="AS587" s="170"/>
      <c r="AT587" s="170"/>
      <c r="AU587" s="170"/>
      <c r="AV587" s="170"/>
      <c r="AW587" s="170"/>
      <c r="AX587" s="170"/>
    </row>
    <row r="588" spans="1:50" ht="15" x14ac:dyDescent="0.25">
      <c r="A588" s="170"/>
      <c r="B588" s="719"/>
      <c r="C588" s="170"/>
      <c r="D588" s="170"/>
      <c r="E588" s="170"/>
      <c r="F588" s="170"/>
      <c r="G588" s="721"/>
      <c r="H588" s="170"/>
      <c r="I588" s="170"/>
      <c r="J588" s="170"/>
      <c r="K588" s="170"/>
      <c r="L588" s="170"/>
      <c r="M588" s="730"/>
      <c r="N588" s="730"/>
      <c r="O588" s="730"/>
      <c r="P588" s="731"/>
      <c r="Q588" s="731"/>
      <c r="R588" s="730"/>
      <c r="S588" s="730"/>
      <c r="T588" s="723"/>
      <c r="U588" s="724"/>
      <c r="V588" s="725"/>
      <c r="W588" s="725"/>
      <c r="X588" s="723"/>
      <c r="Y588" s="723"/>
      <c r="Z588" s="723"/>
      <c r="AA588" s="726"/>
      <c r="AB588" s="726"/>
      <c r="AC588" s="170"/>
      <c r="AD588" s="586"/>
      <c r="AE588" s="586"/>
      <c r="AF588" s="170"/>
      <c r="AG588" s="170"/>
      <c r="AH588" s="170"/>
      <c r="AI588" s="170"/>
      <c r="AJ588" s="170"/>
      <c r="AK588" s="170"/>
      <c r="AL588" s="170"/>
      <c r="AM588" s="170"/>
      <c r="AN588" s="170"/>
      <c r="AO588" s="170"/>
      <c r="AP588" s="170"/>
      <c r="AQ588" s="170"/>
      <c r="AR588" s="170"/>
      <c r="AS588" s="170"/>
      <c r="AT588" s="170"/>
      <c r="AU588" s="170"/>
      <c r="AV588" s="170"/>
      <c r="AW588" s="170"/>
      <c r="AX588" s="170"/>
    </row>
    <row r="589" spans="1:50" ht="15" x14ac:dyDescent="0.25">
      <c r="A589" s="170"/>
      <c r="B589" s="719"/>
      <c r="C589" s="170"/>
      <c r="D589" s="170"/>
      <c r="E589" s="170"/>
      <c r="F589" s="170"/>
      <c r="G589" s="721"/>
      <c r="H589" s="170"/>
      <c r="I589" s="170"/>
      <c r="J589" s="170"/>
      <c r="K589" s="170"/>
      <c r="L589" s="170"/>
      <c r="M589" s="730"/>
      <c r="N589" s="730"/>
      <c r="O589" s="730"/>
      <c r="P589" s="731"/>
      <c r="Q589" s="731"/>
      <c r="R589" s="730"/>
      <c r="S589" s="730"/>
      <c r="T589" s="723"/>
      <c r="U589" s="724"/>
      <c r="V589" s="725"/>
      <c r="W589" s="725"/>
      <c r="X589" s="723"/>
      <c r="Y589" s="723"/>
      <c r="Z589" s="723"/>
      <c r="AA589" s="726"/>
      <c r="AB589" s="726"/>
      <c r="AC589" s="170"/>
      <c r="AD589" s="586"/>
      <c r="AE589" s="586"/>
      <c r="AF589" s="170"/>
      <c r="AG589" s="170"/>
      <c r="AH589" s="170"/>
      <c r="AI589" s="170"/>
      <c r="AJ589" s="170"/>
      <c r="AK589" s="170"/>
      <c r="AL589" s="170"/>
      <c r="AM589" s="170"/>
      <c r="AN589" s="170"/>
      <c r="AO589" s="170"/>
      <c r="AP589" s="170"/>
      <c r="AQ589" s="170"/>
      <c r="AR589" s="170"/>
      <c r="AS589" s="170"/>
      <c r="AT589" s="170"/>
      <c r="AU589" s="170"/>
      <c r="AV589" s="170"/>
      <c r="AW589" s="170"/>
      <c r="AX589" s="170"/>
    </row>
    <row r="590" spans="1:50" ht="15" x14ac:dyDescent="0.25">
      <c r="A590" s="170"/>
      <c r="B590" s="719"/>
      <c r="C590" s="170"/>
      <c r="D590" s="170"/>
      <c r="E590" s="170"/>
      <c r="F590" s="170"/>
      <c r="G590" s="721"/>
      <c r="H590" s="170"/>
      <c r="I590" s="170"/>
      <c r="J590" s="170"/>
      <c r="K590" s="170"/>
      <c r="L590" s="170"/>
      <c r="M590" s="730"/>
      <c r="N590" s="730"/>
      <c r="O590" s="730"/>
      <c r="P590" s="731"/>
      <c r="Q590" s="731"/>
      <c r="R590" s="730"/>
      <c r="S590" s="730"/>
      <c r="T590" s="723"/>
      <c r="U590" s="724"/>
      <c r="V590" s="725"/>
      <c r="W590" s="725"/>
      <c r="X590" s="723"/>
      <c r="Y590" s="723"/>
      <c r="Z590" s="723"/>
      <c r="AA590" s="726"/>
      <c r="AB590" s="726"/>
      <c r="AC590" s="170"/>
      <c r="AD590" s="586"/>
      <c r="AE590" s="586"/>
      <c r="AF590" s="170"/>
      <c r="AG590" s="170"/>
      <c r="AH590" s="170"/>
      <c r="AI590" s="170"/>
      <c r="AJ590" s="170"/>
      <c r="AK590" s="170"/>
      <c r="AL590" s="170"/>
      <c r="AM590" s="170"/>
      <c r="AN590" s="170"/>
      <c r="AO590" s="170"/>
      <c r="AP590" s="170"/>
      <c r="AQ590" s="170"/>
      <c r="AR590" s="170"/>
      <c r="AS590" s="170"/>
      <c r="AT590" s="170"/>
      <c r="AU590" s="170"/>
      <c r="AV590" s="170"/>
      <c r="AW590" s="170"/>
      <c r="AX590" s="170"/>
    </row>
    <row r="591" spans="1:50" ht="15" x14ac:dyDescent="0.25">
      <c r="A591" s="170"/>
      <c r="B591" s="719"/>
      <c r="C591" s="170"/>
      <c r="D591" s="170"/>
      <c r="E591" s="170"/>
      <c r="F591" s="170"/>
      <c r="G591" s="721"/>
      <c r="H591" s="170"/>
      <c r="I591" s="170"/>
      <c r="J591" s="170"/>
      <c r="K591" s="170"/>
      <c r="L591" s="170"/>
      <c r="M591" s="730"/>
      <c r="N591" s="730"/>
      <c r="O591" s="730"/>
      <c r="P591" s="731"/>
      <c r="Q591" s="731"/>
      <c r="R591" s="730"/>
      <c r="S591" s="730"/>
      <c r="T591" s="723"/>
      <c r="U591" s="724"/>
      <c r="V591" s="725"/>
      <c r="W591" s="725"/>
      <c r="X591" s="723"/>
      <c r="Y591" s="723"/>
      <c r="Z591" s="723"/>
      <c r="AA591" s="726"/>
      <c r="AB591" s="726"/>
      <c r="AC591" s="170"/>
      <c r="AD591" s="586"/>
      <c r="AE591" s="586"/>
      <c r="AF591" s="170"/>
      <c r="AG591" s="170"/>
      <c r="AH591" s="170"/>
      <c r="AI591" s="170"/>
      <c r="AJ591" s="170"/>
      <c r="AK591" s="170"/>
      <c r="AL591" s="170"/>
      <c r="AM591" s="170"/>
      <c r="AN591" s="170"/>
      <c r="AO591" s="170"/>
      <c r="AP591" s="170"/>
      <c r="AQ591" s="170"/>
      <c r="AR591" s="170"/>
      <c r="AS591" s="170"/>
      <c r="AT591" s="170"/>
      <c r="AU591" s="170"/>
      <c r="AV591" s="170"/>
      <c r="AW591" s="170"/>
      <c r="AX591" s="170"/>
    </row>
    <row r="592" spans="1:50" ht="15" x14ac:dyDescent="0.25">
      <c r="A592" s="170"/>
      <c r="B592" s="719"/>
      <c r="C592" s="170"/>
      <c r="D592" s="170"/>
      <c r="E592" s="170"/>
      <c r="F592" s="170"/>
      <c r="G592" s="721"/>
      <c r="H592" s="170"/>
      <c r="I592" s="170"/>
      <c r="J592" s="170"/>
      <c r="K592" s="170"/>
      <c r="L592" s="170"/>
      <c r="M592" s="730"/>
      <c r="N592" s="730"/>
      <c r="O592" s="730"/>
      <c r="P592" s="731"/>
      <c r="Q592" s="731"/>
      <c r="R592" s="730"/>
      <c r="S592" s="730"/>
      <c r="T592" s="723"/>
      <c r="U592" s="724"/>
      <c r="V592" s="725"/>
      <c r="W592" s="725"/>
      <c r="X592" s="723"/>
      <c r="Y592" s="723"/>
      <c r="Z592" s="723"/>
      <c r="AA592" s="726"/>
      <c r="AB592" s="726"/>
      <c r="AC592" s="170"/>
      <c r="AD592" s="586"/>
      <c r="AE592" s="586"/>
      <c r="AF592" s="170"/>
      <c r="AG592" s="170"/>
      <c r="AH592" s="170"/>
      <c r="AI592" s="170"/>
      <c r="AJ592" s="170"/>
      <c r="AK592" s="170"/>
      <c r="AL592" s="170"/>
      <c r="AM592" s="170"/>
      <c r="AN592" s="170"/>
      <c r="AO592" s="170"/>
      <c r="AP592" s="170"/>
      <c r="AQ592" s="170"/>
      <c r="AR592" s="170"/>
      <c r="AS592" s="170"/>
      <c r="AT592" s="170"/>
      <c r="AU592" s="170"/>
      <c r="AV592" s="170"/>
      <c r="AW592" s="170"/>
      <c r="AX592" s="170"/>
    </row>
    <row r="593" spans="1:50" ht="15" x14ac:dyDescent="0.25">
      <c r="A593" s="170"/>
      <c r="B593" s="719"/>
      <c r="C593" s="170"/>
      <c r="D593" s="170"/>
      <c r="E593" s="170"/>
      <c r="F593" s="170"/>
      <c r="G593" s="721"/>
      <c r="H593" s="170"/>
      <c r="I593" s="170"/>
      <c r="J593" s="170"/>
      <c r="K593" s="170"/>
      <c r="L593" s="170"/>
      <c r="M593" s="730"/>
      <c r="N593" s="730"/>
      <c r="O593" s="730"/>
      <c r="P593" s="731"/>
      <c r="Q593" s="731"/>
      <c r="R593" s="730"/>
      <c r="S593" s="730"/>
      <c r="T593" s="723"/>
      <c r="U593" s="724"/>
      <c r="V593" s="725"/>
      <c r="W593" s="725"/>
      <c r="X593" s="723"/>
      <c r="Y593" s="723"/>
      <c r="Z593" s="723"/>
      <c r="AA593" s="726"/>
      <c r="AB593" s="726"/>
      <c r="AC593" s="170"/>
      <c r="AD593" s="586"/>
      <c r="AE593" s="586"/>
      <c r="AF593" s="170"/>
      <c r="AG593" s="170"/>
      <c r="AH593" s="170"/>
      <c r="AI593" s="170"/>
      <c r="AJ593" s="170"/>
      <c r="AK593" s="170"/>
      <c r="AL593" s="170"/>
      <c r="AM593" s="170"/>
      <c r="AN593" s="170"/>
      <c r="AO593" s="170"/>
      <c r="AP593" s="170"/>
      <c r="AQ593" s="170"/>
      <c r="AR593" s="170"/>
      <c r="AS593" s="170"/>
      <c r="AT593" s="170"/>
      <c r="AU593" s="170"/>
      <c r="AV593" s="170"/>
      <c r="AW593" s="170"/>
      <c r="AX593" s="170"/>
    </row>
    <row r="594" spans="1:50" ht="15" x14ac:dyDescent="0.25">
      <c r="A594" s="170"/>
      <c r="B594" s="719"/>
      <c r="C594" s="170"/>
      <c r="D594" s="170"/>
      <c r="E594" s="170"/>
      <c r="F594" s="170"/>
      <c r="G594" s="721"/>
      <c r="H594" s="170"/>
      <c r="I594" s="170"/>
      <c r="J594" s="170"/>
      <c r="K594" s="170"/>
      <c r="L594" s="170"/>
      <c r="M594" s="730"/>
      <c r="N594" s="730"/>
      <c r="O594" s="730"/>
      <c r="P594" s="731"/>
      <c r="Q594" s="731"/>
      <c r="R594" s="730"/>
      <c r="S594" s="730"/>
      <c r="T594" s="723"/>
      <c r="U594" s="724"/>
      <c r="V594" s="725"/>
      <c r="W594" s="725"/>
      <c r="X594" s="723"/>
      <c r="Y594" s="723"/>
      <c r="Z594" s="723"/>
      <c r="AA594" s="726"/>
      <c r="AB594" s="726"/>
      <c r="AC594" s="170"/>
      <c r="AD594" s="586"/>
      <c r="AE594" s="586"/>
      <c r="AF594" s="170"/>
      <c r="AG594" s="170"/>
      <c r="AH594" s="170"/>
      <c r="AI594" s="170"/>
      <c r="AJ594" s="170"/>
      <c r="AK594" s="170"/>
      <c r="AL594" s="170"/>
      <c r="AM594" s="170"/>
      <c r="AN594" s="170"/>
      <c r="AO594" s="170"/>
      <c r="AP594" s="170"/>
      <c r="AQ594" s="170"/>
      <c r="AR594" s="170"/>
      <c r="AS594" s="170"/>
      <c r="AT594" s="170"/>
      <c r="AU594" s="170"/>
      <c r="AV594" s="170"/>
      <c r="AW594" s="170"/>
      <c r="AX594" s="170"/>
    </row>
    <row r="595" spans="1:50" ht="15" x14ac:dyDescent="0.25">
      <c r="A595" s="170"/>
      <c r="B595" s="719"/>
      <c r="C595" s="170"/>
      <c r="D595" s="170"/>
      <c r="E595" s="170"/>
      <c r="F595" s="170"/>
      <c r="G595" s="721"/>
      <c r="H595" s="170"/>
      <c r="I595" s="170"/>
      <c r="J595" s="170"/>
      <c r="K595" s="170"/>
      <c r="L595" s="170"/>
      <c r="M595" s="730"/>
      <c r="N595" s="730"/>
      <c r="O595" s="730"/>
      <c r="P595" s="731"/>
      <c r="Q595" s="731"/>
      <c r="R595" s="730"/>
      <c r="S595" s="730"/>
      <c r="T595" s="723"/>
      <c r="U595" s="724"/>
      <c r="V595" s="725"/>
      <c r="W595" s="725"/>
      <c r="X595" s="723"/>
      <c r="Y595" s="723"/>
      <c r="Z595" s="723"/>
      <c r="AA595" s="726"/>
      <c r="AB595" s="726"/>
      <c r="AC595" s="170"/>
      <c r="AD595" s="586"/>
      <c r="AE595" s="586"/>
      <c r="AF595" s="170"/>
      <c r="AG595" s="170"/>
      <c r="AH595" s="170"/>
      <c r="AI595" s="170"/>
      <c r="AJ595" s="170"/>
      <c r="AK595" s="170"/>
      <c r="AL595" s="170"/>
      <c r="AM595" s="170"/>
      <c r="AN595" s="170"/>
      <c r="AO595" s="170"/>
      <c r="AP595" s="170"/>
      <c r="AQ595" s="170"/>
      <c r="AR595" s="170"/>
      <c r="AS595" s="170"/>
      <c r="AT595" s="170"/>
      <c r="AU595" s="170"/>
      <c r="AV595" s="170"/>
      <c r="AW595" s="170"/>
      <c r="AX595" s="170"/>
    </row>
    <row r="596" spans="1:50" ht="15" x14ac:dyDescent="0.25">
      <c r="A596" s="170"/>
      <c r="B596" s="719"/>
      <c r="C596" s="170"/>
      <c r="D596" s="170"/>
      <c r="E596" s="170"/>
      <c r="F596" s="170"/>
      <c r="G596" s="721"/>
      <c r="H596" s="170"/>
      <c r="I596" s="170"/>
      <c r="J596" s="170"/>
      <c r="K596" s="170"/>
      <c r="L596" s="170"/>
      <c r="M596" s="730"/>
      <c r="N596" s="730"/>
      <c r="O596" s="730"/>
      <c r="P596" s="731"/>
      <c r="Q596" s="731"/>
      <c r="R596" s="730"/>
      <c r="S596" s="730"/>
      <c r="T596" s="723"/>
      <c r="U596" s="724"/>
      <c r="V596" s="725"/>
      <c r="W596" s="725"/>
      <c r="X596" s="723"/>
      <c r="Y596" s="723"/>
      <c r="Z596" s="723"/>
      <c r="AA596" s="726"/>
      <c r="AB596" s="726"/>
      <c r="AC596" s="170"/>
      <c r="AD596" s="586"/>
      <c r="AE596" s="586"/>
      <c r="AF596" s="170"/>
      <c r="AG596" s="170"/>
      <c r="AH596" s="170"/>
      <c r="AI596" s="170"/>
      <c r="AJ596" s="170"/>
      <c r="AK596" s="170"/>
      <c r="AL596" s="170"/>
      <c r="AM596" s="170"/>
      <c r="AN596" s="170"/>
      <c r="AO596" s="170"/>
      <c r="AP596" s="170"/>
      <c r="AQ596" s="170"/>
      <c r="AR596" s="170"/>
      <c r="AS596" s="170"/>
      <c r="AT596" s="170"/>
      <c r="AU596" s="170"/>
      <c r="AV596" s="170"/>
      <c r="AW596" s="170"/>
      <c r="AX596" s="170"/>
    </row>
    <row r="597" spans="1:50" ht="15" x14ac:dyDescent="0.25">
      <c r="A597" s="170"/>
      <c r="B597" s="719"/>
      <c r="C597" s="170"/>
      <c r="D597" s="170"/>
      <c r="E597" s="170"/>
      <c r="F597" s="170"/>
      <c r="G597" s="721"/>
      <c r="H597" s="170"/>
      <c r="I597" s="170"/>
      <c r="J597" s="170"/>
      <c r="K597" s="170"/>
      <c r="L597" s="170"/>
      <c r="M597" s="730"/>
      <c r="N597" s="730"/>
      <c r="O597" s="730"/>
      <c r="P597" s="731"/>
      <c r="Q597" s="731"/>
      <c r="R597" s="730"/>
      <c r="S597" s="730"/>
      <c r="T597" s="723"/>
      <c r="U597" s="724"/>
      <c r="V597" s="725"/>
      <c r="W597" s="725"/>
      <c r="X597" s="723"/>
      <c r="Y597" s="723"/>
      <c r="Z597" s="723"/>
      <c r="AA597" s="726"/>
      <c r="AB597" s="726"/>
      <c r="AC597" s="170"/>
      <c r="AD597" s="586"/>
      <c r="AE597" s="586"/>
      <c r="AF597" s="170"/>
      <c r="AG597" s="170"/>
      <c r="AH597" s="170"/>
      <c r="AI597" s="170"/>
      <c r="AJ597" s="170"/>
      <c r="AK597" s="170"/>
      <c r="AL597" s="170"/>
      <c r="AM597" s="170"/>
      <c r="AN597" s="170"/>
      <c r="AO597" s="170"/>
      <c r="AP597" s="170"/>
      <c r="AQ597" s="170"/>
      <c r="AR597" s="170"/>
      <c r="AS597" s="170"/>
      <c r="AT597" s="170"/>
      <c r="AU597" s="170"/>
      <c r="AV597" s="170"/>
      <c r="AW597" s="170"/>
      <c r="AX597" s="170"/>
    </row>
    <row r="598" spans="1:50" ht="15" x14ac:dyDescent="0.25">
      <c r="A598" s="170"/>
      <c r="B598" s="719"/>
      <c r="C598" s="170"/>
      <c r="D598" s="170"/>
      <c r="E598" s="170"/>
      <c r="F598" s="170"/>
      <c r="G598" s="721"/>
      <c r="H598" s="170"/>
      <c r="I598" s="170"/>
      <c r="J598" s="170"/>
      <c r="K598" s="170"/>
      <c r="L598" s="170"/>
      <c r="M598" s="730"/>
      <c r="N598" s="730"/>
      <c r="O598" s="730"/>
      <c r="P598" s="731"/>
      <c r="Q598" s="731"/>
      <c r="R598" s="730"/>
      <c r="S598" s="730"/>
      <c r="T598" s="723"/>
      <c r="U598" s="724"/>
      <c r="V598" s="725"/>
      <c r="W598" s="725"/>
      <c r="X598" s="723"/>
      <c r="Y598" s="723"/>
      <c r="Z598" s="723"/>
      <c r="AA598" s="726"/>
      <c r="AB598" s="726"/>
      <c r="AC598" s="170"/>
      <c r="AD598" s="586"/>
      <c r="AE598" s="586"/>
      <c r="AF598" s="170"/>
      <c r="AG598" s="170"/>
      <c r="AH598" s="170"/>
      <c r="AI598" s="170"/>
      <c r="AJ598" s="170"/>
      <c r="AK598" s="170"/>
      <c r="AL598" s="170"/>
      <c r="AM598" s="170"/>
      <c r="AN598" s="170"/>
      <c r="AO598" s="170"/>
      <c r="AP598" s="170"/>
      <c r="AQ598" s="170"/>
      <c r="AR598" s="170"/>
      <c r="AS598" s="170"/>
      <c r="AT598" s="170"/>
      <c r="AU598" s="170"/>
      <c r="AV598" s="170"/>
      <c r="AW598" s="170"/>
      <c r="AX598" s="170"/>
    </row>
    <row r="599" spans="1:50" ht="15" x14ac:dyDescent="0.25">
      <c r="A599" s="170"/>
      <c r="B599" s="719"/>
      <c r="C599" s="170"/>
      <c r="D599" s="170"/>
      <c r="E599" s="170"/>
      <c r="F599" s="170"/>
      <c r="G599" s="721"/>
      <c r="H599" s="170"/>
      <c r="I599" s="170"/>
      <c r="J599" s="170"/>
      <c r="K599" s="170"/>
      <c r="L599" s="170"/>
      <c r="M599" s="730"/>
      <c r="N599" s="730"/>
      <c r="O599" s="730"/>
      <c r="P599" s="731"/>
      <c r="Q599" s="731"/>
      <c r="R599" s="730"/>
      <c r="S599" s="730"/>
      <c r="T599" s="723"/>
      <c r="U599" s="724"/>
      <c r="V599" s="725"/>
      <c r="W599" s="725"/>
      <c r="X599" s="723"/>
      <c r="Y599" s="723"/>
      <c r="Z599" s="723"/>
      <c r="AA599" s="726"/>
      <c r="AB599" s="726"/>
      <c r="AC599" s="170"/>
      <c r="AD599" s="586"/>
      <c r="AE599" s="586"/>
      <c r="AF599" s="170"/>
      <c r="AG599" s="170"/>
      <c r="AH599" s="170"/>
      <c r="AI599" s="170"/>
      <c r="AJ599" s="170"/>
      <c r="AK599" s="170"/>
      <c r="AL599" s="170"/>
      <c r="AM599" s="170"/>
      <c r="AN599" s="170"/>
      <c r="AO599" s="170"/>
      <c r="AP599" s="170"/>
      <c r="AQ599" s="170"/>
      <c r="AR599" s="170"/>
      <c r="AS599" s="170"/>
      <c r="AT599" s="170"/>
      <c r="AU599" s="170"/>
      <c r="AV599" s="170"/>
      <c r="AW599" s="170"/>
      <c r="AX599" s="170"/>
    </row>
    <row r="600" spans="1:50" ht="15" x14ac:dyDescent="0.25">
      <c r="A600" s="170"/>
      <c r="B600" s="719"/>
      <c r="C600" s="170"/>
      <c r="D600" s="170"/>
      <c r="E600" s="170"/>
      <c r="F600" s="170"/>
      <c r="G600" s="721"/>
      <c r="H600" s="170"/>
      <c r="I600" s="170"/>
      <c r="J600" s="170"/>
      <c r="K600" s="170"/>
      <c r="L600" s="170"/>
      <c r="M600" s="730"/>
      <c r="N600" s="730"/>
      <c r="O600" s="730"/>
      <c r="P600" s="731"/>
      <c r="Q600" s="731"/>
      <c r="R600" s="730"/>
      <c r="S600" s="730"/>
      <c r="T600" s="723"/>
      <c r="U600" s="724"/>
      <c r="V600" s="725"/>
      <c r="W600" s="725"/>
      <c r="X600" s="723"/>
      <c r="Y600" s="723"/>
      <c r="Z600" s="723"/>
      <c r="AA600" s="726"/>
      <c r="AB600" s="726"/>
      <c r="AC600" s="170"/>
      <c r="AD600" s="586"/>
      <c r="AE600" s="586"/>
      <c r="AF600" s="170"/>
      <c r="AG600" s="170"/>
      <c r="AH600" s="170"/>
      <c r="AI600" s="170"/>
      <c r="AJ600" s="170"/>
      <c r="AK600" s="170"/>
      <c r="AL600" s="170"/>
      <c r="AM600" s="170"/>
      <c r="AN600" s="170"/>
      <c r="AO600" s="170"/>
      <c r="AP600" s="170"/>
      <c r="AQ600" s="170"/>
      <c r="AR600" s="170"/>
      <c r="AS600" s="170"/>
      <c r="AT600" s="170"/>
      <c r="AU600" s="170"/>
      <c r="AV600" s="170"/>
      <c r="AW600" s="170"/>
      <c r="AX600" s="170"/>
    </row>
    <row r="601" spans="1:50" ht="15" x14ac:dyDescent="0.25">
      <c r="A601" s="170"/>
      <c r="B601" s="719"/>
      <c r="C601" s="170"/>
      <c r="D601" s="170"/>
      <c r="E601" s="170"/>
      <c r="F601" s="170"/>
      <c r="G601" s="721"/>
      <c r="H601" s="170"/>
      <c r="I601" s="170"/>
      <c r="J601" s="170"/>
      <c r="K601" s="170"/>
      <c r="L601" s="170"/>
      <c r="M601" s="730"/>
      <c r="N601" s="730"/>
      <c r="O601" s="730"/>
      <c r="P601" s="731"/>
      <c r="Q601" s="731"/>
      <c r="R601" s="730"/>
      <c r="S601" s="730"/>
      <c r="T601" s="723"/>
      <c r="U601" s="724"/>
      <c r="V601" s="725"/>
      <c r="W601" s="725"/>
      <c r="X601" s="723"/>
      <c r="Y601" s="723"/>
      <c r="Z601" s="723"/>
      <c r="AA601" s="726"/>
      <c r="AB601" s="726"/>
      <c r="AC601" s="170"/>
      <c r="AD601" s="586"/>
      <c r="AE601" s="586"/>
      <c r="AF601" s="170"/>
      <c r="AG601" s="170"/>
      <c r="AH601" s="170"/>
      <c r="AI601" s="170"/>
      <c r="AJ601" s="170"/>
      <c r="AK601" s="170"/>
      <c r="AL601" s="170"/>
      <c r="AM601" s="170"/>
      <c r="AN601" s="170"/>
      <c r="AO601" s="170"/>
      <c r="AP601" s="170"/>
      <c r="AQ601" s="170"/>
      <c r="AR601" s="170"/>
      <c r="AS601" s="170"/>
      <c r="AT601" s="170"/>
      <c r="AU601" s="170"/>
      <c r="AV601" s="170"/>
      <c r="AW601" s="170"/>
      <c r="AX601" s="170"/>
    </row>
    <row r="602" spans="1:50" ht="15" x14ac:dyDescent="0.25">
      <c r="A602" s="170"/>
      <c r="B602" s="719"/>
      <c r="C602" s="170"/>
      <c r="D602" s="170"/>
      <c r="E602" s="170"/>
      <c r="F602" s="170"/>
      <c r="G602" s="721"/>
      <c r="H602" s="170"/>
      <c r="I602" s="170"/>
      <c r="J602" s="170"/>
      <c r="K602" s="170"/>
      <c r="L602" s="170"/>
      <c r="M602" s="730"/>
      <c r="N602" s="730"/>
      <c r="O602" s="730"/>
      <c r="P602" s="731"/>
      <c r="Q602" s="731"/>
      <c r="R602" s="730"/>
      <c r="S602" s="730"/>
      <c r="T602" s="723"/>
      <c r="U602" s="724"/>
      <c r="V602" s="725"/>
      <c r="W602" s="725"/>
      <c r="X602" s="723"/>
      <c r="Y602" s="723"/>
      <c r="Z602" s="723"/>
      <c r="AA602" s="726"/>
      <c r="AB602" s="726"/>
      <c r="AC602" s="170"/>
      <c r="AD602" s="586"/>
      <c r="AE602" s="586"/>
      <c r="AF602" s="170"/>
      <c r="AG602" s="170"/>
      <c r="AH602" s="170"/>
      <c r="AI602" s="170"/>
      <c r="AJ602" s="170"/>
      <c r="AK602" s="170"/>
      <c r="AL602" s="170"/>
      <c r="AM602" s="170"/>
      <c r="AN602" s="170"/>
      <c r="AO602" s="170"/>
      <c r="AP602" s="170"/>
      <c r="AQ602" s="170"/>
      <c r="AR602" s="170"/>
      <c r="AS602" s="170"/>
      <c r="AT602" s="170"/>
      <c r="AU602" s="170"/>
      <c r="AV602" s="170"/>
      <c r="AW602" s="170"/>
      <c r="AX602" s="170"/>
    </row>
    <row r="603" spans="1:50" ht="15" x14ac:dyDescent="0.25">
      <c r="A603" s="170"/>
      <c r="B603" s="719"/>
      <c r="C603" s="170"/>
      <c r="D603" s="170"/>
      <c r="E603" s="170"/>
      <c r="F603" s="170"/>
      <c r="G603" s="721"/>
      <c r="H603" s="170"/>
      <c r="I603" s="170"/>
      <c r="J603" s="170"/>
      <c r="K603" s="170"/>
      <c r="L603" s="170"/>
      <c r="M603" s="730"/>
      <c r="N603" s="730"/>
      <c r="O603" s="730"/>
      <c r="P603" s="731"/>
      <c r="Q603" s="731"/>
      <c r="R603" s="730"/>
      <c r="S603" s="730"/>
      <c r="T603" s="723"/>
      <c r="U603" s="724"/>
      <c r="V603" s="725"/>
      <c r="W603" s="725"/>
      <c r="X603" s="723"/>
      <c r="Y603" s="723"/>
      <c r="Z603" s="723"/>
      <c r="AA603" s="726"/>
      <c r="AB603" s="726"/>
      <c r="AC603" s="170"/>
      <c r="AD603" s="586"/>
      <c r="AE603" s="586"/>
      <c r="AF603" s="170"/>
      <c r="AG603" s="170"/>
      <c r="AH603" s="170"/>
      <c r="AI603" s="170"/>
      <c r="AJ603" s="170"/>
      <c r="AK603" s="170"/>
      <c r="AL603" s="170"/>
      <c r="AM603" s="170"/>
      <c r="AN603" s="170"/>
      <c r="AO603" s="170"/>
      <c r="AP603" s="170"/>
      <c r="AQ603" s="170"/>
      <c r="AR603" s="170"/>
      <c r="AS603" s="170"/>
      <c r="AT603" s="170"/>
      <c r="AU603" s="170"/>
      <c r="AV603" s="170"/>
      <c r="AW603" s="170"/>
      <c r="AX603" s="170"/>
    </row>
    <row r="604" spans="1:50" ht="15" x14ac:dyDescent="0.25">
      <c r="A604" s="170"/>
      <c r="B604" s="719"/>
      <c r="C604" s="170"/>
      <c r="D604" s="170"/>
      <c r="E604" s="170"/>
      <c r="F604" s="170"/>
      <c r="G604" s="721"/>
      <c r="H604" s="170"/>
      <c r="I604" s="170"/>
      <c r="J604" s="170"/>
      <c r="K604" s="170"/>
      <c r="L604" s="170"/>
      <c r="M604" s="730"/>
      <c r="N604" s="730"/>
      <c r="O604" s="730"/>
      <c r="P604" s="731"/>
      <c r="Q604" s="731"/>
      <c r="R604" s="730"/>
      <c r="S604" s="730"/>
      <c r="T604" s="723"/>
      <c r="U604" s="724"/>
      <c r="V604" s="725"/>
      <c r="W604" s="725"/>
      <c r="X604" s="723"/>
      <c r="Y604" s="723"/>
      <c r="Z604" s="723"/>
      <c r="AA604" s="726"/>
      <c r="AB604" s="726"/>
      <c r="AC604" s="170"/>
      <c r="AD604" s="586"/>
      <c r="AE604" s="586"/>
      <c r="AF604" s="170"/>
      <c r="AG604" s="170"/>
      <c r="AH604" s="170"/>
      <c r="AI604" s="170"/>
      <c r="AJ604" s="170"/>
      <c r="AK604" s="170"/>
      <c r="AL604" s="170"/>
      <c r="AM604" s="170"/>
      <c r="AN604" s="170"/>
      <c r="AO604" s="170"/>
      <c r="AP604" s="170"/>
      <c r="AQ604" s="170"/>
      <c r="AR604" s="170"/>
      <c r="AS604" s="170"/>
      <c r="AT604" s="170"/>
      <c r="AU604" s="170"/>
      <c r="AV604" s="170"/>
      <c r="AW604" s="170"/>
      <c r="AX604" s="170"/>
    </row>
    <row r="605" spans="1:50" ht="15" x14ac:dyDescent="0.25">
      <c r="A605" s="170"/>
      <c r="B605" s="719"/>
      <c r="C605" s="170"/>
      <c r="D605" s="170"/>
      <c r="E605" s="170"/>
      <c r="F605" s="170"/>
      <c r="G605" s="721"/>
      <c r="H605" s="170"/>
      <c r="I605" s="170"/>
      <c r="J605" s="170"/>
      <c r="K605" s="170"/>
      <c r="L605" s="170"/>
      <c r="M605" s="730"/>
      <c r="N605" s="730"/>
      <c r="O605" s="730"/>
      <c r="P605" s="731"/>
      <c r="Q605" s="731"/>
      <c r="R605" s="730"/>
      <c r="S605" s="730"/>
      <c r="T605" s="723"/>
      <c r="U605" s="724"/>
      <c r="V605" s="725"/>
      <c r="W605" s="725"/>
      <c r="X605" s="723"/>
      <c r="Y605" s="723"/>
      <c r="Z605" s="723"/>
      <c r="AA605" s="726"/>
      <c r="AB605" s="726"/>
      <c r="AC605" s="170"/>
      <c r="AD605" s="586"/>
      <c r="AE605" s="586"/>
      <c r="AF605" s="170"/>
      <c r="AG605" s="170"/>
      <c r="AH605" s="170"/>
      <c r="AI605" s="170"/>
      <c r="AJ605" s="170"/>
      <c r="AK605" s="170"/>
      <c r="AL605" s="170"/>
      <c r="AM605" s="170"/>
      <c r="AN605" s="170"/>
      <c r="AO605" s="170"/>
      <c r="AP605" s="170"/>
      <c r="AQ605" s="170"/>
      <c r="AR605" s="170"/>
      <c r="AS605" s="170"/>
      <c r="AT605" s="170"/>
      <c r="AU605" s="170"/>
      <c r="AV605" s="170"/>
      <c r="AW605" s="170"/>
      <c r="AX605" s="170"/>
    </row>
    <row r="606" spans="1:50" ht="15" x14ac:dyDescent="0.25">
      <c r="A606" s="170"/>
      <c r="B606" s="719"/>
      <c r="C606" s="170"/>
      <c r="D606" s="170"/>
      <c r="E606" s="170"/>
      <c r="F606" s="170"/>
      <c r="G606" s="721"/>
      <c r="H606" s="170"/>
      <c r="I606" s="170"/>
      <c r="J606" s="170"/>
      <c r="K606" s="170"/>
      <c r="L606" s="170"/>
      <c r="M606" s="730"/>
      <c r="N606" s="730"/>
      <c r="O606" s="730"/>
      <c r="P606" s="731"/>
      <c r="Q606" s="731"/>
      <c r="R606" s="730"/>
      <c r="S606" s="730"/>
      <c r="T606" s="723"/>
      <c r="U606" s="724"/>
      <c r="V606" s="725"/>
      <c r="W606" s="725"/>
      <c r="X606" s="723"/>
      <c r="Y606" s="723"/>
      <c r="Z606" s="723"/>
      <c r="AA606" s="726"/>
      <c r="AB606" s="726"/>
      <c r="AC606" s="170"/>
      <c r="AD606" s="586"/>
      <c r="AE606" s="586"/>
      <c r="AF606" s="170"/>
      <c r="AG606" s="170"/>
      <c r="AH606" s="170"/>
      <c r="AI606" s="170"/>
      <c r="AJ606" s="170"/>
      <c r="AK606" s="170"/>
      <c r="AL606" s="170"/>
      <c r="AM606" s="170"/>
      <c r="AN606" s="170"/>
      <c r="AO606" s="170"/>
      <c r="AP606" s="170"/>
      <c r="AQ606" s="170"/>
      <c r="AR606" s="170"/>
      <c r="AS606" s="170"/>
      <c r="AT606" s="170"/>
      <c r="AU606" s="170"/>
      <c r="AV606" s="170"/>
      <c r="AW606" s="170"/>
      <c r="AX606" s="170"/>
    </row>
    <row r="607" spans="1:50" ht="15" x14ac:dyDescent="0.25">
      <c r="A607" s="170"/>
      <c r="B607" s="719"/>
      <c r="C607" s="170"/>
      <c r="D607" s="170"/>
      <c r="E607" s="170"/>
      <c r="F607" s="170"/>
      <c r="G607" s="721"/>
      <c r="H607" s="170"/>
      <c r="I607" s="170"/>
      <c r="J607" s="170"/>
      <c r="K607" s="170"/>
      <c r="L607" s="170"/>
      <c r="M607" s="730"/>
      <c r="N607" s="730"/>
      <c r="O607" s="730"/>
      <c r="P607" s="731"/>
      <c r="Q607" s="731"/>
      <c r="R607" s="730"/>
      <c r="S607" s="730"/>
      <c r="T607" s="723"/>
      <c r="U607" s="724"/>
      <c r="V607" s="725"/>
      <c r="W607" s="725"/>
      <c r="X607" s="723"/>
      <c r="Y607" s="723"/>
      <c r="Z607" s="723"/>
      <c r="AA607" s="726"/>
      <c r="AB607" s="726"/>
      <c r="AC607" s="170"/>
      <c r="AD607" s="586"/>
      <c r="AE607" s="586"/>
      <c r="AF607" s="170"/>
      <c r="AG607" s="170"/>
      <c r="AH607" s="170"/>
      <c r="AI607" s="170"/>
      <c r="AJ607" s="170"/>
      <c r="AK607" s="170"/>
      <c r="AL607" s="170"/>
      <c r="AM607" s="170"/>
      <c r="AN607" s="170"/>
      <c r="AO607" s="170"/>
      <c r="AP607" s="170"/>
      <c r="AQ607" s="170"/>
      <c r="AR607" s="170"/>
      <c r="AS607" s="170"/>
      <c r="AT607" s="170"/>
      <c r="AU607" s="170"/>
      <c r="AV607" s="170"/>
      <c r="AW607" s="170"/>
      <c r="AX607" s="170"/>
    </row>
    <row r="608" spans="1:50" ht="15" x14ac:dyDescent="0.25">
      <c r="A608" s="170"/>
      <c r="B608" s="719"/>
      <c r="C608" s="170"/>
      <c r="D608" s="170"/>
      <c r="E608" s="170"/>
      <c r="F608" s="170"/>
      <c r="G608" s="721"/>
      <c r="H608" s="170"/>
      <c r="I608" s="170"/>
      <c r="J608" s="170"/>
      <c r="K608" s="170"/>
      <c r="L608" s="170"/>
      <c r="M608" s="730"/>
      <c r="N608" s="730"/>
      <c r="O608" s="730"/>
      <c r="P608" s="731"/>
      <c r="Q608" s="731"/>
      <c r="R608" s="730"/>
      <c r="S608" s="730"/>
      <c r="T608" s="723"/>
      <c r="U608" s="724"/>
      <c r="V608" s="725"/>
      <c r="W608" s="725"/>
      <c r="X608" s="723"/>
      <c r="Y608" s="723"/>
      <c r="Z608" s="723"/>
      <c r="AA608" s="726"/>
      <c r="AB608" s="726"/>
      <c r="AC608" s="170"/>
      <c r="AD608" s="586"/>
      <c r="AE608" s="586"/>
      <c r="AF608" s="170"/>
      <c r="AG608" s="170"/>
      <c r="AH608" s="170"/>
      <c r="AI608" s="170"/>
      <c r="AJ608" s="170"/>
      <c r="AK608" s="170"/>
      <c r="AL608" s="170"/>
      <c r="AM608" s="170"/>
      <c r="AN608" s="170"/>
      <c r="AO608" s="170"/>
      <c r="AP608" s="170"/>
      <c r="AQ608" s="170"/>
      <c r="AR608" s="170"/>
      <c r="AS608" s="170"/>
      <c r="AT608" s="170"/>
      <c r="AU608" s="170"/>
      <c r="AV608" s="170"/>
      <c r="AW608" s="170"/>
      <c r="AX608" s="170"/>
    </row>
    <row r="609" spans="1:50" ht="15" x14ac:dyDescent="0.25">
      <c r="A609" s="170"/>
      <c r="B609" s="719"/>
      <c r="C609" s="170"/>
      <c r="D609" s="170"/>
      <c r="E609" s="170"/>
      <c r="F609" s="170"/>
      <c r="G609" s="721"/>
      <c r="H609" s="170"/>
      <c r="I609" s="170"/>
      <c r="J609" s="170"/>
      <c r="K609" s="170"/>
      <c r="L609" s="170"/>
      <c r="M609" s="730"/>
      <c r="N609" s="730"/>
      <c r="O609" s="730"/>
      <c r="P609" s="731"/>
      <c r="Q609" s="731"/>
      <c r="R609" s="730"/>
      <c r="S609" s="730"/>
      <c r="T609" s="723"/>
      <c r="U609" s="724"/>
      <c r="V609" s="725"/>
      <c r="W609" s="725"/>
      <c r="X609" s="723"/>
      <c r="Y609" s="723"/>
      <c r="Z609" s="723"/>
      <c r="AA609" s="726"/>
      <c r="AB609" s="726"/>
      <c r="AC609" s="170"/>
      <c r="AD609" s="586"/>
      <c r="AE609" s="586"/>
      <c r="AF609" s="170"/>
      <c r="AG609" s="170"/>
      <c r="AH609" s="170"/>
      <c r="AI609" s="170"/>
      <c r="AJ609" s="170"/>
      <c r="AK609" s="170"/>
      <c r="AL609" s="170"/>
      <c r="AM609" s="170"/>
      <c r="AN609" s="170"/>
      <c r="AO609" s="170"/>
      <c r="AP609" s="170"/>
      <c r="AQ609" s="170"/>
      <c r="AR609" s="170"/>
      <c r="AS609" s="170"/>
      <c r="AT609" s="170"/>
      <c r="AU609" s="170"/>
      <c r="AV609" s="170"/>
      <c r="AW609" s="170"/>
      <c r="AX609" s="170"/>
    </row>
    <row r="610" spans="1:50" ht="15" x14ac:dyDescent="0.25">
      <c r="A610" s="170"/>
      <c r="B610" s="719"/>
      <c r="C610" s="170"/>
      <c r="D610" s="170"/>
      <c r="E610" s="170"/>
      <c r="F610" s="170"/>
      <c r="G610" s="721"/>
      <c r="H610" s="170"/>
      <c r="I610" s="170"/>
      <c r="J610" s="170"/>
      <c r="K610" s="170"/>
      <c r="L610" s="170"/>
      <c r="M610" s="730"/>
      <c r="N610" s="730"/>
      <c r="O610" s="730"/>
      <c r="P610" s="731"/>
      <c r="Q610" s="731"/>
      <c r="R610" s="730"/>
      <c r="S610" s="730"/>
      <c r="T610" s="723"/>
      <c r="U610" s="724"/>
      <c r="V610" s="725"/>
      <c r="W610" s="725"/>
      <c r="X610" s="723"/>
      <c r="Y610" s="723"/>
      <c r="Z610" s="723"/>
      <c r="AA610" s="726"/>
      <c r="AB610" s="726"/>
      <c r="AC610" s="170"/>
      <c r="AD610" s="586"/>
      <c r="AE610" s="586"/>
      <c r="AF610" s="170"/>
      <c r="AG610" s="170"/>
      <c r="AH610" s="170"/>
      <c r="AI610" s="170"/>
      <c r="AJ610" s="170"/>
      <c r="AK610" s="170"/>
      <c r="AL610" s="170"/>
      <c r="AM610" s="170"/>
      <c r="AN610" s="170"/>
      <c r="AO610" s="170"/>
      <c r="AP610" s="170"/>
      <c r="AQ610" s="170"/>
      <c r="AR610" s="170"/>
      <c r="AS610" s="170"/>
      <c r="AT610" s="170"/>
      <c r="AU610" s="170"/>
      <c r="AV610" s="170"/>
      <c r="AW610" s="170"/>
      <c r="AX610" s="170"/>
    </row>
    <row r="611" spans="1:50" ht="15" x14ac:dyDescent="0.25">
      <c r="A611" s="170"/>
      <c r="B611" s="719"/>
      <c r="C611" s="170"/>
      <c r="D611" s="170"/>
      <c r="E611" s="170"/>
      <c r="F611" s="170"/>
      <c r="G611" s="721"/>
      <c r="H611" s="170"/>
      <c r="I611" s="170"/>
      <c r="J611" s="170"/>
      <c r="K611" s="170"/>
      <c r="L611" s="170"/>
      <c r="M611" s="730"/>
      <c r="N611" s="730"/>
      <c r="O611" s="730"/>
      <c r="P611" s="731"/>
      <c r="Q611" s="731"/>
      <c r="R611" s="730"/>
      <c r="S611" s="730"/>
      <c r="T611" s="723"/>
      <c r="U611" s="724"/>
      <c r="V611" s="725"/>
      <c r="W611" s="725"/>
      <c r="X611" s="723"/>
      <c r="Y611" s="723"/>
      <c r="Z611" s="723"/>
      <c r="AA611" s="726"/>
      <c r="AB611" s="726"/>
      <c r="AC611" s="170"/>
      <c r="AD611" s="586"/>
      <c r="AE611" s="586"/>
      <c r="AF611" s="170"/>
      <c r="AG611" s="170"/>
      <c r="AH611" s="170"/>
      <c r="AI611" s="170"/>
      <c r="AJ611" s="170"/>
      <c r="AK611" s="170"/>
      <c r="AL611" s="170"/>
      <c r="AM611" s="170"/>
      <c r="AN611" s="170"/>
      <c r="AO611" s="170"/>
      <c r="AP611" s="170"/>
      <c r="AQ611" s="170"/>
      <c r="AR611" s="170"/>
      <c r="AS611" s="170"/>
      <c r="AT611" s="170"/>
      <c r="AU611" s="170"/>
      <c r="AV611" s="170"/>
      <c r="AW611" s="170"/>
      <c r="AX611" s="170"/>
    </row>
    <row r="612" spans="1:50" ht="15" x14ac:dyDescent="0.25">
      <c r="A612" s="170"/>
      <c r="B612" s="719"/>
      <c r="C612" s="170"/>
      <c r="D612" s="170"/>
      <c r="E612" s="170"/>
      <c r="F612" s="170"/>
      <c r="G612" s="721"/>
      <c r="H612" s="170"/>
      <c r="I612" s="170"/>
      <c r="J612" s="170"/>
      <c r="K612" s="170"/>
      <c r="L612" s="170"/>
      <c r="M612" s="730"/>
      <c r="N612" s="730"/>
      <c r="O612" s="730"/>
      <c r="P612" s="731"/>
      <c r="Q612" s="731"/>
      <c r="R612" s="730"/>
      <c r="S612" s="730"/>
      <c r="T612" s="723"/>
      <c r="U612" s="724"/>
      <c r="V612" s="725"/>
      <c r="W612" s="725"/>
      <c r="X612" s="723"/>
      <c r="Y612" s="723"/>
      <c r="Z612" s="723"/>
      <c r="AA612" s="726"/>
      <c r="AB612" s="726"/>
      <c r="AC612" s="170"/>
      <c r="AD612" s="586"/>
      <c r="AE612" s="586"/>
      <c r="AF612" s="170"/>
      <c r="AG612" s="170"/>
      <c r="AH612" s="170"/>
      <c r="AI612" s="170"/>
      <c r="AJ612" s="170"/>
      <c r="AK612" s="170"/>
      <c r="AL612" s="170"/>
      <c r="AM612" s="170"/>
      <c r="AN612" s="170"/>
      <c r="AO612" s="170"/>
      <c r="AP612" s="170"/>
      <c r="AQ612" s="170"/>
      <c r="AR612" s="170"/>
      <c r="AS612" s="170"/>
      <c r="AT612" s="170"/>
      <c r="AU612" s="170"/>
      <c r="AV612" s="170"/>
      <c r="AW612" s="170"/>
      <c r="AX612" s="170"/>
    </row>
    <row r="613" spans="1:50" ht="15" x14ac:dyDescent="0.25">
      <c r="A613" s="170"/>
      <c r="B613" s="719"/>
      <c r="C613" s="170"/>
      <c r="D613" s="170"/>
      <c r="E613" s="170"/>
      <c r="F613" s="170"/>
      <c r="G613" s="721"/>
      <c r="H613" s="170"/>
      <c r="I613" s="170"/>
      <c r="J613" s="170"/>
      <c r="K613" s="170"/>
      <c r="L613" s="170"/>
      <c r="M613" s="730"/>
      <c r="N613" s="730"/>
      <c r="O613" s="730"/>
      <c r="P613" s="731"/>
      <c r="Q613" s="731"/>
      <c r="R613" s="730"/>
      <c r="S613" s="730"/>
      <c r="T613" s="723"/>
      <c r="U613" s="724"/>
      <c r="V613" s="725"/>
      <c r="W613" s="725"/>
      <c r="X613" s="723"/>
      <c r="Y613" s="723"/>
      <c r="Z613" s="723"/>
      <c r="AA613" s="726"/>
      <c r="AB613" s="726"/>
      <c r="AC613" s="170"/>
      <c r="AD613" s="586"/>
      <c r="AE613" s="586"/>
      <c r="AF613" s="170"/>
      <c r="AG613" s="170"/>
      <c r="AH613" s="170"/>
      <c r="AI613" s="170"/>
      <c r="AJ613" s="170"/>
      <c r="AK613" s="170"/>
      <c r="AL613" s="170"/>
      <c r="AM613" s="170"/>
      <c r="AN613" s="170"/>
      <c r="AO613" s="170"/>
      <c r="AP613" s="170"/>
      <c r="AQ613" s="170"/>
      <c r="AR613" s="170"/>
      <c r="AS613" s="170"/>
      <c r="AT613" s="170"/>
      <c r="AU613" s="170"/>
      <c r="AV613" s="170"/>
      <c r="AW613" s="170"/>
      <c r="AX613" s="170"/>
    </row>
    <row r="614" spans="1:50" ht="15" x14ac:dyDescent="0.25">
      <c r="A614" s="170"/>
      <c r="B614" s="719"/>
      <c r="C614" s="170"/>
      <c r="D614" s="170"/>
      <c r="E614" s="170"/>
      <c r="F614" s="170"/>
      <c r="G614" s="721"/>
      <c r="H614" s="170"/>
      <c r="I614" s="170"/>
      <c r="J614" s="170"/>
      <c r="K614" s="170"/>
      <c r="L614" s="170"/>
      <c r="M614" s="730"/>
      <c r="N614" s="730"/>
      <c r="O614" s="730"/>
      <c r="P614" s="731"/>
      <c r="Q614" s="731"/>
      <c r="R614" s="730"/>
      <c r="S614" s="730"/>
      <c r="T614" s="723"/>
      <c r="U614" s="724"/>
      <c r="V614" s="725"/>
      <c r="W614" s="725"/>
      <c r="X614" s="723"/>
      <c r="Y614" s="723"/>
      <c r="Z614" s="723"/>
      <c r="AA614" s="726"/>
      <c r="AB614" s="726"/>
      <c r="AC614" s="170"/>
      <c r="AD614" s="586"/>
      <c r="AE614" s="586"/>
      <c r="AF614" s="170"/>
      <c r="AG614" s="170"/>
      <c r="AH614" s="170"/>
      <c r="AI614" s="170"/>
      <c r="AJ614" s="170"/>
      <c r="AK614" s="170"/>
      <c r="AL614" s="170"/>
      <c r="AM614" s="170"/>
      <c r="AN614" s="170"/>
      <c r="AO614" s="170"/>
      <c r="AP614" s="170"/>
      <c r="AQ614" s="170"/>
      <c r="AR614" s="170"/>
      <c r="AS614" s="170"/>
      <c r="AT614" s="170"/>
      <c r="AU614" s="170"/>
      <c r="AV614" s="170"/>
      <c r="AW614" s="170"/>
      <c r="AX614" s="170"/>
    </row>
    <row r="615" spans="1:50" ht="15" x14ac:dyDescent="0.25">
      <c r="A615" s="170"/>
      <c r="B615" s="719"/>
      <c r="C615" s="170"/>
      <c r="D615" s="170"/>
      <c r="E615" s="170"/>
      <c r="F615" s="170"/>
      <c r="G615" s="721"/>
      <c r="H615" s="170"/>
      <c r="I615" s="170"/>
      <c r="J615" s="170"/>
      <c r="K615" s="170"/>
      <c r="L615" s="170"/>
      <c r="M615" s="730"/>
      <c r="N615" s="730"/>
      <c r="O615" s="730"/>
      <c r="P615" s="731"/>
      <c r="Q615" s="731"/>
      <c r="R615" s="730"/>
      <c r="S615" s="730"/>
      <c r="T615" s="723"/>
      <c r="U615" s="724"/>
      <c r="V615" s="725"/>
      <c r="W615" s="725"/>
      <c r="X615" s="723"/>
      <c r="Y615" s="723"/>
      <c r="Z615" s="723"/>
      <c r="AA615" s="726"/>
      <c r="AB615" s="726"/>
      <c r="AC615" s="170"/>
      <c r="AD615" s="586"/>
      <c r="AE615" s="586"/>
      <c r="AF615" s="170"/>
      <c r="AG615" s="170"/>
      <c r="AH615" s="170"/>
      <c r="AI615" s="170"/>
      <c r="AJ615" s="170"/>
      <c r="AK615" s="170"/>
      <c r="AL615" s="170"/>
      <c r="AM615" s="170"/>
      <c r="AN615" s="170"/>
      <c r="AO615" s="170"/>
      <c r="AP615" s="170"/>
      <c r="AQ615" s="170"/>
      <c r="AR615" s="170"/>
      <c r="AS615" s="170"/>
      <c r="AT615" s="170"/>
      <c r="AU615" s="170"/>
      <c r="AV615" s="170"/>
      <c r="AW615" s="170"/>
      <c r="AX615" s="170"/>
    </row>
    <row r="616" spans="1:50" ht="15" x14ac:dyDescent="0.25">
      <c r="A616" s="170"/>
      <c r="B616" s="719"/>
      <c r="C616" s="170"/>
      <c r="D616" s="170"/>
      <c r="E616" s="170"/>
      <c r="F616" s="170"/>
      <c r="G616" s="721"/>
      <c r="H616" s="170"/>
      <c r="I616" s="170"/>
      <c r="J616" s="170"/>
      <c r="K616" s="170"/>
      <c r="L616" s="170"/>
      <c r="M616" s="730"/>
      <c r="N616" s="730"/>
      <c r="O616" s="730"/>
      <c r="P616" s="731"/>
      <c r="Q616" s="731"/>
      <c r="R616" s="730"/>
      <c r="S616" s="730"/>
      <c r="T616" s="723"/>
      <c r="U616" s="724"/>
      <c r="V616" s="725"/>
      <c r="W616" s="725"/>
      <c r="X616" s="723"/>
      <c r="Y616" s="723"/>
      <c r="Z616" s="723"/>
      <c r="AA616" s="726"/>
      <c r="AB616" s="726"/>
      <c r="AC616" s="170"/>
      <c r="AD616" s="586"/>
      <c r="AE616" s="586"/>
      <c r="AF616" s="170"/>
      <c r="AG616" s="170"/>
      <c r="AH616" s="170"/>
      <c r="AI616" s="170"/>
      <c r="AJ616" s="170"/>
      <c r="AK616" s="170"/>
      <c r="AL616" s="170"/>
      <c r="AM616" s="170"/>
      <c r="AN616" s="170"/>
      <c r="AO616" s="170"/>
      <c r="AP616" s="170"/>
      <c r="AQ616" s="170"/>
      <c r="AR616" s="170"/>
      <c r="AS616" s="170"/>
      <c r="AT616" s="170"/>
      <c r="AU616" s="170"/>
      <c r="AV616" s="170"/>
      <c r="AW616" s="170"/>
      <c r="AX616" s="170"/>
    </row>
    <row r="617" spans="1:50" ht="15" x14ac:dyDescent="0.25">
      <c r="A617" s="170"/>
      <c r="B617" s="719"/>
      <c r="C617" s="170"/>
      <c r="D617" s="170"/>
      <c r="E617" s="170"/>
      <c r="F617" s="170"/>
      <c r="G617" s="721"/>
      <c r="H617" s="170"/>
      <c r="I617" s="170"/>
      <c r="J617" s="170"/>
      <c r="K617" s="170"/>
      <c r="L617" s="170"/>
      <c r="M617" s="730"/>
      <c r="N617" s="730"/>
      <c r="O617" s="730"/>
      <c r="P617" s="731"/>
      <c r="Q617" s="731"/>
      <c r="R617" s="730"/>
      <c r="S617" s="730"/>
      <c r="T617" s="723"/>
      <c r="U617" s="724"/>
      <c r="V617" s="725"/>
      <c r="W617" s="725"/>
      <c r="X617" s="723"/>
      <c r="Y617" s="723"/>
      <c r="Z617" s="723"/>
      <c r="AA617" s="726"/>
      <c r="AB617" s="726"/>
      <c r="AC617" s="170"/>
      <c r="AD617" s="586"/>
      <c r="AE617" s="586"/>
      <c r="AF617" s="170"/>
      <c r="AG617" s="170"/>
      <c r="AH617" s="170"/>
      <c r="AI617" s="170"/>
      <c r="AJ617" s="170"/>
      <c r="AK617" s="170"/>
      <c r="AL617" s="170"/>
      <c r="AM617" s="170"/>
      <c r="AN617" s="170"/>
      <c r="AO617" s="170"/>
      <c r="AP617" s="170"/>
      <c r="AQ617" s="170"/>
      <c r="AR617" s="170"/>
      <c r="AS617" s="170"/>
      <c r="AT617" s="170"/>
      <c r="AU617" s="170"/>
      <c r="AV617" s="170"/>
      <c r="AW617" s="170"/>
      <c r="AX617" s="170"/>
    </row>
    <row r="618" spans="1:50" ht="15" x14ac:dyDescent="0.25">
      <c r="A618" s="170"/>
      <c r="B618" s="719"/>
      <c r="C618" s="170"/>
      <c r="D618" s="170"/>
      <c r="E618" s="170"/>
      <c r="F618" s="170"/>
      <c r="G618" s="721"/>
      <c r="H618" s="170"/>
      <c r="I618" s="170"/>
      <c r="J618" s="170"/>
      <c r="K618" s="170"/>
      <c r="L618" s="170"/>
      <c r="M618" s="730"/>
      <c r="N618" s="730"/>
      <c r="O618" s="730"/>
      <c r="P618" s="731"/>
      <c r="Q618" s="731"/>
      <c r="R618" s="730"/>
      <c r="S618" s="730"/>
      <c r="T618" s="723"/>
      <c r="U618" s="724"/>
      <c r="V618" s="725"/>
      <c r="W618" s="725"/>
      <c r="X618" s="723"/>
      <c r="Y618" s="723"/>
      <c r="Z618" s="723"/>
      <c r="AA618" s="726"/>
      <c r="AB618" s="726"/>
      <c r="AC618" s="170"/>
      <c r="AD618" s="586"/>
      <c r="AE618" s="586"/>
      <c r="AF618" s="170"/>
      <c r="AG618" s="170"/>
      <c r="AH618" s="170"/>
      <c r="AI618" s="170"/>
      <c r="AJ618" s="170"/>
      <c r="AK618" s="170"/>
      <c r="AL618" s="170"/>
      <c r="AM618" s="170"/>
      <c r="AN618" s="170"/>
      <c r="AO618" s="170"/>
      <c r="AP618" s="170"/>
      <c r="AQ618" s="170"/>
      <c r="AR618" s="170"/>
      <c r="AS618" s="170"/>
      <c r="AT618" s="170"/>
      <c r="AU618" s="170"/>
      <c r="AV618" s="170"/>
      <c r="AW618" s="170"/>
      <c r="AX618" s="170"/>
    </row>
    <row r="619" spans="1:50" ht="15" x14ac:dyDescent="0.25">
      <c r="A619" s="170"/>
      <c r="B619" s="719"/>
      <c r="C619" s="170"/>
      <c r="D619" s="170"/>
      <c r="E619" s="170"/>
      <c r="F619" s="170"/>
      <c r="G619" s="721"/>
      <c r="H619" s="170"/>
      <c r="I619" s="170"/>
      <c r="J619" s="170"/>
      <c r="K619" s="170"/>
      <c r="L619" s="170"/>
      <c r="M619" s="730"/>
      <c r="N619" s="730"/>
      <c r="O619" s="730"/>
      <c r="P619" s="731"/>
      <c r="Q619" s="731"/>
      <c r="R619" s="730"/>
      <c r="S619" s="730"/>
      <c r="T619" s="723"/>
      <c r="U619" s="724"/>
      <c r="V619" s="725"/>
      <c r="W619" s="725"/>
      <c r="X619" s="723"/>
      <c r="Y619" s="723"/>
      <c r="Z619" s="723"/>
      <c r="AA619" s="726"/>
      <c r="AB619" s="726"/>
      <c r="AC619" s="170"/>
      <c r="AD619" s="586"/>
      <c r="AE619" s="586"/>
      <c r="AF619" s="170"/>
      <c r="AG619" s="170"/>
      <c r="AH619" s="170"/>
      <c r="AI619" s="170"/>
      <c r="AJ619" s="170"/>
      <c r="AK619" s="170"/>
      <c r="AL619" s="170"/>
      <c r="AM619" s="170"/>
      <c r="AN619" s="170"/>
      <c r="AO619" s="170"/>
      <c r="AP619" s="170"/>
      <c r="AQ619" s="170"/>
      <c r="AR619" s="170"/>
      <c r="AS619" s="170"/>
      <c r="AT619" s="170"/>
      <c r="AU619" s="170"/>
      <c r="AV619" s="170"/>
      <c r="AW619" s="170"/>
      <c r="AX619" s="170"/>
    </row>
    <row r="620" spans="1:50" ht="15" x14ac:dyDescent="0.25">
      <c r="A620" s="170"/>
      <c r="B620" s="719"/>
      <c r="C620" s="170"/>
      <c r="D620" s="170"/>
      <c r="E620" s="170"/>
      <c r="F620" s="170"/>
      <c r="G620" s="721"/>
      <c r="H620" s="170"/>
      <c r="I620" s="170"/>
      <c r="J620" s="170"/>
      <c r="K620" s="170"/>
      <c r="L620" s="170"/>
      <c r="M620" s="730"/>
      <c r="N620" s="730"/>
      <c r="O620" s="730"/>
      <c r="P620" s="731"/>
      <c r="Q620" s="731"/>
      <c r="R620" s="730"/>
      <c r="S620" s="730"/>
      <c r="T620" s="723"/>
      <c r="U620" s="724"/>
      <c r="V620" s="725"/>
      <c r="W620" s="725"/>
      <c r="X620" s="723"/>
      <c r="Y620" s="723"/>
      <c r="Z620" s="723"/>
      <c r="AA620" s="726"/>
      <c r="AB620" s="726"/>
      <c r="AC620" s="170"/>
      <c r="AD620" s="586"/>
      <c r="AE620" s="586"/>
      <c r="AF620" s="170"/>
      <c r="AG620" s="170"/>
      <c r="AH620" s="170"/>
      <c r="AI620" s="170"/>
      <c r="AJ620" s="170"/>
      <c r="AK620" s="170"/>
      <c r="AL620" s="170"/>
      <c r="AM620" s="170"/>
      <c r="AN620" s="170"/>
      <c r="AO620" s="170"/>
      <c r="AP620" s="170"/>
      <c r="AQ620" s="170"/>
      <c r="AR620" s="170"/>
      <c r="AS620" s="170"/>
      <c r="AT620" s="170"/>
      <c r="AU620" s="170"/>
      <c r="AV620" s="170"/>
      <c r="AW620" s="170"/>
      <c r="AX620" s="170"/>
    </row>
    <row r="621" spans="1:50" ht="15" x14ac:dyDescent="0.25">
      <c r="A621" s="170"/>
      <c r="B621" s="719"/>
      <c r="C621" s="170"/>
      <c r="D621" s="170"/>
      <c r="E621" s="170"/>
      <c r="F621" s="170"/>
      <c r="G621" s="721"/>
      <c r="H621" s="170"/>
      <c r="I621" s="170"/>
      <c r="J621" s="170"/>
      <c r="K621" s="170"/>
      <c r="L621" s="170"/>
      <c r="M621" s="730"/>
      <c r="N621" s="730"/>
      <c r="O621" s="730"/>
      <c r="P621" s="731"/>
      <c r="Q621" s="731"/>
      <c r="R621" s="730"/>
      <c r="S621" s="730"/>
      <c r="T621" s="723"/>
      <c r="U621" s="724"/>
      <c r="V621" s="725"/>
      <c r="W621" s="725"/>
      <c r="X621" s="723"/>
      <c r="Y621" s="723"/>
      <c r="Z621" s="723"/>
      <c r="AA621" s="726"/>
      <c r="AB621" s="726"/>
      <c r="AC621" s="170"/>
      <c r="AD621" s="586"/>
      <c r="AE621" s="586"/>
      <c r="AF621" s="170"/>
      <c r="AG621" s="170"/>
      <c r="AH621" s="170"/>
      <c r="AI621" s="170"/>
      <c r="AJ621" s="170"/>
      <c r="AK621" s="170"/>
      <c r="AL621" s="170"/>
      <c r="AM621" s="170"/>
      <c r="AN621" s="170"/>
      <c r="AO621" s="170"/>
      <c r="AP621" s="170"/>
      <c r="AQ621" s="170"/>
      <c r="AR621" s="170"/>
      <c r="AS621" s="170"/>
      <c r="AT621" s="170"/>
      <c r="AU621" s="170"/>
      <c r="AV621" s="170"/>
      <c r="AW621" s="170"/>
      <c r="AX621" s="170"/>
    </row>
    <row r="622" spans="1:50" ht="15" x14ac:dyDescent="0.25">
      <c r="A622" s="170"/>
      <c r="B622" s="719"/>
      <c r="C622" s="170"/>
      <c r="D622" s="170"/>
      <c r="E622" s="170"/>
      <c r="F622" s="170"/>
      <c r="G622" s="721"/>
      <c r="H622" s="170"/>
      <c r="I622" s="170"/>
      <c r="J622" s="170"/>
      <c r="K622" s="170"/>
      <c r="L622" s="170"/>
      <c r="M622" s="730"/>
      <c r="N622" s="730"/>
      <c r="O622" s="730"/>
      <c r="P622" s="731"/>
      <c r="Q622" s="731"/>
      <c r="R622" s="730"/>
      <c r="S622" s="730"/>
      <c r="T622" s="723"/>
      <c r="U622" s="724"/>
      <c r="V622" s="725"/>
      <c r="W622" s="725"/>
      <c r="X622" s="723"/>
      <c r="Y622" s="723"/>
      <c r="Z622" s="723"/>
      <c r="AA622" s="726"/>
      <c r="AB622" s="726"/>
      <c r="AC622" s="170"/>
      <c r="AD622" s="586"/>
      <c r="AE622" s="586"/>
      <c r="AF622" s="170"/>
      <c r="AG622" s="170"/>
      <c r="AH622" s="170"/>
      <c r="AI622" s="170"/>
      <c r="AJ622" s="170"/>
      <c r="AK622" s="170"/>
      <c r="AL622" s="170"/>
      <c r="AM622" s="170"/>
      <c r="AN622" s="170"/>
      <c r="AO622" s="170"/>
      <c r="AP622" s="170"/>
      <c r="AQ622" s="170"/>
      <c r="AR622" s="170"/>
      <c r="AS622" s="170"/>
      <c r="AT622" s="170"/>
      <c r="AU622" s="170"/>
      <c r="AV622" s="170"/>
      <c r="AW622" s="170"/>
      <c r="AX622" s="170"/>
    </row>
    <row r="623" spans="1:50" ht="15" x14ac:dyDescent="0.25">
      <c r="A623" s="170"/>
      <c r="B623" s="719"/>
      <c r="C623" s="170"/>
      <c r="D623" s="170"/>
      <c r="E623" s="170"/>
      <c r="F623" s="170"/>
      <c r="G623" s="721"/>
      <c r="H623" s="170"/>
      <c r="I623" s="170"/>
      <c r="J623" s="170"/>
      <c r="K623" s="170"/>
      <c r="L623" s="170"/>
      <c r="M623" s="730"/>
      <c r="N623" s="730"/>
      <c r="O623" s="730"/>
      <c r="P623" s="731"/>
      <c r="Q623" s="731"/>
      <c r="R623" s="730"/>
      <c r="S623" s="730"/>
      <c r="T623" s="723"/>
      <c r="U623" s="724"/>
      <c r="V623" s="725"/>
      <c r="W623" s="725"/>
      <c r="X623" s="723"/>
      <c r="Y623" s="723"/>
      <c r="Z623" s="723"/>
      <c r="AA623" s="726"/>
      <c r="AB623" s="726"/>
      <c r="AC623" s="170"/>
      <c r="AD623" s="586"/>
      <c r="AE623" s="586"/>
      <c r="AF623" s="170"/>
      <c r="AG623" s="170"/>
      <c r="AH623" s="170"/>
      <c r="AI623" s="170"/>
      <c r="AJ623" s="170"/>
      <c r="AK623" s="170"/>
      <c r="AL623" s="170"/>
      <c r="AM623" s="170"/>
      <c r="AN623" s="170"/>
      <c r="AO623" s="170"/>
      <c r="AP623" s="170"/>
      <c r="AQ623" s="170"/>
      <c r="AR623" s="170"/>
      <c r="AS623" s="170"/>
      <c r="AT623" s="170"/>
      <c r="AU623" s="170"/>
      <c r="AV623" s="170"/>
      <c r="AW623" s="170"/>
      <c r="AX623" s="170"/>
    </row>
    <row r="624" spans="1:50" ht="15" x14ac:dyDescent="0.25">
      <c r="A624" s="170"/>
      <c r="B624" s="719"/>
      <c r="C624" s="170"/>
      <c r="D624" s="170"/>
      <c r="E624" s="170"/>
      <c r="F624" s="170"/>
      <c r="G624" s="721"/>
      <c r="H624" s="170"/>
      <c r="I624" s="170"/>
      <c r="J624" s="170"/>
      <c r="K624" s="170"/>
      <c r="L624" s="170"/>
      <c r="M624" s="730"/>
      <c r="N624" s="730"/>
      <c r="O624" s="730"/>
      <c r="P624" s="731"/>
      <c r="Q624" s="731"/>
      <c r="R624" s="730"/>
      <c r="S624" s="730"/>
      <c r="T624" s="723"/>
      <c r="U624" s="724"/>
      <c r="V624" s="725"/>
      <c r="W624" s="725"/>
      <c r="X624" s="723"/>
      <c r="Y624" s="723"/>
      <c r="Z624" s="723"/>
      <c r="AA624" s="726"/>
      <c r="AB624" s="726"/>
      <c r="AC624" s="170"/>
      <c r="AD624" s="586"/>
      <c r="AE624" s="586"/>
      <c r="AF624" s="170"/>
      <c r="AG624" s="170"/>
      <c r="AH624" s="170"/>
      <c r="AI624" s="170"/>
      <c r="AJ624" s="170"/>
      <c r="AK624" s="170"/>
      <c r="AL624" s="170"/>
      <c r="AM624" s="170"/>
      <c r="AN624" s="170"/>
      <c r="AO624" s="170"/>
      <c r="AP624" s="170"/>
      <c r="AQ624" s="170"/>
      <c r="AR624" s="170"/>
      <c r="AS624" s="170"/>
      <c r="AT624" s="170"/>
      <c r="AU624" s="170"/>
      <c r="AV624" s="170"/>
      <c r="AW624" s="170"/>
      <c r="AX624" s="170"/>
    </row>
    <row r="625" spans="1:50" ht="15" x14ac:dyDescent="0.25">
      <c r="A625" s="170"/>
      <c r="B625" s="719"/>
      <c r="C625" s="170"/>
      <c r="D625" s="170"/>
      <c r="E625" s="170"/>
      <c r="F625" s="170"/>
      <c r="G625" s="721"/>
      <c r="H625" s="170"/>
      <c r="I625" s="170"/>
      <c r="J625" s="170"/>
      <c r="K625" s="170"/>
      <c r="L625" s="170"/>
      <c r="M625" s="730"/>
      <c r="N625" s="730"/>
      <c r="O625" s="730"/>
      <c r="P625" s="731"/>
      <c r="Q625" s="731"/>
      <c r="R625" s="730"/>
      <c r="S625" s="730"/>
      <c r="T625" s="723"/>
      <c r="U625" s="724"/>
      <c r="V625" s="725"/>
      <c r="W625" s="725"/>
      <c r="X625" s="723"/>
      <c r="Y625" s="723"/>
      <c r="Z625" s="723"/>
      <c r="AA625" s="726"/>
      <c r="AB625" s="726"/>
      <c r="AC625" s="170"/>
      <c r="AD625" s="586"/>
      <c r="AE625" s="586"/>
      <c r="AF625" s="170"/>
      <c r="AG625" s="170"/>
      <c r="AH625" s="170"/>
      <c r="AI625" s="170"/>
      <c r="AJ625" s="170"/>
      <c r="AK625" s="170"/>
      <c r="AL625" s="170"/>
      <c r="AM625" s="170"/>
      <c r="AN625" s="170"/>
      <c r="AO625" s="170"/>
      <c r="AP625" s="170"/>
      <c r="AQ625" s="170"/>
      <c r="AR625" s="170"/>
      <c r="AS625" s="170"/>
      <c r="AT625" s="170"/>
      <c r="AU625" s="170"/>
      <c r="AV625" s="170"/>
      <c r="AW625" s="170"/>
      <c r="AX625" s="170"/>
    </row>
    <row r="626" spans="1:50" ht="15" x14ac:dyDescent="0.25">
      <c r="A626" s="170"/>
      <c r="B626" s="719"/>
      <c r="C626" s="170"/>
      <c r="D626" s="170"/>
      <c r="E626" s="170"/>
      <c r="F626" s="170"/>
      <c r="G626" s="721"/>
      <c r="H626" s="170"/>
      <c r="I626" s="170"/>
      <c r="J626" s="170"/>
      <c r="K626" s="170"/>
      <c r="L626" s="170"/>
      <c r="M626" s="730"/>
      <c r="N626" s="730"/>
      <c r="O626" s="730"/>
      <c r="P626" s="731"/>
      <c r="Q626" s="731"/>
      <c r="R626" s="730"/>
      <c r="S626" s="730"/>
      <c r="T626" s="723"/>
      <c r="U626" s="724"/>
      <c r="V626" s="725"/>
      <c r="W626" s="725"/>
      <c r="X626" s="723"/>
      <c r="Y626" s="723"/>
      <c r="Z626" s="723"/>
      <c r="AA626" s="726"/>
      <c r="AB626" s="726"/>
      <c r="AC626" s="170"/>
      <c r="AD626" s="586"/>
      <c r="AE626" s="586"/>
      <c r="AF626" s="170"/>
      <c r="AG626" s="170"/>
      <c r="AH626" s="170"/>
      <c r="AI626" s="170"/>
      <c r="AJ626" s="170"/>
      <c r="AK626" s="170"/>
      <c r="AL626" s="170"/>
      <c r="AM626" s="170"/>
      <c r="AN626" s="170"/>
      <c r="AO626" s="170"/>
      <c r="AP626" s="170"/>
      <c r="AQ626" s="170"/>
      <c r="AR626" s="170"/>
      <c r="AS626" s="170"/>
      <c r="AT626" s="170"/>
      <c r="AU626" s="170"/>
      <c r="AV626" s="170"/>
      <c r="AW626" s="170"/>
      <c r="AX626" s="170"/>
    </row>
    <row r="627" spans="1:50" ht="15" x14ac:dyDescent="0.25">
      <c r="A627" s="170"/>
      <c r="B627" s="719"/>
      <c r="C627" s="170"/>
      <c r="D627" s="170"/>
      <c r="E627" s="170"/>
      <c r="F627" s="170"/>
      <c r="G627" s="721"/>
      <c r="H627" s="170"/>
      <c r="I627" s="170"/>
      <c r="J627" s="170"/>
      <c r="K627" s="170"/>
      <c r="L627" s="170"/>
      <c r="M627" s="730"/>
      <c r="N627" s="730"/>
      <c r="O627" s="730"/>
      <c r="P627" s="731"/>
      <c r="Q627" s="731"/>
      <c r="R627" s="730"/>
      <c r="S627" s="730"/>
      <c r="T627" s="723"/>
      <c r="U627" s="724"/>
      <c r="V627" s="725"/>
      <c r="W627" s="725"/>
      <c r="X627" s="723"/>
      <c r="Y627" s="723"/>
      <c r="Z627" s="723"/>
      <c r="AA627" s="726"/>
      <c r="AB627" s="726"/>
      <c r="AC627" s="170"/>
      <c r="AD627" s="586"/>
      <c r="AE627" s="586"/>
      <c r="AF627" s="170"/>
      <c r="AG627" s="170"/>
      <c r="AH627" s="170"/>
      <c r="AI627" s="170"/>
      <c r="AJ627" s="170"/>
      <c r="AK627" s="170"/>
      <c r="AL627" s="170"/>
      <c r="AM627" s="170"/>
      <c r="AN627" s="170"/>
      <c r="AO627" s="170"/>
      <c r="AP627" s="170"/>
      <c r="AQ627" s="170"/>
      <c r="AR627" s="170"/>
      <c r="AS627" s="170"/>
      <c r="AT627" s="170"/>
      <c r="AU627" s="170"/>
      <c r="AV627" s="170"/>
      <c r="AW627" s="170"/>
      <c r="AX627" s="170"/>
    </row>
    <row r="628" spans="1:50" ht="15" x14ac:dyDescent="0.25">
      <c r="A628" s="170"/>
      <c r="B628" s="719"/>
      <c r="C628" s="170"/>
      <c r="D628" s="170"/>
      <c r="E628" s="170"/>
      <c r="F628" s="170"/>
      <c r="G628" s="721"/>
      <c r="H628" s="170"/>
      <c r="I628" s="170"/>
      <c r="J628" s="170"/>
      <c r="K628" s="170"/>
      <c r="L628" s="170"/>
      <c r="M628" s="730"/>
      <c r="N628" s="730"/>
      <c r="O628" s="730"/>
      <c r="P628" s="731"/>
      <c r="Q628" s="731"/>
      <c r="R628" s="730"/>
      <c r="S628" s="730"/>
      <c r="T628" s="723"/>
      <c r="U628" s="724"/>
      <c r="V628" s="725"/>
      <c r="W628" s="725"/>
      <c r="X628" s="723"/>
      <c r="Y628" s="723"/>
      <c r="Z628" s="723"/>
      <c r="AA628" s="726"/>
      <c r="AB628" s="726"/>
      <c r="AC628" s="170"/>
      <c r="AD628" s="586"/>
      <c r="AE628" s="586"/>
      <c r="AF628" s="170"/>
      <c r="AG628" s="170"/>
      <c r="AH628" s="170"/>
      <c r="AI628" s="170"/>
      <c r="AJ628" s="170"/>
      <c r="AK628" s="170"/>
      <c r="AL628" s="170"/>
      <c r="AM628" s="170"/>
      <c r="AN628" s="170"/>
      <c r="AO628" s="170"/>
      <c r="AP628" s="170"/>
      <c r="AQ628" s="170"/>
      <c r="AR628" s="170"/>
      <c r="AS628" s="170"/>
      <c r="AT628" s="170"/>
      <c r="AU628" s="170"/>
      <c r="AV628" s="170"/>
      <c r="AW628" s="170"/>
      <c r="AX628" s="170"/>
    </row>
    <row r="629" spans="1:50" ht="15" x14ac:dyDescent="0.25">
      <c r="A629" s="170"/>
      <c r="B629" s="719"/>
      <c r="C629" s="170"/>
      <c r="D629" s="170"/>
      <c r="E629" s="170"/>
      <c r="F629" s="170"/>
      <c r="G629" s="721"/>
      <c r="H629" s="170"/>
      <c r="I629" s="170"/>
      <c r="J629" s="170"/>
      <c r="K629" s="170"/>
      <c r="L629" s="170"/>
      <c r="M629" s="730"/>
      <c r="N629" s="730"/>
      <c r="O629" s="730"/>
      <c r="P629" s="731"/>
      <c r="Q629" s="731"/>
      <c r="R629" s="730"/>
      <c r="S629" s="730"/>
      <c r="T629" s="723"/>
      <c r="U629" s="724"/>
      <c r="V629" s="725"/>
      <c r="W629" s="725"/>
      <c r="X629" s="723"/>
      <c r="Y629" s="723"/>
      <c r="Z629" s="723"/>
      <c r="AA629" s="726"/>
      <c r="AB629" s="726"/>
      <c r="AC629" s="170"/>
      <c r="AD629" s="586"/>
      <c r="AE629" s="586"/>
      <c r="AF629" s="170"/>
      <c r="AG629" s="170"/>
      <c r="AH629" s="170"/>
      <c r="AI629" s="170"/>
      <c r="AJ629" s="170"/>
      <c r="AK629" s="170"/>
      <c r="AL629" s="170"/>
      <c r="AM629" s="170"/>
      <c r="AN629" s="170"/>
      <c r="AO629" s="170"/>
      <c r="AP629" s="170"/>
      <c r="AQ629" s="170"/>
      <c r="AR629" s="170"/>
      <c r="AS629" s="170"/>
      <c r="AT629" s="170"/>
      <c r="AU629" s="170"/>
      <c r="AV629" s="170"/>
      <c r="AW629" s="170"/>
      <c r="AX629" s="170"/>
    </row>
    <row r="630" spans="1:50" ht="15" x14ac:dyDescent="0.25">
      <c r="A630" s="170"/>
      <c r="B630" s="719"/>
      <c r="C630" s="170"/>
      <c r="D630" s="170"/>
      <c r="E630" s="170"/>
      <c r="F630" s="170"/>
      <c r="G630" s="721"/>
      <c r="H630" s="170"/>
      <c r="I630" s="170"/>
      <c r="J630" s="170"/>
      <c r="K630" s="170"/>
      <c r="L630" s="170"/>
      <c r="M630" s="730"/>
      <c r="N630" s="730"/>
      <c r="O630" s="730"/>
      <c r="P630" s="731"/>
      <c r="Q630" s="731"/>
      <c r="R630" s="730"/>
      <c r="S630" s="730"/>
      <c r="T630" s="723"/>
      <c r="U630" s="724"/>
      <c r="V630" s="725"/>
      <c r="W630" s="725"/>
      <c r="X630" s="723"/>
      <c r="Y630" s="723"/>
      <c r="Z630" s="723"/>
      <c r="AA630" s="726"/>
      <c r="AB630" s="726"/>
      <c r="AC630" s="170"/>
      <c r="AD630" s="586"/>
      <c r="AE630" s="586"/>
      <c r="AF630" s="170"/>
      <c r="AG630" s="170"/>
      <c r="AH630" s="170"/>
      <c r="AI630" s="170"/>
      <c r="AJ630" s="170"/>
      <c r="AK630" s="170"/>
      <c r="AL630" s="170"/>
      <c r="AM630" s="170"/>
      <c r="AN630" s="170"/>
      <c r="AO630" s="170"/>
      <c r="AP630" s="170"/>
      <c r="AQ630" s="170"/>
      <c r="AR630" s="170"/>
      <c r="AS630" s="170"/>
      <c r="AT630" s="170"/>
      <c r="AU630" s="170"/>
      <c r="AV630" s="170"/>
      <c r="AW630" s="170"/>
      <c r="AX630" s="170"/>
    </row>
    <row r="631" spans="1:50" ht="15" x14ac:dyDescent="0.25">
      <c r="A631" s="170"/>
      <c r="B631" s="719"/>
      <c r="C631" s="170"/>
      <c r="D631" s="170"/>
      <c r="E631" s="170"/>
      <c r="F631" s="170"/>
      <c r="G631" s="721"/>
      <c r="H631" s="170"/>
      <c r="I631" s="170"/>
      <c r="J631" s="170"/>
      <c r="K631" s="170"/>
      <c r="L631" s="170"/>
      <c r="M631" s="730"/>
      <c r="N631" s="730"/>
      <c r="O631" s="730"/>
      <c r="P631" s="731"/>
      <c r="Q631" s="731"/>
      <c r="R631" s="730"/>
      <c r="S631" s="730"/>
      <c r="T631" s="723"/>
      <c r="U631" s="724"/>
      <c r="V631" s="725"/>
      <c r="W631" s="725"/>
      <c r="X631" s="723"/>
      <c r="Y631" s="723"/>
      <c r="Z631" s="723"/>
      <c r="AA631" s="726"/>
      <c r="AB631" s="726"/>
      <c r="AC631" s="170"/>
      <c r="AD631" s="586"/>
      <c r="AE631" s="586"/>
      <c r="AF631" s="170"/>
      <c r="AG631" s="170"/>
      <c r="AH631" s="170"/>
      <c r="AI631" s="170"/>
      <c r="AJ631" s="170"/>
      <c r="AK631" s="170"/>
      <c r="AL631" s="170"/>
      <c r="AM631" s="170"/>
      <c r="AN631" s="170"/>
      <c r="AO631" s="170"/>
      <c r="AP631" s="170"/>
      <c r="AQ631" s="170"/>
      <c r="AR631" s="170"/>
      <c r="AS631" s="170"/>
      <c r="AT631" s="170"/>
      <c r="AU631" s="170"/>
      <c r="AV631" s="170"/>
      <c r="AW631" s="170"/>
      <c r="AX631" s="170"/>
    </row>
    <row r="632" spans="1:50" ht="15" x14ac:dyDescent="0.25">
      <c r="A632" s="170"/>
      <c r="B632" s="719"/>
      <c r="C632" s="170"/>
      <c r="D632" s="170"/>
      <c r="E632" s="170"/>
      <c r="F632" s="170"/>
      <c r="G632" s="721"/>
      <c r="H632" s="170"/>
      <c r="I632" s="170"/>
      <c r="J632" s="170"/>
      <c r="K632" s="170"/>
      <c r="L632" s="170"/>
      <c r="M632" s="730"/>
      <c r="N632" s="730"/>
      <c r="O632" s="730"/>
      <c r="P632" s="731"/>
      <c r="Q632" s="731"/>
      <c r="R632" s="730"/>
      <c r="S632" s="730"/>
      <c r="T632" s="723"/>
      <c r="U632" s="724"/>
      <c r="V632" s="725"/>
      <c r="W632" s="725"/>
      <c r="X632" s="723"/>
      <c r="Y632" s="723"/>
      <c r="Z632" s="723"/>
      <c r="AA632" s="726"/>
      <c r="AB632" s="726"/>
      <c r="AC632" s="170"/>
      <c r="AD632" s="586"/>
      <c r="AE632" s="586"/>
      <c r="AF632" s="170"/>
      <c r="AG632" s="170"/>
      <c r="AH632" s="170"/>
      <c r="AI632" s="170"/>
      <c r="AJ632" s="170"/>
      <c r="AK632" s="170"/>
      <c r="AL632" s="170"/>
      <c r="AM632" s="170"/>
      <c r="AN632" s="170"/>
      <c r="AO632" s="170"/>
      <c r="AP632" s="170"/>
      <c r="AQ632" s="170"/>
      <c r="AR632" s="170"/>
      <c r="AS632" s="170"/>
      <c r="AT632" s="170"/>
      <c r="AU632" s="170"/>
      <c r="AV632" s="170"/>
      <c r="AW632" s="170"/>
      <c r="AX632" s="170"/>
    </row>
    <row r="633" spans="1:50" ht="15" x14ac:dyDescent="0.25">
      <c r="A633" s="170"/>
      <c r="B633" s="719"/>
      <c r="C633" s="170"/>
      <c r="D633" s="170"/>
      <c r="E633" s="170"/>
      <c r="F633" s="170"/>
      <c r="G633" s="721"/>
      <c r="H633" s="170"/>
      <c r="I633" s="170"/>
      <c r="J633" s="170"/>
      <c r="K633" s="170"/>
      <c r="L633" s="170"/>
      <c r="M633" s="730"/>
      <c r="N633" s="730"/>
      <c r="O633" s="730"/>
      <c r="P633" s="731"/>
      <c r="Q633" s="731"/>
      <c r="R633" s="730"/>
      <c r="S633" s="730"/>
      <c r="T633" s="723"/>
      <c r="U633" s="724"/>
      <c r="V633" s="725"/>
      <c r="W633" s="725"/>
      <c r="X633" s="723"/>
      <c r="Y633" s="723"/>
      <c r="Z633" s="723"/>
      <c r="AA633" s="726"/>
      <c r="AB633" s="726"/>
      <c r="AC633" s="170"/>
      <c r="AD633" s="586"/>
      <c r="AE633" s="586"/>
      <c r="AF633" s="170"/>
      <c r="AG633" s="170"/>
      <c r="AH633" s="170"/>
      <c r="AI633" s="170"/>
      <c r="AJ633" s="170"/>
      <c r="AK633" s="170"/>
      <c r="AL633" s="170"/>
      <c r="AM633" s="170"/>
      <c r="AN633" s="170"/>
      <c r="AO633" s="170"/>
      <c r="AP633" s="170"/>
      <c r="AQ633" s="170"/>
      <c r="AR633" s="170"/>
      <c r="AS633" s="170"/>
      <c r="AT633" s="170"/>
      <c r="AU633" s="170"/>
      <c r="AV633" s="170"/>
      <c r="AW633" s="170"/>
      <c r="AX633" s="170"/>
    </row>
    <row r="634" spans="1:50" ht="15" x14ac:dyDescent="0.25">
      <c r="A634" s="170"/>
      <c r="B634" s="719"/>
      <c r="C634" s="170"/>
      <c r="D634" s="170"/>
      <c r="E634" s="170"/>
      <c r="F634" s="170"/>
      <c r="G634" s="721"/>
      <c r="H634" s="170"/>
      <c r="I634" s="170"/>
      <c r="J634" s="170"/>
      <c r="K634" s="170"/>
      <c r="L634" s="170"/>
      <c r="M634" s="730"/>
      <c r="N634" s="730"/>
      <c r="O634" s="730"/>
      <c r="P634" s="731"/>
      <c r="Q634" s="731"/>
      <c r="R634" s="730"/>
      <c r="S634" s="730"/>
      <c r="T634" s="723"/>
      <c r="U634" s="724"/>
      <c r="V634" s="725"/>
      <c r="W634" s="725"/>
      <c r="X634" s="723"/>
      <c r="Y634" s="723"/>
      <c r="Z634" s="723"/>
      <c r="AA634" s="726"/>
      <c r="AB634" s="726"/>
      <c r="AC634" s="170"/>
      <c r="AD634" s="586"/>
      <c r="AE634" s="586"/>
      <c r="AF634" s="170"/>
      <c r="AG634" s="170"/>
      <c r="AH634" s="170"/>
      <c r="AI634" s="170"/>
      <c r="AJ634" s="170"/>
      <c r="AK634" s="170"/>
      <c r="AL634" s="170"/>
      <c r="AM634" s="170"/>
      <c r="AN634" s="170"/>
      <c r="AO634" s="170"/>
      <c r="AP634" s="170"/>
      <c r="AQ634" s="170"/>
      <c r="AR634" s="170"/>
      <c r="AS634" s="170"/>
      <c r="AT634" s="170"/>
      <c r="AU634" s="170"/>
      <c r="AV634" s="170"/>
      <c r="AW634" s="170"/>
      <c r="AX634" s="170"/>
    </row>
    <row r="635" spans="1:50" ht="15" x14ac:dyDescent="0.25">
      <c r="A635" s="170"/>
      <c r="B635" s="719"/>
      <c r="C635" s="170"/>
      <c r="D635" s="170"/>
      <c r="E635" s="170"/>
      <c r="F635" s="170"/>
      <c r="G635" s="721"/>
      <c r="H635" s="170"/>
      <c r="I635" s="170"/>
      <c r="J635" s="170"/>
      <c r="K635" s="170"/>
      <c r="L635" s="170"/>
      <c r="M635" s="730"/>
      <c r="N635" s="730"/>
      <c r="O635" s="730"/>
      <c r="P635" s="731"/>
      <c r="Q635" s="731"/>
      <c r="R635" s="730"/>
      <c r="S635" s="730"/>
      <c r="T635" s="723"/>
      <c r="U635" s="724"/>
      <c r="V635" s="725"/>
      <c r="W635" s="725"/>
      <c r="X635" s="723"/>
      <c r="Y635" s="723"/>
      <c r="Z635" s="723"/>
      <c r="AA635" s="726"/>
      <c r="AB635" s="726"/>
      <c r="AC635" s="170"/>
      <c r="AD635" s="586"/>
      <c r="AE635" s="586"/>
      <c r="AF635" s="170"/>
      <c r="AG635" s="170"/>
      <c r="AH635" s="170"/>
      <c r="AI635" s="170"/>
      <c r="AJ635" s="170"/>
      <c r="AK635" s="170"/>
      <c r="AL635" s="170"/>
      <c r="AM635" s="170"/>
      <c r="AN635" s="170"/>
      <c r="AO635" s="170"/>
      <c r="AP635" s="170"/>
      <c r="AQ635" s="170"/>
      <c r="AR635" s="170"/>
      <c r="AS635" s="170"/>
      <c r="AT635" s="170"/>
      <c r="AU635" s="170"/>
      <c r="AV635" s="170"/>
      <c r="AW635" s="170"/>
      <c r="AX635" s="170"/>
    </row>
    <row r="636" spans="1:50" ht="15" x14ac:dyDescent="0.25">
      <c r="A636" s="170"/>
      <c r="B636" s="719"/>
      <c r="C636" s="170"/>
      <c r="D636" s="170"/>
      <c r="E636" s="170"/>
      <c r="F636" s="170"/>
      <c r="G636" s="721"/>
      <c r="H636" s="170"/>
      <c r="I636" s="170"/>
      <c r="J636" s="170"/>
      <c r="K636" s="170"/>
      <c r="L636" s="170"/>
      <c r="M636" s="730"/>
      <c r="N636" s="730"/>
      <c r="O636" s="730"/>
      <c r="P636" s="731"/>
      <c r="Q636" s="731"/>
      <c r="R636" s="730"/>
      <c r="S636" s="730"/>
      <c r="T636" s="723"/>
      <c r="U636" s="724"/>
      <c r="V636" s="725"/>
      <c r="W636" s="725"/>
      <c r="X636" s="723"/>
      <c r="Y636" s="723"/>
      <c r="Z636" s="723"/>
      <c r="AA636" s="726"/>
      <c r="AB636" s="726"/>
      <c r="AC636" s="170"/>
      <c r="AD636" s="586"/>
      <c r="AE636" s="586"/>
      <c r="AF636" s="170"/>
      <c r="AG636" s="170"/>
      <c r="AH636" s="170"/>
      <c r="AI636" s="170"/>
      <c r="AJ636" s="170"/>
      <c r="AK636" s="170"/>
      <c r="AL636" s="170"/>
      <c r="AM636" s="170"/>
      <c r="AN636" s="170"/>
      <c r="AO636" s="170"/>
      <c r="AP636" s="170"/>
      <c r="AQ636" s="170"/>
      <c r="AR636" s="170"/>
      <c r="AS636" s="170"/>
      <c r="AT636" s="170"/>
      <c r="AU636" s="170"/>
      <c r="AV636" s="170"/>
      <c r="AW636" s="170"/>
      <c r="AX636" s="170"/>
    </row>
    <row r="637" spans="1:50" ht="15" x14ac:dyDescent="0.25">
      <c r="A637" s="170"/>
      <c r="B637" s="719"/>
      <c r="C637" s="170"/>
      <c r="D637" s="170"/>
      <c r="E637" s="170"/>
      <c r="F637" s="170"/>
      <c r="G637" s="721"/>
      <c r="H637" s="170"/>
      <c r="I637" s="170"/>
      <c r="J637" s="170"/>
      <c r="K637" s="170"/>
      <c r="L637" s="170"/>
      <c r="M637" s="730"/>
      <c r="N637" s="730"/>
      <c r="O637" s="730"/>
      <c r="P637" s="731"/>
      <c r="Q637" s="731"/>
      <c r="R637" s="730"/>
      <c r="S637" s="730"/>
      <c r="T637" s="723"/>
      <c r="U637" s="724"/>
      <c r="V637" s="725"/>
      <c r="W637" s="725"/>
      <c r="X637" s="723"/>
      <c r="Y637" s="723"/>
      <c r="Z637" s="723"/>
      <c r="AA637" s="726"/>
      <c r="AB637" s="726"/>
      <c r="AC637" s="170"/>
      <c r="AD637" s="586"/>
      <c r="AE637" s="586"/>
      <c r="AF637" s="170"/>
      <c r="AG637" s="170"/>
      <c r="AH637" s="170"/>
      <c r="AI637" s="170"/>
      <c r="AJ637" s="170"/>
      <c r="AK637" s="170"/>
      <c r="AL637" s="170"/>
      <c r="AM637" s="170"/>
      <c r="AN637" s="170"/>
      <c r="AO637" s="170"/>
      <c r="AP637" s="170"/>
      <c r="AQ637" s="170"/>
      <c r="AR637" s="170"/>
      <c r="AS637" s="170"/>
      <c r="AT637" s="170"/>
      <c r="AU637" s="170"/>
      <c r="AV637" s="170"/>
      <c r="AW637" s="170"/>
      <c r="AX637" s="170"/>
    </row>
    <row r="638" spans="1:50" ht="15" x14ac:dyDescent="0.25">
      <c r="A638" s="170"/>
      <c r="B638" s="719"/>
      <c r="C638" s="170"/>
      <c r="D638" s="170"/>
      <c r="E638" s="170"/>
      <c r="F638" s="170"/>
      <c r="G638" s="721"/>
      <c r="H638" s="170"/>
      <c r="I638" s="170"/>
      <c r="J638" s="170"/>
      <c r="K638" s="170"/>
      <c r="L638" s="170"/>
      <c r="M638" s="730"/>
      <c r="N638" s="730"/>
      <c r="O638" s="730"/>
      <c r="P638" s="731"/>
      <c r="Q638" s="731"/>
      <c r="R638" s="730"/>
      <c r="S638" s="730"/>
      <c r="T638" s="723"/>
      <c r="U638" s="724"/>
      <c r="V638" s="725"/>
      <c r="W638" s="725"/>
      <c r="X638" s="723"/>
      <c r="Y638" s="723"/>
      <c r="Z638" s="723"/>
      <c r="AA638" s="726"/>
      <c r="AB638" s="726"/>
      <c r="AC638" s="170"/>
      <c r="AD638" s="586"/>
      <c r="AE638" s="586"/>
      <c r="AF638" s="170"/>
      <c r="AG638" s="170"/>
      <c r="AH638" s="170"/>
      <c r="AI638" s="170"/>
      <c r="AJ638" s="170"/>
      <c r="AK638" s="170"/>
      <c r="AL638" s="170"/>
      <c r="AM638" s="170"/>
      <c r="AN638" s="170"/>
      <c r="AO638" s="170"/>
      <c r="AP638" s="170"/>
      <c r="AQ638" s="170"/>
      <c r="AR638" s="170"/>
      <c r="AS638" s="170"/>
      <c r="AT638" s="170"/>
      <c r="AU638" s="170"/>
      <c r="AV638" s="170"/>
      <c r="AW638" s="170"/>
      <c r="AX638" s="170"/>
    </row>
    <row r="639" spans="1:50" ht="15" x14ac:dyDescent="0.25">
      <c r="A639" s="170"/>
      <c r="B639" s="719"/>
      <c r="C639" s="170"/>
      <c r="D639" s="170"/>
      <c r="E639" s="170"/>
      <c r="F639" s="170"/>
      <c r="G639" s="721"/>
      <c r="H639" s="170"/>
      <c r="I639" s="170"/>
      <c r="J639" s="170"/>
      <c r="K639" s="170"/>
      <c r="L639" s="170"/>
      <c r="M639" s="730"/>
      <c r="N639" s="730"/>
      <c r="O639" s="730"/>
      <c r="P639" s="731"/>
      <c r="Q639" s="731"/>
      <c r="R639" s="730"/>
      <c r="S639" s="730"/>
      <c r="T639" s="723"/>
      <c r="U639" s="724"/>
      <c r="V639" s="725"/>
      <c r="W639" s="725"/>
      <c r="X639" s="723"/>
      <c r="Y639" s="723"/>
      <c r="Z639" s="723"/>
      <c r="AA639" s="726"/>
      <c r="AB639" s="726"/>
      <c r="AC639" s="170"/>
      <c r="AD639" s="586"/>
      <c r="AE639" s="586"/>
      <c r="AF639" s="170"/>
      <c r="AG639" s="170"/>
      <c r="AH639" s="170"/>
      <c r="AI639" s="170"/>
      <c r="AJ639" s="170"/>
      <c r="AK639" s="170"/>
      <c r="AL639" s="170"/>
      <c r="AM639" s="170"/>
      <c r="AN639" s="170"/>
      <c r="AO639" s="170"/>
      <c r="AP639" s="170"/>
      <c r="AQ639" s="170"/>
      <c r="AR639" s="170"/>
      <c r="AS639" s="170"/>
      <c r="AT639" s="170"/>
      <c r="AU639" s="170"/>
      <c r="AV639" s="170"/>
      <c r="AW639" s="170"/>
      <c r="AX639" s="170"/>
    </row>
    <row r="640" spans="1:50" ht="15" x14ac:dyDescent="0.25">
      <c r="A640" s="170"/>
      <c r="B640" s="719"/>
      <c r="C640" s="170"/>
      <c r="D640" s="170"/>
      <c r="E640" s="170"/>
      <c r="F640" s="170"/>
      <c r="G640" s="721"/>
      <c r="H640" s="170"/>
      <c r="I640" s="170"/>
      <c r="J640" s="170"/>
      <c r="K640" s="170"/>
      <c r="L640" s="170"/>
      <c r="M640" s="730"/>
      <c r="N640" s="730"/>
      <c r="O640" s="730"/>
      <c r="P640" s="731"/>
      <c r="Q640" s="731"/>
      <c r="R640" s="730"/>
      <c r="S640" s="730"/>
      <c r="T640" s="723"/>
      <c r="U640" s="724"/>
      <c r="V640" s="725"/>
      <c r="W640" s="725"/>
      <c r="X640" s="723"/>
      <c r="Y640" s="723"/>
      <c r="Z640" s="723"/>
      <c r="AA640" s="726"/>
      <c r="AB640" s="726"/>
      <c r="AC640" s="170"/>
      <c r="AD640" s="586"/>
      <c r="AE640" s="586"/>
      <c r="AF640" s="170"/>
      <c r="AG640" s="170"/>
      <c r="AH640" s="170"/>
      <c r="AI640" s="170"/>
      <c r="AJ640" s="170"/>
      <c r="AK640" s="170"/>
      <c r="AL640" s="170"/>
      <c r="AM640" s="170"/>
      <c r="AN640" s="170"/>
      <c r="AO640" s="170"/>
      <c r="AP640" s="170"/>
      <c r="AQ640" s="170"/>
      <c r="AR640" s="170"/>
      <c r="AS640" s="170"/>
      <c r="AT640" s="170"/>
      <c r="AU640" s="170"/>
      <c r="AV640" s="170"/>
      <c r="AW640" s="170"/>
      <c r="AX640" s="170"/>
    </row>
    <row r="641" spans="1:50" ht="15" x14ac:dyDescent="0.25">
      <c r="A641" s="170"/>
      <c r="B641" s="719"/>
      <c r="C641" s="170"/>
      <c r="D641" s="170"/>
      <c r="E641" s="170"/>
      <c r="F641" s="170"/>
      <c r="G641" s="721"/>
      <c r="H641" s="170"/>
      <c r="I641" s="170"/>
      <c r="J641" s="170"/>
      <c r="K641" s="170"/>
      <c r="L641" s="170"/>
      <c r="M641" s="730"/>
      <c r="N641" s="730"/>
      <c r="O641" s="730"/>
      <c r="P641" s="731"/>
      <c r="Q641" s="731"/>
      <c r="R641" s="730"/>
      <c r="S641" s="730"/>
      <c r="T641" s="723"/>
      <c r="U641" s="724"/>
      <c r="V641" s="725"/>
      <c r="W641" s="725"/>
      <c r="X641" s="723"/>
      <c r="Y641" s="723"/>
      <c r="Z641" s="723"/>
      <c r="AA641" s="726"/>
      <c r="AB641" s="726"/>
      <c r="AC641" s="170"/>
      <c r="AD641" s="586"/>
      <c r="AE641" s="586"/>
      <c r="AF641" s="170"/>
      <c r="AG641" s="170"/>
      <c r="AH641" s="170"/>
      <c r="AI641" s="170"/>
      <c r="AJ641" s="170"/>
      <c r="AK641" s="170"/>
      <c r="AL641" s="170"/>
      <c r="AM641" s="170"/>
      <c r="AN641" s="170"/>
      <c r="AO641" s="170"/>
      <c r="AP641" s="170"/>
      <c r="AQ641" s="170"/>
      <c r="AR641" s="170"/>
      <c r="AS641" s="170"/>
      <c r="AT641" s="170"/>
      <c r="AU641" s="170"/>
      <c r="AV641" s="170"/>
      <c r="AW641" s="170"/>
      <c r="AX641" s="170"/>
    </row>
    <row r="642" spans="1:50" ht="15" x14ac:dyDescent="0.25">
      <c r="A642" s="170"/>
      <c r="B642" s="719"/>
      <c r="C642" s="170"/>
      <c r="D642" s="170"/>
      <c r="E642" s="170"/>
      <c r="F642" s="170"/>
      <c r="G642" s="721"/>
      <c r="H642" s="170"/>
      <c r="I642" s="170"/>
      <c r="J642" s="170"/>
      <c r="K642" s="170"/>
      <c r="L642" s="170"/>
      <c r="M642" s="730"/>
      <c r="N642" s="730"/>
      <c r="O642" s="730"/>
      <c r="P642" s="731"/>
      <c r="Q642" s="731"/>
      <c r="R642" s="730"/>
      <c r="S642" s="730"/>
      <c r="T642" s="723"/>
      <c r="U642" s="724"/>
      <c r="V642" s="725"/>
      <c r="W642" s="725"/>
      <c r="X642" s="723"/>
      <c r="Y642" s="723"/>
      <c r="Z642" s="723"/>
      <c r="AA642" s="726"/>
      <c r="AB642" s="726"/>
      <c r="AC642" s="170"/>
      <c r="AD642" s="586"/>
      <c r="AE642" s="586"/>
      <c r="AF642" s="170"/>
      <c r="AG642" s="170"/>
      <c r="AH642" s="170"/>
      <c r="AI642" s="170"/>
      <c r="AJ642" s="170"/>
      <c r="AK642" s="170"/>
      <c r="AL642" s="170"/>
      <c r="AM642" s="170"/>
      <c r="AN642" s="170"/>
      <c r="AO642" s="170"/>
      <c r="AP642" s="170"/>
      <c r="AQ642" s="170"/>
      <c r="AR642" s="170"/>
      <c r="AS642" s="170"/>
      <c r="AT642" s="170"/>
      <c r="AU642" s="170"/>
      <c r="AV642" s="170"/>
      <c r="AW642" s="170"/>
      <c r="AX642" s="170"/>
    </row>
    <row r="643" spans="1:50" ht="15" x14ac:dyDescent="0.25">
      <c r="A643" s="170"/>
      <c r="B643" s="719"/>
      <c r="C643" s="170"/>
      <c r="D643" s="170"/>
      <c r="E643" s="170"/>
      <c r="F643" s="170"/>
      <c r="G643" s="721"/>
      <c r="H643" s="170"/>
      <c r="I643" s="170"/>
      <c r="J643" s="170"/>
      <c r="K643" s="170"/>
      <c r="L643" s="170"/>
      <c r="M643" s="730"/>
      <c r="N643" s="730"/>
      <c r="O643" s="730"/>
      <c r="P643" s="731"/>
      <c r="Q643" s="731"/>
      <c r="R643" s="730"/>
      <c r="S643" s="730"/>
      <c r="T643" s="723"/>
      <c r="U643" s="724"/>
      <c r="V643" s="725"/>
      <c r="W643" s="725"/>
      <c r="X643" s="723"/>
      <c r="Y643" s="723"/>
      <c r="Z643" s="723"/>
      <c r="AA643" s="726"/>
      <c r="AB643" s="726"/>
      <c r="AC643" s="170"/>
      <c r="AD643" s="586"/>
      <c r="AE643" s="586"/>
      <c r="AF643" s="170"/>
      <c r="AG643" s="170"/>
      <c r="AH643" s="170"/>
      <c r="AI643" s="170"/>
      <c r="AJ643" s="170"/>
      <c r="AK643" s="170"/>
      <c r="AL643" s="170"/>
      <c r="AM643" s="170"/>
      <c r="AN643" s="170"/>
      <c r="AO643" s="170"/>
      <c r="AP643" s="170"/>
      <c r="AQ643" s="170"/>
      <c r="AR643" s="170"/>
      <c r="AS643" s="170"/>
      <c r="AT643" s="170"/>
      <c r="AU643" s="170"/>
      <c r="AV643" s="170"/>
      <c r="AW643" s="170"/>
      <c r="AX643" s="170"/>
    </row>
    <row r="644" spans="1:50" ht="15" x14ac:dyDescent="0.25">
      <c r="A644" s="170"/>
      <c r="B644" s="719"/>
      <c r="C644" s="170"/>
      <c r="D644" s="170"/>
      <c r="E644" s="170"/>
      <c r="F644" s="170"/>
      <c r="G644" s="721"/>
      <c r="H644" s="170"/>
      <c r="I644" s="170"/>
      <c r="J644" s="170"/>
      <c r="K644" s="170"/>
      <c r="L644" s="170"/>
      <c r="M644" s="730"/>
      <c r="N644" s="730"/>
      <c r="O644" s="730"/>
      <c r="P644" s="731"/>
      <c r="Q644" s="731"/>
      <c r="R644" s="730"/>
      <c r="S644" s="730"/>
      <c r="T644" s="723"/>
      <c r="U644" s="724"/>
      <c r="V644" s="725"/>
      <c r="W644" s="725"/>
      <c r="X644" s="723"/>
      <c r="Y644" s="723"/>
      <c r="Z644" s="723"/>
      <c r="AA644" s="726"/>
      <c r="AB644" s="726"/>
      <c r="AC644" s="170"/>
      <c r="AD644" s="586"/>
      <c r="AE644" s="586"/>
      <c r="AF644" s="170"/>
      <c r="AG644" s="170"/>
      <c r="AH644" s="170"/>
      <c r="AI644" s="170"/>
      <c r="AJ644" s="170"/>
      <c r="AK644" s="170"/>
      <c r="AL644" s="170"/>
      <c r="AM644" s="170"/>
      <c r="AN644" s="170"/>
      <c r="AO644" s="170"/>
      <c r="AP644" s="170"/>
      <c r="AQ644" s="170"/>
      <c r="AR644" s="170"/>
      <c r="AS644" s="170"/>
      <c r="AT644" s="170"/>
      <c r="AU644" s="170"/>
      <c r="AV644" s="170"/>
      <c r="AW644" s="170"/>
      <c r="AX644" s="170"/>
    </row>
    <row r="645" spans="1:50" ht="15" x14ac:dyDescent="0.25">
      <c r="A645" s="170"/>
      <c r="B645" s="719"/>
      <c r="C645" s="170"/>
      <c r="D645" s="170"/>
      <c r="E645" s="170"/>
      <c r="F645" s="170"/>
      <c r="G645" s="721"/>
      <c r="H645" s="170"/>
      <c r="I645" s="170"/>
      <c r="J645" s="170"/>
      <c r="K645" s="170"/>
      <c r="L645" s="170"/>
      <c r="M645" s="730"/>
      <c r="N645" s="730"/>
      <c r="O645" s="730"/>
      <c r="P645" s="731"/>
      <c r="Q645" s="731"/>
      <c r="R645" s="730"/>
      <c r="S645" s="730"/>
      <c r="T645" s="723"/>
      <c r="U645" s="724"/>
      <c r="V645" s="725"/>
      <c r="W645" s="725"/>
      <c r="X645" s="723"/>
      <c r="Y645" s="723"/>
      <c r="Z645" s="723"/>
      <c r="AA645" s="726"/>
      <c r="AB645" s="726"/>
      <c r="AC645" s="170"/>
      <c r="AD645" s="586"/>
      <c r="AE645" s="586"/>
      <c r="AF645" s="170"/>
      <c r="AG645" s="170"/>
      <c r="AH645" s="170"/>
      <c r="AI645" s="170"/>
      <c r="AJ645" s="170"/>
      <c r="AK645" s="170"/>
      <c r="AL645" s="170"/>
      <c r="AM645" s="170"/>
      <c r="AN645" s="170"/>
      <c r="AO645" s="170"/>
      <c r="AP645" s="170"/>
      <c r="AQ645" s="170"/>
      <c r="AR645" s="170"/>
      <c r="AS645" s="170"/>
      <c r="AT645" s="170"/>
      <c r="AU645" s="170"/>
      <c r="AV645" s="170"/>
      <c r="AW645" s="170"/>
      <c r="AX645" s="170"/>
    </row>
    <row r="646" spans="1:50" ht="15" x14ac:dyDescent="0.25">
      <c r="A646" s="170"/>
      <c r="B646" s="719"/>
      <c r="C646" s="170"/>
      <c r="D646" s="170"/>
      <c r="E646" s="170"/>
      <c r="F646" s="170"/>
      <c r="G646" s="721"/>
      <c r="H646" s="170"/>
      <c r="I646" s="170"/>
      <c r="J646" s="170"/>
      <c r="K646" s="170"/>
      <c r="L646" s="170"/>
      <c r="M646" s="730"/>
      <c r="N646" s="730"/>
      <c r="O646" s="730"/>
      <c r="P646" s="731"/>
      <c r="Q646" s="731"/>
      <c r="R646" s="730"/>
      <c r="S646" s="730"/>
      <c r="T646" s="723"/>
      <c r="U646" s="724"/>
      <c r="V646" s="725"/>
      <c r="W646" s="725"/>
      <c r="X646" s="723"/>
      <c r="Y646" s="723"/>
      <c r="Z646" s="723"/>
      <c r="AA646" s="726"/>
      <c r="AB646" s="726"/>
      <c r="AC646" s="170"/>
      <c r="AD646" s="586"/>
      <c r="AE646" s="586"/>
      <c r="AF646" s="170"/>
      <c r="AG646" s="170"/>
      <c r="AH646" s="170"/>
      <c r="AI646" s="170"/>
      <c r="AJ646" s="170"/>
      <c r="AK646" s="170"/>
      <c r="AL646" s="170"/>
      <c r="AM646" s="170"/>
      <c r="AN646" s="170"/>
      <c r="AO646" s="170"/>
      <c r="AP646" s="170"/>
      <c r="AQ646" s="170"/>
      <c r="AR646" s="170"/>
      <c r="AS646" s="170"/>
      <c r="AT646" s="170"/>
      <c r="AU646" s="170"/>
      <c r="AV646" s="170"/>
      <c r="AW646" s="170"/>
      <c r="AX646" s="170"/>
    </row>
    <row r="647" spans="1:50" ht="15" x14ac:dyDescent="0.25">
      <c r="A647" s="170"/>
      <c r="B647" s="719"/>
      <c r="C647" s="170"/>
      <c r="D647" s="170"/>
      <c r="E647" s="170"/>
      <c r="F647" s="170"/>
      <c r="G647" s="721"/>
      <c r="H647" s="170"/>
      <c r="I647" s="170"/>
      <c r="J647" s="170"/>
      <c r="K647" s="170"/>
      <c r="L647" s="170"/>
      <c r="M647" s="730"/>
      <c r="N647" s="730"/>
      <c r="O647" s="730"/>
      <c r="P647" s="731"/>
      <c r="Q647" s="731"/>
      <c r="R647" s="730"/>
      <c r="S647" s="730"/>
      <c r="T647" s="723"/>
      <c r="U647" s="724"/>
      <c r="V647" s="725"/>
      <c r="W647" s="725"/>
      <c r="X647" s="723"/>
      <c r="Y647" s="723"/>
      <c r="Z647" s="723"/>
      <c r="AA647" s="726"/>
      <c r="AB647" s="726"/>
      <c r="AC647" s="170"/>
      <c r="AD647" s="586"/>
      <c r="AE647" s="586"/>
      <c r="AF647" s="170"/>
      <c r="AG647" s="170"/>
      <c r="AH647" s="170"/>
      <c r="AI647" s="170"/>
      <c r="AJ647" s="170"/>
      <c r="AK647" s="170"/>
      <c r="AL647" s="170"/>
      <c r="AM647" s="170"/>
      <c r="AN647" s="170"/>
      <c r="AO647" s="170"/>
      <c r="AP647" s="170"/>
      <c r="AQ647" s="170"/>
      <c r="AR647" s="170"/>
      <c r="AS647" s="170"/>
      <c r="AT647" s="170"/>
      <c r="AU647" s="170"/>
      <c r="AV647" s="170"/>
      <c r="AW647" s="170"/>
      <c r="AX647" s="170"/>
    </row>
    <row r="648" spans="1:50" ht="15" x14ac:dyDescent="0.25">
      <c r="A648" s="170"/>
      <c r="B648" s="719"/>
      <c r="C648" s="170"/>
      <c r="D648" s="170"/>
      <c r="E648" s="170"/>
      <c r="F648" s="170"/>
      <c r="G648" s="721"/>
      <c r="H648" s="170"/>
      <c r="I648" s="170"/>
      <c r="J648" s="170"/>
      <c r="K648" s="170"/>
      <c r="L648" s="170"/>
      <c r="M648" s="730"/>
      <c r="N648" s="730"/>
      <c r="O648" s="730"/>
      <c r="P648" s="731"/>
      <c r="Q648" s="731"/>
      <c r="R648" s="730"/>
      <c r="S648" s="730"/>
      <c r="T648" s="723"/>
      <c r="U648" s="724"/>
      <c r="V648" s="725"/>
      <c r="W648" s="725"/>
      <c r="X648" s="723"/>
      <c r="Y648" s="723"/>
      <c r="Z648" s="723"/>
      <c r="AA648" s="726"/>
      <c r="AB648" s="726"/>
      <c r="AC648" s="170"/>
      <c r="AD648" s="586"/>
      <c r="AE648" s="586"/>
      <c r="AF648" s="170"/>
      <c r="AG648" s="170"/>
      <c r="AH648" s="170"/>
      <c r="AI648" s="170"/>
      <c r="AJ648" s="170"/>
      <c r="AK648" s="170"/>
      <c r="AL648" s="170"/>
      <c r="AM648" s="170"/>
      <c r="AN648" s="170"/>
      <c r="AO648" s="170"/>
      <c r="AP648" s="170"/>
      <c r="AQ648" s="170"/>
      <c r="AR648" s="170"/>
      <c r="AS648" s="170"/>
      <c r="AT648" s="170"/>
      <c r="AU648" s="170"/>
      <c r="AV648" s="170"/>
      <c r="AW648" s="170"/>
      <c r="AX648" s="170"/>
    </row>
    <row r="649" spans="1:50" ht="15" x14ac:dyDescent="0.25">
      <c r="A649" s="170"/>
      <c r="B649" s="719"/>
      <c r="C649" s="170"/>
      <c r="D649" s="170"/>
      <c r="E649" s="170"/>
      <c r="F649" s="170"/>
      <c r="G649" s="721"/>
      <c r="H649" s="170"/>
      <c r="I649" s="170"/>
      <c r="J649" s="170"/>
      <c r="K649" s="170"/>
      <c r="L649" s="170"/>
      <c r="M649" s="730"/>
      <c r="N649" s="730"/>
      <c r="O649" s="730"/>
      <c r="P649" s="731"/>
      <c r="Q649" s="731"/>
      <c r="R649" s="730"/>
      <c r="S649" s="730"/>
      <c r="T649" s="723"/>
      <c r="U649" s="724"/>
      <c r="V649" s="725"/>
      <c r="W649" s="725"/>
      <c r="X649" s="723"/>
      <c r="Y649" s="723"/>
      <c r="Z649" s="723"/>
      <c r="AA649" s="726"/>
      <c r="AB649" s="726"/>
      <c r="AC649" s="170"/>
      <c r="AD649" s="586"/>
      <c r="AE649" s="586"/>
      <c r="AF649" s="170"/>
      <c r="AG649" s="170"/>
      <c r="AH649" s="170"/>
      <c r="AI649" s="170"/>
      <c r="AJ649" s="170"/>
      <c r="AK649" s="170"/>
      <c r="AL649" s="170"/>
      <c r="AM649" s="170"/>
      <c r="AN649" s="170"/>
      <c r="AO649" s="170"/>
      <c r="AP649" s="170"/>
      <c r="AQ649" s="170"/>
      <c r="AR649" s="170"/>
      <c r="AS649" s="170"/>
      <c r="AT649" s="170"/>
      <c r="AU649" s="170"/>
      <c r="AV649" s="170"/>
      <c r="AW649" s="170"/>
      <c r="AX649" s="170"/>
    </row>
    <row r="650" spans="1:50" ht="15" x14ac:dyDescent="0.25">
      <c r="A650" s="170"/>
      <c r="B650" s="719"/>
      <c r="C650" s="170"/>
      <c r="D650" s="170"/>
      <c r="E650" s="170"/>
      <c r="F650" s="170"/>
      <c r="G650" s="721"/>
      <c r="H650" s="170"/>
      <c r="I650" s="170"/>
      <c r="J650" s="170"/>
      <c r="K650" s="170"/>
      <c r="L650" s="170"/>
      <c r="M650" s="730"/>
      <c r="N650" s="730"/>
      <c r="O650" s="730"/>
      <c r="P650" s="731"/>
      <c r="Q650" s="731"/>
      <c r="R650" s="730"/>
      <c r="S650" s="730"/>
      <c r="T650" s="723"/>
      <c r="U650" s="724"/>
      <c r="V650" s="725"/>
      <c r="W650" s="725"/>
      <c r="X650" s="723"/>
      <c r="Y650" s="723"/>
      <c r="Z650" s="723"/>
      <c r="AA650" s="726"/>
      <c r="AB650" s="726"/>
      <c r="AC650" s="170"/>
      <c r="AD650" s="586"/>
      <c r="AE650" s="586"/>
      <c r="AF650" s="170"/>
      <c r="AG650" s="170"/>
      <c r="AH650" s="170"/>
      <c r="AI650" s="170"/>
      <c r="AJ650" s="170"/>
      <c r="AK650" s="170"/>
      <c r="AL650" s="170"/>
      <c r="AM650" s="170"/>
      <c r="AN650" s="170"/>
      <c r="AO650" s="170"/>
      <c r="AP650" s="170"/>
      <c r="AQ650" s="170"/>
      <c r="AR650" s="170"/>
      <c r="AS650" s="170"/>
      <c r="AT650" s="170"/>
      <c r="AU650" s="170"/>
      <c r="AV650" s="170"/>
      <c r="AW650" s="170"/>
      <c r="AX650" s="170"/>
    </row>
    <row r="651" spans="1:50" ht="15" x14ac:dyDescent="0.25">
      <c r="A651" s="170"/>
      <c r="B651" s="719"/>
      <c r="C651" s="170"/>
      <c r="D651" s="170"/>
      <c r="E651" s="170"/>
      <c r="F651" s="170"/>
      <c r="G651" s="721"/>
      <c r="H651" s="170"/>
      <c r="I651" s="170"/>
      <c r="J651" s="170"/>
      <c r="K651" s="170"/>
      <c r="L651" s="170"/>
      <c r="M651" s="730"/>
      <c r="N651" s="730"/>
      <c r="O651" s="730"/>
      <c r="P651" s="731"/>
      <c r="Q651" s="731"/>
      <c r="R651" s="730"/>
      <c r="S651" s="730"/>
      <c r="T651" s="723"/>
      <c r="U651" s="724"/>
      <c r="V651" s="725"/>
      <c r="W651" s="725"/>
      <c r="X651" s="723"/>
      <c r="Y651" s="723"/>
      <c r="Z651" s="723"/>
      <c r="AA651" s="726"/>
      <c r="AB651" s="726"/>
      <c r="AC651" s="170"/>
      <c r="AD651" s="586"/>
      <c r="AE651" s="586"/>
      <c r="AF651" s="170"/>
      <c r="AG651" s="170"/>
      <c r="AH651" s="170"/>
      <c r="AI651" s="170"/>
      <c r="AJ651" s="170"/>
      <c r="AK651" s="170"/>
      <c r="AL651" s="170"/>
      <c r="AM651" s="170"/>
      <c r="AN651" s="170"/>
      <c r="AO651" s="170"/>
      <c r="AP651" s="170"/>
      <c r="AQ651" s="170"/>
      <c r="AR651" s="170"/>
      <c r="AS651" s="170"/>
      <c r="AT651" s="170"/>
      <c r="AU651" s="170"/>
      <c r="AV651" s="170"/>
      <c r="AW651" s="170"/>
      <c r="AX651" s="170"/>
    </row>
    <row r="652" spans="1:50" ht="15" x14ac:dyDescent="0.25">
      <c r="A652" s="170"/>
      <c r="B652" s="719"/>
      <c r="C652" s="170"/>
      <c r="D652" s="170"/>
      <c r="E652" s="170"/>
      <c r="F652" s="170"/>
      <c r="G652" s="721"/>
      <c r="H652" s="170"/>
      <c r="I652" s="170"/>
      <c r="J652" s="170"/>
      <c r="K652" s="170"/>
      <c r="L652" s="170"/>
      <c r="M652" s="730"/>
      <c r="N652" s="730"/>
      <c r="O652" s="730"/>
      <c r="P652" s="731"/>
      <c r="Q652" s="731"/>
      <c r="R652" s="730"/>
      <c r="S652" s="730"/>
      <c r="T652" s="723"/>
      <c r="U652" s="724"/>
      <c r="V652" s="725"/>
      <c r="W652" s="725"/>
      <c r="X652" s="723"/>
      <c r="Y652" s="723"/>
      <c r="Z652" s="723"/>
      <c r="AA652" s="726"/>
      <c r="AB652" s="726"/>
      <c r="AC652" s="170"/>
      <c r="AD652" s="586"/>
      <c r="AE652" s="586"/>
      <c r="AF652" s="170"/>
      <c r="AG652" s="170"/>
      <c r="AH652" s="170"/>
      <c r="AI652" s="170"/>
      <c r="AJ652" s="170"/>
      <c r="AK652" s="170"/>
      <c r="AL652" s="170"/>
      <c r="AM652" s="170"/>
      <c r="AN652" s="170"/>
      <c r="AO652" s="170"/>
      <c r="AP652" s="170"/>
      <c r="AQ652" s="170"/>
      <c r="AR652" s="170"/>
      <c r="AS652" s="170"/>
      <c r="AT652" s="170"/>
      <c r="AU652" s="170"/>
      <c r="AV652" s="170"/>
      <c r="AW652" s="170"/>
      <c r="AX652" s="170"/>
    </row>
    <row r="653" spans="1:50" ht="15" x14ac:dyDescent="0.25">
      <c r="A653" s="170"/>
      <c r="B653" s="719"/>
      <c r="C653" s="170"/>
      <c r="D653" s="170"/>
      <c r="E653" s="170"/>
      <c r="F653" s="170"/>
      <c r="G653" s="721"/>
      <c r="H653" s="170"/>
      <c r="I653" s="170"/>
      <c r="J653" s="170"/>
      <c r="K653" s="170"/>
      <c r="L653" s="170"/>
      <c r="M653" s="730"/>
      <c r="N653" s="730"/>
      <c r="O653" s="730"/>
      <c r="P653" s="731"/>
      <c r="Q653" s="731"/>
      <c r="R653" s="730"/>
      <c r="S653" s="730"/>
      <c r="T653" s="723"/>
      <c r="U653" s="724"/>
      <c r="V653" s="725"/>
      <c r="W653" s="725"/>
      <c r="X653" s="723"/>
      <c r="Y653" s="723"/>
      <c r="Z653" s="723"/>
      <c r="AA653" s="726"/>
      <c r="AB653" s="726"/>
      <c r="AC653" s="170"/>
      <c r="AD653" s="586"/>
      <c r="AE653" s="586"/>
      <c r="AF653" s="170"/>
      <c r="AG653" s="170"/>
      <c r="AH653" s="170"/>
      <c r="AI653" s="170"/>
      <c r="AJ653" s="170"/>
      <c r="AK653" s="170"/>
      <c r="AL653" s="170"/>
      <c r="AM653" s="170"/>
      <c r="AN653" s="170"/>
      <c r="AO653" s="170"/>
      <c r="AP653" s="170"/>
      <c r="AQ653" s="170"/>
      <c r="AR653" s="170"/>
      <c r="AS653" s="170"/>
      <c r="AT653" s="170"/>
      <c r="AU653" s="170"/>
      <c r="AV653" s="170"/>
      <c r="AW653" s="170"/>
      <c r="AX653" s="170"/>
    </row>
    <row r="654" spans="1:50" ht="15" x14ac:dyDescent="0.25">
      <c r="A654" s="170"/>
      <c r="B654" s="719"/>
      <c r="C654" s="170"/>
      <c r="D654" s="170"/>
      <c r="E654" s="170"/>
      <c r="F654" s="170"/>
      <c r="G654" s="721"/>
      <c r="H654" s="170"/>
      <c r="I654" s="170"/>
      <c r="J654" s="170"/>
      <c r="K654" s="170"/>
      <c r="L654" s="170"/>
      <c r="M654" s="730"/>
      <c r="N654" s="730"/>
      <c r="O654" s="730"/>
      <c r="P654" s="731"/>
      <c r="Q654" s="731"/>
      <c r="R654" s="730"/>
      <c r="S654" s="730"/>
      <c r="T654" s="723"/>
      <c r="U654" s="724"/>
      <c r="V654" s="725"/>
      <c r="W654" s="725"/>
      <c r="X654" s="723"/>
      <c r="Y654" s="723"/>
      <c r="Z654" s="723"/>
      <c r="AA654" s="726"/>
      <c r="AB654" s="726"/>
      <c r="AC654" s="170"/>
      <c r="AD654" s="586"/>
      <c r="AE654" s="586"/>
      <c r="AF654" s="170"/>
      <c r="AG654" s="170"/>
      <c r="AH654" s="170"/>
      <c r="AI654" s="170"/>
      <c r="AJ654" s="170"/>
      <c r="AK654" s="170"/>
      <c r="AL654" s="170"/>
      <c r="AM654" s="170"/>
      <c r="AN654" s="170"/>
      <c r="AO654" s="170"/>
      <c r="AP654" s="170"/>
      <c r="AQ654" s="170"/>
      <c r="AR654" s="170"/>
      <c r="AS654" s="170"/>
      <c r="AT654" s="170"/>
      <c r="AU654" s="170"/>
      <c r="AV654" s="170"/>
      <c r="AW654" s="170"/>
      <c r="AX654" s="170"/>
    </row>
    <row r="655" spans="1:50" ht="15" x14ac:dyDescent="0.25">
      <c r="A655" s="170"/>
      <c r="B655" s="719"/>
      <c r="C655" s="170"/>
      <c r="D655" s="170"/>
      <c r="E655" s="170"/>
      <c r="F655" s="170"/>
      <c r="G655" s="721"/>
      <c r="H655" s="170"/>
      <c r="I655" s="170"/>
      <c r="J655" s="170"/>
      <c r="K655" s="170"/>
      <c r="L655" s="170"/>
      <c r="M655" s="730"/>
      <c r="N655" s="730"/>
      <c r="O655" s="730"/>
      <c r="P655" s="731"/>
      <c r="Q655" s="731"/>
      <c r="R655" s="730"/>
      <c r="S655" s="730"/>
      <c r="T655" s="723"/>
      <c r="U655" s="724"/>
      <c r="V655" s="725"/>
      <c r="W655" s="725"/>
      <c r="X655" s="723"/>
      <c r="Y655" s="723"/>
      <c r="Z655" s="723"/>
      <c r="AA655" s="726"/>
      <c r="AB655" s="726"/>
      <c r="AC655" s="170"/>
      <c r="AD655" s="586"/>
      <c r="AE655" s="586"/>
      <c r="AF655" s="170"/>
      <c r="AG655" s="170"/>
      <c r="AH655" s="170"/>
      <c r="AI655" s="170"/>
      <c r="AJ655" s="170"/>
      <c r="AK655" s="170"/>
      <c r="AL655" s="170"/>
      <c r="AM655" s="170"/>
      <c r="AN655" s="170"/>
      <c r="AO655" s="170"/>
      <c r="AP655" s="170"/>
      <c r="AQ655" s="170"/>
      <c r="AR655" s="170"/>
      <c r="AS655" s="170"/>
      <c r="AT655" s="170"/>
      <c r="AU655" s="170"/>
      <c r="AV655" s="170"/>
      <c r="AW655" s="170"/>
      <c r="AX655" s="170"/>
    </row>
    <row r="656" spans="1:50" ht="15" x14ac:dyDescent="0.25">
      <c r="A656" s="170"/>
      <c r="B656" s="719"/>
      <c r="C656" s="170"/>
      <c r="D656" s="170"/>
      <c r="E656" s="170"/>
      <c r="F656" s="170"/>
      <c r="G656" s="721"/>
      <c r="H656" s="170"/>
      <c r="I656" s="170"/>
      <c r="J656" s="170"/>
      <c r="K656" s="170"/>
      <c r="L656" s="170"/>
      <c r="M656" s="730"/>
      <c r="N656" s="730"/>
      <c r="O656" s="730"/>
      <c r="P656" s="731"/>
      <c r="Q656" s="731"/>
      <c r="R656" s="730"/>
      <c r="S656" s="730"/>
      <c r="T656" s="723"/>
      <c r="U656" s="724"/>
      <c r="V656" s="725"/>
      <c r="W656" s="725"/>
      <c r="X656" s="723"/>
      <c r="Y656" s="723"/>
      <c r="Z656" s="723"/>
      <c r="AA656" s="726"/>
      <c r="AB656" s="726"/>
      <c r="AC656" s="170"/>
      <c r="AD656" s="586"/>
      <c r="AE656" s="586"/>
      <c r="AF656" s="170"/>
      <c r="AG656" s="170"/>
      <c r="AH656" s="170"/>
      <c r="AI656" s="170"/>
      <c r="AJ656" s="170"/>
      <c r="AK656" s="170"/>
      <c r="AL656" s="170"/>
      <c r="AM656" s="170"/>
      <c r="AN656" s="170"/>
      <c r="AO656" s="170"/>
      <c r="AP656" s="170"/>
      <c r="AQ656" s="170"/>
      <c r="AR656" s="170"/>
      <c r="AS656" s="170"/>
      <c r="AT656" s="170"/>
      <c r="AU656" s="170"/>
      <c r="AV656" s="170"/>
      <c r="AW656" s="170"/>
      <c r="AX656" s="170"/>
    </row>
    <row r="657" spans="1:50" ht="15" x14ac:dyDescent="0.25">
      <c r="A657" s="170"/>
      <c r="B657" s="719"/>
      <c r="C657" s="170"/>
      <c r="D657" s="170"/>
      <c r="E657" s="170"/>
      <c r="F657" s="170"/>
      <c r="G657" s="721"/>
      <c r="H657" s="170"/>
      <c r="I657" s="170"/>
      <c r="J657" s="170"/>
      <c r="K657" s="170"/>
      <c r="L657" s="170"/>
      <c r="M657" s="730"/>
      <c r="N657" s="730"/>
      <c r="O657" s="730"/>
      <c r="P657" s="731"/>
      <c r="Q657" s="731"/>
      <c r="R657" s="730"/>
      <c r="S657" s="730"/>
      <c r="T657" s="723"/>
      <c r="U657" s="724"/>
      <c r="V657" s="725"/>
      <c r="W657" s="725"/>
      <c r="X657" s="723"/>
      <c r="Y657" s="723"/>
      <c r="Z657" s="723"/>
      <c r="AA657" s="726"/>
      <c r="AB657" s="726"/>
      <c r="AC657" s="170"/>
      <c r="AD657" s="586"/>
      <c r="AE657" s="586"/>
      <c r="AF657" s="170"/>
      <c r="AG657" s="170"/>
      <c r="AH657" s="170"/>
      <c r="AI657" s="170"/>
      <c r="AJ657" s="170"/>
      <c r="AK657" s="170"/>
      <c r="AL657" s="170"/>
      <c r="AM657" s="170"/>
      <c r="AN657" s="170"/>
      <c r="AO657" s="170"/>
      <c r="AP657" s="170"/>
      <c r="AQ657" s="170"/>
      <c r="AR657" s="170"/>
      <c r="AS657" s="170"/>
      <c r="AT657" s="170"/>
      <c r="AU657" s="170"/>
      <c r="AV657" s="170"/>
      <c r="AW657" s="170"/>
      <c r="AX657" s="170"/>
    </row>
    <row r="658" spans="1:50" ht="15" x14ac:dyDescent="0.25">
      <c r="A658" s="170"/>
      <c r="B658" s="719"/>
      <c r="C658" s="170"/>
      <c r="D658" s="170"/>
      <c r="E658" s="170"/>
      <c r="F658" s="170"/>
      <c r="G658" s="721"/>
      <c r="H658" s="170"/>
      <c r="I658" s="170"/>
      <c r="J658" s="170"/>
      <c r="K658" s="170"/>
      <c r="L658" s="170"/>
      <c r="M658" s="730"/>
      <c r="N658" s="730"/>
      <c r="O658" s="730"/>
      <c r="P658" s="731"/>
      <c r="Q658" s="731"/>
      <c r="R658" s="730"/>
      <c r="S658" s="730"/>
      <c r="T658" s="723"/>
      <c r="U658" s="724"/>
      <c r="V658" s="725"/>
      <c r="W658" s="725"/>
      <c r="X658" s="723"/>
      <c r="Y658" s="723"/>
      <c r="Z658" s="723"/>
      <c r="AA658" s="726"/>
      <c r="AB658" s="726"/>
      <c r="AC658" s="170"/>
      <c r="AD658" s="586"/>
      <c r="AE658" s="586"/>
      <c r="AF658" s="170"/>
      <c r="AG658" s="170"/>
      <c r="AH658" s="170"/>
      <c r="AI658" s="170"/>
      <c r="AJ658" s="170"/>
      <c r="AK658" s="170"/>
      <c r="AL658" s="170"/>
      <c r="AM658" s="170"/>
      <c r="AN658" s="170"/>
      <c r="AO658" s="170"/>
      <c r="AP658" s="170"/>
      <c r="AQ658" s="170"/>
      <c r="AR658" s="170"/>
      <c r="AS658" s="170"/>
      <c r="AT658" s="170"/>
      <c r="AU658" s="170"/>
      <c r="AV658" s="170"/>
      <c r="AW658" s="170"/>
      <c r="AX658" s="170"/>
    </row>
    <row r="659" spans="1:50" ht="15" x14ac:dyDescent="0.25">
      <c r="A659" s="170"/>
      <c r="B659" s="719"/>
      <c r="C659" s="170"/>
      <c r="D659" s="170"/>
      <c r="E659" s="170"/>
      <c r="F659" s="170"/>
      <c r="G659" s="721"/>
      <c r="H659" s="170"/>
      <c r="I659" s="170"/>
      <c r="J659" s="170"/>
      <c r="K659" s="170"/>
      <c r="L659" s="170"/>
      <c r="M659" s="730"/>
      <c r="N659" s="730"/>
      <c r="O659" s="730"/>
      <c r="P659" s="731"/>
      <c r="Q659" s="731"/>
      <c r="R659" s="730"/>
      <c r="S659" s="730"/>
      <c r="T659" s="723"/>
      <c r="U659" s="724"/>
      <c r="V659" s="725"/>
      <c r="W659" s="725"/>
      <c r="X659" s="723"/>
      <c r="Y659" s="723"/>
      <c r="Z659" s="723"/>
      <c r="AA659" s="726"/>
      <c r="AB659" s="726"/>
      <c r="AC659" s="170"/>
      <c r="AD659" s="586"/>
      <c r="AE659" s="586"/>
      <c r="AF659" s="170"/>
      <c r="AG659" s="170"/>
      <c r="AH659" s="170"/>
      <c r="AI659" s="170"/>
      <c r="AJ659" s="170"/>
      <c r="AK659" s="170"/>
      <c r="AL659" s="170"/>
      <c r="AM659" s="170"/>
      <c r="AN659" s="170"/>
      <c r="AO659" s="170"/>
      <c r="AP659" s="170"/>
      <c r="AQ659" s="170"/>
      <c r="AR659" s="170"/>
      <c r="AS659" s="170"/>
      <c r="AT659" s="170"/>
      <c r="AU659" s="170"/>
      <c r="AV659" s="170"/>
      <c r="AW659" s="170"/>
      <c r="AX659" s="170"/>
    </row>
    <row r="660" spans="1:50" ht="15" x14ac:dyDescent="0.25">
      <c r="A660" s="170"/>
      <c r="B660" s="719"/>
      <c r="C660" s="170"/>
      <c r="D660" s="170"/>
      <c r="E660" s="170"/>
      <c r="F660" s="170"/>
      <c r="G660" s="721"/>
      <c r="H660" s="170"/>
      <c r="I660" s="170"/>
      <c r="J660" s="170"/>
      <c r="K660" s="170"/>
      <c r="L660" s="170"/>
      <c r="M660" s="730"/>
      <c r="N660" s="730"/>
      <c r="O660" s="730"/>
      <c r="P660" s="731"/>
      <c r="Q660" s="731"/>
      <c r="R660" s="730"/>
      <c r="S660" s="730"/>
      <c r="T660" s="723"/>
      <c r="U660" s="724"/>
      <c r="V660" s="725"/>
      <c r="W660" s="725"/>
      <c r="X660" s="723"/>
      <c r="Y660" s="723"/>
      <c r="Z660" s="723"/>
      <c r="AA660" s="726"/>
      <c r="AB660" s="726"/>
      <c r="AC660" s="170"/>
      <c r="AD660" s="586"/>
      <c r="AE660" s="586"/>
      <c r="AF660" s="170"/>
      <c r="AG660" s="170"/>
      <c r="AH660" s="170"/>
      <c r="AI660" s="170"/>
      <c r="AJ660" s="170"/>
      <c r="AK660" s="170"/>
      <c r="AL660" s="170"/>
      <c r="AM660" s="170"/>
      <c r="AN660" s="170"/>
      <c r="AO660" s="170"/>
      <c r="AP660" s="170"/>
      <c r="AQ660" s="170"/>
      <c r="AR660" s="170"/>
      <c r="AS660" s="170"/>
      <c r="AT660" s="170"/>
      <c r="AU660" s="170"/>
      <c r="AV660" s="170"/>
      <c r="AW660" s="170"/>
      <c r="AX660" s="170"/>
    </row>
    <row r="661" spans="1:50" ht="15" x14ac:dyDescent="0.25">
      <c r="A661" s="170"/>
      <c r="B661" s="719"/>
      <c r="C661" s="170"/>
      <c r="D661" s="170"/>
      <c r="E661" s="170"/>
      <c r="F661" s="170"/>
      <c r="G661" s="721"/>
      <c r="H661" s="170"/>
      <c r="I661" s="170"/>
      <c r="J661" s="170"/>
      <c r="K661" s="170"/>
      <c r="L661" s="170"/>
      <c r="M661" s="730"/>
      <c r="N661" s="730"/>
      <c r="O661" s="730"/>
      <c r="P661" s="731"/>
      <c r="Q661" s="731"/>
      <c r="R661" s="730"/>
      <c r="S661" s="730"/>
      <c r="T661" s="723"/>
      <c r="U661" s="724"/>
      <c r="V661" s="725"/>
      <c r="W661" s="725"/>
      <c r="X661" s="723"/>
      <c r="Y661" s="723"/>
      <c r="Z661" s="723"/>
      <c r="AA661" s="726"/>
      <c r="AB661" s="726"/>
      <c r="AC661" s="170"/>
      <c r="AD661" s="586"/>
      <c r="AE661" s="586"/>
      <c r="AF661" s="170"/>
      <c r="AG661" s="170"/>
      <c r="AH661" s="170"/>
      <c r="AI661" s="170"/>
      <c r="AJ661" s="170"/>
      <c r="AK661" s="170"/>
      <c r="AL661" s="170"/>
      <c r="AM661" s="170"/>
      <c r="AN661" s="170"/>
      <c r="AO661" s="170"/>
      <c r="AP661" s="170"/>
      <c r="AQ661" s="170"/>
      <c r="AR661" s="170"/>
      <c r="AS661" s="170"/>
      <c r="AT661" s="170"/>
      <c r="AU661" s="170"/>
      <c r="AV661" s="170"/>
      <c r="AW661" s="170"/>
      <c r="AX661" s="170"/>
    </row>
    <row r="662" spans="1:50" ht="15" x14ac:dyDescent="0.25">
      <c r="A662" s="170"/>
      <c r="B662" s="719"/>
      <c r="C662" s="170"/>
      <c r="D662" s="170"/>
      <c r="E662" s="170"/>
      <c r="F662" s="170"/>
      <c r="G662" s="721"/>
      <c r="H662" s="170"/>
      <c r="I662" s="170"/>
      <c r="J662" s="170"/>
      <c r="K662" s="170"/>
      <c r="L662" s="170"/>
      <c r="M662" s="730"/>
      <c r="N662" s="730"/>
      <c r="O662" s="730"/>
      <c r="P662" s="731"/>
      <c r="Q662" s="731"/>
      <c r="R662" s="730"/>
      <c r="S662" s="730"/>
      <c r="T662" s="723"/>
      <c r="U662" s="724"/>
      <c r="V662" s="725"/>
      <c r="W662" s="725"/>
      <c r="X662" s="723"/>
      <c r="Y662" s="723"/>
      <c r="Z662" s="723"/>
      <c r="AA662" s="726"/>
      <c r="AB662" s="726"/>
      <c r="AC662" s="170"/>
      <c r="AD662" s="586"/>
      <c r="AE662" s="586"/>
      <c r="AF662" s="170"/>
      <c r="AG662" s="170"/>
      <c r="AH662" s="170"/>
      <c r="AI662" s="170"/>
      <c r="AJ662" s="170"/>
      <c r="AK662" s="170"/>
      <c r="AL662" s="170"/>
      <c r="AM662" s="170"/>
      <c r="AN662" s="170"/>
      <c r="AO662" s="170"/>
      <c r="AP662" s="170"/>
      <c r="AQ662" s="170"/>
      <c r="AR662" s="170"/>
      <c r="AS662" s="170"/>
      <c r="AT662" s="170"/>
      <c r="AU662" s="170"/>
      <c r="AV662" s="170"/>
      <c r="AW662" s="170"/>
      <c r="AX662" s="170"/>
    </row>
    <row r="663" spans="1:50" ht="15" x14ac:dyDescent="0.25">
      <c r="A663" s="170"/>
      <c r="B663" s="719"/>
      <c r="C663" s="170"/>
      <c r="D663" s="170"/>
      <c r="E663" s="170"/>
      <c r="F663" s="170"/>
      <c r="G663" s="721"/>
      <c r="H663" s="170"/>
      <c r="I663" s="170"/>
      <c r="J663" s="170"/>
      <c r="K663" s="170"/>
      <c r="L663" s="170"/>
      <c r="M663" s="730"/>
      <c r="N663" s="730"/>
      <c r="O663" s="730"/>
      <c r="P663" s="731"/>
      <c r="Q663" s="731"/>
      <c r="R663" s="730"/>
      <c r="S663" s="730"/>
      <c r="T663" s="723"/>
      <c r="U663" s="724"/>
      <c r="V663" s="725"/>
      <c r="W663" s="725"/>
      <c r="X663" s="723"/>
      <c r="Y663" s="723"/>
      <c r="Z663" s="723"/>
      <c r="AA663" s="726"/>
      <c r="AB663" s="726"/>
      <c r="AC663" s="170"/>
      <c r="AD663" s="586"/>
      <c r="AE663" s="586"/>
      <c r="AF663" s="170"/>
      <c r="AG663" s="170"/>
      <c r="AH663" s="170"/>
      <c r="AI663" s="170"/>
      <c r="AJ663" s="170"/>
      <c r="AK663" s="170"/>
      <c r="AL663" s="170"/>
      <c r="AM663" s="170"/>
      <c r="AN663" s="170"/>
      <c r="AO663" s="170"/>
      <c r="AP663" s="170"/>
      <c r="AQ663" s="170"/>
      <c r="AR663" s="170"/>
      <c r="AS663" s="170"/>
      <c r="AT663" s="170"/>
      <c r="AU663" s="170"/>
      <c r="AV663" s="170"/>
      <c r="AW663" s="170"/>
      <c r="AX663" s="170"/>
    </row>
    <row r="664" spans="1:50" ht="15" x14ac:dyDescent="0.25">
      <c r="A664" s="170"/>
      <c r="B664" s="719"/>
      <c r="C664" s="170"/>
      <c r="D664" s="170"/>
      <c r="E664" s="170"/>
      <c r="F664" s="170"/>
      <c r="G664" s="721"/>
      <c r="H664" s="170"/>
      <c r="I664" s="170"/>
      <c r="J664" s="170"/>
      <c r="K664" s="170"/>
      <c r="L664" s="170"/>
      <c r="M664" s="730"/>
      <c r="N664" s="730"/>
      <c r="O664" s="730"/>
      <c r="P664" s="731"/>
      <c r="Q664" s="731"/>
      <c r="R664" s="730"/>
      <c r="S664" s="730"/>
      <c r="T664" s="723"/>
      <c r="U664" s="724"/>
      <c r="V664" s="725"/>
      <c r="W664" s="725"/>
      <c r="X664" s="723"/>
      <c r="Y664" s="723"/>
      <c r="Z664" s="723"/>
      <c r="AA664" s="726"/>
      <c r="AB664" s="726"/>
      <c r="AC664" s="170"/>
      <c r="AD664" s="586"/>
      <c r="AE664" s="586"/>
      <c r="AF664" s="170"/>
      <c r="AG664" s="170"/>
      <c r="AH664" s="170"/>
      <c r="AI664" s="170"/>
      <c r="AJ664" s="170"/>
      <c r="AK664" s="170"/>
      <c r="AL664" s="170"/>
      <c r="AM664" s="170"/>
      <c r="AN664" s="170"/>
      <c r="AO664" s="170"/>
      <c r="AP664" s="170"/>
      <c r="AQ664" s="170"/>
      <c r="AR664" s="170"/>
      <c r="AS664" s="170"/>
      <c r="AT664" s="170"/>
      <c r="AU664" s="170"/>
      <c r="AV664" s="170"/>
      <c r="AW664" s="170"/>
      <c r="AX664" s="170"/>
    </row>
    <row r="665" spans="1:50" ht="15" x14ac:dyDescent="0.25">
      <c r="A665" s="170"/>
      <c r="B665" s="719"/>
      <c r="C665" s="170"/>
      <c r="D665" s="170"/>
      <c r="E665" s="170"/>
      <c r="F665" s="170"/>
      <c r="G665" s="721"/>
      <c r="H665" s="170"/>
      <c r="I665" s="170"/>
      <c r="J665" s="170"/>
      <c r="K665" s="170"/>
      <c r="L665" s="170"/>
      <c r="M665" s="730"/>
      <c r="N665" s="730"/>
      <c r="O665" s="730"/>
      <c r="P665" s="731"/>
      <c r="Q665" s="731"/>
      <c r="R665" s="730"/>
      <c r="S665" s="730"/>
      <c r="T665" s="723"/>
      <c r="U665" s="724"/>
      <c r="V665" s="725"/>
      <c r="W665" s="725"/>
      <c r="X665" s="723"/>
      <c r="Y665" s="723"/>
      <c r="Z665" s="723"/>
      <c r="AA665" s="726"/>
      <c r="AB665" s="726"/>
      <c r="AC665" s="170"/>
      <c r="AD665" s="586"/>
      <c r="AE665" s="586"/>
      <c r="AF665" s="170"/>
      <c r="AG665" s="170"/>
      <c r="AH665" s="170"/>
      <c r="AI665" s="170"/>
      <c r="AJ665" s="170"/>
      <c r="AK665" s="170"/>
      <c r="AL665" s="170"/>
      <c r="AM665" s="170"/>
      <c r="AN665" s="170"/>
      <c r="AO665" s="170"/>
      <c r="AP665" s="170"/>
      <c r="AQ665" s="170"/>
      <c r="AR665" s="170"/>
      <c r="AS665" s="170"/>
      <c r="AT665" s="170"/>
      <c r="AU665" s="170"/>
      <c r="AV665" s="170"/>
      <c r="AW665" s="170"/>
      <c r="AX665" s="170"/>
    </row>
    <row r="666" spans="1:50" ht="15" x14ac:dyDescent="0.25">
      <c r="A666" s="170"/>
      <c r="B666" s="719"/>
      <c r="C666" s="170"/>
      <c r="D666" s="170"/>
      <c r="E666" s="170"/>
      <c r="F666" s="170"/>
      <c r="G666" s="721"/>
      <c r="H666" s="170"/>
      <c r="I666" s="170"/>
      <c r="J666" s="170"/>
      <c r="K666" s="170"/>
      <c r="L666" s="170"/>
      <c r="M666" s="730"/>
      <c r="N666" s="730"/>
      <c r="O666" s="730"/>
      <c r="P666" s="731"/>
      <c r="Q666" s="731"/>
      <c r="R666" s="730"/>
      <c r="S666" s="730"/>
      <c r="T666" s="723"/>
      <c r="U666" s="724"/>
      <c r="V666" s="725"/>
      <c r="W666" s="725"/>
      <c r="X666" s="723"/>
      <c r="Y666" s="723"/>
      <c r="Z666" s="723"/>
      <c r="AA666" s="726"/>
      <c r="AB666" s="726"/>
      <c r="AC666" s="170"/>
      <c r="AD666" s="586"/>
      <c r="AE666" s="586"/>
      <c r="AF666" s="170"/>
      <c r="AG666" s="170"/>
      <c r="AH666" s="170"/>
      <c r="AI666" s="170"/>
      <c r="AJ666" s="170"/>
      <c r="AK666" s="170"/>
      <c r="AL666" s="170"/>
      <c r="AM666" s="170"/>
      <c r="AN666" s="170"/>
      <c r="AO666" s="170"/>
      <c r="AP666" s="170"/>
      <c r="AQ666" s="170"/>
      <c r="AR666" s="170"/>
      <c r="AS666" s="170"/>
      <c r="AT666" s="170"/>
      <c r="AU666" s="170"/>
      <c r="AV666" s="170"/>
      <c r="AW666" s="170"/>
      <c r="AX666" s="170"/>
    </row>
    <row r="667" spans="1:50" ht="15" x14ac:dyDescent="0.25">
      <c r="A667" s="170"/>
      <c r="B667" s="719"/>
      <c r="C667" s="170"/>
      <c r="D667" s="170"/>
      <c r="E667" s="170"/>
      <c r="F667" s="170"/>
      <c r="G667" s="721"/>
      <c r="H667" s="170"/>
      <c r="I667" s="170"/>
      <c r="J667" s="170"/>
      <c r="K667" s="170"/>
      <c r="L667" s="170"/>
      <c r="M667" s="730"/>
      <c r="N667" s="730"/>
      <c r="O667" s="730"/>
      <c r="P667" s="731"/>
      <c r="Q667" s="731"/>
      <c r="R667" s="730"/>
      <c r="S667" s="730"/>
      <c r="T667" s="723"/>
      <c r="U667" s="724"/>
      <c r="V667" s="725"/>
      <c r="W667" s="725"/>
      <c r="X667" s="723"/>
      <c r="Y667" s="723"/>
      <c r="Z667" s="723"/>
      <c r="AA667" s="726"/>
      <c r="AB667" s="726"/>
      <c r="AC667" s="170"/>
      <c r="AD667" s="586"/>
      <c r="AE667" s="586"/>
      <c r="AF667" s="170"/>
      <c r="AG667" s="170"/>
      <c r="AH667" s="170"/>
      <c r="AI667" s="170"/>
      <c r="AJ667" s="170"/>
      <c r="AK667" s="170"/>
      <c r="AL667" s="170"/>
      <c r="AM667" s="170"/>
      <c r="AN667" s="170"/>
      <c r="AO667" s="170"/>
      <c r="AP667" s="170"/>
      <c r="AQ667" s="170"/>
      <c r="AR667" s="170"/>
      <c r="AS667" s="170"/>
      <c r="AT667" s="170"/>
      <c r="AU667" s="170"/>
      <c r="AV667" s="170"/>
      <c r="AW667" s="170"/>
      <c r="AX667" s="170"/>
    </row>
    <row r="668" spans="1:50" ht="15" x14ac:dyDescent="0.25">
      <c r="A668" s="170"/>
      <c r="B668" s="719"/>
      <c r="C668" s="170"/>
      <c r="D668" s="170"/>
      <c r="E668" s="170"/>
      <c r="F668" s="170"/>
      <c r="G668" s="721"/>
      <c r="H668" s="170"/>
      <c r="I668" s="170"/>
      <c r="J668" s="170"/>
      <c r="K668" s="170"/>
      <c r="L668" s="170"/>
      <c r="M668" s="730"/>
      <c r="N668" s="730"/>
      <c r="O668" s="730"/>
      <c r="P668" s="731"/>
      <c r="Q668" s="731"/>
      <c r="R668" s="730"/>
      <c r="S668" s="730"/>
      <c r="T668" s="723"/>
      <c r="U668" s="724"/>
      <c r="V668" s="725"/>
      <c r="W668" s="725"/>
      <c r="X668" s="723"/>
      <c r="Y668" s="723"/>
      <c r="Z668" s="723"/>
      <c r="AA668" s="726"/>
      <c r="AB668" s="726"/>
      <c r="AC668" s="170"/>
      <c r="AD668" s="586"/>
      <c r="AE668" s="586"/>
      <c r="AF668" s="170"/>
      <c r="AG668" s="170"/>
      <c r="AH668" s="170"/>
      <c r="AI668" s="170"/>
      <c r="AJ668" s="170"/>
      <c r="AK668" s="170"/>
      <c r="AL668" s="170"/>
      <c r="AM668" s="170"/>
      <c r="AN668" s="170"/>
      <c r="AO668" s="170"/>
      <c r="AP668" s="170"/>
      <c r="AQ668" s="170"/>
      <c r="AR668" s="170"/>
      <c r="AS668" s="170"/>
      <c r="AT668" s="170"/>
      <c r="AU668" s="170"/>
      <c r="AV668" s="170"/>
      <c r="AW668" s="170"/>
      <c r="AX668" s="170"/>
    </row>
    <row r="669" spans="1:50" ht="15" x14ac:dyDescent="0.25">
      <c r="A669" s="170"/>
      <c r="B669" s="719"/>
      <c r="C669" s="170"/>
      <c r="D669" s="170"/>
      <c r="E669" s="170"/>
      <c r="F669" s="170"/>
      <c r="G669" s="721"/>
      <c r="H669" s="170"/>
      <c r="I669" s="170"/>
      <c r="J669" s="170"/>
      <c r="K669" s="170"/>
      <c r="L669" s="170"/>
      <c r="M669" s="730"/>
      <c r="N669" s="730"/>
      <c r="O669" s="730"/>
      <c r="P669" s="731"/>
      <c r="Q669" s="731"/>
      <c r="R669" s="730"/>
      <c r="S669" s="730"/>
      <c r="T669" s="723"/>
      <c r="U669" s="724"/>
      <c r="V669" s="725"/>
      <c r="W669" s="725"/>
      <c r="X669" s="723"/>
      <c r="Y669" s="723"/>
      <c r="Z669" s="723"/>
      <c r="AA669" s="726"/>
      <c r="AB669" s="726"/>
      <c r="AC669" s="170"/>
      <c r="AD669" s="586"/>
      <c r="AE669" s="586"/>
      <c r="AF669" s="170"/>
      <c r="AG669" s="170"/>
      <c r="AH669" s="170"/>
      <c r="AI669" s="170"/>
      <c r="AJ669" s="170"/>
      <c r="AK669" s="170"/>
      <c r="AL669" s="170"/>
      <c r="AM669" s="170"/>
      <c r="AN669" s="170"/>
      <c r="AO669" s="170"/>
      <c r="AP669" s="170"/>
      <c r="AQ669" s="170"/>
      <c r="AR669" s="170"/>
      <c r="AS669" s="170"/>
      <c r="AT669" s="170"/>
      <c r="AU669" s="170"/>
      <c r="AV669" s="170"/>
      <c r="AW669" s="170"/>
      <c r="AX669" s="170"/>
    </row>
    <row r="670" spans="1:50" ht="15" x14ac:dyDescent="0.25">
      <c r="A670" s="170"/>
      <c r="B670" s="719"/>
      <c r="C670" s="170"/>
      <c r="D670" s="170"/>
      <c r="E670" s="170"/>
      <c r="F670" s="170"/>
      <c r="G670" s="721"/>
      <c r="H670" s="170"/>
      <c r="I670" s="170"/>
      <c r="J670" s="170"/>
      <c r="K670" s="170"/>
      <c r="L670" s="170"/>
      <c r="M670" s="730"/>
      <c r="N670" s="730"/>
      <c r="O670" s="730"/>
      <c r="P670" s="731"/>
      <c r="Q670" s="731"/>
      <c r="R670" s="730"/>
      <c r="S670" s="730"/>
      <c r="T670" s="723"/>
      <c r="U670" s="724"/>
      <c r="V670" s="725"/>
      <c r="W670" s="725"/>
      <c r="X670" s="723"/>
      <c r="Y670" s="723"/>
      <c r="Z670" s="723"/>
      <c r="AA670" s="726"/>
      <c r="AB670" s="726"/>
      <c r="AC670" s="170"/>
      <c r="AD670" s="586"/>
      <c r="AE670" s="586"/>
      <c r="AF670" s="170"/>
      <c r="AG670" s="170"/>
      <c r="AH670" s="170"/>
      <c r="AI670" s="170"/>
      <c r="AJ670" s="170"/>
      <c r="AK670" s="170"/>
      <c r="AL670" s="170"/>
      <c r="AM670" s="170"/>
      <c r="AN670" s="170"/>
      <c r="AO670" s="170"/>
      <c r="AP670" s="170"/>
      <c r="AQ670" s="170"/>
      <c r="AR670" s="170"/>
      <c r="AS670" s="170"/>
      <c r="AT670" s="170"/>
      <c r="AU670" s="170"/>
      <c r="AV670" s="170"/>
      <c r="AW670" s="170"/>
      <c r="AX670" s="170"/>
    </row>
    <row r="671" spans="1:50" ht="15" x14ac:dyDescent="0.25">
      <c r="A671" s="170"/>
      <c r="B671" s="719"/>
      <c r="C671" s="170"/>
      <c r="D671" s="170"/>
      <c r="E671" s="170"/>
      <c r="F671" s="170"/>
      <c r="G671" s="721"/>
      <c r="H671" s="170"/>
      <c r="I671" s="170"/>
      <c r="J671" s="170"/>
      <c r="K671" s="170"/>
      <c r="L671" s="170"/>
      <c r="M671" s="730"/>
      <c r="N671" s="730"/>
      <c r="O671" s="730"/>
      <c r="P671" s="731"/>
      <c r="Q671" s="731"/>
      <c r="R671" s="730"/>
      <c r="S671" s="730"/>
      <c r="T671" s="723"/>
      <c r="U671" s="724"/>
      <c r="V671" s="725"/>
      <c r="W671" s="725"/>
      <c r="X671" s="723"/>
      <c r="Y671" s="723"/>
      <c r="Z671" s="723"/>
      <c r="AA671" s="726"/>
      <c r="AB671" s="726"/>
      <c r="AC671" s="170"/>
      <c r="AD671" s="586"/>
      <c r="AE671" s="586"/>
      <c r="AF671" s="170"/>
      <c r="AG671" s="170"/>
      <c r="AH671" s="170"/>
      <c r="AI671" s="170"/>
      <c r="AJ671" s="170"/>
      <c r="AK671" s="170"/>
      <c r="AL671" s="170"/>
      <c r="AM671" s="170"/>
      <c r="AN671" s="170"/>
      <c r="AO671" s="170"/>
      <c r="AP671" s="170"/>
      <c r="AQ671" s="170"/>
      <c r="AR671" s="170"/>
      <c r="AS671" s="170"/>
      <c r="AT671" s="170"/>
      <c r="AU671" s="170"/>
      <c r="AV671" s="170"/>
      <c r="AW671" s="170"/>
      <c r="AX671" s="170"/>
    </row>
    <row r="672" spans="1:50" ht="15" x14ac:dyDescent="0.25">
      <c r="A672" s="170"/>
      <c r="B672" s="719"/>
      <c r="C672" s="170"/>
      <c r="D672" s="170"/>
      <c r="E672" s="170"/>
      <c r="F672" s="170"/>
      <c r="G672" s="721"/>
      <c r="H672" s="170"/>
      <c r="I672" s="170"/>
      <c r="J672" s="170"/>
      <c r="K672" s="170"/>
      <c r="L672" s="170"/>
      <c r="M672" s="730"/>
      <c r="N672" s="730"/>
      <c r="O672" s="730"/>
      <c r="P672" s="731"/>
      <c r="Q672" s="731"/>
      <c r="R672" s="730"/>
      <c r="S672" s="730"/>
      <c r="T672" s="723"/>
      <c r="U672" s="724"/>
      <c r="V672" s="725"/>
      <c r="W672" s="725"/>
      <c r="X672" s="723"/>
      <c r="Y672" s="723"/>
      <c r="Z672" s="723"/>
      <c r="AA672" s="726"/>
      <c r="AB672" s="726"/>
      <c r="AC672" s="170"/>
      <c r="AD672" s="586"/>
      <c r="AE672" s="586"/>
      <c r="AF672" s="170"/>
      <c r="AG672" s="170"/>
      <c r="AH672" s="170"/>
      <c r="AI672" s="170"/>
      <c r="AJ672" s="170"/>
      <c r="AK672" s="170"/>
      <c r="AL672" s="170"/>
      <c r="AM672" s="170"/>
      <c r="AN672" s="170"/>
      <c r="AO672" s="170"/>
      <c r="AP672" s="170"/>
      <c r="AQ672" s="170"/>
      <c r="AR672" s="170"/>
      <c r="AS672" s="170"/>
      <c r="AT672" s="170"/>
      <c r="AU672" s="170"/>
      <c r="AV672" s="170"/>
      <c r="AW672" s="170"/>
      <c r="AX672" s="170"/>
    </row>
    <row r="673" spans="1:50" ht="15" x14ac:dyDescent="0.25">
      <c r="A673" s="170"/>
      <c r="B673" s="719"/>
      <c r="C673" s="170"/>
      <c r="D673" s="170"/>
      <c r="E673" s="170"/>
      <c r="F673" s="170"/>
      <c r="G673" s="721"/>
      <c r="H673" s="170"/>
      <c r="I673" s="170"/>
      <c r="J673" s="170"/>
      <c r="K673" s="170"/>
      <c r="L673" s="170"/>
      <c r="M673" s="730"/>
      <c r="N673" s="730"/>
      <c r="O673" s="730"/>
      <c r="P673" s="731"/>
      <c r="Q673" s="731"/>
      <c r="R673" s="730"/>
      <c r="S673" s="730"/>
      <c r="T673" s="723"/>
      <c r="U673" s="724"/>
      <c r="V673" s="725"/>
      <c r="W673" s="725"/>
      <c r="X673" s="723"/>
      <c r="Y673" s="723"/>
      <c r="Z673" s="723"/>
      <c r="AA673" s="726"/>
      <c r="AB673" s="726"/>
      <c r="AC673" s="170"/>
      <c r="AD673" s="586"/>
      <c r="AE673" s="586"/>
      <c r="AF673" s="170"/>
      <c r="AG673" s="170"/>
      <c r="AH673" s="170"/>
      <c r="AI673" s="170"/>
      <c r="AJ673" s="170"/>
      <c r="AK673" s="170"/>
      <c r="AL673" s="170"/>
      <c r="AM673" s="170"/>
      <c r="AN673" s="170"/>
      <c r="AO673" s="170"/>
      <c r="AP673" s="170"/>
      <c r="AQ673" s="170"/>
      <c r="AR673" s="170"/>
      <c r="AS673" s="170"/>
      <c r="AT673" s="170"/>
      <c r="AU673" s="170"/>
      <c r="AV673" s="170"/>
      <c r="AW673" s="170"/>
      <c r="AX673" s="170"/>
    </row>
    <row r="674" spans="1:50" ht="15" x14ac:dyDescent="0.25">
      <c r="A674" s="170"/>
      <c r="B674" s="719"/>
      <c r="C674" s="170"/>
      <c r="D674" s="170"/>
      <c r="E674" s="170"/>
      <c r="F674" s="170"/>
      <c r="G674" s="721"/>
      <c r="H674" s="170"/>
      <c r="I674" s="170"/>
      <c r="J674" s="170"/>
      <c r="K674" s="170"/>
      <c r="L674" s="170"/>
      <c r="M674" s="730"/>
      <c r="N674" s="730"/>
      <c r="O674" s="730"/>
      <c r="P674" s="731"/>
      <c r="Q674" s="731"/>
      <c r="R674" s="730"/>
      <c r="S674" s="730"/>
      <c r="T674" s="723"/>
      <c r="U674" s="724"/>
      <c r="V674" s="725"/>
      <c r="W674" s="725"/>
      <c r="X674" s="723"/>
      <c r="Y674" s="723"/>
      <c r="Z674" s="723"/>
      <c r="AA674" s="726"/>
      <c r="AB674" s="726"/>
      <c r="AC674" s="170"/>
      <c r="AD674" s="586"/>
      <c r="AE674" s="586"/>
      <c r="AF674" s="170"/>
      <c r="AG674" s="170"/>
      <c r="AH674" s="170"/>
      <c r="AI674" s="170"/>
      <c r="AJ674" s="170"/>
      <c r="AK674" s="170"/>
      <c r="AL674" s="170"/>
      <c r="AM674" s="170"/>
      <c r="AN674" s="170"/>
      <c r="AO674" s="170"/>
      <c r="AP674" s="170"/>
      <c r="AQ674" s="170"/>
      <c r="AR674" s="170"/>
      <c r="AS674" s="170"/>
      <c r="AT674" s="170"/>
      <c r="AU674" s="170"/>
      <c r="AV674" s="170"/>
      <c r="AW674" s="170"/>
      <c r="AX674" s="170"/>
    </row>
    <row r="675" spans="1:50" ht="15" x14ac:dyDescent="0.25">
      <c r="A675" s="170"/>
      <c r="B675" s="719"/>
      <c r="C675" s="170"/>
      <c r="D675" s="170"/>
      <c r="E675" s="170"/>
      <c r="F675" s="170"/>
      <c r="G675" s="721"/>
      <c r="H675" s="170"/>
      <c r="I675" s="170"/>
      <c r="J675" s="170"/>
      <c r="K675" s="170"/>
      <c r="L675" s="170"/>
      <c r="M675" s="730"/>
      <c r="N675" s="730"/>
      <c r="O675" s="730"/>
      <c r="P675" s="731"/>
      <c r="Q675" s="731"/>
      <c r="R675" s="730"/>
      <c r="S675" s="730"/>
      <c r="T675" s="723"/>
      <c r="U675" s="724"/>
      <c r="V675" s="725"/>
      <c r="W675" s="725"/>
      <c r="X675" s="723"/>
      <c r="Y675" s="723"/>
      <c r="Z675" s="723"/>
      <c r="AA675" s="726"/>
      <c r="AB675" s="726"/>
      <c r="AC675" s="170"/>
      <c r="AD675" s="586"/>
      <c r="AE675" s="586"/>
      <c r="AF675" s="170"/>
      <c r="AG675" s="170"/>
      <c r="AH675" s="170"/>
      <c r="AI675" s="170"/>
      <c r="AJ675" s="170"/>
      <c r="AK675" s="170"/>
      <c r="AL675" s="170"/>
      <c r="AM675" s="170"/>
      <c r="AN675" s="170"/>
      <c r="AO675" s="170"/>
      <c r="AP675" s="170"/>
      <c r="AQ675" s="170"/>
      <c r="AR675" s="170"/>
      <c r="AS675" s="170"/>
      <c r="AT675" s="170"/>
      <c r="AU675" s="170"/>
      <c r="AV675" s="170"/>
      <c r="AW675" s="170"/>
      <c r="AX675" s="170"/>
    </row>
    <row r="676" spans="1:50" ht="15" x14ac:dyDescent="0.25">
      <c r="A676" s="170"/>
      <c r="B676" s="719"/>
      <c r="C676" s="170"/>
      <c r="D676" s="170"/>
      <c r="E676" s="170"/>
      <c r="F676" s="170"/>
      <c r="G676" s="721"/>
      <c r="H676" s="170"/>
      <c r="I676" s="170"/>
      <c r="J676" s="170"/>
      <c r="K676" s="170"/>
      <c r="L676" s="170"/>
      <c r="M676" s="730"/>
      <c r="N676" s="730"/>
      <c r="O676" s="730"/>
      <c r="P676" s="731"/>
      <c r="Q676" s="731"/>
      <c r="R676" s="730"/>
      <c r="S676" s="730"/>
      <c r="T676" s="723"/>
      <c r="U676" s="724"/>
      <c r="V676" s="725"/>
      <c r="W676" s="725"/>
      <c r="X676" s="723"/>
      <c r="Y676" s="723"/>
      <c r="Z676" s="723"/>
      <c r="AA676" s="726"/>
      <c r="AB676" s="726"/>
      <c r="AC676" s="170"/>
      <c r="AD676" s="586"/>
      <c r="AE676" s="586"/>
      <c r="AF676" s="170"/>
      <c r="AG676" s="170"/>
      <c r="AH676" s="170"/>
      <c r="AI676" s="170"/>
      <c r="AJ676" s="170"/>
      <c r="AK676" s="170"/>
      <c r="AL676" s="170"/>
      <c r="AM676" s="170"/>
      <c r="AN676" s="170"/>
      <c r="AO676" s="170"/>
      <c r="AP676" s="170"/>
      <c r="AQ676" s="170"/>
      <c r="AR676" s="170"/>
      <c r="AS676" s="170"/>
      <c r="AT676" s="170"/>
      <c r="AU676" s="170"/>
      <c r="AV676" s="170"/>
      <c r="AW676" s="170"/>
      <c r="AX676" s="170"/>
    </row>
    <row r="677" spans="1:50" ht="15" x14ac:dyDescent="0.25">
      <c r="A677" s="170"/>
      <c r="B677" s="719"/>
      <c r="C677" s="170"/>
      <c r="D677" s="170"/>
      <c r="E677" s="170"/>
      <c r="F677" s="170"/>
      <c r="G677" s="721"/>
      <c r="H677" s="170"/>
      <c r="I677" s="170"/>
      <c r="J677" s="170"/>
      <c r="K677" s="170"/>
      <c r="L677" s="170"/>
      <c r="M677" s="730"/>
      <c r="N677" s="730"/>
      <c r="O677" s="730"/>
      <c r="P677" s="731"/>
      <c r="Q677" s="731"/>
      <c r="R677" s="730"/>
      <c r="S677" s="730"/>
      <c r="T677" s="723"/>
      <c r="U677" s="724"/>
      <c r="V677" s="725"/>
      <c r="W677" s="725"/>
      <c r="X677" s="723"/>
      <c r="Y677" s="723"/>
      <c r="Z677" s="723"/>
      <c r="AA677" s="726"/>
      <c r="AB677" s="726"/>
      <c r="AC677" s="170"/>
      <c r="AD677" s="586"/>
      <c r="AE677" s="586"/>
      <c r="AF677" s="170"/>
      <c r="AG677" s="170"/>
      <c r="AH677" s="170"/>
      <c r="AI677" s="170"/>
      <c r="AJ677" s="170"/>
      <c r="AK677" s="170"/>
      <c r="AL677" s="170"/>
      <c r="AM677" s="170"/>
      <c r="AN677" s="170"/>
      <c r="AO677" s="170"/>
      <c r="AP677" s="170"/>
      <c r="AQ677" s="170"/>
      <c r="AR677" s="170"/>
      <c r="AS677" s="170"/>
      <c r="AT677" s="170"/>
      <c r="AU677" s="170"/>
      <c r="AV677" s="170"/>
      <c r="AW677" s="170"/>
      <c r="AX677" s="170"/>
    </row>
    <row r="678" spans="1:50" ht="15" x14ac:dyDescent="0.25">
      <c r="A678" s="170"/>
      <c r="B678" s="719"/>
      <c r="C678" s="170"/>
      <c r="D678" s="170"/>
      <c r="E678" s="170"/>
      <c r="F678" s="170"/>
      <c r="G678" s="721"/>
      <c r="H678" s="170"/>
      <c r="I678" s="170"/>
      <c r="J678" s="170"/>
      <c r="K678" s="170"/>
      <c r="L678" s="170"/>
      <c r="M678" s="730"/>
      <c r="N678" s="730"/>
      <c r="O678" s="730"/>
      <c r="P678" s="731"/>
      <c r="Q678" s="731"/>
      <c r="R678" s="730"/>
      <c r="S678" s="730"/>
      <c r="T678" s="723"/>
      <c r="U678" s="724"/>
      <c r="V678" s="725"/>
      <c r="W678" s="725"/>
      <c r="X678" s="723"/>
      <c r="Y678" s="723"/>
      <c r="Z678" s="723"/>
      <c r="AA678" s="726"/>
      <c r="AB678" s="726"/>
      <c r="AC678" s="170"/>
      <c r="AD678" s="586"/>
      <c r="AE678" s="586"/>
      <c r="AF678" s="170"/>
      <c r="AG678" s="170"/>
      <c r="AH678" s="170"/>
      <c r="AI678" s="170"/>
      <c r="AJ678" s="170"/>
      <c r="AK678" s="170"/>
      <c r="AL678" s="170"/>
      <c r="AM678" s="170"/>
      <c r="AN678" s="170"/>
      <c r="AO678" s="170"/>
      <c r="AP678" s="170"/>
      <c r="AQ678" s="170"/>
      <c r="AR678" s="170"/>
      <c r="AS678" s="170"/>
      <c r="AT678" s="170"/>
      <c r="AU678" s="170"/>
      <c r="AV678" s="170"/>
      <c r="AW678" s="170"/>
      <c r="AX678" s="170"/>
    </row>
    <row r="679" spans="1:50" ht="15" x14ac:dyDescent="0.25">
      <c r="A679" s="170"/>
      <c r="B679" s="719"/>
      <c r="C679" s="170"/>
      <c r="D679" s="170"/>
      <c r="E679" s="170"/>
      <c r="F679" s="170"/>
      <c r="G679" s="721"/>
      <c r="H679" s="170"/>
      <c r="I679" s="170"/>
      <c r="J679" s="170"/>
      <c r="K679" s="170"/>
      <c r="L679" s="170"/>
      <c r="M679" s="730"/>
      <c r="N679" s="730"/>
      <c r="O679" s="730"/>
      <c r="P679" s="731"/>
      <c r="Q679" s="731"/>
      <c r="R679" s="730"/>
      <c r="S679" s="730"/>
      <c r="T679" s="723"/>
      <c r="U679" s="724"/>
      <c r="V679" s="725"/>
      <c r="W679" s="725"/>
      <c r="X679" s="723"/>
      <c r="Y679" s="723"/>
      <c r="Z679" s="723"/>
      <c r="AA679" s="726"/>
      <c r="AB679" s="726"/>
      <c r="AC679" s="170"/>
      <c r="AD679" s="586"/>
      <c r="AE679" s="586"/>
      <c r="AF679" s="170"/>
      <c r="AG679" s="170"/>
      <c r="AH679" s="170"/>
      <c r="AI679" s="170"/>
      <c r="AJ679" s="170"/>
      <c r="AK679" s="170"/>
      <c r="AL679" s="170"/>
      <c r="AM679" s="170"/>
      <c r="AN679" s="170"/>
      <c r="AO679" s="170"/>
      <c r="AP679" s="170"/>
      <c r="AQ679" s="170"/>
      <c r="AR679" s="170"/>
      <c r="AS679" s="170"/>
      <c r="AT679" s="170"/>
      <c r="AU679" s="170"/>
      <c r="AV679" s="170"/>
      <c r="AW679" s="170"/>
      <c r="AX679" s="170"/>
    </row>
    <row r="680" spans="1:50" ht="15" x14ac:dyDescent="0.25">
      <c r="A680" s="170"/>
      <c r="B680" s="719"/>
      <c r="C680" s="170"/>
      <c r="D680" s="170"/>
      <c r="E680" s="170"/>
      <c r="F680" s="170"/>
      <c r="G680" s="721"/>
      <c r="H680" s="170"/>
      <c r="I680" s="170"/>
      <c r="J680" s="170"/>
      <c r="K680" s="170"/>
      <c r="L680" s="170"/>
      <c r="M680" s="730"/>
      <c r="N680" s="730"/>
      <c r="O680" s="730"/>
      <c r="P680" s="731"/>
      <c r="Q680" s="731"/>
      <c r="R680" s="730"/>
      <c r="S680" s="730"/>
      <c r="T680" s="723"/>
      <c r="U680" s="724"/>
      <c r="V680" s="725"/>
      <c r="W680" s="725"/>
      <c r="X680" s="723"/>
      <c r="Y680" s="723"/>
      <c r="Z680" s="723"/>
      <c r="AA680" s="726"/>
      <c r="AB680" s="726"/>
      <c r="AC680" s="170"/>
      <c r="AD680" s="586"/>
      <c r="AE680" s="586"/>
      <c r="AF680" s="170"/>
      <c r="AG680" s="170"/>
      <c r="AH680" s="170"/>
      <c r="AI680" s="170"/>
      <c r="AJ680" s="170"/>
      <c r="AK680" s="170"/>
      <c r="AL680" s="170"/>
      <c r="AM680" s="170"/>
      <c r="AN680" s="170"/>
      <c r="AO680" s="170"/>
      <c r="AP680" s="170"/>
      <c r="AQ680" s="170"/>
      <c r="AR680" s="170"/>
      <c r="AS680" s="170"/>
      <c r="AT680" s="170"/>
      <c r="AU680" s="170"/>
      <c r="AV680" s="170"/>
      <c r="AW680" s="170"/>
      <c r="AX680" s="170"/>
    </row>
  </sheetData>
  <sheetProtection algorithmName="SHA-512" hashValue="E8YknwfYPOZnT2bxBuKXW0MS1rtZAcin1mvHZlLZx6zc933ev0hF7qldvYhgMyu4a921/erMFuVlkGZ/kHlJVA==" saltValue="lxU264y8byBCk5tytvQ6iA==" spinCount="100000" sheet="1" scenarios="1" formatCells="0" formatColumns="0" formatRows="0" autoFilter="0"/>
  <autoFilter ref="D8:AB80" xr:uid="{D825D25C-BAC2-4D04-888C-222D6F47AFD6}"/>
  <conditionalFormatting sqref="F9:F49 F54:F62 F52 F68:F74">
    <cfRule type="cellIs" dxfId="158" priority="5" operator="equal">
      <formula>0</formula>
    </cfRule>
  </conditionalFormatting>
  <conditionalFormatting sqref="F53">
    <cfRule type="cellIs" dxfId="157" priority="4" operator="equal">
      <formula>0</formula>
    </cfRule>
  </conditionalFormatting>
  <conditionalFormatting sqref="F50">
    <cfRule type="cellIs" dxfId="156" priority="3" operator="equal">
      <formula>0</formula>
    </cfRule>
  </conditionalFormatting>
  <conditionalFormatting sqref="F51">
    <cfRule type="cellIs" dxfId="155" priority="2" operator="equal">
      <formula>0</formula>
    </cfRule>
  </conditionalFormatting>
  <conditionalFormatting sqref="F63:F67">
    <cfRule type="cellIs" dxfId="154" priority="1" operator="equal">
      <formula>0</formula>
    </cfRule>
  </conditionalFormatting>
  <dataValidations disablePrompts="1" count="1">
    <dataValidation type="list" allowBlank="1" showInputMessage="1" showErrorMessage="1" sqref="P9:Q74" xr:uid="{FAE67E65-C542-4CB6-A422-8212D53FA9C5}">
      <formula1>"E, Other"</formula1>
    </dataValidation>
  </dataValidations>
  <printOptions horizontalCentered="1"/>
  <pageMargins left="0.95" right="0.21" top="0.48" bottom="0.33" header="0.2" footer="0.16"/>
  <pageSetup scale="60" fitToHeight="0" orientation="landscape"/>
  <headerFooter alignWithMargins="0">
    <oddFooter>&amp;CPage &amp;P of &amp;N</oddFooter>
  </headerFooter>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18BF4A04-4D9F-47ED-B3E3-15E5D7699623}">
          <x14:formula1>
            <xm:f>Parameters!$D$311:$D$351</xm:f>
          </x14:formula1>
          <xm:sqref>I12:I21 I27:I37 I45:I62</xm:sqref>
        </x14:dataValidation>
        <x14:dataValidation type="list" allowBlank="1" showInputMessage="1" showErrorMessage="1" xr:uid="{B15A0C6C-8421-4093-920D-09BABDBC633F}">
          <x14:formula1>
            <xm:f>'Data Input sheet'!$B$118:$B$179</xm:f>
          </x14:formula1>
          <xm:sqref>R9:R74</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03B2E-B1E3-428D-89BE-9A9F00C558CD}">
  <sheetPr codeName="Sheet8" filterMode="1">
    <tabColor rgb="FFFFC000"/>
    <pageSetUpPr autoPageBreaks="0" fitToPage="1"/>
  </sheetPr>
  <dimension ref="A1:BM1123"/>
  <sheetViews>
    <sheetView showZeros="0" zoomScaleNormal="100" workbookViewId="0">
      <pane xSplit="8" ySplit="8" topLeftCell="I26" activePane="bottomRight" state="frozen"/>
      <selection activeCell="A6" sqref="A6"/>
      <selection pane="topRight" activeCell="I6" sqref="I6"/>
      <selection pane="bottomLeft" activeCell="A9" sqref="A9"/>
      <selection pane="bottomRight" activeCell="H16" sqref="H16"/>
    </sheetView>
  </sheetViews>
  <sheetFormatPr defaultColWidth="8.5703125" defaultRowHeight="12.6" customHeight="1" outlineLevelRow="2" outlineLevelCol="1" x14ac:dyDescent="0.25"/>
  <cols>
    <col min="1" max="1" width="2.5703125" customWidth="1"/>
    <col min="2" max="2" width="3.5703125" customWidth="1"/>
    <col min="3" max="3" width="3.42578125" customWidth="1"/>
    <col min="4" max="4" width="2.5703125" customWidth="1" outlineLevel="1"/>
    <col min="5" max="5" width="3.42578125" customWidth="1" outlineLevel="1"/>
    <col min="6" max="6" width="3.5703125" customWidth="1" outlineLevel="1"/>
    <col min="7" max="7" width="53.5703125" customWidth="1"/>
    <col min="8" max="8" width="11" customWidth="1"/>
    <col min="9" max="9" width="6.5703125" customWidth="1"/>
    <col min="10" max="11" width="8.42578125" customWidth="1"/>
    <col min="12" max="12" width="8.5703125" customWidth="1" outlineLevel="1"/>
    <col min="13" max="16" width="8.42578125" customWidth="1" outlineLevel="1"/>
    <col min="17" max="17" width="8.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5" customWidth="1" outlineLevel="1"/>
    <col min="24" max="24" width="13" customWidth="1" outlineLevel="1"/>
    <col min="25" max="25" width="13.42578125" customWidth="1" outlineLevel="1"/>
    <col min="26" max="26" width="15.5703125"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8.42578125"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6.42578125" customWidth="1"/>
    <col min="46" max="46" width="3.5703125" customWidth="1"/>
    <col min="48" max="48" width="11.5703125" customWidth="1"/>
    <col min="49" max="49" width="16.5703125" customWidth="1"/>
    <col min="50" max="50" width="118.5703125" customWidth="1"/>
    <col min="52" max="52" width="17" customWidth="1"/>
    <col min="65" max="65" width="13.5703125" bestFit="1" customWidth="1"/>
  </cols>
  <sheetData>
    <row r="1" spans="1:65" ht="19.5" customHeight="1" x14ac:dyDescent="0.25">
      <c r="A1" s="170"/>
      <c r="B1" s="719"/>
      <c r="C1" s="170"/>
      <c r="D1" s="170"/>
      <c r="E1" s="170"/>
      <c r="F1" s="170"/>
      <c r="G1" s="2295" t="str">
        <f>+Cover!C5</f>
        <v>Project Title: Battery Storage - Hyde Park</v>
      </c>
      <c r="H1" s="170"/>
      <c r="I1" s="170"/>
      <c r="J1" s="170"/>
      <c r="K1" s="170"/>
      <c r="L1" s="170"/>
      <c r="M1" s="720"/>
      <c r="N1" s="720"/>
      <c r="O1" s="720"/>
      <c r="P1" s="722"/>
      <c r="Q1" s="722"/>
      <c r="R1" s="720"/>
      <c r="S1" s="720"/>
      <c r="T1" s="723"/>
      <c r="U1" s="724"/>
      <c r="V1" s="725"/>
      <c r="W1" s="725"/>
      <c r="X1" s="723"/>
      <c r="Y1" s="723"/>
      <c r="Z1" s="723"/>
      <c r="AA1" s="729"/>
      <c r="AB1" s="729"/>
      <c r="AC1" s="170"/>
      <c r="AD1" s="586"/>
      <c r="AE1" s="586"/>
      <c r="AF1" s="727"/>
      <c r="AG1" s="727"/>
      <c r="AH1" s="727"/>
      <c r="AI1" s="170"/>
      <c r="AJ1" s="170"/>
      <c r="AK1" s="170"/>
      <c r="AL1" s="170"/>
      <c r="AM1" s="170"/>
      <c r="AN1" s="170"/>
      <c r="AO1" s="170"/>
      <c r="AP1" s="170"/>
      <c r="AQ1" s="170"/>
      <c r="AR1" s="170"/>
      <c r="AS1" s="170"/>
      <c r="AT1" s="170"/>
      <c r="AU1" s="170"/>
      <c r="AV1" s="170"/>
      <c r="AW1" s="902"/>
      <c r="AX1" s="729"/>
    </row>
    <row r="2" spans="1:65" ht="15" customHeight="1" x14ac:dyDescent="0.25">
      <c r="A2" s="170"/>
      <c r="B2" s="719"/>
      <c r="C2" s="170"/>
      <c r="D2" s="170"/>
      <c r="E2" s="170"/>
      <c r="F2" s="170"/>
      <c r="G2" s="2295" t="str">
        <f>+Cover!C8</f>
        <v>Project Number: 21334</v>
      </c>
      <c r="H2" s="170"/>
      <c r="I2" s="170"/>
      <c r="J2" s="170"/>
      <c r="K2" s="170"/>
      <c r="L2" s="170"/>
      <c r="M2" s="720"/>
      <c r="N2" s="720"/>
      <c r="O2" s="720"/>
      <c r="P2" s="722"/>
      <c r="Q2" s="722"/>
      <c r="R2" s="720"/>
      <c r="S2" s="720"/>
      <c r="T2" s="723"/>
      <c r="U2" s="720"/>
      <c r="V2" s="728"/>
      <c r="W2" s="728"/>
      <c r="X2" s="729"/>
      <c r="Y2" s="729"/>
      <c r="Z2" s="723"/>
      <c r="AA2" s="729"/>
      <c r="AB2" s="729"/>
      <c r="AC2" s="170"/>
      <c r="AD2" s="586"/>
      <c r="AE2" s="586"/>
      <c r="AF2" s="170"/>
      <c r="AG2" s="170"/>
      <c r="AH2" s="170"/>
      <c r="AI2" s="170"/>
      <c r="AJ2" s="170"/>
      <c r="AK2" s="170"/>
      <c r="AL2" s="170"/>
      <c r="AM2" s="170"/>
      <c r="AN2" s="170"/>
      <c r="AO2" s="170"/>
      <c r="AP2" s="170"/>
      <c r="AQ2" s="170"/>
      <c r="AR2" s="170"/>
      <c r="AS2" s="735" t="str" cm="1">
        <f t="array" ref="AS2:AT2">+Cover!R8:S8</f>
        <v>Estimate done by: PAG</v>
      </c>
      <c r="AT2" s="170">
        <v>0</v>
      </c>
      <c r="AU2" s="170"/>
      <c r="AV2" s="170"/>
      <c r="AW2" s="902"/>
      <c r="AX2" s="729"/>
    </row>
    <row r="3" spans="1:65" ht="15" customHeight="1" x14ac:dyDescent="0.25">
      <c r="A3" s="170"/>
      <c r="B3" s="719"/>
      <c r="C3" s="170"/>
      <c r="D3" s="170"/>
      <c r="E3" s="170"/>
      <c r="F3" s="170"/>
      <c r="G3" s="2295" t="str">
        <f>+Cover!C9</f>
        <v>WO &amp; Task #: 80089926</v>
      </c>
      <c r="H3" s="170"/>
      <c r="I3" s="170"/>
      <c r="J3" s="170"/>
      <c r="K3" s="170"/>
      <c r="L3" s="170"/>
      <c r="M3" s="730"/>
      <c r="N3" s="730"/>
      <c r="O3" s="730"/>
      <c r="P3" s="731"/>
      <c r="Q3" s="731"/>
      <c r="R3" s="720"/>
      <c r="S3" s="720"/>
      <c r="T3" s="723"/>
      <c r="U3" s="720"/>
      <c r="V3" s="732"/>
      <c r="W3" s="723"/>
      <c r="X3" s="733" t="s">
        <v>552</v>
      </c>
      <c r="Y3" s="734">
        <f>+'Data Input sheet'!D185</f>
        <v>2.5375000000000001</v>
      </c>
      <c r="Z3" s="723"/>
      <c r="AA3" s="729"/>
      <c r="AB3" s="729"/>
      <c r="AC3" s="170"/>
      <c r="AD3" s="586"/>
      <c r="AE3" s="586"/>
      <c r="AF3" s="170"/>
      <c r="AG3" s="170"/>
      <c r="AH3" s="170"/>
      <c r="AI3" s="170"/>
      <c r="AJ3" s="170"/>
      <c r="AK3" s="170"/>
      <c r="AL3" s="170"/>
      <c r="AM3" s="170"/>
      <c r="AN3" s="170"/>
      <c r="AO3" s="170"/>
      <c r="AP3" s="170"/>
      <c r="AQ3" s="170"/>
      <c r="AR3" s="170"/>
      <c r="AS3" s="735" t="str">
        <f>+Cover!R6</f>
        <v>Date of Estimate:12/08/2023</v>
      </c>
      <c r="AT3" s="170"/>
      <c r="AU3" s="170"/>
      <c r="AV3" s="170"/>
      <c r="AW3" s="902"/>
      <c r="AX3" s="729"/>
    </row>
    <row r="4" spans="1:65" ht="16.5" customHeight="1" thickBot="1" x14ac:dyDescent="0.3">
      <c r="A4" s="170"/>
      <c r="B4" s="719"/>
      <c r="C4" s="170"/>
      <c r="D4" s="170"/>
      <c r="E4" s="170"/>
      <c r="F4" s="170"/>
      <c r="G4" s="2295" t="str">
        <f>+Cover!R5</f>
        <v>Estimate #: E-23-373</v>
      </c>
      <c r="H4" s="170"/>
      <c r="I4" s="170"/>
      <c r="J4" s="170"/>
      <c r="K4" s="170"/>
      <c r="L4" s="170"/>
      <c r="M4" s="730"/>
      <c r="N4" s="730"/>
      <c r="O4" s="730"/>
      <c r="P4" s="731"/>
      <c r="Q4" s="731"/>
      <c r="R4" s="720"/>
      <c r="S4" s="720"/>
      <c r="T4" s="723"/>
      <c r="U4" s="720"/>
      <c r="V4" s="728"/>
      <c r="W4" s="728"/>
      <c r="X4" s="723"/>
      <c r="Y4" s="723"/>
      <c r="Z4" s="729"/>
      <c r="AA4" s="729"/>
      <c r="AB4" s="729"/>
      <c r="AC4" s="170"/>
      <c r="AD4" s="586"/>
      <c r="AE4" s="586"/>
      <c r="AF4" s="170"/>
      <c r="AG4" s="170"/>
      <c r="AH4" s="170"/>
      <c r="AI4" s="170"/>
      <c r="AJ4" s="170"/>
      <c r="AK4" s="170"/>
      <c r="AL4" s="170"/>
      <c r="AM4" s="170"/>
      <c r="AN4" s="170"/>
      <c r="AO4" s="170"/>
      <c r="AP4" s="170"/>
      <c r="AQ4" s="170"/>
      <c r="AR4" s="170"/>
      <c r="AS4" s="735" t="str">
        <f>+Cover!C10</f>
        <v>Estimate revision #: 00</v>
      </c>
      <c r="AT4" s="170"/>
      <c r="AU4" s="170"/>
      <c r="AV4" s="170"/>
      <c r="AW4" s="902" t="s">
        <v>628</v>
      </c>
      <c r="AX4" s="729"/>
    </row>
    <row r="5" spans="1:65" ht="12.75" customHeight="1" thickTop="1" thickBot="1" x14ac:dyDescent="0.3">
      <c r="A5" s="170"/>
      <c r="B5" s="719"/>
      <c r="C5" s="170"/>
      <c r="D5" s="736" t="s">
        <v>553</v>
      </c>
      <c r="E5" s="548"/>
      <c r="F5" s="548"/>
      <c r="G5" s="548"/>
      <c r="H5" s="548"/>
      <c r="I5" s="548"/>
      <c r="J5" s="548"/>
      <c r="K5" s="548"/>
      <c r="L5" s="548"/>
      <c r="M5" s="738"/>
      <c r="N5" s="738"/>
      <c r="O5" s="738"/>
      <c r="P5" s="739"/>
      <c r="Q5" s="739"/>
      <c r="R5" s="740"/>
      <c r="S5" s="740"/>
      <c r="T5" s="741"/>
      <c r="U5" s="742"/>
      <c r="V5" s="743"/>
      <c r="W5" s="743"/>
      <c r="X5" s="741"/>
      <c r="Y5" s="741"/>
      <c r="Z5" s="744"/>
      <c r="AA5" s="744"/>
      <c r="AB5" s="744"/>
      <c r="AC5" s="548"/>
      <c r="AD5" s="746"/>
      <c r="AE5" s="746"/>
      <c r="AF5" s="548"/>
      <c r="AG5" s="548"/>
      <c r="AH5" s="548"/>
      <c r="AI5" s="548"/>
      <c r="AJ5" s="548"/>
      <c r="AK5" s="548"/>
      <c r="AL5" s="548"/>
      <c r="AM5" s="548"/>
      <c r="AN5" s="548"/>
      <c r="AO5" s="548"/>
      <c r="AP5" s="548"/>
      <c r="AQ5" s="548"/>
      <c r="AR5" s="548"/>
      <c r="AS5" s="548"/>
      <c r="AT5" s="747"/>
      <c r="AU5" s="170"/>
      <c r="AV5" s="170"/>
      <c r="AW5" s="903"/>
      <c r="AX5" s="744"/>
    </row>
    <row r="6" spans="1:65" ht="16.5" thickBot="1" x14ac:dyDescent="0.3">
      <c r="A6" s="721"/>
      <c r="B6" s="904"/>
      <c r="C6" s="721"/>
      <c r="D6" s="2014"/>
      <c r="E6" s="2014"/>
      <c r="F6" s="2014"/>
      <c r="G6" s="2014" t="s">
        <v>554</v>
      </c>
      <c r="H6" s="2032"/>
      <c r="I6" s="2032"/>
      <c r="J6" s="2032"/>
      <c r="K6" s="2032"/>
      <c r="L6" s="2032"/>
      <c r="M6" s="2032"/>
      <c r="N6" s="2032"/>
      <c r="O6" s="2032"/>
      <c r="P6" s="2033"/>
      <c r="Q6" s="2033"/>
      <c r="R6" s="2032"/>
      <c r="S6" s="2032"/>
      <c r="T6" s="2032"/>
      <c r="U6" s="2032"/>
      <c r="V6" s="2032"/>
      <c r="W6" s="2032"/>
      <c r="X6" s="2032"/>
      <c r="Y6" s="2034"/>
      <c r="Z6" s="2034"/>
      <c r="AA6" s="2018"/>
      <c r="AB6" s="2019"/>
      <c r="AC6" s="721"/>
      <c r="AD6" s="755" t="s">
        <v>555</v>
      </c>
      <c r="AE6" s="756"/>
      <c r="AF6" s="757"/>
      <c r="AG6" s="757"/>
      <c r="AH6" s="757"/>
      <c r="AI6" s="757"/>
      <c r="AJ6" s="757"/>
      <c r="AK6" s="757"/>
      <c r="AL6" s="757"/>
      <c r="AM6" s="757"/>
      <c r="AN6" s="757"/>
      <c r="AO6" s="757"/>
      <c r="AP6" s="757"/>
      <c r="AQ6" s="757"/>
      <c r="AR6" s="757"/>
      <c r="AS6" s="758"/>
      <c r="AT6" s="905"/>
      <c r="AU6" s="721"/>
      <c r="AV6" s="721"/>
      <c r="AW6" s="754"/>
      <c r="AX6" s="754"/>
    </row>
    <row r="7" spans="1:65" ht="12" customHeight="1" thickBot="1" x14ac:dyDescent="0.3">
      <c r="A7" s="721"/>
      <c r="B7" s="904"/>
      <c r="C7" s="721"/>
      <c r="D7" s="2035"/>
      <c r="E7" s="2021"/>
      <c r="F7" s="2021"/>
      <c r="G7" s="2021"/>
      <c r="H7" s="2021"/>
      <c r="I7" s="2021"/>
      <c r="J7" s="2021"/>
      <c r="K7" s="2021"/>
      <c r="L7" s="2021"/>
      <c r="M7" s="2073"/>
      <c r="N7" s="2073"/>
      <c r="O7" s="2073"/>
      <c r="P7" s="2074"/>
      <c r="Q7" s="2074"/>
      <c r="R7" s="2073"/>
      <c r="S7" s="2073"/>
      <c r="T7" s="2075"/>
      <c r="U7" s="2036"/>
      <c r="V7" s="2037"/>
      <c r="W7" s="2037"/>
      <c r="X7" s="2075"/>
      <c r="Y7" s="2075"/>
      <c r="Z7" s="2075"/>
      <c r="AA7" s="2027"/>
      <c r="AB7" s="2027"/>
      <c r="AC7" s="721"/>
      <c r="AD7" s="584"/>
      <c r="AE7" s="584"/>
      <c r="AF7" s="376"/>
      <c r="AG7" s="376"/>
      <c r="AH7" s="376"/>
      <c r="AI7" s="376"/>
      <c r="AJ7" s="376"/>
      <c r="AK7" s="376"/>
      <c r="AL7" s="762"/>
      <c r="AM7" s="762"/>
      <c r="AN7" s="762"/>
      <c r="AO7" s="762"/>
      <c r="AP7" s="762"/>
      <c r="AQ7" s="762"/>
      <c r="AR7" s="762"/>
      <c r="AS7" s="762"/>
      <c r="AT7" s="905"/>
      <c r="AU7" s="721"/>
      <c r="AV7" s="721"/>
      <c r="AW7" s="828"/>
      <c r="AX7" s="726"/>
      <c r="BM7" s="7">
        <v>0.25</v>
      </c>
    </row>
    <row r="8" spans="1:65" ht="53.85" customHeight="1" thickBot="1" x14ac:dyDescent="0.3">
      <c r="A8" s="721"/>
      <c r="B8" s="904"/>
      <c r="C8" s="721"/>
      <c r="D8" s="2028" t="s">
        <v>630</v>
      </c>
      <c r="E8" s="2028" t="s">
        <v>631</v>
      </c>
      <c r="F8" s="2028" t="s">
        <v>632</v>
      </c>
      <c r="G8" s="2014" t="s">
        <v>206</v>
      </c>
      <c r="H8" s="2029" t="s">
        <v>557</v>
      </c>
      <c r="I8" s="2029" t="s">
        <v>556</v>
      </c>
      <c r="J8" s="2014" t="s">
        <v>560</v>
      </c>
      <c r="K8" s="2014" t="s">
        <v>559</v>
      </c>
      <c r="L8" s="2030" t="s">
        <v>561</v>
      </c>
      <c r="M8" s="2030" t="s">
        <v>562</v>
      </c>
      <c r="N8" s="2030" t="s">
        <v>563</v>
      </c>
      <c r="O8" s="2030" t="s">
        <v>564</v>
      </c>
      <c r="P8" s="2030" t="s">
        <v>565</v>
      </c>
      <c r="Q8" s="2030" t="s">
        <v>566</v>
      </c>
      <c r="R8" s="2030" t="s">
        <v>567</v>
      </c>
      <c r="S8" s="2030" t="s">
        <v>568</v>
      </c>
      <c r="T8" s="2030" t="s">
        <v>569</v>
      </c>
      <c r="U8" s="2030" t="s">
        <v>1740</v>
      </c>
      <c r="V8" s="2030" t="s">
        <v>571</v>
      </c>
      <c r="W8" s="2030" t="s">
        <v>572</v>
      </c>
      <c r="X8" s="2030" t="s">
        <v>573</v>
      </c>
      <c r="Y8" s="2030" t="s">
        <v>574</v>
      </c>
      <c r="Z8" s="2030" t="s">
        <v>575</v>
      </c>
      <c r="AA8" s="2030" t="s">
        <v>1</v>
      </c>
      <c r="AB8" s="2031" t="s">
        <v>576</v>
      </c>
      <c r="AC8" s="907"/>
      <c r="AD8" s="766" t="s">
        <v>577</v>
      </c>
      <c r="AE8" s="766" t="s">
        <v>578</v>
      </c>
      <c r="AF8" s="766" t="s">
        <v>558</v>
      </c>
      <c r="AG8" s="766" t="s">
        <v>579</v>
      </c>
      <c r="AH8" s="766" t="s">
        <v>580</v>
      </c>
      <c r="AI8" s="766" t="s">
        <v>581</v>
      </c>
      <c r="AJ8" s="766" t="s">
        <v>582</v>
      </c>
      <c r="AK8" s="766" t="s">
        <v>583</v>
      </c>
      <c r="AL8" s="766" t="s">
        <v>584</v>
      </c>
      <c r="AM8" s="766" t="s">
        <v>585</v>
      </c>
      <c r="AN8" s="766" t="s">
        <v>586</v>
      </c>
      <c r="AO8" s="766" t="s">
        <v>587</v>
      </c>
      <c r="AP8" s="766" t="s">
        <v>588</v>
      </c>
      <c r="AQ8" s="766" t="s">
        <v>589</v>
      </c>
      <c r="AR8" s="766" t="s">
        <v>590</v>
      </c>
      <c r="AS8" s="767" t="s">
        <v>1144</v>
      </c>
      <c r="AT8" s="905"/>
      <c r="AU8" s="721"/>
      <c r="AV8" s="721"/>
      <c r="AW8" s="831" t="s">
        <v>634</v>
      </c>
      <c r="AX8" s="764" t="s">
        <v>635</v>
      </c>
      <c r="BM8" s="2030" t="s">
        <v>2774</v>
      </c>
    </row>
    <row r="9" spans="1:65" ht="15" hidden="1" x14ac:dyDescent="0.25">
      <c r="A9" s="908"/>
      <c r="B9" s="904">
        <v>1</v>
      </c>
      <c r="C9" s="721"/>
      <c r="D9" s="906"/>
      <c r="E9" s="721"/>
      <c r="F9" s="721"/>
      <c r="G9" s="785"/>
      <c r="H9" s="785"/>
      <c r="I9" s="908"/>
      <c r="J9" s="2007"/>
      <c r="K9" s="785"/>
      <c r="L9" s="721"/>
      <c r="M9" s="909">
        <v>0</v>
      </c>
      <c r="N9" s="910">
        <v>1</v>
      </c>
      <c r="O9" s="911">
        <f t="shared" ref="O9:O45" si="0">+M9*N9</f>
        <v>0</v>
      </c>
      <c r="P9" s="908" t="s">
        <v>39</v>
      </c>
      <c r="Q9" s="908" t="s">
        <v>39</v>
      </c>
      <c r="R9" s="2011" t="s">
        <v>74</v>
      </c>
      <c r="S9" s="912">
        <f>SUMIF('Data Input sheet'!$B$118:$B$180,R9,'Data Input sheet'!$D$118:$D$180)</f>
        <v>152</v>
      </c>
      <c r="T9" s="2684">
        <f>+O9*S9</f>
        <v>0</v>
      </c>
      <c r="U9" s="1994">
        <v>0</v>
      </c>
      <c r="V9" s="914">
        <f>ROUND(U9*O9,0)</f>
        <v>0</v>
      </c>
      <c r="W9" s="910"/>
      <c r="X9" s="915"/>
      <c r="Y9" s="913">
        <v>0</v>
      </c>
      <c r="Z9" s="916">
        <f t="shared" ref="Z9:Z45" si="1">T9+V9+W9+Y9</f>
        <v>0</v>
      </c>
      <c r="AA9" s="769"/>
      <c r="AB9" s="769"/>
      <c r="AC9" s="765"/>
      <c r="AD9" s="781">
        <f t="shared" ref="AD9:AD17" si="2">IF(P9="E",+ROUND(H9*O9,0),0)</f>
        <v>0</v>
      </c>
      <c r="AE9" s="778">
        <f t="shared" ref="AE9:AE17" si="3">+AF9-AD9</f>
        <v>0</v>
      </c>
      <c r="AF9" s="781">
        <f t="shared" ref="AF9:AF17" si="4">+H9*O9</f>
        <v>0</v>
      </c>
      <c r="AG9" s="781">
        <f t="shared" ref="AG9:AG17" si="5">IF(P9="E",+ROUND(T9*H9,0),0)</f>
        <v>0</v>
      </c>
      <c r="AH9" s="781">
        <f t="shared" ref="AH9:AH17" si="6">+AI9-AG9</f>
        <v>0</v>
      </c>
      <c r="AI9" s="782">
        <f t="shared" ref="AI9:AI17" si="7">+H9*T9</f>
        <v>0</v>
      </c>
      <c r="AJ9" s="781">
        <f t="shared" ref="AJ9:AJ17" si="8">IF(P9="E",+ROUND(V9*H9,0),0)</f>
        <v>0</v>
      </c>
      <c r="AK9" s="781">
        <f t="shared" ref="AK9:AK17" si="9">+AL9-AJ9</f>
        <v>0</v>
      </c>
      <c r="AL9" s="781">
        <f t="shared" ref="AL9:AL17" si="10">ROUND(V9*H9,0)</f>
        <v>0</v>
      </c>
      <c r="AM9" s="781">
        <f t="shared" ref="AM9:AM17" si="11">IF(Q9="E",+ROUND(W9*H9,0),0)</f>
        <v>0</v>
      </c>
      <c r="AN9" s="781">
        <f t="shared" ref="AN9:AN17" si="12">+AO9-AM9</f>
        <v>0</v>
      </c>
      <c r="AO9" s="781">
        <f t="shared" ref="AO9:AO17" si="13">ROUND(W9*H9,0)</f>
        <v>0</v>
      </c>
      <c r="AP9" s="781">
        <f t="shared" ref="AP9:AP17" si="14">IF(P9="E",+ROUND(Y9*H9,0),0)</f>
        <v>0</v>
      </c>
      <c r="AQ9" s="781">
        <f t="shared" ref="AQ9:AQ17" si="15">+AR9-AP9</f>
        <v>0</v>
      </c>
      <c r="AR9" s="781">
        <f t="shared" ref="AR9:AR17" si="16">ROUND(Y9*H9,0)</f>
        <v>0</v>
      </c>
      <c r="AS9" s="783">
        <f t="shared" ref="AS9:AS17" si="17">+AR9+AO9+AL9+AI9</f>
        <v>0</v>
      </c>
      <c r="AT9" s="917"/>
      <c r="AU9" s="721"/>
      <c r="AV9" s="721"/>
      <c r="AW9" s="832"/>
      <c r="AX9" s="833"/>
      <c r="BM9" s="910"/>
    </row>
    <row r="10" spans="1:65" ht="15.75" thickBot="1" x14ac:dyDescent="0.3">
      <c r="A10" s="787"/>
      <c r="B10" s="904">
        <f>+B9+1</f>
        <v>2</v>
      </c>
      <c r="C10" s="170" t="str">
        <f t="shared" ref="C10:C74" si="18">+F10&amp;I10</f>
        <v/>
      </c>
      <c r="D10" s="906"/>
      <c r="E10" s="721"/>
      <c r="F10" s="721"/>
      <c r="G10" s="834" t="s">
        <v>636</v>
      </c>
      <c r="H10" s="785">
        <v>1</v>
      </c>
      <c r="I10" s="908"/>
      <c r="J10" s="785"/>
      <c r="K10" s="785"/>
      <c r="L10" s="721"/>
      <c r="M10" s="909">
        <v>0</v>
      </c>
      <c r="N10" s="910"/>
      <c r="O10" s="911">
        <f t="shared" si="0"/>
        <v>0</v>
      </c>
      <c r="P10" s="908"/>
      <c r="Q10" s="908"/>
      <c r="R10" s="2011"/>
      <c r="S10" s="912">
        <f>SUMIF('Data Input sheet'!$B$118:$B$180,R10,'Data Input sheet'!$D$118:$D$180)</f>
        <v>0</v>
      </c>
      <c r="T10" s="2684">
        <f>+O10*S10</f>
        <v>0</v>
      </c>
      <c r="U10" s="1994">
        <v>0</v>
      </c>
      <c r="V10" s="914">
        <f t="shared" ref="V10:V106" si="19">ROUND(U10*O10,0)</f>
        <v>0</v>
      </c>
      <c r="W10" s="910"/>
      <c r="X10" s="915"/>
      <c r="Y10" s="913">
        <v>0</v>
      </c>
      <c r="Z10" s="916">
        <f t="shared" si="1"/>
        <v>0</v>
      </c>
      <c r="AA10" s="769"/>
      <c r="AB10" s="769"/>
      <c r="AC10" s="765"/>
      <c r="AD10" s="781">
        <f t="shared" si="2"/>
        <v>0</v>
      </c>
      <c r="AE10" s="778">
        <f t="shared" si="3"/>
        <v>0</v>
      </c>
      <c r="AF10" s="781">
        <f t="shared" si="4"/>
        <v>0</v>
      </c>
      <c r="AG10" s="781">
        <f t="shared" si="5"/>
        <v>0</v>
      </c>
      <c r="AH10" s="781">
        <f t="shared" si="6"/>
        <v>0</v>
      </c>
      <c r="AI10" s="782">
        <f t="shared" si="7"/>
        <v>0</v>
      </c>
      <c r="AJ10" s="781">
        <f t="shared" si="8"/>
        <v>0</v>
      </c>
      <c r="AK10" s="781">
        <f t="shared" si="9"/>
        <v>0</v>
      </c>
      <c r="AL10" s="781">
        <f t="shared" si="10"/>
        <v>0</v>
      </c>
      <c r="AM10" s="781">
        <f t="shared" si="11"/>
        <v>0</v>
      </c>
      <c r="AN10" s="781">
        <f t="shared" si="12"/>
        <v>0</v>
      </c>
      <c r="AO10" s="781">
        <f t="shared" si="13"/>
        <v>0</v>
      </c>
      <c r="AP10" s="781">
        <f t="shared" si="14"/>
        <v>0</v>
      </c>
      <c r="AQ10" s="781">
        <f t="shared" si="15"/>
        <v>0</v>
      </c>
      <c r="AR10" s="781">
        <f t="shared" si="16"/>
        <v>0</v>
      </c>
      <c r="AS10" s="783">
        <f t="shared" si="17"/>
        <v>0</v>
      </c>
      <c r="AT10" s="917"/>
      <c r="AU10" s="721"/>
      <c r="AV10" s="721"/>
      <c r="AW10" s="832"/>
      <c r="AX10" s="833"/>
      <c r="BM10" s="910"/>
    </row>
    <row r="11" spans="1:65" ht="26.25" hidden="1" thickBot="1" x14ac:dyDescent="0.3">
      <c r="A11" s="784"/>
      <c r="B11" s="904">
        <f t="shared" ref="B11:B75" si="20">+B10+1</f>
        <v>3</v>
      </c>
      <c r="C11" s="170" t="str">
        <f t="shared" si="18"/>
        <v>2LS</v>
      </c>
      <c r="D11" s="557"/>
      <c r="E11" s="170"/>
      <c r="F11" s="170">
        <v>2</v>
      </c>
      <c r="G11" s="2007" t="s">
        <v>637</v>
      </c>
      <c r="H11" s="1926"/>
      <c r="I11" s="2008" t="s">
        <v>640</v>
      </c>
      <c r="J11" s="1926"/>
      <c r="K11" s="1926"/>
      <c r="L11" s="170">
        <v>2.5000000000000001E-3</v>
      </c>
      <c r="M11" s="2009">
        <v>0</v>
      </c>
      <c r="N11" s="2010">
        <v>1</v>
      </c>
      <c r="O11" s="773">
        <f t="shared" si="0"/>
        <v>0</v>
      </c>
      <c r="P11" s="2008" t="s">
        <v>39</v>
      </c>
      <c r="Q11" s="2008" t="s">
        <v>39</v>
      </c>
      <c r="R11" s="2011" t="s">
        <v>74</v>
      </c>
      <c r="S11" s="912">
        <f>SUMIF('Data Input sheet'!$B$118:$B$180,R11,'Data Input sheet'!$D$118:$D$180)</f>
        <v>152</v>
      </c>
      <c r="T11" s="2685">
        <f>+(SUM(AN16:AN620))*L11</f>
        <v>0</v>
      </c>
      <c r="U11" s="2013">
        <v>0</v>
      </c>
      <c r="V11" s="778">
        <f t="shared" si="19"/>
        <v>0</v>
      </c>
      <c r="W11" s="2010"/>
      <c r="X11" s="779"/>
      <c r="Y11" s="2012">
        <v>0</v>
      </c>
      <c r="Z11" s="780">
        <f t="shared" si="1"/>
        <v>0</v>
      </c>
      <c r="AA11" s="2007" t="s">
        <v>826</v>
      </c>
      <c r="AB11" s="2007"/>
      <c r="AC11" s="765"/>
      <c r="AD11" s="781">
        <f t="shared" si="2"/>
        <v>0</v>
      </c>
      <c r="AE11" s="778">
        <f t="shared" si="3"/>
        <v>0</v>
      </c>
      <c r="AF11" s="781">
        <f t="shared" si="4"/>
        <v>0</v>
      </c>
      <c r="AG11" s="781">
        <f t="shared" si="5"/>
        <v>0</v>
      </c>
      <c r="AH11" s="781">
        <f t="shared" si="6"/>
        <v>0</v>
      </c>
      <c r="AI11" s="782">
        <f t="shared" si="7"/>
        <v>0</v>
      </c>
      <c r="AJ11" s="781">
        <f t="shared" si="8"/>
        <v>0</v>
      </c>
      <c r="AK11" s="781">
        <f t="shared" si="9"/>
        <v>0</v>
      </c>
      <c r="AL11" s="781">
        <f t="shared" si="10"/>
        <v>0</v>
      </c>
      <c r="AM11" s="781">
        <f t="shared" si="11"/>
        <v>0</v>
      </c>
      <c r="AN11" s="781">
        <f t="shared" si="12"/>
        <v>0</v>
      </c>
      <c r="AO11" s="781">
        <f t="shared" si="13"/>
        <v>0</v>
      </c>
      <c r="AP11" s="781">
        <f t="shared" si="14"/>
        <v>0</v>
      </c>
      <c r="AQ11" s="781">
        <f t="shared" si="15"/>
        <v>0</v>
      </c>
      <c r="AR11" s="781">
        <f t="shared" si="16"/>
        <v>0</v>
      </c>
      <c r="AS11" s="783">
        <f t="shared" si="17"/>
        <v>0</v>
      </c>
      <c r="AT11" s="917"/>
      <c r="AW11" s="832"/>
      <c r="AX11" s="833" t="s">
        <v>3028</v>
      </c>
      <c r="BM11" s="2010"/>
    </row>
    <row r="12" spans="1:65" ht="26.25" hidden="1" thickBot="1" x14ac:dyDescent="0.3">
      <c r="A12" s="784"/>
      <c r="B12" s="904">
        <f t="shared" si="20"/>
        <v>4</v>
      </c>
      <c r="C12" s="170" t="str">
        <f t="shared" si="18"/>
        <v>1LS</v>
      </c>
      <c r="D12" s="557"/>
      <c r="E12" s="170"/>
      <c r="F12" s="170">
        <v>1</v>
      </c>
      <c r="G12" s="2007" t="s">
        <v>84</v>
      </c>
      <c r="H12" s="1926"/>
      <c r="I12" s="2008" t="s">
        <v>640</v>
      </c>
      <c r="J12" s="1926"/>
      <c r="K12" s="1926"/>
      <c r="L12" s="170">
        <v>0.05</v>
      </c>
      <c r="M12" s="2009"/>
      <c r="N12" s="2010">
        <v>1</v>
      </c>
      <c r="O12" s="773">
        <f t="shared" si="0"/>
        <v>0</v>
      </c>
      <c r="P12" s="2008" t="s">
        <v>39</v>
      </c>
      <c r="Q12" s="2008" t="s">
        <v>39</v>
      </c>
      <c r="R12" s="2011"/>
      <c r="S12" s="912">
        <f>SUMIF('Data Input sheet'!$B$118:$B$180,R12,'Data Input sheet'!$D$118:$D$180)</f>
        <v>0</v>
      </c>
      <c r="T12" s="2685">
        <f>+(SUM($AS$11,$AS$13:$AS$620)-SUM(SUM($AM$11,$AM$13:$AM$620)+SUM($AP$11,$AP$13:$AP$620)))*L12</f>
        <v>0</v>
      </c>
      <c r="U12" s="2013">
        <v>0</v>
      </c>
      <c r="V12" s="778">
        <f t="shared" si="19"/>
        <v>0</v>
      </c>
      <c r="W12" s="2010"/>
      <c r="X12" s="779"/>
      <c r="Y12" s="2012">
        <v>0</v>
      </c>
      <c r="Z12" s="780">
        <f t="shared" si="1"/>
        <v>0</v>
      </c>
      <c r="AA12" s="2007" t="str">
        <f>+"Ave "&amp;$L$12*100&amp; "% of total contractor cost"</f>
        <v>Ave 5% of total contractor cost</v>
      </c>
      <c r="AB12" s="2007"/>
      <c r="AC12" s="765"/>
      <c r="AD12" s="781">
        <f t="shared" si="2"/>
        <v>0</v>
      </c>
      <c r="AE12" s="778">
        <f t="shared" si="3"/>
        <v>0</v>
      </c>
      <c r="AF12" s="781">
        <f t="shared" si="4"/>
        <v>0</v>
      </c>
      <c r="AG12" s="781">
        <f t="shared" si="5"/>
        <v>0</v>
      </c>
      <c r="AH12" s="781">
        <f t="shared" si="6"/>
        <v>0</v>
      </c>
      <c r="AI12" s="782">
        <f t="shared" si="7"/>
        <v>0</v>
      </c>
      <c r="AJ12" s="781">
        <f t="shared" si="8"/>
        <v>0</v>
      </c>
      <c r="AK12" s="781">
        <f t="shared" si="9"/>
        <v>0</v>
      </c>
      <c r="AL12" s="781">
        <f t="shared" si="10"/>
        <v>0</v>
      </c>
      <c r="AM12" s="781">
        <f t="shared" si="11"/>
        <v>0</v>
      </c>
      <c r="AN12" s="781">
        <f t="shared" si="12"/>
        <v>0</v>
      </c>
      <c r="AO12" s="781">
        <f t="shared" si="13"/>
        <v>0</v>
      </c>
      <c r="AP12" s="781">
        <f t="shared" si="14"/>
        <v>0</v>
      </c>
      <c r="AQ12" s="781">
        <f t="shared" si="15"/>
        <v>0</v>
      </c>
      <c r="AR12" s="781">
        <f t="shared" si="16"/>
        <v>0</v>
      </c>
      <c r="AS12" s="783">
        <f t="shared" si="17"/>
        <v>0</v>
      </c>
      <c r="AT12" s="917"/>
      <c r="AW12" s="832"/>
      <c r="AX12" s="833" t="s">
        <v>3029</v>
      </c>
      <c r="BM12" s="2010"/>
    </row>
    <row r="13" spans="1:65" ht="15.75" hidden="1" thickBot="1" x14ac:dyDescent="0.3">
      <c r="A13" s="784"/>
      <c r="B13" s="904">
        <f t="shared" si="20"/>
        <v>5</v>
      </c>
      <c r="C13" s="170" t="str">
        <f t="shared" si="18"/>
        <v>2LS</v>
      </c>
      <c r="D13" s="557"/>
      <c r="E13" s="170"/>
      <c r="F13" s="170">
        <v>2</v>
      </c>
      <c r="G13" s="2007" t="s">
        <v>1145</v>
      </c>
      <c r="H13" s="1926"/>
      <c r="I13" s="2008" t="s">
        <v>640</v>
      </c>
      <c r="J13" s="1926"/>
      <c r="K13" s="1926"/>
      <c r="L13" s="170"/>
      <c r="M13" s="2009"/>
      <c r="N13" s="2010">
        <v>1</v>
      </c>
      <c r="O13" s="773">
        <f t="shared" si="0"/>
        <v>0</v>
      </c>
      <c r="P13" s="2008" t="s">
        <v>39</v>
      </c>
      <c r="Q13" s="2008" t="s">
        <v>39</v>
      </c>
      <c r="R13" s="2011" t="s">
        <v>74</v>
      </c>
      <c r="S13" s="912">
        <f>SUMIF('Data Input sheet'!$B$118:$B$180,R13,'Data Input sheet'!$D$118:$D$180)</f>
        <v>152</v>
      </c>
      <c r="T13" s="2685">
        <f t="shared" ref="T13:T45" si="21">+O13*S13</f>
        <v>0</v>
      </c>
      <c r="U13" s="2013">
        <v>0</v>
      </c>
      <c r="V13" s="778">
        <f t="shared" si="19"/>
        <v>0</v>
      </c>
      <c r="W13" s="2010"/>
      <c r="X13" s="779"/>
      <c r="Y13" s="2012">
        <v>0</v>
      </c>
      <c r="Z13" s="780">
        <f t="shared" si="1"/>
        <v>0</v>
      </c>
      <c r="AA13" s="2007"/>
      <c r="AB13" s="2007"/>
      <c r="AC13" s="765"/>
      <c r="AD13" s="781">
        <f t="shared" si="2"/>
        <v>0</v>
      </c>
      <c r="AE13" s="778">
        <f t="shared" si="3"/>
        <v>0</v>
      </c>
      <c r="AF13" s="781">
        <f t="shared" si="4"/>
        <v>0</v>
      </c>
      <c r="AG13" s="781">
        <f t="shared" si="5"/>
        <v>0</v>
      </c>
      <c r="AH13" s="781">
        <f t="shared" si="6"/>
        <v>0</v>
      </c>
      <c r="AI13" s="782">
        <f t="shared" si="7"/>
        <v>0</v>
      </c>
      <c r="AJ13" s="781">
        <f t="shared" si="8"/>
        <v>0</v>
      </c>
      <c r="AK13" s="781">
        <f t="shared" si="9"/>
        <v>0</v>
      </c>
      <c r="AL13" s="781">
        <f t="shared" si="10"/>
        <v>0</v>
      </c>
      <c r="AM13" s="781">
        <f t="shared" si="11"/>
        <v>0</v>
      </c>
      <c r="AN13" s="781">
        <f t="shared" si="12"/>
        <v>0</v>
      </c>
      <c r="AO13" s="781">
        <f t="shared" si="13"/>
        <v>0</v>
      </c>
      <c r="AP13" s="781">
        <f t="shared" si="14"/>
        <v>0</v>
      </c>
      <c r="AQ13" s="781">
        <f t="shared" si="15"/>
        <v>0</v>
      </c>
      <c r="AR13" s="781">
        <f t="shared" si="16"/>
        <v>0</v>
      </c>
      <c r="AS13" s="783">
        <f t="shared" si="17"/>
        <v>0</v>
      </c>
      <c r="AT13" s="917"/>
      <c r="AW13" s="832"/>
      <c r="AX13" s="833" t="s">
        <v>3030</v>
      </c>
      <c r="BM13" s="2010"/>
    </row>
    <row r="14" spans="1:65" ht="15.75" hidden="1" thickBot="1" x14ac:dyDescent="0.3">
      <c r="A14" s="784"/>
      <c r="B14" s="904">
        <f t="shared" si="20"/>
        <v>6</v>
      </c>
      <c r="C14" s="170" t="str">
        <f t="shared" si="18"/>
        <v>2LS</v>
      </c>
      <c r="D14" s="557"/>
      <c r="E14" s="170"/>
      <c r="F14" s="170">
        <v>2</v>
      </c>
      <c r="G14" s="2007" t="s">
        <v>3273</v>
      </c>
      <c r="H14" s="2008"/>
      <c r="I14" s="2008" t="s">
        <v>640</v>
      </c>
      <c r="J14" s="1926"/>
      <c r="K14" s="1926"/>
      <c r="L14" s="170"/>
      <c r="M14" s="2009"/>
      <c r="N14" s="2010">
        <v>1</v>
      </c>
      <c r="O14" s="773">
        <f t="shared" si="0"/>
        <v>0</v>
      </c>
      <c r="P14" s="2008" t="s">
        <v>39</v>
      </c>
      <c r="Q14" s="2008" t="s">
        <v>39</v>
      </c>
      <c r="R14" s="2011" t="s">
        <v>73</v>
      </c>
      <c r="S14" s="912">
        <f>SUMIF('Data Input sheet'!$B$118:$B$180,R14,'Data Input sheet'!$D$118:$D$180)</f>
        <v>119</v>
      </c>
      <c r="T14" s="2685">
        <f t="shared" si="21"/>
        <v>0</v>
      </c>
      <c r="U14" s="2013">
        <v>0</v>
      </c>
      <c r="V14" s="778">
        <f t="shared" si="19"/>
        <v>0</v>
      </c>
      <c r="W14" s="2010"/>
      <c r="X14" s="779"/>
      <c r="Y14" s="2012">
        <v>0</v>
      </c>
      <c r="Z14" s="780">
        <f t="shared" si="1"/>
        <v>0</v>
      </c>
      <c r="AA14" s="2007"/>
      <c r="AB14" s="2007"/>
      <c r="AC14" s="765"/>
      <c r="AD14" s="781">
        <f t="shared" si="2"/>
        <v>0</v>
      </c>
      <c r="AE14" s="778">
        <f t="shared" si="3"/>
        <v>0</v>
      </c>
      <c r="AF14" s="781">
        <f t="shared" si="4"/>
        <v>0</v>
      </c>
      <c r="AG14" s="781">
        <f t="shared" si="5"/>
        <v>0</v>
      </c>
      <c r="AH14" s="781">
        <f t="shared" si="6"/>
        <v>0</v>
      </c>
      <c r="AI14" s="782">
        <f t="shared" si="7"/>
        <v>0</v>
      </c>
      <c r="AJ14" s="781">
        <f t="shared" si="8"/>
        <v>0</v>
      </c>
      <c r="AK14" s="781">
        <f t="shared" si="9"/>
        <v>0</v>
      </c>
      <c r="AL14" s="781">
        <f t="shared" si="10"/>
        <v>0</v>
      </c>
      <c r="AM14" s="781">
        <f t="shared" si="11"/>
        <v>0</v>
      </c>
      <c r="AN14" s="781">
        <f t="shared" si="12"/>
        <v>0</v>
      </c>
      <c r="AO14" s="781">
        <f t="shared" si="13"/>
        <v>0</v>
      </c>
      <c r="AP14" s="781">
        <f t="shared" si="14"/>
        <v>0</v>
      </c>
      <c r="AQ14" s="781">
        <f t="shared" si="15"/>
        <v>0</v>
      </c>
      <c r="AR14" s="781">
        <f t="shared" si="16"/>
        <v>0</v>
      </c>
      <c r="AS14" s="783">
        <f t="shared" si="17"/>
        <v>0</v>
      </c>
      <c r="AT14" s="917"/>
      <c r="AW14" s="832"/>
      <c r="AX14" s="833" t="s">
        <v>3030</v>
      </c>
      <c r="BM14" s="2010"/>
    </row>
    <row r="15" spans="1:65" ht="15.75" hidden="1" thickBot="1" x14ac:dyDescent="0.3">
      <c r="A15" s="784"/>
      <c r="B15" s="904">
        <f t="shared" si="20"/>
        <v>7</v>
      </c>
      <c r="C15" s="170" t="str">
        <f t="shared" si="18"/>
        <v>0</v>
      </c>
      <c r="D15" s="557"/>
      <c r="E15" s="170"/>
      <c r="F15" s="170">
        <v>0</v>
      </c>
      <c r="G15" s="2007"/>
      <c r="H15" s="2008"/>
      <c r="I15" s="2008"/>
      <c r="J15" s="1926"/>
      <c r="K15" s="1926"/>
      <c r="L15" s="170"/>
      <c r="M15" s="2009"/>
      <c r="N15" s="2010">
        <v>1</v>
      </c>
      <c r="O15" s="773">
        <f t="shared" si="0"/>
        <v>0</v>
      </c>
      <c r="P15" s="2008" t="s">
        <v>39</v>
      </c>
      <c r="Q15" s="2008" t="s">
        <v>39</v>
      </c>
      <c r="R15" s="2011" t="s">
        <v>74</v>
      </c>
      <c r="S15" s="912">
        <f>SUMIF('Data Input sheet'!$B$118:$B$180,R15,'Data Input sheet'!$D$118:$D$180)</f>
        <v>152</v>
      </c>
      <c r="T15" s="2685">
        <f t="shared" si="21"/>
        <v>0</v>
      </c>
      <c r="U15" s="2013">
        <v>0</v>
      </c>
      <c r="V15" s="778">
        <f t="shared" si="19"/>
        <v>0</v>
      </c>
      <c r="W15" s="2010"/>
      <c r="X15" s="779"/>
      <c r="Y15" s="2012">
        <v>0</v>
      </c>
      <c r="Z15" s="780">
        <f t="shared" si="1"/>
        <v>0</v>
      </c>
      <c r="AA15" s="2007"/>
      <c r="AB15" s="2007"/>
      <c r="AC15" s="765"/>
      <c r="AD15" s="781">
        <f t="shared" si="2"/>
        <v>0</v>
      </c>
      <c r="AE15" s="778">
        <f t="shared" si="3"/>
        <v>0</v>
      </c>
      <c r="AF15" s="781">
        <f t="shared" si="4"/>
        <v>0</v>
      </c>
      <c r="AG15" s="781">
        <f t="shared" si="5"/>
        <v>0</v>
      </c>
      <c r="AH15" s="781">
        <f t="shared" si="6"/>
        <v>0</v>
      </c>
      <c r="AI15" s="782">
        <f t="shared" si="7"/>
        <v>0</v>
      </c>
      <c r="AJ15" s="781">
        <f t="shared" si="8"/>
        <v>0</v>
      </c>
      <c r="AK15" s="781">
        <f t="shared" si="9"/>
        <v>0</v>
      </c>
      <c r="AL15" s="781">
        <f t="shared" si="10"/>
        <v>0</v>
      </c>
      <c r="AM15" s="781">
        <f t="shared" si="11"/>
        <v>0</v>
      </c>
      <c r="AN15" s="781">
        <f t="shared" si="12"/>
        <v>0</v>
      </c>
      <c r="AO15" s="781">
        <f t="shared" si="13"/>
        <v>0</v>
      </c>
      <c r="AP15" s="781">
        <f t="shared" si="14"/>
        <v>0</v>
      </c>
      <c r="AQ15" s="781">
        <f t="shared" si="15"/>
        <v>0</v>
      </c>
      <c r="AR15" s="781">
        <f t="shared" si="16"/>
        <v>0</v>
      </c>
      <c r="AS15" s="783">
        <f t="shared" si="17"/>
        <v>0</v>
      </c>
      <c r="AT15" s="917"/>
      <c r="AW15" s="832"/>
      <c r="AX15" s="833" t="s">
        <v>3030</v>
      </c>
      <c r="BM15" s="2010"/>
    </row>
    <row r="16" spans="1:65" ht="15.75" hidden="1" thickBot="1" x14ac:dyDescent="0.3">
      <c r="A16" s="784"/>
      <c r="B16" s="904">
        <f t="shared" si="20"/>
        <v>8</v>
      </c>
      <c r="C16" s="170" t="str">
        <f t="shared" si="18"/>
        <v>0</v>
      </c>
      <c r="D16" s="557"/>
      <c r="E16" s="170"/>
      <c r="F16" s="170">
        <v>0</v>
      </c>
      <c r="G16" s="2007"/>
      <c r="H16" s="2008"/>
      <c r="I16" s="2008"/>
      <c r="J16" s="1926"/>
      <c r="K16" s="1926"/>
      <c r="L16" s="170"/>
      <c r="M16" s="2009"/>
      <c r="N16" s="2010">
        <v>1</v>
      </c>
      <c r="O16" s="773">
        <f t="shared" si="0"/>
        <v>0</v>
      </c>
      <c r="P16" s="2008" t="s">
        <v>39</v>
      </c>
      <c r="Q16" s="2008" t="s">
        <v>39</v>
      </c>
      <c r="R16" s="2011" t="s">
        <v>74</v>
      </c>
      <c r="S16" s="912">
        <f>SUMIF('Data Input sheet'!$B$118:$B$180,R16,'Data Input sheet'!$D$118:$D$180)</f>
        <v>152</v>
      </c>
      <c r="T16" s="2685">
        <f t="shared" si="21"/>
        <v>0</v>
      </c>
      <c r="U16" s="2013">
        <v>0</v>
      </c>
      <c r="V16" s="778">
        <f t="shared" si="19"/>
        <v>0</v>
      </c>
      <c r="W16" s="2010"/>
      <c r="X16" s="779"/>
      <c r="Y16" s="2012">
        <v>0</v>
      </c>
      <c r="Z16" s="780">
        <f t="shared" si="1"/>
        <v>0</v>
      </c>
      <c r="AA16" s="2007"/>
      <c r="AB16" s="2007"/>
      <c r="AC16" s="765"/>
      <c r="AD16" s="781">
        <f t="shared" si="2"/>
        <v>0</v>
      </c>
      <c r="AE16" s="778">
        <f t="shared" si="3"/>
        <v>0</v>
      </c>
      <c r="AF16" s="781">
        <f t="shared" si="4"/>
        <v>0</v>
      </c>
      <c r="AG16" s="781">
        <f t="shared" si="5"/>
        <v>0</v>
      </c>
      <c r="AH16" s="781">
        <f t="shared" si="6"/>
        <v>0</v>
      </c>
      <c r="AI16" s="782">
        <f t="shared" si="7"/>
        <v>0</v>
      </c>
      <c r="AJ16" s="781">
        <f t="shared" si="8"/>
        <v>0</v>
      </c>
      <c r="AK16" s="781">
        <f t="shared" si="9"/>
        <v>0</v>
      </c>
      <c r="AL16" s="781">
        <f t="shared" si="10"/>
        <v>0</v>
      </c>
      <c r="AM16" s="781">
        <f t="shared" si="11"/>
        <v>0</v>
      </c>
      <c r="AN16" s="781">
        <f t="shared" si="12"/>
        <v>0</v>
      </c>
      <c r="AO16" s="781">
        <f t="shared" si="13"/>
        <v>0</v>
      </c>
      <c r="AP16" s="781">
        <f t="shared" si="14"/>
        <v>0</v>
      </c>
      <c r="AQ16" s="781">
        <f t="shared" si="15"/>
        <v>0</v>
      </c>
      <c r="AR16" s="781">
        <f t="shared" si="16"/>
        <v>0</v>
      </c>
      <c r="AS16" s="783">
        <f t="shared" si="17"/>
        <v>0</v>
      </c>
      <c r="AT16" s="917"/>
      <c r="AW16" s="832"/>
      <c r="AX16" s="833">
        <v>0</v>
      </c>
      <c r="BM16" s="2010"/>
    </row>
    <row r="17" spans="1:65" ht="15.75" hidden="1" thickBot="1" x14ac:dyDescent="0.3">
      <c r="A17" s="784"/>
      <c r="B17" s="904">
        <f t="shared" si="20"/>
        <v>9</v>
      </c>
      <c r="C17" s="170" t="str">
        <f t="shared" si="18"/>
        <v>0</v>
      </c>
      <c r="D17" s="557"/>
      <c r="E17" s="170"/>
      <c r="F17" s="170">
        <v>0</v>
      </c>
      <c r="G17" s="2007"/>
      <c r="H17" s="2008"/>
      <c r="I17" s="2008"/>
      <c r="J17" s="1926"/>
      <c r="K17" s="1926"/>
      <c r="L17" s="170"/>
      <c r="M17" s="2009"/>
      <c r="N17" s="2010">
        <v>1</v>
      </c>
      <c r="O17" s="773">
        <f t="shared" si="0"/>
        <v>0</v>
      </c>
      <c r="P17" s="2008" t="s">
        <v>39</v>
      </c>
      <c r="Q17" s="2008" t="s">
        <v>39</v>
      </c>
      <c r="R17" s="2011" t="s">
        <v>74</v>
      </c>
      <c r="S17" s="912">
        <f>SUMIF('Data Input sheet'!$B$118:$B$180,R17,'Data Input sheet'!$D$118:$D$180)</f>
        <v>152</v>
      </c>
      <c r="T17" s="2685">
        <f t="shared" si="21"/>
        <v>0</v>
      </c>
      <c r="U17" s="2013">
        <v>0</v>
      </c>
      <c r="V17" s="778">
        <f t="shared" si="19"/>
        <v>0</v>
      </c>
      <c r="W17" s="2010"/>
      <c r="X17" s="779"/>
      <c r="Y17" s="2012">
        <v>0</v>
      </c>
      <c r="Z17" s="780">
        <f t="shared" si="1"/>
        <v>0</v>
      </c>
      <c r="AA17" s="2007"/>
      <c r="AB17" s="2007"/>
      <c r="AC17" s="765"/>
      <c r="AD17" s="781">
        <f t="shared" si="2"/>
        <v>0</v>
      </c>
      <c r="AE17" s="778">
        <f t="shared" si="3"/>
        <v>0</v>
      </c>
      <c r="AF17" s="781">
        <f t="shared" si="4"/>
        <v>0</v>
      </c>
      <c r="AG17" s="781">
        <f t="shared" si="5"/>
        <v>0</v>
      </c>
      <c r="AH17" s="781">
        <f t="shared" si="6"/>
        <v>0</v>
      </c>
      <c r="AI17" s="782">
        <f t="shared" si="7"/>
        <v>0</v>
      </c>
      <c r="AJ17" s="781">
        <f t="shared" si="8"/>
        <v>0</v>
      </c>
      <c r="AK17" s="781">
        <f t="shared" si="9"/>
        <v>0</v>
      </c>
      <c r="AL17" s="781">
        <f t="shared" si="10"/>
        <v>0</v>
      </c>
      <c r="AM17" s="781">
        <f t="shared" si="11"/>
        <v>0</v>
      </c>
      <c r="AN17" s="781">
        <f t="shared" si="12"/>
        <v>0</v>
      </c>
      <c r="AO17" s="781">
        <f t="shared" si="13"/>
        <v>0</v>
      </c>
      <c r="AP17" s="781">
        <f t="shared" si="14"/>
        <v>0</v>
      </c>
      <c r="AQ17" s="781">
        <f t="shared" si="15"/>
        <v>0</v>
      </c>
      <c r="AR17" s="781">
        <f t="shared" si="16"/>
        <v>0</v>
      </c>
      <c r="AS17" s="783">
        <f t="shared" si="17"/>
        <v>0</v>
      </c>
      <c r="AT17" s="917"/>
      <c r="AW17" s="832"/>
      <c r="AX17" s="833">
        <v>0</v>
      </c>
      <c r="BM17" s="2010"/>
    </row>
    <row r="18" spans="1:65" ht="29.85" customHeight="1" thickBot="1" x14ac:dyDescent="0.3">
      <c r="A18" s="787"/>
      <c r="B18" s="904">
        <f t="shared" si="20"/>
        <v>10</v>
      </c>
      <c r="C18" s="170" t="str">
        <f t="shared" si="18"/>
        <v/>
      </c>
      <c r="D18" s="906"/>
      <c r="E18" s="721"/>
      <c r="F18" s="721"/>
      <c r="G18" s="2626" t="s">
        <v>1146</v>
      </c>
      <c r="H18" s="2629">
        <v>1</v>
      </c>
      <c r="I18" s="768"/>
      <c r="J18" s="785"/>
      <c r="K18" s="785"/>
      <c r="L18" s="721"/>
      <c r="M18" s="909">
        <v>0</v>
      </c>
      <c r="N18" s="910"/>
      <c r="O18" s="911">
        <f t="shared" si="0"/>
        <v>0</v>
      </c>
      <c r="P18" s="908"/>
      <c r="Q18" s="908"/>
      <c r="R18" s="774"/>
      <c r="S18" s="912">
        <f>SUMIF('Data Input sheet'!$B$118:$B$180,R18,'Data Input sheet'!$D$118:$D$180)</f>
        <v>0</v>
      </c>
      <c r="T18" s="2685">
        <f t="shared" si="21"/>
        <v>0</v>
      </c>
      <c r="U18" s="1992">
        <v>0</v>
      </c>
      <c r="V18" s="778">
        <f t="shared" si="19"/>
        <v>0</v>
      </c>
      <c r="W18" s="772"/>
      <c r="X18" s="779"/>
      <c r="Y18" s="776">
        <v>0</v>
      </c>
      <c r="Z18" s="780">
        <f t="shared" si="1"/>
        <v>0</v>
      </c>
      <c r="AA18" s="2007"/>
      <c r="AB18" s="2007"/>
      <c r="AC18" s="765"/>
      <c r="AD18" s="781">
        <f t="shared" ref="AD18:AD80" si="22">IF(P18="E",+ROUND(H18*O18,0),0)</f>
        <v>0</v>
      </c>
      <c r="AE18" s="778">
        <f t="shared" ref="AE18:AE80" si="23">+AF18-AD18</f>
        <v>0</v>
      </c>
      <c r="AF18" s="781">
        <f t="shared" ref="AF18:AF80" si="24">+H18*O18</f>
        <v>0</v>
      </c>
      <c r="AG18" s="781">
        <f t="shared" ref="AG18:AG80" si="25">IF(P18="E",+ROUND(T18*H18,0),0)</f>
        <v>0</v>
      </c>
      <c r="AH18" s="781">
        <f t="shared" ref="AH18:AH80" si="26">+AI18-AG18</f>
        <v>0</v>
      </c>
      <c r="AI18" s="782">
        <f t="shared" ref="AI18:AI80" si="27">+H18*T18</f>
        <v>0</v>
      </c>
      <c r="AJ18" s="781">
        <f t="shared" ref="AJ18:AJ80" si="28">IF(P18="E",+ROUND(V18*H18,0),0)</f>
        <v>0</v>
      </c>
      <c r="AK18" s="781">
        <f t="shared" ref="AK18:AK80" si="29">+AL18-AJ18</f>
        <v>0</v>
      </c>
      <c r="AL18" s="781">
        <f t="shared" ref="AL18:AL80" si="30">ROUND(V18*H18,0)</f>
        <v>0</v>
      </c>
      <c r="AM18" s="781">
        <f t="shared" ref="AM18:AM80" si="31">IF(Q18="E",+ROUND(W18*H18,0),0)</f>
        <v>0</v>
      </c>
      <c r="AN18" s="781">
        <f t="shared" ref="AN18:AN80" si="32">+AO18-AM18</f>
        <v>0</v>
      </c>
      <c r="AO18" s="781">
        <f t="shared" ref="AO18:AO80" si="33">ROUND(W18*H18,0)</f>
        <v>0</v>
      </c>
      <c r="AP18" s="781">
        <f t="shared" ref="AP18:AP80" si="34">IF(P18="E",+ROUND(Y18*H18,0),0)</f>
        <v>0</v>
      </c>
      <c r="AQ18" s="781">
        <f t="shared" ref="AQ18:AQ80" si="35">+AR18-AP18</f>
        <v>0</v>
      </c>
      <c r="AR18" s="781">
        <f t="shared" ref="AR18:AR80" si="36">ROUND(Y18*H18,0)</f>
        <v>0</v>
      </c>
      <c r="AS18" s="783">
        <f t="shared" ref="AS18:AS80" si="37">+AR18+AO18+AL18+AI18</f>
        <v>0</v>
      </c>
      <c r="AT18" s="917"/>
      <c r="AU18" s="721"/>
      <c r="AV18" s="721"/>
      <c r="AW18" s="832"/>
      <c r="AX18" s="833">
        <v>0</v>
      </c>
      <c r="BM18" s="2010"/>
    </row>
    <row r="19" spans="1:65" ht="15.75" hidden="1" outlineLevel="1" thickBot="1" x14ac:dyDescent="0.3">
      <c r="A19" s="784"/>
      <c r="B19" s="904">
        <f t="shared" si="20"/>
        <v>11</v>
      </c>
      <c r="C19" s="170" t="str">
        <f t="shared" si="18"/>
        <v>0</v>
      </c>
      <c r="D19" s="557"/>
      <c r="E19" s="170"/>
      <c r="F19" s="170">
        <v>0</v>
      </c>
      <c r="G19" s="2007"/>
      <c r="H19" s="2008"/>
      <c r="I19" s="2008"/>
      <c r="J19" s="1926"/>
      <c r="K19" s="1926"/>
      <c r="L19" s="170"/>
      <c r="M19" s="2009">
        <v>0</v>
      </c>
      <c r="N19" s="2010">
        <v>1</v>
      </c>
      <c r="O19" s="773">
        <f t="shared" ref="O19:O20" si="38">+M19*N19</f>
        <v>0</v>
      </c>
      <c r="P19" s="2008" t="s">
        <v>39</v>
      </c>
      <c r="Q19" s="2008" t="s">
        <v>39</v>
      </c>
      <c r="R19" s="2011" t="s">
        <v>73</v>
      </c>
      <c r="S19" s="912">
        <f>SUMIF('Data Input sheet'!$B$118:$B$180,R19,'Data Input sheet'!$D$118:$D$180)</f>
        <v>119</v>
      </c>
      <c r="T19" s="2685">
        <f t="shared" ref="T19:T20" si="39">+O19*S19</f>
        <v>0</v>
      </c>
      <c r="U19" s="2013">
        <v>0</v>
      </c>
      <c r="V19" s="778">
        <f t="shared" ref="V19:V20" si="40">ROUND(U19*O19,0)</f>
        <v>0</v>
      </c>
      <c r="W19" s="2010"/>
      <c r="X19" s="779"/>
      <c r="Y19" s="2012">
        <v>0</v>
      </c>
      <c r="Z19" s="780">
        <f t="shared" ref="Z19:Z20" si="41">T19+V19+W19+Y19</f>
        <v>0</v>
      </c>
      <c r="AA19" s="2007"/>
      <c r="AB19" s="2007"/>
      <c r="AC19" s="765"/>
      <c r="AD19" s="781">
        <f t="shared" si="22"/>
        <v>0</v>
      </c>
      <c r="AE19" s="778">
        <f t="shared" si="23"/>
        <v>0</v>
      </c>
      <c r="AF19" s="781">
        <f t="shared" si="24"/>
        <v>0</v>
      </c>
      <c r="AG19" s="781">
        <f t="shared" si="25"/>
        <v>0</v>
      </c>
      <c r="AH19" s="781">
        <f t="shared" si="26"/>
        <v>0</v>
      </c>
      <c r="AI19" s="782">
        <f t="shared" si="27"/>
        <v>0</v>
      </c>
      <c r="AJ19" s="781">
        <f t="shared" si="28"/>
        <v>0</v>
      </c>
      <c r="AK19" s="781">
        <f t="shared" si="29"/>
        <v>0</v>
      </c>
      <c r="AL19" s="781">
        <f t="shared" si="30"/>
        <v>0</v>
      </c>
      <c r="AM19" s="781">
        <f t="shared" si="31"/>
        <v>0</v>
      </c>
      <c r="AN19" s="781">
        <f t="shared" si="32"/>
        <v>0</v>
      </c>
      <c r="AO19" s="781">
        <f t="shared" si="33"/>
        <v>0</v>
      </c>
      <c r="AP19" s="781">
        <f t="shared" si="34"/>
        <v>0</v>
      </c>
      <c r="AQ19" s="781">
        <f t="shared" si="35"/>
        <v>0</v>
      </c>
      <c r="AR19" s="781">
        <f t="shared" si="36"/>
        <v>0</v>
      </c>
      <c r="AS19" s="783">
        <f t="shared" si="37"/>
        <v>0</v>
      </c>
      <c r="AT19" s="917"/>
      <c r="AW19" s="832"/>
      <c r="AX19" s="833">
        <v>0</v>
      </c>
      <c r="BM19" s="2010"/>
    </row>
    <row r="20" spans="1:65" ht="15.75" hidden="1" outlineLevel="1" thickBot="1" x14ac:dyDescent="0.3">
      <c r="A20" s="784"/>
      <c r="B20" s="904">
        <f t="shared" si="20"/>
        <v>12</v>
      </c>
      <c r="C20" s="170" t="str">
        <f t="shared" si="18"/>
        <v>0</v>
      </c>
      <c r="D20" s="557"/>
      <c r="E20" s="170"/>
      <c r="F20" s="170">
        <v>0</v>
      </c>
      <c r="G20" s="2007"/>
      <c r="H20" s="2008"/>
      <c r="I20" s="2008"/>
      <c r="J20" s="1926"/>
      <c r="K20" s="1926"/>
      <c r="L20" s="170"/>
      <c r="M20" s="2009">
        <v>0</v>
      </c>
      <c r="N20" s="2010">
        <v>1</v>
      </c>
      <c r="O20" s="773">
        <f t="shared" si="38"/>
        <v>0</v>
      </c>
      <c r="P20" s="2008" t="s">
        <v>39</v>
      </c>
      <c r="Q20" s="2008" t="s">
        <v>39</v>
      </c>
      <c r="R20" s="2011" t="s">
        <v>73</v>
      </c>
      <c r="S20" s="912">
        <f>SUMIF('Data Input sheet'!$B$118:$B$180,R20,'Data Input sheet'!$D$118:$D$180)</f>
        <v>119</v>
      </c>
      <c r="T20" s="2685">
        <f t="shared" si="39"/>
        <v>0</v>
      </c>
      <c r="U20" s="2013">
        <v>0</v>
      </c>
      <c r="V20" s="778">
        <f t="shared" si="40"/>
        <v>0</v>
      </c>
      <c r="W20" s="2010"/>
      <c r="X20" s="779"/>
      <c r="Y20" s="2012">
        <v>0</v>
      </c>
      <c r="Z20" s="780">
        <f t="shared" si="41"/>
        <v>0</v>
      </c>
      <c r="AA20" s="2007"/>
      <c r="AB20" s="2007"/>
      <c r="AC20" s="765"/>
      <c r="AD20" s="781">
        <f t="shared" si="22"/>
        <v>0</v>
      </c>
      <c r="AE20" s="778">
        <f t="shared" si="23"/>
        <v>0</v>
      </c>
      <c r="AF20" s="781">
        <f t="shared" si="24"/>
        <v>0</v>
      </c>
      <c r="AG20" s="781">
        <f t="shared" si="25"/>
        <v>0</v>
      </c>
      <c r="AH20" s="781">
        <f t="shared" si="26"/>
        <v>0</v>
      </c>
      <c r="AI20" s="782">
        <f t="shared" si="27"/>
        <v>0</v>
      </c>
      <c r="AJ20" s="781">
        <f t="shared" si="28"/>
        <v>0</v>
      </c>
      <c r="AK20" s="781">
        <f t="shared" si="29"/>
        <v>0</v>
      </c>
      <c r="AL20" s="781">
        <f t="shared" si="30"/>
        <v>0</v>
      </c>
      <c r="AM20" s="781">
        <f t="shared" si="31"/>
        <v>0</v>
      </c>
      <c r="AN20" s="781">
        <f t="shared" si="32"/>
        <v>0</v>
      </c>
      <c r="AO20" s="781">
        <f t="shared" si="33"/>
        <v>0</v>
      </c>
      <c r="AP20" s="781">
        <f t="shared" si="34"/>
        <v>0</v>
      </c>
      <c r="AQ20" s="781">
        <f t="shared" si="35"/>
        <v>0</v>
      </c>
      <c r="AR20" s="781">
        <f t="shared" si="36"/>
        <v>0</v>
      </c>
      <c r="AS20" s="783">
        <f t="shared" si="37"/>
        <v>0</v>
      </c>
      <c r="AT20" s="917"/>
      <c r="AW20" s="832"/>
      <c r="AX20" s="833">
        <v>0</v>
      </c>
      <c r="BM20" s="2010"/>
    </row>
    <row r="21" spans="1:65" ht="15.75" hidden="1" outlineLevel="1" thickBot="1" x14ac:dyDescent="0.3">
      <c r="A21" s="784"/>
      <c r="B21" s="904">
        <f t="shared" si="20"/>
        <v>13</v>
      </c>
      <c r="C21" s="170" t="str">
        <f t="shared" si="18"/>
        <v>2EA</v>
      </c>
      <c r="D21" s="557"/>
      <c r="E21" s="170"/>
      <c r="F21" s="170">
        <v>2</v>
      </c>
      <c r="G21" s="2007" t="s">
        <v>1662</v>
      </c>
      <c r="H21" s="2008"/>
      <c r="I21" s="2008" t="s">
        <v>732</v>
      </c>
      <c r="J21" s="1926"/>
      <c r="K21" s="1926"/>
      <c r="L21" s="170"/>
      <c r="M21" s="2009"/>
      <c r="N21" s="2010">
        <v>1</v>
      </c>
      <c r="O21" s="773">
        <f t="shared" si="0"/>
        <v>0</v>
      </c>
      <c r="P21" s="2008" t="s">
        <v>39</v>
      </c>
      <c r="Q21" s="2008" t="s">
        <v>39</v>
      </c>
      <c r="R21" s="2011" t="s">
        <v>73</v>
      </c>
      <c r="S21" s="912">
        <f>SUMIF('Data Input sheet'!$B$118:$B$180,R21,'Data Input sheet'!$D$118:$D$180)</f>
        <v>119</v>
      </c>
      <c r="T21" s="2685">
        <f t="shared" si="21"/>
        <v>0</v>
      </c>
      <c r="U21" s="2013">
        <v>0</v>
      </c>
      <c r="V21" s="778">
        <f t="shared" si="19"/>
        <v>0</v>
      </c>
      <c r="W21" s="2010"/>
      <c r="X21" s="779"/>
      <c r="Y21" s="2012">
        <v>15000</v>
      </c>
      <c r="Z21" s="780">
        <f t="shared" si="1"/>
        <v>15000</v>
      </c>
      <c r="AA21" s="2007"/>
      <c r="AB21" s="2007"/>
      <c r="AC21" s="765"/>
      <c r="AD21" s="781">
        <f t="shared" si="22"/>
        <v>0</v>
      </c>
      <c r="AE21" s="778">
        <f t="shared" si="23"/>
        <v>0</v>
      </c>
      <c r="AF21" s="781">
        <f t="shared" si="24"/>
        <v>0</v>
      </c>
      <c r="AG21" s="781">
        <f t="shared" si="25"/>
        <v>0</v>
      </c>
      <c r="AH21" s="781">
        <f t="shared" si="26"/>
        <v>0</v>
      </c>
      <c r="AI21" s="782">
        <f t="shared" si="27"/>
        <v>0</v>
      </c>
      <c r="AJ21" s="781">
        <f t="shared" si="28"/>
        <v>0</v>
      </c>
      <c r="AK21" s="781">
        <f t="shared" si="29"/>
        <v>0</v>
      </c>
      <c r="AL21" s="781">
        <f t="shared" si="30"/>
        <v>0</v>
      </c>
      <c r="AM21" s="781">
        <f t="shared" si="31"/>
        <v>0</v>
      </c>
      <c r="AN21" s="781">
        <f t="shared" si="32"/>
        <v>0</v>
      </c>
      <c r="AO21" s="781">
        <f t="shared" si="33"/>
        <v>0</v>
      </c>
      <c r="AP21" s="781">
        <f t="shared" si="34"/>
        <v>0</v>
      </c>
      <c r="AQ21" s="781">
        <f t="shared" si="35"/>
        <v>0</v>
      </c>
      <c r="AR21" s="781">
        <f t="shared" si="36"/>
        <v>0</v>
      </c>
      <c r="AS21" s="783">
        <f t="shared" si="37"/>
        <v>0</v>
      </c>
      <c r="AT21" s="917"/>
      <c r="AW21" s="832"/>
      <c r="AX21" s="833">
        <v>0</v>
      </c>
      <c r="BM21" s="2010"/>
    </row>
    <row r="22" spans="1:65" ht="15.75" hidden="1" outlineLevel="1" thickBot="1" x14ac:dyDescent="0.3">
      <c r="A22" s="784"/>
      <c r="B22" s="904">
        <f t="shared" si="20"/>
        <v>14</v>
      </c>
      <c r="C22" s="170" t="str">
        <f t="shared" si="18"/>
        <v>2EA</v>
      </c>
      <c r="D22" s="557"/>
      <c r="E22" s="170"/>
      <c r="F22" s="170">
        <v>2</v>
      </c>
      <c r="G22" s="2007" t="s">
        <v>1663</v>
      </c>
      <c r="H22" s="2008"/>
      <c r="I22" s="2008" t="s">
        <v>732</v>
      </c>
      <c r="J22" s="1926"/>
      <c r="K22" s="1926"/>
      <c r="L22" s="170"/>
      <c r="M22" s="2009"/>
      <c r="N22" s="2010">
        <v>1</v>
      </c>
      <c r="O22" s="773">
        <f t="shared" si="0"/>
        <v>0</v>
      </c>
      <c r="P22" s="2008" t="s">
        <v>39</v>
      </c>
      <c r="Q22" s="2008" t="s">
        <v>39</v>
      </c>
      <c r="R22" s="2011" t="s">
        <v>73</v>
      </c>
      <c r="S22" s="912">
        <f>SUMIF('Data Input sheet'!$B$118:$B$180,R22,'Data Input sheet'!$D$118:$D$180)</f>
        <v>119</v>
      </c>
      <c r="T22" s="2685">
        <f t="shared" si="21"/>
        <v>0</v>
      </c>
      <c r="U22" s="2013">
        <v>0</v>
      </c>
      <c r="V22" s="778">
        <f t="shared" si="19"/>
        <v>0</v>
      </c>
      <c r="W22" s="2010"/>
      <c r="X22" s="779"/>
      <c r="Y22" s="2012">
        <v>3500</v>
      </c>
      <c r="Z22" s="780">
        <f t="shared" si="1"/>
        <v>3500</v>
      </c>
      <c r="AA22" s="2007"/>
      <c r="AB22" s="2007"/>
      <c r="AC22" s="765"/>
      <c r="AD22" s="781">
        <f t="shared" si="22"/>
        <v>0</v>
      </c>
      <c r="AE22" s="778">
        <f t="shared" si="23"/>
        <v>0</v>
      </c>
      <c r="AF22" s="781">
        <f t="shared" si="24"/>
        <v>0</v>
      </c>
      <c r="AG22" s="781">
        <f t="shared" si="25"/>
        <v>0</v>
      </c>
      <c r="AH22" s="781">
        <f t="shared" si="26"/>
        <v>0</v>
      </c>
      <c r="AI22" s="782">
        <f t="shared" si="27"/>
        <v>0</v>
      </c>
      <c r="AJ22" s="781">
        <f t="shared" si="28"/>
        <v>0</v>
      </c>
      <c r="AK22" s="781">
        <f t="shared" si="29"/>
        <v>0</v>
      </c>
      <c r="AL22" s="781">
        <f t="shared" si="30"/>
        <v>0</v>
      </c>
      <c r="AM22" s="781">
        <f t="shared" si="31"/>
        <v>0</v>
      </c>
      <c r="AN22" s="781">
        <f t="shared" si="32"/>
        <v>0</v>
      </c>
      <c r="AO22" s="781">
        <f t="shared" si="33"/>
        <v>0</v>
      </c>
      <c r="AP22" s="781">
        <f t="shared" si="34"/>
        <v>0</v>
      </c>
      <c r="AQ22" s="781">
        <f t="shared" si="35"/>
        <v>0</v>
      </c>
      <c r="AR22" s="781">
        <f t="shared" si="36"/>
        <v>0</v>
      </c>
      <c r="AS22" s="783">
        <f t="shared" si="37"/>
        <v>0</v>
      </c>
      <c r="AT22" s="917"/>
      <c r="AW22" s="832"/>
      <c r="AX22" s="833">
        <v>0</v>
      </c>
      <c r="BM22" s="2010"/>
    </row>
    <row r="23" spans="1:65" ht="26.25" hidden="1" outlineLevel="1" thickBot="1" x14ac:dyDescent="0.3">
      <c r="A23" s="784"/>
      <c r="B23" s="904">
        <f t="shared" si="20"/>
        <v>15</v>
      </c>
      <c r="C23" s="170" t="str">
        <f t="shared" si="18"/>
        <v>2EA</v>
      </c>
      <c r="D23" s="557"/>
      <c r="E23" s="170"/>
      <c r="F23" s="170">
        <v>2</v>
      </c>
      <c r="G23" s="2007" t="s">
        <v>2790</v>
      </c>
      <c r="H23" s="2008"/>
      <c r="I23" s="2008" t="s">
        <v>732</v>
      </c>
      <c r="J23" s="1926"/>
      <c r="K23" s="1926"/>
      <c r="L23" s="170"/>
      <c r="M23" s="2009">
        <v>60</v>
      </c>
      <c r="N23" s="2010">
        <v>1</v>
      </c>
      <c r="O23" s="773">
        <f t="shared" ref="O23" si="42">+M23*N23</f>
        <v>60</v>
      </c>
      <c r="P23" s="2008" t="s">
        <v>39</v>
      </c>
      <c r="Q23" s="2008" t="s">
        <v>39</v>
      </c>
      <c r="R23" s="2011" t="s">
        <v>73</v>
      </c>
      <c r="S23" s="912">
        <f>SUMIF('Data Input sheet'!$B$118:$B$180,R23,'Data Input sheet'!$D$118:$D$180)</f>
        <v>119</v>
      </c>
      <c r="T23" s="2685">
        <f t="shared" ref="T23" si="43">+O23*S23</f>
        <v>7140</v>
      </c>
      <c r="U23" s="2013">
        <v>50</v>
      </c>
      <c r="V23" s="778">
        <f t="shared" ref="V23" si="44">ROUND(U23*O23,0)</f>
        <v>3000</v>
      </c>
      <c r="W23" s="2010">
        <v>500</v>
      </c>
      <c r="X23" s="779"/>
      <c r="Y23" s="2012">
        <v>0</v>
      </c>
      <c r="Z23" s="780">
        <f t="shared" ref="Z23" si="45">T23+V23+W23+Y23</f>
        <v>10640</v>
      </c>
      <c r="AA23" s="2007"/>
      <c r="AB23" s="2007"/>
      <c r="AC23" s="765"/>
      <c r="AD23" s="781">
        <f t="shared" si="22"/>
        <v>0</v>
      </c>
      <c r="AE23" s="778">
        <f t="shared" si="23"/>
        <v>0</v>
      </c>
      <c r="AF23" s="781">
        <f t="shared" si="24"/>
        <v>0</v>
      </c>
      <c r="AG23" s="781">
        <f t="shared" si="25"/>
        <v>0</v>
      </c>
      <c r="AH23" s="781">
        <f t="shared" si="26"/>
        <v>0</v>
      </c>
      <c r="AI23" s="782">
        <f t="shared" si="27"/>
        <v>0</v>
      </c>
      <c r="AJ23" s="781">
        <f t="shared" si="28"/>
        <v>0</v>
      </c>
      <c r="AK23" s="781">
        <f t="shared" si="29"/>
        <v>0</v>
      </c>
      <c r="AL23" s="781">
        <f t="shared" si="30"/>
        <v>0</v>
      </c>
      <c r="AM23" s="781">
        <f t="shared" si="31"/>
        <v>0</v>
      </c>
      <c r="AN23" s="781">
        <f t="shared" si="32"/>
        <v>0</v>
      </c>
      <c r="AO23" s="781">
        <f t="shared" si="33"/>
        <v>0</v>
      </c>
      <c r="AP23" s="781">
        <f t="shared" si="34"/>
        <v>0</v>
      </c>
      <c r="AQ23" s="781">
        <f t="shared" si="35"/>
        <v>0</v>
      </c>
      <c r="AR23" s="781">
        <f t="shared" si="36"/>
        <v>0</v>
      </c>
      <c r="AS23" s="783">
        <f t="shared" si="37"/>
        <v>0</v>
      </c>
      <c r="AT23" s="917"/>
      <c r="AW23" s="832"/>
      <c r="AX23" s="833" t="s">
        <v>3031</v>
      </c>
      <c r="BM23" s="2010"/>
    </row>
    <row r="24" spans="1:65" ht="15.75" hidden="1" outlineLevel="1" thickBot="1" x14ac:dyDescent="0.3">
      <c r="A24" s="784"/>
      <c r="B24" s="904">
        <f t="shared" si="20"/>
        <v>16</v>
      </c>
      <c r="C24" s="170" t="str">
        <f t="shared" si="18"/>
        <v>0</v>
      </c>
      <c r="D24" s="557"/>
      <c r="E24" s="170"/>
      <c r="F24" s="170">
        <v>0</v>
      </c>
      <c r="G24" s="1952" t="s">
        <v>1664</v>
      </c>
      <c r="H24" s="2008"/>
      <c r="I24" s="2008"/>
      <c r="J24" s="2039"/>
      <c r="K24" s="1965"/>
      <c r="L24" s="488"/>
      <c r="M24" s="2041"/>
      <c r="N24" s="1972"/>
      <c r="O24" s="1967">
        <f t="shared" si="0"/>
        <v>0</v>
      </c>
      <c r="P24" s="2008"/>
      <c r="Q24" s="2008"/>
      <c r="R24" s="2011"/>
      <c r="S24" s="912">
        <f>SUMIF('Data Input sheet'!$B$118:$B$180,R24,'Data Input sheet'!$D$118:$D$180)</f>
        <v>0</v>
      </c>
      <c r="T24" s="2685">
        <f t="shared" si="21"/>
        <v>0</v>
      </c>
      <c r="U24" s="2013">
        <v>0</v>
      </c>
      <c r="V24" s="1969">
        <f t="shared" si="19"/>
        <v>0</v>
      </c>
      <c r="W24" s="2043"/>
      <c r="X24" s="915"/>
      <c r="Y24" s="2047">
        <v>0</v>
      </c>
      <c r="Z24" s="1956">
        <f t="shared" si="1"/>
        <v>0</v>
      </c>
      <c r="AA24" s="2007"/>
      <c r="AB24" s="2007"/>
      <c r="AC24" s="765"/>
      <c r="AD24" s="781">
        <f t="shared" si="22"/>
        <v>0</v>
      </c>
      <c r="AE24" s="778">
        <f t="shared" si="23"/>
        <v>0</v>
      </c>
      <c r="AF24" s="781">
        <f t="shared" si="24"/>
        <v>0</v>
      </c>
      <c r="AG24" s="781">
        <f t="shared" si="25"/>
        <v>0</v>
      </c>
      <c r="AH24" s="781">
        <f t="shared" si="26"/>
        <v>0</v>
      </c>
      <c r="AI24" s="782">
        <f t="shared" si="27"/>
        <v>0</v>
      </c>
      <c r="AJ24" s="781">
        <f t="shared" si="28"/>
        <v>0</v>
      </c>
      <c r="AK24" s="781">
        <f t="shared" si="29"/>
        <v>0</v>
      </c>
      <c r="AL24" s="781">
        <f t="shared" si="30"/>
        <v>0</v>
      </c>
      <c r="AM24" s="781">
        <f t="shared" si="31"/>
        <v>0</v>
      </c>
      <c r="AN24" s="781">
        <f t="shared" si="32"/>
        <v>0</v>
      </c>
      <c r="AO24" s="781">
        <f t="shared" si="33"/>
        <v>0</v>
      </c>
      <c r="AP24" s="781">
        <f t="shared" si="34"/>
        <v>0</v>
      </c>
      <c r="AQ24" s="781">
        <f t="shared" si="35"/>
        <v>0</v>
      </c>
      <c r="AR24" s="781">
        <f t="shared" si="36"/>
        <v>0</v>
      </c>
      <c r="AS24" s="783">
        <f t="shared" si="37"/>
        <v>0</v>
      </c>
      <c r="AT24" s="917"/>
      <c r="AW24" s="832"/>
      <c r="AX24" s="833" t="s">
        <v>3030</v>
      </c>
      <c r="BM24" s="2043"/>
    </row>
    <row r="25" spans="1:65" ht="15.75" hidden="1" outlineLevel="1" thickBot="1" x14ac:dyDescent="0.3">
      <c r="A25" s="784"/>
      <c r="B25" s="904">
        <f t="shared" si="20"/>
        <v>17</v>
      </c>
      <c r="C25" s="170" t="str">
        <f t="shared" si="18"/>
        <v>2LF</v>
      </c>
      <c r="D25" s="557"/>
      <c r="E25" s="170"/>
      <c r="F25" s="170">
        <v>2</v>
      </c>
      <c r="G25" s="2007" t="s">
        <v>1665</v>
      </c>
      <c r="H25" s="2008"/>
      <c r="I25" s="2008" t="s">
        <v>728</v>
      </c>
      <c r="J25" s="1926"/>
      <c r="K25" s="1926"/>
      <c r="L25" s="170"/>
      <c r="M25" s="2009"/>
      <c r="N25" s="2010">
        <v>1</v>
      </c>
      <c r="O25" s="773">
        <f t="shared" si="0"/>
        <v>0</v>
      </c>
      <c r="P25" s="2008" t="s">
        <v>39</v>
      </c>
      <c r="Q25" s="2008" t="s">
        <v>39</v>
      </c>
      <c r="R25" s="2011" t="s">
        <v>73</v>
      </c>
      <c r="S25" s="912">
        <f>SUMIF('Data Input sheet'!$B$118:$B$180,R25,'Data Input sheet'!$D$118:$D$180)</f>
        <v>119</v>
      </c>
      <c r="T25" s="2685">
        <f t="shared" si="21"/>
        <v>0</v>
      </c>
      <c r="U25" s="2013">
        <v>0</v>
      </c>
      <c r="V25" s="778">
        <f t="shared" si="19"/>
        <v>0</v>
      </c>
      <c r="W25" s="2010">
        <v>3125</v>
      </c>
      <c r="X25" s="779"/>
      <c r="Y25" s="2012">
        <v>0</v>
      </c>
      <c r="Z25" s="780">
        <f t="shared" si="1"/>
        <v>3125</v>
      </c>
      <c r="AA25" s="2007"/>
      <c r="AB25" s="2007"/>
      <c r="AC25" s="765"/>
      <c r="AD25" s="781">
        <f t="shared" si="22"/>
        <v>0</v>
      </c>
      <c r="AE25" s="778">
        <f t="shared" si="23"/>
        <v>0</v>
      </c>
      <c r="AF25" s="781">
        <f t="shared" si="24"/>
        <v>0</v>
      </c>
      <c r="AG25" s="781">
        <f t="shared" si="25"/>
        <v>0</v>
      </c>
      <c r="AH25" s="781">
        <f t="shared" si="26"/>
        <v>0</v>
      </c>
      <c r="AI25" s="782">
        <f t="shared" si="27"/>
        <v>0</v>
      </c>
      <c r="AJ25" s="781">
        <f t="shared" si="28"/>
        <v>0</v>
      </c>
      <c r="AK25" s="781">
        <f t="shared" si="29"/>
        <v>0</v>
      </c>
      <c r="AL25" s="781">
        <f t="shared" si="30"/>
        <v>0</v>
      </c>
      <c r="AM25" s="781">
        <f t="shared" si="31"/>
        <v>0</v>
      </c>
      <c r="AN25" s="781">
        <f t="shared" si="32"/>
        <v>0</v>
      </c>
      <c r="AO25" s="781">
        <f t="shared" si="33"/>
        <v>0</v>
      </c>
      <c r="AP25" s="781">
        <f t="shared" si="34"/>
        <v>0</v>
      </c>
      <c r="AQ25" s="781">
        <f t="shared" si="35"/>
        <v>0</v>
      </c>
      <c r="AR25" s="781">
        <f t="shared" si="36"/>
        <v>0</v>
      </c>
      <c r="AS25" s="783">
        <f t="shared" si="37"/>
        <v>0</v>
      </c>
      <c r="AT25" s="917"/>
      <c r="AW25" s="832"/>
      <c r="AX25" s="833" t="s">
        <v>3030</v>
      </c>
      <c r="BM25" s="2010">
        <v>3125</v>
      </c>
    </row>
    <row r="26" spans="1:65" ht="15.75" hidden="1" outlineLevel="1" thickBot="1" x14ac:dyDescent="0.3">
      <c r="A26" s="784"/>
      <c r="B26" s="904">
        <f t="shared" si="20"/>
        <v>18</v>
      </c>
      <c r="C26" s="170" t="str">
        <f t="shared" si="18"/>
        <v>0</v>
      </c>
      <c r="D26" s="557"/>
      <c r="E26" s="170"/>
      <c r="F26" s="170">
        <v>0</v>
      </c>
      <c r="G26" s="1952" t="s">
        <v>1666</v>
      </c>
      <c r="H26" s="2008"/>
      <c r="I26" s="2008"/>
      <c r="J26" s="2039"/>
      <c r="K26" s="1965"/>
      <c r="L26" s="488"/>
      <c r="M26" s="2041">
        <v>0</v>
      </c>
      <c r="N26" s="1972"/>
      <c r="O26" s="1967">
        <f t="shared" si="0"/>
        <v>0</v>
      </c>
      <c r="P26" s="2008"/>
      <c r="Q26" s="2008"/>
      <c r="R26" s="2011"/>
      <c r="S26" s="912">
        <f>SUMIF('Data Input sheet'!$B$118:$B$180,R26,'Data Input sheet'!$D$118:$D$180)</f>
        <v>0</v>
      </c>
      <c r="T26" s="2685">
        <f t="shared" si="21"/>
        <v>0</v>
      </c>
      <c r="U26" s="2013">
        <v>0</v>
      </c>
      <c r="V26" s="1969">
        <f t="shared" si="19"/>
        <v>0</v>
      </c>
      <c r="W26" s="2043"/>
      <c r="X26" s="915"/>
      <c r="Y26" s="2047">
        <v>0</v>
      </c>
      <c r="Z26" s="1956">
        <f t="shared" si="1"/>
        <v>0</v>
      </c>
      <c r="AA26" s="2007"/>
      <c r="AB26" s="2007"/>
      <c r="AC26" s="765"/>
      <c r="AD26" s="781">
        <f t="shared" si="22"/>
        <v>0</v>
      </c>
      <c r="AE26" s="778">
        <f t="shared" si="23"/>
        <v>0</v>
      </c>
      <c r="AF26" s="781">
        <f t="shared" si="24"/>
        <v>0</v>
      </c>
      <c r="AG26" s="781">
        <f t="shared" si="25"/>
        <v>0</v>
      </c>
      <c r="AH26" s="781">
        <f t="shared" si="26"/>
        <v>0</v>
      </c>
      <c r="AI26" s="782">
        <f t="shared" si="27"/>
        <v>0</v>
      </c>
      <c r="AJ26" s="781">
        <f t="shared" si="28"/>
        <v>0</v>
      </c>
      <c r="AK26" s="781">
        <f t="shared" si="29"/>
        <v>0</v>
      </c>
      <c r="AL26" s="781">
        <f t="shared" si="30"/>
        <v>0</v>
      </c>
      <c r="AM26" s="781">
        <f t="shared" si="31"/>
        <v>0</v>
      </c>
      <c r="AN26" s="781">
        <f t="shared" si="32"/>
        <v>0</v>
      </c>
      <c r="AO26" s="781">
        <f t="shared" si="33"/>
        <v>0</v>
      </c>
      <c r="AP26" s="781">
        <f t="shared" si="34"/>
        <v>0</v>
      </c>
      <c r="AQ26" s="781">
        <f t="shared" si="35"/>
        <v>0</v>
      </c>
      <c r="AR26" s="781">
        <f t="shared" si="36"/>
        <v>0</v>
      </c>
      <c r="AS26" s="783">
        <f t="shared" si="37"/>
        <v>0</v>
      </c>
      <c r="AT26" s="917"/>
      <c r="AW26" s="832"/>
      <c r="AX26" s="833" t="s">
        <v>3030</v>
      </c>
      <c r="BM26" s="2043"/>
    </row>
    <row r="27" spans="1:65" ht="15.75" hidden="1" outlineLevel="1" thickBot="1" x14ac:dyDescent="0.3">
      <c r="A27" s="784"/>
      <c r="B27" s="904">
        <f t="shared" si="20"/>
        <v>19</v>
      </c>
      <c r="C27" s="170" t="str">
        <f t="shared" si="18"/>
        <v>2LF</v>
      </c>
      <c r="D27" s="557"/>
      <c r="E27" s="170"/>
      <c r="F27" s="170">
        <v>2</v>
      </c>
      <c r="G27" s="2007" t="s">
        <v>2429</v>
      </c>
      <c r="H27" s="2008"/>
      <c r="I27" s="2008" t="s">
        <v>728</v>
      </c>
      <c r="J27" s="1926"/>
      <c r="K27" s="1926"/>
      <c r="L27" s="170"/>
      <c r="M27" s="2009">
        <v>0</v>
      </c>
      <c r="N27" s="2010">
        <v>1</v>
      </c>
      <c r="O27" s="773">
        <f t="shared" si="0"/>
        <v>0</v>
      </c>
      <c r="P27" s="2008" t="s">
        <v>39</v>
      </c>
      <c r="Q27" s="2008" t="s">
        <v>39</v>
      </c>
      <c r="R27" s="2011" t="s">
        <v>73</v>
      </c>
      <c r="S27" s="912">
        <f>SUMIF('Data Input sheet'!$B$118:$B$180,R27,'Data Input sheet'!$D$118:$D$180)</f>
        <v>119</v>
      </c>
      <c r="T27" s="2685">
        <f t="shared" si="21"/>
        <v>0</v>
      </c>
      <c r="U27" s="2013">
        <v>0</v>
      </c>
      <c r="V27" s="778">
        <f t="shared" si="19"/>
        <v>0</v>
      </c>
      <c r="W27" s="2010">
        <v>31</v>
      </c>
      <c r="X27" s="779"/>
      <c r="Y27" s="2012">
        <v>0</v>
      </c>
      <c r="Z27" s="780">
        <f t="shared" si="1"/>
        <v>31</v>
      </c>
      <c r="AA27" s="2007"/>
      <c r="AB27" s="2007"/>
      <c r="AC27" s="765"/>
      <c r="AD27" s="781">
        <f t="shared" si="22"/>
        <v>0</v>
      </c>
      <c r="AE27" s="778">
        <f t="shared" si="23"/>
        <v>0</v>
      </c>
      <c r="AF27" s="781">
        <f t="shared" si="24"/>
        <v>0</v>
      </c>
      <c r="AG27" s="781">
        <f t="shared" si="25"/>
        <v>0</v>
      </c>
      <c r="AH27" s="781">
        <f t="shared" si="26"/>
        <v>0</v>
      </c>
      <c r="AI27" s="782">
        <f t="shared" si="27"/>
        <v>0</v>
      </c>
      <c r="AJ27" s="781">
        <f t="shared" si="28"/>
        <v>0</v>
      </c>
      <c r="AK27" s="781">
        <f t="shared" si="29"/>
        <v>0</v>
      </c>
      <c r="AL27" s="781">
        <f t="shared" si="30"/>
        <v>0</v>
      </c>
      <c r="AM27" s="781">
        <f t="shared" si="31"/>
        <v>0</v>
      </c>
      <c r="AN27" s="781">
        <f t="shared" si="32"/>
        <v>0</v>
      </c>
      <c r="AO27" s="781">
        <f t="shared" si="33"/>
        <v>0</v>
      </c>
      <c r="AP27" s="781">
        <f t="shared" si="34"/>
        <v>0</v>
      </c>
      <c r="AQ27" s="781">
        <f t="shared" si="35"/>
        <v>0</v>
      </c>
      <c r="AR27" s="781">
        <f t="shared" si="36"/>
        <v>0</v>
      </c>
      <c r="AS27" s="783">
        <f t="shared" si="37"/>
        <v>0</v>
      </c>
      <c r="AT27" s="917"/>
      <c r="AW27" s="832"/>
      <c r="AX27" s="833" t="s">
        <v>3030</v>
      </c>
      <c r="BM27" s="2010">
        <v>31</v>
      </c>
    </row>
    <row r="28" spans="1:65" ht="15.75" hidden="1" outlineLevel="1" thickBot="1" x14ac:dyDescent="0.3">
      <c r="A28" s="784"/>
      <c r="B28" s="904">
        <f t="shared" si="20"/>
        <v>20</v>
      </c>
      <c r="C28" s="170" t="str">
        <f t="shared" si="18"/>
        <v>2LF</v>
      </c>
      <c r="D28" s="557"/>
      <c r="E28" s="170"/>
      <c r="F28" s="170">
        <v>2</v>
      </c>
      <c r="G28" s="2007" t="s">
        <v>2430</v>
      </c>
      <c r="H28" s="2008"/>
      <c r="I28" s="2008" t="s">
        <v>728</v>
      </c>
      <c r="J28" s="1926"/>
      <c r="K28" s="1926"/>
      <c r="L28" s="170"/>
      <c r="M28" s="2009">
        <v>0</v>
      </c>
      <c r="N28" s="2010">
        <v>1</v>
      </c>
      <c r="O28" s="773">
        <f t="shared" si="0"/>
        <v>0</v>
      </c>
      <c r="P28" s="2008" t="s">
        <v>39</v>
      </c>
      <c r="Q28" s="2008" t="s">
        <v>39</v>
      </c>
      <c r="R28" s="2011" t="s">
        <v>73</v>
      </c>
      <c r="S28" s="912">
        <f>SUMIF('Data Input sheet'!$B$118:$B$180,R28,'Data Input sheet'!$D$118:$D$180)</f>
        <v>119</v>
      </c>
      <c r="T28" s="2685">
        <f t="shared" si="21"/>
        <v>0</v>
      </c>
      <c r="U28" s="2013">
        <v>0</v>
      </c>
      <c r="V28" s="778">
        <f t="shared" si="19"/>
        <v>0</v>
      </c>
      <c r="W28" s="2010">
        <v>31</v>
      </c>
      <c r="X28" s="779"/>
      <c r="Y28" s="2012">
        <v>0</v>
      </c>
      <c r="Z28" s="780">
        <f t="shared" si="1"/>
        <v>31</v>
      </c>
      <c r="AA28" s="2007"/>
      <c r="AB28" s="2007"/>
      <c r="AC28" s="765"/>
      <c r="AD28" s="781">
        <f t="shared" si="22"/>
        <v>0</v>
      </c>
      <c r="AE28" s="778">
        <f t="shared" si="23"/>
        <v>0</v>
      </c>
      <c r="AF28" s="781">
        <f t="shared" si="24"/>
        <v>0</v>
      </c>
      <c r="AG28" s="781">
        <f t="shared" si="25"/>
        <v>0</v>
      </c>
      <c r="AH28" s="781">
        <f t="shared" si="26"/>
        <v>0</v>
      </c>
      <c r="AI28" s="782">
        <f t="shared" si="27"/>
        <v>0</v>
      </c>
      <c r="AJ28" s="781">
        <f t="shared" si="28"/>
        <v>0</v>
      </c>
      <c r="AK28" s="781">
        <f t="shared" si="29"/>
        <v>0</v>
      </c>
      <c r="AL28" s="781">
        <f t="shared" si="30"/>
        <v>0</v>
      </c>
      <c r="AM28" s="781">
        <f t="shared" si="31"/>
        <v>0</v>
      </c>
      <c r="AN28" s="781">
        <f t="shared" si="32"/>
        <v>0</v>
      </c>
      <c r="AO28" s="781">
        <f t="shared" si="33"/>
        <v>0</v>
      </c>
      <c r="AP28" s="781">
        <f t="shared" si="34"/>
        <v>0</v>
      </c>
      <c r="AQ28" s="781">
        <f t="shared" si="35"/>
        <v>0</v>
      </c>
      <c r="AR28" s="781">
        <f t="shared" si="36"/>
        <v>0</v>
      </c>
      <c r="AS28" s="783">
        <f t="shared" si="37"/>
        <v>0</v>
      </c>
      <c r="AT28" s="917"/>
      <c r="AW28" s="832"/>
      <c r="AX28" s="833" t="s">
        <v>3030</v>
      </c>
      <c r="BM28" s="2010">
        <v>31</v>
      </c>
    </row>
    <row r="29" spans="1:65" ht="26.25" hidden="1" outlineLevel="1" thickBot="1" x14ac:dyDescent="0.3">
      <c r="A29" s="784"/>
      <c r="B29" s="904">
        <f t="shared" si="20"/>
        <v>21</v>
      </c>
      <c r="C29" s="170" t="str">
        <f t="shared" si="18"/>
        <v>2SY</v>
      </c>
      <c r="D29" s="557"/>
      <c r="E29" s="170"/>
      <c r="F29" s="170">
        <v>2</v>
      </c>
      <c r="G29" s="2007" t="s">
        <v>2432</v>
      </c>
      <c r="H29" s="1926"/>
      <c r="I29" s="2008" t="s">
        <v>739</v>
      </c>
      <c r="J29" s="1926"/>
      <c r="K29" s="1926"/>
      <c r="L29" s="170"/>
      <c r="M29" s="2009">
        <v>3.4703157894736845E-2</v>
      </c>
      <c r="N29" s="2010">
        <v>1</v>
      </c>
      <c r="O29" s="773">
        <f>+M29*N29</f>
        <v>3.4703157894736845E-2</v>
      </c>
      <c r="P29" s="2008" t="s">
        <v>39</v>
      </c>
      <c r="Q29" s="2008" t="s">
        <v>39</v>
      </c>
      <c r="R29" s="2011" t="s">
        <v>73</v>
      </c>
      <c r="S29" s="912">
        <f>SUMIF('Data Input sheet'!$B$118:$B$180,R29,'Data Input sheet'!$D$118:$D$180)</f>
        <v>119</v>
      </c>
      <c r="T29" s="2685">
        <f>+O29*S29</f>
        <v>4.1296757894736844</v>
      </c>
      <c r="U29" s="2013">
        <v>202</v>
      </c>
      <c r="V29" s="778">
        <f>ROUND(U29*O29,0)</f>
        <v>7</v>
      </c>
      <c r="W29" s="2010">
        <v>11.801776483860481</v>
      </c>
      <c r="X29" s="779"/>
      <c r="Y29" s="2012"/>
      <c r="Z29" s="780">
        <f>T29+V29+W29+Y29</f>
        <v>22.931452273334166</v>
      </c>
      <c r="AA29" s="2007"/>
      <c r="AB29" s="2007"/>
      <c r="AC29" s="765"/>
      <c r="AD29" s="781">
        <f t="shared" si="22"/>
        <v>0</v>
      </c>
      <c r="AE29" s="778">
        <f t="shared" si="23"/>
        <v>0</v>
      </c>
      <c r="AF29" s="781">
        <f t="shared" si="24"/>
        <v>0</v>
      </c>
      <c r="AG29" s="781">
        <f t="shared" si="25"/>
        <v>0</v>
      </c>
      <c r="AH29" s="781">
        <f t="shared" si="26"/>
        <v>0</v>
      </c>
      <c r="AI29" s="782">
        <f t="shared" si="27"/>
        <v>0</v>
      </c>
      <c r="AJ29" s="781">
        <f t="shared" si="28"/>
        <v>0</v>
      </c>
      <c r="AK29" s="781">
        <f t="shared" si="29"/>
        <v>0</v>
      </c>
      <c r="AL29" s="781">
        <f t="shared" si="30"/>
        <v>0</v>
      </c>
      <c r="AM29" s="781">
        <f t="shared" si="31"/>
        <v>0</v>
      </c>
      <c r="AN29" s="781">
        <f t="shared" si="32"/>
        <v>0</v>
      </c>
      <c r="AO29" s="781">
        <f t="shared" si="33"/>
        <v>0</v>
      </c>
      <c r="AP29" s="781">
        <f t="shared" si="34"/>
        <v>0</v>
      </c>
      <c r="AQ29" s="781">
        <f t="shared" si="35"/>
        <v>0</v>
      </c>
      <c r="AR29" s="781">
        <f t="shared" si="36"/>
        <v>0</v>
      </c>
      <c r="AS29" s="783">
        <f t="shared" si="37"/>
        <v>0</v>
      </c>
      <c r="AT29" s="917"/>
      <c r="AW29" s="832"/>
      <c r="AX29" s="833" t="s">
        <v>3032</v>
      </c>
      <c r="BM29" s="2010">
        <v>11.801776483860481</v>
      </c>
    </row>
    <row r="30" spans="1:65" ht="26.25" hidden="1" outlineLevel="1" thickBot="1" x14ac:dyDescent="0.3">
      <c r="A30" s="784"/>
      <c r="B30" s="904">
        <f t="shared" si="20"/>
        <v>22</v>
      </c>
      <c r="C30" s="170" t="str">
        <f t="shared" si="18"/>
        <v>11LF</v>
      </c>
      <c r="D30" s="557"/>
      <c r="E30" s="170"/>
      <c r="F30" s="170">
        <v>11</v>
      </c>
      <c r="G30" s="2007" t="s">
        <v>753</v>
      </c>
      <c r="H30" s="1926"/>
      <c r="I30" s="2008" t="s">
        <v>728</v>
      </c>
      <c r="J30" s="1926"/>
      <c r="K30" s="1926"/>
      <c r="L30" s="170"/>
      <c r="M30" s="2009">
        <v>0.26315789473684209</v>
      </c>
      <c r="N30" s="2010">
        <v>1</v>
      </c>
      <c r="O30" s="773">
        <f t="shared" si="0"/>
        <v>0.26315789473684209</v>
      </c>
      <c r="P30" s="2008" t="s">
        <v>604</v>
      </c>
      <c r="Q30" s="2008" t="s">
        <v>39</v>
      </c>
      <c r="R30" s="2011" t="s">
        <v>73</v>
      </c>
      <c r="S30" s="912">
        <f>SUMIF('Data Input sheet'!$B$118:$B$180,R30,'Data Input sheet'!$D$118:$D$180)</f>
        <v>119</v>
      </c>
      <c r="T30" s="2685">
        <f t="shared" si="21"/>
        <v>31.315789473684209</v>
      </c>
      <c r="U30" s="2013">
        <v>53</v>
      </c>
      <c r="V30" s="778">
        <f t="shared" si="19"/>
        <v>14</v>
      </c>
      <c r="W30" s="2010">
        <v>44.67549457612801</v>
      </c>
      <c r="X30" s="779"/>
      <c r="Y30" s="2012">
        <v>1.7472000000000001</v>
      </c>
      <c r="Z30" s="780">
        <f t="shared" si="1"/>
        <v>91.738484049812214</v>
      </c>
      <c r="AA30" s="2007"/>
      <c r="AB30" s="2007"/>
      <c r="AC30" s="765"/>
      <c r="AD30" s="781">
        <f t="shared" si="22"/>
        <v>0</v>
      </c>
      <c r="AE30" s="778">
        <f t="shared" si="23"/>
        <v>0</v>
      </c>
      <c r="AF30" s="781">
        <f t="shared" si="24"/>
        <v>0</v>
      </c>
      <c r="AG30" s="781">
        <f t="shared" si="25"/>
        <v>0</v>
      </c>
      <c r="AH30" s="781">
        <f t="shared" si="26"/>
        <v>0</v>
      </c>
      <c r="AI30" s="782">
        <f t="shared" si="27"/>
        <v>0</v>
      </c>
      <c r="AJ30" s="781">
        <f t="shared" si="28"/>
        <v>0</v>
      </c>
      <c r="AK30" s="781">
        <f t="shared" si="29"/>
        <v>0</v>
      </c>
      <c r="AL30" s="781">
        <f t="shared" si="30"/>
        <v>0</v>
      </c>
      <c r="AM30" s="781">
        <f t="shared" si="31"/>
        <v>0</v>
      </c>
      <c r="AN30" s="781">
        <f t="shared" si="32"/>
        <v>0</v>
      </c>
      <c r="AO30" s="781">
        <f t="shared" si="33"/>
        <v>0</v>
      </c>
      <c r="AP30" s="781">
        <f t="shared" si="34"/>
        <v>0</v>
      </c>
      <c r="AQ30" s="781">
        <f t="shared" si="35"/>
        <v>0</v>
      </c>
      <c r="AR30" s="781">
        <f t="shared" si="36"/>
        <v>0</v>
      </c>
      <c r="AS30" s="783">
        <f t="shared" si="37"/>
        <v>0</v>
      </c>
      <c r="AT30" s="917"/>
      <c r="AW30" s="832"/>
      <c r="AX30" s="833" t="s">
        <v>3033</v>
      </c>
      <c r="BM30" s="2010">
        <v>44.67549457612801</v>
      </c>
    </row>
    <row r="31" spans="1:65" ht="26.25" hidden="1" outlineLevel="1" thickBot="1" x14ac:dyDescent="0.3">
      <c r="A31" s="784"/>
      <c r="B31" s="904">
        <f t="shared" si="20"/>
        <v>23</v>
      </c>
      <c r="C31" s="170" t="str">
        <f t="shared" si="18"/>
        <v>11LF</v>
      </c>
      <c r="D31" s="557"/>
      <c r="E31" s="170"/>
      <c r="F31" s="170">
        <v>11</v>
      </c>
      <c r="G31" s="2007" t="s">
        <v>756</v>
      </c>
      <c r="H31" s="1926"/>
      <c r="I31" s="2008" t="s">
        <v>728</v>
      </c>
      <c r="J31" s="1926"/>
      <c r="K31" s="1926"/>
      <c r="L31" s="170"/>
      <c r="M31" s="2009">
        <v>0.35789473684210527</v>
      </c>
      <c r="N31" s="2010">
        <v>1</v>
      </c>
      <c r="O31" s="773">
        <f t="shared" si="0"/>
        <v>0.35789473684210527</v>
      </c>
      <c r="P31" s="2008" t="s">
        <v>39</v>
      </c>
      <c r="Q31" s="2008" t="s">
        <v>39</v>
      </c>
      <c r="R31" s="2011" t="s">
        <v>73</v>
      </c>
      <c r="S31" s="912">
        <f>SUMIF('Data Input sheet'!$B$118:$B$180,R31,'Data Input sheet'!$D$118:$D$180)</f>
        <v>119</v>
      </c>
      <c r="T31" s="2685">
        <f t="shared" si="21"/>
        <v>42.589473684210525</v>
      </c>
      <c r="U31" s="2013">
        <v>140</v>
      </c>
      <c r="V31" s="778">
        <f t="shared" si="19"/>
        <v>50</v>
      </c>
      <c r="W31" s="2010">
        <v>44.67549457612801</v>
      </c>
      <c r="X31" s="779"/>
      <c r="Y31" s="2012">
        <v>3.0472000000000001</v>
      </c>
      <c r="Z31" s="780">
        <f t="shared" si="1"/>
        <v>140.31216826033855</v>
      </c>
      <c r="AA31" s="2007"/>
      <c r="AB31" s="2007"/>
      <c r="AC31" s="765"/>
      <c r="AD31" s="781">
        <f t="shared" si="22"/>
        <v>0</v>
      </c>
      <c r="AE31" s="778">
        <f t="shared" si="23"/>
        <v>0</v>
      </c>
      <c r="AF31" s="781">
        <f t="shared" si="24"/>
        <v>0</v>
      </c>
      <c r="AG31" s="781">
        <f t="shared" si="25"/>
        <v>0</v>
      </c>
      <c r="AH31" s="781">
        <f t="shared" si="26"/>
        <v>0</v>
      </c>
      <c r="AI31" s="782">
        <f t="shared" si="27"/>
        <v>0</v>
      </c>
      <c r="AJ31" s="781">
        <f t="shared" si="28"/>
        <v>0</v>
      </c>
      <c r="AK31" s="781">
        <f t="shared" si="29"/>
        <v>0</v>
      </c>
      <c r="AL31" s="781">
        <f t="shared" si="30"/>
        <v>0</v>
      </c>
      <c r="AM31" s="781">
        <f t="shared" si="31"/>
        <v>0</v>
      </c>
      <c r="AN31" s="781">
        <f t="shared" si="32"/>
        <v>0</v>
      </c>
      <c r="AO31" s="781">
        <f t="shared" si="33"/>
        <v>0</v>
      </c>
      <c r="AP31" s="781">
        <f t="shared" si="34"/>
        <v>0</v>
      </c>
      <c r="AQ31" s="781">
        <f t="shared" si="35"/>
        <v>0</v>
      </c>
      <c r="AR31" s="781">
        <f t="shared" si="36"/>
        <v>0</v>
      </c>
      <c r="AS31" s="783">
        <f t="shared" si="37"/>
        <v>0</v>
      </c>
      <c r="AT31" s="917"/>
      <c r="AW31" s="832"/>
      <c r="AX31" s="833" t="s">
        <v>3034</v>
      </c>
      <c r="BM31" s="2010">
        <v>44.67549457612801</v>
      </c>
    </row>
    <row r="32" spans="1:65" ht="26.25" hidden="1" outlineLevel="1" thickBot="1" x14ac:dyDescent="0.3">
      <c r="A32" s="784"/>
      <c r="B32" s="904">
        <f t="shared" si="20"/>
        <v>24</v>
      </c>
      <c r="C32" s="170" t="str">
        <f t="shared" si="18"/>
        <v>11LF</v>
      </c>
      <c r="D32" s="557"/>
      <c r="E32" s="170"/>
      <c r="F32" s="170">
        <v>11</v>
      </c>
      <c r="G32" s="2007" t="s">
        <v>758</v>
      </c>
      <c r="H32" s="1926">
        <v>0</v>
      </c>
      <c r="I32" s="2008" t="s">
        <v>728</v>
      </c>
      <c r="J32" s="1926"/>
      <c r="K32" s="1926"/>
      <c r="L32" s="170"/>
      <c r="M32" s="2009">
        <v>0.63157894736842102</v>
      </c>
      <c r="N32" s="2010">
        <v>1</v>
      </c>
      <c r="O32" s="773">
        <f t="shared" si="0"/>
        <v>0.63157894736842102</v>
      </c>
      <c r="P32" s="2008" t="s">
        <v>39</v>
      </c>
      <c r="Q32" s="2008" t="s">
        <v>39</v>
      </c>
      <c r="R32" s="2011" t="s">
        <v>73</v>
      </c>
      <c r="S32" s="912">
        <f>SUMIF('Data Input sheet'!$B$118:$B$180,R32,'Data Input sheet'!$D$118:$D$180)</f>
        <v>119</v>
      </c>
      <c r="T32" s="2685">
        <f t="shared" si="21"/>
        <v>75.157894736842096</v>
      </c>
      <c r="U32" s="2013">
        <v>139</v>
      </c>
      <c r="V32" s="778">
        <f t="shared" si="19"/>
        <v>88</v>
      </c>
      <c r="W32" s="2010">
        <v>44.67549457612801</v>
      </c>
      <c r="X32" s="779"/>
      <c r="Y32" s="2012">
        <v>3.0472000000000001</v>
      </c>
      <c r="Z32" s="780">
        <f t="shared" si="1"/>
        <v>210.8805893129701</v>
      </c>
      <c r="AA32" s="2007"/>
      <c r="AB32" s="2007"/>
      <c r="AC32" s="765"/>
      <c r="AD32" s="781">
        <f t="shared" si="22"/>
        <v>0</v>
      </c>
      <c r="AE32" s="778">
        <f t="shared" si="23"/>
        <v>0</v>
      </c>
      <c r="AF32" s="781">
        <f t="shared" si="24"/>
        <v>0</v>
      </c>
      <c r="AG32" s="781">
        <f t="shared" si="25"/>
        <v>0</v>
      </c>
      <c r="AH32" s="781">
        <f t="shared" si="26"/>
        <v>0</v>
      </c>
      <c r="AI32" s="782">
        <f t="shared" si="27"/>
        <v>0</v>
      </c>
      <c r="AJ32" s="781">
        <f t="shared" si="28"/>
        <v>0</v>
      </c>
      <c r="AK32" s="781">
        <f t="shared" si="29"/>
        <v>0</v>
      </c>
      <c r="AL32" s="781">
        <f t="shared" si="30"/>
        <v>0</v>
      </c>
      <c r="AM32" s="781">
        <f t="shared" si="31"/>
        <v>0</v>
      </c>
      <c r="AN32" s="781">
        <f t="shared" si="32"/>
        <v>0</v>
      </c>
      <c r="AO32" s="781">
        <f t="shared" si="33"/>
        <v>0</v>
      </c>
      <c r="AP32" s="781">
        <f t="shared" si="34"/>
        <v>0</v>
      </c>
      <c r="AQ32" s="781">
        <f t="shared" si="35"/>
        <v>0</v>
      </c>
      <c r="AR32" s="781">
        <f t="shared" si="36"/>
        <v>0</v>
      </c>
      <c r="AS32" s="783">
        <f t="shared" si="37"/>
        <v>0</v>
      </c>
      <c r="AT32" s="917"/>
      <c r="AW32" s="832"/>
      <c r="AX32" s="833" t="s">
        <v>3034</v>
      </c>
      <c r="BM32" s="2010">
        <v>44.67549457612801</v>
      </c>
    </row>
    <row r="33" spans="1:65" ht="15.75" hidden="1" outlineLevel="1" thickBot="1" x14ac:dyDescent="0.3">
      <c r="A33" s="784"/>
      <c r="B33" s="904">
        <f t="shared" si="20"/>
        <v>25</v>
      </c>
      <c r="C33" s="170" t="str">
        <f t="shared" si="18"/>
        <v>11LF</v>
      </c>
      <c r="D33" s="557"/>
      <c r="E33" s="170"/>
      <c r="F33" s="170">
        <v>11</v>
      </c>
      <c r="G33" s="2007" t="s">
        <v>1640</v>
      </c>
      <c r="H33" s="1926"/>
      <c r="I33" s="2008" t="s">
        <v>728</v>
      </c>
      <c r="J33" s="1926"/>
      <c r="K33" s="1926"/>
      <c r="L33" s="170"/>
      <c r="M33" s="2009">
        <v>0</v>
      </c>
      <c r="N33" s="2010">
        <v>1</v>
      </c>
      <c r="O33" s="773">
        <f t="shared" si="0"/>
        <v>0</v>
      </c>
      <c r="P33" s="2008" t="s">
        <v>39</v>
      </c>
      <c r="Q33" s="2008" t="s">
        <v>39</v>
      </c>
      <c r="R33" s="2011" t="s">
        <v>73</v>
      </c>
      <c r="S33" s="912">
        <f>SUMIF('Data Input sheet'!$B$118:$B$180,R33,'Data Input sheet'!$D$118:$D$180)</f>
        <v>119</v>
      </c>
      <c r="T33" s="2685">
        <f t="shared" si="21"/>
        <v>0</v>
      </c>
      <c r="U33" s="2013"/>
      <c r="V33" s="778">
        <f t="shared" si="19"/>
        <v>0</v>
      </c>
      <c r="W33" s="2010">
        <v>30</v>
      </c>
      <c r="X33" s="779"/>
      <c r="Y33" s="2012">
        <v>0</v>
      </c>
      <c r="Z33" s="780">
        <f t="shared" si="1"/>
        <v>30</v>
      </c>
      <c r="AA33" s="2007"/>
      <c r="AB33" s="2007"/>
      <c r="AC33" s="765"/>
      <c r="AD33" s="781">
        <f t="shared" si="22"/>
        <v>0</v>
      </c>
      <c r="AE33" s="778">
        <f t="shared" si="23"/>
        <v>0</v>
      </c>
      <c r="AF33" s="781">
        <f t="shared" si="24"/>
        <v>0</v>
      </c>
      <c r="AG33" s="781">
        <f t="shared" si="25"/>
        <v>0</v>
      </c>
      <c r="AH33" s="781">
        <f t="shared" si="26"/>
        <v>0</v>
      </c>
      <c r="AI33" s="782">
        <f t="shared" si="27"/>
        <v>0</v>
      </c>
      <c r="AJ33" s="781">
        <f t="shared" si="28"/>
        <v>0</v>
      </c>
      <c r="AK33" s="781">
        <f t="shared" si="29"/>
        <v>0</v>
      </c>
      <c r="AL33" s="781">
        <f t="shared" si="30"/>
        <v>0</v>
      </c>
      <c r="AM33" s="781">
        <f t="shared" si="31"/>
        <v>0</v>
      </c>
      <c r="AN33" s="781">
        <f t="shared" si="32"/>
        <v>0</v>
      </c>
      <c r="AO33" s="781">
        <f t="shared" si="33"/>
        <v>0</v>
      </c>
      <c r="AP33" s="781">
        <f t="shared" si="34"/>
        <v>0</v>
      </c>
      <c r="AQ33" s="781">
        <f t="shared" si="35"/>
        <v>0</v>
      </c>
      <c r="AR33" s="781">
        <f t="shared" si="36"/>
        <v>0</v>
      </c>
      <c r="AS33" s="783">
        <f t="shared" si="37"/>
        <v>0</v>
      </c>
      <c r="AT33" s="917"/>
      <c r="AW33" s="832"/>
      <c r="AX33" s="833" t="s">
        <v>3030</v>
      </c>
      <c r="BM33" s="2010">
        <v>30</v>
      </c>
    </row>
    <row r="34" spans="1:65" ht="26.25" hidden="1" outlineLevel="1" thickBot="1" x14ac:dyDescent="0.3">
      <c r="A34" s="784"/>
      <c r="B34" s="904">
        <f t="shared" si="20"/>
        <v>26</v>
      </c>
      <c r="C34" s="170" t="str">
        <f t="shared" si="18"/>
        <v>12CY</v>
      </c>
      <c r="D34" s="557"/>
      <c r="E34" s="170"/>
      <c r="F34" s="170">
        <v>12</v>
      </c>
      <c r="G34" s="2007" t="s">
        <v>1326</v>
      </c>
      <c r="H34" s="1926"/>
      <c r="I34" s="2008" t="s">
        <v>671</v>
      </c>
      <c r="J34" s="1926"/>
      <c r="K34" s="1926"/>
      <c r="L34" s="170"/>
      <c r="M34" s="2009">
        <v>30</v>
      </c>
      <c r="N34" s="2010">
        <v>1</v>
      </c>
      <c r="O34" s="773">
        <f t="shared" si="0"/>
        <v>30</v>
      </c>
      <c r="P34" s="2008" t="s">
        <v>39</v>
      </c>
      <c r="Q34" s="2008" t="s">
        <v>39</v>
      </c>
      <c r="R34" s="2011" t="s">
        <v>73</v>
      </c>
      <c r="S34" s="912">
        <f>SUMIF('Data Input sheet'!$B$118:$B$180,R34,'Data Input sheet'!$D$118:$D$180)</f>
        <v>119</v>
      </c>
      <c r="T34" s="2685">
        <f t="shared" si="21"/>
        <v>3570</v>
      </c>
      <c r="U34" s="2013">
        <v>70</v>
      </c>
      <c r="V34" s="778">
        <f t="shared" si="19"/>
        <v>2100</v>
      </c>
      <c r="W34" s="2010">
        <v>2.4819719208960001</v>
      </c>
      <c r="X34" s="779"/>
      <c r="Y34" s="2012">
        <v>0</v>
      </c>
      <c r="Z34" s="780">
        <f t="shared" si="1"/>
        <v>5672.4819719208963</v>
      </c>
      <c r="AA34" s="2007"/>
      <c r="AB34" s="2007"/>
      <c r="AC34" s="765"/>
      <c r="AD34" s="781">
        <f t="shared" si="22"/>
        <v>0</v>
      </c>
      <c r="AE34" s="778">
        <f t="shared" si="23"/>
        <v>0</v>
      </c>
      <c r="AF34" s="781">
        <f t="shared" si="24"/>
        <v>0</v>
      </c>
      <c r="AG34" s="781">
        <f t="shared" si="25"/>
        <v>0</v>
      </c>
      <c r="AH34" s="781">
        <f t="shared" si="26"/>
        <v>0</v>
      </c>
      <c r="AI34" s="782">
        <f t="shared" si="27"/>
        <v>0</v>
      </c>
      <c r="AJ34" s="781">
        <f t="shared" si="28"/>
        <v>0</v>
      </c>
      <c r="AK34" s="781">
        <f t="shared" si="29"/>
        <v>0</v>
      </c>
      <c r="AL34" s="781">
        <f t="shared" si="30"/>
        <v>0</v>
      </c>
      <c r="AM34" s="781">
        <f t="shared" si="31"/>
        <v>0</v>
      </c>
      <c r="AN34" s="781">
        <f t="shared" si="32"/>
        <v>0</v>
      </c>
      <c r="AO34" s="781">
        <f t="shared" si="33"/>
        <v>0</v>
      </c>
      <c r="AP34" s="781">
        <f t="shared" si="34"/>
        <v>0</v>
      </c>
      <c r="AQ34" s="781">
        <f t="shared" si="35"/>
        <v>0</v>
      </c>
      <c r="AR34" s="781">
        <f t="shared" si="36"/>
        <v>0</v>
      </c>
      <c r="AS34" s="783">
        <f t="shared" si="37"/>
        <v>0</v>
      </c>
      <c r="AT34" s="917"/>
      <c r="AW34" s="832"/>
      <c r="AX34" s="833" t="s">
        <v>3035</v>
      </c>
      <c r="BM34" s="2010">
        <v>2.4819719208960001</v>
      </c>
    </row>
    <row r="35" spans="1:65" ht="26.25" hidden="1" outlineLevel="1" thickBot="1" x14ac:dyDescent="0.3">
      <c r="A35" s="784"/>
      <c r="B35" s="904">
        <f t="shared" si="20"/>
        <v>27</v>
      </c>
      <c r="C35" s="170" t="str">
        <f t="shared" si="18"/>
        <v>19LF</v>
      </c>
      <c r="D35" s="557"/>
      <c r="E35" s="170"/>
      <c r="F35" s="170">
        <v>19</v>
      </c>
      <c r="G35" s="2007" t="s">
        <v>2431</v>
      </c>
      <c r="H35" s="1926"/>
      <c r="I35" s="2008" t="s">
        <v>728</v>
      </c>
      <c r="J35" s="1926"/>
      <c r="K35" s="1926"/>
      <c r="L35" s="170"/>
      <c r="M35" s="2009">
        <v>0</v>
      </c>
      <c r="N35" s="2010">
        <v>1</v>
      </c>
      <c r="O35" s="773">
        <f t="shared" si="0"/>
        <v>0</v>
      </c>
      <c r="P35" s="2008" t="s">
        <v>39</v>
      </c>
      <c r="Q35" s="2008" t="s">
        <v>39</v>
      </c>
      <c r="R35" s="2011" t="s">
        <v>73</v>
      </c>
      <c r="S35" s="912">
        <f>SUMIF('Data Input sheet'!$B$118:$B$180,R35,'Data Input sheet'!$D$118:$D$180)</f>
        <v>119</v>
      </c>
      <c r="T35" s="2685">
        <f t="shared" si="21"/>
        <v>0</v>
      </c>
      <c r="U35" s="2013">
        <v>0</v>
      </c>
      <c r="V35" s="778">
        <f t="shared" si="19"/>
        <v>0</v>
      </c>
      <c r="W35" s="2010"/>
      <c r="X35" s="779"/>
      <c r="Y35" s="2012">
        <v>4500</v>
      </c>
      <c r="Z35" s="780">
        <f t="shared" si="1"/>
        <v>4500</v>
      </c>
      <c r="AA35" s="2007"/>
      <c r="AB35" s="2007"/>
      <c r="AC35" s="765"/>
      <c r="AD35" s="781">
        <f t="shared" si="22"/>
        <v>0</v>
      </c>
      <c r="AE35" s="778">
        <f t="shared" si="23"/>
        <v>0</v>
      </c>
      <c r="AF35" s="781">
        <f t="shared" si="24"/>
        <v>0</v>
      </c>
      <c r="AG35" s="781">
        <f t="shared" si="25"/>
        <v>0</v>
      </c>
      <c r="AH35" s="781">
        <f t="shared" si="26"/>
        <v>0</v>
      </c>
      <c r="AI35" s="782">
        <f t="shared" si="27"/>
        <v>0</v>
      </c>
      <c r="AJ35" s="781">
        <f t="shared" si="28"/>
        <v>0</v>
      </c>
      <c r="AK35" s="781">
        <f t="shared" si="29"/>
        <v>0</v>
      </c>
      <c r="AL35" s="781">
        <f t="shared" si="30"/>
        <v>0</v>
      </c>
      <c r="AM35" s="781">
        <f t="shared" si="31"/>
        <v>0</v>
      </c>
      <c r="AN35" s="781">
        <f t="shared" si="32"/>
        <v>0</v>
      </c>
      <c r="AO35" s="781">
        <f t="shared" si="33"/>
        <v>0</v>
      </c>
      <c r="AP35" s="781">
        <f t="shared" si="34"/>
        <v>0</v>
      </c>
      <c r="AQ35" s="781">
        <f t="shared" si="35"/>
        <v>0</v>
      </c>
      <c r="AR35" s="781">
        <f t="shared" si="36"/>
        <v>0</v>
      </c>
      <c r="AS35" s="783">
        <f t="shared" si="37"/>
        <v>0</v>
      </c>
      <c r="AT35" s="917"/>
      <c r="AW35" s="832"/>
      <c r="AX35" s="833" t="s">
        <v>3036</v>
      </c>
      <c r="BM35" s="2010"/>
    </row>
    <row r="36" spans="1:65" ht="26.25" hidden="1" outlineLevel="1" thickBot="1" x14ac:dyDescent="0.3">
      <c r="A36" s="784"/>
      <c r="B36" s="904">
        <f t="shared" si="20"/>
        <v>28</v>
      </c>
      <c r="C36" s="170" t="str">
        <f t="shared" si="18"/>
        <v>19LF</v>
      </c>
      <c r="D36" s="557"/>
      <c r="E36" s="170"/>
      <c r="F36" s="170">
        <v>19</v>
      </c>
      <c r="G36" s="2007" t="s">
        <v>762</v>
      </c>
      <c r="H36" s="1926"/>
      <c r="I36" s="2008" t="s">
        <v>728</v>
      </c>
      <c r="J36" s="1926"/>
      <c r="K36" s="1926"/>
      <c r="L36" s="170"/>
      <c r="M36" s="2009">
        <v>0</v>
      </c>
      <c r="N36" s="2010">
        <v>1</v>
      </c>
      <c r="O36" s="773">
        <f t="shared" si="0"/>
        <v>0</v>
      </c>
      <c r="P36" s="2008" t="s">
        <v>39</v>
      </c>
      <c r="Q36" s="2008" t="s">
        <v>39</v>
      </c>
      <c r="R36" s="2011" t="s">
        <v>73</v>
      </c>
      <c r="S36" s="912">
        <f>SUMIF('Data Input sheet'!$B$118:$B$180,R36,'Data Input sheet'!$D$118:$D$180)</f>
        <v>119</v>
      </c>
      <c r="T36" s="2685">
        <f t="shared" si="21"/>
        <v>0</v>
      </c>
      <c r="U36" s="2013">
        <v>0</v>
      </c>
      <c r="V36" s="778">
        <f t="shared" si="19"/>
        <v>0</v>
      </c>
      <c r="W36" s="2010"/>
      <c r="X36" s="779"/>
      <c r="Y36" s="2012">
        <v>3000</v>
      </c>
      <c r="Z36" s="780">
        <f t="shared" si="1"/>
        <v>3000</v>
      </c>
      <c r="AA36" s="2007"/>
      <c r="AB36" s="2007"/>
      <c r="AC36" s="765"/>
      <c r="AD36" s="781">
        <f t="shared" si="22"/>
        <v>0</v>
      </c>
      <c r="AE36" s="778">
        <f t="shared" si="23"/>
        <v>0</v>
      </c>
      <c r="AF36" s="781">
        <f t="shared" si="24"/>
        <v>0</v>
      </c>
      <c r="AG36" s="781">
        <f t="shared" si="25"/>
        <v>0</v>
      </c>
      <c r="AH36" s="781">
        <f t="shared" si="26"/>
        <v>0</v>
      </c>
      <c r="AI36" s="782">
        <f t="shared" si="27"/>
        <v>0</v>
      </c>
      <c r="AJ36" s="781">
        <f t="shared" si="28"/>
        <v>0</v>
      </c>
      <c r="AK36" s="781">
        <f t="shared" si="29"/>
        <v>0</v>
      </c>
      <c r="AL36" s="781">
        <f t="shared" si="30"/>
        <v>0</v>
      </c>
      <c r="AM36" s="781">
        <f t="shared" si="31"/>
        <v>0</v>
      </c>
      <c r="AN36" s="781">
        <f t="shared" si="32"/>
        <v>0</v>
      </c>
      <c r="AO36" s="781">
        <f t="shared" si="33"/>
        <v>0</v>
      </c>
      <c r="AP36" s="781">
        <f t="shared" si="34"/>
        <v>0</v>
      </c>
      <c r="AQ36" s="781">
        <f t="shared" si="35"/>
        <v>0</v>
      </c>
      <c r="AR36" s="781">
        <f t="shared" si="36"/>
        <v>0</v>
      </c>
      <c r="AS36" s="783">
        <f t="shared" si="37"/>
        <v>0</v>
      </c>
      <c r="AT36" s="917"/>
      <c r="AW36" s="832"/>
      <c r="AX36" s="833" t="s">
        <v>3037</v>
      </c>
      <c r="BM36" s="2010"/>
    </row>
    <row r="37" spans="1:65" ht="26.25" hidden="1" outlineLevel="1" thickBot="1" x14ac:dyDescent="0.3">
      <c r="A37" s="784"/>
      <c r="B37" s="904">
        <f t="shared" si="20"/>
        <v>29</v>
      </c>
      <c r="C37" s="170" t="str">
        <f t="shared" si="18"/>
        <v>19CY</v>
      </c>
      <c r="D37" s="557"/>
      <c r="E37" s="170"/>
      <c r="F37" s="170">
        <v>19</v>
      </c>
      <c r="G37" s="2007" t="s">
        <v>1324</v>
      </c>
      <c r="H37" s="1926"/>
      <c r="I37" s="2008" t="s">
        <v>671</v>
      </c>
      <c r="J37" s="1926"/>
      <c r="K37" s="1926"/>
      <c r="L37" s="170"/>
      <c r="M37" s="2009">
        <v>0.5</v>
      </c>
      <c r="N37" s="2010">
        <v>1</v>
      </c>
      <c r="O37" s="773">
        <f t="shared" si="0"/>
        <v>0.5</v>
      </c>
      <c r="P37" s="2008" t="s">
        <v>39</v>
      </c>
      <c r="Q37" s="2008" t="s">
        <v>39</v>
      </c>
      <c r="R37" s="2011" t="s">
        <v>73</v>
      </c>
      <c r="S37" s="912">
        <f>SUMIF('Data Input sheet'!$B$118:$B$180,R37,'Data Input sheet'!$D$118:$D$180)</f>
        <v>119</v>
      </c>
      <c r="T37" s="2685">
        <f t="shared" si="21"/>
        <v>59.5</v>
      </c>
      <c r="U37" s="2013">
        <v>0</v>
      </c>
      <c r="V37" s="778">
        <f t="shared" si="19"/>
        <v>0</v>
      </c>
      <c r="W37" s="2010">
        <v>120</v>
      </c>
      <c r="X37" s="779"/>
      <c r="Y37" s="2012"/>
      <c r="Z37" s="780">
        <f t="shared" si="1"/>
        <v>179.5</v>
      </c>
      <c r="AA37" s="2007"/>
      <c r="AB37" s="2007"/>
      <c r="AC37" s="765"/>
      <c r="AD37" s="781">
        <f t="shared" si="22"/>
        <v>0</v>
      </c>
      <c r="AE37" s="778">
        <f t="shared" si="23"/>
        <v>0</v>
      </c>
      <c r="AF37" s="781">
        <f t="shared" si="24"/>
        <v>0</v>
      </c>
      <c r="AG37" s="781">
        <f t="shared" si="25"/>
        <v>0</v>
      </c>
      <c r="AH37" s="781">
        <f t="shared" si="26"/>
        <v>0</v>
      </c>
      <c r="AI37" s="782">
        <f t="shared" si="27"/>
        <v>0</v>
      </c>
      <c r="AJ37" s="781">
        <f t="shared" si="28"/>
        <v>0</v>
      </c>
      <c r="AK37" s="781">
        <f t="shared" si="29"/>
        <v>0</v>
      </c>
      <c r="AL37" s="781">
        <f t="shared" si="30"/>
        <v>0</v>
      </c>
      <c r="AM37" s="781">
        <f t="shared" si="31"/>
        <v>0</v>
      </c>
      <c r="AN37" s="781">
        <f t="shared" si="32"/>
        <v>0</v>
      </c>
      <c r="AO37" s="781">
        <f t="shared" si="33"/>
        <v>0</v>
      </c>
      <c r="AP37" s="781">
        <f t="shared" si="34"/>
        <v>0</v>
      </c>
      <c r="AQ37" s="781">
        <f t="shared" si="35"/>
        <v>0</v>
      </c>
      <c r="AR37" s="781">
        <f t="shared" si="36"/>
        <v>0</v>
      </c>
      <c r="AS37" s="783">
        <f t="shared" si="37"/>
        <v>0</v>
      </c>
      <c r="AT37" s="917"/>
      <c r="AW37" s="832"/>
      <c r="AX37" s="833" t="s">
        <v>3038</v>
      </c>
      <c r="BM37" s="2010">
        <v>120</v>
      </c>
    </row>
    <row r="38" spans="1:65" ht="26.25" hidden="1" outlineLevel="1" thickBot="1" x14ac:dyDescent="0.3">
      <c r="A38" s="784"/>
      <c r="B38" s="904">
        <f t="shared" si="20"/>
        <v>30</v>
      </c>
      <c r="C38" s="170" t="str">
        <f t="shared" si="18"/>
        <v>21EA</v>
      </c>
      <c r="D38" s="557"/>
      <c r="E38" s="170"/>
      <c r="F38" s="170">
        <v>21</v>
      </c>
      <c r="G38" s="2007" t="s">
        <v>3071</v>
      </c>
      <c r="H38" s="1926"/>
      <c r="I38" s="2008" t="s">
        <v>732</v>
      </c>
      <c r="J38" s="1926"/>
      <c r="K38" s="1926"/>
      <c r="L38" s="170"/>
      <c r="M38" s="2009">
        <v>240.2</v>
      </c>
      <c r="N38" s="2010">
        <v>1</v>
      </c>
      <c r="O38" s="773">
        <f t="shared" si="0"/>
        <v>240.2</v>
      </c>
      <c r="P38" s="2008" t="s">
        <v>39</v>
      </c>
      <c r="Q38" s="2008" t="s">
        <v>39</v>
      </c>
      <c r="R38" s="2011" t="s">
        <v>73</v>
      </c>
      <c r="S38" s="912">
        <f>SUMIF('Data Input sheet'!$B$118:$B$180,R38,'Data Input sheet'!$D$118:$D$180)</f>
        <v>119</v>
      </c>
      <c r="T38" s="2685">
        <f t="shared" si="21"/>
        <v>28583.8</v>
      </c>
      <c r="U38" s="2013">
        <v>70</v>
      </c>
      <c r="V38" s="778">
        <f t="shared" si="19"/>
        <v>16814</v>
      </c>
      <c r="W38" s="2010">
        <v>59988.020342095879</v>
      </c>
      <c r="X38" s="779"/>
      <c r="Y38" s="2012">
        <v>1040</v>
      </c>
      <c r="Z38" s="780">
        <f t="shared" si="1"/>
        <v>106425.82034209589</v>
      </c>
      <c r="AA38" s="2007"/>
      <c r="AB38" s="2007"/>
      <c r="AC38" s="765"/>
      <c r="AD38" s="781">
        <f t="shared" si="22"/>
        <v>0</v>
      </c>
      <c r="AE38" s="778">
        <f t="shared" si="23"/>
        <v>0</v>
      </c>
      <c r="AF38" s="781">
        <f t="shared" si="24"/>
        <v>0</v>
      </c>
      <c r="AG38" s="781">
        <f t="shared" si="25"/>
        <v>0</v>
      </c>
      <c r="AH38" s="781">
        <f t="shared" si="26"/>
        <v>0</v>
      </c>
      <c r="AI38" s="782">
        <f t="shared" si="27"/>
        <v>0</v>
      </c>
      <c r="AJ38" s="781">
        <f t="shared" si="28"/>
        <v>0</v>
      </c>
      <c r="AK38" s="781">
        <f t="shared" si="29"/>
        <v>0</v>
      </c>
      <c r="AL38" s="781">
        <f t="shared" si="30"/>
        <v>0</v>
      </c>
      <c r="AM38" s="781">
        <f t="shared" si="31"/>
        <v>0</v>
      </c>
      <c r="AN38" s="781">
        <f t="shared" si="32"/>
        <v>0</v>
      </c>
      <c r="AO38" s="781">
        <f t="shared" si="33"/>
        <v>0</v>
      </c>
      <c r="AP38" s="781">
        <f t="shared" si="34"/>
        <v>0</v>
      </c>
      <c r="AQ38" s="781">
        <f t="shared" si="35"/>
        <v>0</v>
      </c>
      <c r="AR38" s="781">
        <f t="shared" si="36"/>
        <v>0</v>
      </c>
      <c r="AS38" s="783">
        <f t="shared" si="37"/>
        <v>0</v>
      </c>
      <c r="AT38" s="917"/>
      <c r="AW38" s="832"/>
      <c r="AX38" s="833" t="s">
        <v>3039</v>
      </c>
      <c r="BM38" s="2010">
        <v>59988.020342095879</v>
      </c>
    </row>
    <row r="39" spans="1:65" ht="26.25" hidden="1" outlineLevel="1" thickBot="1" x14ac:dyDescent="0.3">
      <c r="A39" s="784"/>
      <c r="B39" s="904">
        <f t="shared" si="20"/>
        <v>31</v>
      </c>
      <c r="C39" s="170" t="str">
        <f t="shared" si="18"/>
        <v>12CY</v>
      </c>
      <c r="D39" s="557"/>
      <c r="E39" s="170"/>
      <c r="F39" s="170">
        <v>12</v>
      </c>
      <c r="G39" s="2007" t="s">
        <v>1325</v>
      </c>
      <c r="H39" s="1926"/>
      <c r="I39" s="2008" t="s">
        <v>671</v>
      </c>
      <c r="J39" s="1926"/>
      <c r="K39" s="1926"/>
      <c r="L39" s="170"/>
      <c r="M39" s="2009">
        <v>30</v>
      </c>
      <c r="N39" s="2010">
        <v>1</v>
      </c>
      <c r="O39" s="773">
        <f t="shared" si="0"/>
        <v>30</v>
      </c>
      <c r="P39" s="2008" t="s">
        <v>39</v>
      </c>
      <c r="Q39" s="2008" t="s">
        <v>39</v>
      </c>
      <c r="R39" s="2011" t="s">
        <v>73</v>
      </c>
      <c r="S39" s="912">
        <f>SUMIF('Data Input sheet'!$B$118:$B$180,R39,'Data Input sheet'!$D$118:$D$180)</f>
        <v>119</v>
      </c>
      <c r="T39" s="2685">
        <f t="shared" si="21"/>
        <v>3570</v>
      </c>
      <c r="U39" s="2013">
        <v>70</v>
      </c>
      <c r="V39" s="778">
        <f t="shared" si="19"/>
        <v>2100</v>
      </c>
      <c r="W39" s="2010">
        <v>0</v>
      </c>
      <c r="X39" s="779"/>
      <c r="Y39" s="2012">
        <v>0</v>
      </c>
      <c r="Z39" s="780">
        <f t="shared" si="1"/>
        <v>5670</v>
      </c>
      <c r="AA39" s="2007"/>
      <c r="AB39" s="2007"/>
      <c r="AC39" s="765"/>
      <c r="AD39" s="781">
        <f t="shared" si="22"/>
        <v>0</v>
      </c>
      <c r="AE39" s="778">
        <f t="shared" si="23"/>
        <v>0</v>
      </c>
      <c r="AF39" s="781">
        <f t="shared" si="24"/>
        <v>0</v>
      </c>
      <c r="AG39" s="781">
        <f t="shared" si="25"/>
        <v>0</v>
      </c>
      <c r="AH39" s="781">
        <f t="shared" si="26"/>
        <v>0</v>
      </c>
      <c r="AI39" s="782">
        <f t="shared" si="27"/>
        <v>0</v>
      </c>
      <c r="AJ39" s="781">
        <f t="shared" si="28"/>
        <v>0</v>
      </c>
      <c r="AK39" s="781">
        <f t="shared" si="29"/>
        <v>0</v>
      </c>
      <c r="AL39" s="781">
        <f t="shared" si="30"/>
        <v>0</v>
      </c>
      <c r="AM39" s="781">
        <f t="shared" si="31"/>
        <v>0</v>
      </c>
      <c r="AN39" s="781">
        <f t="shared" si="32"/>
        <v>0</v>
      </c>
      <c r="AO39" s="781">
        <f t="shared" si="33"/>
        <v>0</v>
      </c>
      <c r="AP39" s="781">
        <f t="shared" si="34"/>
        <v>0</v>
      </c>
      <c r="AQ39" s="781">
        <f t="shared" si="35"/>
        <v>0</v>
      </c>
      <c r="AR39" s="781">
        <f t="shared" si="36"/>
        <v>0</v>
      </c>
      <c r="AS39" s="783">
        <f t="shared" si="37"/>
        <v>0</v>
      </c>
      <c r="AT39" s="917"/>
      <c r="AW39" s="832"/>
      <c r="AX39" s="833" t="s">
        <v>3040</v>
      </c>
      <c r="BM39" s="2010">
        <v>0</v>
      </c>
    </row>
    <row r="40" spans="1:65" ht="15.75" hidden="1" outlineLevel="1" thickBot="1" x14ac:dyDescent="0.3">
      <c r="A40" s="784"/>
      <c r="B40" s="904">
        <f t="shared" si="20"/>
        <v>32</v>
      </c>
      <c r="C40" s="170" t="str">
        <f t="shared" si="18"/>
        <v>21EA</v>
      </c>
      <c r="D40" s="557"/>
      <c r="E40" s="170"/>
      <c r="F40" s="170">
        <v>21</v>
      </c>
      <c r="G40" s="2007" t="s">
        <v>772</v>
      </c>
      <c r="H40" s="1926"/>
      <c r="I40" s="2008" t="s">
        <v>732</v>
      </c>
      <c r="J40" s="1926"/>
      <c r="K40" s="1926"/>
      <c r="L40" s="170"/>
      <c r="M40" s="2009">
        <v>10.947368421052632</v>
      </c>
      <c r="N40" s="2010">
        <v>1</v>
      </c>
      <c r="O40" s="773">
        <f t="shared" si="0"/>
        <v>10.947368421052632</v>
      </c>
      <c r="P40" s="2008" t="s">
        <v>39</v>
      </c>
      <c r="Q40" s="2008" t="s">
        <v>39</v>
      </c>
      <c r="R40" s="2011" t="s">
        <v>73</v>
      </c>
      <c r="S40" s="912">
        <f>SUMIF('Data Input sheet'!$B$118:$B$180,R40,'Data Input sheet'!$D$118:$D$180)</f>
        <v>119</v>
      </c>
      <c r="T40" s="2685">
        <f t="shared" si="21"/>
        <v>1302.7368421052631</v>
      </c>
      <c r="U40" s="2013">
        <v>35</v>
      </c>
      <c r="V40" s="778">
        <f t="shared" si="19"/>
        <v>383</v>
      </c>
      <c r="W40" s="2010">
        <v>2481.9719208960005</v>
      </c>
      <c r="X40" s="779"/>
      <c r="Y40" s="2012"/>
      <c r="Z40" s="780">
        <f t="shared" si="1"/>
        <v>4167.7087630012638</v>
      </c>
      <c r="AA40" s="2007"/>
      <c r="AB40" s="2007"/>
      <c r="AC40" s="765"/>
      <c r="AD40" s="781">
        <f t="shared" si="22"/>
        <v>0</v>
      </c>
      <c r="AE40" s="778">
        <f t="shared" si="23"/>
        <v>0</v>
      </c>
      <c r="AF40" s="781">
        <f t="shared" si="24"/>
        <v>0</v>
      </c>
      <c r="AG40" s="781">
        <f t="shared" si="25"/>
        <v>0</v>
      </c>
      <c r="AH40" s="781">
        <f t="shared" si="26"/>
        <v>0</v>
      </c>
      <c r="AI40" s="782">
        <f t="shared" si="27"/>
        <v>0</v>
      </c>
      <c r="AJ40" s="781">
        <f t="shared" si="28"/>
        <v>0</v>
      </c>
      <c r="AK40" s="781">
        <f t="shared" si="29"/>
        <v>0</v>
      </c>
      <c r="AL40" s="781">
        <f t="shared" si="30"/>
        <v>0</v>
      </c>
      <c r="AM40" s="781">
        <f t="shared" si="31"/>
        <v>0</v>
      </c>
      <c r="AN40" s="781">
        <f t="shared" si="32"/>
        <v>0</v>
      </c>
      <c r="AO40" s="781">
        <f t="shared" si="33"/>
        <v>0</v>
      </c>
      <c r="AP40" s="781">
        <f t="shared" si="34"/>
        <v>0</v>
      </c>
      <c r="AQ40" s="781">
        <f t="shared" si="35"/>
        <v>0</v>
      </c>
      <c r="AR40" s="781">
        <f t="shared" si="36"/>
        <v>0</v>
      </c>
      <c r="AS40" s="783">
        <f t="shared" si="37"/>
        <v>0</v>
      </c>
      <c r="AT40" s="917"/>
      <c r="AW40" s="832"/>
      <c r="AX40" s="833" t="s">
        <v>3030</v>
      </c>
      <c r="BM40" s="2010">
        <v>2481.9719208960005</v>
      </c>
    </row>
    <row r="41" spans="1:65" ht="15.75" hidden="1" outlineLevel="1" thickBot="1" x14ac:dyDescent="0.3">
      <c r="A41" s="784"/>
      <c r="B41" s="904">
        <f t="shared" si="20"/>
        <v>33</v>
      </c>
      <c r="C41" s="170" t="str">
        <f t="shared" si="18"/>
        <v>20</v>
      </c>
      <c r="D41" s="557"/>
      <c r="E41" s="170"/>
      <c r="F41" s="170">
        <v>20</v>
      </c>
      <c r="G41" s="2007"/>
      <c r="H41" s="2008"/>
      <c r="I41" s="2008"/>
      <c r="J41" s="1926"/>
      <c r="K41" s="1926"/>
      <c r="L41" s="170"/>
      <c r="M41" s="2009">
        <v>0</v>
      </c>
      <c r="N41" s="2010">
        <v>1</v>
      </c>
      <c r="O41" s="773">
        <f t="shared" si="0"/>
        <v>0</v>
      </c>
      <c r="P41" s="2008" t="s">
        <v>39</v>
      </c>
      <c r="Q41" s="2008" t="s">
        <v>39</v>
      </c>
      <c r="R41" s="2011" t="s">
        <v>73</v>
      </c>
      <c r="S41" s="912">
        <f>SUMIF('Data Input sheet'!$B$118:$B$180,R41,'Data Input sheet'!$D$118:$D$180)</f>
        <v>119</v>
      </c>
      <c r="T41" s="2685">
        <f t="shared" si="21"/>
        <v>0</v>
      </c>
      <c r="U41" s="2013">
        <v>0</v>
      </c>
      <c r="V41" s="778">
        <f t="shared" si="19"/>
        <v>0</v>
      </c>
      <c r="W41" s="2010"/>
      <c r="X41" s="779"/>
      <c r="Y41" s="2012">
        <v>0</v>
      </c>
      <c r="Z41" s="780">
        <f t="shared" si="1"/>
        <v>0</v>
      </c>
      <c r="AA41" s="2007"/>
      <c r="AB41" s="2007"/>
      <c r="AC41" s="765"/>
      <c r="AD41" s="781">
        <f t="shared" si="22"/>
        <v>0</v>
      </c>
      <c r="AE41" s="778">
        <f t="shared" si="23"/>
        <v>0</v>
      </c>
      <c r="AF41" s="781">
        <f t="shared" si="24"/>
        <v>0</v>
      </c>
      <c r="AG41" s="781">
        <f t="shared" si="25"/>
        <v>0</v>
      </c>
      <c r="AH41" s="781">
        <f t="shared" si="26"/>
        <v>0</v>
      </c>
      <c r="AI41" s="782">
        <f t="shared" si="27"/>
        <v>0</v>
      </c>
      <c r="AJ41" s="781">
        <f t="shared" si="28"/>
        <v>0</v>
      </c>
      <c r="AK41" s="781">
        <f t="shared" si="29"/>
        <v>0</v>
      </c>
      <c r="AL41" s="781">
        <f t="shared" si="30"/>
        <v>0</v>
      </c>
      <c r="AM41" s="781">
        <f t="shared" si="31"/>
        <v>0</v>
      </c>
      <c r="AN41" s="781">
        <f t="shared" si="32"/>
        <v>0</v>
      </c>
      <c r="AO41" s="781">
        <f t="shared" si="33"/>
        <v>0</v>
      </c>
      <c r="AP41" s="781">
        <f t="shared" si="34"/>
        <v>0</v>
      </c>
      <c r="AQ41" s="781">
        <f t="shared" si="35"/>
        <v>0</v>
      </c>
      <c r="AR41" s="781">
        <f t="shared" si="36"/>
        <v>0</v>
      </c>
      <c r="AS41" s="783">
        <f t="shared" si="37"/>
        <v>0</v>
      </c>
      <c r="AT41" s="917"/>
      <c r="AW41" s="832"/>
      <c r="AX41" s="833" t="s">
        <v>3030</v>
      </c>
      <c r="BM41" s="2010"/>
    </row>
    <row r="42" spans="1:65" ht="26.25" hidden="1" outlineLevel="1" thickBot="1" x14ac:dyDescent="0.3">
      <c r="A42" s="784"/>
      <c r="B42" s="904">
        <f t="shared" si="20"/>
        <v>34</v>
      </c>
      <c r="C42" s="170" t="str">
        <f t="shared" si="18"/>
        <v>21LF</v>
      </c>
      <c r="D42" s="557"/>
      <c r="E42" s="170"/>
      <c r="F42" s="170">
        <v>21</v>
      </c>
      <c r="G42" s="2007" t="s">
        <v>827</v>
      </c>
      <c r="H42" s="1926"/>
      <c r="I42" s="2008" t="s">
        <v>728</v>
      </c>
      <c r="J42" s="1926"/>
      <c r="K42" s="1926"/>
      <c r="L42" s="170"/>
      <c r="M42" s="2009">
        <v>1.48</v>
      </c>
      <c r="N42" s="2010">
        <v>1</v>
      </c>
      <c r="O42" s="773">
        <f t="shared" si="0"/>
        <v>1.48</v>
      </c>
      <c r="P42" s="2008" t="s">
        <v>39</v>
      </c>
      <c r="Q42" s="2008" t="s">
        <v>39</v>
      </c>
      <c r="R42" s="2011" t="s">
        <v>73</v>
      </c>
      <c r="S42" s="912">
        <f>SUMIF('Data Input sheet'!$B$118:$B$180,R42,'Data Input sheet'!$D$118:$D$180)</f>
        <v>119</v>
      </c>
      <c r="T42" s="2685">
        <f t="shared" si="21"/>
        <v>176.12</v>
      </c>
      <c r="U42" s="2013">
        <v>5</v>
      </c>
      <c r="V42" s="778">
        <f t="shared" si="19"/>
        <v>7</v>
      </c>
      <c r="W42" s="2010">
        <v>22.77</v>
      </c>
      <c r="X42" s="779"/>
      <c r="Y42" s="2012">
        <v>0</v>
      </c>
      <c r="Z42" s="780">
        <f t="shared" si="1"/>
        <v>205.89000000000001</v>
      </c>
      <c r="AA42" s="2007"/>
      <c r="AB42" s="2007"/>
      <c r="AC42" s="765"/>
      <c r="AD42" s="781">
        <f t="shared" si="22"/>
        <v>0</v>
      </c>
      <c r="AE42" s="778">
        <f t="shared" si="23"/>
        <v>0</v>
      </c>
      <c r="AF42" s="781">
        <f t="shared" si="24"/>
        <v>0</v>
      </c>
      <c r="AG42" s="781">
        <f t="shared" si="25"/>
        <v>0</v>
      </c>
      <c r="AH42" s="781">
        <f t="shared" si="26"/>
        <v>0</v>
      </c>
      <c r="AI42" s="782">
        <f t="shared" si="27"/>
        <v>0</v>
      </c>
      <c r="AJ42" s="781">
        <f t="shared" si="28"/>
        <v>0</v>
      </c>
      <c r="AK42" s="781">
        <f t="shared" si="29"/>
        <v>0</v>
      </c>
      <c r="AL42" s="781">
        <f t="shared" si="30"/>
        <v>0</v>
      </c>
      <c r="AM42" s="781">
        <f t="shared" si="31"/>
        <v>0</v>
      </c>
      <c r="AN42" s="781">
        <f t="shared" si="32"/>
        <v>0</v>
      </c>
      <c r="AO42" s="781">
        <f t="shared" si="33"/>
        <v>0</v>
      </c>
      <c r="AP42" s="781">
        <f t="shared" si="34"/>
        <v>0</v>
      </c>
      <c r="AQ42" s="781">
        <f t="shared" si="35"/>
        <v>0</v>
      </c>
      <c r="AR42" s="781">
        <f t="shared" si="36"/>
        <v>0</v>
      </c>
      <c r="AS42" s="783">
        <f t="shared" si="37"/>
        <v>0</v>
      </c>
      <c r="AT42" s="917"/>
      <c r="AW42" s="832"/>
      <c r="AX42" s="833" t="s">
        <v>3041</v>
      </c>
      <c r="BM42" s="2010">
        <v>22.77</v>
      </c>
    </row>
    <row r="43" spans="1:65" ht="26.25" hidden="1" outlineLevel="1" thickBot="1" x14ac:dyDescent="0.3">
      <c r="A43" s="784"/>
      <c r="B43" s="904">
        <f t="shared" si="20"/>
        <v>35</v>
      </c>
      <c r="C43" s="170" t="str">
        <f t="shared" si="18"/>
        <v>21LF</v>
      </c>
      <c r="D43" s="557"/>
      <c r="E43" s="170"/>
      <c r="F43" s="170">
        <v>21</v>
      </c>
      <c r="G43" s="2007" t="s">
        <v>828</v>
      </c>
      <c r="H43" s="1926">
        <v>0</v>
      </c>
      <c r="I43" s="2008" t="s">
        <v>728</v>
      </c>
      <c r="J43" s="1926"/>
      <c r="K43" s="1926"/>
      <c r="L43" s="170"/>
      <c r="M43" s="2009">
        <v>3.2</v>
      </c>
      <c r="N43" s="2010">
        <v>1</v>
      </c>
      <c r="O43" s="773">
        <f t="shared" si="0"/>
        <v>3.2</v>
      </c>
      <c r="P43" s="2008" t="s">
        <v>39</v>
      </c>
      <c r="Q43" s="2008" t="s">
        <v>39</v>
      </c>
      <c r="R43" s="2011" t="s">
        <v>73</v>
      </c>
      <c r="S43" s="912">
        <f>SUMIF('Data Input sheet'!$B$118:$B$180,R43,'Data Input sheet'!$D$118:$D$180)</f>
        <v>119</v>
      </c>
      <c r="T43" s="2685">
        <f t="shared" si="21"/>
        <v>380.8</v>
      </c>
      <c r="U43" s="2013">
        <v>6</v>
      </c>
      <c r="V43" s="778">
        <f t="shared" si="19"/>
        <v>19</v>
      </c>
      <c r="W43" s="2010">
        <v>61.7</v>
      </c>
      <c r="X43" s="779"/>
      <c r="Y43" s="2012">
        <v>0</v>
      </c>
      <c r="Z43" s="780">
        <f t="shared" si="1"/>
        <v>461.5</v>
      </c>
      <c r="AA43" s="2007"/>
      <c r="AB43" s="2007"/>
      <c r="AC43" s="765"/>
      <c r="AD43" s="781">
        <f t="shared" si="22"/>
        <v>0</v>
      </c>
      <c r="AE43" s="778">
        <f t="shared" si="23"/>
        <v>0</v>
      </c>
      <c r="AF43" s="781">
        <f t="shared" si="24"/>
        <v>0</v>
      </c>
      <c r="AG43" s="781">
        <f t="shared" si="25"/>
        <v>0</v>
      </c>
      <c r="AH43" s="781">
        <f t="shared" si="26"/>
        <v>0</v>
      </c>
      <c r="AI43" s="782">
        <f t="shared" si="27"/>
        <v>0</v>
      </c>
      <c r="AJ43" s="781">
        <f t="shared" si="28"/>
        <v>0</v>
      </c>
      <c r="AK43" s="781">
        <f t="shared" si="29"/>
        <v>0</v>
      </c>
      <c r="AL43" s="781">
        <f t="shared" si="30"/>
        <v>0</v>
      </c>
      <c r="AM43" s="781">
        <f t="shared" si="31"/>
        <v>0</v>
      </c>
      <c r="AN43" s="781">
        <f t="shared" si="32"/>
        <v>0</v>
      </c>
      <c r="AO43" s="781">
        <f t="shared" si="33"/>
        <v>0</v>
      </c>
      <c r="AP43" s="781">
        <f t="shared" si="34"/>
        <v>0</v>
      </c>
      <c r="AQ43" s="781">
        <f t="shared" si="35"/>
        <v>0</v>
      </c>
      <c r="AR43" s="781">
        <f t="shared" si="36"/>
        <v>0</v>
      </c>
      <c r="AS43" s="783">
        <f t="shared" si="37"/>
        <v>0</v>
      </c>
      <c r="AT43" s="917"/>
      <c r="AW43" s="832"/>
      <c r="AX43" s="833" t="s">
        <v>3041</v>
      </c>
      <c r="BM43" s="2010">
        <v>61.7</v>
      </c>
    </row>
    <row r="44" spans="1:65" ht="26.25" hidden="1" outlineLevel="1" thickBot="1" x14ac:dyDescent="0.3">
      <c r="A44" s="784"/>
      <c r="B44" s="904">
        <f t="shared" si="20"/>
        <v>36</v>
      </c>
      <c r="C44" s="170" t="str">
        <f t="shared" si="18"/>
        <v>21LF</v>
      </c>
      <c r="D44" s="557"/>
      <c r="E44" s="170"/>
      <c r="F44" s="170">
        <v>21</v>
      </c>
      <c r="G44" s="2007" t="s">
        <v>829</v>
      </c>
      <c r="H44" s="1926"/>
      <c r="I44" s="2008" t="s">
        <v>728</v>
      </c>
      <c r="J44" s="1926"/>
      <c r="K44" s="1926"/>
      <c r="L44" s="170"/>
      <c r="M44" s="2009">
        <v>4.87</v>
      </c>
      <c r="N44" s="2010">
        <v>1</v>
      </c>
      <c r="O44" s="773">
        <f t="shared" si="0"/>
        <v>4.87</v>
      </c>
      <c r="P44" s="2008" t="s">
        <v>39</v>
      </c>
      <c r="Q44" s="2008" t="s">
        <v>39</v>
      </c>
      <c r="R44" s="2011" t="s">
        <v>73</v>
      </c>
      <c r="S44" s="912">
        <f>SUMIF('Data Input sheet'!$B$118:$B$180,R44,'Data Input sheet'!$D$118:$D$180)</f>
        <v>119</v>
      </c>
      <c r="T44" s="2685">
        <f t="shared" si="21"/>
        <v>579.53</v>
      </c>
      <c r="U44" s="2013">
        <v>6</v>
      </c>
      <c r="V44" s="778">
        <f t="shared" si="19"/>
        <v>29</v>
      </c>
      <c r="W44" s="2010">
        <v>98.38</v>
      </c>
      <c r="X44" s="779"/>
      <c r="Y44" s="2012">
        <v>0</v>
      </c>
      <c r="Z44" s="780">
        <f t="shared" si="1"/>
        <v>706.91</v>
      </c>
      <c r="AA44" s="2007"/>
      <c r="AB44" s="2007"/>
      <c r="AC44" s="765"/>
      <c r="AD44" s="781">
        <f t="shared" si="22"/>
        <v>0</v>
      </c>
      <c r="AE44" s="778">
        <f t="shared" si="23"/>
        <v>0</v>
      </c>
      <c r="AF44" s="781">
        <f t="shared" si="24"/>
        <v>0</v>
      </c>
      <c r="AG44" s="781">
        <f t="shared" si="25"/>
        <v>0</v>
      </c>
      <c r="AH44" s="781">
        <f t="shared" si="26"/>
        <v>0</v>
      </c>
      <c r="AI44" s="782">
        <f t="shared" si="27"/>
        <v>0</v>
      </c>
      <c r="AJ44" s="781">
        <f t="shared" si="28"/>
        <v>0</v>
      </c>
      <c r="AK44" s="781">
        <f t="shared" si="29"/>
        <v>0</v>
      </c>
      <c r="AL44" s="781">
        <f t="shared" si="30"/>
        <v>0</v>
      </c>
      <c r="AM44" s="781">
        <f t="shared" si="31"/>
        <v>0</v>
      </c>
      <c r="AN44" s="781">
        <f t="shared" si="32"/>
        <v>0</v>
      </c>
      <c r="AO44" s="781">
        <f t="shared" si="33"/>
        <v>0</v>
      </c>
      <c r="AP44" s="781">
        <f t="shared" si="34"/>
        <v>0</v>
      </c>
      <c r="AQ44" s="781">
        <f t="shared" si="35"/>
        <v>0</v>
      </c>
      <c r="AR44" s="781">
        <f t="shared" si="36"/>
        <v>0</v>
      </c>
      <c r="AS44" s="783">
        <f t="shared" si="37"/>
        <v>0</v>
      </c>
      <c r="AT44" s="917"/>
      <c r="AW44" s="832"/>
      <c r="AX44" s="833" t="s">
        <v>3041</v>
      </c>
      <c r="BM44" s="2010">
        <v>98.38</v>
      </c>
    </row>
    <row r="45" spans="1:65" ht="15.75" hidden="1" outlineLevel="1" thickBot="1" x14ac:dyDescent="0.3">
      <c r="A45" s="784"/>
      <c r="B45" s="904">
        <f t="shared" si="20"/>
        <v>37</v>
      </c>
      <c r="C45" s="170" t="str">
        <f t="shared" si="18"/>
        <v>0CY</v>
      </c>
      <c r="D45" s="557"/>
      <c r="E45" s="170"/>
      <c r="F45" s="170">
        <v>0</v>
      </c>
      <c r="G45" s="2007" t="s">
        <v>96</v>
      </c>
      <c r="H45" s="1926"/>
      <c r="I45" s="2008" t="s">
        <v>671</v>
      </c>
      <c r="J45" s="1926"/>
      <c r="K45" s="1926"/>
      <c r="L45" s="170"/>
      <c r="M45" s="2009">
        <v>0</v>
      </c>
      <c r="N45" s="2010">
        <v>1</v>
      </c>
      <c r="O45" s="773">
        <f t="shared" si="0"/>
        <v>0</v>
      </c>
      <c r="P45" s="2008" t="s">
        <v>39</v>
      </c>
      <c r="Q45" s="2008" t="s">
        <v>39</v>
      </c>
      <c r="R45" s="2011" t="s">
        <v>73</v>
      </c>
      <c r="S45" s="912">
        <f>SUMIF('Data Input sheet'!$B$118:$B$180,R45,'Data Input sheet'!$D$118:$D$180)</f>
        <v>119</v>
      </c>
      <c r="T45" s="2685">
        <f t="shared" si="21"/>
        <v>0</v>
      </c>
      <c r="U45" s="2013">
        <v>0</v>
      </c>
      <c r="V45" s="778">
        <f t="shared" ref="V45" si="46">ROUND(U45*O45,0)</f>
        <v>0</v>
      </c>
      <c r="W45" s="2010">
        <v>0</v>
      </c>
      <c r="X45" s="779"/>
      <c r="Y45" s="2012"/>
      <c r="Z45" s="780">
        <f t="shared" si="1"/>
        <v>0</v>
      </c>
      <c r="AA45" s="2007"/>
      <c r="AB45" s="2007"/>
      <c r="AC45" s="765"/>
      <c r="AD45" s="781">
        <f t="shared" si="22"/>
        <v>0</v>
      </c>
      <c r="AE45" s="778">
        <f t="shared" si="23"/>
        <v>0</v>
      </c>
      <c r="AF45" s="781">
        <f t="shared" si="24"/>
        <v>0</v>
      </c>
      <c r="AG45" s="781">
        <f t="shared" si="25"/>
        <v>0</v>
      </c>
      <c r="AH45" s="781">
        <f t="shared" si="26"/>
        <v>0</v>
      </c>
      <c r="AI45" s="782">
        <f t="shared" si="27"/>
        <v>0</v>
      </c>
      <c r="AJ45" s="781">
        <f t="shared" si="28"/>
        <v>0</v>
      </c>
      <c r="AK45" s="781">
        <f t="shared" si="29"/>
        <v>0</v>
      </c>
      <c r="AL45" s="781">
        <f t="shared" si="30"/>
        <v>0</v>
      </c>
      <c r="AM45" s="781">
        <f t="shared" si="31"/>
        <v>0</v>
      </c>
      <c r="AN45" s="781">
        <f t="shared" si="32"/>
        <v>0</v>
      </c>
      <c r="AO45" s="781">
        <f t="shared" si="33"/>
        <v>0</v>
      </c>
      <c r="AP45" s="781">
        <f t="shared" si="34"/>
        <v>0</v>
      </c>
      <c r="AQ45" s="781">
        <f t="shared" si="35"/>
        <v>0</v>
      </c>
      <c r="AR45" s="781">
        <f t="shared" si="36"/>
        <v>0</v>
      </c>
      <c r="AS45" s="783">
        <f t="shared" si="37"/>
        <v>0</v>
      </c>
      <c r="AT45" s="917"/>
      <c r="AW45" s="832"/>
      <c r="AX45" s="833" t="s">
        <v>3030</v>
      </c>
      <c r="BM45" s="2010">
        <v>0</v>
      </c>
    </row>
    <row r="46" spans="1:65" ht="26.25" hidden="1" outlineLevel="1" thickBot="1" x14ac:dyDescent="0.3">
      <c r="A46" s="784"/>
      <c r="B46" s="904">
        <f t="shared" si="20"/>
        <v>38</v>
      </c>
      <c r="C46" s="170" t="str">
        <f t="shared" si="18"/>
        <v>11CY</v>
      </c>
      <c r="D46" s="557"/>
      <c r="E46" s="170"/>
      <c r="F46" s="170">
        <v>11</v>
      </c>
      <c r="G46" s="2007" t="s">
        <v>1327</v>
      </c>
      <c r="H46" s="1926">
        <v>0</v>
      </c>
      <c r="I46" s="2008" t="s">
        <v>671</v>
      </c>
      <c r="J46" s="1926"/>
      <c r="K46" s="1926"/>
      <c r="L46" s="170"/>
      <c r="M46" s="2009">
        <v>0.25</v>
      </c>
      <c r="N46" s="2010">
        <v>1</v>
      </c>
      <c r="O46" s="773">
        <f t="shared" ref="O46:O61" si="47">+M46*N46</f>
        <v>0.25</v>
      </c>
      <c r="P46" s="2008" t="s">
        <v>39</v>
      </c>
      <c r="Q46" s="2008" t="s">
        <v>39</v>
      </c>
      <c r="R46" s="2011" t="s">
        <v>73</v>
      </c>
      <c r="S46" s="912">
        <f>SUMIF('Data Input sheet'!$B$118:$B$180,R46,'Data Input sheet'!$D$118:$D$180)</f>
        <v>119</v>
      </c>
      <c r="T46" s="2685">
        <f t="shared" ref="T46:T61" si="48">+O46*S46</f>
        <v>29.75</v>
      </c>
      <c r="U46" s="2013">
        <v>112</v>
      </c>
      <c r="V46" s="778">
        <f t="shared" si="19"/>
        <v>28</v>
      </c>
      <c r="W46" s="2010">
        <v>0</v>
      </c>
      <c r="X46" s="779"/>
      <c r="Y46" s="2012"/>
      <c r="Z46" s="780">
        <f t="shared" ref="Z46:Z61" si="49">T46+V46+W46+Y46</f>
        <v>57.75</v>
      </c>
      <c r="AA46" s="2007"/>
      <c r="AB46" s="2007"/>
      <c r="AC46" s="765"/>
      <c r="AD46" s="781">
        <f t="shared" si="22"/>
        <v>0</v>
      </c>
      <c r="AE46" s="778">
        <f t="shared" si="23"/>
        <v>0</v>
      </c>
      <c r="AF46" s="781">
        <f t="shared" si="24"/>
        <v>0</v>
      </c>
      <c r="AG46" s="781">
        <f t="shared" si="25"/>
        <v>0</v>
      </c>
      <c r="AH46" s="781">
        <f t="shared" si="26"/>
        <v>0</v>
      </c>
      <c r="AI46" s="782">
        <f t="shared" si="27"/>
        <v>0</v>
      </c>
      <c r="AJ46" s="781">
        <f t="shared" si="28"/>
        <v>0</v>
      </c>
      <c r="AK46" s="781">
        <f t="shared" si="29"/>
        <v>0</v>
      </c>
      <c r="AL46" s="781">
        <f t="shared" si="30"/>
        <v>0</v>
      </c>
      <c r="AM46" s="781">
        <f t="shared" si="31"/>
        <v>0</v>
      </c>
      <c r="AN46" s="781">
        <f t="shared" si="32"/>
        <v>0</v>
      </c>
      <c r="AO46" s="781">
        <f t="shared" si="33"/>
        <v>0</v>
      </c>
      <c r="AP46" s="781">
        <f t="shared" si="34"/>
        <v>0</v>
      </c>
      <c r="AQ46" s="781">
        <f t="shared" si="35"/>
        <v>0</v>
      </c>
      <c r="AR46" s="781">
        <f t="shared" si="36"/>
        <v>0</v>
      </c>
      <c r="AS46" s="783">
        <f t="shared" si="37"/>
        <v>0</v>
      </c>
      <c r="AT46" s="917"/>
      <c r="AW46" s="832"/>
      <c r="AX46" s="833" t="s">
        <v>3082</v>
      </c>
      <c r="BM46" s="2010">
        <v>0</v>
      </c>
    </row>
    <row r="47" spans="1:65" ht="26.25" hidden="1" outlineLevel="1" thickBot="1" x14ac:dyDescent="0.3">
      <c r="A47" s="784"/>
      <c r="B47" s="904">
        <f t="shared" si="20"/>
        <v>39</v>
      </c>
      <c r="C47" s="170" t="str">
        <f t="shared" si="18"/>
        <v>11CY</v>
      </c>
      <c r="D47" s="557"/>
      <c r="E47" s="170"/>
      <c r="F47" s="170">
        <v>11</v>
      </c>
      <c r="G47" s="2007" t="s">
        <v>1328</v>
      </c>
      <c r="H47" s="1926">
        <v>0</v>
      </c>
      <c r="I47" s="2008" t="s">
        <v>671</v>
      </c>
      <c r="J47" s="1926"/>
      <c r="K47" s="1926"/>
      <c r="L47" s="170"/>
      <c r="M47" s="2009">
        <v>1</v>
      </c>
      <c r="N47" s="2010">
        <v>1</v>
      </c>
      <c r="O47" s="773">
        <f t="shared" si="47"/>
        <v>1</v>
      </c>
      <c r="P47" s="2008" t="s">
        <v>39</v>
      </c>
      <c r="Q47" s="2008" t="s">
        <v>39</v>
      </c>
      <c r="R47" s="2011" t="s">
        <v>73</v>
      </c>
      <c r="S47" s="912">
        <f>SUMIF('Data Input sheet'!$B$118:$B$180,R47,'Data Input sheet'!$D$118:$D$180)</f>
        <v>119</v>
      </c>
      <c r="T47" s="2685">
        <f t="shared" si="48"/>
        <v>119</v>
      </c>
      <c r="U47" s="2013">
        <v>11</v>
      </c>
      <c r="V47" s="778">
        <f t="shared" si="19"/>
        <v>11</v>
      </c>
      <c r="W47" s="2010">
        <v>0</v>
      </c>
      <c r="X47" s="779"/>
      <c r="Y47" s="2012"/>
      <c r="Z47" s="780">
        <f t="shared" si="49"/>
        <v>130</v>
      </c>
      <c r="AA47" s="2007"/>
      <c r="AB47" s="2007"/>
      <c r="AC47" s="765"/>
      <c r="AD47" s="781">
        <f t="shared" si="22"/>
        <v>0</v>
      </c>
      <c r="AE47" s="778">
        <f t="shared" si="23"/>
        <v>0</v>
      </c>
      <c r="AF47" s="781">
        <f t="shared" si="24"/>
        <v>0</v>
      </c>
      <c r="AG47" s="781">
        <f t="shared" si="25"/>
        <v>0</v>
      </c>
      <c r="AH47" s="781">
        <f t="shared" si="26"/>
        <v>0</v>
      </c>
      <c r="AI47" s="782">
        <f t="shared" si="27"/>
        <v>0</v>
      </c>
      <c r="AJ47" s="781">
        <f t="shared" si="28"/>
        <v>0</v>
      </c>
      <c r="AK47" s="781">
        <f t="shared" si="29"/>
        <v>0</v>
      </c>
      <c r="AL47" s="781">
        <f t="shared" si="30"/>
        <v>0</v>
      </c>
      <c r="AM47" s="781">
        <f t="shared" si="31"/>
        <v>0</v>
      </c>
      <c r="AN47" s="781">
        <f t="shared" si="32"/>
        <v>0</v>
      </c>
      <c r="AO47" s="781">
        <f t="shared" si="33"/>
        <v>0</v>
      </c>
      <c r="AP47" s="781">
        <f t="shared" si="34"/>
        <v>0</v>
      </c>
      <c r="AQ47" s="781">
        <f t="shared" si="35"/>
        <v>0</v>
      </c>
      <c r="AR47" s="781">
        <f t="shared" si="36"/>
        <v>0</v>
      </c>
      <c r="AS47" s="783">
        <f t="shared" si="37"/>
        <v>0</v>
      </c>
      <c r="AT47" s="917"/>
      <c r="AW47" s="832"/>
      <c r="AX47" s="833" t="s">
        <v>3082</v>
      </c>
      <c r="BM47" s="2010">
        <v>0</v>
      </c>
    </row>
    <row r="48" spans="1:65" ht="15.75" hidden="1" outlineLevel="1" thickBot="1" x14ac:dyDescent="0.3">
      <c r="A48" s="784"/>
      <c r="B48" s="904"/>
      <c r="C48" s="170"/>
      <c r="D48" s="557"/>
      <c r="E48" s="170"/>
      <c r="F48" s="170"/>
      <c r="G48" s="2007"/>
      <c r="H48" s="1926"/>
      <c r="I48" s="2008"/>
      <c r="J48" s="1926"/>
      <c r="K48" s="1926"/>
      <c r="L48" s="170"/>
      <c r="M48" s="2009"/>
      <c r="N48" s="2010"/>
      <c r="O48" s="773"/>
      <c r="P48" s="2008"/>
      <c r="Q48" s="2008" t="s">
        <v>39</v>
      </c>
      <c r="R48" s="2011" t="s">
        <v>73</v>
      </c>
      <c r="S48" s="912"/>
      <c r="T48" s="2685"/>
      <c r="U48" s="2013"/>
      <c r="V48" s="778"/>
      <c r="W48" s="2010"/>
      <c r="X48" s="779"/>
      <c r="Y48" s="2012"/>
      <c r="Z48" s="780"/>
      <c r="AA48" s="2007"/>
      <c r="AB48" s="2007"/>
      <c r="AC48" s="765"/>
      <c r="AD48" s="781"/>
      <c r="AE48" s="778"/>
      <c r="AF48" s="781"/>
      <c r="AG48" s="781"/>
      <c r="AH48" s="781"/>
      <c r="AI48" s="782"/>
      <c r="AJ48" s="781"/>
      <c r="AK48" s="781"/>
      <c r="AL48" s="781"/>
      <c r="AM48" s="781"/>
      <c r="AN48" s="781"/>
      <c r="AO48" s="781"/>
      <c r="AP48" s="781"/>
      <c r="AQ48" s="781"/>
      <c r="AR48" s="781"/>
      <c r="AS48" s="783"/>
      <c r="AT48" s="917"/>
      <c r="AW48" s="832"/>
      <c r="AX48" s="833"/>
      <c r="BM48" s="2010"/>
    </row>
    <row r="49" spans="1:65" ht="26.25" hidden="1" outlineLevel="1" thickBot="1" x14ac:dyDescent="0.3">
      <c r="A49" s="784"/>
      <c r="B49" s="904">
        <f>+B47+1</f>
        <v>40</v>
      </c>
      <c r="C49" s="170" t="str">
        <f t="shared" si="18"/>
        <v>13CY</v>
      </c>
      <c r="D49" s="557"/>
      <c r="E49" s="170"/>
      <c r="F49" s="170">
        <v>13</v>
      </c>
      <c r="G49" s="2007" t="s">
        <v>830</v>
      </c>
      <c r="H49" s="1926"/>
      <c r="I49" s="2008" t="s">
        <v>671</v>
      </c>
      <c r="J49" s="1926"/>
      <c r="K49" s="1926"/>
      <c r="L49" s="170"/>
      <c r="M49" s="2009"/>
      <c r="N49" s="2010">
        <v>1</v>
      </c>
      <c r="O49" s="773">
        <f t="shared" si="47"/>
        <v>0</v>
      </c>
      <c r="P49" s="2008" t="s">
        <v>39</v>
      </c>
      <c r="Q49" s="2008" t="s">
        <v>39</v>
      </c>
      <c r="R49" s="2011" t="s">
        <v>73</v>
      </c>
      <c r="S49" s="912">
        <f>SUMIF('Data Input sheet'!$B$118:$B$180,R49,'Data Input sheet'!$D$118:$D$180)</f>
        <v>119</v>
      </c>
      <c r="T49" s="2685">
        <f t="shared" si="48"/>
        <v>0</v>
      </c>
      <c r="U49" s="2013">
        <v>0</v>
      </c>
      <c r="V49" s="778">
        <f t="shared" si="19"/>
        <v>0</v>
      </c>
      <c r="W49" s="2010">
        <v>0</v>
      </c>
      <c r="X49" s="779"/>
      <c r="Y49" s="2012">
        <v>21</v>
      </c>
      <c r="Z49" s="780">
        <f t="shared" si="49"/>
        <v>21</v>
      </c>
      <c r="AA49" s="2007"/>
      <c r="AB49" s="2007"/>
      <c r="AC49" s="765"/>
      <c r="AD49" s="781">
        <f t="shared" si="22"/>
        <v>0</v>
      </c>
      <c r="AE49" s="778">
        <f t="shared" si="23"/>
        <v>0</v>
      </c>
      <c r="AF49" s="781">
        <f t="shared" si="24"/>
        <v>0</v>
      </c>
      <c r="AG49" s="781">
        <f t="shared" si="25"/>
        <v>0</v>
      </c>
      <c r="AH49" s="781">
        <f t="shared" si="26"/>
        <v>0</v>
      </c>
      <c r="AI49" s="782">
        <f t="shared" si="27"/>
        <v>0</v>
      </c>
      <c r="AJ49" s="781">
        <f t="shared" si="28"/>
        <v>0</v>
      </c>
      <c r="AK49" s="781">
        <f t="shared" si="29"/>
        <v>0</v>
      </c>
      <c r="AL49" s="781">
        <f t="shared" si="30"/>
        <v>0</v>
      </c>
      <c r="AM49" s="781">
        <f t="shared" si="31"/>
        <v>0</v>
      </c>
      <c r="AN49" s="781">
        <f t="shared" si="32"/>
        <v>0</v>
      </c>
      <c r="AO49" s="781">
        <f t="shared" si="33"/>
        <v>0</v>
      </c>
      <c r="AP49" s="781">
        <f t="shared" si="34"/>
        <v>0</v>
      </c>
      <c r="AQ49" s="781">
        <f t="shared" si="35"/>
        <v>0</v>
      </c>
      <c r="AR49" s="781">
        <f t="shared" si="36"/>
        <v>0</v>
      </c>
      <c r="AS49" s="783">
        <f t="shared" si="37"/>
        <v>0</v>
      </c>
      <c r="AT49" s="917"/>
      <c r="AW49" s="832"/>
      <c r="AX49" s="833" t="s">
        <v>3042</v>
      </c>
      <c r="BM49" s="2010">
        <v>0</v>
      </c>
    </row>
    <row r="50" spans="1:65" ht="26.25" hidden="1" outlineLevel="1" thickBot="1" x14ac:dyDescent="0.3">
      <c r="A50" s="784"/>
      <c r="B50" s="904">
        <f t="shared" si="20"/>
        <v>41</v>
      </c>
      <c r="C50" s="170" t="str">
        <f t="shared" si="18"/>
        <v>13TN</v>
      </c>
      <c r="D50" s="557"/>
      <c r="E50" s="170"/>
      <c r="F50" s="170">
        <v>13</v>
      </c>
      <c r="G50" s="2007" t="s">
        <v>831</v>
      </c>
      <c r="H50" s="1926"/>
      <c r="I50" s="2008" t="s">
        <v>1323</v>
      </c>
      <c r="J50" s="1926"/>
      <c r="K50" s="1926"/>
      <c r="L50" s="170"/>
      <c r="M50" s="2009"/>
      <c r="N50" s="2010">
        <v>1</v>
      </c>
      <c r="O50" s="773">
        <f t="shared" si="47"/>
        <v>0</v>
      </c>
      <c r="P50" s="2008" t="s">
        <v>39</v>
      </c>
      <c r="Q50" s="2008" t="s">
        <v>39</v>
      </c>
      <c r="R50" s="2011" t="s">
        <v>73</v>
      </c>
      <c r="S50" s="912">
        <f>SUMIF('Data Input sheet'!$B$118:$B$180,R50,'Data Input sheet'!$D$118:$D$180)</f>
        <v>119</v>
      </c>
      <c r="T50" s="2685">
        <f t="shared" si="48"/>
        <v>0</v>
      </c>
      <c r="U50" s="2013">
        <v>0</v>
      </c>
      <c r="V50" s="778">
        <f t="shared" si="19"/>
        <v>0</v>
      </c>
      <c r="W50" s="2010">
        <v>0</v>
      </c>
      <c r="X50" s="779"/>
      <c r="Y50" s="2012">
        <v>70</v>
      </c>
      <c r="Z50" s="780">
        <f t="shared" si="49"/>
        <v>70</v>
      </c>
      <c r="AA50" s="2007"/>
      <c r="AB50" s="2007"/>
      <c r="AC50" s="765"/>
      <c r="AD50" s="781">
        <f t="shared" si="22"/>
        <v>0</v>
      </c>
      <c r="AE50" s="778">
        <f t="shared" si="23"/>
        <v>0</v>
      </c>
      <c r="AF50" s="781">
        <f t="shared" si="24"/>
        <v>0</v>
      </c>
      <c r="AG50" s="781">
        <f t="shared" si="25"/>
        <v>0</v>
      </c>
      <c r="AH50" s="781">
        <f t="shared" si="26"/>
        <v>0</v>
      </c>
      <c r="AI50" s="782">
        <f t="shared" si="27"/>
        <v>0</v>
      </c>
      <c r="AJ50" s="781">
        <f t="shared" si="28"/>
        <v>0</v>
      </c>
      <c r="AK50" s="781">
        <f t="shared" si="29"/>
        <v>0</v>
      </c>
      <c r="AL50" s="781">
        <f t="shared" si="30"/>
        <v>0</v>
      </c>
      <c r="AM50" s="781">
        <f t="shared" si="31"/>
        <v>0</v>
      </c>
      <c r="AN50" s="781">
        <f t="shared" si="32"/>
        <v>0</v>
      </c>
      <c r="AO50" s="781">
        <f t="shared" si="33"/>
        <v>0</v>
      </c>
      <c r="AP50" s="781">
        <f t="shared" si="34"/>
        <v>0</v>
      </c>
      <c r="AQ50" s="781">
        <f t="shared" si="35"/>
        <v>0</v>
      </c>
      <c r="AR50" s="781">
        <f t="shared" si="36"/>
        <v>0</v>
      </c>
      <c r="AS50" s="783">
        <f t="shared" si="37"/>
        <v>0</v>
      </c>
      <c r="AT50" s="917"/>
      <c r="AW50" s="832"/>
      <c r="AX50" s="833" t="s">
        <v>3042</v>
      </c>
      <c r="BM50" s="2010">
        <v>0</v>
      </c>
    </row>
    <row r="51" spans="1:65" ht="26.25" hidden="1" outlineLevel="1" thickBot="1" x14ac:dyDescent="0.3">
      <c r="A51" s="784"/>
      <c r="B51" s="904">
        <f t="shared" si="20"/>
        <v>42</v>
      </c>
      <c r="C51" s="170" t="str">
        <f t="shared" si="18"/>
        <v>13TN</v>
      </c>
      <c r="D51" s="557"/>
      <c r="E51" s="170"/>
      <c r="F51" s="170">
        <v>13</v>
      </c>
      <c r="G51" s="2007" t="s">
        <v>832</v>
      </c>
      <c r="H51" s="1926"/>
      <c r="I51" s="2008" t="s">
        <v>1323</v>
      </c>
      <c r="J51" s="1926"/>
      <c r="K51" s="1926"/>
      <c r="L51" s="170"/>
      <c r="M51" s="2009"/>
      <c r="N51" s="2010">
        <v>1</v>
      </c>
      <c r="O51" s="773">
        <f t="shared" si="47"/>
        <v>0</v>
      </c>
      <c r="P51" s="2008" t="s">
        <v>39</v>
      </c>
      <c r="Q51" s="2008" t="s">
        <v>39</v>
      </c>
      <c r="R51" s="2011" t="s">
        <v>73</v>
      </c>
      <c r="S51" s="912">
        <f>SUMIF('Data Input sheet'!$B$118:$B$180,R51,'Data Input sheet'!$D$118:$D$180)</f>
        <v>119</v>
      </c>
      <c r="T51" s="2685">
        <f t="shared" si="48"/>
        <v>0</v>
      </c>
      <c r="U51" s="2013">
        <v>0</v>
      </c>
      <c r="V51" s="778">
        <f t="shared" si="19"/>
        <v>0</v>
      </c>
      <c r="W51" s="2010">
        <v>0</v>
      </c>
      <c r="X51" s="779"/>
      <c r="Y51" s="2012">
        <v>400</v>
      </c>
      <c r="Z51" s="780">
        <f t="shared" si="49"/>
        <v>400</v>
      </c>
      <c r="AA51" s="2007"/>
      <c r="AB51" s="2007"/>
      <c r="AC51" s="765"/>
      <c r="AD51" s="781">
        <f t="shared" si="22"/>
        <v>0</v>
      </c>
      <c r="AE51" s="778">
        <f t="shared" si="23"/>
        <v>0</v>
      </c>
      <c r="AF51" s="781">
        <f t="shared" si="24"/>
        <v>0</v>
      </c>
      <c r="AG51" s="781">
        <f t="shared" si="25"/>
        <v>0</v>
      </c>
      <c r="AH51" s="781">
        <f t="shared" si="26"/>
        <v>0</v>
      </c>
      <c r="AI51" s="782">
        <f t="shared" si="27"/>
        <v>0</v>
      </c>
      <c r="AJ51" s="781">
        <f t="shared" si="28"/>
        <v>0</v>
      </c>
      <c r="AK51" s="781">
        <f t="shared" si="29"/>
        <v>0</v>
      </c>
      <c r="AL51" s="781">
        <f t="shared" si="30"/>
        <v>0</v>
      </c>
      <c r="AM51" s="781">
        <f t="shared" si="31"/>
        <v>0</v>
      </c>
      <c r="AN51" s="781">
        <f t="shared" si="32"/>
        <v>0</v>
      </c>
      <c r="AO51" s="781">
        <f t="shared" si="33"/>
        <v>0</v>
      </c>
      <c r="AP51" s="781">
        <f t="shared" si="34"/>
        <v>0</v>
      </c>
      <c r="AQ51" s="781">
        <f t="shared" si="35"/>
        <v>0</v>
      </c>
      <c r="AR51" s="781">
        <f t="shared" si="36"/>
        <v>0</v>
      </c>
      <c r="AS51" s="783">
        <f t="shared" si="37"/>
        <v>0</v>
      </c>
      <c r="AT51" s="917"/>
      <c r="AW51" s="832"/>
      <c r="AX51" s="833" t="s">
        <v>3042</v>
      </c>
      <c r="BM51" s="2010">
        <v>0</v>
      </c>
    </row>
    <row r="52" spans="1:65" ht="15.75" hidden="1" outlineLevel="1" thickBot="1" x14ac:dyDescent="0.3">
      <c r="A52" s="784"/>
      <c r="B52" s="904">
        <f t="shared" si="20"/>
        <v>43</v>
      </c>
      <c r="C52" s="170" t="str">
        <f t="shared" si="18"/>
        <v>0CY</v>
      </c>
      <c r="D52" s="557"/>
      <c r="E52" s="170"/>
      <c r="F52" s="170">
        <v>0</v>
      </c>
      <c r="G52" s="2007" t="s">
        <v>96</v>
      </c>
      <c r="H52" s="1926"/>
      <c r="I52" s="2008" t="s">
        <v>671</v>
      </c>
      <c r="J52" s="1926"/>
      <c r="K52" s="1926"/>
      <c r="L52" s="170"/>
      <c r="M52" s="2009">
        <v>0</v>
      </c>
      <c r="N52" s="2010">
        <v>1</v>
      </c>
      <c r="O52" s="773">
        <f t="shared" si="47"/>
        <v>0</v>
      </c>
      <c r="P52" s="2008" t="s">
        <v>39</v>
      </c>
      <c r="Q52" s="2008" t="s">
        <v>39</v>
      </c>
      <c r="R52" s="2011" t="s">
        <v>73</v>
      </c>
      <c r="S52" s="912">
        <f>SUMIF('Data Input sheet'!$B$118:$B$180,R52,'Data Input sheet'!$D$118:$D$180)</f>
        <v>119</v>
      </c>
      <c r="T52" s="2685">
        <f t="shared" si="48"/>
        <v>0</v>
      </c>
      <c r="U52" s="2013">
        <v>0</v>
      </c>
      <c r="V52" s="778">
        <f t="shared" si="19"/>
        <v>0</v>
      </c>
      <c r="W52" s="2010">
        <v>0</v>
      </c>
      <c r="X52" s="779"/>
      <c r="Y52" s="2012"/>
      <c r="Z52" s="780">
        <f t="shared" si="49"/>
        <v>0</v>
      </c>
      <c r="AA52" s="2007"/>
      <c r="AB52" s="2007"/>
      <c r="AC52" s="765"/>
      <c r="AD52" s="781">
        <f t="shared" si="22"/>
        <v>0</v>
      </c>
      <c r="AE52" s="778">
        <f t="shared" si="23"/>
        <v>0</v>
      </c>
      <c r="AF52" s="781">
        <f t="shared" si="24"/>
        <v>0</v>
      </c>
      <c r="AG52" s="781">
        <f t="shared" si="25"/>
        <v>0</v>
      </c>
      <c r="AH52" s="781">
        <f t="shared" si="26"/>
        <v>0</v>
      </c>
      <c r="AI52" s="782">
        <f t="shared" si="27"/>
        <v>0</v>
      </c>
      <c r="AJ52" s="781">
        <f t="shared" si="28"/>
        <v>0</v>
      </c>
      <c r="AK52" s="781">
        <f t="shared" si="29"/>
        <v>0</v>
      </c>
      <c r="AL52" s="781">
        <f t="shared" si="30"/>
        <v>0</v>
      </c>
      <c r="AM52" s="781">
        <f t="shared" si="31"/>
        <v>0</v>
      </c>
      <c r="AN52" s="781">
        <f t="shared" si="32"/>
        <v>0</v>
      </c>
      <c r="AO52" s="781">
        <f t="shared" si="33"/>
        <v>0</v>
      </c>
      <c r="AP52" s="781">
        <f t="shared" si="34"/>
        <v>0</v>
      </c>
      <c r="AQ52" s="781">
        <f t="shared" si="35"/>
        <v>0</v>
      </c>
      <c r="AR52" s="781">
        <f t="shared" si="36"/>
        <v>0</v>
      </c>
      <c r="AS52" s="783">
        <f t="shared" si="37"/>
        <v>0</v>
      </c>
      <c r="AT52" s="917"/>
      <c r="AW52" s="832"/>
      <c r="AX52" s="833" t="s">
        <v>3030</v>
      </c>
      <c r="BM52" s="2010">
        <v>0</v>
      </c>
    </row>
    <row r="53" spans="1:65" ht="15.75" hidden="1" outlineLevel="1" thickBot="1" x14ac:dyDescent="0.3">
      <c r="A53" s="784"/>
      <c r="B53" s="904">
        <f t="shared" si="20"/>
        <v>44</v>
      </c>
      <c r="C53" s="170" t="str">
        <f t="shared" si="18"/>
        <v>14CY</v>
      </c>
      <c r="D53" s="557"/>
      <c r="E53" s="170"/>
      <c r="F53" s="170">
        <v>14</v>
      </c>
      <c r="G53" s="2007" t="s">
        <v>3505</v>
      </c>
      <c r="H53" s="1926"/>
      <c r="I53" s="2008" t="s">
        <v>671</v>
      </c>
      <c r="J53" s="1926"/>
      <c r="K53" s="1926"/>
      <c r="L53" s="170"/>
      <c r="M53" s="2009">
        <v>0.5</v>
      </c>
      <c r="N53" s="2010">
        <v>1</v>
      </c>
      <c r="O53" s="773">
        <f t="shared" si="47"/>
        <v>0.5</v>
      </c>
      <c r="P53" s="2008" t="s">
        <v>39</v>
      </c>
      <c r="Q53" s="2008" t="s">
        <v>39</v>
      </c>
      <c r="R53" s="2011" t="s">
        <v>73</v>
      </c>
      <c r="S53" s="912">
        <f>SUMIF('Data Input sheet'!$B$118:$B$180,R53,'Data Input sheet'!$D$118:$D$180)</f>
        <v>119</v>
      </c>
      <c r="T53" s="2685">
        <f t="shared" si="48"/>
        <v>59.5</v>
      </c>
      <c r="U53" s="2013">
        <v>85</v>
      </c>
      <c r="V53" s="778">
        <f t="shared" si="19"/>
        <v>43</v>
      </c>
      <c r="W53" s="2010">
        <v>0</v>
      </c>
      <c r="X53" s="779"/>
      <c r="Y53" s="2012"/>
      <c r="Z53" s="780">
        <f t="shared" si="49"/>
        <v>102.5</v>
      </c>
      <c r="AA53" s="2007"/>
      <c r="AB53" s="2007"/>
      <c r="AC53" s="765"/>
      <c r="AD53" s="781">
        <f t="shared" si="22"/>
        <v>0</v>
      </c>
      <c r="AE53" s="778">
        <f t="shared" si="23"/>
        <v>0</v>
      </c>
      <c r="AF53" s="781">
        <f t="shared" si="24"/>
        <v>0</v>
      </c>
      <c r="AG53" s="781">
        <f t="shared" si="25"/>
        <v>0</v>
      </c>
      <c r="AH53" s="781">
        <f t="shared" si="26"/>
        <v>0</v>
      </c>
      <c r="AI53" s="782">
        <f t="shared" si="27"/>
        <v>0</v>
      </c>
      <c r="AJ53" s="781">
        <f t="shared" si="28"/>
        <v>0</v>
      </c>
      <c r="AK53" s="781">
        <f t="shared" si="29"/>
        <v>0</v>
      </c>
      <c r="AL53" s="781">
        <f t="shared" si="30"/>
        <v>0</v>
      </c>
      <c r="AM53" s="781">
        <f t="shared" si="31"/>
        <v>0</v>
      </c>
      <c r="AN53" s="781">
        <f t="shared" si="32"/>
        <v>0</v>
      </c>
      <c r="AO53" s="781">
        <f t="shared" si="33"/>
        <v>0</v>
      </c>
      <c r="AP53" s="781">
        <f t="shared" si="34"/>
        <v>0</v>
      </c>
      <c r="AQ53" s="781">
        <f t="shared" si="35"/>
        <v>0</v>
      </c>
      <c r="AR53" s="781">
        <f t="shared" si="36"/>
        <v>0</v>
      </c>
      <c r="AS53" s="783">
        <f t="shared" si="37"/>
        <v>0</v>
      </c>
      <c r="AT53" s="917"/>
      <c r="AW53" s="832"/>
      <c r="AX53" s="833" t="s">
        <v>3030</v>
      </c>
      <c r="BM53" s="2010">
        <v>0</v>
      </c>
    </row>
    <row r="54" spans="1:65" ht="26.25" hidden="1" outlineLevel="1" thickBot="1" x14ac:dyDescent="0.3">
      <c r="A54" s="784"/>
      <c r="B54" s="904">
        <f t="shared" si="20"/>
        <v>45</v>
      </c>
      <c r="C54" s="170" t="str">
        <f t="shared" si="18"/>
        <v>14CY</v>
      </c>
      <c r="D54" s="557"/>
      <c r="E54" s="170"/>
      <c r="F54" s="170">
        <v>14</v>
      </c>
      <c r="G54" s="2007" t="s">
        <v>3508</v>
      </c>
      <c r="H54" s="1926"/>
      <c r="I54" s="2008" t="s">
        <v>671</v>
      </c>
      <c r="J54" s="1926"/>
      <c r="K54" s="1926"/>
      <c r="L54" s="170"/>
      <c r="M54" s="2009">
        <v>0.5</v>
      </c>
      <c r="N54" s="2010">
        <v>1</v>
      </c>
      <c r="O54" s="773">
        <f t="shared" si="47"/>
        <v>0.5</v>
      </c>
      <c r="P54" s="2008" t="s">
        <v>39</v>
      </c>
      <c r="Q54" s="2008" t="s">
        <v>39</v>
      </c>
      <c r="R54" s="2011" t="s">
        <v>73</v>
      </c>
      <c r="S54" s="912">
        <f>SUMIF('Data Input sheet'!$B$118:$B$180,R54,'Data Input sheet'!$D$118:$D$180)</f>
        <v>119</v>
      </c>
      <c r="T54" s="2685">
        <f t="shared" si="48"/>
        <v>59.5</v>
      </c>
      <c r="U54" s="2013">
        <v>85</v>
      </c>
      <c r="V54" s="778">
        <f t="shared" si="19"/>
        <v>43</v>
      </c>
      <c r="W54" s="2010">
        <v>35</v>
      </c>
      <c r="X54" s="779"/>
      <c r="Y54" s="2012"/>
      <c r="Z54" s="780">
        <f t="shared" si="49"/>
        <v>137.5</v>
      </c>
      <c r="AA54" s="2007"/>
      <c r="AB54" s="2007"/>
      <c r="AC54" s="765"/>
      <c r="AD54" s="781">
        <f t="shared" si="22"/>
        <v>0</v>
      </c>
      <c r="AE54" s="778">
        <f t="shared" si="23"/>
        <v>0</v>
      </c>
      <c r="AF54" s="781">
        <f t="shared" si="24"/>
        <v>0</v>
      </c>
      <c r="AG54" s="781">
        <f t="shared" si="25"/>
        <v>0</v>
      </c>
      <c r="AH54" s="781">
        <f t="shared" si="26"/>
        <v>0</v>
      </c>
      <c r="AI54" s="782">
        <f t="shared" si="27"/>
        <v>0</v>
      </c>
      <c r="AJ54" s="781">
        <f t="shared" si="28"/>
        <v>0</v>
      </c>
      <c r="AK54" s="781">
        <f t="shared" si="29"/>
        <v>0</v>
      </c>
      <c r="AL54" s="781">
        <f t="shared" si="30"/>
        <v>0</v>
      </c>
      <c r="AM54" s="781">
        <f t="shared" si="31"/>
        <v>0</v>
      </c>
      <c r="AN54" s="781">
        <f t="shared" si="32"/>
        <v>0</v>
      </c>
      <c r="AO54" s="781">
        <f t="shared" si="33"/>
        <v>0</v>
      </c>
      <c r="AP54" s="781">
        <f t="shared" si="34"/>
        <v>0</v>
      </c>
      <c r="AQ54" s="781">
        <f t="shared" si="35"/>
        <v>0</v>
      </c>
      <c r="AR54" s="781">
        <f t="shared" si="36"/>
        <v>0</v>
      </c>
      <c r="AS54" s="783">
        <f t="shared" si="37"/>
        <v>0</v>
      </c>
      <c r="AT54" s="917"/>
      <c r="AW54" s="832"/>
      <c r="AX54" s="833" t="s">
        <v>3043</v>
      </c>
      <c r="BM54" s="2010">
        <v>35</v>
      </c>
    </row>
    <row r="55" spans="1:65" ht="15.75" hidden="1" outlineLevel="1" thickBot="1" x14ac:dyDescent="0.3">
      <c r="A55" s="784"/>
      <c r="B55" s="904">
        <f t="shared" si="20"/>
        <v>46</v>
      </c>
      <c r="C55" s="170" t="str">
        <f t="shared" si="18"/>
        <v>14CY</v>
      </c>
      <c r="D55" s="557"/>
      <c r="E55" s="170"/>
      <c r="F55" s="170">
        <v>14</v>
      </c>
      <c r="G55" s="2007"/>
      <c r="H55" s="2008"/>
      <c r="I55" s="2008" t="s">
        <v>671</v>
      </c>
      <c r="J55" s="1926"/>
      <c r="K55" s="1926"/>
      <c r="L55" s="170"/>
      <c r="M55" s="2009"/>
      <c r="N55" s="2010">
        <v>1</v>
      </c>
      <c r="O55" s="773">
        <f t="shared" si="47"/>
        <v>0</v>
      </c>
      <c r="P55" s="2008" t="s">
        <v>39</v>
      </c>
      <c r="Q55" s="2008" t="s">
        <v>39</v>
      </c>
      <c r="R55" s="2011" t="s">
        <v>73</v>
      </c>
      <c r="S55" s="912">
        <f>SUMIF('Data Input sheet'!$B$118:$B$180,R55,'Data Input sheet'!$D$118:$D$180)</f>
        <v>119</v>
      </c>
      <c r="T55" s="2685">
        <f t="shared" si="48"/>
        <v>0</v>
      </c>
      <c r="U55" s="2013"/>
      <c r="V55" s="778">
        <f t="shared" si="19"/>
        <v>0</v>
      </c>
      <c r="W55" s="2010"/>
      <c r="X55" s="779"/>
      <c r="Y55" s="2012"/>
      <c r="Z55" s="780">
        <f t="shared" si="49"/>
        <v>0</v>
      </c>
      <c r="AA55" s="2007"/>
      <c r="AB55" s="2007"/>
      <c r="AC55" s="765"/>
      <c r="AD55" s="781">
        <f t="shared" si="22"/>
        <v>0</v>
      </c>
      <c r="AE55" s="778">
        <f t="shared" si="23"/>
        <v>0</v>
      </c>
      <c r="AF55" s="781">
        <f t="shared" si="24"/>
        <v>0</v>
      </c>
      <c r="AG55" s="781">
        <f t="shared" si="25"/>
        <v>0</v>
      </c>
      <c r="AH55" s="781">
        <f t="shared" si="26"/>
        <v>0</v>
      </c>
      <c r="AI55" s="782">
        <f t="shared" si="27"/>
        <v>0</v>
      </c>
      <c r="AJ55" s="781">
        <f t="shared" si="28"/>
        <v>0</v>
      </c>
      <c r="AK55" s="781">
        <f t="shared" si="29"/>
        <v>0</v>
      </c>
      <c r="AL55" s="781">
        <f t="shared" si="30"/>
        <v>0</v>
      </c>
      <c r="AM55" s="781">
        <f t="shared" si="31"/>
        <v>0</v>
      </c>
      <c r="AN55" s="781">
        <f t="shared" si="32"/>
        <v>0</v>
      </c>
      <c r="AO55" s="781">
        <f t="shared" si="33"/>
        <v>0</v>
      </c>
      <c r="AP55" s="781">
        <f t="shared" si="34"/>
        <v>0</v>
      </c>
      <c r="AQ55" s="781">
        <f t="shared" si="35"/>
        <v>0</v>
      </c>
      <c r="AR55" s="781">
        <f t="shared" si="36"/>
        <v>0</v>
      </c>
      <c r="AS55" s="783">
        <f t="shared" si="37"/>
        <v>0</v>
      </c>
      <c r="AT55" s="917"/>
      <c r="AW55" s="832"/>
      <c r="AX55" s="833" t="s">
        <v>3030</v>
      </c>
      <c r="BM55" s="2010">
        <v>0</v>
      </c>
    </row>
    <row r="56" spans="1:65" ht="26.25" hidden="1" outlineLevel="1" thickBot="1" x14ac:dyDescent="0.3">
      <c r="A56" s="784"/>
      <c r="B56" s="904">
        <f t="shared" si="20"/>
        <v>47</v>
      </c>
      <c r="C56" s="170" t="str">
        <f t="shared" si="18"/>
        <v>20LF</v>
      </c>
      <c r="D56" s="557"/>
      <c r="E56" s="170"/>
      <c r="F56" s="170">
        <v>20</v>
      </c>
      <c r="G56" s="2007" t="s">
        <v>833</v>
      </c>
      <c r="H56" s="1926"/>
      <c r="I56" s="2008" t="s">
        <v>728</v>
      </c>
      <c r="J56" s="1926"/>
      <c r="K56" s="1926"/>
      <c r="L56" s="170"/>
      <c r="M56" s="2009">
        <v>1</v>
      </c>
      <c r="N56" s="2010">
        <v>1</v>
      </c>
      <c r="O56" s="773">
        <f t="shared" si="47"/>
        <v>1</v>
      </c>
      <c r="P56" s="2008" t="s">
        <v>39</v>
      </c>
      <c r="Q56" s="2008" t="s">
        <v>39</v>
      </c>
      <c r="R56" s="2011" t="s">
        <v>73</v>
      </c>
      <c r="S56" s="912">
        <f>SUMIF('Data Input sheet'!$B$118:$B$180,R56,'Data Input sheet'!$D$118:$D$180)</f>
        <v>119</v>
      </c>
      <c r="T56" s="2685">
        <f t="shared" si="48"/>
        <v>119</v>
      </c>
      <c r="U56" s="2013">
        <v>22</v>
      </c>
      <c r="V56" s="778">
        <f t="shared" si="19"/>
        <v>22</v>
      </c>
      <c r="W56" s="2010">
        <v>207</v>
      </c>
      <c r="X56" s="779"/>
      <c r="Y56" s="2012">
        <v>26</v>
      </c>
      <c r="Z56" s="780">
        <f t="shared" si="49"/>
        <v>374</v>
      </c>
      <c r="AA56" s="2007"/>
      <c r="AB56" s="2007"/>
      <c r="AC56" s="765"/>
      <c r="AD56" s="781">
        <f t="shared" si="22"/>
        <v>0</v>
      </c>
      <c r="AE56" s="778">
        <f t="shared" si="23"/>
        <v>0</v>
      </c>
      <c r="AF56" s="781">
        <f t="shared" si="24"/>
        <v>0</v>
      </c>
      <c r="AG56" s="781">
        <f t="shared" si="25"/>
        <v>0</v>
      </c>
      <c r="AH56" s="781">
        <f t="shared" si="26"/>
        <v>0</v>
      </c>
      <c r="AI56" s="782">
        <f t="shared" si="27"/>
        <v>0</v>
      </c>
      <c r="AJ56" s="781">
        <f t="shared" si="28"/>
        <v>0</v>
      </c>
      <c r="AK56" s="781">
        <f t="shared" si="29"/>
        <v>0</v>
      </c>
      <c r="AL56" s="781">
        <f t="shared" si="30"/>
        <v>0</v>
      </c>
      <c r="AM56" s="781">
        <f t="shared" si="31"/>
        <v>0</v>
      </c>
      <c r="AN56" s="781">
        <f t="shared" si="32"/>
        <v>0</v>
      </c>
      <c r="AO56" s="781">
        <f t="shared" si="33"/>
        <v>0</v>
      </c>
      <c r="AP56" s="781">
        <f t="shared" si="34"/>
        <v>0</v>
      </c>
      <c r="AQ56" s="781">
        <f t="shared" si="35"/>
        <v>0</v>
      </c>
      <c r="AR56" s="781">
        <f t="shared" si="36"/>
        <v>0</v>
      </c>
      <c r="AS56" s="783">
        <f t="shared" si="37"/>
        <v>0</v>
      </c>
      <c r="AT56" s="917"/>
      <c r="AW56" s="832"/>
      <c r="AX56" s="833" t="s">
        <v>3044</v>
      </c>
      <c r="BM56" s="2010">
        <v>207</v>
      </c>
    </row>
    <row r="57" spans="1:65" ht="26.25" hidden="1" outlineLevel="1" thickBot="1" x14ac:dyDescent="0.3">
      <c r="A57" s="784"/>
      <c r="B57" s="904">
        <f t="shared" si="20"/>
        <v>48</v>
      </c>
      <c r="C57" s="170" t="str">
        <f t="shared" si="18"/>
        <v>20LF</v>
      </c>
      <c r="D57" s="557"/>
      <c r="E57" s="170"/>
      <c r="F57" s="170">
        <v>20</v>
      </c>
      <c r="G57" s="2007" t="s">
        <v>834</v>
      </c>
      <c r="H57" s="1926"/>
      <c r="I57" s="2008" t="s">
        <v>728</v>
      </c>
      <c r="J57" s="1926"/>
      <c r="K57" s="1926"/>
      <c r="L57" s="170"/>
      <c r="M57" s="2009">
        <v>1.3</v>
      </c>
      <c r="N57" s="2010">
        <v>1</v>
      </c>
      <c r="O57" s="773">
        <f t="shared" si="47"/>
        <v>1.3</v>
      </c>
      <c r="P57" s="2008" t="s">
        <v>39</v>
      </c>
      <c r="Q57" s="2008" t="s">
        <v>39</v>
      </c>
      <c r="R57" s="2011" t="s">
        <v>73</v>
      </c>
      <c r="S57" s="912">
        <f>SUMIF('Data Input sheet'!$B$118:$B$180,R57,'Data Input sheet'!$D$118:$D$180)</f>
        <v>119</v>
      </c>
      <c r="T57" s="2685">
        <f t="shared" si="48"/>
        <v>154.70000000000002</v>
      </c>
      <c r="U57" s="2013">
        <v>22</v>
      </c>
      <c r="V57" s="778">
        <f t="shared" si="19"/>
        <v>29</v>
      </c>
      <c r="W57" s="2010">
        <v>232</v>
      </c>
      <c r="X57" s="779"/>
      <c r="Y57" s="2012">
        <v>26</v>
      </c>
      <c r="Z57" s="780">
        <f t="shared" si="49"/>
        <v>441.70000000000005</v>
      </c>
      <c r="AA57" s="2007"/>
      <c r="AB57" s="2007"/>
      <c r="AC57" s="765"/>
      <c r="AD57" s="781">
        <f t="shared" si="22"/>
        <v>0</v>
      </c>
      <c r="AE57" s="778">
        <f t="shared" si="23"/>
        <v>0</v>
      </c>
      <c r="AF57" s="781">
        <f t="shared" si="24"/>
        <v>0</v>
      </c>
      <c r="AG57" s="781">
        <f t="shared" si="25"/>
        <v>0</v>
      </c>
      <c r="AH57" s="781">
        <f t="shared" si="26"/>
        <v>0</v>
      </c>
      <c r="AI57" s="782">
        <f t="shared" si="27"/>
        <v>0</v>
      </c>
      <c r="AJ57" s="781">
        <f t="shared" si="28"/>
        <v>0</v>
      </c>
      <c r="AK57" s="781">
        <f t="shared" si="29"/>
        <v>0</v>
      </c>
      <c r="AL57" s="781">
        <f t="shared" si="30"/>
        <v>0</v>
      </c>
      <c r="AM57" s="781">
        <f t="shared" si="31"/>
        <v>0</v>
      </c>
      <c r="AN57" s="781">
        <f t="shared" si="32"/>
        <v>0</v>
      </c>
      <c r="AO57" s="781">
        <f t="shared" si="33"/>
        <v>0</v>
      </c>
      <c r="AP57" s="781">
        <f t="shared" si="34"/>
        <v>0</v>
      </c>
      <c r="AQ57" s="781">
        <f t="shared" si="35"/>
        <v>0</v>
      </c>
      <c r="AR57" s="781">
        <f t="shared" si="36"/>
        <v>0</v>
      </c>
      <c r="AS57" s="783">
        <f t="shared" si="37"/>
        <v>0</v>
      </c>
      <c r="AT57" s="917"/>
      <c r="AW57" s="832"/>
      <c r="AX57" s="833" t="s">
        <v>3044</v>
      </c>
      <c r="BM57" s="2010">
        <v>232</v>
      </c>
    </row>
    <row r="58" spans="1:65" ht="26.25" hidden="1" outlineLevel="1" thickBot="1" x14ac:dyDescent="0.3">
      <c r="A58" s="784"/>
      <c r="B58" s="904">
        <f t="shared" si="20"/>
        <v>49</v>
      </c>
      <c r="C58" s="170" t="str">
        <f t="shared" si="18"/>
        <v>20LF</v>
      </c>
      <c r="D58" s="557"/>
      <c r="E58" s="170"/>
      <c r="F58" s="170">
        <v>20</v>
      </c>
      <c r="G58" s="2007" t="s">
        <v>835</v>
      </c>
      <c r="H58" s="1926"/>
      <c r="I58" s="2008" t="s">
        <v>728</v>
      </c>
      <c r="J58" s="1926"/>
      <c r="K58" s="1926"/>
      <c r="L58" s="170"/>
      <c r="M58" s="2009">
        <v>1.5</v>
      </c>
      <c r="N58" s="2010">
        <v>1</v>
      </c>
      <c r="O58" s="773">
        <f t="shared" si="47"/>
        <v>1.5</v>
      </c>
      <c r="P58" s="2008" t="s">
        <v>39</v>
      </c>
      <c r="Q58" s="2008" t="s">
        <v>39</v>
      </c>
      <c r="R58" s="2011" t="s">
        <v>73</v>
      </c>
      <c r="S58" s="912">
        <f>SUMIF('Data Input sheet'!$B$118:$B$180,R58,'Data Input sheet'!$D$118:$D$180)</f>
        <v>119</v>
      </c>
      <c r="T58" s="2685">
        <f t="shared" si="48"/>
        <v>178.5</v>
      </c>
      <c r="U58" s="2013">
        <v>22</v>
      </c>
      <c r="V58" s="778">
        <f t="shared" si="19"/>
        <v>33</v>
      </c>
      <c r="W58" s="2010">
        <v>352.01044070400008</v>
      </c>
      <c r="X58" s="779"/>
      <c r="Y58" s="2012">
        <v>26</v>
      </c>
      <c r="Z58" s="780">
        <f t="shared" si="49"/>
        <v>589.51044070400008</v>
      </c>
      <c r="AA58" s="2007"/>
      <c r="AB58" s="2007"/>
      <c r="AC58" s="765"/>
      <c r="AD58" s="781">
        <f t="shared" si="22"/>
        <v>0</v>
      </c>
      <c r="AE58" s="778">
        <f t="shared" si="23"/>
        <v>0</v>
      </c>
      <c r="AF58" s="781">
        <f t="shared" si="24"/>
        <v>0</v>
      </c>
      <c r="AG58" s="781">
        <f t="shared" si="25"/>
        <v>0</v>
      </c>
      <c r="AH58" s="781">
        <f t="shared" si="26"/>
        <v>0</v>
      </c>
      <c r="AI58" s="782">
        <f t="shared" si="27"/>
        <v>0</v>
      </c>
      <c r="AJ58" s="781">
        <f t="shared" si="28"/>
        <v>0</v>
      </c>
      <c r="AK58" s="781">
        <f t="shared" si="29"/>
        <v>0</v>
      </c>
      <c r="AL58" s="781">
        <f t="shared" si="30"/>
        <v>0</v>
      </c>
      <c r="AM58" s="781">
        <f t="shared" si="31"/>
        <v>0</v>
      </c>
      <c r="AN58" s="781">
        <f t="shared" si="32"/>
        <v>0</v>
      </c>
      <c r="AO58" s="781">
        <f t="shared" si="33"/>
        <v>0</v>
      </c>
      <c r="AP58" s="781">
        <f t="shared" si="34"/>
        <v>0</v>
      </c>
      <c r="AQ58" s="781">
        <f t="shared" si="35"/>
        <v>0</v>
      </c>
      <c r="AR58" s="781">
        <f t="shared" si="36"/>
        <v>0</v>
      </c>
      <c r="AS58" s="783">
        <f t="shared" si="37"/>
        <v>0</v>
      </c>
      <c r="AT58" s="917"/>
      <c r="AW58" s="832"/>
      <c r="AX58" s="833" t="s">
        <v>3045</v>
      </c>
      <c r="BM58" s="2010">
        <v>352.01044070400008</v>
      </c>
    </row>
    <row r="59" spans="1:65" ht="15.75" hidden="1" outlineLevel="1" thickBot="1" x14ac:dyDescent="0.3">
      <c r="A59" s="784"/>
      <c r="B59" s="904">
        <f t="shared" si="20"/>
        <v>50</v>
      </c>
      <c r="C59" s="170" t="str">
        <f t="shared" si="18"/>
        <v>20</v>
      </c>
      <c r="D59" s="557"/>
      <c r="E59" s="170"/>
      <c r="F59" s="170">
        <v>20</v>
      </c>
      <c r="G59" s="2007"/>
      <c r="H59" s="2008"/>
      <c r="I59" s="2008"/>
      <c r="J59" s="1926"/>
      <c r="K59" s="1926"/>
      <c r="L59" s="170"/>
      <c r="M59" s="2009"/>
      <c r="N59" s="2010">
        <v>1</v>
      </c>
      <c r="O59" s="773">
        <f t="shared" si="47"/>
        <v>0</v>
      </c>
      <c r="P59" s="2008" t="s">
        <v>39</v>
      </c>
      <c r="Q59" s="2008" t="s">
        <v>39</v>
      </c>
      <c r="R59" s="2011" t="s">
        <v>73</v>
      </c>
      <c r="S59" s="912">
        <f>SUMIF('Data Input sheet'!$B$118:$B$180,R59,'Data Input sheet'!$D$118:$D$180)</f>
        <v>119</v>
      </c>
      <c r="T59" s="2685">
        <f t="shared" si="48"/>
        <v>0</v>
      </c>
      <c r="U59" s="2013">
        <v>0</v>
      </c>
      <c r="V59" s="778">
        <f t="shared" si="19"/>
        <v>0</v>
      </c>
      <c r="W59" s="2010">
        <v>0</v>
      </c>
      <c r="X59" s="779"/>
      <c r="Y59" s="2012">
        <v>0</v>
      </c>
      <c r="Z59" s="780">
        <f t="shared" si="49"/>
        <v>0</v>
      </c>
      <c r="AA59" s="2007"/>
      <c r="AB59" s="2007"/>
      <c r="AC59" s="765"/>
      <c r="AD59" s="781">
        <f t="shared" si="22"/>
        <v>0</v>
      </c>
      <c r="AE59" s="778">
        <f t="shared" si="23"/>
        <v>0</v>
      </c>
      <c r="AF59" s="781">
        <f t="shared" si="24"/>
        <v>0</v>
      </c>
      <c r="AG59" s="781">
        <f t="shared" si="25"/>
        <v>0</v>
      </c>
      <c r="AH59" s="781">
        <f t="shared" si="26"/>
        <v>0</v>
      </c>
      <c r="AI59" s="782">
        <f t="shared" si="27"/>
        <v>0</v>
      </c>
      <c r="AJ59" s="781">
        <f t="shared" si="28"/>
        <v>0</v>
      </c>
      <c r="AK59" s="781">
        <f t="shared" si="29"/>
        <v>0</v>
      </c>
      <c r="AL59" s="781">
        <f t="shared" si="30"/>
        <v>0</v>
      </c>
      <c r="AM59" s="781">
        <f t="shared" si="31"/>
        <v>0</v>
      </c>
      <c r="AN59" s="781">
        <f t="shared" si="32"/>
        <v>0</v>
      </c>
      <c r="AO59" s="781">
        <f t="shared" si="33"/>
        <v>0</v>
      </c>
      <c r="AP59" s="781">
        <f t="shared" si="34"/>
        <v>0</v>
      </c>
      <c r="AQ59" s="781">
        <f t="shared" si="35"/>
        <v>0</v>
      </c>
      <c r="AR59" s="781">
        <f t="shared" si="36"/>
        <v>0</v>
      </c>
      <c r="AS59" s="783">
        <f t="shared" si="37"/>
        <v>0</v>
      </c>
      <c r="AT59" s="917"/>
      <c r="AW59" s="832"/>
      <c r="AX59" s="833" t="s">
        <v>3030</v>
      </c>
      <c r="BM59" s="2010">
        <v>0</v>
      </c>
    </row>
    <row r="60" spans="1:65" ht="15.75" hidden="1" outlineLevel="1" thickBot="1" x14ac:dyDescent="0.3">
      <c r="A60" s="784"/>
      <c r="B60" s="904">
        <f t="shared" si="20"/>
        <v>51</v>
      </c>
      <c r="C60" s="170" t="str">
        <f t="shared" si="18"/>
        <v>21EA</v>
      </c>
      <c r="D60" s="557"/>
      <c r="E60" s="170"/>
      <c r="F60" s="170">
        <v>21</v>
      </c>
      <c r="G60" s="2007" t="s">
        <v>1147</v>
      </c>
      <c r="H60" s="1926"/>
      <c r="I60" s="2008" t="s">
        <v>732</v>
      </c>
      <c r="J60" s="1926"/>
      <c r="K60" s="1926"/>
      <c r="L60" s="170"/>
      <c r="M60" s="2009">
        <v>90</v>
      </c>
      <c r="N60" s="2010">
        <v>1</v>
      </c>
      <c r="O60" s="773">
        <f t="shared" si="47"/>
        <v>90</v>
      </c>
      <c r="P60" s="2008" t="s">
        <v>39</v>
      </c>
      <c r="Q60" s="2008" t="s">
        <v>39</v>
      </c>
      <c r="R60" s="2011" t="s">
        <v>73</v>
      </c>
      <c r="S60" s="912">
        <f>SUMIF('Data Input sheet'!$B$118:$B$180,R60,'Data Input sheet'!$D$118:$D$180)</f>
        <v>119</v>
      </c>
      <c r="T60" s="2685">
        <f t="shared" si="48"/>
        <v>10710</v>
      </c>
      <c r="U60" s="2013">
        <v>22</v>
      </c>
      <c r="V60" s="778">
        <f t="shared" si="19"/>
        <v>1980</v>
      </c>
      <c r="W60" s="2010">
        <v>18000</v>
      </c>
      <c r="X60" s="779"/>
      <c r="Y60" s="2012"/>
      <c r="Z60" s="780">
        <f t="shared" si="49"/>
        <v>30690</v>
      </c>
      <c r="AA60" s="2007"/>
      <c r="AB60" s="2007"/>
      <c r="AC60" s="765"/>
      <c r="AD60" s="781">
        <f t="shared" si="22"/>
        <v>0</v>
      </c>
      <c r="AE60" s="778">
        <f t="shared" si="23"/>
        <v>0</v>
      </c>
      <c r="AF60" s="781">
        <f t="shared" si="24"/>
        <v>0</v>
      </c>
      <c r="AG60" s="781">
        <f t="shared" si="25"/>
        <v>0</v>
      </c>
      <c r="AH60" s="781">
        <f t="shared" si="26"/>
        <v>0</v>
      </c>
      <c r="AI60" s="782">
        <f t="shared" si="27"/>
        <v>0</v>
      </c>
      <c r="AJ60" s="781">
        <f t="shared" si="28"/>
        <v>0</v>
      </c>
      <c r="AK60" s="781">
        <f t="shared" si="29"/>
        <v>0</v>
      </c>
      <c r="AL60" s="781">
        <f t="shared" si="30"/>
        <v>0</v>
      </c>
      <c r="AM60" s="781">
        <f t="shared" si="31"/>
        <v>0</v>
      </c>
      <c r="AN60" s="781">
        <f t="shared" si="32"/>
        <v>0</v>
      </c>
      <c r="AO60" s="781">
        <f t="shared" si="33"/>
        <v>0</v>
      </c>
      <c r="AP60" s="781">
        <f t="shared" si="34"/>
        <v>0</v>
      </c>
      <c r="AQ60" s="781">
        <f t="shared" si="35"/>
        <v>0</v>
      </c>
      <c r="AR60" s="781">
        <f t="shared" si="36"/>
        <v>0</v>
      </c>
      <c r="AS60" s="783">
        <f t="shared" si="37"/>
        <v>0</v>
      </c>
      <c r="AT60" s="917"/>
      <c r="AW60" s="832"/>
      <c r="AX60" s="833" t="s">
        <v>3030</v>
      </c>
      <c r="BM60" s="2010">
        <v>18000</v>
      </c>
    </row>
    <row r="61" spans="1:65" ht="15.75" hidden="1" outlineLevel="1" thickBot="1" x14ac:dyDescent="0.3">
      <c r="A61" s="784"/>
      <c r="B61" s="904">
        <f t="shared" si="20"/>
        <v>52</v>
      </c>
      <c r="C61" s="170" t="str">
        <f t="shared" si="18"/>
        <v>21EA</v>
      </c>
      <c r="D61" s="557"/>
      <c r="E61" s="170"/>
      <c r="F61" s="170">
        <v>21</v>
      </c>
      <c r="G61" s="2007" t="s">
        <v>1148</v>
      </c>
      <c r="H61" s="1926"/>
      <c r="I61" s="2008" t="s">
        <v>732</v>
      </c>
      <c r="J61" s="1926"/>
      <c r="K61" s="1926"/>
      <c r="L61" s="170"/>
      <c r="M61" s="2009">
        <v>24.1</v>
      </c>
      <c r="N61" s="2010">
        <v>1</v>
      </c>
      <c r="O61" s="773">
        <f t="shared" si="47"/>
        <v>24.1</v>
      </c>
      <c r="P61" s="2008" t="s">
        <v>39</v>
      </c>
      <c r="Q61" s="2008" t="s">
        <v>39</v>
      </c>
      <c r="R61" s="2011" t="s">
        <v>73</v>
      </c>
      <c r="S61" s="912">
        <f>SUMIF('Data Input sheet'!$B$118:$B$180,R61,'Data Input sheet'!$D$118:$D$180)</f>
        <v>119</v>
      </c>
      <c r="T61" s="2685">
        <f t="shared" si="48"/>
        <v>2867.9</v>
      </c>
      <c r="U61" s="2013">
        <v>22</v>
      </c>
      <c r="V61" s="778">
        <f t="shared" si="19"/>
        <v>530</v>
      </c>
      <c r="W61" s="2010">
        <v>7000</v>
      </c>
      <c r="X61" s="779"/>
      <c r="Y61" s="2012"/>
      <c r="Z61" s="780">
        <f t="shared" si="49"/>
        <v>10397.9</v>
      </c>
      <c r="AA61" s="2007"/>
      <c r="AB61" s="2007"/>
      <c r="AC61" s="765"/>
      <c r="AD61" s="781">
        <f t="shared" si="22"/>
        <v>0</v>
      </c>
      <c r="AE61" s="778">
        <f t="shared" si="23"/>
        <v>0</v>
      </c>
      <c r="AF61" s="781">
        <f t="shared" si="24"/>
        <v>0</v>
      </c>
      <c r="AG61" s="781">
        <f t="shared" si="25"/>
        <v>0</v>
      </c>
      <c r="AH61" s="781">
        <f t="shared" si="26"/>
        <v>0</v>
      </c>
      <c r="AI61" s="782">
        <f t="shared" si="27"/>
        <v>0</v>
      </c>
      <c r="AJ61" s="781">
        <f t="shared" si="28"/>
        <v>0</v>
      </c>
      <c r="AK61" s="781">
        <f t="shared" si="29"/>
        <v>0</v>
      </c>
      <c r="AL61" s="781">
        <f t="shared" si="30"/>
        <v>0</v>
      </c>
      <c r="AM61" s="781">
        <f t="shared" si="31"/>
        <v>0</v>
      </c>
      <c r="AN61" s="781">
        <f t="shared" si="32"/>
        <v>0</v>
      </c>
      <c r="AO61" s="781">
        <f t="shared" si="33"/>
        <v>0</v>
      </c>
      <c r="AP61" s="781">
        <f t="shared" si="34"/>
        <v>0</v>
      </c>
      <c r="AQ61" s="781">
        <f t="shared" si="35"/>
        <v>0</v>
      </c>
      <c r="AR61" s="781">
        <f t="shared" si="36"/>
        <v>0</v>
      </c>
      <c r="AS61" s="783">
        <f t="shared" si="37"/>
        <v>0</v>
      </c>
      <c r="AT61" s="917"/>
      <c r="AW61" s="832"/>
      <c r="AX61" s="833" t="s">
        <v>3030</v>
      </c>
      <c r="BM61" s="2010">
        <v>7000</v>
      </c>
    </row>
    <row r="62" spans="1:65" ht="15.75" hidden="1" outlineLevel="1" thickBot="1" x14ac:dyDescent="0.3">
      <c r="A62" s="784"/>
      <c r="B62" s="904">
        <f t="shared" si="20"/>
        <v>53</v>
      </c>
      <c r="C62" s="170" t="str">
        <f t="shared" si="18"/>
        <v>20</v>
      </c>
      <c r="D62" s="557"/>
      <c r="E62" s="170"/>
      <c r="F62" s="170">
        <v>20</v>
      </c>
      <c r="G62" s="2007"/>
      <c r="H62" s="2008"/>
      <c r="I62" s="2008"/>
      <c r="J62" s="1926"/>
      <c r="K62" s="1926"/>
      <c r="L62" s="170"/>
      <c r="M62" s="2009"/>
      <c r="N62" s="2010">
        <v>1</v>
      </c>
      <c r="O62" s="773">
        <f t="shared" ref="O62" si="50">+M62*N62</f>
        <v>0</v>
      </c>
      <c r="P62" s="2008" t="s">
        <v>39</v>
      </c>
      <c r="Q62" s="2008" t="s">
        <v>39</v>
      </c>
      <c r="R62" s="2011" t="s">
        <v>73</v>
      </c>
      <c r="S62" s="912">
        <f>SUMIF('Data Input sheet'!$B$118:$B$180,R62,'Data Input sheet'!$D$118:$D$180)</f>
        <v>119</v>
      </c>
      <c r="T62" s="2685">
        <f t="shared" ref="T62" si="51">+O62*S62</f>
        <v>0</v>
      </c>
      <c r="U62" s="2013">
        <v>0</v>
      </c>
      <c r="V62" s="778">
        <f t="shared" ref="V62" si="52">ROUND(U62*O62,0)</f>
        <v>0</v>
      </c>
      <c r="W62" s="2010">
        <v>0</v>
      </c>
      <c r="X62" s="779"/>
      <c r="Y62" s="2012">
        <v>0</v>
      </c>
      <c r="Z62" s="780">
        <f t="shared" ref="Z62" si="53">T62+V62+W62+Y62</f>
        <v>0</v>
      </c>
      <c r="AA62" s="2007"/>
      <c r="AB62" s="2007"/>
      <c r="AC62" s="765"/>
      <c r="AD62" s="781">
        <f t="shared" si="22"/>
        <v>0</v>
      </c>
      <c r="AE62" s="778">
        <f t="shared" si="23"/>
        <v>0</v>
      </c>
      <c r="AF62" s="781">
        <f t="shared" si="24"/>
        <v>0</v>
      </c>
      <c r="AG62" s="781">
        <f t="shared" si="25"/>
        <v>0</v>
      </c>
      <c r="AH62" s="781">
        <f t="shared" si="26"/>
        <v>0</v>
      </c>
      <c r="AI62" s="782">
        <f t="shared" si="27"/>
        <v>0</v>
      </c>
      <c r="AJ62" s="781">
        <f t="shared" si="28"/>
        <v>0</v>
      </c>
      <c r="AK62" s="781">
        <f t="shared" si="29"/>
        <v>0</v>
      </c>
      <c r="AL62" s="781">
        <f t="shared" si="30"/>
        <v>0</v>
      </c>
      <c r="AM62" s="781">
        <f t="shared" si="31"/>
        <v>0</v>
      </c>
      <c r="AN62" s="781">
        <f t="shared" si="32"/>
        <v>0</v>
      </c>
      <c r="AO62" s="781">
        <f t="shared" si="33"/>
        <v>0</v>
      </c>
      <c r="AP62" s="781">
        <f t="shared" si="34"/>
        <v>0</v>
      </c>
      <c r="AQ62" s="781">
        <f t="shared" si="35"/>
        <v>0</v>
      </c>
      <c r="AR62" s="781">
        <f t="shared" si="36"/>
        <v>0</v>
      </c>
      <c r="AS62" s="783">
        <f t="shared" si="37"/>
        <v>0</v>
      </c>
      <c r="AT62" s="917"/>
      <c r="AW62" s="832"/>
      <c r="AX62" s="833" t="s">
        <v>3030</v>
      </c>
      <c r="BM62" s="2010">
        <v>0</v>
      </c>
    </row>
    <row r="63" spans="1:65" ht="15.75" hidden="1" outlineLevel="1" thickBot="1" x14ac:dyDescent="0.3">
      <c r="A63" s="787"/>
      <c r="B63" s="904">
        <f t="shared" si="20"/>
        <v>54</v>
      </c>
      <c r="C63" s="170" t="str">
        <f t="shared" si="18"/>
        <v>7LF</v>
      </c>
      <c r="D63" s="906"/>
      <c r="E63" s="721"/>
      <c r="F63" s="170">
        <v>7</v>
      </c>
      <c r="G63" s="2007" t="s">
        <v>1199</v>
      </c>
      <c r="H63" s="1926"/>
      <c r="I63" s="2008" t="s">
        <v>728</v>
      </c>
      <c r="J63" s="1926"/>
      <c r="K63" s="1926"/>
      <c r="L63" s="170"/>
      <c r="M63" s="2009">
        <v>0</v>
      </c>
      <c r="N63" s="2010">
        <v>1</v>
      </c>
      <c r="O63" s="773">
        <f>+M63*N63</f>
        <v>0</v>
      </c>
      <c r="P63" s="2008" t="s">
        <v>39</v>
      </c>
      <c r="Q63" s="2008" t="s">
        <v>39</v>
      </c>
      <c r="R63" s="2011" t="s">
        <v>73</v>
      </c>
      <c r="S63" s="912">
        <f>SUMIF('Data Input sheet'!$B$118:$B$180,R63,'Data Input sheet'!$D$118:$D$180)</f>
        <v>119</v>
      </c>
      <c r="T63" s="2685">
        <f>+O63*S63</f>
        <v>0</v>
      </c>
      <c r="U63" s="2013">
        <v>0</v>
      </c>
      <c r="V63" s="778">
        <f t="shared" si="19"/>
        <v>0</v>
      </c>
      <c r="W63" s="2010">
        <v>50</v>
      </c>
      <c r="X63" s="779"/>
      <c r="Y63" s="2012"/>
      <c r="Z63" s="780">
        <f>T63+V63+W63+Y63</f>
        <v>50</v>
      </c>
      <c r="AA63" s="2007"/>
      <c r="AB63" s="2007"/>
      <c r="AC63" s="765"/>
      <c r="AD63" s="781">
        <f t="shared" si="22"/>
        <v>0</v>
      </c>
      <c r="AE63" s="778">
        <f t="shared" si="23"/>
        <v>0</v>
      </c>
      <c r="AF63" s="781">
        <f t="shared" si="24"/>
        <v>0</v>
      </c>
      <c r="AG63" s="781">
        <f t="shared" si="25"/>
        <v>0</v>
      </c>
      <c r="AH63" s="781">
        <f t="shared" si="26"/>
        <v>0</v>
      </c>
      <c r="AI63" s="782">
        <f t="shared" si="27"/>
        <v>0</v>
      </c>
      <c r="AJ63" s="781">
        <f t="shared" si="28"/>
        <v>0</v>
      </c>
      <c r="AK63" s="781">
        <f t="shared" si="29"/>
        <v>0</v>
      </c>
      <c r="AL63" s="781">
        <f t="shared" si="30"/>
        <v>0</v>
      </c>
      <c r="AM63" s="781">
        <f t="shared" si="31"/>
        <v>0</v>
      </c>
      <c r="AN63" s="781">
        <f t="shared" si="32"/>
        <v>0</v>
      </c>
      <c r="AO63" s="781">
        <f t="shared" si="33"/>
        <v>0</v>
      </c>
      <c r="AP63" s="781">
        <f t="shared" si="34"/>
        <v>0</v>
      </c>
      <c r="AQ63" s="781">
        <f t="shared" si="35"/>
        <v>0</v>
      </c>
      <c r="AR63" s="781">
        <f t="shared" si="36"/>
        <v>0</v>
      </c>
      <c r="AS63" s="783">
        <f t="shared" si="37"/>
        <v>0</v>
      </c>
      <c r="AT63" s="917"/>
      <c r="AU63" s="721"/>
      <c r="AV63" s="721"/>
      <c r="AW63" s="832"/>
      <c r="AX63" s="833" t="s">
        <v>3030</v>
      </c>
      <c r="BM63" s="2010">
        <v>50</v>
      </c>
    </row>
    <row r="64" spans="1:65" ht="15.75" hidden="1" outlineLevel="1" thickBot="1" x14ac:dyDescent="0.3">
      <c r="A64" s="787"/>
      <c r="B64" s="904">
        <f t="shared" si="20"/>
        <v>55</v>
      </c>
      <c r="C64" s="170" t="str">
        <f t="shared" si="18"/>
        <v>7LF</v>
      </c>
      <c r="D64" s="906"/>
      <c r="E64" s="721"/>
      <c r="F64" s="170">
        <v>7</v>
      </c>
      <c r="G64" s="2007" t="s">
        <v>1201</v>
      </c>
      <c r="H64" s="1926"/>
      <c r="I64" s="2008" t="s">
        <v>728</v>
      </c>
      <c r="J64" s="1926"/>
      <c r="K64" s="1926"/>
      <c r="L64" s="170"/>
      <c r="M64" s="2009">
        <v>0</v>
      </c>
      <c r="N64" s="2010">
        <v>1</v>
      </c>
      <c r="O64" s="773">
        <f>+M64*N64</f>
        <v>0</v>
      </c>
      <c r="P64" s="2008" t="s">
        <v>39</v>
      </c>
      <c r="Q64" s="2008" t="s">
        <v>39</v>
      </c>
      <c r="R64" s="2011" t="s">
        <v>73</v>
      </c>
      <c r="S64" s="912">
        <f>SUMIF('Data Input sheet'!$B$118:$B$180,R64,'Data Input sheet'!$D$118:$D$180)</f>
        <v>119</v>
      </c>
      <c r="T64" s="2685">
        <f>+O64*S64</f>
        <v>0</v>
      </c>
      <c r="U64" s="2013">
        <v>0</v>
      </c>
      <c r="V64" s="778">
        <f t="shared" si="19"/>
        <v>0</v>
      </c>
      <c r="W64" s="2010">
        <v>75</v>
      </c>
      <c r="X64" s="779"/>
      <c r="Y64" s="2012"/>
      <c r="Z64" s="780">
        <f>T64+V64+W64+Y64</f>
        <v>75</v>
      </c>
      <c r="AA64" s="2007"/>
      <c r="AB64" s="2007"/>
      <c r="AC64" s="765"/>
      <c r="AD64" s="781">
        <f t="shared" si="22"/>
        <v>0</v>
      </c>
      <c r="AE64" s="778">
        <f t="shared" si="23"/>
        <v>0</v>
      </c>
      <c r="AF64" s="781">
        <f t="shared" si="24"/>
        <v>0</v>
      </c>
      <c r="AG64" s="781">
        <f t="shared" si="25"/>
        <v>0</v>
      </c>
      <c r="AH64" s="781">
        <f t="shared" si="26"/>
        <v>0</v>
      </c>
      <c r="AI64" s="782">
        <f t="shared" si="27"/>
        <v>0</v>
      </c>
      <c r="AJ64" s="781">
        <f t="shared" si="28"/>
        <v>0</v>
      </c>
      <c r="AK64" s="781">
        <f t="shared" si="29"/>
        <v>0</v>
      </c>
      <c r="AL64" s="781">
        <f t="shared" si="30"/>
        <v>0</v>
      </c>
      <c r="AM64" s="781">
        <f t="shared" si="31"/>
        <v>0</v>
      </c>
      <c r="AN64" s="781">
        <f t="shared" si="32"/>
        <v>0</v>
      </c>
      <c r="AO64" s="781">
        <f t="shared" si="33"/>
        <v>0</v>
      </c>
      <c r="AP64" s="781">
        <f t="shared" si="34"/>
        <v>0</v>
      </c>
      <c r="AQ64" s="781">
        <f t="shared" si="35"/>
        <v>0</v>
      </c>
      <c r="AR64" s="781">
        <f t="shared" si="36"/>
        <v>0</v>
      </c>
      <c r="AS64" s="783">
        <f t="shared" si="37"/>
        <v>0</v>
      </c>
      <c r="AT64" s="917"/>
      <c r="AU64" s="721"/>
      <c r="AV64" s="721"/>
      <c r="AW64" s="832"/>
      <c r="AX64" s="833" t="s">
        <v>3030</v>
      </c>
      <c r="BM64" s="2010">
        <v>75</v>
      </c>
    </row>
    <row r="65" spans="1:65" ht="15.75" hidden="1" outlineLevel="1" thickBot="1" x14ac:dyDescent="0.3">
      <c r="A65" s="787"/>
      <c r="B65" s="904">
        <f t="shared" si="20"/>
        <v>56</v>
      </c>
      <c r="C65" s="170" t="str">
        <f t="shared" si="18"/>
        <v>7</v>
      </c>
      <c r="D65" s="906"/>
      <c r="E65" s="721"/>
      <c r="F65" s="170">
        <v>7</v>
      </c>
      <c r="G65" s="2007" t="s">
        <v>1149</v>
      </c>
      <c r="H65" s="2008"/>
      <c r="I65" s="2008"/>
      <c r="J65" s="1926"/>
      <c r="K65" s="1926"/>
      <c r="L65" s="170"/>
      <c r="M65" s="2009"/>
      <c r="N65" s="2010">
        <v>1</v>
      </c>
      <c r="O65" s="773">
        <f>+M65*N65</f>
        <v>0</v>
      </c>
      <c r="P65" s="2008" t="s">
        <v>39</v>
      </c>
      <c r="Q65" s="2008" t="s">
        <v>39</v>
      </c>
      <c r="R65" s="2011" t="s">
        <v>73</v>
      </c>
      <c r="S65" s="912">
        <f>SUMIF('Data Input sheet'!$B$118:$B$180,R65,'Data Input sheet'!$D$118:$D$180)</f>
        <v>119</v>
      </c>
      <c r="T65" s="2685">
        <f>+O65*S65</f>
        <v>0</v>
      </c>
      <c r="U65" s="2013">
        <v>0</v>
      </c>
      <c r="V65" s="778">
        <f t="shared" si="19"/>
        <v>0</v>
      </c>
      <c r="W65" s="2010"/>
      <c r="X65" s="779"/>
      <c r="Y65" s="2012"/>
      <c r="Z65" s="780">
        <f>T65+V65+W65+Y65</f>
        <v>0</v>
      </c>
      <c r="AA65" s="2007"/>
      <c r="AB65" s="2007"/>
      <c r="AC65" s="765"/>
      <c r="AD65" s="781">
        <f t="shared" si="22"/>
        <v>0</v>
      </c>
      <c r="AE65" s="778">
        <f t="shared" si="23"/>
        <v>0</v>
      </c>
      <c r="AF65" s="781">
        <f t="shared" si="24"/>
        <v>0</v>
      </c>
      <c r="AG65" s="781">
        <f t="shared" si="25"/>
        <v>0</v>
      </c>
      <c r="AH65" s="781">
        <f t="shared" si="26"/>
        <v>0</v>
      </c>
      <c r="AI65" s="782">
        <f t="shared" si="27"/>
        <v>0</v>
      </c>
      <c r="AJ65" s="781">
        <f t="shared" si="28"/>
        <v>0</v>
      </c>
      <c r="AK65" s="781">
        <f t="shared" si="29"/>
        <v>0</v>
      </c>
      <c r="AL65" s="781">
        <f t="shared" si="30"/>
        <v>0</v>
      </c>
      <c r="AM65" s="781">
        <f t="shared" si="31"/>
        <v>0</v>
      </c>
      <c r="AN65" s="781">
        <f t="shared" si="32"/>
        <v>0</v>
      </c>
      <c r="AO65" s="781">
        <f t="shared" si="33"/>
        <v>0</v>
      </c>
      <c r="AP65" s="781">
        <f t="shared" si="34"/>
        <v>0</v>
      </c>
      <c r="AQ65" s="781">
        <f t="shared" si="35"/>
        <v>0</v>
      </c>
      <c r="AR65" s="781">
        <f t="shared" si="36"/>
        <v>0</v>
      </c>
      <c r="AS65" s="783">
        <f t="shared" si="37"/>
        <v>0</v>
      </c>
      <c r="AT65" s="917"/>
      <c r="AU65" s="721"/>
      <c r="AV65" s="721"/>
      <c r="AW65" s="832"/>
      <c r="AX65" s="833" t="s">
        <v>3030</v>
      </c>
      <c r="BM65" s="2010"/>
    </row>
    <row r="66" spans="1:65" ht="15.75" hidden="1" outlineLevel="1" thickBot="1" x14ac:dyDescent="0.3">
      <c r="A66" s="787"/>
      <c r="B66" s="904">
        <f t="shared" si="20"/>
        <v>57</v>
      </c>
      <c r="C66" s="170" t="str">
        <f t="shared" si="18"/>
        <v>7</v>
      </c>
      <c r="D66" s="906"/>
      <c r="E66" s="721"/>
      <c r="F66" s="170">
        <v>7</v>
      </c>
      <c r="G66" s="2007" t="s">
        <v>1150</v>
      </c>
      <c r="H66" s="2008"/>
      <c r="I66" s="2008"/>
      <c r="J66" s="1926"/>
      <c r="K66" s="1926"/>
      <c r="L66" s="170"/>
      <c r="M66" s="2009"/>
      <c r="N66" s="2010">
        <v>1</v>
      </c>
      <c r="O66" s="773">
        <f>+M66*N66</f>
        <v>0</v>
      </c>
      <c r="P66" s="2008" t="s">
        <v>39</v>
      </c>
      <c r="Q66" s="2008" t="s">
        <v>39</v>
      </c>
      <c r="R66" s="2011" t="s">
        <v>73</v>
      </c>
      <c r="S66" s="912">
        <f>SUMIF('Data Input sheet'!$B$118:$B$180,R66,'Data Input sheet'!$D$118:$D$180)</f>
        <v>119</v>
      </c>
      <c r="T66" s="2685">
        <f>+O66*S66</f>
        <v>0</v>
      </c>
      <c r="U66" s="2013">
        <v>0</v>
      </c>
      <c r="V66" s="778">
        <f t="shared" si="19"/>
        <v>0</v>
      </c>
      <c r="W66" s="2010"/>
      <c r="X66" s="779"/>
      <c r="Y66" s="2012"/>
      <c r="Z66" s="780">
        <f>T66+V66+W66+Y66</f>
        <v>0</v>
      </c>
      <c r="AA66" s="2007"/>
      <c r="AB66" s="2007"/>
      <c r="AC66" s="765"/>
      <c r="AD66" s="781">
        <f t="shared" si="22"/>
        <v>0</v>
      </c>
      <c r="AE66" s="778">
        <f t="shared" si="23"/>
        <v>0</v>
      </c>
      <c r="AF66" s="781">
        <f t="shared" si="24"/>
        <v>0</v>
      </c>
      <c r="AG66" s="781">
        <f t="shared" si="25"/>
        <v>0</v>
      </c>
      <c r="AH66" s="781">
        <f t="shared" si="26"/>
        <v>0</v>
      </c>
      <c r="AI66" s="782">
        <f t="shared" si="27"/>
        <v>0</v>
      </c>
      <c r="AJ66" s="781">
        <f t="shared" si="28"/>
        <v>0</v>
      </c>
      <c r="AK66" s="781">
        <f t="shared" si="29"/>
        <v>0</v>
      </c>
      <c r="AL66" s="781">
        <f t="shared" si="30"/>
        <v>0</v>
      </c>
      <c r="AM66" s="781">
        <f t="shared" si="31"/>
        <v>0</v>
      </c>
      <c r="AN66" s="781">
        <f t="shared" si="32"/>
        <v>0</v>
      </c>
      <c r="AO66" s="781">
        <f t="shared" si="33"/>
        <v>0</v>
      </c>
      <c r="AP66" s="781">
        <f t="shared" si="34"/>
        <v>0</v>
      </c>
      <c r="AQ66" s="781">
        <f t="shared" si="35"/>
        <v>0</v>
      </c>
      <c r="AR66" s="781">
        <f t="shared" si="36"/>
        <v>0</v>
      </c>
      <c r="AS66" s="783">
        <f t="shared" si="37"/>
        <v>0</v>
      </c>
      <c r="AT66" s="917"/>
      <c r="AU66" s="721"/>
      <c r="AV66" s="721"/>
      <c r="AW66" s="832"/>
      <c r="AX66" s="833" t="s">
        <v>3030</v>
      </c>
      <c r="BM66" s="2010"/>
    </row>
    <row r="67" spans="1:65" ht="15.75" hidden="1" outlineLevel="1" thickBot="1" x14ac:dyDescent="0.3">
      <c r="A67" s="784"/>
      <c r="B67" s="904">
        <f t="shared" si="20"/>
        <v>58</v>
      </c>
      <c r="C67" s="170" t="str">
        <f t="shared" si="18"/>
        <v>0</v>
      </c>
      <c r="D67" s="557"/>
      <c r="E67" s="170"/>
      <c r="F67" s="170">
        <v>0</v>
      </c>
      <c r="G67" s="2007"/>
      <c r="H67" s="2008"/>
      <c r="I67" s="2008"/>
      <c r="J67" s="1926"/>
      <c r="K67" s="1926"/>
      <c r="L67" s="170"/>
      <c r="M67" s="2009"/>
      <c r="N67" s="2010">
        <v>1</v>
      </c>
      <c r="O67" s="773">
        <f>+M67*N67</f>
        <v>0</v>
      </c>
      <c r="P67" s="2008" t="s">
        <v>39</v>
      </c>
      <c r="Q67" s="2008" t="s">
        <v>39</v>
      </c>
      <c r="R67" s="2011" t="s">
        <v>73</v>
      </c>
      <c r="S67" s="912">
        <f>SUMIF('Data Input sheet'!$B$118:$B$180,R67,'Data Input sheet'!$D$118:$D$180)</f>
        <v>119</v>
      </c>
      <c r="T67" s="2685">
        <v>0</v>
      </c>
      <c r="U67" s="2013">
        <v>0</v>
      </c>
      <c r="V67" s="778">
        <f t="shared" si="19"/>
        <v>0</v>
      </c>
      <c r="W67" s="2010"/>
      <c r="X67" s="779"/>
      <c r="Y67" s="2012"/>
      <c r="Z67" s="780">
        <f>T67+V67+W67+Y67</f>
        <v>0</v>
      </c>
      <c r="AA67" s="2007"/>
      <c r="AB67" s="2007"/>
      <c r="AC67" s="765"/>
      <c r="AD67" s="781">
        <f t="shared" si="22"/>
        <v>0</v>
      </c>
      <c r="AE67" s="778">
        <f t="shared" si="23"/>
        <v>0</v>
      </c>
      <c r="AF67" s="781">
        <f t="shared" si="24"/>
        <v>0</v>
      </c>
      <c r="AG67" s="781">
        <f t="shared" si="25"/>
        <v>0</v>
      </c>
      <c r="AH67" s="781">
        <f t="shared" si="26"/>
        <v>0</v>
      </c>
      <c r="AI67" s="782">
        <f t="shared" si="27"/>
        <v>0</v>
      </c>
      <c r="AJ67" s="781">
        <f t="shared" si="28"/>
        <v>0</v>
      </c>
      <c r="AK67" s="781">
        <f t="shared" si="29"/>
        <v>0</v>
      </c>
      <c r="AL67" s="781">
        <f t="shared" si="30"/>
        <v>0</v>
      </c>
      <c r="AM67" s="781">
        <f t="shared" si="31"/>
        <v>0</v>
      </c>
      <c r="AN67" s="781">
        <f t="shared" si="32"/>
        <v>0</v>
      </c>
      <c r="AO67" s="781">
        <f t="shared" si="33"/>
        <v>0</v>
      </c>
      <c r="AP67" s="781">
        <f t="shared" si="34"/>
        <v>0</v>
      </c>
      <c r="AQ67" s="781">
        <f t="shared" si="35"/>
        <v>0</v>
      </c>
      <c r="AR67" s="781">
        <f t="shared" si="36"/>
        <v>0</v>
      </c>
      <c r="AS67" s="783">
        <f t="shared" si="37"/>
        <v>0</v>
      </c>
      <c r="AT67" s="917"/>
      <c r="AW67" s="832"/>
      <c r="AX67" s="833" t="s">
        <v>3030</v>
      </c>
      <c r="BM67" s="2010"/>
    </row>
    <row r="68" spans="1:65" ht="15.75" hidden="1" outlineLevel="1" thickBot="1" x14ac:dyDescent="0.3">
      <c r="A68" s="787"/>
      <c r="B68" s="904">
        <f t="shared" si="20"/>
        <v>59</v>
      </c>
      <c r="C68" s="170" t="str">
        <f t="shared" si="18"/>
        <v>43EA</v>
      </c>
      <c r="D68" s="906"/>
      <c r="E68" s="721"/>
      <c r="F68" s="170">
        <v>43</v>
      </c>
      <c r="G68" s="2007" t="s">
        <v>1151</v>
      </c>
      <c r="H68" s="1926"/>
      <c r="I68" s="2008" t="s">
        <v>732</v>
      </c>
      <c r="J68" s="1926"/>
      <c r="K68" s="1926"/>
      <c r="L68" s="170"/>
      <c r="M68" s="2009"/>
      <c r="N68" s="2010">
        <v>1</v>
      </c>
      <c r="O68" s="773">
        <f t="shared" ref="O68:O75" si="54">+M68*N68</f>
        <v>0</v>
      </c>
      <c r="P68" s="2008" t="s">
        <v>39</v>
      </c>
      <c r="Q68" s="2008" t="s">
        <v>39</v>
      </c>
      <c r="R68" s="2011" t="s">
        <v>73</v>
      </c>
      <c r="S68" s="912">
        <f>SUMIF('Data Input sheet'!$B$118:$B$180,R68,'Data Input sheet'!$D$118:$D$180)</f>
        <v>119</v>
      </c>
      <c r="T68" s="2685">
        <v>0</v>
      </c>
      <c r="U68" s="2013">
        <v>0</v>
      </c>
      <c r="V68" s="778">
        <f t="shared" si="19"/>
        <v>0</v>
      </c>
      <c r="W68" s="2010">
        <v>15000</v>
      </c>
      <c r="X68" s="779"/>
      <c r="Y68" s="2012"/>
      <c r="Z68" s="780">
        <f t="shared" ref="Z68:Z75" si="55">T68+V68+W68+Y68</f>
        <v>15000</v>
      </c>
      <c r="AA68" s="2007"/>
      <c r="AB68" s="2007"/>
      <c r="AC68" s="765"/>
      <c r="AD68" s="781">
        <f t="shared" si="22"/>
        <v>0</v>
      </c>
      <c r="AE68" s="778">
        <f t="shared" si="23"/>
        <v>0</v>
      </c>
      <c r="AF68" s="781">
        <f t="shared" si="24"/>
        <v>0</v>
      </c>
      <c r="AG68" s="781">
        <f t="shared" si="25"/>
        <v>0</v>
      </c>
      <c r="AH68" s="781">
        <f t="shared" si="26"/>
        <v>0</v>
      </c>
      <c r="AI68" s="782">
        <f t="shared" si="27"/>
        <v>0</v>
      </c>
      <c r="AJ68" s="781">
        <f t="shared" si="28"/>
        <v>0</v>
      </c>
      <c r="AK68" s="781">
        <f t="shared" si="29"/>
        <v>0</v>
      </c>
      <c r="AL68" s="781">
        <f t="shared" si="30"/>
        <v>0</v>
      </c>
      <c r="AM68" s="781">
        <f t="shared" si="31"/>
        <v>0</v>
      </c>
      <c r="AN68" s="781">
        <f t="shared" si="32"/>
        <v>0</v>
      </c>
      <c r="AO68" s="781">
        <f t="shared" si="33"/>
        <v>0</v>
      </c>
      <c r="AP68" s="781">
        <f t="shared" si="34"/>
        <v>0</v>
      </c>
      <c r="AQ68" s="781">
        <f t="shared" si="35"/>
        <v>0</v>
      </c>
      <c r="AR68" s="781">
        <f t="shared" si="36"/>
        <v>0</v>
      </c>
      <c r="AS68" s="783">
        <f t="shared" si="37"/>
        <v>0</v>
      </c>
      <c r="AT68" s="917"/>
      <c r="AU68" s="721"/>
      <c r="AV68" s="721"/>
      <c r="AW68" s="832"/>
      <c r="AX68" s="833" t="s">
        <v>3030</v>
      </c>
      <c r="BM68" s="2010">
        <v>15000</v>
      </c>
    </row>
    <row r="69" spans="1:65" ht="15.75" hidden="1" outlineLevel="1" thickBot="1" x14ac:dyDescent="0.3">
      <c r="A69" s="787"/>
      <c r="B69" s="904">
        <f t="shared" si="20"/>
        <v>60</v>
      </c>
      <c r="C69" s="170" t="str">
        <f t="shared" si="18"/>
        <v>18SF</v>
      </c>
      <c r="D69" s="906"/>
      <c r="E69" s="721"/>
      <c r="F69" s="170">
        <v>18</v>
      </c>
      <c r="G69" s="2007" t="s">
        <v>1152</v>
      </c>
      <c r="H69" s="1926"/>
      <c r="I69" s="2008" t="s">
        <v>740</v>
      </c>
      <c r="J69" s="1926"/>
      <c r="K69" s="1926"/>
      <c r="L69" s="170"/>
      <c r="M69" s="2009"/>
      <c r="N69" s="2010">
        <v>1</v>
      </c>
      <c r="O69" s="773">
        <f t="shared" si="54"/>
        <v>0</v>
      </c>
      <c r="P69" s="2008" t="s">
        <v>39</v>
      </c>
      <c r="Q69" s="2008" t="s">
        <v>39</v>
      </c>
      <c r="R69" s="2011" t="s">
        <v>73</v>
      </c>
      <c r="S69" s="912">
        <f>SUMIF('Data Input sheet'!$B$118:$B$180,R69,'Data Input sheet'!$D$118:$D$180)</f>
        <v>119</v>
      </c>
      <c r="T69" s="2685">
        <v>0</v>
      </c>
      <c r="U69" s="2013">
        <v>0</v>
      </c>
      <c r="V69" s="778">
        <f t="shared" si="19"/>
        <v>0</v>
      </c>
      <c r="W69" s="2010">
        <v>80000</v>
      </c>
      <c r="X69" s="779"/>
      <c r="Y69" s="2012"/>
      <c r="Z69" s="780">
        <f t="shared" si="55"/>
        <v>80000</v>
      </c>
      <c r="AA69" s="2007"/>
      <c r="AB69" s="2007"/>
      <c r="AC69" s="765"/>
      <c r="AD69" s="781">
        <f t="shared" si="22"/>
        <v>0</v>
      </c>
      <c r="AE69" s="778">
        <f t="shared" si="23"/>
        <v>0</v>
      </c>
      <c r="AF69" s="781">
        <f t="shared" si="24"/>
        <v>0</v>
      </c>
      <c r="AG69" s="781">
        <f t="shared" si="25"/>
        <v>0</v>
      </c>
      <c r="AH69" s="781">
        <f t="shared" si="26"/>
        <v>0</v>
      </c>
      <c r="AI69" s="782">
        <f t="shared" si="27"/>
        <v>0</v>
      </c>
      <c r="AJ69" s="781">
        <f t="shared" si="28"/>
        <v>0</v>
      </c>
      <c r="AK69" s="781">
        <f t="shared" si="29"/>
        <v>0</v>
      </c>
      <c r="AL69" s="781">
        <f t="shared" si="30"/>
        <v>0</v>
      </c>
      <c r="AM69" s="781">
        <f t="shared" si="31"/>
        <v>0</v>
      </c>
      <c r="AN69" s="781">
        <f t="shared" si="32"/>
        <v>0</v>
      </c>
      <c r="AO69" s="781">
        <f t="shared" si="33"/>
        <v>0</v>
      </c>
      <c r="AP69" s="781">
        <f t="shared" si="34"/>
        <v>0</v>
      </c>
      <c r="AQ69" s="781">
        <f t="shared" si="35"/>
        <v>0</v>
      </c>
      <c r="AR69" s="781">
        <f t="shared" si="36"/>
        <v>0</v>
      </c>
      <c r="AS69" s="783">
        <f t="shared" si="37"/>
        <v>0</v>
      </c>
      <c r="AT69" s="917"/>
      <c r="AU69" s="721"/>
      <c r="AV69" s="721"/>
      <c r="AW69" s="832"/>
      <c r="AX69" s="833" t="s">
        <v>3030</v>
      </c>
      <c r="BM69" s="2010">
        <v>80000</v>
      </c>
    </row>
    <row r="70" spans="1:65" ht="15.75" hidden="1" outlineLevel="1" thickBot="1" x14ac:dyDescent="0.3">
      <c r="A70" s="784"/>
      <c r="B70" s="904">
        <f t="shared" si="20"/>
        <v>61</v>
      </c>
      <c r="C70" s="170" t="str">
        <f t="shared" si="18"/>
        <v>0</v>
      </c>
      <c r="D70" s="557"/>
      <c r="E70" s="170"/>
      <c r="F70" s="170">
        <v>0</v>
      </c>
      <c r="G70" s="2007"/>
      <c r="H70" s="2008"/>
      <c r="I70" s="2008"/>
      <c r="J70" s="1926"/>
      <c r="K70" s="1926"/>
      <c r="L70" s="170"/>
      <c r="M70" s="2009"/>
      <c r="N70" s="2010">
        <v>1</v>
      </c>
      <c r="O70" s="773">
        <f t="shared" si="54"/>
        <v>0</v>
      </c>
      <c r="P70" s="2008" t="s">
        <v>39</v>
      </c>
      <c r="Q70" s="2008" t="s">
        <v>39</v>
      </c>
      <c r="R70" s="2011" t="s">
        <v>73</v>
      </c>
      <c r="S70" s="912">
        <f>SUMIF('Data Input sheet'!$B$118:$B$180,R70,'Data Input sheet'!$D$118:$D$180)</f>
        <v>119</v>
      </c>
      <c r="T70" s="2685">
        <v>0</v>
      </c>
      <c r="U70" s="2013">
        <v>0</v>
      </c>
      <c r="V70" s="778">
        <f t="shared" si="19"/>
        <v>0</v>
      </c>
      <c r="W70" s="2010"/>
      <c r="X70" s="779"/>
      <c r="Y70" s="2012"/>
      <c r="Z70" s="780">
        <f t="shared" si="55"/>
        <v>0</v>
      </c>
      <c r="AA70" s="2007"/>
      <c r="AB70" s="2007"/>
      <c r="AC70" s="765"/>
      <c r="AD70" s="781">
        <f t="shared" si="22"/>
        <v>0</v>
      </c>
      <c r="AE70" s="778">
        <f t="shared" si="23"/>
        <v>0</v>
      </c>
      <c r="AF70" s="781">
        <f t="shared" si="24"/>
        <v>0</v>
      </c>
      <c r="AG70" s="781">
        <f t="shared" si="25"/>
        <v>0</v>
      </c>
      <c r="AH70" s="781">
        <f t="shared" si="26"/>
        <v>0</v>
      </c>
      <c r="AI70" s="782">
        <f t="shared" si="27"/>
        <v>0</v>
      </c>
      <c r="AJ70" s="781">
        <f t="shared" si="28"/>
        <v>0</v>
      </c>
      <c r="AK70" s="781">
        <f t="shared" si="29"/>
        <v>0</v>
      </c>
      <c r="AL70" s="781">
        <f t="shared" si="30"/>
        <v>0</v>
      </c>
      <c r="AM70" s="781">
        <f t="shared" si="31"/>
        <v>0</v>
      </c>
      <c r="AN70" s="781">
        <f t="shared" si="32"/>
        <v>0</v>
      </c>
      <c r="AO70" s="781">
        <f t="shared" si="33"/>
        <v>0</v>
      </c>
      <c r="AP70" s="781">
        <f t="shared" si="34"/>
        <v>0</v>
      </c>
      <c r="AQ70" s="781">
        <f t="shared" si="35"/>
        <v>0</v>
      </c>
      <c r="AR70" s="781">
        <f t="shared" si="36"/>
        <v>0</v>
      </c>
      <c r="AS70" s="783">
        <f t="shared" si="37"/>
        <v>0</v>
      </c>
      <c r="AT70" s="917"/>
      <c r="AW70" s="832"/>
      <c r="AX70" s="833" t="s">
        <v>3030</v>
      </c>
      <c r="BM70" s="2010"/>
    </row>
    <row r="71" spans="1:65" ht="26.25" hidden="1" outlineLevel="1" thickBot="1" x14ac:dyDescent="0.3">
      <c r="A71" s="787"/>
      <c r="B71" s="904">
        <f t="shared" si="20"/>
        <v>62</v>
      </c>
      <c r="C71" s="170" t="str">
        <f t="shared" si="18"/>
        <v>16LF</v>
      </c>
      <c r="D71" s="906"/>
      <c r="E71" s="170"/>
      <c r="F71" s="170">
        <v>16</v>
      </c>
      <c r="G71" s="2007" t="s">
        <v>2491</v>
      </c>
      <c r="H71" s="1926"/>
      <c r="I71" s="2008" t="s">
        <v>728</v>
      </c>
      <c r="J71" s="1926"/>
      <c r="K71" s="1926"/>
      <c r="L71" s="170"/>
      <c r="M71" s="2009"/>
      <c r="N71" s="2010">
        <v>1</v>
      </c>
      <c r="O71" s="773">
        <f t="shared" si="54"/>
        <v>0</v>
      </c>
      <c r="P71" s="2008" t="s">
        <v>39</v>
      </c>
      <c r="Q71" s="2008" t="s">
        <v>39</v>
      </c>
      <c r="R71" s="2011" t="s">
        <v>73</v>
      </c>
      <c r="S71" s="912">
        <f>SUMIF('Data Input sheet'!$B$118:$B$180,R71,'Data Input sheet'!$D$118:$D$180)</f>
        <v>119</v>
      </c>
      <c r="T71" s="2685">
        <f>+O71*S71</f>
        <v>0</v>
      </c>
      <c r="U71" s="2013">
        <v>0</v>
      </c>
      <c r="V71" s="778">
        <f>ROUND(U71*O71,0)</f>
        <v>0</v>
      </c>
      <c r="W71" s="2010">
        <v>0</v>
      </c>
      <c r="X71" s="779"/>
      <c r="Y71" s="2012">
        <v>124.38</v>
      </c>
      <c r="Z71" s="780">
        <f t="shared" si="55"/>
        <v>124.38</v>
      </c>
      <c r="AA71" s="2007"/>
      <c r="AB71" s="2007"/>
      <c r="AC71" s="765"/>
      <c r="AD71" s="781">
        <f t="shared" si="22"/>
        <v>0</v>
      </c>
      <c r="AE71" s="778">
        <f t="shared" si="23"/>
        <v>0</v>
      </c>
      <c r="AF71" s="781">
        <f t="shared" si="24"/>
        <v>0</v>
      </c>
      <c r="AG71" s="781">
        <f t="shared" si="25"/>
        <v>0</v>
      </c>
      <c r="AH71" s="781">
        <f t="shared" si="26"/>
        <v>0</v>
      </c>
      <c r="AI71" s="782">
        <f t="shared" si="27"/>
        <v>0</v>
      </c>
      <c r="AJ71" s="781">
        <f t="shared" si="28"/>
        <v>0</v>
      </c>
      <c r="AK71" s="781">
        <f t="shared" si="29"/>
        <v>0</v>
      </c>
      <c r="AL71" s="781">
        <f t="shared" si="30"/>
        <v>0</v>
      </c>
      <c r="AM71" s="781">
        <f t="shared" si="31"/>
        <v>0</v>
      </c>
      <c r="AN71" s="781">
        <f t="shared" si="32"/>
        <v>0</v>
      </c>
      <c r="AO71" s="781">
        <f t="shared" si="33"/>
        <v>0</v>
      </c>
      <c r="AP71" s="781">
        <f t="shared" si="34"/>
        <v>0</v>
      </c>
      <c r="AQ71" s="781">
        <f t="shared" si="35"/>
        <v>0</v>
      </c>
      <c r="AR71" s="781">
        <f t="shared" si="36"/>
        <v>0</v>
      </c>
      <c r="AS71" s="783">
        <f t="shared" si="37"/>
        <v>0</v>
      </c>
      <c r="AT71" s="917"/>
      <c r="AV71" s="721"/>
      <c r="AW71" s="832"/>
      <c r="AX71" s="833" t="s">
        <v>3072</v>
      </c>
      <c r="BM71" s="2010">
        <v>0</v>
      </c>
    </row>
    <row r="72" spans="1:65" ht="26.25" hidden="1" outlineLevel="1" thickBot="1" x14ac:dyDescent="0.3">
      <c r="A72" s="787"/>
      <c r="B72" s="904">
        <f t="shared" si="20"/>
        <v>63</v>
      </c>
      <c r="C72" s="170" t="str">
        <f t="shared" si="18"/>
        <v>16EA</v>
      </c>
      <c r="D72" s="906"/>
      <c r="E72" s="170"/>
      <c r="F72" s="170">
        <v>16</v>
      </c>
      <c r="G72" s="2007" t="s">
        <v>2493</v>
      </c>
      <c r="H72" s="1926"/>
      <c r="I72" s="2008" t="s">
        <v>732</v>
      </c>
      <c r="J72" s="1926"/>
      <c r="K72" s="1926"/>
      <c r="L72" s="170"/>
      <c r="M72" s="2009"/>
      <c r="N72" s="2010">
        <v>1</v>
      </c>
      <c r="O72" s="773">
        <f t="shared" si="54"/>
        <v>0</v>
      </c>
      <c r="P72" s="2008" t="s">
        <v>39</v>
      </c>
      <c r="Q72" s="2008" t="s">
        <v>39</v>
      </c>
      <c r="R72" s="2011" t="s">
        <v>73</v>
      </c>
      <c r="S72" s="912">
        <f>SUMIF('Data Input sheet'!$B$118:$B$180,R72,'Data Input sheet'!$D$118:$D$180)</f>
        <v>119</v>
      </c>
      <c r="T72" s="2685">
        <f>+O72*S72</f>
        <v>0</v>
      </c>
      <c r="U72" s="2013">
        <v>0</v>
      </c>
      <c r="V72" s="778">
        <f>ROUND(U72*O72,0)</f>
        <v>0</v>
      </c>
      <c r="W72" s="2010">
        <v>0</v>
      </c>
      <c r="X72" s="779"/>
      <c r="Y72" s="2012">
        <v>0</v>
      </c>
      <c r="Z72" s="780">
        <f t="shared" si="55"/>
        <v>0</v>
      </c>
      <c r="AA72" s="2007"/>
      <c r="AB72" s="2007"/>
      <c r="AC72" s="765"/>
      <c r="AD72" s="781">
        <f t="shared" si="22"/>
        <v>0</v>
      </c>
      <c r="AE72" s="778">
        <f t="shared" si="23"/>
        <v>0</v>
      </c>
      <c r="AF72" s="781">
        <f t="shared" si="24"/>
        <v>0</v>
      </c>
      <c r="AG72" s="781">
        <f t="shared" si="25"/>
        <v>0</v>
      </c>
      <c r="AH72" s="781">
        <f t="shared" si="26"/>
        <v>0</v>
      </c>
      <c r="AI72" s="782">
        <f t="shared" si="27"/>
        <v>0</v>
      </c>
      <c r="AJ72" s="781">
        <f t="shared" si="28"/>
        <v>0</v>
      </c>
      <c r="AK72" s="781">
        <f t="shared" si="29"/>
        <v>0</v>
      </c>
      <c r="AL72" s="781">
        <f t="shared" si="30"/>
        <v>0</v>
      </c>
      <c r="AM72" s="781">
        <f t="shared" si="31"/>
        <v>0</v>
      </c>
      <c r="AN72" s="781">
        <f t="shared" si="32"/>
        <v>0</v>
      </c>
      <c r="AO72" s="781">
        <f t="shared" si="33"/>
        <v>0</v>
      </c>
      <c r="AP72" s="781">
        <f t="shared" si="34"/>
        <v>0</v>
      </c>
      <c r="AQ72" s="781">
        <f t="shared" si="35"/>
        <v>0</v>
      </c>
      <c r="AR72" s="781">
        <f t="shared" si="36"/>
        <v>0</v>
      </c>
      <c r="AS72" s="783">
        <f t="shared" si="37"/>
        <v>0</v>
      </c>
      <c r="AT72" s="917"/>
      <c r="AV72" s="721"/>
      <c r="AW72" s="832"/>
      <c r="AX72" s="833" t="s">
        <v>3072</v>
      </c>
      <c r="BM72" s="2010">
        <v>0</v>
      </c>
    </row>
    <row r="73" spans="1:65" ht="26.25" hidden="1" outlineLevel="1" thickBot="1" x14ac:dyDescent="0.3">
      <c r="A73" s="787"/>
      <c r="B73" s="904">
        <f t="shared" si="20"/>
        <v>64</v>
      </c>
      <c r="C73" s="170" t="str">
        <f t="shared" si="18"/>
        <v>16EA</v>
      </c>
      <c r="D73" s="906"/>
      <c r="E73" s="170"/>
      <c r="F73" s="170">
        <v>16</v>
      </c>
      <c r="G73" s="2007" t="s">
        <v>2494</v>
      </c>
      <c r="H73" s="1926"/>
      <c r="I73" s="2008" t="s">
        <v>732</v>
      </c>
      <c r="J73" s="1926"/>
      <c r="K73" s="1926"/>
      <c r="L73" s="170"/>
      <c r="M73" s="2009"/>
      <c r="N73" s="2010">
        <v>1</v>
      </c>
      <c r="O73" s="773">
        <f t="shared" si="54"/>
        <v>0</v>
      </c>
      <c r="P73" s="2008" t="s">
        <v>39</v>
      </c>
      <c r="Q73" s="2008" t="s">
        <v>39</v>
      </c>
      <c r="R73" s="2011" t="s">
        <v>73</v>
      </c>
      <c r="S73" s="912">
        <f>SUMIF('Data Input sheet'!$B$118:$B$180,R73,'Data Input sheet'!$D$118:$D$180)</f>
        <v>119</v>
      </c>
      <c r="T73" s="2685">
        <f>+O73*S73</f>
        <v>0</v>
      </c>
      <c r="U73" s="2013">
        <v>0</v>
      </c>
      <c r="V73" s="778">
        <f>ROUND(U73*O73,0)</f>
        <v>0</v>
      </c>
      <c r="W73" s="2010">
        <v>0</v>
      </c>
      <c r="X73" s="779"/>
      <c r="Y73" s="2012">
        <v>0</v>
      </c>
      <c r="Z73" s="780">
        <f t="shared" si="55"/>
        <v>0</v>
      </c>
      <c r="AA73" s="2007"/>
      <c r="AB73" s="2007"/>
      <c r="AC73" s="765"/>
      <c r="AD73" s="781">
        <f t="shared" si="22"/>
        <v>0</v>
      </c>
      <c r="AE73" s="778">
        <f t="shared" si="23"/>
        <v>0</v>
      </c>
      <c r="AF73" s="781">
        <f t="shared" si="24"/>
        <v>0</v>
      </c>
      <c r="AG73" s="781">
        <f t="shared" si="25"/>
        <v>0</v>
      </c>
      <c r="AH73" s="781">
        <f t="shared" si="26"/>
        <v>0</v>
      </c>
      <c r="AI73" s="782">
        <f t="shared" si="27"/>
        <v>0</v>
      </c>
      <c r="AJ73" s="781">
        <f t="shared" si="28"/>
        <v>0</v>
      </c>
      <c r="AK73" s="781">
        <f t="shared" si="29"/>
        <v>0</v>
      </c>
      <c r="AL73" s="781">
        <f t="shared" si="30"/>
        <v>0</v>
      </c>
      <c r="AM73" s="781">
        <f t="shared" si="31"/>
        <v>0</v>
      </c>
      <c r="AN73" s="781">
        <f t="shared" si="32"/>
        <v>0</v>
      </c>
      <c r="AO73" s="781">
        <f t="shared" si="33"/>
        <v>0</v>
      </c>
      <c r="AP73" s="781">
        <f t="shared" si="34"/>
        <v>0</v>
      </c>
      <c r="AQ73" s="781">
        <f t="shared" si="35"/>
        <v>0</v>
      </c>
      <c r="AR73" s="781">
        <f t="shared" si="36"/>
        <v>0</v>
      </c>
      <c r="AS73" s="783">
        <f t="shared" si="37"/>
        <v>0</v>
      </c>
      <c r="AT73" s="917"/>
      <c r="AV73" s="721"/>
      <c r="AW73" s="832"/>
      <c r="AX73" s="833" t="s">
        <v>3072</v>
      </c>
      <c r="BM73" s="2010">
        <v>0</v>
      </c>
    </row>
    <row r="74" spans="1:65" ht="26.25" hidden="1" outlineLevel="1" thickBot="1" x14ac:dyDescent="0.3">
      <c r="A74" s="787"/>
      <c r="B74" s="904">
        <f t="shared" si="20"/>
        <v>65</v>
      </c>
      <c r="C74" s="170" t="str">
        <f t="shared" si="18"/>
        <v>16LF</v>
      </c>
      <c r="D74" s="906"/>
      <c r="E74" s="170"/>
      <c r="F74" s="170">
        <v>16</v>
      </c>
      <c r="G74" s="2007" t="s">
        <v>2492</v>
      </c>
      <c r="H74" s="1926"/>
      <c r="I74" s="2008" t="s">
        <v>728</v>
      </c>
      <c r="J74" s="1926"/>
      <c r="K74" s="1926"/>
      <c r="L74" s="170"/>
      <c r="M74" s="2009"/>
      <c r="N74" s="2010">
        <v>1</v>
      </c>
      <c r="O74" s="773">
        <f t="shared" si="54"/>
        <v>0</v>
      </c>
      <c r="P74" s="2008" t="s">
        <v>39</v>
      </c>
      <c r="Q74" s="2008" t="s">
        <v>39</v>
      </c>
      <c r="R74" s="2011" t="s">
        <v>73</v>
      </c>
      <c r="S74" s="912">
        <f>SUMIF('Data Input sheet'!$B$118:$B$180,R74,'Data Input sheet'!$D$118:$D$180)</f>
        <v>119</v>
      </c>
      <c r="T74" s="2685">
        <f>+O74*S74</f>
        <v>0</v>
      </c>
      <c r="U74" s="2013">
        <v>0</v>
      </c>
      <c r="V74" s="778">
        <f>ROUND(U74*O74,0)</f>
        <v>0</v>
      </c>
      <c r="W74" s="2010">
        <v>0</v>
      </c>
      <c r="X74" s="779"/>
      <c r="Y74" s="2012">
        <v>0</v>
      </c>
      <c r="Z74" s="780">
        <f t="shared" si="55"/>
        <v>0</v>
      </c>
      <c r="AA74" s="2007"/>
      <c r="AB74" s="2007"/>
      <c r="AC74" s="765"/>
      <c r="AD74" s="781">
        <f t="shared" si="22"/>
        <v>0</v>
      </c>
      <c r="AE74" s="778">
        <f t="shared" si="23"/>
        <v>0</v>
      </c>
      <c r="AF74" s="781">
        <f t="shared" si="24"/>
        <v>0</v>
      </c>
      <c r="AG74" s="781">
        <f t="shared" si="25"/>
        <v>0</v>
      </c>
      <c r="AH74" s="781">
        <f t="shared" si="26"/>
        <v>0</v>
      </c>
      <c r="AI74" s="782">
        <f t="shared" si="27"/>
        <v>0</v>
      </c>
      <c r="AJ74" s="781">
        <f t="shared" si="28"/>
        <v>0</v>
      </c>
      <c r="AK74" s="781">
        <f t="shared" si="29"/>
        <v>0</v>
      </c>
      <c r="AL74" s="781">
        <f t="shared" si="30"/>
        <v>0</v>
      </c>
      <c r="AM74" s="781">
        <f t="shared" si="31"/>
        <v>0</v>
      </c>
      <c r="AN74" s="781">
        <f t="shared" si="32"/>
        <v>0</v>
      </c>
      <c r="AO74" s="781">
        <f t="shared" si="33"/>
        <v>0</v>
      </c>
      <c r="AP74" s="781">
        <f t="shared" si="34"/>
        <v>0</v>
      </c>
      <c r="AQ74" s="781">
        <f t="shared" si="35"/>
        <v>0</v>
      </c>
      <c r="AR74" s="781">
        <f t="shared" si="36"/>
        <v>0</v>
      </c>
      <c r="AS74" s="783">
        <f t="shared" si="37"/>
        <v>0</v>
      </c>
      <c r="AT74" s="917"/>
      <c r="AV74" s="721"/>
      <c r="AW74" s="832"/>
      <c r="AX74" s="833" t="s">
        <v>3072</v>
      </c>
      <c r="BM74" s="2010">
        <v>0</v>
      </c>
    </row>
    <row r="75" spans="1:65" ht="26.25" hidden="1" outlineLevel="1" thickBot="1" x14ac:dyDescent="0.3">
      <c r="A75" s="787"/>
      <c r="B75" s="904">
        <f t="shared" si="20"/>
        <v>66</v>
      </c>
      <c r="C75" s="170" t="str">
        <f t="shared" ref="C75:C145" si="56">+F75&amp;I75</f>
        <v>16EA</v>
      </c>
      <c r="D75" s="906"/>
      <c r="E75" s="170"/>
      <c r="F75" s="170">
        <v>16</v>
      </c>
      <c r="G75" s="2007" t="s">
        <v>2495</v>
      </c>
      <c r="H75" s="1926"/>
      <c r="I75" s="2008" t="s">
        <v>732</v>
      </c>
      <c r="J75" s="1926"/>
      <c r="K75" s="1926"/>
      <c r="L75" s="170"/>
      <c r="M75" s="2009"/>
      <c r="N75" s="2010">
        <v>1</v>
      </c>
      <c r="O75" s="773">
        <f t="shared" si="54"/>
        <v>0</v>
      </c>
      <c r="P75" s="2008" t="s">
        <v>39</v>
      </c>
      <c r="Q75" s="2008" t="s">
        <v>39</v>
      </c>
      <c r="R75" s="2011" t="s">
        <v>73</v>
      </c>
      <c r="S75" s="912">
        <f>SUMIF('Data Input sheet'!$B$118:$B$180,R75,'Data Input sheet'!$D$118:$D$180)</f>
        <v>119</v>
      </c>
      <c r="T75" s="2685">
        <f>+O75*S75</f>
        <v>0</v>
      </c>
      <c r="U75" s="2013">
        <v>0</v>
      </c>
      <c r="V75" s="778">
        <f>ROUND(U75*O75,0)</f>
        <v>0</v>
      </c>
      <c r="W75" s="2010">
        <v>0</v>
      </c>
      <c r="X75" s="779"/>
      <c r="Y75" s="2012">
        <v>0</v>
      </c>
      <c r="Z75" s="780">
        <f t="shared" si="55"/>
        <v>0</v>
      </c>
      <c r="AA75" s="2007"/>
      <c r="AB75" s="2007"/>
      <c r="AC75" s="765"/>
      <c r="AD75" s="781">
        <f t="shared" si="22"/>
        <v>0</v>
      </c>
      <c r="AE75" s="778">
        <f t="shared" si="23"/>
        <v>0</v>
      </c>
      <c r="AF75" s="781">
        <f t="shared" si="24"/>
        <v>0</v>
      </c>
      <c r="AG75" s="781">
        <f t="shared" si="25"/>
        <v>0</v>
      </c>
      <c r="AH75" s="781">
        <f t="shared" si="26"/>
        <v>0</v>
      </c>
      <c r="AI75" s="782">
        <f t="shared" si="27"/>
        <v>0</v>
      </c>
      <c r="AJ75" s="781">
        <f t="shared" si="28"/>
        <v>0</v>
      </c>
      <c r="AK75" s="781">
        <f t="shared" si="29"/>
        <v>0</v>
      </c>
      <c r="AL75" s="781">
        <f t="shared" si="30"/>
        <v>0</v>
      </c>
      <c r="AM75" s="781">
        <f t="shared" si="31"/>
        <v>0</v>
      </c>
      <c r="AN75" s="781">
        <f t="shared" si="32"/>
        <v>0</v>
      </c>
      <c r="AO75" s="781">
        <f t="shared" si="33"/>
        <v>0</v>
      </c>
      <c r="AP75" s="781">
        <f t="shared" si="34"/>
        <v>0</v>
      </c>
      <c r="AQ75" s="781">
        <f t="shared" si="35"/>
        <v>0</v>
      </c>
      <c r="AR75" s="781">
        <f t="shared" si="36"/>
        <v>0</v>
      </c>
      <c r="AS75" s="783">
        <f t="shared" si="37"/>
        <v>0</v>
      </c>
      <c r="AT75" s="917"/>
      <c r="AV75" s="721"/>
      <c r="AW75" s="832"/>
      <c r="AX75" s="833" t="s">
        <v>3072</v>
      </c>
      <c r="BM75" s="2010">
        <v>0</v>
      </c>
    </row>
    <row r="76" spans="1:65" ht="15.75" hidden="1" outlineLevel="1" thickBot="1" x14ac:dyDescent="0.3">
      <c r="A76" s="784"/>
      <c r="B76" s="904">
        <f t="shared" ref="B76:B146" si="57">+B75+1</f>
        <v>67</v>
      </c>
      <c r="C76" s="170" t="str">
        <f t="shared" si="56"/>
        <v>0</v>
      </c>
      <c r="D76" s="557"/>
      <c r="E76" s="170"/>
      <c r="F76" s="170">
        <v>0</v>
      </c>
      <c r="G76" s="2007"/>
      <c r="H76" s="2008"/>
      <c r="I76" s="2008"/>
      <c r="J76" s="1926"/>
      <c r="K76" s="1926"/>
      <c r="L76" s="170"/>
      <c r="M76" s="2009"/>
      <c r="N76" s="2010">
        <v>1</v>
      </c>
      <c r="O76" s="773">
        <f>+M76*N76</f>
        <v>0</v>
      </c>
      <c r="P76" s="2008" t="s">
        <v>39</v>
      </c>
      <c r="Q76" s="2008" t="s">
        <v>39</v>
      </c>
      <c r="R76" s="2011" t="s">
        <v>73</v>
      </c>
      <c r="S76" s="912">
        <f>SUMIF('Data Input sheet'!$B$118:$B$180,R76,'Data Input sheet'!$D$118:$D$180)</f>
        <v>119</v>
      </c>
      <c r="T76" s="2685">
        <v>0</v>
      </c>
      <c r="U76" s="2013">
        <v>0</v>
      </c>
      <c r="V76" s="778">
        <f t="shared" ref="V76" si="58">ROUND(U76*O76,0)</f>
        <v>0</v>
      </c>
      <c r="W76" s="2010"/>
      <c r="X76" s="779"/>
      <c r="Y76" s="2012"/>
      <c r="Z76" s="780">
        <f>T76+V76+W76+Y76</f>
        <v>0</v>
      </c>
      <c r="AA76" s="2007"/>
      <c r="AB76" s="2007"/>
      <c r="AC76" s="765"/>
      <c r="AD76" s="781">
        <f t="shared" si="22"/>
        <v>0</v>
      </c>
      <c r="AE76" s="778">
        <f t="shared" si="23"/>
        <v>0</v>
      </c>
      <c r="AF76" s="781">
        <f t="shared" si="24"/>
        <v>0</v>
      </c>
      <c r="AG76" s="781">
        <f t="shared" si="25"/>
        <v>0</v>
      </c>
      <c r="AH76" s="781">
        <f t="shared" si="26"/>
        <v>0</v>
      </c>
      <c r="AI76" s="782">
        <f t="shared" si="27"/>
        <v>0</v>
      </c>
      <c r="AJ76" s="781">
        <f t="shared" si="28"/>
        <v>0</v>
      </c>
      <c r="AK76" s="781">
        <f t="shared" si="29"/>
        <v>0</v>
      </c>
      <c r="AL76" s="781">
        <f t="shared" si="30"/>
        <v>0</v>
      </c>
      <c r="AM76" s="781">
        <f t="shared" si="31"/>
        <v>0</v>
      </c>
      <c r="AN76" s="781">
        <f t="shared" si="32"/>
        <v>0</v>
      </c>
      <c r="AO76" s="781">
        <f t="shared" si="33"/>
        <v>0</v>
      </c>
      <c r="AP76" s="781">
        <f t="shared" si="34"/>
        <v>0</v>
      </c>
      <c r="AQ76" s="781">
        <f t="shared" si="35"/>
        <v>0</v>
      </c>
      <c r="AR76" s="781">
        <f t="shared" si="36"/>
        <v>0</v>
      </c>
      <c r="AS76" s="783">
        <f t="shared" si="37"/>
        <v>0</v>
      </c>
      <c r="AT76" s="917"/>
      <c r="AW76" s="832"/>
      <c r="AX76" s="833" t="s">
        <v>3030</v>
      </c>
      <c r="BM76" s="2010"/>
    </row>
    <row r="77" spans="1:65" ht="26.25" hidden="1" outlineLevel="1" thickBot="1" x14ac:dyDescent="0.3">
      <c r="A77" s="787"/>
      <c r="B77" s="904">
        <f t="shared" si="57"/>
        <v>68</v>
      </c>
      <c r="C77" s="170" t="str">
        <f t="shared" si="56"/>
        <v>18LS</v>
      </c>
      <c r="D77" s="906"/>
      <c r="E77" s="170"/>
      <c r="F77" s="170">
        <v>18</v>
      </c>
      <c r="G77" s="2007" t="s">
        <v>856</v>
      </c>
      <c r="H77" s="1926"/>
      <c r="I77" s="2008" t="s">
        <v>640</v>
      </c>
      <c r="J77" s="1926"/>
      <c r="K77" s="1926"/>
      <c r="L77" s="170"/>
      <c r="M77" s="2009"/>
      <c r="N77" s="2010">
        <v>1</v>
      </c>
      <c r="O77" s="773">
        <f>+M77*N77</f>
        <v>0</v>
      </c>
      <c r="P77" s="2008" t="s">
        <v>39</v>
      </c>
      <c r="Q77" s="2008" t="s">
        <v>39</v>
      </c>
      <c r="R77" s="2011" t="s">
        <v>73</v>
      </c>
      <c r="S77" s="912">
        <f>SUMIF('Data Input sheet'!$B$118:$B$180,R77,'Data Input sheet'!$D$118:$D$180)</f>
        <v>119</v>
      </c>
      <c r="T77" s="2685">
        <f>+O77*S77</f>
        <v>0</v>
      </c>
      <c r="U77" s="2013">
        <v>0</v>
      </c>
      <c r="V77" s="778">
        <f>ROUND(U77*O77,0)</f>
        <v>0</v>
      </c>
      <c r="W77" s="2010"/>
      <c r="X77" s="779"/>
      <c r="Y77" s="2012"/>
      <c r="Z77" s="780">
        <f>T77+V77+W77+Y77</f>
        <v>0</v>
      </c>
      <c r="AA77" s="2007"/>
      <c r="AB77" s="2007"/>
      <c r="AC77" s="765"/>
      <c r="AD77" s="781">
        <f t="shared" si="22"/>
        <v>0</v>
      </c>
      <c r="AE77" s="778">
        <f t="shared" si="23"/>
        <v>0</v>
      </c>
      <c r="AF77" s="781">
        <f t="shared" si="24"/>
        <v>0</v>
      </c>
      <c r="AG77" s="781">
        <f t="shared" si="25"/>
        <v>0</v>
      </c>
      <c r="AH77" s="781">
        <f t="shared" si="26"/>
        <v>0</v>
      </c>
      <c r="AI77" s="782">
        <f t="shared" si="27"/>
        <v>0</v>
      </c>
      <c r="AJ77" s="781">
        <f t="shared" si="28"/>
        <v>0</v>
      </c>
      <c r="AK77" s="781">
        <f t="shared" si="29"/>
        <v>0</v>
      </c>
      <c r="AL77" s="781">
        <f t="shared" si="30"/>
        <v>0</v>
      </c>
      <c r="AM77" s="781">
        <f t="shared" si="31"/>
        <v>0</v>
      </c>
      <c r="AN77" s="781">
        <f t="shared" si="32"/>
        <v>0</v>
      </c>
      <c r="AO77" s="781">
        <f t="shared" si="33"/>
        <v>0</v>
      </c>
      <c r="AP77" s="781">
        <f t="shared" si="34"/>
        <v>0</v>
      </c>
      <c r="AQ77" s="781">
        <f t="shared" si="35"/>
        <v>0</v>
      </c>
      <c r="AR77" s="781">
        <f t="shared" si="36"/>
        <v>0</v>
      </c>
      <c r="AS77" s="783">
        <f t="shared" si="37"/>
        <v>0</v>
      </c>
      <c r="AT77" s="917"/>
      <c r="AV77" s="170"/>
      <c r="AW77" s="832"/>
      <c r="AX77" s="833" t="s">
        <v>3046</v>
      </c>
      <c r="BM77" s="2010"/>
    </row>
    <row r="78" spans="1:65" ht="26.25" hidden="1" outlineLevel="1" thickBot="1" x14ac:dyDescent="0.3">
      <c r="A78" s="787"/>
      <c r="B78" s="904">
        <f t="shared" si="57"/>
        <v>69</v>
      </c>
      <c r="C78" s="170" t="str">
        <f t="shared" si="56"/>
        <v>18LS</v>
      </c>
      <c r="D78" s="906"/>
      <c r="E78" s="170"/>
      <c r="F78" s="170">
        <v>18</v>
      </c>
      <c r="G78" s="2007" t="s">
        <v>857</v>
      </c>
      <c r="H78" s="1926"/>
      <c r="I78" s="2008" t="s">
        <v>640</v>
      </c>
      <c r="J78" s="1926"/>
      <c r="K78" s="1926"/>
      <c r="L78" s="170"/>
      <c r="M78" s="2009"/>
      <c r="N78" s="2010">
        <v>1</v>
      </c>
      <c r="O78" s="773">
        <f>+M78*N78</f>
        <v>0</v>
      </c>
      <c r="P78" s="2008" t="s">
        <v>39</v>
      </c>
      <c r="Q78" s="2008" t="s">
        <v>39</v>
      </c>
      <c r="R78" s="2011" t="s">
        <v>73</v>
      </c>
      <c r="S78" s="912">
        <f>SUMIF('Data Input sheet'!$B$118:$B$180,R78,'Data Input sheet'!$D$118:$D$180)</f>
        <v>119</v>
      </c>
      <c r="T78" s="2685">
        <f>+O78*S78</f>
        <v>0</v>
      </c>
      <c r="U78" s="2013">
        <v>0</v>
      </c>
      <c r="V78" s="778">
        <f>ROUND(U78*O78,0)</f>
        <v>0</v>
      </c>
      <c r="W78" s="2010"/>
      <c r="X78" s="779"/>
      <c r="Y78" s="2012">
        <v>125000</v>
      </c>
      <c r="Z78" s="780">
        <f>T78+V78+W78+Y78</f>
        <v>125000</v>
      </c>
      <c r="AA78" s="2007"/>
      <c r="AB78" s="2007"/>
      <c r="AC78" s="765"/>
      <c r="AD78" s="781">
        <f t="shared" si="22"/>
        <v>0</v>
      </c>
      <c r="AE78" s="778">
        <f t="shared" si="23"/>
        <v>0</v>
      </c>
      <c r="AF78" s="781">
        <f t="shared" si="24"/>
        <v>0</v>
      </c>
      <c r="AG78" s="781">
        <f t="shared" si="25"/>
        <v>0</v>
      </c>
      <c r="AH78" s="781">
        <f t="shared" si="26"/>
        <v>0</v>
      </c>
      <c r="AI78" s="782">
        <f t="shared" si="27"/>
        <v>0</v>
      </c>
      <c r="AJ78" s="781">
        <f t="shared" si="28"/>
        <v>0</v>
      </c>
      <c r="AK78" s="781">
        <f t="shared" si="29"/>
        <v>0</v>
      </c>
      <c r="AL78" s="781">
        <f t="shared" si="30"/>
        <v>0</v>
      </c>
      <c r="AM78" s="781">
        <f t="shared" si="31"/>
        <v>0</v>
      </c>
      <c r="AN78" s="781">
        <f t="shared" si="32"/>
        <v>0</v>
      </c>
      <c r="AO78" s="781">
        <f t="shared" si="33"/>
        <v>0</v>
      </c>
      <c r="AP78" s="781">
        <f t="shared" si="34"/>
        <v>0</v>
      </c>
      <c r="AQ78" s="781">
        <f t="shared" si="35"/>
        <v>0</v>
      </c>
      <c r="AR78" s="781">
        <f t="shared" si="36"/>
        <v>0</v>
      </c>
      <c r="AS78" s="783">
        <f t="shared" si="37"/>
        <v>0</v>
      </c>
      <c r="AT78" s="917"/>
      <c r="AV78" s="170"/>
      <c r="AW78" s="832"/>
      <c r="AX78" s="833" t="s">
        <v>3047</v>
      </c>
      <c r="BM78" s="2010"/>
    </row>
    <row r="79" spans="1:65" ht="15.75" hidden="1" outlineLevel="1" thickBot="1" x14ac:dyDescent="0.3">
      <c r="A79" s="784"/>
      <c r="B79" s="904">
        <f t="shared" si="57"/>
        <v>70</v>
      </c>
      <c r="C79" s="170" t="str">
        <f t="shared" si="56"/>
        <v>0</v>
      </c>
      <c r="D79" s="557"/>
      <c r="E79" s="170"/>
      <c r="F79" s="170">
        <v>0</v>
      </c>
      <c r="G79" s="2007"/>
      <c r="H79" s="2008"/>
      <c r="I79" s="2008"/>
      <c r="J79" s="1926"/>
      <c r="K79" s="1926"/>
      <c r="L79" s="170"/>
      <c r="M79" s="2009"/>
      <c r="N79" s="2010">
        <v>1</v>
      </c>
      <c r="O79" s="773">
        <f>+M79*N79</f>
        <v>0</v>
      </c>
      <c r="P79" s="2008" t="s">
        <v>39</v>
      </c>
      <c r="Q79" s="2008" t="s">
        <v>39</v>
      </c>
      <c r="R79" s="2011" t="s">
        <v>73</v>
      </c>
      <c r="S79" s="912">
        <f>SUMIF('Data Input sheet'!$B$118:$B$180,R79,'Data Input sheet'!$D$118:$D$180)</f>
        <v>119</v>
      </c>
      <c r="T79" s="2685">
        <v>0</v>
      </c>
      <c r="U79" s="2013">
        <v>0</v>
      </c>
      <c r="V79" s="778">
        <f t="shared" ref="V79:V93" si="59">ROUND(U79*O79,0)</f>
        <v>0</v>
      </c>
      <c r="W79" s="2010"/>
      <c r="X79" s="779"/>
      <c r="Y79" s="2012"/>
      <c r="Z79" s="780">
        <f>T79+V79+W79+Y79</f>
        <v>0</v>
      </c>
      <c r="AA79" s="2007"/>
      <c r="AB79" s="2007"/>
      <c r="AC79" s="765"/>
      <c r="AD79" s="781">
        <f t="shared" si="22"/>
        <v>0</v>
      </c>
      <c r="AE79" s="778">
        <f t="shared" si="23"/>
        <v>0</v>
      </c>
      <c r="AF79" s="781">
        <f t="shared" si="24"/>
        <v>0</v>
      </c>
      <c r="AG79" s="781">
        <f t="shared" si="25"/>
        <v>0</v>
      </c>
      <c r="AH79" s="781">
        <f t="shared" si="26"/>
        <v>0</v>
      </c>
      <c r="AI79" s="782">
        <f t="shared" si="27"/>
        <v>0</v>
      </c>
      <c r="AJ79" s="781">
        <f t="shared" si="28"/>
        <v>0</v>
      </c>
      <c r="AK79" s="781">
        <f t="shared" si="29"/>
        <v>0</v>
      </c>
      <c r="AL79" s="781">
        <f t="shared" si="30"/>
        <v>0</v>
      </c>
      <c r="AM79" s="781">
        <f t="shared" si="31"/>
        <v>0</v>
      </c>
      <c r="AN79" s="781">
        <f t="shared" si="32"/>
        <v>0</v>
      </c>
      <c r="AO79" s="781">
        <f t="shared" si="33"/>
        <v>0</v>
      </c>
      <c r="AP79" s="781">
        <f t="shared" si="34"/>
        <v>0</v>
      </c>
      <c r="AQ79" s="781">
        <f t="shared" si="35"/>
        <v>0</v>
      </c>
      <c r="AR79" s="781">
        <f t="shared" si="36"/>
        <v>0</v>
      </c>
      <c r="AS79" s="783">
        <f t="shared" si="37"/>
        <v>0</v>
      </c>
      <c r="AT79" s="917"/>
      <c r="AW79" s="832"/>
      <c r="AX79" s="833" t="s">
        <v>3030</v>
      </c>
      <c r="BM79" s="2010"/>
    </row>
    <row r="80" spans="1:65" ht="15.75" hidden="1" outlineLevel="1" thickBot="1" x14ac:dyDescent="0.3">
      <c r="A80" s="784"/>
      <c r="B80" s="904">
        <f t="shared" si="57"/>
        <v>71</v>
      </c>
      <c r="C80" s="170" t="str">
        <f t="shared" si="56"/>
        <v>0</v>
      </c>
      <c r="D80" s="557"/>
      <c r="E80" s="170"/>
      <c r="F80" s="170">
        <v>0</v>
      </c>
      <c r="G80" s="1952" t="s">
        <v>3507</v>
      </c>
      <c r="H80" s="2629"/>
      <c r="I80" s="2008"/>
      <c r="J80" s="2039"/>
      <c r="K80" s="2039"/>
      <c r="L80" s="488"/>
      <c r="M80" s="2041">
        <v>0</v>
      </c>
      <c r="N80" s="2043"/>
      <c r="O80" s="1967">
        <f t="shared" ref="O80:O92" si="60">+M80*N80</f>
        <v>0</v>
      </c>
      <c r="P80" s="2008"/>
      <c r="Q80" s="2008"/>
      <c r="R80" s="2011"/>
      <c r="S80" s="912">
        <f>SUMIF('Data Input sheet'!$B$118:$B$180,R80,'Data Input sheet'!$D$118:$D$180)</f>
        <v>0</v>
      </c>
      <c r="T80" s="2686">
        <f t="shared" ref="T80:T81" si="61">ROUND(O80*S80,0)</f>
        <v>0</v>
      </c>
      <c r="U80" s="2013">
        <v>0</v>
      </c>
      <c r="V80" s="778">
        <f t="shared" si="59"/>
        <v>0</v>
      </c>
      <c r="W80" s="2043"/>
      <c r="X80" s="1970"/>
      <c r="Y80" s="2047">
        <v>0</v>
      </c>
      <c r="Z80" s="780">
        <f t="shared" ref="Z80:Z92" si="62">T80+V80+W80+Y80</f>
        <v>0</v>
      </c>
      <c r="AA80" s="2007"/>
      <c r="AB80" s="2007"/>
      <c r="AC80" s="765"/>
      <c r="AD80" s="781">
        <f t="shared" si="22"/>
        <v>0</v>
      </c>
      <c r="AE80" s="778">
        <f t="shared" si="23"/>
        <v>0</v>
      </c>
      <c r="AF80" s="781">
        <f t="shared" si="24"/>
        <v>0</v>
      </c>
      <c r="AG80" s="781">
        <f t="shared" si="25"/>
        <v>0</v>
      </c>
      <c r="AH80" s="781">
        <f t="shared" si="26"/>
        <v>0</v>
      </c>
      <c r="AI80" s="782">
        <f t="shared" si="27"/>
        <v>0</v>
      </c>
      <c r="AJ80" s="781">
        <f t="shared" si="28"/>
        <v>0</v>
      </c>
      <c r="AK80" s="781">
        <f t="shared" si="29"/>
        <v>0</v>
      </c>
      <c r="AL80" s="781">
        <f t="shared" si="30"/>
        <v>0</v>
      </c>
      <c r="AM80" s="781">
        <f t="shared" si="31"/>
        <v>0</v>
      </c>
      <c r="AN80" s="781">
        <f t="shared" si="32"/>
        <v>0</v>
      </c>
      <c r="AO80" s="781">
        <f t="shared" si="33"/>
        <v>0</v>
      </c>
      <c r="AP80" s="781">
        <f t="shared" si="34"/>
        <v>0</v>
      </c>
      <c r="AQ80" s="781">
        <f t="shared" si="35"/>
        <v>0</v>
      </c>
      <c r="AR80" s="781">
        <f t="shared" si="36"/>
        <v>0</v>
      </c>
      <c r="AS80" s="783">
        <f t="shared" si="37"/>
        <v>0</v>
      </c>
      <c r="AT80" s="917"/>
      <c r="AW80" s="832"/>
      <c r="AX80" s="833" t="s">
        <v>3030</v>
      </c>
      <c r="BM80" s="2043"/>
    </row>
    <row r="81" spans="1:65" ht="15.75" hidden="1" outlineLevel="1" thickBot="1" x14ac:dyDescent="0.3">
      <c r="A81" s="787"/>
      <c r="B81" s="904">
        <f t="shared" si="57"/>
        <v>72</v>
      </c>
      <c r="C81" s="170" t="str">
        <f t="shared" si="56"/>
        <v>8AC</v>
      </c>
      <c r="D81" s="906"/>
      <c r="E81" s="170"/>
      <c r="F81" s="170">
        <v>8</v>
      </c>
      <c r="G81" s="2007" t="s">
        <v>3501</v>
      </c>
      <c r="H81" s="2008">
        <v>0</v>
      </c>
      <c r="I81" s="2008" t="s">
        <v>1332</v>
      </c>
      <c r="J81" s="1926"/>
      <c r="K81" s="1926"/>
      <c r="L81" s="170"/>
      <c r="M81" s="2009">
        <v>60</v>
      </c>
      <c r="N81" s="2010">
        <v>1</v>
      </c>
      <c r="O81" s="773">
        <f t="shared" si="60"/>
        <v>60</v>
      </c>
      <c r="P81" s="2008" t="s">
        <v>39</v>
      </c>
      <c r="Q81" s="2008" t="s">
        <v>39</v>
      </c>
      <c r="R81" s="2011" t="s">
        <v>73</v>
      </c>
      <c r="S81" s="912">
        <f>SUMIF('Data Input sheet'!$B$118:$B$180,R81,'Data Input sheet'!$D$118:$D$180)</f>
        <v>119</v>
      </c>
      <c r="T81" s="2685">
        <f t="shared" si="61"/>
        <v>7140</v>
      </c>
      <c r="U81" s="2013">
        <f>5000/M81</f>
        <v>83.333333333333329</v>
      </c>
      <c r="V81" s="778">
        <f t="shared" si="59"/>
        <v>5000</v>
      </c>
      <c r="W81" s="2010"/>
      <c r="X81" s="779"/>
      <c r="Y81" s="2012">
        <v>0</v>
      </c>
      <c r="Z81" s="780">
        <f t="shared" si="62"/>
        <v>12140</v>
      </c>
      <c r="AA81" s="2007"/>
      <c r="AB81" s="2007"/>
      <c r="AC81" s="765"/>
      <c r="AD81" s="781">
        <f t="shared" ref="AD81:AD151" si="63">IF(P81="E",+ROUND(H81*O81,0),0)</f>
        <v>0</v>
      </c>
      <c r="AE81" s="778">
        <f t="shared" ref="AE81:AE151" si="64">+AF81-AD81</f>
        <v>0</v>
      </c>
      <c r="AF81" s="781">
        <f t="shared" ref="AF81:AF151" si="65">+H81*O81</f>
        <v>0</v>
      </c>
      <c r="AG81" s="781">
        <f t="shared" ref="AG81:AG151" si="66">IF(P81="E",+ROUND(T81*H81,0),0)</f>
        <v>0</v>
      </c>
      <c r="AH81" s="781">
        <f t="shared" ref="AH81:AH151" si="67">+AI81-AG81</f>
        <v>0</v>
      </c>
      <c r="AI81" s="782">
        <f t="shared" ref="AI81:AI151" si="68">+H81*T81</f>
        <v>0</v>
      </c>
      <c r="AJ81" s="781">
        <f t="shared" ref="AJ81:AJ151" si="69">IF(P81="E",+ROUND(V81*H81,0),0)</f>
        <v>0</v>
      </c>
      <c r="AK81" s="781">
        <f t="shared" ref="AK81:AK151" si="70">+AL81-AJ81</f>
        <v>0</v>
      </c>
      <c r="AL81" s="781">
        <f t="shared" ref="AL81:AL151" si="71">ROUND(V81*H81,0)</f>
        <v>0</v>
      </c>
      <c r="AM81" s="781">
        <f t="shared" ref="AM81:AM151" si="72">IF(Q81="E",+ROUND(W81*H81,0),0)</f>
        <v>0</v>
      </c>
      <c r="AN81" s="781">
        <f t="shared" ref="AN81:AN151" si="73">+AO81-AM81</f>
        <v>0</v>
      </c>
      <c r="AO81" s="781">
        <f t="shared" ref="AO81:AO151" si="74">ROUND(W81*H81,0)</f>
        <v>0</v>
      </c>
      <c r="AP81" s="781">
        <f t="shared" ref="AP81:AP151" si="75">IF(P81="E",+ROUND(Y81*H81,0),0)</f>
        <v>0</v>
      </c>
      <c r="AQ81" s="781">
        <f t="shared" ref="AQ81:AQ151" si="76">+AR81-AP81</f>
        <v>0</v>
      </c>
      <c r="AR81" s="781">
        <f t="shared" ref="AR81:AR151" si="77">ROUND(Y81*H81,0)</f>
        <v>0</v>
      </c>
      <c r="AS81" s="783">
        <f t="shared" ref="AS81:AS151" si="78">+AR81+AO81+AL81+AI81</f>
        <v>0</v>
      </c>
      <c r="AT81" s="917"/>
      <c r="AV81" s="170"/>
      <c r="AW81" s="832"/>
      <c r="AX81" s="833" t="s">
        <v>3030</v>
      </c>
      <c r="BM81" s="2010"/>
    </row>
    <row r="82" spans="1:65" ht="15.75" hidden="1" outlineLevel="1" thickBot="1" x14ac:dyDescent="0.3">
      <c r="A82" s="787"/>
      <c r="B82" s="904">
        <f t="shared" si="57"/>
        <v>73</v>
      </c>
      <c r="C82" s="170" t="str">
        <f t="shared" ref="C82" si="79">+F82&amp;I82</f>
        <v>8AC</v>
      </c>
      <c r="D82" s="906"/>
      <c r="E82" s="170"/>
      <c r="F82" s="170">
        <v>8</v>
      </c>
      <c r="G82" s="2007" t="s">
        <v>3503</v>
      </c>
      <c r="H82" s="2008"/>
      <c r="I82" s="2008" t="s">
        <v>1332</v>
      </c>
      <c r="J82" s="1926"/>
      <c r="K82" s="1926"/>
      <c r="L82" s="170"/>
      <c r="M82" s="2009">
        <v>100</v>
      </c>
      <c r="N82" s="2010">
        <v>1</v>
      </c>
      <c r="O82" s="773">
        <f t="shared" si="60"/>
        <v>100</v>
      </c>
      <c r="P82" s="2008" t="s">
        <v>39</v>
      </c>
      <c r="Q82" s="2008" t="s">
        <v>39</v>
      </c>
      <c r="R82" s="2011" t="s">
        <v>73</v>
      </c>
      <c r="S82" s="912">
        <f>SUMIF('Data Input sheet'!$B$118:$B$180,R82,'Data Input sheet'!$D$118:$D$180)</f>
        <v>119</v>
      </c>
      <c r="T82" s="2685">
        <f t="shared" ref="T82" si="80">ROUND(O82*S82,0)</f>
        <v>11900</v>
      </c>
      <c r="U82" s="2013">
        <f>15000/M82</f>
        <v>150</v>
      </c>
      <c r="V82" s="778">
        <f t="shared" ref="V82" si="81">ROUND(U82*O82,0)</f>
        <v>15000</v>
      </c>
      <c r="W82" s="2010"/>
      <c r="X82" s="779"/>
      <c r="Y82" s="2012">
        <v>0</v>
      </c>
      <c r="Z82" s="780">
        <f t="shared" ref="Z82" si="82">T82+V82+W82+Y82</f>
        <v>26900</v>
      </c>
      <c r="AA82" s="2007"/>
      <c r="AB82" s="2007"/>
      <c r="AC82" s="765"/>
      <c r="AD82" s="781">
        <f t="shared" ref="AD82" si="83">IF(P82="E",+ROUND(H82*O82,0),0)</f>
        <v>0</v>
      </c>
      <c r="AE82" s="778">
        <f t="shared" ref="AE82" si="84">+AF82-AD82</f>
        <v>0</v>
      </c>
      <c r="AF82" s="781">
        <f t="shared" ref="AF82" si="85">+H82*O82</f>
        <v>0</v>
      </c>
      <c r="AG82" s="781">
        <f t="shared" ref="AG82" si="86">IF(P82="E",+ROUND(T82*H82,0),0)</f>
        <v>0</v>
      </c>
      <c r="AH82" s="781">
        <f t="shared" ref="AH82" si="87">+AI82-AG82</f>
        <v>0</v>
      </c>
      <c r="AI82" s="782">
        <f t="shared" ref="AI82" si="88">+H82*T82</f>
        <v>0</v>
      </c>
      <c r="AJ82" s="781">
        <f t="shared" ref="AJ82" si="89">IF(P82="E",+ROUND(V82*H82,0),0)</f>
        <v>0</v>
      </c>
      <c r="AK82" s="781">
        <f t="shared" ref="AK82" si="90">+AL82-AJ82</f>
        <v>0</v>
      </c>
      <c r="AL82" s="781">
        <f t="shared" ref="AL82" si="91">ROUND(V82*H82,0)</f>
        <v>0</v>
      </c>
      <c r="AM82" s="781">
        <f t="shared" ref="AM82" si="92">IF(Q82="E",+ROUND(W82*H82,0),0)</f>
        <v>0</v>
      </c>
      <c r="AN82" s="781">
        <f t="shared" ref="AN82" si="93">+AO82-AM82</f>
        <v>0</v>
      </c>
      <c r="AO82" s="781">
        <f t="shared" ref="AO82" si="94">ROUND(W82*H82,0)</f>
        <v>0</v>
      </c>
      <c r="AP82" s="781">
        <f t="shared" ref="AP82" si="95">IF(P82="E",+ROUND(Y82*H82,0),0)</f>
        <v>0</v>
      </c>
      <c r="AQ82" s="781">
        <f t="shared" ref="AQ82" si="96">+AR82-AP82</f>
        <v>0</v>
      </c>
      <c r="AR82" s="781">
        <f t="shared" ref="AR82" si="97">ROUND(Y82*H82,0)</f>
        <v>0</v>
      </c>
      <c r="AS82" s="783">
        <f t="shared" ref="AS82" si="98">+AR82+AO82+AL82+AI82</f>
        <v>0</v>
      </c>
      <c r="AT82" s="917"/>
      <c r="AV82" s="170"/>
      <c r="AW82" s="832"/>
      <c r="AX82" s="833" t="s">
        <v>3030</v>
      </c>
      <c r="BM82" s="2010"/>
    </row>
    <row r="83" spans="1:65" ht="15.75" hidden="1" outlineLevel="1" thickBot="1" x14ac:dyDescent="0.3">
      <c r="A83" s="787"/>
      <c r="B83" s="904">
        <f t="shared" si="57"/>
        <v>74</v>
      </c>
      <c r="C83" s="170" t="str">
        <f t="shared" ref="C83" si="99">+F83&amp;I83</f>
        <v>8AC</v>
      </c>
      <c r="D83" s="906"/>
      <c r="E83" s="170"/>
      <c r="F83" s="170">
        <v>8</v>
      </c>
      <c r="G83" s="2007" t="s">
        <v>3504</v>
      </c>
      <c r="H83" s="2008"/>
      <c r="I83" s="2008" t="s">
        <v>1332</v>
      </c>
      <c r="J83" s="1926"/>
      <c r="K83" s="1926"/>
      <c r="L83" s="170"/>
      <c r="M83" s="2009">
        <v>1</v>
      </c>
      <c r="N83" s="2010">
        <v>1</v>
      </c>
      <c r="O83" s="773">
        <f t="shared" ref="O83" si="100">+M83*N83</f>
        <v>1</v>
      </c>
      <c r="P83" s="2008" t="s">
        <v>39</v>
      </c>
      <c r="Q83" s="2008" t="s">
        <v>39</v>
      </c>
      <c r="R83" s="2011" t="s">
        <v>73</v>
      </c>
      <c r="S83" s="912">
        <f>SUMIF('Data Input sheet'!$B$118:$B$180,R83,'Data Input sheet'!$D$118:$D$180)</f>
        <v>119</v>
      </c>
      <c r="T83" s="2685">
        <f t="shared" ref="T83" si="101">ROUND(O83*S83,0)</f>
        <v>119</v>
      </c>
      <c r="U83" s="2013">
        <f>5000/M83</f>
        <v>5000</v>
      </c>
      <c r="V83" s="778">
        <f t="shared" ref="V83" si="102">ROUND(U83*O83,0)</f>
        <v>5000</v>
      </c>
      <c r="W83" s="2010"/>
      <c r="X83" s="779"/>
      <c r="Y83" s="2012">
        <v>0</v>
      </c>
      <c r="Z83" s="780">
        <f t="shared" ref="Z83" si="103">T83+V83+W83+Y83</f>
        <v>5119</v>
      </c>
      <c r="AA83" s="2007"/>
      <c r="AB83" s="2007"/>
      <c r="AC83" s="765"/>
      <c r="AD83" s="781">
        <f t="shared" ref="AD83" si="104">IF(P83="E",+ROUND(H83*O83,0),0)</f>
        <v>0</v>
      </c>
      <c r="AE83" s="778">
        <f t="shared" ref="AE83" si="105">+AF83-AD83</f>
        <v>0</v>
      </c>
      <c r="AF83" s="781">
        <f t="shared" ref="AF83" si="106">+H83*O83</f>
        <v>0</v>
      </c>
      <c r="AG83" s="781">
        <f t="shared" ref="AG83" si="107">IF(P83="E",+ROUND(T83*H83,0),0)</f>
        <v>0</v>
      </c>
      <c r="AH83" s="781">
        <f t="shared" ref="AH83" si="108">+AI83-AG83</f>
        <v>0</v>
      </c>
      <c r="AI83" s="782">
        <f t="shared" ref="AI83" si="109">+H83*T83</f>
        <v>0</v>
      </c>
      <c r="AJ83" s="781">
        <f t="shared" ref="AJ83" si="110">IF(P83="E",+ROUND(V83*H83,0),0)</f>
        <v>0</v>
      </c>
      <c r="AK83" s="781">
        <f t="shared" ref="AK83" si="111">+AL83-AJ83</f>
        <v>0</v>
      </c>
      <c r="AL83" s="781">
        <f t="shared" ref="AL83" si="112">ROUND(V83*H83,0)</f>
        <v>0</v>
      </c>
      <c r="AM83" s="781">
        <f t="shared" ref="AM83" si="113">IF(Q83="E",+ROUND(W83*H83,0),0)</f>
        <v>0</v>
      </c>
      <c r="AN83" s="781">
        <f t="shared" ref="AN83" si="114">+AO83-AM83</f>
        <v>0</v>
      </c>
      <c r="AO83" s="781">
        <f t="shared" ref="AO83" si="115">ROUND(W83*H83,0)</f>
        <v>0</v>
      </c>
      <c r="AP83" s="781">
        <f t="shared" ref="AP83" si="116">IF(P83="E",+ROUND(Y83*H83,0),0)</f>
        <v>0</v>
      </c>
      <c r="AQ83" s="781">
        <f t="shared" ref="AQ83" si="117">+AR83-AP83</f>
        <v>0</v>
      </c>
      <c r="AR83" s="781">
        <f t="shared" ref="AR83" si="118">ROUND(Y83*H83,0)</f>
        <v>0</v>
      </c>
      <c r="AS83" s="783">
        <f t="shared" ref="AS83" si="119">+AR83+AO83+AL83+AI83</f>
        <v>0</v>
      </c>
      <c r="AT83" s="917"/>
      <c r="AV83" s="170"/>
      <c r="AW83" s="832"/>
      <c r="AX83" s="833" t="s">
        <v>3030</v>
      </c>
      <c r="BM83" s="2010"/>
    </row>
    <row r="84" spans="1:65" ht="15.75" hidden="1" outlineLevel="1" thickBot="1" x14ac:dyDescent="0.3">
      <c r="A84" s="787"/>
      <c r="B84" s="904">
        <f>+B81+1</f>
        <v>73</v>
      </c>
      <c r="C84" s="170" t="str">
        <f t="shared" si="56"/>
        <v>8SY</v>
      </c>
      <c r="D84" s="906"/>
      <c r="E84" s="170"/>
      <c r="F84" s="170">
        <v>8</v>
      </c>
      <c r="G84" s="2007" t="s">
        <v>3502</v>
      </c>
      <c r="H84" s="2008">
        <v>0</v>
      </c>
      <c r="I84" s="2008" t="s">
        <v>739</v>
      </c>
      <c r="J84" s="1926"/>
      <c r="K84" s="1926"/>
      <c r="L84" s="170"/>
      <c r="M84" s="2701">
        <v>0.02</v>
      </c>
      <c r="N84" s="2010">
        <v>1</v>
      </c>
      <c r="O84" s="2702">
        <f t="shared" si="60"/>
        <v>0.02</v>
      </c>
      <c r="P84" s="2008" t="s">
        <v>39</v>
      </c>
      <c r="Q84" s="2008" t="s">
        <v>39</v>
      </c>
      <c r="R84" s="2011" t="s">
        <v>73</v>
      </c>
      <c r="S84" s="912">
        <f>SUMIF('Data Input sheet'!$B$118:$B$180,R84,'Data Input sheet'!$D$118:$D$180)</f>
        <v>119</v>
      </c>
      <c r="T84" s="2685">
        <f>ROUND(O84*S84,4)</f>
        <v>2.38</v>
      </c>
      <c r="U84" s="2013">
        <f>75*50</f>
        <v>3750</v>
      </c>
      <c r="V84" s="778">
        <f>ROUND(U84*O84,4)</f>
        <v>75</v>
      </c>
      <c r="W84" s="2010"/>
      <c r="X84" s="779"/>
      <c r="Y84" s="2012">
        <v>0</v>
      </c>
      <c r="Z84" s="780">
        <f t="shared" si="62"/>
        <v>77.38</v>
      </c>
      <c r="AA84" s="2007"/>
      <c r="AB84" s="2007"/>
      <c r="AC84" s="765"/>
      <c r="AD84" s="781">
        <f t="shared" si="63"/>
        <v>0</v>
      </c>
      <c r="AE84" s="778">
        <f t="shared" si="64"/>
        <v>0</v>
      </c>
      <c r="AF84" s="781">
        <f t="shared" si="65"/>
        <v>0</v>
      </c>
      <c r="AG84" s="781">
        <f t="shared" si="66"/>
        <v>0</v>
      </c>
      <c r="AH84" s="781">
        <f t="shared" si="67"/>
        <v>0</v>
      </c>
      <c r="AI84" s="782">
        <f t="shared" si="68"/>
        <v>0</v>
      </c>
      <c r="AJ84" s="781">
        <f t="shared" si="69"/>
        <v>0</v>
      </c>
      <c r="AK84" s="781">
        <f t="shared" si="70"/>
        <v>0</v>
      </c>
      <c r="AL84" s="781">
        <f t="shared" si="71"/>
        <v>0</v>
      </c>
      <c r="AM84" s="781">
        <f t="shared" si="72"/>
        <v>0</v>
      </c>
      <c r="AN84" s="781">
        <f t="shared" si="73"/>
        <v>0</v>
      </c>
      <c r="AO84" s="781">
        <f t="shared" si="74"/>
        <v>0</v>
      </c>
      <c r="AP84" s="781">
        <f t="shared" si="75"/>
        <v>0</v>
      </c>
      <c r="AQ84" s="781">
        <f t="shared" si="76"/>
        <v>0</v>
      </c>
      <c r="AR84" s="781">
        <f t="shared" si="77"/>
        <v>0</v>
      </c>
      <c r="AS84" s="783">
        <f t="shared" si="78"/>
        <v>0</v>
      </c>
      <c r="AT84" s="917"/>
      <c r="AV84" s="170"/>
      <c r="AW84" s="832"/>
      <c r="AX84" s="833" t="s">
        <v>3030</v>
      </c>
      <c r="BM84" s="2010"/>
    </row>
    <row r="85" spans="1:65" ht="26.25" hidden="1" outlineLevel="1" thickBot="1" x14ac:dyDescent="0.3">
      <c r="A85" s="787"/>
      <c r="B85" s="904"/>
      <c r="C85" s="170"/>
      <c r="D85" s="906"/>
      <c r="E85" s="170"/>
      <c r="F85" s="170"/>
      <c r="G85" s="2007" t="s">
        <v>3547</v>
      </c>
      <c r="H85" s="2008">
        <v>0</v>
      </c>
      <c r="I85" s="2008" t="s">
        <v>739</v>
      </c>
      <c r="J85" s="1926"/>
      <c r="K85" s="1926"/>
      <c r="L85" s="170"/>
      <c r="M85" s="2701">
        <v>0.02</v>
      </c>
      <c r="N85" s="2010">
        <v>1</v>
      </c>
      <c r="O85" s="2702">
        <f t="shared" si="60"/>
        <v>0.02</v>
      </c>
      <c r="P85" s="2008" t="s">
        <v>39</v>
      </c>
      <c r="Q85" s="2008" t="s">
        <v>39</v>
      </c>
      <c r="R85" s="2011" t="s">
        <v>73</v>
      </c>
      <c r="S85" s="912">
        <f>SUMIF('Data Input sheet'!$B$118:$B$180,R85,'Data Input sheet'!$D$118:$D$180)</f>
        <v>119</v>
      </c>
      <c r="T85" s="2685">
        <f>ROUND(O85*S85,4)</f>
        <v>2.38</v>
      </c>
      <c r="U85" s="2013">
        <v>75</v>
      </c>
      <c r="V85" s="778">
        <f>ROUND(U85*O85,4)</f>
        <v>1.5</v>
      </c>
      <c r="W85" s="2010"/>
      <c r="X85" s="779"/>
      <c r="Y85" s="2012">
        <v>0</v>
      </c>
      <c r="Z85" s="780">
        <f t="shared" si="62"/>
        <v>3.88</v>
      </c>
      <c r="AA85" s="2007"/>
      <c r="AB85" s="2007"/>
      <c r="AC85" s="765"/>
      <c r="AD85" s="781">
        <f t="shared" si="63"/>
        <v>0</v>
      </c>
      <c r="AE85" s="778">
        <f t="shared" si="64"/>
        <v>0</v>
      </c>
      <c r="AF85" s="781">
        <f t="shared" si="65"/>
        <v>0</v>
      </c>
      <c r="AG85" s="781">
        <f t="shared" si="66"/>
        <v>0</v>
      </c>
      <c r="AH85" s="781">
        <f t="shared" si="67"/>
        <v>0</v>
      </c>
      <c r="AI85" s="782">
        <f t="shared" si="68"/>
        <v>0</v>
      </c>
      <c r="AJ85" s="781">
        <f t="shared" si="69"/>
        <v>0</v>
      </c>
      <c r="AK85" s="781">
        <f t="shared" si="70"/>
        <v>0</v>
      </c>
      <c r="AL85" s="781">
        <f t="shared" si="71"/>
        <v>0</v>
      </c>
      <c r="AM85" s="781">
        <f t="shared" si="72"/>
        <v>0</v>
      </c>
      <c r="AN85" s="781">
        <f t="shared" si="73"/>
        <v>0</v>
      </c>
      <c r="AO85" s="781">
        <f t="shared" si="74"/>
        <v>0</v>
      </c>
      <c r="AP85" s="781">
        <f t="shared" si="75"/>
        <v>0</v>
      </c>
      <c r="AQ85" s="781">
        <f t="shared" si="76"/>
        <v>0</v>
      </c>
      <c r="AR85" s="781">
        <f t="shared" si="77"/>
        <v>0</v>
      </c>
      <c r="AS85" s="783">
        <f t="shared" si="78"/>
        <v>0</v>
      </c>
      <c r="AT85" s="917"/>
      <c r="AV85" s="170"/>
      <c r="AW85" s="832"/>
      <c r="AX85" s="833" t="s">
        <v>3030</v>
      </c>
      <c r="BM85" s="2010"/>
    </row>
    <row r="86" spans="1:65" ht="15.75" hidden="1" outlineLevel="1" thickBot="1" x14ac:dyDescent="0.3">
      <c r="A86" s="787"/>
      <c r="B86" s="904">
        <f>+B83+1</f>
        <v>75</v>
      </c>
      <c r="C86" s="170" t="str">
        <f t="shared" ref="C86" si="120">+F86&amp;I86</f>
        <v>8CY</v>
      </c>
      <c r="D86" s="906"/>
      <c r="E86" s="170"/>
      <c r="F86" s="170">
        <v>8</v>
      </c>
      <c r="G86" s="2007" t="s">
        <v>3545</v>
      </c>
      <c r="H86" s="2008">
        <v>0</v>
      </c>
      <c r="I86" s="2008" t="s">
        <v>671</v>
      </c>
      <c r="J86" s="1926"/>
      <c r="K86" s="1926"/>
      <c r="L86" s="170"/>
      <c r="M86" s="2701">
        <v>0.8</v>
      </c>
      <c r="N86" s="2010">
        <v>1</v>
      </c>
      <c r="O86" s="2702">
        <f t="shared" ref="O86" si="121">+M86*N86</f>
        <v>0.8</v>
      </c>
      <c r="P86" s="2008" t="s">
        <v>39</v>
      </c>
      <c r="Q86" s="2008" t="s">
        <v>39</v>
      </c>
      <c r="R86" s="2011" t="s">
        <v>73</v>
      </c>
      <c r="S86" s="912">
        <f>SUMIF('Data Input sheet'!$B$118:$B$180,R86,'Data Input sheet'!$D$118:$D$180)</f>
        <v>119</v>
      </c>
      <c r="T86" s="2685">
        <f>ROUND(O86*S86,4)</f>
        <v>95.2</v>
      </c>
      <c r="U86" s="2013">
        <v>75</v>
      </c>
      <c r="V86" s="778">
        <f>ROUND(U86*O86,4)</f>
        <v>60</v>
      </c>
      <c r="W86" s="2010"/>
      <c r="X86" s="779"/>
      <c r="Y86" s="2012">
        <v>0</v>
      </c>
      <c r="Z86" s="780">
        <f t="shared" ref="Z86" si="122">T86+V86+W86+Y86</f>
        <v>155.19999999999999</v>
      </c>
      <c r="AA86" s="2007"/>
      <c r="AB86" s="2007"/>
      <c r="AC86" s="765"/>
      <c r="AD86" s="781">
        <f t="shared" ref="AD86" si="123">IF(P86="E",+ROUND(H86*O86,0),0)</f>
        <v>0</v>
      </c>
      <c r="AE86" s="778">
        <f t="shared" ref="AE86" si="124">+AF86-AD86</f>
        <v>0</v>
      </c>
      <c r="AF86" s="781">
        <f t="shared" ref="AF86" si="125">+H86*O86</f>
        <v>0</v>
      </c>
      <c r="AG86" s="781">
        <f t="shared" ref="AG86" si="126">IF(P86="E",+ROUND(T86*H86,0),0)</f>
        <v>0</v>
      </c>
      <c r="AH86" s="781">
        <f t="shared" ref="AH86" si="127">+AI86-AG86</f>
        <v>0</v>
      </c>
      <c r="AI86" s="782">
        <f t="shared" ref="AI86" si="128">+H86*T86</f>
        <v>0</v>
      </c>
      <c r="AJ86" s="781">
        <f t="shared" ref="AJ86" si="129">IF(P86="E",+ROUND(V86*H86,0),0)</f>
        <v>0</v>
      </c>
      <c r="AK86" s="781">
        <f t="shared" ref="AK86" si="130">+AL86-AJ86</f>
        <v>0</v>
      </c>
      <c r="AL86" s="781">
        <f t="shared" ref="AL86" si="131">ROUND(V86*H86,0)</f>
        <v>0</v>
      </c>
      <c r="AM86" s="781">
        <f t="shared" ref="AM86" si="132">IF(Q86="E",+ROUND(W86*H86,0),0)</f>
        <v>0</v>
      </c>
      <c r="AN86" s="781">
        <f t="shared" ref="AN86" si="133">+AO86-AM86</f>
        <v>0</v>
      </c>
      <c r="AO86" s="781">
        <f t="shared" ref="AO86" si="134">ROUND(W86*H86,0)</f>
        <v>0</v>
      </c>
      <c r="AP86" s="781">
        <f t="shared" ref="AP86" si="135">IF(P86="E",+ROUND(Y86*H86,0),0)</f>
        <v>0</v>
      </c>
      <c r="AQ86" s="781">
        <f t="shared" ref="AQ86" si="136">+AR86-AP86</f>
        <v>0</v>
      </c>
      <c r="AR86" s="781">
        <f t="shared" ref="AR86" si="137">ROUND(Y86*H86,0)</f>
        <v>0</v>
      </c>
      <c r="AS86" s="783">
        <f t="shared" ref="AS86" si="138">+AR86+AO86+AL86+AI86</f>
        <v>0</v>
      </c>
      <c r="AT86" s="917"/>
      <c r="AV86" s="170"/>
      <c r="AW86" s="832"/>
      <c r="AX86" s="833" t="s">
        <v>3030</v>
      </c>
      <c r="BM86" s="2010"/>
    </row>
    <row r="87" spans="1:65" ht="15.75" hidden="1" outlineLevel="1" thickBot="1" x14ac:dyDescent="0.3">
      <c r="A87" s="787"/>
      <c r="B87" s="904"/>
      <c r="C87" s="170"/>
      <c r="D87" s="906"/>
      <c r="E87" s="170"/>
      <c r="F87" s="170"/>
      <c r="G87" s="2007" t="s">
        <v>3546</v>
      </c>
      <c r="H87" s="2008">
        <v>0</v>
      </c>
      <c r="I87" s="2008" t="s">
        <v>671</v>
      </c>
      <c r="J87" s="1926"/>
      <c r="K87" s="1926"/>
      <c r="L87" s="170"/>
      <c r="M87" s="2701">
        <v>1.6</v>
      </c>
      <c r="N87" s="2010">
        <v>1</v>
      </c>
      <c r="O87" s="2702">
        <f t="shared" ref="O87:O88" si="139">+M87*N87</f>
        <v>1.6</v>
      </c>
      <c r="P87" s="2008" t="s">
        <v>39</v>
      </c>
      <c r="Q87" s="2008" t="s">
        <v>39</v>
      </c>
      <c r="R87" s="2011" t="s">
        <v>73</v>
      </c>
      <c r="S87" s="912">
        <f>SUMIF('Data Input sheet'!$B$118:$B$180,R87,'Data Input sheet'!$D$118:$D$180)</f>
        <v>119</v>
      </c>
      <c r="T87" s="2685">
        <f>ROUND(O87*S87,4)</f>
        <v>190.4</v>
      </c>
      <c r="U87" s="2013">
        <v>75</v>
      </c>
      <c r="V87" s="778">
        <f>ROUND(U87*O87,4)</f>
        <v>120</v>
      </c>
      <c r="W87" s="2010"/>
      <c r="X87" s="779"/>
      <c r="Y87" s="2012">
        <v>0</v>
      </c>
      <c r="Z87" s="780">
        <f t="shared" ref="Z87:Z88" si="140">T87+V87+W87+Y87</f>
        <v>310.39999999999998</v>
      </c>
      <c r="AA87" s="2007"/>
      <c r="AB87" s="2007"/>
      <c r="AC87" s="765"/>
      <c r="AD87" s="781">
        <f t="shared" ref="AD87:AD88" si="141">IF(P87="E",+ROUND(H87*O87,0),0)</f>
        <v>0</v>
      </c>
      <c r="AE87" s="778">
        <f t="shared" ref="AE87:AE88" si="142">+AF87-AD87</f>
        <v>0</v>
      </c>
      <c r="AF87" s="781">
        <f t="shared" ref="AF87:AF88" si="143">+H87*O87</f>
        <v>0</v>
      </c>
      <c r="AG87" s="781">
        <f t="shared" ref="AG87:AG88" si="144">IF(P87="E",+ROUND(T87*H87,0),0)</f>
        <v>0</v>
      </c>
      <c r="AH87" s="781">
        <f t="shared" ref="AH87:AH88" si="145">+AI87-AG87</f>
        <v>0</v>
      </c>
      <c r="AI87" s="782">
        <f t="shared" ref="AI87:AI88" si="146">+H87*T87</f>
        <v>0</v>
      </c>
      <c r="AJ87" s="781">
        <f t="shared" ref="AJ87:AJ88" si="147">IF(P87="E",+ROUND(V87*H87,0),0)</f>
        <v>0</v>
      </c>
      <c r="AK87" s="781">
        <f t="shared" ref="AK87:AK88" si="148">+AL87-AJ87</f>
        <v>0</v>
      </c>
      <c r="AL87" s="781">
        <f t="shared" ref="AL87:AL88" si="149">ROUND(V87*H87,0)</f>
        <v>0</v>
      </c>
      <c r="AM87" s="781">
        <f t="shared" ref="AM87:AM88" si="150">IF(Q87="E",+ROUND(W87*H87,0),0)</f>
        <v>0</v>
      </c>
      <c r="AN87" s="781">
        <f t="shared" ref="AN87:AN88" si="151">+AO87-AM87</f>
        <v>0</v>
      </c>
      <c r="AO87" s="781">
        <f t="shared" ref="AO87:AO88" si="152">ROUND(W87*H87,0)</f>
        <v>0</v>
      </c>
      <c r="AP87" s="781">
        <f t="shared" ref="AP87:AP88" si="153">IF(P87="E",+ROUND(Y87*H87,0),0)</f>
        <v>0</v>
      </c>
      <c r="AQ87" s="781">
        <f t="shared" ref="AQ87:AQ88" si="154">+AR87-AP87</f>
        <v>0</v>
      </c>
      <c r="AR87" s="781">
        <f t="shared" ref="AR87:AR88" si="155">ROUND(Y87*H87,0)</f>
        <v>0</v>
      </c>
      <c r="AS87" s="783">
        <f t="shared" ref="AS87:AS88" si="156">+AR87+AO87+AL87+AI87</f>
        <v>0</v>
      </c>
      <c r="AT87" s="917"/>
      <c r="AV87" s="170"/>
      <c r="AW87" s="832"/>
      <c r="AX87" s="833" t="s">
        <v>3030</v>
      </c>
      <c r="BM87" s="2010"/>
    </row>
    <row r="88" spans="1:65" ht="15.75" hidden="1" outlineLevel="1" thickBot="1" x14ac:dyDescent="0.3">
      <c r="A88" s="787"/>
      <c r="B88" s="904"/>
      <c r="C88" s="170"/>
      <c r="D88" s="906"/>
      <c r="E88" s="170"/>
      <c r="F88" s="170"/>
      <c r="G88" s="2007"/>
      <c r="H88" s="2008"/>
      <c r="I88" s="2008" t="s">
        <v>671</v>
      </c>
      <c r="J88" s="1926"/>
      <c r="K88" s="1926"/>
      <c r="L88" s="170"/>
      <c r="M88" s="2701">
        <v>0</v>
      </c>
      <c r="N88" s="2010">
        <v>1</v>
      </c>
      <c r="O88" s="2702">
        <f t="shared" si="139"/>
        <v>0</v>
      </c>
      <c r="P88" s="2008" t="s">
        <v>39</v>
      </c>
      <c r="Q88" s="2008" t="s">
        <v>39</v>
      </c>
      <c r="R88" s="2011" t="s">
        <v>73</v>
      </c>
      <c r="S88" s="912">
        <f>SUMIF('Data Input sheet'!$B$118:$B$180,R88,'Data Input sheet'!$D$118:$D$180)</f>
        <v>119</v>
      </c>
      <c r="T88" s="2685">
        <f>ROUND(O88*S88,4)</f>
        <v>0</v>
      </c>
      <c r="U88" s="2013">
        <v>0</v>
      </c>
      <c r="V88" s="778">
        <f>ROUND(U88*O88,4)</f>
        <v>0</v>
      </c>
      <c r="W88" s="2010"/>
      <c r="X88" s="779"/>
      <c r="Y88" s="2012">
        <v>0</v>
      </c>
      <c r="Z88" s="780">
        <f t="shared" si="140"/>
        <v>0</v>
      </c>
      <c r="AA88" s="2007"/>
      <c r="AB88" s="2007"/>
      <c r="AC88" s="765"/>
      <c r="AD88" s="781">
        <f t="shared" si="141"/>
        <v>0</v>
      </c>
      <c r="AE88" s="778">
        <f t="shared" si="142"/>
        <v>0</v>
      </c>
      <c r="AF88" s="781">
        <f t="shared" si="143"/>
        <v>0</v>
      </c>
      <c r="AG88" s="781">
        <f t="shared" si="144"/>
        <v>0</v>
      </c>
      <c r="AH88" s="781">
        <f t="shared" si="145"/>
        <v>0</v>
      </c>
      <c r="AI88" s="782">
        <f t="shared" si="146"/>
        <v>0</v>
      </c>
      <c r="AJ88" s="781">
        <f t="shared" si="147"/>
        <v>0</v>
      </c>
      <c r="AK88" s="781">
        <f t="shared" si="148"/>
        <v>0</v>
      </c>
      <c r="AL88" s="781">
        <f t="shared" si="149"/>
        <v>0</v>
      </c>
      <c r="AM88" s="781">
        <f t="shared" si="150"/>
        <v>0</v>
      </c>
      <c r="AN88" s="781">
        <f t="shared" si="151"/>
        <v>0</v>
      </c>
      <c r="AO88" s="781">
        <f t="shared" si="152"/>
        <v>0</v>
      </c>
      <c r="AP88" s="781">
        <f t="shared" si="153"/>
        <v>0</v>
      </c>
      <c r="AQ88" s="781">
        <f t="shared" si="154"/>
        <v>0</v>
      </c>
      <c r="AR88" s="781">
        <f t="shared" si="155"/>
        <v>0</v>
      </c>
      <c r="AS88" s="783">
        <f t="shared" si="156"/>
        <v>0</v>
      </c>
      <c r="AT88" s="917"/>
      <c r="AV88" s="170"/>
      <c r="AW88" s="832"/>
      <c r="AX88" s="833" t="s">
        <v>3030</v>
      </c>
      <c r="BM88" s="2010"/>
    </row>
    <row r="89" spans="1:65" ht="15.75" hidden="1" outlineLevel="1" thickBot="1" x14ac:dyDescent="0.3">
      <c r="A89" s="787"/>
      <c r="B89" s="904"/>
      <c r="C89" s="170"/>
      <c r="D89" s="906"/>
      <c r="E89" s="170"/>
      <c r="F89" s="170"/>
      <c r="G89" s="2007"/>
      <c r="H89" s="2008"/>
      <c r="I89" s="2008"/>
      <c r="J89" s="1926"/>
      <c r="K89" s="1926"/>
      <c r="L89" s="170"/>
      <c r="M89" s="2009"/>
      <c r="N89" s="2010"/>
      <c r="O89" s="773"/>
      <c r="P89" s="2008"/>
      <c r="Q89" s="2008" t="s">
        <v>39</v>
      </c>
      <c r="R89" s="2011" t="s">
        <v>73</v>
      </c>
      <c r="S89" s="912"/>
      <c r="T89" s="2685"/>
      <c r="U89" s="2013"/>
      <c r="V89" s="778"/>
      <c r="W89" s="2010"/>
      <c r="X89" s="779"/>
      <c r="Y89" s="2012"/>
      <c r="Z89" s="780"/>
      <c r="AA89" s="2007"/>
      <c r="AB89" s="2007"/>
      <c r="AC89" s="765"/>
      <c r="AD89" s="781"/>
      <c r="AE89" s="778"/>
      <c r="AF89" s="781"/>
      <c r="AG89" s="781"/>
      <c r="AH89" s="781"/>
      <c r="AI89" s="782"/>
      <c r="AJ89" s="781"/>
      <c r="AK89" s="781"/>
      <c r="AL89" s="781"/>
      <c r="AM89" s="781"/>
      <c r="AN89" s="781"/>
      <c r="AO89" s="781"/>
      <c r="AP89" s="781"/>
      <c r="AQ89" s="781"/>
      <c r="AR89" s="781"/>
      <c r="AS89" s="783"/>
      <c r="AT89" s="917"/>
      <c r="AV89" s="170"/>
      <c r="AW89" s="832"/>
      <c r="AX89" s="833"/>
      <c r="BM89" s="2010"/>
    </row>
    <row r="90" spans="1:65" ht="15.75" hidden="1" outlineLevel="1" thickBot="1" x14ac:dyDescent="0.3">
      <c r="A90" s="787"/>
      <c r="B90" s="904">
        <f>+B84+1</f>
        <v>74</v>
      </c>
      <c r="C90" s="170" t="str">
        <f t="shared" si="56"/>
        <v>14CY</v>
      </c>
      <c r="D90" s="906"/>
      <c r="E90" s="170"/>
      <c r="F90" s="170">
        <v>14</v>
      </c>
      <c r="G90" s="2007" t="s">
        <v>3506</v>
      </c>
      <c r="H90" s="2008">
        <v>0</v>
      </c>
      <c r="I90" s="2008" t="s">
        <v>671</v>
      </c>
      <c r="J90" s="1926"/>
      <c r="K90" s="1926"/>
      <c r="L90" s="170"/>
      <c r="M90" s="2009">
        <v>0.3</v>
      </c>
      <c r="N90" s="2010">
        <v>1</v>
      </c>
      <c r="O90" s="773">
        <f t="shared" ref="O90" si="157">+M90*N90</f>
        <v>0.3</v>
      </c>
      <c r="P90" s="2008" t="s">
        <v>39</v>
      </c>
      <c r="Q90" s="2008" t="s">
        <v>39</v>
      </c>
      <c r="R90" s="2011" t="s">
        <v>73</v>
      </c>
      <c r="S90" s="912">
        <f>SUMIF('Data Input sheet'!$B$118:$B$180,R90,'Data Input sheet'!$D$118:$D$180)</f>
        <v>119</v>
      </c>
      <c r="T90" s="2685">
        <f>+O90*S90</f>
        <v>35.699999999999996</v>
      </c>
      <c r="U90" s="2013">
        <v>28</v>
      </c>
      <c r="V90" s="778">
        <f t="shared" ref="V90" si="158">ROUND(U90*O90,0)</f>
        <v>8</v>
      </c>
      <c r="W90" s="2010">
        <v>35</v>
      </c>
      <c r="X90" s="779"/>
      <c r="Y90" s="2012"/>
      <c r="Z90" s="780">
        <f t="shared" ref="Z90" si="159">T90+V90+W90+Y90</f>
        <v>78.699999999999989</v>
      </c>
      <c r="AA90" s="2007"/>
      <c r="AB90" s="2007"/>
      <c r="AC90" s="765"/>
      <c r="AD90" s="781">
        <f t="shared" ref="AD90" si="160">IF(P90="E",+ROUND(H90*O90,0),0)</f>
        <v>0</v>
      </c>
      <c r="AE90" s="778">
        <f t="shared" ref="AE90" si="161">+AF90-AD90</f>
        <v>0</v>
      </c>
      <c r="AF90" s="781">
        <f t="shared" ref="AF90" si="162">+H90*O90</f>
        <v>0</v>
      </c>
      <c r="AG90" s="781">
        <f t="shared" ref="AG90" si="163">IF(P90="E",+ROUND(T90*H90,0),0)</f>
        <v>0</v>
      </c>
      <c r="AH90" s="781">
        <f t="shared" ref="AH90" si="164">+AI90-AG90</f>
        <v>0</v>
      </c>
      <c r="AI90" s="782">
        <f t="shared" ref="AI90" si="165">+H90*T90</f>
        <v>0</v>
      </c>
      <c r="AJ90" s="781">
        <f t="shared" ref="AJ90" si="166">IF(P90="E",+ROUND(V90*H90,0),0)</f>
        <v>0</v>
      </c>
      <c r="AK90" s="781">
        <f t="shared" ref="AK90" si="167">+AL90-AJ90</f>
        <v>0</v>
      </c>
      <c r="AL90" s="781">
        <f t="shared" ref="AL90" si="168">ROUND(V90*H90,0)</f>
        <v>0</v>
      </c>
      <c r="AM90" s="781">
        <f t="shared" ref="AM90" si="169">IF(Q90="E",+ROUND(W90*H90,0),0)</f>
        <v>0</v>
      </c>
      <c r="AN90" s="781">
        <f t="shared" ref="AN90" si="170">+AO90-AM90</f>
        <v>0</v>
      </c>
      <c r="AO90" s="781">
        <f t="shared" ref="AO90" si="171">ROUND(W90*H90,0)</f>
        <v>0</v>
      </c>
      <c r="AP90" s="781">
        <f t="shared" ref="AP90" si="172">IF(P90="E",+ROUND(Y90*H90,0),0)</f>
        <v>0</v>
      </c>
      <c r="AQ90" s="781">
        <f t="shared" ref="AQ90" si="173">+AR90-AP90</f>
        <v>0</v>
      </c>
      <c r="AR90" s="781">
        <f t="shared" ref="AR90" si="174">ROUND(Y90*H90,0)</f>
        <v>0</v>
      </c>
      <c r="AS90" s="783">
        <f t="shared" ref="AS90" si="175">+AR90+AO90+AL90+AI90</f>
        <v>0</v>
      </c>
      <c r="AT90" s="917"/>
      <c r="AV90" s="170"/>
      <c r="AW90" s="832"/>
      <c r="AX90" s="833" t="s">
        <v>3030</v>
      </c>
      <c r="BM90" s="2010">
        <v>34</v>
      </c>
    </row>
    <row r="91" spans="1:65" ht="15.75" hidden="1" outlineLevel="1" thickBot="1" x14ac:dyDescent="0.3">
      <c r="A91" s="784"/>
      <c r="B91" s="904">
        <f t="shared" si="57"/>
        <v>75</v>
      </c>
      <c r="C91" s="170" t="str">
        <f t="shared" si="56"/>
        <v>15CY</v>
      </c>
      <c r="D91" s="557"/>
      <c r="E91" s="170"/>
      <c r="F91" s="170">
        <v>15</v>
      </c>
      <c r="G91" s="2007" t="s">
        <v>3434</v>
      </c>
      <c r="H91" s="2008">
        <v>0</v>
      </c>
      <c r="I91" s="2008" t="s">
        <v>671</v>
      </c>
      <c r="J91" s="1926"/>
      <c r="K91" s="1926"/>
      <c r="L91" s="170"/>
      <c r="M91" s="2009">
        <v>0.2</v>
      </c>
      <c r="N91" s="2010">
        <v>1</v>
      </c>
      <c r="O91" s="773">
        <f t="shared" si="60"/>
        <v>0.2</v>
      </c>
      <c r="P91" s="2008" t="s">
        <v>39</v>
      </c>
      <c r="Q91" s="2008" t="s">
        <v>39</v>
      </c>
      <c r="R91" s="2011" t="s">
        <v>73</v>
      </c>
      <c r="S91" s="912">
        <f>SUMIF('Data Input sheet'!$B$118:$B$180,R91,'Data Input sheet'!$D$118:$D$180)</f>
        <v>119</v>
      </c>
      <c r="T91" s="2685">
        <f>+O91*S91</f>
        <v>23.8</v>
      </c>
      <c r="U91" s="2013">
        <v>28</v>
      </c>
      <c r="V91" s="778">
        <f t="shared" si="59"/>
        <v>6</v>
      </c>
      <c r="W91" s="2010">
        <v>50</v>
      </c>
      <c r="X91" s="779"/>
      <c r="Y91" s="2012"/>
      <c r="Z91" s="780">
        <f t="shared" si="62"/>
        <v>79.8</v>
      </c>
      <c r="AA91" s="2007"/>
      <c r="AB91" s="2007"/>
      <c r="AC91" s="765"/>
      <c r="AD91" s="781">
        <f t="shared" si="63"/>
        <v>0</v>
      </c>
      <c r="AE91" s="778">
        <f t="shared" si="64"/>
        <v>0</v>
      </c>
      <c r="AF91" s="781">
        <f t="shared" si="65"/>
        <v>0</v>
      </c>
      <c r="AG91" s="781">
        <f t="shared" si="66"/>
        <v>0</v>
      </c>
      <c r="AH91" s="781">
        <f t="shared" si="67"/>
        <v>0</v>
      </c>
      <c r="AI91" s="782">
        <f t="shared" si="68"/>
        <v>0</v>
      </c>
      <c r="AJ91" s="781">
        <f t="shared" si="69"/>
        <v>0</v>
      </c>
      <c r="AK91" s="781">
        <f t="shared" si="70"/>
        <v>0</v>
      </c>
      <c r="AL91" s="781">
        <f t="shared" si="71"/>
        <v>0</v>
      </c>
      <c r="AM91" s="781">
        <f t="shared" si="72"/>
        <v>0</v>
      </c>
      <c r="AN91" s="781">
        <f t="shared" si="73"/>
        <v>0</v>
      </c>
      <c r="AO91" s="781">
        <f t="shared" si="74"/>
        <v>0</v>
      </c>
      <c r="AP91" s="781">
        <f t="shared" si="75"/>
        <v>0</v>
      </c>
      <c r="AQ91" s="781">
        <f t="shared" si="76"/>
        <v>0</v>
      </c>
      <c r="AR91" s="781">
        <f t="shared" si="77"/>
        <v>0</v>
      </c>
      <c r="AS91" s="783">
        <f t="shared" si="78"/>
        <v>0</v>
      </c>
      <c r="AT91" s="917"/>
      <c r="AW91" s="832"/>
      <c r="AX91" s="833" t="s">
        <v>3030</v>
      </c>
      <c r="BM91" s="2010"/>
    </row>
    <row r="92" spans="1:65" ht="15.75" hidden="1" outlineLevel="1" thickBot="1" x14ac:dyDescent="0.3">
      <c r="A92" s="784"/>
      <c r="B92" s="904">
        <f t="shared" si="57"/>
        <v>76</v>
      </c>
      <c r="C92" s="170" t="str">
        <f t="shared" si="56"/>
        <v>0</v>
      </c>
      <c r="D92" s="557"/>
      <c r="E92" s="170"/>
      <c r="F92" s="170">
        <v>0</v>
      </c>
      <c r="G92" s="2007"/>
      <c r="H92" s="2008"/>
      <c r="I92" s="2008"/>
      <c r="J92" s="1926"/>
      <c r="K92" s="1926"/>
      <c r="L92" s="170"/>
      <c r="M92" s="2009"/>
      <c r="N92" s="2010">
        <v>1</v>
      </c>
      <c r="O92" s="773">
        <f t="shared" si="60"/>
        <v>0</v>
      </c>
      <c r="P92" s="2008" t="s">
        <v>39</v>
      </c>
      <c r="Q92" s="2008" t="s">
        <v>39</v>
      </c>
      <c r="R92" s="2011" t="s">
        <v>73</v>
      </c>
      <c r="S92" s="912">
        <f>SUMIF('Data Input sheet'!$B$118:$B$180,R92,'Data Input sheet'!$D$118:$D$180)</f>
        <v>119</v>
      </c>
      <c r="T92" s="2685">
        <f>+O92*S92</f>
        <v>0</v>
      </c>
      <c r="U92" s="2013">
        <v>0</v>
      </c>
      <c r="V92" s="778">
        <f t="shared" si="59"/>
        <v>0</v>
      </c>
      <c r="W92" s="2010"/>
      <c r="X92" s="779"/>
      <c r="Y92" s="2012"/>
      <c r="Z92" s="780">
        <f t="shared" si="62"/>
        <v>0</v>
      </c>
      <c r="AA92" s="2007"/>
      <c r="AB92" s="2007"/>
      <c r="AC92" s="765"/>
      <c r="AD92" s="781">
        <f t="shared" si="63"/>
        <v>0</v>
      </c>
      <c r="AE92" s="778">
        <f t="shared" si="64"/>
        <v>0</v>
      </c>
      <c r="AF92" s="781">
        <f t="shared" si="65"/>
        <v>0</v>
      </c>
      <c r="AG92" s="781">
        <f t="shared" si="66"/>
        <v>0</v>
      </c>
      <c r="AH92" s="781">
        <f t="shared" si="67"/>
        <v>0</v>
      </c>
      <c r="AI92" s="782">
        <f t="shared" si="68"/>
        <v>0</v>
      </c>
      <c r="AJ92" s="781">
        <f t="shared" si="69"/>
        <v>0</v>
      </c>
      <c r="AK92" s="781">
        <f t="shared" si="70"/>
        <v>0</v>
      </c>
      <c r="AL92" s="781">
        <f t="shared" si="71"/>
        <v>0</v>
      </c>
      <c r="AM92" s="781">
        <f t="shared" si="72"/>
        <v>0</v>
      </c>
      <c r="AN92" s="781">
        <f t="shared" si="73"/>
        <v>0</v>
      </c>
      <c r="AO92" s="781">
        <f t="shared" si="74"/>
        <v>0</v>
      </c>
      <c r="AP92" s="781">
        <f t="shared" si="75"/>
        <v>0</v>
      </c>
      <c r="AQ92" s="781">
        <f t="shared" si="76"/>
        <v>0</v>
      </c>
      <c r="AR92" s="781">
        <f t="shared" si="77"/>
        <v>0</v>
      </c>
      <c r="AS92" s="783">
        <f t="shared" si="78"/>
        <v>0</v>
      </c>
      <c r="AT92" s="917"/>
      <c r="AW92" s="832"/>
      <c r="AX92" s="833" t="s">
        <v>3030</v>
      </c>
      <c r="BM92" s="2010"/>
    </row>
    <row r="93" spans="1:65" ht="45.75" collapsed="1" thickBot="1" x14ac:dyDescent="0.3">
      <c r="A93" s="784"/>
      <c r="B93" s="904">
        <f t="shared" si="57"/>
        <v>77</v>
      </c>
      <c r="C93" s="170" t="str">
        <f t="shared" si="56"/>
        <v/>
      </c>
      <c r="D93" s="557"/>
      <c r="E93" s="170"/>
      <c r="F93" s="721"/>
      <c r="G93" s="2626" t="s">
        <v>1912</v>
      </c>
      <c r="H93" s="2629">
        <v>1</v>
      </c>
      <c r="I93" s="2008"/>
      <c r="J93" s="785" t="s">
        <v>2861</v>
      </c>
      <c r="K93" s="785"/>
      <c r="L93" s="721"/>
      <c r="M93" s="909"/>
      <c r="N93" s="910"/>
      <c r="O93" s="911"/>
      <c r="P93" s="908"/>
      <c r="Q93" s="908"/>
      <c r="R93" s="2011"/>
      <c r="S93" s="912">
        <f>SUMIF('Data Input sheet'!$B$118:$B$180,R93,'Data Input sheet'!$D$118:$D$180)</f>
        <v>0</v>
      </c>
      <c r="T93" s="2684"/>
      <c r="U93" s="2013">
        <v>0</v>
      </c>
      <c r="V93" s="778">
        <f t="shared" si="59"/>
        <v>0</v>
      </c>
      <c r="W93" s="910"/>
      <c r="X93" s="915"/>
      <c r="Y93" s="913"/>
      <c r="Z93" s="916"/>
      <c r="AA93" s="769" t="s">
        <v>2858</v>
      </c>
      <c r="AB93" s="769"/>
      <c r="AC93" s="765"/>
      <c r="AD93" s="781">
        <f t="shared" si="63"/>
        <v>0</v>
      </c>
      <c r="AE93" s="778">
        <f t="shared" si="64"/>
        <v>0</v>
      </c>
      <c r="AF93" s="781">
        <f t="shared" si="65"/>
        <v>0</v>
      </c>
      <c r="AG93" s="781">
        <f t="shared" si="66"/>
        <v>0</v>
      </c>
      <c r="AH93" s="781">
        <f t="shared" si="67"/>
        <v>0</v>
      </c>
      <c r="AI93" s="782">
        <f t="shared" si="68"/>
        <v>0</v>
      </c>
      <c r="AJ93" s="781">
        <f t="shared" si="69"/>
        <v>0</v>
      </c>
      <c r="AK93" s="781">
        <f t="shared" si="70"/>
        <v>0</v>
      </c>
      <c r="AL93" s="781">
        <f t="shared" si="71"/>
        <v>0</v>
      </c>
      <c r="AM93" s="781">
        <f t="shared" si="72"/>
        <v>0</v>
      </c>
      <c r="AN93" s="781">
        <f t="shared" si="73"/>
        <v>0</v>
      </c>
      <c r="AO93" s="781">
        <f t="shared" si="74"/>
        <v>0</v>
      </c>
      <c r="AP93" s="781">
        <f t="shared" si="75"/>
        <v>0</v>
      </c>
      <c r="AQ93" s="781">
        <f t="shared" si="76"/>
        <v>0</v>
      </c>
      <c r="AR93" s="781">
        <f t="shared" si="77"/>
        <v>0</v>
      </c>
      <c r="AS93" s="783">
        <f t="shared" si="78"/>
        <v>0</v>
      </c>
      <c r="AT93" s="917"/>
      <c r="AW93" s="832"/>
      <c r="AX93" s="833" t="s">
        <v>3048</v>
      </c>
      <c r="BM93" s="910"/>
    </row>
    <row r="94" spans="1:65" ht="15.75" hidden="1" outlineLevel="1" thickBot="1" x14ac:dyDescent="0.3">
      <c r="A94" s="784"/>
      <c r="B94" s="904">
        <f t="shared" si="57"/>
        <v>78</v>
      </c>
      <c r="C94" s="170" t="str">
        <f t="shared" si="56"/>
        <v>5CY</v>
      </c>
      <c r="D94" s="557"/>
      <c r="E94" s="170"/>
      <c r="F94" s="170">
        <v>5</v>
      </c>
      <c r="G94" s="2007" t="s">
        <v>2433</v>
      </c>
      <c r="H94" s="2630">
        <f t="shared" ref="H94:H106" si="176">+J94*X94</f>
        <v>0</v>
      </c>
      <c r="I94" s="2008" t="s">
        <v>671</v>
      </c>
      <c r="J94" s="1926"/>
      <c r="K94" s="1926" t="s">
        <v>732</v>
      </c>
      <c r="L94" s="721"/>
      <c r="M94" s="2689">
        <v>18.600000000000001</v>
      </c>
      <c r="N94" s="2010">
        <v>1</v>
      </c>
      <c r="O94" s="773">
        <f t="shared" ref="O94:O160" si="177">+M94*N94</f>
        <v>18.600000000000001</v>
      </c>
      <c r="P94" s="2008" t="s">
        <v>39</v>
      </c>
      <c r="Q94" s="2008" t="s">
        <v>39</v>
      </c>
      <c r="R94" s="2011" t="s">
        <v>73</v>
      </c>
      <c r="S94" s="912">
        <f>SUMIF('Data Input sheet'!$B$118:$B$180,R94,'Data Input sheet'!$D$118:$D$180)</f>
        <v>119</v>
      </c>
      <c r="T94" s="2685">
        <f t="shared" ref="T94:T160" si="178">+O94*S94</f>
        <v>2213.4</v>
      </c>
      <c r="U94" s="2013">
        <v>22</v>
      </c>
      <c r="V94" s="778">
        <f t="shared" si="19"/>
        <v>409</v>
      </c>
      <c r="W94" s="2010">
        <f>(125+(150*1.5)+5)</f>
        <v>355</v>
      </c>
      <c r="X94" s="779">
        <f>30.1*4</f>
        <v>120.4</v>
      </c>
      <c r="Y94" s="2012"/>
      <c r="Z94" s="780">
        <f t="shared" ref="Z94:Z160" si="179">T94+V94+W94+Y94</f>
        <v>2977.4</v>
      </c>
      <c r="AA94" s="2007"/>
      <c r="AB94" s="2007"/>
      <c r="AC94" s="765"/>
      <c r="AD94" s="781">
        <f t="shared" si="63"/>
        <v>0</v>
      </c>
      <c r="AE94" s="778">
        <f t="shared" si="64"/>
        <v>0</v>
      </c>
      <c r="AF94" s="781">
        <f t="shared" si="65"/>
        <v>0</v>
      </c>
      <c r="AG94" s="781">
        <f t="shared" si="66"/>
        <v>0</v>
      </c>
      <c r="AH94" s="781">
        <f t="shared" si="67"/>
        <v>0</v>
      </c>
      <c r="AI94" s="782">
        <f t="shared" si="68"/>
        <v>0</v>
      </c>
      <c r="AJ94" s="781">
        <f t="shared" si="69"/>
        <v>0</v>
      </c>
      <c r="AK94" s="781">
        <f t="shared" si="70"/>
        <v>0</v>
      </c>
      <c r="AL94" s="781">
        <f t="shared" si="71"/>
        <v>0</v>
      </c>
      <c r="AM94" s="781">
        <f t="shared" si="72"/>
        <v>0</v>
      </c>
      <c r="AN94" s="781">
        <f t="shared" si="73"/>
        <v>0</v>
      </c>
      <c r="AO94" s="781">
        <f t="shared" si="74"/>
        <v>0</v>
      </c>
      <c r="AP94" s="781">
        <f t="shared" si="75"/>
        <v>0</v>
      </c>
      <c r="AQ94" s="781">
        <f t="shared" si="76"/>
        <v>0</v>
      </c>
      <c r="AR94" s="781">
        <f t="shared" si="77"/>
        <v>0</v>
      </c>
      <c r="AS94" s="783">
        <f t="shared" si="78"/>
        <v>0</v>
      </c>
      <c r="AT94" s="917"/>
      <c r="AW94" s="832"/>
      <c r="AX94" s="833" t="s">
        <v>3445</v>
      </c>
      <c r="BM94" s="2010">
        <v>8605.2096000000001</v>
      </c>
    </row>
    <row r="95" spans="1:65" ht="26.25" hidden="1" customHeight="1" outlineLevel="1" x14ac:dyDescent="0.3">
      <c r="A95" s="784"/>
      <c r="B95" s="904">
        <f t="shared" si="57"/>
        <v>79</v>
      </c>
      <c r="C95" s="170" t="str">
        <f t="shared" si="56"/>
        <v>5CY</v>
      </c>
      <c r="D95" s="557"/>
      <c r="E95" s="170"/>
      <c r="F95" s="170">
        <v>5</v>
      </c>
      <c r="G95" s="2007" t="s">
        <v>3204</v>
      </c>
      <c r="H95" s="2630">
        <f t="shared" si="176"/>
        <v>0</v>
      </c>
      <c r="I95" s="2008" t="s">
        <v>671</v>
      </c>
      <c r="J95" s="1926"/>
      <c r="K95" s="1926" t="s">
        <v>732</v>
      </c>
      <c r="L95" s="721"/>
      <c r="M95" s="2517">
        <v>18.254872881355933</v>
      </c>
      <c r="N95" s="2010">
        <v>1</v>
      </c>
      <c r="O95" s="773">
        <f t="shared" si="177"/>
        <v>18.254872881355933</v>
      </c>
      <c r="P95" s="2008" t="s">
        <v>39</v>
      </c>
      <c r="Q95" s="2008" t="s">
        <v>39</v>
      </c>
      <c r="R95" s="2011" t="s">
        <v>73</v>
      </c>
      <c r="S95" s="912">
        <f>SUMIF('Data Input sheet'!$B$118:$B$180,R95,'Data Input sheet'!$D$118:$D$180)</f>
        <v>119</v>
      </c>
      <c r="T95" s="2685">
        <f t="shared" si="178"/>
        <v>2172.3298728813561</v>
      </c>
      <c r="U95" s="2013">
        <v>20.211694000000001</v>
      </c>
      <c r="V95" s="2679">
        <f t="shared" si="19"/>
        <v>369</v>
      </c>
      <c r="W95" s="2010">
        <v>681.14406779661022</v>
      </c>
      <c r="X95" s="2518">
        <v>9.44</v>
      </c>
      <c r="Y95" s="2012"/>
      <c r="Z95" s="780">
        <f t="shared" si="179"/>
        <v>3222.4739406779663</v>
      </c>
      <c r="AA95" s="1886"/>
      <c r="AB95" s="2007"/>
      <c r="AC95" s="765"/>
      <c r="AD95" s="781">
        <f t="shared" si="63"/>
        <v>0</v>
      </c>
      <c r="AE95" s="778">
        <f t="shared" si="64"/>
        <v>0</v>
      </c>
      <c r="AF95" s="781">
        <f t="shared" si="65"/>
        <v>0</v>
      </c>
      <c r="AG95" s="781">
        <f t="shared" si="66"/>
        <v>0</v>
      </c>
      <c r="AH95" s="781">
        <f t="shared" si="67"/>
        <v>0</v>
      </c>
      <c r="AI95" s="782">
        <f t="shared" si="68"/>
        <v>0</v>
      </c>
      <c r="AJ95" s="781">
        <f t="shared" si="69"/>
        <v>0</v>
      </c>
      <c r="AK95" s="781">
        <f t="shared" si="70"/>
        <v>0</v>
      </c>
      <c r="AL95" s="781">
        <f t="shared" si="71"/>
        <v>0</v>
      </c>
      <c r="AM95" s="781">
        <f t="shared" si="72"/>
        <v>0</v>
      </c>
      <c r="AN95" s="781">
        <f t="shared" si="73"/>
        <v>0</v>
      </c>
      <c r="AO95" s="781">
        <f t="shared" si="74"/>
        <v>0</v>
      </c>
      <c r="AP95" s="781">
        <f t="shared" si="75"/>
        <v>0</v>
      </c>
      <c r="AQ95" s="781">
        <f t="shared" si="76"/>
        <v>0</v>
      </c>
      <c r="AR95" s="781">
        <f t="shared" si="77"/>
        <v>0</v>
      </c>
      <c r="AS95" s="783">
        <f t="shared" si="78"/>
        <v>0</v>
      </c>
      <c r="AT95" s="917"/>
      <c r="AW95" s="832"/>
      <c r="AX95" s="833" t="s">
        <v>3337</v>
      </c>
      <c r="BM95" s="2010">
        <v>2017.3400000000001</v>
      </c>
    </row>
    <row r="96" spans="1:65" ht="26.25" hidden="1" outlineLevel="1" thickBot="1" x14ac:dyDescent="0.3">
      <c r="A96" s="784"/>
      <c r="B96" s="904">
        <f t="shared" si="57"/>
        <v>80</v>
      </c>
      <c r="C96" s="170" t="str">
        <f t="shared" si="56"/>
        <v>5CY</v>
      </c>
      <c r="D96" s="557"/>
      <c r="E96" s="170"/>
      <c r="F96" s="170">
        <v>5</v>
      </c>
      <c r="G96" s="2007" t="s">
        <v>3205</v>
      </c>
      <c r="H96" s="2630">
        <f t="shared" si="176"/>
        <v>0</v>
      </c>
      <c r="I96" s="2008" t="s">
        <v>671</v>
      </c>
      <c r="J96" s="1926"/>
      <c r="K96" s="1926" t="s">
        <v>732</v>
      </c>
      <c r="L96" s="721"/>
      <c r="M96" s="2517">
        <v>15.87716836734694</v>
      </c>
      <c r="N96" s="2010">
        <v>1</v>
      </c>
      <c r="O96" s="773">
        <f t="shared" si="177"/>
        <v>15.87716836734694</v>
      </c>
      <c r="P96" s="2008" t="s">
        <v>39</v>
      </c>
      <c r="Q96" s="2008" t="s">
        <v>39</v>
      </c>
      <c r="R96" s="2011" t="s">
        <v>73</v>
      </c>
      <c r="S96" s="912">
        <f>SUMIF('Data Input sheet'!$B$118:$B$180,R96,'Data Input sheet'!$D$118:$D$180)</f>
        <v>119</v>
      </c>
      <c r="T96" s="2685">
        <f t="shared" si="178"/>
        <v>1889.3830357142858</v>
      </c>
      <c r="U96" s="2013">
        <v>82.681943000000004</v>
      </c>
      <c r="V96" s="2679">
        <f t="shared" si="19"/>
        <v>1313</v>
      </c>
      <c r="W96" s="2010">
        <v>643.23979591836735</v>
      </c>
      <c r="X96" s="2518">
        <v>7.84</v>
      </c>
      <c r="Y96" s="2012"/>
      <c r="Z96" s="780">
        <f t="shared" si="179"/>
        <v>3845.6228316326533</v>
      </c>
      <c r="AA96" s="1886"/>
      <c r="AB96" s="2007"/>
      <c r="AC96" s="765"/>
      <c r="AD96" s="781">
        <f t="shared" si="63"/>
        <v>0</v>
      </c>
      <c r="AE96" s="778">
        <f t="shared" si="64"/>
        <v>0</v>
      </c>
      <c r="AF96" s="781">
        <f t="shared" si="65"/>
        <v>0</v>
      </c>
      <c r="AG96" s="781">
        <f t="shared" si="66"/>
        <v>0</v>
      </c>
      <c r="AH96" s="781">
        <f t="shared" si="67"/>
        <v>0</v>
      </c>
      <c r="AI96" s="782">
        <f t="shared" si="68"/>
        <v>0</v>
      </c>
      <c r="AJ96" s="781">
        <f t="shared" si="69"/>
        <v>0</v>
      </c>
      <c r="AK96" s="781">
        <f t="shared" si="70"/>
        <v>0</v>
      </c>
      <c r="AL96" s="781">
        <f t="shared" si="71"/>
        <v>0</v>
      </c>
      <c r="AM96" s="781">
        <f t="shared" si="72"/>
        <v>0</v>
      </c>
      <c r="AN96" s="781">
        <f t="shared" si="73"/>
        <v>0</v>
      </c>
      <c r="AO96" s="781">
        <f t="shared" si="74"/>
        <v>0</v>
      </c>
      <c r="AP96" s="781">
        <f t="shared" si="75"/>
        <v>0</v>
      </c>
      <c r="AQ96" s="781">
        <f t="shared" si="76"/>
        <v>0</v>
      </c>
      <c r="AR96" s="781">
        <f t="shared" si="77"/>
        <v>0</v>
      </c>
      <c r="AS96" s="783">
        <f t="shared" si="78"/>
        <v>0</v>
      </c>
      <c r="AT96" s="917"/>
      <c r="AW96" s="832"/>
      <c r="AX96" s="833" t="s">
        <v>3338</v>
      </c>
      <c r="BM96" s="2010">
        <v>5736.8064000000004</v>
      </c>
    </row>
    <row r="97" spans="1:65" ht="27" hidden="1" customHeight="1" outlineLevel="1" x14ac:dyDescent="0.3">
      <c r="A97" s="784"/>
      <c r="B97" s="904">
        <f t="shared" si="57"/>
        <v>81</v>
      </c>
      <c r="C97" s="170" t="str">
        <f t="shared" si="56"/>
        <v>5CY</v>
      </c>
      <c r="D97" s="557"/>
      <c r="E97" s="170"/>
      <c r="F97" s="170">
        <v>5</v>
      </c>
      <c r="G97" s="2007" t="s">
        <v>3206</v>
      </c>
      <c r="H97" s="2630">
        <f t="shared" si="176"/>
        <v>0</v>
      </c>
      <c r="I97" s="2008" t="s">
        <v>671</v>
      </c>
      <c r="J97" s="1926"/>
      <c r="K97" s="1926" t="s">
        <v>732</v>
      </c>
      <c r="L97" s="721"/>
      <c r="M97" s="2517">
        <v>18.579464285714288</v>
      </c>
      <c r="N97" s="2010">
        <v>1</v>
      </c>
      <c r="O97" s="773">
        <f t="shared" si="177"/>
        <v>18.579464285714288</v>
      </c>
      <c r="P97" s="2008" t="s">
        <v>39</v>
      </c>
      <c r="Q97" s="2008" t="s">
        <v>39</v>
      </c>
      <c r="R97" s="2011" t="s">
        <v>73</v>
      </c>
      <c r="S97" s="912">
        <f>SUMIF('Data Input sheet'!$B$118:$B$180,R97,'Data Input sheet'!$D$118:$D$180)</f>
        <v>119</v>
      </c>
      <c r="T97" s="2685">
        <f t="shared" si="178"/>
        <v>2210.9562500000002</v>
      </c>
      <c r="U97" s="2013">
        <v>23.363292999999999</v>
      </c>
      <c r="V97" s="2679">
        <f t="shared" si="19"/>
        <v>434</v>
      </c>
      <c r="W97" s="2010">
        <v>757.88690476190482</v>
      </c>
      <c r="X97" s="2518">
        <v>6.72</v>
      </c>
      <c r="Y97" s="2012"/>
      <c r="Z97" s="780">
        <f t="shared" si="179"/>
        <v>3402.8431547619048</v>
      </c>
      <c r="AA97" s="1886"/>
      <c r="AB97" s="2007"/>
      <c r="AC97" s="765"/>
      <c r="AD97" s="781">
        <f t="shared" si="63"/>
        <v>0</v>
      </c>
      <c r="AE97" s="778">
        <f t="shared" si="64"/>
        <v>0</v>
      </c>
      <c r="AF97" s="781">
        <f t="shared" si="65"/>
        <v>0</v>
      </c>
      <c r="AG97" s="781">
        <f t="shared" si="66"/>
        <v>0</v>
      </c>
      <c r="AH97" s="781">
        <f t="shared" si="67"/>
        <v>0</v>
      </c>
      <c r="AI97" s="782">
        <f t="shared" si="68"/>
        <v>0</v>
      </c>
      <c r="AJ97" s="781">
        <f t="shared" si="69"/>
        <v>0</v>
      </c>
      <c r="AK97" s="781">
        <f t="shared" si="70"/>
        <v>0</v>
      </c>
      <c r="AL97" s="781">
        <f t="shared" si="71"/>
        <v>0</v>
      </c>
      <c r="AM97" s="781">
        <f t="shared" si="72"/>
        <v>0</v>
      </c>
      <c r="AN97" s="781">
        <f t="shared" si="73"/>
        <v>0</v>
      </c>
      <c r="AO97" s="781">
        <f t="shared" si="74"/>
        <v>0</v>
      </c>
      <c r="AP97" s="781">
        <f t="shared" si="75"/>
        <v>0</v>
      </c>
      <c r="AQ97" s="781">
        <f t="shared" si="76"/>
        <v>0</v>
      </c>
      <c r="AR97" s="781">
        <f t="shared" si="77"/>
        <v>0</v>
      </c>
      <c r="AS97" s="783">
        <f t="shared" si="78"/>
        <v>0</v>
      </c>
      <c r="AT97" s="917"/>
      <c r="AW97" s="832"/>
      <c r="AX97" s="833" t="s">
        <v>3339</v>
      </c>
      <c r="AZ97" s="160"/>
      <c r="BM97" s="2010">
        <v>1234.2616</v>
      </c>
    </row>
    <row r="98" spans="1:65" ht="27" hidden="1" customHeight="1" outlineLevel="1" x14ac:dyDescent="0.3">
      <c r="A98" s="784"/>
      <c r="B98" s="904">
        <f t="shared" si="57"/>
        <v>82</v>
      </c>
      <c r="C98" s="170" t="str">
        <f t="shared" si="56"/>
        <v>5CY</v>
      </c>
      <c r="D98" s="557"/>
      <c r="E98" s="170"/>
      <c r="F98" s="170">
        <v>5</v>
      </c>
      <c r="G98" s="2007" t="s">
        <v>3207</v>
      </c>
      <c r="H98" s="2630">
        <f t="shared" si="176"/>
        <v>0</v>
      </c>
      <c r="I98" s="2008" t="s">
        <v>671</v>
      </c>
      <c r="J98" s="1926"/>
      <c r="K98" s="1926" t="s">
        <v>732</v>
      </c>
      <c r="L98" s="721"/>
      <c r="M98" s="2517">
        <v>15.103504672897195</v>
      </c>
      <c r="N98" s="2010">
        <v>1</v>
      </c>
      <c r="O98" s="773">
        <f t="shared" si="177"/>
        <v>15.103504672897195</v>
      </c>
      <c r="P98" s="2008" t="s">
        <v>39</v>
      </c>
      <c r="Q98" s="2008" t="s">
        <v>39</v>
      </c>
      <c r="R98" s="2011" t="s">
        <v>73</v>
      </c>
      <c r="S98" s="912">
        <f>SUMIF('Data Input sheet'!$B$118:$B$180,R98,'Data Input sheet'!$D$118:$D$180)</f>
        <v>119</v>
      </c>
      <c r="T98" s="2685">
        <f t="shared" si="178"/>
        <v>1797.3170560747662</v>
      </c>
      <c r="U98" s="2013">
        <v>41.056274999999999</v>
      </c>
      <c r="V98" s="2679">
        <f t="shared" si="19"/>
        <v>620</v>
      </c>
      <c r="W98" s="2010">
        <v>620.09345794392516</v>
      </c>
      <c r="X98" s="2518">
        <v>4.28</v>
      </c>
      <c r="Y98" s="2012"/>
      <c r="Z98" s="780">
        <f t="shared" si="179"/>
        <v>3037.4105140186912</v>
      </c>
      <c r="AA98" s="2007"/>
      <c r="AB98" s="2007"/>
      <c r="AC98" s="765"/>
      <c r="AD98" s="781">
        <f t="shared" si="63"/>
        <v>0</v>
      </c>
      <c r="AE98" s="778">
        <f t="shared" si="64"/>
        <v>0</v>
      </c>
      <c r="AF98" s="781">
        <f t="shared" si="65"/>
        <v>0</v>
      </c>
      <c r="AG98" s="781">
        <f t="shared" si="66"/>
        <v>0</v>
      </c>
      <c r="AH98" s="781">
        <f t="shared" si="67"/>
        <v>0</v>
      </c>
      <c r="AI98" s="782">
        <f t="shared" si="68"/>
        <v>0</v>
      </c>
      <c r="AJ98" s="781">
        <f t="shared" si="69"/>
        <v>0</v>
      </c>
      <c r="AK98" s="781">
        <f t="shared" si="70"/>
        <v>0</v>
      </c>
      <c r="AL98" s="781">
        <f t="shared" si="71"/>
        <v>0</v>
      </c>
      <c r="AM98" s="781">
        <f t="shared" si="72"/>
        <v>0</v>
      </c>
      <c r="AN98" s="781">
        <f t="shared" si="73"/>
        <v>0</v>
      </c>
      <c r="AO98" s="781">
        <f t="shared" si="74"/>
        <v>0</v>
      </c>
      <c r="AP98" s="781">
        <f t="shared" si="75"/>
        <v>0</v>
      </c>
      <c r="AQ98" s="781">
        <f t="shared" si="76"/>
        <v>0</v>
      </c>
      <c r="AR98" s="781">
        <f t="shared" si="77"/>
        <v>0</v>
      </c>
      <c r="AS98" s="783">
        <f t="shared" si="78"/>
        <v>0</v>
      </c>
      <c r="AT98" s="917"/>
      <c r="AW98" s="832"/>
      <c r="AX98" s="833" t="s">
        <v>3340</v>
      </c>
      <c r="BM98" s="2010">
        <v>5736.8064000000004</v>
      </c>
    </row>
    <row r="99" spans="1:65" ht="27" hidden="1" customHeight="1" outlineLevel="1" x14ac:dyDescent="0.3">
      <c r="A99" s="784"/>
      <c r="B99" s="904">
        <f t="shared" si="57"/>
        <v>83</v>
      </c>
      <c r="C99" s="170" t="str">
        <f t="shared" si="56"/>
        <v>5CY</v>
      </c>
      <c r="D99" s="557"/>
      <c r="E99" s="170"/>
      <c r="F99" s="170">
        <v>5</v>
      </c>
      <c r="G99" s="2007" t="s">
        <v>3208</v>
      </c>
      <c r="H99" s="2630">
        <f t="shared" si="176"/>
        <v>0</v>
      </c>
      <c r="I99" s="2008" t="s">
        <v>671</v>
      </c>
      <c r="J99" s="1926"/>
      <c r="K99" s="1926" t="s">
        <v>732</v>
      </c>
      <c r="L99" s="721"/>
      <c r="M99" s="2517">
        <v>18.915797788309636</v>
      </c>
      <c r="N99" s="2010">
        <v>1</v>
      </c>
      <c r="O99" s="773">
        <f t="shared" si="177"/>
        <v>18.915797788309636</v>
      </c>
      <c r="P99" s="2008" t="s">
        <v>39</v>
      </c>
      <c r="Q99" s="2008" t="s">
        <v>39</v>
      </c>
      <c r="R99" s="2011" t="s">
        <v>73</v>
      </c>
      <c r="S99" s="912">
        <f>SUMIF('Data Input sheet'!$B$118:$B$180,R99,'Data Input sheet'!$D$118:$D$180)</f>
        <v>119</v>
      </c>
      <c r="T99" s="2685">
        <f t="shared" si="178"/>
        <v>2250.9799368088466</v>
      </c>
      <c r="U99" s="2013">
        <v>21.922999999999998</v>
      </c>
      <c r="V99" s="2679">
        <f t="shared" si="19"/>
        <v>415</v>
      </c>
      <c r="W99" s="2010">
        <v>696.84044233807265</v>
      </c>
      <c r="X99" s="2518">
        <v>6.33</v>
      </c>
      <c r="Y99" s="2012"/>
      <c r="Z99" s="780">
        <f t="shared" si="179"/>
        <v>3362.8203791469191</v>
      </c>
      <c r="AA99" s="1886"/>
      <c r="AB99" s="2007"/>
      <c r="AC99" s="765"/>
      <c r="AD99" s="781">
        <f t="shared" si="63"/>
        <v>0</v>
      </c>
      <c r="AE99" s="778">
        <f t="shared" si="64"/>
        <v>0</v>
      </c>
      <c r="AF99" s="781">
        <f t="shared" si="65"/>
        <v>0</v>
      </c>
      <c r="AG99" s="781">
        <f t="shared" si="66"/>
        <v>0</v>
      </c>
      <c r="AH99" s="781">
        <f t="shared" si="67"/>
        <v>0</v>
      </c>
      <c r="AI99" s="782">
        <f t="shared" si="68"/>
        <v>0</v>
      </c>
      <c r="AJ99" s="781">
        <f t="shared" si="69"/>
        <v>0</v>
      </c>
      <c r="AK99" s="781">
        <f t="shared" si="70"/>
        <v>0</v>
      </c>
      <c r="AL99" s="781">
        <f t="shared" si="71"/>
        <v>0</v>
      </c>
      <c r="AM99" s="781">
        <f t="shared" si="72"/>
        <v>0</v>
      </c>
      <c r="AN99" s="781">
        <f t="shared" si="73"/>
        <v>0</v>
      </c>
      <c r="AO99" s="781">
        <f t="shared" si="74"/>
        <v>0</v>
      </c>
      <c r="AP99" s="781">
        <f t="shared" si="75"/>
        <v>0</v>
      </c>
      <c r="AQ99" s="781">
        <f t="shared" si="76"/>
        <v>0</v>
      </c>
      <c r="AR99" s="781">
        <f t="shared" si="77"/>
        <v>0</v>
      </c>
      <c r="AS99" s="783">
        <f t="shared" si="78"/>
        <v>0</v>
      </c>
      <c r="AT99" s="917"/>
      <c r="AW99" s="832"/>
      <c r="AX99" s="2676" t="s">
        <v>3411</v>
      </c>
      <c r="BM99" s="2010">
        <v>1873.0087999999998</v>
      </c>
    </row>
    <row r="100" spans="1:65" ht="27" hidden="1" customHeight="1" outlineLevel="1" x14ac:dyDescent="0.3">
      <c r="A100" s="784"/>
      <c r="B100" s="904">
        <f t="shared" si="57"/>
        <v>84</v>
      </c>
      <c r="C100" s="170" t="str">
        <f t="shared" si="56"/>
        <v>5CY</v>
      </c>
      <c r="D100" s="557"/>
      <c r="E100" s="170"/>
      <c r="F100" s="170">
        <v>5</v>
      </c>
      <c r="G100" s="2007" t="s">
        <v>3209</v>
      </c>
      <c r="H100" s="2630">
        <f t="shared" si="176"/>
        <v>0</v>
      </c>
      <c r="I100" s="2008" t="s">
        <v>671</v>
      </c>
      <c r="J100" s="1926"/>
      <c r="K100" s="1926" t="s">
        <v>732</v>
      </c>
      <c r="L100" s="721"/>
      <c r="M100" s="2517">
        <v>17.551052631578948</v>
      </c>
      <c r="N100" s="2010">
        <v>1</v>
      </c>
      <c r="O100" s="773">
        <f t="shared" si="177"/>
        <v>17.551052631578948</v>
      </c>
      <c r="P100" s="2008" t="s">
        <v>39</v>
      </c>
      <c r="Q100" s="2008" t="s">
        <v>39</v>
      </c>
      <c r="R100" s="2011" t="s">
        <v>73</v>
      </c>
      <c r="S100" s="912">
        <f>SUMIF('Data Input sheet'!$B$118:$B$180,R100,'Data Input sheet'!$D$118:$D$180)</f>
        <v>119</v>
      </c>
      <c r="T100" s="2685">
        <f t="shared" si="178"/>
        <v>2088.5752631578948</v>
      </c>
      <c r="U100" s="2013">
        <v>82.67</v>
      </c>
      <c r="V100" s="2679">
        <f t="shared" si="19"/>
        <v>1451</v>
      </c>
      <c r="W100" s="2010">
        <v>528.42105263157896</v>
      </c>
      <c r="X100" s="2518">
        <v>5.7</v>
      </c>
      <c r="Y100" s="2012"/>
      <c r="Z100" s="780">
        <f t="shared" si="179"/>
        <v>4067.9963157894736</v>
      </c>
      <c r="AA100" s="1886"/>
      <c r="AB100" s="2007"/>
      <c r="AC100" s="765"/>
      <c r="AD100" s="781">
        <f t="shared" si="63"/>
        <v>0</v>
      </c>
      <c r="AE100" s="778">
        <f t="shared" si="64"/>
        <v>0</v>
      </c>
      <c r="AF100" s="781">
        <f t="shared" si="65"/>
        <v>0</v>
      </c>
      <c r="AG100" s="781">
        <f t="shared" si="66"/>
        <v>0</v>
      </c>
      <c r="AH100" s="781">
        <f t="shared" si="67"/>
        <v>0</v>
      </c>
      <c r="AI100" s="782">
        <f t="shared" si="68"/>
        <v>0</v>
      </c>
      <c r="AJ100" s="781">
        <f t="shared" si="69"/>
        <v>0</v>
      </c>
      <c r="AK100" s="781">
        <f t="shared" si="70"/>
        <v>0</v>
      </c>
      <c r="AL100" s="781">
        <f t="shared" si="71"/>
        <v>0</v>
      </c>
      <c r="AM100" s="781">
        <f t="shared" si="72"/>
        <v>0</v>
      </c>
      <c r="AN100" s="781">
        <f t="shared" si="73"/>
        <v>0</v>
      </c>
      <c r="AO100" s="781">
        <f t="shared" si="74"/>
        <v>0</v>
      </c>
      <c r="AP100" s="781">
        <f t="shared" si="75"/>
        <v>0</v>
      </c>
      <c r="AQ100" s="781">
        <f t="shared" si="76"/>
        <v>0</v>
      </c>
      <c r="AR100" s="781">
        <f t="shared" si="77"/>
        <v>0</v>
      </c>
      <c r="AS100" s="783">
        <f t="shared" si="78"/>
        <v>0</v>
      </c>
      <c r="AT100" s="917"/>
      <c r="AW100" s="832"/>
      <c r="AX100" s="833" t="s">
        <v>3341</v>
      </c>
      <c r="BM100" s="2010">
        <v>5736.8064000000004</v>
      </c>
    </row>
    <row r="101" spans="1:65" ht="27" hidden="1" customHeight="1" outlineLevel="1" x14ac:dyDescent="0.3">
      <c r="A101" s="784"/>
      <c r="B101" s="904">
        <f t="shared" si="57"/>
        <v>85</v>
      </c>
      <c r="C101" s="170" t="str">
        <f t="shared" si="56"/>
        <v>5CY</v>
      </c>
      <c r="D101" s="557"/>
      <c r="E101" s="170"/>
      <c r="F101" s="170">
        <v>5</v>
      </c>
      <c r="G101" s="2007" t="s">
        <v>3210</v>
      </c>
      <c r="H101" s="2630">
        <f t="shared" si="176"/>
        <v>0</v>
      </c>
      <c r="I101" s="2008" t="s">
        <v>671</v>
      </c>
      <c r="J101" s="1926"/>
      <c r="K101" s="1926" t="s">
        <v>732</v>
      </c>
      <c r="L101" s="721"/>
      <c r="M101" s="2517">
        <v>18.254661016949154</v>
      </c>
      <c r="N101" s="2010">
        <v>1</v>
      </c>
      <c r="O101" s="773">
        <f t="shared" si="177"/>
        <v>18.254661016949154</v>
      </c>
      <c r="P101" s="2008" t="s">
        <v>39</v>
      </c>
      <c r="Q101" s="2008" t="s">
        <v>39</v>
      </c>
      <c r="R101" s="2011" t="s">
        <v>73</v>
      </c>
      <c r="S101" s="912">
        <f>SUMIF('Data Input sheet'!$B$118:$B$180,R101,'Data Input sheet'!$D$118:$D$180)</f>
        <v>119</v>
      </c>
      <c r="T101" s="2685">
        <f t="shared" si="178"/>
        <v>2172.3046610169495</v>
      </c>
      <c r="U101" s="2013">
        <v>20.193418000000001</v>
      </c>
      <c r="V101" s="2679">
        <f t="shared" si="19"/>
        <v>369</v>
      </c>
      <c r="W101" s="2010">
        <v>681.3559322033899</v>
      </c>
      <c r="X101" s="2518">
        <v>4.72</v>
      </c>
      <c r="Y101" s="2012"/>
      <c r="Z101" s="780">
        <f t="shared" si="179"/>
        <v>3222.6605932203393</v>
      </c>
      <c r="AA101" s="1886"/>
      <c r="AB101" s="2007"/>
      <c r="AC101" s="765"/>
      <c r="AD101" s="781">
        <f t="shared" si="63"/>
        <v>0</v>
      </c>
      <c r="AE101" s="778">
        <f t="shared" si="64"/>
        <v>0</v>
      </c>
      <c r="AF101" s="781">
        <f t="shared" si="65"/>
        <v>0</v>
      </c>
      <c r="AG101" s="781">
        <f t="shared" si="66"/>
        <v>0</v>
      </c>
      <c r="AH101" s="781">
        <f t="shared" si="67"/>
        <v>0</v>
      </c>
      <c r="AI101" s="782">
        <f t="shared" si="68"/>
        <v>0</v>
      </c>
      <c r="AJ101" s="781">
        <f t="shared" si="69"/>
        <v>0</v>
      </c>
      <c r="AK101" s="781">
        <f t="shared" si="70"/>
        <v>0</v>
      </c>
      <c r="AL101" s="781">
        <f t="shared" si="71"/>
        <v>0</v>
      </c>
      <c r="AM101" s="781">
        <f t="shared" si="72"/>
        <v>0</v>
      </c>
      <c r="AN101" s="781">
        <f t="shared" si="73"/>
        <v>0</v>
      </c>
      <c r="AO101" s="781">
        <f t="shared" si="74"/>
        <v>0</v>
      </c>
      <c r="AP101" s="781">
        <f t="shared" si="75"/>
        <v>0</v>
      </c>
      <c r="AQ101" s="781">
        <f t="shared" si="76"/>
        <v>0</v>
      </c>
      <c r="AR101" s="781">
        <f t="shared" si="77"/>
        <v>0</v>
      </c>
      <c r="AS101" s="783">
        <f t="shared" si="78"/>
        <v>0</v>
      </c>
      <c r="AT101" s="917"/>
      <c r="AW101" s="832"/>
      <c r="AX101" s="833" t="s">
        <v>3342</v>
      </c>
      <c r="BM101" s="2010">
        <v>1906.4760000000001</v>
      </c>
    </row>
    <row r="102" spans="1:65" ht="27" hidden="1" customHeight="1" outlineLevel="1" x14ac:dyDescent="0.3">
      <c r="A102" s="784"/>
      <c r="B102" s="904">
        <f t="shared" si="57"/>
        <v>86</v>
      </c>
      <c r="C102" s="170" t="str">
        <f t="shared" si="56"/>
        <v>5CY</v>
      </c>
      <c r="D102" s="557"/>
      <c r="E102" s="170"/>
      <c r="F102" s="170">
        <v>5</v>
      </c>
      <c r="G102" s="2007" t="s">
        <v>3211</v>
      </c>
      <c r="H102" s="2630">
        <f t="shared" si="176"/>
        <v>0</v>
      </c>
      <c r="I102" s="2008" t="s">
        <v>671</v>
      </c>
      <c r="J102" s="1926"/>
      <c r="K102" s="1926" t="s">
        <v>732</v>
      </c>
      <c r="L102" s="721"/>
      <c r="M102" s="2517">
        <v>15.402808988764045</v>
      </c>
      <c r="N102" s="2010">
        <v>1</v>
      </c>
      <c r="O102" s="773">
        <f t="shared" si="177"/>
        <v>15.402808988764045</v>
      </c>
      <c r="P102" s="2008" t="s">
        <v>39</v>
      </c>
      <c r="Q102" s="2008" t="s">
        <v>39</v>
      </c>
      <c r="R102" s="2011" t="s">
        <v>73</v>
      </c>
      <c r="S102" s="912">
        <f>SUMIF('Data Input sheet'!$B$118:$B$180,R102,'Data Input sheet'!$D$118:$D$180)</f>
        <v>119</v>
      </c>
      <c r="T102" s="2685">
        <f t="shared" si="178"/>
        <v>1832.9342696629215</v>
      </c>
      <c r="U102" s="2013">
        <v>80.078055000000006</v>
      </c>
      <c r="V102" s="2679">
        <f t="shared" si="19"/>
        <v>1233</v>
      </c>
      <c r="W102" s="2010">
        <v>498.03370786516854</v>
      </c>
      <c r="X102" s="2518">
        <v>3.56</v>
      </c>
      <c r="Y102" s="2012"/>
      <c r="Z102" s="780">
        <f t="shared" si="179"/>
        <v>3563.9679775280902</v>
      </c>
      <c r="AA102" s="2007"/>
      <c r="AB102" s="2007"/>
      <c r="AC102" s="765"/>
      <c r="AD102" s="781">
        <f t="shared" si="63"/>
        <v>0</v>
      </c>
      <c r="AE102" s="778">
        <f t="shared" si="64"/>
        <v>0</v>
      </c>
      <c r="AF102" s="781">
        <f t="shared" si="65"/>
        <v>0</v>
      </c>
      <c r="AG102" s="781">
        <f t="shared" si="66"/>
        <v>0</v>
      </c>
      <c r="AH102" s="781">
        <f t="shared" si="67"/>
        <v>0</v>
      </c>
      <c r="AI102" s="782">
        <f t="shared" si="68"/>
        <v>0</v>
      </c>
      <c r="AJ102" s="781">
        <f t="shared" si="69"/>
        <v>0</v>
      </c>
      <c r="AK102" s="781">
        <f t="shared" si="70"/>
        <v>0</v>
      </c>
      <c r="AL102" s="781">
        <f t="shared" si="71"/>
        <v>0</v>
      </c>
      <c r="AM102" s="781">
        <f t="shared" si="72"/>
        <v>0</v>
      </c>
      <c r="AN102" s="781">
        <f t="shared" si="73"/>
        <v>0</v>
      </c>
      <c r="AO102" s="781">
        <f t="shared" si="74"/>
        <v>0</v>
      </c>
      <c r="AP102" s="781">
        <f t="shared" si="75"/>
        <v>0</v>
      </c>
      <c r="AQ102" s="781">
        <f t="shared" si="76"/>
        <v>0</v>
      </c>
      <c r="AR102" s="781">
        <f t="shared" si="77"/>
        <v>0</v>
      </c>
      <c r="AS102" s="783">
        <f t="shared" si="78"/>
        <v>0</v>
      </c>
      <c r="AT102" s="917"/>
      <c r="AW102" s="832"/>
      <c r="AX102" s="833" t="s">
        <v>3343</v>
      </c>
      <c r="BM102" s="2010">
        <v>5736.8064000000004</v>
      </c>
    </row>
    <row r="103" spans="1:65" ht="27" hidden="1" customHeight="1" outlineLevel="1" x14ac:dyDescent="0.3">
      <c r="A103" s="784"/>
      <c r="B103" s="904">
        <f t="shared" si="57"/>
        <v>87</v>
      </c>
      <c r="C103" s="170" t="str">
        <f t="shared" si="56"/>
        <v>5CY</v>
      </c>
      <c r="D103" s="557"/>
      <c r="E103" s="170"/>
      <c r="F103" s="170">
        <v>5</v>
      </c>
      <c r="G103" s="2007" t="s">
        <v>3212</v>
      </c>
      <c r="H103" s="2630">
        <f t="shared" si="176"/>
        <v>0</v>
      </c>
      <c r="I103" s="2008" t="s">
        <v>671</v>
      </c>
      <c r="J103" s="1926"/>
      <c r="K103" s="1926" t="s">
        <v>732</v>
      </c>
      <c r="L103" s="721"/>
      <c r="M103" s="2517">
        <v>18.52879177377892</v>
      </c>
      <c r="N103" s="2010">
        <v>1</v>
      </c>
      <c r="O103" s="773">
        <f t="shared" si="177"/>
        <v>18.52879177377892</v>
      </c>
      <c r="P103" s="2008" t="s">
        <v>39</v>
      </c>
      <c r="Q103" s="2008" t="s">
        <v>39</v>
      </c>
      <c r="R103" s="2011" t="s">
        <v>73</v>
      </c>
      <c r="S103" s="912">
        <f>SUMIF('Data Input sheet'!$B$118:$B$180,R103,'Data Input sheet'!$D$118:$D$180)</f>
        <v>119</v>
      </c>
      <c r="T103" s="2685">
        <f t="shared" si="178"/>
        <v>2204.9262210796915</v>
      </c>
      <c r="U103" s="2013">
        <v>20.970628999999999</v>
      </c>
      <c r="V103" s="2679">
        <f t="shared" si="19"/>
        <v>389</v>
      </c>
      <c r="W103" s="2010">
        <v>687.78920308483293</v>
      </c>
      <c r="X103" s="2518">
        <v>7.78</v>
      </c>
      <c r="Y103" s="2012"/>
      <c r="Z103" s="780">
        <f t="shared" si="179"/>
        <v>3281.7154241645244</v>
      </c>
      <c r="AA103" s="1886"/>
      <c r="AB103" s="2007"/>
      <c r="AC103" s="765"/>
      <c r="AD103" s="781">
        <f t="shared" si="63"/>
        <v>0</v>
      </c>
      <c r="AE103" s="778">
        <f t="shared" si="64"/>
        <v>0</v>
      </c>
      <c r="AF103" s="781">
        <f t="shared" si="65"/>
        <v>0</v>
      </c>
      <c r="AG103" s="781">
        <f t="shared" si="66"/>
        <v>0</v>
      </c>
      <c r="AH103" s="781">
        <f t="shared" si="67"/>
        <v>0</v>
      </c>
      <c r="AI103" s="782">
        <f t="shared" si="68"/>
        <v>0</v>
      </c>
      <c r="AJ103" s="781">
        <f t="shared" si="69"/>
        <v>0</v>
      </c>
      <c r="AK103" s="781">
        <f t="shared" si="70"/>
        <v>0</v>
      </c>
      <c r="AL103" s="781">
        <f t="shared" si="71"/>
        <v>0</v>
      </c>
      <c r="AM103" s="781">
        <f t="shared" si="72"/>
        <v>0</v>
      </c>
      <c r="AN103" s="781">
        <f t="shared" si="73"/>
        <v>0</v>
      </c>
      <c r="AO103" s="781">
        <f t="shared" si="74"/>
        <v>0</v>
      </c>
      <c r="AP103" s="781">
        <f t="shared" si="75"/>
        <v>0</v>
      </c>
      <c r="AQ103" s="781">
        <f t="shared" si="76"/>
        <v>0</v>
      </c>
      <c r="AR103" s="781">
        <f t="shared" si="77"/>
        <v>0</v>
      </c>
      <c r="AS103" s="783">
        <f t="shared" si="78"/>
        <v>0</v>
      </c>
      <c r="AT103" s="917"/>
      <c r="AW103" s="832"/>
      <c r="AX103" s="833" t="s">
        <v>3344</v>
      </c>
      <c r="BM103" s="2010">
        <v>1233.2112000000002</v>
      </c>
    </row>
    <row r="104" spans="1:65" ht="27" hidden="1" customHeight="1" outlineLevel="1" x14ac:dyDescent="0.3">
      <c r="A104" s="784"/>
      <c r="B104" s="904">
        <f t="shared" si="57"/>
        <v>88</v>
      </c>
      <c r="C104" s="170" t="str">
        <f t="shared" si="56"/>
        <v>5CY</v>
      </c>
      <c r="D104" s="557"/>
      <c r="E104" s="170"/>
      <c r="F104" s="170">
        <v>5</v>
      </c>
      <c r="G104" s="2007" t="s">
        <v>3213</v>
      </c>
      <c r="H104" s="2630">
        <f t="shared" si="176"/>
        <v>0</v>
      </c>
      <c r="I104" s="2008" t="s">
        <v>671</v>
      </c>
      <c r="J104" s="1926"/>
      <c r="K104" s="1926" t="s">
        <v>732</v>
      </c>
      <c r="L104" s="721"/>
      <c r="M104" s="2517">
        <v>14.601658163265308</v>
      </c>
      <c r="N104" s="2010">
        <v>1</v>
      </c>
      <c r="O104" s="773">
        <f t="shared" si="177"/>
        <v>14.601658163265308</v>
      </c>
      <c r="P104" s="2008" t="s">
        <v>39</v>
      </c>
      <c r="Q104" s="2008" t="s">
        <v>39</v>
      </c>
      <c r="R104" s="2011" t="s">
        <v>73</v>
      </c>
      <c r="S104" s="912">
        <f>SUMIF('Data Input sheet'!$B$118:$B$180,R104,'Data Input sheet'!$D$118:$D$180)</f>
        <v>119</v>
      </c>
      <c r="T104" s="2685">
        <f t="shared" si="178"/>
        <v>1737.5973214285716</v>
      </c>
      <c r="U104" s="2013">
        <v>78.915413999999998</v>
      </c>
      <c r="V104" s="2679">
        <f t="shared" si="19"/>
        <v>1152</v>
      </c>
      <c r="W104" s="2010">
        <v>486.22448979591837</v>
      </c>
      <c r="X104" s="2518">
        <v>7.84</v>
      </c>
      <c r="Y104" s="2012"/>
      <c r="Z104" s="780">
        <f t="shared" si="179"/>
        <v>3375.8218112244899</v>
      </c>
      <c r="AA104" s="1886"/>
      <c r="AB104" s="2007"/>
      <c r="AC104" s="765"/>
      <c r="AD104" s="781">
        <f t="shared" si="63"/>
        <v>0</v>
      </c>
      <c r="AE104" s="778">
        <f t="shared" si="64"/>
        <v>0</v>
      </c>
      <c r="AF104" s="781">
        <f t="shared" si="65"/>
        <v>0</v>
      </c>
      <c r="AG104" s="781">
        <f t="shared" si="66"/>
        <v>0</v>
      </c>
      <c r="AH104" s="781">
        <f t="shared" si="67"/>
        <v>0</v>
      </c>
      <c r="AI104" s="782">
        <f t="shared" si="68"/>
        <v>0</v>
      </c>
      <c r="AJ104" s="781">
        <f t="shared" si="69"/>
        <v>0</v>
      </c>
      <c r="AK104" s="781">
        <f t="shared" si="70"/>
        <v>0</v>
      </c>
      <c r="AL104" s="781">
        <f t="shared" si="71"/>
        <v>0</v>
      </c>
      <c r="AM104" s="781">
        <f t="shared" si="72"/>
        <v>0</v>
      </c>
      <c r="AN104" s="781">
        <f t="shared" si="73"/>
        <v>0</v>
      </c>
      <c r="AO104" s="781">
        <f t="shared" si="74"/>
        <v>0</v>
      </c>
      <c r="AP104" s="781">
        <f t="shared" si="75"/>
        <v>0</v>
      </c>
      <c r="AQ104" s="781">
        <f t="shared" si="76"/>
        <v>0</v>
      </c>
      <c r="AR104" s="781">
        <f t="shared" si="77"/>
        <v>0</v>
      </c>
      <c r="AS104" s="783">
        <f t="shared" si="78"/>
        <v>0</v>
      </c>
      <c r="AT104" s="917"/>
      <c r="AW104" s="832"/>
      <c r="AX104" s="833" t="s">
        <v>3345</v>
      </c>
      <c r="BM104" s="2010">
        <v>1382.6176</v>
      </c>
    </row>
    <row r="105" spans="1:65" ht="27" hidden="1" customHeight="1" outlineLevel="1" x14ac:dyDescent="0.3">
      <c r="A105" s="784"/>
      <c r="B105" s="904">
        <f t="shared" si="57"/>
        <v>89</v>
      </c>
      <c r="C105" s="170" t="str">
        <f t="shared" si="56"/>
        <v>5CY</v>
      </c>
      <c r="D105" s="557"/>
      <c r="E105" s="170"/>
      <c r="F105" s="170">
        <v>5</v>
      </c>
      <c r="G105" s="2007" t="s">
        <v>3214</v>
      </c>
      <c r="H105" s="2630">
        <f t="shared" si="176"/>
        <v>0</v>
      </c>
      <c r="I105" s="2008" t="s">
        <v>671</v>
      </c>
      <c r="J105" s="1926"/>
      <c r="K105" s="1926" t="s">
        <v>732</v>
      </c>
      <c r="L105" s="721"/>
      <c r="M105" s="2517">
        <v>18.915797788309636</v>
      </c>
      <c r="N105" s="2010">
        <v>1</v>
      </c>
      <c r="O105" s="773">
        <f t="shared" si="177"/>
        <v>18.915797788309636</v>
      </c>
      <c r="P105" s="2008" t="s">
        <v>39</v>
      </c>
      <c r="Q105" s="2008" t="s">
        <v>39</v>
      </c>
      <c r="R105" s="2011" t="s">
        <v>73</v>
      </c>
      <c r="S105" s="912">
        <f>SUMIF('Data Input sheet'!$B$118:$B$180,R105,'Data Input sheet'!$D$118:$D$180)</f>
        <v>119</v>
      </c>
      <c r="T105" s="2685">
        <f t="shared" si="178"/>
        <v>2250.9799368088466</v>
      </c>
      <c r="U105" s="2013">
        <v>21.923048000000001</v>
      </c>
      <c r="V105" s="2679">
        <f t="shared" si="19"/>
        <v>415</v>
      </c>
      <c r="W105" s="2010">
        <v>696.84044233807265</v>
      </c>
      <c r="X105" s="2518">
        <v>6.33</v>
      </c>
      <c r="Y105" s="2012"/>
      <c r="Z105" s="780">
        <f t="shared" si="179"/>
        <v>3362.8203791469191</v>
      </c>
      <c r="AA105" s="1886"/>
      <c r="AB105" s="2007"/>
      <c r="AC105" s="765"/>
      <c r="AD105" s="781">
        <f t="shared" si="63"/>
        <v>0</v>
      </c>
      <c r="AE105" s="778">
        <f t="shared" si="64"/>
        <v>0</v>
      </c>
      <c r="AF105" s="781">
        <f t="shared" si="65"/>
        <v>0</v>
      </c>
      <c r="AG105" s="781">
        <f t="shared" si="66"/>
        <v>0</v>
      </c>
      <c r="AH105" s="781">
        <f t="shared" si="67"/>
        <v>0</v>
      </c>
      <c r="AI105" s="782">
        <f t="shared" si="68"/>
        <v>0</v>
      </c>
      <c r="AJ105" s="781">
        <f t="shared" si="69"/>
        <v>0</v>
      </c>
      <c r="AK105" s="781">
        <f t="shared" si="70"/>
        <v>0</v>
      </c>
      <c r="AL105" s="781">
        <f t="shared" si="71"/>
        <v>0</v>
      </c>
      <c r="AM105" s="781">
        <f t="shared" si="72"/>
        <v>0</v>
      </c>
      <c r="AN105" s="781">
        <f t="shared" si="73"/>
        <v>0</v>
      </c>
      <c r="AO105" s="781">
        <f t="shared" si="74"/>
        <v>0</v>
      </c>
      <c r="AP105" s="781">
        <f t="shared" si="75"/>
        <v>0</v>
      </c>
      <c r="AQ105" s="781">
        <f t="shared" si="76"/>
        <v>0</v>
      </c>
      <c r="AR105" s="781">
        <f t="shared" si="77"/>
        <v>0</v>
      </c>
      <c r="AS105" s="783">
        <f t="shared" si="78"/>
        <v>0</v>
      </c>
      <c r="AT105" s="917"/>
      <c r="AW105" s="832"/>
      <c r="AX105" s="2676" t="s">
        <v>3412</v>
      </c>
      <c r="BM105" s="2010">
        <v>1811.9816000000001</v>
      </c>
    </row>
    <row r="106" spans="1:65" ht="27" hidden="1" customHeight="1" outlineLevel="1" x14ac:dyDescent="0.3">
      <c r="A106" s="784"/>
      <c r="B106" s="904">
        <f t="shared" si="57"/>
        <v>90</v>
      </c>
      <c r="C106" s="170" t="str">
        <f t="shared" si="56"/>
        <v>5CY</v>
      </c>
      <c r="D106" s="557"/>
      <c r="E106" s="170"/>
      <c r="F106" s="170">
        <v>5</v>
      </c>
      <c r="G106" s="2007" t="s">
        <v>3215</v>
      </c>
      <c r="H106" s="2630">
        <f t="shared" si="176"/>
        <v>0</v>
      </c>
      <c r="I106" s="2008" t="s">
        <v>671</v>
      </c>
      <c r="J106" s="1926"/>
      <c r="K106" s="1926" t="s">
        <v>732</v>
      </c>
      <c r="L106" s="721"/>
      <c r="M106" s="2517">
        <v>15.380785413744741</v>
      </c>
      <c r="N106" s="2010">
        <v>1</v>
      </c>
      <c r="O106" s="773">
        <f t="shared" si="177"/>
        <v>15.380785413744741</v>
      </c>
      <c r="P106" s="2008" t="s">
        <v>39</v>
      </c>
      <c r="Q106" s="2008" t="s">
        <v>39</v>
      </c>
      <c r="R106" s="2011" t="s">
        <v>73</v>
      </c>
      <c r="S106" s="912">
        <f>SUMIF('Data Input sheet'!$B$118:$B$180,R106,'Data Input sheet'!$D$118:$D$180)</f>
        <v>119</v>
      </c>
      <c r="T106" s="2685">
        <f t="shared" si="178"/>
        <v>1830.3134642356242</v>
      </c>
      <c r="U106" s="2013">
        <v>80.080241999999998</v>
      </c>
      <c r="V106" s="2679">
        <f t="shared" si="19"/>
        <v>1232</v>
      </c>
      <c r="W106" s="2010">
        <v>471.52875175315569</v>
      </c>
      <c r="X106" s="2518">
        <v>7.13</v>
      </c>
      <c r="Y106" s="2012"/>
      <c r="Z106" s="780">
        <f t="shared" si="179"/>
        <v>3533.84221598878</v>
      </c>
      <c r="AA106" s="1886"/>
      <c r="AB106" s="2007"/>
      <c r="AC106" s="765"/>
      <c r="AD106" s="781">
        <f t="shared" si="63"/>
        <v>0</v>
      </c>
      <c r="AE106" s="778">
        <f t="shared" si="64"/>
        <v>0</v>
      </c>
      <c r="AF106" s="781">
        <f t="shared" si="65"/>
        <v>0</v>
      </c>
      <c r="AG106" s="781">
        <f t="shared" si="66"/>
        <v>0</v>
      </c>
      <c r="AH106" s="781">
        <f t="shared" si="67"/>
        <v>0</v>
      </c>
      <c r="AI106" s="782">
        <f t="shared" si="68"/>
        <v>0</v>
      </c>
      <c r="AJ106" s="781">
        <f t="shared" si="69"/>
        <v>0</v>
      </c>
      <c r="AK106" s="781">
        <f t="shared" si="70"/>
        <v>0</v>
      </c>
      <c r="AL106" s="781">
        <f t="shared" si="71"/>
        <v>0</v>
      </c>
      <c r="AM106" s="781">
        <f t="shared" si="72"/>
        <v>0</v>
      </c>
      <c r="AN106" s="781">
        <f t="shared" si="73"/>
        <v>0</v>
      </c>
      <c r="AO106" s="781">
        <f t="shared" si="74"/>
        <v>0</v>
      </c>
      <c r="AP106" s="781">
        <f t="shared" si="75"/>
        <v>0</v>
      </c>
      <c r="AQ106" s="781">
        <f t="shared" si="76"/>
        <v>0</v>
      </c>
      <c r="AR106" s="781">
        <f t="shared" si="77"/>
        <v>0</v>
      </c>
      <c r="AS106" s="783">
        <f t="shared" si="78"/>
        <v>0</v>
      </c>
      <c r="AT106" s="917"/>
      <c r="AW106" s="832"/>
      <c r="AX106" s="833" t="s">
        <v>3346</v>
      </c>
      <c r="BM106" s="2010">
        <v>1395.6904</v>
      </c>
    </row>
    <row r="107" spans="1:65" ht="26.25" hidden="1" outlineLevel="1" thickBot="1" x14ac:dyDescent="0.3">
      <c r="A107" s="784"/>
      <c r="B107" s="904">
        <f t="shared" si="57"/>
        <v>91</v>
      </c>
      <c r="C107" s="170" t="str">
        <f t="shared" si="56"/>
        <v>5CY</v>
      </c>
      <c r="D107" s="557"/>
      <c r="E107" s="170"/>
      <c r="F107" s="170">
        <v>5</v>
      </c>
      <c r="G107" s="2007" t="s">
        <v>2434</v>
      </c>
      <c r="H107" s="2630">
        <f t="shared" ref="H107:H160" si="180">+J107*X107</f>
        <v>0</v>
      </c>
      <c r="I107" s="2008" t="s">
        <v>671</v>
      </c>
      <c r="J107" s="1926"/>
      <c r="K107" s="1926" t="s">
        <v>732</v>
      </c>
      <c r="L107" s="721"/>
      <c r="M107" s="2009">
        <v>18.600000000000001</v>
      </c>
      <c r="N107" s="2010">
        <v>1</v>
      </c>
      <c r="O107" s="773">
        <f t="shared" si="177"/>
        <v>18.600000000000001</v>
      </c>
      <c r="P107" s="2008" t="s">
        <v>39</v>
      </c>
      <c r="Q107" s="2008" t="s">
        <v>39</v>
      </c>
      <c r="R107" s="2011" t="s">
        <v>73</v>
      </c>
      <c r="S107" s="912">
        <f>SUMIF('Data Input sheet'!$B$118:$B$180,R107,'Data Input sheet'!$D$118:$D$180)</f>
        <v>119</v>
      </c>
      <c r="T107" s="2685">
        <f t="shared" si="178"/>
        <v>2213.4</v>
      </c>
      <c r="U107" s="2013">
        <v>11</v>
      </c>
      <c r="V107" s="2679">
        <f t="shared" ref="V107:V180" si="181">ROUND(U107*O107,0)</f>
        <v>205</v>
      </c>
      <c r="W107" s="2010">
        <f t="shared" ref="W107:W113" si="182">(125+(150*1.5)+5)</f>
        <v>355</v>
      </c>
      <c r="X107" s="779">
        <v>2.0699999999999998</v>
      </c>
      <c r="Y107" s="2012"/>
      <c r="Z107" s="780">
        <f t="shared" si="179"/>
        <v>2773.4</v>
      </c>
      <c r="AA107" s="2007"/>
      <c r="AB107" s="2007"/>
      <c r="AC107" s="765"/>
      <c r="AD107" s="781">
        <f t="shared" si="63"/>
        <v>0</v>
      </c>
      <c r="AE107" s="778">
        <f t="shared" si="64"/>
        <v>0</v>
      </c>
      <c r="AF107" s="781">
        <f t="shared" si="65"/>
        <v>0</v>
      </c>
      <c r="AG107" s="781">
        <f t="shared" si="66"/>
        <v>0</v>
      </c>
      <c r="AH107" s="781">
        <f t="shared" si="67"/>
        <v>0</v>
      </c>
      <c r="AI107" s="782">
        <f t="shared" si="68"/>
        <v>0</v>
      </c>
      <c r="AJ107" s="781">
        <f t="shared" si="69"/>
        <v>0</v>
      </c>
      <c r="AK107" s="781">
        <f t="shared" si="70"/>
        <v>0</v>
      </c>
      <c r="AL107" s="781">
        <f t="shared" si="71"/>
        <v>0</v>
      </c>
      <c r="AM107" s="781">
        <f t="shared" si="72"/>
        <v>0</v>
      </c>
      <c r="AN107" s="781">
        <f t="shared" si="73"/>
        <v>0</v>
      </c>
      <c r="AO107" s="781">
        <f t="shared" si="74"/>
        <v>0</v>
      </c>
      <c r="AP107" s="781">
        <f t="shared" si="75"/>
        <v>0</v>
      </c>
      <c r="AQ107" s="781">
        <f t="shared" si="76"/>
        <v>0</v>
      </c>
      <c r="AR107" s="781">
        <f t="shared" si="77"/>
        <v>0</v>
      </c>
      <c r="AS107" s="783">
        <f t="shared" si="78"/>
        <v>0</v>
      </c>
      <c r="AT107" s="917"/>
      <c r="AW107" s="832"/>
      <c r="AX107" s="833" t="s">
        <v>3446</v>
      </c>
      <c r="BM107" s="2010">
        <v>1409.3872000000001</v>
      </c>
    </row>
    <row r="108" spans="1:65" ht="26.25" hidden="1" outlineLevel="1" thickBot="1" x14ac:dyDescent="0.3">
      <c r="A108" s="784"/>
      <c r="B108" s="904">
        <f t="shared" si="57"/>
        <v>92</v>
      </c>
      <c r="C108" s="170" t="str">
        <f t="shared" si="56"/>
        <v>5CY</v>
      </c>
      <c r="D108" s="557"/>
      <c r="E108" s="170"/>
      <c r="F108" s="170">
        <v>5</v>
      </c>
      <c r="G108" s="2007" t="s">
        <v>2435</v>
      </c>
      <c r="H108" s="2630">
        <f t="shared" si="180"/>
        <v>0</v>
      </c>
      <c r="I108" s="2008" t="s">
        <v>671</v>
      </c>
      <c r="J108" s="1926"/>
      <c r="K108" s="1926" t="s">
        <v>732</v>
      </c>
      <c r="L108" s="721"/>
      <c r="M108" s="2009">
        <v>12.8</v>
      </c>
      <c r="N108" s="2010">
        <v>1</v>
      </c>
      <c r="O108" s="773">
        <f t="shared" si="177"/>
        <v>12.8</v>
      </c>
      <c r="P108" s="2008" t="s">
        <v>39</v>
      </c>
      <c r="Q108" s="2008" t="s">
        <v>39</v>
      </c>
      <c r="R108" s="2011" t="s">
        <v>73</v>
      </c>
      <c r="S108" s="912">
        <f>SUMIF('Data Input sheet'!$B$118:$B$180,R108,'Data Input sheet'!$D$118:$D$180)</f>
        <v>119</v>
      </c>
      <c r="T108" s="2685">
        <f t="shared" si="178"/>
        <v>1523.2</v>
      </c>
      <c r="U108" s="2013">
        <v>11</v>
      </c>
      <c r="V108" s="2679">
        <f t="shared" si="181"/>
        <v>141</v>
      </c>
      <c r="W108" s="2010">
        <f t="shared" si="182"/>
        <v>355</v>
      </c>
      <c r="X108" s="779">
        <v>20</v>
      </c>
      <c r="Y108" s="2012"/>
      <c r="Z108" s="780">
        <f t="shared" si="179"/>
        <v>2019.2</v>
      </c>
      <c r="AA108" s="2007"/>
      <c r="AB108" s="2007"/>
      <c r="AC108" s="765"/>
      <c r="AD108" s="781">
        <f t="shared" si="63"/>
        <v>0</v>
      </c>
      <c r="AE108" s="778">
        <f t="shared" si="64"/>
        <v>0</v>
      </c>
      <c r="AF108" s="781">
        <f t="shared" si="65"/>
        <v>0</v>
      </c>
      <c r="AG108" s="781">
        <f t="shared" si="66"/>
        <v>0</v>
      </c>
      <c r="AH108" s="781">
        <f t="shared" si="67"/>
        <v>0</v>
      </c>
      <c r="AI108" s="782">
        <f t="shared" si="68"/>
        <v>0</v>
      </c>
      <c r="AJ108" s="781">
        <f t="shared" si="69"/>
        <v>0</v>
      </c>
      <c r="AK108" s="781">
        <f t="shared" si="70"/>
        <v>0</v>
      </c>
      <c r="AL108" s="781">
        <f t="shared" si="71"/>
        <v>0</v>
      </c>
      <c r="AM108" s="781">
        <f t="shared" si="72"/>
        <v>0</v>
      </c>
      <c r="AN108" s="781">
        <f t="shared" si="73"/>
        <v>0</v>
      </c>
      <c r="AO108" s="781">
        <f t="shared" si="74"/>
        <v>0</v>
      </c>
      <c r="AP108" s="781">
        <f t="shared" si="75"/>
        <v>0</v>
      </c>
      <c r="AQ108" s="781">
        <f t="shared" si="76"/>
        <v>0</v>
      </c>
      <c r="AR108" s="781">
        <f t="shared" si="77"/>
        <v>0</v>
      </c>
      <c r="AS108" s="783">
        <f t="shared" si="78"/>
        <v>0</v>
      </c>
      <c r="AT108" s="917"/>
      <c r="AW108" s="832"/>
      <c r="AX108" s="833" t="s">
        <v>3447</v>
      </c>
      <c r="BM108" s="2010">
        <v>5736.8064000000004</v>
      </c>
    </row>
    <row r="109" spans="1:65" ht="30.75" hidden="1" customHeight="1" outlineLevel="1" x14ac:dyDescent="0.3">
      <c r="A109" s="784"/>
      <c r="B109" s="904">
        <f t="shared" si="57"/>
        <v>93</v>
      </c>
      <c r="C109" s="170" t="str">
        <f t="shared" si="56"/>
        <v>5CY</v>
      </c>
      <c r="D109" s="557"/>
      <c r="E109" s="170"/>
      <c r="F109" s="170">
        <v>5</v>
      </c>
      <c r="G109" s="2007" t="s">
        <v>3216</v>
      </c>
      <c r="H109" s="2630">
        <f>+J109*X109</f>
        <v>0</v>
      </c>
      <c r="I109" s="2008" t="s">
        <v>671</v>
      </c>
      <c r="J109" s="1926"/>
      <c r="K109" s="1926" t="s">
        <v>732</v>
      </c>
      <c r="L109" s="721"/>
      <c r="M109" s="2517">
        <v>17.551578947368419</v>
      </c>
      <c r="N109" s="2010">
        <v>1</v>
      </c>
      <c r="O109" s="773">
        <f>+M109*N109</f>
        <v>17.551578947368419</v>
      </c>
      <c r="P109" s="2008" t="s">
        <v>39</v>
      </c>
      <c r="Q109" s="2008" t="s">
        <v>39</v>
      </c>
      <c r="R109" s="2011" t="s">
        <v>73</v>
      </c>
      <c r="S109" s="912">
        <f>SUMIF('Data Input sheet'!$B$118:$B$180,R109,'Data Input sheet'!$D$118:$D$180)</f>
        <v>119</v>
      </c>
      <c r="T109" s="2685">
        <f>+O109*S109</f>
        <v>2088.6378947368421</v>
      </c>
      <c r="U109" s="2013">
        <v>82.743596999999994</v>
      </c>
      <c r="V109" s="2679">
        <f t="shared" si="181"/>
        <v>1452</v>
      </c>
      <c r="W109" s="2010">
        <v>528.07017543859649</v>
      </c>
      <c r="X109" s="2518">
        <v>2.85</v>
      </c>
      <c r="Y109" s="2012"/>
      <c r="Z109" s="780">
        <f>T109+V109+W109+Y109</f>
        <v>4068.7080701754385</v>
      </c>
      <c r="AA109" s="1886"/>
      <c r="AB109" s="2007"/>
      <c r="AC109" s="765"/>
      <c r="AD109" s="781">
        <f t="shared" si="63"/>
        <v>0</v>
      </c>
      <c r="AE109" s="778">
        <f t="shared" si="64"/>
        <v>0</v>
      </c>
      <c r="AF109" s="781">
        <f t="shared" si="65"/>
        <v>0</v>
      </c>
      <c r="AG109" s="781">
        <f t="shared" si="66"/>
        <v>0</v>
      </c>
      <c r="AH109" s="781">
        <f t="shared" si="67"/>
        <v>0</v>
      </c>
      <c r="AI109" s="782">
        <f t="shared" si="68"/>
        <v>0</v>
      </c>
      <c r="AJ109" s="781">
        <f t="shared" si="69"/>
        <v>0</v>
      </c>
      <c r="AK109" s="781">
        <f t="shared" si="70"/>
        <v>0</v>
      </c>
      <c r="AL109" s="781">
        <f t="shared" si="71"/>
        <v>0</v>
      </c>
      <c r="AM109" s="781">
        <f t="shared" si="72"/>
        <v>0</v>
      </c>
      <c r="AN109" s="781">
        <f t="shared" si="73"/>
        <v>0</v>
      </c>
      <c r="AO109" s="781">
        <f t="shared" si="74"/>
        <v>0</v>
      </c>
      <c r="AP109" s="781">
        <f t="shared" si="75"/>
        <v>0</v>
      </c>
      <c r="AQ109" s="781">
        <f t="shared" si="76"/>
        <v>0</v>
      </c>
      <c r="AR109" s="781">
        <f t="shared" si="77"/>
        <v>0</v>
      </c>
      <c r="AS109" s="783">
        <f t="shared" si="78"/>
        <v>0</v>
      </c>
      <c r="AT109" s="917"/>
      <c r="AW109" s="832"/>
      <c r="AX109" s="833" t="s">
        <v>3347</v>
      </c>
      <c r="BM109" s="2010">
        <v>1374.8904</v>
      </c>
    </row>
    <row r="110" spans="1:65" ht="26.25" hidden="1" outlineLevel="1" thickBot="1" x14ac:dyDescent="0.3">
      <c r="A110" s="784"/>
      <c r="B110" s="904">
        <f t="shared" si="57"/>
        <v>94</v>
      </c>
      <c r="C110" s="170" t="str">
        <f t="shared" si="56"/>
        <v>5CY</v>
      </c>
      <c r="D110" s="557"/>
      <c r="E110" s="170"/>
      <c r="F110" s="170">
        <v>5</v>
      </c>
      <c r="G110" s="2007" t="s">
        <v>2436</v>
      </c>
      <c r="H110" s="2630">
        <f t="shared" si="180"/>
        <v>0</v>
      </c>
      <c r="I110" s="2008" t="s">
        <v>671</v>
      </c>
      <c r="J110" s="1926"/>
      <c r="K110" s="1926" t="s">
        <v>732</v>
      </c>
      <c r="L110" s="721"/>
      <c r="M110" s="2009">
        <v>18.600000000000001</v>
      </c>
      <c r="N110" s="2010">
        <v>1</v>
      </c>
      <c r="O110" s="773">
        <f t="shared" si="177"/>
        <v>18.600000000000001</v>
      </c>
      <c r="P110" s="2008" t="s">
        <v>39</v>
      </c>
      <c r="Q110" s="2008" t="s">
        <v>39</v>
      </c>
      <c r="R110" s="2011" t="s">
        <v>73</v>
      </c>
      <c r="S110" s="912">
        <f>SUMIF('Data Input sheet'!$B$118:$B$180,R110,'Data Input sheet'!$D$118:$D$180)</f>
        <v>119</v>
      </c>
      <c r="T110" s="2685">
        <f t="shared" si="178"/>
        <v>2213.4</v>
      </c>
      <c r="U110" s="2013">
        <v>11</v>
      </c>
      <c r="V110" s="2679">
        <f t="shared" si="181"/>
        <v>205</v>
      </c>
      <c r="W110" s="2010">
        <f t="shared" si="182"/>
        <v>355</v>
      </c>
      <c r="X110" s="779">
        <v>33.15</v>
      </c>
      <c r="Y110" s="2012"/>
      <c r="Z110" s="780">
        <f t="shared" si="179"/>
        <v>2773.4</v>
      </c>
      <c r="AA110" s="2007"/>
      <c r="AB110" s="2007"/>
      <c r="AC110" s="765"/>
      <c r="AD110" s="781">
        <f t="shared" si="63"/>
        <v>0</v>
      </c>
      <c r="AE110" s="778">
        <f t="shared" si="64"/>
        <v>0</v>
      </c>
      <c r="AF110" s="781">
        <f t="shared" si="65"/>
        <v>0</v>
      </c>
      <c r="AG110" s="781">
        <f t="shared" si="66"/>
        <v>0</v>
      </c>
      <c r="AH110" s="781">
        <f t="shared" si="67"/>
        <v>0</v>
      </c>
      <c r="AI110" s="782">
        <f t="shared" si="68"/>
        <v>0</v>
      </c>
      <c r="AJ110" s="781">
        <f t="shared" si="69"/>
        <v>0</v>
      </c>
      <c r="AK110" s="781">
        <f t="shared" si="70"/>
        <v>0</v>
      </c>
      <c r="AL110" s="781">
        <f t="shared" si="71"/>
        <v>0</v>
      </c>
      <c r="AM110" s="781">
        <f t="shared" si="72"/>
        <v>0</v>
      </c>
      <c r="AN110" s="781">
        <f t="shared" si="73"/>
        <v>0</v>
      </c>
      <c r="AO110" s="781">
        <f t="shared" si="74"/>
        <v>0</v>
      </c>
      <c r="AP110" s="781">
        <f t="shared" si="75"/>
        <v>0</v>
      </c>
      <c r="AQ110" s="781">
        <f t="shared" si="76"/>
        <v>0</v>
      </c>
      <c r="AR110" s="781">
        <f t="shared" si="77"/>
        <v>0</v>
      </c>
      <c r="AS110" s="783">
        <f t="shared" si="78"/>
        <v>0</v>
      </c>
      <c r="AT110" s="917"/>
      <c r="AW110" s="832"/>
      <c r="AX110" s="833" t="s">
        <v>3448</v>
      </c>
      <c r="BM110" s="2010">
        <v>11720.4984</v>
      </c>
    </row>
    <row r="111" spans="1:65" ht="26.25" hidden="1" outlineLevel="1" thickBot="1" x14ac:dyDescent="0.3">
      <c r="A111" s="784"/>
      <c r="B111" s="904">
        <f t="shared" si="57"/>
        <v>95</v>
      </c>
      <c r="C111" s="170" t="str">
        <f t="shared" si="56"/>
        <v>5CY</v>
      </c>
      <c r="D111" s="557"/>
      <c r="E111" s="170"/>
      <c r="F111" s="170">
        <v>5</v>
      </c>
      <c r="G111" s="2007" t="s">
        <v>2437</v>
      </c>
      <c r="H111" s="2630">
        <f t="shared" si="180"/>
        <v>0</v>
      </c>
      <c r="I111" s="2008" t="s">
        <v>671</v>
      </c>
      <c r="J111" s="1926"/>
      <c r="K111" s="1926" t="s">
        <v>732</v>
      </c>
      <c r="L111" s="721"/>
      <c r="M111" s="2009">
        <v>18.600000000000001</v>
      </c>
      <c r="N111" s="2010">
        <v>1</v>
      </c>
      <c r="O111" s="773">
        <f t="shared" si="177"/>
        <v>18.600000000000001</v>
      </c>
      <c r="P111" s="2008" t="s">
        <v>39</v>
      </c>
      <c r="Q111" s="2008" t="s">
        <v>39</v>
      </c>
      <c r="R111" s="2011" t="s">
        <v>73</v>
      </c>
      <c r="S111" s="912">
        <f>SUMIF('Data Input sheet'!$B$118:$B$180,R111,'Data Input sheet'!$D$118:$D$180)</f>
        <v>119</v>
      </c>
      <c r="T111" s="2685">
        <f t="shared" si="178"/>
        <v>2213.4</v>
      </c>
      <c r="U111" s="2013">
        <v>11</v>
      </c>
      <c r="V111" s="2679">
        <f t="shared" si="181"/>
        <v>205</v>
      </c>
      <c r="W111" s="2010">
        <f t="shared" si="182"/>
        <v>355</v>
      </c>
      <c r="X111" s="779">
        <f>2.94*2</f>
        <v>5.88</v>
      </c>
      <c r="Y111" s="2012"/>
      <c r="Z111" s="780">
        <f t="shared" si="179"/>
        <v>2773.4</v>
      </c>
      <c r="AA111" s="2007"/>
      <c r="AB111" s="2007"/>
      <c r="AC111" s="765"/>
      <c r="AD111" s="781">
        <f t="shared" si="63"/>
        <v>0</v>
      </c>
      <c r="AE111" s="778">
        <f t="shared" si="64"/>
        <v>0</v>
      </c>
      <c r="AF111" s="781">
        <f t="shared" si="65"/>
        <v>0</v>
      </c>
      <c r="AG111" s="781">
        <f t="shared" si="66"/>
        <v>0</v>
      </c>
      <c r="AH111" s="781">
        <f t="shared" si="67"/>
        <v>0</v>
      </c>
      <c r="AI111" s="782">
        <f t="shared" si="68"/>
        <v>0</v>
      </c>
      <c r="AJ111" s="781">
        <f t="shared" si="69"/>
        <v>0</v>
      </c>
      <c r="AK111" s="781">
        <f t="shared" si="70"/>
        <v>0</v>
      </c>
      <c r="AL111" s="781">
        <f t="shared" si="71"/>
        <v>0</v>
      </c>
      <c r="AM111" s="781">
        <f t="shared" si="72"/>
        <v>0</v>
      </c>
      <c r="AN111" s="781">
        <f t="shared" si="73"/>
        <v>0</v>
      </c>
      <c r="AO111" s="781">
        <f t="shared" si="74"/>
        <v>0</v>
      </c>
      <c r="AP111" s="781">
        <f t="shared" si="75"/>
        <v>0</v>
      </c>
      <c r="AQ111" s="781">
        <f t="shared" si="76"/>
        <v>0</v>
      </c>
      <c r="AR111" s="781">
        <f t="shared" si="77"/>
        <v>0</v>
      </c>
      <c r="AS111" s="783">
        <f t="shared" si="78"/>
        <v>0</v>
      </c>
      <c r="AT111" s="917"/>
      <c r="AW111" s="832"/>
      <c r="AX111" s="833" t="s">
        <v>3449</v>
      </c>
      <c r="BM111" s="2010">
        <v>2201.5655999999999</v>
      </c>
    </row>
    <row r="112" spans="1:65" ht="26.25" hidden="1" outlineLevel="1" thickBot="1" x14ac:dyDescent="0.3">
      <c r="A112" s="784"/>
      <c r="B112" s="904">
        <f t="shared" si="57"/>
        <v>96</v>
      </c>
      <c r="C112" s="170" t="str">
        <f t="shared" si="56"/>
        <v>5CY</v>
      </c>
      <c r="D112" s="557"/>
      <c r="E112" s="170"/>
      <c r="F112" s="170">
        <v>5</v>
      </c>
      <c r="G112" s="2007" t="s">
        <v>3217</v>
      </c>
      <c r="H112" s="2630">
        <f>+J112*X112</f>
        <v>0</v>
      </c>
      <c r="I112" s="2008" t="s">
        <v>671</v>
      </c>
      <c r="J112" s="1926"/>
      <c r="K112" s="1926" t="s">
        <v>732</v>
      </c>
      <c r="L112" s="721"/>
      <c r="M112" s="2517">
        <v>12.843916666666665</v>
      </c>
      <c r="N112" s="2010">
        <v>1</v>
      </c>
      <c r="O112" s="773">
        <f>+M112*N112</f>
        <v>12.843916666666665</v>
      </c>
      <c r="P112" s="2008" t="s">
        <v>39</v>
      </c>
      <c r="Q112" s="2008" t="s">
        <v>39</v>
      </c>
      <c r="R112" s="2011" t="s">
        <v>73</v>
      </c>
      <c r="S112" s="912">
        <f>SUMIF('Data Input sheet'!$B$118:$B$180,R112,'Data Input sheet'!$D$118:$D$180)</f>
        <v>119</v>
      </c>
      <c r="T112" s="2685">
        <f>+O112*S112</f>
        <v>1528.4260833333331</v>
      </c>
      <c r="U112" s="2013">
        <v>5.5229999999999997</v>
      </c>
      <c r="V112" s="2679">
        <f t="shared" si="181"/>
        <v>71</v>
      </c>
      <c r="W112" s="2010">
        <v>429.36111111111109</v>
      </c>
      <c r="X112" s="2518">
        <v>72</v>
      </c>
      <c r="Y112" s="2012"/>
      <c r="Z112" s="780">
        <f>T112+V112+W112+Y112</f>
        <v>2028.7871944444441</v>
      </c>
      <c r="AA112" s="1886"/>
      <c r="AB112" s="2007"/>
      <c r="AC112" s="765"/>
      <c r="AD112" s="781">
        <f t="shared" si="63"/>
        <v>0</v>
      </c>
      <c r="AE112" s="778">
        <f t="shared" si="64"/>
        <v>0</v>
      </c>
      <c r="AF112" s="781">
        <f t="shared" si="65"/>
        <v>0</v>
      </c>
      <c r="AG112" s="781">
        <f t="shared" si="66"/>
        <v>0</v>
      </c>
      <c r="AH112" s="781">
        <f t="shared" si="67"/>
        <v>0</v>
      </c>
      <c r="AI112" s="782">
        <f t="shared" si="68"/>
        <v>0</v>
      </c>
      <c r="AJ112" s="781">
        <f t="shared" si="69"/>
        <v>0</v>
      </c>
      <c r="AK112" s="781">
        <f t="shared" si="70"/>
        <v>0</v>
      </c>
      <c r="AL112" s="781">
        <f t="shared" si="71"/>
        <v>0</v>
      </c>
      <c r="AM112" s="781">
        <f t="shared" si="72"/>
        <v>0</v>
      </c>
      <c r="AN112" s="781">
        <f t="shared" si="73"/>
        <v>0</v>
      </c>
      <c r="AO112" s="781">
        <f t="shared" si="74"/>
        <v>0</v>
      </c>
      <c r="AP112" s="781">
        <f t="shared" si="75"/>
        <v>0</v>
      </c>
      <c r="AQ112" s="781">
        <f t="shared" si="76"/>
        <v>0</v>
      </c>
      <c r="AR112" s="781">
        <f t="shared" si="77"/>
        <v>0</v>
      </c>
      <c r="AS112" s="783">
        <f t="shared" si="78"/>
        <v>0</v>
      </c>
      <c r="AT112" s="917"/>
      <c r="AW112" s="832"/>
      <c r="AX112" s="833" t="s">
        <v>3348</v>
      </c>
      <c r="BM112" s="2010">
        <v>1318.0544</v>
      </c>
    </row>
    <row r="113" spans="1:65" ht="26.25" hidden="1" outlineLevel="1" thickBot="1" x14ac:dyDescent="0.3">
      <c r="A113" s="784"/>
      <c r="B113" s="904">
        <f t="shared" si="57"/>
        <v>97</v>
      </c>
      <c r="C113" s="170" t="str">
        <f t="shared" si="56"/>
        <v>5CY</v>
      </c>
      <c r="D113" s="557"/>
      <c r="E113" s="170"/>
      <c r="F113" s="170">
        <v>5</v>
      </c>
      <c r="G113" s="2007" t="s">
        <v>2438</v>
      </c>
      <c r="H113" s="2630">
        <f t="shared" si="180"/>
        <v>0</v>
      </c>
      <c r="I113" s="2008" t="s">
        <v>671</v>
      </c>
      <c r="J113" s="1926"/>
      <c r="K113" s="1926" t="s">
        <v>732</v>
      </c>
      <c r="L113" s="721"/>
      <c r="M113" s="2009">
        <v>12.8</v>
      </c>
      <c r="N113" s="2010">
        <v>1</v>
      </c>
      <c r="O113" s="773">
        <f t="shared" si="177"/>
        <v>12.8</v>
      </c>
      <c r="P113" s="2008" t="s">
        <v>39</v>
      </c>
      <c r="Q113" s="2008" t="s">
        <v>39</v>
      </c>
      <c r="R113" s="2011" t="s">
        <v>73</v>
      </c>
      <c r="S113" s="912">
        <f>SUMIF('Data Input sheet'!$B$118:$B$180,R113,'Data Input sheet'!$D$118:$D$180)</f>
        <v>119</v>
      </c>
      <c r="T113" s="2685">
        <f t="shared" si="178"/>
        <v>1523.2</v>
      </c>
      <c r="U113" s="2013">
        <v>11</v>
      </c>
      <c r="V113" s="2679">
        <f t="shared" si="181"/>
        <v>141</v>
      </c>
      <c r="W113" s="2010">
        <f t="shared" si="182"/>
        <v>355</v>
      </c>
      <c r="X113" s="779">
        <v>70</v>
      </c>
      <c r="Y113" s="2012"/>
      <c r="Z113" s="780">
        <f t="shared" si="179"/>
        <v>2019.2</v>
      </c>
      <c r="AA113" s="2007"/>
      <c r="AB113" s="2007"/>
      <c r="AC113" s="765"/>
      <c r="AD113" s="781">
        <f t="shared" si="63"/>
        <v>0</v>
      </c>
      <c r="AE113" s="778">
        <f t="shared" si="64"/>
        <v>0</v>
      </c>
      <c r="AF113" s="781">
        <f t="shared" si="65"/>
        <v>0</v>
      </c>
      <c r="AG113" s="781">
        <f t="shared" si="66"/>
        <v>0</v>
      </c>
      <c r="AH113" s="781">
        <f t="shared" si="67"/>
        <v>0</v>
      </c>
      <c r="AI113" s="782">
        <f t="shared" si="68"/>
        <v>0</v>
      </c>
      <c r="AJ113" s="781">
        <f t="shared" si="69"/>
        <v>0</v>
      </c>
      <c r="AK113" s="781">
        <f t="shared" si="70"/>
        <v>0</v>
      </c>
      <c r="AL113" s="781">
        <f t="shared" si="71"/>
        <v>0</v>
      </c>
      <c r="AM113" s="781">
        <f t="shared" si="72"/>
        <v>0</v>
      </c>
      <c r="AN113" s="781">
        <f t="shared" si="73"/>
        <v>0</v>
      </c>
      <c r="AO113" s="781">
        <f t="shared" si="74"/>
        <v>0</v>
      </c>
      <c r="AP113" s="781">
        <f t="shared" si="75"/>
        <v>0</v>
      </c>
      <c r="AQ113" s="781">
        <f t="shared" si="76"/>
        <v>0</v>
      </c>
      <c r="AR113" s="781">
        <f t="shared" si="77"/>
        <v>0</v>
      </c>
      <c r="AS113" s="783">
        <f t="shared" si="78"/>
        <v>0</v>
      </c>
      <c r="AT113" s="917"/>
      <c r="AW113" s="832"/>
      <c r="AX113" s="833" t="s">
        <v>3450</v>
      </c>
      <c r="BM113" s="2010">
        <v>20078.822400000001</v>
      </c>
    </row>
    <row r="114" spans="1:65" ht="26.25" hidden="1" outlineLevel="1" thickBot="1" x14ac:dyDescent="0.3">
      <c r="A114" s="784"/>
      <c r="B114" s="904">
        <f t="shared" si="57"/>
        <v>98</v>
      </c>
      <c r="C114" s="170" t="str">
        <f t="shared" si="56"/>
        <v>5CY</v>
      </c>
      <c r="D114" s="557"/>
      <c r="E114" s="170"/>
      <c r="F114" s="170">
        <v>5</v>
      </c>
      <c r="G114" s="2007" t="s">
        <v>2439</v>
      </c>
      <c r="H114" s="2630">
        <f t="shared" si="180"/>
        <v>0</v>
      </c>
      <c r="I114" s="2008" t="s">
        <v>671</v>
      </c>
      <c r="J114" s="1926"/>
      <c r="K114" s="1926" t="s">
        <v>732</v>
      </c>
      <c r="L114" s="721"/>
      <c r="M114" s="2009">
        <v>12.8</v>
      </c>
      <c r="N114" s="2010">
        <v>1</v>
      </c>
      <c r="O114" s="773">
        <f t="shared" si="177"/>
        <v>12.8</v>
      </c>
      <c r="P114" s="2008" t="s">
        <v>39</v>
      </c>
      <c r="Q114" s="2008" t="s">
        <v>39</v>
      </c>
      <c r="R114" s="2011" t="s">
        <v>73</v>
      </c>
      <c r="S114" s="912">
        <f>SUMIF('Data Input sheet'!$B$118:$B$180,R114,'Data Input sheet'!$D$118:$D$180)</f>
        <v>119</v>
      </c>
      <c r="T114" s="2685">
        <f t="shared" si="178"/>
        <v>1523.2</v>
      </c>
      <c r="U114" s="2013">
        <v>11</v>
      </c>
      <c r="V114" s="2679">
        <f t="shared" si="181"/>
        <v>141</v>
      </c>
      <c r="W114" s="2010">
        <v>530</v>
      </c>
      <c r="X114" s="779">
        <v>250</v>
      </c>
      <c r="Y114" s="2012"/>
      <c r="Z114" s="780">
        <f t="shared" si="179"/>
        <v>2194.1999999999998</v>
      </c>
      <c r="AA114" s="2007"/>
      <c r="AB114" s="2007"/>
      <c r="AC114" s="765"/>
      <c r="AD114" s="781">
        <f t="shared" si="63"/>
        <v>0</v>
      </c>
      <c r="AE114" s="778">
        <f t="shared" si="64"/>
        <v>0</v>
      </c>
      <c r="AF114" s="781">
        <f t="shared" si="65"/>
        <v>0</v>
      </c>
      <c r="AG114" s="781">
        <f t="shared" si="66"/>
        <v>0</v>
      </c>
      <c r="AH114" s="781">
        <f t="shared" si="67"/>
        <v>0</v>
      </c>
      <c r="AI114" s="782">
        <f t="shared" si="68"/>
        <v>0</v>
      </c>
      <c r="AJ114" s="781">
        <f t="shared" si="69"/>
        <v>0</v>
      </c>
      <c r="AK114" s="781">
        <f t="shared" si="70"/>
        <v>0</v>
      </c>
      <c r="AL114" s="781">
        <f t="shared" si="71"/>
        <v>0</v>
      </c>
      <c r="AM114" s="781">
        <f t="shared" si="72"/>
        <v>0</v>
      </c>
      <c r="AN114" s="781">
        <f t="shared" si="73"/>
        <v>0</v>
      </c>
      <c r="AO114" s="781">
        <f t="shared" si="74"/>
        <v>0</v>
      </c>
      <c r="AP114" s="781">
        <f t="shared" si="75"/>
        <v>0</v>
      </c>
      <c r="AQ114" s="781">
        <f t="shared" si="76"/>
        <v>0</v>
      </c>
      <c r="AR114" s="781">
        <f t="shared" si="77"/>
        <v>0</v>
      </c>
      <c r="AS114" s="783">
        <f t="shared" si="78"/>
        <v>0</v>
      </c>
      <c r="AT114" s="917"/>
      <c r="AW114" s="832"/>
      <c r="AX114" s="833" t="s">
        <v>3458</v>
      </c>
      <c r="BM114" s="2010">
        <v>530</v>
      </c>
    </row>
    <row r="115" spans="1:65" ht="26.25" hidden="1" outlineLevel="1" thickBot="1" x14ac:dyDescent="0.3">
      <c r="A115" s="784"/>
      <c r="B115" s="904">
        <f t="shared" si="57"/>
        <v>99</v>
      </c>
      <c r="C115" s="170" t="str">
        <f t="shared" si="56"/>
        <v>5CY</v>
      </c>
      <c r="D115" s="557"/>
      <c r="E115" s="170"/>
      <c r="F115" s="170">
        <v>5</v>
      </c>
      <c r="G115" s="2007" t="s">
        <v>2440</v>
      </c>
      <c r="H115" s="2630">
        <f t="shared" si="180"/>
        <v>0</v>
      </c>
      <c r="I115" s="2008" t="s">
        <v>671</v>
      </c>
      <c r="J115" s="1926"/>
      <c r="K115" s="1926" t="s">
        <v>732</v>
      </c>
      <c r="L115" s="721"/>
      <c r="M115" s="2009">
        <v>18.600000000000001</v>
      </c>
      <c r="N115" s="2010">
        <v>1</v>
      </c>
      <c r="O115" s="773">
        <f t="shared" si="177"/>
        <v>18.600000000000001</v>
      </c>
      <c r="P115" s="2008" t="s">
        <v>39</v>
      </c>
      <c r="Q115" s="2008" t="s">
        <v>39</v>
      </c>
      <c r="R115" s="2011" t="s">
        <v>73</v>
      </c>
      <c r="S115" s="912">
        <f>SUMIF('Data Input sheet'!$B$118:$B$180,R115,'Data Input sheet'!$D$118:$D$180)</f>
        <v>119</v>
      </c>
      <c r="T115" s="2685">
        <f t="shared" si="178"/>
        <v>2213.4</v>
      </c>
      <c r="U115" s="2013">
        <v>11</v>
      </c>
      <c r="V115" s="2679">
        <f t="shared" si="181"/>
        <v>205</v>
      </c>
      <c r="W115" s="2010">
        <f t="shared" ref="W115:W159" si="183">(125+(150*1.5)+5)</f>
        <v>355</v>
      </c>
      <c r="X115" s="779">
        <v>2.9</v>
      </c>
      <c r="Y115" s="2012"/>
      <c r="Z115" s="780">
        <f t="shared" si="179"/>
        <v>2773.4</v>
      </c>
      <c r="AA115" s="2007"/>
      <c r="AB115" s="2007"/>
      <c r="AC115" s="765"/>
      <c r="AD115" s="781">
        <f t="shared" si="63"/>
        <v>0</v>
      </c>
      <c r="AE115" s="778">
        <f t="shared" si="64"/>
        <v>0</v>
      </c>
      <c r="AF115" s="781">
        <f t="shared" si="65"/>
        <v>0</v>
      </c>
      <c r="AG115" s="781">
        <f t="shared" si="66"/>
        <v>0</v>
      </c>
      <c r="AH115" s="781">
        <f t="shared" si="67"/>
        <v>0</v>
      </c>
      <c r="AI115" s="782">
        <f t="shared" si="68"/>
        <v>0</v>
      </c>
      <c r="AJ115" s="781">
        <f t="shared" si="69"/>
        <v>0</v>
      </c>
      <c r="AK115" s="781">
        <f t="shared" si="70"/>
        <v>0</v>
      </c>
      <c r="AL115" s="781">
        <f t="shared" si="71"/>
        <v>0</v>
      </c>
      <c r="AM115" s="781">
        <f t="shared" si="72"/>
        <v>0</v>
      </c>
      <c r="AN115" s="781">
        <f t="shared" si="73"/>
        <v>0</v>
      </c>
      <c r="AO115" s="781">
        <f t="shared" si="74"/>
        <v>0</v>
      </c>
      <c r="AP115" s="781">
        <f t="shared" si="75"/>
        <v>0</v>
      </c>
      <c r="AQ115" s="781">
        <f t="shared" si="76"/>
        <v>0</v>
      </c>
      <c r="AR115" s="781">
        <f t="shared" si="77"/>
        <v>0</v>
      </c>
      <c r="AS115" s="783">
        <f t="shared" si="78"/>
        <v>0</v>
      </c>
      <c r="AT115" s="917"/>
      <c r="AW115" s="832"/>
      <c r="AX115" s="833" t="s">
        <v>3453</v>
      </c>
      <c r="BM115" s="2010">
        <v>831.83692800000006</v>
      </c>
    </row>
    <row r="116" spans="1:65" ht="26.25" hidden="1" outlineLevel="1" thickBot="1" x14ac:dyDescent="0.3">
      <c r="A116" s="784"/>
      <c r="B116" s="904">
        <f t="shared" si="57"/>
        <v>100</v>
      </c>
      <c r="C116" s="170" t="str">
        <f t="shared" si="56"/>
        <v>5CY</v>
      </c>
      <c r="D116" s="557"/>
      <c r="E116" s="170"/>
      <c r="F116" s="170">
        <v>5</v>
      </c>
      <c r="G116" s="2007" t="s">
        <v>2441</v>
      </c>
      <c r="H116" s="2630">
        <f t="shared" si="180"/>
        <v>0</v>
      </c>
      <c r="I116" s="2008" t="s">
        <v>671</v>
      </c>
      <c r="J116" s="1926"/>
      <c r="K116" s="1926" t="s">
        <v>732</v>
      </c>
      <c r="L116" s="721"/>
      <c r="M116" s="2009">
        <v>18.600000000000001</v>
      </c>
      <c r="N116" s="2010">
        <v>1</v>
      </c>
      <c r="O116" s="773">
        <f t="shared" si="177"/>
        <v>18.600000000000001</v>
      </c>
      <c r="P116" s="2008" t="s">
        <v>39</v>
      </c>
      <c r="Q116" s="2008" t="s">
        <v>39</v>
      </c>
      <c r="R116" s="2011" t="s">
        <v>73</v>
      </c>
      <c r="S116" s="912">
        <f>SUMIF('Data Input sheet'!$B$118:$B$180,R116,'Data Input sheet'!$D$118:$D$180)</f>
        <v>119</v>
      </c>
      <c r="T116" s="2685">
        <f t="shared" si="178"/>
        <v>2213.4</v>
      </c>
      <c r="U116" s="2013">
        <v>11</v>
      </c>
      <c r="V116" s="2679">
        <f t="shared" si="181"/>
        <v>205</v>
      </c>
      <c r="W116" s="2010">
        <f t="shared" si="183"/>
        <v>355</v>
      </c>
      <c r="X116" s="779">
        <v>2.0699999999999998</v>
      </c>
      <c r="Y116" s="2012"/>
      <c r="Z116" s="780">
        <f t="shared" si="179"/>
        <v>2773.4</v>
      </c>
      <c r="AA116" s="2007"/>
      <c r="AB116" s="2007"/>
      <c r="AC116" s="765"/>
      <c r="AD116" s="781">
        <f t="shared" si="63"/>
        <v>0</v>
      </c>
      <c r="AE116" s="778">
        <f t="shared" si="64"/>
        <v>0</v>
      </c>
      <c r="AF116" s="781">
        <f t="shared" si="65"/>
        <v>0</v>
      </c>
      <c r="AG116" s="781">
        <f t="shared" si="66"/>
        <v>0</v>
      </c>
      <c r="AH116" s="781">
        <f t="shared" si="67"/>
        <v>0</v>
      </c>
      <c r="AI116" s="782">
        <f t="shared" si="68"/>
        <v>0</v>
      </c>
      <c r="AJ116" s="781">
        <f t="shared" si="69"/>
        <v>0</v>
      </c>
      <c r="AK116" s="781">
        <f t="shared" si="70"/>
        <v>0</v>
      </c>
      <c r="AL116" s="781">
        <f t="shared" si="71"/>
        <v>0</v>
      </c>
      <c r="AM116" s="781">
        <f t="shared" si="72"/>
        <v>0</v>
      </c>
      <c r="AN116" s="781">
        <f t="shared" si="73"/>
        <v>0</v>
      </c>
      <c r="AO116" s="781">
        <f t="shared" si="74"/>
        <v>0</v>
      </c>
      <c r="AP116" s="781">
        <f t="shared" si="75"/>
        <v>0</v>
      </c>
      <c r="AQ116" s="781">
        <f t="shared" si="76"/>
        <v>0</v>
      </c>
      <c r="AR116" s="781">
        <f t="shared" si="77"/>
        <v>0</v>
      </c>
      <c r="AS116" s="783">
        <f t="shared" si="78"/>
        <v>0</v>
      </c>
      <c r="AT116" s="917"/>
      <c r="AW116" s="832"/>
      <c r="AX116" s="833" t="s">
        <v>3452</v>
      </c>
      <c r="BM116" s="2010">
        <v>1312.9688000000001</v>
      </c>
    </row>
    <row r="117" spans="1:65" ht="26.25" hidden="1" outlineLevel="1" thickBot="1" x14ac:dyDescent="0.3">
      <c r="A117" s="784"/>
      <c r="B117" s="904">
        <f t="shared" si="57"/>
        <v>101</v>
      </c>
      <c r="C117" s="170" t="str">
        <f t="shared" si="56"/>
        <v>5CY</v>
      </c>
      <c r="D117" s="557"/>
      <c r="E117" s="170"/>
      <c r="F117" s="170">
        <v>5</v>
      </c>
      <c r="G117" s="2007" t="s">
        <v>2442</v>
      </c>
      <c r="H117" s="2630">
        <f t="shared" si="180"/>
        <v>0</v>
      </c>
      <c r="I117" s="2008" t="s">
        <v>671</v>
      </c>
      <c r="J117" s="1926"/>
      <c r="K117" s="1926" t="s">
        <v>732</v>
      </c>
      <c r="L117" s="721"/>
      <c r="M117" s="2009">
        <v>12.8</v>
      </c>
      <c r="N117" s="2010">
        <v>1</v>
      </c>
      <c r="O117" s="773">
        <f t="shared" si="177"/>
        <v>12.8</v>
      </c>
      <c r="P117" s="2008" t="s">
        <v>39</v>
      </c>
      <c r="Q117" s="2008" t="s">
        <v>39</v>
      </c>
      <c r="R117" s="2011" t="s">
        <v>73</v>
      </c>
      <c r="S117" s="912">
        <f>SUMIF('Data Input sheet'!$B$118:$B$180,R117,'Data Input sheet'!$D$118:$D$180)</f>
        <v>119</v>
      </c>
      <c r="T117" s="2685">
        <f t="shared" si="178"/>
        <v>1523.2</v>
      </c>
      <c r="U117" s="2013">
        <v>11</v>
      </c>
      <c r="V117" s="2679">
        <f t="shared" si="181"/>
        <v>141</v>
      </c>
      <c r="W117" s="2010">
        <f t="shared" si="183"/>
        <v>355</v>
      </c>
      <c r="X117" s="779">
        <v>20</v>
      </c>
      <c r="Y117" s="2012"/>
      <c r="Z117" s="780">
        <f t="shared" si="179"/>
        <v>2019.2</v>
      </c>
      <c r="AA117" s="2007"/>
      <c r="AB117" s="2007"/>
      <c r="AC117" s="765"/>
      <c r="AD117" s="781">
        <f t="shared" si="63"/>
        <v>0</v>
      </c>
      <c r="AE117" s="778">
        <f t="shared" si="64"/>
        <v>0</v>
      </c>
      <c r="AF117" s="781">
        <f t="shared" si="65"/>
        <v>0</v>
      </c>
      <c r="AG117" s="781">
        <f t="shared" si="66"/>
        <v>0</v>
      </c>
      <c r="AH117" s="781">
        <f t="shared" si="67"/>
        <v>0</v>
      </c>
      <c r="AI117" s="782">
        <f t="shared" si="68"/>
        <v>0</v>
      </c>
      <c r="AJ117" s="781">
        <f t="shared" si="69"/>
        <v>0</v>
      </c>
      <c r="AK117" s="781">
        <f t="shared" si="70"/>
        <v>0</v>
      </c>
      <c r="AL117" s="781">
        <f t="shared" si="71"/>
        <v>0</v>
      </c>
      <c r="AM117" s="781">
        <f t="shared" si="72"/>
        <v>0</v>
      </c>
      <c r="AN117" s="781">
        <f t="shared" si="73"/>
        <v>0</v>
      </c>
      <c r="AO117" s="781">
        <f t="shared" si="74"/>
        <v>0</v>
      </c>
      <c r="AP117" s="781">
        <f t="shared" si="75"/>
        <v>0</v>
      </c>
      <c r="AQ117" s="781">
        <f t="shared" si="76"/>
        <v>0</v>
      </c>
      <c r="AR117" s="781">
        <f t="shared" si="77"/>
        <v>0</v>
      </c>
      <c r="AS117" s="783">
        <f t="shared" si="78"/>
        <v>0</v>
      </c>
      <c r="AT117" s="917"/>
      <c r="AW117" s="832"/>
      <c r="AX117" s="833" t="s">
        <v>3451</v>
      </c>
      <c r="BM117" s="2010">
        <v>5736.8064000000004</v>
      </c>
    </row>
    <row r="118" spans="1:65" ht="26.25" hidden="1" outlineLevel="1" thickBot="1" x14ac:dyDescent="0.3">
      <c r="A118" s="784"/>
      <c r="B118" s="904">
        <f t="shared" si="57"/>
        <v>102</v>
      </c>
      <c r="C118" s="170" t="str">
        <f t="shared" si="56"/>
        <v>5CY</v>
      </c>
      <c r="D118" s="557"/>
      <c r="E118" s="170"/>
      <c r="F118" s="170">
        <v>5</v>
      </c>
      <c r="G118" s="2007" t="s">
        <v>2443</v>
      </c>
      <c r="H118" s="2630">
        <f t="shared" si="180"/>
        <v>0</v>
      </c>
      <c r="I118" s="2008" t="s">
        <v>671</v>
      </c>
      <c r="J118" s="1926"/>
      <c r="K118" s="1926" t="s">
        <v>732</v>
      </c>
      <c r="L118" s="721"/>
      <c r="M118" s="2009">
        <v>19</v>
      </c>
      <c r="N118" s="2010">
        <v>1</v>
      </c>
      <c r="O118" s="773">
        <f t="shared" si="177"/>
        <v>19</v>
      </c>
      <c r="P118" s="2008" t="s">
        <v>39</v>
      </c>
      <c r="Q118" s="2008" t="s">
        <v>39</v>
      </c>
      <c r="R118" s="2011" t="s">
        <v>73</v>
      </c>
      <c r="S118" s="912">
        <f>SUMIF('Data Input sheet'!$B$118:$B$180,R118,'Data Input sheet'!$D$118:$D$180)</f>
        <v>119</v>
      </c>
      <c r="T118" s="2685">
        <f t="shared" si="178"/>
        <v>2261</v>
      </c>
      <c r="U118" s="2013">
        <v>22</v>
      </c>
      <c r="V118" s="2679">
        <f t="shared" si="181"/>
        <v>418</v>
      </c>
      <c r="W118" s="2010">
        <f t="shared" si="183"/>
        <v>355</v>
      </c>
      <c r="X118" s="779">
        <f>39.4*2</f>
        <v>78.8</v>
      </c>
      <c r="Y118" s="2012"/>
      <c r="Z118" s="780">
        <f t="shared" si="179"/>
        <v>3034</v>
      </c>
      <c r="AA118" s="2007"/>
      <c r="AB118" s="2007"/>
      <c r="AC118" s="765"/>
      <c r="AD118" s="781">
        <f t="shared" si="63"/>
        <v>0</v>
      </c>
      <c r="AE118" s="778">
        <f t="shared" si="64"/>
        <v>0</v>
      </c>
      <c r="AF118" s="781">
        <f t="shared" si="65"/>
        <v>0</v>
      </c>
      <c r="AG118" s="781">
        <f t="shared" si="66"/>
        <v>0</v>
      </c>
      <c r="AH118" s="781">
        <f t="shared" si="67"/>
        <v>0</v>
      </c>
      <c r="AI118" s="782">
        <f t="shared" si="68"/>
        <v>0</v>
      </c>
      <c r="AJ118" s="781">
        <f t="shared" si="69"/>
        <v>0</v>
      </c>
      <c r="AK118" s="781">
        <f t="shared" si="70"/>
        <v>0</v>
      </c>
      <c r="AL118" s="781">
        <f t="shared" si="71"/>
        <v>0</v>
      </c>
      <c r="AM118" s="781">
        <f t="shared" si="72"/>
        <v>0</v>
      </c>
      <c r="AN118" s="781">
        <f t="shared" si="73"/>
        <v>0</v>
      </c>
      <c r="AO118" s="781">
        <f t="shared" si="74"/>
        <v>0</v>
      </c>
      <c r="AP118" s="781">
        <f t="shared" si="75"/>
        <v>0</v>
      </c>
      <c r="AQ118" s="781">
        <f t="shared" si="76"/>
        <v>0</v>
      </c>
      <c r="AR118" s="781">
        <f t="shared" si="77"/>
        <v>0</v>
      </c>
      <c r="AS118" s="783">
        <f t="shared" si="78"/>
        <v>0</v>
      </c>
      <c r="AT118" s="917"/>
      <c r="AW118" s="832"/>
      <c r="AX118" s="833" t="s">
        <v>3459</v>
      </c>
      <c r="BM118" s="2010">
        <v>19761.882399999999</v>
      </c>
    </row>
    <row r="119" spans="1:65" ht="30.75" hidden="1" customHeight="1" outlineLevel="1" x14ac:dyDescent="0.3">
      <c r="A119" s="787"/>
      <c r="B119" s="904">
        <f t="shared" si="57"/>
        <v>103</v>
      </c>
      <c r="C119" s="170" t="str">
        <f t="shared" si="56"/>
        <v>5CY</v>
      </c>
      <c r="D119" s="906"/>
      <c r="E119" s="721"/>
      <c r="F119" s="170">
        <v>5</v>
      </c>
      <c r="G119" s="2007" t="s">
        <v>3218</v>
      </c>
      <c r="H119" s="2630">
        <f t="shared" si="180"/>
        <v>0</v>
      </c>
      <c r="I119" s="2008" t="s">
        <v>671</v>
      </c>
      <c r="J119" s="1926"/>
      <c r="K119" s="1926" t="s">
        <v>732</v>
      </c>
      <c r="L119" s="721"/>
      <c r="M119" s="2009">
        <v>19.100711743772241</v>
      </c>
      <c r="N119" s="2010">
        <v>1</v>
      </c>
      <c r="O119" s="773">
        <f t="shared" si="177"/>
        <v>19.100711743772241</v>
      </c>
      <c r="P119" s="2008" t="s">
        <v>39</v>
      </c>
      <c r="Q119" s="2008" t="s">
        <v>39</v>
      </c>
      <c r="R119" s="2011" t="s">
        <v>73</v>
      </c>
      <c r="S119" s="912">
        <f>SUMIF('Data Input sheet'!$B$118:$B$180,R119,'Data Input sheet'!$D$118:$D$180)</f>
        <v>119</v>
      </c>
      <c r="T119" s="2685">
        <f t="shared" si="178"/>
        <v>2272.9846975088967</v>
      </c>
      <c r="U119" s="2013">
        <v>23.895585000000001</v>
      </c>
      <c r="V119" s="2679">
        <f t="shared" si="181"/>
        <v>456</v>
      </c>
      <c r="W119" s="2010">
        <v>685.05338078291811</v>
      </c>
      <c r="X119" s="2518">
        <v>5.62</v>
      </c>
      <c r="Y119" s="2012"/>
      <c r="Z119" s="780">
        <f t="shared" si="179"/>
        <v>3414.0380782918146</v>
      </c>
      <c r="AA119" s="1886"/>
      <c r="AB119" s="2007"/>
      <c r="AC119" s="765"/>
      <c r="AD119" s="781">
        <f t="shared" si="63"/>
        <v>0</v>
      </c>
      <c r="AE119" s="778">
        <f t="shared" si="64"/>
        <v>0</v>
      </c>
      <c r="AF119" s="781">
        <f t="shared" si="65"/>
        <v>0</v>
      </c>
      <c r="AG119" s="781">
        <f t="shared" si="66"/>
        <v>0</v>
      </c>
      <c r="AH119" s="781">
        <f t="shared" si="67"/>
        <v>0</v>
      </c>
      <c r="AI119" s="782">
        <f t="shared" si="68"/>
        <v>0</v>
      </c>
      <c r="AJ119" s="781">
        <f t="shared" si="69"/>
        <v>0</v>
      </c>
      <c r="AK119" s="781">
        <f t="shared" si="70"/>
        <v>0</v>
      </c>
      <c r="AL119" s="781">
        <f t="shared" si="71"/>
        <v>0</v>
      </c>
      <c r="AM119" s="781">
        <f t="shared" si="72"/>
        <v>0</v>
      </c>
      <c r="AN119" s="781">
        <f t="shared" si="73"/>
        <v>0</v>
      </c>
      <c r="AO119" s="781">
        <f t="shared" si="74"/>
        <v>0</v>
      </c>
      <c r="AP119" s="781">
        <f t="shared" si="75"/>
        <v>0</v>
      </c>
      <c r="AQ119" s="781">
        <f t="shared" si="76"/>
        <v>0</v>
      </c>
      <c r="AR119" s="781">
        <f t="shared" si="77"/>
        <v>0</v>
      </c>
      <c r="AS119" s="783">
        <f t="shared" si="78"/>
        <v>0</v>
      </c>
      <c r="AT119" s="917"/>
      <c r="AU119" s="721"/>
      <c r="AV119" s="721"/>
      <c r="AW119" s="832"/>
      <c r="AX119" s="833" t="s">
        <v>3349</v>
      </c>
      <c r="BM119" s="2010">
        <v>29.16</v>
      </c>
    </row>
    <row r="120" spans="1:65" ht="26.25" hidden="1" outlineLevel="1" thickBot="1" x14ac:dyDescent="0.3">
      <c r="A120" s="784"/>
      <c r="B120" s="904">
        <f t="shared" si="57"/>
        <v>104</v>
      </c>
      <c r="C120" s="170" t="str">
        <f t="shared" si="56"/>
        <v>5CY</v>
      </c>
      <c r="D120" s="557"/>
      <c r="E120" s="170"/>
      <c r="F120" s="170">
        <v>5</v>
      </c>
      <c r="G120" s="2007" t="s">
        <v>3219</v>
      </c>
      <c r="H120" s="2630">
        <f t="shared" si="180"/>
        <v>0</v>
      </c>
      <c r="I120" s="2008" t="s">
        <v>671</v>
      </c>
      <c r="J120" s="1926"/>
      <c r="K120" s="1926" t="s">
        <v>732</v>
      </c>
      <c r="L120" s="721"/>
      <c r="M120" s="2009">
        <v>21.83436754176611</v>
      </c>
      <c r="N120" s="2010">
        <v>1</v>
      </c>
      <c r="O120" s="773">
        <f t="shared" si="177"/>
        <v>21.83436754176611</v>
      </c>
      <c r="P120" s="2008" t="s">
        <v>39</v>
      </c>
      <c r="Q120" s="2008" t="s">
        <v>39</v>
      </c>
      <c r="R120" s="2011" t="s">
        <v>73</v>
      </c>
      <c r="S120" s="912">
        <f>SUMIF('Data Input sheet'!$B$118:$B$180,R120,'Data Input sheet'!$D$118:$D$180)</f>
        <v>119</v>
      </c>
      <c r="T120" s="2685">
        <f t="shared" si="178"/>
        <v>2598.289737470167</v>
      </c>
      <c r="U120" s="2013">
        <v>85.436999999999998</v>
      </c>
      <c r="V120" s="2679">
        <f t="shared" si="181"/>
        <v>1865</v>
      </c>
      <c r="W120" s="2010">
        <v>564.20047732696889</v>
      </c>
      <c r="X120" s="2518">
        <v>4.1900000000000004</v>
      </c>
      <c r="Y120" s="2012"/>
      <c r="Z120" s="780">
        <f t="shared" si="179"/>
        <v>5027.4902147971361</v>
      </c>
      <c r="AA120" s="2224"/>
      <c r="AB120" s="2007"/>
      <c r="AC120" s="765"/>
      <c r="AD120" s="781">
        <f t="shared" si="63"/>
        <v>0</v>
      </c>
      <c r="AE120" s="778">
        <f t="shared" si="64"/>
        <v>0</v>
      </c>
      <c r="AF120" s="781">
        <f t="shared" si="65"/>
        <v>0</v>
      </c>
      <c r="AG120" s="781">
        <f t="shared" si="66"/>
        <v>0</v>
      </c>
      <c r="AH120" s="781">
        <f t="shared" si="67"/>
        <v>0</v>
      </c>
      <c r="AI120" s="782">
        <f t="shared" si="68"/>
        <v>0</v>
      </c>
      <c r="AJ120" s="781">
        <f t="shared" si="69"/>
        <v>0</v>
      </c>
      <c r="AK120" s="781">
        <f t="shared" si="70"/>
        <v>0</v>
      </c>
      <c r="AL120" s="781">
        <f t="shared" si="71"/>
        <v>0</v>
      </c>
      <c r="AM120" s="781">
        <f t="shared" si="72"/>
        <v>0</v>
      </c>
      <c r="AN120" s="781">
        <f t="shared" si="73"/>
        <v>0</v>
      </c>
      <c r="AO120" s="781">
        <f t="shared" si="74"/>
        <v>0</v>
      </c>
      <c r="AP120" s="781">
        <f t="shared" si="75"/>
        <v>0</v>
      </c>
      <c r="AQ120" s="781">
        <f t="shared" si="76"/>
        <v>0</v>
      </c>
      <c r="AR120" s="781">
        <f t="shared" si="77"/>
        <v>0</v>
      </c>
      <c r="AS120" s="783">
        <f t="shared" si="78"/>
        <v>0</v>
      </c>
      <c r="AT120" s="917"/>
      <c r="AW120" s="832"/>
      <c r="AX120" s="833" t="s">
        <v>3350</v>
      </c>
      <c r="BM120" s="2010">
        <v>24381.427200000002</v>
      </c>
    </row>
    <row r="121" spans="1:65" ht="30" hidden="1" customHeight="1" outlineLevel="1" x14ac:dyDescent="0.3">
      <c r="A121" s="787"/>
      <c r="B121" s="904">
        <f t="shared" si="57"/>
        <v>105</v>
      </c>
      <c r="C121" s="170" t="str">
        <f t="shared" si="56"/>
        <v>5CY</v>
      </c>
      <c r="D121" s="906"/>
      <c r="E121" s="721"/>
      <c r="F121" s="170">
        <v>5</v>
      </c>
      <c r="G121" s="2007" t="s">
        <v>3220</v>
      </c>
      <c r="H121" s="2630">
        <f t="shared" si="180"/>
        <v>0</v>
      </c>
      <c r="I121" s="2008" t="s">
        <v>671</v>
      </c>
      <c r="J121" s="1926"/>
      <c r="K121" s="1926" t="s">
        <v>732</v>
      </c>
      <c r="L121" s="721"/>
      <c r="M121" s="2009">
        <v>19.001318267419965</v>
      </c>
      <c r="N121" s="2010">
        <v>1</v>
      </c>
      <c r="O121" s="773">
        <f t="shared" si="177"/>
        <v>19.001318267419965</v>
      </c>
      <c r="P121" s="2008" t="s">
        <v>39</v>
      </c>
      <c r="Q121" s="2008" t="s">
        <v>39</v>
      </c>
      <c r="R121" s="2011" t="s">
        <v>73</v>
      </c>
      <c r="S121" s="912">
        <f>SUMIF('Data Input sheet'!$B$118:$B$180,R121,'Data Input sheet'!$D$118:$D$180)</f>
        <v>119</v>
      </c>
      <c r="T121" s="2685">
        <f t="shared" si="178"/>
        <v>2261.1568738229757</v>
      </c>
      <c r="U121" s="2013">
        <v>25.750817000000001</v>
      </c>
      <c r="V121" s="2679">
        <f t="shared" si="181"/>
        <v>489</v>
      </c>
      <c r="W121" s="2010">
        <v>738.22975517890779</v>
      </c>
      <c r="X121" s="2518">
        <v>5.31</v>
      </c>
      <c r="Y121" s="2012"/>
      <c r="Z121" s="780">
        <f t="shared" si="179"/>
        <v>3488.3866290018836</v>
      </c>
      <c r="AA121" s="1886"/>
      <c r="AB121" s="2007"/>
      <c r="AC121" s="765"/>
      <c r="AD121" s="781">
        <f t="shared" si="63"/>
        <v>0</v>
      </c>
      <c r="AE121" s="778">
        <f t="shared" si="64"/>
        <v>0</v>
      </c>
      <c r="AF121" s="781">
        <f t="shared" si="65"/>
        <v>0</v>
      </c>
      <c r="AG121" s="781">
        <f t="shared" si="66"/>
        <v>0</v>
      </c>
      <c r="AH121" s="781">
        <f t="shared" si="67"/>
        <v>0</v>
      </c>
      <c r="AI121" s="782">
        <f t="shared" si="68"/>
        <v>0</v>
      </c>
      <c r="AJ121" s="781">
        <f t="shared" si="69"/>
        <v>0</v>
      </c>
      <c r="AK121" s="781">
        <f t="shared" si="70"/>
        <v>0</v>
      </c>
      <c r="AL121" s="781">
        <f t="shared" si="71"/>
        <v>0</v>
      </c>
      <c r="AM121" s="781">
        <f t="shared" si="72"/>
        <v>0</v>
      </c>
      <c r="AN121" s="781">
        <f t="shared" si="73"/>
        <v>0</v>
      </c>
      <c r="AO121" s="781">
        <f t="shared" si="74"/>
        <v>0</v>
      </c>
      <c r="AP121" s="781">
        <f t="shared" si="75"/>
        <v>0</v>
      </c>
      <c r="AQ121" s="781">
        <f t="shared" si="76"/>
        <v>0</v>
      </c>
      <c r="AR121" s="781">
        <f t="shared" si="77"/>
        <v>0</v>
      </c>
      <c r="AS121" s="783">
        <f t="shared" si="78"/>
        <v>0</v>
      </c>
      <c r="AT121" s="917"/>
      <c r="AU121" s="721"/>
      <c r="AV121" s="721"/>
      <c r="AW121" s="832"/>
      <c r="AX121" s="833" t="s">
        <v>3351</v>
      </c>
      <c r="BM121" s="2010">
        <v>29.16</v>
      </c>
    </row>
    <row r="122" spans="1:65" ht="26.25" hidden="1" outlineLevel="1" thickBot="1" x14ac:dyDescent="0.3">
      <c r="A122" s="784"/>
      <c r="B122" s="904">
        <f t="shared" si="57"/>
        <v>106</v>
      </c>
      <c r="C122" s="170" t="str">
        <f t="shared" si="56"/>
        <v>5CY</v>
      </c>
      <c r="D122" s="557"/>
      <c r="E122" s="170"/>
      <c r="F122" s="170">
        <v>5</v>
      </c>
      <c r="G122" s="2007" t="s">
        <v>3221</v>
      </c>
      <c r="H122" s="2630">
        <f t="shared" si="180"/>
        <v>0</v>
      </c>
      <c r="I122" s="2008" t="s">
        <v>671</v>
      </c>
      <c r="J122" s="1926"/>
      <c r="K122" s="1926" t="s">
        <v>732</v>
      </c>
      <c r="L122" s="721"/>
      <c r="M122" s="2009">
        <v>17.194267515923567</v>
      </c>
      <c r="N122" s="2010">
        <v>1</v>
      </c>
      <c r="O122" s="773">
        <f t="shared" si="177"/>
        <v>17.194267515923567</v>
      </c>
      <c r="P122" s="2008" t="s">
        <v>39</v>
      </c>
      <c r="Q122" s="2008" t="s">
        <v>39</v>
      </c>
      <c r="R122" s="2011" t="s">
        <v>73</v>
      </c>
      <c r="S122" s="912">
        <f>SUMIF('Data Input sheet'!$B$118:$B$180,R122,'Data Input sheet'!$D$118:$D$180)</f>
        <v>119</v>
      </c>
      <c r="T122" s="2685">
        <f t="shared" si="178"/>
        <v>2046.1178343949045</v>
      </c>
      <c r="U122" s="2013">
        <v>79.95</v>
      </c>
      <c r="V122" s="2679">
        <f t="shared" si="181"/>
        <v>1375</v>
      </c>
      <c r="W122" s="2010">
        <v>500.96</v>
      </c>
      <c r="X122" s="2518">
        <v>3.14</v>
      </c>
      <c r="Y122" s="2012"/>
      <c r="Z122" s="780">
        <f t="shared" si="179"/>
        <v>3922.0778343949046</v>
      </c>
      <c r="AA122" s="1886"/>
      <c r="AB122" s="2007"/>
      <c r="AC122" s="765"/>
      <c r="AD122" s="781">
        <f t="shared" si="63"/>
        <v>0</v>
      </c>
      <c r="AE122" s="778">
        <f t="shared" si="64"/>
        <v>0</v>
      </c>
      <c r="AF122" s="781">
        <f t="shared" si="65"/>
        <v>0</v>
      </c>
      <c r="AG122" s="781">
        <f t="shared" si="66"/>
        <v>0</v>
      </c>
      <c r="AH122" s="781">
        <f t="shared" si="67"/>
        <v>0</v>
      </c>
      <c r="AI122" s="782">
        <f t="shared" si="68"/>
        <v>0</v>
      </c>
      <c r="AJ122" s="781">
        <f t="shared" si="69"/>
        <v>0</v>
      </c>
      <c r="AK122" s="781">
        <f t="shared" si="70"/>
        <v>0</v>
      </c>
      <c r="AL122" s="781">
        <f t="shared" si="71"/>
        <v>0</v>
      </c>
      <c r="AM122" s="781">
        <f t="shared" si="72"/>
        <v>0</v>
      </c>
      <c r="AN122" s="781">
        <f t="shared" si="73"/>
        <v>0</v>
      </c>
      <c r="AO122" s="781">
        <f t="shared" si="74"/>
        <v>0</v>
      </c>
      <c r="AP122" s="781">
        <f t="shared" si="75"/>
        <v>0</v>
      </c>
      <c r="AQ122" s="781">
        <f t="shared" si="76"/>
        <v>0</v>
      </c>
      <c r="AR122" s="781">
        <f t="shared" si="77"/>
        <v>0</v>
      </c>
      <c r="AS122" s="783">
        <f t="shared" si="78"/>
        <v>0</v>
      </c>
      <c r="AT122" s="917"/>
      <c r="AW122" s="832"/>
      <c r="AX122" s="833" t="s">
        <v>3352</v>
      </c>
      <c r="BM122" s="2010">
        <v>17210.4192</v>
      </c>
    </row>
    <row r="123" spans="1:65" ht="30" hidden="1" customHeight="1" outlineLevel="1" x14ac:dyDescent="0.3">
      <c r="A123" s="787"/>
      <c r="B123" s="904">
        <f t="shared" si="57"/>
        <v>107</v>
      </c>
      <c r="C123" s="170" t="str">
        <f t="shared" si="56"/>
        <v>5CY</v>
      </c>
      <c r="D123" s="906"/>
      <c r="E123" s="721"/>
      <c r="F123" s="170">
        <v>5</v>
      </c>
      <c r="G123" s="2007" t="s">
        <v>3222</v>
      </c>
      <c r="H123" s="2630">
        <f t="shared" si="180"/>
        <v>0</v>
      </c>
      <c r="I123" s="2008" t="s">
        <v>671</v>
      </c>
      <c r="J123" s="1926"/>
      <c r="K123" s="1926" t="s">
        <v>732</v>
      </c>
      <c r="L123" s="721"/>
      <c r="M123" s="2009">
        <v>19.505405405405405</v>
      </c>
      <c r="N123" s="2010">
        <v>1</v>
      </c>
      <c r="O123" s="773">
        <f t="shared" si="177"/>
        <v>19.505405405405405</v>
      </c>
      <c r="P123" s="2008" t="s">
        <v>39</v>
      </c>
      <c r="Q123" s="2008" t="s">
        <v>39</v>
      </c>
      <c r="R123" s="2011" t="s">
        <v>73</v>
      </c>
      <c r="S123" s="912">
        <f>SUMIF('Data Input sheet'!$B$118:$B$180,R123,'Data Input sheet'!$D$118:$D$180)</f>
        <v>119</v>
      </c>
      <c r="T123" s="2685">
        <f t="shared" si="178"/>
        <v>2321.143243243243</v>
      </c>
      <c r="U123" s="2013">
        <v>25.668500000000002</v>
      </c>
      <c r="V123" s="2679">
        <f t="shared" si="181"/>
        <v>501</v>
      </c>
      <c r="W123" s="2010">
        <v>686.7117117117117</v>
      </c>
      <c r="X123" s="2518">
        <v>4.4400000000000004</v>
      </c>
      <c r="Y123" s="2012"/>
      <c r="Z123" s="780">
        <f t="shared" si="179"/>
        <v>3508.8549549549548</v>
      </c>
      <c r="AA123" s="2224"/>
      <c r="AB123" s="2007"/>
      <c r="AC123" s="765"/>
      <c r="AD123" s="781">
        <f t="shared" si="63"/>
        <v>0</v>
      </c>
      <c r="AE123" s="778">
        <f t="shared" si="64"/>
        <v>0</v>
      </c>
      <c r="AF123" s="781">
        <f t="shared" si="65"/>
        <v>0</v>
      </c>
      <c r="AG123" s="781">
        <f t="shared" si="66"/>
        <v>0</v>
      </c>
      <c r="AH123" s="781">
        <f t="shared" si="67"/>
        <v>0</v>
      </c>
      <c r="AI123" s="782">
        <f t="shared" si="68"/>
        <v>0</v>
      </c>
      <c r="AJ123" s="781">
        <f t="shared" si="69"/>
        <v>0</v>
      </c>
      <c r="AK123" s="781">
        <f t="shared" si="70"/>
        <v>0</v>
      </c>
      <c r="AL123" s="781">
        <f t="shared" si="71"/>
        <v>0</v>
      </c>
      <c r="AM123" s="781">
        <f t="shared" si="72"/>
        <v>0</v>
      </c>
      <c r="AN123" s="781">
        <f t="shared" si="73"/>
        <v>0</v>
      </c>
      <c r="AO123" s="781">
        <f t="shared" si="74"/>
        <v>0</v>
      </c>
      <c r="AP123" s="781">
        <f t="shared" si="75"/>
        <v>0</v>
      </c>
      <c r="AQ123" s="781">
        <f t="shared" si="76"/>
        <v>0</v>
      </c>
      <c r="AR123" s="781">
        <f t="shared" si="77"/>
        <v>0</v>
      </c>
      <c r="AS123" s="783">
        <f t="shared" si="78"/>
        <v>0</v>
      </c>
      <c r="AT123" s="917"/>
      <c r="AU123" s="721"/>
      <c r="AV123" s="721"/>
      <c r="AW123" s="832"/>
      <c r="AX123" s="833" t="s">
        <v>3353</v>
      </c>
      <c r="BM123" s="2010">
        <v>29.16</v>
      </c>
    </row>
    <row r="124" spans="1:65" ht="26.25" hidden="1" outlineLevel="1" thickBot="1" x14ac:dyDescent="0.3">
      <c r="A124" s="787"/>
      <c r="B124" s="904">
        <f t="shared" si="57"/>
        <v>108</v>
      </c>
      <c r="C124" s="170" t="str">
        <f t="shared" si="56"/>
        <v>5CY</v>
      </c>
      <c r="D124" s="906"/>
      <c r="E124" s="721"/>
      <c r="F124" s="170">
        <v>5</v>
      </c>
      <c r="G124" s="2007" t="s">
        <v>3223</v>
      </c>
      <c r="H124" s="2630">
        <f t="shared" si="180"/>
        <v>0</v>
      </c>
      <c r="I124" s="2008" t="s">
        <v>671</v>
      </c>
      <c r="J124" s="1926"/>
      <c r="K124" s="1926" t="s">
        <v>732</v>
      </c>
      <c r="L124" s="721"/>
      <c r="M124" s="2009">
        <v>23.803542234332426</v>
      </c>
      <c r="N124" s="2010">
        <v>1</v>
      </c>
      <c r="O124" s="773">
        <f t="shared" si="177"/>
        <v>23.803542234332426</v>
      </c>
      <c r="P124" s="2008" t="s">
        <v>39</v>
      </c>
      <c r="Q124" s="2008" t="s">
        <v>39</v>
      </c>
      <c r="R124" s="2011" t="s">
        <v>73</v>
      </c>
      <c r="S124" s="912">
        <f>SUMIF('Data Input sheet'!$B$118:$B$180,R124,'Data Input sheet'!$D$118:$D$180)</f>
        <v>119</v>
      </c>
      <c r="T124" s="2685">
        <f t="shared" si="178"/>
        <v>2832.6215258855586</v>
      </c>
      <c r="U124" s="2013">
        <v>86.951549999999997</v>
      </c>
      <c r="V124" s="2679">
        <f t="shared" si="181"/>
        <v>2070</v>
      </c>
      <c r="W124" s="2010">
        <v>590.4632152588556</v>
      </c>
      <c r="X124" s="2518">
        <v>3.67</v>
      </c>
      <c r="Y124" s="2012"/>
      <c r="Z124" s="780">
        <f t="shared" si="179"/>
        <v>5493.0847411444147</v>
      </c>
      <c r="AA124" s="2224"/>
      <c r="AB124" s="2007"/>
      <c r="AC124" s="765"/>
      <c r="AD124" s="781">
        <f t="shared" si="63"/>
        <v>0</v>
      </c>
      <c r="AE124" s="778">
        <f t="shared" si="64"/>
        <v>0</v>
      </c>
      <c r="AF124" s="781">
        <f t="shared" si="65"/>
        <v>0</v>
      </c>
      <c r="AG124" s="781">
        <f t="shared" si="66"/>
        <v>0</v>
      </c>
      <c r="AH124" s="781">
        <f t="shared" si="67"/>
        <v>0</v>
      </c>
      <c r="AI124" s="782">
        <f t="shared" si="68"/>
        <v>0</v>
      </c>
      <c r="AJ124" s="781">
        <f t="shared" si="69"/>
        <v>0</v>
      </c>
      <c r="AK124" s="781">
        <f t="shared" si="70"/>
        <v>0</v>
      </c>
      <c r="AL124" s="781">
        <f t="shared" si="71"/>
        <v>0</v>
      </c>
      <c r="AM124" s="781">
        <f t="shared" si="72"/>
        <v>0</v>
      </c>
      <c r="AN124" s="781">
        <f t="shared" si="73"/>
        <v>0</v>
      </c>
      <c r="AO124" s="781">
        <f t="shared" si="74"/>
        <v>0</v>
      </c>
      <c r="AP124" s="781">
        <f t="shared" si="75"/>
        <v>0</v>
      </c>
      <c r="AQ124" s="781">
        <f t="shared" si="76"/>
        <v>0</v>
      </c>
      <c r="AR124" s="781">
        <f t="shared" si="77"/>
        <v>0</v>
      </c>
      <c r="AS124" s="783">
        <f t="shared" si="78"/>
        <v>0</v>
      </c>
      <c r="AT124" s="917"/>
      <c r="AU124" s="721"/>
      <c r="AV124" s="721"/>
      <c r="AW124" s="832"/>
      <c r="AX124" s="833" t="s">
        <v>3354</v>
      </c>
      <c r="BM124" s="2010">
        <v>344208.38399999996</v>
      </c>
    </row>
    <row r="125" spans="1:65" ht="26.25" hidden="1" outlineLevel="1" thickBot="1" x14ac:dyDescent="0.3">
      <c r="A125" s="787"/>
      <c r="B125" s="904">
        <f t="shared" si="57"/>
        <v>109</v>
      </c>
      <c r="C125" s="170" t="str">
        <f t="shared" si="56"/>
        <v>5CY</v>
      </c>
      <c r="D125" s="906"/>
      <c r="E125" s="721"/>
      <c r="F125" s="170">
        <v>5</v>
      </c>
      <c r="G125" s="2007" t="s">
        <v>3224</v>
      </c>
      <c r="H125" s="2630">
        <f t="shared" si="180"/>
        <v>0</v>
      </c>
      <c r="I125" s="2008" t="s">
        <v>671</v>
      </c>
      <c r="J125" s="1926"/>
      <c r="K125" s="1926" t="s">
        <v>732</v>
      </c>
      <c r="L125" s="721"/>
      <c r="M125" s="2009">
        <v>18.673371104815864</v>
      </c>
      <c r="N125" s="2010">
        <v>1</v>
      </c>
      <c r="O125" s="773">
        <f t="shared" si="177"/>
        <v>18.673371104815864</v>
      </c>
      <c r="P125" s="2008" t="s">
        <v>39</v>
      </c>
      <c r="Q125" s="2008" t="s">
        <v>39</v>
      </c>
      <c r="R125" s="2011" t="s">
        <v>73</v>
      </c>
      <c r="S125" s="912">
        <f>SUMIF('Data Input sheet'!$B$118:$B$180,R125,'Data Input sheet'!$D$118:$D$180)</f>
        <v>119</v>
      </c>
      <c r="T125" s="2685">
        <f t="shared" si="178"/>
        <v>2222.131161473088</v>
      </c>
      <c r="U125" s="2013">
        <v>22.475200000000001</v>
      </c>
      <c r="V125" s="2679">
        <f t="shared" si="181"/>
        <v>420</v>
      </c>
      <c r="W125" s="2010">
        <v>678.47025495750711</v>
      </c>
      <c r="X125" s="2518">
        <v>7.06</v>
      </c>
      <c r="Y125" s="2012"/>
      <c r="Z125" s="780">
        <f t="shared" si="179"/>
        <v>3320.6014164305952</v>
      </c>
      <c r="AA125" s="1886"/>
      <c r="AB125" s="2007"/>
      <c r="AC125" s="765"/>
      <c r="AD125" s="781">
        <f t="shared" si="63"/>
        <v>0</v>
      </c>
      <c r="AE125" s="778">
        <f t="shared" si="64"/>
        <v>0</v>
      </c>
      <c r="AF125" s="781">
        <f t="shared" si="65"/>
        <v>0</v>
      </c>
      <c r="AG125" s="781">
        <f t="shared" si="66"/>
        <v>0</v>
      </c>
      <c r="AH125" s="781">
        <f t="shared" si="67"/>
        <v>0</v>
      </c>
      <c r="AI125" s="782">
        <f t="shared" si="68"/>
        <v>0</v>
      </c>
      <c r="AJ125" s="781">
        <f t="shared" si="69"/>
        <v>0</v>
      </c>
      <c r="AK125" s="781">
        <f t="shared" si="70"/>
        <v>0</v>
      </c>
      <c r="AL125" s="781">
        <f t="shared" si="71"/>
        <v>0</v>
      </c>
      <c r="AM125" s="781">
        <f t="shared" si="72"/>
        <v>0</v>
      </c>
      <c r="AN125" s="781">
        <f t="shared" si="73"/>
        <v>0</v>
      </c>
      <c r="AO125" s="781">
        <f t="shared" si="74"/>
        <v>0</v>
      </c>
      <c r="AP125" s="781">
        <f t="shared" si="75"/>
        <v>0</v>
      </c>
      <c r="AQ125" s="781">
        <f t="shared" si="76"/>
        <v>0</v>
      </c>
      <c r="AR125" s="781">
        <f t="shared" si="77"/>
        <v>0</v>
      </c>
      <c r="AS125" s="783">
        <f t="shared" si="78"/>
        <v>0</v>
      </c>
      <c r="AT125" s="917"/>
      <c r="AU125" s="721"/>
      <c r="AV125" s="721"/>
      <c r="AW125" s="832"/>
      <c r="AX125" s="833" t="s">
        <v>3355</v>
      </c>
      <c r="BM125" s="2010">
        <v>29.16</v>
      </c>
    </row>
    <row r="126" spans="1:65" ht="26.25" hidden="1" outlineLevel="1" thickBot="1" x14ac:dyDescent="0.3">
      <c r="A126" s="787"/>
      <c r="B126" s="904">
        <f t="shared" si="57"/>
        <v>110</v>
      </c>
      <c r="C126" s="170" t="str">
        <f t="shared" si="56"/>
        <v>5CY</v>
      </c>
      <c r="D126" s="906"/>
      <c r="E126" s="721"/>
      <c r="F126" s="170">
        <v>5</v>
      </c>
      <c r="G126" s="2007" t="s">
        <v>3225</v>
      </c>
      <c r="H126" s="2630">
        <f t="shared" si="180"/>
        <v>0</v>
      </c>
      <c r="I126" s="2008" t="s">
        <v>671</v>
      </c>
      <c r="J126" s="1926"/>
      <c r="K126" s="1926" t="s">
        <v>732</v>
      </c>
      <c r="L126" s="721"/>
      <c r="M126" s="2009">
        <v>19.032633587786258</v>
      </c>
      <c r="N126" s="2010">
        <v>1</v>
      </c>
      <c r="O126" s="773">
        <f t="shared" si="177"/>
        <v>19.032633587786258</v>
      </c>
      <c r="P126" s="2008" t="s">
        <v>39</v>
      </c>
      <c r="Q126" s="2008" t="s">
        <v>39</v>
      </c>
      <c r="R126" s="2011" t="s">
        <v>73</v>
      </c>
      <c r="S126" s="912">
        <f>SUMIF('Data Input sheet'!$B$118:$B$180,R126,'Data Input sheet'!$D$118:$D$180)</f>
        <v>119</v>
      </c>
      <c r="T126" s="2685">
        <f t="shared" si="178"/>
        <v>2264.8833969465645</v>
      </c>
      <c r="U126" s="2013">
        <v>82.411699999999996</v>
      </c>
      <c r="V126" s="2679">
        <f t="shared" si="181"/>
        <v>1569</v>
      </c>
      <c r="W126" s="2010">
        <v>525.76335877862596</v>
      </c>
      <c r="X126" s="2518">
        <v>5.24</v>
      </c>
      <c r="Y126" s="2012"/>
      <c r="Z126" s="780">
        <f t="shared" si="179"/>
        <v>4359.6467557251908</v>
      </c>
      <c r="AA126" s="1886"/>
      <c r="AB126" s="2007"/>
      <c r="AC126" s="765"/>
      <c r="AD126" s="781">
        <f t="shared" si="63"/>
        <v>0</v>
      </c>
      <c r="AE126" s="778">
        <f t="shared" si="64"/>
        <v>0</v>
      </c>
      <c r="AF126" s="781">
        <f t="shared" si="65"/>
        <v>0</v>
      </c>
      <c r="AG126" s="781">
        <f t="shared" si="66"/>
        <v>0</v>
      </c>
      <c r="AH126" s="781">
        <f t="shared" si="67"/>
        <v>0</v>
      </c>
      <c r="AI126" s="782">
        <f t="shared" si="68"/>
        <v>0</v>
      </c>
      <c r="AJ126" s="781">
        <f t="shared" si="69"/>
        <v>0</v>
      </c>
      <c r="AK126" s="781">
        <f t="shared" si="70"/>
        <v>0</v>
      </c>
      <c r="AL126" s="781">
        <f t="shared" si="71"/>
        <v>0</v>
      </c>
      <c r="AM126" s="781">
        <f t="shared" si="72"/>
        <v>0</v>
      </c>
      <c r="AN126" s="781">
        <f t="shared" si="73"/>
        <v>0</v>
      </c>
      <c r="AO126" s="781">
        <f t="shared" si="74"/>
        <v>0</v>
      </c>
      <c r="AP126" s="781">
        <f t="shared" si="75"/>
        <v>0</v>
      </c>
      <c r="AQ126" s="781">
        <f t="shared" si="76"/>
        <v>0</v>
      </c>
      <c r="AR126" s="781">
        <f t="shared" si="77"/>
        <v>0</v>
      </c>
      <c r="AS126" s="783">
        <f t="shared" si="78"/>
        <v>0</v>
      </c>
      <c r="AT126" s="917"/>
      <c r="AU126" s="721"/>
      <c r="AV126" s="721"/>
      <c r="AW126" s="832"/>
      <c r="AX126" s="833" t="s">
        <v>3356</v>
      </c>
      <c r="BM126" s="2010">
        <v>183577.80480000001</v>
      </c>
    </row>
    <row r="127" spans="1:65" ht="28.5" hidden="1" customHeight="1" outlineLevel="1" x14ac:dyDescent="0.3">
      <c r="A127" s="787"/>
      <c r="B127" s="904">
        <f t="shared" si="57"/>
        <v>111</v>
      </c>
      <c r="C127" s="170" t="str">
        <f t="shared" si="56"/>
        <v>5CY</v>
      </c>
      <c r="D127" s="906"/>
      <c r="E127" s="721"/>
      <c r="F127" s="170">
        <v>5</v>
      </c>
      <c r="G127" s="2007" t="s">
        <v>3226</v>
      </c>
      <c r="H127" s="2630">
        <f t="shared" si="180"/>
        <v>0</v>
      </c>
      <c r="I127" s="2008" t="s">
        <v>671</v>
      </c>
      <c r="J127" s="1926"/>
      <c r="K127" s="1926" t="s">
        <v>732</v>
      </c>
      <c r="L127" s="721"/>
      <c r="M127" s="2009">
        <v>19.443935926773456</v>
      </c>
      <c r="N127" s="2010">
        <v>1</v>
      </c>
      <c r="O127" s="773">
        <f t="shared" si="177"/>
        <v>19.443935926773456</v>
      </c>
      <c r="P127" s="2008" t="s">
        <v>39</v>
      </c>
      <c r="Q127" s="2008" t="s">
        <v>39</v>
      </c>
      <c r="R127" s="2011" t="s">
        <v>73</v>
      </c>
      <c r="S127" s="912">
        <f>SUMIF('Data Input sheet'!$B$118:$B$180,R127,'Data Input sheet'!$D$118:$D$180)</f>
        <v>119</v>
      </c>
      <c r="T127" s="2685">
        <f t="shared" si="178"/>
        <v>2313.8283752860411</v>
      </c>
      <c r="U127" s="2013">
        <v>27.5274</v>
      </c>
      <c r="V127" s="2679">
        <f t="shared" si="181"/>
        <v>535</v>
      </c>
      <c r="W127" s="2010">
        <v>756.97940503432494</v>
      </c>
      <c r="X127" s="2518">
        <v>4.37</v>
      </c>
      <c r="Y127" s="2012"/>
      <c r="Z127" s="780">
        <f t="shared" si="179"/>
        <v>3605.807780320366</v>
      </c>
      <c r="AA127" s="1886"/>
      <c r="AB127" s="2007"/>
      <c r="AC127" s="765"/>
      <c r="AD127" s="781">
        <f t="shared" si="63"/>
        <v>0</v>
      </c>
      <c r="AE127" s="778">
        <f t="shared" si="64"/>
        <v>0</v>
      </c>
      <c r="AF127" s="781">
        <f t="shared" si="65"/>
        <v>0</v>
      </c>
      <c r="AG127" s="781">
        <f t="shared" si="66"/>
        <v>0</v>
      </c>
      <c r="AH127" s="781">
        <f t="shared" si="67"/>
        <v>0</v>
      </c>
      <c r="AI127" s="782">
        <f t="shared" si="68"/>
        <v>0</v>
      </c>
      <c r="AJ127" s="781">
        <f t="shared" si="69"/>
        <v>0</v>
      </c>
      <c r="AK127" s="781">
        <f t="shared" si="70"/>
        <v>0</v>
      </c>
      <c r="AL127" s="781">
        <f t="shared" si="71"/>
        <v>0</v>
      </c>
      <c r="AM127" s="781">
        <f t="shared" si="72"/>
        <v>0</v>
      </c>
      <c r="AN127" s="781">
        <f t="shared" si="73"/>
        <v>0</v>
      </c>
      <c r="AO127" s="781">
        <f t="shared" si="74"/>
        <v>0</v>
      </c>
      <c r="AP127" s="781">
        <f t="shared" si="75"/>
        <v>0</v>
      </c>
      <c r="AQ127" s="781">
        <f t="shared" si="76"/>
        <v>0</v>
      </c>
      <c r="AR127" s="781">
        <f t="shared" si="77"/>
        <v>0</v>
      </c>
      <c r="AS127" s="783">
        <f t="shared" si="78"/>
        <v>0</v>
      </c>
      <c r="AT127" s="917"/>
      <c r="AU127" s="721"/>
      <c r="AV127" s="721"/>
      <c r="AW127" s="832"/>
      <c r="AX127" s="833" t="s">
        <v>3357</v>
      </c>
      <c r="BM127" s="2010">
        <v>29.16</v>
      </c>
    </row>
    <row r="128" spans="1:65" ht="26.25" hidden="1" outlineLevel="1" thickBot="1" x14ac:dyDescent="0.3">
      <c r="A128" s="784"/>
      <c r="B128" s="904">
        <f t="shared" si="57"/>
        <v>112</v>
      </c>
      <c r="C128" s="170" t="str">
        <f t="shared" si="56"/>
        <v>5CY</v>
      </c>
      <c r="D128" s="557"/>
      <c r="E128" s="170"/>
      <c r="F128" s="170">
        <v>5</v>
      </c>
      <c r="G128" s="2007" t="s">
        <v>3227</v>
      </c>
      <c r="H128" s="2630">
        <f t="shared" si="180"/>
        <v>0</v>
      </c>
      <c r="I128" s="2008" t="s">
        <v>671</v>
      </c>
      <c r="J128" s="1926"/>
      <c r="K128" s="1926" t="s">
        <v>732</v>
      </c>
      <c r="L128" s="721"/>
      <c r="M128" s="2009">
        <v>18.030902777777779</v>
      </c>
      <c r="N128" s="2010">
        <v>1</v>
      </c>
      <c r="O128" s="773">
        <f t="shared" si="177"/>
        <v>18.030902777777779</v>
      </c>
      <c r="P128" s="2008" t="s">
        <v>39</v>
      </c>
      <c r="Q128" s="2008" t="s">
        <v>39</v>
      </c>
      <c r="R128" s="2011" t="s">
        <v>73</v>
      </c>
      <c r="S128" s="912">
        <f>SUMIF('Data Input sheet'!$B$118:$B$180,R128,'Data Input sheet'!$D$118:$D$180)</f>
        <v>119</v>
      </c>
      <c r="T128" s="2685">
        <f t="shared" si="178"/>
        <v>2145.6774305555559</v>
      </c>
      <c r="U128" s="2013">
        <v>81.149270999999999</v>
      </c>
      <c r="V128" s="2679">
        <f t="shared" si="181"/>
        <v>1463</v>
      </c>
      <c r="W128" s="2010">
        <v>481.25</v>
      </c>
      <c r="X128" s="2518">
        <v>2.88</v>
      </c>
      <c r="Y128" s="2012"/>
      <c r="Z128" s="780">
        <f t="shared" si="179"/>
        <v>4089.9274305555559</v>
      </c>
      <c r="AA128" s="2224"/>
      <c r="AB128" s="2007"/>
      <c r="AC128" s="765"/>
      <c r="AD128" s="781">
        <f t="shared" si="63"/>
        <v>0</v>
      </c>
      <c r="AE128" s="778">
        <f t="shared" si="64"/>
        <v>0</v>
      </c>
      <c r="AF128" s="781">
        <f t="shared" si="65"/>
        <v>0</v>
      </c>
      <c r="AG128" s="781">
        <f t="shared" si="66"/>
        <v>0</v>
      </c>
      <c r="AH128" s="781">
        <f t="shared" si="67"/>
        <v>0</v>
      </c>
      <c r="AI128" s="782">
        <f t="shared" si="68"/>
        <v>0</v>
      </c>
      <c r="AJ128" s="781">
        <f t="shared" si="69"/>
        <v>0</v>
      </c>
      <c r="AK128" s="781">
        <f t="shared" si="70"/>
        <v>0</v>
      </c>
      <c r="AL128" s="781">
        <f t="shared" si="71"/>
        <v>0</v>
      </c>
      <c r="AM128" s="781">
        <f t="shared" si="72"/>
        <v>0</v>
      </c>
      <c r="AN128" s="781">
        <f t="shared" si="73"/>
        <v>0</v>
      </c>
      <c r="AO128" s="781">
        <f t="shared" si="74"/>
        <v>0</v>
      </c>
      <c r="AP128" s="781">
        <f t="shared" si="75"/>
        <v>0</v>
      </c>
      <c r="AQ128" s="781">
        <f t="shared" si="76"/>
        <v>0</v>
      </c>
      <c r="AR128" s="781">
        <f t="shared" si="77"/>
        <v>0</v>
      </c>
      <c r="AS128" s="783">
        <f t="shared" si="78"/>
        <v>0</v>
      </c>
      <c r="AT128" s="917"/>
      <c r="AW128" s="832"/>
      <c r="AX128" s="833" t="s">
        <v>3358</v>
      </c>
      <c r="BM128" s="2010">
        <v>0</v>
      </c>
    </row>
    <row r="129" spans="1:65" ht="15.75" hidden="1" outlineLevel="1" thickBot="1" x14ac:dyDescent="0.3">
      <c r="A129" s="784"/>
      <c r="B129" s="904">
        <f t="shared" si="57"/>
        <v>113</v>
      </c>
      <c r="C129" s="170" t="str">
        <f t="shared" si="56"/>
        <v>5CY</v>
      </c>
      <c r="D129" s="557"/>
      <c r="E129" s="170"/>
      <c r="F129" s="170">
        <v>5</v>
      </c>
      <c r="G129" s="2007" t="s">
        <v>2444</v>
      </c>
      <c r="H129" s="2630">
        <f t="shared" si="180"/>
        <v>0</v>
      </c>
      <c r="I129" s="2008" t="s">
        <v>671</v>
      </c>
      <c r="J129" s="1926"/>
      <c r="K129" s="1926" t="s">
        <v>732</v>
      </c>
      <c r="L129" s="721"/>
      <c r="M129" s="2009">
        <v>19</v>
      </c>
      <c r="N129" s="2010">
        <v>1</v>
      </c>
      <c r="O129" s="773">
        <f t="shared" si="177"/>
        <v>19</v>
      </c>
      <c r="P129" s="2008" t="s">
        <v>39</v>
      </c>
      <c r="Q129" s="2008" t="s">
        <v>39</v>
      </c>
      <c r="R129" s="2011" t="s">
        <v>73</v>
      </c>
      <c r="S129" s="912">
        <f>SUMIF('Data Input sheet'!$B$118:$B$180,R129,'Data Input sheet'!$D$118:$D$180)</f>
        <v>119</v>
      </c>
      <c r="T129" s="2685">
        <f t="shared" si="178"/>
        <v>2261</v>
      </c>
      <c r="U129" s="2013">
        <v>11</v>
      </c>
      <c r="V129" s="2679">
        <f t="shared" si="181"/>
        <v>209</v>
      </c>
      <c r="W129" s="2010">
        <f t="shared" si="183"/>
        <v>355</v>
      </c>
      <c r="X129" s="779">
        <f>4.3*2</f>
        <v>8.6</v>
      </c>
      <c r="Y129" s="2012"/>
      <c r="Z129" s="780">
        <f t="shared" si="179"/>
        <v>2825</v>
      </c>
      <c r="AA129" s="2007"/>
      <c r="AB129" s="2007"/>
      <c r="AC129" s="765"/>
      <c r="AD129" s="781">
        <f t="shared" si="63"/>
        <v>0</v>
      </c>
      <c r="AE129" s="778">
        <f t="shared" si="64"/>
        <v>0</v>
      </c>
      <c r="AF129" s="781">
        <f t="shared" si="65"/>
        <v>0</v>
      </c>
      <c r="AG129" s="781">
        <f t="shared" si="66"/>
        <v>0</v>
      </c>
      <c r="AH129" s="781">
        <f t="shared" si="67"/>
        <v>0</v>
      </c>
      <c r="AI129" s="782">
        <f t="shared" si="68"/>
        <v>0</v>
      </c>
      <c r="AJ129" s="781">
        <f t="shared" si="69"/>
        <v>0</v>
      </c>
      <c r="AK129" s="781">
        <f t="shared" si="70"/>
        <v>0</v>
      </c>
      <c r="AL129" s="781">
        <f t="shared" si="71"/>
        <v>0</v>
      </c>
      <c r="AM129" s="781">
        <f t="shared" si="72"/>
        <v>0</v>
      </c>
      <c r="AN129" s="781">
        <f t="shared" si="73"/>
        <v>0</v>
      </c>
      <c r="AO129" s="781">
        <f t="shared" si="74"/>
        <v>0</v>
      </c>
      <c r="AP129" s="781">
        <f t="shared" si="75"/>
        <v>0</v>
      </c>
      <c r="AQ129" s="781">
        <f t="shared" si="76"/>
        <v>0</v>
      </c>
      <c r="AR129" s="781">
        <f t="shared" si="77"/>
        <v>0</v>
      </c>
      <c r="AS129" s="783">
        <f t="shared" si="78"/>
        <v>0</v>
      </c>
      <c r="AT129" s="917"/>
      <c r="AW129" s="832"/>
      <c r="AX129" s="833" t="s">
        <v>3460</v>
      </c>
      <c r="BM129" s="2010">
        <v>1233.413376</v>
      </c>
    </row>
    <row r="130" spans="1:65" ht="30.75" hidden="1" customHeight="1" outlineLevel="1" x14ac:dyDescent="0.3">
      <c r="A130" s="787"/>
      <c r="B130" s="904">
        <f t="shared" si="57"/>
        <v>114</v>
      </c>
      <c r="C130" s="170" t="str">
        <f t="shared" si="56"/>
        <v>5CY</v>
      </c>
      <c r="D130" s="906"/>
      <c r="E130" s="721"/>
      <c r="F130" s="170">
        <v>5</v>
      </c>
      <c r="G130" s="2007" t="s">
        <v>3228</v>
      </c>
      <c r="H130" s="2630">
        <f>+J130*X130</f>
        <v>0</v>
      </c>
      <c r="I130" s="2008" t="s">
        <v>671</v>
      </c>
      <c r="J130" s="1926"/>
      <c r="K130" s="1926" t="s">
        <v>732</v>
      </c>
      <c r="L130" s="721"/>
      <c r="M130" s="2009">
        <v>18.673371104815864</v>
      </c>
      <c r="N130" s="2010">
        <v>1</v>
      </c>
      <c r="O130" s="773">
        <f>+M130*N130</f>
        <v>18.673371104815864</v>
      </c>
      <c r="P130" s="2008" t="s">
        <v>39</v>
      </c>
      <c r="Q130" s="2008" t="s">
        <v>39</v>
      </c>
      <c r="R130" s="2011" t="s">
        <v>73</v>
      </c>
      <c r="S130" s="912">
        <f>SUMIF('Data Input sheet'!$B$118:$B$180,R130,'Data Input sheet'!$D$118:$D$180)</f>
        <v>119</v>
      </c>
      <c r="T130" s="2685">
        <f>+O130*S130</f>
        <v>2222.131161473088</v>
      </c>
      <c r="U130" s="2013">
        <v>22.475235000000001</v>
      </c>
      <c r="V130" s="2679">
        <f t="shared" si="181"/>
        <v>420</v>
      </c>
      <c r="W130" s="2010">
        <v>678.47025495750711</v>
      </c>
      <c r="X130" s="2518">
        <v>7.06</v>
      </c>
      <c r="Y130" s="2012"/>
      <c r="Z130" s="780">
        <f>T130+V130+W130+Y130</f>
        <v>3320.6014164305952</v>
      </c>
      <c r="AA130" s="1886"/>
      <c r="AB130" s="2007"/>
      <c r="AC130" s="765"/>
      <c r="AD130" s="781">
        <f t="shared" si="63"/>
        <v>0</v>
      </c>
      <c r="AE130" s="778">
        <f t="shared" si="64"/>
        <v>0</v>
      </c>
      <c r="AF130" s="781">
        <f t="shared" si="65"/>
        <v>0</v>
      </c>
      <c r="AG130" s="781">
        <f t="shared" si="66"/>
        <v>0</v>
      </c>
      <c r="AH130" s="781">
        <f t="shared" si="67"/>
        <v>0</v>
      </c>
      <c r="AI130" s="782">
        <f t="shared" si="68"/>
        <v>0</v>
      </c>
      <c r="AJ130" s="781">
        <f t="shared" si="69"/>
        <v>0</v>
      </c>
      <c r="AK130" s="781">
        <f t="shared" si="70"/>
        <v>0</v>
      </c>
      <c r="AL130" s="781">
        <f t="shared" si="71"/>
        <v>0</v>
      </c>
      <c r="AM130" s="781">
        <f t="shared" si="72"/>
        <v>0</v>
      </c>
      <c r="AN130" s="781">
        <f t="shared" si="73"/>
        <v>0</v>
      </c>
      <c r="AO130" s="781">
        <f t="shared" si="74"/>
        <v>0</v>
      </c>
      <c r="AP130" s="781">
        <f t="shared" si="75"/>
        <v>0</v>
      </c>
      <c r="AQ130" s="781">
        <f t="shared" si="76"/>
        <v>0</v>
      </c>
      <c r="AR130" s="781">
        <f t="shared" si="77"/>
        <v>0</v>
      </c>
      <c r="AS130" s="783">
        <f t="shared" si="78"/>
        <v>0</v>
      </c>
      <c r="AT130" s="917"/>
      <c r="AU130" s="721"/>
      <c r="AV130" s="721"/>
      <c r="AW130" s="832"/>
      <c r="AX130" s="833" t="s">
        <v>3359</v>
      </c>
      <c r="BM130" s="2010">
        <v>29.16</v>
      </c>
    </row>
    <row r="131" spans="1:65" ht="26.25" hidden="1" outlineLevel="1" thickBot="1" x14ac:dyDescent="0.3">
      <c r="A131" s="787"/>
      <c r="B131" s="904">
        <f t="shared" si="57"/>
        <v>115</v>
      </c>
      <c r="C131" s="170" t="str">
        <f t="shared" si="56"/>
        <v>5CY</v>
      </c>
      <c r="D131" s="906"/>
      <c r="E131" s="721"/>
      <c r="F131" s="170">
        <v>5</v>
      </c>
      <c r="G131" s="2007" t="s">
        <v>3229</v>
      </c>
      <c r="H131" s="2630">
        <f>+J131*X131</f>
        <v>0</v>
      </c>
      <c r="I131" s="2008" t="s">
        <v>671</v>
      </c>
      <c r="J131" s="1926"/>
      <c r="K131" s="1926" t="s">
        <v>732</v>
      </c>
      <c r="L131" s="721"/>
      <c r="M131" s="2009">
        <v>18.030902777777779</v>
      </c>
      <c r="N131" s="2010">
        <v>1</v>
      </c>
      <c r="O131" s="773">
        <f>+M131*N131</f>
        <v>18.030902777777779</v>
      </c>
      <c r="P131" s="2008" t="s">
        <v>39</v>
      </c>
      <c r="Q131" s="2008" t="s">
        <v>39</v>
      </c>
      <c r="R131" s="2011" t="s">
        <v>73</v>
      </c>
      <c r="S131" s="912">
        <f>SUMIF('Data Input sheet'!$B$118:$B$180,R131,'Data Input sheet'!$D$118:$D$180)</f>
        <v>119</v>
      </c>
      <c r="T131" s="2685">
        <f>+O131*S131</f>
        <v>2145.6774305555559</v>
      </c>
      <c r="U131" s="2013">
        <v>81.149261999999993</v>
      </c>
      <c r="V131" s="2679">
        <f t="shared" si="181"/>
        <v>1463</v>
      </c>
      <c r="W131" s="2010">
        <v>512.32638888888891</v>
      </c>
      <c r="X131" s="2518">
        <v>5.76</v>
      </c>
      <c r="Y131" s="2012"/>
      <c r="Z131" s="780">
        <f>T131+V131+W131+Y131</f>
        <v>4121.0038194444451</v>
      </c>
      <c r="AA131" s="1886"/>
      <c r="AB131" s="2007"/>
      <c r="AC131" s="765"/>
      <c r="AD131" s="781">
        <f t="shared" si="63"/>
        <v>0</v>
      </c>
      <c r="AE131" s="778">
        <f t="shared" si="64"/>
        <v>0</v>
      </c>
      <c r="AF131" s="781">
        <f t="shared" si="65"/>
        <v>0</v>
      </c>
      <c r="AG131" s="781">
        <f t="shared" si="66"/>
        <v>0</v>
      </c>
      <c r="AH131" s="781">
        <f t="shared" si="67"/>
        <v>0</v>
      </c>
      <c r="AI131" s="782">
        <f t="shared" si="68"/>
        <v>0</v>
      </c>
      <c r="AJ131" s="781">
        <f t="shared" si="69"/>
        <v>0</v>
      </c>
      <c r="AK131" s="781">
        <f t="shared" si="70"/>
        <v>0</v>
      </c>
      <c r="AL131" s="781">
        <f t="shared" si="71"/>
        <v>0</v>
      </c>
      <c r="AM131" s="781">
        <f t="shared" si="72"/>
        <v>0</v>
      </c>
      <c r="AN131" s="781">
        <f t="shared" si="73"/>
        <v>0</v>
      </c>
      <c r="AO131" s="781">
        <f t="shared" si="74"/>
        <v>0</v>
      </c>
      <c r="AP131" s="781">
        <f t="shared" si="75"/>
        <v>0</v>
      </c>
      <c r="AQ131" s="781">
        <f t="shared" si="76"/>
        <v>0</v>
      </c>
      <c r="AR131" s="781">
        <f t="shared" si="77"/>
        <v>0</v>
      </c>
      <c r="AS131" s="783">
        <f t="shared" si="78"/>
        <v>0</v>
      </c>
      <c r="AT131" s="917"/>
      <c r="AU131" s="721"/>
      <c r="AV131" s="721"/>
      <c r="AW131" s="832"/>
      <c r="AX131" s="833" t="s">
        <v>3360</v>
      </c>
      <c r="BM131" s="2010">
        <v>29.16</v>
      </c>
    </row>
    <row r="132" spans="1:65" ht="26.25" hidden="1" outlineLevel="1" thickBot="1" x14ac:dyDescent="0.3">
      <c r="A132" s="787"/>
      <c r="B132" s="904">
        <f t="shared" si="57"/>
        <v>116</v>
      </c>
      <c r="C132" s="170" t="str">
        <f t="shared" si="56"/>
        <v>5CY</v>
      </c>
      <c r="D132" s="906"/>
      <c r="E132" s="721"/>
      <c r="F132" s="170">
        <v>5</v>
      </c>
      <c r="G132" s="2007" t="s">
        <v>3230</v>
      </c>
      <c r="H132" s="2630">
        <f>+J132*X132</f>
        <v>0</v>
      </c>
      <c r="I132" s="2008" t="s">
        <v>671</v>
      </c>
      <c r="J132" s="1926"/>
      <c r="K132" s="1926" t="s">
        <v>732</v>
      </c>
      <c r="L132" s="721"/>
      <c r="M132" s="2009">
        <v>21.83436754176611</v>
      </c>
      <c r="N132" s="2010">
        <v>1</v>
      </c>
      <c r="O132" s="773">
        <f>+M132*N132</f>
        <v>21.83436754176611</v>
      </c>
      <c r="P132" s="2008" t="s">
        <v>39</v>
      </c>
      <c r="Q132" s="2008" t="s">
        <v>39</v>
      </c>
      <c r="R132" s="2011" t="s">
        <v>73</v>
      </c>
      <c r="S132" s="912">
        <f>SUMIF('Data Input sheet'!$B$118:$B$180,R132,'Data Input sheet'!$D$118:$D$180)</f>
        <v>119</v>
      </c>
      <c r="T132" s="2685">
        <f>+O132*S132</f>
        <v>2598.289737470167</v>
      </c>
      <c r="U132" s="2013">
        <v>85.302668999999995</v>
      </c>
      <c r="V132" s="2679">
        <f t="shared" si="181"/>
        <v>1863</v>
      </c>
      <c r="W132" s="2010">
        <v>564.20047732696889</v>
      </c>
      <c r="X132" s="2518">
        <v>4.1900000000000004</v>
      </c>
      <c r="Y132" s="2012"/>
      <c r="Z132" s="780">
        <f>T132+V132+W132+Y132</f>
        <v>5025.4902147971361</v>
      </c>
      <c r="AA132" s="1886"/>
      <c r="AB132" s="2007"/>
      <c r="AC132" s="765"/>
      <c r="AD132" s="781">
        <f t="shared" si="63"/>
        <v>0</v>
      </c>
      <c r="AE132" s="778">
        <f t="shared" si="64"/>
        <v>0</v>
      </c>
      <c r="AF132" s="781">
        <f t="shared" si="65"/>
        <v>0</v>
      </c>
      <c r="AG132" s="781">
        <f t="shared" si="66"/>
        <v>0</v>
      </c>
      <c r="AH132" s="781">
        <f t="shared" si="67"/>
        <v>0</v>
      </c>
      <c r="AI132" s="782">
        <f t="shared" si="68"/>
        <v>0</v>
      </c>
      <c r="AJ132" s="781">
        <f t="shared" si="69"/>
        <v>0</v>
      </c>
      <c r="AK132" s="781">
        <f t="shared" si="70"/>
        <v>0</v>
      </c>
      <c r="AL132" s="781">
        <f t="shared" si="71"/>
        <v>0</v>
      </c>
      <c r="AM132" s="781">
        <f t="shared" si="72"/>
        <v>0</v>
      </c>
      <c r="AN132" s="781">
        <f t="shared" si="73"/>
        <v>0</v>
      </c>
      <c r="AO132" s="781">
        <f t="shared" si="74"/>
        <v>0</v>
      </c>
      <c r="AP132" s="781">
        <f t="shared" si="75"/>
        <v>0</v>
      </c>
      <c r="AQ132" s="781">
        <f t="shared" si="76"/>
        <v>0</v>
      </c>
      <c r="AR132" s="781">
        <f t="shared" si="77"/>
        <v>0</v>
      </c>
      <c r="AS132" s="783">
        <f t="shared" si="78"/>
        <v>0</v>
      </c>
      <c r="AT132" s="917"/>
      <c r="AU132" s="721"/>
      <c r="AV132" s="721"/>
      <c r="AW132" s="832"/>
      <c r="AX132" s="833" t="s">
        <v>3361</v>
      </c>
      <c r="BM132" s="2010">
        <v>29.16</v>
      </c>
    </row>
    <row r="133" spans="1:65" ht="28.5" hidden="1" customHeight="1" outlineLevel="1" x14ac:dyDescent="0.3">
      <c r="A133" s="787"/>
      <c r="B133" s="904">
        <f t="shared" si="57"/>
        <v>117</v>
      </c>
      <c r="C133" s="170" t="str">
        <f t="shared" si="56"/>
        <v>5CY</v>
      </c>
      <c r="D133" s="906"/>
      <c r="E133" s="721"/>
      <c r="F133" s="170">
        <v>5</v>
      </c>
      <c r="G133" s="2007" t="s">
        <v>3231</v>
      </c>
      <c r="H133" s="2630">
        <f>+J133*X133</f>
        <v>0</v>
      </c>
      <c r="I133" s="2008" t="s">
        <v>671</v>
      </c>
      <c r="J133" s="1926"/>
      <c r="K133" s="1926" t="s">
        <v>732</v>
      </c>
      <c r="L133" s="721"/>
      <c r="M133" s="2009">
        <v>19.100711743772241</v>
      </c>
      <c r="N133" s="2010">
        <v>1</v>
      </c>
      <c r="O133" s="773">
        <f>+M133*N133</f>
        <v>19.100711743772241</v>
      </c>
      <c r="P133" s="2008" t="s">
        <v>39</v>
      </c>
      <c r="Q133" s="2008" t="s">
        <v>39</v>
      </c>
      <c r="R133" s="2011" t="s">
        <v>73</v>
      </c>
      <c r="S133" s="912">
        <f>SUMIF('Data Input sheet'!$B$118:$B$180,R133,'Data Input sheet'!$D$118:$D$180)</f>
        <v>119</v>
      </c>
      <c r="T133" s="2685">
        <f>+O133*S133</f>
        <v>2272.9846975088967</v>
      </c>
      <c r="U133" s="2013">
        <v>23.894697000000001</v>
      </c>
      <c r="V133" s="2679">
        <f t="shared" si="181"/>
        <v>456</v>
      </c>
      <c r="W133" s="2010">
        <v>685.05338078291811</v>
      </c>
      <c r="X133" s="2518">
        <v>5.62</v>
      </c>
      <c r="Y133" s="2012"/>
      <c r="Z133" s="780">
        <f>T133+V133+W133+Y133</f>
        <v>3414.0380782918146</v>
      </c>
      <c r="AA133" s="1886"/>
      <c r="AB133" s="2007"/>
      <c r="AC133" s="765"/>
      <c r="AD133" s="781">
        <f t="shared" si="63"/>
        <v>0</v>
      </c>
      <c r="AE133" s="778">
        <f t="shared" si="64"/>
        <v>0</v>
      </c>
      <c r="AF133" s="781">
        <f t="shared" si="65"/>
        <v>0</v>
      </c>
      <c r="AG133" s="781">
        <f t="shared" si="66"/>
        <v>0</v>
      </c>
      <c r="AH133" s="781">
        <f t="shared" si="67"/>
        <v>0</v>
      </c>
      <c r="AI133" s="782">
        <f t="shared" si="68"/>
        <v>0</v>
      </c>
      <c r="AJ133" s="781">
        <f t="shared" si="69"/>
        <v>0</v>
      </c>
      <c r="AK133" s="781">
        <f t="shared" si="70"/>
        <v>0</v>
      </c>
      <c r="AL133" s="781">
        <f t="shared" si="71"/>
        <v>0</v>
      </c>
      <c r="AM133" s="781">
        <f t="shared" si="72"/>
        <v>0</v>
      </c>
      <c r="AN133" s="781">
        <f t="shared" si="73"/>
        <v>0</v>
      </c>
      <c r="AO133" s="781">
        <f t="shared" si="74"/>
        <v>0</v>
      </c>
      <c r="AP133" s="781">
        <f t="shared" si="75"/>
        <v>0</v>
      </c>
      <c r="AQ133" s="781">
        <f t="shared" si="76"/>
        <v>0</v>
      </c>
      <c r="AR133" s="781">
        <f t="shared" si="77"/>
        <v>0</v>
      </c>
      <c r="AS133" s="783">
        <f t="shared" si="78"/>
        <v>0</v>
      </c>
      <c r="AT133" s="917"/>
      <c r="AU133" s="721"/>
      <c r="AV133" s="721"/>
      <c r="AW133" s="832"/>
      <c r="AX133" s="833" t="s">
        <v>3362</v>
      </c>
      <c r="BM133" s="2010">
        <v>29.16</v>
      </c>
    </row>
    <row r="134" spans="1:65" ht="26.25" hidden="1" outlineLevel="1" thickBot="1" x14ac:dyDescent="0.3">
      <c r="A134" s="787"/>
      <c r="B134" s="904">
        <f t="shared" si="57"/>
        <v>118</v>
      </c>
      <c r="C134" s="170" t="str">
        <f t="shared" si="56"/>
        <v>5CY</v>
      </c>
      <c r="D134" s="906"/>
      <c r="E134" s="721"/>
      <c r="F134" s="170">
        <v>5</v>
      </c>
      <c r="G134" s="2007" t="s">
        <v>3232</v>
      </c>
      <c r="H134" s="2630">
        <f>+J134*X134</f>
        <v>0</v>
      </c>
      <c r="I134" s="2008" t="s">
        <v>671</v>
      </c>
      <c r="J134" s="1926"/>
      <c r="K134" s="1926" t="s">
        <v>732</v>
      </c>
      <c r="L134" s="721"/>
      <c r="M134" s="2009">
        <v>19.032633587786258</v>
      </c>
      <c r="N134" s="2010">
        <v>1</v>
      </c>
      <c r="O134" s="773">
        <f>+M134*N134</f>
        <v>19.032633587786258</v>
      </c>
      <c r="P134" s="2008" t="s">
        <v>39</v>
      </c>
      <c r="Q134" s="2008" t="s">
        <v>39</v>
      </c>
      <c r="R134" s="2011" t="s">
        <v>73</v>
      </c>
      <c r="S134" s="912">
        <f>SUMIF('Data Input sheet'!$B$118:$B$180,R134,'Data Input sheet'!$D$118:$D$180)</f>
        <v>119</v>
      </c>
      <c r="T134" s="2685">
        <f>+O134*S134</f>
        <v>2264.8833969465645</v>
      </c>
      <c r="U134" s="2013">
        <v>82.411687000000001</v>
      </c>
      <c r="V134" s="2679">
        <f t="shared" si="181"/>
        <v>1569</v>
      </c>
      <c r="W134" s="2010">
        <v>525.76335877862596</v>
      </c>
      <c r="X134" s="2518">
        <v>5.24</v>
      </c>
      <c r="Y134" s="2012"/>
      <c r="Z134" s="780">
        <f>T134+V134+W134+Y134</f>
        <v>4359.6467557251908</v>
      </c>
      <c r="AA134" s="1886"/>
      <c r="AB134" s="2007"/>
      <c r="AC134" s="765"/>
      <c r="AD134" s="781">
        <f t="shared" si="63"/>
        <v>0</v>
      </c>
      <c r="AE134" s="778">
        <f t="shared" si="64"/>
        <v>0</v>
      </c>
      <c r="AF134" s="781">
        <f t="shared" si="65"/>
        <v>0</v>
      </c>
      <c r="AG134" s="781">
        <f t="shared" si="66"/>
        <v>0</v>
      </c>
      <c r="AH134" s="781">
        <f t="shared" si="67"/>
        <v>0</v>
      </c>
      <c r="AI134" s="782">
        <f t="shared" si="68"/>
        <v>0</v>
      </c>
      <c r="AJ134" s="781">
        <f t="shared" si="69"/>
        <v>0</v>
      </c>
      <c r="AK134" s="781">
        <f t="shared" si="70"/>
        <v>0</v>
      </c>
      <c r="AL134" s="781">
        <f t="shared" si="71"/>
        <v>0</v>
      </c>
      <c r="AM134" s="781">
        <f t="shared" si="72"/>
        <v>0</v>
      </c>
      <c r="AN134" s="781">
        <f t="shared" si="73"/>
        <v>0</v>
      </c>
      <c r="AO134" s="781">
        <f t="shared" si="74"/>
        <v>0</v>
      </c>
      <c r="AP134" s="781">
        <f t="shared" si="75"/>
        <v>0</v>
      </c>
      <c r="AQ134" s="781">
        <f t="shared" si="76"/>
        <v>0</v>
      </c>
      <c r="AR134" s="781">
        <f t="shared" si="77"/>
        <v>0</v>
      </c>
      <c r="AS134" s="783">
        <f t="shared" si="78"/>
        <v>0</v>
      </c>
      <c r="AT134" s="917"/>
      <c r="AU134" s="721"/>
      <c r="AV134" s="721"/>
      <c r="AW134" s="832"/>
      <c r="AX134" s="833" t="s">
        <v>3363</v>
      </c>
      <c r="BM134" s="2010">
        <v>29.16</v>
      </c>
    </row>
    <row r="135" spans="1:65" ht="15.75" hidden="1" outlineLevel="1" thickBot="1" x14ac:dyDescent="0.3">
      <c r="A135" s="784"/>
      <c r="B135" s="904">
        <f t="shared" si="57"/>
        <v>119</v>
      </c>
      <c r="C135" s="170" t="str">
        <f t="shared" si="56"/>
        <v>5CY</v>
      </c>
      <c r="D135" s="557"/>
      <c r="E135" s="170"/>
      <c r="F135" s="170">
        <v>5</v>
      </c>
      <c r="G135" s="2007" t="s">
        <v>2445</v>
      </c>
      <c r="H135" s="2630">
        <f t="shared" si="180"/>
        <v>0</v>
      </c>
      <c r="I135" s="2008" t="s">
        <v>671</v>
      </c>
      <c r="J135" s="1926"/>
      <c r="K135" s="1926" t="s">
        <v>732</v>
      </c>
      <c r="L135" s="721"/>
      <c r="M135" s="2009">
        <v>19</v>
      </c>
      <c r="N135" s="2010">
        <v>1</v>
      </c>
      <c r="O135" s="773">
        <f t="shared" si="177"/>
        <v>19</v>
      </c>
      <c r="P135" s="2008" t="s">
        <v>39</v>
      </c>
      <c r="Q135" s="2008" t="s">
        <v>39</v>
      </c>
      <c r="R135" s="2011" t="s">
        <v>73</v>
      </c>
      <c r="S135" s="912">
        <f>SUMIF('Data Input sheet'!$B$118:$B$180,R135,'Data Input sheet'!$D$118:$D$180)</f>
        <v>119</v>
      </c>
      <c r="T135" s="2685">
        <f t="shared" si="178"/>
        <v>2261</v>
      </c>
      <c r="U135" s="2013">
        <v>11</v>
      </c>
      <c r="V135" s="2679">
        <f t="shared" si="181"/>
        <v>209</v>
      </c>
      <c r="W135" s="2010">
        <f t="shared" si="183"/>
        <v>355</v>
      </c>
      <c r="X135" s="779">
        <f>3.46*2</f>
        <v>6.92</v>
      </c>
      <c r="Y135" s="2012"/>
      <c r="Z135" s="780">
        <f t="shared" si="179"/>
        <v>2825</v>
      </c>
      <c r="AA135" s="2007"/>
      <c r="AB135" s="2007"/>
      <c r="AC135" s="765"/>
      <c r="AD135" s="781">
        <f t="shared" si="63"/>
        <v>0</v>
      </c>
      <c r="AE135" s="778">
        <f t="shared" si="64"/>
        <v>0</v>
      </c>
      <c r="AF135" s="781">
        <f t="shared" si="65"/>
        <v>0</v>
      </c>
      <c r="AG135" s="781">
        <f t="shared" si="66"/>
        <v>0</v>
      </c>
      <c r="AH135" s="781">
        <f t="shared" si="67"/>
        <v>0</v>
      </c>
      <c r="AI135" s="782">
        <f t="shared" si="68"/>
        <v>0</v>
      </c>
      <c r="AJ135" s="781">
        <f t="shared" si="69"/>
        <v>0</v>
      </c>
      <c r="AK135" s="781">
        <f t="shared" si="70"/>
        <v>0</v>
      </c>
      <c r="AL135" s="781">
        <f t="shared" si="71"/>
        <v>0</v>
      </c>
      <c r="AM135" s="781">
        <f t="shared" si="72"/>
        <v>0</v>
      </c>
      <c r="AN135" s="781">
        <f t="shared" si="73"/>
        <v>0</v>
      </c>
      <c r="AO135" s="781">
        <f t="shared" si="74"/>
        <v>0</v>
      </c>
      <c r="AP135" s="781">
        <f t="shared" si="75"/>
        <v>0</v>
      </c>
      <c r="AQ135" s="781">
        <f t="shared" si="76"/>
        <v>0</v>
      </c>
      <c r="AR135" s="781">
        <f t="shared" si="77"/>
        <v>0</v>
      </c>
      <c r="AS135" s="783">
        <f t="shared" si="78"/>
        <v>0</v>
      </c>
      <c r="AT135" s="917"/>
      <c r="AW135" s="832"/>
      <c r="AX135" s="833" t="s">
        <v>3461</v>
      </c>
      <c r="BM135" s="2010">
        <v>2017.3400000000001</v>
      </c>
    </row>
    <row r="136" spans="1:65" ht="15.75" hidden="1" outlineLevel="1" thickBot="1" x14ac:dyDescent="0.3">
      <c r="A136" s="784"/>
      <c r="B136" s="904">
        <f t="shared" si="57"/>
        <v>120</v>
      </c>
      <c r="C136" s="170" t="str">
        <f t="shared" si="56"/>
        <v>5CY</v>
      </c>
      <c r="D136" s="557"/>
      <c r="E136" s="170"/>
      <c r="F136" s="170">
        <v>5</v>
      </c>
      <c r="G136" s="2007" t="s">
        <v>2446</v>
      </c>
      <c r="H136" s="2630">
        <f t="shared" si="180"/>
        <v>0</v>
      </c>
      <c r="I136" s="2008" t="s">
        <v>671</v>
      </c>
      <c r="J136" s="1926"/>
      <c r="K136" s="1926" t="s">
        <v>732</v>
      </c>
      <c r="L136" s="721"/>
      <c r="M136" s="2009">
        <v>19</v>
      </c>
      <c r="N136" s="2010">
        <v>1</v>
      </c>
      <c r="O136" s="773">
        <f t="shared" si="177"/>
        <v>19</v>
      </c>
      <c r="P136" s="2008" t="s">
        <v>39</v>
      </c>
      <c r="Q136" s="2008" t="s">
        <v>39</v>
      </c>
      <c r="R136" s="2011" t="s">
        <v>73</v>
      </c>
      <c r="S136" s="912">
        <f>SUMIF('Data Input sheet'!$B$118:$B$180,R136,'Data Input sheet'!$D$118:$D$180)</f>
        <v>119</v>
      </c>
      <c r="T136" s="2685">
        <f t="shared" si="178"/>
        <v>2261</v>
      </c>
      <c r="U136" s="2013">
        <v>11</v>
      </c>
      <c r="V136" s="2679">
        <f t="shared" si="181"/>
        <v>209</v>
      </c>
      <c r="W136" s="2010">
        <f t="shared" si="183"/>
        <v>355</v>
      </c>
      <c r="X136" s="779">
        <v>10.49</v>
      </c>
      <c r="Y136" s="2012"/>
      <c r="Z136" s="780">
        <f t="shared" si="179"/>
        <v>2825</v>
      </c>
      <c r="AA136" s="2007"/>
      <c r="AB136" s="2007"/>
      <c r="AC136" s="765"/>
      <c r="AD136" s="781">
        <f t="shared" si="63"/>
        <v>0</v>
      </c>
      <c r="AE136" s="778">
        <f t="shared" si="64"/>
        <v>0</v>
      </c>
      <c r="AF136" s="781">
        <f t="shared" si="65"/>
        <v>0</v>
      </c>
      <c r="AG136" s="781">
        <f t="shared" si="66"/>
        <v>0</v>
      </c>
      <c r="AH136" s="781">
        <f t="shared" si="67"/>
        <v>0</v>
      </c>
      <c r="AI136" s="782">
        <f t="shared" si="68"/>
        <v>0</v>
      </c>
      <c r="AJ136" s="781">
        <f t="shared" si="69"/>
        <v>0</v>
      </c>
      <c r="AK136" s="781">
        <f t="shared" si="70"/>
        <v>0</v>
      </c>
      <c r="AL136" s="781">
        <f t="shared" si="71"/>
        <v>0</v>
      </c>
      <c r="AM136" s="781">
        <f t="shared" si="72"/>
        <v>0</v>
      </c>
      <c r="AN136" s="781">
        <f t="shared" si="73"/>
        <v>0</v>
      </c>
      <c r="AO136" s="781">
        <f t="shared" si="74"/>
        <v>0</v>
      </c>
      <c r="AP136" s="781">
        <f t="shared" si="75"/>
        <v>0</v>
      </c>
      <c r="AQ136" s="781">
        <f t="shared" si="76"/>
        <v>0</v>
      </c>
      <c r="AR136" s="781">
        <f t="shared" si="77"/>
        <v>0</v>
      </c>
      <c r="AS136" s="783">
        <f t="shared" si="78"/>
        <v>0</v>
      </c>
      <c r="AT136" s="917"/>
      <c r="AW136" s="832"/>
      <c r="AX136" s="833" t="s">
        <v>3462</v>
      </c>
      <c r="BM136" s="2010">
        <v>5278.2912000000006</v>
      </c>
    </row>
    <row r="137" spans="1:65" ht="15.75" hidden="1" outlineLevel="1" thickBot="1" x14ac:dyDescent="0.3">
      <c r="A137" s="784"/>
      <c r="B137" s="904">
        <f t="shared" si="57"/>
        <v>121</v>
      </c>
      <c r="C137" s="170" t="str">
        <f t="shared" si="56"/>
        <v>5CY</v>
      </c>
      <c r="D137" s="557"/>
      <c r="E137" s="170"/>
      <c r="F137" s="170">
        <v>5</v>
      </c>
      <c r="G137" s="2007" t="s">
        <v>2447</v>
      </c>
      <c r="H137" s="2630">
        <f t="shared" si="180"/>
        <v>0</v>
      </c>
      <c r="I137" s="2008" t="s">
        <v>671</v>
      </c>
      <c r="J137" s="1926"/>
      <c r="K137" s="1926" t="s">
        <v>732</v>
      </c>
      <c r="L137" s="721"/>
      <c r="M137" s="2009">
        <v>15.4</v>
      </c>
      <c r="N137" s="2010">
        <v>1</v>
      </c>
      <c r="O137" s="773">
        <f t="shared" si="177"/>
        <v>15.4</v>
      </c>
      <c r="P137" s="2008" t="s">
        <v>39</v>
      </c>
      <c r="Q137" s="2008" t="s">
        <v>39</v>
      </c>
      <c r="R137" s="2011" t="s">
        <v>73</v>
      </c>
      <c r="S137" s="912">
        <f>SUMIF('Data Input sheet'!$B$118:$B$180,R137,'Data Input sheet'!$D$118:$D$180)</f>
        <v>119</v>
      </c>
      <c r="T137" s="2685">
        <f t="shared" si="178"/>
        <v>1832.6000000000001</v>
      </c>
      <c r="U137" s="2013">
        <v>11</v>
      </c>
      <c r="V137" s="2679">
        <f t="shared" si="181"/>
        <v>169</v>
      </c>
      <c r="W137" s="2010">
        <f t="shared" si="183"/>
        <v>355</v>
      </c>
      <c r="X137" s="779">
        <v>1.86</v>
      </c>
      <c r="Y137" s="2012"/>
      <c r="Z137" s="780">
        <f t="shared" si="179"/>
        <v>2356.6000000000004</v>
      </c>
      <c r="AA137" s="2007"/>
      <c r="AB137" s="2007"/>
      <c r="AC137" s="765"/>
      <c r="AD137" s="781">
        <f t="shared" si="63"/>
        <v>0</v>
      </c>
      <c r="AE137" s="778">
        <f t="shared" si="64"/>
        <v>0</v>
      </c>
      <c r="AF137" s="781">
        <f t="shared" si="65"/>
        <v>0</v>
      </c>
      <c r="AG137" s="781">
        <f t="shared" si="66"/>
        <v>0</v>
      </c>
      <c r="AH137" s="781">
        <f t="shared" si="67"/>
        <v>0</v>
      </c>
      <c r="AI137" s="782">
        <f t="shared" si="68"/>
        <v>0</v>
      </c>
      <c r="AJ137" s="781">
        <f t="shared" si="69"/>
        <v>0</v>
      </c>
      <c r="AK137" s="781">
        <f t="shared" si="70"/>
        <v>0</v>
      </c>
      <c r="AL137" s="781">
        <f t="shared" si="71"/>
        <v>0</v>
      </c>
      <c r="AM137" s="781">
        <f t="shared" si="72"/>
        <v>0</v>
      </c>
      <c r="AN137" s="781">
        <f t="shared" si="73"/>
        <v>0</v>
      </c>
      <c r="AO137" s="781">
        <f t="shared" si="74"/>
        <v>0</v>
      </c>
      <c r="AP137" s="781">
        <f t="shared" si="75"/>
        <v>0</v>
      </c>
      <c r="AQ137" s="781">
        <f t="shared" si="76"/>
        <v>0</v>
      </c>
      <c r="AR137" s="781">
        <f t="shared" si="77"/>
        <v>0</v>
      </c>
      <c r="AS137" s="783">
        <f t="shared" si="78"/>
        <v>0</v>
      </c>
      <c r="AT137" s="917"/>
      <c r="AW137" s="832"/>
      <c r="AX137" s="833" t="s">
        <v>3463</v>
      </c>
      <c r="BM137" s="2010">
        <v>1233.2112000000002</v>
      </c>
    </row>
    <row r="138" spans="1:65" ht="15.75" hidden="1" outlineLevel="1" thickBot="1" x14ac:dyDescent="0.3">
      <c r="A138" s="784"/>
      <c r="B138" s="904">
        <f t="shared" si="57"/>
        <v>122</v>
      </c>
      <c r="C138" s="170" t="str">
        <f t="shared" si="56"/>
        <v>5CY</v>
      </c>
      <c r="D138" s="557"/>
      <c r="E138" s="170"/>
      <c r="F138" s="170">
        <v>5</v>
      </c>
      <c r="G138" s="2007" t="s">
        <v>2448</v>
      </c>
      <c r="H138" s="2630">
        <f t="shared" si="180"/>
        <v>0</v>
      </c>
      <c r="I138" s="2008" t="s">
        <v>671</v>
      </c>
      <c r="J138" s="1926"/>
      <c r="K138" s="1926" t="s">
        <v>732</v>
      </c>
      <c r="L138" s="721"/>
      <c r="M138" s="2009">
        <v>15.4</v>
      </c>
      <c r="N138" s="2010">
        <v>1</v>
      </c>
      <c r="O138" s="773">
        <f t="shared" si="177"/>
        <v>15.4</v>
      </c>
      <c r="P138" s="2008" t="s">
        <v>39</v>
      </c>
      <c r="Q138" s="2008" t="s">
        <v>39</v>
      </c>
      <c r="R138" s="2011" t="s">
        <v>73</v>
      </c>
      <c r="S138" s="912">
        <f>SUMIF('Data Input sheet'!$B$118:$B$180,R138,'Data Input sheet'!$D$118:$D$180)</f>
        <v>119</v>
      </c>
      <c r="T138" s="2685">
        <f t="shared" si="178"/>
        <v>1832.6000000000001</v>
      </c>
      <c r="U138" s="2013">
        <v>11</v>
      </c>
      <c r="V138" s="2679">
        <f t="shared" si="181"/>
        <v>169</v>
      </c>
      <c r="W138" s="2010">
        <f t="shared" si="183"/>
        <v>355</v>
      </c>
      <c r="X138" s="779">
        <f>1.86*3</f>
        <v>5.58</v>
      </c>
      <c r="Y138" s="2012"/>
      <c r="Z138" s="780">
        <f t="shared" si="179"/>
        <v>2356.6000000000004</v>
      </c>
      <c r="AA138" s="2007"/>
      <c r="AB138" s="2007"/>
      <c r="AC138" s="765"/>
      <c r="AD138" s="781">
        <f t="shared" si="63"/>
        <v>0</v>
      </c>
      <c r="AE138" s="778">
        <f t="shared" si="64"/>
        <v>0</v>
      </c>
      <c r="AF138" s="781">
        <f t="shared" si="65"/>
        <v>0</v>
      </c>
      <c r="AG138" s="781">
        <f t="shared" si="66"/>
        <v>0</v>
      </c>
      <c r="AH138" s="781">
        <f t="shared" si="67"/>
        <v>0</v>
      </c>
      <c r="AI138" s="782">
        <f t="shared" si="68"/>
        <v>0</v>
      </c>
      <c r="AJ138" s="781">
        <f t="shared" si="69"/>
        <v>0</v>
      </c>
      <c r="AK138" s="781">
        <f t="shared" si="70"/>
        <v>0</v>
      </c>
      <c r="AL138" s="781">
        <f t="shared" si="71"/>
        <v>0</v>
      </c>
      <c r="AM138" s="781">
        <f t="shared" si="72"/>
        <v>0</v>
      </c>
      <c r="AN138" s="781">
        <f t="shared" si="73"/>
        <v>0</v>
      </c>
      <c r="AO138" s="781">
        <f t="shared" si="74"/>
        <v>0</v>
      </c>
      <c r="AP138" s="781">
        <f t="shared" si="75"/>
        <v>0</v>
      </c>
      <c r="AQ138" s="781">
        <f t="shared" si="76"/>
        <v>0</v>
      </c>
      <c r="AR138" s="781">
        <f t="shared" si="77"/>
        <v>0</v>
      </c>
      <c r="AS138" s="783">
        <f t="shared" si="78"/>
        <v>0</v>
      </c>
      <c r="AT138" s="917"/>
      <c r="AW138" s="832"/>
      <c r="AX138" s="833" t="s">
        <v>3464</v>
      </c>
      <c r="BM138" s="2010">
        <v>1873.0087999999998</v>
      </c>
    </row>
    <row r="139" spans="1:65" ht="26.25" hidden="1" outlineLevel="1" thickBot="1" x14ac:dyDescent="0.3">
      <c r="A139" s="784"/>
      <c r="B139" s="904">
        <f t="shared" si="57"/>
        <v>123</v>
      </c>
      <c r="C139" s="170" t="str">
        <f t="shared" si="56"/>
        <v>5CY</v>
      </c>
      <c r="D139" s="557"/>
      <c r="E139" s="170"/>
      <c r="F139" s="170">
        <v>5</v>
      </c>
      <c r="G139" s="2007" t="s">
        <v>2449</v>
      </c>
      <c r="H139" s="2630">
        <f t="shared" si="180"/>
        <v>0</v>
      </c>
      <c r="I139" s="2008" t="s">
        <v>671</v>
      </c>
      <c r="J139" s="1926"/>
      <c r="K139" s="1926" t="s">
        <v>732</v>
      </c>
      <c r="L139" s="721"/>
      <c r="M139" s="2009">
        <v>15.4</v>
      </c>
      <c r="N139" s="2010">
        <v>1</v>
      </c>
      <c r="O139" s="773">
        <f t="shared" si="177"/>
        <v>15.4</v>
      </c>
      <c r="P139" s="2008" t="s">
        <v>39</v>
      </c>
      <c r="Q139" s="2008" t="s">
        <v>39</v>
      </c>
      <c r="R139" s="2011" t="s">
        <v>73</v>
      </c>
      <c r="S139" s="912">
        <f>SUMIF('Data Input sheet'!$B$118:$B$180,R139,'Data Input sheet'!$D$118:$D$180)</f>
        <v>119</v>
      </c>
      <c r="T139" s="2685">
        <f t="shared" si="178"/>
        <v>1832.6000000000001</v>
      </c>
      <c r="U139" s="2013">
        <v>11</v>
      </c>
      <c r="V139" s="2679">
        <f t="shared" si="181"/>
        <v>169</v>
      </c>
      <c r="W139" s="2010">
        <v>530</v>
      </c>
      <c r="X139" s="779">
        <v>175</v>
      </c>
      <c r="Y139" s="2012"/>
      <c r="Z139" s="780">
        <f t="shared" si="179"/>
        <v>2531.6000000000004</v>
      </c>
      <c r="AA139" s="2007"/>
      <c r="AB139" s="2007"/>
      <c r="AC139" s="765"/>
      <c r="AD139" s="781">
        <f t="shared" si="63"/>
        <v>0</v>
      </c>
      <c r="AE139" s="778">
        <f t="shared" si="64"/>
        <v>0</v>
      </c>
      <c r="AF139" s="781">
        <f t="shared" si="65"/>
        <v>0</v>
      </c>
      <c r="AG139" s="781">
        <f t="shared" si="66"/>
        <v>0</v>
      </c>
      <c r="AH139" s="781">
        <f t="shared" si="67"/>
        <v>0</v>
      </c>
      <c r="AI139" s="782">
        <f t="shared" si="68"/>
        <v>0</v>
      </c>
      <c r="AJ139" s="781">
        <f t="shared" si="69"/>
        <v>0</v>
      </c>
      <c r="AK139" s="781">
        <f t="shared" si="70"/>
        <v>0</v>
      </c>
      <c r="AL139" s="781">
        <f t="shared" si="71"/>
        <v>0</v>
      </c>
      <c r="AM139" s="781">
        <f t="shared" si="72"/>
        <v>0</v>
      </c>
      <c r="AN139" s="781">
        <f t="shared" si="73"/>
        <v>0</v>
      </c>
      <c r="AO139" s="781">
        <f t="shared" si="74"/>
        <v>0</v>
      </c>
      <c r="AP139" s="781">
        <f t="shared" si="75"/>
        <v>0</v>
      </c>
      <c r="AQ139" s="781">
        <f t="shared" si="76"/>
        <v>0</v>
      </c>
      <c r="AR139" s="781">
        <f t="shared" si="77"/>
        <v>0</v>
      </c>
      <c r="AS139" s="783">
        <f t="shared" si="78"/>
        <v>0</v>
      </c>
      <c r="AT139" s="917"/>
      <c r="AW139" s="832"/>
      <c r="AX139" s="833" t="s">
        <v>3458</v>
      </c>
      <c r="BM139" s="2010">
        <v>530</v>
      </c>
    </row>
    <row r="140" spans="1:65" ht="15.6" hidden="1" customHeight="1" outlineLevel="1" x14ac:dyDescent="0.3">
      <c r="A140" s="784"/>
      <c r="B140" s="904">
        <f t="shared" si="57"/>
        <v>124</v>
      </c>
      <c r="C140" s="170" t="str">
        <f t="shared" si="56"/>
        <v>5CY</v>
      </c>
      <c r="D140" s="557"/>
      <c r="E140" s="170"/>
      <c r="F140" s="170">
        <v>5</v>
      </c>
      <c r="G140" s="2007" t="s">
        <v>2450</v>
      </c>
      <c r="H140" s="2630">
        <f t="shared" si="180"/>
        <v>0</v>
      </c>
      <c r="I140" s="2008" t="s">
        <v>671</v>
      </c>
      <c r="J140" s="1926"/>
      <c r="K140" s="1926" t="s">
        <v>732</v>
      </c>
      <c r="L140" s="721"/>
      <c r="M140" s="2009">
        <v>19</v>
      </c>
      <c r="N140" s="2010">
        <v>1</v>
      </c>
      <c r="O140" s="773">
        <f t="shared" si="177"/>
        <v>19</v>
      </c>
      <c r="P140" s="2008" t="s">
        <v>39</v>
      </c>
      <c r="Q140" s="2008" t="s">
        <v>39</v>
      </c>
      <c r="R140" s="2011" t="s">
        <v>73</v>
      </c>
      <c r="S140" s="912">
        <f>SUMIF('Data Input sheet'!$B$118:$B$180,R140,'Data Input sheet'!$D$118:$D$180)</f>
        <v>119</v>
      </c>
      <c r="T140" s="2685">
        <f t="shared" si="178"/>
        <v>2261</v>
      </c>
      <c r="U140" s="2013">
        <v>11</v>
      </c>
      <c r="V140" s="2679">
        <f t="shared" si="181"/>
        <v>209</v>
      </c>
      <c r="W140" s="2010">
        <f t="shared" si="183"/>
        <v>355</v>
      </c>
      <c r="X140" s="779">
        <f>9.98*3</f>
        <v>29.94</v>
      </c>
      <c r="Y140" s="2012"/>
      <c r="Z140" s="780">
        <f t="shared" si="179"/>
        <v>2825</v>
      </c>
      <c r="AA140" s="2007"/>
      <c r="AB140" s="2007"/>
      <c r="AC140" s="765"/>
      <c r="AD140" s="781">
        <f t="shared" si="63"/>
        <v>0</v>
      </c>
      <c r="AE140" s="778">
        <f t="shared" si="64"/>
        <v>0</v>
      </c>
      <c r="AF140" s="781">
        <f t="shared" si="65"/>
        <v>0</v>
      </c>
      <c r="AG140" s="781">
        <f t="shared" si="66"/>
        <v>0</v>
      </c>
      <c r="AH140" s="781">
        <f t="shared" si="67"/>
        <v>0</v>
      </c>
      <c r="AI140" s="782">
        <f t="shared" si="68"/>
        <v>0</v>
      </c>
      <c r="AJ140" s="781">
        <f t="shared" si="69"/>
        <v>0</v>
      </c>
      <c r="AK140" s="781">
        <f t="shared" si="70"/>
        <v>0</v>
      </c>
      <c r="AL140" s="781">
        <f t="shared" si="71"/>
        <v>0</v>
      </c>
      <c r="AM140" s="781">
        <f t="shared" si="72"/>
        <v>0</v>
      </c>
      <c r="AN140" s="781">
        <f t="shared" si="73"/>
        <v>0</v>
      </c>
      <c r="AO140" s="781">
        <f t="shared" si="74"/>
        <v>0</v>
      </c>
      <c r="AP140" s="781">
        <f t="shared" si="75"/>
        <v>0</v>
      </c>
      <c r="AQ140" s="781">
        <f t="shared" si="76"/>
        <v>0</v>
      </c>
      <c r="AR140" s="781">
        <f t="shared" si="77"/>
        <v>0</v>
      </c>
      <c r="AS140" s="783">
        <f t="shared" si="78"/>
        <v>0</v>
      </c>
      <c r="AT140" s="917"/>
      <c r="AW140" s="832"/>
      <c r="AX140" s="833" t="s">
        <v>3465</v>
      </c>
      <c r="BM140" s="2010">
        <v>3871.0672</v>
      </c>
    </row>
    <row r="141" spans="1:65" ht="15.75" hidden="1" outlineLevel="1" thickBot="1" x14ac:dyDescent="0.3">
      <c r="A141" s="784"/>
      <c r="B141" s="904">
        <f t="shared" si="57"/>
        <v>125</v>
      </c>
      <c r="C141" s="170" t="str">
        <f t="shared" si="56"/>
        <v>5CY</v>
      </c>
      <c r="D141" s="557"/>
      <c r="E141" s="170"/>
      <c r="F141" s="170">
        <v>5</v>
      </c>
      <c r="G141" s="2007" t="s">
        <v>2451</v>
      </c>
      <c r="H141" s="2630">
        <f t="shared" si="180"/>
        <v>0</v>
      </c>
      <c r="I141" s="2008" t="s">
        <v>671</v>
      </c>
      <c r="J141" s="1926"/>
      <c r="K141" s="1926" t="s">
        <v>732</v>
      </c>
      <c r="L141" s="721"/>
      <c r="M141" s="2009">
        <v>19</v>
      </c>
      <c r="N141" s="2010">
        <v>1</v>
      </c>
      <c r="O141" s="773">
        <f t="shared" si="177"/>
        <v>19</v>
      </c>
      <c r="P141" s="2008" t="s">
        <v>39</v>
      </c>
      <c r="Q141" s="2008" t="s">
        <v>39</v>
      </c>
      <c r="R141" s="2011" t="s">
        <v>73</v>
      </c>
      <c r="S141" s="912">
        <f>SUMIF('Data Input sheet'!$B$118:$B$180,R141,'Data Input sheet'!$D$118:$D$180)</f>
        <v>119</v>
      </c>
      <c r="T141" s="2685">
        <f t="shared" si="178"/>
        <v>2261</v>
      </c>
      <c r="U141" s="2013">
        <v>11</v>
      </c>
      <c r="V141" s="2679">
        <f t="shared" si="181"/>
        <v>209</v>
      </c>
      <c r="W141" s="2010">
        <f t="shared" si="183"/>
        <v>355</v>
      </c>
      <c r="X141" s="779">
        <v>2.97</v>
      </c>
      <c r="Y141" s="2012"/>
      <c r="Z141" s="780">
        <f t="shared" si="179"/>
        <v>2825</v>
      </c>
      <c r="AA141" s="2007"/>
      <c r="AB141" s="2007"/>
      <c r="AC141" s="765"/>
      <c r="AD141" s="781">
        <f t="shared" si="63"/>
        <v>0</v>
      </c>
      <c r="AE141" s="778">
        <f t="shared" si="64"/>
        <v>0</v>
      </c>
      <c r="AF141" s="781">
        <f t="shared" si="65"/>
        <v>0</v>
      </c>
      <c r="AG141" s="781">
        <f t="shared" si="66"/>
        <v>0</v>
      </c>
      <c r="AH141" s="781">
        <f t="shared" si="67"/>
        <v>0</v>
      </c>
      <c r="AI141" s="782">
        <f t="shared" si="68"/>
        <v>0</v>
      </c>
      <c r="AJ141" s="781">
        <f t="shared" si="69"/>
        <v>0</v>
      </c>
      <c r="AK141" s="781">
        <f t="shared" si="70"/>
        <v>0</v>
      </c>
      <c r="AL141" s="781">
        <f t="shared" si="71"/>
        <v>0</v>
      </c>
      <c r="AM141" s="781">
        <f t="shared" si="72"/>
        <v>0</v>
      </c>
      <c r="AN141" s="781">
        <f t="shared" si="73"/>
        <v>0</v>
      </c>
      <c r="AO141" s="781">
        <f t="shared" si="74"/>
        <v>0</v>
      </c>
      <c r="AP141" s="781">
        <f t="shared" si="75"/>
        <v>0</v>
      </c>
      <c r="AQ141" s="781">
        <f t="shared" si="76"/>
        <v>0</v>
      </c>
      <c r="AR141" s="781">
        <f t="shared" si="77"/>
        <v>0</v>
      </c>
      <c r="AS141" s="783">
        <f t="shared" si="78"/>
        <v>0</v>
      </c>
      <c r="AT141" s="917"/>
      <c r="AW141" s="832"/>
      <c r="AX141" s="833" t="s">
        <v>3466</v>
      </c>
      <c r="BM141" s="2010">
        <v>1811.9816000000001</v>
      </c>
    </row>
    <row r="142" spans="1:65" ht="15.75" hidden="1" outlineLevel="1" thickBot="1" x14ac:dyDescent="0.3">
      <c r="A142" s="784"/>
      <c r="B142" s="904">
        <f t="shared" si="57"/>
        <v>126</v>
      </c>
      <c r="C142" s="170" t="str">
        <f t="shared" si="56"/>
        <v>5CY</v>
      </c>
      <c r="D142" s="557"/>
      <c r="E142" s="170"/>
      <c r="F142" s="170">
        <v>5</v>
      </c>
      <c r="G142" s="2007" t="s">
        <v>2452</v>
      </c>
      <c r="H142" s="2630">
        <f t="shared" si="180"/>
        <v>0</v>
      </c>
      <c r="I142" s="2008" t="s">
        <v>671</v>
      </c>
      <c r="J142" s="1926"/>
      <c r="K142" s="1926" t="s">
        <v>732</v>
      </c>
      <c r="L142" s="721"/>
      <c r="M142" s="2009">
        <v>19</v>
      </c>
      <c r="N142" s="2010">
        <v>1</v>
      </c>
      <c r="O142" s="773">
        <f t="shared" si="177"/>
        <v>19</v>
      </c>
      <c r="P142" s="2008" t="s">
        <v>39</v>
      </c>
      <c r="Q142" s="2008" t="s">
        <v>39</v>
      </c>
      <c r="R142" s="2011" t="s">
        <v>73</v>
      </c>
      <c r="S142" s="912">
        <f>SUMIF('Data Input sheet'!$B$118:$B$180,R142,'Data Input sheet'!$D$118:$D$180)</f>
        <v>119</v>
      </c>
      <c r="T142" s="2685">
        <f t="shared" si="178"/>
        <v>2261</v>
      </c>
      <c r="U142" s="2013">
        <v>11</v>
      </c>
      <c r="V142" s="2679">
        <f t="shared" si="181"/>
        <v>209</v>
      </c>
      <c r="W142" s="2010">
        <f t="shared" si="183"/>
        <v>355</v>
      </c>
      <c r="X142" s="779">
        <f>1.49*2</f>
        <v>2.98</v>
      </c>
      <c r="Y142" s="2012"/>
      <c r="Z142" s="780">
        <f t="shared" si="179"/>
        <v>2825</v>
      </c>
      <c r="AA142" s="2007"/>
      <c r="AB142" s="2007"/>
      <c r="AC142" s="765"/>
      <c r="AD142" s="781">
        <f t="shared" si="63"/>
        <v>0</v>
      </c>
      <c r="AE142" s="778">
        <f t="shared" si="64"/>
        <v>0</v>
      </c>
      <c r="AF142" s="781">
        <f t="shared" si="65"/>
        <v>0</v>
      </c>
      <c r="AG142" s="781">
        <f t="shared" si="66"/>
        <v>0</v>
      </c>
      <c r="AH142" s="781">
        <f t="shared" si="67"/>
        <v>0</v>
      </c>
      <c r="AI142" s="782">
        <f t="shared" si="68"/>
        <v>0</v>
      </c>
      <c r="AJ142" s="781">
        <f t="shared" si="69"/>
        <v>0</v>
      </c>
      <c r="AK142" s="781">
        <f t="shared" si="70"/>
        <v>0</v>
      </c>
      <c r="AL142" s="781">
        <f t="shared" si="71"/>
        <v>0</v>
      </c>
      <c r="AM142" s="781">
        <f t="shared" si="72"/>
        <v>0</v>
      </c>
      <c r="AN142" s="781">
        <f t="shared" si="73"/>
        <v>0</v>
      </c>
      <c r="AO142" s="781">
        <f t="shared" si="74"/>
        <v>0</v>
      </c>
      <c r="AP142" s="781">
        <f t="shared" si="75"/>
        <v>0</v>
      </c>
      <c r="AQ142" s="781">
        <f t="shared" si="76"/>
        <v>0</v>
      </c>
      <c r="AR142" s="781">
        <f t="shared" si="77"/>
        <v>0</v>
      </c>
      <c r="AS142" s="783">
        <f t="shared" si="78"/>
        <v>0</v>
      </c>
      <c r="AT142" s="917"/>
      <c r="AW142" s="832"/>
      <c r="AX142" s="833" t="s">
        <v>3467</v>
      </c>
      <c r="BM142" s="2010">
        <v>1318.0544</v>
      </c>
    </row>
    <row r="143" spans="1:65" ht="15.75" hidden="1" outlineLevel="1" thickBot="1" x14ac:dyDescent="0.3">
      <c r="A143" s="784"/>
      <c r="B143" s="904">
        <f t="shared" si="57"/>
        <v>127</v>
      </c>
      <c r="C143" s="170" t="str">
        <f t="shared" si="56"/>
        <v>5CY</v>
      </c>
      <c r="D143" s="557"/>
      <c r="E143" s="170"/>
      <c r="F143" s="170">
        <v>5</v>
      </c>
      <c r="G143" s="2007" t="s">
        <v>2453</v>
      </c>
      <c r="H143" s="2630">
        <f t="shared" si="180"/>
        <v>0</v>
      </c>
      <c r="I143" s="2008" t="s">
        <v>671</v>
      </c>
      <c r="J143" s="1926"/>
      <c r="K143" s="1926" t="s">
        <v>732</v>
      </c>
      <c r="L143" s="721"/>
      <c r="M143" s="2009">
        <v>19</v>
      </c>
      <c r="N143" s="2010">
        <v>1</v>
      </c>
      <c r="O143" s="773">
        <f t="shared" si="177"/>
        <v>19</v>
      </c>
      <c r="P143" s="2008" t="s">
        <v>39</v>
      </c>
      <c r="Q143" s="2008" t="s">
        <v>39</v>
      </c>
      <c r="R143" s="2011" t="s">
        <v>73</v>
      </c>
      <c r="S143" s="912">
        <f>SUMIF('Data Input sheet'!$B$118:$B$180,R143,'Data Input sheet'!$D$118:$D$180)</f>
        <v>119</v>
      </c>
      <c r="T143" s="2685">
        <f t="shared" si="178"/>
        <v>2261</v>
      </c>
      <c r="U143" s="2013">
        <v>11</v>
      </c>
      <c r="V143" s="2679">
        <f t="shared" si="181"/>
        <v>209</v>
      </c>
      <c r="W143" s="2010">
        <f t="shared" si="183"/>
        <v>355</v>
      </c>
      <c r="X143" s="779">
        <f>1.49*6</f>
        <v>8.94</v>
      </c>
      <c r="Y143" s="2012"/>
      <c r="Z143" s="780">
        <f t="shared" si="179"/>
        <v>2825</v>
      </c>
      <c r="AA143" s="2007"/>
      <c r="AB143" s="2007"/>
      <c r="AC143" s="765"/>
      <c r="AD143" s="781">
        <f t="shared" si="63"/>
        <v>0</v>
      </c>
      <c r="AE143" s="778">
        <f t="shared" si="64"/>
        <v>0</v>
      </c>
      <c r="AF143" s="781">
        <f t="shared" si="65"/>
        <v>0</v>
      </c>
      <c r="AG143" s="781">
        <f t="shared" si="66"/>
        <v>0</v>
      </c>
      <c r="AH143" s="781">
        <f t="shared" si="67"/>
        <v>0</v>
      </c>
      <c r="AI143" s="782">
        <f t="shared" si="68"/>
        <v>0</v>
      </c>
      <c r="AJ143" s="781">
        <f t="shared" si="69"/>
        <v>0</v>
      </c>
      <c r="AK143" s="781">
        <f t="shared" si="70"/>
        <v>0</v>
      </c>
      <c r="AL143" s="781">
        <f t="shared" si="71"/>
        <v>0</v>
      </c>
      <c r="AM143" s="781">
        <f t="shared" si="72"/>
        <v>0</v>
      </c>
      <c r="AN143" s="781">
        <f t="shared" si="73"/>
        <v>0</v>
      </c>
      <c r="AO143" s="781">
        <f t="shared" si="74"/>
        <v>0</v>
      </c>
      <c r="AP143" s="781">
        <f t="shared" si="75"/>
        <v>0</v>
      </c>
      <c r="AQ143" s="781">
        <f t="shared" si="76"/>
        <v>0</v>
      </c>
      <c r="AR143" s="781">
        <f t="shared" si="77"/>
        <v>0</v>
      </c>
      <c r="AS143" s="783">
        <f t="shared" si="78"/>
        <v>0</v>
      </c>
      <c r="AT143" s="917"/>
      <c r="AW143" s="832"/>
      <c r="AX143" s="833" t="s">
        <v>3468</v>
      </c>
      <c r="BM143" s="2010">
        <v>866.7152000000001</v>
      </c>
    </row>
    <row r="144" spans="1:65" ht="29.25" hidden="1" customHeight="1" outlineLevel="1" x14ac:dyDescent="0.3">
      <c r="A144" s="787"/>
      <c r="B144" s="904">
        <f t="shared" si="57"/>
        <v>128</v>
      </c>
      <c r="C144" s="170" t="str">
        <f t="shared" si="56"/>
        <v>5CY</v>
      </c>
      <c r="D144" s="906"/>
      <c r="E144" s="721"/>
      <c r="F144" s="170">
        <v>5</v>
      </c>
      <c r="G144" s="2007" t="s">
        <v>3233</v>
      </c>
      <c r="H144" s="2630">
        <f>+J144*X144</f>
        <v>0</v>
      </c>
      <c r="I144" s="2008" t="s">
        <v>671</v>
      </c>
      <c r="J144" s="1926"/>
      <c r="K144" s="1926" t="s">
        <v>732</v>
      </c>
      <c r="L144" s="721"/>
      <c r="M144" s="2009">
        <v>18.469688385269119</v>
      </c>
      <c r="N144" s="2010">
        <v>1</v>
      </c>
      <c r="O144" s="773">
        <f>+M144*N144</f>
        <v>18.469688385269119</v>
      </c>
      <c r="P144" s="2008" t="s">
        <v>39</v>
      </c>
      <c r="Q144" s="2008" t="s">
        <v>39</v>
      </c>
      <c r="R144" s="2011" t="s">
        <v>73</v>
      </c>
      <c r="S144" s="912">
        <f>SUMIF('Data Input sheet'!$B$118:$B$180,R144,'Data Input sheet'!$D$118:$D$180)</f>
        <v>119</v>
      </c>
      <c r="T144" s="2685">
        <f>+O144*S144</f>
        <v>2197.8929178470253</v>
      </c>
      <c r="U144" s="2013">
        <v>22.730758000000002</v>
      </c>
      <c r="V144" s="2679">
        <f t="shared" si="181"/>
        <v>420</v>
      </c>
      <c r="W144" s="2010">
        <v>678.47025495750711</v>
      </c>
      <c r="X144" s="2518">
        <v>3.53</v>
      </c>
      <c r="Y144" s="2012"/>
      <c r="Z144" s="780">
        <f>T144+V144+W144+Y144</f>
        <v>3296.3631728045325</v>
      </c>
      <c r="AA144" s="1886"/>
      <c r="AB144" s="2007"/>
      <c r="AC144" s="765"/>
      <c r="AD144" s="781">
        <f t="shared" si="63"/>
        <v>0</v>
      </c>
      <c r="AE144" s="778">
        <f t="shared" si="64"/>
        <v>0</v>
      </c>
      <c r="AF144" s="781">
        <f t="shared" si="65"/>
        <v>0</v>
      </c>
      <c r="AG144" s="781">
        <f t="shared" si="66"/>
        <v>0</v>
      </c>
      <c r="AH144" s="781">
        <f t="shared" si="67"/>
        <v>0</v>
      </c>
      <c r="AI144" s="782">
        <f t="shared" si="68"/>
        <v>0</v>
      </c>
      <c r="AJ144" s="781">
        <f t="shared" si="69"/>
        <v>0</v>
      </c>
      <c r="AK144" s="781">
        <f t="shared" si="70"/>
        <v>0</v>
      </c>
      <c r="AL144" s="781">
        <f t="shared" si="71"/>
        <v>0</v>
      </c>
      <c r="AM144" s="781">
        <f t="shared" si="72"/>
        <v>0</v>
      </c>
      <c r="AN144" s="781">
        <f t="shared" si="73"/>
        <v>0</v>
      </c>
      <c r="AO144" s="781">
        <f t="shared" si="74"/>
        <v>0</v>
      </c>
      <c r="AP144" s="781">
        <f t="shared" si="75"/>
        <v>0</v>
      </c>
      <c r="AQ144" s="781">
        <f t="shared" si="76"/>
        <v>0</v>
      </c>
      <c r="AR144" s="781">
        <f t="shared" si="77"/>
        <v>0</v>
      </c>
      <c r="AS144" s="783">
        <f t="shared" si="78"/>
        <v>0</v>
      </c>
      <c r="AT144" s="917"/>
      <c r="AU144" s="721"/>
      <c r="AV144" s="721"/>
      <c r="AW144" s="832"/>
      <c r="AX144" s="833" t="s">
        <v>3364</v>
      </c>
      <c r="BM144" s="2010">
        <v>29.16</v>
      </c>
    </row>
    <row r="145" spans="1:65" ht="30" hidden="1" customHeight="1" outlineLevel="1" x14ac:dyDescent="0.3">
      <c r="A145" s="787"/>
      <c r="B145" s="904">
        <f t="shared" si="57"/>
        <v>129</v>
      </c>
      <c r="C145" s="170" t="str">
        <f t="shared" si="56"/>
        <v>5CY</v>
      </c>
      <c r="D145" s="906"/>
      <c r="E145" s="721"/>
      <c r="F145" s="170">
        <v>5</v>
      </c>
      <c r="G145" s="2007" t="s">
        <v>3234</v>
      </c>
      <c r="H145" s="2630">
        <f>+J145*X145</f>
        <v>0</v>
      </c>
      <c r="I145" s="2008" t="s">
        <v>671</v>
      </c>
      <c r="J145" s="1926"/>
      <c r="K145" s="1926" t="s">
        <v>732</v>
      </c>
      <c r="L145" s="721"/>
      <c r="M145" s="2009">
        <v>20.255084745762712</v>
      </c>
      <c r="N145" s="2010">
        <v>1</v>
      </c>
      <c r="O145" s="773">
        <f>+M145*N145</f>
        <v>20.255084745762712</v>
      </c>
      <c r="P145" s="2008" t="s">
        <v>39</v>
      </c>
      <c r="Q145" s="2008" t="s">
        <v>39</v>
      </c>
      <c r="R145" s="2011" t="s">
        <v>73</v>
      </c>
      <c r="S145" s="912">
        <f>SUMIF('Data Input sheet'!$B$118:$B$180,R145,'Data Input sheet'!$D$118:$D$180)</f>
        <v>119</v>
      </c>
      <c r="T145" s="2685">
        <f>+O145*S145</f>
        <v>2410.3550847457627</v>
      </c>
      <c r="U145" s="2013">
        <v>83.783100000000005</v>
      </c>
      <c r="V145" s="2679">
        <f t="shared" si="181"/>
        <v>1697</v>
      </c>
      <c r="W145" s="2010">
        <v>542.37288135593224</v>
      </c>
      <c r="X145" s="2518">
        <v>2.36</v>
      </c>
      <c r="Y145" s="2012"/>
      <c r="Z145" s="780">
        <f>T145+V145+W145+Y145</f>
        <v>4649.7279661016946</v>
      </c>
      <c r="AA145" s="1886"/>
      <c r="AB145" s="2007"/>
      <c r="AC145" s="765"/>
      <c r="AD145" s="781">
        <f t="shared" si="63"/>
        <v>0</v>
      </c>
      <c r="AE145" s="778">
        <f t="shared" si="64"/>
        <v>0</v>
      </c>
      <c r="AF145" s="781">
        <f t="shared" si="65"/>
        <v>0</v>
      </c>
      <c r="AG145" s="781">
        <f t="shared" si="66"/>
        <v>0</v>
      </c>
      <c r="AH145" s="781">
        <f t="shared" si="67"/>
        <v>0</v>
      </c>
      <c r="AI145" s="782">
        <f t="shared" si="68"/>
        <v>0</v>
      </c>
      <c r="AJ145" s="781">
        <f t="shared" si="69"/>
        <v>0</v>
      </c>
      <c r="AK145" s="781">
        <f t="shared" si="70"/>
        <v>0</v>
      </c>
      <c r="AL145" s="781">
        <f t="shared" si="71"/>
        <v>0</v>
      </c>
      <c r="AM145" s="781">
        <f t="shared" si="72"/>
        <v>0</v>
      </c>
      <c r="AN145" s="781">
        <f t="shared" si="73"/>
        <v>0</v>
      </c>
      <c r="AO145" s="781">
        <f t="shared" si="74"/>
        <v>0</v>
      </c>
      <c r="AP145" s="781">
        <f t="shared" si="75"/>
        <v>0</v>
      </c>
      <c r="AQ145" s="781">
        <f t="shared" si="76"/>
        <v>0</v>
      </c>
      <c r="AR145" s="781">
        <f t="shared" si="77"/>
        <v>0</v>
      </c>
      <c r="AS145" s="783">
        <f t="shared" si="78"/>
        <v>0</v>
      </c>
      <c r="AT145" s="917"/>
      <c r="AU145" s="721"/>
      <c r="AV145" s="721"/>
      <c r="AW145" s="832"/>
      <c r="AX145" s="833" t="s">
        <v>3365</v>
      </c>
      <c r="BM145" s="2010">
        <v>29.16</v>
      </c>
    </row>
    <row r="146" spans="1:65" ht="15.75" hidden="1" outlineLevel="1" thickBot="1" x14ac:dyDescent="0.3">
      <c r="A146" s="784"/>
      <c r="B146" s="904">
        <f t="shared" si="57"/>
        <v>130</v>
      </c>
      <c r="C146" s="170" t="str">
        <f t="shared" ref="C146:C210" si="184">+F146&amp;I146</f>
        <v>5CY</v>
      </c>
      <c r="D146" s="557"/>
      <c r="E146" s="170"/>
      <c r="F146" s="170">
        <v>5</v>
      </c>
      <c r="G146" s="2007" t="s">
        <v>2454</v>
      </c>
      <c r="H146" s="2630">
        <f t="shared" si="180"/>
        <v>0</v>
      </c>
      <c r="I146" s="2008" t="s">
        <v>671</v>
      </c>
      <c r="J146" s="1926"/>
      <c r="K146" s="1926" t="s">
        <v>732</v>
      </c>
      <c r="L146" s="721"/>
      <c r="M146" s="2009">
        <v>19</v>
      </c>
      <c r="N146" s="2010">
        <v>1</v>
      </c>
      <c r="O146" s="773">
        <f t="shared" si="177"/>
        <v>19</v>
      </c>
      <c r="P146" s="2008" t="s">
        <v>39</v>
      </c>
      <c r="Q146" s="2008" t="s">
        <v>39</v>
      </c>
      <c r="R146" s="2011" t="s">
        <v>73</v>
      </c>
      <c r="S146" s="912">
        <f>SUMIF('Data Input sheet'!$B$118:$B$180,R146,'Data Input sheet'!$D$118:$D$180)</f>
        <v>119</v>
      </c>
      <c r="T146" s="2685">
        <f t="shared" si="178"/>
        <v>2261</v>
      </c>
      <c r="U146" s="2013">
        <v>11</v>
      </c>
      <c r="V146" s="2679">
        <f t="shared" si="181"/>
        <v>209</v>
      </c>
      <c r="W146" s="2010">
        <f t="shared" si="183"/>
        <v>355</v>
      </c>
      <c r="X146" s="775">
        <v>1.67</v>
      </c>
      <c r="Y146" s="2012"/>
      <c r="Z146" s="780">
        <f t="shared" si="179"/>
        <v>2825</v>
      </c>
      <c r="AA146" s="2007"/>
      <c r="AB146" s="2007"/>
      <c r="AC146" s="765"/>
      <c r="AD146" s="781">
        <f t="shared" si="63"/>
        <v>0</v>
      </c>
      <c r="AE146" s="778">
        <f t="shared" si="64"/>
        <v>0</v>
      </c>
      <c r="AF146" s="781">
        <f t="shared" si="65"/>
        <v>0</v>
      </c>
      <c r="AG146" s="781">
        <f t="shared" si="66"/>
        <v>0</v>
      </c>
      <c r="AH146" s="781">
        <f t="shared" si="67"/>
        <v>0</v>
      </c>
      <c r="AI146" s="782">
        <f t="shared" si="68"/>
        <v>0</v>
      </c>
      <c r="AJ146" s="781">
        <f t="shared" si="69"/>
        <v>0</v>
      </c>
      <c r="AK146" s="781">
        <f t="shared" si="70"/>
        <v>0</v>
      </c>
      <c r="AL146" s="781">
        <f t="shared" si="71"/>
        <v>0</v>
      </c>
      <c r="AM146" s="781">
        <f t="shared" si="72"/>
        <v>0</v>
      </c>
      <c r="AN146" s="781">
        <f t="shared" si="73"/>
        <v>0</v>
      </c>
      <c r="AO146" s="781">
        <f t="shared" si="74"/>
        <v>0</v>
      </c>
      <c r="AP146" s="781">
        <f t="shared" si="75"/>
        <v>0</v>
      </c>
      <c r="AQ146" s="781">
        <f t="shared" si="76"/>
        <v>0</v>
      </c>
      <c r="AR146" s="781">
        <f t="shared" si="77"/>
        <v>0</v>
      </c>
      <c r="AS146" s="783">
        <f t="shared" si="78"/>
        <v>0</v>
      </c>
      <c r="AT146" s="917"/>
      <c r="AW146" s="832"/>
      <c r="AX146" s="833" t="s">
        <v>3469</v>
      </c>
      <c r="BM146" s="2010">
        <v>1361.3079999999998</v>
      </c>
    </row>
    <row r="147" spans="1:65" ht="27" hidden="1" customHeight="1" outlineLevel="1" x14ac:dyDescent="0.3">
      <c r="A147" s="784"/>
      <c r="B147" s="904">
        <f t="shared" ref="B147:B211" si="185">+B146+1</f>
        <v>131</v>
      </c>
      <c r="C147" s="170" t="str">
        <f t="shared" si="184"/>
        <v>5CY</v>
      </c>
      <c r="D147" s="557"/>
      <c r="E147" s="170"/>
      <c r="F147" s="170">
        <v>5</v>
      </c>
      <c r="G147" s="2007" t="s">
        <v>3235</v>
      </c>
      <c r="H147" s="2630">
        <f>+J147*X147</f>
        <v>0</v>
      </c>
      <c r="I147" s="2008" t="s">
        <v>671</v>
      </c>
      <c r="J147" s="1926"/>
      <c r="K147" s="1926" t="s">
        <v>732</v>
      </c>
      <c r="L147" s="721"/>
      <c r="M147" s="2009">
        <v>16.374238227146815</v>
      </c>
      <c r="N147" s="2010">
        <v>1</v>
      </c>
      <c r="O147" s="773">
        <f>+M147*N147</f>
        <v>16.374238227146815</v>
      </c>
      <c r="P147" s="2008" t="s">
        <v>39</v>
      </c>
      <c r="Q147" s="2008" t="s">
        <v>39</v>
      </c>
      <c r="R147" s="2011" t="s">
        <v>73</v>
      </c>
      <c r="S147" s="912">
        <f>SUMIF('Data Input sheet'!$B$118:$B$180,R147,'Data Input sheet'!$D$118:$D$180)</f>
        <v>119</v>
      </c>
      <c r="T147" s="2685">
        <f>+O147*S147</f>
        <v>1948.534349030471</v>
      </c>
      <c r="U147" s="2013">
        <v>18.016950999999999</v>
      </c>
      <c r="V147" s="2679">
        <f t="shared" si="181"/>
        <v>295</v>
      </c>
      <c r="W147" s="2010">
        <v>558.31024930747924</v>
      </c>
      <c r="X147" s="2519">
        <v>7.22</v>
      </c>
      <c r="Y147" s="2012"/>
      <c r="Z147" s="780">
        <f>T147+V147+W147+Y147</f>
        <v>2801.8445983379506</v>
      </c>
      <c r="AA147" s="1886"/>
      <c r="AB147" s="2007"/>
      <c r="AC147" s="765"/>
      <c r="AD147" s="781">
        <f t="shared" si="63"/>
        <v>0</v>
      </c>
      <c r="AE147" s="778">
        <f t="shared" si="64"/>
        <v>0</v>
      </c>
      <c r="AF147" s="781">
        <f t="shared" si="65"/>
        <v>0</v>
      </c>
      <c r="AG147" s="781">
        <f t="shared" si="66"/>
        <v>0</v>
      </c>
      <c r="AH147" s="781">
        <f t="shared" si="67"/>
        <v>0</v>
      </c>
      <c r="AI147" s="782">
        <f t="shared" si="68"/>
        <v>0</v>
      </c>
      <c r="AJ147" s="781">
        <f t="shared" si="69"/>
        <v>0</v>
      </c>
      <c r="AK147" s="781">
        <f t="shared" si="70"/>
        <v>0</v>
      </c>
      <c r="AL147" s="781">
        <f t="shared" si="71"/>
        <v>0</v>
      </c>
      <c r="AM147" s="781">
        <f t="shared" si="72"/>
        <v>0</v>
      </c>
      <c r="AN147" s="781">
        <f t="shared" si="73"/>
        <v>0</v>
      </c>
      <c r="AO147" s="781">
        <f t="shared" si="74"/>
        <v>0</v>
      </c>
      <c r="AP147" s="781">
        <f t="shared" si="75"/>
        <v>0</v>
      </c>
      <c r="AQ147" s="781">
        <f t="shared" si="76"/>
        <v>0</v>
      </c>
      <c r="AR147" s="781">
        <f t="shared" si="77"/>
        <v>0</v>
      </c>
      <c r="AS147" s="783">
        <f t="shared" si="78"/>
        <v>0</v>
      </c>
      <c r="AT147" s="917"/>
      <c r="AW147" s="832"/>
      <c r="AX147" s="2676" t="s">
        <v>3413</v>
      </c>
      <c r="BM147" s="2010">
        <v>866.7152000000001</v>
      </c>
    </row>
    <row r="148" spans="1:65" ht="27" hidden="1" customHeight="1" outlineLevel="1" x14ac:dyDescent="0.3">
      <c r="A148" s="784"/>
      <c r="B148" s="904">
        <f t="shared" si="185"/>
        <v>132</v>
      </c>
      <c r="C148" s="170" t="str">
        <f t="shared" si="184"/>
        <v>5CY</v>
      </c>
      <c r="D148" s="557"/>
      <c r="E148" s="170"/>
      <c r="F148" s="170">
        <v>5</v>
      </c>
      <c r="G148" s="2007" t="s">
        <v>3236</v>
      </c>
      <c r="H148" s="2630">
        <f>+J148*X148</f>
        <v>0</v>
      </c>
      <c r="I148" s="2008" t="s">
        <v>671</v>
      </c>
      <c r="J148" s="1926"/>
      <c r="K148" s="1926" t="s">
        <v>732</v>
      </c>
      <c r="L148" s="721"/>
      <c r="M148" s="2009">
        <v>15.534972299168976</v>
      </c>
      <c r="N148" s="2010">
        <v>1</v>
      </c>
      <c r="O148" s="773">
        <f>+M148*N148</f>
        <v>15.534972299168976</v>
      </c>
      <c r="P148" s="2008" t="s">
        <v>39</v>
      </c>
      <c r="Q148" s="2008" t="s">
        <v>39</v>
      </c>
      <c r="R148" s="2011" t="s">
        <v>73</v>
      </c>
      <c r="S148" s="912">
        <f>SUMIF('Data Input sheet'!$B$118:$B$180,R148,'Data Input sheet'!$D$118:$D$180)</f>
        <v>119</v>
      </c>
      <c r="T148" s="2685">
        <f>+O148*S148</f>
        <v>1848.661703601108</v>
      </c>
      <c r="U148" s="2013">
        <v>13.15948</v>
      </c>
      <c r="V148" s="2679">
        <f t="shared" si="181"/>
        <v>204</v>
      </c>
      <c r="W148" s="2010">
        <v>464.47368421052636</v>
      </c>
      <c r="X148" s="2519">
        <v>14.44</v>
      </c>
      <c r="Y148" s="2012"/>
      <c r="Z148" s="780">
        <f>T148+V148+W148+Y148</f>
        <v>2517.1353878116342</v>
      </c>
      <c r="AA148" s="1886"/>
      <c r="AB148" s="2007"/>
      <c r="AC148" s="765"/>
      <c r="AD148" s="781">
        <f t="shared" si="63"/>
        <v>0</v>
      </c>
      <c r="AE148" s="778">
        <f t="shared" si="64"/>
        <v>0</v>
      </c>
      <c r="AF148" s="781">
        <f t="shared" si="65"/>
        <v>0</v>
      </c>
      <c r="AG148" s="781">
        <f t="shared" si="66"/>
        <v>0</v>
      </c>
      <c r="AH148" s="781">
        <f t="shared" si="67"/>
        <v>0</v>
      </c>
      <c r="AI148" s="782">
        <f t="shared" si="68"/>
        <v>0</v>
      </c>
      <c r="AJ148" s="781">
        <f t="shared" si="69"/>
        <v>0</v>
      </c>
      <c r="AK148" s="781">
        <f t="shared" si="70"/>
        <v>0</v>
      </c>
      <c r="AL148" s="781">
        <f t="shared" si="71"/>
        <v>0</v>
      </c>
      <c r="AM148" s="781">
        <f t="shared" si="72"/>
        <v>0</v>
      </c>
      <c r="AN148" s="781">
        <f t="shared" si="73"/>
        <v>0</v>
      </c>
      <c r="AO148" s="781">
        <f t="shared" si="74"/>
        <v>0</v>
      </c>
      <c r="AP148" s="781">
        <f t="shared" si="75"/>
        <v>0</v>
      </c>
      <c r="AQ148" s="781">
        <f t="shared" si="76"/>
        <v>0</v>
      </c>
      <c r="AR148" s="781">
        <f t="shared" si="77"/>
        <v>0</v>
      </c>
      <c r="AS148" s="783">
        <f t="shared" si="78"/>
        <v>0</v>
      </c>
      <c r="AT148" s="917"/>
      <c r="AW148" s="832"/>
      <c r="AX148" s="833" t="s">
        <v>3366</v>
      </c>
      <c r="BM148" s="2010">
        <v>1361.3079999999998</v>
      </c>
    </row>
    <row r="149" spans="1:65" ht="27" hidden="1" customHeight="1" outlineLevel="1" x14ac:dyDescent="0.3">
      <c r="A149" s="784"/>
      <c r="B149" s="904">
        <f t="shared" si="185"/>
        <v>133</v>
      </c>
      <c r="C149" s="170" t="str">
        <f t="shared" si="184"/>
        <v>5CY</v>
      </c>
      <c r="D149" s="557"/>
      <c r="E149" s="170"/>
      <c r="F149" s="170">
        <v>5</v>
      </c>
      <c r="G149" s="2007" t="s">
        <v>3237</v>
      </c>
      <c r="H149" s="2630">
        <f>+J149*X149</f>
        <v>0</v>
      </c>
      <c r="I149" s="2008" t="s">
        <v>671</v>
      </c>
      <c r="J149" s="1926"/>
      <c r="K149" s="1926" t="s">
        <v>732</v>
      </c>
      <c r="L149" s="721"/>
      <c r="M149" s="2009">
        <v>15.058719135802468</v>
      </c>
      <c r="N149" s="2010">
        <v>1</v>
      </c>
      <c r="O149" s="773">
        <f>+M149*N149</f>
        <v>15.058719135802468</v>
      </c>
      <c r="P149" s="2008" t="s">
        <v>39</v>
      </c>
      <c r="Q149" s="2008" t="s">
        <v>39</v>
      </c>
      <c r="R149" s="2011" t="s">
        <v>73</v>
      </c>
      <c r="S149" s="912">
        <f>SUMIF('Data Input sheet'!$B$118:$B$180,R149,'Data Input sheet'!$D$118:$D$180)</f>
        <v>119</v>
      </c>
      <c r="T149" s="2685">
        <f>+O149*S149</f>
        <v>1791.9875771604936</v>
      </c>
      <c r="U149" s="2013">
        <v>10.965305000000001</v>
      </c>
      <c r="V149" s="2679">
        <f t="shared" si="181"/>
        <v>165</v>
      </c>
      <c r="W149" s="2010">
        <v>457.3302469135802</v>
      </c>
      <c r="X149" s="2519">
        <v>12.96</v>
      </c>
      <c r="Y149" s="2012"/>
      <c r="Z149" s="780">
        <f>T149+V149+W149+Y149</f>
        <v>2414.317824074074</v>
      </c>
      <c r="AA149" s="1886"/>
      <c r="AB149" s="2007"/>
      <c r="AC149" s="765"/>
      <c r="AD149" s="781">
        <f t="shared" si="63"/>
        <v>0</v>
      </c>
      <c r="AE149" s="778">
        <f t="shared" si="64"/>
        <v>0</v>
      </c>
      <c r="AF149" s="781">
        <f t="shared" si="65"/>
        <v>0</v>
      </c>
      <c r="AG149" s="781">
        <f t="shared" si="66"/>
        <v>0</v>
      </c>
      <c r="AH149" s="781">
        <f t="shared" si="67"/>
        <v>0</v>
      </c>
      <c r="AI149" s="782">
        <f t="shared" si="68"/>
        <v>0</v>
      </c>
      <c r="AJ149" s="781">
        <f t="shared" si="69"/>
        <v>0</v>
      </c>
      <c r="AK149" s="781">
        <f t="shared" si="70"/>
        <v>0</v>
      </c>
      <c r="AL149" s="781">
        <f t="shared" si="71"/>
        <v>0</v>
      </c>
      <c r="AM149" s="781">
        <f t="shared" si="72"/>
        <v>0</v>
      </c>
      <c r="AN149" s="781">
        <f t="shared" si="73"/>
        <v>0</v>
      </c>
      <c r="AO149" s="781">
        <f t="shared" si="74"/>
        <v>0</v>
      </c>
      <c r="AP149" s="781">
        <f t="shared" si="75"/>
        <v>0</v>
      </c>
      <c r="AQ149" s="781">
        <f t="shared" si="76"/>
        <v>0</v>
      </c>
      <c r="AR149" s="781">
        <f t="shared" si="77"/>
        <v>0</v>
      </c>
      <c r="AS149" s="783">
        <f t="shared" si="78"/>
        <v>0</v>
      </c>
      <c r="AT149" s="917"/>
      <c r="AW149" s="832"/>
      <c r="AX149" s="833" t="s">
        <v>3393</v>
      </c>
      <c r="BM149" s="2010">
        <v>36400</v>
      </c>
    </row>
    <row r="150" spans="1:65" ht="27" hidden="1" customHeight="1" outlineLevel="1" x14ac:dyDescent="0.3">
      <c r="A150" s="784"/>
      <c r="B150" s="904">
        <f t="shared" si="185"/>
        <v>134</v>
      </c>
      <c r="C150" s="170" t="str">
        <f t="shared" si="184"/>
        <v>5CY</v>
      </c>
      <c r="D150" s="557"/>
      <c r="E150" s="170"/>
      <c r="F150" s="170">
        <v>5</v>
      </c>
      <c r="G150" s="2007" t="s">
        <v>3238</v>
      </c>
      <c r="H150" s="2630">
        <f>+J150*X150</f>
        <v>0</v>
      </c>
      <c r="I150" s="2008" t="s">
        <v>671</v>
      </c>
      <c r="J150" s="1926"/>
      <c r="K150" s="1926" t="s">
        <v>732</v>
      </c>
      <c r="L150" s="721"/>
      <c r="M150" s="2009">
        <v>18.237414965986396</v>
      </c>
      <c r="N150" s="2010">
        <v>1</v>
      </c>
      <c r="O150" s="773">
        <f>+M150*N150</f>
        <v>18.237414965986396</v>
      </c>
      <c r="P150" s="2008" t="s">
        <v>39</v>
      </c>
      <c r="Q150" s="2008" t="s">
        <v>39</v>
      </c>
      <c r="R150" s="2011" t="s">
        <v>73</v>
      </c>
      <c r="S150" s="912">
        <f>SUMIF('Data Input sheet'!$B$118:$B$180,R150,'Data Input sheet'!$D$118:$D$180)</f>
        <v>119</v>
      </c>
      <c r="T150" s="2685">
        <f>+O150*S150</f>
        <v>2170.2523809523809</v>
      </c>
      <c r="U150" s="2013">
        <v>13.465638</v>
      </c>
      <c r="V150" s="2679">
        <f t="shared" si="181"/>
        <v>246</v>
      </c>
      <c r="W150" s="2010">
        <v>598.63945578231289</v>
      </c>
      <c r="X150" s="2520">
        <v>1.47</v>
      </c>
      <c r="Y150" s="2012"/>
      <c r="Z150" s="780">
        <f>T150+V150+W150+Y150</f>
        <v>3014.8918367346937</v>
      </c>
      <c r="AA150" s="1886"/>
      <c r="AB150" s="2007"/>
      <c r="AC150" s="765"/>
      <c r="AD150" s="781">
        <f t="shared" si="63"/>
        <v>0</v>
      </c>
      <c r="AE150" s="778">
        <f t="shared" si="64"/>
        <v>0</v>
      </c>
      <c r="AF150" s="781">
        <f t="shared" si="65"/>
        <v>0</v>
      </c>
      <c r="AG150" s="781">
        <f t="shared" si="66"/>
        <v>0</v>
      </c>
      <c r="AH150" s="781">
        <f t="shared" si="67"/>
        <v>0</v>
      </c>
      <c r="AI150" s="782">
        <f t="shared" si="68"/>
        <v>0</v>
      </c>
      <c r="AJ150" s="781">
        <f t="shared" si="69"/>
        <v>0</v>
      </c>
      <c r="AK150" s="781">
        <f t="shared" si="70"/>
        <v>0</v>
      </c>
      <c r="AL150" s="781">
        <f t="shared" si="71"/>
        <v>0</v>
      </c>
      <c r="AM150" s="781">
        <f t="shared" si="72"/>
        <v>0</v>
      </c>
      <c r="AN150" s="781">
        <f t="shared" si="73"/>
        <v>0</v>
      </c>
      <c r="AO150" s="781">
        <f t="shared" si="74"/>
        <v>0</v>
      </c>
      <c r="AP150" s="781">
        <f t="shared" si="75"/>
        <v>0</v>
      </c>
      <c r="AQ150" s="781">
        <f t="shared" si="76"/>
        <v>0</v>
      </c>
      <c r="AR150" s="781">
        <f t="shared" si="77"/>
        <v>0</v>
      </c>
      <c r="AS150" s="783">
        <f t="shared" si="78"/>
        <v>0</v>
      </c>
      <c r="AT150" s="917"/>
      <c r="AW150" s="832"/>
      <c r="AX150" s="833" t="s">
        <v>3367</v>
      </c>
      <c r="BM150" s="2010">
        <v>1964.2376000000002</v>
      </c>
    </row>
    <row r="151" spans="1:65" ht="15.75" hidden="1" outlineLevel="1" thickBot="1" x14ac:dyDescent="0.3">
      <c r="A151" s="784"/>
      <c r="B151" s="904">
        <f t="shared" si="185"/>
        <v>135</v>
      </c>
      <c r="C151" s="170" t="str">
        <f t="shared" si="184"/>
        <v>5CY</v>
      </c>
      <c r="D151" s="557"/>
      <c r="E151" s="170"/>
      <c r="F151" s="170">
        <v>5</v>
      </c>
      <c r="G151" s="2007" t="s">
        <v>2455</v>
      </c>
      <c r="H151" s="2630">
        <f t="shared" si="180"/>
        <v>0</v>
      </c>
      <c r="I151" s="2008" t="s">
        <v>671</v>
      </c>
      <c r="J151" s="1926"/>
      <c r="K151" s="1926" t="s">
        <v>732</v>
      </c>
      <c r="L151" s="721"/>
      <c r="M151" s="2009">
        <v>12.8</v>
      </c>
      <c r="N151" s="2010">
        <v>1</v>
      </c>
      <c r="O151" s="773">
        <f t="shared" si="177"/>
        <v>12.8</v>
      </c>
      <c r="P151" s="2008" t="s">
        <v>39</v>
      </c>
      <c r="Q151" s="2008" t="s">
        <v>39</v>
      </c>
      <c r="R151" s="2011" t="s">
        <v>73</v>
      </c>
      <c r="S151" s="912">
        <f>SUMIF('Data Input sheet'!$B$118:$B$180,R151,'Data Input sheet'!$D$118:$D$180)</f>
        <v>119</v>
      </c>
      <c r="T151" s="2685">
        <f t="shared" si="178"/>
        <v>1523.2</v>
      </c>
      <c r="U151" s="2013">
        <v>11</v>
      </c>
      <c r="V151" s="2679">
        <f t="shared" si="181"/>
        <v>141</v>
      </c>
      <c r="W151" s="2010">
        <f t="shared" si="183"/>
        <v>355</v>
      </c>
      <c r="X151" s="779">
        <v>44</v>
      </c>
      <c r="Y151" s="2012"/>
      <c r="Z151" s="780">
        <f t="shared" si="179"/>
        <v>2019.2</v>
      </c>
      <c r="AA151" s="2007"/>
      <c r="AB151" s="2007"/>
      <c r="AC151" s="765"/>
      <c r="AD151" s="781">
        <f t="shared" si="63"/>
        <v>0</v>
      </c>
      <c r="AE151" s="778">
        <f t="shared" si="64"/>
        <v>0</v>
      </c>
      <c r="AF151" s="781">
        <f t="shared" si="65"/>
        <v>0</v>
      </c>
      <c r="AG151" s="781">
        <f t="shared" si="66"/>
        <v>0</v>
      </c>
      <c r="AH151" s="781">
        <f t="shared" si="67"/>
        <v>0</v>
      </c>
      <c r="AI151" s="782">
        <f t="shared" si="68"/>
        <v>0</v>
      </c>
      <c r="AJ151" s="781">
        <f t="shared" si="69"/>
        <v>0</v>
      </c>
      <c r="AK151" s="781">
        <f t="shared" si="70"/>
        <v>0</v>
      </c>
      <c r="AL151" s="781">
        <f t="shared" si="71"/>
        <v>0</v>
      </c>
      <c r="AM151" s="781">
        <f t="shared" si="72"/>
        <v>0</v>
      </c>
      <c r="AN151" s="781">
        <f t="shared" si="73"/>
        <v>0</v>
      </c>
      <c r="AO151" s="781">
        <f t="shared" si="74"/>
        <v>0</v>
      </c>
      <c r="AP151" s="781">
        <f t="shared" si="75"/>
        <v>0</v>
      </c>
      <c r="AQ151" s="781">
        <f t="shared" si="76"/>
        <v>0</v>
      </c>
      <c r="AR151" s="781">
        <f t="shared" si="77"/>
        <v>0</v>
      </c>
      <c r="AS151" s="783">
        <f t="shared" si="78"/>
        <v>0</v>
      </c>
      <c r="AT151" s="917"/>
      <c r="AW151" s="832"/>
      <c r="AX151" s="833" t="s">
        <v>3470</v>
      </c>
      <c r="BM151" s="2010">
        <v>36400</v>
      </c>
    </row>
    <row r="152" spans="1:65" ht="29.85" hidden="1" customHeight="1" outlineLevel="1" x14ac:dyDescent="0.3">
      <c r="A152" s="784"/>
      <c r="B152" s="904">
        <f t="shared" si="185"/>
        <v>136</v>
      </c>
      <c r="C152" s="170" t="str">
        <f t="shared" ref="C152" si="186">+F152&amp;I152</f>
        <v>5CY</v>
      </c>
      <c r="D152" s="557"/>
      <c r="E152" s="170"/>
      <c r="F152" s="170">
        <v>5</v>
      </c>
      <c r="G152" s="2007" t="s">
        <v>3492</v>
      </c>
      <c r="H152" s="2630">
        <f t="shared" ref="H152" si="187">+J152*X152</f>
        <v>0</v>
      </c>
      <c r="I152" s="2008" t="s">
        <v>671</v>
      </c>
      <c r="J152" s="1926"/>
      <c r="K152" s="1926" t="s">
        <v>732</v>
      </c>
      <c r="L152" s="721"/>
      <c r="M152" s="2009">
        <v>12.8</v>
      </c>
      <c r="N152" s="2010">
        <v>1</v>
      </c>
      <c r="O152" s="773">
        <f t="shared" ref="O152" si="188">+M152*N152</f>
        <v>12.8</v>
      </c>
      <c r="P152" s="2008" t="s">
        <v>39</v>
      </c>
      <c r="Q152" s="2008" t="s">
        <v>39</v>
      </c>
      <c r="R152" s="2011" t="s">
        <v>73</v>
      </c>
      <c r="S152" s="912">
        <f>SUMIF('Data Input sheet'!$B$118:$B$180,R152,'Data Input sheet'!$D$118:$D$180)</f>
        <v>119</v>
      </c>
      <c r="T152" s="2685">
        <f t="shared" ref="T152" si="189">+O152*S152</f>
        <v>1523.2</v>
      </c>
      <c r="U152" s="2013">
        <v>11</v>
      </c>
      <c r="V152" s="2679">
        <f t="shared" ref="V152" si="190">ROUND(U152*O152,0)</f>
        <v>141</v>
      </c>
      <c r="W152" s="2010">
        <f t="shared" si="183"/>
        <v>355</v>
      </c>
      <c r="X152" s="779">
        <v>44</v>
      </c>
      <c r="Y152" s="2012"/>
      <c r="Z152" s="780">
        <f t="shared" ref="Z152" si="191">T152+V152+W152+Y152</f>
        <v>2019.2</v>
      </c>
      <c r="AA152" s="2007"/>
      <c r="AB152" s="2007"/>
      <c r="AC152" s="765"/>
      <c r="AD152" s="781">
        <f t="shared" ref="AD152" si="192">IF(P152="E",+ROUND(H152*O152,0),0)</f>
        <v>0</v>
      </c>
      <c r="AE152" s="778">
        <f t="shared" ref="AE152" si="193">+AF152-AD152</f>
        <v>0</v>
      </c>
      <c r="AF152" s="781">
        <f t="shared" ref="AF152" si="194">+H152*O152</f>
        <v>0</v>
      </c>
      <c r="AG152" s="781">
        <f t="shared" ref="AG152" si="195">IF(P152="E",+ROUND(T152*H152,0),0)</f>
        <v>0</v>
      </c>
      <c r="AH152" s="781">
        <f t="shared" ref="AH152" si="196">+AI152-AG152</f>
        <v>0</v>
      </c>
      <c r="AI152" s="782">
        <f t="shared" ref="AI152" si="197">+H152*T152</f>
        <v>0</v>
      </c>
      <c r="AJ152" s="781">
        <f t="shared" ref="AJ152" si="198">IF(P152="E",+ROUND(V152*H152,0),0)</f>
        <v>0</v>
      </c>
      <c r="AK152" s="781">
        <f t="shared" ref="AK152" si="199">+AL152-AJ152</f>
        <v>0</v>
      </c>
      <c r="AL152" s="781">
        <f t="shared" ref="AL152" si="200">ROUND(V152*H152,0)</f>
        <v>0</v>
      </c>
      <c r="AM152" s="781">
        <f t="shared" ref="AM152" si="201">IF(Q152="E",+ROUND(W152*H152,0),0)</f>
        <v>0</v>
      </c>
      <c r="AN152" s="781">
        <f t="shared" ref="AN152" si="202">+AO152-AM152</f>
        <v>0</v>
      </c>
      <c r="AO152" s="781">
        <f t="shared" ref="AO152" si="203">ROUND(W152*H152,0)</f>
        <v>0</v>
      </c>
      <c r="AP152" s="781">
        <f t="shared" ref="AP152" si="204">IF(P152="E",+ROUND(Y152*H152,0),0)</f>
        <v>0</v>
      </c>
      <c r="AQ152" s="781">
        <f t="shared" ref="AQ152" si="205">+AR152-AP152</f>
        <v>0</v>
      </c>
      <c r="AR152" s="781">
        <f t="shared" ref="AR152" si="206">ROUND(Y152*H152,0)</f>
        <v>0</v>
      </c>
      <c r="AS152" s="783">
        <f t="shared" ref="AS152" si="207">+AR152+AO152+AL152+AI152</f>
        <v>0</v>
      </c>
      <c r="AT152" s="917"/>
      <c r="AW152" s="832"/>
      <c r="AX152" s="833" t="s">
        <v>3491</v>
      </c>
      <c r="BM152" s="2010">
        <v>36400</v>
      </c>
    </row>
    <row r="153" spans="1:65" ht="15.75" hidden="1" outlineLevel="1" thickBot="1" x14ac:dyDescent="0.3">
      <c r="A153" s="784"/>
      <c r="B153" s="904">
        <f>+B152+1</f>
        <v>137</v>
      </c>
      <c r="C153" s="170" t="str">
        <f t="shared" si="184"/>
        <v>5CY</v>
      </c>
      <c r="D153" s="557"/>
      <c r="E153" s="170"/>
      <c r="F153" s="170">
        <v>5</v>
      </c>
      <c r="G153" s="2007" t="s">
        <v>2456</v>
      </c>
      <c r="H153" s="2630">
        <f t="shared" si="180"/>
        <v>0</v>
      </c>
      <c r="I153" s="2008" t="s">
        <v>671</v>
      </c>
      <c r="J153" s="1926"/>
      <c r="K153" s="1926" t="s">
        <v>732</v>
      </c>
      <c r="L153" s="721"/>
      <c r="M153" s="2009">
        <v>12.8</v>
      </c>
      <c r="N153" s="2010">
        <v>1</v>
      </c>
      <c r="O153" s="773">
        <f t="shared" si="177"/>
        <v>12.8</v>
      </c>
      <c r="P153" s="2008" t="s">
        <v>39</v>
      </c>
      <c r="Q153" s="2008" t="s">
        <v>39</v>
      </c>
      <c r="R153" s="2011" t="s">
        <v>73</v>
      </c>
      <c r="S153" s="912">
        <f>SUMIF('Data Input sheet'!$B$118:$B$180,R153,'Data Input sheet'!$D$118:$D$180)</f>
        <v>119</v>
      </c>
      <c r="T153" s="2685">
        <f t="shared" si="178"/>
        <v>1523.2</v>
      </c>
      <c r="U153" s="2013">
        <v>11</v>
      </c>
      <c r="V153" s="2679">
        <f t="shared" si="181"/>
        <v>141</v>
      </c>
      <c r="W153" s="2010">
        <f t="shared" si="183"/>
        <v>355</v>
      </c>
      <c r="X153" s="779">
        <v>60</v>
      </c>
      <c r="Y153" s="2012"/>
      <c r="Z153" s="780">
        <f t="shared" si="179"/>
        <v>2019.2</v>
      </c>
      <c r="AA153" s="2007"/>
      <c r="AB153" s="2007"/>
      <c r="AC153" s="765"/>
      <c r="AD153" s="781">
        <f t="shared" ref="AD153:AD213" si="208">IF(P153="E",+ROUND(H153*O153,0),0)</f>
        <v>0</v>
      </c>
      <c r="AE153" s="778">
        <f t="shared" ref="AE153:AE213" si="209">+AF153-AD153</f>
        <v>0</v>
      </c>
      <c r="AF153" s="781">
        <f t="shared" ref="AF153:AF213" si="210">+H153*O153</f>
        <v>0</v>
      </c>
      <c r="AG153" s="781">
        <f t="shared" ref="AG153:AG213" si="211">IF(P153="E",+ROUND(T153*H153,0),0)</f>
        <v>0</v>
      </c>
      <c r="AH153" s="781">
        <f t="shared" ref="AH153:AH213" si="212">+AI153-AG153</f>
        <v>0</v>
      </c>
      <c r="AI153" s="782">
        <f t="shared" ref="AI153:AI213" si="213">+H153*T153</f>
        <v>0</v>
      </c>
      <c r="AJ153" s="781">
        <f t="shared" ref="AJ153:AJ213" si="214">IF(P153="E",+ROUND(V153*H153,0),0)</f>
        <v>0</v>
      </c>
      <c r="AK153" s="781">
        <f t="shared" ref="AK153:AK213" si="215">+AL153-AJ153</f>
        <v>0</v>
      </c>
      <c r="AL153" s="781">
        <f t="shared" ref="AL153:AL213" si="216">ROUND(V153*H153,0)</f>
        <v>0</v>
      </c>
      <c r="AM153" s="781">
        <f t="shared" ref="AM153:AM213" si="217">IF(Q153="E",+ROUND(W153*H153,0),0)</f>
        <v>0</v>
      </c>
      <c r="AN153" s="781">
        <f t="shared" ref="AN153:AN213" si="218">+AO153-AM153</f>
        <v>0</v>
      </c>
      <c r="AO153" s="781">
        <f t="shared" ref="AO153:AO213" si="219">ROUND(W153*H153,0)</f>
        <v>0</v>
      </c>
      <c r="AP153" s="781">
        <f t="shared" ref="AP153:AP213" si="220">IF(P153="E",+ROUND(Y153*H153,0),0)</f>
        <v>0</v>
      </c>
      <c r="AQ153" s="781">
        <f t="shared" ref="AQ153:AQ213" si="221">+AR153-AP153</f>
        <v>0</v>
      </c>
      <c r="AR153" s="781">
        <f t="shared" ref="AR153:AR213" si="222">ROUND(Y153*H153,0)</f>
        <v>0</v>
      </c>
      <c r="AS153" s="783">
        <f t="shared" ref="AS153:AS213" si="223">+AR153+AO153+AL153+AI153</f>
        <v>0</v>
      </c>
      <c r="AT153" s="917"/>
      <c r="AW153" s="832"/>
      <c r="AX153" s="833" t="s">
        <v>3454</v>
      </c>
      <c r="BM153" s="2010">
        <v>17210.4192</v>
      </c>
    </row>
    <row r="154" spans="1:65" ht="26.25" hidden="1" outlineLevel="1" thickBot="1" x14ac:dyDescent="0.3">
      <c r="A154" s="784"/>
      <c r="B154" s="904">
        <f t="shared" si="185"/>
        <v>138</v>
      </c>
      <c r="C154" s="170" t="str">
        <f t="shared" si="184"/>
        <v>5CY</v>
      </c>
      <c r="D154" s="557"/>
      <c r="E154" s="170"/>
      <c r="F154" s="170">
        <v>5</v>
      </c>
      <c r="G154" s="2007" t="s">
        <v>2457</v>
      </c>
      <c r="H154" s="2630">
        <f t="shared" si="180"/>
        <v>0</v>
      </c>
      <c r="I154" s="2008" t="s">
        <v>671</v>
      </c>
      <c r="J154" s="1926"/>
      <c r="K154" s="1926" t="s">
        <v>732</v>
      </c>
      <c r="L154" s="721"/>
      <c r="M154" s="2009">
        <v>12.8</v>
      </c>
      <c r="N154" s="2010">
        <v>1</v>
      </c>
      <c r="O154" s="773">
        <f t="shared" si="177"/>
        <v>12.8</v>
      </c>
      <c r="P154" s="2008" t="s">
        <v>39</v>
      </c>
      <c r="Q154" s="2008" t="s">
        <v>39</v>
      </c>
      <c r="R154" s="2011" t="s">
        <v>73</v>
      </c>
      <c r="S154" s="912">
        <f>SUMIF('Data Input sheet'!$B$118:$B$180,R154,'Data Input sheet'!$D$118:$D$180)</f>
        <v>119</v>
      </c>
      <c r="T154" s="2685">
        <f t="shared" si="178"/>
        <v>1523.2</v>
      </c>
      <c r="U154" s="2013">
        <v>11</v>
      </c>
      <c r="V154" s="2679">
        <f t="shared" si="181"/>
        <v>141</v>
      </c>
      <c r="W154" s="2010">
        <f>175000/295</f>
        <v>593.22033898305085</v>
      </c>
      <c r="X154" s="779">
        <v>295</v>
      </c>
      <c r="Y154" s="2012"/>
      <c r="Z154" s="780">
        <f t="shared" si="179"/>
        <v>2257.4203389830509</v>
      </c>
      <c r="AA154" s="2007"/>
      <c r="AB154" s="2007"/>
      <c r="AC154" s="765"/>
      <c r="AD154" s="781">
        <f t="shared" si="208"/>
        <v>0</v>
      </c>
      <c r="AE154" s="778">
        <f t="shared" si="209"/>
        <v>0</v>
      </c>
      <c r="AF154" s="781">
        <f t="shared" si="210"/>
        <v>0</v>
      </c>
      <c r="AG154" s="781">
        <f t="shared" si="211"/>
        <v>0</v>
      </c>
      <c r="AH154" s="781">
        <f t="shared" si="212"/>
        <v>0</v>
      </c>
      <c r="AI154" s="782">
        <f t="shared" si="213"/>
        <v>0</v>
      </c>
      <c r="AJ154" s="781">
        <f t="shared" si="214"/>
        <v>0</v>
      </c>
      <c r="AK154" s="781">
        <f t="shared" si="215"/>
        <v>0</v>
      </c>
      <c r="AL154" s="781">
        <f t="shared" si="216"/>
        <v>0</v>
      </c>
      <c r="AM154" s="781">
        <f t="shared" si="217"/>
        <v>0</v>
      </c>
      <c r="AN154" s="781">
        <f t="shared" si="218"/>
        <v>0</v>
      </c>
      <c r="AO154" s="781">
        <f t="shared" si="219"/>
        <v>0</v>
      </c>
      <c r="AP154" s="781">
        <f t="shared" si="220"/>
        <v>0</v>
      </c>
      <c r="AQ154" s="781">
        <f t="shared" si="221"/>
        <v>0</v>
      </c>
      <c r="AR154" s="781">
        <f t="shared" si="222"/>
        <v>0</v>
      </c>
      <c r="AS154" s="783">
        <f t="shared" si="223"/>
        <v>0</v>
      </c>
      <c r="AT154" s="917"/>
      <c r="AW154" s="832"/>
      <c r="AX154" s="833" t="s">
        <v>3455</v>
      </c>
      <c r="BM154" s="2010">
        <f>175000/295</f>
        <v>593.22033898305085</v>
      </c>
    </row>
    <row r="155" spans="1:65" ht="15.75" hidden="1" outlineLevel="1" thickBot="1" x14ac:dyDescent="0.3">
      <c r="A155" s="784"/>
      <c r="B155" s="904">
        <f t="shared" si="185"/>
        <v>139</v>
      </c>
      <c r="C155" s="170" t="str">
        <f t="shared" si="184"/>
        <v>5CY</v>
      </c>
      <c r="D155" s="557"/>
      <c r="E155" s="170"/>
      <c r="F155" s="170">
        <v>5</v>
      </c>
      <c r="G155" s="2007" t="s">
        <v>2458</v>
      </c>
      <c r="H155" s="2630">
        <f t="shared" si="180"/>
        <v>0</v>
      </c>
      <c r="I155" s="2008" t="s">
        <v>671</v>
      </c>
      <c r="J155" s="1926"/>
      <c r="K155" s="1926" t="s">
        <v>732</v>
      </c>
      <c r="L155" s="721"/>
      <c r="M155" s="2009">
        <v>16.3</v>
      </c>
      <c r="N155" s="2010">
        <v>1</v>
      </c>
      <c r="O155" s="773">
        <f t="shared" si="177"/>
        <v>16.3</v>
      </c>
      <c r="P155" s="2008" t="s">
        <v>39</v>
      </c>
      <c r="Q155" s="2008" t="s">
        <v>39</v>
      </c>
      <c r="R155" s="2011" t="s">
        <v>73</v>
      </c>
      <c r="S155" s="912">
        <f>SUMIF('Data Input sheet'!$B$118:$B$180,R155,'Data Input sheet'!$D$118:$D$180)</f>
        <v>119</v>
      </c>
      <c r="T155" s="2685">
        <f t="shared" si="178"/>
        <v>1939.7</v>
      </c>
      <c r="U155" s="2013">
        <v>11</v>
      </c>
      <c r="V155" s="2679">
        <f t="shared" si="181"/>
        <v>179</v>
      </c>
      <c r="W155" s="2010">
        <f t="shared" si="183"/>
        <v>355</v>
      </c>
      <c r="X155" s="779">
        <v>25</v>
      </c>
      <c r="Y155" s="2012"/>
      <c r="Z155" s="780">
        <f t="shared" si="179"/>
        <v>2473.6999999999998</v>
      </c>
      <c r="AA155" s="2007"/>
      <c r="AB155" s="2007"/>
      <c r="AC155" s="765"/>
      <c r="AD155" s="781">
        <f t="shared" si="208"/>
        <v>0</v>
      </c>
      <c r="AE155" s="778">
        <f t="shared" si="209"/>
        <v>0</v>
      </c>
      <c r="AF155" s="781">
        <f t="shared" si="210"/>
        <v>0</v>
      </c>
      <c r="AG155" s="781">
        <f t="shared" si="211"/>
        <v>0</v>
      </c>
      <c r="AH155" s="781">
        <f t="shared" si="212"/>
        <v>0</v>
      </c>
      <c r="AI155" s="782">
        <f t="shared" si="213"/>
        <v>0</v>
      </c>
      <c r="AJ155" s="781">
        <f t="shared" si="214"/>
        <v>0</v>
      </c>
      <c r="AK155" s="781">
        <f t="shared" si="215"/>
        <v>0</v>
      </c>
      <c r="AL155" s="781">
        <f t="shared" si="216"/>
        <v>0</v>
      </c>
      <c r="AM155" s="781">
        <f t="shared" si="217"/>
        <v>0</v>
      </c>
      <c r="AN155" s="781">
        <f t="shared" si="218"/>
        <v>0</v>
      </c>
      <c r="AO155" s="781">
        <f t="shared" si="219"/>
        <v>0</v>
      </c>
      <c r="AP155" s="781">
        <f t="shared" si="220"/>
        <v>0</v>
      </c>
      <c r="AQ155" s="781">
        <f t="shared" si="221"/>
        <v>0</v>
      </c>
      <c r="AR155" s="781">
        <f t="shared" si="222"/>
        <v>0</v>
      </c>
      <c r="AS155" s="783">
        <f t="shared" si="223"/>
        <v>0</v>
      </c>
      <c r="AT155" s="917"/>
      <c r="AW155" s="832"/>
      <c r="AX155" s="833" t="s">
        <v>3471</v>
      </c>
      <c r="BM155" s="2010">
        <v>0</v>
      </c>
    </row>
    <row r="156" spans="1:65" ht="15.75" hidden="1" outlineLevel="1" thickBot="1" x14ac:dyDescent="0.3">
      <c r="A156" s="784"/>
      <c r="B156" s="904">
        <f t="shared" si="185"/>
        <v>140</v>
      </c>
      <c r="C156" s="170" t="str">
        <f t="shared" si="184"/>
        <v>5CY</v>
      </c>
      <c r="D156" s="557"/>
      <c r="E156" s="170"/>
      <c r="F156" s="170">
        <v>5</v>
      </c>
      <c r="G156" s="2007" t="s">
        <v>2459</v>
      </c>
      <c r="H156" s="2630">
        <f t="shared" si="180"/>
        <v>0</v>
      </c>
      <c r="I156" s="2008" t="s">
        <v>671</v>
      </c>
      <c r="J156" s="1926"/>
      <c r="K156" s="1926" t="s">
        <v>732</v>
      </c>
      <c r="L156" s="721"/>
      <c r="M156" s="2009">
        <v>20.100000000000001</v>
      </c>
      <c r="N156" s="2010">
        <v>1</v>
      </c>
      <c r="O156" s="773">
        <f t="shared" si="177"/>
        <v>20.100000000000001</v>
      </c>
      <c r="P156" s="2008" t="s">
        <v>39</v>
      </c>
      <c r="Q156" s="2008" t="s">
        <v>39</v>
      </c>
      <c r="R156" s="2011" t="s">
        <v>73</v>
      </c>
      <c r="S156" s="912">
        <f>SUMIF('Data Input sheet'!$B$118:$B$180,R156,'Data Input sheet'!$D$118:$D$180)</f>
        <v>119</v>
      </c>
      <c r="T156" s="2685">
        <f t="shared" si="178"/>
        <v>2391.9</v>
      </c>
      <c r="U156" s="2013">
        <v>11</v>
      </c>
      <c r="V156" s="2679">
        <f t="shared" si="181"/>
        <v>221</v>
      </c>
      <c r="W156" s="2010">
        <f t="shared" si="183"/>
        <v>355</v>
      </c>
      <c r="X156" s="779">
        <v>10</v>
      </c>
      <c r="Y156" s="2012"/>
      <c r="Z156" s="780">
        <f t="shared" si="179"/>
        <v>2967.9</v>
      </c>
      <c r="AA156" s="2007"/>
      <c r="AB156" s="2007"/>
      <c r="AC156" s="765"/>
      <c r="AD156" s="781">
        <f t="shared" si="208"/>
        <v>0</v>
      </c>
      <c r="AE156" s="778">
        <f t="shared" si="209"/>
        <v>0</v>
      </c>
      <c r="AF156" s="781">
        <f t="shared" si="210"/>
        <v>0</v>
      </c>
      <c r="AG156" s="781">
        <f t="shared" si="211"/>
        <v>0</v>
      </c>
      <c r="AH156" s="781">
        <f t="shared" si="212"/>
        <v>0</v>
      </c>
      <c r="AI156" s="782">
        <f t="shared" si="213"/>
        <v>0</v>
      </c>
      <c r="AJ156" s="781">
        <f t="shared" si="214"/>
        <v>0</v>
      </c>
      <c r="AK156" s="781">
        <f t="shared" si="215"/>
        <v>0</v>
      </c>
      <c r="AL156" s="781">
        <f t="shared" si="216"/>
        <v>0</v>
      </c>
      <c r="AM156" s="781">
        <f t="shared" si="217"/>
        <v>0</v>
      </c>
      <c r="AN156" s="781">
        <f t="shared" si="218"/>
        <v>0</v>
      </c>
      <c r="AO156" s="781">
        <f t="shared" si="219"/>
        <v>0</v>
      </c>
      <c r="AP156" s="781">
        <f t="shared" si="220"/>
        <v>0</v>
      </c>
      <c r="AQ156" s="781">
        <f t="shared" si="221"/>
        <v>0</v>
      </c>
      <c r="AR156" s="781">
        <f t="shared" si="222"/>
        <v>0</v>
      </c>
      <c r="AS156" s="783">
        <f t="shared" si="223"/>
        <v>0</v>
      </c>
      <c r="AT156" s="917"/>
      <c r="AW156" s="832"/>
      <c r="AX156" s="833" t="s">
        <v>3472</v>
      </c>
      <c r="BM156" s="2010">
        <v>2868.4032000000002</v>
      </c>
    </row>
    <row r="157" spans="1:65" ht="15.75" hidden="1" outlineLevel="1" thickBot="1" x14ac:dyDescent="0.3">
      <c r="A157" s="784"/>
      <c r="B157" s="904">
        <f t="shared" si="185"/>
        <v>141</v>
      </c>
      <c r="C157" s="170" t="str">
        <f t="shared" si="184"/>
        <v>5CY</v>
      </c>
      <c r="D157" s="557"/>
      <c r="E157" s="170"/>
      <c r="F157" s="170">
        <v>5</v>
      </c>
      <c r="G157" s="2007" t="s">
        <v>2460</v>
      </c>
      <c r="H157" s="2630">
        <f t="shared" si="180"/>
        <v>0</v>
      </c>
      <c r="I157" s="2008" t="s">
        <v>671</v>
      </c>
      <c r="J157" s="1926"/>
      <c r="K157" s="1926" t="s">
        <v>732</v>
      </c>
      <c r="L157" s="721"/>
      <c r="M157" s="2009">
        <v>20.100000000000001</v>
      </c>
      <c r="N157" s="2010">
        <v>1</v>
      </c>
      <c r="O157" s="773">
        <f t="shared" si="177"/>
        <v>20.100000000000001</v>
      </c>
      <c r="P157" s="2008" t="s">
        <v>39</v>
      </c>
      <c r="Q157" s="2008" t="s">
        <v>39</v>
      </c>
      <c r="R157" s="2011" t="s">
        <v>73</v>
      </c>
      <c r="S157" s="912">
        <f>SUMIF('Data Input sheet'!$B$118:$B$180,R157,'Data Input sheet'!$D$118:$D$180)</f>
        <v>119</v>
      </c>
      <c r="T157" s="2685">
        <f t="shared" si="178"/>
        <v>2391.9</v>
      </c>
      <c r="U157" s="2013">
        <v>33</v>
      </c>
      <c r="V157" s="2679">
        <f t="shared" si="181"/>
        <v>663</v>
      </c>
      <c r="W157" s="2010">
        <f t="shared" si="183"/>
        <v>355</v>
      </c>
      <c r="X157" s="779">
        <v>85</v>
      </c>
      <c r="Y157" s="2012"/>
      <c r="Z157" s="780">
        <f t="shared" si="179"/>
        <v>3409.9</v>
      </c>
      <c r="AA157" s="2007"/>
      <c r="AB157" s="2007"/>
      <c r="AC157" s="765"/>
      <c r="AD157" s="781">
        <f t="shared" si="208"/>
        <v>0</v>
      </c>
      <c r="AE157" s="778">
        <f t="shared" si="209"/>
        <v>0</v>
      </c>
      <c r="AF157" s="781">
        <f t="shared" si="210"/>
        <v>0</v>
      </c>
      <c r="AG157" s="781">
        <f t="shared" si="211"/>
        <v>0</v>
      </c>
      <c r="AH157" s="781">
        <f t="shared" si="212"/>
        <v>0</v>
      </c>
      <c r="AI157" s="782">
        <f t="shared" si="213"/>
        <v>0</v>
      </c>
      <c r="AJ157" s="781">
        <f t="shared" si="214"/>
        <v>0</v>
      </c>
      <c r="AK157" s="781">
        <f t="shared" si="215"/>
        <v>0</v>
      </c>
      <c r="AL157" s="781">
        <f t="shared" si="216"/>
        <v>0</v>
      </c>
      <c r="AM157" s="781">
        <f t="shared" si="217"/>
        <v>0</v>
      </c>
      <c r="AN157" s="781">
        <f t="shared" si="218"/>
        <v>0</v>
      </c>
      <c r="AO157" s="781">
        <f t="shared" si="219"/>
        <v>0</v>
      </c>
      <c r="AP157" s="781">
        <f t="shared" si="220"/>
        <v>0</v>
      </c>
      <c r="AQ157" s="781">
        <f t="shared" si="221"/>
        <v>0</v>
      </c>
      <c r="AR157" s="781">
        <f t="shared" si="222"/>
        <v>0</v>
      </c>
      <c r="AS157" s="783">
        <f t="shared" si="223"/>
        <v>0</v>
      </c>
      <c r="AT157" s="917"/>
      <c r="AW157" s="832"/>
      <c r="AX157" s="833" t="s">
        <v>3473</v>
      </c>
      <c r="BM157" s="2010">
        <v>24381.427200000002</v>
      </c>
    </row>
    <row r="158" spans="1:65" ht="26.25" hidden="1" outlineLevel="1" thickBot="1" x14ac:dyDescent="0.3">
      <c r="A158" s="787"/>
      <c r="B158" s="904">
        <f t="shared" si="185"/>
        <v>142</v>
      </c>
      <c r="C158" s="170" t="str">
        <f t="shared" si="184"/>
        <v>5CY</v>
      </c>
      <c r="D158" s="906"/>
      <c r="E158" s="721"/>
      <c r="F158" s="170">
        <v>5</v>
      </c>
      <c r="G158" s="2007" t="s">
        <v>2461</v>
      </c>
      <c r="H158" s="2630">
        <f t="shared" si="180"/>
        <v>0</v>
      </c>
      <c r="I158" s="2008" t="s">
        <v>671</v>
      </c>
      <c r="J158" s="1926"/>
      <c r="K158" s="1926" t="s">
        <v>732</v>
      </c>
      <c r="L158" s="721"/>
      <c r="M158" s="2009">
        <v>12.8</v>
      </c>
      <c r="N158" s="2010">
        <v>1</v>
      </c>
      <c r="O158" s="773">
        <f t="shared" si="177"/>
        <v>12.8</v>
      </c>
      <c r="P158" s="2008" t="s">
        <v>39</v>
      </c>
      <c r="Q158" s="2008" t="s">
        <v>39</v>
      </c>
      <c r="R158" s="2011" t="s">
        <v>73</v>
      </c>
      <c r="S158" s="912">
        <f>SUMIF('Data Input sheet'!$B$118:$B$180,R158,'Data Input sheet'!$D$118:$D$180)</f>
        <v>119</v>
      </c>
      <c r="T158" s="2685">
        <f t="shared" si="178"/>
        <v>1523.2</v>
      </c>
      <c r="U158" s="2013">
        <v>11</v>
      </c>
      <c r="V158" s="2679">
        <f t="shared" si="181"/>
        <v>141</v>
      </c>
      <c r="W158" s="2010">
        <f t="shared" si="183"/>
        <v>355</v>
      </c>
      <c r="X158" s="779">
        <v>600</v>
      </c>
      <c r="Y158" s="2012"/>
      <c r="Z158" s="780">
        <f t="shared" si="179"/>
        <v>2019.2</v>
      </c>
      <c r="AA158" s="2007"/>
      <c r="AB158" s="2007"/>
      <c r="AC158" s="765"/>
      <c r="AD158" s="781">
        <f t="shared" si="208"/>
        <v>0</v>
      </c>
      <c r="AE158" s="778">
        <f t="shared" si="209"/>
        <v>0</v>
      </c>
      <c r="AF158" s="781">
        <f t="shared" si="210"/>
        <v>0</v>
      </c>
      <c r="AG158" s="781">
        <f t="shared" si="211"/>
        <v>0</v>
      </c>
      <c r="AH158" s="781">
        <f t="shared" si="212"/>
        <v>0</v>
      </c>
      <c r="AI158" s="782">
        <f t="shared" si="213"/>
        <v>0</v>
      </c>
      <c r="AJ158" s="781">
        <f t="shared" si="214"/>
        <v>0</v>
      </c>
      <c r="AK158" s="781">
        <f t="shared" si="215"/>
        <v>0</v>
      </c>
      <c r="AL158" s="781">
        <f t="shared" si="216"/>
        <v>0</v>
      </c>
      <c r="AM158" s="781">
        <f t="shared" si="217"/>
        <v>0</v>
      </c>
      <c r="AN158" s="781">
        <f t="shared" si="218"/>
        <v>0</v>
      </c>
      <c r="AO158" s="781">
        <f t="shared" si="219"/>
        <v>0</v>
      </c>
      <c r="AP158" s="781">
        <f t="shared" si="220"/>
        <v>0</v>
      </c>
      <c r="AQ158" s="781">
        <f t="shared" si="221"/>
        <v>0</v>
      </c>
      <c r="AR158" s="781">
        <f t="shared" si="222"/>
        <v>0</v>
      </c>
      <c r="AS158" s="783">
        <f t="shared" si="223"/>
        <v>0</v>
      </c>
      <c r="AT158" s="917"/>
      <c r="AU158" s="721"/>
      <c r="AV158" s="721"/>
      <c r="AW158" s="832"/>
      <c r="AX158" s="833" t="s">
        <v>3456</v>
      </c>
      <c r="BM158" s="2010">
        <v>344208.38399999996</v>
      </c>
    </row>
    <row r="159" spans="1:65" ht="26.25" hidden="1" outlineLevel="1" thickBot="1" x14ac:dyDescent="0.3">
      <c r="A159" s="787"/>
      <c r="B159" s="904">
        <f t="shared" si="185"/>
        <v>143</v>
      </c>
      <c r="C159" s="170" t="str">
        <f t="shared" si="184"/>
        <v>5CY</v>
      </c>
      <c r="D159" s="906"/>
      <c r="E159" s="721"/>
      <c r="F159" s="170">
        <v>5</v>
      </c>
      <c r="G159" s="2007" t="s">
        <v>2462</v>
      </c>
      <c r="H159" s="2630">
        <f t="shared" si="180"/>
        <v>0</v>
      </c>
      <c r="I159" s="2008" t="s">
        <v>671</v>
      </c>
      <c r="J159" s="1926"/>
      <c r="K159" s="1926" t="s">
        <v>732</v>
      </c>
      <c r="L159" s="721"/>
      <c r="M159" s="2009">
        <v>12.8</v>
      </c>
      <c r="N159" s="2010">
        <v>1</v>
      </c>
      <c r="O159" s="773">
        <f t="shared" si="177"/>
        <v>12.8</v>
      </c>
      <c r="P159" s="2008" t="s">
        <v>39</v>
      </c>
      <c r="Q159" s="2008" t="s">
        <v>39</v>
      </c>
      <c r="R159" s="2011" t="s">
        <v>73</v>
      </c>
      <c r="S159" s="912">
        <f>SUMIF('Data Input sheet'!$B$118:$B$180,R159,'Data Input sheet'!$D$118:$D$180)</f>
        <v>119</v>
      </c>
      <c r="T159" s="2685">
        <f t="shared" si="178"/>
        <v>1523.2</v>
      </c>
      <c r="U159" s="2013">
        <v>11</v>
      </c>
      <c r="V159" s="2679">
        <f t="shared" si="181"/>
        <v>141</v>
      </c>
      <c r="W159" s="2010">
        <f t="shared" si="183"/>
        <v>355</v>
      </c>
      <c r="X159" s="779">
        <v>400</v>
      </c>
      <c r="Y159" s="2012"/>
      <c r="Z159" s="780">
        <f t="shared" si="179"/>
        <v>2019.2</v>
      </c>
      <c r="AA159" s="2007"/>
      <c r="AB159" s="2007"/>
      <c r="AC159" s="765"/>
      <c r="AD159" s="781">
        <f t="shared" si="208"/>
        <v>0</v>
      </c>
      <c r="AE159" s="778">
        <f t="shared" si="209"/>
        <v>0</v>
      </c>
      <c r="AF159" s="781">
        <f t="shared" si="210"/>
        <v>0</v>
      </c>
      <c r="AG159" s="781">
        <f t="shared" si="211"/>
        <v>0</v>
      </c>
      <c r="AH159" s="781">
        <f t="shared" si="212"/>
        <v>0</v>
      </c>
      <c r="AI159" s="782">
        <f t="shared" si="213"/>
        <v>0</v>
      </c>
      <c r="AJ159" s="781">
        <f t="shared" si="214"/>
        <v>0</v>
      </c>
      <c r="AK159" s="781">
        <f t="shared" si="215"/>
        <v>0</v>
      </c>
      <c r="AL159" s="781">
        <f t="shared" si="216"/>
        <v>0</v>
      </c>
      <c r="AM159" s="781">
        <f t="shared" si="217"/>
        <v>0</v>
      </c>
      <c r="AN159" s="781">
        <f t="shared" si="218"/>
        <v>0</v>
      </c>
      <c r="AO159" s="781">
        <f t="shared" si="219"/>
        <v>0</v>
      </c>
      <c r="AP159" s="781">
        <f t="shared" si="220"/>
        <v>0</v>
      </c>
      <c r="AQ159" s="781">
        <f t="shared" si="221"/>
        <v>0</v>
      </c>
      <c r="AR159" s="781">
        <f t="shared" si="222"/>
        <v>0</v>
      </c>
      <c r="AS159" s="783">
        <f t="shared" si="223"/>
        <v>0</v>
      </c>
      <c r="AT159" s="917"/>
      <c r="AU159" s="721"/>
      <c r="AV159" s="721"/>
      <c r="AW159" s="832"/>
      <c r="AX159" s="833" t="s">
        <v>3456</v>
      </c>
      <c r="BM159" s="2010">
        <v>229472.25599999999</v>
      </c>
    </row>
    <row r="160" spans="1:65" ht="15.75" hidden="1" outlineLevel="1" thickBot="1" x14ac:dyDescent="0.3">
      <c r="A160" s="787"/>
      <c r="B160" s="904">
        <f t="shared" si="185"/>
        <v>144</v>
      </c>
      <c r="C160" s="170" t="str">
        <f t="shared" si="184"/>
        <v>5CY</v>
      </c>
      <c r="D160" s="906"/>
      <c r="E160" s="721"/>
      <c r="F160" s="170">
        <v>5</v>
      </c>
      <c r="G160" s="2007" t="s">
        <v>2463</v>
      </c>
      <c r="H160" s="2630">
        <f t="shared" si="180"/>
        <v>0</v>
      </c>
      <c r="I160" s="2008" t="s">
        <v>671</v>
      </c>
      <c r="J160" s="1926"/>
      <c r="K160" s="1926" t="s">
        <v>732</v>
      </c>
      <c r="L160" s="721"/>
      <c r="M160" s="2009">
        <v>12.8</v>
      </c>
      <c r="N160" s="2010">
        <v>1</v>
      </c>
      <c r="O160" s="773">
        <f t="shared" si="177"/>
        <v>12.8</v>
      </c>
      <c r="P160" s="2008" t="s">
        <v>39</v>
      </c>
      <c r="Q160" s="2008" t="s">
        <v>39</v>
      </c>
      <c r="R160" s="2011" t="s">
        <v>73</v>
      </c>
      <c r="S160" s="912">
        <f>SUMIF('Data Input sheet'!$B$118:$B$180,R160,'Data Input sheet'!$D$118:$D$180)</f>
        <v>119</v>
      </c>
      <c r="T160" s="2685">
        <f t="shared" si="178"/>
        <v>1523.2</v>
      </c>
      <c r="U160" s="2013">
        <v>11</v>
      </c>
      <c r="V160" s="2679">
        <f t="shared" si="181"/>
        <v>141</v>
      </c>
      <c r="W160" s="2010">
        <f>(125+(130*1.5)+2)</f>
        <v>322</v>
      </c>
      <c r="X160" s="779">
        <v>800</v>
      </c>
      <c r="Y160" s="2012"/>
      <c r="Z160" s="780">
        <f t="shared" si="179"/>
        <v>1986.2</v>
      </c>
      <c r="AA160" s="2007"/>
      <c r="AB160" s="2007"/>
      <c r="AC160" s="765"/>
      <c r="AD160" s="781">
        <f t="shared" si="208"/>
        <v>0</v>
      </c>
      <c r="AE160" s="778">
        <f t="shared" si="209"/>
        <v>0</v>
      </c>
      <c r="AF160" s="781">
        <f t="shared" si="210"/>
        <v>0</v>
      </c>
      <c r="AG160" s="781">
        <f t="shared" si="211"/>
        <v>0</v>
      </c>
      <c r="AH160" s="781">
        <f t="shared" si="212"/>
        <v>0</v>
      </c>
      <c r="AI160" s="782">
        <f t="shared" si="213"/>
        <v>0</v>
      </c>
      <c r="AJ160" s="781">
        <f t="shared" si="214"/>
        <v>0</v>
      </c>
      <c r="AK160" s="781">
        <f t="shared" si="215"/>
        <v>0</v>
      </c>
      <c r="AL160" s="781">
        <f t="shared" si="216"/>
        <v>0</v>
      </c>
      <c r="AM160" s="781">
        <f t="shared" si="217"/>
        <v>0</v>
      </c>
      <c r="AN160" s="781">
        <f t="shared" si="218"/>
        <v>0</v>
      </c>
      <c r="AO160" s="781">
        <f t="shared" si="219"/>
        <v>0</v>
      </c>
      <c r="AP160" s="781">
        <f t="shared" si="220"/>
        <v>0</v>
      </c>
      <c r="AQ160" s="781">
        <f t="shared" si="221"/>
        <v>0</v>
      </c>
      <c r="AR160" s="781">
        <f t="shared" si="222"/>
        <v>0</v>
      </c>
      <c r="AS160" s="783">
        <f t="shared" si="223"/>
        <v>0</v>
      </c>
      <c r="AT160" s="917"/>
      <c r="AU160" s="721"/>
      <c r="AV160" s="721"/>
      <c r="AW160" s="832"/>
      <c r="AX160" s="833" t="s">
        <v>3457</v>
      </c>
      <c r="BM160" s="2010">
        <v>183577.80480000001</v>
      </c>
    </row>
    <row r="161" spans="1:65" ht="26.25" hidden="1" outlineLevel="1" thickBot="1" x14ac:dyDescent="0.3">
      <c r="A161" s="787"/>
      <c r="B161" s="904">
        <f t="shared" si="185"/>
        <v>145</v>
      </c>
      <c r="C161" s="170" t="str">
        <f t="shared" si="184"/>
        <v>5CY</v>
      </c>
      <c r="D161" s="906"/>
      <c r="E161" s="721"/>
      <c r="F161" s="170">
        <v>5</v>
      </c>
      <c r="G161" s="2007" t="s">
        <v>3239</v>
      </c>
      <c r="H161" s="2630">
        <f>+J161*X161</f>
        <v>0</v>
      </c>
      <c r="I161" s="2008" t="s">
        <v>671</v>
      </c>
      <c r="J161" s="1926"/>
      <c r="K161" s="1926" t="s">
        <v>732</v>
      </c>
      <c r="L161" s="721"/>
      <c r="M161" s="2009">
        <v>16.2</v>
      </c>
      <c r="N161" s="2010">
        <v>1</v>
      </c>
      <c r="O161" s="773">
        <f>+M161*N161</f>
        <v>16.2</v>
      </c>
      <c r="P161" s="2008" t="s">
        <v>39</v>
      </c>
      <c r="Q161" s="2008" t="s">
        <v>39</v>
      </c>
      <c r="R161" s="2011" t="s">
        <v>73</v>
      </c>
      <c r="S161" s="912">
        <f>SUMIF('Data Input sheet'!$B$118:$B$180,R161,'Data Input sheet'!$D$118:$D$180)</f>
        <v>119</v>
      </c>
      <c r="T161" s="2685">
        <f>+O161*S161</f>
        <v>1927.8</v>
      </c>
      <c r="U161" s="2013">
        <v>8.0318438000000008</v>
      </c>
      <c r="V161" s="2679">
        <f t="shared" si="181"/>
        <v>130</v>
      </c>
      <c r="W161" s="2010">
        <v>545.94000000000005</v>
      </c>
      <c r="X161" s="2518">
        <v>177.78</v>
      </c>
      <c r="Y161" s="2012"/>
      <c r="Z161" s="780">
        <f>T161+V161+W161+Y161</f>
        <v>2603.7400000000002</v>
      </c>
      <c r="AA161" s="1886"/>
      <c r="AB161" s="2007"/>
      <c r="AC161" s="765"/>
      <c r="AD161" s="781">
        <f t="shared" si="208"/>
        <v>0</v>
      </c>
      <c r="AE161" s="778">
        <f t="shared" si="209"/>
        <v>0</v>
      </c>
      <c r="AF161" s="781">
        <f t="shared" si="210"/>
        <v>0</v>
      </c>
      <c r="AG161" s="781">
        <f t="shared" si="211"/>
        <v>0</v>
      </c>
      <c r="AH161" s="781">
        <f t="shared" si="212"/>
        <v>0</v>
      </c>
      <c r="AI161" s="782">
        <f t="shared" si="213"/>
        <v>0</v>
      </c>
      <c r="AJ161" s="781">
        <f t="shared" si="214"/>
        <v>0</v>
      </c>
      <c r="AK161" s="781">
        <f t="shared" si="215"/>
        <v>0</v>
      </c>
      <c r="AL161" s="781">
        <f t="shared" si="216"/>
        <v>0</v>
      </c>
      <c r="AM161" s="781">
        <f t="shared" si="217"/>
        <v>0</v>
      </c>
      <c r="AN161" s="781">
        <f t="shared" si="218"/>
        <v>0</v>
      </c>
      <c r="AO161" s="781">
        <f t="shared" si="219"/>
        <v>0</v>
      </c>
      <c r="AP161" s="781">
        <f t="shared" si="220"/>
        <v>0</v>
      </c>
      <c r="AQ161" s="781">
        <f t="shared" si="221"/>
        <v>0</v>
      </c>
      <c r="AR161" s="781">
        <f t="shared" si="222"/>
        <v>0</v>
      </c>
      <c r="AS161" s="783">
        <f t="shared" si="223"/>
        <v>0</v>
      </c>
      <c r="AT161" s="917"/>
      <c r="AU161" s="721"/>
      <c r="AV161" s="721"/>
      <c r="AW161" s="832"/>
      <c r="AX161" s="833" t="s">
        <v>3368</v>
      </c>
      <c r="BM161" s="2010">
        <v>29.16</v>
      </c>
    </row>
    <row r="162" spans="1:65" ht="26.25" hidden="1" outlineLevel="1" thickBot="1" x14ac:dyDescent="0.3">
      <c r="A162" s="787"/>
      <c r="B162" s="904">
        <f t="shared" si="185"/>
        <v>146</v>
      </c>
      <c r="C162" s="170" t="str">
        <f t="shared" si="184"/>
        <v>5CY</v>
      </c>
      <c r="D162" s="906"/>
      <c r="E162" s="721"/>
      <c r="F162" s="170">
        <v>5</v>
      </c>
      <c r="G162" s="2007" t="s">
        <v>3240</v>
      </c>
      <c r="H162" s="2630">
        <f>+J162*X162</f>
        <v>0</v>
      </c>
      <c r="I162" s="2008" t="s">
        <v>671</v>
      </c>
      <c r="J162" s="1926"/>
      <c r="K162" s="1926" t="s">
        <v>732</v>
      </c>
      <c r="L162" s="721"/>
      <c r="M162" s="2009">
        <v>11.6</v>
      </c>
      <c r="N162" s="2010">
        <v>1</v>
      </c>
      <c r="O162" s="773">
        <f>+M162*N162</f>
        <v>11.6</v>
      </c>
      <c r="P162" s="2008" t="s">
        <v>39</v>
      </c>
      <c r="Q162" s="2008" t="s">
        <v>39</v>
      </c>
      <c r="R162" s="2011" t="s">
        <v>73</v>
      </c>
      <c r="S162" s="912">
        <f>SUMIF('Data Input sheet'!$B$118:$B$180,R162,'Data Input sheet'!$D$118:$D$180)</f>
        <v>119</v>
      </c>
      <c r="T162" s="2685">
        <f>+O162*S162</f>
        <v>1380.3999999999999</v>
      </c>
      <c r="U162" s="2013">
        <v>69.037356000000003</v>
      </c>
      <c r="V162" s="2679">
        <f t="shared" si="181"/>
        <v>801</v>
      </c>
      <c r="W162" s="2010">
        <v>408.85</v>
      </c>
      <c r="X162" s="2518">
        <v>354</v>
      </c>
      <c r="Y162" s="2012"/>
      <c r="Z162" s="780">
        <f>T162+V162+W162+Y162</f>
        <v>2590.2499999999995</v>
      </c>
      <c r="AA162" s="1886"/>
      <c r="AB162" s="2007"/>
      <c r="AC162" s="765"/>
      <c r="AD162" s="781">
        <f t="shared" si="208"/>
        <v>0</v>
      </c>
      <c r="AE162" s="778">
        <f t="shared" si="209"/>
        <v>0</v>
      </c>
      <c r="AF162" s="781">
        <f t="shared" si="210"/>
        <v>0</v>
      </c>
      <c r="AG162" s="781">
        <f t="shared" si="211"/>
        <v>0</v>
      </c>
      <c r="AH162" s="781">
        <f t="shared" si="212"/>
        <v>0</v>
      </c>
      <c r="AI162" s="782">
        <f t="shared" si="213"/>
        <v>0</v>
      </c>
      <c r="AJ162" s="781">
        <f t="shared" si="214"/>
        <v>0</v>
      </c>
      <c r="AK162" s="781">
        <f t="shared" si="215"/>
        <v>0</v>
      </c>
      <c r="AL162" s="781">
        <f t="shared" si="216"/>
        <v>0</v>
      </c>
      <c r="AM162" s="781">
        <f t="shared" si="217"/>
        <v>0</v>
      </c>
      <c r="AN162" s="781">
        <f t="shared" si="218"/>
        <v>0</v>
      </c>
      <c r="AO162" s="781">
        <f t="shared" si="219"/>
        <v>0</v>
      </c>
      <c r="AP162" s="781">
        <f t="shared" si="220"/>
        <v>0</v>
      </c>
      <c r="AQ162" s="781">
        <f t="shared" si="221"/>
        <v>0</v>
      </c>
      <c r="AR162" s="781">
        <f t="shared" si="222"/>
        <v>0</v>
      </c>
      <c r="AS162" s="783">
        <f t="shared" si="223"/>
        <v>0</v>
      </c>
      <c r="AT162" s="917"/>
      <c r="AU162" s="721"/>
      <c r="AV162" s="721"/>
      <c r="AW162" s="832"/>
      <c r="AX162" s="833" t="s">
        <v>3369</v>
      </c>
      <c r="BM162" s="2010">
        <v>29.16</v>
      </c>
    </row>
    <row r="163" spans="1:65" ht="26.25" hidden="1" outlineLevel="1" thickBot="1" x14ac:dyDescent="0.3">
      <c r="A163" s="787"/>
      <c r="B163" s="904">
        <f t="shared" si="185"/>
        <v>147</v>
      </c>
      <c r="C163" s="170" t="str">
        <f t="shared" si="184"/>
        <v>5CY</v>
      </c>
      <c r="D163" s="906"/>
      <c r="E163" s="721"/>
      <c r="F163" s="170">
        <v>5</v>
      </c>
      <c r="G163" s="2007" t="s">
        <v>3241</v>
      </c>
      <c r="H163" s="2630">
        <f>+J163*X163</f>
        <v>0</v>
      </c>
      <c r="I163" s="2008" t="s">
        <v>671</v>
      </c>
      <c r="J163" s="1926"/>
      <c r="K163" s="1926" t="s">
        <v>732</v>
      </c>
      <c r="L163" s="721"/>
      <c r="M163" s="2009">
        <v>13.4</v>
      </c>
      <c r="N163" s="2010">
        <v>1</v>
      </c>
      <c r="O163" s="773">
        <f>+M163*N163</f>
        <v>13.4</v>
      </c>
      <c r="P163" s="2008" t="s">
        <v>39</v>
      </c>
      <c r="Q163" s="2008" t="s">
        <v>39</v>
      </c>
      <c r="R163" s="2011" t="s">
        <v>73</v>
      </c>
      <c r="S163" s="912">
        <f>SUMIF('Data Input sheet'!$B$118:$B$180,R163,'Data Input sheet'!$D$118:$D$180)</f>
        <v>119</v>
      </c>
      <c r="T163" s="2685">
        <f>+O163*S163</f>
        <v>1594.6000000000001</v>
      </c>
      <c r="U163" s="2013">
        <v>10.760891000000001</v>
      </c>
      <c r="V163" s="2679">
        <f t="shared" si="181"/>
        <v>144</v>
      </c>
      <c r="W163" s="2010">
        <v>521.54</v>
      </c>
      <c r="X163" s="2521">
        <v>37.56</v>
      </c>
      <c r="Y163" s="2012"/>
      <c r="Z163" s="780">
        <f>T163+V163+W163+Y163</f>
        <v>2260.1400000000003</v>
      </c>
      <c r="AA163" s="2224"/>
      <c r="AB163" s="2007"/>
      <c r="AC163" s="765"/>
      <c r="AD163" s="781">
        <f t="shared" si="208"/>
        <v>0</v>
      </c>
      <c r="AE163" s="778">
        <f t="shared" si="209"/>
        <v>0</v>
      </c>
      <c r="AF163" s="781">
        <f t="shared" si="210"/>
        <v>0</v>
      </c>
      <c r="AG163" s="781">
        <f t="shared" si="211"/>
        <v>0</v>
      </c>
      <c r="AH163" s="781">
        <f t="shared" si="212"/>
        <v>0</v>
      </c>
      <c r="AI163" s="782">
        <f t="shared" si="213"/>
        <v>0</v>
      </c>
      <c r="AJ163" s="781">
        <f t="shared" si="214"/>
        <v>0</v>
      </c>
      <c r="AK163" s="781">
        <f t="shared" si="215"/>
        <v>0</v>
      </c>
      <c r="AL163" s="781">
        <f t="shared" si="216"/>
        <v>0</v>
      </c>
      <c r="AM163" s="781">
        <f t="shared" si="217"/>
        <v>0</v>
      </c>
      <c r="AN163" s="781">
        <f t="shared" si="218"/>
        <v>0</v>
      </c>
      <c r="AO163" s="781">
        <f t="shared" si="219"/>
        <v>0</v>
      </c>
      <c r="AP163" s="781">
        <f t="shared" si="220"/>
        <v>0</v>
      </c>
      <c r="AQ163" s="781">
        <f t="shared" si="221"/>
        <v>0</v>
      </c>
      <c r="AR163" s="781">
        <f t="shared" si="222"/>
        <v>0</v>
      </c>
      <c r="AS163" s="783">
        <f t="shared" si="223"/>
        <v>0</v>
      </c>
      <c r="AT163" s="917"/>
      <c r="AU163" s="721"/>
      <c r="AV163" s="721"/>
      <c r="AW163" s="832"/>
      <c r="AX163" s="833" t="s">
        <v>3370</v>
      </c>
      <c r="BM163" s="2010">
        <v>29.16</v>
      </c>
    </row>
    <row r="164" spans="1:65" ht="26.25" hidden="1" outlineLevel="1" thickBot="1" x14ac:dyDescent="0.3">
      <c r="A164" s="787"/>
      <c r="B164" s="904">
        <f t="shared" si="185"/>
        <v>148</v>
      </c>
      <c r="C164" s="170" t="str">
        <f t="shared" si="184"/>
        <v>5CY</v>
      </c>
      <c r="D164" s="906"/>
      <c r="E164" s="721"/>
      <c r="F164" s="170">
        <v>5</v>
      </c>
      <c r="G164" s="2007" t="s">
        <v>3242</v>
      </c>
      <c r="H164" s="2630">
        <f>+J164*X164</f>
        <v>0</v>
      </c>
      <c r="I164" s="2008" t="s">
        <v>671</v>
      </c>
      <c r="J164" s="1926"/>
      <c r="K164" s="1926" t="s">
        <v>732</v>
      </c>
      <c r="L164" s="721"/>
      <c r="M164" s="2009">
        <v>11.7</v>
      </c>
      <c r="N164" s="2010">
        <v>1</v>
      </c>
      <c r="O164" s="773">
        <f>+M164*N164</f>
        <v>11.7</v>
      </c>
      <c r="P164" s="2008" t="s">
        <v>39</v>
      </c>
      <c r="Q164" s="2008" t="s">
        <v>39</v>
      </c>
      <c r="R164" s="2011" t="s">
        <v>73</v>
      </c>
      <c r="S164" s="912">
        <f>SUMIF('Data Input sheet'!$B$118:$B$180,R164,'Data Input sheet'!$D$118:$D$180)</f>
        <v>119</v>
      </c>
      <c r="T164" s="2685">
        <f>+O164*S164</f>
        <v>1392.3</v>
      </c>
      <c r="U164" s="2013">
        <v>68.669471999999999</v>
      </c>
      <c r="V164" s="2679">
        <f t="shared" si="181"/>
        <v>803</v>
      </c>
      <c r="W164" s="2010">
        <v>409.09</v>
      </c>
      <c r="X164" s="2521">
        <v>67</v>
      </c>
      <c r="Y164" s="2012"/>
      <c r="Z164" s="780">
        <f>T164+V164+W164+Y164</f>
        <v>2604.3900000000003</v>
      </c>
      <c r="AA164" s="1886"/>
      <c r="AB164" s="2007"/>
      <c r="AC164" s="765"/>
      <c r="AD164" s="781">
        <f t="shared" si="208"/>
        <v>0</v>
      </c>
      <c r="AE164" s="778">
        <f t="shared" si="209"/>
        <v>0</v>
      </c>
      <c r="AF164" s="781">
        <f t="shared" si="210"/>
        <v>0</v>
      </c>
      <c r="AG164" s="781">
        <f t="shared" si="211"/>
        <v>0</v>
      </c>
      <c r="AH164" s="781">
        <f t="shared" si="212"/>
        <v>0</v>
      </c>
      <c r="AI164" s="782">
        <f t="shared" si="213"/>
        <v>0</v>
      </c>
      <c r="AJ164" s="781">
        <f t="shared" si="214"/>
        <v>0</v>
      </c>
      <c r="AK164" s="781">
        <f t="shared" si="215"/>
        <v>0</v>
      </c>
      <c r="AL164" s="781">
        <f t="shared" si="216"/>
        <v>0</v>
      </c>
      <c r="AM164" s="781">
        <f t="shared" si="217"/>
        <v>0</v>
      </c>
      <c r="AN164" s="781">
        <f t="shared" si="218"/>
        <v>0</v>
      </c>
      <c r="AO164" s="781">
        <f t="shared" si="219"/>
        <v>0</v>
      </c>
      <c r="AP164" s="781">
        <f t="shared" si="220"/>
        <v>0</v>
      </c>
      <c r="AQ164" s="781">
        <f t="shared" si="221"/>
        <v>0</v>
      </c>
      <c r="AR164" s="781">
        <f t="shared" si="222"/>
        <v>0</v>
      </c>
      <c r="AS164" s="783">
        <f t="shared" si="223"/>
        <v>0</v>
      </c>
      <c r="AT164" s="917"/>
      <c r="AU164" s="721"/>
      <c r="AV164" s="721"/>
      <c r="AW164" s="832"/>
      <c r="AX164" s="833" t="s">
        <v>3371</v>
      </c>
      <c r="BM164" s="2010">
        <v>29.16</v>
      </c>
    </row>
    <row r="165" spans="1:65" ht="26.25" hidden="1" outlineLevel="1" thickBot="1" x14ac:dyDescent="0.3">
      <c r="A165" s="787"/>
      <c r="B165" s="904">
        <f t="shared" si="185"/>
        <v>149</v>
      </c>
      <c r="C165" s="170" t="str">
        <f t="shared" si="184"/>
        <v>5CY</v>
      </c>
      <c r="D165" s="906"/>
      <c r="E165" s="721"/>
      <c r="F165" s="170">
        <v>5</v>
      </c>
      <c r="G165" s="2007" t="s">
        <v>3243</v>
      </c>
      <c r="H165" s="2630">
        <f>+J165*X165</f>
        <v>0</v>
      </c>
      <c r="I165" s="2008" t="s">
        <v>671</v>
      </c>
      <c r="J165" s="1926"/>
      <c r="K165" s="1926" t="s">
        <v>732</v>
      </c>
      <c r="L165" s="721"/>
      <c r="M165" s="2009">
        <v>16.7</v>
      </c>
      <c r="N165" s="2010">
        <v>1</v>
      </c>
      <c r="O165" s="773">
        <f>+M165*N165</f>
        <v>16.7</v>
      </c>
      <c r="P165" s="2008" t="s">
        <v>39</v>
      </c>
      <c r="Q165" s="2008" t="s">
        <v>39</v>
      </c>
      <c r="R165" s="2011" t="s">
        <v>73</v>
      </c>
      <c r="S165" s="912">
        <f>SUMIF('Data Input sheet'!$B$118:$B$180,R165,'Data Input sheet'!$D$118:$D$180)</f>
        <v>119</v>
      </c>
      <c r="T165" s="2685">
        <f>+O165*S165</f>
        <v>1987.3</v>
      </c>
      <c r="U165" s="2013">
        <v>8.2166490999999997</v>
      </c>
      <c r="V165" s="2679">
        <f t="shared" si="181"/>
        <v>137</v>
      </c>
      <c r="W165" s="2010">
        <v>563.74</v>
      </c>
      <c r="X165" s="2521">
        <v>29.26</v>
      </c>
      <c r="Y165" s="2012"/>
      <c r="Z165" s="780">
        <f>T165+V165+W165+Y165</f>
        <v>2688.04</v>
      </c>
      <c r="AA165" s="1886"/>
      <c r="AB165" s="2007"/>
      <c r="AC165" s="765"/>
      <c r="AD165" s="781">
        <f t="shared" si="208"/>
        <v>0</v>
      </c>
      <c r="AE165" s="778">
        <f t="shared" si="209"/>
        <v>0</v>
      </c>
      <c r="AF165" s="781">
        <f t="shared" si="210"/>
        <v>0</v>
      </c>
      <c r="AG165" s="781">
        <f t="shared" si="211"/>
        <v>0</v>
      </c>
      <c r="AH165" s="781">
        <f t="shared" si="212"/>
        <v>0</v>
      </c>
      <c r="AI165" s="782">
        <f t="shared" si="213"/>
        <v>0</v>
      </c>
      <c r="AJ165" s="781">
        <f t="shared" si="214"/>
        <v>0</v>
      </c>
      <c r="AK165" s="781">
        <f t="shared" si="215"/>
        <v>0</v>
      </c>
      <c r="AL165" s="781">
        <f t="shared" si="216"/>
        <v>0</v>
      </c>
      <c r="AM165" s="781">
        <f t="shared" si="217"/>
        <v>0</v>
      </c>
      <c r="AN165" s="781">
        <f t="shared" si="218"/>
        <v>0</v>
      </c>
      <c r="AO165" s="781">
        <f t="shared" si="219"/>
        <v>0</v>
      </c>
      <c r="AP165" s="781">
        <f t="shared" si="220"/>
        <v>0</v>
      </c>
      <c r="AQ165" s="781">
        <f t="shared" si="221"/>
        <v>0</v>
      </c>
      <c r="AR165" s="781">
        <f t="shared" si="222"/>
        <v>0</v>
      </c>
      <c r="AS165" s="783">
        <f t="shared" si="223"/>
        <v>0</v>
      </c>
      <c r="AT165" s="917"/>
      <c r="AU165" s="721"/>
      <c r="AV165" s="721"/>
      <c r="AW165" s="832"/>
      <c r="AX165" s="2676" t="s">
        <v>3414</v>
      </c>
      <c r="BM165" s="2010">
        <v>29.16</v>
      </c>
    </row>
    <row r="166" spans="1:65" ht="26.25" hidden="1" outlineLevel="1" thickBot="1" x14ac:dyDescent="0.3">
      <c r="A166" s="784"/>
      <c r="B166" s="904">
        <f t="shared" si="185"/>
        <v>150</v>
      </c>
      <c r="C166" s="170" t="str">
        <f t="shared" si="184"/>
        <v>5</v>
      </c>
      <c r="D166" s="557"/>
      <c r="E166" s="170"/>
      <c r="F166" s="170">
        <v>5</v>
      </c>
      <c r="G166" s="2007"/>
      <c r="H166" s="2629"/>
      <c r="I166" s="2008"/>
      <c r="J166" s="1926"/>
      <c r="K166" s="1926"/>
      <c r="L166" s="721"/>
      <c r="M166" s="2009">
        <v>0</v>
      </c>
      <c r="N166" s="2010">
        <v>1</v>
      </c>
      <c r="O166" s="773">
        <f t="shared" ref="O166" si="224">+M166*N166</f>
        <v>0</v>
      </c>
      <c r="P166" s="2008" t="s">
        <v>39</v>
      </c>
      <c r="Q166" s="2008" t="s">
        <v>39</v>
      </c>
      <c r="R166" s="2011" t="s">
        <v>73</v>
      </c>
      <c r="S166" s="912">
        <f>SUMIF('Data Input sheet'!$B$118:$B$180,R166,'Data Input sheet'!$D$118:$D$180)</f>
        <v>119</v>
      </c>
      <c r="T166" s="2685">
        <f t="shared" ref="T166" si="225">+O166*S166</f>
        <v>0</v>
      </c>
      <c r="U166" s="2013">
        <v>0</v>
      </c>
      <c r="V166" s="2679">
        <f t="shared" ref="V166" si="226">ROUND(U166*O166,0)</f>
        <v>0</v>
      </c>
      <c r="W166" s="2010"/>
      <c r="X166" s="779"/>
      <c r="Y166" s="2012"/>
      <c r="Z166" s="780">
        <f t="shared" ref="Z166" si="227">T166+V166+W166+Y166</f>
        <v>0</v>
      </c>
      <c r="AA166" s="2007"/>
      <c r="AB166" s="2007"/>
      <c r="AC166" s="765"/>
      <c r="AD166" s="781">
        <f t="shared" si="208"/>
        <v>0</v>
      </c>
      <c r="AE166" s="778">
        <f t="shared" si="209"/>
        <v>0</v>
      </c>
      <c r="AF166" s="781">
        <f t="shared" si="210"/>
        <v>0</v>
      </c>
      <c r="AG166" s="781">
        <f t="shared" si="211"/>
        <v>0</v>
      </c>
      <c r="AH166" s="781">
        <f t="shared" si="212"/>
        <v>0</v>
      </c>
      <c r="AI166" s="782">
        <f t="shared" si="213"/>
        <v>0</v>
      </c>
      <c r="AJ166" s="781">
        <f t="shared" si="214"/>
        <v>0</v>
      </c>
      <c r="AK166" s="781">
        <f t="shared" si="215"/>
        <v>0</v>
      </c>
      <c r="AL166" s="781">
        <f t="shared" si="216"/>
        <v>0</v>
      </c>
      <c r="AM166" s="781">
        <f t="shared" si="217"/>
        <v>0</v>
      </c>
      <c r="AN166" s="781">
        <f t="shared" si="218"/>
        <v>0</v>
      </c>
      <c r="AO166" s="781">
        <f t="shared" si="219"/>
        <v>0</v>
      </c>
      <c r="AP166" s="781">
        <f t="shared" si="220"/>
        <v>0</v>
      </c>
      <c r="AQ166" s="781">
        <f t="shared" si="221"/>
        <v>0</v>
      </c>
      <c r="AR166" s="781">
        <f t="shared" si="222"/>
        <v>0</v>
      </c>
      <c r="AS166" s="783">
        <f t="shared" si="223"/>
        <v>0</v>
      </c>
      <c r="AT166" s="917"/>
      <c r="AW166" s="832"/>
      <c r="AX166" s="833" t="s">
        <v>3049</v>
      </c>
      <c r="BM166" s="2010"/>
    </row>
    <row r="167" spans="1:65" ht="26.25" hidden="1" outlineLevel="1" thickBot="1" x14ac:dyDescent="0.3">
      <c r="A167" s="784"/>
      <c r="B167" s="904">
        <f t="shared" si="185"/>
        <v>151</v>
      </c>
      <c r="C167" s="170" t="str">
        <f t="shared" si="184"/>
        <v>5</v>
      </c>
      <c r="D167" s="557"/>
      <c r="E167" s="170"/>
      <c r="F167" s="170">
        <v>5</v>
      </c>
      <c r="G167" s="2007"/>
      <c r="H167" s="2629"/>
      <c r="I167" s="2008"/>
      <c r="J167" s="1926"/>
      <c r="K167" s="1926"/>
      <c r="L167" s="721"/>
      <c r="M167" s="2009">
        <v>0</v>
      </c>
      <c r="N167" s="2010">
        <v>1</v>
      </c>
      <c r="O167" s="773">
        <f t="shared" ref="O167:O168" si="228">+M167*N167</f>
        <v>0</v>
      </c>
      <c r="P167" s="2008" t="s">
        <v>39</v>
      </c>
      <c r="Q167" s="2008" t="s">
        <v>39</v>
      </c>
      <c r="R167" s="2011" t="s">
        <v>73</v>
      </c>
      <c r="S167" s="912">
        <f>SUMIF('Data Input sheet'!$B$118:$B$180,R167,'Data Input sheet'!$D$118:$D$180)</f>
        <v>119</v>
      </c>
      <c r="T167" s="2685">
        <f t="shared" ref="T167:T168" si="229">+O167*S167</f>
        <v>0</v>
      </c>
      <c r="U167" s="2013">
        <v>0</v>
      </c>
      <c r="V167" s="778">
        <f t="shared" ref="V167:V168" si="230">ROUND(U167*O167,0)</f>
        <v>0</v>
      </c>
      <c r="W167" s="2010"/>
      <c r="X167" s="779"/>
      <c r="Y167" s="2012"/>
      <c r="Z167" s="780">
        <f t="shared" ref="Z167:Z168" si="231">T167+V167+W167+Y167</f>
        <v>0</v>
      </c>
      <c r="AA167" s="2007"/>
      <c r="AB167" s="2007"/>
      <c r="AC167" s="765"/>
      <c r="AD167" s="781">
        <f t="shared" si="208"/>
        <v>0</v>
      </c>
      <c r="AE167" s="778">
        <f t="shared" si="209"/>
        <v>0</v>
      </c>
      <c r="AF167" s="781">
        <f t="shared" si="210"/>
        <v>0</v>
      </c>
      <c r="AG167" s="781">
        <f t="shared" si="211"/>
        <v>0</v>
      </c>
      <c r="AH167" s="781">
        <f t="shared" si="212"/>
        <v>0</v>
      </c>
      <c r="AI167" s="782">
        <f t="shared" si="213"/>
        <v>0</v>
      </c>
      <c r="AJ167" s="781">
        <f t="shared" si="214"/>
        <v>0</v>
      </c>
      <c r="AK167" s="781">
        <f t="shared" si="215"/>
        <v>0</v>
      </c>
      <c r="AL167" s="781">
        <f t="shared" si="216"/>
        <v>0</v>
      </c>
      <c r="AM167" s="781">
        <f t="shared" si="217"/>
        <v>0</v>
      </c>
      <c r="AN167" s="781">
        <f t="shared" si="218"/>
        <v>0</v>
      </c>
      <c r="AO167" s="781">
        <f t="shared" si="219"/>
        <v>0</v>
      </c>
      <c r="AP167" s="781">
        <f t="shared" si="220"/>
        <v>0</v>
      </c>
      <c r="AQ167" s="781">
        <f t="shared" si="221"/>
        <v>0</v>
      </c>
      <c r="AR167" s="781">
        <f t="shared" si="222"/>
        <v>0</v>
      </c>
      <c r="AS167" s="783">
        <f t="shared" si="223"/>
        <v>0</v>
      </c>
      <c r="AT167" s="917"/>
      <c r="AW167" s="832"/>
      <c r="AX167" s="833" t="s">
        <v>3049</v>
      </c>
      <c r="BM167" s="2010"/>
    </row>
    <row r="168" spans="1:65" ht="26.25" hidden="1" outlineLevel="1" thickBot="1" x14ac:dyDescent="0.3">
      <c r="A168" s="784"/>
      <c r="B168" s="904">
        <f t="shared" si="185"/>
        <v>152</v>
      </c>
      <c r="C168" s="170" t="str">
        <f t="shared" si="184"/>
        <v>5</v>
      </c>
      <c r="D168" s="557"/>
      <c r="E168" s="170"/>
      <c r="F168" s="170">
        <v>5</v>
      </c>
      <c r="G168" s="2007"/>
      <c r="H168" s="2629"/>
      <c r="I168" s="2008"/>
      <c r="J168" s="1926"/>
      <c r="K168" s="1926"/>
      <c r="L168" s="721"/>
      <c r="M168" s="2009">
        <v>0</v>
      </c>
      <c r="N168" s="2010">
        <v>1</v>
      </c>
      <c r="O168" s="773">
        <f t="shared" si="228"/>
        <v>0</v>
      </c>
      <c r="P168" s="2008" t="s">
        <v>39</v>
      </c>
      <c r="Q168" s="2008" t="s">
        <v>39</v>
      </c>
      <c r="R168" s="2011" t="s">
        <v>73</v>
      </c>
      <c r="S168" s="912">
        <f>SUMIF('Data Input sheet'!$B$118:$B$180,R168,'Data Input sheet'!$D$118:$D$180)</f>
        <v>119</v>
      </c>
      <c r="T168" s="2685">
        <f t="shared" si="229"/>
        <v>0</v>
      </c>
      <c r="U168" s="2013">
        <v>0</v>
      </c>
      <c r="V168" s="778">
        <f t="shared" si="230"/>
        <v>0</v>
      </c>
      <c r="W168" s="2010"/>
      <c r="X168" s="779"/>
      <c r="Y168" s="2012"/>
      <c r="Z168" s="780">
        <f t="shared" si="231"/>
        <v>0</v>
      </c>
      <c r="AA168" s="2007"/>
      <c r="AB168" s="2007"/>
      <c r="AC168" s="765"/>
      <c r="AD168" s="781">
        <f t="shared" si="208"/>
        <v>0</v>
      </c>
      <c r="AE168" s="778">
        <f t="shared" si="209"/>
        <v>0</v>
      </c>
      <c r="AF168" s="781">
        <f t="shared" si="210"/>
        <v>0</v>
      </c>
      <c r="AG168" s="781">
        <f t="shared" si="211"/>
        <v>0</v>
      </c>
      <c r="AH168" s="781">
        <f t="shared" si="212"/>
        <v>0</v>
      </c>
      <c r="AI168" s="782">
        <f t="shared" si="213"/>
        <v>0</v>
      </c>
      <c r="AJ168" s="781">
        <f t="shared" si="214"/>
        <v>0</v>
      </c>
      <c r="AK168" s="781">
        <f t="shared" si="215"/>
        <v>0</v>
      </c>
      <c r="AL168" s="781">
        <f t="shared" si="216"/>
        <v>0</v>
      </c>
      <c r="AM168" s="781">
        <f t="shared" si="217"/>
        <v>0</v>
      </c>
      <c r="AN168" s="781">
        <f t="shared" si="218"/>
        <v>0</v>
      </c>
      <c r="AO168" s="781">
        <f t="shared" si="219"/>
        <v>0</v>
      </c>
      <c r="AP168" s="781">
        <f t="shared" si="220"/>
        <v>0</v>
      </c>
      <c r="AQ168" s="781">
        <f t="shared" si="221"/>
        <v>0</v>
      </c>
      <c r="AR168" s="781">
        <f t="shared" si="222"/>
        <v>0</v>
      </c>
      <c r="AS168" s="783">
        <f t="shared" si="223"/>
        <v>0</v>
      </c>
      <c r="AT168" s="917"/>
      <c r="AW168" s="832"/>
      <c r="AX168" s="833" t="s">
        <v>3049</v>
      </c>
      <c r="BM168" s="2010"/>
    </row>
    <row r="169" spans="1:65" ht="45.75" collapsed="1" thickBot="1" x14ac:dyDescent="0.3">
      <c r="A169" s="784"/>
      <c r="B169" s="904">
        <f t="shared" si="185"/>
        <v>153</v>
      </c>
      <c r="C169" s="170" t="str">
        <f t="shared" si="184"/>
        <v/>
      </c>
      <c r="D169" s="557"/>
      <c r="E169" s="170"/>
      <c r="F169" s="721"/>
      <c r="G169" s="2626" t="s">
        <v>836</v>
      </c>
      <c r="H169" s="2629">
        <v>1</v>
      </c>
      <c r="I169" s="2008"/>
      <c r="J169" s="785" t="s">
        <v>2861</v>
      </c>
      <c r="K169" s="785"/>
      <c r="L169" s="721"/>
      <c r="M169" s="909">
        <v>0</v>
      </c>
      <c r="N169" s="910"/>
      <c r="O169" s="911">
        <f t="shared" ref="O169:O282" si="232">+M169*N169</f>
        <v>0</v>
      </c>
      <c r="P169" s="908"/>
      <c r="Q169" s="908"/>
      <c r="R169" s="2011"/>
      <c r="S169" s="912">
        <f>SUMIF('Data Input sheet'!$B$118:$B$180,R169,'Data Input sheet'!$D$118:$D$180)</f>
        <v>0</v>
      </c>
      <c r="T169" s="2684">
        <f t="shared" ref="T169:T282" si="233">+O169*S169</f>
        <v>0</v>
      </c>
      <c r="U169" s="2506">
        <v>0</v>
      </c>
      <c r="V169" s="914">
        <f t="shared" si="181"/>
        <v>0</v>
      </c>
      <c r="W169" s="910"/>
      <c r="X169" s="915"/>
      <c r="Y169" s="913">
        <v>0</v>
      </c>
      <c r="Z169" s="916">
        <f t="shared" ref="Z169:Z282" si="234">T169+V169+W169+Y169</f>
        <v>0</v>
      </c>
      <c r="AA169" s="769" t="s">
        <v>2857</v>
      </c>
      <c r="AB169" s="769" t="s">
        <v>2857</v>
      </c>
      <c r="AC169" s="765"/>
      <c r="AD169" s="781">
        <f t="shared" si="208"/>
        <v>0</v>
      </c>
      <c r="AE169" s="778">
        <f t="shared" si="209"/>
        <v>0</v>
      </c>
      <c r="AF169" s="781">
        <f t="shared" si="210"/>
        <v>0</v>
      </c>
      <c r="AG169" s="781">
        <f t="shared" si="211"/>
        <v>0</v>
      </c>
      <c r="AH169" s="781">
        <f t="shared" si="212"/>
        <v>0</v>
      </c>
      <c r="AI169" s="782">
        <f t="shared" si="213"/>
        <v>0</v>
      </c>
      <c r="AJ169" s="781">
        <f t="shared" si="214"/>
        <v>0</v>
      </c>
      <c r="AK169" s="781">
        <f t="shared" si="215"/>
        <v>0</v>
      </c>
      <c r="AL169" s="781">
        <f t="shared" si="216"/>
        <v>0</v>
      </c>
      <c r="AM169" s="781">
        <f t="shared" si="217"/>
        <v>0</v>
      </c>
      <c r="AN169" s="781">
        <f t="shared" si="218"/>
        <v>0</v>
      </c>
      <c r="AO169" s="781">
        <f t="shared" si="219"/>
        <v>0</v>
      </c>
      <c r="AP169" s="781">
        <f t="shared" si="220"/>
        <v>0</v>
      </c>
      <c r="AQ169" s="781">
        <f t="shared" si="221"/>
        <v>0</v>
      </c>
      <c r="AR169" s="781">
        <f t="shared" si="222"/>
        <v>0</v>
      </c>
      <c r="AS169" s="783">
        <f t="shared" si="223"/>
        <v>0</v>
      </c>
      <c r="AT169" s="917"/>
      <c r="AW169" s="832"/>
      <c r="AX169" s="833" t="s">
        <v>2857</v>
      </c>
      <c r="BM169" s="910"/>
    </row>
    <row r="170" spans="1:65" ht="15" hidden="1" outlineLevel="1" x14ac:dyDescent="0.25">
      <c r="A170" s="784"/>
      <c r="B170" s="904">
        <f t="shared" si="185"/>
        <v>154</v>
      </c>
      <c r="C170" s="170" t="str">
        <f t="shared" si="184"/>
        <v>45TN</v>
      </c>
      <c r="D170" s="557"/>
      <c r="E170" s="170"/>
      <c r="F170" s="170">
        <v>45</v>
      </c>
      <c r="G170" s="2007" t="s">
        <v>2464</v>
      </c>
      <c r="H170" s="2632">
        <f>+(X170/2000)*J170</f>
        <v>0</v>
      </c>
      <c r="I170" s="2008" t="s">
        <v>1323</v>
      </c>
      <c r="J170" s="1926">
        <v>0</v>
      </c>
      <c r="K170" s="1926" t="s">
        <v>732</v>
      </c>
      <c r="L170" s="170"/>
      <c r="M170" s="2009">
        <v>20</v>
      </c>
      <c r="N170" s="2010">
        <v>1</v>
      </c>
      <c r="O170" s="773">
        <f t="shared" si="232"/>
        <v>20</v>
      </c>
      <c r="P170" s="2008" t="s">
        <v>39</v>
      </c>
      <c r="Q170" s="2008" t="s">
        <v>604</v>
      </c>
      <c r="R170" s="2011" t="s">
        <v>74</v>
      </c>
      <c r="S170" s="912">
        <f>SUMIF('Data Input sheet'!$B$118:$B$180,R170,'Data Input sheet'!$D$118:$D$180)</f>
        <v>152</v>
      </c>
      <c r="T170" s="2685">
        <f t="shared" si="233"/>
        <v>3040</v>
      </c>
      <c r="U170" s="2013">
        <v>28</v>
      </c>
      <c r="V170" s="778">
        <f t="shared" si="181"/>
        <v>560</v>
      </c>
      <c r="W170" s="2010">
        <f>ROUND(2000*$Y$3,-1)</f>
        <v>5080</v>
      </c>
      <c r="X170" s="779">
        <v>38888.888888888891</v>
      </c>
      <c r="Y170" s="2012">
        <v>0</v>
      </c>
      <c r="Z170" s="780">
        <f t="shared" si="234"/>
        <v>8680</v>
      </c>
      <c r="AA170" s="2007"/>
      <c r="AB170" s="2007"/>
      <c r="AC170" s="765"/>
      <c r="AD170" s="781">
        <f t="shared" si="208"/>
        <v>0</v>
      </c>
      <c r="AE170" s="778">
        <f t="shared" si="209"/>
        <v>0</v>
      </c>
      <c r="AF170" s="781">
        <f t="shared" si="210"/>
        <v>0</v>
      </c>
      <c r="AG170" s="781">
        <f t="shared" si="211"/>
        <v>0</v>
      </c>
      <c r="AH170" s="781">
        <f t="shared" si="212"/>
        <v>0</v>
      </c>
      <c r="AI170" s="782">
        <f t="shared" si="213"/>
        <v>0</v>
      </c>
      <c r="AJ170" s="781">
        <f t="shared" si="214"/>
        <v>0</v>
      </c>
      <c r="AK170" s="781">
        <f t="shared" si="215"/>
        <v>0</v>
      </c>
      <c r="AL170" s="781">
        <f t="shared" si="216"/>
        <v>0</v>
      </c>
      <c r="AM170" s="781">
        <f t="shared" si="217"/>
        <v>0</v>
      </c>
      <c r="AN170" s="781">
        <f t="shared" si="218"/>
        <v>0</v>
      </c>
      <c r="AO170" s="781">
        <f t="shared" si="219"/>
        <v>0</v>
      </c>
      <c r="AP170" s="781">
        <f t="shared" si="220"/>
        <v>0</v>
      </c>
      <c r="AQ170" s="781">
        <f t="shared" si="221"/>
        <v>0</v>
      </c>
      <c r="AR170" s="781">
        <f t="shared" si="222"/>
        <v>0</v>
      </c>
      <c r="AS170" s="783">
        <f t="shared" si="223"/>
        <v>0</v>
      </c>
      <c r="AT170" s="917"/>
      <c r="AW170" s="832"/>
      <c r="AX170" s="833" t="s">
        <v>3030</v>
      </c>
      <c r="BM170" s="2010">
        <f t="shared" ref="BM170:BM196" si="235">+BN170*$Y$3</f>
        <v>0</v>
      </c>
    </row>
    <row r="171" spans="1:65" ht="15" hidden="1" outlineLevel="1" x14ac:dyDescent="0.25">
      <c r="A171" s="784"/>
      <c r="B171" s="904">
        <f t="shared" si="185"/>
        <v>155</v>
      </c>
      <c r="C171" s="170" t="str">
        <f t="shared" si="184"/>
        <v>45TN</v>
      </c>
      <c r="D171" s="557"/>
      <c r="E171" s="170"/>
      <c r="F171" s="170">
        <v>45</v>
      </c>
      <c r="G171" s="2007" t="s">
        <v>2465</v>
      </c>
      <c r="H171" s="2632">
        <f t="shared" ref="H171:H196" si="236">+(X171/2000)*J171</f>
        <v>0</v>
      </c>
      <c r="I171" s="2008" t="s">
        <v>1323</v>
      </c>
      <c r="J171" s="1926">
        <v>0</v>
      </c>
      <c r="K171" s="1926" t="s">
        <v>732</v>
      </c>
      <c r="L171" s="170"/>
      <c r="M171" s="2009">
        <v>30</v>
      </c>
      <c r="N171" s="2010">
        <v>1</v>
      </c>
      <c r="O171" s="773">
        <f t="shared" si="232"/>
        <v>30</v>
      </c>
      <c r="P171" s="2008" t="s">
        <v>39</v>
      </c>
      <c r="Q171" s="2008" t="s">
        <v>604</v>
      </c>
      <c r="R171" s="2011" t="s">
        <v>74</v>
      </c>
      <c r="S171" s="912">
        <f>SUMIF('Data Input sheet'!$B$118:$B$180,R171,'Data Input sheet'!$D$118:$D$180)</f>
        <v>152</v>
      </c>
      <c r="T171" s="2685">
        <f t="shared" si="233"/>
        <v>4560</v>
      </c>
      <c r="U171" s="2013">
        <v>28</v>
      </c>
      <c r="V171" s="778">
        <f t="shared" si="181"/>
        <v>840</v>
      </c>
      <c r="W171" s="2010">
        <f>ROUND(2000*$Y$3,-1)</f>
        <v>5080</v>
      </c>
      <c r="X171" s="2534">
        <v>2444.4444444444443</v>
      </c>
      <c r="Y171" s="2012">
        <v>0</v>
      </c>
      <c r="Z171" s="780">
        <f t="shared" si="234"/>
        <v>10480</v>
      </c>
      <c r="AA171" s="2007"/>
      <c r="AB171" s="2007"/>
      <c r="AC171" s="765"/>
      <c r="AD171" s="781">
        <f t="shared" si="208"/>
        <v>0</v>
      </c>
      <c r="AE171" s="778">
        <f t="shared" si="209"/>
        <v>0</v>
      </c>
      <c r="AF171" s="781">
        <f t="shared" si="210"/>
        <v>0</v>
      </c>
      <c r="AG171" s="781">
        <f t="shared" si="211"/>
        <v>0</v>
      </c>
      <c r="AH171" s="781">
        <f t="shared" si="212"/>
        <v>0</v>
      </c>
      <c r="AI171" s="782">
        <f t="shared" si="213"/>
        <v>0</v>
      </c>
      <c r="AJ171" s="781">
        <f t="shared" si="214"/>
        <v>0</v>
      </c>
      <c r="AK171" s="781">
        <f t="shared" si="215"/>
        <v>0</v>
      </c>
      <c r="AL171" s="781">
        <f t="shared" si="216"/>
        <v>0</v>
      </c>
      <c r="AM171" s="781">
        <f t="shared" si="217"/>
        <v>0</v>
      </c>
      <c r="AN171" s="781">
        <f t="shared" si="218"/>
        <v>0</v>
      </c>
      <c r="AO171" s="781">
        <f t="shared" si="219"/>
        <v>0</v>
      </c>
      <c r="AP171" s="781">
        <f t="shared" si="220"/>
        <v>0</v>
      </c>
      <c r="AQ171" s="781">
        <f t="shared" si="221"/>
        <v>0</v>
      </c>
      <c r="AR171" s="781">
        <f t="shared" si="222"/>
        <v>0</v>
      </c>
      <c r="AS171" s="783">
        <f t="shared" si="223"/>
        <v>0</v>
      </c>
      <c r="AT171" s="917"/>
      <c r="AW171" s="832"/>
      <c r="AX171" s="833" t="s">
        <v>3030</v>
      </c>
      <c r="BM171" s="2010">
        <f t="shared" si="235"/>
        <v>0</v>
      </c>
    </row>
    <row r="172" spans="1:65" ht="27.75" hidden="1" customHeight="1" outlineLevel="1" x14ac:dyDescent="0.25">
      <c r="A172" s="784"/>
      <c r="B172" s="904">
        <f t="shared" si="185"/>
        <v>156</v>
      </c>
      <c r="C172" s="170" t="str">
        <f t="shared" si="184"/>
        <v>45TN</v>
      </c>
      <c r="D172" s="557"/>
      <c r="E172" s="170"/>
      <c r="F172" s="170">
        <v>45</v>
      </c>
      <c r="G172" s="2007" t="s">
        <v>3244</v>
      </c>
      <c r="H172" s="2632">
        <f t="shared" si="236"/>
        <v>0</v>
      </c>
      <c r="I172" s="2008" t="s">
        <v>1323</v>
      </c>
      <c r="J172" s="1926"/>
      <c r="K172" s="1926" t="s">
        <v>732</v>
      </c>
      <c r="L172" s="170"/>
      <c r="M172" s="2009">
        <v>3.2558139534883721</v>
      </c>
      <c r="N172" s="2010">
        <v>1</v>
      </c>
      <c r="O172" s="773">
        <f t="shared" si="232"/>
        <v>3.2558139534883721</v>
      </c>
      <c r="P172" s="2008" t="s">
        <v>39</v>
      </c>
      <c r="Q172" s="2008" t="s">
        <v>604</v>
      </c>
      <c r="R172" s="2011" t="s">
        <v>74</v>
      </c>
      <c r="S172" s="912">
        <f>SUMIF('Data Input sheet'!$B$118:$B$180,R172,'Data Input sheet'!$D$118:$D$180)</f>
        <v>152</v>
      </c>
      <c r="T172" s="2685">
        <f t="shared" si="233"/>
        <v>494.88372093023258</v>
      </c>
      <c r="U172" s="2013">
        <v>60.572828000000001</v>
      </c>
      <c r="V172" s="2777">
        <f t="shared" si="181"/>
        <v>197</v>
      </c>
      <c r="W172" s="2010">
        <v>6504.0589147286819</v>
      </c>
      <c r="X172" s="2534">
        <v>6450</v>
      </c>
      <c r="Y172" s="2012">
        <v>0</v>
      </c>
      <c r="Z172" s="780">
        <f t="shared" si="234"/>
        <v>7195.9426356589147</v>
      </c>
      <c r="AA172" s="1886"/>
      <c r="AB172" s="2007"/>
      <c r="AC172" s="765"/>
      <c r="AD172" s="781">
        <f t="shared" si="208"/>
        <v>0</v>
      </c>
      <c r="AE172" s="778">
        <f t="shared" si="209"/>
        <v>0</v>
      </c>
      <c r="AF172" s="781">
        <f t="shared" si="210"/>
        <v>0</v>
      </c>
      <c r="AG172" s="781">
        <f t="shared" si="211"/>
        <v>0</v>
      </c>
      <c r="AH172" s="781">
        <f t="shared" si="212"/>
        <v>0</v>
      </c>
      <c r="AI172" s="782">
        <f t="shared" si="213"/>
        <v>0</v>
      </c>
      <c r="AJ172" s="781">
        <f t="shared" si="214"/>
        <v>0</v>
      </c>
      <c r="AK172" s="781">
        <f t="shared" si="215"/>
        <v>0</v>
      </c>
      <c r="AL172" s="781">
        <f t="shared" si="216"/>
        <v>0</v>
      </c>
      <c r="AM172" s="781">
        <f t="shared" si="217"/>
        <v>0</v>
      </c>
      <c r="AN172" s="781">
        <f t="shared" si="218"/>
        <v>0</v>
      </c>
      <c r="AO172" s="781">
        <f t="shared" si="219"/>
        <v>0</v>
      </c>
      <c r="AP172" s="781">
        <f t="shared" si="220"/>
        <v>0</v>
      </c>
      <c r="AQ172" s="781">
        <f t="shared" si="221"/>
        <v>0</v>
      </c>
      <c r="AR172" s="781">
        <f t="shared" si="222"/>
        <v>0</v>
      </c>
      <c r="AS172" s="783">
        <f t="shared" si="223"/>
        <v>0</v>
      </c>
      <c r="AT172" s="917"/>
      <c r="AW172" s="832"/>
      <c r="AX172" s="2490" t="s">
        <v>3372</v>
      </c>
      <c r="BM172" s="2010">
        <f t="shared" si="235"/>
        <v>0</v>
      </c>
    </row>
    <row r="173" spans="1:65" s="2533" customFormat="1" ht="25.5" hidden="1" outlineLevel="1" x14ac:dyDescent="0.25">
      <c r="A173" s="2522"/>
      <c r="B173" s="904">
        <f t="shared" si="185"/>
        <v>157</v>
      </c>
      <c r="C173" s="170" t="str">
        <f t="shared" si="184"/>
        <v>45TN</v>
      </c>
      <c r="D173" s="2524"/>
      <c r="E173" s="2523"/>
      <c r="F173" s="2523">
        <v>45</v>
      </c>
      <c r="G173" s="2007" t="s">
        <v>3245</v>
      </c>
      <c r="H173" s="2633">
        <f t="shared" si="236"/>
        <v>0</v>
      </c>
      <c r="I173" s="2008" t="s">
        <v>1323</v>
      </c>
      <c r="J173" s="1926"/>
      <c r="K173" s="2525" t="s">
        <v>732</v>
      </c>
      <c r="L173" s="2523"/>
      <c r="M173" s="2526">
        <v>1.9336126329358685</v>
      </c>
      <c r="N173" s="2527">
        <v>1</v>
      </c>
      <c r="O173" s="2528">
        <f t="shared" si="232"/>
        <v>1.9336126329358685</v>
      </c>
      <c r="P173" s="2008" t="s">
        <v>39</v>
      </c>
      <c r="Q173" s="2008" t="s">
        <v>604</v>
      </c>
      <c r="R173" s="2011" t="s">
        <v>74</v>
      </c>
      <c r="S173" s="912">
        <f>SUMIF('Data Input sheet'!$B$118:$B$180,R173,'Data Input sheet'!$D$118:$D$180)</f>
        <v>152</v>
      </c>
      <c r="T173" s="2687">
        <f t="shared" si="233"/>
        <v>293.909120206252</v>
      </c>
      <c r="U173" s="2776">
        <v>56.721577000000003</v>
      </c>
      <c r="V173" s="2777">
        <f t="shared" si="181"/>
        <v>110</v>
      </c>
      <c r="W173" s="2527">
        <v>6499.4779245891068</v>
      </c>
      <c r="X173" s="2535">
        <v>3103</v>
      </c>
      <c r="Y173" s="2529">
        <v>0</v>
      </c>
      <c r="Z173" s="780">
        <f t="shared" si="234"/>
        <v>6903.3870447953586</v>
      </c>
      <c r="AA173" s="2531"/>
      <c r="AB173" s="2007"/>
      <c r="AC173" s="2532"/>
      <c r="AD173" s="781">
        <f t="shared" si="208"/>
        <v>0</v>
      </c>
      <c r="AE173" s="778">
        <f t="shared" si="209"/>
        <v>0</v>
      </c>
      <c r="AF173" s="781">
        <f t="shared" si="210"/>
        <v>0</v>
      </c>
      <c r="AG173" s="781">
        <f t="shared" si="211"/>
        <v>0</v>
      </c>
      <c r="AH173" s="781">
        <f t="shared" si="212"/>
        <v>0</v>
      </c>
      <c r="AI173" s="782">
        <f t="shared" si="213"/>
        <v>0</v>
      </c>
      <c r="AJ173" s="781">
        <f t="shared" si="214"/>
        <v>0</v>
      </c>
      <c r="AK173" s="781">
        <f t="shared" si="215"/>
        <v>0</v>
      </c>
      <c r="AL173" s="781">
        <f t="shared" si="216"/>
        <v>0</v>
      </c>
      <c r="AM173" s="781">
        <f t="shared" si="217"/>
        <v>0</v>
      </c>
      <c r="AN173" s="781">
        <f t="shared" si="218"/>
        <v>0</v>
      </c>
      <c r="AO173" s="781">
        <f t="shared" si="219"/>
        <v>0</v>
      </c>
      <c r="AP173" s="781">
        <f t="shared" si="220"/>
        <v>0</v>
      </c>
      <c r="AQ173" s="781">
        <f t="shared" si="221"/>
        <v>0</v>
      </c>
      <c r="AR173" s="781">
        <f t="shared" si="222"/>
        <v>0</v>
      </c>
      <c r="AS173" s="783">
        <f t="shared" si="223"/>
        <v>0</v>
      </c>
      <c r="AT173" s="917"/>
      <c r="AW173" s="832"/>
      <c r="AX173" s="2490" t="s">
        <v>3373</v>
      </c>
      <c r="BM173" s="2010">
        <f t="shared" si="235"/>
        <v>0</v>
      </c>
    </row>
    <row r="174" spans="1:65" ht="25.5" hidden="1" outlineLevel="1" x14ac:dyDescent="0.25">
      <c r="A174" s="784"/>
      <c r="B174" s="904">
        <f t="shared" si="185"/>
        <v>158</v>
      </c>
      <c r="C174" s="170" t="str">
        <f t="shared" si="184"/>
        <v>45TN</v>
      </c>
      <c r="D174" s="557"/>
      <c r="E174" s="170"/>
      <c r="F174" s="170">
        <v>45</v>
      </c>
      <c r="G174" s="2007" t="s">
        <v>3246</v>
      </c>
      <c r="H174" s="2632">
        <f t="shared" si="236"/>
        <v>0</v>
      </c>
      <c r="I174" s="2008" t="s">
        <v>1323</v>
      </c>
      <c r="J174" s="1926"/>
      <c r="K174" s="1926" t="s">
        <v>732</v>
      </c>
      <c r="L174" s="170"/>
      <c r="M174" s="2009">
        <v>6.5851364063969893</v>
      </c>
      <c r="N174" s="2010">
        <v>1</v>
      </c>
      <c r="O174" s="773">
        <f t="shared" si="232"/>
        <v>6.5851364063969893</v>
      </c>
      <c r="P174" s="2008" t="s">
        <v>39</v>
      </c>
      <c r="Q174" s="2008" t="s">
        <v>604</v>
      </c>
      <c r="R174" s="2011" t="s">
        <v>74</v>
      </c>
      <c r="S174" s="912">
        <f>SUMIF('Data Input sheet'!$B$118:$B$180,R174,'Data Input sheet'!$D$118:$D$180)</f>
        <v>152</v>
      </c>
      <c r="T174" s="2685">
        <f t="shared" si="233"/>
        <v>1000.9407337723424</v>
      </c>
      <c r="U174" s="2013">
        <v>60.886454000000001</v>
      </c>
      <c r="V174" s="2777">
        <f t="shared" si="181"/>
        <v>401</v>
      </c>
      <c r="W174" s="2010">
        <v>6507.6011288805275</v>
      </c>
      <c r="X174" s="2534">
        <v>3189</v>
      </c>
      <c r="Y174" s="2012">
        <v>0</v>
      </c>
      <c r="Z174" s="780">
        <f t="shared" si="234"/>
        <v>7909.5418626528699</v>
      </c>
      <c r="AA174" s="1886"/>
      <c r="AB174" s="2007"/>
      <c r="AC174" s="765"/>
      <c r="AD174" s="781">
        <f t="shared" si="208"/>
        <v>0</v>
      </c>
      <c r="AE174" s="778">
        <f t="shared" si="209"/>
        <v>0</v>
      </c>
      <c r="AF174" s="781">
        <f t="shared" si="210"/>
        <v>0</v>
      </c>
      <c r="AG174" s="781">
        <f t="shared" si="211"/>
        <v>0</v>
      </c>
      <c r="AH174" s="781">
        <f t="shared" si="212"/>
        <v>0</v>
      </c>
      <c r="AI174" s="782">
        <f t="shared" si="213"/>
        <v>0</v>
      </c>
      <c r="AJ174" s="781">
        <f t="shared" si="214"/>
        <v>0</v>
      </c>
      <c r="AK174" s="781">
        <f t="shared" si="215"/>
        <v>0</v>
      </c>
      <c r="AL174" s="781">
        <f t="shared" si="216"/>
        <v>0</v>
      </c>
      <c r="AM174" s="781">
        <f t="shared" si="217"/>
        <v>0</v>
      </c>
      <c r="AN174" s="781">
        <f t="shared" si="218"/>
        <v>0</v>
      </c>
      <c r="AO174" s="781">
        <f t="shared" si="219"/>
        <v>0</v>
      </c>
      <c r="AP174" s="781">
        <f t="shared" si="220"/>
        <v>0</v>
      </c>
      <c r="AQ174" s="781">
        <f t="shared" si="221"/>
        <v>0</v>
      </c>
      <c r="AR174" s="781">
        <f t="shared" si="222"/>
        <v>0</v>
      </c>
      <c r="AS174" s="783">
        <f t="shared" si="223"/>
        <v>0</v>
      </c>
      <c r="AT174" s="917"/>
      <c r="AW174" s="832"/>
      <c r="AX174" s="2490" t="s">
        <v>3375</v>
      </c>
      <c r="BM174" s="2010">
        <f t="shared" si="235"/>
        <v>0</v>
      </c>
    </row>
    <row r="175" spans="1:65" ht="27" hidden="1" customHeight="1" outlineLevel="1" x14ac:dyDescent="0.25">
      <c r="A175" s="784"/>
      <c r="B175" s="904">
        <f t="shared" si="185"/>
        <v>159</v>
      </c>
      <c r="C175" s="170" t="str">
        <f t="shared" si="184"/>
        <v>45TN</v>
      </c>
      <c r="D175" s="557"/>
      <c r="E175" s="170"/>
      <c r="F175" s="170">
        <v>45</v>
      </c>
      <c r="G175" s="2007" t="s">
        <v>3247</v>
      </c>
      <c r="H175" s="2632">
        <f t="shared" si="236"/>
        <v>0</v>
      </c>
      <c r="I175" s="2008" t="s">
        <v>1323</v>
      </c>
      <c r="J175" s="1926"/>
      <c r="K175" s="1926" t="s">
        <v>732</v>
      </c>
      <c r="L175" s="170"/>
      <c r="M175" s="2009">
        <v>5.025125628140704</v>
      </c>
      <c r="N175" s="2010">
        <v>1</v>
      </c>
      <c r="O175" s="773">
        <f t="shared" si="232"/>
        <v>5.025125628140704</v>
      </c>
      <c r="P175" s="2008" t="s">
        <v>39</v>
      </c>
      <c r="Q175" s="2008" t="s">
        <v>604</v>
      </c>
      <c r="R175" s="2011" t="s">
        <v>74</v>
      </c>
      <c r="S175" s="912">
        <f>SUMIF('Data Input sheet'!$B$118:$B$180,R175,'Data Input sheet'!$D$118:$D$180)</f>
        <v>152</v>
      </c>
      <c r="T175" s="2685">
        <f t="shared" si="233"/>
        <v>763.81909547738701</v>
      </c>
      <c r="U175" s="2013">
        <v>56.384742000000003</v>
      </c>
      <c r="V175" s="2777">
        <f t="shared" si="181"/>
        <v>283</v>
      </c>
      <c r="W175" s="2010">
        <v>6499.1624790619771</v>
      </c>
      <c r="X175" s="2534">
        <v>1194</v>
      </c>
      <c r="Y175" s="2012">
        <v>0</v>
      </c>
      <c r="Z175" s="780">
        <f t="shared" si="234"/>
        <v>7545.9815745393644</v>
      </c>
      <c r="AA175" s="1886"/>
      <c r="AB175" s="2007"/>
      <c r="AC175" s="765"/>
      <c r="AD175" s="781">
        <f t="shared" si="208"/>
        <v>0</v>
      </c>
      <c r="AE175" s="778">
        <f t="shared" si="209"/>
        <v>0</v>
      </c>
      <c r="AF175" s="781">
        <f t="shared" si="210"/>
        <v>0</v>
      </c>
      <c r="AG175" s="781">
        <f t="shared" si="211"/>
        <v>0</v>
      </c>
      <c r="AH175" s="781">
        <f t="shared" si="212"/>
        <v>0</v>
      </c>
      <c r="AI175" s="782">
        <f t="shared" si="213"/>
        <v>0</v>
      </c>
      <c r="AJ175" s="781">
        <f t="shared" si="214"/>
        <v>0</v>
      </c>
      <c r="AK175" s="781">
        <f t="shared" si="215"/>
        <v>0</v>
      </c>
      <c r="AL175" s="781">
        <f t="shared" si="216"/>
        <v>0</v>
      </c>
      <c r="AM175" s="781">
        <f t="shared" si="217"/>
        <v>0</v>
      </c>
      <c r="AN175" s="781">
        <f t="shared" si="218"/>
        <v>0</v>
      </c>
      <c r="AO175" s="781">
        <f t="shared" si="219"/>
        <v>0</v>
      </c>
      <c r="AP175" s="781">
        <f t="shared" si="220"/>
        <v>0</v>
      </c>
      <c r="AQ175" s="781">
        <f t="shared" si="221"/>
        <v>0</v>
      </c>
      <c r="AR175" s="781">
        <f t="shared" si="222"/>
        <v>0</v>
      </c>
      <c r="AS175" s="783">
        <f t="shared" si="223"/>
        <v>0</v>
      </c>
      <c r="AT175" s="917"/>
      <c r="AW175" s="832"/>
      <c r="AX175" s="2490" t="s">
        <v>3374</v>
      </c>
      <c r="BM175" s="2010">
        <f t="shared" si="235"/>
        <v>0</v>
      </c>
    </row>
    <row r="176" spans="1:65" ht="38.25" hidden="1" outlineLevel="1" x14ac:dyDescent="0.25">
      <c r="A176" s="784"/>
      <c r="B176" s="904">
        <f t="shared" si="185"/>
        <v>160</v>
      </c>
      <c r="C176" s="170" t="str">
        <f t="shared" si="184"/>
        <v>45TN</v>
      </c>
      <c r="D176" s="557"/>
      <c r="E176" s="170"/>
      <c r="F176" s="170">
        <v>45</v>
      </c>
      <c r="G176" s="2007" t="s">
        <v>3248</v>
      </c>
      <c r="H176" s="2632">
        <f t="shared" si="236"/>
        <v>0</v>
      </c>
      <c r="I176" s="2008" t="s">
        <v>1323</v>
      </c>
      <c r="J176" s="1926"/>
      <c r="K176" s="1926" t="s">
        <v>732</v>
      </c>
      <c r="L176" s="170"/>
      <c r="M176" s="2009">
        <v>10.948905109489051</v>
      </c>
      <c r="N176" s="2010">
        <v>1</v>
      </c>
      <c r="O176" s="773">
        <f t="shared" si="232"/>
        <v>10.948905109489051</v>
      </c>
      <c r="P176" s="2008" t="s">
        <v>39</v>
      </c>
      <c r="Q176" s="2008" t="s">
        <v>604</v>
      </c>
      <c r="R176" s="2011" t="s">
        <v>74</v>
      </c>
      <c r="S176" s="912">
        <f>SUMIF('Data Input sheet'!$B$118:$B$180,R176,'Data Input sheet'!$D$118:$D$180)</f>
        <v>152</v>
      </c>
      <c r="T176" s="2685">
        <f t="shared" si="233"/>
        <v>1664.2335766423357</v>
      </c>
      <c r="U176" s="2013">
        <v>73.497167500000003</v>
      </c>
      <c r="V176" s="2777">
        <f t="shared" si="181"/>
        <v>805</v>
      </c>
      <c r="W176" s="2010">
        <v>6747.8061182645779</v>
      </c>
      <c r="X176" s="2534">
        <v>12193</v>
      </c>
      <c r="Y176" s="2012">
        <v>0</v>
      </c>
      <c r="Z176" s="780">
        <f t="shared" si="234"/>
        <v>9217.0396949069145</v>
      </c>
      <c r="AA176" s="1886"/>
      <c r="AB176" s="2007"/>
      <c r="AC176" s="765"/>
      <c r="AD176" s="781">
        <f t="shared" si="208"/>
        <v>0</v>
      </c>
      <c r="AE176" s="778">
        <f t="shared" si="209"/>
        <v>0</v>
      </c>
      <c r="AF176" s="781">
        <f t="shared" si="210"/>
        <v>0</v>
      </c>
      <c r="AG176" s="781">
        <f t="shared" si="211"/>
        <v>0</v>
      </c>
      <c r="AH176" s="781">
        <f t="shared" si="212"/>
        <v>0</v>
      </c>
      <c r="AI176" s="782">
        <f t="shared" si="213"/>
        <v>0</v>
      </c>
      <c r="AJ176" s="781">
        <f t="shared" si="214"/>
        <v>0</v>
      </c>
      <c r="AK176" s="781">
        <f t="shared" si="215"/>
        <v>0</v>
      </c>
      <c r="AL176" s="781">
        <f t="shared" si="216"/>
        <v>0</v>
      </c>
      <c r="AM176" s="781">
        <f t="shared" si="217"/>
        <v>0</v>
      </c>
      <c r="AN176" s="781">
        <f t="shared" si="218"/>
        <v>0</v>
      </c>
      <c r="AO176" s="781">
        <f t="shared" si="219"/>
        <v>0</v>
      </c>
      <c r="AP176" s="781">
        <f t="shared" si="220"/>
        <v>0</v>
      </c>
      <c r="AQ176" s="781">
        <f t="shared" si="221"/>
        <v>0</v>
      </c>
      <c r="AR176" s="781">
        <f t="shared" si="222"/>
        <v>0</v>
      </c>
      <c r="AS176" s="783">
        <f t="shared" si="223"/>
        <v>0</v>
      </c>
      <c r="AT176" s="917"/>
      <c r="AW176" s="832"/>
      <c r="AX176" s="833" t="s">
        <v>3376</v>
      </c>
      <c r="BM176" s="2010">
        <f t="shared" si="235"/>
        <v>0</v>
      </c>
    </row>
    <row r="177" spans="1:65" ht="38.25" hidden="1" outlineLevel="1" x14ac:dyDescent="0.25">
      <c r="A177" s="784"/>
      <c r="B177" s="904">
        <f t="shared" si="185"/>
        <v>161</v>
      </c>
      <c r="C177" s="170" t="str">
        <f t="shared" si="184"/>
        <v>45TN</v>
      </c>
      <c r="D177" s="557"/>
      <c r="E177" s="170"/>
      <c r="F177" s="170">
        <v>45</v>
      </c>
      <c r="G177" s="2007" t="s">
        <v>3249</v>
      </c>
      <c r="H177" s="2632">
        <f t="shared" si="236"/>
        <v>0</v>
      </c>
      <c r="I177" s="2008" t="s">
        <v>1323</v>
      </c>
      <c r="J177" s="1926"/>
      <c r="K177" s="1926" t="s">
        <v>732</v>
      </c>
      <c r="L177" s="170"/>
      <c r="M177" s="2009">
        <v>14.994547437295529</v>
      </c>
      <c r="N177" s="2010">
        <v>1</v>
      </c>
      <c r="O177" s="773">
        <f t="shared" si="232"/>
        <v>14.994547437295529</v>
      </c>
      <c r="P177" s="2008" t="s">
        <v>39</v>
      </c>
      <c r="Q177" s="2008" t="s">
        <v>604</v>
      </c>
      <c r="R177" s="2011" t="s">
        <v>74</v>
      </c>
      <c r="S177" s="912">
        <f>SUMIF('Data Input sheet'!$B$118:$B$180,R177,'Data Input sheet'!$D$118:$D$180)</f>
        <v>152</v>
      </c>
      <c r="T177" s="2685">
        <f t="shared" si="233"/>
        <v>2279.1712104689204</v>
      </c>
      <c r="U177" s="2013">
        <v>73.436013000000003</v>
      </c>
      <c r="V177" s="2777">
        <f t="shared" si="181"/>
        <v>1101</v>
      </c>
      <c r="W177" s="2010">
        <v>6790.0308978553248</v>
      </c>
      <c r="X177" s="2534">
        <v>8803.2000000000007</v>
      </c>
      <c r="Y177" s="2012">
        <v>0</v>
      </c>
      <c r="Z177" s="780">
        <f t="shared" si="234"/>
        <v>10170.202108324245</v>
      </c>
      <c r="AA177" s="1886"/>
      <c r="AB177" s="2007"/>
      <c r="AC177" s="765"/>
      <c r="AD177" s="781">
        <f t="shared" si="208"/>
        <v>0</v>
      </c>
      <c r="AE177" s="778">
        <f t="shared" si="209"/>
        <v>0</v>
      </c>
      <c r="AF177" s="781">
        <f t="shared" si="210"/>
        <v>0</v>
      </c>
      <c r="AG177" s="781">
        <f t="shared" si="211"/>
        <v>0</v>
      </c>
      <c r="AH177" s="781">
        <f t="shared" si="212"/>
        <v>0</v>
      </c>
      <c r="AI177" s="782">
        <f t="shared" si="213"/>
        <v>0</v>
      </c>
      <c r="AJ177" s="781">
        <f t="shared" si="214"/>
        <v>0</v>
      </c>
      <c r="AK177" s="781">
        <f t="shared" si="215"/>
        <v>0</v>
      </c>
      <c r="AL177" s="781">
        <f t="shared" si="216"/>
        <v>0</v>
      </c>
      <c r="AM177" s="781">
        <f t="shared" si="217"/>
        <v>0</v>
      </c>
      <c r="AN177" s="781">
        <f t="shared" si="218"/>
        <v>0</v>
      </c>
      <c r="AO177" s="781">
        <f t="shared" si="219"/>
        <v>0</v>
      </c>
      <c r="AP177" s="781">
        <f t="shared" si="220"/>
        <v>0</v>
      </c>
      <c r="AQ177" s="781">
        <f t="shared" si="221"/>
        <v>0</v>
      </c>
      <c r="AR177" s="781">
        <f t="shared" si="222"/>
        <v>0</v>
      </c>
      <c r="AS177" s="783">
        <f t="shared" si="223"/>
        <v>0</v>
      </c>
      <c r="AT177" s="917"/>
      <c r="AW177" s="832"/>
      <c r="AX177" s="833" t="s">
        <v>3377</v>
      </c>
      <c r="BM177" s="2010">
        <f t="shared" si="235"/>
        <v>0</v>
      </c>
    </row>
    <row r="178" spans="1:65" ht="15" hidden="1" outlineLevel="1" x14ac:dyDescent="0.25">
      <c r="A178" s="784"/>
      <c r="B178" s="904">
        <f t="shared" si="185"/>
        <v>162</v>
      </c>
      <c r="C178" s="170" t="str">
        <f t="shared" si="184"/>
        <v>45TN</v>
      </c>
      <c r="D178" s="557"/>
      <c r="E178" s="170"/>
      <c r="F178" s="170">
        <v>45</v>
      </c>
      <c r="G178" s="2007" t="s">
        <v>2466</v>
      </c>
      <c r="H178" s="2632">
        <f t="shared" si="236"/>
        <v>0</v>
      </c>
      <c r="I178" s="2008" t="s">
        <v>1323</v>
      </c>
      <c r="J178" s="1926"/>
      <c r="K178" s="1926" t="s">
        <v>732</v>
      </c>
      <c r="L178" s="170"/>
      <c r="M178" s="2009">
        <v>30</v>
      </c>
      <c r="N178" s="2010">
        <v>1</v>
      </c>
      <c r="O178" s="773">
        <f t="shared" si="232"/>
        <v>30</v>
      </c>
      <c r="P178" s="2008" t="s">
        <v>39</v>
      </c>
      <c r="Q178" s="2008" t="s">
        <v>604</v>
      </c>
      <c r="R178" s="2011" t="s">
        <v>74</v>
      </c>
      <c r="S178" s="912">
        <f>SUMIF('Data Input sheet'!$B$118:$B$180,R178,'Data Input sheet'!$D$118:$D$180)</f>
        <v>152</v>
      </c>
      <c r="T178" s="2685">
        <f t="shared" si="233"/>
        <v>4560</v>
      </c>
      <c r="U178" s="2013">
        <v>28</v>
      </c>
      <c r="V178" s="778">
        <f t="shared" si="181"/>
        <v>840</v>
      </c>
      <c r="W178" s="2010">
        <f t="shared" ref="W178:W196" si="237">ROUND(2000*$Y$3,-1)</f>
        <v>5080</v>
      </c>
      <c r="X178" s="779">
        <v>1334</v>
      </c>
      <c r="Y178" s="2012">
        <v>0</v>
      </c>
      <c r="Z178" s="780">
        <f t="shared" si="234"/>
        <v>10480</v>
      </c>
      <c r="AA178" s="2007"/>
      <c r="AB178" s="2007"/>
      <c r="AC178" s="765"/>
      <c r="AD178" s="781">
        <f t="shared" si="208"/>
        <v>0</v>
      </c>
      <c r="AE178" s="778">
        <f t="shared" si="209"/>
        <v>0</v>
      </c>
      <c r="AF178" s="781">
        <f t="shared" si="210"/>
        <v>0</v>
      </c>
      <c r="AG178" s="781">
        <f t="shared" si="211"/>
        <v>0</v>
      </c>
      <c r="AH178" s="781">
        <f t="shared" si="212"/>
        <v>0</v>
      </c>
      <c r="AI178" s="782">
        <f t="shared" si="213"/>
        <v>0</v>
      </c>
      <c r="AJ178" s="781">
        <f t="shared" si="214"/>
        <v>0</v>
      </c>
      <c r="AK178" s="781">
        <f t="shared" si="215"/>
        <v>0</v>
      </c>
      <c r="AL178" s="781">
        <f t="shared" si="216"/>
        <v>0</v>
      </c>
      <c r="AM178" s="781">
        <f t="shared" si="217"/>
        <v>0</v>
      </c>
      <c r="AN178" s="781">
        <f t="shared" si="218"/>
        <v>0</v>
      </c>
      <c r="AO178" s="781">
        <f t="shared" si="219"/>
        <v>0</v>
      </c>
      <c r="AP178" s="781">
        <f t="shared" si="220"/>
        <v>0</v>
      </c>
      <c r="AQ178" s="781">
        <f t="shared" si="221"/>
        <v>0</v>
      </c>
      <c r="AR178" s="781">
        <f t="shared" si="222"/>
        <v>0</v>
      </c>
      <c r="AS178" s="783">
        <f t="shared" si="223"/>
        <v>0</v>
      </c>
      <c r="AT178" s="917"/>
      <c r="AW178" s="832"/>
      <c r="AX178" s="833" t="s">
        <v>3030</v>
      </c>
      <c r="BM178" s="2010">
        <f t="shared" si="235"/>
        <v>0</v>
      </c>
    </row>
    <row r="179" spans="1:65" ht="25.5" hidden="1" outlineLevel="1" x14ac:dyDescent="0.25">
      <c r="A179" s="784"/>
      <c r="B179" s="904">
        <f t="shared" si="185"/>
        <v>163</v>
      </c>
      <c r="C179" s="170" t="str">
        <f t="shared" si="184"/>
        <v>45TN</v>
      </c>
      <c r="D179" s="557"/>
      <c r="E179" s="170"/>
      <c r="F179" s="170">
        <v>45</v>
      </c>
      <c r="G179" s="2007" t="s">
        <v>3250</v>
      </c>
      <c r="H179" s="2632">
        <f>+(X179/2000)*J179</f>
        <v>0</v>
      </c>
      <c r="I179" s="2008" t="s">
        <v>1323</v>
      </c>
      <c r="J179" s="1926"/>
      <c r="K179" s="1926" t="s">
        <v>732</v>
      </c>
      <c r="L179" s="170"/>
      <c r="M179" s="2009">
        <v>10.135135135135135</v>
      </c>
      <c r="N179" s="2010">
        <v>1</v>
      </c>
      <c r="O179" s="773">
        <f>+M179*N179</f>
        <v>10.135135135135135</v>
      </c>
      <c r="P179" s="2008" t="s">
        <v>39</v>
      </c>
      <c r="Q179" s="2008" t="s">
        <v>604</v>
      </c>
      <c r="R179" s="2011" t="s">
        <v>74</v>
      </c>
      <c r="S179" s="912">
        <f>SUMIF('Data Input sheet'!$B$118:$B$180,R179,'Data Input sheet'!$D$118:$D$180)</f>
        <v>152</v>
      </c>
      <c r="T179" s="2685">
        <f>+O179*S179</f>
        <v>1540.5405405405406</v>
      </c>
      <c r="U179" s="2013">
        <v>55.911000000000001</v>
      </c>
      <c r="V179" s="2777">
        <f t="shared" si="181"/>
        <v>567</v>
      </c>
      <c r="W179" s="2010">
        <v>6502.1959459459467</v>
      </c>
      <c r="X179" s="779">
        <v>592</v>
      </c>
      <c r="Y179" s="2012">
        <v>0</v>
      </c>
      <c r="Z179" s="780">
        <f>T179+V179+W179+Y179</f>
        <v>8609.7364864864867</v>
      </c>
      <c r="AA179" s="1886"/>
      <c r="AB179" s="2007"/>
      <c r="AC179" s="765"/>
      <c r="AD179" s="781">
        <f t="shared" si="208"/>
        <v>0</v>
      </c>
      <c r="AE179" s="778">
        <f t="shared" si="209"/>
        <v>0</v>
      </c>
      <c r="AF179" s="781">
        <f t="shared" si="210"/>
        <v>0</v>
      </c>
      <c r="AG179" s="781">
        <f t="shared" si="211"/>
        <v>0</v>
      </c>
      <c r="AH179" s="781">
        <f t="shared" si="212"/>
        <v>0</v>
      </c>
      <c r="AI179" s="782">
        <f t="shared" si="213"/>
        <v>0</v>
      </c>
      <c r="AJ179" s="781">
        <f t="shared" si="214"/>
        <v>0</v>
      </c>
      <c r="AK179" s="781">
        <f t="shared" si="215"/>
        <v>0</v>
      </c>
      <c r="AL179" s="781">
        <f t="shared" si="216"/>
        <v>0</v>
      </c>
      <c r="AM179" s="781">
        <f t="shared" si="217"/>
        <v>0</v>
      </c>
      <c r="AN179" s="781">
        <f t="shared" si="218"/>
        <v>0</v>
      </c>
      <c r="AO179" s="781">
        <f t="shared" si="219"/>
        <v>0</v>
      </c>
      <c r="AP179" s="781">
        <f t="shared" si="220"/>
        <v>0</v>
      </c>
      <c r="AQ179" s="781">
        <f t="shared" si="221"/>
        <v>0</v>
      </c>
      <c r="AR179" s="781">
        <f t="shared" si="222"/>
        <v>0</v>
      </c>
      <c r="AS179" s="783">
        <f t="shared" si="223"/>
        <v>0</v>
      </c>
      <c r="AT179" s="917"/>
      <c r="AW179" s="832"/>
      <c r="AX179" s="2490" t="s">
        <v>3378</v>
      </c>
      <c r="BM179" s="2010">
        <f t="shared" si="235"/>
        <v>0</v>
      </c>
    </row>
    <row r="180" spans="1:65" ht="15" hidden="1" outlineLevel="1" x14ac:dyDescent="0.25">
      <c r="A180" s="784"/>
      <c r="B180" s="904">
        <f t="shared" si="185"/>
        <v>164</v>
      </c>
      <c r="C180" s="170" t="str">
        <f t="shared" si="184"/>
        <v>45TN</v>
      </c>
      <c r="D180" s="557"/>
      <c r="E180" s="170"/>
      <c r="F180" s="170">
        <v>45</v>
      </c>
      <c r="G180" s="2007" t="s">
        <v>2467</v>
      </c>
      <c r="H180" s="2632">
        <f t="shared" si="236"/>
        <v>0</v>
      </c>
      <c r="I180" s="2008" t="s">
        <v>1323</v>
      </c>
      <c r="J180" s="1926"/>
      <c r="K180" s="1926" t="s">
        <v>732</v>
      </c>
      <c r="L180" s="170"/>
      <c r="M180" s="2009">
        <v>30</v>
      </c>
      <c r="N180" s="2010">
        <v>1</v>
      </c>
      <c r="O180" s="773">
        <f t="shared" si="232"/>
        <v>30</v>
      </c>
      <c r="P180" s="2008" t="s">
        <v>39</v>
      </c>
      <c r="Q180" s="2008" t="s">
        <v>604</v>
      </c>
      <c r="R180" s="2011" t="s">
        <v>74</v>
      </c>
      <c r="S180" s="912">
        <f>SUMIF('Data Input sheet'!$B$118:$B$180,R180,'Data Input sheet'!$D$118:$D$180)</f>
        <v>152</v>
      </c>
      <c r="T180" s="2685">
        <f t="shared" si="233"/>
        <v>4560</v>
      </c>
      <c r="U180" s="2013">
        <v>28</v>
      </c>
      <c r="V180" s="2777">
        <f t="shared" si="181"/>
        <v>840</v>
      </c>
      <c r="W180" s="2010">
        <f t="shared" si="237"/>
        <v>5080</v>
      </c>
      <c r="X180" s="779">
        <v>555.55555555555554</v>
      </c>
      <c r="Y180" s="2012">
        <v>0</v>
      </c>
      <c r="Z180" s="780">
        <f t="shared" si="234"/>
        <v>10480</v>
      </c>
      <c r="AA180" s="2007"/>
      <c r="AB180" s="2007"/>
      <c r="AC180" s="765"/>
      <c r="AD180" s="781">
        <f t="shared" si="208"/>
        <v>0</v>
      </c>
      <c r="AE180" s="778">
        <f t="shared" si="209"/>
        <v>0</v>
      </c>
      <c r="AF180" s="781">
        <f t="shared" si="210"/>
        <v>0</v>
      </c>
      <c r="AG180" s="781">
        <f t="shared" si="211"/>
        <v>0</v>
      </c>
      <c r="AH180" s="781">
        <f t="shared" si="212"/>
        <v>0</v>
      </c>
      <c r="AI180" s="782">
        <f t="shared" si="213"/>
        <v>0</v>
      </c>
      <c r="AJ180" s="781">
        <f t="shared" si="214"/>
        <v>0</v>
      </c>
      <c r="AK180" s="781">
        <f t="shared" si="215"/>
        <v>0</v>
      </c>
      <c r="AL180" s="781">
        <f t="shared" si="216"/>
        <v>0</v>
      </c>
      <c r="AM180" s="781">
        <f t="shared" si="217"/>
        <v>0</v>
      </c>
      <c r="AN180" s="781">
        <f t="shared" si="218"/>
        <v>0</v>
      </c>
      <c r="AO180" s="781">
        <f t="shared" si="219"/>
        <v>0</v>
      </c>
      <c r="AP180" s="781">
        <f t="shared" si="220"/>
        <v>0</v>
      </c>
      <c r="AQ180" s="781">
        <f t="shared" si="221"/>
        <v>0</v>
      </c>
      <c r="AR180" s="781">
        <f t="shared" si="222"/>
        <v>0</v>
      </c>
      <c r="AS180" s="783">
        <f t="shared" si="223"/>
        <v>0</v>
      </c>
      <c r="AT180" s="917"/>
      <c r="AW180" s="832"/>
      <c r="AX180" s="833" t="s">
        <v>3030</v>
      </c>
      <c r="BM180" s="2010">
        <f t="shared" si="235"/>
        <v>0</v>
      </c>
    </row>
    <row r="181" spans="1:65" ht="15" hidden="1" outlineLevel="1" x14ac:dyDescent="0.25">
      <c r="A181" s="784"/>
      <c r="B181" s="904">
        <f t="shared" si="185"/>
        <v>165</v>
      </c>
      <c r="C181" s="170" t="str">
        <f t="shared" si="184"/>
        <v>45TN</v>
      </c>
      <c r="D181" s="557"/>
      <c r="E181" s="170"/>
      <c r="F181" s="170">
        <v>45</v>
      </c>
      <c r="G181" s="2007" t="s">
        <v>2468</v>
      </c>
      <c r="H181" s="2632">
        <f t="shared" si="236"/>
        <v>0</v>
      </c>
      <c r="I181" s="2008" t="s">
        <v>1323</v>
      </c>
      <c r="J181" s="1926"/>
      <c r="K181" s="1926" t="s">
        <v>732</v>
      </c>
      <c r="L181" s="170"/>
      <c r="M181" s="2009">
        <v>30</v>
      </c>
      <c r="N181" s="2010">
        <v>1</v>
      </c>
      <c r="O181" s="773">
        <f t="shared" si="232"/>
        <v>30</v>
      </c>
      <c r="P181" s="2008" t="s">
        <v>39</v>
      </c>
      <c r="Q181" s="2008" t="s">
        <v>604</v>
      </c>
      <c r="R181" s="2011" t="s">
        <v>74</v>
      </c>
      <c r="S181" s="912">
        <f>SUMIF('Data Input sheet'!$B$118:$B$180,R181,'Data Input sheet'!$D$118:$D$180)</f>
        <v>152</v>
      </c>
      <c r="T181" s="2685">
        <f t="shared" si="233"/>
        <v>4560</v>
      </c>
      <c r="U181" s="2013">
        <v>28</v>
      </c>
      <c r="V181" s="2777">
        <f t="shared" ref="V181:V320" si="238">ROUND(U181*O181,0)</f>
        <v>840</v>
      </c>
      <c r="W181" s="2010">
        <f t="shared" si="237"/>
        <v>5080</v>
      </c>
      <c r="X181" s="779">
        <v>555.55555555555554</v>
      </c>
      <c r="Y181" s="2012">
        <v>0</v>
      </c>
      <c r="Z181" s="780">
        <f t="shared" si="234"/>
        <v>10480</v>
      </c>
      <c r="AA181" s="2007"/>
      <c r="AB181" s="2007"/>
      <c r="AC181" s="765"/>
      <c r="AD181" s="781">
        <f t="shared" si="208"/>
        <v>0</v>
      </c>
      <c r="AE181" s="778">
        <f t="shared" si="209"/>
        <v>0</v>
      </c>
      <c r="AF181" s="781">
        <f t="shared" si="210"/>
        <v>0</v>
      </c>
      <c r="AG181" s="781">
        <f t="shared" si="211"/>
        <v>0</v>
      </c>
      <c r="AH181" s="781">
        <f t="shared" si="212"/>
        <v>0</v>
      </c>
      <c r="AI181" s="782">
        <f t="shared" si="213"/>
        <v>0</v>
      </c>
      <c r="AJ181" s="781">
        <f t="shared" si="214"/>
        <v>0</v>
      </c>
      <c r="AK181" s="781">
        <f t="shared" si="215"/>
        <v>0</v>
      </c>
      <c r="AL181" s="781">
        <f t="shared" si="216"/>
        <v>0</v>
      </c>
      <c r="AM181" s="781">
        <f t="shared" si="217"/>
        <v>0</v>
      </c>
      <c r="AN181" s="781">
        <f t="shared" si="218"/>
        <v>0</v>
      </c>
      <c r="AO181" s="781">
        <f t="shared" si="219"/>
        <v>0</v>
      </c>
      <c r="AP181" s="781">
        <f t="shared" si="220"/>
        <v>0</v>
      </c>
      <c r="AQ181" s="781">
        <f t="shared" si="221"/>
        <v>0</v>
      </c>
      <c r="AR181" s="781">
        <f t="shared" si="222"/>
        <v>0</v>
      </c>
      <c r="AS181" s="783">
        <f t="shared" si="223"/>
        <v>0</v>
      </c>
      <c r="AT181" s="917"/>
      <c r="AW181" s="832"/>
      <c r="AX181" s="833" t="s">
        <v>3030</v>
      </c>
      <c r="BM181" s="2010">
        <f t="shared" si="235"/>
        <v>0</v>
      </c>
    </row>
    <row r="182" spans="1:65" ht="15" hidden="1" outlineLevel="1" x14ac:dyDescent="0.25">
      <c r="A182" s="784"/>
      <c r="B182" s="904">
        <f t="shared" si="185"/>
        <v>166</v>
      </c>
      <c r="C182" s="170" t="str">
        <f t="shared" si="184"/>
        <v>45TN</v>
      </c>
      <c r="D182" s="557"/>
      <c r="E182" s="170"/>
      <c r="F182" s="170">
        <v>45</v>
      </c>
      <c r="G182" s="2007" t="s">
        <v>2469</v>
      </c>
      <c r="H182" s="2632">
        <f t="shared" si="236"/>
        <v>0</v>
      </c>
      <c r="I182" s="2008" t="s">
        <v>1323</v>
      </c>
      <c r="J182" s="1926"/>
      <c r="K182" s="1926" t="s">
        <v>732</v>
      </c>
      <c r="L182" s="170"/>
      <c r="M182" s="2009">
        <v>20</v>
      </c>
      <c r="N182" s="2010">
        <v>1</v>
      </c>
      <c r="O182" s="773">
        <f t="shared" si="232"/>
        <v>20</v>
      </c>
      <c r="P182" s="2008" t="s">
        <v>39</v>
      </c>
      <c r="Q182" s="2008" t="s">
        <v>604</v>
      </c>
      <c r="R182" s="2011" t="s">
        <v>74</v>
      </c>
      <c r="S182" s="912">
        <f>SUMIF('Data Input sheet'!$B$118:$B$180,R182,'Data Input sheet'!$D$118:$D$180)</f>
        <v>152</v>
      </c>
      <c r="T182" s="2685">
        <f t="shared" si="233"/>
        <v>3040</v>
      </c>
      <c r="U182" s="2013">
        <v>28</v>
      </c>
      <c r="V182" s="2777">
        <f t="shared" si="238"/>
        <v>560</v>
      </c>
      <c r="W182" s="2010">
        <f t="shared" si="237"/>
        <v>5080</v>
      </c>
      <c r="X182" s="779">
        <v>36111.111111111109</v>
      </c>
      <c r="Y182" s="2012">
        <v>0</v>
      </c>
      <c r="Z182" s="780">
        <f t="shared" si="234"/>
        <v>8680</v>
      </c>
      <c r="AA182" s="2007"/>
      <c r="AB182" s="2007"/>
      <c r="AC182" s="765"/>
      <c r="AD182" s="781">
        <f t="shared" si="208"/>
        <v>0</v>
      </c>
      <c r="AE182" s="778">
        <f t="shared" si="209"/>
        <v>0</v>
      </c>
      <c r="AF182" s="781">
        <f t="shared" si="210"/>
        <v>0</v>
      </c>
      <c r="AG182" s="781">
        <f t="shared" si="211"/>
        <v>0</v>
      </c>
      <c r="AH182" s="781">
        <f t="shared" si="212"/>
        <v>0</v>
      </c>
      <c r="AI182" s="782">
        <f t="shared" si="213"/>
        <v>0</v>
      </c>
      <c r="AJ182" s="781">
        <f t="shared" si="214"/>
        <v>0</v>
      </c>
      <c r="AK182" s="781">
        <f t="shared" si="215"/>
        <v>0</v>
      </c>
      <c r="AL182" s="781">
        <f t="shared" si="216"/>
        <v>0</v>
      </c>
      <c r="AM182" s="781">
        <f t="shared" si="217"/>
        <v>0</v>
      </c>
      <c r="AN182" s="781">
        <f t="shared" si="218"/>
        <v>0</v>
      </c>
      <c r="AO182" s="781">
        <f t="shared" si="219"/>
        <v>0</v>
      </c>
      <c r="AP182" s="781">
        <f t="shared" si="220"/>
        <v>0</v>
      </c>
      <c r="AQ182" s="781">
        <f t="shared" si="221"/>
        <v>0</v>
      </c>
      <c r="AR182" s="781">
        <f t="shared" si="222"/>
        <v>0</v>
      </c>
      <c r="AS182" s="783">
        <f t="shared" si="223"/>
        <v>0</v>
      </c>
      <c r="AT182" s="917"/>
      <c r="AW182" s="832"/>
      <c r="AX182" s="833" t="s">
        <v>3030</v>
      </c>
      <c r="BM182" s="2010">
        <f t="shared" si="235"/>
        <v>0</v>
      </c>
    </row>
    <row r="183" spans="1:65" ht="25.5" hidden="1" outlineLevel="1" x14ac:dyDescent="0.25">
      <c r="A183" s="784"/>
      <c r="B183" s="904">
        <f t="shared" si="185"/>
        <v>167</v>
      </c>
      <c r="C183" s="170" t="str">
        <f t="shared" si="184"/>
        <v>45TN</v>
      </c>
      <c r="D183" s="557"/>
      <c r="E183" s="170"/>
      <c r="F183" s="170">
        <v>45</v>
      </c>
      <c r="G183" s="2007" t="s">
        <v>3251</v>
      </c>
      <c r="H183" s="2632">
        <f>+(X183/2000)*J183</f>
        <v>0</v>
      </c>
      <c r="I183" s="2008" t="s">
        <v>1323</v>
      </c>
      <c r="J183" s="1926"/>
      <c r="K183" s="1926" t="s">
        <v>732</v>
      </c>
      <c r="L183" s="170"/>
      <c r="M183" s="2009">
        <v>8.2774931020890818</v>
      </c>
      <c r="N183" s="2010">
        <v>1</v>
      </c>
      <c r="O183" s="773">
        <f>+M183*N183</f>
        <v>8.2774931020890818</v>
      </c>
      <c r="P183" s="2008" t="s">
        <v>39</v>
      </c>
      <c r="Q183" s="2008" t="s">
        <v>604</v>
      </c>
      <c r="R183" s="2011" t="s">
        <v>74</v>
      </c>
      <c r="S183" s="912">
        <f>SUMIF('Data Input sheet'!$B$118:$B$180,R183,'Data Input sheet'!$D$118:$D$180)</f>
        <v>152</v>
      </c>
      <c r="T183" s="2685">
        <f>+O183*S183</f>
        <v>1258.1789515175406</v>
      </c>
      <c r="U183" s="2013">
        <v>60.642575999999998</v>
      </c>
      <c r="V183" s="2777">
        <f t="shared" si="238"/>
        <v>502</v>
      </c>
      <c r="W183" s="2010">
        <v>6507.7650768624362</v>
      </c>
      <c r="X183" s="779">
        <v>2537</v>
      </c>
      <c r="Y183" s="2012">
        <v>0</v>
      </c>
      <c r="Z183" s="780">
        <f>T183+V183+W183+Y183</f>
        <v>8267.9440283799777</v>
      </c>
      <c r="AA183" s="1886"/>
      <c r="AB183" s="2007"/>
      <c r="AC183" s="765"/>
      <c r="AD183" s="781">
        <f t="shared" si="208"/>
        <v>0</v>
      </c>
      <c r="AE183" s="778">
        <f t="shared" si="209"/>
        <v>0</v>
      </c>
      <c r="AF183" s="781">
        <f t="shared" si="210"/>
        <v>0</v>
      </c>
      <c r="AG183" s="781">
        <f t="shared" si="211"/>
        <v>0</v>
      </c>
      <c r="AH183" s="781">
        <f t="shared" si="212"/>
        <v>0</v>
      </c>
      <c r="AI183" s="782">
        <f t="shared" si="213"/>
        <v>0</v>
      </c>
      <c r="AJ183" s="781">
        <f t="shared" si="214"/>
        <v>0</v>
      </c>
      <c r="AK183" s="781">
        <f t="shared" si="215"/>
        <v>0</v>
      </c>
      <c r="AL183" s="781">
        <f t="shared" si="216"/>
        <v>0</v>
      </c>
      <c r="AM183" s="781">
        <f t="shared" si="217"/>
        <v>0</v>
      </c>
      <c r="AN183" s="781">
        <f t="shared" si="218"/>
        <v>0</v>
      </c>
      <c r="AO183" s="781">
        <f t="shared" si="219"/>
        <v>0</v>
      </c>
      <c r="AP183" s="781">
        <f t="shared" si="220"/>
        <v>0</v>
      </c>
      <c r="AQ183" s="781">
        <f t="shared" si="221"/>
        <v>0</v>
      </c>
      <c r="AR183" s="781">
        <f t="shared" si="222"/>
        <v>0</v>
      </c>
      <c r="AS183" s="783">
        <f t="shared" si="223"/>
        <v>0</v>
      </c>
      <c r="AT183" s="917"/>
      <c r="AW183" s="832"/>
      <c r="AX183" s="833" t="s">
        <v>3379</v>
      </c>
      <c r="BM183" s="2010">
        <f t="shared" si="235"/>
        <v>0</v>
      </c>
    </row>
    <row r="184" spans="1:65" ht="25.5" hidden="1" outlineLevel="1" x14ac:dyDescent="0.25">
      <c r="A184" s="784"/>
      <c r="B184" s="904">
        <f t="shared" si="185"/>
        <v>168</v>
      </c>
      <c r="C184" s="170" t="str">
        <f t="shared" si="184"/>
        <v>45TN</v>
      </c>
      <c r="D184" s="557"/>
      <c r="E184" s="170"/>
      <c r="F184" s="170">
        <v>45</v>
      </c>
      <c r="G184" s="2007" t="s">
        <v>3252</v>
      </c>
      <c r="H184" s="2632">
        <f>+(X184/2000)*J184</f>
        <v>0</v>
      </c>
      <c r="I184" s="2008" t="s">
        <v>1323</v>
      </c>
      <c r="J184" s="1926"/>
      <c r="K184" s="1926" t="s">
        <v>732</v>
      </c>
      <c r="L184" s="170"/>
      <c r="M184" s="2009">
        <v>4.5801526717557248</v>
      </c>
      <c r="N184" s="2010">
        <v>1</v>
      </c>
      <c r="O184" s="773">
        <f>+M184*N184</f>
        <v>4.5801526717557248</v>
      </c>
      <c r="P184" s="2008" t="s">
        <v>39</v>
      </c>
      <c r="Q184" s="2008" t="s">
        <v>604</v>
      </c>
      <c r="R184" s="2011" t="s">
        <v>74</v>
      </c>
      <c r="S184" s="912">
        <f>SUMIF('Data Input sheet'!$B$118:$B$180,R184,'Data Input sheet'!$D$118:$D$180)</f>
        <v>152</v>
      </c>
      <c r="T184" s="2685">
        <f>+O184*S184</f>
        <v>696.18320610687022</v>
      </c>
      <c r="U184" s="2778">
        <v>56.237403999999998</v>
      </c>
      <c r="V184" s="2777">
        <f t="shared" si="238"/>
        <v>258</v>
      </c>
      <c r="W184" s="2010">
        <v>6501.9847328244277</v>
      </c>
      <c r="X184" s="779">
        <v>1310</v>
      </c>
      <c r="Y184" s="2012">
        <v>0</v>
      </c>
      <c r="Z184" s="780">
        <f>T184+V184+W184+Y184</f>
        <v>7456.1679389312976</v>
      </c>
      <c r="AA184" s="1886"/>
      <c r="AB184" s="2007"/>
      <c r="AC184" s="765"/>
      <c r="AD184" s="781">
        <f t="shared" si="208"/>
        <v>0</v>
      </c>
      <c r="AE184" s="778">
        <f t="shared" si="209"/>
        <v>0</v>
      </c>
      <c r="AF184" s="781">
        <f t="shared" si="210"/>
        <v>0</v>
      </c>
      <c r="AG184" s="781">
        <f t="shared" si="211"/>
        <v>0</v>
      </c>
      <c r="AH184" s="781">
        <f t="shared" si="212"/>
        <v>0</v>
      </c>
      <c r="AI184" s="782">
        <f t="shared" si="213"/>
        <v>0</v>
      </c>
      <c r="AJ184" s="781">
        <f t="shared" si="214"/>
        <v>0</v>
      </c>
      <c r="AK184" s="781">
        <f t="shared" si="215"/>
        <v>0</v>
      </c>
      <c r="AL184" s="781">
        <f t="shared" si="216"/>
        <v>0</v>
      </c>
      <c r="AM184" s="781">
        <f t="shared" si="217"/>
        <v>0</v>
      </c>
      <c r="AN184" s="781">
        <f t="shared" si="218"/>
        <v>0</v>
      </c>
      <c r="AO184" s="781">
        <f t="shared" si="219"/>
        <v>0</v>
      </c>
      <c r="AP184" s="781">
        <f t="shared" si="220"/>
        <v>0</v>
      </c>
      <c r="AQ184" s="781">
        <f t="shared" si="221"/>
        <v>0</v>
      </c>
      <c r="AR184" s="781">
        <f t="shared" si="222"/>
        <v>0</v>
      </c>
      <c r="AS184" s="783">
        <f t="shared" si="223"/>
        <v>0</v>
      </c>
      <c r="AT184" s="917"/>
      <c r="AW184" s="832"/>
      <c r="AX184" s="833" t="s">
        <v>3380</v>
      </c>
      <c r="BM184" s="2010">
        <f t="shared" si="235"/>
        <v>0</v>
      </c>
    </row>
    <row r="185" spans="1:65" ht="25.5" hidden="1" outlineLevel="1" x14ac:dyDescent="0.25">
      <c r="A185" s="784"/>
      <c r="B185" s="904">
        <f t="shared" si="185"/>
        <v>169</v>
      </c>
      <c r="C185" s="170" t="str">
        <f t="shared" si="184"/>
        <v>45TN</v>
      </c>
      <c r="D185" s="557"/>
      <c r="E185" s="170"/>
      <c r="F185" s="170">
        <v>45</v>
      </c>
      <c r="G185" s="2007" t="s">
        <v>3253</v>
      </c>
      <c r="H185" s="2632">
        <f>+(X185/2000)*J185</f>
        <v>0</v>
      </c>
      <c r="I185" s="2008" t="s">
        <v>1323</v>
      </c>
      <c r="J185" s="1926"/>
      <c r="K185" s="1926" t="s">
        <v>732</v>
      </c>
      <c r="L185" s="170"/>
      <c r="M185" s="2009">
        <v>10.62215477996965</v>
      </c>
      <c r="N185" s="2010">
        <v>1</v>
      </c>
      <c r="O185" s="773">
        <f>+M185*N185</f>
        <v>10.62215477996965</v>
      </c>
      <c r="P185" s="2008" t="s">
        <v>39</v>
      </c>
      <c r="Q185" s="2008" t="s">
        <v>604</v>
      </c>
      <c r="R185" s="2011" t="s">
        <v>74</v>
      </c>
      <c r="S185" s="912">
        <f>SUMIF('Data Input sheet'!$B$118:$B$180,R185,'Data Input sheet'!$D$118:$D$180)</f>
        <v>152</v>
      </c>
      <c r="T185" s="2685">
        <f>+O185*S185</f>
        <v>1614.5675265553868</v>
      </c>
      <c r="U185" s="2013">
        <v>60.622298000000001</v>
      </c>
      <c r="V185" s="2777">
        <f t="shared" si="238"/>
        <v>644</v>
      </c>
      <c r="W185" s="2010">
        <v>6511.4415781487105</v>
      </c>
      <c r="X185" s="779">
        <v>1977</v>
      </c>
      <c r="Y185" s="2012">
        <v>0</v>
      </c>
      <c r="Z185" s="780">
        <f>T185+V185+W185+Y185</f>
        <v>8770.0091047040969</v>
      </c>
      <c r="AA185" s="1886"/>
      <c r="AB185" s="2007"/>
      <c r="AC185" s="765"/>
      <c r="AD185" s="781">
        <f t="shared" si="208"/>
        <v>0</v>
      </c>
      <c r="AE185" s="778">
        <f t="shared" si="209"/>
        <v>0</v>
      </c>
      <c r="AF185" s="781">
        <f t="shared" si="210"/>
        <v>0</v>
      </c>
      <c r="AG185" s="781">
        <f t="shared" si="211"/>
        <v>0</v>
      </c>
      <c r="AH185" s="781">
        <f t="shared" si="212"/>
        <v>0</v>
      </c>
      <c r="AI185" s="782">
        <f t="shared" si="213"/>
        <v>0</v>
      </c>
      <c r="AJ185" s="781">
        <f t="shared" si="214"/>
        <v>0</v>
      </c>
      <c r="AK185" s="781">
        <f t="shared" si="215"/>
        <v>0</v>
      </c>
      <c r="AL185" s="781">
        <f t="shared" si="216"/>
        <v>0</v>
      </c>
      <c r="AM185" s="781">
        <f t="shared" si="217"/>
        <v>0</v>
      </c>
      <c r="AN185" s="781">
        <f t="shared" si="218"/>
        <v>0</v>
      </c>
      <c r="AO185" s="781">
        <f t="shared" si="219"/>
        <v>0</v>
      </c>
      <c r="AP185" s="781">
        <f t="shared" si="220"/>
        <v>0</v>
      </c>
      <c r="AQ185" s="781">
        <f t="shared" si="221"/>
        <v>0</v>
      </c>
      <c r="AR185" s="781">
        <f t="shared" si="222"/>
        <v>0</v>
      </c>
      <c r="AS185" s="783">
        <f t="shared" si="223"/>
        <v>0</v>
      </c>
      <c r="AT185" s="917"/>
      <c r="AW185" s="832"/>
      <c r="AX185" s="833" t="s">
        <v>3381</v>
      </c>
      <c r="BM185" s="2010">
        <f t="shared" si="235"/>
        <v>0</v>
      </c>
    </row>
    <row r="186" spans="1:65" s="2533" customFormat="1" ht="25.5" hidden="1" outlineLevel="1" x14ac:dyDescent="0.25">
      <c r="A186" s="2536"/>
      <c r="B186" s="904">
        <f t="shared" si="185"/>
        <v>170</v>
      </c>
      <c r="C186" s="170" t="str">
        <f t="shared" si="184"/>
        <v>45TN</v>
      </c>
      <c r="D186" s="2524"/>
      <c r="E186" s="2523"/>
      <c r="F186" s="2523">
        <v>45</v>
      </c>
      <c r="G186" s="2007" t="s">
        <v>3254</v>
      </c>
      <c r="H186" s="2633">
        <f>+(X186/2000)*J186</f>
        <v>0</v>
      </c>
      <c r="I186" s="2008" t="s">
        <v>1323</v>
      </c>
      <c r="J186" s="2525"/>
      <c r="K186" s="2525" t="s">
        <v>732</v>
      </c>
      <c r="L186" s="2523"/>
      <c r="M186" s="2526">
        <v>8.7336244541484707</v>
      </c>
      <c r="N186" s="2527">
        <v>1</v>
      </c>
      <c r="O186" s="2528">
        <f>+M186*N186</f>
        <v>8.7336244541484707</v>
      </c>
      <c r="P186" s="2008" t="s">
        <v>39</v>
      </c>
      <c r="Q186" s="2008" t="s">
        <v>604</v>
      </c>
      <c r="R186" s="2011" t="s">
        <v>74</v>
      </c>
      <c r="S186" s="912">
        <f>SUMIF('Data Input sheet'!$B$118:$B$180,R186,'Data Input sheet'!$D$118:$D$180)</f>
        <v>152</v>
      </c>
      <c r="T186" s="2687">
        <f>+O186*S186</f>
        <v>1327.5109170305675</v>
      </c>
      <c r="U186" s="2776">
        <v>57.25</v>
      </c>
      <c r="V186" s="2777">
        <f t="shared" si="238"/>
        <v>500</v>
      </c>
      <c r="W186" s="2527">
        <v>6497.8165938864622</v>
      </c>
      <c r="X186" s="2530">
        <v>687</v>
      </c>
      <c r="Y186" s="2529">
        <v>0</v>
      </c>
      <c r="Z186" s="780">
        <f>T186+V186+W186+Y186</f>
        <v>8325.3275109170299</v>
      </c>
      <c r="AA186" s="2531"/>
      <c r="AB186" s="2007"/>
      <c r="AC186" s="2532"/>
      <c r="AD186" s="781">
        <f t="shared" si="208"/>
        <v>0</v>
      </c>
      <c r="AE186" s="778">
        <f t="shared" si="209"/>
        <v>0</v>
      </c>
      <c r="AF186" s="781">
        <f t="shared" si="210"/>
        <v>0</v>
      </c>
      <c r="AG186" s="781">
        <f t="shared" si="211"/>
        <v>0</v>
      </c>
      <c r="AH186" s="781">
        <f t="shared" si="212"/>
        <v>0</v>
      </c>
      <c r="AI186" s="782">
        <f t="shared" si="213"/>
        <v>0</v>
      </c>
      <c r="AJ186" s="781">
        <f t="shared" si="214"/>
        <v>0</v>
      </c>
      <c r="AK186" s="781">
        <f t="shared" si="215"/>
        <v>0</v>
      </c>
      <c r="AL186" s="781">
        <f t="shared" si="216"/>
        <v>0</v>
      </c>
      <c r="AM186" s="781">
        <f t="shared" si="217"/>
        <v>0</v>
      </c>
      <c r="AN186" s="781">
        <f t="shared" si="218"/>
        <v>0</v>
      </c>
      <c r="AO186" s="781">
        <f t="shared" si="219"/>
        <v>0</v>
      </c>
      <c r="AP186" s="781">
        <f t="shared" si="220"/>
        <v>0</v>
      </c>
      <c r="AQ186" s="781">
        <f t="shared" si="221"/>
        <v>0</v>
      </c>
      <c r="AR186" s="781">
        <f t="shared" si="222"/>
        <v>0</v>
      </c>
      <c r="AS186" s="783">
        <f t="shared" si="223"/>
        <v>0</v>
      </c>
      <c r="AT186" s="917"/>
      <c r="AW186" s="832"/>
      <c r="AX186" s="833" t="s">
        <v>3382</v>
      </c>
      <c r="BM186" s="2010">
        <f t="shared" si="235"/>
        <v>0</v>
      </c>
    </row>
    <row r="187" spans="1:65" ht="15" hidden="1" outlineLevel="1" x14ac:dyDescent="0.25">
      <c r="A187" s="784"/>
      <c r="B187" s="904">
        <f t="shared" si="185"/>
        <v>171</v>
      </c>
      <c r="C187" s="170" t="str">
        <f t="shared" si="184"/>
        <v>45TN</v>
      </c>
      <c r="D187" s="557"/>
      <c r="E187" s="170"/>
      <c r="F187" s="170">
        <v>45</v>
      </c>
      <c r="G187" s="2007" t="s">
        <v>2470</v>
      </c>
      <c r="H187" s="2632">
        <f t="shared" si="236"/>
        <v>0</v>
      </c>
      <c r="I187" s="2008" t="s">
        <v>1323</v>
      </c>
      <c r="J187" s="1926"/>
      <c r="K187" s="1926" t="s">
        <v>732</v>
      </c>
      <c r="L187" s="170"/>
      <c r="M187" s="2009">
        <v>30</v>
      </c>
      <c r="N187" s="2010">
        <v>1</v>
      </c>
      <c r="O187" s="773">
        <f t="shared" si="232"/>
        <v>30</v>
      </c>
      <c r="P187" s="2008" t="s">
        <v>39</v>
      </c>
      <c r="Q187" s="2008" t="s">
        <v>604</v>
      </c>
      <c r="R187" s="2011" t="s">
        <v>74</v>
      </c>
      <c r="S187" s="912">
        <f>SUMIF('Data Input sheet'!$B$118:$B$180,R187,'Data Input sheet'!$D$118:$D$180)</f>
        <v>152</v>
      </c>
      <c r="T187" s="2685">
        <f t="shared" si="233"/>
        <v>4560</v>
      </c>
      <c r="U187" s="2013">
        <v>28</v>
      </c>
      <c r="V187" s="2777">
        <f t="shared" si="238"/>
        <v>840</v>
      </c>
      <c r="W187" s="2010">
        <f t="shared" si="237"/>
        <v>5080</v>
      </c>
      <c r="X187" s="779">
        <v>1222.2222222222222</v>
      </c>
      <c r="Y187" s="2012">
        <v>0</v>
      </c>
      <c r="Z187" s="780">
        <f t="shared" si="234"/>
        <v>10480</v>
      </c>
      <c r="AA187" s="2007"/>
      <c r="AB187" s="2007"/>
      <c r="AC187" s="765"/>
      <c r="AD187" s="781">
        <f t="shared" si="208"/>
        <v>0</v>
      </c>
      <c r="AE187" s="778">
        <f t="shared" si="209"/>
        <v>0</v>
      </c>
      <c r="AF187" s="781">
        <f t="shared" si="210"/>
        <v>0</v>
      </c>
      <c r="AG187" s="781">
        <f t="shared" si="211"/>
        <v>0</v>
      </c>
      <c r="AH187" s="781">
        <f t="shared" si="212"/>
        <v>0</v>
      </c>
      <c r="AI187" s="782">
        <f t="shared" si="213"/>
        <v>0</v>
      </c>
      <c r="AJ187" s="781">
        <f t="shared" si="214"/>
        <v>0</v>
      </c>
      <c r="AK187" s="781">
        <f t="shared" si="215"/>
        <v>0</v>
      </c>
      <c r="AL187" s="781">
        <f t="shared" si="216"/>
        <v>0</v>
      </c>
      <c r="AM187" s="781">
        <f t="shared" si="217"/>
        <v>0</v>
      </c>
      <c r="AN187" s="781">
        <f t="shared" si="218"/>
        <v>0</v>
      </c>
      <c r="AO187" s="781">
        <f t="shared" si="219"/>
        <v>0</v>
      </c>
      <c r="AP187" s="781">
        <f t="shared" si="220"/>
        <v>0</v>
      </c>
      <c r="AQ187" s="781">
        <f t="shared" si="221"/>
        <v>0</v>
      </c>
      <c r="AR187" s="781">
        <f t="shared" si="222"/>
        <v>0</v>
      </c>
      <c r="AS187" s="783">
        <f t="shared" si="223"/>
        <v>0</v>
      </c>
      <c r="AT187" s="917"/>
      <c r="AW187" s="832"/>
      <c r="AX187" s="833"/>
      <c r="BM187" s="2010">
        <f t="shared" si="235"/>
        <v>0</v>
      </c>
    </row>
    <row r="188" spans="1:65" ht="38.25" hidden="1" outlineLevel="1" x14ac:dyDescent="0.25">
      <c r="A188" s="784"/>
      <c r="B188" s="904">
        <f t="shared" si="185"/>
        <v>172</v>
      </c>
      <c r="C188" s="170" t="str">
        <f t="shared" si="184"/>
        <v>45TN</v>
      </c>
      <c r="D188" s="557"/>
      <c r="E188" s="170"/>
      <c r="F188" s="170">
        <v>45</v>
      </c>
      <c r="G188" s="2007" t="s">
        <v>3255</v>
      </c>
      <c r="H188" s="2632">
        <f>+(X188/2000)*J188</f>
        <v>0</v>
      </c>
      <c r="I188" s="2008" t="s">
        <v>1323</v>
      </c>
      <c r="J188" s="1926"/>
      <c r="K188" s="1926" t="s">
        <v>732</v>
      </c>
      <c r="L188" s="170"/>
      <c r="M188" s="2009">
        <v>17.67469439883233</v>
      </c>
      <c r="N188" s="2010">
        <v>1</v>
      </c>
      <c r="O188" s="773">
        <f>+M188*N188</f>
        <v>17.67469439883233</v>
      </c>
      <c r="P188" s="2008" t="s">
        <v>39</v>
      </c>
      <c r="Q188" s="2008" t="s">
        <v>604</v>
      </c>
      <c r="R188" s="2011" t="s">
        <v>74</v>
      </c>
      <c r="S188" s="912">
        <f>SUMIF('Data Input sheet'!$B$118:$B$180,R188,'Data Input sheet'!$D$118:$D$180)</f>
        <v>152</v>
      </c>
      <c r="T188" s="2685">
        <f>+O188*S188</f>
        <v>2686.553548622514</v>
      </c>
      <c r="U188" s="2013">
        <v>69.742000000000004</v>
      </c>
      <c r="V188" s="2777">
        <f t="shared" si="238"/>
        <v>1233</v>
      </c>
      <c r="W188" s="2010">
        <v>6625.4789272030639</v>
      </c>
      <c r="X188" s="779">
        <v>4384.8</v>
      </c>
      <c r="Y188" s="2012">
        <v>0</v>
      </c>
      <c r="Z188" s="780">
        <f>T188+V188+W188+Y188</f>
        <v>10545.032475825577</v>
      </c>
      <c r="AA188" s="1886"/>
      <c r="AB188" s="2007"/>
      <c r="AC188" s="765"/>
      <c r="AD188" s="781">
        <f t="shared" si="208"/>
        <v>0</v>
      </c>
      <c r="AE188" s="778">
        <f t="shared" si="209"/>
        <v>0</v>
      </c>
      <c r="AF188" s="781">
        <f t="shared" si="210"/>
        <v>0</v>
      </c>
      <c r="AG188" s="781">
        <f t="shared" si="211"/>
        <v>0</v>
      </c>
      <c r="AH188" s="781">
        <f t="shared" si="212"/>
        <v>0</v>
      </c>
      <c r="AI188" s="782">
        <f t="shared" si="213"/>
        <v>0</v>
      </c>
      <c r="AJ188" s="781">
        <f t="shared" si="214"/>
        <v>0</v>
      </c>
      <c r="AK188" s="781">
        <f t="shared" si="215"/>
        <v>0</v>
      </c>
      <c r="AL188" s="781">
        <f t="shared" si="216"/>
        <v>0</v>
      </c>
      <c r="AM188" s="781">
        <f t="shared" si="217"/>
        <v>0</v>
      </c>
      <c r="AN188" s="781">
        <f t="shared" si="218"/>
        <v>0</v>
      </c>
      <c r="AO188" s="781">
        <f t="shared" si="219"/>
        <v>0</v>
      </c>
      <c r="AP188" s="781">
        <f t="shared" si="220"/>
        <v>0</v>
      </c>
      <c r="AQ188" s="781">
        <f t="shared" si="221"/>
        <v>0</v>
      </c>
      <c r="AR188" s="781">
        <f t="shared" si="222"/>
        <v>0</v>
      </c>
      <c r="AS188" s="783">
        <f t="shared" si="223"/>
        <v>0</v>
      </c>
      <c r="AT188" s="917"/>
      <c r="AW188" s="832"/>
      <c r="AX188" s="833" t="s">
        <v>3383</v>
      </c>
      <c r="BM188" s="2010">
        <f t="shared" si="235"/>
        <v>0</v>
      </c>
    </row>
    <row r="189" spans="1:65" ht="38.25" hidden="1" outlineLevel="1" x14ac:dyDescent="0.25">
      <c r="A189" s="784"/>
      <c r="B189" s="904">
        <f t="shared" si="185"/>
        <v>173</v>
      </c>
      <c r="C189" s="170" t="str">
        <f t="shared" si="184"/>
        <v>45TN</v>
      </c>
      <c r="D189" s="557"/>
      <c r="E189" s="170"/>
      <c r="F189" s="170">
        <v>45</v>
      </c>
      <c r="G189" s="2007" t="s">
        <v>3256</v>
      </c>
      <c r="H189" s="2632">
        <f>+(X189/2000)*J189</f>
        <v>0</v>
      </c>
      <c r="I189" s="2008" t="s">
        <v>1323</v>
      </c>
      <c r="J189" s="1926"/>
      <c r="K189" s="1926" t="s">
        <v>732</v>
      </c>
      <c r="L189" s="170"/>
      <c r="M189" s="2009">
        <v>21.629919062238347</v>
      </c>
      <c r="N189" s="2010">
        <v>1</v>
      </c>
      <c r="O189" s="773">
        <f>+M189*N189</f>
        <v>21.629919062238347</v>
      </c>
      <c r="P189" s="2008" t="s">
        <v>39</v>
      </c>
      <c r="Q189" s="2008" t="s">
        <v>604</v>
      </c>
      <c r="R189" s="2011" t="s">
        <v>74</v>
      </c>
      <c r="S189" s="912">
        <f>SUMIF('Data Input sheet'!$B$118:$B$180,R189,'Data Input sheet'!$D$118:$D$180)</f>
        <v>152</v>
      </c>
      <c r="T189" s="2685">
        <f>+O189*S189</f>
        <v>3287.7476974602287</v>
      </c>
      <c r="U189" s="2013">
        <v>69.709999999999994</v>
      </c>
      <c r="V189" s="2777">
        <f t="shared" si="238"/>
        <v>1508</v>
      </c>
      <c r="W189" s="2010">
        <v>6652.8328216578275</v>
      </c>
      <c r="X189" s="779">
        <v>3583</v>
      </c>
      <c r="Y189" s="2012">
        <v>0</v>
      </c>
      <c r="Z189" s="780">
        <f>T189+V189+W189+Y189</f>
        <v>11448.580519118055</v>
      </c>
      <c r="AA189" s="1886"/>
      <c r="AB189" s="2007"/>
      <c r="AC189" s="765"/>
      <c r="AD189" s="781">
        <f t="shared" si="208"/>
        <v>0</v>
      </c>
      <c r="AE189" s="778">
        <f t="shared" si="209"/>
        <v>0</v>
      </c>
      <c r="AF189" s="781">
        <f t="shared" si="210"/>
        <v>0</v>
      </c>
      <c r="AG189" s="781">
        <f t="shared" si="211"/>
        <v>0</v>
      </c>
      <c r="AH189" s="781">
        <f t="shared" si="212"/>
        <v>0</v>
      </c>
      <c r="AI189" s="782">
        <f t="shared" si="213"/>
        <v>0</v>
      </c>
      <c r="AJ189" s="781">
        <f t="shared" si="214"/>
        <v>0</v>
      </c>
      <c r="AK189" s="781">
        <f t="shared" si="215"/>
        <v>0</v>
      </c>
      <c r="AL189" s="781">
        <f t="shared" si="216"/>
        <v>0</v>
      </c>
      <c r="AM189" s="781">
        <f t="shared" si="217"/>
        <v>0</v>
      </c>
      <c r="AN189" s="781">
        <f t="shared" si="218"/>
        <v>0</v>
      </c>
      <c r="AO189" s="781">
        <f t="shared" si="219"/>
        <v>0</v>
      </c>
      <c r="AP189" s="781">
        <f t="shared" si="220"/>
        <v>0</v>
      </c>
      <c r="AQ189" s="781">
        <f t="shared" si="221"/>
        <v>0</v>
      </c>
      <c r="AR189" s="781">
        <f t="shared" si="222"/>
        <v>0</v>
      </c>
      <c r="AS189" s="783">
        <f t="shared" si="223"/>
        <v>0</v>
      </c>
      <c r="AT189" s="917"/>
      <c r="AW189" s="832"/>
      <c r="AX189" s="833" t="s">
        <v>3384</v>
      </c>
      <c r="BM189" s="2010">
        <f t="shared" si="235"/>
        <v>0</v>
      </c>
    </row>
    <row r="190" spans="1:65" ht="15" hidden="1" outlineLevel="1" x14ac:dyDescent="0.25">
      <c r="A190" s="784"/>
      <c r="B190" s="904">
        <f t="shared" si="185"/>
        <v>174</v>
      </c>
      <c r="C190" s="170" t="str">
        <f t="shared" si="184"/>
        <v>45TN</v>
      </c>
      <c r="D190" s="557"/>
      <c r="E190" s="170"/>
      <c r="F190" s="170">
        <v>45</v>
      </c>
      <c r="G190" s="2007" t="s">
        <v>2471</v>
      </c>
      <c r="H190" s="2632">
        <f t="shared" si="236"/>
        <v>0</v>
      </c>
      <c r="I190" s="2008" t="s">
        <v>1323</v>
      </c>
      <c r="J190" s="1926"/>
      <c r="K190" s="1926" t="s">
        <v>732</v>
      </c>
      <c r="L190" s="170"/>
      <c r="M190" s="2009">
        <v>30</v>
      </c>
      <c r="N190" s="2010">
        <v>1</v>
      </c>
      <c r="O190" s="773">
        <f t="shared" si="232"/>
        <v>30</v>
      </c>
      <c r="P190" s="2008" t="s">
        <v>39</v>
      </c>
      <c r="Q190" s="2008" t="s">
        <v>604</v>
      </c>
      <c r="R190" s="2011" t="s">
        <v>74</v>
      </c>
      <c r="S190" s="912">
        <f>SUMIF('Data Input sheet'!$B$118:$B$180,R190,'Data Input sheet'!$D$118:$D$180)</f>
        <v>152</v>
      </c>
      <c r="T190" s="2685">
        <f t="shared" si="233"/>
        <v>4560</v>
      </c>
      <c r="U190" s="2013">
        <v>28</v>
      </c>
      <c r="V190" s="2777">
        <f t="shared" si="238"/>
        <v>840</v>
      </c>
      <c r="W190" s="2010">
        <f t="shared" si="237"/>
        <v>5080</v>
      </c>
      <c r="X190" s="779">
        <v>666.66666666666663</v>
      </c>
      <c r="Y190" s="2012">
        <v>0</v>
      </c>
      <c r="Z190" s="780">
        <f t="shared" si="234"/>
        <v>10480</v>
      </c>
      <c r="AA190" s="2007"/>
      <c r="AB190" s="2007"/>
      <c r="AC190" s="765"/>
      <c r="AD190" s="781">
        <f t="shared" si="208"/>
        <v>0</v>
      </c>
      <c r="AE190" s="778">
        <f t="shared" si="209"/>
        <v>0</v>
      </c>
      <c r="AF190" s="781">
        <f t="shared" si="210"/>
        <v>0</v>
      </c>
      <c r="AG190" s="781">
        <f t="shared" si="211"/>
        <v>0</v>
      </c>
      <c r="AH190" s="781">
        <f t="shared" si="212"/>
        <v>0</v>
      </c>
      <c r="AI190" s="782">
        <f t="shared" si="213"/>
        <v>0</v>
      </c>
      <c r="AJ190" s="781">
        <f t="shared" si="214"/>
        <v>0</v>
      </c>
      <c r="AK190" s="781">
        <f t="shared" si="215"/>
        <v>0</v>
      </c>
      <c r="AL190" s="781">
        <f t="shared" si="216"/>
        <v>0</v>
      </c>
      <c r="AM190" s="781">
        <f t="shared" si="217"/>
        <v>0</v>
      </c>
      <c r="AN190" s="781">
        <f t="shared" si="218"/>
        <v>0</v>
      </c>
      <c r="AO190" s="781">
        <f t="shared" si="219"/>
        <v>0</v>
      </c>
      <c r="AP190" s="781">
        <f t="shared" si="220"/>
        <v>0</v>
      </c>
      <c r="AQ190" s="781">
        <f t="shared" si="221"/>
        <v>0</v>
      </c>
      <c r="AR190" s="781">
        <f t="shared" si="222"/>
        <v>0</v>
      </c>
      <c r="AS190" s="783">
        <f t="shared" si="223"/>
        <v>0</v>
      </c>
      <c r="AT190" s="917"/>
      <c r="AW190" s="832"/>
      <c r="AX190" s="833"/>
      <c r="BM190" s="2010">
        <f t="shared" si="235"/>
        <v>0</v>
      </c>
    </row>
    <row r="191" spans="1:65" ht="15" hidden="1" outlineLevel="1" x14ac:dyDescent="0.25">
      <c r="A191" s="784"/>
      <c r="B191" s="904">
        <f t="shared" si="185"/>
        <v>175</v>
      </c>
      <c r="C191" s="170" t="str">
        <f t="shared" si="184"/>
        <v>45TN</v>
      </c>
      <c r="D191" s="557"/>
      <c r="E191" s="170"/>
      <c r="F191" s="170">
        <v>45</v>
      </c>
      <c r="G191" s="2007" t="s">
        <v>2472</v>
      </c>
      <c r="H191" s="2632">
        <f t="shared" si="236"/>
        <v>0</v>
      </c>
      <c r="I191" s="2008" t="s">
        <v>1323</v>
      </c>
      <c r="J191" s="1926"/>
      <c r="K191" s="1926" t="s">
        <v>732</v>
      </c>
      <c r="L191" s="170"/>
      <c r="M191" s="2009">
        <v>30</v>
      </c>
      <c r="N191" s="2010">
        <v>1</v>
      </c>
      <c r="O191" s="773">
        <f t="shared" si="232"/>
        <v>30</v>
      </c>
      <c r="P191" s="2008" t="s">
        <v>39</v>
      </c>
      <c r="Q191" s="2008" t="s">
        <v>604</v>
      </c>
      <c r="R191" s="2011" t="s">
        <v>74</v>
      </c>
      <c r="S191" s="912">
        <f>SUMIF('Data Input sheet'!$B$118:$B$180,R191,'Data Input sheet'!$D$118:$D$180)</f>
        <v>152</v>
      </c>
      <c r="T191" s="2685">
        <f t="shared" si="233"/>
        <v>4560</v>
      </c>
      <c r="U191" s="2013">
        <v>28</v>
      </c>
      <c r="V191" s="2777">
        <f t="shared" si="238"/>
        <v>840</v>
      </c>
      <c r="W191" s="2010">
        <f t="shared" si="237"/>
        <v>5080</v>
      </c>
      <c r="X191" s="779">
        <v>666.66666666666663</v>
      </c>
      <c r="Y191" s="2012">
        <v>0</v>
      </c>
      <c r="Z191" s="780">
        <f t="shared" si="234"/>
        <v>10480</v>
      </c>
      <c r="AA191" s="2007"/>
      <c r="AB191" s="2007"/>
      <c r="AC191" s="765"/>
      <c r="AD191" s="781">
        <f t="shared" si="208"/>
        <v>0</v>
      </c>
      <c r="AE191" s="778">
        <f t="shared" si="209"/>
        <v>0</v>
      </c>
      <c r="AF191" s="781">
        <f t="shared" si="210"/>
        <v>0</v>
      </c>
      <c r="AG191" s="781">
        <f t="shared" si="211"/>
        <v>0</v>
      </c>
      <c r="AH191" s="781">
        <f t="shared" si="212"/>
        <v>0</v>
      </c>
      <c r="AI191" s="782">
        <f t="shared" si="213"/>
        <v>0</v>
      </c>
      <c r="AJ191" s="781">
        <f t="shared" si="214"/>
        <v>0</v>
      </c>
      <c r="AK191" s="781">
        <f t="shared" si="215"/>
        <v>0</v>
      </c>
      <c r="AL191" s="781">
        <f t="shared" si="216"/>
        <v>0</v>
      </c>
      <c r="AM191" s="781">
        <f t="shared" si="217"/>
        <v>0</v>
      </c>
      <c r="AN191" s="781">
        <f t="shared" si="218"/>
        <v>0</v>
      </c>
      <c r="AO191" s="781">
        <f t="shared" si="219"/>
        <v>0</v>
      </c>
      <c r="AP191" s="781">
        <f t="shared" si="220"/>
        <v>0</v>
      </c>
      <c r="AQ191" s="781">
        <f t="shared" si="221"/>
        <v>0</v>
      </c>
      <c r="AR191" s="781">
        <f t="shared" si="222"/>
        <v>0</v>
      </c>
      <c r="AS191" s="783">
        <f t="shared" si="223"/>
        <v>0</v>
      </c>
      <c r="AT191" s="917"/>
      <c r="AW191" s="832"/>
      <c r="AX191" s="833"/>
      <c r="BM191" s="2010">
        <f t="shared" si="235"/>
        <v>0</v>
      </c>
    </row>
    <row r="192" spans="1:65" ht="15" hidden="1" outlineLevel="1" x14ac:dyDescent="0.25">
      <c r="A192" s="784"/>
      <c r="B192" s="904">
        <f t="shared" si="185"/>
        <v>176</v>
      </c>
      <c r="C192" s="170" t="str">
        <f t="shared" si="184"/>
        <v>45TN</v>
      </c>
      <c r="D192" s="557"/>
      <c r="E192" s="170"/>
      <c r="F192" s="170">
        <v>45</v>
      </c>
      <c r="G192" s="2007" t="s">
        <v>2473</v>
      </c>
      <c r="H192" s="2632">
        <f t="shared" si="236"/>
        <v>0</v>
      </c>
      <c r="I192" s="2008" t="s">
        <v>1323</v>
      </c>
      <c r="J192" s="1926"/>
      <c r="K192" s="1926" t="s">
        <v>732</v>
      </c>
      <c r="L192" s="170"/>
      <c r="M192" s="2009">
        <v>30</v>
      </c>
      <c r="N192" s="2010">
        <v>1</v>
      </c>
      <c r="O192" s="773">
        <f t="shared" si="232"/>
        <v>30</v>
      </c>
      <c r="P192" s="2008" t="s">
        <v>39</v>
      </c>
      <c r="Q192" s="2008" t="s">
        <v>604</v>
      </c>
      <c r="R192" s="2011" t="s">
        <v>74</v>
      </c>
      <c r="S192" s="912">
        <f>SUMIF('Data Input sheet'!$B$118:$B$180,R192,'Data Input sheet'!$D$118:$D$180)</f>
        <v>152</v>
      </c>
      <c r="T192" s="2685">
        <f t="shared" si="233"/>
        <v>4560</v>
      </c>
      <c r="U192" s="2013">
        <v>28</v>
      </c>
      <c r="V192" s="2777">
        <f t="shared" si="238"/>
        <v>840</v>
      </c>
      <c r="W192" s="2010">
        <f t="shared" si="237"/>
        <v>5080</v>
      </c>
      <c r="X192" s="779">
        <v>366.66666666666669</v>
      </c>
      <c r="Y192" s="2012">
        <v>0</v>
      </c>
      <c r="Z192" s="780">
        <f t="shared" si="234"/>
        <v>10480</v>
      </c>
      <c r="AA192" s="2007"/>
      <c r="AB192" s="2007"/>
      <c r="AC192" s="765"/>
      <c r="AD192" s="781">
        <f t="shared" si="208"/>
        <v>0</v>
      </c>
      <c r="AE192" s="778">
        <f t="shared" si="209"/>
        <v>0</v>
      </c>
      <c r="AF192" s="781">
        <f t="shared" si="210"/>
        <v>0</v>
      </c>
      <c r="AG192" s="781">
        <f t="shared" si="211"/>
        <v>0</v>
      </c>
      <c r="AH192" s="781">
        <f t="shared" si="212"/>
        <v>0</v>
      </c>
      <c r="AI192" s="782">
        <f t="shared" si="213"/>
        <v>0</v>
      </c>
      <c r="AJ192" s="781">
        <f t="shared" si="214"/>
        <v>0</v>
      </c>
      <c r="AK192" s="781">
        <f t="shared" si="215"/>
        <v>0</v>
      </c>
      <c r="AL192" s="781">
        <f t="shared" si="216"/>
        <v>0</v>
      </c>
      <c r="AM192" s="781">
        <f t="shared" si="217"/>
        <v>0</v>
      </c>
      <c r="AN192" s="781">
        <f t="shared" si="218"/>
        <v>0</v>
      </c>
      <c r="AO192" s="781">
        <f t="shared" si="219"/>
        <v>0</v>
      </c>
      <c r="AP192" s="781">
        <f t="shared" si="220"/>
        <v>0</v>
      </c>
      <c r="AQ192" s="781">
        <f t="shared" si="221"/>
        <v>0</v>
      </c>
      <c r="AR192" s="781">
        <f t="shared" si="222"/>
        <v>0</v>
      </c>
      <c r="AS192" s="783">
        <f t="shared" si="223"/>
        <v>0</v>
      </c>
      <c r="AT192" s="917"/>
      <c r="AW192" s="832"/>
      <c r="AX192" s="833"/>
      <c r="BM192" s="2010">
        <f t="shared" si="235"/>
        <v>0</v>
      </c>
    </row>
    <row r="193" spans="1:65" ht="15" hidden="1" outlineLevel="1" x14ac:dyDescent="0.25">
      <c r="A193" s="784"/>
      <c r="B193" s="904">
        <f t="shared" si="185"/>
        <v>177</v>
      </c>
      <c r="C193" s="170" t="str">
        <f t="shared" si="184"/>
        <v>45TN</v>
      </c>
      <c r="D193" s="557"/>
      <c r="E193" s="170"/>
      <c r="F193" s="170">
        <v>45</v>
      </c>
      <c r="G193" s="2007" t="s">
        <v>2474</v>
      </c>
      <c r="H193" s="2632">
        <f t="shared" si="236"/>
        <v>0</v>
      </c>
      <c r="I193" s="2008" t="s">
        <v>1323</v>
      </c>
      <c r="J193" s="1926"/>
      <c r="K193" s="1926" t="s">
        <v>732</v>
      </c>
      <c r="L193" s="170"/>
      <c r="M193" s="2009">
        <v>30</v>
      </c>
      <c r="N193" s="2010">
        <v>1</v>
      </c>
      <c r="O193" s="773">
        <f t="shared" si="232"/>
        <v>30</v>
      </c>
      <c r="P193" s="2008" t="s">
        <v>39</v>
      </c>
      <c r="Q193" s="2008" t="s">
        <v>604</v>
      </c>
      <c r="R193" s="2011" t="s">
        <v>74</v>
      </c>
      <c r="S193" s="912">
        <f>SUMIF('Data Input sheet'!$B$118:$B$180,R193,'Data Input sheet'!$D$118:$D$180)</f>
        <v>152</v>
      </c>
      <c r="T193" s="2685">
        <f t="shared" si="233"/>
        <v>4560</v>
      </c>
      <c r="U193" s="2013">
        <v>35</v>
      </c>
      <c r="V193" s="2777">
        <f t="shared" si="238"/>
        <v>1050</v>
      </c>
      <c r="W193" s="2010">
        <f t="shared" si="237"/>
        <v>5080</v>
      </c>
      <c r="X193" s="779">
        <v>6632</v>
      </c>
      <c r="Y193" s="2012">
        <v>0</v>
      </c>
      <c r="Z193" s="780">
        <f t="shared" si="234"/>
        <v>10690</v>
      </c>
      <c r="AA193" s="2007"/>
      <c r="AB193" s="2007"/>
      <c r="AC193" s="765"/>
      <c r="AD193" s="781">
        <f t="shared" si="208"/>
        <v>0</v>
      </c>
      <c r="AE193" s="778">
        <f t="shared" si="209"/>
        <v>0</v>
      </c>
      <c r="AF193" s="781">
        <f t="shared" si="210"/>
        <v>0</v>
      </c>
      <c r="AG193" s="781">
        <f t="shared" si="211"/>
        <v>0</v>
      </c>
      <c r="AH193" s="781">
        <f t="shared" si="212"/>
        <v>0</v>
      </c>
      <c r="AI193" s="782">
        <f t="shared" si="213"/>
        <v>0</v>
      </c>
      <c r="AJ193" s="781">
        <f t="shared" si="214"/>
        <v>0</v>
      </c>
      <c r="AK193" s="781">
        <f t="shared" si="215"/>
        <v>0</v>
      </c>
      <c r="AL193" s="781">
        <f t="shared" si="216"/>
        <v>0</v>
      </c>
      <c r="AM193" s="781">
        <f t="shared" si="217"/>
        <v>0</v>
      </c>
      <c r="AN193" s="781">
        <f t="shared" si="218"/>
        <v>0</v>
      </c>
      <c r="AO193" s="781">
        <f t="shared" si="219"/>
        <v>0</v>
      </c>
      <c r="AP193" s="781">
        <f t="shared" si="220"/>
        <v>0</v>
      </c>
      <c r="AQ193" s="781">
        <f t="shared" si="221"/>
        <v>0</v>
      </c>
      <c r="AR193" s="781">
        <f t="shared" si="222"/>
        <v>0</v>
      </c>
      <c r="AS193" s="783">
        <f t="shared" si="223"/>
        <v>0</v>
      </c>
      <c r="AT193" s="917"/>
      <c r="AW193" s="832"/>
      <c r="AX193" s="833" t="s">
        <v>2024</v>
      </c>
      <c r="BM193" s="2010">
        <f t="shared" si="235"/>
        <v>0</v>
      </c>
    </row>
    <row r="194" spans="1:65" ht="15" hidden="1" outlineLevel="1" x14ac:dyDescent="0.25">
      <c r="A194" s="784"/>
      <c r="B194" s="904">
        <f t="shared" si="185"/>
        <v>178</v>
      </c>
      <c r="C194" s="170" t="str">
        <f t="shared" si="184"/>
        <v>45TN</v>
      </c>
      <c r="D194" s="557"/>
      <c r="E194" s="170"/>
      <c r="F194" s="170">
        <v>45</v>
      </c>
      <c r="G194" s="2007" t="s">
        <v>2475</v>
      </c>
      <c r="H194" s="2632">
        <f t="shared" si="236"/>
        <v>0</v>
      </c>
      <c r="I194" s="2008" t="s">
        <v>1323</v>
      </c>
      <c r="J194" s="1926"/>
      <c r="K194" s="1926" t="s">
        <v>732</v>
      </c>
      <c r="L194" s="170"/>
      <c r="M194" s="2009">
        <v>30</v>
      </c>
      <c r="N194" s="2010">
        <v>1</v>
      </c>
      <c r="O194" s="773">
        <f t="shared" si="232"/>
        <v>30</v>
      </c>
      <c r="P194" s="2008" t="s">
        <v>39</v>
      </c>
      <c r="Q194" s="2008" t="s">
        <v>604</v>
      </c>
      <c r="R194" s="2011" t="s">
        <v>74</v>
      </c>
      <c r="S194" s="912">
        <f>SUMIF('Data Input sheet'!$B$118:$B$180,R194,'Data Input sheet'!$D$118:$D$180)</f>
        <v>152</v>
      </c>
      <c r="T194" s="2685">
        <f t="shared" si="233"/>
        <v>4560</v>
      </c>
      <c r="U194" s="2013">
        <v>28</v>
      </c>
      <c r="V194" s="2777">
        <f t="shared" si="238"/>
        <v>840</v>
      </c>
      <c r="W194" s="2010">
        <f t="shared" si="237"/>
        <v>5080</v>
      </c>
      <c r="X194" s="779">
        <v>1222.2222222222222</v>
      </c>
      <c r="Y194" s="2012">
        <v>0</v>
      </c>
      <c r="Z194" s="780">
        <f t="shared" si="234"/>
        <v>10480</v>
      </c>
      <c r="AA194" s="2007"/>
      <c r="AB194" s="2007"/>
      <c r="AC194" s="765"/>
      <c r="AD194" s="781">
        <f t="shared" si="208"/>
        <v>0</v>
      </c>
      <c r="AE194" s="778">
        <f t="shared" si="209"/>
        <v>0</v>
      </c>
      <c r="AF194" s="781">
        <f t="shared" si="210"/>
        <v>0</v>
      </c>
      <c r="AG194" s="781">
        <f t="shared" si="211"/>
        <v>0</v>
      </c>
      <c r="AH194" s="781">
        <f t="shared" si="212"/>
        <v>0</v>
      </c>
      <c r="AI194" s="782">
        <f t="shared" si="213"/>
        <v>0</v>
      </c>
      <c r="AJ194" s="781">
        <f t="shared" si="214"/>
        <v>0</v>
      </c>
      <c r="AK194" s="781">
        <f t="shared" si="215"/>
        <v>0</v>
      </c>
      <c r="AL194" s="781">
        <f t="shared" si="216"/>
        <v>0</v>
      </c>
      <c r="AM194" s="781">
        <f t="shared" si="217"/>
        <v>0</v>
      </c>
      <c r="AN194" s="781">
        <f t="shared" si="218"/>
        <v>0</v>
      </c>
      <c r="AO194" s="781">
        <f t="shared" si="219"/>
        <v>0</v>
      </c>
      <c r="AP194" s="781">
        <f t="shared" si="220"/>
        <v>0</v>
      </c>
      <c r="AQ194" s="781">
        <f t="shared" si="221"/>
        <v>0</v>
      </c>
      <c r="AR194" s="781">
        <f t="shared" si="222"/>
        <v>0</v>
      </c>
      <c r="AS194" s="783">
        <f t="shared" si="223"/>
        <v>0</v>
      </c>
      <c r="AT194" s="917"/>
      <c r="AW194" s="832"/>
      <c r="AX194" s="833"/>
      <c r="BM194" s="2010">
        <f t="shared" si="235"/>
        <v>0</v>
      </c>
    </row>
    <row r="195" spans="1:65" ht="15" hidden="1" outlineLevel="1" x14ac:dyDescent="0.25">
      <c r="A195" s="784"/>
      <c r="B195" s="904">
        <f t="shared" si="185"/>
        <v>179</v>
      </c>
      <c r="C195" s="170" t="str">
        <f t="shared" si="184"/>
        <v>45TN</v>
      </c>
      <c r="D195" s="557"/>
      <c r="E195" s="170"/>
      <c r="F195" s="170">
        <v>45</v>
      </c>
      <c r="G195" s="2007" t="s">
        <v>3257</v>
      </c>
      <c r="H195" s="2632">
        <f>+(X195/2000)*J195</f>
        <v>0</v>
      </c>
      <c r="I195" s="2008" t="s">
        <v>1323</v>
      </c>
      <c r="J195" s="1926"/>
      <c r="K195" s="1926" t="s">
        <v>732</v>
      </c>
      <c r="L195" s="170"/>
      <c r="M195" s="2009">
        <v>10.714285714285714</v>
      </c>
      <c r="N195" s="2010">
        <v>1</v>
      </c>
      <c r="O195" s="773">
        <f>+M195*N195</f>
        <v>10.714285714285714</v>
      </c>
      <c r="P195" s="2008" t="s">
        <v>39</v>
      </c>
      <c r="Q195" s="2008" t="s">
        <v>604</v>
      </c>
      <c r="R195" s="2011" t="s">
        <v>74</v>
      </c>
      <c r="S195" s="912">
        <f>SUMIF('Data Input sheet'!$B$118:$B$180,R195,'Data Input sheet'!$D$118:$D$180)</f>
        <v>152</v>
      </c>
      <c r="T195" s="2685">
        <f>+O195*S195</f>
        <v>1628.5714285714284</v>
      </c>
      <c r="U195" s="2776">
        <v>56.667999999999999</v>
      </c>
      <c r="V195" s="2777">
        <f t="shared" si="238"/>
        <v>607</v>
      </c>
      <c r="W195" s="2010">
        <v>6496.4285714285706</v>
      </c>
      <c r="X195" s="779">
        <v>560</v>
      </c>
      <c r="Y195" s="2012">
        <v>0</v>
      </c>
      <c r="Z195" s="780">
        <f>T195+V195+W195+Y195</f>
        <v>8732</v>
      </c>
      <c r="AA195" s="1886"/>
      <c r="AB195" s="2007"/>
      <c r="AC195" s="765"/>
      <c r="AD195" s="781">
        <f t="shared" si="208"/>
        <v>0</v>
      </c>
      <c r="AE195" s="778">
        <f t="shared" si="209"/>
        <v>0</v>
      </c>
      <c r="AF195" s="781">
        <f t="shared" si="210"/>
        <v>0</v>
      </c>
      <c r="AG195" s="781">
        <f t="shared" si="211"/>
        <v>0</v>
      </c>
      <c r="AH195" s="781">
        <f t="shared" si="212"/>
        <v>0</v>
      </c>
      <c r="AI195" s="782">
        <f t="shared" si="213"/>
        <v>0</v>
      </c>
      <c r="AJ195" s="781">
        <f t="shared" si="214"/>
        <v>0</v>
      </c>
      <c r="AK195" s="781">
        <f t="shared" si="215"/>
        <v>0</v>
      </c>
      <c r="AL195" s="781">
        <f t="shared" si="216"/>
        <v>0</v>
      </c>
      <c r="AM195" s="781">
        <f t="shared" si="217"/>
        <v>0</v>
      </c>
      <c r="AN195" s="781">
        <f t="shared" si="218"/>
        <v>0</v>
      </c>
      <c r="AO195" s="781">
        <f t="shared" si="219"/>
        <v>0</v>
      </c>
      <c r="AP195" s="781">
        <f t="shared" si="220"/>
        <v>0</v>
      </c>
      <c r="AQ195" s="781">
        <f t="shared" si="221"/>
        <v>0</v>
      </c>
      <c r="AR195" s="781">
        <f t="shared" si="222"/>
        <v>0</v>
      </c>
      <c r="AS195" s="783">
        <f t="shared" si="223"/>
        <v>0</v>
      </c>
      <c r="AT195" s="917"/>
      <c r="AW195" s="832"/>
      <c r="AX195" s="833" t="s">
        <v>3258</v>
      </c>
      <c r="BM195" s="2010">
        <f t="shared" si="235"/>
        <v>0</v>
      </c>
    </row>
    <row r="196" spans="1:65" ht="15" hidden="1" outlineLevel="1" x14ac:dyDescent="0.25">
      <c r="A196" s="784"/>
      <c r="B196" s="904">
        <f t="shared" si="185"/>
        <v>180</v>
      </c>
      <c r="C196" s="170" t="str">
        <f t="shared" si="184"/>
        <v>45TN</v>
      </c>
      <c r="D196" s="557"/>
      <c r="E196" s="170"/>
      <c r="F196" s="170">
        <v>45</v>
      </c>
      <c r="G196" s="2007" t="s">
        <v>2476</v>
      </c>
      <c r="H196" s="2632">
        <f t="shared" si="236"/>
        <v>0</v>
      </c>
      <c r="I196" s="2008" t="s">
        <v>1323</v>
      </c>
      <c r="J196" s="1926"/>
      <c r="K196" s="1926" t="s">
        <v>732</v>
      </c>
      <c r="L196" s="170"/>
      <c r="M196" s="2009">
        <v>30</v>
      </c>
      <c r="N196" s="2010">
        <v>1</v>
      </c>
      <c r="O196" s="773">
        <f t="shared" si="232"/>
        <v>30</v>
      </c>
      <c r="P196" s="2008" t="s">
        <v>39</v>
      </c>
      <c r="Q196" s="2008" t="s">
        <v>604</v>
      </c>
      <c r="R196" s="2011" t="s">
        <v>74</v>
      </c>
      <c r="S196" s="912">
        <f>SUMIF('Data Input sheet'!$B$118:$B$180,R196,'Data Input sheet'!$D$118:$D$180)</f>
        <v>152</v>
      </c>
      <c r="T196" s="2685">
        <f t="shared" si="233"/>
        <v>4560</v>
      </c>
      <c r="U196" s="2013">
        <v>28</v>
      </c>
      <c r="V196" s="2777">
        <f t="shared" si="238"/>
        <v>840</v>
      </c>
      <c r="W196" s="2010">
        <f t="shared" si="237"/>
        <v>5080</v>
      </c>
      <c r="X196" s="779">
        <v>666.66666666666663</v>
      </c>
      <c r="Y196" s="2012">
        <v>0</v>
      </c>
      <c r="Z196" s="780">
        <f t="shared" si="234"/>
        <v>10480</v>
      </c>
      <c r="AA196" s="2007"/>
      <c r="AB196" s="2007"/>
      <c r="AC196" s="765"/>
      <c r="AD196" s="781">
        <f t="shared" si="208"/>
        <v>0</v>
      </c>
      <c r="AE196" s="778">
        <f t="shared" si="209"/>
        <v>0</v>
      </c>
      <c r="AF196" s="781">
        <f t="shared" si="210"/>
        <v>0</v>
      </c>
      <c r="AG196" s="781">
        <f t="shared" si="211"/>
        <v>0</v>
      </c>
      <c r="AH196" s="781">
        <f t="shared" si="212"/>
        <v>0</v>
      </c>
      <c r="AI196" s="782">
        <f t="shared" si="213"/>
        <v>0</v>
      </c>
      <c r="AJ196" s="781">
        <f t="shared" si="214"/>
        <v>0</v>
      </c>
      <c r="AK196" s="781">
        <f t="shared" si="215"/>
        <v>0</v>
      </c>
      <c r="AL196" s="781">
        <f t="shared" si="216"/>
        <v>0</v>
      </c>
      <c r="AM196" s="781">
        <f t="shared" si="217"/>
        <v>0</v>
      </c>
      <c r="AN196" s="781">
        <f t="shared" si="218"/>
        <v>0</v>
      </c>
      <c r="AO196" s="781">
        <f t="shared" si="219"/>
        <v>0</v>
      </c>
      <c r="AP196" s="781">
        <f t="shared" si="220"/>
        <v>0</v>
      </c>
      <c r="AQ196" s="781">
        <f t="shared" si="221"/>
        <v>0</v>
      </c>
      <c r="AR196" s="781">
        <f t="shared" si="222"/>
        <v>0</v>
      </c>
      <c r="AS196" s="783">
        <f t="shared" si="223"/>
        <v>0</v>
      </c>
      <c r="AT196" s="917"/>
      <c r="AW196" s="832"/>
      <c r="AX196" s="833"/>
      <c r="BM196" s="2010">
        <f t="shared" si="235"/>
        <v>0</v>
      </c>
    </row>
    <row r="197" spans="1:65" ht="15" hidden="1" outlineLevel="1" x14ac:dyDescent="0.25">
      <c r="A197" s="784"/>
      <c r="B197" s="904">
        <f t="shared" si="185"/>
        <v>181</v>
      </c>
      <c r="C197" s="170" t="str">
        <f t="shared" si="184"/>
        <v>45EA</v>
      </c>
      <c r="D197" s="557"/>
      <c r="E197" s="170"/>
      <c r="F197" s="170">
        <v>45</v>
      </c>
      <c r="G197" s="2007" t="s">
        <v>2477</v>
      </c>
      <c r="H197" s="2632">
        <f>+J197</f>
        <v>0</v>
      </c>
      <c r="I197" s="2008" t="s">
        <v>732</v>
      </c>
      <c r="J197" s="1926"/>
      <c r="K197" s="1926" t="s">
        <v>732</v>
      </c>
      <c r="L197" s="170"/>
      <c r="M197" s="2009">
        <v>30</v>
      </c>
      <c r="N197" s="2010">
        <v>1</v>
      </c>
      <c r="O197" s="773">
        <f t="shared" si="232"/>
        <v>30</v>
      </c>
      <c r="P197" s="2008" t="s">
        <v>39</v>
      </c>
      <c r="Q197" s="2008" t="s">
        <v>604</v>
      </c>
      <c r="R197" s="2011" t="s">
        <v>74</v>
      </c>
      <c r="S197" s="912">
        <f>SUMIF('Data Input sheet'!$B$118:$B$180,R197,'Data Input sheet'!$D$118:$D$180)</f>
        <v>152</v>
      </c>
      <c r="T197" s="2685">
        <f t="shared" si="233"/>
        <v>4560</v>
      </c>
      <c r="U197" s="2013">
        <v>50</v>
      </c>
      <c r="V197" s="778">
        <f t="shared" si="238"/>
        <v>1500</v>
      </c>
      <c r="W197" s="2010">
        <v>6500</v>
      </c>
      <c r="X197" s="779">
        <v>5555.5555555555557</v>
      </c>
      <c r="Y197" s="2012">
        <v>0</v>
      </c>
      <c r="Z197" s="780">
        <f t="shared" si="234"/>
        <v>12560</v>
      </c>
      <c r="AA197" s="2007"/>
      <c r="AB197" s="2007"/>
      <c r="AC197" s="765"/>
      <c r="AD197" s="781">
        <f t="shared" si="208"/>
        <v>0</v>
      </c>
      <c r="AE197" s="778">
        <f t="shared" si="209"/>
        <v>0</v>
      </c>
      <c r="AF197" s="781">
        <f t="shared" si="210"/>
        <v>0</v>
      </c>
      <c r="AG197" s="781">
        <f t="shared" si="211"/>
        <v>0</v>
      </c>
      <c r="AH197" s="781">
        <f t="shared" si="212"/>
        <v>0</v>
      </c>
      <c r="AI197" s="782">
        <f t="shared" si="213"/>
        <v>0</v>
      </c>
      <c r="AJ197" s="781">
        <f t="shared" si="214"/>
        <v>0</v>
      </c>
      <c r="AK197" s="781">
        <f t="shared" si="215"/>
        <v>0</v>
      </c>
      <c r="AL197" s="781">
        <f t="shared" si="216"/>
        <v>0</v>
      </c>
      <c r="AM197" s="781">
        <f t="shared" si="217"/>
        <v>0</v>
      </c>
      <c r="AN197" s="781">
        <f t="shared" si="218"/>
        <v>0</v>
      </c>
      <c r="AO197" s="781">
        <f t="shared" si="219"/>
        <v>0</v>
      </c>
      <c r="AP197" s="781">
        <f t="shared" si="220"/>
        <v>0</v>
      </c>
      <c r="AQ197" s="781">
        <f t="shared" si="221"/>
        <v>0</v>
      </c>
      <c r="AR197" s="781">
        <f t="shared" si="222"/>
        <v>0</v>
      </c>
      <c r="AS197" s="783">
        <f t="shared" si="223"/>
        <v>0</v>
      </c>
      <c r="AT197" s="917"/>
      <c r="AW197" s="832"/>
      <c r="AX197" s="833" t="s">
        <v>1901</v>
      </c>
      <c r="BM197" s="2010">
        <v>6500</v>
      </c>
    </row>
    <row r="198" spans="1:65" ht="15" hidden="1" outlineLevel="1" x14ac:dyDescent="0.25">
      <c r="A198" s="784"/>
      <c r="B198" s="904">
        <f t="shared" si="185"/>
        <v>182</v>
      </c>
      <c r="C198" s="170" t="str">
        <f t="shared" si="184"/>
        <v>45EA</v>
      </c>
      <c r="D198" s="557"/>
      <c r="E198" s="170"/>
      <c r="F198" s="170">
        <v>45</v>
      </c>
      <c r="G198" s="2007" t="s">
        <v>2478</v>
      </c>
      <c r="H198" s="2634">
        <f>+J198</f>
        <v>0</v>
      </c>
      <c r="I198" s="2008" t="s">
        <v>732</v>
      </c>
      <c r="J198" s="1926"/>
      <c r="K198" s="1926" t="s">
        <v>732</v>
      </c>
      <c r="L198" s="170"/>
      <c r="M198" s="2009">
        <v>40</v>
      </c>
      <c r="N198" s="2010">
        <v>1</v>
      </c>
      <c r="O198" s="773">
        <f t="shared" si="232"/>
        <v>40</v>
      </c>
      <c r="P198" s="2008" t="s">
        <v>39</v>
      </c>
      <c r="Q198" s="2008" t="s">
        <v>604</v>
      </c>
      <c r="R198" s="2011" t="s">
        <v>74</v>
      </c>
      <c r="S198" s="912">
        <f>SUMIF('Data Input sheet'!$B$118:$B$180,R198,'Data Input sheet'!$D$118:$D$180)</f>
        <v>152</v>
      </c>
      <c r="T198" s="2685">
        <f t="shared" si="233"/>
        <v>6080</v>
      </c>
      <c r="U198" s="2013">
        <v>55</v>
      </c>
      <c r="V198" s="778">
        <f t="shared" si="238"/>
        <v>2200</v>
      </c>
      <c r="W198" s="2010">
        <v>10000</v>
      </c>
      <c r="X198" s="779">
        <v>5000</v>
      </c>
      <c r="Y198" s="2012">
        <v>0</v>
      </c>
      <c r="Z198" s="780">
        <f t="shared" si="234"/>
        <v>18280</v>
      </c>
      <c r="AA198" s="2007"/>
      <c r="AB198" s="2007"/>
      <c r="AC198" s="765"/>
      <c r="AD198" s="781">
        <f t="shared" si="208"/>
        <v>0</v>
      </c>
      <c r="AE198" s="778">
        <f t="shared" si="209"/>
        <v>0</v>
      </c>
      <c r="AF198" s="781">
        <f t="shared" si="210"/>
        <v>0</v>
      </c>
      <c r="AG198" s="781">
        <f t="shared" si="211"/>
        <v>0</v>
      </c>
      <c r="AH198" s="781">
        <f t="shared" si="212"/>
        <v>0</v>
      </c>
      <c r="AI198" s="782">
        <f t="shared" si="213"/>
        <v>0</v>
      </c>
      <c r="AJ198" s="781">
        <f t="shared" si="214"/>
        <v>0</v>
      </c>
      <c r="AK198" s="781">
        <f t="shared" si="215"/>
        <v>0</v>
      </c>
      <c r="AL198" s="781">
        <f t="shared" si="216"/>
        <v>0</v>
      </c>
      <c r="AM198" s="781">
        <f t="shared" si="217"/>
        <v>0</v>
      </c>
      <c r="AN198" s="781">
        <f t="shared" si="218"/>
        <v>0</v>
      </c>
      <c r="AO198" s="781">
        <f t="shared" si="219"/>
        <v>0</v>
      </c>
      <c r="AP198" s="781">
        <f t="shared" si="220"/>
        <v>0</v>
      </c>
      <c r="AQ198" s="781">
        <f t="shared" si="221"/>
        <v>0</v>
      </c>
      <c r="AR198" s="781">
        <f t="shared" si="222"/>
        <v>0</v>
      </c>
      <c r="AS198" s="783">
        <f t="shared" si="223"/>
        <v>0</v>
      </c>
      <c r="AT198" s="917"/>
      <c r="AW198" s="832"/>
      <c r="AX198" s="833" t="s">
        <v>1901</v>
      </c>
      <c r="BM198" s="2010">
        <v>10000</v>
      </c>
    </row>
    <row r="199" spans="1:65" ht="15" hidden="1" outlineLevel="1" x14ac:dyDescent="0.25">
      <c r="A199" s="784"/>
      <c r="B199" s="904">
        <f t="shared" si="185"/>
        <v>183</v>
      </c>
      <c r="C199" s="170" t="str">
        <f t="shared" si="184"/>
        <v>45TN</v>
      </c>
      <c r="D199" s="557"/>
      <c r="E199" s="170"/>
      <c r="F199" s="170">
        <v>45</v>
      </c>
      <c r="G199" s="2007" t="s">
        <v>2479</v>
      </c>
      <c r="H199" s="2631">
        <f t="shared" ref="H199" si="239">+(X199/2000)*J199</f>
        <v>0</v>
      </c>
      <c r="I199" s="2008" t="s">
        <v>1323</v>
      </c>
      <c r="J199" s="1926"/>
      <c r="K199" s="1926" t="s">
        <v>732</v>
      </c>
      <c r="L199" s="170"/>
      <c r="M199" s="2009">
        <v>20</v>
      </c>
      <c r="N199" s="2010">
        <v>1</v>
      </c>
      <c r="O199" s="773">
        <f t="shared" si="232"/>
        <v>20</v>
      </c>
      <c r="P199" s="2008" t="s">
        <v>39</v>
      </c>
      <c r="Q199" s="2008" t="s">
        <v>604</v>
      </c>
      <c r="R199" s="2011" t="s">
        <v>74</v>
      </c>
      <c r="S199" s="912">
        <f>SUMIF('Data Input sheet'!$B$118:$B$180,R199,'Data Input sheet'!$D$118:$D$180)</f>
        <v>152</v>
      </c>
      <c r="T199" s="2685">
        <f t="shared" si="233"/>
        <v>3040</v>
      </c>
      <c r="U199" s="2013">
        <v>28</v>
      </c>
      <c r="V199" s="778">
        <f t="shared" si="238"/>
        <v>560</v>
      </c>
      <c r="W199" s="2010">
        <f>ROUND(2000*$Y$3,-1)</f>
        <v>5080</v>
      </c>
      <c r="X199" s="779">
        <v>6038</v>
      </c>
      <c r="Y199" s="2012">
        <v>0</v>
      </c>
      <c r="Z199" s="780">
        <f t="shared" si="234"/>
        <v>8680</v>
      </c>
      <c r="AA199" s="2007"/>
      <c r="AB199" s="2007"/>
      <c r="AC199" s="765"/>
      <c r="AD199" s="781">
        <f t="shared" si="208"/>
        <v>0</v>
      </c>
      <c r="AE199" s="778">
        <f t="shared" si="209"/>
        <v>0</v>
      </c>
      <c r="AF199" s="781">
        <f t="shared" si="210"/>
        <v>0</v>
      </c>
      <c r="AG199" s="781">
        <f t="shared" si="211"/>
        <v>0</v>
      </c>
      <c r="AH199" s="781">
        <f t="shared" si="212"/>
        <v>0</v>
      </c>
      <c r="AI199" s="782">
        <f t="shared" si="213"/>
        <v>0</v>
      </c>
      <c r="AJ199" s="781">
        <f t="shared" si="214"/>
        <v>0</v>
      </c>
      <c r="AK199" s="781">
        <f t="shared" si="215"/>
        <v>0</v>
      </c>
      <c r="AL199" s="781">
        <f t="shared" si="216"/>
        <v>0</v>
      </c>
      <c r="AM199" s="781">
        <f t="shared" si="217"/>
        <v>0</v>
      </c>
      <c r="AN199" s="781">
        <f t="shared" si="218"/>
        <v>0</v>
      </c>
      <c r="AO199" s="781">
        <f t="shared" si="219"/>
        <v>0</v>
      </c>
      <c r="AP199" s="781">
        <f t="shared" si="220"/>
        <v>0</v>
      </c>
      <c r="AQ199" s="781">
        <f t="shared" si="221"/>
        <v>0</v>
      </c>
      <c r="AR199" s="781">
        <f t="shared" si="222"/>
        <v>0</v>
      </c>
      <c r="AS199" s="783">
        <f t="shared" si="223"/>
        <v>0</v>
      </c>
      <c r="AT199" s="917"/>
      <c r="AW199" s="832"/>
      <c r="AX199" s="833" t="s">
        <v>3077</v>
      </c>
      <c r="BM199" s="2010">
        <f>+BN199*$Y$3</f>
        <v>0</v>
      </c>
    </row>
    <row r="200" spans="1:65" ht="15" hidden="1" outlineLevel="1" x14ac:dyDescent="0.25">
      <c r="A200" s="784"/>
      <c r="B200" s="904">
        <f t="shared" si="185"/>
        <v>184</v>
      </c>
      <c r="C200" s="170" t="str">
        <f t="shared" si="184"/>
        <v>45</v>
      </c>
      <c r="D200" s="557"/>
      <c r="E200" s="170"/>
      <c r="F200" s="170">
        <v>45</v>
      </c>
      <c r="G200" s="2007"/>
      <c r="H200" s="2629"/>
      <c r="I200" s="2008"/>
      <c r="J200" s="1926"/>
      <c r="K200" s="1926"/>
      <c r="L200" s="170"/>
      <c r="M200" s="2009">
        <v>0</v>
      </c>
      <c r="N200" s="2010">
        <v>1</v>
      </c>
      <c r="O200" s="773">
        <f t="shared" si="232"/>
        <v>0</v>
      </c>
      <c r="P200" s="2008" t="s">
        <v>39</v>
      </c>
      <c r="Q200" s="2008" t="s">
        <v>604</v>
      </c>
      <c r="R200" s="2011" t="s">
        <v>74</v>
      </c>
      <c r="S200" s="912">
        <f>SUMIF('Data Input sheet'!$B$118:$B$180,R200,'Data Input sheet'!$D$118:$D$180)</f>
        <v>152</v>
      </c>
      <c r="T200" s="2685">
        <f t="shared" si="233"/>
        <v>0</v>
      </c>
      <c r="U200" s="2013">
        <v>0</v>
      </c>
      <c r="V200" s="778">
        <f t="shared" si="238"/>
        <v>0</v>
      </c>
      <c r="W200" s="2010"/>
      <c r="X200" s="779"/>
      <c r="Y200" s="2012">
        <v>0</v>
      </c>
      <c r="Z200" s="780">
        <f t="shared" si="234"/>
        <v>0</v>
      </c>
      <c r="AA200" s="2007"/>
      <c r="AB200" s="2007"/>
      <c r="AC200" s="765"/>
      <c r="AD200" s="781">
        <f t="shared" si="208"/>
        <v>0</v>
      </c>
      <c r="AE200" s="778">
        <f t="shared" si="209"/>
        <v>0</v>
      </c>
      <c r="AF200" s="781">
        <f t="shared" si="210"/>
        <v>0</v>
      </c>
      <c r="AG200" s="781">
        <f t="shared" si="211"/>
        <v>0</v>
      </c>
      <c r="AH200" s="781">
        <f t="shared" si="212"/>
        <v>0</v>
      </c>
      <c r="AI200" s="782">
        <f t="shared" si="213"/>
        <v>0</v>
      </c>
      <c r="AJ200" s="781">
        <f t="shared" si="214"/>
        <v>0</v>
      </c>
      <c r="AK200" s="781">
        <f t="shared" si="215"/>
        <v>0</v>
      </c>
      <c r="AL200" s="781">
        <f t="shared" si="216"/>
        <v>0</v>
      </c>
      <c r="AM200" s="781">
        <f t="shared" si="217"/>
        <v>0</v>
      </c>
      <c r="AN200" s="781">
        <f t="shared" si="218"/>
        <v>0</v>
      </c>
      <c r="AO200" s="781">
        <f t="shared" si="219"/>
        <v>0</v>
      </c>
      <c r="AP200" s="781">
        <f t="shared" si="220"/>
        <v>0</v>
      </c>
      <c r="AQ200" s="781">
        <f t="shared" si="221"/>
        <v>0</v>
      </c>
      <c r="AR200" s="781">
        <f t="shared" si="222"/>
        <v>0</v>
      </c>
      <c r="AS200" s="783">
        <f t="shared" si="223"/>
        <v>0</v>
      </c>
      <c r="AT200" s="917"/>
      <c r="AW200" s="832"/>
      <c r="AX200" s="833" t="s">
        <v>3030</v>
      </c>
      <c r="BM200" s="2010"/>
    </row>
    <row r="201" spans="1:65" ht="15" hidden="1" outlineLevel="1" x14ac:dyDescent="0.25">
      <c r="A201" s="784"/>
      <c r="B201" s="904">
        <f t="shared" si="185"/>
        <v>185</v>
      </c>
      <c r="C201" s="170" t="str">
        <f t="shared" si="184"/>
        <v>45</v>
      </c>
      <c r="D201" s="557"/>
      <c r="E201" s="170"/>
      <c r="F201" s="170">
        <v>45</v>
      </c>
      <c r="G201" s="2007"/>
      <c r="H201" s="2629"/>
      <c r="I201" s="2008"/>
      <c r="J201" s="1926"/>
      <c r="K201" s="1926"/>
      <c r="L201" s="170"/>
      <c r="M201" s="2009">
        <v>0</v>
      </c>
      <c r="N201" s="2010">
        <v>1</v>
      </c>
      <c r="O201" s="773">
        <f t="shared" si="232"/>
        <v>0</v>
      </c>
      <c r="P201" s="2008" t="s">
        <v>39</v>
      </c>
      <c r="Q201" s="2008" t="s">
        <v>604</v>
      </c>
      <c r="R201" s="2011" t="s">
        <v>74</v>
      </c>
      <c r="S201" s="912">
        <f>SUMIF('Data Input sheet'!$B$118:$B$180,R201,'Data Input sheet'!$D$118:$D$180)</f>
        <v>152</v>
      </c>
      <c r="T201" s="2685">
        <f t="shared" si="233"/>
        <v>0</v>
      </c>
      <c r="U201" s="2013">
        <v>0</v>
      </c>
      <c r="V201" s="778">
        <f t="shared" si="238"/>
        <v>0</v>
      </c>
      <c r="W201" s="2010"/>
      <c r="X201" s="779"/>
      <c r="Y201" s="2012">
        <v>0</v>
      </c>
      <c r="Z201" s="780">
        <f t="shared" si="234"/>
        <v>0</v>
      </c>
      <c r="AA201" s="2007"/>
      <c r="AB201" s="2007"/>
      <c r="AC201" s="765"/>
      <c r="AD201" s="781">
        <f t="shared" si="208"/>
        <v>0</v>
      </c>
      <c r="AE201" s="778">
        <f t="shared" si="209"/>
        <v>0</v>
      </c>
      <c r="AF201" s="781">
        <f t="shared" si="210"/>
        <v>0</v>
      </c>
      <c r="AG201" s="781">
        <f t="shared" si="211"/>
        <v>0</v>
      </c>
      <c r="AH201" s="781">
        <f t="shared" si="212"/>
        <v>0</v>
      </c>
      <c r="AI201" s="782">
        <f t="shared" si="213"/>
        <v>0</v>
      </c>
      <c r="AJ201" s="781">
        <f t="shared" si="214"/>
        <v>0</v>
      </c>
      <c r="AK201" s="781">
        <f t="shared" si="215"/>
        <v>0</v>
      </c>
      <c r="AL201" s="781">
        <f t="shared" si="216"/>
        <v>0</v>
      </c>
      <c r="AM201" s="781">
        <f t="shared" si="217"/>
        <v>0</v>
      </c>
      <c r="AN201" s="781">
        <f t="shared" si="218"/>
        <v>0</v>
      </c>
      <c r="AO201" s="781">
        <f t="shared" si="219"/>
        <v>0</v>
      </c>
      <c r="AP201" s="781">
        <f t="shared" si="220"/>
        <v>0</v>
      </c>
      <c r="AQ201" s="781">
        <f t="shared" si="221"/>
        <v>0</v>
      </c>
      <c r="AR201" s="781">
        <f t="shared" si="222"/>
        <v>0</v>
      </c>
      <c r="AS201" s="783">
        <f t="shared" si="223"/>
        <v>0</v>
      </c>
      <c r="AT201" s="917"/>
      <c r="AU201" s="721"/>
      <c r="AW201" s="832"/>
      <c r="AX201" s="833" t="s">
        <v>3030</v>
      </c>
      <c r="BM201" s="2010"/>
    </row>
    <row r="202" spans="1:65" ht="15" hidden="1" outlineLevel="1" x14ac:dyDescent="0.25">
      <c r="A202" s="784"/>
      <c r="B202" s="904">
        <f t="shared" si="185"/>
        <v>186</v>
      </c>
      <c r="C202" s="170" t="str">
        <f t="shared" si="184"/>
        <v>45</v>
      </c>
      <c r="D202" s="557"/>
      <c r="E202" s="170"/>
      <c r="F202" s="170">
        <v>45</v>
      </c>
      <c r="G202" s="2007"/>
      <c r="H202" s="2629"/>
      <c r="I202" s="2008"/>
      <c r="J202" s="1926"/>
      <c r="K202" s="1926"/>
      <c r="L202" s="170"/>
      <c r="M202" s="2009">
        <v>0</v>
      </c>
      <c r="N202" s="2010">
        <v>1</v>
      </c>
      <c r="O202" s="773">
        <f t="shared" si="232"/>
        <v>0</v>
      </c>
      <c r="P202" s="2008" t="s">
        <v>39</v>
      </c>
      <c r="Q202" s="2008" t="s">
        <v>604</v>
      </c>
      <c r="R202" s="2011" t="s">
        <v>74</v>
      </c>
      <c r="S202" s="912">
        <f>SUMIF('Data Input sheet'!$B$118:$B$180,R202,'Data Input sheet'!$D$118:$D$180)</f>
        <v>152</v>
      </c>
      <c r="T202" s="2685">
        <f t="shared" si="233"/>
        <v>0</v>
      </c>
      <c r="U202" s="2013">
        <v>0</v>
      </c>
      <c r="V202" s="778">
        <f t="shared" si="238"/>
        <v>0</v>
      </c>
      <c r="W202" s="2010"/>
      <c r="X202" s="779"/>
      <c r="Y202" s="2012">
        <v>0</v>
      </c>
      <c r="Z202" s="780">
        <f t="shared" si="234"/>
        <v>0</v>
      </c>
      <c r="AA202" s="2007"/>
      <c r="AB202" s="2007"/>
      <c r="AC202" s="765"/>
      <c r="AD202" s="781">
        <f t="shared" si="208"/>
        <v>0</v>
      </c>
      <c r="AE202" s="778">
        <f t="shared" si="209"/>
        <v>0</v>
      </c>
      <c r="AF202" s="781">
        <f t="shared" si="210"/>
        <v>0</v>
      </c>
      <c r="AG202" s="781">
        <f t="shared" si="211"/>
        <v>0</v>
      </c>
      <c r="AH202" s="781">
        <f t="shared" si="212"/>
        <v>0</v>
      </c>
      <c r="AI202" s="782">
        <f t="shared" si="213"/>
        <v>0</v>
      </c>
      <c r="AJ202" s="781">
        <f t="shared" si="214"/>
        <v>0</v>
      </c>
      <c r="AK202" s="781">
        <f t="shared" si="215"/>
        <v>0</v>
      </c>
      <c r="AL202" s="781">
        <f t="shared" si="216"/>
        <v>0</v>
      </c>
      <c r="AM202" s="781">
        <f t="shared" si="217"/>
        <v>0</v>
      </c>
      <c r="AN202" s="781">
        <f t="shared" si="218"/>
        <v>0</v>
      </c>
      <c r="AO202" s="781">
        <f t="shared" si="219"/>
        <v>0</v>
      </c>
      <c r="AP202" s="781">
        <f t="shared" si="220"/>
        <v>0</v>
      </c>
      <c r="AQ202" s="781">
        <f t="shared" si="221"/>
        <v>0</v>
      </c>
      <c r="AR202" s="781">
        <f t="shared" si="222"/>
        <v>0</v>
      </c>
      <c r="AS202" s="783">
        <f t="shared" si="223"/>
        <v>0</v>
      </c>
      <c r="AT202" s="917"/>
      <c r="AW202" s="832"/>
      <c r="AX202" s="833" t="s">
        <v>3030</v>
      </c>
      <c r="BM202" s="2010"/>
    </row>
    <row r="203" spans="1:65" ht="15" hidden="1" outlineLevel="1" x14ac:dyDescent="0.25">
      <c r="A203" s="784"/>
      <c r="B203" s="904">
        <f t="shared" si="185"/>
        <v>187</v>
      </c>
      <c r="C203" s="170" t="str">
        <f t="shared" si="184"/>
        <v>45</v>
      </c>
      <c r="D203" s="557"/>
      <c r="E203" s="170"/>
      <c r="F203" s="170">
        <v>45</v>
      </c>
      <c r="G203" s="2007"/>
      <c r="H203" s="2629"/>
      <c r="I203" s="2008"/>
      <c r="J203" s="1926"/>
      <c r="K203" s="1926"/>
      <c r="L203" s="170"/>
      <c r="M203" s="2009">
        <v>0</v>
      </c>
      <c r="N203" s="2010">
        <v>1</v>
      </c>
      <c r="O203" s="773">
        <f t="shared" si="232"/>
        <v>0</v>
      </c>
      <c r="P203" s="2008" t="s">
        <v>39</v>
      </c>
      <c r="Q203" s="2008" t="s">
        <v>604</v>
      </c>
      <c r="R203" s="2011" t="s">
        <v>74</v>
      </c>
      <c r="S203" s="912">
        <f>SUMIF('Data Input sheet'!$B$118:$B$180,R203,'Data Input sheet'!$D$118:$D$180)</f>
        <v>152</v>
      </c>
      <c r="T203" s="2685">
        <f t="shared" si="233"/>
        <v>0</v>
      </c>
      <c r="U203" s="2013">
        <v>0</v>
      </c>
      <c r="V203" s="778">
        <f t="shared" si="238"/>
        <v>0</v>
      </c>
      <c r="W203" s="2010"/>
      <c r="X203" s="779"/>
      <c r="Y203" s="2012">
        <v>0</v>
      </c>
      <c r="Z203" s="780">
        <f t="shared" si="234"/>
        <v>0</v>
      </c>
      <c r="AA203" s="2007"/>
      <c r="AB203" s="2007"/>
      <c r="AC203" s="765"/>
      <c r="AD203" s="781">
        <f t="shared" si="208"/>
        <v>0</v>
      </c>
      <c r="AE203" s="778">
        <f t="shared" si="209"/>
        <v>0</v>
      </c>
      <c r="AF203" s="781">
        <f t="shared" si="210"/>
        <v>0</v>
      </c>
      <c r="AG203" s="781">
        <f t="shared" si="211"/>
        <v>0</v>
      </c>
      <c r="AH203" s="781">
        <f t="shared" si="212"/>
        <v>0</v>
      </c>
      <c r="AI203" s="782">
        <f t="shared" si="213"/>
        <v>0</v>
      </c>
      <c r="AJ203" s="781">
        <f t="shared" si="214"/>
        <v>0</v>
      </c>
      <c r="AK203" s="781">
        <f t="shared" si="215"/>
        <v>0</v>
      </c>
      <c r="AL203" s="781">
        <f t="shared" si="216"/>
        <v>0</v>
      </c>
      <c r="AM203" s="781">
        <f t="shared" si="217"/>
        <v>0</v>
      </c>
      <c r="AN203" s="781">
        <f t="shared" si="218"/>
        <v>0</v>
      </c>
      <c r="AO203" s="781">
        <f t="shared" si="219"/>
        <v>0</v>
      </c>
      <c r="AP203" s="781">
        <f t="shared" si="220"/>
        <v>0</v>
      </c>
      <c r="AQ203" s="781">
        <f t="shared" si="221"/>
        <v>0</v>
      </c>
      <c r="AR203" s="781">
        <f t="shared" si="222"/>
        <v>0</v>
      </c>
      <c r="AS203" s="783">
        <f t="shared" si="223"/>
        <v>0</v>
      </c>
      <c r="AT203" s="917"/>
      <c r="AW203" s="832"/>
      <c r="AX203" s="833" t="s">
        <v>3030</v>
      </c>
      <c r="BM203" s="2010"/>
    </row>
    <row r="204" spans="1:65" ht="26.85" customHeight="1" collapsed="1" thickBot="1" x14ac:dyDescent="0.3">
      <c r="A204" s="784"/>
      <c r="B204" s="904">
        <f t="shared" si="185"/>
        <v>188</v>
      </c>
      <c r="C204" s="170" t="str">
        <f t="shared" si="184"/>
        <v/>
      </c>
      <c r="D204" s="557"/>
      <c r="E204" s="170"/>
      <c r="F204" s="721"/>
      <c r="G204" s="2625" t="s">
        <v>3269</v>
      </c>
      <c r="H204" s="2629">
        <v>1</v>
      </c>
      <c r="I204" s="2008"/>
      <c r="J204" s="1926"/>
      <c r="K204" s="1926"/>
      <c r="L204" s="170"/>
      <c r="M204" s="2009">
        <v>0</v>
      </c>
      <c r="N204" s="2010"/>
      <c r="O204" s="773">
        <f t="shared" si="232"/>
        <v>0</v>
      </c>
      <c r="P204" s="2008"/>
      <c r="Q204" s="2008"/>
      <c r="R204" s="2011"/>
      <c r="S204" s="912">
        <f>SUMIF('Data Input sheet'!$B$118:$B$180,R204,'Data Input sheet'!$D$118:$D$180)</f>
        <v>0</v>
      </c>
      <c r="T204" s="2685">
        <f t="shared" si="233"/>
        <v>0</v>
      </c>
      <c r="U204" s="2013">
        <v>0</v>
      </c>
      <c r="V204" s="778">
        <f t="shared" si="238"/>
        <v>0</v>
      </c>
      <c r="W204" s="2010"/>
      <c r="X204" s="779"/>
      <c r="Y204" s="2012">
        <v>0</v>
      </c>
      <c r="Z204" s="780">
        <f t="shared" si="234"/>
        <v>0</v>
      </c>
      <c r="AA204" s="2007"/>
      <c r="AB204" s="2007"/>
      <c r="AC204" s="765"/>
      <c r="AD204" s="781">
        <f t="shared" si="208"/>
        <v>0</v>
      </c>
      <c r="AE204" s="778">
        <f t="shared" si="209"/>
        <v>0</v>
      </c>
      <c r="AF204" s="781">
        <f t="shared" si="210"/>
        <v>0</v>
      </c>
      <c r="AG204" s="781">
        <f t="shared" si="211"/>
        <v>0</v>
      </c>
      <c r="AH204" s="781">
        <f t="shared" si="212"/>
        <v>0</v>
      </c>
      <c r="AI204" s="782">
        <f t="shared" si="213"/>
        <v>0</v>
      </c>
      <c r="AJ204" s="781">
        <f t="shared" si="214"/>
        <v>0</v>
      </c>
      <c r="AK204" s="781">
        <f t="shared" si="215"/>
        <v>0</v>
      </c>
      <c r="AL204" s="781">
        <f t="shared" si="216"/>
        <v>0</v>
      </c>
      <c r="AM204" s="781">
        <f t="shared" si="217"/>
        <v>0</v>
      </c>
      <c r="AN204" s="781">
        <f t="shared" si="218"/>
        <v>0</v>
      </c>
      <c r="AO204" s="781">
        <f t="shared" si="219"/>
        <v>0</v>
      </c>
      <c r="AP204" s="781">
        <f t="shared" si="220"/>
        <v>0</v>
      </c>
      <c r="AQ204" s="781">
        <f t="shared" si="221"/>
        <v>0</v>
      </c>
      <c r="AR204" s="781">
        <f t="shared" si="222"/>
        <v>0</v>
      </c>
      <c r="AS204" s="783">
        <f t="shared" si="223"/>
        <v>0</v>
      </c>
      <c r="AT204" s="917"/>
      <c r="AU204" s="721"/>
      <c r="AW204" s="832"/>
      <c r="AX204" s="833" t="s">
        <v>3030</v>
      </c>
      <c r="BM204" s="2010"/>
    </row>
    <row r="205" spans="1:65" ht="15.75" hidden="1" outlineLevel="1" thickBot="1" x14ac:dyDescent="0.3">
      <c r="A205" s="784"/>
      <c r="B205" s="904">
        <f t="shared" si="185"/>
        <v>189</v>
      </c>
      <c r="C205" s="170" t="str">
        <f t="shared" si="184"/>
        <v/>
      </c>
      <c r="D205" s="557"/>
      <c r="E205" s="170"/>
      <c r="F205" s="721"/>
      <c r="G205" s="2491" t="s">
        <v>3287</v>
      </c>
      <c r="H205" s="2629"/>
      <c r="I205" s="1955"/>
      <c r="J205" s="1862"/>
      <c r="K205" s="1862"/>
      <c r="L205" s="721"/>
      <c r="M205" s="2504">
        <v>0</v>
      </c>
      <c r="N205" s="2507"/>
      <c r="O205" s="911">
        <f t="shared" si="232"/>
        <v>0</v>
      </c>
      <c r="P205" s="2508"/>
      <c r="Q205" s="2508"/>
      <c r="R205" s="2011"/>
      <c r="S205" s="912">
        <f>SUMIF('Data Input sheet'!$B$118:$B$180,R205,'Data Input sheet'!$D$118:$D$180)</f>
        <v>0</v>
      </c>
      <c r="T205" s="2684">
        <f t="shared" si="233"/>
        <v>0</v>
      </c>
      <c r="U205" s="2506">
        <v>0</v>
      </c>
      <c r="V205" s="914">
        <f>ROUND(U205*O205,0)</f>
        <v>0</v>
      </c>
      <c r="W205" s="2507"/>
      <c r="X205" s="915"/>
      <c r="Y205" s="2505">
        <v>0</v>
      </c>
      <c r="Z205" s="916">
        <f t="shared" si="234"/>
        <v>0</v>
      </c>
      <c r="AA205" s="2007"/>
      <c r="AB205" s="2007"/>
      <c r="AC205" s="765"/>
      <c r="AD205" s="781">
        <f t="shared" si="208"/>
        <v>0</v>
      </c>
      <c r="AE205" s="778">
        <f t="shared" si="209"/>
        <v>0</v>
      </c>
      <c r="AF205" s="781">
        <f t="shared" si="210"/>
        <v>0</v>
      </c>
      <c r="AG205" s="781">
        <f t="shared" si="211"/>
        <v>0</v>
      </c>
      <c r="AH205" s="781">
        <f t="shared" si="212"/>
        <v>0</v>
      </c>
      <c r="AI205" s="782">
        <f t="shared" si="213"/>
        <v>0</v>
      </c>
      <c r="AJ205" s="781">
        <f t="shared" si="214"/>
        <v>0</v>
      </c>
      <c r="AK205" s="781">
        <f t="shared" si="215"/>
        <v>0</v>
      </c>
      <c r="AL205" s="781">
        <f t="shared" si="216"/>
        <v>0</v>
      </c>
      <c r="AM205" s="781">
        <f t="shared" si="217"/>
        <v>0</v>
      </c>
      <c r="AN205" s="781">
        <f t="shared" si="218"/>
        <v>0</v>
      </c>
      <c r="AO205" s="781">
        <f t="shared" si="219"/>
        <v>0</v>
      </c>
      <c r="AP205" s="781">
        <f t="shared" si="220"/>
        <v>0</v>
      </c>
      <c r="AQ205" s="781">
        <f t="shared" si="221"/>
        <v>0</v>
      </c>
      <c r="AR205" s="781">
        <f t="shared" si="222"/>
        <v>0</v>
      </c>
      <c r="AS205" s="783">
        <f t="shared" si="223"/>
        <v>0</v>
      </c>
      <c r="AT205" s="917"/>
      <c r="AW205" s="832"/>
      <c r="AX205" s="833" t="s">
        <v>3030</v>
      </c>
      <c r="BM205" s="910"/>
    </row>
    <row r="206" spans="1:65" ht="26.25" hidden="1" outlineLevel="2" thickBot="1" x14ac:dyDescent="0.3">
      <c r="A206" s="784"/>
      <c r="B206" s="904">
        <f t="shared" si="185"/>
        <v>190</v>
      </c>
      <c r="C206" s="170" t="str">
        <f t="shared" si="184"/>
        <v>53EA</v>
      </c>
      <c r="D206" s="557"/>
      <c r="E206" s="170"/>
      <c r="F206" s="721">
        <v>53</v>
      </c>
      <c r="G206" s="1862" t="s">
        <v>1990</v>
      </c>
      <c r="H206" s="2008"/>
      <c r="I206" s="2008" t="s">
        <v>732</v>
      </c>
      <c r="J206" s="1926"/>
      <c r="K206" s="1926"/>
      <c r="L206" s="170"/>
      <c r="M206" s="2009">
        <v>300</v>
      </c>
      <c r="N206" s="2010">
        <v>1</v>
      </c>
      <c r="O206" s="773">
        <f t="shared" si="232"/>
        <v>300</v>
      </c>
      <c r="P206" s="2076" t="s">
        <v>39</v>
      </c>
      <c r="Q206" s="2008" t="s">
        <v>39</v>
      </c>
      <c r="R206" s="2011" t="s">
        <v>74</v>
      </c>
      <c r="S206" s="912">
        <f>SUMIF('Data Input sheet'!$B$118:$B$180,R206,'Data Input sheet'!$D$118:$D$180)</f>
        <v>152</v>
      </c>
      <c r="T206" s="2685">
        <f t="shared" si="233"/>
        <v>45600</v>
      </c>
      <c r="U206" s="2013">
        <v>50</v>
      </c>
      <c r="V206" s="778">
        <f t="shared" ref="V206:V212" si="240">ROUND(U206*O206,0)</f>
        <v>15000</v>
      </c>
      <c r="W206" s="2010">
        <v>24760</v>
      </c>
      <c r="X206" s="779"/>
      <c r="Y206" s="2012"/>
      <c r="Z206" s="916">
        <f t="shared" si="234"/>
        <v>85360</v>
      </c>
      <c r="AA206" s="1862"/>
      <c r="AB206" s="1862"/>
      <c r="AC206" s="765"/>
      <c r="AD206" s="781">
        <f t="shared" si="208"/>
        <v>0</v>
      </c>
      <c r="AE206" s="778">
        <f t="shared" si="209"/>
        <v>0</v>
      </c>
      <c r="AF206" s="781">
        <f t="shared" si="210"/>
        <v>0</v>
      </c>
      <c r="AG206" s="781">
        <f t="shared" si="211"/>
        <v>0</v>
      </c>
      <c r="AH206" s="781">
        <f t="shared" si="212"/>
        <v>0</v>
      </c>
      <c r="AI206" s="782">
        <f t="shared" si="213"/>
        <v>0</v>
      </c>
      <c r="AJ206" s="781">
        <f t="shared" si="214"/>
        <v>0</v>
      </c>
      <c r="AK206" s="781">
        <f t="shared" si="215"/>
        <v>0</v>
      </c>
      <c r="AL206" s="781">
        <f t="shared" si="216"/>
        <v>0</v>
      </c>
      <c r="AM206" s="781">
        <f t="shared" si="217"/>
        <v>0</v>
      </c>
      <c r="AN206" s="781">
        <f t="shared" si="218"/>
        <v>0</v>
      </c>
      <c r="AO206" s="781">
        <f t="shared" si="219"/>
        <v>0</v>
      </c>
      <c r="AP206" s="781">
        <f t="shared" si="220"/>
        <v>0</v>
      </c>
      <c r="AQ206" s="781">
        <f t="shared" si="221"/>
        <v>0</v>
      </c>
      <c r="AR206" s="781">
        <f t="shared" si="222"/>
        <v>0</v>
      </c>
      <c r="AS206" s="783">
        <f t="shared" si="223"/>
        <v>0</v>
      </c>
      <c r="AT206" s="917"/>
      <c r="AW206" s="832"/>
      <c r="AX206" s="833" t="s">
        <v>2958</v>
      </c>
      <c r="BM206" s="2010">
        <v>11225</v>
      </c>
    </row>
    <row r="207" spans="1:65" ht="26.25" hidden="1" outlineLevel="2" thickBot="1" x14ac:dyDescent="0.3">
      <c r="A207" s="784"/>
      <c r="B207" s="904">
        <f t="shared" si="185"/>
        <v>191</v>
      </c>
      <c r="C207" s="170" t="str">
        <f t="shared" si="184"/>
        <v>53EA</v>
      </c>
      <c r="D207" s="557"/>
      <c r="E207" s="170"/>
      <c r="F207" s="721">
        <v>53</v>
      </c>
      <c r="G207" s="1862" t="s">
        <v>1991</v>
      </c>
      <c r="H207" s="2008"/>
      <c r="I207" s="2008" t="s">
        <v>732</v>
      </c>
      <c r="J207" s="1926"/>
      <c r="K207" s="1926"/>
      <c r="L207" s="170"/>
      <c r="M207" s="2009">
        <v>300</v>
      </c>
      <c r="N207" s="2010">
        <v>1</v>
      </c>
      <c r="O207" s="773">
        <f t="shared" si="232"/>
        <v>300</v>
      </c>
      <c r="P207" s="2076" t="s">
        <v>39</v>
      </c>
      <c r="Q207" s="2008" t="s">
        <v>39</v>
      </c>
      <c r="R207" s="2011" t="s">
        <v>74</v>
      </c>
      <c r="S207" s="912">
        <f>SUMIF('Data Input sheet'!$B$118:$B$180,R207,'Data Input sheet'!$D$118:$D$180)</f>
        <v>152</v>
      </c>
      <c r="T207" s="2685">
        <f t="shared" si="233"/>
        <v>45600</v>
      </c>
      <c r="U207" s="2013">
        <v>50</v>
      </c>
      <c r="V207" s="778">
        <f t="shared" si="240"/>
        <v>15000</v>
      </c>
      <c r="W207" s="2010">
        <v>25312</v>
      </c>
      <c r="X207" s="779"/>
      <c r="Y207" s="2012"/>
      <c r="Z207" s="916">
        <f t="shared" si="234"/>
        <v>85912</v>
      </c>
      <c r="AA207" s="1862"/>
      <c r="AB207" s="1862"/>
      <c r="AC207" s="765"/>
      <c r="AD207" s="781">
        <f t="shared" si="208"/>
        <v>0</v>
      </c>
      <c r="AE207" s="778">
        <f t="shared" si="209"/>
        <v>0</v>
      </c>
      <c r="AF207" s="781">
        <f t="shared" si="210"/>
        <v>0</v>
      </c>
      <c r="AG207" s="781">
        <f t="shared" si="211"/>
        <v>0</v>
      </c>
      <c r="AH207" s="781">
        <f t="shared" si="212"/>
        <v>0</v>
      </c>
      <c r="AI207" s="782">
        <f t="shared" si="213"/>
        <v>0</v>
      </c>
      <c r="AJ207" s="781">
        <f t="shared" si="214"/>
        <v>0</v>
      </c>
      <c r="AK207" s="781">
        <f t="shared" si="215"/>
        <v>0</v>
      </c>
      <c r="AL207" s="781">
        <f t="shared" si="216"/>
        <v>0</v>
      </c>
      <c r="AM207" s="781">
        <f t="shared" si="217"/>
        <v>0</v>
      </c>
      <c r="AN207" s="781">
        <f t="shared" si="218"/>
        <v>0</v>
      </c>
      <c r="AO207" s="781">
        <f t="shared" si="219"/>
        <v>0</v>
      </c>
      <c r="AP207" s="781">
        <f t="shared" si="220"/>
        <v>0</v>
      </c>
      <c r="AQ207" s="781">
        <f t="shared" si="221"/>
        <v>0</v>
      </c>
      <c r="AR207" s="781">
        <f t="shared" si="222"/>
        <v>0</v>
      </c>
      <c r="AS207" s="783">
        <f t="shared" si="223"/>
        <v>0</v>
      </c>
      <c r="AT207" s="917"/>
      <c r="AW207" s="832"/>
      <c r="AX207" s="833" t="s">
        <v>2958</v>
      </c>
      <c r="BM207" s="2010">
        <v>11665</v>
      </c>
    </row>
    <row r="208" spans="1:65" ht="26.25" hidden="1" outlineLevel="2" thickBot="1" x14ac:dyDescent="0.3">
      <c r="A208" s="784"/>
      <c r="B208" s="904">
        <f t="shared" si="185"/>
        <v>192</v>
      </c>
      <c r="C208" s="170" t="str">
        <f t="shared" si="184"/>
        <v>53EA</v>
      </c>
      <c r="D208" s="557"/>
      <c r="E208" s="170"/>
      <c r="F208" s="721">
        <v>53</v>
      </c>
      <c r="G208" s="1862" t="s">
        <v>1992</v>
      </c>
      <c r="H208" s="2008"/>
      <c r="I208" s="2008" t="s">
        <v>732</v>
      </c>
      <c r="J208" s="1926"/>
      <c r="K208" s="1926"/>
      <c r="L208" s="170"/>
      <c r="M208" s="2009">
        <v>300</v>
      </c>
      <c r="N208" s="2010">
        <v>1</v>
      </c>
      <c r="O208" s="773">
        <f t="shared" si="232"/>
        <v>300</v>
      </c>
      <c r="P208" s="2076" t="s">
        <v>39</v>
      </c>
      <c r="Q208" s="2008" t="s">
        <v>39</v>
      </c>
      <c r="R208" s="2011" t="s">
        <v>74</v>
      </c>
      <c r="S208" s="912">
        <f>SUMIF('Data Input sheet'!$B$118:$B$180,R208,'Data Input sheet'!$D$118:$D$180)</f>
        <v>152</v>
      </c>
      <c r="T208" s="2685">
        <f t="shared" si="233"/>
        <v>45600</v>
      </c>
      <c r="U208" s="2013">
        <v>50</v>
      </c>
      <c r="V208" s="778">
        <f t="shared" si="240"/>
        <v>15000</v>
      </c>
      <c r="W208" s="2010">
        <v>29738</v>
      </c>
      <c r="X208" s="779"/>
      <c r="Y208" s="2012"/>
      <c r="Z208" s="916">
        <f t="shared" si="234"/>
        <v>90338</v>
      </c>
      <c r="AA208" s="1862"/>
      <c r="AB208" s="1862"/>
      <c r="AC208" s="765"/>
      <c r="AD208" s="781">
        <f t="shared" si="208"/>
        <v>0</v>
      </c>
      <c r="AE208" s="778">
        <f t="shared" si="209"/>
        <v>0</v>
      </c>
      <c r="AF208" s="781">
        <f t="shared" si="210"/>
        <v>0</v>
      </c>
      <c r="AG208" s="781">
        <f t="shared" si="211"/>
        <v>0</v>
      </c>
      <c r="AH208" s="781">
        <f t="shared" si="212"/>
        <v>0</v>
      </c>
      <c r="AI208" s="782">
        <f t="shared" si="213"/>
        <v>0</v>
      </c>
      <c r="AJ208" s="781">
        <f t="shared" si="214"/>
        <v>0</v>
      </c>
      <c r="AK208" s="781">
        <f t="shared" si="215"/>
        <v>0</v>
      </c>
      <c r="AL208" s="781">
        <f t="shared" si="216"/>
        <v>0</v>
      </c>
      <c r="AM208" s="781">
        <f t="shared" si="217"/>
        <v>0</v>
      </c>
      <c r="AN208" s="781">
        <f t="shared" si="218"/>
        <v>0</v>
      </c>
      <c r="AO208" s="781">
        <f t="shared" si="219"/>
        <v>0</v>
      </c>
      <c r="AP208" s="781">
        <f t="shared" si="220"/>
        <v>0</v>
      </c>
      <c r="AQ208" s="781">
        <f t="shared" si="221"/>
        <v>0</v>
      </c>
      <c r="AR208" s="781">
        <f t="shared" si="222"/>
        <v>0</v>
      </c>
      <c r="AS208" s="783">
        <f t="shared" si="223"/>
        <v>0</v>
      </c>
      <c r="AT208" s="917"/>
      <c r="AW208" s="832"/>
      <c r="AX208" s="833" t="s">
        <v>2958</v>
      </c>
      <c r="BM208" s="2010">
        <v>15310</v>
      </c>
    </row>
    <row r="209" spans="1:65" ht="51.75" hidden="1" outlineLevel="2" thickBot="1" x14ac:dyDescent="0.3">
      <c r="A209" s="784"/>
      <c r="B209" s="904">
        <f t="shared" si="185"/>
        <v>193</v>
      </c>
      <c r="C209" s="170" t="str">
        <f t="shared" si="184"/>
        <v>53EA</v>
      </c>
      <c r="D209" s="557"/>
      <c r="E209" s="170"/>
      <c r="F209" s="721">
        <v>53</v>
      </c>
      <c r="G209" s="1862" t="s">
        <v>1993</v>
      </c>
      <c r="H209" s="2008"/>
      <c r="I209" s="2008" t="s">
        <v>732</v>
      </c>
      <c r="J209" s="1926"/>
      <c r="K209" s="1926"/>
      <c r="L209" s="170"/>
      <c r="M209" s="2009">
        <v>350</v>
      </c>
      <c r="N209" s="2010">
        <v>1</v>
      </c>
      <c r="O209" s="773">
        <f t="shared" si="232"/>
        <v>350</v>
      </c>
      <c r="P209" s="2076" t="s">
        <v>39</v>
      </c>
      <c r="Q209" s="2008" t="s">
        <v>39</v>
      </c>
      <c r="R209" s="2011" t="s">
        <v>74</v>
      </c>
      <c r="S209" s="912">
        <f>SUMIF('Data Input sheet'!$B$118:$B$180,R209,'Data Input sheet'!$D$118:$D$180)</f>
        <v>152</v>
      </c>
      <c r="T209" s="2685">
        <f t="shared" si="233"/>
        <v>53200</v>
      </c>
      <c r="U209" s="2013">
        <v>50</v>
      </c>
      <c r="V209" s="778">
        <f t="shared" si="240"/>
        <v>17500</v>
      </c>
      <c r="W209" s="2010">
        <v>30466</v>
      </c>
      <c r="X209" s="779"/>
      <c r="Y209" s="2012"/>
      <c r="Z209" s="916">
        <f t="shared" si="234"/>
        <v>101166</v>
      </c>
      <c r="AA209" s="1862"/>
      <c r="AB209" s="1862"/>
      <c r="AC209" s="765"/>
      <c r="AD209" s="781">
        <f t="shared" si="208"/>
        <v>0</v>
      </c>
      <c r="AE209" s="778">
        <f t="shared" si="209"/>
        <v>0</v>
      </c>
      <c r="AF209" s="781">
        <f t="shared" si="210"/>
        <v>0</v>
      </c>
      <c r="AG209" s="781">
        <f t="shared" si="211"/>
        <v>0</v>
      </c>
      <c r="AH209" s="781">
        <f t="shared" si="212"/>
        <v>0</v>
      </c>
      <c r="AI209" s="782">
        <f t="shared" si="213"/>
        <v>0</v>
      </c>
      <c r="AJ209" s="781">
        <f t="shared" si="214"/>
        <v>0</v>
      </c>
      <c r="AK209" s="781">
        <f t="shared" si="215"/>
        <v>0</v>
      </c>
      <c r="AL209" s="781">
        <f t="shared" si="216"/>
        <v>0</v>
      </c>
      <c r="AM209" s="781">
        <f t="shared" si="217"/>
        <v>0</v>
      </c>
      <c r="AN209" s="781">
        <f t="shared" si="218"/>
        <v>0</v>
      </c>
      <c r="AO209" s="781">
        <f t="shared" si="219"/>
        <v>0</v>
      </c>
      <c r="AP209" s="781">
        <f t="shared" si="220"/>
        <v>0</v>
      </c>
      <c r="AQ209" s="781">
        <f t="shared" si="221"/>
        <v>0</v>
      </c>
      <c r="AR209" s="781">
        <f t="shared" si="222"/>
        <v>0</v>
      </c>
      <c r="AS209" s="783">
        <f t="shared" si="223"/>
        <v>0</v>
      </c>
      <c r="AT209" s="917"/>
      <c r="AW209" s="832"/>
      <c r="AX209" s="833" t="s">
        <v>2959</v>
      </c>
      <c r="BM209" s="2010">
        <f>5800+11225</f>
        <v>17025</v>
      </c>
    </row>
    <row r="210" spans="1:65" ht="51.75" hidden="1" outlineLevel="2" thickBot="1" x14ac:dyDescent="0.3">
      <c r="A210" s="784"/>
      <c r="B210" s="904">
        <f t="shared" si="185"/>
        <v>194</v>
      </c>
      <c r="C210" s="170" t="str">
        <f t="shared" si="184"/>
        <v>53EA</v>
      </c>
      <c r="D210" s="557"/>
      <c r="E210" s="170"/>
      <c r="F210" s="721">
        <v>53</v>
      </c>
      <c r="G210" s="1862" t="s">
        <v>1994</v>
      </c>
      <c r="H210" s="2008"/>
      <c r="I210" s="2008" t="s">
        <v>732</v>
      </c>
      <c r="J210" s="1926">
        <v>0</v>
      </c>
      <c r="K210" s="1926"/>
      <c r="L210" s="170"/>
      <c r="M210" s="2009">
        <v>350</v>
      </c>
      <c r="N210" s="2010">
        <v>1</v>
      </c>
      <c r="O210" s="773">
        <f t="shared" si="232"/>
        <v>350</v>
      </c>
      <c r="P210" s="2076" t="s">
        <v>39</v>
      </c>
      <c r="Q210" s="2008" t="s">
        <v>39</v>
      </c>
      <c r="R210" s="2011" t="s">
        <v>74</v>
      </c>
      <c r="S210" s="912">
        <f>SUMIF('Data Input sheet'!$B$118:$B$180,R210,'Data Input sheet'!$D$118:$D$180)</f>
        <v>152</v>
      </c>
      <c r="T210" s="2685">
        <f t="shared" si="233"/>
        <v>53200</v>
      </c>
      <c r="U210" s="2013">
        <v>50</v>
      </c>
      <c r="V210" s="778">
        <f t="shared" si="240"/>
        <v>17500</v>
      </c>
      <c r="W210" s="2010">
        <v>31018</v>
      </c>
      <c r="X210" s="779"/>
      <c r="Y210" s="2012"/>
      <c r="Z210" s="916">
        <f t="shared" si="234"/>
        <v>101718</v>
      </c>
      <c r="AA210" s="1862"/>
      <c r="AB210" s="1862"/>
      <c r="AC210" s="765"/>
      <c r="AD210" s="781">
        <f t="shared" si="208"/>
        <v>0</v>
      </c>
      <c r="AE210" s="778">
        <f t="shared" si="209"/>
        <v>0</v>
      </c>
      <c r="AF210" s="781">
        <f t="shared" si="210"/>
        <v>0</v>
      </c>
      <c r="AG210" s="781">
        <f t="shared" si="211"/>
        <v>0</v>
      </c>
      <c r="AH210" s="781">
        <f t="shared" si="212"/>
        <v>0</v>
      </c>
      <c r="AI210" s="782">
        <f t="shared" si="213"/>
        <v>0</v>
      </c>
      <c r="AJ210" s="781">
        <f t="shared" si="214"/>
        <v>0</v>
      </c>
      <c r="AK210" s="781">
        <f t="shared" si="215"/>
        <v>0</v>
      </c>
      <c r="AL210" s="781">
        <f t="shared" si="216"/>
        <v>0</v>
      </c>
      <c r="AM210" s="781">
        <f t="shared" si="217"/>
        <v>0</v>
      </c>
      <c r="AN210" s="781">
        <f t="shared" si="218"/>
        <v>0</v>
      </c>
      <c r="AO210" s="781">
        <f t="shared" si="219"/>
        <v>0</v>
      </c>
      <c r="AP210" s="781">
        <f t="shared" si="220"/>
        <v>0</v>
      </c>
      <c r="AQ210" s="781">
        <f t="shared" si="221"/>
        <v>0</v>
      </c>
      <c r="AR210" s="781">
        <f t="shared" si="222"/>
        <v>0</v>
      </c>
      <c r="AS210" s="783">
        <f t="shared" si="223"/>
        <v>0</v>
      </c>
      <c r="AT210" s="917"/>
      <c r="AW210" s="832"/>
      <c r="AX210" s="833" t="s">
        <v>2960</v>
      </c>
      <c r="BM210" s="2010">
        <f>5800+11665</f>
        <v>17465</v>
      </c>
    </row>
    <row r="211" spans="1:65" ht="51.75" hidden="1" outlineLevel="2" thickBot="1" x14ac:dyDescent="0.3">
      <c r="A211" s="784"/>
      <c r="B211" s="904">
        <f t="shared" si="185"/>
        <v>195</v>
      </c>
      <c r="C211" s="170" t="str">
        <f t="shared" ref="C211:C274" si="241">+F211&amp;I211</f>
        <v>53EA</v>
      </c>
      <c r="D211" s="557"/>
      <c r="E211" s="170"/>
      <c r="F211" s="721">
        <v>53</v>
      </c>
      <c r="G211" s="1862" t="s">
        <v>1995</v>
      </c>
      <c r="H211" s="2008"/>
      <c r="I211" s="2008" t="s">
        <v>732</v>
      </c>
      <c r="J211" s="1926"/>
      <c r="K211" s="1926"/>
      <c r="L211" s="170"/>
      <c r="M211" s="2009">
        <v>350</v>
      </c>
      <c r="N211" s="2010">
        <v>1</v>
      </c>
      <c r="O211" s="773">
        <f t="shared" si="232"/>
        <v>350</v>
      </c>
      <c r="P211" s="2076" t="s">
        <v>39</v>
      </c>
      <c r="Q211" s="2008" t="s">
        <v>39</v>
      </c>
      <c r="R211" s="2011" t="s">
        <v>74</v>
      </c>
      <c r="S211" s="912">
        <f>SUMIF('Data Input sheet'!$B$118:$B$180,R211,'Data Input sheet'!$D$118:$D$180)</f>
        <v>152</v>
      </c>
      <c r="T211" s="2685">
        <f t="shared" si="233"/>
        <v>53200</v>
      </c>
      <c r="U211" s="2013">
        <v>50</v>
      </c>
      <c r="V211" s="778">
        <f t="shared" si="240"/>
        <v>17500</v>
      </c>
      <c r="W211" s="2010">
        <v>35444</v>
      </c>
      <c r="X211" s="779"/>
      <c r="Y211" s="2012"/>
      <c r="Z211" s="916">
        <f t="shared" si="234"/>
        <v>106144</v>
      </c>
      <c r="AA211" s="1862"/>
      <c r="AB211" s="1862"/>
      <c r="AC211" s="765"/>
      <c r="AD211" s="781">
        <f t="shared" si="208"/>
        <v>0</v>
      </c>
      <c r="AE211" s="778">
        <f t="shared" si="209"/>
        <v>0</v>
      </c>
      <c r="AF211" s="781">
        <f t="shared" si="210"/>
        <v>0</v>
      </c>
      <c r="AG211" s="781">
        <f t="shared" si="211"/>
        <v>0</v>
      </c>
      <c r="AH211" s="781">
        <f t="shared" si="212"/>
        <v>0</v>
      </c>
      <c r="AI211" s="782">
        <f t="shared" si="213"/>
        <v>0</v>
      </c>
      <c r="AJ211" s="781">
        <f t="shared" si="214"/>
        <v>0</v>
      </c>
      <c r="AK211" s="781">
        <f t="shared" si="215"/>
        <v>0</v>
      </c>
      <c r="AL211" s="781">
        <f t="shared" si="216"/>
        <v>0</v>
      </c>
      <c r="AM211" s="781">
        <f t="shared" si="217"/>
        <v>0</v>
      </c>
      <c r="AN211" s="781">
        <f t="shared" si="218"/>
        <v>0</v>
      </c>
      <c r="AO211" s="781">
        <f t="shared" si="219"/>
        <v>0</v>
      </c>
      <c r="AP211" s="781">
        <f t="shared" si="220"/>
        <v>0</v>
      </c>
      <c r="AQ211" s="781">
        <f t="shared" si="221"/>
        <v>0</v>
      </c>
      <c r="AR211" s="781">
        <f t="shared" si="222"/>
        <v>0</v>
      </c>
      <c r="AS211" s="783">
        <f t="shared" si="223"/>
        <v>0</v>
      </c>
      <c r="AT211" s="917"/>
      <c r="AW211" s="832"/>
      <c r="AX211" s="833" t="s">
        <v>2959</v>
      </c>
      <c r="BM211" s="2010">
        <f>5800+15310</f>
        <v>21110</v>
      </c>
    </row>
    <row r="212" spans="1:65" ht="26.25" hidden="1" outlineLevel="2" thickBot="1" x14ac:dyDescent="0.3">
      <c r="A212" s="784"/>
      <c r="B212" s="904">
        <f t="shared" ref="B212:B276" si="242">+B211+1</f>
        <v>196</v>
      </c>
      <c r="C212" s="170" t="str">
        <f t="shared" si="241"/>
        <v>53EA</v>
      </c>
      <c r="D212" s="557"/>
      <c r="E212" s="170"/>
      <c r="F212" s="721">
        <v>53</v>
      </c>
      <c r="G212" s="1862" t="s">
        <v>1996</v>
      </c>
      <c r="H212" s="2008"/>
      <c r="I212" s="2008" t="s">
        <v>732</v>
      </c>
      <c r="J212" s="1926"/>
      <c r="K212" s="1926"/>
      <c r="L212" s="170"/>
      <c r="M212" s="2009">
        <v>200</v>
      </c>
      <c r="N212" s="2010">
        <v>1</v>
      </c>
      <c r="O212" s="773">
        <f t="shared" si="232"/>
        <v>200</v>
      </c>
      <c r="P212" s="2076" t="s">
        <v>39</v>
      </c>
      <c r="Q212" s="2008" t="s">
        <v>39</v>
      </c>
      <c r="R212" s="2011" t="s">
        <v>74</v>
      </c>
      <c r="S212" s="912">
        <f>SUMIF('Data Input sheet'!$B$118:$B$180,R212,'Data Input sheet'!$D$118:$D$180)</f>
        <v>152</v>
      </c>
      <c r="T212" s="2685">
        <f t="shared" si="233"/>
        <v>30400</v>
      </c>
      <c r="U212" s="2013">
        <v>35</v>
      </c>
      <c r="V212" s="778">
        <f t="shared" si="240"/>
        <v>7000</v>
      </c>
      <c r="W212" s="2010">
        <v>9010</v>
      </c>
      <c r="X212" s="779"/>
      <c r="Y212" s="2012"/>
      <c r="Z212" s="916">
        <f t="shared" si="234"/>
        <v>46410</v>
      </c>
      <c r="AA212" s="1862"/>
      <c r="AB212" s="1862"/>
      <c r="AC212" s="765"/>
      <c r="AD212" s="781">
        <f t="shared" si="208"/>
        <v>0</v>
      </c>
      <c r="AE212" s="778">
        <f t="shared" si="209"/>
        <v>0</v>
      </c>
      <c r="AF212" s="781">
        <f t="shared" si="210"/>
        <v>0</v>
      </c>
      <c r="AG212" s="781">
        <f t="shared" si="211"/>
        <v>0</v>
      </c>
      <c r="AH212" s="781">
        <f t="shared" si="212"/>
        <v>0</v>
      </c>
      <c r="AI212" s="782">
        <f t="shared" si="213"/>
        <v>0</v>
      </c>
      <c r="AJ212" s="781">
        <f t="shared" si="214"/>
        <v>0</v>
      </c>
      <c r="AK212" s="781">
        <f t="shared" si="215"/>
        <v>0</v>
      </c>
      <c r="AL212" s="781">
        <f t="shared" si="216"/>
        <v>0</v>
      </c>
      <c r="AM212" s="781">
        <f t="shared" si="217"/>
        <v>0</v>
      </c>
      <c r="AN212" s="781">
        <f t="shared" si="218"/>
        <v>0</v>
      </c>
      <c r="AO212" s="781">
        <f t="shared" si="219"/>
        <v>0</v>
      </c>
      <c r="AP212" s="781">
        <f t="shared" si="220"/>
        <v>0</v>
      </c>
      <c r="AQ212" s="781">
        <f t="shared" si="221"/>
        <v>0</v>
      </c>
      <c r="AR212" s="781">
        <f t="shared" si="222"/>
        <v>0</v>
      </c>
      <c r="AS212" s="783">
        <f t="shared" si="223"/>
        <v>0</v>
      </c>
      <c r="AT212" s="917"/>
      <c r="AW212" s="832"/>
      <c r="AX212" s="833" t="s">
        <v>2961</v>
      </c>
      <c r="BM212" s="2010">
        <v>9010</v>
      </c>
    </row>
    <row r="213" spans="1:65" ht="15.75" hidden="1" outlineLevel="2" thickBot="1" x14ac:dyDescent="0.3">
      <c r="A213" s="784"/>
      <c r="B213" s="904">
        <f t="shared" si="242"/>
        <v>197</v>
      </c>
      <c r="C213" s="170" t="str">
        <f t="shared" si="241"/>
        <v>53EA</v>
      </c>
      <c r="D213" s="557"/>
      <c r="E213" s="170"/>
      <c r="F213" s="721">
        <v>53</v>
      </c>
      <c r="G213" s="1862" t="s">
        <v>1997</v>
      </c>
      <c r="H213" s="2008"/>
      <c r="I213" s="2008" t="s">
        <v>732</v>
      </c>
      <c r="J213" s="1926"/>
      <c r="K213" s="1926"/>
      <c r="L213" s="170"/>
      <c r="M213" s="2009"/>
      <c r="N213" s="2010">
        <v>1</v>
      </c>
      <c r="O213" s="773">
        <f t="shared" si="232"/>
        <v>0</v>
      </c>
      <c r="P213" s="2076" t="s">
        <v>39</v>
      </c>
      <c r="Q213" s="2008" t="s">
        <v>39</v>
      </c>
      <c r="R213" s="2011" t="s">
        <v>74</v>
      </c>
      <c r="S213" s="912">
        <f>SUMIF('Data Input sheet'!$B$118:$B$180,R213,'Data Input sheet'!$D$118:$D$180)</f>
        <v>152</v>
      </c>
      <c r="T213" s="2685">
        <f t="shared" si="233"/>
        <v>0</v>
      </c>
      <c r="U213" s="2013">
        <v>0</v>
      </c>
      <c r="V213" s="778">
        <f t="shared" ref="V213:V214" si="243">ROUND(U213*O213,0)</f>
        <v>0</v>
      </c>
      <c r="W213" s="2010">
        <v>725</v>
      </c>
      <c r="X213" s="779"/>
      <c r="Y213" s="2012"/>
      <c r="Z213" s="916">
        <f t="shared" si="234"/>
        <v>725</v>
      </c>
      <c r="AA213" s="1862"/>
      <c r="AB213" s="1862"/>
      <c r="AC213" s="765"/>
      <c r="AD213" s="781">
        <f t="shared" si="208"/>
        <v>0</v>
      </c>
      <c r="AE213" s="778">
        <f t="shared" si="209"/>
        <v>0</v>
      </c>
      <c r="AF213" s="781">
        <f t="shared" si="210"/>
        <v>0</v>
      </c>
      <c r="AG213" s="781">
        <f t="shared" si="211"/>
        <v>0</v>
      </c>
      <c r="AH213" s="781">
        <f t="shared" si="212"/>
        <v>0</v>
      </c>
      <c r="AI213" s="782">
        <f t="shared" si="213"/>
        <v>0</v>
      </c>
      <c r="AJ213" s="781">
        <f t="shared" si="214"/>
        <v>0</v>
      </c>
      <c r="AK213" s="781">
        <f t="shared" si="215"/>
        <v>0</v>
      </c>
      <c r="AL213" s="781">
        <f t="shared" si="216"/>
        <v>0</v>
      </c>
      <c r="AM213" s="781">
        <f t="shared" si="217"/>
        <v>0</v>
      </c>
      <c r="AN213" s="781">
        <f t="shared" si="218"/>
        <v>0</v>
      </c>
      <c r="AO213" s="781">
        <f t="shared" si="219"/>
        <v>0</v>
      </c>
      <c r="AP213" s="781">
        <f t="shared" si="220"/>
        <v>0</v>
      </c>
      <c r="AQ213" s="781">
        <f t="shared" si="221"/>
        <v>0</v>
      </c>
      <c r="AR213" s="781">
        <f t="shared" si="222"/>
        <v>0</v>
      </c>
      <c r="AS213" s="783">
        <f t="shared" si="223"/>
        <v>0</v>
      </c>
      <c r="AT213" s="917"/>
      <c r="AW213" s="832"/>
      <c r="AX213" s="833" t="s">
        <v>1907</v>
      </c>
      <c r="BM213" s="2010">
        <v>725</v>
      </c>
    </row>
    <row r="214" spans="1:65" ht="15.75" hidden="1" outlineLevel="2" thickBot="1" x14ac:dyDescent="0.3">
      <c r="A214" s="784"/>
      <c r="B214" s="904">
        <f t="shared" si="242"/>
        <v>198</v>
      </c>
      <c r="C214" s="170" t="str">
        <f t="shared" si="241"/>
        <v>53EA</v>
      </c>
      <c r="D214" s="557"/>
      <c r="E214" s="170"/>
      <c r="F214" s="721">
        <v>53</v>
      </c>
      <c r="G214" s="1862" t="s">
        <v>1998</v>
      </c>
      <c r="H214" s="2008"/>
      <c r="I214" s="2008" t="s">
        <v>732</v>
      </c>
      <c r="J214" s="1926"/>
      <c r="K214" s="1926"/>
      <c r="L214" s="170"/>
      <c r="M214" s="2009"/>
      <c r="N214" s="2010">
        <v>1</v>
      </c>
      <c r="O214" s="773">
        <f t="shared" si="232"/>
        <v>0</v>
      </c>
      <c r="P214" s="2076" t="s">
        <v>39</v>
      </c>
      <c r="Q214" s="2008" t="s">
        <v>39</v>
      </c>
      <c r="R214" s="2011" t="s">
        <v>74</v>
      </c>
      <c r="S214" s="912">
        <f>SUMIF('Data Input sheet'!$B$118:$B$180,R214,'Data Input sheet'!$D$118:$D$180)</f>
        <v>152</v>
      </c>
      <c r="T214" s="2685">
        <f t="shared" si="233"/>
        <v>0</v>
      </c>
      <c r="U214" s="2013">
        <v>0</v>
      </c>
      <c r="V214" s="778">
        <f t="shared" si="243"/>
        <v>0</v>
      </c>
      <c r="W214" s="2010">
        <v>5800</v>
      </c>
      <c r="X214" s="779"/>
      <c r="Y214" s="2012"/>
      <c r="Z214" s="916">
        <f t="shared" si="234"/>
        <v>5800</v>
      </c>
      <c r="AA214" s="1862"/>
      <c r="AB214" s="1862"/>
      <c r="AC214" s="765"/>
      <c r="AD214" s="781">
        <f t="shared" ref="AD214:AD321" si="244">IF(P214="E",+ROUND(H214*O214,0),0)</f>
        <v>0</v>
      </c>
      <c r="AE214" s="778">
        <f t="shared" ref="AE214:AE321" si="245">+AF214-AD214</f>
        <v>0</v>
      </c>
      <c r="AF214" s="781">
        <f t="shared" ref="AF214:AF321" si="246">+H214*O214</f>
        <v>0</v>
      </c>
      <c r="AG214" s="781">
        <f t="shared" ref="AG214:AG321" si="247">IF(P214="E",+ROUND(T214*H214,0),0)</f>
        <v>0</v>
      </c>
      <c r="AH214" s="781">
        <f t="shared" ref="AH214:AH321" si="248">+AI214-AG214</f>
        <v>0</v>
      </c>
      <c r="AI214" s="782">
        <f t="shared" ref="AI214:AI321" si="249">+H214*T214</f>
        <v>0</v>
      </c>
      <c r="AJ214" s="781">
        <f t="shared" ref="AJ214:AJ321" si="250">IF(P214="E",+ROUND(V214*H214,0),0)</f>
        <v>0</v>
      </c>
      <c r="AK214" s="781">
        <f t="shared" ref="AK214:AK321" si="251">+AL214-AJ214</f>
        <v>0</v>
      </c>
      <c r="AL214" s="781">
        <f t="shared" ref="AL214:AL321" si="252">ROUND(V214*H214,0)</f>
        <v>0</v>
      </c>
      <c r="AM214" s="781">
        <f t="shared" ref="AM214:AM321" si="253">IF(Q214="E",+ROUND(W214*H214,0),0)</f>
        <v>0</v>
      </c>
      <c r="AN214" s="781">
        <f t="shared" ref="AN214:AN321" si="254">+AO214-AM214</f>
        <v>0</v>
      </c>
      <c r="AO214" s="781">
        <f t="shared" ref="AO214:AO321" si="255">ROUND(W214*H214,0)</f>
        <v>0</v>
      </c>
      <c r="AP214" s="781">
        <f t="shared" ref="AP214:AP321" si="256">IF(P214="E",+ROUND(Y214*H214,0),0)</f>
        <v>0</v>
      </c>
      <c r="AQ214" s="781">
        <f t="shared" ref="AQ214:AQ321" si="257">+AR214-AP214</f>
        <v>0</v>
      </c>
      <c r="AR214" s="781">
        <f t="shared" ref="AR214:AR321" si="258">ROUND(Y214*H214,0)</f>
        <v>0</v>
      </c>
      <c r="AS214" s="783">
        <f t="shared" ref="AS214:AS321" si="259">+AR214+AO214+AL214+AI214</f>
        <v>0</v>
      </c>
      <c r="AT214" s="917"/>
      <c r="AW214" s="832"/>
      <c r="AX214" s="833" t="s">
        <v>1907</v>
      </c>
      <c r="BM214" s="2010">
        <v>5800</v>
      </c>
    </row>
    <row r="215" spans="1:65" ht="51.75" hidden="1" outlineLevel="2" thickBot="1" x14ac:dyDescent="0.3">
      <c r="A215" s="784"/>
      <c r="B215" s="904">
        <f t="shared" si="242"/>
        <v>199</v>
      </c>
      <c r="C215" s="170" t="str">
        <f t="shared" si="241"/>
        <v>53EA</v>
      </c>
      <c r="D215" s="557"/>
      <c r="E215" s="170"/>
      <c r="F215" s="721">
        <v>53</v>
      </c>
      <c r="G215" s="1862" t="s">
        <v>2018</v>
      </c>
      <c r="H215" s="1926"/>
      <c r="I215" s="2008" t="s">
        <v>732</v>
      </c>
      <c r="J215" s="1926"/>
      <c r="K215" s="1926"/>
      <c r="L215" s="170"/>
      <c r="M215" s="2009">
        <v>325</v>
      </c>
      <c r="N215" s="2010">
        <v>1</v>
      </c>
      <c r="O215" s="773">
        <f t="shared" si="232"/>
        <v>325</v>
      </c>
      <c r="P215" s="2076" t="s">
        <v>39</v>
      </c>
      <c r="Q215" s="2008" t="s">
        <v>39</v>
      </c>
      <c r="R215" s="2011" t="s">
        <v>74</v>
      </c>
      <c r="S215" s="912">
        <f>SUMIF('Data Input sheet'!$B$118:$B$180,R215,'Data Input sheet'!$D$118:$D$180)</f>
        <v>152</v>
      </c>
      <c r="T215" s="2685">
        <f t="shared" si="233"/>
        <v>49400</v>
      </c>
      <c r="U215" s="2013">
        <v>50</v>
      </c>
      <c r="V215" s="778">
        <f t="shared" ref="V215:V248" si="260">ROUND(U215*O215,0)</f>
        <v>16250</v>
      </c>
      <c r="W215" s="2010">
        <v>42599.229603840002</v>
      </c>
      <c r="X215" s="779"/>
      <c r="Y215" s="2012"/>
      <c r="Z215" s="780">
        <f t="shared" si="234"/>
        <v>108249.22960384001</v>
      </c>
      <c r="AA215" s="2007"/>
      <c r="AB215" s="1862"/>
      <c r="AC215" s="765"/>
      <c r="AD215" s="781">
        <f t="shared" si="244"/>
        <v>0</v>
      </c>
      <c r="AE215" s="778">
        <f t="shared" si="245"/>
        <v>0</v>
      </c>
      <c r="AF215" s="781">
        <f t="shared" si="246"/>
        <v>0</v>
      </c>
      <c r="AG215" s="781">
        <f t="shared" si="247"/>
        <v>0</v>
      </c>
      <c r="AH215" s="781">
        <f t="shared" si="248"/>
        <v>0</v>
      </c>
      <c r="AI215" s="782">
        <f t="shared" si="249"/>
        <v>0</v>
      </c>
      <c r="AJ215" s="781">
        <f t="shared" si="250"/>
        <v>0</v>
      </c>
      <c r="AK215" s="781">
        <f t="shared" si="251"/>
        <v>0</v>
      </c>
      <c r="AL215" s="781">
        <f t="shared" si="252"/>
        <v>0</v>
      </c>
      <c r="AM215" s="781">
        <f t="shared" si="253"/>
        <v>0</v>
      </c>
      <c r="AN215" s="781">
        <f t="shared" si="254"/>
        <v>0</v>
      </c>
      <c r="AO215" s="781">
        <f t="shared" si="255"/>
        <v>0</v>
      </c>
      <c r="AP215" s="781">
        <f t="shared" si="256"/>
        <v>0</v>
      </c>
      <c r="AQ215" s="781">
        <f t="shared" si="257"/>
        <v>0</v>
      </c>
      <c r="AR215" s="781">
        <f t="shared" si="258"/>
        <v>0</v>
      </c>
      <c r="AS215" s="783">
        <f t="shared" si="259"/>
        <v>0</v>
      </c>
      <c r="AT215" s="917"/>
      <c r="AW215" s="832">
        <v>590861</v>
      </c>
      <c r="AX215" s="833" t="s">
        <v>2964</v>
      </c>
      <c r="BM215" s="2010">
        <v>42599.229603840002</v>
      </c>
    </row>
    <row r="216" spans="1:65" ht="26.25" hidden="1" outlineLevel="2" thickBot="1" x14ac:dyDescent="0.3">
      <c r="A216" s="784"/>
      <c r="B216" s="904">
        <f t="shared" si="242"/>
        <v>200</v>
      </c>
      <c r="C216" s="170" t="str">
        <f t="shared" si="241"/>
        <v>53EA</v>
      </c>
      <c r="D216" s="557"/>
      <c r="E216" s="170"/>
      <c r="F216" s="721">
        <v>53</v>
      </c>
      <c r="G216" s="1862" t="s">
        <v>1973</v>
      </c>
      <c r="H216" s="1926"/>
      <c r="I216" s="2008" t="s">
        <v>732</v>
      </c>
      <c r="J216" s="1926"/>
      <c r="K216" s="1926"/>
      <c r="L216" s="170"/>
      <c r="M216" s="2009">
        <v>200</v>
      </c>
      <c r="N216" s="2010">
        <v>1</v>
      </c>
      <c r="O216" s="773">
        <f t="shared" ref="O216:O233" si="261">+M216*N216</f>
        <v>200</v>
      </c>
      <c r="P216" s="2076" t="s">
        <v>39</v>
      </c>
      <c r="Q216" s="2008" t="s">
        <v>39</v>
      </c>
      <c r="R216" s="2011" t="s">
        <v>74</v>
      </c>
      <c r="S216" s="912">
        <f>SUMIF('Data Input sheet'!$B$118:$B$180,R216,'Data Input sheet'!$D$118:$D$180)</f>
        <v>152</v>
      </c>
      <c r="T216" s="2685">
        <f t="shared" ref="T216:T233" si="262">+O216*S216</f>
        <v>30400</v>
      </c>
      <c r="U216" s="2013">
        <v>55</v>
      </c>
      <c r="V216" s="778">
        <f t="shared" si="260"/>
        <v>11000</v>
      </c>
      <c r="W216" s="2010">
        <v>9735</v>
      </c>
      <c r="X216" s="779"/>
      <c r="Y216" s="2012"/>
      <c r="Z216" s="916">
        <f t="shared" ref="Z216:Z233" si="263">T216+V216+W216+Y216</f>
        <v>51135</v>
      </c>
      <c r="AA216" s="1862"/>
      <c r="AB216" s="1862"/>
      <c r="AC216" s="765"/>
      <c r="AD216" s="781">
        <f t="shared" ref="AD216:AD248" si="264">IF(P216="E",+ROUND(H216*O216,0),0)</f>
        <v>0</v>
      </c>
      <c r="AE216" s="778">
        <f t="shared" ref="AE216:AE248" si="265">+AF216-AD216</f>
        <v>0</v>
      </c>
      <c r="AF216" s="781">
        <f t="shared" ref="AF216:AF248" si="266">+H216*O216</f>
        <v>0</v>
      </c>
      <c r="AG216" s="781">
        <f t="shared" ref="AG216:AG248" si="267">IF(P216="E",+ROUND(T216*H216,0),0)</f>
        <v>0</v>
      </c>
      <c r="AH216" s="781">
        <f t="shared" ref="AH216:AH248" si="268">+AI216-AG216</f>
        <v>0</v>
      </c>
      <c r="AI216" s="782">
        <f t="shared" ref="AI216:AI248" si="269">+H216*T216</f>
        <v>0</v>
      </c>
      <c r="AJ216" s="781">
        <f t="shared" ref="AJ216:AJ248" si="270">IF(P216="E",+ROUND(V216*H216,0),0)</f>
        <v>0</v>
      </c>
      <c r="AK216" s="781">
        <f t="shared" ref="AK216:AK248" si="271">+AL216-AJ216</f>
        <v>0</v>
      </c>
      <c r="AL216" s="781">
        <f t="shared" ref="AL216:AL248" si="272">ROUND(V216*H216,0)</f>
        <v>0</v>
      </c>
      <c r="AM216" s="781">
        <f t="shared" ref="AM216:AM248" si="273">IF(Q216="E",+ROUND(W216*H216,0),0)</f>
        <v>0</v>
      </c>
      <c r="AN216" s="781">
        <f t="shared" ref="AN216:AN248" si="274">+AO216-AM216</f>
        <v>0</v>
      </c>
      <c r="AO216" s="781">
        <f t="shared" ref="AO216:AO248" si="275">ROUND(W216*H216,0)</f>
        <v>0</v>
      </c>
      <c r="AP216" s="781">
        <f t="shared" ref="AP216:AP248" si="276">IF(P216="E",+ROUND(Y216*H216,0),0)</f>
        <v>0</v>
      </c>
      <c r="AQ216" s="781">
        <f t="shared" ref="AQ216:AQ248" si="277">+AR216-AP216</f>
        <v>0</v>
      </c>
      <c r="AR216" s="781">
        <f t="shared" ref="AR216:AR248" si="278">ROUND(Y216*H216,0)</f>
        <v>0</v>
      </c>
      <c r="AS216" s="783">
        <f t="shared" ref="AS216:AS248" si="279">+AR216+AO216+AL216+AI216</f>
        <v>0</v>
      </c>
      <c r="AT216" s="917"/>
      <c r="AW216" s="832"/>
      <c r="AX216" s="833" t="s">
        <v>2967</v>
      </c>
      <c r="BM216" s="2010">
        <v>7160</v>
      </c>
    </row>
    <row r="217" spans="1:65" ht="26.25" hidden="1" outlineLevel="2" thickBot="1" x14ac:dyDescent="0.3">
      <c r="A217" s="784"/>
      <c r="B217" s="904">
        <f t="shared" si="242"/>
        <v>201</v>
      </c>
      <c r="C217" s="170" t="str">
        <f t="shared" si="241"/>
        <v>53EA</v>
      </c>
      <c r="D217" s="557"/>
      <c r="E217" s="170"/>
      <c r="F217" s="721">
        <v>53</v>
      </c>
      <c r="G217" s="1862" t="s">
        <v>1976</v>
      </c>
      <c r="H217" s="1926"/>
      <c r="I217" s="2008" t="s">
        <v>732</v>
      </c>
      <c r="J217" s="1926"/>
      <c r="K217" s="1926"/>
      <c r="L217" s="170"/>
      <c r="M217" s="2009">
        <v>200</v>
      </c>
      <c r="N217" s="2010">
        <v>1</v>
      </c>
      <c r="O217" s="773">
        <f t="shared" si="261"/>
        <v>200</v>
      </c>
      <c r="P217" s="2076" t="s">
        <v>39</v>
      </c>
      <c r="Q217" s="2008" t="s">
        <v>39</v>
      </c>
      <c r="R217" s="2011" t="s">
        <v>74</v>
      </c>
      <c r="S217" s="912">
        <f>SUMIF('Data Input sheet'!$B$118:$B$180,R217,'Data Input sheet'!$D$118:$D$180)</f>
        <v>152</v>
      </c>
      <c r="T217" s="2685">
        <f t="shared" si="262"/>
        <v>30400</v>
      </c>
      <c r="U217" s="2013">
        <v>55</v>
      </c>
      <c r="V217" s="778">
        <f t="shared" si="260"/>
        <v>11000</v>
      </c>
      <c r="W217" s="2010">
        <v>10114</v>
      </c>
      <c r="X217" s="779"/>
      <c r="Y217" s="2012"/>
      <c r="Z217" s="916">
        <f t="shared" si="263"/>
        <v>51514</v>
      </c>
      <c r="AA217" s="1862"/>
      <c r="AB217" s="1862"/>
      <c r="AC217" s="765"/>
      <c r="AD217" s="781">
        <f t="shared" si="264"/>
        <v>0</v>
      </c>
      <c r="AE217" s="778">
        <f t="shared" si="265"/>
        <v>0</v>
      </c>
      <c r="AF217" s="781">
        <f t="shared" si="266"/>
        <v>0</v>
      </c>
      <c r="AG217" s="781">
        <f t="shared" si="267"/>
        <v>0</v>
      </c>
      <c r="AH217" s="781">
        <f t="shared" si="268"/>
        <v>0</v>
      </c>
      <c r="AI217" s="782">
        <f t="shared" si="269"/>
        <v>0</v>
      </c>
      <c r="AJ217" s="781">
        <f t="shared" si="270"/>
        <v>0</v>
      </c>
      <c r="AK217" s="781">
        <f t="shared" si="271"/>
        <v>0</v>
      </c>
      <c r="AL217" s="781">
        <f t="shared" si="272"/>
        <v>0</v>
      </c>
      <c r="AM217" s="781">
        <f t="shared" si="273"/>
        <v>0</v>
      </c>
      <c r="AN217" s="781">
        <f t="shared" si="274"/>
        <v>0</v>
      </c>
      <c r="AO217" s="781">
        <f t="shared" si="275"/>
        <v>0</v>
      </c>
      <c r="AP217" s="781">
        <f t="shared" si="276"/>
        <v>0</v>
      </c>
      <c r="AQ217" s="781">
        <f t="shared" si="277"/>
        <v>0</v>
      </c>
      <c r="AR217" s="781">
        <f t="shared" si="278"/>
        <v>0</v>
      </c>
      <c r="AS217" s="783">
        <f t="shared" si="279"/>
        <v>0</v>
      </c>
      <c r="AT217" s="917"/>
      <c r="AW217" s="832"/>
      <c r="AX217" s="833" t="s">
        <v>2967</v>
      </c>
      <c r="BM217" s="2010">
        <v>7880</v>
      </c>
    </row>
    <row r="218" spans="1:65" ht="26.25" hidden="1" outlineLevel="2" thickBot="1" x14ac:dyDescent="0.3">
      <c r="A218" s="784"/>
      <c r="B218" s="904">
        <f t="shared" si="242"/>
        <v>202</v>
      </c>
      <c r="C218" s="170" t="str">
        <f t="shared" si="241"/>
        <v>53EA</v>
      </c>
      <c r="D218" s="557"/>
      <c r="E218" s="170"/>
      <c r="F218" s="721">
        <v>53</v>
      </c>
      <c r="G218" s="1862" t="s">
        <v>2968</v>
      </c>
      <c r="H218" s="1926"/>
      <c r="I218" s="2008" t="s">
        <v>732</v>
      </c>
      <c r="J218" s="1926"/>
      <c r="K218" s="1926"/>
      <c r="L218" s="170"/>
      <c r="M218" s="2009">
        <v>200</v>
      </c>
      <c r="N218" s="2010">
        <v>1</v>
      </c>
      <c r="O218" s="773">
        <f t="shared" si="261"/>
        <v>200</v>
      </c>
      <c r="P218" s="2076" t="s">
        <v>39</v>
      </c>
      <c r="Q218" s="2008" t="s">
        <v>39</v>
      </c>
      <c r="R218" s="2011" t="s">
        <v>74</v>
      </c>
      <c r="S218" s="912">
        <f>SUMIF('Data Input sheet'!$B$118:$B$180,R218,'Data Input sheet'!$D$118:$D$180)</f>
        <v>152</v>
      </c>
      <c r="T218" s="2685">
        <f t="shared" si="262"/>
        <v>30400</v>
      </c>
      <c r="U218" s="2013">
        <v>55</v>
      </c>
      <c r="V218" s="778">
        <f t="shared" si="260"/>
        <v>11000</v>
      </c>
      <c r="W218" s="2010">
        <v>12879</v>
      </c>
      <c r="X218" s="779"/>
      <c r="Y218" s="2012"/>
      <c r="Z218" s="916">
        <f t="shared" si="263"/>
        <v>54279</v>
      </c>
      <c r="AA218" s="1862"/>
      <c r="AB218" s="1862"/>
      <c r="AC218" s="765"/>
      <c r="AD218" s="781">
        <f t="shared" si="264"/>
        <v>0</v>
      </c>
      <c r="AE218" s="778">
        <f t="shared" si="265"/>
        <v>0</v>
      </c>
      <c r="AF218" s="781">
        <f t="shared" si="266"/>
        <v>0</v>
      </c>
      <c r="AG218" s="781">
        <f t="shared" si="267"/>
        <v>0</v>
      </c>
      <c r="AH218" s="781">
        <f t="shared" si="268"/>
        <v>0</v>
      </c>
      <c r="AI218" s="782">
        <f t="shared" si="269"/>
        <v>0</v>
      </c>
      <c r="AJ218" s="781">
        <f t="shared" si="270"/>
        <v>0</v>
      </c>
      <c r="AK218" s="781">
        <f t="shared" si="271"/>
        <v>0</v>
      </c>
      <c r="AL218" s="781">
        <f t="shared" si="272"/>
        <v>0</v>
      </c>
      <c r="AM218" s="781">
        <f t="shared" si="273"/>
        <v>0</v>
      </c>
      <c r="AN218" s="781">
        <f t="shared" si="274"/>
        <v>0</v>
      </c>
      <c r="AO218" s="781">
        <f t="shared" si="275"/>
        <v>0</v>
      </c>
      <c r="AP218" s="781">
        <f t="shared" si="276"/>
        <v>0</v>
      </c>
      <c r="AQ218" s="781">
        <f t="shared" si="277"/>
        <v>0</v>
      </c>
      <c r="AR218" s="781">
        <f t="shared" si="278"/>
        <v>0</v>
      </c>
      <c r="AS218" s="783">
        <f t="shared" si="279"/>
        <v>0</v>
      </c>
      <c r="AT218" s="917"/>
      <c r="AW218" s="832"/>
      <c r="AX218" s="833" t="s">
        <v>2967</v>
      </c>
      <c r="BM218" s="2010">
        <v>11190</v>
      </c>
    </row>
    <row r="219" spans="1:65" ht="39" hidden="1" outlineLevel="2" thickBot="1" x14ac:dyDescent="0.3">
      <c r="A219" s="784"/>
      <c r="B219" s="904">
        <f t="shared" si="242"/>
        <v>203</v>
      </c>
      <c r="C219" s="170" t="str">
        <f t="shared" si="241"/>
        <v>53EA</v>
      </c>
      <c r="D219" s="557"/>
      <c r="E219" s="170"/>
      <c r="F219" s="721">
        <v>53</v>
      </c>
      <c r="G219" s="1862" t="s">
        <v>1974</v>
      </c>
      <c r="H219" s="1926">
        <v>0</v>
      </c>
      <c r="I219" s="2008" t="s">
        <v>732</v>
      </c>
      <c r="J219" s="1926"/>
      <c r="K219" s="1926"/>
      <c r="L219" s="170"/>
      <c r="M219" s="2009">
        <v>300</v>
      </c>
      <c r="N219" s="2010">
        <v>1</v>
      </c>
      <c r="O219" s="773">
        <f t="shared" si="261"/>
        <v>300</v>
      </c>
      <c r="P219" s="2076" t="s">
        <v>39</v>
      </c>
      <c r="Q219" s="2008" t="s">
        <v>39</v>
      </c>
      <c r="R219" s="2011" t="s">
        <v>74</v>
      </c>
      <c r="S219" s="912">
        <f>SUMIF('Data Input sheet'!$B$118:$B$180,R219,'Data Input sheet'!$D$118:$D$180)</f>
        <v>152</v>
      </c>
      <c r="T219" s="2685">
        <f t="shared" si="262"/>
        <v>45600</v>
      </c>
      <c r="U219" s="2013">
        <v>55</v>
      </c>
      <c r="V219" s="778">
        <f t="shared" si="260"/>
        <v>16500</v>
      </c>
      <c r="W219" s="2010">
        <v>13660</v>
      </c>
      <c r="X219" s="779"/>
      <c r="Y219" s="2012"/>
      <c r="Z219" s="916">
        <f t="shared" si="263"/>
        <v>75760</v>
      </c>
      <c r="AA219" s="1862"/>
      <c r="AB219" s="1862"/>
      <c r="AC219" s="765"/>
      <c r="AD219" s="781">
        <f t="shared" si="264"/>
        <v>0</v>
      </c>
      <c r="AE219" s="778">
        <f t="shared" si="265"/>
        <v>0</v>
      </c>
      <c r="AF219" s="781">
        <f t="shared" si="266"/>
        <v>0</v>
      </c>
      <c r="AG219" s="781">
        <f t="shared" si="267"/>
        <v>0</v>
      </c>
      <c r="AH219" s="781">
        <f t="shared" si="268"/>
        <v>0</v>
      </c>
      <c r="AI219" s="782">
        <f t="shared" si="269"/>
        <v>0</v>
      </c>
      <c r="AJ219" s="781">
        <f t="shared" si="270"/>
        <v>0</v>
      </c>
      <c r="AK219" s="781">
        <f t="shared" si="271"/>
        <v>0</v>
      </c>
      <c r="AL219" s="781">
        <f t="shared" si="272"/>
        <v>0</v>
      </c>
      <c r="AM219" s="781">
        <f t="shared" si="273"/>
        <v>0</v>
      </c>
      <c r="AN219" s="781">
        <f t="shared" si="274"/>
        <v>0</v>
      </c>
      <c r="AO219" s="781">
        <f t="shared" si="275"/>
        <v>0</v>
      </c>
      <c r="AP219" s="781">
        <f t="shared" si="276"/>
        <v>0</v>
      </c>
      <c r="AQ219" s="781">
        <f t="shared" si="277"/>
        <v>0</v>
      </c>
      <c r="AR219" s="781">
        <f t="shared" si="278"/>
        <v>0</v>
      </c>
      <c r="AS219" s="783">
        <f t="shared" si="279"/>
        <v>0</v>
      </c>
      <c r="AT219" s="917"/>
      <c r="AW219" s="832"/>
      <c r="AX219" s="833" t="s">
        <v>2969</v>
      </c>
      <c r="BM219" s="2010">
        <f>5800+7160</f>
        <v>12960</v>
      </c>
    </row>
    <row r="220" spans="1:65" ht="39" hidden="1" outlineLevel="2" thickBot="1" x14ac:dyDescent="0.3">
      <c r="A220" s="784"/>
      <c r="B220" s="904">
        <f t="shared" si="242"/>
        <v>204</v>
      </c>
      <c r="C220" s="170" t="str">
        <f t="shared" si="241"/>
        <v>53EA</v>
      </c>
      <c r="D220" s="557"/>
      <c r="E220" s="170"/>
      <c r="F220" s="721">
        <v>53</v>
      </c>
      <c r="G220" s="1862" t="s">
        <v>1975</v>
      </c>
      <c r="H220" s="1926">
        <v>0</v>
      </c>
      <c r="I220" s="2008" t="s">
        <v>732</v>
      </c>
      <c r="J220" s="1926"/>
      <c r="K220" s="1926"/>
      <c r="L220" s="170"/>
      <c r="M220" s="2009">
        <v>300</v>
      </c>
      <c r="N220" s="2010">
        <v>1</v>
      </c>
      <c r="O220" s="773">
        <f t="shared" si="261"/>
        <v>300</v>
      </c>
      <c r="P220" s="2076" t="s">
        <v>39</v>
      </c>
      <c r="Q220" s="2008" t="s">
        <v>39</v>
      </c>
      <c r="R220" s="2011" t="s">
        <v>74</v>
      </c>
      <c r="S220" s="912">
        <f>SUMIF('Data Input sheet'!$B$118:$B$180,R220,'Data Input sheet'!$D$118:$D$180)</f>
        <v>152</v>
      </c>
      <c r="T220" s="2685">
        <f t="shared" si="262"/>
        <v>45600</v>
      </c>
      <c r="U220" s="2013">
        <v>55</v>
      </c>
      <c r="V220" s="778">
        <f t="shared" si="260"/>
        <v>16500</v>
      </c>
      <c r="W220" s="2010">
        <v>14039</v>
      </c>
      <c r="X220" s="779"/>
      <c r="Y220" s="2012"/>
      <c r="Z220" s="916">
        <f t="shared" si="263"/>
        <v>76139</v>
      </c>
      <c r="AA220" s="1862"/>
      <c r="AB220" s="1862"/>
      <c r="AC220" s="765"/>
      <c r="AD220" s="781">
        <f t="shared" si="264"/>
        <v>0</v>
      </c>
      <c r="AE220" s="778">
        <f t="shared" si="265"/>
        <v>0</v>
      </c>
      <c r="AF220" s="781">
        <f t="shared" si="266"/>
        <v>0</v>
      </c>
      <c r="AG220" s="781">
        <f t="shared" si="267"/>
        <v>0</v>
      </c>
      <c r="AH220" s="781">
        <f t="shared" si="268"/>
        <v>0</v>
      </c>
      <c r="AI220" s="782">
        <f t="shared" si="269"/>
        <v>0</v>
      </c>
      <c r="AJ220" s="781">
        <f t="shared" si="270"/>
        <v>0</v>
      </c>
      <c r="AK220" s="781">
        <f t="shared" si="271"/>
        <v>0</v>
      </c>
      <c r="AL220" s="781">
        <f t="shared" si="272"/>
        <v>0</v>
      </c>
      <c r="AM220" s="781">
        <f t="shared" si="273"/>
        <v>0</v>
      </c>
      <c r="AN220" s="781">
        <f t="shared" si="274"/>
        <v>0</v>
      </c>
      <c r="AO220" s="781">
        <f t="shared" si="275"/>
        <v>0</v>
      </c>
      <c r="AP220" s="781">
        <f t="shared" si="276"/>
        <v>0</v>
      </c>
      <c r="AQ220" s="781">
        <f t="shared" si="277"/>
        <v>0</v>
      </c>
      <c r="AR220" s="781">
        <f t="shared" si="278"/>
        <v>0</v>
      </c>
      <c r="AS220" s="783">
        <f t="shared" si="279"/>
        <v>0</v>
      </c>
      <c r="AT220" s="917"/>
      <c r="AW220" s="832"/>
      <c r="AX220" s="833" t="s">
        <v>2970</v>
      </c>
      <c r="BM220" s="2010">
        <f>5800+7880</f>
        <v>13680</v>
      </c>
    </row>
    <row r="221" spans="1:65" ht="39" hidden="1" outlineLevel="2" thickBot="1" x14ac:dyDescent="0.3">
      <c r="A221" s="784"/>
      <c r="B221" s="904">
        <f t="shared" si="242"/>
        <v>205</v>
      </c>
      <c r="C221" s="170" t="str">
        <f t="shared" si="241"/>
        <v>53EA</v>
      </c>
      <c r="D221" s="557"/>
      <c r="E221" s="170"/>
      <c r="F221" s="721">
        <v>53</v>
      </c>
      <c r="G221" s="1862" t="s">
        <v>2971</v>
      </c>
      <c r="H221" s="1926"/>
      <c r="I221" s="2008" t="s">
        <v>732</v>
      </c>
      <c r="J221" s="1926"/>
      <c r="K221" s="1926"/>
      <c r="L221" s="170"/>
      <c r="M221" s="2009">
        <v>300</v>
      </c>
      <c r="N221" s="2010">
        <v>1</v>
      </c>
      <c r="O221" s="773">
        <f t="shared" si="261"/>
        <v>300</v>
      </c>
      <c r="P221" s="2076" t="s">
        <v>39</v>
      </c>
      <c r="Q221" s="2008" t="s">
        <v>39</v>
      </c>
      <c r="R221" s="2011" t="s">
        <v>74</v>
      </c>
      <c r="S221" s="912">
        <f>SUMIF('Data Input sheet'!$B$118:$B$180,R221,'Data Input sheet'!$D$118:$D$180)</f>
        <v>152</v>
      </c>
      <c r="T221" s="2685">
        <f t="shared" si="262"/>
        <v>45600</v>
      </c>
      <c r="U221" s="2013">
        <v>55</v>
      </c>
      <c r="V221" s="778">
        <f t="shared" si="260"/>
        <v>16500</v>
      </c>
      <c r="W221" s="2010">
        <v>16804</v>
      </c>
      <c r="X221" s="779"/>
      <c r="Y221" s="2012"/>
      <c r="Z221" s="916">
        <f t="shared" si="263"/>
        <v>78904</v>
      </c>
      <c r="AA221" s="1862"/>
      <c r="AB221" s="1862"/>
      <c r="AC221" s="765"/>
      <c r="AD221" s="781">
        <f t="shared" si="264"/>
        <v>0</v>
      </c>
      <c r="AE221" s="778">
        <f t="shared" si="265"/>
        <v>0</v>
      </c>
      <c r="AF221" s="781">
        <f t="shared" si="266"/>
        <v>0</v>
      </c>
      <c r="AG221" s="781">
        <f t="shared" si="267"/>
        <v>0</v>
      </c>
      <c r="AH221" s="781">
        <f t="shared" si="268"/>
        <v>0</v>
      </c>
      <c r="AI221" s="782">
        <f t="shared" si="269"/>
        <v>0</v>
      </c>
      <c r="AJ221" s="781">
        <f t="shared" si="270"/>
        <v>0</v>
      </c>
      <c r="AK221" s="781">
        <f t="shared" si="271"/>
        <v>0</v>
      </c>
      <c r="AL221" s="781">
        <f t="shared" si="272"/>
        <v>0</v>
      </c>
      <c r="AM221" s="781">
        <f t="shared" si="273"/>
        <v>0</v>
      </c>
      <c r="AN221" s="781">
        <f t="shared" si="274"/>
        <v>0</v>
      </c>
      <c r="AO221" s="781">
        <f t="shared" si="275"/>
        <v>0</v>
      </c>
      <c r="AP221" s="781">
        <f t="shared" si="276"/>
        <v>0</v>
      </c>
      <c r="AQ221" s="781">
        <f t="shared" si="277"/>
        <v>0</v>
      </c>
      <c r="AR221" s="781">
        <f t="shared" si="278"/>
        <v>0</v>
      </c>
      <c r="AS221" s="783">
        <f t="shared" si="279"/>
        <v>0</v>
      </c>
      <c r="AT221" s="917"/>
      <c r="AW221" s="832"/>
      <c r="AX221" s="833" t="s">
        <v>2970</v>
      </c>
      <c r="BM221" s="2010">
        <f>5800+11190</f>
        <v>16990</v>
      </c>
    </row>
    <row r="222" spans="1:65" ht="26.25" hidden="1" outlineLevel="2" thickBot="1" x14ac:dyDescent="0.3">
      <c r="A222" s="784"/>
      <c r="B222" s="904">
        <f t="shared" si="242"/>
        <v>206</v>
      </c>
      <c r="C222" s="170" t="str">
        <f t="shared" si="241"/>
        <v>53EA</v>
      </c>
      <c r="D222" s="557"/>
      <c r="E222" s="170"/>
      <c r="F222" s="721">
        <v>53</v>
      </c>
      <c r="G222" s="2007" t="s">
        <v>1980</v>
      </c>
      <c r="H222" s="1926"/>
      <c r="I222" s="2008" t="s">
        <v>732</v>
      </c>
      <c r="J222" s="1926"/>
      <c r="K222" s="1926"/>
      <c r="L222" s="170"/>
      <c r="M222" s="2009">
        <v>110</v>
      </c>
      <c r="N222" s="2010">
        <v>1</v>
      </c>
      <c r="O222" s="773">
        <f t="shared" si="261"/>
        <v>110</v>
      </c>
      <c r="P222" s="2076" t="s">
        <v>39</v>
      </c>
      <c r="Q222" s="2008" t="s">
        <v>39</v>
      </c>
      <c r="R222" s="2011" t="s">
        <v>74</v>
      </c>
      <c r="S222" s="912">
        <f>SUMIF('Data Input sheet'!$B$118:$B$180,R222,'Data Input sheet'!$D$118:$D$180)</f>
        <v>152</v>
      </c>
      <c r="T222" s="2685">
        <f t="shared" si="262"/>
        <v>16720</v>
      </c>
      <c r="U222" s="2013">
        <v>55</v>
      </c>
      <c r="V222" s="778">
        <f t="shared" si="260"/>
        <v>6050</v>
      </c>
      <c r="W222" s="2010">
        <v>7548</v>
      </c>
      <c r="X222" s="779"/>
      <c r="Y222" s="2012"/>
      <c r="Z222" s="916">
        <f t="shared" si="263"/>
        <v>30318</v>
      </c>
      <c r="AA222" s="2007"/>
      <c r="AB222" s="1862"/>
      <c r="AC222" s="765"/>
      <c r="AD222" s="781">
        <f t="shared" si="264"/>
        <v>0</v>
      </c>
      <c r="AE222" s="778">
        <f t="shared" si="265"/>
        <v>0</v>
      </c>
      <c r="AF222" s="781">
        <f t="shared" si="266"/>
        <v>0</v>
      </c>
      <c r="AG222" s="781">
        <f t="shared" si="267"/>
        <v>0</v>
      </c>
      <c r="AH222" s="781">
        <f t="shared" si="268"/>
        <v>0</v>
      </c>
      <c r="AI222" s="782">
        <f t="shared" si="269"/>
        <v>0</v>
      </c>
      <c r="AJ222" s="781">
        <f t="shared" si="270"/>
        <v>0</v>
      </c>
      <c r="AK222" s="781">
        <f t="shared" si="271"/>
        <v>0</v>
      </c>
      <c r="AL222" s="781">
        <f t="shared" si="272"/>
        <v>0</v>
      </c>
      <c r="AM222" s="781">
        <f t="shared" si="273"/>
        <v>0</v>
      </c>
      <c r="AN222" s="781">
        <f t="shared" si="274"/>
        <v>0</v>
      </c>
      <c r="AO222" s="781">
        <f t="shared" si="275"/>
        <v>0</v>
      </c>
      <c r="AP222" s="781">
        <f t="shared" si="276"/>
        <v>0</v>
      </c>
      <c r="AQ222" s="781">
        <f t="shared" si="277"/>
        <v>0</v>
      </c>
      <c r="AR222" s="781">
        <f t="shared" si="278"/>
        <v>0</v>
      </c>
      <c r="AS222" s="783">
        <f t="shared" si="279"/>
        <v>0</v>
      </c>
      <c r="AT222" s="917"/>
      <c r="AW222" s="832"/>
      <c r="AX222" s="833" t="s">
        <v>2972</v>
      </c>
      <c r="BM222" s="2010">
        <v>9010</v>
      </c>
    </row>
    <row r="223" spans="1:65" ht="39" hidden="1" outlineLevel="2" thickBot="1" x14ac:dyDescent="0.3">
      <c r="A223" s="784"/>
      <c r="B223" s="904">
        <f t="shared" si="242"/>
        <v>207</v>
      </c>
      <c r="C223" s="170" t="str">
        <f t="shared" si="241"/>
        <v>53EA</v>
      </c>
      <c r="D223" s="557"/>
      <c r="E223" s="170"/>
      <c r="F223" s="721">
        <v>53</v>
      </c>
      <c r="G223" s="2007" t="s">
        <v>1981</v>
      </c>
      <c r="H223" s="1926"/>
      <c r="I223" s="2008" t="s">
        <v>732</v>
      </c>
      <c r="J223" s="1926"/>
      <c r="K223" s="1926"/>
      <c r="L223" s="170"/>
      <c r="M223" s="2009">
        <v>60</v>
      </c>
      <c r="N223" s="2010">
        <v>1</v>
      </c>
      <c r="O223" s="773">
        <f t="shared" si="261"/>
        <v>60</v>
      </c>
      <c r="P223" s="2076" t="s">
        <v>39</v>
      </c>
      <c r="Q223" s="2008" t="s">
        <v>39</v>
      </c>
      <c r="R223" s="2011" t="s">
        <v>74</v>
      </c>
      <c r="S223" s="912">
        <f>SUMIF('Data Input sheet'!$B$118:$B$180,R223,'Data Input sheet'!$D$118:$D$180)</f>
        <v>152</v>
      </c>
      <c r="T223" s="2685">
        <f t="shared" si="262"/>
        <v>9120</v>
      </c>
      <c r="U223" s="2013">
        <v>14.8</v>
      </c>
      <c r="V223" s="778">
        <f t="shared" si="260"/>
        <v>888</v>
      </c>
      <c r="W223" s="2010">
        <v>639</v>
      </c>
      <c r="X223" s="779"/>
      <c r="Y223" s="2012"/>
      <c r="Z223" s="916">
        <f t="shared" si="263"/>
        <v>10647</v>
      </c>
      <c r="AA223" s="2007"/>
      <c r="AB223" s="1862"/>
      <c r="AC223" s="765"/>
      <c r="AD223" s="781">
        <f t="shared" si="264"/>
        <v>0</v>
      </c>
      <c r="AE223" s="778">
        <f t="shared" si="265"/>
        <v>0</v>
      </c>
      <c r="AF223" s="781">
        <f t="shared" si="266"/>
        <v>0</v>
      </c>
      <c r="AG223" s="781">
        <f t="shared" si="267"/>
        <v>0</v>
      </c>
      <c r="AH223" s="781">
        <f t="shared" si="268"/>
        <v>0</v>
      </c>
      <c r="AI223" s="782">
        <f t="shared" si="269"/>
        <v>0</v>
      </c>
      <c r="AJ223" s="781">
        <f t="shared" si="270"/>
        <v>0</v>
      </c>
      <c r="AK223" s="781">
        <f t="shared" si="271"/>
        <v>0</v>
      </c>
      <c r="AL223" s="781">
        <f t="shared" si="272"/>
        <v>0</v>
      </c>
      <c r="AM223" s="781">
        <f t="shared" si="273"/>
        <v>0</v>
      </c>
      <c r="AN223" s="781">
        <f t="shared" si="274"/>
        <v>0</v>
      </c>
      <c r="AO223" s="781">
        <f t="shared" si="275"/>
        <v>0</v>
      </c>
      <c r="AP223" s="781">
        <f t="shared" si="276"/>
        <v>0</v>
      </c>
      <c r="AQ223" s="781">
        <f t="shared" si="277"/>
        <v>0</v>
      </c>
      <c r="AR223" s="781">
        <f t="shared" si="278"/>
        <v>0</v>
      </c>
      <c r="AS223" s="783">
        <f t="shared" si="279"/>
        <v>0</v>
      </c>
      <c r="AT223" s="917"/>
      <c r="AW223" s="832"/>
      <c r="AX223" s="833" t="s">
        <v>2973</v>
      </c>
      <c r="BM223" s="2010">
        <v>725</v>
      </c>
    </row>
    <row r="224" spans="1:65" ht="39" hidden="1" outlineLevel="2" thickBot="1" x14ac:dyDescent="0.3">
      <c r="A224" s="784"/>
      <c r="B224" s="904">
        <f t="shared" si="242"/>
        <v>208</v>
      </c>
      <c r="C224" s="170" t="str">
        <f t="shared" si="241"/>
        <v>53EA</v>
      </c>
      <c r="D224" s="557"/>
      <c r="E224" s="170"/>
      <c r="F224" s="721">
        <v>53</v>
      </c>
      <c r="G224" s="2007" t="s">
        <v>1982</v>
      </c>
      <c r="H224" s="1926"/>
      <c r="I224" s="2008" t="s">
        <v>732</v>
      </c>
      <c r="J224" s="1926"/>
      <c r="K224" s="1926"/>
      <c r="L224" s="170"/>
      <c r="M224" s="2009">
        <v>100</v>
      </c>
      <c r="N224" s="2010">
        <v>1</v>
      </c>
      <c r="O224" s="773">
        <f t="shared" si="261"/>
        <v>100</v>
      </c>
      <c r="P224" s="2076" t="s">
        <v>39</v>
      </c>
      <c r="Q224" s="2008" t="s">
        <v>39</v>
      </c>
      <c r="R224" s="2011" t="s">
        <v>74</v>
      </c>
      <c r="S224" s="912">
        <f>SUMIF('Data Input sheet'!$B$118:$B$180,R224,'Data Input sheet'!$D$118:$D$180)</f>
        <v>152</v>
      </c>
      <c r="T224" s="2685">
        <f t="shared" si="262"/>
        <v>15200</v>
      </c>
      <c r="U224" s="2013">
        <v>14.8</v>
      </c>
      <c r="V224" s="778">
        <f t="shared" si="260"/>
        <v>1480</v>
      </c>
      <c r="W224" s="2010">
        <v>3925</v>
      </c>
      <c r="X224" s="779"/>
      <c r="Y224" s="2012"/>
      <c r="Z224" s="916">
        <f t="shared" si="263"/>
        <v>20605</v>
      </c>
      <c r="AA224" s="2007"/>
      <c r="AB224" s="1862"/>
      <c r="AC224" s="765"/>
      <c r="AD224" s="781">
        <f t="shared" si="264"/>
        <v>0</v>
      </c>
      <c r="AE224" s="778">
        <f t="shared" si="265"/>
        <v>0</v>
      </c>
      <c r="AF224" s="781">
        <f t="shared" si="266"/>
        <v>0</v>
      </c>
      <c r="AG224" s="781">
        <f t="shared" si="267"/>
        <v>0</v>
      </c>
      <c r="AH224" s="781">
        <f t="shared" si="268"/>
        <v>0</v>
      </c>
      <c r="AI224" s="782">
        <f t="shared" si="269"/>
        <v>0</v>
      </c>
      <c r="AJ224" s="781">
        <f t="shared" si="270"/>
        <v>0</v>
      </c>
      <c r="AK224" s="781">
        <f t="shared" si="271"/>
        <v>0</v>
      </c>
      <c r="AL224" s="781">
        <f t="shared" si="272"/>
        <v>0</v>
      </c>
      <c r="AM224" s="781">
        <f t="shared" si="273"/>
        <v>0</v>
      </c>
      <c r="AN224" s="781">
        <f t="shared" si="274"/>
        <v>0</v>
      </c>
      <c r="AO224" s="781">
        <f t="shared" si="275"/>
        <v>0</v>
      </c>
      <c r="AP224" s="781">
        <f t="shared" si="276"/>
        <v>0</v>
      </c>
      <c r="AQ224" s="781">
        <f t="shared" si="277"/>
        <v>0</v>
      </c>
      <c r="AR224" s="781">
        <f t="shared" si="278"/>
        <v>0</v>
      </c>
      <c r="AS224" s="783">
        <f t="shared" si="279"/>
        <v>0</v>
      </c>
      <c r="AT224" s="917"/>
      <c r="AW224" s="832"/>
      <c r="AX224" s="833" t="s">
        <v>2973</v>
      </c>
      <c r="BM224" s="2010">
        <v>5800</v>
      </c>
    </row>
    <row r="225" spans="1:65" ht="51.75" hidden="1" outlineLevel="2" thickBot="1" x14ac:dyDescent="0.3">
      <c r="A225" s="784"/>
      <c r="B225" s="904">
        <f t="shared" si="242"/>
        <v>209</v>
      </c>
      <c r="C225" s="170" t="str">
        <f t="shared" si="241"/>
        <v>53EA</v>
      </c>
      <c r="D225" s="557"/>
      <c r="E225" s="170"/>
      <c r="F225" s="721">
        <v>53</v>
      </c>
      <c r="G225" s="1862" t="s">
        <v>1999</v>
      </c>
      <c r="H225" s="1926"/>
      <c r="I225" s="2008" t="s">
        <v>732</v>
      </c>
      <c r="J225" s="1926"/>
      <c r="K225" s="1926"/>
      <c r="L225" s="170"/>
      <c r="M225" s="2009">
        <v>180</v>
      </c>
      <c r="N225" s="2010">
        <v>1</v>
      </c>
      <c r="O225" s="773">
        <f t="shared" si="261"/>
        <v>180</v>
      </c>
      <c r="P225" s="2076" t="s">
        <v>39</v>
      </c>
      <c r="Q225" s="2008" t="s">
        <v>39</v>
      </c>
      <c r="R225" s="2011" t="s">
        <v>74</v>
      </c>
      <c r="S225" s="912">
        <f>SUMIF('Data Input sheet'!$B$118:$B$180,R225,'Data Input sheet'!$D$118:$D$180)</f>
        <v>152</v>
      </c>
      <c r="T225" s="2685">
        <f t="shared" si="262"/>
        <v>27360</v>
      </c>
      <c r="U225" s="2013">
        <v>100</v>
      </c>
      <c r="V225" s="778">
        <f t="shared" si="260"/>
        <v>18000</v>
      </c>
      <c r="W225" s="2010">
        <v>8756</v>
      </c>
      <c r="X225" s="779"/>
      <c r="Y225" s="2012"/>
      <c r="Z225" s="916">
        <f t="shared" si="263"/>
        <v>54116</v>
      </c>
      <c r="AA225" s="1862"/>
      <c r="AB225" s="1862"/>
      <c r="AC225" s="765"/>
      <c r="AD225" s="781">
        <f t="shared" si="264"/>
        <v>0</v>
      </c>
      <c r="AE225" s="778">
        <f t="shared" si="265"/>
        <v>0</v>
      </c>
      <c r="AF225" s="781">
        <f t="shared" si="266"/>
        <v>0</v>
      </c>
      <c r="AG225" s="781">
        <f t="shared" si="267"/>
        <v>0</v>
      </c>
      <c r="AH225" s="781">
        <f t="shared" si="268"/>
        <v>0</v>
      </c>
      <c r="AI225" s="782">
        <f t="shared" si="269"/>
        <v>0</v>
      </c>
      <c r="AJ225" s="781">
        <f t="shared" si="270"/>
        <v>0</v>
      </c>
      <c r="AK225" s="781">
        <f t="shared" si="271"/>
        <v>0</v>
      </c>
      <c r="AL225" s="781">
        <f t="shared" si="272"/>
        <v>0</v>
      </c>
      <c r="AM225" s="781">
        <f t="shared" si="273"/>
        <v>0</v>
      </c>
      <c r="AN225" s="781">
        <f t="shared" si="274"/>
        <v>0</v>
      </c>
      <c r="AO225" s="781">
        <f t="shared" si="275"/>
        <v>0</v>
      </c>
      <c r="AP225" s="781">
        <f t="shared" si="276"/>
        <v>0</v>
      </c>
      <c r="AQ225" s="781">
        <f t="shared" si="277"/>
        <v>0</v>
      </c>
      <c r="AR225" s="781">
        <f t="shared" si="278"/>
        <v>0</v>
      </c>
      <c r="AS225" s="783">
        <f t="shared" si="279"/>
        <v>0</v>
      </c>
      <c r="AT225" s="917"/>
      <c r="AW225" s="832"/>
      <c r="AX225" s="2481" t="s">
        <v>2983</v>
      </c>
      <c r="AY225" s="2482"/>
      <c r="BM225" s="2010">
        <f>6380+85</f>
        <v>6465</v>
      </c>
    </row>
    <row r="226" spans="1:65" ht="51.75" hidden="1" outlineLevel="2" thickBot="1" x14ac:dyDescent="0.3">
      <c r="A226" s="784"/>
      <c r="B226" s="904">
        <f t="shared" si="242"/>
        <v>210</v>
      </c>
      <c r="C226" s="170" t="str">
        <f t="shared" si="241"/>
        <v>53EA</v>
      </c>
      <c r="D226" s="557"/>
      <c r="E226" s="170"/>
      <c r="F226" s="721">
        <v>53</v>
      </c>
      <c r="G226" s="1862" t="s">
        <v>2000</v>
      </c>
      <c r="H226" s="1926"/>
      <c r="I226" s="2008" t="s">
        <v>732</v>
      </c>
      <c r="J226" s="1926"/>
      <c r="K226" s="1926"/>
      <c r="L226" s="170"/>
      <c r="M226" s="2009">
        <v>180</v>
      </c>
      <c r="N226" s="2010">
        <v>1</v>
      </c>
      <c r="O226" s="773">
        <f t="shared" si="261"/>
        <v>180</v>
      </c>
      <c r="P226" s="2076" t="s">
        <v>39</v>
      </c>
      <c r="Q226" s="2008" t="s">
        <v>39</v>
      </c>
      <c r="R226" s="2011" t="s">
        <v>74</v>
      </c>
      <c r="S226" s="912">
        <f>SUMIF('Data Input sheet'!$B$118:$B$180,R226,'Data Input sheet'!$D$118:$D$180)</f>
        <v>152</v>
      </c>
      <c r="T226" s="2685">
        <f t="shared" si="262"/>
        <v>27360</v>
      </c>
      <c r="U226" s="2013">
        <v>100</v>
      </c>
      <c r="V226" s="778">
        <f t="shared" si="260"/>
        <v>18000</v>
      </c>
      <c r="W226" s="2010">
        <v>9419</v>
      </c>
      <c r="X226" s="779"/>
      <c r="Y226" s="2012"/>
      <c r="Z226" s="916">
        <f t="shared" si="263"/>
        <v>54779</v>
      </c>
      <c r="AA226" s="1862"/>
      <c r="AB226" s="1862"/>
      <c r="AC226" s="765"/>
      <c r="AD226" s="781">
        <f t="shared" si="264"/>
        <v>0</v>
      </c>
      <c r="AE226" s="778">
        <f t="shared" si="265"/>
        <v>0</v>
      </c>
      <c r="AF226" s="781">
        <f t="shared" si="266"/>
        <v>0</v>
      </c>
      <c r="AG226" s="781">
        <f t="shared" si="267"/>
        <v>0</v>
      </c>
      <c r="AH226" s="781">
        <f t="shared" si="268"/>
        <v>0</v>
      </c>
      <c r="AI226" s="782">
        <f t="shared" si="269"/>
        <v>0</v>
      </c>
      <c r="AJ226" s="781">
        <f t="shared" si="270"/>
        <v>0</v>
      </c>
      <c r="AK226" s="781">
        <f t="shared" si="271"/>
        <v>0</v>
      </c>
      <c r="AL226" s="781">
        <f t="shared" si="272"/>
        <v>0</v>
      </c>
      <c r="AM226" s="781">
        <f t="shared" si="273"/>
        <v>0</v>
      </c>
      <c r="AN226" s="781">
        <f t="shared" si="274"/>
        <v>0</v>
      </c>
      <c r="AO226" s="781">
        <f t="shared" si="275"/>
        <v>0</v>
      </c>
      <c r="AP226" s="781">
        <f t="shared" si="276"/>
        <v>0</v>
      </c>
      <c r="AQ226" s="781">
        <f t="shared" si="277"/>
        <v>0</v>
      </c>
      <c r="AR226" s="781">
        <f t="shared" si="278"/>
        <v>0</v>
      </c>
      <c r="AS226" s="783">
        <f t="shared" si="279"/>
        <v>0</v>
      </c>
      <c r="AT226" s="917"/>
      <c r="AW226" s="832"/>
      <c r="AX226" s="2481" t="s">
        <v>2983</v>
      </c>
      <c r="AY226" s="2482"/>
      <c r="BM226" s="2010">
        <f>85+7200</f>
        <v>7285</v>
      </c>
    </row>
    <row r="227" spans="1:65" ht="51.75" hidden="1" outlineLevel="2" thickBot="1" x14ac:dyDescent="0.3">
      <c r="A227" s="784"/>
      <c r="B227" s="904">
        <f t="shared" si="242"/>
        <v>211</v>
      </c>
      <c r="C227" s="170" t="str">
        <f t="shared" si="241"/>
        <v>53EA</v>
      </c>
      <c r="D227" s="557"/>
      <c r="E227" s="170"/>
      <c r="F227" s="721">
        <v>53</v>
      </c>
      <c r="G227" s="1862" t="s">
        <v>2001</v>
      </c>
      <c r="H227" s="1926"/>
      <c r="I227" s="2008" t="s">
        <v>732</v>
      </c>
      <c r="J227" s="1926"/>
      <c r="K227" s="1926"/>
      <c r="L227" s="170"/>
      <c r="M227" s="2009">
        <v>180</v>
      </c>
      <c r="N227" s="2010">
        <v>1</v>
      </c>
      <c r="O227" s="773">
        <f t="shared" si="261"/>
        <v>180</v>
      </c>
      <c r="P227" s="2076" t="s">
        <v>39</v>
      </c>
      <c r="Q227" s="2008" t="s">
        <v>39</v>
      </c>
      <c r="R227" s="2011" t="s">
        <v>74</v>
      </c>
      <c r="S227" s="912">
        <f>SUMIF('Data Input sheet'!$B$118:$B$180,R227,'Data Input sheet'!$D$118:$D$180)</f>
        <v>152</v>
      </c>
      <c r="T227" s="2685">
        <f t="shared" si="262"/>
        <v>27360</v>
      </c>
      <c r="U227" s="2013">
        <v>100</v>
      </c>
      <c r="V227" s="778">
        <f t="shared" si="260"/>
        <v>18000</v>
      </c>
      <c r="W227" s="2010">
        <v>11942</v>
      </c>
      <c r="X227" s="779"/>
      <c r="Y227" s="2012"/>
      <c r="Z227" s="916">
        <f t="shared" si="263"/>
        <v>57302</v>
      </c>
      <c r="AA227" s="1862"/>
      <c r="AB227" s="1862"/>
      <c r="AC227" s="765"/>
      <c r="AD227" s="781">
        <f t="shared" si="264"/>
        <v>0</v>
      </c>
      <c r="AE227" s="778">
        <f t="shared" si="265"/>
        <v>0</v>
      </c>
      <c r="AF227" s="781">
        <f t="shared" si="266"/>
        <v>0</v>
      </c>
      <c r="AG227" s="781">
        <f t="shared" si="267"/>
        <v>0</v>
      </c>
      <c r="AH227" s="781">
        <f t="shared" si="268"/>
        <v>0</v>
      </c>
      <c r="AI227" s="782">
        <f t="shared" si="269"/>
        <v>0</v>
      </c>
      <c r="AJ227" s="781">
        <f t="shared" si="270"/>
        <v>0</v>
      </c>
      <c r="AK227" s="781">
        <f t="shared" si="271"/>
        <v>0</v>
      </c>
      <c r="AL227" s="781">
        <f t="shared" si="272"/>
        <v>0</v>
      </c>
      <c r="AM227" s="781">
        <f t="shared" si="273"/>
        <v>0</v>
      </c>
      <c r="AN227" s="781">
        <f t="shared" si="274"/>
        <v>0</v>
      </c>
      <c r="AO227" s="781">
        <f t="shared" si="275"/>
        <v>0</v>
      </c>
      <c r="AP227" s="781">
        <f t="shared" si="276"/>
        <v>0</v>
      </c>
      <c r="AQ227" s="781">
        <f t="shared" si="277"/>
        <v>0</v>
      </c>
      <c r="AR227" s="781">
        <f t="shared" si="278"/>
        <v>0</v>
      </c>
      <c r="AS227" s="783">
        <f t="shared" si="279"/>
        <v>0</v>
      </c>
      <c r="AT227" s="917"/>
      <c r="AW227" s="832"/>
      <c r="AX227" s="2481" t="s">
        <v>2983</v>
      </c>
      <c r="AY227" s="2482"/>
      <c r="BM227" s="2010">
        <f>85+10870</f>
        <v>10955</v>
      </c>
    </row>
    <row r="228" spans="1:65" ht="26.25" hidden="1" outlineLevel="2" thickBot="1" x14ac:dyDescent="0.3">
      <c r="A228" s="784"/>
      <c r="B228" s="904">
        <f t="shared" si="242"/>
        <v>212</v>
      </c>
      <c r="C228" s="170" t="str">
        <f t="shared" si="241"/>
        <v>53EA</v>
      </c>
      <c r="D228" s="557"/>
      <c r="E228" s="170"/>
      <c r="F228" s="721">
        <v>53</v>
      </c>
      <c r="G228" s="1862" t="s">
        <v>2801</v>
      </c>
      <c r="H228" s="1926"/>
      <c r="I228" s="2008" t="s">
        <v>732</v>
      </c>
      <c r="J228" s="1926"/>
      <c r="K228" s="1926"/>
      <c r="L228" s="170"/>
      <c r="M228" s="2009">
        <v>220</v>
      </c>
      <c r="N228" s="2010">
        <v>1</v>
      </c>
      <c r="O228" s="773">
        <f t="shared" si="261"/>
        <v>220</v>
      </c>
      <c r="P228" s="2076" t="s">
        <v>39</v>
      </c>
      <c r="Q228" s="2008" t="s">
        <v>39</v>
      </c>
      <c r="R228" s="2011" t="s">
        <v>74</v>
      </c>
      <c r="S228" s="912">
        <f>SUMIF('Data Input sheet'!$B$118:$B$180,R228,'Data Input sheet'!$D$118:$D$180)</f>
        <v>152</v>
      </c>
      <c r="T228" s="2685">
        <f t="shared" si="262"/>
        <v>33440</v>
      </c>
      <c r="U228" s="2013">
        <v>100</v>
      </c>
      <c r="V228" s="778">
        <f t="shared" si="260"/>
        <v>22000</v>
      </c>
      <c r="W228" s="2010">
        <v>12681</v>
      </c>
      <c r="X228" s="779"/>
      <c r="Y228" s="2012"/>
      <c r="Z228" s="916">
        <f t="shared" si="263"/>
        <v>68121</v>
      </c>
      <c r="AA228" s="2007"/>
      <c r="AB228" s="1862"/>
      <c r="AC228" s="765"/>
      <c r="AD228" s="781">
        <f t="shared" si="264"/>
        <v>0</v>
      </c>
      <c r="AE228" s="778">
        <f t="shared" si="265"/>
        <v>0</v>
      </c>
      <c r="AF228" s="781">
        <f t="shared" si="266"/>
        <v>0</v>
      </c>
      <c r="AG228" s="781">
        <f t="shared" si="267"/>
        <v>0</v>
      </c>
      <c r="AH228" s="781">
        <f t="shared" si="268"/>
        <v>0</v>
      </c>
      <c r="AI228" s="782">
        <f t="shared" si="269"/>
        <v>0</v>
      </c>
      <c r="AJ228" s="781">
        <f t="shared" si="270"/>
        <v>0</v>
      </c>
      <c r="AK228" s="781">
        <f t="shared" si="271"/>
        <v>0</v>
      </c>
      <c r="AL228" s="781">
        <f t="shared" si="272"/>
        <v>0</v>
      </c>
      <c r="AM228" s="781">
        <f t="shared" si="273"/>
        <v>0</v>
      </c>
      <c r="AN228" s="781">
        <f t="shared" si="274"/>
        <v>0</v>
      </c>
      <c r="AO228" s="781">
        <f t="shared" si="275"/>
        <v>0</v>
      </c>
      <c r="AP228" s="781">
        <f t="shared" si="276"/>
        <v>0</v>
      </c>
      <c r="AQ228" s="781">
        <f t="shared" si="277"/>
        <v>0</v>
      </c>
      <c r="AR228" s="781">
        <f t="shared" si="278"/>
        <v>0</v>
      </c>
      <c r="AS228" s="783">
        <f t="shared" si="279"/>
        <v>0</v>
      </c>
      <c r="AT228" s="917"/>
      <c r="AW228" s="832"/>
      <c r="AX228" s="2481" t="s">
        <v>2984</v>
      </c>
      <c r="AY228" s="2482"/>
      <c r="BM228" s="2010">
        <f>5800+6465</f>
        <v>12265</v>
      </c>
    </row>
    <row r="229" spans="1:65" ht="26.25" hidden="1" outlineLevel="2" thickBot="1" x14ac:dyDescent="0.3">
      <c r="A229" s="784"/>
      <c r="B229" s="904">
        <f t="shared" si="242"/>
        <v>213</v>
      </c>
      <c r="C229" s="170" t="str">
        <f t="shared" si="241"/>
        <v>53EA</v>
      </c>
      <c r="D229" s="557"/>
      <c r="E229" s="170"/>
      <c r="F229" s="721">
        <v>53</v>
      </c>
      <c r="G229" s="1862" t="s">
        <v>2802</v>
      </c>
      <c r="H229" s="1926"/>
      <c r="I229" s="2008" t="s">
        <v>732</v>
      </c>
      <c r="J229" s="1926"/>
      <c r="K229" s="1926"/>
      <c r="L229" s="170"/>
      <c r="M229" s="2009">
        <v>220</v>
      </c>
      <c r="N229" s="2010">
        <v>1</v>
      </c>
      <c r="O229" s="773">
        <f t="shared" si="261"/>
        <v>220</v>
      </c>
      <c r="P229" s="2076" t="s">
        <v>39</v>
      </c>
      <c r="Q229" s="2008" t="s">
        <v>39</v>
      </c>
      <c r="R229" s="2011" t="s">
        <v>74</v>
      </c>
      <c r="S229" s="912">
        <f>SUMIF('Data Input sheet'!$B$118:$B$180,R229,'Data Input sheet'!$D$118:$D$180)</f>
        <v>152</v>
      </c>
      <c r="T229" s="2685">
        <f t="shared" si="262"/>
        <v>33440</v>
      </c>
      <c r="U229" s="2013">
        <v>100</v>
      </c>
      <c r="V229" s="778">
        <f t="shared" si="260"/>
        <v>22000</v>
      </c>
      <c r="W229" s="2010">
        <v>13344</v>
      </c>
      <c r="X229" s="779"/>
      <c r="Y229" s="2012"/>
      <c r="Z229" s="916">
        <f t="shared" si="263"/>
        <v>68784</v>
      </c>
      <c r="AA229" s="2007"/>
      <c r="AB229" s="1862"/>
      <c r="AC229" s="765"/>
      <c r="AD229" s="781">
        <f t="shared" si="264"/>
        <v>0</v>
      </c>
      <c r="AE229" s="778">
        <f t="shared" si="265"/>
        <v>0</v>
      </c>
      <c r="AF229" s="781">
        <f t="shared" si="266"/>
        <v>0</v>
      </c>
      <c r="AG229" s="781">
        <f t="shared" si="267"/>
        <v>0</v>
      </c>
      <c r="AH229" s="781">
        <f t="shared" si="268"/>
        <v>0</v>
      </c>
      <c r="AI229" s="782">
        <f t="shared" si="269"/>
        <v>0</v>
      </c>
      <c r="AJ229" s="781">
        <f t="shared" si="270"/>
        <v>0</v>
      </c>
      <c r="AK229" s="781">
        <f t="shared" si="271"/>
        <v>0</v>
      </c>
      <c r="AL229" s="781">
        <f t="shared" si="272"/>
        <v>0</v>
      </c>
      <c r="AM229" s="781">
        <f t="shared" si="273"/>
        <v>0</v>
      </c>
      <c r="AN229" s="781">
        <f t="shared" si="274"/>
        <v>0</v>
      </c>
      <c r="AO229" s="781">
        <f t="shared" si="275"/>
        <v>0</v>
      </c>
      <c r="AP229" s="781">
        <f t="shared" si="276"/>
        <v>0</v>
      </c>
      <c r="AQ229" s="781">
        <f t="shared" si="277"/>
        <v>0</v>
      </c>
      <c r="AR229" s="781">
        <f t="shared" si="278"/>
        <v>0</v>
      </c>
      <c r="AS229" s="783">
        <f t="shared" si="279"/>
        <v>0</v>
      </c>
      <c r="AT229" s="917"/>
      <c r="AW229" s="832"/>
      <c r="AX229" s="2481" t="s">
        <v>2985</v>
      </c>
      <c r="AY229" s="2482"/>
      <c r="BM229" s="2010">
        <f>5800+7285</f>
        <v>13085</v>
      </c>
    </row>
    <row r="230" spans="1:65" ht="26.25" hidden="1" outlineLevel="2" thickBot="1" x14ac:dyDescent="0.3">
      <c r="A230" s="784"/>
      <c r="B230" s="904">
        <f t="shared" si="242"/>
        <v>214</v>
      </c>
      <c r="C230" s="170" t="str">
        <f t="shared" si="241"/>
        <v>53EA</v>
      </c>
      <c r="D230" s="557"/>
      <c r="E230" s="170"/>
      <c r="F230" s="721">
        <v>53</v>
      </c>
      <c r="G230" s="1862" t="s">
        <v>2803</v>
      </c>
      <c r="H230" s="1926"/>
      <c r="I230" s="2008" t="s">
        <v>732</v>
      </c>
      <c r="J230" s="1926"/>
      <c r="K230" s="1926"/>
      <c r="L230" s="170"/>
      <c r="M230" s="2009">
        <v>220</v>
      </c>
      <c r="N230" s="2010">
        <v>1</v>
      </c>
      <c r="O230" s="773">
        <f t="shared" si="261"/>
        <v>220</v>
      </c>
      <c r="P230" s="2076" t="s">
        <v>39</v>
      </c>
      <c r="Q230" s="2008" t="s">
        <v>39</v>
      </c>
      <c r="R230" s="2011" t="s">
        <v>74</v>
      </c>
      <c r="S230" s="912">
        <f>SUMIF('Data Input sheet'!$B$118:$B$180,R230,'Data Input sheet'!$D$118:$D$180)</f>
        <v>152</v>
      </c>
      <c r="T230" s="2685">
        <f t="shared" si="262"/>
        <v>33440</v>
      </c>
      <c r="U230" s="2013">
        <v>100</v>
      </c>
      <c r="V230" s="778">
        <f t="shared" si="260"/>
        <v>22000</v>
      </c>
      <c r="W230" s="2010">
        <v>15867</v>
      </c>
      <c r="X230" s="779"/>
      <c r="Y230" s="2012"/>
      <c r="Z230" s="916">
        <f t="shared" si="263"/>
        <v>71307</v>
      </c>
      <c r="AA230" s="2007"/>
      <c r="AB230" s="1862"/>
      <c r="AC230" s="765"/>
      <c r="AD230" s="781">
        <f t="shared" si="264"/>
        <v>0</v>
      </c>
      <c r="AE230" s="778">
        <f t="shared" si="265"/>
        <v>0</v>
      </c>
      <c r="AF230" s="781">
        <f t="shared" si="266"/>
        <v>0</v>
      </c>
      <c r="AG230" s="781">
        <f t="shared" si="267"/>
        <v>0</v>
      </c>
      <c r="AH230" s="781">
        <f t="shared" si="268"/>
        <v>0</v>
      </c>
      <c r="AI230" s="782">
        <f t="shared" si="269"/>
        <v>0</v>
      </c>
      <c r="AJ230" s="781">
        <f t="shared" si="270"/>
        <v>0</v>
      </c>
      <c r="AK230" s="781">
        <f t="shared" si="271"/>
        <v>0</v>
      </c>
      <c r="AL230" s="781">
        <f t="shared" si="272"/>
        <v>0</v>
      </c>
      <c r="AM230" s="781">
        <f t="shared" si="273"/>
        <v>0</v>
      </c>
      <c r="AN230" s="781">
        <f t="shared" si="274"/>
        <v>0</v>
      </c>
      <c r="AO230" s="781">
        <f t="shared" si="275"/>
        <v>0</v>
      </c>
      <c r="AP230" s="781">
        <f t="shared" si="276"/>
        <v>0</v>
      </c>
      <c r="AQ230" s="781">
        <f t="shared" si="277"/>
        <v>0</v>
      </c>
      <c r="AR230" s="781">
        <f t="shared" si="278"/>
        <v>0</v>
      </c>
      <c r="AS230" s="783">
        <f t="shared" si="279"/>
        <v>0</v>
      </c>
      <c r="AT230" s="917"/>
      <c r="AW230" s="832"/>
      <c r="AX230" s="2481" t="s">
        <v>2985</v>
      </c>
      <c r="AY230" s="2482"/>
      <c r="BM230" s="2010">
        <f>5800+10995</f>
        <v>16795</v>
      </c>
    </row>
    <row r="231" spans="1:65" ht="26.25" hidden="1" outlineLevel="2" thickBot="1" x14ac:dyDescent="0.3">
      <c r="A231" s="784"/>
      <c r="B231" s="904">
        <f t="shared" si="242"/>
        <v>215</v>
      </c>
      <c r="C231" s="170" t="str">
        <f t="shared" si="241"/>
        <v>53EA</v>
      </c>
      <c r="D231" s="557"/>
      <c r="E231" s="170"/>
      <c r="F231" s="721">
        <v>53</v>
      </c>
      <c r="G231" s="2007" t="s">
        <v>2804</v>
      </c>
      <c r="H231" s="1926"/>
      <c r="I231" s="2008" t="s">
        <v>732</v>
      </c>
      <c r="J231" s="1926"/>
      <c r="K231" s="1926"/>
      <c r="L231" s="170"/>
      <c r="M231" s="2009">
        <v>80</v>
      </c>
      <c r="N231" s="2010">
        <v>1</v>
      </c>
      <c r="O231" s="773">
        <f t="shared" si="261"/>
        <v>80</v>
      </c>
      <c r="P231" s="2076" t="s">
        <v>39</v>
      </c>
      <c r="Q231" s="2008" t="s">
        <v>39</v>
      </c>
      <c r="R231" s="2011" t="s">
        <v>74</v>
      </c>
      <c r="S231" s="912">
        <f>SUMIF('Data Input sheet'!$B$118:$B$180,R231,'Data Input sheet'!$D$118:$D$180)</f>
        <v>152</v>
      </c>
      <c r="T231" s="2685">
        <f t="shared" si="262"/>
        <v>12160</v>
      </c>
      <c r="U231" s="2013">
        <v>100</v>
      </c>
      <c r="V231" s="778">
        <f t="shared" si="260"/>
        <v>8000</v>
      </c>
      <c r="W231" s="2010">
        <v>4042</v>
      </c>
      <c r="X231" s="779"/>
      <c r="Y231" s="2012"/>
      <c r="Z231" s="780">
        <f t="shared" si="263"/>
        <v>24202</v>
      </c>
      <c r="AA231" s="2007"/>
      <c r="AB231" s="1862"/>
      <c r="AC231" s="765"/>
      <c r="AD231" s="781">
        <f t="shared" si="264"/>
        <v>0</v>
      </c>
      <c r="AE231" s="778">
        <f t="shared" si="265"/>
        <v>0</v>
      </c>
      <c r="AF231" s="781">
        <f t="shared" si="266"/>
        <v>0</v>
      </c>
      <c r="AG231" s="781">
        <f t="shared" si="267"/>
        <v>0</v>
      </c>
      <c r="AH231" s="781">
        <f t="shared" si="268"/>
        <v>0</v>
      </c>
      <c r="AI231" s="782">
        <f t="shared" si="269"/>
        <v>0</v>
      </c>
      <c r="AJ231" s="781">
        <f t="shared" si="270"/>
        <v>0</v>
      </c>
      <c r="AK231" s="781">
        <f t="shared" si="271"/>
        <v>0</v>
      </c>
      <c r="AL231" s="781">
        <f t="shared" si="272"/>
        <v>0</v>
      </c>
      <c r="AM231" s="781">
        <f t="shared" si="273"/>
        <v>0</v>
      </c>
      <c r="AN231" s="781">
        <f t="shared" si="274"/>
        <v>0</v>
      </c>
      <c r="AO231" s="781">
        <f t="shared" si="275"/>
        <v>0</v>
      </c>
      <c r="AP231" s="781">
        <f t="shared" si="276"/>
        <v>0</v>
      </c>
      <c r="AQ231" s="781">
        <f t="shared" si="277"/>
        <v>0</v>
      </c>
      <c r="AR231" s="781">
        <f t="shared" si="278"/>
        <v>0</v>
      </c>
      <c r="AS231" s="783">
        <f t="shared" si="279"/>
        <v>0</v>
      </c>
      <c r="AT231" s="917"/>
      <c r="AW231" s="832"/>
      <c r="AX231" s="2481" t="s">
        <v>2986</v>
      </c>
      <c r="AY231" s="2482"/>
      <c r="BM231" s="2010">
        <v>9010</v>
      </c>
    </row>
    <row r="232" spans="1:65" ht="26.25" hidden="1" outlineLevel="2" thickBot="1" x14ac:dyDescent="0.3">
      <c r="A232" s="784"/>
      <c r="B232" s="904">
        <f t="shared" si="242"/>
        <v>216</v>
      </c>
      <c r="C232" s="170" t="str">
        <f t="shared" si="241"/>
        <v>53EA</v>
      </c>
      <c r="D232" s="557"/>
      <c r="E232" s="170"/>
      <c r="F232" s="721">
        <v>53</v>
      </c>
      <c r="G232" s="2007" t="s">
        <v>2002</v>
      </c>
      <c r="H232" s="1926"/>
      <c r="I232" s="2008" t="s">
        <v>732</v>
      </c>
      <c r="J232" s="1926"/>
      <c r="K232" s="1926"/>
      <c r="L232" s="170"/>
      <c r="M232" s="2009">
        <v>30</v>
      </c>
      <c r="N232" s="2010">
        <v>1</v>
      </c>
      <c r="O232" s="773">
        <f t="shared" si="261"/>
        <v>30</v>
      </c>
      <c r="P232" s="2076" t="s">
        <v>39</v>
      </c>
      <c r="Q232" s="2008" t="s">
        <v>39</v>
      </c>
      <c r="R232" s="2011" t="s">
        <v>74</v>
      </c>
      <c r="S232" s="912">
        <f>SUMIF('Data Input sheet'!$B$118:$B$180,R232,'Data Input sheet'!$D$118:$D$180)</f>
        <v>152</v>
      </c>
      <c r="T232" s="2685">
        <f t="shared" si="262"/>
        <v>4560</v>
      </c>
      <c r="U232" s="2013">
        <v>14.8</v>
      </c>
      <c r="V232" s="778">
        <f t="shared" si="260"/>
        <v>444</v>
      </c>
      <c r="W232" s="2010">
        <v>639</v>
      </c>
      <c r="X232" s="779"/>
      <c r="Y232" s="2012"/>
      <c r="Z232" s="780">
        <f t="shared" si="263"/>
        <v>5643</v>
      </c>
      <c r="AA232" s="2007"/>
      <c r="AB232" s="1862"/>
      <c r="AC232" s="765"/>
      <c r="AD232" s="781">
        <f t="shared" si="264"/>
        <v>0</v>
      </c>
      <c r="AE232" s="778">
        <f t="shared" si="265"/>
        <v>0</v>
      </c>
      <c r="AF232" s="781">
        <f t="shared" si="266"/>
        <v>0</v>
      </c>
      <c r="AG232" s="781">
        <f t="shared" si="267"/>
        <v>0</v>
      </c>
      <c r="AH232" s="781">
        <f t="shared" si="268"/>
        <v>0</v>
      </c>
      <c r="AI232" s="782">
        <f t="shared" si="269"/>
        <v>0</v>
      </c>
      <c r="AJ232" s="781">
        <f t="shared" si="270"/>
        <v>0</v>
      </c>
      <c r="AK232" s="781">
        <f t="shared" si="271"/>
        <v>0</v>
      </c>
      <c r="AL232" s="781">
        <f t="shared" si="272"/>
        <v>0</v>
      </c>
      <c r="AM232" s="781">
        <f t="shared" si="273"/>
        <v>0</v>
      </c>
      <c r="AN232" s="781">
        <f t="shared" si="274"/>
        <v>0</v>
      </c>
      <c r="AO232" s="781">
        <f t="shared" si="275"/>
        <v>0</v>
      </c>
      <c r="AP232" s="781">
        <f t="shared" si="276"/>
        <v>0</v>
      </c>
      <c r="AQ232" s="781">
        <f t="shared" si="277"/>
        <v>0</v>
      </c>
      <c r="AR232" s="781">
        <f t="shared" si="278"/>
        <v>0</v>
      </c>
      <c r="AS232" s="783">
        <f t="shared" si="279"/>
        <v>0</v>
      </c>
      <c r="AT232" s="917"/>
      <c r="AW232" s="832"/>
      <c r="AX232" s="2481" t="s">
        <v>2987</v>
      </c>
      <c r="AY232" s="2482"/>
      <c r="BM232" s="2010">
        <v>725</v>
      </c>
    </row>
    <row r="233" spans="1:65" ht="26.25" hidden="1" outlineLevel="2" thickBot="1" x14ac:dyDescent="0.3">
      <c r="A233" s="784"/>
      <c r="B233" s="904">
        <f t="shared" si="242"/>
        <v>217</v>
      </c>
      <c r="C233" s="170" t="str">
        <f t="shared" si="241"/>
        <v>53EA</v>
      </c>
      <c r="D233" s="557"/>
      <c r="E233" s="170"/>
      <c r="F233" s="721">
        <v>53</v>
      </c>
      <c r="G233" s="2007" t="s">
        <v>2003</v>
      </c>
      <c r="H233" s="1926"/>
      <c r="I233" s="2008" t="s">
        <v>732</v>
      </c>
      <c r="J233" s="1926"/>
      <c r="K233" s="1926"/>
      <c r="L233" s="170"/>
      <c r="M233" s="2009">
        <v>30</v>
      </c>
      <c r="N233" s="2010">
        <v>1</v>
      </c>
      <c r="O233" s="773">
        <f t="shared" si="261"/>
        <v>30</v>
      </c>
      <c r="P233" s="2076" t="s">
        <v>39</v>
      </c>
      <c r="Q233" s="2008" t="s">
        <v>39</v>
      </c>
      <c r="R233" s="2011" t="s">
        <v>74</v>
      </c>
      <c r="S233" s="912">
        <f>SUMIF('Data Input sheet'!$B$118:$B$180,R233,'Data Input sheet'!$D$118:$D$180)</f>
        <v>152</v>
      </c>
      <c r="T233" s="2685">
        <f t="shared" si="262"/>
        <v>4560</v>
      </c>
      <c r="U233" s="2013">
        <v>14.8</v>
      </c>
      <c r="V233" s="778">
        <f t="shared" si="260"/>
        <v>444</v>
      </c>
      <c r="W233" s="2010">
        <v>3925</v>
      </c>
      <c r="X233" s="779"/>
      <c r="Y233" s="2012"/>
      <c r="Z233" s="780">
        <f t="shared" si="263"/>
        <v>8929</v>
      </c>
      <c r="AA233" s="2007"/>
      <c r="AB233" s="1862"/>
      <c r="AC233" s="765"/>
      <c r="AD233" s="781">
        <f t="shared" si="264"/>
        <v>0</v>
      </c>
      <c r="AE233" s="778">
        <f t="shared" si="265"/>
        <v>0</v>
      </c>
      <c r="AF233" s="781">
        <f t="shared" si="266"/>
        <v>0</v>
      </c>
      <c r="AG233" s="781">
        <f t="shared" si="267"/>
        <v>0</v>
      </c>
      <c r="AH233" s="781">
        <f t="shared" si="268"/>
        <v>0</v>
      </c>
      <c r="AI233" s="782">
        <f t="shared" si="269"/>
        <v>0</v>
      </c>
      <c r="AJ233" s="781">
        <f t="shared" si="270"/>
        <v>0</v>
      </c>
      <c r="AK233" s="781">
        <f t="shared" si="271"/>
        <v>0</v>
      </c>
      <c r="AL233" s="781">
        <f t="shared" si="272"/>
        <v>0</v>
      </c>
      <c r="AM233" s="781">
        <f t="shared" si="273"/>
        <v>0</v>
      </c>
      <c r="AN233" s="781">
        <f t="shared" si="274"/>
        <v>0</v>
      </c>
      <c r="AO233" s="781">
        <f t="shared" si="275"/>
        <v>0</v>
      </c>
      <c r="AP233" s="781">
        <f t="shared" si="276"/>
        <v>0</v>
      </c>
      <c r="AQ233" s="781">
        <f t="shared" si="277"/>
        <v>0</v>
      </c>
      <c r="AR233" s="781">
        <f t="shared" si="278"/>
        <v>0</v>
      </c>
      <c r="AS233" s="783">
        <f t="shared" si="279"/>
        <v>0</v>
      </c>
      <c r="AT233" s="917"/>
      <c r="AW233" s="832"/>
      <c r="AX233" s="2481" t="s">
        <v>2987</v>
      </c>
      <c r="AY233" s="2482"/>
      <c r="BM233" s="2010">
        <v>5800</v>
      </c>
    </row>
    <row r="234" spans="1:65" ht="31.5" hidden="1" customHeight="1" outlineLevel="2" thickBot="1" x14ac:dyDescent="0.3">
      <c r="A234" s="784"/>
      <c r="B234" s="904">
        <f t="shared" si="242"/>
        <v>218</v>
      </c>
      <c r="C234" s="170" t="str">
        <f t="shared" si="241"/>
        <v/>
      </c>
      <c r="D234" s="557"/>
      <c r="E234" s="170"/>
      <c r="F234" s="721"/>
      <c r="G234" s="2491" t="s">
        <v>3176</v>
      </c>
      <c r="H234" s="2039"/>
      <c r="I234" s="2008"/>
      <c r="J234" s="2039"/>
      <c r="K234" s="2039"/>
      <c r="L234" s="2498"/>
      <c r="M234" s="2041"/>
      <c r="N234" s="2043"/>
      <c r="O234" s="2499"/>
      <c r="P234" s="2076"/>
      <c r="Q234" s="2008"/>
      <c r="R234" s="2011"/>
      <c r="S234" s="912">
        <f>SUMIF('Data Input sheet'!$B$118:$B$180,R234,'Data Input sheet'!$D$118:$D$180)</f>
        <v>0</v>
      </c>
      <c r="T234" s="2686"/>
      <c r="U234" s="2042"/>
      <c r="V234" s="2501">
        <f t="shared" si="260"/>
        <v>0</v>
      </c>
      <c r="W234" s="2045"/>
      <c r="X234" s="2502"/>
      <c r="Y234" s="2047"/>
      <c r="Z234" s="2500"/>
      <c r="AA234" s="2007"/>
      <c r="AB234" s="2007"/>
      <c r="AC234" s="765"/>
      <c r="AD234" s="781">
        <f t="shared" si="264"/>
        <v>0</v>
      </c>
      <c r="AE234" s="778">
        <f t="shared" si="265"/>
        <v>0</v>
      </c>
      <c r="AF234" s="781">
        <f t="shared" si="266"/>
        <v>0</v>
      </c>
      <c r="AG234" s="781">
        <f t="shared" si="267"/>
        <v>0</v>
      </c>
      <c r="AH234" s="781">
        <f t="shared" si="268"/>
        <v>0</v>
      </c>
      <c r="AI234" s="782">
        <f t="shared" si="269"/>
        <v>0</v>
      </c>
      <c r="AJ234" s="781">
        <f t="shared" si="270"/>
        <v>0</v>
      </c>
      <c r="AK234" s="781">
        <f t="shared" si="271"/>
        <v>0</v>
      </c>
      <c r="AL234" s="781">
        <f t="shared" si="272"/>
        <v>0</v>
      </c>
      <c r="AM234" s="781">
        <f t="shared" si="273"/>
        <v>0</v>
      </c>
      <c r="AN234" s="781">
        <f t="shared" si="274"/>
        <v>0</v>
      </c>
      <c r="AO234" s="781">
        <f t="shared" si="275"/>
        <v>0</v>
      </c>
      <c r="AP234" s="781">
        <f t="shared" si="276"/>
        <v>0</v>
      </c>
      <c r="AQ234" s="781">
        <f t="shared" si="277"/>
        <v>0</v>
      </c>
      <c r="AR234" s="781">
        <f t="shared" si="278"/>
        <v>0</v>
      </c>
      <c r="AS234" s="783">
        <f t="shared" si="279"/>
        <v>0</v>
      </c>
      <c r="AT234" s="917"/>
      <c r="AW234" s="832"/>
      <c r="AX234" s="833"/>
    </row>
    <row r="235" spans="1:65" ht="12.75" hidden="1" customHeight="1" outlineLevel="2" x14ac:dyDescent="0.3">
      <c r="A235" s="784"/>
      <c r="B235" s="904">
        <f t="shared" si="242"/>
        <v>219</v>
      </c>
      <c r="C235" s="170" t="str">
        <f t="shared" si="241"/>
        <v>53EA</v>
      </c>
      <c r="D235" s="557"/>
      <c r="E235" s="170"/>
      <c r="F235" s="721">
        <v>53</v>
      </c>
      <c r="G235" s="2492" t="s">
        <v>2846</v>
      </c>
      <c r="H235" s="2039"/>
      <c r="I235" s="2008" t="s">
        <v>732</v>
      </c>
      <c r="J235" s="2039"/>
      <c r="K235" s="2039"/>
      <c r="L235" s="488"/>
      <c r="M235" s="2039">
        <v>200</v>
      </c>
      <c r="N235" s="2043">
        <v>1</v>
      </c>
      <c r="O235" s="1967">
        <f t="shared" ref="O235:O243" si="280">+M235*N235</f>
        <v>200</v>
      </c>
      <c r="P235" s="2076" t="s">
        <v>39</v>
      </c>
      <c r="Q235" s="2008" t="s">
        <v>39</v>
      </c>
      <c r="R235" s="2011" t="s">
        <v>74</v>
      </c>
      <c r="S235" s="912">
        <f>SUMIF('Data Input sheet'!$B$118:$B$180,R235,'Data Input sheet'!$D$118:$D$180)</f>
        <v>152</v>
      </c>
      <c r="T235" s="2686">
        <f t="shared" ref="T235:T243" si="281">ROUND(O235*S235,0)</f>
        <v>30400</v>
      </c>
      <c r="U235" s="2042">
        <v>14.8</v>
      </c>
      <c r="V235" s="1981">
        <f t="shared" si="260"/>
        <v>2960</v>
      </c>
      <c r="W235" s="2046">
        <v>7176</v>
      </c>
      <c r="X235" s="2502"/>
      <c r="Y235" s="2047">
        <v>0</v>
      </c>
      <c r="Z235" s="780">
        <f t="shared" ref="Z235:Z243" si="282">T235+V235+W235+Y235</f>
        <v>40536</v>
      </c>
      <c r="AA235" s="2007"/>
      <c r="AB235" s="2007"/>
      <c r="AC235" s="765"/>
      <c r="AD235" s="781">
        <f t="shared" si="264"/>
        <v>0</v>
      </c>
      <c r="AE235" s="778">
        <f t="shared" si="265"/>
        <v>0</v>
      </c>
      <c r="AF235" s="781">
        <f t="shared" si="266"/>
        <v>0</v>
      </c>
      <c r="AG235" s="781">
        <f t="shared" si="267"/>
        <v>0</v>
      </c>
      <c r="AH235" s="781">
        <f t="shared" si="268"/>
        <v>0</v>
      </c>
      <c r="AI235" s="782">
        <f t="shared" si="269"/>
        <v>0</v>
      </c>
      <c r="AJ235" s="781">
        <f t="shared" si="270"/>
        <v>0</v>
      </c>
      <c r="AK235" s="781">
        <f t="shared" si="271"/>
        <v>0</v>
      </c>
      <c r="AL235" s="781">
        <f t="shared" si="272"/>
        <v>0</v>
      </c>
      <c r="AM235" s="781">
        <f t="shared" si="273"/>
        <v>0</v>
      </c>
      <c r="AN235" s="781">
        <f t="shared" si="274"/>
        <v>0</v>
      </c>
      <c r="AO235" s="781">
        <f t="shared" si="275"/>
        <v>0</v>
      </c>
      <c r="AP235" s="781">
        <f t="shared" si="276"/>
        <v>0</v>
      </c>
      <c r="AQ235" s="781">
        <f t="shared" si="277"/>
        <v>0</v>
      </c>
      <c r="AR235" s="781">
        <f t="shared" si="278"/>
        <v>0</v>
      </c>
      <c r="AS235" s="783">
        <f t="shared" si="279"/>
        <v>0</v>
      </c>
      <c r="AT235" s="917"/>
      <c r="AW235" s="832"/>
      <c r="AX235" s="833" t="s">
        <v>3110</v>
      </c>
    </row>
    <row r="236" spans="1:65" ht="12.75" hidden="1" customHeight="1" outlineLevel="2" x14ac:dyDescent="0.3">
      <c r="A236" s="784"/>
      <c r="B236" s="904">
        <f t="shared" si="242"/>
        <v>220</v>
      </c>
      <c r="C236" s="170" t="str">
        <f t="shared" si="241"/>
        <v>53EA</v>
      </c>
      <c r="D236" s="557"/>
      <c r="E236" s="170"/>
      <c r="F236" s="721">
        <v>53</v>
      </c>
      <c r="G236" s="2492" t="s">
        <v>2847</v>
      </c>
      <c r="H236" s="2039"/>
      <c r="I236" s="2008" t="s">
        <v>732</v>
      </c>
      <c r="J236" s="2039"/>
      <c r="K236" s="2039"/>
      <c r="L236" s="488"/>
      <c r="M236" s="2039">
        <v>200</v>
      </c>
      <c r="N236" s="2043">
        <v>1</v>
      </c>
      <c r="O236" s="1967">
        <f t="shared" si="280"/>
        <v>200</v>
      </c>
      <c r="P236" s="2076" t="s">
        <v>39</v>
      </c>
      <c r="Q236" s="2008" t="s">
        <v>39</v>
      </c>
      <c r="R236" s="2011" t="s">
        <v>74</v>
      </c>
      <c r="S236" s="912">
        <f>SUMIF('Data Input sheet'!$B$118:$B$180,R236,'Data Input sheet'!$D$118:$D$180)</f>
        <v>152</v>
      </c>
      <c r="T236" s="2686">
        <f t="shared" si="281"/>
        <v>30400</v>
      </c>
      <c r="U236" s="2042">
        <v>14.8</v>
      </c>
      <c r="V236" s="1981">
        <f t="shared" si="260"/>
        <v>2960</v>
      </c>
      <c r="W236" s="2046">
        <v>5900</v>
      </c>
      <c r="X236" s="2502"/>
      <c r="Y236" s="2047">
        <v>0</v>
      </c>
      <c r="Z236" s="780">
        <f t="shared" si="282"/>
        <v>39260</v>
      </c>
      <c r="AA236" s="2007"/>
      <c r="AB236" s="2007"/>
      <c r="AC236" s="765"/>
      <c r="AD236" s="781">
        <f t="shared" si="264"/>
        <v>0</v>
      </c>
      <c r="AE236" s="778">
        <f t="shared" si="265"/>
        <v>0</v>
      </c>
      <c r="AF236" s="781">
        <f t="shared" si="266"/>
        <v>0</v>
      </c>
      <c r="AG236" s="781">
        <f t="shared" si="267"/>
        <v>0</v>
      </c>
      <c r="AH236" s="781">
        <f t="shared" si="268"/>
        <v>0</v>
      </c>
      <c r="AI236" s="782">
        <f t="shared" si="269"/>
        <v>0</v>
      </c>
      <c r="AJ236" s="781">
        <f t="shared" si="270"/>
        <v>0</v>
      </c>
      <c r="AK236" s="781">
        <f t="shared" si="271"/>
        <v>0</v>
      </c>
      <c r="AL236" s="781">
        <f t="shared" si="272"/>
        <v>0</v>
      </c>
      <c r="AM236" s="781">
        <f t="shared" si="273"/>
        <v>0</v>
      </c>
      <c r="AN236" s="781">
        <f t="shared" si="274"/>
        <v>0</v>
      </c>
      <c r="AO236" s="781">
        <f t="shared" si="275"/>
        <v>0</v>
      </c>
      <c r="AP236" s="781">
        <f t="shared" si="276"/>
        <v>0</v>
      </c>
      <c r="AQ236" s="781">
        <f t="shared" si="277"/>
        <v>0</v>
      </c>
      <c r="AR236" s="781">
        <f t="shared" si="278"/>
        <v>0</v>
      </c>
      <c r="AS236" s="783">
        <f t="shared" si="279"/>
        <v>0</v>
      </c>
      <c r="AT236" s="917"/>
      <c r="AW236" s="832"/>
      <c r="AX236" s="833" t="s">
        <v>3110</v>
      </c>
    </row>
    <row r="237" spans="1:65" ht="12.75" hidden="1" customHeight="1" outlineLevel="2" x14ac:dyDescent="0.3">
      <c r="A237" s="784"/>
      <c r="B237" s="904">
        <f t="shared" si="242"/>
        <v>221</v>
      </c>
      <c r="C237" s="170" t="str">
        <f t="shared" si="241"/>
        <v>53EA</v>
      </c>
      <c r="D237" s="557"/>
      <c r="E237" s="170"/>
      <c r="F237" s="721">
        <v>53</v>
      </c>
      <c r="G237" s="2492" t="s">
        <v>2848</v>
      </c>
      <c r="H237" s="2039"/>
      <c r="I237" s="2008" t="s">
        <v>732</v>
      </c>
      <c r="J237" s="2039"/>
      <c r="K237" s="2039"/>
      <c r="L237" s="488"/>
      <c r="M237" s="2039">
        <v>200</v>
      </c>
      <c r="N237" s="2043">
        <v>1</v>
      </c>
      <c r="O237" s="1967">
        <f t="shared" si="280"/>
        <v>200</v>
      </c>
      <c r="P237" s="2076" t="s">
        <v>39</v>
      </c>
      <c r="Q237" s="2008" t="s">
        <v>39</v>
      </c>
      <c r="R237" s="2011" t="s">
        <v>74</v>
      </c>
      <c r="S237" s="912">
        <f>SUMIF('Data Input sheet'!$B$118:$B$180,R237,'Data Input sheet'!$D$118:$D$180)</f>
        <v>152</v>
      </c>
      <c r="T237" s="2686">
        <f t="shared" si="281"/>
        <v>30400</v>
      </c>
      <c r="U237" s="2042">
        <v>14.8</v>
      </c>
      <c r="V237" s="1981">
        <f t="shared" si="260"/>
        <v>2960</v>
      </c>
      <c r="W237" s="2046">
        <v>4400</v>
      </c>
      <c r="X237" s="2502"/>
      <c r="Y237" s="2047">
        <v>0</v>
      </c>
      <c r="Z237" s="780">
        <f t="shared" si="282"/>
        <v>37760</v>
      </c>
      <c r="AA237" s="2007"/>
      <c r="AB237" s="2007"/>
      <c r="AC237" s="765"/>
      <c r="AD237" s="781">
        <f t="shared" si="264"/>
        <v>0</v>
      </c>
      <c r="AE237" s="778">
        <f t="shared" si="265"/>
        <v>0</v>
      </c>
      <c r="AF237" s="781">
        <f t="shared" si="266"/>
        <v>0</v>
      </c>
      <c r="AG237" s="781">
        <f t="shared" si="267"/>
        <v>0</v>
      </c>
      <c r="AH237" s="781">
        <f t="shared" si="268"/>
        <v>0</v>
      </c>
      <c r="AI237" s="782">
        <f t="shared" si="269"/>
        <v>0</v>
      </c>
      <c r="AJ237" s="781">
        <f t="shared" si="270"/>
        <v>0</v>
      </c>
      <c r="AK237" s="781">
        <f t="shared" si="271"/>
        <v>0</v>
      </c>
      <c r="AL237" s="781">
        <f t="shared" si="272"/>
        <v>0</v>
      </c>
      <c r="AM237" s="781">
        <f t="shared" si="273"/>
        <v>0</v>
      </c>
      <c r="AN237" s="781">
        <f t="shared" si="274"/>
        <v>0</v>
      </c>
      <c r="AO237" s="781">
        <f t="shared" si="275"/>
        <v>0</v>
      </c>
      <c r="AP237" s="781">
        <f t="shared" si="276"/>
        <v>0</v>
      </c>
      <c r="AQ237" s="781">
        <f t="shared" si="277"/>
        <v>0</v>
      </c>
      <c r="AR237" s="781">
        <f t="shared" si="278"/>
        <v>0</v>
      </c>
      <c r="AS237" s="783">
        <f t="shared" si="279"/>
        <v>0</v>
      </c>
      <c r="AT237" s="917"/>
      <c r="AW237" s="832"/>
      <c r="AX237" s="833" t="s">
        <v>3110</v>
      </c>
    </row>
    <row r="238" spans="1:65" ht="12.75" hidden="1" customHeight="1" outlineLevel="2" x14ac:dyDescent="0.3">
      <c r="A238" s="784"/>
      <c r="B238" s="904">
        <f t="shared" si="242"/>
        <v>222</v>
      </c>
      <c r="C238" s="170" t="str">
        <f t="shared" si="241"/>
        <v>53EA</v>
      </c>
      <c r="D238" s="557"/>
      <c r="E238" s="170"/>
      <c r="F238" s="721">
        <v>53</v>
      </c>
      <c r="G238" s="2492" t="s">
        <v>2849</v>
      </c>
      <c r="H238" s="2039"/>
      <c r="I238" s="2008" t="s">
        <v>732</v>
      </c>
      <c r="J238" s="2039"/>
      <c r="K238" s="2039"/>
      <c r="L238" s="488"/>
      <c r="M238" s="2039">
        <v>200</v>
      </c>
      <c r="N238" s="2043">
        <v>1</v>
      </c>
      <c r="O238" s="1967">
        <f t="shared" si="280"/>
        <v>200</v>
      </c>
      <c r="P238" s="2076" t="s">
        <v>39</v>
      </c>
      <c r="Q238" s="2008" t="s">
        <v>39</v>
      </c>
      <c r="R238" s="2011" t="s">
        <v>74</v>
      </c>
      <c r="S238" s="912">
        <f>SUMIF('Data Input sheet'!$B$118:$B$180,R238,'Data Input sheet'!$D$118:$D$180)</f>
        <v>152</v>
      </c>
      <c r="T238" s="2686">
        <f t="shared" si="281"/>
        <v>30400</v>
      </c>
      <c r="U238" s="2042">
        <v>14.8</v>
      </c>
      <c r="V238" s="1981">
        <f t="shared" si="260"/>
        <v>2960</v>
      </c>
      <c r="W238" s="2046">
        <v>4712</v>
      </c>
      <c r="X238" s="2502"/>
      <c r="Y238" s="2047">
        <v>0</v>
      </c>
      <c r="Z238" s="780">
        <f t="shared" si="282"/>
        <v>38072</v>
      </c>
      <c r="AA238" s="2007"/>
      <c r="AB238" s="2007"/>
      <c r="AC238" s="765"/>
      <c r="AD238" s="781">
        <f t="shared" si="264"/>
        <v>0</v>
      </c>
      <c r="AE238" s="778">
        <f t="shared" si="265"/>
        <v>0</v>
      </c>
      <c r="AF238" s="781">
        <f t="shared" si="266"/>
        <v>0</v>
      </c>
      <c r="AG238" s="781">
        <f t="shared" si="267"/>
        <v>0</v>
      </c>
      <c r="AH238" s="781">
        <f t="shared" si="268"/>
        <v>0</v>
      </c>
      <c r="AI238" s="782">
        <f t="shared" si="269"/>
        <v>0</v>
      </c>
      <c r="AJ238" s="781">
        <f t="shared" si="270"/>
        <v>0</v>
      </c>
      <c r="AK238" s="781">
        <f t="shared" si="271"/>
        <v>0</v>
      </c>
      <c r="AL238" s="781">
        <f t="shared" si="272"/>
        <v>0</v>
      </c>
      <c r="AM238" s="781">
        <f t="shared" si="273"/>
        <v>0</v>
      </c>
      <c r="AN238" s="781">
        <f t="shared" si="274"/>
        <v>0</v>
      </c>
      <c r="AO238" s="781">
        <f t="shared" si="275"/>
        <v>0</v>
      </c>
      <c r="AP238" s="781">
        <f t="shared" si="276"/>
        <v>0</v>
      </c>
      <c r="AQ238" s="781">
        <f t="shared" si="277"/>
        <v>0</v>
      </c>
      <c r="AR238" s="781">
        <f t="shared" si="278"/>
        <v>0</v>
      </c>
      <c r="AS238" s="783">
        <f t="shared" si="279"/>
        <v>0</v>
      </c>
      <c r="AT238" s="917"/>
      <c r="AW238" s="832"/>
      <c r="AX238" s="833" t="s">
        <v>3110</v>
      </c>
    </row>
    <row r="239" spans="1:65" ht="12.75" hidden="1" customHeight="1" outlineLevel="2" thickBot="1" x14ac:dyDescent="0.3">
      <c r="A239" s="784"/>
      <c r="B239" s="904">
        <f t="shared" si="242"/>
        <v>223</v>
      </c>
      <c r="C239" s="170" t="str">
        <f t="shared" si="241"/>
        <v>53EA</v>
      </c>
      <c r="D239" s="557"/>
      <c r="E239" s="170"/>
      <c r="F239" s="721">
        <v>53</v>
      </c>
      <c r="G239" s="2492" t="s">
        <v>2850</v>
      </c>
      <c r="H239" s="2039"/>
      <c r="I239" s="2008" t="s">
        <v>732</v>
      </c>
      <c r="J239" s="2039"/>
      <c r="K239" s="2039"/>
      <c r="L239" s="488"/>
      <c r="M239" s="2039">
        <v>200</v>
      </c>
      <c r="N239" s="2043">
        <v>1</v>
      </c>
      <c r="O239" s="1967">
        <f t="shared" si="280"/>
        <v>200</v>
      </c>
      <c r="P239" s="2076" t="s">
        <v>39</v>
      </c>
      <c r="Q239" s="2008" t="s">
        <v>39</v>
      </c>
      <c r="R239" s="2011" t="s">
        <v>74</v>
      </c>
      <c r="S239" s="912">
        <f>SUMIF('Data Input sheet'!$B$118:$B$180,R239,'Data Input sheet'!$D$118:$D$180)</f>
        <v>152</v>
      </c>
      <c r="T239" s="2686">
        <f t="shared" si="281"/>
        <v>30400</v>
      </c>
      <c r="U239" s="2042">
        <v>14.8</v>
      </c>
      <c r="V239" s="1981">
        <f t="shared" si="260"/>
        <v>2960</v>
      </c>
      <c r="W239" s="2046">
        <v>18863</v>
      </c>
      <c r="X239" s="2502"/>
      <c r="Y239" s="2047">
        <v>0</v>
      </c>
      <c r="Z239" s="780">
        <f t="shared" si="282"/>
        <v>52223</v>
      </c>
      <c r="AA239" s="2007"/>
      <c r="AB239" s="2007"/>
      <c r="AC239" s="765"/>
      <c r="AD239" s="781">
        <f t="shared" si="264"/>
        <v>0</v>
      </c>
      <c r="AE239" s="778">
        <f t="shared" si="265"/>
        <v>0</v>
      </c>
      <c r="AF239" s="781">
        <f t="shared" si="266"/>
        <v>0</v>
      </c>
      <c r="AG239" s="781">
        <f t="shared" si="267"/>
        <v>0</v>
      </c>
      <c r="AH239" s="781">
        <f t="shared" si="268"/>
        <v>0</v>
      </c>
      <c r="AI239" s="782">
        <f t="shared" si="269"/>
        <v>0</v>
      </c>
      <c r="AJ239" s="781">
        <f t="shared" si="270"/>
        <v>0</v>
      </c>
      <c r="AK239" s="781">
        <f t="shared" si="271"/>
        <v>0</v>
      </c>
      <c r="AL239" s="781">
        <f t="shared" si="272"/>
        <v>0</v>
      </c>
      <c r="AM239" s="781">
        <f t="shared" si="273"/>
        <v>0</v>
      </c>
      <c r="AN239" s="781">
        <f t="shared" si="274"/>
        <v>0</v>
      </c>
      <c r="AO239" s="781">
        <f t="shared" si="275"/>
        <v>0</v>
      </c>
      <c r="AP239" s="781">
        <f t="shared" si="276"/>
        <v>0</v>
      </c>
      <c r="AQ239" s="781">
        <f t="shared" si="277"/>
        <v>0</v>
      </c>
      <c r="AR239" s="781">
        <f t="shared" si="278"/>
        <v>0</v>
      </c>
      <c r="AS239" s="783">
        <f t="shared" si="279"/>
        <v>0</v>
      </c>
      <c r="AT239" s="917"/>
      <c r="AW239" s="832"/>
      <c r="AX239" s="833" t="s">
        <v>3110</v>
      </c>
    </row>
    <row r="240" spans="1:65" ht="15.75" hidden="1" outlineLevel="2" thickBot="1" x14ac:dyDescent="0.3">
      <c r="A240" s="784"/>
      <c r="B240" s="904">
        <f t="shared" si="242"/>
        <v>224</v>
      </c>
      <c r="C240" s="170" t="str">
        <f t="shared" si="241"/>
        <v/>
      </c>
      <c r="D240" s="557"/>
      <c r="E240" s="170"/>
      <c r="F240" s="721"/>
      <c r="G240" s="2491" t="s">
        <v>1698</v>
      </c>
      <c r="H240" s="2039"/>
      <c r="I240" s="2008"/>
      <c r="J240" s="2039"/>
      <c r="K240" s="2039"/>
      <c r="L240" s="2498"/>
      <c r="M240" s="2041"/>
      <c r="N240" s="2043"/>
      <c r="O240" s="2499"/>
      <c r="P240" s="2076"/>
      <c r="Q240" s="2008"/>
      <c r="R240" s="2011"/>
      <c r="S240" s="912">
        <f>SUMIF('Data Input sheet'!$B$118:$B$180,R240,'Data Input sheet'!$D$118:$D$180)</f>
        <v>0</v>
      </c>
      <c r="T240" s="2686"/>
      <c r="U240" s="2042"/>
      <c r="V240" s="2501">
        <f t="shared" si="260"/>
        <v>0</v>
      </c>
      <c r="W240" s="2045"/>
      <c r="X240" s="2502"/>
      <c r="Y240" s="2047"/>
      <c r="Z240" s="2500"/>
      <c r="AA240" s="2007"/>
      <c r="AB240" s="2007"/>
      <c r="AC240" s="765"/>
      <c r="AD240" s="781">
        <f t="shared" si="264"/>
        <v>0</v>
      </c>
      <c r="AE240" s="778">
        <f t="shared" si="265"/>
        <v>0</v>
      </c>
      <c r="AF240" s="781">
        <f t="shared" si="266"/>
        <v>0</v>
      </c>
      <c r="AG240" s="781">
        <f t="shared" si="267"/>
        <v>0</v>
      </c>
      <c r="AH240" s="781">
        <f t="shared" si="268"/>
        <v>0</v>
      </c>
      <c r="AI240" s="782">
        <f t="shared" si="269"/>
        <v>0</v>
      </c>
      <c r="AJ240" s="781">
        <f t="shared" si="270"/>
        <v>0</v>
      </c>
      <c r="AK240" s="781">
        <f t="shared" si="271"/>
        <v>0</v>
      </c>
      <c r="AL240" s="781">
        <f t="shared" si="272"/>
        <v>0</v>
      </c>
      <c r="AM240" s="781">
        <f t="shared" si="273"/>
        <v>0</v>
      </c>
      <c r="AN240" s="781">
        <f t="shared" si="274"/>
        <v>0</v>
      </c>
      <c r="AO240" s="781">
        <f t="shared" si="275"/>
        <v>0</v>
      </c>
      <c r="AP240" s="781">
        <f t="shared" si="276"/>
        <v>0</v>
      </c>
      <c r="AQ240" s="781">
        <f t="shared" si="277"/>
        <v>0</v>
      </c>
      <c r="AR240" s="781">
        <f t="shared" si="278"/>
        <v>0</v>
      </c>
      <c r="AS240" s="783">
        <f t="shared" si="279"/>
        <v>0</v>
      </c>
      <c r="AT240" s="917"/>
      <c r="AW240" s="832"/>
      <c r="AX240" s="833"/>
    </row>
    <row r="241" spans="1:65" ht="26.25" hidden="1" outlineLevel="2" thickBot="1" x14ac:dyDescent="0.3">
      <c r="A241" s="784"/>
      <c r="B241" s="904">
        <f t="shared" si="242"/>
        <v>225</v>
      </c>
      <c r="C241" s="170" t="str">
        <f t="shared" si="241"/>
        <v>53EA</v>
      </c>
      <c r="D241" s="557"/>
      <c r="E241" s="170"/>
      <c r="F241" s="721">
        <v>53</v>
      </c>
      <c r="G241" s="2492" t="s">
        <v>2851</v>
      </c>
      <c r="H241" s="2039"/>
      <c r="I241" s="2008" t="s">
        <v>732</v>
      </c>
      <c r="J241" s="2039"/>
      <c r="K241" s="2039"/>
      <c r="L241" s="488"/>
      <c r="M241" s="2039">
        <v>200</v>
      </c>
      <c r="N241" s="2043">
        <v>1</v>
      </c>
      <c r="O241" s="1967">
        <f t="shared" si="280"/>
        <v>200</v>
      </c>
      <c r="P241" s="2076" t="s">
        <v>39</v>
      </c>
      <c r="Q241" s="2008" t="s">
        <v>39</v>
      </c>
      <c r="R241" s="2011" t="s">
        <v>74</v>
      </c>
      <c r="S241" s="912">
        <f>SUMIF('Data Input sheet'!$B$118:$B$180,R241,'Data Input sheet'!$D$118:$D$180)</f>
        <v>152</v>
      </c>
      <c r="T241" s="2686">
        <f t="shared" si="281"/>
        <v>30400</v>
      </c>
      <c r="U241" s="2042">
        <v>14.8</v>
      </c>
      <c r="V241" s="1981">
        <f t="shared" si="260"/>
        <v>2960</v>
      </c>
      <c r="W241" s="2046">
        <v>4000</v>
      </c>
      <c r="X241" s="2502"/>
      <c r="Y241" s="2047">
        <v>0</v>
      </c>
      <c r="Z241" s="780">
        <f t="shared" si="282"/>
        <v>37360</v>
      </c>
      <c r="AA241" s="2007"/>
      <c r="AB241" s="2007"/>
      <c r="AC241" s="765"/>
      <c r="AD241" s="781">
        <f t="shared" si="264"/>
        <v>0</v>
      </c>
      <c r="AE241" s="778">
        <f t="shared" si="265"/>
        <v>0</v>
      </c>
      <c r="AF241" s="781">
        <f t="shared" si="266"/>
        <v>0</v>
      </c>
      <c r="AG241" s="781">
        <f t="shared" si="267"/>
        <v>0</v>
      </c>
      <c r="AH241" s="781">
        <f t="shared" si="268"/>
        <v>0</v>
      </c>
      <c r="AI241" s="782">
        <f t="shared" si="269"/>
        <v>0</v>
      </c>
      <c r="AJ241" s="781">
        <f t="shared" si="270"/>
        <v>0</v>
      </c>
      <c r="AK241" s="781">
        <f t="shared" si="271"/>
        <v>0</v>
      </c>
      <c r="AL241" s="781">
        <f t="shared" si="272"/>
        <v>0</v>
      </c>
      <c r="AM241" s="781">
        <f t="shared" si="273"/>
        <v>0</v>
      </c>
      <c r="AN241" s="781">
        <f t="shared" si="274"/>
        <v>0</v>
      </c>
      <c r="AO241" s="781">
        <f t="shared" si="275"/>
        <v>0</v>
      </c>
      <c r="AP241" s="781">
        <f t="shared" si="276"/>
        <v>0</v>
      </c>
      <c r="AQ241" s="781">
        <f t="shared" si="277"/>
        <v>0</v>
      </c>
      <c r="AR241" s="781">
        <f t="shared" si="278"/>
        <v>0</v>
      </c>
      <c r="AS241" s="783">
        <f t="shared" si="279"/>
        <v>0</v>
      </c>
      <c r="AT241" s="917"/>
      <c r="AW241" s="832"/>
      <c r="AX241" s="833" t="s">
        <v>3110</v>
      </c>
    </row>
    <row r="242" spans="1:65" ht="26.25" hidden="1" outlineLevel="2" thickBot="1" x14ac:dyDescent="0.3">
      <c r="A242" s="784"/>
      <c r="B242" s="904">
        <f t="shared" si="242"/>
        <v>226</v>
      </c>
      <c r="C242" s="170" t="str">
        <f t="shared" si="241"/>
        <v>53EA</v>
      </c>
      <c r="D242" s="557"/>
      <c r="E242" s="170"/>
      <c r="F242" s="721">
        <v>53</v>
      </c>
      <c r="G242" s="2492" t="s">
        <v>2852</v>
      </c>
      <c r="H242" s="2039"/>
      <c r="I242" s="2008" t="s">
        <v>732</v>
      </c>
      <c r="J242" s="2039"/>
      <c r="K242" s="2039"/>
      <c r="L242" s="488"/>
      <c r="M242" s="2039">
        <v>200</v>
      </c>
      <c r="N242" s="2043">
        <v>1</v>
      </c>
      <c r="O242" s="1967">
        <f t="shared" si="280"/>
        <v>200</v>
      </c>
      <c r="P242" s="2076" t="s">
        <v>39</v>
      </c>
      <c r="Q242" s="2008" t="s">
        <v>39</v>
      </c>
      <c r="R242" s="2011" t="s">
        <v>74</v>
      </c>
      <c r="S242" s="912">
        <f>SUMIF('Data Input sheet'!$B$118:$B$180,R242,'Data Input sheet'!$D$118:$D$180)</f>
        <v>152</v>
      </c>
      <c r="T242" s="2686">
        <f t="shared" si="281"/>
        <v>30400</v>
      </c>
      <c r="U242" s="2042">
        <v>14.8</v>
      </c>
      <c r="V242" s="1981">
        <f t="shared" si="260"/>
        <v>2960</v>
      </c>
      <c r="W242" s="2046">
        <v>3200</v>
      </c>
      <c r="X242" s="2502"/>
      <c r="Y242" s="2047">
        <v>0</v>
      </c>
      <c r="Z242" s="780">
        <f t="shared" si="282"/>
        <v>36560</v>
      </c>
      <c r="AA242" s="2007"/>
      <c r="AB242" s="2007"/>
      <c r="AC242" s="765"/>
      <c r="AD242" s="781">
        <f t="shared" si="264"/>
        <v>0</v>
      </c>
      <c r="AE242" s="778">
        <f t="shared" si="265"/>
        <v>0</v>
      </c>
      <c r="AF242" s="781">
        <f t="shared" si="266"/>
        <v>0</v>
      </c>
      <c r="AG242" s="781">
        <f t="shared" si="267"/>
        <v>0</v>
      </c>
      <c r="AH242" s="781">
        <f t="shared" si="268"/>
        <v>0</v>
      </c>
      <c r="AI242" s="782">
        <f t="shared" si="269"/>
        <v>0</v>
      </c>
      <c r="AJ242" s="781">
        <f t="shared" si="270"/>
        <v>0</v>
      </c>
      <c r="AK242" s="781">
        <f t="shared" si="271"/>
        <v>0</v>
      </c>
      <c r="AL242" s="781">
        <f t="shared" si="272"/>
        <v>0</v>
      </c>
      <c r="AM242" s="781">
        <f t="shared" si="273"/>
        <v>0</v>
      </c>
      <c r="AN242" s="781">
        <f t="shared" si="274"/>
        <v>0</v>
      </c>
      <c r="AO242" s="781">
        <f t="shared" si="275"/>
        <v>0</v>
      </c>
      <c r="AP242" s="781">
        <f t="shared" si="276"/>
        <v>0</v>
      </c>
      <c r="AQ242" s="781">
        <f t="shared" si="277"/>
        <v>0</v>
      </c>
      <c r="AR242" s="781">
        <f t="shared" si="278"/>
        <v>0</v>
      </c>
      <c r="AS242" s="783">
        <f t="shared" si="279"/>
        <v>0</v>
      </c>
      <c r="AT242" s="917"/>
      <c r="AW242" s="832"/>
      <c r="AX242" s="833" t="s">
        <v>3110</v>
      </c>
    </row>
    <row r="243" spans="1:65" ht="26.25" hidden="1" outlineLevel="2" thickBot="1" x14ac:dyDescent="0.3">
      <c r="A243" s="784"/>
      <c r="B243" s="904">
        <f t="shared" si="242"/>
        <v>227</v>
      </c>
      <c r="C243" s="170" t="str">
        <f t="shared" si="241"/>
        <v>53EA</v>
      </c>
      <c r="D243" s="557"/>
      <c r="E243" s="170"/>
      <c r="F243" s="721">
        <v>53</v>
      </c>
      <c r="G243" s="2492" t="s">
        <v>2853</v>
      </c>
      <c r="H243" s="2039"/>
      <c r="I243" s="2008" t="s">
        <v>732</v>
      </c>
      <c r="J243" s="2039"/>
      <c r="K243" s="2039"/>
      <c r="L243" s="488"/>
      <c r="M243" s="2039">
        <v>200</v>
      </c>
      <c r="N243" s="2043">
        <v>1</v>
      </c>
      <c r="O243" s="1967">
        <f t="shared" si="280"/>
        <v>200</v>
      </c>
      <c r="P243" s="2076" t="s">
        <v>39</v>
      </c>
      <c r="Q243" s="2008" t="s">
        <v>39</v>
      </c>
      <c r="R243" s="2011" t="s">
        <v>74</v>
      </c>
      <c r="S243" s="912">
        <f>SUMIF('Data Input sheet'!$B$118:$B$180,R243,'Data Input sheet'!$D$118:$D$180)</f>
        <v>152</v>
      </c>
      <c r="T243" s="2686">
        <f t="shared" si="281"/>
        <v>30400</v>
      </c>
      <c r="U243" s="2042">
        <v>14.8</v>
      </c>
      <c r="V243" s="1981">
        <f t="shared" si="260"/>
        <v>2960</v>
      </c>
      <c r="W243" s="2046">
        <v>2900</v>
      </c>
      <c r="X243" s="2502"/>
      <c r="Y243" s="2047">
        <v>0</v>
      </c>
      <c r="Z243" s="780">
        <f t="shared" si="282"/>
        <v>36260</v>
      </c>
      <c r="AA243" s="2007"/>
      <c r="AB243" s="2007"/>
      <c r="AC243" s="765"/>
      <c r="AD243" s="781">
        <f t="shared" si="264"/>
        <v>0</v>
      </c>
      <c r="AE243" s="778">
        <f t="shared" si="265"/>
        <v>0</v>
      </c>
      <c r="AF243" s="781">
        <f t="shared" si="266"/>
        <v>0</v>
      </c>
      <c r="AG243" s="781">
        <f t="shared" si="267"/>
        <v>0</v>
      </c>
      <c r="AH243" s="781">
        <f t="shared" si="268"/>
        <v>0</v>
      </c>
      <c r="AI243" s="782">
        <f t="shared" si="269"/>
        <v>0</v>
      </c>
      <c r="AJ243" s="781">
        <f t="shared" si="270"/>
        <v>0</v>
      </c>
      <c r="AK243" s="781">
        <f t="shared" si="271"/>
        <v>0</v>
      </c>
      <c r="AL243" s="781">
        <f t="shared" si="272"/>
        <v>0</v>
      </c>
      <c r="AM243" s="781">
        <f t="shared" si="273"/>
        <v>0</v>
      </c>
      <c r="AN243" s="781">
        <f t="shared" si="274"/>
        <v>0</v>
      </c>
      <c r="AO243" s="781">
        <f t="shared" si="275"/>
        <v>0</v>
      </c>
      <c r="AP243" s="781">
        <f t="shared" si="276"/>
        <v>0</v>
      </c>
      <c r="AQ243" s="781">
        <f t="shared" si="277"/>
        <v>0</v>
      </c>
      <c r="AR243" s="781">
        <f t="shared" si="278"/>
        <v>0</v>
      </c>
      <c r="AS243" s="783">
        <f t="shared" si="279"/>
        <v>0</v>
      </c>
      <c r="AT243" s="917"/>
      <c r="AW243" s="832"/>
      <c r="AX243" s="833" t="s">
        <v>3110</v>
      </c>
    </row>
    <row r="244" spans="1:65" ht="15.75" hidden="1" outlineLevel="2" thickBot="1" x14ac:dyDescent="0.3">
      <c r="A244" s="784"/>
      <c r="B244" s="904">
        <f t="shared" si="242"/>
        <v>228</v>
      </c>
      <c r="C244" s="170" t="str">
        <f t="shared" si="241"/>
        <v/>
      </c>
      <c r="D244" s="557"/>
      <c r="E244" s="170"/>
      <c r="F244" s="721"/>
      <c r="G244" s="2491" t="s">
        <v>1699</v>
      </c>
      <c r="H244" s="2039"/>
      <c r="I244" s="2008"/>
      <c r="J244" s="2039"/>
      <c r="K244" s="2039"/>
      <c r="L244" s="2498"/>
      <c r="M244" s="2041"/>
      <c r="N244" s="2043"/>
      <c r="O244" s="2499"/>
      <c r="P244" s="2076"/>
      <c r="Q244" s="2008"/>
      <c r="R244" s="2011"/>
      <c r="S244" s="912">
        <f>SUMIF('Data Input sheet'!$B$118:$B$180,R244,'Data Input sheet'!$D$118:$D$180)</f>
        <v>0</v>
      </c>
      <c r="T244" s="2686"/>
      <c r="U244" s="2042"/>
      <c r="V244" s="2501">
        <f t="shared" si="260"/>
        <v>0</v>
      </c>
      <c r="W244" s="2045"/>
      <c r="X244" s="2502"/>
      <c r="Y244" s="2047"/>
      <c r="Z244" s="2500"/>
      <c r="AA244" s="2007"/>
      <c r="AB244" s="2007"/>
      <c r="AC244" s="765"/>
      <c r="AD244" s="781">
        <f t="shared" si="264"/>
        <v>0</v>
      </c>
      <c r="AE244" s="778">
        <f t="shared" si="265"/>
        <v>0</v>
      </c>
      <c r="AF244" s="781">
        <f t="shared" si="266"/>
        <v>0</v>
      </c>
      <c r="AG244" s="781">
        <f t="shared" si="267"/>
        <v>0</v>
      </c>
      <c r="AH244" s="781">
        <f t="shared" si="268"/>
        <v>0</v>
      </c>
      <c r="AI244" s="782">
        <f t="shared" si="269"/>
        <v>0</v>
      </c>
      <c r="AJ244" s="781">
        <f t="shared" si="270"/>
        <v>0</v>
      </c>
      <c r="AK244" s="781">
        <f t="shared" si="271"/>
        <v>0</v>
      </c>
      <c r="AL244" s="781">
        <f t="shared" si="272"/>
        <v>0</v>
      </c>
      <c r="AM244" s="781">
        <f t="shared" si="273"/>
        <v>0</v>
      </c>
      <c r="AN244" s="781">
        <f t="shared" si="274"/>
        <v>0</v>
      </c>
      <c r="AO244" s="781">
        <f t="shared" si="275"/>
        <v>0</v>
      </c>
      <c r="AP244" s="781">
        <f t="shared" si="276"/>
        <v>0</v>
      </c>
      <c r="AQ244" s="781">
        <f t="shared" si="277"/>
        <v>0</v>
      </c>
      <c r="AR244" s="781">
        <f t="shared" si="278"/>
        <v>0</v>
      </c>
      <c r="AS244" s="783">
        <f t="shared" si="279"/>
        <v>0</v>
      </c>
      <c r="AT244" s="917"/>
      <c r="AW244" s="832"/>
      <c r="AX244" s="833"/>
    </row>
    <row r="245" spans="1:65" ht="26.25" hidden="1" outlineLevel="2" thickBot="1" x14ac:dyDescent="0.3">
      <c r="A245" s="784"/>
      <c r="B245" s="904">
        <f t="shared" si="242"/>
        <v>229</v>
      </c>
      <c r="C245" s="170" t="str">
        <f t="shared" si="241"/>
        <v>53EA</v>
      </c>
      <c r="D245" s="557"/>
      <c r="E245" s="170"/>
      <c r="F245" s="721">
        <v>53</v>
      </c>
      <c r="G245" s="2492" t="s">
        <v>2854</v>
      </c>
      <c r="H245" s="2039"/>
      <c r="I245" s="2008" t="s">
        <v>732</v>
      </c>
      <c r="J245" s="2039"/>
      <c r="K245" s="2039"/>
      <c r="L245" s="488"/>
      <c r="M245" s="2041">
        <v>130</v>
      </c>
      <c r="N245" s="2043">
        <v>1</v>
      </c>
      <c r="O245" s="1967">
        <f t="shared" ref="O245:O247" si="283">+M245*N245</f>
        <v>130</v>
      </c>
      <c r="P245" s="2076" t="s">
        <v>39</v>
      </c>
      <c r="Q245" s="2008" t="s">
        <v>39</v>
      </c>
      <c r="R245" s="2011" t="s">
        <v>74</v>
      </c>
      <c r="S245" s="912">
        <f>SUMIF('Data Input sheet'!$B$118:$B$180,R245,'Data Input sheet'!$D$118:$D$180)</f>
        <v>152</v>
      </c>
      <c r="T245" s="2686">
        <f t="shared" ref="T245:T247" si="284">ROUND(O245*S245,0)</f>
        <v>19760</v>
      </c>
      <c r="U245" s="2042">
        <v>14.8</v>
      </c>
      <c r="V245" s="1981">
        <f t="shared" si="260"/>
        <v>1924</v>
      </c>
      <c r="W245" s="2046">
        <v>3700</v>
      </c>
      <c r="X245" s="2502"/>
      <c r="Y245" s="2047">
        <v>0</v>
      </c>
      <c r="Z245" s="780">
        <f t="shared" ref="Z245:Z247" si="285">T245+V245+W245+Y245</f>
        <v>25384</v>
      </c>
      <c r="AA245" s="2007"/>
      <c r="AB245" s="2007"/>
      <c r="AC245" s="765"/>
      <c r="AD245" s="781">
        <f t="shared" si="264"/>
        <v>0</v>
      </c>
      <c r="AE245" s="778">
        <f t="shared" si="265"/>
        <v>0</v>
      </c>
      <c r="AF245" s="781">
        <f t="shared" si="266"/>
        <v>0</v>
      </c>
      <c r="AG245" s="781">
        <f t="shared" si="267"/>
        <v>0</v>
      </c>
      <c r="AH245" s="781">
        <f t="shared" si="268"/>
        <v>0</v>
      </c>
      <c r="AI245" s="782">
        <f t="shared" si="269"/>
        <v>0</v>
      </c>
      <c r="AJ245" s="781">
        <f t="shared" si="270"/>
        <v>0</v>
      </c>
      <c r="AK245" s="781">
        <f t="shared" si="271"/>
        <v>0</v>
      </c>
      <c r="AL245" s="781">
        <f t="shared" si="272"/>
        <v>0</v>
      </c>
      <c r="AM245" s="781">
        <f t="shared" si="273"/>
        <v>0</v>
      </c>
      <c r="AN245" s="781">
        <f t="shared" si="274"/>
        <v>0</v>
      </c>
      <c r="AO245" s="781">
        <f t="shared" si="275"/>
        <v>0</v>
      </c>
      <c r="AP245" s="781">
        <f t="shared" si="276"/>
        <v>0</v>
      </c>
      <c r="AQ245" s="781">
        <f t="shared" si="277"/>
        <v>0</v>
      </c>
      <c r="AR245" s="781">
        <f t="shared" si="278"/>
        <v>0</v>
      </c>
      <c r="AS245" s="783">
        <f t="shared" si="279"/>
        <v>0</v>
      </c>
      <c r="AT245" s="917"/>
      <c r="AW245" s="832"/>
      <c r="AX245" s="833" t="s">
        <v>3111</v>
      </c>
    </row>
    <row r="246" spans="1:65" ht="26.25" hidden="1" outlineLevel="2" thickBot="1" x14ac:dyDescent="0.3">
      <c r="A246" s="784"/>
      <c r="B246" s="904">
        <f t="shared" si="242"/>
        <v>230</v>
      </c>
      <c r="C246" s="170" t="str">
        <f t="shared" si="241"/>
        <v>53EA</v>
      </c>
      <c r="D246" s="557"/>
      <c r="E246" s="170"/>
      <c r="F246" s="721">
        <v>53</v>
      </c>
      <c r="G246" s="2492" t="s">
        <v>2855</v>
      </c>
      <c r="H246" s="2039"/>
      <c r="I246" s="2008" t="s">
        <v>732</v>
      </c>
      <c r="J246" s="2039"/>
      <c r="K246" s="2039"/>
      <c r="L246" s="488"/>
      <c r="M246" s="2041">
        <v>130</v>
      </c>
      <c r="N246" s="2043">
        <v>1</v>
      </c>
      <c r="O246" s="1967">
        <f t="shared" si="283"/>
        <v>130</v>
      </c>
      <c r="P246" s="2076" t="s">
        <v>39</v>
      </c>
      <c r="Q246" s="2008" t="s">
        <v>39</v>
      </c>
      <c r="R246" s="2011" t="s">
        <v>74</v>
      </c>
      <c r="S246" s="912">
        <f>SUMIF('Data Input sheet'!$B$118:$B$180,R246,'Data Input sheet'!$D$118:$D$180)</f>
        <v>152</v>
      </c>
      <c r="T246" s="2686">
        <f t="shared" si="284"/>
        <v>19760</v>
      </c>
      <c r="U246" s="2042">
        <v>14.8</v>
      </c>
      <c r="V246" s="1981">
        <f t="shared" si="260"/>
        <v>1924</v>
      </c>
      <c r="W246" s="2046">
        <v>3500</v>
      </c>
      <c r="X246" s="2502"/>
      <c r="Y246" s="2047">
        <v>0</v>
      </c>
      <c r="Z246" s="780">
        <f t="shared" si="285"/>
        <v>25184</v>
      </c>
      <c r="AA246" s="2007"/>
      <c r="AB246" s="2007"/>
      <c r="AC246" s="765"/>
      <c r="AD246" s="781">
        <f t="shared" si="264"/>
        <v>0</v>
      </c>
      <c r="AE246" s="778">
        <f t="shared" si="265"/>
        <v>0</v>
      </c>
      <c r="AF246" s="781">
        <f t="shared" si="266"/>
        <v>0</v>
      </c>
      <c r="AG246" s="781">
        <f t="shared" si="267"/>
        <v>0</v>
      </c>
      <c r="AH246" s="781">
        <f t="shared" si="268"/>
        <v>0</v>
      </c>
      <c r="AI246" s="782">
        <f t="shared" si="269"/>
        <v>0</v>
      </c>
      <c r="AJ246" s="781">
        <f t="shared" si="270"/>
        <v>0</v>
      </c>
      <c r="AK246" s="781">
        <f t="shared" si="271"/>
        <v>0</v>
      </c>
      <c r="AL246" s="781">
        <f t="shared" si="272"/>
        <v>0</v>
      </c>
      <c r="AM246" s="781">
        <f t="shared" si="273"/>
        <v>0</v>
      </c>
      <c r="AN246" s="781">
        <f t="shared" si="274"/>
        <v>0</v>
      </c>
      <c r="AO246" s="781">
        <f t="shared" si="275"/>
        <v>0</v>
      </c>
      <c r="AP246" s="781">
        <f t="shared" si="276"/>
        <v>0</v>
      </c>
      <c r="AQ246" s="781">
        <f t="shared" si="277"/>
        <v>0</v>
      </c>
      <c r="AR246" s="781">
        <f t="shared" si="278"/>
        <v>0</v>
      </c>
      <c r="AS246" s="783">
        <f t="shared" si="279"/>
        <v>0</v>
      </c>
      <c r="AT246" s="917"/>
      <c r="AW246" s="832"/>
      <c r="AX246" s="833" t="s">
        <v>3111</v>
      </c>
    </row>
    <row r="247" spans="1:65" ht="26.25" hidden="1" outlineLevel="2" thickBot="1" x14ac:dyDescent="0.3">
      <c r="A247" s="784"/>
      <c r="B247" s="904">
        <f t="shared" si="242"/>
        <v>231</v>
      </c>
      <c r="C247" s="170" t="str">
        <f t="shared" si="241"/>
        <v>53EA</v>
      </c>
      <c r="D247" s="557"/>
      <c r="E247" s="170"/>
      <c r="F247" s="721">
        <v>53</v>
      </c>
      <c r="G247" s="2492" t="s">
        <v>2856</v>
      </c>
      <c r="H247" s="2039"/>
      <c r="I247" s="2008" t="s">
        <v>732</v>
      </c>
      <c r="J247" s="2039"/>
      <c r="K247" s="2039"/>
      <c r="L247" s="488"/>
      <c r="M247" s="2041">
        <v>130</v>
      </c>
      <c r="N247" s="2043">
        <v>1</v>
      </c>
      <c r="O247" s="1967">
        <f t="shared" si="283"/>
        <v>130</v>
      </c>
      <c r="P247" s="2076" t="s">
        <v>39</v>
      </c>
      <c r="Q247" s="2008" t="s">
        <v>39</v>
      </c>
      <c r="R247" s="2011" t="s">
        <v>74</v>
      </c>
      <c r="S247" s="912">
        <f>SUMIF('Data Input sheet'!$B$118:$B$180,R247,'Data Input sheet'!$D$118:$D$180)</f>
        <v>152</v>
      </c>
      <c r="T247" s="2686">
        <f t="shared" si="284"/>
        <v>19760</v>
      </c>
      <c r="U247" s="2042">
        <v>14.8</v>
      </c>
      <c r="V247" s="1981">
        <f t="shared" si="260"/>
        <v>1924</v>
      </c>
      <c r="W247" s="2046">
        <v>3300</v>
      </c>
      <c r="X247" s="2502"/>
      <c r="Y247" s="2047">
        <v>0</v>
      </c>
      <c r="Z247" s="780">
        <f t="shared" si="285"/>
        <v>24984</v>
      </c>
      <c r="AA247" s="2007"/>
      <c r="AB247" s="2007"/>
      <c r="AC247" s="765"/>
      <c r="AD247" s="781">
        <f t="shared" si="264"/>
        <v>0</v>
      </c>
      <c r="AE247" s="778">
        <f t="shared" si="265"/>
        <v>0</v>
      </c>
      <c r="AF247" s="781">
        <f t="shared" si="266"/>
        <v>0</v>
      </c>
      <c r="AG247" s="781">
        <f t="shared" si="267"/>
        <v>0</v>
      </c>
      <c r="AH247" s="781">
        <f t="shared" si="268"/>
        <v>0</v>
      </c>
      <c r="AI247" s="782">
        <f t="shared" si="269"/>
        <v>0</v>
      </c>
      <c r="AJ247" s="781">
        <f t="shared" si="270"/>
        <v>0</v>
      </c>
      <c r="AK247" s="781">
        <f t="shared" si="271"/>
        <v>0</v>
      </c>
      <c r="AL247" s="781">
        <f t="shared" si="272"/>
        <v>0</v>
      </c>
      <c r="AM247" s="781">
        <f t="shared" si="273"/>
        <v>0</v>
      </c>
      <c r="AN247" s="781">
        <f t="shared" si="274"/>
        <v>0</v>
      </c>
      <c r="AO247" s="781">
        <f t="shared" si="275"/>
        <v>0</v>
      </c>
      <c r="AP247" s="781">
        <f t="shared" si="276"/>
        <v>0</v>
      </c>
      <c r="AQ247" s="781">
        <f t="shared" si="277"/>
        <v>0</v>
      </c>
      <c r="AR247" s="781">
        <f t="shared" si="278"/>
        <v>0</v>
      </c>
      <c r="AS247" s="783">
        <f t="shared" si="279"/>
        <v>0</v>
      </c>
      <c r="AT247" s="917"/>
      <c r="AW247" s="832"/>
      <c r="AX247" s="833" t="s">
        <v>3111</v>
      </c>
    </row>
    <row r="248" spans="1:65" ht="15.75" hidden="1" outlineLevel="1" thickBot="1" x14ac:dyDescent="0.3">
      <c r="A248" s="784"/>
      <c r="B248" s="904">
        <f t="shared" si="242"/>
        <v>232</v>
      </c>
      <c r="C248" s="170" t="str">
        <f t="shared" si="241"/>
        <v/>
      </c>
      <c r="D248" s="557"/>
      <c r="E248" s="170"/>
      <c r="F248" s="170"/>
      <c r="G248" s="2703" t="s">
        <v>3292</v>
      </c>
      <c r="H248" s="1926"/>
      <c r="I248" s="2008"/>
      <c r="J248" s="1926"/>
      <c r="K248" s="1926"/>
      <c r="L248" s="488"/>
      <c r="M248" s="2009"/>
      <c r="N248" s="2010"/>
      <c r="O248" s="773">
        <f>+M248*N248</f>
        <v>0</v>
      </c>
      <c r="P248" s="2076"/>
      <c r="Q248" s="2008"/>
      <c r="R248" s="2011"/>
      <c r="S248" s="912">
        <f>SUMIF('Data Input sheet'!$B$118:$B$180,R248,'Data Input sheet'!$D$118:$D$180)</f>
        <v>0</v>
      </c>
      <c r="T248" s="2685">
        <v>20000</v>
      </c>
      <c r="U248" s="2013">
        <v>0</v>
      </c>
      <c r="V248" s="778">
        <f t="shared" si="260"/>
        <v>0</v>
      </c>
      <c r="W248" s="2010"/>
      <c r="X248" s="779"/>
      <c r="Y248" s="2012"/>
      <c r="Z248" s="780">
        <f>T248+V248+W248+Y248</f>
        <v>20000</v>
      </c>
      <c r="AA248" s="2007"/>
      <c r="AB248" s="2007"/>
      <c r="AC248" s="765"/>
      <c r="AD248" s="781">
        <f t="shared" si="264"/>
        <v>0</v>
      </c>
      <c r="AE248" s="778">
        <f t="shared" si="265"/>
        <v>0</v>
      </c>
      <c r="AF248" s="781">
        <f t="shared" si="266"/>
        <v>0</v>
      </c>
      <c r="AG248" s="781">
        <f t="shared" si="267"/>
        <v>0</v>
      </c>
      <c r="AH248" s="781">
        <f t="shared" si="268"/>
        <v>0</v>
      </c>
      <c r="AI248" s="782">
        <f t="shared" si="269"/>
        <v>0</v>
      </c>
      <c r="AJ248" s="781">
        <f t="shared" si="270"/>
        <v>0</v>
      </c>
      <c r="AK248" s="781">
        <f t="shared" si="271"/>
        <v>0</v>
      </c>
      <c r="AL248" s="781">
        <f t="shared" si="272"/>
        <v>0</v>
      </c>
      <c r="AM248" s="781">
        <f t="shared" si="273"/>
        <v>0</v>
      </c>
      <c r="AN248" s="781">
        <f t="shared" si="274"/>
        <v>0</v>
      </c>
      <c r="AO248" s="781">
        <f t="shared" si="275"/>
        <v>0</v>
      </c>
      <c r="AP248" s="781">
        <f t="shared" si="276"/>
        <v>0</v>
      </c>
      <c r="AQ248" s="781">
        <f t="shared" si="277"/>
        <v>0</v>
      </c>
      <c r="AR248" s="781">
        <f t="shared" si="278"/>
        <v>0</v>
      </c>
      <c r="AS248" s="783">
        <f t="shared" si="279"/>
        <v>0</v>
      </c>
      <c r="AT248" s="917"/>
      <c r="AW248" s="832"/>
      <c r="AX248" s="833" t="s">
        <v>3030</v>
      </c>
      <c r="AY248" s="2482"/>
      <c r="BM248" s="2010">
        <v>465000</v>
      </c>
    </row>
    <row r="249" spans="1:65" ht="15.75" hidden="1" outlineLevel="2" thickBot="1" x14ac:dyDescent="0.3">
      <c r="A249" s="784"/>
      <c r="B249" s="904">
        <f t="shared" si="242"/>
        <v>233</v>
      </c>
      <c r="C249" s="170" t="str">
        <f t="shared" si="241"/>
        <v/>
      </c>
      <c r="D249" s="557"/>
      <c r="E249" s="170"/>
      <c r="F249" s="721"/>
      <c r="G249" s="2491" t="s">
        <v>1857</v>
      </c>
      <c r="H249" s="2039"/>
      <c r="I249" s="2008"/>
      <c r="J249" s="2039"/>
      <c r="K249" s="2039"/>
      <c r="L249" s="2498"/>
      <c r="M249" s="2041">
        <v>0</v>
      </c>
      <c r="N249" s="2043"/>
      <c r="O249" s="2499">
        <f t="shared" si="232"/>
        <v>0</v>
      </c>
      <c r="P249" s="2076"/>
      <c r="Q249" s="2008"/>
      <c r="R249" s="2011"/>
      <c r="S249" s="912">
        <f>SUMIF('Data Input sheet'!$B$118:$B$180,R249,'Data Input sheet'!$D$118:$D$180)</f>
        <v>0</v>
      </c>
      <c r="T249" s="2686">
        <f t="shared" ref="T249:T252" si="286">ROUND(O249*S249,0)</f>
        <v>0</v>
      </c>
      <c r="U249" s="2042"/>
      <c r="V249" s="2501">
        <f t="shared" si="238"/>
        <v>0</v>
      </c>
      <c r="W249" s="2046"/>
      <c r="X249" s="2502"/>
      <c r="Y249" s="2047">
        <v>0</v>
      </c>
      <c r="Z249" s="2500">
        <f t="shared" si="234"/>
        <v>0</v>
      </c>
      <c r="AA249" s="2007"/>
      <c r="AB249" s="2007"/>
      <c r="AC249" s="765"/>
      <c r="AD249" s="781">
        <f t="shared" si="244"/>
        <v>0</v>
      </c>
      <c r="AE249" s="778">
        <f t="shared" si="245"/>
        <v>0</v>
      </c>
      <c r="AF249" s="781">
        <f t="shared" si="246"/>
        <v>0</v>
      </c>
      <c r="AG249" s="781">
        <f t="shared" si="247"/>
        <v>0</v>
      </c>
      <c r="AH249" s="781">
        <f t="shared" si="248"/>
        <v>0</v>
      </c>
      <c r="AI249" s="782">
        <f t="shared" si="249"/>
        <v>0</v>
      </c>
      <c r="AJ249" s="781">
        <f t="shared" si="250"/>
        <v>0</v>
      </c>
      <c r="AK249" s="781">
        <f t="shared" si="251"/>
        <v>0</v>
      </c>
      <c r="AL249" s="781">
        <f t="shared" si="252"/>
        <v>0</v>
      </c>
      <c r="AM249" s="781">
        <f t="shared" si="253"/>
        <v>0</v>
      </c>
      <c r="AN249" s="781">
        <f t="shared" si="254"/>
        <v>0</v>
      </c>
      <c r="AO249" s="781">
        <f t="shared" si="255"/>
        <v>0</v>
      </c>
      <c r="AP249" s="781">
        <f t="shared" si="256"/>
        <v>0</v>
      </c>
      <c r="AQ249" s="781">
        <f t="shared" si="257"/>
        <v>0</v>
      </c>
      <c r="AR249" s="781">
        <f t="shared" si="258"/>
        <v>0</v>
      </c>
      <c r="AS249" s="783">
        <f t="shared" si="259"/>
        <v>0</v>
      </c>
    </row>
    <row r="250" spans="1:65" ht="26.25" hidden="1" outlineLevel="2" thickBot="1" x14ac:dyDescent="0.3">
      <c r="A250" s="784"/>
      <c r="B250" s="904">
        <f t="shared" si="242"/>
        <v>234</v>
      </c>
      <c r="C250" s="170" t="str">
        <f t="shared" si="241"/>
        <v>52EA</v>
      </c>
      <c r="D250" s="557"/>
      <c r="E250" s="170"/>
      <c r="F250" s="721">
        <v>52</v>
      </c>
      <c r="G250" s="2007" t="s">
        <v>1987</v>
      </c>
      <c r="H250" s="1926"/>
      <c r="I250" s="2008" t="s">
        <v>732</v>
      </c>
      <c r="J250" s="1926"/>
      <c r="K250" s="1926"/>
      <c r="L250" s="170"/>
      <c r="M250" s="2009">
        <v>400</v>
      </c>
      <c r="N250" s="2010">
        <v>1</v>
      </c>
      <c r="O250" s="773">
        <f t="shared" ref="O250" si="287">+M250*N250</f>
        <v>400</v>
      </c>
      <c r="P250" s="2076" t="s">
        <v>39</v>
      </c>
      <c r="Q250" s="2008" t="s">
        <v>39</v>
      </c>
      <c r="R250" s="2011" t="s">
        <v>74</v>
      </c>
      <c r="S250" s="912">
        <f>SUMIF('Data Input sheet'!$B$118:$B$180,R250,'Data Input sheet'!$D$118:$D$180)</f>
        <v>152</v>
      </c>
      <c r="T250" s="2685">
        <f t="shared" ref="T250" si="288">+O250*S250</f>
        <v>60800</v>
      </c>
      <c r="U250" s="2013">
        <v>35</v>
      </c>
      <c r="V250" s="778">
        <f t="shared" ref="V250" si="289">ROUND(U250*O250,0)</f>
        <v>14000</v>
      </c>
      <c r="W250" s="2010">
        <v>238651.14624</v>
      </c>
      <c r="X250" s="779"/>
      <c r="Y250" s="2012"/>
      <c r="Z250" s="780">
        <f t="shared" ref="Z250" si="290">T250+V250+W250+Y250</f>
        <v>313451.14624000003</v>
      </c>
      <c r="AA250" s="2007"/>
      <c r="AB250" s="2007"/>
      <c r="AC250" s="765"/>
      <c r="AD250" s="781">
        <f t="shared" si="244"/>
        <v>0</v>
      </c>
      <c r="AE250" s="778">
        <f t="shared" si="245"/>
        <v>0</v>
      </c>
      <c r="AF250" s="781">
        <f t="shared" si="246"/>
        <v>0</v>
      </c>
      <c r="AG250" s="781">
        <f t="shared" si="247"/>
        <v>0</v>
      </c>
      <c r="AH250" s="781">
        <f t="shared" si="248"/>
        <v>0</v>
      </c>
      <c r="AI250" s="782">
        <f t="shared" si="249"/>
        <v>0</v>
      </c>
      <c r="AJ250" s="781">
        <f t="shared" si="250"/>
        <v>0</v>
      </c>
      <c r="AK250" s="781">
        <f t="shared" si="251"/>
        <v>0</v>
      </c>
      <c r="AL250" s="781">
        <f t="shared" si="252"/>
        <v>0</v>
      </c>
      <c r="AM250" s="781">
        <f t="shared" si="253"/>
        <v>0</v>
      </c>
      <c r="AN250" s="781">
        <f t="shared" si="254"/>
        <v>0</v>
      </c>
      <c r="AO250" s="781">
        <f t="shared" si="255"/>
        <v>0</v>
      </c>
      <c r="AP250" s="781">
        <f t="shared" si="256"/>
        <v>0</v>
      </c>
      <c r="AQ250" s="781">
        <f t="shared" si="257"/>
        <v>0</v>
      </c>
      <c r="AR250" s="781">
        <f t="shared" si="258"/>
        <v>0</v>
      </c>
      <c r="AS250" s="783">
        <f t="shared" si="259"/>
        <v>0</v>
      </c>
      <c r="AT250" s="917"/>
      <c r="AW250" s="832"/>
      <c r="AX250" s="833" t="s">
        <v>3056</v>
      </c>
      <c r="BM250" s="2010">
        <v>238651.14624</v>
      </c>
    </row>
    <row r="251" spans="1:65" ht="15.75" hidden="1" outlineLevel="2" thickBot="1" x14ac:dyDescent="0.3">
      <c r="A251" s="784"/>
      <c r="B251" s="904">
        <f t="shared" si="242"/>
        <v>235</v>
      </c>
      <c r="C251" s="170" t="str">
        <f t="shared" si="241"/>
        <v>52EA</v>
      </c>
      <c r="D251" s="557"/>
      <c r="E251" s="170"/>
      <c r="F251" s="721">
        <v>52</v>
      </c>
      <c r="G251" s="2492" t="s">
        <v>1858</v>
      </c>
      <c r="H251" s="2039"/>
      <c r="I251" s="2008" t="s">
        <v>732</v>
      </c>
      <c r="J251" s="2039"/>
      <c r="K251" s="1926"/>
      <c r="L251" s="488"/>
      <c r="M251" s="2041">
        <v>0</v>
      </c>
      <c r="N251" s="2043">
        <v>1</v>
      </c>
      <c r="O251" s="1967">
        <f t="shared" si="232"/>
        <v>0</v>
      </c>
      <c r="P251" s="2076" t="s">
        <v>39</v>
      </c>
      <c r="Q251" s="2008" t="s">
        <v>39</v>
      </c>
      <c r="R251" s="2011" t="s">
        <v>74</v>
      </c>
      <c r="S251" s="912">
        <f>SUMIF('Data Input sheet'!$B$118:$B$180,R251,'Data Input sheet'!$D$118:$D$180)</f>
        <v>152</v>
      </c>
      <c r="T251" s="2686">
        <f t="shared" si="286"/>
        <v>0</v>
      </c>
      <c r="U251" s="2042"/>
      <c r="V251" s="1981">
        <f t="shared" si="238"/>
        <v>0</v>
      </c>
      <c r="W251" s="2046">
        <v>17800</v>
      </c>
      <c r="X251" s="2502"/>
      <c r="Y251" s="2047">
        <v>0</v>
      </c>
      <c r="Z251" s="780">
        <f t="shared" si="234"/>
        <v>17800</v>
      </c>
      <c r="AA251" s="2007"/>
      <c r="AB251" s="2007"/>
      <c r="AC251" s="765"/>
      <c r="AD251" s="781">
        <f t="shared" si="244"/>
        <v>0</v>
      </c>
      <c r="AE251" s="778">
        <f t="shared" si="245"/>
        <v>0</v>
      </c>
      <c r="AF251" s="781">
        <f t="shared" si="246"/>
        <v>0</v>
      </c>
      <c r="AG251" s="781">
        <f t="shared" si="247"/>
        <v>0</v>
      </c>
      <c r="AH251" s="781">
        <f t="shared" si="248"/>
        <v>0</v>
      </c>
      <c r="AI251" s="782">
        <f t="shared" si="249"/>
        <v>0</v>
      </c>
      <c r="AJ251" s="781">
        <f t="shared" si="250"/>
        <v>0</v>
      </c>
      <c r="AK251" s="781">
        <f t="shared" si="251"/>
        <v>0</v>
      </c>
      <c r="AL251" s="781">
        <f t="shared" si="252"/>
        <v>0</v>
      </c>
      <c r="AM251" s="781">
        <f t="shared" si="253"/>
        <v>0</v>
      </c>
      <c r="AN251" s="781">
        <f t="shared" si="254"/>
        <v>0</v>
      </c>
      <c r="AO251" s="781">
        <f t="shared" si="255"/>
        <v>0</v>
      </c>
      <c r="AP251" s="781">
        <f t="shared" si="256"/>
        <v>0</v>
      </c>
      <c r="AQ251" s="781">
        <f t="shared" si="257"/>
        <v>0</v>
      </c>
      <c r="AR251" s="781">
        <f t="shared" si="258"/>
        <v>0</v>
      </c>
      <c r="AS251" s="783">
        <f t="shared" si="259"/>
        <v>0</v>
      </c>
    </row>
    <row r="252" spans="1:65" ht="15.75" hidden="1" outlineLevel="2" thickBot="1" x14ac:dyDescent="0.3">
      <c r="A252" s="784"/>
      <c r="B252" s="904">
        <f t="shared" si="242"/>
        <v>236</v>
      </c>
      <c r="C252" s="170" t="str">
        <f t="shared" si="241"/>
        <v>52EA</v>
      </c>
      <c r="D252" s="557"/>
      <c r="E252" s="170"/>
      <c r="F252" s="721">
        <v>52</v>
      </c>
      <c r="G252" s="2492" t="s">
        <v>1859</v>
      </c>
      <c r="H252" s="2039"/>
      <c r="I252" s="2008" t="s">
        <v>732</v>
      </c>
      <c r="J252" s="2039"/>
      <c r="K252" s="1926"/>
      <c r="L252" s="488"/>
      <c r="M252" s="2041">
        <v>0</v>
      </c>
      <c r="N252" s="2043">
        <v>1</v>
      </c>
      <c r="O252" s="1967">
        <f t="shared" si="232"/>
        <v>0</v>
      </c>
      <c r="P252" s="2076" t="s">
        <v>39</v>
      </c>
      <c r="Q252" s="2008" t="s">
        <v>39</v>
      </c>
      <c r="R252" s="2011" t="s">
        <v>74</v>
      </c>
      <c r="S252" s="912">
        <f>SUMIF('Data Input sheet'!$B$118:$B$180,R252,'Data Input sheet'!$D$118:$D$180)</f>
        <v>152</v>
      </c>
      <c r="T252" s="2686">
        <f t="shared" si="286"/>
        <v>0</v>
      </c>
      <c r="U252" s="2042"/>
      <c r="V252" s="1981">
        <f t="shared" si="238"/>
        <v>0</v>
      </c>
      <c r="W252" s="2046">
        <v>190000</v>
      </c>
      <c r="X252" s="2502"/>
      <c r="Y252" s="2047">
        <v>0</v>
      </c>
      <c r="Z252" s="780">
        <f t="shared" si="234"/>
        <v>190000</v>
      </c>
      <c r="AA252" s="2007"/>
      <c r="AB252" s="2007"/>
      <c r="AC252" s="765"/>
      <c r="AD252" s="781">
        <f t="shared" si="244"/>
        <v>0</v>
      </c>
      <c r="AE252" s="778">
        <f t="shared" si="245"/>
        <v>0</v>
      </c>
      <c r="AF252" s="781">
        <f t="shared" si="246"/>
        <v>0</v>
      </c>
      <c r="AG252" s="781">
        <f t="shared" si="247"/>
        <v>0</v>
      </c>
      <c r="AH252" s="781">
        <f t="shared" si="248"/>
        <v>0</v>
      </c>
      <c r="AI252" s="782">
        <f t="shared" si="249"/>
        <v>0</v>
      </c>
      <c r="AJ252" s="781">
        <f t="shared" si="250"/>
        <v>0</v>
      </c>
      <c r="AK252" s="781">
        <f t="shared" si="251"/>
        <v>0</v>
      </c>
      <c r="AL252" s="781">
        <f t="shared" si="252"/>
        <v>0</v>
      </c>
      <c r="AM252" s="781">
        <f t="shared" si="253"/>
        <v>0</v>
      </c>
      <c r="AN252" s="781">
        <f t="shared" si="254"/>
        <v>0</v>
      </c>
      <c r="AO252" s="781">
        <f t="shared" si="255"/>
        <v>0</v>
      </c>
      <c r="AP252" s="781">
        <f t="shared" si="256"/>
        <v>0</v>
      </c>
      <c r="AQ252" s="781">
        <f t="shared" si="257"/>
        <v>0</v>
      </c>
      <c r="AR252" s="781">
        <f t="shared" si="258"/>
        <v>0</v>
      </c>
      <c r="AS252" s="783">
        <f t="shared" si="259"/>
        <v>0</v>
      </c>
    </row>
    <row r="253" spans="1:65" ht="15.75" hidden="1" outlineLevel="2" thickBot="1" x14ac:dyDescent="0.3">
      <c r="A253" s="784"/>
      <c r="B253" s="904">
        <f t="shared" si="242"/>
        <v>237</v>
      </c>
      <c r="C253" s="170" t="str">
        <f t="shared" si="241"/>
        <v/>
      </c>
      <c r="D253" s="557"/>
      <c r="E253" s="170"/>
      <c r="F253" s="721"/>
      <c r="G253" s="2491" t="s">
        <v>1860</v>
      </c>
      <c r="H253" s="2039"/>
      <c r="I253" s="2008"/>
      <c r="J253" s="2039"/>
      <c r="K253" s="2039"/>
      <c r="L253" s="2498"/>
      <c r="M253" s="2041">
        <v>0</v>
      </c>
      <c r="N253" s="2043"/>
      <c r="O253" s="2499">
        <f t="shared" ref="O253:O260" si="291">+M253*N253</f>
        <v>0</v>
      </c>
      <c r="P253" s="2076"/>
      <c r="Q253" s="2008"/>
      <c r="R253" s="2011"/>
      <c r="S253" s="912">
        <f>SUMIF('Data Input sheet'!$B$118:$B$180,R253,'Data Input sheet'!$D$118:$D$180)</f>
        <v>0</v>
      </c>
      <c r="T253" s="2686">
        <f t="shared" ref="T253:T260" si="292">ROUND(O253*S253,0)</f>
        <v>0</v>
      </c>
      <c r="U253" s="2042"/>
      <c r="V253" s="2501">
        <f t="shared" ref="V253:V263" si="293">ROUND(U253*O253,0)</f>
        <v>0</v>
      </c>
      <c r="W253" s="2046"/>
      <c r="X253" s="2502"/>
      <c r="Y253" s="2047">
        <v>0</v>
      </c>
      <c r="Z253" s="2500">
        <f t="shared" ref="Z253:Z260" si="294">T253+V253+W253+Y253</f>
        <v>0</v>
      </c>
      <c r="AA253" s="2007"/>
      <c r="AB253" s="2007"/>
      <c r="AC253" s="765"/>
      <c r="AD253" s="781">
        <f t="shared" ref="AD253:AD263" si="295">IF(P253="E",+ROUND(H253*O253,0),0)</f>
        <v>0</v>
      </c>
      <c r="AE253" s="778">
        <f t="shared" ref="AE253:AE263" si="296">+AF253-AD253</f>
        <v>0</v>
      </c>
      <c r="AF253" s="781">
        <f t="shared" ref="AF253:AF263" si="297">+H253*O253</f>
        <v>0</v>
      </c>
      <c r="AG253" s="781">
        <f t="shared" ref="AG253:AG263" si="298">IF(P253="E",+ROUND(T253*H253,0),0)</f>
        <v>0</v>
      </c>
      <c r="AH253" s="781">
        <f t="shared" ref="AH253:AH263" si="299">+AI253-AG253</f>
        <v>0</v>
      </c>
      <c r="AI253" s="782">
        <f t="shared" ref="AI253:AI263" si="300">+H253*T253</f>
        <v>0</v>
      </c>
      <c r="AJ253" s="781">
        <f t="shared" ref="AJ253:AJ263" si="301">IF(P253="E",+ROUND(V253*H253,0),0)</f>
        <v>0</v>
      </c>
      <c r="AK253" s="781">
        <f t="shared" ref="AK253:AK263" si="302">+AL253-AJ253</f>
        <v>0</v>
      </c>
      <c r="AL253" s="781">
        <f t="shared" ref="AL253:AL263" si="303">ROUND(V253*H253,0)</f>
        <v>0</v>
      </c>
      <c r="AM253" s="781">
        <f t="shared" ref="AM253:AM263" si="304">IF(Q253="E",+ROUND(W253*H253,0),0)</f>
        <v>0</v>
      </c>
      <c r="AN253" s="781">
        <f t="shared" ref="AN253:AN263" si="305">+AO253-AM253</f>
        <v>0</v>
      </c>
      <c r="AO253" s="781">
        <f t="shared" ref="AO253:AO263" si="306">ROUND(W253*H253,0)</f>
        <v>0</v>
      </c>
      <c r="AP253" s="781">
        <f t="shared" ref="AP253:AP263" si="307">IF(P253="E",+ROUND(Y253*H253,0),0)</f>
        <v>0</v>
      </c>
      <c r="AQ253" s="781">
        <f t="shared" ref="AQ253:AQ263" si="308">+AR253-AP253</f>
        <v>0</v>
      </c>
      <c r="AR253" s="781">
        <f t="shared" ref="AR253:AR263" si="309">ROUND(Y253*H253,0)</f>
        <v>0</v>
      </c>
      <c r="AS253" s="783">
        <f t="shared" ref="AS253:AS263" si="310">+AR253+AO253+AL253+AI253</f>
        <v>0</v>
      </c>
    </row>
    <row r="254" spans="1:65" ht="15.75" hidden="1" outlineLevel="2" thickBot="1" x14ac:dyDescent="0.3">
      <c r="A254" s="784"/>
      <c r="B254" s="904">
        <f t="shared" si="242"/>
        <v>238</v>
      </c>
      <c r="C254" s="170" t="str">
        <f t="shared" si="241"/>
        <v>52EA</v>
      </c>
      <c r="D254" s="557"/>
      <c r="E254" s="170"/>
      <c r="F254" s="721">
        <v>52</v>
      </c>
      <c r="G254" s="2068" t="s">
        <v>1861</v>
      </c>
      <c r="H254" s="2039"/>
      <c r="I254" s="2008" t="s">
        <v>732</v>
      </c>
      <c r="J254" s="2039"/>
      <c r="K254" s="2039"/>
      <c r="L254" s="488"/>
      <c r="M254" s="2041">
        <v>0</v>
      </c>
      <c r="N254" s="2043">
        <v>1</v>
      </c>
      <c r="O254" s="1967">
        <f t="shared" si="291"/>
        <v>0</v>
      </c>
      <c r="P254" s="2076" t="s">
        <v>39</v>
      </c>
      <c r="Q254" s="2008" t="s">
        <v>39</v>
      </c>
      <c r="R254" s="2011" t="s">
        <v>74</v>
      </c>
      <c r="S254" s="912">
        <f>SUMIF('Data Input sheet'!$B$118:$B$180,R254,'Data Input sheet'!$D$118:$D$180)</f>
        <v>152</v>
      </c>
      <c r="T254" s="2686">
        <f t="shared" si="292"/>
        <v>0</v>
      </c>
      <c r="U254" s="2042"/>
      <c r="V254" s="1981">
        <f t="shared" si="293"/>
        <v>0</v>
      </c>
      <c r="W254" s="2046">
        <v>38000</v>
      </c>
      <c r="X254" s="2502"/>
      <c r="Y254" s="2047">
        <v>0</v>
      </c>
      <c r="Z254" s="780">
        <f t="shared" si="294"/>
        <v>38000</v>
      </c>
      <c r="AA254" s="2007"/>
      <c r="AB254" s="2007"/>
      <c r="AC254" s="765"/>
      <c r="AD254" s="781">
        <f t="shared" si="295"/>
        <v>0</v>
      </c>
      <c r="AE254" s="778">
        <f t="shared" si="296"/>
        <v>0</v>
      </c>
      <c r="AF254" s="781">
        <f t="shared" si="297"/>
        <v>0</v>
      </c>
      <c r="AG254" s="781">
        <f t="shared" si="298"/>
        <v>0</v>
      </c>
      <c r="AH254" s="781">
        <f t="shared" si="299"/>
        <v>0</v>
      </c>
      <c r="AI254" s="782">
        <f t="shared" si="300"/>
        <v>0</v>
      </c>
      <c r="AJ254" s="781">
        <f t="shared" si="301"/>
        <v>0</v>
      </c>
      <c r="AK254" s="781">
        <f t="shared" si="302"/>
        <v>0</v>
      </c>
      <c r="AL254" s="781">
        <f t="shared" si="303"/>
        <v>0</v>
      </c>
      <c r="AM254" s="781">
        <f t="shared" si="304"/>
        <v>0</v>
      </c>
      <c r="AN254" s="781">
        <f t="shared" si="305"/>
        <v>0</v>
      </c>
      <c r="AO254" s="781">
        <f t="shared" si="306"/>
        <v>0</v>
      </c>
      <c r="AP254" s="781">
        <f t="shared" si="307"/>
        <v>0</v>
      </c>
      <c r="AQ254" s="781">
        <f t="shared" si="308"/>
        <v>0</v>
      </c>
      <c r="AR254" s="781">
        <f t="shared" si="309"/>
        <v>0</v>
      </c>
      <c r="AS254" s="783">
        <f t="shared" si="310"/>
        <v>0</v>
      </c>
    </row>
    <row r="255" spans="1:65" ht="15.75" hidden="1" outlineLevel="2" thickBot="1" x14ac:dyDescent="0.3">
      <c r="A255" s="784"/>
      <c r="B255" s="904">
        <f t="shared" si="242"/>
        <v>239</v>
      </c>
      <c r="C255" s="170" t="str">
        <f t="shared" si="241"/>
        <v>52EA</v>
      </c>
      <c r="D255" s="557"/>
      <c r="E255" s="170"/>
      <c r="F255" s="721">
        <v>52</v>
      </c>
      <c r="G255" s="2068" t="s">
        <v>1862</v>
      </c>
      <c r="H255" s="2039"/>
      <c r="I255" s="2008" t="s">
        <v>732</v>
      </c>
      <c r="J255" s="2039"/>
      <c r="K255" s="2039"/>
      <c r="L255" s="488"/>
      <c r="M255" s="2041">
        <v>0</v>
      </c>
      <c r="N255" s="2043">
        <v>1</v>
      </c>
      <c r="O255" s="1967">
        <f t="shared" si="291"/>
        <v>0</v>
      </c>
      <c r="P255" s="2076" t="s">
        <v>39</v>
      </c>
      <c r="Q255" s="2008" t="s">
        <v>39</v>
      </c>
      <c r="R255" s="2011" t="s">
        <v>74</v>
      </c>
      <c r="S255" s="912">
        <f>SUMIF('Data Input sheet'!$B$118:$B$180,R255,'Data Input sheet'!$D$118:$D$180)</f>
        <v>152</v>
      </c>
      <c r="T255" s="2686">
        <f t="shared" si="292"/>
        <v>0</v>
      </c>
      <c r="U255" s="2042"/>
      <c r="V255" s="1981">
        <f t="shared" si="293"/>
        <v>0</v>
      </c>
      <c r="W255" s="2046">
        <v>36415</v>
      </c>
      <c r="X255" s="2502"/>
      <c r="Y255" s="2047">
        <v>0</v>
      </c>
      <c r="Z255" s="780">
        <f t="shared" si="294"/>
        <v>36415</v>
      </c>
      <c r="AA255" s="2007"/>
      <c r="AB255" s="2007"/>
      <c r="AC255" s="765"/>
      <c r="AD255" s="781">
        <f t="shared" si="295"/>
        <v>0</v>
      </c>
      <c r="AE255" s="778">
        <f t="shared" si="296"/>
        <v>0</v>
      </c>
      <c r="AF255" s="781">
        <f t="shared" si="297"/>
        <v>0</v>
      </c>
      <c r="AG255" s="781">
        <f t="shared" si="298"/>
        <v>0</v>
      </c>
      <c r="AH255" s="781">
        <f t="shared" si="299"/>
        <v>0</v>
      </c>
      <c r="AI255" s="782">
        <f t="shared" si="300"/>
        <v>0</v>
      </c>
      <c r="AJ255" s="781">
        <f t="shared" si="301"/>
        <v>0</v>
      </c>
      <c r="AK255" s="781">
        <f t="shared" si="302"/>
        <v>0</v>
      </c>
      <c r="AL255" s="781">
        <f t="shared" si="303"/>
        <v>0</v>
      </c>
      <c r="AM255" s="781">
        <f t="shared" si="304"/>
        <v>0</v>
      </c>
      <c r="AN255" s="781">
        <f t="shared" si="305"/>
        <v>0</v>
      </c>
      <c r="AO255" s="781">
        <f t="shared" si="306"/>
        <v>0</v>
      </c>
      <c r="AP255" s="781">
        <f t="shared" si="307"/>
        <v>0</v>
      </c>
      <c r="AQ255" s="781">
        <f t="shared" si="308"/>
        <v>0</v>
      </c>
      <c r="AR255" s="781">
        <f t="shared" si="309"/>
        <v>0</v>
      </c>
      <c r="AS255" s="783">
        <f t="shared" si="310"/>
        <v>0</v>
      </c>
    </row>
    <row r="256" spans="1:65" ht="15.75" hidden="1" outlineLevel="2" thickBot="1" x14ac:dyDescent="0.3">
      <c r="A256" s="784"/>
      <c r="B256" s="904">
        <f t="shared" si="242"/>
        <v>240</v>
      </c>
      <c r="C256" s="170" t="str">
        <f t="shared" si="241"/>
        <v>52EA</v>
      </c>
      <c r="D256" s="557"/>
      <c r="E256" s="170"/>
      <c r="F256" s="721">
        <v>52</v>
      </c>
      <c r="G256" s="2068" t="s">
        <v>1863</v>
      </c>
      <c r="H256" s="2039"/>
      <c r="I256" s="2008" t="s">
        <v>732</v>
      </c>
      <c r="J256" s="2039"/>
      <c r="K256" s="2039"/>
      <c r="L256" s="488"/>
      <c r="M256" s="2041">
        <v>0</v>
      </c>
      <c r="N256" s="2043">
        <v>1</v>
      </c>
      <c r="O256" s="1967">
        <f t="shared" si="291"/>
        <v>0</v>
      </c>
      <c r="P256" s="2076" t="s">
        <v>39</v>
      </c>
      <c r="Q256" s="2008" t="s">
        <v>39</v>
      </c>
      <c r="R256" s="2011" t="s">
        <v>74</v>
      </c>
      <c r="S256" s="912">
        <f>SUMIF('Data Input sheet'!$B$118:$B$180,R256,'Data Input sheet'!$D$118:$D$180)</f>
        <v>152</v>
      </c>
      <c r="T256" s="2686">
        <f t="shared" si="292"/>
        <v>0</v>
      </c>
      <c r="U256" s="2042"/>
      <c r="V256" s="1981">
        <f t="shared" si="293"/>
        <v>0</v>
      </c>
      <c r="W256" s="2046">
        <v>32000</v>
      </c>
      <c r="X256" s="2502"/>
      <c r="Y256" s="2047">
        <v>0</v>
      </c>
      <c r="Z256" s="780">
        <f t="shared" si="294"/>
        <v>32000</v>
      </c>
      <c r="AA256" s="2007"/>
      <c r="AB256" s="2007"/>
      <c r="AC256" s="765"/>
      <c r="AD256" s="781">
        <f t="shared" si="295"/>
        <v>0</v>
      </c>
      <c r="AE256" s="778">
        <f t="shared" si="296"/>
        <v>0</v>
      </c>
      <c r="AF256" s="781">
        <f t="shared" si="297"/>
        <v>0</v>
      </c>
      <c r="AG256" s="781">
        <f t="shared" si="298"/>
        <v>0</v>
      </c>
      <c r="AH256" s="781">
        <f t="shared" si="299"/>
        <v>0</v>
      </c>
      <c r="AI256" s="782">
        <f t="shared" si="300"/>
        <v>0</v>
      </c>
      <c r="AJ256" s="781">
        <f t="shared" si="301"/>
        <v>0</v>
      </c>
      <c r="AK256" s="781">
        <f t="shared" si="302"/>
        <v>0</v>
      </c>
      <c r="AL256" s="781">
        <f t="shared" si="303"/>
        <v>0</v>
      </c>
      <c r="AM256" s="781">
        <f t="shared" si="304"/>
        <v>0</v>
      </c>
      <c r="AN256" s="781">
        <f t="shared" si="305"/>
        <v>0</v>
      </c>
      <c r="AO256" s="781">
        <f t="shared" si="306"/>
        <v>0</v>
      </c>
      <c r="AP256" s="781">
        <f t="shared" si="307"/>
        <v>0</v>
      </c>
      <c r="AQ256" s="781">
        <f t="shared" si="308"/>
        <v>0</v>
      </c>
      <c r="AR256" s="781">
        <f t="shared" si="309"/>
        <v>0</v>
      </c>
      <c r="AS256" s="783">
        <f t="shared" si="310"/>
        <v>0</v>
      </c>
    </row>
    <row r="257" spans="1:65" ht="15.75" hidden="1" outlineLevel="2" thickBot="1" x14ac:dyDescent="0.3">
      <c r="A257" s="784"/>
      <c r="B257" s="904">
        <f t="shared" si="242"/>
        <v>241</v>
      </c>
      <c r="C257" s="170" t="str">
        <f t="shared" si="241"/>
        <v>52EA</v>
      </c>
      <c r="D257" s="557"/>
      <c r="E257" s="170"/>
      <c r="F257" s="721">
        <v>52</v>
      </c>
      <c r="G257" s="2068" t="s">
        <v>1864</v>
      </c>
      <c r="H257" s="2039"/>
      <c r="I257" s="2008" t="s">
        <v>732</v>
      </c>
      <c r="J257" s="2039"/>
      <c r="K257" s="2039"/>
      <c r="L257" s="488"/>
      <c r="M257" s="2041">
        <v>0</v>
      </c>
      <c r="N257" s="2043">
        <v>1</v>
      </c>
      <c r="O257" s="1967">
        <f t="shared" si="291"/>
        <v>0</v>
      </c>
      <c r="P257" s="2076" t="s">
        <v>39</v>
      </c>
      <c r="Q257" s="2008" t="s">
        <v>39</v>
      </c>
      <c r="R257" s="2011" t="s">
        <v>74</v>
      </c>
      <c r="S257" s="912">
        <f>SUMIF('Data Input sheet'!$B$118:$B$180,R257,'Data Input sheet'!$D$118:$D$180)</f>
        <v>152</v>
      </c>
      <c r="T257" s="2686">
        <f t="shared" si="292"/>
        <v>0</v>
      </c>
      <c r="U257" s="2042"/>
      <c r="V257" s="1981">
        <f t="shared" si="293"/>
        <v>0</v>
      </c>
      <c r="W257" s="2046">
        <v>32000</v>
      </c>
      <c r="X257" s="2502"/>
      <c r="Y257" s="2047">
        <v>0</v>
      </c>
      <c r="Z257" s="780">
        <f t="shared" si="294"/>
        <v>32000</v>
      </c>
      <c r="AA257" s="2007"/>
      <c r="AB257" s="2007"/>
      <c r="AC257" s="765"/>
      <c r="AD257" s="781">
        <f t="shared" si="295"/>
        <v>0</v>
      </c>
      <c r="AE257" s="778">
        <f t="shared" si="296"/>
        <v>0</v>
      </c>
      <c r="AF257" s="781">
        <f t="shared" si="297"/>
        <v>0</v>
      </c>
      <c r="AG257" s="781">
        <f t="shared" si="298"/>
        <v>0</v>
      </c>
      <c r="AH257" s="781">
        <f t="shared" si="299"/>
        <v>0</v>
      </c>
      <c r="AI257" s="782">
        <f t="shared" si="300"/>
        <v>0</v>
      </c>
      <c r="AJ257" s="781">
        <f t="shared" si="301"/>
        <v>0</v>
      </c>
      <c r="AK257" s="781">
        <f t="shared" si="302"/>
        <v>0</v>
      </c>
      <c r="AL257" s="781">
        <f t="shared" si="303"/>
        <v>0</v>
      </c>
      <c r="AM257" s="781">
        <f t="shared" si="304"/>
        <v>0</v>
      </c>
      <c r="AN257" s="781">
        <f t="shared" si="305"/>
        <v>0</v>
      </c>
      <c r="AO257" s="781">
        <f t="shared" si="306"/>
        <v>0</v>
      </c>
      <c r="AP257" s="781">
        <f t="shared" si="307"/>
        <v>0</v>
      </c>
      <c r="AQ257" s="781">
        <f t="shared" si="308"/>
        <v>0</v>
      </c>
      <c r="AR257" s="781">
        <f t="shared" si="309"/>
        <v>0</v>
      </c>
      <c r="AS257" s="783">
        <f t="shared" si="310"/>
        <v>0</v>
      </c>
    </row>
    <row r="258" spans="1:65" ht="15.75" hidden="1" outlineLevel="2" thickBot="1" x14ac:dyDescent="0.3">
      <c r="A258" s="784"/>
      <c r="B258" s="904">
        <f t="shared" si="242"/>
        <v>242</v>
      </c>
      <c r="C258" s="170" t="str">
        <f t="shared" si="241"/>
        <v>52EA</v>
      </c>
      <c r="D258" s="557"/>
      <c r="E258" s="170"/>
      <c r="F258" s="721">
        <v>52</v>
      </c>
      <c r="G258" s="2510" t="s">
        <v>1865</v>
      </c>
      <c r="H258" s="2039"/>
      <c r="I258" s="2008" t="s">
        <v>732</v>
      </c>
      <c r="J258" s="2039"/>
      <c r="K258" s="2039"/>
      <c r="L258" s="488"/>
      <c r="M258" s="2041">
        <v>0</v>
      </c>
      <c r="N258" s="2043">
        <v>1</v>
      </c>
      <c r="O258" s="1967">
        <f t="shared" si="291"/>
        <v>0</v>
      </c>
      <c r="P258" s="2076" t="s">
        <v>39</v>
      </c>
      <c r="Q258" s="2008" t="s">
        <v>39</v>
      </c>
      <c r="R258" s="2011" t="s">
        <v>74</v>
      </c>
      <c r="S258" s="912">
        <f>SUMIF('Data Input sheet'!$B$118:$B$180,R258,'Data Input sheet'!$D$118:$D$180)</f>
        <v>152</v>
      </c>
      <c r="T258" s="2686">
        <f t="shared" si="292"/>
        <v>0</v>
      </c>
      <c r="U258" s="2042"/>
      <c r="V258" s="1981">
        <f t="shared" si="293"/>
        <v>0</v>
      </c>
      <c r="W258" s="2046">
        <v>36000</v>
      </c>
      <c r="X258" s="2502"/>
      <c r="Y258" s="2047">
        <v>0</v>
      </c>
      <c r="Z258" s="780">
        <f t="shared" si="294"/>
        <v>36000</v>
      </c>
      <c r="AA258" s="2007"/>
      <c r="AB258" s="2007"/>
      <c r="AC258" s="765"/>
      <c r="AD258" s="781">
        <f t="shared" si="295"/>
        <v>0</v>
      </c>
      <c r="AE258" s="778">
        <f t="shared" si="296"/>
        <v>0</v>
      </c>
      <c r="AF258" s="781">
        <f t="shared" si="297"/>
        <v>0</v>
      </c>
      <c r="AG258" s="781">
        <f t="shared" si="298"/>
        <v>0</v>
      </c>
      <c r="AH258" s="781">
        <f t="shared" si="299"/>
        <v>0</v>
      </c>
      <c r="AI258" s="782">
        <f t="shared" si="300"/>
        <v>0</v>
      </c>
      <c r="AJ258" s="781">
        <f t="shared" si="301"/>
        <v>0</v>
      </c>
      <c r="AK258" s="781">
        <f t="shared" si="302"/>
        <v>0</v>
      </c>
      <c r="AL258" s="781">
        <f t="shared" si="303"/>
        <v>0</v>
      </c>
      <c r="AM258" s="781">
        <f t="shared" si="304"/>
        <v>0</v>
      </c>
      <c r="AN258" s="781">
        <f t="shared" si="305"/>
        <v>0</v>
      </c>
      <c r="AO258" s="781">
        <f t="shared" si="306"/>
        <v>0</v>
      </c>
      <c r="AP258" s="781">
        <f t="shared" si="307"/>
        <v>0</v>
      </c>
      <c r="AQ258" s="781">
        <f t="shared" si="308"/>
        <v>0</v>
      </c>
      <c r="AR258" s="781">
        <f t="shared" si="309"/>
        <v>0</v>
      </c>
      <c r="AS258" s="783">
        <f t="shared" si="310"/>
        <v>0</v>
      </c>
    </row>
    <row r="259" spans="1:65" ht="15.75" hidden="1" outlineLevel="2" thickBot="1" x14ac:dyDescent="0.3">
      <c r="A259" s="784"/>
      <c r="B259" s="904">
        <f t="shared" si="242"/>
        <v>243</v>
      </c>
      <c r="C259" s="170" t="str">
        <f t="shared" si="241"/>
        <v>52EA</v>
      </c>
      <c r="D259" s="557"/>
      <c r="E259" s="170"/>
      <c r="F259" s="721">
        <v>52</v>
      </c>
      <c r="G259" s="2068" t="s">
        <v>1866</v>
      </c>
      <c r="H259" s="2039"/>
      <c r="I259" s="2008" t="s">
        <v>732</v>
      </c>
      <c r="J259" s="2039"/>
      <c r="K259" s="2039"/>
      <c r="L259" s="488"/>
      <c r="M259" s="2041">
        <v>0</v>
      </c>
      <c r="N259" s="2043">
        <v>1</v>
      </c>
      <c r="O259" s="1967">
        <f t="shared" si="291"/>
        <v>0</v>
      </c>
      <c r="P259" s="2076" t="s">
        <v>39</v>
      </c>
      <c r="Q259" s="2008" t="s">
        <v>39</v>
      </c>
      <c r="R259" s="2011" t="s">
        <v>74</v>
      </c>
      <c r="S259" s="912">
        <f>SUMIF('Data Input sheet'!$B$118:$B$180,R259,'Data Input sheet'!$D$118:$D$180)</f>
        <v>152</v>
      </c>
      <c r="T259" s="2686">
        <f t="shared" si="292"/>
        <v>0</v>
      </c>
      <c r="U259" s="2042"/>
      <c r="V259" s="1981">
        <f t="shared" si="293"/>
        <v>0</v>
      </c>
      <c r="W259" s="2046">
        <v>5800</v>
      </c>
      <c r="X259" s="2502"/>
      <c r="Y259" s="2047">
        <v>0</v>
      </c>
      <c r="Z259" s="780">
        <f t="shared" si="294"/>
        <v>5800</v>
      </c>
      <c r="AA259" s="2007"/>
      <c r="AB259" s="2007"/>
      <c r="AC259" s="765"/>
      <c r="AD259" s="781">
        <f t="shared" si="295"/>
        <v>0</v>
      </c>
      <c r="AE259" s="778">
        <f t="shared" si="296"/>
        <v>0</v>
      </c>
      <c r="AF259" s="781">
        <f t="shared" si="297"/>
        <v>0</v>
      </c>
      <c r="AG259" s="781">
        <f t="shared" si="298"/>
        <v>0</v>
      </c>
      <c r="AH259" s="781">
        <f t="shared" si="299"/>
        <v>0</v>
      </c>
      <c r="AI259" s="782">
        <f t="shared" si="300"/>
        <v>0</v>
      </c>
      <c r="AJ259" s="781">
        <f t="shared" si="301"/>
        <v>0</v>
      </c>
      <c r="AK259" s="781">
        <f t="shared" si="302"/>
        <v>0</v>
      </c>
      <c r="AL259" s="781">
        <f t="shared" si="303"/>
        <v>0</v>
      </c>
      <c r="AM259" s="781">
        <f t="shared" si="304"/>
        <v>0</v>
      </c>
      <c r="AN259" s="781">
        <f t="shared" si="305"/>
        <v>0</v>
      </c>
      <c r="AO259" s="781">
        <f t="shared" si="306"/>
        <v>0</v>
      </c>
      <c r="AP259" s="781">
        <f t="shared" si="307"/>
        <v>0</v>
      </c>
      <c r="AQ259" s="781">
        <f t="shared" si="308"/>
        <v>0</v>
      </c>
      <c r="AR259" s="781">
        <f t="shared" si="309"/>
        <v>0</v>
      </c>
      <c r="AS259" s="783">
        <f t="shared" si="310"/>
        <v>0</v>
      </c>
    </row>
    <row r="260" spans="1:65" ht="15.75" hidden="1" outlineLevel="2" thickBot="1" x14ac:dyDescent="0.3">
      <c r="A260" s="784"/>
      <c r="B260" s="904">
        <f t="shared" si="242"/>
        <v>244</v>
      </c>
      <c r="C260" s="170" t="str">
        <f t="shared" si="241"/>
        <v>52EA</v>
      </c>
      <c r="D260" s="557"/>
      <c r="E260" s="170"/>
      <c r="F260" s="721">
        <v>52</v>
      </c>
      <c r="G260" s="2068" t="s">
        <v>1867</v>
      </c>
      <c r="H260" s="2039"/>
      <c r="I260" s="2008" t="s">
        <v>732</v>
      </c>
      <c r="J260" s="2039"/>
      <c r="K260" s="2039"/>
      <c r="L260" s="488"/>
      <c r="M260" s="2041">
        <v>0</v>
      </c>
      <c r="N260" s="2043">
        <v>1</v>
      </c>
      <c r="O260" s="1967">
        <f t="shared" si="291"/>
        <v>0</v>
      </c>
      <c r="P260" s="2076" t="s">
        <v>39</v>
      </c>
      <c r="Q260" s="2008" t="s">
        <v>39</v>
      </c>
      <c r="R260" s="2011" t="s">
        <v>74</v>
      </c>
      <c r="S260" s="912">
        <f>SUMIF('Data Input sheet'!$B$118:$B$180,R260,'Data Input sheet'!$D$118:$D$180)</f>
        <v>152</v>
      </c>
      <c r="T260" s="2686">
        <f t="shared" si="292"/>
        <v>0</v>
      </c>
      <c r="U260" s="2042"/>
      <c r="V260" s="1981">
        <f t="shared" si="293"/>
        <v>0</v>
      </c>
      <c r="W260" s="2046">
        <v>43000</v>
      </c>
      <c r="X260" s="2502"/>
      <c r="Y260" s="2047">
        <v>0</v>
      </c>
      <c r="Z260" s="780">
        <f t="shared" si="294"/>
        <v>43000</v>
      </c>
      <c r="AA260" s="2007"/>
      <c r="AB260" s="2007"/>
      <c r="AC260" s="765"/>
      <c r="AD260" s="781">
        <f t="shared" si="295"/>
        <v>0</v>
      </c>
      <c r="AE260" s="778">
        <f t="shared" si="296"/>
        <v>0</v>
      </c>
      <c r="AF260" s="781">
        <f t="shared" si="297"/>
        <v>0</v>
      </c>
      <c r="AG260" s="781">
        <f t="shared" si="298"/>
        <v>0</v>
      </c>
      <c r="AH260" s="781">
        <f t="shared" si="299"/>
        <v>0</v>
      </c>
      <c r="AI260" s="782">
        <f t="shared" si="300"/>
        <v>0</v>
      </c>
      <c r="AJ260" s="781">
        <f t="shared" si="301"/>
        <v>0</v>
      </c>
      <c r="AK260" s="781">
        <f t="shared" si="302"/>
        <v>0</v>
      </c>
      <c r="AL260" s="781">
        <f t="shared" si="303"/>
        <v>0</v>
      </c>
      <c r="AM260" s="781">
        <f t="shared" si="304"/>
        <v>0</v>
      </c>
      <c r="AN260" s="781">
        <f t="shared" si="305"/>
        <v>0</v>
      </c>
      <c r="AO260" s="781">
        <f t="shared" si="306"/>
        <v>0</v>
      </c>
      <c r="AP260" s="781">
        <f t="shared" si="307"/>
        <v>0</v>
      </c>
      <c r="AQ260" s="781">
        <f t="shared" si="308"/>
        <v>0</v>
      </c>
      <c r="AR260" s="781">
        <f t="shared" si="309"/>
        <v>0</v>
      </c>
      <c r="AS260" s="783">
        <f t="shared" si="310"/>
        <v>0</v>
      </c>
    </row>
    <row r="261" spans="1:65" ht="51.75" hidden="1" outlineLevel="2" thickBot="1" x14ac:dyDescent="0.3">
      <c r="A261" s="784"/>
      <c r="B261" s="904">
        <f t="shared" si="242"/>
        <v>245</v>
      </c>
      <c r="C261" s="170" t="str">
        <f t="shared" si="241"/>
        <v>52EA</v>
      </c>
      <c r="D261" s="557"/>
      <c r="E261" s="170"/>
      <c r="F261" s="721">
        <v>52</v>
      </c>
      <c r="G261" s="2007" t="s">
        <v>1972</v>
      </c>
      <c r="H261" s="1926"/>
      <c r="I261" s="2008" t="s">
        <v>732</v>
      </c>
      <c r="J261" s="1926"/>
      <c r="K261" s="1926"/>
      <c r="L261" s="170"/>
      <c r="M261" s="2009">
        <v>300</v>
      </c>
      <c r="N261" s="2010">
        <v>1</v>
      </c>
      <c r="O261" s="773">
        <f t="shared" ref="O261" si="311">+M261*N261</f>
        <v>300</v>
      </c>
      <c r="P261" s="2076" t="s">
        <v>39</v>
      </c>
      <c r="Q261" s="2008" t="s">
        <v>39</v>
      </c>
      <c r="R261" s="2011" t="s">
        <v>74</v>
      </c>
      <c r="S261" s="912">
        <f>SUMIF('Data Input sheet'!$B$118:$B$180,R261,'Data Input sheet'!$D$118:$D$180)</f>
        <v>152</v>
      </c>
      <c r="T261" s="2685">
        <f t="shared" ref="T261" si="312">+O261*S261</f>
        <v>45600</v>
      </c>
      <c r="U261" s="2013">
        <v>30</v>
      </c>
      <c r="V261" s="778">
        <f t="shared" si="293"/>
        <v>9000</v>
      </c>
      <c r="W261" s="2010">
        <v>100000</v>
      </c>
      <c r="X261" s="779"/>
      <c r="Y261" s="2012"/>
      <c r="Z261" s="780">
        <f t="shared" ref="Z261" si="313">T261+V261+W261+Y261</f>
        <v>154600</v>
      </c>
      <c r="AA261" s="2007"/>
      <c r="AB261" s="2007"/>
      <c r="AC261" s="765"/>
      <c r="AD261" s="781">
        <f t="shared" si="295"/>
        <v>0</v>
      </c>
      <c r="AE261" s="778">
        <f t="shared" si="296"/>
        <v>0</v>
      </c>
      <c r="AF261" s="781">
        <f t="shared" si="297"/>
        <v>0</v>
      </c>
      <c r="AG261" s="781">
        <f t="shared" si="298"/>
        <v>0</v>
      </c>
      <c r="AH261" s="781">
        <f t="shared" si="299"/>
        <v>0</v>
      </c>
      <c r="AI261" s="782">
        <f t="shared" si="300"/>
        <v>0</v>
      </c>
      <c r="AJ261" s="781">
        <f t="shared" si="301"/>
        <v>0</v>
      </c>
      <c r="AK261" s="781">
        <f t="shared" si="302"/>
        <v>0</v>
      </c>
      <c r="AL261" s="781">
        <f t="shared" si="303"/>
        <v>0</v>
      </c>
      <c r="AM261" s="781">
        <f t="shared" si="304"/>
        <v>0</v>
      </c>
      <c r="AN261" s="781">
        <f t="shared" si="305"/>
        <v>0</v>
      </c>
      <c r="AO261" s="781">
        <f t="shared" si="306"/>
        <v>0</v>
      </c>
      <c r="AP261" s="781">
        <f t="shared" si="307"/>
        <v>0</v>
      </c>
      <c r="AQ261" s="781">
        <f t="shared" si="308"/>
        <v>0</v>
      </c>
      <c r="AR261" s="781">
        <f t="shared" si="309"/>
        <v>0</v>
      </c>
      <c r="AS261" s="783">
        <f t="shared" si="310"/>
        <v>0</v>
      </c>
      <c r="AT261" s="917"/>
      <c r="AW261" s="832"/>
      <c r="AX261" s="833" t="s">
        <v>2978</v>
      </c>
      <c r="BM261" s="2010">
        <v>82610.012160000013</v>
      </c>
    </row>
    <row r="262" spans="1:65" ht="15.75" hidden="1" outlineLevel="2" thickBot="1" x14ac:dyDescent="0.3">
      <c r="A262" s="784"/>
      <c r="B262" s="904">
        <f t="shared" si="242"/>
        <v>246</v>
      </c>
      <c r="C262" s="170" t="str">
        <f t="shared" si="241"/>
        <v/>
      </c>
      <c r="D262" s="557"/>
      <c r="E262" s="170"/>
      <c r="F262" s="721"/>
      <c r="G262" s="2491" t="s">
        <v>1868</v>
      </c>
      <c r="H262" s="2039"/>
      <c r="I262" s="2008"/>
      <c r="J262" s="2039"/>
      <c r="K262" s="2039"/>
      <c r="L262" s="488"/>
      <c r="M262" s="2041">
        <v>0</v>
      </c>
      <c r="N262" s="2043"/>
      <c r="O262" s="2499">
        <f>+M262*N262</f>
        <v>0</v>
      </c>
      <c r="P262" s="2076"/>
      <c r="Q262" s="2008"/>
      <c r="R262" s="2011"/>
      <c r="S262" s="912">
        <f>SUMIF('Data Input sheet'!$B$118:$B$180,R262,'Data Input sheet'!$D$118:$D$180)</f>
        <v>0</v>
      </c>
      <c r="T262" s="2686">
        <f t="shared" ref="T262:T263" si="314">ROUND(O262*S262,0)</f>
        <v>0</v>
      </c>
      <c r="U262" s="2042"/>
      <c r="V262" s="2501">
        <f t="shared" si="293"/>
        <v>0</v>
      </c>
      <c r="W262" s="2046"/>
      <c r="X262" s="2502"/>
      <c r="Y262" s="2047">
        <v>0</v>
      </c>
      <c r="Z262" s="780">
        <f>T262+V262+W262+Y262</f>
        <v>0</v>
      </c>
      <c r="AA262" s="2007"/>
      <c r="AB262" s="2007"/>
      <c r="AC262" s="765"/>
      <c r="AD262" s="781">
        <f t="shared" si="295"/>
        <v>0</v>
      </c>
      <c r="AE262" s="778">
        <f t="shared" si="296"/>
        <v>0</v>
      </c>
      <c r="AF262" s="781">
        <f t="shared" si="297"/>
        <v>0</v>
      </c>
      <c r="AG262" s="781">
        <f t="shared" si="298"/>
        <v>0</v>
      </c>
      <c r="AH262" s="781">
        <f t="shared" si="299"/>
        <v>0</v>
      </c>
      <c r="AI262" s="782">
        <f t="shared" si="300"/>
        <v>0</v>
      </c>
      <c r="AJ262" s="781">
        <f t="shared" si="301"/>
        <v>0</v>
      </c>
      <c r="AK262" s="781">
        <f t="shared" si="302"/>
        <v>0</v>
      </c>
      <c r="AL262" s="781">
        <f t="shared" si="303"/>
        <v>0</v>
      </c>
      <c r="AM262" s="781">
        <f t="shared" si="304"/>
        <v>0</v>
      </c>
      <c r="AN262" s="781">
        <f t="shared" si="305"/>
        <v>0</v>
      </c>
      <c r="AO262" s="781">
        <f t="shared" si="306"/>
        <v>0</v>
      </c>
      <c r="AP262" s="781">
        <f t="shared" si="307"/>
        <v>0</v>
      </c>
      <c r="AQ262" s="781">
        <f t="shared" si="308"/>
        <v>0</v>
      </c>
      <c r="AR262" s="781">
        <f t="shared" si="309"/>
        <v>0</v>
      </c>
      <c r="AS262" s="783">
        <f t="shared" si="310"/>
        <v>0</v>
      </c>
    </row>
    <row r="263" spans="1:65" ht="26.25" hidden="1" outlineLevel="2" thickBot="1" x14ac:dyDescent="0.3">
      <c r="A263" s="784"/>
      <c r="B263" s="904">
        <f t="shared" si="242"/>
        <v>247</v>
      </c>
      <c r="C263" s="170" t="str">
        <f t="shared" si="241"/>
        <v>52EA</v>
      </c>
      <c r="D263" s="557"/>
      <c r="E263" s="170"/>
      <c r="F263" s="721">
        <v>52</v>
      </c>
      <c r="G263" s="2492" t="s">
        <v>1869</v>
      </c>
      <c r="H263" s="2039"/>
      <c r="I263" s="2008" t="s">
        <v>732</v>
      </c>
      <c r="J263" s="2039"/>
      <c r="K263" s="2039"/>
      <c r="L263" s="488"/>
      <c r="M263" s="2041">
        <v>0</v>
      </c>
      <c r="N263" s="2043">
        <v>1</v>
      </c>
      <c r="O263" s="1967">
        <f>+M263*N263</f>
        <v>0</v>
      </c>
      <c r="P263" s="2076" t="s">
        <v>39</v>
      </c>
      <c r="Q263" s="2008" t="s">
        <v>39</v>
      </c>
      <c r="R263" s="2011" t="s">
        <v>74</v>
      </c>
      <c r="S263" s="912">
        <f>SUMIF('Data Input sheet'!$B$118:$B$180,R263,'Data Input sheet'!$D$118:$D$180)</f>
        <v>152</v>
      </c>
      <c r="T263" s="2686">
        <f t="shared" si="314"/>
        <v>0</v>
      </c>
      <c r="U263" s="2042">
        <v>14.8</v>
      </c>
      <c r="V263" s="1981">
        <f t="shared" si="293"/>
        <v>0</v>
      </c>
      <c r="W263" s="2046">
        <v>39000</v>
      </c>
      <c r="X263" s="2502"/>
      <c r="Y263" s="2047">
        <v>0</v>
      </c>
      <c r="Z263" s="780">
        <f>T263+V263+W263+Y263</f>
        <v>39000</v>
      </c>
      <c r="AA263" s="2007"/>
      <c r="AB263" s="2007"/>
      <c r="AC263" s="765"/>
      <c r="AD263" s="781">
        <f t="shared" si="295"/>
        <v>0</v>
      </c>
      <c r="AE263" s="778">
        <f t="shared" si="296"/>
        <v>0</v>
      </c>
      <c r="AF263" s="781">
        <f t="shared" si="297"/>
        <v>0</v>
      </c>
      <c r="AG263" s="781">
        <f t="shared" si="298"/>
        <v>0</v>
      </c>
      <c r="AH263" s="781">
        <f t="shared" si="299"/>
        <v>0</v>
      </c>
      <c r="AI263" s="782">
        <f t="shared" si="300"/>
        <v>0</v>
      </c>
      <c r="AJ263" s="781">
        <f t="shared" si="301"/>
        <v>0</v>
      </c>
      <c r="AK263" s="781">
        <f t="shared" si="302"/>
        <v>0</v>
      </c>
      <c r="AL263" s="781">
        <f t="shared" si="303"/>
        <v>0</v>
      </c>
      <c r="AM263" s="781">
        <f t="shared" si="304"/>
        <v>0</v>
      </c>
      <c r="AN263" s="781">
        <f t="shared" si="305"/>
        <v>0</v>
      </c>
      <c r="AO263" s="781">
        <f t="shared" si="306"/>
        <v>0</v>
      </c>
      <c r="AP263" s="781">
        <f t="shared" si="307"/>
        <v>0</v>
      </c>
      <c r="AQ263" s="781">
        <f t="shared" si="308"/>
        <v>0</v>
      </c>
      <c r="AR263" s="781">
        <f t="shared" si="309"/>
        <v>0</v>
      </c>
      <c r="AS263" s="783">
        <f t="shared" si="310"/>
        <v>0</v>
      </c>
    </row>
    <row r="264" spans="1:65" ht="15.75" hidden="1" outlineLevel="1" thickBot="1" x14ac:dyDescent="0.3">
      <c r="A264" s="784"/>
      <c r="B264" s="904">
        <f t="shared" si="242"/>
        <v>248</v>
      </c>
      <c r="C264" s="170" t="str">
        <f t="shared" si="241"/>
        <v/>
      </c>
      <c r="D264" s="557"/>
      <c r="E264" s="170"/>
      <c r="F264" s="721"/>
      <c r="G264" s="2627" t="s">
        <v>3291</v>
      </c>
      <c r="H264" s="2039"/>
      <c r="I264" s="2008"/>
      <c r="J264" s="2039"/>
      <c r="K264" s="2039"/>
      <c r="L264" s="2498"/>
      <c r="M264" s="2041">
        <v>0</v>
      </c>
      <c r="N264" s="2043"/>
      <c r="O264" s="2499">
        <f t="shared" ref="O264" si="315">+M264*N264</f>
        <v>0</v>
      </c>
      <c r="P264" s="2076"/>
      <c r="Q264" s="2008"/>
      <c r="R264" s="2011"/>
      <c r="S264" s="912">
        <f>SUMIF('Data Input sheet'!$B$118:$B$180,R264,'Data Input sheet'!$D$118:$D$180)</f>
        <v>0</v>
      </c>
      <c r="T264" s="2686">
        <f>ROUND(O264*S264,0)</f>
        <v>0</v>
      </c>
      <c r="U264" s="2042"/>
      <c r="V264" s="2501">
        <f t="shared" ref="V264" si="316">ROUND(U264*O264,0)</f>
        <v>0</v>
      </c>
      <c r="W264" s="2046"/>
      <c r="X264" s="2502"/>
      <c r="Y264" s="2047">
        <v>0</v>
      </c>
      <c r="Z264" s="2500">
        <f t="shared" ref="Z264" si="317">T264+V264+W264+Y264</f>
        <v>0</v>
      </c>
      <c r="AA264" s="2007"/>
      <c r="AB264" s="2007"/>
      <c r="AC264" s="765"/>
      <c r="AD264" s="781">
        <f t="shared" ref="AD264" si="318">IF(P264="E",+ROUND(H264*O264,0),0)</f>
        <v>0</v>
      </c>
      <c r="AE264" s="778">
        <f t="shared" ref="AE264" si="319">+AF264-AD264</f>
        <v>0</v>
      </c>
      <c r="AF264" s="781">
        <f t="shared" ref="AF264" si="320">+H264*O264</f>
        <v>0</v>
      </c>
      <c r="AG264" s="781">
        <f t="shared" ref="AG264" si="321">IF(P264="E",+ROUND(T264*H264,0),0)</f>
        <v>0</v>
      </c>
      <c r="AH264" s="781">
        <f t="shared" ref="AH264" si="322">+AI264-AG264</f>
        <v>0</v>
      </c>
      <c r="AI264" s="782">
        <f t="shared" ref="AI264" si="323">+H264*T264</f>
        <v>0</v>
      </c>
      <c r="AJ264" s="781">
        <f t="shared" ref="AJ264" si="324">IF(P264="E",+ROUND(V264*H264,0),0)</f>
        <v>0</v>
      </c>
      <c r="AK264" s="781">
        <f t="shared" ref="AK264" si="325">+AL264-AJ264</f>
        <v>0</v>
      </c>
      <c r="AL264" s="781">
        <f t="shared" ref="AL264" si="326">ROUND(V264*H264,0)</f>
        <v>0</v>
      </c>
      <c r="AM264" s="781">
        <f t="shared" ref="AM264" si="327">IF(Q264="E",+ROUND(W264*H264,0),0)</f>
        <v>0</v>
      </c>
      <c r="AN264" s="781">
        <f t="shared" ref="AN264" si="328">+AO264-AM264</f>
        <v>0</v>
      </c>
      <c r="AO264" s="781">
        <f t="shared" ref="AO264" si="329">ROUND(W264*H264,0)</f>
        <v>0</v>
      </c>
      <c r="AP264" s="781">
        <f t="shared" ref="AP264" si="330">IF(P264="E",+ROUND(Y264*H264,0),0)</f>
        <v>0</v>
      </c>
      <c r="AQ264" s="781">
        <f t="shared" ref="AQ264" si="331">+AR264-AP264</f>
        <v>0</v>
      </c>
      <c r="AR264" s="781">
        <f t="shared" ref="AR264" si="332">ROUND(Y264*H264,0)</f>
        <v>0</v>
      </c>
      <c r="AS264" s="783">
        <f t="shared" ref="AS264" si="333">+AR264+AO264+AL264+AI264</f>
        <v>0</v>
      </c>
    </row>
    <row r="265" spans="1:65" ht="15.75" hidden="1" outlineLevel="2" thickBot="1" x14ac:dyDescent="0.3">
      <c r="A265" s="784"/>
      <c r="B265" s="904">
        <f t="shared" si="242"/>
        <v>249</v>
      </c>
      <c r="C265" s="170" t="str">
        <f t="shared" si="241"/>
        <v/>
      </c>
      <c r="D265" s="557"/>
      <c r="E265" s="170"/>
      <c r="F265" s="721"/>
      <c r="G265" s="2491" t="s">
        <v>3288</v>
      </c>
      <c r="H265" s="2039"/>
      <c r="I265" s="2008"/>
      <c r="J265" s="2039"/>
      <c r="K265" s="2039"/>
      <c r="L265" s="2498"/>
      <c r="M265" s="2041">
        <v>0</v>
      </c>
      <c r="N265" s="2043"/>
      <c r="O265" s="2499">
        <f t="shared" ref="O265" si="334">+M265*N265</f>
        <v>0</v>
      </c>
      <c r="P265" s="2076"/>
      <c r="Q265" s="2008"/>
      <c r="R265" s="2011"/>
      <c r="S265" s="912">
        <f>SUMIF('Data Input sheet'!$B$118:$B$180,R265,'Data Input sheet'!$D$118:$D$180)</f>
        <v>0</v>
      </c>
      <c r="T265" s="2686">
        <f>ROUND(O265*S265,0)</f>
        <v>0</v>
      </c>
      <c r="U265" s="2042"/>
      <c r="V265" s="2501">
        <f t="shared" ref="V265" si="335">ROUND(U265*O265,0)</f>
        <v>0</v>
      </c>
      <c r="W265" s="2046"/>
      <c r="X265" s="2502"/>
      <c r="Y265" s="2047">
        <v>0</v>
      </c>
      <c r="Z265" s="2500">
        <f t="shared" ref="Z265" si="336">T265+V265+W265+Y265</f>
        <v>0</v>
      </c>
      <c r="AA265" s="2007"/>
      <c r="AB265" s="2007"/>
      <c r="AC265" s="765"/>
      <c r="AD265" s="781">
        <f t="shared" ref="AD265" si="337">IF(P265="E",+ROUND(H265*O265,0),0)</f>
        <v>0</v>
      </c>
      <c r="AE265" s="778">
        <f t="shared" ref="AE265" si="338">+AF265-AD265</f>
        <v>0</v>
      </c>
      <c r="AF265" s="781">
        <f t="shared" ref="AF265" si="339">+H265*O265</f>
        <v>0</v>
      </c>
      <c r="AG265" s="781">
        <f t="shared" ref="AG265" si="340">IF(P265="E",+ROUND(T265*H265,0),0)</f>
        <v>0</v>
      </c>
      <c r="AH265" s="781">
        <f t="shared" ref="AH265" si="341">+AI265-AG265</f>
        <v>0</v>
      </c>
      <c r="AI265" s="782">
        <f t="shared" ref="AI265" si="342">+H265*T265</f>
        <v>0</v>
      </c>
      <c r="AJ265" s="781">
        <f t="shared" ref="AJ265" si="343">IF(P265="E",+ROUND(V265*H265,0),0)</f>
        <v>0</v>
      </c>
      <c r="AK265" s="781">
        <f t="shared" ref="AK265" si="344">+AL265-AJ265</f>
        <v>0</v>
      </c>
      <c r="AL265" s="781">
        <f t="shared" ref="AL265" si="345">ROUND(V265*H265,0)</f>
        <v>0</v>
      </c>
      <c r="AM265" s="781">
        <f t="shared" ref="AM265" si="346">IF(Q265="E",+ROUND(W265*H265,0),0)</f>
        <v>0</v>
      </c>
      <c r="AN265" s="781">
        <f t="shared" ref="AN265" si="347">+AO265-AM265</f>
        <v>0</v>
      </c>
      <c r="AO265" s="781">
        <f t="shared" ref="AO265" si="348">ROUND(W265*H265,0)</f>
        <v>0</v>
      </c>
      <c r="AP265" s="781">
        <f t="shared" ref="AP265" si="349">IF(P265="E",+ROUND(Y265*H265,0),0)</f>
        <v>0</v>
      </c>
      <c r="AQ265" s="781">
        <f t="shared" ref="AQ265" si="350">+AR265-AP265</f>
        <v>0</v>
      </c>
      <c r="AR265" s="781">
        <f t="shared" ref="AR265" si="351">ROUND(Y265*H265,0)</f>
        <v>0</v>
      </c>
      <c r="AS265" s="783">
        <f t="shared" ref="AS265" si="352">+AR265+AO265+AL265+AI265</f>
        <v>0</v>
      </c>
    </row>
    <row r="266" spans="1:65" ht="20.85" hidden="1" customHeight="1" outlineLevel="2" x14ac:dyDescent="0.3">
      <c r="A266" s="784"/>
      <c r="B266" s="904">
        <f t="shared" si="242"/>
        <v>250</v>
      </c>
      <c r="C266" s="170" t="str">
        <f t="shared" si="241"/>
        <v>50EA</v>
      </c>
      <c r="D266" s="557"/>
      <c r="E266" s="170"/>
      <c r="F266" s="721">
        <v>50</v>
      </c>
      <c r="G266" s="2007" t="s">
        <v>1984</v>
      </c>
      <c r="H266" s="1926">
        <v>0</v>
      </c>
      <c r="I266" s="2008" t="s">
        <v>732</v>
      </c>
      <c r="J266" s="1926"/>
      <c r="K266" s="1926"/>
      <c r="L266" s="170"/>
      <c r="M266" s="2009">
        <v>650</v>
      </c>
      <c r="N266" s="2010">
        <v>1</v>
      </c>
      <c r="O266" s="773">
        <f>+M266*N266</f>
        <v>650</v>
      </c>
      <c r="P266" s="2076" t="s">
        <v>39</v>
      </c>
      <c r="Q266" s="2008" t="s">
        <v>39</v>
      </c>
      <c r="R266" s="2011" t="s">
        <v>74</v>
      </c>
      <c r="S266" s="912">
        <f>SUMIF('Data Input sheet'!$B$118:$B$180,R266,'Data Input sheet'!$D$118:$D$180)</f>
        <v>152</v>
      </c>
      <c r="T266" s="2685">
        <f>+O266*S266</f>
        <v>98800</v>
      </c>
      <c r="U266" s="2013">
        <v>35</v>
      </c>
      <c r="V266" s="778">
        <f t="shared" ref="V266:V267" si="353">ROUND(U266*O266,0)</f>
        <v>22750</v>
      </c>
      <c r="W266" s="2010">
        <v>242209</v>
      </c>
      <c r="X266" s="779"/>
      <c r="Y266" s="2012"/>
      <c r="Z266" s="780">
        <f>T266+V266+W266+Y266</f>
        <v>363759</v>
      </c>
      <c r="AA266" s="2007"/>
      <c r="AB266" s="2007"/>
      <c r="AC266" s="765"/>
      <c r="AD266" s="781">
        <f>IF(P266="E",+ROUND(H266*O266,0),0)</f>
        <v>0</v>
      </c>
      <c r="AE266" s="778">
        <f>+AF266-AD266</f>
        <v>0</v>
      </c>
      <c r="AF266" s="781">
        <f>+H266*O266</f>
        <v>0</v>
      </c>
      <c r="AG266" s="781">
        <f>IF(P266="E",+ROUND(T266*H266,0),0)</f>
        <v>0</v>
      </c>
      <c r="AH266" s="781">
        <f>+AI266-AG266</f>
        <v>0</v>
      </c>
      <c r="AI266" s="782">
        <f>+H266*T266</f>
        <v>0</v>
      </c>
      <c r="AJ266" s="781">
        <f>IF(P266="E",+ROUND(V266*H266,0),0)</f>
        <v>0</v>
      </c>
      <c r="AK266" s="781">
        <f>+AL266-AJ266</f>
        <v>0</v>
      </c>
      <c r="AL266" s="781">
        <f>ROUND(V266*H266,0)</f>
        <v>0</v>
      </c>
      <c r="AM266" s="781">
        <f>IF(Q266="E",+ROUND(W266*H266,0),0)</f>
        <v>0</v>
      </c>
      <c r="AN266" s="781">
        <f>+AO266-AM266</f>
        <v>0</v>
      </c>
      <c r="AO266" s="781">
        <f>ROUND(W266*H266,0)</f>
        <v>0</v>
      </c>
      <c r="AP266" s="781">
        <f>IF(P266="E",+ROUND(Y266*H266,0),0)</f>
        <v>0</v>
      </c>
      <c r="AQ266" s="781">
        <f>+AR266-AP266</f>
        <v>0</v>
      </c>
      <c r="AR266" s="781">
        <f>ROUND(Y266*H266,0)</f>
        <v>0</v>
      </c>
      <c r="AS266" s="783">
        <f>+AR266+AO266+AL266+AI266</f>
        <v>0</v>
      </c>
      <c r="AT266" s="917"/>
      <c r="AW266" s="832"/>
      <c r="AX266" s="833" t="s">
        <v>2965</v>
      </c>
      <c r="BM266" s="2010">
        <v>234000</v>
      </c>
    </row>
    <row r="267" spans="1:65" ht="51.75" hidden="1" outlineLevel="2" thickBot="1" x14ac:dyDescent="0.3">
      <c r="A267" s="784"/>
      <c r="B267" s="904">
        <f t="shared" si="242"/>
        <v>251</v>
      </c>
      <c r="C267" s="170" t="str">
        <f t="shared" si="241"/>
        <v>50EA</v>
      </c>
      <c r="D267" s="557"/>
      <c r="E267" s="170"/>
      <c r="F267" s="721">
        <v>50</v>
      </c>
      <c r="G267" s="2007" t="s">
        <v>2963</v>
      </c>
      <c r="H267" s="1926">
        <v>0</v>
      </c>
      <c r="I267" s="2008" t="s">
        <v>732</v>
      </c>
      <c r="J267" s="1926"/>
      <c r="K267" s="1926"/>
      <c r="L267" s="170"/>
      <c r="M267" s="2009">
        <v>650</v>
      </c>
      <c r="N267" s="2010">
        <v>1</v>
      </c>
      <c r="O267" s="773">
        <f>+M267*N267</f>
        <v>650</v>
      </c>
      <c r="P267" s="2076" t="s">
        <v>39</v>
      </c>
      <c r="Q267" s="2008" t="s">
        <v>39</v>
      </c>
      <c r="R267" s="2011" t="s">
        <v>74</v>
      </c>
      <c r="S267" s="912">
        <f>SUMIF('Data Input sheet'!$B$118:$B$180,R267,'Data Input sheet'!$D$118:$D$180)</f>
        <v>152</v>
      </c>
      <c r="T267" s="2685">
        <f>+O267*S267</f>
        <v>98800</v>
      </c>
      <c r="U267" s="2013">
        <v>35</v>
      </c>
      <c r="V267" s="778">
        <f t="shared" si="353"/>
        <v>22750</v>
      </c>
      <c r="W267" s="2010">
        <v>242209</v>
      </c>
      <c r="X267" s="779"/>
      <c r="Y267" s="2012"/>
      <c r="Z267" s="780">
        <f>T267+V267+W267+Y267</f>
        <v>363759</v>
      </c>
      <c r="AA267" s="2007"/>
      <c r="AB267" s="2007"/>
      <c r="AC267" s="765"/>
      <c r="AD267" s="781">
        <f>IF(P267="E",+ROUND(H267*O267,0),0)</f>
        <v>0</v>
      </c>
      <c r="AE267" s="778">
        <f>+AF267-AD267</f>
        <v>0</v>
      </c>
      <c r="AF267" s="781">
        <f>+H267*O267</f>
        <v>0</v>
      </c>
      <c r="AG267" s="781">
        <f>IF(P267="E",+ROUND(T267*H267,0),0)</f>
        <v>0</v>
      </c>
      <c r="AH267" s="781">
        <f>+AI267-AG267</f>
        <v>0</v>
      </c>
      <c r="AI267" s="782">
        <f>+H267*T267</f>
        <v>0</v>
      </c>
      <c r="AJ267" s="781">
        <f>IF(P267="E",+ROUND(V267*H267,0),0)</f>
        <v>0</v>
      </c>
      <c r="AK267" s="781">
        <f>+AL267-AJ267</f>
        <v>0</v>
      </c>
      <c r="AL267" s="781">
        <f>ROUND(V267*H267,0)</f>
        <v>0</v>
      </c>
      <c r="AM267" s="781">
        <f>IF(Q267="E",+ROUND(W267*H267,0),0)</f>
        <v>0</v>
      </c>
      <c r="AN267" s="781">
        <f>+AO267-AM267</f>
        <v>0</v>
      </c>
      <c r="AO267" s="781">
        <f>ROUND(W267*H267,0)</f>
        <v>0</v>
      </c>
      <c r="AP267" s="781">
        <f>IF(P267="E",+ROUND(Y267*H267,0),0)</f>
        <v>0</v>
      </c>
      <c r="AQ267" s="781">
        <f>+AR267-AP267</f>
        <v>0</v>
      </c>
      <c r="AR267" s="781">
        <f>ROUND(Y267*H267,0)</f>
        <v>0</v>
      </c>
      <c r="AS267" s="783">
        <f>+AR267+AO267+AL267+AI267</f>
        <v>0</v>
      </c>
      <c r="AT267" s="917"/>
      <c r="AW267" s="832">
        <v>589194</v>
      </c>
      <c r="AX267" s="833" t="s">
        <v>2965</v>
      </c>
      <c r="BM267" s="2010">
        <v>395000</v>
      </c>
    </row>
    <row r="268" spans="1:65" ht="26.25" hidden="1" outlineLevel="2" thickBot="1" x14ac:dyDescent="0.3">
      <c r="A268" s="784"/>
      <c r="B268" s="904">
        <f t="shared" si="242"/>
        <v>252</v>
      </c>
      <c r="C268" s="170" t="str">
        <f t="shared" si="241"/>
        <v>50EA</v>
      </c>
      <c r="D268" s="557"/>
      <c r="E268" s="170"/>
      <c r="F268" s="721">
        <v>50</v>
      </c>
      <c r="G268" s="2007" t="s">
        <v>1985</v>
      </c>
      <c r="H268" s="1926"/>
      <c r="I268" s="2008" t="s">
        <v>732</v>
      </c>
      <c r="J268" s="1926"/>
      <c r="K268" s="1926"/>
      <c r="L268" s="170"/>
      <c r="M268" s="2009">
        <v>325</v>
      </c>
      <c r="N268" s="2010">
        <v>1</v>
      </c>
      <c r="O268" s="773">
        <f>+M268*N268</f>
        <v>325</v>
      </c>
      <c r="P268" s="2076" t="s">
        <v>39</v>
      </c>
      <c r="Q268" s="2008" t="s">
        <v>39</v>
      </c>
      <c r="R268" s="2011" t="s">
        <v>74</v>
      </c>
      <c r="S268" s="912">
        <f>SUMIF('Data Input sheet'!$B$118:$B$180,R268,'Data Input sheet'!$D$118:$D$180)</f>
        <v>152</v>
      </c>
      <c r="T268" s="2685">
        <f>+O268*S268</f>
        <v>49400</v>
      </c>
      <c r="U268" s="2013">
        <v>35</v>
      </c>
      <c r="V268" s="778">
        <f>ROUND(U268*O268,0)</f>
        <v>11375</v>
      </c>
      <c r="W268" s="2010">
        <v>285000</v>
      </c>
      <c r="X268" s="779"/>
      <c r="Y268" s="2012"/>
      <c r="Z268" s="780">
        <f>T268+V268+W268+Y268</f>
        <v>345775</v>
      </c>
      <c r="AA268" s="2007"/>
      <c r="AB268" s="1862"/>
      <c r="AC268" s="765"/>
      <c r="AD268" s="781">
        <f>IF(P268="E",+ROUND(H268*O268,0),0)</f>
        <v>0</v>
      </c>
      <c r="AE268" s="778">
        <f>+AF268-AD268</f>
        <v>0</v>
      </c>
      <c r="AF268" s="781">
        <f>+H268*O268</f>
        <v>0</v>
      </c>
      <c r="AG268" s="781">
        <f>IF(P268="E",+ROUND(T268*H268,0),0)</f>
        <v>0</v>
      </c>
      <c r="AH268" s="781">
        <f>+AI268-AG268</f>
        <v>0</v>
      </c>
      <c r="AI268" s="782">
        <f>+H268*T268</f>
        <v>0</v>
      </c>
      <c r="AJ268" s="781">
        <f>IF(P268="E",+ROUND(V268*H268,0),0)</f>
        <v>0</v>
      </c>
      <c r="AK268" s="781">
        <f>+AL268-AJ268</f>
        <v>0</v>
      </c>
      <c r="AL268" s="781">
        <f>ROUND(V268*H268,0)</f>
        <v>0</v>
      </c>
      <c r="AM268" s="781">
        <f>IF(Q268="E",+ROUND(W268*H268,0),0)</f>
        <v>0</v>
      </c>
      <c r="AN268" s="781">
        <f>+AO268-AM268</f>
        <v>0</v>
      </c>
      <c r="AO268" s="781">
        <f>ROUND(W268*H268,0)</f>
        <v>0</v>
      </c>
      <c r="AP268" s="781">
        <f>IF(P268="E",+ROUND(Y268*H268,0),0)</f>
        <v>0</v>
      </c>
      <c r="AQ268" s="781">
        <f>+AR268-AP268</f>
        <v>0</v>
      </c>
      <c r="AR268" s="781">
        <f>ROUND(Y268*H268,0)</f>
        <v>0</v>
      </c>
      <c r="AS268" s="783">
        <f>+AR268+AO268+AL268+AI268</f>
        <v>0</v>
      </c>
      <c r="AT268" s="917"/>
      <c r="AW268" s="832"/>
      <c r="AX268" s="833" t="s">
        <v>3054</v>
      </c>
      <c r="BM268" s="2010">
        <v>280091.13600000006</v>
      </c>
    </row>
    <row r="269" spans="1:65" ht="26.25" hidden="1" outlineLevel="2" thickBot="1" x14ac:dyDescent="0.3">
      <c r="A269" s="784"/>
      <c r="B269" s="904">
        <f t="shared" si="242"/>
        <v>253</v>
      </c>
      <c r="C269" s="170" t="str">
        <f t="shared" si="241"/>
        <v>50EA</v>
      </c>
      <c r="D269" s="557"/>
      <c r="E269" s="170"/>
      <c r="F269" s="721">
        <v>50</v>
      </c>
      <c r="G269" s="2007" t="s">
        <v>1986</v>
      </c>
      <c r="H269" s="1926"/>
      <c r="I269" s="2008" t="s">
        <v>732</v>
      </c>
      <c r="J269" s="1926"/>
      <c r="K269" s="1926"/>
      <c r="L269" s="170"/>
      <c r="M269" s="2009">
        <v>550</v>
      </c>
      <c r="N269" s="2010">
        <v>1</v>
      </c>
      <c r="O269" s="773">
        <f>+M269*N269</f>
        <v>550</v>
      </c>
      <c r="P269" s="2076" t="s">
        <v>39</v>
      </c>
      <c r="Q269" s="2008" t="s">
        <v>39</v>
      </c>
      <c r="R269" s="2011" t="s">
        <v>74</v>
      </c>
      <c r="S269" s="912">
        <f>SUMIF('Data Input sheet'!$B$118:$B$180,R269,'Data Input sheet'!$D$118:$D$180)</f>
        <v>152</v>
      </c>
      <c r="T269" s="2685">
        <f>+O269*S269</f>
        <v>83600</v>
      </c>
      <c r="U269" s="2013">
        <v>35</v>
      </c>
      <c r="V269" s="778">
        <f>ROUND(U269*O269,0)</f>
        <v>19250</v>
      </c>
      <c r="W269" s="2010">
        <v>225000</v>
      </c>
      <c r="X269" s="779"/>
      <c r="Y269" s="2012"/>
      <c r="Z269" s="780">
        <f>T269+V269+W269+Y269</f>
        <v>327850</v>
      </c>
      <c r="AA269" s="2007"/>
      <c r="AB269" s="1862"/>
      <c r="AC269" s="765"/>
      <c r="AD269" s="781">
        <f>IF(P269="E",+ROUND(H269*O269,0),0)</f>
        <v>0</v>
      </c>
      <c r="AE269" s="778">
        <f>+AF269-AD269</f>
        <v>0</v>
      </c>
      <c r="AF269" s="781">
        <f>+H269*O269</f>
        <v>0</v>
      </c>
      <c r="AG269" s="781">
        <f>IF(P269="E",+ROUND(T269*H269,0),0)</f>
        <v>0</v>
      </c>
      <c r="AH269" s="781">
        <f>+AI269-AG269</f>
        <v>0</v>
      </c>
      <c r="AI269" s="782">
        <f>+H269*T269</f>
        <v>0</v>
      </c>
      <c r="AJ269" s="781">
        <f>IF(P269="E",+ROUND(V269*H269,0),0)</f>
        <v>0</v>
      </c>
      <c r="AK269" s="781">
        <f>+AL269-AJ269</f>
        <v>0</v>
      </c>
      <c r="AL269" s="781">
        <f>ROUND(V269*H269,0)</f>
        <v>0</v>
      </c>
      <c r="AM269" s="781">
        <f>IF(Q269="E",+ROUND(W269*H269,0),0)</f>
        <v>0</v>
      </c>
      <c r="AN269" s="781">
        <f>+AO269-AM269</f>
        <v>0</v>
      </c>
      <c r="AO269" s="781">
        <f>ROUND(W269*H269,0)</f>
        <v>0</v>
      </c>
      <c r="AP269" s="781">
        <f>IF(P269="E",+ROUND(Y269*H269,0),0)</f>
        <v>0</v>
      </c>
      <c r="AQ269" s="781">
        <f>+AR269-AP269</f>
        <v>0</v>
      </c>
      <c r="AR269" s="781">
        <f>ROUND(Y269*H269,0)</f>
        <v>0</v>
      </c>
      <c r="AS269" s="783">
        <f>+AR269+AO269+AL269+AI269</f>
        <v>0</v>
      </c>
      <c r="AT269" s="917"/>
      <c r="AW269" s="832"/>
      <c r="AX269" s="833" t="s">
        <v>3055</v>
      </c>
      <c r="BM269" s="2010">
        <v>358381.6704</v>
      </c>
    </row>
    <row r="270" spans="1:65" ht="18" hidden="1" customHeight="1" outlineLevel="2" thickBot="1" x14ac:dyDescent="0.3">
      <c r="A270" s="784"/>
      <c r="B270" s="904">
        <f>+B269+1</f>
        <v>254</v>
      </c>
      <c r="C270" s="170" t="str">
        <f t="shared" si="241"/>
        <v>50EA</v>
      </c>
      <c r="D270" s="557"/>
      <c r="E270" s="170"/>
      <c r="F270" s="721">
        <v>50</v>
      </c>
      <c r="G270" s="1862" t="s">
        <v>1983</v>
      </c>
      <c r="H270" s="1926"/>
      <c r="I270" s="2008" t="s">
        <v>732</v>
      </c>
      <c r="J270" s="1926"/>
      <c r="K270" s="1926"/>
      <c r="L270" s="170"/>
      <c r="M270" s="2009">
        <v>10101</v>
      </c>
      <c r="N270" s="2010">
        <v>1</v>
      </c>
      <c r="O270" s="773">
        <f>+M270*N270</f>
        <v>10101</v>
      </c>
      <c r="P270" s="2076" t="s">
        <v>39</v>
      </c>
      <c r="Q270" s="2008" t="s">
        <v>39</v>
      </c>
      <c r="R270" s="2011" t="s">
        <v>74</v>
      </c>
      <c r="S270" s="912">
        <f>SUMIF('Data Input sheet'!$B$118:$B$180,R270,'Data Input sheet'!$D$118:$D$180)</f>
        <v>152</v>
      </c>
      <c r="T270" s="2685">
        <f>+O270*S270</f>
        <v>1535352</v>
      </c>
      <c r="U270" s="2013">
        <v>28</v>
      </c>
      <c r="V270" s="778">
        <f>ROUND(U270*O270,0)</f>
        <v>282828</v>
      </c>
      <c r="W270" s="2010">
        <v>25058370.355200004</v>
      </c>
      <c r="X270" s="779"/>
      <c r="Y270" s="2012"/>
      <c r="Z270" s="780">
        <f>T270+V270+W270+Y270</f>
        <v>26876550.355200004</v>
      </c>
      <c r="AA270" s="1862"/>
      <c r="AB270" s="1862"/>
      <c r="AC270" s="765"/>
      <c r="AD270" s="781">
        <f>IF(P270="E",+ROUND(H270*O270,0),0)</f>
        <v>0</v>
      </c>
      <c r="AE270" s="778">
        <f>+AF270-AD270</f>
        <v>0</v>
      </c>
      <c r="AF270" s="781">
        <f>+H270*O270</f>
        <v>0</v>
      </c>
      <c r="AG270" s="781">
        <f>IF(P270="E",+ROUND(T270*H270,0),0)</f>
        <v>0</v>
      </c>
      <c r="AH270" s="781">
        <f>+AI270-AG270</f>
        <v>0</v>
      </c>
      <c r="AI270" s="782">
        <f>+H270*T270</f>
        <v>0</v>
      </c>
      <c r="AJ270" s="781">
        <f>IF(P270="E",+ROUND(V270*H270,0),0)</f>
        <v>0</v>
      </c>
      <c r="AK270" s="781">
        <f>+AL270-AJ270</f>
        <v>0</v>
      </c>
      <c r="AL270" s="781">
        <f>ROUND(V270*H270,0)</f>
        <v>0</v>
      </c>
      <c r="AM270" s="781">
        <f>IF(Q270="E",+ROUND(W270*H270,0),0)</f>
        <v>0</v>
      </c>
      <c r="AN270" s="781">
        <f>+AO270-AM270</f>
        <v>0</v>
      </c>
      <c r="AO270" s="781">
        <f>ROUND(W270*H270,0)</f>
        <v>0</v>
      </c>
      <c r="AP270" s="781">
        <f>IF(P270="E",+ROUND(Y270*H270,0),0)</f>
        <v>0</v>
      </c>
      <c r="AQ270" s="781">
        <f>+AR270-AP270</f>
        <v>0</v>
      </c>
      <c r="AR270" s="781">
        <f>ROUND(Y270*H270,0)</f>
        <v>0</v>
      </c>
      <c r="AS270" s="783">
        <f>+AR270+AO270+AL270+AI270</f>
        <v>0</v>
      </c>
      <c r="AT270" s="917"/>
      <c r="AW270" s="832">
        <v>589257</v>
      </c>
      <c r="AX270" s="833" t="s">
        <v>3053</v>
      </c>
      <c r="AZ270" s="160"/>
      <c r="BM270" s="2010">
        <v>25058370.355200004</v>
      </c>
    </row>
    <row r="271" spans="1:65" ht="15.75" hidden="1" outlineLevel="2" thickBot="1" x14ac:dyDescent="0.3">
      <c r="A271" s="784"/>
      <c r="B271" s="904">
        <f>+B269+1</f>
        <v>254</v>
      </c>
      <c r="C271" s="170" t="str">
        <f t="shared" si="241"/>
        <v/>
      </c>
      <c r="D271" s="557"/>
      <c r="E271" s="170"/>
      <c r="F271" s="721"/>
      <c r="G271" s="2491" t="s">
        <v>3289</v>
      </c>
      <c r="H271" s="2629"/>
      <c r="I271" s="2008"/>
      <c r="J271" s="1862"/>
      <c r="K271" s="1862"/>
      <c r="L271" s="721"/>
      <c r="M271" s="2504">
        <v>0</v>
      </c>
      <c r="N271" s="2507"/>
      <c r="O271" s="911">
        <f t="shared" si="232"/>
        <v>0</v>
      </c>
      <c r="P271" s="2076"/>
      <c r="Q271" s="2008"/>
      <c r="R271" s="2011"/>
      <c r="S271" s="912">
        <f>SUMIF('Data Input sheet'!$B$118:$B$180,R271,'Data Input sheet'!$D$118:$D$180)</f>
        <v>0</v>
      </c>
      <c r="T271" s="2684">
        <f t="shared" si="233"/>
        <v>0</v>
      </c>
      <c r="U271" s="2506">
        <v>0</v>
      </c>
      <c r="V271" s="914">
        <f>ROUND(U271*O271,0)</f>
        <v>0</v>
      </c>
      <c r="W271" s="2507"/>
      <c r="X271" s="915"/>
      <c r="Y271" s="2505">
        <v>0</v>
      </c>
      <c r="Z271" s="916">
        <f t="shared" si="234"/>
        <v>0</v>
      </c>
      <c r="AA271" s="1862"/>
      <c r="AB271" s="1862"/>
      <c r="AC271" s="765"/>
      <c r="AD271" s="781">
        <f t="shared" si="244"/>
        <v>0</v>
      </c>
      <c r="AE271" s="778">
        <f t="shared" si="245"/>
        <v>0</v>
      </c>
      <c r="AF271" s="781">
        <f t="shared" si="246"/>
        <v>0</v>
      </c>
      <c r="AG271" s="781">
        <f t="shared" si="247"/>
        <v>0</v>
      </c>
      <c r="AH271" s="781">
        <f t="shared" si="248"/>
        <v>0</v>
      </c>
      <c r="AI271" s="782">
        <f t="shared" si="249"/>
        <v>0</v>
      </c>
      <c r="AJ271" s="781">
        <f t="shared" si="250"/>
        <v>0</v>
      </c>
      <c r="AK271" s="781">
        <f t="shared" si="251"/>
        <v>0</v>
      </c>
      <c r="AL271" s="781">
        <f t="shared" si="252"/>
        <v>0</v>
      </c>
      <c r="AM271" s="781">
        <f t="shared" si="253"/>
        <v>0</v>
      </c>
      <c r="AN271" s="781">
        <f t="shared" si="254"/>
        <v>0</v>
      </c>
      <c r="AO271" s="781">
        <f t="shared" si="255"/>
        <v>0</v>
      </c>
      <c r="AP271" s="781">
        <f t="shared" si="256"/>
        <v>0</v>
      </c>
      <c r="AQ271" s="781">
        <f t="shared" si="257"/>
        <v>0</v>
      </c>
      <c r="AR271" s="781">
        <f t="shared" si="258"/>
        <v>0</v>
      </c>
      <c r="AS271" s="783">
        <f t="shared" si="259"/>
        <v>0</v>
      </c>
      <c r="AT271" s="917"/>
      <c r="AW271" s="832"/>
      <c r="AX271" s="833" t="s">
        <v>3030</v>
      </c>
      <c r="BM271" s="910"/>
    </row>
    <row r="272" spans="1:65" ht="39" hidden="1" outlineLevel="2" thickBot="1" x14ac:dyDescent="0.3">
      <c r="A272" s="784"/>
      <c r="B272" s="904">
        <f t="shared" si="242"/>
        <v>255</v>
      </c>
      <c r="C272" s="170" t="str">
        <f t="shared" si="241"/>
        <v>50EA</v>
      </c>
      <c r="D272" s="557"/>
      <c r="E272" s="170"/>
      <c r="F272" s="721">
        <v>50</v>
      </c>
      <c r="G272" s="2007" t="s">
        <v>1965</v>
      </c>
      <c r="H272" s="1926"/>
      <c r="I272" s="2008" t="s">
        <v>732</v>
      </c>
      <c r="J272" s="1926"/>
      <c r="K272" s="1926"/>
      <c r="L272" s="170"/>
      <c r="M272" s="2009">
        <v>450</v>
      </c>
      <c r="N272" s="2010">
        <v>1</v>
      </c>
      <c r="O272" s="773">
        <f t="shared" si="232"/>
        <v>450</v>
      </c>
      <c r="P272" s="2076" t="s">
        <v>39</v>
      </c>
      <c r="Q272" s="2008" t="s">
        <v>39</v>
      </c>
      <c r="R272" s="2011" t="s">
        <v>74</v>
      </c>
      <c r="S272" s="912">
        <f>SUMIF('Data Input sheet'!$B$118:$B$180,R272,'Data Input sheet'!$D$118:$D$180)</f>
        <v>152</v>
      </c>
      <c r="T272" s="2685">
        <f t="shared" si="233"/>
        <v>68400</v>
      </c>
      <c r="U272" s="2013">
        <v>28</v>
      </c>
      <c r="V272" s="778">
        <f t="shared" ref="V272:V281" si="354">ROUND(U272*O272,0)</f>
        <v>12600</v>
      </c>
      <c r="W272" s="2010">
        <v>97441</v>
      </c>
      <c r="X272" s="779"/>
      <c r="Y272" s="2012">
        <v>0</v>
      </c>
      <c r="Z272" s="780">
        <f t="shared" si="234"/>
        <v>178441</v>
      </c>
      <c r="AA272" s="2007"/>
      <c r="AB272" s="2007"/>
      <c r="AC272" s="765"/>
      <c r="AD272" s="781">
        <f t="shared" si="244"/>
        <v>0</v>
      </c>
      <c r="AE272" s="778">
        <f t="shared" si="245"/>
        <v>0</v>
      </c>
      <c r="AF272" s="781">
        <f t="shared" si="246"/>
        <v>0</v>
      </c>
      <c r="AG272" s="781">
        <f t="shared" si="247"/>
        <v>0</v>
      </c>
      <c r="AH272" s="781">
        <f t="shared" si="248"/>
        <v>0</v>
      </c>
      <c r="AI272" s="782">
        <f t="shared" si="249"/>
        <v>0</v>
      </c>
      <c r="AJ272" s="781">
        <f t="shared" si="250"/>
        <v>0</v>
      </c>
      <c r="AK272" s="781">
        <f t="shared" si="251"/>
        <v>0</v>
      </c>
      <c r="AL272" s="781">
        <f t="shared" si="252"/>
        <v>0</v>
      </c>
      <c r="AM272" s="781">
        <f t="shared" si="253"/>
        <v>0</v>
      </c>
      <c r="AN272" s="781">
        <f t="shared" si="254"/>
        <v>0</v>
      </c>
      <c r="AO272" s="781">
        <f t="shared" si="255"/>
        <v>0</v>
      </c>
      <c r="AP272" s="781">
        <f t="shared" si="256"/>
        <v>0</v>
      </c>
      <c r="AQ272" s="781">
        <f t="shared" si="257"/>
        <v>0</v>
      </c>
      <c r="AR272" s="781">
        <f t="shared" si="258"/>
        <v>0</v>
      </c>
      <c r="AS272" s="783">
        <f t="shared" si="259"/>
        <v>0</v>
      </c>
      <c r="AT272" s="917"/>
      <c r="AW272" s="832"/>
      <c r="AX272" s="833" t="s">
        <v>2973</v>
      </c>
      <c r="BM272" s="2010">
        <v>46000</v>
      </c>
    </row>
    <row r="273" spans="1:65" ht="39" hidden="1" outlineLevel="2" thickBot="1" x14ac:dyDescent="0.3">
      <c r="A273" s="784"/>
      <c r="B273" s="904">
        <f t="shared" si="242"/>
        <v>256</v>
      </c>
      <c r="C273" s="170" t="str">
        <f t="shared" si="241"/>
        <v>50EA</v>
      </c>
      <c r="D273" s="557"/>
      <c r="E273" s="170"/>
      <c r="F273" s="721">
        <v>50</v>
      </c>
      <c r="G273" s="2007" t="s">
        <v>1966</v>
      </c>
      <c r="H273" s="1926"/>
      <c r="I273" s="2008" t="s">
        <v>732</v>
      </c>
      <c r="J273" s="1926"/>
      <c r="K273" s="1926"/>
      <c r="L273" s="170"/>
      <c r="M273" s="2009">
        <v>450</v>
      </c>
      <c r="N273" s="2010">
        <v>1</v>
      </c>
      <c r="O273" s="773">
        <f t="shared" si="232"/>
        <v>450</v>
      </c>
      <c r="P273" s="2076" t="s">
        <v>39</v>
      </c>
      <c r="Q273" s="2008" t="s">
        <v>39</v>
      </c>
      <c r="R273" s="2011" t="s">
        <v>74</v>
      </c>
      <c r="S273" s="912">
        <f>SUMIF('Data Input sheet'!$B$118:$B$180,R273,'Data Input sheet'!$D$118:$D$180)</f>
        <v>152</v>
      </c>
      <c r="T273" s="2685">
        <f t="shared" si="233"/>
        <v>68400</v>
      </c>
      <c r="U273" s="2013">
        <v>28</v>
      </c>
      <c r="V273" s="778">
        <f t="shared" si="354"/>
        <v>12600</v>
      </c>
      <c r="W273" s="2010">
        <v>97441</v>
      </c>
      <c r="X273" s="779"/>
      <c r="Y273" s="2012">
        <v>0</v>
      </c>
      <c r="Z273" s="780">
        <f t="shared" si="234"/>
        <v>178441</v>
      </c>
      <c r="AA273" s="2007"/>
      <c r="AB273" s="2007"/>
      <c r="AC273" s="765"/>
      <c r="AD273" s="781">
        <f t="shared" si="244"/>
        <v>0</v>
      </c>
      <c r="AE273" s="778">
        <f t="shared" si="245"/>
        <v>0</v>
      </c>
      <c r="AF273" s="781">
        <f t="shared" si="246"/>
        <v>0</v>
      </c>
      <c r="AG273" s="781">
        <f t="shared" si="247"/>
        <v>0</v>
      </c>
      <c r="AH273" s="781">
        <f t="shared" si="248"/>
        <v>0</v>
      </c>
      <c r="AI273" s="782">
        <f t="shared" si="249"/>
        <v>0</v>
      </c>
      <c r="AJ273" s="781">
        <f t="shared" si="250"/>
        <v>0</v>
      </c>
      <c r="AK273" s="781">
        <f t="shared" si="251"/>
        <v>0</v>
      </c>
      <c r="AL273" s="781">
        <f t="shared" si="252"/>
        <v>0</v>
      </c>
      <c r="AM273" s="781">
        <f t="shared" si="253"/>
        <v>0</v>
      </c>
      <c r="AN273" s="781">
        <f t="shared" si="254"/>
        <v>0</v>
      </c>
      <c r="AO273" s="781">
        <f t="shared" si="255"/>
        <v>0</v>
      </c>
      <c r="AP273" s="781">
        <f t="shared" si="256"/>
        <v>0</v>
      </c>
      <c r="AQ273" s="781">
        <f t="shared" si="257"/>
        <v>0</v>
      </c>
      <c r="AR273" s="781">
        <f t="shared" si="258"/>
        <v>0</v>
      </c>
      <c r="AS273" s="783">
        <f t="shared" si="259"/>
        <v>0</v>
      </c>
      <c r="AT273" s="917"/>
      <c r="AW273" s="832"/>
      <c r="AX273" s="833" t="s">
        <v>2973</v>
      </c>
      <c r="BM273" s="2010">
        <v>72000</v>
      </c>
    </row>
    <row r="274" spans="1:65" ht="39" hidden="1" outlineLevel="2" thickBot="1" x14ac:dyDescent="0.3">
      <c r="A274" s="784"/>
      <c r="B274" s="904">
        <f t="shared" si="242"/>
        <v>257</v>
      </c>
      <c r="C274" s="170" t="str">
        <f t="shared" si="241"/>
        <v>50EA</v>
      </c>
      <c r="D274" s="557"/>
      <c r="E274" s="170"/>
      <c r="F274" s="721">
        <v>50</v>
      </c>
      <c r="G274" s="2007" t="s">
        <v>1967</v>
      </c>
      <c r="H274" s="1926"/>
      <c r="I274" s="2008" t="s">
        <v>732</v>
      </c>
      <c r="J274" s="1926"/>
      <c r="K274" s="1926"/>
      <c r="L274" s="170"/>
      <c r="M274" s="2009">
        <v>450</v>
      </c>
      <c r="N274" s="2010">
        <v>1</v>
      </c>
      <c r="O274" s="773">
        <f t="shared" si="232"/>
        <v>450</v>
      </c>
      <c r="P274" s="2076" t="s">
        <v>39</v>
      </c>
      <c r="Q274" s="2008" t="s">
        <v>39</v>
      </c>
      <c r="R274" s="2011" t="s">
        <v>74</v>
      </c>
      <c r="S274" s="912">
        <f>SUMIF('Data Input sheet'!$B$118:$B$180,R274,'Data Input sheet'!$D$118:$D$180)</f>
        <v>152</v>
      </c>
      <c r="T274" s="2685">
        <f t="shared" si="233"/>
        <v>68400</v>
      </c>
      <c r="U274" s="2013">
        <v>28</v>
      </c>
      <c r="V274" s="778">
        <f t="shared" si="354"/>
        <v>12600</v>
      </c>
      <c r="W274" s="2010">
        <v>97441</v>
      </c>
      <c r="X274" s="779"/>
      <c r="Y274" s="2012">
        <v>0</v>
      </c>
      <c r="Z274" s="780">
        <f t="shared" si="234"/>
        <v>178441</v>
      </c>
      <c r="AA274" s="2007"/>
      <c r="AB274" s="2007"/>
      <c r="AC274" s="765"/>
      <c r="AD274" s="781">
        <f t="shared" si="244"/>
        <v>0</v>
      </c>
      <c r="AE274" s="778">
        <f t="shared" si="245"/>
        <v>0</v>
      </c>
      <c r="AF274" s="781">
        <f t="shared" si="246"/>
        <v>0</v>
      </c>
      <c r="AG274" s="781">
        <f t="shared" si="247"/>
        <v>0</v>
      </c>
      <c r="AH274" s="781">
        <f t="shared" si="248"/>
        <v>0</v>
      </c>
      <c r="AI274" s="782">
        <f t="shared" si="249"/>
        <v>0</v>
      </c>
      <c r="AJ274" s="781">
        <f t="shared" si="250"/>
        <v>0</v>
      </c>
      <c r="AK274" s="781">
        <f t="shared" si="251"/>
        <v>0</v>
      </c>
      <c r="AL274" s="781">
        <f t="shared" si="252"/>
        <v>0</v>
      </c>
      <c r="AM274" s="781">
        <f t="shared" si="253"/>
        <v>0</v>
      </c>
      <c r="AN274" s="781">
        <f t="shared" si="254"/>
        <v>0</v>
      </c>
      <c r="AO274" s="781">
        <f t="shared" si="255"/>
        <v>0</v>
      </c>
      <c r="AP274" s="781">
        <f t="shared" si="256"/>
        <v>0</v>
      </c>
      <c r="AQ274" s="781">
        <f t="shared" si="257"/>
        <v>0</v>
      </c>
      <c r="AR274" s="781">
        <f t="shared" si="258"/>
        <v>0</v>
      </c>
      <c r="AS274" s="783">
        <f t="shared" si="259"/>
        <v>0</v>
      </c>
      <c r="AT274" s="917"/>
      <c r="AW274" s="832"/>
      <c r="AX274" s="833" t="s">
        <v>2974</v>
      </c>
      <c r="BM274" s="2010">
        <v>88000</v>
      </c>
    </row>
    <row r="275" spans="1:65" ht="39" hidden="1" outlineLevel="2" thickBot="1" x14ac:dyDescent="0.3">
      <c r="A275" s="784"/>
      <c r="B275" s="904">
        <f t="shared" si="242"/>
        <v>258</v>
      </c>
      <c r="C275" s="170" t="str">
        <f t="shared" ref="C275:C338" si="355">+F275&amp;I275</f>
        <v>50EA</v>
      </c>
      <c r="D275" s="557"/>
      <c r="E275" s="170"/>
      <c r="F275" s="721">
        <v>50</v>
      </c>
      <c r="G275" s="2007" t="s">
        <v>1977</v>
      </c>
      <c r="H275" s="1926"/>
      <c r="I275" s="2008" t="s">
        <v>732</v>
      </c>
      <c r="J275" s="1926"/>
      <c r="K275" s="1926"/>
      <c r="L275" s="170"/>
      <c r="M275" s="2009">
        <v>400</v>
      </c>
      <c r="N275" s="2010">
        <v>1</v>
      </c>
      <c r="O275" s="773">
        <f t="shared" si="232"/>
        <v>400</v>
      </c>
      <c r="P275" s="2076" t="s">
        <v>39</v>
      </c>
      <c r="Q275" s="2008" t="s">
        <v>39</v>
      </c>
      <c r="R275" s="2011" t="s">
        <v>74</v>
      </c>
      <c r="S275" s="912">
        <f>SUMIF('Data Input sheet'!$B$118:$B$180,R275,'Data Input sheet'!$D$118:$D$180)</f>
        <v>152</v>
      </c>
      <c r="T275" s="2685">
        <f t="shared" si="233"/>
        <v>60800</v>
      </c>
      <c r="U275" s="2013">
        <v>28</v>
      </c>
      <c r="V275" s="778">
        <f t="shared" si="354"/>
        <v>11200</v>
      </c>
      <c r="W275" s="2010">
        <v>135214</v>
      </c>
      <c r="X275" s="779"/>
      <c r="Y275" s="2012">
        <v>0</v>
      </c>
      <c r="Z275" s="780">
        <f t="shared" si="234"/>
        <v>207214</v>
      </c>
      <c r="AA275" s="2007"/>
      <c r="AB275" s="1862"/>
      <c r="AC275" s="765"/>
      <c r="AD275" s="781">
        <f t="shared" si="244"/>
        <v>0</v>
      </c>
      <c r="AE275" s="778">
        <f t="shared" si="245"/>
        <v>0</v>
      </c>
      <c r="AF275" s="781">
        <f t="shared" si="246"/>
        <v>0</v>
      </c>
      <c r="AG275" s="781">
        <f t="shared" si="247"/>
        <v>0</v>
      </c>
      <c r="AH275" s="781">
        <f t="shared" si="248"/>
        <v>0</v>
      </c>
      <c r="AI275" s="782">
        <f t="shared" si="249"/>
        <v>0</v>
      </c>
      <c r="AJ275" s="781">
        <f t="shared" si="250"/>
        <v>0</v>
      </c>
      <c r="AK275" s="781">
        <f t="shared" si="251"/>
        <v>0</v>
      </c>
      <c r="AL275" s="781">
        <f t="shared" si="252"/>
        <v>0</v>
      </c>
      <c r="AM275" s="781">
        <f t="shared" si="253"/>
        <v>0</v>
      </c>
      <c r="AN275" s="781">
        <f t="shared" si="254"/>
        <v>0</v>
      </c>
      <c r="AO275" s="781">
        <f t="shared" si="255"/>
        <v>0</v>
      </c>
      <c r="AP275" s="781">
        <f t="shared" si="256"/>
        <v>0</v>
      </c>
      <c r="AQ275" s="781">
        <f t="shared" si="257"/>
        <v>0</v>
      </c>
      <c r="AR275" s="781">
        <f t="shared" si="258"/>
        <v>0</v>
      </c>
      <c r="AS275" s="783">
        <f t="shared" si="259"/>
        <v>0</v>
      </c>
      <c r="AT275" s="917"/>
      <c r="AW275" s="832"/>
      <c r="AX275" s="833" t="s">
        <v>2973</v>
      </c>
      <c r="BM275" s="2010">
        <f>46000*2.5</f>
        <v>115000</v>
      </c>
    </row>
    <row r="276" spans="1:65" ht="39" hidden="1" outlineLevel="2" thickBot="1" x14ac:dyDescent="0.3">
      <c r="A276" s="784"/>
      <c r="B276" s="904">
        <f t="shared" si="242"/>
        <v>259</v>
      </c>
      <c r="C276" s="170" t="str">
        <f t="shared" si="355"/>
        <v>50EA</v>
      </c>
      <c r="D276" s="557"/>
      <c r="E276" s="170"/>
      <c r="F276" s="721">
        <v>50</v>
      </c>
      <c r="G276" s="2007" t="s">
        <v>1978</v>
      </c>
      <c r="H276" s="1926"/>
      <c r="I276" s="2008" t="s">
        <v>732</v>
      </c>
      <c r="J276" s="1926"/>
      <c r="K276" s="1926"/>
      <c r="L276" s="170"/>
      <c r="M276" s="2009">
        <v>400</v>
      </c>
      <c r="N276" s="2010">
        <v>1</v>
      </c>
      <c r="O276" s="773">
        <f t="shared" si="232"/>
        <v>400</v>
      </c>
      <c r="P276" s="2076" t="s">
        <v>39</v>
      </c>
      <c r="Q276" s="2008" t="s">
        <v>39</v>
      </c>
      <c r="R276" s="2011" t="s">
        <v>74</v>
      </c>
      <c r="S276" s="912">
        <f>SUMIF('Data Input sheet'!$B$118:$B$180,R276,'Data Input sheet'!$D$118:$D$180)</f>
        <v>152</v>
      </c>
      <c r="T276" s="2685">
        <f t="shared" si="233"/>
        <v>60800</v>
      </c>
      <c r="U276" s="2013">
        <v>28</v>
      </c>
      <c r="V276" s="778">
        <f t="shared" si="354"/>
        <v>11200</v>
      </c>
      <c r="W276" s="2010">
        <f>72000*2.5</f>
        <v>180000</v>
      </c>
      <c r="X276" s="779"/>
      <c r="Y276" s="2012">
        <v>0</v>
      </c>
      <c r="Z276" s="780">
        <f t="shared" si="234"/>
        <v>252000</v>
      </c>
      <c r="AA276" s="2007"/>
      <c r="AB276" s="2007"/>
      <c r="AC276" s="765"/>
      <c r="AD276" s="781">
        <f t="shared" si="244"/>
        <v>0</v>
      </c>
      <c r="AE276" s="778">
        <f t="shared" si="245"/>
        <v>0</v>
      </c>
      <c r="AF276" s="781">
        <f t="shared" si="246"/>
        <v>0</v>
      </c>
      <c r="AG276" s="781">
        <f t="shared" si="247"/>
        <v>0</v>
      </c>
      <c r="AH276" s="781">
        <f t="shared" si="248"/>
        <v>0</v>
      </c>
      <c r="AI276" s="782">
        <f t="shared" si="249"/>
        <v>0</v>
      </c>
      <c r="AJ276" s="781">
        <f t="shared" si="250"/>
        <v>0</v>
      </c>
      <c r="AK276" s="781">
        <f t="shared" si="251"/>
        <v>0</v>
      </c>
      <c r="AL276" s="781">
        <f t="shared" si="252"/>
        <v>0</v>
      </c>
      <c r="AM276" s="781">
        <f t="shared" si="253"/>
        <v>0</v>
      </c>
      <c r="AN276" s="781">
        <f t="shared" si="254"/>
        <v>0</v>
      </c>
      <c r="AO276" s="781">
        <f t="shared" si="255"/>
        <v>0</v>
      </c>
      <c r="AP276" s="781">
        <f t="shared" si="256"/>
        <v>0</v>
      </c>
      <c r="AQ276" s="781">
        <f t="shared" si="257"/>
        <v>0</v>
      </c>
      <c r="AR276" s="781">
        <f t="shared" si="258"/>
        <v>0</v>
      </c>
      <c r="AS276" s="783">
        <f t="shared" si="259"/>
        <v>0</v>
      </c>
      <c r="AT276" s="917"/>
      <c r="AW276" s="832"/>
      <c r="AX276" s="833" t="s">
        <v>2975</v>
      </c>
      <c r="BM276" s="2010">
        <f>72000*2.5</f>
        <v>180000</v>
      </c>
    </row>
    <row r="277" spans="1:65" ht="39" hidden="1" outlineLevel="2" thickBot="1" x14ac:dyDescent="0.3">
      <c r="A277" s="784"/>
      <c r="B277" s="904">
        <f t="shared" ref="B277:B341" si="356">+B276+1</f>
        <v>260</v>
      </c>
      <c r="C277" s="170" t="str">
        <f t="shared" si="355"/>
        <v>50EA</v>
      </c>
      <c r="D277" s="557"/>
      <c r="E277" s="170"/>
      <c r="F277" s="721">
        <v>50</v>
      </c>
      <c r="G277" s="2007" t="s">
        <v>1979</v>
      </c>
      <c r="H277" s="1926"/>
      <c r="I277" s="2008" t="s">
        <v>732</v>
      </c>
      <c r="J277" s="1926"/>
      <c r="K277" s="1926"/>
      <c r="L277" s="170"/>
      <c r="M277" s="2009">
        <v>400</v>
      </c>
      <c r="N277" s="2010">
        <v>1</v>
      </c>
      <c r="O277" s="773">
        <f t="shared" si="232"/>
        <v>400</v>
      </c>
      <c r="P277" s="2076" t="s">
        <v>39</v>
      </c>
      <c r="Q277" s="2008" t="s">
        <v>39</v>
      </c>
      <c r="R277" s="2011" t="s">
        <v>74</v>
      </c>
      <c r="S277" s="912">
        <f>SUMIF('Data Input sheet'!$B$118:$B$180,R277,'Data Input sheet'!$D$118:$D$180)</f>
        <v>152</v>
      </c>
      <c r="T277" s="2685">
        <f t="shared" si="233"/>
        <v>60800</v>
      </c>
      <c r="U277" s="2013">
        <v>28</v>
      </c>
      <c r="V277" s="778">
        <f t="shared" si="354"/>
        <v>11200</v>
      </c>
      <c r="W277" s="2010">
        <f>88000*2.5</f>
        <v>220000</v>
      </c>
      <c r="X277" s="779"/>
      <c r="Y277" s="2012">
        <v>0</v>
      </c>
      <c r="Z277" s="780">
        <f t="shared" si="234"/>
        <v>292000</v>
      </c>
      <c r="AA277" s="2007"/>
      <c r="AB277" s="2007"/>
      <c r="AC277" s="765"/>
      <c r="AD277" s="781">
        <f t="shared" si="244"/>
        <v>0</v>
      </c>
      <c r="AE277" s="778">
        <f t="shared" si="245"/>
        <v>0</v>
      </c>
      <c r="AF277" s="781">
        <f t="shared" si="246"/>
        <v>0</v>
      </c>
      <c r="AG277" s="781">
        <f t="shared" si="247"/>
        <v>0</v>
      </c>
      <c r="AH277" s="781">
        <f t="shared" si="248"/>
        <v>0</v>
      </c>
      <c r="AI277" s="782">
        <f t="shared" si="249"/>
        <v>0</v>
      </c>
      <c r="AJ277" s="781">
        <f t="shared" si="250"/>
        <v>0</v>
      </c>
      <c r="AK277" s="781">
        <f t="shared" si="251"/>
        <v>0</v>
      </c>
      <c r="AL277" s="781">
        <f t="shared" si="252"/>
        <v>0</v>
      </c>
      <c r="AM277" s="781">
        <f t="shared" si="253"/>
        <v>0</v>
      </c>
      <c r="AN277" s="781">
        <f t="shared" si="254"/>
        <v>0</v>
      </c>
      <c r="AO277" s="781">
        <f t="shared" si="255"/>
        <v>0</v>
      </c>
      <c r="AP277" s="781">
        <f t="shared" si="256"/>
        <v>0</v>
      </c>
      <c r="AQ277" s="781">
        <f t="shared" si="257"/>
        <v>0</v>
      </c>
      <c r="AR277" s="781">
        <f t="shared" si="258"/>
        <v>0</v>
      </c>
      <c r="AS277" s="783">
        <f t="shared" si="259"/>
        <v>0</v>
      </c>
      <c r="AT277" s="917"/>
      <c r="AW277" s="832"/>
      <c r="AX277" s="833" t="s">
        <v>2975</v>
      </c>
      <c r="BM277" s="2010">
        <f>88000*2.5</f>
        <v>220000</v>
      </c>
    </row>
    <row r="278" spans="1:65" ht="39" hidden="1" outlineLevel="2" thickBot="1" x14ac:dyDescent="0.3">
      <c r="A278" s="784"/>
      <c r="B278" s="904">
        <f t="shared" si="356"/>
        <v>261</v>
      </c>
      <c r="C278" s="170" t="str">
        <f t="shared" si="355"/>
        <v>50EA</v>
      </c>
      <c r="D278" s="557"/>
      <c r="E278" s="170"/>
      <c r="F278" s="721">
        <v>50</v>
      </c>
      <c r="G278" s="2007" t="s">
        <v>1968</v>
      </c>
      <c r="H278" s="1926"/>
      <c r="I278" s="2008" t="s">
        <v>732</v>
      </c>
      <c r="J278" s="1926"/>
      <c r="K278" s="1926"/>
      <c r="L278" s="170"/>
      <c r="M278" s="2009">
        <v>475</v>
      </c>
      <c r="N278" s="2010">
        <v>1</v>
      </c>
      <c r="O278" s="773">
        <f t="shared" si="232"/>
        <v>475</v>
      </c>
      <c r="P278" s="2076" t="s">
        <v>39</v>
      </c>
      <c r="Q278" s="2008" t="s">
        <v>39</v>
      </c>
      <c r="R278" s="2011" t="s">
        <v>74</v>
      </c>
      <c r="S278" s="912">
        <f>SUMIF('Data Input sheet'!$B$118:$B$180,R278,'Data Input sheet'!$D$118:$D$180)</f>
        <v>152</v>
      </c>
      <c r="T278" s="2685">
        <f t="shared" si="233"/>
        <v>72200</v>
      </c>
      <c r="U278" s="2013">
        <v>28</v>
      </c>
      <c r="V278" s="778">
        <f t="shared" si="354"/>
        <v>13300</v>
      </c>
      <c r="W278" s="2010">
        <v>104000</v>
      </c>
      <c r="X278" s="779"/>
      <c r="Y278" s="2012">
        <v>0</v>
      </c>
      <c r="Z278" s="780">
        <f t="shared" si="234"/>
        <v>189500</v>
      </c>
      <c r="AA278" s="2007"/>
      <c r="AB278" s="2007"/>
      <c r="AC278" s="765"/>
      <c r="AD278" s="781">
        <f t="shared" si="244"/>
        <v>0</v>
      </c>
      <c r="AE278" s="778">
        <f t="shared" si="245"/>
        <v>0</v>
      </c>
      <c r="AF278" s="781">
        <f t="shared" si="246"/>
        <v>0</v>
      </c>
      <c r="AG278" s="781">
        <f t="shared" si="247"/>
        <v>0</v>
      </c>
      <c r="AH278" s="781">
        <f t="shared" si="248"/>
        <v>0</v>
      </c>
      <c r="AI278" s="782">
        <f t="shared" si="249"/>
        <v>0</v>
      </c>
      <c r="AJ278" s="781">
        <f t="shared" si="250"/>
        <v>0</v>
      </c>
      <c r="AK278" s="781">
        <f t="shared" si="251"/>
        <v>0</v>
      </c>
      <c r="AL278" s="781">
        <f t="shared" si="252"/>
        <v>0</v>
      </c>
      <c r="AM278" s="781">
        <f t="shared" si="253"/>
        <v>0</v>
      </c>
      <c r="AN278" s="781">
        <f t="shared" si="254"/>
        <v>0</v>
      </c>
      <c r="AO278" s="781">
        <f t="shared" si="255"/>
        <v>0</v>
      </c>
      <c r="AP278" s="781">
        <f t="shared" si="256"/>
        <v>0</v>
      </c>
      <c r="AQ278" s="781">
        <f t="shared" si="257"/>
        <v>0</v>
      </c>
      <c r="AR278" s="781">
        <f t="shared" si="258"/>
        <v>0</v>
      </c>
      <c r="AS278" s="783">
        <f t="shared" si="259"/>
        <v>0</v>
      </c>
      <c r="AT278" s="917"/>
      <c r="AW278" s="832"/>
      <c r="AX278" s="833" t="s">
        <v>2976</v>
      </c>
      <c r="BM278" s="2010">
        <v>104000</v>
      </c>
    </row>
    <row r="279" spans="1:65" ht="39" hidden="1" outlineLevel="2" thickBot="1" x14ac:dyDescent="0.3">
      <c r="A279" s="784"/>
      <c r="B279" s="904">
        <f t="shared" si="356"/>
        <v>262</v>
      </c>
      <c r="C279" s="170" t="str">
        <f t="shared" si="355"/>
        <v>50EA</v>
      </c>
      <c r="D279" s="557"/>
      <c r="E279" s="170"/>
      <c r="F279" s="721">
        <v>50</v>
      </c>
      <c r="G279" s="2007" t="s">
        <v>1969</v>
      </c>
      <c r="H279" s="1926">
        <v>0</v>
      </c>
      <c r="I279" s="2008" t="s">
        <v>732</v>
      </c>
      <c r="J279" s="1926"/>
      <c r="K279" s="1926"/>
      <c r="L279" s="170"/>
      <c r="M279" s="2009">
        <v>475</v>
      </c>
      <c r="N279" s="2010">
        <v>1</v>
      </c>
      <c r="O279" s="773">
        <f t="shared" si="232"/>
        <v>475</v>
      </c>
      <c r="P279" s="2076" t="s">
        <v>39</v>
      </c>
      <c r="Q279" s="2008" t="s">
        <v>39</v>
      </c>
      <c r="R279" s="2011" t="s">
        <v>74</v>
      </c>
      <c r="S279" s="912">
        <f>SUMIF('Data Input sheet'!$B$118:$B$180,R279,'Data Input sheet'!$D$118:$D$180)</f>
        <v>152</v>
      </c>
      <c r="T279" s="2685">
        <f t="shared" si="233"/>
        <v>72200</v>
      </c>
      <c r="U279" s="2013">
        <v>28</v>
      </c>
      <c r="V279" s="778">
        <f t="shared" si="354"/>
        <v>13300</v>
      </c>
      <c r="W279" s="2010">
        <v>150000</v>
      </c>
      <c r="X279" s="779"/>
      <c r="Y279" s="2012">
        <v>0</v>
      </c>
      <c r="Z279" s="780">
        <f t="shared" si="234"/>
        <v>235500</v>
      </c>
      <c r="AA279" s="2007"/>
      <c r="AB279" s="2007"/>
      <c r="AC279" s="765"/>
      <c r="AD279" s="781">
        <f t="shared" si="244"/>
        <v>0</v>
      </c>
      <c r="AE279" s="778">
        <f t="shared" si="245"/>
        <v>0</v>
      </c>
      <c r="AF279" s="781">
        <f t="shared" si="246"/>
        <v>0</v>
      </c>
      <c r="AG279" s="781">
        <f t="shared" si="247"/>
        <v>0</v>
      </c>
      <c r="AH279" s="781">
        <f t="shared" si="248"/>
        <v>0</v>
      </c>
      <c r="AI279" s="782">
        <f t="shared" si="249"/>
        <v>0</v>
      </c>
      <c r="AJ279" s="781">
        <f t="shared" si="250"/>
        <v>0</v>
      </c>
      <c r="AK279" s="781">
        <f t="shared" si="251"/>
        <v>0</v>
      </c>
      <c r="AL279" s="781">
        <f t="shared" si="252"/>
        <v>0</v>
      </c>
      <c r="AM279" s="781">
        <f t="shared" si="253"/>
        <v>0</v>
      </c>
      <c r="AN279" s="781">
        <f t="shared" si="254"/>
        <v>0</v>
      </c>
      <c r="AO279" s="781">
        <f t="shared" si="255"/>
        <v>0</v>
      </c>
      <c r="AP279" s="781">
        <f t="shared" si="256"/>
        <v>0</v>
      </c>
      <c r="AQ279" s="781">
        <f t="shared" si="257"/>
        <v>0</v>
      </c>
      <c r="AR279" s="781">
        <f t="shared" si="258"/>
        <v>0</v>
      </c>
      <c r="AS279" s="783">
        <f t="shared" si="259"/>
        <v>0</v>
      </c>
      <c r="AT279" s="917"/>
      <c r="AW279" s="832"/>
      <c r="AX279" s="833" t="s">
        <v>2976</v>
      </c>
      <c r="BM279" s="2010">
        <v>150000</v>
      </c>
    </row>
    <row r="280" spans="1:65" ht="60.75" hidden="1" outlineLevel="2" thickBot="1" x14ac:dyDescent="0.3">
      <c r="A280" s="768"/>
      <c r="B280" s="719">
        <f t="shared" si="356"/>
        <v>263</v>
      </c>
      <c r="C280" s="170" t="str">
        <f t="shared" si="355"/>
        <v>50EA</v>
      </c>
      <c r="D280" s="557"/>
      <c r="E280" s="170"/>
      <c r="F280" s="721">
        <v>50</v>
      </c>
      <c r="G280" s="2007" t="s">
        <v>3327</v>
      </c>
      <c r="H280" s="1926">
        <v>0</v>
      </c>
      <c r="I280" s="2008" t="s">
        <v>732</v>
      </c>
      <c r="J280" s="1926">
        <v>0</v>
      </c>
      <c r="K280" s="1926"/>
      <c r="L280" s="170"/>
      <c r="M280" s="2009">
        <v>750</v>
      </c>
      <c r="N280" s="2010">
        <v>1</v>
      </c>
      <c r="O280" s="773">
        <f t="shared" si="232"/>
        <v>750</v>
      </c>
      <c r="P280" s="2076" t="s">
        <v>39</v>
      </c>
      <c r="Q280" s="2008" t="s">
        <v>39</v>
      </c>
      <c r="R280" s="2011" t="s">
        <v>74</v>
      </c>
      <c r="S280" s="912">
        <f>SUMIF('Data Input sheet'!$B$118:$B$180,R280,'Data Input sheet'!$D$118:$D$180)</f>
        <v>152</v>
      </c>
      <c r="T280" s="2685">
        <f t="shared" si="233"/>
        <v>114000</v>
      </c>
      <c r="U280" s="2013">
        <v>28</v>
      </c>
      <c r="V280" s="778">
        <f t="shared" si="354"/>
        <v>21000</v>
      </c>
      <c r="W280" s="2010">
        <v>1107000</v>
      </c>
      <c r="X280" s="779"/>
      <c r="Y280" s="2012">
        <v>0</v>
      </c>
      <c r="Z280" s="780">
        <f t="shared" si="234"/>
        <v>1242000</v>
      </c>
      <c r="AA280" s="2007"/>
      <c r="AB280" s="2007" t="s">
        <v>3326</v>
      </c>
      <c r="AC280" s="765"/>
      <c r="AD280" s="781">
        <f t="shared" si="244"/>
        <v>0</v>
      </c>
      <c r="AE280" s="781">
        <f t="shared" si="245"/>
        <v>0</v>
      </c>
      <c r="AF280" s="781">
        <f t="shared" si="246"/>
        <v>0</v>
      </c>
      <c r="AG280" s="781">
        <f t="shared" si="247"/>
        <v>0</v>
      </c>
      <c r="AH280" s="781">
        <f t="shared" si="248"/>
        <v>0</v>
      </c>
      <c r="AI280" s="782">
        <f t="shared" si="249"/>
        <v>0</v>
      </c>
      <c r="AJ280" s="781">
        <f t="shared" si="250"/>
        <v>0</v>
      </c>
      <c r="AK280" s="781">
        <f t="shared" si="251"/>
        <v>0</v>
      </c>
      <c r="AL280" s="781">
        <f t="shared" si="252"/>
        <v>0</v>
      </c>
      <c r="AM280" s="781">
        <f t="shared" si="253"/>
        <v>0</v>
      </c>
      <c r="AN280" s="781">
        <f t="shared" si="254"/>
        <v>0</v>
      </c>
      <c r="AO280" s="781">
        <f t="shared" si="255"/>
        <v>0</v>
      </c>
      <c r="AP280" s="781">
        <f t="shared" si="256"/>
        <v>0</v>
      </c>
      <c r="AQ280" s="781">
        <f t="shared" si="257"/>
        <v>0</v>
      </c>
      <c r="AR280" s="781">
        <f t="shared" si="258"/>
        <v>0</v>
      </c>
      <c r="AS280" s="783">
        <f t="shared" si="259"/>
        <v>0</v>
      </c>
      <c r="AX280" s="160" t="s">
        <v>3328</v>
      </c>
      <c r="BM280">
        <v>72000</v>
      </c>
    </row>
    <row r="281" spans="1:65" ht="39" hidden="1" outlineLevel="2" thickBot="1" x14ac:dyDescent="0.3">
      <c r="A281" s="784"/>
      <c r="B281" s="904">
        <f>+B279+1</f>
        <v>263</v>
      </c>
      <c r="C281" s="170" t="str">
        <f t="shared" si="355"/>
        <v>50EA</v>
      </c>
      <c r="D281" s="557"/>
      <c r="E281" s="170"/>
      <c r="F281" s="721">
        <v>50</v>
      </c>
      <c r="G281" s="2007" t="s">
        <v>1970</v>
      </c>
      <c r="H281" s="1926">
        <v>0</v>
      </c>
      <c r="I281" s="2008" t="s">
        <v>732</v>
      </c>
      <c r="J281" s="1926"/>
      <c r="K281" s="1926"/>
      <c r="L281" s="170"/>
      <c r="M281" s="2009">
        <v>600</v>
      </c>
      <c r="N281" s="2010">
        <v>1</v>
      </c>
      <c r="O281" s="773">
        <f t="shared" si="232"/>
        <v>600</v>
      </c>
      <c r="P281" s="2076" t="s">
        <v>39</v>
      </c>
      <c r="Q281" s="2008" t="s">
        <v>39</v>
      </c>
      <c r="R281" s="2011" t="s">
        <v>74</v>
      </c>
      <c r="S281" s="912">
        <f>SUMIF('Data Input sheet'!$B$118:$B$180,R281,'Data Input sheet'!$D$118:$D$180)</f>
        <v>152</v>
      </c>
      <c r="T281" s="2685">
        <f t="shared" si="233"/>
        <v>91200</v>
      </c>
      <c r="U281" s="2013">
        <v>30</v>
      </c>
      <c r="V281" s="778">
        <f t="shared" si="354"/>
        <v>18000</v>
      </c>
      <c r="W281" s="2010">
        <v>550000</v>
      </c>
      <c r="X281" s="779"/>
      <c r="Y281" s="2012">
        <v>0</v>
      </c>
      <c r="Z281" s="780">
        <f t="shared" si="234"/>
        <v>659200</v>
      </c>
      <c r="AA281" s="2007"/>
      <c r="AB281" s="2007"/>
      <c r="AC281" s="765"/>
      <c r="AD281" s="781">
        <f t="shared" si="244"/>
        <v>0</v>
      </c>
      <c r="AE281" s="778">
        <f t="shared" si="245"/>
        <v>0</v>
      </c>
      <c r="AF281" s="781">
        <f t="shared" si="246"/>
        <v>0</v>
      </c>
      <c r="AG281" s="781">
        <f t="shared" si="247"/>
        <v>0</v>
      </c>
      <c r="AH281" s="781">
        <f t="shared" si="248"/>
        <v>0</v>
      </c>
      <c r="AI281" s="782">
        <f t="shared" si="249"/>
        <v>0</v>
      </c>
      <c r="AJ281" s="781">
        <f t="shared" si="250"/>
        <v>0</v>
      </c>
      <c r="AK281" s="781">
        <f t="shared" si="251"/>
        <v>0</v>
      </c>
      <c r="AL281" s="781">
        <f t="shared" si="252"/>
        <v>0</v>
      </c>
      <c r="AM281" s="781">
        <f t="shared" si="253"/>
        <v>0</v>
      </c>
      <c r="AN281" s="781">
        <f t="shared" si="254"/>
        <v>0</v>
      </c>
      <c r="AO281" s="781">
        <f t="shared" si="255"/>
        <v>0</v>
      </c>
      <c r="AP281" s="781">
        <f t="shared" si="256"/>
        <v>0</v>
      </c>
      <c r="AQ281" s="781">
        <f t="shared" si="257"/>
        <v>0</v>
      </c>
      <c r="AR281" s="781">
        <f t="shared" si="258"/>
        <v>0</v>
      </c>
      <c r="AS281" s="783">
        <f t="shared" si="259"/>
        <v>0</v>
      </c>
      <c r="AT281" s="917"/>
      <c r="AW281" s="832"/>
      <c r="AX281" s="833" t="s">
        <v>2977</v>
      </c>
      <c r="BM281" s="2010">
        <v>550000</v>
      </c>
    </row>
    <row r="282" spans="1:65" ht="26.25" hidden="1" outlineLevel="2" thickBot="1" x14ac:dyDescent="0.3">
      <c r="A282" s="784"/>
      <c r="B282" s="904">
        <f t="shared" si="356"/>
        <v>264</v>
      </c>
      <c r="C282" s="170" t="str">
        <f t="shared" si="355"/>
        <v>50EA</v>
      </c>
      <c r="D282" s="557"/>
      <c r="E282" s="170"/>
      <c r="F282" s="721">
        <v>50</v>
      </c>
      <c r="G282" s="2007" t="s">
        <v>1971</v>
      </c>
      <c r="H282" s="1926"/>
      <c r="I282" s="2008" t="s">
        <v>732</v>
      </c>
      <c r="J282" s="1926"/>
      <c r="K282" s="1926"/>
      <c r="L282" s="170"/>
      <c r="M282" s="2009">
        <v>400</v>
      </c>
      <c r="N282" s="2010">
        <v>1</v>
      </c>
      <c r="O282" s="773">
        <f t="shared" si="232"/>
        <v>400</v>
      </c>
      <c r="P282" s="2076" t="s">
        <v>39</v>
      </c>
      <c r="Q282" s="2008" t="s">
        <v>39</v>
      </c>
      <c r="R282" s="2011" t="s">
        <v>74</v>
      </c>
      <c r="S282" s="912">
        <f>SUMIF('Data Input sheet'!$B$118:$B$180,R282,'Data Input sheet'!$D$118:$D$180)</f>
        <v>152</v>
      </c>
      <c r="T282" s="2685">
        <f t="shared" si="233"/>
        <v>60800</v>
      </c>
      <c r="U282" s="2013">
        <v>28</v>
      </c>
      <c r="V282" s="778">
        <f t="shared" si="238"/>
        <v>11200</v>
      </c>
      <c r="W282" s="2010">
        <v>416000</v>
      </c>
      <c r="X282" s="779"/>
      <c r="Y282" s="2012"/>
      <c r="Z282" s="780">
        <f t="shared" si="234"/>
        <v>488000</v>
      </c>
      <c r="AA282" s="2007"/>
      <c r="AB282" s="2007"/>
      <c r="AC282" s="765"/>
      <c r="AD282" s="781">
        <f t="shared" si="244"/>
        <v>0</v>
      </c>
      <c r="AE282" s="778">
        <f t="shared" si="245"/>
        <v>0</v>
      </c>
      <c r="AF282" s="781">
        <f t="shared" si="246"/>
        <v>0</v>
      </c>
      <c r="AG282" s="781">
        <f t="shared" si="247"/>
        <v>0</v>
      </c>
      <c r="AH282" s="781">
        <f t="shared" si="248"/>
        <v>0</v>
      </c>
      <c r="AI282" s="782">
        <f t="shared" si="249"/>
        <v>0</v>
      </c>
      <c r="AJ282" s="781">
        <f t="shared" si="250"/>
        <v>0</v>
      </c>
      <c r="AK282" s="781">
        <f t="shared" si="251"/>
        <v>0</v>
      </c>
      <c r="AL282" s="781">
        <f t="shared" si="252"/>
        <v>0</v>
      </c>
      <c r="AM282" s="781">
        <f t="shared" si="253"/>
        <v>0</v>
      </c>
      <c r="AN282" s="781">
        <f t="shared" si="254"/>
        <v>0</v>
      </c>
      <c r="AO282" s="781">
        <f t="shared" si="255"/>
        <v>0</v>
      </c>
      <c r="AP282" s="781">
        <f t="shared" si="256"/>
        <v>0</v>
      </c>
      <c r="AQ282" s="781">
        <f t="shared" si="257"/>
        <v>0</v>
      </c>
      <c r="AR282" s="781">
        <f t="shared" si="258"/>
        <v>0</v>
      </c>
      <c r="AS282" s="783">
        <f t="shared" si="259"/>
        <v>0</v>
      </c>
      <c r="AT282" s="917"/>
      <c r="AW282" s="832"/>
      <c r="AX282" s="833" t="s">
        <v>3050</v>
      </c>
      <c r="BM282" s="2010">
        <v>416000</v>
      </c>
    </row>
    <row r="283" spans="1:65" ht="15.75" hidden="1" outlineLevel="2" collapsed="1" thickBot="1" x14ac:dyDescent="0.3">
      <c r="A283" s="787"/>
      <c r="B283" s="904">
        <f>+B301+1</f>
        <v>280</v>
      </c>
      <c r="C283" s="170" t="str">
        <f t="shared" si="355"/>
        <v>0</v>
      </c>
      <c r="D283" s="906"/>
      <c r="E283" s="170"/>
      <c r="F283" s="170">
        <v>0</v>
      </c>
      <c r="G283" s="2497" t="s">
        <v>3171</v>
      </c>
      <c r="H283" s="2008"/>
      <c r="I283" s="2008"/>
      <c r="J283" s="1926"/>
      <c r="K283" s="1926"/>
      <c r="L283" s="488"/>
      <c r="M283" s="2009">
        <v>0</v>
      </c>
      <c r="N283" s="2010"/>
      <c r="O283" s="773">
        <f t="shared" ref="O283" si="357">+M283*N283</f>
        <v>0</v>
      </c>
      <c r="P283" s="2076"/>
      <c r="Q283" s="2008"/>
      <c r="R283" s="2011"/>
      <c r="S283" s="912">
        <f>SUMIF('Data Input sheet'!$B$118:$B$180,R283,'Data Input sheet'!$D$118:$D$180)</f>
        <v>0</v>
      </c>
      <c r="T283" s="2685">
        <f t="shared" ref="T283" si="358">+O283*S283</f>
        <v>0</v>
      </c>
      <c r="U283" s="2013">
        <v>0</v>
      </c>
      <c r="V283" s="778">
        <f t="shared" ref="V283" si="359">ROUND(U283*O283,0)</f>
        <v>0</v>
      </c>
      <c r="W283" s="2010"/>
      <c r="X283" s="779"/>
      <c r="Y283" s="2012">
        <v>0</v>
      </c>
      <c r="Z283" s="780">
        <f t="shared" ref="Z283" si="360">T283+V283+W283+Y283</f>
        <v>0</v>
      </c>
      <c r="AA283" s="2007"/>
      <c r="AB283" s="2007"/>
      <c r="AC283" s="765"/>
      <c r="AD283" s="781">
        <f>IF(P283="E",+ROUND(H283*O283,0),0)</f>
        <v>0</v>
      </c>
      <c r="AE283" s="778">
        <f>+AF283-AD283</f>
        <v>0</v>
      </c>
      <c r="AF283" s="781">
        <f>+H283*O283</f>
        <v>0</v>
      </c>
      <c r="AG283" s="781">
        <f>IF(P283="E",+ROUND(T283*H283,0),0)</f>
        <v>0</v>
      </c>
      <c r="AH283" s="781">
        <f>+AI283-AG283</f>
        <v>0</v>
      </c>
      <c r="AI283" s="782">
        <f>+H283*T283</f>
        <v>0</v>
      </c>
      <c r="AJ283" s="781">
        <f>IF(P283="E",+ROUND(V283*H283,0),0)</f>
        <v>0</v>
      </c>
      <c r="AK283" s="781">
        <f>+AL283-AJ283</f>
        <v>0</v>
      </c>
      <c r="AL283" s="781">
        <f>ROUND(V283*H283,0)</f>
        <v>0</v>
      </c>
      <c r="AM283" s="781">
        <f>IF(Q283="E",+ROUND(W283*H283,0),0)</f>
        <v>0</v>
      </c>
      <c r="AN283" s="781">
        <f>+AO283-AM283</f>
        <v>0</v>
      </c>
      <c r="AO283" s="781">
        <f>ROUND(W283*H283,0)</f>
        <v>0</v>
      </c>
      <c r="AP283" s="781">
        <f>IF(P283="E",+ROUND(Y283*H283,0),0)</f>
        <v>0</v>
      </c>
      <c r="AQ283" s="781">
        <f>+AR283-AP283</f>
        <v>0</v>
      </c>
      <c r="AR283" s="781">
        <f>ROUND(Y283*H283,0)</f>
        <v>0</v>
      </c>
      <c r="AS283" s="783">
        <f>+AR283+AO283+AL283+AI283</f>
        <v>0</v>
      </c>
      <c r="AT283" s="917"/>
      <c r="AV283" s="170"/>
      <c r="AW283" s="832"/>
      <c r="AX283" s="833" t="s">
        <v>3030</v>
      </c>
      <c r="BM283" s="2010"/>
    </row>
    <row r="284" spans="1:65" ht="15.75" hidden="1" outlineLevel="2" thickBot="1" x14ac:dyDescent="0.3">
      <c r="A284" s="787"/>
      <c r="B284" s="904">
        <f>+B283+1</f>
        <v>281</v>
      </c>
      <c r="C284" s="170" t="str">
        <f t="shared" si="355"/>
        <v>50EA</v>
      </c>
      <c r="D284" s="906"/>
      <c r="E284" s="170"/>
      <c r="F284" s="170">
        <v>50</v>
      </c>
      <c r="G284" s="2007" t="s">
        <v>2593</v>
      </c>
      <c r="H284" s="2008"/>
      <c r="I284" s="2008" t="s">
        <v>732</v>
      </c>
      <c r="J284" s="1926"/>
      <c r="K284" s="1926"/>
      <c r="L284" s="488"/>
      <c r="M284" s="2009">
        <v>45</v>
      </c>
      <c r="N284" s="2010">
        <v>1</v>
      </c>
      <c r="O284" s="773">
        <f>+M284*N284</f>
        <v>45</v>
      </c>
      <c r="P284" s="2076" t="s">
        <v>39</v>
      </c>
      <c r="Q284" s="2008" t="s">
        <v>39</v>
      </c>
      <c r="R284" s="2011" t="s">
        <v>74</v>
      </c>
      <c r="S284" s="912">
        <f>SUMIF('Data Input sheet'!$B$118:$B$180,R284,'Data Input sheet'!$D$118:$D$180)</f>
        <v>152</v>
      </c>
      <c r="T284" s="2685">
        <f>+O284*S284</f>
        <v>6840</v>
      </c>
      <c r="U284" s="2013"/>
      <c r="V284" s="778">
        <f>ROUND(U284*O284,0)</f>
        <v>0</v>
      </c>
      <c r="W284" s="2010">
        <f>17789*1</f>
        <v>17789</v>
      </c>
      <c r="X284" s="779"/>
      <c r="Y284" s="2012">
        <v>0</v>
      </c>
      <c r="Z284" s="780">
        <f>T284+V284+W284+Y284</f>
        <v>24629</v>
      </c>
      <c r="AA284" s="2007"/>
      <c r="AB284" s="2007"/>
      <c r="AC284" s="765"/>
      <c r="AD284" s="781">
        <f>IF(P284="E",+ROUND(H284*O284,0),0)</f>
        <v>0</v>
      </c>
      <c r="AE284" s="778">
        <f>+AF284-AD284</f>
        <v>0</v>
      </c>
      <c r="AF284" s="781">
        <f>+H284*O284</f>
        <v>0</v>
      </c>
      <c r="AG284" s="781">
        <f>IF(P284="E",+ROUND(T284*H284,0),0)</f>
        <v>0</v>
      </c>
      <c r="AH284" s="781">
        <f>+AI284-AG284</f>
        <v>0</v>
      </c>
      <c r="AI284" s="782">
        <f>+H284*T284</f>
        <v>0</v>
      </c>
      <c r="AJ284" s="781">
        <f>IF(P284="E",+ROUND(V284*H284,0),0)</f>
        <v>0</v>
      </c>
      <c r="AK284" s="781">
        <f>+AL284-AJ284</f>
        <v>0</v>
      </c>
      <c r="AL284" s="781">
        <f>ROUND(V284*H284,0)</f>
        <v>0</v>
      </c>
      <c r="AM284" s="781">
        <f>IF(Q284="E",+ROUND(W284*H284,0),0)</f>
        <v>0</v>
      </c>
      <c r="AN284" s="781">
        <f>+AO284-AM284</f>
        <v>0</v>
      </c>
      <c r="AO284" s="781">
        <f>ROUND(W284*H284,0)</f>
        <v>0</v>
      </c>
      <c r="AP284" s="781">
        <f>IF(P284="E",+ROUND(Y284*H284,0),0)</f>
        <v>0</v>
      </c>
      <c r="AQ284" s="781">
        <f>+AR284-AP284</f>
        <v>0</v>
      </c>
      <c r="AR284" s="781">
        <f>ROUND(Y284*H284,0)</f>
        <v>0</v>
      </c>
      <c r="AS284" s="783">
        <f>+AR284+AO284+AL284+AI284</f>
        <v>0</v>
      </c>
      <c r="AT284" s="917"/>
      <c r="AV284" s="170"/>
      <c r="AW284" s="832"/>
      <c r="AX284" s="833" t="s">
        <v>3070</v>
      </c>
      <c r="BM284" s="2010">
        <f>17789*1</f>
        <v>17789</v>
      </c>
    </row>
    <row r="285" spans="1:65" ht="26.25" hidden="1" outlineLevel="2" thickBot="1" x14ac:dyDescent="0.3">
      <c r="A285" s="787"/>
      <c r="B285" s="904">
        <f>+B284+1</f>
        <v>282</v>
      </c>
      <c r="C285" s="170" t="str">
        <f t="shared" si="355"/>
        <v>50EA</v>
      </c>
      <c r="D285" s="906"/>
      <c r="E285" s="170"/>
      <c r="F285" s="170">
        <v>50</v>
      </c>
      <c r="G285" s="2007" t="s">
        <v>2592</v>
      </c>
      <c r="H285" s="2008"/>
      <c r="I285" s="2008" t="s">
        <v>732</v>
      </c>
      <c r="J285" s="1926"/>
      <c r="K285" s="1926"/>
      <c r="L285" s="488"/>
      <c r="M285" s="2009">
        <v>75</v>
      </c>
      <c r="N285" s="2010">
        <v>1</v>
      </c>
      <c r="O285" s="773">
        <f>+M285*N285</f>
        <v>75</v>
      </c>
      <c r="P285" s="2076" t="s">
        <v>39</v>
      </c>
      <c r="Q285" s="2008" t="s">
        <v>39</v>
      </c>
      <c r="R285" s="2011" t="s">
        <v>74</v>
      </c>
      <c r="S285" s="912">
        <f>SUMIF('Data Input sheet'!$B$118:$B$180,R285,'Data Input sheet'!$D$118:$D$180)</f>
        <v>152</v>
      </c>
      <c r="T285" s="2685">
        <f>+O285*S285</f>
        <v>11400</v>
      </c>
      <c r="U285" s="2013"/>
      <c r="V285" s="778">
        <f>ROUND(U285*O285,0)</f>
        <v>0</v>
      </c>
      <c r="W285" s="2010">
        <f>53367*1</f>
        <v>53367</v>
      </c>
      <c r="X285" s="779"/>
      <c r="Y285" s="2012">
        <v>0</v>
      </c>
      <c r="Z285" s="780">
        <f>T285+V285+W285+Y285</f>
        <v>64767</v>
      </c>
      <c r="AA285" s="2007"/>
      <c r="AB285" s="2007"/>
      <c r="AC285" s="765"/>
      <c r="AD285" s="781">
        <f>IF(P285="E",+ROUND(H285*O285,0),0)</f>
        <v>0</v>
      </c>
      <c r="AE285" s="778">
        <f>+AF285-AD285</f>
        <v>0</v>
      </c>
      <c r="AF285" s="781">
        <f>+H285*O285</f>
        <v>0</v>
      </c>
      <c r="AG285" s="781">
        <f>IF(P285="E",+ROUND(T285*H285,0),0)</f>
        <v>0</v>
      </c>
      <c r="AH285" s="781">
        <f>+AI285-AG285</f>
        <v>0</v>
      </c>
      <c r="AI285" s="782">
        <f>+H285*T285</f>
        <v>0</v>
      </c>
      <c r="AJ285" s="781">
        <f>IF(P285="E",+ROUND(V285*H285,0),0)</f>
        <v>0</v>
      </c>
      <c r="AK285" s="781">
        <f>+AL285-AJ285</f>
        <v>0</v>
      </c>
      <c r="AL285" s="781">
        <f>ROUND(V285*H285,0)</f>
        <v>0</v>
      </c>
      <c r="AM285" s="781">
        <f>IF(Q285="E",+ROUND(W285*H285,0),0)</f>
        <v>0</v>
      </c>
      <c r="AN285" s="781">
        <f>+AO285-AM285</f>
        <v>0</v>
      </c>
      <c r="AO285" s="781">
        <f>ROUND(W285*H285,0)</f>
        <v>0</v>
      </c>
      <c r="AP285" s="781">
        <f>IF(P285="E",+ROUND(Y285*H285,0),0)</f>
        <v>0</v>
      </c>
      <c r="AQ285" s="781">
        <f>+AR285-AP285</f>
        <v>0</v>
      </c>
      <c r="AR285" s="781">
        <f>ROUND(Y285*H285,0)</f>
        <v>0</v>
      </c>
      <c r="AS285" s="783">
        <f>+AR285+AO285+AL285+AI285</f>
        <v>0</v>
      </c>
      <c r="AT285" s="917"/>
      <c r="AV285" s="170"/>
      <c r="AW285" s="832"/>
      <c r="AX285" s="833" t="s">
        <v>3052</v>
      </c>
      <c r="BM285" s="2010">
        <f>53367*1</f>
        <v>53367</v>
      </c>
    </row>
    <row r="286" spans="1:65" ht="15.75" hidden="1" outlineLevel="2" thickBot="1" x14ac:dyDescent="0.3">
      <c r="A286" s="787"/>
      <c r="B286" s="904">
        <f>+B285+1</f>
        <v>283</v>
      </c>
      <c r="C286" s="170" t="str">
        <f t="shared" si="355"/>
        <v>50LS</v>
      </c>
      <c r="D286" s="906"/>
      <c r="E286" s="170"/>
      <c r="F286" s="170">
        <v>50</v>
      </c>
      <c r="G286" s="2007" t="s">
        <v>2594</v>
      </c>
      <c r="H286" s="2008"/>
      <c r="I286" s="2008" t="s">
        <v>640</v>
      </c>
      <c r="J286" s="1926"/>
      <c r="K286" s="1926"/>
      <c r="L286" s="488"/>
      <c r="M286" s="2009">
        <v>0</v>
      </c>
      <c r="N286" s="2010">
        <v>1</v>
      </c>
      <c r="O286" s="773">
        <f>+M286*N286</f>
        <v>0</v>
      </c>
      <c r="P286" s="2076" t="s">
        <v>39</v>
      </c>
      <c r="Q286" s="2008" t="s">
        <v>39</v>
      </c>
      <c r="R286" s="2011" t="s">
        <v>74</v>
      </c>
      <c r="S286" s="912">
        <f>SUMIF('Data Input sheet'!$B$118:$B$180,R286,'Data Input sheet'!$D$118:$D$180)</f>
        <v>152</v>
      </c>
      <c r="T286" s="2685">
        <f>+O286*S286</f>
        <v>0</v>
      </c>
      <c r="U286" s="2013">
        <v>0</v>
      </c>
      <c r="V286" s="778">
        <f>ROUND(U286*O286,0)</f>
        <v>0</v>
      </c>
      <c r="W286" s="2010"/>
      <c r="X286" s="779"/>
      <c r="Y286" s="2010">
        <v>10000</v>
      </c>
      <c r="Z286" s="780">
        <f>T286+V286+W286+Y286</f>
        <v>10000</v>
      </c>
      <c r="AA286" s="2007"/>
      <c r="AB286" s="2007"/>
      <c r="AC286" s="765"/>
      <c r="AD286" s="781">
        <f>IF(P286="E",+ROUND(H286*O286,0),0)</f>
        <v>0</v>
      </c>
      <c r="AE286" s="778">
        <f>+AF286-AD286</f>
        <v>0</v>
      </c>
      <c r="AF286" s="781">
        <f>+H286*O286</f>
        <v>0</v>
      </c>
      <c r="AG286" s="781">
        <f>IF(P286="E",+ROUND(T286*H286,0),0)</f>
        <v>0</v>
      </c>
      <c r="AH286" s="781">
        <f>+AI286-AG286</f>
        <v>0</v>
      </c>
      <c r="AI286" s="782">
        <f>+H286*T286</f>
        <v>0</v>
      </c>
      <c r="AJ286" s="781">
        <f>IF(P286="E",+ROUND(V286*H286,0),0)</f>
        <v>0</v>
      </c>
      <c r="AK286" s="781">
        <f>+AL286-AJ286</f>
        <v>0</v>
      </c>
      <c r="AL286" s="781">
        <f>ROUND(V286*H286,0)</f>
        <v>0</v>
      </c>
      <c r="AM286" s="781">
        <f>IF(Q286="E",+ROUND(W286*H286,0),0)</f>
        <v>0</v>
      </c>
      <c r="AN286" s="781">
        <f>+AO286-AM286</f>
        <v>0</v>
      </c>
      <c r="AO286" s="781">
        <f>ROUND(W286*H286,0)</f>
        <v>0</v>
      </c>
      <c r="AP286" s="781">
        <f>IF(P286="E",+ROUND(Y286*H286,0),0)</f>
        <v>0</v>
      </c>
      <c r="AQ286" s="781">
        <f>+AR286-AP286</f>
        <v>0</v>
      </c>
      <c r="AR286" s="781">
        <f>ROUND(Y286*H286,0)</f>
        <v>0</v>
      </c>
      <c r="AS286" s="783">
        <f>+AR286+AO286+AL286+AI286</f>
        <v>0</v>
      </c>
      <c r="AT286" s="917"/>
      <c r="AV286" s="170"/>
      <c r="AW286" s="832"/>
      <c r="AX286" s="833" t="s">
        <v>2595</v>
      </c>
      <c r="BM286" s="2010"/>
    </row>
    <row r="287" spans="1:65" ht="15.75" hidden="1" outlineLevel="2" thickBot="1" x14ac:dyDescent="0.3">
      <c r="A287" s="784"/>
      <c r="B287" s="904">
        <f>+B282+1</f>
        <v>265</v>
      </c>
      <c r="C287" s="170" t="str">
        <f t="shared" si="355"/>
        <v/>
      </c>
      <c r="D287" s="557"/>
      <c r="E287" s="170"/>
      <c r="F287" s="721"/>
      <c r="G287" s="2491" t="s">
        <v>1850</v>
      </c>
      <c r="H287" s="2008"/>
      <c r="I287" s="2008"/>
      <c r="J287" s="1926"/>
      <c r="K287" s="1926"/>
      <c r="L287" s="170"/>
      <c r="M287" s="2009"/>
      <c r="N287" s="2010"/>
      <c r="O287" s="773"/>
      <c r="P287" s="2076"/>
      <c r="Q287" s="2008"/>
      <c r="R287" s="2011"/>
      <c r="S287" s="912">
        <f>SUMIF('Data Input sheet'!$B$118:$B$180,R287,'Data Input sheet'!$D$118:$D$180)</f>
        <v>0</v>
      </c>
      <c r="T287" s="2685"/>
      <c r="U287" s="2013">
        <v>0</v>
      </c>
      <c r="V287" s="778">
        <f t="shared" ref="V287:V301" si="361">ROUND(U287*O287,0)</f>
        <v>0</v>
      </c>
      <c r="W287" s="2010"/>
      <c r="X287" s="779"/>
      <c r="Y287" s="2012"/>
      <c r="Z287" s="780"/>
      <c r="AA287" s="2007"/>
      <c r="AB287" s="2007"/>
      <c r="AC287" s="765"/>
      <c r="AD287" s="781">
        <f t="shared" ref="AD287:AD317" si="362">IF(P287="E",+ROUND(H287*O287,0),0)</f>
        <v>0</v>
      </c>
      <c r="AE287" s="778">
        <f t="shared" ref="AE287:AE317" si="363">+AF287-AD287</f>
        <v>0</v>
      </c>
      <c r="AF287" s="781">
        <f t="shared" ref="AF287:AF317" si="364">+H287*O287</f>
        <v>0</v>
      </c>
      <c r="AG287" s="781">
        <f t="shared" ref="AG287:AG317" si="365">IF(P287="E",+ROUND(T287*H287,0),0)</f>
        <v>0</v>
      </c>
      <c r="AH287" s="781">
        <f t="shared" ref="AH287:AH317" si="366">+AI287-AG287</f>
        <v>0</v>
      </c>
      <c r="AI287" s="782">
        <f t="shared" ref="AI287:AI317" si="367">+H287*T287</f>
        <v>0</v>
      </c>
      <c r="AJ287" s="781">
        <f t="shared" ref="AJ287:AJ317" si="368">IF(P287="E",+ROUND(V287*H287,0),0)</f>
        <v>0</v>
      </c>
      <c r="AK287" s="781">
        <f t="shared" ref="AK287:AK317" si="369">+AL287-AJ287</f>
        <v>0</v>
      </c>
      <c r="AL287" s="781">
        <f t="shared" ref="AL287:AL317" si="370">ROUND(V287*H287,0)</f>
        <v>0</v>
      </c>
      <c r="AM287" s="781">
        <f t="shared" ref="AM287:AM317" si="371">IF(Q287="E",+ROUND(W287*H287,0),0)</f>
        <v>0</v>
      </c>
      <c r="AN287" s="781">
        <f t="shared" ref="AN287:AN317" si="372">+AO287-AM287</f>
        <v>0</v>
      </c>
      <c r="AO287" s="781">
        <f t="shared" ref="AO287:AO317" si="373">ROUND(W287*H287,0)</f>
        <v>0</v>
      </c>
      <c r="AP287" s="781">
        <f t="shared" ref="AP287:AP317" si="374">IF(P287="E",+ROUND(Y287*H287,0),0)</f>
        <v>0</v>
      </c>
      <c r="AQ287" s="781">
        <f t="shared" ref="AQ287:AQ317" si="375">+AR287-AP287</f>
        <v>0</v>
      </c>
      <c r="AR287" s="781">
        <f t="shared" ref="AR287:AR317" si="376">ROUND(Y287*H287,0)</f>
        <v>0</v>
      </c>
      <c r="AS287" s="783">
        <f t="shared" ref="AS287:AS317" si="377">+AR287+AO287+AL287+AI287</f>
        <v>0</v>
      </c>
      <c r="AT287" s="917"/>
      <c r="AW287" s="832"/>
      <c r="AX287" s="833" t="s">
        <v>3030</v>
      </c>
      <c r="BM287" s="2010"/>
    </row>
    <row r="288" spans="1:65" ht="15.75" hidden="1" outlineLevel="2" thickBot="1" x14ac:dyDescent="0.3">
      <c r="A288" s="784"/>
      <c r="B288" s="904">
        <f t="shared" si="356"/>
        <v>266</v>
      </c>
      <c r="C288" s="170" t="str">
        <f t="shared" si="355"/>
        <v>50EA</v>
      </c>
      <c r="D288" s="557"/>
      <c r="E288" s="170"/>
      <c r="F288" s="721">
        <v>50</v>
      </c>
      <c r="G288" s="2509" t="s">
        <v>1851</v>
      </c>
      <c r="H288" s="2039"/>
      <c r="I288" s="2008" t="s">
        <v>732</v>
      </c>
      <c r="J288" s="2039"/>
      <c r="K288" s="2039"/>
      <c r="L288" s="488"/>
      <c r="M288" s="2041">
        <v>0</v>
      </c>
      <c r="N288" s="2043">
        <v>1</v>
      </c>
      <c r="O288" s="1967">
        <f>+M288*N288</f>
        <v>0</v>
      </c>
      <c r="P288" s="2076" t="s">
        <v>39</v>
      </c>
      <c r="Q288" s="2008" t="s">
        <v>39</v>
      </c>
      <c r="R288" s="2011" t="s">
        <v>74</v>
      </c>
      <c r="S288" s="912">
        <f>SUMIF('Data Input sheet'!$B$118:$B$180,R288,'Data Input sheet'!$D$118:$D$180)</f>
        <v>152</v>
      </c>
      <c r="T288" s="2686">
        <f t="shared" ref="T288:T289" si="378">ROUND(O288*S288,0)</f>
        <v>0</v>
      </c>
      <c r="U288" s="2042">
        <v>14.8</v>
      </c>
      <c r="V288" s="1981">
        <f t="shared" si="361"/>
        <v>0</v>
      </c>
      <c r="W288" s="2046">
        <v>33934</v>
      </c>
      <c r="X288" s="2502"/>
      <c r="Y288" s="2047">
        <v>0</v>
      </c>
      <c r="Z288" s="780">
        <f>T288+V288+W288+Y288</f>
        <v>33934</v>
      </c>
      <c r="AA288" s="2007"/>
      <c r="AB288" s="2007"/>
      <c r="AC288" s="765"/>
      <c r="AD288" s="781">
        <f t="shared" si="362"/>
        <v>0</v>
      </c>
      <c r="AE288" s="778">
        <f t="shared" si="363"/>
        <v>0</v>
      </c>
      <c r="AF288" s="781">
        <f t="shared" si="364"/>
        <v>0</v>
      </c>
      <c r="AG288" s="781">
        <f t="shared" si="365"/>
        <v>0</v>
      </c>
      <c r="AH288" s="781">
        <f t="shared" si="366"/>
        <v>0</v>
      </c>
      <c r="AI288" s="782">
        <f t="shared" si="367"/>
        <v>0</v>
      </c>
      <c r="AJ288" s="781">
        <f t="shared" si="368"/>
        <v>0</v>
      </c>
      <c r="AK288" s="781">
        <f t="shared" si="369"/>
        <v>0</v>
      </c>
      <c r="AL288" s="781">
        <f t="shared" si="370"/>
        <v>0</v>
      </c>
      <c r="AM288" s="781">
        <f t="shared" si="371"/>
        <v>0</v>
      </c>
      <c r="AN288" s="781">
        <f t="shared" si="372"/>
        <v>0</v>
      </c>
      <c r="AO288" s="781">
        <f t="shared" si="373"/>
        <v>0</v>
      </c>
      <c r="AP288" s="781">
        <f t="shared" si="374"/>
        <v>0</v>
      </c>
      <c r="AQ288" s="781">
        <f t="shared" si="375"/>
        <v>0</v>
      </c>
      <c r="AR288" s="781">
        <f t="shared" si="376"/>
        <v>0</v>
      </c>
      <c r="AS288" s="783">
        <f t="shared" si="377"/>
        <v>0</v>
      </c>
    </row>
    <row r="289" spans="1:65" ht="15.75" hidden="1" outlineLevel="2" thickBot="1" x14ac:dyDescent="0.3">
      <c r="A289" s="784"/>
      <c r="B289" s="904">
        <f t="shared" si="356"/>
        <v>267</v>
      </c>
      <c r="C289" s="170" t="str">
        <f t="shared" si="355"/>
        <v>50EA</v>
      </c>
      <c r="D289" s="557"/>
      <c r="E289" s="170"/>
      <c r="F289" s="721">
        <v>50</v>
      </c>
      <c r="G289" s="2509" t="s">
        <v>1852</v>
      </c>
      <c r="H289" s="2039"/>
      <c r="I289" s="2008" t="s">
        <v>732</v>
      </c>
      <c r="J289" s="2039"/>
      <c r="K289" s="2039"/>
      <c r="L289" s="488"/>
      <c r="M289" s="2041">
        <v>0</v>
      </c>
      <c r="N289" s="2043">
        <v>1</v>
      </c>
      <c r="O289" s="1967">
        <f>+M289*N289</f>
        <v>0</v>
      </c>
      <c r="P289" s="2076" t="s">
        <v>39</v>
      </c>
      <c r="Q289" s="2008" t="s">
        <v>39</v>
      </c>
      <c r="R289" s="2011" t="s">
        <v>74</v>
      </c>
      <c r="S289" s="912">
        <f>SUMIF('Data Input sheet'!$B$118:$B$180,R289,'Data Input sheet'!$D$118:$D$180)</f>
        <v>152</v>
      </c>
      <c r="T289" s="2686">
        <f t="shared" si="378"/>
        <v>0</v>
      </c>
      <c r="U289" s="2042">
        <v>14.8</v>
      </c>
      <c r="V289" s="1981">
        <f t="shared" si="361"/>
        <v>0</v>
      </c>
      <c r="W289" s="2046">
        <v>30469</v>
      </c>
      <c r="X289" s="2502"/>
      <c r="Y289" s="2047">
        <v>0</v>
      </c>
      <c r="Z289" s="780">
        <f>T289+V289+W289+Y289</f>
        <v>30469</v>
      </c>
      <c r="AA289" s="2007"/>
      <c r="AB289" s="2007"/>
      <c r="AC289" s="765"/>
      <c r="AD289" s="781">
        <f t="shared" si="362"/>
        <v>0</v>
      </c>
      <c r="AE289" s="778">
        <f t="shared" si="363"/>
        <v>0</v>
      </c>
      <c r="AF289" s="781">
        <f t="shared" si="364"/>
        <v>0</v>
      </c>
      <c r="AG289" s="781">
        <f t="shared" si="365"/>
        <v>0</v>
      </c>
      <c r="AH289" s="781">
        <f t="shared" si="366"/>
        <v>0</v>
      </c>
      <c r="AI289" s="782">
        <f t="shared" si="367"/>
        <v>0</v>
      </c>
      <c r="AJ289" s="781">
        <f t="shared" si="368"/>
        <v>0</v>
      </c>
      <c r="AK289" s="781">
        <f t="shared" si="369"/>
        <v>0</v>
      </c>
      <c r="AL289" s="781">
        <f t="shared" si="370"/>
        <v>0</v>
      </c>
      <c r="AM289" s="781">
        <f t="shared" si="371"/>
        <v>0</v>
      </c>
      <c r="AN289" s="781">
        <f t="shared" si="372"/>
        <v>0</v>
      </c>
      <c r="AO289" s="781">
        <f t="shared" si="373"/>
        <v>0</v>
      </c>
      <c r="AP289" s="781">
        <f t="shared" si="374"/>
        <v>0</v>
      </c>
      <c r="AQ289" s="781">
        <f t="shared" si="375"/>
        <v>0</v>
      </c>
      <c r="AR289" s="781">
        <f t="shared" si="376"/>
        <v>0</v>
      </c>
      <c r="AS289" s="783">
        <f t="shared" si="377"/>
        <v>0</v>
      </c>
    </row>
    <row r="290" spans="1:65" ht="15.75" hidden="1" outlineLevel="2" thickBot="1" x14ac:dyDescent="0.3">
      <c r="A290" s="784"/>
      <c r="B290" s="904">
        <f t="shared" si="356"/>
        <v>268</v>
      </c>
      <c r="C290" s="170" t="str">
        <f t="shared" si="355"/>
        <v/>
      </c>
      <c r="D290" s="557"/>
      <c r="E290" s="170"/>
      <c r="F290" s="721"/>
      <c r="G290" s="2491" t="s">
        <v>3122</v>
      </c>
      <c r="H290" s="2008"/>
      <c r="I290" s="2008"/>
      <c r="J290" s="1926"/>
      <c r="K290" s="1926"/>
      <c r="L290" s="170"/>
      <c r="M290" s="2009"/>
      <c r="N290" s="2010"/>
      <c r="O290" s="773"/>
      <c r="P290" s="2076"/>
      <c r="Q290" s="2008"/>
      <c r="R290" s="2011"/>
      <c r="S290" s="912">
        <f>SUMIF('Data Input sheet'!$B$118:$B$180,R290,'Data Input sheet'!$D$118:$D$180)</f>
        <v>0</v>
      </c>
      <c r="T290" s="2685"/>
      <c r="U290" s="2013">
        <v>0</v>
      </c>
      <c r="V290" s="778">
        <f t="shared" si="361"/>
        <v>0</v>
      </c>
      <c r="W290" s="2010"/>
      <c r="X290" s="779"/>
      <c r="Y290" s="2012"/>
      <c r="Z290" s="780"/>
      <c r="AA290" s="2007"/>
      <c r="AB290" s="2007"/>
      <c r="AC290" s="765"/>
      <c r="AD290" s="781">
        <f t="shared" si="362"/>
        <v>0</v>
      </c>
      <c r="AE290" s="778">
        <f t="shared" si="363"/>
        <v>0</v>
      </c>
      <c r="AF290" s="781">
        <f t="shared" si="364"/>
        <v>0</v>
      </c>
      <c r="AG290" s="781">
        <f t="shared" si="365"/>
        <v>0</v>
      </c>
      <c r="AH290" s="781">
        <f t="shared" si="366"/>
        <v>0</v>
      </c>
      <c r="AI290" s="782">
        <f t="shared" si="367"/>
        <v>0</v>
      </c>
      <c r="AJ290" s="781">
        <f t="shared" si="368"/>
        <v>0</v>
      </c>
      <c r="AK290" s="781">
        <f t="shared" si="369"/>
        <v>0</v>
      </c>
      <c r="AL290" s="781">
        <f t="shared" si="370"/>
        <v>0</v>
      </c>
      <c r="AM290" s="781">
        <f t="shared" si="371"/>
        <v>0</v>
      </c>
      <c r="AN290" s="781">
        <f t="shared" si="372"/>
        <v>0</v>
      </c>
      <c r="AO290" s="781">
        <f t="shared" si="373"/>
        <v>0</v>
      </c>
      <c r="AP290" s="781">
        <f t="shared" si="374"/>
        <v>0</v>
      </c>
      <c r="AQ290" s="781">
        <f t="shared" si="375"/>
        <v>0</v>
      </c>
      <c r="AR290" s="781">
        <f t="shared" si="376"/>
        <v>0</v>
      </c>
      <c r="AS290" s="783">
        <f t="shared" si="377"/>
        <v>0</v>
      </c>
      <c r="AT290" s="917"/>
      <c r="AW290" s="832"/>
      <c r="AX290" s="833" t="s">
        <v>3030</v>
      </c>
      <c r="BM290" s="2010"/>
    </row>
    <row r="291" spans="1:65" ht="26.25" hidden="1" outlineLevel="2" thickBot="1" x14ac:dyDescent="0.3">
      <c r="A291" s="784"/>
      <c r="B291" s="904">
        <f t="shared" si="356"/>
        <v>269</v>
      </c>
      <c r="C291" s="170" t="str">
        <f t="shared" si="355"/>
        <v>50EA</v>
      </c>
      <c r="D291" s="557"/>
      <c r="E291" s="170"/>
      <c r="F291" s="721">
        <v>50</v>
      </c>
      <c r="G291" s="2007" t="s">
        <v>3123</v>
      </c>
      <c r="H291" s="2008"/>
      <c r="I291" s="2008" t="s">
        <v>732</v>
      </c>
      <c r="J291" s="1926"/>
      <c r="K291" s="1926"/>
      <c r="L291" s="170"/>
      <c r="M291" s="2009">
        <v>500</v>
      </c>
      <c r="N291" s="2010">
        <v>1</v>
      </c>
      <c r="O291" s="773">
        <f t="shared" ref="O291:O296" si="379">+M291*N291</f>
        <v>500</v>
      </c>
      <c r="P291" s="2076" t="s">
        <v>39</v>
      </c>
      <c r="Q291" s="2008" t="s">
        <v>39</v>
      </c>
      <c r="R291" s="2011" t="s">
        <v>74</v>
      </c>
      <c r="S291" s="912">
        <f>SUMIF('Data Input sheet'!$B$118:$B$180,R291,'Data Input sheet'!$D$118:$D$180)</f>
        <v>152</v>
      </c>
      <c r="T291" s="2685">
        <f>+O291*S291</f>
        <v>76000</v>
      </c>
      <c r="U291" s="2042">
        <v>14.8</v>
      </c>
      <c r="V291" s="778">
        <f t="shared" si="361"/>
        <v>7400</v>
      </c>
      <c r="W291" s="2010">
        <v>23997</v>
      </c>
      <c r="X291" s="779"/>
      <c r="Y291" s="2012"/>
      <c r="Z291" s="780">
        <f t="shared" ref="Z291:Z296" si="380">T291+V291+W291+Y291</f>
        <v>107397</v>
      </c>
      <c r="AA291" s="2007"/>
      <c r="AB291" s="2007" t="s">
        <v>3124</v>
      </c>
      <c r="AC291" s="765"/>
      <c r="AD291" s="781">
        <f t="shared" si="362"/>
        <v>0</v>
      </c>
      <c r="AE291" s="778">
        <f t="shared" si="363"/>
        <v>0</v>
      </c>
      <c r="AF291" s="781">
        <f t="shared" si="364"/>
        <v>0</v>
      </c>
      <c r="AG291" s="781">
        <f t="shared" si="365"/>
        <v>0</v>
      </c>
      <c r="AH291" s="781">
        <f t="shared" si="366"/>
        <v>0</v>
      </c>
      <c r="AI291" s="782">
        <f t="shared" si="367"/>
        <v>0</v>
      </c>
      <c r="AJ291" s="781">
        <f t="shared" si="368"/>
        <v>0</v>
      </c>
      <c r="AK291" s="781">
        <f t="shared" si="369"/>
        <v>0</v>
      </c>
      <c r="AL291" s="781">
        <f t="shared" si="370"/>
        <v>0</v>
      </c>
      <c r="AM291" s="781">
        <f t="shared" si="371"/>
        <v>0</v>
      </c>
      <c r="AN291" s="781">
        <f t="shared" si="372"/>
        <v>0</v>
      </c>
      <c r="AO291" s="781">
        <f t="shared" si="373"/>
        <v>0</v>
      </c>
      <c r="AP291" s="781">
        <f t="shared" si="374"/>
        <v>0</v>
      </c>
      <c r="AQ291" s="781">
        <f t="shared" si="375"/>
        <v>0</v>
      </c>
      <c r="AR291" s="781">
        <f t="shared" si="376"/>
        <v>0</v>
      </c>
      <c r="AS291" s="783">
        <f t="shared" si="377"/>
        <v>0</v>
      </c>
      <c r="AT291" s="917"/>
      <c r="AW291" s="832"/>
      <c r="AX291" s="833" t="s">
        <v>3121</v>
      </c>
      <c r="BM291" s="2010"/>
    </row>
    <row r="292" spans="1:65" ht="15.75" hidden="1" outlineLevel="2" thickBot="1" x14ac:dyDescent="0.3">
      <c r="A292" s="784"/>
      <c r="B292" s="904">
        <f t="shared" si="356"/>
        <v>270</v>
      </c>
      <c r="C292" s="170" t="str">
        <f t="shared" si="355"/>
        <v>50EA</v>
      </c>
      <c r="D292" s="557"/>
      <c r="E292" s="170"/>
      <c r="F292" s="721">
        <v>50</v>
      </c>
      <c r="G292" s="2509" t="s">
        <v>3175</v>
      </c>
      <c r="H292" s="2039"/>
      <c r="I292" s="2008" t="s">
        <v>732</v>
      </c>
      <c r="J292" s="2039"/>
      <c r="K292" s="2039"/>
      <c r="L292" s="488"/>
      <c r="M292" s="2041">
        <v>0</v>
      </c>
      <c r="N292" s="2043">
        <v>1</v>
      </c>
      <c r="O292" s="1967">
        <f t="shared" si="379"/>
        <v>0</v>
      </c>
      <c r="P292" s="2076" t="s">
        <v>39</v>
      </c>
      <c r="Q292" s="2008" t="s">
        <v>39</v>
      </c>
      <c r="R292" s="2011" t="s">
        <v>74</v>
      </c>
      <c r="S292" s="912">
        <f>SUMIF('Data Input sheet'!$B$118:$B$180,R292,'Data Input sheet'!$D$118:$D$180)</f>
        <v>152</v>
      </c>
      <c r="T292" s="2686">
        <f t="shared" ref="T292" si="381">ROUND(O292*S292,0)</f>
        <v>0</v>
      </c>
      <c r="U292" s="2042">
        <v>14.8</v>
      </c>
      <c r="V292" s="1981">
        <f t="shared" si="361"/>
        <v>0</v>
      </c>
      <c r="W292" s="2046">
        <v>21000</v>
      </c>
      <c r="X292" s="2502"/>
      <c r="Y292" s="2047">
        <v>0</v>
      </c>
      <c r="Z292" s="780">
        <f t="shared" si="380"/>
        <v>21000</v>
      </c>
      <c r="AA292" s="2007"/>
      <c r="AB292" s="2007"/>
      <c r="AC292" s="765"/>
      <c r="AD292" s="781">
        <f t="shared" si="362"/>
        <v>0</v>
      </c>
      <c r="AE292" s="778">
        <f t="shared" si="363"/>
        <v>0</v>
      </c>
      <c r="AF292" s="781">
        <f t="shared" si="364"/>
        <v>0</v>
      </c>
      <c r="AG292" s="781">
        <f t="shared" si="365"/>
        <v>0</v>
      </c>
      <c r="AH292" s="781">
        <f t="shared" si="366"/>
        <v>0</v>
      </c>
      <c r="AI292" s="782">
        <f t="shared" si="367"/>
        <v>0</v>
      </c>
      <c r="AJ292" s="781">
        <f t="shared" si="368"/>
        <v>0</v>
      </c>
      <c r="AK292" s="781">
        <f t="shared" si="369"/>
        <v>0</v>
      </c>
      <c r="AL292" s="781">
        <f t="shared" si="370"/>
        <v>0</v>
      </c>
      <c r="AM292" s="781">
        <f t="shared" si="371"/>
        <v>0</v>
      </c>
      <c r="AN292" s="781">
        <f t="shared" si="372"/>
        <v>0</v>
      </c>
      <c r="AO292" s="781">
        <f t="shared" si="373"/>
        <v>0</v>
      </c>
      <c r="AP292" s="781">
        <f t="shared" si="374"/>
        <v>0</v>
      </c>
      <c r="AQ292" s="781">
        <f t="shared" si="375"/>
        <v>0</v>
      </c>
      <c r="AR292" s="781">
        <f t="shared" si="376"/>
        <v>0</v>
      </c>
      <c r="AS292" s="783">
        <f t="shared" si="377"/>
        <v>0</v>
      </c>
    </row>
    <row r="293" spans="1:65" ht="15.75" hidden="1" outlineLevel="2" thickBot="1" x14ac:dyDescent="0.3">
      <c r="A293" s="784"/>
      <c r="B293" s="904">
        <f t="shared" si="356"/>
        <v>271</v>
      </c>
      <c r="C293" s="170" t="str">
        <f t="shared" si="355"/>
        <v/>
      </c>
      <c r="D293" s="557"/>
      <c r="E293" s="170"/>
      <c r="F293" s="721"/>
      <c r="G293" s="2491" t="s">
        <v>1853</v>
      </c>
      <c r="H293" s="2039"/>
      <c r="I293" s="2008"/>
      <c r="J293" s="2039"/>
      <c r="K293" s="2039"/>
      <c r="L293" s="488"/>
      <c r="M293" s="2041">
        <v>0</v>
      </c>
      <c r="N293" s="2043"/>
      <c r="O293" s="2499">
        <f t="shared" si="379"/>
        <v>0</v>
      </c>
      <c r="P293" s="2076"/>
      <c r="Q293" s="2008"/>
      <c r="R293" s="2011"/>
      <c r="S293" s="912">
        <f>SUMIF('Data Input sheet'!$B$118:$B$180,R293,'Data Input sheet'!$D$118:$D$180)</f>
        <v>0</v>
      </c>
      <c r="T293" s="2686">
        <f t="shared" ref="T293:T296" si="382">ROUND(O293*S293,0)</f>
        <v>0</v>
      </c>
      <c r="U293" s="2042"/>
      <c r="V293" s="2501">
        <f t="shared" si="361"/>
        <v>0</v>
      </c>
      <c r="W293" s="2046"/>
      <c r="X293" s="2502"/>
      <c r="Y293" s="2047">
        <v>0</v>
      </c>
      <c r="Z293" s="2500">
        <f t="shared" si="380"/>
        <v>0</v>
      </c>
      <c r="AA293" s="2007"/>
      <c r="AB293" s="2007"/>
      <c r="AC293" s="765"/>
      <c r="AD293" s="781">
        <f t="shared" si="362"/>
        <v>0</v>
      </c>
      <c r="AE293" s="778">
        <f t="shared" si="363"/>
        <v>0</v>
      </c>
      <c r="AF293" s="781">
        <f t="shared" si="364"/>
        <v>0</v>
      </c>
      <c r="AG293" s="781">
        <f t="shared" si="365"/>
        <v>0</v>
      </c>
      <c r="AH293" s="781">
        <f t="shared" si="366"/>
        <v>0</v>
      </c>
      <c r="AI293" s="782">
        <f t="shared" si="367"/>
        <v>0</v>
      </c>
      <c r="AJ293" s="781">
        <f t="shared" si="368"/>
        <v>0</v>
      </c>
      <c r="AK293" s="781">
        <f t="shared" si="369"/>
        <v>0</v>
      </c>
      <c r="AL293" s="781">
        <f t="shared" si="370"/>
        <v>0</v>
      </c>
      <c r="AM293" s="781">
        <f t="shared" si="371"/>
        <v>0</v>
      </c>
      <c r="AN293" s="781">
        <f t="shared" si="372"/>
        <v>0</v>
      </c>
      <c r="AO293" s="781">
        <f t="shared" si="373"/>
        <v>0</v>
      </c>
      <c r="AP293" s="781">
        <f t="shared" si="374"/>
        <v>0</v>
      </c>
      <c r="AQ293" s="781">
        <f t="shared" si="375"/>
        <v>0</v>
      </c>
      <c r="AR293" s="781">
        <f t="shared" si="376"/>
        <v>0</v>
      </c>
      <c r="AS293" s="783">
        <f t="shared" si="377"/>
        <v>0</v>
      </c>
    </row>
    <row r="294" spans="1:65" ht="15.75" hidden="1" outlineLevel="2" thickBot="1" x14ac:dyDescent="0.3">
      <c r="A294" s="784"/>
      <c r="B294" s="904">
        <f t="shared" si="356"/>
        <v>272</v>
      </c>
      <c r="C294" s="170" t="str">
        <f t="shared" si="355"/>
        <v>50EA</v>
      </c>
      <c r="D294" s="557"/>
      <c r="E294" s="170"/>
      <c r="F294" s="721">
        <v>50</v>
      </c>
      <c r="G294" s="2068" t="s">
        <v>1854</v>
      </c>
      <c r="H294" s="2039"/>
      <c r="I294" s="2008" t="s">
        <v>732</v>
      </c>
      <c r="J294" s="2039"/>
      <c r="K294" s="2039"/>
      <c r="L294" s="488"/>
      <c r="M294" s="2041">
        <v>0</v>
      </c>
      <c r="N294" s="2043">
        <v>1</v>
      </c>
      <c r="O294" s="1967">
        <f t="shared" si="379"/>
        <v>0</v>
      </c>
      <c r="P294" s="2076" t="s">
        <v>39</v>
      </c>
      <c r="Q294" s="2008" t="s">
        <v>39</v>
      </c>
      <c r="R294" s="2011" t="s">
        <v>74</v>
      </c>
      <c r="S294" s="912">
        <f>SUMIF('Data Input sheet'!$B$118:$B$180,R294,'Data Input sheet'!$D$118:$D$180)</f>
        <v>152</v>
      </c>
      <c r="T294" s="2686">
        <f t="shared" si="382"/>
        <v>0</v>
      </c>
      <c r="U294" s="2042"/>
      <c r="V294" s="1981">
        <f t="shared" si="361"/>
        <v>0</v>
      </c>
      <c r="W294" s="2046">
        <v>21000</v>
      </c>
      <c r="X294" s="2502"/>
      <c r="Y294" s="2047">
        <v>0</v>
      </c>
      <c r="Z294" s="780">
        <f t="shared" si="380"/>
        <v>21000</v>
      </c>
      <c r="AA294" s="2007"/>
      <c r="AB294" s="2007"/>
      <c r="AC294" s="765"/>
      <c r="AD294" s="781">
        <f t="shared" si="362"/>
        <v>0</v>
      </c>
      <c r="AE294" s="778">
        <f t="shared" si="363"/>
        <v>0</v>
      </c>
      <c r="AF294" s="781">
        <f t="shared" si="364"/>
        <v>0</v>
      </c>
      <c r="AG294" s="781">
        <f t="shared" si="365"/>
        <v>0</v>
      </c>
      <c r="AH294" s="781">
        <f t="shared" si="366"/>
        <v>0</v>
      </c>
      <c r="AI294" s="782">
        <f t="shared" si="367"/>
        <v>0</v>
      </c>
      <c r="AJ294" s="781">
        <f t="shared" si="368"/>
        <v>0</v>
      </c>
      <c r="AK294" s="781">
        <f t="shared" si="369"/>
        <v>0</v>
      </c>
      <c r="AL294" s="781">
        <f t="shared" si="370"/>
        <v>0</v>
      </c>
      <c r="AM294" s="781">
        <f t="shared" si="371"/>
        <v>0</v>
      </c>
      <c r="AN294" s="781">
        <f t="shared" si="372"/>
        <v>0</v>
      </c>
      <c r="AO294" s="781">
        <f t="shared" si="373"/>
        <v>0</v>
      </c>
      <c r="AP294" s="781">
        <f t="shared" si="374"/>
        <v>0</v>
      </c>
      <c r="AQ294" s="781">
        <f t="shared" si="375"/>
        <v>0</v>
      </c>
      <c r="AR294" s="781">
        <f t="shared" si="376"/>
        <v>0</v>
      </c>
      <c r="AS294" s="783">
        <f t="shared" si="377"/>
        <v>0</v>
      </c>
    </row>
    <row r="295" spans="1:65" ht="15.75" hidden="1" outlineLevel="2" thickBot="1" x14ac:dyDescent="0.3">
      <c r="A295" s="784"/>
      <c r="B295" s="904">
        <f t="shared" si="356"/>
        <v>273</v>
      </c>
      <c r="C295" s="170" t="str">
        <f t="shared" si="355"/>
        <v>50EA</v>
      </c>
      <c r="D295" s="557"/>
      <c r="E295" s="170"/>
      <c r="F295" s="721">
        <v>50</v>
      </c>
      <c r="G295" s="2068" t="s">
        <v>1855</v>
      </c>
      <c r="H295" s="2039"/>
      <c r="I295" s="2008" t="s">
        <v>732</v>
      </c>
      <c r="J295" s="2039"/>
      <c r="K295" s="2039"/>
      <c r="L295" s="488"/>
      <c r="M295" s="2041">
        <v>0</v>
      </c>
      <c r="N295" s="2043">
        <v>1</v>
      </c>
      <c r="O295" s="1967">
        <f t="shared" si="379"/>
        <v>0</v>
      </c>
      <c r="P295" s="2076" t="s">
        <v>39</v>
      </c>
      <c r="Q295" s="2008" t="s">
        <v>39</v>
      </c>
      <c r="R295" s="2011" t="s">
        <v>74</v>
      </c>
      <c r="S295" s="912">
        <f>SUMIF('Data Input sheet'!$B$118:$B$180,R295,'Data Input sheet'!$D$118:$D$180)</f>
        <v>152</v>
      </c>
      <c r="T295" s="2686">
        <f t="shared" si="382"/>
        <v>0</v>
      </c>
      <c r="U295" s="2042">
        <v>14.8</v>
      </c>
      <c r="V295" s="1981">
        <f t="shared" si="361"/>
        <v>0</v>
      </c>
      <c r="W295" s="2046">
        <v>23975</v>
      </c>
      <c r="X295" s="2502"/>
      <c r="Y295" s="2047">
        <v>0</v>
      </c>
      <c r="Z295" s="780">
        <f t="shared" si="380"/>
        <v>23975</v>
      </c>
      <c r="AA295" s="2007"/>
      <c r="AB295" s="2007"/>
      <c r="AC295" s="765"/>
      <c r="AD295" s="781">
        <f t="shared" si="362"/>
        <v>0</v>
      </c>
      <c r="AE295" s="778">
        <f t="shared" si="363"/>
        <v>0</v>
      </c>
      <c r="AF295" s="781">
        <f t="shared" si="364"/>
        <v>0</v>
      </c>
      <c r="AG295" s="781">
        <f t="shared" si="365"/>
        <v>0</v>
      </c>
      <c r="AH295" s="781">
        <f t="shared" si="366"/>
        <v>0</v>
      </c>
      <c r="AI295" s="782">
        <f t="shared" si="367"/>
        <v>0</v>
      </c>
      <c r="AJ295" s="781">
        <f t="shared" si="368"/>
        <v>0</v>
      </c>
      <c r="AK295" s="781">
        <f t="shared" si="369"/>
        <v>0</v>
      </c>
      <c r="AL295" s="781">
        <f t="shared" si="370"/>
        <v>0</v>
      </c>
      <c r="AM295" s="781">
        <f t="shared" si="371"/>
        <v>0</v>
      </c>
      <c r="AN295" s="781">
        <f t="shared" si="372"/>
        <v>0</v>
      </c>
      <c r="AO295" s="781">
        <f t="shared" si="373"/>
        <v>0</v>
      </c>
      <c r="AP295" s="781">
        <f t="shared" si="374"/>
        <v>0</v>
      </c>
      <c r="AQ295" s="781">
        <f t="shared" si="375"/>
        <v>0</v>
      </c>
      <c r="AR295" s="781">
        <f t="shared" si="376"/>
        <v>0</v>
      </c>
      <c r="AS295" s="783">
        <f t="shared" si="377"/>
        <v>0</v>
      </c>
    </row>
    <row r="296" spans="1:65" ht="15.75" hidden="1" outlineLevel="2" thickBot="1" x14ac:dyDescent="0.3">
      <c r="A296" s="784"/>
      <c r="B296" s="904">
        <f t="shared" si="356"/>
        <v>274</v>
      </c>
      <c r="C296" s="170" t="str">
        <f t="shared" si="355"/>
        <v>50EA</v>
      </c>
      <c r="D296" s="557"/>
      <c r="E296" s="170"/>
      <c r="F296" s="721">
        <v>50</v>
      </c>
      <c r="G296" s="2068" t="s">
        <v>1856</v>
      </c>
      <c r="H296" s="2039"/>
      <c r="I296" s="2008" t="s">
        <v>732</v>
      </c>
      <c r="J296" s="2039"/>
      <c r="K296" s="2039"/>
      <c r="L296" s="488"/>
      <c r="M296" s="2041">
        <v>0</v>
      </c>
      <c r="N296" s="2043">
        <v>1</v>
      </c>
      <c r="O296" s="1967">
        <f t="shared" si="379"/>
        <v>0</v>
      </c>
      <c r="P296" s="2076" t="s">
        <v>39</v>
      </c>
      <c r="Q296" s="2008" t="s">
        <v>39</v>
      </c>
      <c r="R296" s="2011" t="s">
        <v>74</v>
      </c>
      <c r="S296" s="912">
        <f>SUMIF('Data Input sheet'!$B$118:$B$180,R296,'Data Input sheet'!$D$118:$D$180)</f>
        <v>152</v>
      </c>
      <c r="T296" s="2686">
        <f t="shared" si="382"/>
        <v>0</v>
      </c>
      <c r="U296" s="2042">
        <v>14.8</v>
      </c>
      <c r="V296" s="1981">
        <f t="shared" si="361"/>
        <v>0</v>
      </c>
      <c r="W296" s="2046">
        <v>6651</v>
      </c>
      <c r="X296" s="2502"/>
      <c r="Y296" s="2047">
        <v>0</v>
      </c>
      <c r="Z296" s="780">
        <f t="shared" si="380"/>
        <v>6651</v>
      </c>
      <c r="AA296" s="2007"/>
      <c r="AB296" s="2007"/>
      <c r="AC296" s="765"/>
      <c r="AD296" s="781">
        <f t="shared" si="362"/>
        <v>0</v>
      </c>
      <c r="AE296" s="778">
        <f t="shared" si="363"/>
        <v>0</v>
      </c>
      <c r="AF296" s="781">
        <f t="shared" si="364"/>
        <v>0</v>
      </c>
      <c r="AG296" s="781">
        <f t="shared" si="365"/>
        <v>0</v>
      </c>
      <c r="AH296" s="781">
        <f t="shared" si="366"/>
        <v>0</v>
      </c>
      <c r="AI296" s="782">
        <f t="shared" si="367"/>
        <v>0</v>
      </c>
      <c r="AJ296" s="781">
        <f t="shared" si="368"/>
        <v>0</v>
      </c>
      <c r="AK296" s="781">
        <f t="shared" si="369"/>
        <v>0</v>
      </c>
      <c r="AL296" s="781">
        <f t="shared" si="370"/>
        <v>0</v>
      </c>
      <c r="AM296" s="781">
        <f t="shared" si="371"/>
        <v>0</v>
      </c>
      <c r="AN296" s="781">
        <f t="shared" si="372"/>
        <v>0</v>
      </c>
      <c r="AO296" s="781">
        <f t="shared" si="373"/>
        <v>0</v>
      </c>
      <c r="AP296" s="781">
        <f t="shared" si="374"/>
        <v>0</v>
      </c>
      <c r="AQ296" s="781">
        <f t="shared" si="375"/>
        <v>0</v>
      </c>
      <c r="AR296" s="781">
        <f t="shared" si="376"/>
        <v>0</v>
      </c>
      <c r="AS296" s="783">
        <f t="shared" si="377"/>
        <v>0</v>
      </c>
    </row>
    <row r="297" spans="1:65" ht="15.75" hidden="1" outlineLevel="2" thickBot="1" x14ac:dyDescent="0.3">
      <c r="A297" s="784"/>
      <c r="B297" s="904">
        <f t="shared" si="356"/>
        <v>275</v>
      </c>
      <c r="C297" s="170" t="str">
        <f t="shared" si="355"/>
        <v/>
      </c>
      <c r="D297" s="557"/>
      <c r="E297" s="170"/>
      <c r="F297" s="721"/>
      <c r="G297" s="2491" t="s">
        <v>3118</v>
      </c>
      <c r="H297" s="2008"/>
      <c r="I297" s="2008"/>
      <c r="J297" s="1926"/>
      <c r="K297" s="1926"/>
      <c r="L297" s="170"/>
      <c r="M297" s="2009"/>
      <c r="N297" s="2010"/>
      <c r="O297" s="773"/>
      <c r="P297" s="2076"/>
      <c r="Q297" s="2008"/>
      <c r="R297" s="2011"/>
      <c r="S297" s="912">
        <f>SUMIF('Data Input sheet'!$B$118:$B$180,R297,'Data Input sheet'!$D$118:$D$180)</f>
        <v>0</v>
      </c>
      <c r="T297" s="2685"/>
      <c r="U297" s="2013">
        <v>0</v>
      </c>
      <c r="V297" s="778">
        <f t="shared" si="361"/>
        <v>0</v>
      </c>
      <c r="W297" s="2010"/>
      <c r="X297" s="779"/>
      <c r="Y297" s="2012"/>
      <c r="Z297" s="780"/>
      <c r="AA297" s="2007"/>
      <c r="AB297" s="2007"/>
      <c r="AC297" s="765"/>
      <c r="AD297" s="781">
        <f t="shared" si="362"/>
        <v>0</v>
      </c>
      <c r="AE297" s="778">
        <f t="shared" si="363"/>
        <v>0</v>
      </c>
      <c r="AF297" s="781">
        <f t="shared" si="364"/>
        <v>0</v>
      </c>
      <c r="AG297" s="781">
        <f t="shared" si="365"/>
        <v>0</v>
      </c>
      <c r="AH297" s="781">
        <f t="shared" si="366"/>
        <v>0</v>
      </c>
      <c r="AI297" s="782">
        <f t="shared" si="367"/>
        <v>0</v>
      </c>
      <c r="AJ297" s="781">
        <f t="shared" si="368"/>
        <v>0</v>
      </c>
      <c r="AK297" s="781">
        <f t="shared" si="369"/>
        <v>0</v>
      </c>
      <c r="AL297" s="781">
        <f t="shared" si="370"/>
        <v>0</v>
      </c>
      <c r="AM297" s="781">
        <f t="shared" si="371"/>
        <v>0</v>
      </c>
      <c r="AN297" s="781">
        <f t="shared" si="372"/>
        <v>0</v>
      </c>
      <c r="AO297" s="781">
        <f t="shared" si="373"/>
        <v>0</v>
      </c>
      <c r="AP297" s="781">
        <f t="shared" si="374"/>
        <v>0</v>
      </c>
      <c r="AQ297" s="781">
        <f t="shared" si="375"/>
        <v>0</v>
      </c>
      <c r="AR297" s="781">
        <f t="shared" si="376"/>
        <v>0</v>
      </c>
      <c r="AS297" s="783">
        <f t="shared" si="377"/>
        <v>0</v>
      </c>
      <c r="AT297" s="917"/>
      <c r="AW297" s="832"/>
      <c r="AX297" s="833" t="s">
        <v>3030</v>
      </c>
      <c r="BM297" s="2010"/>
    </row>
    <row r="298" spans="1:65" ht="15.75" hidden="1" outlineLevel="2" thickBot="1" x14ac:dyDescent="0.3">
      <c r="A298" s="784"/>
      <c r="B298" s="904">
        <f t="shared" si="356"/>
        <v>276</v>
      </c>
      <c r="C298" s="170" t="str">
        <f t="shared" si="355"/>
        <v>50EA</v>
      </c>
      <c r="D298" s="557"/>
      <c r="E298" s="170"/>
      <c r="F298" s="721">
        <v>50</v>
      </c>
      <c r="G298" s="2007" t="s">
        <v>3119</v>
      </c>
      <c r="H298" s="2008"/>
      <c r="I298" s="2008" t="s">
        <v>732</v>
      </c>
      <c r="J298" s="1926"/>
      <c r="K298" s="1926"/>
      <c r="L298" s="170"/>
      <c r="M298" s="2009">
        <v>500</v>
      </c>
      <c r="N298" s="2010">
        <v>1</v>
      </c>
      <c r="O298" s="773">
        <f>+M298*N298</f>
        <v>500</v>
      </c>
      <c r="P298" s="2076" t="s">
        <v>39</v>
      </c>
      <c r="Q298" s="2008" t="s">
        <v>39</v>
      </c>
      <c r="R298" s="2011" t="s">
        <v>74</v>
      </c>
      <c r="S298" s="912">
        <f>SUMIF('Data Input sheet'!$B$118:$B$180,R298,'Data Input sheet'!$D$118:$D$180)</f>
        <v>152</v>
      </c>
      <c r="T298" s="2685">
        <f>+O298*S298</f>
        <v>76000</v>
      </c>
      <c r="U298" s="2042">
        <v>14.8</v>
      </c>
      <c r="V298" s="778">
        <f t="shared" si="361"/>
        <v>7400</v>
      </c>
      <c r="W298" s="2010">
        <v>17723</v>
      </c>
      <c r="X298" s="779"/>
      <c r="Y298" s="2012"/>
      <c r="Z298" s="780">
        <f>T298+V298+W298+Y298</f>
        <v>101123</v>
      </c>
      <c r="AA298" s="2007"/>
      <c r="AB298" s="2007" t="s">
        <v>3120</v>
      </c>
      <c r="AC298" s="765"/>
      <c r="AD298" s="781">
        <f t="shared" si="362"/>
        <v>0</v>
      </c>
      <c r="AE298" s="778">
        <f t="shared" si="363"/>
        <v>0</v>
      </c>
      <c r="AF298" s="781">
        <f t="shared" si="364"/>
        <v>0</v>
      </c>
      <c r="AG298" s="781">
        <f t="shared" si="365"/>
        <v>0</v>
      </c>
      <c r="AH298" s="781">
        <f t="shared" si="366"/>
        <v>0</v>
      </c>
      <c r="AI298" s="782">
        <f t="shared" si="367"/>
        <v>0</v>
      </c>
      <c r="AJ298" s="781">
        <f t="shared" si="368"/>
        <v>0</v>
      </c>
      <c r="AK298" s="781">
        <f t="shared" si="369"/>
        <v>0</v>
      </c>
      <c r="AL298" s="781">
        <f t="shared" si="370"/>
        <v>0</v>
      </c>
      <c r="AM298" s="781">
        <f t="shared" si="371"/>
        <v>0</v>
      </c>
      <c r="AN298" s="781">
        <f t="shared" si="372"/>
        <v>0</v>
      </c>
      <c r="AO298" s="781">
        <f t="shared" si="373"/>
        <v>0</v>
      </c>
      <c r="AP298" s="781">
        <f t="shared" si="374"/>
        <v>0</v>
      </c>
      <c r="AQ298" s="781">
        <f t="shared" si="375"/>
        <v>0</v>
      </c>
      <c r="AR298" s="781">
        <f t="shared" si="376"/>
        <v>0</v>
      </c>
      <c r="AS298" s="783">
        <f t="shared" si="377"/>
        <v>0</v>
      </c>
      <c r="AT298" s="917"/>
      <c r="AW298" s="832"/>
      <c r="AX298" s="833" t="s">
        <v>3121</v>
      </c>
      <c r="BM298" s="2010"/>
    </row>
    <row r="299" spans="1:65" ht="15.75" hidden="1" outlineLevel="2" thickBot="1" x14ac:dyDescent="0.3">
      <c r="A299" s="784"/>
      <c r="B299" s="904">
        <f t="shared" si="356"/>
        <v>277</v>
      </c>
      <c r="C299" s="170" t="str">
        <f t="shared" si="355"/>
        <v/>
      </c>
      <c r="D299" s="557"/>
      <c r="E299" s="170"/>
      <c r="F299" s="721"/>
      <c r="G299" s="2491" t="s">
        <v>3112</v>
      </c>
      <c r="H299" s="2008"/>
      <c r="I299" s="2008"/>
      <c r="J299" s="1926"/>
      <c r="K299" s="1926"/>
      <c r="L299" s="170"/>
      <c r="M299" s="2009"/>
      <c r="N299" s="2010"/>
      <c r="O299" s="773"/>
      <c r="P299" s="2076"/>
      <c r="Q299" s="2008"/>
      <c r="R299" s="2011"/>
      <c r="S299" s="912">
        <f>SUMIF('Data Input sheet'!$B$118:$B$180,R299,'Data Input sheet'!$D$118:$D$180)</f>
        <v>0</v>
      </c>
      <c r="T299" s="2685"/>
      <c r="U299" s="2013">
        <v>0</v>
      </c>
      <c r="V299" s="778">
        <f t="shared" si="361"/>
        <v>0</v>
      </c>
      <c r="W299" s="2010"/>
      <c r="X299" s="779"/>
      <c r="Y299" s="2012"/>
      <c r="Z299" s="780"/>
      <c r="AA299" s="2007"/>
      <c r="AB299" s="2007"/>
      <c r="AC299" s="765"/>
      <c r="AD299" s="781">
        <f t="shared" si="362"/>
        <v>0</v>
      </c>
      <c r="AE299" s="778">
        <f t="shared" si="363"/>
        <v>0</v>
      </c>
      <c r="AF299" s="781">
        <f t="shared" si="364"/>
        <v>0</v>
      </c>
      <c r="AG299" s="781">
        <f t="shared" si="365"/>
        <v>0</v>
      </c>
      <c r="AH299" s="781">
        <f t="shared" si="366"/>
        <v>0</v>
      </c>
      <c r="AI299" s="782">
        <f t="shared" si="367"/>
        <v>0</v>
      </c>
      <c r="AJ299" s="781">
        <f t="shared" si="368"/>
        <v>0</v>
      </c>
      <c r="AK299" s="781">
        <f t="shared" si="369"/>
        <v>0</v>
      </c>
      <c r="AL299" s="781">
        <f t="shared" si="370"/>
        <v>0</v>
      </c>
      <c r="AM299" s="781">
        <f t="shared" si="371"/>
        <v>0</v>
      </c>
      <c r="AN299" s="781">
        <f t="shared" si="372"/>
        <v>0</v>
      </c>
      <c r="AO299" s="781">
        <f t="shared" si="373"/>
        <v>0</v>
      </c>
      <c r="AP299" s="781">
        <f t="shared" si="374"/>
        <v>0</v>
      </c>
      <c r="AQ299" s="781">
        <f t="shared" si="375"/>
        <v>0</v>
      </c>
      <c r="AR299" s="781">
        <f t="shared" si="376"/>
        <v>0</v>
      </c>
      <c r="AS299" s="783">
        <f t="shared" si="377"/>
        <v>0</v>
      </c>
      <c r="AT299" s="917"/>
      <c r="AW299" s="832"/>
      <c r="AX299" s="833" t="s">
        <v>3030</v>
      </c>
      <c r="BM299" s="2010"/>
    </row>
    <row r="300" spans="1:65" ht="26.25" hidden="1" outlineLevel="2" thickBot="1" x14ac:dyDescent="0.3">
      <c r="A300" s="784"/>
      <c r="B300" s="904">
        <f t="shared" si="356"/>
        <v>278</v>
      </c>
      <c r="C300" s="170" t="str">
        <f t="shared" si="355"/>
        <v>50EA</v>
      </c>
      <c r="D300" s="557"/>
      <c r="E300" s="170"/>
      <c r="F300" s="721">
        <v>50</v>
      </c>
      <c r="G300" s="2007" t="s">
        <v>3113</v>
      </c>
      <c r="H300" s="2008"/>
      <c r="I300" s="2008" t="s">
        <v>732</v>
      </c>
      <c r="J300" s="1926"/>
      <c r="K300" s="1926"/>
      <c r="L300" s="170"/>
      <c r="M300" s="2009">
        <v>35</v>
      </c>
      <c r="N300" s="2010">
        <v>1</v>
      </c>
      <c r="O300" s="773">
        <f t="shared" ref="O300:O301" si="383">+M300*N300</f>
        <v>35</v>
      </c>
      <c r="P300" s="2076" t="s">
        <v>39</v>
      </c>
      <c r="Q300" s="2008" t="s">
        <v>39</v>
      </c>
      <c r="R300" s="2011" t="s">
        <v>74</v>
      </c>
      <c r="S300" s="912">
        <f>SUMIF('Data Input sheet'!$B$118:$B$180,R300,'Data Input sheet'!$D$118:$D$180)</f>
        <v>152</v>
      </c>
      <c r="T300" s="2685">
        <f>+O300*S300</f>
        <v>5320</v>
      </c>
      <c r="U300" s="2042">
        <v>14.8</v>
      </c>
      <c r="V300" s="778">
        <f t="shared" si="361"/>
        <v>518</v>
      </c>
      <c r="W300" s="2010">
        <v>13040.38</v>
      </c>
      <c r="X300" s="779"/>
      <c r="Y300" s="2012"/>
      <c r="Z300" s="780">
        <f t="shared" ref="Z300:Z301" si="384">T300+V300+W300+Y300</f>
        <v>18878.379999999997</v>
      </c>
      <c r="AA300" s="2007"/>
      <c r="AB300" s="2007" t="s">
        <v>3114</v>
      </c>
      <c r="AC300" s="765"/>
      <c r="AD300" s="781">
        <f t="shared" si="362"/>
        <v>0</v>
      </c>
      <c r="AE300" s="778">
        <f t="shared" si="363"/>
        <v>0</v>
      </c>
      <c r="AF300" s="781">
        <f t="shared" si="364"/>
        <v>0</v>
      </c>
      <c r="AG300" s="781">
        <f t="shared" si="365"/>
        <v>0</v>
      </c>
      <c r="AH300" s="781">
        <f t="shared" si="366"/>
        <v>0</v>
      </c>
      <c r="AI300" s="782">
        <f t="shared" si="367"/>
        <v>0</v>
      </c>
      <c r="AJ300" s="781">
        <f t="shared" si="368"/>
        <v>0</v>
      </c>
      <c r="AK300" s="781">
        <f t="shared" si="369"/>
        <v>0</v>
      </c>
      <c r="AL300" s="781">
        <f t="shared" si="370"/>
        <v>0</v>
      </c>
      <c r="AM300" s="781">
        <f t="shared" si="371"/>
        <v>0</v>
      </c>
      <c r="AN300" s="781">
        <f t="shared" si="372"/>
        <v>0</v>
      </c>
      <c r="AO300" s="781">
        <f t="shared" si="373"/>
        <v>0</v>
      </c>
      <c r="AP300" s="781">
        <f t="shared" si="374"/>
        <v>0</v>
      </c>
      <c r="AQ300" s="781">
        <f t="shared" si="375"/>
        <v>0</v>
      </c>
      <c r="AR300" s="781">
        <f t="shared" si="376"/>
        <v>0</v>
      </c>
      <c r="AS300" s="783">
        <f t="shared" si="377"/>
        <v>0</v>
      </c>
      <c r="AT300" s="917"/>
      <c r="AW300" s="832"/>
      <c r="AX300" s="833" t="s">
        <v>3115</v>
      </c>
      <c r="BM300" s="2010"/>
    </row>
    <row r="301" spans="1:65" ht="15.75" hidden="1" outlineLevel="2" thickBot="1" x14ac:dyDescent="0.3">
      <c r="A301" s="784"/>
      <c r="B301" s="904">
        <f>+B300+1</f>
        <v>279</v>
      </c>
      <c r="C301" s="170" t="str">
        <f t="shared" si="355"/>
        <v>50EA</v>
      </c>
      <c r="D301" s="557"/>
      <c r="E301" s="170"/>
      <c r="F301" s="721">
        <v>50</v>
      </c>
      <c r="G301" s="2007" t="s">
        <v>3116</v>
      </c>
      <c r="H301" s="2008"/>
      <c r="I301" s="2008" t="s">
        <v>732</v>
      </c>
      <c r="J301" s="1926"/>
      <c r="K301" s="1926"/>
      <c r="L301" s="170"/>
      <c r="M301" s="2009">
        <v>400</v>
      </c>
      <c r="N301" s="2010">
        <v>1</v>
      </c>
      <c r="O301" s="773">
        <f t="shared" si="383"/>
        <v>400</v>
      </c>
      <c r="P301" s="2076" t="s">
        <v>39</v>
      </c>
      <c r="Q301" s="2008" t="s">
        <v>39</v>
      </c>
      <c r="R301" s="2011" t="s">
        <v>74</v>
      </c>
      <c r="S301" s="912">
        <f>SUMIF('Data Input sheet'!$B$118:$B$180,R301,'Data Input sheet'!$D$118:$D$180)</f>
        <v>152</v>
      </c>
      <c r="T301" s="2685">
        <f>+O301*S301</f>
        <v>60800</v>
      </c>
      <c r="U301" s="2013">
        <v>14.8</v>
      </c>
      <c r="V301" s="778">
        <f t="shared" si="361"/>
        <v>5920</v>
      </c>
      <c r="W301" s="2010">
        <v>13081</v>
      </c>
      <c r="X301" s="779"/>
      <c r="Y301" s="2012"/>
      <c r="Z301" s="780">
        <f t="shared" si="384"/>
        <v>79801</v>
      </c>
      <c r="AA301" s="2007"/>
      <c r="AB301" s="2007" t="s">
        <v>3117</v>
      </c>
      <c r="AC301" s="765"/>
      <c r="AD301" s="781">
        <f t="shared" si="362"/>
        <v>0</v>
      </c>
      <c r="AE301" s="778">
        <f t="shared" si="363"/>
        <v>0</v>
      </c>
      <c r="AF301" s="781">
        <f t="shared" si="364"/>
        <v>0</v>
      </c>
      <c r="AG301" s="781">
        <f t="shared" si="365"/>
        <v>0</v>
      </c>
      <c r="AH301" s="781">
        <f t="shared" si="366"/>
        <v>0</v>
      </c>
      <c r="AI301" s="782">
        <f t="shared" si="367"/>
        <v>0</v>
      </c>
      <c r="AJ301" s="781">
        <f t="shared" si="368"/>
        <v>0</v>
      </c>
      <c r="AK301" s="781">
        <f t="shared" si="369"/>
        <v>0</v>
      </c>
      <c r="AL301" s="781">
        <f t="shared" si="370"/>
        <v>0</v>
      </c>
      <c r="AM301" s="781">
        <f t="shared" si="371"/>
        <v>0</v>
      </c>
      <c r="AN301" s="781">
        <f t="shared" si="372"/>
        <v>0</v>
      </c>
      <c r="AO301" s="781">
        <f t="shared" si="373"/>
        <v>0</v>
      </c>
      <c r="AP301" s="781">
        <f t="shared" si="374"/>
        <v>0</v>
      </c>
      <c r="AQ301" s="781">
        <f t="shared" si="375"/>
        <v>0</v>
      </c>
      <c r="AR301" s="781">
        <f t="shared" si="376"/>
        <v>0</v>
      </c>
      <c r="AS301" s="783">
        <f t="shared" si="377"/>
        <v>0</v>
      </c>
      <c r="AT301" s="917"/>
      <c r="AW301" s="832"/>
      <c r="AX301" s="833" t="s">
        <v>3030</v>
      </c>
      <c r="BM301" s="2010"/>
    </row>
    <row r="302" spans="1:65" ht="15.75" collapsed="1" thickBot="1" x14ac:dyDescent="0.3">
      <c r="A302" s="784"/>
      <c r="B302" s="904">
        <f>+B286+1</f>
        <v>284</v>
      </c>
      <c r="C302" s="170" t="str">
        <f t="shared" si="355"/>
        <v/>
      </c>
      <c r="D302" s="557"/>
      <c r="E302" s="170"/>
      <c r="F302" s="721"/>
      <c r="G302" s="2627" t="s">
        <v>1841</v>
      </c>
      <c r="H302" s="2635">
        <v>1</v>
      </c>
      <c r="I302" s="2008"/>
      <c r="J302" s="2039"/>
      <c r="K302" s="2039"/>
      <c r="L302" s="2498"/>
      <c r="M302" s="2041">
        <v>0</v>
      </c>
      <c r="N302" s="2043"/>
      <c r="O302" s="2499">
        <f t="shared" ref="O302:O317" si="385">+M302*N302</f>
        <v>0</v>
      </c>
      <c r="P302" s="2076"/>
      <c r="Q302" s="2008"/>
      <c r="R302" s="2011"/>
      <c r="S302" s="912">
        <f>SUMIF('Data Input sheet'!$B$118:$B$180,R302,'Data Input sheet'!$D$118:$D$180)</f>
        <v>0</v>
      </c>
      <c r="T302" s="2686">
        <f t="shared" ref="T302:T313" si="386">ROUND(O302*S302,0)</f>
        <v>0</v>
      </c>
      <c r="U302" s="2042"/>
      <c r="V302" s="2501">
        <f>ROUND(U302*O302,0)</f>
        <v>0</v>
      </c>
      <c r="W302" s="2046"/>
      <c r="X302" s="2502"/>
      <c r="Y302" s="2047">
        <v>0</v>
      </c>
      <c r="Z302" s="2500">
        <f>T302+V302+W302+Y302</f>
        <v>0</v>
      </c>
      <c r="AA302" s="2007"/>
      <c r="AB302" s="2007"/>
      <c r="AC302" s="765"/>
      <c r="AD302" s="781">
        <f t="shared" si="362"/>
        <v>0</v>
      </c>
      <c r="AE302" s="778">
        <f t="shared" si="363"/>
        <v>0</v>
      </c>
      <c r="AF302" s="781">
        <f t="shared" si="364"/>
        <v>0</v>
      </c>
      <c r="AG302" s="781">
        <f t="shared" si="365"/>
        <v>0</v>
      </c>
      <c r="AH302" s="781">
        <f t="shared" si="366"/>
        <v>0</v>
      </c>
      <c r="AI302" s="782">
        <f t="shared" si="367"/>
        <v>0</v>
      </c>
      <c r="AJ302" s="781">
        <f t="shared" si="368"/>
        <v>0</v>
      </c>
      <c r="AK302" s="781">
        <f t="shared" si="369"/>
        <v>0</v>
      </c>
      <c r="AL302" s="781">
        <f t="shared" si="370"/>
        <v>0</v>
      </c>
      <c r="AM302" s="781">
        <f t="shared" si="371"/>
        <v>0</v>
      </c>
      <c r="AN302" s="781">
        <f t="shared" si="372"/>
        <v>0</v>
      </c>
      <c r="AO302" s="781">
        <f t="shared" si="373"/>
        <v>0</v>
      </c>
      <c r="AP302" s="781">
        <f t="shared" si="374"/>
        <v>0</v>
      </c>
      <c r="AQ302" s="781">
        <f t="shared" si="375"/>
        <v>0</v>
      </c>
      <c r="AR302" s="781">
        <f t="shared" si="376"/>
        <v>0</v>
      </c>
      <c r="AS302" s="783">
        <f t="shared" si="377"/>
        <v>0</v>
      </c>
    </row>
    <row r="303" spans="1:65" ht="15" hidden="1" outlineLevel="1" x14ac:dyDescent="0.25">
      <c r="A303" s="784"/>
      <c r="B303" s="904">
        <f t="shared" si="356"/>
        <v>285</v>
      </c>
      <c r="C303" s="170" t="str">
        <f t="shared" si="355"/>
        <v>51EA</v>
      </c>
      <c r="D303" s="557"/>
      <c r="E303" s="170"/>
      <c r="F303" s="721">
        <v>51</v>
      </c>
      <c r="G303" s="2007" t="s">
        <v>2008</v>
      </c>
      <c r="H303" s="1926"/>
      <c r="I303" s="2008" t="s">
        <v>732</v>
      </c>
      <c r="J303" s="1926"/>
      <c r="K303" s="1926"/>
      <c r="L303" s="170"/>
      <c r="M303" s="2009">
        <v>950</v>
      </c>
      <c r="N303" s="2010">
        <v>1</v>
      </c>
      <c r="O303" s="773">
        <f t="shared" si="385"/>
        <v>950</v>
      </c>
      <c r="P303" s="2076" t="s">
        <v>39</v>
      </c>
      <c r="Q303" s="2008" t="s">
        <v>39</v>
      </c>
      <c r="R303" s="2011" t="s">
        <v>74</v>
      </c>
      <c r="S303" s="912">
        <f>SUMIF('Data Input sheet'!$B$118:$B$180,R303,'Data Input sheet'!$D$118:$D$180)</f>
        <v>152</v>
      </c>
      <c r="T303" s="2685">
        <f t="shared" ref="T303:T304" si="387">+O303*S303</f>
        <v>144400</v>
      </c>
      <c r="U303" s="2013">
        <v>140</v>
      </c>
      <c r="V303" s="778">
        <f t="shared" ref="V303:V304" si="388">ROUND(U303*O303,0)</f>
        <v>133000</v>
      </c>
      <c r="W303" s="2010">
        <v>2131056</v>
      </c>
      <c r="X303" s="779"/>
      <c r="Y303" s="2012"/>
      <c r="Z303" s="780">
        <f t="shared" ref="Z303:Z304" si="389">T303+V303+W303+Y303</f>
        <v>2408456</v>
      </c>
      <c r="AA303" s="2007"/>
      <c r="AB303" s="2007"/>
      <c r="AC303" s="765"/>
      <c r="AD303" s="781">
        <f t="shared" si="362"/>
        <v>0</v>
      </c>
      <c r="AE303" s="778">
        <f t="shared" si="363"/>
        <v>0</v>
      </c>
      <c r="AF303" s="781">
        <f t="shared" si="364"/>
        <v>0</v>
      </c>
      <c r="AG303" s="781">
        <f t="shared" si="365"/>
        <v>0</v>
      </c>
      <c r="AH303" s="781">
        <f t="shared" si="366"/>
        <v>0</v>
      </c>
      <c r="AI303" s="782">
        <f t="shared" si="367"/>
        <v>0</v>
      </c>
      <c r="AJ303" s="781">
        <f t="shared" si="368"/>
        <v>0</v>
      </c>
      <c r="AK303" s="781">
        <f t="shared" si="369"/>
        <v>0</v>
      </c>
      <c r="AL303" s="781">
        <f t="shared" si="370"/>
        <v>0</v>
      </c>
      <c r="AM303" s="781">
        <f t="shared" si="371"/>
        <v>0</v>
      </c>
      <c r="AN303" s="781">
        <f t="shared" si="372"/>
        <v>0</v>
      </c>
      <c r="AO303" s="781">
        <f t="shared" si="373"/>
        <v>0</v>
      </c>
      <c r="AP303" s="781">
        <f t="shared" si="374"/>
        <v>0</v>
      </c>
      <c r="AQ303" s="781">
        <f t="shared" si="375"/>
        <v>0</v>
      </c>
      <c r="AR303" s="781">
        <f t="shared" si="376"/>
        <v>0</v>
      </c>
      <c r="AS303" s="783">
        <f t="shared" si="377"/>
        <v>0</v>
      </c>
      <c r="AT303" s="917"/>
      <c r="AW303" s="832"/>
      <c r="AX303" s="833" t="s">
        <v>3059</v>
      </c>
      <c r="BM303" s="2010">
        <v>2131056</v>
      </c>
    </row>
    <row r="304" spans="1:65" ht="15" hidden="1" outlineLevel="1" x14ac:dyDescent="0.25">
      <c r="A304" s="784"/>
      <c r="B304" s="904">
        <f t="shared" si="356"/>
        <v>286</v>
      </c>
      <c r="C304" s="170" t="str">
        <f t="shared" si="355"/>
        <v>51EA</v>
      </c>
      <c r="D304" s="557"/>
      <c r="E304" s="170"/>
      <c r="F304" s="721">
        <v>51</v>
      </c>
      <c r="G304" s="2007" t="s">
        <v>2009</v>
      </c>
      <c r="H304" s="1926"/>
      <c r="I304" s="2008" t="s">
        <v>732</v>
      </c>
      <c r="J304" s="1926"/>
      <c r="K304" s="1926"/>
      <c r="L304" s="170"/>
      <c r="M304" s="2009">
        <v>2500</v>
      </c>
      <c r="N304" s="2010">
        <v>1</v>
      </c>
      <c r="O304" s="773">
        <f t="shared" si="385"/>
        <v>2500</v>
      </c>
      <c r="P304" s="2076" t="s">
        <v>39</v>
      </c>
      <c r="Q304" s="2008" t="s">
        <v>39</v>
      </c>
      <c r="R304" s="2011" t="s">
        <v>74</v>
      </c>
      <c r="S304" s="912">
        <f>SUMIF('Data Input sheet'!$B$118:$B$180,R304,'Data Input sheet'!$D$118:$D$180)</f>
        <v>152</v>
      </c>
      <c r="T304" s="2685">
        <f t="shared" si="387"/>
        <v>380000</v>
      </c>
      <c r="U304" s="2013">
        <v>70</v>
      </c>
      <c r="V304" s="778">
        <f t="shared" si="388"/>
        <v>175000</v>
      </c>
      <c r="W304" s="2010">
        <v>5679438.3360000001</v>
      </c>
      <c r="X304" s="779"/>
      <c r="Y304" s="2012"/>
      <c r="Z304" s="780">
        <f t="shared" si="389"/>
        <v>6234438.3360000001</v>
      </c>
      <c r="AA304" s="2007"/>
      <c r="AB304" s="2007"/>
      <c r="AC304" s="765"/>
      <c r="AD304" s="781">
        <f t="shared" si="362"/>
        <v>0</v>
      </c>
      <c r="AE304" s="778">
        <f t="shared" si="363"/>
        <v>0</v>
      </c>
      <c r="AF304" s="781">
        <f t="shared" si="364"/>
        <v>0</v>
      </c>
      <c r="AG304" s="781">
        <f t="shared" si="365"/>
        <v>0</v>
      </c>
      <c r="AH304" s="781">
        <f t="shared" si="366"/>
        <v>0</v>
      </c>
      <c r="AI304" s="782">
        <f t="shared" si="367"/>
        <v>0</v>
      </c>
      <c r="AJ304" s="781">
        <f t="shared" si="368"/>
        <v>0</v>
      </c>
      <c r="AK304" s="781">
        <f t="shared" si="369"/>
        <v>0</v>
      </c>
      <c r="AL304" s="781">
        <f t="shared" si="370"/>
        <v>0</v>
      </c>
      <c r="AM304" s="781">
        <f t="shared" si="371"/>
        <v>0</v>
      </c>
      <c r="AN304" s="781">
        <f t="shared" si="372"/>
        <v>0</v>
      </c>
      <c r="AO304" s="781">
        <f t="shared" si="373"/>
        <v>0</v>
      </c>
      <c r="AP304" s="781">
        <f t="shared" si="374"/>
        <v>0</v>
      </c>
      <c r="AQ304" s="781">
        <f t="shared" si="375"/>
        <v>0</v>
      </c>
      <c r="AR304" s="781">
        <f t="shared" si="376"/>
        <v>0</v>
      </c>
      <c r="AS304" s="783">
        <f t="shared" si="377"/>
        <v>0</v>
      </c>
      <c r="AT304" s="917"/>
      <c r="AW304" s="832"/>
      <c r="AX304" s="833" t="s">
        <v>3060</v>
      </c>
      <c r="BM304" s="2010">
        <v>5679438.3360000001</v>
      </c>
    </row>
    <row r="305" spans="1:65" ht="25.5" hidden="1" outlineLevel="1" x14ac:dyDescent="0.25">
      <c r="A305" s="787"/>
      <c r="B305" s="904">
        <f t="shared" si="356"/>
        <v>287</v>
      </c>
      <c r="C305" s="170" t="str">
        <f t="shared" si="355"/>
        <v>51EA</v>
      </c>
      <c r="D305" s="906"/>
      <c r="E305" s="721"/>
      <c r="F305" s="721">
        <v>51</v>
      </c>
      <c r="G305" s="2007" t="s">
        <v>2991</v>
      </c>
      <c r="H305" s="1926"/>
      <c r="I305" s="2008" t="s">
        <v>732</v>
      </c>
      <c r="J305" s="1926"/>
      <c r="K305" s="1926"/>
      <c r="L305" s="170"/>
      <c r="M305" s="2009">
        <v>1250</v>
      </c>
      <c r="N305" s="2010">
        <v>1</v>
      </c>
      <c r="O305" s="773">
        <f t="shared" si="385"/>
        <v>1250</v>
      </c>
      <c r="P305" s="2076" t="s">
        <v>39</v>
      </c>
      <c r="Q305" s="2008" t="s">
        <v>39</v>
      </c>
      <c r="R305" s="2011" t="s">
        <v>74</v>
      </c>
      <c r="S305" s="912">
        <f>SUMIF('Data Input sheet'!$B$118:$B$180,R305,'Data Input sheet'!$D$118:$D$180)</f>
        <v>152</v>
      </c>
      <c r="T305" s="2685">
        <f>+O305*S305</f>
        <v>190000</v>
      </c>
      <c r="U305" s="2013">
        <v>140</v>
      </c>
      <c r="V305" s="778">
        <f>ROUND(U305*O305,0)</f>
        <v>175000</v>
      </c>
      <c r="W305" s="2010">
        <v>1404000</v>
      </c>
      <c r="X305" s="779"/>
      <c r="Y305" s="2012"/>
      <c r="Z305" s="780">
        <f>T305+V305+W305+Y305</f>
        <v>1769000</v>
      </c>
      <c r="AA305" s="2007"/>
      <c r="AB305" s="2007"/>
      <c r="AC305" s="765"/>
      <c r="AD305" s="781">
        <f t="shared" si="362"/>
        <v>0</v>
      </c>
      <c r="AE305" s="778">
        <f t="shared" si="363"/>
        <v>0</v>
      </c>
      <c r="AF305" s="781">
        <f t="shared" si="364"/>
        <v>0</v>
      </c>
      <c r="AG305" s="781">
        <f t="shared" si="365"/>
        <v>0</v>
      </c>
      <c r="AH305" s="781">
        <f t="shared" si="366"/>
        <v>0</v>
      </c>
      <c r="AI305" s="782">
        <f t="shared" si="367"/>
        <v>0</v>
      </c>
      <c r="AJ305" s="781">
        <f t="shared" si="368"/>
        <v>0</v>
      </c>
      <c r="AK305" s="781">
        <f t="shared" si="369"/>
        <v>0</v>
      </c>
      <c r="AL305" s="781">
        <f t="shared" si="370"/>
        <v>0</v>
      </c>
      <c r="AM305" s="781">
        <f t="shared" si="371"/>
        <v>0</v>
      </c>
      <c r="AN305" s="781">
        <f t="shared" si="372"/>
        <v>0</v>
      </c>
      <c r="AO305" s="781">
        <f t="shared" si="373"/>
        <v>0</v>
      </c>
      <c r="AP305" s="781">
        <f t="shared" si="374"/>
        <v>0</v>
      </c>
      <c r="AQ305" s="781">
        <f t="shared" si="375"/>
        <v>0</v>
      </c>
      <c r="AR305" s="781">
        <f t="shared" si="376"/>
        <v>0</v>
      </c>
      <c r="AS305" s="783">
        <f t="shared" si="377"/>
        <v>0</v>
      </c>
      <c r="AT305" s="917"/>
      <c r="AU305" s="721"/>
      <c r="AV305" s="721"/>
      <c r="AW305" s="832"/>
      <c r="AX305" s="2481" t="s">
        <v>2992</v>
      </c>
      <c r="AY305" s="2482"/>
      <c r="BM305" s="2010">
        <v>1404000</v>
      </c>
    </row>
    <row r="306" spans="1:65" ht="15" hidden="1" outlineLevel="1" x14ac:dyDescent="0.25">
      <c r="A306" s="784"/>
      <c r="B306" s="904">
        <f t="shared" si="356"/>
        <v>288</v>
      </c>
      <c r="C306" s="170" t="str">
        <f t="shared" si="355"/>
        <v>51EA</v>
      </c>
      <c r="D306" s="557"/>
      <c r="E306" s="170"/>
      <c r="F306" s="721">
        <v>51</v>
      </c>
      <c r="G306" s="2007" t="s">
        <v>1156</v>
      </c>
      <c r="H306" s="1926"/>
      <c r="I306" s="2008" t="s">
        <v>732</v>
      </c>
      <c r="J306" s="1926"/>
      <c r="K306" s="1926"/>
      <c r="L306" s="170"/>
      <c r="M306" s="2009">
        <v>1150</v>
      </c>
      <c r="N306" s="2010">
        <v>1</v>
      </c>
      <c r="O306" s="773">
        <f t="shared" si="385"/>
        <v>1150</v>
      </c>
      <c r="P306" s="2076" t="s">
        <v>39</v>
      </c>
      <c r="Q306" s="2008" t="s">
        <v>39</v>
      </c>
      <c r="R306" s="2011" t="s">
        <v>74</v>
      </c>
      <c r="S306" s="912">
        <f>SUMIF('Data Input sheet'!$B$118:$B$180,R306,'Data Input sheet'!$D$118:$D$180)</f>
        <v>152</v>
      </c>
      <c r="T306" s="2685">
        <v>30000</v>
      </c>
      <c r="U306" s="2013">
        <v>100</v>
      </c>
      <c r="V306" s="778">
        <f t="shared" ref="V306" si="390">ROUND(U306*O306,0)</f>
        <v>115000</v>
      </c>
      <c r="W306" s="2010">
        <v>1382250</v>
      </c>
      <c r="X306" s="779"/>
      <c r="Y306" s="2012"/>
      <c r="Z306" s="780">
        <f t="shared" ref="Z306" si="391">T306+V306+W306+Y306</f>
        <v>1527250</v>
      </c>
      <c r="AA306" s="2007"/>
      <c r="AB306" s="2007"/>
      <c r="AC306" s="765"/>
      <c r="AD306" s="781">
        <f t="shared" si="362"/>
        <v>0</v>
      </c>
      <c r="AE306" s="778">
        <f t="shared" si="363"/>
        <v>0</v>
      </c>
      <c r="AF306" s="781">
        <f t="shared" si="364"/>
        <v>0</v>
      </c>
      <c r="AG306" s="781">
        <f t="shared" si="365"/>
        <v>0</v>
      </c>
      <c r="AH306" s="781">
        <f t="shared" si="366"/>
        <v>0</v>
      </c>
      <c r="AI306" s="782">
        <f t="shared" si="367"/>
        <v>0</v>
      </c>
      <c r="AJ306" s="781">
        <f t="shared" si="368"/>
        <v>0</v>
      </c>
      <c r="AK306" s="781">
        <f t="shared" si="369"/>
        <v>0</v>
      </c>
      <c r="AL306" s="781">
        <f t="shared" si="370"/>
        <v>0</v>
      </c>
      <c r="AM306" s="781">
        <f t="shared" si="371"/>
        <v>0</v>
      </c>
      <c r="AN306" s="781">
        <f t="shared" si="372"/>
        <v>0</v>
      </c>
      <c r="AO306" s="781">
        <f t="shared" si="373"/>
        <v>0</v>
      </c>
      <c r="AP306" s="781">
        <f t="shared" si="374"/>
        <v>0</v>
      </c>
      <c r="AQ306" s="781">
        <f t="shared" si="375"/>
        <v>0</v>
      </c>
      <c r="AR306" s="781">
        <f t="shared" si="376"/>
        <v>0</v>
      </c>
      <c r="AS306" s="783">
        <f t="shared" si="377"/>
        <v>0</v>
      </c>
      <c r="AT306" s="917"/>
      <c r="AW306" s="832"/>
      <c r="AX306" s="2481" t="s">
        <v>2993</v>
      </c>
      <c r="AY306" s="2482"/>
      <c r="BM306" s="2010">
        <v>1382250</v>
      </c>
    </row>
    <row r="307" spans="1:65" ht="15" hidden="1" outlineLevel="1" x14ac:dyDescent="0.25">
      <c r="A307" s="787"/>
      <c r="B307" s="904">
        <f t="shared" si="356"/>
        <v>289</v>
      </c>
      <c r="C307" s="170" t="str">
        <f t="shared" si="355"/>
        <v>51EA</v>
      </c>
      <c r="D307" s="906"/>
      <c r="E307" s="721"/>
      <c r="F307" s="721">
        <v>51</v>
      </c>
      <c r="G307" s="2007" t="s">
        <v>2004</v>
      </c>
      <c r="H307" s="1926"/>
      <c r="I307" s="2008" t="s">
        <v>732</v>
      </c>
      <c r="J307" s="1926"/>
      <c r="K307" s="1926"/>
      <c r="L307" s="170"/>
      <c r="M307" s="2009">
        <v>900</v>
      </c>
      <c r="N307" s="2010">
        <v>1</v>
      </c>
      <c r="O307" s="773">
        <f t="shared" si="385"/>
        <v>900</v>
      </c>
      <c r="P307" s="2076" t="s">
        <v>39</v>
      </c>
      <c r="Q307" s="2008" t="s">
        <v>39</v>
      </c>
      <c r="R307" s="2011" t="s">
        <v>74</v>
      </c>
      <c r="S307" s="912">
        <f>SUMIF('Data Input sheet'!$B$118:$B$180,R307,'Data Input sheet'!$D$118:$D$180)</f>
        <v>152</v>
      </c>
      <c r="T307" s="2685">
        <f>+O307*S307</f>
        <v>136800</v>
      </c>
      <c r="U307" s="2013">
        <v>70</v>
      </c>
      <c r="V307" s="778">
        <f t="shared" ref="V307:V317" si="392">ROUND(U307*O307,0)</f>
        <v>63000</v>
      </c>
      <c r="W307" s="2010">
        <v>458944.51199999999</v>
      </c>
      <c r="X307" s="779"/>
      <c r="Y307" s="2012"/>
      <c r="Z307" s="780">
        <f t="shared" ref="Z307:Z317" si="393">T307+V307+W307+Y307</f>
        <v>658744.51199999999</v>
      </c>
      <c r="AA307" s="2007"/>
      <c r="AB307" s="2007"/>
      <c r="AC307" s="765"/>
      <c r="AD307" s="781">
        <f t="shared" si="362"/>
        <v>0</v>
      </c>
      <c r="AE307" s="778">
        <f t="shared" si="363"/>
        <v>0</v>
      </c>
      <c r="AF307" s="781">
        <f t="shared" si="364"/>
        <v>0</v>
      </c>
      <c r="AG307" s="781">
        <f t="shared" si="365"/>
        <v>0</v>
      </c>
      <c r="AH307" s="781">
        <f t="shared" si="366"/>
        <v>0</v>
      </c>
      <c r="AI307" s="782">
        <f t="shared" si="367"/>
        <v>0</v>
      </c>
      <c r="AJ307" s="781">
        <f t="shared" si="368"/>
        <v>0</v>
      </c>
      <c r="AK307" s="781">
        <f t="shared" si="369"/>
        <v>0</v>
      </c>
      <c r="AL307" s="781">
        <f t="shared" si="370"/>
        <v>0</v>
      </c>
      <c r="AM307" s="781">
        <f t="shared" si="371"/>
        <v>0</v>
      </c>
      <c r="AN307" s="781">
        <f t="shared" si="372"/>
        <v>0</v>
      </c>
      <c r="AO307" s="781">
        <f t="shared" si="373"/>
        <v>0</v>
      </c>
      <c r="AP307" s="781">
        <f t="shared" si="374"/>
        <v>0</v>
      </c>
      <c r="AQ307" s="781">
        <f t="shared" si="375"/>
        <v>0</v>
      </c>
      <c r="AR307" s="781">
        <f t="shared" si="376"/>
        <v>0</v>
      </c>
      <c r="AS307" s="783">
        <f t="shared" si="377"/>
        <v>0</v>
      </c>
      <c r="AT307" s="917"/>
      <c r="AV307" s="721"/>
      <c r="AW307" s="832"/>
      <c r="AX307" s="2481" t="s">
        <v>841</v>
      </c>
      <c r="AY307" s="2482"/>
      <c r="BM307" s="2010">
        <v>458944.51199999999</v>
      </c>
    </row>
    <row r="308" spans="1:65" ht="15" hidden="1" outlineLevel="1" x14ac:dyDescent="0.25">
      <c r="A308" s="784"/>
      <c r="B308" s="904">
        <f t="shared" si="356"/>
        <v>290</v>
      </c>
      <c r="C308" s="170" t="str">
        <f t="shared" si="355"/>
        <v>51EA</v>
      </c>
      <c r="D308" s="557"/>
      <c r="E308" s="170"/>
      <c r="F308" s="721">
        <v>51</v>
      </c>
      <c r="G308" s="2068" t="s">
        <v>1824</v>
      </c>
      <c r="H308" s="2039"/>
      <c r="I308" s="2008" t="s">
        <v>732</v>
      </c>
      <c r="J308" s="2039"/>
      <c r="K308" s="2039"/>
      <c r="L308" s="488"/>
      <c r="M308" s="2041">
        <v>0</v>
      </c>
      <c r="N308" s="2043">
        <v>1</v>
      </c>
      <c r="O308" s="1967">
        <f t="shared" si="385"/>
        <v>0</v>
      </c>
      <c r="P308" s="2076" t="s">
        <v>39</v>
      </c>
      <c r="Q308" s="2008" t="s">
        <v>39</v>
      </c>
      <c r="R308" s="2011" t="s">
        <v>74</v>
      </c>
      <c r="S308" s="912">
        <f>SUMIF('Data Input sheet'!$B$118:$B$180,R308,'Data Input sheet'!$D$118:$D$180)</f>
        <v>152</v>
      </c>
      <c r="T308" s="2686">
        <f t="shared" si="386"/>
        <v>0</v>
      </c>
      <c r="U308" s="2042"/>
      <c r="V308" s="1981">
        <f t="shared" si="392"/>
        <v>0</v>
      </c>
      <c r="W308" s="2046">
        <v>850000</v>
      </c>
      <c r="X308" s="2502"/>
      <c r="Y308" s="2047">
        <v>0</v>
      </c>
      <c r="Z308" s="780">
        <f t="shared" si="393"/>
        <v>850000</v>
      </c>
      <c r="AA308" s="2007"/>
      <c r="AB308" s="2007"/>
      <c r="AC308" s="765"/>
      <c r="AD308" s="781">
        <f t="shared" si="362"/>
        <v>0</v>
      </c>
      <c r="AE308" s="778">
        <f t="shared" si="363"/>
        <v>0</v>
      </c>
      <c r="AF308" s="781">
        <f t="shared" si="364"/>
        <v>0</v>
      </c>
      <c r="AG308" s="781">
        <f t="shared" si="365"/>
        <v>0</v>
      </c>
      <c r="AH308" s="781">
        <f t="shared" si="366"/>
        <v>0</v>
      </c>
      <c r="AI308" s="782">
        <f t="shared" si="367"/>
        <v>0</v>
      </c>
      <c r="AJ308" s="781">
        <f t="shared" si="368"/>
        <v>0</v>
      </c>
      <c r="AK308" s="781">
        <f t="shared" si="369"/>
        <v>0</v>
      </c>
      <c r="AL308" s="781">
        <f t="shared" si="370"/>
        <v>0</v>
      </c>
      <c r="AM308" s="781">
        <f t="shared" si="371"/>
        <v>0</v>
      </c>
      <c r="AN308" s="781">
        <f t="shared" si="372"/>
        <v>0</v>
      </c>
      <c r="AO308" s="781">
        <f t="shared" si="373"/>
        <v>0</v>
      </c>
      <c r="AP308" s="781">
        <f t="shared" si="374"/>
        <v>0</v>
      </c>
      <c r="AQ308" s="781">
        <f t="shared" si="375"/>
        <v>0</v>
      </c>
      <c r="AR308" s="781">
        <f t="shared" si="376"/>
        <v>0</v>
      </c>
      <c r="AS308" s="783">
        <f t="shared" si="377"/>
        <v>0</v>
      </c>
    </row>
    <row r="309" spans="1:65" ht="15" hidden="1" outlineLevel="1" x14ac:dyDescent="0.25">
      <c r="A309" s="784"/>
      <c r="B309" s="904">
        <f t="shared" si="356"/>
        <v>291</v>
      </c>
      <c r="C309" s="170" t="str">
        <f t="shared" si="355"/>
        <v>51EA</v>
      </c>
      <c r="D309" s="557"/>
      <c r="E309" s="170"/>
      <c r="F309" s="721">
        <v>51</v>
      </c>
      <c r="G309" s="2068" t="s">
        <v>1825</v>
      </c>
      <c r="H309" s="2039"/>
      <c r="I309" s="2008" t="s">
        <v>732</v>
      </c>
      <c r="J309" s="2039"/>
      <c r="K309" s="2039"/>
      <c r="L309" s="488"/>
      <c r="M309" s="2041">
        <v>0</v>
      </c>
      <c r="N309" s="2043">
        <v>1</v>
      </c>
      <c r="O309" s="1967">
        <f t="shared" si="385"/>
        <v>0</v>
      </c>
      <c r="P309" s="2076" t="s">
        <v>39</v>
      </c>
      <c r="Q309" s="2008" t="s">
        <v>39</v>
      </c>
      <c r="R309" s="2011" t="s">
        <v>74</v>
      </c>
      <c r="S309" s="912">
        <f>SUMIF('Data Input sheet'!$B$118:$B$180,R309,'Data Input sheet'!$D$118:$D$180)</f>
        <v>152</v>
      </c>
      <c r="T309" s="2686">
        <f t="shared" si="386"/>
        <v>0</v>
      </c>
      <c r="U309" s="2042"/>
      <c r="V309" s="1981">
        <f t="shared" si="392"/>
        <v>0</v>
      </c>
      <c r="W309" s="2046">
        <v>1000000</v>
      </c>
      <c r="X309" s="2502"/>
      <c r="Y309" s="2047">
        <v>0</v>
      </c>
      <c r="Z309" s="780">
        <f t="shared" si="393"/>
        <v>1000000</v>
      </c>
      <c r="AA309" s="2007"/>
      <c r="AB309" s="2007"/>
      <c r="AC309" s="765"/>
      <c r="AD309" s="781">
        <f t="shared" si="362"/>
        <v>0</v>
      </c>
      <c r="AE309" s="778">
        <f t="shared" si="363"/>
        <v>0</v>
      </c>
      <c r="AF309" s="781">
        <f t="shared" si="364"/>
        <v>0</v>
      </c>
      <c r="AG309" s="781">
        <f t="shared" si="365"/>
        <v>0</v>
      </c>
      <c r="AH309" s="781">
        <f t="shared" si="366"/>
        <v>0</v>
      </c>
      <c r="AI309" s="782">
        <f t="shared" si="367"/>
        <v>0</v>
      </c>
      <c r="AJ309" s="781">
        <f t="shared" si="368"/>
        <v>0</v>
      </c>
      <c r="AK309" s="781">
        <f t="shared" si="369"/>
        <v>0</v>
      </c>
      <c r="AL309" s="781">
        <f t="shared" si="370"/>
        <v>0</v>
      </c>
      <c r="AM309" s="781">
        <f t="shared" si="371"/>
        <v>0</v>
      </c>
      <c r="AN309" s="781">
        <f t="shared" si="372"/>
        <v>0</v>
      </c>
      <c r="AO309" s="781">
        <f t="shared" si="373"/>
        <v>0</v>
      </c>
      <c r="AP309" s="781">
        <f t="shared" si="374"/>
        <v>0</v>
      </c>
      <c r="AQ309" s="781">
        <f t="shared" si="375"/>
        <v>0</v>
      </c>
      <c r="AR309" s="781">
        <f t="shared" si="376"/>
        <v>0</v>
      </c>
      <c r="AS309" s="783">
        <f t="shared" si="377"/>
        <v>0</v>
      </c>
    </row>
    <row r="310" spans="1:65" ht="15" hidden="1" outlineLevel="1" x14ac:dyDescent="0.25">
      <c r="A310" s="784"/>
      <c r="B310" s="904">
        <f t="shared" si="356"/>
        <v>292</v>
      </c>
      <c r="C310" s="170" t="str">
        <f t="shared" si="355"/>
        <v>51EA</v>
      </c>
      <c r="D310" s="557"/>
      <c r="E310" s="170"/>
      <c r="F310" s="721">
        <v>51</v>
      </c>
      <c r="G310" s="2068" t="s">
        <v>1826</v>
      </c>
      <c r="H310" s="2039"/>
      <c r="I310" s="2008" t="s">
        <v>732</v>
      </c>
      <c r="J310" s="2039"/>
      <c r="K310" s="2039"/>
      <c r="L310" s="488"/>
      <c r="M310" s="2041">
        <v>0</v>
      </c>
      <c r="N310" s="2043">
        <v>1</v>
      </c>
      <c r="O310" s="1967">
        <f t="shared" si="385"/>
        <v>0</v>
      </c>
      <c r="P310" s="2076" t="s">
        <v>39</v>
      </c>
      <c r="Q310" s="2008" t="s">
        <v>39</v>
      </c>
      <c r="R310" s="2011" t="s">
        <v>74</v>
      </c>
      <c r="S310" s="912">
        <f>SUMIF('Data Input sheet'!$B$118:$B$180,R310,'Data Input sheet'!$D$118:$D$180)</f>
        <v>152</v>
      </c>
      <c r="T310" s="2686">
        <f t="shared" si="386"/>
        <v>0</v>
      </c>
      <c r="U310" s="2042"/>
      <c r="V310" s="1981">
        <f t="shared" si="392"/>
        <v>0</v>
      </c>
      <c r="W310" s="2046">
        <v>1413000</v>
      </c>
      <c r="X310" s="2502"/>
      <c r="Y310" s="2047">
        <v>0</v>
      </c>
      <c r="Z310" s="780">
        <f t="shared" si="393"/>
        <v>1413000</v>
      </c>
      <c r="AA310" s="2007"/>
      <c r="AB310" s="2007"/>
      <c r="AC310" s="765"/>
      <c r="AD310" s="781">
        <f t="shared" si="362"/>
        <v>0</v>
      </c>
      <c r="AE310" s="778">
        <f t="shared" si="363"/>
        <v>0</v>
      </c>
      <c r="AF310" s="781">
        <f t="shared" si="364"/>
        <v>0</v>
      </c>
      <c r="AG310" s="781">
        <f t="shared" si="365"/>
        <v>0</v>
      </c>
      <c r="AH310" s="781">
        <f t="shared" si="366"/>
        <v>0</v>
      </c>
      <c r="AI310" s="782">
        <f t="shared" si="367"/>
        <v>0</v>
      </c>
      <c r="AJ310" s="781">
        <f t="shared" si="368"/>
        <v>0</v>
      </c>
      <c r="AK310" s="781">
        <f t="shared" si="369"/>
        <v>0</v>
      </c>
      <c r="AL310" s="781">
        <f t="shared" si="370"/>
        <v>0</v>
      </c>
      <c r="AM310" s="781">
        <f t="shared" si="371"/>
        <v>0</v>
      </c>
      <c r="AN310" s="781">
        <f t="shared" si="372"/>
        <v>0</v>
      </c>
      <c r="AO310" s="781">
        <f t="shared" si="373"/>
        <v>0</v>
      </c>
      <c r="AP310" s="781">
        <f t="shared" si="374"/>
        <v>0</v>
      </c>
      <c r="AQ310" s="781">
        <f t="shared" si="375"/>
        <v>0</v>
      </c>
      <c r="AR310" s="781">
        <f t="shared" si="376"/>
        <v>0</v>
      </c>
      <c r="AS310" s="783">
        <f t="shared" si="377"/>
        <v>0</v>
      </c>
    </row>
    <row r="311" spans="1:65" ht="15" hidden="1" outlineLevel="1" x14ac:dyDescent="0.25">
      <c r="A311" s="784"/>
      <c r="B311" s="904">
        <f t="shared" si="356"/>
        <v>293</v>
      </c>
      <c r="C311" s="170" t="str">
        <f t="shared" si="355"/>
        <v>51EA</v>
      </c>
      <c r="D311" s="557"/>
      <c r="E311" s="170"/>
      <c r="F311" s="721">
        <v>51</v>
      </c>
      <c r="G311" s="2068" t="s">
        <v>1827</v>
      </c>
      <c r="H311" s="2039"/>
      <c r="I311" s="2008" t="s">
        <v>732</v>
      </c>
      <c r="J311" s="2039"/>
      <c r="K311" s="2039"/>
      <c r="L311" s="488"/>
      <c r="M311" s="2041">
        <v>0</v>
      </c>
      <c r="N311" s="2043">
        <v>1</v>
      </c>
      <c r="O311" s="1967">
        <f t="shared" si="385"/>
        <v>0</v>
      </c>
      <c r="P311" s="2076" t="s">
        <v>39</v>
      </c>
      <c r="Q311" s="2008" t="s">
        <v>39</v>
      </c>
      <c r="R311" s="2011" t="s">
        <v>74</v>
      </c>
      <c r="S311" s="912">
        <f>SUMIF('Data Input sheet'!$B$118:$B$180,R311,'Data Input sheet'!$D$118:$D$180)</f>
        <v>152</v>
      </c>
      <c r="T311" s="2686">
        <f t="shared" si="386"/>
        <v>0</v>
      </c>
      <c r="U311" s="2042"/>
      <c r="V311" s="1981">
        <f t="shared" si="392"/>
        <v>0</v>
      </c>
      <c r="W311" s="2046">
        <v>1600000</v>
      </c>
      <c r="X311" s="2502"/>
      <c r="Y311" s="2047">
        <v>0</v>
      </c>
      <c r="Z311" s="780">
        <f t="shared" si="393"/>
        <v>1600000</v>
      </c>
      <c r="AA311" s="2007"/>
      <c r="AB311" s="2007"/>
      <c r="AC311" s="765"/>
      <c r="AD311" s="781">
        <f t="shared" si="362"/>
        <v>0</v>
      </c>
      <c r="AE311" s="778">
        <f t="shared" si="363"/>
        <v>0</v>
      </c>
      <c r="AF311" s="781">
        <f t="shared" si="364"/>
        <v>0</v>
      </c>
      <c r="AG311" s="781">
        <f t="shared" si="365"/>
        <v>0</v>
      </c>
      <c r="AH311" s="781">
        <f t="shared" si="366"/>
        <v>0</v>
      </c>
      <c r="AI311" s="782">
        <f t="shared" si="367"/>
        <v>0</v>
      </c>
      <c r="AJ311" s="781">
        <f t="shared" si="368"/>
        <v>0</v>
      </c>
      <c r="AK311" s="781">
        <f t="shared" si="369"/>
        <v>0</v>
      </c>
      <c r="AL311" s="781">
        <f t="shared" si="370"/>
        <v>0</v>
      </c>
      <c r="AM311" s="781">
        <f t="shared" si="371"/>
        <v>0</v>
      </c>
      <c r="AN311" s="781">
        <f t="shared" si="372"/>
        <v>0</v>
      </c>
      <c r="AO311" s="781">
        <f t="shared" si="373"/>
        <v>0</v>
      </c>
      <c r="AP311" s="781">
        <f t="shared" si="374"/>
        <v>0</v>
      </c>
      <c r="AQ311" s="781">
        <f t="shared" si="375"/>
        <v>0</v>
      </c>
      <c r="AR311" s="781">
        <f t="shared" si="376"/>
        <v>0</v>
      </c>
      <c r="AS311" s="783">
        <f t="shared" si="377"/>
        <v>0</v>
      </c>
    </row>
    <row r="312" spans="1:65" ht="15" hidden="1" outlineLevel="1" x14ac:dyDescent="0.25">
      <c r="A312" s="784"/>
      <c r="B312" s="904">
        <f t="shared" si="356"/>
        <v>294</v>
      </c>
      <c r="C312" s="170" t="str">
        <f t="shared" si="355"/>
        <v>51EA</v>
      </c>
      <c r="D312" s="557"/>
      <c r="E312" s="170"/>
      <c r="F312" s="721">
        <v>51</v>
      </c>
      <c r="G312" s="2068" t="s">
        <v>1828</v>
      </c>
      <c r="H312" s="2039"/>
      <c r="I312" s="2008" t="s">
        <v>732</v>
      </c>
      <c r="J312" s="2039"/>
      <c r="K312" s="2039"/>
      <c r="L312" s="488"/>
      <c r="M312" s="2041">
        <v>0</v>
      </c>
      <c r="N312" s="2043">
        <v>1</v>
      </c>
      <c r="O312" s="1967">
        <f t="shared" si="385"/>
        <v>0</v>
      </c>
      <c r="P312" s="2076" t="s">
        <v>39</v>
      </c>
      <c r="Q312" s="2008" t="s">
        <v>39</v>
      </c>
      <c r="R312" s="2011" t="s">
        <v>74</v>
      </c>
      <c r="S312" s="912">
        <f>SUMIF('Data Input sheet'!$B$118:$B$180,R312,'Data Input sheet'!$D$118:$D$180)</f>
        <v>152</v>
      </c>
      <c r="T312" s="2686">
        <f t="shared" si="386"/>
        <v>0</v>
      </c>
      <c r="U312" s="2042"/>
      <c r="V312" s="1981">
        <f t="shared" si="392"/>
        <v>0</v>
      </c>
      <c r="W312" s="2046">
        <v>42400</v>
      </c>
      <c r="X312" s="2502"/>
      <c r="Y312" s="2047">
        <v>0</v>
      </c>
      <c r="Z312" s="780">
        <f t="shared" si="393"/>
        <v>42400</v>
      </c>
      <c r="AA312" s="2007"/>
      <c r="AB312" s="2007"/>
      <c r="AC312" s="765">
        <f t="shared" ref="AC312" si="394">IF(V312=0,0,ROUND(V312/O312,0))</f>
        <v>0</v>
      </c>
      <c r="AD312" s="781">
        <f t="shared" si="362"/>
        <v>0</v>
      </c>
      <c r="AE312" s="778">
        <f t="shared" si="363"/>
        <v>0</v>
      </c>
      <c r="AF312" s="781">
        <f t="shared" si="364"/>
        <v>0</v>
      </c>
      <c r="AG312" s="781">
        <f t="shared" si="365"/>
        <v>0</v>
      </c>
      <c r="AH312" s="781">
        <f t="shared" si="366"/>
        <v>0</v>
      </c>
      <c r="AI312" s="782">
        <f t="shared" si="367"/>
        <v>0</v>
      </c>
      <c r="AJ312" s="781">
        <f t="shared" si="368"/>
        <v>0</v>
      </c>
      <c r="AK312" s="781">
        <f t="shared" si="369"/>
        <v>0</v>
      </c>
      <c r="AL312" s="781">
        <f t="shared" si="370"/>
        <v>0</v>
      </c>
      <c r="AM312" s="781">
        <f t="shared" si="371"/>
        <v>0</v>
      </c>
      <c r="AN312" s="781">
        <f t="shared" si="372"/>
        <v>0</v>
      </c>
      <c r="AO312" s="781">
        <f t="shared" si="373"/>
        <v>0</v>
      </c>
      <c r="AP312" s="781">
        <f t="shared" si="374"/>
        <v>0</v>
      </c>
      <c r="AQ312" s="781">
        <f t="shared" si="375"/>
        <v>0</v>
      </c>
      <c r="AR312" s="781">
        <f t="shared" si="376"/>
        <v>0</v>
      </c>
      <c r="AS312" s="783">
        <f t="shared" si="377"/>
        <v>0</v>
      </c>
    </row>
    <row r="313" spans="1:65" ht="15" hidden="1" outlineLevel="1" x14ac:dyDescent="0.25">
      <c r="A313" s="784"/>
      <c r="B313" s="904">
        <f t="shared" si="356"/>
        <v>295</v>
      </c>
      <c r="C313" s="170" t="str">
        <f t="shared" si="355"/>
        <v>51EA</v>
      </c>
      <c r="D313" s="557"/>
      <c r="E313" s="170"/>
      <c r="F313" s="721">
        <v>51</v>
      </c>
      <c r="G313" s="2068" t="s">
        <v>1829</v>
      </c>
      <c r="H313" s="2039"/>
      <c r="I313" s="2008" t="s">
        <v>732</v>
      </c>
      <c r="J313" s="2039"/>
      <c r="K313" s="2039"/>
      <c r="L313" s="488"/>
      <c r="M313" s="2041">
        <v>0</v>
      </c>
      <c r="N313" s="2043">
        <v>1</v>
      </c>
      <c r="O313" s="1967">
        <f t="shared" si="385"/>
        <v>0</v>
      </c>
      <c r="P313" s="2076" t="s">
        <v>39</v>
      </c>
      <c r="Q313" s="2008" t="s">
        <v>39</v>
      </c>
      <c r="R313" s="2011" t="s">
        <v>74</v>
      </c>
      <c r="S313" s="912">
        <f>SUMIF('Data Input sheet'!$B$118:$B$180,R313,'Data Input sheet'!$D$118:$D$180)</f>
        <v>152</v>
      </c>
      <c r="T313" s="2686">
        <f t="shared" si="386"/>
        <v>0</v>
      </c>
      <c r="U313" s="2042"/>
      <c r="V313" s="1981">
        <f t="shared" si="392"/>
        <v>0</v>
      </c>
      <c r="W313" s="2046">
        <v>251225</v>
      </c>
      <c r="X313" s="2502"/>
      <c r="Y313" s="2047">
        <v>0</v>
      </c>
      <c r="Z313" s="780">
        <f t="shared" si="393"/>
        <v>251225</v>
      </c>
      <c r="AA313" s="2007"/>
      <c r="AB313" s="2007"/>
      <c r="AC313" s="765"/>
      <c r="AD313" s="781">
        <f t="shared" si="362"/>
        <v>0</v>
      </c>
      <c r="AE313" s="778">
        <f t="shared" si="363"/>
        <v>0</v>
      </c>
      <c r="AF313" s="781">
        <f t="shared" si="364"/>
        <v>0</v>
      </c>
      <c r="AG313" s="781">
        <f t="shared" si="365"/>
        <v>0</v>
      </c>
      <c r="AH313" s="781">
        <f t="shared" si="366"/>
        <v>0</v>
      </c>
      <c r="AI313" s="782">
        <f t="shared" si="367"/>
        <v>0</v>
      </c>
      <c r="AJ313" s="781">
        <f t="shared" si="368"/>
        <v>0</v>
      </c>
      <c r="AK313" s="781">
        <f t="shared" si="369"/>
        <v>0</v>
      </c>
      <c r="AL313" s="781">
        <f t="shared" si="370"/>
        <v>0</v>
      </c>
      <c r="AM313" s="781">
        <f t="shared" si="371"/>
        <v>0</v>
      </c>
      <c r="AN313" s="781">
        <f t="shared" si="372"/>
        <v>0</v>
      </c>
      <c r="AO313" s="781">
        <f t="shared" si="373"/>
        <v>0</v>
      </c>
      <c r="AP313" s="781">
        <f t="shared" si="374"/>
        <v>0</v>
      </c>
      <c r="AQ313" s="781">
        <f t="shared" si="375"/>
        <v>0</v>
      </c>
      <c r="AR313" s="781">
        <f t="shared" si="376"/>
        <v>0</v>
      </c>
      <c r="AS313" s="783">
        <f t="shared" si="377"/>
        <v>0</v>
      </c>
    </row>
    <row r="314" spans="1:65" ht="15" hidden="1" outlineLevel="1" x14ac:dyDescent="0.25">
      <c r="A314" s="784"/>
      <c r="B314" s="904">
        <f t="shared" si="356"/>
        <v>296</v>
      </c>
      <c r="C314" s="170" t="str">
        <f t="shared" si="355"/>
        <v>51EA</v>
      </c>
      <c r="D314" s="557"/>
      <c r="E314" s="170"/>
      <c r="F314" s="721">
        <v>51</v>
      </c>
      <c r="G314" s="2068" t="s">
        <v>1831</v>
      </c>
      <c r="H314" s="2039"/>
      <c r="I314" s="2008" t="s">
        <v>732</v>
      </c>
      <c r="J314" s="2039"/>
      <c r="K314" s="2039"/>
      <c r="L314" s="488"/>
      <c r="M314" s="2041">
        <v>0</v>
      </c>
      <c r="N314" s="2043">
        <v>1</v>
      </c>
      <c r="O314" s="1967">
        <f t="shared" si="385"/>
        <v>0</v>
      </c>
      <c r="P314" s="2076" t="s">
        <v>39</v>
      </c>
      <c r="Q314" s="2008" t="s">
        <v>39</v>
      </c>
      <c r="R314" s="2011" t="s">
        <v>74</v>
      </c>
      <c r="S314" s="912">
        <f>SUMIF('Data Input sheet'!$B$118:$B$180,R314,'Data Input sheet'!$D$118:$D$180)</f>
        <v>152</v>
      </c>
      <c r="T314" s="2686">
        <f>ROUND(O314*S314,0)</f>
        <v>0</v>
      </c>
      <c r="U314" s="2042"/>
      <c r="V314" s="1981">
        <f t="shared" si="392"/>
        <v>0</v>
      </c>
      <c r="W314" s="2046">
        <v>10000</v>
      </c>
      <c r="X314" s="2502"/>
      <c r="Y314" s="2047">
        <v>0</v>
      </c>
      <c r="Z314" s="780">
        <f t="shared" si="393"/>
        <v>10000</v>
      </c>
      <c r="AA314" s="2007"/>
      <c r="AB314" s="2007"/>
      <c r="AC314" s="765"/>
      <c r="AD314" s="781">
        <f t="shared" si="362"/>
        <v>0</v>
      </c>
      <c r="AE314" s="778">
        <f t="shared" si="363"/>
        <v>0</v>
      </c>
      <c r="AF314" s="781">
        <f t="shared" si="364"/>
        <v>0</v>
      </c>
      <c r="AG314" s="781">
        <f t="shared" si="365"/>
        <v>0</v>
      </c>
      <c r="AH314" s="781">
        <f t="shared" si="366"/>
        <v>0</v>
      </c>
      <c r="AI314" s="782">
        <f t="shared" si="367"/>
        <v>0</v>
      </c>
      <c r="AJ314" s="781">
        <f t="shared" si="368"/>
        <v>0</v>
      </c>
      <c r="AK314" s="781">
        <f t="shared" si="369"/>
        <v>0</v>
      </c>
      <c r="AL314" s="781">
        <f t="shared" si="370"/>
        <v>0</v>
      </c>
      <c r="AM314" s="781">
        <f t="shared" si="371"/>
        <v>0</v>
      </c>
      <c r="AN314" s="781">
        <f t="shared" si="372"/>
        <v>0</v>
      </c>
      <c r="AO314" s="781">
        <f t="shared" si="373"/>
        <v>0</v>
      </c>
      <c r="AP314" s="781">
        <f t="shared" si="374"/>
        <v>0</v>
      </c>
      <c r="AQ314" s="781">
        <f t="shared" si="375"/>
        <v>0</v>
      </c>
      <c r="AR314" s="781">
        <f t="shared" si="376"/>
        <v>0</v>
      </c>
      <c r="AS314" s="783">
        <f t="shared" si="377"/>
        <v>0</v>
      </c>
    </row>
    <row r="315" spans="1:65" ht="15" hidden="1" outlineLevel="1" x14ac:dyDescent="0.25">
      <c r="A315" s="784"/>
      <c r="B315" s="904">
        <f t="shared" si="356"/>
        <v>297</v>
      </c>
      <c r="C315" s="170" t="str">
        <f t="shared" si="355"/>
        <v>51EA</v>
      </c>
      <c r="D315" s="557"/>
      <c r="E315" s="170"/>
      <c r="F315" s="721">
        <v>51</v>
      </c>
      <c r="G315" s="2007" t="s">
        <v>1157</v>
      </c>
      <c r="H315" s="1926"/>
      <c r="I315" s="2008" t="s">
        <v>732</v>
      </c>
      <c r="J315" s="1926"/>
      <c r="K315" s="1926"/>
      <c r="L315" s="170"/>
      <c r="M315" s="2009"/>
      <c r="N315" s="2010">
        <v>1</v>
      </c>
      <c r="O315" s="773">
        <f t="shared" si="385"/>
        <v>0</v>
      </c>
      <c r="P315" s="2076" t="s">
        <v>39</v>
      </c>
      <c r="Q315" s="2008" t="s">
        <v>39</v>
      </c>
      <c r="R315" s="2011" t="s">
        <v>74</v>
      </c>
      <c r="S315" s="912">
        <f>SUMIF('Data Input sheet'!$B$118:$B$180,R315,'Data Input sheet'!$D$118:$D$180)</f>
        <v>152</v>
      </c>
      <c r="T315" s="2685">
        <f>+O315*S315</f>
        <v>0</v>
      </c>
      <c r="U315" s="2013">
        <v>0</v>
      </c>
      <c r="V315" s="778">
        <f t="shared" si="392"/>
        <v>0</v>
      </c>
      <c r="W315" s="2010">
        <v>25000</v>
      </c>
      <c r="X315" s="779"/>
      <c r="Y315" s="2012"/>
      <c r="Z315" s="780">
        <f t="shared" si="393"/>
        <v>25000</v>
      </c>
      <c r="AA315" s="2007"/>
      <c r="AB315" s="2007"/>
      <c r="AC315" s="765"/>
      <c r="AD315" s="781">
        <f t="shared" si="362"/>
        <v>0</v>
      </c>
      <c r="AE315" s="778">
        <f t="shared" si="363"/>
        <v>0</v>
      </c>
      <c r="AF315" s="781">
        <f t="shared" si="364"/>
        <v>0</v>
      </c>
      <c r="AG315" s="781">
        <f t="shared" si="365"/>
        <v>0</v>
      </c>
      <c r="AH315" s="781">
        <f t="shared" si="366"/>
        <v>0</v>
      </c>
      <c r="AI315" s="782">
        <f t="shared" si="367"/>
        <v>0</v>
      </c>
      <c r="AJ315" s="781">
        <f t="shared" si="368"/>
        <v>0</v>
      </c>
      <c r="AK315" s="781">
        <f t="shared" si="369"/>
        <v>0</v>
      </c>
      <c r="AL315" s="781">
        <f t="shared" si="370"/>
        <v>0</v>
      </c>
      <c r="AM315" s="781">
        <f t="shared" si="371"/>
        <v>0</v>
      </c>
      <c r="AN315" s="781">
        <f t="shared" si="372"/>
        <v>0</v>
      </c>
      <c r="AO315" s="781">
        <f t="shared" si="373"/>
        <v>0</v>
      </c>
      <c r="AP315" s="781">
        <f t="shared" si="374"/>
        <v>0</v>
      </c>
      <c r="AQ315" s="781">
        <f t="shared" si="375"/>
        <v>0</v>
      </c>
      <c r="AR315" s="781">
        <f t="shared" si="376"/>
        <v>0</v>
      </c>
      <c r="AS315" s="783">
        <f t="shared" si="377"/>
        <v>0</v>
      </c>
      <c r="AT315" s="917"/>
      <c r="AW315" s="832"/>
      <c r="AX315" s="833" t="s">
        <v>3030</v>
      </c>
      <c r="BM315" s="2010">
        <v>25000</v>
      </c>
    </row>
    <row r="316" spans="1:65" ht="15" hidden="1" outlineLevel="1" x14ac:dyDescent="0.25">
      <c r="A316" s="784"/>
      <c r="B316" s="904">
        <f t="shared" si="356"/>
        <v>298</v>
      </c>
      <c r="C316" s="170" t="str">
        <f t="shared" si="355"/>
        <v>51EA</v>
      </c>
      <c r="D316" s="557"/>
      <c r="E316" s="170"/>
      <c r="F316" s="721">
        <v>51</v>
      </c>
      <c r="G316" s="2068" t="s">
        <v>1830</v>
      </c>
      <c r="H316" s="2039"/>
      <c r="I316" s="2008" t="s">
        <v>732</v>
      </c>
      <c r="J316" s="2039"/>
      <c r="K316" s="2039"/>
      <c r="L316" s="488"/>
      <c r="M316" s="2041">
        <v>0</v>
      </c>
      <c r="N316" s="2043">
        <v>1</v>
      </c>
      <c r="O316" s="1967">
        <f t="shared" si="385"/>
        <v>0</v>
      </c>
      <c r="P316" s="2076" t="s">
        <v>39</v>
      </c>
      <c r="Q316" s="2008" t="s">
        <v>39</v>
      </c>
      <c r="R316" s="2011" t="s">
        <v>74</v>
      </c>
      <c r="S316" s="912">
        <f>SUMIF('Data Input sheet'!$B$118:$B$180,R316,'Data Input sheet'!$D$118:$D$180)</f>
        <v>152</v>
      </c>
      <c r="T316" s="2686">
        <f t="shared" ref="T316" si="395">ROUND(O316*S316,0)</f>
        <v>0</v>
      </c>
      <c r="U316" s="2042"/>
      <c r="V316" s="1981">
        <f t="shared" si="392"/>
        <v>0</v>
      </c>
      <c r="W316" s="2046">
        <v>10000</v>
      </c>
      <c r="X316" s="2502"/>
      <c r="Y316" s="2047">
        <v>0</v>
      </c>
      <c r="Z316" s="780">
        <f t="shared" si="393"/>
        <v>10000</v>
      </c>
      <c r="AA316" s="2007"/>
      <c r="AB316" s="2007"/>
      <c r="AC316" s="765"/>
      <c r="AD316" s="781">
        <f t="shared" si="362"/>
        <v>0</v>
      </c>
      <c r="AE316" s="778">
        <f t="shared" si="363"/>
        <v>0</v>
      </c>
      <c r="AF316" s="781">
        <f t="shared" si="364"/>
        <v>0</v>
      </c>
      <c r="AG316" s="781">
        <f t="shared" si="365"/>
        <v>0</v>
      </c>
      <c r="AH316" s="781">
        <f t="shared" si="366"/>
        <v>0</v>
      </c>
      <c r="AI316" s="782">
        <f t="shared" si="367"/>
        <v>0</v>
      </c>
      <c r="AJ316" s="781">
        <f t="shared" si="368"/>
        <v>0</v>
      </c>
      <c r="AK316" s="781">
        <f t="shared" si="369"/>
        <v>0</v>
      </c>
      <c r="AL316" s="781">
        <f t="shared" si="370"/>
        <v>0</v>
      </c>
      <c r="AM316" s="781">
        <f t="shared" si="371"/>
        <v>0</v>
      </c>
      <c r="AN316" s="781">
        <f t="shared" si="372"/>
        <v>0</v>
      </c>
      <c r="AO316" s="781">
        <f t="shared" si="373"/>
        <v>0</v>
      </c>
      <c r="AP316" s="781">
        <f t="shared" si="374"/>
        <v>0</v>
      </c>
      <c r="AQ316" s="781">
        <f t="shared" si="375"/>
        <v>0</v>
      </c>
      <c r="AR316" s="781">
        <f t="shared" si="376"/>
        <v>0</v>
      </c>
      <c r="AS316" s="783">
        <f t="shared" si="377"/>
        <v>0</v>
      </c>
    </row>
    <row r="317" spans="1:65" ht="25.5" hidden="1" outlineLevel="1" x14ac:dyDescent="0.25">
      <c r="A317" s="784"/>
      <c r="B317" s="904">
        <f t="shared" si="356"/>
        <v>299</v>
      </c>
      <c r="C317" s="170" t="str">
        <f t="shared" si="355"/>
        <v>51EA</v>
      </c>
      <c r="D317" s="557"/>
      <c r="E317" s="170"/>
      <c r="F317" s="721">
        <v>51</v>
      </c>
      <c r="G317" s="2007" t="s">
        <v>2994</v>
      </c>
      <c r="H317" s="1926"/>
      <c r="I317" s="2008" t="s">
        <v>732</v>
      </c>
      <c r="J317" s="1926"/>
      <c r="K317" s="1926"/>
      <c r="L317" s="170"/>
      <c r="M317" s="2009">
        <v>80</v>
      </c>
      <c r="N317" s="2010">
        <v>1</v>
      </c>
      <c r="O317" s="773">
        <f t="shared" si="385"/>
        <v>80</v>
      </c>
      <c r="P317" s="2076" t="s">
        <v>39</v>
      </c>
      <c r="Q317" s="2008" t="s">
        <v>39</v>
      </c>
      <c r="R317" s="2011" t="s">
        <v>74</v>
      </c>
      <c r="S317" s="912">
        <f>SUMIF('Data Input sheet'!$B$118:$B$180,R317,'Data Input sheet'!$D$118:$D$180)</f>
        <v>152</v>
      </c>
      <c r="T317" s="2685">
        <f>+O317*S317</f>
        <v>12160</v>
      </c>
      <c r="U317" s="2013">
        <v>100</v>
      </c>
      <c r="V317" s="778">
        <f t="shared" si="392"/>
        <v>8000</v>
      </c>
      <c r="W317" s="2010"/>
      <c r="X317" s="779"/>
      <c r="Y317" s="2012"/>
      <c r="Z317" s="780">
        <f t="shared" si="393"/>
        <v>20160</v>
      </c>
      <c r="AA317" s="2007"/>
      <c r="AB317" s="2007"/>
      <c r="AC317" s="765"/>
      <c r="AD317" s="781">
        <f t="shared" si="362"/>
        <v>0</v>
      </c>
      <c r="AE317" s="778">
        <f t="shared" si="363"/>
        <v>0</v>
      </c>
      <c r="AF317" s="781">
        <f t="shared" si="364"/>
        <v>0</v>
      </c>
      <c r="AG317" s="781">
        <f t="shared" si="365"/>
        <v>0</v>
      </c>
      <c r="AH317" s="781">
        <f t="shared" si="366"/>
        <v>0</v>
      </c>
      <c r="AI317" s="782">
        <f t="shared" si="367"/>
        <v>0</v>
      </c>
      <c r="AJ317" s="781">
        <f t="shared" si="368"/>
        <v>0</v>
      </c>
      <c r="AK317" s="781">
        <f t="shared" si="369"/>
        <v>0</v>
      </c>
      <c r="AL317" s="781">
        <f t="shared" si="370"/>
        <v>0</v>
      </c>
      <c r="AM317" s="781">
        <f t="shared" si="371"/>
        <v>0</v>
      </c>
      <c r="AN317" s="781">
        <f t="shared" si="372"/>
        <v>0</v>
      </c>
      <c r="AO317" s="781">
        <f t="shared" si="373"/>
        <v>0</v>
      </c>
      <c r="AP317" s="781">
        <f t="shared" si="374"/>
        <v>0</v>
      </c>
      <c r="AQ317" s="781">
        <f t="shared" si="375"/>
        <v>0</v>
      </c>
      <c r="AR317" s="781">
        <f t="shared" si="376"/>
        <v>0</v>
      </c>
      <c r="AS317" s="783">
        <f t="shared" si="377"/>
        <v>0</v>
      </c>
      <c r="AT317" s="917"/>
      <c r="AW317" s="832"/>
      <c r="AX317" s="2481" t="s">
        <v>2995</v>
      </c>
      <c r="AY317" s="2482"/>
      <c r="BM317" s="2010"/>
    </row>
    <row r="318" spans="1:65" ht="25.5" hidden="1" outlineLevel="1" x14ac:dyDescent="0.25">
      <c r="A318" s="784"/>
      <c r="B318" s="904">
        <f t="shared" si="356"/>
        <v>300</v>
      </c>
      <c r="C318" s="170" t="str">
        <f t="shared" si="355"/>
        <v>55EA</v>
      </c>
      <c r="D318" s="557"/>
      <c r="E318" s="170"/>
      <c r="F318" s="721">
        <v>55</v>
      </c>
      <c r="G318" s="2007" t="s">
        <v>1153</v>
      </c>
      <c r="H318" s="1926"/>
      <c r="I318" s="2008" t="s">
        <v>732</v>
      </c>
      <c r="J318" s="1926"/>
      <c r="K318" s="1926"/>
      <c r="L318" s="170"/>
      <c r="M318" s="2009">
        <v>40</v>
      </c>
      <c r="N318" s="2010">
        <v>1</v>
      </c>
      <c r="O318" s="773">
        <f t="shared" ref="O318:O573" si="396">+M318*N318</f>
        <v>40</v>
      </c>
      <c r="P318" s="2076" t="s">
        <v>39</v>
      </c>
      <c r="Q318" s="2008" t="s">
        <v>39</v>
      </c>
      <c r="R318" s="2011" t="s">
        <v>74</v>
      </c>
      <c r="S318" s="912">
        <f>SUMIF('Data Input sheet'!$B$118:$B$180,R318,'Data Input sheet'!$D$118:$D$180)</f>
        <v>152</v>
      </c>
      <c r="T318" s="2685">
        <f t="shared" ref="T318:T573" si="397">+O318*S318</f>
        <v>6080</v>
      </c>
      <c r="U318" s="2013">
        <v>28</v>
      </c>
      <c r="V318" s="778">
        <f t="shared" si="238"/>
        <v>1120</v>
      </c>
      <c r="W318" s="2010">
        <v>66000</v>
      </c>
      <c r="X318" s="779"/>
      <c r="Y318" s="2012"/>
      <c r="Z318" s="780">
        <f t="shared" ref="Z318:Z573" si="398">T318+V318+W318+Y318</f>
        <v>73200</v>
      </c>
      <c r="AA318" s="2007"/>
      <c r="AB318" s="2007"/>
      <c r="AC318" s="765"/>
      <c r="AD318" s="781">
        <f t="shared" si="244"/>
        <v>0</v>
      </c>
      <c r="AE318" s="778">
        <f t="shared" si="245"/>
        <v>0</v>
      </c>
      <c r="AF318" s="781">
        <f t="shared" si="246"/>
        <v>0</v>
      </c>
      <c r="AG318" s="781">
        <f t="shared" si="247"/>
        <v>0</v>
      </c>
      <c r="AH318" s="781">
        <f t="shared" si="248"/>
        <v>0</v>
      </c>
      <c r="AI318" s="782">
        <f t="shared" si="249"/>
        <v>0</v>
      </c>
      <c r="AJ318" s="781">
        <f t="shared" si="250"/>
        <v>0</v>
      </c>
      <c r="AK318" s="781">
        <f t="shared" si="251"/>
        <v>0</v>
      </c>
      <c r="AL318" s="781">
        <f t="shared" si="252"/>
        <v>0</v>
      </c>
      <c r="AM318" s="781">
        <f t="shared" si="253"/>
        <v>0</v>
      </c>
      <c r="AN318" s="781">
        <f t="shared" si="254"/>
        <v>0</v>
      </c>
      <c r="AO318" s="781">
        <f t="shared" si="255"/>
        <v>0</v>
      </c>
      <c r="AP318" s="781">
        <f t="shared" si="256"/>
        <v>0</v>
      </c>
      <c r="AQ318" s="781">
        <f t="shared" si="257"/>
        <v>0</v>
      </c>
      <c r="AR318" s="781">
        <f t="shared" si="258"/>
        <v>0</v>
      </c>
      <c r="AS318" s="783">
        <f t="shared" si="259"/>
        <v>0</v>
      </c>
      <c r="AT318" s="917"/>
      <c r="AW318" s="832"/>
      <c r="AX318" s="833" t="s">
        <v>2980</v>
      </c>
      <c r="BM318" s="2010">
        <v>7874.0479999999998</v>
      </c>
    </row>
    <row r="319" spans="1:65" ht="25.5" hidden="1" outlineLevel="1" x14ac:dyDescent="0.25">
      <c r="A319" s="784"/>
      <c r="B319" s="904">
        <f t="shared" si="356"/>
        <v>301</v>
      </c>
      <c r="C319" s="170" t="str">
        <f t="shared" si="355"/>
        <v>55EA</v>
      </c>
      <c r="D319" s="557"/>
      <c r="E319" s="170"/>
      <c r="F319" s="721">
        <v>55</v>
      </c>
      <c r="G319" s="2007" t="s">
        <v>1154</v>
      </c>
      <c r="H319" s="1926"/>
      <c r="I319" s="2008" t="s">
        <v>732</v>
      </c>
      <c r="J319" s="1926"/>
      <c r="K319" s="1926"/>
      <c r="L319" s="170"/>
      <c r="M319" s="2009">
        <v>120</v>
      </c>
      <c r="N319" s="2010">
        <v>1</v>
      </c>
      <c r="O319" s="773">
        <f t="shared" si="396"/>
        <v>120</v>
      </c>
      <c r="P319" s="2076" t="s">
        <v>39</v>
      </c>
      <c r="Q319" s="2008" t="s">
        <v>39</v>
      </c>
      <c r="R319" s="2011" t="s">
        <v>74</v>
      </c>
      <c r="S319" s="912">
        <f>SUMIF('Data Input sheet'!$B$118:$B$180,R319,'Data Input sheet'!$D$118:$D$180)</f>
        <v>152</v>
      </c>
      <c r="T319" s="2685">
        <f t="shared" si="397"/>
        <v>18240</v>
      </c>
      <c r="U319" s="2013">
        <v>56</v>
      </c>
      <c r="V319" s="778">
        <f t="shared" si="238"/>
        <v>6720</v>
      </c>
      <c r="W319" s="2010">
        <v>66000</v>
      </c>
      <c r="X319" s="779"/>
      <c r="Y319" s="2012"/>
      <c r="Z319" s="780">
        <f t="shared" si="398"/>
        <v>90960</v>
      </c>
      <c r="AA319" s="2007"/>
      <c r="AB319" s="2007"/>
      <c r="AC319" s="765"/>
      <c r="AD319" s="781">
        <f t="shared" si="244"/>
        <v>0</v>
      </c>
      <c r="AE319" s="778">
        <f t="shared" si="245"/>
        <v>0</v>
      </c>
      <c r="AF319" s="781">
        <f t="shared" si="246"/>
        <v>0</v>
      </c>
      <c r="AG319" s="781">
        <f t="shared" si="247"/>
        <v>0</v>
      </c>
      <c r="AH319" s="781">
        <f t="shared" si="248"/>
        <v>0</v>
      </c>
      <c r="AI319" s="782">
        <f t="shared" si="249"/>
        <v>0</v>
      </c>
      <c r="AJ319" s="781">
        <f t="shared" si="250"/>
        <v>0</v>
      </c>
      <c r="AK319" s="781">
        <f t="shared" si="251"/>
        <v>0</v>
      </c>
      <c r="AL319" s="781">
        <f t="shared" si="252"/>
        <v>0</v>
      </c>
      <c r="AM319" s="781">
        <f t="shared" si="253"/>
        <v>0</v>
      </c>
      <c r="AN319" s="781">
        <f t="shared" si="254"/>
        <v>0</v>
      </c>
      <c r="AO319" s="781">
        <f t="shared" si="255"/>
        <v>0</v>
      </c>
      <c r="AP319" s="781">
        <f t="shared" si="256"/>
        <v>0</v>
      </c>
      <c r="AQ319" s="781">
        <f t="shared" si="257"/>
        <v>0</v>
      </c>
      <c r="AR319" s="781">
        <f t="shared" si="258"/>
        <v>0</v>
      </c>
      <c r="AS319" s="783">
        <f t="shared" si="259"/>
        <v>0</v>
      </c>
      <c r="AT319" s="917"/>
      <c r="AW319" s="832"/>
      <c r="AX319" s="833" t="s">
        <v>3051</v>
      </c>
      <c r="BM319" s="2010">
        <v>143420.16</v>
      </c>
    </row>
    <row r="320" spans="1:65" ht="25.5" hidden="1" outlineLevel="1" x14ac:dyDescent="0.25">
      <c r="A320" s="784"/>
      <c r="B320" s="904">
        <f t="shared" si="356"/>
        <v>302</v>
      </c>
      <c r="C320" s="170" t="str">
        <f t="shared" si="355"/>
        <v>55EA</v>
      </c>
      <c r="D320" s="557"/>
      <c r="E320" s="170"/>
      <c r="F320" s="721">
        <v>55</v>
      </c>
      <c r="G320" s="2007" t="s">
        <v>1155</v>
      </c>
      <c r="H320" s="1926"/>
      <c r="I320" s="2008" t="s">
        <v>732</v>
      </c>
      <c r="J320" s="1926"/>
      <c r="K320" s="1926"/>
      <c r="L320" s="170"/>
      <c r="M320" s="2009">
        <v>150</v>
      </c>
      <c r="N320" s="2010">
        <v>1</v>
      </c>
      <c r="O320" s="773">
        <f t="shared" si="396"/>
        <v>150</v>
      </c>
      <c r="P320" s="2076" t="s">
        <v>39</v>
      </c>
      <c r="Q320" s="2008" t="s">
        <v>39</v>
      </c>
      <c r="R320" s="2011" t="s">
        <v>74</v>
      </c>
      <c r="S320" s="912">
        <f>SUMIF('Data Input sheet'!$B$118:$B$180,R320,'Data Input sheet'!$D$118:$D$180)</f>
        <v>152</v>
      </c>
      <c r="T320" s="2685">
        <f t="shared" si="397"/>
        <v>22800</v>
      </c>
      <c r="U320" s="2013">
        <v>56</v>
      </c>
      <c r="V320" s="778">
        <f t="shared" si="238"/>
        <v>8400</v>
      </c>
      <c r="W320" s="2010">
        <v>66000</v>
      </c>
      <c r="X320" s="779"/>
      <c r="Y320" s="2012"/>
      <c r="Z320" s="780">
        <f t="shared" si="398"/>
        <v>97200</v>
      </c>
      <c r="AA320" s="2007"/>
      <c r="AB320" s="2007"/>
      <c r="AC320" s="765"/>
      <c r="AD320" s="781">
        <f t="shared" si="244"/>
        <v>0</v>
      </c>
      <c r="AE320" s="778">
        <f t="shared" si="245"/>
        <v>0</v>
      </c>
      <c r="AF320" s="781">
        <f t="shared" si="246"/>
        <v>0</v>
      </c>
      <c r="AG320" s="781">
        <f t="shared" si="247"/>
        <v>0</v>
      </c>
      <c r="AH320" s="781">
        <f t="shared" si="248"/>
        <v>0</v>
      </c>
      <c r="AI320" s="782">
        <f t="shared" si="249"/>
        <v>0</v>
      </c>
      <c r="AJ320" s="781">
        <f t="shared" si="250"/>
        <v>0</v>
      </c>
      <c r="AK320" s="781">
        <f t="shared" si="251"/>
        <v>0</v>
      </c>
      <c r="AL320" s="781">
        <f t="shared" si="252"/>
        <v>0</v>
      </c>
      <c r="AM320" s="781">
        <f t="shared" si="253"/>
        <v>0</v>
      </c>
      <c r="AN320" s="781">
        <f t="shared" si="254"/>
        <v>0</v>
      </c>
      <c r="AO320" s="781">
        <f t="shared" si="255"/>
        <v>0</v>
      </c>
      <c r="AP320" s="781">
        <f t="shared" si="256"/>
        <v>0</v>
      </c>
      <c r="AQ320" s="781">
        <f t="shared" si="257"/>
        <v>0</v>
      </c>
      <c r="AR320" s="781">
        <f t="shared" si="258"/>
        <v>0</v>
      </c>
      <c r="AS320" s="783">
        <f t="shared" si="259"/>
        <v>0</v>
      </c>
      <c r="AT320" s="917"/>
      <c r="AW320" s="832"/>
      <c r="AX320" s="833" t="s">
        <v>3051</v>
      </c>
      <c r="BM320" s="2010">
        <v>244400</v>
      </c>
    </row>
    <row r="321" spans="1:65" ht="15" hidden="1" outlineLevel="1" x14ac:dyDescent="0.25">
      <c r="A321" s="784"/>
      <c r="B321" s="904">
        <f t="shared" si="356"/>
        <v>303</v>
      </c>
      <c r="C321" s="170" t="str">
        <f t="shared" si="355"/>
        <v>58EA</v>
      </c>
      <c r="D321" s="557"/>
      <c r="E321" s="170"/>
      <c r="F321" s="721">
        <v>58</v>
      </c>
      <c r="G321" s="2007" t="s">
        <v>840</v>
      </c>
      <c r="H321" s="1926"/>
      <c r="I321" s="2008" t="s">
        <v>732</v>
      </c>
      <c r="J321" s="1926"/>
      <c r="K321" s="1926"/>
      <c r="L321" s="170"/>
      <c r="M321" s="2009">
        <v>95</v>
      </c>
      <c r="N321" s="2010">
        <v>1</v>
      </c>
      <c r="O321" s="773">
        <f t="shared" si="396"/>
        <v>95</v>
      </c>
      <c r="P321" s="2076" t="s">
        <v>39</v>
      </c>
      <c r="Q321" s="2008" t="s">
        <v>39</v>
      </c>
      <c r="R321" s="2011" t="s">
        <v>74</v>
      </c>
      <c r="S321" s="912">
        <f>SUMIF('Data Input sheet'!$B$118:$B$180,R321,'Data Input sheet'!$D$118:$D$180)</f>
        <v>152</v>
      </c>
      <c r="T321" s="2685">
        <f t="shared" si="397"/>
        <v>14440</v>
      </c>
      <c r="U321" s="2013">
        <v>21</v>
      </c>
      <c r="V321" s="778">
        <f t="shared" ref="V321:V472" si="399">ROUND(U321*O321,0)</f>
        <v>1995</v>
      </c>
      <c r="W321" s="2010">
        <v>35995.648000000008</v>
      </c>
      <c r="X321" s="779"/>
      <c r="Y321" s="2012"/>
      <c r="Z321" s="780">
        <f t="shared" si="398"/>
        <v>52430.648000000008</v>
      </c>
      <c r="AA321" s="2007"/>
      <c r="AB321" s="2007"/>
      <c r="AC321" s="765"/>
      <c r="AD321" s="781">
        <f t="shared" si="244"/>
        <v>0</v>
      </c>
      <c r="AE321" s="778">
        <f t="shared" si="245"/>
        <v>0</v>
      </c>
      <c r="AF321" s="781">
        <f t="shared" si="246"/>
        <v>0</v>
      </c>
      <c r="AG321" s="781">
        <f t="shared" si="247"/>
        <v>0</v>
      </c>
      <c r="AH321" s="781">
        <f t="shared" si="248"/>
        <v>0</v>
      </c>
      <c r="AI321" s="782">
        <f t="shared" si="249"/>
        <v>0</v>
      </c>
      <c r="AJ321" s="781">
        <f t="shared" si="250"/>
        <v>0</v>
      </c>
      <c r="AK321" s="781">
        <f t="shared" si="251"/>
        <v>0</v>
      </c>
      <c r="AL321" s="781">
        <f t="shared" si="252"/>
        <v>0</v>
      </c>
      <c r="AM321" s="781">
        <f t="shared" si="253"/>
        <v>0</v>
      </c>
      <c r="AN321" s="781">
        <f t="shared" si="254"/>
        <v>0</v>
      </c>
      <c r="AO321" s="781">
        <f t="shared" si="255"/>
        <v>0</v>
      </c>
      <c r="AP321" s="781">
        <f t="shared" si="256"/>
        <v>0</v>
      </c>
      <c r="AQ321" s="781">
        <f t="shared" si="257"/>
        <v>0</v>
      </c>
      <c r="AR321" s="781">
        <f t="shared" si="258"/>
        <v>0</v>
      </c>
      <c r="AS321" s="783">
        <f t="shared" si="259"/>
        <v>0</v>
      </c>
      <c r="AT321" s="917"/>
      <c r="AW321" s="832"/>
      <c r="AX321" s="833" t="s">
        <v>3058</v>
      </c>
      <c r="BM321" s="2010">
        <v>35995.648000000008</v>
      </c>
    </row>
    <row r="322" spans="1:65" ht="18" hidden="1" customHeight="1" outlineLevel="1" thickBot="1" x14ac:dyDescent="0.25">
      <c r="A322" s="784"/>
      <c r="B322" s="904">
        <f>+B321+1</f>
        <v>304</v>
      </c>
      <c r="C322" s="170" t="str">
        <f t="shared" si="355"/>
        <v>EA</v>
      </c>
      <c r="D322" s="557"/>
      <c r="E322" s="170"/>
      <c r="F322" s="721"/>
      <c r="G322" s="1862" t="s">
        <v>1983</v>
      </c>
      <c r="H322" s="1926"/>
      <c r="I322" s="2008" t="s">
        <v>732</v>
      </c>
      <c r="J322" s="1926"/>
      <c r="K322" s="1926"/>
      <c r="L322" s="170"/>
      <c r="M322" s="2009">
        <v>10101</v>
      </c>
      <c r="N322" s="2010">
        <v>1</v>
      </c>
      <c r="O322" s="773">
        <f>+M322*N322</f>
        <v>10101</v>
      </c>
      <c r="P322" s="2076" t="s">
        <v>39</v>
      </c>
      <c r="Q322" s="2008" t="s">
        <v>39</v>
      </c>
      <c r="R322" s="2011" t="s">
        <v>74</v>
      </c>
      <c r="S322" s="912">
        <f>SUMIF('Data Input sheet'!$B$118:$B$180,R322,'Data Input sheet'!$D$118:$D$180)</f>
        <v>152</v>
      </c>
      <c r="T322" s="2685">
        <f>+O322*S322</f>
        <v>1535352</v>
      </c>
      <c r="U322" s="2013">
        <v>28</v>
      </c>
      <c r="V322" s="778">
        <f>ROUND(U322*O322,0)</f>
        <v>282828</v>
      </c>
      <c r="W322" s="2010">
        <v>25058370.355200004</v>
      </c>
      <c r="X322" s="779"/>
      <c r="Y322" s="2012"/>
      <c r="Z322" s="780">
        <f>T322+V322+W322+Y322</f>
        <v>26876550.355200004</v>
      </c>
      <c r="AA322" s="1862"/>
      <c r="AB322" s="1862"/>
      <c r="AC322" s="765"/>
      <c r="AD322" s="781">
        <f>IF(P322="E",+ROUND(H322*O322,0),0)</f>
        <v>0</v>
      </c>
      <c r="AE322" s="778">
        <f>+AF322-AD322</f>
        <v>0</v>
      </c>
      <c r="AF322" s="781">
        <f>+H322*O322</f>
        <v>0</v>
      </c>
      <c r="AG322" s="781">
        <f>IF(P322="E",+ROUND(T322*H322,0),0)</f>
        <v>0</v>
      </c>
      <c r="AH322" s="781">
        <f>+AI322-AG322</f>
        <v>0</v>
      </c>
      <c r="AI322" s="782">
        <f>+H322*T322</f>
        <v>0</v>
      </c>
      <c r="AJ322" s="781">
        <f>IF(P322="E",+ROUND(V322*H322,0),0)</f>
        <v>0</v>
      </c>
      <c r="AK322" s="781">
        <f>+AL322-AJ322</f>
        <v>0</v>
      </c>
      <c r="AL322" s="781">
        <f>ROUND(V322*H322,0)</f>
        <v>0</v>
      </c>
      <c r="AM322" s="781">
        <f>IF(Q322="E",+ROUND(W322*H322,0),0)</f>
        <v>0</v>
      </c>
      <c r="AN322" s="781">
        <f>+AO322-AM322</f>
        <v>0</v>
      </c>
      <c r="AO322" s="781">
        <f>ROUND(W322*H322,0)</f>
        <v>0</v>
      </c>
      <c r="AP322" s="781">
        <f>IF(P322="E",+ROUND(Y322*H322,0),0)</f>
        <v>0</v>
      </c>
      <c r="AQ322" s="781">
        <f>+AR322-AP322</f>
        <v>0</v>
      </c>
      <c r="AR322" s="781">
        <f>ROUND(Y322*H322,0)</f>
        <v>0</v>
      </c>
      <c r="AS322" s="783">
        <f>+AR322+AO322+AL322+AI322</f>
        <v>0</v>
      </c>
      <c r="AT322" s="917"/>
      <c r="AW322" s="832">
        <v>589257</v>
      </c>
      <c r="AX322" s="833" t="s">
        <v>3053</v>
      </c>
      <c r="AZ322" s="160"/>
      <c r="BM322" s="2010">
        <v>25058370.355200004</v>
      </c>
    </row>
    <row r="323" spans="1:65" ht="15.75" hidden="1" collapsed="1" thickBot="1" x14ac:dyDescent="0.3">
      <c r="A323" s="784"/>
      <c r="B323" s="904">
        <f>+B322+1</f>
        <v>305</v>
      </c>
      <c r="C323" s="170" t="str">
        <f t="shared" si="355"/>
        <v/>
      </c>
      <c r="D323" s="557"/>
      <c r="E323" s="170"/>
      <c r="F323" s="721"/>
      <c r="G323" s="2627" t="s">
        <v>1840</v>
      </c>
      <c r="H323" s="2635"/>
      <c r="I323" s="2008"/>
      <c r="J323" s="2039"/>
      <c r="K323" s="2039"/>
      <c r="L323" s="2498"/>
      <c r="M323" s="2041">
        <v>0</v>
      </c>
      <c r="N323" s="2043"/>
      <c r="O323" s="2499">
        <f t="shared" si="396"/>
        <v>0</v>
      </c>
      <c r="P323" s="2076"/>
      <c r="Q323" s="2008"/>
      <c r="R323" s="2011"/>
      <c r="S323" s="912">
        <f>SUMIF('Data Input sheet'!$B$118:$B$180,R323,'Data Input sheet'!$D$118:$D$180)</f>
        <v>0</v>
      </c>
      <c r="T323" s="2686">
        <f t="shared" ref="T323:T329" si="400">ROUND(O323*S323,0)</f>
        <v>0</v>
      </c>
      <c r="U323" s="2042"/>
      <c r="V323" s="2501">
        <f t="shared" si="399"/>
        <v>0</v>
      </c>
      <c r="W323" s="2046"/>
      <c r="X323" s="2502"/>
      <c r="Y323" s="2047">
        <v>0</v>
      </c>
      <c r="Z323" s="2500">
        <f t="shared" si="398"/>
        <v>0</v>
      </c>
      <c r="AA323" s="2007"/>
      <c r="AB323" s="2007"/>
      <c r="AC323" s="765"/>
      <c r="AD323" s="781">
        <f t="shared" ref="AD323:AD342" si="401">IF(P323="E",+ROUND(H323*O323,0),0)</f>
        <v>0</v>
      </c>
      <c r="AE323" s="778">
        <f t="shared" ref="AE323:AE342" si="402">+AF323-AD323</f>
        <v>0</v>
      </c>
      <c r="AF323" s="781">
        <f t="shared" ref="AF323:AF342" si="403">+H323*O323</f>
        <v>0</v>
      </c>
      <c r="AG323" s="781">
        <f t="shared" ref="AG323:AG342" si="404">IF(P323="E",+ROUND(T323*H323,0),0)</f>
        <v>0</v>
      </c>
      <c r="AH323" s="781">
        <f t="shared" ref="AH323:AH342" si="405">+AI323-AG323</f>
        <v>0</v>
      </c>
      <c r="AI323" s="782">
        <f t="shared" ref="AI323:AI342" si="406">+H323*T323</f>
        <v>0</v>
      </c>
      <c r="AJ323" s="781">
        <f t="shared" ref="AJ323:AJ342" si="407">IF(P323="E",+ROUND(V323*H323,0),0)</f>
        <v>0</v>
      </c>
      <c r="AK323" s="781">
        <f t="shared" ref="AK323:AK342" si="408">+AL323-AJ323</f>
        <v>0</v>
      </c>
      <c r="AL323" s="781">
        <f t="shared" ref="AL323:AL342" si="409">ROUND(V323*H323,0)</f>
        <v>0</v>
      </c>
      <c r="AM323" s="781">
        <f t="shared" ref="AM323:AM342" si="410">IF(Q323="E",+ROUND(W323*H323,0),0)</f>
        <v>0</v>
      </c>
      <c r="AN323" s="781">
        <f t="shared" ref="AN323:AN342" si="411">+AO323-AM323</f>
        <v>0</v>
      </c>
      <c r="AO323" s="781">
        <f t="shared" ref="AO323:AO342" si="412">ROUND(W323*H323,0)</f>
        <v>0</v>
      </c>
      <c r="AP323" s="781">
        <f t="shared" ref="AP323:AP342" si="413">IF(P323="E",+ROUND(Y323*H323,0),0)</f>
        <v>0</v>
      </c>
      <c r="AQ323" s="781">
        <f t="shared" ref="AQ323:AQ342" si="414">+AR323-AP323</f>
        <v>0</v>
      </c>
      <c r="AR323" s="781">
        <f t="shared" ref="AR323:AR342" si="415">ROUND(Y323*H323,0)</f>
        <v>0</v>
      </c>
      <c r="AS323" s="783">
        <f t="shared" ref="AS323:AS342" si="416">+AR323+AO323+AL323+AI323</f>
        <v>0</v>
      </c>
    </row>
    <row r="324" spans="1:65" ht="25.5" hidden="1" outlineLevel="1" x14ac:dyDescent="0.25">
      <c r="A324" s="784"/>
      <c r="B324" s="904">
        <f t="shared" si="356"/>
        <v>306</v>
      </c>
      <c r="C324" s="170" t="str">
        <f t="shared" si="355"/>
        <v>67EA</v>
      </c>
      <c r="D324" s="557"/>
      <c r="E324" s="170"/>
      <c r="F324" s="721">
        <v>67</v>
      </c>
      <c r="G324" s="2007" t="s">
        <v>1988</v>
      </c>
      <c r="H324" s="1926"/>
      <c r="I324" s="2008" t="s">
        <v>732</v>
      </c>
      <c r="J324" s="1926"/>
      <c r="K324" s="1926"/>
      <c r="L324" s="170"/>
      <c r="M324" s="2009">
        <v>100</v>
      </c>
      <c r="N324" s="2010">
        <v>1</v>
      </c>
      <c r="O324" s="773">
        <f>+M324*N324</f>
        <v>100</v>
      </c>
      <c r="P324" s="2076" t="s">
        <v>39</v>
      </c>
      <c r="Q324" s="2008" t="s">
        <v>39</v>
      </c>
      <c r="R324" s="2011" t="s">
        <v>74</v>
      </c>
      <c r="S324" s="912">
        <f>SUMIF('Data Input sheet'!$B$118:$B$180,R324,'Data Input sheet'!$D$118:$D$180)</f>
        <v>152</v>
      </c>
      <c r="T324" s="2685">
        <f>+O324*S324</f>
        <v>15200</v>
      </c>
      <c r="U324" s="2013">
        <v>35</v>
      </c>
      <c r="V324" s="778">
        <f>ROUND(U324*O324,0)</f>
        <v>3500</v>
      </c>
      <c r="W324" s="2010">
        <v>12946.824683520001</v>
      </c>
      <c r="X324" s="779"/>
      <c r="Y324" s="2012"/>
      <c r="Z324" s="780">
        <f>T324+V324+W324+Y324</f>
        <v>31646.824683520001</v>
      </c>
      <c r="AA324" s="2007"/>
      <c r="AB324" s="2007"/>
      <c r="AC324" s="765"/>
      <c r="AD324" s="781">
        <f>IF(P324="E",+ROUND(H324*O324,0),0)</f>
        <v>0</v>
      </c>
      <c r="AE324" s="778">
        <f>+AF324-AD324</f>
        <v>0</v>
      </c>
      <c r="AF324" s="781">
        <f>+H324*O324</f>
        <v>0</v>
      </c>
      <c r="AG324" s="781">
        <f>IF(P324="E",+ROUND(T324*H324,0),0)</f>
        <v>0</v>
      </c>
      <c r="AH324" s="781">
        <f>+AI324-AG324</f>
        <v>0</v>
      </c>
      <c r="AI324" s="782">
        <f>+H324*T324</f>
        <v>0</v>
      </c>
      <c r="AJ324" s="781">
        <f>IF(P324="E",+ROUND(V324*H324,0),0)</f>
        <v>0</v>
      </c>
      <c r="AK324" s="781">
        <f>+AL324-AJ324</f>
        <v>0</v>
      </c>
      <c r="AL324" s="781">
        <f>ROUND(V324*H324,0)</f>
        <v>0</v>
      </c>
      <c r="AM324" s="781">
        <f>IF(Q324="E",+ROUND(W324*H324,0),0)</f>
        <v>0</v>
      </c>
      <c r="AN324" s="781">
        <f>+AO324-AM324</f>
        <v>0</v>
      </c>
      <c r="AO324" s="781">
        <f>ROUND(W324*H324,0)</f>
        <v>0</v>
      </c>
      <c r="AP324" s="781">
        <f>IF(P324="E",+ROUND(Y324*H324,0),0)</f>
        <v>0</v>
      </c>
      <c r="AQ324" s="781">
        <f>+AR324-AP324</f>
        <v>0</v>
      </c>
      <c r="AR324" s="781">
        <f>ROUND(Y324*H324,0)</f>
        <v>0</v>
      </c>
      <c r="AS324" s="783">
        <f>+AR324+AO324+AL324+AI324</f>
        <v>0</v>
      </c>
      <c r="AT324" s="917"/>
      <c r="AW324" s="832"/>
      <c r="AX324" s="833" t="s">
        <v>2966</v>
      </c>
      <c r="BM324" s="2010">
        <v>12946.824683520001</v>
      </c>
    </row>
    <row r="325" spans="1:65" ht="38.25" hidden="1" outlineLevel="1" x14ac:dyDescent="0.25">
      <c r="A325" s="784"/>
      <c r="B325" s="904">
        <f t="shared" si="356"/>
        <v>307</v>
      </c>
      <c r="C325" s="170" t="str">
        <f t="shared" si="355"/>
        <v>67EA</v>
      </c>
      <c r="D325" s="557"/>
      <c r="E325" s="170"/>
      <c r="F325" s="721">
        <v>67</v>
      </c>
      <c r="G325" s="2007" t="s">
        <v>2006</v>
      </c>
      <c r="H325" s="1926"/>
      <c r="I325" s="2008" t="s">
        <v>732</v>
      </c>
      <c r="J325" s="1926"/>
      <c r="K325" s="1926"/>
      <c r="L325" s="170"/>
      <c r="M325" s="2009">
        <v>60</v>
      </c>
      <c r="N325" s="2010">
        <v>1</v>
      </c>
      <c r="O325" s="773">
        <f>+M325*N325</f>
        <v>60</v>
      </c>
      <c r="P325" s="2076" t="s">
        <v>39</v>
      </c>
      <c r="Q325" s="2008" t="s">
        <v>39</v>
      </c>
      <c r="R325" s="2011" t="s">
        <v>74</v>
      </c>
      <c r="S325" s="912">
        <f>SUMIF('Data Input sheet'!$B$118:$B$180,R325,'Data Input sheet'!$D$118:$D$180)</f>
        <v>152</v>
      </c>
      <c r="T325" s="2685">
        <f>+O325*S325</f>
        <v>9120</v>
      </c>
      <c r="U325" s="2013">
        <v>21</v>
      </c>
      <c r="V325" s="778">
        <f>ROUND(U325*O325,0)</f>
        <v>1260</v>
      </c>
      <c r="W325" s="2010">
        <v>6654.6954240000005</v>
      </c>
      <c r="X325" s="779"/>
      <c r="Y325" s="2012"/>
      <c r="Z325" s="780">
        <f>T325+V325+W325+Y325</f>
        <v>17034.695424000001</v>
      </c>
      <c r="AA325" s="2007"/>
      <c r="AB325" s="2007"/>
      <c r="AC325" s="765"/>
      <c r="AD325" s="781">
        <f>IF(P325="E",+ROUND(H325*O325,0),0)</f>
        <v>0</v>
      </c>
      <c r="AE325" s="778">
        <f>+AF325-AD325</f>
        <v>0</v>
      </c>
      <c r="AF325" s="781">
        <f>+H325*O325</f>
        <v>0</v>
      </c>
      <c r="AG325" s="781">
        <f>IF(P325="E",+ROUND(T325*H325,0),0)</f>
        <v>0</v>
      </c>
      <c r="AH325" s="781">
        <f>+AI325-AG325</f>
        <v>0</v>
      </c>
      <c r="AI325" s="782">
        <f>+H325*T325</f>
        <v>0</v>
      </c>
      <c r="AJ325" s="781">
        <f>IF(P325="E",+ROUND(V325*H325,0),0)</f>
        <v>0</v>
      </c>
      <c r="AK325" s="781">
        <f>+AL325-AJ325</f>
        <v>0</v>
      </c>
      <c r="AL325" s="781">
        <f>ROUND(V325*H325,0)</f>
        <v>0</v>
      </c>
      <c r="AM325" s="781">
        <f>IF(Q325="E",+ROUND(W325*H325,0),0)</f>
        <v>0</v>
      </c>
      <c r="AN325" s="781">
        <f>+AO325-AM325</f>
        <v>0</v>
      </c>
      <c r="AO325" s="781">
        <f>ROUND(W325*H325,0)</f>
        <v>0</v>
      </c>
      <c r="AP325" s="781">
        <f>IF(P325="E",+ROUND(Y325*H325,0),0)</f>
        <v>0</v>
      </c>
      <c r="AQ325" s="781">
        <f>+AR325-AP325</f>
        <v>0</v>
      </c>
      <c r="AR325" s="781">
        <f>ROUND(Y325*H325,0)</f>
        <v>0</v>
      </c>
      <c r="AS325" s="783">
        <f>+AR325+AO325+AL325+AI325</f>
        <v>0</v>
      </c>
      <c r="AT325" s="917"/>
      <c r="AW325" s="832"/>
      <c r="AX325" s="833" t="s">
        <v>2982</v>
      </c>
      <c r="BM325" s="2010">
        <v>6654.6954240000005</v>
      </c>
    </row>
    <row r="326" spans="1:65" ht="25.5" hidden="1" outlineLevel="1" x14ac:dyDescent="0.25">
      <c r="A326" s="784"/>
      <c r="B326" s="904">
        <f t="shared" si="356"/>
        <v>308</v>
      </c>
      <c r="C326" s="170" t="str">
        <f t="shared" si="355"/>
        <v>67EA</v>
      </c>
      <c r="D326" s="557"/>
      <c r="E326" s="170"/>
      <c r="F326" s="721">
        <v>67</v>
      </c>
      <c r="G326" s="2007" t="s">
        <v>1989</v>
      </c>
      <c r="H326" s="1926"/>
      <c r="I326" s="2008" t="s">
        <v>732</v>
      </c>
      <c r="J326" s="1926"/>
      <c r="K326" s="1926"/>
      <c r="L326" s="170"/>
      <c r="M326" s="2009">
        <v>100</v>
      </c>
      <c r="N326" s="2010">
        <v>1</v>
      </c>
      <c r="O326" s="773">
        <f>+M326*N326</f>
        <v>100</v>
      </c>
      <c r="P326" s="2076" t="s">
        <v>39</v>
      </c>
      <c r="Q326" s="2008" t="s">
        <v>39</v>
      </c>
      <c r="R326" s="2011" t="s">
        <v>74</v>
      </c>
      <c r="S326" s="912">
        <f>SUMIF('Data Input sheet'!$B$118:$B$180,R326,'Data Input sheet'!$D$118:$D$180)</f>
        <v>152</v>
      </c>
      <c r="T326" s="2685">
        <f>+O326*S326</f>
        <v>15200</v>
      </c>
      <c r="U326" s="2013">
        <v>35</v>
      </c>
      <c r="V326" s="778">
        <f>ROUND(U326*O326,0)</f>
        <v>3500</v>
      </c>
      <c r="W326" s="2010">
        <v>29831.39328</v>
      </c>
      <c r="X326" s="2512"/>
      <c r="Y326" s="2012"/>
      <c r="Z326" s="780">
        <f>T326+V326+W326+Y326</f>
        <v>48531.393280000004</v>
      </c>
      <c r="AA326" s="2007"/>
      <c r="AB326" s="2007"/>
      <c r="AC326" s="765"/>
      <c r="AD326" s="781">
        <f>IF(P326="E",+ROUND(H326*O326,0),0)</f>
        <v>0</v>
      </c>
      <c r="AE326" s="778">
        <f>+AF326-AD326</f>
        <v>0</v>
      </c>
      <c r="AF326" s="781">
        <f>+H326*O326</f>
        <v>0</v>
      </c>
      <c r="AG326" s="781">
        <f>IF(P326="E",+ROUND(T326*H326,0),0)</f>
        <v>0</v>
      </c>
      <c r="AH326" s="781">
        <f>+AI326-AG326</f>
        <v>0</v>
      </c>
      <c r="AI326" s="782">
        <f>+H326*T326</f>
        <v>0</v>
      </c>
      <c r="AJ326" s="781">
        <f>IF(P326="E",+ROUND(V326*H326,0),0)</f>
        <v>0</v>
      </c>
      <c r="AK326" s="781">
        <f>+AL326-AJ326</f>
        <v>0</v>
      </c>
      <c r="AL326" s="781">
        <f>ROUND(V326*H326,0)</f>
        <v>0</v>
      </c>
      <c r="AM326" s="781">
        <f>IF(Q326="E",+ROUND(W326*H326,0),0)</f>
        <v>0</v>
      </c>
      <c r="AN326" s="781">
        <f>+AO326-AM326</f>
        <v>0</v>
      </c>
      <c r="AO326" s="781">
        <f>ROUND(W326*H326,0)</f>
        <v>0</v>
      </c>
      <c r="AP326" s="781">
        <f>IF(P326="E",+ROUND(Y326*H326,0),0)</f>
        <v>0</v>
      </c>
      <c r="AQ326" s="781">
        <f>+AR326-AP326</f>
        <v>0</v>
      </c>
      <c r="AR326" s="781">
        <f>ROUND(Y326*H326,0)</f>
        <v>0</v>
      </c>
      <c r="AS326" s="783">
        <f>+AR326+AO326+AL326+AI326</f>
        <v>0</v>
      </c>
      <c r="AT326" s="917"/>
      <c r="AW326" s="832"/>
      <c r="AX326" s="833" t="s">
        <v>2966</v>
      </c>
      <c r="BM326" s="2010">
        <v>29831.39328</v>
      </c>
    </row>
    <row r="327" spans="1:65" ht="15" hidden="1" outlineLevel="1" x14ac:dyDescent="0.25">
      <c r="A327" s="784"/>
      <c r="B327" s="904">
        <f t="shared" si="356"/>
        <v>309</v>
      </c>
      <c r="C327" s="170" t="str">
        <f t="shared" si="355"/>
        <v>67EA</v>
      </c>
      <c r="D327" s="557"/>
      <c r="E327" s="170"/>
      <c r="F327" s="721">
        <v>67</v>
      </c>
      <c r="G327" s="2007" t="s">
        <v>2007</v>
      </c>
      <c r="H327" s="1926"/>
      <c r="I327" s="2008" t="s">
        <v>732</v>
      </c>
      <c r="J327" s="1926"/>
      <c r="K327" s="1926"/>
      <c r="L327" s="170"/>
      <c r="M327" s="2009">
        <v>20</v>
      </c>
      <c r="N327" s="2010">
        <v>1</v>
      </c>
      <c r="O327" s="773">
        <f t="shared" ref="O327" si="417">+M327*N327</f>
        <v>20</v>
      </c>
      <c r="P327" s="2076" t="s">
        <v>39</v>
      </c>
      <c r="Q327" s="2008" t="s">
        <v>39</v>
      </c>
      <c r="R327" s="2011" t="s">
        <v>74</v>
      </c>
      <c r="S327" s="912">
        <f>SUMIF('Data Input sheet'!$B$118:$B$180,R327,'Data Input sheet'!$D$118:$D$180)</f>
        <v>152</v>
      </c>
      <c r="T327" s="2685">
        <f t="shared" ref="T327" si="418">+O327*S327</f>
        <v>3040</v>
      </c>
      <c r="U327" s="2013">
        <v>21</v>
      </c>
      <c r="V327" s="778">
        <f t="shared" ref="V327" si="419">ROUND(U327*O327,0)</f>
        <v>420</v>
      </c>
      <c r="W327" s="2010">
        <v>9178.8902400000006</v>
      </c>
      <c r="X327" s="779"/>
      <c r="Y327" s="2012"/>
      <c r="Z327" s="780">
        <f t="shared" ref="Z327" si="420">T327+V327+W327+Y327</f>
        <v>12638.890240000001</v>
      </c>
      <c r="AA327" s="2007"/>
      <c r="AB327" s="2007"/>
      <c r="AC327" s="765"/>
      <c r="AD327" s="781">
        <f>IF(P327="E",+ROUND(H327*O327,0),0)</f>
        <v>0</v>
      </c>
      <c r="AE327" s="778">
        <f>+AF327-AD327</f>
        <v>0</v>
      </c>
      <c r="AF327" s="781">
        <f>+H327*O327</f>
        <v>0</v>
      </c>
      <c r="AG327" s="781">
        <f>IF(P327="E",+ROUND(T327*H327,0),0)</f>
        <v>0</v>
      </c>
      <c r="AH327" s="781">
        <f>+AI327-AG327</f>
        <v>0</v>
      </c>
      <c r="AI327" s="782">
        <f>+H327*T327</f>
        <v>0</v>
      </c>
      <c r="AJ327" s="781">
        <f>IF(P327="E",+ROUND(V327*H327,0),0)</f>
        <v>0</v>
      </c>
      <c r="AK327" s="781">
        <f>+AL327-AJ327</f>
        <v>0</v>
      </c>
      <c r="AL327" s="781">
        <f>ROUND(V327*H327,0)</f>
        <v>0</v>
      </c>
      <c r="AM327" s="781">
        <f>IF(Q327="E",+ROUND(W327*H327,0),0)</f>
        <v>0</v>
      </c>
      <c r="AN327" s="781">
        <f>+AO327-AM327</f>
        <v>0</v>
      </c>
      <c r="AO327" s="781">
        <f>ROUND(W327*H327,0)</f>
        <v>0</v>
      </c>
      <c r="AP327" s="781">
        <f>IF(P327="E",+ROUND(Y327*H327,0),0)</f>
        <v>0</v>
      </c>
      <c r="AQ327" s="781">
        <f>+AR327-AP327</f>
        <v>0</v>
      </c>
      <c r="AR327" s="781">
        <f>ROUND(Y327*H327,0)</f>
        <v>0</v>
      </c>
      <c r="AS327" s="783">
        <f>+AR327+AO327+AL327+AI327</f>
        <v>0</v>
      </c>
      <c r="AT327" s="917"/>
      <c r="AW327" s="832"/>
      <c r="AX327" s="833" t="s">
        <v>3057</v>
      </c>
      <c r="BM327" s="2010">
        <v>9178.8902400000006</v>
      </c>
    </row>
    <row r="328" spans="1:65" ht="25.5" hidden="1" outlineLevel="1" x14ac:dyDescent="0.25">
      <c r="A328" s="784"/>
      <c r="B328" s="904">
        <f t="shared" si="356"/>
        <v>310</v>
      </c>
      <c r="C328" s="170" t="str">
        <f t="shared" si="355"/>
        <v>67EA</v>
      </c>
      <c r="D328" s="557"/>
      <c r="E328" s="170"/>
      <c r="F328" s="721">
        <v>67</v>
      </c>
      <c r="G328" s="2068" t="s">
        <v>1848</v>
      </c>
      <c r="H328" s="2039"/>
      <c r="I328" s="2008" t="s">
        <v>732</v>
      </c>
      <c r="J328" s="2039"/>
      <c r="K328" s="2039"/>
      <c r="L328" s="488"/>
      <c r="M328" s="2041">
        <v>30</v>
      </c>
      <c r="N328" s="2043">
        <v>1</v>
      </c>
      <c r="O328" s="1967">
        <f>+M328*N328</f>
        <v>30</v>
      </c>
      <c r="P328" s="2076" t="s">
        <v>39</v>
      </c>
      <c r="Q328" s="2008" t="s">
        <v>39</v>
      </c>
      <c r="R328" s="2011" t="s">
        <v>74</v>
      </c>
      <c r="S328" s="912">
        <f>SUMIF('Data Input sheet'!$B$118:$B$180,R328,'Data Input sheet'!$D$118:$D$180)</f>
        <v>152</v>
      </c>
      <c r="T328" s="2686">
        <f>ROUND(O328*S328,0)</f>
        <v>4560</v>
      </c>
      <c r="U328" s="2013">
        <v>21</v>
      </c>
      <c r="V328" s="1981">
        <f>ROUND(U328*O328,0)</f>
        <v>630</v>
      </c>
      <c r="W328" s="2046">
        <v>6000</v>
      </c>
      <c r="X328" s="2502"/>
      <c r="Y328" s="2047">
        <v>0</v>
      </c>
      <c r="Z328" s="780">
        <f>T328+V328+W328+Y328</f>
        <v>11190</v>
      </c>
      <c r="AA328" s="2007"/>
      <c r="AB328" s="2007"/>
      <c r="AC328" s="765"/>
      <c r="AD328" s="781">
        <f>IF(P328="E",+ROUND(H328*O328,0),0)</f>
        <v>0</v>
      </c>
      <c r="AE328" s="778">
        <f>+AF328-AD328</f>
        <v>0</v>
      </c>
      <c r="AF328" s="781">
        <f>+H328*O328</f>
        <v>0</v>
      </c>
      <c r="AG328" s="781">
        <f>IF(P328="E",+ROUND(T328*H328,0),0)</f>
        <v>0</v>
      </c>
      <c r="AH328" s="781">
        <f>+AI328-AG328</f>
        <v>0</v>
      </c>
      <c r="AI328" s="782">
        <f>+H328*T328</f>
        <v>0</v>
      </c>
      <c r="AJ328" s="781">
        <f>IF(P328="E",+ROUND(V328*H328,0),0)</f>
        <v>0</v>
      </c>
      <c r="AK328" s="781">
        <f>+AL328-AJ328</f>
        <v>0</v>
      </c>
      <c r="AL328" s="781">
        <f>ROUND(V328*H328,0)</f>
        <v>0</v>
      </c>
      <c r="AM328" s="781">
        <f>IF(Q328="E",+ROUND(W328*H328,0),0)</f>
        <v>0</v>
      </c>
      <c r="AN328" s="781">
        <f>+AO328-AM328</f>
        <v>0</v>
      </c>
      <c r="AO328" s="781">
        <f>ROUND(W328*H328,0)</f>
        <v>0</v>
      </c>
      <c r="AP328" s="781">
        <f>IF(P328="E",+ROUND(Y328*H328,0),0)</f>
        <v>0</v>
      </c>
      <c r="AQ328" s="781">
        <f>+AR328-AP328</f>
        <v>0</v>
      </c>
      <c r="AR328" s="781">
        <f>ROUND(Y328*H328,0)</f>
        <v>0</v>
      </c>
      <c r="AS328" s="783">
        <f>+AR328+AO328+AL328+AI328</f>
        <v>0</v>
      </c>
    </row>
    <row r="329" spans="1:65" ht="15" hidden="1" outlineLevel="1" x14ac:dyDescent="0.25">
      <c r="A329" s="784"/>
      <c r="B329" s="904">
        <f t="shared" si="356"/>
        <v>311</v>
      </c>
      <c r="C329" s="170" t="str">
        <f t="shared" si="355"/>
        <v>67EA</v>
      </c>
      <c r="D329" s="557"/>
      <c r="E329" s="170"/>
      <c r="F329" s="721">
        <v>67</v>
      </c>
      <c r="G329" s="2068" t="s">
        <v>1849</v>
      </c>
      <c r="H329" s="2039"/>
      <c r="I329" s="2008" t="s">
        <v>732</v>
      </c>
      <c r="J329" s="2039"/>
      <c r="K329" s="2039"/>
      <c r="L329" s="488"/>
      <c r="M329" s="2041">
        <v>20</v>
      </c>
      <c r="N329" s="2043">
        <v>1</v>
      </c>
      <c r="O329" s="1967">
        <f t="shared" si="396"/>
        <v>20</v>
      </c>
      <c r="P329" s="2076" t="s">
        <v>39</v>
      </c>
      <c r="Q329" s="2008" t="s">
        <v>39</v>
      </c>
      <c r="R329" s="2011" t="s">
        <v>74</v>
      </c>
      <c r="S329" s="912">
        <f>SUMIF('Data Input sheet'!$B$118:$B$180,R329,'Data Input sheet'!$D$118:$D$180)</f>
        <v>152</v>
      </c>
      <c r="T329" s="2686">
        <f t="shared" si="400"/>
        <v>3040</v>
      </c>
      <c r="U329" s="2013">
        <v>21</v>
      </c>
      <c r="V329" s="1981">
        <f t="shared" si="399"/>
        <v>420</v>
      </c>
      <c r="W329" s="2046">
        <v>5000</v>
      </c>
      <c r="X329" s="2502"/>
      <c r="Y329" s="2047">
        <v>0</v>
      </c>
      <c r="Z329" s="780">
        <f t="shared" si="398"/>
        <v>8460</v>
      </c>
      <c r="AA329" s="2007"/>
      <c r="AB329" s="2007"/>
      <c r="AC329" s="765"/>
      <c r="AD329" s="781">
        <f t="shared" si="401"/>
        <v>0</v>
      </c>
      <c r="AE329" s="778">
        <f t="shared" si="402"/>
        <v>0</v>
      </c>
      <c r="AF329" s="781">
        <f t="shared" si="403"/>
        <v>0</v>
      </c>
      <c r="AG329" s="781">
        <f t="shared" si="404"/>
        <v>0</v>
      </c>
      <c r="AH329" s="781">
        <f t="shared" si="405"/>
        <v>0</v>
      </c>
      <c r="AI329" s="782">
        <f t="shared" si="406"/>
        <v>0</v>
      </c>
      <c r="AJ329" s="781">
        <f t="shared" si="407"/>
        <v>0</v>
      </c>
      <c r="AK329" s="781">
        <f t="shared" si="408"/>
        <v>0</v>
      </c>
      <c r="AL329" s="781">
        <f t="shared" si="409"/>
        <v>0</v>
      </c>
      <c r="AM329" s="781">
        <f t="shared" si="410"/>
        <v>0</v>
      </c>
      <c r="AN329" s="781">
        <f t="shared" si="411"/>
        <v>0</v>
      </c>
      <c r="AO329" s="781">
        <f t="shared" si="412"/>
        <v>0</v>
      </c>
      <c r="AP329" s="781">
        <f t="shared" si="413"/>
        <v>0</v>
      </c>
      <c r="AQ329" s="781">
        <f t="shared" si="414"/>
        <v>0</v>
      </c>
      <c r="AR329" s="781">
        <f t="shared" si="415"/>
        <v>0</v>
      </c>
      <c r="AS329" s="783">
        <f t="shared" si="416"/>
        <v>0</v>
      </c>
    </row>
    <row r="330" spans="1:65" ht="15" hidden="1" outlineLevel="1" x14ac:dyDescent="0.25">
      <c r="A330" s="784"/>
      <c r="B330" s="904">
        <f t="shared" si="356"/>
        <v>312</v>
      </c>
      <c r="C330" s="170" t="str">
        <f t="shared" si="355"/>
        <v>67EA</v>
      </c>
      <c r="D330" s="557"/>
      <c r="E330" s="170"/>
      <c r="F330" s="721">
        <v>67</v>
      </c>
      <c r="G330" s="2068" t="s">
        <v>1847</v>
      </c>
      <c r="H330" s="2039"/>
      <c r="I330" s="2008" t="s">
        <v>732</v>
      </c>
      <c r="J330" s="2039"/>
      <c r="K330" s="2039"/>
      <c r="L330" s="488"/>
      <c r="M330" s="2041">
        <v>30</v>
      </c>
      <c r="N330" s="2043">
        <v>1</v>
      </c>
      <c r="O330" s="1967">
        <f>+M330*N330</f>
        <v>30</v>
      </c>
      <c r="P330" s="2076" t="s">
        <v>39</v>
      </c>
      <c r="Q330" s="2008" t="s">
        <v>39</v>
      </c>
      <c r="R330" s="2011" t="s">
        <v>74</v>
      </c>
      <c r="S330" s="912">
        <f>SUMIF('Data Input sheet'!$B$118:$B$180,R330,'Data Input sheet'!$D$118:$D$180)</f>
        <v>152</v>
      </c>
      <c r="T330" s="2686">
        <f>ROUND(O330*S330,0)</f>
        <v>4560</v>
      </c>
      <c r="U330" s="2013">
        <v>21</v>
      </c>
      <c r="V330" s="1981">
        <f t="shared" ref="V330:V341" si="421">ROUND(U330*O330,0)</f>
        <v>630</v>
      </c>
      <c r="W330" s="2046">
        <v>3000</v>
      </c>
      <c r="X330" s="2502"/>
      <c r="Y330" s="2047">
        <v>0</v>
      </c>
      <c r="Z330" s="780">
        <f>T330+V330+W330+Y330</f>
        <v>8190</v>
      </c>
      <c r="AA330" s="2007"/>
      <c r="AB330" s="2007"/>
      <c r="AC330" s="765"/>
      <c r="AD330" s="781">
        <f t="shared" ref="AD330:AD341" si="422">IF(P330="E",+ROUND(H330*O330,0),0)</f>
        <v>0</v>
      </c>
      <c r="AE330" s="778">
        <f t="shared" ref="AE330:AE341" si="423">+AF330-AD330</f>
        <v>0</v>
      </c>
      <c r="AF330" s="781">
        <f t="shared" ref="AF330:AF341" si="424">+H330*O330</f>
        <v>0</v>
      </c>
      <c r="AG330" s="781">
        <f t="shared" ref="AG330:AG341" si="425">IF(P330="E",+ROUND(T330*H330,0),0)</f>
        <v>0</v>
      </c>
      <c r="AH330" s="781">
        <f t="shared" ref="AH330:AH341" si="426">+AI330-AG330</f>
        <v>0</v>
      </c>
      <c r="AI330" s="782">
        <f t="shared" ref="AI330:AI341" si="427">+H330*T330</f>
        <v>0</v>
      </c>
      <c r="AJ330" s="781">
        <f t="shared" ref="AJ330:AJ341" si="428">IF(P330="E",+ROUND(V330*H330,0),0)</f>
        <v>0</v>
      </c>
      <c r="AK330" s="781">
        <f t="shared" ref="AK330:AK341" si="429">+AL330-AJ330</f>
        <v>0</v>
      </c>
      <c r="AL330" s="781">
        <f t="shared" ref="AL330:AL341" si="430">ROUND(V330*H330,0)</f>
        <v>0</v>
      </c>
      <c r="AM330" s="781">
        <f t="shared" ref="AM330:AM341" si="431">IF(Q330="E",+ROUND(W330*H330,0),0)</f>
        <v>0</v>
      </c>
      <c r="AN330" s="781">
        <f t="shared" ref="AN330:AN341" si="432">+AO330-AM330</f>
        <v>0</v>
      </c>
      <c r="AO330" s="781">
        <f t="shared" ref="AO330:AO341" si="433">ROUND(W330*H330,0)</f>
        <v>0</v>
      </c>
      <c r="AP330" s="781">
        <f t="shared" ref="AP330:AP341" si="434">IF(P330="E",+ROUND(Y330*H330,0),0)</f>
        <v>0</v>
      </c>
      <c r="AQ330" s="781">
        <f t="shared" ref="AQ330:AQ341" si="435">+AR330-AP330</f>
        <v>0</v>
      </c>
      <c r="AR330" s="781">
        <f t="shared" ref="AR330:AR341" si="436">ROUND(Y330*H330,0)</f>
        <v>0</v>
      </c>
      <c r="AS330" s="783">
        <f t="shared" ref="AS330:AS341" si="437">+AR330+AO330+AL330+AI330</f>
        <v>0</v>
      </c>
    </row>
    <row r="331" spans="1:65" ht="15.75" hidden="1" collapsed="1" thickBot="1" x14ac:dyDescent="0.3">
      <c r="A331" s="784"/>
      <c r="B331" s="904">
        <f t="shared" si="356"/>
        <v>313</v>
      </c>
      <c r="C331" s="170" t="str">
        <f t="shared" si="355"/>
        <v/>
      </c>
      <c r="D331" s="557"/>
      <c r="E331" s="170"/>
      <c r="F331" s="721"/>
      <c r="G331" s="2627" t="s">
        <v>1748</v>
      </c>
      <c r="H331" s="2629"/>
      <c r="I331" s="2008"/>
      <c r="J331" s="1926"/>
      <c r="K331" s="1926"/>
      <c r="L331" s="170"/>
      <c r="M331" s="2009"/>
      <c r="N331" s="2010"/>
      <c r="O331" s="773">
        <f t="shared" ref="O331" si="438">+M331*N331</f>
        <v>0</v>
      </c>
      <c r="P331" s="2076"/>
      <c r="Q331" s="2008"/>
      <c r="R331" s="2011"/>
      <c r="S331" s="912">
        <f>SUMIF('Data Input sheet'!$B$118:$B$180,R331,'Data Input sheet'!$D$118:$D$180)</f>
        <v>0</v>
      </c>
      <c r="T331" s="2685">
        <f>+O331*S331</f>
        <v>0</v>
      </c>
      <c r="U331" s="2013">
        <v>0</v>
      </c>
      <c r="V331" s="778">
        <f t="shared" si="421"/>
        <v>0</v>
      </c>
      <c r="W331" s="2010"/>
      <c r="X331" s="779"/>
      <c r="Y331" s="2012"/>
      <c r="Z331" s="780">
        <f t="shared" ref="Z331" si="439">T331+V331+W331+Y331</f>
        <v>0</v>
      </c>
      <c r="AA331" s="2007"/>
      <c r="AB331" s="2007"/>
      <c r="AC331" s="765"/>
      <c r="AD331" s="781">
        <f t="shared" si="422"/>
        <v>0</v>
      </c>
      <c r="AE331" s="778">
        <f t="shared" si="423"/>
        <v>0</v>
      </c>
      <c r="AF331" s="781">
        <f t="shared" si="424"/>
        <v>0</v>
      </c>
      <c r="AG331" s="781">
        <f t="shared" si="425"/>
        <v>0</v>
      </c>
      <c r="AH331" s="781">
        <f t="shared" si="426"/>
        <v>0</v>
      </c>
      <c r="AI331" s="782">
        <f t="shared" si="427"/>
        <v>0</v>
      </c>
      <c r="AJ331" s="781">
        <f t="shared" si="428"/>
        <v>0</v>
      </c>
      <c r="AK331" s="781">
        <f t="shared" si="429"/>
        <v>0</v>
      </c>
      <c r="AL331" s="781">
        <f t="shared" si="430"/>
        <v>0</v>
      </c>
      <c r="AM331" s="781">
        <f t="shared" si="431"/>
        <v>0</v>
      </c>
      <c r="AN331" s="781">
        <f t="shared" si="432"/>
        <v>0</v>
      </c>
      <c r="AO331" s="781">
        <f t="shared" si="433"/>
        <v>0</v>
      </c>
      <c r="AP331" s="781">
        <f t="shared" si="434"/>
        <v>0</v>
      </c>
      <c r="AQ331" s="781">
        <f t="shared" si="435"/>
        <v>0</v>
      </c>
      <c r="AR331" s="781">
        <f t="shared" si="436"/>
        <v>0</v>
      </c>
      <c r="AS331" s="783">
        <f t="shared" si="437"/>
        <v>0</v>
      </c>
      <c r="AT331" s="917"/>
      <c r="AW331" s="832"/>
      <c r="AX331" s="833" t="s">
        <v>3030</v>
      </c>
      <c r="BM331" s="2010"/>
    </row>
    <row r="332" spans="1:65" ht="15" hidden="1" outlineLevel="1" x14ac:dyDescent="0.25">
      <c r="A332" s="784"/>
      <c r="B332" s="904">
        <f t="shared" si="356"/>
        <v>314</v>
      </c>
      <c r="C332" s="170" t="str">
        <f t="shared" si="355"/>
        <v>66EA</v>
      </c>
      <c r="D332" s="557"/>
      <c r="E332" s="170"/>
      <c r="F332" s="721">
        <v>66</v>
      </c>
      <c r="G332" s="2007" t="s">
        <v>2019</v>
      </c>
      <c r="H332" s="1926">
        <v>0</v>
      </c>
      <c r="I332" s="2008" t="s">
        <v>732</v>
      </c>
      <c r="J332" s="1926"/>
      <c r="K332" s="1926"/>
      <c r="L332" s="170"/>
      <c r="M332" s="2009">
        <v>40</v>
      </c>
      <c r="N332" s="2010">
        <v>1</v>
      </c>
      <c r="O332" s="773">
        <f t="shared" ref="O332:O341" si="440">+M332*N332</f>
        <v>40</v>
      </c>
      <c r="P332" s="2076" t="s">
        <v>39</v>
      </c>
      <c r="Q332" s="2008" t="s">
        <v>39</v>
      </c>
      <c r="R332" s="2011" t="s">
        <v>74</v>
      </c>
      <c r="S332" s="912">
        <f>SUMIF('Data Input sheet'!$B$118:$B$180,R332,'Data Input sheet'!$D$118:$D$180)</f>
        <v>152</v>
      </c>
      <c r="T332" s="2685">
        <f>+O332*S332</f>
        <v>6080</v>
      </c>
      <c r="U332" s="2013">
        <v>28</v>
      </c>
      <c r="V332" s="778">
        <f t="shared" si="421"/>
        <v>1120</v>
      </c>
      <c r="W332" s="2010">
        <v>5888.7170334720004</v>
      </c>
      <c r="X332" s="779"/>
      <c r="Y332" s="2012"/>
      <c r="Z332" s="780">
        <f t="shared" ref="Z332:Z341" si="441">T332+V332+W332+Y332</f>
        <v>13088.717033471999</v>
      </c>
      <c r="AA332" s="2007"/>
      <c r="AB332" s="2007"/>
      <c r="AC332" s="765"/>
      <c r="AD332" s="781">
        <f t="shared" si="422"/>
        <v>0</v>
      </c>
      <c r="AE332" s="778">
        <f t="shared" si="423"/>
        <v>0</v>
      </c>
      <c r="AF332" s="781">
        <f t="shared" si="424"/>
        <v>0</v>
      </c>
      <c r="AG332" s="781">
        <f t="shared" si="425"/>
        <v>0</v>
      </c>
      <c r="AH332" s="781">
        <f t="shared" si="426"/>
        <v>0</v>
      </c>
      <c r="AI332" s="782">
        <f t="shared" si="427"/>
        <v>0</v>
      </c>
      <c r="AJ332" s="781">
        <f t="shared" si="428"/>
        <v>0</v>
      </c>
      <c r="AK332" s="781">
        <f t="shared" si="429"/>
        <v>0</v>
      </c>
      <c r="AL332" s="781">
        <f t="shared" si="430"/>
        <v>0</v>
      </c>
      <c r="AM332" s="781">
        <f t="shared" si="431"/>
        <v>0</v>
      </c>
      <c r="AN332" s="781">
        <f t="shared" si="432"/>
        <v>0</v>
      </c>
      <c r="AO332" s="781">
        <f t="shared" si="433"/>
        <v>0</v>
      </c>
      <c r="AP332" s="781">
        <f t="shared" si="434"/>
        <v>0</v>
      </c>
      <c r="AQ332" s="781">
        <f t="shared" si="435"/>
        <v>0</v>
      </c>
      <c r="AR332" s="781">
        <f t="shared" si="436"/>
        <v>0</v>
      </c>
      <c r="AS332" s="783">
        <f t="shared" si="437"/>
        <v>0</v>
      </c>
      <c r="AT332" s="917"/>
      <c r="AW332" s="832"/>
      <c r="AX332" s="833" t="s">
        <v>3030</v>
      </c>
      <c r="BM332" s="2010">
        <v>5888.7170334720004</v>
      </c>
    </row>
    <row r="333" spans="1:65" ht="15" hidden="1" outlineLevel="1" x14ac:dyDescent="0.25">
      <c r="A333" s="784"/>
      <c r="B333" s="904">
        <f t="shared" si="356"/>
        <v>315</v>
      </c>
      <c r="C333" s="170" t="str">
        <f t="shared" si="355"/>
        <v>66EA</v>
      </c>
      <c r="D333" s="557"/>
      <c r="E333" s="170"/>
      <c r="F333" s="721">
        <v>66</v>
      </c>
      <c r="G333" s="2492" t="s">
        <v>1756</v>
      </c>
      <c r="H333" s="2039"/>
      <c r="I333" s="2008" t="s">
        <v>732</v>
      </c>
      <c r="J333" s="2039"/>
      <c r="K333" s="2039"/>
      <c r="L333" s="488"/>
      <c r="M333" s="2041">
        <v>0</v>
      </c>
      <c r="N333" s="2043">
        <v>1</v>
      </c>
      <c r="O333" s="1967">
        <f t="shared" si="440"/>
        <v>0</v>
      </c>
      <c r="P333" s="2076" t="s">
        <v>39</v>
      </c>
      <c r="Q333" s="2008" t="s">
        <v>39</v>
      </c>
      <c r="R333" s="2011" t="s">
        <v>74</v>
      </c>
      <c r="S333" s="912">
        <f>SUMIF('Data Input sheet'!$B$118:$B$180,R333,'Data Input sheet'!$D$118:$D$180)</f>
        <v>152</v>
      </c>
      <c r="T333" s="2686">
        <f>ROUND(O333*S333,0)</f>
        <v>0</v>
      </c>
      <c r="U333" s="2042"/>
      <c r="V333" s="1981">
        <f t="shared" si="421"/>
        <v>0</v>
      </c>
      <c r="W333" s="2046">
        <v>1500</v>
      </c>
      <c r="X333" s="2502"/>
      <c r="Y333" s="2047">
        <v>0</v>
      </c>
      <c r="Z333" s="780">
        <f t="shared" si="441"/>
        <v>1500</v>
      </c>
      <c r="AA333" s="2007"/>
      <c r="AB333" s="2007"/>
      <c r="AC333" s="765"/>
      <c r="AD333" s="781">
        <f t="shared" si="422"/>
        <v>0</v>
      </c>
      <c r="AE333" s="778">
        <f t="shared" si="423"/>
        <v>0</v>
      </c>
      <c r="AF333" s="781">
        <f t="shared" si="424"/>
        <v>0</v>
      </c>
      <c r="AG333" s="781">
        <f t="shared" si="425"/>
        <v>0</v>
      </c>
      <c r="AH333" s="781">
        <f t="shared" si="426"/>
        <v>0</v>
      </c>
      <c r="AI333" s="782">
        <f t="shared" si="427"/>
        <v>0</v>
      </c>
      <c r="AJ333" s="781">
        <f t="shared" si="428"/>
        <v>0</v>
      </c>
      <c r="AK333" s="781">
        <f t="shared" si="429"/>
        <v>0</v>
      </c>
      <c r="AL333" s="781">
        <f t="shared" si="430"/>
        <v>0</v>
      </c>
      <c r="AM333" s="781">
        <f t="shared" si="431"/>
        <v>0</v>
      </c>
      <c r="AN333" s="781">
        <f t="shared" si="432"/>
        <v>0</v>
      </c>
      <c r="AO333" s="781">
        <f t="shared" si="433"/>
        <v>0</v>
      </c>
      <c r="AP333" s="781">
        <f t="shared" si="434"/>
        <v>0</v>
      </c>
      <c r="AQ333" s="781">
        <f t="shared" si="435"/>
        <v>0</v>
      </c>
      <c r="AR333" s="781">
        <f t="shared" si="436"/>
        <v>0</v>
      </c>
      <c r="AS333" s="783">
        <f t="shared" si="437"/>
        <v>0</v>
      </c>
    </row>
    <row r="334" spans="1:65" ht="25.5" hidden="1" outlineLevel="1" x14ac:dyDescent="0.25">
      <c r="A334" s="784"/>
      <c r="B334" s="904">
        <f t="shared" si="356"/>
        <v>316</v>
      </c>
      <c r="C334" s="170" t="str">
        <f t="shared" si="355"/>
        <v>66EA</v>
      </c>
      <c r="D334" s="557"/>
      <c r="E334" s="170"/>
      <c r="F334" s="721">
        <v>66</v>
      </c>
      <c r="G334" s="2007" t="s">
        <v>2010</v>
      </c>
      <c r="H334" s="1926"/>
      <c r="I334" s="2008" t="s">
        <v>732</v>
      </c>
      <c r="J334" s="1926"/>
      <c r="K334" s="1926"/>
      <c r="L334" s="170"/>
      <c r="M334" s="2009">
        <v>30</v>
      </c>
      <c r="N334" s="2010">
        <v>1</v>
      </c>
      <c r="O334" s="773">
        <f t="shared" si="440"/>
        <v>30</v>
      </c>
      <c r="P334" s="2076" t="s">
        <v>39</v>
      </c>
      <c r="Q334" s="2008" t="s">
        <v>39</v>
      </c>
      <c r="R334" s="2011" t="s">
        <v>74</v>
      </c>
      <c r="S334" s="912">
        <f>SUMIF('Data Input sheet'!$B$118:$B$180,R334,'Data Input sheet'!$D$118:$D$180)</f>
        <v>152</v>
      </c>
      <c r="T334" s="2685">
        <f>+O334*S334</f>
        <v>4560</v>
      </c>
      <c r="U334" s="2013">
        <v>21</v>
      </c>
      <c r="V334" s="778">
        <f t="shared" si="421"/>
        <v>630</v>
      </c>
      <c r="W334" s="2010">
        <v>1893.1461119999999</v>
      </c>
      <c r="X334" s="779"/>
      <c r="Y334" s="2012"/>
      <c r="Z334" s="780">
        <f t="shared" si="441"/>
        <v>7083.1461120000004</v>
      </c>
      <c r="AA334" s="2007"/>
      <c r="AB334" s="2007"/>
      <c r="AC334" s="765"/>
      <c r="AD334" s="781">
        <f t="shared" si="422"/>
        <v>0</v>
      </c>
      <c r="AE334" s="778">
        <f t="shared" si="423"/>
        <v>0</v>
      </c>
      <c r="AF334" s="781">
        <f t="shared" si="424"/>
        <v>0</v>
      </c>
      <c r="AG334" s="781">
        <f t="shared" si="425"/>
        <v>0</v>
      </c>
      <c r="AH334" s="781">
        <f t="shared" si="426"/>
        <v>0</v>
      </c>
      <c r="AI334" s="782">
        <f t="shared" si="427"/>
        <v>0</v>
      </c>
      <c r="AJ334" s="781">
        <f t="shared" si="428"/>
        <v>0</v>
      </c>
      <c r="AK334" s="781">
        <f t="shared" si="429"/>
        <v>0</v>
      </c>
      <c r="AL334" s="781">
        <f t="shared" si="430"/>
        <v>0</v>
      </c>
      <c r="AM334" s="781">
        <f t="shared" si="431"/>
        <v>0</v>
      </c>
      <c r="AN334" s="781">
        <f t="shared" si="432"/>
        <v>0</v>
      </c>
      <c r="AO334" s="781">
        <f t="shared" si="433"/>
        <v>0</v>
      </c>
      <c r="AP334" s="781">
        <f t="shared" si="434"/>
        <v>0</v>
      </c>
      <c r="AQ334" s="781">
        <f t="shared" si="435"/>
        <v>0</v>
      </c>
      <c r="AR334" s="781">
        <f t="shared" si="436"/>
        <v>0</v>
      </c>
      <c r="AS334" s="783">
        <f t="shared" si="437"/>
        <v>0</v>
      </c>
      <c r="AT334" s="917"/>
      <c r="AW334" s="832"/>
      <c r="AX334" s="833" t="s">
        <v>2979</v>
      </c>
      <c r="BM334" s="2010">
        <v>1893.1461119999999</v>
      </c>
    </row>
    <row r="335" spans="1:65" ht="15" hidden="1" outlineLevel="1" x14ac:dyDescent="0.25">
      <c r="A335" s="784"/>
      <c r="B335" s="904">
        <f t="shared" si="356"/>
        <v>317</v>
      </c>
      <c r="C335" s="170" t="str">
        <f t="shared" si="355"/>
        <v>66EA</v>
      </c>
      <c r="D335" s="557"/>
      <c r="E335" s="170"/>
      <c r="F335" s="721">
        <v>66</v>
      </c>
      <c r="G335" s="2492" t="s">
        <v>1755</v>
      </c>
      <c r="H335" s="2039"/>
      <c r="I335" s="2008" t="s">
        <v>732</v>
      </c>
      <c r="J335" s="2039"/>
      <c r="K335" s="2039"/>
      <c r="L335" s="488"/>
      <c r="M335" s="2041">
        <v>0</v>
      </c>
      <c r="N335" s="2043">
        <v>1</v>
      </c>
      <c r="O335" s="1967">
        <f t="shared" si="440"/>
        <v>0</v>
      </c>
      <c r="P335" s="2076" t="s">
        <v>39</v>
      </c>
      <c r="Q335" s="2008" t="s">
        <v>39</v>
      </c>
      <c r="R335" s="2011" t="s">
        <v>74</v>
      </c>
      <c r="S335" s="912">
        <f>SUMIF('Data Input sheet'!$B$118:$B$180,R335,'Data Input sheet'!$D$118:$D$180)</f>
        <v>152</v>
      </c>
      <c r="T335" s="2686">
        <f t="shared" ref="T335:T341" si="442">ROUND(O335*S335,0)</f>
        <v>0</v>
      </c>
      <c r="U335" s="2042"/>
      <c r="V335" s="1981">
        <f t="shared" si="421"/>
        <v>0</v>
      </c>
      <c r="W335" s="2046">
        <v>1870</v>
      </c>
      <c r="X335" s="2502"/>
      <c r="Y335" s="2047">
        <v>0</v>
      </c>
      <c r="Z335" s="780">
        <f t="shared" si="441"/>
        <v>1870</v>
      </c>
      <c r="AA335" s="2007"/>
      <c r="AB335" s="2007"/>
      <c r="AC335" s="765"/>
      <c r="AD335" s="781">
        <f t="shared" si="422"/>
        <v>0</v>
      </c>
      <c r="AE335" s="778">
        <f t="shared" si="423"/>
        <v>0</v>
      </c>
      <c r="AF335" s="781">
        <f t="shared" si="424"/>
        <v>0</v>
      </c>
      <c r="AG335" s="781">
        <f t="shared" si="425"/>
        <v>0</v>
      </c>
      <c r="AH335" s="781">
        <f t="shared" si="426"/>
        <v>0</v>
      </c>
      <c r="AI335" s="782">
        <f t="shared" si="427"/>
        <v>0</v>
      </c>
      <c r="AJ335" s="781">
        <f t="shared" si="428"/>
        <v>0</v>
      </c>
      <c r="AK335" s="781">
        <f t="shared" si="429"/>
        <v>0</v>
      </c>
      <c r="AL335" s="781">
        <f t="shared" si="430"/>
        <v>0</v>
      </c>
      <c r="AM335" s="781">
        <f t="shared" si="431"/>
        <v>0</v>
      </c>
      <c r="AN335" s="781">
        <f t="shared" si="432"/>
        <v>0</v>
      </c>
      <c r="AO335" s="781">
        <f t="shared" si="433"/>
        <v>0</v>
      </c>
      <c r="AP335" s="781">
        <f t="shared" si="434"/>
        <v>0</v>
      </c>
      <c r="AQ335" s="781">
        <f t="shared" si="435"/>
        <v>0</v>
      </c>
      <c r="AR335" s="781">
        <f t="shared" si="436"/>
        <v>0</v>
      </c>
      <c r="AS335" s="783">
        <f t="shared" si="437"/>
        <v>0</v>
      </c>
    </row>
    <row r="336" spans="1:65" ht="15" hidden="1" outlineLevel="1" x14ac:dyDescent="0.25">
      <c r="A336" s="784"/>
      <c r="B336" s="904">
        <f t="shared" si="356"/>
        <v>318</v>
      </c>
      <c r="C336" s="170" t="str">
        <f t="shared" si="355"/>
        <v>66EA</v>
      </c>
      <c r="D336" s="557"/>
      <c r="E336" s="170"/>
      <c r="F336" s="721">
        <v>66</v>
      </c>
      <c r="G336" s="2492" t="s">
        <v>1753</v>
      </c>
      <c r="H336" s="2039"/>
      <c r="I336" s="2008" t="s">
        <v>732</v>
      </c>
      <c r="J336" s="2039"/>
      <c r="K336" s="2039"/>
      <c r="L336" s="488"/>
      <c r="M336" s="2041">
        <v>0</v>
      </c>
      <c r="N336" s="2043">
        <v>1</v>
      </c>
      <c r="O336" s="1967">
        <f t="shared" si="440"/>
        <v>0</v>
      </c>
      <c r="P336" s="2076" t="s">
        <v>39</v>
      </c>
      <c r="Q336" s="2008" t="s">
        <v>39</v>
      </c>
      <c r="R336" s="2011" t="s">
        <v>74</v>
      </c>
      <c r="S336" s="912">
        <f>SUMIF('Data Input sheet'!$B$118:$B$180,R336,'Data Input sheet'!$D$118:$D$180)</f>
        <v>152</v>
      </c>
      <c r="T336" s="2686">
        <f t="shared" si="442"/>
        <v>0</v>
      </c>
      <c r="U336" s="2042"/>
      <c r="V336" s="1981">
        <f t="shared" si="421"/>
        <v>0</v>
      </c>
      <c r="W336" s="2046">
        <v>400</v>
      </c>
      <c r="X336" s="2502"/>
      <c r="Y336" s="2047">
        <v>0</v>
      </c>
      <c r="Z336" s="780">
        <f t="shared" si="441"/>
        <v>400</v>
      </c>
      <c r="AA336" s="2007"/>
      <c r="AB336" s="2007"/>
      <c r="AC336" s="765"/>
      <c r="AD336" s="781">
        <f t="shared" si="422"/>
        <v>0</v>
      </c>
      <c r="AE336" s="778">
        <f t="shared" si="423"/>
        <v>0</v>
      </c>
      <c r="AF336" s="781">
        <f t="shared" si="424"/>
        <v>0</v>
      </c>
      <c r="AG336" s="781">
        <f t="shared" si="425"/>
        <v>0</v>
      </c>
      <c r="AH336" s="781">
        <f t="shared" si="426"/>
        <v>0</v>
      </c>
      <c r="AI336" s="782">
        <f t="shared" si="427"/>
        <v>0</v>
      </c>
      <c r="AJ336" s="781">
        <f t="shared" si="428"/>
        <v>0</v>
      </c>
      <c r="AK336" s="781">
        <f t="shared" si="429"/>
        <v>0</v>
      </c>
      <c r="AL336" s="781">
        <f t="shared" si="430"/>
        <v>0</v>
      </c>
      <c r="AM336" s="781">
        <f t="shared" si="431"/>
        <v>0</v>
      </c>
      <c r="AN336" s="781">
        <f t="shared" si="432"/>
        <v>0</v>
      </c>
      <c r="AO336" s="781">
        <f t="shared" si="433"/>
        <v>0</v>
      </c>
      <c r="AP336" s="781">
        <f t="shared" si="434"/>
        <v>0</v>
      </c>
      <c r="AQ336" s="781">
        <f t="shared" si="435"/>
        <v>0</v>
      </c>
      <c r="AR336" s="781">
        <f t="shared" si="436"/>
        <v>0</v>
      </c>
      <c r="AS336" s="783">
        <f t="shared" si="437"/>
        <v>0</v>
      </c>
    </row>
    <row r="337" spans="1:65" ht="15" hidden="1" outlineLevel="1" x14ac:dyDescent="0.25">
      <c r="A337" s="784"/>
      <c r="B337" s="904">
        <f t="shared" si="356"/>
        <v>319</v>
      </c>
      <c r="C337" s="170" t="str">
        <f t="shared" si="355"/>
        <v>66EA</v>
      </c>
      <c r="D337" s="557"/>
      <c r="E337" s="170"/>
      <c r="F337" s="721">
        <v>66</v>
      </c>
      <c r="G337" s="2492" t="s">
        <v>1754</v>
      </c>
      <c r="H337" s="2039"/>
      <c r="I337" s="2008" t="s">
        <v>732</v>
      </c>
      <c r="J337" s="2039"/>
      <c r="K337" s="2039"/>
      <c r="L337" s="488"/>
      <c r="M337" s="2041">
        <v>0</v>
      </c>
      <c r="N337" s="2043">
        <v>1</v>
      </c>
      <c r="O337" s="1967">
        <f t="shared" si="440"/>
        <v>0</v>
      </c>
      <c r="P337" s="2076" t="s">
        <v>39</v>
      </c>
      <c r="Q337" s="2008" t="s">
        <v>39</v>
      </c>
      <c r="R337" s="2011" t="s">
        <v>74</v>
      </c>
      <c r="S337" s="912">
        <f>SUMIF('Data Input sheet'!$B$118:$B$180,R337,'Data Input sheet'!$D$118:$D$180)</f>
        <v>152</v>
      </c>
      <c r="T337" s="2686">
        <f t="shared" si="442"/>
        <v>0</v>
      </c>
      <c r="U337" s="2042"/>
      <c r="V337" s="1981">
        <f t="shared" si="421"/>
        <v>0</v>
      </c>
      <c r="W337" s="2046">
        <v>440</v>
      </c>
      <c r="X337" s="2502"/>
      <c r="Y337" s="2047">
        <v>0</v>
      </c>
      <c r="Z337" s="780">
        <f t="shared" si="441"/>
        <v>440</v>
      </c>
      <c r="AA337" s="2007"/>
      <c r="AB337" s="2007"/>
      <c r="AC337" s="765"/>
      <c r="AD337" s="781">
        <f t="shared" si="422"/>
        <v>0</v>
      </c>
      <c r="AE337" s="778">
        <f t="shared" si="423"/>
        <v>0</v>
      </c>
      <c r="AF337" s="781">
        <f t="shared" si="424"/>
        <v>0</v>
      </c>
      <c r="AG337" s="781">
        <f t="shared" si="425"/>
        <v>0</v>
      </c>
      <c r="AH337" s="781">
        <f t="shared" si="426"/>
        <v>0</v>
      </c>
      <c r="AI337" s="782">
        <f t="shared" si="427"/>
        <v>0</v>
      </c>
      <c r="AJ337" s="781">
        <f t="shared" si="428"/>
        <v>0</v>
      </c>
      <c r="AK337" s="781">
        <f t="shared" si="429"/>
        <v>0</v>
      </c>
      <c r="AL337" s="781">
        <f t="shared" si="430"/>
        <v>0</v>
      </c>
      <c r="AM337" s="781">
        <f t="shared" si="431"/>
        <v>0</v>
      </c>
      <c r="AN337" s="781">
        <f t="shared" si="432"/>
        <v>0</v>
      </c>
      <c r="AO337" s="781">
        <f t="shared" si="433"/>
        <v>0</v>
      </c>
      <c r="AP337" s="781">
        <f t="shared" si="434"/>
        <v>0</v>
      </c>
      <c r="AQ337" s="781">
        <f t="shared" si="435"/>
        <v>0</v>
      </c>
      <c r="AR337" s="781">
        <f t="shared" si="436"/>
        <v>0</v>
      </c>
      <c r="AS337" s="783">
        <f t="shared" si="437"/>
        <v>0</v>
      </c>
    </row>
    <row r="338" spans="1:65" ht="15" hidden="1" outlineLevel="1" x14ac:dyDescent="0.25">
      <c r="A338" s="784"/>
      <c r="B338" s="904">
        <f t="shared" si="356"/>
        <v>320</v>
      </c>
      <c r="C338" s="170" t="str">
        <f t="shared" si="355"/>
        <v>66EA</v>
      </c>
      <c r="D338" s="557"/>
      <c r="E338" s="170"/>
      <c r="F338" s="721">
        <v>66</v>
      </c>
      <c r="G338" s="2492" t="s">
        <v>1752</v>
      </c>
      <c r="H338" s="2039"/>
      <c r="I338" s="2008" t="s">
        <v>732</v>
      </c>
      <c r="J338" s="2039"/>
      <c r="K338" s="2039"/>
      <c r="L338" s="488"/>
      <c r="M338" s="2041">
        <v>0</v>
      </c>
      <c r="N338" s="2043">
        <v>1</v>
      </c>
      <c r="O338" s="1967">
        <f t="shared" si="440"/>
        <v>0</v>
      </c>
      <c r="P338" s="2076" t="s">
        <v>39</v>
      </c>
      <c r="Q338" s="2008" t="s">
        <v>39</v>
      </c>
      <c r="R338" s="2011" t="s">
        <v>74</v>
      </c>
      <c r="S338" s="912">
        <f>SUMIF('Data Input sheet'!$B$118:$B$180,R338,'Data Input sheet'!$D$118:$D$180)</f>
        <v>152</v>
      </c>
      <c r="T338" s="2686">
        <f t="shared" si="442"/>
        <v>0</v>
      </c>
      <c r="U338" s="2042"/>
      <c r="V338" s="1981">
        <f t="shared" si="421"/>
        <v>0</v>
      </c>
      <c r="W338" s="2046">
        <v>350</v>
      </c>
      <c r="X338" s="2502"/>
      <c r="Y338" s="2047">
        <v>0</v>
      </c>
      <c r="Z338" s="780">
        <f t="shared" si="441"/>
        <v>350</v>
      </c>
      <c r="AA338" s="2007"/>
      <c r="AB338" s="2007"/>
      <c r="AC338" s="765"/>
      <c r="AD338" s="781">
        <f t="shared" si="422"/>
        <v>0</v>
      </c>
      <c r="AE338" s="778">
        <f t="shared" si="423"/>
        <v>0</v>
      </c>
      <c r="AF338" s="781">
        <f t="shared" si="424"/>
        <v>0</v>
      </c>
      <c r="AG338" s="781">
        <f t="shared" si="425"/>
        <v>0</v>
      </c>
      <c r="AH338" s="781">
        <f t="shared" si="426"/>
        <v>0</v>
      </c>
      <c r="AI338" s="782">
        <f t="shared" si="427"/>
        <v>0</v>
      </c>
      <c r="AJ338" s="781">
        <f t="shared" si="428"/>
        <v>0</v>
      </c>
      <c r="AK338" s="781">
        <f t="shared" si="429"/>
        <v>0</v>
      </c>
      <c r="AL338" s="781">
        <f t="shared" si="430"/>
        <v>0</v>
      </c>
      <c r="AM338" s="781">
        <f t="shared" si="431"/>
        <v>0</v>
      </c>
      <c r="AN338" s="781">
        <f t="shared" si="432"/>
        <v>0</v>
      </c>
      <c r="AO338" s="781">
        <f t="shared" si="433"/>
        <v>0</v>
      </c>
      <c r="AP338" s="781">
        <f t="shared" si="434"/>
        <v>0</v>
      </c>
      <c r="AQ338" s="781">
        <f t="shared" si="435"/>
        <v>0</v>
      </c>
      <c r="AR338" s="781">
        <f t="shared" si="436"/>
        <v>0</v>
      </c>
      <c r="AS338" s="783">
        <f t="shared" si="437"/>
        <v>0</v>
      </c>
    </row>
    <row r="339" spans="1:65" ht="15" hidden="1" outlineLevel="1" x14ac:dyDescent="0.25">
      <c r="A339" s="784"/>
      <c r="B339" s="904">
        <f t="shared" si="356"/>
        <v>321</v>
      </c>
      <c r="C339" s="170" t="str">
        <f t="shared" ref="C339:C403" si="443">+F339&amp;I339</f>
        <v>66EA</v>
      </c>
      <c r="D339" s="557"/>
      <c r="E339" s="170"/>
      <c r="F339" s="721">
        <v>66</v>
      </c>
      <c r="G339" s="2492" t="s">
        <v>1751</v>
      </c>
      <c r="H339" s="2039"/>
      <c r="I339" s="2008" t="s">
        <v>732</v>
      </c>
      <c r="J339" s="2039"/>
      <c r="K339" s="2039"/>
      <c r="L339" s="488"/>
      <c r="M339" s="2041">
        <v>0</v>
      </c>
      <c r="N339" s="2043">
        <v>1</v>
      </c>
      <c r="O339" s="1967">
        <f t="shared" si="440"/>
        <v>0</v>
      </c>
      <c r="P339" s="2076" t="s">
        <v>39</v>
      </c>
      <c r="Q339" s="2008" t="s">
        <v>39</v>
      </c>
      <c r="R339" s="2011" t="s">
        <v>74</v>
      </c>
      <c r="S339" s="912">
        <f>SUMIF('Data Input sheet'!$B$118:$B$180,R339,'Data Input sheet'!$D$118:$D$180)</f>
        <v>152</v>
      </c>
      <c r="T339" s="2686">
        <f t="shared" si="442"/>
        <v>0</v>
      </c>
      <c r="U339" s="2042"/>
      <c r="V339" s="1981">
        <f t="shared" si="421"/>
        <v>0</v>
      </c>
      <c r="W339" s="2046">
        <v>296</v>
      </c>
      <c r="X339" s="2502"/>
      <c r="Y339" s="2047">
        <v>0</v>
      </c>
      <c r="Z339" s="780">
        <f t="shared" si="441"/>
        <v>296</v>
      </c>
      <c r="AA339" s="2007"/>
      <c r="AB339" s="2007"/>
      <c r="AC339" s="765"/>
      <c r="AD339" s="781">
        <f t="shared" si="422"/>
        <v>0</v>
      </c>
      <c r="AE339" s="778">
        <f t="shared" si="423"/>
        <v>0</v>
      </c>
      <c r="AF339" s="781">
        <f t="shared" si="424"/>
        <v>0</v>
      </c>
      <c r="AG339" s="781">
        <f t="shared" si="425"/>
        <v>0</v>
      </c>
      <c r="AH339" s="781">
        <f t="shared" si="426"/>
        <v>0</v>
      </c>
      <c r="AI339" s="782">
        <f t="shared" si="427"/>
        <v>0</v>
      </c>
      <c r="AJ339" s="781">
        <f t="shared" si="428"/>
        <v>0</v>
      </c>
      <c r="AK339" s="781">
        <f t="shared" si="429"/>
        <v>0</v>
      </c>
      <c r="AL339" s="781">
        <f t="shared" si="430"/>
        <v>0</v>
      </c>
      <c r="AM339" s="781">
        <f t="shared" si="431"/>
        <v>0</v>
      </c>
      <c r="AN339" s="781">
        <f t="shared" si="432"/>
        <v>0</v>
      </c>
      <c r="AO339" s="781">
        <f t="shared" si="433"/>
        <v>0</v>
      </c>
      <c r="AP339" s="781">
        <f t="shared" si="434"/>
        <v>0</v>
      </c>
      <c r="AQ339" s="781">
        <f t="shared" si="435"/>
        <v>0</v>
      </c>
      <c r="AR339" s="781">
        <f t="shared" si="436"/>
        <v>0</v>
      </c>
      <c r="AS339" s="783">
        <f t="shared" si="437"/>
        <v>0</v>
      </c>
    </row>
    <row r="340" spans="1:65" ht="15" hidden="1" outlineLevel="1" x14ac:dyDescent="0.25">
      <c r="A340" s="784"/>
      <c r="B340" s="904">
        <f t="shared" si="356"/>
        <v>322</v>
      </c>
      <c r="C340" s="170" t="str">
        <f t="shared" si="443"/>
        <v>66EA</v>
      </c>
      <c r="D340" s="557"/>
      <c r="E340" s="170"/>
      <c r="F340" s="721">
        <v>66</v>
      </c>
      <c r="G340" s="2492" t="s">
        <v>1750</v>
      </c>
      <c r="H340" s="2039"/>
      <c r="I340" s="2008" t="s">
        <v>732</v>
      </c>
      <c r="J340" s="2039"/>
      <c r="K340" s="2039"/>
      <c r="L340" s="488"/>
      <c r="M340" s="2041">
        <v>0</v>
      </c>
      <c r="N340" s="2043">
        <v>1</v>
      </c>
      <c r="O340" s="1967">
        <f t="shared" si="440"/>
        <v>0</v>
      </c>
      <c r="P340" s="2076" t="s">
        <v>39</v>
      </c>
      <c r="Q340" s="2008" t="s">
        <v>39</v>
      </c>
      <c r="R340" s="2011" t="s">
        <v>74</v>
      </c>
      <c r="S340" s="912">
        <f>SUMIF('Data Input sheet'!$B$118:$B$180,R340,'Data Input sheet'!$D$118:$D$180)</f>
        <v>152</v>
      </c>
      <c r="T340" s="2686">
        <f t="shared" si="442"/>
        <v>0</v>
      </c>
      <c r="U340" s="2042"/>
      <c r="V340" s="1981">
        <f t="shared" si="421"/>
        <v>0</v>
      </c>
      <c r="W340" s="2046">
        <v>300</v>
      </c>
      <c r="X340" s="2502"/>
      <c r="Y340" s="2047">
        <v>0</v>
      </c>
      <c r="Z340" s="780">
        <f t="shared" si="441"/>
        <v>300</v>
      </c>
      <c r="AA340" s="2007"/>
      <c r="AB340" s="2007"/>
      <c r="AC340" s="765"/>
      <c r="AD340" s="781">
        <f t="shared" si="422"/>
        <v>0</v>
      </c>
      <c r="AE340" s="778">
        <f t="shared" si="423"/>
        <v>0</v>
      </c>
      <c r="AF340" s="781">
        <f t="shared" si="424"/>
        <v>0</v>
      </c>
      <c r="AG340" s="781">
        <f t="shared" si="425"/>
        <v>0</v>
      </c>
      <c r="AH340" s="781">
        <f t="shared" si="426"/>
        <v>0</v>
      </c>
      <c r="AI340" s="782">
        <f t="shared" si="427"/>
        <v>0</v>
      </c>
      <c r="AJ340" s="781">
        <f t="shared" si="428"/>
        <v>0</v>
      </c>
      <c r="AK340" s="781">
        <f t="shared" si="429"/>
        <v>0</v>
      </c>
      <c r="AL340" s="781">
        <f t="shared" si="430"/>
        <v>0</v>
      </c>
      <c r="AM340" s="781">
        <f t="shared" si="431"/>
        <v>0</v>
      </c>
      <c r="AN340" s="781">
        <f t="shared" si="432"/>
        <v>0</v>
      </c>
      <c r="AO340" s="781">
        <f t="shared" si="433"/>
        <v>0</v>
      </c>
      <c r="AP340" s="781">
        <f t="shared" si="434"/>
        <v>0</v>
      </c>
      <c r="AQ340" s="781">
        <f t="shared" si="435"/>
        <v>0</v>
      </c>
      <c r="AR340" s="781">
        <f t="shared" si="436"/>
        <v>0</v>
      </c>
      <c r="AS340" s="783">
        <f t="shared" si="437"/>
        <v>0</v>
      </c>
    </row>
    <row r="341" spans="1:65" ht="15" hidden="1" outlineLevel="1" x14ac:dyDescent="0.25">
      <c r="A341" s="784"/>
      <c r="B341" s="904">
        <f t="shared" si="356"/>
        <v>323</v>
      </c>
      <c r="C341" s="170" t="str">
        <f t="shared" si="443"/>
        <v>66EA</v>
      </c>
      <c r="D341" s="557"/>
      <c r="E341" s="170"/>
      <c r="F341" s="721">
        <v>66</v>
      </c>
      <c r="G341" s="2492" t="s">
        <v>1749</v>
      </c>
      <c r="H341" s="2039"/>
      <c r="I341" s="2008" t="s">
        <v>732</v>
      </c>
      <c r="J341" s="2039"/>
      <c r="K341" s="2039"/>
      <c r="L341" s="488"/>
      <c r="M341" s="2041">
        <v>0</v>
      </c>
      <c r="N341" s="2043">
        <v>1</v>
      </c>
      <c r="O341" s="1967">
        <f t="shared" si="440"/>
        <v>0</v>
      </c>
      <c r="P341" s="2076" t="s">
        <v>39</v>
      </c>
      <c r="Q341" s="2008" t="s">
        <v>39</v>
      </c>
      <c r="R341" s="2011" t="s">
        <v>74</v>
      </c>
      <c r="S341" s="912">
        <f>SUMIF('Data Input sheet'!$B$118:$B$180,R341,'Data Input sheet'!$D$118:$D$180)</f>
        <v>152</v>
      </c>
      <c r="T341" s="2686">
        <f t="shared" si="442"/>
        <v>0</v>
      </c>
      <c r="U341" s="2042"/>
      <c r="V341" s="1981">
        <f t="shared" si="421"/>
        <v>0</v>
      </c>
      <c r="W341" s="2046">
        <v>180</v>
      </c>
      <c r="X341" s="2502"/>
      <c r="Y341" s="2047">
        <v>0</v>
      </c>
      <c r="Z341" s="780">
        <f t="shared" si="441"/>
        <v>180</v>
      </c>
      <c r="AA341" s="2007"/>
      <c r="AB341" s="2007"/>
      <c r="AC341" s="765"/>
      <c r="AD341" s="781">
        <f t="shared" si="422"/>
        <v>0</v>
      </c>
      <c r="AE341" s="778">
        <f t="shared" si="423"/>
        <v>0</v>
      </c>
      <c r="AF341" s="781">
        <f t="shared" si="424"/>
        <v>0</v>
      </c>
      <c r="AG341" s="781">
        <f t="shared" si="425"/>
        <v>0</v>
      </c>
      <c r="AH341" s="781">
        <f t="shared" si="426"/>
        <v>0</v>
      </c>
      <c r="AI341" s="782">
        <f t="shared" si="427"/>
        <v>0</v>
      </c>
      <c r="AJ341" s="781">
        <f t="shared" si="428"/>
        <v>0</v>
      </c>
      <c r="AK341" s="781">
        <f t="shared" si="429"/>
        <v>0</v>
      </c>
      <c r="AL341" s="781">
        <f t="shared" si="430"/>
        <v>0</v>
      </c>
      <c r="AM341" s="781">
        <f t="shared" si="431"/>
        <v>0</v>
      </c>
      <c r="AN341" s="781">
        <f t="shared" si="432"/>
        <v>0</v>
      </c>
      <c r="AO341" s="781">
        <f t="shared" si="433"/>
        <v>0</v>
      </c>
      <c r="AP341" s="781">
        <f t="shared" si="434"/>
        <v>0</v>
      </c>
      <c r="AQ341" s="781">
        <f t="shared" si="435"/>
        <v>0</v>
      </c>
      <c r="AR341" s="781">
        <f t="shared" si="436"/>
        <v>0</v>
      </c>
      <c r="AS341" s="783">
        <f t="shared" si="437"/>
        <v>0</v>
      </c>
    </row>
    <row r="342" spans="1:65" ht="15.75" hidden="1" collapsed="1" thickBot="1" x14ac:dyDescent="0.3">
      <c r="A342" s="784"/>
      <c r="B342" s="904">
        <f t="shared" ref="B342:B399" si="444">+B341+1</f>
        <v>324</v>
      </c>
      <c r="C342" s="170" t="str">
        <f t="shared" si="443"/>
        <v/>
      </c>
      <c r="D342" s="557"/>
      <c r="E342" s="170"/>
      <c r="F342" s="721"/>
      <c r="G342" s="2627" t="s">
        <v>3290</v>
      </c>
      <c r="H342" s="2629"/>
      <c r="I342" s="2008"/>
      <c r="J342" s="1926"/>
      <c r="K342" s="1926"/>
      <c r="L342" s="488"/>
      <c r="M342" s="2009"/>
      <c r="N342" s="2010"/>
      <c r="O342" s="773">
        <f t="shared" ref="O342:O361" si="445">+M342*N342</f>
        <v>0</v>
      </c>
      <c r="P342" s="2076"/>
      <c r="Q342" s="2008"/>
      <c r="R342" s="2011"/>
      <c r="S342" s="912">
        <f>SUMIF('Data Input sheet'!$B$118:$B$180,R342,'Data Input sheet'!$D$118:$D$180)</f>
        <v>0</v>
      </c>
      <c r="T342" s="2685">
        <f>+O342*S342</f>
        <v>0</v>
      </c>
      <c r="U342" s="2013">
        <v>0</v>
      </c>
      <c r="V342" s="778">
        <f t="shared" si="399"/>
        <v>0</v>
      </c>
      <c r="W342" s="2010"/>
      <c r="X342" s="779"/>
      <c r="Y342" s="2012"/>
      <c r="Z342" s="780">
        <f t="shared" ref="Z342:Z361" si="446">T342+V342+W342+Y342</f>
        <v>0</v>
      </c>
      <c r="AA342" s="2007"/>
      <c r="AB342" s="2007"/>
      <c r="AC342" s="765"/>
      <c r="AD342" s="781">
        <f t="shared" si="401"/>
        <v>0</v>
      </c>
      <c r="AE342" s="778">
        <f t="shared" si="402"/>
        <v>0</v>
      </c>
      <c r="AF342" s="781">
        <f t="shared" si="403"/>
        <v>0</v>
      </c>
      <c r="AG342" s="781">
        <f t="shared" si="404"/>
        <v>0</v>
      </c>
      <c r="AH342" s="781">
        <f t="shared" si="405"/>
        <v>0</v>
      </c>
      <c r="AI342" s="782">
        <f t="shared" si="406"/>
        <v>0</v>
      </c>
      <c r="AJ342" s="781">
        <f t="shared" si="407"/>
        <v>0</v>
      </c>
      <c r="AK342" s="781">
        <f t="shared" si="408"/>
        <v>0</v>
      </c>
      <c r="AL342" s="781">
        <f t="shared" si="409"/>
        <v>0</v>
      </c>
      <c r="AM342" s="781">
        <f t="shared" si="410"/>
        <v>0</v>
      </c>
      <c r="AN342" s="781">
        <f t="shared" si="411"/>
        <v>0</v>
      </c>
      <c r="AO342" s="781">
        <f t="shared" si="412"/>
        <v>0</v>
      </c>
      <c r="AP342" s="781">
        <f t="shared" si="413"/>
        <v>0</v>
      </c>
      <c r="AQ342" s="781">
        <f t="shared" si="414"/>
        <v>0</v>
      </c>
      <c r="AR342" s="781">
        <f t="shared" si="415"/>
        <v>0</v>
      </c>
      <c r="AS342" s="783">
        <f t="shared" si="416"/>
        <v>0</v>
      </c>
      <c r="AT342" s="917"/>
      <c r="AW342" s="832"/>
      <c r="AX342" s="833" t="s">
        <v>3030</v>
      </c>
      <c r="BM342" s="2010"/>
    </row>
    <row r="343" spans="1:65" ht="15" hidden="1" outlineLevel="1" x14ac:dyDescent="0.25">
      <c r="A343" s="784"/>
      <c r="B343" s="904">
        <f t="shared" si="444"/>
        <v>325</v>
      </c>
      <c r="C343" s="170" t="str">
        <f t="shared" si="443"/>
        <v>54EA</v>
      </c>
      <c r="D343" s="557"/>
      <c r="E343" s="170"/>
      <c r="F343" s="721">
        <v>54</v>
      </c>
      <c r="G343" s="2007" t="s">
        <v>2011</v>
      </c>
      <c r="H343" s="1926"/>
      <c r="I343" s="2008" t="s">
        <v>732</v>
      </c>
      <c r="J343" s="1926"/>
      <c r="K343" s="1926"/>
      <c r="L343" s="170"/>
      <c r="M343" s="2009">
        <v>250</v>
      </c>
      <c r="N343" s="2010">
        <v>1</v>
      </c>
      <c r="O343" s="773">
        <f t="shared" ref="O343:O350" si="447">+M343*N343</f>
        <v>250</v>
      </c>
      <c r="P343" s="2076" t="s">
        <v>39</v>
      </c>
      <c r="Q343" s="2008" t="s">
        <v>39</v>
      </c>
      <c r="R343" s="2011" t="s">
        <v>74</v>
      </c>
      <c r="S343" s="912">
        <f>SUMIF('Data Input sheet'!$B$118:$B$180,R343,'Data Input sheet'!$D$118:$D$180)</f>
        <v>152</v>
      </c>
      <c r="T343" s="2685">
        <f>+O343*S343</f>
        <v>38000</v>
      </c>
      <c r="U343" s="2013">
        <v>28</v>
      </c>
      <c r="V343" s="778">
        <f t="shared" ref="V343:V350" si="448">ROUND(U343*O343,0)</f>
        <v>7000</v>
      </c>
      <c r="W343" s="2010">
        <v>150000</v>
      </c>
      <c r="X343" s="779"/>
      <c r="Y343" s="2012"/>
      <c r="Z343" s="780">
        <f t="shared" ref="Z343:Z350" si="449">T343+V343+W343+Y343</f>
        <v>195000</v>
      </c>
      <c r="AA343" s="2007"/>
      <c r="AB343" s="2007"/>
      <c r="AC343" s="765"/>
      <c r="AD343" s="781">
        <f t="shared" ref="AD343:AD350" si="450">IF(P343="E",+ROUND(H343*O343,0),0)</f>
        <v>0</v>
      </c>
      <c r="AE343" s="778">
        <f t="shared" ref="AE343:AE350" si="451">+AF343-AD343</f>
        <v>0</v>
      </c>
      <c r="AF343" s="781">
        <f t="shared" ref="AF343:AF350" si="452">+H343*O343</f>
        <v>0</v>
      </c>
      <c r="AG343" s="781">
        <f t="shared" ref="AG343:AG350" si="453">IF(P343="E",+ROUND(T343*H343,0),0)</f>
        <v>0</v>
      </c>
      <c r="AH343" s="781">
        <f t="shared" ref="AH343:AH350" si="454">+AI343-AG343</f>
        <v>0</v>
      </c>
      <c r="AI343" s="782">
        <f t="shared" ref="AI343:AI350" si="455">+H343*T343</f>
        <v>0</v>
      </c>
      <c r="AJ343" s="781">
        <f t="shared" ref="AJ343:AJ350" si="456">IF(P343="E",+ROUND(V343*H343,0),0)</f>
        <v>0</v>
      </c>
      <c r="AK343" s="781">
        <f t="shared" ref="AK343:AK350" si="457">+AL343-AJ343</f>
        <v>0</v>
      </c>
      <c r="AL343" s="781">
        <f t="shared" ref="AL343:AL350" si="458">ROUND(V343*H343,0)</f>
        <v>0</v>
      </c>
      <c r="AM343" s="781">
        <f t="shared" ref="AM343:AM350" si="459">IF(Q343="E",+ROUND(W343*H343,0),0)</f>
        <v>0</v>
      </c>
      <c r="AN343" s="781">
        <f t="shared" ref="AN343:AN350" si="460">+AO343-AM343</f>
        <v>0</v>
      </c>
      <c r="AO343" s="781">
        <f t="shared" ref="AO343:AO350" si="461">ROUND(W343*H343,0)</f>
        <v>0</v>
      </c>
      <c r="AP343" s="781">
        <f t="shared" ref="AP343:AP350" si="462">IF(P343="E",+ROUND(Y343*H343,0),0)</f>
        <v>0</v>
      </c>
      <c r="AQ343" s="781">
        <f t="shared" ref="AQ343:AQ350" si="463">+AR343-AP343</f>
        <v>0</v>
      </c>
      <c r="AR343" s="781">
        <f t="shared" ref="AR343:AR350" si="464">ROUND(Y343*H343,0)</f>
        <v>0</v>
      </c>
      <c r="AS343" s="783">
        <f t="shared" ref="AS343:AS350" si="465">+AR343+AO343+AL343+AI343</f>
        <v>0</v>
      </c>
      <c r="AT343" s="917"/>
      <c r="AW343" s="832"/>
      <c r="AX343" s="833" t="s">
        <v>2981</v>
      </c>
      <c r="BM343" s="2010">
        <v>62201.604608000001</v>
      </c>
    </row>
    <row r="344" spans="1:65" ht="15" hidden="1" outlineLevel="1" x14ac:dyDescent="0.25">
      <c r="A344" s="784"/>
      <c r="B344" s="904">
        <f t="shared" si="444"/>
        <v>326</v>
      </c>
      <c r="C344" s="170" t="str">
        <f t="shared" si="443"/>
        <v>54EA</v>
      </c>
      <c r="D344" s="557"/>
      <c r="E344" s="170"/>
      <c r="F344" s="721">
        <v>54</v>
      </c>
      <c r="G344" s="2007" t="s">
        <v>2012</v>
      </c>
      <c r="H344" s="1926"/>
      <c r="I344" s="2008" t="s">
        <v>732</v>
      </c>
      <c r="J344" s="1926"/>
      <c r="K344" s="1926"/>
      <c r="L344" s="170"/>
      <c r="M344" s="2009">
        <v>200</v>
      </c>
      <c r="N344" s="2010">
        <v>1</v>
      </c>
      <c r="O344" s="773">
        <f t="shared" si="447"/>
        <v>200</v>
      </c>
      <c r="P344" s="2076" t="s">
        <v>39</v>
      </c>
      <c r="Q344" s="2008" t="s">
        <v>39</v>
      </c>
      <c r="R344" s="2011" t="s">
        <v>74</v>
      </c>
      <c r="S344" s="912">
        <f>SUMIF('Data Input sheet'!$B$118:$B$180,R344,'Data Input sheet'!$D$118:$D$180)</f>
        <v>152</v>
      </c>
      <c r="T344" s="2685">
        <f>+O344*S344</f>
        <v>30400</v>
      </c>
      <c r="U344" s="2013">
        <v>30</v>
      </c>
      <c r="V344" s="778">
        <f t="shared" si="448"/>
        <v>6000</v>
      </c>
      <c r="W344" s="2010">
        <v>10000</v>
      </c>
      <c r="X344" s="779"/>
      <c r="Y344" s="2012"/>
      <c r="Z344" s="780">
        <f t="shared" si="449"/>
        <v>46400</v>
      </c>
      <c r="AA344" s="2007"/>
      <c r="AB344" s="2007"/>
      <c r="AC344" s="765"/>
      <c r="AD344" s="781">
        <f t="shared" si="450"/>
        <v>0</v>
      </c>
      <c r="AE344" s="778">
        <f t="shared" si="451"/>
        <v>0</v>
      </c>
      <c r="AF344" s="781">
        <f t="shared" si="452"/>
        <v>0</v>
      </c>
      <c r="AG344" s="781">
        <f t="shared" si="453"/>
        <v>0</v>
      </c>
      <c r="AH344" s="781">
        <f t="shared" si="454"/>
        <v>0</v>
      </c>
      <c r="AI344" s="782">
        <f t="shared" si="455"/>
        <v>0</v>
      </c>
      <c r="AJ344" s="781">
        <f t="shared" si="456"/>
        <v>0</v>
      </c>
      <c r="AK344" s="781">
        <f t="shared" si="457"/>
        <v>0</v>
      </c>
      <c r="AL344" s="781">
        <f t="shared" si="458"/>
        <v>0</v>
      </c>
      <c r="AM344" s="781">
        <f t="shared" si="459"/>
        <v>0</v>
      </c>
      <c r="AN344" s="781">
        <f t="shared" si="460"/>
        <v>0</v>
      </c>
      <c r="AO344" s="781">
        <f t="shared" si="461"/>
        <v>0</v>
      </c>
      <c r="AP344" s="781">
        <f t="shared" si="462"/>
        <v>0</v>
      </c>
      <c r="AQ344" s="781">
        <f t="shared" si="463"/>
        <v>0</v>
      </c>
      <c r="AR344" s="781">
        <f t="shared" si="464"/>
        <v>0</v>
      </c>
      <c r="AS344" s="783">
        <f t="shared" si="465"/>
        <v>0</v>
      </c>
      <c r="AT344" s="917"/>
      <c r="AW344" s="832"/>
      <c r="AX344" s="833" t="s">
        <v>2981</v>
      </c>
      <c r="BM344" s="2010">
        <v>2000</v>
      </c>
    </row>
    <row r="345" spans="1:65" ht="25.5" hidden="1" outlineLevel="1" x14ac:dyDescent="0.25">
      <c r="A345" s="784"/>
      <c r="B345" s="904">
        <f t="shared" si="444"/>
        <v>327</v>
      </c>
      <c r="C345" s="170" t="str">
        <f t="shared" si="443"/>
        <v>54EA</v>
      </c>
      <c r="D345" s="557"/>
      <c r="E345" s="170"/>
      <c r="F345" s="721">
        <v>54</v>
      </c>
      <c r="G345" s="2492" t="s">
        <v>1788</v>
      </c>
      <c r="H345" s="2039"/>
      <c r="I345" s="2008" t="s">
        <v>732</v>
      </c>
      <c r="J345" s="2039"/>
      <c r="K345" s="2039"/>
      <c r="L345" s="488"/>
      <c r="M345" s="2041">
        <v>0</v>
      </c>
      <c r="N345" s="2043">
        <v>1</v>
      </c>
      <c r="O345" s="1967">
        <f t="shared" si="447"/>
        <v>0</v>
      </c>
      <c r="P345" s="2076" t="s">
        <v>39</v>
      </c>
      <c r="Q345" s="2008" t="s">
        <v>39</v>
      </c>
      <c r="R345" s="2011" t="s">
        <v>74</v>
      </c>
      <c r="S345" s="912">
        <f>SUMIF('Data Input sheet'!$B$118:$B$180,R345,'Data Input sheet'!$D$118:$D$180)</f>
        <v>152</v>
      </c>
      <c r="T345" s="2686">
        <f>ROUND(O345*S345,0)</f>
        <v>0</v>
      </c>
      <c r="U345" s="2042">
        <v>14.8</v>
      </c>
      <c r="V345" s="1981">
        <f t="shared" si="448"/>
        <v>0</v>
      </c>
      <c r="W345" s="2046">
        <v>88000</v>
      </c>
      <c r="X345" s="2502"/>
      <c r="Y345" s="2047">
        <v>0</v>
      </c>
      <c r="Z345" s="780">
        <f t="shared" si="449"/>
        <v>88000</v>
      </c>
      <c r="AA345" s="2007"/>
      <c r="AB345" s="2007"/>
      <c r="AC345" s="765"/>
      <c r="AD345" s="781">
        <f t="shared" si="450"/>
        <v>0</v>
      </c>
      <c r="AE345" s="778">
        <f t="shared" si="451"/>
        <v>0</v>
      </c>
      <c r="AF345" s="781">
        <f t="shared" si="452"/>
        <v>0</v>
      </c>
      <c r="AG345" s="781">
        <f t="shared" si="453"/>
        <v>0</v>
      </c>
      <c r="AH345" s="781">
        <f t="shared" si="454"/>
        <v>0</v>
      </c>
      <c r="AI345" s="782">
        <f t="shared" si="455"/>
        <v>0</v>
      </c>
      <c r="AJ345" s="781">
        <f t="shared" si="456"/>
        <v>0</v>
      </c>
      <c r="AK345" s="781">
        <f t="shared" si="457"/>
        <v>0</v>
      </c>
      <c r="AL345" s="781">
        <f t="shared" si="458"/>
        <v>0</v>
      </c>
      <c r="AM345" s="781">
        <f t="shared" si="459"/>
        <v>0</v>
      </c>
      <c r="AN345" s="781">
        <f t="shared" si="460"/>
        <v>0</v>
      </c>
      <c r="AO345" s="781">
        <f t="shared" si="461"/>
        <v>0</v>
      </c>
      <c r="AP345" s="781">
        <f t="shared" si="462"/>
        <v>0</v>
      </c>
      <c r="AQ345" s="781">
        <f t="shared" si="463"/>
        <v>0</v>
      </c>
      <c r="AR345" s="781">
        <f t="shared" si="464"/>
        <v>0</v>
      </c>
      <c r="AS345" s="783">
        <f t="shared" si="465"/>
        <v>0</v>
      </c>
    </row>
    <row r="346" spans="1:65" ht="15" hidden="1" outlineLevel="1" x14ac:dyDescent="0.25">
      <c r="A346" s="784"/>
      <c r="B346" s="904">
        <f t="shared" si="444"/>
        <v>328</v>
      </c>
      <c r="C346" s="170" t="str">
        <f t="shared" si="443"/>
        <v>54EA</v>
      </c>
      <c r="D346" s="557"/>
      <c r="E346" s="170"/>
      <c r="F346" s="721">
        <v>54</v>
      </c>
      <c r="G346" s="2492" t="s">
        <v>1786</v>
      </c>
      <c r="H346" s="2039"/>
      <c r="I346" s="2008" t="s">
        <v>732</v>
      </c>
      <c r="J346" s="2039"/>
      <c r="K346" s="2039"/>
      <c r="L346" s="488"/>
      <c r="M346" s="2041">
        <v>0</v>
      </c>
      <c r="N346" s="2043">
        <v>1</v>
      </c>
      <c r="O346" s="1967">
        <f t="shared" si="447"/>
        <v>0</v>
      </c>
      <c r="P346" s="2076" t="s">
        <v>39</v>
      </c>
      <c r="Q346" s="2008" t="s">
        <v>39</v>
      </c>
      <c r="R346" s="2011" t="s">
        <v>74</v>
      </c>
      <c r="S346" s="912">
        <f>SUMIF('Data Input sheet'!$B$118:$B$180,R346,'Data Input sheet'!$D$118:$D$180)</f>
        <v>152</v>
      </c>
      <c r="T346" s="2686">
        <f>ROUND(O346*S346,0)</f>
        <v>0</v>
      </c>
      <c r="U346" s="2042">
        <v>14.8</v>
      </c>
      <c r="V346" s="1981">
        <f t="shared" si="448"/>
        <v>0</v>
      </c>
      <c r="W346" s="2046">
        <v>106000</v>
      </c>
      <c r="X346" s="2502"/>
      <c r="Y346" s="2047">
        <v>0</v>
      </c>
      <c r="Z346" s="780">
        <f t="shared" si="449"/>
        <v>106000</v>
      </c>
      <c r="AA346" s="2007"/>
      <c r="AB346" s="2007"/>
      <c r="AC346" s="765"/>
      <c r="AD346" s="781">
        <f t="shared" si="450"/>
        <v>0</v>
      </c>
      <c r="AE346" s="778">
        <f t="shared" si="451"/>
        <v>0</v>
      </c>
      <c r="AF346" s="781">
        <f t="shared" si="452"/>
        <v>0</v>
      </c>
      <c r="AG346" s="781">
        <f t="shared" si="453"/>
        <v>0</v>
      </c>
      <c r="AH346" s="781">
        <f t="shared" si="454"/>
        <v>0</v>
      </c>
      <c r="AI346" s="782">
        <f t="shared" si="455"/>
        <v>0</v>
      </c>
      <c r="AJ346" s="781">
        <f t="shared" si="456"/>
        <v>0</v>
      </c>
      <c r="AK346" s="781">
        <f t="shared" si="457"/>
        <v>0</v>
      </c>
      <c r="AL346" s="781">
        <f t="shared" si="458"/>
        <v>0</v>
      </c>
      <c r="AM346" s="781">
        <f t="shared" si="459"/>
        <v>0</v>
      </c>
      <c r="AN346" s="781">
        <f t="shared" si="460"/>
        <v>0</v>
      </c>
      <c r="AO346" s="781">
        <f t="shared" si="461"/>
        <v>0</v>
      </c>
      <c r="AP346" s="781">
        <f t="shared" si="462"/>
        <v>0</v>
      </c>
      <c r="AQ346" s="781">
        <f t="shared" si="463"/>
        <v>0</v>
      </c>
      <c r="AR346" s="781">
        <f t="shared" si="464"/>
        <v>0</v>
      </c>
      <c r="AS346" s="783">
        <f t="shared" si="465"/>
        <v>0</v>
      </c>
    </row>
    <row r="347" spans="1:65" ht="15" hidden="1" outlineLevel="1" x14ac:dyDescent="0.25">
      <c r="A347" s="784"/>
      <c r="B347" s="904">
        <f t="shared" si="444"/>
        <v>329</v>
      </c>
      <c r="C347" s="170" t="str">
        <f t="shared" si="443"/>
        <v>54EA</v>
      </c>
      <c r="D347" s="557"/>
      <c r="E347" s="170"/>
      <c r="F347" s="721">
        <v>54</v>
      </c>
      <c r="G347" s="2492" t="s">
        <v>1785</v>
      </c>
      <c r="H347" s="2039"/>
      <c r="I347" s="2008" t="s">
        <v>732</v>
      </c>
      <c r="J347" s="2039"/>
      <c r="K347" s="2039"/>
      <c r="L347" s="488"/>
      <c r="M347" s="2041">
        <v>0</v>
      </c>
      <c r="N347" s="2043">
        <v>1</v>
      </c>
      <c r="O347" s="1967">
        <f t="shared" si="447"/>
        <v>0</v>
      </c>
      <c r="P347" s="2076" t="s">
        <v>39</v>
      </c>
      <c r="Q347" s="2008" t="s">
        <v>39</v>
      </c>
      <c r="R347" s="2011" t="s">
        <v>74</v>
      </c>
      <c r="S347" s="912">
        <f>SUMIF('Data Input sheet'!$B$118:$B$180,R347,'Data Input sheet'!$D$118:$D$180)</f>
        <v>152</v>
      </c>
      <c r="T347" s="2686">
        <f>ROUND(O347*S347,0)</f>
        <v>0</v>
      </c>
      <c r="U347" s="2042">
        <v>14.8</v>
      </c>
      <c r="V347" s="1981">
        <f t="shared" si="448"/>
        <v>0</v>
      </c>
      <c r="W347" s="2046">
        <v>103000</v>
      </c>
      <c r="X347" s="2502"/>
      <c r="Y347" s="2047">
        <v>0</v>
      </c>
      <c r="Z347" s="780">
        <f t="shared" si="449"/>
        <v>103000</v>
      </c>
      <c r="AA347" s="2007"/>
      <c r="AB347" s="2007"/>
      <c r="AC347" s="765"/>
      <c r="AD347" s="781">
        <f t="shared" si="450"/>
        <v>0</v>
      </c>
      <c r="AE347" s="778">
        <f t="shared" si="451"/>
        <v>0</v>
      </c>
      <c r="AF347" s="781">
        <f t="shared" si="452"/>
        <v>0</v>
      </c>
      <c r="AG347" s="781">
        <f t="shared" si="453"/>
        <v>0</v>
      </c>
      <c r="AH347" s="781">
        <f t="shared" si="454"/>
        <v>0</v>
      </c>
      <c r="AI347" s="782">
        <f t="shared" si="455"/>
        <v>0</v>
      </c>
      <c r="AJ347" s="781">
        <f t="shared" si="456"/>
        <v>0</v>
      </c>
      <c r="AK347" s="781">
        <f t="shared" si="457"/>
        <v>0</v>
      </c>
      <c r="AL347" s="781">
        <f t="shared" si="458"/>
        <v>0</v>
      </c>
      <c r="AM347" s="781">
        <f t="shared" si="459"/>
        <v>0</v>
      </c>
      <c r="AN347" s="781">
        <f t="shared" si="460"/>
        <v>0</v>
      </c>
      <c r="AO347" s="781">
        <f t="shared" si="461"/>
        <v>0</v>
      </c>
      <c r="AP347" s="781">
        <f t="shared" si="462"/>
        <v>0</v>
      </c>
      <c r="AQ347" s="781">
        <f t="shared" si="463"/>
        <v>0</v>
      </c>
      <c r="AR347" s="781">
        <f t="shared" si="464"/>
        <v>0</v>
      </c>
      <c r="AS347" s="783">
        <f t="shared" si="465"/>
        <v>0</v>
      </c>
    </row>
    <row r="348" spans="1:65" ht="15" hidden="1" outlineLevel="1" x14ac:dyDescent="0.25">
      <c r="A348" s="784"/>
      <c r="B348" s="904">
        <f t="shared" si="444"/>
        <v>330</v>
      </c>
      <c r="C348" s="170" t="str">
        <f t="shared" si="443"/>
        <v>54EA</v>
      </c>
      <c r="D348" s="557"/>
      <c r="E348" s="170"/>
      <c r="F348" s="721">
        <v>54</v>
      </c>
      <c r="G348" s="2492" t="s">
        <v>1784</v>
      </c>
      <c r="H348" s="2039"/>
      <c r="I348" s="2008" t="s">
        <v>732</v>
      </c>
      <c r="J348" s="2039"/>
      <c r="K348" s="2039"/>
      <c r="L348" s="488"/>
      <c r="M348" s="2041">
        <v>0</v>
      </c>
      <c r="N348" s="2043">
        <v>1</v>
      </c>
      <c r="O348" s="1967">
        <f t="shared" si="447"/>
        <v>0</v>
      </c>
      <c r="P348" s="2076" t="s">
        <v>39</v>
      </c>
      <c r="Q348" s="2008" t="s">
        <v>39</v>
      </c>
      <c r="R348" s="2011" t="s">
        <v>74</v>
      </c>
      <c r="S348" s="912">
        <f>SUMIF('Data Input sheet'!$B$118:$B$180,R348,'Data Input sheet'!$D$118:$D$180)</f>
        <v>152</v>
      </c>
      <c r="T348" s="2686">
        <f>ROUND(O348*S348,0)</f>
        <v>0</v>
      </c>
      <c r="U348" s="2042">
        <v>14.8</v>
      </c>
      <c r="V348" s="1981">
        <f t="shared" si="448"/>
        <v>0</v>
      </c>
      <c r="W348" s="2046">
        <v>41000</v>
      </c>
      <c r="X348" s="2502"/>
      <c r="Y348" s="2047">
        <v>0</v>
      </c>
      <c r="Z348" s="780">
        <f t="shared" si="449"/>
        <v>41000</v>
      </c>
      <c r="AA348" s="2007"/>
      <c r="AB348" s="2007"/>
      <c r="AC348" s="765"/>
      <c r="AD348" s="781">
        <f t="shared" si="450"/>
        <v>0</v>
      </c>
      <c r="AE348" s="778">
        <f t="shared" si="451"/>
        <v>0</v>
      </c>
      <c r="AF348" s="781">
        <f t="shared" si="452"/>
        <v>0</v>
      </c>
      <c r="AG348" s="781">
        <f t="shared" si="453"/>
        <v>0</v>
      </c>
      <c r="AH348" s="781">
        <f t="shared" si="454"/>
        <v>0</v>
      </c>
      <c r="AI348" s="782">
        <f t="shared" si="455"/>
        <v>0</v>
      </c>
      <c r="AJ348" s="781">
        <f t="shared" si="456"/>
        <v>0</v>
      </c>
      <c r="AK348" s="781">
        <f t="shared" si="457"/>
        <v>0</v>
      </c>
      <c r="AL348" s="781">
        <f t="shared" si="458"/>
        <v>0</v>
      </c>
      <c r="AM348" s="781">
        <f t="shared" si="459"/>
        <v>0</v>
      </c>
      <c r="AN348" s="781">
        <f t="shared" si="460"/>
        <v>0</v>
      </c>
      <c r="AO348" s="781">
        <f t="shared" si="461"/>
        <v>0</v>
      </c>
      <c r="AP348" s="781">
        <f t="shared" si="462"/>
        <v>0</v>
      </c>
      <c r="AQ348" s="781">
        <f t="shared" si="463"/>
        <v>0</v>
      </c>
      <c r="AR348" s="781">
        <f t="shared" si="464"/>
        <v>0</v>
      </c>
      <c r="AS348" s="783">
        <f t="shared" si="465"/>
        <v>0</v>
      </c>
    </row>
    <row r="349" spans="1:65" ht="15" hidden="1" outlineLevel="1" x14ac:dyDescent="0.25">
      <c r="A349" s="784"/>
      <c r="B349" s="904">
        <f t="shared" si="444"/>
        <v>331</v>
      </c>
      <c r="C349" s="170" t="str">
        <f t="shared" si="443"/>
        <v>54EA</v>
      </c>
      <c r="D349" s="557"/>
      <c r="E349" s="170"/>
      <c r="F349" s="721">
        <v>54</v>
      </c>
      <c r="G349" s="2492" t="s">
        <v>1783</v>
      </c>
      <c r="H349" s="2039"/>
      <c r="I349" s="2008" t="s">
        <v>732</v>
      </c>
      <c r="J349" s="2039"/>
      <c r="K349" s="2039"/>
      <c r="L349" s="488"/>
      <c r="M349" s="2041">
        <v>0</v>
      </c>
      <c r="N349" s="2043">
        <v>1</v>
      </c>
      <c r="O349" s="1967">
        <f t="shared" si="447"/>
        <v>0</v>
      </c>
      <c r="P349" s="2076" t="s">
        <v>39</v>
      </c>
      <c r="Q349" s="2008" t="s">
        <v>39</v>
      </c>
      <c r="R349" s="2011" t="s">
        <v>74</v>
      </c>
      <c r="S349" s="912">
        <f>SUMIF('Data Input sheet'!$B$118:$B$180,R349,'Data Input sheet'!$D$118:$D$180)</f>
        <v>152</v>
      </c>
      <c r="T349" s="2686">
        <f>ROUND(O349*S349,0)</f>
        <v>0</v>
      </c>
      <c r="U349" s="2042">
        <v>14.8</v>
      </c>
      <c r="V349" s="1981">
        <f t="shared" si="448"/>
        <v>0</v>
      </c>
      <c r="W349" s="2046">
        <v>21600</v>
      </c>
      <c r="X349" s="2502"/>
      <c r="Y349" s="2047">
        <v>0</v>
      </c>
      <c r="Z349" s="780">
        <f t="shared" si="449"/>
        <v>21600</v>
      </c>
      <c r="AA349" s="2007"/>
      <c r="AB349" s="2007"/>
      <c r="AC349" s="765"/>
      <c r="AD349" s="781">
        <f t="shared" si="450"/>
        <v>0</v>
      </c>
      <c r="AE349" s="778">
        <f t="shared" si="451"/>
        <v>0</v>
      </c>
      <c r="AF349" s="781">
        <f t="shared" si="452"/>
        <v>0</v>
      </c>
      <c r="AG349" s="781">
        <f t="shared" si="453"/>
        <v>0</v>
      </c>
      <c r="AH349" s="781">
        <f t="shared" si="454"/>
        <v>0</v>
      </c>
      <c r="AI349" s="782">
        <f t="shared" si="455"/>
        <v>0</v>
      </c>
      <c r="AJ349" s="781">
        <f t="shared" si="456"/>
        <v>0</v>
      </c>
      <c r="AK349" s="781">
        <f t="shared" si="457"/>
        <v>0</v>
      </c>
      <c r="AL349" s="781">
        <f t="shared" si="458"/>
        <v>0</v>
      </c>
      <c r="AM349" s="781">
        <f t="shared" si="459"/>
        <v>0</v>
      </c>
      <c r="AN349" s="781">
        <f t="shared" si="460"/>
        <v>0</v>
      </c>
      <c r="AO349" s="781">
        <f t="shared" si="461"/>
        <v>0</v>
      </c>
      <c r="AP349" s="781">
        <f t="shared" si="462"/>
        <v>0</v>
      </c>
      <c r="AQ349" s="781">
        <f t="shared" si="463"/>
        <v>0</v>
      </c>
      <c r="AR349" s="781">
        <f t="shared" si="464"/>
        <v>0</v>
      </c>
      <c r="AS349" s="783">
        <f t="shared" si="465"/>
        <v>0</v>
      </c>
    </row>
    <row r="350" spans="1:65" ht="15" hidden="1" outlineLevel="1" x14ac:dyDescent="0.25">
      <c r="A350" s="784"/>
      <c r="B350" s="904">
        <f t="shared" si="444"/>
        <v>332</v>
      </c>
      <c r="C350" s="170" t="str">
        <f t="shared" si="443"/>
        <v>54EA</v>
      </c>
      <c r="D350" s="557"/>
      <c r="E350" s="170"/>
      <c r="F350" s="721">
        <v>54</v>
      </c>
      <c r="G350" s="2492" t="s">
        <v>1782</v>
      </c>
      <c r="H350" s="2039"/>
      <c r="I350" s="2008" t="s">
        <v>732</v>
      </c>
      <c r="J350" s="2039"/>
      <c r="K350" s="2039"/>
      <c r="L350" s="488"/>
      <c r="M350" s="2041">
        <v>0</v>
      </c>
      <c r="N350" s="2043">
        <v>1</v>
      </c>
      <c r="O350" s="1967">
        <f t="shared" si="447"/>
        <v>0</v>
      </c>
      <c r="P350" s="2076" t="s">
        <v>39</v>
      </c>
      <c r="Q350" s="2008" t="s">
        <v>39</v>
      </c>
      <c r="R350" s="2011" t="s">
        <v>74</v>
      </c>
      <c r="S350" s="912">
        <f>SUMIF('Data Input sheet'!$B$118:$B$180,R350,'Data Input sheet'!$D$118:$D$180)</f>
        <v>152</v>
      </c>
      <c r="T350" s="2686">
        <f t="shared" ref="T350" si="466">ROUND(O350*S350,0)</f>
        <v>0</v>
      </c>
      <c r="U350" s="2042">
        <v>14.8</v>
      </c>
      <c r="V350" s="1981">
        <f t="shared" si="448"/>
        <v>0</v>
      </c>
      <c r="W350" s="2046">
        <v>21600</v>
      </c>
      <c r="X350" s="2502"/>
      <c r="Y350" s="2047">
        <v>0</v>
      </c>
      <c r="Z350" s="780">
        <f t="shared" si="449"/>
        <v>21600</v>
      </c>
      <c r="AA350" s="2007"/>
      <c r="AB350" s="2007"/>
      <c r="AC350" s="765"/>
      <c r="AD350" s="781">
        <f t="shared" si="450"/>
        <v>0</v>
      </c>
      <c r="AE350" s="778">
        <f t="shared" si="451"/>
        <v>0</v>
      </c>
      <c r="AF350" s="781">
        <f t="shared" si="452"/>
        <v>0</v>
      </c>
      <c r="AG350" s="781">
        <f t="shared" si="453"/>
        <v>0</v>
      </c>
      <c r="AH350" s="781">
        <f t="shared" si="454"/>
        <v>0</v>
      </c>
      <c r="AI350" s="782">
        <f t="shared" si="455"/>
        <v>0</v>
      </c>
      <c r="AJ350" s="781">
        <f t="shared" si="456"/>
        <v>0</v>
      </c>
      <c r="AK350" s="781">
        <f t="shared" si="457"/>
        <v>0</v>
      </c>
      <c r="AL350" s="781">
        <f t="shared" si="458"/>
        <v>0</v>
      </c>
      <c r="AM350" s="781">
        <f t="shared" si="459"/>
        <v>0</v>
      </c>
      <c r="AN350" s="781">
        <f t="shared" si="460"/>
        <v>0</v>
      </c>
      <c r="AO350" s="781">
        <f t="shared" si="461"/>
        <v>0</v>
      </c>
      <c r="AP350" s="781">
        <f t="shared" si="462"/>
        <v>0</v>
      </c>
      <c r="AQ350" s="781">
        <f t="shared" si="463"/>
        <v>0</v>
      </c>
      <c r="AR350" s="781">
        <f t="shared" si="464"/>
        <v>0</v>
      </c>
      <c r="AS350" s="783">
        <f t="shared" si="465"/>
        <v>0</v>
      </c>
    </row>
    <row r="351" spans="1:65" ht="15.75" hidden="1" collapsed="1" thickBot="1" x14ac:dyDescent="0.3">
      <c r="A351" s="784"/>
      <c r="B351" s="904">
        <f t="shared" si="444"/>
        <v>333</v>
      </c>
      <c r="C351" s="170" t="str">
        <f t="shared" si="443"/>
        <v/>
      </c>
      <c r="D351" s="557"/>
      <c r="E351" s="170"/>
      <c r="F351" s="721"/>
      <c r="G351" s="2627" t="s">
        <v>1832</v>
      </c>
      <c r="H351" s="2635"/>
      <c r="I351" s="2008"/>
      <c r="J351" s="2039"/>
      <c r="K351" s="2039"/>
      <c r="L351" s="2498"/>
      <c r="M351" s="2041">
        <v>0</v>
      </c>
      <c r="N351" s="2043"/>
      <c r="O351" s="2499">
        <f t="shared" si="445"/>
        <v>0</v>
      </c>
      <c r="P351" s="2076"/>
      <c r="Q351" s="2008"/>
      <c r="R351" s="2011"/>
      <c r="S351" s="912">
        <f>SUMIF('Data Input sheet'!$B$118:$B$180,R351,'Data Input sheet'!$D$118:$D$180)</f>
        <v>0</v>
      </c>
      <c r="T351" s="2686">
        <f t="shared" ref="T351:T361" si="467">ROUND(O351*S351,0)</f>
        <v>0</v>
      </c>
      <c r="U351" s="2042"/>
      <c r="V351" s="2501">
        <f t="shared" si="399"/>
        <v>0</v>
      </c>
      <c r="W351" s="2046"/>
      <c r="X351" s="2502"/>
      <c r="Y351" s="2047">
        <v>0</v>
      </c>
      <c r="Z351" s="2500">
        <f t="shared" si="446"/>
        <v>0</v>
      </c>
      <c r="AA351" s="2007"/>
      <c r="AB351" s="2007"/>
      <c r="AC351" s="765"/>
      <c r="AD351" s="781">
        <f t="shared" ref="AD351:AD438" si="468">IF(P351="E",+ROUND(H351*O351,0),0)</f>
        <v>0</v>
      </c>
      <c r="AE351" s="778">
        <f t="shared" ref="AE351:AE438" si="469">+AF351-AD351</f>
        <v>0</v>
      </c>
      <c r="AF351" s="781">
        <f t="shared" ref="AF351:AF438" si="470">+H351*O351</f>
        <v>0</v>
      </c>
      <c r="AG351" s="781">
        <f t="shared" ref="AG351:AG438" si="471">IF(P351="E",+ROUND(T351*H351,0),0)</f>
        <v>0</v>
      </c>
      <c r="AH351" s="781">
        <f t="shared" ref="AH351:AH438" si="472">+AI351-AG351</f>
        <v>0</v>
      </c>
      <c r="AI351" s="782">
        <f t="shared" ref="AI351:AI438" si="473">+H351*T351</f>
        <v>0</v>
      </c>
      <c r="AJ351" s="781">
        <f t="shared" ref="AJ351:AJ438" si="474">IF(P351="E",+ROUND(V351*H351,0),0)</f>
        <v>0</v>
      </c>
      <c r="AK351" s="781">
        <f t="shared" ref="AK351:AK438" si="475">+AL351-AJ351</f>
        <v>0</v>
      </c>
      <c r="AL351" s="781">
        <f t="shared" ref="AL351:AL438" si="476">ROUND(V351*H351,0)</f>
        <v>0</v>
      </c>
      <c r="AM351" s="781">
        <f t="shared" ref="AM351:AM438" si="477">IF(Q351="E",+ROUND(W351*H351,0),0)</f>
        <v>0</v>
      </c>
      <c r="AN351" s="781">
        <f t="shared" ref="AN351:AN438" si="478">+AO351-AM351</f>
        <v>0</v>
      </c>
      <c r="AO351" s="781">
        <f t="shared" ref="AO351:AO438" si="479">ROUND(W351*H351,0)</f>
        <v>0</v>
      </c>
      <c r="AP351" s="781">
        <f t="shared" ref="AP351:AP438" si="480">IF(P351="E",+ROUND(Y351*H351,0),0)</f>
        <v>0</v>
      </c>
      <c r="AQ351" s="781">
        <f t="shared" ref="AQ351:AQ438" si="481">+AR351-AP351</f>
        <v>0</v>
      </c>
      <c r="AR351" s="781">
        <f t="shared" ref="AR351:AR438" si="482">ROUND(Y351*H351,0)</f>
        <v>0</v>
      </c>
      <c r="AS351" s="783">
        <f t="shared" ref="AS351:AS438" si="483">+AR351+AO351+AL351+AI351</f>
        <v>0</v>
      </c>
    </row>
    <row r="352" spans="1:65" ht="15" hidden="1" outlineLevel="1" x14ac:dyDescent="0.25">
      <c r="A352" s="784"/>
      <c r="B352" s="904">
        <f t="shared" si="444"/>
        <v>334</v>
      </c>
      <c r="C352" s="170" t="str">
        <f t="shared" si="443"/>
        <v>59EA</v>
      </c>
      <c r="D352" s="557"/>
      <c r="E352" s="170"/>
      <c r="F352" s="721">
        <v>59</v>
      </c>
      <c r="G352" s="2068" t="s">
        <v>1833</v>
      </c>
      <c r="H352" s="2039"/>
      <c r="I352" s="2008" t="s">
        <v>732</v>
      </c>
      <c r="J352" s="2039"/>
      <c r="K352" s="2039"/>
      <c r="L352" s="488"/>
      <c r="M352" s="2041">
        <v>0</v>
      </c>
      <c r="N352" s="2043">
        <v>1</v>
      </c>
      <c r="O352" s="1967">
        <f t="shared" si="445"/>
        <v>0</v>
      </c>
      <c r="P352" s="2076" t="s">
        <v>39</v>
      </c>
      <c r="Q352" s="2008" t="s">
        <v>39</v>
      </c>
      <c r="R352" s="2011" t="s">
        <v>74</v>
      </c>
      <c r="S352" s="912">
        <f>SUMIF('Data Input sheet'!$B$118:$B$180,R352,'Data Input sheet'!$D$118:$D$180)</f>
        <v>152</v>
      </c>
      <c r="T352" s="2686">
        <f t="shared" si="467"/>
        <v>0</v>
      </c>
      <c r="U352" s="2042"/>
      <c r="V352" s="1981">
        <f t="shared" si="399"/>
        <v>0</v>
      </c>
      <c r="W352" s="2046">
        <v>50000</v>
      </c>
      <c r="X352" s="2502"/>
      <c r="Y352" s="2047">
        <v>0</v>
      </c>
      <c r="Z352" s="780">
        <f t="shared" si="446"/>
        <v>50000</v>
      </c>
      <c r="AA352" s="2007"/>
      <c r="AB352" s="2007"/>
      <c r="AC352" s="765"/>
      <c r="AD352" s="781">
        <f t="shared" si="468"/>
        <v>0</v>
      </c>
      <c r="AE352" s="778">
        <f t="shared" si="469"/>
        <v>0</v>
      </c>
      <c r="AF352" s="781">
        <f t="shared" si="470"/>
        <v>0</v>
      </c>
      <c r="AG352" s="781">
        <f t="shared" si="471"/>
        <v>0</v>
      </c>
      <c r="AH352" s="781">
        <f t="shared" si="472"/>
        <v>0</v>
      </c>
      <c r="AI352" s="782">
        <f t="shared" si="473"/>
        <v>0</v>
      </c>
      <c r="AJ352" s="781">
        <f t="shared" si="474"/>
        <v>0</v>
      </c>
      <c r="AK352" s="781">
        <f t="shared" si="475"/>
        <v>0</v>
      </c>
      <c r="AL352" s="781">
        <f t="shared" si="476"/>
        <v>0</v>
      </c>
      <c r="AM352" s="781">
        <f t="shared" si="477"/>
        <v>0</v>
      </c>
      <c r="AN352" s="781">
        <f t="shared" si="478"/>
        <v>0</v>
      </c>
      <c r="AO352" s="781">
        <f t="shared" si="479"/>
        <v>0</v>
      </c>
      <c r="AP352" s="781">
        <f t="shared" si="480"/>
        <v>0</v>
      </c>
      <c r="AQ352" s="781">
        <f t="shared" si="481"/>
        <v>0</v>
      </c>
      <c r="AR352" s="781">
        <f t="shared" si="482"/>
        <v>0</v>
      </c>
      <c r="AS352" s="783">
        <f t="shared" si="483"/>
        <v>0</v>
      </c>
    </row>
    <row r="353" spans="1:65" ht="38.25" hidden="1" outlineLevel="1" x14ac:dyDescent="0.25">
      <c r="A353" s="784"/>
      <c r="B353" s="904">
        <f t="shared" si="444"/>
        <v>335</v>
      </c>
      <c r="C353" s="170" t="str">
        <f t="shared" si="443"/>
        <v>59EA</v>
      </c>
      <c r="D353" s="557"/>
      <c r="E353" s="170"/>
      <c r="F353" s="721">
        <v>59</v>
      </c>
      <c r="G353" s="2068" t="s">
        <v>1842</v>
      </c>
      <c r="H353" s="2039"/>
      <c r="I353" s="2008" t="s">
        <v>732</v>
      </c>
      <c r="J353" s="2039"/>
      <c r="K353" s="2039"/>
      <c r="L353" s="488"/>
      <c r="M353" s="2041">
        <v>0</v>
      </c>
      <c r="N353" s="2043">
        <v>1</v>
      </c>
      <c r="O353" s="1967">
        <f t="shared" si="445"/>
        <v>0</v>
      </c>
      <c r="P353" s="2076" t="s">
        <v>39</v>
      </c>
      <c r="Q353" s="2008" t="s">
        <v>39</v>
      </c>
      <c r="R353" s="2011" t="s">
        <v>74</v>
      </c>
      <c r="S353" s="912">
        <f>SUMIF('Data Input sheet'!$B$118:$B$180,R353,'Data Input sheet'!$D$118:$D$180)</f>
        <v>152</v>
      </c>
      <c r="T353" s="2686">
        <f t="shared" si="467"/>
        <v>0</v>
      </c>
      <c r="U353" s="2042">
        <v>14.8</v>
      </c>
      <c r="V353" s="1981">
        <f t="shared" si="399"/>
        <v>0</v>
      </c>
      <c r="W353" s="2046">
        <v>35000</v>
      </c>
      <c r="X353" s="2502"/>
      <c r="Y353" s="2047">
        <v>0</v>
      </c>
      <c r="Z353" s="780">
        <f t="shared" si="446"/>
        <v>35000</v>
      </c>
      <c r="AA353" s="2007"/>
      <c r="AB353" s="2007"/>
      <c r="AC353" s="765"/>
      <c r="AD353" s="781">
        <f t="shared" si="468"/>
        <v>0</v>
      </c>
      <c r="AE353" s="778">
        <f t="shared" si="469"/>
        <v>0</v>
      </c>
      <c r="AF353" s="781">
        <f t="shared" si="470"/>
        <v>0</v>
      </c>
      <c r="AG353" s="781">
        <f t="shared" si="471"/>
        <v>0</v>
      </c>
      <c r="AH353" s="781">
        <f t="shared" si="472"/>
        <v>0</v>
      </c>
      <c r="AI353" s="782">
        <f t="shared" si="473"/>
        <v>0</v>
      </c>
      <c r="AJ353" s="781">
        <f t="shared" si="474"/>
        <v>0</v>
      </c>
      <c r="AK353" s="781">
        <f t="shared" si="475"/>
        <v>0</v>
      </c>
      <c r="AL353" s="781">
        <f t="shared" si="476"/>
        <v>0</v>
      </c>
      <c r="AM353" s="781">
        <f t="shared" si="477"/>
        <v>0</v>
      </c>
      <c r="AN353" s="781">
        <f t="shared" si="478"/>
        <v>0</v>
      </c>
      <c r="AO353" s="781">
        <f t="shared" si="479"/>
        <v>0</v>
      </c>
      <c r="AP353" s="781">
        <f t="shared" si="480"/>
        <v>0</v>
      </c>
      <c r="AQ353" s="781">
        <f t="shared" si="481"/>
        <v>0</v>
      </c>
      <c r="AR353" s="781">
        <f t="shared" si="482"/>
        <v>0</v>
      </c>
      <c r="AS353" s="783">
        <f t="shared" si="483"/>
        <v>0</v>
      </c>
    </row>
    <row r="354" spans="1:65" ht="38.25" hidden="1" outlineLevel="1" x14ac:dyDescent="0.25">
      <c r="A354" s="784"/>
      <c r="B354" s="904">
        <f t="shared" si="444"/>
        <v>336</v>
      </c>
      <c r="C354" s="170" t="str">
        <f t="shared" si="443"/>
        <v>59EA</v>
      </c>
      <c r="D354" s="557"/>
      <c r="E354" s="170"/>
      <c r="F354" s="721">
        <v>59</v>
      </c>
      <c r="G354" s="2068" t="s">
        <v>1834</v>
      </c>
      <c r="H354" s="2039"/>
      <c r="I354" s="2008" t="s">
        <v>732</v>
      </c>
      <c r="J354" s="2039"/>
      <c r="K354" s="2039"/>
      <c r="L354" s="488"/>
      <c r="M354" s="2041">
        <v>0</v>
      </c>
      <c r="N354" s="2043">
        <v>1</v>
      </c>
      <c r="O354" s="1967">
        <f t="shared" si="445"/>
        <v>0</v>
      </c>
      <c r="P354" s="2076" t="s">
        <v>39</v>
      </c>
      <c r="Q354" s="2008" t="s">
        <v>39</v>
      </c>
      <c r="R354" s="2011" t="s">
        <v>74</v>
      </c>
      <c r="S354" s="912">
        <f>SUMIF('Data Input sheet'!$B$118:$B$180,R354,'Data Input sheet'!$D$118:$D$180)</f>
        <v>152</v>
      </c>
      <c r="T354" s="2686">
        <f t="shared" si="467"/>
        <v>0</v>
      </c>
      <c r="U354" s="2042">
        <v>14.8</v>
      </c>
      <c r="V354" s="1981">
        <f t="shared" si="399"/>
        <v>0</v>
      </c>
      <c r="W354" s="2046">
        <v>17800</v>
      </c>
      <c r="X354" s="2502"/>
      <c r="Y354" s="2047">
        <v>0</v>
      </c>
      <c r="Z354" s="780">
        <f t="shared" si="446"/>
        <v>17800</v>
      </c>
      <c r="AA354" s="2007"/>
      <c r="AB354" s="2007"/>
      <c r="AC354" s="765"/>
      <c r="AD354" s="781">
        <f t="shared" si="468"/>
        <v>0</v>
      </c>
      <c r="AE354" s="778">
        <f t="shared" si="469"/>
        <v>0</v>
      </c>
      <c r="AF354" s="781">
        <f t="shared" si="470"/>
        <v>0</v>
      </c>
      <c r="AG354" s="781">
        <f t="shared" si="471"/>
        <v>0</v>
      </c>
      <c r="AH354" s="781">
        <f t="shared" si="472"/>
        <v>0</v>
      </c>
      <c r="AI354" s="782">
        <f t="shared" si="473"/>
        <v>0</v>
      </c>
      <c r="AJ354" s="781">
        <f t="shared" si="474"/>
        <v>0</v>
      </c>
      <c r="AK354" s="781">
        <f t="shared" si="475"/>
        <v>0</v>
      </c>
      <c r="AL354" s="781">
        <f t="shared" si="476"/>
        <v>0</v>
      </c>
      <c r="AM354" s="781">
        <f t="shared" si="477"/>
        <v>0</v>
      </c>
      <c r="AN354" s="781">
        <f t="shared" si="478"/>
        <v>0</v>
      </c>
      <c r="AO354" s="781">
        <f t="shared" si="479"/>
        <v>0</v>
      </c>
      <c r="AP354" s="781">
        <f t="shared" si="480"/>
        <v>0</v>
      </c>
      <c r="AQ354" s="781">
        <f t="shared" si="481"/>
        <v>0</v>
      </c>
      <c r="AR354" s="781">
        <f t="shared" si="482"/>
        <v>0</v>
      </c>
      <c r="AS354" s="783">
        <f t="shared" si="483"/>
        <v>0</v>
      </c>
    </row>
    <row r="355" spans="1:65" ht="38.25" hidden="1" outlineLevel="1" x14ac:dyDescent="0.25">
      <c r="A355" s="784"/>
      <c r="B355" s="904">
        <f t="shared" si="444"/>
        <v>337</v>
      </c>
      <c r="C355" s="170" t="str">
        <f t="shared" si="443"/>
        <v>59EA</v>
      </c>
      <c r="D355" s="557"/>
      <c r="E355" s="170"/>
      <c r="F355" s="721">
        <v>59</v>
      </c>
      <c r="G355" s="2068" t="s">
        <v>1835</v>
      </c>
      <c r="H355" s="2039"/>
      <c r="I355" s="2008" t="s">
        <v>732</v>
      </c>
      <c r="J355" s="2039"/>
      <c r="K355" s="2039"/>
      <c r="L355" s="488"/>
      <c r="M355" s="2041">
        <v>0</v>
      </c>
      <c r="N355" s="2043">
        <v>1</v>
      </c>
      <c r="O355" s="1967">
        <f t="shared" si="445"/>
        <v>0</v>
      </c>
      <c r="P355" s="2076" t="s">
        <v>39</v>
      </c>
      <c r="Q355" s="2008" t="s">
        <v>39</v>
      </c>
      <c r="R355" s="2011" t="s">
        <v>74</v>
      </c>
      <c r="S355" s="912">
        <f>SUMIF('Data Input sheet'!$B$118:$B$180,R355,'Data Input sheet'!$D$118:$D$180)</f>
        <v>152</v>
      </c>
      <c r="T355" s="2686">
        <f t="shared" si="467"/>
        <v>0</v>
      </c>
      <c r="U355" s="2042">
        <v>14.8</v>
      </c>
      <c r="V355" s="2501">
        <f t="shared" si="399"/>
        <v>0</v>
      </c>
      <c r="W355" s="2046">
        <v>135495</v>
      </c>
      <c r="X355" s="2502"/>
      <c r="Y355" s="2047">
        <v>0</v>
      </c>
      <c r="Z355" s="780">
        <f t="shared" si="446"/>
        <v>135495</v>
      </c>
      <c r="AA355" s="2007"/>
      <c r="AB355" s="2007"/>
      <c r="AC355" s="765"/>
      <c r="AD355" s="781">
        <f t="shared" si="468"/>
        <v>0</v>
      </c>
      <c r="AE355" s="778">
        <f t="shared" si="469"/>
        <v>0</v>
      </c>
      <c r="AF355" s="781">
        <f t="shared" si="470"/>
        <v>0</v>
      </c>
      <c r="AG355" s="781">
        <f t="shared" si="471"/>
        <v>0</v>
      </c>
      <c r="AH355" s="781">
        <f t="shared" si="472"/>
        <v>0</v>
      </c>
      <c r="AI355" s="782">
        <f t="shared" si="473"/>
        <v>0</v>
      </c>
      <c r="AJ355" s="781">
        <f t="shared" si="474"/>
        <v>0</v>
      </c>
      <c r="AK355" s="781">
        <f t="shared" si="475"/>
        <v>0</v>
      </c>
      <c r="AL355" s="781">
        <f t="shared" si="476"/>
        <v>0</v>
      </c>
      <c r="AM355" s="781">
        <f t="shared" si="477"/>
        <v>0</v>
      </c>
      <c r="AN355" s="781">
        <f t="shared" si="478"/>
        <v>0</v>
      </c>
      <c r="AO355" s="781">
        <f t="shared" si="479"/>
        <v>0</v>
      </c>
      <c r="AP355" s="781">
        <f t="shared" si="480"/>
        <v>0</v>
      </c>
      <c r="AQ355" s="781">
        <f t="shared" si="481"/>
        <v>0</v>
      </c>
      <c r="AR355" s="781">
        <f t="shared" si="482"/>
        <v>0</v>
      </c>
      <c r="AS355" s="783">
        <f t="shared" si="483"/>
        <v>0</v>
      </c>
    </row>
    <row r="356" spans="1:65" ht="15.75" hidden="1" collapsed="1" thickBot="1" x14ac:dyDescent="0.3">
      <c r="A356" s="784"/>
      <c r="B356" s="904">
        <f t="shared" si="444"/>
        <v>338</v>
      </c>
      <c r="C356" s="170" t="str">
        <f t="shared" si="443"/>
        <v/>
      </c>
      <c r="D356" s="557"/>
      <c r="E356" s="170"/>
      <c r="F356" s="721"/>
      <c r="G356" s="2627" t="s">
        <v>1836</v>
      </c>
      <c r="H356" s="2635"/>
      <c r="I356" s="2008"/>
      <c r="J356" s="2039"/>
      <c r="K356" s="2039"/>
      <c r="L356" s="488"/>
      <c r="M356" s="2041">
        <v>0</v>
      </c>
      <c r="N356" s="2043"/>
      <c r="O356" s="2499">
        <f t="shared" si="445"/>
        <v>0</v>
      </c>
      <c r="P356" s="2076"/>
      <c r="Q356" s="2008"/>
      <c r="R356" s="2011"/>
      <c r="S356" s="912">
        <f>SUMIF('Data Input sheet'!$B$118:$B$180,R356,'Data Input sheet'!$D$118:$D$180)</f>
        <v>0</v>
      </c>
      <c r="T356" s="2686">
        <f t="shared" si="467"/>
        <v>0</v>
      </c>
      <c r="U356" s="2042"/>
      <c r="V356" s="2501">
        <f t="shared" si="399"/>
        <v>0</v>
      </c>
      <c r="W356" s="2046"/>
      <c r="X356" s="2502"/>
      <c r="Y356" s="2047">
        <v>0</v>
      </c>
      <c r="Z356" s="2500">
        <f t="shared" si="446"/>
        <v>0</v>
      </c>
      <c r="AA356" s="2007"/>
      <c r="AB356" s="2007"/>
      <c r="AC356" s="765"/>
      <c r="AD356" s="781">
        <f t="shared" si="468"/>
        <v>0</v>
      </c>
      <c r="AE356" s="778">
        <f t="shared" si="469"/>
        <v>0</v>
      </c>
      <c r="AF356" s="781">
        <f t="shared" si="470"/>
        <v>0</v>
      </c>
      <c r="AG356" s="781">
        <f t="shared" si="471"/>
        <v>0</v>
      </c>
      <c r="AH356" s="781">
        <f t="shared" si="472"/>
        <v>0</v>
      </c>
      <c r="AI356" s="782">
        <f t="shared" si="473"/>
        <v>0</v>
      </c>
      <c r="AJ356" s="781">
        <f t="shared" si="474"/>
        <v>0</v>
      </c>
      <c r="AK356" s="781">
        <f t="shared" si="475"/>
        <v>0</v>
      </c>
      <c r="AL356" s="781">
        <f t="shared" si="476"/>
        <v>0</v>
      </c>
      <c r="AM356" s="781">
        <f t="shared" si="477"/>
        <v>0</v>
      </c>
      <c r="AN356" s="781">
        <f t="shared" si="478"/>
        <v>0</v>
      </c>
      <c r="AO356" s="781">
        <f t="shared" si="479"/>
        <v>0</v>
      </c>
      <c r="AP356" s="781">
        <f t="shared" si="480"/>
        <v>0</v>
      </c>
      <c r="AQ356" s="781">
        <f t="shared" si="481"/>
        <v>0</v>
      </c>
      <c r="AR356" s="781">
        <f t="shared" si="482"/>
        <v>0</v>
      </c>
      <c r="AS356" s="783">
        <f t="shared" si="483"/>
        <v>0</v>
      </c>
    </row>
    <row r="357" spans="1:65" ht="15" hidden="1" outlineLevel="1" x14ac:dyDescent="0.25">
      <c r="A357" s="784"/>
      <c r="B357" s="904">
        <f t="shared" si="444"/>
        <v>339</v>
      </c>
      <c r="C357" s="170" t="str">
        <f t="shared" si="443"/>
        <v>51EA</v>
      </c>
      <c r="D357" s="557"/>
      <c r="E357" s="170"/>
      <c r="F357" s="721">
        <v>51</v>
      </c>
      <c r="G357" s="2068" t="s">
        <v>1843</v>
      </c>
      <c r="H357" s="2039"/>
      <c r="I357" s="2008" t="s">
        <v>732</v>
      </c>
      <c r="J357" s="2039"/>
      <c r="K357" s="2039"/>
      <c r="L357" s="488"/>
      <c r="M357" s="2041">
        <v>0</v>
      </c>
      <c r="N357" s="2043">
        <v>1</v>
      </c>
      <c r="O357" s="1967">
        <f t="shared" si="445"/>
        <v>0</v>
      </c>
      <c r="P357" s="2076" t="s">
        <v>39</v>
      </c>
      <c r="Q357" s="2008" t="s">
        <v>39</v>
      </c>
      <c r="R357" s="2011" t="s">
        <v>74</v>
      </c>
      <c r="S357" s="912">
        <f>SUMIF('Data Input sheet'!$B$118:$B$180,R357,'Data Input sheet'!$D$118:$D$180)</f>
        <v>152</v>
      </c>
      <c r="T357" s="2686">
        <f t="shared" si="467"/>
        <v>0</v>
      </c>
      <c r="U357" s="2042"/>
      <c r="V357" s="1981">
        <f t="shared" si="399"/>
        <v>0</v>
      </c>
      <c r="W357" s="2046">
        <v>1100</v>
      </c>
      <c r="X357" s="2502"/>
      <c r="Y357" s="2047">
        <v>0</v>
      </c>
      <c r="Z357" s="780">
        <f t="shared" si="446"/>
        <v>1100</v>
      </c>
      <c r="AA357" s="2007"/>
      <c r="AB357" s="2007"/>
      <c r="AC357" s="765"/>
      <c r="AD357" s="781">
        <f t="shared" si="468"/>
        <v>0</v>
      </c>
      <c r="AE357" s="778">
        <f t="shared" si="469"/>
        <v>0</v>
      </c>
      <c r="AF357" s="781">
        <f t="shared" si="470"/>
        <v>0</v>
      </c>
      <c r="AG357" s="781">
        <f t="shared" si="471"/>
        <v>0</v>
      </c>
      <c r="AH357" s="781">
        <f t="shared" si="472"/>
        <v>0</v>
      </c>
      <c r="AI357" s="782">
        <f t="shared" si="473"/>
        <v>0</v>
      </c>
      <c r="AJ357" s="781">
        <f t="shared" si="474"/>
        <v>0</v>
      </c>
      <c r="AK357" s="781">
        <f t="shared" si="475"/>
        <v>0</v>
      </c>
      <c r="AL357" s="781">
        <f t="shared" si="476"/>
        <v>0</v>
      </c>
      <c r="AM357" s="781">
        <f t="shared" si="477"/>
        <v>0</v>
      </c>
      <c r="AN357" s="781">
        <f t="shared" si="478"/>
        <v>0</v>
      </c>
      <c r="AO357" s="781">
        <f t="shared" si="479"/>
        <v>0</v>
      </c>
      <c r="AP357" s="781">
        <f t="shared" si="480"/>
        <v>0</v>
      </c>
      <c r="AQ357" s="781">
        <f t="shared" si="481"/>
        <v>0</v>
      </c>
      <c r="AR357" s="781">
        <f t="shared" si="482"/>
        <v>0</v>
      </c>
      <c r="AS357" s="783">
        <f t="shared" si="483"/>
        <v>0</v>
      </c>
    </row>
    <row r="358" spans="1:65" ht="15" hidden="1" outlineLevel="1" x14ac:dyDescent="0.25">
      <c r="A358" s="784"/>
      <c r="B358" s="904">
        <f t="shared" si="444"/>
        <v>340</v>
      </c>
      <c r="C358" s="170" t="str">
        <f t="shared" si="443"/>
        <v>51EA</v>
      </c>
      <c r="D358" s="557"/>
      <c r="E358" s="170"/>
      <c r="F358" s="721">
        <v>51</v>
      </c>
      <c r="G358" s="2068" t="s">
        <v>1844</v>
      </c>
      <c r="H358" s="2039"/>
      <c r="I358" s="2008" t="s">
        <v>732</v>
      </c>
      <c r="J358" s="2039"/>
      <c r="K358" s="2039"/>
      <c r="L358" s="488"/>
      <c r="M358" s="2041">
        <v>0</v>
      </c>
      <c r="N358" s="2043">
        <v>1</v>
      </c>
      <c r="O358" s="1967">
        <f t="shared" si="445"/>
        <v>0</v>
      </c>
      <c r="P358" s="2076" t="s">
        <v>39</v>
      </c>
      <c r="Q358" s="2008" t="s">
        <v>39</v>
      </c>
      <c r="R358" s="2011" t="s">
        <v>74</v>
      </c>
      <c r="S358" s="912">
        <f>SUMIF('Data Input sheet'!$B$118:$B$180,R358,'Data Input sheet'!$D$118:$D$180)</f>
        <v>152</v>
      </c>
      <c r="T358" s="2686">
        <f t="shared" si="467"/>
        <v>0</v>
      </c>
      <c r="U358" s="2042"/>
      <c r="V358" s="1981">
        <f t="shared" si="399"/>
        <v>0</v>
      </c>
      <c r="W358" s="2046">
        <v>1500</v>
      </c>
      <c r="X358" s="2502"/>
      <c r="Y358" s="2047">
        <v>0</v>
      </c>
      <c r="Z358" s="780">
        <f t="shared" si="446"/>
        <v>1500</v>
      </c>
      <c r="AA358" s="2007"/>
      <c r="AB358" s="2007"/>
      <c r="AC358" s="765"/>
      <c r="AD358" s="781">
        <f t="shared" si="468"/>
        <v>0</v>
      </c>
      <c r="AE358" s="778">
        <f t="shared" si="469"/>
        <v>0</v>
      </c>
      <c r="AF358" s="781">
        <f t="shared" si="470"/>
        <v>0</v>
      </c>
      <c r="AG358" s="781">
        <f t="shared" si="471"/>
        <v>0</v>
      </c>
      <c r="AH358" s="781">
        <f t="shared" si="472"/>
        <v>0</v>
      </c>
      <c r="AI358" s="782">
        <f t="shared" si="473"/>
        <v>0</v>
      </c>
      <c r="AJ358" s="781">
        <f t="shared" si="474"/>
        <v>0</v>
      </c>
      <c r="AK358" s="781">
        <f t="shared" si="475"/>
        <v>0</v>
      </c>
      <c r="AL358" s="781">
        <f t="shared" si="476"/>
        <v>0</v>
      </c>
      <c r="AM358" s="781">
        <f t="shared" si="477"/>
        <v>0</v>
      </c>
      <c r="AN358" s="781">
        <f t="shared" si="478"/>
        <v>0</v>
      </c>
      <c r="AO358" s="781">
        <f t="shared" si="479"/>
        <v>0</v>
      </c>
      <c r="AP358" s="781">
        <f t="shared" si="480"/>
        <v>0</v>
      </c>
      <c r="AQ358" s="781">
        <f t="shared" si="481"/>
        <v>0</v>
      </c>
      <c r="AR358" s="781">
        <f t="shared" si="482"/>
        <v>0</v>
      </c>
      <c r="AS358" s="783">
        <f t="shared" si="483"/>
        <v>0</v>
      </c>
    </row>
    <row r="359" spans="1:65" ht="15" hidden="1" outlineLevel="1" x14ac:dyDescent="0.25">
      <c r="A359" s="784"/>
      <c r="B359" s="904">
        <f t="shared" si="444"/>
        <v>341</v>
      </c>
      <c r="C359" s="170" t="str">
        <f t="shared" si="443"/>
        <v>51EA</v>
      </c>
      <c r="D359" s="557"/>
      <c r="E359" s="170"/>
      <c r="F359" s="721">
        <v>51</v>
      </c>
      <c r="G359" s="2068" t="s">
        <v>1837</v>
      </c>
      <c r="H359" s="2039"/>
      <c r="I359" s="2008" t="s">
        <v>732</v>
      </c>
      <c r="J359" s="2039"/>
      <c r="K359" s="2039"/>
      <c r="L359" s="488"/>
      <c r="M359" s="2041">
        <v>0</v>
      </c>
      <c r="N359" s="2043">
        <v>1</v>
      </c>
      <c r="O359" s="1967">
        <f t="shared" si="445"/>
        <v>0</v>
      </c>
      <c r="P359" s="2076" t="s">
        <v>39</v>
      </c>
      <c r="Q359" s="2008" t="s">
        <v>39</v>
      </c>
      <c r="R359" s="2011" t="s">
        <v>74</v>
      </c>
      <c r="S359" s="912">
        <f>SUMIF('Data Input sheet'!$B$118:$B$180,R359,'Data Input sheet'!$D$118:$D$180)</f>
        <v>152</v>
      </c>
      <c r="T359" s="2686">
        <f t="shared" si="467"/>
        <v>0</v>
      </c>
      <c r="U359" s="2042"/>
      <c r="V359" s="1981">
        <f t="shared" si="399"/>
        <v>0</v>
      </c>
      <c r="W359" s="2046">
        <v>1920</v>
      </c>
      <c r="X359" s="2502"/>
      <c r="Y359" s="2047">
        <v>0</v>
      </c>
      <c r="Z359" s="780">
        <f t="shared" si="446"/>
        <v>1920</v>
      </c>
      <c r="AA359" s="2007"/>
      <c r="AB359" s="2007"/>
      <c r="AC359" s="765"/>
      <c r="AD359" s="781">
        <f t="shared" si="468"/>
        <v>0</v>
      </c>
      <c r="AE359" s="778">
        <f t="shared" si="469"/>
        <v>0</v>
      </c>
      <c r="AF359" s="781">
        <f t="shared" si="470"/>
        <v>0</v>
      </c>
      <c r="AG359" s="781">
        <f t="shared" si="471"/>
        <v>0</v>
      </c>
      <c r="AH359" s="781">
        <f t="shared" si="472"/>
        <v>0</v>
      </c>
      <c r="AI359" s="782">
        <f t="shared" si="473"/>
        <v>0</v>
      </c>
      <c r="AJ359" s="781">
        <f t="shared" si="474"/>
        <v>0</v>
      </c>
      <c r="AK359" s="781">
        <f t="shared" si="475"/>
        <v>0</v>
      </c>
      <c r="AL359" s="781">
        <f t="shared" si="476"/>
        <v>0</v>
      </c>
      <c r="AM359" s="781">
        <f t="shared" si="477"/>
        <v>0</v>
      </c>
      <c r="AN359" s="781">
        <f t="shared" si="478"/>
        <v>0</v>
      </c>
      <c r="AO359" s="781">
        <f t="shared" si="479"/>
        <v>0</v>
      </c>
      <c r="AP359" s="781">
        <f t="shared" si="480"/>
        <v>0</v>
      </c>
      <c r="AQ359" s="781">
        <f t="shared" si="481"/>
        <v>0</v>
      </c>
      <c r="AR359" s="781">
        <f t="shared" si="482"/>
        <v>0</v>
      </c>
      <c r="AS359" s="783">
        <f t="shared" si="483"/>
        <v>0</v>
      </c>
    </row>
    <row r="360" spans="1:65" ht="15" hidden="1" outlineLevel="1" x14ac:dyDescent="0.25">
      <c r="A360" s="784"/>
      <c r="B360" s="904">
        <f t="shared" si="444"/>
        <v>342</v>
      </c>
      <c r="C360" s="170" t="str">
        <f t="shared" si="443"/>
        <v>51EA</v>
      </c>
      <c r="D360" s="557"/>
      <c r="E360" s="170"/>
      <c r="F360" s="721">
        <v>51</v>
      </c>
      <c r="G360" s="2007" t="s">
        <v>2005</v>
      </c>
      <c r="H360" s="1926"/>
      <c r="I360" s="2008" t="s">
        <v>732</v>
      </c>
      <c r="J360" s="1926"/>
      <c r="K360" s="1926"/>
      <c r="L360" s="170"/>
      <c r="M360" s="2009">
        <v>120</v>
      </c>
      <c r="N360" s="2010">
        <v>1</v>
      </c>
      <c r="O360" s="773">
        <f>+M360*N360</f>
        <v>120</v>
      </c>
      <c r="P360" s="2076" t="s">
        <v>39</v>
      </c>
      <c r="Q360" s="2008" t="s">
        <v>39</v>
      </c>
      <c r="R360" s="2011" t="s">
        <v>74</v>
      </c>
      <c r="S360" s="912">
        <f>SUMIF('Data Input sheet'!$B$118:$B$180,R360,'Data Input sheet'!$D$118:$D$180)</f>
        <v>152</v>
      </c>
      <c r="T360" s="2685">
        <f>+O360*S360</f>
        <v>18240</v>
      </c>
      <c r="U360" s="2013">
        <v>21</v>
      </c>
      <c r="V360" s="778">
        <f>ROUND(U360*O360,0)</f>
        <v>2520</v>
      </c>
      <c r="W360" s="2010">
        <v>9178.8902400000006</v>
      </c>
      <c r="X360" s="779"/>
      <c r="Y360" s="2012"/>
      <c r="Z360" s="780">
        <f>T360+V360+W360+Y360</f>
        <v>29938.890240000001</v>
      </c>
      <c r="AA360" s="2007"/>
      <c r="AB360" s="2007"/>
      <c r="AC360" s="765"/>
      <c r="AD360" s="781">
        <f>IF(P360="E",+ROUND(H360*O360,0),0)</f>
        <v>0</v>
      </c>
      <c r="AE360" s="778">
        <f>+AF360-AD360</f>
        <v>0</v>
      </c>
      <c r="AF360" s="781">
        <f>+H360*O360</f>
        <v>0</v>
      </c>
      <c r="AG360" s="781">
        <f>IF(P360="E",+ROUND(T360*H360,0),0)</f>
        <v>0</v>
      </c>
      <c r="AH360" s="781">
        <f>+AI360-AG360</f>
        <v>0</v>
      </c>
      <c r="AI360" s="782">
        <f>+H360*T360</f>
        <v>0</v>
      </c>
      <c r="AJ360" s="781">
        <f>IF(P360="E",+ROUND(V360*H360,0),0)</f>
        <v>0</v>
      </c>
      <c r="AK360" s="781">
        <f>+AL360-AJ360</f>
        <v>0</v>
      </c>
      <c r="AL360" s="781">
        <f>ROUND(V360*H360,0)</f>
        <v>0</v>
      </c>
      <c r="AM360" s="781">
        <f>IF(Q360="E",+ROUND(W360*H360,0),0)</f>
        <v>0</v>
      </c>
      <c r="AN360" s="781">
        <f>+AO360-AM360</f>
        <v>0</v>
      </c>
      <c r="AO360" s="781">
        <f>ROUND(W360*H360,0)</f>
        <v>0</v>
      </c>
      <c r="AP360" s="781">
        <f>IF(P360="E",+ROUND(Y360*H360,0),0)</f>
        <v>0</v>
      </c>
      <c r="AQ360" s="781">
        <f>+AR360-AP360</f>
        <v>0</v>
      </c>
      <c r="AR360" s="781">
        <f>ROUND(Y360*H360,0)</f>
        <v>0</v>
      </c>
      <c r="AS360" s="783">
        <f>+AR360+AO360+AL360+AI360</f>
        <v>0</v>
      </c>
      <c r="AT360" s="917"/>
      <c r="AW360" s="832"/>
      <c r="AX360" s="833" t="s">
        <v>3061</v>
      </c>
      <c r="BM360" s="2010">
        <v>9178.8902400000006</v>
      </c>
    </row>
    <row r="361" spans="1:65" ht="25.5" hidden="1" customHeight="1" outlineLevel="1" thickBot="1" x14ac:dyDescent="0.25">
      <c r="A361" s="784"/>
      <c r="B361" s="904">
        <f t="shared" si="444"/>
        <v>343</v>
      </c>
      <c r="C361" s="170" t="str">
        <f t="shared" si="443"/>
        <v>51EA</v>
      </c>
      <c r="D361" s="557"/>
      <c r="E361" s="170"/>
      <c r="F361" s="721">
        <v>51</v>
      </c>
      <c r="G361" s="2068" t="s">
        <v>1845</v>
      </c>
      <c r="H361" s="2039"/>
      <c r="I361" s="2008" t="s">
        <v>732</v>
      </c>
      <c r="J361" s="2039"/>
      <c r="K361" s="2039"/>
      <c r="L361" s="488"/>
      <c r="M361" s="2041">
        <v>0</v>
      </c>
      <c r="N361" s="2043">
        <v>1</v>
      </c>
      <c r="O361" s="1967">
        <f t="shared" si="445"/>
        <v>0</v>
      </c>
      <c r="P361" s="2076" t="s">
        <v>39</v>
      </c>
      <c r="Q361" s="2008" t="s">
        <v>39</v>
      </c>
      <c r="R361" s="2011" t="s">
        <v>74</v>
      </c>
      <c r="S361" s="912">
        <f>SUMIF('Data Input sheet'!$B$118:$B$180,R361,'Data Input sheet'!$D$118:$D$180)</f>
        <v>152</v>
      </c>
      <c r="T361" s="2686">
        <f t="shared" si="467"/>
        <v>0</v>
      </c>
      <c r="U361" s="2042"/>
      <c r="V361" s="1981">
        <f t="shared" si="399"/>
        <v>0</v>
      </c>
      <c r="W361" s="2046">
        <v>2000</v>
      </c>
      <c r="X361" s="2502"/>
      <c r="Y361" s="2047">
        <v>0</v>
      </c>
      <c r="Z361" s="780">
        <f t="shared" si="446"/>
        <v>2000</v>
      </c>
      <c r="AA361" s="2007"/>
      <c r="AB361" s="2007"/>
      <c r="AC361" s="765"/>
      <c r="AD361" s="781">
        <f t="shared" si="468"/>
        <v>0</v>
      </c>
      <c r="AE361" s="778">
        <f t="shared" si="469"/>
        <v>0</v>
      </c>
      <c r="AF361" s="781">
        <f t="shared" si="470"/>
        <v>0</v>
      </c>
      <c r="AG361" s="781">
        <f t="shared" si="471"/>
        <v>0</v>
      </c>
      <c r="AH361" s="781">
        <f t="shared" si="472"/>
        <v>0</v>
      </c>
      <c r="AI361" s="782">
        <f t="shared" si="473"/>
        <v>0</v>
      </c>
      <c r="AJ361" s="781">
        <f t="shared" si="474"/>
        <v>0</v>
      </c>
      <c r="AK361" s="781">
        <f t="shared" si="475"/>
        <v>0</v>
      </c>
      <c r="AL361" s="781">
        <f t="shared" si="476"/>
        <v>0</v>
      </c>
      <c r="AM361" s="781">
        <f t="shared" si="477"/>
        <v>0</v>
      </c>
      <c r="AN361" s="781">
        <f t="shared" si="478"/>
        <v>0</v>
      </c>
      <c r="AO361" s="781">
        <f t="shared" si="479"/>
        <v>0</v>
      </c>
      <c r="AP361" s="781">
        <f t="shared" si="480"/>
        <v>0</v>
      </c>
      <c r="AQ361" s="781">
        <f t="shared" si="481"/>
        <v>0</v>
      </c>
      <c r="AR361" s="781">
        <f t="shared" si="482"/>
        <v>0</v>
      </c>
      <c r="AS361" s="783">
        <f t="shared" si="483"/>
        <v>0</v>
      </c>
    </row>
    <row r="362" spans="1:65" ht="15.75" hidden="1" collapsed="1" thickBot="1" x14ac:dyDescent="0.3">
      <c r="A362" s="784"/>
      <c r="B362" s="904">
        <f t="shared" si="444"/>
        <v>344</v>
      </c>
      <c r="C362" s="170" t="str">
        <f t="shared" si="443"/>
        <v/>
      </c>
      <c r="D362" s="557"/>
      <c r="E362" s="170"/>
      <c r="F362" s="721"/>
      <c r="G362" s="2627" t="s">
        <v>1787</v>
      </c>
      <c r="H362" s="2629"/>
      <c r="I362" s="2008"/>
      <c r="J362" s="1926"/>
      <c r="K362" s="1926"/>
      <c r="L362" s="170"/>
      <c r="M362" s="2009"/>
      <c r="N362" s="2010"/>
      <c r="O362" s="773"/>
      <c r="P362" s="2076"/>
      <c r="Q362" s="2008"/>
      <c r="R362" s="2011"/>
      <c r="S362" s="912">
        <f>SUMIF('Data Input sheet'!$B$118:$B$180,R362,'Data Input sheet'!$D$118:$D$180)</f>
        <v>0</v>
      </c>
      <c r="T362" s="2685"/>
      <c r="U362" s="2013">
        <v>0</v>
      </c>
      <c r="V362" s="778">
        <f t="shared" si="399"/>
        <v>0</v>
      </c>
      <c r="W362" s="2010"/>
      <c r="X362" s="779"/>
      <c r="Y362" s="2012"/>
      <c r="Z362" s="780"/>
      <c r="AA362" s="2007"/>
      <c r="AB362" s="2007"/>
      <c r="AC362" s="765"/>
      <c r="AD362" s="781">
        <f t="shared" si="468"/>
        <v>0</v>
      </c>
      <c r="AE362" s="778">
        <f t="shared" si="469"/>
        <v>0</v>
      </c>
      <c r="AF362" s="781">
        <f t="shared" si="470"/>
        <v>0</v>
      </c>
      <c r="AG362" s="781">
        <f t="shared" si="471"/>
        <v>0</v>
      </c>
      <c r="AH362" s="781">
        <f t="shared" si="472"/>
        <v>0</v>
      </c>
      <c r="AI362" s="782">
        <f t="shared" si="473"/>
        <v>0</v>
      </c>
      <c r="AJ362" s="781">
        <f t="shared" si="474"/>
        <v>0</v>
      </c>
      <c r="AK362" s="781">
        <f t="shared" si="475"/>
        <v>0</v>
      </c>
      <c r="AL362" s="781">
        <f t="shared" si="476"/>
        <v>0</v>
      </c>
      <c r="AM362" s="781">
        <f t="shared" si="477"/>
        <v>0</v>
      </c>
      <c r="AN362" s="781">
        <f t="shared" si="478"/>
        <v>0</v>
      </c>
      <c r="AO362" s="781">
        <f t="shared" si="479"/>
        <v>0</v>
      </c>
      <c r="AP362" s="781">
        <f t="shared" si="480"/>
        <v>0</v>
      </c>
      <c r="AQ362" s="781">
        <f t="shared" si="481"/>
        <v>0</v>
      </c>
      <c r="AR362" s="781">
        <f t="shared" si="482"/>
        <v>0</v>
      </c>
      <c r="AS362" s="783">
        <f t="shared" si="483"/>
        <v>0</v>
      </c>
      <c r="AT362" s="917"/>
      <c r="AW362" s="832"/>
      <c r="AX362" s="833" t="s">
        <v>3030</v>
      </c>
      <c r="BM362" s="2010"/>
    </row>
    <row r="363" spans="1:65" ht="25.5" hidden="1" outlineLevel="1" x14ac:dyDescent="0.25">
      <c r="A363" s="784"/>
      <c r="B363" s="904">
        <f t="shared" si="444"/>
        <v>345</v>
      </c>
      <c r="C363" s="170" t="str">
        <f t="shared" si="443"/>
        <v>55EA</v>
      </c>
      <c r="D363" s="557"/>
      <c r="E363" s="170"/>
      <c r="F363" s="721">
        <v>55</v>
      </c>
      <c r="G363" s="2007" t="s">
        <v>2015</v>
      </c>
      <c r="H363" s="1926"/>
      <c r="I363" s="2008" t="s">
        <v>732</v>
      </c>
      <c r="J363" s="1926"/>
      <c r="K363" s="1926"/>
      <c r="L363" s="170"/>
      <c r="M363" s="2009"/>
      <c r="N363" s="2010">
        <v>1</v>
      </c>
      <c r="O363" s="773">
        <f t="shared" ref="O363:O369" si="484">+M363*N363</f>
        <v>0</v>
      </c>
      <c r="P363" s="2076" t="s">
        <v>39</v>
      </c>
      <c r="Q363" s="2008" t="s">
        <v>39</v>
      </c>
      <c r="R363" s="2011" t="s">
        <v>74</v>
      </c>
      <c r="S363" s="912">
        <f>SUMIF('Data Input sheet'!$B$118:$B$180,R363,'Data Input sheet'!$D$118:$D$180)</f>
        <v>152</v>
      </c>
      <c r="T363" s="2685">
        <v>150000</v>
      </c>
      <c r="U363" s="2013">
        <v>100</v>
      </c>
      <c r="V363" s="778">
        <f t="shared" ref="V363:V369" si="485">ROUND(U363*O363,0)</f>
        <v>0</v>
      </c>
      <c r="W363" s="2010">
        <v>2800000</v>
      </c>
      <c r="X363" s="779"/>
      <c r="Y363" s="2012"/>
      <c r="Z363" s="780">
        <f t="shared" ref="Z363:Z369" si="486">T363+V363+W363+Y363</f>
        <v>2950000</v>
      </c>
      <c r="AA363" s="2007"/>
      <c r="AB363" s="2007"/>
      <c r="AC363" s="765"/>
      <c r="AD363" s="781">
        <f t="shared" ref="AD363:AD369" si="487">IF(P363="E",+ROUND(H363*O363,0),0)</f>
        <v>0</v>
      </c>
      <c r="AE363" s="778">
        <f t="shared" ref="AE363:AE369" si="488">+AF363-AD363</f>
        <v>0</v>
      </c>
      <c r="AF363" s="781">
        <f t="shared" ref="AF363:AF369" si="489">+H363*O363</f>
        <v>0</v>
      </c>
      <c r="AG363" s="781">
        <f t="shared" ref="AG363:AG369" si="490">IF(P363="E",+ROUND(T363*H363,0),0)</f>
        <v>0</v>
      </c>
      <c r="AH363" s="781">
        <f t="shared" ref="AH363:AH369" si="491">+AI363-AG363</f>
        <v>0</v>
      </c>
      <c r="AI363" s="782">
        <f t="shared" ref="AI363:AI369" si="492">+H363*T363</f>
        <v>0</v>
      </c>
      <c r="AJ363" s="781">
        <f t="shared" ref="AJ363:AJ369" si="493">IF(P363="E",+ROUND(V363*H363,0),0)</f>
        <v>0</v>
      </c>
      <c r="AK363" s="781">
        <f t="shared" ref="AK363:AK369" si="494">+AL363-AJ363</f>
        <v>0</v>
      </c>
      <c r="AL363" s="781">
        <f t="shared" ref="AL363:AL369" si="495">ROUND(V363*H363,0)</f>
        <v>0</v>
      </c>
      <c r="AM363" s="781">
        <f t="shared" ref="AM363:AM369" si="496">IF(Q363="E",+ROUND(W363*H363,0),0)</f>
        <v>0</v>
      </c>
      <c r="AN363" s="781">
        <f t="shared" ref="AN363:AN369" si="497">+AO363-AM363</f>
        <v>0</v>
      </c>
      <c r="AO363" s="781">
        <f t="shared" ref="AO363:AO369" si="498">ROUND(W363*H363,0)</f>
        <v>0</v>
      </c>
      <c r="AP363" s="781">
        <f t="shared" ref="AP363:AP369" si="499">IF(P363="E",+ROUND(Y363*H363,0),0)</f>
        <v>0</v>
      </c>
      <c r="AQ363" s="781">
        <f t="shared" ref="AQ363:AQ369" si="500">+AR363-AP363</f>
        <v>0</v>
      </c>
      <c r="AR363" s="781">
        <f t="shared" ref="AR363:AR369" si="501">ROUND(Y363*H363,0)</f>
        <v>0</v>
      </c>
      <c r="AS363" s="783">
        <f t="shared" ref="AS363:AS369" si="502">+AR363+AO363+AL363+AI363</f>
        <v>0</v>
      </c>
      <c r="AT363" s="917"/>
      <c r="AW363" s="832"/>
      <c r="AX363" s="833" t="s">
        <v>3030</v>
      </c>
      <c r="AY363" s="2482"/>
      <c r="BM363" s="2010">
        <v>2800000</v>
      </c>
    </row>
    <row r="364" spans="1:65" ht="15" hidden="1" outlineLevel="1" x14ac:dyDescent="0.25">
      <c r="A364" s="784"/>
      <c r="B364" s="904">
        <f t="shared" si="444"/>
        <v>346</v>
      </c>
      <c r="C364" s="170" t="str">
        <f t="shared" si="443"/>
        <v>55EA</v>
      </c>
      <c r="D364" s="557"/>
      <c r="E364" s="170"/>
      <c r="F364" s="721">
        <v>55</v>
      </c>
      <c r="G364" s="2007" t="s">
        <v>2017</v>
      </c>
      <c r="H364" s="1926"/>
      <c r="I364" s="2008" t="s">
        <v>732</v>
      </c>
      <c r="J364" s="1926"/>
      <c r="K364" s="1926"/>
      <c r="L364" s="170"/>
      <c r="M364" s="2009">
        <v>5714.2849999999999</v>
      </c>
      <c r="N364" s="2010">
        <v>1</v>
      </c>
      <c r="O364" s="773">
        <f t="shared" si="484"/>
        <v>5714.2849999999999</v>
      </c>
      <c r="P364" s="2076" t="s">
        <v>39</v>
      </c>
      <c r="Q364" s="2008" t="s">
        <v>39</v>
      </c>
      <c r="R364" s="2011" t="s">
        <v>74</v>
      </c>
      <c r="S364" s="912">
        <f>SUMIF('Data Input sheet'!$B$118:$B$180,R364,'Data Input sheet'!$D$118:$D$180)</f>
        <v>152</v>
      </c>
      <c r="T364" s="2685">
        <f>+O364*S364</f>
        <v>868571.32</v>
      </c>
      <c r="U364" s="2013">
        <v>35</v>
      </c>
      <c r="V364" s="778">
        <f t="shared" si="485"/>
        <v>200000</v>
      </c>
      <c r="W364" s="2010">
        <v>4200000</v>
      </c>
      <c r="X364" s="779"/>
      <c r="Y364" s="2012"/>
      <c r="Z364" s="780">
        <f t="shared" si="486"/>
        <v>5268571.32</v>
      </c>
      <c r="AA364" s="1862"/>
      <c r="AB364" s="1862"/>
      <c r="AC364" s="765"/>
      <c r="AD364" s="781">
        <f t="shared" si="487"/>
        <v>0</v>
      </c>
      <c r="AE364" s="778">
        <f t="shared" si="488"/>
        <v>0</v>
      </c>
      <c r="AF364" s="781">
        <f t="shared" si="489"/>
        <v>0</v>
      </c>
      <c r="AG364" s="781">
        <f t="shared" si="490"/>
        <v>0</v>
      </c>
      <c r="AH364" s="781">
        <f t="shared" si="491"/>
        <v>0</v>
      </c>
      <c r="AI364" s="782">
        <f t="shared" si="492"/>
        <v>0</v>
      </c>
      <c r="AJ364" s="781">
        <f t="shared" si="493"/>
        <v>0</v>
      </c>
      <c r="AK364" s="781">
        <f t="shared" si="494"/>
        <v>0</v>
      </c>
      <c r="AL364" s="781">
        <f t="shared" si="495"/>
        <v>0</v>
      </c>
      <c r="AM364" s="781">
        <f t="shared" si="496"/>
        <v>0</v>
      </c>
      <c r="AN364" s="781">
        <f t="shared" si="497"/>
        <v>0</v>
      </c>
      <c r="AO364" s="781">
        <f t="shared" si="498"/>
        <v>0</v>
      </c>
      <c r="AP364" s="781">
        <f t="shared" si="499"/>
        <v>0</v>
      </c>
      <c r="AQ364" s="781">
        <f t="shared" si="500"/>
        <v>0</v>
      </c>
      <c r="AR364" s="781">
        <f t="shared" si="501"/>
        <v>0</v>
      </c>
      <c r="AS364" s="783">
        <f t="shared" si="502"/>
        <v>0</v>
      </c>
      <c r="AT364" s="917"/>
      <c r="AW364" s="832">
        <v>511913</v>
      </c>
      <c r="AX364" s="833" t="s">
        <v>2962</v>
      </c>
      <c r="BM364" s="2010">
        <v>2600000</v>
      </c>
    </row>
    <row r="365" spans="1:65" ht="15" hidden="1" outlineLevel="1" x14ac:dyDescent="0.25">
      <c r="A365" s="784"/>
      <c r="B365" s="904">
        <f t="shared" si="444"/>
        <v>347</v>
      </c>
      <c r="C365" s="170" t="str">
        <f t="shared" si="443"/>
        <v>55EA</v>
      </c>
      <c r="D365" s="557"/>
      <c r="E365" s="170"/>
      <c r="F365" s="721">
        <v>55</v>
      </c>
      <c r="G365" s="2007" t="s">
        <v>2016</v>
      </c>
      <c r="H365" s="1926"/>
      <c r="I365" s="2008" t="s">
        <v>732</v>
      </c>
      <c r="J365" s="1926"/>
      <c r="K365" s="1926"/>
      <c r="L365" s="170"/>
      <c r="M365" s="2009">
        <v>3142.86</v>
      </c>
      <c r="N365" s="2010">
        <v>1</v>
      </c>
      <c r="O365" s="773">
        <f t="shared" si="484"/>
        <v>3142.86</v>
      </c>
      <c r="P365" s="2076" t="s">
        <v>39</v>
      </c>
      <c r="Q365" s="2008" t="s">
        <v>39</v>
      </c>
      <c r="R365" s="2011" t="s">
        <v>74</v>
      </c>
      <c r="S365" s="912">
        <f>SUMIF('Data Input sheet'!$B$118:$B$180,R365,'Data Input sheet'!$D$118:$D$180)</f>
        <v>152</v>
      </c>
      <c r="T365" s="2685">
        <f t="shared" ref="T365" si="503">+O365*S365</f>
        <v>477714.72000000003</v>
      </c>
      <c r="U365" s="2013">
        <v>35</v>
      </c>
      <c r="V365" s="778">
        <f t="shared" si="485"/>
        <v>110000</v>
      </c>
      <c r="W365" s="2010">
        <v>4000000</v>
      </c>
      <c r="X365" s="779"/>
      <c r="Y365" s="2012"/>
      <c r="Z365" s="780">
        <f t="shared" si="486"/>
        <v>4587714.72</v>
      </c>
      <c r="AA365" s="2007"/>
      <c r="AB365" s="1862"/>
      <c r="AC365" s="765"/>
      <c r="AD365" s="781">
        <f t="shared" si="487"/>
        <v>0</v>
      </c>
      <c r="AE365" s="778">
        <f t="shared" si="488"/>
        <v>0</v>
      </c>
      <c r="AF365" s="781">
        <f t="shared" si="489"/>
        <v>0</v>
      </c>
      <c r="AG365" s="781">
        <f t="shared" si="490"/>
        <v>0</v>
      </c>
      <c r="AH365" s="781">
        <f t="shared" si="491"/>
        <v>0</v>
      </c>
      <c r="AI365" s="782">
        <f t="shared" si="492"/>
        <v>0</v>
      </c>
      <c r="AJ365" s="781">
        <f t="shared" si="493"/>
        <v>0</v>
      </c>
      <c r="AK365" s="781">
        <f t="shared" si="494"/>
        <v>0</v>
      </c>
      <c r="AL365" s="781">
        <f t="shared" si="495"/>
        <v>0</v>
      </c>
      <c r="AM365" s="781">
        <f t="shared" si="496"/>
        <v>0</v>
      </c>
      <c r="AN365" s="781">
        <f t="shared" si="497"/>
        <v>0</v>
      </c>
      <c r="AO365" s="781">
        <f t="shared" si="498"/>
        <v>0</v>
      </c>
      <c r="AP365" s="781">
        <f t="shared" si="499"/>
        <v>0</v>
      </c>
      <c r="AQ365" s="781">
        <f t="shared" si="500"/>
        <v>0</v>
      </c>
      <c r="AR365" s="781">
        <f t="shared" si="501"/>
        <v>0</v>
      </c>
      <c r="AS365" s="783">
        <f t="shared" si="502"/>
        <v>0</v>
      </c>
      <c r="AT365" s="917"/>
      <c r="AW365" s="832">
        <v>589193</v>
      </c>
      <c r="AX365" s="833" t="s">
        <v>2962</v>
      </c>
      <c r="BM365" s="2010">
        <v>1300000</v>
      </c>
    </row>
    <row r="366" spans="1:65" ht="25.5" hidden="1" outlineLevel="1" x14ac:dyDescent="0.25">
      <c r="A366" s="784"/>
      <c r="B366" s="904">
        <f t="shared" si="444"/>
        <v>348</v>
      </c>
      <c r="C366" s="170" t="str">
        <f t="shared" si="443"/>
        <v>55EA</v>
      </c>
      <c r="D366" s="557"/>
      <c r="E366" s="170"/>
      <c r="F366" s="721">
        <v>55</v>
      </c>
      <c r="G366" s="2007" t="s">
        <v>2014</v>
      </c>
      <c r="H366" s="1926"/>
      <c r="I366" s="2008" t="s">
        <v>732</v>
      </c>
      <c r="J366" s="1926"/>
      <c r="K366" s="1926"/>
      <c r="L366" s="170"/>
      <c r="M366" s="2009"/>
      <c r="N366" s="2010">
        <v>1</v>
      </c>
      <c r="O366" s="773">
        <f t="shared" si="484"/>
        <v>0</v>
      </c>
      <c r="P366" s="2076" t="s">
        <v>39</v>
      </c>
      <c r="Q366" s="2008" t="s">
        <v>39</v>
      </c>
      <c r="R366" s="2011" t="s">
        <v>74</v>
      </c>
      <c r="S366" s="912">
        <f>SUMIF('Data Input sheet'!$B$118:$B$180,R366,'Data Input sheet'!$D$118:$D$180)</f>
        <v>152</v>
      </c>
      <c r="T366" s="2685">
        <v>20000</v>
      </c>
      <c r="U366" s="2013">
        <v>100</v>
      </c>
      <c r="V366" s="778">
        <f t="shared" si="485"/>
        <v>0</v>
      </c>
      <c r="W366" s="2010">
        <v>230000</v>
      </c>
      <c r="X366" s="779"/>
      <c r="Y366" s="2012"/>
      <c r="Z366" s="780">
        <f t="shared" si="486"/>
        <v>250000</v>
      </c>
      <c r="AA366" s="2007"/>
      <c r="AB366" s="2007"/>
      <c r="AC366" s="765"/>
      <c r="AD366" s="781">
        <f t="shared" si="487"/>
        <v>0</v>
      </c>
      <c r="AE366" s="778">
        <f t="shared" si="488"/>
        <v>0</v>
      </c>
      <c r="AF366" s="781">
        <f t="shared" si="489"/>
        <v>0</v>
      </c>
      <c r="AG366" s="781">
        <f t="shared" si="490"/>
        <v>0</v>
      </c>
      <c r="AH366" s="781">
        <f t="shared" si="491"/>
        <v>0</v>
      </c>
      <c r="AI366" s="782">
        <f t="shared" si="492"/>
        <v>0</v>
      </c>
      <c r="AJ366" s="781">
        <f t="shared" si="493"/>
        <v>0</v>
      </c>
      <c r="AK366" s="781">
        <f t="shared" si="494"/>
        <v>0</v>
      </c>
      <c r="AL366" s="781">
        <f t="shared" si="495"/>
        <v>0</v>
      </c>
      <c r="AM366" s="781">
        <f t="shared" si="496"/>
        <v>0</v>
      </c>
      <c r="AN366" s="781">
        <f t="shared" si="497"/>
        <v>0</v>
      </c>
      <c r="AO366" s="781">
        <f t="shared" si="498"/>
        <v>0</v>
      </c>
      <c r="AP366" s="781">
        <f t="shared" si="499"/>
        <v>0</v>
      </c>
      <c r="AQ366" s="781">
        <f t="shared" si="500"/>
        <v>0</v>
      </c>
      <c r="AR366" s="781">
        <f t="shared" si="501"/>
        <v>0</v>
      </c>
      <c r="AS366" s="783">
        <f t="shared" si="502"/>
        <v>0</v>
      </c>
      <c r="AT366" s="917"/>
      <c r="AW366" s="832"/>
      <c r="AX366" s="833" t="s">
        <v>3030</v>
      </c>
      <c r="AY366" s="2482"/>
      <c r="BM366" s="2010">
        <v>230000</v>
      </c>
    </row>
    <row r="367" spans="1:65" ht="25.5" hidden="1" outlineLevel="1" x14ac:dyDescent="0.25">
      <c r="A367" s="784"/>
      <c r="B367" s="904">
        <f t="shared" si="444"/>
        <v>349</v>
      </c>
      <c r="C367" s="170" t="str">
        <f t="shared" si="443"/>
        <v>55EA</v>
      </c>
      <c r="D367" s="557"/>
      <c r="E367" s="170"/>
      <c r="F367" s="721">
        <v>55</v>
      </c>
      <c r="G367" s="2007" t="s">
        <v>2013</v>
      </c>
      <c r="H367" s="1926"/>
      <c r="I367" s="2008" t="s">
        <v>732</v>
      </c>
      <c r="J367" s="1926"/>
      <c r="K367" s="1926"/>
      <c r="L367" s="170"/>
      <c r="M367" s="2009"/>
      <c r="N367" s="2010">
        <v>1</v>
      </c>
      <c r="O367" s="773">
        <f t="shared" si="484"/>
        <v>0</v>
      </c>
      <c r="P367" s="2076" t="s">
        <v>39</v>
      </c>
      <c r="Q367" s="2008" t="s">
        <v>39</v>
      </c>
      <c r="R367" s="2011" t="s">
        <v>74</v>
      </c>
      <c r="S367" s="912">
        <f>SUMIF('Data Input sheet'!$B$118:$B$180,R367,'Data Input sheet'!$D$118:$D$180)</f>
        <v>152</v>
      </c>
      <c r="T367" s="2685">
        <v>20000</v>
      </c>
      <c r="U367" s="2013">
        <v>100</v>
      </c>
      <c r="V367" s="778">
        <f t="shared" si="485"/>
        <v>0</v>
      </c>
      <c r="W367" s="2010">
        <v>465000</v>
      </c>
      <c r="X367" s="779"/>
      <c r="Y367" s="2012"/>
      <c r="Z367" s="780">
        <f t="shared" si="486"/>
        <v>485000</v>
      </c>
      <c r="AA367" s="2007"/>
      <c r="AB367" s="2007"/>
      <c r="AC367" s="765"/>
      <c r="AD367" s="781">
        <f t="shared" si="487"/>
        <v>0</v>
      </c>
      <c r="AE367" s="778">
        <f t="shared" si="488"/>
        <v>0</v>
      </c>
      <c r="AF367" s="781">
        <f t="shared" si="489"/>
        <v>0</v>
      </c>
      <c r="AG367" s="781">
        <f t="shared" si="490"/>
        <v>0</v>
      </c>
      <c r="AH367" s="781">
        <f t="shared" si="491"/>
        <v>0</v>
      </c>
      <c r="AI367" s="782">
        <f t="shared" si="492"/>
        <v>0</v>
      </c>
      <c r="AJ367" s="781">
        <f t="shared" si="493"/>
        <v>0</v>
      </c>
      <c r="AK367" s="781">
        <f t="shared" si="494"/>
        <v>0</v>
      </c>
      <c r="AL367" s="781">
        <f t="shared" si="495"/>
        <v>0</v>
      </c>
      <c r="AM367" s="781">
        <f t="shared" si="496"/>
        <v>0</v>
      </c>
      <c r="AN367" s="781">
        <f t="shared" si="497"/>
        <v>0</v>
      </c>
      <c r="AO367" s="781">
        <f t="shared" si="498"/>
        <v>0</v>
      </c>
      <c r="AP367" s="781">
        <f t="shared" si="499"/>
        <v>0</v>
      </c>
      <c r="AQ367" s="781">
        <f t="shared" si="500"/>
        <v>0</v>
      </c>
      <c r="AR367" s="781">
        <f t="shared" si="501"/>
        <v>0</v>
      </c>
      <c r="AS367" s="783">
        <f t="shared" si="502"/>
        <v>0</v>
      </c>
      <c r="AT367" s="917"/>
      <c r="AW367" s="832"/>
      <c r="AX367" s="833" t="s">
        <v>3030</v>
      </c>
      <c r="AY367" s="2482"/>
      <c r="BM367" s="2010">
        <v>465000</v>
      </c>
    </row>
    <row r="368" spans="1:65" ht="14.25" hidden="1" customHeight="1" outlineLevel="1" x14ac:dyDescent="0.25">
      <c r="A368" s="784"/>
      <c r="B368" s="904">
        <f t="shared" si="444"/>
        <v>350</v>
      </c>
      <c r="C368" s="170" t="str">
        <f t="shared" si="443"/>
        <v>55EA</v>
      </c>
      <c r="D368" s="557"/>
      <c r="E368" s="170"/>
      <c r="F368" s="721">
        <v>55</v>
      </c>
      <c r="G368" s="2492" t="s">
        <v>3261</v>
      </c>
      <c r="H368" s="2039"/>
      <c r="I368" s="2008" t="s">
        <v>732</v>
      </c>
      <c r="J368" s="2039"/>
      <c r="K368" s="2039"/>
      <c r="L368" s="488"/>
      <c r="M368" s="2041">
        <v>0</v>
      </c>
      <c r="N368" s="2043">
        <v>1</v>
      </c>
      <c r="O368" s="1967">
        <f t="shared" si="484"/>
        <v>0</v>
      </c>
      <c r="P368" s="2076" t="s">
        <v>39</v>
      </c>
      <c r="Q368" s="2008" t="s">
        <v>39</v>
      </c>
      <c r="R368" s="2011" t="s">
        <v>74</v>
      </c>
      <c r="S368" s="912">
        <f>SUMIF('Data Input sheet'!$B$118:$B$180,R368,'Data Input sheet'!$D$118:$D$180)</f>
        <v>152</v>
      </c>
      <c r="T368" s="2686">
        <f>ROUND(O368*S368,0)</f>
        <v>0</v>
      </c>
      <c r="U368" s="2042"/>
      <c r="V368" s="1981">
        <f t="shared" si="485"/>
        <v>0</v>
      </c>
      <c r="W368" s="2046">
        <v>14500</v>
      </c>
      <c r="X368" s="2502"/>
      <c r="Y368" s="2047">
        <v>0</v>
      </c>
      <c r="Z368" s="780">
        <f t="shared" si="486"/>
        <v>14500</v>
      </c>
      <c r="AA368" s="2007"/>
      <c r="AB368" s="2007"/>
      <c r="AC368" s="765">
        <f>IF(V368=0,0,ROUND(V368/O368,0))</f>
        <v>0</v>
      </c>
      <c r="AD368" s="781">
        <f t="shared" si="487"/>
        <v>0</v>
      </c>
      <c r="AE368" s="778">
        <f t="shared" si="488"/>
        <v>0</v>
      </c>
      <c r="AF368" s="781">
        <f t="shared" si="489"/>
        <v>0</v>
      </c>
      <c r="AG368" s="781">
        <f t="shared" si="490"/>
        <v>0</v>
      </c>
      <c r="AH368" s="781">
        <f t="shared" si="491"/>
        <v>0</v>
      </c>
      <c r="AI368" s="782">
        <f t="shared" si="492"/>
        <v>0</v>
      </c>
      <c r="AJ368" s="781">
        <f t="shared" si="493"/>
        <v>0</v>
      </c>
      <c r="AK368" s="781">
        <f t="shared" si="494"/>
        <v>0</v>
      </c>
      <c r="AL368" s="781">
        <f t="shared" si="495"/>
        <v>0</v>
      </c>
      <c r="AM368" s="781">
        <f t="shared" si="496"/>
        <v>0</v>
      </c>
      <c r="AN368" s="781">
        <f t="shared" si="497"/>
        <v>0</v>
      </c>
      <c r="AO368" s="781">
        <f t="shared" si="498"/>
        <v>0</v>
      </c>
      <c r="AP368" s="781">
        <f t="shared" si="499"/>
        <v>0</v>
      </c>
      <c r="AQ368" s="781">
        <f t="shared" si="500"/>
        <v>0</v>
      </c>
      <c r="AR368" s="781">
        <f t="shared" si="501"/>
        <v>0</v>
      </c>
      <c r="AS368" s="783">
        <f t="shared" si="502"/>
        <v>0</v>
      </c>
    </row>
    <row r="369" spans="1:65" ht="15" hidden="1" outlineLevel="1" x14ac:dyDescent="0.25">
      <c r="A369" s="784"/>
      <c r="B369" s="904">
        <f t="shared" si="444"/>
        <v>351</v>
      </c>
      <c r="C369" s="170" t="str">
        <f t="shared" si="443"/>
        <v>55EA</v>
      </c>
      <c r="D369" s="557"/>
      <c r="E369" s="170"/>
      <c r="F369" s="721">
        <v>55</v>
      </c>
      <c r="G369" s="2492" t="s">
        <v>3260</v>
      </c>
      <c r="H369" s="2039"/>
      <c r="I369" s="2008" t="s">
        <v>732</v>
      </c>
      <c r="J369" s="2039"/>
      <c r="K369" s="2039"/>
      <c r="L369" s="488"/>
      <c r="M369" s="2041">
        <v>0</v>
      </c>
      <c r="N369" s="2043">
        <v>1</v>
      </c>
      <c r="O369" s="1967">
        <f t="shared" si="484"/>
        <v>0</v>
      </c>
      <c r="P369" s="2076" t="s">
        <v>39</v>
      </c>
      <c r="Q369" s="2008" t="s">
        <v>39</v>
      </c>
      <c r="R369" s="2011" t="s">
        <v>74</v>
      </c>
      <c r="S369" s="912">
        <f>SUMIF('Data Input sheet'!$B$118:$B$180,R369,'Data Input sheet'!$D$118:$D$180)</f>
        <v>152</v>
      </c>
      <c r="T369" s="2686">
        <f>ROUND(O369*S369,0)</f>
        <v>0</v>
      </c>
      <c r="U369" s="2042"/>
      <c r="V369" s="1981">
        <f t="shared" si="485"/>
        <v>0</v>
      </c>
      <c r="W369" s="2046">
        <v>8000</v>
      </c>
      <c r="X369" s="2502"/>
      <c r="Y369" s="2047">
        <v>0</v>
      </c>
      <c r="Z369" s="780">
        <f t="shared" si="486"/>
        <v>8000</v>
      </c>
      <c r="AA369" s="2007"/>
      <c r="AB369" s="2007"/>
      <c r="AC369" s="765">
        <f t="shared" ref="AC369" si="504">IF(V369=0,0,ROUND(V369/O369,0))</f>
        <v>0</v>
      </c>
      <c r="AD369" s="781">
        <f t="shared" si="487"/>
        <v>0</v>
      </c>
      <c r="AE369" s="778">
        <f t="shared" si="488"/>
        <v>0</v>
      </c>
      <c r="AF369" s="781">
        <f t="shared" si="489"/>
        <v>0</v>
      </c>
      <c r="AG369" s="781">
        <f t="shared" si="490"/>
        <v>0</v>
      </c>
      <c r="AH369" s="781">
        <f t="shared" si="491"/>
        <v>0</v>
      </c>
      <c r="AI369" s="782">
        <f t="shared" si="492"/>
        <v>0</v>
      </c>
      <c r="AJ369" s="781">
        <f t="shared" si="493"/>
        <v>0</v>
      </c>
      <c r="AK369" s="781">
        <f t="shared" si="494"/>
        <v>0</v>
      </c>
      <c r="AL369" s="781">
        <f t="shared" si="495"/>
        <v>0</v>
      </c>
      <c r="AM369" s="781">
        <f t="shared" si="496"/>
        <v>0</v>
      </c>
      <c r="AN369" s="781">
        <f t="shared" si="497"/>
        <v>0</v>
      </c>
      <c r="AO369" s="781">
        <f t="shared" si="498"/>
        <v>0</v>
      </c>
      <c r="AP369" s="781">
        <f t="shared" si="499"/>
        <v>0</v>
      </c>
      <c r="AQ369" s="781">
        <f t="shared" si="500"/>
        <v>0</v>
      </c>
      <c r="AR369" s="781">
        <f t="shared" si="501"/>
        <v>0</v>
      </c>
      <c r="AS369" s="783">
        <f t="shared" si="502"/>
        <v>0</v>
      </c>
    </row>
    <row r="370" spans="1:65" ht="25.5" hidden="1" outlineLevel="1" x14ac:dyDescent="0.25">
      <c r="A370" s="784"/>
      <c r="B370" s="904">
        <f t="shared" si="444"/>
        <v>352</v>
      </c>
      <c r="C370" s="170" t="str">
        <f t="shared" ref="C370" si="505">+F370&amp;I370</f>
        <v>55EA</v>
      </c>
      <c r="D370" s="557"/>
      <c r="E370" s="170"/>
      <c r="F370" s="721">
        <v>55</v>
      </c>
      <c r="G370" s="2492" t="s">
        <v>3519</v>
      </c>
      <c r="H370" s="2039"/>
      <c r="I370" s="2008" t="s">
        <v>732</v>
      </c>
      <c r="J370" s="2039"/>
      <c r="K370" s="2039"/>
      <c r="L370" s="488"/>
      <c r="M370" s="2041">
        <v>60</v>
      </c>
      <c r="N370" s="2043">
        <v>1</v>
      </c>
      <c r="O370" s="1967">
        <f t="shared" ref="O370" si="506">+M370*N370</f>
        <v>60</v>
      </c>
      <c r="P370" s="2076" t="s">
        <v>39</v>
      </c>
      <c r="Q370" s="2008" t="s">
        <v>39</v>
      </c>
      <c r="R370" s="2011" t="s">
        <v>74</v>
      </c>
      <c r="S370" s="912">
        <f>SUMIF('Data Input sheet'!$B$118:$B$180,R370,'Data Input sheet'!$D$118:$D$180)</f>
        <v>152</v>
      </c>
      <c r="T370" s="2686">
        <f>ROUND(O370*S370,0)</f>
        <v>9120</v>
      </c>
      <c r="U370" s="2042">
        <v>48</v>
      </c>
      <c r="V370" s="1981">
        <f t="shared" ref="V370" si="507">ROUND(U370*O370,0)</f>
        <v>2880</v>
      </c>
      <c r="W370" s="2046">
        <v>199000</v>
      </c>
      <c r="X370" s="2502"/>
      <c r="Y370" s="2047">
        <v>0</v>
      </c>
      <c r="Z370" s="780">
        <f t="shared" ref="Z370" si="508">T370+V370+W370+Y370</f>
        <v>211000</v>
      </c>
      <c r="AA370" s="2007" t="s">
        <v>3518</v>
      </c>
      <c r="AB370" s="2007"/>
      <c r="AC370" s="765">
        <f t="shared" ref="AC370" si="509">IF(V370=0,0,ROUND(V370/O370,0))</f>
        <v>48</v>
      </c>
      <c r="AD370" s="781">
        <f t="shared" ref="AD370" si="510">IF(P370="E",+ROUND(H370*O370,0),0)</f>
        <v>0</v>
      </c>
      <c r="AE370" s="778">
        <f t="shared" ref="AE370" si="511">+AF370-AD370</f>
        <v>0</v>
      </c>
      <c r="AF370" s="781">
        <f t="shared" ref="AF370" si="512">+H370*O370</f>
        <v>0</v>
      </c>
      <c r="AG370" s="781">
        <f t="shared" ref="AG370" si="513">IF(P370="E",+ROUND(T370*H370,0),0)</f>
        <v>0</v>
      </c>
      <c r="AH370" s="781">
        <f t="shared" ref="AH370" si="514">+AI370-AG370</f>
        <v>0</v>
      </c>
      <c r="AI370" s="782">
        <f t="shared" ref="AI370" si="515">+H370*T370</f>
        <v>0</v>
      </c>
      <c r="AJ370" s="781">
        <f t="shared" ref="AJ370" si="516">IF(P370="E",+ROUND(V370*H370,0),0)</f>
        <v>0</v>
      </c>
      <c r="AK370" s="781">
        <f t="shared" ref="AK370" si="517">+AL370-AJ370</f>
        <v>0</v>
      </c>
      <c r="AL370" s="781">
        <f t="shared" ref="AL370" si="518">ROUND(V370*H370,0)</f>
        <v>0</v>
      </c>
      <c r="AM370" s="781">
        <f t="shared" ref="AM370" si="519">IF(Q370="E",+ROUND(W370*H370,0),0)</f>
        <v>0</v>
      </c>
      <c r="AN370" s="781">
        <f t="shared" ref="AN370" si="520">+AO370-AM370</f>
        <v>0</v>
      </c>
      <c r="AO370" s="781">
        <f t="shared" ref="AO370" si="521">ROUND(W370*H370,0)</f>
        <v>0</v>
      </c>
      <c r="AP370" s="781">
        <f t="shared" ref="AP370" si="522">IF(P370="E",+ROUND(Y370*H370,0),0)</f>
        <v>0</v>
      </c>
      <c r="AQ370" s="781">
        <f t="shared" ref="AQ370" si="523">+AR370-AP370</f>
        <v>0</v>
      </c>
      <c r="AR370" s="781">
        <f t="shared" ref="AR370" si="524">ROUND(Y370*H370,0)</f>
        <v>0</v>
      </c>
      <c r="AS370" s="783">
        <f t="shared" ref="AS370" si="525">+AR370+AO370+AL370+AI370</f>
        <v>0</v>
      </c>
    </row>
    <row r="371" spans="1:65" ht="23.85" customHeight="1" collapsed="1" x14ac:dyDescent="0.25">
      <c r="A371" s="787"/>
      <c r="B371" s="904">
        <f>+B370+1</f>
        <v>353</v>
      </c>
      <c r="C371" s="170" t="str">
        <f t="shared" si="443"/>
        <v/>
      </c>
      <c r="D371" s="906"/>
      <c r="E371" s="170"/>
      <c r="F371" s="721"/>
      <c r="G371" s="2628" t="s">
        <v>3280</v>
      </c>
      <c r="H371" s="2629">
        <v>1</v>
      </c>
      <c r="I371" s="2008"/>
      <c r="J371" s="1926"/>
      <c r="K371" s="1926"/>
      <c r="L371" s="488"/>
      <c r="M371" s="2009">
        <v>0</v>
      </c>
      <c r="N371" s="2010"/>
      <c r="O371" s="773">
        <f t="shared" ref="O371:O430" si="526">+M371*N371</f>
        <v>0</v>
      </c>
      <c r="P371" s="2076"/>
      <c r="Q371" s="2008"/>
      <c r="R371" s="2011"/>
      <c r="S371" s="912">
        <f>SUMIF('Data Input sheet'!$B$118:$B$180,R371,'Data Input sheet'!$D$118:$D$180)</f>
        <v>0</v>
      </c>
      <c r="T371" s="2685">
        <f t="shared" ref="T371" si="527">+O371*S371</f>
        <v>0</v>
      </c>
      <c r="U371" s="2013">
        <v>0</v>
      </c>
      <c r="V371" s="778">
        <f t="shared" ref="V371" si="528">ROUND(U371*O371,0)</f>
        <v>0</v>
      </c>
      <c r="W371" s="2010"/>
      <c r="X371" s="779"/>
      <c r="Y371" s="2012">
        <v>0</v>
      </c>
      <c r="Z371" s="780">
        <f t="shared" ref="Z371:Z430" si="529">T371+V371+W371+Y371</f>
        <v>0</v>
      </c>
      <c r="AA371" s="2007"/>
      <c r="AB371" s="2007"/>
      <c r="AC371" s="765"/>
      <c r="AD371" s="781">
        <f t="shared" si="468"/>
        <v>0</v>
      </c>
      <c r="AE371" s="778">
        <f t="shared" si="469"/>
        <v>0</v>
      </c>
      <c r="AF371" s="781">
        <f t="shared" si="470"/>
        <v>0</v>
      </c>
      <c r="AG371" s="781">
        <f t="shared" si="471"/>
        <v>0</v>
      </c>
      <c r="AH371" s="781">
        <f t="shared" si="472"/>
        <v>0</v>
      </c>
      <c r="AI371" s="782">
        <f t="shared" si="473"/>
        <v>0</v>
      </c>
      <c r="AJ371" s="781">
        <f t="shared" si="474"/>
        <v>0</v>
      </c>
      <c r="AK371" s="781">
        <f t="shared" si="475"/>
        <v>0</v>
      </c>
      <c r="AL371" s="781">
        <f t="shared" si="476"/>
        <v>0</v>
      </c>
      <c r="AM371" s="781">
        <f t="shared" si="477"/>
        <v>0</v>
      </c>
      <c r="AN371" s="781">
        <f t="shared" si="478"/>
        <v>0</v>
      </c>
      <c r="AO371" s="781">
        <f t="shared" si="479"/>
        <v>0</v>
      </c>
      <c r="AP371" s="781">
        <f t="shared" si="480"/>
        <v>0</v>
      </c>
      <c r="AQ371" s="781">
        <f t="shared" si="481"/>
        <v>0</v>
      </c>
      <c r="AR371" s="781">
        <f t="shared" si="482"/>
        <v>0</v>
      </c>
      <c r="AS371" s="783">
        <f t="shared" si="483"/>
        <v>0</v>
      </c>
      <c r="AT371" s="917"/>
      <c r="AV371" s="170"/>
      <c r="AW371" s="832"/>
      <c r="AX371" s="833" t="s">
        <v>3030</v>
      </c>
      <c r="BM371" s="2010"/>
    </row>
    <row r="372" spans="1:65" ht="15.75" hidden="1" outlineLevel="1" thickBot="1" x14ac:dyDescent="0.3">
      <c r="A372" s="784"/>
      <c r="B372" s="904">
        <f t="shared" si="444"/>
        <v>354</v>
      </c>
      <c r="C372" s="170" t="str">
        <f t="shared" si="443"/>
        <v/>
      </c>
      <c r="D372" s="557"/>
      <c r="E372" s="170"/>
      <c r="F372" s="170"/>
      <c r="G372" s="2491" t="s">
        <v>3173</v>
      </c>
      <c r="H372" s="2635"/>
      <c r="I372" s="2008"/>
      <c r="J372" s="2039"/>
      <c r="K372" s="2039"/>
      <c r="L372" s="488"/>
      <c r="M372" s="2041">
        <v>0</v>
      </c>
      <c r="N372" s="2043"/>
      <c r="O372" s="2499">
        <f t="shared" ref="O372:O383" si="530">+M372*N372</f>
        <v>0</v>
      </c>
      <c r="P372" s="2076"/>
      <c r="Q372" s="2008"/>
      <c r="R372" s="2011"/>
      <c r="S372" s="912">
        <f>SUMIF('Data Input sheet'!$B$118:$B$180,R372,'Data Input sheet'!$D$118:$D$180)</f>
        <v>0</v>
      </c>
      <c r="T372" s="2686">
        <f t="shared" ref="T372:T383" si="531">ROUND(O372*S372,0)</f>
        <v>0</v>
      </c>
      <c r="U372" s="2042"/>
      <c r="V372" s="2501">
        <f t="shared" ref="V372:V383" si="532">ROUND(U372*O372,0)</f>
        <v>0</v>
      </c>
      <c r="W372" s="2046"/>
      <c r="X372" s="2502"/>
      <c r="Y372" s="2047">
        <v>0</v>
      </c>
      <c r="Z372" s="2500">
        <f t="shared" ref="Z372:Z383" si="533">T372+V372+W372+Y372</f>
        <v>0</v>
      </c>
      <c r="AA372" s="2007"/>
      <c r="AB372" s="2007"/>
      <c r="AC372" s="765"/>
      <c r="AD372" s="781">
        <f t="shared" ref="AD372:AD422" si="534">IF(P372="E",+ROUND(H372*O372,0),0)</f>
        <v>0</v>
      </c>
      <c r="AE372" s="778">
        <f t="shared" ref="AE372:AE422" si="535">+AF372-AD372</f>
        <v>0</v>
      </c>
      <c r="AF372" s="781">
        <f t="shared" ref="AF372:AF422" si="536">+H372*O372</f>
        <v>0</v>
      </c>
      <c r="AG372" s="781">
        <f t="shared" ref="AG372:AG422" si="537">IF(P372="E",+ROUND(T372*H372,0),0)</f>
        <v>0</v>
      </c>
      <c r="AH372" s="781">
        <f t="shared" ref="AH372:AH422" si="538">+AI372-AG372</f>
        <v>0</v>
      </c>
      <c r="AI372" s="782">
        <f t="shared" ref="AI372:AI422" si="539">+H372*T372</f>
        <v>0</v>
      </c>
      <c r="AJ372" s="781">
        <f t="shared" ref="AJ372:AJ422" si="540">IF(P372="E",+ROUND(V372*H372,0),0)</f>
        <v>0</v>
      </c>
      <c r="AK372" s="781">
        <f t="shared" ref="AK372:AK422" si="541">+AL372-AJ372</f>
        <v>0</v>
      </c>
      <c r="AL372" s="781">
        <f t="shared" ref="AL372:AL422" si="542">ROUND(V372*H372,0)</f>
        <v>0</v>
      </c>
      <c r="AM372" s="781">
        <f t="shared" ref="AM372:AM422" si="543">IF(Q372="E",+ROUND(W372*H372,0),0)</f>
        <v>0</v>
      </c>
      <c r="AN372" s="781">
        <f t="shared" ref="AN372:AN422" si="544">+AO372-AM372</f>
        <v>0</v>
      </c>
      <c r="AO372" s="781">
        <f t="shared" ref="AO372:AO422" si="545">ROUND(W372*H372,0)</f>
        <v>0</v>
      </c>
      <c r="AP372" s="781">
        <f t="shared" ref="AP372:AP422" si="546">IF(P372="E",+ROUND(Y372*H372,0),0)</f>
        <v>0</v>
      </c>
      <c r="AQ372" s="781">
        <f t="shared" ref="AQ372:AQ422" si="547">+AR372-AP372</f>
        <v>0</v>
      </c>
      <c r="AR372" s="781">
        <f t="shared" ref="AR372:AR422" si="548">ROUND(Y372*H372,0)</f>
        <v>0</v>
      </c>
      <c r="AS372" s="783">
        <f t="shared" ref="AS372:AS422" si="549">+AR372+AO372+AL372+AI372</f>
        <v>0</v>
      </c>
      <c r="AT372" s="917"/>
      <c r="AV372" s="170"/>
      <c r="AW372" s="832"/>
      <c r="AX372" s="833"/>
    </row>
    <row r="373" spans="1:65" ht="15" hidden="1" outlineLevel="1" x14ac:dyDescent="0.25">
      <c r="A373" s="784"/>
      <c r="B373" s="904">
        <f t="shared" si="444"/>
        <v>355</v>
      </c>
      <c r="C373" s="170" t="str">
        <f t="shared" si="443"/>
        <v>63EA</v>
      </c>
      <c r="D373" s="557"/>
      <c r="E373" s="170"/>
      <c r="F373" s="170">
        <v>63</v>
      </c>
      <c r="G373" s="2493" t="s">
        <v>3268</v>
      </c>
      <c r="H373" s="2039"/>
      <c r="I373" s="2008" t="s">
        <v>732</v>
      </c>
      <c r="J373" s="2039"/>
      <c r="K373" s="2039"/>
      <c r="L373" s="488"/>
      <c r="M373" s="2041">
        <v>0</v>
      </c>
      <c r="N373" s="2043">
        <v>1</v>
      </c>
      <c r="O373" s="1967">
        <f t="shared" si="530"/>
        <v>0</v>
      </c>
      <c r="P373" s="2076" t="s">
        <v>39</v>
      </c>
      <c r="Q373" s="2008" t="s">
        <v>39</v>
      </c>
      <c r="R373" s="2011" t="s">
        <v>74</v>
      </c>
      <c r="S373" s="912">
        <f>SUMIF('Data Input sheet'!$B$118:$B$180,R373,'Data Input sheet'!$D$118:$D$180)</f>
        <v>152</v>
      </c>
      <c r="T373" s="2686">
        <f t="shared" si="531"/>
        <v>0</v>
      </c>
      <c r="U373" s="2042"/>
      <c r="V373" s="1981">
        <f t="shared" si="532"/>
        <v>0</v>
      </c>
      <c r="W373" s="2046">
        <v>30</v>
      </c>
      <c r="X373" s="2502"/>
      <c r="Y373" s="2047">
        <v>0</v>
      </c>
      <c r="Z373" s="780">
        <f t="shared" si="533"/>
        <v>30</v>
      </c>
      <c r="AA373" s="2007"/>
      <c r="AB373" s="2007"/>
      <c r="AC373" s="765"/>
      <c r="AD373" s="781">
        <f t="shared" si="534"/>
        <v>0</v>
      </c>
      <c r="AE373" s="778">
        <f t="shared" si="535"/>
        <v>0</v>
      </c>
      <c r="AF373" s="781">
        <f t="shared" si="536"/>
        <v>0</v>
      </c>
      <c r="AG373" s="781">
        <f t="shared" si="537"/>
        <v>0</v>
      </c>
      <c r="AH373" s="781">
        <f t="shared" si="538"/>
        <v>0</v>
      </c>
      <c r="AI373" s="782">
        <f t="shared" si="539"/>
        <v>0</v>
      </c>
      <c r="AJ373" s="781">
        <f t="shared" si="540"/>
        <v>0</v>
      </c>
      <c r="AK373" s="781">
        <f t="shared" si="541"/>
        <v>0</v>
      </c>
      <c r="AL373" s="781">
        <f t="shared" si="542"/>
        <v>0</v>
      </c>
      <c r="AM373" s="781">
        <f t="shared" si="543"/>
        <v>0</v>
      </c>
      <c r="AN373" s="781">
        <f t="shared" si="544"/>
        <v>0</v>
      </c>
      <c r="AO373" s="781">
        <f t="shared" si="545"/>
        <v>0</v>
      </c>
      <c r="AP373" s="781">
        <f t="shared" si="546"/>
        <v>0</v>
      </c>
      <c r="AQ373" s="781">
        <f t="shared" si="547"/>
        <v>0</v>
      </c>
      <c r="AR373" s="781">
        <f t="shared" si="548"/>
        <v>0</v>
      </c>
      <c r="AS373" s="783">
        <f t="shared" si="549"/>
        <v>0</v>
      </c>
    </row>
    <row r="374" spans="1:65" ht="15" hidden="1" outlineLevel="1" x14ac:dyDescent="0.25">
      <c r="A374" s="784"/>
      <c r="B374" s="904">
        <f t="shared" si="444"/>
        <v>356</v>
      </c>
      <c r="C374" s="170" t="str">
        <f t="shared" si="443"/>
        <v>63EA</v>
      </c>
      <c r="D374" s="557"/>
      <c r="E374" s="170"/>
      <c r="F374" s="170">
        <v>63</v>
      </c>
      <c r="G374" s="2493" t="s">
        <v>3267</v>
      </c>
      <c r="H374" s="2039"/>
      <c r="I374" s="2008" t="s">
        <v>732</v>
      </c>
      <c r="J374" s="2039"/>
      <c r="K374" s="2039"/>
      <c r="L374" s="488"/>
      <c r="M374" s="2041">
        <v>0</v>
      </c>
      <c r="N374" s="2043">
        <v>1</v>
      </c>
      <c r="O374" s="1967">
        <f t="shared" si="530"/>
        <v>0</v>
      </c>
      <c r="P374" s="2076" t="s">
        <v>39</v>
      </c>
      <c r="Q374" s="2008" t="s">
        <v>39</v>
      </c>
      <c r="R374" s="2011" t="s">
        <v>74</v>
      </c>
      <c r="S374" s="912">
        <f>SUMIF('Data Input sheet'!$B$118:$B$180,R374,'Data Input sheet'!$D$118:$D$180)</f>
        <v>152</v>
      </c>
      <c r="T374" s="2686">
        <f t="shared" si="531"/>
        <v>0</v>
      </c>
      <c r="U374" s="2042"/>
      <c r="V374" s="1981">
        <f t="shared" si="532"/>
        <v>0</v>
      </c>
      <c r="W374" s="2046">
        <v>37</v>
      </c>
      <c r="X374" s="2502"/>
      <c r="Y374" s="2047">
        <v>0</v>
      </c>
      <c r="Z374" s="780">
        <f t="shared" si="533"/>
        <v>37</v>
      </c>
      <c r="AA374" s="2007"/>
      <c r="AB374" s="2007"/>
      <c r="AC374" s="765"/>
      <c r="AD374" s="781">
        <f t="shared" si="534"/>
        <v>0</v>
      </c>
      <c r="AE374" s="778">
        <f t="shared" si="535"/>
        <v>0</v>
      </c>
      <c r="AF374" s="781">
        <f t="shared" si="536"/>
        <v>0</v>
      </c>
      <c r="AG374" s="781">
        <f t="shared" si="537"/>
        <v>0</v>
      </c>
      <c r="AH374" s="781">
        <f t="shared" si="538"/>
        <v>0</v>
      </c>
      <c r="AI374" s="782">
        <f t="shared" si="539"/>
        <v>0</v>
      </c>
      <c r="AJ374" s="781">
        <f t="shared" si="540"/>
        <v>0</v>
      </c>
      <c r="AK374" s="781">
        <f t="shared" si="541"/>
        <v>0</v>
      </c>
      <c r="AL374" s="781">
        <f t="shared" si="542"/>
        <v>0</v>
      </c>
      <c r="AM374" s="781">
        <f t="shared" si="543"/>
        <v>0</v>
      </c>
      <c r="AN374" s="781">
        <f t="shared" si="544"/>
        <v>0</v>
      </c>
      <c r="AO374" s="781">
        <f t="shared" si="545"/>
        <v>0</v>
      </c>
      <c r="AP374" s="781">
        <f t="shared" si="546"/>
        <v>0</v>
      </c>
      <c r="AQ374" s="781">
        <f t="shared" si="547"/>
        <v>0</v>
      </c>
      <c r="AR374" s="781">
        <f t="shared" si="548"/>
        <v>0</v>
      </c>
      <c r="AS374" s="783">
        <f t="shared" si="549"/>
        <v>0</v>
      </c>
    </row>
    <row r="375" spans="1:65" ht="25.5" hidden="1" outlineLevel="1" x14ac:dyDescent="0.25">
      <c r="A375" s="784"/>
      <c r="B375" s="904">
        <f t="shared" si="444"/>
        <v>357</v>
      </c>
      <c r="C375" s="170" t="str">
        <f t="shared" si="443"/>
        <v>63EA</v>
      </c>
      <c r="D375" s="557"/>
      <c r="E375" s="170"/>
      <c r="F375" s="170">
        <v>63</v>
      </c>
      <c r="G375" s="2493" t="s">
        <v>1735</v>
      </c>
      <c r="H375" s="2039"/>
      <c r="I375" s="2008" t="s">
        <v>732</v>
      </c>
      <c r="J375" s="2039"/>
      <c r="K375" s="2039"/>
      <c r="L375" s="488"/>
      <c r="M375" s="2041">
        <v>0</v>
      </c>
      <c r="N375" s="2043">
        <v>1</v>
      </c>
      <c r="O375" s="1967">
        <f t="shared" si="530"/>
        <v>0</v>
      </c>
      <c r="P375" s="2076" t="s">
        <v>39</v>
      </c>
      <c r="Q375" s="2008" t="s">
        <v>39</v>
      </c>
      <c r="R375" s="2011" t="s">
        <v>74</v>
      </c>
      <c r="S375" s="912">
        <f>SUMIF('Data Input sheet'!$B$118:$B$180,R375,'Data Input sheet'!$D$118:$D$180)</f>
        <v>152</v>
      </c>
      <c r="T375" s="2686">
        <f t="shared" si="531"/>
        <v>0</v>
      </c>
      <c r="U375" s="2042">
        <v>30</v>
      </c>
      <c r="V375" s="1981">
        <f t="shared" si="532"/>
        <v>0</v>
      </c>
      <c r="W375" s="2046">
        <v>208</v>
      </c>
      <c r="X375" s="2502"/>
      <c r="Y375" s="2047">
        <v>0</v>
      </c>
      <c r="Z375" s="780">
        <f t="shared" si="533"/>
        <v>208</v>
      </c>
      <c r="AA375" s="2007" t="s">
        <v>3266</v>
      </c>
      <c r="AB375" s="2007"/>
      <c r="AC375" s="765"/>
      <c r="AD375" s="781">
        <f t="shared" si="534"/>
        <v>0</v>
      </c>
      <c r="AE375" s="778">
        <f t="shared" si="535"/>
        <v>0</v>
      </c>
      <c r="AF375" s="781">
        <f t="shared" si="536"/>
        <v>0</v>
      </c>
      <c r="AG375" s="781">
        <f t="shared" si="537"/>
        <v>0</v>
      </c>
      <c r="AH375" s="781">
        <f t="shared" si="538"/>
        <v>0</v>
      </c>
      <c r="AI375" s="782">
        <f t="shared" si="539"/>
        <v>0</v>
      </c>
      <c r="AJ375" s="781">
        <f t="shared" si="540"/>
        <v>0</v>
      </c>
      <c r="AK375" s="781">
        <f t="shared" si="541"/>
        <v>0</v>
      </c>
      <c r="AL375" s="781">
        <f t="shared" si="542"/>
        <v>0</v>
      </c>
      <c r="AM375" s="781">
        <f t="shared" si="543"/>
        <v>0</v>
      </c>
      <c r="AN375" s="781">
        <f t="shared" si="544"/>
        <v>0</v>
      </c>
      <c r="AO375" s="781">
        <f t="shared" si="545"/>
        <v>0</v>
      </c>
      <c r="AP375" s="781">
        <f t="shared" si="546"/>
        <v>0</v>
      </c>
      <c r="AQ375" s="781">
        <f t="shared" si="547"/>
        <v>0</v>
      </c>
      <c r="AR375" s="781">
        <f t="shared" si="548"/>
        <v>0</v>
      </c>
      <c r="AS375" s="783">
        <f t="shared" si="549"/>
        <v>0</v>
      </c>
      <c r="AT375" s="917"/>
      <c r="AV375" s="170"/>
      <c r="AW375" s="832"/>
      <c r="AX375" s="833"/>
    </row>
    <row r="376" spans="1:65" ht="25.5" hidden="1" outlineLevel="1" x14ac:dyDescent="0.25">
      <c r="A376" s="784"/>
      <c r="B376" s="904">
        <f t="shared" si="444"/>
        <v>358</v>
      </c>
      <c r="C376" s="170" t="str">
        <f t="shared" si="443"/>
        <v>63EA</v>
      </c>
      <c r="D376" s="557"/>
      <c r="E376" s="170"/>
      <c r="F376" s="170">
        <v>63</v>
      </c>
      <c r="G376" s="2493" t="s">
        <v>1736</v>
      </c>
      <c r="H376" s="2039"/>
      <c r="I376" s="2008" t="s">
        <v>732</v>
      </c>
      <c r="J376" s="2039"/>
      <c r="K376" s="2039"/>
      <c r="L376" s="488"/>
      <c r="M376" s="2041">
        <v>0</v>
      </c>
      <c r="N376" s="2043">
        <v>1</v>
      </c>
      <c r="O376" s="1967">
        <f t="shared" si="530"/>
        <v>0</v>
      </c>
      <c r="P376" s="2076" t="s">
        <v>39</v>
      </c>
      <c r="Q376" s="2008" t="s">
        <v>39</v>
      </c>
      <c r="R376" s="2011" t="s">
        <v>74</v>
      </c>
      <c r="S376" s="912">
        <f>SUMIF('Data Input sheet'!$B$118:$B$180,R376,'Data Input sheet'!$D$118:$D$180)</f>
        <v>152</v>
      </c>
      <c r="T376" s="2686">
        <f t="shared" si="531"/>
        <v>0</v>
      </c>
      <c r="U376" s="2042">
        <v>30</v>
      </c>
      <c r="V376" s="1981">
        <f t="shared" si="532"/>
        <v>0</v>
      </c>
      <c r="W376" s="2046">
        <v>76</v>
      </c>
      <c r="X376" s="2502"/>
      <c r="Y376" s="2047">
        <v>0</v>
      </c>
      <c r="Z376" s="780">
        <f t="shared" si="533"/>
        <v>76</v>
      </c>
      <c r="AA376" s="2007" t="s">
        <v>3266</v>
      </c>
      <c r="AB376" s="2007"/>
      <c r="AC376" s="765"/>
      <c r="AD376" s="781">
        <f t="shared" si="534"/>
        <v>0</v>
      </c>
      <c r="AE376" s="778">
        <f t="shared" si="535"/>
        <v>0</v>
      </c>
      <c r="AF376" s="781">
        <f t="shared" si="536"/>
        <v>0</v>
      </c>
      <c r="AG376" s="781">
        <f t="shared" si="537"/>
        <v>0</v>
      </c>
      <c r="AH376" s="781">
        <f t="shared" si="538"/>
        <v>0</v>
      </c>
      <c r="AI376" s="782">
        <f t="shared" si="539"/>
        <v>0</v>
      </c>
      <c r="AJ376" s="781">
        <f t="shared" si="540"/>
        <v>0</v>
      </c>
      <c r="AK376" s="781">
        <f t="shared" si="541"/>
        <v>0</v>
      </c>
      <c r="AL376" s="781">
        <f t="shared" si="542"/>
        <v>0</v>
      </c>
      <c r="AM376" s="781">
        <f t="shared" si="543"/>
        <v>0</v>
      </c>
      <c r="AN376" s="781">
        <f t="shared" si="544"/>
        <v>0</v>
      </c>
      <c r="AO376" s="781">
        <f t="shared" si="545"/>
        <v>0</v>
      </c>
      <c r="AP376" s="781">
        <f t="shared" si="546"/>
        <v>0</v>
      </c>
      <c r="AQ376" s="781">
        <f t="shared" si="547"/>
        <v>0</v>
      </c>
      <c r="AR376" s="781">
        <f t="shared" si="548"/>
        <v>0</v>
      </c>
      <c r="AS376" s="783">
        <f t="shared" si="549"/>
        <v>0</v>
      </c>
      <c r="AT376" s="917"/>
      <c r="AV376" s="170"/>
      <c r="AW376" s="832"/>
      <c r="AX376" s="833"/>
    </row>
    <row r="377" spans="1:65" ht="25.5" hidden="1" outlineLevel="1" x14ac:dyDescent="0.25">
      <c r="A377" s="784"/>
      <c r="B377" s="904">
        <f t="shared" si="444"/>
        <v>359</v>
      </c>
      <c r="C377" s="170" t="str">
        <f t="shared" si="443"/>
        <v>63EA</v>
      </c>
      <c r="D377" s="557"/>
      <c r="E377" s="170"/>
      <c r="F377" s="170">
        <v>63</v>
      </c>
      <c r="G377" s="2493" t="s">
        <v>3128</v>
      </c>
      <c r="H377" s="2039"/>
      <c r="I377" s="2008" t="s">
        <v>732</v>
      </c>
      <c r="J377" s="2039"/>
      <c r="K377" s="2039"/>
      <c r="L377" s="488"/>
      <c r="M377" s="2041">
        <v>0</v>
      </c>
      <c r="N377" s="2043">
        <v>1</v>
      </c>
      <c r="O377" s="1967">
        <f t="shared" si="530"/>
        <v>0</v>
      </c>
      <c r="P377" s="2076" t="s">
        <v>39</v>
      </c>
      <c r="Q377" s="2008" t="s">
        <v>39</v>
      </c>
      <c r="R377" s="2011" t="s">
        <v>74</v>
      </c>
      <c r="S377" s="912">
        <f>SUMIF('Data Input sheet'!$B$118:$B$180,R377,'Data Input sheet'!$D$118:$D$180)</f>
        <v>152</v>
      </c>
      <c r="T377" s="2686">
        <f t="shared" si="531"/>
        <v>0</v>
      </c>
      <c r="U377" s="2042">
        <v>30</v>
      </c>
      <c r="V377" s="1981">
        <f t="shared" si="532"/>
        <v>0</v>
      </c>
      <c r="W377" s="2046">
        <v>91</v>
      </c>
      <c r="X377" s="2502"/>
      <c r="Y377" s="2047">
        <v>0</v>
      </c>
      <c r="Z377" s="780">
        <f t="shared" si="533"/>
        <v>91</v>
      </c>
      <c r="AA377" s="2007" t="s">
        <v>3266</v>
      </c>
      <c r="AB377" s="2007"/>
      <c r="AC377" s="765"/>
      <c r="AD377" s="781">
        <f t="shared" si="534"/>
        <v>0</v>
      </c>
      <c r="AE377" s="778">
        <f t="shared" si="535"/>
        <v>0</v>
      </c>
      <c r="AF377" s="781">
        <f t="shared" si="536"/>
        <v>0</v>
      </c>
      <c r="AG377" s="781">
        <f t="shared" si="537"/>
        <v>0</v>
      </c>
      <c r="AH377" s="781">
        <f t="shared" si="538"/>
        <v>0</v>
      </c>
      <c r="AI377" s="782">
        <f t="shared" si="539"/>
        <v>0</v>
      </c>
      <c r="AJ377" s="781">
        <f t="shared" si="540"/>
        <v>0</v>
      </c>
      <c r="AK377" s="781">
        <f t="shared" si="541"/>
        <v>0</v>
      </c>
      <c r="AL377" s="781">
        <f t="shared" si="542"/>
        <v>0</v>
      </c>
      <c r="AM377" s="781">
        <f t="shared" si="543"/>
        <v>0</v>
      </c>
      <c r="AN377" s="781">
        <f t="shared" si="544"/>
        <v>0</v>
      </c>
      <c r="AO377" s="781">
        <f t="shared" si="545"/>
        <v>0</v>
      </c>
      <c r="AP377" s="781">
        <f t="shared" si="546"/>
        <v>0</v>
      </c>
      <c r="AQ377" s="781">
        <f t="shared" si="547"/>
        <v>0</v>
      </c>
      <c r="AR377" s="781">
        <f t="shared" si="548"/>
        <v>0</v>
      </c>
      <c r="AS377" s="783">
        <f t="shared" si="549"/>
        <v>0</v>
      </c>
      <c r="AT377" s="917"/>
      <c r="AV377" s="170"/>
      <c r="AW377" s="832"/>
      <c r="AX377" s="833"/>
    </row>
    <row r="378" spans="1:65" ht="25.5" hidden="1" outlineLevel="1" x14ac:dyDescent="0.25">
      <c r="A378" s="784"/>
      <c r="B378" s="904">
        <f t="shared" si="444"/>
        <v>360</v>
      </c>
      <c r="C378" s="170" t="str">
        <f t="shared" si="443"/>
        <v>63EA</v>
      </c>
      <c r="D378" s="557"/>
      <c r="E378" s="170"/>
      <c r="F378" s="170">
        <v>63</v>
      </c>
      <c r="G378" s="2493" t="s">
        <v>3129</v>
      </c>
      <c r="H378" s="2039"/>
      <c r="I378" s="2008" t="s">
        <v>732</v>
      </c>
      <c r="J378" s="2039"/>
      <c r="K378" s="2039"/>
      <c r="L378" s="488"/>
      <c r="M378" s="2041">
        <v>0</v>
      </c>
      <c r="N378" s="2043">
        <v>1</v>
      </c>
      <c r="O378" s="1967">
        <f t="shared" si="530"/>
        <v>0</v>
      </c>
      <c r="P378" s="2076" t="s">
        <v>39</v>
      </c>
      <c r="Q378" s="2008" t="s">
        <v>39</v>
      </c>
      <c r="R378" s="2011" t="s">
        <v>74</v>
      </c>
      <c r="S378" s="912">
        <f>SUMIF('Data Input sheet'!$B$118:$B$180,R378,'Data Input sheet'!$D$118:$D$180)</f>
        <v>152</v>
      </c>
      <c r="T378" s="2686">
        <f t="shared" si="531"/>
        <v>0</v>
      </c>
      <c r="U378" s="2042">
        <v>30</v>
      </c>
      <c r="V378" s="1981">
        <f t="shared" si="532"/>
        <v>0</v>
      </c>
      <c r="W378" s="2046">
        <v>86</v>
      </c>
      <c r="X378" s="2502"/>
      <c r="Y378" s="2047">
        <v>0</v>
      </c>
      <c r="Z378" s="780">
        <f t="shared" si="533"/>
        <v>86</v>
      </c>
      <c r="AA378" s="2007" t="s">
        <v>3266</v>
      </c>
      <c r="AB378" s="2007"/>
      <c r="AC378" s="765"/>
      <c r="AD378" s="781">
        <f t="shared" si="534"/>
        <v>0</v>
      </c>
      <c r="AE378" s="778">
        <f t="shared" si="535"/>
        <v>0</v>
      </c>
      <c r="AF378" s="781">
        <f t="shared" si="536"/>
        <v>0</v>
      </c>
      <c r="AG378" s="781">
        <f t="shared" si="537"/>
        <v>0</v>
      </c>
      <c r="AH378" s="781">
        <f t="shared" si="538"/>
        <v>0</v>
      </c>
      <c r="AI378" s="782">
        <f t="shared" si="539"/>
        <v>0</v>
      </c>
      <c r="AJ378" s="781">
        <f t="shared" si="540"/>
        <v>0</v>
      </c>
      <c r="AK378" s="781">
        <f t="shared" si="541"/>
        <v>0</v>
      </c>
      <c r="AL378" s="781">
        <f t="shared" si="542"/>
        <v>0</v>
      </c>
      <c r="AM378" s="781">
        <f t="shared" si="543"/>
        <v>0</v>
      </c>
      <c r="AN378" s="781">
        <f t="shared" si="544"/>
        <v>0</v>
      </c>
      <c r="AO378" s="781">
        <f t="shared" si="545"/>
        <v>0</v>
      </c>
      <c r="AP378" s="781">
        <f t="shared" si="546"/>
        <v>0</v>
      </c>
      <c r="AQ378" s="781">
        <f t="shared" si="547"/>
        <v>0</v>
      </c>
      <c r="AR378" s="781">
        <f t="shared" si="548"/>
        <v>0</v>
      </c>
      <c r="AS378" s="783">
        <f t="shared" si="549"/>
        <v>0</v>
      </c>
      <c r="AT378" s="917"/>
      <c r="AV378" s="170"/>
      <c r="AW378" s="832"/>
      <c r="AX378" s="833"/>
    </row>
    <row r="379" spans="1:65" ht="25.5" hidden="1" outlineLevel="1" x14ac:dyDescent="0.25">
      <c r="A379" s="784"/>
      <c r="B379" s="904">
        <f t="shared" si="444"/>
        <v>361</v>
      </c>
      <c r="C379" s="170" t="str">
        <f t="shared" si="443"/>
        <v>63EA</v>
      </c>
      <c r="D379" s="557"/>
      <c r="E379" s="170"/>
      <c r="F379" s="170">
        <v>63</v>
      </c>
      <c r="G379" s="2493" t="s">
        <v>1737</v>
      </c>
      <c r="H379" s="2039"/>
      <c r="I379" s="2008" t="s">
        <v>732</v>
      </c>
      <c r="J379" s="2039"/>
      <c r="K379" s="2039"/>
      <c r="L379" s="488"/>
      <c r="M379" s="2041">
        <v>0</v>
      </c>
      <c r="N379" s="2043">
        <v>1</v>
      </c>
      <c r="O379" s="1967">
        <f t="shared" si="530"/>
        <v>0</v>
      </c>
      <c r="P379" s="2076" t="s">
        <v>39</v>
      </c>
      <c r="Q379" s="2008" t="s">
        <v>39</v>
      </c>
      <c r="R379" s="2011" t="s">
        <v>74</v>
      </c>
      <c r="S379" s="912">
        <f>SUMIF('Data Input sheet'!$B$118:$B$180,R379,'Data Input sheet'!$D$118:$D$180)</f>
        <v>152</v>
      </c>
      <c r="T379" s="2686">
        <f t="shared" si="531"/>
        <v>0</v>
      </c>
      <c r="U379" s="2042">
        <v>30</v>
      </c>
      <c r="V379" s="1981">
        <f t="shared" si="532"/>
        <v>0</v>
      </c>
      <c r="W379" s="2046">
        <v>106</v>
      </c>
      <c r="X379" s="2502"/>
      <c r="Y379" s="2047">
        <v>0</v>
      </c>
      <c r="Z379" s="780">
        <f t="shared" si="533"/>
        <v>106</v>
      </c>
      <c r="AA379" s="2007" t="s">
        <v>3266</v>
      </c>
      <c r="AB379" s="2007"/>
      <c r="AC379" s="765"/>
      <c r="AD379" s="781">
        <f t="shared" si="534"/>
        <v>0</v>
      </c>
      <c r="AE379" s="778">
        <f t="shared" si="535"/>
        <v>0</v>
      </c>
      <c r="AF379" s="781">
        <f t="shared" si="536"/>
        <v>0</v>
      </c>
      <c r="AG379" s="781">
        <f t="shared" si="537"/>
        <v>0</v>
      </c>
      <c r="AH379" s="781">
        <f t="shared" si="538"/>
        <v>0</v>
      </c>
      <c r="AI379" s="782">
        <f t="shared" si="539"/>
        <v>0</v>
      </c>
      <c r="AJ379" s="781">
        <f t="shared" si="540"/>
        <v>0</v>
      </c>
      <c r="AK379" s="781">
        <f t="shared" si="541"/>
        <v>0</v>
      </c>
      <c r="AL379" s="781">
        <f t="shared" si="542"/>
        <v>0</v>
      </c>
      <c r="AM379" s="781">
        <f t="shared" si="543"/>
        <v>0</v>
      </c>
      <c r="AN379" s="781">
        <f t="shared" si="544"/>
        <v>0</v>
      </c>
      <c r="AO379" s="781">
        <f t="shared" si="545"/>
        <v>0</v>
      </c>
      <c r="AP379" s="781">
        <f t="shared" si="546"/>
        <v>0</v>
      </c>
      <c r="AQ379" s="781">
        <f t="shared" si="547"/>
        <v>0</v>
      </c>
      <c r="AR379" s="781">
        <f t="shared" si="548"/>
        <v>0</v>
      </c>
      <c r="AS379" s="783">
        <f t="shared" si="549"/>
        <v>0</v>
      </c>
      <c r="AT379" s="917"/>
      <c r="AV379" s="170"/>
      <c r="AW379" s="832"/>
      <c r="AX379" s="833"/>
    </row>
    <row r="380" spans="1:65" ht="25.5" hidden="1" outlineLevel="1" x14ac:dyDescent="0.25">
      <c r="A380" s="784"/>
      <c r="B380" s="904">
        <f t="shared" si="444"/>
        <v>362</v>
      </c>
      <c r="C380" s="170" t="str">
        <f t="shared" si="443"/>
        <v>63EA</v>
      </c>
      <c r="D380" s="557"/>
      <c r="E380" s="170"/>
      <c r="F380" s="170">
        <v>63</v>
      </c>
      <c r="G380" s="2493" t="s">
        <v>3130</v>
      </c>
      <c r="H380" s="2039"/>
      <c r="I380" s="2008" t="s">
        <v>732</v>
      </c>
      <c r="J380" s="2039"/>
      <c r="K380" s="2039"/>
      <c r="L380" s="488"/>
      <c r="M380" s="2041">
        <v>0</v>
      </c>
      <c r="N380" s="2043">
        <v>1</v>
      </c>
      <c r="O380" s="1967">
        <f t="shared" si="530"/>
        <v>0</v>
      </c>
      <c r="P380" s="2076" t="s">
        <v>39</v>
      </c>
      <c r="Q380" s="2008" t="s">
        <v>39</v>
      </c>
      <c r="R380" s="2011" t="s">
        <v>74</v>
      </c>
      <c r="S380" s="912">
        <f>SUMIF('Data Input sheet'!$B$118:$B$180,R380,'Data Input sheet'!$D$118:$D$180)</f>
        <v>152</v>
      </c>
      <c r="T380" s="2686">
        <f t="shared" si="531"/>
        <v>0</v>
      </c>
      <c r="U380" s="2042">
        <v>30</v>
      </c>
      <c r="V380" s="1981">
        <f t="shared" si="532"/>
        <v>0</v>
      </c>
      <c r="W380" s="2046">
        <v>101</v>
      </c>
      <c r="X380" s="2502"/>
      <c r="Y380" s="2047">
        <v>0</v>
      </c>
      <c r="Z380" s="780">
        <f t="shared" si="533"/>
        <v>101</v>
      </c>
      <c r="AA380" s="2007" t="s">
        <v>3266</v>
      </c>
      <c r="AB380" s="2007"/>
      <c r="AC380" s="765"/>
      <c r="AD380" s="781">
        <f t="shared" si="534"/>
        <v>0</v>
      </c>
      <c r="AE380" s="778">
        <f t="shared" si="535"/>
        <v>0</v>
      </c>
      <c r="AF380" s="781">
        <f t="shared" si="536"/>
        <v>0</v>
      </c>
      <c r="AG380" s="781">
        <f t="shared" si="537"/>
        <v>0</v>
      </c>
      <c r="AH380" s="781">
        <f t="shared" si="538"/>
        <v>0</v>
      </c>
      <c r="AI380" s="782">
        <f t="shared" si="539"/>
        <v>0</v>
      </c>
      <c r="AJ380" s="781">
        <f t="shared" si="540"/>
        <v>0</v>
      </c>
      <c r="AK380" s="781">
        <f t="shared" si="541"/>
        <v>0</v>
      </c>
      <c r="AL380" s="781">
        <f t="shared" si="542"/>
        <v>0</v>
      </c>
      <c r="AM380" s="781">
        <f t="shared" si="543"/>
        <v>0</v>
      </c>
      <c r="AN380" s="781">
        <f t="shared" si="544"/>
        <v>0</v>
      </c>
      <c r="AO380" s="781">
        <f t="shared" si="545"/>
        <v>0</v>
      </c>
      <c r="AP380" s="781">
        <f t="shared" si="546"/>
        <v>0</v>
      </c>
      <c r="AQ380" s="781">
        <f t="shared" si="547"/>
        <v>0</v>
      </c>
      <c r="AR380" s="781">
        <f t="shared" si="548"/>
        <v>0</v>
      </c>
      <c r="AS380" s="783">
        <f t="shared" si="549"/>
        <v>0</v>
      </c>
      <c r="AT380" s="917"/>
      <c r="AV380" s="170"/>
      <c r="AW380" s="832"/>
      <c r="AX380" s="833"/>
    </row>
    <row r="381" spans="1:65" ht="25.5" hidden="1" outlineLevel="1" x14ac:dyDescent="0.25">
      <c r="A381" s="784"/>
      <c r="B381" s="904">
        <f t="shared" si="444"/>
        <v>363</v>
      </c>
      <c r="C381" s="170" t="str">
        <f t="shared" si="443"/>
        <v>63EA</v>
      </c>
      <c r="D381" s="557"/>
      <c r="E381" s="170"/>
      <c r="F381" s="170">
        <v>63</v>
      </c>
      <c r="G381" s="2493" t="s">
        <v>1738</v>
      </c>
      <c r="H381" s="2039"/>
      <c r="I381" s="2008" t="s">
        <v>732</v>
      </c>
      <c r="J381" s="2039"/>
      <c r="K381" s="2039"/>
      <c r="L381" s="488"/>
      <c r="M381" s="2041">
        <v>0</v>
      </c>
      <c r="N381" s="2043">
        <v>1</v>
      </c>
      <c r="O381" s="1967">
        <f t="shared" si="530"/>
        <v>0</v>
      </c>
      <c r="P381" s="2076" t="s">
        <v>39</v>
      </c>
      <c r="Q381" s="2008" t="s">
        <v>39</v>
      </c>
      <c r="R381" s="2011" t="s">
        <v>74</v>
      </c>
      <c r="S381" s="912">
        <f>SUMIF('Data Input sheet'!$B$118:$B$180,R381,'Data Input sheet'!$D$118:$D$180)</f>
        <v>152</v>
      </c>
      <c r="T381" s="2686">
        <f t="shared" si="531"/>
        <v>0</v>
      </c>
      <c r="U381" s="2042">
        <v>30</v>
      </c>
      <c r="V381" s="1981">
        <f t="shared" si="532"/>
        <v>0</v>
      </c>
      <c r="W381" s="2046">
        <v>134</v>
      </c>
      <c r="X381" s="2502"/>
      <c r="Y381" s="2047">
        <v>0</v>
      </c>
      <c r="Z381" s="780">
        <f t="shared" si="533"/>
        <v>134</v>
      </c>
      <c r="AA381" s="2007" t="s">
        <v>3266</v>
      </c>
      <c r="AB381" s="2007"/>
      <c r="AC381" s="765"/>
      <c r="AD381" s="781">
        <f t="shared" si="534"/>
        <v>0</v>
      </c>
      <c r="AE381" s="778">
        <f t="shared" si="535"/>
        <v>0</v>
      </c>
      <c r="AF381" s="781">
        <f t="shared" si="536"/>
        <v>0</v>
      </c>
      <c r="AG381" s="781">
        <f t="shared" si="537"/>
        <v>0</v>
      </c>
      <c r="AH381" s="781">
        <f t="shared" si="538"/>
        <v>0</v>
      </c>
      <c r="AI381" s="782">
        <f t="shared" si="539"/>
        <v>0</v>
      </c>
      <c r="AJ381" s="781">
        <f t="shared" si="540"/>
        <v>0</v>
      </c>
      <c r="AK381" s="781">
        <f t="shared" si="541"/>
        <v>0</v>
      </c>
      <c r="AL381" s="781">
        <f t="shared" si="542"/>
        <v>0</v>
      </c>
      <c r="AM381" s="781">
        <f t="shared" si="543"/>
        <v>0</v>
      </c>
      <c r="AN381" s="781">
        <f t="shared" si="544"/>
        <v>0</v>
      </c>
      <c r="AO381" s="781">
        <f t="shared" si="545"/>
        <v>0</v>
      </c>
      <c r="AP381" s="781">
        <f t="shared" si="546"/>
        <v>0</v>
      </c>
      <c r="AQ381" s="781">
        <f t="shared" si="547"/>
        <v>0</v>
      </c>
      <c r="AR381" s="781">
        <f t="shared" si="548"/>
        <v>0</v>
      </c>
      <c r="AS381" s="783">
        <f t="shared" si="549"/>
        <v>0</v>
      </c>
      <c r="AT381" s="917"/>
      <c r="AV381" s="170"/>
      <c r="AW381" s="832"/>
      <c r="AX381" s="833"/>
    </row>
    <row r="382" spans="1:65" ht="15" hidden="1" outlineLevel="1" x14ac:dyDescent="0.25">
      <c r="A382" s="784"/>
      <c r="B382" s="904">
        <f t="shared" si="444"/>
        <v>364</v>
      </c>
      <c r="C382" s="170" t="str">
        <f t="shared" si="443"/>
        <v>63EA</v>
      </c>
      <c r="D382" s="557"/>
      <c r="E382" s="170"/>
      <c r="F382" s="170">
        <v>63</v>
      </c>
      <c r="G382" s="2493" t="s">
        <v>1739</v>
      </c>
      <c r="H382" s="2039"/>
      <c r="I382" s="2008" t="s">
        <v>732</v>
      </c>
      <c r="J382" s="2039"/>
      <c r="K382" s="2039"/>
      <c r="L382" s="488"/>
      <c r="M382" s="2041">
        <v>0</v>
      </c>
      <c r="N382" s="2043">
        <v>1</v>
      </c>
      <c r="O382" s="1967">
        <f t="shared" si="530"/>
        <v>0</v>
      </c>
      <c r="P382" s="2076" t="s">
        <v>39</v>
      </c>
      <c r="Q382" s="2008" t="s">
        <v>39</v>
      </c>
      <c r="R382" s="2011" t="s">
        <v>74</v>
      </c>
      <c r="S382" s="912">
        <f>SUMIF('Data Input sheet'!$B$118:$B$180,R382,'Data Input sheet'!$D$118:$D$180)</f>
        <v>152</v>
      </c>
      <c r="T382" s="2686">
        <f t="shared" si="531"/>
        <v>0</v>
      </c>
      <c r="U382" s="2042">
        <v>30</v>
      </c>
      <c r="V382" s="1981">
        <f t="shared" si="532"/>
        <v>0</v>
      </c>
      <c r="W382" s="2046">
        <v>0</v>
      </c>
      <c r="X382" s="2502"/>
      <c r="Y382" s="2047">
        <v>0</v>
      </c>
      <c r="Z382" s="780">
        <f t="shared" si="533"/>
        <v>0</v>
      </c>
      <c r="AA382" s="2007"/>
      <c r="AB382" s="2007"/>
      <c r="AC382" s="765"/>
      <c r="AD382" s="781">
        <f t="shared" si="534"/>
        <v>0</v>
      </c>
      <c r="AE382" s="778">
        <f t="shared" si="535"/>
        <v>0</v>
      </c>
      <c r="AF382" s="781">
        <f t="shared" si="536"/>
        <v>0</v>
      </c>
      <c r="AG382" s="781">
        <f t="shared" si="537"/>
        <v>0</v>
      </c>
      <c r="AH382" s="781">
        <f t="shared" si="538"/>
        <v>0</v>
      </c>
      <c r="AI382" s="782">
        <f t="shared" si="539"/>
        <v>0</v>
      </c>
      <c r="AJ382" s="781">
        <f t="shared" si="540"/>
        <v>0</v>
      </c>
      <c r="AK382" s="781">
        <f t="shared" si="541"/>
        <v>0</v>
      </c>
      <c r="AL382" s="781">
        <f t="shared" si="542"/>
        <v>0</v>
      </c>
      <c r="AM382" s="781">
        <f t="shared" si="543"/>
        <v>0</v>
      </c>
      <c r="AN382" s="781">
        <f t="shared" si="544"/>
        <v>0</v>
      </c>
      <c r="AO382" s="781">
        <f t="shared" si="545"/>
        <v>0</v>
      </c>
      <c r="AP382" s="781">
        <f t="shared" si="546"/>
        <v>0</v>
      </c>
      <c r="AQ382" s="781">
        <f t="shared" si="547"/>
        <v>0</v>
      </c>
      <c r="AR382" s="781">
        <f t="shared" si="548"/>
        <v>0</v>
      </c>
      <c r="AS382" s="783">
        <f t="shared" si="549"/>
        <v>0</v>
      </c>
      <c r="AT382" s="917"/>
      <c r="AV382" s="170"/>
      <c r="AW382" s="832"/>
      <c r="AX382" s="833"/>
    </row>
    <row r="383" spans="1:65" ht="15.75" hidden="1" outlineLevel="1" thickBot="1" x14ac:dyDescent="0.3">
      <c r="A383" s="784"/>
      <c r="B383" s="904">
        <f t="shared" si="444"/>
        <v>365</v>
      </c>
      <c r="C383" s="170" t="str">
        <f t="shared" si="443"/>
        <v/>
      </c>
      <c r="D383" s="557"/>
      <c r="E383" s="170"/>
      <c r="F383" s="170"/>
      <c r="G383" s="2491" t="s">
        <v>1713</v>
      </c>
      <c r="H383" s="2635"/>
      <c r="I383" s="2008"/>
      <c r="J383" s="2039"/>
      <c r="K383" s="2039"/>
      <c r="L383" s="488"/>
      <c r="M383" s="2041">
        <v>0</v>
      </c>
      <c r="N383" s="2043"/>
      <c r="O383" s="2499">
        <f t="shared" si="530"/>
        <v>0</v>
      </c>
      <c r="P383" s="2076"/>
      <c r="Q383" s="2008"/>
      <c r="R383" s="2011"/>
      <c r="S383" s="912">
        <f>SUMIF('Data Input sheet'!$B$118:$B$180,R383,'Data Input sheet'!$D$118:$D$180)</f>
        <v>0</v>
      </c>
      <c r="T383" s="2686">
        <f t="shared" si="531"/>
        <v>0</v>
      </c>
      <c r="U383" s="2042"/>
      <c r="V383" s="2501">
        <f t="shared" si="532"/>
        <v>0</v>
      </c>
      <c r="W383" s="2046"/>
      <c r="X383" s="2502"/>
      <c r="Y383" s="2047">
        <v>0</v>
      </c>
      <c r="Z383" s="2500">
        <f t="shared" si="533"/>
        <v>0</v>
      </c>
      <c r="AA383" s="2007"/>
      <c r="AB383" s="2007"/>
      <c r="AC383" s="765"/>
      <c r="AD383" s="781">
        <f t="shared" si="534"/>
        <v>0</v>
      </c>
      <c r="AE383" s="778">
        <f t="shared" si="535"/>
        <v>0</v>
      </c>
      <c r="AF383" s="781">
        <f t="shared" si="536"/>
        <v>0</v>
      </c>
      <c r="AG383" s="781">
        <f t="shared" si="537"/>
        <v>0</v>
      </c>
      <c r="AH383" s="781">
        <f t="shared" si="538"/>
        <v>0</v>
      </c>
      <c r="AI383" s="782">
        <f t="shared" si="539"/>
        <v>0</v>
      </c>
      <c r="AJ383" s="781">
        <f t="shared" si="540"/>
        <v>0</v>
      </c>
      <c r="AK383" s="781">
        <f t="shared" si="541"/>
        <v>0</v>
      </c>
      <c r="AL383" s="781">
        <f t="shared" si="542"/>
        <v>0</v>
      </c>
      <c r="AM383" s="781">
        <f t="shared" si="543"/>
        <v>0</v>
      </c>
      <c r="AN383" s="781">
        <f t="shared" si="544"/>
        <v>0</v>
      </c>
      <c r="AO383" s="781">
        <f t="shared" si="545"/>
        <v>0</v>
      </c>
      <c r="AP383" s="781">
        <f t="shared" si="546"/>
        <v>0</v>
      </c>
      <c r="AQ383" s="781">
        <f t="shared" si="547"/>
        <v>0</v>
      </c>
      <c r="AR383" s="781">
        <f t="shared" si="548"/>
        <v>0</v>
      </c>
      <c r="AS383" s="783">
        <f t="shared" si="549"/>
        <v>0</v>
      </c>
    </row>
    <row r="384" spans="1:65" ht="15" hidden="1" outlineLevel="1" x14ac:dyDescent="0.25">
      <c r="A384" s="784"/>
      <c r="B384" s="904">
        <f t="shared" si="444"/>
        <v>366</v>
      </c>
      <c r="C384" s="170" t="str">
        <f t="shared" si="443"/>
        <v>63EA</v>
      </c>
      <c r="D384" s="557"/>
      <c r="E384" s="170"/>
      <c r="F384" s="170">
        <v>63</v>
      </c>
      <c r="G384" s="2493" t="s">
        <v>1724</v>
      </c>
      <c r="H384" s="2039"/>
      <c r="I384" s="2008" t="s">
        <v>732</v>
      </c>
      <c r="J384" s="2039"/>
      <c r="K384" s="2039"/>
      <c r="L384" s="488"/>
      <c r="M384" s="2041">
        <v>0</v>
      </c>
      <c r="N384" s="2043">
        <v>1</v>
      </c>
      <c r="O384" s="1967">
        <f t="shared" ref="O384" si="550">+M384*N384</f>
        <v>0</v>
      </c>
      <c r="P384" s="2076" t="s">
        <v>39</v>
      </c>
      <c r="Q384" s="2008" t="s">
        <v>39</v>
      </c>
      <c r="R384" s="2011" t="s">
        <v>74</v>
      </c>
      <c r="S384" s="912">
        <f>SUMIF('Data Input sheet'!$B$118:$B$180,R384,'Data Input sheet'!$D$118:$D$180)</f>
        <v>152</v>
      </c>
      <c r="T384" s="2686">
        <f t="shared" ref="T384" si="551">ROUND(O384*S384,0)</f>
        <v>0</v>
      </c>
      <c r="U384" s="2042">
        <v>14.8</v>
      </c>
      <c r="V384" s="1981">
        <f t="shared" ref="V384" si="552">ROUND(U384*O384,0)</f>
        <v>0</v>
      </c>
      <c r="W384" s="2046">
        <v>35</v>
      </c>
      <c r="X384" s="2502"/>
      <c r="Y384" s="2047">
        <v>0</v>
      </c>
      <c r="Z384" s="780">
        <f t="shared" ref="Z384" si="553">T384+V384+W384+Y384</f>
        <v>35</v>
      </c>
      <c r="AA384" s="2007"/>
      <c r="AB384" s="2007"/>
      <c r="AC384" s="765"/>
      <c r="AD384" s="781">
        <f t="shared" si="534"/>
        <v>0</v>
      </c>
      <c r="AE384" s="778">
        <f t="shared" si="535"/>
        <v>0</v>
      </c>
      <c r="AF384" s="781">
        <f t="shared" si="536"/>
        <v>0</v>
      </c>
      <c r="AG384" s="781">
        <f t="shared" si="537"/>
        <v>0</v>
      </c>
      <c r="AH384" s="781">
        <f t="shared" si="538"/>
        <v>0</v>
      </c>
      <c r="AI384" s="782">
        <f t="shared" si="539"/>
        <v>0</v>
      </c>
      <c r="AJ384" s="781">
        <f t="shared" si="540"/>
        <v>0</v>
      </c>
      <c r="AK384" s="781">
        <f t="shared" si="541"/>
        <v>0</v>
      </c>
      <c r="AL384" s="781">
        <f t="shared" si="542"/>
        <v>0</v>
      </c>
      <c r="AM384" s="781">
        <f t="shared" si="543"/>
        <v>0</v>
      </c>
      <c r="AN384" s="781">
        <f t="shared" si="544"/>
        <v>0</v>
      </c>
      <c r="AO384" s="781">
        <f t="shared" si="545"/>
        <v>0</v>
      </c>
      <c r="AP384" s="781">
        <f t="shared" si="546"/>
        <v>0</v>
      </c>
      <c r="AQ384" s="781">
        <f t="shared" si="547"/>
        <v>0</v>
      </c>
      <c r="AR384" s="781">
        <f t="shared" si="548"/>
        <v>0</v>
      </c>
      <c r="AS384" s="783">
        <f t="shared" si="549"/>
        <v>0</v>
      </c>
      <c r="AT384" s="917"/>
      <c r="AV384" s="170"/>
      <c r="AW384" s="832"/>
      <c r="AX384" s="833"/>
    </row>
    <row r="385" spans="1:65" ht="15" hidden="1" outlineLevel="1" x14ac:dyDescent="0.25">
      <c r="A385" s="784"/>
      <c r="B385" s="904">
        <f t="shared" si="444"/>
        <v>367</v>
      </c>
      <c r="C385" s="170" t="str">
        <f t="shared" si="443"/>
        <v>63EA</v>
      </c>
      <c r="D385" s="557"/>
      <c r="E385" s="170"/>
      <c r="F385" s="170">
        <v>63</v>
      </c>
      <c r="G385" s="2493" t="s">
        <v>1714</v>
      </c>
      <c r="H385" s="2039"/>
      <c r="I385" s="2008" t="s">
        <v>732</v>
      </c>
      <c r="J385" s="2039"/>
      <c r="K385" s="2039"/>
      <c r="L385" s="488"/>
      <c r="M385" s="2041">
        <v>0</v>
      </c>
      <c r="N385" s="2043">
        <v>1</v>
      </c>
      <c r="O385" s="1967">
        <f>+M385*N385</f>
        <v>0</v>
      </c>
      <c r="P385" s="2076" t="s">
        <v>39</v>
      </c>
      <c r="Q385" s="2008" t="s">
        <v>39</v>
      </c>
      <c r="R385" s="2011" t="s">
        <v>74</v>
      </c>
      <c r="S385" s="912">
        <f>SUMIF('Data Input sheet'!$B$118:$B$180,R385,'Data Input sheet'!$D$118:$D$180)</f>
        <v>152</v>
      </c>
      <c r="T385" s="2686">
        <f>ROUND(O385*S385,0)</f>
        <v>0</v>
      </c>
      <c r="U385" s="2042"/>
      <c r="V385" s="1981">
        <f t="shared" ref="V385:V396" si="554">ROUND(U385*O385,0)</f>
        <v>0</v>
      </c>
      <c r="W385" s="2046">
        <v>14</v>
      </c>
      <c r="X385" s="2502"/>
      <c r="Y385" s="2047">
        <v>0</v>
      </c>
      <c r="Z385" s="780">
        <f>T385+V385+W385+Y385</f>
        <v>14</v>
      </c>
      <c r="AA385" s="2007"/>
      <c r="AB385" s="2007"/>
      <c r="AC385" s="765"/>
      <c r="AD385" s="781">
        <f t="shared" si="534"/>
        <v>0</v>
      </c>
      <c r="AE385" s="778">
        <f t="shared" si="535"/>
        <v>0</v>
      </c>
      <c r="AF385" s="781">
        <f t="shared" si="536"/>
        <v>0</v>
      </c>
      <c r="AG385" s="781">
        <f t="shared" si="537"/>
        <v>0</v>
      </c>
      <c r="AH385" s="781">
        <f t="shared" si="538"/>
        <v>0</v>
      </c>
      <c r="AI385" s="782">
        <f t="shared" si="539"/>
        <v>0</v>
      </c>
      <c r="AJ385" s="781">
        <f t="shared" si="540"/>
        <v>0</v>
      </c>
      <c r="AK385" s="781">
        <f t="shared" si="541"/>
        <v>0</v>
      </c>
      <c r="AL385" s="781">
        <f t="shared" si="542"/>
        <v>0</v>
      </c>
      <c r="AM385" s="781">
        <f t="shared" si="543"/>
        <v>0</v>
      </c>
      <c r="AN385" s="781">
        <f t="shared" si="544"/>
        <v>0</v>
      </c>
      <c r="AO385" s="781">
        <f t="shared" si="545"/>
        <v>0</v>
      </c>
      <c r="AP385" s="781">
        <f t="shared" si="546"/>
        <v>0</v>
      </c>
      <c r="AQ385" s="781">
        <f t="shared" si="547"/>
        <v>0</v>
      </c>
      <c r="AR385" s="781">
        <f t="shared" si="548"/>
        <v>0</v>
      </c>
      <c r="AS385" s="783">
        <f t="shared" si="549"/>
        <v>0</v>
      </c>
    </row>
    <row r="386" spans="1:65" ht="15" hidden="1" outlineLevel="1" x14ac:dyDescent="0.25">
      <c r="A386" s="784"/>
      <c r="B386" s="904">
        <f t="shared" si="444"/>
        <v>368</v>
      </c>
      <c r="C386" s="170" t="str">
        <f t="shared" si="443"/>
        <v>63EA</v>
      </c>
      <c r="D386" s="557"/>
      <c r="E386" s="170"/>
      <c r="F386" s="170">
        <v>63</v>
      </c>
      <c r="G386" s="2493" t="s">
        <v>1715</v>
      </c>
      <c r="H386" s="2039"/>
      <c r="I386" s="2008" t="s">
        <v>732</v>
      </c>
      <c r="J386" s="2039"/>
      <c r="K386" s="2039"/>
      <c r="L386" s="488"/>
      <c r="M386" s="2041">
        <v>0</v>
      </c>
      <c r="N386" s="2043">
        <v>1</v>
      </c>
      <c r="O386" s="1967">
        <f>+M386*N386</f>
        <v>0</v>
      </c>
      <c r="P386" s="2076" t="s">
        <v>39</v>
      </c>
      <c r="Q386" s="2008" t="s">
        <v>39</v>
      </c>
      <c r="R386" s="2011" t="s">
        <v>74</v>
      </c>
      <c r="S386" s="912">
        <f>SUMIF('Data Input sheet'!$B$118:$B$180,R386,'Data Input sheet'!$D$118:$D$180)</f>
        <v>152</v>
      </c>
      <c r="T386" s="2686">
        <f>ROUND(O386*S386,0)</f>
        <v>0</v>
      </c>
      <c r="U386" s="2042"/>
      <c r="V386" s="1981">
        <f t="shared" si="554"/>
        <v>0</v>
      </c>
      <c r="W386" s="2046">
        <v>14</v>
      </c>
      <c r="X386" s="2502"/>
      <c r="Y386" s="2047">
        <v>0</v>
      </c>
      <c r="Z386" s="780">
        <f>T386+V386+W386+Y386</f>
        <v>14</v>
      </c>
      <c r="AA386" s="2007"/>
      <c r="AB386" s="2007"/>
      <c r="AC386" s="765"/>
      <c r="AD386" s="781">
        <f t="shared" si="534"/>
        <v>0</v>
      </c>
      <c r="AE386" s="778">
        <f t="shared" si="535"/>
        <v>0</v>
      </c>
      <c r="AF386" s="781">
        <f t="shared" si="536"/>
        <v>0</v>
      </c>
      <c r="AG386" s="781">
        <f t="shared" si="537"/>
        <v>0</v>
      </c>
      <c r="AH386" s="781">
        <f t="shared" si="538"/>
        <v>0</v>
      </c>
      <c r="AI386" s="782">
        <f t="shared" si="539"/>
        <v>0</v>
      </c>
      <c r="AJ386" s="781">
        <f t="shared" si="540"/>
        <v>0</v>
      </c>
      <c r="AK386" s="781">
        <f t="shared" si="541"/>
        <v>0</v>
      </c>
      <c r="AL386" s="781">
        <f t="shared" si="542"/>
        <v>0</v>
      </c>
      <c r="AM386" s="781">
        <f t="shared" si="543"/>
        <v>0</v>
      </c>
      <c r="AN386" s="781">
        <f t="shared" si="544"/>
        <v>0</v>
      </c>
      <c r="AO386" s="781">
        <f t="shared" si="545"/>
        <v>0</v>
      </c>
      <c r="AP386" s="781">
        <f t="shared" si="546"/>
        <v>0</v>
      </c>
      <c r="AQ386" s="781">
        <f t="shared" si="547"/>
        <v>0</v>
      </c>
      <c r="AR386" s="781">
        <f t="shared" si="548"/>
        <v>0</v>
      </c>
      <c r="AS386" s="783">
        <f t="shared" si="549"/>
        <v>0</v>
      </c>
    </row>
    <row r="387" spans="1:65" ht="15" hidden="1" outlineLevel="1" x14ac:dyDescent="0.25">
      <c r="A387" s="784"/>
      <c r="B387" s="904">
        <f t="shared" si="444"/>
        <v>369</v>
      </c>
      <c r="C387" s="170" t="str">
        <f t="shared" si="443"/>
        <v>63EA</v>
      </c>
      <c r="D387" s="557"/>
      <c r="E387" s="170"/>
      <c r="F387" s="170">
        <v>63</v>
      </c>
      <c r="G387" s="2493" t="s">
        <v>1716</v>
      </c>
      <c r="H387" s="2039"/>
      <c r="I387" s="2008" t="s">
        <v>732</v>
      </c>
      <c r="J387" s="2039"/>
      <c r="K387" s="2039"/>
      <c r="L387" s="488"/>
      <c r="M387" s="2041">
        <v>0</v>
      </c>
      <c r="N387" s="2043">
        <v>1</v>
      </c>
      <c r="O387" s="1967">
        <f>+M387*N387</f>
        <v>0</v>
      </c>
      <c r="P387" s="2076" t="s">
        <v>39</v>
      </c>
      <c r="Q387" s="2008" t="s">
        <v>39</v>
      </c>
      <c r="R387" s="2011" t="s">
        <v>74</v>
      </c>
      <c r="S387" s="912">
        <f>SUMIF('Data Input sheet'!$B$118:$B$180,R387,'Data Input sheet'!$D$118:$D$180)</f>
        <v>152</v>
      </c>
      <c r="T387" s="2686">
        <f>ROUND(O387*S387,0)</f>
        <v>0</v>
      </c>
      <c r="U387" s="2042"/>
      <c r="V387" s="1981">
        <f t="shared" si="554"/>
        <v>0</v>
      </c>
      <c r="W387" s="2046">
        <v>31</v>
      </c>
      <c r="X387" s="2502"/>
      <c r="Y387" s="2047">
        <v>0</v>
      </c>
      <c r="Z387" s="780">
        <f>T387+V387+W387+Y387</f>
        <v>31</v>
      </c>
      <c r="AA387" s="2007"/>
      <c r="AB387" s="2007"/>
      <c r="AC387" s="765"/>
      <c r="AD387" s="781">
        <f t="shared" si="534"/>
        <v>0</v>
      </c>
      <c r="AE387" s="778">
        <f t="shared" si="535"/>
        <v>0</v>
      </c>
      <c r="AF387" s="781">
        <f t="shared" si="536"/>
        <v>0</v>
      </c>
      <c r="AG387" s="781">
        <f t="shared" si="537"/>
        <v>0</v>
      </c>
      <c r="AH387" s="781">
        <f t="shared" si="538"/>
        <v>0</v>
      </c>
      <c r="AI387" s="782">
        <f t="shared" si="539"/>
        <v>0</v>
      </c>
      <c r="AJ387" s="781">
        <f t="shared" si="540"/>
        <v>0</v>
      </c>
      <c r="AK387" s="781">
        <f t="shared" si="541"/>
        <v>0</v>
      </c>
      <c r="AL387" s="781">
        <f t="shared" si="542"/>
        <v>0</v>
      </c>
      <c r="AM387" s="781">
        <f t="shared" si="543"/>
        <v>0</v>
      </c>
      <c r="AN387" s="781">
        <f t="shared" si="544"/>
        <v>0</v>
      </c>
      <c r="AO387" s="781">
        <f t="shared" si="545"/>
        <v>0</v>
      </c>
      <c r="AP387" s="781">
        <f t="shared" si="546"/>
        <v>0</v>
      </c>
      <c r="AQ387" s="781">
        <f t="shared" si="547"/>
        <v>0</v>
      </c>
      <c r="AR387" s="781">
        <f t="shared" si="548"/>
        <v>0</v>
      </c>
      <c r="AS387" s="783">
        <f t="shared" si="549"/>
        <v>0</v>
      </c>
    </row>
    <row r="388" spans="1:65" ht="15" hidden="1" outlineLevel="1" x14ac:dyDescent="0.25">
      <c r="A388" s="784"/>
      <c r="B388" s="904">
        <f t="shared" si="444"/>
        <v>370</v>
      </c>
      <c r="C388" s="170" t="str">
        <f t="shared" si="443"/>
        <v>63EA</v>
      </c>
      <c r="D388" s="557"/>
      <c r="E388" s="170"/>
      <c r="F388" s="170">
        <v>63</v>
      </c>
      <c r="G388" s="2493" t="s">
        <v>1717</v>
      </c>
      <c r="H388" s="2039"/>
      <c r="I388" s="2008" t="s">
        <v>732</v>
      </c>
      <c r="J388" s="2039"/>
      <c r="K388" s="2039"/>
      <c r="L388" s="488"/>
      <c r="M388" s="2041">
        <v>0</v>
      </c>
      <c r="N388" s="2043">
        <v>1</v>
      </c>
      <c r="O388" s="1967">
        <f>+M388*N388</f>
        <v>0</v>
      </c>
      <c r="P388" s="2076" t="s">
        <v>39</v>
      </c>
      <c r="Q388" s="2008" t="s">
        <v>39</v>
      </c>
      <c r="R388" s="2011" t="s">
        <v>74</v>
      </c>
      <c r="S388" s="912">
        <f>SUMIF('Data Input sheet'!$B$118:$B$180,R388,'Data Input sheet'!$D$118:$D$180)</f>
        <v>152</v>
      </c>
      <c r="T388" s="2686">
        <f>ROUND(O388*S388,0)</f>
        <v>0</v>
      </c>
      <c r="U388" s="2042"/>
      <c r="V388" s="1981">
        <f t="shared" si="554"/>
        <v>0</v>
      </c>
      <c r="W388" s="2046">
        <v>37</v>
      </c>
      <c r="X388" s="2502"/>
      <c r="Y388" s="2047">
        <v>0</v>
      </c>
      <c r="Z388" s="780">
        <f>T388+V388+W388+Y388</f>
        <v>37</v>
      </c>
      <c r="AA388" s="2007"/>
      <c r="AB388" s="2007"/>
      <c r="AC388" s="765"/>
      <c r="AD388" s="781">
        <f t="shared" si="534"/>
        <v>0</v>
      </c>
      <c r="AE388" s="778">
        <f t="shared" si="535"/>
        <v>0</v>
      </c>
      <c r="AF388" s="781">
        <f t="shared" si="536"/>
        <v>0</v>
      </c>
      <c r="AG388" s="781">
        <f t="shared" si="537"/>
        <v>0</v>
      </c>
      <c r="AH388" s="781">
        <f t="shared" si="538"/>
        <v>0</v>
      </c>
      <c r="AI388" s="782">
        <f t="shared" si="539"/>
        <v>0</v>
      </c>
      <c r="AJ388" s="781">
        <f t="shared" si="540"/>
        <v>0</v>
      </c>
      <c r="AK388" s="781">
        <f t="shared" si="541"/>
        <v>0</v>
      </c>
      <c r="AL388" s="781">
        <f t="shared" si="542"/>
        <v>0</v>
      </c>
      <c r="AM388" s="781">
        <f t="shared" si="543"/>
        <v>0</v>
      </c>
      <c r="AN388" s="781">
        <f t="shared" si="544"/>
        <v>0</v>
      </c>
      <c r="AO388" s="781">
        <f t="shared" si="545"/>
        <v>0</v>
      </c>
      <c r="AP388" s="781">
        <f t="shared" si="546"/>
        <v>0</v>
      </c>
      <c r="AQ388" s="781">
        <f t="shared" si="547"/>
        <v>0</v>
      </c>
      <c r="AR388" s="781">
        <f t="shared" si="548"/>
        <v>0</v>
      </c>
      <c r="AS388" s="783">
        <f t="shared" si="549"/>
        <v>0</v>
      </c>
    </row>
    <row r="389" spans="1:65" ht="15" hidden="1" outlineLevel="1" x14ac:dyDescent="0.25">
      <c r="A389" s="784"/>
      <c r="B389" s="904">
        <f t="shared" si="444"/>
        <v>371</v>
      </c>
      <c r="C389" s="170" t="str">
        <f t="shared" si="443"/>
        <v>63EA</v>
      </c>
      <c r="D389" s="557"/>
      <c r="E389" s="170"/>
      <c r="F389" s="170">
        <v>63</v>
      </c>
      <c r="G389" s="2493" t="s">
        <v>1712</v>
      </c>
      <c r="H389" s="2039"/>
      <c r="I389" s="2008" t="s">
        <v>732</v>
      </c>
      <c r="J389" s="2039"/>
      <c r="K389" s="2039"/>
      <c r="L389" s="488"/>
      <c r="M389" s="2041">
        <v>0</v>
      </c>
      <c r="N389" s="2043">
        <v>1</v>
      </c>
      <c r="O389" s="1967">
        <f>+M389*N389</f>
        <v>0</v>
      </c>
      <c r="P389" s="2076" t="s">
        <v>39</v>
      </c>
      <c r="Q389" s="2008" t="s">
        <v>39</v>
      </c>
      <c r="R389" s="2011" t="s">
        <v>74</v>
      </c>
      <c r="S389" s="912">
        <f>SUMIF('Data Input sheet'!$B$118:$B$180,R389,'Data Input sheet'!$D$118:$D$180)</f>
        <v>152</v>
      </c>
      <c r="T389" s="2686">
        <f>ROUND(O389*S389,0)</f>
        <v>0</v>
      </c>
      <c r="U389" s="2042"/>
      <c r="V389" s="1981">
        <f t="shared" si="554"/>
        <v>0</v>
      </c>
      <c r="W389" s="2046">
        <v>0</v>
      </c>
      <c r="X389" s="2502"/>
      <c r="Y389" s="2047">
        <v>0</v>
      </c>
      <c r="Z389" s="780">
        <f>T389+V389+W389+Y389</f>
        <v>0</v>
      </c>
      <c r="AA389" s="2007"/>
      <c r="AB389" s="2007"/>
      <c r="AC389" s="765"/>
      <c r="AD389" s="781">
        <f t="shared" si="534"/>
        <v>0</v>
      </c>
      <c r="AE389" s="778">
        <f t="shared" si="535"/>
        <v>0</v>
      </c>
      <c r="AF389" s="781">
        <f t="shared" si="536"/>
        <v>0</v>
      </c>
      <c r="AG389" s="781">
        <f t="shared" si="537"/>
        <v>0</v>
      </c>
      <c r="AH389" s="781">
        <f t="shared" si="538"/>
        <v>0</v>
      </c>
      <c r="AI389" s="782">
        <f t="shared" si="539"/>
        <v>0</v>
      </c>
      <c r="AJ389" s="781">
        <f t="shared" si="540"/>
        <v>0</v>
      </c>
      <c r="AK389" s="781">
        <f t="shared" si="541"/>
        <v>0</v>
      </c>
      <c r="AL389" s="781">
        <f t="shared" si="542"/>
        <v>0</v>
      </c>
      <c r="AM389" s="781">
        <f t="shared" si="543"/>
        <v>0</v>
      </c>
      <c r="AN389" s="781">
        <f t="shared" si="544"/>
        <v>0</v>
      </c>
      <c r="AO389" s="781">
        <f t="shared" si="545"/>
        <v>0</v>
      </c>
      <c r="AP389" s="781">
        <f t="shared" si="546"/>
        <v>0</v>
      </c>
      <c r="AQ389" s="781">
        <f t="shared" si="547"/>
        <v>0</v>
      </c>
      <c r="AR389" s="781">
        <f t="shared" si="548"/>
        <v>0</v>
      </c>
      <c r="AS389" s="783">
        <f t="shared" si="549"/>
        <v>0</v>
      </c>
    </row>
    <row r="390" spans="1:65" ht="15.75" hidden="1" outlineLevel="1" thickBot="1" x14ac:dyDescent="0.3">
      <c r="A390" s="784"/>
      <c r="B390" s="904">
        <f t="shared" si="444"/>
        <v>372</v>
      </c>
      <c r="C390" s="170" t="str">
        <f t="shared" si="443"/>
        <v/>
      </c>
      <c r="D390" s="557"/>
      <c r="E390" s="170"/>
      <c r="F390" s="170"/>
      <c r="G390" s="2491" t="s">
        <v>1723</v>
      </c>
      <c r="H390" s="2635"/>
      <c r="I390" s="2008"/>
      <c r="J390" s="2039"/>
      <c r="K390" s="2039"/>
      <c r="L390" s="488"/>
      <c r="M390" s="2041">
        <v>0</v>
      </c>
      <c r="N390" s="2043"/>
      <c r="O390" s="2499">
        <f t="shared" ref="O390:O396" si="555">+M390*N390</f>
        <v>0</v>
      </c>
      <c r="P390" s="2076"/>
      <c r="Q390" s="2008"/>
      <c r="R390" s="2011"/>
      <c r="S390" s="912">
        <f>SUMIF('Data Input sheet'!$B$118:$B$180,R390,'Data Input sheet'!$D$118:$D$180)</f>
        <v>0</v>
      </c>
      <c r="T390" s="2686">
        <f t="shared" ref="T390:T396" si="556">ROUND(O390*S390,0)</f>
        <v>0</v>
      </c>
      <c r="U390" s="2042"/>
      <c r="V390" s="2501">
        <f t="shared" si="554"/>
        <v>0</v>
      </c>
      <c r="W390" s="2046"/>
      <c r="X390" s="2502"/>
      <c r="Y390" s="2047">
        <v>0</v>
      </c>
      <c r="Z390" s="2500">
        <f t="shared" ref="Z390:Z396" si="557">T390+V390+W390+Y390</f>
        <v>0</v>
      </c>
      <c r="AA390" s="2007"/>
      <c r="AB390" s="2007"/>
      <c r="AC390" s="765"/>
      <c r="AD390" s="781">
        <f t="shared" si="534"/>
        <v>0</v>
      </c>
      <c r="AE390" s="778">
        <f t="shared" si="535"/>
        <v>0</v>
      </c>
      <c r="AF390" s="781">
        <f t="shared" si="536"/>
        <v>0</v>
      </c>
      <c r="AG390" s="781">
        <f t="shared" si="537"/>
        <v>0</v>
      </c>
      <c r="AH390" s="781">
        <f t="shared" si="538"/>
        <v>0</v>
      </c>
      <c r="AI390" s="782">
        <f t="shared" si="539"/>
        <v>0</v>
      </c>
      <c r="AJ390" s="781">
        <f t="shared" si="540"/>
        <v>0</v>
      </c>
      <c r="AK390" s="781">
        <f t="shared" si="541"/>
        <v>0</v>
      </c>
      <c r="AL390" s="781">
        <f t="shared" si="542"/>
        <v>0</v>
      </c>
      <c r="AM390" s="781">
        <f t="shared" si="543"/>
        <v>0</v>
      </c>
      <c r="AN390" s="781">
        <f t="shared" si="544"/>
        <v>0</v>
      </c>
      <c r="AO390" s="781">
        <f t="shared" si="545"/>
        <v>0</v>
      </c>
      <c r="AP390" s="781">
        <f t="shared" si="546"/>
        <v>0</v>
      </c>
      <c r="AQ390" s="781">
        <f t="shared" si="547"/>
        <v>0</v>
      </c>
      <c r="AR390" s="781">
        <f t="shared" si="548"/>
        <v>0</v>
      </c>
      <c r="AS390" s="783">
        <f t="shared" si="549"/>
        <v>0</v>
      </c>
      <c r="AT390" s="917"/>
      <c r="AV390" s="170"/>
      <c r="AW390" s="832"/>
      <c r="AX390" s="833"/>
    </row>
    <row r="391" spans="1:65" ht="15" hidden="1" outlineLevel="1" x14ac:dyDescent="0.25">
      <c r="A391" s="784"/>
      <c r="B391" s="904">
        <f t="shared" si="444"/>
        <v>373</v>
      </c>
      <c r="C391" s="170" t="str">
        <f t="shared" si="443"/>
        <v>63EA</v>
      </c>
      <c r="D391" s="557"/>
      <c r="E391" s="170"/>
      <c r="F391" s="170">
        <v>63</v>
      </c>
      <c r="G391" s="2493" t="s">
        <v>1724</v>
      </c>
      <c r="H391" s="2039"/>
      <c r="I391" s="2008" t="s">
        <v>732</v>
      </c>
      <c r="J391" s="2039"/>
      <c r="K391" s="2039"/>
      <c r="L391" s="488"/>
      <c r="M391" s="2041">
        <v>0</v>
      </c>
      <c r="N391" s="2043">
        <v>1</v>
      </c>
      <c r="O391" s="1967">
        <f t="shared" si="555"/>
        <v>0</v>
      </c>
      <c r="P391" s="2076" t="s">
        <v>39</v>
      </c>
      <c r="Q391" s="2008" t="s">
        <v>39</v>
      </c>
      <c r="R391" s="2011" t="s">
        <v>74</v>
      </c>
      <c r="S391" s="912">
        <f>SUMIF('Data Input sheet'!$B$118:$B$180,R391,'Data Input sheet'!$D$118:$D$180)</f>
        <v>152</v>
      </c>
      <c r="T391" s="2686">
        <f t="shared" si="556"/>
        <v>0</v>
      </c>
      <c r="U391" s="2042">
        <v>14.8</v>
      </c>
      <c r="V391" s="1981">
        <f t="shared" si="554"/>
        <v>0</v>
      </c>
      <c r="W391" s="2046">
        <v>35</v>
      </c>
      <c r="X391" s="2502"/>
      <c r="Y391" s="2047">
        <v>0</v>
      </c>
      <c r="Z391" s="780">
        <f t="shared" si="557"/>
        <v>35</v>
      </c>
      <c r="AA391" s="2007"/>
      <c r="AB391" s="2007"/>
      <c r="AC391" s="765"/>
      <c r="AD391" s="781">
        <f t="shared" si="534"/>
        <v>0</v>
      </c>
      <c r="AE391" s="778">
        <f t="shared" si="535"/>
        <v>0</v>
      </c>
      <c r="AF391" s="781">
        <f t="shared" si="536"/>
        <v>0</v>
      </c>
      <c r="AG391" s="781">
        <f t="shared" si="537"/>
        <v>0</v>
      </c>
      <c r="AH391" s="781">
        <f t="shared" si="538"/>
        <v>0</v>
      </c>
      <c r="AI391" s="782">
        <f t="shared" si="539"/>
        <v>0</v>
      </c>
      <c r="AJ391" s="781">
        <f t="shared" si="540"/>
        <v>0</v>
      </c>
      <c r="AK391" s="781">
        <f t="shared" si="541"/>
        <v>0</v>
      </c>
      <c r="AL391" s="781">
        <f t="shared" si="542"/>
        <v>0</v>
      </c>
      <c r="AM391" s="781">
        <f t="shared" si="543"/>
        <v>0</v>
      </c>
      <c r="AN391" s="781">
        <f t="shared" si="544"/>
        <v>0</v>
      </c>
      <c r="AO391" s="781">
        <f t="shared" si="545"/>
        <v>0</v>
      </c>
      <c r="AP391" s="781">
        <f t="shared" si="546"/>
        <v>0</v>
      </c>
      <c r="AQ391" s="781">
        <f t="shared" si="547"/>
        <v>0</v>
      </c>
      <c r="AR391" s="781">
        <f t="shared" si="548"/>
        <v>0</v>
      </c>
      <c r="AS391" s="783">
        <f t="shared" si="549"/>
        <v>0</v>
      </c>
      <c r="AT391" s="917"/>
      <c r="AV391" s="170"/>
      <c r="AW391" s="832"/>
      <c r="AX391" s="833"/>
    </row>
    <row r="392" spans="1:65" ht="15" hidden="1" outlineLevel="1" x14ac:dyDescent="0.25">
      <c r="A392" s="784"/>
      <c r="B392" s="904">
        <f t="shared" si="444"/>
        <v>374</v>
      </c>
      <c r="C392" s="170" t="str">
        <f t="shared" si="443"/>
        <v>63EA</v>
      </c>
      <c r="D392" s="557"/>
      <c r="E392" s="170"/>
      <c r="F392" s="170">
        <v>63</v>
      </c>
      <c r="G392" s="2493" t="s">
        <v>1725</v>
      </c>
      <c r="H392" s="2039"/>
      <c r="I392" s="2008" t="s">
        <v>732</v>
      </c>
      <c r="J392" s="2039"/>
      <c r="K392" s="2039"/>
      <c r="L392" s="488"/>
      <c r="M392" s="2041">
        <v>0</v>
      </c>
      <c r="N392" s="2043">
        <v>1</v>
      </c>
      <c r="O392" s="1967">
        <f t="shared" si="555"/>
        <v>0</v>
      </c>
      <c r="P392" s="2076" t="s">
        <v>39</v>
      </c>
      <c r="Q392" s="2008" t="s">
        <v>39</v>
      </c>
      <c r="R392" s="2011" t="s">
        <v>74</v>
      </c>
      <c r="S392" s="912">
        <f>SUMIF('Data Input sheet'!$B$118:$B$180,R392,'Data Input sheet'!$D$118:$D$180)</f>
        <v>152</v>
      </c>
      <c r="T392" s="2686">
        <f t="shared" si="556"/>
        <v>0</v>
      </c>
      <c r="U392" s="2042">
        <v>14.8</v>
      </c>
      <c r="V392" s="1981">
        <f t="shared" si="554"/>
        <v>0</v>
      </c>
      <c r="W392" s="2046">
        <v>40</v>
      </c>
      <c r="X392" s="2502"/>
      <c r="Y392" s="2047">
        <v>0</v>
      </c>
      <c r="Z392" s="780">
        <f t="shared" si="557"/>
        <v>40</v>
      </c>
      <c r="AA392" s="2007"/>
      <c r="AB392" s="2007"/>
      <c r="AC392" s="765"/>
      <c r="AD392" s="781">
        <f t="shared" si="534"/>
        <v>0</v>
      </c>
      <c r="AE392" s="778">
        <f t="shared" si="535"/>
        <v>0</v>
      </c>
      <c r="AF392" s="781">
        <f t="shared" si="536"/>
        <v>0</v>
      </c>
      <c r="AG392" s="781">
        <f t="shared" si="537"/>
        <v>0</v>
      </c>
      <c r="AH392" s="781">
        <f t="shared" si="538"/>
        <v>0</v>
      </c>
      <c r="AI392" s="782">
        <f t="shared" si="539"/>
        <v>0</v>
      </c>
      <c r="AJ392" s="781">
        <f t="shared" si="540"/>
        <v>0</v>
      </c>
      <c r="AK392" s="781">
        <f t="shared" si="541"/>
        <v>0</v>
      </c>
      <c r="AL392" s="781">
        <f t="shared" si="542"/>
        <v>0</v>
      </c>
      <c r="AM392" s="781">
        <f t="shared" si="543"/>
        <v>0</v>
      </c>
      <c r="AN392" s="781">
        <f t="shared" si="544"/>
        <v>0</v>
      </c>
      <c r="AO392" s="781">
        <f t="shared" si="545"/>
        <v>0</v>
      </c>
      <c r="AP392" s="781">
        <f t="shared" si="546"/>
        <v>0</v>
      </c>
      <c r="AQ392" s="781">
        <f t="shared" si="547"/>
        <v>0</v>
      </c>
      <c r="AR392" s="781">
        <f t="shared" si="548"/>
        <v>0</v>
      </c>
      <c r="AS392" s="783">
        <f t="shared" si="549"/>
        <v>0</v>
      </c>
      <c r="AT392" s="917"/>
      <c r="AV392" s="170"/>
      <c r="AW392" s="832"/>
      <c r="AX392" s="833"/>
    </row>
    <row r="393" spans="1:65" ht="15" hidden="1" outlineLevel="1" x14ac:dyDescent="0.25">
      <c r="A393" s="784"/>
      <c r="B393" s="904">
        <f t="shared" si="444"/>
        <v>375</v>
      </c>
      <c r="C393" s="170" t="str">
        <f t="shared" si="443"/>
        <v>63EA</v>
      </c>
      <c r="D393" s="557"/>
      <c r="E393" s="170"/>
      <c r="F393" s="170">
        <v>63</v>
      </c>
      <c r="G393" s="2493" t="s">
        <v>1726</v>
      </c>
      <c r="H393" s="2039"/>
      <c r="I393" s="2008" t="s">
        <v>732</v>
      </c>
      <c r="J393" s="2039"/>
      <c r="K393" s="2039"/>
      <c r="L393" s="488"/>
      <c r="M393" s="2041">
        <v>0</v>
      </c>
      <c r="N393" s="2043">
        <v>1</v>
      </c>
      <c r="O393" s="1967">
        <f t="shared" si="555"/>
        <v>0</v>
      </c>
      <c r="P393" s="2076" t="s">
        <v>39</v>
      </c>
      <c r="Q393" s="2008" t="s">
        <v>39</v>
      </c>
      <c r="R393" s="2011" t="s">
        <v>74</v>
      </c>
      <c r="S393" s="912">
        <f>SUMIF('Data Input sheet'!$B$118:$B$180,R393,'Data Input sheet'!$D$118:$D$180)</f>
        <v>152</v>
      </c>
      <c r="T393" s="2686">
        <f t="shared" si="556"/>
        <v>0</v>
      </c>
      <c r="U393" s="2042">
        <v>14.8</v>
      </c>
      <c r="V393" s="1981">
        <f t="shared" si="554"/>
        <v>0</v>
      </c>
      <c r="W393" s="2046">
        <v>50</v>
      </c>
      <c r="X393" s="2502"/>
      <c r="Y393" s="2047">
        <v>0</v>
      </c>
      <c r="Z393" s="780">
        <f t="shared" si="557"/>
        <v>50</v>
      </c>
      <c r="AA393" s="2007"/>
      <c r="AB393" s="2007"/>
      <c r="AC393" s="765"/>
      <c r="AD393" s="781">
        <f t="shared" si="534"/>
        <v>0</v>
      </c>
      <c r="AE393" s="778">
        <f t="shared" si="535"/>
        <v>0</v>
      </c>
      <c r="AF393" s="781">
        <f t="shared" si="536"/>
        <v>0</v>
      </c>
      <c r="AG393" s="781">
        <f t="shared" si="537"/>
        <v>0</v>
      </c>
      <c r="AH393" s="781">
        <f t="shared" si="538"/>
        <v>0</v>
      </c>
      <c r="AI393" s="782">
        <f t="shared" si="539"/>
        <v>0</v>
      </c>
      <c r="AJ393" s="781">
        <f t="shared" si="540"/>
        <v>0</v>
      </c>
      <c r="AK393" s="781">
        <f t="shared" si="541"/>
        <v>0</v>
      </c>
      <c r="AL393" s="781">
        <f t="shared" si="542"/>
        <v>0</v>
      </c>
      <c r="AM393" s="781">
        <f t="shared" si="543"/>
        <v>0</v>
      </c>
      <c r="AN393" s="781">
        <f t="shared" si="544"/>
        <v>0</v>
      </c>
      <c r="AO393" s="781">
        <f t="shared" si="545"/>
        <v>0</v>
      </c>
      <c r="AP393" s="781">
        <f t="shared" si="546"/>
        <v>0</v>
      </c>
      <c r="AQ393" s="781">
        <f t="shared" si="547"/>
        <v>0</v>
      </c>
      <c r="AR393" s="781">
        <f t="shared" si="548"/>
        <v>0</v>
      </c>
      <c r="AS393" s="783">
        <f t="shared" si="549"/>
        <v>0</v>
      </c>
      <c r="AT393" s="917"/>
      <c r="AV393" s="170"/>
      <c r="AW393" s="832"/>
      <c r="AX393" s="833"/>
    </row>
    <row r="394" spans="1:65" ht="15" hidden="1" outlineLevel="1" x14ac:dyDescent="0.25">
      <c r="A394" s="784"/>
      <c r="B394" s="904">
        <f t="shared" si="444"/>
        <v>376</v>
      </c>
      <c r="C394" s="170" t="str">
        <f t="shared" si="443"/>
        <v>63EA</v>
      </c>
      <c r="D394" s="557"/>
      <c r="E394" s="170"/>
      <c r="F394" s="170">
        <v>63</v>
      </c>
      <c r="G394" s="2493" t="s">
        <v>1727</v>
      </c>
      <c r="H394" s="2039"/>
      <c r="I394" s="2008" t="s">
        <v>732</v>
      </c>
      <c r="J394" s="2039"/>
      <c r="K394" s="2039"/>
      <c r="L394" s="488"/>
      <c r="M394" s="2041">
        <v>0</v>
      </c>
      <c r="N394" s="2043">
        <v>1</v>
      </c>
      <c r="O394" s="1967">
        <f t="shared" si="555"/>
        <v>0</v>
      </c>
      <c r="P394" s="2076" t="s">
        <v>39</v>
      </c>
      <c r="Q394" s="2008" t="s">
        <v>39</v>
      </c>
      <c r="R394" s="2011" t="s">
        <v>74</v>
      </c>
      <c r="S394" s="912">
        <f>SUMIF('Data Input sheet'!$B$118:$B$180,R394,'Data Input sheet'!$D$118:$D$180)</f>
        <v>152</v>
      </c>
      <c r="T394" s="2686">
        <f t="shared" si="556"/>
        <v>0</v>
      </c>
      <c r="U394" s="2042">
        <v>14.8</v>
      </c>
      <c r="V394" s="1981">
        <f t="shared" si="554"/>
        <v>0</v>
      </c>
      <c r="W394" s="2046">
        <v>70</v>
      </c>
      <c r="X394" s="2502"/>
      <c r="Y394" s="2047">
        <v>0</v>
      </c>
      <c r="Z394" s="780">
        <f t="shared" si="557"/>
        <v>70</v>
      </c>
      <c r="AA394" s="2007"/>
      <c r="AB394" s="2007"/>
      <c r="AC394" s="765"/>
      <c r="AD394" s="781">
        <f t="shared" si="534"/>
        <v>0</v>
      </c>
      <c r="AE394" s="778">
        <f t="shared" si="535"/>
        <v>0</v>
      </c>
      <c r="AF394" s="781">
        <f t="shared" si="536"/>
        <v>0</v>
      </c>
      <c r="AG394" s="781">
        <f t="shared" si="537"/>
        <v>0</v>
      </c>
      <c r="AH394" s="781">
        <f t="shared" si="538"/>
        <v>0</v>
      </c>
      <c r="AI394" s="782">
        <f t="shared" si="539"/>
        <v>0</v>
      </c>
      <c r="AJ394" s="781">
        <f t="shared" si="540"/>
        <v>0</v>
      </c>
      <c r="AK394" s="781">
        <f t="shared" si="541"/>
        <v>0</v>
      </c>
      <c r="AL394" s="781">
        <f t="shared" si="542"/>
        <v>0</v>
      </c>
      <c r="AM394" s="781">
        <f t="shared" si="543"/>
        <v>0</v>
      </c>
      <c r="AN394" s="781">
        <f t="shared" si="544"/>
        <v>0</v>
      </c>
      <c r="AO394" s="781">
        <f t="shared" si="545"/>
        <v>0</v>
      </c>
      <c r="AP394" s="781">
        <f t="shared" si="546"/>
        <v>0</v>
      </c>
      <c r="AQ394" s="781">
        <f t="shared" si="547"/>
        <v>0</v>
      </c>
      <c r="AR394" s="781">
        <f t="shared" si="548"/>
        <v>0</v>
      </c>
      <c r="AS394" s="783">
        <f t="shared" si="549"/>
        <v>0</v>
      </c>
      <c r="AT394" s="917"/>
      <c r="AV394" s="170"/>
      <c r="AW394" s="832"/>
      <c r="AX394" s="833"/>
    </row>
    <row r="395" spans="1:65" ht="15" hidden="1" outlineLevel="1" x14ac:dyDescent="0.25">
      <c r="A395" s="784"/>
      <c r="B395" s="904">
        <f t="shared" si="444"/>
        <v>377</v>
      </c>
      <c r="C395" s="170" t="str">
        <f t="shared" si="443"/>
        <v>63EA</v>
      </c>
      <c r="D395" s="557"/>
      <c r="E395" s="170"/>
      <c r="F395" s="170">
        <v>63</v>
      </c>
      <c r="G395" s="2493" t="s">
        <v>1728</v>
      </c>
      <c r="H395" s="2039"/>
      <c r="I395" s="2008" t="s">
        <v>732</v>
      </c>
      <c r="J395" s="2039"/>
      <c r="K395" s="2039"/>
      <c r="L395" s="488"/>
      <c r="M395" s="2041">
        <v>0</v>
      </c>
      <c r="N395" s="2043">
        <v>1</v>
      </c>
      <c r="O395" s="1967">
        <f t="shared" si="555"/>
        <v>0</v>
      </c>
      <c r="P395" s="2076" t="s">
        <v>39</v>
      </c>
      <c r="Q395" s="2008" t="s">
        <v>39</v>
      </c>
      <c r="R395" s="2011" t="s">
        <v>74</v>
      </c>
      <c r="S395" s="912">
        <f>SUMIF('Data Input sheet'!$B$118:$B$180,R395,'Data Input sheet'!$D$118:$D$180)</f>
        <v>152</v>
      </c>
      <c r="T395" s="2686">
        <f t="shared" si="556"/>
        <v>0</v>
      </c>
      <c r="U395" s="2042">
        <v>14.8</v>
      </c>
      <c r="V395" s="1981">
        <f t="shared" si="554"/>
        <v>0</v>
      </c>
      <c r="W395" s="2046">
        <v>85</v>
      </c>
      <c r="X395" s="2502"/>
      <c r="Y395" s="2047">
        <v>0</v>
      </c>
      <c r="Z395" s="780">
        <f t="shared" si="557"/>
        <v>85</v>
      </c>
      <c r="AA395" s="2007"/>
      <c r="AB395" s="2007"/>
      <c r="AC395" s="765"/>
      <c r="AD395" s="781">
        <f t="shared" si="534"/>
        <v>0</v>
      </c>
      <c r="AE395" s="778">
        <f t="shared" si="535"/>
        <v>0</v>
      </c>
      <c r="AF395" s="781">
        <f t="shared" si="536"/>
        <v>0</v>
      </c>
      <c r="AG395" s="781">
        <f t="shared" si="537"/>
        <v>0</v>
      </c>
      <c r="AH395" s="781">
        <f t="shared" si="538"/>
        <v>0</v>
      </c>
      <c r="AI395" s="782">
        <f t="shared" si="539"/>
        <v>0</v>
      </c>
      <c r="AJ395" s="781">
        <f t="shared" si="540"/>
        <v>0</v>
      </c>
      <c r="AK395" s="781">
        <f t="shared" si="541"/>
        <v>0</v>
      </c>
      <c r="AL395" s="781">
        <f t="shared" si="542"/>
        <v>0</v>
      </c>
      <c r="AM395" s="781">
        <f t="shared" si="543"/>
        <v>0</v>
      </c>
      <c r="AN395" s="781">
        <f t="shared" si="544"/>
        <v>0</v>
      </c>
      <c r="AO395" s="781">
        <f t="shared" si="545"/>
        <v>0</v>
      </c>
      <c r="AP395" s="781">
        <f t="shared" si="546"/>
        <v>0</v>
      </c>
      <c r="AQ395" s="781">
        <f t="shared" si="547"/>
        <v>0</v>
      </c>
      <c r="AR395" s="781">
        <f t="shared" si="548"/>
        <v>0</v>
      </c>
      <c r="AS395" s="783">
        <f t="shared" si="549"/>
        <v>0</v>
      </c>
      <c r="AT395" s="917"/>
      <c r="AV395" s="170"/>
      <c r="AW395" s="832"/>
      <c r="AX395" s="833"/>
    </row>
    <row r="396" spans="1:65" ht="15" hidden="1" outlineLevel="1" x14ac:dyDescent="0.25">
      <c r="A396" s="784"/>
      <c r="B396" s="904">
        <f t="shared" si="444"/>
        <v>378</v>
      </c>
      <c r="C396" s="170" t="str">
        <f t="shared" si="443"/>
        <v>63EA</v>
      </c>
      <c r="D396" s="557"/>
      <c r="E396" s="170"/>
      <c r="F396" s="170">
        <v>63</v>
      </c>
      <c r="G396" s="2493" t="s">
        <v>3127</v>
      </c>
      <c r="H396" s="2039"/>
      <c r="I396" s="2008" t="s">
        <v>732</v>
      </c>
      <c r="J396" s="2039"/>
      <c r="K396" s="2039"/>
      <c r="L396" s="488"/>
      <c r="M396" s="2041">
        <v>0</v>
      </c>
      <c r="N396" s="2043">
        <v>1</v>
      </c>
      <c r="O396" s="1967">
        <f t="shared" si="555"/>
        <v>0</v>
      </c>
      <c r="P396" s="2076" t="s">
        <v>39</v>
      </c>
      <c r="Q396" s="2008" t="s">
        <v>39</v>
      </c>
      <c r="R396" s="2011" t="s">
        <v>74</v>
      </c>
      <c r="S396" s="912">
        <f>SUMIF('Data Input sheet'!$B$118:$B$180,R396,'Data Input sheet'!$D$118:$D$180)</f>
        <v>152</v>
      </c>
      <c r="T396" s="2686">
        <f t="shared" si="556"/>
        <v>0</v>
      </c>
      <c r="U396" s="2042">
        <v>45</v>
      </c>
      <c r="V396" s="1981">
        <f t="shared" si="554"/>
        <v>0</v>
      </c>
      <c r="W396" s="2046">
        <v>0</v>
      </c>
      <c r="X396" s="2502"/>
      <c r="Y396" s="2047">
        <v>0</v>
      </c>
      <c r="Z396" s="780">
        <f t="shared" si="557"/>
        <v>0</v>
      </c>
      <c r="AA396" s="2007"/>
      <c r="AB396" s="2007"/>
      <c r="AC396" s="765"/>
      <c r="AD396" s="781">
        <f t="shared" si="534"/>
        <v>0</v>
      </c>
      <c r="AE396" s="778">
        <f t="shared" si="535"/>
        <v>0</v>
      </c>
      <c r="AF396" s="781">
        <f t="shared" si="536"/>
        <v>0</v>
      </c>
      <c r="AG396" s="781">
        <f t="shared" si="537"/>
        <v>0</v>
      </c>
      <c r="AH396" s="781">
        <f t="shared" si="538"/>
        <v>0</v>
      </c>
      <c r="AI396" s="782">
        <f t="shared" si="539"/>
        <v>0</v>
      </c>
      <c r="AJ396" s="781">
        <f t="shared" si="540"/>
        <v>0</v>
      </c>
      <c r="AK396" s="781">
        <f t="shared" si="541"/>
        <v>0</v>
      </c>
      <c r="AL396" s="781">
        <f t="shared" si="542"/>
        <v>0</v>
      </c>
      <c r="AM396" s="781">
        <f t="shared" si="543"/>
        <v>0</v>
      </c>
      <c r="AN396" s="781">
        <f t="shared" si="544"/>
        <v>0</v>
      </c>
      <c r="AO396" s="781">
        <f t="shared" si="545"/>
        <v>0</v>
      </c>
      <c r="AP396" s="781">
        <f t="shared" si="546"/>
        <v>0</v>
      </c>
      <c r="AQ396" s="781">
        <f t="shared" si="547"/>
        <v>0</v>
      </c>
      <c r="AR396" s="781">
        <f t="shared" si="548"/>
        <v>0</v>
      </c>
      <c r="AS396" s="783">
        <f t="shared" si="549"/>
        <v>0</v>
      </c>
      <c r="AT396" s="917"/>
      <c r="AV396" s="170"/>
      <c r="AW396" s="832"/>
      <c r="AX396" s="833"/>
    </row>
    <row r="397" spans="1:65" ht="15.75" hidden="1" outlineLevel="1" thickBot="1" x14ac:dyDescent="0.3">
      <c r="A397" s="784"/>
      <c r="B397" s="904">
        <f t="shared" si="444"/>
        <v>379</v>
      </c>
      <c r="C397" s="170" t="str">
        <f t="shared" si="443"/>
        <v/>
      </c>
      <c r="D397" s="557"/>
      <c r="E397" s="170"/>
      <c r="F397" s="170"/>
      <c r="G397" s="2491" t="s">
        <v>1820</v>
      </c>
      <c r="H397" s="2629"/>
      <c r="I397" s="2008"/>
      <c r="J397" s="1926"/>
      <c r="K397" s="1926"/>
      <c r="L397" s="488"/>
      <c r="M397" s="2009">
        <v>0</v>
      </c>
      <c r="N397" s="2010"/>
      <c r="O397" s="773">
        <v>0</v>
      </c>
      <c r="P397" s="2076"/>
      <c r="Q397" s="2008"/>
      <c r="R397" s="2011"/>
      <c r="S397" s="912">
        <f>SUMIF('Data Input sheet'!$B$118:$B$180,R397,'Data Input sheet'!$D$118:$D$180)</f>
        <v>0</v>
      </c>
      <c r="T397" s="2685">
        <v>0</v>
      </c>
      <c r="U397" s="2013">
        <v>14.8</v>
      </c>
      <c r="V397" s="778">
        <v>0</v>
      </c>
      <c r="W397" s="2010"/>
      <c r="X397" s="779"/>
      <c r="Y397" s="2012">
        <v>0</v>
      </c>
      <c r="Z397" s="780">
        <v>0</v>
      </c>
      <c r="AA397" s="2007"/>
      <c r="AB397" s="2007"/>
      <c r="AC397" s="765"/>
      <c r="AD397" s="781">
        <f t="shared" si="534"/>
        <v>0</v>
      </c>
      <c r="AE397" s="778">
        <f t="shared" si="535"/>
        <v>0</v>
      </c>
      <c r="AF397" s="781">
        <f t="shared" si="536"/>
        <v>0</v>
      </c>
      <c r="AG397" s="781">
        <f t="shared" si="537"/>
        <v>0</v>
      </c>
      <c r="AH397" s="781">
        <f t="shared" si="538"/>
        <v>0</v>
      </c>
      <c r="AI397" s="782">
        <f t="shared" si="539"/>
        <v>0</v>
      </c>
      <c r="AJ397" s="781">
        <f t="shared" si="540"/>
        <v>0</v>
      </c>
      <c r="AK397" s="781">
        <f t="shared" si="541"/>
        <v>0</v>
      </c>
      <c r="AL397" s="781">
        <f t="shared" si="542"/>
        <v>0</v>
      </c>
      <c r="AM397" s="781">
        <f t="shared" si="543"/>
        <v>0</v>
      </c>
      <c r="AN397" s="781">
        <f t="shared" si="544"/>
        <v>0</v>
      </c>
      <c r="AO397" s="781">
        <f t="shared" si="545"/>
        <v>0</v>
      </c>
      <c r="AP397" s="781">
        <f t="shared" si="546"/>
        <v>0</v>
      </c>
      <c r="AQ397" s="781">
        <f t="shared" si="547"/>
        <v>0</v>
      </c>
      <c r="AR397" s="781">
        <f t="shared" si="548"/>
        <v>0</v>
      </c>
      <c r="AS397" s="783">
        <f t="shared" si="549"/>
        <v>0</v>
      </c>
      <c r="AT397" s="917"/>
      <c r="AW397" s="832"/>
      <c r="AX397" s="833"/>
      <c r="BM397" s="2010"/>
    </row>
    <row r="398" spans="1:65" ht="15" hidden="1" outlineLevel="1" x14ac:dyDescent="0.25">
      <c r="A398" s="784"/>
      <c r="B398" s="904">
        <f t="shared" si="444"/>
        <v>380</v>
      </c>
      <c r="C398" s="170" t="str">
        <f t="shared" si="443"/>
        <v>65EA</v>
      </c>
      <c r="D398" s="557"/>
      <c r="E398" s="170"/>
      <c r="F398" s="170">
        <v>65</v>
      </c>
      <c r="G398" s="2007" t="s">
        <v>1718</v>
      </c>
      <c r="H398" s="2008"/>
      <c r="I398" s="2008" t="s">
        <v>732</v>
      </c>
      <c r="J398" s="1926"/>
      <c r="K398" s="1926"/>
      <c r="L398" s="488"/>
      <c r="M398" s="2009">
        <v>0</v>
      </c>
      <c r="N398" s="2010">
        <v>1</v>
      </c>
      <c r="O398" s="773">
        <v>0</v>
      </c>
      <c r="P398" s="2076" t="s">
        <v>39</v>
      </c>
      <c r="Q398" s="2008" t="s">
        <v>39</v>
      </c>
      <c r="R398" s="2011" t="s">
        <v>74</v>
      </c>
      <c r="S398" s="912">
        <f>SUMIF('Data Input sheet'!$B$118:$B$180,R398,'Data Input sheet'!$D$118:$D$180)</f>
        <v>152</v>
      </c>
      <c r="T398" s="2685">
        <v>0</v>
      </c>
      <c r="U398" s="2013">
        <v>14.8</v>
      </c>
      <c r="V398" s="778">
        <v>0</v>
      </c>
      <c r="W398" s="2010">
        <v>60</v>
      </c>
      <c r="X398" s="779"/>
      <c r="Y398" s="2012">
        <v>0</v>
      </c>
      <c r="Z398" s="780">
        <v>60</v>
      </c>
      <c r="AA398" s="2007"/>
      <c r="AB398" s="2007"/>
      <c r="AC398" s="765"/>
      <c r="AD398" s="781">
        <f t="shared" si="534"/>
        <v>0</v>
      </c>
      <c r="AE398" s="778">
        <f t="shared" si="535"/>
        <v>0</v>
      </c>
      <c r="AF398" s="781">
        <f t="shared" si="536"/>
        <v>0</v>
      </c>
      <c r="AG398" s="781">
        <f t="shared" si="537"/>
        <v>0</v>
      </c>
      <c r="AH398" s="781">
        <f t="shared" si="538"/>
        <v>0</v>
      </c>
      <c r="AI398" s="782">
        <f t="shared" si="539"/>
        <v>0</v>
      </c>
      <c r="AJ398" s="781">
        <f t="shared" si="540"/>
        <v>0</v>
      </c>
      <c r="AK398" s="781">
        <f t="shared" si="541"/>
        <v>0</v>
      </c>
      <c r="AL398" s="781">
        <f t="shared" si="542"/>
        <v>0</v>
      </c>
      <c r="AM398" s="781">
        <f t="shared" si="543"/>
        <v>0</v>
      </c>
      <c r="AN398" s="781">
        <f t="shared" si="544"/>
        <v>0</v>
      </c>
      <c r="AO398" s="781">
        <f t="shared" si="545"/>
        <v>0</v>
      </c>
      <c r="AP398" s="781">
        <f t="shared" si="546"/>
        <v>0</v>
      </c>
      <c r="AQ398" s="781">
        <f t="shared" si="547"/>
        <v>0</v>
      </c>
      <c r="AR398" s="781">
        <f t="shared" si="548"/>
        <v>0</v>
      </c>
      <c r="AS398" s="783">
        <f t="shared" si="549"/>
        <v>0</v>
      </c>
      <c r="AT398" s="917"/>
      <c r="AW398" s="832"/>
      <c r="AX398" s="833"/>
      <c r="BM398" s="2010"/>
    </row>
    <row r="399" spans="1:65" ht="15" hidden="1" outlineLevel="1" x14ac:dyDescent="0.25">
      <c r="A399" s="784"/>
      <c r="B399" s="904">
        <f t="shared" si="444"/>
        <v>381</v>
      </c>
      <c r="C399" s="170" t="str">
        <f t="shared" si="443"/>
        <v>65EA</v>
      </c>
      <c r="D399" s="557"/>
      <c r="E399" s="170"/>
      <c r="F399" s="170">
        <v>65</v>
      </c>
      <c r="G399" s="2007" t="s">
        <v>1719</v>
      </c>
      <c r="H399" s="2008"/>
      <c r="I399" s="2008" t="s">
        <v>732</v>
      </c>
      <c r="J399" s="1926"/>
      <c r="K399" s="1926"/>
      <c r="L399" s="488"/>
      <c r="M399" s="2009">
        <v>0</v>
      </c>
      <c r="N399" s="2010">
        <v>1</v>
      </c>
      <c r="O399" s="773">
        <v>0</v>
      </c>
      <c r="P399" s="2076" t="s">
        <v>39</v>
      </c>
      <c r="Q399" s="2008" t="s">
        <v>39</v>
      </c>
      <c r="R399" s="2011" t="s">
        <v>74</v>
      </c>
      <c r="S399" s="912">
        <f>SUMIF('Data Input sheet'!$B$118:$B$180,R399,'Data Input sheet'!$D$118:$D$180)</f>
        <v>152</v>
      </c>
      <c r="T399" s="2685">
        <v>0</v>
      </c>
      <c r="U399" s="2013">
        <v>14.8</v>
      </c>
      <c r="V399" s="778">
        <v>0</v>
      </c>
      <c r="W399" s="2010">
        <v>100</v>
      </c>
      <c r="X399" s="779"/>
      <c r="Y399" s="2012">
        <v>0</v>
      </c>
      <c r="Z399" s="780">
        <v>100</v>
      </c>
      <c r="AA399" s="2007"/>
      <c r="AB399" s="2007"/>
      <c r="AC399" s="765"/>
      <c r="AD399" s="781">
        <f t="shared" si="534"/>
        <v>0</v>
      </c>
      <c r="AE399" s="778">
        <f t="shared" si="535"/>
        <v>0</v>
      </c>
      <c r="AF399" s="781">
        <f t="shared" si="536"/>
        <v>0</v>
      </c>
      <c r="AG399" s="781">
        <f t="shared" si="537"/>
        <v>0</v>
      </c>
      <c r="AH399" s="781">
        <f t="shared" si="538"/>
        <v>0</v>
      </c>
      <c r="AI399" s="782">
        <f t="shared" si="539"/>
        <v>0</v>
      </c>
      <c r="AJ399" s="781">
        <f t="shared" si="540"/>
        <v>0</v>
      </c>
      <c r="AK399" s="781">
        <f t="shared" si="541"/>
        <v>0</v>
      </c>
      <c r="AL399" s="781">
        <f t="shared" si="542"/>
        <v>0</v>
      </c>
      <c r="AM399" s="781">
        <f t="shared" si="543"/>
        <v>0</v>
      </c>
      <c r="AN399" s="781">
        <f t="shared" si="544"/>
        <v>0</v>
      </c>
      <c r="AO399" s="781">
        <f t="shared" si="545"/>
        <v>0</v>
      </c>
      <c r="AP399" s="781">
        <f t="shared" si="546"/>
        <v>0</v>
      </c>
      <c r="AQ399" s="781">
        <f t="shared" si="547"/>
        <v>0</v>
      </c>
      <c r="AR399" s="781">
        <f t="shared" si="548"/>
        <v>0</v>
      </c>
      <c r="AS399" s="783">
        <f t="shared" si="549"/>
        <v>0</v>
      </c>
      <c r="AT399" s="917"/>
      <c r="AW399" s="832"/>
      <c r="AX399" s="833"/>
      <c r="BM399" s="2010"/>
    </row>
    <row r="400" spans="1:65" ht="14.25" hidden="1" customHeight="1" outlineLevel="1" x14ac:dyDescent="0.25">
      <c r="A400" s="784"/>
      <c r="B400" s="904">
        <f t="shared" ref="B400:B417" si="558">+B399+1</f>
        <v>382</v>
      </c>
      <c r="C400" s="170" t="str">
        <f t="shared" si="443"/>
        <v>65EA</v>
      </c>
      <c r="D400" s="557"/>
      <c r="E400" s="170"/>
      <c r="F400" s="170">
        <v>65</v>
      </c>
      <c r="G400" s="2007" t="s">
        <v>1720</v>
      </c>
      <c r="H400" s="2008"/>
      <c r="I400" s="2008" t="s">
        <v>732</v>
      </c>
      <c r="J400" s="1926"/>
      <c r="K400" s="1926"/>
      <c r="L400" s="488"/>
      <c r="M400" s="2009">
        <v>0</v>
      </c>
      <c r="N400" s="2010">
        <v>1</v>
      </c>
      <c r="O400" s="773">
        <v>0</v>
      </c>
      <c r="P400" s="2076" t="s">
        <v>39</v>
      </c>
      <c r="Q400" s="2008" t="s">
        <v>39</v>
      </c>
      <c r="R400" s="2011" t="s">
        <v>74</v>
      </c>
      <c r="S400" s="912">
        <f>SUMIF('Data Input sheet'!$B$118:$B$180,R400,'Data Input sheet'!$D$118:$D$180)</f>
        <v>152</v>
      </c>
      <c r="T400" s="2685">
        <v>0</v>
      </c>
      <c r="U400" s="2013">
        <v>14.8</v>
      </c>
      <c r="V400" s="778">
        <v>0</v>
      </c>
      <c r="W400" s="2010">
        <v>120</v>
      </c>
      <c r="X400" s="779"/>
      <c r="Y400" s="2012">
        <v>0</v>
      </c>
      <c r="Z400" s="780">
        <v>120</v>
      </c>
      <c r="AA400" s="2007"/>
      <c r="AB400" s="2007"/>
      <c r="AC400" s="765"/>
      <c r="AD400" s="781">
        <f t="shared" si="534"/>
        <v>0</v>
      </c>
      <c r="AE400" s="778">
        <f t="shared" si="535"/>
        <v>0</v>
      </c>
      <c r="AF400" s="781">
        <f t="shared" si="536"/>
        <v>0</v>
      </c>
      <c r="AG400" s="781">
        <f t="shared" si="537"/>
        <v>0</v>
      </c>
      <c r="AH400" s="781">
        <f t="shared" si="538"/>
        <v>0</v>
      </c>
      <c r="AI400" s="782">
        <f t="shared" si="539"/>
        <v>0</v>
      </c>
      <c r="AJ400" s="781">
        <f t="shared" si="540"/>
        <v>0</v>
      </c>
      <c r="AK400" s="781">
        <f t="shared" si="541"/>
        <v>0</v>
      </c>
      <c r="AL400" s="781">
        <f t="shared" si="542"/>
        <v>0</v>
      </c>
      <c r="AM400" s="781">
        <f t="shared" si="543"/>
        <v>0</v>
      </c>
      <c r="AN400" s="781">
        <f t="shared" si="544"/>
        <v>0</v>
      </c>
      <c r="AO400" s="781">
        <f t="shared" si="545"/>
        <v>0</v>
      </c>
      <c r="AP400" s="781">
        <f t="shared" si="546"/>
        <v>0</v>
      </c>
      <c r="AQ400" s="781">
        <f t="shared" si="547"/>
        <v>0</v>
      </c>
      <c r="AR400" s="781">
        <f t="shared" si="548"/>
        <v>0</v>
      </c>
      <c r="AS400" s="783">
        <f t="shared" si="549"/>
        <v>0</v>
      </c>
      <c r="AT400" s="917"/>
      <c r="AW400" s="832"/>
      <c r="AX400" s="833"/>
      <c r="BM400" s="2010"/>
    </row>
    <row r="401" spans="1:65" ht="15" hidden="1" outlineLevel="1" x14ac:dyDescent="0.25">
      <c r="A401" s="784"/>
      <c r="B401" s="904">
        <f t="shared" si="558"/>
        <v>383</v>
      </c>
      <c r="C401" s="170" t="str">
        <f t="shared" si="443"/>
        <v>65EA</v>
      </c>
      <c r="D401" s="557"/>
      <c r="E401" s="170"/>
      <c r="F401" s="170">
        <v>65</v>
      </c>
      <c r="G401" s="2007" t="s">
        <v>3126</v>
      </c>
      <c r="H401" s="2008"/>
      <c r="I401" s="2008" t="s">
        <v>732</v>
      </c>
      <c r="J401" s="1926"/>
      <c r="K401" s="1926"/>
      <c r="L401" s="488"/>
      <c r="M401" s="2009">
        <v>0</v>
      </c>
      <c r="N401" s="2010">
        <v>1</v>
      </c>
      <c r="O401" s="773">
        <v>0</v>
      </c>
      <c r="P401" s="2076" t="s">
        <v>39</v>
      </c>
      <c r="Q401" s="2008" t="s">
        <v>39</v>
      </c>
      <c r="R401" s="2011" t="s">
        <v>74</v>
      </c>
      <c r="S401" s="912">
        <f>SUMIF('Data Input sheet'!$B$118:$B$180,R401,'Data Input sheet'!$D$118:$D$180)</f>
        <v>152</v>
      </c>
      <c r="T401" s="2685">
        <v>0</v>
      </c>
      <c r="U401" s="2013">
        <v>14.8</v>
      </c>
      <c r="V401" s="778">
        <v>0</v>
      </c>
      <c r="W401" s="2010">
        <v>300</v>
      </c>
      <c r="X401" s="779"/>
      <c r="Y401" s="2012">
        <v>0</v>
      </c>
      <c r="Z401" s="780">
        <v>300</v>
      </c>
      <c r="AA401" s="2007"/>
      <c r="AB401" s="2007"/>
      <c r="AC401" s="765"/>
      <c r="AD401" s="781">
        <f t="shared" si="534"/>
        <v>0</v>
      </c>
      <c r="AE401" s="778">
        <f t="shared" si="535"/>
        <v>0</v>
      </c>
      <c r="AF401" s="781">
        <f t="shared" si="536"/>
        <v>0</v>
      </c>
      <c r="AG401" s="781">
        <f t="shared" si="537"/>
        <v>0</v>
      </c>
      <c r="AH401" s="781">
        <f t="shared" si="538"/>
        <v>0</v>
      </c>
      <c r="AI401" s="782">
        <f t="shared" si="539"/>
        <v>0</v>
      </c>
      <c r="AJ401" s="781">
        <f t="shared" si="540"/>
        <v>0</v>
      </c>
      <c r="AK401" s="781">
        <f t="shared" si="541"/>
        <v>0</v>
      </c>
      <c r="AL401" s="781">
        <f t="shared" si="542"/>
        <v>0</v>
      </c>
      <c r="AM401" s="781">
        <f t="shared" si="543"/>
        <v>0</v>
      </c>
      <c r="AN401" s="781">
        <f t="shared" si="544"/>
        <v>0</v>
      </c>
      <c r="AO401" s="781">
        <f t="shared" si="545"/>
        <v>0</v>
      </c>
      <c r="AP401" s="781">
        <f t="shared" si="546"/>
        <v>0</v>
      </c>
      <c r="AQ401" s="781">
        <f t="shared" si="547"/>
        <v>0</v>
      </c>
      <c r="AR401" s="781">
        <f t="shared" si="548"/>
        <v>0</v>
      </c>
      <c r="AS401" s="783">
        <f t="shared" si="549"/>
        <v>0</v>
      </c>
      <c r="AT401" s="917"/>
      <c r="AW401" s="832"/>
      <c r="AX401" s="833"/>
      <c r="BM401" s="2010"/>
    </row>
    <row r="402" spans="1:65" ht="15" hidden="1" outlineLevel="1" x14ac:dyDescent="0.25">
      <c r="A402" s="784"/>
      <c r="B402" s="904">
        <f t="shared" si="558"/>
        <v>384</v>
      </c>
      <c r="C402" s="170" t="str">
        <f t="shared" si="443"/>
        <v>65EA</v>
      </c>
      <c r="D402" s="557"/>
      <c r="E402" s="170"/>
      <c r="F402" s="170">
        <v>65</v>
      </c>
      <c r="G402" s="2007" t="s">
        <v>1721</v>
      </c>
      <c r="H402" s="2008"/>
      <c r="I402" s="2008" t="s">
        <v>732</v>
      </c>
      <c r="J402" s="1926"/>
      <c r="K402" s="1926"/>
      <c r="L402" s="488"/>
      <c r="M402" s="2009">
        <v>10</v>
      </c>
      <c r="N402" s="2010">
        <v>1</v>
      </c>
      <c r="O402" s="773">
        <v>0</v>
      </c>
      <c r="P402" s="2076" t="s">
        <v>39</v>
      </c>
      <c r="Q402" s="2008" t="s">
        <v>39</v>
      </c>
      <c r="R402" s="2011" t="s">
        <v>74</v>
      </c>
      <c r="S402" s="912">
        <f>SUMIF('Data Input sheet'!$B$118:$B$180,R402,'Data Input sheet'!$D$118:$D$180)</f>
        <v>152</v>
      </c>
      <c r="T402" s="2685">
        <v>0</v>
      </c>
      <c r="U402" s="2013">
        <v>45</v>
      </c>
      <c r="V402" s="778">
        <v>0</v>
      </c>
      <c r="W402" s="2010">
        <v>578</v>
      </c>
      <c r="X402" s="779"/>
      <c r="Y402" s="2012">
        <v>0</v>
      </c>
      <c r="Z402" s="780">
        <v>578</v>
      </c>
      <c r="AA402" s="2007"/>
      <c r="AB402" s="2007"/>
      <c r="AC402" s="765"/>
      <c r="AD402" s="781">
        <f t="shared" si="534"/>
        <v>0</v>
      </c>
      <c r="AE402" s="778">
        <f t="shared" si="535"/>
        <v>0</v>
      </c>
      <c r="AF402" s="781">
        <f t="shared" si="536"/>
        <v>0</v>
      </c>
      <c r="AG402" s="781">
        <f t="shared" si="537"/>
        <v>0</v>
      </c>
      <c r="AH402" s="781">
        <f t="shared" si="538"/>
        <v>0</v>
      </c>
      <c r="AI402" s="782">
        <f t="shared" si="539"/>
        <v>0</v>
      </c>
      <c r="AJ402" s="781">
        <f t="shared" si="540"/>
        <v>0</v>
      </c>
      <c r="AK402" s="781">
        <f t="shared" si="541"/>
        <v>0</v>
      </c>
      <c r="AL402" s="781">
        <f t="shared" si="542"/>
        <v>0</v>
      </c>
      <c r="AM402" s="781">
        <f t="shared" si="543"/>
        <v>0</v>
      </c>
      <c r="AN402" s="781">
        <f t="shared" si="544"/>
        <v>0</v>
      </c>
      <c r="AO402" s="781">
        <f t="shared" si="545"/>
        <v>0</v>
      </c>
      <c r="AP402" s="781">
        <f t="shared" si="546"/>
        <v>0</v>
      </c>
      <c r="AQ402" s="781">
        <f t="shared" si="547"/>
        <v>0</v>
      </c>
      <c r="AR402" s="781">
        <f t="shared" si="548"/>
        <v>0</v>
      </c>
      <c r="AS402" s="783">
        <f t="shared" si="549"/>
        <v>0</v>
      </c>
      <c r="AT402" s="917"/>
      <c r="AW402" s="832"/>
      <c r="AX402" s="833"/>
      <c r="BM402" s="2010"/>
    </row>
    <row r="403" spans="1:65" ht="15" hidden="1" outlineLevel="1" x14ac:dyDescent="0.25">
      <c r="A403" s="784"/>
      <c r="B403" s="904">
        <f t="shared" si="558"/>
        <v>385</v>
      </c>
      <c r="C403" s="170" t="str">
        <f t="shared" si="443"/>
        <v>65EA</v>
      </c>
      <c r="D403" s="557"/>
      <c r="E403" s="170"/>
      <c r="F403" s="170">
        <v>65</v>
      </c>
      <c r="G403" s="2493" t="s">
        <v>1722</v>
      </c>
      <c r="H403" s="2039"/>
      <c r="I403" s="2008" t="s">
        <v>732</v>
      </c>
      <c r="J403" s="2039"/>
      <c r="K403" s="2039"/>
      <c r="L403" s="488"/>
      <c r="M403" s="2041">
        <v>10</v>
      </c>
      <c r="N403" s="2043">
        <v>1</v>
      </c>
      <c r="O403" s="1967">
        <f>+M403*N403</f>
        <v>10</v>
      </c>
      <c r="P403" s="2076" t="s">
        <v>39</v>
      </c>
      <c r="Q403" s="2008" t="s">
        <v>39</v>
      </c>
      <c r="R403" s="2011" t="s">
        <v>74</v>
      </c>
      <c r="S403" s="912">
        <f>SUMIF('Data Input sheet'!$B$118:$B$180,R403,'Data Input sheet'!$D$118:$D$180)</f>
        <v>152</v>
      </c>
      <c r="T403" s="2686">
        <f t="shared" ref="T403" si="559">ROUND(O403*S403,0)</f>
        <v>1520</v>
      </c>
      <c r="U403" s="2042">
        <v>45</v>
      </c>
      <c r="V403" s="1981">
        <f t="shared" ref="V403:V416" si="560">ROUND(U403*O403,0)</f>
        <v>450</v>
      </c>
      <c r="W403" s="2046">
        <v>2599.5100000000002</v>
      </c>
      <c r="X403" s="2502"/>
      <c r="Y403" s="2047">
        <v>0</v>
      </c>
      <c r="Z403" s="780">
        <f>T403+V403+W403+Y403</f>
        <v>4569.51</v>
      </c>
      <c r="AA403" s="2007"/>
      <c r="AB403" s="2007" t="s">
        <v>3125</v>
      </c>
      <c r="AC403" s="765"/>
      <c r="AD403" s="781">
        <f t="shared" si="534"/>
        <v>0</v>
      </c>
      <c r="AE403" s="778">
        <f t="shared" si="535"/>
        <v>0</v>
      </c>
      <c r="AF403" s="781">
        <f t="shared" si="536"/>
        <v>0</v>
      </c>
      <c r="AG403" s="781">
        <f t="shared" si="537"/>
        <v>0</v>
      </c>
      <c r="AH403" s="781">
        <f t="shared" si="538"/>
        <v>0</v>
      </c>
      <c r="AI403" s="782">
        <f t="shared" si="539"/>
        <v>0</v>
      </c>
      <c r="AJ403" s="781">
        <f t="shared" si="540"/>
        <v>0</v>
      </c>
      <c r="AK403" s="781">
        <f t="shared" si="541"/>
        <v>0</v>
      </c>
      <c r="AL403" s="781">
        <f t="shared" si="542"/>
        <v>0</v>
      </c>
      <c r="AM403" s="781">
        <f t="shared" si="543"/>
        <v>0</v>
      </c>
      <c r="AN403" s="781">
        <f t="shared" si="544"/>
        <v>0</v>
      </c>
      <c r="AO403" s="781">
        <f t="shared" si="545"/>
        <v>0</v>
      </c>
      <c r="AP403" s="781">
        <f t="shared" si="546"/>
        <v>0</v>
      </c>
      <c r="AQ403" s="781">
        <f t="shared" si="547"/>
        <v>0</v>
      </c>
      <c r="AR403" s="781">
        <f t="shared" si="548"/>
        <v>0</v>
      </c>
      <c r="AS403" s="783">
        <f t="shared" si="549"/>
        <v>0</v>
      </c>
      <c r="AT403" s="917"/>
      <c r="AW403" s="832"/>
      <c r="AX403" s="833"/>
    </row>
    <row r="404" spans="1:65" ht="15" hidden="1" outlineLevel="1" x14ac:dyDescent="0.25">
      <c r="A404" s="787"/>
      <c r="B404" s="904">
        <f t="shared" si="558"/>
        <v>386</v>
      </c>
      <c r="C404" s="170" t="str">
        <f t="shared" ref="C404:C473" si="561">+F404&amp;I404</f>
        <v>63EA</v>
      </c>
      <c r="D404" s="906"/>
      <c r="E404" s="170"/>
      <c r="F404" s="170">
        <v>63</v>
      </c>
      <c r="G404" s="2007" t="s">
        <v>1168</v>
      </c>
      <c r="H404" s="1926">
        <v>0</v>
      </c>
      <c r="I404" s="2008" t="s">
        <v>732</v>
      </c>
      <c r="J404" s="1926"/>
      <c r="K404" s="1926"/>
      <c r="L404" s="488"/>
      <c r="M404" s="2009">
        <v>10</v>
      </c>
      <c r="N404" s="2010">
        <v>1</v>
      </c>
      <c r="O404" s="773">
        <f>+M404*N404</f>
        <v>10</v>
      </c>
      <c r="P404" s="2076" t="s">
        <v>39</v>
      </c>
      <c r="Q404" s="2008" t="s">
        <v>39</v>
      </c>
      <c r="R404" s="2011" t="s">
        <v>74</v>
      </c>
      <c r="S404" s="912">
        <f>SUMIF('Data Input sheet'!$B$118:$B$180,R404,'Data Input sheet'!$D$118:$D$180)</f>
        <v>152</v>
      </c>
      <c r="T404" s="2685">
        <f t="shared" ref="T404:T407" si="562">+O404*S404</f>
        <v>1520</v>
      </c>
      <c r="U404" s="2042">
        <v>45</v>
      </c>
      <c r="V404" s="778">
        <f t="shared" si="560"/>
        <v>450</v>
      </c>
      <c r="W404" s="2010">
        <v>1312.5813043200003</v>
      </c>
      <c r="X404" s="779"/>
      <c r="Y404" s="2012"/>
      <c r="Z404" s="780">
        <f>T404+V404+W404+Y404</f>
        <v>3282.5813043200005</v>
      </c>
      <c r="AA404" s="2007"/>
      <c r="AB404" s="2007"/>
      <c r="AC404" s="765"/>
      <c r="AD404" s="781">
        <f t="shared" si="534"/>
        <v>0</v>
      </c>
      <c r="AE404" s="778">
        <f t="shared" si="535"/>
        <v>0</v>
      </c>
      <c r="AF404" s="781">
        <f t="shared" si="536"/>
        <v>0</v>
      </c>
      <c r="AG404" s="781">
        <f t="shared" si="537"/>
        <v>0</v>
      </c>
      <c r="AH404" s="781">
        <f t="shared" si="538"/>
        <v>0</v>
      </c>
      <c r="AI404" s="782">
        <f t="shared" si="539"/>
        <v>0</v>
      </c>
      <c r="AJ404" s="781">
        <f t="shared" si="540"/>
        <v>0</v>
      </c>
      <c r="AK404" s="781">
        <f t="shared" si="541"/>
        <v>0</v>
      </c>
      <c r="AL404" s="781">
        <f t="shared" si="542"/>
        <v>0</v>
      </c>
      <c r="AM404" s="781">
        <f t="shared" si="543"/>
        <v>0</v>
      </c>
      <c r="AN404" s="781">
        <f t="shared" si="544"/>
        <v>0</v>
      </c>
      <c r="AO404" s="781">
        <f t="shared" si="545"/>
        <v>0</v>
      </c>
      <c r="AP404" s="781">
        <f t="shared" si="546"/>
        <v>0</v>
      </c>
      <c r="AQ404" s="781">
        <f t="shared" si="547"/>
        <v>0</v>
      </c>
      <c r="AR404" s="781">
        <f t="shared" si="548"/>
        <v>0</v>
      </c>
      <c r="AS404" s="783">
        <f t="shared" si="549"/>
        <v>0</v>
      </c>
      <c r="AT404" s="917"/>
      <c r="AV404" s="170"/>
      <c r="AW404" s="832"/>
      <c r="AX404" s="833" t="s">
        <v>3030</v>
      </c>
      <c r="BM404" s="2010">
        <v>1312.5813043200003</v>
      </c>
    </row>
    <row r="405" spans="1:65" ht="15" hidden="1" outlineLevel="1" x14ac:dyDescent="0.25">
      <c r="A405" s="787"/>
      <c r="B405" s="904">
        <f t="shared" si="558"/>
        <v>387</v>
      </c>
      <c r="C405" s="170" t="str">
        <f t="shared" si="561"/>
        <v>63EA</v>
      </c>
      <c r="D405" s="906"/>
      <c r="E405" s="170"/>
      <c r="F405" s="170">
        <v>63</v>
      </c>
      <c r="G405" s="2007" t="s">
        <v>1169</v>
      </c>
      <c r="H405" s="1926"/>
      <c r="I405" s="2008" t="s">
        <v>732</v>
      </c>
      <c r="J405" s="1926"/>
      <c r="K405" s="1926"/>
      <c r="L405" s="488"/>
      <c r="M405" s="2009">
        <v>10</v>
      </c>
      <c r="N405" s="2010">
        <v>1</v>
      </c>
      <c r="O405" s="773">
        <f>+M405*N405</f>
        <v>10</v>
      </c>
      <c r="P405" s="2076" t="s">
        <v>39</v>
      </c>
      <c r="Q405" s="2008" t="s">
        <v>39</v>
      </c>
      <c r="R405" s="2011" t="s">
        <v>74</v>
      </c>
      <c r="S405" s="912">
        <f>SUMIF('Data Input sheet'!$B$118:$B$180,R405,'Data Input sheet'!$D$118:$D$180)</f>
        <v>152</v>
      </c>
      <c r="T405" s="2685">
        <f t="shared" si="562"/>
        <v>1520</v>
      </c>
      <c r="U405" s="2042">
        <v>45</v>
      </c>
      <c r="V405" s="778">
        <f t="shared" si="560"/>
        <v>450</v>
      </c>
      <c r="W405" s="2010">
        <v>477.30229248000006</v>
      </c>
      <c r="X405" s="779"/>
      <c r="Y405" s="2012"/>
      <c r="Z405" s="780">
        <f>T405+V405+W405+Y405</f>
        <v>2447.3022924800002</v>
      </c>
      <c r="AA405" s="2007"/>
      <c r="AB405" s="2007"/>
      <c r="AC405" s="765"/>
      <c r="AD405" s="781">
        <f t="shared" si="534"/>
        <v>0</v>
      </c>
      <c r="AE405" s="778">
        <f t="shared" si="535"/>
        <v>0</v>
      </c>
      <c r="AF405" s="781">
        <f t="shared" si="536"/>
        <v>0</v>
      </c>
      <c r="AG405" s="781">
        <f t="shared" si="537"/>
        <v>0</v>
      </c>
      <c r="AH405" s="781">
        <f t="shared" si="538"/>
        <v>0</v>
      </c>
      <c r="AI405" s="782">
        <f t="shared" si="539"/>
        <v>0</v>
      </c>
      <c r="AJ405" s="781">
        <f t="shared" si="540"/>
        <v>0</v>
      </c>
      <c r="AK405" s="781">
        <f t="shared" si="541"/>
        <v>0</v>
      </c>
      <c r="AL405" s="781">
        <f t="shared" si="542"/>
        <v>0</v>
      </c>
      <c r="AM405" s="781">
        <f t="shared" si="543"/>
        <v>0</v>
      </c>
      <c r="AN405" s="781">
        <f t="shared" si="544"/>
        <v>0</v>
      </c>
      <c r="AO405" s="781">
        <f t="shared" si="545"/>
        <v>0</v>
      </c>
      <c r="AP405" s="781">
        <f t="shared" si="546"/>
        <v>0</v>
      </c>
      <c r="AQ405" s="781">
        <f t="shared" si="547"/>
        <v>0</v>
      </c>
      <c r="AR405" s="781">
        <f t="shared" si="548"/>
        <v>0</v>
      </c>
      <c r="AS405" s="783">
        <f t="shared" si="549"/>
        <v>0</v>
      </c>
      <c r="AT405" s="917"/>
      <c r="AV405" s="170"/>
      <c r="AW405" s="832"/>
      <c r="AX405" s="833" t="s">
        <v>3030</v>
      </c>
      <c r="BM405" s="2010">
        <v>477.30229248000006</v>
      </c>
    </row>
    <row r="406" spans="1:65" ht="15" hidden="1" outlineLevel="1" x14ac:dyDescent="0.25">
      <c r="A406" s="787"/>
      <c r="B406" s="904">
        <f t="shared" si="558"/>
        <v>388</v>
      </c>
      <c r="C406" s="170" t="str">
        <f t="shared" si="561"/>
        <v>63EA</v>
      </c>
      <c r="D406" s="906"/>
      <c r="E406" s="170"/>
      <c r="F406" s="170">
        <v>63</v>
      </c>
      <c r="G406" s="2007" t="s">
        <v>1895</v>
      </c>
      <c r="H406" s="1926"/>
      <c r="I406" s="2008" t="s">
        <v>732</v>
      </c>
      <c r="J406" s="1926"/>
      <c r="K406" s="1926"/>
      <c r="L406" s="488"/>
      <c r="M406" s="2009">
        <v>20</v>
      </c>
      <c r="N406" s="2010">
        <v>1</v>
      </c>
      <c r="O406" s="773">
        <f>+M406*N406</f>
        <v>20</v>
      </c>
      <c r="P406" s="2076" t="s">
        <v>39</v>
      </c>
      <c r="Q406" s="2008" t="s">
        <v>39</v>
      </c>
      <c r="R406" s="2011" t="s">
        <v>74</v>
      </c>
      <c r="S406" s="912">
        <f>SUMIF('Data Input sheet'!$B$118:$B$180,R406,'Data Input sheet'!$D$118:$D$180)</f>
        <v>152</v>
      </c>
      <c r="T406" s="2685">
        <f t="shared" si="562"/>
        <v>3040</v>
      </c>
      <c r="U406" s="2042">
        <v>45</v>
      </c>
      <c r="V406" s="778">
        <f t="shared" si="560"/>
        <v>900</v>
      </c>
      <c r="W406" s="2010"/>
      <c r="X406" s="779"/>
      <c r="Y406" s="2012"/>
      <c r="Z406" s="780">
        <f>T406+V406+W406+Y406</f>
        <v>3940</v>
      </c>
      <c r="AA406" s="2007"/>
      <c r="AB406" s="2007"/>
      <c r="AC406" s="765"/>
      <c r="AD406" s="781">
        <f t="shared" si="534"/>
        <v>0</v>
      </c>
      <c r="AE406" s="778">
        <f t="shared" si="535"/>
        <v>0</v>
      </c>
      <c r="AF406" s="781">
        <f t="shared" si="536"/>
        <v>0</v>
      </c>
      <c r="AG406" s="781">
        <f t="shared" si="537"/>
        <v>0</v>
      </c>
      <c r="AH406" s="781">
        <f t="shared" si="538"/>
        <v>0</v>
      </c>
      <c r="AI406" s="782">
        <f t="shared" si="539"/>
        <v>0</v>
      </c>
      <c r="AJ406" s="781">
        <f t="shared" si="540"/>
        <v>0</v>
      </c>
      <c r="AK406" s="781">
        <f t="shared" si="541"/>
        <v>0</v>
      </c>
      <c r="AL406" s="781">
        <f t="shared" si="542"/>
        <v>0</v>
      </c>
      <c r="AM406" s="781">
        <f t="shared" si="543"/>
        <v>0</v>
      </c>
      <c r="AN406" s="781">
        <f t="shared" si="544"/>
        <v>0</v>
      </c>
      <c r="AO406" s="781">
        <f t="shared" si="545"/>
        <v>0</v>
      </c>
      <c r="AP406" s="781">
        <f t="shared" si="546"/>
        <v>0</v>
      </c>
      <c r="AQ406" s="781">
        <f t="shared" si="547"/>
        <v>0</v>
      </c>
      <c r="AR406" s="781">
        <f t="shared" si="548"/>
        <v>0</v>
      </c>
      <c r="AS406" s="783">
        <f t="shared" si="549"/>
        <v>0</v>
      </c>
      <c r="AT406" s="917"/>
      <c r="AV406" s="170"/>
      <c r="AW406" s="832"/>
      <c r="AX406" s="833" t="s">
        <v>3030</v>
      </c>
      <c r="BM406" s="2010"/>
    </row>
    <row r="407" spans="1:65" ht="15" hidden="1" outlineLevel="1" x14ac:dyDescent="0.25">
      <c r="A407" s="787"/>
      <c r="B407" s="904">
        <f t="shared" si="558"/>
        <v>389</v>
      </c>
      <c r="C407" s="170" t="str">
        <f t="shared" si="561"/>
        <v>63EA</v>
      </c>
      <c r="D407" s="906"/>
      <c r="E407" s="170"/>
      <c r="F407" s="170">
        <v>63</v>
      </c>
      <c r="G407" s="2007" t="s">
        <v>1896</v>
      </c>
      <c r="H407" s="1926"/>
      <c r="I407" s="2008" t="s">
        <v>732</v>
      </c>
      <c r="J407" s="1926"/>
      <c r="K407" s="1926"/>
      <c r="L407" s="488"/>
      <c r="M407" s="2009">
        <v>6</v>
      </c>
      <c r="N407" s="2010">
        <v>1</v>
      </c>
      <c r="O407" s="773">
        <f>+M407*N407</f>
        <v>6</v>
      </c>
      <c r="P407" s="2076" t="s">
        <v>39</v>
      </c>
      <c r="Q407" s="2008" t="s">
        <v>39</v>
      </c>
      <c r="R407" s="2011" t="s">
        <v>74</v>
      </c>
      <c r="S407" s="912">
        <f>SUMIF('Data Input sheet'!$B$118:$B$180,R407,'Data Input sheet'!$D$118:$D$180)</f>
        <v>152</v>
      </c>
      <c r="T407" s="2685">
        <f t="shared" si="562"/>
        <v>912</v>
      </c>
      <c r="U407" s="2013">
        <v>21</v>
      </c>
      <c r="V407" s="778">
        <f t="shared" si="560"/>
        <v>126</v>
      </c>
      <c r="W407" s="2010"/>
      <c r="X407" s="779"/>
      <c r="Y407" s="2012"/>
      <c r="Z407" s="780">
        <f>T407+V407+W407+Y407</f>
        <v>1038</v>
      </c>
      <c r="AA407" s="2007"/>
      <c r="AB407" s="2007"/>
      <c r="AC407" s="765"/>
      <c r="AD407" s="781">
        <f t="shared" si="534"/>
        <v>0</v>
      </c>
      <c r="AE407" s="778">
        <f t="shared" si="535"/>
        <v>0</v>
      </c>
      <c r="AF407" s="781">
        <f t="shared" si="536"/>
        <v>0</v>
      </c>
      <c r="AG407" s="781">
        <f t="shared" si="537"/>
        <v>0</v>
      </c>
      <c r="AH407" s="781">
        <f t="shared" si="538"/>
        <v>0</v>
      </c>
      <c r="AI407" s="782">
        <f t="shared" si="539"/>
        <v>0</v>
      </c>
      <c r="AJ407" s="781">
        <f t="shared" si="540"/>
        <v>0</v>
      </c>
      <c r="AK407" s="781">
        <f t="shared" si="541"/>
        <v>0</v>
      </c>
      <c r="AL407" s="781">
        <f t="shared" si="542"/>
        <v>0</v>
      </c>
      <c r="AM407" s="781">
        <f t="shared" si="543"/>
        <v>0</v>
      </c>
      <c r="AN407" s="781">
        <f t="shared" si="544"/>
        <v>0</v>
      </c>
      <c r="AO407" s="781">
        <f t="shared" si="545"/>
        <v>0</v>
      </c>
      <c r="AP407" s="781">
        <f t="shared" si="546"/>
        <v>0</v>
      </c>
      <c r="AQ407" s="781">
        <f t="shared" si="547"/>
        <v>0</v>
      </c>
      <c r="AR407" s="781">
        <f t="shared" si="548"/>
        <v>0</v>
      </c>
      <c r="AS407" s="783">
        <f t="shared" si="549"/>
        <v>0</v>
      </c>
      <c r="AT407" s="917"/>
      <c r="AV407" s="170"/>
      <c r="AW407" s="832"/>
      <c r="AX407" s="833" t="s">
        <v>3030</v>
      </c>
      <c r="BM407" s="2010"/>
    </row>
    <row r="408" spans="1:65" ht="15.75" hidden="1" outlineLevel="1" thickBot="1" x14ac:dyDescent="0.3">
      <c r="A408" s="784"/>
      <c r="B408" s="904">
        <f t="shared" si="558"/>
        <v>390</v>
      </c>
      <c r="C408" s="170" t="str">
        <f t="shared" si="561"/>
        <v/>
      </c>
      <c r="D408" s="557"/>
      <c r="E408" s="170"/>
      <c r="F408" s="170"/>
      <c r="G408" s="2491" t="s">
        <v>3138</v>
      </c>
      <c r="H408" s="2635"/>
      <c r="I408" s="2008"/>
      <c r="J408" s="2039"/>
      <c r="K408" s="2039"/>
      <c r="L408" s="488"/>
      <c r="M408" s="2041"/>
      <c r="N408" s="2043"/>
      <c r="O408" s="2499"/>
      <c r="P408" s="2076"/>
      <c r="Q408" s="2008"/>
      <c r="R408" s="2011"/>
      <c r="S408" s="912">
        <f>SUMIF('Data Input sheet'!$B$118:$B$180,R408,'Data Input sheet'!$D$118:$D$180)</f>
        <v>0</v>
      </c>
      <c r="T408" s="2686"/>
      <c r="U408" s="2042"/>
      <c r="V408" s="2501">
        <f t="shared" si="560"/>
        <v>0</v>
      </c>
      <c r="W408" s="2044"/>
      <c r="X408" s="2503"/>
      <c r="Y408" s="2047"/>
      <c r="Z408" s="2500"/>
      <c r="AA408" s="2007"/>
      <c r="AB408" s="2007"/>
      <c r="AC408" s="765"/>
      <c r="AD408" s="781">
        <f t="shared" si="534"/>
        <v>0</v>
      </c>
      <c r="AE408" s="778">
        <f t="shared" si="535"/>
        <v>0</v>
      </c>
      <c r="AF408" s="781">
        <f t="shared" si="536"/>
        <v>0</v>
      </c>
      <c r="AG408" s="781">
        <f t="shared" si="537"/>
        <v>0</v>
      </c>
      <c r="AH408" s="781">
        <f t="shared" si="538"/>
        <v>0</v>
      </c>
      <c r="AI408" s="782">
        <f t="shared" si="539"/>
        <v>0</v>
      </c>
      <c r="AJ408" s="781">
        <f t="shared" si="540"/>
        <v>0</v>
      </c>
      <c r="AK408" s="781">
        <f t="shared" si="541"/>
        <v>0</v>
      </c>
      <c r="AL408" s="781">
        <f t="shared" si="542"/>
        <v>0</v>
      </c>
      <c r="AM408" s="781">
        <f t="shared" si="543"/>
        <v>0</v>
      </c>
      <c r="AN408" s="781">
        <f t="shared" si="544"/>
        <v>0</v>
      </c>
      <c r="AO408" s="781">
        <f t="shared" si="545"/>
        <v>0</v>
      </c>
      <c r="AP408" s="781">
        <f t="shared" si="546"/>
        <v>0</v>
      </c>
      <c r="AQ408" s="781">
        <f t="shared" si="547"/>
        <v>0</v>
      </c>
      <c r="AR408" s="781">
        <f t="shared" si="548"/>
        <v>0</v>
      </c>
      <c r="AS408" s="783">
        <f t="shared" si="549"/>
        <v>0</v>
      </c>
      <c r="AT408" s="917"/>
      <c r="AW408" s="832"/>
      <c r="AX408" s="833"/>
    </row>
    <row r="409" spans="1:65" ht="15" hidden="1" outlineLevel="1" x14ac:dyDescent="0.25">
      <c r="A409" s="784"/>
      <c r="B409" s="904">
        <f t="shared" si="558"/>
        <v>391</v>
      </c>
      <c r="C409" s="170" t="str">
        <f t="shared" ref="C409:C411" si="563">+F409&amp;I409</f>
        <v>38LF</v>
      </c>
      <c r="D409" s="557"/>
      <c r="E409" s="170"/>
      <c r="F409" s="170">
        <v>38</v>
      </c>
      <c r="G409" s="2068" t="s">
        <v>2841</v>
      </c>
      <c r="H409" s="2039">
        <v>0</v>
      </c>
      <c r="I409" s="2008" t="s">
        <v>728</v>
      </c>
      <c r="J409" s="2039"/>
      <c r="K409" s="2039"/>
      <c r="L409" s="488"/>
      <c r="M409" s="2041">
        <v>0</v>
      </c>
      <c r="N409" s="2043">
        <v>1</v>
      </c>
      <c r="O409" s="1967">
        <f t="shared" ref="O409:O411" si="564">+M409*N409</f>
        <v>0</v>
      </c>
      <c r="P409" s="2076" t="s">
        <v>39</v>
      </c>
      <c r="Q409" s="2008" t="s">
        <v>39</v>
      </c>
      <c r="R409" s="2011" t="s">
        <v>74</v>
      </c>
      <c r="S409" s="912">
        <f>SUMIF('Data Input sheet'!$B$118:$B$180,R409,'Data Input sheet'!$D$118:$D$180)</f>
        <v>152</v>
      </c>
      <c r="T409" s="2686">
        <f t="shared" ref="T409:T410" si="565">ROUND(O409*S409,0)</f>
        <v>0</v>
      </c>
      <c r="U409" s="2042">
        <v>14.8</v>
      </c>
      <c r="V409" s="1981">
        <f t="shared" ref="V409:V411" si="566">ROUND(U409*O409,0)</f>
        <v>0</v>
      </c>
      <c r="W409" s="2045">
        <v>375</v>
      </c>
      <c r="X409" s="2502"/>
      <c r="Y409" s="2047">
        <v>0</v>
      </c>
      <c r="Z409" s="780">
        <f t="shared" ref="Z409:Z411" si="567">T409+V409+W409+Y409</f>
        <v>375</v>
      </c>
      <c r="AA409" s="2007"/>
      <c r="AB409" s="2007"/>
      <c r="AC409" s="765"/>
      <c r="AD409" s="781">
        <f t="shared" ref="AD409:AD411" si="568">IF(P409="E",+ROUND(H409*O409,0),0)</f>
        <v>0</v>
      </c>
      <c r="AE409" s="778">
        <f t="shared" ref="AE409:AE411" si="569">+AF409-AD409</f>
        <v>0</v>
      </c>
      <c r="AF409" s="781">
        <f t="shared" ref="AF409:AF411" si="570">+H409*O409</f>
        <v>0</v>
      </c>
      <c r="AG409" s="781">
        <f t="shared" ref="AG409:AG411" si="571">IF(P409="E",+ROUND(T409*H409,0),0)</f>
        <v>0</v>
      </c>
      <c r="AH409" s="781">
        <f t="shared" ref="AH409:AH411" si="572">+AI409-AG409</f>
        <v>0</v>
      </c>
      <c r="AI409" s="782">
        <f t="shared" ref="AI409:AI411" si="573">+H409*T409</f>
        <v>0</v>
      </c>
      <c r="AJ409" s="781">
        <f t="shared" ref="AJ409:AJ411" si="574">IF(P409="E",+ROUND(V409*H409,0),0)</f>
        <v>0</v>
      </c>
      <c r="AK409" s="781">
        <f t="shared" ref="AK409:AK411" si="575">+AL409-AJ409</f>
        <v>0</v>
      </c>
      <c r="AL409" s="781">
        <f t="shared" ref="AL409:AL411" si="576">ROUND(V409*H409,0)</f>
        <v>0</v>
      </c>
      <c r="AM409" s="781">
        <f t="shared" ref="AM409:AM411" si="577">IF(Q409="E",+ROUND(W409*H409,0),0)</f>
        <v>0</v>
      </c>
      <c r="AN409" s="781">
        <f t="shared" ref="AN409:AN411" si="578">+AO409-AM409</f>
        <v>0</v>
      </c>
      <c r="AO409" s="781">
        <f t="shared" ref="AO409:AO411" si="579">ROUND(W409*H409,0)</f>
        <v>0</v>
      </c>
      <c r="AP409" s="781">
        <f t="shared" ref="AP409:AP411" si="580">IF(P409="E",+ROUND(Y409*H409,0),0)</f>
        <v>0</v>
      </c>
      <c r="AQ409" s="781">
        <f t="shared" ref="AQ409:AQ411" si="581">+AR409-AP409</f>
        <v>0</v>
      </c>
      <c r="AR409" s="781">
        <f t="shared" ref="AR409:AR411" si="582">ROUND(Y409*H409,0)</f>
        <v>0</v>
      </c>
      <c r="AS409" s="783">
        <f t="shared" ref="AS409:AS411" si="583">+AR409+AO409+AL409+AI409</f>
        <v>0</v>
      </c>
      <c r="AT409" s="917"/>
      <c r="AW409" s="832"/>
      <c r="AX409" s="833"/>
    </row>
    <row r="410" spans="1:65" ht="15" hidden="1" outlineLevel="1" x14ac:dyDescent="0.25">
      <c r="A410" s="784"/>
      <c r="B410" s="904">
        <f t="shared" si="558"/>
        <v>392</v>
      </c>
      <c r="C410" s="170" t="str">
        <f t="shared" si="563"/>
        <v>38EA</v>
      </c>
      <c r="D410" s="557"/>
      <c r="E410" s="170"/>
      <c r="F410" s="170">
        <v>38</v>
      </c>
      <c r="G410" s="2068" t="s">
        <v>2842</v>
      </c>
      <c r="H410" s="2039">
        <v>0</v>
      </c>
      <c r="I410" s="2008" t="s">
        <v>732</v>
      </c>
      <c r="J410" s="2039"/>
      <c r="K410" s="2039"/>
      <c r="L410" s="488"/>
      <c r="M410" s="2041">
        <v>0</v>
      </c>
      <c r="N410" s="2043">
        <v>1</v>
      </c>
      <c r="O410" s="1967">
        <f t="shared" si="564"/>
        <v>0</v>
      </c>
      <c r="P410" s="2076" t="s">
        <v>39</v>
      </c>
      <c r="Q410" s="2008" t="s">
        <v>39</v>
      </c>
      <c r="R410" s="2011" t="s">
        <v>74</v>
      </c>
      <c r="S410" s="912">
        <f>SUMIF('Data Input sheet'!$B$118:$B$180,R410,'Data Input sheet'!$D$118:$D$180)</f>
        <v>152</v>
      </c>
      <c r="T410" s="2686">
        <f t="shared" si="565"/>
        <v>0</v>
      </c>
      <c r="U410" s="2042">
        <v>14.8</v>
      </c>
      <c r="V410" s="1981">
        <f t="shared" si="566"/>
        <v>0</v>
      </c>
      <c r="W410" s="2045">
        <v>90000</v>
      </c>
      <c r="X410" s="2502"/>
      <c r="Y410" s="2047">
        <v>0</v>
      </c>
      <c r="Z410" s="780">
        <f t="shared" si="567"/>
        <v>90000</v>
      </c>
      <c r="AA410" s="2007"/>
      <c r="AB410" s="2007"/>
      <c r="AC410" s="765"/>
      <c r="AD410" s="781">
        <f t="shared" si="568"/>
        <v>0</v>
      </c>
      <c r="AE410" s="778">
        <f t="shared" si="569"/>
        <v>0</v>
      </c>
      <c r="AF410" s="781">
        <f t="shared" si="570"/>
        <v>0</v>
      </c>
      <c r="AG410" s="781">
        <f t="shared" si="571"/>
        <v>0</v>
      </c>
      <c r="AH410" s="781">
        <f t="shared" si="572"/>
        <v>0</v>
      </c>
      <c r="AI410" s="782">
        <f t="shared" si="573"/>
        <v>0</v>
      </c>
      <c r="AJ410" s="781">
        <f t="shared" si="574"/>
        <v>0</v>
      </c>
      <c r="AK410" s="781">
        <f t="shared" si="575"/>
        <v>0</v>
      </c>
      <c r="AL410" s="781">
        <f t="shared" si="576"/>
        <v>0</v>
      </c>
      <c r="AM410" s="781">
        <f t="shared" si="577"/>
        <v>0</v>
      </c>
      <c r="AN410" s="781">
        <f t="shared" si="578"/>
        <v>0</v>
      </c>
      <c r="AO410" s="781">
        <f t="shared" si="579"/>
        <v>0</v>
      </c>
      <c r="AP410" s="781">
        <f t="shared" si="580"/>
        <v>0</v>
      </c>
      <c r="AQ410" s="781">
        <f t="shared" si="581"/>
        <v>0</v>
      </c>
      <c r="AR410" s="781">
        <f t="shared" si="582"/>
        <v>0</v>
      </c>
      <c r="AS410" s="783">
        <f t="shared" si="583"/>
        <v>0</v>
      </c>
      <c r="AT410" s="917"/>
      <c r="AW410" s="832"/>
      <c r="AX410" s="833"/>
    </row>
    <row r="411" spans="1:65" ht="15" hidden="1" outlineLevel="1" x14ac:dyDescent="0.25">
      <c r="A411" s="784"/>
      <c r="B411" s="904">
        <f t="shared" si="558"/>
        <v>393</v>
      </c>
      <c r="C411" s="170" t="str">
        <f t="shared" si="563"/>
        <v>38EA</v>
      </c>
      <c r="D411" s="557"/>
      <c r="E411" s="170"/>
      <c r="F411" s="170">
        <v>38</v>
      </c>
      <c r="G411" s="2007" t="s">
        <v>2490</v>
      </c>
      <c r="H411" s="1926"/>
      <c r="I411" s="2008" t="s">
        <v>732</v>
      </c>
      <c r="J411" s="1926"/>
      <c r="K411" s="1926"/>
      <c r="L411" s="488"/>
      <c r="M411" s="2009">
        <v>42</v>
      </c>
      <c r="N411" s="2010">
        <v>1</v>
      </c>
      <c r="O411" s="773">
        <f t="shared" si="564"/>
        <v>42</v>
      </c>
      <c r="P411" s="2076" t="s">
        <v>39</v>
      </c>
      <c r="Q411" s="2008" t="s">
        <v>39</v>
      </c>
      <c r="R411" s="2011" t="s">
        <v>74</v>
      </c>
      <c r="S411" s="912">
        <f>SUMIF('Data Input sheet'!$B$118:$B$180,R411,'Data Input sheet'!$D$118:$D$180)</f>
        <v>152</v>
      </c>
      <c r="T411" s="2685">
        <f t="shared" ref="T411" si="584">+O411*S411</f>
        <v>6384</v>
      </c>
      <c r="U411" s="2013">
        <v>28</v>
      </c>
      <c r="V411" s="778">
        <f t="shared" si="566"/>
        <v>1176</v>
      </c>
      <c r="W411" s="2010">
        <v>34204.675534848</v>
      </c>
      <c r="X411" s="779"/>
      <c r="Y411" s="2012"/>
      <c r="Z411" s="780">
        <f t="shared" si="567"/>
        <v>41764.675534848</v>
      </c>
      <c r="AA411" s="2007"/>
      <c r="AB411" s="2007"/>
      <c r="AC411" s="765"/>
      <c r="AD411" s="781">
        <f t="shared" si="568"/>
        <v>0</v>
      </c>
      <c r="AE411" s="778">
        <f t="shared" si="569"/>
        <v>0</v>
      </c>
      <c r="AF411" s="781">
        <f t="shared" si="570"/>
        <v>0</v>
      </c>
      <c r="AG411" s="781">
        <f t="shared" si="571"/>
        <v>0</v>
      </c>
      <c r="AH411" s="781">
        <f t="shared" si="572"/>
        <v>0</v>
      </c>
      <c r="AI411" s="782">
        <f t="shared" si="573"/>
        <v>0</v>
      </c>
      <c r="AJ411" s="781">
        <f t="shared" si="574"/>
        <v>0</v>
      </c>
      <c r="AK411" s="781">
        <f t="shared" si="575"/>
        <v>0</v>
      </c>
      <c r="AL411" s="781">
        <f t="shared" si="576"/>
        <v>0</v>
      </c>
      <c r="AM411" s="781">
        <f t="shared" si="577"/>
        <v>0</v>
      </c>
      <c r="AN411" s="781">
        <f t="shared" si="578"/>
        <v>0</v>
      </c>
      <c r="AO411" s="781">
        <f t="shared" si="579"/>
        <v>0</v>
      </c>
      <c r="AP411" s="781">
        <f t="shared" si="580"/>
        <v>0</v>
      </c>
      <c r="AQ411" s="781">
        <f t="shared" si="581"/>
        <v>0</v>
      </c>
      <c r="AR411" s="781">
        <f t="shared" si="582"/>
        <v>0</v>
      </c>
      <c r="AS411" s="783">
        <f t="shared" si="583"/>
        <v>0</v>
      </c>
      <c r="AT411" s="917"/>
      <c r="AW411" s="832"/>
      <c r="AX411" s="833" t="s">
        <v>3030</v>
      </c>
      <c r="BM411" s="2010">
        <v>34204.675534848</v>
      </c>
    </row>
    <row r="412" spans="1:65" ht="15" hidden="1" outlineLevel="1" x14ac:dyDescent="0.25">
      <c r="A412" s="784"/>
      <c r="B412" s="904">
        <f>+B411+1</f>
        <v>394</v>
      </c>
      <c r="C412" s="170" t="str">
        <f t="shared" si="561"/>
        <v>38LF</v>
      </c>
      <c r="D412" s="557"/>
      <c r="E412" s="170"/>
      <c r="F412" s="170">
        <v>38</v>
      </c>
      <c r="G412" s="2068" t="s">
        <v>2839</v>
      </c>
      <c r="H412" s="2039">
        <v>0</v>
      </c>
      <c r="I412" s="2008" t="s">
        <v>728</v>
      </c>
      <c r="J412" s="2039"/>
      <c r="K412" s="2039"/>
      <c r="L412" s="488"/>
      <c r="M412" s="2041">
        <v>0</v>
      </c>
      <c r="N412" s="2043">
        <v>1</v>
      </c>
      <c r="O412" s="1967">
        <f t="shared" ref="O412:O422" si="585">+M412*N412</f>
        <v>0</v>
      </c>
      <c r="P412" s="2076" t="s">
        <v>39</v>
      </c>
      <c r="Q412" s="2008" t="s">
        <v>39</v>
      </c>
      <c r="R412" s="2011" t="s">
        <v>74</v>
      </c>
      <c r="S412" s="912">
        <f>SUMIF('Data Input sheet'!$B$118:$B$180,R412,'Data Input sheet'!$D$118:$D$180)</f>
        <v>152</v>
      </c>
      <c r="T412" s="2686">
        <f t="shared" ref="T412:T416" si="586">ROUND(O412*S412,0)</f>
        <v>0</v>
      </c>
      <c r="U412" s="2042">
        <v>14.8</v>
      </c>
      <c r="V412" s="1981">
        <f t="shared" si="560"/>
        <v>0</v>
      </c>
      <c r="W412" s="2045">
        <v>300</v>
      </c>
      <c r="X412" s="2502"/>
      <c r="Y412" s="2047">
        <v>0</v>
      </c>
      <c r="Z412" s="780">
        <f t="shared" ref="Z412:Z422" si="587">T412+V412+W412+Y412</f>
        <v>300</v>
      </c>
      <c r="AA412" s="2007"/>
      <c r="AB412" s="2007"/>
      <c r="AC412" s="765"/>
      <c r="AD412" s="781">
        <f t="shared" si="534"/>
        <v>0</v>
      </c>
      <c r="AE412" s="778">
        <f t="shared" si="535"/>
        <v>0</v>
      </c>
      <c r="AF412" s="781">
        <f t="shared" si="536"/>
        <v>0</v>
      </c>
      <c r="AG412" s="781">
        <f t="shared" si="537"/>
        <v>0</v>
      </c>
      <c r="AH412" s="781">
        <f t="shared" si="538"/>
        <v>0</v>
      </c>
      <c r="AI412" s="782">
        <f t="shared" si="539"/>
        <v>0</v>
      </c>
      <c r="AJ412" s="781">
        <f t="shared" si="540"/>
        <v>0</v>
      </c>
      <c r="AK412" s="781">
        <f t="shared" si="541"/>
        <v>0</v>
      </c>
      <c r="AL412" s="781">
        <f t="shared" si="542"/>
        <v>0</v>
      </c>
      <c r="AM412" s="781">
        <f t="shared" si="543"/>
        <v>0</v>
      </c>
      <c r="AN412" s="781">
        <f t="shared" si="544"/>
        <v>0</v>
      </c>
      <c r="AO412" s="781">
        <f t="shared" si="545"/>
        <v>0</v>
      </c>
      <c r="AP412" s="781">
        <f t="shared" si="546"/>
        <v>0</v>
      </c>
      <c r="AQ412" s="781">
        <f t="shared" si="547"/>
        <v>0</v>
      </c>
      <c r="AR412" s="781">
        <f t="shared" si="548"/>
        <v>0</v>
      </c>
      <c r="AS412" s="783">
        <f t="shared" si="549"/>
        <v>0</v>
      </c>
      <c r="AT412" s="917"/>
      <c r="AW412" s="832"/>
      <c r="AX412" s="833"/>
    </row>
    <row r="413" spans="1:65" ht="15" hidden="1" outlineLevel="1" x14ac:dyDescent="0.25">
      <c r="A413" s="784"/>
      <c r="B413" s="904">
        <f t="shared" si="558"/>
        <v>395</v>
      </c>
      <c r="C413" s="170" t="str">
        <f t="shared" si="561"/>
        <v>38EA</v>
      </c>
      <c r="D413" s="557"/>
      <c r="E413" s="170"/>
      <c r="F413" s="170">
        <v>38</v>
      </c>
      <c r="G413" s="2068" t="s">
        <v>2840</v>
      </c>
      <c r="H413" s="2039">
        <v>0</v>
      </c>
      <c r="I413" s="2008" t="s">
        <v>732</v>
      </c>
      <c r="J413" s="2039"/>
      <c r="K413" s="2039"/>
      <c r="L413" s="488"/>
      <c r="M413" s="2041">
        <v>0</v>
      </c>
      <c r="N413" s="2043">
        <v>1</v>
      </c>
      <c r="O413" s="1967">
        <f t="shared" si="585"/>
        <v>0</v>
      </c>
      <c r="P413" s="2076" t="s">
        <v>39</v>
      </c>
      <c r="Q413" s="2008" t="s">
        <v>39</v>
      </c>
      <c r="R413" s="2011" t="s">
        <v>74</v>
      </c>
      <c r="S413" s="912">
        <f>SUMIF('Data Input sheet'!$B$118:$B$180,R413,'Data Input sheet'!$D$118:$D$180)</f>
        <v>152</v>
      </c>
      <c r="T413" s="2686">
        <f t="shared" si="586"/>
        <v>0</v>
      </c>
      <c r="U413" s="2042">
        <v>14.8</v>
      </c>
      <c r="V413" s="1981">
        <f t="shared" si="560"/>
        <v>0</v>
      </c>
      <c r="W413" s="2045">
        <v>9200</v>
      </c>
      <c r="X413" s="2502"/>
      <c r="Y413" s="2047">
        <v>0</v>
      </c>
      <c r="Z413" s="780">
        <f t="shared" si="587"/>
        <v>9200</v>
      </c>
      <c r="AA413" s="2007"/>
      <c r="AB413" s="2007"/>
      <c r="AC413" s="765"/>
      <c r="AD413" s="781">
        <f t="shared" si="534"/>
        <v>0</v>
      </c>
      <c r="AE413" s="778">
        <f t="shared" si="535"/>
        <v>0</v>
      </c>
      <c r="AF413" s="781">
        <f t="shared" si="536"/>
        <v>0</v>
      </c>
      <c r="AG413" s="781">
        <f t="shared" si="537"/>
        <v>0</v>
      </c>
      <c r="AH413" s="781">
        <f t="shared" si="538"/>
        <v>0</v>
      </c>
      <c r="AI413" s="782">
        <f t="shared" si="539"/>
        <v>0</v>
      </c>
      <c r="AJ413" s="781">
        <f t="shared" si="540"/>
        <v>0</v>
      </c>
      <c r="AK413" s="781">
        <f t="shared" si="541"/>
        <v>0</v>
      </c>
      <c r="AL413" s="781">
        <f t="shared" si="542"/>
        <v>0</v>
      </c>
      <c r="AM413" s="781">
        <f t="shared" si="543"/>
        <v>0</v>
      </c>
      <c r="AN413" s="781">
        <f t="shared" si="544"/>
        <v>0</v>
      </c>
      <c r="AO413" s="781">
        <f t="shared" si="545"/>
        <v>0</v>
      </c>
      <c r="AP413" s="781">
        <f t="shared" si="546"/>
        <v>0</v>
      </c>
      <c r="AQ413" s="781">
        <f t="shared" si="547"/>
        <v>0</v>
      </c>
      <c r="AR413" s="781">
        <f t="shared" si="548"/>
        <v>0</v>
      </c>
      <c r="AS413" s="783">
        <f t="shared" si="549"/>
        <v>0</v>
      </c>
      <c r="AT413" s="917"/>
      <c r="AW413" s="832"/>
      <c r="AX413" s="833"/>
    </row>
    <row r="414" spans="1:65" ht="15" hidden="1" outlineLevel="1" x14ac:dyDescent="0.25">
      <c r="A414" s="784"/>
      <c r="B414" s="904">
        <f t="shared" si="558"/>
        <v>396</v>
      </c>
      <c r="C414" s="170" t="str">
        <f t="shared" si="561"/>
        <v>38LF</v>
      </c>
      <c r="D414" s="557"/>
      <c r="E414" s="170"/>
      <c r="F414" s="170">
        <v>38</v>
      </c>
      <c r="G414" s="2007" t="s">
        <v>3073</v>
      </c>
      <c r="H414" s="2039">
        <v>0</v>
      </c>
      <c r="I414" s="2008" t="s">
        <v>728</v>
      </c>
      <c r="J414" s="2039"/>
      <c r="K414" s="2039"/>
      <c r="L414" s="488"/>
      <c r="M414" s="2041">
        <v>0</v>
      </c>
      <c r="N414" s="2043">
        <v>1</v>
      </c>
      <c r="O414" s="1967">
        <f t="shared" si="585"/>
        <v>0</v>
      </c>
      <c r="P414" s="2076" t="s">
        <v>39</v>
      </c>
      <c r="Q414" s="2008" t="s">
        <v>39</v>
      </c>
      <c r="R414" s="2011" t="s">
        <v>74</v>
      </c>
      <c r="S414" s="912">
        <f>SUMIF('Data Input sheet'!$B$118:$B$180,R414,'Data Input sheet'!$D$118:$D$180)</f>
        <v>152</v>
      </c>
      <c r="T414" s="2686">
        <f t="shared" si="586"/>
        <v>0</v>
      </c>
      <c r="U414" s="2042">
        <v>14.8</v>
      </c>
      <c r="V414" s="1981">
        <f t="shared" si="560"/>
        <v>0</v>
      </c>
      <c r="W414" s="2045">
        <v>375</v>
      </c>
      <c r="X414" s="2502"/>
      <c r="Y414" s="2047">
        <v>0</v>
      </c>
      <c r="Z414" s="780">
        <f t="shared" si="587"/>
        <v>375</v>
      </c>
      <c r="AA414" s="2007"/>
      <c r="AB414" s="2007"/>
      <c r="AC414" s="765"/>
      <c r="AD414" s="781">
        <f t="shared" si="534"/>
        <v>0</v>
      </c>
      <c r="AE414" s="778">
        <f t="shared" si="535"/>
        <v>0</v>
      </c>
      <c r="AF414" s="781">
        <f t="shared" si="536"/>
        <v>0</v>
      </c>
      <c r="AG414" s="781">
        <f t="shared" si="537"/>
        <v>0</v>
      </c>
      <c r="AH414" s="781">
        <f t="shared" si="538"/>
        <v>0</v>
      </c>
      <c r="AI414" s="782">
        <f t="shared" si="539"/>
        <v>0</v>
      </c>
      <c r="AJ414" s="781">
        <f t="shared" si="540"/>
        <v>0</v>
      </c>
      <c r="AK414" s="781">
        <f t="shared" si="541"/>
        <v>0</v>
      </c>
      <c r="AL414" s="781">
        <f t="shared" si="542"/>
        <v>0</v>
      </c>
      <c r="AM414" s="781">
        <f t="shared" si="543"/>
        <v>0</v>
      </c>
      <c r="AN414" s="781">
        <f t="shared" si="544"/>
        <v>0</v>
      </c>
      <c r="AO414" s="781">
        <f t="shared" si="545"/>
        <v>0</v>
      </c>
      <c r="AP414" s="781">
        <f t="shared" si="546"/>
        <v>0</v>
      </c>
      <c r="AQ414" s="781">
        <f t="shared" si="547"/>
        <v>0</v>
      </c>
      <c r="AR414" s="781">
        <f t="shared" si="548"/>
        <v>0</v>
      </c>
      <c r="AS414" s="783">
        <f t="shared" si="549"/>
        <v>0</v>
      </c>
      <c r="AT414" s="917"/>
      <c r="AW414" s="832"/>
      <c r="AX414" s="833"/>
    </row>
    <row r="415" spans="1:65" ht="15" hidden="1" outlineLevel="1" x14ac:dyDescent="0.25">
      <c r="A415" s="784"/>
      <c r="B415" s="904">
        <f t="shared" si="558"/>
        <v>397</v>
      </c>
      <c r="C415" s="170" t="str">
        <f t="shared" ref="C415" si="588">+F415&amp;I415</f>
        <v>38EA</v>
      </c>
      <c r="D415" s="557"/>
      <c r="E415" s="170"/>
      <c r="F415" s="170">
        <v>38</v>
      </c>
      <c r="G415" s="2007" t="s">
        <v>3073</v>
      </c>
      <c r="H415" s="1926"/>
      <c r="I415" s="2008" t="s">
        <v>732</v>
      </c>
      <c r="J415" s="1926"/>
      <c r="K415" s="1926"/>
      <c r="L415" s="488"/>
      <c r="M415" s="2009"/>
      <c r="N415" s="2010">
        <v>1</v>
      </c>
      <c r="O415" s="773">
        <f t="shared" ref="O415" si="589">+M415*N415</f>
        <v>0</v>
      </c>
      <c r="P415" s="2076" t="s">
        <v>39</v>
      </c>
      <c r="Q415" s="2008" t="s">
        <v>39</v>
      </c>
      <c r="R415" s="2011" t="s">
        <v>74</v>
      </c>
      <c r="S415" s="912">
        <f>SUMIF('Data Input sheet'!$B$118:$B$180,R415,'Data Input sheet'!$D$118:$D$180)</f>
        <v>152</v>
      </c>
      <c r="T415" s="2685">
        <v>10000</v>
      </c>
      <c r="U415" s="2013">
        <v>0</v>
      </c>
      <c r="V415" s="778">
        <f t="shared" si="560"/>
        <v>0</v>
      </c>
      <c r="W415" s="2010">
        <v>20000</v>
      </c>
      <c r="X415" s="779"/>
      <c r="Y415" s="2012"/>
      <c r="Z415" s="780">
        <f t="shared" ref="Z415" si="590">T415+V415+W415+Y415</f>
        <v>30000</v>
      </c>
      <c r="AA415" s="2007"/>
      <c r="AB415" s="2007"/>
      <c r="AC415" s="765"/>
      <c r="AD415" s="781">
        <f t="shared" ref="AD415" si="591">IF(P415="E",+ROUND(H415*O415,0),0)</f>
        <v>0</v>
      </c>
      <c r="AE415" s="778">
        <f t="shared" ref="AE415" si="592">+AF415-AD415</f>
        <v>0</v>
      </c>
      <c r="AF415" s="781">
        <f t="shared" ref="AF415" si="593">+H415*O415</f>
        <v>0</v>
      </c>
      <c r="AG415" s="781">
        <f t="shared" ref="AG415" si="594">IF(P415="E",+ROUND(T415*H415,0),0)</f>
        <v>0</v>
      </c>
      <c r="AH415" s="781">
        <f t="shared" ref="AH415" si="595">+AI415-AG415</f>
        <v>0</v>
      </c>
      <c r="AI415" s="782">
        <f t="shared" ref="AI415" si="596">+H415*T415</f>
        <v>0</v>
      </c>
      <c r="AJ415" s="781">
        <f t="shared" ref="AJ415" si="597">IF(P415="E",+ROUND(V415*H415,0),0)</f>
        <v>0</v>
      </c>
      <c r="AK415" s="781">
        <f t="shared" ref="AK415" si="598">+AL415-AJ415</f>
        <v>0</v>
      </c>
      <c r="AL415" s="781">
        <f t="shared" ref="AL415" si="599">ROUND(V415*H415,0)</f>
        <v>0</v>
      </c>
      <c r="AM415" s="781">
        <f t="shared" ref="AM415" si="600">IF(Q415="E",+ROUND(W415*H415,0),0)</f>
        <v>0</v>
      </c>
      <c r="AN415" s="781">
        <f t="shared" ref="AN415" si="601">+AO415-AM415</f>
        <v>0</v>
      </c>
      <c r="AO415" s="781">
        <f t="shared" ref="AO415" si="602">ROUND(W415*H415,0)</f>
        <v>0</v>
      </c>
      <c r="AP415" s="781">
        <f t="shared" ref="AP415" si="603">IF(P415="E",+ROUND(Y415*H415,0),0)</f>
        <v>0</v>
      </c>
      <c r="AQ415" s="781">
        <f t="shared" ref="AQ415" si="604">+AR415-AP415</f>
        <v>0</v>
      </c>
      <c r="AR415" s="781">
        <f t="shared" ref="AR415" si="605">ROUND(Y415*H415,0)</f>
        <v>0</v>
      </c>
      <c r="AS415" s="783">
        <f t="shared" ref="AS415" si="606">+AR415+AO415+AL415+AI415</f>
        <v>0</v>
      </c>
      <c r="AT415" s="917"/>
      <c r="AW415" s="832"/>
      <c r="AX415" s="833" t="s">
        <v>3030</v>
      </c>
      <c r="BM415" s="2010">
        <v>20000</v>
      </c>
    </row>
    <row r="416" spans="1:65" ht="15" hidden="1" outlineLevel="1" x14ac:dyDescent="0.25">
      <c r="A416" s="784"/>
      <c r="B416" s="904">
        <f>+B415+1</f>
        <v>398</v>
      </c>
      <c r="C416" s="170" t="str">
        <f t="shared" si="561"/>
        <v>38EA</v>
      </c>
      <c r="D416" s="557"/>
      <c r="E416" s="170"/>
      <c r="F416" s="170">
        <v>38</v>
      </c>
      <c r="G416" s="2007" t="s">
        <v>3524</v>
      </c>
      <c r="H416" s="2039">
        <v>0</v>
      </c>
      <c r="I416" s="2008" t="s">
        <v>732</v>
      </c>
      <c r="J416" s="2039"/>
      <c r="K416" s="2039"/>
      <c r="L416" s="488"/>
      <c r="M416" s="2041">
        <v>0</v>
      </c>
      <c r="N416" s="2043">
        <v>1</v>
      </c>
      <c r="O416" s="1967">
        <f t="shared" si="585"/>
        <v>0</v>
      </c>
      <c r="P416" s="2076" t="s">
        <v>39</v>
      </c>
      <c r="Q416" s="2008" t="s">
        <v>39</v>
      </c>
      <c r="R416" s="2011" t="s">
        <v>74</v>
      </c>
      <c r="S416" s="912">
        <f>SUMIF('Data Input sheet'!$B$118:$B$180,R416,'Data Input sheet'!$D$118:$D$180)</f>
        <v>152</v>
      </c>
      <c r="T416" s="2686">
        <f t="shared" si="586"/>
        <v>0</v>
      </c>
      <c r="U416" s="2042">
        <v>14.8</v>
      </c>
      <c r="V416" s="1981">
        <f t="shared" si="560"/>
        <v>0</v>
      </c>
      <c r="W416" s="2045">
        <v>15.51</v>
      </c>
      <c r="X416" s="2502"/>
      <c r="Y416" s="2047">
        <v>0</v>
      </c>
      <c r="Z416" s="780">
        <f t="shared" si="587"/>
        <v>15.51</v>
      </c>
      <c r="AA416" s="2007"/>
      <c r="AB416" s="2007" t="s">
        <v>3522</v>
      </c>
      <c r="AC416" s="765"/>
      <c r="AD416" s="781">
        <f t="shared" si="534"/>
        <v>0</v>
      </c>
      <c r="AE416" s="778">
        <f t="shared" si="535"/>
        <v>0</v>
      </c>
      <c r="AF416" s="781">
        <f t="shared" si="536"/>
        <v>0</v>
      </c>
      <c r="AG416" s="781">
        <f t="shared" si="537"/>
        <v>0</v>
      </c>
      <c r="AH416" s="781">
        <f t="shared" si="538"/>
        <v>0</v>
      </c>
      <c r="AI416" s="782">
        <f t="shared" si="539"/>
        <v>0</v>
      </c>
      <c r="AJ416" s="781">
        <f t="shared" si="540"/>
        <v>0</v>
      </c>
      <c r="AK416" s="781">
        <f t="shared" si="541"/>
        <v>0</v>
      </c>
      <c r="AL416" s="781">
        <f t="shared" si="542"/>
        <v>0</v>
      </c>
      <c r="AM416" s="781">
        <f t="shared" si="543"/>
        <v>0</v>
      </c>
      <c r="AN416" s="781">
        <f t="shared" si="544"/>
        <v>0</v>
      </c>
      <c r="AO416" s="781">
        <f t="shared" si="545"/>
        <v>0</v>
      </c>
      <c r="AP416" s="781">
        <f t="shared" si="546"/>
        <v>0</v>
      </c>
      <c r="AQ416" s="781">
        <f t="shared" si="547"/>
        <v>0</v>
      </c>
      <c r="AR416" s="781">
        <f t="shared" si="548"/>
        <v>0</v>
      </c>
      <c r="AS416" s="783">
        <f t="shared" si="549"/>
        <v>0</v>
      </c>
      <c r="AT416" s="917"/>
      <c r="AW416" s="832"/>
      <c r="AX416" s="833"/>
    </row>
    <row r="417" spans="1:65" ht="15" hidden="1" outlineLevel="1" x14ac:dyDescent="0.25">
      <c r="A417" s="784"/>
      <c r="B417" s="904">
        <f t="shared" si="558"/>
        <v>399</v>
      </c>
      <c r="C417" s="170" t="str">
        <f t="shared" si="561"/>
        <v>38EA</v>
      </c>
      <c r="D417" s="557"/>
      <c r="E417" s="170"/>
      <c r="F417" s="170">
        <v>38</v>
      </c>
      <c r="G417" s="2007" t="s">
        <v>3525</v>
      </c>
      <c r="H417" s="2008"/>
      <c r="I417" s="2008" t="s">
        <v>732</v>
      </c>
      <c r="J417" s="1926"/>
      <c r="K417" s="1926"/>
      <c r="L417" s="488"/>
      <c r="M417" s="2009"/>
      <c r="N417" s="2010">
        <v>1</v>
      </c>
      <c r="O417" s="773">
        <f t="shared" si="585"/>
        <v>0</v>
      </c>
      <c r="P417" s="2076" t="s">
        <v>39</v>
      </c>
      <c r="Q417" s="2008" t="s">
        <v>39</v>
      </c>
      <c r="R417" s="2011" t="s">
        <v>74</v>
      </c>
      <c r="S417" s="912">
        <f>SUMIF('Data Input sheet'!$B$118:$B$180,R417,'Data Input sheet'!$D$118:$D$180)</f>
        <v>152</v>
      </c>
      <c r="T417" s="2685">
        <f>+O417*S417</f>
        <v>0</v>
      </c>
      <c r="U417" s="2013">
        <v>0</v>
      </c>
      <c r="V417" s="778">
        <f t="shared" ref="V417:V422" si="607">ROUND(U417*O417,0)</f>
        <v>0</v>
      </c>
      <c r="W417" s="2010">
        <v>98.88</v>
      </c>
      <c r="X417" s="779"/>
      <c r="Y417" s="2012"/>
      <c r="Z417" s="780">
        <f t="shared" si="587"/>
        <v>98.88</v>
      </c>
      <c r="AA417" s="2007"/>
      <c r="AB417" s="2007" t="s">
        <v>3523</v>
      </c>
      <c r="AC417" s="765"/>
      <c r="AD417" s="781">
        <f t="shared" si="534"/>
        <v>0</v>
      </c>
      <c r="AE417" s="778">
        <f t="shared" si="535"/>
        <v>0</v>
      </c>
      <c r="AF417" s="781">
        <f t="shared" si="536"/>
        <v>0</v>
      </c>
      <c r="AG417" s="781">
        <f t="shared" si="537"/>
        <v>0</v>
      </c>
      <c r="AH417" s="781">
        <f t="shared" si="538"/>
        <v>0</v>
      </c>
      <c r="AI417" s="782">
        <f t="shared" si="539"/>
        <v>0</v>
      </c>
      <c r="AJ417" s="781">
        <f t="shared" si="540"/>
        <v>0</v>
      </c>
      <c r="AK417" s="781">
        <f t="shared" si="541"/>
        <v>0</v>
      </c>
      <c r="AL417" s="781">
        <f t="shared" si="542"/>
        <v>0</v>
      </c>
      <c r="AM417" s="781">
        <f t="shared" si="543"/>
        <v>0</v>
      </c>
      <c r="AN417" s="781">
        <f t="shared" si="544"/>
        <v>0</v>
      </c>
      <c r="AO417" s="781">
        <f t="shared" si="545"/>
        <v>0</v>
      </c>
      <c r="AP417" s="781">
        <f t="shared" si="546"/>
        <v>0</v>
      </c>
      <c r="AQ417" s="781">
        <f t="shared" si="547"/>
        <v>0</v>
      </c>
      <c r="AR417" s="781">
        <f t="shared" si="548"/>
        <v>0</v>
      </c>
      <c r="AS417" s="783">
        <f t="shared" si="549"/>
        <v>0</v>
      </c>
      <c r="AT417" s="917"/>
      <c r="AW417" s="832"/>
      <c r="AX417" s="833" t="s">
        <v>3030</v>
      </c>
      <c r="BM417" s="2010"/>
    </row>
    <row r="418" spans="1:65" ht="15" hidden="1" outlineLevel="1" x14ac:dyDescent="0.25">
      <c r="A418" s="784"/>
      <c r="B418" s="904">
        <f>+B417+1</f>
        <v>400</v>
      </c>
      <c r="C418" s="170" t="str">
        <f t="shared" si="561"/>
        <v>38EA</v>
      </c>
      <c r="D418" s="557"/>
      <c r="E418" s="170"/>
      <c r="F418" s="170">
        <v>38</v>
      </c>
      <c r="G418" s="2007" t="s">
        <v>3528</v>
      </c>
      <c r="H418" s="2008"/>
      <c r="I418" s="2008" t="s">
        <v>732</v>
      </c>
      <c r="J418" s="1926"/>
      <c r="K418" s="1926"/>
      <c r="L418" s="488"/>
      <c r="M418" s="2009"/>
      <c r="N418" s="2010">
        <v>1</v>
      </c>
      <c r="O418" s="773">
        <f t="shared" si="585"/>
        <v>0</v>
      </c>
      <c r="P418" s="2076" t="s">
        <v>39</v>
      </c>
      <c r="Q418" s="2008" t="s">
        <v>39</v>
      </c>
      <c r="R418" s="2011" t="s">
        <v>74</v>
      </c>
      <c r="S418" s="912">
        <f>SUMIF('Data Input sheet'!$B$118:$B$180,R418,'Data Input sheet'!$D$118:$D$180)</f>
        <v>152</v>
      </c>
      <c r="T418" s="2685">
        <f>+O418*S418</f>
        <v>0</v>
      </c>
      <c r="U418" s="2013">
        <v>0</v>
      </c>
      <c r="V418" s="778">
        <f t="shared" si="607"/>
        <v>0</v>
      </c>
      <c r="W418" s="2010">
        <v>1989.4</v>
      </c>
      <c r="X418" s="779"/>
      <c r="Y418" s="2012"/>
      <c r="Z418" s="780">
        <f t="shared" si="587"/>
        <v>1989.4</v>
      </c>
      <c r="AA418" s="2007"/>
      <c r="AB418" s="2007" t="s">
        <v>3529</v>
      </c>
      <c r="AC418" s="765"/>
      <c r="AD418" s="781">
        <f t="shared" si="534"/>
        <v>0</v>
      </c>
      <c r="AE418" s="778">
        <f t="shared" si="535"/>
        <v>0</v>
      </c>
      <c r="AF418" s="781">
        <f t="shared" si="536"/>
        <v>0</v>
      </c>
      <c r="AG418" s="781">
        <f t="shared" si="537"/>
        <v>0</v>
      </c>
      <c r="AH418" s="781">
        <f t="shared" si="538"/>
        <v>0</v>
      </c>
      <c r="AI418" s="782">
        <f t="shared" si="539"/>
        <v>0</v>
      </c>
      <c r="AJ418" s="781">
        <f t="shared" si="540"/>
        <v>0</v>
      </c>
      <c r="AK418" s="781">
        <f t="shared" si="541"/>
        <v>0</v>
      </c>
      <c r="AL418" s="781">
        <f t="shared" si="542"/>
        <v>0</v>
      </c>
      <c r="AM418" s="781">
        <f t="shared" si="543"/>
        <v>0</v>
      </c>
      <c r="AN418" s="781">
        <f t="shared" si="544"/>
        <v>0</v>
      </c>
      <c r="AO418" s="781">
        <f t="shared" si="545"/>
        <v>0</v>
      </c>
      <c r="AP418" s="781">
        <f t="shared" si="546"/>
        <v>0</v>
      </c>
      <c r="AQ418" s="781">
        <f t="shared" si="547"/>
        <v>0</v>
      </c>
      <c r="AR418" s="781">
        <f t="shared" si="548"/>
        <v>0</v>
      </c>
      <c r="AS418" s="783">
        <f t="shared" si="549"/>
        <v>0</v>
      </c>
      <c r="AT418" s="917"/>
      <c r="AW418" s="832"/>
      <c r="AX418" s="833" t="s">
        <v>3030</v>
      </c>
      <c r="BM418" s="2010"/>
    </row>
    <row r="419" spans="1:65" ht="15" hidden="1" outlineLevel="1" x14ac:dyDescent="0.25">
      <c r="A419" s="784"/>
      <c r="B419" s="904">
        <f t="shared" ref="B419:B482" si="608">+B418+1</f>
        <v>401</v>
      </c>
      <c r="C419" s="170" t="str">
        <f t="shared" si="561"/>
        <v>38EA</v>
      </c>
      <c r="D419" s="557"/>
      <c r="E419" s="170"/>
      <c r="F419" s="170">
        <v>38</v>
      </c>
      <c r="G419" s="2007" t="s">
        <v>3526</v>
      </c>
      <c r="H419" s="2008"/>
      <c r="I419" s="2008" t="s">
        <v>732</v>
      </c>
      <c r="J419" s="1926"/>
      <c r="K419" s="1926"/>
      <c r="L419" s="488"/>
      <c r="M419" s="2009"/>
      <c r="N419" s="2010">
        <v>1</v>
      </c>
      <c r="O419" s="773">
        <f t="shared" ref="O419" si="609">+M419*N419</f>
        <v>0</v>
      </c>
      <c r="P419" s="2076" t="s">
        <v>39</v>
      </c>
      <c r="Q419" s="2008" t="s">
        <v>39</v>
      </c>
      <c r="R419" s="2011" t="s">
        <v>74</v>
      </c>
      <c r="S419" s="912">
        <f>SUMIF('Data Input sheet'!$B$118:$B$180,R419,'Data Input sheet'!$D$118:$D$180)</f>
        <v>152</v>
      </c>
      <c r="T419" s="2685">
        <f>+O419*S419</f>
        <v>0</v>
      </c>
      <c r="U419" s="2013">
        <v>0</v>
      </c>
      <c r="V419" s="778">
        <f t="shared" ref="V419" si="610">ROUND(U419*O419,0)</f>
        <v>0</v>
      </c>
      <c r="W419" s="2010">
        <v>1625.64</v>
      </c>
      <c r="X419" s="779"/>
      <c r="Y419" s="2012"/>
      <c r="Z419" s="780">
        <f t="shared" ref="Z419" si="611">T419+V419+W419+Y419</f>
        <v>1625.64</v>
      </c>
      <c r="AA419" s="2007"/>
      <c r="AB419" s="2007" t="s">
        <v>3527</v>
      </c>
      <c r="AC419" s="765"/>
      <c r="AD419" s="781">
        <f t="shared" ref="AD419" si="612">IF(P419="E",+ROUND(H419*O419,0),0)</f>
        <v>0</v>
      </c>
      <c r="AE419" s="778">
        <f t="shared" ref="AE419" si="613">+AF419-AD419</f>
        <v>0</v>
      </c>
      <c r="AF419" s="781">
        <f t="shared" ref="AF419" si="614">+H419*O419</f>
        <v>0</v>
      </c>
      <c r="AG419" s="781">
        <f t="shared" ref="AG419" si="615">IF(P419="E",+ROUND(T419*H419,0),0)</f>
        <v>0</v>
      </c>
      <c r="AH419" s="781">
        <f t="shared" ref="AH419" si="616">+AI419-AG419</f>
        <v>0</v>
      </c>
      <c r="AI419" s="782">
        <f t="shared" ref="AI419" si="617">+H419*T419</f>
        <v>0</v>
      </c>
      <c r="AJ419" s="781">
        <f t="shared" ref="AJ419" si="618">IF(P419="E",+ROUND(V419*H419,0),0)</f>
        <v>0</v>
      </c>
      <c r="AK419" s="781">
        <f t="shared" ref="AK419" si="619">+AL419-AJ419</f>
        <v>0</v>
      </c>
      <c r="AL419" s="781">
        <f t="shared" ref="AL419" si="620">ROUND(V419*H419,0)</f>
        <v>0</v>
      </c>
      <c r="AM419" s="781">
        <f t="shared" ref="AM419" si="621">IF(Q419="E",+ROUND(W419*H419,0),0)</f>
        <v>0</v>
      </c>
      <c r="AN419" s="781">
        <f t="shared" ref="AN419" si="622">+AO419-AM419</f>
        <v>0</v>
      </c>
      <c r="AO419" s="781">
        <f t="shared" ref="AO419" si="623">ROUND(W419*H419,0)</f>
        <v>0</v>
      </c>
      <c r="AP419" s="781">
        <f t="shared" ref="AP419" si="624">IF(P419="E",+ROUND(Y419*H419,0),0)</f>
        <v>0</v>
      </c>
      <c r="AQ419" s="781">
        <f t="shared" ref="AQ419" si="625">+AR419-AP419</f>
        <v>0</v>
      </c>
      <c r="AR419" s="781">
        <f t="shared" ref="AR419" si="626">ROUND(Y419*H419,0)</f>
        <v>0</v>
      </c>
      <c r="AS419" s="783">
        <f t="shared" ref="AS419" si="627">+AR419+AO419+AL419+AI419</f>
        <v>0</v>
      </c>
      <c r="AT419" s="917"/>
      <c r="AW419" s="832"/>
      <c r="AX419" s="833" t="s">
        <v>3030</v>
      </c>
      <c r="BM419" s="2010"/>
    </row>
    <row r="420" spans="1:65" ht="15" hidden="1" outlineLevel="1" x14ac:dyDescent="0.25">
      <c r="A420" s="784"/>
      <c r="B420" s="904">
        <f t="shared" si="608"/>
        <v>402</v>
      </c>
      <c r="C420" s="170" t="str">
        <f t="shared" si="561"/>
        <v>38EA</v>
      </c>
      <c r="D420" s="557"/>
      <c r="E420" s="170"/>
      <c r="F420" s="170">
        <v>38</v>
      </c>
      <c r="G420" s="2007" t="s">
        <v>3521</v>
      </c>
      <c r="H420" s="1926"/>
      <c r="I420" s="2008" t="s">
        <v>732</v>
      </c>
      <c r="J420" s="1926"/>
      <c r="K420" s="1926"/>
      <c r="L420" s="488"/>
      <c r="M420" s="2009"/>
      <c r="N420" s="2010">
        <v>1</v>
      </c>
      <c r="O420" s="773">
        <f t="shared" si="585"/>
        <v>0</v>
      </c>
      <c r="P420" s="2076" t="s">
        <v>39</v>
      </c>
      <c r="Q420" s="2008" t="s">
        <v>39</v>
      </c>
      <c r="R420" s="2011" t="s">
        <v>74</v>
      </c>
      <c r="S420" s="912">
        <f>SUMIF('Data Input sheet'!$B$118:$B$180,R420,'Data Input sheet'!$D$118:$D$180)</f>
        <v>152</v>
      </c>
      <c r="T420" s="2685">
        <v>10000</v>
      </c>
      <c r="U420" s="2013">
        <v>0</v>
      </c>
      <c r="V420" s="778">
        <f t="shared" si="607"/>
        <v>0</v>
      </c>
      <c r="W420" s="2010">
        <v>21.13</v>
      </c>
      <c r="X420" s="779"/>
      <c r="Y420" s="2012"/>
      <c r="Z420" s="780">
        <f t="shared" si="587"/>
        <v>10021.129999999999</v>
      </c>
      <c r="AA420" s="2007"/>
      <c r="AB420" s="2007" t="s">
        <v>3520</v>
      </c>
      <c r="AC420" s="765"/>
      <c r="AD420" s="781">
        <f t="shared" si="534"/>
        <v>0</v>
      </c>
      <c r="AE420" s="778">
        <f t="shared" si="535"/>
        <v>0</v>
      </c>
      <c r="AF420" s="781">
        <f t="shared" si="536"/>
        <v>0</v>
      </c>
      <c r="AG420" s="781">
        <f t="shared" si="537"/>
        <v>0</v>
      </c>
      <c r="AH420" s="781">
        <f t="shared" si="538"/>
        <v>0</v>
      </c>
      <c r="AI420" s="782">
        <f t="shared" si="539"/>
        <v>0</v>
      </c>
      <c r="AJ420" s="781">
        <f t="shared" si="540"/>
        <v>0</v>
      </c>
      <c r="AK420" s="781">
        <f t="shared" si="541"/>
        <v>0</v>
      </c>
      <c r="AL420" s="781">
        <f t="shared" si="542"/>
        <v>0</v>
      </c>
      <c r="AM420" s="781">
        <f t="shared" si="543"/>
        <v>0</v>
      </c>
      <c r="AN420" s="781">
        <f t="shared" si="544"/>
        <v>0</v>
      </c>
      <c r="AO420" s="781">
        <f t="shared" si="545"/>
        <v>0</v>
      </c>
      <c r="AP420" s="781">
        <f t="shared" si="546"/>
        <v>0</v>
      </c>
      <c r="AQ420" s="781">
        <f t="shared" si="547"/>
        <v>0</v>
      </c>
      <c r="AR420" s="781">
        <f t="shared" si="548"/>
        <v>0</v>
      </c>
      <c r="AS420" s="783">
        <f t="shared" si="549"/>
        <v>0</v>
      </c>
      <c r="AT420" s="917"/>
      <c r="AW420" s="832"/>
      <c r="AX420" s="833" t="s">
        <v>3030</v>
      </c>
      <c r="BM420" s="2010">
        <v>20000</v>
      </c>
    </row>
    <row r="421" spans="1:65" ht="15" hidden="1" outlineLevel="1" x14ac:dyDescent="0.25">
      <c r="A421" s="784"/>
      <c r="B421" s="904">
        <f t="shared" si="608"/>
        <v>403</v>
      </c>
      <c r="C421" s="170" t="str">
        <f t="shared" si="561"/>
        <v>38EA</v>
      </c>
      <c r="D421" s="557"/>
      <c r="E421" s="170"/>
      <c r="F421" s="170">
        <v>38</v>
      </c>
      <c r="G421" s="2007"/>
      <c r="H421" s="1926"/>
      <c r="I421" s="2008" t="s">
        <v>732</v>
      </c>
      <c r="J421" s="1926"/>
      <c r="K421" s="1926"/>
      <c r="L421" s="488"/>
      <c r="M421" s="2009"/>
      <c r="N421" s="2010">
        <v>1</v>
      </c>
      <c r="O421" s="773">
        <f t="shared" si="585"/>
        <v>0</v>
      </c>
      <c r="P421" s="2076" t="s">
        <v>39</v>
      </c>
      <c r="Q421" s="2008" t="s">
        <v>39</v>
      </c>
      <c r="R421" s="2011" t="s">
        <v>74</v>
      </c>
      <c r="S421" s="912">
        <f>SUMIF('Data Input sheet'!$B$118:$B$180,R421,'Data Input sheet'!$D$118:$D$180)</f>
        <v>152</v>
      </c>
      <c r="T421" s="2685">
        <f t="shared" ref="T421" si="628">+O421*S421</f>
        <v>0</v>
      </c>
      <c r="U421" s="2013">
        <v>28</v>
      </c>
      <c r="V421" s="778">
        <f t="shared" si="607"/>
        <v>0</v>
      </c>
      <c r="W421" s="2010"/>
      <c r="X421" s="779"/>
      <c r="Y421" s="2012"/>
      <c r="Z421" s="780">
        <f t="shared" si="587"/>
        <v>0</v>
      </c>
      <c r="AA421" s="2007"/>
      <c r="AB421" s="2007"/>
      <c r="AC421" s="765"/>
      <c r="AD421" s="781">
        <f t="shared" si="534"/>
        <v>0</v>
      </c>
      <c r="AE421" s="778">
        <f t="shared" si="535"/>
        <v>0</v>
      </c>
      <c r="AF421" s="781">
        <f t="shared" si="536"/>
        <v>0</v>
      </c>
      <c r="AG421" s="781">
        <f t="shared" si="537"/>
        <v>0</v>
      </c>
      <c r="AH421" s="781">
        <f t="shared" si="538"/>
        <v>0</v>
      </c>
      <c r="AI421" s="782">
        <f t="shared" si="539"/>
        <v>0</v>
      </c>
      <c r="AJ421" s="781">
        <f t="shared" si="540"/>
        <v>0</v>
      </c>
      <c r="AK421" s="781">
        <f t="shared" si="541"/>
        <v>0</v>
      </c>
      <c r="AL421" s="781">
        <f t="shared" si="542"/>
        <v>0</v>
      </c>
      <c r="AM421" s="781">
        <f t="shared" si="543"/>
        <v>0</v>
      </c>
      <c r="AN421" s="781">
        <f t="shared" si="544"/>
        <v>0</v>
      </c>
      <c r="AO421" s="781">
        <f t="shared" si="545"/>
        <v>0</v>
      </c>
      <c r="AP421" s="781">
        <f t="shared" si="546"/>
        <v>0</v>
      </c>
      <c r="AQ421" s="781">
        <f t="shared" si="547"/>
        <v>0</v>
      </c>
      <c r="AR421" s="781">
        <f t="shared" si="548"/>
        <v>0</v>
      </c>
      <c r="AS421" s="783">
        <f t="shared" si="549"/>
        <v>0</v>
      </c>
      <c r="AT421" s="917"/>
      <c r="AW421" s="832"/>
      <c r="AX421" s="833" t="s">
        <v>3030</v>
      </c>
      <c r="BM421" s="2010">
        <v>34204.675534848</v>
      </c>
    </row>
    <row r="422" spans="1:65" ht="15" hidden="1" outlineLevel="1" x14ac:dyDescent="0.25">
      <c r="A422" s="787"/>
      <c r="B422" s="904">
        <f t="shared" si="608"/>
        <v>404</v>
      </c>
      <c r="C422" s="170" t="str">
        <f t="shared" si="561"/>
        <v>63EA</v>
      </c>
      <c r="D422" s="906"/>
      <c r="E422" s="170"/>
      <c r="F422" s="170">
        <v>63</v>
      </c>
      <c r="G422" s="2007" t="s">
        <v>1167</v>
      </c>
      <c r="H422" s="1926"/>
      <c r="I422" s="2008" t="s">
        <v>732</v>
      </c>
      <c r="J422" s="1926"/>
      <c r="K422" s="1926"/>
      <c r="L422" s="488"/>
      <c r="M422" s="2009"/>
      <c r="N422" s="2010">
        <v>1</v>
      </c>
      <c r="O422" s="773">
        <f t="shared" si="585"/>
        <v>0</v>
      </c>
      <c r="P422" s="2076" t="s">
        <v>39</v>
      </c>
      <c r="Q422" s="2008" t="s">
        <v>39</v>
      </c>
      <c r="R422" s="2011" t="s">
        <v>74</v>
      </c>
      <c r="S422" s="912">
        <f>SUMIF('Data Input sheet'!$B$118:$B$180,R422,'Data Input sheet'!$D$118:$D$180)</f>
        <v>152</v>
      </c>
      <c r="T422" s="2685">
        <f t="shared" ref="T422" si="629">+O422*S422</f>
        <v>0</v>
      </c>
      <c r="U422" s="2013">
        <v>14</v>
      </c>
      <c r="V422" s="778">
        <f t="shared" si="607"/>
        <v>0</v>
      </c>
      <c r="W422" s="2010">
        <v>626.45925887999999</v>
      </c>
      <c r="X422" s="779"/>
      <c r="Y422" s="2012"/>
      <c r="Z422" s="780">
        <f t="shared" si="587"/>
        <v>626.45925887999999</v>
      </c>
      <c r="AA422" s="2007"/>
      <c r="AB422" s="2007"/>
      <c r="AC422" s="765"/>
      <c r="AD422" s="781">
        <f t="shared" si="534"/>
        <v>0</v>
      </c>
      <c r="AE422" s="778">
        <f t="shared" si="535"/>
        <v>0</v>
      </c>
      <c r="AF422" s="781">
        <f t="shared" si="536"/>
        <v>0</v>
      </c>
      <c r="AG422" s="781">
        <f t="shared" si="537"/>
        <v>0</v>
      </c>
      <c r="AH422" s="781">
        <f t="shared" si="538"/>
        <v>0</v>
      </c>
      <c r="AI422" s="782">
        <f t="shared" si="539"/>
        <v>0</v>
      </c>
      <c r="AJ422" s="781">
        <f t="shared" si="540"/>
        <v>0</v>
      </c>
      <c r="AK422" s="781">
        <f t="shared" si="541"/>
        <v>0</v>
      </c>
      <c r="AL422" s="781">
        <f t="shared" si="542"/>
        <v>0</v>
      </c>
      <c r="AM422" s="781">
        <f t="shared" si="543"/>
        <v>0</v>
      </c>
      <c r="AN422" s="781">
        <f t="shared" si="544"/>
        <v>0</v>
      </c>
      <c r="AO422" s="781">
        <f t="shared" si="545"/>
        <v>0</v>
      </c>
      <c r="AP422" s="781">
        <f t="shared" si="546"/>
        <v>0</v>
      </c>
      <c r="AQ422" s="781">
        <f t="shared" si="547"/>
        <v>0</v>
      </c>
      <c r="AR422" s="781">
        <f t="shared" si="548"/>
        <v>0</v>
      </c>
      <c r="AS422" s="783">
        <f t="shared" si="549"/>
        <v>0</v>
      </c>
      <c r="AT422" s="917"/>
      <c r="AV422" s="170"/>
      <c r="AW422" s="832"/>
      <c r="AX422" s="833" t="s">
        <v>3030</v>
      </c>
      <c r="BM422" s="2010">
        <v>626.45925887999999</v>
      </c>
    </row>
    <row r="423" spans="1:65" ht="15.75" hidden="1" outlineLevel="1" thickBot="1" x14ac:dyDescent="0.3">
      <c r="A423" s="784"/>
      <c r="B423" s="904">
        <f t="shared" si="608"/>
        <v>405</v>
      </c>
      <c r="C423" s="170" t="str">
        <f t="shared" si="561"/>
        <v/>
      </c>
      <c r="D423" s="557"/>
      <c r="E423" s="170"/>
      <c r="F423" s="170"/>
      <c r="G423" s="2491" t="s">
        <v>3137</v>
      </c>
      <c r="H423" s="2635"/>
      <c r="I423" s="2008"/>
      <c r="J423" s="2039"/>
      <c r="K423" s="2039"/>
      <c r="L423" s="488"/>
      <c r="M423" s="2041">
        <v>0</v>
      </c>
      <c r="N423" s="2043"/>
      <c r="O423" s="2499">
        <f t="shared" si="526"/>
        <v>0</v>
      </c>
      <c r="P423" s="2076"/>
      <c r="Q423" s="2008"/>
      <c r="R423" s="2011"/>
      <c r="S423" s="912">
        <f>SUMIF('Data Input sheet'!$B$118:$B$180,R423,'Data Input sheet'!$D$118:$D$180)</f>
        <v>0</v>
      </c>
      <c r="T423" s="2686">
        <f t="shared" ref="T423:T430" si="630">ROUND(O423*S423,0)</f>
        <v>0</v>
      </c>
      <c r="U423" s="2042"/>
      <c r="V423" s="2501">
        <f t="shared" si="399"/>
        <v>0</v>
      </c>
      <c r="W423" s="2046"/>
      <c r="X423" s="2502"/>
      <c r="Y423" s="2047">
        <v>0</v>
      </c>
      <c r="Z423" s="2500">
        <f t="shared" si="529"/>
        <v>0</v>
      </c>
      <c r="AA423" s="2007"/>
      <c r="AB423" s="2007"/>
      <c r="AC423" s="765"/>
      <c r="AD423" s="781">
        <f t="shared" si="468"/>
        <v>0</v>
      </c>
      <c r="AE423" s="778">
        <f t="shared" si="469"/>
        <v>0</v>
      </c>
      <c r="AF423" s="781">
        <f t="shared" si="470"/>
        <v>0</v>
      </c>
      <c r="AG423" s="781">
        <f t="shared" si="471"/>
        <v>0</v>
      </c>
      <c r="AH423" s="781">
        <f t="shared" si="472"/>
        <v>0</v>
      </c>
      <c r="AI423" s="782">
        <f t="shared" si="473"/>
        <v>0</v>
      </c>
      <c r="AJ423" s="781">
        <f t="shared" si="474"/>
        <v>0</v>
      </c>
      <c r="AK423" s="781">
        <f t="shared" si="475"/>
        <v>0</v>
      </c>
      <c r="AL423" s="781">
        <f t="shared" si="476"/>
        <v>0</v>
      </c>
      <c r="AM423" s="781">
        <f t="shared" si="477"/>
        <v>0</v>
      </c>
      <c r="AN423" s="781">
        <f t="shared" si="478"/>
        <v>0</v>
      </c>
      <c r="AO423" s="781">
        <f t="shared" si="479"/>
        <v>0</v>
      </c>
      <c r="AP423" s="781">
        <f t="shared" si="480"/>
        <v>0</v>
      </c>
      <c r="AQ423" s="781">
        <f t="shared" si="481"/>
        <v>0</v>
      </c>
      <c r="AR423" s="781">
        <f t="shared" si="482"/>
        <v>0</v>
      </c>
      <c r="AS423" s="783">
        <f t="shared" si="483"/>
        <v>0</v>
      </c>
      <c r="AT423" s="917"/>
      <c r="AW423" s="832"/>
      <c r="AX423" s="833"/>
    </row>
    <row r="424" spans="1:65" ht="15" hidden="1" outlineLevel="1" x14ac:dyDescent="0.25">
      <c r="A424" s="784"/>
      <c r="B424" s="904">
        <f t="shared" si="608"/>
        <v>406</v>
      </c>
      <c r="C424" s="170" t="str">
        <f t="shared" si="561"/>
        <v>32LF</v>
      </c>
      <c r="D424" s="557"/>
      <c r="E424" s="170"/>
      <c r="F424" s="170">
        <v>32</v>
      </c>
      <c r="G424" s="2493" t="s">
        <v>1729</v>
      </c>
      <c r="H424" s="2039"/>
      <c r="I424" s="2008" t="s">
        <v>728</v>
      </c>
      <c r="J424" s="2039"/>
      <c r="K424" s="2039"/>
      <c r="L424" s="488"/>
      <c r="M424" s="2041">
        <v>0</v>
      </c>
      <c r="N424" s="2043">
        <v>1</v>
      </c>
      <c r="O424" s="1967">
        <f t="shared" si="526"/>
        <v>0</v>
      </c>
      <c r="P424" s="2076" t="s">
        <v>39</v>
      </c>
      <c r="Q424" s="2008" t="s">
        <v>39</v>
      </c>
      <c r="R424" s="2011" t="s">
        <v>74</v>
      </c>
      <c r="S424" s="912">
        <f>SUMIF('Data Input sheet'!$B$118:$B$180,R424,'Data Input sheet'!$D$118:$D$180)</f>
        <v>152</v>
      </c>
      <c r="T424" s="2686">
        <f t="shared" si="630"/>
        <v>0</v>
      </c>
      <c r="U424" s="2042">
        <v>14.8</v>
      </c>
      <c r="V424" s="1981">
        <f t="shared" si="399"/>
        <v>0</v>
      </c>
      <c r="W424" s="2046">
        <v>1</v>
      </c>
      <c r="X424" s="2502"/>
      <c r="Y424" s="2047">
        <v>0</v>
      </c>
      <c r="Z424" s="780">
        <f t="shared" si="529"/>
        <v>1</v>
      </c>
      <c r="AA424" s="2007"/>
      <c r="AB424" s="2007"/>
      <c r="AC424" s="765"/>
      <c r="AD424" s="781">
        <f t="shared" si="468"/>
        <v>0</v>
      </c>
      <c r="AE424" s="778">
        <f t="shared" si="469"/>
        <v>0</v>
      </c>
      <c r="AF424" s="781">
        <f t="shared" si="470"/>
        <v>0</v>
      </c>
      <c r="AG424" s="781">
        <f t="shared" si="471"/>
        <v>0</v>
      </c>
      <c r="AH424" s="781">
        <f t="shared" si="472"/>
        <v>0</v>
      </c>
      <c r="AI424" s="782">
        <f t="shared" si="473"/>
        <v>0</v>
      </c>
      <c r="AJ424" s="781">
        <f t="shared" si="474"/>
        <v>0</v>
      </c>
      <c r="AK424" s="781">
        <f t="shared" si="475"/>
        <v>0</v>
      </c>
      <c r="AL424" s="781">
        <f t="shared" si="476"/>
        <v>0</v>
      </c>
      <c r="AM424" s="781">
        <f t="shared" si="477"/>
        <v>0</v>
      </c>
      <c r="AN424" s="781">
        <f t="shared" si="478"/>
        <v>0</v>
      </c>
      <c r="AO424" s="781">
        <f t="shared" si="479"/>
        <v>0</v>
      </c>
      <c r="AP424" s="781">
        <f t="shared" si="480"/>
        <v>0</v>
      </c>
      <c r="AQ424" s="781">
        <f t="shared" si="481"/>
        <v>0</v>
      </c>
      <c r="AR424" s="781">
        <f t="shared" si="482"/>
        <v>0</v>
      </c>
      <c r="AS424" s="783">
        <f t="shared" si="483"/>
        <v>0</v>
      </c>
      <c r="AT424" s="917"/>
      <c r="AW424" s="832"/>
      <c r="AX424" s="833"/>
    </row>
    <row r="425" spans="1:65" ht="15" hidden="1" outlineLevel="1" x14ac:dyDescent="0.25">
      <c r="A425" s="784"/>
      <c r="B425" s="904">
        <f t="shared" si="608"/>
        <v>407</v>
      </c>
      <c r="C425" s="170" t="str">
        <f t="shared" si="561"/>
        <v>32LF</v>
      </c>
      <c r="D425" s="557"/>
      <c r="E425" s="170"/>
      <c r="F425" s="170">
        <v>32</v>
      </c>
      <c r="G425" s="2493" t="s">
        <v>1730</v>
      </c>
      <c r="H425" s="2039"/>
      <c r="I425" s="2008" t="s">
        <v>728</v>
      </c>
      <c r="J425" s="2039"/>
      <c r="K425" s="2039"/>
      <c r="L425" s="488"/>
      <c r="M425" s="2041">
        <v>0</v>
      </c>
      <c r="N425" s="2043">
        <v>1</v>
      </c>
      <c r="O425" s="1967">
        <f t="shared" si="526"/>
        <v>0</v>
      </c>
      <c r="P425" s="2076" t="s">
        <v>39</v>
      </c>
      <c r="Q425" s="2008" t="s">
        <v>39</v>
      </c>
      <c r="R425" s="2011" t="s">
        <v>74</v>
      </c>
      <c r="S425" s="912">
        <f>SUMIF('Data Input sheet'!$B$118:$B$180,R425,'Data Input sheet'!$D$118:$D$180)</f>
        <v>152</v>
      </c>
      <c r="T425" s="2686">
        <f t="shared" si="630"/>
        <v>0</v>
      </c>
      <c r="U425" s="2042">
        <v>14.8</v>
      </c>
      <c r="V425" s="1981">
        <f t="shared" si="399"/>
        <v>0</v>
      </c>
      <c r="W425" s="2046">
        <v>1</v>
      </c>
      <c r="X425" s="2502"/>
      <c r="Y425" s="2047">
        <v>0</v>
      </c>
      <c r="Z425" s="780">
        <f t="shared" si="529"/>
        <v>1</v>
      </c>
      <c r="AA425" s="2007"/>
      <c r="AB425" s="2007"/>
      <c r="AC425" s="765"/>
      <c r="AD425" s="781">
        <f t="shared" si="468"/>
        <v>0</v>
      </c>
      <c r="AE425" s="778">
        <f t="shared" si="469"/>
        <v>0</v>
      </c>
      <c r="AF425" s="781">
        <f t="shared" si="470"/>
        <v>0</v>
      </c>
      <c r="AG425" s="781">
        <f t="shared" si="471"/>
        <v>0</v>
      </c>
      <c r="AH425" s="781">
        <f t="shared" si="472"/>
        <v>0</v>
      </c>
      <c r="AI425" s="782">
        <f t="shared" si="473"/>
        <v>0</v>
      </c>
      <c r="AJ425" s="781">
        <f t="shared" si="474"/>
        <v>0</v>
      </c>
      <c r="AK425" s="781">
        <f t="shared" si="475"/>
        <v>0</v>
      </c>
      <c r="AL425" s="781">
        <f t="shared" si="476"/>
        <v>0</v>
      </c>
      <c r="AM425" s="781">
        <f t="shared" si="477"/>
        <v>0</v>
      </c>
      <c r="AN425" s="781">
        <f t="shared" si="478"/>
        <v>0</v>
      </c>
      <c r="AO425" s="781">
        <f t="shared" si="479"/>
        <v>0</v>
      </c>
      <c r="AP425" s="781">
        <f t="shared" si="480"/>
        <v>0</v>
      </c>
      <c r="AQ425" s="781">
        <f t="shared" si="481"/>
        <v>0</v>
      </c>
      <c r="AR425" s="781">
        <f t="shared" si="482"/>
        <v>0</v>
      </c>
      <c r="AS425" s="783">
        <f t="shared" si="483"/>
        <v>0</v>
      </c>
      <c r="AT425" s="917"/>
      <c r="AW425" s="832"/>
      <c r="AX425" s="833"/>
    </row>
    <row r="426" spans="1:65" ht="15" hidden="1" outlineLevel="1" x14ac:dyDescent="0.25">
      <c r="A426" s="784"/>
      <c r="B426" s="904">
        <f t="shared" si="608"/>
        <v>408</v>
      </c>
      <c r="C426" s="170" t="str">
        <f t="shared" si="561"/>
        <v>32LF</v>
      </c>
      <c r="D426" s="557"/>
      <c r="E426" s="170"/>
      <c r="F426" s="170">
        <v>32</v>
      </c>
      <c r="G426" s="2493" t="s">
        <v>1731</v>
      </c>
      <c r="H426" s="2039"/>
      <c r="I426" s="2008" t="s">
        <v>728</v>
      </c>
      <c r="J426" s="2039"/>
      <c r="K426" s="2039"/>
      <c r="L426" s="488"/>
      <c r="M426" s="2041">
        <v>0</v>
      </c>
      <c r="N426" s="2043">
        <v>1</v>
      </c>
      <c r="O426" s="1967">
        <f t="shared" si="526"/>
        <v>0</v>
      </c>
      <c r="P426" s="2076" t="s">
        <v>39</v>
      </c>
      <c r="Q426" s="2008" t="s">
        <v>39</v>
      </c>
      <c r="R426" s="2011" t="s">
        <v>74</v>
      </c>
      <c r="S426" s="912">
        <f>SUMIF('Data Input sheet'!$B$118:$B$180,R426,'Data Input sheet'!$D$118:$D$180)</f>
        <v>152</v>
      </c>
      <c r="T426" s="2686">
        <f t="shared" si="630"/>
        <v>0</v>
      </c>
      <c r="U426" s="2042">
        <v>14.8</v>
      </c>
      <c r="V426" s="1981">
        <f t="shared" si="399"/>
        <v>0</v>
      </c>
      <c r="W426" s="2046">
        <v>1</v>
      </c>
      <c r="X426" s="2502"/>
      <c r="Y426" s="2047">
        <v>0</v>
      </c>
      <c r="Z426" s="780">
        <f t="shared" si="529"/>
        <v>1</v>
      </c>
      <c r="AA426" s="2007"/>
      <c r="AB426" s="2007"/>
      <c r="AC426" s="765"/>
      <c r="AD426" s="781">
        <f t="shared" si="468"/>
        <v>0</v>
      </c>
      <c r="AE426" s="778">
        <f t="shared" si="469"/>
        <v>0</v>
      </c>
      <c r="AF426" s="781">
        <f t="shared" si="470"/>
        <v>0</v>
      </c>
      <c r="AG426" s="781">
        <f t="shared" si="471"/>
        <v>0</v>
      </c>
      <c r="AH426" s="781">
        <f t="shared" si="472"/>
        <v>0</v>
      </c>
      <c r="AI426" s="782">
        <f t="shared" si="473"/>
        <v>0</v>
      </c>
      <c r="AJ426" s="781">
        <f t="shared" si="474"/>
        <v>0</v>
      </c>
      <c r="AK426" s="781">
        <f t="shared" si="475"/>
        <v>0</v>
      </c>
      <c r="AL426" s="781">
        <f t="shared" si="476"/>
        <v>0</v>
      </c>
      <c r="AM426" s="781">
        <f t="shared" si="477"/>
        <v>0</v>
      </c>
      <c r="AN426" s="781">
        <f t="shared" si="478"/>
        <v>0</v>
      </c>
      <c r="AO426" s="781">
        <f t="shared" si="479"/>
        <v>0</v>
      </c>
      <c r="AP426" s="781">
        <f t="shared" si="480"/>
        <v>0</v>
      </c>
      <c r="AQ426" s="781">
        <f t="shared" si="481"/>
        <v>0</v>
      </c>
      <c r="AR426" s="781">
        <f t="shared" si="482"/>
        <v>0</v>
      </c>
      <c r="AS426" s="783">
        <f t="shared" si="483"/>
        <v>0</v>
      </c>
      <c r="AT426" s="917"/>
      <c r="AW426" s="832"/>
      <c r="AX426" s="833"/>
    </row>
    <row r="427" spans="1:65" ht="15" hidden="1" outlineLevel="1" x14ac:dyDescent="0.25">
      <c r="A427" s="784"/>
      <c r="B427" s="904">
        <f t="shared" si="608"/>
        <v>409</v>
      </c>
      <c r="C427" s="170" t="str">
        <f t="shared" si="561"/>
        <v>32LF</v>
      </c>
      <c r="D427" s="557"/>
      <c r="E427" s="170"/>
      <c r="F427" s="170">
        <v>32</v>
      </c>
      <c r="G427" s="2493" t="s">
        <v>1732</v>
      </c>
      <c r="H427" s="2039"/>
      <c r="I427" s="2008" t="s">
        <v>728</v>
      </c>
      <c r="J427" s="2039"/>
      <c r="K427" s="2039"/>
      <c r="L427" s="488"/>
      <c r="M427" s="2041">
        <v>0</v>
      </c>
      <c r="N427" s="2043">
        <v>1</v>
      </c>
      <c r="O427" s="1967">
        <f t="shared" si="526"/>
        <v>0</v>
      </c>
      <c r="P427" s="2076" t="s">
        <v>39</v>
      </c>
      <c r="Q427" s="2008" t="s">
        <v>39</v>
      </c>
      <c r="R427" s="2011" t="s">
        <v>74</v>
      </c>
      <c r="S427" s="912">
        <f>SUMIF('Data Input sheet'!$B$118:$B$180,R427,'Data Input sheet'!$D$118:$D$180)</f>
        <v>152</v>
      </c>
      <c r="T427" s="2686">
        <f t="shared" si="630"/>
        <v>0</v>
      </c>
      <c r="U427" s="2042">
        <v>14.8</v>
      </c>
      <c r="V427" s="1981">
        <f t="shared" si="399"/>
        <v>0</v>
      </c>
      <c r="W427" s="2046">
        <v>2</v>
      </c>
      <c r="X427" s="2502"/>
      <c r="Y427" s="2047">
        <v>0</v>
      </c>
      <c r="Z427" s="780">
        <f t="shared" si="529"/>
        <v>2</v>
      </c>
      <c r="AA427" s="2007"/>
      <c r="AB427" s="2007"/>
      <c r="AC427" s="765"/>
      <c r="AD427" s="781">
        <f t="shared" si="468"/>
        <v>0</v>
      </c>
      <c r="AE427" s="778">
        <f t="shared" si="469"/>
        <v>0</v>
      </c>
      <c r="AF427" s="781">
        <f t="shared" si="470"/>
        <v>0</v>
      </c>
      <c r="AG427" s="781">
        <f t="shared" si="471"/>
        <v>0</v>
      </c>
      <c r="AH427" s="781">
        <f t="shared" si="472"/>
        <v>0</v>
      </c>
      <c r="AI427" s="782">
        <f t="shared" si="473"/>
        <v>0</v>
      </c>
      <c r="AJ427" s="781">
        <f t="shared" si="474"/>
        <v>0</v>
      </c>
      <c r="AK427" s="781">
        <f t="shared" si="475"/>
        <v>0</v>
      </c>
      <c r="AL427" s="781">
        <f t="shared" si="476"/>
        <v>0</v>
      </c>
      <c r="AM427" s="781">
        <f t="shared" si="477"/>
        <v>0</v>
      </c>
      <c r="AN427" s="781">
        <f t="shared" si="478"/>
        <v>0</v>
      </c>
      <c r="AO427" s="781">
        <f t="shared" si="479"/>
        <v>0</v>
      </c>
      <c r="AP427" s="781">
        <f t="shared" si="480"/>
        <v>0</v>
      </c>
      <c r="AQ427" s="781">
        <f t="shared" si="481"/>
        <v>0</v>
      </c>
      <c r="AR427" s="781">
        <f t="shared" si="482"/>
        <v>0</v>
      </c>
      <c r="AS427" s="783">
        <f t="shared" si="483"/>
        <v>0</v>
      </c>
      <c r="AT427" s="917"/>
      <c r="AW427" s="832"/>
      <c r="AX427" s="833"/>
    </row>
    <row r="428" spans="1:65" ht="15" hidden="1" outlineLevel="1" x14ac:dyDescent="0.25">
      <c r="A428" s="784"/>
      <c r="B428" s="904">
        <f t="shared" si="608"/>
        <v>410</v>
      </c>
      <c r="C428" s="170" t="str">
        <f t="shared" si="561"/>
        <v>32LF</v>
      </c>
      <c r="D428" s="557"/>
      <c r="E428" s="170"/>
      <c r="F428" s="170">
        <v>32</v>
      </c>
      <c r="G428" s="2493" t="s">
        <v>1733</v>
      </c>
      <c r="H428" s="2039"/>
      <c r="I428" s="2008" t="s">
        <v>728</v>
      </c>
      <c r="J428" s="2039"/>
      <c r="K428" s="2039"/>
      <c r="L428" s="488"/>
      <c r="M428" s="2041">
        <v>0</v>
      </c>
      <c r="N428" s="2043">
        <v>1</v>
      </c>
      <c r="O428" s="1967">
        <f t="shared" si="526"/>
        <v>0</v>
      </c>
      <c r="P428" s="2076" t="s">
        <v>39</v>
      </c>
      <c r="Q428" s="2008" t="s">
        <v>39</v>
      </c>
      <c r="R428" s="2011" t="s">
        <v>74</v>
      </c>
      <c r="S428" s="912">
        <f>SUMIF('Data Input sheet'!$B$118:$B$180,R428,'Data Input sheet'!$D$118:$D$180)</f>
        <v>152</v>
      </c>
      <c r="T428" s="2686">
        <f t="shared" si="630"/>
        <v>0</v>
      </c>
      <c r="U428" s="2042">
        <v>14.8</v>
      </c>
      <c r="V428" s="1981">
        <f t="shared" si="399"/>
        <v>0</v>
      </c>
      <c r="W428" s="2046">
        <v>2</v>
      </c>
      <c r="X428" s="2502"/>
      <c r="Y428" s="2047">
        <v>0</v>
      </c>
      <c r="Z428" s="780">
        <f t="shared" si="529"/>
        <v>2</v>
      </c>
      <c r="AA428" s="2007"/>
      <c r="AB428" s="2007"/>
      <c r="AC428" s="765"/>
      <c r="AD428" s="781">
        <f t="shared" si="468"/>
        <v>0</v>
      </c>
      <c r="AE428" s="778">
        <f t="shared" si="469"/>
        <v>0</v>
      </c>
      <c r="AF428" s="781">
        <f t="shared" si="470"/>
        <v>0</v>
      </c>
      <c r="AG428" s="781">
        <f t="shared" si="471"/>
        <v>0</v>
      </c>
      <c r="AH428" s="781">
        <f t="shared" si="472"/>
        <v>0</v>
      </c>
      <c r="AI428" s="782">
        <f t="shared" si="473"/>
        <v>0</v>
      </c>
      <c r="AJ428" s="781">
        <f t="shared" si="474"/>
        <v>0</v>
      </c>
      <c r="AK428" s="781">
        <f t="shared" si="475"/>
        <v>0</v>
      </c>
      <c r="AL428" s="781">
        <f t="shared" si="476"/>
        <v>0</v>
      </c>
      <c r="AM428" s="781">
        <f t="shared" si="477"/>
        <v>0</v>
      </c>
      <c r="AN428" s="781">
        <f t="shared" si="478"/>
        <v>0</v>
      </c>
      <c r="AO428" s="781">
        <f t="shared" si="479"/>
        <v>0</v>
      </c>
      <c r="AP428" s="781">
        <f t="shared" si="480"/>
        <v>0</v>
      </c>
      <c r="AQ428" s="781">
        <f t="shared" si="481"/>
        <v>0</v>
      </c>
      <c r="AR428" s="781">
        <f t="shared" si="482"/>
        <v>0</v>
      </c>
      <c r="AS428" s="783">
        <f t="shared" si="483"/>
        <v>0</v>
      </c>
      <c r="AT428" s="917"/>
      <c r="AW428" s="832"/>
      <c r="AX428" s="833"/>
    </row>
    <row r="429" spans="1:65" ht="15" hidden="1" outlineLevel="1" x14ac:dyDescent="0.25">
      <c r="A429" s="784"/>
      <c r="B429" s="904">
        <f t="shared" si="608"/>
        <v>411</v>
      </c>
      <c r="C429" s="170" t="str">
        <f t="shared" si="561"/>
        <v>32LF</v>
      </c>
      <c r="D429" s="557"/>
      <c r="E429" s="170"/>
      <c r="F429" s="170">
        <v>32</v>
      </c>
      <c r="G429" s="2493" t="s">
        <v>1734</v>
      </c>
      <c r="H429" s="2039"/>
      <c r="I429" s="2008" t="s">
        <v>728</v>
      </c>
      <c r="J429" s="2039"/>
      <c r="K429" s="2039"/>
      <c r="L429" s="488"/>
      <c r="M429" s="2041">
        <v>0</v>
      </c>
      <c r="N429" s="2043">
        <v>1</v>
      </c>
      <c r="O429" s="1967">
        <f t="shared" si="526"/>
        <v>0</v>
      </c>
      <c r="P429" s="2076" t="s">
        <v>39</v>
      </c>
      <c r="Q429" s="2008" t="s">
        <v>39</v>
      </c>
      <c r="R429" s="2011" t="s">
        <v>74</v>
      </c>
      <c r="S429" s="912">
        <f>SUMIF('Data Input sheet'!$B$118:$B$180,R429,'Data Input sheet'!$D$118:$D$180)</f>
        <v>152</v>
      </c>
      <c r="T429" s="2686">
        <f t="shared" si="630"/>
        <v>0</v>
      </c>
      <c r="U429" s="2042">
        <v>14.8</v>
      </c>
      <c r="V429" s="1981">
        <f t="shared" si="399"/>
        <v>0</v>
      </c>
      <c r="W429" s="2046">
        <v>2</v>
      </c>
      <c r="X429" s="2502"/>
      <c r="Y429" s="2047">
        <v>0</v>
      </c>
      <c r="Z429" s="780">
        <f t="shared" si="529"/>
        <v>2</v>
      </c>
      <c r="AA429" s="2007"/>
      <c r="AB429" s="2007"/>
      <c r="AC429" s="765"/>
      <c r="AD429" s="781">
        <f t="shared" si="468"/>
        <v>0</v>
      </c>
      <c r="AE429" s="778">
        <f t="shared" si="469"/>
        <v>0</v>
      </c>
      <c r="AF429" s="781">
        <f t="shared" si="470"/>
        <v>0</v>
      </c>
      <c r="AG429" s="781">
        <f t="shared" si="471"/>
        <v>0</v>
      </c>
      <c r="AH429" s="781">
        <f t="shared" si="472"/>
        <v>0</v>
      </c>
      <c r="AI429" s="782">
        <f t="shared" si="473"/>
        <v>0</v>
      </c>
      <c r="AJ429" s="781">
        <f t="shared" si="474"/>
        <v>0</v>
      </c>
      <c r="AK429" s="781">
        <f t="shared" si="475"/>
        <v>0</v>
      </c>
      <c r="AL429" s="781">
        <f t="shared" si="476"/>
        <v>0</v>
      </c>
      <c r="AM429" s="781">
        <f t="shared" si="477"/>
        <v>0</v>
      </c>
      <c r="AN429" s="781">
        <f t="shared" si="478"/>
        <v>0</v>
      </c>
      <c r="AO429" s="781">
        <f t="shared" si="479"/>
        <v>0</v>
      </c>
      <c r="AP429" s="781">
        <f t="shared" si="480"/>
        <v>0</v>
      </c>
      <c r="AQ429" s="781">
        <f t="shared" si="481"/>
        <v>0</v>
      </c>
      <c r="AR429" s="781">
        <f t="shared" si="482"/>
        <v>0</v>
      </c>
      <c r="AS429" s="783">
        <f t="shared" si="483"/>
        <v>0</v>
      </c>
      <c r="AT429" s="917"/>
      <c r="AW429" s="832"/>
      <c r="AX429" s="833"/>
    </row>
    <row r="430" spans="1:65" ht="15" hidden="1" outlineLevel="1" x14ac:dyDescent="0.25">
      <c r="A430" s="784"/>
      <c r="B430" s="904">
        <f t="shared" si="608"/>
        <v>412</v>
      </c>
      <c r="C430" s="170" t="str">
        <f t="shared" si="561"/>
        <v>32LF</v>
      </c>
      <c r="D430" s="557"/>
      <c r="E430" s="170"/>
      <c r="F430" s="170">
        <v>32</v>
      </c>
      <c r="G430" s="2493" t="s">
        <v>3272</v>
      </c>
      <c r="H430" s="2039"/>
      <c r="I430" s="2008" t="s">
        <v>728</v>
      </c>
      <c r="J430" s="2039"/>
      <c r="K430" s="2039"/>
      <c r="L430" s="488"/>
      <c r="M430" s="2041">
        <v>0</v>
      </c>
      <c r="N430" s="2043">
        <v>1</v>
      </c>
      <c r="O430" s="1967">
        <f t="shared" si="526"/>
        <v>0</v>
      </c>
      <c r="P430" s="2076" t="s">
        <v>39</v>
      </c>
      <c r="Q430" s="2008" t="s">
        <v>39</v>
      </c>
      <c r="R430" s="2011" t="s">
        <v>74</v>
      </c>
      <c r="S430" s="912">
        <f>SUMIF('Data Input sheet'!$B$118:$B$180,R430,'Data Input sheet'!$D$118:$D$180)</f>
        <v>152</v>
      </c>
      <c r="T430" s="2686">
        <f t="shared" si="630"/>
        <v>0</v>
      </c>
      <c r="U430" s="2042">
        <v>14.8</v>
      </c>
      <c r="V430" s="1981">
        <f t="shared" si="399"/>
        <v>0</v>
      </c>
      <c r="W430" s="2046">
        <v>0</v>
      </c>
      <c r="X430" s="2502"/>
      <c r="Y430" s="2047">
        <v>0</v>
      </c>
      <c r="Z430" s="780">
        <f t="shared" si="529"/>
        <v>0</v>
      </c>
      <c r="AA430" s="2007"/>
      <c r="AB430" s="2007"/>
      <c r="AC430" s="765"/>
      <c r="AD430" s="781">
        <f t="shared" si="468"/>
        <v>0</v>
      </c>
      <c r="AE430" s="778">
        <f t="shared" si="469"/>
        <v>0</v>
      </c>
      <c r="AF430" s="781">
        <f t="shared" si="470"/>
        <v>0</v>
      </c>
      <c r="AG430" s="781">
        <f t="shared" si="471"/>
        <v>0</v>
      </c>
      <c r="AH430" s="781">
        <f t="shared" si="472"/>
        <v>0</v>
      </c>
      <c r="AI430" s="782">
        <f t="shared" si="473"/>
        <v>0</v>
      </c>
      <c r="AJ430" s="781">
        <f t="shared" si="474"/>
        <v>0</v>
      </c>
      <c r="AK430" s="781">
        <f t="shared" si="475"/>
        <v>0</v>
      </c>
      <c r="AL430" s="781">
        <f t="shared" si="476"/>
        <v>0</v>
      </c>
      <c r="AM430" s="781">
        <f t="shared" si="477"/>
        <v>0</v>
      </c>
      <c r="AN430" s="781">
        <f t="shared" si="478"/>
        <v>0</v>
      </c>
      <c r="AO430" s="781">
        <f t="shared" si="479"/>
        <v>0</v>
      </c>
      <c r="AP430" s="781">
        <f t="shared" si="480"/>
        <v>0</v>
      </c>
      <c r="AQ430" s="781">
        <f t="shared" si="481"/>
        <v>0</v>
      </c>
      <c r="AR430" s="781">
        <f t="shared" si="482"/>
        <v>0</v>
      </c>
      <c r="AS430" s="783">
        <f t="shared" si="483"/>
        <v>0</v>
      </c>
      <c r="AT430" s="917"/>
      <c r="AW430" s="832"/>
      <c r="AX430" s="833"/>
    </row>
    <row r="431" spans="1:65" ht="15.75" hidden="1" outlineLevel="1" thickBot="1" x14ac:dyDescent="0.3">
      <c r="A431" s="784"/>
      <c r="B431" s="904">
        <f t="shared" si="608"/>
        <v>413</v>
      </c>
      <c r="C431" s="170" t="str">
        <f t="shared" si="561"/>
        <v/>
      </c>
      <c r="D431" s="557"/>
      <c r="E431" s="170"/>
      <c r="F431" s="170"/>
      <c r="G431" s="2491" t="s">
        <v>3177</v>
      </c>
      <c r="H431" s="2629"/>
      <c r="I431" s="2008"/>
      <c r="J431" s="1926"/>
      <c r="K431" s="1926"/>
      <c r="L431" s="488"/>
      <c r="M431" s="2009">
        <v>0</v>
      </c>
      <c r="N431" s="2010"/>
      <c r="O431" s="773">
        <v>0</v>
      </c>
      <c r="P431" s="2076"/>
      <c r="Q431" s="2008"/>
      <c r="R431" s="2011"/>
      <c r="S431" s="912">
        <f>SUMIF('Data Input sheet'!$B$118:$B$180,R431,'Data Input sheet'!$D$118:$D$180)</f>
        <v>0</v>
      </c>
      <c r="T431" s="2685">
        <v>0</v>
      </c>
      <c r="U431" s="2013">
        <v>14.8</v>
      </c>
      <c r="V431" s="778">
        <v>0</v>
      </c>
      <c r="W431" s="2010"/>
      <c r="X431" s="779"/>
      <c r="Y431" s="2012">
        <v>0</v>
      </c>
      <c r="Z431" s="780">
        <v>0</v>
      </c>
      <c r="AA431" s="2007"/>
      <c r="AB431" s="2007"/>
      <c r="AC431" s="765"/>
      <c r="AD431" s="781">
        <f>IF(P431="E",+ROUND(H431*O431,0),0)</f>
        <v>0</v>
      </c>
      <c r="AE431" s="778">
        <f>+AF431-AD431</f>
        <v>0</v>
      </c>
      <c r="AF431" s="781">
        <f>+H431*O431</f>
        <v>0</v>
      </c>
      <c r="AG431" s="781">
        <f>IF(P431="E",+ROUND(T431*H431,0),0)</f>
        <v>0</v>
      </c>
      <c r="AH431" s="781">
        <f>+AI431-AG431</f>
        <v>0</v>
      </c>
      <c r="AI431" s="782">
        <f>+H431*T431</f>
        <v>0</v>
      </c>
      <c r="AJ431" s="781">
        <f>IF(P431="E",+ROUND(V431*H431,0),0)</f>
        <v>0</v>
      </c>
      <c r="AK431" s="781">
        <f>+AL431-AJ431</f>
        <v>0</v>
      </c>
      <c r="AL431" s="781">
        <f>ROUND(V431*H431,0)</f>
        <v>0</v>
      </c>
      <c r="AM431" s="781">
        <f>IF(Q431="E",+ROUND(W431*H431,0),0)</f>
        <v>0</v>
      </c>
      <c r="AN431" s="781">
        <f>+AO431-AM431</f>
        <v>0</v>
      </c>
      <c r="AO431" s="781">
        <f>ROUND(W431*H431,0)</f>
        <v>0</v>
      </c>
      <c r="AP431" s="781">
        <f>IF(P431="E",+ROUND(Y431*H431,0),0)</f>
        <v>0</v>
      </c>
      <c r="AQ431" s="781">
        <f>+AR431-AP431</f>
        <v>0</v>
      </c>
      <c r="AR431" s="781">
        <f>ROUND(Y431*H431,0)</f>
        <v>0</v>
      </c>
      <c r="AS431" s="783">
        <f>+AR431+AO431+AL431+AI431</f>
        <v>0</v>
      </c>
      <c r="AT431" s="917"/>
      <c r="AW431" s="832"/>
      <c r="AX431" s="833"/>
      <c r="BM431" s="2010"/>
    </row>
    <row r="432" spans="1:65" ht="15" hidden="1" outlineLevel="1" x14ac:dyDescent="0.25">
      <c r="A432" s="784"/>
      <c r="B432" s="904">
        <f t="shared" si="608"/>
        <v>414</v>
      </c>
      <c r="C432" s="170" t="str">
        <f t="shared" si="561"/>
        <v>45TN</v>
      </c>
      <c r="D432" s="557"/>
      <c r="E432" s="170"/>
      <c r="F432" s="170">
        <v>45</v>
      </c>
      <c r="G432" s="2495" t="s">
        <v>2835</v>
      </c>
      <c r="H432" s="2636">
        <f t="shared" ref="H432:H433" si="631">+J432*X432/2000</f>
        <v>0</v>
      </c>
      <c r="I432" s="2008" t="s">
        <v>1323</v>
      </c>
      <c r="J432" s="2465">
        <v>0</v>
      </c>
      <c r="K432" s="2039" t="s">
        <v>732</v>
      </c>
      <c r="L432" s="488"/>
      <c r="M432" s="2041">
        <v>40</v>
      </c>
      <c r="N432" s="2043">
        <v>1</v>
      </c>
      <c r="O432" s="1967">
        <f>+M432*N432</f>
        <v>40</v>
      </c>
      <c r="P432" s="2076" t="s">
        <v>39</v>
      </c>
      <c r="Q432" s="2008" t="s">
        <v>39</v>
      </c>
      <c r="R432" s="2011" t="s">
        <v>74</v>
      </c>
      <c r="S432" s="912">
        <f>SUMIF('Data Input sheet'!$B$118:$B$180,R432,'Data Input sheet'!$D$118:$D$180)</f>
        <v>152</v>
      </c>
      <c r="T432" s="2686">
        <f t="shared" ref="T432:T433" si="632">ROUND(O432*S432,0)</f>
        <v>6080</v>
      </c>
      <c r="U432" s="2042">
        <v>28</v>
      </c>
      <c r="V432" s="1969">
        <f>ROUND(U432*O432,0)</f>
        <v>1120</v>
      </c>
      <c r="W432" s="2042">
        <v>28</v>
      </c>
      <c r="X432" s="2502"/>
      <c r="Y432" s="2047">
        <v>0</v>
      </c>
      <c r="Z432" s="780">
        <f>T432+V432+W432+Y432</f>
        <v>7228</v>
      </c>
      <c r="AA432" s="2007" t="s">
        <v>1696</v>
      </c>
      <c r="AB432" s="2007"/>
      <c r="AC432" s="765"/>
      <c r="AD432" s="781">
        <f>IF(P432="E",+ROUND(H432*O432,0),0)</f>
        <v>0</v>
      </c>
      <c r="AE432" s="778">
        <f>+AF432-AD432</f>
        <v>0</v>
      </c>
      <c r="AF432" s="781">
        <f>+H432*O432</f>
        <v>0</v>
      </c>
      <c r="AG432" s="781">
        <f>IF(P432="E",+ROUND(T432*H432,0),0)</f>
        <v>0</v>
      </c>
      <c r="AH432" s="781">
        <f>+AI432-AG432</f>
        <v>0</v>
      </c>
      <c r="AI432" s="782">
        <f>+H432*T432</f>
        <v>0</v>
      </c>
      <c r="AJ432" s="781">
        <f>IF(P432="E",+ROUND(V432*H432,0),0)</f>
        <v>0</v>
      </c>
      <c r="AK432" s="781">
        <f>+AL432-AJ432</f>
        <v>0</v>
      </c>
      <c r="AL432" s="781">
        <f>ROUND(V432*H432,0)</f>
        <v>0</v>
      </c>
      <c r="AM432" s="781">
        <f>IF(Q432="E",+ROUND(W432*H432,0),0)</f>
        <v>0</v>
      </c>
      <c r="AN432" s="781">
        <f>+AO432-AM432</f>
        <v>0</v>
      </c>
      <c r="AO432" s="781">
        <f>ROUND(W432*H432,0)</f>
        <v>0</v>
      </c>
      <c r="AP432" s="781">
        <f>IF(P432="E",+ROUND(Y432*H432,0),0)</f>
        <v>0</v>
      </c>
      <c r="AQ432" s="781">
        <f>+AR432-AP432</f>
        <v>0</v>
      </c>
      <c r="AR432" s="781">
        <f>ROUND(Y432*H432,0)</f>
        <v>0</v>
      </c>
      <c r="AS432" s="783">
        <f>+AR432+AO432+AL432+AI432</f>
        <v>0</v>
      </c>
    </row>
    <row r="433" spans="1:65" ht="15" hidden="1" outlineLevel="1" x14ac:dyDescent="0.25">
      <c r="A433" s="784"/>
      <c r="B433" s="904">
        <f t="shared" si="608"/>
        <v>415</v>
      </c>
      <c r="C433" s="170" t="str">
        <f t="shared" si="561"/>
        <v>45TN</v>
      </c>
      <c r="D433" s="557"/>
      <c r="E433" s="170"/>
      <c r="F433" s="170">
        <v>45</v>
      </c>
      <c r="G433" s="2495" t="s">
        <v>2831</v>
      </c>
      <c r="H433" s="2636">
        <f t="shared" si="631"/>
        <v>0</v>
      </c>
      <c r="I433" s="2008" t="s">
        <v>1323</v>
      </c>
      <c r="J433" s="2465">
        <v>0</v>
      </c>
      <c r="K433" s="2039" t="s">
        <v>732</v>
      </c>
      <c r="L433" s="488"/>
      <c r="M433" s="2041">
        <v>40</v>
      </c>
      <c r="N433" s="2043">
        <v>1</v>
      </c>
      <c r="O433" s="1967">
        <f>+M433*N433</f>
        <v>40</v>
      </c>
      <c r="P433" s="2076" t="s">
        <v>39</v>
      </c>
      <c r="Q433" s="2008" t="s">
        <v>39</v>
      </c>
      <c r="R433" s="2011" t="s">
        <v>74</v>
      </c>
      <c r="S433" s="912">
        <f>SUMIF('Data Input sheet'!$B$118:$B$180,R433,'Data Input sheet'!$D$118:$D$180)</f>
        <v>152</v>
      </c>
      <c r="T433" s="2686">
        <f t="shared" si="632"/>
        <v>6080</v>
      </c>
      <c r="U433" s="2042">
        <v>28</v>
      </c>
      <c r="V433" s="1969">
        <f>ROUND(U433*O433,0)</f>
        <v>1120</v>
      </c>
      <c r="W433" s="2043">
        <f t="shared" ref="W433" si="633">+$Y$3*2000</f>
        <v>5075</v>
      </c>
      <c r="X433" s="2502">
        <v>4800</v>
      </c>
      <c r="Y433" s="2047">
        <v>0</v>
      </c>
      <c r="Z433" s="780">
        <f>T433+V433+W433+Y433</f>
        <v>12275</v>
      </c>
      <c r="AA433" s="2007"/>
      <c r="AB433" s="2007"/>
      <c r="AC433" s="765"/>
      <c r="AD433" s="781">
        <f>IF(P433="E",+ROUND(H433*O433,0),0)</f>
        <v>0</v>
      </c>
      <c r="AE433" s="778">
        <f>+AF433-AD433</f>
        <v>0</v>
      </c>
      <c r="AF433" s="781">
        <f>+H433*O433</f>
        <v>0</v>
      </c>
      <c r="AG433" s="781">
        <f>IF(P433="E",+ROUND(T433*H433,0),0)</f>
        <v>0</v>
      </c>
      <c r="AH433" s="781">
        <f>+AI433-AG433</f>
        <v>0</v>
      </c>
      <c r="AI433" s="782">
        <f>+H433*T433</f>
        <v>0</v>
      </c>
      <c r="AJ433" s="781">
        <f>IF(P433="E",+ROUND(V433*H433,0),0)</f>
        <v>0</v>
      </c>
      <c r="AK433" s="781">
        <f>+AL433-AJ433</f>
        <v>0</v>
      </c>
      <c r="AL433" s="781">
        <f>ROUND(V433*H433,0)</f>
        <v>0</v>
      </c>
      <c r="AM433" s="781">
        <f>IF(Q433="E",+ROUND(W433*H433,0),0)</f>
        <v>0</v>
      </c>
      <c r="AN433" s="781">
        <f>+AO433-AM433</f>
        <v>0</v>
      </c>
      <c r="AO433" s="781">
        <f>ROUND(W433*H433,0)</f>
        <v>0</v>
      </c>
      <c r="AP433" s="781">
        <f>IF(P433="E",+ROUND(Y433*H433,0),0)</f>
        <v>0</v>
      </c>
      <c r="AQ433" s="781">
        <f>+AR433-AP433</f>
        <v>0</v>
      </c>
      <c r="AR433" s="781">
        <f>ROUND(Y433*H433,0)</f>
        <v>0</v>
      </c>
      <c r="AS433" s="783">
        <f>+AR433+AO433+AL433+AI433</f>
        <v>0</v>
      </c>
    </row>
    <row r="434" spans="1:65" ht="23.85" customHeight="1" collapsed="1" thickBot="1" x14ac:dyDescent="0.3">
      <c r="A434" s="787"/>
      <c r="B434" s="904">
        <f t="shared" si="608"/>
        <v>416</v>
      </c>
      <c r="C434" s="170" t="str">
        <f t="shared" si="561"/>
        <v>0</v>
      </c>
      <c r="D434" s="906"/>
      <c r="E434" s="170"/>
      <c r="F434" s="170">
        <v>0</v>
      </c>
      <c r="G434" s="2628" t="s">
        <v>3281</v>
      </c>
      <c r="H434" s="2629">
        <v>1</v>
      </c>
      <c r="I434" s="2008"/>
      <c r="J434" s="1926"/>
      <c r="K434" s="1926"/>
      <c r="L434" s="488"/>
      <c r="M434" s="2009">
        <v>0</v>
      </c>
      <c r="N434" s="2010"/>
      <c r="O434" s="773">
        <f t="shared" ref="O434" si="634">+M434*N434</f>
        <v>0</v>
      </c>
      <c r="P434" s="2076"/>
      <c r="Q434" s="2008"/>
      <c r="R434" s="2011"/>
      <c r="S434" s="912">
        <f>SUMIF('Data Input sheet'!$B$118:$B$180,R434,'Data Input sheet'!$D$118:$D$180)</f>
        <v>0</v>
      </c>
      <c r="T434" s="2685">
        <f t="shared" ref="T434" si="635">+O434*S434</f>
        <v>0</v>
      </c>
      <c r="U434" s="2013">
        <v>0</v>
      </c>
      <c r="V434" s="778">
        <f t="shared" ref="V434" si="636">ROUND(U434*O434,0)</f>
        <v>0</v>
      </c>
      <c r="W434" s="2010"/>
      <c r="X434" s="779"/>
      <c r="Y434" s="2012">
        <v>0</v>
      </c>
      <c r="Z434" s="780">
        <f t="shared" ref="Z434" si="637">T434+V434+W434+Y434</f>
        <v>0</v>
      </c>
      <c r="AA434" s="2007"/>
      <c r="AB434" s="2007"/>
      <c r="AC434" s="765"/>
      <c r="AD434" s="781">
        <f t="shared" ref="AD434" si="638">IF(P434="E",+ROUND(H434*O434,0),0)</f>
        <v>0</v>
      </c>
      <c r="AE434" s="778">
        <f t="shared" ref="AE434" si="639">+AF434-AD434</f>
        <v>0</v>
      </c>
      <c r="AF434" s="781">
        <f t="shared" ref="AF434" si="640">+H434*O434</f>
        <v>0</v>
      </c>
      <c r="AG434" s="781">
        <f t="shared" ref="AG434" si="641">IF(P434="E",+ROUND(T434*H434,0),0)</f>
        <v>0</v>
      </c>
      <c r="AH434" s="781">
        <f t="shared" ref="AH434" si="642">+AI434-AG434</f>
        <v>0</v>
      </c>
      <c r="AI434" s="782">
        <f t="shared" ref="AI434" si="643">+H434*T434</f>
        <v>0</v>
      </c>
      <c r="AJ434" s="781">
        <f t="shared" ref="AJ434" si="644">IF(P434="E",+ROUND(V434*H434,0),0)</f>
        <v>0</v>
      </c>
      <c r="AK434" s="781">
        <f t="shared" ref="AK434" si="645">+AL434-AJ434</f>
        <v>0</v>
      </c>
      <c r="AL434" s="781">
        <f t="shared" ref="AL434" si="646">ROUND(V434*H434,0)</f>
        <v>0</v>
      </c>
      <c r="AM434" s="781">
        <f t="shared" ref="AM434" si="647">IF(Q434="E",+ROUND(W434*H434,0),0)</f>
        <v>0</v>
      </c>
      <c r="AN434" s="781">
        <f t="shared" ref="AN434" si="648">+AO434-AM434</f>
        <v>0</v>
      </c>
      <c r="AO434" s="781">
        <f t="shared" ref="AO434" si="649">ROUND(W434*H434,0)</f>
        <v>0</v>
      </c>
      <c r="AP434" s="781">
        <f t="shared" ref="AP434" si="650">IF(P434="E",+ROUND(Y434*H434,0),0)</f>
        <v>0</v>
      </c>
      <c r="AQ434" s="781">
        <f t="shared" ref="AQ434" si="651">+AR434-AP434</f>
        <v>0</v>
      </c>
      <c r="AR434" s="781">
        <f t="shared" ref="AR434" si="652">ROUND(Y434*H434,0)</f>
        <v>0</v>
      </c>
      <c r="AS434" s="783">
        <f t="shared" ref="AS434" si="653">+AR434+AO434+AL434+AI434</f>
        <v>0</v>
      </c>
      <c r="AT434" s="917"/>
      <c r="AV434" s="170"/>
      <c r="AW434" s="832"/>
      <c r="AX434" s="833" t="s">
        <v>3030</v>
      </c>
      <c r="BM434" s="2010"/>
    </row>
    <row r="435" spans="1:65" ht="15.75" hidden="1" outlineLevel="1" thickBot="1" x14ac:dyDescent="0.3">
      <c r="A435" s="784"/>
      <c r="B435" s="904">
        <f t="shared" si="608"/>
        <v>417</v>
      </c>
      <c r="C435" s="170" t="str">
        <f t="shared" si="561"/>
        <v>36LF</v>
      </c>
      <c r="D435" s="557"/>
      <c r="E435" s="170"/>
      <c r="F435" s="170">
        <v>36</v>
      </c>
      <c r="G435" s="2068" t="s">
        <v>3139</v>
      </c>
      <c r="H435" s="2039"/>
      <c r="I435" s="2008" t="s">
        <v>728</v>
      </c>
      <c r="J435" s="2039"/>
      <c r="K435" s="2039"/>
      <c r="L435" s="488"/>
      <c r="M435" s="2494">
        <v>0.02</v>
      </c>
      <c r="N435" s="2043">
        <v>1</v>
      </c>
      <c r="O435" s="1967">
        <f t="shared" ref="O435:O446" si="654">+M435*N435</f>
        <v>0.02</v>
      </c>
      <c r="P435" s="2076" t="s">
        <v>39</v>
      </c>
      <c r="Q435" s="2008" t="s">
        <v>39</v>
      </c>
      <c r="R435" s="2011" t="s">
        <v>74</v>
      </c>
      <c r="S435" s="912">
        <f>SUMIF('Data Input sheet'!$B$118:$B$180,R435,'Data Input sheet'!$D$118:$D$180)</f>
        <v>152</v>
      </c>
      <c r="T435" s="2686">
        <f t="shared" ref="T435:T446" si="655">ROUND(O435*S435,0)</f>
        <v>3</v>
      </c>
      <c r="U435" s="2042">
        <v>14.8</v>
      </c>
      <c r="V435" s="2501">
        <f t="shared" si="399"/>
        <v>0</v>
      </c>
      <c r="W435" s="2045">
        <v>1.25</v>
      </c>
      <c r="X435" s="2502"/>
      <c r="Y435" s="2047">
        <v>0</v>
      </c>
      <c r="Z435" s="780">
        <f t="shared" ref="Z435:Z446" si="656">T435+V435+W435+Y435</f>
        <v>4.25</v>
      </c>
      <c r="AA435" s="2007"/>
      <c r="AB435" s="2007" t="s">
        <v>3140</v>
      </c>
      <c r="AC435" s="765"/>
      <c r="AD435" s="781">
        <f t="shared" si="468"/>
        <v>0</v>
      </c>
      <c r="AE435" s="778">
        <f t="shared" si="469"/>
        <v>0</v>
      </c>
      <c r="AF435" s="781">
        <f t="shared" si="470"/>
        <v>0</v>
      </c>
      <c r="AG435" s="781">
        <f t="shared" si="471"/>
        <v>0</v>
      </c>
      <c r="AH435" s="781">
        <f t="shared" si="472"/>
        <v>0</v>
      </c>
      <c r="AI435" s="782">
        <f t="shared" si="473"/>
        <v>0</v>
      </c>
      <c r="AJ435" s="781">
        <f t="shared" si="474"/>
        <v>0</v>
      </c>
      <c r="AK435" s="781">
        <f t="shared" si="475"/>
        <v>0</v>
      </c>
      <c r="AL435" s="781">
        <f t="shared" si="476"/>
        <v>0</v>
      </c>
      <c r="AM435" s="781">
        <f t="shared" si="477"/>
        <v>0</v>
      </c>
      <c r="AN435" s="781">
        <f t="shared" si="478"/>
        <v>0</v>
      </c>
      <c r="AO435" s="781">
        <f t="shared" si="479"/>
        <v>0</v>
      </c>
      <c r="AP435" s="781">
        <f t="shared" si="480"/>
        <v>0</v>
      </c>
      <c r="AQ435" s="781">
        <f t="shared" si="481"/>
        <v>0</v>
      </c>
      <c r="AR435" s="781">
        <f t="shared" si="482"/>
        <v>0</v>
      </c>
      <c r="AS435" s="783">
        <f t="shared" si="483"/>
        <v>0</v>
      </c>
      <c r="AT435" s="917"/>
      <c r="AW435" s="832"/>
      <c r="AX435" s="833" t="s">
        <v>3133</v>
      </c>
    </row>
    <row r="436" spans="1:65" ht="15.75" hidden="1" outlineLevel="1" thickBot="1" x14ac:dyDescent="0.3">
      <c r="A436" s="784"/>
      <c r="B436" s="904">
        <f t="shared" si="608"/>
        <v>418</v>
      </c>
      <c r="C436" s="170" t="str">
        <f t="shared" si="561"/>
        <v>36LF</v>
      </c>
      <c r="D436" s="557"/>
      <c r="E436" s="170"/>
      <c r="F436" s="170">
        <v>36</v>
      </c>
      <c r="G436" s="2068" t="s">
        <v>2843</v>
      </c>
      <c r="H436" s="2039"/>
      <c r="I436" s="2008" t="s">
        <v>728</v>
      </c>
      <c r="J436" s="2039"/>
      <c r="K436" s="2039"/>
      <c r="L436" s="488"/>
      <c r="M436" s="2494">
        <v>2.4E-2</v>
      </c>
      <c r="N436" s="2043">
        <v>1</v>
      </c>
      <c r="O436" s="1967">
        <f t="shared" si="654"/>
        <v>2.4E-2</v>
      </c>
      <c r="P436" s="2076" t="s">
        <v>39</v>
      </c>
      <c r="Q436" s="2008" t="s">
        <v>39</v>
      </c>
      <c r="R436" s="2011" t="s">
        <v>74</v>
      </c>
      <c r="S436" s="912">
        <f>SUMIF('Data Input sheet'!$B$118:$B$180,R436,'Data Input sheet'!$D$118:$D$180)</f>
        <v>152</v>
      </c>
      <c r="T436" s="2686">
        <f t="shared" si="655"/>
        <v>4</v>
      </c>
      <c r="U436" s="2042">
        <v>14.8</v>
      </c>
      <c r="V436" s="2501">
        <f t="shared" si="399"/>
        <v>0</v>
      </c>
      <c r="W436" s="2045">
        <v>3.262</v>
      </c>
      <c r="X436" s="2502"/>
      <c r="Y436" s="2047">
        <v>0</v>
      </c>
      <c r="Z436" s="780">
        <f t="shared" si="656"/>
        <v>7.2620000000000005</v>
      </c>
      <c r="AA436" s="2007"/>
      <c r="AB436" s="2007" t="s">
        <v>3141</v>
      </c>
      <c r="AC436" s="765"/>
      <c r="AD436" s="781">
        <f t="shared" si="468"/>
        <v>0</v>
      </c>
      <c r="AE436" s="778">
        <f t="shared" si="469"/>
        <v>0</v>
      </c>
      <c r="AF436" s="781">
        <f t="shared" si="470"/>
        <v>0</v>
      </c>
      <c r="AG436" s="781">
        <f t="shared" si="471"/>
        <v>0</v>
      </c>
      <c r="AH436" s="781">
        <f t="shared" si="472"/>
        <v>0</v>
      </c>
      <c r="AI436" s="782">
        <f t="shared" si="473"/>
        <v>0</v>
      </c>
      <c r="AJ436" s="781">
        <f t="shared" si="474"/>
        <v>0</v>
      </c>
      <c r="AK436" s="781">
        <f t="shared" si="475"/>
        <v>0</v>
      </c>
      <c r="AL436" s="781">
        <f t="shared" si="476"/>
        <v>0</v>
      </c>
      <c r="AM436" s="781">
        <f t="shared" si="477"/>
        <v>0</v>
      </c>
      <c r="AN436" s="781">
        <f t="shared" si="478"/>
        <v>0</v>
      </c>
      <c r="AO436" s="781">
        <f t="shared" si="479"/>
        <v>0</v>
      </c>
      <c r="AP436" s="781">
        <f t="shared" si="480"/>
        <v>0</v>
      </c>
      <c r="AQ436" s="781">
        <f t="shared" si="481"/>
        <v>0</v>
      </c>
      <c r="AR436" s="781">
        <f t="shared" si="482"/>
        <v>0</v>
      </c>
      <c r="AS436" s="783">
        <f t="shared" si="483"/>
        <v>0</v>
      </c>
      <c r="AT436" s="917"/>
      <c r="AW436" s="832"/>
      <c r="AX436" s="833" t="s">
        <v>3133</v>
      </c>
    </row>
    <row r="437" spans="1:65" ht="15.75" hidden="1" outlineLevel="1" thickBot="1" x14ac:dyDescent="0.3">
      <c r="A437" s="784"/>
      <c r="B437" s="904">
        <f t="shared" si="608"/>
        <v>419</v>
      </c>
      <c r="C437" s="170" t="str">
        <f t="shared" si="561"/>
        <v>36LF</v>
      </c>
      <c r="D437" s="557"/>
      <c r="E437" s="170"/>
      <c r="F437" s="170">
        <v>36</v>
      </c>
      <c r="G437" s="2068" t="s">
        <v>2844</v>
      </c>
      <c r="H437" s="2039"/>
      <c r="I437" s="2008" t="s">
        <v>728</v>
      </c>
      <c r="J437" s="2039"/>
      <c r="K437" s="2039"/>
      <c r="L437" s="488"/>
      <c r="M437" s="2494">
        <v>3.1E-2</v>
      </c>
      <c r="N437" s="2043">
        <v>1</v>
      </c>
      <c r="O437" s="1967">
        <f t="shared" si="654"/>
        <v>3.1E-2</v>
      </c>
      <c r="P437" s="2076" t="s">
        <v>39</v>
      </c>
      <c r="Q437" s="2008" t="s">
        <v>39</v>
      </c>
      <c r="R437" s="2011" t="s">
        <v>74</v>
      </c>
      <c r="S437" s="912">
        <f>SUMIF('Data Input sheet'!$B$118:$B$180,R437,'Data Input sheet'!$D$118:$D$180)</f>
        <v>152</v>
      </c>
      <c r="T437" s="2686">
        <f t="shared" si="655"/>
        <v>5</v>
      </c>
      <c r="U437" s="2042">
        <v>14.8</v>
      </c>
      <c r="V437" s="1981">
        <f t="shared" si="399"/>
        <v>0</v>
      </c>
      <c r="W437" s="2045">
        <v>2.34</v>
      </c>
      <c r="X437" s="2502"/>
      <c r="Y437" s="2047">
        <v>0</v>
      </c>
      <c r="Z437" s="780">
        <f t="shared" si="656"/>
        <v>7.34</v>
      </c>
      <c r="AA437" s="2007"/>
      <c r="AB437" s="2007" t="s">
        <v>3142</v>
      </c>
      <c r="AC437" s="765"/>
      <c r="AD437" s="781">
        <f t="shared" si="468"/>
        <v>0</v>
      </c>
      <c r="AE437" s="778">
        <f t="shared" si="469"/>
        <v>0</v>
      </c>
      <c r="AF437" s="781">
        <f t="shared" si="470"/>
        <v>0</v>
      </c>
      <c r="AG437" s="781">
        <f t="shared" si="471"/>
        <v>0</v>
      </c>
      <c r="AH437" s="781">
        <f t="shared" si="472"/>
        <v>0</v>
      </c>
      <c r="AI437" s="782">
        <f t="shared" si="473"/>
        <v>0</v>
      </c>
      <c r="AJ437" s="781">
        <f t="shared" si="474"/>
        <v>0</v>
      </c>
      <c r="AK437" s="781">
        <f t="shared" si="475"/>
        <v>0</v>
      </c>
      <c r="AL437" s="781">
        <f t="shared" si="476"/>
        <v>0</v>
      </c>
      <c r="AM437" s="781">
        <f t="shared" si="477"/>
        <v>0</v>
      </c>
      <c r="AN437" s="781">
        <f t="shared" si="478"/>
        <v>0</v>
      </c>
      <c r="AO437" s="781">
        <f t="shared" si="479"/>
        <v>0</v>
      </c>
      <c r="AP437" s="781">
        <f t="shared" si="480"/>
        <v>0</v>
      </c>
      <c r="AQ437" s="781">
        <f t="shared" si="481"/>
        <v>0</v>
      </c>
      <c r="AR437" s="781">
        <f t="shared" si="482"/>
        <v>0</v>
      </c>
      <c r="AS437" s="783">
        <f t="shared" si="483"/>
        <v>0</v>
      </c>
      <c r="AT437" s="917"/>
      <c r="AW437" s="832"/>
      <c r="AX437" s="833" t="s">
        <v>3133</v>
      </c>
    </row>
    <row r="438" spans="1:65" ht="15.75" hidden="1" outlineLevel="1" thickBot="1" x14ac:dyDescent="0.3">
      <c r="A438" s="784"/>
      <c r="B438" s="904">
        <f t="shared" si="608"/>
        <v>420</v>
      </c>
      <c r="C438" s="170" t="str">
        <f t="shared" si="561"/>
        <v>36LF</v>
      </c>
      <c r="D438" s="557"/>
      <c r="E438" s="170"/>
      <c r="F438" s="170">
        <v>36</v>
      </c>
      <c r="G438" s="2068" t="s">
        <v>3143</v>
      </c>
      <c r="H438" s="2039"/>
      <c r="I438" s="2008" t="s">
        <v>728</v>
      </c>
      <c r="J438" s="2039"/>
      <c r="K438" s="2039"/>
      <c r="L438" s="488"/>
      <c r="M438" s="2494">
        <v>3.5000000000000003E-2</v>
      </c>
      <c r="N438" s="2043">
        <v>1</v>
      </c>
      <c r="O438" s="1967">
        <f t="shared" si="654"/>
        <v>3.5000000000000003E-2</v>
      </c>
      <c r="P438" s="2076" t="s">
        <v>39</v>
      </c>
      <c r="Q438" s="2008" t="s">
        <v>39</v>
      </c>
      <c r="R438" s="2011" t="s">
        <v>74</v>
      </c>
      <c r="S438" s="912">
        <f>SUMIF('Data Input sheet'!$B$118:$B$180,R438,'Data Input sheet'!$D$118:$D$180)</f>
        <v>152</v>
      </c>
      <c r="T438" s="2686">
        <f t="shared" si="655"/>
        <v>5</v>
      </c>
      <c r="U438" s="2042">
        <v>14.8</v>
      </c>
      <c r="V438" s="1981">
        <f t="shared" si="399"/>
        <v>1</v>
      </c>
      <c r="W438" s="2045">
        <v>2.6419999999999999</v>
      </c>
      <c r="X438" s="2502"/>
      <c r="Y438" s="2047">
        <v>0</v>
      </c>
      <c r="Z438" s="780">
        <f t="shared" si="656"/>
        <v>8.6419999999999995</v>
      </c>
      <c r="AA438" s="2007"/>
      <c r="AB438" s="2007" t="s">
        <v>3144</v>
      </c>
      <c r="AC438" s="765"/>
      <c r="AD438" s="781">
        <f t="shared" si="468"/>
        <v>0</v>
      </c>
      <c r="AE438" s="778">
        <f t="shared" si="469"/>
        <v>0</v>
      </c>
      <c r="AF438" s="781">
        <f t="shared" si="470"/>
        <v>0</v>
      </c>
      <c r="AG438" s="781">
        <f t="shared" si="471"/>
        <v>0</v>
      </c>
      <c r="AH438" s="781">
        <f t="shared" si="472"/>
        <v>0</v>
      </c>
      <c r="AI438" s="782">
        <f t="shared" si="473"/>
        <v>0</v>
      </c>
      <c r="AJ438" s="781">
        <f t="shared" si="474"/>
        <v>0</v>
      </c>
      <c r="AK438" s="781">
        <f t="shared" si="475"/>
        <v>0</v>
      </c>
      <c r="AL438" s="781">
        <f t="shared" si="476"/>
        <v>0</v>
      </c>
      <c r="AM438" s="781">
        <f t="shared" si="477"/>
        <v>0</v>
      </c>
      <c r="AN438" s="781">
        <f t="shared" si="478"/>
        <v>0</v>
      </c>
      <c r="AO438" s="781">
        <f t="shared" si="479"/>
        <v>0</v>
      </c>
      <c r="AP438" s="781">
        <f t="shared" si="480"/>
        <v>0</v>
      </c>
      <c r="AQ438" s="781">
        <f t="shared" si="481"/>
        <v>0</v>
      </c>
      <c r="AR438" s="781">
        <f t="shared" si="482"/>
        <v>0</v>
      </c>
      <c r="AS438" s="783">
        <f t="shared" si="483"/>
        <v>0</v>
      </c>
      <c r="AT438" s="917"/>
      <c r="AW438" s="832"/>
      <c r="AX438" s="833" t="s">
        <v>3133</v>
      </c>
    </row>
    <row r="439" spans="1:65" ht="15.75" hidden="1" outlineLevel="1" thickBot="1" x14ac:dyDescent="0.3">
      <c r="A439" s="784"/>
      <c r="B439" s="904">
        <f t="shared" si="608"/>
        <v>421</v>
      </c>
      <c r="C439" s="170" t="str">
        <f t="shared" si="561"/>
        <v>36LF</v>
      </c>
      <c r="D439" s="557"/>
      <c r="E439" s="170"/>
      <c r="F439" s="170">
        <v>36</v>
      </c>
      <c r="G439" s="2068" t="s">
        <v>3145</v>
      </c>
      <c r="H439" s="2039"/>
      <c r="I439" s="2008" t="s">
        <v>728</v>
      </c>
      <c r="J439" s="2039"/>
      <c r="K439" s="2039"/>
      <c r="L439" s="488"/>
      <c r="M439" s="2494">
        <v>0.02</v>
      </c>
      <c r="N439" s="2043">
        <v>1</v>
      </c>
      <c r="O439" s="1967">
        <f t="shared" si="654"/>
        <v>0.02</v>
      </c>
      <c r="P439" s="2076" t="s">
        <v>39</v>
      </c>
      <c r="Q439" s="2008" t="s">
        <v>39</v>
      </c>
      <c r="R439" s="2011" t="s">
        <v>74</v>
      </c>
      <c r="S439" s="912">
        <f>SUMIF('Data Input sheet'!$B$118:$B$180,R439,'Data Input sheet'!$D$118:$D$180)</f>
        <v>152</v>
      </c>
      <c r="T439" s="2686">
        <f t="shared" si="655"/>
        <v>3</v>
      </c>
      <c r="U439" s="2042">
        <v>14.8</v>
      </c>
      <c r="V439" s="1981">
        <f t="shared" si="399"/>
        <v>0</v>
      </c>
      <c r="W439" s="2045">
        <v>1.514</v>
      </c>
      <c r="X439" s="2502"/>
      <c r="Y439" s="2047">
        <v>0</v>
      </c>
      <c r="Z439" s="780">
        <f t="shared" si="656"/>
        <v>4.5140000000000002</v>
      </c>
      <c r="AA439" s="2007"/>
      <c r="AB439" s="2007" t="s">
        <v>3146</v>
      </c>
      <c r="AC439" s="765"/>
      <c r="AD439" s="781">
        <f t="shared" ref="AD439:AD484" si="657">IF(P439="E",+ROUND(H439*O439,0),0)</f>
        <v>0</v>
      </c>
      <c r="AE439" s="778">
        <f t="shared" ref="AE439:AE484" si="658">+AF439-AD439</f>
        <v>0</v>
      </c>
      <c r="AF439" s="781">
        <f t="shared" ref="AF439:AF484" si="659">+H439*O439</f>
        <v>0</v>
      </c>
      <c r="AG439" s="781">
        <f t="shared" ref="AG439:AG484" si="660">IF(P439="E",+ROUND(T439*H439,0),0)</f>
        <v>0</v>
      </c>
      <c r="AH439" s="781">
        <f t="shared" ref="AH439:AH484" si="661">+AI439-AG439</f>
        <v>0</v>
      </c>
      <c r="AI439" s="782">
        <f t="shared" ref="AI439:AI484" si="662">+H439*T439</f>
        <v>0</v>
      </c>
      <c r="AJ439" s="781">
        <f t="shared" ref="AJ439:AJ484" si="663">IF(P439="E",+ROUND(V439*H439,0),0)</f>
        <v>0</v>
      </c>
      <c r="AK439" s="781">
        <f t="shared" ref="AK439:AK484" si="664">+AL439-AJ439</f>
        <v>0</v>
      </c>
      <c r="AL439" s="781">
        <f t="shared" ref="AL439:AL484" si="665">ROUND(V439*H439,0)</f>
        <v>0</v>
      </c>
      <c r="AM439" s="781">
        <f t="shared" ref="AM439:AM484" si="666">IF(Q439="E",+ROUND(W439*H439,0),0)</f>
        <v>0</v>
      </c>
      <c r="AN439" s="781">
        <f t="shared" ref="AN439:AN484" si="667">+AO439-AM439</f>
        <v>0</v>
      </c>
      <c r="AO439" s="781">
        <f t="shared" ref="AO439:AO484" si="668">ROUND(W439*H439,0)</f>
        <v>0</v>
      </c>
      <c r="AP439" s="781">
        <f t="shared" ref="AP439:AP484" si="669">IF(P439="E",+ROUND(Y439*H439,0),0)</f>
        <v>0</v>
      </c>
      <c r="AQ439" s="781">
        <f t="shared" ref="AQ439:AQ484" si="670">+AR439-AP439</f>
        <v>0</v>
      </c>
      <c r="AR439" s="781">
        <f t="shared" ref="AR439:AR484" si="671">ROUND(Y439*H439,0)</f>
        <v>0</v>
      </c>
      <c r="AS439" s="783">
        <f t="shared" ref="AS439:AS484" si="672">+AR439+AO439+AL439+AI439</f>
        <v>0</v>
      </c>
      <c r="AT439" s="917"/>
      <c r="AW439" s="832"/>
      <c r="AX439" s="833" t="s">
        <v>3133</v>
      </c>
    </row>
    <row r="440" spans="1:65" ht="15.75" hidden="1" outlineLevel="1" thickBot="1" x14ac:dyDescent="0.3">
      <c r="A440" s="784"/>
      <c r="B440" s="904">
        <f t="shared" si="608"/>
        <v>422</v>
      </c>
      <c r="C440" s="170" t="str">
        <f t="shared" si="561"/>
        <v>36LF</v>
      </c>
      <c r="D440" s="557"/>
      <c r="E440" s="170"/>
      <c r="F440" s="170">
        <v>36</v>
      </c>
      <c r="G440" s="2068" t="s">
        <v>3147</v>
      </c>
      <c r="H440" s="2039"/>
      <c r="I440" s="2008" t="s">
        <v>728</v>
      </c>
      <c r="J440" s="2039"/>
      <c r="K440" s="2039"/>
      <c r="L440" s="488"/>
      <c r="M440" s="2494">
        <v>2.4E-2</v>
      </c>
      <c r="N440" s="2043">
        <v>1</v>
      </c>
      <c r="O440" s="1967">
        <f t="shared" si="654"/>
        <v>2.4E-2</v>
      </c>
      <c r="P440" s="2076" t="s">
        <v>39</v>
      </c>
      <c r="Q440" s="2008" t="s">
        <v>39</v>
      </c>
      <c r="R440" s="2011" t="s">
        <v>74</v>
      </c>
      <c r="S440" s="912">
        <f>SUMIF('Data Input sheet'!$B$118:$B$180,R440,'Data Input sheet'!$D$118:$D$180)</f>
        <v>152</v>
      </c>
      <c r="T440" s="2686">
        <f t="shared" si="655"/>
        <v>4</v>
      </c>
      <c r="U440" s="2042">
        <v>14.8</v>
      </c>
      <c r="V440" s="1981">
        <f t="shared" si="399"/>
        <v>0</v>
      </c>
      <c r="W440" s="2045">
        <v>1.4750000000000001</v>
      </c>
      <c r="X440" s="2502"/>
      <c r="Y440" s="2047">
        <v>0</v>
      </c>
      <c r="Z440" s="780">
        <f t="shared" si="656"/>
        <v>5.4749999999999996</v>
      </c>
      <c r="AA440" s="2007"/>
      <c r="AB440" s="2007" t="s">
        <v>3148</v>
      </c>
      <c r="AC440" s="765"/>
      <c r="AD440" s="781">
        <f t="shared" si="657"/>
        <v>0</v>
      </c>
      <c r="AE440" s="778">
        <f t="shared" si="658"/>
        <v>0</v>
      </c>
      <c r="AF440" s="781">
        <f t="shared" si="659"/>
        <v>0</v>
      </c>
      <c r="AG440" s="781">
        <f t="shared" si="660"/>
        <v>0</v>
      </c>
      <c r="AH440" s="781">
        <f t="shared" si="661"/>
        <v>0</v>
      </c>
      <c r="AI440" s="782">
        <f t="shared" si="662"/>
        <v>0</v>
      </c>
      <c r="AJ440" s="781">
        <f t="shared" si="663"/>
        <v>0</v>
      </c>
      <c r="AK440" s="781">
        <f t="shared" si="664"/>
        <v>0</v>
      </c>
      <c r="AL440" s="781">
        <f t="shared" si="665"/>
        <v>0</v>
      </c>
      <c r="AM440" s="781">
        <f t="shared" si="666"/>
        <v>0</v>
      </c>
      <c r="AN440" s="781">
        <f t="shared" si="667"/>
        <v>0</v>
      </c>
      <c r="AO440" s="781">
        <f t="shared" si="668"/>
        <v>0</v>
      </c>
      <c r="AP440" s="781">
        <f t="shared" si="669"/>
        <v>0</v>
      </c>
      <c r="AQ440" s="781">
        <f t="shared" si="670"/>
        <v>0</v>
      </c>
      <c r="AR440" s="781">
        <f t="shared" si="671"/>
        <v>0</v>
      </c>
      <c r="AS440" s="783">
        <f t="shared" si="672"/>
        <v>0</v>
      </c>
      <c r="AT440" s="917"/>
      <c r="AW440" s="832"/>
      <c r="AX440" s="833" t="s">
        <v>3133</v>
      </c>
    </row>
    <row r="441" spans="1:65" ht="15.75" hidden="1" outlineLevel="1" thickBot="1" x14ac:dyDescent="0.3">
      <c r="A441" s="784"/>
      <c r="B441" s="904">
        <f t="shared" si="608"/>
        <v>423</v>
      </c>
      <c r="C441" s="170" t="str">
        <f t="shared" si="561"/>
        <v>36LF</v>
      </c>
      <c r="D441" s="557"/>
      <c r="E441" s="170"/>
      <c r="F441" s="170">
        <v>36</v>
      </c>
      <c r="G441" s="2068" t="s">
        <v>2845</v>
      </c>
      <c r="H441" s="2039"/>
      <c r="I441" s="2008" t="s">
        <v>728</v>
      </c>
      <c r="J441" s="2039"/>
      <c r="K441" s="2039"/>
      <c r="L441" s="488"/>
      <c r="M441" s="2494">
        <v>2.5000000000000001E-2</v>
      </c>
      <c r="N441" s="2043">
        <v>1</v>
      </c>
      <c r="O441" s="1967">
        <f t="shared" si="654"/>
        <v>2.5000000000000001E-2</v>
      </c>
      <c r="P441" s="2076" t="s">
        <v>39</v>
      </c>
      <c r="Q441" s="2008" t="s">
        <v>39</v>
      </c>
      <c r="R441" s="2011" t="s">
        <v>74</v>
      </c>
      <c r="S441" s="912">
        <f>SUMIF('Data Input sheet'!$B$118:$B$180,R441,'Data Input sheet'!$D$118:$D$180)</f>
        <v>152</v>
      </c>
      <c r="T441" s="2686">
        <f t="shared" si="655"/>
        <v>4</v>
      </c>
      <c r="U441" s="2042">
        <v>14.8</v>
      </c>
      <c r="V441" s="1981">
        <f t="shared" si="399"/>
        <v>0</v>
      </c>
      <c r="W441" s="2045">
        <v>1.425</v>
      </c>
      <c r="X441" s="2502"/>
      <c r="Y441" s="2047">
        <v>0</v>
      </c>
      <c r="Z441" s="780">
        <f t="shared" si="656"/>
        <v>5.4249999999999998</v>
      </c>
      <c r="AA441" s="2007"/>
      <c r="AB441" s="2007" t="s">
        <v>3149</v>
      </c>
      <c r="AC441" s="765"/>
      <c r="AD441" s="781">
        <f t="shared" si="657"/>
        <v>0</v>
      </c>
      <c r="AE441" s="778">
        <f t="shared" si="658"/>
        <v>0</v>
      </c>
      <c r="AF441" s="781">
        <f t="shared" si="659"/>
        <v>0</v>
      </c>
      <c r="AG441" s="781">
        <f t="shared" si="660"/>
        <v>0</v>
      </c>
      <c r="AH441" s="781">
        <f t="shared" si="661"/>
        <v>0</v>
      </c>
      <c r="AI441" s="782">
        <f t="shared" si="662"/>
        <v>0</v>
      </c>
      <c r="AJ441" s="781">
        <f t="shared" si="663"/>
        <v>0</v>
      </c>
      <c r="AK441" s="781">
        <f t="shared" si="664"/>
        <v>0</v>
      </c>
      <c r="AL441" s="781">
        <f t="shared" si="665"/>
        <v>0</v>
      </c>
      <c r="AM441" s="781">
        <f t="shared" si="666"/>
        <v>0</v>
      </c>
      <c r="AN441" s="781">
        <f t="shared" si="667"/>
        <v>0</v>
      </c>
      <c r="AO441" s="781">
        <f t="shared" si="668"/>
        <v>0</v>
      </c>
      <c r="AP441" s="781">
        <f t="shared" si="669"/>
        <v>0</v>
      </c>
      <c r="AQ441" s="781">
        <f t="shared" si="670"/>
        <v>0</v>
      </c>
      <c r="AR441" s="781">
        <f t="shared" si="671"/>
        <v>0</v>
      </c>
      <c r="AS441" s="783">
        <f t="shared" si="672"/>
        <v>0</v>
      </c>
      <c r="AT441" s="917"/>
      <c r="AW441" s="832"/>
      <c r="AX441" s="833" t="s">
        <v>3133</v>
      </c>
    </row>
    <row r="442" spans="1:65" ht="15.75" hidden="1" outlineLevel="1" thickBot="1" x14ac:dyDescent="0.3">
      <c r="A442" s="784"/>
      <c r="B442" s="904">
        <f t="shared" si="608"/>
        <v>424</v>
      </c>
      <c r="C442" s="170" t="str">
        <f t="shared" si="561"/>
        <v>36EA</v>
      </c>
      <c r="D442" s="557"/>
      <c r="E442" s="170"/>
      <c r="F442" s="170">
        <v>36</v>
      </c>
      <c r="G442" s="2068" t="s">
        <v>3150</v>
      </c>
      <c r="H442" s="2039">
        <v>0</v>
      </c>
      <c r="I442" s="2008" t="s">
        <v>732</v>
      </c>
      <c r="J442" s="2039"/>
      <c r="K442" s="2039"/>
      <c r="L442" s="488"/>
      <c r="M442" s="2494">
        <v>0.125</v>
      </c>
      <c r="N442" s="2043">
        <v>1</v>
      </c>
      <c r="O442" s="1967">
        <f t="shared" si="654"/>
        <v>0.125</v>
      </c>
      <c r="P442" s="2076" t="s">
        <v>39</v>
      </c>
      <c r="Q442" s="2008" t="s">
        <v>39</v>
      </c>
      <c r="R442" s="2011" t="s">
        <v>74</v>
      </c>
      <c r="S442" s="912">
        <f>SUMIF('Data Input sheet'!$B$118:$B$180,R442,'Data Input sheet'!$D$118:$D$180)</f>
        <v>152</v>
      </c>
      <c r="T442" s="2686">
        <f t="shared" si="655"/>
        <v>19</v>
      </c>
      <c r="U442" s="2042">
        <v>14.8</v>
      </c>
      <c r="V442" s="1981">
        <f t="shared" si="399"/>
        <v>2</v>
      </c>
      <c r="W442" s="2045">
        <v>0.53</v>
      </c>
      <c r="X442" s="2502"/>
      <c r="Y442" s="2047">
        <v>0</v>
      </c>
      <c r="Z442" s="780">
        <f t="shared" si="656"/>
        <v>21.53</v>
      </c>
      <c r="AA442" s="2007"/>
      <c r="AB442" s="2496" t="s">
        <v>3151</v>
      </c>
      <c r="AC442" s="765"/>
      <c r="AD442" s="781">
        <f t="shared" si="657"/>
        <v>0</v>
      </c>
      <c r="AE442" s="778">
        <f t="shared" si="658"/>
        <v>0</v>
      </c>
      <c r="AF442" s="781">
        <f t="shared" si="659"/>
        <v>0</v>
      </c>
      <c r="AG442" s="781">
        <f t="shared" si="660"/>
        <v>0</v>
      </c>
      <c r="AH442" s="781">
        <f t="shared" si="661"/>
        <v>0</v>
      </c>
      <c r="AI442" s="782">
        <f t="shared" si="662"/>
        <v>0</v>
      </c>
      <c r="AJ442" s="781">
        <f t="shared" si="663"/>
        <v>0</v>
      </c>
      <c r="AK442" s="781">
        <f t="shared" si="664"/>
        <v>0</v>
      </c>
      <c r="AL442" s="781">
        <f t="shared" si="665"/>
        <v>0</v>
      </c>
      <c r="AM442" s="781">
        <f t="shared" si="666"/>
        <v>0</v>
      </c>
      <c r="AN442" s="781">
        <f t="shared" si="667"/>
        <v>0</v>
      </c>
      <c r="AO442" s="781">
        <f t="shared" si="668"/>
        <v>0</v>
      </c>
      <c r="AP442" s="781">
        <f t="shared" si="669"/>
        <v>0</v>
      </c>
      <c r="AQ442" s="781">
        <f t="shared" si="670"/>
        <v>0</v>
      </c>
      <c r="AR442" s="781">
        <f t="shared" si="671"/>
        <v>0</v>
      </c>
      <c r="AS442" s="783">
        <f t="shared" si="672"/>
        <v>0</v>
      </c>
      <c r="AT442" s="917"/>
      <c r="AW442" s="832"/>
      <c r="AX442" s="833" t="s">
        <v>3133</v>
      </c>
    </row>
    <row r="443" spans="1:65" ht="15.75" hidden="1" outlineLevel="1" thickBot="1" x14ac:dyDescent="0.3">
      <c r="A443" s="784"/>
      <c r="B443" s="904">
        <f t="shared" si="608"/>
        <v>425</v>
      </c>
      <c r="C443" s="170" t="str">
        <f t="shared" si="561"/>
        <v>36EA</v>
      </c>
      <c r="D443" s="557"/>
      <c r="E443" s="170"/>
      <c r="F443" s="170">
        <v>36</v>
      </c>
      <c r="G443" s="2068" t="s">
        <v>3152</v>
      </c>
      <c r="H443" s="2039">
        <v>0</v>
      </c>
      <c r="I443" s="2008" t="s">
        <v>732</v>
      </c>
      <c r="J443" s="2039"/>
      <c r="K443" s="2039"/>
      <c r="L443" s="488"/>
      <c r="M443" s="2494">
        <v>0.25</v>
      </c>
      <c r="N443" s="2043">
        <v>1</v>
      </c>
      <c r="O443" s="1967">
        <f t="shared" si="654"/>
        <v>0.25</v>
      </c>
      <c r="P443" s="2076" t="s">
        <v>39</v>
      </c>
      <c r="Q443" s="2008" t="s">
        <v>39</v>
      </c>
      <c r="R443" s="2011" t="s">
        <v>74</v>
      </c>
      <c r="S443" s="912">
        <f>SUMIF('Data Input sheet'!$B$118:$B$180,R443,'Data Input sheet'!$D$118:$D$180)</f>
        <v>152</v>
      </c>
      <c r="T443" s="2686">
        <f t="shared" si="655"/>
        <v>38</v>
      </c>
      <c r="U443" s="2042">
        <v>14.8</v>
      </c>
      <c r="V443" s="1981">
        <f t="shared" si="399"/>
        <v>4</v>
      </c>
      <c r="W443" s="2045">
        <v>0.71</v>
      </c>
      <c r="X443" s="2502"/>
      <c r="Y443" s="2047">
        <v>0</v>
      </c>
      <c r="Z443" s="780">
        <f t="shared" si="656"/>
        <v>42.71</v>
      </c>
      <c r="AA443" s="2007"/>
      <c r="AB443" s="2007" t="s">
        <v>3153</v>
      </c>
      <c r="AC443" s="765"/>
      <c r="AD443" s="781">
        <f t="shared" si="657"/>
        <v>0</v>
      </c>
      <c r="AE443" s="778">
        <f t="shared" si="658"/>
        <v>0</v>
      </c>
      <c r="AF443" s="781">
        <f t="shared" si="659"/>
        <v>0</v>
      </c>
      <c r="AG443" s="781">
        <f t="shared" si="660"/>
        <v>0</v>
      </c>
      <c r="AH443" s="781">
        <f t="shared" si="661"/>
        <v>0</v>
      </c>
      <c r="AI443" s="782">
        <f t="shared" si="662"/>
        <v>0</v>
      </c>
      <c r="AJ443" s="781">
        <f t="shared" si="663"/>
        <v>0</v>
      </c>
      <c r="AK443" s="781">
        <f t="shared" si="664"/>
        <v>0</v>
      </c>
      <c r="AL443" s="781">
        <f t="shared" si="665"/>
        <v>0</v>
      </c>
      <c r="AM443" s="781">
        <f t="shared" si="666"/>
        <v>0</v>
      </c>
      <c r="AN443" s="781">
        <f t="shared" si="667"/>
        <v>0</v>
      </c>
      <c r="AO443" s="781">
        <f t="shared" si="668"/>
        <v>0</v>
      </c>
      <c r="AP443" s="781">
        <f t="shared" si="669"/>
        <v>0</v>
      </c>
      <c r="AQ443" s="781">
        <f t="shared" si="670"/>
        <v>0</v>
      </c>
      <c r="AR443" s="781">
        <f t="shared" si="671"/>
        <v>0</v>
      </c>
      <c r="AS443" s="783">
        <f t="shared" si="672"/>
        <v>0</v>
      </c>
      <c r="AT443" s="917"/>
      <c r="AW443" s="832"/>
      <c r="AX443" s="833" t="s">
        <v>3133</v>
      </c>
    </row>
    <row r="444" spans="1:65" ht="15.75" hidden="1" outlineLevel="1" thickBot="1" x14ac:dyDescent="0.3">
      <c r="A444" s="784"/>
      <c r="B444" s="904">
        <f t="shared" si="608"/>
        <v>426</v>
      </c>
      <c r="C444" s="170" t="str">
        <f t="shared" si="561"/>
        <v>36LF</v>
      </c>
      <c r="D444" s="557"/>
      <c r="E444" s="170"/>
      <c r="F444" s="170">
        <v>36</v>
      </c>
      <c r="G444" s="2068" t="s">
        <v>3477</v>
      </c>
      <c r="H444" s="2039"/>
      <c r="I444" s="2008" t="s">
        <v>728</v>
      </c>
      <c r="J444" s="2039"/>
      <c r="K444" s="2039"/>
      <c r="L444" s="488"/>
      <c r="M444" s="2494">
        <v>6.0000000000000001E-3</v>
      </c>
      <c r="N444" s="2043">
        <v>1</v>
      </c>
      <c r="O444" s="1967">
        <f t="shared" si="654"/>
        <v>6.0000000000000001E-3</v>
      </c>
      <c r="P444" s="2076" t="s">
        <v>39</v>
      </c>
      <c r="Q444" s="2008" t="s">
        <v>39</v>
      </c>
      <c r="R444" s="2011" t="s">
        <v>74</v>
      </c>
      <c r="S444" s="912">
        <f>SUMIF('Data Input sheet'!$B$118:$B$180,R444,'Data Input sheet'!$D$118:$D$180)</f>
        <v>152</v>
      </c>
      <c r="T444" s="2686">
        <f t="shared" si="655"/>
        <v>1</v>
      </c>
      <c r="U444" s="2042">
        <v>14.8</v>
      </c>
      <c r="V444" s="1981">
        <f t="shared" si="399"/>
        <v>0</v>
      </c>
      <c r="W444" s="2045">
        <v>0.47</v>
      </c>
      <c r="X444" s="2502"/>
      <c r="Y444" s="2047">
        <v>0</v>
      </c>
      <c r="Z444" s="780">
        <f t="shared" si="656"/>
        <v>1.47</v>
      </c>
      <c r="AA444" s="2007"/>
      <c r="AB444" s="2007" t="s">
        <v>3154</v>
      </c>
      <c r="AC444" s="765"/>
      <c r="AD444" s="781">
        <f t="shared" si="657"/>
        <v>0</v>
      </c>
      <c r="AE444" s="778">
        <f t="shared" si="658"/>
        <v>0</v>
      </c>
      <c r="AF444" s="781">
        <f t="shared" si="659"/>
        <v>0</v>
      </c>
      <c r="AG444" s="781">
        <f t="shared" si="660"/>
        <v>0</v>
      </c>
      <c r="AH444" s="781">
        <f t="shared" si="661"/>
        <v>0</v>
      </c>
      <c r="AI444" s="782">
        <f t="shared" si="662"/>
        <v>0</v>
      </c>
      <c r="AJ444" s="781">
        <f t="shared" si="663"/>
        <v>0</v>
      </c>
      <c r="AK444" s="781">
        <f t="shared" si="664"/>
        <v>0</v>
      </c>
      <c r="AL444" s="781">
        <f t="shared" si="665"/>
        <v>0</v>
      </c>
      <c r="AM444" s="781">
        <f t="shared" si="666"/>
        <v>0</v>
      </c>
      <c r="AN444" s="781">
        <f t="shared" si="667"/>
        <v>0</v>
      </c>
      <c r="AO444" s="781">
        <f t="shared" si="668"/>
        <v>0</v>
      </c>
      <c r="AP444" s="781">
        <f t="shared" si="669"/>
        <v>0</v>
      </c>
      <c r="AQ444" s="781">
        <f t="shared" si="670"/>
        <v>0</v>
      </c>
      <c r="AR444" s="781">
        <f t="shared" si="671"/>
        <v>0</v>
      </c>
      <c r="AS444" s="783">
        <f t="shared" si="672"/>
        <v>0</v>
      </c>
      <c r="AT444" s="917"/>
      <c r="AW444" s="832"/>
      <c r="AX444" s="833" t="s">
        <v>3133</v>
      </c>
    </row>
    <row r="445" spans="1:65" ht="15.75" hidden="1" outlineLevel="1" thickBot="1" x14ac:dyDescent="0.3">
      <c r="A445" s="784"/>
      <c r="B445" s="904">
        <f t="shared" si="608"/>
        <v>427</v>
      </c>
      <c r="C445" s="170" t="str">
        <f t="shared" si="561"/>
        <v>36LF</v>
      </c>
      <c r="D445" s="557"/>
      <c r="E445" s="170"/>
      <c r="F445" s="170">
        <v>36</v>
      </c>
      <c r="G445" s="2068" t="s">
        <v>3478</v>
      </c>
      <c r="H445" s="2039"/>
      <c r="I445" s="2008" t="s">
        <v>728</v>
      </c>
      <c r="J445" s="2039"/>
      <c r="K445" s="2039"/>
      <c r="L445" s="488"/>
      <c r="M445" s="2494">
        <v>5.0000000000000001E-3</v>
      </c>
      <c r="N445" s="2043">
        <v>1</v>
      </c>
      <c r="O445" s="1967">
        <f t="shared" si="654"/>
        <v>5.0000000000000001E-3</v>
      </c>
      <c r="P445" s="2076" t="s">
        <v>39</v>
      </c>
      <c r="Q445" s="2008" t="s">
        <v>39</v>
      </c>
      <c r="R445" s="2011" t="s">
        <v>74</v>
      </c>
      <c r="S445" s="912">
        <f>SUMIF('Data Input sheet'!$B$118:$B$180,R445,'Data Input sheet'!$D$118:$D$180)</f>
        <v>152</v>
      </c>
      <c r="T445" s="2686">
        <f t="shared" si="655"/>
        <v>1</v>
      </c>
      <c r="U445" s="2042">
        <v>14.8</v>
      </c>
      <c r="V445" s="1981">
        <f t="shared" si="399"/>
        <v>0</v>
      </c>
      <c r="W445" s="2045">
        <v>0.215</v>
      </c>
      <c r="X445" s="2502"/>
      <c r="Y445" s="2047">
        <v>0</v>
      </c>
      <c r="Z445" s="780">
        <f t="shared" si="656"/>
        <v>1.2150000000000001</v>
      </c>
      <c r="AA445" s="2007"/>
      <c r="AB445" s="2007" t="s">
        <v>3155</v>
      </c>
      <c r="AC445" s="765"/>
      <c r="AD445" s="781">
        <f t="shared" si="657"/>
        <v>0</v>
      </c>
      <c r="AE445" s="778">
        <f t="shared" si="658"/>
        <v>0</v>
      </c>
      <c r="AF445" s="781">
        <f t="shared" si="659"/>
        <v>0</v>
      </c>
      <c r="AG445" s="781">
        <f t="shared" si="660"/>
        <v>0</v>
      </c>
      <c r="AH445" s="781">
        <f t="shared" si="661"/>
        <v>0</v>
      </c>
      <c r="AI445" s="782">
        <f t="shared" si="662"/>
        <v>0</v>
      </c>
      <c r="AJ445" s="781">
        <f t="shared" si="663"/>
        <v>0</v>
      </c>
      <c r="AK445" s="781">
        <f t="shared" si="664"/>
        <v>0</v>
      </c>
      <c r="AL445" s="781">
        <f t="shared" si="665"/>
        <v>0</v>
      </c>
      <c r="AM445" s="781">
        <f t="shared" si="666"/>
        <v>0</v>
      </c>
      <c r="AN445" s="781">
        <f t="shared" si="667"/>
        <v>0</v>
      </c>
      <c r="AO445" s="781">
        <f t="shared" si="668"/>
        <v>0</v>
      </c>
      <c r="AP445" s="781">
        <f t="shared" si="669"/>
        <v>0</v>
      </c>
      <c r="AQ445" s="781">
        <f t="shared" si="670"/>
        <v>0</v>
      </c>
      <c r="AR445" s="781">
        <f t="shared" si="671"/>
        <v>0</v>
      </c>
      <c r="AS445" s="783">
        <f t="shared" si="672"/>
        <v>0</v>
      </c>
      <c r="AT445" s="917"/>
      <c r="AW445" s="832"/>
      <c r="AX445" s="833" t="s">
        <v>3133</v>
      </c>
    </row>
    <row r="446" spans="1:65" ht="15.75" hidden="1" outlineLevel="1" thickBot="1" x14ac:dyDescent="0.3">
      <c r="A446" s="784"/>
      <c r="B446" s="904">
        <f t="shared" si="608"/>
        <v>428</v>
      </c>
      <c r="C446" s="170" t="str">
        <f t="shared" si="561"/>
        <v>36LF</v>
      </c>
      <c r="D446" s="557"/>
      <c r="E446" s="170"/>
      <c r="F446" s="170">
        <v>36</v>
      </c>
      <c r="G446" s="2068" t="s">
        <v>3479</v>
      </c>
      <c r="H446" s="2039"/>
      <c r="I446" s="2008" t="s">
        <v>728</v>
      </c>
      <c r="J446" s="2039"/>
      <c r="K446" s="2039"/>
      <c r="L446" s="488"/>
      <c r="M446" s="2494">
        <v>7.0000000000000001E-3</v>
      </c>
      <c r="N446" s="2043">
        <v>1</v>
      </c>
      <c r="O446" s="1967">
        <f t="shared" si="654"/>
        <v>7.0000000000000001E-3</v>
      </c>
      <c r="P446" s="2076" t="s">
        <v>39</v>
      </c>
      <c r="Q446" s="2008" t="s">
        <v>39</v>
      </c>
      <c r="R446" s="2011" t="s">
        <v>74</v>
      </c>
      <c r="S446" s="912">
        <f>SUMIF('Data Input sheet'!$B$118:$B$180,R446,'Data Input sheet'!$D$118:$D$180)</f>
        <v>152</v>
      </c>
      <c r="T446" s="2686">
        <f t="shared" si="655"/>
        <v>1</v>
      </c>
      <c r="U446" s="2042">
        <v>14.8</v>
      </c>
      <c r="V446" s="1981">
        <f t="shared" si="399"/>
        <v>0</v>
      </c>
      <c r="W446" s="2045">
        <v>0.47399999999999998</v>
      </c>
      <c r="X446" s="2502"/>
      <c r="Y446" s="2047">
        <v>0</v>
      </c>
      <c r="Z446" s="780">
        <f t="shared" si="656"/>
        <v>1.474</v>
      </c>
      <c r="AA446" s="2007"/>
      <c r="AB446" s="2007" t="s">
        <v>3156</v>
      </c>
      <c r="AC446" s="765"/>
      <c r="AD446" s="781">
        <f t="shared" si="657"/>
        <v>0</v>
      </c>
      <c r="AE446" s="778">
        <f t="shared" si="658"/>
        <v>0</v>
      </c>
      <c r="AF446" s="781">
        <f t="shared" si="659"/>
        <v>0</v>
      </c>
      <c r="AG446" s="781">
        <f t="shared" si="660"/>
        <v>0</v>
      </c>
      <c r="AH446" s="781">
        <f t="shared" si="661"/>
        <v>0</v>
      </c>
      <c r="AI446" s="782">
        <f t="shared" si="662"/>
        <v>0</v>
      </c>
      <c r="AJ446" s="781">
        <f t="shared" si="663"/>
        <v>0</v>
      </c>
      <c r="AK446" s="781">
        <f t="shared" si="664"/>
        <v>0</v>
      </c>
      <c r="AL446" s="781">
        <f t="shared" si="665"/>
        <v>0</v>
      </c>
      <c r="AM446" s="781">
        <f t="shared" si="666"/>
        <v>0</v>
      </c>
      <c r="AN446" s="781">
        <f t="shared" si="667"/>
        <v>0</v>
      </c>
      <c r="AO446" s="781">
        <f t="shared" si="668"/>
        <v>0</v>
      </c>
      <c r="AP446" s="781">
        <f t="shared" si="669"/>
        <v>0</v>
      </c>
      <c r="AQ446" s="781">
        <f t="shared" si="670"/>
        <v>0</v>
      </c>
      <c r="AR446" s="781">
        <f t="shared" si="671"/>
        <v>0</v>
      </c>
      <c r="AS446" s="783">
        <f t="shared" si="672"/>
        <v>0</v>
      </c>
      <c r="AT446" s="917"/>
      <c r="AW446" s="832"/>
      <c r="AX446" s="833" t="s">
        <v>3133</v>
      </c>
    </row>
    <row r="447" spans="1:65" ht="21" customHeight="1" collapsed="1" thickBot="1" x14ac:dyDescent="0.3">
      <c r="A447" s="784"/>
      <c r="B447" s="904">
        <f t="shared" si="608"/>
        <v>429</v>
      </c>
      <c r="C447" s="170" t="str">
        <f t="shared" si="561"/>
        <v>71</v>
      </c>
      <c r="D447" s="557"/>
      <c r="E447" s="170"/>
      <c r="F447" s="170">
        <v>71</v>
      </c>
      <c r="G447" s="2627" t="s">
        <v>3282</v>
      </c>
      <c r="H447" s="2629">
        <v>1</v>
      </c>
      <c r="I447" s="2008"/>
      <c r="J447" s="1926"/>
      <c r="K447" s="1926"/>
      <c r="L447" s="488"/>
      <c r="M447" s="2009">
        <v>0</v>
      </c>
      <c r="N447" s="2010"/>
      <c r="O447" s="773">
        <f t="shared" si="396"/>
        <v>0</v>
      </c>
      <c r="P447" s="2076"/>
      <c r="Q447" s="2008"/>
      <c r="R447" s="2011"/>
      <c r="S447" s="912">
        <f>SUMIF('Data Input sheet'!$B$118:$B$180,R447,'Data Input sheet'!$D$118:$D$180)</f>
        <v>0</v>
      </c>
      <c r="T447" s="2685">
        <f t="shared" ref="T447:T472" si="673">+O447*S447</f>
        <v>0</v>
      </c>
      <c r="U447" s="2013">
        <v>0</v>
      </c>
      <c r="V447" s="778">
        <f t="shared" si="399"/>
        <v>0</v>
      </c>
      <c r="W447" s="2010"/>
      <c r="X447" s="779"/>
      <c r="Y447" s="2012">
        <v>0</v>
      </c>
      <c r="Z447" s="780">
        <f t="shared" si="398"/>
        <v>0</v>
      </c>
      <c r="AA447" s="2007"/>
      <c r="AB447" s="2007"/>
      <c r="AC447" s="765"/>
      <c r="AD447" s="781">
        <f t="shared" si="657"/>
        <v>0</v>
      </c>
      <c r="AE447" s="778">
        <f t="shared" si="658"/>
        <v>0</v>
      </c>
      <c r="AF447" s="781">
        <f t="shared" si="659"/>
        <v>0</v>
      </c>
      <c r="AG447" s="781">
        <f t="shared" si="660"/>
        <v>0</v>
      </c>
      <c r="AH447" s="781">
        <f t="shared" si="661"/>
        <v>0</v>
      </c>
      <c r="AI447" s="782">
        <f t="shared" si="662"/>
        <v>0</v>
      </c>
      <c r="AJ447" s="781">
        <f t="shared" si="663"/>
        <v>0</v>
      </c>
      <c r="AK447" s="781">
        <f t="shared" si="664"/>
        <v>0</v>
      </c>
      <c r="AL447" s="781">
        <f t="shared" si="665"/>
        <v>0</v>
      </c>
      <c r="AM447" s="781">
        <f t="shared" si="666"/>
        <v>0</v>
      </c>
      <c r="AN447" s="781">
        <f t="shared" si="667"/>
        <v>0</v>
      </c>
      <c r="AO447" s="781">
        <f t="shared" si="668"/>
        <v>0</v>
      </c>
      <c r="AP447" s="781">
        <f t="shared" si="669"/>
        <v>0</v>
      </c>
      <c r="AQ447" s="781">
        <f t="shared" si="670"/>
        <v>0</v>
      </c>
      <c r="AR447" s="781">
        <f t="shared" si="671"/>
        <v>0</v>
      </c>
      <c r="AS447" s="783">
        <f t="shared" si="672"/>
        <v>0</v>
      </c>
      <c r="AT447" s="917"/>
      <c r="AW447" s="832"/>
      <c r="AX447" s="2481">
        <v>0</v>
      </c>
      <c r="AY447" s="2482"/>
      <c r="BM447" s="2010"/>
    </row>
    <row r="448" spans="1:65" ht="39" hidden="1" outlineLevel="1" thickBot="1" x14ac:dyDescent="0.3">
      <c r="A448" s="784"/>
      <c r="B448" s="904">
        <f t="shared" si="608"/>
        <v>430</v>
      </c>
      <c r="C448" s="170" t="str">
        <f t="shared" si="561"/>
        <v>81EA</v>
      </c>
      <c r="D448" s="557"/>
      <c r="E448" s="170"/>
      <c r="F448" s="170">
        <v>81</v>
      </c>
      <c r="G448" s="2007" t="s">
        <v>2997</v>
      </c>
      <c r="H448" s="2008">
        <v>0</v>
      </c>
      <c r="I448" s="2008" t="s">
        <v>732</v>
      </c>
      <c r="J448" s="1926"/>
      <c r="K448" s="1926"/>
      <c r="L448" s="488"/>
      <c r="M448" s="2009">
        <v>400</v>
      </c>
      <c r="N448" s="2010">
        <v>1</v>
      </c>
      <c r="O448" s="773">
        <f t="shared" si="396"/>
        <v>400</v>
      </c>
      <c r="P448" s="2076" t="s">
        <v>39</v>
      </c>
      <c r="Q448" s="2008" t="s">
        <v>39</v>
      </c>
      <c r="R448" s="2011" t="s">
        <v>74</v>
      </c>
      <c r="S448" s="912">
        <f>SUMIF('Data Input sheet'!$B$118:$B$180,R448,'Data Input sheet'!$D$118:$D$180)</f>
        <v>152</v>
      </c>
      <c r="T448" s="2685">
        <f t="shared" si="673"/>
        <v>60800</v>
      </c>
      <c r="U448" s="2013">
        <v>14.8</v>
      </c>
      <c r="V448" s="778">
        <f t="shared" si="399"/>
        <v>5920</v>
      </c>
      <c r="W448" s="2013">
        <v>8740</v>
      </c>
      <c r="X448" s="779"/>
      <c r="Y448" s="2012">
        <v>0</v>
      </c>
      <c r="Z448" s="780">
        <f t="shared" si="398"/>
        <v>75460</v>
      </c>
      <c r="AA448" s="2007"/>
      <c r="AB448" s="2007" t="s">
        <v>3088</v>
      </c>
      <c r="AC448" s="765"/>
      <c r="AD448" s="781">
        <f t="shared" si="657"/>
        <v>0</v>
      </c>
      <c r="AE448" s="778">
        <f t="shared" si="658"/>
        <v>0</v>
      </c>
      <c r="AF448" s="781">
        <f t="shared" si="659"/>
        <v>0</v>
      </c>
      <c r="AG448" s="781">
        <f t="shared" si="660"/>
        <v>0</v>
      </c>
      <c r="AH448" s="781">
        <f t="shared" si="661"/>
        <v>0</v>
      </c>
      <c r="AI448" s="782">
        <f t="shared" si="662"/>
        <v>0</v>
      </c>
      <c r="AJ448" s="781">
        <f t="shared" si="663"/>
        <v>0</v>
      </c>
      <c r="AK448" s="781">
        <f t="shared" si="664"/>
        <v>0</v>
      </c>
      <c r="AL448" s="781">
        <f t="shared" si="665"/>
        <v>0</v>
      </c>
      <c r="AM448" s="781">
        <f t="shared" si="666"/>
        <v>0</v>
      </c>
      <c r="AN448" s="781">
        <f t="shared" si="667"/>
        <v>0</v>
      </c>
      <c r="AO448" s="781">
        <f t="shared" si="668"/>
        <v>0</v>
      </c>
      <c r="AP448" s="781">
        <f t="shared" si="669"/>
        <v>0</v>
      </c>
      <c r="AQ448" s="781">
        <f t="shared" si="670"/>
        <v>0</v>
      </c>
      <c r="AR448" s="781">
        <f t="shared" si="671"/>
        <v>0</v>
      </c>
      <c r="AS448" s="783">
        <f t="shared" si="672"/>
        <v>0</v>
      </c>
      <c r="AT448" s="917"/>
      <c r="AW448" s="832"/>
      <c r="AX448" s="2490" t="s">
        <v>2998</v>
      </c>
      <c r="AY448" s="2482"/>
      <c r="BM448" s="2010"/>
    </row>
    <row r="449" spans="1:65" ht="39" hidden="1" outlineLevel="1" thickBot="1" x14ac:dyDescent="0.3">
      <c r="A449" s="784"/>
      <c r="B449" s="904">
        <f t="shared" si="608"/>
        <v>431</v>
      </c>
      <c r="C449" s="170" t="str">
        <f t="shared" si="561"/>
        <v>81EA</v>
      </c>
      <c r="D449" s="557"/>
      <c r="E449" s="170"/>
      <c r="F449" s="170">
        <v>81</v>
      </c>
      <c r="G449" s="2007" t="s">
        <v>2999</v>
      </c>
      <c r="H449" s="2008"/>
      <c r="I449" s="2008" t="s">
        <v>732</v>
      </c>
      <c r="J449" s="1926"/>
      <c r="K449" s="1926"/>
      <c r="L449" s="488"/>
      <c r="M449" s="2009">
        <v>400</v>
      </c>
      <c r="N449" s="2010">
        <v>1</v>
      </c>
      <c r="O449" s="773">
        <f t="shared" si="396"/>
        <v>400</v>
      </c>
      <c r="P449" s="2076" t="s">
        <v>39</v>
      </c>
      <c r="Q449" s="2008" t="s">
        <v>39</v>
      </c>
      <c r="R449" s="2011" t="s">
        <v>74</v>
      </c>
      <c r="S449" s="912">
        <f>SUMIF('Data Input sheet'!$B$118:$B$180,R449,'Data Input sheet'!$D$118:$D$180)</f>
        <v>152</v>
      </c>
      <c r="T449" s="2685">
        <f t="shared" si="673"/>
        <v>60800</v>
      </c>
      <c r="U449" s="2013">
        <v>14.8</v>
      </c>
      <c r="V449" s="778">
        <f t="shared" si="399"/>
        <v>5920</v>
      </c>
      <c r="W449" s="2013">
        <v>8740</v>
      </c>
      <c r="X449" s="779"/>
      <c r="Y449" s="2012">
        <v>0</v>
      </c>
      <c r="Z449" s="780">
        <f t="shared" si="398"/>
        <v>75460</v>
      </c>
      <c r="AA449" s="2007"/>
      <c r="AB449" s="2007" t="s">
        <v>3088</v>
      </c>
      <c r="AC449" s="765"/>
      <c r="AD449" s="781">
        <f t="shared" si="657"/>
        <v>0</v>
      </c>
      <c r="AE449" s="778">
        <f t="shared" si="658"/>
        <v>0</v>
      </c>
      <c r="AF449" s="781">
        <f t="shared" si="659"/>
        <v>0</v>
      </c>
      <c r="AG449" s="781">
        <f t="shared" si="660"/>
        <v>0</v>
      </c>
      <c r="AH449" s="781">
        <f t="shared" si="661"/>
        <v>0</v>
      </c>
      <c r="AI449" s="782">
        <f t="shared" si="662"/>
        <v>0</v>
      </c>
      <c r="AJ449" s="781">
        <f t="shared" si="663"/>
        <v>0</v>
      </c>
      <c r="AK449" s="781">
        <f t="shared" si="664"/>
        <v>0</v>
      </c>
      <c r="AL449" s="781">
        <f t="shared" si="665"/>
        <v>0</v>
      </c>
      <c r="AM449" s="781">
        <f t="shared" si="666"/>
        <v>0</v>
      </c>
      <c r="AN449" s="781">
        <f t="shared" si="667"/>
        <v>0</v>
      </c>
      <c r="AO449" s="781">
        <f t="shared" si="668"/>
        <v>0</v>
      </c>
      <c r="AP449" s="781">
        <f t="shared" si="669"/>
        <v>0</v>
      </c>
      <c r="AQ449" s="781">
        <f t="shared" si="670"/>
        <v>0</v>
      </c>
      <c r="AR449" s="781">
        <f t="shared" si="671"/>
        <v>0</v>
      </c>
      <c r="AS449" s="783">
        <f t="shared" si="672"/>
        <v>0</v>
      </c>
      <c r="AT449" s="917"/>
      <c r="AW449" s="832"/>
      <c r="AX449" s="2490" t="s">
        <v>2998</v>
      </c>
      <c r="AY449" s="2482"/>
      <c r="BM449" s="2010"/>
    </row>
    <row r="450" spans="1:65" ht="39" hidden="1" outlineLevel="1" thickBot="1" x14ac:dyDescent="0.3">
      <c r="A450" s="784"/>
      <c r="B450" s="904">
        <f t="shared" si="608"/>
        <v>432</v>
      </c>
      <c r="C450" s="170" t="str">
        <f t="shared" si="561"/>
        <v>81EA</v>
      </c>
      <c r="D450" s="557"/>
      <c r="E450" s="170"/>
      <c r="F450" s="170">
        <v>81</v>
      </c>
      <c r="G450" s="2007" t="s">
        <v>3000</v>
      </c>
      <c r="H450" s="2008"/>
      <c r="I450" s="2008" t="s">
        <v>732</v>
      </c>
      <c r="J450" s="1926"/>
      <c r="K450" s="1926"/>
      <c r="L450" s="488"/>
      <c r="M450" s="2009">
        <v>400</v>
      </c>
      <c r="N450" s="2010">
        <v>1</v>
      </c>
      <c r="O450" s="773">
        <f t="shared" si="396"/>
        <v>400</v>
      </c>
      <c r="P450" s="2076" t="s">
        <v>39</v>
      </c>
      <c r="Q450" s="2008" t="s">
        <v>39</v>
      </c>
      <c r="R450" s="2011" t="s">
        <v>74</v>
      </c>
      <c r="S450" s="912">
        <f>SUMIF('Data Input sheet'!$B$118:$B$180,R450,'Data Input sheet'!$D$118:$D$180)</f>
        <v>152</v>
      </c>
      <c r="T450" s="2685">
        <f t="shared" si="673"/>
        <v>60800</v>
      </c>
      <c r="U450" s="2013">
        <v>14.8</v>
      </c>
      <c r="V450" s="778">
        <f t="shared" si="399"/>
        <v>5920</v>
      </c>
      <c r="W450" s="2013">
        <v>8740</v>
      </c>
      <c r="X450" s="779"/>
      <c r="Y450" s="2012">
        <v>0</v>
      </c>
      <c r="Z450" s="780">
        <f t="shared" si="398"/>
        <v>75460</v>
      </c>
      <c r="AA450" s="2007"/>
      <c r="AB450" s="2007" t="s">
        <v>3088</v>
      </c>
      <c r="AC450" s="765"/>
      <c r="AD450" s="781">
        <f t="shared" si="657"/>
        <v>0</v>
      </c>
      <c r="AE450" s="778">
        <f t="shared" si="658"/>
        <v>0</v>
      </c>
      <c r="AF450" s="781">
        <f t="shared" si="659"/>
        <v>0</v>
      </c>
      <c r="AG450" s="781">
        <f t="shared" si="660"/>
        <v>0</v>
      </c>
      <c r="AH450" s="781">
        <f t="shared" si="661"/>
        <v>0</v>
      </c>
      <c r="AI450" s="782">
        <f t="shared" si="662"/>
        <v>0</v>
      </c>
      <c r="AJ450" s="781">
        <f t="shared" si="663"/>
        <v>0</v>
      </c>
      <c r="AK450" s="781">
        <f t="shared" si="664"/>
        <v>0</v>
      </c>
      <c r="AL450" s="781">
        <f t="shared" si="665"/>
        <v>0</v>
      </c>
      <c r="AM450" s="781">
        <f t="shared" si="666"/>
        <v>0</v>
      </c>
      <c r="AN450" s="781">
        <f t="shared" si="667"/>
        <v>0</v>
      </c>
      <c r="AO450" s="781">
        <f t="shared" si="668"/>
        <v>0</v>
      </c>
      <c r="AP450" s="781">
        <f t="shared" si="669"/>
        <v>0</v>
      </c>
      <c r="AQ450" s="781">
        <f t="shared" si="670"/>
        <v>0</v>
      </c>
      <c r="AR450" s="781">
        <f t="shared" si="671"/>
        <v>0</v>
      </c>
      <c r="AS450" s="783">
        <f t="shared" si="672"/>
        <v>0</v>
      </c>
      <c r="AT450" s="917"/>
      <c r="AW450" s="832"/>
      <c r="AX450" s="2490" t="s">
        <v>3001</v>
      </c>
      <c r="AY450" s="2482"/>
      <c r="BM450" s="2010"/>
    </row>
    <row r="451" spans="1:65" ht="15.75" hidden="1" outlineLevel="1" thickBot="1" x14ac:dyDescent="0.3">
      <c r="A451" s="784"/>
      <c r="B451" s="904">
        <f t="shared" si="608"/>
        <v>433</v>
      </c>
      <c r="C451" s="170" t="str">
        <f t="shared" si="561"/>
        <v>81EA</v>
      </c>
      <c r="D451" s="557"/>
      <c r="E451" s="170"/>
      <c r="F451" s="170">
        <v>81</v>
      </c>
      <c r="G451" s="2007" t="s">
        <v>3002</v>
      </c>
      <c r="H451" s="2008"/>
      <c r="I451" s="2008" t="s">
        <v>732</v>
      </c>
      <c r="J451" s="1926"/>
      <c r="K451" s="1926"/>
      <c r="L451" s="488"/>
      <c r="M451" s="2009">
        <v>270</v>
      </c>
      <c r="N451" s="2010">
        <v>1</v>
      </c>
      <c r="O451" s="773">
        <f t="shared" si="396"/>
        <v>270</v>
      </c>
      <c r="P451" s="2076" t="s">
        <v>39</v>
      </c>
      <c r="Q451" s="2008" t="s">
        <v>39</v>
      </c>
      <c r="R451" s="2011" t="s">
        <v>74</v>
      </c>
      <c r="S451" s="912">
        <f>SUMIF('Data Input sheet'!$B$118:$B$180,R451,'Data Input sheet'!$D$118:$D$180)</f>
        <v>152</v>
      </c>
      <c r="T451" s="2685">
        <f t="shared" si="673"/>
        <v>41040</v>
      </c>
      <c r="U451" s="2013">
        <v>14.8</v>
      </c>
      <c r="V451" s="778">
        <f t="shared" si="399"/>
        <v>3996</v>
      </c>
      <c r="W451" s="2013">
        <v>9275</v>
      </c>
      <c r="X451" s="779"/>
      <c r="Y451" s="2012">
        <v>0</v>
      </c>
      <c r="Z451" s="780">
        <f t="shared" si="398"/>
        <v>54311</v>
      </c>
      <c r="AA451" s="2007"/>
      <c r="AB451" s="2007" t="s">
        <v>3085</v>
      </c>
      <c r="AC451" s="765"/>
      <c r="AD451" s="781">
        <f t="shared" si="657"/>
        <v>0</v>
      </c>
      <c r="AE451" s="778">
        <f t="shared" si="658"/>
        <v>0</v>
      </c>
      <c r="AF451" s="781">
        <f t="shared" si="659"/>
        <v>0</v>
      </c>
      <c r="AG451" s="781">
        <f t="shared" si="660"/>
        <v>0</v>
      </c>
      <c r="AH451" s="781">
        <f t="shared" si="661"/>
        <v>0</v>
      </c>
      <c r="AI451" s="782">
        <f t="shared" si="662"/>
        <v>0</v>
      </c>
      <c r="AJ451" s="781">
        <f t="shared" si="663"/>
        <v>0</v>
      </c>
      <c r="AK451" s="781">
        <f t="shared" si="664"/>
        <v>0</v>
      </c>
      <c r="AL451" s="781">
        <f t="shared" si="665"/>
        <v>0</v>
      </c>
      <c r="AM451" s="781">
        <f t="shared" si="666"/>
        <v>0</v>
      </c>
      <c r="AN451" s="781">
        <f t="shared" si="667"/>
        <v>0</v>
      </c>
      <c r="AO451" s="781">
        <f t="shared" si="668"/>
        <v>0</v>
      </c>
      <c r="AP451" s="781">
        <f t="shared" si="669"/>
        <v>0</v>
      </c>
      <c r="AQ451" s="781">
        <f t="shared" si="670"/>
        <v>0</v>
      </c>
      <c r="AR451" s="781">
        <f t="shared" si="671"/>
        <v>0</v>
      </c>
      <c r="AS451" s="783">
        <f t="shared" si="672"/>
        <v>0</v>
      </c>
      <c r="AT451" s="917"/>
      <c r="AW451" s="832"/>
      <c r="AX451" s="2490" t="s">
        <v>3003</v>
      </c>
      <c r="AY451" s="2482"/>
      <c r="BM451" s="2010"/>
    </row>
    <row r="452" spans="1:65" ht="15.75" hidden="1" outlineLevel="1" thickBot="1" x14ac:dyDescent="0.3">
      <c r="A452" s="784"/>
      <c r="B452" s="904">
        <f t="shared" si="608"/>
        <v>434</v>
      </c>
      <c r="C452" s="170" t="str">
        <f t="shared" si="561"/>
        <v>81EA</v>
      </c>
      <c r="D452" s="557"/>
      <c r="E452" s="170"/>
      <c r="F452" s="170">
        <v>81</v>
      </c>
      <c r="G452" s="2007" t="s">
        <v>3004</v>
      </c>
      <c r="H452" s="2008"/>
      <c r="I452" s="2008" t="s">
        <v>732</v>
      </c>
      <c r="J452" s="1926"/>
      <c r="K452" s="1926"/>
      <c r="L452" s="488"/>
      <c r="M452" s="2009">
        <v>270</v>
      </c>
      <c r="N452" s="2010">
        <v>1</v>
      </c>
      <c r="O452" s="773">
        <f t="shared" si="396"/>
        <v>270</v>
      </c>
      <c r="P452" s="2076" t="s">
        <v>39</v>
      </c>
      <c r="Q452" s="2008" t="s">
        <v>39</v>
      </c>
      <c r="R452" s="2011" t="s">
        <v>74</v>
      </c>
      <c r="S452" s="912">
        <f>SUMIF('Data Input sheet'!$B$118:$B$180,R452,'Data Input sheet'!$D$118:$D$180)</f>
        <v>152</v>
      </c>
      <c r="T452" s="2685">
        <f t="shared" si="673"/>
        <v>41040</v>
      </c>
      <c r="U452" s="2013">
        <v>14.8</v>
      </c>
      <c r="V452" s="778">
        <f t="shared" si="399"/>
        <v>3996</v>
      </c>
      <c r="W452" s="2013">
        <v>9811</v>
      </c>
      <c r="X452" s="779"/>
      <c r="Y452" s="2012">
        <v>0</v>
      </c>
      <c r="Z452" s="780">
        <f t="shared" si="398"/>
        <v>54847</v>
      </c>
      <c r="AA452" s="2007"/>
      <c r="AB452" s="2007" t="s">
        <v>3086</v>
      </c>
      <c r="AC452" s="765"/>
      <c r="AD452" s="781">
        <f t="shared" si="657"/>
        <v>0</v>
      </c>
      <c r="AE452" s="778">
        <f t="shared" si="658"/>
        <v>0</v>
      </c>
      <c r="AF452" s="781">
        <f t="shared" si="659"/>
        <v>0</v>
      </c>
      <c r="AG452" s="781">
        <f t="shared" si="660"/>
        <v>0</v>
      </c>
      <c r="AH452" s="781">
        <f t="shared" si="661"/>
        <v>0</v>
      </c>
      <c r="AI452" s="782">
        <f t="shared" si="662"/>
        <v>0</v>
      </c>
      <c r="AJ452" s="781">
        <f t="shared" si="663"/>
        <v>0</v>
      </c>
      <c r="AK452" s="781">
        <f t="shared" si="664"/>
        <v>0</v>
      </c>
      <c r="AL452" s="781">
        <f t="shared" si="665"/>
        <v>0</v>
      </c>
      <c r="AM452" s="781">
        <f t="shared" si="666"/>
        <v>0</v>
      </c>
      <c r="AN452" s="781">
        <f t="shared" si="667"/>
        <v>0</v>
      </c>
      <c r="AO452" s="781">
        <f t="shared" si="668"/>
        <v>0</v>
      </c>
      <c r="AP452" s="781">
        <f t="shared" si="669"/>
        <v>0</v>
      </c>
      <c r="AQ452" s="781">
        <f t="shared" si="670"/>
        <v>0</v>
      </c>
      <c r="AR452" s="781">
        <f t="shared" si="671"/>
        <v>0</v>
      </c>
      <c r="AS452" s="783">
        <f t="shared" si="672"/>
        <v>0</v>
      </c>
      <c r="AT452" s="917"/>
      <c r="AW452" s="832"/>
      <c r="AX452" s="2490" t="s">
        <v>3003</v>
      </c>
      <c r="AY452" s="2482"/>
      <c r="BM452" s="2010"/>
    </row>
    <row r="453" spans="1:65" ht="15.75" hidden="1" outlineLevel="1" thickBot="1" x14ac:dyDescent="0.3">
      <c r="A453" s="784"/>
      <c r="B453" s="904">
        <f t="shared" si="608"/>
        <v>435</v>
      </c>
      <c r="C453" s="170" t="str">
        <f t="shared" si="561"/>
        <v>81EA</v>
      </c>
      <c r="D453" s="557"/>
      <c r="E453" s="170"/>
      <c r="F453" s="170">
        <v>81</v>
      </c>
      <c r="G453" s="2007" t="s">
        <v>3005</v>
      </c>
      <c r="H453" s="2008"/>
      <c r="I453" s="2008" t="s">
        <v>732</v>
      </c>
      <c r="J453" s="1926"/>
      <c r="K453" s="1926"/>
      <c r="L453" s="488"/>
      <c r="M453" s="2009">
        <v>270</v>
      </c>
      <c r="N453" s="2010">
        <v>1</v>
      </c>
      <c r="O453" s="773">
        <f t="shared" si="396"/>
        <v>270</v>
      </c>
      <c r="P453" s="2076" t="s">
        <v>39</v>
      </c>
      <c r="Q453" s="2008" t="s">
        <v>39</v>
      </c>
      <c r="R453" s="2011" t="s">
        <v>74</v>
      </c>
      <c r="S453" s="912">
        <f>SUMIF('Data Input sheet'!$B$118:$B$180,R453,'Data Input sheet'!$D$118:$D$180)</f>
        <v>152</v>
      </c>
      <c r="T453" s="2685">
        <f t="shared" si="673"/>
        <v>41040</v>
      </c>
      <c r="U453" s="2013">
        <v>14.8</v>
      </c>
      <c r="V453" s="778">
        <f t="shared" si="399"/>
        <v>3996</v>
      </c>
      <c r="W453" s="2013">
        <v>9275</v>
      </c>
      <c r="X453" s="779"/>
      <c r="Y453" s="2012">
        <v>0</v>
      </c>
      <c r="Z453" s="780">
        <f t="shared" si="398"/>
        <v>54311</v>
      </c>
      <c r="AA453" s="2007"/>
      <c r="AB453" s="2007" t="s">
        <v>3085</v>
      </c>
      <c r="AC453" s="765"/>
      <c r="AD453" s="781">
        <f t="shared" si="657"/>
        <v>0</v>
      </c>
      <c r="AE453" s="778">
        <f t="shared" si="658"/>
        <v>0</v>
      </c>
      <c r="AF453" s="781">
        <f t="shared" si="659"/>
        <v>0</v>
      </c>
      <c r="AG453" s="781">
        <f t="shared" si="660"/>
        <v>0</v>
      </c>
      <c r="AH453" s="781">
        <f t="shared" si="661"/>
        <v>0</v>
      </c>
      <c r="AI453" s="782">
        <f t="shared" si="662"/>
        <v>0</v>
      </c>
      <c r="AJ453" s="781">
        <f t="shared" si="663"/>
        <v>0</v>
      </c>
      <c r="AK453" s="781">
        <f t="shared" si="664"/>
        <v>0</v>
      </c>
      <c r="AL453" s="781">
        <f t="shared" si="665"/>
        <v>0</v>
      </c>
      <c r="AM453" s="781">
        <f t="shared" si="666"/>
        <v>0</v>
      </c>
      <c r="AN453" s="781">
        <f t="shared" si="667"/>
        <v>0</v>
      </c>
      <c r="AO453" s="781">
        <f t="shared" si="668"/>
        <v>0</v>
      </c>
      <c r="AP453" s="781">
        <f t="shared" si="669"/>
        <v>0</v>
      </c>
      <c r="AQ453" s="781">
        <f t="shared" si="670"/>
        <v>0</v>
      </c>
      <c r="AR453" s="781">
        <f t="shared" si="671"/>
        <v>0</v>
      </c>
      <c r="AS453" s="783">
        <f t="shared" si="672"/>
        <v>0</v>
      </c>
      <c r="AT453" s="917"/>
      <c r="AW453" s="832"/>
      <c r="AX453" s="2490" t="s">
        <v>3003</v>
      </c>
      <c r="AY453" s="2482"/>
      <c r="BM453" s="2010"/>
    </row>
    <row r="454" spans="1:65" ht="26.25" hidden="1" outlineLevel="1" thickBot="1" x14ac:dyDescent="0.3">
      <c r="A454" s="784"/>
      <c r="B454" s="904">
        <f t="shared" si="608"/>
        <v>436</v>
      </c>
      <c r="C454" s="170" t="str">
        <f t="shared" si="561"/>
        <v>81EA</v>
      </c>
      <c r="D454" s="557"/>
      <c r="E454" s="170"/>
      <c r="F454" s="170">
        <v>81</v>
      </c>
      <c r="G454" s="2007" t="s">
        <v>3006</v>
      </c>
      <c r="H454" s="2008"/>
      <c r="I454" s="2008" t="s">
        <v>732</v>
      </c>
      <c r="J454" s="1926"/>
      <c r="K454" s="1926"/>
      <c r="L454" s="488"/>
      <c r="M454" s="2009">
        <v>280</v>
      </c>
      <c r="N454" s="2010">
        <v>1</v>
      </c>
      <c r="O454" s="773">
        <f t="shared" si="396"/>
        <v>280</v>
      </c>
      <c r="P454" s="2076" t="s">
        <v>39</v>
      </c>
      <c r="Q454" s="2008" t="s">
        <v>39</v>
      </c>
      <c r="R454" s="2011" t="s">
        <v>74</v>
      </c>
      <c r="S454" s="912">
        <f>SUMIF('Data Input sheet'!$B$118:$B$180,R454,'Data Input sheet'!$D$118:$D$180)</f>
        <v>152</v>
      </c>
      <c r="T454" s="2685">
        <f t="shared" si="673"/>
        <v>42560</v>
      </c>
      <c r="U454" s="2013">
        <v>14.8</v>
      </c>
      <c r="V454" s="778">
        <f t="shared" si="399"/>
        <v>4144</v>
      </c>
      <c r="W454" s="2013">
        <v>4080</v>
      </c>
      <c r="X454" s="779"/>
      <c r="Y454" s="2012">
        <v>0</v>
      </c>
      <c r="Z454" s="780">
        <f t="shared" si="398"/>
        <v>50784</v>
      </c>
      <c r="AA454" s="2007"/>
      <c r="AB454" s="2007" t="s">
        <v>3088</v>
      </c>
      <c r="AC454" s="765"/>
      <c r="AD454" s="781">
        <f t="shared" si="657"/>
        <v>0</v>
      </c>
      <c r="AE454" s="778">
        <f t="shared" si="658"/>
        <v>0</v>
      </c>
      <c r="AF454" s="781">
        <f t="shared" si="659"/>
        <v>0</v>
      </c>
      <c r="AG454" s="781">
        <f t="shared" si="660"/>
        <v>0</v>
      </c>
      <c r="AH454" s="781">
        <f t="shared" si="661"/>
        <v>0</v>
      </c>
      <c r="AI454" s="782">
        <f t="shared" si="662"/>
        <v>0</v>
      </c>
      <c r="AJ454" s="781">
        <f t="shared" si="663"/>
        <v>0</v>
      </c>
      <c r="AK454" s="781">
        <f t="shared" si="664"/>
        <v>0</v>
      </c>
      <c r="AL454" s="781">
        <f t="shared" si="665"/>
        <v>0</v>
      </c>
      <c r="AM454" s="781">
        <f t="shared" si="666"/>
        <v>0</v>
      </c>
      <c r="AN454" s="781">
        <f t="shared" si="667"/>
        <v>0</v>
      </c>
      <c r="AO454" s="781">
        <f t="shared" si="668"/>
        <v>0</v>
      </c>
      <c r="AP454" s="781">
        <f t="shared" si="669"/>
        <v>0</v>
      </c>
      <c r="AQ454" s="781">
        <f t="shared" si="670"/>
        <v>0</v>
      </c>
      <c r="AR454" s="781">
        <f t="shared" si="671"/>
        <v>0</v>
      </c>
      <c r="AS454" s="783">
        <f t="shared" si="672"/>
        <v>0</v>
      </c>
      <c r="AT454" s="917"/>
      <c r="AW454" s="832"/>
      <c r="AX454" s="2490" t="s">
        <v>3007</v>
      </c>
      <c r="AY454" s="2482"/>
      <c r="BM454" s="2010"/>
    </row>
    <row r="455" spans="1:65" ht="26.25" hidden="1" outlineLevel="1" thickBot="1" x14ac:dyDescent="0.3">
      <c r="A455" s="784"/>
      <c r="B455" s="904">
        <f t="shared" si="608"/>
        <v>437</v>
      </c>
      <c r="C455" s="170" t="str">
        <f t="shared" si="561"/>
        <v>81EA</v>
      </c>
      <c r="D455" s="557"/>
      <c r="E455" s="170"/>
      <c r="F455" s="170">
        <v>81</v>
      </c>
      <c r="G455" s="2007" t="s">
        <v>3008</v>
      </c>
      <c r="H455" s="2008"/>
      <c r="I455" s="2008" t="s">
        <v>732</v>
      </c>
      <c r="J455" s="1926"/>
      <c r="K455" s="1926"/>
      <c r="L455" s="488"/>
      <c r="M455" s="2009">
        <v>280</v>
      </c>
      <c r="N455" s="2010">
        <v>1</v>
      </c>
      <c r="O455" s="773">
        <f t="shared" si="396"/>
        <v>280</v>
      </c>
      <c r="P455" s="2076" t="s">
        <v>39</v>
      </c>
      <c r="Q455" s="2008" t="s">
        <v>39</v>
      </c>
      <c r="R455" s="2011" t="s">
        <v>74</v>
      </c>
      <c r="S455" s="912">
        <f>SUMIF('Data Input sheet'!$B$118:$B$180,R455,'Data Input sheet'!$D$118:$D$180)</f>
        <v>152</v>
      </c>
      <c r="T455" s="2685">
        <f t="shared" si="673"/>
        <v>42560</v>
      </c>
      <c r="U455" s="2013">
        <v>14.8</v>
      </c>
      <c r="V455" s="778">
        <f t="shared" si="399"/>
        <v>4144</v>
      </c>
      <c r="W455" s="2013">
        <v>6048</v>
      </c>
      <c r="X455" s="779"/>
      <c r="Y455" s="2012">
        <v>0</v>
      </c>
      <c r="Z455" s="780">
        <f t="shared" si="398"/>
        <v>52752</v>
      </c>
      <c r="AA455" s="2007"/>
      <c r="AB455" s="2007" t="s">
        <v>3088</v>
      </c>
      <c r="AC455" s="765"/>
      <c r="AD455" s="781">
        <f t="shared" si="657"/>
        <v>0</v>
      </c>
      <c r="AE455" s="778">
        <f t="shared" si="658"/>
        <v>0</v>
      </c>
      <c r="AF455" s="781">
        <f t="shared" si="659"/>
        <v>0</v>
      </c>
      <c r="AG455" s="781">
        <f t="shared" si="660"/>
        <v>0</v>
      </c>
      <c r="AH455" s="781">
        <f t="shared" si="661"/>
        <v>0</v>
      </c>
      <c r="AI455" s="782">
        <f t="shared" si="662"/>
        <v>0</v>
      </c>
      <c r="AJ455" s="781">
        <f t="shared" si="663"/>
        <v>0</v>
      </c>
      <c r="AK455" s="781">
        <f t="shared" si="664"/>
        <v>0</v>
      </c>
      <c r="AL455" s="781">
        <f t="shared" si="665"/>
        <v>0</v>
      </c>
      <c r="AM455" s="781">
        <f t="shared" si="666"/>
        <v>0</v>
      </c>
      <c r="AN455" s="781">
        <f t="shared" si="667"/>
        <v>0</v>
      </c>
      <c r="AO455" s="781">
        <f t="shared" si="668"/>
        <v>0</v>
      </c>
      <c r="AP455" s="781">
        <f t="shared" si="669"/>
        <v>0</v>
      </c>
      <c r="AQ455" s="781">
        <f t="shared" si="670"/>
        <v>0</v>
      </c>
      <c r="AR455" s="781">
        <f t="shared" si="671"/>
        <v>0</v>
      </c>
      <c r="AS455" s="783">
        <f t="shared" si="672"/>
        <v>0</v>
      </c>
      <c r="AT455" s="917"/>
      <c r="AW455" s="832"/>
      <c r="AX455" s="2490" t="s">
        <v>3087</v>
      </c>
      <c r="AY455" s="2482"/>
      <c r="BM455" s="2010"/>
    </row>
    <row r="456" spans="1:65" ht="26.25" hidden="1" outlineLevel="1" thickBot="1" x14ac:dyDescent="0.3">
      <c r="A456" s="784"/>
      <c r="B456" s="904">
        <f t="shared" si="608"/>
        <v>438</v>
      </c>
      <c r="C456" s="170" t="str">
        <f t="shared" si="561"/>
        <v>81EA</v>
      </c>
      <c r="D456" s="557"/>
      <c r="E456" s="170"/>
      <c r="F456" s="170">
        <v>81</v>
      </c>
      <c r="G456" s="2007" t="s">
        <v>3009</v>
      </c>
      <c r="H456" s="2008"/>
      <c r="I456" s="2008" t="s">
        <v>732</v>
      </c>
      <c r="J456" s="1926"/>
      <c r="K456" s="1926"/>
      <c r="L456" s="488"/>
      <c r="M456" s="2009">
        <v>280</v>
      </c>
      <c r="N456" s="2010">
        <v>1</v>
      </c>
      <c r="O456" s="773">
        <f t="shared" si="396"/>
        <v>280</v>
      </c>
      <c r="P456" s="2076" t="s">
        <v>39</v>
      </c>
      <c r="Q456" s="2008" t="s">
        <v>39</v>
      </c>
      <c r="R456" s="2011" t="s">
        <v>74</v>
      </c>
      <c r="S456" s="912">
        <f>SUMIF('Data Input sheet'!$B$118:$B$180,R456,'Data Input sheet'!$D$118:$D$180)</f>
        <v>152</v>
      </c>
      <c r="T456" s="2685">
        <f t="shared" si="673"/>
        <v>42560</v>
      </c>
      <c r="U456" s="2013">
        <v>14.8</v>
      </c>
      <c r="V456" s="778">
        <f t="shared" si="399"/>
        <v>4144</v>
      </c>
      <c r="W456" s="2013">
        <v>6048</v>
      </c>
      <c r="X456" s="779"/>
      <c r="Y456" s="2012">
        <v>0</v>
      </c>
      <c r="Z456" s="780">
        <f t="shared" si="398"/>
        <v>52752</v>
      </c>
      <c r="AA456" s="2007"/>
      <c r="AB456" s="2007" t="s">
        <v>3088</v>
      </c>
      <c r="AC456" s="765"/>
      <c r="AD456" s="781">
        <f t="shared" si="657"/>
        <v>0</v>
      </c>
      <c r="AE456" s="778">
        <f t="shared" si="658"/>
        <v>0</v>
      </c>
      <c r="AF456" s="781">
        <f t="shared" si="659"/>
        <v>0</v>
      </c>
      <c r="AG456" s="781">
        <f t="shared" si="660"/>
        <v>0</v>
      </c>
      <c r="AH456" s="781">
        <f t="shared" si="661"/>
        <v>0</v>
      </c>
      <c r="AI456" s="782">
        <f t="shared" si="662"/>
        <v>0</v>
      </c>
      <c r="AJ456" s="781">
        <f t="shared" si="663"/>
        <v>0</v>
      </c>
      <c r="AK456" s="781">
        <f t="shared" si="664"/>
        <v>0</v>
      </c>
      <c r="AL456" s="781">
        <f t="shared" si="665"/>
        <v>0</v>
      </c>
      <c r="AM456" s="781">
        <f t="shared" si="666"/>
        <v>0</v>
      </c>
      <c r="AN456" s="781">
        <f t="shared" si="667"/>
        <v>0</v>
      </c>
      <c r="AO456" s="781">
        <f t="shared" si="668"/>
        <v>0</v>
      </c>
      <c r="AP456" s="781">
        <f t="shared" si="669"/>
        <v>0</v>
      </c>
      <c r="AQ456" s="781">
        <f t="shared" si="670"/>
        <v>0</v>
      </c>
      <c r="AR456" s="781">
        <f t="shared" si="671"/>
        <v>0</v>
      </c>
      <c r="AS456" s="783">
        <f t="shared" si="672"/>
        <v>0</v>
      </c>
      <c r="AT456" s="917"/>
      <c r="AW456" s="832"/>
      <c r="AX456" s="2490" t="s">
        <v>3010</v>
      </c>
      <c r="AY456" s="2482"/>
      <c r="BM456" s="2010"/>
    </row>
    <row r="457" spans="1:65" ht="26.25" hidden="1" outlineLevel="1" thickBot="1" x14ac:dyDescent="0.3">
      <c r="A457" s="784"/>
      <c r="B457" s="904">
        <f t="shared" si="608"/>
        <v>439</v>
      </c>
      <c r="C457" s="170" t="str">
        <f t="shared" si="561"/>
        <v>81EA</v>
      </c>
      <c r="D457" s="557"/>
      <c r="E457" s="170"/>
      <c r="F457" s="170">
        <v>81</v>
      </c>
      <c r="G457" s="2007" t="s">
        <v>3074</v>
      </c>
      <c r="H457" s="2008"/>
      <c r="I457" s="2008" t="s">
        <v>732</v>
      </c>
      <c r="J457" s="1926"/>
      <c r="K457" s="1926"/>
      <c r="L457" s="488"/>
      <c r="M457" s="2009">
        <v>340</v>
      </c>
      <c r="N457" s="2010">
        <v>1</v>
      </c>
      <c r="O457" s="773">
        <f t="shared" si="396"/>
        <v>340</v>
      </c>
      <c r="P457" s="2076" t="s">
        <v>39</v>
      </c>
      <c r="Q457" s="2008" t="s">
        <v>39</v>
      </c>
      <c r="R457" s="2011" t="s">
        <v>74</v>
      </c>
      <c r="S457" s="912">
        <f>SUMIF('Data Input sheet'!$B$118:$B$180,R457,'Data Input sheet'!$D$118:$D$180)</f>
        <v>152</v>
      </c>
      <c r="T457" s="2685">
        <f t="shared" si="673"/>
        <v>51680</v>
      </c>
      <c r="U457" s="2013">
        <v>14.8</v>
      </c>
      <c r="V457" s="778">
        <f t="shared" si="399"/>
        <v>5032</v>
      </c>
      <c r="W457" s="2013">
        <v>5298</v>
      </c>
      <c r="X457" s="779"/>
      <c r="Y457" s="2012">
        <v>0</v>
      </c>
      <c r="Z457" s="780">
        <f t="shared" si="398"/>
        <v>62010</v>
      </c>
      <c r="AA457" s="2007"/>
      <c r="AB457" s="2007" t="s">
        <v>3088</v>
      </c>
      <c r="AC457" s="765"/>
      <c r="AD457" s="781">
        <f t="shared" si="657"/>
        <v>0</v>
      </c>
      <c r="AE457" s="778">
        <f t="shared" si="658"/>
        <v>0</v>
      </c>
      <c r="AF457" s="781">
        <f t="shared" si="659"/>
        <v>0</v>
      </c>
      <c r="AG457" s="781">
        <f t="shared" si="660"/>
        <v>0</v>
      </c>
      <c r="AH457" s="781">
        <f t="shared" si="661"/>
        <v>0</v>
      </c>
      <c r="AI457" s="782">
        <f t="shared" si="662"/>
        <v>0</v>
      </c>
      <c r="AJ457" s="781">
        <f t="shared" si="663"/>
        <v>0</v>
      </c>
      <c r="AK457" s="781">
        <f t="shared" si="664"/>
        <v>0</v>
      </c>
      <c r="AL457" s="781">
        <f t="shared" si="665"/>
        <v>0</v>
      </c>
      <c r="AM457" s="781">
        <f t="shared" si="666"/>
        <v>0</v>
      </c>
      <c r="AN457" s="781">
        <f t="shared" si="667"/>
        <v>0</v>
      </c>
      <c r="AO457" s="781">
        <f t="shared" si="668"/>
        <v>0</v>
      </c>
      <c r="AP457" s="781">
        <f t="shared" si="669"/>
        <v>0</v>
      </c>
      <c r="AQ457" s="781">
        <f t="shared" si="670"/>
        <v>0</v>
      </c>
      <c r="AR457" s="781">
        <f t="shared" si="671"/>
        <v>0</v>
      </c>
      <c r="AS457" s="783">
        <f t="shared" si="672"/>
        <v>0</v>
      </c>
      <c r="AT457" s="917"/>
      <c r="AW457" s="832"/>
      <c r="AX457" s="2490" t="s">
        <v>3011</v>
      </c>
      <c r="AY457" s="2482"/>
      <c r="BM457" s="2010"/>
    </row>
    <row r="458" spans="1:65" ht="26.25" hidden="1" outlineLevel="1" thickBot="1" x14ac:dyDescent="0.3">
      <c r="A458" s="784"/>
      <c r="B458" s="904">
        <f t="shared" si="608"/>
        <v>440</v>
      </c>
      <c r="C458" s="170" t="str">
        <f t="shared" si="561"/>
        <v>81EA</v>
      </c>
      <c r="D458" s="557"/>
      <c r="E458" s="170"/>
      <c r="F458" s="170">
        <v>81</v>
      </c>
      <c r="G458" s="2007" t="s">
        <v>3075</v>
      </c>
      <c r="H458" s="2008"/>
      <c r="I458" s="2008" t="s">
        <v>732</v>
      </c>
      <c r="J458" s="1926"/>
      <c r="K458" s="1926"/>
      <c r="L458" s="488"/>
      <c r="M458" s="2009">
        <v>420</v>
      </c>
      <c r="N458" s="2010">
        <v>1</v>
      </c>
      <c r="O458" s="773">
        <f t="shared" si="396"/>
        <v>420</v>
      </c>
      <c r="P458" s="2076" t="s">
        <v>39</v>
      </c>
      <c r="Q458" s="2008" t="s">
        <v>39</v>
      </c>
      <c r="R458" s="2011" t="s">
        <v>74</v>
      </c>
      <c r="S458" s="912">
        <f>SUMIF('Data Input sheet'!$B$118:$B$180,R458,'Data Input sheet'!$D$118:$D$180)</f>
        <v>152</v>
      </c>
      <c r="T458" s="2685">
        <f t="shared" si="673"/>
        <v>63840</v>
      </c>
      <c r="U458" s="2013">
        <v>14.8</v>
      </c>
      <c r="V458" s="778">
        <f t="shared" si="399"/>
        <v>6216</v>
      </c>
      <c r="W458" s="2013">
        <v>5298</v>
      </c>
      <c r="X458" s="779"/>
      <c r="Y458" s="2012">
        <v>0</v>
      </c>
      <c r="Z458" s="780">
        <f t="shared" si="398"/>
        <v>75354</v>
      </c>
      <c r="AA458" s="2007"/>
      <c r="AB458" s="2007" t="s">
        <v>3088</v>
      </c>
      <c r="AC458" s="765"/>
      <c r="AD458" s="781">
        <f t="shared" si="657"/>
        <v>0</v>
      </c>
      <c r="AE458" s="778">
        <f t="shared" si="658"/>
        <v>0</v>
      </c>
      <c r="AF458" s="781">
        <f t="shared" si="659"/>
        <v>0</v>
      </c>
      <c r="AG458" s="781">
        <f t="shared" si="660"/>
        <v>0</v>
      </c>
      <c r="AH458" s="781">
        <f t="shared" si="661"/>
        <v>0</v>
      </c>
      <c r="AI458" s="782">
        <f t="shared" si="662"/>
        <v>0</v>
      </c>
      <c r="AJ458" s="781">
        <f t="shared" si="663"/>
        <v>0</v>
      </c>
      <c r="AK458" s="781">
        <f t="shared" si="664"/>
        <v>0</v>
      </c>
      <c r="AL458" s="781">
        <f t="shared" si="665"/>
        <v>0</v>
      </c>
      <c r="AM458" s="781">
        <f t="shared" si="666"/>
        <v>0</v>
      </c>
      <c r="AN458" s="781">
        <f t="shared" si="667"/>
        <v>0</v>
      </c>
      <c r="AO458" s="781">
        <f t="shared" si="668"/>
        <v>0</v>
      </c>
      <c r="AP458" s="781">
        <f t="shared" si="669"/>
        <v>0</v>
      </c>
      <c r="AQ458" s="781">
        <f t="shared" si="670"/>
        <v>0</v>
      </c>
      <c r="AR458" s="781">
        <f t="shared" si="671"/>
        <v>0</v>
      </c>
      <c r="AS458" s="783">
        <f t="shared" si="672"/>
        <v>0</v>
      </c>
      <c r="AT458" s="917"/>
      <c r="AW458" s="832"/>
      <c r="AX458" s="2490" t="s">
        <v>3012</v>
      </c>
      <c r="AY458" s="2482"/>
      <c r="BM458" s="2010"/>
    </row>
    <row r="459" spans="1:65" ht="26.25" hidden="1" outlineLevel="1" thickBot="1" x14ac:dyDescent="0.3">
      <c r="A459" s="784"/>
      <c r="B459" s="904">
        <f t="shared" si="608"/>
        <v>441</v>
      </c>
      <c r="C459" s="170" t="str">
        <f t="shared" si="561"/>
        <v>81EA</v>
      </c>
      <c r="D459" s="557"/>
      <c r="E459" s="170"/>
      <c r="F459" s="170">
        <v>81</v>
      </c>
      <c r="G459" s="2007" t="s">
        <v>3013</v>
      </c>
      <c r="H459" s="2008"/>
      <c r="I459" s="2008" t="s">
        <v>732</v>
      </c>
      <c r="J459" s="1926"/>
      <c r="K459" s="1926"/>
      <c r="L459" s="488"/>
      <c r="M459" s="2009">
        <v>420</v>
      </c>
      <c r="N459" s="2010">
        <v>1</v>
      </c>
      <c r="O459" s="773">
        <f t="shared" si="396"/>
        <v>420</v>
      </c>
      <c r="P459" s="2076" t="s">
        <v>39</v>
      </c>
      <c r="Q459" s="2008" t="s">
        <v>39</v>
      </c>
      <c r="R459" s="2011" t="s">
        <v>74</v>
      </c>
      <c r="S459" s="912">
        <f>SUMIF('Data Input sheet'!$B$118:$B$180,R459,'Data Input sheet'!$D$118:$D$180)</f>
        <v>152</v>
      </c>
      <c r="T459" s="2685">
        <f t="shared" si="673"/>
        <v>63840</v>
      </c>
      <c r="U459" s="2013">
        <v>14.8</v>
      </c>
      <c r="V459" s="778">
        <f t="shared" si="399"/>
        <v>6216</v>
      </c>
      <c r="W459" s="2013">
        <v>6600</v>
      </c>
      <c r="X459" s="779"/>
      <c r="Y459" s="2012">
        <v>0</v>
      </c>
      <c r="Z459" s="780">
        <f t="shared" si="398"/>
        <v>76656</v>
      </c>
      <c r="AA459" s="2007"/>
      <c r="AB459" s="2007" t="s">
        <v>3088</v>
      </c>
      <c r="AC459" s="765"/>
      <c r="AD459" s="781">
        <f t="shared" si="657"/>
        <v>0</v>
      </c>
      <c r="AE459" s="778">
        <f t="shared" si="658"/>
        <v>0</v>
      </c>
      <c r="AF459" s="781">
        <f t="shared" si="659"/>
        <v>0</v>
      </c>
      <c r="AG459" s="781">
        <f t="shared" si="660"/>
        <v>0</v>
      </c>
      <c r="AH459" s="781">
        <f t="shared" si="661"/>
        <v>0</v>
      </c>
      <c r="AI459" s="782">
        <f t="shared" si="662"/>
        <v>0</v>
      </c>
      <c r="AJ459" s="781">
        <f t="shared" si="663"/>
        <v>0</v>
      </c>
      <c r="AK459" s="781">
        <f t="shared" si="664"/>
        <v>0</v>
      </c>
      <c r="AL459" s="781">
        <f t="shared" si="665"/>
        <v>0</v>
      </c>
      <c r="AM459" s="781">
        <f t="shared" si="666"/>
        <v>0</v>
      </c>
      <c r="AN459" s="781">
        <f t="shared" si="667"/>
        <v>0</v>
      </c>
      <c r="AO459" s="781">
        <f t="shared" si="668"/>
        <v>0</v>
      </c>
      <c r="AP459" s="781">
        <f t="shared" si="669"/>
        <v>0</v>
      </c>
      <c r="AQ459" s="781">
        <f t="shared" si="670"/>
        <v>0</v>
      </c>
      <c r="AR459" s="781">
        <f t="shared" si="671"/>
        <v>0</v>
      </c>
      <c r="AS459" s="783">
        <f t="shared" si="672"/>
        <v>0</v>
      </c>
      <c r="AT459" s="917"/>
      <c r="AW459" s="832"/>
      <c r="AX459" s="2490" t="s">
        <v>3014</v>
      </c>
      <c r="AY459" s="2482"/>
      <c r="BM459" s="2010"/>
    </row>
    <row r="460" spans="1:65" ht="26.25" hidden="1" outlineLevel="1" thickBot="1" x14ac:dyDescent="0.3">
      <c r="A460" s="784"/>
      <c r="B460" s="904">
        <f t="shared" si="608"/>
        <v>442</v>
      </c>
      <c r="C460" s="170" t="str">
        <f t="shared" si="561"/>
        <v>81EA</v>
      </c>
      <c r="D460" s="557"/>
      <c r="E460" s="170"/>
      <c r="F460" s="170">
        <v>81</v>
      </c>
      <c r="G460" s="2007" t="s">
        <v>3015</v>
      </c>
      <c r="H460" s="2008"/>
      <c r="I460" s="2008" t="s">
        <v>732</v>
      </c>
      <c r="J460" s="1926"/>
      <c r="K460" s="1926"/>
      <c r="L460" s="488"/>
      <c r="M460" s="2009">
        <v>400</v>
      </c>
      <c r="N460" s="2010">
        <v>1</v>
      </c>
      <c r="O460" s="773">
        <f t="shared" si="396"/>
        <v>400</v>
      </c>
      <c r="P460" s="2076" t="s">
        <v>39</v>
      </c>
      <c r="Q460" s="2008" t="s">
        <v>39</v>
      </c>
      <c r="R460" s="2011" t="s">
        <v>74</v>
      </c>
      <c r="S460" s="912">
        <f>SUMIF('Data Input sheet'!$B$118:$B$180,R460,'Data Input sheet'!$D$118:$D$180)</f>
        <v>152</v>
      </c>
      <c r="T460" s="2685">
        <f t="shared" si="673"/>
        <v>60800</v>
      </c>
      <c r="U460" s="2013">
        <v>14.8</v>
      </c>
      <c r="V460" s="778">
        <f t="shared" si="399"/>
        <v>5920</v>
      </c>
      <c r="W460" s="2013">
        <v>6600</v>
      </c>
      <c r="X460" s="779"/>
      <c r="Y460" s="2012">
        <v>0</v>
      </c>
      <c r="Z460" s="780">
        <f t="shared" si="398"/>
        <v>73320</v>
      </c>
      <c r="AA460" s="2007"/>
      <c r="AB460" s="2007" t="s">
        <v>3088</v>
      </c>
      <c r="AC460" s="765"/>
      <c r="AD460" s="781">
        <f t="shared" si="657"/>
        <v>0</v>
      </c>
      <c r="AE460" s="778">
        <f t="shared" si="658"/>
        <v>0</v>
      </c>
      <c r="AF460" s="781">
        <f t="shared" si="659"/>
        <v>0</v>
      </c>
      <c r="AG460" s="781">
        <f t="shared" si="660"/>
        <v>0</v>
      </c>
      <c r="AH460" s="781">
        <f t="shared" si="661"/>
        <v>0</v>
      </c>
      <c r="AI460" s="782">
        <f t="shared" si="662"/>
        <v>0</v>
      </c>
      <c r="AJ460" s="781">
        <f t="shared" si="663"/>
        <v>0</v>
      </c>
      <c r="AK460" s="781">
        <f t="shared" si="664"/>
        <v>0</v>
      </c>
      <c r="AL460" s="781">
        <f t="shared" si="665"/>
        <v>0</v>
      </c>
      <c r="AM460" s="781">
        <f t="shared" si="666"/>
        <v>0</v>
      </c>
      <c r="AN460" s="781">
        <f t="shared" si="667"/>
        <v>0</v>
      </c>
      <c r="AO460" s="781">
        <f t="shared" si="668"/>
        <v>0</v>
      </c>
      <c r="AP460" s="781">
        <f t="shared" si="669"/>
        <v>0</v>
      </c>
      <c r="AQ460" s="781">
        <f t="shared" si="670"/>
        <v>0</v>
      </c>
      <c r="AR460" s="781">
        <f t="shared" si="671"/>
        <v>0</v>
      </c>
      <c r="AS460" s="783">
        <f t="shared" si="672"/>
        <v>0</v>
      </c>
      <c r="AT460" s="917"/>
      <c r="AW460" s="832"/>
      <c r="AX460" s="2490" t="s">
        <v>3016</v>
      </c>
      <c r="AY460" s="2482"/>
      <c r="BM460" s="2010"/>
    </row>
    <row r="461" spans="1:65" ht="26.25" hidden="1" outlineLevel="1" thickBot="1" x14ac:dyDescent="0.3">
      <c r="A461" s="784"/>
      <c r="B461" s="904">
        <f t="shared" si="608"/>
        <v>443</v>
      </c>
      <c r="C461" s="170" t="str">
        <f t="shared" si="561"/>
        <v>81EA</v>
      </c>
      <c r="D461" s="557"/>
      <c r="E461" s="170"/>
      <c r="F461" s="170">
        <v>81</v>
      </c>
      <c r="G461" s="2007" t="s">
        <v>3017</v>
      </c>
      <c r="H461" s="2008"/>
      <c r="I461" s="2008" t="s">
        <v>732</v>
      </c>
      <c r="J461" s="1926"/>
      <c r="K461" s="1926"/>
      <c r="L461" s="488"/>
      <c r="M461" s="2009">
        <v>320</v>
      </c>
      <c r="N461" s="2010">
        <v>1</v>
      </c>
      <c r="O461" s="773">
        <f t="shared" si="396"/>
        <v>320</v>
      </c>
      <c r="P461" s="2076" t="s">
        <v>39</v>
      </c>
      <c r="Q461" s="2008" t="s">
        <v>39</v>
      </c>
      <c r="R461" s="2011" t="s">
        <v>74</v>
      </c>
      <c r="S461" s="912">
        <f>SUMIF('Data Input sheet'!$B$118:$B$180,R461,'Data Input sheet'!$D$118:$D$180)</f>
        <v>152</v>
      </c>
      <c r="T461" s="2685">
        <f t="shared" si="673"/>
        <v>48640</v>
      </c>
      <c r="U461" s="2013">
        <v>14.8</v>
      </c>
      <c r="V461" s="778">
        <f t="shared" si="399"/>
        <v>4736</v>
      </c>
      <c r="W461" s="2013">
        <v>3827</v>
      </c>
      <c r="X461" s="779"/>
      <c r="Y461" s="2012">
        <v>0</v>
      </c>
      <c r="Z461" s="780">
        <f t="shared" si="398"/>
        <v>57203</v>
      </c>
      <c r="AA461" s="2007"/>
      <c r="AB461" s="2007" t="s">
        <v>3088</v>
      </c>
      <c r="AC461" s="765"/>
      <c r="AD461" s="781">
        <f t="shared" si="657"/>
        <v>0</v>
      </c>
      <c r="AE461" s="778">
        <f t="shared" si="658"/>
        <v>0</v>
      </c>
      <c r="AF461" s="781">
        <f t="shared" si="659"/>
        <v>0</v>
      </c>
      <c r="AG461" s="781">
        <f t="shared" si="660"/>
        <v>0</v>
      </c>
      <c r="AH461" s="781">
        <f t="shared" si="661"/>
        <v>0</v>
      </c>
      <c r="AI461" s="782">
        <f t="shared" si="662"/>
        <v>0</v>
      </c>
      <c r="AJ461" s="781">
        <f t="shared" si="663"/>
        <v>0</v>
      </c>
      <c r="AK461" s="781">
        <f t="shared" si="664"/>
        <v>0</v>
      </c>
      <c r="AL461" s="781">
        <f t="shared" si="665"/>
        <v>0</v>
      </c>
      <c r="AM461" s="781">
        <f t="shared" si="666"/>
        <v>0</v>
      </c>
      <c r="AN461" s="781">
        <f t="shared" si="667"/>
        <v>0</v>
      </c>
      <c r="AO461" s="781">
        <f t="shared" si="668"/>
        <v>0</v>
      </c>
      <c r="AP461" s="781">
        <f t="shared" si="669"/>
        <v>0</v>
      </c>
      <c r="AQ461" s="781">
        <f t="shared" si="670"/>
        <v>0</v>
      </c>
      <c r="AR461" s="781">
        <f t="shared" si="671"/>
        <v>0</v>
      </c>
      <c r="AS461" s="783">
        <f t="shared" si="672"/>
        <v>0</v>
      </c>
      <c r="AT461" s="917"/>
      <c r="AW461" s="832"/>
      <c r="AX461" s="2490" t="s">
        <v>3018</v>
      </c>
      <c r="AY461" s="2482"/>
      <c r="BM461" s="2010"/>
    </row>
    <row r="462" spans="1:65" ht="26.25" hidden="1" outlineLevel="1" thickBot="1" x14ac:dyDescent="0.3">
      <c r="A462" s="784"/>
      <c r="B462" s="904">
        <f t="shared" si="608"/>
        <v>444</v>
      </c>
      <c r="C462" s="170" t="str">
        <f t="shared" si="561"/>
        <v>81EA</v>
      </c>
      <c r="D462" s="557"/>
      <c r="E462" s="170"/>
      <c r="F462" s="170">
        <v>81</v>
      </c>
      <c r="G462" s="2007" t="s">
        <v>3019</v>
      </c>
      <c r="H462" s="2008"/>
      <c r="I462" s="2008" t="s">
        <v>732</v>
      </c>
      <c r="J462" s="1926"/>
      <c r="K462" s="1926"/>
      <c r="L462" s="488"/>
      <c r="M462" s="2009">
        <v>320</v>
      </c>
      <c r="N462" s="2010">
        <v>1</v>
      </c>
      <c r="O462" s="773">
        <f t="shared" si="396"/>
        <v>320</v>
      </c>
      <c r="P462" s="2076" t="s">
        <v>39</v>
      </c>
      <c r="Q462" s="2008" t="s">
        <v>39</v>
      </c>
      <c r="R462" s="2011" t="s">
        <v>74</v>
      </c>
      <c r="S462" s="912">
        <f>SUMIF('Data Input sheet'!$B$118:$B$180,R462,'Data Input sheet'!$D$118:$D$180)</f>
        <v>152</v>
      </c>
      <c r="T462" s="2685">
        <f t="shared" si="673"/>
        <v>48640</v>
      </c>
      <c r="U462" s="2013">
        <v>14.8</v>
      </c>
      <c r="V462" s="778">
        <f t="shared" si="399"/>
        <v>4736</v>
      </c>
      <c r="W462" s="2013">
        <v>3827</v>
      </c>
      <c r="X462" s="779"/>
      <c r="Y462" s="2012">
        <v>0</v>
      </c>
      <c r="Z462" s="780">
        <f t="shared" si="398"/>
        <v>57203</v>
      </c>
      <c r="AA462" s="2007"/>
      <c r="AB462" s="2007" t="s">
        <v>3088</v>
      </c>
      <c r="AC462" s="765"/>
      <c r="AD462" s="781">
        <f t="shared" si="657"/>
        <v>0</v>
      </c>
      <c r="AE462" s="778">
        <f t="shared" si="658"/>
        <v>0</v>
      </c>
      <c r="AF462" s="781">
        <f t="shared" si="659"/>
        <v>0</v>
      </c>
      <c r="AG462" s="781">
        <f t="shared" si="660"/>
        <v>0</v>
      </c>
      <c r="AH462" s="781">
        <f t="shared" si="661"/>
        <v>0</v>
      </c>
      <c r="AI462" s="782">
        <f t="shared" si="662"/>
        <v>0</v>
      </c>
      <c r="AJ462" s="781">
        <f t="shared" si="663"/>
        <v>0</v>
      </c>
      <c r="AK462" s="781">
        <f t="shared" si="664"/>
        <v>0</v>
      </c>
      <c r="AL462" s="781">
        <f t="shared" si="665"/>
        <v>0</v>
      </c>
      <c r="AM462" s="781">
        <f t="shared" si="666"/>
        <v>0</v>
      </c>
      <c r="AN462" s="781">
        <f t="shared" si="667"/>
        <v>0</v>
      </c>
      <c r="AO462" s="781">
        <f t="shared" si="668"/>
        <v>0</v>
      </c>
      <c r="AP462" s="781">
        <f t="shared" si="669"/>
        <v>0</v>
      </c>
      <c r="AQ462" s="781">
        <f t="shared" si="670"/>
        <v>0</v>
      </c>
      <c r="AR462" s="781">
        <f t="shared" si="671"/>
        <v>0</v>
      </c>
      <c r="AS462" s="783">
        <f t="shared" si="672"/>
        <v>0</v>
      </c>
      <c r="AT462" s="917"/>
      <c r="AW462" s="832"/>
      <c r="AX462" s="2490" t="s">
        <v>3087</v>
      </c>
      <c r="AY462" s="2482"/>
      <c r="BM462" s="2010"/>
    </row>
    <row r="463" spans="1:65" ht="26.25" hidden="1" outlineLevel="1" thickBot="1" x14ac:dyDescent="0.3">
      <c r="A463" s="784"/>
      <c r="B463" s="904">
        <f t="shared" si="608"/>
        <v>445</v>
      </c>
      <c r="C463" s="170" t="str">
        <f t="shared" si="561"/>
        <v>81EA</v>
      </c>
      <c r="D463" s="557"/>
      <c r="E463" s="170"/>
      <c r="F463" s="170">
        <v>81</v>
      </c>
      <c r="G463" s="2007" t="s">
        <v>3020</v>
      </c>
      <c r="H463" s="2008"/>
      <c r="I463" s="2008" t="s">
        <v>732</v>
      </c>
      <c r="J463" s="1926"/>
      <c r="K463" s="1926"/>
      <c r="L463" s="488"/>
      <c r="M463" s="2009">
        <v>320</v>
      </c>
      <c r="N463" s="2010">
        <v>1</v>
      </c>
      <c r="O463" s="773">
        <f t="shared" si="396"/>
        <v>320</v>
      </c>
      <c r="P463" s="2076" t="s">
        <v>39</v>
      </c>
      <c r="Q463" s="2008" t="s">
        <v>39</v>
      </c>
      <c r="R463" s="2011" t="s">
        <v>74</v>
      </c>
      <c r="S463" s="912">
        <f>SUMIF('Data Input sheet'!$B$118:$B$180,R463,'Data Input sheet'!$D$118:$D$180)</f>
        <v>152</v>
      </c>
      <c r="T463" s="2685">
        <f t="shared" si="673"/>
        <v>48640</v>
      </c>
      <c r="U463" s="2013">
        <v>14.8</v>
      </c>
      <c r="V463" s="778">
        <f t="shared" si="399"/>
        <v>4736</v>
      </c>
      <c r="W463" s="2013">
        <v>3827</v>
      </c>
      <c r="X463" s="779"/>
      <c r="Y463" s="2012">
        <v>0</v>
      </c>
      <c r="Z463" s="780">
        <f t="shared" si="398"/>
        <v>57203</v>
      </c>
      <c r="AA463" s="2007"/>
      <c r="AB463" s="2007" t="s">
        <v>3088</v>
      </c>
      <c r="AC463" s="765"/>
      <c r="AD463" s="781">
        <f t="shared" si="657"/>
        <v>0</v>
      </c>
      <c r="AE463" s="778">
        <f t="shared" si="658"/>
        <v>0</v>
      </c>
      <c r="AF463" s="781">
        <f t="shared" si="659"/>
        <v>0</v>
      </c>
      <c r="AG463" s="781">
        <f t="shared" si="660"/>
        <v>0</v>
      </c>
      <c r="AH463" s="781">
        <f t="shared" si="661"/>
        <v>0</v>
      </c>
      <c r="AI463" s="782">
        <f t="shared" si="662"/>
        <v>0</v>
      </c>
      <c r="AJ463" s="781">
        <f t="shared" si="663"/>
        <v>0</v>
      </c>
      <c r="AK463" s="781">
        <f t="shared" si="664"/>
        <v>0</v>
      </c>
      <c r="AL463" s="781">
        <f t="shared" si="665"/>
        <v>0</v>
      </c>
      <c r="AM463" s="781">
        <f t="shared" si="666"/>
        <v>0</v>
      </c>
      <c r="AN463" s="781">
        <f t="shared" si="667"/>
        <v>0</v>
      </c>
      <c r="AO463" s="781">
        <f t="shared" si="668"/>
        <v>0</v>
      </c>
      <c r="AP463" s="781">
        <f t="shared" si="669"/>
        <v>0</v>
      </c>
      <c r="AQ463" s="781">
        <f t="shared" si="670"/>
        <v>0</v>
      </c>
      <c r="AR463" s="781">
        <f t="shared" si="671"/>
        <v>0</v>
      </c>
      <c r="AS463" s="783">
        <f t="shared" si="672"/>
        <v>0</v>
      </c>
      <c r="AT463" s="917"/>
      <c r="AW463" s="832"/>
      <c r="AX463" s="2490" t="s">
        <v>3018</v>
      </c>
      <c r="AY463" s="2482"/>
      <c r="BM463" s="2010"/>
    </row>
    <row r="464" spans="1:65" ht="26.25" hidden="1" outlineLevel="1" thickBot="1" x14ac:dyDescent="0.3">
      <c r="A464" s="784"/>
      <c r="B464" s="904">
        <f t="shared" si="608"/>
        <v>446</v>
      </c>
      <c r="C464" s="170" t="str">
        <f t="shared" si="561"/>
        <v>81EA</v>
      </c>
      <c r="D464" s="557"/>
      <c r="E464" s="170"/>
      <c r="F464" s="170">
        <v>81</v>
      </c>
      <c r="G464" s="2007" t="s">
        <v>3021</v>
      </c>
      <c r="H464" s="2008"/>
      <c r="I464" s="2008" t="s">
        <v>732</v>
      </c>
      <c r="J464" s="1926"/>
      <c r="K464" s="1926"/>
      <c r="L464" s="488"/>
      <c r="M464" s="2009">
        <v>320</v>
      </c>
      <c r="N464" s="2010">
        <v>1</v>
      </c>
      <c r="O464" s="773">
        <f t="shared" si="396"/>
        <v>320</v>
      </c>
      <c r="P464" s="2076" t="s">
        <v>39</v>
      </c>
      <c r="Q464" s="2008" t="s">
        <v>39</v>
      </c>
      <c r="R464" s="2011" t="s">
        <v>74</v>
      </c>
      <c r="S464" s="912">
        <f>SUMIF('Data Input sheet'!$B$118:$B$180,R464,'Data Input sheet'!$D$118:$D$180)</f>
        <v>152</v>
      </c>
      <c r="T464" s="2685">
        <f t="shared" si="673"/>
        <v>48640</v>
      </c>
      <c r="U464" s="2013">
        <v>14.8</v>
      </c>
      <c r="V464" s="778">
        <f t="shared" si="399"/>
        <v>4736</v>
      </c>
      <c r="W464" s="2013">
        <v>3827</v>
      </c>
      <c r="X464" s="779"/>
      <c r="Y464" s="2012">
        <v>0</v>
      </c>
      <c r="Z464" s="780">
        <f t="shared" si="398"/>
        <v>57203</v>
      </c>
      <c r="AA464" s="2007"/>
      <c r="AB464" s="2007" t="s">
        <v>3088</v>
      </c>
      <c r="AC464" s="765"/>
      <c r="AD464" s="781">
        <f t="shared" si="657"/>
        <v>0</v>
      </c>
      <c r="AE464" s="778">
        <f t="shared" si="658"/>
        <v>0</v>
      </c>
      <c r="AF464" s="781">
        <f t="shared" si="659"/>
        <v>0</v>
      </c>
      <c r="AG464" s="781">
        <f t="shared" si="660"/>
        <v>0</v>
      </c>
      <c r="AH464" s="781">
        <f t="shared" si="661"/>
        <v>0</v>
      </c>
      <c r="AI464" s="782">
        <f t="shared" si="662"/>
        <v>0</v>
      </c>
      <c r="AJ464" s="781">
        <f t="shared" si="663"/>
        <v>0</v>
      </c>
      <c r="AK464" s="781">
        <f t="shared" si="664"/>
        <v>0</v>
      </c>
      <c r="AL464" s="781">
        <f t="shared" si="665"/>
        <v>0</v>
      </c>
      <c r="AM464" s="781">
        <f t="shared" si="666"/>
        <v>0</v>
      </c>
      <c r="AN464" s="781">
        <f t="shared" si="667"/>
        <v>0</v>
      </c>
      <c r="AO464" s="781">
        <f t="shared" si="668"/>
        <v>0</v>
      </c>
      <c r="AP464" s="781">
        <f t="shared" si="669"/>
        <v>0</v>
      </c>
      <c r="AQ464" s="781">
        <f t="shared" si="670"/>
        <v>0</v>
      </c>
      <c r="AR464" s="781">
        <f t="shared" si="671"/>
        <v>0</v>
      </c>
      <c r="AS464" s="783">
        <f t="shared" si="672"/>
        <v>0</v>
      </c>
      <c r="AT464" s="917"/>
      <c r="AW464" s="832"/>
      <c r="AX464" s="2490" t="s">
        <v>3018</v>
      </c>
      <c r="AY464" s="2482"/>
      <c r="BM464" s="2010"/>
    </row>
    <row r="465" spans="1:65" ht="15.75" hidden="1" outlineLevel="1" thickBot="1" x14ac:dyDescent="0.3">
      <c r="A465" s="784"/>
      <c r="B465" s="904">
        <f t="shared" si="608"/>
        <v>447</v>
      </c>
      <c r="C465" s="170" t="str">
        <f t="shared" si="561"/>
        <v>89EA</v>
      </c>
      <c r="D465" s="557"/>
      <c r="E465" s="170"/>
      <c r="F465" s="170">
        <v>89</v>
      </c>
      <c r="G465" s="2511" t="s">
        <v>3263</v>
      </c>
      <c r="H465" s="2039"/>
      <c r="I465" s="2008" t="s">
        <v>732</v>
      </c>
      <c r="J465" s="2039"/>
      <c r="K465" s="2039"/>
      <c r="L465" s="488"/>
      <c r="M465" s="2041">
        <v>10</v>
      </c>
      <c r="N465" s="2043">
        <v>1</v>
      </c>
      <c r="O465" s="1967">
        <f t="shared" si="396"/>
        <v>10</v>
      </c>
      <c r="P465" s="2076" t="s">
        <v>39</v>
      </c>
      <c r="Q465" s="2008" t="s">
        <v>39</v>
      </c>
      <c r="R465" s="2011" t="s">
        <v>74</v>
      </c>
      <c r="S465" s="912">
        <f>SUMIF('Data Input sheet'!$B$118:$B$180,R465,'Data Input sheet'!$D$118:$D$180)</f>
        <v>152</v>
      </c>
      <c r="T465" s="2686">
        <f t="shared" ref="T465" si="674">ROUND(O465*S465,0)</f>
        <v>1520</v>
      </c>
      <c r="U465" s="2042">
        <v>14.8</v>
      </c>
      <c r="V465" s="1981">
        <f t="shared" si="399"/>
        <v>148</v>
      </c>
      <c r="W465" s="2046">
        <v>900</v>
      </c>
      <c r="X465" s="2502"/>
      <c r="Y465" s="2047">
        <v>0</v>
      </c>
      <c r="Z465" s="780">
        <f t="shared" si="398"/>
        <v>2568</v>
      </c>
      <c r="AA465" s="2007"/>
      <c r="AB465" s="2007"/>
      <c r="AC465" s="765"/>
      <c r="AD465" s="781">
        <f t="shared" si="657"/>
        <v>0</v>
      </c>
      <c r="AE465" s="778">
        <f t="shared" si="658"/>
        <v>0</v>
      </c>
      <c r="AF465" s="781">
        <f t="shared" si="659"/>
        <v>0</v>
      </c>
      <c r="AG465" s="781">
        <f t="shared" si="660"/>
        <v>0</v>
      </c>
      <c r="AH465" s="781">
        <f t="shared" si="661"/>
        <v>0</v>
      </c>
      <c r="AI465" s="782">
        <f t="shared" si="662"/>
        <v>0</v>
      </c>
      <c r="AJ465" s="781">
        <f t="shared" si="663"/>
        <v>0</v>
      </c>
      <c r="AK465" s="781">
        <f t="shared" si="664"/>
        <v>0</v>
      </c>
      <c r="AL465" s="781">
        <f t="shared" si="665"/>
        <v>0</v>
      </c>
      <c r="AM465" s="781">
        <f t="shared" si="666"/>
        <v>0</v>
      </c>
      <c r="AN465" s="781">
        <f t="shared" si="667"/>
        <v>0</v>
      </c>
      <c r="AO465" s="781">
        <f t="shared" si="668"/>
        <v>0</v>
      </c>
      <c r="AP465" s="781">
        <f t="shared" si="669"/>
        <v>0</v>
      </c>
      <c r="AQ465" s="781">
        <f t="shared" si="670"/>
        <v>0</v>
      </c>
      <c r="AR465" s="781">
        <f t="shared" si="671"/>
        <v>0</v>
      </c>
      <c r="AS465" s="783">
        <f t="shared" si="672"/>
        <v>0</v>
      </c>
    </row>
    <row r="466" spans="1:65" ht="15.75" hidden="1" outlineLevel="1" thickBot="1" x14ac:dyDescent="0.3">
      <c r="A466" s="784"/>
      <c r="B466" s="904">
        <f t="shared" si="608"/>
        <v>448</v>
      </c>
      <c r="C466" s="170" t="str">
        <f t="shared" si="561"/>
        <v>81EA</v>
      </c>
      <c r="D466" s="557"/>
      <c r="E466" s="170"/>
      <c r="F466" s="170">
        <v>81</v>
      </c>
      <c r="G466" s="2514" t="s">
        <v>1795</v>
      </c>
      <c r="H466" s="2039"/>
      <c r="I466" s="2008" t="s">
        <v>732</v>
      </c>
      <c r="J466" s="2039"/>
      <c r="K466" s="2039"/>
      <c r="L466" s="488"/>
      <c r="M466" s="2041">
        <v>2</v>
      </c>
      <c r="N466" s="2043">
        <v>1</v>
      </c>
      <c r="O466" s="1967">
        <f t="shared" si="396"/>
        <v>2</v>
      </c>
      <c r="P466" s="2076" t="s">
        <v>39</v>
      </c>
      <c r="Q466" s="2008" t="s">
        <v>39</v>
      </c>
      <c r="R466" s="2011" t="s">
        <v>74</v>
      </c>
      <c r="S466" s="912">
        <f>SUMIF('Data Input sheet'!$B$118:$B$180,R466,'Data Input sheet'!$D$118:$D$180)</f>
        <v>152</v>
      </c>
      <c r="T466" s="2686">
        <f t="shared" ref="T466:T471" si="675">ROUND(O466*S466,0)</f>
        <v>304</v>
      </c>
      <c r="U466" s="2013">
        <v>14.8</v>
      </c>
      <c r="V466" s="1981">
        <f t="shared" si="399"/>
        <v>30</v>
      </c>
      <c r="W466" s="2046">
        <v>170</v>
      </c>
      <c r="X466" s="2502"/>
      <c r="Y466" s="2047">
        <v>0</v>
      </c>
      <c r="Z466" s="780">
        <f t="shared" si="398"/>
        <v>504</v>
      </c>
      <c r="AA466" s="2007"/>
      <c r="AB466" s="2007"/>
      <c r="AC466" s="765"/>
      <c r="AD466" s="781">
        <f t="shared" si="657"/>
        <v>0</v>
      </c>
      <c r="AE466" s="778">
        <f t="shared" si="658"/>
        <v>0</v>
      </c>
      <c r="AF466" s="781">
        <f t="shared" si="659"/>
        <v>0</v>
      </c>
      <c r="AG466" s="781">
        <f t="shared" si="660"/>
        <v>0</v>
      </c>
      <c r="AH466" s="781">
        <f t="shared" si="661"/>
        <v>0</v>
      </c>
      <c r="AI466" s="782">
        <f t="shared" si="662"/>
        <v>0</v>
      </c>
      <c r="AJ466" s="781">
        <f t="shared" si="663"/>
        <v>0</v>
      </c>
      <c r="AK466" s="781">
        <f t="shared" si="664"/>
        <v>0</v>
      </c>
      <c r="AL466" s="781">
        <f t="shared" si="665"/>
        <v>0</v>
      </c>
      <c r="AM466" s="781">
        <f t="shared" si="666"/>
        <v>0</v>
      </c>
      <c r="AN466" s="781">
        <f t="shared" si="667"/>
        <v>0</v>
      </c>
      <c r="AO466" s="781">
        <f t="shared" si="668"/>
        <v>0</v>
      </c>
      <c r="AP466" s="781">
        <f t="shared" si="669"/>
        <v>0</v>
      </c>
      <c r="AQ466" s="781">
        <f t="shared" si="670"/>
        <v>0</v>
      </c>
      <c r="AR466" s="781">
        <f t="shared" si="671"/>
        <v>0</v>
      </c>
      <c r="AS466" s="783">
        <f t="shared" si="672"/>
        <v>0</v>
      </c>
    </row>
    <row r="467" spans="1:65" ht="15.75" hidden="1" outlineLevel="1" thickBot="1" x14ac:dyDescent="0.3">
      <c r="A467" s="784"/>
      <c r="B467" s="904">
        <f t="shared" si="608"/>
        <v>449</v>
      </c>
      <c r="C467" s="170" t="str">
        <f t="shared" si="561"/>
        <v>81EA</v>
      </c>
      <c r="D467" s="557"/>
      <c r="E467" s="170"/>
      <c r="F467" s="170">
        <v>81</v>
      </c>
      <c r="G467" s="2514" t="s">
        <v>1796</v>
      </c>
      <c r="H467" s="2039"/>
      <c r="I467" s="2008" t="s">
        <v>732</v>
      </c>
      <c r="J467" s="2039"/>
      <c r="K467" s="2039"/>
      <c r="L467" s="488"/>
      <c r="M467" s="2041">
        <v>2</v>
      </c>
      <c r="N467" s="2043">
        <v>1</v>
      </c>
      <c r="O467" s="1967">
        <f t="shared" si="396"/>
        <v>2</v>
      </c>
      <c r="P467" s="2076" t="s">
        <v>39</v>
      </c>
      <c r="Q467" s="2008" t="s">
        <v>39</v>
      </c>
      <c r="R467" s="2011" t="s">
        <v>74</v>
      </c>
      <c r="S467" s="912">
        <f>SUMIF('Data Input sheet'!$B$118:$B$180,R467,'Data Input sheet'!$D$118:$D$180)</f>
        <v>152</v>
      </c>
      <c r="T467" s="2686">
        <f t="shared" si="675"/>
        <v>304</v>
      </c>
      <c r="U467" s="2013">
        <v>14.8</v>
      </c>
      <c r="V467" s="1981">
        <f t="shared" si="399"/>
        <v>30</v>
      </c>
      <c r="W467" s="2046">
        <v>260</v>
      </c>
      <c r="X467" s="2502"/>
      <c r="Y467" s="2047">
        <v>0</v>
      </c>
      <c r="Z467" s="780">
        <f t="shared" si="398"/>
        <v>594</v>
      </c>
      <c r="AA467" s="2007"/>
      <c r="AB467" s="2007"/>
      <c r="AC467" s="765"/>
      <c r="AD467" s="781">
        <f t="shared" si="657"/>
        <v>0</v>
      </c>
      <c r="AE467" s="778">
        <f t="shared" si="658"/>
        <v>0</v>
      </c>
      <c r="AF467" s="781">
        <f t="shared" si="659"/>
        <v>0</v>
      </c>
      <c r="AG467" s="781">
        <f t="shared" si="660"/>
        <v>0</v>
      </c>
      <c r="AH467" s="781">
        <f t="shared" si="661"/>
        <v>0</v>
      </c>
      <c r="AI467" s="782">
        <f t="shared" si="662"/>
        <v>0</v>
      </c>
      <c r="AJ467" s="781">
        <f t="shared" si="663"/>
        <v>0</v>
      </c>
      <c r="AK467" s="781">
        <f t="shared" si="664"/>
        <v>0</v>
      </c>
      <c r="AL467" s="781">
        <f t="shared" si="665"/>
        <v>0</v>
      </c>
      <c r="AM467" s="781">
        <f t="shared" si="666"/>
        <v>0</v>
      </c>
      <c r="AN467" s="781">
        <f t="shared" si="667"/>
        <v>0</v>
      </c>
      <c r="AO467" s="781">
        <f t="shared" si="668"/>
        <v>0</v>
      </c>
      <c r="AP467" s="781">
        <f t="shared" si="669"/>
        <v>0</v>
      </c>
      <c r="AQ467" s="781">
        <f t="shared" si="670"/>
        <v>0</v>
      </c>
      <c r="AR467" s="781">
        <f t="shared" si="671"/>
        <v>0</v>
      </c>
      <c r="AS467" s="783">
        <f t="shared" si="672"/>
        <v>0</v>
      </c>
    </row>
    <row r="468" spans="1:65" ht="15.75" hidden="1" outlineLevel="1" thickBot="1" x14ac:dyDescent="0.3">
      <c r="A468" s="784"/>
      <c r="B468" s="904">
        <f t="shared" si="608"/>
        <v>450</v>
      </c>
      <c r="C468" s="170" t="str">
        <f t="shared" si="561"/>
        <v>81EA</v>
      </c>
      <c r="D468" s="557"/>
      <c r="E468" s="170"/>
      <c r="F468" s="170">
        <v>81</v>
      </c>
      <c r="G468" s="2514" t="s">
        <v>1797</v>
      </c>
      <c r="H468" s="2039"/>
      <c r="I468" s="2008" t="s">
        <v>732</v>
      </c>
      <c r="J468" s="2039"/>
      <c r="K468" s="2039"/>
      <c r="L468" s="488"/>
      <c r="M468" s="2041">
        <v>2.5</v>
      </c>
      <c r="N468" s="2043">
        <v>1</v>
      </c>
      <c r="O468" s="1967">
        <f t="shared" si="396"/>
        <v>2.5</v>
      </c>
      <c r="P468" s="2076" t="s">
        <v>39</v>
      </c>
      <c r="Q468" s="2008" t="s">
        <v>39</v>
      </c>
      <c r="R468" s="2011" t="s">
        <v>74</v>
      </c>
      <c r="S468" s="912">
        <f>SUMIF('Data Input sheet'!$B$118:$B$180,R468,'Data Input sheet'!$D$118:$D$180)</f>
        <v>152</v>
      </c>
      <c r="T468" s="2686">
        <f t="shared" si="675"/>
        <v>380</v>
      </c>
      <c r="U468" s="2013">
        <v>14.8</v>
      </c>
      <c r="V468" s="1981">
        <f t="shared" si="399"/>
        <v>37</v>
      </c>
      <c r="W468" s="2046">
        <v>550</v>
      </c>
      <c r="X468" s="2502"/>
      <c r="Y468" s="2047">
        <v>0</v>
      </c>
      <c r="Z468" s="780">
        <f t="shared" si="398"/>
        <v>967</v>
      </c>
      <c r="AA468" s="2007"/>
      <c r="AB468" s="2007"/>
      <c r="AC468" s="765"/>
      <c r="AD468" s="781">
        <f t="shared" si="657"/>
        <v>0</v>
      </c>
      <c r="AE468" s="778">
        <f t="shared" si="658"/>
        <v>0</v>
      </c>
      <c r="AF468" s="781">
        <f t="shared" si="659"/>
        <v>0</v>
      </c>
      <c r="AG468" s="781">
        <f t="shared" si="660"/>
        <v>0</v>
      </c>
      <c r="AH468" s="781">
        <f t="shared" si="661"/>
        <v>0</v>
      </c>
      <c r="AI468" s="782">
        <f t="shared" si="662"/>
        <v>0</v>
      </c>
      <c r="AJ468" s="781">
        <f t="shared" si="663"/>
        <v>0</v>
      </c>
      <c r="AK468" s="781">
        <f t="shared" si="664"/>
        <v>0</v>
      </c>
      <c r="AL468" s="781">
        <f t="shared" si="665"/>
        <v>0</v>
      </c>
      <c r="AM468" s="781">
        <f t="shared" si="666"/>
        <v>0</v>
      </c>
      <c r="AN468" s="781">
        <f t="shared" si="667"/>
        <v>0</v>
      </c>
      <c r="AO468" s="781">
        <f t="shared" si="668"/>
        <v>0</v>
      </c>
      <c r="AP468" s="781">
        <f t="shared" si="669"/>
        <v>0</v>
      </c>
      <c r="AQ468" s="781">
        <f t="shared" si="670"/>
        <v>0</v>
      </c>
      <c r="AR468" s="781">
        <f t="shared" si="671"/>
        <v>0</v>
      </c>
      <c r="AS468" s="783">
        <f t="shared" si="672"/>
        <v>0</v>
      </c>
    </row>
    <row r="469" spans="1:65" ht="15.75" hidden="1" outlineLevel="1" thickBot="1" x14ac:dyDescent="0.3">
      <c r="A469" s="784"/>
      <c r="B469" s="904">
        <f t="shared" si="608"/>
        <v>451</v>
      </c>
      <c r="C469" s="170" t="str">
        <f t="shared" si="561"/>
        <v>81EA</v>
      </c>
      <c r="D469" s="557"/>
      <c r="E469" s="170"/>
      <c r="F469" s="170">
        <v>81</v>
      </c>
      <c r="G469" s="2511" t="s">
        <v>1798</v>
      </c>
      <c r="H469" s="2039"/>
      <c r="I469" s="2008" t="s">
        <v>732</v>
      </c>
      <c r="J469" s="2039"/>
      <c r="K469" s="2039"/>
      <c r="L469" s="488"/>
      <c r="M469" s="2041">
        <v>2</v>
      </c>
      <c r="N469" s="2043">
        <v>1</v>
      </c>
      <c r="O469" s="1967">
        <f t="shared" si="396"/>
        <v>2</v>
      </c>
      <c r="P469" s="2076" t="s">
        <v>39</v>
      </c>
      <c r="Q469" s="2008" t="s">
        <v>39</v>
      </c>
      <c r="R469" s="2011" t="s">
        <v>74</v>
      </c>
      <c r="S469" s="912">
        <f>SUMIF('Data Input sheet'!$B$118:$B$180,R469,'Data Input sheet'!$D$118:$D$180)</f>
        <v>152</v>
      </c>
      <c r="T469" s="2686">
        <f t="shared" si="675"/>
        <v>304</v>
      </c>
      <c r="U469" s="2013">
        <v>14.8</v>
      </c>
      <c r="V469" s="1981">
        <f t="shared" si="399"/>
        <v>30</v>
      </c>
      <c r="W469" s="2046">
        <v>200</v>
      </c>
      <c r="X469" s="2502"/>
      <c r="Y469" s="2047">
        <v>0</v>
      </c>
      <c r="Z469" s="780">
        <f t="shared" si="398"/>
        <v>534</v>
      </c>
      <c r="AA469" s="2007"/>
      <c r="AB469" s="2007"/>
      <c r="AC469" s="765"/>
      <c r="AD469" s="781">
        <f t="shared" si="657"/>
        <v>0</v>
      </c>
      <c r="AE469" s="778">
        <f t="shared" si="658"/>
        <v>0</v>
      </c>
      <c r="AF469" s="781">
        <f t="shared" si="659"/>
        <v>0</v>
      </c>
      <c r="AG469" s="781">
        <f t="shared" si="660"/>
        <v>0</v>
      </c>
      <c r="AH469" s="781">
        <f t="shared" si="661"/>
        <v>0</v>
      </c>
      <c r="AI469" s="782">
        <f t="shared" si="662"/>
        <v>0</v>
      </c>
      <c r="AJ469" s="781">
        <f t="shared" si="663"/>
        <v>0</v>
      </c>
      <c r="AK469" s="781">
        <f t="shared" si="664"/>
        <v>0</v>
      </c>
      <c r="AL469" s="781">
        <f t="shared" si="665"/>
        <v>0</v>
      </c>
      <c r="AM469" s="781">
        <f t="shared" si="666"/>
        <v>0</v>
      </c>
      <c r="AN469" s="781">
        <f t="shared" si="667"/>
        <v>0</v>
      </c>
      <c r="AO469" s="781">
        <f t="shared" si="668"/>
        <v>0</v>
      </c>
      <c r="AP469" s="781">
        <f t="shared" si="669"/>
        <v>0</v>
      </c>
      <c r="AQ469" s="781">
        <f t="shared" si="670"/>
        <v>0</v>
      </c>
      <c r="AR469" s="781">
        <f t="shared" si="671"/>
        <v>0</v>
      </c>
      <c r="AS469" s="783">
        <f t="shared" si="672"/>
        <v>0</v>
      </c>
    </row>
    <row r="470" spans="1:65" ht="15.75" hidden="1" outlineLevel="1" thickBot="1" x14ac:dyDescent="0.3">
      <c r="A470" s="784"/>
      <c r="B470" s="904">
        <f t="shared" si="608"/>
        <v>452</v>
      </c>
      <c r="C470" s="170" t="str">
        <f t="shared" si="561"/>
        <v>81EA</v>
      </c>
      <c r="D470" s="557"/>
      <c r="E470" s="170"/>
      <c r="F470" s="170">
        <v>81</v>
      </c>
      <c r="G470" s="2511" t="s">
        <v>1799</v>
      </c>
      <c r="H470" s="2039"/>
      <c r="I470" s="2008" t="s">
        <v>732</v>
      </c>
      <c r="J470" s="2039"/>
      <c r="K470" s="2039"/>
      <c r="L470" s="488"/>
      <c r="M470" s="2041">
        <v>2</v>
      </c>
      <c r="N470" s="2043">
        <v>1</v>
      </c>
      <c r="O470" s="1967">
        <f t="shared" si="396"/>
        <v>2</v>
      </c>
      <c r="P470" s="2076" t="s">
        <v>39</v>
      </c>
      <c r="Q470" s="2008" t="s">
        <v>39</v>
      </c>
      <c r="R470" s="2011" t="s">
        <v>74</v>
      </c>
      <c r="S470" s="912">
        <f>SUMIF('Data Input sheet'!$B$118:$B$180,R470,'Data Input sheet'!$D$118:$D$180)</f>
        <v>152</v>
      </c>
      <c r="T470" s="2686">
        <f t="shared" si="675"/>
        <v>304</v>
      </c>
      <c r="U470" s="2013">
        <v>14.8</v>
      </c>
      <c r="V470" s="1981">
        <f t="shared" si="399"/>
        <v>30</v>
      </c>
      <c r="W470" s="2046">
        <v>500</v>
      </c>
      <c r="X470" s="2502"/>
      <c r="Y470" s="2047">
        <v>0</v>
      </c>
      <c r="Z470" s="780">
        <f t="shared" si="398"/>
        <v>834</v>
      </c>
      <c r="AA470" s="2007"/>
      <c r="AB470" s="2007"/>
      <c r="AC470" s="765"/>
      <c r="AD470" s="781">
        <f t="shared" si="657"/>
        <v>0</v>
      </c>
      <c r="AE470" s="778">
        <f t="shared" si="658"/>
        <v>0</v>
      </c>
      <c r="AF470" s="781">
        <f t="shared" si="659"/>
        <v>0</v>
      </c>
      <c r="AG470" s="781">
        <f t="shared" si="660"/>
        <v>0</v>
      </c>
      <c r="AH470" s="781">
        <f t="shared" si="661"/>
        <v>0</v>
      </c>
      <c r="AI470" s="782">
        <f t="shared" si="662"/>
        <v>0</v>
      </c>
      <c r="AJ470" s="781">
        <f t="shared" si="663"/>
        <v>0</v>
      </c>
      <c r="AK470" s="781">
        <f t="shared" si="664"/>
        <v>0</v>
      </c>
      <c r="AL470" s="781">
        <f t="shared" si="665"/>
        <v>0</v>
      </c>
      <c r="AM470" s="781">
        <f t="shared" si="666"/>
        <v>0</v>
      </c>
      <c r="AN470" s="781">
        <f t="shared" si="667"/>
        <v>0</v>
      </c>
      <c r="AO470" s="781">
        <f t="shared" si="668"/>
        <v>0</v>
      </c>
      <c r="AP470" s="781">
        <f t="shared" si="669"/>
        <v>0</v>
      </c>
      <c r="AQ470" s="781">
        <f t="shared" si="670"/>
        <v>0</v>
      </c>
      <c r="AR470" s="781">
        <f t="shared" si="671"/>
        <v>0</v>
      </c>
      <c r="AS470" s="783">
        <f t="shared" si="672"/>
        <v>0</v>
      </c>
    </row>
    <row r="471" spans="1:65" ht="15.75" hidden="1" outlineLevel="1" thickBot="1" x14ac:dyDescent="0.3">
      <c r="A471" s="784"/>
      <c r="B471" s="904">
        <f t="shared" si="608"/>
        <v>453</v>
      </c>
      <c r="C471" s="170" t="str">
        <f t="shared" si="561"/>
        <v>81EA</v>
      </c>
      <c r="D471" s="557"/>
      <c r="E471" s="170"/>
      <c r="F471" s="170">
        <v>81</v>
      </c>
      <c r="G471" s="2511" t="s">
        <v>1800</v>
      </c>
      <c r="H471" s="2039"/>
      <c r="I471" s="2008" t="s">
        <v>732</v>
      </c>
      <c r="J471" s="2039"/>
      <c r="K471" s="2039"/>
      <c r="L471" s="488"/>
      <c r="M471" s="2041">
        <v>2</v>
      </c>
      <c r="N471" s="2043">
        <v>1</v>
      </c>
      <c r="O471" s="1967">
        <f t="shared" si="396"/>
        <v>2</v>
      </c>
      <c r="P471" s="2076" t="s">
        <v>39</v>
      </c>
      <c r="Q471" s="2008" t="s">
        <v>39</v>
      </c>
      <c r="R471" s="2011" t="s">
        <v>74</v>
      </c>
      <c r="S471" s="912">
        <f>SUMIF('Data Input sheet'!$B$118:$B$180,R471,'Data Input sheet'!$D$118:$D$180)</f>
        <v>152</v>
      </c>
      <c r="T471" s="2686">
        <f t="shared" si="675"/>
        <v>304</v>
      </c>
      <c r="U471" s="2013">
        <v>14.8</v>
      </c>
      <c r="V471" s="1981">
        <f t="shared" si="399"/>
        <v>30</v>
      </c>
      <c r="W471" s="2046">
        <v>800</v>
      </c>
      <c r="X471" s="2502"/>
      <c r="Y471" s="2047">
        <v>0</v>
      </c>
      <c r="Z471" s="780">
        <f t="shared" si="398"/>
        <v>1134</v>
      </c>
      <c r="AA471" s="2007"/>
      <c r="AB471" s="2007"/>
      <c r="AC471" s="765"/>
      <c r="AD471" s="781">
        <f t="shared" si="657"/>
        <v>0</v>
      </c>
      <c r="AE471" s="778">
        <f t="shared" si="658"/>
        <v>0</v>
      </c>
      <c r="AF471" s="781">
        <f t="shared" si="659"/>
        <v>0</v>
      </c>
      <c r="AG471" s="781">
        <f t="shared" si="660"/>
        <v>0</v>
      </c>
      <c r="AH471" s="781">
        <f t="shared" si="661"/>
        <v>0</v>
      </c>
      <c r="AI471" s="782">
        <f t="shared" si="662"/>
        <v>0</v>
      </c>
      <c r="AJ471" s="781">
        <f t="shared" si="663"/>
        <v>0</v>
      </c>
      <c r="AK471" s="781">
        <f t="shared" si="664"/>
        <v>0</v>
      </c>
      <c r="AL471" s="781">
        <f t="shared" si="665"/>
        <v>0</v>
      </c>
      <c r="AM471" s="781">
        <f t="shared" si="666"/>
        <v>0</v>
      </c>
      <c r="AN471" s="781">
        <f t="shared" si="667"/>
        <v>0</v>
      </c>
      <c r="AO471" s="781">
        <f t="shared" si="668"/>
        <v>0</v>
      </c>
      <c r="AP471" s="781">
        <f t="shared" si="669"/>
        <v>0</v>
      </c>
      <c r="AQ471" s="781">
        <f t="shared" si="670"/>
        <v>0</v>
      </c>
      <c r="AR471" s="781">
        <f t="shared" si="671"/>
        <v>0</v>
      </c>
      <c r="AS471" s="783">
        <f t="shared" si="672"/>
        <v>0</v>
      </c>
    </row>
    <row r="472" spans="1:65" ht="15.75" hidden="1" outlineLevel="1" thickBot="1" x14ac:dyDescent="0.3">
      <c r="A472" s="787"/>
      <c r="B472" s="904">
        <f t="shared" si="608"/>
        <v>454</v>
      </c>
      <c r="C472" s="170" t="str">
        <f t="shared" si="561"/>
        <v>81Set</v>
      </c>
      <c r="D472" s="906"/>
      <c r="E472" s="170"/>
      <c r="F472" s="170">
        <v>81</v>
      </c>
      <c r="G472" s="2007" t="s">
        <v>1872</v>
      </c>
      <c r="H472" s="1926">
        <v>0</v>
      </c>
      <c r="I472" s="2008" t="s">
        <v>847</v>
      </c>
      <c r="J472" s="1926"/>
      <c r="K472" s="1926"/>
      <c r="L472" s="488"/>
      <c r="M472" s="2009">
        <v>480</v>
      </c>
      <c r="N472" s="2010">
        <v>1</v>
      </c>
      <c r="O472" s="773">
        <f t="shared" si="396"/>
        <v>480</v>
      </c>
      <c r="P472" s="2076" t="s">
        <v>39</v>
      </c>
      <c r="Q472" s="2008" t="s">
        <v>39</v>
      </c>
      <c r="R472" s="2011" t="s">
        <v>74</v>
      </c>
      <c r="S472" s="912">
        <f>SUMIF('Data Input sheet'!$B$118:$B$180,R472,'Data Input sheet'!$D$118:$D$180)</f>
        <v>152</v>
      </c>
      <c r="T472" s="2685">
        <f t="shared" si="673"/>
        <v>72960</v>
      </c>
      <c r="U472" s="2013">
        <v>14</v>
      </c>
      <c r="V472" s="778">
        <f t="shared" si="399"/>
        <v>6720</v>
      </c>
      <c r="W472" s="2010">
        <v>27040</v>
      </c>
      <c r="X472" s="779"/>
      <c r="Y472" s="2012"/>
      <c r="Z472" s="780">
        <f t="shared" si="398"/>
        <v>106720</v>
      </c>
      <c r="AA472" s="2007"/>
      <c r="AB472" s="2007"/>
      <c r="AC472" s="765"/>
      <c r="AD472" s="781">
        <f t="shared" si="657"/>
        <v>0</v>
      </c>
      <c r="AE472" s="778">
        <f t="shared" si="658"/>
        <v>0</v>
      </c>
      <c r="AF472" s="781">
        <f t="shared" si="659"/>
        <v>0</v>
      </c>
      <c r="AG472" s="781">
        <f t="shared" si="660"/>
        <v>0</v>
      </c>
      <c r="AH472" s="781">
        <f t="shared" si="661"/>
        <v>0</v>
      </c>
      <c r="AI472" s="782">
        <f t="shared" si="662"/>
        <v>0</v>
      </c>
      <c r="AJ472" s="781">
        <f t="shared" si="663"/>
        <v>0</v>
      </c>
      <c r="AK472" s="781">
        <f t="shared" si="664"/>
        <v>0</v>
      </c>
      <c r="AL472" s="781">
        <f t="shared" si="665"/>
        <v>0</v>
      </c>
      <c r="AM472" s="781">
        <f t="shared" si="666"/>
        <v>0</v>
      </c>
      <c r="AN472" s="781">
        <f t="shared" si="667"/>
        <v>0</v>
      </c>
      <c r="AO472" s="781">
        <f t="shared" si="668"/>
        <v>0</v>
      </c>
      <c r="AP472" s="781">
        <f t="shared" si="669"/>
        <v>0</v>
      </c>
      <c r="AQ472" s="781">
        <f t="shared" si="670"/>
        <v>0</v>
      </c>
      <c r="AR472" s="781">
        <f t="shared" si="671"/>
        <v>0</v>
      </c>
      <c r="AS472" s="783">
        <f t="shared" si="672"/>
        <v>0</v>
      </c>
      <c r="AT472" s="917"/>
      <c r="AV472" s="721"/>
      <c r="AW472" s="832"/>
      <c r="AX472" s="2481" t="s">
        <v>3027</v>
      </c>
      <c r="AY472" s="2482"/>
      <c r="BM472" s="2010">
        <v>27040</v>
      </c>
    </row>
    <row r="473" spans="1:65" ht="15.75" hidden="1" outlineLevel="1" thickBot="1" x14ac:dyDescent="0.3">
      <c r="A473" s="784"/>
      <c r="B473" s="904">
        <f t="shared" si="608"/>
        <v>455</v>
      </c>
      <c r="C473" s="170" t="str">
        <f t="shared" si="561"/>
        <v>89EA</v>
      </c>
      <c r="D473" s="557"/>
      <c r="E473" s="170"/>
      <c r="F473" s="170">
        <v>89</v>
      </c>
      <c r="G473" s="2511" t="s">
        <v>3324</v>
      </c>
      <c r="H473" s="2039"/>
      <c r="I473" s="2008" t="s">
        <v>732</v>
      </c>
      <c r="J473" s="2039"/>
      <c r="K473" s="2039"/>
      <c r="L473" s="488"/>
      <c r="M473" s="2041">
        <v>150</v>
      </c>
      <c r="N473" s="2043">
        <v>1</v>
      </c>
      <c r="O473" s="1967">
        <f t="shared" si="396"/>
        <v>150</v>
      </c>
      <c r="P473" s="2076" t="s">
        <v>39</v>
      </c>
      <c r="Q473" s="2008" t="s">
        <v>39</v>
      </c>
      <c r="R473" s="2011" t="s">
        <v>74</v>
      </c>
      <c r="S473" s="912">
        <f>SUMIF('Data Input sheet'!$B$118:$B$180,R473,'Data Input sheet'!$D$118:$D$180)</f>
        <v>152</v>
      </c>
      <c r="T473" s="2686">
        <f t="shared" ref="T473" si="676">ROUND(O473*S473,0)</f>
        <v>22800</v>
      </c>
      <c r="U473" s="2042">
        <v>14.8</v>
      </c>
      <c r="V473" s="1981">
        <f t="shared" ref="V473" si="677">ROUND(U473*O473,0)</f>
        <v>2220</v>
      </c>
      <c r="W473" s="2046">
        <v>4537.5</v>
      </c>
      <c r="X473" s="2502"/>
      <c r="Y473" s="2047">
        <v>0</v>
      </c>
      <c r="Z473" s="780">
        <f t="shared" si="398"/>
        <v>29557.5</v>
      </c>
      <c r="AA473" s="2007"/>
      <c r="AB473" s="2007"/>
      <c r="AC473" s="765"/>
      <c r="AD473" s="781">
        <f t="shared" si="657"/>
        <v>0</v>
      </c>
      <c r="AE473" s="778">
        <f t="shared" si="658"/>
        <v>0</v>
      </c>
      <c r="AF473" s="781">
        <f t="shared" si="659"/>
        <v>0</v>
      </c>
      <c r="AG473" s="781">
        <f t="shared" si="660"/>
        <v>0</v>
      </c>
      <c r="AH473" s="781">
        <f t="shared" si="661"/>
        <v>0</v>
      </c>
      <c r="AI473" s="782">
        <f t="shared" si="662"/>
        <v>0</v>
      </c>
      <c r="AJ473" s="781">
        <f t="shared" si="663"/>
        <v>0</v>
      </c>
      <c r="AK473" s="781">
        <f t="shared" si="664"/>
        <v>0</v>
      </c>
      <c r="AL473" s="781">
        <f t="shared" si="665"/>
        <v>0</v>
      </c>
      <c r="AM473" s="781">
        <f t="shared" si="666"/>
        <v>0</v>
      </c>
      <c r="AN473" s="781">
        <f t="shared" si="667"/>
        <v>0</v>
      </c>
      <c r="AO473" s="781">
        <f t="shared" si="668"/>
        <v>0</v>
      </c>
      <c r="AP473" s="781">
        <f t="shared" si="669"/>
        <v>0</v>
      </c>
      <c r="AQ473" s="781">
        <f t="shared" si="670"/>
        <v>0</v>
      </c>
      <c r="AR473" s="781">
        <f t="shared" si="671"/>
        <v>0</v>
      </c>
      <c r="AS473" s="783">
        <f t="shared" si="672"/>
        <v>0</v>
      </c>
      <c r="AX473" t="s">
        <v>3322</v>
      </c>
    </row>
    <row r="474" spans="1:65" ht="15.75" hidden="1" outlineLevel="1" thickBot="1" x14ac:dyDescent="0.3">
      <c r="A474" s="784"/>
      <c r="B474" s="904">
        <f t="shared" si="608"/>
        <v>456</v>
      </c>
      <c r="C474" s="170" t="str">
        <f t="shared" ref="C474:C537" si="678">+F474&amp;I474</f>
        <v/>
      </c>
      <c r="D474" s="557"/>
      <c r="E474" s="170"/>
      <c r="F474" s="170"/>
      <c r="G474" s="2491" t="s">
        <v>1801</v>
      </c>
      <c r="H474" s="2640"/>
      <c r="I474" s="2008"/>
      <c r="J474" s="2039"/>
      <c r="K474" s="2039"/>
      <c r="L474" s="488"/>
      <c r="M474" s="2041">
        <v>0</v>
      </c>
      <c r="N474" s="2043"/>
      <c r="O474" s="2499">
        <f t="shared" si="396"/>
        <v>0</v>
      </c>
      <c r="P474" s="2076"/>
      <c r="Q474" s="2008"/>
      <c r="R474" s="2011"/>
      <c r="S474" s="912">
        <f>SUMIF('Data Input sheet'!$B$118:$B$180,R474,'Data Input sheet'!$D$118:$D$180)</f>
        <v>0</v>
      </c>
      <c r="T474" s="2686">
        <f t="shared" ref="T474:T498" si="679">ROUND(O474*S474,0)</f>
        <v>0</v>
      </c>
      <c r="U474" s="2013">
        <v>0</v>
      </c>
      <c r="V474" s="2501">
        <f t="shared" ref="V474:V498" si="680">ROUND(U474*O474,0)</f>
        <v>0</v>
      </c>
      <c r="W474" s="2046"/>
      <c r="X474" s="2502"/>
      <c r="Y474" s="2047">
        <v>0</v>
      </c>
      <c r="Z474" s="2500">
        <f t="shared" si="398"/>
        <v>0</v>
      </c>
      <c r="AA474" s="2007"/>
      <c r="AB474" s="2007"/>
      <c r="AC474" s="765"/>
      <c r="AD474" s="781">
        <f t="shared" si="657"/>
        <v>0</v>
      </c>
      <c r="AE474" s="778">
        <f t="shared" si="658"/>
        <v>0</v>
      </c>
      <c r="AF474" s="781">
        <f t="shared" si="659"/>
        <v>0</v>
      </c>
      <c r="AG474" s="781">
        <f t="shared" si="660"/>
        <v>0</v>
      </c>
      <c r="AH474" s="781">
        <f t="shared" si="661"/>
        <v>0</v>
      </c>
      <c r="AI474" s="782">
        <f t="shared" si="662"/>
        <v>0</v>
      </c>
      <c r="AJ474" s="781">
        <f t="shared" si="663"/>
        <v>0</v>
      </c>
      <c r="AK474" s="781">
        <f t="shared" si="664"/>
        <v>0</v>
      </c>
      <c r="AL474" s="781">
        <f t="shared" si="665"/>
        <v>0</v>
      </c>
      <c r="AM474" s="781">
        <f t="shared" si="666"/>
        <v>0</v>
      </c>
      <c r="AN474" s="781">
        <f t="shared" si="667"/>
        <v>0</v>
      </c>
      <c r="AO474" s="781">
        <f t="shared" si="668"/>
        <v>0</v>
      </c>
      <c r="AP474" s="781">
        <f t="shared" si="669"/>
        <v>0</v>
      </c>
      <c r="AQ474" s="781">
        <f t="shared" si="670"/>
        <v>0</v>
      </c>
      <c r="AR474" s="781">
        <f t="shared" si="671"/>
        <v>0</v>
      </c>
      <c r="AS474" s="783">
        <f t="shared" si="672"/>
        <v>0</v>
      </c>
    </row>
    <row r="475" spans="1:65" ht="15.75" hidden="1" outlineLevel="1" thickBot="1" x14ac:dyDescent="0.3">
      <c r="A475" s="784"/>
      <c r="B475" s="904">
        <f t="shared" si="608"/>
        <v>457</v>
      </c>
      <c r="C475" s="170" t="str">
        <f t="shared" si="678"/>
        <v>84EA</v>
      </c>
      <c r="D475" s="557"/>
      <c r="E475" s="170"/>
      <c r="F475" s="170">
        <v>84</v>
      </c>
      <c r="G475" s="2513" t="s">
        <v>1802</v>
      </c>
      <c r="H475" s="2039"/>
      <c r="I475" s="2008" t="s">
        <v>732</v>
      </c>
      <c r="J475" s="2039"/>
      <c r="K475" s="2039"/>
      <c r="L475" s="488"/>
      <c r="M475" s="2041">
        <v>120</v>
      </c>
      <c r="N475" s="2043">
        <v>1</v>
      </c>
      <c r="O475" s="1967">
        <f t="shared" si="396"/>
        <v>120</v>
      </c>
      <c r="P475" s="2076" t="s">
        <v>39</v>
      </c>
      <c r="Q475" s="2008" t="s">
        <v>39</v>
      </c>
      <c r="R475" s="2011" t="s">
        <v>74</v>
      </c>
      <c r="S475" s="912">
        <f>SUMIF('Data Input sheet'!$B$118:$B$180,R475,'Data Input sheet'!$D$118:$D$180)</f>
        <v>152</v>
      </c>
      <c r="T475" s="2686">
        <f t="shared" si="679"/>
        <v>18240</v>
      </c>
      <c r="U475" s="2013">
        <v>14.8</v>
      </c>
      <c r="V475" s="1981">
        <f t="shared" si="680"/>
        <v>1776</v>
      </c>
      <c r="W475" s="2046">
        <v>30000</v>
      </c>
      <c r="X475" s="2502"/>
      <c r="Y475" s="2047">
        <v>0</v>
      </c>
      <c r="Z475" s="780">
        <f t="shared" si="398"/>
        <v>50016</v>
      </c>
      <c r="AA475" s="2007"/>
      <c r="AB475" s="2007"/>
      <c r="AC475" s="765"/>
      <c r="AD475" s="781">
        <f t="shared" si="657"/>
        <v>0</v>
      </c>
      <c r="AE475" s="778">
        <f t="shared" si="658"/>
        <v>0</v>
      </c>
      <c r="AF475" s="781">
        <f t="shared" si="659"/>
        <v>0</v>
      </c>
      <c r="AG475" s="781">
        <f t="shared" si="660"/>
        <v>0</v>
      </c>
      <c r="AH475" s="781">
        <f t="shared" si="661"/>
        <v>0</v>
      </c>
      <c r="AI475" s="782">
        <f t="shared" si="662"/>
        <v>0</v>
      </c>
      <c r="AJ475" s="781">
        <f t="shared" si="663"/>
        <v>0</v>
      </c>
      <c r="AK475" s="781">
        <f t="shared" si="664"/>
        <v>0</v>
      </c>
      <c r="AL475" s="781">
        <f t="shared" si="665"/>
        <v>0</v>
      </c>
      <c r="AM475" s="781">
        <f t="shared" si="666"/>
        <v>0</v>
      </c>
      <c r="AN475" s="781">
        <f t="shared" si="667"/>
        <v>0</v>
      </c>
      <c r="AO475" s="781">
        <f t="shared" si="668"/>
        <v>0</v>
      </c>
      <c r="AP475" s="781">
        <f t="shared" si="669"/>
        <v>0</v>
      </c>
      <c r="AQ475" s="781">
        <f t="shared" si="670"/>
        <v>0</v>
      </c>
      <c r="AR475" s="781">
        <f t="shared" si="671"/>
        <v>0</v>
      </c>
      <c r="AS475" s="783">
        <f t="shared" si="672"/>
        <v>0</v>
      </c>
      <c r="AX475" t="s">
        <v>3323</v>
      </c>
    </row>
    <row r="476" spans="1:65" ht="15.75" hidden="1" outlineLevel="1" thickBot="1" x14ac:dyDescent="0.3">
      <c r="A476" s="784"/>
      <c r="B476" s="904">
        <f t="shared" si="608"/>
        <v>458</v>
      </c>
      <c r="C476" s="170" t="str">
        <f t="shared" si="678"/>
        <v>84EA</v>
      </c>
      <c r="D476" s="557"/>
      <c r="E476" s="170"/>
      <c r="F476" s="170">
        <v>84</v>
      </c>
      <c r="G476" s="2511" t="s">
        <v>1803</v>
      </c>
      <c r="H476" s="2039"/>
      <c r="I476" s="2008" t="s">
        <v>732</v>
      </c>
      <c r="J476" s="2039"/>
      <c r="K476" s="2039"/>
      <c r="L476" s="488"/>
      <c r="M476" s="2041">
        <v>0</v>
      </c>
      <c r="N476" s="2043">
        <v>1</v>
      </c>
      <c r="O476" s="1967">
        <f t="shared" si="396"/>
        <v>0</v>
      </c>
      <c r="P476" s="2076" t="s">
        <v>39</v>
      </c>
      <c r="Q476" s="2008" t="s">
        <v>39</v>
      </c>
      <c r="R476" s="2011" t="s">
        <v>74</v>
      </c>
      <c r="S476" s="912">
        <f>SUMIF('Data Input sheet'!$B$118:$B$180,R476,'Data Input sheet'!$D$118:$D$180)</f>
        <v>152</v>
      </c>
      <c r="T476" s="2686">
        <f t="shared" si="679"/>
        <v>0</v>
      </c>
      <c r="U476" s="2013">
        <v>14.8</v>
      </c>
      <c r="V476" s="1981">
        <f t="shared" si="680"/>
        <v>0</v>
      </c>
      <c r="W476" s="2046">
        <v>21600</v>
      </c>
      <c r="X476" s="2502"/>
      <c r="Y476" s="2047">
        <v>0</v>
      </c>
      <c r="Z476" s="780">
        <f t="shared" si="398"/>
        <v>21600</v>
      </c>
      <c r="AA476" s="2007"/>
      <c r="AB476" s="2007"/>
      <c r="AC476" s="765"/>
      <c r="AD476" s="781">
        <f t="shared" si="657"/>
        <v>0</v>
      </c>
      <c r="AE476" s="778">
        <f t="shared" si="658"/>
        <v>0</v>
      </c>
      <c r="AF476" s="781">
        <f t="shared" si="659"/>
        <v>0</v>
      </c>
      <c r="AG476" s="781">
        <f t="shared" si="660"/>
        <v>0</v>
      </c>
      <c r="AH476" s="781">
        <f t="shared" si="661"/>
        <v>0</v>
      </c>
      <c r="AI476" s="782">
        <f t="shared" si="662"/>
        <v>0</v>
      </c>
      <c r="AJ476" s="781">
        <f t="shared" si="663"/>
        <v>0</v>
      </c>
      <c r="AK476" s="781">
        <f t="shared" si="664"/>
        <v>0</v>
      </c>
      <c r="AL476" s="781">
        <f t="shared" si="665"/>
        <v>0</v>
      </c>
      <c r="AM476" s="781">
        <f t="shared" si="666"/>
        <v>0</v>
      </c>
      <c r="AN476" s="781">
        <f t="shared" si="667"/>
        <v>0</v>
      </c>
      <c r="AO476" s="781">
        <f t="shared" si="668"/>
        <v>0</v>
      </c>
      <c r="AP476" s="781">
        <f t="shared" si="669"/>
        <v>0</v>
      </c>
      <c r="AQ476" s="781">
        <f t="shared" si="670"/>
        <v>0</v>
      </c>
      <c r="AR476" s="781">
        <f t="shared" si="671"/>
        <v>0</v>
      </c>
      <c r="AS476" s="783">
        <f t="shared" si="672"/>
        <v>0</v>
      </c>
    </row>
    <row r="477" spans="1:65" ht="15.75" hidden="1" outlineLevel="1" thickBot="1" x14ac:dyDescent="0.3">
      <c r="A477" s="784"/>
      <c r="B477" s="904">
        <f t="shared" si="608"/>
        <v>459</v>
      </c>
      <c r="C477" s="170" t="str">
        <f t="shared" si="678"/>
        <v>84EA</v>
      </c>
      <c r="D477" s="557"/>
      <c r="E477" s="170"/>
      <c r="F477" s="170">
        <v>84</v>
      </c>
      <c r="G477" s="2511" t="s">
        <v>1804</v>
      </c>
      <c r="H477" s="2039"/>
      <c r="I477" s="2008" t="s">
        <v>732</v>
      </c>
      <c r="J477" s="2039"/>
      <c r="K477" s="2039"/>
      <c r="L477" s="488"/>
      <c r="M477" s="2041">
        <v>0</v>
      </c>
      <c r="N477" s="2043">
        <v>1</v>
      </c>
      <c r="O477" s="1967">
        <f t="shared" si="396"/>
        <v>0</v>
      </c>
      <c r="P477" s="2076" t="s">
        <v>39</v>
      </c>
      <c r="Q477" s="2008" t="s">
        <v>39</v>
      </c>
      <c r="R477" s="2011" t="s">
        <v>74</v>
      </c>
      <c r="S477" s="912">
        <f>SUMIF('Data Input sheet'!$B$118:$B$180,R477,'Data Input sheet'!$D$118:$D$180)</f>
        <v>152</v>
      </c>
      <c r="T477" s="2686">
        <f t="shared" si="679"/>
        <v>0</v>
      </c>
      <c r="U477" s="2013">
        <v>14.8</v>
      </c>
      <c r="V477" s="1981">
        <f t="shared" si="680"/>
        <v>0</v>
      </c>
      <c r="W477" s="2046">
        <v>33000</v>
      </c>
      <c r="X477" s="2502"/>
      <c r="Y477" s="2047">
        <v>0</v>
      </c>
      <c r="Z477" s="780">
        <f t="shared" si="398"/>
        <v>33000</v>
      </c>
      <c r="AA477" s="2007"/>
      <c r="AB477" s="2007"/>
      <c r="AC477" s="765"/>
      <c r="AD477" s="781">
        <f t="shared" si="657"/>
        <v>0</v>
      </c>
      <c r="AE477" s="778">
        <f t="shared" si="658"/>
        <v>0</v>
      </c>
      <c r="AF477" s="781">
        <f t="shared" si="659"/>
        <v>0</v>
      </c>
      <c r="AG477" s="781">
        <f t="shared" si="660"/>
        <v>0</v>
      </c>
      <c r="AH477" s="781">
        <f t="shared" si="661"/>
        <v>0</v>
      </c>
      <c r="AI477" s="782">
        <f t="shared" si="662"/>
        <v>0</v>
      </c>
      <c r="AJ477" s="781">
        <f t="shared" si="663"/>
        <v>0</v>
      </c>
      <c r="AK477" s="781">
        <f t="shared" si="664"/>
        <v>0</v>
      </c>
      <c r="AL477" s="781">
        <f t="shared" si="665"/>
        <v>0</v>
      </c>
      <c r="AM477" s="781">
        <f t="shared" si="666"/>
        <v>0</v>
      </c>
      <c r="AN477" s="781">
        <f t="shared" si="667"/>
        <v>0</v>
      </c>
      <c r="AO477" s="781">
        <f t="shared" si="668"/>
        <v>0</v>
      </c>
      <c r="AP477" s="781">
        <f t="shared" si="669"/>
        <v>0</v>
      </c>
      <c r="AQ477" s="781">
        <f t="shared" si="670"/>
        <v>0</v>
      </c>
      <c r="AR477" s="781">
        <f t="shared" si="671"/>
        <v>0</v>
      </c>
      <c r="AS477" s="783">
        <f t="shared" si="672"/>
        <v>0</v>
      </c>
    </row>
    <row r="478" spans="1:65" ht="15.75" hidden="1" outlineLevel="1" thickBot="1" x14ac:dyDescent="0.3">
      <c r="A478" s="784"/>
      <c r="B478" s="904">
        <f t="shared" si="608"/>
        <v>460</v>
      </c>
      <c r="C478" s="170" t="str">
        <f t="shared" si="678"/>
        <v>84EA</v>
      </c>
      <c r="D478" s="557"/>
      <c r="E478" s="170"/>
      <c r="F478" s="170">
        <v>84</v>
      </c>
      <c r="G478" s="2511" t="s">
        <v>1805</v>
      </c>
      <c r="H478" s="2039"/>
      <c r="I478" s="2008" t="s">
        <v>732</v>
      </c>
      <c r="J478" s="2039"/>
      <c r="K478" s="2039"/>
      <c r="L478" s="488"/>
      <c r="M478" s="2039">
        <v>0</v>
      </c>
      <c r="N478" s="2043">
        <v>1</v>
      </c>
      <c r="O478" s="1967">
        <f t="shared" si="396"/>
        <v>0</v>
      </c>
      <c r="P478" s="2076" t="s">
        <v>39</v>
      </c>
      <c r="Q478" s="2008" t="s">
        <v>39</v>
      </c>
      <c r="R478" s="2011" t="s">
        <v>74</v>
      </c>
      <c r="S478" s="912">
        <f>SUMIF('Data Input sheet'!$B$118:$B$180,R478,'Data Input sheet'!$D$118:$D$180)</f>
        <v>152</v>
      </c>
      <c r="T478" s="2686">
        <f t="shared" si="679"/>
        <v>0</v>
      </c>
      <c r="U478" s="2013">
        <v>14.8</v>
      </c>
      <c r="V478" s="1981">
        <f t="shared" si="680"/>
        <v>0</v>
      </c>
      <c r="W478" s="2046">
        <v>2100</v>
      </c>
      <c r="X478" s="2502"/>
      <c r="Y478" s="2047">
        <v>0</v>
      </c>
      <c r="Z478" s="780">
        <f t="shared" si="398"/>
        <v>2100</v>
      </c>
      <c r="AA478" s="2007"/>
      <c r="AB478" s="2007"/>
      <c r="AC478" s="765"/>
      <c r="AD478" s="781">
        <f t="shared" si="657"/>
        <v>0</v>
      </c>
      <c r="AE478" s="778">
        <f t="shared" si="658"/>
        <v>0</v>
      </c>
      <c r="AF478" s="781">
        <f t="shared" si="659"/>
        <v>0</v>
      </c>
      <c r="AG478" s="781">
        <f t="shared" si="660"/>
        <v>0</v>
      </c>
      <c r="AH478" s="781">
        <f t="shared" si="661"/>
        <v>0</v>
      </c>
      <c r="AI478" s="782">
        <f t="shared" si="662"/>
        <v>0</v>
      </c>
      <c r="AJ478" s="781">
        <f t="shared" si="663"/>
        <v>0</v>
      </c>
      <c r="AK478" s="781">
        <f t="shared" si="664"/>
        <v>0</v>
      </c>
      <c r="AL478" s="781">
        <f t="shared" si="665"/>
        <v>0</v>
      </c>
      <c r="AM478" s="781">
        <f t="shared" si="666"/>
        <v>0</v>
      </c>
      <c r="AN478" s="781">
        <f t="shared" si="667"/>
        <v>0</v>
      </c>
      <c r="AO478" s="781">
        <f t="shared" si="668"/>
        <v>0</v>
      </c>
      <c r="AP478" s="781">
        <f t="shared" si="669"/>
        <v>0</v>
      </c>
      <c r="AQ478" s="781">
        <f t="shared" si="670"/>
        <v>0</v>
      </c>
      <c r="AR478" s="781">
        <f t="shared" si="671"/>
        <v>0</v>
      </c>
      <c r="AS478" s="783">
        <f t="shared" si="672"/>
        <v>0</v>
      </c>
    </row>
    <row r="479" spans="1:65" ht="15.75" hidden="1" outlineLevel="1" thickBot="1" x14ac:dyDescent="0.3">
      <c r="A479" s="784"/>
      <c r="B479" s="904">
        <f t="shared" si="608"/>
        <v>461</v>
      </c>
      <c r="C479" s="170" t="str">
        <f t="shared" si="678"/>
        <v>84EA</v>
      </c>
      <c r="D479" s="557"/>
      <c r="E479" s="170"/>
      <c r="F479" s="170">
        <v>84</v>
      </c>
      <c r="G479" s="2511" t="s">
        <v>1806</v>
      </c>
      <c r="H479" s="2039"/>
      <c r="I479" s="2008" t="s">
        <v>732</v>
      </c>
      <c r="J479" s="2039"/>
      <c r="K479" s="2039"/>
      <c r="L479" s="488"/>
      <c r="M479" s="2039">
        <v>0</v>
      </c>
      <c r="N479" s="2043">
        <v>1</v>
      </c>
      <c r="O479" s="1967">
        <f t="shared" si="396"/>
        <v>0</v>
      </c>
      <c r="P479" s="2076" t="s">
        <v>39</v>
      </c>
      <c r="Q479" s="2008" t="s">
        <v>39</v>
      </c>
      <c r="R479" s="2011" t="s">
        <v>74</v>
      </c>
      <c r="S479" s="912">
        <f>SUMIF('Data Input sheet'!$B$118:$B$180,R479,'Data Input sheet'!$D$118:$D$180)</f>
        <v>152</v>
      </c>
      <c r="T479" s="2686">
        <f t="shared" si="679"/>
        <v>0</v>
      </c>
      <c r="U479" s="2013">
        <v>14.8</v>
      </c>
      <c r="V479" s="1981">
        <f t="shared" si="680"/>
        <v>0</v>
      </c>
      <c r="W479" s="2046">
        <v>3600</v>
      </c>
      <c r="X479" s="2502"/>
      <c r="Y479" s="2047">
        <v>0</v>
      </c>
      <c r="Z479" s="780">
        <f t="shared" si="398"/>
        <v>3600</v>
      </c>
      <c r="AA479" s="2007"/>
      <c r="AB479" s="2007"/>
      <c r="AC479" s="765"/>
      <c r="AD479" s="781">
        <f t="shared" si="657"/>
        <v>0</v>
      </c>
      <c r="AE479" s="778">
        <f t="shared" si="658"/>
        <v>0</v>
      </c>
      <c r="AF479" s="781">
        <f t="shared" si="659"/>
        <v>0</v>
      </c>
      <c r="AG479" s="781">
        <f t="shared" si="660"/>
        <v>0</v>
      </c>
      <c r="AH479" s="781">
        <f t="shared" si="661"/>
        <v>0</v>
      </c>
      <c r="AI479" s="782">
        <f t="shared" si="662"/>
        <v>0</v>
      </c>
      <c r="AJ479" s="781">
        <f t="shared" si="663"/>
        <v>0</v>
      </c>
      <c r="AK479" s="781">
        <f t="shared" si="664"/>
        <v>0</v>
      </c>
      <c r="AL479" s="781">
        <f t="shared" si="665"/>
        <v>0</v>
      </c>
      <c r="AM479" s="781">
        <f t="shared" si="666"/>
        <v>0</v>
      </c>
      <c r="AN479" s="781">
        <f t="shared" si="667"/>
        <v>0</v>
      </c>
      <c r="AO479" s="781">
        <f t="shared" si="668"/>
        <v>0</v>
      </c>
      <c r="AP479" s="781">
        <f t="shared" si="669"/>
        <v>0</v>
      </c>
      <c r="AQ479" s="781">
        <f t="shared" si="670"/>
        <v>0</v>
      </c>
      <c r="AR479" s="781">
        <f t="shared" si="671"/>
        <v>0</v>
      </c>
      <c r="AS479" s="783">
        <f t="shared" si="672"/>
        <v>0</v>
      </c>
    </row>
    <row r="480" spans="1:65" ht="15.75" hidden="1" outlineLevel="1" thickBot="1" x14ac:dyDescent="0.3">
      <c r="A480" s="784"/>
      <c r="B480" s="904">
        <f t="shared" si="608"/>
        <v>462</v>
      </c>
      <c r="C480" s="170" t="str">
        <f t="shared" si="678"/>
        <v>84EA</v>
      </c>
      <c r="D480" s="557"/>
      <c r="E480" s="170"/>
      <c r="F480" s="170">
        <v>84</v>
      </c>
      <c r="G480" s="2639" t="s">
        <v>1807</v>
      </c>
      <c r="H480" s="2039"/>
      <c r="I480" s="2008" t="s">
        <v>732</v>
      </c>
      <c r="J480" s="2039"/>
      <c r="K480" s="2039"/>
      <c r="L480" s="488"/>
      <c r="M480" s="2039">
        <v>0</v>
      </c>
      <c r="N480" s="2043">
        <v>1</v>
      </c>
      <c r="O480" s="1967">
        <f t="shared" si="396"/>
        <v>0</v>
      </c>
      <c r="P480" s="2076" t="s">
        <v>39</v>
      </c>
      <c r="Q480" s="2008" t="s">
        <v>39</v>
      </c>
      <c r="R480" s="2011" t="s">
        <v>74</v>
      </c>
      <c r="S480" s="912">
        <f>SUMIF('Data Input sheet'!$B$118:$B$180,R480,'Data Input sheet'!$D$118:$D$180)</f>
        <v>152</v>
      </c>
      <c r="T480" s="2686">
        <f t="shared" si="679"/>
        <v>0</v>
      </c>
      <c r="U480" s="2013">
        <v>14.8</v>
      </c>
      <c r="V480" s="1981">
        <f t="shared" si="680"/>
        <v>0</v>
      </c>
      <c r="W480" s="2046">
        <v>3000</v>
      </c>
      <c r="X480" s="2502"/>
      <c r="Y480" s="2047">
        <v>0</v>
      </c>
      <c r="Z480" s="780">
        <f t="shared" si="398"/>
        <v>3000</v>
      </c>
      <c r="AA480" s="2007"/>
      <c r="AB480" s="2007"/>
      <c r="AC480" s="765"/>
      <c r="AD480" s="781">
        <f t="shared" si="657"/>
        <v>0</v>
      </c>
      <c r="AE480" s="778">
        <f t="shared" si="658"/>
        <v>0</v>
      </c>
      <c r="AF480" s="781">
        <f t="shared" si="659"/>
        <v>0</v>
      </c>
      <c r="AG480" s="781">
        <f t="shared" si="660"/>
        <v>0</v>
      </c>
      <c r="AH480" s="781">
        <f t="shared" si="661"/>
        <v>0</v>
      </c>
      <c r="AI480" s="782">
        <f t="shared" si="662"/>
        <v>0</v>
      </c>
      <c r="AJ480" s="781">
        <f t="shared" si="663"/>
        <v>0</v>
      </c>
      <c r="AK480" s="781">
        <f t="shared" si="664"/>
        <v>0</v>
      </c>
      <c r="AL480" s="781">
        <f t="shared" si="665"/>
        <v>0</v>
      </c>
      <c r="AM480" s="781">
        <f t="shared" si="666"/>
        <v>0</v>
      </c>
      <c r="AN480" s="781">
        <f t="shared" si="667"/>
        <v>0</v>
      </c>
      <c r="AO480" s="781">
        <f t="shared" si="668"/>
        <v>0</v>
      </c>
      <c r="AP480" s="781">
        <f t="shared" si="669"/>
        <v>0</v>
      </c>
      <c r="AQ480" s="781">
        <f t="shared" si="670"/>
        <v>0</v>
      </c>
      <c r="AR480" s="781">
        <f t="shared" si="671"/>
        <v>0</v>
      </c>
      <c r="AS480" s="783">
        <f t="shared" si="672"/>
        <v>0</v>
      </c>
    </row>
    <row r="481" spans="1:65" ht="15.75" hidden="1" outlineLevel="1" thickBot="1" x14ac:dyDescent="0.3">
      <c r="A481" s="784"/>
      <c r="B481" s="904">
        <f t="shared" si="608"/>
        <v>463</v>
      </c>
      <c r="C481" s="170" t="str">
        <f t="shared" si="678"/>
        <v>84EA</v>
      </c>
      <c r="D481" s="557"/>
      <c r="E481" s="170"/>
      <c r="F481" s="170">
        <v>84</v>
      </c>
      <c r="G481" s="2514" t="s">
        <v>1808</v>
      </c>
      <c r="H481" s="2039"/>
      <c r="I481" s="2008" t="s">
        <v>732</v>
      </c>
      <c r="J481" s="2039"/>
      <c r="K481" s="2039"/>
      <c r="L481" s="488"/>
      <c r="M481" s="2039">
        <v>0</v>
      </c>
      <c r="N481" s="2043">
        <v>1</v>
      </c>
      <c r="O481" s="1967">
        <f t="shared" si="396"/>
        <v>0</v>
      </c>
      <c r="P481" s="2076" t="s">
        <v>39</v>
      </c>
      <c r="Q481" s="2008" t="s">
        <v>39</v>
      </c>
      <c r="R481" s="2011" t="s">
        <v>74</v>
      </c>
      <c r="S481" s="912">
        <f>SUMIF('Data Input sheet'!$B$118:$B$180,R481,'Data Input sheet'!$D$118:$D$180)</f>
        <v>152</v>
      </c>
      <c r="T481" s="2686">
        <f t="shared" si="679"/>
        <v>0</v>
      </c>
      <c r="U481" s="2013">
        <v>14.8</v>
      </c>
      <c r="V481" s="1981">
        <f t="shared" si="680"/>
        <v>0</v>
      </c>
      <c r="W481" s="2046">
        <v>2400</v>
      </c>
      <c r="X481" s="2502"/>
      <c r="Y481" s="2047">
        <v>0</v>
      </c>
      <c r="Z481" s="780">
        <f t="shared" si="398"/>
        <v>2400</v>
      </c>
      <c r="AA481" s="2007"/>
      <c r="AB481" s="2007"/>
      <c r="AC481" s="765"/>
      <c r="AD481" s="781">
        <f t="shared" si="657"/>
        <v>0</v>
      </c>
      <c r="AE481" s="778">
        <f t="shared" si="658"/>
        <v>0</v>
      </c>
      <c r="AF481" s="781">
        <f t="shared" si="659"/>
        <v>0</v>
      </c>
      <c r="AG481" s="781">
        <f t="shared" si="660"/>
        <v>0</v>
      </c>
      <c r="AH481" s="781">
        <f t="shared" si="661"/>
        <v>0</v>
      </c>
      <c r="AI481" s="782">
        <f t="shared" si="662"/>
        <v>0</v>
      </c>
      <c r="AJ481" s="781">
        <f t="shared" si="663"/>
        <v>0</v>
      </c>
      <c r="AK481" s="781">
        <f t="shared" si="664"/>
        <v>0</v>
      </c>
      <c r="AL481" s="781">
        <f t="shared" si="665"/>
        <v>0</v>
      </c>
      <c r="AM481" s="781">
        <f t="shared" si="666"/>
        <v>0</v>
      </c>
      <c r="AN481" s="781">
        <f t="shared" si="667"/>
        <v>0</v>
      </c>
      <c r="AO481" s="781">
        <f t="shared" si="668"/>
        <v>0</v>
      </c>
      <c r="AP481" s="781">
        <f t="shared" si="669"/>
        <v>0</v>
      </c>
      <c r="AQ481" s="781">
        <f t="shared" si="670"/>
        <v>0</v>
      </c>
      <c r="AR481" s="781">
        <f t="shared" si="671"/>
        <v>0</v>
      </c>
      <c r="AS481" s="783">
        <f t="shared" si="672"/>
        <v>0</v>
      </c>
    </row>
    <row r="482" spans="1:65" ht="15.75" hidden="1" outlineLevel="1" thickBot="1" x14ac:dyDescent="0.3">
      <c r="A482" s="784"/>
      <c r="B482" s="904">
        <f t="shared" si="608"/>
        <v>464</v>
      </c>
      <c r="C482" s="170" t="str">
        <f t="shared" si="678"/>
        <v>84EA</v>
      </c>
      <c r="D482" s="557"/>
      <c r="E482" s="170"/>
      <c r="F482" s="170">
        <v>84</v>
      </c>
      <c r="G482" s="2511" t="s">
        <v>1809</v>
      </c>
      <c r="H482" s="2039"/>
      <c r="I482" s="2008" t="s">
        <v>732</v>
      </c>
      <c r="J482" s="2039"/>
      <c r="K482" s="2039"/>
      <c r="L482" s="488"/>
      <c r="M482" s="2039">
        <v>0</v>
      </c>
      <c r="N482" s="2043">
        <v>1</v>
      </c>
      <c r="O482" s="1967">
        <f t="shared" si="396"/>
        <v>0</v>
      </c>
      <c r="P482" s="2076" t="s">
        <v>39</v>
      </c>
      <c r="Q482" s="2008" t="s">
        <v>39</v>
      </c>
      <c r="R482" s="2011" t="s">
        <v>74</v>
      </c>
      <c r="S482" s="912">
        <f>SUMIF('Data Input sheet'!$B$118:$B$180,R482,'Data Input sheet'!$D$118:$D$180)</f>
        <v>152</v>
      </c>
      <c r="T482" s="2686">
        <f t="shared" si="679"/>
        <v>0</v>
      </c>
      <c r="U482" s="2013">
        <v>14.8</v>
      </c>
      <c r="V482" s="1981">
        <f t="shared" si="680"/>
        <v>0</v>
      </c>
      <c r="W482" s="2046">
        <v>150</v>
      </c>
      <c r="X482" s="2502"/>
      <c r="Y482" s="2047">
        <v>0</v>
      </c>
      <c r="Z482" s="780">
        <f t="shared" si="398"/>
        <v>150</v>
      </c>
      <c r="AA482" s="2007"/>
      <c r="AB482" s="2007"/>
      <c r="AC482" s="765"/>
      <c r="AD482" s="781">
        <f t="shared" si="657"/>
        <v>0</v>
      </c>
      <c r="AE482" s="778">
        <f t="shared" si="658"/>
        <v>0</v>
      </c>
      <c r="AF482" s="781">
        <f t="shared" si="659"/>
        <v>0</v>
      </c>
      <c r="AG482" s="781">
        <f t="shared" si="660"/>
        <v>0</v>
      </c>
      <c r="AH482" s="781">
        <f t="shared" si="661"/>
        <v>0</v>
      </c>
      <c r="AI482" s="782">
        <f t="shared" si="662"/>
        <v>0</v>
      </c>
      <c r="AJ482" s="781">
        <f t="shared" si="663"/>
        <v>0</v>
      </c>
      <c r="AK482" s="781">
        <f t="shared" si="664"/>
        <v>0</v>
      </c>
      <c r="AL482" s="781">
        <f t="shared" si="665"/>
        <v>0</v>
      </c>
      <c r="AM482" s="781">
        <f t="shared" si="666"/>
        <v>0</v>
      </c>
      <c r="AN482" s="781">
        <f t="shared" si="667"/>
        <v>0</v>
      </c>
      <c r="AO482" s="781">
        <f t="shared" si="668"/>
        <v>0</v>
      </c>
      <c r="AP482" s="781">
        <f t="shared" si="669"/>
        <v>0</v>
      </c>
      <c r="AQ482" s="781">
        <f t="shared" si="670"/>
        <v>0</v>
      </c>
      <c r="AR482" s="781">
        <f t="shared" si="671"/>
        <v>0</v>
      </c>
      <c r="AS482" s="783">
        <f t="shared" si="672"/>
        <v>0</v>
      </c>
    </row>
    <row r="483" spans="1:65" ht="15.75" hidden="1" outlineLevel="1" thickBot="1" x14ac:dyDescent="0.3">
      <c r="A483" s="784"/>
      <c r="B483" s="904">
        <f t="shared" ref="B483:B546" si="681">+B482+1</f>
        <v>465</v>
      </c>
      <c r="C483" s="170" t="str">
        <f t="shared" si="678"/>
        <v>84EA</v>
      </c>
      <c r="D483" s="557"/>
      <c r="E483" s="170"/>
      <c r="F483" s="170">
        <v>84</v>
      </c>
      <c r="G483" s="2511" t="s">
        <v>1810</v>
      </c>
      <c r="H483" s="2039"/>
      <c r="I483" s="2008" t="s">
        <v>732</v>
      </c>
      <c r="J483" s="2039"/>
      <c r="K483" s="2039"/>
      <c r="L483" s="488"/>
      <c r="M483" s="2039">
        <v>0</v>
      </c>
      <c r="N483" s="2043">
        <v>1</v>
      </c>
      <c r="O483" s="1967">
        <f t="shared" si="396"/>
        <v>0</v>
      </c>
      <c r="P483" s="2076" t="s">
        <v>39</v>
      </c>
      <c r="Q483" s="2008" t="s">
        <v>39</v>
      </c>
      <c r="R483" s="2011" t="s">
        <v>74</v>
      </c>
      <c r="S483" s="912">
        <f>SUMIF('Data Input sheet'!$B$118:$B$180,R483,'Data Input sheet'!$D$118:$D$180)</f>
        <v>152</v>
      </c>
      <c r="T483" s="2686">
        <f t="shared" si="679"/>
        <v>0</v>
      </c>
      <c r="U483" s="2013">
        <v>14.8</v>
      </c>
      <c r="V483" s="1981">
        <f t="shared" si="680"/>
        <v>0</v>
      </c>
      <c r="W483" s="2046">
        <v>4000</v>
      </c>
      <c r="X483" s="2502"/>
      <c r="Y483" s="2047">
        <v>0</v>
      </c>
      <c r="Z483" s="780">
        <f t="shared" si="398"/>
        <v>4000</v>
      </c>
      <c r="AA483" s="2007"/>
      <c r="AB483" s="2007"/>
      <c r="AC483" s="765"/>
      <c r="AD483" s="781">
        <f t="shared" si="657"/>
        <v>0</v>
      </c>
      <c r="AE483" s="778">
        <f t="shared" si="658"/>
        <v>0</v>
      </c>
      <c r="AF483" s="781">
        <f t="shared" si="659"/>
        <v>0</v>
      </c>
      <c r="AG483" s="781">
        <f t="shared" si="660"/>
        <v>0</v>
      </c>
      <c r="AH483" s="781">
        <f t="shared" si="661"/>
        <v>0</v>
      </c>
      <c r="AI483" s="782">
        <f t="shared" si="662"/>
        <v>0</v>
      </c>
      <c r="AJ483" s="781">
        <f t="shared" si="663"/>
        <v>0</v>
      </c>
      <c r="AK483" s="781">
        <f t="shared" si="664"/>
        <v>0</v>
      </c>
      <c r="AL483" s="781">
        <f t="shared" si="665"/>
        <v>0</v>
      </c>
      <c r="AM483" s="781">
        <f t="shared" si="666"/>
        <v>0</v>
      </c>
      <c r="AN483" s="781">
        <f t="shared" si="667"/>
        <v>0</v>
      </c>
      <c r="AO483" s="781">
        <f t="shared" si="668"/>
        <v>0</v>
      </c>
      <c r="AP483" s="781">
        <f t="shared" si="669"/>
        <v>0</v>
      </c>
      <c r="AQ483" s="781">
        <f t="shared" si="670"/>
        <v>0</v>
      </c>
      <c r="AR483" s="781">
        <f t="shared" si="671"/>
        <v>0</v>
      </c>
      <c r="AS483" s="783">
        <f t="shared" si="672"/>
        <v>0</v>
      </c>
    </row>
    <row r="484" spans="1:65" ht="15.75" hidden="1" outlineLevel="1" thickBot="1" x14ac:dyDescent="0.3">
      <c r="A484" s="784"/>
      <c r="B484" s="904">
        <f t="shared" si="681"/>
        <v>466</v>
      </c>
      <c r="C484" s="170" t="str">
        <f t="shared" si="678"/>
        <v>84EA</v>
      </c>
      <c r="D484" s="557"/>
      <c r="E484" s="170"/>
      <c r="F484" s="170">
        <v>84</v>
      </c>
      <c r="G484" s="2511" t="s">
        <v>1811</v>
      </c>
      <c r="H484" s="2039"/>
      <c r="I484" s="2008" t="s">
        <v>732</v>
      </c>
      <c r="J484" s="2039"/>
      <c r="K484" s="2039"/>
      <c r="L484" s="488"/>
      <c r="M484" s="2041">
        <v>0</v>
      </c>
      <c r="N484" s="2043">
        <v>1</v>
      </c>
      <c r="O484" s="1967">
        <f t="shared" si="396"/>
        <v>0</v>
      </c>
      <c r="P484" s="2076" t="s">
        <v>39</v>
      </c>
      <c r="Q484" s="2008" t="s">
        <v>39</v>
      </c>
      <c r="R484" s="2011" t="s">
        <v>74</v>
      </c>
      <c r="S484" s="912">
        <f>SUMIF('Data Input sheet'!$B$118:$B$180,R484,'Data Input sheet'!$D$118:$D$180)</f>
        <v>152</v>
      </c>
      <c r="T484" s="2686">
        <f t="shared" si="679"/>
        <v>0</v>
      </c>
      <c r="U484" s="2013">
        <v>14.8</v>
      </c>
      <c r="V484" s="1981">
        <f t="shared" si="680"/>
        <v>0</v>
      </c>
      <c r="W484" s="2046">
        <v>600</v>
      </c>
      <c r="X484" s="2502"/>
      <c r="Y484" s="2047">
        <v>0</v>
      </c>
      <c r="Z484" s="780">
        <f t="shared" si="398"/>
        <v>600</v>
      </c>
      <c r="AA484" s="2007"/>
      <c r="AB484" s="2007"/>
      <c r="AC484" s="765"/>
      <c r="AD484" s="781">
        <f t="shared" si="657"/>
        <v>0</v>
      </c>
      <c r="AE484" s="778">
        <f t="shared" si="658"/>
        <v>0</v>
      </c>
      <c r="AF484" s="781">
        <f t="shared" si="659"/>
        <v>0</v>
      </c>
      <c r="AG484" s="781">
        <f t="shared" si="660"/>
        <v>0</v>
      </c>
      <c r="AH484" s="781">
        <f t="shared" si="661"/>
        <v>0</v>
      </c>
      <c r="AI484" s="782">
        <f t="shared" si="662"/>
        <v>0</v>
      </c>
      <c r="AJ484" s="781">
        <f t="shared" si="663"/>
        <v>0</v>
      </c>
      <c r="AK484" s="781">
        <f t="shared" si="664"/>
        <v>0</v>
      </c>
      <c r="AL484" s="781">
        <f t="shared" si="665"/>
        <v>0</v>
      </c>
      <c r="AM484" s="781">
        <f t="shared" si="666"/>
        <v>0</v>
      </c>
      <c r="AN484" s="781">
        <f t="shared" si="667"/>
        <v>0</v>
      </c>
      <c r="AO484" s="781">
        <f t="shared" si="668"/>
        <v>0</v>
      </c>
      <c r="AP484" s="781">
        <f t="shared" si="669"/>
        <v>0</v>
      </c>
      <c r="AQ484" s="781">
        <f t="shared" si="670"/>
        <v>0</v>
      </c>
      <c r="AR484" s="781">
        <f t="shared" si="671"/>
        <v>0</v>
      </c>
      <c r="AS484" s="783">
        <f t="shared" si="672"/>
        <v>0</v>
      </c>
    </row>
    <row r="485" spans="1:65" ht="15.75" hidden="1" outlineLevel="1" thickBot="1" x14ac:dyDescent="0.3">
      <c r="A485" s="784"/>
      <c r="B485" s="904">
        <f t="shared" si="681"/>
        <v>467</v>
      </c>
      <c r="C485" s="170" t="str">
        <f t="shared" si="678"/>
        <v>84EA</v>
      </c>
      <c r="D485" s="557"/>
      <c r="E485" s="170"/>
      <c r="F485" s="170">
        <v>84</v>
      </c>
      <c r="G485" s="2511" t="s">
        <v>1812</v>
      </c>
      <c r="H485" s="2039"/>
      <c r="I485" s="2008" t="s">
        <v>732</v>
      </c>
      <c r="J485" s="2039"/>
      <c r="K485" s="2039"/>
      <c r="L485" s="488"/>
      <c r="M485" s="2041">
        <v>0</v>
      </c>
      <c r="N485" s="2043">
        <v>1</v>
      </c>
      <c r="O485" s="1967">
        <f t="shared" si="396"/>
        <v>0</v>
      </c>
      <c r="P485" s="2076" t="s">
        <v>39</v>
      </c>
      <c r="Q485" s="2008" t="s">
        <v>39</v>
      </c>
      <c r="R485" s="2011" t="s">
        <v>74</v>
      </c>
      <c r="S485" s="912">
        <f>SUMIF('Data Input sheet'!$B$118:$B$180,R485,'Data Input sheet'!$D$118:$D$180)</f>
        <v>152</v>
      </c>
      <c r="T485" s="2686">
        <f t="shared" si="679"/>
        <v>0</v>
      </c>
      <c r="U485" s="2013">
        <v>14.8</v>
      </c>
      <c r="V485" s="1981">
        <f t="shared" si="680"/>
        <v>0</v>
      </c>
      <c r="W485" s="2046">
        <v>2600</v>
      </c>
      <c r="X485" s="2502"/>
      <c r="Y485" s="2047">
        <v>0</v>
      </c>
      <c r="Z485" s="780">
        <f t="shared" si="398"/>
        <v>2600</v>
      </c>
      <c r="AA485" s="2007"/>
      <c r="AB485" s="2007"/>
      <c r="AC485" s="765"/>
      <c r="AD485" s="781">
        <f t="shared" ref="AD485:AD508" si="682">IF(P485="E",+ROUND(H485*O485,0),0)</f>
        <v>0</v>
      </c>
      <c r="AE485" s="778">
        <f t="shared" ref="AE485:AE508" si="683">+AF485-AD485</f>
        <v>0</v>
      </c>
      <c r="AF485" s="781">
        <f t="shared" ref="AF485:AF508" si="684">+H485*O485</f>
        <v>0</v>
      </c>
      <c r="AG485" s="781">
        <f t="shared" ref="AG485:AG508" si="685">IF(P485="E",+ROUND(T485*H485,0),0)</f>
        <v>0</v>
      </c>
      <c r="AH485" s="781">
        <f t="shared" ref="AH485:AH508" si="686">+AI485-AG485</f>
        <v>0</v>
      </c>
      <c r="AI485" s="782">
        <f t="shared" ref="AI485:AI508" si="687">+H485*T485</f>
        <v>0</v>
      </c>
      <c r="AJ485" s="781">
        <f t="shared" ref="AJ485:AJ508" si="688">IF(P485="E",+ROUND(V485*H485,0),0)</f>
        <v>0</v>
      </c>
      <c r="AK485" s="781">
        <f t="shared" ref="AK485:AK508" si="689">+AL485-AJ485</f>
        <v>0</v>
      </c>
      <c r="AL485" s="781">
        <f t="shared" ref="AL485:AL508" si="690">ROUND(V485*H485,0)</f>
        <v>0</v>
      </c>
      <c r="AM485" s="781">
        <f t="shared" ref="AM485:AM508" si="691">IF(Q485="E",+ROUND(W485*H485,0),0)</f>
        <v>0</v>
      </c>
      <c r="AN485" s="781">
        <f t="shared" ref="AN485:AN508" si="692">+AO485-AM485</f>
        <v>0</v>
      </c>
      <c r="AO485" s="781">
        <f t="shared" ref="AO485:AO508" si="693">ROUND(W485*H485,0)</f>
        <v>0</v>
      </c>
      <c r="AP485" s="781">
        <f t="shared" ref="AP485:AP508" si="694">IF(P485="E",+ROUND(Y485*H485,0),0)</f>
        <v>0</v>
      </c>
      <c r="AQ485" s="781">
        <f t="shared" ref="AQ485:AQ508" si="695">+AR485-AP485</f>
        <v>0</v>
      </c>
      <c r="AR485" s="781">
        <f t="shared" ref="AR485:AR508" si="696">ROUND(Y485*H485,0)</f>
        <v>0</v>
      </c>
      <c r="AS485" s="783">
        <f t="shared" ref="AS485:AS508" si="697">+AR485+AO485+AL485+AI485</f>
        <v>0</v>
      </c>
    </row>
    <row r="486" spans="1:65" ht="26.25" hidden="1" outlineLevel="1" thickBot="1" x14ac:dyDescent="0.3">
      <c r="A486" s="784"/>
      <c r="B486" s="904">
        <f t="shared" si="681"/>
        <v>468</v>
      </c>
      <c r="C486" s="170" t="str">
        <f t="shared" si="678"/>
        <v>84EA</v>
      </c>
      <c r="D486" s="557"/>
      <c r="E486" s="170"/>
      <c r="F486" s="170">
        <v>84</v>
      </c>
      <c r="G486" s="2511" t="s">
        <v>3325</v>
      </c>
      <c r="H486" s="2039"/>
      <c r="I486" s="2008" t="s">
        <v>732</v>
      </c>
      <c r="J486" s="2039"/>
      <c r="K486" s="2039"/>
      <c r="L486" s="488"/>
      <c r="M486" s="2041">
        <v>0</v>
      </c>
      <c r="N486" s="2043">
        <v>1</v>
      </c>
      <c r="O486" s="1967">
        <f t="shared" si="396"/>
        <v>0</v>
      </c>
      <c r="P486" s="2076" t="s">
        <v>39</v>
      </c>
      <c r="Q486" s="2008" t="s">
        <v>39</v>
      </c>
      <c r="R486" s="2011" t="s">
        <v>74</v>
      </c>
      <c r="S486" s="912">
        <f>SUMIF('Data Input sheet'!$B$118:$B$180,R486,'Data Input sheet'!$D$118:$D$180)</f>
        <v>152</v>
      </c>
      <c r="T486" s="2686">
        <f t="shared" si="679"/>
        <v>0</v>
      </c>
      <c r="U486" s="2013">
        <v>14.8</v>
      </c>
      <c r="V486" s="1981">
        <f t="shared" si="680"/>
        <v>0</v>
      </c>
      <c r="W486" s="2046">
        <v>2400</v>
      </c>
      <c r="X486" s="2502"/>
      <c r="Y486" s="2047">
        <v>0</v>
      </c>
      <c r="Z486" s="780">
        <f t="shared" si="398"/>
        <v>2400</v>
      </c>
      <c r="AA486" s="2007"/>
      <c r="AB486" s="2007"/>
      <c r="AC486" s="765"/>
      <c r="AD486" s="781">
        <f t="shared" si="682"/>
        <v>0</v>
      </c>
      <c r="AE486" s="778">
        <f t="shared" si="683"/>
        <v>0</v>
      </c>
      <c r="AF486" s="781">
        <f t="shared" si="684"/>
        <v>0</v>
      </c>
      <c r="AG486" s="781">
        <f t="shared" si="685"/>
        <v>0</v>
      </c>
      <c r="AH486" s="781">
        <f t="shared" si="686"/>
        <v>0</v>
      </c>
      <c r="AI486" s="782">
        <f t="shared" si="687"/>
        <v>0</v>
      </c>
      <c r="AJ486" s="781">
        <f t="shared" si="688"/>
        <v>0</v>
      </c>
      <c r="AK486" s="781">
        <f t="shared" si="689"/>
        <v>0</v>
      </c>
      <c r="AL486" s="781">
        <f t="shared" si="690"/>
        <v>0</v>
      </c>
      <c r="AM486" s="781">
        <f t="shared" si="691"/>
        <v>0</v>
      </c>
      <c r="AN486" s="781">
        <f t="shared" si="692"/>
        <v>0</v>
      </c>
      <c r="AO486" s="781">
        <f t="shared" si="693"/>
        <v>0</v>
      </c>
      <c r="AP486" s="781">
        <f t="shared" si="694"/>
        <v>0</v>
      </c>
      <c r="AQ486" s="781">
        <f t="shared" si="695"/>
        <v>0</v>
      </c>
      <c r="AR486" s="781">
        <f t="shared" si="696"/>
        <v>0</v>
      </c>
      <c r="AS486" s="783">
        <f t="shared" si="697"/>
        <v>0</v>
      </c>
    </row>
    <row r="487" spans="1:65" ht="15.75" hidden="1" outlineLevel="1" thickBot="1" x14ac:dyDescent="0.3">
      <c r="A487" s="784"/>
      <c r="B487" s="904">
        <f t="shared" si="681"/>
        <v>469</v>
      </c>
      <c r="C487" s="170" t="str">
        <f t="shared" si="678"/>
        <v>84EA</v>
      </c>
      <c r="D487" s="557"/>
      <c r="E487" s="170"/>
      <c r="F487" s="170">
        <v>84</v>
      </c>
      <c r="G487" s="2511" t="s">
        <v>1813</v>
      </c>
      <c r="H487" s="2039"/>
      <c r="I487" s="2008" t="s">
        <v>732</v>
      </c>
      <c r="J487" s="2039"/>
      <c r="K487" s="2039"/>
      <c r="L487" s="488"/>
      <c r="M487" s="2041">
        <v>0</v>
      </c>
      <c r="N487" s="2043">
        <v>1</v>
      </c>
      <c r="O487" s="1967">
        <f t="shared" si="396"/>
        <v>0</v>
      </c>
      <c r="P487" s="2076" t="s">
        <v>39</v>
      </c>
      <c r="Q487" s="2008" t="s">
        <v>39</v>
      </c>
      <c r="R487" s="2011" t="s">
        <v>74</v>
      </c>
      <c r="S487" s="912">
        <f>SUMIF('Data Input sheet'!$B$118:$B$180,R487,'Data Input sheet'!$D$118:$D$180)</f>
        <v>152</v>
      </c>
      <c r="T487" s="2686">
        <f t="shared" si="679"/>
        <v>0</v>
      </c>
      <c r="U487" s="2013">
        <v>14.8</v>
      </c>
      <c r="V487" s="1981">
        <f t="shared" si="680"/>
        <v>0</v>
      </c>
      <c r="W487" s="2046">
        <v>6500</v>
      </c>
      <c r="X487" s="2502"/>
      <c r="Y487" s="2047">
        <v>0</v>
      </c>
      <c r="Z487" s="780">
        <f t="shared" si="398"/>
        <v>6500</v>
      </c>
      <c r="AA487" s="2007"/>
      <c r="AB487" s="2007"/>
      <c r="AC487" s="765"/>
      <c r="AD487" s="781">
        <f t="shared" si="682"/>
        <v>0</v>
      </c>
      <c r="AE487" s="778">
        <f t="shared" si="683"/>
        <v>0</v>
      </c>
      <c r="AF487" s="781">
        <f t="shared" si="684"/>
        <v>0</v>
      </c>
      <c r="AG487" s="781">
        <f t="shared" si="685"/>
        <v>0</v>
      </c>
      <c r="AH487" s="781">
        <f t="shared" si="686"/>
        <v>0</v>
      </c>
      <c r="AI487" s="782">
        <f t="shared" si="687"/>
        <v>0</v>
      </c>
      <c r="AJ487" s="781">
        <f t="shared" si="688"/>
        <v>0</v>
      </c>
      <c r="AK487" s="781">
        <f t="shared" si="689"/>
        <v>0</v>
      </c>
      <c r="AL487" s="781">
        <f t="shared" si="690"/>
        <v>0</v>
      </c>
      <c r="AM487" s="781">
        <f t="shared" si="691"/>
        <v>0</v>
      </c>
      <c r="AN487" s="781">
        <f t="shared" si="692"/>
        <v>0</v>
      </c>
      <c r="AO487" s="781">
        <f t="shared" si="693"/>
        <v>0</v>
      </c>
      <c r="AP487" s="781">
        <f t="shared" si="694"/>
        <v>0</v>
      </c>
      <c r="AQ487" s="781">
        <f t="shared" si="695"/>
        <v>0</v>
      </c>
      <c r="AR487" s="781">
        <f t="shared" si="696"/>
        <v>0</v>
      </c>
      <c r="AS487" s="783">
        <f t="shared" si="697"/>
        <v>0</v>
      </c>
    </row>
    <row r="488" spans="1:65" ht="15.75" hidden="1" outlineLevel="1" thickBot="1" x14ac:dyDescent="0.3">
      <c r="A488" s="784"/>
      <c r="B488" s="904">
        <f t="shared" si="681"/>
        <v>470</v>
      </c>
      <c r="C488" s="170" t="str">
        <f t="shared" si="678"/>
        <v>84EA</v>
      </c>
      <c r="D488" s="557"/>
      <c r="E488" s="170"/>
      <c r="F488" s="170">
        <v>84</v>
      </c>
      <c r="G488" s="2511" t="s">
        <v>1814</v>
      </c>
      <c r="H488" s="2039"/>
      <c r="I488" s="2008" t="s">
        <v>732</v>
      </c>
      <c r="J488" s="2039"/>
      <c r="K488" s="2039"/>
      <c r="L488" s="488"/>
      <c r="M488" s="2041">
        <v>0</v>
      </c>
      <c r="N488" s="2043">
        <v>1</v>
      </c>
      <c r="O488" s="1967">
        <f t="shared" si="396"/>
        <v>0</v>
      </c>
      <c r="P488" s="2076" t="s">
        <v>39</v>
      </c>
      <c r="Q488" s="2008" t="s">
        <v>39</v>
      </c>
      <c r="R488" s="2011" t="s">
        <v>74</v>
      </c>
      <c r="S488" s="912">
        <f>SUMIF('Data Input sheet'!$B$118:$B$180,R488,'Data Input sheet'!$D$118:$D$180)</f>
        <v>152</v>
      </c>
      <c r="T488" s="2686">
        <f t="shared" si="679"/>
        <v>0</v>
      </c>
      <c r="U488" s="2013">
        <v>14.8</v>
      </c>
      <c r="V488" s="1981">
        <f t="shared" si="680"/>
        <v>0</v>
      </c>
      <c r="W488" s="2046">
        <v>2400</v>
      </c>
      <c r="X488" s="2502"/>
      <c r="Y488" s="2047">
        <v>0</v>
      </c>
      <c r="Z488" s="780">
        <f t="shared" si="398"/>
        <v>2400</v>
      </c>
      <c r="AA488" s="2007"/>
      <c r="AB488" s="2007"/>
      <c r="AC488" s="765"/>
      <c r="AD488" s="781">
        <f t="shared" si="682"/>
        <v>0</v>
      </c>
      <c r="AE488" s="778">
        <f t="shared" si="683"/>
        <v>0</v>
      </c>
      <c r="AF488" s="781">
        <f t="shared" si="684"/>
        <v>0</v>
      </c>
      <c r="AG488" s="781">
        <f t="shared" si="685"/>
        <v>0</v>
      </c>
      <c r="AH488" s="781">
        <f t="shared" si="686"/>
        <v>0</v>
      </c>
      <c r="AI488" s="782">
        <f t="shared" si="687"/>
        <v>0</v>
      </c>
      <c r="AJ488" s="781">
        <f t="shared" si="688"/>
        <v>0</v>
      </c>
      <c r="AK488" s="781">
        <f t="shared" si="689"/>
        <v>0</v>
      </c>
      <c r="AL488" s="781">
        <f t="shared" si="690"/>
        <v>0</v>
      </c>
      <c r="AM488" s="781">
        <f t="shared" si="691"/>
        <v>0</v>
      </c>
      <c r="AN488" s="781">
        <f t="shared" si="692"/>
        <v>0</v>
      </c>
      <c r="AO488" s="781">
        <f t="shared" si="693"/>
        <v>0</v>
      </c>
      <c r="AP488" s="781">
        <f t="shared" si="694"/>
        <v>0</v>
      </c>
      <c r="AQ488" s="781">
        <f t="shared" si="695"/>
        <v>0</v>
      </c>
      <c r="AR488" s="781">
        <f t="shared" si="696"/>
        <v>0</v>
      </c>
      <c r="AS488" s="783">
        <f t="shared" si="697"/>
        <v>0</v>
      </c>
    </row>
    <row r="489" spans="1:65" ht="27" hidden="1" collapsed="1" thickBot="1" x14ac:dyDescent="0.3">
      <c r="A489" s="784"/>
      <c r="B489" s="904">
        <f t="shared" si="681"/>
        <v>471</v>
      </c>
      <c r="C489" s="170" t="str">
        <f t="shared" si="678"/>
        <v/>
      </c>
      <c r="D489" s="557"/>
      <c r="E489" s="170"/>
      <c r="F489" s="170"/>
      <c r="G489" s="2627" t="s">
        <v>3286</v>
      </c>
      <c r="H489" s="2680">
        <v>0</v>
      </c>
      <c r="I489" s="2008"/>
      <c r="J489" s="1926"/>
      <c r="K489" s="1926"/>
      <c r="L489" s="488"/>
      <c r="M489" s="2009"/>
      <c r="N489" s="2010"/>
      <c r="O489" s="773">
        <f>+M489*N489</f>
        <v>0</v>
      </c>
      <c r="P489" s="2076"/>
      <c r="Q489" s="2008"/>
      <c r="R489" s="2011"/>
      <c r="S489" s="912">
        <f>SUMIF('Data Input sheet'!$B$118:$B$180,R489,'Data Input sheet'!$D$118:$D$180)</f>
        <v>0</v>
      </c>
      <c r="T489" s="2685">
        <v>20000</v>
      </c>
      <c r="U489" s="2013">
        <v>0</v>
      </c>
      <c r="V489" s="778">
        <f>ROUND(U489*O489,0)</f>
        <v>0</v>
      </c>
      <c r="W489" s="2010"/>
      <c r="X489" s="779"/>
      <c r="Y489" s="2012"/>
      <c r="Z489" s="780">
        <f>T489+V489+W489+Y489</f>
        <v>20000</v>
      </c>
      <c r="AA489" s="2007"/>
      <c r="AB489" s="2007"/>
      <c r="AC489" s="765"/>
      <c r="AD489" s="781">
        <f>IF(P489="E",+ROUND(H489*O489,0),0)</f>
        <v>0</v>
      </c>
      <c r="AE489" s="778">
        <f>+AF489-AD489</f>
        <v>0</v>
      </c>
      <c r="AF489" s="781">
        <f>+H489*O489</f>
        <v>0</v>
      </c>
      <c r="AG489" s="781">
        <f>IF(P489="E",+ROUND(T489*H489,0),0)</f>
        <v>0</v>
      </c>
      <c r="AH489" s="781">
        <f>+AI489-AG489</f>
        <v>0</v>
      </c>
      <c r="AI489" s="782">
        <f>+H489*T489</f>
        <v>0</v>
      </c>
      <c r="AJ489" s="781">
        <f>IF(P489="E",+ROUND(V489*H489,0),0)</f>
        <v>0</v>
      </c>
      <c r="AK489" s="781">
        <f>+AL489-AJ489</f>
        <v>0</v>
      </c>
      <c r="AL489" s="781">
        <f>ROUND(V489*H489,0)</f>
        <v>0</v>
      </c>
      <c r="AM489" s="781">
        <f>IF(Q489="E",+ROUND(W489*H489,0),0)</f>
        <v>0</v>
      </c>
      <c r="AN489" s="781">
        <f>+AO489-AM489</f>
        <v>0</v>
      </c>
      <c r="AO489" s="781">
        <f>ROUND(W489*H489,0)</f>
        <v>0</v>
      </c>
      <c r="AP489" s="781">
        <f>IF(P489="E",+ROUND(Y489*H489,0),0)</f>
        <v>0</v>
      </c>
      <c r="AQ489" s="781">
        <f>+AR489-AP489</f>
        <v>0</v>
      </c>
      <c r="AR489" s="781">
        <f>ROUND(Y489*H489,0)</f>
        <v>0</v>
      </c>
      <c r="AS489" s="783">
        <f>+AR489+AO489+AL489+AI489</f>
        <v>0</v>
      </c>
      <c r="AT489" s="917"/>
      <c r="AW489" s="832"/>
      <c r="AX489" s="833" t="s">
        <v>3030</v>
      </c>
      <c r="AY489" s="2482"/>
      <c r="BM489" s="2010">
        <v>465000</v>
      </c>
    </row>
    <row r="490" spans="1:65" ht="15.75" hidden="1" outlineLevel="1" thickBot="1" x14ac:dyDescent="0.3">
      <c r="A490" s="784"/>
      <c r="B490" s="904">
        <f t="shared" si="681"/>
        <v>472</v>
      </c>
      <c r="C490" s="170" t="str">
        <f t="shared" si="678"/>
        <v/>
      </c>
      <c r="D490" s="557"/>
      <c r="E490" s="170"/>
      <c r="F490" s="170"/>
      <c r="G490" s="2491" t="s">
        <v>1793</v>
      </c>
      <c r="H490" s="2039"/>
      <c r="I490" s="2008"/>
      <c r="J490" s="2039"/>
      <c r="K490" s="2039"/>
      <c r="L490" s="488"/>
      <c r="M490" s="2041">
        <v>0</v>
      </c>
      <c r="N490" s="2043"/>
      <c r="O490" s="2499">
        <f t="shared" si="396"/>
        <v>0</v>
      </c>
      <c r="P490" s="2076"/>
      <c r="Q490" s="2008"/>
      <c r="R490" s="2011"/>
      <c r="S490" s="912">
        <f>SUMIF('Data Input sheet'!$B$118:$B$180,R490,'Data Input sheet'!$D$118:$D$180)</f>
        <v>0</v>
      </c>
      <c r="T490" s="2686">
        <f t="shared" si="679"/>
        <v>0</v>
      </c>
      <c r="U490" s="2042"/>
      <c r="V490" s="2501">
        <f t="shared" si="680"/>
        <v>0</v>
      </c>
      <c r="W490" s="2046"/>
      <c r="X490" s="2502"/>
      <c r="Y490" s="2047">
        <v>0</v>
      </c>
      <c r="Z490" s="2500">
        <f t="shared" si="398"/>
        <v>0</v>
      </c>
      <c r="AA490" s="2007"/>
      <c r="AB490" s="2007"/>
      <c r="AC490" s="765"/>
      <c r="AD490" s="781">
        <f t="shared" si="682"/>
        <v>0</v>
      </c>
      <c r="AE490" s="778">
        <f t="shared" si="683"/>
        <v>0</v>
      </c>
      <c r="AF490" s="781">
        <f t="shared" si="684"/>
        <v>0</v>
      </c>
      <c r="AG490" s="781">
        <f t="shared" si="685"/>
        <v>0</v>
      </c>
      <c r="AH490" s="781">
        <f t="shared" si="686"/>
        <v>0</v>
      </c>
      <c r="AI490" s="782">
        <f t="shared" si="687"/>
        <v>0</v>
      </c>
      <c r="AJ490" s="781">
        <f t="shared" si="688"/>
        <v>0</v>
      </c>
      <c r="AK490" s="781">
        <f t="shared" si="689"/>
        <v>0</v>
      </c>
      <c r="AL490" s="781">
        <f t="shared" si="690"/>
        <v>0</v>
      </c>
      <c r="AM490" s="781">
        <f t="shared" si="691"/>
        <v>0</v>
      </c>
      <c r="AN490" s="781">
        <f t="shared" si="692"/>
        <v>0</v>
      </c>
      <c r="AO490" s="781">
        <f t="shared" si="693"/>
        <v>0</v>
      </c>
      <c r="AP490" s="781">
        <f t="shared" si="694"/>
        <v>0</v>
      </c>
      <c r="AQ490" s="781">
        <f t="shared" si="695"/>
        <v>0</v>
      </c>
      <c r="AR490" s="781">
        <f t="shared" si="696"/>
        <v>0</v>
      </c>
      <c r="AS490" s="783">
        <f t="shared" si="697"/>
        <v>0</v>
      </c>
    </row>
    <row r="491" spans="1:65" ht="26.25" hidden="1" outlineLevel="1" thickBot="1" x14ac:dyDescent="0.3">
      <c r="A491" s="784"/>
      <c r="B491" s="904">
        <f t="shared" si="681"/>
        <v>473</v>
      </c>
      <c r="C491" s="170" t="str">
        <f t="shared" si="678"/>
        <v>69EA</v>
      </c>
      <c r="D491" s="557"/>
      <c r="E491" s="170"/>
      <c r="F491" s="170">
        <v>69</v>
      </c>
      <c r="G491" s="2492" t="s">
        <v>1794</v>
      </c>
      <c r="H491" s="2039"/>
      <c r="I491" s="2008" t="s">
        <v>732</v>
      </c>
      <c r="J491" s="2039"/>
      <c r="K491" s="2039"/>
      <c r="L491" s="488"/>
      <c r="M491" s="2041">
        <v>32</v>
      </c>
      <c r="N491" s="2043">
        <v>1</v>
      </c>
      <c r="O491" s="1967">
        <f t="shared" si="396"/>
        <v>32</v>
      </c>
      <c r="P491" s="2076" t="s">
        <v>39</v>
      </c>
      <c r="Q491" s="2008" t="s">
        <v>39</v>
      </c>
      <c r="R491" s="2011" t="s">
        <v>74</v>
      </c>
      <c r="S491" s="912">
        <f>SUMIF('Data Input sheet'!$B$118:$B$180,R491,'Data Input sheet'!$D$118:$D$180)</f>
        <v>152</v>
      </c>
      <c r="T491" s="2686">
        <f t="shared" si="679"/>
        <v>4864</v>
      </c>
      <c r="U491" s="2042"/>
      <c r="V491" s="1981">
        <f t="shared" si="680"/>
        <v>0</v>
      </c>
      <c r="W491" s="2046">
        <v>6600</v>
      </c>
      <c r="X491" s="2502"/>
      <c r="Y491" s="2047">
        <v>0</v>
      </c>
      <c r="Z491" s="780">
        <f t="shared" si="398"/>
        <v>11464</v>
      </c>
      <c r="AA491" s="2007"/>
      <c r="AB491" s="2007"/>
      <c r="AC491" s="765"/>
      <c r="AD491" s="781">
        <f t="shared" si="682"/>
        <v>0</v>
      </c>
      <c r="AE491" s="778">
        <f t="shared" si="683"/>
        <v>0</v>
      </c>
      <c r="AF491" s="781">
        <f t="shared" si="684"/>
        <v>0</v>
      </c>
      <c r="AG491" s="781">
        <f t="shared" si="685"/>
        <v>0</v>
      </c>
      <c r="AH491" s="781">
        <f t="shared" si="686"/>
        <v>0</v>
      </c>
      <c r="AI491" s="782">
        <f t="shared" si="687"/>
        <v>0</v>
      </c>
      <c r="AJ491" s="781">
        <f t="shared" si="688"/>
        <v>0</v>
      </c>
      <c r="AK491" s="781">
        <f t="shared" si="689"/>
        <v>0</v>
      </c>
      <c r="AL491" s="781">
        <f t="shared" si="690"/>
        <v>0</v>
      </c>
      <c r="AM491" s="781">
        <f t="shared" si="691"/>
        <v>0</v>
      </c>
      <c r="AN491" s="781">
        <f t="shared" si="692"/>
        <v>0</v>
      </c>
      <c r="AO491" s="781">
        <f t="shared" si="693"/>
        <v>0</v>
      </c>
      <c r="AP491" s="781">
        <f t="shared" si="694"/>
        <v>0</v>
      </c>
      <c r="AQ491" s="781">
        <f t="shared" si="695"/>
        <v>0</v>
      </c>
      <c r="AR491" s="781">
        <f t="shared" si="696"/>
        <v>0</v>
      </c>
      <c r="AS491" s="783">
        <f t="shared" si="697"/>
        <v>0</v>
      </c>
    </row>
    <row r="492" spans="1:65" ht="15.75" hidden="1" outlineLevel="1" thickBot="1" x14ac:dyDescent="0.3">
      <c r="A492" s="784"/>
      <c r="B492" s="904">
        <f t="shared" si="681"/>
        <v>474</v>
      </c>
      <c r="C492" s="170" t="str">
        <f t="shared" si="678"/>
        <v/>
      </c>
      <c r="D492" s="557"/>
      <c r="E492" s="170"/>
      <c r="F492" s="170"/>
      <c r="G492" s="2491" t="s">
        <v>1789</v>
      </c>
      <c r="H492" s="2640"/>
      <c r="I492" s="2008"/>
      <c r="J492" s="2039"/>
      <c r="K492" s="2039"/>
      <c r="L492" s="488"/>
      <c r="M492" s="2041">
        <v>0</v>
      </c>
      <c r="N492" s="2043"/>
      <c r="O492" s="2499">
        <f t="shared" si="396"/>
        <v>0</v>
      </c>
      <c r="P492" s="2076"/>
      <c r="Q492" s="2008"/>
      <c r="R492" s="2011"/>
      <c r="S492" s="912">
        <f>SUMIF('Data Input sheet'!$B$118:$B$180,R492,'Data Input sheet'!$D$118:$D$180)</f>
        <v>0</v>
      </c>
      <c r="T492" s="2686">
        <f t="shared" si="679"/>
        <v>0</v>
      </c>
      <c r="U492" s="2042"/>
      <c r="V492" s="2501">
        <f t="shared" si="680"/>
        <v>0</v>
      </c>
      <c r="W492" s="2046"/>
      <c r="X492" s="2502"/>
      <c r="Y492" s="2047">
        <v>0</v>
      </c>
      <c r="Z492" s="2500">
        <f t="shared" si="398"/>
        <v>0</v>
      </c>
      <c r="AA492" s="2007"/>
      <c r="AB492" s="2007"/>
      <c r="AC492" s="765"/>
      <c r="AD492" s="781">
        <f t="shared" si="682"/>
        <v>0</v>
      </c>
      <c r="AE492" s="778">
        <f t="shared" si="683"/>
        <v>0</v>
      </c>
      <c r="AF492" s="781">
        <f t="shared" si="684"/>
        <v>0</v>
      </c>
      <c r="AG492" s="781">
        <f t="shared" si="685"/>
        <v>0</v>
      </c>
      <c r="AH492" s="781">
        <f t="shared" si="686"/>
        <v>0</v>
      </c>
      <c r="AI492" s="782">
        <f t="shared" si="687"/>
        <v>0</v>
      </c>
      <c r="AJ492" s="781">
        <f t="shared" si="688"/>
        <v>0</v>
      </c>
      <c r="AK492" s="781">
        <f t="shared" si="689"/>
        <v>0</v>
      </c>
      <c r="AL492" s="781">
        <f t="shared" si="690"/>
        <v>0</v>
      </c>
      <c r="AM492" s="781">
        <f t="shared" si="691"/>
        <v>0</v>
      </c>
      <c r="AN492" s="781">
        <f t="shared" si="692"/>
        <v>0</v>
      </c>
      <c r="AO492" s="781">
        <f t="shared" si="693"/>
        <v>0</v>
      </c>
      <c r="AP492" s="781">
        <f t="shared" si="694"/>
        <v>0</v>
      </c>
      <c r="AQ492" s="781">
        <f t="shared" si="695"/>
        <v>0</v>
      </c>
      <c r="AR492" s="781">
        <f t="shared" si="696"/>
        <v>0</v>
      </c>
      <c r="AS492" s="783">
        <f t="shared" si="697"/>
        <v>0</v>
      </c>
    </row>
    <row r="493" spans="1:65" ht="26.25" hidden="1" outlineLevel="1" thickBot="1" x14ac:dyDescent="0.3">
      <c r="A493" s="784"/>
      <c r="B493" s="904">
        <f t="shared" si="681"/>
        <v>475</v>
      </c>
      <c r="C493" s="170" t="str">
        <f t="shared" si="678"/>
        <v>69EA</v>
      </c>
      <c r="D493" s="557"/>
      <c r="E493" s="170"/>
      <c r="F493" s="170">
        <v>69</v>
      </c>
      <c r="G493" s="2492" t="s">
        <v>1790</v>
      </c>
      <c r="H493" s="2039"/>
      <c r="I493" s="2008" t="s">
        <v>732</v>
      </c>
      <c r="J493" s="2039"/>
      <c r="K493" s="2039"/>
      <c r="L493" s="488"/>
      <c r="M493" s="2041">
        <v>20</v>
      </c>
      <c r="N493" s="2043">
        <v>1</v>
      </c>
      <c r="O493" s="1967">
        <f t="shared" si="396"/>
        <v>20</v>
      </c>
      <c r="P493" s="2076" t="s">
        <v>39</v>
      </c>
      <c r="Q493" s="2008" t="s">
        <v>39</v>
      </c>
      <c r="R493" s="2011" t="s">
        <v>74</v>
      </c>
      <c r="S493" s="912">
        <f>SUMIF('Data Input sheet'!$B$118:$B$180,R493,'Data Input sheet'!$D$118:$D$180)</f>
        <v>152</v>
      </c>
      <c r="T493" s="2686">
        <f t="shared" si="679"/>
        <v>3040</v>
      </c>
      <c r="U493" s="2042"/>
      <c r="V493" s="1981">
        <f t="shared" si="680"/>
        <v>0</v>
      </c>
      <c r="W493" s="2046">
        <v>1200</v>
      </c>
      <c r="X493" s="2502"/>
      <c r="Y493" s="2047">
        <v>0</v>
      </c>
      <c r="Z493" s="780">
        <f t="shared" si="398"/>
        <v>4240</v>
      </c>
      <c r="AA493" s="2007"/>
      <c r="AB493" s="2007"/>
      <c r="AC493" s="765"/>
      <c r="AD493" s="781">
        <f t="shared" si="682"/>
        <v>0</v>
      </c>
      <c r="AE493" s="778">
        <f t="shared" si="683"/>
        <v>0</v>
      </c>
      <c r="AF493" s="781">
        <f t="shared" si="684"/>
        <v>0</v>
      </c>
      <c r="AG493" s="781">
        <f t="shared" si="685"/>
        <v>0</v>
      </c>
      <c r="AH493" s="781">
        <f t="shared" si="686"/>
        <v>0</v>
      </c>
      <c r="AI493" s="782">
        <f t="shared" si="687"/>
        <v>0</v>
      </c>
      <c r="AJ493" s="781">
        <f t="shared" si="688"/>
        <v>0</v>
      </c>
      <c r="AK493" s="781">
        <f t="shared" si="689"/>
        <v>0</v>
      </c>
      <c r="AL493" s="781">
        <f t="shared" si="690"/>
        <v>0</v>
      </c>
      <c r="AM493" s="781">
        <f t="shared" si="691"/>
        <v>0</v>
      </c>
      <c r="AN493" s="781">
        <f t="shared" si="692"/>
        <v>0</v>
      </c>
      <c r="AO493" s="781">
        <f t="shared" si="693"/>
        <v>0</v>
      </c>
      <c r="AP493" s="781">
        <f t="shared" si="694"/>
        <v>0</v>
      </c>
      <c r="AQ493" s="781">
        <f t="shared" si="695"/>
        <v>0</v>
      </c>
      <c r="AR493" s="781">
        <f t="shared" si="696"/>
        <v>0</v>
      </c>
      <c r="AS493" s="783">
        <f t="shared" si="697"/>
        <v>0</v>
      </c>
      <c r="AX493" t="s">
        <v>3316</v>
      </c>
    </row>
    <row r="494" spans="1:65" ht="26.25" hidden="1" outlineLevel="1" thickBot="1" x14ac:dyDescent="0.3">
      <c r="A494" s="784"/>
      <c r="B494" s="904">
        <f t="shared" si="681"/>
        <v>476</v>
      </c>
      <c r="C494" s="170" t="str">
        <f t="shared" si="678"/>
        <v>69EA</v>
      </c>
      <c r="D494" s="557"/>
      <c r="E494" s="170"/>
      <c r="F494" s="170">
        <v>69</v>
      </c>
      <c r="G494" s="2492" t="s">
        <v>3320</v>
      </c>
      <c r="H494" s="2039"/>
      <c r="I494" s="2008" t="s">
        <v>732</v>
      </c>
      <c r="J494" s="2039"/>
      <c r="K494" s="2039"/>
      <c r="L494" s="488"/>
      <c r="M494" s="2041">
        <v>25</v>
      </c>
      <c r="N494" s="2043">
        <v>1</v>
      </c>
      <c r="O494" s="1967">
        <f t="shared" si="396"/>
        <v>25</v>
      </c>
      <c r="P494" s="2076" t="s">
        <v>39</v>
      </c>
      <c r="Q494" s="2008" t="s">
        <v>39</v>
      </c>
      <c r="R494" s="2011" t="s">
        <v>74</v>
      </c>
      <c r="S494" s="912">
        <f>SUMIF('Data Input sheet'!$B$118:$B$180,R494,'Data Input sheet'!$D$118:$D$180)</f>
        <v>152</v>
      </c>
      <c r="T494" s="2686">
        <f t="shared" si="679"/>
        <v>3800</v>
      </c>
      <c r="U494" s="2042"/>
      <c r="V494" s="1981">
        <f t="shared" si="680"/>
        <v>0</v>
      </c>
      <c r="W494" s="2046">
        <v>2400</v>
      </c>
      <c r="X494" s="2502"/>
      <c r="Y494" s="2047">
        <v>0</v>
      </c>
      <c r="Z494" s="780">
        <f t="shared" si="398"/>
        <v>6200</v>
      </c>
      <c r="AA494" s="2007"/>
      <c r="AB494" s="2007"/>
      <c r="AC494" s="765"/>
      <c r="AD494" s="781">
        <f t="shared" si="682"/>
        <v>0</v>
      </c>
      <c r="AE494" s="778">
        <f t="shared" si="683"/>
        <v>0</v>
      </c>
      <c r="AF494" s="781">
        <f t="shared" si="684"/>
        <v>0</v>
      </c>
      <c r="AG494" s="781">
        <f t="shared" si="685"/>
        <v>0</v>
      </c>
      <c r="AH494" s="781">
        <f t="shared" si="686"/>
        <v>0</v>
      </c>
      <c r="AI494" s="782">
        <f t="shared" si="687"/>
        <v>0</v>
      </c>
      <c r="AJ494" s="781">
        <f t="shared" si="688"/>
        <v>0</v>
      </c>
      <c r="AK494" s="781">
        <f t="shared" si="689"/>
        <v>0</v>
      </c>
      <c r="AL494" s="781">
        <f t="shared" si="690"/>
        <v>0</v>
      </c>
      <c r="AM494" s="781">
        <f t="shared" si="691"/>
        <v>0</v>
      </c>
      <c r="AN494" s="781">
        <f t="shared" si="692"/>
        <v>0</v>
      </c>
      <c r="AO494" s="781">
        <f t="shared" si="693"/>
        <v>0</v>
      </c>
      <c r="AP494" s="781">
        <f t="shared" si="694"/>
        <v>0</v>
      </c>
      <c r="AQ494" s="781">
        <f t="shared" si="695"/>
        <v>0</v>
      </c>
      <c r="AR494" s="781">
        <f t="shared" si="696"/>
        <v>0</v>
      </c>
      <c r="AS494" s="783">
        <f t="shared" si="697"/>
        <v>0</v>
      </c>
    </row>
    <row r="495" spans="1:65" ht="26.25" hidden="1" outlineLevel="1" thickBot="1" x14ac:dyDescent="0.3">
      <c r="A495" s="784"/>
      <c r="B495" s="904">
        <f t="shared" si="681"/>
        <v>477</v>
      </c>
      <c r="C495" s="170" t="str">
        <f t="shared" si="678"/>
        <v>69EA</v>
      </c>
      <c r="D495" s="557"/>
      <c r="E495" s="170"/>
      <c r="F495" s="170">
        <v>69</v>
      </c>
      <c r="G495" s="2492" t="s">
        <v>3315</v>
      </c>
      <c r="H495" s="2039"/>
      <c r="I495" s="2008" t="s">
        <v>732</v>
      </c>
      <c r="J495" s="2039"/>
      <c r="K495" s="2039"/>
      <c r="L495" s="488"/>
      <c r="M495" s="2041">
        <v>28</v>
      </c>
      <c r="N495" s="2043">
        <v>1</v>
      </c>
      <c r="O495" s="1967">
        <f t="shared" si="396"/>
        <v>28</v>
      </c>
      <c r="P495" s="2076" t="s">
        <v>39</v>
      </c>
      <c r="Q495" s="2008" t="s">
        <v>39</v>
      </c>
      <c r="R495" s="2011" t="s">
        <v>74</v>
      </c>
      <c r="S495" s="912">
        <f>SUMIF('Data Input sheet'!$B$118:$B$180,R495,'Data Input sheet'!$D$118:$D$180)</f>
        <v>152</v>
      </c>
      <c r="T495" s="2686">
        <f t="shared" si="679"/>
        <v>4256</v>
      </c>
      <c r="U495" s="2042"/>
      <c r="V495" s="1981">
        <f t="shared" si="680"/>
        <v>0</v>
      </c>
      <c r="W495" s="2046">
        <v>3650</v>
      </c>
      <c r="X495" s="2502"/>
      <c r="Y495" s="2047">
        <v>0</v>
      </c>
      <c r="Z495" s="780">
        <f t="shared" si="398"/>
        <v>7906</v>
      </c>
      <c r="AA495" s="2007"/>
      <c r="AB495" s="2007"/>
      <c r="AC495" s="765"/>
      <c r="AD495" s="781">
        <f t="shared" si="682"/>
        <v>0</v>
      </c>
      <c r="AE495" s="778">
        <f t="shared" si="683"/>
        <v>0</v>
      </c>
      <c r="AF495" s="781">
        <f t="shared" si="684"/>
        <v>0</v>
      </c>
      <c r="AG495" s="781">
        <f t="shared" si="685"/>
        <v>0</v>
      </c>
      <c r="AH495" s="781">
        <f t="shared" si="686"/>
        <v>0</v>
      </c>
      <c r="AI495" s="782">
        <f t="shared" si="687"/>
        <v>0</v>
      </c>
      <c r="AJ495" s="781">
        <f t="shared" si="688"/>
        <v>0</v>
      </c>
      <c r="AK495" s="781">
        <f t="shared" si="689"/>
        <v>0</v>
      </c>
      <c r="AL495" s="781">
        <f t="shared" si="690"/>
        <v>0</v>
      </c>
      <c r="AM495" s="781">
        <f t="shared" si="691"/>
        <v>0</v>
      </c>
      <c r="AN495" s="781">
        <f t="shared" si="692"/>
        <v>0</v>
      </c>
      <c r="AO495" s="781">
        <f t="shared" si="693"/>
        <v>0</v>
      </c>
      <c r="AP495" s="781">
        <f t="shared" si="694"/>
        <v>0</v>
      </c>
      <c r="AQ495" s="781">
        <f t="shared" si="695"/>
        <v>0</v>
      </c>
      <c r="AR495" s="781">
        <f t="shared" si="696"/>
        <v>0</v>
      </c>
      <c r="AS495" s="783">
        <f t="shared" si="697"/>
        <v>0</v>
      </c>
    </row>
    <row r="496" spans="1:65" ht="15.75" hidden="1" outlineLevel="1" thickBot="1" x14ac:dyDescent="0.3">
      <c r="A496" s="784"/>
      <c r="B496" s="904">
        <f t="shared" si="681"/>
        <v>478</v>
      </c>
      <c r="C496" s="170" t="str">
        <f t="shared" si="678"/>
        <v>69EA</v>
      </c>
      <c r="D496" s="557"/>
      <c r="E496" s="170"/>
      <c r="F496" s="170">
        <v>69</v>
      </c>
      <c r="G496" s="2492" t="s">
        <v>3321</v>
      </c>
      <c r="H496" s="2039"/>
      <c r="I496" s="2008" t="s">
        <v>732</v>
      </c>
      <c r="J496" s="2039"/>
      <c r="K496" s="2039"/>
      <c r="L496" s="488"/>
      <c r="M496" s="2041">
        <v>0</v>
      </c>
      <c r="N496" s="2043">
        <v>1</v>
      </c>
      <c r="O496" s="1967">
        <f t="shared" si="396"/>
        <v>0</v>
      </c>
      <c r="P496" s="2076" t="s">
        <v>39</v>
      </c>
      <c r="Q496" s="2008" t="s">
        <v>39</v>
      </c>
      <c r="R496" s="2011" t="s">
        <v>74</v>
      </c>
      <c r="S496" s="912">
        <f>SUMIF('Data Input sheet'!$B$118:$B$180,R496,'Data Input sheet'!$D$118:$D$180)</f>
        <v>152</v>
      </c>
      <c r="T496" s="2686">
        <f t="shared" si="679"/>
        <v>0</v>
      </c>
      <c r="U496" s="2042"/>
      <c r="V496" s="1981">
        <f t="shared" si="680"/>
        <v>0</v>
      </c>
      <c r="W496" s="2046">
        <v>4500</v>
      </c>
      <c r="X496" s="2502"/>
      <c r="Y496" s="2047">
        <v>0</v>
      </c>
      <c r="Z496" s="780">
        <f t="shared" si="398"/>
        <v>4500</v>
      </c>
      <c r="AA496" s="2007"/>
      <c r="AB496" s="2007"/>
      <c r="AC496" s="765"/>
      <c r="AD496" s="781">
        <f t="shared" si="682"/>
        <v>0</v>
      </c>
      <c r="AE496" s="778">
        <f t="shared" si="683"/>
        <v>0</v>
      </c>
      <c r="AF496" s="781">
        <f t="shared" si="684"/>
        <v>0</v>
      </c>
      <c r="AG496" s="781">
        <f t="shared" si="685"/>
        <v>0</v>
      </c>
      <c r="AH496" s="781">
        <f t="shared" si="686"/>
        <v>0</v>
      </c>
      <c r="AI496" s="782">
        <f t="shared" si="687"/>
        <v>0</v>
      </c>
      <c r="AJ496" s="781">
        <f t="shared" si="688"/>
        <v>0</v>
      </c>
      <c r="AK496" s="781">
        <f t="shared" si="689"/>
        <v>0</v>
      </c>
      <c r="AL496" s="781">
        <f t="shared" si="690"/>
        <v>0</v>
      </c>
      <c r="AM496" s="781">
        <f t="shared" si="691"/>
        <v>0</v>
      </c>
      <c r="AN496" s="781">
        <f t="shared" si="692"/>
        <v>0</v>
      </c>
      <c r="AO496" s="781">
        <f t="shared" si="693"/>
        <v>0</v>
      </c>
      <c r="AP496" s="781">
        <f t="shared" si="694"/>
        <v>0</v>
      </c>
      <c r="AQ496" s="781">
        <f t="shared" si="695"/>
        <v>0</v>
      </c>
      <c r="AR496" s="781">
        <f t="shared" si="696"/>
        <v>0</v>
      </c>
      <c r="AS496" s="783">
        <f t="shared" si="697"/>
        <v>0</v>
      </c>
    </row>
    <row r="497" spans="1:50" ht="15.75" hidden="1" outlineLevel="1" thickBot="1" x14ac:dyDescent="0.3">
      <c r="A497" s="784"/>
      <c r="B497" s="904">
        <f t="shared" si="681"/>
        <v>479</v>
      </c>
      <c r="C497" s="170" t="str">
        <f t="shared" si="678"/>
        <v>69EA</v>
      </c>
      <c r="D497" s="557"/>
      <c r="E497" s="170"/>
      <c r="F497" s="170">
        <v>69</v>
      </c>
      <c r="G497" s="2492" t="s">
        <v>1791</v>
      </c>
      <c r="H497" s="2039"/>
      <c r="I497" s="2008" t="s">
        <v>732</v>
      </c>
      <c r="J497" s="2039"/>
      <c r="K497" s="2039"/>
      <c r="L497" s="488"/>
      <c r="M497" s="2041">
        <v>32</v>
      </c>
      <c r="N497" s="2043">
        <v>1</v>
      </c>
      <c r="O497" s="1967">
        <f t="shared" si="396"/>
        <v>32</v>
      </c>
      <c r="P497" s="2076" t="s">
        <v>39</v>
      </c>
      <c r="Q497" s="2008" t="s">
        <v>39</v>
      </c>
      <c r="R497" s="2011" t="s">
        <v>74</v>
      </c>
      <c r="S497" s="912">
        <f>SUMIF('Data Input sheet'!$B$118:$B$180,R497,'Data Input sheet'!$D$118:$D$180)</f>
        <v>152</v>
      </c>
      <c r="T497" s="2686">
        <f t="shared" si="679"/>
        <v>4864</v>
      </c>
      <c r="U497" s="2042">
        <v>14.8</v>
      </c>
      <c r="V497" s="1981">
        <f t="shared" si="680"/>
        <v>474</v>
      </c>
      <c r="W497" s="2046">
        <v>4000</v>
      </c>
      <c r="X497" s="2502"/>
      <c r="Y497" s="2047">
        <v>0</v>
      </c>
      <c r="Z497" s="780">
        <f t="shared" si="398"/>
        <v>9338</v>
      </c>
      <c r="AA497" s="2007" t="s">
        <v>3319</v>
      </c>
      <c r="AB497" s="2007"/>
      <c r="AC497" s="765"/>
      <c r="AD497" s="781">
        <f t="shared" si="682"/>
        <v>0</v>
      </c>
      <c r="AE497" s="778">
        <f t="shared" si="683"/>
        <v>0</v>
      </c>
      <c r="AF497" s="781">
        <f t="shared" si="684"/>
        <v>0</v>
      </c>
      <c r="AG497" s="781">
        <f t="shared" si="685"/>
        <v>0</v>
      </c>
      <c r="AH497" s="781">
        <f t="shared" si="686"/>
        <v>0</v>
      </c>
      <c r="AI497" s="782">
        <f t="shared" si="687"/>
        <v>0</v>
      </c>
      <c r="AJ497" s="781">
        <f t="shared" si="688"/>
        <v>0</v>
      </c>
      <c r="AK497" s="781">
        <f t="shared" si="689"/>
        <v>0</v>
      </c>
      <c r="AL497" s="781">
        <f t="shared" si="690"/>
        <v>0</v>
      </c>
      <c r="AM497" s="781">
        <f t="shared" si="691"/>
        <v>0</v>
      </c>
      <c r="AN497" s="781">
        <f t="shared" si="692"/>
        <v>0</v>
      </c>
      <c r="AO497" s="781">
        <f t="shared" si="693"/>
        <v>0</v>
      </c>
      <c r="AP497" s="781">
        <f t="shared" si="694"/>
        <v>0</v>
      </c>
      <c r="AQ497" s="781">
        <f t="shared" si="695"/>
        <v>0</v>
      </c>
      <c r="AR497" s="781">
        <f t="shared" si="696"/>
        <v>0</v>
      </c>
      <c r="AS497" s="783">
        <f t="shared" si="697"/>
        <v>0</v>
      </c>
    </row>
    <row r="498" spans="1:50" ht="26.25" hidden="1" outlineLevel="1" thickBot="1" x14ac:dyDescent="0.3">
      <c r="A498" s="784"/>
      <c r="B498" s="904">
        <f t="shared" si="681"/>
        <v>480</v>
      </c>
      <c r="C498" s="170" t="str">
        <f t="shared" si="678"/>
        <v>69EA</v>
      </c>
      <c r="D498" s="557"/>
      <c r="E498" s="170"/>
      <c r="F498" s="170">
        <v>69</v>
      </c>
      <c r="G498" s="2492" t="s">
        <v>1792</v>
      </c>
      <c r="H498" s="2039"/>
      <c r="I498" s="2008" t="s">
        <v>732</v>
      </c>
      <c r="J498" s="2039"/>
      <c r="K498" s="2039"/>
      <c r="L498" s="488"/>
      <c r="M498" s="2041">
        <v>20</v>
      </c>
      <c r="N498" s="2043">
        <v>1</v>
      </c>
      <c r="O498" s="1967">
        <f t="shared" si="396"/>
        <v>20</v>
      </c>
      <c r="P498" s="2076" t="s">
        <v>39</v>
      </c>
      <c r="Q498" s="2008" t="s">
        <v>39</v>
      </c>
      <c r="R498" s="2011" t="s">
        <v>74</v>
      </c>
      <c r="S498" s="912">
        <f>SUMIF('Data Input sheet'!$B$118:$B$180,R498,'Data Input sheet'!$D$118:$D$180)</f>
        <v>152</v>
      </c>
      <c r="T498" s="2686">
        <f t="shared" si="679"/>
        <v>3040</v>
      </c>
      <c r="U498" s="2042"/>
      <c r="V498" s="1981">
        <f t="shared" si="680"/>
        <v>0</v>
      </c>
      <c r="W498" s="2046">
        <v>1050</v>
      </c>
      <c r="X498" s="2502"/>
      <c r="Y498" s="2047">
        <v>0</v>
      </c>
      <c r="Z498" s="780">
        <f t="shared" si="398"/>
        <v>4090</v>
      </c>
      <c r="AA498" s="2007"/>
      <c r="AB498" s="2007"/>
      <c r="AC498" s="765"/>
      <c r="AD498" s="781">
        <f t="shared" si="682"/>
        <v>0</v>
      </c>
      <c r="AE498" s="778">
        <f t="shared" si="683"/>
        <v>0</v>
      </c>
      <c r="AF498" s="781">
        <f t="shared" si="684"/>
        <v>0</v>
      </c>
      <c r="AG498" s="781">
        <f t="shared" si="685"/>
        <v>0</v>
      </c>
      <c r="AH498" s="781">
        <f t="shared" si="686"/>
        <v>0</v>
      </c>
      <c r="AI498" s="782">
        <f t="shared" si="687"/>
        <v>0</v>
      </c>
      <c r="AJ498" s="781">
        <f t="shared" si="688"/>
        <v>0</v>
      </c>
      <c r="AK498" s="781">
        <f t="shared" si="689"/>
        <v>0</v>
      </c>
      <c r="AL498" s="781">
        <f t="shared" si="690"/>
        <v>0</v>
      </c>
      <c r="AM498" s="781">
        <f t="shared" si="691"/>
        <v>0</v>
      </c>
      <c r="AN498" s="781">
        <f t="shared" si="692"/>
        <v>0</v>
      </c>
      <c r="AO498" s="781">
        <f t="shared" si="693"/>
        <v>0</v>
      </c>
      <c r="AP498" s="781">
        <f t="shared" si="694"/>
        <v>0</v>
      </c>
      <c r="AQ498" s="781">
        <f t="shared" si="695"/>
        <v>0</v>
      </c>
      <c r="AR498" s="781">
        <f t="shared" si="696"/>
        <v>0</v>
      </c>
      <c r="AS498" s="783">
        <f t="shared" si="697"/>
        <v>0</v>
      </c>
    </row>
    <row r="499" spans="1:50" ht="15.75" hidden="1" outlineLevel="1" thickBot="1" x14ac:dyDescent="0.3">
      <c r="A499" s="784"/>
      <c r="B499" s="904">
        <f t="shared" si="681"/>
        <v>481</v>
      </c>
      <c r="C499" s="170" t="str">
        <f t="shared" si="678"/>
        <v/>
      </c>
      <c r="D499" s="557"/>
      <c r="E499" s="170"/>
      <c r="F499" s="170"/>
      <c r="G499" s="1954" t="s">
        <v>1703</v>
      </c>
      <c r="H499" s="2640"/>
      <c r="I499" s="2008"/>
      <c r="J499" s="2039"/>
      <c r="K499" s="2039"/>
      <c r="L499" s="488"/>
      <c r="M499" s="2041"/>
      <c r="N499" s="2041"/>
      <c r="O499" s="1967"/>
      <c r="P499" s="2076"/>
      <c r="Q499" s="2008"/>
      <c r="R499" s="2011"/>
      <c r="S499" s="912">
        <f>SUMIF('Data Input sheet'!$B$118:$B$180,R499,'Data Input sheet'!$D$118:$D$180)</f>
        <v>0</v>
      </c>
      <c r="T499" s="2686"/>
      <c r="U499" s="2042"/>
      <c r="V499" s="1981">
        <f>ROUND(U499*O499,0)</f>
        <v>0</v>
      </c>
      <c r="W499" s="2045"/>
      <c r="X499" s="2502"/>
      <c r="Y499" s="2047"/>
      <c r="Z499" s="2502"/>
      <c r="AA499" s="2007"/>
      <c r="AB499" s="2007"/>
      <c r="AC499" s="765"/>
      <c r="AD499" s="781">
        <f>IF(P499="E",+ROUND(H499*O499,0),0)</f>
        <v>0</v>
      </c>
      <c r="AE499" s="778">
        <f>+AF499-AD499</f>
        <v>0</v>
      </c>
      <c r="AF499" s="781">
        <f>+H499*O499</f>
        <v>0</v>
      </c>
      <c r="AG499" s="781">
        <f>IF(P499="E",+ROUND(T499*H499,0),0)</f>
        <v>0</v>
      </c>
      <c r="AH499" s="781">
        <f>+AI499-AG499</f>
        <v>0</v>
      </c>
      <c r="AI499" s="782">
        <f>+H499*T499</f>
        <v>0</v>
      </c>
      <c r="AJ499" s="781">
        <f>IF(P499="E",+ROUND(V499*H499,0),0)</f>
        <v>0</v>
      </c>
      <c r="AK499" s="781">
        <f>+AL499-AJ499</f>
        <v>0</v>
      </c>
      <c r="AL499" s="781">
        <f>ROUND(V499*H499,0)</f>
        <v>0</v>
      </c>
      <c r="AM499" s="781">
        <f>IF(Q499="E",+ROUND(W499*H499,0),0)</f>
        <v>0</v>
      </c>
      <c r="AN499" s="781">
        <f>+AO499-AM499</f>
        <v>0</v>
      </c>
      <c r="AO499" s="781">
        <f>ROUND(W499*H499,0)</f>
        <v>0</v>
      </c>
      <c r="AP499" s="781">
        <f>IF(P499="E",+ROUND(Y499*H499,0),0)</f>
        <v>0</v>
      </c>
      <c r="AQ499" s="781">
        <f>+AR499-AP499</f>
        <v>0</v>
      </c>
      <c r="AR499" s="781">
        <f>ROUND(Y499*H499,0)</f>
        <v>0</v>
      </c>
      <c r="AS499" s="783">
        <f>+AR499+AO499+AL499+AI499</f>
        <v>0</v>
      </c>
    </row>
    <row r="500" spans="1:50" ht="15.75" hidden="1" outlineLevel="1" thickBot="1" x14ac:dyDescent="0.3">
      <c r="A500" s="784"/>
      <c r="B500" s="904">
        <f t="shared" si="681"/>
        <v>482</v>
      </c>
      <c r="C500" s="170" t="str">
        <f t="shared" si="678"/>
        <v>53EA</v>
      </c>
      <c r="D500" s="557"/>
      <c r="E500" s="170"/>
      <c r="F500" s="170">
        <v>53</v>
      </c>
      <c r="G500" s="2492" t="s">
        <v>1704</v>
      </c>
      <c r="H500" s="2039"/>
      <c r="I500" s="2008" t="s">
        <v>732</v>
      </c>
      <c r="J500" s="2039"/>
      <c r="K500" s="2039"/>
      <c r="L500" s="488"/>
      <c r="M500" s="2041">
        <v>22.5</v>
      </c>
      <c r="N500" s="2043">
        <v>1</v>
      </c>
      <c r="O500" s="1967">
        <f t="shared" ref="O500:O503" si="698">+M500*N500</f>
        <v>22.5</v>
      </c>
      <c r="P500" s="2076" t="s">
        <v>39</v>
      </c>
      <c r="Q500" s="2008" t="s">
        <v>39</v>
      </c>
      <c r="R500" s="2011" t="s">
        <v>74</v>
      </c>
      <c r="S500" s="912">
        <f>SUMIF('Data Input sheet'!$B$118:$B$180,R500,'Data Input sheet'!$D$118:$D$180)</f>
        <v>152</v>
      </c>
      <c r="T500" s="2686">
        <f t="shared" ref="T500:T503" si="699">ROUND(O500*S500,0)</f>
        <v>3420</v>
      </c>
      <c r="U500" s="2042"/>
      <c r="V500" s="1981">
        <f>ROUND(U500*O500,0)</f>
        <v>0</v>
      </c>
      <c r="W500" s="2046">
        <v>1807</v>
      </c>
      <c r="X500" s="1960"/>
      <c r="Y500" s="2047">
        <v>0</v>
      </c>
      <c r="Z500" s="780">
        <f t="shared" ref="Z500:Z503" si="700">T500+V500+W500+Y500</f>
        <v>5227</v>
      </c>
      <c r="AA500" s="2007"/>
      <c r="AB500" s="2007"/>
      <c r="AC500" s="765"/>
      <c r="AD500" s="781">
        <f>IF(P500="E",+ROUND(H500*O500,0),0)</f>
        <v>0</v>
      </c>
      <c r="AE500" s="778">
        <f>+AF500-AD500</f>
        <v>0</v>
      </c>
      <c r="AF500" s="781">
        <f>+H500*O500</f>
        <v>0</v>
      </c>
      <c r="AG500" s="781">
        <f>IF(P500="E",+ROUND(T500*H500,0),0)</f>
        <v>0</v>
      </c>
      <c r="AH500" s="781">
        <f>+AI500-AG500</f>
        <v>0</v>
      </c>
      <c r="AI500" s="782">
        <f>+H500*T500</f>
        <v>0</v>
      </c>
      <c r="AJ500" s="781">
        <f>IF(P500="E",+ROUND(V500*H500,0),0)</f>
        <v>0</v>
      </c>
      <c r="AK500" s="781">
        <f>+AL500-AJ500</f>
        <v>0</v>
      </c>
      <c r="AL500" s="781">
        <f>ROUND(V500*H500,0)</f>
        <v>0</v>
      </c>
      <c r="AM500" s="781">
        <f>IF(Q500="E",+ROUND(W500*H500,0),0)</f>
        <v>0</v>
      </c>
      <c r="AN500" s="781">
        <f>+AO500-AM500</f>
        <v>0</v>
      </c>
      <c r="AO500" s="781">
        <f>ROUND(W500*H500,0)</f>
        <v>0</v>
      </c>
      <c r="AP500" s="781">
        <f>IF(P500="E",+ROUND(Y500*H500,0),0)</f>
        <v>0</v>
      </c>
      <c r="AQ500" s="781">
        <f>+AR500-AP500</f>
        <v>0</v>
      </c>
      <c r="AR500" s="781">
        <f>ROUND(Y500*H500,0)</f>
        <v>0</v>
      </c>
      <c r="AS500" s="783">
        <f>+AR500+AO500+AL500+AI500</f>
        <v>0</v>
      </c>
      <c r="AX500" s="833" t="s">
        <v>3317</v>
      </c>
    </row>
    <row r="501" spans="1:50" ht="15.75" hidden="1" outlineLevel="1" thickBot="1" x14ac:dyDescent="0.3">
      <c r="A501" s="784"/>
      <c r="B501" s="904">
        <f t="shared" si="681"/>
        <v>483</v>
      </c>
      <c r="C501" s="170" t="str">
        <f t="shared" si="678"/>
        <v>53EA</v>
      </c>
      <c r="D501" s="557"/>
      <c r="E501" s="170"/>
      <c r="F501" s="170">
        <v>53</v>
      </c>
      <c r="G501" s="2492" t="s">
        <v>1705</v>
      </c>
      <c r="H501" s="2039"/>
      <c r="I501" s="2008" t="s">
        <v>732</v>
      </c>
      <c r="J501" s="2039"/>
      <c r="K501" s="2039"/>
      <c r="L501" s="488"/>
      <c r="M501" s="2041">
        <v>16.5</v>
      </c>
      <c r="N501" s="2043">
        <v>1</v>
      </c>
      <c r="O501" s="1967">
        <f t="shared" si="698"/>
        <v>16.5</v>
      </c>
      <c r="P501" s="2076" t="s">
        <v>39</v>
      </c>
      <c r="Q501" s="2008" t="s">
        <v>39</v>
      </c>
      <c r="R501" s="2011" t="s">
        <v>74</v>
      </c>
      <c r="S501" s="912">
        <f>SUMIF('Data Input sheet'!$B$118:$B$180,R501,'Data Input sheet'!$D$118:$D$180)</f>
        <v>152</v>
      </c>
      <c r="T501" s="2686">
        <f t="shared" si="699"/>
        <v>2508</v>
      </c>
      <c r="U501" s="2042"/>
      <c r="V501" s="1981">
        <f>ROUND(U501*O501,0)</f>
        <v>0</v>
      </c>
      <c r="W501" s="2046">
        <v>960</v>
      </c>
      <c r="X501" s="1960"/>
      <c r="Y501" s="2047">
        <v>0</v>
      </c>
      <c r="Z501" s="780">
        <f t="shared" si="700"/>
        <v>3468</v>
      </c>
      <c r="AA501" s="2007"/>
      <c r="AB501" s="2007"/>
      <c r="AC501" s="765"/>
      <c r="AD501" s="781">
        <f>IF(P501="E",+ROUND(H501*O501,0),0)</f>
        <v>0</v>
      </c>
      <c r="AE501" s="778">
        <f>+AF501-AD501</f>
        <v>0</v>
      </c>
      <c r="AF501" s="781">
        <f>+H501*O501</f>
        <v>0</v>
      </c>
      <c r="AG501" s="781">
        <f>IF(P501="E",+ROUND(T501*H501,0),0)</f>
        <v>0</v>
      </c>
      <c r="AH501" s="781">
        <f>+AI501-AG501</f>
        <v>0</v>
      </c>
      <c r="AI501" s="782">
        <f>+H501*T501</f>
        <v>0</v>
      </c>
      <c r="AJ501" s="781">
        <f>IF(P501="E",+ROUND(V501*H501,0),0)</f>
        <v>0</v>
      </c>
      <c r="AK501" s="781">
        <f>+AL501-AJ501</f>
        <v>0</v>
      </c>
      <c r="AL501" s="781">
        <f>ROUND(V501*H501,0)</f>
        <v>0</v>
      </c>
      <c r="AM501" s="781">
        <f>IF(Q501="E",+ROUND(W501*H501,0),0)</f>
        <v>0</v>
      </c>
      <c r="AN501" s="781">
        <f>+AO501-AM501</f>
        <v>0</v>
      </c>
      <c r="AO501" s="781">
        <f>ROUND(W501*H501,0)</f>
        <v>0</v>
      </c>
      <c r="AP501" s="781">
        <f>IF(P501="E",+ROUND(Y501*H501,0),0)</f>
        <v>0</v>
      </c>
      <c r="AQ501" s="781">
        <f>+AR501-AP501</f>
        <v>0</v>
      </c>
      <c r="AR501" s="781">
        <f>ROUND(Y501*H501,0)</f>
        <v>0</v>
      </c>
      <c r="AS501" s="783">
        <f>+AR501+AO501+AL501+AI501</f>
        <v>0</v>
      </c>
      <c r="AX501" s="833" t="s">
        <v>3318</v>
      </c>
    </row>
    <row r="502" spans="1:50" ht="15.75" hidden="1" outlineLevel="1" thickBot="1" x14ac:dyDescent="0.3">
      <c r="A502" s="784"/>
      <c r="B502" s="904">
        <f t="shared" si="681"/>
        <v>484</v>
      </c>
      <c r="C502" s="170" t="str">
        <f t="shared" si="678"/>
        <v>53EA</v>
      </c>
      <c r="D502" s="557"/>
      <c r="E502" s="170"/>
      <c r="F502" s="170">
        <v>53</v>
      </c>
      <c r="G502" s="2492" t="s">
        <v>3300</v>
      </c>
      <c r="H502" s="2039"/>
      <c r="I502" s="2008" t="s">
        <v>732</v>
      </c>
      <c r="J502" s="2039"/>
      <c r="K502" s="2039"/>
      <c r="L502" s="488"/>
      <c r="M502" s="2041">
        <v>11.55</v>
      </c>
      <c r="N502" s="2043">
        <v>1</v>
      </c>
      <c r="O502" s="1967">
        <f t="shared" si="698"/>
        <v>11.55</v>
      </c>
      <c r="P502" s="2076" t="s">
        <v>39</v>
      </c>
      <c r="Q502" s="2008" t="s">
        <v>39</v>
      </c>
      <c r="R502" s="2011" t="s">
        <v>74</v>
      </c>
      <c r="S502" s="912">
        <f>SUMIF('Data Input sheet'!$B$118:$B$180,R502,'Data Input sheet'!$D$118:$D$180)</f>
        <v>152</v>
      </c>
      <c r="T502" s="2686">
        <f t="shared" si="699"/>
        <v>1756</v>
      </c>
      <c r="U502" s="2042"/>
      <c r="V502" s="1981">
        <f>ROUND(U502*O502,0)</f>
        <v>0</v>
      </c>
      <c r="W502" s="2046">
        <v>380</v>
      </c>
      <c r="X502" s="1960"/>
      <c r="Y502" s="2047">
        <v>0</v>
      </c>
      <c r="Z502" s="780">
        <f t="shared" si="700"/>
        <v>2136</v>
      </c>
      <c r="AA502" s="2007"/>
      <c r="AB502" s="2007"/>
      <c r="AC502" s="765"/>
      <c r="AD502" s="781">
        <f>IF(P502="E",+ROUND(H502*O502,0),0)</f>
        <v>0</v>
      </c>
      <c r="AE502" s="778">
        <f>+AF502-AD502</f>
        <v>0</v>
      </c>
      <c r="AF502" s="781">
        <f>+H502*O502</f>
        <v>0</v>
      </c>
      <c r="AG502" s="781">
        <f>IF(P502="E",+ROUND(T502*H502,0),0)</f>
        <v>0</v>
      </c>
      <c r="AH502" s="781">
        <f>+AI502-AG502</f>
        <v>0</v>
      </c>
      <c r="AI502" s="782">
        <f>+H502*T502</f>
        <v>0</v>
      </c>
      <c r="AJ502" s="781">
        <f>IF(P502="E",+ROUND(V502*H502,0),0)</f>
        <v>0</v>
      </c>
      <c r="AK502" s="781">
        <f>+AL502-AJ502</f>
        <v>0</v>
      </c>
      <c r="AL502" s="781">
        <f>ROUND(V502*H502,0)</f>
        <v>0</v>
      </c>
      <c r="AM502" s="781">
        <f>IF(Q502="E",+ROUND(W502*H502,0),0)</f>
        <v>0</v>
      </c>
      <c r="AN502" s="781">
        <f>+AO502-AM502</f>
        <v>0</v>
      </c>
      <c r="AO502" s="781">
        <f>ROUND(W502*H502,0)</f>
        <v>0</v>
      </c>
      <c r="AP502" s="781">
        <f>IF(P502="E",+ROUND(Y502*H502,0),0)</f>
        <v>0</v>
      </c>
      <c r="AQ502" s="781">
        <f>+AR502-AP502</f>
        <v>0</v>
      </c>
      <c r="AR502" s="781">
        <f>ROUND(Y502*H502,0)</f>
        <v>0</v>
      </c>
      <c r="AS502" s="783">
        <f>+AR502+AO502+AL502+AI502</f>
        <v>0</v>
      </c>
      <c r="AX502" s="833" t="s">
        <v>3317</v>
      </c>
    </row>
    <row r="503" spans="1:50" ht="15.75" hidden="1" outlineLevel="1" thickBot="1" x14ac:dyDescent="0.3">
      <c r="A503" s="784"/>
      <c r="B503" s="904">
        <f t="shared" si="681"/>
        <v>485</v>
      </c>
      <c r="C503" s="170" t="str">
        <f t="shared" si="678"/>
        <v>53EA</v>
      </c>
      <c r="D503" s="557"/>
      <c r="E503" s="170"/>
      <c r="F503" s="170">
        <v>53</v>
      </c>
      <c r="G503" s="2492" t="s">
        <v>1706</v>
      </c>
      <c r="H503" s="2039"/>
      <c r="I503" s="2008" t="s">
        <v>732</v>
      </c>
      <c r="J503" s="2039"/>
      <c r="K503" s="2039"/>
      <c r="L503" s="488"/>
      <c r="M503" s="2041">
        <v>6.6</v>
      </c>
      <c r="N503" s="2043">
        <v>1</v>
      </c>
      <c r="O503" s="1967">
        <f t="shared" si="698"/>
        <v>6.6</v>
      </c>
      <c r="P503" s="2076" t="s">
        <v>39</v>
      </c>
      <c r="Q503" s="2008" t="s">
        <v>39</v>
      </c>
      <c r="R503" s="2011" t="s">
        <v>74</v>
      </c>
      <c r="S503" s="912">
        <f>SUMIF('Data Input sheet'!$B$118:$B$180,R503,'Data Input sheet'!$D$118:$D$180)</f>
        <v>152</v>
      </c>
      <c r="T503" s="2686">
        <f t="shared" si="699"/>
        <v>1003</v>
      </c>
      <c r="U503" s="2042"/>
      <c r="V503" s="1981">
        <f>ROUND(U503*O503,0)</f>
        <v>0</v>
      </c>
      <c r="W503" s="2046">
        <v>310</v>
      </c>
      <c r="X503" s="1960"/>
      <c r="Y503" s="2047">
        <v>0</v>
      </c>
      <c r="Z503" s="780">
        <f t="shared" si="700"/>
        <v>1313</v>
      </c>
      <c r="AA503" s="2007"/>
      <c r="AB503" s="2007"/>
      <c r="AC503" s="765"/>
      <c r="AD503" s="781">
        <f>IF(P503="E",+ROUND(H503*O503,0),0)</f>
        <v>0</v>
      </c>
      <c r="AE503" s="778">
        <f>+AF503-AD503</f>
        <v>0</v>
      </c>
      <c r="AF503" s="781">
        <f>+H503*O503</f>
        <v>0</v>
      </c>
      <c r="AG503" s="781">
        <f>IF(P503="E",+ROUND(T503*H503,0),0)</f>
        <v>0</v>
      </c>
      <c r="AH503" s="781">
        <f>+AI503-AG503</f>
        <v>0</v>
      </c>
      <c r="AI503" s="782">
        <f>+H503*T503</f>
        <v>0</v>
      </c>
      <c r="AJ503" s="781">
        <f>IF(P503="E",+ROUND(V503*H503,0),0)</f>
        <v>0</v>
      </c>
      <c r="AK503" s="781">
        <f>+AL503-AJ503</f>
        <v>0</v>
      </c>
      <c r="AL503" s="781">
        <f>ROUND(V503*H503,0)</f>
        <v>0</v>
      </c>
      <c r="AM503" s="781">
        <f>IF(Q503="E",+ROUND(W503*H503,0),0)</f>
        <v>0</v>
      </c>
      <c r="AN503" s="781">
        <f>+AO503-AM503</f>
        <v>0</v>
      </c>
      <c r="AO503" s="781">
        <f>ROUND(W503*H503,0)</f>
        <v>0</v>
      </c>
      <c r="AP503" s="781">
        <f>IF(P503="E",+ROUND(Y503*H503,0),0)</f>
        <v>0</v>
      </c>
      <c r="AQ503" s="781">
        <f>+AR503-AP503</f>
        <v>0</v>
      </c>
      <c r="AR503" s="781">
        <f>ROUND(Y503*H503,0)</f>
        <v>0</v>
      </c>
      <c r="AS503" s="783">
        <f>+AR503+AO503+AL503+AI503</f>
        <v>0</v>
      </c>
      <c r="AX503" s="833" t="s">
        <v>3318</v>
      </c>
    </row>
    <row r="504" spans="1:50" ht="15.75" hidden="1" outlineLevel="1" thickBot="1" x14ac:dyDescent="0.3">
      <c r="A504" s="784"/>
      <c r="B504" s="904">
        <f t="shared" si="681"/>
        <v>486</v>
      </c>
      <c r="C504" s="170" t="str">
        <f t="shared" si="678"/>
        <v/>
      </c>
      <c r="D504" s="557"/>
      <c r="E504" s="170"/>
      <c r="F504" s="170"/>
      <c r="G504" s="2491" t="s">
        <v>3131</v>
      </c>
      <c r="H504" s="2640"/>
      <c r="I504" s="2008"/>
      <c r="J504" s="2039"/>
      <c r="K504" s="2039"/>
      <c r="L504" s="488"/>
      <c r="M504" s="2041">
        <v>0</v>
      </c>
      <c r="N504" s="2043"/>
      <c r="O504" s="2499"/>
      <c r="P504" s="2076"/>
      <c r="Q504" s="2008"/>
      <c r="R504" s="2011"/>
      <c r="S504" s="912">
        <f>SUMIF('Data Input sheet'!$B$118:$B$180,R504,'Data Input sheet'!$D$118:$D$180)</f>
        <v>0</v>
      </c>
      <c r="T504" s="2686"/>
      <c r="U504" s="2042"/>
      <c r="V504" s="2501">
        <f t="shared" ref="V504:V514" si="701">ROUND(U504*O504,0)</f>
        <v>0</v>
      </c>
      <c r="W504" s="2045"/>
      <c r="X504" s="2502"/>
      <c r="Y504" s="2047"/>
      <c r="Z504" s="2500"/>
      <c r="AA504" s="2007"/>
      <c r="AB504" s="2007"/>
      <c r="AC504" s="765"/>
      <c r="AD504" s="781">
        <f t="shared" si="682"/>
        <v>0</v>
      </c>
      <c r="AE504" s="778">
        <f t="shared" si="683"/>
        <v>0</v>
      </c>
      <c r="AF504" s="781">
        <f t="shared" si="684"/>
        <v>0</v>
      </c>
      <c r="AG504" s="781">
        <f t="shared" si="685"/>
        <v>0</v>
      </c>
      <c r="AH504" s="781">
        <f t="shared" si="686"/>
        <v>0</v>
      </c>
      <c r="AI504" s="782">
        <f t="shared" si="687"/>
        <v>0</v>
      </c>
      <c r="AJ504" s="781">
        <f t="shared" si="688"/>
        <v>0</v>
      </c>
      <c r="AK504" s="781">
        <f t="shared" si="689"/>
        <v>0</v>
      </c>
      <c r="AL504" s="781">
        <f t="shared" si="690"/>
        <v>0</v>
      </c>
      <c r="AM504" s="781">
        <f t="shared" si="691"/>
        <v>0</v>
      </c>
      <c r="AN504" s="781">
        <f t="shared" si="692"/>
        <v>0</v>
      </c>
      <c r="AO504" s="781">
        <f t="shared" si="693"/>
        <v>0</v>
      </c>
      <c r="AP504" s="781">
        <f t="shared" si="694"/>
        <v>0</v>
      </c>
      <c r="AQ504" s="781">
        <f t="shared" si="695"/>
        <v>0</v>
      </c>
      <c r="AR504" s="781">
        <f t="shared" si="696"/>
        <v>0</v>
      </c>
      <c r="AS504" s="783">
        <f t="shared" si="697"/>
        <v>0</v>
      </c>
      <c r="AT504" s="917"/>
      <c r="AV504" s="170"/>
      <c r="AW504" s="832"/>
      <c r="AX504" s="833"/>
    </row>
    <row r="505" spans="1:50" ht="15.75" hidden="1" outlineLevel="1" thickBot="1" x14ac:dyDescent="0.3">
      <c r="A505" s="784"/>
      <c r="B505" s="904">
        <f t="shared" si="681"/>
        <v>487</v>
      </c>
      <c r="C505" s="170" t="str">
        <f t="shared" si="678"/>
        <v>53EA</v>
      </c>
      <c r="D505" s="557"/>
      <c r="E505" s="170"/>
      <c r="F505" s="170">
        <v>53</v>
      </c>
      <c r="G505" s="2492" t="s">
        <v>3132</v>
      </c>
      <c r="H505" s="2039"/>
      <c r="I505" s="2008" t="s">
        <v>732</v>
      </c>
      <c r="J505" s="2039"/>
      <c r="K505" s="2039"/>
      <c r="L505" s="488"/>
      <c r="M505" s="2041">
        <v>27</v>
      </c>
      <c r="N505" s="2043">
        <v>1</v>
      </c>
      <c r="O505" s="1967">
        <f t="shared" ref="O505:O514" si="702">+M505*N505</f>
        <v>27</v>
      </c>
      <c r="P505" s="2076" t="s">
        <v>39</v>
      </c>
      <c r="Q505" s="2008" t="s">
        <v>39</v>
      </c>
      <c r="R505" s="2011" t="s">
        <v>74</v>
      </c>
      <c r="S505" s="912">
        <f>SUMIF('Data Input sheet'!$B$118:$B$180,R505,'Data Input sheet'!$D$118:$D$180)</f>
        <v>152</v>
      </c>
      <c r="T505" s="2686">
        <f t="shared" ref="T505:T514" si="703">ROUND(O505*S505,0)</f>
        <v>4104</v>
      </c>
      <c r="U505" s="2042">
        <v>14.8</v>
      </c>
      <c r="V505" s="1981">
        <f t="shared" si="701"/>
        <v>400</v>
      </c>
      <c r="W505" s="2046">
        <v>12600</v>
      </c>
      <c r="X505" s="2502"/>
      <c r="Y505" s="2047">
        <v>0</v>
      </c>
      <c r="Z505" s="780">
        <f t="shared" ref="Z505:Z514" si="704">T505+V505+W505+Y505</f>
        <v>17104</v>
      </c>
      <c r="AA505" s="2007"/>
      <c r="AB505" s="2007"/>
      <c r="AC505" s="765"/>
      <c r="AD505" s="781">
        <f t="shared" si="682"/>
        <v>0</v>
      </c>
      <c r="AE505" s="778">
        <f t="shared" si="683"/>
        <v>0</v>
      </c>
      <c r="AF505" s="781">
        <f t="shared" si="684"/>
        <v>0</v>
      </c>
      <c r="AG505" s="781">
        <f t="shared" si="685"/>
        <v>0</v>
      </c>
      <c r="AH505" s="781">
        <f t="shared" si="686"/>
        <v>0</v>
      </c>
      <c r="AI505" s="782">
        <f t="shared" si="687"/>
        <v>0</v>
      </c>
      <c r="AJ505" s="781">
        <f t="shared" si="688"/>
        <v>0</v>
      </c>
      <c r="AK505" s="781">
        <f t="shared" si="689"/>
        <v>0</v>
      </c>
      <c r="AL505" s="781">
        <f t="shared" si="690"/>
        <v>0</v>
      </c>
      <c r="AM505" s="781">
        <f t="shared" si="691"/>
        <v>0</v>
      </c>
      <c r="AN505" s="781">
        <f t="shared" si="692"/>
        <v>0</v>
      </c>
      <c r="AO505" s="781">
        <f t="shared" si="693"/>
        <v>0</v>
      </c>
      <c r="AP505" s="781">
        <f t="shared" si="694"/>
        <v>0</v>
      </c>
      <c r="AQ505" s="781">
        <f t="shared" si="695"/>
        <v>0</v>
      </c>
      <c r="AR505" s="781">
        <f t="shared" si="696"/>
        <v>0</v>
      </c>
      <c r="AS505" s="783">
        <f t="shared" si="697"/>
        <v>0</v>
      </c>
      <c r="AT505" s="917"/>
      <c r="AV505" s="170"/>
      <c r="AW505" s="832"/>
      <c r="AX505" s="833" t="s">
        <v>3299</v>
      </c>
    </row>
    <row r="506" spans="1:50" ht="15.75" hidden="1" outlineLevel="1" thickBot="1" x14ac:dyDescent="0.3">
      <c r="A506" s="784"/>
      <c r="B506" s="904">
        <f t="shared" si="681"/>
        <v>488</v>
      </c>
      <c r="C506" s="170" t="str">
        <f t="shared" si="678"/>
        <v>53EA</v>
      </c>
      <c r="D506" s="557"/>
      <c r="E506" s="170"/>
      <c r="F506" s="170">
        <v>53</v>
      </c>
      <c r="G506" s="2492" t="s">
        <v>1708</v>
      </c>
      <c r="H506" s="2039"/>
      <c r="I506" s="2008" t="s">
        <v>732</v>
      </c>
      <c r="J506" s="2039"/>
      <c r="K506" s="2039"/>
      <c r="L506" s="488"/>
      <c r="M506" s="2041">
        <v>36</v>
      </c>
      <c r="N506" s="2043">
        <v>1</v>
      </c>
      <c r="O506" s="1967">
        <f t="shared" si="702"/>
        <v>36</v>
      </c>
      <c r="P506" s="2076" t="s">
        <v>39</v>
      </c>
      <c r="Q506" s="2008" t="s">
        <v>39</v>
      </c>
      <c r="R506" s="2011" t="s">
        <v>74</v>
      </c>
      <c r="S506" s="912">
        <f>SUMIF('Data Input sheet'!$B$118:$B$180,R506,'Data Input sheet'!$D$118:$D$180)</f>
        <v>152</v>
      </c>
      <c r="T506" s="2686">
        <f t="shared" si="703"/>
        <v>5472</v>
      </c>
      <c r="U506" s="2042">
        <v>14.8</v>
      </c>
      <c r="V506" s="1981">
        <f t="shared" si="701"/>
        <v>533</v>
      </c>
      <c r="W506" s="2046">
        <v>9050</v>
      </c>
      <c r="X506" s="2502"/>
      <c r="Y506" s="2047">
        <v>0</v>
      </c>
      <c r="Z506" s="780">
        <f t="shared" si="704"/>
        <v>15055</v>
      </c>
      <c r="AA506" s="2007" t="s">
        <v>3314</v>
      </c>
      <c r="AB506" s="2007"/>
      <c r="AC506" s="765"/>
      <c r="AD506" s="781">
        <f t="shared" si="682"/>
        <v>0</v>
      </c>
      <c r="AE506" s="778">
        <f t="shared" si="683"/>
        <v>0</v>
      </c>
      <c r="AF506" s="781">
        <f t="shared" si="684"/>
        <v>0</v>
      </c>
      <c r="AG506" s="781">
        <f t="shared" si="685"/>
        <v>0</v>
      </c>
      <c r="AH506" s="781">
        <f t="shared" si="686"/>
        <v>0</v>
      </c>
      <c r="AI506" s="782">
        <f t="shared" si="687"/>
        <v>0</v>
      </c>
      <c r="AJ506" s="781">
        <f t="shared" si="688"/>
        <v>0</v>
      </c>
      <c r="AK506" s="781">
        <f t="shared" si="689"/>
        <v>0</v>
      </c>
      <c r="AL506" s="781">
        <f t="shared" si="690"/>
        <v>0</v>
      </c>
      <c r="AM506" s="781">
        <f t="shared" si="691"/>
        <v>0</v>
      </c>
      <c r="AN506" s="781">
        <f t="shared" si="692"/>
        <v>0</v>
      </c>
      <c r="AO506" s="781">
        <f t="shared" si="693"/>
        <v>0</v>
      </c>
      <c r="AP506" s="781">
        <f t="shared" si="694"/>
        <v>0</v>
      </c>
      <c r="AQ506" s="781">
        <f t="shared" si="695"/>
        <v>0</v>
      </c>
      <c r="AR506" s="781">
        <f t="shared" si="696"/>
        <v>0</v>
      </c>
      <c r="AS506" s="783">
        <f t="shared" si="697"/>
        <v>0</v>
      </c>
      <c r="AT506" s="917"/>
      <c r="AV506" s="170"/>
      <c r="AW506" s="832"/>
      <c r="AX506" s="833" t="s">
        <v>3299</v>
      </c>
    </row>
    <row r="507" spans="1:50" ht="15.75" hidden="1" outlineLevel="1" thickBot="1" x14ac:dyDescent="0.3">
      <c r="A507" s="784"/>
      <c r="B507" s="904">
        <f t="shared" si="681"/>
        <v>489</v>
      </c>
      <c r="C507" s="170" t="str">
        <f t="shared" si="678"/>
        <v>53EA</v>
      </c>
      <c r="D507" s="557"/>
      <c r="E507" s="170"/>
      <c r="F507" s="170">
        <v>53</v>
      </c>
      <c r="G507" s="2492" t="s">
        <v>3134</v>
      </c>
      <c r="H507" s="2039"/>
      <c r="I507" s="2008" t="s">
        <v>732</v>
      </c>
      <c r="J507" s="2039"/>
      <c r="K507" s="2039"/>
      <c r="L507" s="488"/>
      <c r="M507" s="2041">
        <v>18</v>
      </c>
      <c r="N507" s="2043">
        <v>1</v>
      </c>
      <c r="O507" s="1967">
        <f t="shared" si="702"/>
        <v>18</v>
      </c>
      <c r="P507" s="2076" t="s">
        <v>39</v>
      </c>
      <c r="Q507" s="2008" t="s">
        <v>39</v>
      </c>
      <c r="R507" s="2011" t="s">
        <v>74</v>
      </c>
      <c r="S507" s="912">
        <f>SUMIF('Data Input sheet'!$B$118:$B$180,R507,'Data Input sheet'!$D$118:$D$180)</f>
        <v>152</v>
      </c>
      <c r="T507" s="2686">
        <f t="shared" si="703"/>
        <v>2736</v>
      </c>
      <c r="U507" s="2042">
        <v>14.8</v>
      </c>
      <c r="V507" s="1981">
        <f t="shared" si="701"/>
        <v>266</v>
      </c>
      <c r="W507" s="2046">
        <v>7955</v>
      </c>
      <c r="X507" s="2502"/>
      <c r="Y507" s="2047">
        <v>0</v>
      </c>
      <c r="Z507" s="780">
        <f t="shared" si="704"/>
        <v>10957</v>
      </c>
      <c r="AA507" s="2007" t="s">
        <v>3313</v>
      </c>
      <c r="AB507" s="2007"/>
      <c r="AC507" s="765"/>
      <c r="AD507" s="781">
        <f t="shared" si="682"/>
        <v>0</v>
      </c>
      <c r="AE507" s="778">
        <f t="shared" si="683"/>
        <v>0</v>
      </c>
      <c r="AF507" s="781">
        <f t="shared" si="684"/>
        <v>0</v>
      </c>
      <c r="AG507" s="781">
        <f t="shared" si="685"/>
        <v>0</v>
      </c>
      <c r="AH507" s="781">
        <f t="shared" si="686"/>
        <v>0</v>
      </c>
      <c r="AI507" s="782">
        <f t="shared" si="687"/>
        <v>0</v>
      </c>
      <c r="AJ507" s="781">
        <f t="shared" si="688"/>
        <v>0</v>
      </c>
      <c r="AK507" s="781">
        <f t="shared" si="689"/>
        <v>0</v>
      </c>
      <c r="AL507" s="781">
        <f t="shared" si="690"/>
        <v>0</v>
      </c>
      <c r="AM507" s="781">
        <f t="shared" si="691"/>
        <v>0</v>
      </c>
      <c r="AN507" s="781">
        <f t="shared" si="692"/>
        <v>0</v>
      </c>
      <c r="AO507" s="781">
        <f t="shared" si="693"/>
        <v>0</v>
      </c>
      <c r="AP507" s="781">
        <f t="shared" si="694"/>
        <v>0</v>
      </c>
      <c r="AQ507" s="781">
        <f t="shared" si="695"/>
        <v>0</v>
      </c>
      <c r="AR507" s="781">
        <f t="shared" si="696"/>
        <v>0</v>
      </c>
      <c r="AS507" s="783">
        <f t="shared" si="697"/>
        <v>0</v>
      </c>
      <c r="AT507" s="917"/>
      <c r="AV507" s="170"/>
      <c r="AW507" s="832"/>
      <c r="AX507" s="833" t="s">
        <v>3299</v>
      </c>
    </row>
    <row r="508" spans="1:50" ht="15.75" hidden="1" outlineLevel="1" thickBot="1" x14ac:dyDescent="0.3">
      <c r="A508" s="784"/>
      <c r="B508" s="904">
        <f t="shared" si="681"/>
        <v>490</v>
      </c>
      <c r="C508" s="170" t="str">
        <f t="shared" si="678"/>
        <v>53EA</v>
      </c>
      <c r="D508" s="557"/>
      <c r="E508" s="170"/>
      <c r="F508" s="170">
        <v>53</v>
      </c>
      <c r="G508" s="2492" t="s">
        <v>3135</v>
      </c>
      <c r="H508" s="2039"/>
      <c r="I508" s="2008" t="s">
        <v>732</v>
      </c>
      <c r="J508" s="2039"/>
      <c r="K508" s="2039"/>
      <c r="L508" s="488"/>
      <c r="M508" s="2041">
        <v>13.5</v>
      </c>
      <c r="N508" s="2043">
        <v>1</v>
      </c>
      <c r="O508" s="1967">
        <f t="shared" si="702"/>
        <v>13.5</v>
      </c>
      <c r="P508" s="2076" t="s">
        <v>39</v>
      </c>
      <c r="Q508" s="2008" t="s">
        <v>39</v>
      </c>
      <c r="R508" s="2011" t="s">
        <v>74</v>
      </c>
      <c r="S508" s="912">
        <f>SUMIF('Data Input sheet'!$B$118:$B$180,R508,'Data Input sheet'!$D$118:$D$180)</f>
        <v>152</v>
      </c>
      <c r="T508" s="2686">
        <f t="shared" si="703"/>
        <v>2052</v>
      </c>
      <c r="U508" s="2042">
        <v>14.8</v>
      </c>
      <c r="V508" s="1981">
        <f t="shared" si="701"/>
        <v>200</v>
      </c>
      <c r="W508" s="2046">
        <v>7400</v>
      </c>
      <c r="X508" s="2502"/>
      <c r="Y508" s="2047">
        <v>0</v>
      </c>
      <c r="Z508" s="780">
        <f t="shared" si="704"/>
        <v>9652</v>
      </c>
      <c r="AA508" s="2007"/>
      <c r="AB508" s="2007"/>
      <c r="AC508" s="765"/>
      <c r="AD508" s="781">
        <f t="shared" si="682"/>
        <v>0</v>
      </c>
      <c r="AE508" s="778">
        <f t="shared" si="683"/>
        <v>0</v>
      </c>
      <c r="AF508" s="781">
        <f t="shared" si="684"/>
        <v>0</v>
      </c>
      <c r="AG508" s="781">
        <f t="shared" si="685"/>
        <v>0</v>
      </c>
      <c r="AH508" s="781">
        <f t="shared" si="686"/>
        <v>0</v>
      </c>
      <c r="AI508" s="782">
        <f t="shared" si="687"/>
        <v>0</v>
      </c>
      <c r="AJ508" s="781">
        <f t="shared" si="688"/>
        <v>0</v>
      </c>
      <c r="AK508" s="781">
        <f t="shared" si="689"/>
        <v>0</v>
      </c>
      <c r="AL508" s="781">
        <f t="shared" si="690"/>
        <v>0</v>
      </c>
      <c r="AM508" s="781">
        <f t="shared" si="691"/>
        <v>0</v>
      </c>
      <c r="AN508" s="781">
        <f t="shared" si="692"/>
        <v>0</v>
      </c>
      <c r="AO508" s="781">
        <f t="shared" si="693"/>
        <v>0</v>
      </c>
      <c r="AP508" s="781">
        <f t="shared" si="694"/>
        <v>0</v>
      </c>
      <c r="AQ508" s="781">
        <f t="shared" si="695"/>
        <v>0</v>
      </c>
      <c r="AR508" s="781">
        <f t="shared" si="696"/>
        <v>0</v>
      </c>
      <c r="AS508" s="783">
        <f t="shared" si="697"/>
        <v>0</v>
      </c>
      <c r="AT508" s="917"/>
      <c r="AV508" s="170"/>
      <c r="AW508" s="832"/>
      <c r="AX508" s="833" t="s">
        <v>3299</v>
      </c>
    </row>
    <row r="509" spans="1:50" ht="15.75" hidden="1" outlineLevel="1" thickBot="1" x14ac:dyDescent="0.3">
      <c r="A509" s="784"/>
      <c r="B509" s="904">
        <f t="shared" si="681"/>
        <v>491</v>
      </c>
      <c r="C509" s="170" t="str">
        <f t="shared" si="678"/>
        <v>53EA</v>
      </c>
      <c r="D509" s="557"/>
      <c r="E509" s="170"/>
      <c r="F509" s="170">
        <v>53</v>
      </c>
      <c r="G509" s="2492" t="s">
        <v>1711</v>
      </c>
      <c r="H509" s="2039"/>
      <c r="I509" s="2008" t="s">
        <v>732</v>
      </c>
      <c r="J509" s="2039"/>
      <c r="K509" s="2039"/>
      <c r="L509" s="488"/>
      <c r="M509" s="2041">
        <v>12</v>
      </c>
      <c r="N509" s="2043">
        <v>1</v>
      </c>
      <c r="O509" s="1967">
        <f t="shared" si="702"/>
        <v>12</v>
      </c>
      <c r="P509" s="2076" t="s">
        <v>39</v>
      </c>
      <c r="Q509" s="2008" t="s">
        <v>39</v>
      </c>
      <c r="R509" s="2011" t="s">
        <v>74</v>
      </c>
      <c r="S509" s="912">
        <f>SUMIF('Data Input sheet'!$B$118:$B$180,R509,'Data Input sheet'!$D$118:$D$180)</f>
        <v>152</v>
      </c>
      <c r="T509" s="2686">
        <f t="shared" si="703"/>
        <v>1824</v>
      </c>
      <c r="U509" s="2042">
        <v>14.8</v>
      </c>
      <c r="V509" s="1981">
        <f t="shared" si="701"/>
        <v>178</v>
      </c>
      <c r="W509" s="2046">
        <v>4169</v>
      </c>
      <c r="X509" s="2502"/>
      <c r="Y509" s="2047">
        <v>0</v>
      </c>
      <c r="Z509" s="780">
        <f t="shared" si="704"/>
        <v>6171</v>
      </c>
      <c r="AA509" s="2007"/>
      <c r="AB509" s="2007"/>
      <c r="AC509" s="765"/>
      <c r="AD509" s="781">
        <f t="shared" ref="AD509:AD569" si="705">IF(P509="E",+ROUND(H509*O509,0),0)</f>
        <v>0</v>
      </c>
      <c r="AE509" s="778">
        <f t="shared" ref="AE509:AE569" si="706">+AF509-AD509</f>
        <v>0</v>
      </c>
      <c r="AF509" s="781">
        <f t="shared" ref="AF509:AF569" si="707">+H509*O509</f>
        <v>0</v>
      </c>
      <c r="AG509" s="781">
        <f t="shared" ref="AG509:AG569" si="708">IF(P509="E",+ROUND(T509*H509,0),0)</f>
        <v>0</v>
      </c>
      <c r="AH509" s="781">
        <f t="shared" ref="AH509:AH569" si="709">+AI509-AG509</f>
        <v>0</v>
      </c>
      <c r="AI509" s="782">
        <f t="shared" ref="AI509:AI569" si="710">+H509*T509</f>
        <v>0</v>
      </c>
      <c r="AJ509" s="781">
        <f t="shared" ref="AJ509:AJ569" si="711">IF(P509="E",+ROUND(V509*H509,0),0)</f>
        <v>0</v>
      </c>
      <c r="AK509" s="781">
        <f t="shared" ref="AK509:AK569" si="712">+AL509-AJ509</f>
        <v>0</v>
      </c>
      <c r="AL509" s="781">
        <f t="shared" ref="AL509:AL569" si="713">ROUND(V509*H509,0)</f>
        <v>0</v>
      </c>
      <c r="AM509" s="781">
        <f t="shared" ref="AM509:AM569" si="714">IF(Q509="E",+ROUND(W509*H509,0),0)</f>
        <v>0</v>
      </c>
      <c r="AN509" s="781">
        <f t="shared" ref="AN509:AN569" si="715">+AO509-AM509</f>
        <v>0</v>
      </c>
      <c r="AO509" s="781">
        <f t="shared" ref="AO509:AO569" si="716">ROUND(W509*H509,0)</f>
        <v>0</v>
      </c>
      <c r="AP509" s="781">
        <f t="shared" ref="AP509:AP569" si="717">IF(P509="E",+ROUND(Y509*H509,0),0)</f>
        <v>0</v>
      </c>
      <c r="AQ509" s="781">
        <f t="shared" ref="AQ509:AQ569" si="718">+AR509-AP509</f>
        <v>0</v>
      </c>
      <c r="AR509" s="781">
        <f t="shared" ref="AR509:AR569" si="719">ROUND(Y509*H509,0)</f>
        <v>0</v>
      </c>
      <c r="AS509" s="783">
        <f t="shared" ref="AS509:AS569" si="720">+AR509+AO509+AL509+AI509</f>
        <v>0</v>
      </c>
      <c r="AT509" s="917"/>
      <c r="AV509" s="170"/>
      <c r="AW509" s="832"/>
      <c r="AX509" s="833" t="s">
        <v>3299</v>
      </c>
    </row>
    <row r="510" spans="1:50" ht="15.75" hidden="1" outlineLevel="1" thickBot="1" x14ac:dyDescent="0.3">
      <c r="A510" s="784"/>
      <c r="B510" s="904">
        <f t="shared" si="681"/>
        <v>492</v>
      </c>
      <c r="C510" s="170" t="str">
        <f t="shared" si="678"/>
        <v>53EA</v>
      </c>
      <c r="D510" s="557"/>
      <c r="E510" s="170"/>
      <c r="F510" s="170">
        <v>53</v>
      </c>
      <c r="G510" s="2492" t="s">
        <v>3136</v>
      </c>
      <c r="H510" s="2039"/>
      <c r="I510" s="2008" t="s">
        <v>732</v>
      </c>
      <c r="J510" s="2039"/>
      <c r="K510" s="2039"/>
      <c r="L510" s="488"/>
      <c r="M510" s="2041">
        <v>9</v>
      </c>
      <c r="N510" s="2043">
        <v>1</v>
      </c>
      <c r="O510" s="1967">
        <f t="shared" si="702"/>
        <v>9</v>
      </c>
      <c r="P510" s="2076" t="s">
        <v>39</v>
      </c>
      <c r="Q510" s="2008" t="s">
        <v>39</v>
      </c>
      <c r="R510" s="2011" t="s">
        <v>74</v>
      </c>
      <c r="S510" s="912">
        <f>SUMIF('Data Input sheet'!$B$118:$B$180,R510,'Data Input sheet'!$D$118:$D$180)</f>
        <v>152</v>
      </c>
      <c r="T510" s="2686">
        <f t="shared" si="703"/>
        <v>1368</v>
      </c>
      <c r="U510" s="2042">
        <v>14.8</v>
      </c>
      <c r="V510" s="1981">
        <f t="shared" si="701"/>
        <v>133</v>
      </c>
      <c r="W510" s="2046">
        <v>2000</v>
      </c>
      <c r="X510" s="2502"/>
      <c r="Y510" s="2047">
        <v>0</v>
      </c>
      <c r="Z510" s="780">
        <f t="shared" si="704"/>
        <v>3501</v>
      </c>
      <c r="AA510" s="2007"/>
      <c r="AB510" s="2007"/>
      <c r="AC510" s="765"/>
      <c r="AD510" s="781">
        <f t="shared" si="705"/>
        <v>0</v>
      </c>
      <c r="AE510" s="778">
        <f t="shared" si="706"/>
        <v>0</v>
      </c>
      <c r="AF510" s="781">
        <f t="shared" si="707"/>
        <v>0</v>
      </c>
      <c r="AG510" s="781">
        <f t="shared" si="708"/>
        <v>0</v>
      </c>
      <c r="AH510" s="781">
        <f t="shared" si="709"/>
        <v>0</v>
      </c>
      <c r="AI510" s="782">
        <f t="shared" si="710"/>
        <v>0</v>
      </c>
      <c r="AJ510" s="781">
        <f t="shared" si="711"/>
        <v>0</v>
      </c>
      <c r="AK510" s="781">
        <f t="shared" si="712"/>
        <v>0</v>
      </c>
      <c r="AL510" s="781">
        <f t="shared" si="713"/>
        <v>0</v>
      </c>
      <c r="AM510" s="781">
        <f t="shared" si="714"/>
        <v>0</v>
      </c>
      <c r="AN510" s="781">
        <f t="shared" si="715"/>
        <v>0</v>
      </c>
      <c r="AO510" s="781">
        <f t="shared" si="716"/>
        <v>0</v>
      </c>
      <c r="AP510" s="781">
        <f t="shared" si="717"/>
        <v>0</v>
      </c>
      <c r="AQ510" s="781">
        <f t="shared" si="718"/>
        <v>0</v>
      </c>
      <c r="AR510" s="781">
        <f t="shared" si="719"/>
        <v>0</v>
      </c>
      <c r="AS510" s="783">
        <f t="shared" si="720"/>
        <v>0</v>
      </c>
      <c r="AT510" s="917"/>
      <c r="AV510" s="170"/>
      <c r="AW510" s="832"/>
      <c r="AX510" s="833" t="s">
        <v>3299</v>
      </c>
    </row>
    <row r="511" spans="1:50" ht="15.75" hidden="1" outlineLevel="1" thickBot="1" x14ac:dyDescent="0.3">
      <c r="A511" s="784"/>
      <c r="B511" s="904">
        <f t="shared" si="681"/>
        <v>493</v>
      </c>
      <c r="C511" s="170" t="str">
        <f t="shared" si="678"/>
        <v/>
      </c>
      <c r="D511" s="557"/>
      <c r="E511" s="170"/>
      <c r="F511" s="170"/>
      <c r="G511" s="2491" t="s">
        <v>1762</v>
      </c>
      <c r="H511" s="2640"/>
      <c r="I511" s="2008"/>
      <c r="J511" s="2039"/>
      <c r="K511" s="2039"/>
      <c r="L511" s="488"/>
      <c r="M511" s="2041">
        <v>0</v>
      </c>
      <c r="N511" s="2043"/>
      <c r="O511" s="2499">
        <f t="shared" si="702"/>
        <v>0</v>
      </c>
      <c r="P511" s="2076"/>
      <c r="Q511" s="2008"/>
      <c r="R511" s="2011"/>
      <c r="S511" s="912">
        <f>SUMIF('Data Input sheet'!$B$118:$B$180,R511,'Data Input sheet'!$D$118:$D$180)</f>
        <v>0</v>
      </c>
      <c r="T511" s="2686">
        <f t="shared" si="703"/>
        <v>0</v>
      </c>
      <c r="U511" s="2042"/>
      <c r="V511" s="2501">
        <f t="shared" si="701"/>
        <v>0</v>
      </c>
      <c r="W511" s="2046"/>
      <c r="X511" s="2502"/>
      <c r="Y511" s="2047">
        <v>0</v>
      </c>
      <c r="Z511" s="2500">
        <f t="shared" si="704"/>
        <v>0</v>
      </c>
      <c r="AA511" s="2007"/>
      <c r="AB511" s="2007"/>
      <c r="AC511" s="765">
        <f t="shared" ref="AC511:AC514" si="721">IF(V511=0,0,ROUND(V511/O511,0))</f>
        <v>0</v>
      </c>
      <c r="AD511" s="781">
        <f t="shared" si="705"/>
        <v>0</v>
      </c>
      <c r="AE511" s="778">
        <f t="shared" si="706"/>
        <v>0</v>
      </c>
      <c r="AF511" s="781">
        <f t="shared" si="707"/>
        <v>0</v>
      </c>
      <c r="AG511" s="781">
        <f t="shared" si="708"/>
        <v>0</v>
      </c>
      <c r="AH511" s="781">
        <f t="shared" si="709"/>
        <v>0</v>
      </c>
      <c r="AI511" s="782">
        <f t="shared" si="710"/>
        <v>0</v>
      </c>
      <c r="AJ511" s="781">
        <f t="shared" si="711"/>
        <v>0</v>
      </c>
      <c r="AK511" s="781">
        <f t="shared" si="712"/>
        <v>0</v>
      </c>
      <c r="AL511" s="781">
        <f t="shared" si="713"/>
        <v>0</v>
      </c>
      <c r="AM511" s="781">
        <f t="shared" si="714"/>
        <v>0</v>
      </c>
      <c r="AN511" s="781">
        <f t="shared" si="715"/>
        <v>0</v>
      </c>
      <c r="AO511" s="781">
        <f t="shared" si="716"/>
        <v>0</v>
      </c>
      <c r="AP511" s="781">
        <f t="shared" si="717"/>
        <v>0</v>
      </c>
      <c r="AQ511" s="781">
        <f t="shared" si="718"/>
        <v>0</v>
      </c>
      <c r="AR511" s="781">
        <f t="shared" si="719"/>
        <v>0</v>
      </c>
      <c r="AS511" s="783">
        <f t="shared" si="720"/>
        <v>0</v>
      </c>
    </row>
    <row r="512" spans="1:50" ht="15.75" hidden="1" outlineLevel="1" thickBot="1" x14ac:dyDescent="0.3">
      <c r="A512" s="784"/>
      <c r="B512" s="904">
        <f t="shared" si="681"/>
        <v>494</v>
      </c>
      <c r="C512" s="170" t="str">
        <f t="shared" si="678"/>
        <v>52EA</v>
      </c>
      <c r="D512" s="557"/>
      <c r="E512" s="170"/>
      <c r="F512" s="170">
        <v>52</v>
      </c>
      <c r="G512" s="2068" t="s">
        <v>1707</v>
      </c>
      <c r="H512" s="2039"/>
      <c r="I512" s="2008" t="s">
        <v>732</v>
      </c>
      <c r="J512" s="2039"/>
      <c r="K512" s="2039"/>
      <c r="L512" s="488"/>
      <c r="M512" s="2041">
        <v>24</v>
      </c>
      <c r="N512" s="2043">
        <v>1</v>
      </c>
      <c r="O512" s="1967">
        <f t="shared" si="702"/>
        <v>24</v>
      </c>
      <c r="P512" s="2076" t="s">
        <v>39</v>
      </c>
      <c r="Q512" s="2008" t="s">
        <v>39</v>
      </c>
      <c r="R512" s="2011" t="s">
        <v>74</v>
      </c>
      <c r="S512" s="912">
        <f>SUMIF('Data Input sheet'!$B$118:$B$180,R512,'Data Input sheet'!$D$118:$D$180)</f>
        <v>152</v>
      </c>
      <c r="T512" s="2686">
        <f t="shared" si="703"/>
        <v>3648</v>
      </c>
      <c r="U512" s="2042"/>
      <c r="V512" s="1981">
        <f t="shared" si="701"/>
        <v>0</v>
      </c>
      <c r="W512" s="2046">
        <v>13500</v>
      </c>
      <c r="X512" s="2502"/>
      <c r="Y512" s="2047">
        <v>0</v>
      </c>
      <c r="Z512" s="780">
        <f t="shared" si="704"/>
        <v>17148</v>
      </c>
      <c r="AA512" s="2007"/>
      <c r="AB512" s="2007"/>
      <c r="AC512" s="765">
        <f t="shared" si="721"/>
        <v>0</v>
      </c>
      <c r="AD512" s="781">
        <f t="shared" si="705"/>
        <v>0</v>
      </c>
      <c r="AE512" s="778">
        <f t="shared" si="706"/>
        <v>0</v>
      </c>
      <c r="AF512" s="781">
        <f t="shared" si="707"/>
        <v>0</v>
      </c>
      <c r="AG512" s="781">
        <f t="shared" si="708"/>
        <v>0</v>
      </c>
      <c r="AH512" s="781">
        <f t="shared" si="709"/>
        <v>0</v>
      </c>
      <c r="AI512" s="782">
        <f t="shared" si="710"/>
        <v>0</v>
      </c>
      <c r="AJ512" s="781">
        <f t="shared" si="711"/>
        <v>0</v>
      </c>
      <c r="AK512" s="781">
        <f t="shared" si="712"/>
        <v>0</v>
      </c>
      <c r="AL512" s="781">
        <f t="shared" si="713"/>
        <v>0</v>
      </c>
      <c r="AM512" s="781">
        <f t="shared" si="714"/>
        <v>0</v>
      </c>
      <c r="AN512" s="781">
        <f t="shared" si="715"/>
        <v>0</v>
      </c>
      <c r="AO512" s="781">
        <f t="shared" si="716"/>
        <v>0</v>
      </c>
      <c r="AP512" s="781">
        <f t="shared" si="717"/>
        <v>0</v>
      </c>
      <c r="AQ512" s="781">
        <f t="shared" si="718"/>
        <v>0</v>
      </c>
      <c r="AR512" s="781">
        <f t="shared" si="719"/>
        <v>0</v>
      </c>
      <c r="AS512" s="783">
        <f t="shared" si="720"/>
        <v>0</v>
      </c>
    </row>
    <row r="513" spans="1:65" ht="15.75" hidden="1" outlineLevel="1" thickBot="1" x14ac:dyDescent="0.3">
      <c r="A513" s="784"/>
      <c r="B513" s="904">
        <f t="shared" si="681"/>
        <v>495</v>
      </c>
      <c r="C513" s="170" t="str">
        <f t="shared" si="678"/>
        <v>52EA</v>
      </c>
      <c r="D513" s="557"/>
      <c r="E513" s="170"/>
      <c r="F513" s="170">
        <v>52</v>
      </c>
      <c r="G513" s="2068" t="s">
        <v>1709</v>
      </c>
      <c r="H513" s="2039"/>
      <c r="I513" s="2008" t="s">
        <v>732</v>
      </c>
      <c r="J513" s="2039"/>
      <c r="K513" s="2039"/>
      <c r="L513" s="488"/>
      <c r="M513" s="2041">
        <v>16.5</v>
      </c>
      <c r="N513" s="2043">
        <v>1</v>
      </c>
      <c r="O513" s="1967">
        <f t="shared" si="702"/>
        <v>16.5</v>
      </c>
      <c r="P513" s="2076" t="s">
        <v>39</v>
      </c>
      <c r="Q513" s="2008" t="s">
        <v>39</v>
      </c>
      <c r="R513" s="2011" t="s">
        <v>74</v>
      </c>
      <c r="S513" s="912">
        <f>SUMIF('Data Input sheet'!$B$118:$B$180,R513,'Data Input sheet'!$D$118:$D$180)</f>
        <v>152</v>
      </c>
      <c r="T513" s="2686">
        <f t="shared" si="703"/>
        <v>2508</v>
      </c>
      <c r="U513" s="2042"/>
      <c r="V513" s="1981">
        <f t="shared" si="701"/>
        <v>0</v>
      </c>
      <c r="W513" s="2046">
        <v>9000</v>
      </c>
      <c r="X513" s="2502"/>
      <c r="Y513" s="2047">
        <v>0</v>
      </c>
      <c r="Z513" s="780">
        <f t="shared" si="704"/>
        <v>11508</v>
      </c>
      <c r="AA513" s="2007"/>
      <c r="AB513" s="2007"/>
      <c r="AC513" s="765">
        <f t="shared" si="721"/>
        <v>0</v>
      </c>
      <c r="AD513" s="781">
        <f t="shared" si="705"/>
        <v>0</v>
      </c>
      <c r="AE513" s="778">
        <f t="shared" si="706"/>
        <v>0</v>
      </c>
      <c r="AF513" s="781">
        <f t="shared" si="707"/>
        <v>0</v>
      </c>
      <c r="AG513" s="781">
        <f t="shared" si="708"/>
        <v>0</v>
      </c>
      <c r="AH513" s="781">
        <f t="shared" si="709"/>
        <v>0</v>
      </c>
      <c r="AI513" s="782">
        <f t="shared" si="710"/>
        <v>0</v>
      </c>
      <c r="AJ513" s="781">
        <f t="shared" si="711"/>
        <v>0</v>
      </c>
      <c r="AK513" s="781">
        <f t="shared" si="712"/>
        <v>0</v>
      </c>
      <c r="AL513" s="781">
        <f t="shared" si="713"/>
        <v>0</v>
      </c>
      <c r="AM513" s="781">
        <f t="shared" si="714"/>
        <v>0</v>
      </c>
      <c r="AN513" s="781">
        <f t="shared" si="715"/>
        <v>0</v>
      </c>
      <c r="AO513" s="781">
        <f t="shared" si="716"/>
        <v>0</v>
      </c>
      <c r="AP513" s="781">
        <f t="shared" si="717"/>
        <v>0</v>
      </c>
      <c r="AQ513" s="781">
        <f t="shared" si="718"/>
        <v>0</v>
      </c>
      <c r="AR513" s="781">
        <f t="shared" si="719"/>
        <v>0</v>
      </c>
      <c r="AS513" s="783">
        <f t="shared" si="720"/>
        <v>0</v>
      </c>
    </row>
    <row r="514" spans="1:65" ht="15.75" hidden="1" outlineLevel="1" thickBot="1" x14ac:dyDescent="0.3">
      <c r="A514" s="784"/>
      <c r="B514" s="904">
        <f t="shared" si="681"/>
        <v>496</v>
      </c>
      <c r="C514" s="170" t="str">
        <f t="shared" si="678"/>
        <v>52EA</v>
      </c>
      <c r="D514" s="557"/>
      <c r="E514" s="170"/>
      <c r="F514" s="170">
        <v>52</v>
      </c>
      <c r="G514" s="2068" t="s">
        <v>1710</v>
      </c>
      <c r="H514" s="2039"/>
      <c r="I514" s="2008" t="s">
        <v>732</v>
      </c>
      <c r="J514" s="2039"/>
      <c r="K514" s="2039"/>
      <c r="L514" s="488"/>
      <c r="M514" s="2041">
        <v>12</v>
      </c>
      <c r="N514" s="2043">
        <v>1</v>
      </c>
      <c r="O514" s="1967">
        <f t="shared" si="702"/>
        <v>12</v>
      </c>
      <c r="P514" s="2076" t="s">
        <v>39</v>
      </c>
      <c r="Q514" s="2008" t="s">
        <v>39</v>
      </c>
      <c r="R514" s="2011" t="s">
        <v>74</v>
      </c>
      <c r="S514" s="912">
        <f>SUMIF('Data Input sheet'!$B$118:$B$180,R514,'Data Input sheet'!$D$118:$D$180)</f>
        <v>152</v>
      </c>
      <c r="T514" s="2686">
        <f t="shared" si="703"/>
        <v>1824</v>
      </c>
      <c r="U514" s="2042"/>
      <c r="V514" s="1981">
        <f t="shared" si="701"/>
        <v>0</v>
      </c>
      <c r="W514" s="2046">
        <v>8000</v>
      </c>
      <c r="X514" s="2502"/>
      <c r="Y514" s="2047">
        <v>0</v>
      </c>
      <c r="Z514" s="780">
        <f t="shared" si="704"/>
        <v>9824</v>
      </c>
      <c r="AA514" s="2007"/>
      <c r="AB514" s="2007"/>
      <c r="AC514" s="765">
        <f t="shared" si="721"/>
        <v>0</v>
      </c>
      <c r="AD514" s="781">
        <f t="shared" si="705"/>
        <v>0</v>
      </c>
      <c r="AE514" s="778">
        <f t="shared" si="706"/>
        <v>0</v>
      </c>
      <c r="AF514" s="781">
        <f t="shared" si="707"/>
        <v>0</v>
      </c>
      <c r="AG514" s="781">
        <f t="shared" si="708"/>
        <v>0</v>
      </c>
      <c r="AH514" s="781">
        <f t="shared" si="709"/>
        <v>0</v>
      </c>
      <c r="AI514" s="782">
        <f t="shared" si="710"/>
        <v>0</v>
      </c>
      <c r="AJ514" s="781">
        <f t="shared" si="711"/>
        <v>0</v>
      </c>
      <c r="AK514" s="781">
        <f t="shared" si="712"/>
        <v>0</v>
      </c>
      <c r="AL514" s="781">
        <f t="shared" si="713"/>
        <v>0</v>
      </c>
      <c r="AM514" s="781">
        <f t="shared" si="714"/>
        <v>0</v>
      </c>
      <c r="AN514" s="781">
        <f t="shared" si="715"/>
        <v>0</v>
      </c>
      <c r="AO514" s="781">
        <f t="shared" si="716"/>
        <v>0</v>
      </c>
      <c r="AP514" s="781">
        <f t="shared" si="717"/>
        <v>0</v>
      </c>
      <c r="AQ514" s="781">
        <f t="shared" si="718"/>
        <v>0</v>
      </c>
      <c r="AR514" s="781">
        <f t="shared" si="719"/>
        <v>0</v>
      </c>
      <c r="AS514" s="783">
        <f t="shared" si="720"/>
        <v>0</v>
      </c>
    </row>
    <row r="515" spans="1:65" ht="15.75" hidden="1" outlineLevel="1" thickBot="1" x14ac:dyDescent="0.3">
      <c r="A515" s="784"/>
      <c r="B515" s="904">
        <f t="shared" si="681"/>
        <v>497</v>
      </c>
      <c r="C515" s="170" t="str">
        <f t="shared" si="678"/>
        <v/>
      </c>
      <c r="D515" s="557"/>
      <c r="E515" s="170"/>
      <c r="F515" s="170"/>
      <c r="G515" s="2491" t="s">
        <v>1757</v>
      </c>
      <c r="H515" s="2640"/>
      <c r="I515" s="2008"/>
      <c r="J515" s="2039"/>
      <c r="K515" s="2039"/>
      <c r="L515" s="2498"/>
      <c r="M515" s="2041">
        <v>0</v>
      </c>
      <c r="N515" s="2043"/>
      <c r="O515" s="2499">
        <f t="shared" ref="O515:O521" si="722">+M515*N515</f>
        <v>0</v>
      </c>
      <c r="P515" s="2076"/>
      <c r="Q515" s="2008"/>
      <c r="R515" s="2011"/>
      <c r="S515" s="912">
        <f>SUMIF('Data Input sheet'!$B$118:$B$180,R515,'Data Input sheet'!$D$118:$D$180)</f>
        <v>0</v>
      </c>
      <c r="T515" s="2686">
        <f t="shared" ref="T515:T521" si="723">ROUND(O515*S515,0)</f>
        <v>0</v>
      </c>
      <c r="U515" s="2042"/>
      <c r="V515" s="2501">
        <f t="shared" ref="V515:V521" si="724">ROUND(U515*O515,0)</f>
        <v>0</v>
      </c>
      <c r="W515" s="2046"/>
      <c r="X515" s="2502"/>
      <c r="Y515" s="2047">
        <v>0</v>
      </c>
      <c r="Z515" s="2500">
        <f t="shared" ref="Z515:Z521" si="725">T515+V515+W515+Y515</f>
        <v>0</v>
      </c>
      <c r="AA515" s="2007"/>
      <c r="AB515" s="2007"/>
      <c r="AC515" s="765">
        <f t="shared" ref="AC515:AC521" si="726">IF(V515=0,0,ROUND(V515/O515,0))</f>
        <v>0</v>
      </c>
      <c r="AD515" s="781">
        <f t="shared" ref="AD515:AD521" si="727">IF(P515="E",+ROUND(H515*O515,0),0)</f>
        <v>0</v>
      </c>
      <c r="AE515" s="778">
        <f t="shared" ref="AE515:AE521" si="728">+AF515-AD515</f>
        <v>0</v>
      </c>
      <c r="AF515" s="781">
        <f t="shared" ref="AF515:AF521" si="729">+H515*O515</f>
        <v>0</v>
      </c>
      <c r="AG515" s="781">
        <f t="shared" ref="AG515:AG521" si="730">IF(P515="E",+ROUND(T515*H515,0),0)</f>
        <v>0</v>
      </c>
      <c r="AH515" s="781">
        <f t="shared" ref="AH515:AH521" si="731">+AI515-AG515</f>
        <v>0</v>
      </c>
      <c r="AI515" s="782">
        <f t="shared" ref="AI515:AI521" si="732">+H515*T515</f>
        <v>0</v>
      </c>
      <c r="AJ515" s="781">
        <f t="shared" ref="AJ515:AJ521" si="733">IF(P515="E",+ROUND(V515*H515,0),0)</f>
        <v>0</v>
      </c>
      <c r="AK515" s="781">
        <f t="shared" ref="AK515:AK521" si="734">+AL515-AJ515</f>
        <v>0</v>
      </c>
      <c r="AL515" s="781">
        <f t="shared" ref="AL515:AL521" si="735">ROUND(V515*H515,0)</f>
        <v>0</v>
      </c>
      <c r="AM515" s="781">
        <f t="shared" ref="AM515:AM521" si="736">IF(Q515="E",+ROUND(W515*H515,0),0)</f>
        <v>0</v>
      </c>
      <c r="AN515" s="781">
        <f t="shared" ref="AN515:AN521" si="737">+AO515-AM515</f>
        <v>0</v>
      </c>
      <c r="AO515" s="781">
        <f t="shared" ref="AO515:AO521" si="738">ROUND(W515*H515,0)</f>
        <v>0</v>
      </c>
      <c r="AP515" s="781">
        <f t="shared" ref="AP515:AP521" si="739">IF(P515="E",+ROUND(Y515*H515,0),0)</f>
        <v>0</v>
      </c>
      <c r="AQ515" s="781">
        <f t="shared" ref="AQ515:AQ521" si="740">+AR515-AP515</f>
        <v>0</v>
      </c>
      <c r="AR515" s="781">
        <f t="shared" ref="AR515:AR521" si="741">ROUND(Y515*H515,0)</f>
        <v>0</v>
      </c>
      <c r="AS515" s="783">
        <f t="shared" ref="AS515:AS521" si="742">+AR515+AO515+AL515+AI515</f>
        <v>0</v>
      </c>
    </row>
    <row r="516" spans="1:65" ht="39" hidden="1" outlineLevel="1" thickBot="1" x14ac:dyDescent="0.3">
      <c r="A516" s="784"/>
      <c r="B516" s="904">
        <f t="shared" si="681"/>
        <v>498</v>
      </c>
      <c r="C516" s="170" t="str">
        <f t="shared" si="678"/>
        <v>82EA</v>
      </c>
      <c r="D516" s="557"/>
      <c r="E516" s="170"/>
      <c r="F516" s="170">
        <v>82</v>
      </c>
      <c r="G516" s="2492" t="s">
        <v>3297</v>
      </c>
      <c r="H516" s="2039"/>
      <c r="I516" s="2008" t="s">
        <v>732</v>
      </c>
      <c r="J516" s="2039"/>
      <c r="K516" s="2039"/>
      <c r="L516" s="488"/>
      <c r="M516" s="2041">
        <v>4</v>
      </c>
      <c r="N516" s="2043">
        <v>1</v>
      </c>
      <c r="O516" s="1967">
        <f t="shared" si="722"/>
        <v>4</v>
      </c>
      <c r="P516" s="2076" t="s">
        <v>39</v>
      </c>
      <c r="Q516" s="2008" t="s">
        <v>39</v>
      </c>
      <c r="R516" s="2011" t="s">
        <v>74</v>
      </c>
      <c r="S516" s="912">
        <f>SUMIF('Data Input sheet'!$B$118:$B$180,R516,'Data Input sheet'!$D$118:$D$180)</f>
        <v>152</v>
      </c>
      <c r="T516" s="2686">
        <f t="shared" si="723"/>
        <v>608</v>
      </c>
      <c r="U516" s="2042"/>
      <c r="V516" s="1981">
        <f t="shared" si="724"/>
        <v>0</v>
      </c>
      <c r="W516" s="2046">
        <v>830</v>
      </c>
      <c r="X516" s="2502"/>
      <c r="Y516" s="2047">
        <v>0</v>
      </c>
      <c r="Z516" s="780">
        <f t="shared" si="725"/>
        <v>1438</v>
      </c>
      <c r="AA516" s="2007" t="s">
        <v>3298</v>
      </c>
      <c r="AB516" s="2007"/>
      <c r="AC516" s="765">
        <f t="shared" si="726"/>
        <v>0</v>
      </c>
      <c r="AD516" s="781">
        <f t="shared" si="727"/>
        <v>0</v>
      </c>
      <c r="AE516" s="778">
        <f t="shared" si="728"/>
        <v>0</v>
      </c>
      <c r="AF516" s="781">
        <f t="shared" si="729"/>
        <v>0</v>
      </c>
      <c r="AG516" s="781">
        <f t="shared" si="730"/>
        <v>0</v>
      </c>
      <c r="AH516" s="781">
        <f t="shared" si="731"/>
        <v>0</v>
      </c>
      <c r="AI516" s="782">
        <f t="shared" si="732"/>
        <v>0</v>
      </c>
      <c r="AJ516" s="781">
        <f t="shared" si="733"/>
        <v>0</v>
      </c>
      <c r="AK516" s="781">
        <f t="shared" si="734"/>
        <v>0</v>
      </c>
      <c r="AL516" s="781">
        <f t="shared" si="735"/>
        <v>0</v>
      </c>
      <c r="AM516" s="781">
        <f t="shared" si="736"/>
        <v>0</v>
      </c>
      <c r="AN516" s="781">
        <f t="shared" si="737"/>
        <v>0</v>
      </c>
      <c r="AO516" s="781">
        <f t="shared" si="738"/>
        <v>0</v>
      </c>
      <c r="AP516" s="781">
        <f t="shared" si="739"/>
        <v>0</v>
      </c>
      <c r="AQ516" s="781">
        <f t="shared" si="740"/>
        <v>0</v>
      </c>
      <c r="AR516" s="781">
        <f t="shared" si="741"/>
        <v>0</v>
      </c>
      <c r="AS516" s="783">
        <f t="shared" si="742"/>
        <v>0</v>
      </c>
    </row>
    <row r="517" spans="1:65" ht="39" hidden="1" outlineLevel="1" thickBot="1" x14ac:dyDescent="0.3">
      <c r="A517" s="784"/>
      <c r="B517" s="904">
        <f t="shared" si="681"/>
        <v>499</v>
      </c>
      <c r="C517" s="170" t="str">
        <f t="shared" si="678"/>
        <v>82EA</v>
      </c>
      <c r="D517" s="557"/>
      <c r="E517" s="170"/>
      <c r="F517" s="170">
        <v>82</v>
      </c>
      <c r="G517" s="2492" t="s">
        <v>1758</v>
      </c>
      <c r="H517" s="2039"/>
      <c r="I517" s="2008" t="s">
        <v>732</v>
      </c>
      <c r="J517" s="2039"/>
      <c r="K517" s="2039"/>
      <c r="L517" s="488"/>
      <c r="M517" s="2041">
        <v>5</v>
      </c>
      <c r="N517" s="2043">
        <v>1</v>
      </c>
      <c r="O517" s="1967">
        <f t="shared" si="722"/>
        <v>5</v>
      </c>
      <c r="P517" s="2076" t="s">
        <v>39</v>
      </c>
      <c r="Q517" s="2008" t="s">
        <v>39</v>
      </c>
      <c r="R517" s="2011" t="s">
        <v>74</v>
      </c>
      <c r="S517" s="912">
        <f>SUMIF('Data Input sheet'!$B$118:$B$180,R517,'Data Input sheet'!$D$118:$D$180)</f>
        <v>152</v>
      </c>
      <c r="T517" s="2686">
        <f t="shared" si="723"/>
        <v>760</v>
      </c>
      <c r="U517" s="2042"/>
      <c r="V517" s="1981">
        <f t="shared" si="724"/>
        <v>0</v>
      </c>
      <c r="W517" s="2046">
        <v>830</v>
      </c>
      <c r="X517" s="2502"/>
      <c r="Y517" s="2047">
        <v>0</v>
      </c>
      <c r="Z517" s="780">
        <f t="shared" si="725"/>
        <v>1590</v>
      </c>
      <c r="AA517" s="2007" t="s">
        <v>3298</v>
      </c>
      <c r="AB517" s="2007"/>
      <c r="AC517" s="765">
        <f t="shared" si="726"/>
        <v>0</v>
      </c>
      <c r="AD517" s="781">
        <f t="shared" si="727"/>
        <v>0</v>
      </c>
      <c r="AE517" s="778">
        <f t="shared" si="728"/>
        <v>0</v>
      </c>
      <c r="AF517" s="781">
        <f t="shared" si="729"/>
        <v>0</v>
      </c>
      <c r="AG517" s="781">
        <f t="shared" si="730"/>
        <v>0</v>
      </c>
      <c r="AH517" s="781">
        <f t="shared" si="731"/>
        <v>0</v>
      </c>
      <c r="AI517" s="782">
        <f t="shared" si="732"/>
        <v>0</v>
      </c>
      <c r="AJ517" s="781">
        <f t="shared" si="733"/>
        <v>0</v>
      </c>
      <c r="AK517" s="781">
        <f t="shared" si="734"/>
        <v>0</v>
      </c>
      <c r="AL517" s="781">
        <f t="shared" si="735"/>
        <v>0</v>
      </c>
      <c r="AM517" s="781">
        <f t="shared" si="736"/>
        <v>0</v>
      </c>
      <c r="AN517" s="781">
        <f t="shared" si="737"/>
        <v>0</v>
      </c>
      <c r="AO517" s="781">
        <f t="shared" si="738"/>
        <v>0</v>
      </c>
      <c r="AP517" s="781">
        <f t="shared" si="739"/>
        <v>0</v>
      </c>
      <c r="AQ517" s="781">
        <f t="shared" si="740"/>
        <v>0</v>
      </c>
      <c r="AR517" s="781">
        <f t="shared" si="741"/>
        <v>0</v>
      </c>
      <c r="AS517" s="783">
        <f t="shared" si="742"/>
        <v>0</v>
      </c>
    </row>
    <row r="518" spans="1:65" ht="26.25" hidden="1" outlineLevel="1" thickBot="1" x14ac:dyDescent="0.3">
      <c r="A518" s="784"/>
      <c r="B518" s="904">
        <f t="shared" si="681"/>
        <v>500</v>
      </c>
      <c r="C518" s="170" t="str">
        <f t="shared" si="678"/>
        <v>82EA</v>
      </c>
      <c r="D518" s="557"/>
      <c r="E518" s="170"/>
      <c r="F518" s="170">
        <v>82</v>
      </c>
      <c r="G518" s="2492" t="s">
        <v>1759</v>
      </c>
      <c r="H518" s="2039"/>
      <c r="I518" s="2008" t="s">
        <v>732</v>
      </c>
      <c r="J518" s="2039"/>
      <c r="K518" s="2039"/>
      <c r="L518" s="488"/>
      <c r="M518" s="2041">
        <v>5</v>
      </c>
      <c r="N518" s="2043">
        <v>1</v>
      </c>
      <c r="O518" s="1967">
        <f t="shared" si="722"/>
        <v>5</v>
      </c>
      <c r="P518" s="2076" t="s">
        <v>39</v>
      </c>
      <c r="Q518" s="2008" t="s">
        <v>39</v>
      </c>
      <c r="R518" s="2011" t="s">
        <v>74</v>
      </c>
      <c r="S518" s="912">
        <f>SUMIF('Data Input sheet'!$B$118:$B$180,R518,'Data Input sheet'!$D$118:$D$180)</f>
        <v>152</v>
      </c>
      <c r="T518" s="2686">
        <f t="shared" si="723"/>
        <v>760</v>
      </c>
      <c r="U518" s="2042"/>
      <c r="V518" s="1981">
        <f t="shared" si="724"/>
        <v>0</v>
      </c>
      <c r="W518" s="2046">
        <v>1022</v>
      </c>
      <c r="X518" s="2502"/>
      <c r="Y518" s="2047">
        <v>0</v>
      </c>
      <c r="Z518" s="780">
        <f t="shared" si="725"/>
        <v>1782</v>
      </c>
      <c r="AA518" s="2007" t="s">
        <v>3262</v>
      </c>
      <c r="AB518" s="2007"/>
      <c r="AC518" s="765">
        <f t="shared" si="726"/>
        <v>0</v>
      </c>
      <c r="AD518" s="781">
        <f t="shared" si="727"/>
        <v>0</v>
      </c>
      <c r="AE518" s="778">
        <f t="shared" si="728"/>
        <v>0</v>
      </c>
      <c r="AF518" s="781">
        <f t="shared" si="729"/>
        <v>0</v>
      </c>
      <c r="AG518" s="781">
        <f t="shared" si="730"/>
        <v>0</v>
      </c>
      <c r="AH518" s="781">
        <f t="shared" si="731"/>
        <v>0</v>
      </c>
      <c r="AI518" s="782">
        <f t="shared" si="732"/>
        <v>0</v>
      </c>
      <c r="AJ518" s="781">
        <f t="shared" si="733"/>
        <v>0</v>
      </c>
      <c r="AK518" s="781">
        <f t="shared" si="734"/>
        <v>0</v>
      </c>
      <c r="AL518" s="781">
        <f t="shared" si="735"/>
        <v>0</v>
      </c>
      <c r="AM518" s="781">
        <f t="shared" si="736"/>
        <v>0</v>
      </c>
      <c r="AN518" s="781">
        <f t="shared" si="737"/>
        <v>0</v>
      </c>
      <c r="AO518" s="781">
        <f t="shared" si="738"/>
        <v>0</v>
      </c>
      <c r="AP518" s="781">
        <f t="shared" si="739"/>
        <v>0</v>
      </c>
      <c r="AQ518" s="781">
        <f t="shared" si="740"/>
        <v>0</v>
      </c>
      <c r="AR518" s="781">
        <f t="shared" si="741"/>
        <v>0</v>
      </c>
      <c r="AS518" s="783">
        <f t="shared" si="742"/>
        <v>0</v>
      </c>
    </row>
    <row r="519" spans="1:65" ht="26.25" hidden="1" outlineLevel="1" thickBot="1" x14ac:dyDescent="0.3">
      <c r="A519" s="784"/>
      <c r="B519" s="904">
        <f t="shared" si="681"/>
        <v>501</v>
      </c>
      <c r="C519" s="170" t="str">
        <f t="shared" si="678"/>
        <v>82EA</v>
      </c>
      <c r="D519" s="557"/>
      <c r="E519" s="170"/>
      <c r="F519" s="170">
        <v>82</v>
      </c>
      <c r="G519" s="2492" t="s">
        <v>1760</v>
      </c>
      <c r="H519" s="2039"/>
      <c r="I519" s="2008" t="s">
        <v>732</v>
      </c>
      <c r="J519" s="2039"/>
      <c r="K519" s="2039"/>
      <c r="L519" s="488"/>
      <c r="M519" s="2041">
        <v>4</v>
      </c>
      <c r="N519" s="2043">
        <v>1</v>
      </c>
      <c r="O519" s="1967">
        <f t="shared" si="722"/>
        <v>4</v>
      </c>
      <c r="P519" s="2076" t="s">
        <v>39</v>
      </c>
      <c r="Q519" s="2008" t="s">
        <v>39</v>
      </c>
      <c r="R519" s="2011" t="s">
        <v>74</v>
      </c>
      <c r="S519" s="912">
        <f>SUMIF('Data Input sheet'!$B$118:$B$180,R519,'Data Input sheet'!$D$118:$D$180)</f>
        <v>152</v>
      </c>
      <c r="T519" s="2686">
        <f t="shared" si="723"/>
        <v>608</v>
      </c>
      <c r="U519" s="2042"/>
      <c r="V519" s="1981">
        <f t="shared" si="724"/>
        <v>0</v>
      </c>
      <c r="W519" s="2046">
        <v>1600</v>
      </c>
      <c r="X519" s="2502"/>
      <c r="Y519" s="2047">
        <v>0</v>
      </c>
      <c r="Z519" s="780">
        <f t="shared" si="725"/>
        <v>2208</v>
      </c>
      <c r="AA519" s="2007" t="s">
        <v>3262</v>
      </c>
      <c r="AB519" s="2007"/>
      <c r="AC519" s="765">
        <f t="shared" si="726"/>
        <v>0</v>
      </c>
      <c r="AD519" s="781">
        <f t="shared" si="727"/>
        <v>0</v>
      </c>
      <c r="AE519" s="778">
        <f t="shared" si="728"/>
        <v>0</v>
      </c>
      <c r="AF519" s="781">
        <f t="shared" si="729"/>
        <v>0</v>
      </c>
      <c r="AG519" s="781">
        <f t="shared" si="730"/>
        <v>0</v>
      </c>
      <c r="AH519" s="781">
        <f t="shared" si="731"/>
        <v>0</v>
      </c>
      <c r="AI519" s="782">
        <f t="shared" si="732"/>
        <v>0</v>
      </c>
      <c r="AJ519" s="781">
        <f t="shared" si="733"/>
        <v>0</v>
      </c>
      <c r="AK519" s="781">
        <f t="shared" si="734"/>
        <v>0</v>
      </c>
      <c r="AL519" s="781">
        <f t="shared" si="735"/>
        <v>0</v>
      </c>
      <c r="AM519" s="781">
        <f t="shared" si="736"/>
        <v>0</v>
      </c>
      <c r="AN519" s="781">
        <f t="shared" si="737"/>
        <v>0</v>
      </c>
      <c r="AO519" s="781">
        <f t="shared" si="738"/>
        <v>0</v>
      </c>
      <c r="AP519" s="781">
        <f t="shared" si="739"/>
        <v>0</v>
      </c>
      <c r="AQ519" s="781">
        <f t="shared" si="740"/>
        <v>0</v>
      </c>
      <c r="AR519" s="781">
        <f t="shared" si="741"/>
        <v>0</v>
      </c>
      <c r="AS519" s="783">
        <f t="shared" si="742"/>
        <v>0</v>
      </c>
    </row>
    <row r="520" spans="1:65" ht="26.25" hidden="1" outlineLevel="1" thickBot="1" x14ac:dyDescent="0.3">
      <c r="A520" s="784"/>
      <c r="B520" s="904">
        <f t="shared" si="681"/>
        <v>502</v>
      </c>
      <c r="C520" s="170" t="str">
        <f t="shared" si="678"/>
        <v>82EA</v>
      </c>
      <c r="D520" s="557"/>
      <c r="E520" s="170"/>
      <c r="F520" s="170">
        <v>82</v>
      </c>
      <c r="G520" s="2492" t="s">
        <v>1761</v>
      </c>
      <c r="H520" s="2039"/>
      <c r="I520" s="2008" t="s">
        <v>732</v>
      </c>
      <c r="J520" s="2039"/>
      <c r="K520" s="2039"/>
      <c r="L520" s="488"/>
      <c r="M520" s="2041">
        <v>5</v>
      </c>
      <c r="N520" s="2043">
        <v>1</v>
      </c>
      <c r="O520" s="1967">
        <f t="shared" si="722"/>
        <v>5</v>
      </c>
      <c r="P520" s="2076" t="s">
        <v>39</v>
      </c>
      <c r="Q520" s="2008" t="s">
        <v>39</v>
      </c>
      <c r="R520" s="2011" t="s">
        <v>74</v>
      </c>
      <c r="S520" s="912">
        <f>SUMIF('Data Input sheet'!$B$118:$B$180,R520,'Data Input sheet'!$D$118:$D$180)</f>
        <v>152</v>
      </c>
      <c r="T520" s="2686">
        <f t="shared" si="723"/>
        <v>760</v>
      </c>
      <c r="U520" s="2042"/>
      <c r="V520" s="1981">
        <f t="shared" si="724"/>
        <v>0</v>
      </c>
      <c r="W520" s="2046">
        <v>2100</v>
      </c>
      <c r="X520" s="2502"/>
      <c r="Y520" s="2047">
        <v>0</v>
      </c>
      <c r="Z520" s="780">
        <f t="shared" si="725"/>
        <v>2860</v>
      </c>
      <c r="AA520" s="2007" t="s">
        <v>3262</v>
      </c>
      <c r="AB520" s="2007"/>
      <c r="AC520" s="765">
        <f t="shared" si="726"/>
        <v>0</v>
      </c>
      <c r="AD520" s="781">
        <f t="shared" si="727"/>
        <v>0</v>
      </c>
      <c r="AE520" s="778">
        <f t="shared" si="728"/>
        <v>0</v>
      </c>
      <c r="AF520" s="781">
        <f t="shared" si="729"/>
        <v>0</v>
      </c>
      <c r="AG520" s="781">
        <f t="shared" si="730"/>
        <v>0</v>
      </c>
      <c r="AH520" s="781">
        <f t="shared" si="731"/>
        <v>0</v>
      </c>
      <c r="AI520" s="782">
        <f t="shared" si="732"/>
        <v>0</v>
      </c>
      <c r="AJ520" s="781">
        <f t="shared" si="733"/>
        <v>0</v>
      </c>
      <c r="AK520" s="781">
        <f t="shared" si="734"/>
        <v>0</v>
      </c>
      <c r="AL520" s="781">
        <f t="shared" si="735"/>
        <v>0</v>
      </c>
      <c r="AM520" s="781">
        <f t="shared" si="736"/>
        <v>0</v>
      </c>
      <c r="AN520" s="781">
        <f t="shared" si="737"/>
        <v>0</v>
      </c>
      <c r="AO520" s="781">
        <f t="shared" si="738"/>
        <v>0</v>
      </c>
      <c r="AP520" s="781">
        <f t="shared" si="739"/>
        <v>0</v>
      </c>
      <c r="AQ520" s="781">
        <f t="shared" si="740"/>
        <v>0</v>
      </c>
      <c r="AR520" s="781">
        <f t="shared" si="741"/>
        <v>0</v>
      </c>
      <c r="AS520" s="783">
        <f t="shared" si="742"/>
        <v>0</v>
      </c>
    </row>
    <row r="521" spans="1:65" ht="26.25" hidden="1" outlineLevel="1" thickBot="1" x14ac:dyDescent="0.3">
      <c r="A521" s="784"/>
      <c r="B521" s="904">
        <f t="shared" si="681"/>
        <v>503</v>
      </c>
      <c r="C521" s="170" t="str">
        <f t="shared" si="678"/>
        <v>82EA</v>
      </c>
      <c r="D521" s="557"/>
      <c r="E521" s="170"/>
      <c r="F521" s="170">
        <v>82</v>
      </c>
      <c r="G521" s="2492" t="s">
        <v>1769</v>
      </c>
      <c r="H521" s="2039"/>
      <c r="I521" s="2008" t="s">
        <v>732</v>
      </c>
      <c r="J521" s="2039"/>
      <c r="K521" s="2039"/>
      <c r="L521" s="488"/>
      <c r="M521" s="2041">
        <v>5</v>
      </c>
      <c r="N521" s="2043">
        <v>1</v>
      </c>
      <c r="O521" s="1967">
        <f t="shared" si="722"/>
        <v>5</v>
      </c>
      <c r="P521" s="2076" t="s">
        <v>39</v>
      </c>
      <c r="Q521" s="2008" t="s">
        <v>39</v>
      </c>
      <c r="R521" s="2011" t="s">
        <v>74</v>
      </c>
      <c r="S521" s="912">
        <f>SUMIF('Data Input sheet'!$B$118:$B$180,R521,'Data Input sheet'!$D$118:$D$180)</f>
        <v>152</v>
      </c>
      <c r="T521" s="2686">
        <f t="shared" si="723"/>
        <v>760</v>
      </c>
      <c r="U521" s="2042"/>
      <c r="V521" s="1981">
        <f t="shared" si="724"/>
        <v>0</v>
      </c>
      <c r="W521" s="2046">
        <v>3000</v>
      </c>
      <c r="X521" s="2502"/>
      <c r="Y521" s="2047">
        <v>0</v>
      </c>
      <c r="Z521" s="780">
        <f t="shared" si="725"/>
        <v>3760</v>
      </c>
      <c r="AA521" s="2007" t="s">
        <v>3262</v>
      </c>
      <c r="AB521" s="2007"/>
      <c r="AC521" s="765">
        <f t="shared" si="726"/>
        <v>0</v>
      </c>
      <c r="AD521" s="781">
        <f t="shared" si="727"/>
        <v>0</v>
      </c>
      <c r="AE521" s="778">
        <f t="shared" si="728"/>
        <v>0</v>
      </c>
      <c r="AF521" s="781">
        <f t="shared" si="729"/>
        <v>0</v>
      </c>
      <c r="AG521" s="781">
        <f t="shared" si="730"/>
        <v>0</v>
      </c>
      <c r="AH521" s="781">
        <f t="shared" si="731"/>
        <v>0</v>
      </c>
      <c r="AI521" s="782">
        <f t="shared" si="732"/>
        <v>0</v>
      </c>
      <c r="AJ521" s="781">
        <f t="shared" si="733"/>
        <v>0</v>
      </c>
      <c r="AK521" s="781">
        <f t="shared" si="734"/>
        <v>0</v>
      </c>
      <c r="AL521" s="781">
        <f t="shared" si="735"/>
        <v>0</v>
      </c>
      <c r="AM521" s="781">
        <f t="shared" si="736"/>
        <v>0</v>
      </c>
      <c r="AN521" s="781">
        <f t="shared" si="737"/>
        <v>0</v>
      </c>
      <c r="AO521" s="781">
        <f t="shared" si="738"/>
        <v>0</v>
      </c>
      <c r="AP521" s="781">
        <f t="shared" si="739"/>
        <v>0</v>
      </c>
      <c r="AQ521" s="781">
        <f t="shared" si="740"/>
        <v>0</v>
      </c>
      <c r="AR521" s="781">
        <f t="shared" si="741"/>
        <v>0</v>
      </c>
      <c r="AS521" s="783">
        <f t="shared" si="742"/>
        <v>0</v>
      </c>
    </row>
    <row r="522" spans="1:65" ht="22.5" customHeight="1" collapsed="1" thickBot="1" x14ac:dyDescent="0.3">
      <c r="A522" s="787"/>
      <c r="B522" s="904">
        <f t="shared" si="681"/>
        <v>504</v>
      </c>
      <c r="C522" s="170" t="str">
        <f t="shared" si="678"/>
        <v>0</v>
      </c>
      <c r="D522" s="906"/>
      <c r="E522" s="170"/>
      <c r="F522" s="170">
        <v>0</v>
      </c>
      <c r="G522" s="2637" t="s">
        <v>3284</v>
      </c>
      <c r="H522" s="2641">
        <v>1</v>
      </c>
      <c r="I522" s="2008"/>
      <c r="J522" s="1926"/>
      <c r="K522" s="1926"/>
      <c r="L522" s="488"/>
      <c r="M522" s="2009">
        <v>0</v>
      </c>
      <c r="N522" s="2010"/>
      <c r="O522" s="773">
        <f t="shared" ref="O522" si="743">+M522*N522</f>
        <v>0</v>
      </c>
      <c r="P522" s="2076"/>
      <c r="Q522" s="2008"/>
      <c r="R522" s="2011"/>
      <c r="S522" s="912">
        <f>SUMIF('Data Input sheet'!$B$118:$B$180,R522,'Data Input sheet'!$D$118:$D$180)</f>
        <v>0</v>
      </c>
      <c r="T522" s="2685">
        <f t="shared" ref="T522" si="744">+O522*S522</f>
        <v>0</v>
      </c>
      <c r="U522" s="2013">
        <v>0</v>
      </c>
      <c r="V522" s="778">
        <f t="shared" ref="V522" si="745">ROUND(U522*O522,0)</f>
        <v>0</v>
      </c>
      <c r="W522" s="2010"/>
      <c r="X522" s="779"/>
      <c r="Y522" s="2012">
        <v>0</v>
      </c>
      <c r="Z522" s="780">
        <f t="shared" ref="Z522" si="746">T522+V522+W522+Y522</f>
        <v>0</v>
      </c>
      <c r="AA522" s="2007"/>
      <c r="AB522" s="2007"/>
      <c r="AC522" s="765"/>
      <c r="AD522" s="781">
        <f t="shared" si="705"/>
        <v>0</v>
      </c>
      <c r="AE522" s="778">
        <f t="shared" si="706"/>
        <v>0</v>
      </c>
      <c r="AF522" s="781">
        <f t="shared" si="707"/>
        <v>0</v>
      </c>
      <c r="AG522" s="781">
        <f t="shared" si="708"/>
        <v>0</v>
      </c>
      <c r="AH522" s="781">
        <f t="shared" si="709"/>
        <v>0</v>
      </c>
      <c r="AI522" s="782">
        <f t="shared" si="710"/>
        <v>0</v>
      </c>
      <c r="AJ522" s="781">
        <f t="shared" si="711"/>
        <v>0</v>
      </c>
      <c r="AK522" s="781">
        <f t="shared" si="712"/>
        <v>0</v>
      </c>
      <c r="AL522" s="781">
        <f t="shared" si="713"/>
        <v>0</v>
      </c>
      <c r="AM522" s="781">
        <f t="shared" si="714"/>
        <v>0</v>
      </c>
      <c r="AN522" s="781">
        <f t="shared" si="715"/>
        <v>0</v>
      </c>
      <c r="AO522" s="781">
        <f t="shared" si="716"/>
        <v>0</v>
      </c>
      <c r="AP522" s="781">
        <f t="shared" si="717"/>
        <v>0</v>
      </c>
      <c r="AQ522" s="781">
        <f t="shared" si="718"/>
        <v>0</v>
      </c>
      <c r="AR522" s="781">
        <f t="shared" si="719"/>
        <v>0</v>
      </c>
      <c r="AS522" s="783">
        <f t="shared" si="720"/>
        <v>0</v>
      </c>
      <c r="AT522" s="917"/>
      <c r="AV522" s="170"/>
      <c r="AW522" s="832"/>
      <c r="AX522" s="833" t="s">
        <v>3030</v>
      </c>
      <c r="BM522" s="2010"/>
    </row>
    <row r="523" spans="1:65" ht="15.75" hidden="1" outlineLevel="1" thickBot="1" x14ac:dyDescent="0.3">
      <c r="A523" s="784"/>
      <c r="B523" s="904">
        <f t="shared" si="681"/>
        <v>505</v>
      </c>
      <c r="C523" s="170" t="str">
        <f t="shared" si="678"/>
        <v>85</v>
      </c>
      <c r="D523" s="557"/>
      <c r="E523" s="170"/>
      <c r="F523" s="170">
        <v>85</v>
      </c>
      <c r="G523" s="2497" t="s">
        <v>3167</v>
      </c>
      <c r="H523" s="2629"/>
      <c r="I523" s="2008"/>
      <c r="J523" s="1926"/>
      <c r="K523" s="1926"/>
      <c r="L523" s="488"/>
      <c r="M523" s="2009"/>
      <c r="N523" s="2010"/>
      <c r="O523" s="773"/>
      <c r="P523" s="2076"/>
      <c r="Q523" s="2008"/>
      <c r="R523" s="2011"/>
      <c r="S523" s="912">
        <f>SUMIF('Data Input sheet'!$B$118:$B$180,R523,'Data Input sheet'!$D$118:$D$180)</f>
        <v>0</v>
      </c>
      <c r="T523" s="2685"/>
      <c r="U523" s="2013">
        <v>0</v>
      </c>
      <c r="V523" s="778"/>
      <c r="W523" s="2010"/>
      <c r="X523" s="779"/>
      <c r="Y523" s="2012"/>
      <c r="Z523" s="780"/>
      <c r="AA523" s="2007"/>
      <c r="AB523" s="2007"/>
      <c r="AC523" s="765"/>
      <c r="AD523" s="781">
        <f t="shared" si="705"/>
        <v>0</v>
      </c>
      <c r="AE523" s="778">
        <f t="shared" si="706"/>
        <v>0</v>
      </c>
      <c r="AF523" s="781">
        <f t="shared" si="707"/>
        <v>0</v>
      </c>
      <c r="AG523" s="781">
        <f t="shared" si="708"/>
        <v>0</v>
      </c>
      <c r="AH523" s="781">
        <f t="shared" si="709"/>
        <v>0</v>
      </c>
      <c r="AI523" s="782">
        <f t="shared" si="710"/>
        <v>0</v>
      </c>
      <c r="AJ523" s="781">
        <f t="shared" si="711"/>
        <v>0</v>
      </c>
      <c r="AK523" s="781">
        <f t="shared" si="712"/>
        <v>0</v>
      </c>
      <c r="AL523" s="781">
        <f t="shared" si="713"/>
        <v>0</v>
      </c>
      <c r="AM523" s="781">
        <f t="shared" si="714"/>
        <v>0</v>
      </c>
      <c r="AN523" s="781">
        <f t="shared" si="715"/>
        <v>0</v>
      </c>
      <c r="AO523" s="781">
        <f t="shared" si="716"/>
        <v>0</v>
      </c>
      <c r="AP523" s="781">
        <f t="shared" si="717"/>
        <v>0</v>
      </c>
      <c r="AQ523" s="781">
        <f t="shared" si="718"/>
        <v>0</v>
      </c>
      <c r="AR523" s="781">
        <f t="shared" si="719"/>
        <v>0</v>
      </c>
      <c r="AS523" s="783">
        <f t="shared" si="720"/>
        <v>0</v>
      </c>
      <c r="AT523" s="917"/>
      <c r="AW523" s="832"/>
      <c r="AX523" s="833"/>
      <c r="BM523" s="2010"/>
    </row>
    <row r="524" spans="1:65" ht="15.75" hidden="1" outlineLevel="1" thickBot="1" x14ac:dyDescent="0.3">
      <c r="A524" s="784"/>
      <c r="B524" s="904">
        <f t="shared" si="681"/>
        <v>506</v>
      </c>
      <c r="C524" s="170" t="str">
        <f t="shared" si="678"/>
        <v>85EA</v>
      </c>
      <c r="D524" s="557"/>
      <c r="E524" s="170"/>
      <c r="F524" s="170">
        <v>85</v>
      </c>
      <c r="G524" s="2007" t="s">
        <v>3264</v>
      </c>
      <c r="H524" s="1926"/>
      <c r="I524" s="2008" t="s">
        <v>732</v>
      </c>
      <c r="J524" s="1926"/>
      <c r="K524" s="1926"/>
      <c r="L524" s="488"/>
      <c r="M524" s="2009">
        <v>120</v>
      </c>
      <c r="N524" s="2010">
        <v>1</v>
      </c>
      <c r="O524" s="773">
        <f t="shared" ref="O524:O525" si="747">+M524*N524</f>
        <v>120</v>
      </c>
      <c r="P524" s="2076" t="s">
        <v>39</v>
      </c>
      <c r="Q524" s="2008" t="s">
        <v>39</v>
      </c>
      <c r="R524" s="2011" t="s">
        <v>74</v>
      </c>
      <c r="S524" s="912">
        <f>SUMIF('Data Input sheet'!$B$118:$B$180,R524,'Data Input sheet'!$D$118:$D$180)</f>
        <v>152</v>
      </c>
      <c r="T524" s="2685">
        <f t="shared" ref="T524" si="748">+O524*S524</f>
        <v>18240</v>
      </c>
      <c r="U524" s="2013">
        <v>14.8</v>
      </c>
      <c r="V524" s="778">
        <f t="shared" ref="V524:V525" si="749">ROUND(U524*O524,0)</f>
        <v>1776</v>
      </c>
      <c r="W524" s="2010">
        <v>13800</v>
      </c>
      <c r="X524" s="779"/>
      <c r="Y524" s="2012"/>
      <c r="Z524" s="780">
        <f t="shared" ref="Z524:Z525" si="750">T524+V524+W524+Y524</f>
        <v>33816</v>
      </c>
      <c r="AA524" s="2007"/>
      <c r="AB524" s="2007"/>
      <c r="AC524" s="765"/>
      <c r="AD524" s="781">
        <f t="shared" si="705"/>
        <v>0</v>
      </c>
      <c r="AE524" s="778">
        <f t="shared" si="706"/>
        <v>0</v>
      </c>
      <c r="AF524" s="781">
        <f t="shared" si="707"/>
        <v>0</v>
      </c>
      <c r="AG524" s="781">
        <f t="shared" si="708"/>
        <v>0</v>
      </c>
      <c r="AH524" s="781">
        <f t="shared" si="709"/>
        <v>0</v>
      </c>
      <c r="AI524" s="782">
        <f t="shared" si="710"/>
        <v>0</v>
      </c>
      <c r="AJ524" s="781">
        <f t="shared" si="711"/>
        <v>0</v>
      </c>
      <c r="AK524" s="781">
        <f t="shared" si="712"/>
        <v>0</v>
      </c>
      <c r="AL524" s="781">
        <f t="shared" si="713"/>
        <v>0</v>
      </c>
      <c r="AM524" s="781">
        <f t="shared" si="714"/>
        <v>0</v>
      </c>
      <c r="AN524" s="781">
        <f t="shared" si="715"/>
        <v>0</v>
      </c>
      <c r="AO524" s="781">
        <f t="shared" si="716"/>
        <v>0</v>
      </c>
      <c r="AP524" s="781">
        <f t="shared" si="717"/>
        <v>0</v>
      </c>
      <c r="AQ524" s="781">
        <f t="shared" si="718"/>
        <v>0</v>
      </c>
      <c r="AR524" s="781">
        <f t="shared" si="719"/>
        <v>0</v>
      </c>
      <c r="AS524" s="783">
        <f t="shared" si="720"/>
        <v>0</v>
      </c>
      <c r="AT524" s="917"/>
      <c r="AW524" s="832"/>
      <c r="AX524" s="2481" t="s">
        <v>3022</v>
      </c>
      <c r="AY524" s="2482"/>
      <c r="BM524" s="2010">
        <v>6146.4000000000005</v>
      </c>
    </row>
    <row r="525" spans="1:65" ht="15.75" hidden="1" outlineLevel="1" thickBot="1" x14ac:dyDescent="0.3">
      <c r="A525" s="784"/>
      <c r="B525" s="904">
        <f t="shared" si="681"/>
        <v>507</v>
      </c>
      <c r="C525" s="170" t="str">
        <f t="shared" si="678"/>
        <v>85EA</v>
      </c>
      <c r="D525" s="557"/>
      <c r="E525" s="170"/>
      <c r="F525" s="170">
        <v>85</v>
      </c>
      <c r="G525" s="2492" t="s">
        <v>3296</v>
      </c>
      <c r="H525" s="1926"/>
      <c r="I525" s="2008" t="s">
        <v>732</v>
      </c>
      <c r="J525" s="2039"/>
      <c r="K525" s="2039"/>
      <c r="L525" s="488"/>
      <c r="M525" s="2009">
        <v>140</v>
      </c>
      <c r="N525" s="2043">
        <v>1</v>
      </c>
      <c r="O525" s="1967">
        <f t="shared" si="747"/>
        <v>140</v>
      </c>
      <c r="P525" s="2076" t="s">
        <v>39</v>
      </c>
      <c r="Q525" s="2008" t="s">
        <v>39</v>
      </c>
      <c r="R525" s="2011" t="s">
        <v>74</v>
      </c>
      <c r="S525" s="912">
        <f>SUMIF('Data Input sheet'!$B$118:$B$180,R525,'Data Input sheet'!$D$118:$D$180)</f>
        <v>152</v>
      </c>
      <c r="T525" s="2686">
        <f t="shared" ref="T525" si="751">ROUND(O525*S525,0)</f>
        <v>21280</v>
      </c>
      <c r="U525" s="2013">
        <v>14.8</v>
      </c>
      <c r="V525" s="1981">
        <f t="shared" si="749"/>
        <v>2072</v>
      </c>
      <c r="W525" s="2046">
        <v>40686.239999999998</v>
      </c>
      <c r="X525" s="2502"/>
      <c r="Y525" s="2047">
        <v>0</v>
      </c>
      <c r="Z525" s="780">
        <f t="shared" si="750"/>
        <v>64038.239999999998</v>
      </c>
      <c r="AA525" s="2007"/>
      <c r="AB525" s="2007"/>
      <c r="AC525" s="765"/>
      <c r="AD525" s="781">
        <f t="shared" si="705"/>
        <v>0</v>
      </c>
      <c r="AE525" s="778">
        <f t="shared" si="706"/>
        <v>0</v>
      </c>
      <c r="AF525" s="781">
        <f t="shared" si="707"/>
        <v>0</v>
      </c>
      <c r="AG525" s="781">
        <f t="shared" si="708"/>
        <v>0</v>
      </c>
      <c r="AH525" s="781">
        <f t="shared" si="709"/>
        <v>0</v>
      </c>
      <c r="AI525" s="782">
        <f t="shared" si="710"/>
        <v>0</v>
      </c>
      <c r="AJ525" s="781">
        <f t="shared" si="711"/>
        <v>0</v>
      </c>
      <c r="AK525" s="781">
        <f t="shared" si="712"/>
        <v>0</v>
      </c>
      <c r="AL525" s="781">
        <f t="shared" si="713"/>
        <v>0</v>
      </c>
      <c r="AM525" s="781">
        <f t="shared" si="714"/>
        <v>0</v>
      </c>
      <c r="AN525" s="781">
        <f t="shared" si="715"/>
        <v>0</v>
      </c>
      <c r="AO525" s="781">
        <f t="shared" si="716"/>
        <v>0</v>
      </c>
      <c r="AP525" s="781">
        <f t="shared" si="717"/>
        <v>0</v>
      </c>
      <c r="AQ525" s="781">
        <f t="shared" si="718"/>
        <v>0</v>
      </c>
      <c r="AR525" s="781">
        <f t="shared" si="719"/>
        <v>0</v>
      </c>
      <c r="AS525" s="783">
        <f t="shared" si="720"/>
        <v>0</v>
      </c>
    </row>
    <row r="526" spans="1:65" ht="15.75" hidden="1" outlineLevel="1" thickBot="1" x14ac:dyDescent="0.3">
      <c r="A526" s="787"/>
      <c r="B526" s="904">
        <f t="shared" si="681"/>
        <v>508</v>
      </c>
      <c r="C526" s="170" t="str">
        <f t="shared" si="678"/>
        <v>85EA</v>
      </c>
      <c r="D526" s="906"/>
      <c r="E526" s="170"/>
      <c r="F526" s="170">
        <v>85</v>
      </c>
      <c r="G526" s="2007" t="s">
        <v>3265</v>
      </c>
      <c r="H526" s="1926"/>
      <c r="I526" s="2008" t="s">
        <v>732</v>
      </c>
      <c r="J526" s="1926"/>
      <c r="K526" s="1926"/>
      <c r="L526" s="488"/>
      <c r="M526" s="2009">
        <v>240</v>
      </c>
      <c r="N526" s="2010">
        <v>1</v>
      </c>
      <c r="O526" s="773">
        <f>+M526*N526</f>
        <v>240</v>
      </c>
      <c r="P526" s="2076" t="s">
        <v>39</v>
      </c>
      <c r="Q526" s="2008" t="s">
        <v>39</v>
      </c>
      <c r="R526" s="2011" t="s">
        <v>74</v>
      </c>
      <c r="S526" s="912">
        <f>SUMIF('Data Input sheet'!$B$118:$B$180,R526,'Data Input sheet'!$D$118:$D$180)</f>
        <v>152</v>
      </c>
      <c r="T526" s="2685">
        <f>+O526*S526</f>
        <v>36480</v>
      </c>
      <c r="U526" s="2013">
        <v>14.8</v>
      </c>
      <c r="V526" s="778">
        <f>ROUND(U526*O526,0)</f>
        <v>3552</v>
      </c>
      <c r="W526" s="2010">
        <v>82650</v>
      </c>
      <c r="X526" s="779"/>
      <c r="Y526" s="2012">
        <v>0</v>
      </c>
      <c r="Z526" s="780">
        <f>T526+V526+W526+Y526</f>
        <v>122682</v>
      </c>
      <c r="AA526" s="2007"/>
      <c r="AB526" s="2007"/>
      <c r="AC526" s="765"/>
      <c r="AD526" s="781">
        <f>IF(P526="E",+ROUND(H526*O526,0),0)</f>
        <v>0</v>
      </c>
      <c r="AE526" s="778">
        <f>+AF526-AD526</f>
        <v>0</v>
      </c>
      <c r="AF526" s="781">
        <f>+H526*O526</f>
        <v>0</v>
      </c>
      <c r="AG526" s="781">
        <f>IF(P526="E",+ROUND(T526*H526,0),0)</f>
        <v>0</v>
      </c>
      <c r="AH526" s="781">
        <f>+AI526-AG526</f>
        <v>0</v>
      </c>
      <c r="AI526" s="782">
        <f>+H526*T526</f>
        <v>0</v>
      </c>
      <c r="AJ526" s="781">
        <f>IF(P526="E",+ROUND(V526*H526,0),0)</f>
        <v>0</v>
      </c>
      <c r="AK526" s="781">
        <f>+AL526-AJ526</f>
        <v>0</v>
      </c>
      <c r="AL526" s="781">
        <f>ROUND(V526*H526,0)</f>
        <v>0</v>
      </c>
      <c r="AM526" s="781">
        <f>IF(Q526="E",+ROUND(W526*H526,0),0)</f>
        <v>0</v>
      </c>
      <c r="AN526" s="781">
        <f>+AO526-AM526</f>
        <v>0</v>
      </c>
      <c r="AO526" s="781">
        <f>ROUND(W526*H526,0)</f>
        <v>0</v>
      </c>
      <c r="AP526" s="781">
        <f>IF(P526="E",+ROUND(Y526*H526,0),0)</f>
        <v>0</v>
      </c>
      <c r="AQ526" s="781">
        <f>+AR526-AP526</f>
        <v>0</v>
      </c>
      <c r="AR526" s="781">
        <f>ROUND(Y526*H526,0)</f>
        <v>0</v>
      </c>
      <c r="AS526" s="783">
        <f>+AR526+AO526+AL526+AI526</f>
        <v>0</v>
      </c>
      <c r="AT526" s="917"/>
      <c r="AV526" s="721"/>
      <c r="AW526" s="832"/>
      <c r="AX526" s="2481" t="s">
        <v>3023</v>
      </c>
      <c r="AY526" s="2482"/>
      <c r="BM526" s="2010">
        <v>82650</v>
      </c>
    </row>
    <row r="527" spans="1:65" ht="15.75" hidden="1" outlineLevel="1" thickBot="1" x14ac:dyDescent="0.3">
      <c r="A527" s="787"/>
      <c r="B527" s="904">
        <f t="shared" si="681"/>
        <v>509</v>
      </c>
      <c r="C527" s="170" t="str">
        <f t="shared" si="678"/>
        <v>85</v>
      </c>
      <c r="D527" s="906"/>
      <c r="E527" s="170"/>
      <c r="F527" s="170">
        <v>85</v>
      </c>
      <c r="G527" s="2497" t="s">
        <v>1911</v>
      </c>
      <c r="H527" s="2641"/>
      <c r="I527" s="2008"/>
      <c r="J527" s="1926"/>
      <c r="K527" s="1926"/>
      <c r="L527" s="488"/>
      <c r="M527" s="2009"/>
      <c r="N527" s="2010"/>
      <c r="O527" s="773"/>
      <c r="P527" s="2076"/>
      <c r="Q527" s="2008"/>
      <c r="R527" s="2011"/>
      <c r="S527" s="912">
        <f>SUMIF('Data Input sheet'!$B$118:$B$180,R527,'Data Input sheet'!$D$118:$D$180)</f>
        <v>0</v>
      </c>
      <c r="T527" s="2685"/>
      <c r="U527" s="2013"/>
      <c r="V527" s="778"/>
      <c r="W527" s="2010"/>
      <c r="X527" s="779"/>
      <c r="Y527" s="2012"/>
      <c r="Z527" s="780"/>
      <c r="AA527" s="2007"/>
      <c r="AB527" s="2007"/>
      <c r="AC527" s="765"/>
      <c r="AD527" s="781">
        <f t="shared" si="705"/>
        <v>0</v>
      </c>
      <c r="AE527" s="778">
        <f t="shared" si="706"/>
        <v>0</v>
      </c>
      <c r="AF527" s="781">
        <f t="shared" si="707"/>
        <v>0</v>
      </c>
      <c r="AG527" s="781">
        <f t="shared" si="708"/>
        <v>0</v>
      </c>
      <c r="AH527" s="781">
        <f t="shared" si="709"/>
        <v>0</v>
      </c>
      <c r="AI527" s="782">
        <f t="shared" si="710"/>
        <v>0</v>
      </c>
      <c r="AJ527" s="781">
        <f t="shared" si="711"/>
        <v>0</v>
      </c>
      <c r="AK527" s="781">
        <f t="shared" si="712"/>
        <v>0</v>
      </c>
      <c r="AL527" s="781">
        <f t="shared" si="713"/>
        <v>0</v>
      </c>
      <c r="AM527" s="781">
        <f t="shared" si="714"/>
        <v>0</v>
      </c>
      <c r="AN527" s="781">
        <f t="shared" si="715"/>
        <v>0</v>
      </c>
      <c r="AO527" s="781">
        <f t="shared" si="716"/>
        <v>0</v>
      </c>
      <c r="AP527" s="781">
        <f t="shared" si="717"/>
        <v>0</v>
      </c>
      <c r="AQ527" s="781">
        <f t="shared" si="718"/>
        <v>0</v>
      </c>
      <c r="AR527" s="781">
        <f t="shared" si="719"/>
        <v>0</v>
      </c>
      <c r="AS527" s="783">
        <f t="shared" si="720"/>
        <v>0</v>
      </c>
      <c r="AT527" s="917"/>
      <c r="AV527" s="721"/>
      <c r="AW527" s="832"/>
      <c r="AX527" s="833" t="s">
        <v>3030</v>
      </c>
      <c r="BM527" s="2010"/>
    </row>
    <row r="528" spans="1:65" ht="15.75" hidden="1" outlineLevel="1" thickBot="1" x14ac:dyDescent="0.3">
      <c r="A528" s="787"/>
      <c r="B528" s="904">
        <f t="shared" si="681"/>
        <v>510</v>
      </c>
      <c r="C528" s="170" t="str">
        <f t="shared" si="678"/>
        <v>85EA</v>
      </c>
      <c r="D528" s="906"/>
      <c r="E528" s="170"/>
      <c r="F528" s="170">
        <v>85</v>
      </c>
      <c r="G528" s="2007" t="s">
        <v>2480</v>
      </c>
      <c r="H528" s="1926"/>
      <c r="I528" s="2008" t="s">
        <v>732</v>
      </c>
      <c r="J528" s="1926"/>
      <c r="K528" s="1926"/>
      <c r="L528" s="488"/>
      <c r="M528" s="2009">
        <v>4</v>
      </c>
      <c r="N528" s="2010">
        <v>1</v>
      </c>
      <c r="O528" s="773">
        <f t="shared" ref="O528:O550" si="752">+M528*N528</f>
        <v>4</v>
      </c>
      <c r="P528" s="2076" t="s">
        <v>39</v>
      </c>
      <c r="Q528" s="2008" t="s">
        <v>39</v>
      </c>
      <c r="R528" s="2011" t="s">
        <v>74</v>
      </c>
      <c r="S528" s="912">
        <f>SUMIF('Data Input sheet'!$B$118:$B$180,R528,'Data Input sheet'!$D$118:$D$180)</f>
        <v>152</v>
      </c>
      <c r="T528" s="2685">
        <f t="shared" ref="T528:T534" si="753">+O528*S528</f>
        <v>608</v>
      </c>
      <c r="U528" s="2013">
        <v>0</v>
      </c>
      <c r="V528" s="778">
        <f t="shared" ref="V528:V550" si="754">ROUND(U528*O528,0)</f>
        <v>0</v>
      </c>
      <c r="W528" s="2010">
        <v>3865.2</v>
      </c>
      <c r="X528" s="779"/>
      <c r="Y528" s="2012">
        <v>0</v>
      </c>
      <c r="Z528" s="780">
        <f t="shared" ref="Z528:Z550" si="755">T528+V528+W528+Y528</f>
        <v>4473.2</v>
      </c>
      <c r="AA528" s="2007"/>
      <c r="AB528" s="2007"/>
      <c r="AC528" s="765"/>
      <c r="AD528" s="781">
        <f t="shared" si="705"/>
        <v>0</v>
      </c>
      <c r="AE528" s="778">
        <f t="shared" si="706"/>
        <v>0</v>
      </c>
      <c r="AF528" s="781">
        <f t="shared" si="707"/>
        <v>0</v>
      </c>
      <c r="AG528" s="781">
        <f t="shared" si="708"/>
        <v>0</v>
      </c>
      <c r="AH528" s="781">
        <f t="shared" si="709"/>
        <v>0</v>
      </c>
      <c r="AI528" s="782">
        <f t="shared" si="710"/>
        <v>0</v>
      </c>
      <c r="AJ528" s="781">
        <f t="shared" si="711"/>
        <v>0</v>
      </c>
      <c r="AK528" s="781">
        <f t="shared" si="712"/>
        <v>0</v>
      </c>
      <c r="AL528" s="781">
        <f t="shared" si="713"/>
        <v>0</v>
      </c>
      <c r="AM528" s="781">
        <f t="shared" si="714"/>
        <v>0</v>
      </c>
      <c r="AN528" s="781">
        <f t="shared" si="715"/>
        <v>0</v>
      </c>
      <c r="AO528" s="781">
        <f t="shared" si="716"/>
        <v>0</v>
      </c>
      <c r="AP528" s="781">
        <f t="shared" si="717"/>
        <v>0</v>
      </c>
      <c r="AQ528" s="781">
        <f t="shared" si="718"/>
        <v>0</v>
      </c>
      <c r="AR528" s="781">
        <f t="shared" si="719"/>
        <v>0</v>
      </c>
      <c r="AS528" s="783">
        <f t="shared" si="720"/>
        <v>0</v>
      </c>
      <c r="AT528" s="917"/>
      <c r="AV528" s="721"/>
      <c r="AW528" s="832"/>
      <c r="AX528" s="833" t="s">
        <v>3065</v>
      </c>
      <c r="BM528" s="2010">
        <v>3865.2</v>
      </c>
    </row>
    <row r="529" spans="1:65" ht="15.75" hidden="1" outlineLevel="1" thickBot="1" x14ac:dyDescent="0.3">
      <c r="A529" s="787"/>
      <c r="B529" s="904">
        <f t="shared" si="681"/>
        <v>511</v>
      </c>
      <c r="C529" s="170" t="str">
        <f t="shared" si="678"/>
        <v>85EA</v>
      </c>
      <c r="D529" s="906"/>
      <c r="E529" s="170"/>
      <c r="F529" s="170">
        <v>85</v>
      </c>
      <c r="G529" s="2007" t="s">
        <v>2481</v>
      </c>
      <c r="H529" s="1926"/>
      <c r="I529" s="2008" t="s">
        <v>732</v>
      </c>
      <c r="J529" s="1926"/>
      <c r="K529" s="1926"/>
      <c r="L529" s="488"/>
      <c r="M529" s="2009">
        <v>4</v>
      </c>
      <c r="N529" s="2010">
        <v>1</v>
      </c>
      <c r="O529" s="773">
        <f t="shared" si="752"/>
        <v>4</v>
      </c>
      <c r="P529" s="2076" t="s">
        <v>39</v>
      </c>
      <c r="Q529" s="2008" t="s">
        <v>39</v>
      </c>
      <c r="R529" s="2011" t="s">
        <v>74</v>
      </c>
      <c r="S529" s="912">
        <f>SUMIF('Data Input sheet'!$B$118:$B$180,R529,'Data Input sheet'!$D$118:$D$180)</f>
        <v>152</v>
      </c>
      <c r="T529" s="2685">
        <f t="shared" si="753"/>
        <v>608</v>
      </c>
      <c r="U529" s="2013">
        <v>0</v>
      </c>
      <c r="V529" s="778">
        <f t="shared" si="754"/>
        <v>0</v>
      </c>
      <c r="W529" s="2010">
        <v>6207</v>
      </c>
      <c r="X529" s="779"/>
      <c r="Y529" s="2012">
        <v>0</v>
      </c>
      <c r="Z529" s="780">
        <f t="shared" si="755"/>
        <v>6815</v>
      </c>
      <c r="AA529" s="2007"/>
      <c r="AB529" s="2007"/>
      <c r="AC529" s="765"/>
      <c r="AD529" s="781">
        <f t="shared" si="705"/>
        <v>0</v>
      </c>
      <c r="AE529" s="778">
        <f t="shared" si="706"/>
        <v>0</v>
      </c>
      <c r="AF529" s="781">
        <f t="shared" si="707"/>
        <v>0</v>
      </c>
      <c r="AG529" s="781">
        <f t="shared" si="708"/>
        <v>0</v>
      </c>
      <c r="AH529" s="781">
        <f t="shared" si="709"/>
        <v>0</v>
      </c>
      <c r="AI529" s="782">
        <f t="shared" si="710"/>
        <v>0</v>
      </c>
      <c r="AJ529" s="781">
        <f t="shared" si="711"/>
        <v>0</v>
      </c>
      <c r="AK529" s="781">
        <f t="shared" si="712"/>
        <v>0</v>
      </c>
      <c r="AL529" s="781">
        <f t="shared" si="713"/>
        <v>0</v>
      </c>
      <c r="AM529" s="781">
        <f t="shared" si="714"/>
        <v>0</v>
      </c>
      <c r="AN529" s="781">
        <f t="shared" si="715"/>
        <v>0</v>
      </c>
      <c r="AO529" s="781">
        <f t="shared" si="716"/>
        <v>0</v>
      </c>
      <c r="AP529" s="781">
        <f t="shared" si="717"/>
        <v>0</v>
      </c>
      <c r="AQ529" s="781">
        <f t="shared" si="718"/>
        <v>0</v>
      </c>
      <c r="AR529" s="781">
        <f t="shared" si="719"/>
        <v>0</v>
      </c>
      <c r="AS529" s="783">
        <f t="shared" si="720"/>
        <v>0</v>
      </c>
      <c r="AT529" s="917"/>
      <c r="AV529" s="721"/>
      <c r="AW529" s="832"/>
      <c r="AX529" s="833" t="s">
        <v>3066</v>
      </c>
      <c r="BM529" s="2010">
        <v>6207</v>
      </c>
    </row>
    <row r="530" spans="1:65" ht="15.75" hidden="1" outlineLevel="1" thickBot="1" x14ac:dyDescent="0.3">
      <c r="A530" s="787"/>
      <c r="B530" s="904">
        <f t="shared" si="681"/>
        <v>512</v>
      </c>
      <c r="C530" s="170" t="str">
        <f t="shared" si="678"/>
        <v>85EA</v>
      </c>
      <c r="D530" s="906"/>
      <c r="E530" s="170"/>
      <c r="F530" s="170">
        <v>85</v>
      </c>
      <c r="G530" s="2007" t="s">
        <v>2482</v>
      </c>
      <c r="H530" s="1926"/>
      <c r="I530" s="2008" t="s">
        <v>732</v>
      </c>
      <c r="J530" s="1926"/>
      <c r="K530" s="1926"/>
      <c r="L530" s="488"/>
      <c r="M530" s="2009">
        <v>4</v>
      </c>
      <c r="N530" s="2010">
        <v>1</v>
      </c>
      <c r="O530" s="773">
        <f t="shared" si="752"/>
        <v>4</v>
      </c>
      <c r="P530" s="2076" t="s">
        <v>39</v>
      </c>
      <c r="Q530" s="2008" t="s">
        <v>39</v>
      </c>
      <c r="R530" s="2011" t="s">
        <v>74</v>
      </c>
      <c r="S530" s="912">
        <f>SUMIF('Data Input sheet'!$B$118:$B$180,R530,'Data Input sheet'!$D$118:$D$180)</f>
        <v>152</v>
      </c>
      <c r="T530" s="2685">
        <f t="shared" si="753"/>
        <v>608</v>
      </c>
      <c r="U530" s="2013">
        <v>0</v>
      </c>
      <c r="V530" s="778">
        <f t="shared" si="754"/>
        <v>0</v>
      </c>
      <c r="W530" s="2010">
        <v>6825</v>
      </c>
      <c r="X530" s="779"/>
      <c r="Y530" s="2012">
        <v>0</v>
      </c>
      <c r="Z530" s="780">
        <f t="shared" si="755"/>
        <v>7433</v>
      </c>
      <c r="AA530" s="2007"/>
      <c r="AB530" s="2007"/>
      <c r="AC530" s="765"/>
      <c r="AD530" s="781">
        <f t="shared" si="705"/>
        <v>0</v>
      </c>
      <c r="AE530" s="778">
        <f t="shared" si="706"/>
        <v>0</v>
      </c>
      <c r="AF530" s="781">
        <f t="shared" si="707"/>
        <v>0</v>
      </c>
      <c r="AG530" s="781">
        <f t="shared" si="708"/>
        <v>0</v>
      </c>
      <c r="AH530" s="781">
        <f t="shared" si="709"/>
        <v>0</v>
      </c>
      <c r="AI530" s="782">
        <f t="shared" si="710"/>
        <v>0</v>
      </c>
      <c r="AJ530" s="781">
        <f t="shared" si="711"/>
        <v>0</v>
      </c>
      <c r="AK530" s="781">
        <f t="shared" si="712"/>
        <v>0</v>
      </c>
      <c r="AL530" s="781">
        <f t="shared" si="713"/>
        <v>0</v>
      </c>
      <c r="AM530" s="781">
        <f t="shared" si="714"/>
        <v>0</v>
      </c>
      <c r="AN530" s="781">
        <f t="shared" si="715"/>
        <v>0</v>
      </c>
      <c r="AO530" s="781">
        <f t="shared" si="716"/>
        <v>0</v>
      </c>
      <c r="AP530" s="781">
        <f t="shared" si="717"/>
        <v>0</v>
      </c>
      <c r="AQ530" s="781">
        <f t="shared" si="718"/>
        <v>0</v>
      </c>
      <c r="AR530" s="781">
        <f t="shared" si="719"/>
        <v>0</v>
      </c>
      <c r="AS530" s="783">
        <f t="shared" si="720"/>
        <v>0</v>
      </c>
      <c r="AT530" s="917"/>
      <c r="AV530" s="721"/>
      <c r="AW530" s="832"/>
      <c r="AX530" s="833" t="s">
        <v>3067</v>
      </c>
      <c r="BM530" s="2010">
        <v>6825</v>
      </c>
    </row>
    <row r="531" spans="1:65" ht="15.75" hidden="1" outlineLevel="1" thickBot="1" x14ac:dyDescent="0.3">
      <c r="A531" s="787"/>
      <c r="B531" s="904">
        <f t="shared" si="681"/>
        <v>513</v>
      </c>
      <c r="C531" s="170" t="str">
        <f t="shared" si="678"/>
        <v>85EA</v>
      </c>
      <c r="D531" s="906"/>
      <c r="E531" s="170"/>
      <c r="F531" s="721">
        <v>85</v>
      </c>
      <c r="G531" s="2007" t="s">
        <v>2483</v>
      </c>
      <c r="H531" s="1926"/>
      <c r="I531" s="2008" t="s">
        <v>732</v>
      </c>
      <c r="J531" s="1926"/>
      <c r="K531" s="1926"/>
      <c r="L531" s="488"/>
      <c r="M531" s="2009">
        <v>20</v>
      </c>
      <c r="N531" s="2010">
        <v>1</v>
      </c>
      <c r="O531" s="773">
        <f t="shared" si="752"/>
        <v>20</v>
      </c>
      <c r="P531" s="2076" t="s">
        <v>39</v>
      </c>
      <c r="Q531" s="2008" t="s">
        <v>39</v>
      </c>
      <c r="R531" s="2011" t="s">
        <v>74</v>
      </c>
      <c r="S531" s="912">
        <f>SUMIF('Data Input sheet'!$B$118:$B$180,R531,'Data Input sheet'!$D$118:$D$180)</f>
        <v>152</v>
      </c>
      <c r="T531" s="2685">
        <f t="shared" si="753"/>
        <v>3040</v>
      </c>
      <c r="U531" s="2013">
        <v>0</v>
      </c>
      <c r="V531" s="778">
        <f t="shared" si="754"/>
        <v>0</v>
      </c>
      <c r="W531" s="2010">
        <v>7774.7999999999993</v>
      </c>
      <c r="X531" s="779"/>
      <c r="Y531" s="2012">
        <v>0</v>
      </c>
      <c r="Z531" s="780">
        <f t="shared" si="755"/>
        <v>10814.8</v>
      </c>
      <c r="AA531" s="2007"/>
      <c r="AB531" s="2007"/>
      <c r="AC531" s="765"/>
      <c r="AD531" s="781">
        <f t="shared" si="705"/>
        <v>0</v>
      </c>
      <c r="AE531" s="778">
        <f t="shared" si="706"/>
        <v>0</v>
      </c>
      <c r="AF531" s="781">
        <f t="shared" si="707"/>
        <v>0</v>
      </c>
      <c r="AG531" s="781">
        <f t="shared" si="708"/>
        <v>0</v>
      </c>
      <c r="AH531" s="781">
        <f t="shared" si="709"/>
        <v>0</v>
      </c>
      <c r="AI531" s="782">
        <f t="shared" si="710"/>
        <v>0</v>
      </c>
      <c r="AJ531" s="781">
        <f t="shared" si="711"/>
        <v>0</v>
      </c>
      <c r="AK531" s="781">
        <f t="shared" si="712"/>
        <v>0</v>
      </c>
      <c r="AL531" s="781">
        <f t="shared" si="713"/>
        <v>0</v>
      </c>
      <c r="AM531" s="781">
        <f t="shared" si="714"/>
        <v>0</v>
      </c>
      <c r="AN531" s="781">
        <f t="shared" si="715"/>
        <v>0</v>
      </c>
      <c r="AO531" s="781">
        <f t="shared" si="716"/>
        <v>0</v>
      </c>
      <c r="AP531" s="781">
        <f t="shared" si="717"/>
        <v>0</v>
      </c>
      <c r="AQ531" s="781">
        <f t="shared" si="718"/>
        <v>0</v>
      </c>
      <c r="AR531" s="781">
        <f t="shared" si="719"/>
        <v>0</v>
      </c>
      <c r="AS531" s="783">
        <f t="shared" si="720"/>
        <v>0</v>
      </c>
      <c r="AT531" s="917"/>
      <c r="AV531" s="721"/>
      <c r="AW531" s="832"/>
      <c r="AX531" s="2481" t="s">
        <v>3024</v>
      </c>
      <c r="AY531" s="2482"/>
      <c r="BM531" s="2010">
        <v>7774.7999999999993</v>
      </c>
    </row>
    <row r="532" spans="1:65" ht="26.25" hidden="1" outlineLevel="1" thickBot="1" x14ac:dyDescent="0.3">
      <c r="A532" s="787"/>
      <c r="B532" s="904">
        <f t="shared" si="681"/>
        <v>514</v>
      </c>
      <c r="C532" s="170" t="str">
        <f t="shared" si="678"/>
        <v>85</v>
      </c>
      <c r="D532" s="906"/>
      <c r="E532" s="170"/>
      <c r="F532" s="170">
        <v>85</v>
      </c>
      <c r="G532" s="2007" t="s">
        <v>3025</v>
      </c>
      <c r="H532" s="1926"/>
      <c r="I532" s="2008"/>
      <c r="J532" s="1926"/>
      <c r="K532" s="1926"/>
      <c r="L532" s="488"/>
      <c r="M532" s="2009">
        <v>48</v>
      </c>
      <c r="N532" s="2010">
        <v>1</v>
      </c>
      <c r="O532" s="773">
        <f t="shared" si="752"/>
        <v>48</v>
      </c>
      <c r="P532" s="2076" t="s">
        <v>39</v>
      </c>
      <c r="Q532" s="2008" t="s">
        <v>39</v>
      </c>
      <c r="R532" s="2011" t="s">
        <v>74</v>
      </c>
      <c r="S532" s="912">
        <f>SUMIF('Data Input sheet'!$B$118:$B$180,R532,'Data Input sheet'!$D$118:$D$180)</f>
        <v>152</v>
      </c>
      <c r="T532" s="2685">
        <f t="shared" si="753"/>
        <v>7296</v>
      </c>
      <c r="U532" s="2013">
        <v>14.8</v>
      </c>
      <c r="V532" s="778">
        <f t="shared" si="754"/>
        <v>710</v>
      </c>
      <c r="W532" s="2010"/>
      <c r="X532" s="779"/>
      <c r="Y532" s="2012"/>
      <c r="Z532" s="780">
        <f t="shared" si="755"/>
        <v>8006</v>
      </c>
      <c r="AA532" s="2007"/>
      <c r="AB532" s="2007"/>
      <c r="AC532" s="765"/>
      <c r="AD532" s="781">
        <f t="shared" si="705"/>
        <v>0</v>
      </c>
      <c r="AE532" s="778">
        <f t="shared" si="706"/>
        <v>0</v>
      </c>
      <c r="AF532" s="781">
        <f t="shared" si="707"/>
        <v>0</v>
      </c>
      <c r="AG532" s="781">
        <f t="shared" si="708"/>
        <v>0</v>
      </c>
      <c r="AH532" s="781">
        <f t="shared" si="709"/>
        <v>0</v>
      </c>
      <c r="AI532" s="782">
        <f t="shared" si="710"/>
        <v>0</v>
      </c>
      <c r="AJ532" s="781">
        <f t="shared" si="711"/>
        <v>0</v>
      </c>
      <c r="AK532" s="781">
        <f t="shared" si="712"/>
        <v>0</v>
      </c>
      <c r="AL532" s="781">
        <f t="shared" si="713"/>
        <v>0</v>
      </c>
      <c r="AM532" s="781">
        <f t="shared" si="714"/>
        <v>0</v>
      </c>
      <c r="AN532" s="781">
        <f t="shared" si="715"/>
        <v>0</v>
      </c>
      <c r="AO532" s="781">
        <f t="shared" si="716"/>
        <v>0</v>
      </c>
      <c r="AP532" s="781">
        <f t="shared" si="717"/>
        <v>0</v>
      </c>
      <c r="AQ532" s="781">
        <f t="shared" si="718"/>
        <v>0</v>
      </c>
      <c r="AR532" s="781">
        <f t="shared" si="719"/>
        <v>0</v>
      </c>
      <c r="AS532" s="783">
        <f t="shared" si="720"/>
        <v>0</v>
      </c>
      <c r="AT532" s="917"/>
      <c r="AV532" s="721"/>
      <c r="AW532" s="832"/>
      <c r="AX532" s="2481" t="s">
        <v>3026</v>
      </c>
      <c r="AY532" s="2482"/>
      <c r="BM532" s="2010"/>
    </row>
    <row r="533" spans="1:65" ht="15.75" hidden="1" outlineLevel="1" thickBot="1" x14ac:dyDescent="0.3">
      <c r="A533" s="784"/>
      <c r="B533" s="904">
        <f t="shared" si="681"/>
        <v>515</v>
      </c>
      <c r="C533" s="170" t="str">
        <f t="shared" si="678"/>
        <v>85SF</v>
      </c>
      <c r="D533" s="557"/>
      <c r="E533" s="170"/>
      <c r="F533" s="170">
        <v>85</v>
      </c>
      <c r="G533" s="2007" t="s">
        <v>846</v>
      </c>
      <c r="H533" s="1926"/>
      <c r="I533" s="2008" t="s">
        <v>740</v>
      </c>
      <c r="J533" s="1926"/>
      <c r="K533" s="1926"/>
      <c r="L533" s="488"/>
      <c r="M533" s="2009"/>
      <c r="N533" s="2010">
        <v>1</v>
      </c>
      <c r="O533" s="773">
        <f>+M533*N533</f>
        <v>0</v>
      </c>
      <c r="P533" s="2076" t="s">
        <v>39</v>
      </c>
      <c r="Q533" s="2008" t="s">
        <v>39</v>
      </c>
      <c r="R533" s="2011" t="s">
        <v>74</v>
      </c>
      <c r="S533" s="912">
        <f>SUMIF('Data Input sheet'!$B$118:$B$180,R533,'Data Input sheet'!$D$118:$D$180)</f>
        <v>152</v>
      </c>
      <c r="T533" s="2685">
        <f>+O533*S533</f>
        <v>0</v>
      </c>
      <c r="U533" s="2013">
        <v>0</v>
      </c>
      <c r="V533" s="778">
        <f>ROUND(U533*O533,0)</f>
        <v>0</v>
      </c>
      <c r="W533" s="2010">
        <v>461.76</v>
      </c>
      <c r="X533" s="779"/>
      <c r="Y533" s="2012"/>
      <c r="Z533" s="780">
        <f>T533+V533+W533+Y533</f>
        <v>461.76</v>
      </c>
      <c r="AA533" s="2007"/>
      <c r="AB533" s="2007"/>
      <c r="AC533" s="765"/>
      <c r="AD533" s="781">
        <f>IF(P533="E",+ROUND(H533*O533,0),0)</f>
        <v>0</v>
      </c>
      <c r="AE533" s="778">
        <f>+AF533-AD533</f>
        <v>0</v>
      </c>
      <c r="AF533" s="781">
        <f>+H533*O533</f>
        <v>0</v>
      </c>
      <c r="AG533" s="781">
        <f>IF(P533="E",+ROUND(T533*H533,0),0)</f>
        <v>0</v>
      </c>
      <c r="AH533" s="781">
        <f>+AI533-AG533</f>
        <v>0</v>
      </c>
      <c r="AI533" s="782">
        <f>+H533*T533</f>
        <v>0</v>
      </c>
      <c r="AJ533" s="781">
        <f>IF(P533="E",+ROUND(V533*H533,0),0)</f>
        <v>0</v>
      </c>
      <c r="AK533" s="781">
        <f>+AL533-AJ533</f>
        <v>0</v>
      </c>
      <c r="AL533" s="781">
        <f>ROUND(V533*H533,0)</f>
        <v>0</v>
      </c>
      <c r="AM533" s="781">
        <f>IF(Q533="E",+ROUND(W533*H533,0),0)</f>
        <v>0</v>
      </c>
      <c r="AN533" s="781">
        <f>+AO533-AM533</f>
        <v>0</v>
      </c>
      <c r="AO533" s="781">
        <f>ROUND(W533*H533,0)</f>
        <v>0</v>
      </c>
      <c r="AP533" s="781">
        <f>IF(P533="E",+ROUND(Y533*H533,0),0)</f>
        <v>0</v>
      </c>
      <c r="AQ533" s="781">
        <f>+AR533-AP533</f>
        <v>0</v>
      </c>
      <c r="AR533" s="781">
        <f>ROUND(Y533*H533,0)</f>
        <v>0</v>
      </c>
      <c r="AS533" s="783">
        <f>+AR533+AO533+AL533+AI533</f>
        <v>0</v>
      </c>
      <c r="AT533" s="917"/>
      <c r="AW533" s="832"/>
      <c r="AX533" s="833" t="s">
        <v>3064</v>
      </c>
      <c r="BM533" s="2010">
        <v>461.76</v>
      </c>
    </row>
    <row r="534" spans="1:65" ht="24" customHeight="1" collapsed="1" thickBot="1" x14ac:dyDescent="0.3">
      <c r="A534" s="784"/>
      <c r="B534" s="904">
        <f t="shared" si="681"/>
        <v>516</v>
      </c>
      <c r="C534" s="170" t="str">
        <f t="shared" si="678"/>
        <v/>
      </c>
      <c r="D534" s="557"/>
      <c r="E534" s="170"/>
      <c r="F534" s="170"/>
      <c r="G534" s="2637" t="s">
        <v>3283</v>
      </c>
      <c r="H534" s="2641">
        <v>1</v>
      </c>
      <c r="I534" s="2008"/>
      <c r="J534" s="2039"/>
      <c r="K534" s="2039"/>
      <c r="L534" s="488"/>
      <c r="M534" s="2041">
        <v>0</v>
      </c>
      <c r="N534" s="2043">
        <v>1</v>
      </c>
      <c r="O534" s="2499">
        <f t="shared" si="752"/>
        <v>0</v>
      </c>
      <c r="P534" s="2076"/>
      <c r="Q534" s="2008"/>
      <c r="R534" s="2011"/>
      <c r="S534" s="912">
        <f>SUMIF('Data Input sheet'!$B$118:$B$180,R534,'Data Input sheet'!$D$118:$D$180)</f>
        <v>0</v>
      </c>
      <c r="T534" s="2686">
        <f t="shared" si="753"/>
        <v>0</v>
      </c>
      <c r="U534" s="2013">
        <v>0</v>
      </c>
      <c r="V534" s="2501">
        <f t="shared" si="754"/>
        <v>0</v>
      </c>
      <c r="W534" s="2046"/>
      <c r="X534" s="2502"/>
      <c r="Y534" s="2047">
        <v>0</v>
      </c>
      <c r="Z534" s="2500">
        <f t="shared" si="755"/>
        <v>0</v>
      </c>
      <c r="AA534" s="2007"/>
      <c r="AB534" s="2007"/>
      <c r="AC534" s="765"/>
      <c r="AD534" s="781">
        <f t="shared" si="705"/>
        <v>0</v>
      </c>
      <c r="AE534" s="778">
        <f t="shared" si="706"/>
        <v>0</v>
      </c>
      <c r="AF534" s="781">
        <f t="shared" si="707"/>
        <v>0</v>
      </c>
      <c r="AG534" s="781">
        <f t="shared" si="708"/>
        <v>0</v>
      </c>
      <c r="AH534" s="781">
        <f t="shared" si="709"/>
        <v>0</v>
      </c>
      <c r="AI534" s="782">
        <f t="shared" si="710"/>
        <v>0</v>
      </c>
      <c r="AJ534" s="781">
        <f t="shared" si="711"/>
        <v>0</v>
      </c>
      <c r="AK534" s="781">
        <f t="shared" si="712"/>
        <v>0</v>
      </c>
      <c r="AL534" s="781">
        <f t="shared" si="713"/>
        <v>0</v>
      </c>
      <c r="AM534" s="781">
        <f t="shared" si="714"/>
        <v>0</v>
      </c>
      <c r="AN534" s="781">
        <f t="shared" si="715"/>
        <v>0</v>
      </c>
      <c r="AO534" s="781">
        <f t="shared" si="716"/>
        <v>0</v>
      </c>
      <c r="AP534" s="781">
        <f t="shared" si="717"/>
        <v>0</v>
      </c>
      <c r="AQ534" s="781">
        <f t="shared" si="718"/>
        <v>0</v>
      </c>
      <c r="AR534" s="781">
        <f t="shared" si="719"/>
        <v>0</v>
      </c>
      <c r="AS534" s="783">
        <f t="shared" si="720"/>
        <v>0</v>
      </c>
    </row>
    <row r="535" spans="1:65" ht="15.75" hidden="1" outlineLevel="1" thickBot="1" x14ac:dyDescent="0.3">
      <c r="A535" s="787"/>
      <c r="B535" s="904">
        <f t="shared" si="681"/>
        <v>517</v>
      </c>
      <c r="C535" s="170" t="str">
        <f t="shared" si="678"/>
        <v>89EA</v>
      </c>
      <c r="D535" s="906"/>
      <c r="E535" s="170"/>
      <c r="F535" s="170">
        <v>89</v>
      </c>
      <c r="G535" s="2007" t="s">
        <v>848</v>
      </c>
      <c r="H535" s="1926"/>
      <c r="I535" s="2008" t="s">
        <v>732</v>
      </c>
      <c r="J535" s="1926"/>
      <c r="K535" s="1926"/>
      <c r="L535" s="488"/>
      <c r="M535" s="2009">
        <v>50</v>
      </c>
      <c r="N535" s="2010">
        <v>1</v>
      </c>
      <c r="O535" s="773">
        <f t="shared" si="752"/>
        <v>50</v>
      </c>
      <c r="P535" s="2076" t="s">
        <v>39</v>
      </c>
      <c r="Q535" s="2008" t="s">
        <v>39</v>
      </c>
      <c r="R535" s="2011" t="s">
        <v>74</v>
      </c>
      <c r="S535" s="912">
        <f>SUMIF('Data Input sheet'!$B$118:$B$180,R535,'Data Input sheet'!$D$118:$D$180)</f>
        <v>152</v>
      </c>
      <c r="T535" s="2685">
        <f t="shared" ref="T535:T547" si="756">+O535*S535</f>
        <v>7600</v>
      </c>
      <c r="U535" s="2013">
        <v>0</v>
      </c>
      <c r="V535" s="778">
        <f t="shared" si="754"/>
        <v>0</v>
      </c>
      <c r="W535" s="2010">
        <v>4773.0229248000005</v>
      </c>
      <c r="X535" s="779"/>
      <c r="Y535" s="2012"/>
      <c r="Z535" s="780">
        <f t="shared" si="755"/>
        <v>12373.0229248</v>
      </c>
      <c r="AA535" s="2007"/>
      <c r="AB535" s="2007"/>
      <c r="AC535" s="765"/>
      <c r="AD535" s="781">
        <f t="shared" si="705"/>
        <v>0</v>
      </c>
      <c r="AE535" s="778">
        <f t="shared" si="706"/>
        <v>0</v>
      </c>
      <c r="AF535" s="781">
        <f t="shared" si="707"/>
        <v>0</v>
      </c>
      <c r="AG535" s="781">
        <f t="shared" si="708"/>
        <v>0</v>
      </c>
      <c r="AH535" s="781">
        <f t="shared" si="709"/>
        <v>0</v>
      </c>
      <c r="AI535" s="782">
        <f t="shared" si="710"/>
        <v>0</v>
      </c>
      <c r="AJ535" s="781">
        <f t="shared" si="711"/>
        <v>0</v>
      </c>
      <c r="AK535" s="781">
        <f t="shared" si="712"/>
        <v>0</v>
      </c>
      <c r="AL535" s="781">
        <f t="shared" si="713"/>
        <v>0</v>
      </c>
      <c r="AM535" s="781">
        <f t="shared" si="714"/>
        <v>0</v>
      </c>
      <c r="AN535" s="781">
        <f t="shared" si="715"/>
        <v>0</v>
      </c>
      <c r="AO535" s="781">
        <f t="shared" si="716"/>
        <v>0</v>
      </c>
      <c r="AP535" s="781">
        <f t="shared" si="717"/>
        <v>0</v>
      </c>
      <c r="AQ535" s="781">
        <f t="shared" si="718"/>
        <v>0</v>
      </c>
      <c r="AR535" s="781">
        <f t="shared" si="719"/>
        <v>0</v>
      </c>
      <c r="AS535" s="783">
        <f t="shared" si="720"/>
        <v>0</v>
      </c>
      <c r="AT535" s="917"/>
      <c r="AV535" s="721"/>
      <c r="AW535" s="832"/>
      <c r="AX535" s="833" t="s">
        <v>3030</v>
      </c>
      <c r="BM535" s="2010">
        <v>4773.0229248000005</v>
      </c>
    </row>
    <row r="536" spans="1:65" ht="15.75" hidden="1" outlineLevel="1" thickBot="1" x14ac:dyDescent="0.3">
      <c r="A536" s="787"/>
      <c r="B536" s="904">
        <f t="shared" si="681"/>
        <v>518</v>
      </c>
      <c r="C536" s="170" t="str">
        <f t="shared" si="678"/>
        <v>63EA</v>
      </c>
      <c r="D536" s="906"/>
      <c r="E536" s="170"/>
      <c r="F536" s="170">
        <v>63</v>
      </c>
      <c r="G536" s="2007" t="s">
        <v>1164</v>
      </c>
      <c r="H536" s="1926"/>
      <c r="I536" s="2008" t="s">
        <v>732</v>
      </c>
      <c r="J536" s="1926"/>
      <c r="K536" s="1926"/>
      <c r="L536" s="488"/>
      <c r="M536" s="2009">
        <v>36</v>
      </c>
      <c r="N536" s="2010">
        <v>1</v>
      </c>
      <c r="O536" s="773">
        <f t="shared" si="752"/>
        <v>36</v>
      </c>
      <c r="P536" s="2076" t="s">
        <v>39</v>
      </c>
      <c r="Q536" s="2008" t="s">
        <v>39</v>
      </c>
      <c r="R536" s="2011" t="s">
        <v>74</v>
      </c>
      <c r="S536" s="912">
        <f>SUMIF('Data Input sheet'!$B$118:$B$180,R536,'Data Input sheet'!$D$118:$D$180)</f>
        <v>152</v>
      </c>
      <c r="T536" s="2685">
        <f t="shared" si="756"/>
        <v>5472</v>
      </c>
      <c r="U536" s="2013">
        <v>0</v>
      </c>
      <c r="V536" s="778">
        <f t="shared" si="754"/>
        <v>0</v>
      </c>
      <c r="W536" s="2010">
        <v>21372.416000000001</v>
      </c>
      <c r="X536" s="779"/>
      <c r="Y536" s="2012"/>
      <c r="Z536" s="780">
        <f t="shared" si="755"/>
        <v>26844.416000000001</v>
      </c>
      <c r="AA536" s="2007"/>
      <c r="AB536" s="2007"/>
      <c r="AC536" s="765"/>
      <c r="AD536" s="781">
        <f t="shared" si="705"/>
        <v>0</v>
      </c>
      <c r="AE536" s="778">
        <f t="shared" si="706"/>
        <v>0</v>
      </c>
      <c r="AF536" s="781">
        <f t="shared" si="707"/>
        <v>0</v>
      </c>
      <c r="AG536" s="781">
        <f t="shared" si="708"/>
        <v>0</v>
      </c>
      <c r="AH536" s="781">
        <f t="shared" si="709"/>
        <v>0</v>
      </c>
      <c r="AI536" s="782">
        <f t="shared" si="710"/>
        <v>0</v>
      </c>
      <c r="AJ536" s="781">
        <f t="shared" si="711"/>
        <v>0</v>
      </c>
      <c r="AK536" s="781">
        <f t="shared" si="712"/>
        <v>0</v>
      </c>
      <c r="AL536" s="781">
        <f t="shared" si="713"/>
        <v>0</v>
      </c>
      <c r="AM536" s="781">
        <f t="shared" si="714"/>
        <v>0</v>
      </c>
      <c r="AN536" s="781">
        <f t="shared" si="715"/>
        <v>0</v>
      </c>
      <c r="AO536" s="781">
        <f t="shared" si="716"/>
        <v>0</v>
      </c>
      <c r="AP536" s="781">
        <f t="shared" si="717"/>
        <v>0</v>
      </c>
      <c r="AQ536" s="781">
        <f t="shared" si="718"/>
        <v>0</v>
      </c>
      <c r="AR536" s="781">
        <f t="shared" si="719"/>
        <v>0</v>
      </c>
      <c r="AS536" s="783">
        <f t="shared" si="720"/>
        <v>0</v>
      </c>
      <c r="AT536" s="917"/>
      <c r="AV536" s="721"/>
      <c r="AW536" s="832"/>
      <c r="AX536" s="833" t="s">
        <v>3030</v>
      </c>
      <c r="BM536" s="2010">
        <v>21372.416000000001</v>
      </c>
    </row>
    <row r="537" spans="1:65" ht="15.75" hidden="1" outlineLevel="1" thickBot="1" x14ac:dyDescent="0.3">
      <c r="A537" s="787"/>
      <c r="B537" s="904">
        <f t="shared" si="681"/>
        <v>519</v>
      </c>
      <c r="C537" s="170" t="str">
        <f t="shared" si="678"/>
        <v>63EA</v>
      </c>
      <c r="D537" s="906"/>
      <c r="E537" s="170"/>
      <c r="F537" s="170">
        <v>63</v>
      </c>
      <c r="G537" s="2007" t="s">
        <v>1165</v>
      </c>
      <c r="H537" s="1926"/>
      <c r="I537" s="2008" t="s">
        <v>732</v>
      </c>
      <c r="J537" s="1926"/>
      <c r="K537" s="1926"/>
      <c r="L537" s="488"/>
      <c r="M537" s="2009">
        <v>24</v>
      </c>
      <c r="N537" s="2010">
        <v>1</v>
      </c>
      <c r="O537" s="773">
        <f t="shared" si="752"/>
        <v>24</v>
      </c>
      <c r="P537" s="2076" t="s">
        <v>39</v>
      </c>
      <c r="Q537" s="2008" t="s">
        <v>39</v>
      </c>
      <c r="R537" s="2011" t="s">
        <v>74</v>
      </c>
      <c r="S537" s="912">
        <f>SUMIF('Data Input sheet'!$B$118:$B$180,R537,'Data Input sheet'!$D$118:$D$180)</f>
        <v>152</v>
      </c>
      <c r="T537" s="2685">
        <f t="shared" si="756"/>
        <v>3648</v>
      </c>
      <c r="U537" s="2013">
        <v>0</v>
      </c>
      <c r="V537" s="778">
        <f t="shared" si="754"/>
        <v>0</v>
      </c>
      <c r="W537" s="2010">
        <v>12373.504000000001</v>
      </c>
      <c r="X537" s="779"/>
      <c r="Y537" s="2012"/>
      <c r="Z537" s="780">
        <f t="shared" si="755"/>
        <v>16021.504000000001</v>
      </c>
      <c r="AA537" s="2007"/>
      <c r="AB537" s="2007"/>
      <c r="AC537" s="765"/>
      <c r="AD537" s="781">
        <f t="shared" si="705"/>
        <v>0</v>
      </c>
      <c r="AE537" s="778">
        <f t="shared" si="706"/>
        <v>0</v>
      </c>
      <c r="AF537" s="781">
        <f t="shared" si="707"/>
        <v>0</v>
      </c>
      <c r="AG537" s="781">
        <f t="shared" si="708"/>
        <v>0</v>
      </c>
      <c r="AH537" s="781">
        <f t="shared" si="709"/>
        <v>0</v>
      </c>
      <c r="AI537" s="782">
        <f t="shared" si="710"/>
        <v>0</v>
      </c>
      <c r="AJ537" s="781">
        <f t="shared" si="711"/>
        <v>0</v>
      </c>
      <c r="AK537" s="781">
        <f t="shared" si="712"/>
        <v>0</v>
      </c>
      <c r="AL537" s="781">
        <f t="shared" si="713"/>
        <v>0</v>
      </c>
      <c r="AM537" s="781">
        <f t="shared" si="714"/>
        <v>0</v>
      </c>
      <c r="AN537" s="781">
        <f t="shared" si="715"/>
        <v>0</v>
      </c>
      <c r="AO537" s="781">
        <f t="shared" si="716"/>
        <v>0</v>
      </c>
      <c r="AP537" s="781">
        <f t="shared" si="717"/>
        <v>0</v>
      </c>
      <c r="AQ537" s="781">
        <f t="shared" si="718"/>
        <v>0</v>
      </c>
      <c r="AR537" s="781">
        <f t="shared" si="719"/>
        <v>0</v>
      </c>
      <c r="AS537" s="783">
        <f t="shared" si="720"/>
        <v>0</v>
      </c>
      <c r="AT537" s="917"/>
      <c r="AU537" s="721"/>
      <c r="AV537" s="721"/>
      <c r="AW537" s="832"/>
      <c r="AX537" s="833" t="s">
        <v>3030</v>
      </c>
      <c r="BM537" s="2010">
        <v>12373.504000000001</v>
      </c>
    </row>
    <row r="538" spans="1:65" ht="15.75" hidden="1" outlineLevel="1" thickBot="1" x14ac:dyDescent="0.3">
      <c r="A538" s="787"/>
      <c r="B538" s="904">
        <f t="shared" si="681"/>
        <v>520</v>
      </c>
      <c r="C538" s="170" t="str">
        <f t="shared" ref="C538:C601" si="757">+F538&amp;I538</f>
        <v>63EA</v>
      </c>
      <c r="D538" s="906"/>
      <c r="E538" s="170"/>
      <c r="F538" s="170">
        <v>63</v>
      </c>
      <c r="G538" s="2007" t="s">
        <v>1166</v>
      </c>
      <c r="H538" s="1926"/>
      <c r="I538" s="2008" t="s">
        <v>732</v>
      </c>
      <c r="J538" s="1926"/>
      <c r="K538" s="1926"/>
      <c r="L538" s="488"/>
      <c r="M538" s="2009">
        <v>24</v>
      </c>
      <c r="N538" s="2010">
        <v>1</v>
      </c>
      <c r="O538" s="773">
        <f t="shared" si="752"/>
        <v>24</v>
      </c>
      <c r="P538" s="2076" t="s">
        <v>39</v>
      </c>
      <c r="Q538" s="2008" t="s">
        <v>39</v>
      </c>
      <c r="R538" s="2011" t="s">
        <v>74</v>
      </c>
      <c r="S538" s="912">
        <f>SUMIF('Data Input sheet'!$B$118:$B$180,R538,'Data Input sheet'!$D$118:$D$180)</f>
        <v>152</v>
      </c>
      <c r="T538" s="2685">
        <f t="shared" si="756"/>
        <v>3648</v>
      </c>
      <c r="U538" s="2013">
        <v>0</v>
      </c>
      <c r="V538" s="778">
        <f t="shared" si="754"/>
        <v>0</v>
      </c>
      <c r="W538" s="2010">
        <v>20247.552</v>
      </c>
      <c r="X538" s="779"/>
      <c r="Y538" s="2012"/>
      <c r="Z538" s="780">
        <f t="shared" si="755"/>
        <v>23895.552</v>
      </c>
      <c r="AA538" s="2007"/>
      <c r="AB538" s="2007"/>
      <c r="AC538" s="765"/>
      <c r="AD538" s="781">
        <f t="shared" si="705"/>
        <v>0</v>
      </c>
      <c r="AE538" s="778">
        <f t="shared" si="706"/>
        <v>0</v>
      </c>
      <c r="AF538" s="781">
        <f t="shared" si="707"/>
        <v>0</v>
      </c>
      <c r="AG538" s="781">
        <f t="shared" si="708"/>
        <v>0</v>
      </c>
      <c r="AH538" s="781">
        <f t="shared" si="709"/>
        <v>0</v>
      </c>
      <c r="AI538" s="782">
        <f t="shared" si="710"/>
        <v>0</v>
      </c>
      <c r="AJ538" s="781">
        <f t="shared" si="711"/>
        <v>0</v>
      </c>
      <c r="AK538" s="781">
        <f t="shared" si="712"/>
        <v>0</v>
      </c>
      <c r="AL538" s="781">
        <f t="shared" si="713"/>
        <v>0</v>
      </c>
      <c r="AM538" s="781">
        <f t="shared" si="714"/>
        <v>0</v>
      </c>
      <c r="AN538" s="781">
        <f t="shared" si="715"/>
        <v>0</v>
      </c>
      <c r="AO538" s="781">
        <f t="shared" si="716"/>
        <v>0</v>
      </c>
      <c r="AP538" s="781">
        <f t="shared" si="717"/>
        <v>0</v>
      </c>
      <c r="AQ538" s="781">
        <f t="shared" si="718"/>
        <v>0</v>
      </c>
      <c r="AR538" s="781">
        <f t="shared" si="719"/>
        <v>0</v>
      </c>
      <c r="AS538" s="783">
        <f t="shared" si="720"/>
        <v>0</v>
      </c>
      <c r="AT538" s="917"/>
      <c r="AU538" s="721"/>
      <c r="AV538" s="721"/>
      <c r="AW538" s="832"/>
      <c r="AX538" s="833" t="s">
        <v>3030</v>
      </c>
      <c r="BM538" s="2010">
        <v>20247.552</v>
      </c>
    </row>
    <row r="539" spans="1:65" ht="15.75" hidden="1" outlineLevel="1" thickBot="1" x14ac:dyDescent="0.3">
      <c r="A539" s="787"/>
      <c r="B539" s="904">
        <f t="shared" si="681"/>
        <v>521</v>
      </c>
      <c r="C539" s="170" t="str">
        <f t="shared" si="757"/>
        <v>70EA</v>
      </c>
      <c r="D539" s="906"/>
      <c r="E539" s="170"/>
      <c r="F539" s="170">
        <v>70</v>
      </c>
      <c r="G539" s="2007" t="s">
        <v>852</v>
      </c>
      <c r="H539" s="1926"/>
      <c r="I539" s="2008" t="s">
        <v>732</v>
      </c>
      <c r="J539" s="1926"/>
      <c r="K539" s="1926"/>
      <c r="L539" s="488"/>
      <c r="M539" s="2009">
        <v>200</v>
      </c>
      <c r="N539" s="2010">
        <v>1</v>
      </c>
      <c r="O539" s="773">
        <f t="shared" si="752"/>
        <v>200</v>
      </c>
      <c r="P539" s="2076" t="s">
        <v>39</v>
      </c>
      <c r="Q539" s="2008" t="s">
        <v>39</v>
      </c>
      <c r="R539" s="2011" t="s">
        <v>74</v>
      </c>
      <c r="S539" s="912">
        <f>SUMIF('Data Input sheet'!$B$118:$B$180,R539,'Data Input sheet'!$D$118:$D$180)</f>
        <v>152</v>
      </c>
      <c r="T539" s="2685">
        <f t="shared" si="756"/>
        <v>30400</v>
      </c>
      <c r="U539" s="2013">
        <v>0</v>
      </c>
      <c r="V539" s="778">
        <f t="shared" si="754"/>
        <v>0</v>
      </c>
      <c r="W539" s="2010">
        <v>10142.673715200001</v>
      </c>
      <c r="X539" s="779"/>
      <c r="Y539" s="2012"/>
      <c r="Z539" s="780">
        <f t="shared" si="755"/>
        <v>40542.673715199999</v>
      </c>
      <c r="AA539" s="2007"/>
      <c r="AB539" s="2007"/>
      <c r="AC539" s="765"/>
      <c r="AD539" s="781">
        <f t="shared" si="705"/>
        <v>0</v>
      </c>
      <c r="AE539" s="778">
        <f t="shared" si="706"/>
        <v>0</v>
      </c>
      <c r="AF539" s="781">
        <f t="shared" si="707"/>
        <v>0</v>
      </c>
      <c r="AG539" s="781">
        <f t="shared" si="708"/>
        <v>0</v>
      </c>
      <c r="AH539" s="781">
        <f t="shared" si="709"/>
        <v>0</v>
      </c>
      <c r="AI539" s="782">
        <f t="shared" si="710"/>
        <v>0</v>
      </c>
      <c r="AJ539" s="781">
        <f t="shared" si="711"/>
        <v>0</v>
      </c>
      <c r="AK539" s="781">
        <f t="shared" si="712"/>
        <v>0</v>
      </c>
      <c r="AL539" s="781">
        <f t="shared" si="713"/>
        <v>0</v>
      </c>
      <c r="AM539" s="781">
        <f t="shared" si="714"/>
        <v>0</v>
      </c>
      <c r="AN539" s="781">
        <f t="shared" si="715"/>
        <v>0</v>
      </c>
      <c r="AO539" s="781">
        <f t="shared" si="716"/>
        <v>0</v>
      </c>
      <c r="AP539" s="781">
        <f t="shared" si="717"/>
        <v>0</v>
      </c>
      <c r="AQ539" s="781">
        <f t="shared" si="718"/>
        <v>0</v>
      </c>
      <c r="AR539" s="781">
        <f t="shared" si="719"/>
        <v>0</v>
      </c>
      <c r="AS539" s="783">
        <f t="shared" si="720"/>
        <v>0</v>
      </c>
      <c r="AT539" s="917"/>
      <c r="AV539" s="721"/>
      <c r="AW539" s="832"/>
      <c r="AX539" s="833" t="s">
        <v>3068</v>
      </c>
      <c r="BM539" s="2010">
        <v>10142.673715200001</v>
      </c>
    </row>
    <row r="540" spans="1:65" ht="15.75" hidden="1" outlineLevel="1" thickBot="1" x14ac:dyDescent="0.3">
      <c r="A540" s="787"/>
      <c r="B540" s="904">
        <f t="shared" si="681"/>
        <v>522</v>
      </c>
      <c r="C540" s="170" t="str">
        <f t="shared" si="757"/>
        <v>83EA</v>
      </c>
      <c r="D540" s="906"/>
      <c r="E540" s="170"/>
      <c r="F540" s="170">
        <v>83</v>
      </c>
      <c r="G540" s="2007" t="s">
        <v>853</v>
      </c>
      <c r="H540" s="1926"/>
      <c r="I540" s="2008" t="s">
        <v>732</v>
      </c>
      <c r="J540" s="1926"/>
      <c r="K540" s="1926"/>
      <c r="L540" s="488"/>
      <c r="M540" s="2009">
        <v>400</v>
      </c>
      <c r="N540" s="2010">
        <v>1</v>
      </c>
      <c r="O540" s="773">
        <f t="shared" si="752"/>
        <v>400</v>
      </c>
      <c r="P540" s="2076" t="s">
        <v>39</v>
      </c>
      <c r="Q540" s="2008" t="s">
        <v>39</v>
      </c>
      <c r="R540" s="2011" t="s">
        <v>74</v>
      </c>
      <c r="S540" s="912">
        <f>SUMIF('Data Input sheet'!$B$118:$B$180,R540,'Data Input sheet'!$D$118:$D$180)</f>
        <v>152</v>
      </c>
      <c r="T540" s="2685">
        <f t="shared" si="756"/>
        <v>60800</v>
      </c>
      <c r="U540" s="2013">
        <v>0</v>
      </c>
      <c r="V540" s="778">
        <f t="shared" si="754"/>
        <v>0</v>
      </c>
      <c r="W540" s="2010">
        <v>77859.936460800003</v>
      </c>
      <c r="X540" s="779"/>
      <c r="Y540" s="2012"/>
      <c r="Z540" s="780">
        <f t="shared" si="755"/>
        <v>138659.9364608</v>
      </c>
      <c r="AA540" s="2007"/>
      <c r="AB540" s="2007"/>
      <c r="AC540" s="765"/>
      <c r="AD540" s="781">
        <f t="shared" si="705"/>
        <v>0</v>
      </c>
      <c r="AE540" s="778">
        <f t="shared" si="706"/>
        <v>0</v>
      </c>
      <c r="AF540" s="781">
        <f t="shared" si="707"/>
        <v>0</v>
      </c>
      <c r="AG540" s="781">
        <f t="shared" si="708"/>
        <v>0</v>
      </c>
      <c r="AH540" s="781">
        <f t="shared" si="709"/>
        <v>0</v>
      </c>
      <c r="AI540" s="782">
        <f t="shared" si="710"/>
        <v>0</v>
      </c>
      <c r="AJ540" s="781">
        <f t="shared" si="711"/>
        <v>0</v>
      </c>
      <c r="AK540" s="781">
        <f t="shared" si="712"/>
        <v>0</v>
      </c>
      <c r="AL540" s="781">
        <f t="shared" si="713"/>
        <v>0</v>
      </c>
      <c r="AM540" s="781">
        <f t="shared" si="714"/>
        <v>0</v>
      </c>
      <c r="AN540" s="781">
        <f t="shared" si="715"/>
        <v>0</v>
      </c>
      <c r="AO540" s="781">
        <f t="shared" si="716"/>
        <v>0</v>
      </c>
      <c r="AP540" s="781">
        <f t="shared" si="717"/>
        <v>0</v>
      </c>
      <c r="AQ540" s="781">
        <f t="shared" si="718"/>
        <v>0</v>
      </c>
      <c r="AR540" s="781">
        <f t="shared" si="719"/>
        <v>0</v>
      </c>
      <c r="AS540" s="783">
        <f t="shared" si="720"/>
        <v>0</v>
      </c>
      <c r="AT540" s="917"/>
      <c r="AV540" s="721"/>
      <c r="AW540" s="832"/>
      <c r="AX540" s="833" t="s">
        <v>3069</v>
      </c>
      <c r="BM540" s="2010">
        <v>77859.936460800003</v>
      </c>
    </row>
    <row r="541" spans="1:65" ht="15.75" hidden="1" outlineLevel="1" thickBot="1" x14ac:dyDescent="0.3">
      <c r="A541" s="784"/>
      <c r="B541" s="904">
        <f t="shared" si="681"/>
        <v>523</v>
      </c>
      <c r="C541" s="170" t="str">
        <f t="shared" si="757"/>
        <v>89EA</v>
      </c>
      <c r="D541" s="557"/>
      <c r="E541" s="170"/>
      <c r="F541" s="170">
        <v>89</v>
      </c>
      <c r="G541" s="2511" t="s">
        <v>1818</v>
      </c>
      <c r="H541" s="2039"/>
      <c r="I541" s="2008" t="s">
        <v>732</v>
      </c>
      <c r="J541" s="2039"/>
      <c r="K541" s="2039"/>
      <c r="L541" s="488"/>
      <c r="M541" s="2041">
        <v>0</v>
      </c>
      <c r="N541" s="2043">
        <v>1</v>
      </c>
      <c r="O541" s="1967">
        <f t="shared" si="752"/>
        <v>0</v>
      </c>
      <c r="P541" s="2076" t="s">
        <v>39</v>
      </c>
      <c r="Q541" s="2008" t="s">
        <v>39</v>
      </c>
      <c r="R541" s="2011" t="s">
        <v>74</v>
      </c>
      <c r="S541" s="912">
        <f>SUMIF('Data Input sheet'!$B$118:$B$180,R541,'Data Input sheet'!$D$118:$D$180)</f>
        <v>152</v>
      </c>
      <c r="T541" s="2686">
        <f t="shared" ref="T541" si="758">ROUND(O541*S541,0)</f>
        <v>0</v>
      </c>
      <c r="U541" s="2013">
        <v>0</v>
      </c>
      <c r="V541" s="1981">
        <f t="shared" si="754"/>
        <v>0</v>
      </c>
      <c r="W541" s="2046">
        <v>900</v>
      </c>
      <c r="X541" s="2502"/>
      <c r="Y541" s="2047">
        <v>0</v>
      </c>
      <c r="Z541" s="780">
        <f t="shared" si="755"/>
        <v>900</v>
      </c>
      <c r="AA541" s="2007"/>
      <c r="AB541" s="2007"/>
      <c r="AC541" s="765"/>
      <c r="AD541" s="781">
        <f t="shared" si="705"/>
        <v>0</v>
      </c>
      <c r="AE541" s="778">
        <f t="shared" si="706"/>
        <v>0</v>
      </c>
      <c r="AF541" s="781">
        <f t="shared" si="707"/>
        <v>0</v>
      </c>
      <c r="AG541" s="781">
        <f t="shared" si="708"/>
        <v>0</v>
      </c>
      <c r="AH541" s="781">
        <f t="shared" si="709"/>
        <v>0</v>
      </c>
      <c r="AI541" s="782">
        <f t="shared" si="710"/>
        <v>0</v>
      </c>
      <c r="AJ541" s="781">
        <f t="shared" si="711"/>
        <v>0</v>
      </c>
      <c r="AK541" s="781">
        <f t="shared" si="712"/>
        <v>0</v>
      </c>
      <c r="AL541" s="781">
        <f t="shared" si="713"/>
        <v>0</v>
      </c>
      <c r="AM541" s="781">
        <f t="shared" si="714"/>
        <v>0</v>
      </c>
      <c r="AN541" s="781">
        <f t="shared" si="715"/>
        <v>0</v>
      </c>
      <c r="AO541" s="781">
        <f t="shared" si="716"/>
        <v>0</v>
      </c>
      <c r="AP541" s="781">
        <f t="shared" si="717"/>
        <v>0</v>
      </c>
      <c r="AQ541" s="781">
        <f t="shared" si="718"/>
        <v>0</v>
      </c>
      <c r="AR541" s="781">
        <f t="shared" si="719"/>
        <v>0</v>
      </c>
      <c r="AS541" s="783">
        <f t="shared" si="720"/>
        <v>0</v>
      </c>
    </row>
    <row r="542" spans="1:65" ht="15.75" hidden="1" outlineLevel="1" thickBot="1" x14ac:dyDescent="0.3">
      <c r="A542" s="787"/>
      <c r="B542" s="904">
        <f t="shared" si="681"/>
        <v>524</v>
      </c>
      <c r="C542" s="170" t="str">
        <f t="shared" si="757"/>
        <v>85EA</v>
      </c>
      <c r="D542" s="906"/>
      <c r="E542" s="170"/>
      <c r="F542" s="170">
        <v>85</v>
      </c>
      <c r="G542" s="2007" t="s">
        <v>854</v>
      </c>
      <c r="H542" s="1926"/>
      <c r="I542" s="2008" t="s">
        <v>732</v>
      </c>
      <c r="J542" s="1926"/>
      <c r="K542" s="1926"/>
      <c r="L542" s="488"/>
      <c r="M542" s="2009">
        <v>205</v>
      </c>
      <c r="N542" s="2010">
        <v>1</v>
      </c>
      <c r="O542" s="773">
        <f t="shared" si="752"/>
        <v>205</v>
      </c>
      <c r="P542" s="2076" t="s">
        <v>39</v>
      </c>
      <c r="Q542" s="2008" t="s">
        <v>39</v>
      </c>
      <c r="R542" s="2011" t="s">
        <v>74</v>
      </c>
      <c r="S542" s="912">
        <f>SUMIF('Data Input sheet'!$B$118:$B$180,R542,'Data Input sheet'!$D$118:$D$180)</f>
        <v>152</v>
      </c>
      <c r="T542" s="2685">
        <f t="shared" si="756"/>
        <v>31160</v>
      </c>
      <c r="U542" s="2013">
        <v>0</v>
      </c>
      <c r="V542" s="778">
        <f t="shared" si="754"/>
        <v>0</v>
      </c>
      <c r="W542" s="2010">
        <v>65629.065216000003</v>
      </c>
      <c r="X542" s="779"/>
      <c r="Y542" s="2012"/>
      <c r="Z542" s="780">
        <f t="shared" si="755"/>
        <v>96789.065216000003</v>
      </c>
      <c r="AA542" s="2007"/>
      <c r="AB542" s="2007"/>
      <c r="AC542" s="765"/>
      <c r="AD542" s="781">
        <f t="shared" si="705"/>
        <v>0</v>
      </c>
      <c r="AE542" s="778">
        <f t="shared" si="706"/>
        <v>0</v>
      </c>
      <c r="AF542" s="781">
        <f t="shared" si="707"/>
        <v>0</v>
      </c>
      <c r="AG542" s="781">
        <f t="shared" si="708"/>
        <v>0</v>
      </c>
      <c r="AH542" s="781">
        <f t="shared" si="709"/>
        <v>0</v>
      </c>
      <c r="AI542" s="782">
        <f t="shared" si="710"/>
        <v>0</v>
      </c>
      <c r="AJ542" s="781">
        <f t="shared" si="711"/>
        <v>0</v>
      </c>
      <c r="AK542" s="781">
        <f t="shared" si="712"/>
        <v>0</v>
      </c>
      <c r="AL542" s="781">
        <f t="shared" si="713"/>
        <v>0</v>
      </c>
      <c r="AM542" s="781">
        <f t="shared" si="714"/>
        <v>0</v>
      </c>
      <c r="AN542" s="781">
        <f t="shared" si="715"/>
        <v>0</v>
      </c>
      <c r="AO542" s="781">
        <f t="shared" si="716"/>
        <v>0</v>
      </c>
      <c r="AP542" s="781">
        <f t="shared" si="717"/>
        <v>0</v>
      </c>
      <c r="AQ542" s="781">
        <f t="shared" si="718"/>
        <v>0</v>
      </c>
      <c r="AR542" s="781">
        <f t="shared" si="719"/>
        <v>0</v>
      </c>
      <c r="AS542" s="783">
        <f t="shared" si="720"/>
        <v>0</v>
      </c>
      <c r="AT542" s="917"/>
      <c r="AV542" s="721"/>
      <c r="AW542" s="832"/>
      <c r="AX542" s="833" t="s">
        <v>3030</v>
      </c>
      <c r="BM542" s="2010">
        <v>65629.065216000003</v>
      </c>
    </row>
    <row r="543" spans="1:65" ht="15.75" hidden="1" outlineLevel="1" thickBot="1" x14ac:dyDescent="0.3">
      <c r="A543" s="787"/>
      <c r="B543" s="904">
        <f t="shared" si="681"/>
        <v>525</v>
      </c>
      <c r="C543" s="170" t="str">
        <f t="shared" si="757"/>
        <v>83EA</v>
      </c>
      <c r="D543" s="906"/>
      <c r="E543" s="170"/>
      <c r="F543" s="170">
        <v>83</v>
      </c>
      <c r="G543" s="2007" t="s">
        <v>1873</v>
      </c>
      <c r="H543" s="1926"/>
      <c r="I543" s="2008" t="s">
        <v>732</v>
      </c>
      <c r="J543" s="1926"/>
      <c r="K543" s="1926"/>
      <c r="L543" s="488"/>
      <c r="M543" s="2009">
        <v>16</v>
      </c>
      <c r="N543" s="2010">
        <v>1</v>
      </c>
      <c r="O543" s="773">
        <f t="shared" si="752"/>
        <v>16</v>
      </c>
      <c r="P543" s="2076" t="s">
        <v>39</v>
      </c>
      <c r="Q543" s="2008" t="s">
        <v>39</v>
      </c>
      <c r="R543" s="2011" t="s">
        <v>74</v>
      </c>
      <c r="S543" s="912">
        <f>SUMIF('Data Input sheet'!$B$118:$B$180,R543,'Data Input sheet'!$D$118:$D$180)</f>
        <v>152</v>
      </c>
      <c r="T543" s="2685">
        <f t="shared" si="756"/>
        <v>2432</v>
      </c>
      <c r="U543" s="2013">
        <v>0</v>
      </c>
      <c r="V543" s="778">
        <f t="shared" si="754"/>
        <v>0</v>
      </c>
      <c r="W543" s="2010">
        <v>25000</v>
      </c>
      <c r="X543" s="779"/>
      <c r="Y543" s="2012"/>
      <c r="Z543" s="780">
        <f t="shared" si="755"/>
        <v>27432</v>
      </c>
      <c r="AA543" s="2007"/>
      <c r="AB543" s="2007"/>
      <c r="AC543" s="765"/>
      <c r="AD543" s="781">
        <f t="shared" si="705"/>
        <v>0</v>
      </c>
      <c r="AE543" s="778">
        <f t="shared" si="706"/>
        <v>0</v>
      </c>
      <c r="AF543" s="781">
        <f t="shared" si="707"/>
        <v>0</v>
      </c>
      <c r="AG543" s="781">
        <f t="shared" si="708"/>
        <v>0</v>
      </c>
      <c r="AH543" s="781">
        <f t="shared" si="709"/>
        <v>0</v>
      </c>
      <c r="AI543" s="782">
        <f t="shared" si="710"/>
        <v>0</v>
      </c>
      <c r="AJ543" s="781">
        <f t="shared" si="711"/>
        <v>0</v>
      </c>
      <c r="AK543" s="781">
        <f t="shared" si="712"/>
        <v>0</v>
      </c>
      <c r="AL543" s="781">
        <f t="shared" si="713"/>
        <v>0</v>
      </c>
      <c r="AM543" s="781">
        <f t="shared" si="714"/>
        <v>0</v>
      </c>
      <c r="AN543" s="781">
        <f t="shared" si="715"/>
        <v>0</v>
      </c>
      <c r="AO543" s="781">
        <f t="shared" si="716"/>
        <v>0</v>
      </c>
      <c r="AP543" s="781">
        <f t="shared" si="717"/>
        <v>0</v>
      </c>
      <c r="AQ543" s="781">
        <f t="shared" si="718"/>
        <v>0</v>
      </c>
      <c r="AR543" s="781">
        <f t="shared" si="719"/>
        <v>0</v>
      </c>
      <c r="AS543" s="783">
        <f t="shared" si="720"/>
        <v>0</v>
      </c>
      <c r="AT543" s="917"/>
      <c r="AV543" s="721"/>
      <c r="AW543" s="832"/>
      <c r="AX543" s="833" t="s">
        <v>3030</v>
      </c>
      <c r="BM543" s="2010">
        <v>25000</v>
      </c>
    </row>
    <row r="544" spans="1:65" ht="15.75" hidden="1" outlineLevel="1" thickBot="1" x14ac:dyDescent="0.3">
      <c r="A544" s="784"/>
      <c r="B544" s="904">
        <f t="shared" si="681"/>
        <v>526</v>
      </c>
      <c r="C544" s="170" t="str">
        <f t="shared" si="757"/>
        <v>89EA</v>
      </c>
      <c r="D544" s="557"/>
      <c r="E544" s="170"/>
      <c r="F544" s="170">
        <v>89</v>
      </c>
      <c r="G544" s="2511" t="s">
        <v>1819</v>
      </c>
      <c r="H544" s="2039"/>
      <c r="I544" s="2008" t="s">
        <v>732</v>
      </c>
      <c r="J544" s="2039"/>
      <c r="K544" s="2039"/>
      <c r="L544" s="488"/>
      <c r="M544" s="2041">
        <v>6</v>
      </c>
      <c r="N544" s="2043">
        <v>1</v>
      </c>
      <c r="O544" s="1967">
        <f t="shared" si="752"/>
        <v>6</v>
      </c>
      <c r="P544" s="2076" t="s">
        <v>39</v>
      </c>
      <c r="Q544" s="2008" t="s">
        <v>39</v>
      </c>
      <c r="R544" s="2011" t="s">
        <v>74</v>
      </c>
      <c r="S544" s="912">
        <f>SUMIF('Data Input sheet'!$B$118:$B$180,R544,'Data Input sheet'!$D$118:$D$180)</f>
        <v>152</v>
      </c>
      <c r="T544" s="2685">
        <f t="shared" si="756"/>
        <v>912</v>
      </c>
      <c r="U544" s="2013">
        <v>0</v>
      </c>
      <c r="V544" s="1981">
        <f t="shared" si="754"/>
        <v>0</v>
      </c>
      <c r="W544" s="2046">
        <v>1600</v>
      </c>
      <c r="X544" s="2502"/>
      <c r="Y544" s="2047">
        <v>0</v>
      </c>
      <c r="Z544" s="780">
        <f t="shared" si="755"/>
        <v>2512</v>
      </c>
      <c r="AA544" s="2007"/>
      <c r="AB544" s="2007"/>
      <c r="AC544" s="765"/>
      <c r="AD544" s="781">
        <f t="shared" si="705"/>
        <v>0</v>
      </c>
      <c r="AE544" s="778">
        <f t="shared" si="706"/>
        <v>0</v>
      </c>
      <c r="AF544" s="781">
        <f t="shared" si="707"/>
        <v>0</v>
      </c>
      <c r="AG544" s="781">
        <f t="shared" si="708"/>
        <v>0</v>
      </c>
      <c r="AH544" s="781">
        <f t="shared" si="709"/>
        <v>0</v>
      </c>
      <c r="AI544" s="782">
        <f t="shared" si="710"/>
        <v>0</v>
      </c>
      <c r="AJ544" s="781">
        <f t="shared" si="711"/>
        <v>0</v>
      </c>
      <c r="AK544" s="781">
        <f t="shared" si="712"/>
        <v>0</v>
      </c>
      <c r="AL544" s="781">
        <f t="shared" si="713"/>
        <v>0</v>
      </c>
      <c r="AM544" s="781">
        <f t="shared" si="714"/>
        <v>0</v>
      </c>
      <c r="AN544" s="781">
        <f t="shared" si="715"/>
        <v>0</v>
      </c>
      <c r="AO544" s="781">
        <f t="shared" si="716"/>
        <v>0</v>
      </c>
      <c r="AP544" s="781">
        <f t="shared" si="717"/>
        <v>0</v>
      </c>
      <c r="AQ544" s="781">
        <f t="shared" si="718"/>
        <v>0</v>
      </c>
      <c r="AR544" s="781">
        <f t="shared" si="719"/>
        <v>0</v>
      </c>
      <c r="AS544" s="783">
        <f t="shared" si="720"/>
        <v>0</v>
      </c>
    </row>
    <row r="545" spans="1:65" ht="15.75" hidden="1" outlineLevel="1" thickBot="1" x14ac:dyDescent="0.3">
      <c r="A545" s="784"/>
      <c r="B545" s="904">
        <f t="shared" si="681"/>
        <v>527</v>
      </c>
      <c r="C545" s="170" t="str">
        <f t="shared" si="757"/>
        <v>89EA</v>
      </c>
      <c r="D545" s="557"/>
      <c r="E545" s="170"/>
      <c r="F545" s="170">
        <v>89</v>
      </c>
      <c r="G545" s="2511" t="s">
        <v>3178</v>
      </c>
      <c r="H545" s="2039"/>
      <c r="I545" s="2008" t="s">
        <v>732</v>
      </c>
      <c r="J545" s="2039"/>
      <c r="K545" s="2039"/>
      <c r="L545" s="488"/>
      <c r="M545" s="2041">
        <v>8</v>
      </c>
      <c r="N545" s="2043">
        <v>1</v>
      </c>
      <c r="O545" s="1967">
        <f t="shared" si="752"/>
        <v>8</v>
      </c>
      <c r="P545" s="2076" t="s">
        <v>39</v>
      </c>
      <c r="Q545" s="2008" t="s">
        <v>39</v>
      </c>
      <c r="R545" s="2011" t="s">
        <v>74</v>
      </c>
      <c r="S545" s="912">
        <f>SUMIF('Data Input sheet'!$B$118:$B$180,R545,'Data Input sheet'!$D$118:$D$180)</f>
        <v>152</v>
      </c>
      <c r="T545" s="2686">
        <f t="shared" ref="T545" si="759">ROUND(O545*S545,0)</f>
        <v>1216</v>
      </c>
      <c r="U545" s="2013">
        <v>0</v>
      </c>
      <c r="V545" s="1981">
        <f t="shared" si="754"/>
        <v>0</v>
      </c>
      <c r="W545" s="2046">
        <v>6700</v>
      </c>
      <c r="X545" s="2502"/>
      <c r="Y545" s="2047">
        <v>0</v>
      </c>
      <c r="Z545" s="780">
        <f t="shared" si="755"/>
        <v>7916</v>
      </c>
      <c r="AA545" s="2007"/>
      <c r="AB545" s="2007"/>
      <c r="AC545" s="765"/>
      <c r="AD545" s="781">
        <f t="shared" si="705"/>
        <v>0</v>
      </c>
      <c r="AE545" s="778">
        <f t="shared" si="706"/>
        <v>0</v>
      </c>
      <c r="AF545" s="781">
        <f t="shared" si="707"/>
        <v>0</v>
      </c>
      <c r="AG545" s="781">
        <f t="shared" si="708"/>
        <v>0</v>
      </c>
      <c r="AH545" s="781">
        <f t="shared" si="709"/>
        <v>0</v>
      </c>
      <c r="AI545" s="782">
        <f t="shared" si="710"/>
        <v>0</v>
      </c>
      <c r="AJ545" s="781">
        <f t="shared" si="711"/>
        <v>0</v>
      </c>
      <c r="AK545" s="781">
        <f t="shared" si="712"/>
        <v>0</v>
      </c>
      <c r="AL545" s="781">
        <f t="shared" si="713"/>
        <v>0</v>
      </c>
      <c r="AM545" s="781">
        <f t="shared" si="714"/>
        <v>0</v>
      </c>
      <c r="AN545" s="781">
        <f t="shared" si="715"/>
        <v>0</v>
      </c>
      <c r="AO545" s="781">
        <f t="shared" si="716"/>
        <v>0</v>
      </c>
      <c r="AP545" s="781">
        <f t="shared" si="717"/>
        <v>0</v>
      </c>
      <c r="AQ545" s="781">
        <f t="shared" si="718"/>
        <v>0</v>
      </c>
      <c r="AR545" s="781">
        <f t="shared" si="719"/>
        <v>0</v>
      </c>
      <c r="AS545" s="783">
        <f t="shared" si="720"/>
        <v>0</v>
      </c>
    </row>
    <row r="546" spans="1:65" ht="15.75" hidden="1" outlineLevel="1" thickBot="1" x14ac:dyDescent="0.3">
      <c r="A546" s="787"/>
      <c r="B546" s="904">
        <f t="shared" si="681"/>
        <v>528</v>
      </c>
      <c r="C546" s="170" t="str">
        <f t="shared" si="757"/>
        <v>83EA</v>
      </c>
      <c r="D546" s="906"/>
      <c r="E546" s="170"/>
      <c r="F546" s="170">
        <v>83</v>
      </c>
      <c r="G546" s="2007" t="s">
        <v>1874</v>
      </c>
      <c r="H546" s="1926"/>
      <c r="I546" s="2008" t="s">
        <v>732</v>
      </c>
      <c r="J546" s="1926"/>
      <c r="K546" s="1926"/>
      <c r="L546" s="488"/>
      <c r="M546" s="2009">
        <v>8</v>
      </c>
      <c r="N546" s="2010">
        <v>1</v>
      </c>
      <c r="O546" s="773">
        <f t="shared" si="752"/>
        <v>8</v>
      </c>
      <c r="P546" s="2076" t="s">
        <v>39</v>
      </c>
      <c r="Q546" s="2008" t="s">
        <v>39</v>
      </c>
      <c r="R546" s="2011" t="s">
        <v>74</v>
      </c>
      <c r="S546" s="912">
        <f>SUMIF('Data Input sheet'!$B$118:$B$180,R546,'Data Input sheet'!$D$118:$D$180)</f>
        <v>152</v>
      </c>
      <c r="T546" s="2685">
        <f t="shared" si="756"/>
        <v>1216</v>
      </c>
      <c r="U546" s="2013">
        <v>0</v>
      </c>
      <c r="V546" s="778">
        <f t="shared" si="754"/>
        <v>0</v>
      </c>
      <c r="W546" s="2010">
        <v>5000</v>
      </c>
      <c r="X546" s="779"/>
      <c r="Y546" s="2012"/>
      <c r="Z546" s="780">
        <f t="shared" si="755"/>
        <v>6216</v>
      </c>
      <c r="AA546" s="2007"/>
      <c r="AB546" s="2007"/>
      <c r="AC546" s="765"/>
      <c r="AD546" s="781">
        <f t="shared" si="705"/>
        <v>0</v>
      </c>
      <c r="AE546" s="778">
        <f t="shared" si="706"/>
        <v>0</v>
      </c>
      <c r="AF546" s="781">
        <f t="shared" si="707"/>
        <v>0</v>
      </c>
      <c r="AG546" s="781">
        <f t="shared" si="708"/>
        <v>0</v>
      </c>
      <c r="AH546" s="781">
        <f t="shared" si="709"/>
        <v>0</v>
      </c>
      <c r="AI546" s="782">
        <f t="shared" si="710"/>
        <v>0</v>
      </c>
      <c r="AJ546" s="781">
        <f t="shared" si="711"/>
        <v>0</v>
      </c>
      <c r="AK546" s="781">
        <f t="shared" si="712"/>
        <v>0</v>
      </c>
      <c r="AL546" s="781">
        <f t="shared" si="713"/>
        <v>0</v>
      </c>
      <c r="AM546" s="781">
        <f t="shared" si="714"/>
        <v>0</v>
      </c>
      <c r="AN546" s="781">
        <f t="shared" si="715"/>
        <v>0</v>
      </c>
      <c r="AO546" s="781">
        <f t="shared" si="716"/>
        <v>0</v>
      </c>
      <c r="AP546" s="781">
        <f t="shared" si="717"/>
        <v>0</v>
      </c>
      <c r="AQ546" s="781">
        <f t="shared" si="718"/>
        <v>0</v>
      </c>
      <c r="AR546" s="781">
        <f t="shared" si="719"/>
        <v>0</v>
      </c>
      <c r="AS546" s="783">
        <f t="shared" si="720"/>
        <v>0</v>
      </c>
      <c r="AT546" s="917"/>
      <c r="AV546" s="721"/>
      <c r="AW546" s="832"/>
      <c r="AX546" s="833" t="s">
        <v>3030</v>
      </c>
      <c r="BM546" s="2010">
        <v>5000</v>
      </c>
    </row>
    <row r="547" spans="1:65" ht="15.75" hidden="1" outlineLevel="1" thickBot="1" x14ac:dyDescent="0.3">
      <c r="A547" s="784"/>
      <c r="B547" s="904">
        <f t="shared" ref="B547:B610" si="760">+B546+1</f>
        <v>529</v>
      </c>
      <c r="C547" s="170" t="str">
        <f t="shared" si="757"/>
        <v>89EA</v>
      </c>
      <c r="D547" s="557"/>
      <c r="E547" s="170"/>
      <c r="F547" s="170">
        <v>89</v>
      </c>
      <c r="G547" s="2511" t="s">
        <v>1818</v>
      </c>
      <c r="H547" s="2039"/>
      <c r="I547" s="2008" t="s">
        <v>732</v>
      </c>
      <c r="J547" s="2039"/>
      <c r="K547" s="2039"/>
      <c r="L547" s="488"/>
      <c r="M547" s="2041">
        <v>10</v>
      </c>
      <c r="N547" s="2043">
        <v>1</v>
      </c>
      <c r="O547" s="1967">
        <f t="shared" si="752"/>
        <v>10</v>
      </c>
      <c r="P547" s="2076" t="s">
        <v>39</v>
      </c>
      <c r="Q547" s="2008" t="s">
        <v>39</v>
      </c>
      <c r="R547" s="2011" t="s">
        <v>74</v>
      </c>
      <c r="S547" s="912">
        <f>SUMIF('Data Input sheet'!$B$118:$B$180,R547,'Data Input sheet'!$D$118:$D$180)</f>
        <v>152</v>
      </c>
      <c r="T547" s="2685">
        <f t="shared" si="756"/>
        <v>1520</v>
      </c>
      <c r="U547" s="2013">
        <v>0</v>
      </c>
      <c r="V547" s="1981">
        <f t="shared" si="754"/>
        <v>0</v>
      </c>
      <c r="W547" s="2046">
        <v>900</v>
      </c>
      <c r="X547" s="2502"/>
      <c r="Y547" s="2047">
        <v>0</v>
      </c>
      <c r="Z547" s="780">
        <f t="shared" si="755"/>
        <v>2420</v>
      </c>
      <c r="AA547" s="2007"/>
      <c r="AB547" s="2007"/>
      <c r="AC547" s="765"/>
      <c r="AD547" s="781">
        <f t="shared" si="705"/>
        <v>0</v>
      </c>
      <c r="AE547" s="778">
        <f t="shared" si="706"/>
        <v>0</v>
      </c>
      <c r="AF547" s="781">
        <f t="shared" si="707"/>
        <v>0</v>
      </c>
      <c r="AG547" s="781">
        <f t="shared" si="708"/>
        <v>0</v>
      </c>
      <c r="AH547" s="781">
        <f t="shared" si="709"/>
        <v>0</v>
      </c>
      <c r="AI547" s="782">
        <f t="shared" si="710"/>
        <v>0</v>
      </c>
      <c r="AJ547" s="781">
        <f t="shared" si="711"/>
        <v>0</v>
      </c>
      <c r="AK547" s="781">
        <f t="shared" si="712"/>
        <v>0</v>
      </c>
      <c r="AL547" s="781">
        <f t="shared" si="713"/>
        <v>0</v>
      </c>
      <c r="AM547" s="781">
        <f t="shared" si="714"/>
        <v>0</v>
      </c>
      <c r="AN547" s="781">
        <f t="shared" si="715"/>
        <v>0</v>
      </c>
      <c r="AO547" s="781">
        <f t="shared" si="716"/>
        <v>0</v>
      </c>
      <c r="AP547" s="781">
        <f t="shared" si="717"/>
        <v>0</v>
      </c>
      <c r="AQ547" s="781">
        <f t="shared" si="718"/>
        <v>0</v>
      </c>
      <c r="AR547" s="781">
        <f t="shared" si="719"/>
        <v>0</v>
      </c>
      <c r="AS547" s="783">
        <f t="shared" si="720"/>
        <v>0</v>
      </c>
    </row>
    <row r="548" spans="1:65" ht="15.75" hidden="1" outlineLevel="1" thickBot="1" x14ac:dyDescent="0.3">
      <c r="A548" s="784"/>
      <c r="B548" s="904">
        <f t="shared" si="760"/>
        <v>530</v>
      </c>
      <c r="C548" s="170" t="str">
        <f t="shared" si="757"/>
        <v>84EA</v>
      </c>
      <c r="D548" s="557"/>
      <c r="E548" s="170"/>
      <c r="F548" s="170">
        <v>84</v>
      </c>
      <c r="G548" s="2493" t="s">
        <v>1821</v>
      </c>
      <c r="H548" s="2039"/>
      <c r="I548" s="2008" t="s">
        <v>732</v>
      </c>
      <c r="J548" s="2039"/>
      <c r="K548" s="2039"/>
      <c r="L548" s="488"/>
      <c r="M548" s="2041">
        <v>0</v>
      </c>
      <c r="N548" s="2043">
        <v>1</v>
      </c>
      <c r="O548" s="1967">
        <f t="shared" si="752"/>
        <v>0</v>
      </c>
      <c r="P548" s="2076" t="s">
        <v>39</v>
      </c>
      <c r="Q548" s="2008" t="s">
        <v>39</v>
      </c>
      <c r="R548" s="2011" t="s">
        <v>74</v>
      </c>
      <c r="S548" s="912">
        <f>SUMIF('Data Input sheet'!$B$118:$B$180,R548,'Data Input sheet'!$D$118:$D$180)</f>
        <v>152</v>
      </c>
      <c r="T548" s="2686">
        <f t="shared" ref="T548:T550" si="761">ROUND(O548*S548,0)</f>
        <v>0</v>
      </c>
      <c r="U548" s="2013">
        <v>0</v>
      </c>
      <c r="V548" s="1981">
        <f t="shared" si="754"/>
        <v>0</v>
      </c>
      <c r="W548" s="2046">
        <v>102000</v>
      </c>
      <c r="X548" s="2502"/>
      <c r="Y548" s="2047">
        <v>0</v>
      </c>
      <c r="Z548" s="780">
        <f t="shared" si="755"/>
        <v>102000</v>
      </c>
      <c r="AA548" s="2007"/>
      <c r="AB548" s="2007"/>
      <c r="AC548" s="765"/>
      <c r="AD548" s="781">
        <f t="shared" si="705"/>
        <v>0</v>
      </c>
      <c r="AE548" s="778">
        <f t="shared" si="706"/>
        <v>0</v>
      </c>
      <c r="AF548" s="781">
        <f t="shared" si="707"/>
        <v>0</v>
      </c>
      <c r="AG548" s="781">
        <f t="shared" si="708"/>
        <v>0</v>
      </c>
      <c r="AH548" s="781">
        <f t="shared" si="709"/>
        <v>0</v>
      </c>
      <c r="AI548" s="782">
        <f t="shared" si="710"/>
        <v>0</v>
      </c>
      <c r="AJ548" s="781">
        <f t="shared" si="711"/>
        <v>0</v>
      </c>
      <c r="AK548" s="781">
        <f t="shared" si="712"/>
        <v>0</v>
      </c>
      <c r="AL548" s="781">
        <f t="shared" si="713"/>
        <v>0</v>
      </c>
      <c r="AM548" s="781">
        <f t="shared" si="714"/>
        <v>0</v>
      </c>
      <c r="AN548" s="781">
        <f t="shared" si="715"/>
        <v>0</v>
      </c>
      <c r="AO548" s="781">
        <f t="shared" si="716"/>
        <v>0</v>
      </c>
      <c r="AP548" s="781">
        <f t="shared" si="717"/>
        <v>0</v>
      </c>
      <c r="AQ548" s="781">
        <f t="shared" si="718"/>
        <v>0</v>
      </c>
      <c r="AR548" s="781">
        <f t="shared" si="719"/>
        <v>0</v>
      </c>
      <c r="AS548" s="783">
        <f t="shared" si="720"/>
        <v>0</v>
      </c>
    </row>
    <row r="549" spans="1:65" ht="26.25" hidden="1" outlineLevel="1" thickBot="1" x14ac:dyDescent="0.3">
      <c r="A549" s="784"/>
      <c r="B549" s="904">
        <f t="shared" si="760"/>
        <v>531</v>
      </c>
      <c r="C549" s="170" t="str">
        <f t="shared" si="757"/>
        <v>84EA</v>
      </c>
      <c r="D549" s="557"/>
      <c r="E549" s="170"/>
      <c r="F549" s="170">
        <v>84</v>
      </c>
      <c r="G549" s="2493" t="s">
        <v>1822</v>
      </c>
      <c r="H549" s="2039"/>
      <c r="I549" s="2008" t="s">
        <v>732</v>
      </c>
      <c r="J549" s="2039"/>
      <c r="K549" s="2039"/>
      <c r="L549" s="488"/>
      <c r="M549" s="2041">
        <v>0</v>
      </c>
      <c r="N549" s="2043">
        <v>1</v>
      </c>
      <c r="O549" s="1967">
        <f t="shared" si="752"/>
        <v>0</v>
      </c>
      <c r="P549" s="2076" t="s">
        <v>39</v>
      </c>
      <c r="Q549" s="2008" t="s">
        <v>39</v>
      </c>
      <c r="R549" s="2011" t="s">
        <v>74</v>
      </c>
      <c r="S549" s="912">
        <f>SUMIF('Data Input sheet'!$B$118:$B$180,R549,'Data Input sheet'!$D$118:$D$180)</f>
        <v>152</v>
      </c>
      <c r="T549" s="2686">
        <f t="shared" si="761"/>
        <v>0</v>
      </c>
      <c r="U549" s="2013">
        <v>0</v>
      </c>
      <c r="V549" s="1981">
        <f t="shared" si="754"/>
        <v>0</v>
      </c>
      <c r="W549" s="2046">
        <v>114125</v>
      </c>
      <c r="X549" s="2502"/>
      <c r="Y549" s="2047">
        <v>0</v>
      </c>
      <c r="Z549" s="780">
        <f t="shared" si="755"/>
        <v>114125</v>
      </c>
      <c r="AA549" s="2007"/>
      <c r="AB549" s="2007"/>
      <c r="AC549" s="765"/>
      <c r="AD549" s="781">
        <f t="shared" si="705"/>
        <v>0</v>
      </c>
      <c r="AE549" s="778">
        <f t="shared" si="706"/>
        <v>0</v>
      </c>
      <c r="AF549" s="781">
        <f t="shared" si="707"/>
        <v>0</v>
      </c>
      <c r="AG549" s="781">
        <f t="shared" si="708"/>
        <v>0</v>
      </c>
      <c r="AH549" s="781">
        <f t="shared" si="709"/>
        <v>0</v>
      </c>
      <c r="AI549" s="782">
        <f t="shared" si="710"/>
        <v>0</v>
      </c>
      <c r="AJ549" s="781">
        <f t="shared" si="711"/>
        <v>0</v>
      </c>
      <c r="AK549" s="781">
        <f t="shared" si="712"/>
        <v>0</v>
      </c>
      <c r="AL549" s="781">
        <f t="shared" si="713"/>
        <v>0</v>
      </c>
      <c r="AM549" s="781">
        <f t="shared" si="714"/>
        <v>0</v>
      </c>
      <c r="AN549" s="781">
        <f t="shared" si="715"/>
        <v>0</v>
      </c>
      <c r="AO549" s="781">
        <f t="shared" si="716"/>
        <v>0</v>
      </c>
      <c r="AP549" s="781">
        <f t="shared" si="717"/>
        <v>0</v>
      </c>
      <c r="AQ549" s="781">
        <f t="shared" si="718"/>
        <v>0</v>
      </c>
      <c r="AR549" s="781">
        <f t="shared" si="719"/>
        <v>0</v>
      </c>
      <c r="AS549" s="783">
        <f t="shared" si="720"/>
        <v>0</v>
      </c>
    </row>
    <row r="550" spans="1:65" ht="15.75" hidden="1" outlineLevel="1" thickBot="1" x14ac:dyDescent="0.3">
      <c r="A550" s="784"/>
      <c r="B550" s="904">
        <f t="shared" si="760"/>
        <v>532</v>
      </c>
      <c r="C550" s="170" t="str">
        <f t="shared" si="757"/>
        <v>84EA</v>
      </c>
      <c r="D550" s="557"/>
      <c r="E550" s="170"/>
      <c r="F550" s="170">
        <v>84</v>
      </c>
      <c r="G550" s="2493" t="s">
        <v>1823</v>
      </c>
      <c r="H550" s="2039"/>
      <c r="I550" s="2008" t="s">
        <v>732</v>
      </c>
      <c r="J550" s="2039"/>
      <c r="K550" s="2039"/>
      <c r="L550" s="488"/>
      <c r="M550" s="2041">
        <v>0</v>
      </c>
      <c r="N550" s="2043">
        <v>1</v>
      </c>
      <c r="O550" s="1967">
        <f t="shared" si="752"/>
        <v>0</v>
      </c>
      <c r="P550" s="2076" t="s">
        <v>39</v>
      </c>
      <c r="Q550" s="2008" t="s">
        <v>39</v>
      </c>
      <c r="R550" s="2011" t="s">
        <v>74</v>
      </c>
      <c r="S550" s="912">
        <f>SUMIF('Data Input sheet'!$B$118:$B$180,R550,'Data Input sheet'!$D$118:$D$180)</f>
        <v>152</v>
      </c>
      <c r="T550" s="2686">
        <f t="shared" si="761"/>
        <v>0</v>
      </c>
      <c r="U550" s="2013">
        <v>0</v>
      </c>
      <c r="V550" s="1981">
        <f t="shared" si="754"/>
        <v>0</v>
      </c>
      <c r="W550" s="2046">
        <v>107000</v>
      </c>
      <c r="X550" s="2502"/>
      <c r="Y550" s="2047">
        <v>0</v>
      </c>
      <c r="Z550" s="780">
        <f t="shared" si="755"/>
        <v>107000</v>
      </c>
      <c r="AA550" s="2007"/>
      <c r="AB550" s="2007"/>
      <c r="AC550" s="765"/>
      <c r="AD550" s="781">
        <f t="shared" si="705"/>
        <v>0</v>
      </c>
      <c r="AE550" s="778">
        <f t="shared" si="706"/>
        <v>0</v>
      </c>
      <c r="AF550" s="781">
        <f t="shared" si="707"/>
        <v>0</v>
      </c>
      <c r="AG550" s="781">
        <f t="shared" si="708"/>
        <v>0</v>
      </c>
      <c r="AH550" s="781">
        <f t="shared" si="709"/>
        <v>0</v>
      </c>
      <c r="AI550" s="782">
        <f t="shared" si="710"/>
        <v>0</v>
      </c>
      <c r="AJ550" s="781">
        <f t="shared" si="711"/>
        <v>0</v>
      </c>
      <c r="AK550" s="781">
        <f t="shared" si="712"/>
        <v>0</v>
      </c>
      <c r="AL550" s="781">
        <f t="shared" si="713"/>
        <v>0</v>
      </c>
      <c r="AM550" s="781">
        <f t="shared" si="714"/>
        <v>0</v>
      </c>
      <c r="AN550" s="781">
        <f t="shared" si="715"/>
        <v>0</v>
      </c>
      <c r="AO550" s="781">
        <f t="shared" si="716"/>
        <v>0</v>
      </c>
      <c r="AP550" s="781">
        <f t="shared" si="717"/>
        <v>0</v>
      </c>
      <c r="AQ550" s="781">
        <f t="shared" si="718"/>
        <v>0</v>
      </c>
      <c r="AR550" s="781">
        <f t="shared" si="719"/>
        <v>0</v>
      </c>
      <c r="AS550" s="783">
        <f t="shared" si="720"/>
        <v>0</v>
      </c>
    </row>
    <row r="551" spans="1:65" ht="15.75" hidden="1" outlineLevel="1" thickBot="1" x14ac:dyDescent="0.3">
      <c r="A551" s="784"/>
      <c r="B551" s="904">
        <f t="shared" si="760"/>
        <v>533</v>
      </c>
      <c r="C551" s="170" t="str">
        <f t="shared" si="757"/>
        <v/>
      </c>
      <c r="D551" s="557"/>
      <c r="E551" s="170"/>
      <c r="F551" s="170"/>
      <c r="G551" s="2491" t="s">
        <v>1687</v>
      </c>
      <c r="H551" s="2640"/>
      <c r="I551" s="2008"/>
      <c r="J551" s="2039"/>
      <c r="K551" s="2039"/>
      <c r="L551" s="488"/>
      <c r="M551" s="2041"/>
      <c r="N551" s="2043"/>
      <c r="O551" s="2499"/>
      <c r="P551" s="2076"/>
      <c r="Q551" s="2008"/>
      <c r="R551" s="2011"/>
      <c r="S551" s="912">
        <f>SUMIF('Data Input sheet'!$B$118:$B$180,R551,'Data Input sheet'!$D$118:$D$180)</f>
        <v>0</v>
      </c>
      <c r="T551" s="2686"/>
      <c r="U551" s="2013">
        <v>0</v>
      </c>
      <c r="V551" s="2501">
        <f t="shared" ref="V551:V562" si="762">ROUND(U551*O551,0)</f>
        <v>0</v>
      </c>
      <c r="W551" s="2043"/>
      <c r="X551" s="2503"/>
      <c r="Y551" s="2047"/>
      <c r="Z551" s="2500"/>
      <c r="AA551" s="2007"/>
      <c r="AB551" s="2007"/>
      <c r="AC551" s="765"/>
      <c r="AD551" s="781">
        <f t="shared" ref="AD551:AD562" si="763">IF(P551="E",+ROUND(H551*O551,0),0)</f>
        <v>0</v>
      </c>
      <c r="AE551" s="778">
        <f t="shared" ref="AE551:AE562" si="764">+AF551-AD551</f>
        <v>0</v>
      </c>
      <c r="AF551" s="781">
        <f t="shared" ref="AF551:AF562" si="765">+H551*O551</f>
        <v>0</v>
      </c>
      <c r="AG551" s="781">
        <f t="shared" ref="AG551:AG562" si="766">IF(P551="E",+ROUND(T551*H551,0),0)</f>
        <v>0</v>
      </c>
      <c r="AH551" s="781">
        <f t="shared" ref="AH551:AH562" si="767">+AI551-AG551</f>
        <v>0</v>
      </c>
      <c r="AI551" s="782">
        <f t="shared" ref="AI551:AI562" si="768">+H551*T551</f>
        <v>0</v>
      </c>
      <c r="AJ551" s="781">
        <f t="shared" ref="AJ551:AJ562" si="769">IF(P551="E",+ROUND(V551*H551,0),0)</f>
        <v>0</v>
      </c>
      <c r="AK551" s="781">
        <f t="shared" ref="AK551:AK562" si="770">+AL551-AJ551</f>
        <v>0</v>
      </c>
      <c r="AL551" s="781">
        <f t="shared" ref="AL551:AL562" si="771">ROUND(V551*H551,0)</f>
        <v>0</v>
      </c>
      <c r="AM551" s="781">
        <f t="shared" ref="AM551:AM562" si="772">IF(Q551="E",+ROUND(W551*H551,0),0)</f>
        <v>0</v>
      </c>
      <c r="AN551" s="781">
        <f t="shared" ref="AN551:AN562" si="773">+AO551-AM551</f>
        <v>0</v>
      </c>
      <c r="AO551" s="781">
        <f t="shared" ref="AO551:AO562" si="774">ROUND(W551*H551,0)</f>
        <v>0</v>
      </c>
      <c r="AP551" s="781">
        <f t="shared" ref="AP551:AP562" si="775">IF(P551="E",+ROUND(Y551*H551,0),0)</f>
        <v>0</v>
      </c>
      <c r="AQ551" s="781">
        <f t="shared" ref="AQ551:AQ562" si="776">+AR551-AP551</f>
        <v>0</v>
      </c>
      <c r="AR551" s="781">
        <f t="shared" ref="AR551:AR562" si="777">ROUND(Y551*H551,0)</f>
        <v>0</v>
      </c>
      <c r="AS551" s="783">
        <f t="shared" ref="AS551:AS562" si="778">+AR551+AO551+AL551+AI551</f>
        <v>0</v>
      </c>
      <c r="AT551" s="917"/>
      <c r="AW551" s="832"/>
      <c r="AX551" s="833"/>
    </row>
    <row r="552" spans="1:65" ht="15.75" hidden="1" outlineLevel="1" thickBot="1" x14ac:dyDescent="0.3">
      <c r="A552" s="784"/>
      <c r="B552" s="904">
        <f t="shared" si="760"/>
        <v>534</v>
      </c>
      <c r="C552" s="170" t="str">
        <f t="shared" si="757"/>
        <v>37EA</v>
      </c>
      <c r="D552" s="557"/>
      <c r="E552" s="170"/>
      <c r="F552" s="170">
        <v>37</v>
      </c>
      <c r="G552" s="2068" t="s">
        <v>1688</v>
      </c>
      <c r="H552" s="2039"/>
      <c r="I552" s="2008" t="s">
        <v>732</v>
      </c>
      <c r="J552" s="2039"/>
      <c r="K552" s="2039"/>
      <c r="L552" s="488"/>
      <c r="M552" s="2041">
        <v>0</v>
      </c>
      <c r="N552" s="2043">
        <v>1</v>
      </c>
      <c r="O552" s="1967">
        <f t="shared" ref="O552:O562" si="779">+M552*N552</f>
        <v>0</v>
      </c>
      <c r="P552" s="2076" t="s">
        <v>39</v>
      </c>
      <c r="Q552" s="2008" t="s">
        <v>39</v>
      </c>
      <c r="R552" s="2011" t="s">
        <v>74</v>
      </c>
      <c r="S552" s="912">
        <f>SUMIF('Data Input sheet'!$B$118:$B$180,R552,'Data Input sheet'!$D$118:$D$180)</f>
        <v>152</v>
      </c>
      <c r="T552" s="2686">
        <f t="shared" ref="T552:T562" si="780">ROUND(O552*S552,0)</f>
        <v>0</v>
      </c>
      <c r="U552" s="2013">
        <v>0</v>
      </c>
      <c r="V552" s="1981">
        <f t="shared" si="762"/>
        <v>0</v>
      </c>
      <c r="W552" s="2045">
        <v>2</v>
      </c>
      <c r="X552" s="2502"/>
      <c r="Y552" s="2047">
        <v>0</v>
      </c>
      <c r="Z552" s="780">
        <f t="shared" ref="Z552:Z562" si="781">T552+V552+W552+Y552</f>
        <v>2</v>
      </c>
      <c r="AA552" s="2007"/>
      <c r="AB552" s="2007"/>
      <c r="AC552" s="765"/>
      <c r="AD552" s="781">
        <f t="shared" si="763"/>
        <v>0</v>
      </c>
      <c r="AE552" s="778">
        <f t="shared" si="764"/>
        <v>0</v>
      </c>
      <c r="AF552" s="781">
        <f t="shared" si="765"/>
        <v>0</v>
      </c>
      <c r="AG552" s="781">
        <f t="shared" si="766"/>
        <v>0</v>
      </c>
      <c r="AH552" s="781">
        <f t="shared" si="767"/>
        <v>0</v>
      </c>
      <c r="AI552" s="782">
        <f t="shared" si="768"/>
        <v>0</v>
      </c>
      <c r="AJ552" s="781">
        <f t="shared" si="769"/>
        <v>0</v>
      </c>
      <c r="AK552" s="781">
        <f t="shared" si="770"/>
        <v>0</v>
      </c>
      <c r="AL552" s="781">
        <f t="shared" si="771"/>
        <v>0</v>
      </c>
      <c r="AM552" s="781">
        <f t="shared" si="772"/>
        <v>0</v>
      </c>
      <c r="AN552" s="781">
        <f t="shared" si="773"/>
        <v>0</v>
      </c>
      <c r="AO552" s="781">
        <f t="shared" si="774"/>
        <v>0</v>
      </c>
      <c r="AP552" s="781">
        <f t="shared" si="775"/>
        <v>0</v>
      </c>
      <c r="AQ552" s="781">
        <f t="shared" si="776"/>
        <v>0</v>
      </c>
      <c r="AR552" s="781">
        <f t="shared" si="777"/>
        <v>0</v>
      </c>
      <c r="AS552" s="783">
        <f t="shared" si="778"/>
        <v>0</v>
      </c>
      <c r="AT552" s="917"/>
      <c r="AW552" s="832"/>
      <c r="AX552" s="833"/>
    </row>
    <row r="553" spans="1:65" ht="15.75" hidden="1" outlineLevel="1" thickBot="1" x14ac:dyDescent="0.3">
      <c r="A553" s="784"/>
      <c r="B553" s="904">
        <f t="shared" si="760"/>
        <v>535</v>
      </c>
      <c r="C553" s="170" t="str">
        <f t="shared" si="757"/>
        <v>37EA</v>
      </c>
      <c r="D553" s="557"/>
      <c r="E553" s="170"/>
      <c r="F553" s="170">
        <v>37</v>
      </c>
      <c r="G553" s="2068" t="s">
        <v>1689</v>
      </c>
      <c r="H553" s="2039"/>
      <c r="I553" s="2008" t="s">
        <v>732</v>
      </c>
      <c r="J553" s="2039"/>
      <c r="K553" s="2039"/>
      <c r="L553" s="488"/>
      <c r="M553" s="2041">
        <v>0</v>
      </c>
      <c r="N553" s="2043">
        <v>1</v>
      </c>
      <c r="O553" s="1967">
        <f t="shared" si="779"/>
        <v>0</v>
      </c>
      <c r="P553" s="2076" t="s">
        <v>39</v>
      </c>
      <c r="Q553" s="2008" t="s">
        <v>39</v>
      </c>
      <c r="R553" s="2011" t="s">
        <v>74</v>
      </c>
      <c r="S553" s="912">
        <f>SUMIF('Data Input sheet'!$B$118:$B$180,R553,'Data Input sheet'!$D$118:$D$180)</f>
        <v>152</v>
      </c>
      <c r="T553" s="2686">
        <f t="shared" si="780"/>
        <v>0</v>
      </c>
      <c r="U553" s="2013">
        <v>0</v>
      </c>
      <c r="V553" s="1981">
        <f t="shared" si="762"/>
        <v>0</v>
      </c>
      <c r="W553" s="2045">
        <v>274.5</v>
      </c>
      <c r="X553" s="2502"/>
      <c r="Y553" s="2047">
        <v>0</v>
      </c>
      <c r="Z553" s="780">
        <f t="shared" si="781"/>
        <v>274.5</v>
      </c>
      <c r="AA553" s="2007"/>
      <c r="AB553" s="2007"/>
      <c r="AC553" s="765"/>
      <c r="AD553" s="781">
        <f t="shared" si="763"/>
        <v>0</v>
      </c>
      <c r="AE553" s="778">
        <f t="shared" si="764"/>
        <v>0</v>
      </c>
      <c r="AF553" s="781">
        <f t="shared" si="765"/>
        <v>0</v>
      </c>
      <c r="AG553" s="781">
        <f t="shared" si="766"/>
        <v>0</v>
      </c>
      <c r="AH553" s="781">
        <f t="shared" si="767"/>
        <v>0</v>
      </c>
      <c r="AI553" s="782">
        <f t="shared" si="768"/>
        <v>0</v>
      </c>
      <c r="AJ553" s="781">
        <f t="shared" si="769"/>
        <v>0</v>
      </c>
      <c r="AK553" s="781">
        <f t="shared" si="770"/>
        <v>0</v>
      </c>
      <c r="AL553" s="781">
        <f t="shared" si="771"/>
        <v>0</v>
      </c>
      <c r="AM553" s="781">
        <f t="shared" si="772"/>
        <v>0</v>
      </c>
      <c r="AN553" s="781">
        <f t="shared" si="773"/>
        <v>0</v>
      </c>
      <c r="AO553" s="781">
        <f t="shared" si="774"/>
        <v>0</v>
      </c>
      <c r="AP553" s="781">
        <f t="shared" si="775"/>
        <v>0</v>
      </c>
      <c r="AQ553" s="781">
        <f t="shared" si="776"/>
        <v>0</v>
      </c>
      <c r="AR553" s="781">
        <f t="shared" si="777"/>
        <v>0</v>
      </c>
      <c r="AS553" s="783">
        <f t="shared" si="778"/>
        <v>0</v>
      </c>
      <c r="AT553" s="917"/>
      <c r="AW553" s="832"/>
      <c r="AX553" s="833"/>
    </row>
    <row r="554" spans="1:65" ht="15.75" hidden="1" outlineLevel="1" thickBot="1" x14ac:dyDescent="0.3">
      <c r="A554" s="784"/>
      <c r="B554" s="904">
        <f t="shared" si="760"/>
        <v>536</v>
      </c>
      <c r="C554" s="170" t="str">
        <f t="shared" si="757"/>
        <v>37EA</v>
      </c>
      <c r="D554" s="557"/>
      <c r="E554" s="170"/>
      <c r="F554" s="170">
        <v>37</v>
      </c>
      <c r="G554" s="2068" t="s">
        <v>1690</v>
      </c>
      <c r="H554" s="2039"/>
      <c r="I554" s="2008" t="s">
        <v>732</v>
      </c>
      <c r="J554" s="2039"/>
      <c r="K554" s="2039"/>
      <c r="L554" s="488"/>
      <c r="M554" s="2041">
        <v>0</v>
      </c>
      <c r="N554" s="2043">
        <v>1</v>
      </c>
      <c r="O554" s="1967">
        <f t="shared" si="779"/>
        <v>0</v>
      </c>
      <c r="P554" s="2076" t="s">
        <v>39</v>
      </c>
      <c r="Q554" s="2008" t="s">
        <v>39</v>
      </c>
      <c r="R554" s="2011" t="s">
        <v>74</v>
      </c>
      <c r="S554" s="912">
        <f>SUMIF('Data Input sheet'!$B$118:$B$180,R554,'Data Input sheet'!$D$118:$D$180)</f>
        <v>152</v>
      </c>
      <c r="T554" s="2686">
        <f t="shared" si="780"/>
        <v>0</v>
      </c>
      <c r="U554" s="2013">
        <v>0</v>
      </c>
      <c r="V554" s="1981">
        <f t="shared" si="762"/>
        <v>0</v>
      </c>
      <c r="W554" s="2045">
        <v>857</v>
      </c>
      <c r="X554" s="2502"/>
      <c r="Y554" s="2047">
        <v>0</v>
      </c>
      <c r="Z554" s="780">
        <f t="shared" si="781"/>
        <v>857</v>
      </c>
      <c r="AA554" s="2007"/>
      <c r="AB554" s="2007"/>
      <c r="AC554" s="765"/>
      <c r="AD554" s="781">
        <f t="shared" si="763"/>
        <v>0</v>
      </c>
      <c r="AE554" s="778">
        <f t="shared" si="764"/>
        <v>0</v>
      </c>
      <c r="AF554" s="781">
        <f t="shared" si="765"/>
        <v>0</v>
      </c>
      <c r="AG554" s="781">
        <f t="shared" si="766"/>
        <v>0</v>
      </c>
      <c r="AH554" s="781">
        <f t="shared" si="767"/>
        <v>0</v>
      </c>
      <c r="AI554" s="782">
        <f t="shared" si="768"/>
        <v>0</v>
      </c>
      <c r="AJ554" s="781">
        <f t="shared" si="769"/>
        <v>0</v>
      </c>
      <c r="AK554" s="781">
        <f t="shared" si="770"/>
        <v>0</v>
      </c>
      <c r="AL554" s="781">
        <f t="shared" si="771"/>
        <v>0</v>
      </c>
      <c r="AM554" s="781">
        <f t="shared" si="772"/>
        <v>0</v>
      </c>
      <c r="AN554" s="781">
        <f t="shared" si="773"/>
        <v>0</v>
      </c>
      <c r="AO554" s="781">
        <f t="shared" si="774"/>
        <v>0</v>
      </c>
      <c r="AP554" s="781">
        <f t="shared" si="775"/>
        <v>0</v>
      </c>
      <c r="AQ554" s="781">
        <f t="shared" si="776"/>
        <v>0</v>
      </c>
      <c r="AR554" s="781">
        <f t="shared" si="777"/>
        <v>0</v>
      </c>
      <c r="AS554" s="783">
        <f t="shared" si="778"/>
        <v>0</v>
      </c>
      <c r="AT554" s="917"/>
      <c r="AW554" s="832"/>
      <c r="AX554" s="833"/>
    </row>
    <row r="555" spans="1:65" ht="15.75" hidden="1" outlineLevel="1" thickBot="1" x14ac:dyDescent="0.3">
      <c r="A555" s="784"/>
      <c r="B555" s="904">
        <f t="shared" si="760"/>
        <v>537</v>
      </c>
      <c r="C555" s="170" t="str">
        <f t="shared" si="757"/>
        <v>37EA</v>
      </c>
      <c r="D555" s="557"/>
      <c r="E555" s="170"/>
      <c r="F555" s="170">
        <v>37</v>
      </c>
      <c r="G555" s="2068" t="s">
        <v>1691</v>
      </c>
      <c r="H555" s="2039"/>
      <c r="I555" s="2008" t="s">
        <v>732</v>
      </c>
      <c r="J555" s="2039"/>
      <c r="K555" s="2039"/>
      <c r="L555" s="488"/>
      <c r="M555" s="2041">
        <v>0</v>
      </c>
      <c r="N555" s="2043">
        <v>1</v>
      </c>
      <c r="O555" s="1967">
        <f t="shared" si="779"/>
        <v>0</v>
      </c>
      <c r="P555" s="2076" t="s">
        <v>39</v>
      </c>
      <c r="Q555" s="2008" t="s">
        <v>39</v>
      </c>
      <c r="R555" s="2011" t="s">
        <v>74</v>
      </c>
      <c r="S555" s="912">
        <f>SUMIF('Data Input sheet'!$B$118:$B$180,R555,'Data Input sheet'!$D$118:$D$180)</f>
        <v>152</v>
      </c>
      <c r="T555" s="2686">
        <f t="shared" si="780"/>
        <v>0</v>
      </c>
      <c r="U555" s="2013">
        <v>0</v>
      </c>
      <c r="V555" s="1981">
        <f t="shared" si="762"/>
        <v>0</v>
      </c>
      <c r="W555" s="2045">
        <v>425</v>
      </c>
      <c r="X555" s="2502"/>
      <c r="Y555" s="2047">
        <v>0</v>
      </c>
      <c r="Z555" s="780">
        <f t="shared" si="781"/>
        <v>425</v>
      </c>
      <c r="AA555" s="2007"/>
      <c r="AB555" s="2007"/>
      <c r="AC555" s="765"/>
      <c r="AD555" s="781">
        <f t="shared" si="763"/>
        <v>0</v>
      </c>
      <c r="AE555" s="778">
        <f t="shared" si="764"/>
        <v>0</v>
      </c>
      <c r="AF555" s="781">
        <f t="shared" si="765"/>
        <v>0</v>
      </c>
      <c r="AG555" s="781">
        <f t="shared" si="766"/>
        <v>0</v>
      </c>
      <c r="AH555" s="781">
        <f t="shared" si="767"/>
        <v>0</v>
      </c>
      <c r="AI555" s="782">
        <f t="shared" si="768"/>
        <v>0</v>
      </c>
      <c r="AJ555" s="781">
        <f t="shared" si="769"/>
        <v>0</v>
      </c>
      <c r="AK555" s="781">
        <f t="shared" si="770"/>
        <v>0</v>
      </c>
      <c r="AL555" s="781">
        <f t="shared" si="771"/>
        <v>0</v>
      </c>
      <c r="AM555" s="781">
        <f t="shared" si="772"/>
        <v>0</v>
      </c>
      <c r="AN555" s="781">
        <f t="shared" si="773"/>
        <v>0</v>
      </c>
      <c r="AO555" s="781">
        <f t="shared" si="774"/>
        <v>0</v>
      </c>
      <c r="AP555" s="781">
        <f t="shared" si="775"/>
        <v>0</v>
      </c>
      <c r="AQ555" s="781">
        <f t="shared" si="776"/>
        <v>0</v>
      </c>
      <c r="AR555" s="781">
        <f t="shared" si="777"/>
        <v>0</v>
      </c>
      <c r="AS555" s="783">
        <f t="shared" si="778"/>
        <v>0</v>
      </c>
      <c r="AT555" s="917"/>
      <c r="AW555" s="832"/>
      <c r="AX555" s="833"/>
    </row>
    <row r="556" spans="1:65" ht="15.75" hidden="1" outlineLevel="1" thickBot="1" x14ac:dyDescent="0.3">
      <c r="A556" s="784"/>
      <c r="B556" s="904">
        <f t="shared" si="760"/>
        <v>538</v>
      </c>
      <c r="C556" s="170" t="str">
        <f t="shared" si="757"/>
        <v>37EA</v>
      </c>
      <c r="D556" s="557"/>
      <c r="E556" s="170"/>
      <c r="F556" s="170">
        <v>37</v>
      </c>
      <c r="G556" s="2068" t="s">
        <v>1692</v>
      </c>
      <c r="H556" s="2039"/>
      <c r="I556" s="2008" t="s">
        <v>732</v>
      </c>
      <c r="J556" s="2039"/>
      <c r="K556" s="2039"/>
      <c r="L556" s="488"/>
      <c r="M556" s="2041">
        <v>0</v>
      </c>
      <c r="N556" s="2043">
        <v>1</v>
      </c>
      <c r="O556" s="1967">
        <f t="shared" si="779"/>
        <v>0</v>
      </c>
      <c r="P556" s="2076" t="s">
        <v>39</v>
      </c>
      <c r="Q556" s="2008" t="s">
        <v>39</v>
      </c>
      <c r="R556" s="2011" t="s">
        <v>74</v>
      </c>
      <c r="S556" s="912">
        <f>SUMIF('Data Input sheet'!$B$118:$B$180,R556,'Data Input sheet'!$D$118:$D$180)</f>
        <v>152</v>
      </c>
      <c r="T556" s="2686">
        <f t="shared" si="780"/>
        <v>0</v>
      </c>
      <c r="U556" s="2013">
        <v>0</v>
      </c>
      <c r="V556" s="1981">
        <f t="shared" si="762"/>
        <v>0</v>
      </c>
      <c r="W556" s="2045">
        <v>375</v>
      </c>
      <c r="X556" s="2502"/>
      <c r="Y556" s="2047">
        <v>0</v>
      </c>
      <c r="Z556" s="780">
        <f t="shared" si="781"/>
        <v>375</v>
      </c>
      <c r="AA556" s="2007"/>
      <c r="AB556" s="2007"/>
      <c r="AC556" s="765"/>
      <c r="AD556" s="781">
        <f t="shared" si="763"/>
        <v>0</v>
      </c>
      <c r="AE556" s="778">
        <f t="shared" si="764"/>
        <v>0</v>
      </c>
      <c r="AF556" s="781">
        <f t="shared" si="765"/>
        <v>0</v>
      </c>
      <c r="AG556" s="781">
        <f t="shared" si="766"/>
        <v>0</v>
      </c>
      <c r="AH556" s="781">
        <f t="shared" si="767"/>
        <v>0</v>
      </c>
      <c r="AI556" s="782">
        <f t="shared" si="768"/>
        <v>0</v>
      </c>
      <c r="AJ556" s="781">
        <f t="shared" si="769"/>
        <v>0</v>
      </c>
      <c r="AK556" s="781">
        <f t="shared" si="770"/>
        <v>0</v>
      </c>
      <c r="AL556" s="781">
        <f t="shared" si="771"/>
        <v>0</v>
      </c>
      <c r="AM556" s="781">
        <f t="shared" si="772"/>
        <v>0</v>
      </c>
      <c r="AN556" s="781">
        <f t="shared" si="773"/>
        <v>0</v>
      </c>
      <c r="AO556" s="781">
        <f t="shared" si="774"/>
        <v>0</v>
      </c>
      <c r="AP556" s="781">
        <f t="shared" si="775"/>
        <v>0</v>
      </c>
      <c r="AQ556" s="781">
        <f t="shared" si="776"/>
        <v>0</v>
      </c>
      <c r="AR556" s="781">
        <f t="shared" si="777"/>
        <v>0</v>
      </c>
      <c r="AS556" s="783">
        <f t="shared" si="778"/>
        <v>0</v>
      </c>
      <c r="AT556" s="917"/>
      <c r="AW556" s="832"/>
      <c r="AX556" s="833"/>
    </row>
    <row r="557" spans="1:65" ht="15.75" hidden="1" outlineLevel="1" thickBot="1" x14ac:dyDescent="0.3">
      <c r="A557" s="784"/>
      <c r="B557" s="904">
        <f t="shared" si="760"/>
        <v>539</v>
      </c>
      <c r="C557" s="170" t="str">
        <f t="shared" si="757"/>
        <v>37EA</v>
      </c>
      <c r="D557" s="557"/>
      <c r="E557" s="170"/>
      <c r="F557" s="170">
        <v>37</v>
      </c>
      <c r="G557" s="2068" t="s">
        <v>1693</v>
      </c>
      <c r="H557" s="2039"/>
      <c r="I557" s="2008" t="s">
        <v>732</v>
      </c>
      <c r="J557" s="2039"/>
      <c r="K557" s="2039"/>
      <c r="L557" s="488"/>
      <c r="M557" s="2041">
        <v>0</v>
      </c>
      <c r="N557" s="2043">
        <v>1</v>
      </c>
      <c r="O557" s="1967">
        <f t="shared" si="779"/>
        <v>0</v>
      </c>
      <c r="P557" s="2076" t="s">
        <v>39</v>
      </c>
      <c r="Q557" s="2008" t="s">
        <v>39</v>
      </c>
      <c r="R557" s="2011" t="s">
        <v>74</v>
      </c>
      <c r="S557" s="912">
        <f>SUMIF('Data Input sheet'!$B$118:$B$180,R557,'Data Input sheet'!$D$118:$D$180)</f>
        <v>152</v>
      </c>
      <c r="T557" s="2686">
        <f t="shared" si="780"/>
        <v>0</v>
      </c>
      <c r="U557" s="2013">
        <v>0</v>
      </c>
      <c r="V557" s="1981">
        <f t="shared" si="762"/>
        <v>0</v>
      </c>
      <c r="W557" s="2045">
        <v>482</v>
      </c>
      <c r="X557" s="2502"/>
      <c r="Y557" s="2047">
        <v>0</v>
      </c>
      <c r="Z557" s="780">
        <f t="shared" si="781"/>
        <v>482</v>
      </c>
      <c r="AA557" s="2007"/>
      <c r="AB557" s="2007"/>
      <c r="AC557" s="765"/>
      <c r="AD557" s="781">
        <f t="shared" si="763"/>
        <v>0</v>
      </c>
      <c r="AE557" s="778">
        <f t="shared" si="764"/>
        <v>0</v>
      </c>
      <c r="AF557" s="781">
        <f t="shared" si="765"/>
        <v>0</v>
      </c>
      <c r="AG557" s="781">
        <f t="shared" si="766"/>
        <v>0</v>
      </c>
      <c r="AH557" s="781">
        <f t="shared" si="767"/>
        <v>0</v>
      </c>
      <c r="AI557" s="782">
        <f t="shared" si="768"/>
        <v>0</v>
      </c>
      <c r="AJ557" s="781">
        <f t="shared" si="769"/>
        <v>0</v>
      </c>
      <c r="AK557" s="781">
        <f t="shared" si="770"/>
        <v>0</v>
      </c>
      <c r="AL557" s="781">
        <f t="shared" si="771"/>
        <v>0</v>
      </c>
      <c r="AM557" s="781">
        <f t="shared" si="772"/>
        <v>0</v>
      </c>
      <c r="AN557" s="781">
        <f t="shared" si="773"/>
        <v>0</v>
      </c>
      <c r="AO557" s="781">
        <f t="shared" si="774"/>
        <v>0</v>
      </c>
      <c r="AP557" s="781">
        <f t="shared" si="775"/>
        <v>0</v>
      </c>
      <c r="AQ557" s="781">
        <f t="shared" si="776"/>
        <v>0</v>
      </c>
      <c r="AR557" s="781">
        <f t="shared" si="777"/>
        <v>0</v>
      </c>
      <c r="AS557" s="783">
        <f t="shared" si="778"/>
        <v>0</v>
      </c>
      <c r="AT557" s="917"/>
      <c r="AW557" s="832"/>
      <c r="AX557" s="833"/>
    </row>
    <row r="558" spans="1:65" ht="15.75" hidden="1" outlineLevel="1" thickBot="1" x14ac:dyDescent="0.3">
      <c r="A558" s="784"/>
      <c r="B558" s="904">
        <f t="shared" si="760"/>
        <v>540</v>
      </c>
      <c r="C558" s="170" t="str">
        <f t="shared" si="757"/>
        <v>37EA</v>
      </c>
      <c r="D558" s="557"/>
      <c r="E558" s="170"/>
      <c r="F558" s="170">
        <v>37</v>
      </c>
      <c r="G558" s="2068" t="s">
        <v>1694</v>
      </c>
      <c r="H558" s="2039"/>
      <c r="I558" s="2008" t="s">
        <v>732</v>
      </c>
      <c r="J558" s="2039"/>
      <c r="K558" s="2039"/>
      <c r="L558" s="488"/>
      <c r="M558" s="2041">
        <v>0</v>
      </c>
      <c r="N558" s="2043">
        <v>1</v>
      </c>
      <c r="O558" s="1967">
        <f t="shared" si="779"/>
        <v>0</v>
      </c>
      <c r="P558" s="2076" t="s">
        <v>39</v>
      </c>
      <c r="Q558" s="2008" t="s">
        <v>39</v>
      </c>
      <c r="R558" s="2011" t="s">
        <v>74</v>
      </c>
      <c r="S558" s="912">
        <f>SUMIF('Data Input sheet'!$B$118:$B$180,R558,'Data Input sheet'!$D$118:$D$180)</f>
        <v>152</v>
      </c>
      <c r="T558" s="2686">
        <f t="shared" si="780"/>
        <v>0</v>
      </c>
      <c r="U558" s="2013">
        <v>0</v>
      </c>
      <c r="V558" s="1981">
        <f t="shared" si="762"/>
        <v>0</v>
      </c>
      <c r="W558" s="2045">
        <v>2.5</v>
      </c>
      <c r="X558" s="2502"/>
      <c r="Y558" s="2047">
        <v>0</v>
      </c>
      <c r="Z558" s="780">
        <f t="shared" si="781"/>
        <v>2.5</v>
      </c>
      <c r="AA558" s="2007"/>
      <c r="AB558" s="2007"/>
      <c r="AC558" s="765"/>
      <c r="AD558" s="781">
        <f t="shared" si="763"/>
        <v>0</v>
      </c>
      <c r="AE558" s="778">
        <f t="shared" si="764"/>
        <v>0</v>
      </c>
      <c r="AF558" s="781">
        <f t="shared" si="765"/>
        <v>0</v>
      </c>
      <c r="AG558" s="781">
        <f t="shared" si="766"/>
        <v>0</v>
      </c>
      <c r="AH558" s="781">
        <f t="shared" si="767"/>
        <v>0</v>
      </c>
      <c r="AI558" s="782">
        <f t="shared" si="768"/>
        <v>0</v>
      </c>
      <c r="AJ558" s="781">
        <f t="shared" si="769"/>
        <v>0</v>
      </c>
      <c r="AK558" s="781">
        <f t="shared" si="770"/>
        <v>0</v>
      </c>
      <c r="AL558" s="781">
        <f t="shared" si="771"/>
        <v>0</v>
      </c>
      <c r="AM558" s="781">
        <f t="shared" si="772"/>
        <v>0</v>
      </c>
      <c r="AN558" s="781">
        <f t="shared" si="773"/>
        <v>0</v>
      </c>
      <c r="AO558" s="781">
        <f t="shared" si="774"/>
        <v>0</v>
      </c>
      <c r="AP558" s="781">
        <f t="shared" si="775"/>
        <v>0</v>
      </c>
      <c r="AQ558" s="781">
        <f t="shared" si="776"/>
        <v>0</v>
      </c>
      <c r="AR558" s="781">
        <f t="shared" si="777"/>
        <v>0</v>
      </c>
      <c r="AS558" s="783">
        <f t="shared" si="778"/>
        <v>0</v>
      </c>
      <c r="AT558" s="917"/>
      <c r="AW558" s="832"/>
      <c r="AX558" s="833"/>
    </row>
    <row r="559" spans="1:65" ht="15.75" hidden="1" outlineLevel="1" thickBot="1" x14ac:dyDescent="0.3">
      <c r="A559" s="784"/>
      <c r="B559" s="904">
        <f t="shared" si="760"/>
        <v>541</v>
      </c>
      <c r="C559" s="170" t="str">
        <f t="shared" si="757"/>
        <v/>
      </c>
      <c r="D559" s="557"/>
      <c r="E559" s="170"/>
      <c r="F559" s="170"/>
      <c r="G559" s="2497" t="s">
        <v>1681</v>
      </c>
      <c r="H559" s="2640"/>
      <c r="I559" s="2008"/>
      <c r="J559" s="2039"/>
      <c r="K559" s="2039"/>
      <c r="L559" s="2498"/>
      <c r="M559" s="2041"/>
      <c r="N559" s="2043"/>
      <c r="O559" s="2499"/>
      <c r="P559" s="2076"/>
      <c r="Q559" s="2008"/>
      <c r="R559" s="2011"/>
      <c r="S559" s="912">
        <f>SUMIF('Data Input sheet'!$B$118:$B$180,R559,'Data Input sheet'!$D$118:$D$180)</f>
        <v>0</v>
      </c>
      <c r="T559" s="2686"/>
      <c r="U559" s="2013">
        <v>0</v>
      </c>
      <c r="V559" s="2501">
        <f t="shared" si="762"/>
        <v>0</v>
      </c>
      <c r="W559" s="2043"/>
      <c r="X559" s="2503"/>
      <c r="Y559" s="2047"/>
      <c r="Z559" s="2500"/>
      <c r="AA559" s="2007"/>
      <c r="AB559" s="2007"/>
      <c r="AC559" s="765"/>
      <c r="AD559" s="781">
        <f t="shared" si="763"/>
        <v>0</v>
      </c>
      <c r="AE559" s="778">
        <f t="shared" si="764"/>
        <v>0</v>
      </c>
      <c r="AF559" s="781">
        <f t="shared" si="765"/>
        <v>0</v>
      </c>
      <c r="AG559" s="781">
        <f t="shared" si="766"/>
        <v>0</v>
      </c>
      <c r="AH559" s="781">
        <f t="shared" si="767"/>
        <v>0</v>
      </c>
      <c r="AI559" s="782">
        <f t="shared" si="768"/>
        <v>0</v>
      </c>
      <c r="AJ559" s="781">
        <f t="shared" si="769"/>
        <v>0</v>
      </c>
      <c r="AK559" s="781">
        <f t="shared" si="770"/>
        <v>0</v>
      </c>
      <c r="AL559" s="781">
        <f t="shared" si="771"/>
        <v>0</v>
      </c>
      <c r="AM559" s="781">
        <f t="shared" si="772"/>
        <v>0</v>
      </c>
      <c r="AN559" s="781">
        <f t="shared" si="773"/>
        <v>0</v>
      </c>
      <c r="AO559" s="781">
        <f t="shared" si="774"/>
        <v>0</v>
      </c>
      <c r="AP559" s="781">
        <f t="shared" si="775"/>
        <v>0</v>
      </c>
      <c r="AQ559" s="781">
        <f t="shared" si="776"/>
        <v>0</v>
      </c>
      <c r="AR559" s="781">
        <f t="shared" si="777"/>
        <v>0</v>
      </c>
      <c r="AS559" s="783">
        <f t="shared" si="778"/>
        <v>0</v>
      </c>
    </row>
    <row r="560" spans="1:65" ht="15.75" hidden="1" outlineLevel="1" thickBot="1" x14ac:dyDescent="0.3">
      <c r="A560" s="784"/>
      <c r="B560" s="904">
        <f t="shared" si="760"/>
        <v>542</v>
      </c>
      <c r="C560" s="170" t="str">
        <f t="shared" si="757"/>
        <v>36EA</v>
      </c>
      <c r="D560" s="557"/>
      <c r="E560" s="170"/>
      <c r="F560" s="170">
        <v>36</v>
      </c>
      <c r="G560" s="2068" t="s">
        <v>1682</v>
      </c>
      <c r="H560" s="2039"/>
      <c r="I560" s="2008" t="s">
        <v>732</v>
      </c>
      <c r="J560" s="2039"/>
      <c r="K560" s="2039"/>
      <c r="L560" s="488"/>
      <c r="M560" s="2041">
        <v>0</v>
      </c>
      <c r="N560" s="2043">
        <v>1</v>
      </c>
      <c r="O560" s="1967">
        <f t="shared" ref="O560:O561" si="782">+M560*N560</f>
        <v>0</v>
      </c>
      <c r="P560" s="2076" t="s">
        <v>39</v>
      </c>
      <c r="Q560" s="2008" t="s">
        <v>39</v>
      </c>
      <c r="R560" s="2011" t="s">
        <v>74</v>
      </c>
      <c r="S560" s="912">
        <f>SUMIF('Data Input sheet'!$B$118:$B$180,R560,'Data Input sheet'!$D$118:$D$180)</f>
        <v>152</v>
      </c>
      <c r="T560" s="2686">
        <f t="shared" ref="T560:T561" si="783">ROUND(O560*S560,0)</f>
        <v>0</v>
      </c>
      <c r="U560" s="2013">
        <v>0</v>
      </c>
      <c r="V560" s="1981">
        <f t="shared" si="762"/>
        <v>0</v>
      </c>
      <c r="W560" s="2045">
        <v>1.5</v>
      </c>
      <c r="X560" s="2502"/>
      <c r="Y560" s="2047">
        <v>0</v>
      </c>
      <c r="Z560" s="780">
        <f t="shared" ref="Z560:Z561" si="784">T560+V560+W560+Y560</f>
        <v>1.5</v>
      </c>
      <c r="AA560" s="2007"/>
      <c r="AB560" s="2007"/>
      <c r="AC560" s="765"/>
      <c r="AD560" s="781">
        <f t="shared" si="763"/>
        <v>0</v>
      </c>
      <c r="AE560" s="778">
        <f t="shared" si="764"/>
        <v>0</v>
      </c>
      <c r="AF560" s="781">
        <f t="shared" si="765"/>
        <v>0</v>
      </c>
      <c r="AG560" s="781">
        <f t="shared" si="766"/>
        <v>0</v>
      </c>
      <c r="AH560" s="781">
        <f t="shared" si="767"/>
        <v>0</v>
      </c>
      <c r="AI560" s="782">
        <f t="shared" si="768"/>
        <v>0</v>
      </c>
      <c r="AJ560" s="781">
        <f t="shared" si="769"/>
        <v>0</v>
      </c>
      <c r="AK560" s="781">
        <f t="shared" si="770"/>
        <v>0</v>
      </c>
      <c r="AL560" s="781">
        <f t="shared" si="771"/>
        <v>0</v>
      </c>
      <c r="AM560" s="781">
        <f t="shared" si="772"/>
        <v>0</v>
      </c>
      <c r="AN560" s="781">
        <f t="shared" si="773"/>
        <v>0</v>
      </c>
      <c r="AO560" s="781">
        <f t="shared" si="774"/>
        <v>0</v>
      </c>
      <c r="AP560" s="781">
        <f t="shared" si="775"/>
        <v>0</v>
      </c>
      <c r="AQ560" s="781">
        <f t="shared" si="776"/>
        <v>0</v>
      </c>
      <c r="AR560" s="781">
        <f t="shared" si="777"/>
        <v>0</v>
      </c>
      <c r="AS560" s="783">
        <f t="shared" si="778"/>
        <v>0</v>
      </c>
    </row>
    <row r="561" spans="1:65" ht="15.75" hidden="1" outlineLevel="1" thickBot="1" x14ac:dyDescent="0.3">
      <c r="A561" s="784"/>
      <c r="B561" s="904">
        <f t="shared" si="760"/>
        <v>543</v>
      </c>
      <c r="C561" s="170" t="str">
        <f t="shared" si="757"/>
        <v>36EA</v>
      </c>
      <c r="D561" s="557"/>
      <c r="E561" s="170"/>
      <c r="F561" s="170">
        <v>36</v>
      </c>
      <c r="G561" s="2068" t="s">
        <v>1683</v>
      </c>
      <c r="H561" s="2039"/>
      <c r="I561" s="2008" t="s">
        <v>732</v>
      </c>
      <c r="J561" s="2039"/>
      <c r="K561" s="2039"/>
      <c r="L561" s="488"/>
      <c r="M561" s="2041">
        <v>0</v>
      </c>
      <c r="N561" s="2043">
        <v>1</v>
      </c>
      <c r="O561" s="1967">
        <f t="shared" si="782"/>
        <v>0</v>
      </c>
      <c r="P561" s="2076" t="s">
        <v>39</v>
      </c>
      <c r="Q561" s="2008" t="s">
        <v>39</v>
      </c>
      <c r="R561" s="2011" t="s">
        <v>74</v>
      </c>
      <c r="S561" s="912">
        <f>SUMIF('Data Input sheet'!$B$118:$B$180,R561,'Data Input sheet'!$D$118:$D$180)</f>
        <v>152</v>
      </c>
      <c r="T561" s="2686">
        <f t="shared" si="783"/>
        <v>0</v>
      </c>
      <c r="U561" s="2013">
        <v>0</v>
      </c>
      <c r="V561" s="1981">
        <f t="shared" si="762"/>
        <v>0</v>
      </c>
      <c r="W561" s="2045">
        <v>1.25</v>
      </c>
      <c r="X561" s="2502"/>
      <c r="Y561" s="2047">
        <v>0</v>
      </c>
      <c r="Z561" s="780">
        <f t="shared" si="784"/>
        <v>1.25</v>
      </c>
      <c r="AA561" s="2007"/>
      <c r="AB561" s="2007"/>
      <c r="AC561" s="765"/>
      <c r="AD561" s="781">
        <f t="shared" si="763"/>
        <v>0</v>
      </c>
      <c r="AE561" s="778">
        <f t="shared" si="764"/>
        <v>0</v>
      </c>
      <c r="AF561" s="781">
        <f t="shared" si="765"/>
        <v>0</v>
      </c>
      <c r="AG561" s="781">
        <f t="shared" si="766"/>
        <v>0</v>
      </c>
      <c r="AH561" s="781">
        <f t="shared" si="767"/>
        <v>0</v>
      </c>
      <c r="AI561" s="782">
        <f t="shared" si="768"/>
        <v>0</v>
      </c>
      <c r="AJ561" s="781">
        <f t="shared" si="769"/>
        <v>0</v>
      </c>
      <c r="AK561" s="781">
        <f t="shared" si="770"/>
        <v>0</v>
      </c>
      <c r="AL561" s="781">
        <f t="shared" si="771"/>
        <v>0</v>
      </c>
      <c r="AM561" s="781">
        <f t="shared" si="772"/>
        <v>0</v>
      </c>
      <c r="AN561" s="781">
        <f t="shared" si="773"/>
        <v>0</v>
      </c>
      <c r="AO561" s="781">
        <f t="shared" si="774"/>
        <v>0</v>
      </c>
      <c r="AP561" s="781">
        <f t="shared" si="775"/>
        <v>0</v>
      </c>
      <c r="AQ561" s="781">
        <f t="shared" si="776"/>
        <v>0</v>
      </c>
      <c r="AR561" s="781">
        <f t="shared" si="777"/>
        <v>0</v>
      </c>
      <c r="AS561" s="783">
        <f t="shared" si="778"/>
        <v>0</v>
      </c>
    </row>
    <row r="562" spans="1:65" ht="15.75" hidden="1" outlineLevel="2" thickBot="1" x14ac:dyDescent="0.3">
      <c r="A562" s="784"/>
      <c r="B562" s="904">
        <f t="shared" si="760"/>
        <v>544</v>
      </c>
      <c r="C562" s="170" t="str">
        <f t="shared" si="757"/>
        <v>37EA</v>
      </c>
      <c r="D562" s="557"/>
      <c r="E562" s="170"/>
      <c r="F562" s="170">
        <v>37</v>
      </c>
      <c r="G562" s="2068" t="s">
        <v>1695</v>
      </c>
      <c r="H562" s="2039"/>
      <c r="I562" s="2008" t="s">
        <v>732</v>
      </c>
      <c r="J562" s="2039"/>
      <c r="K562" s="2039"/>
      <c r="L562" s="488"/>
      <c r="M562" s="2041">
        <v>0</v>
      </c>
      <c r="N562" s="2043">
        <v>1</v>
      </c>
      <c r="O562" s="1967">
        <f t="shared" si="779"/>
        <v>0</v>
      </c>
      <c r="P562" s="2076" t="s">
        <v>39</v>
      </c>
      <c r="Q562" s="2008" t="s">
        <v>39</v>
      </c>
      <c r="R562" s="2011" t="s">
        <v>74</v>
      </c>
      <c r="S562" s="912">
        <f>SUMIF('Data Input sheet'!$B$118:$B$180,R562,'Data Input sheet'!$D$118:$D$180)</f>
        <v>152</v>
      </c>
      <c r="T562" s="2686">
        <f t="shared" si="780"/>
        <v>0</v>
      </c>
      <c r="U562" s="2013">
        <v>0</v>
      </c>
      <c r="V562" s="1981">
        <f t="shared" si="762"/>
        <v>0</v>
      </c>
      <c r="W562" s="2045">
        <v>2.5</v>
      </c>
      <c r="X562" s="2502"/>
      <c r="Y562" s="2047">
        <v>0</v>
      </c>
      <c r="Z562" s="780">
        <f t="shared" si="781"/>
        <v>2.5</v>
      </c>
      <c r="AA562" s="2007"/>
      <c r="AB562" s="2007"/>
      <c r="AC562" s="765"/>
      <c r="AD562" s="781">
        <f t="shared" si="763"/>
        <v>0</v>
      </c>
      <c r="AE562" s="778">
        <f t="shared" si="764"/>
        <v>0</v>
      </c>
      <c r="AF562" s="781">
        <f t="shared" si="765"/>
        <v>0</v>
      </c>
      <c r="AG562" s="781">
        <f t="shared" si="766"/>
        <v>0</v>
      </c>
      <c r="AH562" s="781">
        <f t="shared" si="767"/>
        <v>0</v>
      </c>
      <c r="AI562" s="782">
        <f t="shared" si="768"/>
        <v>0</v>
      </c>
      <c r="AJ562" s="781">
        <f t="shared" si="769"/>
        <v>0</v>
      </c>
      <c r="AK562" s="781">
        <f t="shared" si="770"/>
        <v>0</v>
      </c>
      <c r="AL562" s="781">
        <f t="shared" si="771"/>
        <v>0</v>
      </c>
      <c r="AM562" s="781">
        <f t="shared" si="772"/>
        <v>0</v>
      </c>
      <c r="AN562" s="781">
        <f t="shared" si="773"/>
        <v>0</v>
      </c>
      <c r="AO562" s="781">
        <f t="shared" si="774"/>
        <v>0</v>
      </c>
      <c r="AP562" s="781">
        <f t="shared" si="775"/>
        <v>0</v>
      </c>
      <c r="AQ562" s="781">
        <f t="shared" si="776"/>
        <v>0</v>
      </c>
      <c r="AR562" s="781">
        <f t="shared" si="777"/>
        <v>0</v>
      </c>
      <c r="AS562" s="783">
        <f t="shared" si="778"/>
        <v>0</v>
      </c>
      <c r="AT562" s="917"/>
      <c r="AW562" s="832"/>
      <c r="AX562" s="833"/>
    </row>
    <row r="563" spans="1:65" ht="21" customHeight="1" collapsed="1" thickBot="1" x14ac:dyDescent="0.3">
      <c r="A563" s="787"/>
      <c r="B563" s="904">
        <f t="shared" si="760"/>
        <v>545</v>
      </c>
      <c r="C563" s="170" t="str">
        <f t="shared" si="757"/>
        <v/>
      </c>
      <c r="D563" s="906"/>
      <c r="E563" s="170"/>
      <c r="F563" s="170"/>
      <c r="G563" s="2637" t="s">
        <v>3285</v>
      </c>
      <c r="H563" s="2641">
        <v>1</v>
      </c>
      <c r="I563" s="2008"/>
      <c r="J563" s="2039"/>
      <c r="K563" s="2039"/>
      <c r="L563" s="488"/>
      <c r="M563" s="2041">
        <v>0</v>
      </c>
      <c r="N563" s="2043"/>
      <c r="O563" s="2499">
        <f t="shared" si="396"/>
        <v>0</v>
      </c>
      <c r="P563" s="2076"/>
      <c r="Q563" s="2008"/>
      <c r="R563" s="2011"/>
      <c r="S563" s="912">
        <f>SUMIF('Data Input sheet'!$B$118:$B$180,R563,'Data Input sheet'!$D$118:$D$180)</f>
        <v>0</v>
      </c>
      <c r="T563" s="2685">
        <f t="shared" si="397"/>
        <v>0</v>
      </c>
      <c r="U563" s="2013">
        <v>0</v>
      </c>
      <c r="V563" s="2501">
        <f t="shared" ref="V563:V610" si="785">ROUND(U563*O563,0)</f>
        <v>0</v>
      </c>
      <c r="W563" s="2046"/>
      <c r="X563" s="2502"/>
      <c r="Y563" s="2047">
        <v>0</v>
      </c>
      <c r="Z563" s="2500">
        <f t="shared" si="398"/>
        <v>0</v>
      </c>
      <c r="AA563" s="2007"/>
      <c r="AB563" s="2007"/>
      <c r="AC563" s="765"/>
      <c r="AD563" s="781">
        <f t="shared" si="705"/>
        <v>0</v>
      </c>
      <c r="AE563" s="778">
        <f t="shared" si="706"/>
        <v>0</v>
      </c>
      <c r="AF563" s="781">
        <f t="shared" si="707"/>
        <v>0</v>
      </c>
      <c r="AG563" s="781">
        <f t="shared" si="708"/>
        <v>0</v>
      </c>
      <c r="AH563" s="781">
        <f t="shared" si="709"/>
        <v>0</v>
      </c>
      <c r="AI563" s="782">
        <f t="shared" si="710"/>
        <v>0</v>
      </c>
      <c r="AJ563" s="781">
        <f t="shared" si="711"/>
        <v>0</v>
      </c>
      <c r="AK563" s="781">
        <f t="shared" si="712"/>
        <v>0</v>
      </c>
      <c r="AL563" s="781">
        <f t="shared" si="713"/>
        <v>0</v>
      </c>
      <c r="AM563" s="781">
        <f t="shared" si="714"/>
        <v>0</v>
      </c>
      <c r="AN563" s="781">
        <f t="shared" si="715"/>
        <v>0</v>
      </c>
      <c r="AO563" s="781">
        <f t="shared" si="716"/>
        <v>0</v>
      </c>
      <c r="AP563" s="781">
        <f t="shared" si="717"/>
        <v>0</v>
      </c>
      <c r="AQ563" s="781">
        <f t="shared" si="718"/>
        <v>0</v>
      </c>
      <c r="AR563" s="781">
        <f t="shared" si="719"/>
        <v>0</v>
      </c>
      <c r="AS563" s="783">
        <f t="shared" si="720"/>
        <v>0</v>
      </c>
      <c r="AT563" s="917"/>
      <c r="AV563" s="721"/>
      <c r="AW563" s="832"/>
      <c r="AX563" s="833" t="s">
        <v>3030</v>
      </c>
      <c r="BM563" s="2046"/>
    </row>
    <row r="564" spans="1:65" ht="15" hidden="1" outlineLevel="1" x14ac:dyDescent="0.25">
      <c r="A564" s="787"/>
      <c r="B564" s="904">
        <f t="shared" si="760"/>
        <v>546</v>
      </c>
      <c r="C564" s="170" t="str">
        <f t="shared" si="757"/>
        <v>25LF</v>
      </c>
      <c r="D564" s="906"/>
      <c r="E564" s="170"/>
      <c r="F564" s="170">
        <v>25</v>
      </c>
      <c r="G564" s="2007" t="s">
        <v>2484</v>
      </c>
      <c r="H564" s="1926"/>
      <c r="I564" s="2008" t="s">
        <v>728</v>
      </c>
      <c r="J564" s="1926"/>
      <c r="K564" s="1926"/>
      <c r="L564" s="488"/>
      <c r="M564" s="2009">
        <v>0.1</v>
      </c>
      <c r="N564" s="2010">
        <v>1</v>
      </c>
      <c r="O564" s="773">
        <f t="shared" si="396"/>
        <v>0.1</v>
      </c>
      <c r="P564" s="2076" t="s">
        <v>39</v>
      </c>
      <c r="Q564" s="2008" t="s">
        <v>39</v>
      </c>
      <c r="R564" s="2011" t="s">
        <v>74</v>
      </c>
      <c r="S564" s="912">
        <f>SUMIF('Data Input sheet'!$B$118:$B$180,R564,'Data Input sheet'!$D$118:$D$180)</f>
        <v>152</v>
      </c>
      <c r="T564" s="2685">
        <f t="shared" si="397"/>
        <v>15.200000000000001</v>
      </c>
      <c r="U564" s="2013">
        <v>14.8</v>
      </c>
      <c r="V564" s="778">
        <f t="shared" si="785"/>
        <v>1</v>
      </c>
      <c r="W564" s="2010">
        <v>3.8370000000000002</v>
      </c>
      <c r="X564" s="779"/>
      <c r="Y564" s="2012">
        <v>0</v>
      </c>
      <c r="Z564" s="780">
        <f t="shared" si="398"/>
        <v>20.037000000000003</v>
      </c>
      <c r="AA564" s="2007" t="s">
        <v>3310</v>
      </c>
      <c r="AB564" s="2007"/>
      <c r="AC564" s="765"/>
      <c r="AD564" s="781">
        <f t="shared" si="705"/>
        <v>0</v>
      </c>
      <c r="AE564" s="778">
        <f t="shared" si="706"/>
        <v>0</v>
      </c>
      <c r="AF564" s="781">
        <f t="shared" si="707"/>
        <v>0</v>
      </c>
      <c r="AG564" s="781">
        <f t="shared" si="708"/>
        <v>0</v>
      </c>
      <c r="AH564" s="781">
        <f t="shared" si="709"/>
        <v>0</v>
      </c>
      <c r="AI564" s="782">
        <f t="shared" si="710"/>
        <v>0</v>
      </c>
      <c r="AJ564" s="781">
        <f t="shared" si="711"/>
        <v>0</v>
      </c>
      <c r="AK564" s="781">
        <f t="shared" si="712"/>
        <v>0</v>
      </c>
      <c r="AL564" s="781">
        <f t="shared" si="713"/>
        <v>0</v>
      </c>
      <c r="AM564" s="781">
        <f t="shared" si="714"/>
        <v>0</v>
      </c>
      <c r="AN564" s="781">
        <f t="shared" si="715"/>
        <v>0</v>
      </c>
      <c r="AO564" s="781">
        <f t="shared" si="716"/>
        <v>0</v>
      </c>
      <c r="AP564" s="781">
        <f t="shared" si="717"/>
        <v>0</v>
      </c>
      <c r="AQ564" s="781">
        <f t="shared" si="718"/>
        <v>0</v>
      </c>
      <c r="AR564" s="781">
        <f t="shared" si="719"/>
        <v>0</v>
      </c>
      <c r="AS564" s="783">
        <f t="shared" si="720"/>
        <v>0</v>
      </c>
      <c r="AT564" s="917"/>
      <c r="AV564" s="721"/>
      <c r="AW564" s="832"/>
      <c r="AX564" s="833" t="s">
        <v>3030</v>
      </c>
      <c r="BM564" s="2010">
        <v>3.75</v>
      </c>
    </row>
    <row r="565" spans="1:65" ht="15" hidden="1" outlineLevel="1" x14ac:dyDescent="0.25">
      <c r="A565" s="787"/>
      <c r="B565" s="904">
        <f t="shared" si="760"/>
        <v>547</v>
      </c>
      <c r="C565" s="170" t="str">
        <f t="shared" si="757"/>
        <v>25EA</v>
      </c>
      <c r="D565" s="906"/>
      <c r="E565" s="170"/>
      <c r="F565" s="170">
        <v>25</v>
      </c>
      <c r="G565" s="2007" t="s">
        <v>2486</v>
      </c>
      <c r="H565" s="1926"/>
      <c r="I565" s="2008" t="s">
        <v>732</v>
      </c>
      <c r="J565" s="1926"/>
      <c r="K565" s="1926"/>
      <c r="L565" s="488"/>
      <c r="M565" s="2009">
        <v>0.5</v>
      </c>
      <c r="N565" s="2010">
        <v>1</v>
      </c>
      <c r="O565" s="773">
        <f t="shared" si="396"/>
        <v>0.5</v>
      </c>
      <c r="P565" s="2076" t="s">
        <v>39</v>
      </c>
      <c r="Q565" s="2008" t="s">
        <v>39</v>
      </c>
      <c r="R565" s="2011" t="s">
        <v>74</v>
      </c>
      <c r="S565" s="912">
        <f>SUMIF('Data Input sheet'!$B$118:$B$180,R565,'Data Input sheet'!$D$118:$D$180)</f>
        <v>152</v>
      </c>
      <c r="T565" s="2685">
        <f t="shared" si="397"/>
        <v>76</v>
      </c>
      <c r="U565" s="2013">
        <v>14.8</v>
      </c>
      <c r="V565" s="778">
        <f t="shared" si="785"/>
        <v>7</v>
      </c>
      <c r="W565" s="2010">
        <v>16</v>
      </c>
      <c r="X565" s="779"/>
      <c r="Y565" s="2012">
        <v>0</v>
      </c>
      <c r="Z565" s="780">
        <f t="shared" si="398"/>
        <v>99</v>
      </c>
      <c r="AA565" s="2007"/>
      <c r="AB565" s="2007"/>
      <c r="AC565" s="765"/>
      <c r="AD565" s="781">
        <f t="shared" si="705"/>
        <v>0</v>
      </c>
      <c r="AE565" s="778">
        <f t="shared" si="706"/>
        <v>0</v>
      </c>
      <c r="AF565" s="781">
        <f t="shared" si="707"/>
        <v>0</v>
      </c>
      <c r="AG565" s="781">
        <f t="shared" si="708"/>
        <v>0</v>
      </c>
      <c r="AH565" s="781">
        <f t="shared" si="709"/>
        <v>0</v>
      </c>
      <c r="AI565" s="782">
        <f t="shared" si="710"/>
        <v>0</v>
      </c>
      <c r="AJ565" s="781">
        <f t="shared" si="711"/>
        <v>0</v>
      </c>
      <c r="AK565" s="781">
        <f t="shared" si="712"/>
        <v>0</v>
      </c>
      <c r="AL565" s="781">
        <f t="shared" si="713"/>
        <v>0</v>
      </c>
      <c r="AM565" s="781">
        <f t="shared" si="714"/>
        <v>0</v>
      </c>
      <c r="AN565" s="781">
        <f t="shared" si="715"/>
        <v>0</v>
      </c>
      <c r="AO565" s="781">
        <f t="shared" si="716"/>
        <v>0</v>
      </c>
      <c r="AP565" s="781">
        <f t="shared" si="717"/>
        <v>0</v>
      </c>
      <c r="AQ565" s="781">
        <f t="shared" si="718"/>
        <v>0</v>
      </c>
      <c r="AR565" s="781">
        <f t="shared" si="719"/>
        <v>0</v>
      </c>
      <c r="AS565" s="783">
        <f t="shared" si="720"/>
        <v>0</v>
      </c>
      <c r="AT565" s="917"/>
      <c r="AV565" s="721"/>
      <c r="AW565" s="832"/>
      <c r="AX565" s="833" t="s">
        <v>3030</v>
      </c>
      <c r="BM565" s="2010">
        <v>16</v>
      </c>
    </row>
    <row r="566" spans="1:65" ht="25.5" hidden="1" outlineLevel="1" x14ac:dyDescent="0.25">
      <c r="A566" s="787"/>
      <c r="B566" s="904">
        <f t="shared" si="760"/>
        <v>548</v>
      </c>
      <c r="C566" s="170" t="str">
        <f t="shared" si="757"/>
        <v>25EA</v>
      </c>
      <c r="D566" s="906"/>
      <c r="E566" s="170"/>
      <c r="F566" s="170">
        <v>25</v>
      </c>
      <c r="G566" s="2007" t="s">
        <v>2485</v>
      </c>
      <c r="H566" s="1926"/>
      <c r="I566" s="2008" t="s">
        <v>732</v>
      </c>
      <c r="J566" s="1926"/>
      <c r="K566" s="1926"/>
      <c r="L566" s="488"/>
      <c r="M566" s="2009">
        <v>0.1</v>
      </c>
      <c r="N566" s="2010">
        <v>1</v>
      </c>
      <c r="O566" s="773">
        <f t="shared" si="396"/>
        <v>0.1</v>
      </c>
      <c r="P566" s="2076" t="s">
        <v>39</v>
      </c>
      <c r="Q566" s="2008" t="s">
        <v>39</v>
      </c>
      <c r="R566" s="2011" t="s">
        <v>74</v>
      </c>
      <c r="S566" s="912">
        <f>SUMIF('Data Input sheet'!$B$118:$B$180,R566,'Data Input sheet'!$D$118:$D$180)</f>
        <v>152</v>
      </c>
      <c r="T566" s="2685">
        <f t="shared" si="397"/>
        <v>15.200000000000001</v>
      </c>
      <c r="U566" s="2013">
        <v>14.8</v>
      </c>
      <c r="V566" s="778">
        <f t="shared" si="785"/>
        <v>1</v>
      </c>
      <c r="W566" s="2010">
        <v>13.5</v>
      </c>
      <c r="X566" s="779"/>
      <c r="Y566" s="2012">
        <v>0</v>
      </c>
      <c r="Z566" s="780">
        <f t="shared" si="398"/>
        <v>29.700000000000003</v>
      </c>
      <c r="AA566" s="2007"/>
      <c r="AB566" s="2007"/>
      <c r="AC566" s="765"/>
      <c r="AD566" s="781">
        <f t="shared" si="705"/>
        <v>0</v>
      </c>
      <c r="AE566" s="778">
        <f t="shared" si="706"/>
        <v>0</v>
      </c>
      <c r="AF566" s="781">
        <f t="shared" si="707"/>
        <v>0</v>
      </c>
      <c r="AG566" s="781">
        <f t="shared" si="708"/>
        <v>0</v>
      </c>
      <c r="AH566" s="781">
        <f t="shared" si="709"/>
        <v>0</v>
      </c>
      <c r="AI566" s="782">
        <f t="shared" si="710"/>
        <v>0</v>
      </c>
      <c r="AJ566" s="781">
        <f t="shared" si="711"/>
        <v>0</v>
      </c>
      <c r="AK566" s="781">
        <f t="shared" si="712"/>
        <v>0</v>
      </c>
      <c r="AL566" s="781">
        <f t="shared" si="713"/>
        <v>0</v>
      </c>
      <c r="AM566" s="781">
        <f t="shared" si="714"/>
        <v>0</v>
      </c>
      <c r="AN566" s="781">
        <f t="shared" si="715"/>
        <v>0</v>
      </c>
      <c r="AO566" s="781">
        <f t="shared" si="716"/>
        <v>0</v>
      </c>
      <c r="AP566" s="781">
        <f t="shared" si="717"/>
        <v>0</v>
      </c>
      <c r="AQ566" s="781">
        <f t="shared" si="718"/>
        <v>0</v>
      </c>
      <c r="AR566" s="781">
        <f t="shared" si="719"/>
        <v>0</v>
      </c>
      <c r="AS566" s="783">
        <f t="shared" si="720"/>
        <v>0</v>
      </c>
      <c r="AT566" s="917"/>
      <c r="AV566" s="721"/>
      <c r="AW566" s="832"/>
      <c r="AX566" s="833"/>
      <c r="BM566" s="2010">
        <v>13.5</v>
      </c>
    </row>
    <row r="567" spans="1:65" ht="15" hidden="1" outlineLevel="1" x14ac:dyDescent="0.25">
      <c r="A567" s="787"/>
      <c r="B567" s="904">
        <f t="shared" si="760"/>
        <v>549</v>
      </c>
      <c r="C567" s="170" t="str">
        <f t="shared" si="757"/>
        <v>25EA</v>
      </c>
      <c r="D567" s="906"/>
      <c r="E567" s="170"/>
      <c r="F567" s="170">
        <v>25</v>
      </c>
      <c r="G567" s="2007" t="s">
        <v>2487</v>
      </c>
      <c r="H567" s="1926"/>
      <c r="I567" s="2008" t="s">
        <v>732</v>
      </c>
      <c r="J567" s="1926"/>
      <c r="K567" s="1926"/>
      <c r="L567" s="488"/>
      <c r="M567" s="2009">
        <v>0.2</v>
      </c>
      <c r="N567" s="2010">
        <v>1</v>
      </c>
      <c r="O567" s="773">
        <f t="shared" si="396"/>
        <v>0.2</v>
      </c>
      <c r="P567" s="2076" t="s">
        <v>39</v>
      </c>
      <c r="Q567" s="2008" t="s">
        <v>39</v>
      </c>
      <c r="R567" s="2011" t="s">
        <v>74</v>
      </c>
      <c r="S567" s="912">
        <f>SUMIF('Data Input sheet'!$B$118:$B$180,R567,'Data Input sheet'!$D$118:$D$180)</f>
        <v>152</v>
      </c>
      <c r="T567" s="2685">
        <f t="shared" si="397"/>
        <v>30.400000000000002</v>
      </c>
      <c r="U567" s="2013">
        <v>14.8</v>
      </c>
      <c r="V567" s="778">
        <f t="shared" si="785"/>
        <v>3</v>
      </c>
      <c r="W567" s="2010">
        <v>6</v>
      </c>
      <c r="X567" s="779"/>
      <c r="Y567" s="2012">
        <v>0</v>
      </c>
      <c r="Z567" s="780">
        <f t="shared" si="398"/>
        <v>39.400000000000006</v>
      </c>
      <c r="AA567" s="2007"/>
      <c r="AB567" s="2007"/>
      <c r="AC567" s="765"/>
      <c r="AD567" s="781">
        <f t="shared" si="705"/>
        <v>0</v>
      </c>
      <c r="AE567" s="778">
        <f t="shared" si="706"/>
        <v>0</v>
      </c>
      <c r="AF567" s="781">
        <f t="shared" si="707"/>
        <v>0</v>
      </c>
      <c r="AG567" s="781">
        <f t="shared" si="708"/>
        <v>0</v>
      </c>
      <c r="AH567" s="781">
        <f t="shared" si="709"/>
        <v>0</v>
      </c>
      <c r="AI567" s="782">
        <f t="shared" si="710"/>
        <v>0</v>
      </c>
      <c r="AJ567" s="781">
        <f t="shared" si="711"/>
        <v>0</v>
      </c>
      <c r="AK567" s="781">
        <f t="shared" si="712"/>
        <v>0</v>
      </c>
      <c r="AL567" s="781">
        <f t="shared" si="713"/>
        <v>0</v>
      </c>
      <c r="AM567" s="781">
        <f t="shared" si="714"/>
        <v>0</v>
      </c>
      <c r="AN567" s="781">
        <f t="shared" si="715"/>
        <v>0</v>
      </c>
      <c r="AO567" s="781">
        <f t="shared" si="716"/>
        <v>0</v>
      </c>
      <c r="AP567" s="781">
        <f t="shared" si="717"/>
        <v>0</v>
      </c>
      <c r="AQ567" s="781">
        <f t="shared" si="718"/>
        <v>0</v>
      </c>
      <c r="AR567" s="781">
        <f t="shared" si="719"/>
        <v>0</v>
      </c>
      <c r="AS567" s="783">
        <f t="shared" si="720"/>
        <v>0</v>
      </c>
      <c r="AT567" s="917"/>
      <c r="AV567" s="721"/>
      <c r="AW567" s="832"/>
      <c r="AX567" s="833" t="s">
        <v>3030</v>
      </c>
      <c r="BM567" s="2010">
        <v>6</v>
      </c>
    </row>
    <row r="568" spans="1:65" ht="15" hidden="1" outlineLevel="1" x14ac:dyDescent="0.25">
      <c r="A568" s="787"/>
      <c r="B568" s="904">
        <f t="shared" si="760"/>
        <v>550</v>
      </c>
      <c r="C568" s="170" t="str">
        <f t="shared" si="757"/>
        <v>25EA</v>
      </c>
      <c r="D568" s="906"/>
      <c r="E568" s="170"/>
      <c r="F568" s="170">
        <v>25</v>
      </c>
      <c r="G568" s="2007"/>
      <c r="H568" s="1926"/>
      <c r="I568" s="2008" t="s">
        <v>732</v>
      </c>
      <c r="J568" s="1926"/>
      <c r="K568" s="1926"/>
      <c r="L568" s="488"/>
      <c r="M568" s="2009">
        <v>0.2</v>
      </c>
      <c r="N568" s="2010">
        <v>1</v>
      </c>
      <c r="O568" s="773">
        <f t="shared" si="396"/>
        <v>0.2</v>
      </c>
      <c r="P568" s="2076" t="s">
        <v>39</v>
      </c>
      <c r="Q568" s="2008" t="s">
        <v>39</v>
      </c>
      <c r="R568" s="2011" t="s">
        <v>74</v>
      </c>
      <c r="S568" s="912">
        <f>SUMIF('Data Input sheet'!$B$118:$B$180,R568,'Data Input sheet'!$D$118:$D$180)</f>
        <v>152</v>
      </c>
      <c r="T568" s="2685">
        <f t="shared" si="397"/>
        <v>30.400000000000002</v>
      </c>
      <c r="U568" s="2013"/>
      <c r="V568" s="778">
        <f t="shared" si="785"/>
        <v>0</v>
      </c>
      <c r="W568" s="2010"/>
      <c r="X568" s="779"/>
      <c r="Y568" s="2012">
        <v>0</v>
      </c>
      <c r="Z568" s="780">
        <f t="shared" si="398"/>
        <v>30.400000000000002</v>
      </c>
      <c r="AA568" s="2007"/>
      <c r="AB568" s="2007"/>
      <c r="AC568" s="765"/>
      <c r="AD568" s="781">
        <f t="shared" si="705"/>
        <v>0</v>
      </c>
      <c r="AE568" s="778">
        <f t="shared" si="706"/>
        <v>0</v>
      </c>
      <c r="AF568" s="781">
        <f t="shared" si="707"/>
        <v>0</v>
      </c>
      <c r="AG568" s="781">
        <f t="shared" si="708"/>
        <v>0</v>
      </c>
      <c r="AH568" s="781">
        <f t="shared" si="709"/>
        <v>0</v>
      </c>
      <c r="AI568" s="782">
        <f t="shared" si="710"/>
        <v>0</v>
      </c>
      <c r="AJ568" s="781">
        <f t="shared" si="711"/>
        <v>0</v>
      </c>
      <c r="AK568" s="781">
        <f t="shared" si="712"/>
        <v>0</v>
      </c>
      <c r="AL568" s="781">
        <f t="shared" si="713"/>
        <v>0</v>
      </c>
      <c r="AM568" s="781">
        <f t="shared" si="714"/>
        <v>0</v>
      </c>
      <c r="AN568" s="781">
        <f t="shared" si="715"/>
        <v>0</v>
      </c>
      <c r="AO568" s="781">
        <f t="shared" si="716"/>
        <v>0</v>
      </c>
      <c r="AP568" s="781">
        <f t="shared" si="717"/>
        <v>0</v>
      </c>
      <c r="AQ568" s="781">
        <f t="shared" si="718"/>
        <v>0</v>
      </c>
      <c r="AR568" s="781">
        <f t="shared" si="719"/>
        <v>0</v>
      </c>
      <c r="AS568" s="783">
        <f t="shared" si="720"/>
        <v>0</v>
      </c>
      <c r="AT568" s="917"/>
      <c r="AV568" s="721"/>
      <c r="AW568" s="832"/>
      <c r="AX568" s="833" t="s">
        <v>3030</v>
      </c>
      <c r="BM568" s="2010">
        <v>3.75</v>
      </c>
    </row>
    <row r="569" spans="1:65" ht="15" hidden="1" outlineLevel="1" x14ac:dyDescent="0.25">
      <c r="A569" s="787"/>
      <c r="B569" s="904">
        <f t="shared" si="760"/>
        <v>551</v>
      </c>
      <c r="C569" s="170" t="str">
        <f t="shared" si="757"/>
        <v>25EA</v>
      </c>
      <c r="D569" s="906"/>
      <c r="E569" s="170"/>
      <c r="F569" s="170">
        <v>25</v>
      </c>
      <c r="G569" s="2007" t="s">
        <v>2488</v>
      </c>
      <c r="H569" s="1926"/>
      <c r="I569" s="2008" t="s">
        <v>732</v>
      </c>
      <c r="J569" s="1926"/>
      <c r="K569" s="1926"/>
      <c r="L569" s="488"/>
      <c r="M569" s="2009">
        <v>0.2</v>
      </c>
      <c r="N569" s="2010">
        <v>1</v>
      </c>
      <c r="O569" s="773">
        <f t="shared" si="396"/>
        <v>0.2</v>
      </c>
      <c r="P569" s="2076" t="s">
        <v>39</v>
      </c>
      <c r="Q569" s="2008" t="s">
        <v>39</v>
      </c>
      <c r="R569" s="2011" t="s">
        <v>74</v>
      </c>
      <c r="S569" s="912">
        <f>SUMIF('Data Input sheet'!$B$118:$B$180,R569,'Data Input sheet'!$D$118:$D$180)</f>
        <v>152</v>
      </c>
      <c r="T569" s="2685">
        <f t="shared" si="397"/>
        <v>30.400000000000002</v>
      </c>
      <c r="U569" s="2013">
        <v>14.8</v>
      </c>
      <c r="V569" s="778">
        <f t="shared" si="785"/>
        <v>3</v>
      </c>
      <c r="W569" s="2010">
        <v>4.78</v>
      </c>
      <c r="X569" s="779"/>
      <c r="Y569" s="2012">
        <v>0</v>
      </c>
      <c r="Z569" s="780">
        <f t="shared" si="398"/>
        <v>38.180000000000007</v>
      </c>
      <c r="AA569" s="2007" t="s">
        <v>3312</v>
      </c>
      <c r="AB569" s="2007"/>
      <c r="AC569" s="765"/>
      <c r="AD569" s="781">
        <f t="shared" si="705"/>
        <v>0</v>
      </c>
      <c r="AE569" s="778">
        <f t="shared" si="706"/>
        <v>0</v>
      </c>
      <c r="AF569" s="781">
        <f t="shared" si="707"/>
        <v>0</v>
      </c>
      <c r="AG569" s="781">
        <f t="shared" si="708"/>
        <v>0</v>
      </c>
      <c r="AH569" s="781">
        <f t="shared" si="709"/>
        <v>0</v>
      </c>
      <c r="AI569" s="782">
        <f t="shared" si="710"/>
        <v>0</v>
      </c>
      <c r="AJ569" s="781">
        <f t="shared" si="711"/>
        <v>0</v>
      </c>
      <c r="AK569" s="781">
        <f t="shared" si="712"/>
        <v>0</v>
      </c>
      <c r="AL569" s="781">
        <f t="shared" si="713"/>
        <v>0</v>
      </c>
      <c r="AM569" s="781">
        <f t="shared" si="714"/>
        <v>0</v>
      </c>
      <c r="AN569" s="781">
        <f t="shared" si="715"/>
        <v>0</v>
      </c>
      <c r="AO569" s="781">
        <f t="shared" si="716"/>
        <v>0</v>
      </c>
      <c r="AP569" s="781">
        <f t="shared" si="717"/>
        <v>0</v>
      </c>
      <c r="AQ569" s="781">
        <f t="shared" si="718"/>
        <v>0</v>
      </c>
      <c r="AR569" s="781">
        <f t="shared" si="719"/>
        <v>0</v>
      </c>
      <c r="AS569" s="783">
        <f t="shared" si="720"/>
        <v>0</v>
      </c>
      <c r="AT569" s="917"/>
      <c r="AV569" s="721"/>
      <c r="AW569" s="832"/>
      <c r="AX569" s="833" t="s">
        <v>3030</v>
      </c>
      <c r="BM569" s="2010">
        <v>5</v>
      </c>
    </row>
    <row r="570" spans="1:65" ht="15" hidden="1" outlineLevel="1" x14ac:dyDescent="0.25">
      <c r="A570" s="784"/>
      <c r="B570" s="904">
        <f t="shared" si="760"/>
        <v>552</v>
      </c>
      <c r="C570" s="170" t="str">
        <f t="shared" si="757"/>
        <v>83SF</v>
      </c>
      <c r="D570" s="557"/>
      <c r="E570" s="170"/>
      <c r="F570" s="721">
        <v>83</v>
      </c>
      <c r="G570" s="2007" t="s">
        <v>1160</v>
      </c>
      <c r="H570" s="1926"/>
      <c r="I570" s="2008" t="s">
        <v>740</v>
      </c>
      <c r="J570" s="1926"/>
      <c r="K570" s="1926"/>
      <c r="L570" s="488"/>
      <c r="M570" s="2009">
        <v>0.1</v>
      </c>
      <c r="N570" s="2010">
        <v>1</v>
      </c>
      <c r="O570" s="773">
        <f t="shared" ref="O570:O572" si="786">+M570*N570</f>
        <v>0.1</v>
      </c>
      <c r="P570" s="2076" t="s">
        <v>39</v>
      </c>
      <c r="Q570" s="2008" t="s">
        <v>39</v>
      </c>
      <c r="R570" s="2011" t="s">
        <v>74</v>
      </c>
      <c r="S570" s="912">
        <f>SUMIF('Data Input sheet'!$B$118:$B$180,R570,'Data Input sheet'!$D$118:$D$180)</f>
        <v>152</v>
      </c>
      <c r="T570" s="2685">
        <v>10000</v>
      </c>
      <c r="U570" s="2013">
        <v>14.8</v>
      </c>
      <c r="V570" s="778">
        <f t="shared" ref="V570:V572" si="787">ROUND(U570*O570,0)</f>
        <v>1</v>
      </c>
      <c r="W570" s="2010">
        <v>10000</v>
      </c>
      <c r="X570" s="779"/>
      <c r="Y570" s="2012"/>
      <c r="Z570" s="780">
        <f t="shared" ref="Z570:Z572" si="788">T570+V570+W570+Y570</f>
        <v>20001</v>
      </c>
      <c r="AA570" s="2007"/>
      <c r="AB570" s="2007"/>
      <c r="AC570" s="765"/>
      <c r="AD570" s="781">
        <f t="shared" ref="AD570:AD620" si="789">IF(P570="E",+ROUND(H570*O570,0),0)</f>
        <v>0</v>
      </c>
      <c r="AE570" s="778">
        <f t="shared" ref="AE570:AE620" si="790">+AF570-AD570</f>
        <v>0</v>
      </c>
      <c r="AF570" s="781">
        <f t="shared" ref="AF570:AF620" si="791">+H570*O570</f>
        <v>0</v>
      </c>
      <c r="AG570" s="781">
        <f t="shared" ref="AG570:AG620" si="792">IF(P570="E",+ROUND(T570*H570,0),0)</f>
        <v>0</v>
      </c>
      <c r="AH570" s="781">
        <f t="shared" ref="AH570:AH620" si="793">+AI570-AG570</f>
        <v>0</v>
      </c>
      <c r="AI570" s="782">
        <f t="shared" ref="AI570:AI620" si="794">+H570*T570</f>
        <v>0</v>
      </c>
      <c r="AJ570" s="781">
        <f t="shared" ref="AJ570:AJ620" si="795">IF(P570="E",+ROUND(V570*H570,0),0)</f>
        <v>0</v>
      </c>
      <c r="AK570" s="781">
        <f t="shared" ref="AK570:AK620" si="796">+AL570-AJ570</f>
        <v>0</v>
      </c>
      <c r="AL570" s="781">
        <f t="shared" ref="AL570:AL620" si="797">ROUND(V570*H570,0)</f>
        <v>0</v>
      </c>
      <c r="AM570" s="781">
        <f t="shared" ref="AM570:AM620" si="798">IF(Q570="E",+ROUND(W570*H570,0),0)</f>
        <v>0</v>
      </c>
      <c r="AN570" s="781">
        <f t="shared" ref="AN570:AN620" si="799">+AO570-AM570</f>
        <v>0</v>
      </c>
      <c r="AO570" s="781">
        <f t="shared" ref="AO570:AO620" si="800">ROUND(W570*H570,0)</f>
        <v>0</v>
      </c>
      <c r="AP570" s="781">
        <f t="shared" ref="AP570:AP620" si="801">IF(P570="E",+ROUND(Y570*H570,0),0)</f>
        <v>0</v>
      </c>
      <c r="AQ570" s="781">
        <f t="shared" ref="AQ570:AQ620" si="802">+AR570-AP570</f>
        <v>0</v>
      </c>
      <c r="AR570" s="781">
        <f t="shared" ref="AR570:AR620" si="803">ROUND(Y570*H570,0)</f>
        <v>0</v>
      </c>
      <c r="AS570" s="783">
        <f t="shared" ref="AS570:AS620" si="804">+AR570+AO570+AL570+AI570</f>
        <v>0</v>
      </c>
      <c r="AT570" s="917"/>
      <c r="AW570" s="832"/>
      <c r="AX570" s="833" t="s">
        <v>3030</v>
      </c>
      <c r="BM570" s="2010">
        <v>10000</v>
      </c>
    </row>
    <row r="571" spans="1:65" ht="15" hidden="1" outlineLevel="1" x14ac:dyDescent="0.25">
      <c r="A571" s="787"/>
      <c r="B571" s="904">
        <f t="shared" si="760"/>
        <v>553</v>
      </c>
      <c r="C571" s="170" t="str">
        <f t="shared" si="757"/>
        <v>25EA</v>
      </c>
      <c r="D571" s="906"/>
      <c r="E571" s="170"/>
      <c r="F571" s="170">
        <v>25</v>
      </c>
      <c r="G571" s="2007" t="s">
        <v>3169</v>
      </c>
      <c r="H571" s="1926"/>
      <c r="I571" s="2008" t="s">
        <v>732</v>
      </c>
      <c r="J571" s="1926"/>
      <c r="K571" s="1926"/>
      <c r="L571" s="488"/>
      <c r="M571" s="2009">
        <v>35</v>
      </c>
      <c r="N571" s="2010">
        <v>1</v>
      </c>
      <c r="O571" s="773">
        <f t="shared" si="786"/>
        <v>35</v>
      </c>
      <c r="P571" s="2076" t="s">
        <v>39</v>
      </c>
      <c r="Q571" s="2008" t="s">
        <v>39</v>
      </c>
      <c r="R571" s="2011" t="s">
        <v>74</v>
      </c>
      <c r="S571" s="912">
        <f>SUMIF('Data Input sheet'!$B$118:$B$180,R571,'Data Input sheet'!$D$118:$D$180)</f>
        <v>152</v>
      </c>
      <c r="T571" s="2685">
        <f t="shared" ref="T571" si="805">+O571*S571</f>
        <v>5320</v>
      </c>
      <c r="U571" s="2013">
        <v>14.8</v>
      </c>
      <c r="V571" s="778">
        <f t="shared" si="787"/>
        <v>518</v>
      </c>
      <c r="W571" s="2010">
        <v>3.75</v>
      </c>
      <c r="X571" s="779"/>
      <c r="Y571" s="2012">
        <v>0</v>
      </c>
      <c r="Z571" s="780">
        <f t="shared" si="788"/>
        <v>5841.75</v>
      </c>
      <c r="AA571" s="2007"/>
      <c r="AB571" s="2007"/>
      <c r="AC571" s="765"/>
      <c r="AD571" s="781">
        <f t="shared" si="789"/>
        <v>0</v>
      </c>
      <c r="AE571" s="778">
        <f t="shared" si="790"/>
        <v>0</v>
      </c>
      <c r="AF571" s="781">
        <f t="shared" si="791"/>
        <v>0</v>
      </c>
      <c r="AG571" s="781">
        <f t="shared" si="792"/>
        <v>0</v>
      </c>
      <c r="AH571" s="781">
        <f t="shared" si="793"/>
        <v>0</v>
      </c>
      <c r="AI571" s="782">
        <f t="shared" si="794"/>
        <v>0</v>
      </c>
      <c r="AJ571" s="781">
        <f t="shared" si="795"/>
        <v>0</v>
      </c>
      <c r="AK571" s="781">
        <f t="shared" si="796"/>
        <v>0</v>
      </c>
      <c r="AL571" s="781">
        <f t="shared" si="797"/>
        <v>0</v>
      </c>
      <c r="AM571" s="781">
        <f t="shared" si="798"/>
        <v>0</v>
      </c>
      <c r="AN571" s="781">
        <f t="shared" si="799"/>
        <v>0</v>
      </c>
      <c r="AO571" s="781">
        <f t="shared" si="800"/>
        <v>0</v>
      </c>
      <c r="AP571" s="781">
        <f t="shared" si="801"/>
        <v>0</v>
      </c>
      <c r="AQ571" s="781">
        <f t="shared" si="802"/>
        <v>0</v>
      </c>
      <c r="AR571" s="781">
        <f t="shared" si="803"/>
        <v>0</v>
      </c>
      <c r="AS571" s="783">
        <f t="shared" si="804"/>
        <v>0</v>
      </c>
      <c r="AT571" s="917"/>
      <c r="AV571" s="721"/>
      <c r="AW571" s="832"/>
      <c r="AX571" s="2490" t="s">
        <v>3170</v>
      </c>
      <c r="BM571" s="2010">
        <v>3.75</v>
      </c>
    </row>
    <row r="572" spans="1:65" ht="15" hidden="1" outlineLevel="1" x14ac:dyDescent="0.25">
      <c r="A572" s="787"/>
      <c r="B572" s="904">
        <f t="shared" si="760"/>
        <v>554</v>
      </c>
      <c r="C572" s="170" t="str">
        <f t="shared" si="757"/>
        <v>25EA</v>
      </c>
      <c r="D572" s="906"/>
      <c r="E572" s="170"/>
      <c r="F572" s="170">
        <v>25</v>
      </c>
      <c r="G572" s="2007" t="s">
        <v>3311</v>
      </c>
      <c r="H572" s="1926"/>
      <c r="I572" s="2008" t="s">
        <v>732</v>
      </c>
      <c r="J572" s="1926"/>
      <c r="K572" s="1926"/>
      <c r="L572" s="488"/>
      <c r="M572" s="2009">
        <v>0.1</v>
      </c>
      <c r="N572" s="2010">
        <v>1</v>
      </c>
      <c r="O572" s="773">
        <f t="shared" si="786"/>
        <v>0.1</v>
      </c>
      <c r="P572" s="2076" t="s">
        <v>39</v>
      </c>
      <c r="Q572" s="2008" t="s">
        <v>39</v>
      </c>
      <c r="R572" s="2011" t="s">
        <v>74</v>
      </c>
      <c r="S572" s="912">
        <f>SUMIF('Data Input sheet'!$B$118:$B$180,R572,'Data Input sheet'!$D$118:$D$180)</f>
        <v>152</v>
      </c>
      <c r="T572" s="2685">
        <f t="shared" ref="T572" si="806">+O572*S572</f>
        <v>15.200000000000001</v>
      </c>
      <c r="U572" s="2013">
        <v>14.8</v>
      </c>
      <c r="V572" s="778">
        <f t="shared" si="787"/>
        <v>1</v>
      </c>
      <c r="W572" s="2010">
        <v>2.3865114624000001</v>
      </c>
      <c r="X572" s="779"/>
      <c r="Y572" s="2012"/>
      <c r="Z572" s="780">
        <f t="shared" si="788"/>
        <v>18.586511462400004</v>
      </c>
      <c r="AA572" s="2007"/>
      <c r="AB572" s="2007"/>
      <c r="AC572" s="765"/>
      <c r="AD572" s="781">
        <f t="shared" si="789"/>
        <v>0</v>
      </c>
      <c r="AE572" s="778">
        <f t="shared" si="790"/>
        <v>0</v>
      </c>
      <c r="AF572" s="781">
        <f t="shared" si="791"/>
        <v>0</v>
      </c>
      <c r="AG572" s="781">
        <f t="shared" si="792"/>
        <v>0</v>
      </c>
      <c r="AH572" s="781">
        <f t="shared" si="793"/>
        <v>0</v>
      </c>
      <c r="AI572" s="782">
        <f t="shared" si="794"/>
        <v>0</v>
      </c>
      <c r="AJ572" s="781">
        <f t="shared" si="795"/>
        <v>0</v>
      </c>
      <c r="AK572" s="781">
        <f t="shared" si="796"/>
        <v>0</v>
      </c>
      <c r="AL572" s="781">
        <f t="shared" si="797"/>
        <v>0</v>
      </c>
      <c r="AM572" s="781">
        <f t="shared" si="798"/>
        <v>0</v>
      </c>
      <c r="AN572" s="781">
        <f t="shared" si="799"/>
        <v>0</v>
      </c>
      <c r="AO572" s="781">
        <f t="shared" si="800"/>
        <v>0</v>
      </c>
      <c r="AP572" s="781">
        <f t="shared" si="801"/>
        <v>0</v>
      </c>
      <c r="AQ572" s="781">
        <f t="shared" si="802"/>
        <v>0</v>
      </c>
      <c r="AR572" s="781">
        <f t="shared" si="803"/>
        <v>0</v>
      </c>
      <c r="AS572" s="783">
        <f t="shared" si="804"/>
        <v>0</v>
      </c>
      <c r="AT572" s="917"/>
      <c r="AV572" s="721"/>
      <c r="AW572" s="832"/>
      <c r="AX572" s="833" t="s">
        <v>3168</v>
      </c>
      <c r="BM572" s="2010">
        <v>2.3865114624000001</v>
      </c>
    </row>
    <row r="573" spans="1:65" ht="15" hidden="1" outlineLevel="1" x14ac:dyDescent="0.25">
      <c r="A573" s="787"/>
      <c r="B573" s="904">
        <f t="shared" si="760"/>
        <v>555</v>
      </c>
      <c r="C573" s="170" t="str">
        <f t="shared" si="757"/>
        <v>0EA</v>
      </c>
      <c r="D573" s="906"/>
      <c r="E573" s="170"/>
      <c r="F573" s="170">
        <v>0</v>
      </c>
      <c r="G573" s="2007"/>
      <c r="H573" s="1926"/>
      <c r="I573" s="2008" t="s">
        <v>732</v>
      </c>
      <c r="J573" s="1926"/>
      <c r="K573" s="1926"/>
      <c r="L573" s="488"/>
      <c r="M573" s="2009"/>
      <c r="N573" s="2010">
        <v>1</v>
      </c>
      <c r="O573" s="773">
        <f t="shared" si="396"/>
        <v>0</v>
      </c>
      <c r="P573" s="2076" t="s">
        <v>39</v>
      </c>
      <c r="Q573" s="2008" t="s">
        <v>39</v>
      </c>
      <c r="R573" s="2011" t="s">
        <v>74</v>
      </c>
      <c r="S573" s="912">
        <f>SUMIF('Data Input sheet'!$B$118:$B$180,R573,'Data Input sheet'!$D$118:$D$180)</f>
        <v>152</v>
      </c>
      <c r="T573" s="2685">
        <f t="shared" si="397"/>
        <v>0</v>
      </c>
      <c r="U573" s="2013">
        <v>0</v>
      </c>
      <c r="V573" s="778">
        <f t="shared" si="785"/>
        <v>0</v>
      </c>
      <c r="W573" s="2010"/>
      <c r="X573" s="779"/>
      <c r="Y573" s="2012"/>
      <c r="Z573" s="780">
        <f t="shared" si="398"/>
        <v>0</v>
      </c>
      <c r="AA573" s="2007"/>
      <c r="AB573" s="2007"/>
      <c r="AC573" s="765"/>
      <c r="AD573" s="781">
        <f t="shared" si="789"/>
        <v>0</v>
      </c>
      <c r="AE573" s="778">
        <f t="shared" si="790"/>
        <v>0</v>
      </c>
      <c r="AF573" s="781">
        <f t="shared" si="791"/>
        <v>0</v>
      </c>
      <c r="AG573" s="781">
        <f t="shared" si="792"/>
        <v>0</v>
      </c>
      <c r="AH573" s="781">
        <f t="shared" si="793"/>
        <v>0</v>
      </c>
      <c r="AI573" s="782">
        <f t="shared" si="794"/>
        <v>0</v>
      </c>
      <c r="AJ573" s="781">
        <f t="shared" si="795"/>
        <v>0</v>
      </c>
      <c r="AK573" s="781">
        <f t="shared" si="796"/>
        <v>0</v>
      </c>
      <c r="AL573" s="781">
        <f t="shared" si="797"/>
        <v>0</v>
      </c>
      <c r="AM573" s="781">
        <f t="shared" si="798"/>
        <v>0</v>
      </c>
      <c r="AN573" s="781">
        <f t="shared" si="799"/>
        <v>0</v>
      </c>
      <c r="AO573" s="781">
        <f t="shared" si="800"/>
        <v>0</v>
      </c>
      <c r="AP573" s="781">
        <f t="shared" si="801"/>
        <v>0</v>
      </c>
      <c r="AQ573" s="781">
        <f t="shared" si="802"/>
        <v>0</v>
      </c>
      <c r="AR573" s="781">
        <f t="shared" si="803"/>
        <v>0</v>
      </c>
      <c r="AS573" s="783">
        <f t="shared" si="804"/>
        <v>0</v>
      </c>
      <c r="AT573" s="917"/>
      <c r="AV573" s="170"/>
      <c r="AW573" s="832"/>
      <c r="AX573" s="833" t="s">
        <v>3030</v>
      </c>
      <c r="BM573" s="2010"/>
    </row>
    <row r="574" spans="1:65" ht="15.75" hidden="1" collapsed="1" thickBot="1" x14ac:dyDescent="0.3">
      <c r="A574" s="784"/>
      <c r="B574" s="904">
        <f t="shared" si="760"/>
        <v>556</v>
      </c>
      <c r="C574" s="170" t="str">
        <f t="shared" si="757"/>
        <v>84</v>
      </c>
      <c r="D574" s="557"/>
      <c r="E574" s="170"/>
      <c r="F574" s="170">
        <v>84</v>
      </c>
      <c r="G574" s="2627" t="s">
        <v>843</v>
      </c>
      <c r="H574" s="2641"/>
      <c r="I574" s="2008"/>
      <c r="J574" s="1862"/>
      <c r="K574" s="1862"/>
      <c r="L574" s="488"/>
      <c r="M574" s="2504">
        <v>0</v>
      </c>
      <c r="N574" s="2507"/>
      <c r="O574" s="911">
        <f>+M574*N574</f>
        <v>0</v>
      </c>
      <c r="P574" s="2076"/>
      <c r="Q574" s="2008"/>
      <c r="R574" s="2011"/>
      <c r="S574" s="912">
        <f>SUMIF('Data Input sheet'!$B$118:$B$180,R574,'Data Input sheet'!$D$118:$D$180)</f>
        <v>0</v>
      </c>
      <c r="T574" s="2684"/>
      <c r="U574" s="2506"/>
      <c r="V574" s="914"/>
      <c r="W574" s="2507"/>
      <c r="X574" s="915"/>
      <c r="Y574" s="2505"/>
      <c r="Z574" s="916"/>
      <c r="AA574" s="2007"/>
      <c r="AB574" s="2007"/>
      <c r="AC574" s="765"/>
      <c r="AD574" s="781">
        <f t="shared" ref="AD574:AD583" si="807">IF(P574="E",+ROUND(H574*O574,0),0)</f>
        <v>0</v>
      </c>
      <c r="AE574" s="778">
        <f t="shared" ref="AE574:AE583" si="808">+AF574-AD574</f>
        <v>0</v>
      </c>
      <c r="AF574" s="781">
        <f t="shared" ref="AF574:AF583" si="809">+H574*O574</f>
        <v>0</v>
      </c>
      <c r="AG574" s="781">
        <f t="shared" ref="AG574:AG583" si="810">IF(P574="E",+ROUND(T574*H574,0),0)</f>
        <v>0</v>
      </c>
      <c r="AH574" s="781">
        <f t="shared" ref="AH574:AH583" si="811">+AI574-AG574</f>
        <v>0</v>
      </c>
      <c r="AI574" s="782">
        <f t="shared" ref="AI574:AI583" si="812">+H574*T574</f>
        <v>0</v>
      </c>
      <c r="AJ574" s="781">
        <f t="shared" ref="AJ574:AJ583" si="813">IF(P574="E",+ROUND(V574*H574,0),0)</f>
        <v>0</v>
      </c>
      <c r="AK574" s="781">
        <f t="shared" ref="AK574:AK583" si="814">+AL574-AJ574</f>
        <v>0</v>
      </c>
      <c r="AL574" s="781">
        <f t="shared" ref="AL574:AL583" si="815">ROUND(V574*H574,0)</f>
        <v>0</v>
      </c>
      <c r="AM574" s="781">
        <f t="shared" ref="AM574:AM583" si="816">IF(Q574="E",+ROUND(W574*H574,0),0)</f>
        <v>0</v>
      </c>
      <c r="AN574" s="781">
        <f t="shared" ref="AN574:AN583" si="817">+AO574-AM574</f>
        <v>0</v>
      </c>
      <c r="AO574" s="781">
        <f t="shared" ref="AO574:AO583" si="818">ROUND(W574*H574,0)</f>
        <v>0</v>
      </c>
      <c r="AP574" s="781">
        <f t="shared" ref="AP574:AP583" si="819">IF(P574="E",+ROUND(Y574*H574,0),0)</f>
        <v>0</v>
      </c>
      <c r="AQ574" s="781">
        <f t="shared" ref="AQ574:AQ583" si="820">+AR574-AP574</f>
        <v>0</v>
      </c>
      <c r="AR574" s="781">
        <f t="shared" ref="AR574:AR583" si="821">ROUND(Y574*H574,0)</f>
        <v>0</v>
      </c>
      <c r="AS574" s="783">
        <f t="shared" ref="AS574:AS583" si="822">+AR574+AO574+AL574+AI574</f>
        <v>0</v>
      </c>
      <c r="AT574" s="917"/>
      <c r="AW574" s="832"/>
      <c r="AX574" s="833" t="s">
        <v>3030</v>
      </c>
      <c r="BM574" s="910"/>
    </row>
    <row r="575" spans="1:65" ht="15" hidden="1" outlineLevel="1" x14ac:dyDescent="0.25">
      <c r="A575" s="784"/>
      <c r="B575" s="904">
        <f t="shared" si="760"/>
        <v>557</v>
      </c>
      <c r="C575" s="170" t="str">
        <f t="shared" si="757"/>
        <v>70SF</v>
      </c>
      <c r="D575" s="557"/>
      <c r="E575" s="170"/>
      <c r="F575" s="170">
        <v>70</v>
      </c>
      <c r="G575" s="2007" t="s">
        <v>844</v>
      </c>
      <c r="H575" s="1926"/>
      <c r="I575" s="2008" t="s">
        <v>740</v>
      </c>
      <c r="J575" s="1926"/>
      <c r="K575" s="1926"/>
      <c r="L575" s="488"/>
      <c r="M575" s="2009">
        <v>1.06</v>
      </c>
      <c r="N575" s="2010">
        <v>1</v>
      </c>
      <c r="O575" s="773">
        <f>+M575*N575</f>
        <v>1.06</v>
      </c>
      <c r="P575" s="2076" t="s">
        <v>39</v>
      </c>
      <c r="Q575" s="2008" t="s">
        <v>39</v>
      </c>
      <c r="R575" s="2011" t="s">
        <v>74</v>
      </c>
      <c r="S575" s="912">
        <f>SUMIF('Data Input sheet'!$B$118:$B$180,R575,'Data Input sheet'!$D$118:$D$180)</f>
        <v>152</v>
      </c>
      <c r="T575" s="2685">
        <f>+O575*S575</f>
        <v>161.12</v>
      </c>
      <c r="U575" s="2013">
        <v>22</v>
      </c>
      <c r="V575" s="778">
        <f>ROUND(U575*O575,0)</f>
        <v>23</v>
      </c>
      <c r="W575" s="2010">
        <v>89.494179840000015</v>
      </c>
      <c r="X575" s="779"/>
      <c r="Y575" s="2012"/>
      <c r="Z575" s="780">
        <f>T575+V575+W575+Y575</f>
        <v>273.61417984000002</v>
      </c>
      <c r="AA575" s="2007"/>
      <c r="AB575" s="2007"/>
      <c r="AC575" s="765"/>
      <c r="AD575" s="781">
        <f t="shared" si="807"/>
        <v>0</v>
      </c>
      <c r="AE575" s="778">
        <f t="shared" si="808"/>
        <v>0</v>
      </c>
      <c r="AF575" s="781">
        <f t="shared" si="809"/>
        <v>0</v>
      </c>
      <c r="AG575" s="781">
        <f t="shared" si="810"/>
        <v>0</v>
      </c>
      <c r="AH575" s="781">
        <f t="shared" si="811"/>
        <v>0</v>
      </c>
      <c r="AI575" s="782">
        <f t="shared" si="812"/>
        <v>0</v>
      </c>
      <c r="AJ575" s="781">
        <f t="shared" si="813"/>
        <v>0</v>
      </c>
      <c r="AK575" s="781">
        <f t="shared" si="814"/>
        <v>0</v>
      </c>
      <c r="AL575" s="781">
        <f t="shared" si="815"/>
        <v>0</v>
      </c>
      <c r="AM575" s="781">
        <f t="shared" si="816"/>
        <v>0</v>
      </c>
      <c r="AN575" s="781">
        <f t="shared" si="817"/>
        <v>0</v>
      </c>
      <c r="AO575" s="781">
        <f t="shared" si="818"/>
        <v>0</v>
      </c>
      <c r="AP575" s="781">
        <f t="shared" si="819"/>
        <v>0</v>
      </c>
      <c r="AQ575" s="781">
        <f t="shared" si="820"/>
        <v>0</v>
      </c>
      <c r="AR575" s="781">
        <f t="shared" si="821"/>
        <v>0</v>
      </c>
      <c r="AS575" s="783">
        <f t="shared" si="822"/>
        <v>0</v>
      </c>
      <c r="AT575" s="917"/>
      <c r="AW575" s="832"/>
      <c r="AX575" s="833" t="s">
        <v>3062</v>
      </c>
      <c r="BM575" s="2010">
        <v>89.494179840000015</v>
      </c>
    </row>
    <row r="576" spans="1:65" ht="15" hidden="1" outlineLevel="1" x14ac:dyDescent="0.25">
      <c r="A576" s="784"/>
      <c r="B576" s="904">
        <f t="shared" si="760"/>
        <v>558</v>
      </c>
      <c r="C576" s="170" t="str">
        <f t="shared" si="757"/>
        <v>70SF</v>
      </c>
      <c r="D576" s="557"/>
      <c r="E576" s="170"/>
      <c r="F576" s="170">
        <v>70</v>
      </c>
      <c r="G576" s="2007" t="s">
        <v>1161</v>
      </c>
      <c r="H576" s="1926"/>
      <c r="I576" s="2008" t="s">
        <v>740</v>
      </c>
      <c r="J576" s="1926"/>
      <c r="K576" s="1926"/>
      <c r="L576" s="488"/>
      <c r="M576" s="2009">
        <v>1</v>
      </c>
      <c r="N576" s="2010">
        <v>1</v>
      </c>
      <c r="O576" s="773">
        <f>+M576*N576</f>
        <v>1</v>
      </c>
      <c r="P576" s="2076" t="s">
        <v>39</v>
      </c>
      <c r="Q576" s="2008" t="s">
        <v>39</v>
      </c>
      <c r="R576" s="2011" t="s">
        <v>74</v>
      </c>
      <c r="S576" s="912">
        <f>SUMIF('Data Input sheet'!$B$118:$B$180,R576,'Data Input sheet'!$D$118:$D$180)</f>
        <v>152</v>
      </c>
      <c r="T576" s="2685">
        <v>92.21</v>
      </c>
      <c r="U576" s="2013">
        <v>9</v>
      </c>
      <c r="V576" s="778">
        <f>ROUND(U576*O576,0)</f>
        <v>9</v>
      </c>
      <c r="W576" s="2010">
        <v>302.87</v>
      </c>
      <c r="X576" s="779"/>
      <c r="Y576" s="2012"/>
      <c r="Z576" s="780">
        <f>T576+V576+W576+Y576</f>
        <v>404.08</v>
      </c>
      <c r="AA576" s="2007"/>
      <c r="AB576" s="2007"/>
      <c r="AC576" s="765"/>
      <c r="AD576" s="781">
        <f t="shared" si="807"/>
        <v>0</v>
      </c>
      <c r="AE576" s="778">
        <f t="shared" si="808"/>
        <v>0</v>
      </c>
      <c r="AF576" s="781">
        <f t="shared" si="809"/>
        <v>0</v>
      </c>
      <c r="AG576" s="781">
        <f t="shared" si="810"/>
        <v>0</v>
      </c>
      <c r="AH576" s="781">
        <f t="shared" si="811"/>
        <v>0</v>
      </c>
      <c r="AI576" s="782">
        <f t="shared" si="812"/>
        <v>0</v>
      </c>
      <c r="AJ576" s="781">
        <f t="shared" si="813"/>
        <v>0</v>
      </c>
      <c r="AK576" s="781">
        <f t="shared" si="814"/>
        <v>0</v>
      </c>
      <c r="AL576" s="781">
        <f t="shared" si="815"/>
        <v>0</v>
      </c>
      <c r="AM576" s="781">
        <f t="shared" si="816"/>
        <v>0</v>
      </c>
      <c r="AN576" s="781">
        <f t="shared" si="817"/>
        <v>0</v>
      </c>
      <c r="AO576" s="781">
        <f t="shared" si="818"/>
        <v>0</v>
      </c>
      <c r="AP576" s="781">
        <f t="shared" si="819"/>
        <v>0</v>
      </c>
      <c r="AQ576" s="781">
        <f t="shared" si="820"/>
        <v>0</v>
      </c>
      <c r="AR576" s="781">
        <f t="shared" si="821"/>
        <v>0</v>
      </c>
      <c r="AS576" s="783">
        <f t="shared" si="822"/>
        <v>0</v>
      </c>
      <c r="AT576" s="917"/>
      <c r="AW576" s="832"/>
      <c r="AX576" s="833" t="s">
        <v>3063</v>
      </c>
      <c r="BM576" s="2010">
        <v>302.87</v>
      </c>
    </row>
    <row r="577" spans="1:65" ht="51" hidden="1" outlineLevel="1" x14ac:dyDescent="0.25">
      <c r="A577" s="784"/>
      <c r="B577" s="904">
        <f t="shared" si="760"/>
        <v>559</v>
      </c>
      <c r="C577" s="170" t="str">
        <f t="shared" si="757"/>
        <v>70EA</v>
      </c>
      <c r="D577" s="557"/>
      <c r="E577" s="170"/>
      <c r="F577" s="170">
        <v>70</v>
      </c>
      <c r="G577" s="2007" t="s">
        <v>3309</v>
      </c>
      <c r="H577" s="1926"/>
      <c r="I577" s="2008" t="s">
        <v>732</v>
      </c>
      <c r="J577" s="1926"/>
      <c r="K577" s="1926"/>
      <c r="L577" s="488"/>
      <c r="M577" s="2009"/>
      <c r="N577" s="2010">
        <v>1</v>
      </c>
      <c r="O577" s="773">
        <f>+M577*N577</f>
        <v>0</v>
      </c>
      <c r="P577" s="2076" t="s">
        <v>39</v>
      </c>
      <c r="Q577" s="2008" t="s">
        <v>39</v>
      </c>
      <c r="R577" s="2011" t="s">
        <v>74</v>
      </c>
      <c r="S577" s="912">
        <f>SUMIF('Data Input sheet'!$B$118:$B$180,R577,'Data Input sheet'!$D$118:$D$180)</f>
        <v>152</v>
      </c>
      <c r="T577" s="2685">
        <f t="shared" ref="T577:T579" si="823">+O577*S577</f>
        <v>0</v>
      </c>
      <c r="U577" s="2013">
        <v>22</v>
      </c>
      <c r="V577" s="778">
        <f>ROUND(U577*O577,0)</f>
        <v>0</v>
      </c>
      <c r="W577" s="2010">
        <v>2060312</v>
      </c>
      <c r="X577" s="779"/>
      <c r="Y577" s="2012"/>
      <c r="Z577" s="780">
        <f>T577+V577+W577+Y577</f>
        <v>2060312</v>
      </c>
      <c r="AA577" s="2007"/>
      <c r="AB577" s="2007"/>
      <c r="AC577" s="765"/>
      <c r="AD577" s="781">
        <f t="shared" si="807"/>
        <v>0</v>
      </c>
      <c r="AE577" s="778">
        <f t="shared" si="808"/>
        <v>0</v>
      </c>
      <c r="AF577" s="781">
        <f t="shared" si="809"/>
        <v>0</v>
      </c>
      <c r="AG577" s="781">
        <f t="shared" si="810"/>
        <v>0</v>
      </c>
      <c r="AH577" s="781">
        <f t="shared" si="811"/>
        <v>0</v>
      </c>
      <c r="AI577" s="782">
        <f t="shared" si="812"/>
        <v>0</v>
      </c>
      <c r="AJ577" s="781">
        <f t="shared" si="813"/>
        <v>0</v>
      </c>
      <c r="AK577" s="781">
        <f t="shared" si="814"/>
        <v>0</v>
      </c>
      <c r="AL577" s="781">
        <f t="shared" si="815"/>
        <v>0</v>
      </c>
      <c r="AM577" s="781">
        <f t="shared" si="816"/>
        <v>0</v>
      </c>
      <c r="AN577" s="781">
        <f t="shared" si="817"/>
        <v>0</v>
      </c>
      <c r="AO577" s="781">
        <f t="shared" si="818"/>
        <v>0</v>
      </c>
      <c r="AP577" s="781">
        <f t="shared" si="819"/>
        <v>0</v>
      </c>
      <c r="AQ577" s="781">
        <f t="shared" si="820"/>
        <v>0</v>
      </c>
      <c r="AR577" s="781">
        <f t="shared" si="821"/>
        <v>0</v>
      </c>
      <c r="AS577" s="783">
        <f t="shared" si="822"/>
        <v>0</v>
      </c>
      <c r="AT577" s="917"/>
      <c r="AW577" s="832"/>
      <c r="AX577" s="2481" t="s">
        <v>3308</v>
      </c>
      <c r="AY577" s="2482"/>
      <c r="BM577" s="2010">
        <v>693.68000000000006</v>
      </c>
    </row>
    <row r="578" spans="1:65" ht="25.5" hidden="1" outlineLevel="1" x14ac:dyDescent="0.25">
      <c r="A578" s="784"/>
      <c r="B578" s="904">
        <f t="shared" si="760"/>
        <v>560</v>
      </c>
      <c r="C578" s="170" t="str">
        <f t="shared" si="757"/>
        <v>57EA</v>
      </c>
      <c r="D578" s="557"/>
      <c r="E578" s="170"/>
      <c r="F578" s="170">
        <v>57</v>
      </c>
      <c r="G578" s="2007" t="s">
        <v>3306</v>
      </c>
      <c r="H578" s="1926"/>
      <c r="I578" s="2008" t="s">
        <v>732</v>
      </c>
      <c r="J578" s="1926"/>
      <c r="K578" s="1926"/>
      <c r="L578" s="488"/>
      <c r="M578" s="2009">
        <v>3200</v>
      </c>
      <c r="N578" s="2010">
        <v>1</v>
      </c>
      <c r="O578" s="773">
        <f t="shared" ref="O578:O579" si="824">+M578*N578</f>
        <v>3200</v>
      </c>
      <c r="P578" s="2076" t="s">
        <v>39</v>
      </c>
      <c r="Q578" s="2008" t="s">
        <v>39</v>
      </c>
      <c r="R578" s="2011" t="s">
        <v>74</v>
      </c>
      <c r="S578" s="912">
        <f>SUMIF('Data Input sheet'!$B$118:$B$180,R578,'Data Input sheet'!$D$118:$D$180)</f>
        <v>152</v>
      </c>
      <c r="T578" s="2685">
        <f t="shared" si="823"/>
        <v>486400</v>
      </c>
      <c r="U578" s="2013">
        <v>14.8</v>
      </c>
      <c r="V578" s="778">
        <f>ROUND(U578*O578,0)</f>
        <v>47360</v>
      </c>
      <c r="W578" s="2010">
        <v>2985980</v>
      </c>
      <c r="X578" s="779"/>
      <c r="Y578" s="2012"/>
      <c r="Z578" s="780">
        <f t="shared" ref="Z578:Z579" si="825">T578+V578+W578+Y578</f>
        <v>3519740</v>
      </c>
      <c r="AA578" s="2007"/>
      <c r="AB578" s="2007"/>
      <c r="AC578" s="765"/>
      <c r="AD578" s="781">
        <f t="shared" si="807"/>
        <v>0</v>
      </c>
      <c r="AE578" s="778">
        <f t="shared" si="808"/>
        <v>0</v>
      </c>
      <c r="AF578" s="781">
        <f t="shared" si="809"/>
        <v>0</v>
      </c>
      <c r="AG578" s="781">
        <f t="shared" si="810"/>
        <v>0</v>
      </c>
      <c r="AH578" s="781">
        <f t="shared" si="811"/>
        <v>0</v>
      </c>
      <c r="AI578" s="782">
        <f t="shared" si="812"/>
        <v>0</v>
      </c>
      <c r="AJ578" s="781">
        <f t="shared" si="813"/>
        <v>0</v>
      </c>
      <c r="AK578" s="781">
        <f t="shared" si="814"/>
        <v>0</v>
      </c>
      <c r="AL578" s="781">
        <f t="shared" si="815"/>
        <v>0</v>
      </c>
      <c r="AM578" s="781">
        <f t="shared" si="816"/>
        <v>0</v>
      </c>
      <c r="AN578" s="781">
        <f t="shared" si="817"/>
        <v>0</v>
      </c>
      <c r="AO578" s="781">
        <f t="shared" si="818"/>
        <v>0</v>
      </c>
      <c r="AP578" s="781">
        <f t="shared" si="819"/>
        <v>0</v>
      </c>
      <c r="AQ578" s="781">
        <f t="shared" si="820"/>
        <v>0</v>
      </c>
      <c r="AR578" s="781">
        <f t="shared" si="821"/>
        <v>0</v>
      </c>
      <c r="AS578" s="783">
        <f t="shared" si="822"/>
        <v>0</v>
      </c>
      <c r="AT578" s="917"/>
      <c r="AW578" s="832"/>
      <c r="AX578" s="833" t="s">
        <v>3307</v>
      </c>
      <c r="BM578" s="2010">
        <v>77000</v>
      </c>
    </row>
    <row r="579" spans="1:65" ht="15" hidden="1" collapsed="1" x14ac:dyDescent="0.25">
      <c r="A579" s="787"/>
      <c r="B579" s="904">
        <f t="shared" si="760"/>
        <v>561</v>
      </c>
      <c r="C579" s="170" t="str">
        <f t="shared" si="757"/>
        <v>0EA</v>
      </c>
      <c r="D579" s="906"/>
      <c r="F579" s="170">
        <v>0</v>
      </c>
      <c r="G579" s="2007" t="s">
        <v>1645</v>
      </c>
      <c r="H579" s="2008"/>
      <c r="I579" s="2008" t="s">
        <v>732</v>
      </c>
      <c r="J579" s="1926"/>
      <c r="K579" s="1926"/>
      <c r="L579" s="170"/>
      <c r="M579" s="2009">
        <v>6</v>
      </c>
      <c r="N579" s="2010">
        <v>1</v>
      </c>
      <c r="O579" s="773">
        <f t="shared" si="824"/>
        <v>6</v>
      </c>
      <c r="P579" s="2076" t="s">
        <v>39</v>
      </c>
      <c r="Q579" s="2008" t="s">
        <v>39</v>
      </c>
      <c r="R579" s="2011" t="s">
        <v>74</v>
      </c>
      <c r="S579" s="912">
        <f>SUMIF('Data Input sheet'!$B$118:$B$180,R579,'Data Input sheet'!$D$118:$D$180)</f>
        <v>152</v>
      </c>
      <c r="T579" s="2685">
        <f t="shared" si="823"/>
        <v>912</v>
      </c>
      <c r="U579" s="2013">
        <v>25</v>
      </c>
      <c r="V579" s="778">
        <f t="shared" ref="V579" si="826">ROUND(U579*O579,0)</f>
        <v>150</v>
      </c>
      <c r="W579" s="2010">
        <v>821</v>
      </c>
      <c r="X579" s="779"/>
      <c r="Y579" s="2012">
        <v>0</v>
      </c>
      <c r="Z579" s="780">
        <f t="shared" si="825"/>
        <v>1883</v>
      </c>
      <c r="AA579" s="2007"/>
      <c r="AB579" s="2007"/>
      <c r="AC579" s="765"/>
      <c r="AD579" s="781">
        <f t="shared" si="807"/>
        <v>0</v>
      </c>
      <c r="AE579" s="778">
        <f t="shared" si="808"/>
        <v>0</v>
      </c>
      <c r="AF579" s="781">
        <f t="shared" si="809"/>
        <v>0</v>
      </c>
      <c r="AG579" s="781">
        <f t="shared" si="810"/>
        <v>0</v>
      </c>
      <c r="AH579" s="781">
        <f t="shared" si="811"/>
        <v>0</v>
      </c>
      <c r="AI579" s="782">
        <f t="shared" si="812"/>
        <v>0</v>
      </c>
      <c r="AJ579" s="781">
        <f t="shared" si="813"/>
        <v>0</v>
      </c>
      <c r="AK579" s="781">
        <f t="shared" si="814"/>
        <v>0</v>
      </c>
      <c r="AL579" s="781">
        <f t="shared" si="815"/>
        <v>0</v>
      </c>
      <c r="AM579" s="781">
        <f t="shared" si="816"/>
        <v>0</v>
      </c>
      <c r="AN579" s="781">
        <f t="shared" si="817"/>
        <v>0</v>
      </c>
      <c r="AO579" s="781">
        <f t="shared" si="818"/>
        <v>0</v>
      </c>
      <c r="AP579" s="781">
        <f t="shared" si="819"/>
        <v>0</v>
      </c>
      <c r="AQ579" s="781">
        <f t="shared" si="820"/>
        <v>0</v>
      </c>
      <c r="AR579" s="781">
        <f t="shared" si="821"/>
        <v>0</v>
      </c>
      <c r="AS579" s="783">
        <f t="shared" si="822"/>
        <v>0</v>
      </c>
      <c r="AT579" s="917"/>
      <c r="AV579" s="170"/>
      <c r="AW579" s="832"/>
      <c r="AX579" s="833" t="s">
        <v>3030</v>
      </c>
      <c r="BM579" s="2010"/>
    </row>
    <row r="580" spans="1:65" ht="15" hidden="1" outlineLevel="1" x14ac:dyDescent="0.25">
      <c r="A580" s="787"/>
      <c r="B580" s="904">
        <f t="shared" si="760"/>
        <v>562</v>
      </c>
      <c r="C580" s="170" t="str">
        <f t="shared" si="757"/>
        <v>38LS</v>
      </c>
      <c r="D580" s="906"/>
      <c r="E580" s="170"/>
      <c r="F580" s="170">
        <v>38</v>
      </c>
      <c r="G580" s="2007" t="s">
        <v>2489</v>
      </c>
      <c r="H580" s="1926"/>
      <c r="I580" s="2008" t="s">
        <v>640</v>
      </c>
      <c r="J580" s="1926"/>
      <c r="K580" s="1926"/>
      <c r="L580" s="488"/>
      <c r="M580" s="2009">
        <v>4375</v>
      </c>
      <c r="N580" s="2010">
        <v>1</v>
      </c>
      <c r="O580" s="773">
        <f t="shared" ref="O580" si="827">+M580*N580</f>
        <v>4375</v>
      </c>
      <c r="P580" s="2076" t="s">
        <v>39</v>
      </c>
      <c r="Q580" s="2008" t="s">
        <v>39</v>
      </c>
      <c r="R580" s="2011" t="s">
        <v>74</v>
      </c>
      <c r="S580" s="912">
        <f>SUMIF('Data Input sheet'!$B$118:$B$180,R580,'Data Input sheet'!$D$118:$D$180)</f>
        <v>152</v>
      </c>
      <c r="T580" s="2685">
        <f t="shared" ref="T580" si="828">+O580*S580</f>
        <v>665000</v>
      </c>
      <c r="U580" s="2013">
        <v>14</v>
      </c>
      <c r="V580" s="778">
        <f t="shared" ref="V580" si="829">ROUND(U580*O580,0)</f>
        <v>61250</v>
      </c>
      <c r="W580" s="2010">
        <v>410861.81336678407</v>
      </c>
      <c r="X580" s="779"/>
      <c r="Y580" s="2012"/>
      <c r="Z580" s="780">
        <f t="shared" ref="Z580" si="830">T580+V580+W580+Y580</f>
        <v>1137111.813366784</v>
      </c>
      <c r="AA580" s="2007"/>
      <c r="AB580" s="2007"/>
      <c r="AC580" s="765"/>
      <c r="AD580" s="781">
        <f t="shared" si="807"/>
        <v>0</v>
      </c>
      <c r="AE580" s="778">
        <f t="shared" si="808"/>
        <v>0</v>
      </c>
      <c r="AF580" s="781">
        <f t="shared" si="809"/>
        <v>0</v>
      </c>
      <c r="AG580" s="781">
        <f t="shared" si="810"/>
        <v>0</v>
      </c>
      <c r="AH580" s="781">
        <f t="shared" si="811"/>
        <v>0</v>
      </c>
      <c r="AI580" s="782">
        <f t="shared" si="812"/>
        <v>0</v>
      </c>
      <c r="AJ580" s="781">
        <f t="shared" si="813"/>
        <v>0</v>
      </c>
      <c r="AK580" s="781">
        <f t="shared" si="814"/>
        <v>0</v>
      </c>
      <c r="AL580" s="781">
        <f t="shared" si="815"/>
        <v>0</v>
      </c>
      <c r="AM580" s="781">
        <f t="shared" si="816"/>
        <v>0</v>
      </c>
      <c r="AN580" s="781">
        <f t="shared" si="817"/>
        <v>0</v>
      </c>
      <c r="AO580" s="781">
        <f t="shared" si="818"/>
        <v>0</v>
      </c>
      <c r="AP580" s="781">
        <f t="shared" si="819"/>
        <v>0</v>
      </c>
      <c r="AQ580" s="781">
        <f t="shared" si="820"/>
        <v>0</v>
      </c>
      <c r="AR580" s="781">
        <f t="shared" si="821"/>
        <v>0</v>
      </c>
      <c r="AS580" s="783">
        <f t="shared" si="822"/>
        <v>0</v>
      </c>
      <c r="AT580" s="917"/>
      <c r="AV580" s="170"/>
      <c r="AW580" s="832"/>
      <c r="AX580" s="833" t="s">
        <v>3305</v>
      </c>
      <c r="BM580" s="2010">
        <v>410861.81336678407</v>
      </c>
    </row>
    <row r="581" spans="1:65" ht="25.5" hidden="1" outlineLevel="1" x14ac:dyDescent="0.25">
      <c r="A581" s="784"/>
      <c r="B581" s="904">
        <f t="shared" si="760"/>
        <v>563</v>
      </c>
      <c r="C581" s="170" t="str">
        <f t="shared" si="757"/>
        <v>EA</v>
      </c>
      <c r="D581" s="557"/>
      <c r="E581" s="170"/>
      <c r="F581" s="721"/>
      <c r="G581" s="2068" t="s">
        <v>1763</v>
      </c>
      <c r="H581" s="1926"/>
      <c r="I581" s="2008" t="s">
        <v>732</v>
      </c>
      <c r="J581" s="2039"/>
      <c r="K581" s="2039"/>
      <c r="L581" s="488"/>
      <c r="M581" s="2041">
        <v>8</v>
      </c>
      <c r="N581" s="2043">
        <v>1</v>
      </c>
      <c r="O581" s="1967">
        <f>+M581*N581</f>
        <v>8</v>
      </c>
      <c r="P581" s="2076" t="s">
        <v>39</v>
      </c>
      <c r="Q581" s="2008" t="s">
        <v>39</v>
      </c>
      <c r="R581" s="2011" t="s">
        <v>74</v>
      </c>
      <c r="S581" s="912">
        <f>SUMIF('Data Input sheet'!$B$118:$B$180,R581,'Data Input sheet'!$D$118:$D$180)</f>
        <v>152</v>
      </c>
      <c r="T581" s="2686">
        <f t="shared" ref="T581" si="831">ROUND(O581*S581,0)</f>
        <v>1216</v>
      </c>
      <c r="U581" s="2042">
        <v>21</v>
      </c>
      <c r="V581" s="1981">
        <f>ROUND(U581*O581,0)</f>
        <v>168</v>
      </c>
      <c r="W581" s="2046">
        <v>150</v>
      </c>
      <c r="X581" s="2502"/>
      <c r="Y581" s="2047">
        <v>0</v>
      </c>
      <c r="Z581" s="780">
        <f>T581+V581+W581+Y581</f>
        <v>1534</v>
      </c>
      <c r="AA581" s="2007"/>
      <c r="AB581" s="2007"/>
      <c r="AC581" s="765">
        <f t="shared" ref="AC581" si="832">IF(V581=0,0,ROUND(V581/O581,0))</f>
        <v>21</v>
      </c>
      <c r="AD581" s="781">
        <f t="shared" si="807"/>
        <v>0</v>
      </c>
      <c r="AE581" s="778">
        <f t="shared" si="808"/>
        <v>0</v>
      </c>
      <c r="AF581" s="781">
        <f t="shared" si="809"/>
        <v>0</v>
      </c>
      <c r="AG581" s="781">
        <f t="shared" si="810"/>
        <v>0</v>
      </c>
      <c r="AH581" s="781">
        <f t="shared" si="811"/>
        <v>0</v>
      </c>
      <c r="AI581" s="782">
        <f t="shared" si="812"/>
        <v>0</v>
      </c>
      <c r="AJ581" s="781">
        <f t="shared" si="813"/>
        <v>0</v>
      </c>
      <c r="AK581" s="781">
        <f t="shared" si="814"/>
        <v>0</v>
      </c>
      <c r="AL581" s="781">
        <f t="shared" si="815"/>
        <v>0</v>
      </c>
      <c r="AM581" s="781">
        <f t="shared" si="816"/>
        <v>0</v>
      </c>
      <c r="AN581" s="781">
        <f t="shared" si="817"/>
        <v>0</v>
      </c>
      <c r="AO581" s="781">
        <f t="shared" si="818"/>
        <v>0</v>
      </c>
      <c r="AP581" s="781">
        <f t="shared" si="819"/>
        <v>0</v>
      </c>
      <c r="AQ581" s="781">
        <f t="shared" si="820"/>
        <v>0</v>
      </c>
      <c r="AR581" s="781">
        <f t="shared" si="821"/>
        <v>0</v>
      </c>
      <c r="AS581" s="783">
        <f t="shared" si="822"/>
        <v>0</v>
      </c>
    </row>
    <row r="582" spans="1:65" ht="25.5" hidden="1" outlineLevel="1" x14ac:dyDescent="0.25">
      <c r="A582" s="784"/>
      <c r="B582" s="904">
        <f t="shared" si="760"/>
        <v>564</v>
      </c>
      <c r="C582" s="170" t="str">
        <f t="shared" si="757"/>
        <v>24EA</v>
      </c>
      <c r="D582" s="557"/>
      <c r="E582" s="170"/>
      <c r="F582" s="721">
        <v>24</v>
      </c>
      <c r="G582" s="2007" t="s">
        <v>1200</v>
      </c>
      <c r="H582" s="1926"/>
      <c r="I582" s="2008" t="s">
        <v>732</v>
      </c>
      <c r="J582" s="1926"/>
      <c r="K582" s="1926"/>
      <c r="L582" s="488"/>
      <c r="M582" s="2009">
        <v>25.5</v>
      </c>
      <c r="N582" s="2010">
        <v>0.75</v>
      </c>
      <c r="O582" s="773">
        <f>+M582*N582</f>
        <v>19.125</v>
      </c>
      <c r="P582" s="2076" t="s">
        <v>39</v>
      </c>
      <c r="Q582" s="2008" t="s">
        <v>39</v>
      </c>
      <c r="R582" s="2011" t="s">
        <v>74</v>
      </c>
      <c r="S582" s="912">
        <f>SUMIF('Data Input sheet'!$B$118:$B$180,R582,'Data Input sheet'!$D$118:$D$180)</f>
        <v>152</v>
      </c>
      <c r="T582" s="2685">
        <f>+O582*S582</f>
        <v>2907</v>
      </c>
      <c r="U582" s="2013">
        <v>0</v>
      </c>
      <c r="V582" s="778">
        <f>ROUND(U582*O582,0)</f>
        <v>0</v>
      </c>
      <c r="W582" s="2010"/>
      <c r="X582" s="779"/>
      <c r="Y582" s="2012"/>
      <c r="Z582" s="780">
        <f>T582+V582+W582+Y582</f>
        <v>2907</v>
      </c>
      <c r="AA582" s="2007"/>
      <c r="AB582" s="2007"/>
      <c r="AC582" s="765"/>
      <c r="AD582" s="781">
        <f t="shared" si="807"/>
        <v>0</v>
      </c>
      <c r="AE582" s="778">
        <f t="shared" si="808"/>
        <v>0</v>
      </c>
      <c r="AF582" s="781">
        <f t="shared" si="809"/>
        <v>0</v>
      </c>
      <c r="AG582" s="781">
        <f t="shared" si="810"/>
        <v>0</v>
      </c>
      <c r="AH582" s="781">
        <f t="shared" si="811"/>
        <v>0</v>
      </c>
      <c r="AI582" s="782">
        <f t="shared" si="812"/>
        <v>0</v>
      </c>
      <c r="AJ582" s="781">
        <f t="shared" si="813"/>
        <v>0</v>
      </c>
      <c r="AK582" s="781">
        <f t="shared" si="814"/>
        <v>0</v>
      </c>
      <c r="AL582" s="781">
        <f t="shared" si="815"/>
        <v>0</v>
      </c>
      <c r="AM582" s="781">
        <f t="shared" si="816"/>
        <v>0</v>
      </c>
      <c r="AN582" s="781">
        <f t="shared" si="817"/>
        <v>0</v>
      </c>
      <c r="AO582" s="781">
        <f t="shared" si="818"/>
        <v>0</v>
      </c>
      <c r="AP582" s="781">
        <f t="shared" si="819"/>
        <v>0</v>
      </c>
      <c r="AQ582" s="781">
        <f t="shared" si="820"/>
        <v>0</v>
      </c>
      <c r="AR582" s="781">
        <f t="shared" si="821"/>
        <v>0</v>
      </c>
      <c r="AS582" s="783">
        <f t="shared" si="822"/>
        <v>0</v>
      </c>
      <c r="AT582" s="917"/>
      <c r="AW582" s="832"/>
      <c r="AX582" s="2481" t="s">
        <v>2996</v>
      </c>
      <c r="AY582" s="2482"/>
      <c r="BM582" s="2010"/>
    </row>
    <row r="583" spans="1:65" ht="15" hidden="1" outlineLevel="1" x14ac:dyDescent="0.25">
      <c r="A583" s="784"/>
      <c r="B583" s="904">
        <f t="shared" si="760"/>
        <v>565</v>
      </c>
      <c r="C583" s="170" t="str">
        <f t="shared" si="757"/>
        <v>57EA</v>
      </c>
      <c r="D583" s="557"/>
      <c r="E583" s="170"/>
      <c r="F583" s="170">
        <v>57</v>
      </c>
      <c r="G583" s="2007" t="s">
        <v>1159</v>
      </c>
      <c r="H583" s="2008"/>
      <c r="I583" s="2008" t="s">
        <v>732</v>
      </c>
      <c r="J583" s="1926"/>
      <c r="K583" s="1926"/>
      <c r="L583" s="488"/>
      <c r="M583" s="2009"/>
      <c r="N583" s="2010">
        <v>1</v>
      </c>
      <c r="O583" s="773">
        <f>+M583*N583</f>
        <v>0</v>
      </c>
      <c r="P583" s="2076" t="s">
        <v>39</v>
      </c>
      <c r="Q583" s="2008" t="s">
        <v>39</v>
      </c>
      <c r="R583" s="2011" t="s">
        <v>74</v>
      </c>
      <c r="S583" s="912">
        <f>SUMIF('Data Input sheet'!$B$118:$B$180,R583,'Data Input sheet'!$D$118:$D$180)</f>
        <v>152</v>
      </c>
      <c r="T583" s="2685">
        <f>+O583*S583</f>
        <v>0</v>
      </c>
      <c r="U583" s="2013">
        <v>14.8</v>
      </c>
      <c r="V583" s="778">
        <f>ROUND(U583*O583,0)</f>
        <v>0</v>
      </c>
      <c r="W583" s="2010"/>
      <c r="X583" s="779"/>
      <c r="Y583" s="2012"/>
      <c r="Z583" s="780">
        <f>T583+V583+W583+Y583</f>
        <v>0</v>
      </c>
      <c r="AA583" s="2007"/>
      <c r="AB583" s="2007"/>
      <c r="AC583" s="765"/>
      <c r="AD583" s="781">
        <f t="shared" si="807"/>
        <v>0</v>
      </c>
      <c r="AE583" s="778">
        <f t="shared" si="808"/>
        <v>0</v>
      </c>
      <c r="AF583" s="781">
        <f t="shared" si="809"/>
        <v>0</v>
      </c>
      <c r="AG583" s="781">
        <f t="shared" si="810"/>
        <v>0</v>
      </c>
      <c r="AH583" s="781">
        <f t="shared" si="811"/>
        <v>0</v>
      </c>
      <c r="AI583" s="782">
        <f t="shared" si="812"/>
        <v>0</v>
      </c>
      <c r="AJ583" s="781">
        <f t="shared" si="813"/>
        <v>0</v>
      </c>
      <c r="AK583" s="781">
        <f t="shared" si="814"/>
        <v>0</v>
      </c>
      <c r="AL583" s="781">
        <f t="shared" si="815"/>
        <v>0</v>
      </c>
      <c r="AM583" s="781">
        <f t="shared" si="816"/>
        <v>0</v>
      </c>
      <c r="AN583" s="781">
        <f t="shared" si="817"/>
        <v>0</v>
      </c>
      <c r="AO583" s="781">
        <f t="shared" si="818"/>
        <v>0</v>
      </c>
      <c r="AP583" s="781">
        <f t="shared" si="819"/>
        <v>0</v>
      </c>
      <c r="AQ583" s="781">
        <f t="shared" si="820"/>
        <v>0</v>
      </c>
      <c r="AR583" s="781">
        <f t="shared" si="821"/>
        <v>0</v>
      </c>
      <c r="AS583" s="783">
        <f t="shared" si="822"/>
        <v>0</v>
      </c>
      <c r="AT583" s="917"/>
      <c r="AW583" s="832"/>
      <c r="AX583" s="833" t="s">
        <v>3030</v>
      </c>
      <c r="BM583" s="2010"/>
    </row>
    <row r="584" spans="1:65" ht="15.75" hidden="1" outlineLevel="1" thickBot="1" x14ac:dyDescent="0.3">
      <c r="A584" s="787"/>
      <c r="B584" s="904">
        <f t="shared" si="760"/>
        <v>566</v>
      </c>
      <c r="C584" s="170" t="str">
        <f t="shared" si="757"/>
        <v>0</v>
      </c>
      <c r="D584" s="906"/>
      <c r="E584" s="170"/>
      <c r="F584" s="170">
        <v>0</v>
      </c>
      <c r="G584" s="2497" t="s">
        <v>3174</v>
      </c>
      <c r="H584" s="2641"/>
      <c r="I584" s="2008"/>
      <c r="J584" s="1926"/>
      <c r="K584" s="1926"/>
      <c r="L584" s="488"/>
      <c r="M584" s="2009">
        <v>0</v>
      </c>
      <c r="N584" s="2010">
        <v>1</v>
      </c>
      <c r="O584" s="773">
        <f t="shared" ref="O584:O585" si="833">+M584*N584</f>
        <v>0</v>
      </c>
      <c r="P584" s="2076"/>
      <c r="Q584" s="2008"/>
      <c r="R584" s="2011"/>
      <c r="S584" s="912">
        <f>SUMIF('Data Input sheet'!$B$118:$B$180,R584,'Data Input sheet'!$D$118:$D$180)</f>
        <v>0</v>
      </c>
      <c r="T584" s="2685">
        <f t="shared" ref="T584:T585" si="834">+O584*S584</f>
        <v>0</v>
      </c>
      <c r="U584" s="2013">
        <v>0</v>
      </c>
      <c r="V584" s="778">
        <f t="shared" ref="V584:V585" si="835">ROUND(U584*O584,0)</f>
        <v>0</v>
      </c>
      <c r="W584" s="2010"/>
      <c r="X584" s="779"/>
      <c r="Y584" s="2012">
        <v>0</v>
      </c>
      <c r="Z584" s="780">
        <f t="shared" ref="Z584:Z585" si="836">T584+V584+W584+Y584</f>
        <v>0</v>
      </c>
      <c r="AA584" s="2007"/>
      <c r="AB584" s="2007"/>
      <c r="AC584" s="765"/>
      <c r="AD584" s="781">
        <f t="shared" si="789"/>
        <v>0</v>
      </c>
      <c r="AE584" s="778">
        <f t="shared" si="790"/>
        <v>0</v>
      </c>
      <c r="AF584" s="781">
        <f t="shared" si="791"/>
        <v>0</v>
      </c>
      <c r="AG584" s="781">
        <f t="shared" si="792"/>
        <v>0</v>
      </c>
      <c r="AH584" s="781">
        <f t="shared" si="793"/>
        <v>0</v>
      </c>
      <c r="AI584" s="782">
        <f t="shared" si="794"/>
        <v>0</v>
      </c>
      <c r="AJ584" s="781">
        <f t="shared" si="795"/>
        <v>0</v>
      </c>
      <c r="AK584" s="781">
        <f t="shared" si="796"/>
        <v>0</v>
      </c>
      <c r="AL584" s="781">
        <f t="shared" si="797"/>
        <v>0</v>
      </c>
      <c r="AM584" s="781">
        <f t="shared" si="798"/>
        <v>0</v>
      </c>
      <c r="AN584" s="781">
        <f t="shared" si="799"/>
        <v>0</v>
      </c>
      <c r="AO584" s="781">
        <f t="shared" si="800"/>
        <v>0</v>
      </c>
      <c r="AP584" s="781">
        <f t="shared" si="801"/>
        <v>0</v>
      </c>
      <c r="AQ584" s="781">
        <f t="shared" si="802"/>
        <v>0</v>
      </c>
      <c r="AR584" s="781">
        <f t="shared" si="803"/>
        <v>0</v>
      </c>
      <c r="AS584" s="783">
        <f t="shared" si="804"/>
        <v>0</v>
      </c>
      <c r="AT584" s="917"/>
      <c r="AV584" s="170"/>
      <c r="AW584" s="832"/>
      <c r="AX584" s="833" t="s">
        <v>3030</v>
      </c>
      <c r="BM584" s="2010"/>
    </row>
    <row r="585" spans="1:65" ht="15" hidden="1" outlineLevel="1" x14ac:dyDescent="0.25">
      <c r="A585" s="784"/>
      <c r="B585" s="904">
        <f t="shared" si="760"/>
        <v>567</v>
      </c>
      <c r="C585" s="170" t="str">
        <f t="shared" si="757"/>
        <v>59EA</v>
      </c>
      <c r="D585" s="557"/>
      <c r="E585" s="170"/>
      <c r="F585" s="170">
        <v>59</v>
      </c>
      <c r="G585" s="2007" t="s">
        <v>842</v>
      </c>
      <c r="H585" s="1926"/>
      <c r="I585" s="2008" t="s">
        <v>732</v>
      </c>
      <c r="J585" s="1926"/>
      <c r="K585" s="1926"/>
      <c r="L585" s="488"/>
      <c r="M585" s="2009">
        <v>120</v>
      </c>
      <c r="N585" s="2010">
        <v>1</v>
      </c>
      <c r="O585" s="773">
        <f t="shared" si="833"/>
        <v>120</v>
      </c>
      <c r="P585" s="2076" t="s">
        <v>39</v>
      </c>
      <c r="Q585" s="2008" t="s">
        <v>39</v>
      </c>
      <c r="R585" s="2011" t="s">
        <v>74</v>
      </c>
      <c r="S585" s="912">
        <f>SUMIF('Data Input sheet'!$B$118:$B$180,R585,'Data Input sheet'!$D$118:$D$180)</f>
        <v>152</v>
      </c>
      <c r="T585" s="2685">
        <f t="shared" si="834"/>
        <v>18240</v>
      </c>
      <c r="U585" s="2013">
        <v>28</v>
      </c>
      <c r="V585" s="778">
        <f t="shared" si="835"/>
        <v>3360</v>
      </c>
      <c r="W585" s="2010">
        <v>40157.644800000002</v>
      </c>
      <c r="X585" s="779"/>
      <c r="Y585" s="2012"/>
      <c r="Z585" s="780">
        <f t="shared" si="836"/>
        <v>61757.644800000002</v>
      </c>
      <c r="AA585" s="2007"/>
      <c r="AB585" s="2007"/>
      <c r="AC585" s="765"/>
      <c r="AD585" s="781">
        <f t="shared" si="789"/>
        <v>0</v>
      </c>
      <c r="AE585" s="778">
        <f t="shared" si="790"/>
        <v>0</v>
      </c>
      <c r="AF585" s="781">
        <f t="shared" si="791"/>
        <v>0</v>
      </c>
      <c r="AG585" s="781">
        <f t="shared" si="792"/>
        <v>0</v>
      </c>
      <c r="AH585" s="781">
        <f t="shared" si="793"/>
        <v>0</v>
      </c>
      <c r="AI585" s="782">
        <f t="shared" si="794"/>
        <v>0</v>
      </c>
      <c r="AJ585" s="781">
        <f t="shared" si="795"/>
        <v>0</v>
      </c>
      <c r="AK585" s="781">
        <f t="shared" si="796"/>
        <v>0</v>
      </c>
      <c r="AL585" s="781">
        <f t="shared" si="797"/>
        <v>0</v>
      </c>
      <c r="AM585" s="781">
        <f t="shared" si="798"/>
        <v>0</v>
      </c>
      <c r="AN585" s="781">
        <f t="shared" si="799"/>
        <v>0</v>
      </c>
      <c r="AO585" s="781">
        <f t="shared" si="800"/>
        <v>0</v>
      </c>
      <c r="AP585" s="781">
        <f t="shared" si="801"/>
        <v>0</v>
      </c>
      <c r="AQ585" s="781">
        <f t="shared" si="802"/>
        <v>0</v>
      </c>
      <c r="AR585" s="781">
        <f t="shared" si="803"/>
        <v>0</v>
      </c>
      <c r="AS585" s="783">
        <f t="shared" si="804"/>
        <v>0</v>
      </c>
      <c r="AT585" s="917"/>
      <c r="AW585" s="832"/>
      <c r="AX585" s="833" t="s">
        <v>3030</v>
      </c>
      <c r="BM585" s="2010">
        <v>40157.644800000002</v>
      </c>
    </row>
    <row r="586" spans="1:65" ht="25.5" hidden="1" outlineLevel="1" x14ac:dyDescent="0.25">
      <c r="A586" s="787"/>
      <c r="B586" s="904">
        <f t="shared" si="760"/>
        <v>568</v>
      </c>
      <c r="C586" s="170" t="str">
        <f t="shared" si="757"/>
        <v>69Week</v>
      </c>
      <c r="D586" s="906"/>
      <c r="E586" s="170"/>
      <c r="F586" s="170">
        <v>69</v>
      </c>
      <c r="G586" s="2007" t="s">
        <v>858</v>
      </c>
      <c r="H586" s="1926"/>
      <c r="I586" s="2008" t="s">
        <v>859</v>
      </c>
      <c r="J586" s="1926"/>
      <c r="K586" s="1926"/>
      <c r="L586" s="488"/>
      <c r="M586" s="2009"/>
      <c r="N586" s="2010">
        <v>1</v>
      </c>
      <c r="O586" s="773">
        <f t="shared" ref="O586:O616" si="837">+M586*N586</f>
        <v>0</v>
      </c>
      <c r="P586" s="2076" t="s">
        <v>39</v>
      </c>
      <c r="Q586" s="2008" t="s">
        <v>39</v>
      </c>
      <c r="R586" s="2011" t="s">
        <v>74</v>
      </c>
      <c r="S586" s="912">
        <f>SUMIF('Data Input sheet'!$B$118:$B$180,R586,'Data Input sheet'!$D$118:$D$180)</f>
        <v>152</v>
      </c>
      <c r="T586" s="2685">
        <f t="shared" ref="T586:T616" si="838">+O586*S586</f>
        <v>0</v>
      </c>
      <c r="U586" s="2013">
        <v>0</v>
      </c>
      <c r="V586" s="778">
        <f t="shared" si="785"/>
        <v>0</v>
      </c>
      <c r="W586" s="2010"/>
      <c r="X586" s="779"/>
      <c r="Y586" s="2012">
        <v>83540.993333333332</v>
      </c>
      <c r="Z586" s="780">
        <f t="shared" ref="Z586:Z616" si="839">T586+V586+W586+Y586</f>
        <v>83540.993333333332</v>
      </c>
      <c r="AA586" s="2007"/>
      <c r="AB586" s="2007"/>
      <c r="AC586" s="765"/>
      <c r="AD586" s="781">
        <f t="shared" si="789"/>
        <v>0</v>
      </c>
      <c r="AE586" s="778">
        <f t="shared" si="790"/>
        <v>0</v>
      </c>
      <c r="AF586" s="781">
        <f t="shared" si="791"/>
        <v>0</v>
      </c>
      <c r="AG586" s="781">
        <f t="shared" si="792"/>
        <v>0</v>
      </c>
      <c r="AH586" s="781">
        <f t="shared" si="793"/>
        <v>0</v>
      </c>
      <c r="AI586" s="782">
        <f t="shared" si="794"/>
        <v>0</v>
      </c>
      <c r="AJ586" s="781">
        <f t="shared" si="795"/>
        <v>0</v>
      </c>
      <c r="AK586" s="781">
        <f t="shared" si="796"/>
        <v>0</v>
      </c>
      <c r="AL586" s="781">
        <f t="shared" si="797"/>
        <v>0</v>
      </c>
      <c r="AM586" s="781">
        <f t="shared" si="798"/>
        <v>0</v>
      </c>
      <c r="AN586" s="781">
        <f t="shared" si="799"/>
        <v>0</v>
      </c>
      <c r="AO586" s="781">
        <f t="shared" si="800"/>
        <v>0</v>
      </c>
      <c r="AP586" s="781">
        <f t="shared" si="801"/>
        <v>0</v>
      </c>
      <c r="AQ586" s="781">
        <f t="shared" si="802"/>
        <v>0</v>
      </c>
      <c r="AR586" s="781">
        <f t="shared" si="803"/>
        <v>0</v>
      </c>
      <c r="AS586" s="783">
        <f t="shared" si="804"/>
        <v>0</v>
      </c>
      <c r="AT586" s="917"/>
      <c r="AV586" s="170"/>
      <c r="AW586" s="832"/>
      <c r="AX586" s="833" t="s">
        <v>3076</v>
      </c>
      <c r="BM586" s="2010"/>
    </row>
    <row r="587" spans="1:65" ht="15" hidden="1" outlineLevel="1" x14ac:dyDescent="0.25">
      <c r="A587" s="784"/>
      <c r="B587" s="904">
        <f t="shared" si="760"/>
        <v>569</v>
      </c>
      <c r="C587" s="170" t="str">
        <f t="shared" si="757"/>
        <v>69EA</v>
      </c>
      <c r="D587" s="557"/>
      <c r="E587" s="170"/>
      <c r="F587" s="170">
        <v>69</v>
      </c>
      <c r="G587" s="2492" t="s">
        <v>3303</v>
      </c>
      <c r="H587" s="2039"/>
      <c r="I587" s="2008" t="s">
        <v>732</v>
      </c>
      <c r="J587" s="2039"/>
      <c r="K587" s="2039"/>
      <c r="L587" s="488"/>
      <c r="M587" s="2041">
        <v>24</v>
      </c>
      <c r="N587" s="2043">
        <v>1</v>
      </c>
      <c r="O587" s="1967">
        <f t="shared" si="837"/>
        <v>24</v>
      </c>
      <c r="P587" s="2076" t="s">
        <v>39</v>
      </c>
      <c r="Q587" s="2008" t="s">
        <v>39</v>
      </c>
      <c r="R587" s="2011" t="s">
        <v>74</v>
      </c>
      <c r="S587" s="912">
        <f>SUMIF('Data Input sheet'!$B$118:$B$180,R587,'Data Input sheet'!$D$118:$D$180)</f>
        <v>152</v>
      </c>
      <c r="T587" s="2686">
        <f t="shared" ref="T587:T589" si="840">ROUND(O587*S587,0)</f>
        <v>3648</v>
      </c>
      <c r="U587" s="2042"/>
      <c r="V587" s="1981">
        <f t="shared" si="785"/>
        <v>0</v>
      </c>
      <c r="W587" s="2046">
        <v>0</v>
      </c>
      <c r="X587" s="2502"/>
      <c r="Y587" s="2047">
        <v>0</v>
      </c>
      <c r="Z587" s="780">
        <f t="shared" si="839"/>
        <v>3648</v>
      </c>
      <c r="AA587" s="2007" t="s">
        <v>3294</v>
      </c>
      <c r="AB587" s="2007"/>
      <c r="AC587" s="765">
        <f t="shared" ref="AC587:AC589" si="841">IF(V587=0,0,ROUND(V587/O587,0))</f>
        <v>0</v>
      </c>
      <c r="AD587" s="781">
        <f t="shared" si="789"/>
        <v>0</v>
      </c>
      <c r="AE587" s="778">
        <f t="shared" si="790"/>
        <v>0</v>
      </c>
      <c r="AF587" s="781">
        <f t="shared" si="791"/>
        <v>0</v>
      </c>
      <c r="AG587" s="781">
        <f t="shared" si="792"/>
        <v>0</v>
      </c>
      <c r="AH587" s="781">
        <f t="shared" si="793"/>
        <v>0</v>
      </c>
      <c r="AI587" s="782">
        <f t="shared" si="794"/>
        <v>0</v>
      </c>
      <c r="AJ587" s="781">
        <f t="shared" si="795"/>
        <v>0</v>
      </c>
      <c r="AK587" s="781">
        <f t="shared" si="796"/>
        <v>0</v>
      </c>
      <c r="AL587" s="781">
        <f t="shared" si="797"/>
        <v>0</v>
      </c>
      <c r="AM587" s="781">
        <f t="shared" si="798"/>
        <v>0</v>
      </c>
      <c r="AN587" s="781">
        <f t="shared" si="799"/>
        <v>0</v>
      </c>
      <c r="AO587" s="781">
        <f t="shared" si="800"/>
        <v>0</v>
      </c>
      <c r="AP587" s="781">
        <f t="shared" si="801"/>
        <v>0</v>
      </c>
      <c r="AQ587" s="781">
        <f t="shared" si="802"/>
        <v>0</v>
      </c>
      <c r="AR587" s="781">
        <f t="shared" si="803"/>
        <v>0</v>
      </c>
      <c r="AS587" s="783">
        <f t="shared" si="804"/>
        <v>0</v>
      </c>
    </row>
    <row r="588" spans="1:65" ht="15" hidden="1" outlineLevel="1" x14ac:dyDescent="0.25">
      <c r="A588" s="784"/>
      <c r="B588" s="904">
        <f t="shared" si="760"/>
        <v>570</v>
      </c>
      <c r="C588" s="170" t="str">
        <f t="shared" si="757"/>
        <v>69EA</v>
      </c>
      <c r="D588" s="557"/>
      <c r="E588" s="170"/>
      <c r="F588" s="170">
        <v>69</v>
      </c>
      <c r="G588" s="2492" t="s">
        <v>3304</v>
      </c>
      <c r="H588" s="2039"/>
      <c r="I588" s="2008" t="s">
        <v>732</v>
      </c>
      <c r="J588" s="2039"/>
      <c r="K588" s="2039"/>
      <c r="L588" s="488"/>
      <c r="M588" s="2041">
        <v>23.5</v>
      </c>
      <c r="N588" s="2043">
        <v>1</v>
      </c>
      <c r="O588" s="1967">
        <f t="shared" si="837"/>
        <v>23.5</v>
      </c>
      <c r="P588" s="2076" t="s">
        <v>39</v>
      </c>
      <c r="Q588" s="2008" t="s">
        <v>39</v>
      </c>
      <c r="R588" s="2011" t="s">
        <v>74</v>
      </c>
      <c r="S588" s="912">
        <f>SUMIF('Data Input sheet'!$B$118:$B$180,R588,'Data Input sheet'!$D$118:$D$180)</f>
        <v>152</v>
      </c>
      <c r="T588" s="2686">
        <f t="shared" si="840"/>
        <v>3572</v>
      </c>
      <c r="U588" s="2042"/>
      <c r="V588" s="1981">
        <f t="shared" si="785"/>
        <v>0</v>
      </c>
      <c r="W588" s="2046">
        <v>0</v>
      </c>
      <c r="X588" s="2502"/>
      <c r="Y588" s="2047">
        <v>0</v>
      </c>
      <c r="Z588" s="780">
        <f t="shared" si="839"/>
        <v>3572</v>
      </c>
      <c r="AA588" s="2007" t="s">
        <v>3295</v>
      </c>
      <c r="AB588" s="2007"/>
      <c r="AC588" s="765">
        <f t="shared" si="841"/>
        <v>0</v>
      </c>
      <c r="AD588" s="781">
        <f t="shared" si="789"/>
        <v>0</v>
      </c>
      <c r="AE588" s="778">
        <f t="shared" si="790"/>
        <v>0</v>
      </c>
      <c r="AF588" s="781">
        <f t="shared" si="791"/>
        <v>0</v>
      </c>
      <c r="AG588" s="781">
        <f t="shared" si="792"/>
        <v>0</v>
      </c>
      <c r="AH588" s="781">
        <f t="shared" si="793"/>
        <v>0</v>
      </c>
      <c r="AI588" s="782">
        <f t="shared" si="794"/>
        <v>0</v>
      </c>
      <c r="AJ588" s="781">
        <f t="shared" si="795"/>
        <v>0</v>
      </c>
      <c r="AK588" s="781">
        <f t="shared" si="796"/>
        <v>0</v>
      </c>
      <c r="AL588" s="781">
        <f t="shared" si="797"/>
        <v>0</v>
      </c>
      <c r="AM588" s="781">
        <f t="shared" si="798"/>
        <v>0</v>
      </c>
      <c r="AN588" s="781">
        <f t="shared" si="799"/>
        <v>0</v>
      </c>
      <c r="AO588" s="781">
        <f t="shared" si="800"/>
        <v>0</v>
      </c>
      <c r="AP588" s="781">
        <f t="shared" si="801"/>
        <v>0</v>
      </c>
      <c r="AQ588" s="781">
        <f t="shared" si="802"/>
        <v>0</v>
      </c>
      <c r="AR588" s="781">
        <f t="shared" si="803"/>
        <v>0</v>
      </c>
      <c r="AS588" s="783">
        <f t="shared" si="804"/>
        <v>0</v>
      </c>
    </row>
    <row r="589" spans="1:65" ht="15" hidden="1" outlineLevel="1" x14ac:dyDescent="0.25">
      <c r="A589" s="784"/>
      <c r="B589" s="904">
        <f t="shared" si="760"/>
        <v>571</v>
      </c>
      <c r="C589" s="170" t="str">
        <f t="shared" si="757"/>
        <v>69EA</v>
      </c>
      <c r="D589" s="557"/>
      <c r="E589" s="170"/>
      <c r="F589" s="170">
        <v>69</v>
      </c>
      <c r="G589" s="2492" t="s">
        <v>1764</v>
      </c>
      <c r="H589" s="2039"/>
      <c r="I589" s="2008" t="s">
        <v>732</v>
      </c>
      <c r="J589" s="2039"/>
      <c r="K589" s="2039"/>
      <c r="L589" s="488"/>
      <c r="M589" s="2041">
        <v>8</v>
      </c>
      <c r="N589" s="2043">
        <v>1</v>
      </c>
      <c r="O589" s="1967">
        <f t="shared" si="837"/>
        <v>8</v>
      </c>
      <c r="P589" s="2076" t="s">
        <v>39</v>
      </c>
      <c r="Q589" s="2008" t="s">
        <v>39</v>
      </c>
      <c r="R589" s="2011" t="s">
        <v>74</v>
      </c>
      <c r="S589" s="912">
        <f>SUMIF('Data Input sheet'!$B$118:$B$180,R589,'Data Input sheet'!$D$118:$D$180)</f>
        <v>152</v>
      </c>
      <c r="T589" s="2686">
        <f t="shared" si="840"/>
        <v>1216</v>
      </c>
      <c r="U589" s="2042"/>
      <c r="V589" s="1981">
        <f t="shared" si="785"/>
        <v>0</v>
      </c>
      <c r="W589" s="2046">
        <v>2400</v>
      </c>
      <c r="X589" s="2502"/>
      <c r="Y589" s="2047">
        <v>0</v>
      </c>
      <c r="Z589" s="780">
        <f t="shared" si="839"/>
        <v>3616</v>
      </c>
      <c r="AA589" s="2007" t="s">
        <v>3295</v>
      </c>
      <c r="AB589" s="2007"/>
      <c r="AC589" s="765">
        <f t="shared" si="841"/>
        <v>0</v>
      </c>
      <c r="AD589" s="781">
        <f t="shared" si="789"/>
        <v>0</v>
      </c>
      <c r="AE589" s="778">
        <f t="shared" si="790"/>
        <v>0</v>
      </c>
      <c r="AF589" s="781">
        <f t="shared" si="791"/>
        <v>0</v>
      </c>
      <c r="AG589" s="781">
        <f t="shared" si="792"/>
        <v>0</v>
      </c>
      <c r="AH589" s="781">
        <f t="shared" si="793"/>
        <v>0</v>
      </c>
      <c r="AI589" s="782">
        <f t="shared" si="794"/>
        <v>0</v>
      </c>
      <c r="AJ589" s="781">
        <f t="shared" si="795"/>
        <v>0</v>
      </c>
      <c r="AK589" s="781">
        <f t="shared" si="796"/>
        <v>0</v>
      </c>
      <c r="AL589" s="781">
        <f t="shared" si="797"/>
        <v>0</v>
      </c>
      <c r="AM589" s="781">
        <f t="shared" si="798"/>
        <v>0</v>
      </c>
      <c r="AN589" s="781">
        <f t="shared" si="799"/>
        <v>0</v>
      </c>
      <c r="AO589" s="781">
        <f t="shared" si="800"/>
        <v>0</v>
      </c>
      <c r="AP589" s="781">
        <f t="shared" si="801"/>
        <v>0</v>
      </c>
      <c r="AQ589" s="781">
        <f t="shared" si="802"/>
        <v>0</v>
      </c>
      <c r="AR589" s="781">
        <f t="shared" si="803"/>
        <v>0</v>
      </c>
      <c r="AS589" s="783">
        <f t="shared" si="804"/>
        <v>0</v>
      </c>
    </row>
    <row r="590" spans="1:65" ht="15.75" hidden="1" outlineLevel="1" thickBot="1" x14ac:dyDescent="0.3">
      <c r="A590" s="784"/>
      <c r="B590" s="904">
        <f t="shared" si="760"/>
        <v>572</v>
      </c>
      <c r="C590" s="170" t="str">
        <f t="shared" si="757"/>
        <v/>
      </c>
      <c r="D590" s="557"/>
      <c r="E590" s="170"/>
      <c r="F590" s="170"/>
      <c r="G590" s="2497" t="s">
        <v>1765</v>
      </c>
      <c r="H590" s="2039"/>
      <c r="I590" s="2008"/>
      <c r="J590" s="2039"/>
      <c r="K590" s="2039"/>
      <c r="L590" s="488"/>
      <c r="M590" s="2041">
        <v>0</v>
      </c>
      <c r="N590" s="2043">
        <v>1</v>
      </c>
      <c r="O590" s="2499">
        <f t="shared" si="837"/>
        <v>0</v>
      </c>
      <c r="P590" s="2076"/>
      <c r="Q590" s="2008"/>
      <c r="R590" s="2011"/>
      <c r="S590" s="912">
        <f>SUMIF('Data Input sheet'!$B$118:$B$180,R590,'Data Input sheet'!$D$118:$D$180)</f>
        <v>0</v>
      </c>
      <c r="T590" s="2686">
        <f t="shared" ref="T590:T592" si="842">ROUND(O590*S590,0)</f>
        <v>0</v>
      </c>
      <c r="U590" s="2042"/>
      <c r="V590" s="2501">
        <f t="shared" si="785"/>
        <v>0</v>
      </c>
      <c r="W590" s="2046"/>
      <c r="X590" s="2502"/>
      <c r="Y590" s="2047">
        <v>0</v>
      </c>
      <c r="Z590" s="2500">
        <f t="shared" si="839"/>
        <v>0</v>
      </c>
      <c r="AA590" s="2007"/>
      <c r="AB590" s="2007"/>
      <c r="AC590" s="765">
        <f t="shared" ref="AC590:AC592" si="843">IF(V590=0,0,ROUND(V590/O590,0))</f>
        <v>0</v>
      </c>
      <c r="AD590" s="781">
        <f t="shared" si="789"/>
        <v>0</v>
      </c>
      <c r="AE590" s="778">
        <f t="shared" si="790"/>
        <v>0</v>
      </c>
      <c r="AF590" s="781">
        <f t="shared" si="791"/>
        <v>0</v>
      </c>
      <c r="AG590" s="781">
        <f t="shared" si="792"/>
        <v>0</v>
      </c>
      <c r="AH590" s="781">
        <f t="shared" si="793"/>
        <v>0</v>
      </c>
      <c r="AI590" s="782">
        <f t="shared" si="794"/>
        <v>0</v>
      </c>
      <c r="AJ590" s="781">
        <f t="shared" si="795"/>
        <v>0</v>
      </c>
      <c r="AK590" s="781">
        <f t="shared" si="796"/>
        <v>0</v>
      </c>
      <c r="AL590" s="781">
        <f t="shared" si="797"/>
        <v>0</v>
      </c>
      <c r="AM590" s="781">
        <f t="shared" si="798"/>
        <v>0</v>
      </c>
      <c r="AN590" s="781">
        <f t="shared" si="799"/>
        <v>0</v>
      </c>
      <c r="AO590" s="781">
        <f t="shared" si="800"/>
        <v>0</v>
      </c>
      <c r="AP590" s="781">
        <f t="shared" si="801"/>
        <v>0</v>
      </c>
      <c r="AQ590" s="781">
        <f t="shared" si="802"/>
        <v>0</v>
      </c>
      <c r="AR590" s="781">
        <f t="shared" si="803"/>
        <v>0</v>
      </c>
      <c r="AS590" s="783">
        <f t="shared" si="804"/>
        <v>0</v>
      </c>
    </row>
    <row r="591" spans="1:65" ht="25.5" hidden="1" outlineLevel="1" x14ac:dyDescent="0.25">
      <c r="A591" s="784"/>
      <c r="B591" s="904">
        <f t="shared" si="760"/>
        <v>573</v>
      </c>
      <c r="C591" s="170" t="str">
        <f t="shared" si="757"/>
        <v>69LS</v>
      </c>
      <c r="D591" s="557"/>
      <c r="E591" s="170"/>
      <c r="F591" s="170">
        <v>69</v>
      </c>
      <c r="G591" s="2638" t="s">
        <v>3302</v>
      </c>
      <c r="H591" s="2039">
        <v>0</v>
      </c>
      <c r="I591" s="2008" t="s">
        <v>640</v>
      </c>
      <c r="J591" s="2039"/>
      <c r="K591" s="2039"/>
      <c r="L591" s="488"/>
      <c r="M591" s="2041">
        <v>0</v>
      </c>
      <c r="N591" s="2043">
        <v>1</v>
      </c>
      <c r="O591" s="1967">
        <f t="shared" si="837"/>
        <v>0</v>
      </c>
      <c r="P591" s="2076" t="s">
        <v>39</v>
      </c>
      <c r="Q591" s="2008" t="s">
        <v>39</v>
      </c>
      <c r="R591" s="2011" t="s">
        <v>74</v>
      </c>
      <c r="S591" s="912">
        <f>SUMIF('Data Input sheet'!$B$118:$B$180,R591,'Data Input sheet'!$D$118:$D$180)</f>
        <v>152</v>
      </c>
      <c r="T591" s="2686">
        <f t="shared" si="842"/>
        <v>0</v>
      </c>
      <c r="U591" s="2042">
        <v>14.8</v>
      </c>
      <c r="V591" s="1981">
        <f t="shared" si="785"/>
        <v>0</v>
      </c>
      <c r="W591" s="2046">
        <v>6000</v>
      </c>
      <c r="X591" s="2502"/>
      <c r="Y591" s="2047">
        <v>0</v>
      </c>
      <c r="Z591" s="780">
        <f t="shared" si="839"/>
        <v>6000</v>
      </c>
      <c r="AA591" s="2007" t="s">
        <v>3301</v>
      </c>
      <c r="AB591" s="2007"/>
      <c r="AC591" s="765">
        <f t="shared" si="843"/>
        <v>0</v>
      </c>
      <c r="AD591" s="781">
        <f t="shared" si="789"/>
        <v>0</v>
      </c>
      <c r="AE591" s="778">
        <f t="shared" si="790"/>
        <v>0</v>
      </c>
      <c r="AF591" s="781">
        <f t="shared" si="791"/>
        <v>0</v>
      </c>
      <c r="AG591" s="781">
        <f t="shared" si="792"/>
        <v>0</v>
      </c>
      <c r="AH591" s="781">
        <f t="shared" si="793"/>
        <v>0</v>
      </c>
      <c r="AI591" s="782">
        <f t="shared" si="794"/>
        <v>0</v>
      </c>
      <c r="AJ591" s="781">
        <f t="shared" si="795"/>
        <v>0</v>
      </c>
      <c r="AK591" s="781">
        <f t="shared" si="796"/>
        <v>0</v>
      </c>
      <c r="AL591" s="781">
        <f t="shared" si="797"/>
        <v>0</v>
      </c>
      <c r="AM591" s="781">
        <f t="shared" si="798"/>
        <v>0</v>
      </c>
      <c r="AN591" s="781">
        <f t="shared" si="799"/>
        <v>0</v>
      </c>
      <c r="AO591" s="781">
        <f t="shared" si="800"/>
        <v>0</v>
      </c>
      <c r="AP591" s="781">
        <f t="shared" si="801"/>
        <v>0</v>
      </c>
      <c r="AQ591" s="781">
        <f t="shared" si="802"/>
        <v>0</v>
      </c>
      <c r="AR591" s="781">
        <f t="shared" si="803"/>
        <v>0</v>
      </c>
      <c r="AS591" s="783">
        <f t="shared" si="804"/>
        <v>0</v>
      </c>
    </row>
    <row r="592" spans="1:65" ht="15" hidden="1" outlineLevel="1" x14ac:dyDescent="0.25">
      <c r="A592" s="784"/>
      <c r="B592" s="904">
        <f t="shared" si="760"/>
        <v>574</v>
      </c>
      <c r="C592" s="170" t="str">
        <f t="shared" si="757"/>
        <v>69LS</v>
      </c>
      <c r="D592" s="557"/>
      <c r="E592" s="170"/>
      <c r="F592" s="170">
        <v>69</v>
      </c>
      <c r="G592" s="2492"/>
      <c r="H592" s="2039"/>
      <c r="I592" s="2008" t="s">
        <v>640</v>
      </c>
      <c r="J592" s="2039"/>
      <c r="K592" s="2039"/>
      <c r="L592" s="488"/>
      <c r="M592" s="2041">
        <v>0</v>
      </c>
      <c r="N592" s="2043">
        <v>1</v>
      </c>
      <c r="O592" s="1967">
        <f t="shared" si="837"/>
        <v>0</v>
      </c>
      <c r="P592" s="2076" t="s">
        <v>39</v>
      </c>
      <c r="Q592" s="2008" t="s">
        <v>39</v>
      </c>
      <c r="R592" s="2011" t="s">
        <v>74</v>
      </c>
      <c r="S592" s="912">
        <f>SUMIF('Data Input sheet'!$B$118:$B$180,R592,'Data Input sheet'!$D$118:$D$180)</f>
        <v>152</v>
      </c>
      <c r="T592" s="2686">
        <f t="shared" si="842"/>
        <v>0</v>
      </c>
      <c r="U592" s="2042">
        <v>0</v>
      </c>
      <c r="V592" s="1981">
        <f t="shared" si="785"/>
        <v>0</v>
      </c>
      <c r="W592" s="2046">
        <v>0</v>
      </c>
      <c r="X592" s="2502"/>
      <c r="Y592" s="2047">
        <v>0</v>
      </c>
      <c r="Z592" s="780">
        <f t="shared" si="839"/>
        <v>0</v>
      </c>
      <c r="AA592" s="2007"/>
      <c r="AB592" s="2007"/>
      <c r="AC592" s="765">
        <f t="shared" si="843"/>
        <v>0</v>
      </c>
      <c r="AD592" s="781">
        <f t="shared" si="789"/>
        <v>0</v>
      </c>
      <c r="AE592" s="778">
        <f t="shared" si="790"/>
        <v>0</v>
      </c>
      <c r="AF592" s="781">
        <f t="shared" si="791"/>
        <v>0</v>
      </c>
      <c r="AG592" s="781">
        <f t="shared" si="792"/>
        <v>0</v>
      </c>
      <c r="AH592" s="781">
        <f t="shared" si="793"/>
        <v>0</v>
      </c>
      <c r="AI592" s="782">
        <f t="shared" si="794"/>
        <v>0</v>
      </c>
      <c r="AJ592" s="781">
        <f t="shared" si="795"/>
        <v>0</v>
      </c>
      <c r="AK592" s="781">
        <f t="shared" si="796"/>
        <v>0</v>
      </c>
      <c r="AL592" s="781">
        <f t="shared" si="797"/>
        <v>0</v>
      </c>
      <c r="AM592" s="781">
        <f t="shared" si="798"/>
        <v>0</v>
      </c>
      <c r="AN592" s="781">
        <f t="shared" si="799"/>
        <v>0</v>
      </c>
      <c r="AO592" s="781">
        <f t="shared" si="800"/>
        <v>0</v>
      </c>
      <c r="AP592" s="781">
        <f t="shared" si="801"/>
        <v>0</v>
      </c>
      <c r="AQ592" s="781">
        <f t="shared" si="802"/>
        <v>0</v>
      </c>
      <c r="AR592" s="781">
        <f t="shared" si="803"/>
        <v>0</v>
      </c>
      <c r="AS592" s="783">
        <f t="shared" si="804"/>
        <v>0</v>
      </c>
    </row>
    <row r="593" spans="1:65" ht="15" hidden="1" outlineLevel="1" x14ac:dyDescent="0.25">
      <c r="A593" s="787"/>
      <c r="B593" s="904">
        <f t="shared" si="760"/>
        <v>575</v>
      </c>
      <c r="C593" s="170" t="str">
        <f t="shared" si="757"/>
        <v>0</v>
      </c>
      <c r="D593" s="906"/>
      <c r="E593" s="170"/>
      <c r="F593" s="170">
        <v>0</v>
      </c>
      <c r="G593" s="2007"/>
      <c r="H593" s="2008"/>
      <c r="I593" s="2008"/>
      <c r="J593" s="1926"/>
      <c r="K593" s="1926"/>
      <c r="L593" s="488"/>
      <c r="M593" s="2009">
        <v>0</v>
      </c>
      <c r="N593" s="2010">
        <v>1</v>
      </c>
      <c r="O593" s="773">
        <f t="shared" si="837"/>
        <v>0</v>
      </c>
      <c r="P593" s="2076" t="s">
        <v>39</v>
      </c>
      <c r="Q593" s="2008" t="s">
        <v>39</v>
      </c>
      <c r="R593" s="2011" t="s">
        <v>74</v>
      </c>
      <c r="S593" s="912">
        <f>SUMIF('Data Input sheet'!$B$118:$B$180,R593,'Data Input sheet'!$D$118:$D$180)</f>
        <v>152</v>
      </c>
      <c r="T593" s="2685">
        <f t="shared" si="838"/>
        <v>0</v>
      </c>
      <c r="U593" s="2013">
        <v>0</v>
      </c>
      <c r="V593" s="778">
        <f t="shared" si="785"/>
        <v>0</v>
      </c>
      <c r="W593" s="2010"/>
      <c r="X593" s="779"/>
      <c r="Y593" s="2012">
        <v>0</v>
      </c>
      <c r="Z593" s="780">
        <f t="shared" si="839"/>
        <v>0</v>
      </c>
      <c r="AA593" s="2007"/>
      <c r="AB593" s="2007"/>
      <c r="AC593" s="765"/>
      <c r="AD593" s="781">
        <f t="shared" si="789"/>
        <v>0</v>
      </c>
      <c r="AE593" s="778">
        <f t="shared" si="790"/>
        <v>0</v>
      </c>
      <c r="AF593" s="781">
        <f t="shared" si="791"/>
        <v>0</v>
      </c>
      <c r="AG593" s="781">
        <f t="shared" si="792"/>
        <v>0</v>
      </c>
      <c r="AH593" s="781">
        <f t="shared" si="793"/>
        <v>0</v>
      </c>
      <c r="AI593" s="782">
        <f t="shared" si="794"/>
        <v>0</v>
      </c>
      <c r="AJ593" s="781">
        <f t="shared" si="795"/>
        <v>0</v>
      </c>
      <c r="AK593" s="781">
        <f t="shared" si="796"/>
        <v>0</v>
      </c>
      <c r="AL593" s="781">
        <f t="shared" si="797"/>
        <v>0</v>
      </c>
      <c r="AM593" s="781">
        <f t="shared" si="798"/>
        <v>0</v>
      </c>
      <c r="AN593" s="781">
        <f t="shared" si="799"/>
        <v>0</v>
      </c>
      <c r="AO593" s="781">
        <f t="shared" si="800"/>
        <v>0</v>
      </c>
      <c r="AP593" s="781">
        <f t="shared" si="801"/>
        <v>0</v>
      </c>
      <c r="AQ593" s="781">
        <f t="shared" si="802"/>
        <v>0</v>
      </c>
      <c r="AR593" s="781">
        <f t="shared" si="803"/>
        <v>0</v>
      </c>
      <c r="AS593" s="783">
        <f t="shared" si="804"/>
        <v>0</v>
      </c>
      <c r="AT593" s="917"/>
      <c r="AV593" s="170"/>
      <c r="AW593" s="832"/>
      <c r="AX593" s="833" t="s">
        <v>3030</v>
      </c>
      <c r="BM593" s="2010"/>
    </row>
    <row r="594" spans="1:65" ht="15.75" hidden="1" outlineLevel="1" collapsed="1" thickBot="1" x14ac:dyDescent="0.3">
      <c r="A594" s="784"/>
      <c r="B594" s="904">
        <f t="shared" si="760"/>
        <v>576</v>
      </c>
      <c r="C594" s="170" t="str">
        <f t="shared" si="757"/>
        <v>EA</v>
      </c>
      <c r="D594" s="557"/>
      <c r="E594" s="170"/>
      <c r="F594" s="170"/>
      <c r="G594" s="2491" t="s">
        <v>3157</v>
      </c>
      <c r="H594" s="2640"/>
      <c r="I594" s="2008" t="s">
        <v>732</v>
      </c>
      <c r="J594" s="2040" t="s">
        <v>96</v>
      </c>
      <c r="K594" s="2039"/>
      <c r="L594" s="488"/>
      <c r="M594" s="2041"/>
      <c r="N594" s="2043"/>
      <c r="O594" s="2499"/>
      <c r="P594" s="2076"/>
      <c r="Q594" s="2008"/>
      <c r="R594" s="2011"/>
      <c r="S594" s="912">
        <f>SUMIF('Data Input sheet'!$B$118:$B$180,R594,'Data Input sheet'!$D$118:$D$180)</f>
        <v>0</v>
      </c>
      <c r="T594" s="2686"/>
      <c r="U594" s="2042"/>
      <c r="V594" s="2501">
        <f t="shared" ref="V594:V601" si="844">ROUND(U594*O594,0)</f>
        <v>0</v>
      </c>
      <c r="W594" s="2043"/>
      <c r="X594" s="2503"/>
      <c r="Y594" s="2047"/>
      <c r="Z594" s="2500"/>
      <c r="AA594" s="2007"/>
      <c r="AB594" s="2007"/>
      <c r="AC594" s="765"/>
      <c r="AD594" s="781">
        <f t="shared" ref="AD594:AD601" si="845">IF(P594="E",+ROUND(H594*O594,0),0)</f>
        <v>0</v>
      </c>
      <c r="AE594" s="778">
        <f t="shared" ref="AE594:AE601" si="846">+AF594-AD594</f>
        <v>0</v>
      </c>
      <c r="AF594" s="781">
        <f t="shared" ref="AF594:AF601" si="847">+H594*O594</f>
        <v>0</v>
      </c>
      <c r="AG594" s="781">
        <f t="shared" ref="AG594:AG601" si="848">IF(P594="E",+ROUND(T594*H594,0),0)</f>
        <v>0</v>
      </c>
      <c r="AH594" s="781">
        <f t="shared" ref="AH594:AH601" si="849">+AI594-AG594</f>
        <v>0</v>
      </c>
      <c r="AI594" s="782">
        <f t="shared" ref="AI594:AI601" si="850">+H594*T594</f>
        <v>0</v>
      </c>
      <c r="AJ594" s="781">
        <f t="shared" ref="AJ594:AJ601" si="851">IF(P594="E",+ROUND(V594*H594,0),0)</f>
        <v>0</v>
      </c>
      <c r="AK594" s="781">
        <f t="shared" ref="AK594:AK601" si="852">+AL594-AJ594</f>
        <v>0</v>
      </c>
      <c r="AL594" s="781">
        <f t="shared" ref="AL594:AL601" si="853">ROUND(V594*H594,0)</f>
        <v>0</v>
      </c>
      <c r="AM594" s="781">
        <f t="shared" ref="AM594:AM601" si="854">IF(Q594="E",+ROUND(W594*H594,0),0)</f>
        <v>0</v>
      </c>
      <c r="AN594" s="781">
        <f t="shared" ref="AN594:AN601" si="855">+AO594-AM594</f>
        <v>0</v>
      </c>
      <c r="AO594" s="781">
        <f t="shared" ref="AO594:AO601" si="856">ROUND(W594*H594,0)</f>
        <v>0</v>
      </c>
      <c r="AP594" s="781">
        <f t="shared" ref="AP594:AP601" si="857">IF(P594="E",+ROUND(Y594*H594,0),0)</f>
        <v>0</v>
      </c>
      <c r="AQ594" s="781">
        <f t="shared" ref="AQ594:AQ601" si="858">+AR594-AP594</f>
        <v>0</v>
      </c>
      <c r="AR594" s="781">
        <f t="shared" ref="AR594:AR601" si="859">ROUND(Y594*H594,0)</f>
        <v>0</v>
      </c>
      <c r="AS594" s="783">
        <f t="shared" ref="AS594:AS601" si="860">+AR594+AO594+AL594+AI594</f>
        <v>0</v>
      </c>
      <c r="AT594" s="917"/>
      <c r="AW594" s="832"/>
      <c r="AX594" s="833"/>
    </row>
    <row r="595" spans="1:65" ht="15" hidden="1" outlineLevel="1" x14ac:dyDescent="0.25">
      <c r="A595" s="784"/>
      <c r="B595" s="904">
        <f t="shared" si="760"/>
        <v>577</v>
      </c>
      <c r="C595" s="170" t="str">
        <f t="shared" si="757"/>
        <v>41EA</v>
      </c>
      <c r="D595" s="557"/>
      <c r="E595" s="170"/>
      <c r="F595" s="170">
        <v>41</v>
      </c>
      <c r="G595" s="2495" t="s">
        <v>3158</v>
      </c>
      <c r="H595" s="2039"/>
      <c r="I595" s="2008" t="s">
        <v>732</v>
      </c>
      <c r="J595" s="2040" t="s">
        <v>96</v>
      </c>
      <c r="K595" s="2039"/>
      <c r="L595" s="488"/>
      <c r="M595" s="2041">
        <v>16</v>
      </c>
      <c r="N595" s="2043">
        <v>1</v>
      </c>
      <c r="O595" s="1967">
        <f t="shared" ref="O595:O601" si="861">+M595*N595</f>
        <v>16</v>
      </c>
      <c r="P595" s="2076" t="s">
        <v>39</v>
      </c>
      <c r="Q595" s="2008" t="s">
        <v>39</v>
      </c>
      <c r="R595" s="2011" t="s">
        <v>74</v>
      </c>
      <c r="S595" s="912">
        <f>SUMIF('Data Input sheet'!$B$118:$B$180,R595,'Data Input sheet'!$D$118:$D$180)</f>
        <v>152</v>
      </c>
      <c r="T595" s="2686">
        <f t="shared" ref="T595:T601" si="862">ROUND(O595*S595,0)</f>
        <v>2432</v>
      </c>
      <c r="U595" s="2042">
        <v>35</v>
      </c>
      <c r="V595" s="1969">
        <f t="shared" si="844"/>
        <v>560</v>
      </c>
      <c r="W595" s="2043">
        <v>492.47</v>
      </c>
      <c r="X595" s="2502"/>
      <c r="Y595" s="2047">
        <v>0</v>
      </c>
      <c r="Z595" s="780">
        <f t="shared" ref="Z595:Z601" si="863">T595+V595+W595+Y595</f>
        <v>3484.4700000000003</v>
      </c>
      <c r="AA595" s="2007"/>
      <c r="AB595" s="2007" t="s">
        <v>3159</v>
      </c>
      <c r="AC595" s="765"/>
      <c r="AD595" s="781">
        <f t="shared" si="845"/>
        <v>0</v>
      </c>
      <c r="AE595" s="778">
        <f t="shared" si="846"/>
        <v>0</v>
      </c>
      <c r="AF595" s="781">
        <f t="shared" si="847"/>
        <v>0</v>
      </c>
      <c r="AG595" s="781">
        <f t="shared" si="848"/>
        <v>0</v>
      </c>
      <c r="AH595" s="781">
        <f t="shared" si="849"/>
        <v>0</v>
      </c>
      <c r="AI595" s="782">
        <f t="shared" si="850"/>
        <v>0</v>
      </c>
      <c r="AJ595" s="781">
        <f t="shared" si="851"/>
        <v>0</v>
      </c>
      <c r="AK595" s="781">
        <f t="shared" si="852"/>
        <v>0</v>
      </c>
      <c r="AL595" s="781">
        <f t="shared" si="853"/>
        <v>0</v>
      </c>
      <c r="AM595" s="781">
        <f t="shared" si="854"/>
        <v>0</v>
      </c>
      <c r="AN595" s="781">
        <f t="shared" si="855"/>
        <v>0</v>
      </c>
      <c r="AO595" s="781">
        <f t="shared" si="856"/>
        <v>0</v>
      </c>
      <c r="AP595" s="781">
        <f t="shared" si="857"/>
        <v>0</v>
      </c>
      <c r="AQ595" s="781">
        <f t="shared" si="858"/>
        <v>0</v>
      </c>
      <c r="AR595" s="781">
        <f t="shared" si="859"/>
        <v>0</v>
      </c>
      <c r="AS595" s="783">
        <f t="shared" si="860"/>
        <v>0</v>
      </c>
      <c r="AT595" s="917"/>
      <c r="AW595" s="832"/>
      <c r="AX595" s="833" t="s">
        <v>3160</v>
      </c>
    </row>
    <row r="596" spans="1:65" ht="15" hidden="1" outlineLevel="1" x14ac:dyDescent="0.25">
      <c r="A596" s="784"/>
      <c r="B596" s="904">
        <f t="shared" si="760"/>
        <v>578</v>
      </c>
      <c r="C596" s="170" t="str">
        <f t="shared" si="757"/>
        <v>41EA</v>
      </c>
      <c r="D596" s="557"/>
      <c r="E596" s="170"/>
      <c r="F596" s="170">
        <v>41</v>
      </c>
      <c r="G596" s="2495" t="s">
        <v>3161</v>
      </c>
      <c r="H596" s="2039"/>
      <c r="I596" s="2008" t="s">
        <v>732</v>
      </c>
      <c r="J596" s="2040" t="s">
        <v>96</v>
      </c>
      <c r="K596" s="2039"/>
      <c r="L596" s="488"/>
      <c r="M596" s="2041">
        <v>16</v>
      </c>
      <c r="N596" s="2043">
        <v>1</v>
      </c>
      <c r="O596" s="1967">
        <f t="shared" si="861"/>
        <v>16</v>
      </c>
      <c r="P596" s="2076" t="s">
        <v>39</v>
      </c>
      <c r="Q596" s="2008" t="s">
        <v>39</v>
      </c>
      <c r="R596" s="2011" t="s">
        <v>74</v>
      </c>
      <c r="S596" s="912">
        <f>SUMIF('Data Input sheet'!$B$118:$B$180,R596,'Data Input sheet'!$D$118:$D$180)</f>
        <v>152</v>
      </c>
      <c r="T596" s="2686">
        <f t="shared" si="862"/>
        <v>2432</v>
      </c>
      <c r="U596" s="2042">
        <v>35</v>
      </c>
      <c r="V596" s="1969">
        <f t="shared" si="844"/>
        <v>560</v>
      </c>
      <c r="W596" s="2043">
        <v>702.17</v>
      </c>
      <c r="X596" s="2502"/>
      <c r="Y596" s="2047">
        <v>0</v>
      </c>
      <c r="Z596" s="780">
        <f t="shared" si="863"/>
        <v>3694.17</v>
      </c>
      <c r="AA596" s="2007"/>
      <c r="AB596" s="2007" t="s">
        <v>3159</v>
      </c>
      <c r="AC596" s="765"/>
      <c r="AD596" s="781">
        <f t="shared" si="845"/>
        <v>0</v>
      </c>
      <c r="AE596" s="778">
        <f t="shared" si="846"/>
        <v>0</v>
      </c>
      <c r="AF596" s="781">
        <f t="shared" si="847"/>
        <v>0</v>
      </c>
      <c r="AG596" s="781">
        <f t="shared" si="848"/>
        <v>0</v>
      </c>
      <c r="AH596" s="781">
        <f t="shared" si="849"/>
        <v>0</v>
      </c>
      <c r="AI596" s="782">
        <f t="shared" si="850"/>
        <v>0</v>
      </c>
      <c r="AJ596" s="781">
        <f t="shared" si="851"/>
        <v>0</v>
      </c>
      <c r="AK596" s="781">
        <f t="shared" si="852"/>
        <v>0</v>
      </c>
      <c r="AL596" s="781">
        <f t="shared" si="853"/>
        <v>0</v>
      </c>
      <c r="AM596" s="781">
        <f t="shared" si="854"/>
        <v>0</v>
      </c>
      <c r="AN596" s="781">
        <f t="shared" si="855"/>
        <v>0</v>
      </c>
      <c r="AO596" s="781">
        <f t="shared" si="856"/>
        <v>0</v>
      </c>
      <c r="AP596" s="781">
        <f t="shared" si="857"/>
        <v>0</v>
      </c>
      <c r="AQ596" s="781">
        <f t="shared" si="858"/>
        <v>0</v>
      </c>
      <c r="AR596" s="781">
        <f t="shared" si="859"/>
        <v>0</v>
      </c>
      <c r="AS596" s="783">
        <f t="shared" si="860"/>
        <v>0</v>
      </c>
      <c r="AT596" s="917"/>
      <c r="AW596" s="832"/>
      <c r="AX596" s="833" t="s">
        <v>3162</v>
      </c>
    </row>
    <row r="597" spans="1:65" ht="15" hidden="1" outlineLevel="1" x14ac:dyDescent="0.25">
      <c r="A597" s="784"/>
      <c r="B597" s="904">
        <f t="shared" si="760"/>
        <v>579</v>
      </c>
      <c r="C597" s="170" t="str">
        <f t="shared" si="757"/>
        <v>41EA</v>
      </c>
      <c r="D597" s="557"/>
      <c r="E597" s="170"/>
      <c r="F597" s="170">
        <v>41</v>
      </c>
      <c r="G597" s="2495" t="s">
        <v>3163</v>
      </c>
      <c r="H597" s="2039"/>
      <c r="I597" s="2008" t="s">
        <v>732</v>
      </c>
      <c r="J597" s="2040" t="s">
        <v>96</v>
      </c>
      <c r="K597" s="2039"/>
      <c r="L597" s="488"/>
      <c r="M597" s="2041">
        <v>16</v>
      </c>
      <c r="N597" s="2043">
        <v>1</v>
      </c>
      <c r="O597" s="1967">
        <f t="shared" si="861"/>
        <v>16</v>
      </c>
      <c r="P597" s="2076" t="s">
        <v>39</v>
      </c>
      <c r="Q597" s="2008" t="s">
        <v>39</v>
      </c>
      <c r="R597" s="2011" t="s">
        <v>74</v>
      </c>
      <c r="S597" s="912">
        <f>SUMIF('Data Input sheet'!$B$118:$B$180,R597,'Data Input sheet'!$D$118:$D$180)</f>
        <v>152</v>
      </c>
      <c r="T597" s="2686">
        <f t="shared" si="862"/>
        <v>2432</v>
      </c>
      <c r="U597" s="2042">
        <v>35</v>
      </c>
      <c r="V597" s="1969">
        <f t="shared" si="844"/>
        <v>560</v>
      </c>
      <c r="W597" s="2043">
        <v>952.02</v>
      </c>
      <c r="X597" s="2502"/>
      <c r="Y597" s="2047">
        <v>0</v>
      </c>
      <c r="Z597" s="780">
        <f t="shared" si="863"/>
        <v>3944.02</v>
      </c>
      <c r="AA597" s="2007"/>
      <c r="AB597" s="2007" t="s">
        <v>3159</v>
      </c>
      <c r="AC597" s="765"/>
      <c r="AD597" s="781">
        <f t="shared" si="845"/>
        <v>0</v>
      </c>
      <c r="AE597" s="778">
        <f t="shared" si="846"/>
        <v>0</v>
      </c>
      <c r="AF597" s="781">
        <f t="shared" si="847"/>
        <v>0</v>
      </c>
      <c r="AG597" s="781">
        <f t="shared" si="848"/>
        <v>0</v>
      </c>
      <c r="AH597" s="781">
        <f t="shared" si="849"/>
        <v>0</v>
      </c>
      <c r="AI597" s="782">
        <f t="shared" si="850"/>
        <v>0</v>
      </c>
      <c r="AJ597" s="781">
        <f t="shared" si="851"/>
        <v>0</v>
      </c>
      <c r="AK597" s="781">
        <f t="shared" si="852"/>
        <v>0</v>
      </c>
      <c r="AL597" s="781">
        <f t="shared" si="853"/>
        <v>0</v>
      </c>
      <c r="AM597" s="781">
        <f t="shared" si="854"/>
        <v>0</v>
      </c>
      <c r="AN597" s="781">
        <f t="shared" si="855"/>
        <v>0</v>
      </c>
      <c r="AO597" s="781">
        <f t="shared" si="856"/>
        <v>0</v>
      </c>
      <c r="AP597" s="781">
        <f t="shared" si="857"/>
        <v>0</v>
      </c>
      <c r="AQ597" s="781">
        <f t="shared" si="858"/>
        <v>0</v>
      </c>
      <c r="AR597" s="781">
        <f t="shared" si="859"/>
        <v>0</v>
      </c>
      <c r="AS597" s="783">
        <f t="shared" si="860"/>
        <v>0</v>
      </c>
      <c r="AT597" s="917"/>
      <c r="AW597" s="832"/>
      <c r="AX597" s="833" t="s">
        <v>3162</v>
      </c>
    </row>
    <row r="598" spans="1:65" ht="15" hidden="1" outlineLevel="1" x14ac:dyDescent="0.25">
      <c r="A598" s="784"/>
      <c r="B598" s="904">
        <f t="shared" si="760"/>
        <v>580</v>
      </c>
      <c r="C598" s="170" t="str">
        <f t="shared" si="757"/>
        <v>41EA</v>
      </c>
      <c r="D598" s="557"/>
      <c r="E598" s="170"/>
      <c r="F598" s="170">
        <v>41</v>
      </c>
      <c r="G598" s="2495" t="s">
        <v>3164</v>
      </c>
      <c r="H598" s="2039"/>
      <c r="I598" s="2008" t="s">
        <v>732</v>
      </c>
      <c r="J598" s="2040" t="s">
        <v>96</v>
      </c>
      <c r="K598" s="2039"/>
      <c r="L598" s="488"/>
      <c r="M598" s="2041">
        <v>16</v>
      </c>
      <c r="N598" s="2043">
        <v>1</v>
      </c>
      <c r="O598" s="1967">
        <f t="shared" si="861"/>
        <v>16</v>
      </c>
      <c r="P598" s="2076" t="s">
        <v>39</v>
      </c>
      <c r="Q598" s="2008" t="s">
        <v>39</v>
      </c>
      <c r="R598" s="2011" t="s">
        <v>74</v>
      </c>
      <c r="S598" s="912">
        <f>SUMIF('Data Input sheet'!$B$118:$B$180,R598,'Data Input sheet'!$D$118:$D$180)</f>
        <v>152</v>
      </c>
      <c r="T598" s="2686">
        <f t="shared" si="862"/>
        <v>2432</v>
      </c>
      <c r="U598" s="2042">
        <v>35</v>
      </c>
      <c r="V598" s="1969">
        <f t="shared" si="844"/>
        <v>560</v>
      </c>
      <c r="W598" s="2043">
        <v>1124.5</v>
      </c>
      <c r="X598" s="2502"/>
      <c r="Y598" s="2047">
        <v>0</v>
      </c>
      <c r="Z598" s="780">
        <f t="shared" si="863"/>
        <v>4116.5</v>
      </c>
      <c r="AA598" s="2007"/>
      <c r="AB598" s="2007" t="s">
        <v>3159</v>
      </c>
      <c r="AC598" s="765"/>
      <c r="AD598" s="781">
        <f t="shared" si="845"/>
        <v>0</v>
      </c>
      <c r="AE598" s="778">
        <f t="shared" si="846"/>
        <v>0</v>
      </c>
      <c r="AF598" s="781">
        <f t="shared" si="847"/>
        <v>0</v>
      </c>
      <c r="AG598" s="781">
        <f t="shared" si="848"/>
        <v>0</v>
      </c>
      <c r="AH598" s="781">
        <f t="shared" si="849"/>
        <v>0</v>
      </c>
      <c r="AI598" s="782">
        <f t="shared" si="850"/>
        <v>0</v>
      </c>
      <c r="AJ598" s="781">
        <f t="shared" si="851"/>
        <v>0</v>
      </c>
      <c r="AK598" s="781">
        <f t="shared" si="852"/>
        <v>0</v>
      </c>
      <c r="AL598" s="781">
        <f t="shared" si="853"/>
        <v>0</v>
      </c>
      <c r="AM598" s="781">
        <f t="shared" si="854"/>
        <v>0</v>
      </c>
      <c r="AN598" s="781">
        <f t="shared" si="855"/>
        <v>0</v>
      </c>
      <c r="AO598" s="781">
        <f t="shared" si="856"/>
        <v>0</v>
      </c>
      <c r="AP598" s="781">
        <f t="shared" si="857"/>
        <v>0</v>
      </c>
      <c r="AQ598" s="781">
        <f t="shared" si="858"/>
        <v>0</v>
      </c>
      <c r="AR598" s="781">
        <f t="shared" si="859"/>
        <v>0</v>
      </c>
      <c r="AS598" s="783">
        <f t="shared" si="860"/>
        <v>0</v>
      </c>
      <c r="AT598" s="917"/>
      <c r="AW598" s="832"/>
      <c r="AX598" s="833" t="s">
        <v>3162</v>
      </c>
    </row>
    <row r="599" spans="1:65" ht="15" hidden="1" outlineLevel="1" x14ac:dyDescent="0.25">
      <c r="A599" s="784"/>
      <c r="B599" s="904">
        <f t="shared" si="760"/>
        <v>581</v>
      </c>
      <c r="C599" s="170" t="str">
        <f t="shared" si="757"/>
        <v>41EA</v>
      </c>
      <c r="D599" s="557"/>
      <c r="E599" s="170"/>
      <c r="F599" s="170">
        <v>41</v>
      </c>
      <c r="G599" s="2495" t="s">
        <v>1678</v>
      </c>
      <c r="H599" s="2039"/>
      <c r="I599" s="2008" t="s">
        <v>732</v>
      </c>
      <c r="J599" s="2040" t="s">
        <v>96</v>
      </c>
      <c r="K599" s="2039"/>
      <c r="L599" s="488"/>
      <c r="M599" s="2041">
        <v>16</v>
      </c>
      <c r="N599" s="2043">
        <v>1</v>
      </c>
      <c r="O599" s="1967">
        <f t="shared" si="861"/>
        <v>16</v>
      </c>
      <c r="P599" s="2076" t="s">
        <v>39</v>
      </c>
      <c r="Q599" s="2008" t="s">
        <v>39</v>
      </c>
      <c r="R599" s="2011" t="s">
        <v>74</v>
      </c>
      <c r="S599" s="912">
        <f>SUMIF('Data Input sheet'!$B$118:$B$180,R599,'Data Input sheet'!$D$118:$D$180)</f>
        <v>152</v>
      </c>
      <c r="T599" s="2686">
        <f t="shared" si="862"/>
        <v>2432</v>
      </c>
      <c r="U599" s="2042">
        <v>35</v>
      </c>
      <c r="V599" s="1969">
        <f t="shared" si="844"/>
        <v>560</v>
      </c>
      <c r="W599" s="2043">
        <v>1562.2</v>
      </c>
      <c r="X599" s="2502"/>
      <c r="Y599" s="2047">
        <v>0</v>
      </c>
      <c r="Z599" s="780">
        <f t="shared" si="863"/>
        <v>4554.2</v>
      </c>
      <c r="AA599" s="2007"/>
      <c r="AB599" s="2007" t="s">
        <v>3159</v>
      </c>
      <c r="AC599" s="765"/>
      <c r="AD599" s="781">
        <f t="shared" si="845"/>
        <v>0</v>
      </c>
      <c r="AE599" s="778">
        <f t="shared" si="846"/>
        <v>0</v>
      </c>
      <c r="AF599" s="781">
        <f t="shared" si="847"/>
        <v>0</v>
      </c>
      <c r="AG599" s="781">
        <f t="shared" si="848"/>
        <v>0</v>
      </c>
      <c r="AH599" s="781">
        <f t="shared" si="849"/>
        <v>0</v>
      </c>
      <c r="AI599" s="782">
        <f t="shared" si="850"/>
        <v>0</v>
      </c>
      <c r="AJ599" s="781">
        <f t="shared" si="851"/>
        <v>0</v>
      </c>
      <c r="AK599" s="781">
        <f t="shared" si="852"/>
        <v>0</v>
      </c>
      <c r="AL599" s="781">
        <f t="shared" si="853"/>
        <v>0</v>
      </c>
      <c r="AM599" s="781">
        <f t="shared" si="854"/>
        <v>0</v>
      </c>
      <c r="AN599" s="781">
        <f t="shared" si="855"/>
        <v>0</v>
      </c>
      <c r="AO599" s="781">
        <f t="shared" si="856"/>
        <v>0</v>
      </c>
      <c r="AP599" s="781">
        <f t="shared" si="857"/>
        <v>0</v>
      </c>
      <c r="AQ599" s="781">
        <f t="shared" si="858"/>
        <v>0</v>
      </c>
      <c r="AR599" s="781">
        <f t="shared" si="859"/>
        <v>0</v>
      </c>
      <c r="AS599" s="783">
        <f t="shared" si="860"/>
        <v>0</v>
      </c>
      <c r="AT599" s="917"/>
      <c r="AW599" s="832"/>
      <c r="AX599" s="833" t="s">
        <v>3162</v>
      </c>
    </row>
    <row r="600" spans="1:65" ht="15" hidden="1" outlineLevel="1" x14ac:dyDescent="0.25">
      <c r="A600" s="784"/>
      <c r="B600" s="904">
        <f t="shared" si="760"/>
        <v>582</v>
      </c>
      <c r="C600" s="170" t="str">
        <f t="shared" si="757"/>
        <v>41EA</v>
      </c>
      <c r="D600" s="557"/>
      <c r="E600" s="170"/>
      <c r="F600" s="170">
        <v>41</v>
      </c>
      <c r="G600" s="2495" t="s">
        <v>3165</v>
      </c>
      <c r="H600" s="2039"/>
      <c r="I600" s="2008" t="s">
        <v>732</v>
      </c>
      <c r="J600" s="2040" t="s">
        <v>96</v>
      </c>
      <c r="K600" s="2039"/>
      <c r="L600" s="488"/>
      <c r="M600" s="2041">
        <v>16</v>
      </c>
      <c r="N600" s="2043">
        <v>1</v>
      </c>
      <c r="O600" s="1967">
        <f t="shared" si="861"/>
        <v>16</v>
      </c>
      <c r="P600" s="2076" t="s">
        <v>39</v>
      </c>
      <c r="Q600" s="2008" t="s">
        <v>39</v>
      </c>
      <c r="R600" s="2011" t="s">
        <v>74</v>
      </c>
      <c r="S600" s="912">
        <f>SUMIF('Data Input sheet'!$B$118:$B$180,R600,'Data Input sheet'!$D$118:$D$180)</f>
        <v>152</v>
      </c>
      <c r="T600" s="2686">
        <f t="shared" si="862"/>
        <v>2432</v>
      </c>
      <c r="U600" s="2042">
        <v>35</v>
      </c>
      <c r="V600" s="1969">
        <f t="shared" si="844"/>
        <v>560</v>
      </c>
      <c r="W600" s="2043">
        <v>2000</v>
      </c>
      <c r="X600" s="2502"/>
      <c r="Y600" s="2047">
        <v>0</v>
      </c>
      <c r="Z600" s="780">
        <f t="shared" si="863"/>
        <v>4992</v>
      </c>
      <c r="AA600" s="2007"/>
      <c r="AB600" s="2007" t="s">
        <v>3159</v>
      </c>
      <c r="AC600" s="765"/>
      <c r="AD600" s="781">
        <f t="shared" si="845"/>
        <v>0</v>
      </c>
      <c r="AE600" s="778">
        <f t="shared" si="846"/>
        <v>0</v>
      </c>
      <c r="AF600" s="781">
        <f t="shared" si="847"/>
        <v>0</v>
      </c>
      <c r="AG600" s="781">
        <f t="shared" si="848"/>
        <v>0</v>
      </c>
      <c r="AH600" s="781">
        <f t="shared" si="849"/>
        <v>0</v>
      </c>
      <c r="AI600" s="782">
        <f t="shared" si="850"/>
        <v>0</v>
      </c>
      <c r="AJ600" s="781">
        <f t="shared" si="851"/>
        <v>0</v>
      </c>
      <c r="AK600" s="781">
        <f t="shared" si="852"/>
        <v>0</v>
      </c>
      <c r="AL600" s="781">
        <f t="shared" si="853"/>
        <v>0</v>
      </c>
      <c r="AM600" s="781">
        <f t="shared" si="854"/>
        <v>0</v>
      </c>
      <c r="AN600" s="781">
        <f t="shared" si="855"/>
        <v>0</v>
      </c>
      <c r="AO600" s="781">
        <f t="shared" si="856"/>
        <v>0</v>
      </c>
      <c r="AP600" s="781">
        <f t="shared" si="857"/>
        <v>0</v>
      </c>
      <c r="AQ600" s="781">
        <f t="shared" si="858"/>
        <v>0</v>
      </c>
      <c r="AR600" s="781">
        <f t="shared" si="859"/>
        <v>0</v>
      </c>
      <c r="AS600" s="783">
        <f t="shared" si="860"/>
        <v>0</v>
      </c>
      <c r="AT600" s="917"/>
      <c r="AW600" s="832"/>
      <c r="AX600" s="833" t="s">
        <v>3162</v>
      </c>
    </row>
    <row r="601" spans="1:65" ht="14.25" hidden="1" customHeight="1" outlineLevel="1" x14ac:dyDescent="0.25">
      <c r="A601" s="784"/>
      <c r="B601" s="904">
        <f t="shared" si="760"/>
        <v>583</v>
      </c>
      <c r="C601" s="170" t="str">
        <f t="shared" si="757"/>
        <v>41EA</v>
      </c>
      <c r="D601" s="557"/>
      <c r="E601" s="170"/>
      <c r="F601" s="170">
        <v>41</v>
      </c>
      <c r="G601" s="2495" t="s">
        <v>3166</v>
      </c>
      <c r="H601" s="2039"/>
      <c r="I601" s="2008" t="s">
        <v>732</v>
      </c>
      <c r="J601" s="2040" t="s">
        <v>96</v>
      </c>
      <c r="K601" s="2039"/>
      <c r="L601" s="488"/>
      <c r="M601" s="2041">
        <v>16</v>
      </c>
      <c r="N601" s="2043">
        <v>1</v>
      </c>
      <c r="O601" s="1967">
        <f t="shared" si="861"/>
        <v>16</v>
      </c>
      <c r="P601" s="2076" t="s">
        <v>39</v>
      </c>
      <c r="Q601" s="2008" t="s">
        <v>39</v>
      </c>
      <c r="R601" s="2011" t="s">
        <v>74</v>
      </c>
      <c r="S601" s="912">
        <f>SUMIF('Data Input sheet'!$B$118:$B$180,R601,'Data Input sheet'!$D$118:$D$180)</f>
        <v>152</v>
      </c>
      <c r="T601" s="2686">
        <f t="shared" si="862"/>
        <v>2432</v>
      </c>
      <c r="U601" s="2042">
        <v>35</v>
      </c>
      <c r="V601" s="1969">
        <f t="shared" si="844"/>
        <v>560</v>
      </c>
      <c r="W601" s="2043">
        <v>2544.6999999999998</v>
      </c>
      <c r="X601" s="2502"/>
      <c r="Y601" s="2047">
        <v>0</v>
      </c>
      <c r="Z601" s="780">
        <f t="shared" si="863"/>
        <v>5536.7</v>
      </c>
      <c r="AA601" s="2007"/>
      <c r="AB601" s="2007" t="s">
        <v>3159</v>
      </c>
      <c r="AC601" s="765"/>
      <c r="AD601" s="781">
        <f t="shared" si="845"/>
        <v>0</v>
      </c>
      <c r="AE601" s="778">
        <f t="shared" si="846"/>
        <v>0</v>
      </c>
      <c r="AF601" s="781">
        <f t="shared" si="847"/>
        <v>0</v>
      </c>
      <c r="AG601" s="781">
        <f t="shared" si="848"/>
        <v>0</v>
      </c>
      <c r="AH601" s="781">
        <f t="shared" si="849"/>
        <v>0</v>
      </c>
      <c r="AI601" s="782">
        <f t="shared" si="850"/>
        <v>0</v>
      </c>
      <c r="AJ601" s="781">
        <f t="shared" si="851"/>
        <v>0</v>
      </c>
      <c r="AK601" s="781">
        <f t="shared" si="852"/>
        <v>0</v>
      </c>
      <c r="AL601" s="781">
        <f t="shared" si="853"/>
        <v>0</v>
      </c>
      <c r="AM601" s="781">
        <f t="shared" si="854"/>
        <v>0</v>
      </c>
      <c r="AN601" s="781">
        <f t="shared" si="855"/>
        <v>0</v>
      </c>
      <c r="AO601" s="781">
        <f t="shared" si="856"/>
        <v>0</v>
      </c>
      <c r="AP601" s="781">
        <f t="shared" si="857"/>
        <v>0</v>
      </c>
      <c r="AQ601" s="781">
        <f t="shared" si="858"/>
        <v>0</v>
      </c>
      <c r="AR601" s="781">
        <f t="shared" si="859"/>
        <v>0</v>
      </c>
      <c r="AS601" s="783">
        <f t="shared" si="860"/>
        <v>0</v>
      </c>
      <c r="AT601" s="917"/>
      <c r="AW601" s="832"/>
      <c r="AX601" s="833" t="s">
        <v>3162</v>
      </c>
    </row>
    <row r="602" spans="1:65" ht="15" hidden="1" outlineLevel="1" x14ac:dyDescent="0.25">
      <c r="A602" s="787"/>
      <c r="B602" s="904">
        <f t="shared" si="760"/>
        <v>584</v>
      </c>
      <c r="C602" s="170" t="str">
        <f t="shared" ref="C602:C620" si="864">+F602&amp;I602</f>
        <v>0</v>
      </c>
      <c r="D602" s="906"/>
      <c r="E602" s="170"/>
      <c r="F602" s="170">
        <v>0</v>
      </c>
      <c r="G602" s="2007"/>
      <c r="H602" s="2008"/>
      <c r="I602" s="2008"/>
      <c r="J602" s="1926"/>
      <c r="K602" s="1926"/>
      <c r="L602" s="488"/>
      <c r="M602" s="2009">
        <v>0</v>
      </c>
      <c r="N602" s="2010">
        <v>1</v>
      </c>
      <c r="O602" s="773">
        <f t="shared" si="837"/>
        <v>0</v>
      </c>
      <c r="P602" s="2076" t="s">
        <v>39</v>
      </c>
      <c r="Q602" s="2008" t="s">
        <v>39</v>
      </c>
      <c r="R602" s="2011" t="s">
        <v>74</v>
      </c>
      <c r="S602" s="912">
        <f>SUMIF('Data Input sheet'!$B$118:$B$180,R602,'Data Input sheet'!$D$118:$D$180)</f>
        <v>152</v>
      </c>
      <c r="T602" s="2685">
        <f t="shared" si="838"/>
        <v>0</v>
      </c>
      <c r="U602" s="2013">
        <v>0</v>
      </c>
      <c r="V602" s="778">
        <f t="shared" si="785"/>
        <v>0</v>
      </c>
      <c r="W602" s="2010"/>
      <c r="X602" s="779"/>
      <c r="Y602" s="2012">
        <v>0</v>
      </c>
      <c r="Z602" s="780">
        <f t="shared" si="839"/>
        <v>0</v>
      </c>
      <c r="AA602" s="2007"/>
      <c r="AB602" s="2007"/>
      <c r="AC602" s="765"/>
      <c r="AD602" s="781">
        <f t="shared" si="789"/>
        <v>0</v>
      </c>
      <c r="AE602" s="778">
        <f t="shared" si="790"/>
        <v>0</v>
      </c>
      <c r="AF602" s="781">
        <f t="shared" si="791"/>
        <v>0</v>
      </c>
      <c r="AG602" s="781">
        <f t="shared" si="792"/>
        <v>0</v>
      </c>
      <c r="AH602" s="781">
        <f t="shared" si="793"/>
        <v>0</v>
      </c>
      <c r="AI602" s="782">
        <f t="shared" si="794"/>
        <v>0</v>
      </c>
      <c r="AJ602" s="781">
        <f t="shared" si="795"/>
        <v>0</v>
      </c>
      <c r="AK602" s="781">
        <f t="shared" si="796"/>
        <v>0</v>
      </c>
      <c r="AL602" s="781">
        <f t="shared" si="797"/>
        <v>0</v>
      </c>
      <c r="AM602" s="781">
        <f t="shared" si="798"/>
        <v>0</v>
      </c>
      <c r="AN602" s="781">
        <f t="shared" si="799"/>
        <v>0</v>
      </c>
      <c r="AO602" s="781">
        <f t="shared" si="800"/>
        <v>0</v>
      </c>
      <c r="AP602" s="781">
        <f t="shared" si="801"/>
        <v>0</v>
      </c>
      <c r="AQ602" s="781">
        <f t="shared" si="802"/>
        <v>0</v>
      </c>
      <c r="AR602" s="781">
        <f t="shared" si="803"/>
        <v>0</v>
      </c>
      <c r="AS602" s="783">
        <f t="shared" si="804"/>
        <v>0</v>
      </c>
      <c r="AT602" s="917"/>
      <c r="AV602" s="170"/>
      <c r="AW602" s="832"/>
      <c r="AX602" s="833" t="s">
        <v>3030</v>
      </c>
      <c r="BM602" s="2010"/>
    </row>
    <row r="603" spans="1:65" ht="25.5" hidden="1" outlineLevel="1" x14ac:dyDescent="0.25">
      <c r="A603" s="784"/>
      <c r="B603" s="904">
        <f t="shared" si="760"/>
        <v>585</v>
      </c>
      <c r="C603" s="170" t="str">
        <f t="shared" si="864"/>
        <v>EA</v>
      </c>
      <c r="D603" s="557"/>
      <c r="E603" s="170"/>
      <c r="F603" s="721"/>
      <c r="G603" s="2007" t="s">
        <v>1908</v>
      </c>
      <c r="H603" s="1926"/>
      <c r="I603" s="2008" t="s">
        <v>732</v>
      </c>
      <c r="J603" s="1926"/>
      <c r="K603" s="1926"/>
      <c r="L603" s="170"/>
      <c r="M603" s="2009">
        <v>2</v>
      </c>
      <c r="N603" s="2010">
        <v>1</v>
      </c>
      <c r="O603" s="773">
        <f t="shared" ref="O603:O607" si="865">+M603*N603</f>
        <v>2</v>
      </c>
      <c r="P603" s="2076" t="s">
        <v>39</v>
      </c>
      <c r="Q603" s="2008" t="s">
        <v>39</v>
      </c>
      <c r="R603" s="2011" t="s">
        <v>74</v>
      </c>
      <c r="S603" s="912">
        <f>SUMIF('Data Input sheet'!$B$118:$B$180,R603,'Data Input sheet'!$D$118:$D$180)</f>
        <v>152</v>
      </c>
      <c r="T603" s="2685">
        <f t="shared" ref="T603:T608" si="866">+O603*S603</f>
        <v>304</v>
      </c>
      <c r="U603" s="2013">
        <v>35</v>
      </c>
      <c r="V603" s="778">
        <f t="shared" ref="V603:V608" si="867">ROUND(U603*O603,0)</f>
        <v>70</v>
      </c>
      <c r="W603" s="2010">
        <v>738</v>
      </c>
      <c r="X603" s="779"/>
      <c r="Y603" s="2012"/>
      <c r="Z603" s="780">
        <f t="shared" ref="Z603:Z608" si="868">T603+V603+W603+Y603</f>
        <v>1112</v>
      </c>
      <c r="AA603" s="2007"/>
      <c r="AB603" s="1862"/>
      <c r="AC603" s="765"/>
      <c r="AD603" s="781">
        <f t="shared" ref="AD603:AD608" si="869">IF(P603="E",+ROUND(H603*O603,0),0)</f>
        <v>0</v>
      </c>
      <c r="AE603" s="778">
        <f t="shared" ref="AE603:AE608" si="870">+AF603-AD603</f>
        <v>0</v>
      </c>
      <c r="AF603" s="781">
        <f t="shared" ref="AF603:AF608" si="871">+H603*O603</f>
        <v>0</v>
      </c>
      <c r="AG603" s="781">
        <f t="shared" ref="AG603:AG608" si="872">IF(P603="E",+ROUND(T603*H603,0),0)</f>
        <v>0</v>
      </c>
      <c r="AH603" s="781">
        <f t="shared" ref="AH603:AH608" si="873">+AI603-AG603</f>
        <v>0</v>
      </c>
      <c r="AI603" s="782">
        <f t="shared" ref="AI603:AI608" si="874">+H603*T603</f>
        <v>0</v>
      </c>
      <c r="AJ603" s="781">
        <f t="shared" ref="AJ603:AJ608" si="875">IF(P603="E",+ROUND(V603*H603,0),0)</f>
        <v>0</v>
      </c>
      <c r="AK603" s="781">
        <f t="shared" ref="AK603:AK608" si="876">+AL603-AJ603</f>
        <v>0</v>
      </c>
      <c r="AL603" s="781">
        <f t="shared" ref="AL603:AL608" si="877">ROUND(V603*H603,0)</f>
        <v>0</v>
      </c>
      <c r="AM603" s="781">
        <f t="shared" ref="AM603:AM608" si="878">IF(Q603="E",+ROUND(W603*H603,0),0)</f>
        <v>0</v>
      </c>
      <c r="AN603" s="781">
        <f t="shared" ref="AN603:AN608" si="879">+AO603-AM603</f>
        <v>0</v>
      </c>
      <c r="AO603" s="781">
        <f t="shared" ref="AO603:AO608" si="880">ROUND(W603*H603,0)</f>
        <v>0</v>
      </c>
      <c r="AP603" s="781">
        <f t="shared" ref="AP603:AP608" si="881">IF(P603="E",+ROUND(Y603*H603,0),0)</f>
        <v>0</v>
      </c>
      <c r="AQ603" s="781">
        <f t="shared" ref="AQ603:AQ608" si="882">+AR603-AP603</f>
        <v>0</v>
      </c>
      <c r="AR603" s="781">
        <f t="shared" ref="AR603:AR608" si="883">ROUND(Y603*H603,0)</f>
        <v>0</v>
      </c>
      <c r="AS603" s="783">
        <f t="shared" ref="AS603:AS608" si="884">+AR603+AO603+AL603+AI603</f>
        <v>0</v>
      </c>
      <c r="AT603" s="917"/>
      <c r="AW603" s="832"/>
      <c r="AX603" s="2481" t="s">
        <v>2987</v>
      </c>
      <c r="AY603" s="2482"/>
      <c r="BM603" s="2010">
        <v>250</v>
      </c>
    </row>
    <row r="604" spans="1:65" ht="25.5" hidden="1" outlineLevel="1" x14ac:dyDescent="0.25">
      <c r="A604" s="784"/>
      <c r="B604" s="904">
        <f t="shared" si="760"/>
        <v>586</v>
      </c>
      <c r="C604" s="170" t="str">
        <f t="shared" si="864"/>
        <v>EA</v>
      </c>
      <c r="D604" s="557"/>
      <c r="E604" s="170"/>
      <c r="F604" s="721"/>
      <c r="G604" s="2007" t="s">
        <v>3172</v>
      </c>
      <c r="H604" s="1926"/>
      <c r="I604" s="2008" t="s">
        <v>732</v>
      </c>
      <c r="J604" s="1926"/>
      <c r="K604" s="1926"/>
      <c r="L604" s="170"/>
      <c r="M604" s="2009">
        <v>2</v>
      </c>
      <c r="N604" s="2010">
        <v>1</v>
      </c>
      <c r="O604" s="773">
        <f t="shared" si="865"/>
        <v>2</v>
      </c>
      <c r="P604" s="2076" t="s">
        <v>39</v>
      </c>
      <c r="Q604" s="2008" t="s">
        <v>39</v>
      </c>
      <c r="R604" s="2011" t="s">
        <v>74</v>
      </c>
      <c r="S604" s="912">
        <f>SUMIF('Data Input sheet'!$B$118:$B$180,R604,'Data Input sheet'!$D$118:$D$180)</f>
        <v>152</v>
      </c>
      <c r="T604" s="2685">
        <f t="shared" si="866"/>
        <v>304</v>
      </c>
      <c r="U604" s="2013">
        <v>35</v>
      </c>
      <c r="V604" s="778">
        <f t="shared" si="867"/>
        <v>70</v>
      </c>
      <c r="W604" s="2010">
        <v>1879</v>
      </c>
      <c r="X604" s="779"/>
      <c r="Y604" s="2012"/>
      <c r="Z604" s="780">
        <f t="shared" si="868"/>
        <v>2253</v>
      </c>
      <c r="AA604" s="2007"/>
      <c r="AB604" s="1862"/>
      <c r="AC604" s="765"/>
      <c r="AD604" s="781">
        <f t="shared" si="869"/>
        <v>0</v>
      </c>
      <c r="AE604" s="778">
        <f t="shared" si="870"/>
        <v>0</v>
      </c>
      <c r="AF604" s="781">
        <f t="shared" si="871"/>
        <v>0</v>
      </c>
      <c r="AG604" s="781">
        <f t="shared" si="872"/>
        <v>0</v>
      </c>
      <c r="AH604" s="781">
        <f t="shared" si="873"/>
        <v>0</v>
      </c>
      <c r="AI604" s="782">
        <f t="shared" si="874"/>
        <v>0</v>
      </c>
      <c r="AJ604" s="781">
        <f t="shared" si="875"/>
        <v>0</v>
      </c>
      <c r="AK604" s="781">
        <f t="shared" si="876"/>
        <v>0</v>
      </c>
      <c r="AL604" s="781">
        <f t="shared" si="877"/>
        <v>0</v>
      </c>
      <c r="AM604" s="781">
        <f t="shared" si="878"/>
        <v>0</v>
      </c>
      <c r="AN604" s="781">
        <f t="shared" si="879"/>
        <v>0</v>
      </c>
      <c r="AO604" s="781">
        <f t="shared" si="880"/>
        <v>0</v>
      </c>
      <c r="AP604" s="781">
        <f t="shared" si="881"/>
        <v>0</v>
      </c>
      <c r="AQ604" s="781">
        <f t="shared" si="882"/>
        <v>0</v>
      </c>
      <c r="AR604" s="781">
        <f t="shared" si="883"/>
        <v>0</v>
      </c>
      <c r="AS604" s="783">
        <f t="shared" si="884"/>
        <v>0</v>
      </c>
      <c r="AT604" s="917"/>
      <c r="AW604" s="832"/>
      <c r="AX604" s="2481" t="s">
        <v>2987</v>
      </c>
      <c r="AY604" s="2482"/>
      <c r="BM604" s="2010">
        <v>265</v>
      </c>
    </row>
    <row r="605" spans="1:65" ht="25.5" hidden="1" outlineLevel="1" x14ac:dyDescent="0.25">
      <c r="A605" s="784"/>
      <c r="B605" s="904">
        <f t="shared" si="760"/>
        <v>587</v>
      </c>
      <c r="C605" s="170" t="str">
        <f t="shared" si="864"/>
        <v>EA</v>
      </c>
      <c r="D605" s="557"/>
      <c r="E605" s="170"/>
      <c r="F605" s="721"/>
      <c r="G605" s="2007" t="s">
        <v>2989</v>
      </c>
      <c r="H605" s="1926"/>
      <c r="I605" s="2008" t="s">
        <v>732</v>
      </c>
      <c r="J605" s="1926"/>
      <c r="K605" s="1926"/>
      <c r="L605" s="170"/>
      <c r="M605" s="2009">
        <v>10</v>
      </c>
      <c r="N605" s="2010">
        <v>1</v>
      </c>
      <c r="O605" s="773">
        <f t="shared" si="865"/>
        <v>10</v>
      </c>
      <c r="P605" s="2076" t="s">
        <v>39</v>
      </c>
      <c r="Q605" s="2008" t="s">
        <v>39</v>
      </c>
      <c r="R605" s="2011" t="s">
        <v>74</v>
      </c>
      <c r="S605" s="912">
        <f>SUMIF('Data Input sheet'!$B$118:$B$180,R605,'Data Input sheet'!$D$118:$D$180)</f>
        <v>152</v>
      </c>
      <c r="T605" s="2685">
        <f t="shared" si="866"/>
        <v>1520</v>
      </c>
      <c r="U605" s="2013">
        <v>35</v>
      </c>
      <c r="V605" s="778">
        <f t="shared" si="867"/>
        <v>350</v>
      </c>
      <c r="W605" s="2010">
        <v>19625</v>
      </c>
      <c r="X605" s="779"/>
      <c r="Y605" s="2012"/>
      <c r="Z605" s="780">
        <f t="shared" si="868"/>
        <v>21495</v>
      </c>
      <c r="AA605" s="2007"/>
      <c r="AB605" s="2007"/>
      <c r="AC605" s="765"/>
      <c r="AD605" s="781">
        <f t="shared" si="869"/>
        <v>0</v>
      </c>
      <c r="AE605" s="778">
        <f t="shared" si="870"/>
        <v>0</v>
      </c>
      <c r="AF605" s="781">
        <f t="shared" si="871"/>
        <v>0</v>
      </c>
      <c r="AG605" s="781">
        <f t="shared" si="872"/>
        <v>0</v>
      </c>
      <c r="AH605" s="781">
        <f t="shared" si="873"/>
        <v>0</v>
      </c>
      <c r="AI605" s="782">
        <f t="shared" si="874"/>
        <v>0</v>
      </c>
      <c r="AJ605" s="781">
        <f t="shared" si="875"/>
        <v>0</v>
      </c>
      <c r="AK605" s="781">
        <f t="shared" si="876"/>
        <v>0</v>
      </c>
      <c r="AL605" s="781">
        <f t="shared" si="877"/>
        <v>0</v>
      </c>
      <c r="AM605" s="781">
        <f t="shared" si="878"/>
        <v>0</v>
      </c>
      <c r="AN605" s="781">
        <f t="shared" si="879"/>
        <v>0</v>
      </c>
      <c r="AO605" s="781">
        <f t="shared" si="880"/>
        <v>0</v>
      </c>
      <c r="AP605" s="781">
        <f t="shared" si="881"/>
        <v>0</v>
      </c>
      <c r="AQ605" s="781">
        <f t="shared" si="882"/>
        <v>0</v>
      </c>
      <c r="AR605" s="781">
        <f t="shared" si="883"/>
        <v>0</v>
      </c>
      <c r="AS605" s="783">
        <f t="shared" si="884"/>
        <v>0</v>
      </c>
      <c r="AT605" s="917"/>
      <c r="AW605" s="832"/>
      <c r="AX605" s="2481" t="s">
        <v>2988</v>
      </c>
      <c r="AY605" s="2482"/>
      <c r="BM605" s="2010">
        <v>19625</v>
      </c>
    </row>
    <row r="606" spans="1:65" ht="25.5" hidden="1" outlineLevel="1" x14ac:dyDescent="0.25">
      <c r="A606" s="784"/>
      <c r="B606" s="904">
        <f t="shared" si="760"/>
        <v>588</v>
      </c>
      <c r="C606" s="170" t="str">
        <f t="shared" si="864"/>
        <v>EA</v>
      </c>
      <c r="D606" s="557"/>
      <c r="E606" s="170"/>
      <c r="F606" s="721"/>
      <c r="G606" s="2007" t="s">
        <v>1909</v>
      </c>
      <c r="H606" s="1926"/>
      <c r="I606" s="2008" t="s">
        <v>732</v>
      </c>
      <c r="J606" s="1926"/>
      <c r="K606" s="1926"/>
      <c r="L606" s="170"/>
      <c r="M606" s="2009">
        <v>2</v>
      </c>
      <c r="N606" s="2010">
        <v>1</v>
      </c>
      <c r="O606" s="773">
        <f t="shared" si="865"/>
        <v>2</v>
      </c>
      <c r="P606" s="2076" t="s">
        <v>39</v>
      </c>
      <c r="Q606" s="2008" t="s">
        <v>39</v>
      </c>
      <c r="R606" s="2011" t="s">
        <v>74</v>
      </c>
      <c r="S606" s="912">
        <f>SUMIF('Data Input sheet'!$B$118:$B$180,R606,'Data Input sheet'!$D$118:$D$180)</f>
        <v>152</v>
      </c>
      <c r="T606" s="2685">
        <f t="shared" si="866"/>
        <v>304</v>
      </c>
      <c r="U606" s="2013">
        <v>35</v>
      </c>
      <c r="V606" s="778">
        <f t="shared" si="867"/>
        <v>70</v>
      </c>
      <c r="W606" s="2010">
        <v>330</v>
      </c>
      <c r="X606" s="779"/>
      <c r="Y606" s="2012"/>
      <c r="Z606" s="780">
        <f t="shared" si="868"/>
        <v>704</v>
      </c>
      <c r="AA606" s="2007"/>
      <c r="AB606" s="1862"/>
      <c r="AC606" s="765"/>
      <c r="AD606" s="781">
        <f t="shared" si="869"/>
        <v>0</v>
      </c>
      <c r="AE606" s="778">
        <f t="shared" si="870"/>
        <v>0</v>
      </c>
      <c r="AF606" s="781">
        <f t="shared" si="871"/>
        <v>0</v>
      </c>
      <c r="AG606" s="781">
        <f t="shared" si="872"/>
        <v>0</v>
      </c>
      <c r="AH606" s="781">
        <f t="shared" si="873"/>
        <v>0</v>
      </c>
      <c r="AI606" s="782">
        <f t="shared" si="874"/>
        <v>0</v>
      </c>
      <c r="AJ606" s="781">
        <f t="shared" si="875"/>
        <v>0</v>
      </c>
      <c r="AK606" s="781">
        <f t="shared" si="876"/>
        <v>0</v>
      </c>
      <c r="AL606" s="781">
        <f t="shared" si="877"/>
        <v>0</v>
      </c>
      <c r="AM606" s="781">
        <f t="shared" si="878"/>
        <v>0</v>
      </c>
      <c r="AN606" s="781">
        <f t="shared" si="879"/>
        <v>0</v>
      </c>
      <c r="AO606" s="781">
        <f t="shared" si="880"/>
        <v>0</v>
      </c>
      <c r="AP606" s="781">
        <f t="shared" si="881"/>
        <v>0</v>
      </c>
      <c r="AQ606" s="781">
        <f t="shared" si="882"/>
        <v>0</v>
      </c>
      <c r="AR606" s="781">
        <f t="shared" si="883"/>
        <v>0</v>
      </c>
      <c r="AS606" s="783">
        <f t="shared" si="884"/>
        <v>0</v>
      </c>
      <c r="AT606" s="917"/>
      <c r="AU606" s="721"/>
      <c r="AW606" s="832"/>
      <c r="AX606" s="2481" t="s">
        <v>2990</v>
      </c>
      <c r="AY606" s="2482"/>
      <c r="BM606" s="2010">
        <v>950</v>
      </c>
    </row>
    <row r="607" spans="1:65" ht="25.5" hidden="1" outlineLevel="1" x14ac:dyDescent="0.25">
      <c r="A607" s="787"/>
      <c r="B607" s="904">
        <f t="shared" si="760"/>
        <v>589</v>
      </c>
      <c r="C607" s="170" t="str">
        <f t="shared" si="864"/>
        <v>EA</v>
      </c>
      <c r="D607" s="906"/>
      <c r="E607" s="721"/>
      <c r="F607" s="721"/>
      <c r="G607" s="2007" t="s">
        <v>1910</v>
      </c>
      <c r="H607" s="1926"/>
      <c r="I607" s="2008" t="s">
        <v>732</v>
      </c>
      <c r="J607" s="1926"/>
      <c r="K607" s="1926"/>
      <c r="L607" s="170"/>
      <c r="M607" s="2009">
        <v>2</v>
      </c>
      <c r="N607" s="2010">
        <v>1</v>
      </c>
      <c r="O607" s="773">
        <f t="shared" si="865"/>
        <v>2</v>
      </c>
      <c r="P607" s="2076" t="s">
        <v>39</v>
      </c>
      <c r="Q607" s="2008" t="s">
        <v>39</v>
      </c>
      <c r="R607" s="2011" t="s">
        <v>74</v>
      </c>
      <c r="S607" s="912">
        <f>SUMIF('Data Input sheet'!$B$118:$B$180,R607,'Data Input sheet'!$D$118:$D$180)</f>
        <v>152</v>
      </c>
      <c r="T607" s="2685">
        <f t="shared" si="866"/>
        <v>304</v>
      </c>
      <c r="U607" s="2013">
        <v>35</v>
      </c>
      <c r="V607" s="778">
        <f t="shared" si="867"/>
        <v>70</v>
      </c>
      <c r="W607" s="2010">
        <v>330</v>
      </c>
      <c r="X607" s="779"/>
      <c r="Y607" s="2012"/>
      <c r="Z607" s="780">
        <f t="shared" si="868"/>
        <v>704</v>
      </c>
      <c r="AA607" s="2007"/>
      <c r="AB607" s="1862"/>
      <c r="AC607" s="765"/>
      <c r="AD607" s="781">
        <f t="shared" si="869"/>
        <v>0</v>
      </c>
      <c r="AE607" s="778">
        <f t="shared" si="870"/>
        <v>0</v>
      </c>
      <c r="AF607" s="781">
        <f t="shared" si="871"/>
        <v>0</v>
      </c>
      <c r="AG607" s="781">
        <f t="shared" si="872"/>
        <v>0</v>
      </c>
      <c r="AH607" s="781">
        <f t="shared" si="873"/>
        <v>0</v>
      </c>
      <c r="AI607" s="782">
        <f t="shared" si="874"/>
        <v>0</v>
      </c>
      <c r="AJ607" s="781">
        <f t="shared" si="875"/>
        <v>0</v>
      </c>
      <c r="AK607" s="781">
        <f t="shared" si="876"/>
        <v>0</v>
      </c>
      <c r="AL607" s="781">
        <f t="shared" si="877"/>
        <v>0</v>
      </c>
      <c r="AM607" s="781">
        <f t="shared" si="878"/>
        <v>0</v>
      </c>
      <c r="AN607" s="781">
        <f t="shared" si="879"/>
        <v>0</v>
      </c>
      <c r="AO607" s="781">
        <f t="shared" si="880"/>
        <v>0</v>
      </c>
      <c r="AP607" s="781">
        <f t="shared" si="881"/>
        <v>0</v>
      </c>
      <c r="AQ607" s="781">
        <f t="shared" si="882"/>
        <v>0</v>
      </c>
      <c r="AR607" s="781">
        <f t="shared" si="883"/>
        <v>0</v>
      </c>
      <c r="AS607" s="783">
        <f t="shared" si="884"/>
        <v>0</v>
      </c>
      <c r="AT607" s="917"/>
      <c r="AU607" s="721"/>
      <c r="AV607" s="721"/>
      <c r="AW607" s="832"/>
      <c r="AX607" s="2481" t="s">
        <v>2990</v>
      </c>
      <c r="AY607" s="2482"/>
      <c r="BM607" s="2010">
        <v>950</v>
      </c>
    </row>
    <row r="608" spans="1:65" ht="15" hidden="1" outlineLevel="1" collapsed="1" x14ac:dyDescent="0.25">
      <c r="A608" s="784"/>
      <c r="B608" s="904">
        <f t="shared" si="760"/>
        <v>590</v>
      </c>
      <c r="C608" s="170" t="str">
        <f t="shared" si="864"/>
        <v>EA</v>
      </c>
      <c r="D608" s="557"/>
      <c r="E608" s="170"/>
      <c r="F608" s="721"/>
      <c r="G608" s="2007" t="s">
        <v>1158</v>
      </c>
      <c r="H608" s="2008"/>
      <c r="I608" s="2008" t="s">
        <v>732</v>
      </c>
      <c r="J608" s="1926"/>
      <c r="K608" s="1926"/>
      <c r="L608" s="170"/>
      <c r="M608" s="2009"/>
      <c r="N608" s="2010">
        <v>1</v>
      </c>
      <c r="O608" s="773">
        <f>+M608*N608</f>
        <v>0</v>
      </c>
      <c r="P608" s="2076" t="s">
        <v>39</v>
      </c>
      <c r="Q608" s="2008" t="s">
        <v>39</v>
      </c>
      <c r="R608" s="2011" t="s">
        <v>74</v>
      </c>
      <c r="S608" s="912">
        <f>SUMIF('Data Input sheet'!$B$118:$B$180,R608,'Data Input sheet'!$D$118:$D$180)</f>
        <v>152</v>
      </c>
      <c r="T608" s="2685">
        <f t="shared" si="866"/>
        <v>0</v>
      </c>
      <c r="U608" s="2013">
        <v>0</v>
      </c>
      <c r="V608" s="778">
        <f t="shared" si="867"/>
        <v>0</v>
      </c>
      <c r="W608" s="2010"/>
      <c r="X608" s="779"/>
      <c r="Y608" s="2012"/>
      <c r="Z608" s="780">
        <f t="shared" si="868"/>
        <v>0</v>
      </c>
      <c r="AA608" s="2007"/>
      <c r="AB608" s="2007"/>
      <c r="AC608" s="765"/>
      <c r="AD608" s="781">
        <f t="shared" si="869"/>
        <v>0</v>
      </c>
      <c r="AE608" s="778">
        <f t="shared" si="870"/>
        <v>0</v>
      </c>
      <c r="AF608" s="781">
        <f t="shared" si="871"/>
        <v>0</v>
      </c>
      <c r="AG608" s="781">
        <f t="shared" si="872"/>
        <v>0</v>
      </c>
      <c r="AH608" s="781">
        <f t="shared" si="873"/>
        <v>0</v>
      </c>
      <c r="AI608" s="782">
        <f t="shared" si="874"/>
        <v>0</v>
      </c>
      <c r="AJ608" s="781">
        <f t="shared" si="875"/>
        <v>0</v>
      </c>
      <c r="AK608" s="781">
        <f t="shared" si="876"/>
        <v>0</v>
      </c>
      <c r="AL608" s="781">
        <f t="shared" si="877"/>
        <v>0</v>
      </c>
      <c r="AM608" s="781">
        <f t="shared" si="878"/>
        <v>0</v>
      </c>
      <c r="AN608" s="781">
        <f t="shared" si="879"/>
        <v>0</v>
      </c>
      <c r="AO608" s="781">
        <f t="shared" si="880"/>
        <v>0</v>
      </c>
      <c r="AP608" s="781">
        <f t="shared" si="881"/>
        <v>0</v>
      </c>
      <c r="AQ608" s="781">
        <f t="shared" si="882"/>
        <v>0</v>
      </c>
      <c r="AR608" s="781">
        <f t="shared" si="883"/>
        <v>0</v>
      </c>
      <c r="AS608" s="783">
        <f t="shared" si="884"/>
        <v>0</v>
      </c>
      <c r="AT608" s="917"/>
      <c r="AW608" s="832"/>
      <c r="AX608" s="833" t="s">
        <v>3030</v>
      </c>
      <c r="BM608" s="2010"/>
    </row>
    <row r="609" spans="1:65" ht="13.5" hidden="1" customHeight="1" collapsed="1" x14ac:dyDescent="0.25">
      <c r="A609" s="787"/>
      <c r="B609" s="904">
        <f t="shared" si="760"/>
        <v>591</v>
      </c>
      <c r="C609" s="170" t="str">
        <f t="shared" si="864"/>
        <v>0</v>
      </c>
      <c r="D609" s="906"/>
      <c r="E609" s="170"/>
      <c r="F609" s="170">
        <v>0</v>
      </c>
      <c r="G609" s="2007"/>
      <c r="H609" s="2008"/>
      <c r="I609" s="2008"/>
      <c r="J609" s="1926"/>
      <c r="K609" s="1926"/>
      <c r="L609" s="170"/>
      <c r="M609" s="2009">
        <v>0</v>
      </c>
      <c r="N609" s="2010">
        <v>1</v>
      </c>
      <c r="O609" s="773">
        <f t="shared" si="837"/>
        <v>0</v>
      </c>
      <c r="P609" s="2076" t="s">
        <v>39</v>
      </c>
      <c r="Q609" s="2008" t="s">
        <v>39</v>
      </c>
      <c r="R609" s="2011" t="s">
        <v>74</v>
      </c>
      <c r="S609" s="912">
        <f>SUMIF('Data Input sheet'!$B$118:$B$180,R609,'Data Input sheet'!$D$118:$D$180)</f>
        <v>152</v>
      </c>
      <c r="T609" s="2685">
        <f t="shared" si="838"/>
        <v>0</v>
      </c>
      <c r="U609" s="2013">
        <v>0</v>
      </c>
      <c r="V609" s="778">
        <f t="shared" si="785"/>
        <v>0</v>
      </c>
      <c r="W609" s="2010"/>
      <c r="X609" s="779"/>
      <c r="Y609" s="2012">
        <v>0</v>
      </c>
      <c r="Z609" s="780">
        <f t="shared" si="839"/>
        <v>0</v>
      </c>
      <c r="AA609" s="2007"/>
      <c r="AB609" s="2007"/>
      <c r="AC609" s="765"/>
      <c r="AD609" s="781">
        <f t="shared" si="789"/>
        <v>0</v>
      </c>
      <c r="AE609" s="778">
        <f t="shared" si="790"/>
        <v>0</v>
      </c>
      <c r="AF609" s="781">
        <f t="shared" si="791"/>
        <v>0</v>
      </c>
      <c r="AG609" s="781">
        <f t="shared" si="792"/>
        <v>0</v>
      </c>
      <c r="AH609" s="781">
        <f t="shared" si="793"/>
        <v>0</v>
      </c>
      <c r="AI609" s="782">
        <f t="shared" si="794"/>
        <v>0</v>
      </c>
      <c r="AJ609" s="781">
        <f t="shared" si="795"/>
        <v>0</v>
      </c>
      <c r="AK609" s="781">
        <f t="shared" si="796"/>
        <v>0</v>
      </c>
      <c r="AL609" s="781">
        <f t="shared" si="797"/>
        <v>0</v>
      </c>
      <c r="AM609" s="781">
        <f t="shared" si="798"/>
        <v>0</v>
      </c>
      <c r="AN609" s="781">
        <f t="shared" si="799"/>
        <v>0</v>
      </c>
      <c r="AO609" s="781">
        <f t="shared" si="800"/>
        <v>0</v>
      </c>
      <c r="AP609" s="781">
        <f t="shared" si="801"/>
        <v>0</v>
      </c>
      <c r="AQ609" s="781">
        <f t="shared" si="802"/>
        <v>0</v>
      </c>
      <c r="AR609" s="781">
        <f t="shared" si="803"/>
        <v>0</v>
      </c>
      <c r="AS609" s="783">
        <f t="shared" si="804"/>
        <v>0</v>
      </c>
      <c r="AT609" s="917"/>
      <c r="AV609" s="170"/>
      <c r="AW609" s="832"/>
      <c r="AX609" s="833" t="s">
        <v>3030</v>
      </c>
      <c r="BM609" s="2010"/>
    </row>
    <row r="610" spans="1:65" ht="15" hidden="1" x14ac:dyDescent="0.25">
      <c r="A610" s="787"/>
      <c r="B610" s="904">
        <f t="shared" si="760"/>
        <v>592</v>
      </c>
      <c r="C610" s="170" t="str">
        <f t="shared" si="864"/>
        <v>0</v>
      </c>
      <c r="D610" s="906"/>
      <c r="F610" s="170">
        <v>0</v>
      </c>
      <c r="G610" s="2007"/>
      <c r="H610" s="2008"/>
      <c r="I610" s="2008"/>
      <c r="J610" s="1926"/>
      <c r="K610" s="1926"/>
      <c r="L610" s="170"/>
      <c r="M610" s="2009">
        <v>0</v>
      </c>
      <c r="N610" s="2010">
        <v>1</v>
      </c>
      <c r="O610" s="773">
        <f t="shared" si="837"/>
        <v>0</v>
      </c>
      <c r="P610" s="2076" t="s">
        <v>39</v>
      </c>
      <c r="Q610" s="2008" t="s">
        <v>39</v>
      </c>
      <c r="R610" s="2011" t="s">
        <v>74</v>
      </c>
      <c r="S610" s="912">
        <f>SUMIF('Data Input sheet'!$B$118:$B$180,R610,'Data Input sheet'!$D$118:$D$180)</f>
        <v>152</v>
      </c>
      <c r="T610" s="2685">
        <f t="shared" si="838"/>
        <v>0</v>
      </c>
      <c r="U610" s="2013">
        <v>0</v>
      </c>
      <c r="V610" s="778">
        <f t="shared" si="785"/>
        <v>0</v>
      </c>
      <c r="W610" s="2010"/>
      <c r="X610" s="779"/>
      <c r="Y610" s="2012">
        <v>0</v>
      </c>
      <c r="Z610" s="780">
        <f t="shared" si="839"/>
        <v>0</v>
      </c>
      <c r="AA610" s="2007"/>
      <c r="AB610" s="2007"/>
      <c r="AC610" s="765"/>
      <c r="AD610" s="781">
        <f t="shared" si="789"/>
        <v>0</v>
      </c>
      <c r="AE610" s="778">
        <f t="shared" si="790"/>
        <v>0</v>
      </c>
      <c r="AF610" s="781">
        <f t="shared" si="791"/>
        <v>0</v>
      </c>
      <c r="AG610" s="781">
        <f t="shared" si="792"/>
        <v>0</v>
      </c>
      <c r="AH610" s="781">
        <f t="shared" si="793"/>
        <v>0</v>
      </c>
      <c r="AI610" s="782">
        <f t="shared" si="794"/>
        <v>0</v>
      </c>
      <c r="AJ610" s="781">
        <f t="shared" si="795"/>
        <v>0</v>
      </c>
      <c r="AK610" s="781">
        <f t="shared" si="796"/>
        <v>0</v>
      </c>
      <c r="AL610" s="781">
        <f t="shared" si="797"/>
        <v>0</v>
      </c>
      <c r="AM610" s="781">
        <f t="shared" si="798"/>
        <v>0</v>
      </c>
      <c r="AN610" s="781">
        <f t="shared" si="799"/>
        <v>0</v>
      </c>
      <c r="AO610" s="781">
        <f t="shared" si="800"/>
        <v>0</v>
      </c>
      <c r="AP610" s="781">
        <f t="shared" si="801"/>
        <v>0</v>
      </c>
      <c r="AQ610" s="781">
        <f t="shared" si="802"/>
        <v>0</v>
      </c>
      <c r="AR610" s="781">
        <f t="shared" si="803"/>
        <v>0</v>
      </c>
      <c r="AS610" s="783">
        <f t="shared" si="804"/>
        <v>0</v>
      </c>
      <c r="AT610" s="917"/>
      <c r="AV610" s="170"/>
      <c r="AW610" s="832"/>
      <c r="AX610" s="833" t="s">
        <v>3030</v>
      </c>
      <c r="BM610" s="2010"/>
    </row>
    <row r="611" spans="1:65" ht="15" hidden="1" x14ac:dyDescent="0.25">
      <c r="A611" s="787"/>
      <c r="B611" s="904">
        <f t="shared" ref="B611:B623" si="885">+B610+1</f>
        <v>593</v>
      </c>
      <c r="C611" s="170" t="str">
        <f t="shared" si="864"/>
        <v>0</v>
      </c>
      <c r="D611" s="906"/>
      <c r="F611" s="170">
        <v>0</v>
      </c>
      <c r="G611" s="2007"/>
      <c r="H611" s="2008"/>
      <c r="I611" s="2008"/>
      <c r="J611" s="1926"/>
      <c r="K611" s="1926"/>
      <c r="L611" s="170"/>
      <c r="M611" s="2009">
        <v>0</v>
      </c>
      <c r="N611" s="2010">
        <v>1</v>
      </c>
      <c r="O611" s="773">
        <f t="shared" si="837"/>
        <v>0</v>
      </c>
      <c r="P611" s="2076" t="s">
        <v>39</v>
      </c>
      <c r="Q611" s="2008" t="s">
        <v>39</v>
      </c>
      <c r="R611" s="2011" t="s">
        <v>74</v>
      </c>
      <c r="S611" s="912">
        <f>SUMIF('Data Input sheet'!$B$118:$B$180,R611,'Data Input sheet'!$D$118:$D$180)</f>
        <v>152</v>
      </c>
      <c r="T611" s="2685">
        <f t="shared" si="838"/>
        <v>0</v>
      </c>
      <c r="U611" s="2013">
        <v>0</v>
      </c>
      <c r="V611" s="778">
        <f t="shared" ref="V611:V616" si="886">ROUND(U611*O611,0)</f>
        <v>0</v>
      </c>
      <c r="W611" s="2010"/>
      <c r="X611" s="779"/>
      <c r="Y611" s="2012">
        <v>0</v>
      </c>
      <c r="Z611" s="780">
        <f t="shared" si="839"/>
        <v>0</v>
      </c>
      <c r="AA611" s="2007"/>
      <c r="AB611" s="2007"/>
      <c r="AC611" s="765"/>
      <c r="AD611" s="781">
        <f t="shared" si="789"/>
        <v>0</v>
      </c>
      <c r="AE611" s="778">
        <f t="shared" si="790"/>
        <v>0</v>
      </c>
      <c r="AF611" s="781">
        <f t="shared" si="791"/>
        <v>0</v>
      </c>
      <c r="AG611" s="781">
        <f t="shared" si="792"/>
        <v>0</v>
      </c>
      <c r="AH611" s="781">
        <f t="shared" si="793"/>
        <v>0</v>
      </c>
      <c r="AI611" s="782">
        <f t="shared" si="794"/>
        <v>0</v>
      </c>
      <c r="AJ611" s="781">
        <f t="shared" si="795"/>
        <v>0</v>
      </c>
      <c r="AK611" s="781">
        <f t="shared" si="796"/>
        <v>0</v>
      </c>
      <c r="AL611" s="781">
        <f t="shared" si="797"/>
        <v>0</v>
      </c>
      <c r="AM611" s="781">
        <f t="shared" si="798"/>
        <v>0</v>
      </c>
      <c r="AN611" s="781">
        <f t="shared" si="799"/>
        <v>0</v>
      </c>
      <c r="AO611" s="781">
        <f t="shared" si="800"/>
        <v>0</v>
      </c>
      <c r="AP611" s="781">
        <f t="shared" si="801"/>
        <v>0</v>
      </c>
      <c r="AQ611" s="781">
        <f t="shared" si="802"/>
        <v>0</v>
      </c>
      <c r="AR611" s="781">
        <f t="shared" si="803"/>
        <v>0</v>
      </c>
      <c r="AS611" s="783">
        <f t="shared" si="804"/>
        <v>0</v>
      </c>
      <c r="AT611" s="917"/>
      <c r="AV611" s="170"/>
      <c r="AW611" s="832"/>
      <c r="AX611" s="833" t="s">
        <v>3030</v>
      </c>
      <c r="BM611" s="2010"/>
    </row>
    <row r="612" spans="1:65" ht="15" hidden="1" x14ac:dyDescent="0.25">
      <c r="A612" s="787"/>
      <c r="B612" s="904">
        <f t="shared" si="885"/>
        <v>594</v>
      </c>
      <c r="C612" s="170" t="str">
        <f t="shared" si="864"/>
        <v>0</v>
      </c>
      <c r="D612" s="906"/>
      <c r="F612" s="170">
        <v>0</v>
      </c>
      <c r="G612" s="2007"/>
      <c r="H612" s="2008"/>
      <c r="I612" s="2008"/>
      <c r="J612" s="1926"/>
      <c r="K612" s="1926"/>
      <c r="L612" s="170"/>
      <c r="M612" s="2009">
        <v>0</v>
      </c>
      <c r="N612" s="2010">
        <v>1</v>
      </c>
      <c r="O612" s="773">
        <f t="shared" si="837"/>
        <v>0</v>
      </c>
      <c r="P612" s="2076" t="s">
        <v>39</v>
      </c>
      <c r="Q612" s="2008" t="s">
        <v>39</v>
      </c>
      <c r="R612" s="2011" t="s">
        <v>74</v>
      </c>
      <c r="S612" s="912">
        <f>SUMIF('Data Input sheet'!$B$118:$B$180,R612,'Data Input sheet'!$D$118:$D$180)</f>
        <v>152</v>
      </c>
      <c r="T612" s="2685">
        <f t="shared" si="838"/>
        <v>0</v>
      </c>
      <c r="U612" s="2013">
        <v>0</v>
      </c>
      <c r="V612" s="778">
        <f t="shared" si="886"/>
        <v>0</v>
      </c>
      <c r="W612" s="2010"/>
      <c r="X612" s="779"/>
      <c r="Y612" s="2012">
        <v>0</v>
      </c>
      <c r="Z612" s="780">
        <f t="shared" si="839"/>
        <v>0</v>
      </c>
      <c r="AA612" s="2007"/>
      <c r="AB612" s="2007"/>
      <c r="AC612" s="765"/>
      <c r="AD612" s="781">
        <f t="shared" si="789"/>
        <v>0</v>
      </c>
      <c r="AE612" s="778">
        <f t="shared" si="790"/>
        <v>0</v>
      </c>
      <c r="AF612" s="781">
        <f t="shared" si="791"/>
        <v>0</v>
      </c>
      <c r="AG612" s="781">
        <f t="shared" si="792"/>
        <v>0</v>
      </c>
      <c r="AH612" s="781">
        <f t="shared" si="793"/>
        <v>0</v>
      </c>
      <c r="AI612" s="782">
        <f t="shared" si="794"/>
        <v>0</v>
      </c>
      <c r="AJ612" s="781">
        <f t="shared" si="795"/>
        <v>0</v>
      </c>
      <c r="AK612" s="781">
        <f t="shared" si="796"/>
        <v>0</v>
      </c>
      <c r="AL612" s="781">
        <f t="shared" si="797"/>
        <v>0</v>
      </c>
      <c r="AM612" s="781">
        <f t="shared" si="798"/>
        <v>0</v>
      </c>
      <c r="AN612" s="781">
        <f t="shared" si="799"/>
        <v>0</v>
      </c>
      <c r="AO612" s="781">
        <f t="shared" si="800"/>
        <v>0</v>
      </c>
      <c r="AP612" s="781">
        <f t="shared" si="801"/>
        <v>0</v>
      </c>
      <c r="AQ612" s="781">
        <f t="shared" si="802"/>
        <v>0</v>
      </c>
      <c r="AR612" s="781">
        <f t="shared" si="803"/>
        <v>0</v>
      </c>
      <c r="AS612" s="783">
        <f t="shared" si="804"/>
        <v>0</v>
      </c>
      <c r="AT612" s="917"/>
      <c r="AV612" s="170"/>
      <c r="AW612" s="832"/>
      <c r="AX612" s="833" t="s">
        <v>3030</v>
      </c>
      <c r="BM612" s="2010"/>
    </row>
    <row r="613" spans="1:65" ht="15" hidden="1" x14ac:dyDescent="0.25">
      <c r="A613" s="787"/>
      <c r="B613" s="904">
        <f t="shared" si="885"/>
        <v>595</v>
      </c>
      <c r="C613" s="170" t="str">
        <f t="shared" si="864"/>
        <v>0</v>
      </c>
      <c r="D613" s="906"/>
      <c r="F613" s="170">
        <v>0</v>
      </c>
      <c r="G613" s="2007"/>
      <c r="H613" s="2008"/>
      <c r="I613" s="2008"/>
      <c r="J613" s="1926"/>
      <c r="K613" s="1926"/>
      <c r="L613" s="170"/>
      <c r="M613" s="2009">
        <v>0</v>
      </c>
      <c r="N613" s="2010">
        <v>1</v>
      </c>
      <c r="O613" s="773">
        <f t="shared" si="837"/>
        <v>0</v>
      </c>
      <c r="P613" s="2076" t="s">
        <v>39</v>
      </c>
      <c r="Q613" s="2008" t="s">
        <v>39</v>
      </c>
      <c r="R613" s="2011" t="s">
        <v>74</v>
      </c>
      <c r="S613" s="912">
        <f>SUMIF('Data Input sheet'!$B$118:$B$180,R613,'Data Input sheet'!$D$118:$D$180)</f>
        <v>152</v>
      </c>
      <c r="T613" s="2685">
        <f t="shared" si="838"/>
        <v>0</v>
      </c>
      <c r="U613" s="2013">
        <v>0</v>
      </c>
      <c r="V613" s="778">
        <f t="shared" si="886"/>
        <v>0</v>
      </c>
      <c r="W613" s="2010"/>
      <c r="X613" s="779"/>
      <c r="Y613" s="2012">
        <v>0</v>
      </c>
      <c r="Z613" s="780">
        <f t="shared" si="839"/>
        <v>0</v>
      </c>
      <c r="AA613" s="2007"/>
      <c r="AB613" s="2007"/>
      <c r="AC613" s="765"/>
      <c r="AD613" s="781">
        <f t="shared" si="789"/>
        <v>0</v>
      </c>
      <c r="AE613" s="778">
        <f t="shared" si="790"/>
        <v>0</v>
      </c>
      <c r="AF613" s="781">
        <f t="shared" si="791"/>
        <v>0</v>
      </c>
      <c r="AG613" s="781">
        <f t="shared" si="792"/>
        <v>0</v>
      </c>
      <c r="AH613" s="781">
        <f t="shared" si="793"/>
        <v>0</v>
      </c>
      <c r="AI613" s="782">
        <f t="shared" si="794"/>
        <v>0</v>
      </c>
      <c r="AJ613" s="781">
        <f t="shared" si="795"/>
        <v>0</v>
      </c>
      <c r="AK613" s="781">
        <f t="shared" si="796"/>
        <v>0</v>
      </c>
      <c r="AL613" s="781">
        <f t="shared" si="797"/>
        <v>0</v>
      </c>
      <c r="AM613" s="781">
        <f t="shared" si="798"/>
        <v>0</v>
      </c>
      <c r="AN613" s="781">
        <f t="shared" si="799"/>
        <v>0</v>
      </c>
      <c r="AO613" s="781">
        <f t="shared" si="800"/>
        <v>0</v>
      </c>
      <c r="AP613" s="781">
        <f t="shared" si="801"/>
        <v>0</v>
      </c>
      <c r="AQ613" s="781">
        <f t="shared" si="802"/>
        <v>0</v>
      </c>
      <c r="AR613" s="781">
        <f t="shared" si="803"/>
        <v>0</v>
      </c>
      <c r="AS613" s="783">
        <f t="shared" si="804"/>
        <v>0</v>
      </c>
      <c r="AT613" s="917"/>
      <c r="AV613" s="170"/>
      <c r="AW613" s="832"/>
      <c r="AX613" s="833" t="s">
        <v>3030</v>
      </c>
      <c r="BM613" s="2010"/>
    </row>
    <row r="614" spans="1:65" ht="15" hidden="1" x14ac:dyDescent="0.25">
      <c r="A614" s="787"/>
      <c r="B614" s="904">
        <f t="shared" si="885"/>
        <v>596</v>
      </c>
      <c r="C614" s="170" t="str">
        <f t="shared" si="864"/>
        <v>0</v>
      </c>
      <c r="D614" s="906"/>
      <c r="E614" s="170"/>
      <c r="F614" s="170">
        <v>0</v>
      </c>
      <c r="G614" s="2007"/>
      <c r="H614" s="2008"/>
      <c r="I614" s="2008"/>
      <c r="J614" s="1926"/>
      <c r="K614" s="1926"/>
      <c r="L614" s="170"/>
      <c r="M614" s="2009">
        <v>0</v>
      </c>
      <c r="N614" s="2010">
        <v>1</v>
      </c>
      <c r="O614" s="773">
        <f t="shared" si="837"/>
        <v>0</v>
      </c>
      <c r="P614" s="2076" t="s">
        <v>39</v>
      </c>
      <c r="Q614" s="2008" t="s">
        <v>39</v>
      </c>
      <c r="R614" s="2011" t="s">
        <v>74</v>
      </c>
      <c r="S614" s="912">
        <f>SUMIF('Data Input sheet'!$B$118:$B$180,R614,'Data Input sheet'!$D$118:$D$180)</f>
        <v>152</v>
      </c>
      <c r="T614" s="2685">
        <f t="shared" si="838"/>
        <v>0</v>
      </c>
      <c r="U614" s="2013">
        <v>0</v>
      </c>
      <c r="V614" s="778">
        <f t="shared" si="886"/>
        <v>0</v>
      </c>
      <c r="W614" s="2010"/>
      <c r="X614" s="779"/>
      <c r="Y614" s="2012">
        <v>0</v>
      </c>
      <c r="Z614" s="780">
        <f t="shared" si="839"/>
        <v>0</v>
      </c>
      <c r="AA614" s="2007"/>
      <c r="AB614" s="2007"/>
      <c r="AC614" s="765"/>
      <c r="AD614" s="781">
        <f t="shared" si="789"/>
        <v>0</v>
      </c>
      <c r="AE614" s="778">
        <f t="shared" si="790"/>
        <v>0</v>
      </c>
      <c r="AF614" s="781">
        <f t="shared" si="791"/>
        <v>0</v>
      </c>
      <c r="AG614" s="781">
        <f t="shared" si="792"/>
        <v>0</v>
      </c>
      <c r="AH614" s="781">
        <f t="shared" si="793"/>
        <v>0</v>
      </c>
      <c r="AI614" s="782">
        <f t="shared" si="794"/>
        <v>0</v>
      </c>
      <c r="AJ614" s="781">
        <f t="shared" si="795"/>
        <v>0</v>
      </c>
      <c r="AK614" s="781">
        <f t="shared" si="796"/>
        <v>0</v>
      </c>
      <c r="AL614" s="781">
        <f t="shared" si="797"/>
        <v>0</v>
      </c>
      <c r="AM614" s="781">
        <f t="shared" si="798"/>
        <v>0</v>
      </c>
      <c r="AN614" s="781">
        <f t="shared" si="799"/>
        <v>0</v>
      </c>
      <c r="AO614" s="781">
        <f t="shared" si="800"/>
        <v>0</v>
      </c>
      <c r="AP614" s="781">
        <f t="shared" si="801"/>
        <v>0</v>
      </c>
      <c r="AQ614" s="781">
        <f t="shared" si="802"/>
        <v>0</v>
      </c>
      <c r="AR614" s="781">
        <f t="shared" si="803"/>
        <v>0</v>
      </c>
      <c r="AS614" s="783">
        <f t="shared" si="804"/>
        <v>0</v>
      </c>
      <c r="AT614" s="917"/>
      <c r="AU614" s="721"/>
      <c r="AV614" s="170"/>
      <c r="AW614" s="832"/>
      <c r="AX614" s="833" t="s">
        <v>3030</v>
      </c>
      <c r="BM614" s="2010"/>
    </row>
    <row r="615" spans="1:65" ht="15" hidden="1" x14ac:dyDescent="0.25">
      <c r="A615" s="787"/>
      <c r="B615" s="904">
        <f t="shared" si="885"/>
        <v>597</v>
      </c>
      <c r="C615" s="170" t="str">
        <f t="shared" si="864"/>
        <v>0</v>
      </c>
      <c r="D615" s="906"/>
      <c r="E615" s="170"/>
      <c r="F615" s="170">
        <v>0</v>
      </c>
      <c r="G615" s="2007"/>
      <c r="H615" s="2008"/>
      <c r="I615" s="2008"/>
      <c r="J615" s="1926"/>
      <c r="K615" s="1926"/>
      <c r="L615" s="170"/>
      <c r="M615" s="2009">
        <v>0</v>
      </c>
      <c r="N615" s="2010">
        <v>1</v>
      </c>
      <c r="O615" s="773">
        <f t="shared" si="837"/>
        <v>0</v>
      </c>
      <c r="P615" s="2076" t="s">
        <v>39</v>
      </c>
      <c r="Q615" s="2008" t="s">
        <v>39</v>
      </c>
      <c r="R615" s="2011" t="s">
        <v>74</v>
      </c>
      <c r="S615" s="912">
        <f>SUMIF('Data Input sheet'!$B$118:$B$180,R615,'Data Input sheet'!$D$118:$D$180)</f>
        <v>152</v>
      </c>
      <c r="T615" s="2685">
        <f t="shared" si="838"/>
        <v>0</v>
      </c>
      <c r="U615" s="2013">
        <v>0</v>
      </c>
      <c r="V615" s="778">
        <f t="shared" si="886"/>
        <v>0</v>
      </c>
      <c r="W615" s="2010"/>
      <c r="X615" s="779"/>
      <c r="Y615" s="2012">
        <v>0</v>
      </c>
      <c r="Z615" s="780">
        <f t="shared" si="839"/>
        <v>0</v>
      </c>
      <c r="AA615" s="2007"/>
      <c r="AB615" s="2007"/>
      <c r="AC615" s="765"/>
      <c r="AD615" s="781">
        <f t="shared" si="789"/>
        <v>0</v>
      </c>
      <c r="AE615" s="778">
        <f t="shared" si="790"/>
        <v>0</v>
      </c>
      <c r="AF615" s="781">
        <f t="shared" si="791"/>
        <v>0</v>
      </c>
      <c r="AG615" s="781">
        <f t="shared" si="792"/>
        <v>0</v>
      </c>
      <c r="AH615" s="781">
        <f t="shared" si="793"/>
        <v>0</v>
      </c>
      <c r="AI615" s="782">
        <f t="shared" si="794"/>
        <v>0</v>
      </c>
      <c r="AJ615" s="781">
        <f t="shared" si="795"/>
        <v>0</v>
      </c>
      <c r="AK615" s="781">
        <f t="shared" si="796"/>
        <v>0</v>
      </c>
      <c r="AL615" s="781">
        <f t="shared" si="797"/>
        <v>0</v>
      </c>
      <c r="AM615" s="781">
        <f t="shared" si="798"/>
        <v>0</v>
      </c>
      <c r="AN615" s="781">
        <f t="shared" si="799"/>
        <v>0</v>
      </c>
      <c r="AO615" s="781">
        <f t="shared" si="800"/>
        <v>0</v>
      </c>
      <c r="AP615" s="781">
        <f t="shared" si="801"/>
        <v>0</v>
      </c>
      <c r="AQ615" s="781">
        <f t="shared" si="802"/>
        <v>0</v>
      </c>
      <c r="AR615" s="781">
        <f t="shared" si="803"/>
        <v>0</v>
      </c>
      <c r="AS615" s="783">
        <f t="shared" si="804"/>
        <v>0</v>
      </c>
      <c r="AT615" s="917"/>
      <c r="AU615" s="721"/>
      <c r="AV615" s="170"/>
      <c r="AW615" s="832"/>
      <c r="AX615" s="833" t="s">
        <v>3030</v>
      </c>
      <c r="BM615" s="2010"/>
    </row>
    <row r="616" spans="1:65" ht="15" hidden="1" x14ac:dyDescent="0.25">
      <c r="A616" s="787"/>
      <c r="B616" s="904">
        <f t="shared" si="885"/>
        <v>598</v>
      </c>
      <c r="C616" s="170" t="str">
        <f t="shared" si="864"/>
        <v>0</v>
      </c>
      <c r="D616" s="906"/>
      <c r="E616" s="170"/>
      <c r="F616" s="170">
        <v>0</v>
      </c>
      <c r="G616" s="2007"/>
      <c r="H616" s="2008"/>
      <c r="I616" s="2008"/>
      <c r="J616" s="1926"/>
      <c r="K616" s="1926"/>
      <c r="L616" s="170"/>
      <c r="M616" s="2009">
        <v>0</v>
      </c>
      <c r="N616" s="2010">
        <v>1</v>
      </c>
      <c r="O616" s="773">
        <f t="shared" si="837"/>
        <v>0</v>
      </c>
      <c r="P616" s="2076" t="s">
        <v>39</v>
      </c>
      <c r="Q616" s="2008" t="s">
        <v>39</v>
      </c>
      <c r="R616" s="2011" t="s">
        <v>74</v>
      </c>
      <c r="S616" s="912">
        <f>SUMIF('Data Input sheet'!$B$118:$B$180,R616,'Data Input sheet'!$D$118:$D$180)</f>
        <v>152</v>
      </c>
      <c r="T616" s="2685">
        <f t="shared" si="838"/>
        <v>0</v>
      </c>
      <c r="U616" s="2013">
        <v>0</v>
      </c>
      <c r="V616" s="778">
        <f t="shared" si="886"/>
        <v>0</v>
      </c>
      <c r="W616" s="2010"/>
      <c r="X616" s="779"/>
      <c r="Y616" s="2012">
        <v>0</v>
      </c>
      <c r="Z616" s="780">
        <f t="shared" si="839"/>
        <v>0</v>
      </c>
      <c r="AA616" s="2007"/>
      <c r="AB616" s="2007"/>
      <c r="AC616" s="765"/>
      <c r="AD616" s="781">
        <f t="shared" si="789"/>
        <v>0</v>
      </c>
      <c r="AE616" s="778">
        <f t="shared" si="790"/>
        <v>0</v>
      </c>
      <c r="AF616" s="781">
        <f t="shared" si="791"/>
        <v>0</v>
      </c>
      <c r="AG616" s="781">
        <f t="shared" si="792"/>
        <v>0</v>
      </c>
      <c r="AH616" s="781">
        <f t="shared" si="793"/>
        <v>0</v>
      </c>
      <c r="AI616" s="782">
        <f t="shared" si="794"/>
        <v>0</v>
      </c>
      <c r="AJ616" s="781">
        <f t="shared" si="795"/>
        <v>0</v>
      </c>
      <c r="AK616" s="781">
        <f t="shared" si="796"/>
        <v>0</v>
      </c>
      <c r="AL616" s="781">
        <f t="shared" si="797"/>
        <v>0</v>
      </c>
      <c r="AM616" s="781">
        <f t="shared" si="798"/>
        <v>0</v>
      </c>
      <c r="AN616" s="781">
        <f t="shared" si="799"/>
        <v>0</v>
      </c>
      <c r="AO616" s="781">
        <f t="shared" si="800"/>
        <v>0</v>
      </c>
      <c r="AP616" s="781">
        <f t="shared" si="801"/>
        <v>0</v>
      </c>
      <c r="AQ616" s="781">
        <f t="shared" si="802"/>
        <v>0</v>
      </c>
      <c r="AR616" s="781">
        <f t="shared" si="803"/>
        <v>0</v>
      </c>
      <c r="AS616" s="783">
        <f t="shared" si="804"/>
        <v>0</v>
      </c>
      <c r="AT616" s="917"/>
      <c r="AU616" s="721"/>
      <c r="AV616" s="170"/>
      <c r="AW616" s="832"/>
      <c r="AX616" s="833" t="s">
        <v>3030</v>
      </c>
      <c r="BM616" s="2010"/>
    </row>
    <row r="617" spans="1:65" ht="15" hidden="1" x14ac:dyDescent="0.25">
      <c r="A617" s="787"/>
      <c r="B617" s="904">
        <f t="shared" si="885"/>
        <v>599</v>
      </c>
      <c r="C617" s="170" t="str">
        <f t="shared" si="864"/>
        <v>0</v>
      </c>
      <c r="D617" s="906"/>
      <c r="E617" s="170"/>
      <c r="F617" s="170">
        <v>0</v>
      </c>
      <c r="G617" s="2007"/>
      <c r="H617" s="2008"/>
      <c r="I617" s="2008"/>
      <c r="J617" s="1926"/>
      <c r="K617" s="1926"/>
      <c r="L617" s="170"/>
      <c r="M617" s="2009">
        <v>0</v>
      </c>
      <c r="N617" s="2010">
        <v>1</v>
      </c>
      <c r="O617" s="773">
        <f t="shared" ref="O617:O620" si="887">+M617*N617</f>
        <v>0</v>
      </c>
      <c r="P617" s="2076" t="s">
        <v>39</v>
      </c>
      <c r="Q617" s="2008" t="s">
        <v>39</v>
      </c>
      <c r="R617" s="2011" t="s">
        <v>74</v>
      </c>
      <c r="S617" s="912">
        <f>SUMIF('Data Input sheet'!$B$118:$B$180,R617,'Data Input sheet'!$D$118:$D$180)</f>
        <v>152</v>
      </c>
      <c r="T617" s="2685">
        <f t="shared" ref="T617:T620" si="888">+O617*S617</f>
        <v>0</v>
      </c>
      <c r="U617" s="2013">
        <v>0</v>
      </c>
      <c r="V617" s="778">
        <f t="shared" ref="V617:V620" si="889">ROUND(U617*O617,0)</f>
        <v>0</v>
      </c>
      <c r="W617" s="2010"/>
      <c r="X617" s="779"/>
      <c r="Y617" s="2012">
        <v>0</v>
      </c>
      <c r="Z617" s="780">
        <f t="shared" ref="Z617:Z620" si="890">T617+V617+W617+Y617</f>
        <v>0</v>
      </c>
      <c r="AA617" s="2007"/>
      <c r="AB617" s="2007"/>
      <c r="AC617" s="765"/>
      <c r="AD617" s="781">
        <f t="shared" si="789"/>
        <v>0</v>
      </c>
      <c r="AE617" s="778">
        <f t="shared" si="790"/>
        <v>0</v>
      </c>
      <c r="AF617" s="781">
        <f t="shared" si="791"/>
        <v>0</v>
      </c>
      <c r="AG617" s="781">
        <f t="shared" si="792"/>
        <v>0</v>
      </c>
      <c r="AH617" s="781">
        <f t="shared" si="793"/>
        <v>0</v>
      </c>
      <c r="AI617" s="782">
        <f t="shared" si="794"/>
        <v>0</v>
      </c>
      <c r="AJ617" s="781">
        <f t="shared" si="795"/>
        <v>0</v>
      </c>
      <c r="AK617" s="781">
        <f t="shared" si="796"/>
        <v>0</v>
      </c>
      <c r="AL617" s="781">
        <f t="shared" si="797"/>
        <v>0</v>
      </c>
      <c r="AM617" s="781">
        <f t="shared" si="798"/>
        <v>0</v>
      </c>
      <c r="AN617" s="781">
        <f t="shared" si="799"/>
        <v>0</v>
      </c>
      <c r="AO617" s="781">
        <f t="shared" si="800"/>
        <v>0</v>
      </c>
      <c r="AP617" s="781">
        <f t="shared" si="801"/>
        <v>0</v>
      </c>
      <c r="AQ617" s="781">
        <f t="shared" si="802"/>
        <v>0</v>
      </c>
      <c r="AR617" s="781">
        <f t="shared" si="803"/>
        <v>0</v>
      </c>
      <c r="AS617" s="783">
        <f t="shared" si="804"/>
        <v>0</v>
      </c>
      <c r="AT617" s="917"/>
      <c r="AU617" s="721"/>
      <c r="AV617" s="170"/>
      <c r="AW617" s="832"/>
      <c r="AX617" s="833" t="s">
        <v>3030</v>
      </c>
      <c r="BM617" s="2010"/>
    </row>
    <row r="618" spans="1:65" ht="15" hidden="1" x14ac:dyDescent="0.25">
      <c r="A618" s="787"/>
      <c r="B618" s="904">
        <f t="shared" si="885"/>
        <v>600</v>
      </c>
      <c r="C618" s="170" t="str">
        <f t="shared" si="864"/>
        <v>0</v>
      </c>
      <c r="D618" s="906"/>
      <c r="E618" s="170"/>
      <c r="F618" s="170">
        <v>0</v>
      </c>
      <c r="G618" s="2007"/>
      <c r="H618" s="2008"/>
      <c r="I618" s="2008"/>
      <c r="J618" s="1926"/>
      <c r="K618" s="1926"/>
      <c r="L618" s="170"/>
      <c r="M618" s="2009">
        <v>0</v>
      </c>
      <c r="N618" s="2010">
        <v>1</v>
      </c>
      <c r="O618" s="773">
        <f t="shared" si="887"/>
        <v>0</v>
      </c>
      <c r="P618" s="2076" t="s">
        <v>39</v>
      </c>
      <c r="Q618" s="2008" t="s">
        <v>39</v>
      </c>
      <c r="R618" s="2011" t="s">
        <v>74</v>
      </c>
      <c r="S618" s="912">
        <f>SUMIF('Data Input sheet'!$B$118:$B$180,R618,'Data Input sheet'!$D$118:$D$180)</f>
        <v>152</v>
      </c>
      <c r="T618" s="2685">
        <f t="shared" si="888"/>
        <v>0</v>
      </c>
      <c r="U618" s="2013">
        <v>0</v>
      </c>
      <c r="V618" s="778">
        <f t="shared" si="889"/>
        <v>0</v>
      </c>
      <c r="W618" s="2010"/>
      <c r="X618" s="779"/>
      <c r="Y618" s="2012">
        <v>0</v>
      </c>
      <c r="Z618" s="780">
        <f t="shared" si="890"/>
        <v>0</v>
      </c>
      <c r="AA618" s="2007"/>
      <c r="AB618" s="2007"/>
      <c r="AC618" s="765"/>
      <c r="AD618" s="781">
        <f t="shared" si="789"/>
        <v>0</v>
      </c>
      <c r="AE618" s="778">
        <f t="shared" si="790"/>
        <v>0</v>
      </c>
      <c r="AF618" s="781">
        <f t="shared" si="791"/>
        <v>0</v>
      </c>
      <c r="AG618" s="781">
        <f t="shared" si="792"/>
        <v>0</v>
      </c>
      <c r="AH618" s="781">
        <f t="shared" si="793"/>
        <v>0</v>
      </c>
      <c r="AI618" s="782">
        <f t="shared" si="794"/>
        <v>0</v>
      </c>
      <c r="AJ618" s="781">
        <f t="shared" si="795"/>
        <v>0</v>
      </c>
      <c r="AK618" s="781">
        <f t="shared" si="796"/>
        <v>0</v>
      </c>
      <c r="AL618" s="781">
        <f t="shared" si="797"/>
        <v>0</v>
      </c>
      <c r="AM618" s="781">
        <f t="shared" si="798"/>
        <v>0</v>
      </c>
      <c r="AN618" s="781">
        <f t="shared" si="799"/>
        <v>0</v>
      </c>
      <c r="AO618" s="781">
        <f t="shared" si="800"/>
        <v>0</v>
      </c>
      <c r="AP618" s="781">
        <f t="shared" si="801"/>
        <v>0</v>
      </c>
      <c r="AQ618" s="781">
        <f t="shared" si="802"/>
        <v>0</v>
      </c>
      <c r="AR618" s="781">
        <f t="shared" si="803"/>
        <v>0</v>
      </c>
      <c r="AS618" s="783">
        <f t="shared" si="804"/>
        <v>0</v>
      </c>
      <c r="AT618" s="917"/>
      <c r="AU618" s="721"/>
      <c r="AV618" s="170"/>
      <c r="AW618" s="832"/>
      <c r="AX618" s="833" t="s">
        <v>3030</v>
      </c>
      <c r="BM618" s="2010"/>
    </row>
    <row r="619" spans="1:65" ht="15" hidden="1" x14ac:dyDescent="0.25">
      <c r="A619" s="787"/>
      <c r="B619" s="904">
        <f t="shared" si="885"/>
        <v>601</v>
      </c>
      <c r="C619" s="170" t="str">
        <f t="shared" si="864"/>
        <v>0</v>
      </c>
      <c r="D619" s="906"/>
      <c r="E619" s="170"/>
      <c r="F619" s="170">
        <v>0</v>
      </c>
      <c r="G619" s="2007"/>
      <c r="H619" s="2008"/>
      <c r="I619" s="2008"/>
      <c r="J619" s="1926"/>
      <c r="K619" s="1926"/>
      <c r="L619" s="170"/>
      <c r="M619" s="2009">
        <v>0</v>
      </c>
      <c r="N619" s="2010">
        <v>1</v>
      </c>
      <c r="O619" s="773">
        <f t="shared" si="887"/>
        <v>0</v>
      </c>
      <c r="P619" s="2076" t="s">
        <v>39</v>
      </c>
      <c r="Q619" s="2008" t="s">
        <v>39</v>
      </c>
      <c r="R619" s="2011" t="s">
        <v>74</v>
      </c>
      <c r="S619" s="912">
        <f>SUMIF('Data Input sheet'!$B$118:$B$180,R619,'Data Input sheet'!$D$118:$D$180)</f>
        <v>152</v>
      </c>
      <c r="T619" s="2685">
        <f t="shared" si="888"/>
        <v>0</v>
      </c>
      <c r="U619" s="2013">
        <v>0</v>
      </c>
      <c r="V619" s="778">
        <f t="shared" si="889"/>
        <v>0</v>
      </c>
      <c r="W619" s="2010"/>
      <c r="X619" s="779"/>
      <c r="Y619" s="2012">
        <v>0</v>
      </c>
      <c r="Z619" s="780">
        <f t="shared" si="890"/>
        <v>0</v>
      </c>
      <c r="AA619" s="2007"/>
      <c r="AB619" s="2007"/>
      <c r="AC619" s="765"/>
      <c r="AD619" s="781">
        <f t="shared" si="789"/>
        <v>0</v>
      </c>
      <c r="AE619" s="778">
        <f t="shared" si="790"/>
        <v>0</v>
      </c>
      <c r="AF619" s="781">
        <f t="shared" si="791"/>
        <v>0</v>
      </c>
      <c r="AG619" s="781">
        <f t="shared" si="792"/>
        <v>0</v>
      </c>
      <c r="AH619" s="781">
        <f t="shared" si="793"/>
        <v>0</v>
      </c>
      <c r="AI619" s="782">
        <f t="shared" si="794"/>
        <v>0</v>
      </c>
      <c r="AJ619" s="781">
        <f t="shared" si="795"/>
        <v>0</v>
      </c>
      <c r="AK619" s="781">
        <f t="shared" si="796"/>
        <v>0</v>
      </c>
      <c r="AL619" s="781">
        <f t="shared" si="797"/>
        <v>0</v>
      </c>
      <c r="AM619" s="781">
        <f t="shared" si="798"/>
        <v>0</v>
      </c>
      <c r="AN619" s="781">
        <f t="shared" si="799"/>
        <v>0</v>
      </c>
      <c r="AO619" s="781">
        <f t="shared" si="800"/>
        <v>0</v>
      </c>
      <c r="AP619" s="781">
        <f t="shared" si="801"/>
        <v>0</v>
      </c>
      <c r="AQ619" s="781">
        <f t="shared" si="802"/>
        <v>0</v>
      </c>
      <c r="AR619" s="781">
        <f t="shared" si="803"/>
        <v>0</v>
      </c>
      <c r="AS619" s="783">
        <f t="shared" si="804"/>
        <v>0</v>
      </c>
      <c r="AT619" s="917"/>
      <c r="AU619" s="721"/>
      <c r="AV619" s="170"/>
      <c r="AW619" s="832"/>
      <c r="AX619" s="833" t="s">
        <v>3030</v>
      </c>
      <c r="BM619" s="2010"/>
    </row>
    <row r="620" spans="1:65" ht="15" hidden="1" x14ac:dyDescent="0.25">
      <c r="A620" s="787"/>
      <c r="B620" s="904">
        <f t="shared" si="885"/>
        <v>602</v>
      </c>
      <c r="C620" s="170" t="str">
        <f t="shared" si="864"/>
        <v>0</v>
      </c>
      <c r="D620" s="906"/>
      <c r="E620" s="170"/>
      <c r="F620" s="170">
        <v>0</v>
      </c>
      <c r="G620" s="2007"/>
      <c r="H620" s="2008"/>
      <c r="I620" s="2008"/>
      <c r="J620" s="1926"/>
      <c r="K620" s="1926"/>
      <c r="L620" s="170"/>
      <c r="M620" s="2009">
        <v>0</v>
      </c>
      <c r="N620" s="2010">
        <v>1</v>
      </c>
      <c r="O620" s="773">
        <f t="shared" si="887"/>
        <v>0</v>
      </c>
      <c r="P620" s="2076" t="s">
        <v>39</v>
      </c>
      <c r="Q620" s="2008" t="s">
        <v>39</v>
      </c>
      <c r="R620" s="2011" t="s">
        <v>74</v>
      </c>
      <c r="S620" s="912">
        <f>SUMIF('Data Input sheet'!$B$118:$B$180,R620,'Data Input sheet'!$D$118:$D$180)</f>
        <v>152</v>
      </c>
      <c r="T620" s="2685">
        <f t="shared" si="888"/>
        <v>0</v>
      </c>
      <c r="U620" s="2013">
        <v>0</v>
      </c>
      <c r="V620" s="778">
        <f t="shared" si="889"/>
        <v>0</v>
      </c>
      <c r="W620" s="2010"/>
      <c r="X620" s="779"/>
      <c r="Y620" s="2012">
        <v>0</v>
      </c>
      <c r="Z620" s="780">
        <f t="shared" si="890"/>
        <v>0</v>
      </c>
      <c r="AA620" s="2007"/>
      <c r="AB620" s="2007"/>
      <c r="AC620" s="765"/>
      <c r="AD620" s="781">
        <f t="shared" si="789"/>
        <v>0</v>
      </c>
      <c r="AE620" s="778">
        <f t="shared" si="790"/>
        <v>0</v>
      </c>
      <c r="AF620" s="781">
        <f t="shared" si="791"/>
        <v>0</v>
      </c>
      <c r="AG620" s="781">
        <f t="shared" si="792"/>
        <v>0</v>
      </c>
      <c r="AH620" s="781">
        <f t="shared" si="793"/>
        <v>0</v>
      </c>
      <c r="AI620" s="782">
        <f t="shared" si="794"/>
        <v>0</v>
      </c>
      <c r="AJ620" s="781">
        <f t="shared" si="795"/>
        <v>0</v>
      </c>
      <c r="AK620" s="781">
        <f t="shared" si="796"/>
        <v>0</v>
      </c>
      <c r="AL620" s="781">
        <f t="shared" si="797"/>
        <v>0</v>
      </c>
      <c r="AM620" s="781">
        <f t="shared" si="798"/>
        <v>0</v>
      </c>
      <c r="AN620" s="781">
        <f t="shared" si="799"/>
        <v>0</v>
      </c>
      <c r="AO620" s="781">
        <f t="shared" si="800"/>
        <v>0</v>
      </c>
      <c r="AP620" s="781">
        <f t="shared" si="801"/>
        <v>0</v>
      </c>
      <c r="AQ620" s="781">
        <f t="shared" si="802"/>
        <v>0</v>
      </c>
      <c r="AR620" s="781">
        <f t="shared" si="803"/>
        <v>0</v>
      </c>
      <c r="AS620" s="783">
        <f t="shared" si="804"/>
        <v>0</v>
      </c>
      <c r="AT620" s="917"/>
      <c r="AU620" s="721"/>
      <c r="AV620" s="170"/>
      <c r="AW620" s="832"/>
      <c r="AX620" s="833" t="s">
        <v>3030</v>
      </c>
      <c r="BM620" s="2010"/>
    </row>
    <row r="621" spans="1:65" ht="15" x14ac:dyDescent="0.25">
      <c r="A621" s="787"/>
      <c r="B621" s="904">
        <f t="shared" si="885"/>
        <v>603</v>
      </c>
      <c r="C621" s="721"/>
      <c r="D621" s="906"/>
      <c r="E621" s="170"/>
      <c r="F621" s="170"/>
      <c r="G621" s="791" t="s">
        <v>592</v>
      </c>
      <c r="H621" s="1079">
        <v>1</v>
      </c>
      <c r="I621" s="1079"/>
      <c r="J621" s="1079">
        <v>1</v>
      </c>
      <c r="K621" s="1079"/>
      <c r="L621" s="2077"/>
      <c r="M621" s="1082"/>
      <c r="N621" s="1082"/>
      <c r="O621" s="1082"/>
      <c r="P621" s="1083"/>
      <c r="Q621" s="1083"/>
      <c r="R621" s="1082"/>
      <c r="S621" s="1082"/>
      <c r="T621" s="1084"/>
      <c r="U621" s="1085"/>
      <c r="V621" s="1086"/>
      <c r="W621" s="1086"/>
      <c r="X621" s="1084"/>
      <c r="Y621" s="1084"/>
      <c r="Z621" s="1087"/>
      <c r="AA621" s="1079"/>
      <c r="AB621" s="1079"/>
      <c r="AC621" s="721"/>
      <c r="AD621" s="2681">
        <f>SUM(AD10:AD620)</f>
        <v>0</v>
      </c>
      <c r="AE621" s="1077">
        <f t="shared" ref="AE621:AS621" si="891">SUM(AE10:AE620)</f>
        <v>0</v>
      </c>
      <c r="AF621" s="2681">
        <f t="shared" si="891"/>
        <v>0</v>
      </c>
      <c r="AG621" s="2681">
        <f t="shared" si="891"/>
        <v>0</v>
      </c>
      <c r="AH621" s="2681">
        <f t="shared" si="891"/>
        <v>0</v>
      </c>
      <c r="AI621" s="2682">
        <f t="shared" si="891"/>
        <v>0</v>
      </c>
      <c r="AJ621" s="2681">
        <f t="shared" si="891"/>
        <v>0</v>
      </c>
      <c r="AK621" s="2681">
        <f t="shared" si="891"/>
        <v>0</v>
      </c>
      <c r="AL621" s="2681">
        <f t="shared" si="891"/>
        <v>0</v>
      </c>
      <c r="AM621" s="2681">
        <f t="shared" si="891"/>
        <v>0</v>
      </c>
      <c r="AN621" s="2681">
        <f t="shared" si="891"/>
        <v>0</v>
      </c>
      <c r="AO621" s="2681">
        <f t="shared" si="891"/>
        <v>0</v>
      </c>
      <c r="AP621" s="2681">
        <f t="shared" si="891"/>
        <v>0</v>
      </c>
      <c r="AQ621" s="2681">
        <f t="shared" si="891"/>
        <v>0</v>
      </c>
      <c r="AR621" s="2681">
        <f t="shared" si="891"/>
        <v>0</v>
      </c>
      <c r="AS621" s="2683">
        <f t="shared" si="891"/>
        <v>0</v>
      </c>
      <c r="AT621" s="919"/>
      <c r="AU621" s="721"/>
      <c r="AV621" s="170"/>
      <c r="AW621" s="828"/>
      <c r="AX621" s="726"/>
      <c r="BM621" s="1086"/>
    </row>
    <row r="622" spans="1:65" ht="15.75" hidden="1" thickBot="1" x14ac:dyDescent="0.3">
      <c r="A622" s="787"/>
      <c r="B622" s="904">
        <f t="shared" si="885"/>
        <v>604</v>
      </c>
      <c r="C622" s="721"/>
      <c r="D622" s="920"/>
      <c r="E622" s="921"/>
      <c r="F622" s="921"/>
      <c r="G622" s="796"/>
      <c r="H622" s="796"/>
      <c r="I622" s="796"/>
      <c r="J622" s="796"/>
      <c r="K622" s="796"/>
      <c r="L622" s="921"/>
      <c r="M622" s="922"/>
      <c r="N622" s="922"/>
      <c r="O622" s="922"/>
      <c r="P622" s="923"/>
      <c r="Q622" s="923"/>
      <c r="R622" s="922"/>
      <c r="S622" s="922"/>
      <c r="T622" s="924"/>
      <c r="U622" s="925"/>
      <c r="V622" s="926"/>
      <c r="W622" s="926"/>
      <c r="X622" s="924"/>
      <c r="Y622" s="924"/>
      <c r="Z622" s="927"/>
      <c r="AA622" s="796"/>
      <c r="AB622" s="796"/>
      <c r="AC622" s="928"/>
      <c r="AD622" s="805"/>
      <c r="AE622" s="805"/>
      <c r="AF622" s="576"/>
      <c r="AG622" s="576"/>
      <c r="AH622" s="576"/>
      <c r="AI622" s="806"/>
      <c r="AJ622" s="806"/>
      <c r="AK622" s="806"/>
      <c r="AL622" s="806"/>
      <c r="AM622" s="806"/>
      <c r="AN622" s="806"/>
      <c r="AO622" s="806"/>
      <c r="AP622" s="806"/>
      <c r="AQ622" s="806"/>
      <c r="AR622" s="806"/>
      <c r="AS622" s="806"/>
      <c r="AT622" s="929"/>
      <c r="AU622" s="721"/>
      <c r="AV622" s="170"/>
      <c r="AW622" s="828"/>
      <c r="AX622" s="726"/>
      <c r="BM622" s="926"/>
    </row>
    <row r="623" spans="1:65" ht="15" hidden="1" x14ac:dyDescent="0.25">
      <c r="A623" s="787"/>
      <c r="B623" s="904">
        <f t="shared" si="885"/>
        <v>605</v>
      </c>
      <c r="C623" s="721"/>
      <c r="D623" s="721"/>
      <c r="E623" s="721"/>
      <c r="F623" s="170"/>
      <c r="G623" s="721"/>
      <c r="H623" s="721"/>
      <c r="I623" s="721"/>
      <c r="J623" s="721"/>
      <c r="K623" s="721"/>
      <c r="L623" s="721"/>
      <c r="M623" s="721"/>
      <c r="N623" s="721"/>
      <c r="O623" s="721"/>
      <c r="P623" s="721"/>
      <c r="Q623" s="721"/>
      <c r="R623" s="721"/>
      <c r="S623" s="721"/>
      <c r="T623" s="721"/>
      <c r="U623" s="721"/>
      <c r="V623" s="721"/>
      <c r="W623" s="721"/>
      <c r="X623" s="721"/>
      <c r="Y623" s="721"/>
      <c r="Z623" s="721"/>
      <c r="AA623" s="721"/>
      <c r="AB623" s="721"/>
      <c r="AC623" s="721"/>
      <c r="AD623" s="170"/>
      <c r="AE623" s="170"/>
      <c r="AF623" s="170"/>
      <c r="AG623" s="170"/>
      <c r="AH623" s="170"/>
      <c r="AI623" s="170"/>
      <c r="AJ623" s="170"/>
      <c r="AK623" s="170"/>
      <c r="AL623" s="170"/>
      <c r="AM623" s="170"/>
      <c r="AN623" s="170"/>
      <c r="AO623" s="170"/>
      <c r="AP623" s="170"/>
      <c r="AQ623" s="170"/>
      <c r="AR623" s="170"/>
      <c r="AS623" s="170"/>
      <c r="AT623" s="721"/>
      <c r="AU623" s="721"/>
      <c r="AV623" s="170"/>
      <c r="AW623" s="828"/>
      <c r="AX623" s="726"/>
      <c r="BM623" s="721"/>
    </row>
    <row r="624" spans="1:65" ht="15" hidden="1" x14ac:dyDescent="0.25">
      <c r="A624" s="721"/>
      <c r="B624" s="904"/>
      <c r="C624" s="721"/>
      <c r="D624" s="168" t="s">
        <v>742</v>
      </c>
      <c r="E624" s="170"/>
      <c r="F624" s="170"/>
      <c r="G624" s="721"/>
      <c r="H624" s="170"/>
      <c r="I624" s="170"/>
      <c r="J624" s="170"/>
      <c r="K624" s="170"/>
      <c r="L624" s="170"/>
      <c r="M624" s="730"/>
      <c r="N624" s="730"/>
      <c r="O624" s="730"/>
      <c r="P624" s="731"/>
      <c r="Q624" s="731"/>
      <c r="R624" s="730"/>
      <c r="S624" s="730"/>
      <c r="T624" s="723"/>
      <c r="U624" s="724"/>
      <c r="V624" s="725"/>
      <c r="W624" s="725"/>
      <c r="X624" s="723"/>
      <c r="Y624" s="723"/>
      <c r="Z624" s="723"/>
      <c r="AA624" s="726"/>
      <c r="AB624" s="726"/>
      <c r="AC624" s="170"/>
      <c r="AD624" s="586"/>
      <c r="AE624" s="586"/>
      <c r="AF624" s="170"/>
      <c r="AG624" s="170"/>
      <c r="AH624" s="170"/>
      <c r="AI624" s="170"/>
      <c r="AJ624" s="170"/>
      <c r="AK624" s="170"/>
      <c r="AL624" s="170"/>
      <c r="AM624" s="170"/>
      <c r="AN624" s="170"/>
      <c r="AO624" s="170"/>
      <c r="AP624" s="170"/>
      <c r="AQ624" s="170"/>
      <c r="AR624" s="170"/>
      <c r="AS624" s="170"/>
      <c r="AT624" s="170"/>
      <c r="AU624" s="170"/>
      <c r="AV624" s="170"/>
      <c r="AW624" s="828"/>
      <c r="AX624" s="726"/>
      <c r="BM624" s="725"/>
    </row>
    <row r="625" spans="1:65" ht="15" hidden="1" x14ac:dyDescent="0.25">
      <c r="A625" s="721"/>
      <c r="B625" s="904"/>
      <c r="C625" s="170" t="str">
        <f t="shared" ref="C625:C688" si="892">+F625&amp;I625</f>
        <v>1ls</v>
      </c>
      <c r="D625" s="170"/>
      <c r="E625" s="170"/>
      <c r="F625" s="170">
        <f>+Parameters!D4</f>
        <v>1</v>
      </c>
      <c r="G625" s="170" t="str">
        <f>+Parameters!E4</f>
        <v>General mob / demob</v>
      </c>
      <c r="H625" s="586">
        <f t="shared" ref="H625:H656" si="893">SUMIF($C$9:$C$620,$C625,H$9:H$620)</f>
        <v>0</v>
      </c>
      <c r="I625" s="170" t="str">
        <f>+Parameters!F4</f>
        <v>ls</v>
      </c>
      <c r="J625" s="170"/>
      <c r="K625" s="170"/>
      <c r="L625" s="170"/>
      <c r="M625" s="730"/>
      <c r="N625" s="730"/>
      <c r="O625" s="730"/>
      <c r="P625" s="731"/>
      <c r="Q625" s="731"/>
      <c r="R625" s="730"/>
      <c r="S625" s="730"/>
      <c r="T625" s="723"/>
      <c r="U625" s="724"/>
      <c r="V625" s="725"/>
      <c r="W625" s="725"/>
      <c r="X625" s="723"/>
      <c r="Y625" s="723"/>
      <c r="Z625" s="723"/>
      <c r="AA625" s="726"/>
      <c r="AB625" s="726"/>
      <c r="AC625" s="170"/>
      <c r="AD625" s="586">
        <f t="shared" ref="AD625:AS634" si="894">SUMIF($F$9:$F$620,$F625,AD$9:AD$620)</f>
        <v>0</v>
      </c>
      <c r="AE625" s="586">
        <f t="shared" si="894"/>
        <v>0</v>
      </c>
      <c r="AF625" s="586">
        <f t="shared" si="894"/>
        <v>0</v>
      </c>
      <c r="AG625" s="586">
        <f t="shared" si="894"/>
        <v>0</v>
      </c>
      <c r="AH625" s="586">
        <f t="shared" si="894"/>
        <v>0</v>
      </c>
      <c r="AI625" s="586">
        <f t="shared" si="894"/>
        <v>0</v>
      </c>
      <c r="AJ625" s="586">
        <f t="shared" si="894"/>
        <v>0</v>
      </c>
      <c r="AK625" s="586">
        <f t="shared" si="894"/>
        <v>0</v>
      </c>
      <c r="AL625" s="586">
        <f t="shared" si="894"/>
        <v>0</v>
      </c>
      <c r="AM625" s="586">
        <f t="shared" si="894"/>
        <v>0</v>
      </c>
      <c r="AN625" s="586">
        <f t="shared" si="894"/>
        <v>0</v>
      </c>
      <c r="AO625" s="586">
        <f t="shared" si="894"/>
        <v>0</v>
      </c>
      <c r="AP625" s="586">
        <f t="shared" si="894"/>
        <v>0</v>
      </c>
      <c r="AQ625" s="586">
        <f t="shared" si="894"/>
        <v>0</v>
      </c>
      <c r="AR625" s="586">
        <f t="shared" si="894"/>
        <v>0</v>
      </c>
      <c r="AS625" s="586">
        <f t="shared" si="894"/>
        <v>0</v>
      </c>
      <c r="AT625" s="170"/>
      <c r="AU625" s="170"/>
      <c r="AV625" s="170"/>
      <c r="AW625" s="828"/>
      <c r="AX625" s="726"/>
      <c r="BM625" s="725"/>
    </row>
    <row r="626" spans="1:65" ht="15" hidden="1" x14ac:dyDescent="0.25">
      <c r="A626" s="721"/>
      <c r="B626" s="904"/>
      <c r="C626" s="170" t="str">
        <f t="shared" si="892"/>
        <v>20</v>
      </c>
      <c r="D626" s="170"/>
      <c r="E626" s="170"/>
      <c r="F626" s="170">
        <f>+Parameters!D5</f>
        <v>2</v>
      </c>
      <c r="G626" s="170" t="str">
        <f>+Parameters!E5</f>
        <v>General site work - general inc roads/paving</v>
      </c>
      <c r="H626" s="586">
        <f t="shared" si="893"/>
        <v>0</v>
      </c>
      <c r="I626" s="170">
        <f>+Parameters!F5</f>
        <v>0</v>
      </c>
      <c r="J626" s="170"/>
      <c r="K626" s="170"/>
      <c r="L626" s="170"/>
      <c r="M626" s="730"/>
      <c r="N626" s="730"/>
      <c r="O626" s="730"/>
      <c r="P626" s="731"/>
      <c r="Q626" s="731"/>
      <c r="R626" s="730"/>
      <c r="S626" s="730"/>
      <c r="T626" s="723"/>
      <c r="U626" s="724"/>
      <c r="V626" s="725"/>
      <c r="W626" s="725"/>
      <c r="X626" s="723"/>
      <c r="Y626" s="723"/>
      <c r="Z626" s="723"/>
      <c r="AA626" s="726"/>
      <c r="AB626" s="726"/>
      <c r="AC626" s="170"/>
      <c r="AD626" s="586">
        <f t="shared" si="894"/>
        <v>0</v>
      </c>
      <c r="AE626" s="586">
        <f t="shared" si="894"/>
        <v>0</v>
      </c>
      <c r="AF626" s="586">
        <f t="shared" si="894"/>
        <v>0</v>
      </c>
      <c r="AG626" s="586">
        <f t="shared" si="894"/>
        <v>0</v>
      </c>
      <c r="AH626" s="586">
        <f t="shared" si="894"/>
        <v>0</v>
      </c>
      <c r="AI626" s="586">
        <f t="shared" si="894"/>
        <v>0</v>
      </c>
      <c r="AJ626" s="586">
        <f t="shared" si="894"/>
        <v>0</v>
      </c>
      <c r="AK626" s="586">
        <f t="shared" si="894"/>
        <v>0</v>
      </c>
      <c r="AL626" s="586">
        <f t="shared" si="894"/>
        <v>0</v>
      </c>
      <c r="AM626" s="586">
        <f t="shared" si="894"/>
        <v>0</v>
      </c>
      <c r="AN626" s="586">
        <f t="shared" si="894"/>
        <v>0</v>
      </c>
      <c r="AO626" s="586">
        <f t="shared" si="894"/>
        <v>0</v>
      </c>
      <c r="AP626" s="586">
        <f t="shared" si="894"/>
        <v>0</v>
      </c>
      <c r="AQ626" s="586">
        <f t="shared" si="894"/>
        <v>0</v>
      </c>
      <c r="AR626" s="586">
        <f t="shared" si="894"/>
        <v>0</v>
      </c>
      <c r="AS626" s="586">
        <f t="shared" si="894"/>
        <v>0</v>
      </c>
      <c r="AT626" s="170"/>
      <c r="AU626" s="170"/>
      <c r="AV626" s="170"/>
      <c r="AW626" s="828"/>
      <c r="AX626" s="726"/>
      <c r="BM626" s="725"/>
    </row>
    <row r="627" spans="1:65" ht="15" hidden="1" x14ac:dyDescent="0.25">
      <c r="A627" s="721"/>
      <c r="B627" s="904"/>
      <c r="C627" s="170" t="str">
        <f t="shared" si="892"/>
        <v>3ea</v>
      </c>
      <c r="D627" s="170"/>
      <c r="E627" s="170"/>
      <c r="F627" s="170">
        <f>+Parameters!D6</f>
        <v>3</v>
      </c>
      <c r="G627" s="170" t="str">
        <f>+Parameters!E6</f>
        <v>foundations - Poles - direct embed</v>
      </c>
      <c r="H627" s="586">
        <f t="shared" si="893"/>
        <v>0</v>
      </c>
      <c r="I627" s="170" t="str">
        <f>+Parameters!F6</f>
        <v>ea</v>
      </c>
      <c r="J627" s="170"/>
      <c r="K627" s="170"/>
      <c r="L627" s="170"/>
      <c r="M627" s="730"/>
      <c r="N627" s="730"/>
      <c r="O627" s="730"/>
      <c r="P627" s="731"/>
      <c r="Q627" s="731"/>
      <c r="R627" s="730"/>
      <c r="S627" s="730"/>
      <c r="T627" s="723"/>
      <c r="U627" s="724"/>
      <c r="V627" s="725"/>
      <c r="W627" s="725"/>
      <c r="X627" s="723"/>
      <c r="Y627" s="723"/>
      <c r="Z627" s="723"/>
      <c r="AA627" s="726"/>
      <c r="AB627" s="726"/>
      <c r="AC627" s="170"/>
      <c r="AD627" s="586">
        <f t="shared" si="894"/>
        <v>0</v>
      </c>
      <c r="AE627" s="586">
        <f t="shared" si="894"/>
        <v>0</v>
      </c>
      <c r="AF627" s="586">
        <f t="shared" si="894"/>
        <v>0</v>
      </c>
      <c r="AG627" s="586">
        <f t="shared" si="894"/>
        <v>0</v>
      </c>
      <c r="AH627" s="586">
        <f t="shared" si="894"/>
        <v>0</v>
      </c>
      <c r="AI627" s="586">
        <f t="shared" si="894"/>
        <v>0</v>
      </c>
      <c r="AJ627" s="586">
        <f t="shared" si="894"/>
        <v>0</v>
      </c>
      <c r="AK627" s="586">
        <f t="shared" si="894"/>
        <v>0</v>
      </c>
      <c r="AL627" s="586">
        <f t="shared" si="894"/>
        <v>0</v>
      </c>
      <c r="AM627" s="586">
        <f t="shared" si="894"/>
        <v>0</v>
      </c>
      <c r="AN627" s="586">
        <f t="shared" si="894"/>
        <v>0</v>
      </c>
      <c r="AO627" s="586">
        <f t="shared" si="894"/>
        <v>0</v>
      </c>
      <c r="AP627" s="586">
        <f t="shared" si="894"/>
        <v>0</v>
      </c>
      <c r="AQ627" s="586">
        <f t="shared" si="894"/>
        <v>0</v>
      </c>
      <c r="AR627" s="586">
        <f t="shared" si="894"/>
        <v>0</v>
      </c>
      <c r="AS627" s="586">
        <f t="shared" si="894"/>
        <v>0</v>
      </c>
      <c r="AT627" s="170"/>
      <c r="AU627" s="170"/>
      <c r="AV627" s="170"/>
      <c r="AW627" s="828"/>
      <c r="AX627" s="726"/>
    </row>
    <row r="628" spans="1:65" ht="15" hidden="1" x14ac:dyDescent="0.25">
      <c r="A628" s="721"/>
      <c r="B628" s="904"/>
      <c r="C628" s="170" t="str">
        <f t="shared" si="892"/>
        <v>40</v>
      </c>
      <c r="D628" s="170"/>
      <c r="E628" s="170"/>
      <c r="F628" s="170">
        <f>+Parameters!D7</f>
        <v>4</v>
      </c>
      <c r="G628" s="170" t="str">
        <f>+Parameters!E7</f>
        <v>foundations - Poles - formed conc.</v>
      </c>
      <c r="H628" s="586">
        <f t="shared" si="893"/>
        <v>0</v>
      </c>
      <c r="I628" s="170">
        <f>+Parameters!F7</f>
        <v>0</v>
      </c>
      <c r="J628" s="170"/>
      <c r="K628" s="170"/>
      <c r="L628" s="170"/>
      <c r="M628" s="730"/>
      <c r="N628" s="730"/>
      <c r="O628" s="730"/>
      <c r="P628" s="731"/>
      <c r="Q628" s="731"/>
      <c r="R628" s="730"/>
      <c r="S628" s="730"/>
      <c r="T628" s="723"/>
      <c r="U628" s="724"/>
      <c r="V628" s="725"/>
      <c r="W628" s="725"/>
      <c r="X628" s="723"/>
      <c r="Y628" s="723"/>
      <c r="Z628" s="723"/>
      <c r="AA628" s="726"/>
      <c r="AB628" s="726"/>
      <c r="AC628" s="170"/>
      <c r="AD628" s="586">
        <f t="shared" si="894"/>
        <v>0</v>
      </c>
      <c r="AE628" s="586">
        <f t="shared" si="894"/>
        <v>0</v>
      </c>
      <c r="AF628" s="586">
        <f t="shared" si="894"/>
        <v>0</v>
      </c>
      <c r="AG628" s="586">
        <f t="shared" si="894"/>
        <v>0</v>
      </c>
      <c r="AH628" s="586">
        <f t="shared" si="894"/>
        <v>0</v>
      </c>
      <c r="AI628" s="586">
        <f t="shared" si="894"/>
        <v>0</v>
      </c>
      <c r="AJ628" s="586">
        <f t="shared" si="894"/>
        <v>0</v>
      </c>
      <c r="AK628" s="586">
        <f t="shared" si="894"/>
        <v>0</v>
      </c>
      <c r="AL628" s="586">
        <f t="shared" si="894"/>
        <v>0</v>
      </c>
      <c r="AM628" s="586">
        <f t="shared" si="894"/>
        <v>0</v>
      </c>
      <c r="AN628" s="586">
        <f t="shared" si="894"/>
        <v>0</v>
      </c>
      <c r="AO628" s="586">
        <f t="shared" si="894"/>
        <v>0</v>
      </c>
      <c r="AP628" s="586">
        <f t="shared" si="894"/>
        <v>0</v>
      </c>
      <c r="AQ628" s="586">
        <f t="shared" si="894"/>
        <v>0</v>
      </c>
      <c r="AR628" s="586">
        <f t="shared" si="894"/>
        <v>0</v>
      </c>
      <c r="AS628" s="586">
        <f t="shared" si="894"/>
        <v>0</v>
      </c>
      <c r="AT628" s="170"/>
      <c r="AU628" s="170"/>
      <c r="AV628" s="170"/>
      <c r="AW628" s="828"/>
      <c r="AX628" s="726"/>
    </row>
    <row r="629" spans="1:65" ht="15" hidden="1" x14ac:dyDescent="0.25">
      <c r="A629" s="721"/>
      <c r="B629" s="904"/>
      <c r="C629" s="170" t="str">
        <f t="shared" si="892"/>
        <v>5cy</v>
      </c>
      <c r="D629" s="170"/>
      <c r="E629" s="170"/>
      <c r="F629" s="170">
        <f>+Parameters!D8</f>
        <v>5</v>
      </c>
      <c r="G629" s="170" t="str">
        <f>+Parameters!E8</f>
        <v>foundations - station</v>
      </c>
      <c r="H629" s="586">
        <f t="shared" si="893"/>
        <v>0</v>
      </c>
      <c r="I629" s="170" t="str">
        <f>+Parameters!F8</f>
        <v>cy</v>
      </c>
      <c r="J629" s="170"/>
      <c r="K629" s="170"/>
      <c r="L629" s="170"/>
      <c r="M629" s="730"/>
      <c r="N629" s="730"/>
      <c r="O629" s="730"/>
      <c r="P629" s="731"/>
      <c r="Q629" s="731"/>
      <c r="R629" s="730"/>
      <c r="S629" s="730"/>
      <c r="T629" s="723"/>
      <c r="U629" s="724"/>
      <c r="V629" s="725"/>
      <c r="W629" s="725"/>
      <c r="X629" s="723"/>
      <c r="Y629" s="723"/>
      <c r="Z629" s="723"/>
      <c r="AA629" s="726"/>
      <c r="AB629" s="726"/>
      <c r="AC629" s="170"/>
      <c r="AD629" s="586">
        <f t="shared" si="894"/>
        <v>0</v>
      </c>
      <c r="AE629" s="586">
        <f t="shared" si="894"/>
        <v>0</v>
      </c>
      <c r="AF629" s="586">
        <f t="shared" si="894"/>
        <v>0</v>
      </c>
      <c r="AG629" s="586">
        <f t="shared" si="894"/>
        <v>0</v>
      </c>
      <c r="AH629" s="586">
        <f t="shared" si="894"/>
        <v>0</v>
      </c>
      <c r="AI629" s="586">
        <f t="shared" si="894"/>
        <v>0</v>
      </c>
      <c r="AJ629" s="586">
        <f t="shared" si="894"/>
        <v>0</v>
      </c>
      <c r="AK629" s="586">
        <f t="shared" si="894"/>
        <v>0</v>
      </c>
      <c r="AL629" s="586">
        <f t="shared" si="894"/>
        <v>0</v>
      </c>
      <c r="AM629" s="586">
        <f t="shared" si="894"/>
        <v>0</v>
      </c>
      <c r="AN629" s="586">
        <f t="shared" si="894"/>
        <v>0</v>
      </c>
      <c r="AO629" s="586">
        <f t="shared" si="894"/>
        <v>0</v>
      </c>
      <c r="AP629" s="586">
        <f t="shared" si="894"/>
        <v>0</v>
      </c>
      <c r="AQ629" s="586">
        <f t="shared" si="894"/>
        <v>0</v>
      </c>
      <c r="AR629" s="586">
        <f t="shared" si="894"/>
        <v>0</v>
      </c>
      <c r="AS629" s="586">
        <f t="shared" si="894"/>
        <v>0</v>
      </c>
      <c r="AT629" s="170"/>
      <c r="AU629" s="170"/>
      <c r="AV629" s="170"/>
      <c r="AW629" s="828"/>
      <c r="AX629" s="726"/>
    </row>
    <row r="630" spans="1:65" ht="15" hidden="1" x14ac:dyDescent="0.25">
      <c r="A630" s="721"/>
      <c r="B630" s="904"/>
      <c r="C630" s="170" t="str">
        <f t="shared" si="892"/>
        <v>6cy</v>
      </c>
      <c r="D630" s="170"/>
      <c r="E630" s="170"/>
      <c r="F630" s="170">
        <f>+Parameters!D9</f>
        <v>6</v>
      </c>
      <c r="G630" s="170" t="str">
        <f>+Parameters!E9</f>
        <v>foundations - buildings</v>
      </c>
      <c r="H630" s="586">
        <f t="shared" si="893"/>
        <v>0</v>
      </c>
      <c r="I630" s="170" t="str">
        <f>+Parameters!F9</f>
        <v>cy</v>
      </c>
      <c r="J630" s="170"/>
      <c r="K630" s="170"/>
      <c r="L630" s="170"/>
      <c r="M630" s="730"/>
      <c r="N630" s="730"/>
      <c r="O630" s="730"/>
      <c r="P630" s="731"/>
      <c r="Q630" s="731"/>
      <c r="R630" s="730"/>
      <c r="S630" s="730"/>
      <c r="T630" s="723"/>
      <c r="U630" s="724"/>
      <c r="V630" s="725"/>
      <c r="W630" s="725"/>
      <c r="X630" s="723"/>
      <c r="Y630" s="723"/>
      <c r="Z630" s="723"/>
      <c r="AA630" s="726"/>
      <c r="AB630" s="726"/>
      <c r="AC630" s="170"/>
      <c r="AD630" s="586">
        <f t="shared" si="894"/>
        <v>0</v>
      </c>
      <c r="AE630" s="586">
        <f t="shared" si="894"/>
        <v>0</v>
      </c>
      <c r="AF630" s="586">
        <f t="shared" si="894"/>
        <v>0</v>
      </c>
      <c r="AG630" s="586">
        <f t="shared" si="894"/>
        <v>0</v>
      </c>
      <c r="AH630" s="586">
        <f t="shared" si="894"/>
        <v>0</v>
      </c>
      <c r="AI630" s="586">
        <f t="shared" si="894"/>
        <v>0</v>
      </c>
      <c r="AJ630" s="586">
        <f t="shared" si="894"/>
        <v>0</v>
      </c>
      <c r="AK630" s="586">
        <f t="shared" si="894"/>
        <v>0</v>
      </c>
      <c r="AL630" s="586">
        <f t="shared" si="894"/>
        <v>0</v>
      </c>
      <c r="AM630" s="586">
        <f t="shared" si="894"/>
        <v>0</v>
      </c>
      <c r="AN630" s="586">
        <f t="shared" si="894"/>
        <v>0</v>
      </c>
      <c r="AO630" s="586">
        <f t="shared" si="894"/>
        <v>0</v>
      </c>
      <c r="AP630" s="586">
        <f t="shared" si="894"/>
        <v>0</v>
      </c>
      <c r="AQ630" s="586">
        <f t="shared" si="894"/>
        <v>0</v>
      </c>
      <c r="AR630" s="586">
        <f t="shared" si="894"/>
        <v>0</v>
      </c>
      <c r="AS630" s="586">
        <f t="shared" si="894"/>
        <v>0</v>
      </c>
      <c r="AT630" s="170"/>
      <c r="AU630" s="170"/>
      <c r="AV630" s="170"/>
      <c r="AW630" s="828"/>
      <c r="AX630" s="726"/>
    </row>
    <row r="631" spans="1:65" ht="15" hidden="1" x14ac:dyDescent="0.25">
      <c r="A631" s="721"/>
      <c r="B631" s="904"/>
      <c r="C631" s="170" t="str">
        <f t="shared" si="892"/>
        <v>70</v>
      </c>
      <c r="D631" s="170"/>
      <c r="E631" s="170"/>
      <c r="F631" s="170">
        <f>+Parameters!D10</f>
        <v>7</v>
      </c>
      <c r="G631" s="170" t="str">
        <f>+Parameters!E10</f>
        <v>Piling / Caissons</v>
      </c>
      <c r="H631" s="586">
        <f t="shared" si="893"/>
        <v>0</v>
      </c>
      <c r="I631" s="170">
        <f>+Parameters!F10</f>
        <v>0</v>
      </c>
      <c r="J631" s="170"/>
      <c r="K631" s="170"/>
      <c r="L631" s="170"/>
      <c r="M631" s="730"/>
      <c r="N631" s="730"/>
      <c r="O631" s="730"/>
      <c r="P631" s="731"/>
      <c r="Q631" s="731"/>
      <c r="R631" s="730"/>
      <c r="S631" s="730"/>
      <c r="T631" s="723"/>
      <c r="U631" s="724"/>
      <c r="V631" s="725"/>
      <c r="W631" s="725"/>
      <c r="X631" s="723"/>
      <c r="Y631" s="723"/>
      <c r="Z631" s="723"/>
      <c r="AA631" s="726"/>
      <c r="AB631" s="726"/>
      <c r="AC631" s="170"/>
      <c r="AD631" s="586">
        <f t="shared" si="894"/>
        <v>0</v>
      </c>
      <c r="AE631" s="586">
        <f t="shared" si="894"/>
        <v>0</v>
      </c>
      <c r="AF631" s="586">
        <f t="shared" si="894"/>
        <v>0</v>
      </c>
      <c r="AG631" s="586">
        <f t="shared" si="894"/>
        <v>0</v>
      </c>
      <c r="AH631" s="586">
        <f t="shared" si="894"/>
        <v>0</v>
      </c>
      <c r="AI631" s="586">
        <f t="shared" si="894"/>
        <v>0</v>
      </c>
      <c r="AJ631" s="586">
        <f t="shared" si="894"/>
        <v>0</v>
      </c>
      <c r="AK631" s="586">
        <f t="shared" si="894"/>
        <v>0</v>
      </c>
      <c r="AL631" s="586">
        <f t="shared" si="894"/>
        <v>0</v>
      </c>
      <c r="AM631" s="586">
        <f t="shared" si="894"/>
        <v>0</v>
      </c>
      <c r="AN631" s="586">
        <f t="shared" si="894"/>
        <v>0</v>
      </c>
      <c r="AO631" s="586">
        <f t="shared" si="894"/>
        <v>0</v>
      </c>
      <c r="AP631" s="586">
        <f t="shared" si="894"/>
        <v>0</v>
      </c>
      <c r="AQ631" s="586">
        <f t="shared" si="894"/>
        <v>0</v>
      </c>
      <c r="AR631" s="586">
        <f t="shared" si="894"/>
        <v>0</v>
      </c>
      <c r="AS631" s="586">
        <f t="shared" si="894"/>
        <v>0</v>
      </c>
      <c r="AT631" s="170"/>
      <c r="AU631" s="170"/>
      <c r="AV631" s="170"/>
      <c r="AW631" s="828"/>
      <c r="AX631" s="726"/>
    </row>
    <row r="632" spans="1:65" ht="15" hidden="1" x14ac:dyDescent="0.25">
      <c r="A632" s="721"/>
      <c r="B632" s="904"/>
      <c r="C632" s="170" t="str">
        <f t="shared" si="892"/>
        <v>80</v>
      </c>
      <c r="D632" s="170"/>
      <c r="E632" s="170"/>
      <c r="F632" s="170">
        <f>+Parameters!D11</f>
        <v>8</v>
      </c>
      <c r="G632" s="170" t="str">
        <f>+Parameters!E11</f>
        <v>ROW work ( clearing/ Grubbing/ access roads)</v>
      </c>
      <c r="H632" s="586">
        <f t="shared" si="893"/>
        <v>0</v>
      </c>
      <c r="I632" s="170">
        <f>+Parameters!F11</f>
        <v>0</v>
      </c>
      <c r="J632" s="170"/>
      <c r="K632" s="170"/>
      <c r="L632" s="170"/>
      <c r="M632" s="730"/>
      <c r="N632" s="730"/>
      <c r="O632" s="730"/>
      <c r="P632" s="731"/>
      <c r="Q632" s="731"/>
      <c r="R632" s="730"/>
      <c r="S632" s="730"/>
      <c r="T632" s="723"/>
      <c r="U632" s="724"/>
      <c r="V632" s="725"/>
      <c r="W632" s="725"/>
      <c r="X632" s="723"/>
      <c r="Y632" s="723"/>
      <c r="Z632" s="723"/>
      <c r="AA632" s="726"/>
      <c r="AB632" s="726"/>
      <c r="AC632" s="170"/>
      <c r="AD632" s="586">
        <f t="shared" si="894"/>
        <v>0</v>
      </c>
      <c r="AE632" s="586">
        <f t="shared" si="894"/>
        <v>0</v>
      </c>
      <c r="AF632" s="586">
        <f t="shared" si="894"/>
        <v>0</v>
      </c>
      <c r="AG632" s="586">
        <f t="shared" si="894"/>
        <v>0</v>
      </c>
      <c r="AH632" s="586">
        <f t="shared" si="894"/>
        <v>0</v>
      </c>
      <c r="AI632" s="586">
        <f t="shared" si="894"/>
        <v>0</v>
      </c>
      <c r="AJ632" s="586">
        <f t="shared" si="894"/>
        <v>0</v>
      </c>
      <c r="AK632" s="586">
        <f t="shared" si="894"/>
        <v>0</v>
      </c>
      <c r="AL632" s="586">
        <f t="shared" si="894"/>
        <v>0</v>
      </c>
      <c r="AM632" s="586">
        <f t="shared" si="894"/>
        <v>0</v>
      </c>
      <c r="AN632" s="586">
        <f t="shared" si="894"/>
        <v>0</v>
      </c>
      <c r="AO632" s="586">
        <f t="shared" si="894"/>
        <v>0</v>
      </c>
      <c r="AP632" s="586">
        <f t="shared" si="894"/>
        <v>0</v>
      </c>
      <c r="AQ632" s="586">
        <f t="shared" si="894"/>
        <v>0</v>
      </c>
      <c r="AR632" s="586">
        <f t="shared" si="894"/>
        <v>0</v>
      </c>
      <c r="AS632" s="586">
        <f t="shared" si="894"/>
        <v>0</v>
      </c>
      <c r="AT632" s="170"/>
      <c r="AU632" s="170"/>
      <c r="AV632" s="170"/>
      <c r="AW632" s="828"/>
      <c r="AX632" s="726"/>
    </row>
    <row r="633" spans="1:65" ht="15" hidden="1" x14ac:dyDescent="0.25">
      <c r="A633" s="721"/>
      <c r="B633" s="904"/>
      <c r="C633" s="170" t="str">
        <f t="shared" si="892"/>
        <v>90</v>
      </c>
      <c r="D633" s="170"/>
      <c r="E633" s="170"/>
      <c r="F633" s="170">
        <f>+Parameters!D12</f>
        <v>9</v>
      </c>
      <c r="G633" s="170" t="str">
        <f>+Parameters!E12</f>
        <v>Mats</v>
      </c>
      <c r="H633" s="586">
        <f t="shared" si="893"/>
        <v>0</v>
      </c>
      <c r="I633" s="170">
        <f>+Parameters!F12</f>
        <v>0</v>
      </c>
      <c r="J633" s="170"/>
      <c r="K633" s="170"/>
      <c r="L633" s="170"/>
      <c r="M633" s="730"/>
      <c r="N633" s="730"/>
      <c r="O633" s="730"/>
      <c r="P633" s="731"/>
      <c r="Q633" s="731"/>
      <c r="R633" s="730"/>
      <c r="S633" s="730"/>
      <c r="T633" s="723"/>
      <c r="U633" s="724"/>
      <c r="V633" s="725"/>
      <c r="W633" s="725"/>
      <c r="X633" s="723"/>
      <c r="Y633" s="723"/>
      <c r="Z633" s="723"/>
      <c r="AA633" s="726"/>
      <c r="AB633" s="726"/>
      <c r="AC633" s="170"/>
      <c r="AD633" s="586">
        <f t="shared" si="894"/>
        <v>0</v>
      </c>
      <c r="AE633" s="586">
        <f t="shared" si="894"/>
        <v>0</v>
      </c>
      <c r="AF633" s="586">
        <f t="shared" si="894"/>
        <v>0</v>
      </c>
      <c r="AG633" s="586">
        <f t="shared" si="894"/>
        <v>0</v>
      </c>
      <c r="AH633" s="586">
        <f t="shared" si="894"/>
        <v>0</v>
      </c>
      <c r="AI633" s="586">
        <f t="shared" si="894"/>
        <v>0</v>
      </c>
      <c r="AJ633" s="586">
        <f t="shared" si="894"/>
        <v>0</v>
      </c>
      <c r="AK633" s="586">
        <f t="shared" si="894"/>
        <v>0</v>
      </c>
      <c r="AL633" s="586">
        <f t="shared" si="894"/>
        <v>0</v>
      </c>
      <c r="AM633" s="586">
        <f t="shared" si="894"/>
        <v>0</v>
      </c>
      <c r="AN633" s="586">
        <f t="shared" si="894"/>
        <v>0</v>
      </c>
      <c r="AO633" s="586">
        <f t="shared" si="894"/>
        <v>0</v>
      </c>
      <c r="AP633" s="586">
        <f t="shared" si="894"/>
        <v>0</v>
      </c>
      <c r="AQ633" s="586">
        <f t="shared" si="894"/>
        <v>0</v>
      </c>
      <c r="AR633" s="586">
        <f t="shared" si="894"/>
        <v>0</v>
      </c>
      <c r="AS633" s="586">
        <f t="shared" si="894"/>
        <v>0</v>
      </c>
      <c r="AT633" s="170"/>
      <c r="AU633" s="170"/>
      <c r="AV633" s="170"/>
      <c r="AW633" s="828"/>
      <c r="AX633" s="726"/>
    </row>
    <row r="634" spans="1:65" ht="15" hidden="1" x14ac:dyDescent="0.25">
      <c r="A634" s="721"/>
      <c r="B634" s="904"/>
      <c r="C634" s="170" t="str">
        <f t="shared" si="892"/>
        <v>100</v>
      </c>
      <c r="D634" s="721"/>
      <c r="E634" s="721"/>
      <c r="F634" s="170">
        <f>+Parameters!D13</f>
        <v>10</v>
      </c>
      <c r="G634" s="170" t="str">
        <f>+Parameters!E13</f>
        <v>Crane pads</v>
      </c>
      <c r="H634" s="586">
        <f t="shared" si="893"/>
        <v>0</v>
      </c>
      <c r="I634" s="170">
        <f>+Parameters!F13</f>
        <v>0</v>
      </c>
      <c r="J634" s="170"/>
      <c r="K634" s="170"/>
      <c r="L634" s="170"/>
      <c r="M634" s="730"/>
      <c r="N634" s="730"/>
      <c r="O634" s="730"/>
      <c r="P634" s="731"/>
      <c r="Q634" s="731"/>
      <c r="R634" s="730"/>
      <c r="S634" s="730"/>
      <c r="T634" s="723"/>
      <c r="U634" s="724"/>
      <c r="V634" s="725"/>
      <c r="W634" s="725"/>
      <c r="X634" s="723"/>
      <c r="Y634" s="723"/>
      <c r="Z634" s="723"/>
      <c r="AA634" s="726"/>
      <c r="AB634" s="726"/>
      <c r="AC634" s="170"/>
      <c r="AD634" s="586">
        <f t="shared" si="894"/>
        <v>0</v>
      </c>
      <c r="AE634" s="586">
        <f t="shared" si="894"/>
        <v>0</v>
      </c>
      <c r="AF634" s="586">
        <f t="shared" si="894"/>
        <v>0</v>
      </c>
      <c r="AG634" s="586">
        <f t="shared" si="894"/>
        <v>0</v>
      </c>
      <c r="AH634" s="586">
        <f t="shared" si="894"/>
        <v>0</v>
      </c>
      <c r="AI634" s="586">
        <f t="shared" si="894"/>
        <v>0</v>
      </c>
      <c r="AJ634" s="586">
        <f t="shared" si="894"/>
        <v>0</v>
      </c>
      <c r="AK634" s="586">
        <f t="shared" si="894"/>
        <v>0</v>
      </c>
      <c r="AL634" s="586">
        <f t="shared" si="894"/>
        <v>0</v>
      </c>
      <c r="AM634" s="586">
        <f t="shared" si="894"/>
        <v>0</v>
      </c>
      <c r="AN634" s="586">
        <f t="shared" si="894"/>
        <v>0</v>
      </c>
      <c r="AO634" s="586">
        <f t="shared" si="894"/>
        <v>0</v>
      </c>
      <c r="AP634" s="586">
        <f t="shared" si="894"/>
        <v>0</v>
      </c>
      <c r="AQ634" s="586">
        <f t="shared" si="894"/>
        <v>0</v>
      </c>
      <c r="AR634" s="586">
        <f t="shared" si="894"/>
        <v>0</v>
      </c>
      <c r="AS634" s="586">
        <f t="shared" si="894"/>
        <v>0</v>
      </c>
      <c r="AT634" s="170"/>
      <c r="AU634" s="170"/>
      <c r="AV634" s="721"/>
      <c r="AW634" s="828"/>
      <c r="AX634" s="726"/>
    </row>
    <row r="635" spans="1:65" ht="15" hidden="1" x14ac:dyDescent="0.25">
      <c r="A635" s="721"/>
      <c r="B635" s="904"/>
      <c r="C635" s="170" t="str">
        <f t="shared" si="892"/>
        <v>11cy</v>
      </c>
      <c r="D635" s="721"/>
      <c r="E635" s="721"/>
      <c r="F635" s="170">
        <f>+Parameters!D14</f>
        <v>11</v>
      </c>
      <c r="G635" s="170" t="str">
        <f>+Parameters!E14</f>
        <v>Excavation ( incl machine / hand / trench)</v>
      </c>
      <c r="H635" s="586">
        <f t="shared" si="893"/>
        <v>0</v>
      </c>
      <c r="I635" s="170" t="str">
        <f>+Parameters!F14</f>
        <v>cy</v>
      </c>
      <c r="J635" s="170"/>
      <c r="K635" s="170"/>
      <c r="L635" s="170"/>
      <c r="M635" s="730"/>
      <c r="N635" s="730"/>
      <c r="O635" s="730"/>
      <c r="P635" s="731"/>
      <c r="Q635" s="731"/>
      <c r="R635" s="730"/>
      <c r="S635" s="730"/>
      <c r="T635" s="723"/>
      <c r="U635" s="724"/>
      <c r="V635" s="725"/>
      <c r="W635" s="725"/>
      <c r="X635" s="723"/>
      <c r="Y635" s="723"/>
      <c r="Z635" s="723"/>
      <c r="AA635" s="726"/>
      <c r="AB635" s="726"/>
      <c r="AC635" s="170"/>
      <c r="AD635" s="586">
        <f t="shared" ref="AD635:AS644" si="895">SUMIF($F$9:$F$620,$F635,AD$9:AD$620)</f>
        <v>0</v>
      </c>
      <c r="AE635" s="586">
        <f t="shared" si="895"/>
        <v>0</v>
      </c>
      <c r="AF635" s="586">
        <f t="shared" si="895"/>
        <v>0</v>
      </c>
      <c r="AG635" s="586">
        <f t="shared" si="895"/>
        <v>0</v>
      </c>
      <c r="AH635" s="586">
        <f t="shared" si="895"/>
        <v>0</v>
      </c>
      <c r="AI635" s="586">
        <f t="shared" si="895"/>
        <v>0</v>
      </c>
      <c r="AJ635" s="586">
        <f t="shared" si="895"/>
        <v>0</v>
      </c>
      <c r="AK635" s="586">
        <f t="shared" si="895"/>
        <v>0</v>
      </c>
      <c r="AL635" s="586">
        <f t="shared" si="895"/>
        <v>0</v>
      </c>
      <c r="AM635" s="586">
        <f t="shared" si="895"/>
        <v>0</v>
      </c>
      <c r="AN635" s="586">
        <f t="shared" si="895"/>
        <v>0</v>
      </c>
      <c r="AO635" s="586">
        <f t="shared" si="895"/>
        <v>0</v>
      </c>
      <c r="AP635" s="586">
        <f t="shared" si="895"/>
        <v>0</v>
      </c>
      <c r="AQ635" s="586">
        <f t="shared" si="895"/>
        <v>0</v>
      </c>
      <c r="AR635" s="586">
        <f t="shared" si="895"/>
        <v>0</v>
      </c>
      <c r="AS635" s="586">
        <f t="shared" si="895"/>
        <v>0</v>
      </c>
      <c r="AT635" s="170"/>
      <c r="AU635" s="170"/>
      <c r="AV635" s="721"/>
      <c r="AW635" s="828"/>
      <c r="AX635" s="726"/>
    </row>
    <row r="636" spans="1:65" ht="15" hidden="1" x14ac:dyDescent="0.25">
      <c r="A636" s="721"/>
      <c r="B636" s="904"/>
      <c r="C636" s="170" t="str">
        <f t="shared" si="892"/>
        <v>12cy</v>
      </c>
      <c r="D636" s="721"/>
      <c r="E636" s="721"/>
      <c r="F636" s="170">
        <f>+Parameters!D15</f>
        <v>12</v>
      </c>
      <c r="G636" s="170" t="str">
        <f>+Parameters!E15</f>
        <v>Rock Excavation</v>
      </c>
      <c r="H636" s="586">
        <f t="shared" si="893"/>
        <v>0</v>
      </c>
      <c r="I636" s="170" t="str">
        <f>+Parameters!F15</f>
        <v>cy</v>
      </c>
      <c r="J636" s="170"/>
      <c r="K636" s="170"/>
      <c r="L636" s="170"/>
      <c r="M636" s="730"/>
      <c r="N636" s="730"/>
      <c r="O636" s="730"/>
      <c r="P636" s="731"/>
      <c r="Q636" s="731"/>
      <c r="R636" s="730"/>
      <c r="S636" s="730"/>
      <c r="T636" s="723"/>
      <c r="U636" s="724"/>
      <c r="V636" s="725"/>
      <c r="W636" s="725"/>
      <c r="X636" s="723"/>
      <c r="Y636" s="723"/>
      <c r="Z636" s="723"/>
      <c r="AA636" s="726"/>
      <c r="AB636" s="726"/>
      <c r="AC636" s="170"/>
      <c r="AD636" s="586">
        <f t="shared" si="895"/>
        <v>0</v>
      </c>
      <c r="AE636" s="586">
        <f t="shared" si="895"/>
        <v>0</v>
      </c>
      <c r="AF636" s="586">
        <f t="shared" si="895"/>
        <v>0</v>
      </c>
      <c r="AG636" s="586">
        <f t="shared" si="895"/>
        <v>0</v>
      </c>
      <c r="AH636" s="586">
        <f t="shared" si="895"/>
        <v>0</v>
      </c>
      <c r="AI636" s="586">
        <f t="shared" si="895"/>
        <v>0</v>
      </c>
      <c r="AJ636" s="586">
        <f t="shared" si="895"/>
        <v>0</v>
      </c>
      <c r="AK636" s="586">
        <f t="shared" si="895"/>
        <v>0</v>
      </c>
      <c r="AL636" s="586">
        <f t="shared" si="895"/>
        <v>0</v>
      </c>
      <c r="AM636" s="586">
        <f t="shared" si="895"/>
        <v>0</v>
      </c>
      <c r="AN636" s="586">
        <f t="shared" si="895"/>
        <v>0</v>
      </c>
      <c r="AO636" s="586">
        <f t="shared" si="895"/>
        <v>0</v>
      </c>
      <c r="AP636" s="586">
        <f t="shared" si="895"/>
        <v>0</v>
      </c>
      <c r="AQ636" s="586">
        <f t="shared" si="895"/>
        <v>0</v>
      </c>
      <c r="AR636" s="586">
        <f t="shared" si="895"/>
        <v>0</v>
      </c>
      <c r="AS636" s="586">
        <f t="shared" si="895"/>
        <v>0</v>
      </c>
      <c r="AT636" s="170"/>
      <c r="AU636" s="170"/>
      <c r="AV636" s="721"/>
      <c r="AW636" s="828"/>
      <c r="AX636" s="726"/>
    </row>
    <row r="637" spans="1:65" ht="15" hidden="1" x14ac:dyDescent="0.25">
      <c r="A637" s="721"/>
      <c r="B637" s="904"/>
      <c r="C637" s="170" t="str">
        <f t="shared" si="892"/>
        <v>13cy</v>
      </c>
      <c r="D637" s="721"/>
      <c r="E637" s="721"/>
      <c r="F637" s="170">
        <f>+Parameters!D16</f>
        <v>13</v>
      </c>
      <c r="G637" s="170" t="str">
        <f>+Parameters!E16</f>
        <v>Soil disposal</v>
      </c>
      <c r="H637" s="586">
        <f t="shared" si="893"/>
        <v>0</v>
      </c>
      <c r="I637" s="170" t="str">
        <f>+Parameters!F16</f>
        <v>cy</v>
      </c>
      <c r="J637" s="170"/>
      <c r="K637" s="170"/>
      <c r="L637" s="170"/>
      <c r="M637" s="730"/>
      <c r="N637" s="730"/>
      <c r="O637" s="730"/>
      <c r="P637" s="731"/>
      <c r="Q637" s="731"/>
      <c r="R637" s="730"/>
      <c r="S637" s="730"/>
      <c r="T637" s="723"/>
      <c r="U637" s="724"/>
      <c r="V637" s="725"/>
      <c r="W637" s="725"/>
      <c r="X637" s="723"/>
      <c r="Y637" s="723"/>
      <c r="Z637" s="723"/>
      <c r="AA637" s="726"/>
      <c r="AB637" s="726"/>
      <c r="AC637" s="170"/>
      <c r="AD637" s="586">
        <f t="shared" si="895"/>
        <v>0</v>
      </c>
      <c r="AE637" s="586">
        <f t="shared" si="895"/>
        <v>0</v>
      </c>
      <c r="AF637" s="586">
        <f t="shared" si="895"/>
        <v>0</v>
      </c>
      <c r="AG637" s="586">
        <f t="shared" si="895"/>
        <v>0</v>
      </c>
      <c r="AH637" s="586">
        <f t="shared" si="895"/>
        <v>0</v>
      </c>
      <c r="AI637" s="586">
        <f t="shared" si="895"/>
        <v>0</v>
      </c>
      <c r="AJ637" s="586">
        <f t="shared" si="895"/>
        <v>0</v>
      </c>
      <c r="AK637" s="586">
        <f t="shared" si="895"/>
        <v>0</v>
      </c>
      <c r="AL637" s="586">
        <f t="shared" si="895"/>
        <v>0</v>
      </c>
      <c r="AM637" s="586">
        <f t="shared" si="895"/>
        <v>0</v>
      </c>
      <c r="AN637" s="586">
        <f t="shared" si="895"/>
        <v>0</v>
      </c>
      <c r="AO637" s="586">
        <f t="shared" si="895"/>
        <v>0</v>
      </c>
      <c r="AP637" s="586">
        <f t="shared" si="895"/>
        <v>0</v>
      </c>
      <c r="AQ637" s="586">
        <f t="shared" si="895"/>
        <v>0</v>
      </c>
      <c r="AR637" s="586">
        <f t="shared" si="895"/>
        <v>0</v>
      </c>
      <c r="AS637" s="586">
        <f t="shared" si="895"/>
        <v>0</v>
      </c>
      <c r="AT637" s="170"/>
      <c r="AU637" s="170"/>
      <c r="AV637" s="721"/>
      <c r="AW637" s="828"/>
      <c r="AX637" s="726"/>
    </row>
    <row r="638" spans="1:65" ht="15" hidden="1" x14ac:dyDescent="0.25">
      <c r="A638" s="721"/>
      <c r="B638" s="904"/>
      <c r="C638" s="170" t="str">
        <f t="shared" si="892"/>
        <v>14cy</v>
      </c>
      <c r="D638" s="721"/>
      <c r="E638" s="721"/>
      <c r="F638" s="170">
        <f>+Parameters!D17</f>
        <v>14</v>
      </c>
      <c r="G638" s="170" t="str">
        <f>+Parameters!E17</f>
        <v>Backfill - earth</v>
      </c>
      <c r="H638" s="586">
        <f t="shared" si="893"/>
        <v>0</v>
      </c>
      <c r="I638" s="170" t="str">
        <f>+Parameters!F17</f>
        <v>cy</v>
      </c>
      <c r="J638" s="170"/>
      <c r="K638" s="170"/>
      <c r="L638" s="170"/>
      <c r="M638" s="730"/>
      <c r="N638" s="730"/>
      <c r="O638" s="730"/>
      <c r="P638" s="731"/>
      <c r="Q638" s="731"/>
      <c r="R638" s="730"/>
      <c r="S638" s="730"/>
      <c r="T638" s="723"/>
      <c r="U638" s="724"/>
      <c r="V638" s="725"/>
      <c r="W638" s="725"/>
      <c r="X638" s="723"/>
      <c r="Y638" s="723"/>
      <c r="Z638" s="723"/>
      <c r="AA638" s="726"/>
      <c r="AB638" s="726"/>
      <c r="AC638" s="170"/>
      <c r="AD638" s="586">
        <f t="shared" si="895"/>
        <v>0</v>
      </c>
      <c r="AE638" s="586">
        <f t="shared" si="895"/>
        <v>0</v>
      </c>
      <c r="AF638" s="586">
        <f t="shared" si="895"/>
        <v>0</v>
      </c>
      <c r="AG638" s="586">
        <f t="shared" si="895"/>
        <v>0</v>
      </c>
      <c r="AH638" s="586">
        <f t="shared" si="895"/>
        <v>0</v>
      </c>
      <c r="AI638" s="586">
        <f t="shared" si="895"/>
        <v>0</v>
      </c>
      <c r="AJ638" s="586">
        <f t="shared" si="895"/>
        <v>0</v>
      </c>
      <c r="AK638" s="586">
        <f t="shared" si="895"/>
        <v>0</v>
      </c>
      <c r="AL638" s="586">
        <f t="shared" si="895"/>
        <v>0</v>
      </c>
      <c r="AM638" s="586">
        <f t="shared" si="895"/>
        <v>0</v>
      </c>
      <c r="AN638" s="586">
        <f t="shared" si="895"/>
        <v>0</v>
      </c>
      <c r="AO638" s="586">
        <f t="shared" si="895"/>
        <v>0</v>
      </c>
      <c r="AP638" s="586">
        <f t="shared" si="895"/>
        <v>0</v>
      </c>
      <c r="AQ638" s="586">
        <f t="shared" si="895"/>
        <v>0</v>
      </c>
      <c r="AR638" s="586">
        <f t="shared" si="895"/>
        <v>0</v>
      </c>
      <c r="AS638" s="586">
        <f t="shared" si="895"/>
        <v>0</v>
      </c>
      <c r="AT638" s="170"/>
      <c r="AU638" s="170"/>
      <c r="AV638" s="721"/>
      <c r="AW638" s="828"/>
      <c r="AX638" s="726"/>
    </row>
    <row r="639" spans="1:65" ht="15" hidden="1" x14ac:dyDescent="0.25">
      <c r="A639" s="721"/>
      <c r="B639" s="904"/>
      <c r="C639" s="170" t="str">
        <f t="shared" si="892"/>
        <v>15cy</v>
      </c>
      <c r="D639" s="721"/>
      <c r="E639" s="721"/>
      <c r="F639" s="170">
        <f>+Parameters!D18</f>
        <v>15</v>
      </c>
      <c r="G639" s="170" t="str">
        <f>+Parameters!E18</f>
        <v>Backfill- stone ( incl trap rock and surfacing)</v>
      </c>
      <c r="H639" s="586">
        <f t="shared" si="893"/>
        <v>0</v>
      </c>
      <c r="I639" s="170" t="str">
        <f>+Parameters!F18</f>
        <v>cy</v>
      </c>
      <c r="J639" s="170"/>
      <c r="K639" s="170"/>
      <c r="L639" s="170"/>
      <c r="M639" s="730"/>
      <c r="N639" s="730"/>
      <c r="O639" s="730"/>
      <c r="P639" s="731"/>
      <c r="Q639" s="731"/>
      <c r="R639" s="730"/>
      <c r="S639" s="730"/>
      <c r="T639" s="723"/>
      <c r="U639" s="724"/>
      <c r="V639" s="725"/>
      <c r="W639" s="725"/>
      <c r="X639" s="723"/>
      <c r="Y639" s="723"/>
      <c r="Z639" s="723"/>
      <c r="AA639" s="726"/>
      <c r="AB639" s="726"/>
      <c r="AC639" s="170"/>
      <c r="AD639" s="586">
        <f t="shared" si="895"/>
        <v>0</v>
      </c>
      <c r="AE639" s="586">
        <f t="shared" si="895"/>
        <v>0</v>
      </c>
      <c r="AF639" s="586">
        <f t="shared" si="895"/>
        <v>0</v>
      </c>
      <c r="AG639" s="586">
        <f t="shared" si="895"/>
        <v>0</v>
      </c>
      <c r="AH639" s="586">
        <f t="shared" si="895"/>
        <v>0</v>
      </c>
      <c r="AI639" s="586">
        <f t="shared" si="895"/>
        <v>0</v>
      </c>
      <c r="AJ639" s="586">
        <f t="shared" si="895"/>
        <v>0</v>
      </c>
      <c r="AK639" s="586">
        <f t="shared" si="895"/>
        <v>0</v>
      </c>
      <c r="AL639" s="586">
        <f t="shared" si="895"/>
        <v>0</v>
      </c>
      <c r="AM639" s="586">
        <f t="shared" si="895"/>
        <v>0</v>
      </c>
      <c r="AN639" s="586">
        <f t="shared" si="895"/>
        <v>0</v>
      </c>
      <c r="AO639" s="586">
        <f t="shared" si="895"/>
        <v>0</v>
      </c>
      <c r="AP639" s="586">
        <f t="shared" si="895"/>
        <v>0</v>
      </c>
      <c r="AQ639" s="586">
        <f t="shared" si="895"/>
        <v>0</v>
      </c>
      <c r="AR639" s="586">
        <f t="shared" si="895"/>
        <v>0</v>
      </c>
      <c r="AS639" s="586">
        <f t="shared" si="895"/>
        <v>0</v>
      </c>
      <c r="AT639" s="170"/>
      <c r="AU639" s="170"/>
      <c r="AV639" s="721"/>
      <c r="AW639" s="828"/>
      <c r="AX639" s="726"/>
    </row>
    <row r="640" spans="1:65" ht="15" hidden="1" x14ac:dyDescent="0.25">
      <c r="A640" s="721"/>
      <c r="B640" s="904"/>
      <c r="C640" s="170" t="str">
        <f t="shared" si="892"/>
        <v>16lf</v>
      </c>
      <c r="D640" s="721"/>
      <c r="E640" s="721"/>
      <c r="F640" s="170">
        <f>+Parameters!D19</f>
        <v>16</v>
      </c>
      <c r="G640" s="170" t="str">
        <f>+Parameters!E19</f>
        <v>Fence / Gates</v>
      </c>
      <c r="H640" s="586">
        <f t="shared" si="893"/>
        <v>0</v>
      </c>
      <c r="I640" s="170" t="str">
        <f>+Parameters!F19</f>
        <v>lf</v>
      </c>
      <c r="J640" s="170"/>
      <c r="K640" s="170"/>
      <c r="L640" s="170"/>
      <c r="M640" s="730"/>
      <c r="N640" s="730"/>
      <c r="O640" s="730"/>
      <c r="P640" s="731"/>
      <c r="Q640" s="731"/>
      <c r="R640" s="730"/>
      <c r="S640" s="730"/>
      <c r="T640" s="723"/>
      <c r="U640" s="724"/>
      <c r="V640" s="725"/>
      <c r="W640" s="725"/>
      <c r="X640" s="723"/>
      <c r="Y640" s="723"/>
      <c r="Z640" s="723"/>
      <c r="AA640" s="726"/>
      <c r="AB640" s="726"/>
      <c r="AC640" s="170"/>
      <c r="AD640" s="586">
        <f t="shared" si="895"/>
        <v>0</v>
      </c>
      <c r="AE640" s="586">
        <f t="shared" si="895"/>
        <v>0</v>
      </c>
      <c r="AF640" s="586">
        <f t="shared" si="895"/>
        <v>0</v>
      </c>
      <c r="AG640" s="586">
        <f t="shared" si="895"/>
        <v>0</v>
      </c>
      <c r="AH640" s="586">
        <f t="shared" si="895"/>
        <v>0</v>
      </c>
      <c r="AI640" s="586">
        <f t="shared" si="895"/>
        <v>0</v>
      </c>
      <c r="AJ640" s="586">
        <f t="shared" si="895"/>
        <v>0</v>
      </c>
      <c r="AK640" s="586">
        <f t="shared" si="895"/>
        <v>0</v>
      </c>
      <c r="AL640" s="586">
        <f t="shared" si="895"/>
        <v>0</v>
      </c>
      <c r="AM640" s="586">
        <f t="shared" si="895"/>
        <v>0</v>
      </c>
      <c r="AN640" s="586">
        <f t="shared" si="895"/>
        <v>0</v>
      </c>
      <c r="AO640" s="586">
        <f t="shared" si="895"/>
        <v>0</v>
      </c>
      <c r="AP640" s="586">
        <f t="shared" si="895"/>
        <v>0</v>
      </c>
      <c r="AQ640" s="586">
        <f t="shared" si="895"/>
        <v>0</v>
      </c>
      <c r="AR640" s="586">
        <f t="shared" si="895"/>
        <v>0</v>
      </c>
      <c r="AS640" s="586">
        <f t="shared" si="895"/>
        <v>0</v>
      </c>
      <c r="AT640" s="170"/>
      <c r="AU640" s="170"/>
      <c r="AV640" s="721"/>
      <c r="AW640" s="828"/>
      <c r="AX640" s="726"/>
    </row>
    <row r="641" spans="1:50" ht="15" hidden="1" x14ac:dyDescent="0.25">
      <c r="A641" s="721"/>
      <c r="B641" s="904"/>
      <c r="C641" s="170" t="str">
        <f t="shared" si="892"/>
        <v>17lf</v>
      </c>
      <c r="D641" s="721"/>
      <c r="E641" s="721"/>
      <c r="F641" s="170">
        <f>+Parameters!D20</f>
        <v>17</v>
      </c>
      <c r="G641" s="170" t="str">
        <f>+Parameters!E20</f>
        <v>CIP Fence, Gates, Balistic protection</v>
      </c>
      <c r="H641" s="586">
        <f t="shared" si="893"/>
        <v>0</v>
      </c>
      <c r="I641" s="170" t="str">
        <f>+Parameters!F20</f>
        <v>lf</v>
      </c>
      <c r="J641" s="170"/>
      <c r="K641" s="170"/>
      <c r="L641" s="170"/>
      <c r="M641" s="730"/>
      <c r="N641" s="730"/>
      <c r="O641" s="730"/>
      <c r="P641" s="731"/>
      <c r="Q641" s="731"/>
      <c r="R641" s="730"/>
      <c r="S641" s="730"/>
      <c r="T641" s="723"/>
      <c r="U641" s="724"/>
      <c r="V641" s="725"/>
      <c r="W641" s="725"/>
      <c r="X641" s="723"/>
      <c r="Y641" s="723"/>
      <c r="Z641" s="723"/>
      <c r="AA641" s="726"/>
      <c r="AB641" s="726"/>
      <c r="AC641" s="170"/>
      <c r="AD641" s="586">
        <f t="shared" si="895"/>
        <v>0</v>
      </c>
      <c r="AE641" s="586">
        <f t="shared" si="895"/>
        <v>0</v>
      </c>
      <c r="AF641" s="586">
        <f t="shared" si="895"/>
        <v>0</v>
      </c>
      <c r="AG641" s="586">
        <f t="shared" si="895"/>
        <v>0</v>
      </c>
      <c r="AH641" s="586">
        <f t="shared" si="895"/>
        <v>0</v>
      </c>
      <c r="AI641" s="586">
        <f t="shared" si="895"/>
        <v>0</v>
      </c>
      <c r="AJ641" s="586">
        <f t="shared" si="895"/>
        <v>0</v>
      </c>
      <c r="AK641" s="586">
        <f t="shared" si="895"/>
        <v>0</v>
      </c>
      <c r="AL641" s="586">
        <f t="shared" si="895"/>
        <v>0</v>
      </c>
      <c r="AM641" s="586">
        <f t="shared" si="895"/>
        <v>0</v>
      </c>
      <c r="AN641" s="586">
        <f t="shared" si="895"/>
        <v>0</v>
      </c>
      <c r="AO641" s="586">
        <f t="shared" si="895"/>
        <v>0</v>
      </c>
      <c r="AP641" s="586">
        <f t="shared" si="895"/>
        <v>0</v>
      </c>
      <c r="AQ641" s="586">
        <f t="shared" si="895"/>
        <v>0</v>
      </c>
      <c r="AR641" s="586">
        <f t="shared" si="895"/>
        <v>0</v>
      </c>
      <c r="AS641" s="586">
        <f t="shared" si="895"/>
        <v>0</v>
      </c>
      <c r="AT641" s="170"/>
      <c r="AU641" s="170"/>
      <c r="AV641" s="721"/>
      <c r="AW641" s="828"/>
      <c r="AX641" s="726"/>
    </row>
    <row r="642" spans="1:50" ht="15" hidden="1" x14ac:dyDescent="0.25">
      <c r="A642" s="721"/>
      <c r="B642" s="904"/>
      <c r="C642" s="170" t="str">
        <f t="shared" si="892"/>
        <v>180</v>
      </c>
      <c r="D642" s="721"/>
      <c r="E642" s="721"/>
      <c r="F642" s="170">
        <f>+Parameters!D21</f>
        <v>18</v>
      </c>
      <c r="G642" s="170" t="str">
        <f>+Parameters!E21</f>
        <v>Sound walls/ retaining walls</v>
      </c>
      <c r="H642" s="586">
        <f t="shared" si="893"/>
        <v>0</v>
      </c>
      <c r="I642" s="170">
        <f>+Parameters!F21</f>
        <v>0</v>
      </c>
      <c r="J642" s="170"/>
      <c r="K642" s="170"/>
      <c r="L642" s="170"/>
      <c r="M642" s="730"/>
      <c r="N642" s="730"/>
      <c r="O642" s="730"/>
      <c r="P642" s="731"/>
      <c r="Q642" s="731"/>
      <c r="R642" s="730"/>
      <c r="S642" s="730"/>
      <c r="T642" s="723"/>
      <c r="U642" s="724"/>
      <c r="V642" s="725"/>
      <c r="W642" s="725"/>
      <c r="X642" s="723"/>
      <c r="Y642" s="723"/>
      <c r="Z642" s="723"/>
      <c r="AA642" s="726"/>
      <c r="AB642" s="726"/>
      <c r="AC642" s="170"/>
      <c r="AD642" s="586">
        <f t="shared" si="895"/>
        <v>0</v>
      </c>
      <c r="AE642" s="586">
        <f t="shared" si="895"/>
        <v>0</v>
      </c>
      <c r="AF642" s="586">
        <f t="shared" si="895"/>
        <v>0</v>
      </c>
      <c r="AG642" s="586">
        <f t="shared" si="895"/>
        <v>0</v>
      </c>
      <c r="AH642" s="586">
        <f t="shared" si="895"/>
        <v>0</v>
      </c>
      <c r="AI642" s="586">
        <f t="shared" si="895"/>
        <v>0</v>
      </c>
      <c r="AJ642" s="586">
        <f t="shared" si="895"/>
        <v>0</v>
      </c>
      <c r="AK642" s="586">
        <f t="shared" si="895"/>
        <v>0</v>
      </c>
      <c r="AL642" s="586">
        <f t="shared" si="895"/>
        <v>0</v>
      </c>
      <c r="AM642" s="586">
        <f t="shared" si="895"/>
        <v>0</v>
      </c>
      <c r="AN642" s="586">
        <f t="shared" si="895"/>
        <v>0</v>
      </c>
      <c r="AO642" s="586">
        <f t="shared" si="895"/>
        <v>0</v>
      </c>
      <c r="AP642" s="586">
        <f t="shared" si="895"/>
        <v>0</v>
      </c>
      <c r="AQ642" s="586">
        <f t="shared" si="895"/>
        <v>0</v>
      </c>
      <c r="AR642" s="586">
        <f t="shared" si="895"/>
        <v>0</v>
      </c>
      <c r="AS642" s="586">
        <f t="shared" si="895"/>
        <v>0</v>
      </c>
      <c r="AT642" s="170"/>
      <c r="AU642" s="170"/>
      <c r="AV642" s="721"/>
      <c r="AW642" s="828"/>
      <c r="AX642" s="726"/>
    </row>
    <row r="643" spans="1:50" ht="15" hidden="1" x14ac:dyDescent="0.25">
      <c r="A643" s="721"/>
      <c r="B643" s="904"/>
      <c r="C643" s="170" t="str">
        <f t="shared" si="892"/>
        <v>190</v>
      </c>
      <c r="D643" s="721"/>
      <c r="E643" s="721"/>
      <c r="F643" s="170">
        <f>+Parameters!D22</f>
        <v>19</v>
      </c>
      <c r="G643" s="170" t="str">
        <f>+Parameters!E22</f>
        <v>Other</v>
      </c>
      <c r="H643" s="586">
        <f t="shared" si="893"/>
        <v>0</v>
      </c>
      <c r="I643" s="170">
        <f>+Parameters!F22</f>
        <v>0</v>
      </c>
      <c r="J643" s="170"/>
      <c r="K643" s="170"/>
      <c r="L643" s="170"/>
      <c r="M643" s="730"/>
      <c r="N643" s="730"/>
      <c r="O643" s="730"/>
      <c r="P643" s="731"/>
      <c r="Q643" s="731"/>
      <c r="R643" s="730"/>
      <c r="S643" s="730"/>
      <c r="T643" s="723"/>
      <c r="U643" s="724"/>
      <c r="V643" s="725"/>
      <c r="W643" s="725"/>
      <c r="X643" s="723"/>
      <c r="Y643" s="723"/>
      <c r="Z643" s="723"/>
      <c r="AA643" s="726"/>
      <c r="AB643" s="726"/>
      <c r="AC643" s="170"/>
      <c r="AD643" s="586">
        <f t="shared" si="895"/>
        <v>0</v>
      </c>
      <c r="AE643" s="586">
        <f t="shared" si="895"/>
        <v>0</v>
      </c>
      <c r="AF643" s="586">
        <f t="shared" si="895"/>
        <v>0</v>
      </c>
      <c r="AG643" s="586">
        <f t="shared" si="895"/>
        <v>0</v>
      </c>
      <c r="AH643" s="586">
        <f t="shared" si="895"/>
        <v>0</v>
      </c>
      <c r="AI643" s="586">
        <f t="shared" si="895"/>
        <v>0</v>
      </c>
      <c r="AJ643" s="586">
        <f t="shared" si="895"/>
        <v>0</v>
      </c>
      <c r="AK643" s="586">
        <f t="shared" si="895"/>
        <v>0</v>
      </c>
      <c r="AL643" s="586">
        <f t="shared" si="895"/>
        <v>0</v>
      </c>
      <c r="AM643" s="586">
        <f t="shared" si="895"/>
        <v>0</v>
      </c>
      <c r="AN643" s="586">
        <f t="shared" si="895"/>
        <v>0</v>
      </c>
      <c r="AO643" s="586">
        <f t="shared" si="895"/>
        <v>0</v>
      </c>
      <c r="AP643" s="586">
        <f t="shared" si="895"/>
        <v>0</v>
      </c>
      <c r="AQ643" s="586">
        <f t="shared" si="895"/>
        <v>0</v>
      </c>
      <c r="AR643" s="586">
        <f t="shared" si="895"/>
        <v>0</v>
      </c>
      <c r="AS643" s="586">
        <f t="shared" si="895"/>
        <v>0</v>
      </c>
      <c r="AT643" s="170"/>
      <c r="AU643" s="170"/>
      <c r="AV643" s="721"/>
      <c r="AW643" s="828"/>
      <c r="AX643" s="726"/>
    </row>
    <row r="644" spans="1:50" ht="15" hidden="1" x14ac:dyDescent="0.25">
      <c r="A644" s="721"/>
      <c r="B644" s="904"/>
      <c r="C644" s="170" t="str">
        <f t="shared" si="892"/>
        <v>200</v>
      </c>
      <c r="D644" s="721"/>
      <c r="E644" s="721"/>
      <c r="F644" s="170">
        <f>+Parameters!D23</f>
        <v>20</v>
      </c>
      <c r="G644" s="170" t="str">
        <f>+Parameters!E23</f>
        <v>Trench (Trenwa type)</v>
      </c>
      <c r="H644" s="586">
        <f t="shared" si="893"/>
        <v>0</v>
      </c>
      <c r="I644" s="170">
        <f>+Parameters!F23</f>
        <v>0</v>
      </c>
      <c r="J644" s="170"/>
      <c r="K644" s="170"/>
      <c r="L644" s="170"/>
      <c r="M644" s="730"/>
      <c r="N644" s="730"/>
      <c r="O644" s="730"/>
      <c r="P644" s="731"/>
      <c r="Q644" s="731"/>
      <c r="R644" s="730"/>
      <c r="S644" s="730"/>
      <c r="T644" s="723"/>
      <c r="U644" s="724"/>
      <c r="V644" s="725"/>
      <c r="W644" s="725"/>
      <c r="X644" s="723"/>
      <c r="Y644" s="723"/>
      <c r="Z644" s="723"/>
      <c r="AA644" s="726"/>
      <c r="AB644" s="726"/>
      <c r="AC644" s="170"/>
      <c r="AD644" s="586">
        <f t="shared" si="895"/>
        <v>0</v>
      </c>
      <c r="AE644" s="586">
        <f t="shared" si="895"/>
        <v>0</v>
      </c>
      <c r="AF644" s="586">
        <f t="shared" si="895"/>
        <v>0</v>
      </c>
      <c r="AG644" s="586">
        <f t="shared" si="895"/>
        <v>0</v>
      </c>
      <c r="AH644" s="586">
        <f t="shared" si="895"/>
        <v>0</v>
      </c>
      <c r="AI644" s="586">
        <f t="shared" si="895"/>
        <v>0</v>
      </c>
      <c r="AJ644" s="586">
        <f t="shared" si="895"/>
        <v>0</v>
      </c>
      <c r="AK644" s="586">
        <f t="shared" si="895"/>
        <v>0</v>
      </c>
      <c r="AL644" s="586">
        <f t="shared" si="895"/>
        <v>0</v>
      </c>
      <c r="AM644" s="586">
        <f t="shared" si="895"/>
        <v>0</v>
      </c>
      <c r="AN644" s="586">
        <f t="shared" si="895"/>
        <v>0</v>
      </c>
      <c r="AO644" s="586">
        <f t="shared" si="895"/>
        <v>0</v>
      </c>
      <c r="AP644" s="586">
        <f t="shared" si="895"/>
        <v>0</v>
      </c>
      <c r="AQ644" s="586">
        <f t="shared" si="895"/>
        <v>0</v>
      </c>
      <c r="AR644" s="586">
        <f t="shared" si="895"/>
        <v>0</v>
      </c>
      <c r="AS644" s="586">
        <f t="shared" si="895"/>
        <v>0</v>
      </c>
      <c r="AT644" s="170"/>
      <c r="AU644" s="170"/>
      <c r="AV644" s="721"/>
      <c r="AW644" s="828"/>
      <c r="AX644" s="726"/>
    </row>
    <row r="645" spans="1:50" ht="15" hidden="1" x14ac:dyDescent="0.25">
      <c r="A645" s="721"/>
      <c r="B645" s="904"/>
      <c r="C645" s="170" t="str">
        <f t="shared" si="892"/>
        <v>21lf</v>
      </c>
      <c r="D645" s="721"/>
      <c r="E645" s="721"/>
      <c r="F645" s="170">
        <f>+Parameters!D24</f>
        <v>21</v>
      </c>
      <c r="G645" s="170" t="str">
        <f>+Parameters!E24</f>
        <v>Ductbank ( incl conduit)</v>
      </c>
      <c r="H645" s="586">
        <f t="shared" si="893"/>
        <v>0</v>
      </c>
      <c r="I645" s="170" t="str">
        <f>+Parameters!F24</f>
        <v>lf</v>
      </c>
      <c r="J645" s="170"/>
      <c r="K645" s="170"/>
      <c r="L645" s="170"/>
      <c r="M645" s="730"/>
      <c r="N645" s="730"/>
      <c r="O645" s="730"/>
      <c r="P645" s="731"/>
      <c r="Q645" s="731"/>
      <c r="R645" s="730"/>
      <c r="S645" s="730"/>
      <c r="T645" s="723"/>
      <c r="U645" s="724"/>
      <c r="V645" s="725"/>
      <c r="W645" s="725"/>
      <c r="X645" s="723"/>
      <c r="Y645" s="723"/>
      <c r="Z645" s="723"/>
      <c r="AA645" s="726"/>
      <c r="AB645" s="726"/>
      <c r="AC645" s="170"/>
      <c r="AD645" s="586">
        <f t="shared" ref="AD645:AS654" si="896">SUMIF($F$9:$F$620,$F645,AD$9:AD$620)</f>
        <v>0</v>
      </c>
      <c r="AE645" s="586">
        <f t="shared" si="896"/>
        <v>0</v>
      </c>
      <c r="AF645" s="586">
        <f t="shared" si="896"/>
        <v>0</v>
      </c>
      <c r="AG645" s="586">
        <f t="shared" si="896"/>
        <v>0</v>
      </c>
      <c r="AH645" s="586">
        <f t="shared" si="896"/>
        <v>0</v>
      </c>
      <c r="AI645" s="586">
        <f t="shared" si="896"/>
        <v>0</v>
      </c>
      <c r="AJ645" s="586">
        <f t="shared" si="896"/>
        <v>0</v>
      </c>
      <c r="AK645" s="586">
        <f t="shared" si="896"/>
        <v>0</v>
      </c>
      <c r="AL645" s="586">
        <f t="shared" si="896"/>
        <v>0</v>
      </c>
      <c r="AM645" s="586">
        <f t="shared" si="896"/>
        <v>0</v>
      </c>
      <c r="AN645" s="586">
        <f t="shared" si="896"/>
        <v>0</v>
      </c>
      <c r="AO645" s="586">
        <f t="shared" si="896"/>
        <v>0</v>
      </c>
      <c r="AP645" s="586">
        <f t="shared" si="896"/>
        <v>0</v>
      </c>
      <c r="AQ645" s="586">
        <f t="shared" si="896"/>
        <v>0</v>
      </c>
      <c r="AR645" s="586">
        <f t="shared" si="896"/>
        <v>0</v>
      </c>
      <c r="AS645" s="586">
        <f t="shared" si="896"/>
        <v>0</v>
      </c>
      <c r="AT645" s="170"/>
      <c r="AU645" s="170"/>
      <c r="AV645" s="721"/>
      <c r="AW645" s="828"/>
      <c r="AX645" s="726"/>
    </row>
    <row r="646" spans="1:50" ht="15" hidden="1" x14ac:dyDescent="0.25">
      <c r="A646" s="721"/>
      <c r="B646" s="904"/>
      <c r="C646" s="170" t="str">
        <f t="shared" si="892"/>
        <v>22lf</v>
      </c>
      <c r="D646" s="721"/>
      <c r="E646" s="721"/>
      <c r="F646" s="170">
        <f>+Parameters!D25</f>
        <v>22</v>
      </c>
      <c r="G646" s="170" t="str">
        <f>+Parameters!E25</f>
        <v>Conduit - AG</v>
      </c>
      <c r="H646" s="586">
        <f t="shared" si="893"/>
        <v>0</v>
      </c>
      <c r="I646" s="170" t="str">
        <f>+Parameters!F25</f>
        <v>lf</v>
      </c>
      <c r="J646" s="170"/>
      <c r="K646" s="170"/>
      <c r="L646" s="170"/>
      <c r="M646" s="730"/>
      <c r="N646" s="730"/>
      <c r="O646" s="730"/>
      <c r="P646" s="731"/>
      <c r="Q646" s="731"/>
      <c r="R646" s="730"/>
      <c r="S646" s="730"/>
      <c r="T646" s="723"/>
      <c r="U646" s="724"/>
      <c r="V646" s="725"/>
      <c r="W646" s="725"/>
      <c r="X646" s="723"/>
      <c r="Y646" s="723"/>
      <c r="Z646" s="723"/>
      <c r="AA646" s="726"/>
      <c r="AB646" s="726"/>
      <c r="AC646" s="170"/>
      <c r="AD646" s="586">
        <f t="shared" si="896"/>
        <v>0</v>
      </c>
      <c r="AE646" s="586">
        <f t="shared" si="896"/>
        <v>0</v>
      </c>
      <c r="AF646" s="586">
        <f t="shared" si="896"/>
        <v>0</v>
      </c>
      <c r="AG646" s="586">
        <f t="shared" si="896"/>
        <v>0</v>
      </c>
      <c r="AH646" s="586">
        <f t="shared" si="896"/>
        <v>0</v>
      </c>
      <c r="AI646" s="586">
        <f t="shared" si="896"/>
        <v>0</v>
      </c>
      <c r="AJ646" s="586">
        <f t="shared" si="896"/>
        <v>0</v>
      </c>
      <c r="AK646" s="586">
        <f t="shared" si="896"/>
        <v>0</v>
      </c>
      <c r="AL646" s="586">
        <f t="shared" si="896"/>
        <v>0</v>
      </c>
      <c r="AM646" s="586">
        <f t="shared" si="896"/>
        <v>0</v>
      </c>
      <c r="AN646" s="586">
        <f t="shared" si="896"/>
        <v>0</v>
      </c>
      <c r="AO646" s="586">
        <f t="shared" si="896"/>
        <v>0</v>
      </c>
      <c r="AP646" s="586">
        <f t="shared" si="896"/>
        <v>0</v>
      </c>
      <c r="AQ646" s="586">
        <f t="shared" si="896"/>
        <v>0</v>
      </c>
      <c r="AR646" s="586">
        <f t="shared" si="896"/>
        <v>0</v>
      </c>
      <c r="AS646" s="586">
        <f t="shared" si="896"/>
        <v>0</v>
      </c>
      <c r="AT646" s="170"/>
      <c r="AU646" s="170"/>
      <c r="AV646" s="721"/>
      <c r="AW646" s="828"/>
      <c r="AX646" s="726"/>
    </row>
    <row r="647" spans="1:50" ht="15" hidden="1" x14ac:dyDescent="0.25">
      <c r="A647" s="721"/>
      <c r="B647" s="904"/>
      <c r="C647" s="170" t="str">
        <f t="shared" si="892"/>
        <v>23lf</v>
      </c>
      <c r="D647" s="721"/>
      <c r="E647" s="721"/>
      <c r="F647" s="170">
        <f>+Parameters!D26</f>
        <v>23</v>
      </c>
      <c r="G647" s="170" t="str">
        <f>+Parameters!E26</f>
        <v>Conduit - UG ( excl ductbank)</v>
      </c>
      <c r="H647" s="586">
        <f t="shared" si="893"/>
        <v>0</v>
      </c>
      <c r="I647" s="170" t="str">
        <f>+Parameters!F26</f>
        <v>lf</v>
      </c>
      <c r="J647" s="170"/>
      <c r="K647" s="170"/>
      <c r="L647" s="170"/>
      <c r="M647" s="730"/>
      <c r="N647" s="730"/>
      <c r="O647" s="730"/>
      <c r="P647" s="731"/>
      <c r="Q647" s="731"/>
      <c r="R647" s="730"/>
      <c r="S647" s="730"/>
      <c r="T647" s="723"/>
      <c r="U647" s="724"/>
      <c r="V647" s="725"/>
      <c r="W647" s="725"/>
      <c r="X647" s="723"/>
      <c r="Y647" s="723"/>
      <c r="Z647" s="723"/>
      <c r="AA647" s="726"/>
      <c r="AB647" s="726"/>
      <c r="AC647" s="170"/>
      <c r="AD647" s="586">
        <f t="shared" si="896"/>
        <v>0</v>
      </c>
      <c r="AE647" s="586">
        <f t="shared" si="896"/>
        <v>0</v>
      </c>
      <c r="AF647" s="586">
        <f t="shared" si="896"/>
        <v>0</v>
      </c>
      <c r="AG647" s="586">
        <f t="shared" si="896"/>
        <v>0</v>
      </c>
      <c r="AH647" s="586">
        <f t="shared" si="896"/>
        <v>0</v>
      </c>
      <c r="AI647" s="586">
        <f t="shared" si="896"/>
        <v>0</v>
      </c>
      <c r="AJ647" s="586">
        <f t="shared" si="896"/>
        <v>0</v>
      </c>
      <c r="AK647" s="586">
        <f t="shared" si="896"/>
        <v>0</v>
      </c>
      <c r="AL647" s="586">
        <f t="shared" si="896"/>
        <v>0</v>
      </c>
      <c r="AM647" s="586">
        <f t="shared" si="896"/>
        <v>0</v>
      </c>
      <c r="AN647" s="586">
        <f t="shared" si="896"/>
        <v>0</v>
      </c>
      <c r="AO647" s="586">
        <f t="shared" si="896"/>
        <v>0</v>
      </c>
      <c r="AP647" s="586">
        <f t="shared" si="896"/>
        <v>0</v>
      </c>
      <c r="AQ647" s="586">
        <f t="shared" si="896"/>
        <v>0</v>
      </c>
      <c r="AR647" s="586">
        <f t="shared" si="896"/>
        <v>0</v>
      </c>
      <c r="AS647" s="586">
        <f t="shared" si="896"/>
        <v>0</v>
      </c>
      <c r="AT647" s="170"/>
      <c r="AU647" s="170"/>
      <c r="AV647" s="721"/>
      <c r="AW647" s="828"/>
      <c r="AX647" s="726"/>
    </row>
    <row r="648" spans="1:50" ht="15" hidden="1" x14ac:dyDescent="0.25">
      <c r="A648" s="721"/>
      <c r="B648" s="904"/>
      <c r="C648" s="170" t="str">
        <f t="shared" si="892"/>
        <v>24lf</v>
      </c>
      <c r="D648" s="721"/>
      <c r="E648" s="721"/>
      <c r="F648" s="170">
        <f>+Parameters!D27</f>
        <v>24</v>
      </c>
      <c r="G648" s="170" t="str">
        <f>+Parameters!E27</f>
        <v>Cable tray</v>
      </c>
      <c r="H648" s="586">
        <f t="shared" si="893"/>
        <v>0</v>
      </c>
      <c r="I648" s="170" t="str">
        <f>+Parameters!F27</f>
        <v>lf</v>
      </c>
      <c r="J648" s="170"/>
      <c r="K648" s="170"/>
      <c r="L648" s="170"/>
      <c r="M648" s="730"/>
      <c r="N648" s="730"/>
      <c r="O648" s="730"/>
      <c r="P648" s="731"/>
      <c r="Q648" s="731"/>
      <c r="R648" s="730"/>
      <c r="S648" s="730"/>
      <c r="T648" s="723"/>
      <c r="U648" s="724"/>
      <c r="V648" s="725"/>
      <c r="W648" s="725"/>
      <c r="X648" s="723"/>
      <c r="Y648" s="723"/>
      <c r="Z648" s="723"/>
      <c r="AA648" s="726"/>
      <c r="AB648" s="726"/>
      <c r="AC648" s="170"/>
      <c r="AD648" s="586">
        <f t="shared" si="896"/>
        <v>0</v>
      </c>
      <c r="AE648" s="586">
        <f t="shared" si="896"/>
        <v>0</v>
      </c>
      <c r="AF648" s="586">
        <f t="shared" si="896"/>
        <v>0</v>
      </c>
      <c r="AG648" s="586">
        <f t="shared" si="896"/>
        <v>0</v>
      </c>
      <c r="AH648" s="586">
        <f t="shared" si="896"/>
        <v>0</v>
      </c>
      <c r="AI648" s="586">
        <f t="shared" si="896"/>
        <v>0</v>
      </c>
      <c r="AJ648" s="586">
        <f t="shared" si="896"/>
        <v>0</v>
      </c>
      <c r="AK648" s="586">
        <f t="shared" si="896"/>
        <v>0</v>
      </c>
      <c r="AL648" s="586">
        <f t="shared" si="896"/>
        <v>0</v>
      </c>
      <c r="AM648" s="586">
        <f t="shared" si="896"/>
        <v>0</v>
      </c>
      <c r="AN648" s="586">
        <f t="shared" si="896"/>
        <v>0</v>
      </c>
      <c r="AO648" s="586">
        <f t="shared" si="896"/>
        <v>0</v>
      </c>
      <c r="AP648" s="586">
        <f t="shared" si="896"/>
        <v>0</v>
      </c>
      <c r="AQ648" s="586">
        <f t="shared" si="896"/>
        <v>0</v>
      </c>
      <c r="AR648" s="586">
        <f t="shared" si="896"/>
        <v>0</v>
      </c>
      <c r="AS648" s="586">
        <f t="shared" si="896"/>
        <v>0</v>
      </c>
      <c r="AT648" s="170"/>
      <c r="AU648" s="170"/>
      <c r="AV648" s="721"/>
      <c r="AW648" s="828"/>
      <c r="AX648" s="726"/>
    </row>
    <row r="649" spans="1:50" ht="15" hidden="1" x14ac:dyDescent="0.25">
      <c r="A649" s="721"/>
      <c r="B649" s="904"/>
      <c r="C649" s="170" t="str">
        <f t="shared" si="892"/>
        <v>25lf</v>
      </c>
      <c r="D649" s="721"/>
      <c r="E649" s="721"/>
      <c r="F649" s="170">
        <f>+Parameters!D28</f>
        <v>25</v>
      </c>
      <c r="G649" s="170" t="str">
        <f>+Parameters!E28</f>
        <v>Grounding</v>
      </c>
      <c r="H649" s="586">
        <f t="shared" si="893"/>
        <v>0</v>
      </c>
      <c r="I649" s="170" t="str">
        <f>+Parameters!F28</f>
        <v>lf</v>
      </c>
      <c r="J649" s="170"/>
      <c r="K649" s="170"/>
      <c r="L649" s="170"/>
      <c r="M649" s="730"/>
      <c r="N649" s="730"/>
      <c r="O649" s="730"/>
      <c r="P649" s="731"/>
      <c r="Q649" s="731"/>
      <c r="R649" s="730"/>
      <c r="S649" s="730"/>
      <c r="T649" s="723"/>
      <c r="U649" s="724"/>
      <c r="V649" s="725"/>
      <c r="W649" s="725"/>
      <c r="X649" s="723"/>
      <c r="Y649" s="723"/>
      <c r="Z649" s="723"/>
      <c r="AA649" s="726"/>
      <c r="AB649" s="726"/>
      <c r="AC649" s="170"/>
      <c r="AD649" s="586">
        <f t="shared" si="896"/>
        <v>0</v>
      </c>
      <c r="AE649" s="586">
        <f t="shared" si="896"/>
        <v>0</v>
      </c>
      <c r="AF649" s="586">
        <f t="shared" si="896"/>
        <v>0</v>
      </c>
      <c r="AG649" s="586">
        <f t="shared" si="896"/>
        <v>0</v>
      </c>
      <c r="AH649" s="586">
        <f t="shared" si="896"/>
        <v>0</v>
      </c>
      <c r="AI649" s="586">
        <f t="shared" si="896"/>
        <v>0</v>
      </c>
      <c r="AJ649" s="586">
        <f t="shared" si="896"/>
        <v>0</v>
      </c>
      <c r="AK649" s="586">
        <f t="shared" si="896"/>
        <v>0</v>
      </c>
      <c r="AL649" s="586">
        <f t="shared" si="896"/>
        <v>0</v>
      </c>
      <c r="AM649" s="586">
        <f t="shared" si="896"/>
        <v>0</v>
      </c>
      <c r="AN649" s="586">
        <f t="shared" si="896"/>
        <v>0</v>
      </c>
      <c r="AO649" s="586">
        <f t="shared" si="896"/>
        <v>0</v>
      </c>
      <c r="AP649" s="586">
        <f t="shared" si="896"/>
        <v>0</v>
      </c>
      <c r="AQ649" s="586">
        <f t="shared" si="896"/>
        <v>0</v>
      </c>
      <c r="AR649" s="586">
        <f t="shared" si="896"/>
        <v>0</v>
      </c>
      <c r="AS649" s="586">
        <f t="shared" si="896"/>
        <v>0</v>
      </c>
      <c r="AT649" s="170"/>
      <c r="AU649" s="170"/>
      <c r="AV649" s="721"/>
      <c r="AW649" s="828"/>
      <c r="AX649" s="726"/>
    </row>
    <row r="650" spans="1:50" ht="15" hidden="1" x14ac:dyDescent="0.25">
      <c r="A650" s="721"/>
      <c r="B650" s="904"/>
      <c r="C650" s="170" t="str">
        <f t="shared" si="892"/>
        <v>260</v>
      </c>
      <c r="D650" s="721"/>
      <c r="E650" s="721"/>
      <c r="F650" s="170">
        <f>+Parameters!D29</f>
        <v>26</v>
      </c>
      <c r="G650" s="170" t="str">
        <f>+Parameters!E29</f>
        <v>Lighting</v>
      </c>
      <c r="H650" s="586">
        <f t="shared" si="893"/>
        <v>0</v>
      </c>
      <c r="I650" s="170">
        <f>+Parameters!F29</f>
        <v>0</v>
      </c>
      <c r="J650" s="170"/>
      <c r="K650" s="170"/>
      <c r="L650" s="170"/>
      <c r="M650" s="730"/>
      <c r="N650" s="730"/>
      <c r="O650" s="730"/>
      <c r="P650" s="731"/>
      <c r="Q650" s="731"/>
      <c r="R650" s="730"/>
      <c r="S650" s="730"/>
      <c r="T650" s="723"/>
      <c r="U650" s="724"/>
      <c r="V650" s="725"/>
      <c r="W650" s="725"/>
      <c r="X650" s="723"/>
      <c r="Y650" s="723"/>
      <c r="Z650" s="723"/>
      <c r="AA650" s="726"/>
      <c r="AB650" s="726"/>
      <c r="AC650" s="170"/>
      <c r="AD650" s="586">
        <f t="shared" si="896"/>
        <v>0</v>
      </c>
      <c r="AE650" s="586">
        <f t="shared" si="896"/>
        <v>0</v>
      </c>
      <c r="AF650" s="586">
        <f t="shared" si="896"/>
        <v>0</v>
      </c>
      <c r="AG650" s="586">
        <f t="shared" si="896"/>
        <v>0</v>
      </c>
      <c r="AH650" s="586">
        <f t="shared" si="896"/>
        <v>0</v>
      </c>
      <c r="AI650" s="586">
        <f t="shared" si="896"/>
        <v>0</v>
      </c>
      <c r="AJ650" s="586">
        <f t="shared" si="896"/>
        <v>0</v>
      </c>
      <c r="AK650" s="586">
        <f t="shared" si="896"/>
        <v>0</v>
      </c>
      <c r="AL650" s="586">
        <f t="shared" si="896"/>
        <v>0</v>
      </c>
      <c r="AM650" s="586">
        <f t="shared" si="896"/>
        <v>0</v>
      </c>
      <c r="AN650" s="586">
        <f t="shared" si="896"/>
        <v>0</v>
      </c>
      <c r="AO650" s="586">
        <f t="shared" si="896"/>
        <v>0</v>
      </c>
      <c r="AP650" s="586">
        <f t="shared" si="896"/>
        <v>0</v>
      </c>
      <c r="AQ650" s="586">
        <f t="shared" si="896"/>
        <v>0</v>
      </c>
      <c r="AR650" s="586">
        <f t="shared" si="896"/>
        <v>0</v>
      </c>
      <c r="AS650" s="586">
        <f t="shared" si="896"/>
        <v>0</v>
      </c>
      <c r="AT650" s="170"/>
      <c r="AU650" s="170"/>
      <c r="AV650" s="721"/>
      <c r="AW650" s="828"/>
      <c r="AX650" s="726"/>
    </row>
    <row r="651" spans="1:50" ht="15" hidden="1" x14ac:dyDescent="0.25">
      <c r="A651" s="721"/>
      <c r="B651" s="904"/>
      <c r="C651" s="170" t="str">
        <f t="shared" si="892"/>
        <v>270</v>
      </c>
      <c r="D651" s="721"/>
      <c r="E651" s="721"/>
      <c r="F651" s="170">
        <f>+Parameters!D30</f>
        <v>27</v>
      </c>
      <c r="G651" s="170">
        <f>+Parameters!E30</f>
        <v>0</v>
      </c>
      <c r="H651" s="586">
        <f t="shared" si="893"/>
        <v>0</v>
      </c>
      <c r="I651" s="170">
        <f>+Parameters!F30</f>
        <v>0</v>
      </c>
      <c r="J651" s="170"/>
      <c r="K651" s="170"/>
      <c r="L651" s="170"/>
      <c r="M651" s="730"/>
      <c r="N651" s="730"/>
      <c r="O651" s="730"/>
      <c r="P651" s="731"/>
      <c r="Q651" s="731"/>
      <c r="R651" s="730"/>
      <c r="S651" s="730"/>
      <c r="T651" s="723"/>
      <c r="U651" s="724"/>
      <c r="V651" s="725"/>
      <c r="W651" s="725"/>
      <c r="X651" s="723"/>
      <c r="Y651" s="723"/>
      <c r="Z651" s="723"/>
      <c r="AA651" s="726"/>
      <c r="AB651" s="726"/>
      <c r="AC651" s="170"/>
      <c r="AD651" s="586">
        <f t="shared" si="896"/>
        <v>0</v>
      </c>
      <c r="AE651" s="586">
        <f t="shared" si="896"/>
        <v>0</v>
      </c>
      <c r="AF651" s="586">
        <f t="shared" si="896"/>
        <v>0</v>
      </c>
      <c r="AG651" s="586">
        <f t="shared" si="896"/>
        <v>0</v>
      </c>
      <c r="AH651" s="586">
        <f t="shared" si="896"/>
        <v>0</v>
      </c>
      <c r="AI651" s="586">
        <f t="shared" si="896"/>
        <v>0</v>
      </c>
      <c r="AJ651" s="586">
        <f t="shared" si="896"/>
        <v>0</v>
      </c>
      <c r="AK651" s="586">
        <f t="shared" si="896"/>
        <v>0</v>
      </c>
      <c r="AL651" s="586">
        <f t="shared" si="896"/>
        <v>0</v>
      </c>
      <c r="AM651" s="586">
        <f t="shared" si="896"/>
        <v>0</v>
      </c>
      <c r="AN651" s="586">
        <f t="shared" si="896"/>
        <v>0</v>
      </c>
      <c r="AO651" s="586">
        <f t="shared" si="896"/>
        <v>0</v>
      </c>
      <c r="AP651" s="586">
        <f t="shared" si="896"/>
        <v>0</v>
      </c>
      <c r="AQ651" s="586">
        <f t="shared" si="896"/>
        <v>0</v>
      </c>
      <c r="AR651" s="586">
        <f t="shared" si="896"/>
        <v>0</v>
      </c>
      <c r="AS651" s="586">
        <f t="shared" si="896"/>
        <v>0</v>
      </c>
      <c r="AT651" s="170"/>
      <c r="AU651" s="170"/>
      <c r="AV651" s="721"/>
      <c r="AW651" s="828"/>
      <c r="AX651" s="726"/>
    </row>
    <row r="652" spans="1:50" ht="15" hidden="1" x14ac:dyDescent="0.25">
      <c r="A652" s="721"/>
      <c r="B652" s="904"/>
      <c r="C652" s="170" t="str">
        <f t="shared" si="892"/>
        <v>280</v>
      </c>
      <c r="D652" s="721"/>
      <c r="E652" s="721"/>
      <c r="F652" s="170">
        <f>+Parameters!D31</f>
        <v>28</v>
      </c>
      <c r="G652" s="170">
        <f>+Parameters!E31</f>
        <v>0</v>
      </c>
      <c r="H652" s="586">
        <f t="shared" si="893"/>
        <v>0</v>
      </c>
      <c r="I652" s="170">
        <f>+Parameters!F31</f>
        <v>0</v>
      </c>
      <c r="J652" s="170"/>
      <c r="K652" s="170"/>
      <c r="L652" s="170"/>
      <c r="M652" s="730"/>
      <c r="N652" s="730"/>
      <c r="O652" s="730"/>
      <c r="P652" s="731"/>
      <c r="Q652" s="731"/>
      <c r="R652" s="730"/>
      <c r="S652" s="730"/>
      <c r="T652" s="723"/>
      <c r="U652" s="724"/>
      <c r="V652" s="725"/>
      <c r="W652" s="725"/>
      <c r="X652" s="723"/>
      <c r="Y652" s="723"/>
      <c r="Z652" s="723"/>
      <c r="AA652" s="726"/>
      <c r="AB652" s="726"/>
      <c r="AC652" s="170"/>
      <c r="AD652" s="586">
        <f t="shared" si="896"/>
        <v>0</v>
      </c>
      <c r="AE652" s="586">
        <f t="shared" si="896"/>
        <v>0</v>
      </c>
      <c r="AF652" s="586">
        <f t="shared" si="896"/>
        <v>0</v>
      </c>
      <c r="AG652" s="586">
        <f t="shared" si="896"/>
        <v>0</v>
      </c>
      <c r="AH652" s="586">
        <f t="shared" si="896"/>
        <v>0</v>
      </c>
      <c r="AI652" s="586">
        <f t="shared" si="896"/>
        <v>0</v>
      </c>
      <c r="AJ652" s="586">
        <f t="shared" si="896"/>
        <v>0</v>
      </c>
      <c r="AK652" s="586">
        <f t="shared" si="896"/>
        <v>0</v>
      </c>
      <c r="AL652" s="586">
        <f t="shared" si="896"/>
        <v>0</v>
      </c>
      <c r="AM652" s="586">
        <f t="shared" si="896"/>
        <v>0</v>
      </c>
      <c r="AN652" s="586">
        <f t="shared" si="896"/>
        <v>0</v>
      </c>
      <c r="AO652" s="586">
        <f t="shared" si="896"/>
        <v>0</v>
      </c>
      <c r="AP652" s="586">
        <f t="shared" si="896"/>
        <v>0</v>
      </c>
      <c r="AQ652" s="586">
        <f t="shared" si="896"/>
        <v>0</v>
      </c>
      <c r="AR652" s="586">
        <f t="shared" si="896"/>
        <v>0</v>
      </c>
      <c r="AS652" s="586">
        <f t="shared" si="896"/>
        <v>0</v>
      </c>
      <c r="AT652" s="170"/>
      <c r="AU652" s="170"/>
      <c r="AV652" s="721"/>
      <c r="AW652" s="828"/>
      <c r="AX652" s="726"/>
    </row>
    <row r="653" spans="1:50" ht="15" hidden="1" x14ac:dyDescent="0.25">
      <c r="A653" s="721"/>
      <c r="B653" s="904"/>
      <c r="C653" s="170" t="str">
        <f t="shared" si="892"/>
        <v>290</v>
      </c>
      <c r="D653" s="721"/>
      <c r="E653" s="721"/>
      <c r="F653" s="170">
        <f>+Parameters!D32</f>
        <v>29</v>
      </c>
      <c r="G653" s="170">
        <f>+Parameters!E32</f>
        <v>0</v>
      </c>
      <c r="H653" s="586">
        <f t="shared" si="893"/>
        <v>0</v>
      </c>
      <c r="I653" s="170">
        <f>+Parameters!F32</f>
        <v>0</v>
      </c>
      <c r="J653" s="170"/>
      <c r="K653" s="170"/>
      <c r="L653" s="170"/>
      <c r="M653" s="730"/>
      <c r="N653" s="730"/>
      <c r="O653" s="730"/>
      <c r="P653" s="731"/>
      <c r="Q653" s="731"/>
      <c r="R653" s="730"/>
      <c r="S653" s="730"/>
      <c r="T653" s="723"/>
      <c r="U653" s="724"/>
      <c r="V653" s="725"/>
      <c r="W653" s="725"/>
      <c r="X653" s="723"/>
      <c r="Y653" s="723"/>
      <c r="Z653" s="723"/>
      <c r="AA653" s="726"/>
      <c r="AB653" s="726"/>
      <c r="AC653" s="170"/>
      <c r="AD653" s="586">
        <f t="shared" si="896"/>
        <v>0</v>
      </c>
      <c r="AE653" s="586">
        <f t="shared" si="896"/>
        <v>0</v>
      </c>
      <c r="AF653" s="586">
        <f t="shared" si="896"/>
        <v>0</v>
      </c>
      <c r="AG653" s="586">
        <f t="shared" si="896"/>
        <v>0</v>
      </c>
      <c r="AH653" s="586">
        <f t="shared" si="896"/>
        <v>0</v>
      </c>
      <c r="AI653" s="586">
        <f t="shared" si="896"/>
        <v>0</v>
      </c>
      <c r="AJ653" s="586">
        <f t="shared" si="896"/>
        <v>0</v>
      </c>
      <c r="AK653" s="586">
        <f t="shared" si="896"/>
        <v>0</v>
      </c>
      <c r="AL653" s="586">
        <f t="shared" si="896"/>
        <v>0</v>
      </c>
      <c r="AM653" s="586">
        <f t="shared" si="896"/>
        <v>0</v>
      </c>
      <c r="AN653" s="586">
        <f t="shared" si="896"/>
        <v>0</v>
      </c>
      <c r="AO653" s="586">
        <f t="shared" si="896"/>
        <v>0</v>
      </c>
      <c r="AP653" s="586">
        <f t="shared" si="896"/>
        <v>0</v>
      </c>
      <c r="AQ653" s="586">
        <f t="shared" si="896"/>
        <v>0</v>
      </c>
      <c r="AR653" s="586">
        <f t="shared" si="896"/>
        <v>0</v>
      </c>
      <c r="AS653" s="586">
        <f t="shared" si="896"/>
        <v>0</v>
      </c>
      <c r="AT653" s="170"/>
      <c r="AU653" s="170"/>
      <c r="AV653" s="721"/>
      <c r="AW653" s="828"/>
      <c r="AX653" s="726"/>
    </row>
    <row r="654" spans="1:50" ht="15" hidden="1" x14ac:dyDescent="0.25">
      <c r="A654" s="721"/>
      <c r="B654" s="904"/>
      <c r="C654" s="170" t="str">
        <f t="shared" si="892"/>
        <v>30lf</v>
      </c>
      <c r="D654" s="721"/>
      <c r="E654" s="721"/>
      <c r="F654" s="170">
        <f>+Parameters!D33</f>
        <v>30</v>
      </c>
      <c r="G654" s="170" t="str">
        <f>+Parameters!E33</f>
        <v>Cable - UG - HPFF ( incl terms)</v>
      </c>
      <c r="H654" s="586">
        <f t="shared" si="893"/>
        <v>0</v>
      </c>
      <c r="I654" s="170" t="str">
        <f>+Parameters!F33</f>
        <v>lf</v>
      </c>
      <c r="J654" s="170"/>
      <c r="K654" s="170"/>
      <c r="L654" s="170"/>
      <c r="M654" s="730"/>
      <c r="N654" s="730"/>
      <c r="O654" s="730"/>
      <c r="P654" s="731"/>
      <c r="Q654" s="731"/>
      <c r="R654" s="730"/>
      <c r="S654" s="730"/>
      <c r="T654" s="723"/>
      <c r="U654" s="724"/>
      <c r="V654" s="725"/>
      <c r="W654" s="725"/>
      <c r="X654" s="723"/>
      <c r="Y654" s="723"/>
      <c r="Z654" s="723"/>
      <c r="AA654" s="726"/>
      <c r="AB654" s="726"/>
      <c r="AC654" s="170"/>
      <c r="AD654" s="586">
        <f t="shared" si="896"/>
        <v>0</v>
      </c>
      <c r="AE654" s="586">
        <f t="shared" si="896"/>
        <v>0</v>
      </c>
      <c r="AF654" s="586">
        <f t="shared" si="896"/>
        <v>0</v>
      </c>
      <c r="AG654" s="586">
        <f t="shared" si="896"/>
        <v>0</v>
      </c>
      <c r="AH654" s="586">
        <f t="shared" si="896"/>
        <v>0</v>
      </c>
      <c r="AI654" s="586">
        <f t="shared" si="896"/>
        <v>0</v>
      </c>
      <c r="AJ654" s="586">
        <f t="shared" si="896"/>
        <v>0</v>
      </c>
      <c r="AK654" s="586">
        <f t="shared" si="896"/>
        <v>0</v>
      </c>
      <c r="AL654" s="586">
        <f t="shared" si="896"/>
        <v>0</v>
      </c>
      <c r="AM654" s="586">
        <f t="shared" si="896"/>
        <v>0</v>
      </c>
      <c r="AN654" s="586">
        <f t="shared" si="896"/>
        <v>0</v>
      </c>
      <c r="AO654" s="586">
        <f t="shared" si="896"/>
        <v>0</v>
      </c>
      <c r="AP654" s="586">
        <f t="shared" si="896"/>
        <v>0</v>
      </c>
      <c r="AQ654" s="586">
        <f t="shared" si="896"/>
        <v>0</v>
      </c>
      <c r="AR654" s="586">
        <f t="shared" si="896"/>
        <v>0</v>
      </c>
      <c r="AS654" s="586">
        <f t="shared" si="896"/>
        <v>0</v>
      </c>
      <c r="AT654" s="170"/>
      <c r="AU654" s="170"/>
      <c r="AV654" s="721"/>
      <c r="AW654" s="828"/>
      <c r="AX654" s="726"/>
    </row>
    <row r="655" spans="1:50" ht="15" hidden="1" x14ac:dyDescent="0.25">
      <c r="A655" s="721"/>
      <c r="B655" s="904"/>
      <c r="C655" s="170" t="str">
        <f t="shared" si="892"/>
        <v>31lf</v>
      </c>
      <c r="D655" s="721"/>
      <c r="E655" s="721"/>
      <c r="F655" s="170">
        <f>+Parameters!D34</f>
        <v>31</v>
      </c>
      <c r="G655" s="170" t="str">
        <f>+Parameters!E34</f>
        <v>Cable - UG - XLPE ( incl terms)</v>
      </c>
      <c r="H655" s="586">
        <f t="shared" si="893"/>
        <v>0</v>
      </c>
      <c r="I655" s="170" t="str">
        <f>+Parameters!F34</f>
        <v>lf</v>
      </c>
      <c r="J655" s="170"/>
      <c r="K655" s="170"/>
      <c r="L655" s="170"/>
      <c r="M655" s="730"/>
      <c r="N655" s="730"/>
      <c r="O655" s="730"/>
      <c r="P655" s="731"/>
      <c r="Q655" s="731"/>
      <c r="R655" s="730"/>
      <c r="S655" s="730"/>
      <c r="T655" s="723"/>
      <c r="U655" s="724"/>
      <c r="V655" s="725"/>
      <c r="W655" s="725"/>
      <c r="X655" s="723"/>
      <c r="Y655" s="723"/>
      <c r="Z655" s="723"/>
      <c r="AA655" s="726"/>
      <c r="AB655" s="726"/>
      <c r="AC655" s="170"/>
      <c r="AD655" s="586">
        <f t="shared" ref="AD655:AS664" si="897">SUMIF($F$9:$F$620,$F655,AD$9:AD$620)</f>
        <v>0</v>
      </c>
      <c r="AE655" s="586">
        <f t="shared" si="897"/>
        <v>0</v>
      </c>
      <c r="AF655" s="586">
        <f t="shared" si="897"/>
        <v>0</v>
      </c>
      <c r="AG655" s="586">
        <f t="shared" si="897"/>
        <v>0</v>
      </c>
      <c r="AH655" s="586">
        <f t="shared" si="897"/>
        <v>0</v>
      </c>
      <c r="AI655" s="586">
        <f t="shared" si="897"/>
        <v>0</v>
      </c>
      <c r="AJ655" s="586">
        <f t="shared" si="897"/>
        <v>0</v>
      </c>
      <c r="AK655" s="586">
        <f t="shared" si="897"/>
        <v>0</v>
      </c>
      <c r="AL655" s="586">
        <f t="shared" si="897"/>
        <v>0</v>
      </c>
      <c r="AM655" s="586">
        <f t="shared" si="897"/>
        <v>0</v>
      </c>
      <c r="AN655" s="586">
        <f t="shared" si="897"/>
        <v>0</v>
      </c>
      <c r="AO655" s="586">
        <f t="shared" si="897"/>
        <v>0</v>
      </c>
      <c r="AP655" s="586">
        <f t="shared" si="897"/>
        <v>0</v>
      </c>
      <c r="AQ655" s="586">
        <f t="shared" si="897"/>
        <v>0</v>
      </c>
      <c r="AR655" s="586">
        <f t="shared" si="897"/>
        <v>0</v>
      </c>
      <c r="AS655" s="586">
        <f t="shared" si="897"/>
        <v>0</v>
      </c>
      <c r="AT655" s="170"/>
      <c r="AU655" s="170"/>
      <c r="AV655" s="721"/>
      <c r="AW655" s="828"/>
      <c r="AX655" s="726"/>
    </row>
    <row r="656" spans="1:50" ht="15" hidden="1" x14ac:dyDescent="0.25">
      <c r="A656" s="721"/>
      <c r="B656" s="904"/>
      <c r="C656" s="170" t="str">
        <f t="shared" si="892"/>
        <v>32lf</v>
      </c>
      <c r="D656" s="721"/>
      <c r="E656" s="721"/>
      <c r="F656" s="170">
        <f>+Parameters!D35</f>
        <v>32</v>
      </c>
      <c r="G656" s="170" t="str">
        <f>+Parameters!E35</f>
        <v>Cable - AG under 115kv ( incl terms)</v>
      </c>
      <c r="H656" s="586">
        <f t="shared" si="893"/>
        <v>0</v>
      </c>
      <c r="I656" s="170" t="str">
        <f>+Parameters!F35</f>
        <v>lf</v>
      </c>
      <c r="J656" s="170"/>
      <c r="K656" s="170"/>
      <c r="L656" s="170"/>
      <c r="M656" s="730"/>
      <c r="N656" s="730"/>
      <c r="O656" s="730"/>
      <c r="P656" s="731"/>
      <c r="Q656" s="731"/>
      <c r="R656" s="730"/>
      <c r="S656" s="730"/>
      <c r="T656" s="723"/>
      <c r="U656" s="724"/>
      <c r="V656" s="725"/>
      <c r="W656" s="725"/>
      <c r="X656" s="723"/>
      <c r="Y656" s="723"/>
      <c r="Z656" s="723"/>
      <c r="AA656" s="726"/>
      <c r="AB656" s="726"/>
      <c r="AC656" s="170"/>
      <c r="AD656" s="586">
        <f t="shared" si="897"/>
        <v>0</v>
      </c>
      <c r="AE656" s="586">
        <f t="shared" si="897"/>
        <v>0</v>
      </c>
      <c r="AF656" s="586">
        <f t="shared" si="897"/>
        <v>0</v>
      </c>
      <c r="AG656" s="586">
        <f t="shared" si="897"/>
        <v>0</v>
      </c>
      <c r="AH656" s="586">
        <f t="shared" si="897"/>
        <v>0</v>
      </c>
      <c r="AI656" s="586">
        <f t="shared" si="897"/>
        <v>0</v>
      </c>
      <c r="AJ656" s="586">
        <f t="shared" si="897"/>
        <v>0</v>
      </c>
      <c r="AK656" s="586">
        <f t="shared" si="897"/>
        <v>0</v>
      </c>
      <c r="AL656" s="586">
        <f t="shared" si="897"/>
        <v>0</v>
      </c>
      <c r="AM656" s="586">
        <f t="shared" si="897"/>
        <v>0</v>
      </c>
      <c r="AN656" s="586">
        <f t="shared" si="897"/>
        <v>0</v>
      </c>
      <c r="AO656" s="586">
        <f t="shared" si="897"/>
        <v>0</v>
      </c>
      <c r="AP656" s="586">
        <f t="shared" si="897"/>
        <v>0</v>
      </c>
      <c r="AQ656" s="586">
        <f t="shared" si="897"/>
        <v>0</v>
      </c>
      <c r="AR656" s="586">
        <f t="shared" si="897"/>
        <v>0</v>
      </c>
      <c r="AS656" s="586">
        <f t="shared" si="897"/>
        <v>0</v>
      </c>
      <c r="AT656" s="170"/>
      <c r="AU656" s="170"/>
      <c r="AV656" s="721"/>
      <c r="AW656" s="828"/>
      <c r="AX656" s="726"/>
    </row>
    <row r="657" spans="1:50" ht="15" hidden="1" x14ac:dyDescent="0.25">
      <c r="A657" s="721"/>
      <c r="B657" s="904"/>
      <c r="C657" s="170" t="str">
        <f t="shared" si="892"/>
        <v>33lf</v>
      </c>
      <c r="D657" s="721"/>
      <c r="E657" s="721"/>
      <c r="F657" s="170">
        <f>+Parameters!D36</f>
        <v>33</v>
      </c>
      <c r="G657" s="170" t="str">
        <f>+Parameters!E36</f>
        <v>Cable - AG 115 kv ( incl terms)</v>
      </c>
      <c r="H657" s="586">
        <f t="shared" ref="H657:H688" si="898">SUMIF($C$9:$C$620,$C657,H$9:H$620)</f>
        <v>0</v>
      </c>
      <c r="I657" s="170" t="str">
        <f>+Parameters!F36</f>
        <v>lf</v>
      </c>
      <c r="J657" s="170"/>
      <c r="K657" s="170"/>
      <c r="L657" s="170"/>
      <c r="M657" s="730"/>
      <c r="N657" s="730"/>
      <c r="O657" s="730"/>
      <c r="P657" s="731"/>
      <c r="Q657" s="731"/>
      <c r="R657" s="730"/>
      <c r="S657" s="730"/>
      <c r="T657" s="723"/>
      <c r="U657" s="724"/>
      <c r="V657" s="725"/>
      <c r="W657" s="725"/>
      <c r="X657" s="723"/>
      <c r="Y657" s="723"/>
      <c r="Z657" s="723"/>
      <c r="AA657" s="726"/>
      <c r="AB657" s="726"/>
      <c r="AC657" s="170"/>
      <c r="AD657" s="586">
        <f t="shared" si="897"/>
        <v>0</v>
      </c>
      <c r="AE657" s="586">
        <f t="shared" si="897"/>
        <v>0</v>
      </c>
      <c r="AF657" s="586">
        <f t="shared" si="897"/>
        <v>0</v>
      </c>
      <c r="AG657" s="586">
        <f t="shared" si="897"/>
        <v>0</v>
      </c>
      <c r="AH657" s="586">
        <f t="shared" si="897"/>
        <v>0</v>
      </c>
      <c r="AI657" s="586">
        <f t="shared" si="897"/>
        <v>0</v>
      </c>
      <c r="AJ657" s="586">
        <f t="shared" si="897"/>
        <v>0</v>
      </c>
      <c r="AK657" s="586">
        <f t="shared" si="897"/>
        <v>0</v>
      </c>
      <c r="AL657" s="586">
        <f t="shared" si="897"/>
        <v>0</v>
      </c>
      <c r="AM657" s="586">
        <f t="shared" si="897"/>
        <v>0</v>
      </c>
      <c r="AN657" s="586">
        <f t="shared" si="897"/>
        <v>0</v>
      </c>
      <c r="AO657" s="586">
        <f t="shared" si="897"/>
        <v>0</v>
      </c>
      <c r="AP657" s="586">
        <f t="shared" si="897"/>
        <v>0</v>
      </c>
      <c r="AQ657" s="586">
        <f t="shared" si="897"/>
        <v>0</v>
      </c>
      <c r="AR657" s="586">
        <f t="shared" si="897"/>
        <v>0</v>
      </c>
      <c r="AS657" s="586">
        <f t="shared" si="897"/>
        <v>0</v>
      </c>
      <c r="AT657" s="170"/>
      <c r="AU657" s="170"/>
      <c r="AV657" s="721"/>
      <c r="AW657" s="828"/>
      <c r="AX657" s="726"/>
    </row>
    <row r="658" spans="1:50" ht="15" hidden="1" x14ac:dyDescent="0.25">
      <c r="A658" s="721"/>
      <c r="B658" s="904"/>
      <c r="C658" s="170" t="str">
        <f t="shared" si="892"/>
        <v>34lf</v>
      </c>
      <c r="D658" s="721"/>
      <c r="E658" s="721"/>
      <c r="F658" s="170">
        <f>+Parameters!D37</f>
        <v>34</v>
      </c>
      <c r="G658" s="170" t="str">
        <f>+Parameters!E37</f>
        <v>Cable - AG 345 kv ( incl terms)</v>
      </c>
      <c r="H658" s="586">
        <f t="shared" si="898"/>
        <v>0</v>
      </c>
      <c r="I658" s="170" t="str">
        <f>+Parameters!F37</f>
        <v>lf</v>
      </c>
      <c r="J658" s="170"/>
      <c r="K658" s="170"/>
      <c r="L658" s="170"/>
      <c r="M658" s="730"/>
      <c r="N658" s="730"/>
      <c r="O658" s="730"/>
      <c r="P658" s="731"/>
      <c r="Q658" s="731"/>
      <c r="R658" s="730"/>
      <c r="S658" s="730"/>
      <c r="T658" s="723"/>
      <c r="U658" s="724"/>
      <c r="V658" s="725"/>
      <c r="W658" s="725"/>
      <c r="X658" s="723"/>
      <c r="Y658" s="723"/>
      <c r="Z658" s="723"/>
      <c r="AA658" s="726"/>
      <c r="AB658" s="726"/>
      <c r="AC658" s="170"/>
      <c r="AD658" s="586">
        <f t="shared" si="897"/>
        <v>0</v>
      </c>
      <c r="AE658" s="586">
        <f t="shared" si="897"/>
        <v>0</v>
      </c>
      <c r="AF658" s="586">
        <f t="shared" si="897"/>
        <v>0</v>
      </c>
      <c r="AG658" s="586">
        <f t="shared" si="897"/>
        <v>0</v>
      </c>
      <c r="AH658" s="586">
        <f t="shared" si="897"/>
        <v>0</v>
      </c>
      <c r="AI658" s="586">
        <f t="shared" si="897"/>
        <v>0</v>
      </c>
      <c r="AJ658" s="586">
        <f t="shared" si="897"/>
        <v>0</v>
      </c>
      <c r="AK658" s="586">
        <f t="shared" si="897"/>
        <v>0</v>
      </c>
      <c r="AL658" s="586">
        <f t="shared" si="897"/>
        <v>0</v>
      </c>
      <c r="AM658" s="586">
        <f t="shared" si="897"/>
        <v>0</v>
      </c>
      <c r="AN658" s="586">
        <f t="shared" si="897"/>
        <v>0</v>
      </c>
      <c r="AO658" s="586">
        <f t="shared" si="897"/>
        <v>0</v>
      </c>
      <c r="AP658" s="586">
        <f t="shared" si="897"/>
        <v>0</v>
      </c>
      <c r="AQ658" s="586">
        <f t="shared" si="897"/>
        <v>0</v>
      </c>
      <c r="AR658" s="586">
        <f t="shared" si="897"/>
        <v>0</v>
      </c>
      <c r="AS658" s="586">
        <f t="shared" si="897"/>
        <v>0</v>
      </c>
      <c r="AT658" s="170"/>
      <c r="AU658" s="170"/>
      <c r="AV658" s="721"/>
      <c r="AW658" s="828"/>
      <c r="AX658" s="726"/>
    </row>
    <row r="659" spans="1:50" ht="15" hidden="1" x14ac:dyDescent="0.25">
      <c r="A659" s="721"/>
      <c r="B659" s="904"/>
      <c r="C659" s="170" t="str">
        <f t="shared" si="892"/>
        <v>35lf</v>
      </c>
      <c r="D659" s="721"/>
      <c r="E659" s="721"/>
      <c r="F659" s="170">
        <f>+Parameters!D38</f>
        <v>35</v>
      </c>
      <c r="G659" s="170" t="str">
        <f>+Parameters!E38</f>
        <v>Cable - OPGW / Shield ( incl terms)</v>
      </c>
      <c r="H659" s="586">
        <f t="shared" si="898"/>
        <v>0</v>
      </c>
      <c r="I659" s="170" t="str">
        <f>+Parameters!F38</f>
        <v>lf</v>
      </c>
      <c r="J659" s="170"/>
      <c r="K659" s="170"/>
      <c r="L659" s="170"/>
      <c r="M659" s="730"/>
      <c r="N659" s="730"/>
      <c r="O659" s="730"/>
      <c r="P659" s="731"/>
      <c r="Q659" s="731"/>
      <c r="R659" s="730"/>
      <c r="S659" s="730"/>
      <c r="T659" s="723"/>
      <c r="U659" s="724"/>
      <c r="V659" s="725"/>
      <c r="W659" s="725"/>
      <c r="X659" s="723"/>
      <c r="Y659" s="723"/>
      <c r="Z659" s="723"/>
      <c r="AA659" s="726"/>
      <c r="AB659" s="726"/>
      <c r="AC659" s="170"/>
      <c r="AD659" s="586">
        <f t="shared" si="897"/>
        <v>0</v>
      </c>
      <c r="AE659" s="586">
        <f t="shared" si="897"/>
        <v>0</v>
      </c>
      <c r="AF659" s="586">
        <f t="shared" si="897"/>
        <v>0</v>
      </c>
      <c r="AG659" s="586">
        <f t="shared" si="897"/>
        <v>0</v>
      </c>
      <c r="AH659" s="586">
        <f t="shared" si="897"/>
        <v>0</v>
      </c>
      <c r="AI659" s="586">
        <f t="shared" si="897"/>
        <v>0</v>
      </c>
      <c r="AJ659" s="586">
        <f t="shared" si="897"/>
        <v>0</v>
      </c>
      <c r="AK659" s="586">
        <f t="shared" si="897"/>
        <v>0</v>
      </c>
      <c r="AL659" s="586">
        <f t="shared" si="897"/>
        <v>0</v>
      </c>
      <c r="AM659" s="586">
        <f t="shared" si="897"/>
        <v>0</v>
      </c>
      <c r="AN659" s="586">
        <f t="shared" si="897"/>
        <v>0</v>
      </c>
      <c r="AO659" s="586">
        <f t="shared" si="897"/>
        <v>0</v>
      </c>
      <c r="AP659" s="586">
        <f t="shared" si="897"/>
        <v>0</v>
      </c>
      <c r="AQ659" s="586">
        <f t="shared" si="897"/>
        <v>0</v>
      </c>
      <c r="AR659" s="586">
        <f t="shared" si="897"/>
        <v>0</v>
      </c>
      <c r="AS659" s="586">
        <f t="shared" si="897"/>
        <v>0</v>
      </c>
      <c r="AT659" s="170"/>
      <c r="AU659" s="170"/>
      <c r="AV659" s="721"/>
      <c r="AW659" s="828"/>
      <c r="AX659" s="726"/>
    </row>
    <row r="660" spans="1:50" ht="15" hidden="1" x14ac:dyDescent="0.25">
      <c r="A660" s="721"/>
      <c r="B660" s="904"/>
      <c r="C660" s="170" t="str">
        <f t="shared" si="892"/>
        <v>36lf</v>
      </c>
      <c r="D660" s="721"/>
      <c r="E660" s="721"/>
      <c r="F660" s="170">
        <f>+Parameters!D39</f>
        <v>36</v>
      </c>
      <c r="G660" s="170" t="str">
        <f>+Parameters!E39</f>
        <v>Cable - Control ( incl terms)</v>
      </c>
      <c r="H660" s="586">
        <f t="shared" si="898"/>
        <v>0</v>
      </c>
      <c r="I660" s="170" t="str">
        <f>+Parameters!F39</f>
        <v>lf</v>
      </c>
      <c r="J660" s="170"/>
      <c r="K660" s="170"/>
      <c r="L660" s="170"/>
      <c r="M660" s="730"/>
      <c r="N660" s="730"/>
      <c r="O660" s="730"/>
      <c r="P660" s="731"/>
      <c r="Q660" s="731"/>
      <c r="R660" s="730"/>
      <c r="S660" s="730"/>
      <c r="T660" s="723"/>
      <c r="U660" s="724"/>
      <c r="V660" s="725"/>
      <c r="W660" s="725"/>
      <c r="X660" s="723"/>
      <c r="Y660" s="723"/>
      <c r="Z660" s="723"/>
      <c r="AA660" s="726"/>
      <c r="AB660" s="726"/>
      <c r="AC660" s="170"/>
      <c r="AD660" s="586">
        <f t="shared" si="897"/>
        <v>0</v>
      </c>
      <c r="AE660" s="586">
        <f t="shared" si="897"/>
        <v>0</v>
      </c>
      <c r="AF660" s="586">
        <f t="shared" si="897"/>
        <v>0</v>
      </c>
      <c r="AG660" s="586">
        <f t="shared" si="897"/>
        <v>0</v>
      </c>
      <c r="AH660" s="586">
        <f t="shared" si="897"/>
        <v>0</v>
      </c>
      <c r="AI660" s="586">
        <f t="shared" si="897"/>
        <v>0</v>
      </c>
      <c r="AJ660" s="586">
        <f t="shared" si="897"/>
        <v>0</v>
      </c>
      <c r="AK660" s="586">
        <f t="shared" si="897"/>
        <v>0</v>
      </c>
      <c r="AL660" s="586">
        <f t="shared" si="897"/>
        <v>0</v>
      </c>
      <c r="AM660" s="586">
        <f t="shared" si="897"/>
        <v>0</v>
      </c>
      <c r="AN660" s="586">
        <f t="shared" si="897"/>
        <v>0</v>
      </c>
      <c r="AO660" s="586">
        <f t="shared" si="897"/>
        <v>0</v>
      </c>
      <c r="AP660" s="586">
        <f t="shared" si="897"/>
        <v>0</v>
      </c>
      <c r="AQ660" s="586">
        <f t="shared" si="897"/>
        <v>0</v>
      </c>
      <c r="AR660" s="586">
        <f t="shared" si="897"/>
        <v>0</v>
      </c>
      <c r="AS660" s="586">
        <f t="shared" si="897"/>
        <v>0</v>
      </c>
      <c r="AT660" s="170"/>
      <c r="AU660" s="170"/>
      <c r="AV660" s="721"/>
      <c r="AW660" s="828"/>
      <c r="AX660" s="726"/>
    </row>
    <row r="661" spans="1:50" ht="15" hidden="1" x14ac:dyDescent="0.25">
      <c r="A661" s="721"/>
      <c r="B661" s="904"/>
      <c r="C661" s="170" t="str">
        <f t="shared" si="892"/>
        <v>37lf</v>
      </c>
      <c r="D661" s="721"/>
      <c r="E661" s="721"/>
      <c r="F661" s="170">
        <f>+Parameters!D40</f>
        <v>37</v>
      </c>
      <c r="G661" s="170" t="str">
        <f>+Parameters!E40</f>
        <v>Cable - Communication / Oher ( incl terms)</v>
      </c>
      <c r="H661" s="586">
        <f t="shared" si="898"/>
        <v>0</v>
      </c>
      <c r="I661" s="170" t="str">
        <f>+Parameters!F40</f>
        <v>lf</v>
      </c>
      <c r="J661" s="170"/>
      <c r="K661" s="170"/>
      <c r="L661" s="170"/>
      <c r="M661" s="730"/>
      <c r="N661" s="730"/>
      <c r="O661" s="730"/>
      <c r="P661" s="731"/>
      <c r="Q661" s="731"/>
      <c r="R661" s="730"/>
      <c r="S661" s="730"/>
      <c r="T661" s="723"/>
      <c r="U661" s="724"/>
      <c r="V661" s="725"/>
      <c r="W661" s="725"/>
      <c r="X661" s="723"/>
      <c r="Y661" s="723"/>
      <c r="Z661" s="723"/>
      <c r="AA661" s="726"/>
      <c r="AB661" s="726"/>
      <c r="AC661" s="170"/>
      <c r="AD661" s="586">
        <f t="shared" si="897"/>
        <v>0</v>
      </c>
      <c r="AE661" s="586">
        <f t="shared" si="897"/>
        <v>0</v>
      </c>
      <c r="AF661" s="586">
        <f t="shared" si="897"/>
        <v>0</v>
      </c>
      <c r="AG661" s="586">
        <f t="shared" si="897"/>
        <v>0</v>
      </c>
      <c r="AH661" s="586">
        <f t="shared" si="897"/>
        <v>0</v>
      </c>
      <c r="AI661" s="586">
        <f t="shared" si="897"/>
        <v>0</v>
      </c>
      <c r="AJ661" s="586">
        <f t="shared" si="897"/>
        <v>0</v>
      </c>
      <c r="AK661" s="586">
        <f t="shared" si="897"/>
        <v>0</v>
      </c>
      <c r="AL661" s="586">
        <f t="shared" si="897"/>
        <v>0</v>
      </c>
      <c r="AM661" s="586">
        <f t="shared" si="897"/>
        <v>0</v>
      </c>
      <c r="AN661" s="586">
        <f t="shared" si="897"/>
        <v>0</v>
      </c>
      <c r="AO661" s="586">
        <f t="shared" si="897"/>
        <v>0</v>
      </c>
      <c r="AP661" s="586">
        <f t="shared" si="897"/>
        <v>0</v>
      </c>
      <c r="AQ661" s="586">
        <f t="shared" si="897"/>
        <v>0</v>
      </c>
      <c r="AR661" s="586">
        <f t="shared" si="897"/>
        <v>0</v>
      </c>
      <c r="AS661" s="586">
        <f t="shared" si="897"/>
        <v>0</v>
      </c>
      <c r="AT661" s="170"/>
      <c r="AU661" s="170"/>
      <c r="AV661" s="721"/>
      <c r="AW661" s="828"/>
      <c r="AX661" s="726"/>
    </row>
    <row r="662" spans="1:50" ht="15" hidden="1" x14ac:dyDescent="0.25">
      <c r="A662" s="721"/>
      <c r="B662" s="904"/>
      <c r="C662" s="170" t="str">
        <f t="shared" si="892"/>
        <v>38lf</v>
      </c>
      <c r="D662" s="721"/>
      <c r="E662" s="721"/>
      <c r="F662" s="170">
        <f>+Parameters!D41</f>
        <v>38</v>
      </c>
      <c r="G662" s="170" t="str">
        <f>+Parameters!E41</f>
        <v>Cable - Power ( incl terms)</v>
      </c>
      <c r="H662" s="586">
        <f t="shared" si="898"/>
        <v>0</v>
      </c>
      <c r="I662" s="170" t="str">
        <f>+Parameters!F41</f>
        <v>lf</v>
      </c>
      <c r="J662" s="170"/>
      <c r="K662" s="170"/>
      <c r="L662" s="170"/>
      <c r="M662" s="730"/>
      <c r="N662" s="730"/>
      <c r="O662" s="730"/>
      <c r="P662" s="731"/>
      <c r="Q662" s="731"/>
      <c r="R662" s="730"/>
      <c r="S662" s="730"/>
      <c r="T662" s="723"/>
      <c r="U662" s="724"/>
      <c r="V662" s="725"/>
      <c r="W662" s="725"/>
      <c r="X662" s="723"/>
      <c r="Y662" s="723"/>
      <c r="Z662" s="723"/>
      <c r="AA662" s="726"/>
      <c r="AB662" s="726"/>
      <c r="AC662" s="170"/>
      <c r="AD662" s="586">
        <f t="shared" si="897"/>
        <v>0</v>
      </c>
      <c r="AE662" s="586">
        <f t="shared" si="897"/>
        <v>0</v>
      </c>
      <c r="AF662" s="586">
        <f t="shared" si="897"/>
        <v>0</v>
      </c>
      <c r="AG662" s="586">
        <f t="shared" si="897"/>
        <v>0</v>
      </c>
      <c r="AH662" s="586">
        <f t="shared" si="897"/>
        <v>0</v>
      </c>
      <c r="AI662" s="586">
        <f t="shared" si="897"/>
        <v>0</v>
      </c>
      <c r="AJ662" s="586">
        <f t="shared" si="897"/>
        <v>0</v>
      </c>
      <c r="AK662" s="586">
        <f t="shared" si="897"/>
        <v>0</v>
      </c>
      <c r="AL662" s="586">
        <f t="shared" si="897"/>
        <v>0</v>
      </c>
      <c r="AM662" s="586">
        <f t="shared" si="897"/>
        <v>0</v>
      </c>
      <c r="AN662" s="586">
        <f t="shared" si="897"/>
        <v>0</v>
      </c>
      <c r="AO662" s="586">
        <f t="shared" si="897"/>
        <v>0</v>
      </c>
      <c r="AP662" s="586">
        <f t="shared" si="897"/>
        <v>0</v>
      </c>
      <c r="AQ662" s="586">
        <f t="shared" si="897"/>
        <v>0</v>
      </c>
      <c r="AR662" s="586">
        <f t="shared" si="897"/>
        <v>0</v>
      </c>
      <c r="AS662" s="586">
        <f t="shared" si="897"/>
        <v>0</v>
      </c>
      <c r="AT662" s="170"/>
      <c r="AU662" s="170"/>
      <c r="AV662" s="721"/>
      <c r="AW662" s="828"/>
      <c r="AX662" s="726"/>
    </row>
    <row r="663" spans="1:50" ht="15" hidden="1" x14ac:dyDescent="0.25">
      <c r="A663" s="721"/>
      <c r="B663" s="904"/>
      <c r="C663" s="170" t="str">
        <f t="shared" si="892"/>
        <v>39lf</v>
      </c>
      <c r="D663" s="721"/>
      <c r="E663" s="721"/>
      <c r="F663" s="170">
        <f>+Parameters!D42</f>
        <v>39</v>
      </c>
      <c r="G663" s="170" t="str">
        <f>+Parameters!E42</f>
        <v>Cable - Other</v>
      </c>
      <c r="H663" s="586">
        <f t="shared" si="898"/>
        <v>0</v>
      </c>
      <c r="I663" s="170" t="str">
        <f>+Parameters!F42</f>
        <v>lf</v>
      </c>
      <c r="J663" s="170"/>
      <c r="K663" s="170"/>
      <c r="L663" s="170"/>
      <c r="M663" s="730"/>
      <c r="N663" s="730"/>
      <c r="O663" s="730"/>
      <c r="P663" s="731"/>
      <c r="Q663" s="731"/>
      <c r="R663" s="730"/>
      <c r="S663" s="730"/>
      <c r="T663" s="723"/>
      <c r="U663" s="724"/>
      <c r="V663" s="725"/>
      <c r="W663" s="725"/>
      <c r="X663" s="723"/>
      <c r="Y663" s="723"/>
      <c r="Z663" s="723"/>
      <c r="AA663" s="726"/>
      <c r="AB663" s="726"/>
      <c r="AC663" s="170"/>
      <c r="AD663" s="586">
        <f t="shared" si="897"/>
        <v>0</v>
      </c>
      <c r="AE663" s="586">
        <f t="shared" si="897"/>
        <v>0</v>
      </c>
      <c r="AF663" s="586">
        <f t="shared" si="897"/>
        <v>0</v>
      </c>
      <c r="AG663" s="586">
        <f t="shared" si="897"/>
        <v>0</v>
      </c>
      <c r="AH663" s="586">
        <f t="shared" si="897"/>
        <v>0</v>
      </c>
      <c r="AI663" s="586">
        <f t="shared" si="897"/>
        <v>0</v>
      </c>
      <c r="AJ663" s="586">
        <f t="shared" si="897"/>
        <v>0</v>
      </c>
      <c r="AK663" s="586">
        <f t="shared" si="897"/>
        <v>0</v>
      </c>
      <c r="AL663" s="586">
        <f t="shared" si="897"/>
        <v>0</v>
      </c>
      <c r="AM663" s="586">
        <f t="shared" si="897"/>
        <v>0</v>
      </c>
      <c r="AN663" s="586">
        <f t="shared" si="897"/>
        <v>0</v>
      </c>
      <c r="AO663" s="586">
        <f t="shared" si="897"/>
        <v>0</v>
      </c>
      <c r="AP663" s="586">
        <f t="shared" si="897"/>
        <v>0</v>
      </c>
      <c r="AQ663" s="586">
        <f t="shared" si="897"/>
        <v>0</v>
      </c>
      <c r="AR663" s="586">
        <f t="shared" si="897"/>
        <v>0</v>
      </c>
      <c r="AS663" s="586">
        <f t="shared" si="897"/>
        <v>0</v>
      </c>
      <c r="AT663" s="170"/>
      <c r="AU663" s="170"/>
      <c r="AV663" s="721"/>
      <c r="AW663" s="828"/>
      <c r="AX663" s="726"/>
    </row>
    <row r="664" spans="1:50" ht="15" hidden="1" x14ac:dyDescent="0.25">
      <c r="A664" s="721"/>
      <c r="B664" s="904"/>
      <c r="C664" s="170" t="str">
        <f t="shared" si="892"/>
        <v>400</v>
      </c>
      <c r="D664" s="721"/>
      <c r="E664" s="721"/>
      <c r="F664" s="170">
        <f>+Parameters!D43</f>
        <v>40</v>
      </c>
      <c r="G664" s="170" t="str">
        <f>+Parameters!E43</f>
        <v>Structures - buildings</v>
      </c>
      <c r="H664" s="586">
        <f t="shared" si="898"/>
        <v>0</v>
      </c>
      <c r="I664" s="170">
        <f>+Parameters!F43</f>
        <v>0</v>
      </c>
      <c r="J664" s="170"/>
      <c r="K664" s="170"/>
      <c r="L664" s="170"/>
      <c r="M664" s="730"/>
      <c r="N664" s="730"/>
      <c r="O664" s="730"/>
      <c r="P664" s="731"/>
      <c r="Q664" s="731"/>
      <c r="R664" s="730"/>
      <c r="S664" s="730"/>
      <c r="T664" s="723"/>
      <c r="U664" s="724"/>
      <c r="V664" s="725"/>
      <c r="W664" s="725"/>
      <c r="X664" s="723"/>
      <c r="Y664" s="723"/>
      <c r="Z664" s="723"/>
      <c r="AA664" s="726"/>
      <c r="AB664" s="726"/>
      <c r="AC664" s="170"/>
      <c r="AD664" s="586">
        <f t="shared" si="897"/>
        <v>0</v>
      </c>
      <c r="AE664" s="586">
        <f t="shared" si="897"/>
        <v>0</v>
      </c>
      <c r="AF664" s="586">
        <f t="shared" si="897"/>
        <v>0</v>
      </c>
      <c r="AG664" s="586">
        <f t="shared" si="897"/>
        <v>0</v>
      </c>
      <c r="AH664" s="586">
        <f t="shared" si="897"/>
        <v>0</v>
      </c>
      <c r="AI664" s="586">
        <f t="shared" si="897"/>
        <v>0</v>
      </c>
      <c r="AJ664" s="586">
        <f t="shared" si="897"/>
        <v>0</v>
      </c>
      <c r="AK664" s="586">
        <f t="shared" si="897"/>
        <v>0</v>
      </c>
      <c r="AL664" s="586">
        <f t="shared" si="897"/>
        <v>0</v>
      </c>
      <c r="AM664" s="586">
        <f t="shared" si="897"/>
        <v>0</v>
      </c>
      <c r="AN664" s="586">
        <f t="shared" si="897"/>
        <v>0</v>
      </c>
      <c r="AO664" s="586">
        <f t="shared" si="897"/>
        <v>0</v>
      </c>
      <c r="AP664" s="586">
        <f t="shared" si="897"/>
        <v>0</v>
      </c>
      <c r="AQ664" s="586">
        <f t="shared" si="897"/>
        <v>0</v>
      </c>
      <c r="AR664" s="586">
        <f t="shared" si="897"/>
        <v>0</v>
      </c>
      <c r="AS664" s="586">
        <f t="shared" si="897"/>
        <v>0</v>
      </c>
      <c r="AT664" s="170"/>
      <c r="AU664" s="170"/>
      <c r="AV664" s="721"/>
      <c r="AW664" s="828"/>
      <c r="AX664" s="726"/>
    </row>
    <row r="665" spans="1:50" ht="15" hidden="1" x14ac:dyDescent="0.25">
      <c r="A665" s="721"/>
      <c r="B665" s="904"/>
      <c r="C665" s="170" t="str">
        <f t="shared" si="892"/>
        <v>41ea</v>
      </c>
      <c r="D665" s="721"/>
      <c r="E665" s="721"/>
      <c r="F665" s="170">
        <f>+Parameters!D44</f>
        <v>41</v>
      </c>
      <c r="G665" s="170" t="str">
        <f>+Parameters!E44</f>
        <v>Structures - Poles - monopoles</v>
      </c>
      <c r="H665" s="586">
        <f t="shared" si="898"/>
        <v>0</v>
      </c>
      <c r="I665" s="170" t="str">
        <f>+Parameters!F44</f>
        <v>ea</v>
      </c>
      <c r="J665" s="170"/>
      <c r="K665" s="170"/>
      <c r="L665" s="170"/>
      <c r="M665" s="730"/>
      <c r="N665" s="730"/>
      <c r="O665" s="730"/>
      <c r="P665" s="731"/>
      <c r="Q665" s="731"/>
      <c r="R665" s="730"/>
      <c r="S665" s="730"/>
      <c r="T665" s="723"/>
      <c r="U665" s="724"/>
      <c r="V665" s="725"/>
      <c r="W665" s="725"/>
      <c r="X665" s="723"/>
      <c r="Y665" s="723"/>
      <c r="Z665" s="723"/>
      <c r="AA665" s="726"/>
      <c r="AB665" s="726"/>
      <c r="AC665" s="170"/>
      <c r="AD665" s="586">
        <f t="shared" ref="AD665:AS674" si="899">SUMIF($F$9:$F$620,$F665,AD$9:AD$620)</f>
        <v>0</v>
      </c>
      <c r="AE665" s="586">
        <f t="shared" si="899"/>
        <v>0</v>
      </c>
      <c r="AF665" s="586">
        <f t="shared" si="899"/>
        <v>0</v>
      </c>
      <c r="AG665" s="586">
        <f t="shared" si="899"/>
        <v>0</v>
      </c>
      <c r="AH665" s="586">
        <f t="shared" si="899"/>
        <v>0</v>
      </c>
      <c r="AI665" s="586">
        <f t="shared" si="899"/>
        <v>0</v>
      </c>
      <c r="AJ665" s="586">
        <f t="shared" si="899"/>
        <v>0</v>
      </c>
      <c r="AK665" s="586">
        <f t="shared" si="899"/>
        <v>0</v>
      </c>
      <c r="AL665" s="586">
        <f t="shared" si="899"/>
        <v>0</v>
      </c>
      <c r="AM665" s="586">
        <f t="shared" si="899"/>
        <v>0</v>
      </c>
      <c r="AN665" s="586">
        <f t="shared" si="899"/>
        <v>0</v>
      </c>
      <c r="AO665" s="586">
        <f t="shared" si="899"/>
        <v>0</v>
      </c>
      <c r="AP665" s="586">
        <f t="shared" si="899"/>
        <v>0</v>
      </c>
      <c r="AQ665" s="586">
        <f t="shared" si="899"/>
        <v>0</v>
      </c>
      <c r="AR665" s="586">
        <f t="shared" si="899"/>
        <v>0</v>
      </c>
      <c r="AS665" s="586">
        <f t="shared" si="899"/>
        <v>0</v>
      </c>
      <c r="AT665" s="170"/>
      <c r="AU665" s="170"/>
      <c r="AV665" s="721"/>
      <c r="AW665" s="828"/>
      <c r="AX665" s="726"/>
    </row>
    <row r="666" spans="1:50" ht="15" hidden="1" x14ac:dyDescent="0.25">
      <c r="A666" s="721"/>
      <c r="B666" s="904"/>
      <c r="C666" s="170" t="str">
        <f t="shared" si="892"/>
        <v>42ea</v>
      </c>
      <c r="D666" s="721"/>
      <c r="E666" s="721"/>
      <c r="F666" s="170">
        <f>+Parameters!D45</f>
        <v>42</v>
      </c>
      <c r="G666" s="170" t="str">
        <f>+Parameters!E45</f>
        <v>Structures - Poles - frame</v>
      </c>
      <c r="H666" s="586">
        <f t="shared" si="898"/>
        <v>0</v>
      </c>
      <c r="I666" s="170" t="str">
        <f>+Parameters!F45</f>
        <v>ea</v>
      </c>
      <c r="J666" s="170"/>
      <c r="K666" s="170"/>
      <c r="L666" s="170"/>
      <c r="M666" s="730"/>
      <c r="N666" s="730"/>
      <c r="O666" s="730"/>
      <c r="P666" s="731"/>
      <c r="Q666" s="731"/>
      <c r="R666" s="730"/>
      <c r="S666" s="730"/>
      <c r="T666" s="723"/>
      <c r="U666" s="724"/>
      <c r="V666" s="725"/>
      <c r="W666" s="725"/>
      <c r="X666" s="723"/>
      <c r="Y666" s="723"/>
      <c r="Z666" s="723"/>
      <c r="AA666" s="726"/>
      <c r="AB666" s="726"/>
      <c r="AC666" s="170"/>
      <c r="AD666" s="586">
        <f t="shared" si="899"/>
        <v>0</v>
      </c>
      <c r="AE666" s="586">
        <f t="shared" si="899"/>
        <v>0</v>
      </c>
      <c r="AF666" s="586">
        <f t="shared" si="899"/>
        <v>0</v>
      </c>
      <c r="AG666" s="586">
        <f t="shared" si="899"/>
        <v>0</v>
      </c>
      <c r="AH666" s="586">
        <f t="shared" si="899"/>
        <v>0</v>
      </c>
      <c r="AI666" s="586">
        <f t="shared" si="899"/>
        <v>0</v>
      </c>
      <c r="AJ666" s="586">
        <f t="shared" si="899"/>
        <v>0</v>
      </c>
      <c r="AK666" s="586">
        <f t="shared" si="899"/>
        <v>0</v>
      </c>
      <c r="AL666" s="586">
        <f t="shared" si="899"/>
        <v>0</v>
      </c>
      <c r="AM666" s="586">
        <f t="shared" si="899"/>
        <v>0</v>
      </c>
      <c r="AN666" s="586">
        <f t="shared" si="899"/>
        <v>0</v>
      </c>
      <c r="AO666" s="586">
        <f t="shared" si="899"/>
        <v>0</v>
      </c>
      <c r="AP666" s="586">
        <f t="shared" si="899"/>
        <v>0</v>
      </c>
      <c r="AQ666" s="586">
        <f t="shared" si="899"/>
        <v>0</v>
      </c>
      <c r="AR666" s="586">
        <f t="shared" si="899"/>
        <v>0</v>
      </c>
      <c r="AS666" s="586">
        <f t="shared" si="899"/>
        <v>0</v>
      </c>
      <c r="AT666" s="170"/>
      <c r="AU666" s="170"/>
      <c r="AV666" s="721"/>
      <c r="AW666" s="828"/>
      <c r="AX666" s="726"/>
    </row>
    <row r="667" spans="1:50" ht="15" hidden="1" x14ac:dyDescent="0.25">
      <c r="A667" s="721"/>
      <c r="B667" s="904"/>
      <c r="C667" s="170" t="str">
        <f t="shared" si="892"/>
        <v>43ea</v>
      </c>
      <c r="D667" s="721"/>
      <c r="E667" s="721"/>
      <c r="F667" s="170">
        <f>+Parameters!D46</f>
        <v>43</v>
      </c>
      <c r="G667" s="170" t="str">
        <f>+Parameters!E46</f>
        <v>Structures - Poles - Guys</v>
      </c>
      <c r="H667" s="586">
        <f t="shared" si="898"/>
        <v>0</v>
      </c>
      <c r="I667" s="170" t="str">
        <f>+Parameters!F46</f>
        <v>ea</v>
      </c>
      <c r="J667" s="170"/>
      <c r="K667" s="170"/>
      <c r="L667" s="170"/>
      <c r="M667" s="730"/>
      <c r="N667" s="730"/>
      <c r="O667" s="730"/>
      <c r="P667" s="731"/>
      <c r="Q667" s="731"/>
      <c r="R667" s="730"/>
      <c r="S667" s="730"/>
      <c r="T667" s="723"/>
      <c r="U667" s="724"/>
      <c r="V667" s="725"/>
      <c r="W667" s="725"/>
      <c r="X667" s="723"/>
      <c r="Y667" s="723"/>
      <c r="Z667" s="723"/>
      <c r="AA667" s="726"/>
      <c r="AB667" s="726"/>
      <c r="AC667" s="170"/>
      <c r="AD667" s="586">
        <f t="shared" si="899"/>
        <v>0</v>
      </c>
      <c r="AE667" s="586">
        <f t="shared" si="899"/>
        <v>0</v>
      </c>
      <c r="AF667" s="586">
        <f t="shared" si="899"/>
        <v>0</v>
      </c>
      <c r="AG667" s="586">
        <f t="shared" si="899"/>
        <v>0</v>
      </c>
      <c r="AH667" s="586">
        <f t="shared" si="899"/>
        <v>0</v>
      </c>
      <c r="AI667" s="586">
        <f t="shared" si="899"/>
        <v>0</v>
      </c>
      <c r="AJ667" s="586">
        <f t="shared" si="899"/>
        <v>0</v>
      </c>
      <c r="AK667" s="586">
        <f t="shared" si="899"/>
        <v>0</v>
      </c>
      <c r="AL667" s="586">
        <f t="shared" si="899"/>
        <v>0</v>
      </c>
      <c r="AM667" s="586">
        <f t="shared" si="899"/>
        <v>0</v>
      </c>
      <c r="AN667" s="586">
        <f t="shared" si="899"/>
        <v>0</v>
      </c>
      <c r="AO667" s="586">
        <f t="shared" si="899"/>
        <v>0</v>
      </c>
      <c r="AP667" s="586">
        <f t="shared" si="899"/>
        <v>0</v>
      </c>
      <c r="AQ667" s="586">
        <f t="shared" si="899"/>
        <v>0</v>
      </c>
      <c r="AR667" s="586">
        <f t="shared" si="899"/>
        <v>0</v>
      </c>
      <c r="AS667" s="586">
        <f t="shared" si="899"/>
        <v>0</v>
      </c>
      <c r="AT667" s="170"/>
      <c r="AU667" s="170"/>
      <c r="AV667" s="721"/>
      <c r="AW667" s="828"/>
      <c r="AX667" s="726"/>
    </row>
    <row r="668" spans="1:50" ht="15" hidden="1" x14ac:dyDescent="0.25">
      <c r="A668" s="721"/>
      <c r="B668" s="904"/>
      <c r="C668" s="170" t="str">
        <f t="shared" si="892"/>
        <v>440</v>
      </c>
      <c r="D668" s="721"/>
      <c r="E668" s="721"/>
      <c r="F668" s="170">
        <f>+Parameters!D47</f>
        <v>44</v>
      </c>
      <c r="G668" s="170">
        <f>+Parameters!E47</f>
        <v>0</v>
      </c>
      <c r="H668" s="586">
        <f t="shared" si="898"/>
        <v>0</v>
      </c>
      <c r="I668" s="170">
        <f>+Parameters!F47</f>
        <v>0</v>
      </c>
      <c r="J668" s="170"/>
      <c r="K668" s="170"/>
      <c r="L668" s="170"/>
      <c r="M668" s="730"/>
      <c r="N668" s="730"/>
      <c r="O668" s="730"/>
      <c r="P668" s="731"/>
      <c r="Q668" s="731"/>
      <c r="R668" s="730"/>
      <c r="S668" s="730"/>
      <c r="T668" s="723"/>
      <c r="U668" s="724"/>
      <c r="V668" s="725"/>
      <c r="W668" s="725"/>
      <c r="X668" s="723"/>
      <c r="Y668" s="723"/>
      <c r="Z668" s="723"/>
      <c r="AA668" s="726"/>
      <c r="AB668" s="726"/>
      <c r="AC668" s="170"/>
      <c r="AD668" s="586">
        <f t="shared" si="899"/>
        <v>0</v>
      </c>
      <c r="AE668" s="586">
        <f t="shared" si="899"/>
        <v>0</v>
      </c>
      <c r="AF668" s="586">
        <f t="shared" si="899"/>
        <v>0</v>
      </c>
      <c r="AG668" s="586">
        <f t="shared" si="899"/>
        <v>0</v>
      </c>
      <c r="AH668" s="586">
        <f t="shared" si="899"/>
        <v>0</v>
      </c>
      <c r="AI668" s="586">
        <f t="shared" si="899"/>
        <v>0</v>
      </c>
      <c r="AJ668" s="586">
        <f t="shared" si="899"/>
        <v>0</v>
      </c>
      <c r="AK668" s="586">
        <f t="shared" si="899"/>
        <v>0</v>
      </c>
      <c r="AL668" s="586">
        <f t="shared" si="899"/>
        <v>0</v>
      </c>
      <c r="AM668" s="586">
        <f t="shared" si="899"/>
        <v>0</v>
      </c>
      <c r="AN668" s="586">
        <f t="shared" si="899"/>
        <v>0</v>
      </c>
      <c r="AO668" s="586">
        <f t="shared" si="899"/>
        <v>0</v>
      </c>
      <c r="AP668" s="586">
        <f t="shared" si="899"/>
        <v>0</v>
      </c>
      <c r="AQ668" s="586">
        <f t="shared" si="899"/>
        <v>0</v>
      </c>
      <c r="AR668" s="586">
        <f t="shared" si="899"/>
        <v>0</v>
      </c>
      <c r="AS668" s="586">
        <f t="shared" si="899"/>
        <v>0</v>
      </c>
      <c r="AT668" s="170"/>
      <c r="AU668" s="170"/>
      <c r="AV668" s="721"/>
      <c r="AW668" s="828"/>
      <c r="AX668" s="726"/>
    </row>
    <row r="669" spans="1:50" ht="15" hidden="1" x14ac:dyDescent="0.25">
      <c r="A669" s="721"/>
      <c r="B669" s="904"/>
      <c r="C669" s="170" t="str">
        <f t="shared" si="892"/>
        <v>45tn</v>
      </c>
      <c r="D669" s="721"/>
      <c r="E669" s="721"/>
      <c r="F669" s="170">
        <f>+Parameters!D48</f>
        <v>45</v>
      </c>
      <c r="G669" s="170" t="str">
        <f>+Parameters!E48</f>
        <v>Structures - S.S.</v>
      </c>
      <c r="H669" s="586">
        <f t="shared" si="898"/>
        <v>0</v>
      </c>
      <c r="I669" s="170" t="str">
        <f>+Parameters!F48</f>
        <v>tn</v>
      </c>
      <c r="J669" s="170"/>
      <c r="K669" s="170"/>
      <c r="L669" s="170"/>
      <c r="M669" s="730"/>
      <c r="N669" s="730"/>
      <c r="O669" s="730"/>
      <c r="P669" s="731"/>
      <c r="Q669" s="731"/>
      <c r="R669" s="730"/>
      <c r="S669" s="730"/>
      <c r="T669" s="723"/>
      <c r="U669" s="724"/>
      <c r="V669" s="725"/>
      <c r="W669" s="725"/>
      <c r="X669" s="723"/>
      <c r="Y669" s="723"/>
      <c r="Z669" s="723"/>
      <c r="AA669" s="726"/>
      <c r="AB669" s="726"/>
      <c r="AC669" s="170"/>
      <c r="AD669" s="586">
        <f t="shared" si="899"/>
        <v>0</v>
      </c>
      <c r="AE669" s="586">
        <f t="shared" si="899"/>
        <v>0</v>
      </c>
      <c r="AF669" s="586">
        <f t="shared" si="899"/>
        <v>0</v>
      </c>
      <c r="AG669" s="586">
        <f t="shared" si="899"/>
        <v>0</v>
      </c>
      <c r="AH669" s="586">
        <f t="shared" si="899"/>
        <v>0</v>
      </c>
      <c r="AI669" s="586">
        <f t="shared" si="899"/>
        <v>0</v>
      </c>
      <c r="AJ669" s="586">
        <f t="shared" si="899"/>
        <v>0</v>
      </c>
      <c r="AK669" s="586">
        <f t="shared" si="899"/>
        <v>0</v>
      </c>
      <c r="AL669" s="586">
        <f t="shared" si="899"/>
        <v>0</v>
      </c>
      <c r="AM669" s="586">
        <f t="shared" si="899"/>
        <v>0</v>
      </c>
      <c r="AN669" s="586">
        <f t="shared" si="899"/>
        <v>0</v>
      </c>
      <c r="AO669" s="586">
        <f t="shared" si="899"/>
        <v>0</v>
      </c>
      <c r="AP669" s="586">
        <f t="shared" si="899"/>
        <v>0</v>
      </c>
      <c r="AQ669" s="586">
        <f t="shared" si="899"/>
        <v>0</v>
      </c>
      <c r="AR669" s="586">
        <f t="shared" si="899"/>
        <v>0</v>
      </c>
      <c r="AS669" s="586">
        <f t="shared" si="899"/>
        <v>0</v>
      </c>
      <c r="AT669" s="170"/>
      <c r="AU669" s="170"/>
      <c r="AV669" s="721"/>
      <c r="AW669" s="828"/>
      <c r="AX669" s="726"/>
    </row>
    <row r="670" spans="1:50" ht="15" hidden="1" x14ac:dyDescent="0.25">
      <c r="A670" s="721"/>
      <c r="B670" s="904"/>
      <c r="C670" s="170" t="str">
        <f t="shared" si="892"/>
        <v>46tn</v>
      </c>
      <c r="D670" s="721"/>
      <c r="E670" s="721"/>
      <c r="F670" s="170">
        <f>+Parameters!D49</f>
        <v>46</v>
      </c>
      <c r="G670" s="170" t="str">
        <f>+Parameters!E49</f>
        <v>Structures - Platforms</v>
      </c>
      <c r="H670" s="586">
        <f t="shared" si="898"/>
        <v>0</v>
      </c>
      <c r="I670" s="170" t="str">
        <f>+Parameters!F49</f>
        <v>tn</v>
      </c>
      <c r="J670" s="170"/>
      <c r="K670" s="170"/>
      <c r="L670" s="170"/>
      <c r="M670" s="730"/>
      <c r="N670" s="730"/>
      <c r="O670" s="730"/>
      <c r="P670" s="731"/>
      <c r="Q670" s="731"/>
      <c r="R670" s="730"/>
      <c r="S670" s="730"/>
      <c r="T670" s="723"/>
      <c r="U670" s="724"/>
      <c r="V670" s="725"/>
      <c r="W670" s="725"/>
      <c r="X670" s="723"/>
      <c r="Y670" s="723"/>
      <c r="Z670" s="723"/>
      <c r="AA670" s="726"/>
      <c r="AB670" s="726"/>
      <c r="AC670" s="170"/>
      <c r="AD670" s="586">
        <f t="shared" si="899"/>
        <v>0</v>
      </c>
      <c r="AE670" s="586">
        <f t="shared" si="899"/>
        <v>0</v>
      </c>
      <c r="AF670" s="586">
        <f t="shared" si="899"/>
        <v>0</v>
      </c>
      <c r="AG670" s="586">
        <f t="shared" si="899"/>
        <v>0</v>
      </c>
      <c r="AH670" s="586">
        <f t="shared" si="899"/>
        <v>0</v>
      </c>
      <c r="AI670" s="586">
        <f t="shared" si="899"/>
        <v>0</v>
      </c>
      <c r="AJ670" s="586">
        <f t="shared" si="899"/>
        <v>0</v>
      </c>
      <c r="AK670" s="586">
        <f t="shared" si="899"/>
        <v>0</v>
      </c>
      <c r="AL670" s="586">
        <f t="shared" si="899"/>
        <v>0</v>
      </c>
      <c r="AM670" s="586">
        <f t="shared" si="899"/>
        <v>0</v>
      </c>
      <c r="AN670" s="586">
        <f t="shared" si="899"/>
        <v>0</v>
      </c>
      <c r="AO670" s="586">
        <f t="shared" si="899"/>
        <v>0</v>
      </c>
      <c r="AP670" s="586">
        <f t="shared" si="899"/>
        <v>0</v>
      </c>
      <c r="AQ670" s="586">
        <f t="shared" si="899"/>
        <v>0</v>
      </c>
      <c r="AR670" s="586">
        <f t="shared" si="899"/>
        <v>0</v>
      </c>
      <c r="AS670" s="586">
        <f t="shared" si="899"/>
        <v>0</v>
      </c>
      <c r="AT670" s="170"/>
      <c r="AU670" s="170"/>
      <c r="AV670" s="721"/>
      <c r="AW670" s="828"/>
      <c r="AX670" s="726"/>
    </row>
    <row r="671" spans="1:50" ht="15" hidden="1" x14ac:dyDescent="0.25">
      <c r="A671" s="721"/>
      <c r="B671" s="904"/>
      <c r="C671" s="170" t="str">
        <f t="shared" si="892"/>
        <v>470</v>
      </c>
      <c r="D671" s="721"/>
      <c r="E671" s="721"/>
      <c r="F671" s="170">
        <f>+Parameters!D50</f>
        <v>47</v>
      </c>
      <c r="G671" s="170">
        <f>+Parameters!E50</f>
        <v>0</v>
      </c>
      <c r="H671" s="586">
        <f t="shared" si="898"/>
        <v>0</v>
      </c>
      <c r="I671" s="170">
        <f>+Parameters!F50</f>
        <v>0</v>
      </c>
      <c r="J671" s="170"/>
      <c r="K671" s="170"/>
      <c r="L671" s="170"/>
      <c r="M671" s="730"/>
      <c r="N671" s="730"/>
      <c r="O671" s="730"/>
      <c r="P671" s="731"/>
      <c r="Q671" s="731"/>
      <c r="R671" s="730"/>
      <c r="S671" s="730"/>
      <c r="T671" s="723"/>
      <c r="U671" s="724"/>
      <c r="V671" s="725"/>
      <c r="W671" s="725"/>
      <c r="X671" s="723"/>
      <c r="Y671" s="723"/>
      <c r="Z671" s="723"/>
      <c r="AA671" s="726"/>
      <c r="AB671" s="726"/>
      <c r="AC671" s="170"/>
      <c r="AD671" s="586">
        <f t="shared" si="899"/>
        <v>0</v>
      </c>
      <c r="AE671" s="586">
        <f t="shared" si="899"/>
        <v>0</v>
      </c>
      <c r="AF671" s="586">
        <f t="shared" si="899"/>
        <v>0</v>
      </c>
      <c r="AG671" s="586">
        <f t="shared" si="899"/>
        <v>0</v>
      </c>
      <c r="AH671" s="586">
        <f t="shared" si="899"/>
        <v>0</v>
      </c>
      <c r="AI671" s="586">
        <f t="shared" si="899"/>
        <v>0</v>
      </c>
      <c r="AJ671" s="586">
        <f t="shared" si="899"/>
        <v>0</v>
      </c>
      <c r="AK671" s="586">
        <f t="shared" si="899"/>
        <v>0</v>
      </c>
      <c r="AL671" s="586">
        <f t="shared" si="899"/>
        <v>0</v>
      </c>
      <c r="AM671" s="586">
        <f t="shared" si="899"/>
        <v>0</v>
      </c>
      <c r="AN671" s="586">
        <f t="shared" si="899"/>
        <v>0</v>
      </c>
      <c r="AO671" s="586">
        <f t="shared" si="899"/>
        <v>0</v>
      </c>
      <c r="AP671" s="586">
        <f t="shared" si="899"/>
        <v>0</v>
      </c>
      <c r="AQ671" s="586">
        <f t="shared" si="899"/>
        <v>0</v>
      </c>
      <c r="AR671" s="586">
        <f t="shared" si="899"/>
        <v>0</v>
      </c>
      <c r="AS671" s="586">
        <f t="shared" si="899"/>
        <v>0</v>
      </c>
      <c r="AT671" s="170"/>
      <c r="AU671" s="170"/>
      <c r="AV671" s="721"/>
      <c r="AW671" s="828"/>
      <c r="AX671" s="726"/>
    </row>
    <row r="672" spans="1:50" ht="15" hidden="1" x14ac:dyDescent="0.25">
      <c r="A672" s="721"/>
      <c r="B672" s="904"/>
      <c r="C672" s="170" t="str">
        <f t="shared" si="892"/>
        <v>480</v>
      </c>
      <c r="D672" s="721"/>
      <c r="E672" s="721"/>
      <c r="F672" s="170">
        <f>+Parameters!D51</f>
        <v>48</v>
      </c>
      <c r="G672" s="170">
        <f>+Parameters!E51</f>
        <v>0</v>
      </c>
      <c r="H672" s="586">
        <f t="shared" si="898"/>
        <v>0</v>
      </c>
      <c r="I672" s="170">
        <f>+Parameters!F51</f>
        <v>0</v>
      </c>
      <c r="J672" s="170"/>
      <c r="K672" s="170"/>
      <c r="L672" s="170"/>
      <c r="M672" s="730"/>
      <c r="N672" s="730"/>
      <c r="O672" s="730"/>
      <c r="P672" s="731"/>
      <c r="Q672" s="731"/>
      <c r="R672" s="730"/>
      <c r="S672" s="730"/>
      <c r="T672" s="723"/>
      <c r="U672" s="724"/>
      <c r="V672" s="725"/>
      <c r="W672" s="725"/>
      <c r="X672" s="723"/>
      <c r="Y672" s="723"/>
      <c r="Z672" s="723"/>
      <c r="AA672" s="726"/>
      <c r="AB672" s="726"/>
      <c r="AC672" s="170"/>
      <c r="AD672" s="586">
        <f t="shared" si="899"/>
        <v>0</v>
      </c>
      <c r="AE672" s="586">
        <f t="shared" si="899"/>
        <v>0</v>
      </c>
      <c r="AF672" s="586">
        <f t="shared" si="899"/>
        <v>0</v>
      </c>
      <c r="AG672" s="586">
        <f t="shared" si="899"/>
        <v>0</v>
      </c>
      <c r="AH672" s="586">
        <f t="shared" si="899"/>
        <v>0</v>
      </c>
      <c r="AI672" s="586">
        <f t="shared" si="899"/>
        <v>0</v>
      </c>
      <c r="AJ672" s="586">
        <f t="shared" si="899"/>
        <v>0</v>
      </c>
      <c r="AK672" s="586">
        <f t="shared" si="899"/>
        <v>0</v>
      </c>
      <c r="AL672" s="586">
        <f t="shared" si="899"/>
        <v>0</v>
      </c>
      <c r="AM672" s="586">
        <f t="shared" si="899"/>
        <v>0</v>
      </c>
      <c r="AN672" s="586">
        <f t="shared" si="899"/>
        <v>0</v>
      </c>
      <c r="AO672" s="586">
        <f t="shared" si="899"/>
        <v>0</v>
      </c>
      <c r="AP672" s="586">
        <f t="shared" si="899"/>
        <v>0</v>
      </c>
      <c r="AQ672" s="586">
        <f t="shared" si="899"/>
        <v>0</v>
      </c>
      <c r="AR672" s="586">
        <f t="shared" si="899"/>
        <v>0</v>
      </c>
      <c r="AS672" s="586">
        <f t="shared" si="899"/>
        <v>0</v>
      </c>
      <c r="AT672" s="170"/>
      <c r="AU672" s="170"/>
      <c r="AV672" s="721"/>
      <c r="AW672" s="828"/>
      <c r="AX672" s="726"/>
    </row>
    <row r="673" spans="1:50" ht="15" hidden="1" x14ac:dyDescent="0.25">
      <c r="A673" s="721"/>
      <c r="B673" s="904"/>
      <c r="C673" s="170" t="str">
        <f t="shared" si="892"/>
        <v>49tn</v>
      </c>
      <c r="D673" s="721"/>
      <c r="E673" s="721"/>
      <c r="F673" s="170">
        <f>+Parameters!D52</f>
        <v>49</v>
      </c>
      <c r="G673" s="170" t="str">
        <f>+Parameters!E52</f>
        <v>Structures - Others</v>
      </c>
      <c r="H673" s="586">
        <f t="shared" si="898"/>
        <v>0</v>
      </c>
      <c r="I673" s="170" t="str">
        <f>+Parameters!F52</f>
        <v>tn</v>
      </c>
      <c r="J673" s="170"/>
      <c r="K673" s="170"/>
      <c r="L673" s="170"/>
      <c r="M673" s="730"/>
      <c r="N673" s="730"/>
      <c r="O673" s="730"/>
      <c r="P673" s="731"/>
      <c r="Q673" s="731"/>
      <c r="R673" s="730"/>
      <c r="S673" s="730"/>
      <c r="T673" s="723"/>
      <c r="U673" s="724"/>
      <c r="V673" s="725"/>
      <c r="W673" s="725"/>
      <c r="X673" s="723"/>
      <c r="Y673" s="723"/>
      <c r="Z673" s="723"/>
      <c r="AA673" s="726"/>
      <c r="AB673" s="726"/>
      <c r="AC673" s="170"/>
      <c r="AD673" s="586">
        <f t="shared" si="899"/>
        <v>0</v>
      </c>
      <c r="AE673" s="586">
        <f t="shared" si="899"/>
        <v>0</v>
      </c>
      <c r="AF673" s="586">
        <f t="shared" si="899"/>
        <v>0</v>
      </c>
      <c r="AG673" s="586">
        <f t="shared" si="899"/>
        <v>0</v>
      </c>
      <c r="AH673" s="586">
        <f t="shared" si="899"/>
        <v>0</v>
      </c>
      <c r="AI673" s="586">
        <f t="shared" si="899"/>
        <v>0</v>
      </c>
      <c r="AJ673" s="586">
        <f t="shared" si="899"/>
        <v>0</v>
      </c>
      <c r="AK673" s="586">
        <f t="shared" si="899"/>
        <v>0</v>
      </c>
      <c r="AL673" s="586">
        <f t="shared" si="899"/>
        <v>0</v>
      </c>
      <c r="AM673" s="586">
        <f t="shared" si="899"/>
        <v>0</v>
      </c>
      <c r="AN673" s="586">
        <f t="shared" si="899"/>
        <v>0</v>
      </c>
      <c r="AO673" s="586">
        <f t="shared" si="899"/>
        <v>0</v>
      </c>
      <c r="AP673" s="586">
        <f t="shared" si="899"/>
        <v>0</v>
      </c>
      <c r="AQ673" s="586">
        <f t="shared" si="899"/>
        <v>0</v>
      </c>
      <c r="AR673" s="586">
        <f t="shared" si="899"/>
        <v>0</v>
      </c>
      <c r="AS673" s="586">
        <f t="shared" si="899"/>
        <v>0</v>
      </c>
      <c r="AT673" s="170"/>
      <c r="AU673" s="170"/>
      <c r="AV673" s="721"/>
      <c r="AW673" s="828"/>
      <c r="AX673" s="726"/>
    </row>
    <row r="674" spans="1:50" ht="15" hidden="1" x14ac:dyDescent="0.25">
      <c r="A674" s="721"/>
      <c r="B674" s="904"/>
      <c r="C674" s="170" t="str">
        <f t="shared" si="892"/>
        <v>50ea</v>
      </c>
      <c r="D674" s="721"/>
      <c r="E674" s="721"/>
      <c r="F674" s="170">
        <f>+Parameters!D53</f>
        <v>50</v>
      </c>
      <c r="G674" s="170" t="str">
        <f>+Parameters!E53</f>
        <v>Major Eqt - Circuit Breakers</v>
      </c>
      <c r="H674" s="586">
        <f t="shared" si="898"/>
        <v>0</v>
      </c>
      <c r="I674" s="170" t="str">
        <f>+Parameters!F53</f>
        <v>ea</v>
      </c>
      <c r="J674" s="170"/>
      <c r="K674" s="170"/>
      <c r="L674" s="170"/>
      <c r="M674" s="730"/>
      <c r="N674" s="730"/>
      <c r="O674" s="730"/>
      <c r="P674" s="731"/>
      <c r="Q674" s="731"/>
      <c r="R674" s="730"/>
      <c r="S674" s="730"/>
      <c r="T674" s="723"/>
      <c r="U674" s="724"/>
      <c r="V674" s="725"/>
      <c r="W674" s="725"/>
      <c r="X674" s="723"/>
      <c r="Y674" s="723"/>
      <c r="Z674" s="723"/>
      <c r="AA674" s="726"/>
      <c r="AB674" s="726"/>
      <c r="AC674" s="170"/>
      <c r="AD674" s="586">
        <f t="shared" si="899"/>
        <v>0</v>
      </c>
      <c r="AE674" s="586">
        <f t="shared" si="899"/>
        <v>0</v>
      </c>
      <c r="AF674" s="586">
        <f t="shared" si="899"/>
        <v>0</v>
      </c>
      <c r="AG674" s="586">
        <f t="shared" si="899"/>
        <v>0</v>
      </c>
      <c r="AH674" s="586">
        <f t="shared" si="899"/>
        <v>0</v>
      </c>
      <c r="AI674" s="586">
        <f t="shared" si="899"/>
        <v>0</v>
      </c>
      <c r="AJ674" s="586">
        <f t="shared" si="899"/>
        <v>0</v>
      </c>
      <c r="AK674" s="586">
        <f t="shared" si="899"/>
        <v>0</v>
      </c>
      <c r="AL674" s="586">
        <f t="shared" si="899"/>
        <v>0</v>
      </c>
      <c r="AM674" s="586">
        <f t="shared" si="899"/>
        <v>0</v>
      </c>
      <c r="AN674" s="586">
        <f t="shared" si="899"/>
        <v>0</v>
      </c>
      <c r="AO674" s="586">
        <f t="shared" si="899"/>
        <v>0</v>
      </c>
      <c r="AP674" s="586">
        <f t="shared" si="899"/>
        <v>0</v>
      </c>
      <c r="AQ674" s="586">
        <f t="shared" si="899"/>
        <v>0</v>
      </c>
      <c r="AR674" s="586">
        <f t="shared" si="899"/>
        <v>0</v>
      </c>
      <c r="AS674" s="586">
        <f t="shared" si="899"/>
        <v>0</v>
      </c>
      <c r="AT674" s="170"/>
      <c r="AU674" s="170"/>
      <c r="AV674" s="721"/>
      <c r="AW674" s="828"/>
      <c r="AX674" s="726"/>
    </row>
    <row r="675" spans="1:50" ht="15" hidden="1" x14ac:dyDescent="0.25">
      <c r="A675" s="721"/>
      <c r="B675" s="904"/>
      <c r="C675" s="170" t="str">
        <f t="shared" si="892"/>
        <v>51ea</v>
      </c>
      <c r="D675" s="721"/>
      <c r="E675" s="721"/>
      <c r="F675" s="170">
        <f>+Parameters!D54</f>
        <v>51</v>
      </c>
      <c r="G675" s="170" t="str">
        <f>+Parameters!E54</f>
        <v>Major Eqt - Transformers</v>
      </c>
      <c r="H675" s="586">
        <f t="shared" si="898"/>
        <v>0</v>
      </c>
      <c r="I675" s="170" t="str">
        <f>+Parameters!F54</f>
        <v>ea</v>
      </c>
      <c r="J675" s="170"/>
      <c r="K675" s="170"/>
      <c r="L675" s="170"/>
      <c r="M675" s="730"/>
      <c r="N675" s="730"/>
      <c r="O675" s="730"/>
      <c r="P675" s="731"/>
      <c r="Q675" s="731"/>
      <c r="R675" s="730"/>
      <c r="S675" s="730"/>
      <c r="T675" s="723"/>
      <c r="U675" s="724"/>
      <c r="V675" s="725"/>
      <c r="W675" s="725"/>
      <c r="X675" s="723"/>
      <c r="Y675" s="723"/>
      <c r="Z675" s="723"/>
      <c r="AA675" s="726"/>
      <c r="AB675" s="726"/>
      <c r="AC675" s="170"/>
      <c r="AD675" s="586">
        <f t="shared" ref="AD675:AS684" si="900">SUMIF($F$9:$F$620,$F675,AD$9:AD$620)</f>
        <v>0</v>
      </c>
      <c r="AE675" s="586">
        <f t="shared" si="900"/>
        <v>0</v>
      </c>
      <c r="AF675" s="586">
        <f t="shared" si="900"/>
        <v>0</v>
      </c>
      <c r="AG675" s="586">
        <f t="shared" si="900"/>
        <v>0</v>
      </c>
      <c r="AH675" s="586">
        <f t="shared" si="900"/>
        <v>0</v>
      </c>
      <c r="AI675" s="586">
        <f t="shared" si="900"/>
        <v>0</v>
      </c>
      <c r="AJ675" s="586">
        <f t="shared" si="900"/>
        <v>0</v>
      </c>
      <c r="AK675" s="586">
        <f t="shared" si="900"/>
        <v>0</v>
      </c>
      <c r="AL675" s="586">
        <f t="shared" si="900"/>
        <v>0</v>
      </c>
      <c r="AM675" s="586">
        <f t="shared" si="900"/>
        <v>0</v>
      </c>
      <c r="AN675" s="586">
        <f t="shared" si="900"/>
        <v>0</v>
      </c>
      <c r="AO675" s="586">
        <f t="shared" si="900"/>
        <v>0</v>
      </c>
      <c r="AP675" s="586">
        <f t="shared" si="900"/>
        <v>0</v>
      </c>
      <c r="AQ675" s="586">
        <f t="shared" si="900"/>
        <v>0</v>
      </c>
      <c r="AR675" s="586">
        <f t="shared" si="900"/>
        <v>0</v>
      </c>
      <c r="AS675" s="586">
        <f t="shared" si="900"/>
        <v>0</v>
      </c>
      <c r="AT675" s="170"/>
      <c r="AU675" s="170"/>
      <c r="AV675" s="721"/>
      <c r="AW675" s="828"/>
      <c r="AX675" s="726"/>
    </row>
    <row r="676" spans="1:50" ht="15" hidden="1" x14ac:dyDescent="0.25">
      <c r="A676" s="721"/>
      <c r="B676" s="904"/>
      <c r="C676" s="170" t="str">
        <f t="shared" si="892"/>
        <v>52ea</v>
      </c>
      <c r="D676" s="721"/>
      <c r="E676" s="721"/>
      <c r="F676" s="170">
        <f>+Parameters!D55</f>
        <v>52</v>
      </c>
      <c r="G676" s="170" t="str">
        <f>+Parameters!E55</f>
        <v>Major Eqt - Circuit Switchers</v>
      </c>
      <c r="H676" s="586">
        <f t="shared" si="898"/>
        <v>0</v>
      </c>
      <c r="I676" s="170" t="str">
        <f>+Parameters!F55</f>
        <v>ea</v>
      </c>
      <c r="J676" s="170"/>
      <c r="K676" s="170"/>
      <c r="L676" s="170"/>
      <c r="M676" s="730"/>
      <c r="N676" s="730"/>
      <c r="O676" s="730"/>
      <c r="P676" s="731"/>
      <c r="Q676" s="731"/>
      <c r="R676" s="730"/>
      <c r="S676" s="730"/>
      <c r="T676" s="723"/>
      <c r="U676" s="724"/>
      <c r="V676" s="725"/>
      <c r="W676" s="725"/>
      <c r="X676" s="723"/>
      <c r="Y676" s="723"/>
      <c r="Z676" s="723"/>
      <c r="AA676" s="726"/>
      <c r="AB676" s="726"/>
      <c r="AC676" s="170"/>
      <c r="AD676" s="586">
        <f t="shared" si="900"/>
        <v>0</v>
      </c>
      <c r="AE676" s="586">
        <f t="shared" si="900"/>
        <v>0</v>
      </c>
      <c r="AF676" s="586">
        <f t="shared" si="900"/>
        <v>0</v>
      </c>
      <c r="AG676" s="586">
        <f t="shared" si="900"/>
        <v>0</v>
      </c>
      <c r="AH676" s="586">
        <f t="shared" si="900"/>
        <v>0</v>
      </c>
      <c r="AI676" s="586">
        <f t="shared" si="900"/>
        <v>0</v>
      </c>
      <c r="AJ676" s="586">
        <f t="shared" si="900"/>
        <v>0</v>
      </c>
      <c r="AK676" s="586">
        <f t="shared" si="900"/>
        <v>0</v>
      </c>
      <c r="AL676" s="586">
        <f t="shared" si="900"/>
        <v>0</v>
      </c>
      <c r="AM676" s="586">
        <f t="shared" si="900"/>
        <v>0</v>
      </c>
      <c r="AN676" s="586">
        <f t="shared" si="900"/>
        <v>0</v>
      </c>
      <c r="AO676" s="586">
        <f t="shared" si="900"/>
        <v>0</v>
      </c>
      <c r="AP676" s="586">
        <f t="shared" si="900"/>
        <v>0</v>
      </c>
      <c r="AQ676" s="586">
        <f t="shared" si="900"/>
        <v>0</v>
      </c>
      <c r="AR676" s="586">
        <f t="shared" si="900"/>
        <v>0</v>
      </c>
      <c r="AS676" s="586">
        <f t="shared" si="900"/>
        <v>0</v>
      </c>
      <c r="AT676" s="170"/>
      <c r="AU676" s="170"/>
      <c r="AV676" s="721"/>
      <c r="AW676" s="828"/>
      <c r="AX676" s="726"/>
    </row>
    <row r="677" spans="1:50" ht="15" hidden="1" x14ac:dyDescent="0.25">
      <c r="A677" s="721"/>
      <c r="B677" s="904"/>
      <c r="C677" s="170" t="str">
        <f t="shared" si="892"/>
        <v>53ea</v>
      </c>
      <c r="D677" s="721"/>
      <c r="E677" s="721"/>
      <c r="F677" s="170">
        <f>+Parameters!D56</f>
        <v>53</v>
      </c>
      <c r="G677" s="170" t="str">
        <f>+Parameters!E56</f>
        <v>Major Eqt - Disconect Switches</v>
      </c>
      <c r="H677" s="586">
        <f t="shared" si="898"/>
        <v>0</v>
      </c>
      <c r="I677" s="170" t="str">
        <f>+Parameters!F56</f>
        <v>ea</v>
      </c>
      <c r="J677" s="170"/>
      <c r="K677" s="170"/>
      <c r="L677" s="170"/>
      <c r="M677" s="730"/>
      <c r="N677" s="730"/>
      <c r="O677" s="730"/>
      <c r="P677" s="731"/>
      <c r="Q677" s="731"/>
      <c r="R677" s="730"/>
      <c r="S677" s="730"/>
      <c r="T677" s="723"/>
      <c r="U677" s="724"/>
      <c r="V677" s="725"/>
      <c r="W677" s="725"/>
      <c r="X677" s="723"/>
      <c r="Y677" s="723"/>
      <c r="Z677" s="723"/>
      <c r="AA677" s="726"/>
      <c r="AB677" s="726"/>
      <c r="AC677" s="170"/>
      <c r="AD677" s="586">
        <f t="shared" si="900"/>
        <v>0</v>
      </c>
      <c r="AE677" s="586">
        <f t="shared" si="900"/>
        <v>0</v>
      </c>
      <c r="AF677" s="586">
        <f t="shared" si="900"/>
        <v>0</v>
      </c>
      <c r="AG677" s="586">
        <f t="shared" si="900"/>
        <v>0</v>
      </c>
      <c r="AH677" s="586">
        <f t="shared" si="900"/>
        <v>0</v>
      </c>
      <c r="AI677" s="586">
        <f t="shared" si="900"/>
        <v>0</v>
      </c>
      <c r="AJ677" s="586">
        <f t="shared" si="900"/>
        <v>0</v>
      </c>
      <c r="AK677" s="586">
        <f t="shared" si="900"/>
        <v>0</v>
      </c>
      <c r="AL677" s="586">
        <f t="shared" si="900"/>
        <v>0</v>
      </c>
      <c r="AM677" s="586">
        <f t="shared" si="900"/>
        <v>0</v>
      </c>
      <c r="AN677" s="586">
        <f t="shared" si="900"/>
        <v>0</v>
      </c>
      <c r="AO677" s="586">
        <f t="shared" si="900"/>
        <v>0</v>
      </c>
      <c r="AP677" s="586">
        <f t="shared" si="900"/>
        <v>0</v>
      </c>
      <c r="AQ677" s="586">
        <f t="shared" si="900"/>
        <v>0</v>
      </c>
      <c r="AR677" s="586">
        <f t="shared" si="900"/>
        <v>0</v>
      </c>
      <c r="AS677" s="586">
        <f t="shared" si="900"/>
        <v>0</v>
      </c>
      <c r="AT677" s="170"/>
      <c r="AU677" s="170"/>
      <c r="AV677" s="721"/>
      <c r="AW677" s="828"/>
      <c r="AX677" s="726"/>
    </row>
    <row r="678" spans="1:50" ht="15" hidden="1" x14ac:dyDescent="0.25">
      <c r="A678" s="721"/>
      <c r="B678" s="904"/>
      <c r="C678" s="170" t="str">
        <f t="shared" si="892"/>
        <v>54ea</v>
      </c>
      <c r="D678" s="721"/>
      <c r="E678" s="721"/>
      <c r="F678" s="170">
        <f>+Parameters!D57</f>
        <v>54</v>
      </c>
      <c r="G678" s="170" t="str">
        <f>+Parameters!E57</f>
        <v>Major Eqt - Cap Banks</v>
      </c>
      <c r="H678" s="586">
        <f t="shared" si="898"/>
        <v>0</v>
      </c>
      <c r="I678" s="170" t="str">
        <f>+Parameters!F57</f>
        <v>ea</v>
      </c>
      <c r="J678" s="170"/>
      <c r="K678" s="170"/>
      <c r="L678" s="170"/>
      <c r="M678" s="730"/>
      <c r="N678" s="730"/>
      <c r="O678" s="730"/>
      <c r="P678" s="731"/>
      <c r="Q678" s="731"/>
      <c r="R678" s="730"/>
      <c r="S678" s="730"/>
      <c r="T678" s="723"/>
      <c r="U678" s="724"/>
      <c r="V678" s="725"/>
      <c r="W678" s="725"/>
      <c r="X678" s="723"/>
      <c r="Y678" s="723"/>
      <c r="Z678" s="723"/>
      <c r="AA678" s="726"/>
      <c r="AB678" s="726"/>
      <c r="AC678" s="170"/>
      <c r="AD678" s="586">
        <f t="shared" si="900"/>
        <v>0</v>
      </c>
      <c r="AE678" s="586">
        <f t="shared" si="900"/>
        <v>0</v>
      </c>
      <c r="AF678" s="586">
        <f t="shared" si="900"/>
        <v>0</v>
      </c>
      <c r="AG678" s="586">
        <f t="shared" si="900"/>
        <v>0</v>
      </c>
      <c r="AH678" s="586">
        <f t="shared" si="900"/>
        <v>0</v>
      </c>
      <c r="AI678" s="586">
        <f t="shared" si="900"/>
        <v>0</v>
      </c>
      <c r="AJ678" s="586">
        <f t="shared" si="900"/>
        <v>0</v>
      </c>
      <c r="AK678" s="586">
        <f t="shared" si="900"/>
        <v>0</v>
      </c>
      <c r="AL678" s="586">
        <f t="shared" si="900"/>
        <v>0</v>
      </c>
      <c r="AM678" s="586">
        <f t="shared" si="900"/>
        <v>0</v>
      </c>
      <c r="AN678" s="586">
        <f t="shared" si="900"/>
        <v>0</v>
      </c>
      <c r="AO678" s="586">
        <f t="shared" si="900"/>
        <v>0</v>
      </c>
      <c r="AP678" s="586">
        <f t="shared" si="900"/>
        <v>0</v>
      </c>
      <c r="AQ678" s="586">
        <f t="shared" si="900"/>
        <v>0</v>
      </c>
      <c r="AR678" s="586">
        <f t="shared" si="900"/>
        <v>0</v>
      </c>
      <c r="AS678" s="586">
        <f t="shared" si="900"/>
        <v>0</v>
      </c>
      <c r="AT678" s="170"/>
      <c r="AU678" s="170"/>
      <c r="AV678" s="721"/>
      <c r="AW678" s="828"/>
      <c r="AX678" s="726"/>
    </row>
    <row r="679" spans="1:50" ht="15" hidden="1" x14ac:dyDescent="0.25">
      <c r="A679" s="721"/>
      <c r="B679" s="904"/>
      <c r="C679" s="170" t="str">
        <f t="shared" si="892"/>
        <v>55ea</v>
      </c>
      <c r="D679" s="721"/>
      <c r="E679" s="721"/>
      <c r="F679" s="170">
        <f>+Parameters!D58</f>
        <v>55</v>
      </c>
      <c r="G679" s="170" t="str">
        <f>+Parameters!E58</f>
        <v>Major Eqt - Reactors</v>
      </c>
      <c r="H679" s="586">
        <f t="shared" si="898"/>
        <v>0</v>
      </c>
      <c r="I679" s="170" t="str">
        <f>+Parameters!F58</f>
        <v>ea</v>
      </c>
      <c r="J679" s="170"/>
      <c r="K679" s="170"/>
      <c r="L679" s="170"/>
      <c r="M679" s="730"/>
      <c r="N679" s="730"/>
      <c r="O679" s="730"/>
      <c r="P679" s="731"/>
      <c r="Q679" s="731"/>
      <c r="R679" s="730"/>
      <c r="S679" s="730"/>
      <c r="T679" s="723"/>
      <c r="U679" s="724"/>
      <c r="V679" s="725"/>
      <c r="W679" s="725"/>
      <c r="X679" s="723"/>
      <c r="Y679" s="723"/>
      <c r="Z679" s="723"/>
      <c r="AA679" s="726"/>
      <c r="AB679" s="726"/>
      <c r="AC679" s="170"/>
      <c r="AD679" s="586">
        <f t="shared" si="900"/>
        <v>0</v>
      </c>
      <c r="AE679" s="586">
        <f t="shared" si="900"/>
        <v>0</v>
      </c>
      <c r="AF679" s="586">
        <f t="shared" si="900"/>
        <v>0</v>
      </c>
      <c r="AG679" s="586">
        <f t="shared" si="900"/>
        <v>0</v>
      </c>
      <c r="AH679" s="586">
        <f t="shared" si="900"/>
        <v>0</v>
      </c>
      <c r="AI679" s="586">
        <f t="shared" si="900"/>
        <v>0</v>
      </c>
      <c r="AJ679" s="586">
        <f t="shared" si="900"/>
        <v>0</v>
      </c>
      <c r="AK679" s="586">
        <f t="shared" si="900"/>
        <v>0</v>
      </c>
      <c r="AL679" s="586">
        <f t="shared" si="900"/>
        <v>0</v>
      </c>
      <c r="AM679" s="586">
        <f t="shared" si="900"/>
        <v>0</v>
      </c>
      <c r="AN679" s="586">
        <f t="shared" si="900"/>
        <v>0</v>
      </c>
      <c r="AO679" s="586">
        <f t="shared" si="900"/>
        <v>0</v>
      </c>
      <c r="AP679" s="586">
        <f t="shared" si="900"/>
        <v>0</v>
      </c>
      <c r="AQ679" s="586">
        <f t="shared" si="900"/>
        <v>0</v>
      </c>
      <c r="AR679" s="586">
        <f t="shared" si="900"/>
        <v>0</v>
      </c>
      <c r="AS679" s="586">
        <f t="shared" si="900"/>
        <v>0</v>
      </c>
      <c r="AT679" s="170"/>
      <c r="AU679" s="170"/>
      <c r="AV679" s="721"/>
      <c r="AW679" s="828"/>
      <c r="AX679" s="726"/>
    </row>
    <row r="680" spans="1:50" ht="15" hidden="1" x14ac:dyDescent="0.25">
      <c r="A680" s="721"/>
      <c r="B680" s="904"/>
      <c r="C680" s="170" t="str">
        <f t="shared" si="892"/>
        <v>56ea</v>
      </c>
      <c r="D680" s="721"/>
      <c r="E680" s="721"/>
      <c r="F680" s="170">
        <f>+Parameters!D59</f>
        <v>56</v>
      </c>
      <c r="G680" s="170" t="str">
        <f>+Parameters!E59</f>
        <v>Major Eqt - GIS</v>
      </c>
      <c r="H680" s="586">
        <f t="shared" si="898"/>
        <v>0</v>
      </c>
      <c r="I680" s="170" t="str">
        <f>+Parameters!F59</f>
        <v>ea</v>
      </c>
      <c r="J680" s="170"/>
      <c r="K680" s="170"/>
      <c r="L680" s="170"/>
      <c r="M680" s="730"/>
      <c r="N680" s="730"/>
      <c r="O680" s="730"/>
      <c r="P680" s="731"/>
      <c r="Q680" s="731"/>
      <c r="R680" s="730"/>
      <c r="S680" s="730"/>
      <c r="T680" s="723"/>
      <c r="U680" s="724"/>
      <c r="V680" s="725"/>
      <c r="W680" s="725"/>
      <c r="X680" s="723"/>
      <c r="Y680" s="723"/>
      <c r="Z680" s="723"/>
      <c r="AA680" s="726"/>
      <c r="AB680" s="726"/>
      <c r="AC680" s="170"/>
      <c r="AD680" s="586">
        <f t="shared" si="900"/>
        <v>0</v>
      </c>
      <c r="AE680" s="586">
        <f t="shared" si="900"/>
        <v>0</v>
      </c>
      <c r="AF680" s="586">
        <f t="shared" si="900"/>
        <v>0</v>
      </c>
      <c r="AG680" s="586">
        <f t="shared" si="900"/>
        <v>0</v>
      </c>
      <c r="AH680" s="586">
        <f t="shared" si="900"/>
        <v>0</v>
      </c>
      <c r="AI680" s="586">
        <f t="shared" si="900"/>
        <v>0</v>
      </c>
      <c r="AJ680" s="586">
        <f t="shared" si="900"/>
        <v>0</v>
      </c>
      <c r="AK680" s="586">
        <f t="shared" si="900"/>
        <v>0</v>
      </c>
      <c r="AL680" s="586">
        <f t="shared" si="900"/>
        <v>0</v>
      </c>
      <c r="AM680" s="586">
        <f t="shared" si="900"/>
        <v>0</v>
      </c>
      <c r="AN680" s="586">
        <f t="shared" si="900"/>
        <v>0</v>
      </c>
      <c r="AO680" s="586">
        <f t="shared" si="900"/>
        <v>0</v>
      </c>
      <c r="AP680" s="586">
        <f t="shared" si="900"/>
        <v>0</v>
      </c>
      <c r="AQ680" s="586">
        <f t="shared" si="900"/>
        <v>0</v>
      </c>
      <c r="AR680" s="586">
        <f t="shared" si="900"/>
        <v>0</v>
      </c>
      <c r="AS680" s="586">
        <f t="shared" si="900"/>
        <v>0</v>
      </c>
      <c r="AT680" s="170"/>
      <c r="AU680" s="170"/>
      <c r="AV680" s="721"/>
      <c r="AW680" s="828"/>
      <c r="AX680" s="726"/>
    </row>
    <row r="681" spans="1:50" ht="15" hidden="1" x14ac:dyDescent="0.25">
      <c r="A681" s="721"/>
      <c r="B681" s="904"/>
      <c r="C681" s="170" t="str">
        <f t="shared" si="892"/>
        <v>57ea</v>
      </c>
      <c r="D681" s="721"/>
      <c r="E681" s="721"/>
      <c r="F681" s="170">
        <f>+Parameters!D60</f>
        <v>57</v>
      </c>
      <c r="G681" s="170" t="str">
        <f>+Parameters!E60</f>
        <v>Major Eqt - Switchgear</v>
      </c>
      <c r="H681" s="586">
        <f t="shared" si="898"/>
        <v>0</v>
      </c>
      <c r="I681" s="170" t="str">
        <f>+Parameters!F60</f>
        <v>ea</v>
      </c>
      <c r="J681" s="170"/>
      <c r="K681" s="170"/>
      <c r="L681" s="170"/>
      <c r="M681" s="730"/>
      <c r="N681" s="730"/>
      <c r="O681" s="730"/>
      <c r="P681" s="731"/>
      <c r="Q681" s="731"/>
      <c r="R681" s="730"/>
      <c r="S681" s="730"/>
      <c r="T681" s="723"/>
      <c r="U681" s="724"/>
      <c r="V681" s="725"/>
      <c r="W681" s="725"/>
      <c r="X681" s="723"/>
      <c r="Y681" s="723"/>
      <c r="Z681" s="723"/>
      <c r="AA681" s="726"/>
      <c r="AB681" s="726"/>
      <c r="AC681" s="170"/>
      <c r="AD681" s="586">
        <f t="shared" si="900"/>
        <v>0</v>
      </c>
      <c r="AE681" s="586">
        <f t="shared" si="900"/>
        <v>0</v>
      </c>
      <c r="AF681" s="586">
        <f t="shared" si="900"/>
        <v>0</v>
      </c>
      <c r="AG681" s="586">
        <f t="shared" si="900"/>
        <v>0</v>
      </c>
      <c r="AH681" s="586">
        <f t="shared" si="900"/>
        <v>0</v>
      </c>
      <c r="AI681" s="586">
        <f t="shared" si="900"/>
        <v>0</v>
      </c>
      <c r="AJ681" s="586">
        <f t="shared" si="900"/>
        <v>0</v>
      </c>
      <c r="AK681" s="586">
        <f t="shared" si="900"/>
        <v>0</v>
      </c>
      <c r="AL681" s="586">
        <f t="shared" si="900"/>
        <v>0</v>
      </c>
      <c r="AM681" s="586">
        <f t="shared" si="900"/>
        <v>0</v>
      </c>
      <c r="AN681" s="586">
        <f t="shared" si="900"/>
        <v>0</v>
      </c>
      <c r="AO681" s="586">
        <f t="shared" si="900"/>
        <v>0</v>
      </c>
      <c r="AP681" s="586">
        <f t="shared" si="900"/>
        <v>0</v>
      </c>
      <c r="AQ681" s="586">
        <f t="shared" si="900"/>
        <v>0</v>
      </c>
      <c r="AR681" s="586">
        <f t="shared" si="900"/>
        <v>0</v>
      </c>
      <c r="AS681" s="586">
        <f t="shared" si="900"/>
        <v>0</v>
      </c>
      <c r="AT681" s="170"/>
      <c r="AU681" s="170"/>
      <c r="AV681" s="721"/>
      <c r="AW681" s="828"/>
      <c r="AX681" s="726"/>
    </row>
    <row r="682" spans="1:50" ht="15" hidden="1" x14ac:dyDescent="0.25">
      <c r="A682" s="721"/>
      <c r="B682" s="904"/>
      <c r="C682" s="170" t="str">
        <f t="shared" si="892"/>
        <v>580</v>
      </c>
      <c r="D682" s="721"/>
      <c r="E682" s="721"/>
      <c r="F682" s="170">
        <f>+Parameters!D61</f>
        <v>58</v>
      </c>
      <c r="G682" s="170">
        <f>+Parameters!E61</f>
        <v>0</v>
      </c>
      <c r="H682" s="586">
        <f t="shared" si="898"/>
        <v>0</v>
      </c>
      <c r="I682" s="170">
        <f>+Parameters!F61</f>
        <v>0</v>
      </c>
      <c r="J682" s="170"/>
      <c r="K682" s="170"/>
      <c r="L682" s="170"/>
      <c r="M682" s="730"/>
      <c r="N682" s="730"/>
      <c r="O682" s="730"/>
      <c r="P682" s="731"/>
      <c r="Q682" s="731"/>
      <c r="R682" s="730"/>
      <c r="S682" s="730"/>
      <c r="T682" s="723"/>
      <c r="U682" s="724"/>
      <c r="V682" s="725"/>
      <c r="W682" s="725"/>
      <c r="X682" s="723"/>
      <c r="Y682" s="723"/>
      <c r="Z682" s="723"/>
      <c r="AA682" s="726"/>
      <c r="AB682" s="726"/>
      <c r="AC682" s="170"/>
      <c r="AD682" s="586">
        <f t="shared" si="900"/>
        <v>0</v>
      </c>
      <c r="AE682" s="586">
        <f t="shared" si="900"/>
        <v>0</v>
      </c>
      <c r="AF682" s="586">
        <f t="shared" si="900"/>
        <v>0</v>
      </c>
      <c r="AG682" s="586">
        <f t="shared" si="900"/>
        <v>0</v>
      </c>
      <c r="AH682" s="586">
        <f t="shared" si="900"/>
        <v>0</v>
      </c>
      <c r="AI682" s="586">
        <f t="shared" si="900"/>
        <v>0</v>
      </c>
      <c r="AJ682" s="586">
        <f t="shared" si="900"/>
        <v>0</v>
      </c>
      <c r="AK682" s="586">
        <f t="shared" si="900"/>
        <v>0</v>
      </c>
      <c r="AL682" s="586">
        <f t="shared" si="900"/>
        <v>0</v>
      </c>
      <c r="AM682" s="586">
        <f t="shared" si="900"/>
        <v>0</v>
      </c>
      <c r="AN682" s="586">
        <f t="shared" si="900"/>
        <v>0</v>
      </c>
      <c r="AO682" s="586">
        <f t="shared" si="900"/>
        <v>0</v>
      </c>
      <c r="AP682" s="586">
        <f t="shared" si="900"/>
        <v>0</v>
      </c>
      <c r="AQ682" s="586">
        <f t="shared" si="900"/>
        <v>0</v>
      </c>
      <c r="AR682" s="586">
        <f t="shared" si="900"/>
        <v>0</v>
      </c>
      <c r="AS682" s="586">
        <f t="shared" si="900"/>
        <v>0</v>
      </c>
      <c r="AT682" s="170"/>
      <c r="AU682" s="170"/>
      <c r="AV682" s="721"/>
      <c r="AW682" s="828"/>
      <c r="AX682" s="726"/>
    </row>
    <row r="683" spans="1:50" ht="15" hidden="1" x14ac:dyDescent="0.25">
      <c r="A683" s="721"/>
      <c r="B683" s="904"/>
      <c r="C683" s="170" t="str">
        <f t="shared" si="892"/>
        <v>59ea</v>
      </c>
      <c r="D683" s="721"/>
      <c r="E683" s="721"/>
      <c r="F683" s="170">
        <f>+Parameters!D62</f>
        <v>59</v>
      </c>
      <c r="G683" s="170" t="str">
        <f>+Parameters!E62</f>
        <v>Major Eqt - Other</v>
      </c>
      <c r="H683" s="586">
        <f t="shared" si="898"/>
        <v>0</v>
      </c>
      <c r="I683" s="170" t="str">
        <f>+Parameters!F62</f>
        <v>ea</v>
      </c>
      <c r="J683" s="170"/>
      <c r="K683" s="170"/>
      <c r="L683" s="170"/>
      <c r="M683" s="730"/>
      <c r="N683" s="730"/>
      <c r="O683" s="730"/>
      <c r="P683" s="731"/>
      <c r="Q683" s="731"/>
      <c r="R683" s="730"/>
      <c r="S683" s="730"/>
      <c r="T683" s="723"/>
      <c r="U683" s="724"/>
      <c r="V683" s="725"/>
      <c r="W683" s="725"/>
      <c r="X683" s="723"/>
      <c r="Y683" s="723"/>
      <c r="Z683" s="723"/>
      <c r="AA683" s="726"/>
      <c r="AB683" s="726"/>
      <c r="AC683" s="170"/>
      <c r="AD683" s="586">
        <f t="shared" si="900"/>
        <v>0</v>
      </c>
      <c r="AE683" s="586">
        <f t="shared" si="900"/>
        <v>0</v>
      </c>
      <c r="AF683" s="586">
        <f t="shared" si="900"/>
        <v>0</v>
      </c>
      <c r="AG683" s="586">
        <f t="shared" si="900"/>
        <v>0</v>
      </c>
      <c r="AH683" s="586">
        <f t="shared" si="900"/>
        <v>0</v>
      </c>
      <c r="AI683" s="586">
        <f t="shared" si="900"/>
        <v>0</v>
      </c>
      <c r="AJ683" s="586">
        <f t="shared" si="900"/>
        <v>0</v>
      </c>
      <c r="AK683" s="586">
        <f t="shared" si="900"/>
        <v>0</v>
      </c>
      <c r="AL683" s="586">
        <f t="shared" si="900"/>
        <v>0</v>
      </c>
      <c r="AM683" s="586">
        <f t="shared" si="900"/>
        <v>0</v>
      </c>
      <c r="AN683" s="586">
        <f t="shared" si="900"/>
        <v>0</v>
      </c>
      <c r="AO683" s="586">
        <f t="shared" si="900"/>
        <v>0</v>
      </c>
      <c r="AP683" s="586">
        <f t="shared" si="900"/>
        <v>0</v>
      </c>
      <c r="AQ683" s="586">
        <f t="shared" si="900"/>
        <v>0</v>
      </c>
      <c r="AR683" s="586">
        <f t="shared" si="900"/>
        <v>0</v>
      </c>
      <c r="AS683" s="586">
        <f t="shared" si="900"/>
        <v>0</v>
      </c>
      <c r="AT683" s="170"/>
      <c r="AU683" s="170"/>
      <c r="AV683" s="721"/>
      <c r="AW683" s="828"/>
      <c r="AX683" s="726"/>
    </row>
    <row r="684" spans="1:50" ht="15" hidden="1" x14ac:dyDescent="0.25">
      <c r="A684" s="721"/>
      <c r="B684" s="904"/>
      <c r="C684" s="170" t="str">
        <f t="shared" si="892"/>
        <v>600</v>
      </c>
      <c r="D684" s="721"/>
      <c r="E684" s="721"/>
      <c r="F684" s="170">
        <f>+Parameters!D63</f>
        <v>60</v>
      </c>
      <c r="G684" s="170">
        <f>+Parameters!E63</f>
        <v>0</v>
      </c>
      <c r="H684" s="586">
        <f t="shared" si="898"/>
        <v>0</v>
      </c>
      <c r="I684" s="170">
        <f>+Parameters!F63</f>
        <v>0</v>
      </c>
      <c r="J684" s="170"/>
      <c r="K684" s="170"/>
      <c r="L684" s="170"/>
      <c r="M684" s="730"/>
      <c r="N684" s="730"/>
      <c r="O684" s="730"/>
      <c r="P684" s="731"/>
      <c r="Q684" s="731"/>
      <c r="R684" s="730"/>
      <c r="S684" s="730"/>
      <c r="T684" s="723"/>
      <c r="U684" s="724"/>
      <c r="V684" s="725"/>
      <c r="W684" s="725"/>
      <c r="X684" s="723"/>
      <c r="Y684" s="723"/>
      <c r="Z684" s="723"/>
      <c r="AA684" s="726"/>
      <c r="AB684" s="726"/>
      <c r="AC684" s="170"/>
      <c r="AD684" s="586">
        <f t="shared" si="900"/>
        <v>0</v>
      </c>
      <c r="AE684" s="586">
        <f t="shared" si="900"/>
        <v>0</v>
      </c>
      <c r="AF684" s="586">
        <f t="shared" si="900"/>
        <v>0</v>
      </c>
      <c r="AG684" s="586">
        <f t="shared" si="900"/>
        <v>0</v>
      </c>
      <c r="AH684" s="586">
        <f t="shared" si="900"/>
        <v>0</v>
      </c>
      <c r="AI684" s="586">
        <f t="shared" si="900"/>
        <v>0</v>
      </c>
      <c r="AJ684" s="586">
        <f t="shared" si="900"/>
        <v>0</v>
      </c>
      <c r="AK684" s="586">
        <f t="shared" si="900"/>
        <v>0</v>
      </c>
      <c r="AL684" s="586">
        <f t="shared" si="900"/>
        <v>0</v>
      </c>
      <c r="AM684" s="586">
        <f t="shared" si="900"/>
        <v>0</v>
      </c>
      <c r="AN684" s="586">
        <f t="shared" si="900"/>
        <v>0</v>
      </c>
      <c r="AO684" s="586">
        <f t="shared" si="900"/>
        <v>0</v>
      </c>
      <c r="AP684" s="586">
        <f t="shared" si="900"/>
        <v>0</v>
      </c>
      <c r="AQ684" s="586">
        <f t="shared" si="900"/>
        <v>0</v>
      </c>
      <c r="AR684" s="586">
        <f t="shared" si="900"/>
        <v>0</v>
      </c>
      <c r="AS684" s="586">
        <f t="shared" si="900"/>
        <v>0</v>
      </c>
      <c r="AT684" s="170"/>
      <c r="AU684" s="170"/>
      <c r="AV684" s="721"/>
      <c r="AW684" s="828"/>
      <c r="AX684" s="726"/>
    </row>
    <row r="685" spans="1:50" ht="15" hidden="1" x14ac:dyDescent="0.25">
      <c r="A685" s="721"/>
      <c r="B685" s="904"/>
      <c r="C685" s="170" t="str">
        <f t="shared" si="892"/>
        <v>610</v>
      </c>
      <c r="D685" s="721"/>
      <c r="E685" s="721"/>
      <c r="F685" s="170">
        <f>+Parameters!D64</f>
        <v>61</v>
      </c>
      <c r="G685" s="170">
        <f>+Parameters!E64</f>
        <v>0</v>
      </c>
      <c r="H685" s="586">
        <f t="shared" si="898"/>
        <v>0</v>
      </c>
      <c r="I685" s="170">
        <f>+Parameters!F64</f>
        <v>0</v>
      </c>
      <c r="J685" s="170"/>
      <c r="K685" s="170"/>
      <c r="L685" s="170"/>
      <c r="M685" s="730"/>
      <c r="N685" s="730"/>
      <c r="O685" s="730"/>
      <c r="P685" s="731"/>
      <c r="Q685" s="731"/>
      <c r="R685" s="730"/>
      <c r="S685" s="730"/>
      <c r="T685" s="723"/>
      <c r="U685" s="724"/>
      <c r="V685" s="725"/>
      <c r="W685" s="725"/>
      <c r="X685" s="723"/>
      <c r="Y685" s="723"/>
      <c r="Z685" s="723"/>
      <c r="AA685" s="726"/>
      <c r="AB685" s="726"/>
      <c r="AC685" s="170"/>
      <c r="AD685" s="586">
        <f t="shared" ref="AD685:AS694" si="901">SUMIF($F$9:$F$620,$F685,AD$9:AD$620)</f>
        <v>0</v>
      </c>
      <c r="AE685" s="586">
        <f t="shared" si="901"/>
        <v>0</v>
      </c>
      <c r="AF685" s="586">
        <f t="shared" si="901"/>
        <v>0</v>
      </c>
      <c r="AG685" s="586">
        <f t="shared" si="901"/>
        <v>0</v>
      </c>
      <c r="AH685" s="586">
        <f t="shared" si="901"/>
        <v>0</v>
      </c>
      <c r="AI685" s="586">
        <f t="shared" si="901"/>
        <v>0</v>
      </c>
      <c r="AJ685" s="586">
        <f t="shared" si="901"/>
        <v>0</v>
      </c>
      <c r="AK685" s="586">
        <f t="shared" si="901"/>
        <v>0</v>
      </c>
      <c r="AL685" s="586">
        <f t="shared" si="901"/>
        <v>0</v>
      </c>
      <c r="AM685" s="586">
        <f t="shared" si="901"/>
        <v>0</v>
      </c>
      <c r="AN685" s="586">
        <f t="shared" si="901"/>
        <v>0</v>
      </c>
      <c r="AO685" s="586">
        <f t="shared" si="901"/>
        <v>0</v>
      </c>
      <c r="AP685" s="586">
        <f t="shared" si="901"/>
        <v>0</v>
      </c>
      <c r="AQ685" s="586">
        <f t="shared" si="901"/>
        <v>0</v>
      </c>
      <c r="AR685" s="586">
        <f t="shared" si="901"/>
        <v>0</v>
      </c>
      <c r="AS685" s="586">
        <f t="shared" si="901"/>
        <v>0</v>
      </c>
      <c r="AT685" s="170"/>
      <c r="AU685" s="170"/>
      <c r="AV685" s="721"/>
      <c r="AW685" s="828"/>
      <c r="AX685" s="726"/>
    </row>
    <row r="686" spans="1:50" ht="15" hidden="1" x14ac:dyDescent="0.25">
      <c r="A686" s="721"/>
      <c r="B686" s="904"/>
      <c r="C686" s="170" t="str">
        <f t="shared" si="892"/>
        <v>620</v>
      </c>
      <c r="D686" s="721"/>
      <c r="E686" s="721"/>
      <c r="F686" s="170">
        <f>+Parameters!D65</f>
        <v>62</v>
      </c>
      <c r="G686" s="170">
        <f>+Parameters!E65</f>
        <v>0</v>
      </c>
      <c r="H686" s="586">
        <f t="shared" si="898"/>
        <v>0</v>
      </c>
      <c r="I686" s="170">
        <f>+Parameters!F65</f>
        <v>0</v>
      </c>
      <c r="J686" s="170"/>
      <c r="K686" s="170"/>
      <c r="L686" s="170"/>
      <c r="M686" s="730"/>
      <c r="N686" s="730"/>
      <c r="O686" s="730"/>
      <c r="P686" s="731"/>
      <c r="Q686" s="731"/>
      <c r="R686" s="730"/>
      <c r="S686" s="730"/>
      <c r="T686" s="723"/>
      <c r="U686" s="724"/>
      <c r="V686" s="725"/>
      <c r="W686" s="725"/>
      <c r="X686" s="723"/>
      <c r="Y686" s="723"/>
      <c r="Z686" s="723"/>
      <c r="AA686" s="726"/>
      <c r="AB686" s="726"/>
      <c r="AC686" s="170"/>
      <c r="AD686" s="586">
        <f t="shared" si="901"/>
        <v>0</v>
      </c>
      <c r="AE686" s="586">
        <f t="shared" si="901"/>
        <v>0</v>
      </c>
      <c r="AF686" s="586">
        <f t="shared" si="901"/>
        <v>0</v>
      </c>
      <c r="AG686" s="586">
        <f t="shared" si="901"/>
        <v>0</v>
      </c>
      <c r="AH686" s="586">
        <f t="shared" si="901"/>
        <v>0</v>
      </c>
      <c r="AI686" s="586">
        <f t="shared" si="901"/>
        <v>0</v>
      </c>
      <c r="AJ686" s="586">
        <f t="shared" si="901"/>
        <v>0</v>
      </c>
      <c r="AK686" s="586">
        <f t="shared" si="901"/>
        <v>0</v>
      </c>
      <c r="AL686" s="586">
        <f t="shared" si="901"/>
        <v>0</v>
      </c>
      <c r="AM686" s="586">
        <f t="shared" si="901"/>
        <v>0</v>
      </c>
      <c r="AN686" s="586">
        <f t="shared" si="901"/>
        <v>0</v>
      </c>
      <c r="AO686" s="586">
        <f t="shared" si="901"/>
        <v>0</v>
      </c>
      <c r="AP686" s="586">
        <f t="shared" si="901"/>
        <v>0</v>
      </c>
      <c r="AQ686" s="586">
        <f t="shared" si="901"/>
        <v>0</v>
      </c>
      <c r="AR686" s="586">
        <f t="shared" si="901"/>
        <v>0</v>
      </c>
      <c r="AS686" s="586">
        <f t="shared" si="901"/>
        <v>0</v>
      </c>
      <c r="AT686" s="170"/>
      <c r="AU686" s="170"/>
      <c r="AV686" s="721"/>
      <c r="AW686" s="828"/>
      <c r="AX686" s="726"/>
    </row>
    <row r="687" spans="1:50" ht="15" hidden="1" x14ac:dyDescent="0.25">
      <c r="A687" s="721"/>
      <c r="B687" s="904"/>
      <c r="C687" s="170" t="str">
        <f t="shared" si="892"/>
        <v>63lf</v>
      </c>
      <c r="D687" s="721"/>
      <c r="E687" s="721"/>
      <c r="F687" s="170">
        <f>+Parameters!D66</f>
        <v>63</v>
      </c>
      <c r="G687" s="170" t="str">
        <f>+Parameters!E66</f>
        <v>Misc. Eqt - Bus</v>
      </c>
      <c r="H687" s="586">
        <f t="shared" si="898"/>
        <v>0</v>
      </c>
      <c r="I687" s="170" t="str">
        <f>+Parameters!F66</f>
        <v>lf</v>
      </c>
      <c r="J687" s="170"/>
      <c r="K687" s="170"/>
      <c r="L687" s="170"/>
      <c r="M687" s="730"/>
      <c r="N687" s="730"/>
      <c r="O687" s="730"/>
      <c r="P687" s="731"/>
      <c r="Q687" s="731"/>
      <c r="R687" s="730"/>
      <c r="S687" s="730"/>
      <c r="T687" s="723"/>
      <c r="U687" s="724"/>
      <c r="V687" s="725"/>
      <c r="W687" s="725"/>
      <c r="X687" s="723"/>
      <c r="Y687" s="723"/>
      <c r="Z687" s="723"/>
      <c r="AA687" s="726"/>
      <c r="AB687" s="726"/>
      <c r="AC687" s="170"/>
      <c r="AD687" s="586">
        <f t="shared" si="901"/>
        <v>0</v>
      </c>
      <c r="AE687" s="586">
        <f t="shared" si="901"/>
        <v>0</v>
      </c>
      <c r="AF687" s="586">
        <f t="shared" si="901"/>
        <v>0</v>
      </c>
      <c r="AG687" s="586">
        <f t="shared" si="901"/>
        <v>0</v>
      </c>
      <c r="AH687" s="586">
        <f t="shared" si="901"/>
        <v>0</v>
      </c>
      <c r="AI687" s="586">
        <f t="shared" si="901"/>
        <v>0</v>
      </c>
      <c r="AJ687" s="586">
        <f t="shared" si="901"/>
        <v>0</v>
      </c>
      <c r="AK687" s="586">
        <f t="shared" si="901"/>
        <v>0</v>
      </c>
      <c r="AL687" s="586">
        <f t="shared" si="901"/>
        <v>0</v>
      </c>
      <c r="AM687" s="586">
        <f t="shared" si="901"/>
        <v>0</v>
      </c>
      <c r="AN687" s="586">
        <f t="shared" si="901"/>
        <v>0</v>
      </c>
      <c r="AO687" s="586">
        <f t="shared" si="901"/>
        <v>0</v>
      </c>
      <c r="AP687" s="586">
        <f t="shared" si="901"/>
        <v>0</v>
      </c>
      <c r="AQ687" s="586">
        <f t="shared" si="901"/>
        <v>0</v>
      </c>
      <c r="AR687" s="586">
        <f t="shared" si="901"/>
        <v>0</v>
      </c>
      <c r="AS687" s="586">
        <f t="shared" si="901"/>
        <v>0</v>
      </c>
      <c r="AT687" s="170"/>
      <c r="AU687" s="170"/>
      <c r="AV687" s="721"/>
      <c r="AW687" s="828"/>
      <c r="AX687" s="726"/>
    </row>
    <row r="688" spans="1:50" ht="15" hidden="1" x14ac:dyDescent="0.25">
      <c r="A688" s="721"/>
      <c r="B688" s="904"/>
      <c r="C688" s="170" t="str">
        <f t="shared" si="892"/>
        <v>64lf</v>
      </c>
      <c r="D688" s="721"/>
      <c r="E688" s="721"/>
      <c r="F688" s="170">
        <f>+Parameters!D67</f>
        <v>64</v>
      </c>
      <c r="G688" s="170" t="str">
        <f>+Parameters!E67</f>
        <v>Misc. Eqt - Conduit / Tray</v>
      </c>
      <c r="H688" s="586">
        <f t="shared" si="898"/>
        <v>0</v>
      </c>
      <c r="I688" s="170" t="str">
        <f>+Parameters!F67</f>
        <v>lf</v>
      </c>
      <c r="J688" s="170"/>
      <c r="K688" s="170"/>
      <c r="L688" s="170"/>
      <c r="M688" s="730"/>
      <c r="N688" s="730"/>
      <c r="O688" s="730"/>
      <c r="P688" s="731"/>
      <c r="Q688" s="731"/>
      <c r="R688" s="730"/>
      <c r="S688" s="730"/>
      <c r="T688" s="723"/>
      <c r="U688" s="724"/>
      <c r="V688" s="725"/>
      <c r="W688" s="725"/>
      <c r="X688" s="723"/>
      <c r="Y688" s="723"/>
      <c r="Z688" s="723"/>
      <c r="AA688" s="726"/>
      <c r="AB688" s="726"/>
      <c r="AC688" s="170"/>
      <c r="AD688" s="586">
        <f t="shared" si="901"/>
        <v>0</v>
      </c>
      <c r="AE688" s="586">
        <f t="shared" si="901"/>
        <v>0</v>
      </c>
      <c r="AF688" s="586">
        <f t="shared" si="901"/>
        <v>0</v>
      </c>
      <c r="AG688" s="586">
        <f t="shared" si="901"/>
        <v>0</v>
      </c>
      <c r="AH688" s="586">
        <f t="shared" si="901"/>
        <v>0</v>
      </c>
      <c r="AI688" s="586">
        <f t="shared" si="901"/>
        <v>0</v>
      </c>
      <c r="AJ688" s="586">
        <f t="shared" si="901"/>
        <v>0</v>
      </c>
      <c r="AK688" s="586">
        <f t="shared" si="901"/>
        <v>0</v>
      </c>
      <c r="AL688" s="586">
        <f t="shared" si="901"/>
        <v>0</v>
      </c>
      <c r="AM688" s="586">
        <f t="shared" si="901"/>
        <v>0</v>
      </c>
      <c r="AN688" s="586">
        <f t="shared" si="901"/>
        <v>0</v>
      </c>
      <c r="AO688" s="586">
        <f t="shared" si="901"/>
        <v>0</v>
      </c>
      <c r="AP688" s="586">
        <f t="shared" si="901"/>
        <v>0</v>
      </c>
      <c r="AQ688" s="586">
        <f t="shared" si="901"/>
        <v>0</v>
      </c>
      <c r="AR688" s="586">
        <f t="shared" si="901"/>
        <v>0</v>
      </c>
      <c r="AS688" s="586">
        <f t="shared" si="901"/>
        <v>0</v>
      </c>
      <c r="AT688" s="170"/>
      <c r="AU688" s="170"/>
      <c r="AV688" s="721"/>
      <c r="AW688" s="828"/>
      <c r="AX688" s="726"/>
    </row>
    <row r="689" spans="1:50" ht="15" hidden="1" x14ac:dyDescent="0.25">
      <c r="A689" s="721"/>
      <c r="B689" s="904"/>
      <c r="C689" s="170" t="str">
        <f t="shared" ref="C689:C723" si="902">+F689&amp;I689</f>
        <v>65ea</v>
      </c>
      <c r="D689" s="721"/>
      <c r="E689" s="721"/>
      <c r="F689" s="170">
        <f>+Parameters!D68</f>
        <v>65</v>
      </c>
      <c r="G689" s="170" t="str">
        <f>+Parameters!E68</f>
        <v>Misc. Eqt - Insulators</v>
      </c>
      <c r="H689" s="586">
        <f t="shared" ref="H689:H723" si="903">SUMIF($C$9:$C$620,$C689,H$9:H$620)</f>
        <v>0</v>
      </c>
      <c r="I689" s="170" t="str">
        <f>+Parameters!F68</f>
        <v>ea</v>
      </c>
      <c r="J689" s="170"/>
      <c r="K689" s="170"/>
      <c r="L689" s="170"/>
      <c r="M689" s="730"/>
      <c r="N689" s="730"/>
      <c r="O689" s="730"/>
      <c r="P689" s="731"/>
      <c r="Q689" s="731"/>
      <c r="R689" s="730"/>
      <c r="S689" s="730"/>
      <c r="T689" s="723"/>
      <c r="U689" s="724"/>
      <c r="V689" s="725"/>
      <c r="W689" s="725"/>
      <c r="X689" s="723"/>
      <c r="Y689" s="723"/>
      <c r="Z689" s="723"/>
      <c r="AA689" s="726"/>
      <c r="AB689" s="726"/>
      <c r="AC689" s="170"/>
      <c r="AD689" s="586">
        <f t="shared" si="901"/>
        <v>0</v>
      </c>
      <c r="AE689" s="586">
        <f t="shared" si="901"/>
        <v>0</v>
      </c>
      <c r="AF689" s="586">
        <f t="shared" si="901"/>
        <v>0</v>
      </c>
      <c r="AG689" s="586">
        <f t="shared" si="901"/>
        <v>0</v>
      </c>
      <c r="AH689" s="586">
        <f t="shared" si="901"/>
        <v>0</v>
      </c>
      <c r="AI689" s="586">
        <f t="shared" si="901"/>
        <v>0</v>
      </c>
      <c r="AJ689" s="586">
        <f t="shared" si="901"/>
        <v>0</v>
      </c>
      <c r="AK689" s="586">
        <f t="shared" si="901"/>
        <v>0</v>
      </c>
      <c r="AL689" s="586">
        <f t="shared" si="901"/>
        <v>0</v>
      </c>
      <c r="AM689" s="586">
        <f t="shared" si="901"/>
        <v>0</v>
      </c>
      <c r="AN689" s="586">
        <f t="shared" si="901"/>
        <v>0</v>
      </c>
      <c r="AO689" s="586">
        <f t="shared" si="901"/>
        <v>0</v>
      </c>
      <c r="AP689" s="586">
        <f t="shared" si="901"/>
        <v>0</v>
      </c>
      <c r="AQ689" s="586">
        <f t="shared" si="901"/>
        <v>0</v>
      </c>
      <c r="AR689" s="586">
        <f t="shared" si="901"/>
        <v>0</v>
      </c>
      <c r="AS689" s="586">
        <f t="shared" si="901"/>
        <v>0</v>
      </c>
      <c r="AT689" s="170"/>
      <c r="AU689" s="170"/>
      <c r="AV689" s="721"/>
      <c r="AW689" s="828"/>
      <c r="AX689" s="726"/>
    </row>
    <row r="690" spans="1:50" ht="15" hidden="1" x14ac:dyDescent="0.25">
      <c r="A690" s="721"/>
      <c r="B690" s="904"/>
      <c r="C690" s="170" t="str">
        <f t="shared" si="902"/>
        <v>66ea</v>
      </c>
      <c r="D690" s="721"/>
      <c r="E690" s="721"/>
      <c r="F690" s="170">
        <f>+Parameters!D69</f>
        <v>66</v>
      </c>
      <c r="G690" s="170" t="str">
        <f>+Parameters!E69</f>
        <v>Misc. Eqt - LA's</v>
      </c>
      <c r="H690" s="586">
        <f t="shared" si="903"/>
        <v>0</v>
      </c>
      <c r="I690" s="170" t="str">
        <f>+Parameters!F69</f>
        <v>ea</v>
      </c>
      <c r="J690" s="170"/>
      <c r="K690" s="170"/>
      <c r="L690" s="170"/>
      <c r="M690" s="730"/>
      <c r="N690" s="730"/>
      <c r="O690" s="730"/>
      <c r="P690" s="731"/>
      <c r="Q690" s="731"/>
      <c r="R690" s="730"/>
      <c r="S690" s="730"/>
      <c r="T690" s="723"/>
      <c r="U690" s="724"/>
      <c r="V690" s="725"/>
      <c r="W690" s="725"/>
      <c r="X690" s="723"/>
      <c r="Y690" s="723"/>
      <c r="Z690" s="723"/>
      <c r="AA690" s="726"/>
      <c r="AB690" s="726"/>
      <c r="AC690" s="170"/>
      <c r="AD690" s="586">
        <f t="shared" si="901"/>
        <v>0</v>
      </c>
      <c r="AE690" s="586">
        <f t="shared" si="901"/>
        <v>0</v>
      </c>
      <c r="AF690" s="586">
        <f t="shared" si="901"/>
        <v>0</v>
      </c>
      <c r="AG690" s="586">
        <f t="shared" si="901"/>
        <v>0</v>
      </c>
      <c r="AH690" s="586">
        <f t="shared" si="901"/>
        <v>0</v>
      </c>
      <c r="AI690" s="586">
        <f t="shared" si="901"/>
        <v>0</v>
      </c>
      <c r="AJ690" s="586">
        <f t="shared" si="901"/>
        <v>0</v>
      </c>
      <c r="AK690" s="586">
        <f t="shared" si="901"/>
        <v>0</v>
      </c>
      <c r="AL690" s="586">
        <f t="shared" si="901"/>
        <v>0</v>
      </c>
      <c r="AM690" s="586">
        <f t="shared" si="901"/>
        <v>0</v>
      </c>
      <c r="AN690" s="586">
        <f t="shared" si="901"/>
        <v>0</v>
      </c>
      <c r="AO690" s="586">
        <f t="shared" si="901"/>
        <v>0</v>
      </c>
      <c r="AP690" s="586">
        <f t="shared" si="901"/>
        <v>0</v>
      </c>
      <c r="AQ690" s="586">
        <f t="shared" si="901"/>
        <v>0</v>
      </c>
      <c r="AR690" s="586">
        <f t="shared" si="901"/>
        <v>0</v>
      </c>
      <c r="AS690" s="586">
        <f t="shared" si="901"/>
        <v>0</v>
      </c>
      <c r="AT690" s="170"/>
      <c r="AU690" s="170"/>
      <c r="AV690" s="721"/>
      <c r="AW690" s="828"/>
      <c r="AX690" s="726"/>
    </row>
    <row r="691" spans="1:50" ht="15" hidden="1" x14ac:dyDescent="0.25">
      <c r="A691" s="721"/>
      <c r="B691" s="904"/>
      <c r="C691" s="170" t="str">
        <f t="shared" si="902"/>
        <v>67ea</v>
      </c>
      <c r="D691" s="721"/>
      <c r="E691" s="721"/>
      <c r="F691" s="170">
        <f>+Parameters!D70</f>
        <v>67</v>
      </c>
      <c r="G691" s="170" t="str">
        <f>+Parameters!E70</f>
        <v>Misc. Eqt - CCVT</v>
      </c>
      <c r="H691" s="586">
        <f t="shared" si="903"/>
        <v>0</v>
      </c>
      <c r="I691" s="170" t="str">
        <f>+Parameters!F70</f>
        <v>ea</v>
      </c>
      <c r="J691" s="170"/>
      <c r="K691" s="170"/>
      <c r="L691" s="170"/>
      <c r="M691" s="730"/>
      <c r="N691" s="730"/>
      <c r="O691" s="730"/>
      <c r="P691" s="731"/>
      <c r="Q691" s="731"/>
      <c r="R691" s="730"/>
      <c r="S691" s="730"/>
      <c r="T691" s="723"/>
      <c r="U691" s="724"/>
      <c r="V691" s="725"/>
      <c r="W691" s="725"/>
      <c r="X691" s="723"/>
      <c r="Y691" s="723"/>
      <c r="Z691" s="723"/>
      <c r="AA691" s="726"/>
      <c r="AB691" s="726"/>
      <c r="AC691" s="170"/>
      <c r="AD691" s="586">
        <f t="shared" si="901"/>
        <v>0</v>
      </c>
      <c r="AE691" s="586">
        <f t="shared" si="901"/>
        <v>0</v>
      </c>
      <c r="AF691" s="586">
        <f t="shared" si="901"/>
        <v>0</v>
      </c>
      <c r="AG691" s="586">
        <f t="shared" si="901"/>
        <v>0</v>
      </c>
      <c r="AH691" s="586">
        <f t="shared" si="901"/>
        <v>0</v>
      </c>
      <c r="AI691" s="586">
        <f t="shared" si="901"/>
        <v>0</v>
      </c>
      <c r="AJ691" s="586">
        <f t="shared" si="901"/>
        <v>0</v>
      </c>
      <c r="AK691" s="586">
        <f t="shared" si="901"/>
        <v>0</v>
      </c>
      <c r="AL691" s="586">
        <f t="shared" si="901"/>
        <v>0</v>
      </c>
      <c r="AM691" s="586">
        <f t="shared" si="901"/>
        <v>0</v>
      </c>
      <c r="AN691" s="586">
        <f t="shared" si="901"/>
        <v>0</v>
      </c>
      <c r="AO691" s="586">
        <f t="shared" si="901"/>
        <v>0</v>
      </c>
      <c r="AP691" s="586">
        <f t="shared" si="901"/>
        <v>0</v>
      </c>
      <c r="AQ691" s="586">
        <f t="shared" si="901"/>
        <v>0</v>
      </c>
      <c r="AR691" s="586">
        <f t="shared" si="901"/>
        <v>0</v>
      </c>
      <c r="AS691" s="586">
        <f t="shared" si="901"/>
        <v>0</v>
      </c>
      <c r="AT691" s="170"/>
      <c r="AU691" s="170"/>
      <c r="AV691" s="721"/>
      <c r="AW691" s="828"/>
      <c r="AX691" s="726"/>
    </row>
    <row r="692" spans="1:50" ht="15" hidden="1" x14ac:dyDescent="0.25">
      <c r="A692" s="721"/>
      <c r="B692" s="904"/>
      <c r="C692" s="170" t="str">
        <f t="shared" si="902"/>
        <v>680</v>
      </c>
      <c r="D692" s="721"/>
      <c r="E692" s="721"/>
      <c r="F692" s="170">
        <f>+Parameters!D71</f>
        <v>68</v>
      </c>
      <c r="G692" s="170">
        <f>+Parameters!E71</f>
        <v>0</v>
      </c>
      <c r="H692" s="586">
        <f t="shared" si="903"/>
        <v>0</v>
      </c>
      <c r="I692" s="170">
        <f>+Parameters!F71</f>
        <v>0</v>
      </c>
      <c r="J692" s="170"/>
      <c r="K692" s="170"/>
      <c r="L692" s="170"/>
      <c r="M692" s="730"/>
      <c r="N692" s="730"/>
      <c r="O692" s="730"/>
      <c r="P692" s="731"/>
      <c r="Q692" s="731"/>
      <c r="R692" s="730"/>
      <c r="S692" s="730"/>
      <c r="T692" s="723"/>
      <c r="U692" s="724"/>
      <c r="V692" s="725"/>
      <c r="W692" s="725"/>
      <c r="X692" s="723"/>
      <c r="Y692" s="723"/>
      <c r="Z692" s="723"/>
      <c r="AA692" s="726"/>
      <c r="AB692" s="726"/>
      <c r="AC692" s="170"/>
      <c r="AD692" s="586">
        <f t="shared" si="901"/>
        <v>0</v>
      </c>
      <c r="AE692" s="586">
        <f t="shared" si="901"/>
        <v>0</v>
      </c>
      <c r="AF692" s="586">
        <f t="shared" si="901"/>
        <v>0</v>
      </c>
      <c r="AG692" s="586">
        <f t="shared" si="901"/>
        <v>0</v>
      </c>
      <c r="AH692" s="586">
        <f t="shared" si="901"/>
        <v>0</v>
      </c>
      <c r="AI692" s="586">
        <f t="shared" si="901"/>
        <v>0</v>
      </c>
      <c r="AJ692" s="586">
        <f t="shared" si="901"/>
        <v>0</v>
      </c>
      <c r="AK692" s="586">
        <f t="shared" si="901"/>
        <v>0</v>
      </c>
      <c r="AL692" s="586">
        <f t="shared" si="901"/>
        <v>0</v>
      </c>
      <c r="AM692" s="586">
        <f t="shared" si="901"/>
        <v>0</v>
      </c>
      <c r="AN692" s="586">
        <f t="shared" si="901"/>
        <v>0</v>
      </c>
      <c r="AO692" s="586">
        <f t="shared" si="901"/>
        <v>0</v>
      </c>
      <c r="AP692" s="586">
        <f t="shared" si="901"/>
        <v>0</v>
      </c>
      <c r="AQ692" s="586">
        <f t="shared" si="901"/>
        <v>0</v>
      </c>
      <c r="AR692" s="586">
        <f t="shared" si="901"/>
        <v>0</v>
      </c>
      <c r="AS692" s="586">
        <f t="shared" si="901"/>
        <v>0</v>
      </c>
      <c r="AT692" s="170"/>
      <c r="AU692" s="170"/>
      <c r="AV692" s="721"/>
      <c r="AW692" s="828"/>
      <c r="AX692" s="726"/>
    </row>
    <row r="693" spans="1:50" ht="15" hidden="1" x14ac:dyDescent="0.25">
      <c r="A693" s="721"/>
      <c r="B693" s="904"/>
      <c r="C693" s="170" t="str">
        <f t="shared" si="902"/>
        <v>69ea</v>
      </c>
      <c r="D693" s="721"/>
      <c r="E693" s="721"/>
      <c r="F693" s="170">
        <f>+Parameters!D72</f>
        <v>69</v>
      </c>
      <c r="G693" s="170" t="str">
        <f>+Parameters!E72</f>
        <v>Misc. Eqt - Other</v>
      </c>
      <c r="H693" s="586">
        <f t="shared" si="903"/>
        <v>0</v>
      </c>
      <c r="I693" s="170" t="str">
        <f>+Parameters!F72</f>
        <v>ea</v>
      </c>
      <c r="J693" s="170"/>
      <c r="K693" s="170"/>
      <c r="L693" s="170"/>
      <c r="M693" s="730"/>
      <c r="N693" s="730"/>
      <c r="O693" s="730"/>
      <c r="P693" s="731"/>
      <c r="Q693" s="731"/>
      <c r="R693" s="730"/>
      <c r="S693" s="730"/>
      <c r="T693" s="723"/>
      <c r="U693" s="724"/>
      <c r="V693" s="725"/>
      <c r="W693" s="725"/>
      <c r="X693" s="723"/>
      <c r="Y693" s="723"/>
      <c r="Z693" s="723"/>
      <c r="AA693" s="726"/>
      <c r="AB693" s="726"/>
      <c r="AC693" s="170"/>
      <c r="AD693" s="586">
        <f t="shared" si="901"/>
        <v>0</v>
      </c>
      <c r="AE693" s="586">
        <f t="shared" si="901"/>
        <v>0</v>
      </c>
      <c r="AF693" s="586">
        <f t="shared" si="901"/>
        <v>0</v>
      </c>
      <c r="AG693" s="586">
        <f t="shared" si="901"/>
        <v>0</v>
      </c>
      <c r="AH693" s="586">
        <f t="shared" si="901"/>
        <v>0</v>
      </c>
      <c r="AI693" s="586">
        <f t="shared" si="901"/>
        <v>0</v>
      </c>
      <c r="AJ693" s="586">
        <f t="shared" si="901"/>
        <v>0</v>
      </c>
      <c r="AK693" s="586">
        <f t="shared" si="901"/>
        <v>0</v>
      </c>
      <c r="AL693" s="586">
        <f t="shared" si="901"/>
        <v>0</v>
      </c>
      <c r="AM693" s="586">
        <f t="shared" si="901"/>
        <v>0</v>
      </c>
      <c r="AN693" s="586">
        <f t="shared" si="901"/>
        <v>0</v>
      </c>
      <c r="AO693" s="586">
        <f t="shared" si="901"/>
        <v>0</v>
      </c>
      <c r="AP693" s="586">
        <f t="shared" si="901"/>
        <v>0</v>
      </c>
      <c r="AQ693" s="586">
        <f t="shared" si="901"/>
        <v>0</v>
      </c>
      <c r="AR693" s="586">
        <f t="shared" si="901"/>
        <v>0</v>
      </c>
      <c r="AS693" s="586">
        <f t="shared" si="901"/>
        <v>0</v>
      </c>
      <c r="AT693" s="170"/>
      <c r="AU693" s="170"/>
      <c r="AV693" s="721"/>
      <c r="AW693" s="828"/>
      <c r="AX693" s="726"/>
    </row>
    <row r="694" spans="1:50" ht="15" hidden="1" x14ac:dyDescent="0.25">
      <c r="A694" s="721"/>
      <c r="B694" s="904"/>
      <c r="C694" s="170" t="str">
        <f t="shared" si="902"/>
        <v>700</v>
      </c>
      <c r="D694" s="721"/>
      <c r="E694" s="721"/>
      <c r="F694" s="170">
        <f>+Parameters!D73</f>
        <v>70</v>
      </c>
      <c r="G694" s="170" t="str">
        <f>+Parameters!E73</f>
        <v>Control house Buidling</v>
      </c>
      <c r="H694" s="586">
        <f t="shared" si="903"/>
        <v>0</v>
      </c>
      <c r="I694" s="170">
        <f>+Parameters!F73</f>
        <v>0</v>
      </c>
      <c r="J694" s="170"/>
      <c r="K694" s="170"/>
      <c r="L694" s="170"/>
      <c r="M694" s="730"/>
      <c r="N694" s="730"/>
      <c r="O694" s="730"/>
      <c r="P694" s="731"/>
      <c r="Q694" s="731"/>
      <c r="R694" s="730"/>
      <c r="S694" s="730"/>
      <c r="T694" s="723"/>
      <c r="U694" s="724"/>
      <c r="V694" s="725"/>
      <c r="W694" s="725"/>
      <c r="X694" s="723"/>
      <c r="Y694" s="723"/>
      <c r="Z694" s="723"/>
      <c r="AA694" s="726"/>
      <c r="AB694" s="726"/>
      <c r="AC694" s="170"/>
      <c r="AD694" s="586">
        <f t="shared" si="901"/>
        <v>0</v>
      </c>
      <c r="AE694" s="586">
        <f t="shared" si="901"/>
        <v>0</v>
      </c>
      <c r="AF694" s="586">
        <f t="shared" si="901"/>
        <v>0</v>
      </c>
      <c r="AG694" s="586">
        <f t="shared" si="901"/>
        <v>0</v>
      </c>
      <c r="AH694" s="586">
        <f t="shared" si="901"/>
        <v>0</v>
      </c>
      <c r="AI694" s="586">
        <f t="shared" si="901"/>
        <v>0</v>
      </c>
      <c r="AJ694" s="586">
        <f t="shared" si="901"/>
        <v>0</v>
      </c>
      <c r="AK694" s="586">
        <f t="shared" si="901"/>
        <v>0</v>
      </c>
      <c r="AL694" s="586">
        <f t="shared" si="901"/>
        <v>0</v>
      </c>
      <c r="AM694" s="586">
        <f t="shared" si="901"/>
        <v>0</v>
      </c>
      <c r="AN694" s="586">
        <f t="shared" si="901"/>
        <v>0</v>
      </c>
      <c r="AO694" s="586">
        <f t="shared" si="901"/>
        <v>0</v>
      </c>
      <c r="AP694" s="586">
        <f t="shared" si="901"/>
        <v>0</v>
      </c>
      <c r="AQ694" s="586">
        <f t="shared" si="901"/>
        <v>0</v>
      </c>
      <c r="AR694" s="586">
        <f t="shared" si="901"/>
        <v>0</v>
      </c>
      <c r="AS694" s="586">
        <f t="shared" si="901"/>
        <v>0</v>
      </c>
      <c r="AT694" s="170"/>
      <c r="AU694" s="170"/>
      <c r="AV694" s="721"/>
      <c r="AW694" s="828"/>
      <c r="AX694" s="726"/>
    </row>
    <row r="695" spans="1:50" ht="15" hidden="1" x14ac:dyDescent="0.25">
      <c r="A695" s="721"/>
      <c r="B695" s="904"/>
      <c r="C695" s="170" t="str">
        <f t="shared" si="902"/>
        <v>710</v>
      </c>
      <c r="D695" s="721"/>
      <c r="E695" s="721"/>
      <c r="F695" s="170">
        <f>+Parameters!D74</f>
        <v>71</v>
      </c>
      <c r="G695" s="170" t="str">
        <f>+Parameters!E74</f>
        <v>Pre-Eng Building</v>
      </c>
      <c r="H695" s="586">
        <f t="shared" si="903"/>
        <v>0</v>
      </c>
      <c r="I695" s="170">
        <f>+Parameters!F74</f>
        <v>0</v>
      </c>
      <c r="J695" s="170"/>
      <c r="K695" s="170"/>
      <c r="L695" s="170"/>
      <c r="M695" s="730"/>
      <c r="N695" s="730"/>
      <c r="O695" s="730"/>
      <c r="P695" s="731"/>
      <c r="Q695" s="731"/>
      <c r="R695" s="730"/>
      <c r="S695" s="730"/>
      <c r="T695" s="723"/>
      <c r="U695" s="724"/>
      <c r="V695" s="725"/>
      <c r="W695" s="725"/>
      <c r="X695" s="723"/>
      <c r="Y695" s="723"/>
      <c r="Z695" s="723"/>
      <c r="AA695" s="726"/>
      <c r="AB695" s="726"/>
      <c r="AC695" s="170"/>
      <c r="AD695" s="586">
        <f t="shared" ref="AD695:AS704" si="904">SUMIF($F$9:$F$620,$F695,AD$9:AD$620)</f>
        <v>0</v>
      </c>
      <c r="AE695" s="586">
        <f t="shared" si="904"/>
        <v>0</v>
      </c>
      <c r="AF695" s="586">
        <f t="shared" si="904"/>
        <v>0</v>
      </c>
      <c r="AG695" s="586">
        <f t="shared" si="904"/>
        <v>0</v>
      </c>
      <c r="AH695" s="586">
        <f t="shared" si="904"/>
        <v>0</v>
      </c>
      <c r="AI695" s="586">
        <f t="shared" si="904"/>
        <v>0</v>
      </c>
      <c r="AJ695" s="586">
        <f t="shared" si="904"/>
        <v>0</v>
      </c>
      <c r="AK695" s="586">
        <f t="shared" si="904"/>
        <v>0</v>
      </c>
      <c r="AL695" s="586">
        <f t="shared" si="904"/>
        <v>0</v>
      </c>
      <c r="AM695" s="586">
        <f t="shared" si="904"/>
        <v>0</v>
      </c>
      <c r="AN695" s="586">
        <f t="shared" si="904"/>
        <v>0</v>
      </c>
      <c r="AO695" s="586">
        <f t="shared" si="904"/>
        <v>0</v>
      </c>
      <c r="AP695" s="586">
        <f t="shared" si="904"/>
        <v>0</v>
      </c>
      <c r="AQ695" s="586">
        <f t="shared" si="904"/>
        <v>0</v>
      </c>
      <c r="AR695" s="586">
        <f t="shared" si="904"/>
        <v>0</v>
      </c>
      <c r="AS695" s="586">
        <f t="shared" si="904"/>
        <v>0</v>
      </c>
      <c r="AT695" s="170"/>
      <c r="AU695" s="170"/>
      <c r="AV695" s="721"/>
      <c r="AW695" s="828"/>
      <c r="AX695" s="726"/>
    </row>
    <row r="696" spans="1:50" ht="15" hidden="1" x14ac:dyDescent="0.25">
      <c r="A696" s="721"/>
      <c r="B696" s="904"/>
      <c r="C696" s="170" t="str">
        <f t="shared" si="902"/>
        <v>720</v>
      </c>
      <c r="D696" s="721"/>
      <c r="E696" s="721"/>
      <c r="F696" s="170">
        <f>+Parameters!D75</f>
        <v>72</v>
      </c>
      <c r="G696" s="170">
        <f>+Parameters!E75</f>
        <v>0</v>
      </c>
      <c r="H696" s="586">
        <f t="shared" si="903"/>
        <v>0</v>
      </c>
      <c r="I696" s="170">
        <f>+Parameters!F75</f>
        <v>0</v>
      </c>
      <c r="J696" s="170"/>
      <c r="K696" s="170"/>
      <c r="L696" s="170"/>
      <c r="M696" s="730"/>
      <c r="N696" s="730"/>
      <c r="O696" s="730"/>
      <c r="P696" s="731"/>
      <c r="Q696" s="731"/>
      <c r="R696" s="730"/>
      <c r="S696" s="730"/>
      <c r="T696" s="723"/>
      <c r="U696" s="724"/>
      <c r="V696" s="725"/>
      <c r="W696" s="725"/>
      <c r="X696" s="723"/>
      <c r="Y696" s="723"/>
      <c r="Z696" s="723"/>
      <c r="AA696" s="726"/>
      <c r="AB696" s="726"/>
      <c r="AC696" s="170"/>
      <c r="AD696" s="586">
        <f t="shared" si="904"/>
        <v>0</v>
      </c>
      <c r="AE696" s="586">
        <f t="shared" si="904"/>
        <v>0</v>
      </c>
      <c r="AF696" s="586">
        <f t="shared" si="904"/>
        <v>0</v>
      </c>
      <c r="AG696" s="586">
        <f t="shared" si="904"/>
        <v>0</v>
      </c>
      <c r="AH696" s="586">
        <f t="shared" si="904"/>
        <v>0</v>
      </c>
      <c r="AI696" s="586">
        <f t="shared" si="904"/>
        <v>0</v>
      </c>
      <c r="AJ696" s="586">
        <f t="shared" si="904"/>
        <v>0</v>
      </c>
      <c r="AK696" s="586">
        <f t="shared" si="904"/>
        <v>0</v>
      </c>
      <c r="AL696" s="586">
        <f t="shared" si="904"/>
        <v>0</v>
      </c>
      <c r="AM696" s="586">
        <f t="shared" si="904"/>
        <v>0</v>
      </c>
      <c r="AN696" s="586">
        <f t="shared" si="904"/>
        <v>0</v>
      </c>
      <c r="AO696" s="586">
        <f t="shared" si="904"/>
        <v>0</v>
      </c>
      <c r="AP696" s="586">
        <f t="shared" si="904"/>
        <v>0</v>
      </c>
      <c r="AQ696" s="586">
        <f t="shared" si="904"/>
        <v>0</v>
      </c>
      <c r="AR696" s="586">
        <f t="shared" si="904"/>
        <v>0</v>
      </c>
      <c r="AS696" s="586">
        <f t="shared" si="904"/>
        <v>0</v>
      </c>
      <c r="AT696" s="170"/>
      <c r="AU696" s="170"/>
      <c r="AV696" s="721"/>
      <c r="AW696" s="828"/>
      <c r="AX696" s="726"/>
    </row>
    <row r="697" spans="1:50" ht="15" hidden="1" x14ac:dyDescent="0.25">
      <c r="A697" s="721"/>
      <c r="B697" s="904"/>
      <c r="C697" s="170" t="str">
        <f t="shared" si="902"/>
        <v>730</v>
      </c>
      <c r="D697" s="721"/>
      <c r="E697" s="721"/>
      <c r="F697" s="170">
        <f>+Parameters!D76</f>
        <v>73</v>
      </c>
      <c r="G697" s="170">
        <f>+Parameters!E76</f>
        <v>0</v>
      </c>
      <c r="H697" s="586">
        <f t="shared" si="903"/>
        <v>0</v>
      </c>
      <c r="I697" s="170">
        <f>+Parameters!F76</f>
        <v>0</v>
      </c>
      <c r="J697" s="170"/>
      <c r="K697" s="170"/>
      <c r="L697" s="170"/>
      <c r="M697" s="730"/>
      <c r="N697" s="730"/>
      <c r="O697" s="730"/>
      <c r="P697" s="731"/>
      <c r="Q697" s="731"/>
      <c r="R697" s="730"/>
      <c r="S697" s="730"/>
      <c r="T697" s="723"/>
      <c r="U697" s="724"/>
      <c r="V697" s="725"/>
      <c r="W697" s="725"/>
      <c r="X697" s="723"/>
      <c r="Y697" s="723"/>
      <c r="Z697" s="723"/>
      <c r="AA697" s="726"/>
      <c r="AB697" s="726"/>
      <c r="AC697" s="170"/>
      <c r="AD697" s="586">
        <f t="shared" si="904"/>
        <v>0</v>
      </c>
      <c r="AE697" s="586">
        <f t="shared" si="904"/>
        <v>0</v>
      </c>
      <c r="AF697" s="586">
        <f t="shared" si="904"/>
        <v>0</v>
      </c>
      <c r="AG697" s="586">
        <f t="shared" si="904"/>
        <v>0</v>
      </c>
      <c r="AH697" s="586">
        <f t="shared" si="904"/>
        <v>0</v>
      </c>
      <c r="AI697" s="586">
        <f t="shared" si="904"/>
        <v>0</v>
      </c>
      <c r="AJ697" s="586">
        <f t="shared" si="904"/>
        <v>0</v>
      </c>
      <c r="AK697" s="586">
        <f t="shared" si="904"/>
        <v>0</v>
      </c>
      <c r="AL697" s="586">
        <f t="shared" si="904"/>
        <v>0</v>
      </c>
      <c r="AM697" s="586">
        <f t="shared" si="904"/>
        <v>0</v>
      </c>
      <c r="AN697" s="586">
        <f t="shared" si="904"/>
        <v>0</v>
      </c>
      <c r="AO697" s="586">
        <f t="shared" si="904"/>
        <v>0</v>
      </c>
      <c r="AP697" s="586">
        <f t="shared" si="904"/>
        <v>0</v>
      </c>
      <c r="AQ697" s="586">
        <f t="shared" si="904"/>
        <v>0</v>
      </c>
      <c r="AR697" s="586">
        <f t="shared" si="904"/>
        <v>0</v>
      </c>
      <c r="AS697" s="586">
        <f t="shared" si="904"/>
        <v>0</v>
      </c>
      <c r="AT697" s="170"/>
      <c r="AU697" s="170"/>
      <c r="AV697" s="721"/>
      <c r="AW697" s="828"/>
      <c r="AX697" s="726"/>
    </row>
    <row r="698" spans="1:50" ht="15" hidden="1" x14ac:dyDescent="0.25">
      <c r="A698" s="721"/>
      <c r="B698" s="904"/>
      <c r="C698" s="170" t="str">
        <f t="shared" si="902"/>
        <v>740</v>
      </c>
      <c r="D698" s="721"/>
      <c r="E698" s="721"/>
      <c r="F698" s="170">
        <f>+Parameters!D77</f>
        <v>74</v>
      </c>
      <c r="G698" s="170">
        <f>+Parameters!E77</f>
        <v>0</v>
      </c>
      <c r="H698" s="586">
        <f t="shared" si="903"/>
        <v>0</v>
      </c>
      <c r="I698" s="170">
        <f>+Parameters!F77</f>
        <v>0</v>
      </c>
      <c r="J698" s="170"/>
      <c r="K698" s="170"/>
      <c r="L698" s="170"/>
      <c r="M698" s="730"/>
      <c r="N698" s="730"/>
      <c r="O698" s="730"/>
      <c r="P698" s="731"/>
      <c r="Q698" s="731"/>
      <c r="R698" s="730"/>
      <c r="S698" s="730"/>
      <c r="T698" s="723"/>
      <c r="U698" s="724"/>
      <c r="V698" s="725"/>
      <c r="W698" s="725"/>
      <c r="X698" s="723"/>
      <c r="Y698" s="723"/>
      <c r="Z698" s="723"/>
      <c r="AA698" s="726"/>
      <c r="AB698" s="726"/>
      <c r="AC698" s="170"/>
      <c r="AD698" s="586">
        <f t="shared" si="904"/>
        <v>0</v>
      </c>
      <c r="AE698" s="586">
        <f t="shared" si="904"/>
        <v>0</v>
      </c>
      <c r="AF698" s="586">
        <f t="shared" si="904"/>
        <v>0</v>
      </c>
      <c r="AG698" s="586">
        <f t="shared" si="904"/>
        <v>0</v>
      </c>
      <c r="AH698" s="586">
        <f t="shared" si="904"/>
        <v>0</v>
      </c>
      <c r="AI698" s="586">
        <f t="shared" si="904"/>
        <v>0</v>
      </c>
      <c r="AJ698" s="586">
        <f t="shared" si="904"/>
        <v>0</v>
      </c>
      <c r="AK698" s="586">
        <f t="shared" si="904"/>
        <v>0</v>
      </c>
      <c r="AL698" s="586">
        <f t="shared" si="904"/>
        <v>0</v>
      </c>
      <c r="AM698" s="586">
        <f t="shared" si="904"/>
        <v>0</v>
      </c>
      <c r="AN698" s="586">
        <f t="shared" si="904"/>
        <v>0</v>
      </c>
      <c r="AO698" s="586">
        <f t="shared" si="904"/>
        <v>0</v>
      </c>
      <c r="AP698" s="586">
        <f t="shared" si="904"/>
        <v>0</v>
      </c>
      <c r="AQ698" s="586">
        <f t="shared" si="904"/>
        <v>0</v>
      </c>
      <c r="AR698" s="586">
        <f t="shared" si="904"/>
        <v>0</v>
      </c>
      <c r="AS698" s="586">
        <f t="shared" si="904"/>
        <v>0</v>
      </c>
      <c r="AT698" s="170"/>
      <c r="AU698" s="170"/>
      <c r="AV698" s="721"/>
      <c r="AW698" s="828"/>
      <c r="AX698" s="726"/>
    </row>
    <row r="699" spans="1:50" ht="15" hidden="1" x14ac:dyDescent="0.25">
      <c r="A699" s="721"/>
      <c r="B699" s="904"/>
      <c r="C699" s="170" t="str">
        <f t="shared" si="902"/>
        <v>750</v>
      </c>
      <c r="D699" s="721"/>
      <c r="E699" s="721"/>
      <c r="F699" s="170">
        <f>+Parameters!D78</f>
        <v>75</v>
      </c>
      <c r="G699" s="170">
        <f>+Parameters!E78</f>
        <v>0</v>
      </c>
      <c r="H699" s="586">
        <f t="shared" si="903"/>
        <v>0</v>
      </c>
      <c r="I699" s="170">
        <f>+Parameters!F78</f>
        <v>0</v>
      </c>
      <c r="J699" s="170"/>
      <c r="K699" s="170"/>
      <c r="L699" s="170"/>
      <c r="M699" s="730"/>
      <c r="N699" s="730"/>
      <c r="O699" s="730"/>
      <c r="P699" s="731"/>
      <c r="Q699" s="731"/>
      <c r="R699" s="730"/>
      <c r="S699" s="730"/>
      <c r="T699" s="723"/>
      <c r="U699" s="724"/>
      <c r="V699" s="725"/>
      <c r="W699" s="725"/>
      <c r="X699" s="723"/>
      <c r="Y699" s="723"/>
      <c r="Z699" s="723"/>
      <c r="AA699" s="726"/>
      <c r="AB699" s="726"/>
      <c r="AC699" s="170"/>
      <c r="AD699" s="586">
        <f t="shared" si="904"/>
        <v>0</v>
      </c>
      <c r="AE699" s="586">
        <f t="shared" si="904"/>
        <v>0</v>
      </c>
      <c r="AF699" s="586">
        <f t="shared" si="904"/>
        <v>0</v>
      </c>
      <c r="AG699" s="586">
        <f t="shared" si="904"/>
        <v>0</v>
      </c>
      <c r="AH699" s="586">
        <f t="shared" si="904"/>
        <v>0</v>
      </c>
      <c r="AI699" s="586">
        <f t="shared" si="904"/>
        <v>0</v>
      </c>
      <c r="AJ699" s="586">
        <f t="shared" si="904"/>
        <v>0</v>
      </c>
      <c r="AK699" s="586">
        <f t="shared" si="904"/>
        <v>0</v>
      </c>
      <c r="AL699" s="586">
        <f t="shared" si="904"/>
        <v>0</v>
      </c>
      <c r="AM699" s="586">
        <f t="shared" si="904"/>
        <v>0</v>
      </c>
      <c r="AN699" s="586">
        <f t="shared" si="904"/>
        <v>0</v>
      </c>
      <c r="AO699" s="586">
        <f t="shared" si="904"/>
        <v>0</v>
      </c>
      <c r="AP699" s="586">
        <f t="shared" si="904"/>
        <v>0</v>
      </c>
      <c r="AQ699" s="586">
        <f t="shared" si="904"/>
        <v>0</v>
      </c>
      <c r="AR699" s="586">
        <f t="shared" si="904"/>
        <v>0</v>
      </c>
      <c r="AS699" s="586">
        <f t="shared" si="904"/>
        <v>0</v>
      </c>
      <c r="AT699" s="170"/>
      <c r="AU699" s="170"/>
      <c r="AV699" s="721"/>
      <c r="AW699" s="828"/>
      <c r="AX699" s="726"/>
    </row>
    <row r="700" spans="1:50" ht="15" hidden="1" x14ac:dyDescent="0.25">
      <c r="A700" s="721"/>
      <c r="B700" s="904"/>
      <c r="C700" s="170" t="str">
        <f t="shared" si="902"/>
        <v>760</v>
      </c>
      <c r="D700" s="721"/>
      <c r="E700" s="721"/>
      <c r="F700" s="170">
        <f>+Parameters!D79</f>
        <v>76</v>
      </c>
      <c r="G700" s="170">
        <f>+Parameters!E79</f>
        <v>0</v>
      </c>
      <c r="H700" s="586">
        <f t="shared" si="903"/>
        <v>0</v>
      </c>
      <c r="I700" s="170">
        <f>+Parameters!F79</f>
        <v>0</v>
      </c>
      <c r="J700" s="170"/>
      <c r="K700" s="170"/>
      <c r="L700" s="170"/>
      <c r="M700" s="730"/>
      <c r="N700" s="730"/>
      <c r="O700" s="730"/>
      <c r="P700" s="731"/>
      <c r="Q700" s="731"/>
      <c r="R700" s="730"/>
      <c r="S700" s="730"/>
      <c r="T700" s="723"/>
      <c r="U700" s="724"/>
      <c r="V700" s="725"/>
      <c r="W700" s="725"/>
      <c r="X700" s="723"/>
      <c r="Y700" s="723"/>
      <c r="Z700" s="723"/>
      <c r="AA700" s="726"/>
      <c r="AB700" s="726"/>
      <c r="AC700" s="170"/>
      <c r="AD700" s="586">
        <f t="shared" si="904"/>
        <v>0</v>
      </c>
      <c r="AE700" s="586">
        <f t="shared" si="904"/>
        <v>0</v>
      </c>
      <c r="AF700" s="586">
        <f t="shared" si="904"/>
        <v>0</v>
      </c>
      <c r="AG700" s="586">
        <f t="shared" si="904"/>
        <v>0</v>
      </c>
      <c r="AH700" s="586">
        <f t="shared" si="904"/>
        <v>0</v>
      </c>
      <c r="AI700" s="586">
        <f t="shared" si="904"/>
        <v>0</v>
      </c>
      <c r="AJ700" s="586">
        <f t="shared" si="904"/>
        <v>0</v>
      </c>
      <c r="AK700" s="586">
        <f t="shared" si="904"/>
        <v>0</v>
      </c>
      <c r="AL700" s="586">
        <f t="shared" si="904"/>
        <v>0</v>
      </c>
      <c r="AM700" s="586">
        <f t="shared" si="904"/>
        <v>0</v>
      </c>
      <c r="AN700" s="586">
        <f t="shared" si="904"/>
        <v>0</v>
      </c>
      <c r="AO700" s="586">
        <f t="shared" si="904"/>
        <v>0</v>
      </c>
      <c r="AP700" s="586">
        <f t="shared" si="904"/>
        <v>0</v>
      </c>
      <c r="AQ700" s="586">
        <f t="shared" si="904"/>
        <v>0</v>
      </c>
      <c r="AR700" s="586">
        <f t="shared" si="904"/>
        <v>0</v>
      </c>
      <c r="AS700" s="586">
        <f t="shared" si="904"/>
        <v>0</v>
      </c>
      <c r="AT700" s="170"/>
      <c r="AU700" s="170"/>
      <c r="AV700" s="721"/>
      <c r="AW700" s="828"/>
      <c r="AX700" s="726"/>
    </row>
    <row r="701" spans="1:50" ht="15" hidden="1" x14ac:dyDescent="0.25">
      <c r="A701" s="721"/>
      <c r="B701" s="904"/>
      <c r="C701" s="170" t="str">
        <f t="shared" si="902"/>
        <v>770</v>
      </c>
      <c r="D701" s="721"/>
      <c r="E701" s="721"/>
      <c r="F701" s="170">
        <f>+Parameters!D80</f>
        <v>77</v>
      </c>
      <c r="G701" s="170">
        <f>+Parameters!E80</f>
        <v>0</v>
      </c>
      <c r="H701" s="586">
        <f t="shared" si="903"/>
        <v>0</v>
      </c>
      <c r="I701" s="170">
        <f>+Parameters!F80</f>
        <v>0</v>
      </c>
      <c r="J701" s="170"/>
      <c r="K701" s="170"/>
      <c r="L701" s="170"/>
      <c r="M701" s="730"/>
      <c r="N701" s="730"/>
      <c r="O701" s="730"/>
      <c r="P701" s="731"/>
      <c r="Q701" s="731"/>
      <c r="R701" s="730"/>
      <c r="S701" s="730"/>
      <c r="T701" s="723"/>
      <c r="U701" s="724"/>
      <c r="V701" s="725"/>
      <c r="W701" s="725"/>
      <c r="X701" s="723"/>
      <c r="Y701" s="723"/>
      <c r="Z701" s="723"/>
      <c r="AA701" s="726"/>
      <c r="AB701" s="726"/>
      <c r="AC701" s="170"/>
      <c r="AD701" s="586">
        <f t="shared" si="904"/>
        <v>0</v>
      </c>
      <c r="AE701" s="586">
        <f t="shared" si="904"/>
        <v>0</v>
      </c>
      <c r="AF701" s="586">
        <f t="shared" si="904"/>
        <v>0</v>
      </c>
      <c r="AG701" s="586">
        <f t="shared" si="904"/>
        <v>0</v>
      </c>
      <c r="AH701" s="586">
        <f t="shared" si="904"/>
        <v>0</v>
      </c>
      <c r="AI701" s="586">
        <f t="shared" si="904"/>
        <v>0</v>
      </c>
      <c r="AJ701" s="586">
        <f t="shared" si="904"/>
        <v>0</v>
      </c>
      <c r="AK701" s="586">
        <f t="shared" si="904"/>
        <v>0</v>
      </c>
      <c r="AL701" s="586">
        <f t="shared" si="904"/>
        <v>0</v>
      </c>
      <c r="AM701" s="586">
        <f t="shared" si="904"/>
        <v>0</v>
      </c>
      <c r="AN701" s="586">
        <f t="shared" si="904"/>
        <v>0</v>
      </c>
      <c r="AO701" s="586">
        <f t="shared" si="904"/>
        <v>0</v>
      </c>
      <c r="AP701" s="586">
        <f t="shared" si="904"/>
        <v>0</v>
      </c>
      <c r="AQ701" s="586">
        <f t="shared" si="904"/>
        <v>0</v>
      </c>
      <c r="AR701" s="586">
        <f t="shared" si="904"/>
        <v>0</v>
      </c>
      <c r="AS701" s="586">
        <f t="shared" si="904"/>
        <v>0</v>
      </c>
      <c r="AT701" s="170"/>
      <c r="AU701" s="170"/>
      <c r="AV701" s="721"/>
      <c r="AW701" s="828"/>
      <c r="AX701" s="726"/>
    </row>
    <row r="702" spans="1:50" ht="15" hidden="1" x14ac:dyDescent="0.25">
      <c r="A702" s="721"/>
      <c r="B702" s="904"/>
      <c r="C702" s="170" t="str">
        <f t="shared" si="902"/>
        <v>780</v>
      </c>
      <c r="D702" s="721"/>
      <c r="E702" s="721"/>
      <c r="F702" s="170">
        <f>+Parameters!D81</f>
        <v>78</v>
      </c>
      <c r="G702" s="170">
        <f>+Parameters!E81</f>
        <v>0</v>
      </c>
      <c r="H702" s="586">
        <f t="shared" si="903"/>
        <v>0</v>
      </c>
      <c r="I702" s="170">
        <f>+Parameters!F81</f>
        <v>0</v>
      </c>
      <c r="J702" s="170"/>
      <c r="K702" s="170"/>
      <c r="L702" s="170"/>
      <c r="M702" s="730"/>
      <c r="N702" s="730"/>
      <c r="O702" s="730"/>
      <c r="P702" s="731"/>
      <c r="Q702" s="731"/>
      <c r="R702" s="730"/>
      <c r="S702" s="730"/>
      <c r="T702" s="723"/>
      <c r="U702" s="724"/>
      <c r="V702" s="725"/>
      <c r="W702" s="725"/>
      <c r="X702" s="723"/>
      <c r="Y702" s="723"/>
      <c r="Z702" s="723"/>
      <c r="AA702" s="726"/>
      <c r="AB702" s="726"/>
      <c r="AC702" s="170"/>
      <c r="AD702" s="586">
        <f t="shared" si="904"/>
        <v>0</v>
      </c>
      <c r="AE702" s="586">
        <f t="shared" si="904"/>
        <v>0</v>
      </c>
      <c r="AF702" s="586">
        <f t="shared" si="904"/>
        <v>0</v>
      </c>
      <c r="AG702" s="586">
        <f t="shared" si="904"/>
        <v>0</v>
      </c>
      <c r="AH702" s="586">
        <f t="shared" si="904"/>
        <v>0</v>
      </c>
      <c r="AI702" s="586">
        <f t="shared" si="904"/>
        <v>0</v>
      </c>
      <c r="AJ702" s="586">
        <f t="shared" si="904"/>
        <v>0</v>
      </c>
      <c r="AK702" s="586">
        <f t="shared" si="904"/>
        <v>0</v>
      </c>
      <c r="AL702" s="586">
        <f t="shared" si="904"/>
        <v>0</v>
      </c>
      <c r="AM702" s="586">
        <f t="shared" si="904"/>
        <v>0</v>
      </c>
      <c r="AN702" s="586">
        <f t="shared" si="904"/>
        <v>0</v>
      </c>
      <c r="AO702" s="586">
        <f t="shared" si="904"/>
        <v>0</v>
      </c>
      <c r="AP702" s="586">
        <f t="shared" si="904"/>
        <v>0</v>
      </c>
      <c r="AQ702" s="586">
        <f t="shared" si="904"/>
        <v>0</v>
      </c>
      <c r="AR702" s="586">
        <f t="shared" si="904"/>
        <v>0</v>
      </c>
      <c r="AS702" s="586">
        <f t="shared" si="904"/>
        <v>0</v>
      </c>
      <c r="AT702" s="170"/>
      <c r="AU702" s="170"/>
      <c r="AV702" s="721"/>
      <c r="AW702" s="828"/>
      <c r="AX702" s="726"/>
    </row>
    <row r="703" spans="1:50" ht="15" hidden="1" x14ac:dyDescent="0.25">
      <c r="A703" s="721"/>
      <c r="B703" s="904"/>
      <c r="C703" s="170" t="str">
        <f t="shared" si="902"/>
        <v>790</v>
      </c>
      <c r="D703" s="721"/>
      <c r="E703" s="721"/>
      <c r="F703" s="170">
        <f>+Parameters!D82</f>
        <v>79</v>
      </c>
      <c r="G703" s="170">
        <f>+Parameters!E82</f>
        <v>0</v>
      </c>
      <c r="H703" s="586">
        <f t="shared" si="903"/>
        <v>0</v>
      </c>
      <c r="I703" s="170">
        <f>+Parameters!F82</f>
        <v>0</v>
      </c>
      <c r="J703" s="170"/>
      <c r="K703" s="170"/>
      <c r="L703" s="170"/>
      <c r="M703" s="730"/>
      <c r="N703" s="730"/>
      <c r="O703" s="730"/>
      <c r="P703" s="731"/>
      <c r="Q703" s="731"/>
      <c r="R703" s="730"/>
      <c r="S703" s="730"/>
      <c r="T703" s="723"/>
      <c r="U703" s="724"/>
      <c r="V703" s="725"/>
      <c r="W703" s="725"/>
      <c r="X703" s="723"/>
      <c r="Y703" s="723"/>
      <c r="Z703" s="723"/>
      <c r="AA703" s="726"/>
      <c r="AB703" s="726"/>
      <c r="AC703" s="170"/>
      <c r="AD703" s="586">
        <f t="shared" si="904"/>
        <v>0</v>
      </c>
      <c r="AE703" s="586">
        <f t="shared" si="904"/>
        <v>0</v>
      </c>
      <c r="AF703" s="586">
        <f t="shared" si="904"/>
        <v>0</v>
      </c>
      <c r="AG703" s="586">
        <f t="shared" si="904"/>
        <v>0</v>
      </c>
      <c r="AH703" s="586">
        <f t="shared" si="904"/>
        <v>0</v>
      </c>
      <c r="AI703" s="586">
        <f t="shared" si="904"/>
        <v>0</v>
      </c>
      <c r="AJ703" s="586">
        <f t="shared" si="904"/>
        <v>0</v>
      </c>
      <c r="AK703" s="586">
        <f t="shared" si="904"/>
        <v>0</v>
      </c>
      <c r="AL703" s="586">
        <f t="shared" si="904"/>
        <v>0</v>
      </c>
      <c r="AM703" s="586">
        <f t="shared" si="904"/>
        <v>0</v>
      </c>
      <c r="AN703" s="586">
        <f t="shared" si="904"/>
        <v>0</v>
      </c>
      <c r="AO703" s="586">
        <f t="shared" si="904"/>
        <v>0</v>
      </c>
      <c r="AP703" s="586">
        <f t="shared" si="904"/>
        <v>0</v>
      </c>
      <c r="AQ703" s="586">
        <f t="shared" si="904"/>
        <v>0</v>
      </c>
      <c r="AR703" s="586">
        <f t="shared" si="904"/>
        <v>0</v>
      </c>
      <c r="AS703" s="586">
        <f t="shared" si="904"/>
        <v>0</v>
      </c>
      <c r="AT703" s="170"/>
      <c r="AU703" s="170"/>
      <c r="AV703" s="721"/>
      <c r="AW703" s="828"/>
      <c r="AX703" s="726"/>
    </row>
    <row r="704" spans="1:50" ht="15" hidden="1" x14ac:dyDescent="0.25">
      <c r="A704" s="721"/>
      <c r="B704" s="904"/>
      <c r="C704" s="170" t="str">
        <f t="shared" si="902"/>
        <v>800</v>
      </c>
      <c r="D704" s="721"/>
      <c r="E704" s="721"/>
      <c r="F704" s="170">
        <f>+Parameters!D83</f>
        <v>80</v>
      </c>
      <c r="G704" s="170" t="str">
        <f>+Parameters!E83</f>
        <v>Protection and Controls</v>
      </c>
      <c r="H704" s="586">
        <f t="shared" si="903"/>
        <v>0</v>
      </c>
      <c r="I704" s="170">
        <f>+Parameters!F83</f>
        <v>0</v>
      </c>
      <c r="J704" s="170"/>
      <c r="K704" s="170"/>
      <c r="L704" s="170"/>
      <c r="M704" s="730"/>
      <c r="N704" s="730"/>
      <c r="O704" s="730"/>
      <c r="P704" s="731"/>
      <c r="Q704" s="731"/>
      <c r="R704" s="730"/>
      <c r="S704" s="730"/>
      <c r="T704" s="723"/>
      <c r="U704" s="724"/>
      <c r="V704" s="725"/>
      <c r="W704" s="725"/>
      <c r="X704" s="723"/>
      <c r="Y704" s="723"/>
      <c r="Z704" s="723"/>
      <c r="AA704" s="726"/>
      <c r="AB704" s="726"/>
      <c r="AC704" s="170"/>
      <c r="AD704" s="586">
        <f t="shared" si="904"/>
        <v>0</v>
      </c>
      <c r="AE704" s="586">
        <f t="shared" si="904"/>
        <v>0</v>
      </c>
      <c r="AF704" s="586">
        <f t="shared" si="904"/>
        <v>0</v>
      </c>
      <c r="AG704" s="586">
        <f t="shared" si="904"/>
        <v>0</v>
      </c>
      <c r="AH704" s="586">
        <f t="shared" si="904"/>
        <v>0</v>
      </c>
      <c r="AI704" s="586">
        <f t="shared" si="904"/>
        <v>0</v>
      </c>
      <c r="AJ704" s="586">
        <f t="shared" si="904"/>
        <v>0</v>
      </c>
      <c r="AK704" s="586">
        <f t="shared" si="904"/>
        <v>0</v>
      </c>
      <c r="AL704" s="586">
        <f t="shared" si="904"/>
        <v>0</v>
      </c>
      <c r="AM704" s="586">
        <f t="shared" si="904"/>
        <v>0</v>
      </c>
      <c r="AN704" s="586">
        <f t="shared" si="904"/>
        <v>0</v>
      </c>
      <c r="AO704" s="586">
        <f t="shared" si="904"/>
        <v>0</v>
      </c>
      <c r="AP704" s="586">
        <f t="shared" si="904"/>
        <v>0</v>
      </c>
      <c r="AQ704" s="586">
        <f t="shared" si="904"/>
        <v>0</v>
      </c>
      <c r="AR704" s="586">
        <f t="shared" si="904"/>
        <v>0</v>
      </c>
      <c r="AS704" s="586">
        <f t="shared" si="904"/>
        <v>0</v>
      </c>
      <c r="AT704" s="170"/>
      <c r="AU704" s="170"/>
      <c r="AV704" s="721"/>
      <c r="AW704" s="828"/>
      <c r="AX704" s="726"/>
    </row>
    <row r="705" spans="1:50" ht="15" hidden="1" x14ac:dyDescent="0.25">
      <c r="A705" s="721"/>
      <c r="B705" s="904"/>
      <c r="C705" s="170" t="str">
        <f t="shared" si="902"/>
        <v>81ea</v>
      </c>
      <c r="D705" s="721"/>
      <c r="E705" s="721"/>
      <c r="F705" s="170">
        <f>+Parameters!D84</f>
        <v>81</v>
      </c>
      <c r="G705" s="170" t="str">
        <f>+Parameters!E84</f>
        <v>Relays</v>
      </c>
      <c r="H705" s="586">
        <f t="shared" si="903"/>
        <v>0</v>
      </c>
      <c r="I705" s="170" t="str">
        <f>+Parameters!F84</f>
        <v>ea</v>
      </c>
      <c r="J705" s="170"/>
      <c r="K705" s="170"/>
      <c r="L705" s="170"/>
      <c r="M705" s="730"/>
      <c r="N705" s="730"/>
      <c r="O705" s="730"/>
      <c r="P705" s="731"/>
      <c r="Q705" s="731"/>
      <c r="R705" s="730"/>
      <c r="S705" s="730"/>
      <c r="T705" s="723"/>
      <c r="U705" s="724"/>
      <c r="V705" s="725"/>
      <c r="W705" s="725"/>
      <c r="X705" s="723"/>
      <c r="Y705" s="723"/>
      <c r="Z705" s="723"/>
      <c r="AA705" s="726"/>
      <c r="AB705" s="726"/>
      <c r="AC705" s="170"/>
      <c r="AD705" s="586">
        <f t="shared" ref="AD705:AS714" si="905">SUMIF($F$9:$F$620,$F705,AD$9:AD$620)</f>
        <v>0</v>
      </c>
      <c r="AE705" s="586">
        <f t="shared" si="905"/>
        <v>0</v>
      </c>
      <c r="AF705" s="586">
        <f t="shared" si="905"/>
        <v>0</v>
      </c>
      <c r="AG705" s="586">
        <f t="shared" si="905"/>
        <v>0</v>
      </c>
      <c r="AH705" s="586">
        <f t="shared" si="905"/>
        <v>0</v>
      </c>
      <c r="AI705" s="586">
        <f t="shared" si="905"/>
        <v>0</v>
      </c>
      <c r="AJ705" s="586">
        <f t="shared" si="905"/>
        <v>0</v>
      </c>
      <c r="AK705" s="586">
        <f t="shared" si="905"/>
        <v>0</v>
      </c>
      <c r="AL705" s="586">
        <f t="shared" si="905"/>
        <v>0</v>
      </c>
      <c r="AM705" s="586">
        <f t="shared" si="905"/>
        <v>0</v>
      </c>
      <c r="AN705" s="586">
        <f t="shared" si="905"/>
        <v>0</v>
      </c>
      <c r="AO705" s="586">
        <f t="shared" si="905"/>
        <v>0</v>
      </c>
      <c r="AP705" s="586">
        <f t="shared" si="905"/>
        <v>0</v>
      </c>
      <c r="AQ705" s="586">
        <f t="shared" si="905"/>
        <v>0</v>
      </c>
      <c r="AR705" s="586">
        <f t="shared" si="905"/>
        <v>0</v>
      </c>
      <c r="AS705" s="586">
        <f t="shared" si="905"/>
        <v>0</v>
      </c>
      <c r="AT705" s="170"/>
      <c r="AU705" s="170"/>
      <c r="AV705" s="721"/>
      <c r="AW705" s="828"/>
      <c r="AX705" s="726"/>
    </row>
    <row r="706" spans="1:50" ht="15" hidden="1" x14ac:dyDescent="0.25">
      <c r="A706" s="721"/>
      <c r="B706" s="904"/>
      <c r="C706" s="170" t="str">
        <f t="shared" si="902"/>
        <v>82ea</v>
      </c>
      <c r="D706" s="721"/>
      <c r="E706" s="721"/>
      <c r="F706" s="170">
        <f>+Parameters!D85</f>
        <v>82</v>
      </c>
      <c r="G706" s="170" t="str">
        <f>+Parameters!E85</f>
        <v>Cabinets</v>
      </c>
      <c r="H706" s="586">
        <f t="shared" si="903"/>
        <v>0</v>
      </c>
      <c r="I706" s="170" t="str">
        <f>+Parameters!F85</f>
        <v>ea</v>
      </c>
      <c r="J706" s="170"/>
      <c r="K706" s="170"/>
      <c r="L706" s="170"/>
      <c r="M706" s="730"/>
      <c r="N706" s="730"/>
      <c r="O706" s="730"/>
      <c r="P706" s="731"/>
      <c r="Q706" s="731"/>
      <c r="R706" s="730"/>
      <c r="S706" s="730"/>
      <c r="T706" s="723"/>
      <c r="U706" s="724"/>
      <c r="V706" s="725"/>
      <c r="W706" s="725"/>
      <c r="X706" s="723"/>
      <c r="Y706" s="723"/>
      <c r="Z706" s="723"/>
      <c r="AA706" s="726"/>
      <c r="AB706" s="726"/>
      <c r="AC706" s="170"/>
      <c r="AD706" s="586">
        <f t="shared" si="905"/>
        <v>0</v>
      </c>
      <c r="AE706" s="586">
        <f t="shared" si="905"/>
        <v>0</v>
      </c>
      <c r="AF706" s="586">
        <f t="shared" si="905"/>
        <v>0</v>
      </c>
      <c r="AG706" s="586">
        <f t="shared" si="905"/>
        <v>0</v>
      </c>
      <c r="AH706" s="586">
        <f t="shared" si="905"/>
        <v>0</v>
      </c>
      <c r="AI706" s="586">
        <f t="shared" si="905"/>
        <v>0</v>
      </c>
      <c r="AJ706" s="586">
        <f t="shared" si="905"/>
        <v>0</v>
      </c>
      <c r="AK706" s="586">
        <f t="shared" si="905"/>
        <v>0</v>
      </c>
      <c r="AL706" s="586">
        <f t="shared" si="905"/>
        <v>0</v>
      </c>
      <c r="AM706" s="586">
        <f t="shared" si="905"/>
        <v>0</v>
      </c>
      <c r="AN706" s="586">
        <f t="shared" si="905"/>
        <v>0</v>
      </c>
      <c r="AO706" s="586">
        <f t="shared" si="905"/>
        <v>0</v>
      </c>
      <c r="AP706" s="586">
        <f t="shared" si="905"/>
        <v>0</v>
      </c>
      <c r="AQ706" s="586">
        <f t="shared" si="905"/>
        <v>0</v>
      </c>
      <c r="AR706" s="586">
        <f t="shared" si="905"/>
        <v>0</v>
      </c>
      <c r="AS706" s="586">
        <f t="shared" si="905"/>
        <v>0</v>
      </c>
      <c r="AT706" s="170"/>
      <c r="AU706" s="170"/>
      <c r="AV706" s="721"/>
      <c r="AW706" s="828"/>
      <c r="AX706" s="726"/>
    </row>
    <row r="707" spans="1:50" ht="15" hidden="1" x14ac:dyDescent="0.25">
      <c r="A707" s="721"/>
      <c r="B707" s="904"/>
      <c r="C707" s="170" t="str">
        <f t="shared" si="902"/>
        <v>83ea</v>
      </c>
      <c r="D707" s="721"/>
      <c r="E707" s="721"/>
      <c r="F707" s="170">
        <f>+Parameters!D86</f>
        <v>83</v>
      </c>
      <c r="G707" s="170" t="str">
        <f>+Parameters!E86</f>
        <v>Comm. Eqt</v>
      </c>
      <c r="H707" s="586">
        <f t="shared" si="903"/>
        <v>0</v>
      </c>
      <c r="I707" s="170" t="str">
        <f>+Parameters!F86</f>
        <v>ea</v>
      </c>
      <c r="J707" s="170"/>
      <c r="K707" s="170"/>
      <c r="L707" s="170"/>
      <c r="M707" s="730"/>
      <c r="N707" s="730"/>
      <c r="O707" s="730"/>
      <c r="P707" s="731"/>
      <c r="Q707" s="731"/>
      <c r="R707" s="730"/>
      <c r="S707" s="730"/>
      <c r="T707" s="723"/>
      <c r="U707" s="724"/>
      <c r="V707" s="725"/>
      <c r="W707" s="725"/>
      <c r="X707" s="723"/>
      <c r="Y707" s="723"/>
      <c r="Z707" s="723"/>
      <c r="AA707" s="726"/>
      <c r="AB707" s="726"/>
      <c r="AC707" s="170"/>
      <c r="AD707" s="586">
        <f t="shared" si="905"/>
        <v>0</v>
      </c>
      <c r="AE707" s="586">
        <f t="shared" si="905"/>
        <v>0</v>
      </c>
      <c r="AF707" s="586">
        <f t="shared" si="905"/>
        <v>0</v>
      </c>
      <c r="AG707" s="586">
        <f t="shared" si="905"/>
        <v>0</v>
      </c>
      <c r="AH707" s="586">
        <f t="shared" si="905"/>
        <v>0</v>
      </c>
      <c r="AI707" s="586">
        <f t="shared" si="905"/>
        <v>0</v>
      </c>
      <c r="AJ707" s="586">
        <f t="shared" si="905"/>
        <v>0</v>
      </c>
      <c r="AK707" s="586">
        <f t="shared" si="905"/>
        <v>0</v>
      </c>
      <c r="AL707" s="586">
        <f t="shared" si="905"/>
        <v>0</v>
      </c>
      <c r="AM707" s="586">
        <f t="shared" si="905"/>
        <v>0</v>
      </c>
      <c r="AN707" s="586">
        <f t="shared" si="905"/>
        <v>0</v>
      </c>
      <c r="AO707" s="586">
        <f t="shared" si="905"/>
        <v>0</v>
      </c>
      <c r="AP707" s="586">
        <f t="shared" si="905"/>
        <v>0</v>
      </c>
      <c r="AQ707" s="586">
        <f t="shared" si="905"/>
        <v>0</v>
      </c>
      <c r="AR707" s="586">
        <f t="shared" si="905"/>
        <v>0</v>
      </c>
      <c r="AS707" s="586">
        <f t="shared" si="905"/>
        <v>0</v>
      </c>
      <c r="AT707" s="170"/>
      <c r="AU707" s="170"/>
      <c r="AV707" s="721"/>
      <c r="AW707" s="828"/>
      <c r="AX707" s="726"/>
    </row>
    <row r="708" spans="1:50" ht="15" hidden="1" x14ac:dyDescent="0.25">
      <c r="A708" s="721"/>
      <c r="B708" s="904"/>
      <c r="C708" s="170" t="str">
        <f t="shared" si="902"/>
        <v>84ea</v>
      </c>
      <c r="D708" s="721"/>
      <c r="E708" s="721"/>
      <c r="F708" s="170">
        <f>+Parameters!D87</f>
        <v>84</v>
      </c>
      <c r="G708" s="170" t="str">
        <f>+Parameters!E87</f>
        <v>SCADA</v>
      </c>
      <c r="H708" s="586">
        <f t="shared" si="903"/>
        <v>0</v>
      </c>
      <c r="I708" s="170" t="str">
        <f>+Parameters!F87</f>
        <v>ea</v>
      </c>
      <c r="J708" s="170"/>
      <c r="K708" s="170"/>
      <c r="L708" s="170"/>
      <c r="M708" s="730"/>
      <c r="N708" s="730"/>
      <c r="O708" s="730"/>
      <c r="P708" s="731"/>
      <c r="Q708" s="731"/>
      <c r="R708" s="730"/>
      <c r="S708" s="730"/>
      <c r="T708" s="723"/>
      <c r="U708" s="724"/>
      <c r="V708" s="725"/>
      <c r="W708" s="725"/>
      <c r="X708" s="723"/>
      <c r="Y708" s="723"/>
      <c r="Z708" s="723"/>
      <c r="AA708" s="726"/>
      <c r="AB708" s="726"/>
      <c r="AC708" s="170"/>
      <c r="AD708" s="586">
        <f t="shared" si="905"/>
        <v>0</v>
      </c>
      <c r="AE708" s="586">
        <f t="shared" si="905"/>
        <v>0</v>
      </c>
      <c r="AF708" s="586">
        <f t="shared" si="905"/>
        <v>0</v>
      </c>
      <c r="AG708" s="586">
        <f t="shared" si="905"/>
        <v>0</v>
      </c>
      <c r="AH708" s="586">
        <f t="shared" si="905"/>
        <v>0</v>
      </c>
      <c r="AI708" s="586">
        <f t="shared" si="905"/>
        <v>0</v>
      </c>
      <c r="AJ708" s="586">
        <f t="shared" si="905"/>
        <v>0</v>
      </c>
      <c r="AK708" s="586">
        <f t="shared" si="905"/>
        <v>0</v>
      </c>
      <c r="AL708" s="586">
        <f t="shared" si="905"/>
        <v>0</v>
      </c>
      <c r="AM708" s="586">
        <f t="shared" si="905"/>
        <v>0</v>
      </c>
      <c r="AN708" s="586">
        <f t="shared" si="905"/>
        <v>0</v>
      </c>
      <c r="AO708" s="586">
        <f t="shared" si="905"/>
        <v>0</v>
      </c>
      <c r="AP708" s="586">
        <f t="shared" si="905"/>
        <v>0</v>
      </c>
      <c r="AQ708" s="586">
        <f t="shared" si="905"/>
        <v>0</v>
      </c>
      <c r="AR708" s="586">
        <f t="shared" si="905"/>
        <v>0</v>
      </c>
      <c r="AS708" s="586">
        <f t="shared" si="905"/>
        <v>0</v>
      </c>
      <c r="AT708" s="170"/>
      <c r="AU708" s="170"/>
      <c r="AV708" s="721"/>
      <c r="AW708" s="828"/>
      <c r="AX708" s="726"/>
    </row>
    <row r="709" spans="1:50" ht="15" hidden="1" x14ac:dyDescent="0.25">
      <c r="A709" s="721"/>
      <c r="B709" s="904"/>
      <c r="C709" s="170" t="str">
        <f t="shared" si="902"/>
        <v>85ea</v>
      </c>
      <c r="D709" s="721"/>
      <c r="E709" s="721"/>
      <c r="F709" s="170">
        <f>+Parameters!D88</f>
        <v>85</v>
      </c>
      <c r="G709" s="170" t="str">
        <f>+Parameters!E88</f>
        <v>Batteries</v>
      </c>
      <c r="H709" s="586">
        <f t="shared" si="903"/>
        <v>0</v>
      </c>
      <c r="I709" s="170" t="str">
        <f>+Parameters!F88</f>
        <v>ea</v>
      </c>
      <c r="J709" s="170"/>
      <c r="K709" s="170"/>
      <c r="L709" s="170"/>
      <c r="M709" s="730"/>
      <c r="N709" s="730"/>
      <c r="O709" s="730"/>
      <c r="P709" s="731"/>
      <c r="Q709" s="731"/>
      <c r="R709" s="730"/>
      <c r="S709" s="730"/>
      <c r="T709" s="723"/>
      <c r="U709" s="724"/>
      <c r="V709" s="725"/>
      <c r="W709" s="725"/>
      <c r="X709" s="723"/>
      <c r="Y709" s="723"/>
      <c r="Z709" s="723"/>
      <c r="AA709" s="726"/>
      <c r="AB709" s="726"/>
      <c r="AC709" s="170"/>
      <c r="AD709" s="586">
        <f t="shared" si="905"/>
        <v>0</v>
      </c>
      <c r="AE709" s="586">
        <f t="shared" si="905"/>
        <v>0</v>
      </c>
      <c r="AF709" s="586">
        <f t="shared" si="905"/>
        <v>0</v>
      </c>
      <c r="AG709" s="586">
        <f t="shared" si="905"/>
        <v>0</v>
      </c>
      <c r="AH709" s="586">
        <f t="shared" si="905"/>
        <v>0</v>
      </c>
      <c r="AI709" s="586">
        <f t="shared" si="905"/>
        <v>0</v>
      </c>
      <c r="AJ709" s="586">
        <f t="shared" si="905"/>
        <v>0</v>
      </c>
      <c r="AK709" s="586">
        <f t="shared" si="905"/>
        <v>0</v>
      </c>
      <c r="AL709" s="586">
        <f t="shared" si="905"/>
        <v>0</v>
      </c>
      <c r="AM709" s="586">
        <f t="shared" si="905"/>
        <v>0</v>
      </c>
      <c r="AN709" s="586">
        <f t="shared" si="905"/>
        <v>0</v>
      </c>
      <c r="AO709" s="586">
        <f t="shared" si="905"/>
        <v>0</v>
      </c>
      <c r="AP709" s="586">
        <f t="shared" si="905"/>
        <v>0</v>
      </c>
      <c r="AQ709" s="586">
        <f t="shared" si="905"/>
        <v>0</v>
      </c>
      <c r="AR709" s="586">
        <f t="shared" si="905"/>
        <v>0</v>
      </c>
      <c r="AS709" s="586">
        <f t="shared" si="905"/>
        <v>0</v>
      </c>
      <c r="AT709" s="170"/>
      <c r="AU709" s="170"/>
      <c r="AV709" s="721"/>
      <c r="AW709" s="828"/>
      <c r="AX709" s="726"/>
    </row>
    <row r="710" spans="1:50" ht="15" hidden="1" x14ac:dyDescent="0.25">
      <c r="A710" s="721"/>
      <c r="B710" s="904"/>
      <c r="C710" s="170" t="str">
        <f t="shared" si="902"/>
        <v>860</v>
      </c>
      <c r="D710" s="721"/>
      <c r="E710" s="721"/>
      <c r="F710" s="170">
        <f>+Parameters!D89</f>
        <v>86</v>
      </c>
      <c r="G710" s="170">
        <f>+Parameters!E89</f>
        <v>0</v>
      </c>
      <c r="H710" s="586">
        <f t="shared" si="903"/>
        <v>0</v>
      </c>
      <c r="I710" s="170">
        <f>+Parameters!F89</f>
        <v>0</v>
      </c>
      <c r="J710" s="170"/>
      <c r="K710" s="170"/>
      <c r="L710" s="170"/>
      <c r="M710" s="730"/>
      <c r="N710" s="730"/>
      <c r="O710" s="730"/>
      <c r="P710" s="731"/>
      <c r="Q710" s="731"/>
      <c r="R710" s="730"/>
      <c r="S710" s="730"/>
      <c r="T710" s="723"/>
      <c r="U710" s="724"/>
      <c r="V710" s="725"/>
      <c r="W710" s="725"/>
      <c r="X710" s="723"/>
      <c r="Y710" s="723"/>
      <c r="Z710" s="723"/>
      <c r="AA710" s="726"/>
      <c r="AB710" s="726"/>
      <c r="AC710" s="170"/>
      <c r="AD710" s="586">
        <f t="shared" si="905"/>
        <v>0</v>
      </c>
      <c r="AE710" s="586">
        <f t="shared" si="905"/>
        <v>0</v>
      </c>
      <c r="AF710" s="586">
        <f t="shared" si="905"/>
        <v>0</v>
      </c>
      <c r="AG710" s="586">
        <f t="shared" si="905"/>
        <v>0</v>
      </c>
      <c r="AH710" s="586">
        <f t="shared" si="905"/>
        <v>0</v>
      </c>
      <c r="AI710" s="586">
        <f t="shared" si="905"/>
        <v>0</v>
      </c>
      <c r="AJ710" s="586">
        <f t="shared" si="905"/>
        <v>0</v>
      </c>
      <c r="AK710" s="586">
        <f t="shared" si="905"/>
        <v>0</v>
      </c>
      <c r="AL710" s="586">
        <f t="shared" si="905"/>
        <v>0</v>
      </c>
      <c r="AM710" s="586">
        <f t="shared" si="905"/>
        <v>0</v>
      </c>
      <c r="AN710" s="586">
        <f t="shared" si="905"/>
        <v>0</v>
      </c>
      <c r="AO710" s="586">
        <f t="shared" si="905"/>
        <v>0</v>
      </c>
      <c r="AP710" s="586">
        <f t="shared" si="905"/>
        <v>0</v>
      </c>
      <c r="AQ710" s="586">
        <f t="shared" si="905"/>
        <v>0</v>
      </c>
      <c r="AR710" s="586">
        <f t="shared" si="905"/>
        <v>0</v>
      </c>
      <c r="AS710" s="586">
        <f t="shared" si="905"/>
        <v>0</v>
      </c>
      <c r="AT710" s="170"/>
      <c r="AU710" s="170"/>
      <c r="AV710" s="721"/>
      <c r="AW710" s="828"/>
      <c r="AX710" s="726"/>
    </row>
    <row r="711" spans="1:50" ht="15" hidden="1" x14ac:dyDescent="0.25">
      <c r="A711" s="721"/>
      <c r="B711" s="904"/>
      <c r="C711" s="170" t="str">
        <f t="shared" si="902"/>
        <v>870</v>
      </c>
      <c r="D711" s="721"/>
      <c r="E711" s="721"/>
      <c r="F711" s="170">
        <f>+Parameters!D90</f>
        <v>87</v>
      </c>
      <c r="G711" s="170">
        <f>+Parameters!E90</f>
        <v>0</v>
      </c>
      <c r="H711" s="586">
        <f t="shared" si="903"/>
        <v>0</v>
      </c>
      <c r="I711" s="170">
        <f>+Parameters!F90</f>
        <v>0</v>
      </c>
      <c r="J711" s="170"/>
      <c r="K711" s="170"/>
      <c r="L711" s="170"/>
      <c r="M711" s="730"/>
      <c r="N711" s="730"/>
      <c r="O711" s="730"/>
      <c r="P711" s="731"/>
      <c r="Q711" s="731"/>
      <c r="R711" s="730"/>
      <c r="S711" s="730"/>
      <c r="T711" s="723"/>
      <c r="U711" s="724"/>
      <c r="V711" s="725"/>
      <c r="W711" s="725"/>
      <c r="X711" s="723"/>
      <c r="Y711" s="723"/>
      <c r="Z711" s="723"/>
      <c r="AA711" s="726"/>
      <c r="AB711" s="726"/>
      <c r="AC711" s="170"/>
      <c r="AD711" s="586">
        <f t="shared" si="905"/>
        <v>0</v>
      </c>
      <c r="AE711" s="586">
        <f t="shared" si="905"/>
        <v>0</v>
      </c>
      <c r="AF711" s="586">
        <f t="shared" si="905"/>
        <v>0</v>
      </c>
      <c r="AG711" s="586">
        <f t="shared" si="905"/>
        <v>0</v>
      </c>
      <c r="AH711" s="586">
        <f t="shared" si="905"/>
        <v>0</v>
      </c>
      <c r="AI711" s="586">
        <f t="shared" si="905"/>
        <v>0</v>
      </c>
      <c r="AJ711" s="586">
        <f t="shared" si="905"/>
        <v>0</v>
      </c>
      <c r="AK711" s="586">
        <f t="shared" si="905"/>
        <v>0</v>
      </c>
      <c r="AL711" s="586">
        <f t="shared" si="905"/>
        <v>0</v>
      </c>
      <c r="AM711" s="586">
        <f t="shared" si="905"/>
        <v>0</v>
      </c>
      <c r="AN711" s="586">
        <f t="shared" si="905"/>
        <v>0</v>
      </c>
      <c r="AO711" s="586">
        <f t="shared" si="905"/>
        <v>0</v>
      </c>
      <c r="AP711" s="586">
        <f t="shared" si="905"/>
        <v>0</v>
      </c>
      <c r="AQ711" s="586">
        <f t="shared" si="905"/>
        <v>0</v>
      </c>
      <c r="AR711" s="586">
        <f t="shared" si="905"/>
        <v>0</v>
      </c>
      <c r="AS711" s="586">
        <f t="shared" si="905"/>
        <v>0</v>
      </c>
      <c r="AT711" s="170"/>
      <c r="AU711" s="170"/>
      <c r="AV711" s="721"/>
      <c r="AW711" s="828"/>
      <c r="AX711" s="726"/>
    </row>
    <row r="712" spans="1:50" ht="15" hidden="1" x14ac:dyDescent="0.25">
      <c r="A712" s="721"/>
      <c r="B712" s="904"/>
      <c r="C712" s="170" t="str">
        <f t="shared" si="902"/>
        <v>880</v>
      </c>
      <c r="D712" s="721"/>
      <c r="E712" s="721"/>
      <c r="F712" s="170">
        <f>+Parameters!D91</f>
        <v>88</v>
      </c>
      <c r="G712" s="170">
        <f>+Parameters!E91</f>
        <v>0</v>
      </c>
      <c r="H712" s="586">
        <f t="shared" si="903"/>
        <v>0</v>
      </c>
      <c r="I712" s="170">
        <f>+Parameters!F91</f>
        <v>0</v>
      </c>
      <c r="J712" s="170"/>
      <c r="K712" s="170"/>
      <c r="L712" s="170"/>
      <c r="M712" s="730"/>
      <c r="N712" s="730"/>
      <c r="O712" s="730"/>
      <c r="P712" s="731"/>
      <c r="Q712" s="731"/>
      <c r="R712" s="730"/>
      <c r="S712" s="730"/>
      <c r="T712" s="723"/>
      <c r="U712" s="724"/>
      <c r="V712" s="725"/>
      <c r="W712" s="725"/>
      <c r="X712" s="723"/>
      <c r="Y712" s="723"/>
      <c r="Z712" s="723"/>
      <c r="AA712" s="726"/>
      <c r="AB712" s="726"/>
      <c r="AC712" s="170"/>
      <c r="AD712" s="586">
        <f t="shared" si="905"/>
        <v>0</v>
      </c>
      <c r="AE712" s="586">
        <f t="shared" si="905"/>
        <v>0</v>
      </c>
      <c r="AF712" s="586">
        <f t="shared" si="905"/>
        <v>0</v>
      </c>
      <c r="AG712" s="586">
        <f t="shared" si="905"/>
        <v>0</v>
      </c>
      <c r="AH712" s="586">
        <f t="shared" si="905"/>
        <v>0</v>
      </c>
      <c r="AI712" s="586">
        <f t="shared" si="905"/>
        <v>0</v>
      </c>
      <c r="AJ712" s="586">
        <f t="shared" si="905"/>
        <v>0</v>
      </c>
      <c r="AK712" s="586">
        <f t="shared" si="905"/>
        <v>0</v>
      </c>
      <c r="AL712" s="586">
        <f t="shared" si="905"/>
        <v>0</v>
      </c>
      <c r="AM712" s="586">
        <f t="shared" si="905"/>
        <v>0</v>
      </c>
      <c r="AN712" s="586">
        <f t="shared" si="905"/>
        <v>0</v>
      </c>
      <c r="AO712" s="586">
        <f t="shared" si="905"/>
        <v>0</v>
      </c>
      <c r="AP712" s="586">
        <f t="shared" si="905"/>
        <v>0</v>
      </c>
      <c r="AQ712" s="586">
        <f t="shared" si="905"/>
        <v>0</v>
      </c>
      <c r="AR712" s="586">
        <f t="shared" si="905"/>
        <v>0</v>
      </c>
      <c r="AS712" s="586">
        <f t="shared" si="905"/>
        <v>0</v>
      </c>
      <c r="AT712" s="170"/>
      <c r="AU712" s="170"/>
      <c r="AV712" s="721"/>
      <c r="AW712" s="828"/>
      <c r="AX712" s="726"/>
    </row>
    <row r="713" spans="1:50" ht="15" hidden="1" x14ac:dyDescent="0.25">
      <c r="A713" s="721"/>
      <c r="B713" s="904"/>
      <c r="C713" s="170" t="str">
        <f t="shared" si="902"/>
        <v>89ea</v>
      </c>
      <c r="D713" s="721"/>
      <c r="E713" s="721"/>
      <c r="F713" s="170">
        <f>+Parameters!D92</f>
        <v>89</v>
      </c>
      <c r="G713" s="170" t="str">
        <f>+Parameters!E92</f>
        <v>Misc. Protection and controls Eqt.</v>
      </c>
      <c r="H713" s="586">
        <f t="shared" si="903"/>
        <v>0</v>
      </c>
      <c r="I713" s="170" t="str">
        <f>+Parameters!F92</f>
        <v>ea</v>
      </c>
      <c r="J713" s="170"/>
      <c r="K713" s="170"/>
      <c r="L713" s="170"/>
      <c r="M713" s="730"/>
      <c r="N713" s="730"/>
      <c r="O713" s="730"/>
      <c r="P713" s="731"/>
      <c r="Q713" s="731"/>
      <c r="R713" s="730"/>
      <c r="S713" s="730"/>
      <c r="T713" s="723"/>
      <c r="U713" s="724"/>
      <c r="V713" s="725"/>
      <c r="W713" s="725"/>
      <c r="X713" s="723"/>
      <c r="Y713" s="723"/>
      <c r="Z713" s="723"/>
      <c r="AA713" s="726"/>
      <c r="AB713" s="726"/>
      <c r="AC713" s="170"/>
      <c r="AD713" s="586">
        <f t="shared" si="905"/>
        <v>0</v>
      </c>
      <c r="AE713" s="586">
        <f t="shared" si="905"/>
        <v>0</v>
      </c>
      <c r="AF713" s="586">
        <f t="shared" si="905"/>
        <v>0</v>
      </c>
      <c r="AG713" s="586">
        <f t="shared" si="905"/>
        <v>0</v>
      </c>
      <c r="AH713" s="586">
        <f t="shared" si="905"/>
        <v>0</v>
      </c>
      <c r="AI713" s="586">
        <f t="shared" si="905"/>
        <v>0</v>
      </c>
      <c r="AJ713" s="586">
        <f t="shared" si="905"/>
        <v>0</v>
      </c>
      <c r="AK713" s="586">
        <f t="shared" si="905"/>
        <v>0</v>
      </c>
      <c r="AL713" s="586">
        <f t="shared" si="905"/>
        <v>0</v>
      </c>
      <c r="AM713" s="586">
        <f t="shared" si="905"/>
        <v>0</v>
      </c>
      <c r="AN713" s="586">
        <f t="shared" si="905"/>
        <v>0</v>
      </c>
      <c r="AO713" s="586">
        <f t="shared" si="905"/>
        <v>0</v>
      </c>
      <c r="AP713" s="586">
        <f t="shared" si="905"/>
        <v>0</v>
      </c>
      <c r="AQ713" s="586">
        <f t="shared" si="905"/>
        <v>0</v>
      </c>
      <c r="AR713" s="586">
        <f t="shared" si="905"/>
        <v>0</v>
      </c>
      <c r="AS713" s="586">
        <f t="shared" si="905"/>
        <v>0</v>
      </c>
      <c r="AT713" s="170"/>
      <c r="AU713" s="170"/>
      <c r="AV713" s="721"/>
      <c r="AW713" s="828"/>
      <c r="AX713" s="726"/>
    </row>
    <row r="714" spans="1:50" ht="15" hidden="1" x14ac:dyDescent="0.25">
      <c r="A714" s="721"/>
      <c r="B714" s="904"/>
      <c r="C714" s="170" t="str">
        <f t="shared" si="902"/>
        <v>900</v>
      </c>
      <c r="D714" s="721"/>
      <c r="E714" s="721"/>
      <c r="F714" s="170">
        <f>+Parameters!D93</f>
        <v>90</v>
      </c>
      <c r="G714" s="170" t="str">
        <f>+Parameters!E93</f>
        <v>Environmental</v>
      </c>
      <c r="H714" s="586">
        <f t="shared" si="903"/>
        <v>0</v>
      </c>
      <c r="I714" s="170">
        <f>+Parameters!F93</f>
        <v>0</v>
      </c>
      <c r="J714" s="170"/>
      <c r="K714" s="170"/>
      <c r="L714" s="170"/>
      <c r="M714" s="730"/>
      <c r="N714" s="730"/>
      <c r="O714" s="730"/>
      <c r="P714" s="731"/>
      <c r="Q714" s="731"/>
      <c r="R714" s="730"/>
      <c r="S714" s="730"/>
      <c r="T714" s="723"/>
      <c r="U714" s="724"/>
      <c r="V714" s="725"/>
      <c r="W714" s="725"/>
      <c r="X714" s="723"/>
      <c r="Y714" s="723"/>
      <c r="Z714" s="723"/>
      <c r="AA714" s="726"/>
      <c r="AB714" s="726"/>
      <c r="AC714" s="170"/>
      <c r="AD714" s="586">
        <f t="shared" si="905"/>
        <v>0</v>
      </c>
      <c r="AE714" s="586">
        <f t="shared" si="905"/>
        <v>0</v>
      </c>
      <c r="AF714" s="586">
        <f t="shared" si="905"/>
        <v>0</v>
      </c>
      <c r="AG714" s="586">
        <f t="shared" si="905"/>
        <v>0</v>
      </c>
      <c r="AH714" s="586">
        <f t="shared" si="905"/>
        <v>0</v>
      </c>
      <c r="AI714" s="586">
        <f t="shared" si="905"/>
        <v>0</v>
      </c>
      <c r="AJ714" s="586">
        <f t="shared" si="905"/>
        <v>0</v>
      </c>
      <c r="AK714" s="586">
        <f t="shared" si="905"/>
        <v>0</v>
      </c>
      <c r="AL714" s="586">
        <f t="shared" si="905"/>
        <v>0</v>
      </c>
      <c r="AM714" s="586">
        <f t="shared" si="905"/>
        <v>0</v>
      </c>
      <c r="AN714" s="586">
        <f t="shared" si="905"/>
        <v>0</v>
      </c>
      <c r="AO714" s="586">
        <f t="shared" si="905"/>
        <v>0</v>
      </c>
      <c r="AP714" s="586">
        <f t="shared" si="905"/>
        <v>0</v>
      </c>
      <c r="AQ714" s="586">
        <f t="shared" si="905"/>
        <v>0</v>
      </c>
      <c r="AR714" s="586">
        <f t="shared" si="905"/>
        <v>0</v>
      </c>
      <c r="AS714" s="586">
        <f t="shared" si="905"/>
        <v>0</v>
      </c>
      <c r="AT714" s="170"/>
      <c r="AU714" s="170"/>
      <c r="AV714" s="721"/>
      <c r="AW714" s="828"/>
      <c r="AX714" s="726"/>
    </row>
    <row r="715" spans="1:50" ht="15" hidden="1" x14ac:dyDescent="0.25">
      <c r="A715" s="721"/>
      <c r="B715" s="904"/>
      <c r="C715" s="170" t="str">
        <f t="shared" si="902"/>
        <v>910</v>
      </c>
      <c r="D715" s="721"/>
      <c r="E715" s="721"/>
      <c r="F715" s="170">
        <f>+Parameters!D94</f>
        <v>91</v>
      </c>
      <c r="G715" s="170">
        <f>+Parameters!E94</f>
        <v>0</v>
      </c>
      <c r="H715" s="586">
        <f t="shared" si="903"/>
        <v>0</v>
      </c>
      <c r="I715" s="170">
        <f>+Parameters!F94</f>
        <v>0</v>
      </c>
      <c r="J715" s="170"/>
      <c r="K715" s="170"/>
      <c r="L715" s="170"/>
      <c r="M715" s="730"/>
      <c r="N715" s="730"/>
      <c r="O715" s="730"/>
      <c r="P715" s="731"/>
      <c r="Q715" s="731"/>
      <c r="R715" s="730"/>
      <c r="S715" s="730"/>
      <c r="T715" s="723"/>
      <c r="U715" s="724"/>
      <c r="V715" s="725"/>
      <c r="W715" s="725"/>
      <c r="X715" s="723"/>
      <c r="Y715" s="723"/>
      <c r="Z715" s="723"/>
      <c r="AA715" s="726"/>
      <c r="AB715" s="726"/>
      <c r="AC715" s="170"/>
      <c r="AD715" s="586">
        <f t="shared" ref="AD715:AS724" si="906">SUMIF($F$9:$F$620,$F715,AD$9:AD$620)</f>
        <v>0</v>
      </c>
      <c r="AE715" s="586">
        <f t="shared" si="906"/>
        <v>0</v>
      </c>
      <c r="AF715" s="586">
        <f t="shared" si="906"/>
        <v>0</v>
      </c>
      <c r="AG715" s="586">
        <f t="shared" si="906"/>
        <v>0</v>
      </c>
      <c r="AH715" s="586">
        <f t="shared" si="906"/>
        <v>0</v>
      </c>
      <c r="AI715" s="586">
        <f t="shared" si="906"/>
        <v>0</v>
      </c>
      <c r="AJ715" s="586">
        <f t="shared" si="906"/>
        <v>0</v>
      </c>
      <c r="AK715" s="586">
        <f t="shared" si="906"/>
        <v>0</v>
      </c>
      <c r="AL715" s="586">
        <f t="shared" si="906"/>
        <v>0</v>
      </c>
      <c r="AM715" s="586">
        <f t="shared" si="906"/>
        <v>0</v>
      </c>
      <c r="AN715" s="586">
        <f t="shared" si="906"/>
        <v>0</v>
      </c>
      <c r="AO715" s="586">
        <f t="shared" si="906"/>
        <v>0</v>
      </c>
      <c r="AP715" s="586">
        <f t="shared" si="906"/>
        <v>0</v>
      </c>
      <c r="AQ715" s="586">
        <f t="shared" si="906"/>
        <v>0</v>
      </c>
      <c r="AR715" s="586">
        <f t="shared" si="906"/>
        <v>0</v>
      </c>
      <c r="AS715" s="586">
        <f t="shared" si="906"/>
        <v>0</v>
      </c>
      <c r="AT715" s="170"/>
      <c r="AU715" s="170"/>
      <c r="AV715" s="721"/>
      <c r="AW715" s="828"/>
      <c r="AX715" s="726"/>
    </row>
    <row r="716" spans="1:50" ht="15" hidden="1" x14ac:dyDescent="0.25">
      <c r="A716" s="721"/>
      <c r="B716" s="904"/>
      <c r="C716" s="170" t="str">
        <f t="shared" si="902"/>
        <v>920</v>
      </c>
      <c r="D716" s="721"/>
      <c r="E716" s="721"/>
      <c r="F716" s="170">
        <f>+Parameters!D95</f>
        <v>92</v>
      </c>
      <c r="G716" s="170">
        <f>+Parameters!E95</f>
        <v>0</v>
      </c>
      <c r="H716" s="586">
        <f t="shared" si="903"/>
        <v>0</v>
      </c>
      <c r="I716" s="170">
        <f>+Parameters!F95</f>
        <v>0</v>
      </c>
      <c r="J716" s="170"/>
      <c r="K716" s="170"/>
      <c r="L716" s="170"/>
      <c r="M716" s="730"/>
      <c r="N716" s="730"/>
      <c r="O716" s="730"/>
      <c r="P716" s="731"/>
      <c r="Q716" s="731"/>
      <c r="R716" s="730"/>
      <c r="S716" s="730"/>
      <c r="T716" s="723"/>
      <c r="U716" s="724"/>
      <c r="V716" s="725"/>
      <c r="W716" s="725"/>
      <c r="X716" s="723"/>
      <c r="Y716" s="723"/>
      <c r="Z716" s="723"/>
      <c r="AA716" s="726"/>
      <c r="AB716" s="726"/>
      <c r="AC716" s="170"/>
      <c r="AD716" s="586">
        <f t="shared" si="906"/>
        <v>0</v>
      </c>
      <c r="AE716" s="586">
        <f t="shared" si="906"/>
        <v>0</v>
      </c>
      <c r="AF716" s="586">
        <f t="shared" si="906"/>
        <v>0</v>
      </c>
      <c r="AG716" s="586">
        <f t="shared" si="906"/>
        <v>0</v>
      </c>
      <c r="AH716" s="586">
        <f t="shared" si="906"/>
        <v>0</v>
      </c>
      <c r="AI716" s="586">
        <f t="shared" si="906"/>
        <v>0</v>
      </c>
      <c r="AJ716" s="586">
        <f t="shared" si="906"/>
        <v>0</v>
      </c>
      <c r="AK716" s="586">
        <f t="shared" si="906"/>
        <v>0</v>
      </c>
      <c r="AL716" s="586">
        <f t="shared" si="906"/>
        <v>0</v>
      </c>
      <c r="AM716" s="586">
        <f t="shared" si="906"/>
        <v>0</v>
      </c>
      <c r="AN716" s="586">
        <f t="shared" si="906"/>
        <v>0</v>
      </c>
      <c r="AO716" s="586">
        <f t="shared" si="906"/>
        <v>0</v>
      </c>
      <c r="AP716" s="586">
        <f t="shared" si="906"/>
        <v>0</v>
      </c>
      <c r="AQ716" s="586">
        <f t="shared" si="906"/>
        <v>0</v>
      </c>
      <c r="AR716" s="586">
        <f t="shared" si="906"/>
        <v>0</v>
      </c>
      <c r="AS716" s="586">
        <f t="shared" si="906"/>
        <v>0</v>
      </c>
      <c r="AT716" s="170"/>
      <c r="AU716" s="170"/>
      <c r="AV716" s="721"/>
      <c r="AW716" s="828"/>
      <c r="AX716" s="726"/>
    </row>
    <row r="717" spans="1:50" ht="15" hidden="1" x14ac:dyDescent="0.25">
      <c r="A717" s="721"/>
      <c r="B717" s="904"/>
      <c r="C717" s="170" t="str">
        <f t="shared" si="902"/>
        <v>930</v>
      </c>
      <c r="D717" s="721"/>
      <c r="E717" s="721"/>
      <c r="F717" s="170">
        <f>+Parameters!D96</f>
        <v>93</v>
      </c>
      <c r="G717" s="170">
        <f>+Parameters!E96</f>
        <v>0</v>
      </c>
      <c r="H717" s="586">
        <f t="shared" si="903"/>
        <v>0</v>
      </c>
      <c r="I717" s="170">
        <f>+Parameters!F96</f>
        <v>0</v>
      </c>
      <c r="J717" s="170"/>
      <c r="K717" s="170"/>
      <c r="L717" s="170"/>
      <c r="M717" s="730"/>
      <c r="N717" s="730"/>
      <c r="O717" s="730"/>
      <c r="P717" s="731"/>
      <c r="Q717" s="731"/>
      <c r="R717" s="730"/>
      <c r="S717" s="730"/>
      <c r="T717" s="723"/>
      <c r="U717" s="724"/>
      <c r="V717" s="725"/>
      <c r="W717" s="725"/>
      <c r="X717" s="723"/>
      <c r="Y717" s="723"/>
      <c r="Z717" s="723"/>
      <c r="AA717" s="726"/>
      <c r="AB717" s="726"/>
      <c r="AC717" s="170"/>
      <c r="AD717" s="586">
        <f t="shared" si="906"/>
        <v>0</v>
      </c>
      <c r="AE717" s="586">
        <f t="shared" si="906"/>
        <v>0</v>
      </c>
      <c r="AF717" s="586">
        <f t="shared" si="906"/>
        <v>0</v>
      </c>
      <c r="AG717" s="586">
        <f t="shared" si="906"/>
        <v>0</v>
      </c>
      <c r="AH717" s="586">
        <f t="shared" si="906"/>
        <v>0</v>
      </c>
      <c r="AI717" s="586">
        <f t="shared" si="906"/>
        <v>0</v>
      </c>
      <c r="AJ717" s="586">
        <f t="shared" si="906"/>
        <v>0</v>
      </c>
      <c r="AK717" s="586">
        <f t="shared" si="906"/>
        <v>0</v>
      </c>
      <c r="AL717" s="586">
        <f t="shared" si="906"/>
        <v>0</v>
      </c>
      <c r="AM717" s="586">
        <f t="shared" si="906"/>
        <v>0</v>
      </c>
      <c r="AN717" s="586">
        <f t="shared" si="906"/>
        <v>0</v>
      </c>
      <c r="AO717" s="586">
        <f t="shared" si="906"/>
        <v>0</v>
      </c>
      <c r="AP717" s="586">
        <f t="shared" si="906"/>
        <v>0</v>
      </c>
      <c r="AQ717" s="586">
        <f t="shared" si="906"/>
        <v>0</v>
      </c>
      <c r="AR717" s="586">
        <f t="shared" si="906"/>
        <v>0</v>
      </c>
      <c r="AS717" s="586">
        <f t="shared" si="906"/>
        <v>0</v>
      </c>
      <c r="AT717" s="170"/>
      <c r="AU717" s="170"/>
      <c r="AV717" s="721"/>
      <c r="AW717" s="828"/>
      <c r="AX717" s="726"/>
    </row>
    <row r="718" spans="1:50" ht="15" hidden="1" x14ac:dyDescent="0.25">
      <c r="A718" s="721"/>
      <c r="B718" s="904"/>
      <c r="C718" s="170" t="str">
        <f t="shared" si="902"/>
        <v>940</v>
      </c>
      <c r="D718" s="721"/>
      <c r="E718" s="721"/>
      <c r="F718" s="170">
        <f>+Parameters!D97</f>
        <v>94</v>
      </c>
      <c r="G718" s="170">
        <f>+Parameters!E97</f>
        <v>0</v>
      </c>
      <c r="H718" s="586">
        <f t="shared" si="903"/>
        <v>0</v>
      </c>
      <c r="I718" s="170">
        <f>+Parameters!F97</f>
        <v>0</v>
      </c>
      <c r="J718" s="170"/>
      <c r="K718" s="170"/>
      <c r="L718" s="170"/>
      <c r="M718" s="730"/>
      <c r="N718" s="730"/>
      <c r="O718" s="730"/>
      <c r="P718" s="731"/>
      <c r="Q718" s="731"/>
      <c r="R718" s="730"/>
      <c r="S718" s="730"/>
      <c r="T718" s="723"/>
      <c r="U718" s="724"/>
      <c r="V718" s="725"/>
      <c r="W718" s="725"/>
      <c r="X718" s="723"/>
      <c r="Y718" s="723"/>
      <c r="Z718" s="723"/>
      <c r="AA718" s="726"/>
      <c r="AB718" s="726"/>
      <c r="AC718" s="170"/>
      <c r="AD718" s="586">
        <f t="shared" si="906"/>
        <v>0</v>
      </c>
      <c r="AE718" s="586">
        <f t="shared" si="906"/>
        <v>0</v>
      </c>
      <c r="AF718" s="586">
        <f t="shared" si="906"/>
        <v>0</v>
      </c>
      <c r="AG718" s="586">
        <f t="shared" si="906"/>
        <v>0</v>
      </c>
      <c r="AH718" s="586">
        <f t="shared" si="906"/>
        <v>0</v>
      </c>
      <c r="AI718" s="586">
        <f t="shared" si="906"/>
        <v>0</v>
      </c>
      <c r="AJ718" s="586">
        <f t="shared" si="906"/>
        <v>0</v>
      </c>
      <c r="AK718" s="586">
        <f t="shared" si="906"/>
        <v>0</v>
      </c>
      <c r="AL718" s="586">
        <f t="shared" si="906"/>
        <v>0</v>
      </c>
      <c r="AM718" s="586">
        <f t="shared" si="906"/>
        <v>0</v>
      </c>
      <c r="AN718" s="586">
        <f t="shared" si="906"/>
        <v>0</v>
      </c>
      <c r="AO718" s="586">
        <f t="shared" si="906"/>
        <v>0</v>
      </c>
      <c r="AP718" s="586">
        <f t="shared" si="906"/>
        <v>0</v>
      </c>
      <c r="AQ718" s="586">
        <f t="shared" si="906"/>
        <v>0</v>
      </c>
      <c r="AR718" s="586">
        <f t="shared" si="906"/>
        <v>0</v>
      </c>
      <c r="AS718" s="586">
        <f t="shared" si="906"/>
        <v>0</v>
      </c>
      <c r="AT718" s="170"/>
      <c r="AU718" s="170"/>
      <c r="AV718" s="721"/>
      <c r="AW718" s="828"/>
      <c r="AX718" s="726"/>
    </row>
    <row r="719" spans="1:50" ht="15" hidden="1" x14ac:dyDescent="0.25">
      <c r="A719" s="721"/>
      <c r="B719" s="904"/>
      <c r="C719" s="170" t="str">
        <f t="shared" si="902"/>
        <v>950</v>
      </c>
      <c r="D719" s="721"/>
      <c r="E719" s="721"/>
      <c r="F719" s="170">
        <f>+Parameters!D98</f>
        <v>95</v>
      </c>
      <c r="G719" s="170">
        <f>+Parameters!E98</f>
        <v>0</v>
      </c>
      <c r="H719" s="586">
        <f t="shared" si="903"/>
        <v>0</v>
      </c>
      <c r="I719" s="170">
        <f>+Parameters!F98</f>
        <v>0</v>
      </c>
      <c r="J719" s="170"/>
      <c r="K719" s="170"/>
      <c r="L719" s="170"/>
      <c r="M719" s="730"/>
      <c r="N719" s="730"/>
      <c r="O719" s="730"/>
      <c r="P719" s="731"/>
      <c r="Q719" s="731"/>
      <c r="R719" s="730"/>
      <c r="S719" s="730"/>
      <c r="T719" s="723"/>
      <c r="U719" s="724"/>
      <c r="V719" s="725"/>
      <c r="W719" s="725"/>
      <c r="X719" s="723"/>
      <c r="Y719" s="723"/>
      <c r="Z719" s="723"/>
      <c r="AA719" s="726"/>
      <c r="AB719" s="726"/>
      <c r="AC719" s="170"/>
      <c r="AD719" s="586">
        <f t="shared" si="906"/>
        <v>0</v>
      </c>
      <c r="AE719" s="586">
        <f t="shared" si="906"/>
        <v>0</v>
      </c>
      <c r="AF719" s="586">
        <f t="shared" si="906"/>
        <v>0</v>
      </c>
      <c r="AG719" s="586">
        <f t="shared" si="906"/>
        <v>0</v>
      </c>
      <c r="AH719" s="586">
        <f t="shared" si="906"/>
        <v>0</v>
      </c>
      <c r="AI719" s="586">
        <f t="shared" si="906"/>
        <v>0</v>
      </c>
      <c r="AJ719" s="586">
        <f t="shared" si="906"/>
        <v>0</v>
      </c>
      <c r="AK719" s="586">
        <f t="shared" si="906"/>
        <v>0</v>
      </c>
      <c r="AL719" s="586">
        <f t="shared" si="906"/>
        <v>0</v>
      </c>
      <c r="AM719" s="586">
        <f t="shared" si="906"/>
        <v>0</v>
      </c>
      <c r="AN719" s="586">
        <f t="shared" si="906"/>
        <v>0</v>
      </c>
      <c r="AO719" s="586">
        <f t="shared" si="906"/>
        <v>0</v>
      </c>
      <c r="AP719" s="586">
        <f t="shared" si="906"/>
        <v>0</v>
      </c>
      <c r="AQ719" s="586">
        <f t="shared" si="906"/>
        <v>0</v>
      </c>
      <c r="AR719" s="586">
        <f t="shared" si="906"/>
        <v>0</v>
      </c>
      <c r="AS719" s="586">
        <f t="shared" si="906"/>
        <v>0</v>
      </c>
      <c r="AT719" s="170"/>
      <c r="AU719" s="170"/>
      <c r="AV719" s="721"/>
      <c r="AW719" s="828"/>
      <c r="AX719" s="726"/>
    </row>
    <row r="720" spans="1:50" ht="15" hidden="1" x14ac:dyDescent="0.25">
      <c r="A720" s="721"/>
      <c r="B720" s="904"/>
      <c r="C720" s="170" t="str">
        <f t="shared" si="902"/>
        <v>960</v>
      </c>
      <c r="D720" s="721"/>
      <c r="E720" s="721"/>
      <c r="F720" s="170">
        <f>+Parameters!D99</f>
        <v>96</v>
      </c>
      <c r="G720" s="170">
        <f>+Parameters!E99</f>
        <v>0</v>
      </c>
      <c r="H720" s="586">
        <f t="shared" si="903"/>
        <v>0</v>
      </c>
      <c r="I720" s="170">
        <f>+Parameters!F99</f>
        <v>0</v>
      </c>
      <c r="J720" s="170"/>
      <c r="K720" s="170"/>
      <c r="L720" s="170"/>
      <c r="M720" s="730"/>
      <c r="N720" s="730"/>
      <c r="O720" s="730"/>
      <c r="P720" s="731"/>
      <c r="Q720" s="731"/>
      <c r="R720" s="730"/>
      <c r="S720" s="730"/>
      <c r="T720" s="723"/>
      <c r="U720" s="724"/>
      <c r="V720" s="725"/>
      <c r="W720" s="725"/>
      <c r="X720" s="723"/>
      <c r="Y720" s="723"/>
      <c r="Z720" s="723"/>
      <c r="AA720" s="726"/>
      <c r="AB720" s="726"/>
      <c r="AC720" s="170"/>
      <c r="AD720" s="586">
        <f t="shared" si="906"/>
        <v>0</v>
      </c>
      <c r="AE720" s="586">
        <f t="shared" si="906"/>
        <v>0</v>
      </c>
      <c r="AF720" s="586">
        <f t="shared" si="906"/>
        <v>0</v>
      </c>
      <c r="AG720" s="586">
        <f t="shared" si="906"/>
        <v>0</v>
      </c>
      <c r="AH720" s="586">
        <f t="shared" si="906"/>
        <v>0</v>
      </c>
      <c r="AI720" s="586">
        <f t="shared" si="906"/>
        <v>0</v>
      </c>
      <c r="AJ720" s="586">
        <f t="shared" si="906"/>
        <v>0</v>
      </c>
      <c r="AK720" s="586">
        <f t="shared" si="906"/>
        <v>0</v>
      </c>
      <c r="AL720" s="586">
        <f t="shared" si="906"/>
        <v>0</v>
      </c>
      <c r="AM720" s="586">
        <f t="shared" si="906"/>
        <v>0</v>
      </c>
      <c r="AN720" s="586">
        <f t="shared" si="906"/>
        <v>0</v>
      </c>
      <c r="AO720" s="586">
        <f t="shared" si="906"/>
        <v>0</v>
      </c>
      <c r="AP720" s="586">
        <f t="shared" si="906"/>
        <v>0</v>
      </c>
      <c r="AQ720" s="586">
        <f t="shared" si="906"/>
        <v>0</v>
      </c>
      <c r="AR720" s="586">
        <f t="shared" si="906"/>
        <v>0</v>
      </c>
      <c r="AS720" s="586">
        <f t="shared" si="906"/>
        <v>0</v>
      </c>
      <c r="AT720" s="170"/>
      <c r="AU720" s="170"/>
      <c r="AV720" s="721"/>
      <c r="AW720" s="828"/>
      <c r="AX720" s="726"/>
    </row>
    <row r="721" spans="1:50" ht="15" hidden="1" x14ac:dyDescent="0.25">
      <c r="A721" s="721"/>
      <c r="B721" s="904"/>
      <c r="C721" s="170" t="str">
        <f t="shared" si="902"/>
        <v>970</v>
      </c>
      <c r="D721" s="721"/>
      <c r="E721" s="721"/>
      <c r="F721" s="170">
        <f>+Parameters!D100</f>
        <v>97</v>
      </c>
      <c r="G721" s="170">
        <f>+Parameters!E100</f>
        <v>0</v>
      </c>
      <c r="H721" s="586">
        <f t="shared" si="903"/>
        <v>0</v>
      </c>
      <c r="I721" s="170">
        <f>+Parameters!F100</f>
        <v>0</v>
      </c>
      <c r="J721" s="170"/>
      <c r="K721" s="170"/>
      <c r="L721" s="170"/>
      <c r="M721" s="730"/>
      <c r="N721" s="730"/>
      <c r="O721" s="730"/>
      <c r="P721" s="731"/>
      <c r="Q721" s="731"/>
      <c r="R721" s="730"/>
      <c r="S721" s="730"/>
      <c r="T721" s="723"/>
      <c r="U721" s="724"/>
      <c r="V721" s="725"/>
      <c r="W721" s="725"/>
      <c r="X721" s="723"/>
      <c r="Y721" s="723"/>
      <c r="Z721" s="723"/>
      <c r="AA721" s="726"/>
      <c r="AB721" s="726"/>
      <c r="AC721" s="170"/>
      <c r="AD721" s="586">
        <f t="shared" si="906"/>
        <v>0</v>
      </c>
      <c r="AE721" s="586">
        <f t="shared" si="906"/>
        <v>0</v>
      </c>
      <c r="AF721" s="586">
        <f t="shared" si="906"/>
        <v>0</v>
      </c>
      <c r="AG721" s="586">
        <f t="shared" si="906"/>
        <v>0</v>
      </c>
      <c r="AH721" s="586">
        <f t="shared" si="906"/>
        <v>0</v>
      </c>
      <c r="AI721" s="586">
        <f t="shared" si="906"/>
        <v>0</v>
      </c>
      <c r="AJ721" s="586">
        <f t="shared" si="906"/>
        <v>0</v>
      </c>
      <c r="AK721" s="586">
        <f t="shared" si="906"/>
        <v>0</v>
      </c>
      <c r="AL721" s="586">
        <f t="shared" si="906"/>
        <v>0</v>
      </c>
      <c r="AM721" s="586">
        <f t="shared" si="906"/>
        <v>0</v>
      </c>
      <c r="AN721" s="586">
        <f t="shared" si="906"/>
        <v>0</v>
      </c>
      <c r="AO721" s="586">
        <f t="shared" si="906"/>
        <v>0</v>
      </c>
      <c r="AP721" s="586">
        <f t="shared" si="906"/>
        <v>0</v>
      </c>
      <c r="AQ721" s="586">
        <f t="shared" si="906"/>
        <v>0</v>
      </c>
      <c r="AR721" s="586">
        <f t="shared" si="906"/>
        <v>0</v>
      </c>
      <c r="AS721" s="586">
        <f t="shared" si="906"/>
        <v>0</v>
      </c>
      <c r="AT721" s="170"/>
      <c r="AU721" s="170"/>
      <c r="AV721" s="721"/>
      <c r="AW721" s="828"/>
      <c r="AX721" s="726"/>
    </row>
    <row r="722" spans="1:50" ht="15" hidden="1" x14ac:dyDescent="0.25">
      <c r="A722" s="721"/>
      <c r="B722" s="904"/>
      <c r="C722" s="170" t="str">
        <f t="shared" si="902"/>
        <v>980</v>
      </c>
      <c r="D722" s="721"/>
      <c r="E722" s="721"/>
      <c r="F722" s="170">
        <f>+Parameters!D101</f>
        <v>98</v>
      </c>
      <c r="G722" s="170">
        <f>+Parameters!E101</f>
        <v>0</v>
      </c>
      <c r="H722" s="586">
        <f t="shared" si="903"/>
        <v>0</v>
      </c>
      <c r="I722" s="170">
        <f>+Parameters!F101</f>
        <v>0</v>
      </c>
      <c r="J722" s="170"/>
      <c r="K722" s="170"/>
      <c r="L722" s="170"/>
      <c r="M722" s="730"/>
      <c r="N722" s="730"/>
      <c r="O722" s="730"/>
      <c r="P722" s="731"/>
      <c r="Q722" s="731"/>
      <c r="R722" s="730"/>
      <c r="S722" s="730"/>
      <c r="T722" s="723"/>
      <c r="U722" s="724"/>
      <c r="V722" s="725"/>
      <c r="W722" s="725"/>
      <c r="X722" s="723"/>
      <c r="Y722" s="723"/>
      <c r="Z722" s="723"/>
      <c r="AA722" s="726"/>
      <c r="AB722" s="726"/>
      <c r="AC722" s="170"/>
      <c r="AD722" s="586">
        <f t="shared" si="906"/>
        <v>0</v>
      </c>
      <c r="AE722" s="586">
        <f t="shared" si="906"/>
        <v>0</v>
      </c>
      <c r="AF722" s="586">
        <f t="shared" si="906"/>
        <v>0</v>
      </c>
      <c r="AG722" s="586">
        <f t="shared" si="906"/>
        <v>0</v>
      </c>
      <c r="AH722" s="586">
        <f t="shared" si="906"/>
        <v>0</v>
      </c>
      <c r="AI722" s="586">
        <f t="shared" si="906"/>
        <v>0</v>
      </c>
      <c r="AJ722" s="586">
        <f t="shared" si="906"/>
        <v>0</v>
      </c>
      <c r="AK722" s="586">
        <f t="shared" si="906"/>
        <v>0</v>
      </c>
      <c r="AL722" s="586">
        <f t="shared" si="906"/>
        <v>0</v>
      </c>
      <c r="AM722" s="586">
        <f t="shared" si="906"/>
        <v>0</v>
      </c>
      <c r="AN722" s="586">
        <f t="shared" si="906"/>
        <v>0</v>
      </c>
      <c r="AO722" s="586">
        <f t="shared" si="906"/>
        <v>0</v>
      </c>
      <c r="AP722" s="586">
        <f t="shared" si="906"/>
        <v>0</v>
      </c>
      <c r="AQ722" s="586">
        <f t="shared" si="906"/>
        <v>0</v>
      </c>
      <c r="AR722" s="586">
        <f t="shared" si="906"/>
        <v>0</v>
      </c>
      <c r="AS722" s="586">
        <f t="shared" si="906"/>
        <v>0</v>
      </c>
      <c r="AT722" s="170"/>
      <c r="AU722" s="170"/>
      <c r="AV722" s="721"/>
      <c r="AW722" s="828"/>
      <c r="AX722" s="726"/>
    </row>
    <row r="723" spans="1:50" ht="15" hidden="1" x14ac:dyDescent="0.25">
      <c r="A723" s="721"/>
      <c r="B723" s="904"/>
      <c r="C723" s="170" t="str">
        <f t="shared" si="902"/>
        <v>990</v>
      </c>
      <c r="D723" s="721"/>
      <c r="E723" s="721"/>
      <c r="F723" s="170">
        <f>+Parameters!D102</f>
        <v>99</v>
      </c>
      <c r="G723" s="170" t="str">
        <f>+Parameters!E102</f>
        <v>REMOVALS</v>
      </c>
      <c r="H723" s="586">
        <f t="shared" si="903"/>
        <v>0</v>
      </c>
      <c r="I723" s="170">
        <f>+Parameters!F102</f>
        <v>0</v>
      </c>
      <c r="J723" s="170"/>
      <c r="K723" s="170"/>
      <c r="L723" s="170"/>
      <c r="M723" s="730"/>
      <c r="N723" s="730"/>
      <c r="O723" s="730"/>
      <c r="P723" s="731"/>
      <c r="Q723" s="731"/>
      <c r="R723" s="730"/>
      <c r="S723" s="730"/>
      <c r="T723" s="723"/>
      <c r="U723" s="724"/>
      <c r="V723" s="725"/>
      <c r="W723" s="725"/>
      <c r="X723" s="723"/>
      <c r="Y723" s="723"/>
      <c r="Z723" s="723"/>
      <c r="AA723" s="726"/>
      <c r="AB723" s="726"/>
      <c r="AC723" s="170"/>
      <c r="AD723" s="586">
        <f t="shared" si="906"/>
        <v>0</v>
      </c>
      <c r="AE723" s="586">
        <f t="shared" si="906"/>
        <v>0</v>
      </c>
      <c r="AF723" s="586">
        <f t="shared" si="906"/>
        <v>0</v>
      </c>
      <c r="AG723" s="586">
        <f t="shared" si="906"/>
        <v>0</v>
      </c>
      <c r="AH723" s="586">
        <f t="shared" si="906"/>
        <v>0</v>
      </c>
      <c r="AI723" s="586">
        <f t="shared" si="906"/>
        <v>0</v>
      </c>
      <c r="AJ723" s="586">
        <f t="shared" si="906"/>
        <v>0</v>
      </c>
      <c r="AK723" s="586">
        <f t="shared" si="906"/>
        <v>0</v>
      </c>
      <c r="AL723" s="586">
        <f t="shared" si="906"/>
        <v>0</v>
      </c>
      <c r="AM723" s="586">
        <f t="shared" si="906"/>
        <v>0</v>
      </c>
      <c r="AN723" s="586">
        <f t="shared" si="906"/>
        <v>0</v>
      </c>
      <c r="AO723" s="586">
        <f t="shared" si="906"/>
        <v>0</v>
      </c>
      <c r="AP723" s="586">
        <f t="shared" si="906"/>
        <v>0</v>
      </c>
      <c r="AQ723" s="586">
        <f t="shared" si="906"/>
        <v>0</v>
      </c>
      <c r="AR723" s="586">
        <f t="shared" si="906"/>
        <v>0</v>
      </c>
      <c r="AS723" s="586">
        <f t="shared" si="906"/>
        <v>0</v>
      </c>
      <c r="AT723" s="170"/>
      <c r="AU723" s="170"/>
      <c r="AV723" s="721"/>
      <c r="AW723" s="828"/>
      <c r="AX723" s="726"/>
    </row>
    <row r="724" spans="1:50" ht="15" x14ac:dyDescent="0.25">
      <c r="A724" s="721"/>
      <c r="B724" s="904"/>
      <c r="C724" s="721"/>
      <c r="D724" s="721"/>
      <c r="E724" s="721"/>
      <c r="F724" s="721"/>
      <c r="G724" s="170" t="s">
        <v>1255</v>
      </c>
      <c r="H724" s="170"/>
      <c r="I724" s="170">
        <v>0</v>
      </c>
      <c r="J724" s="170"/>
      <c r="K724" s="170"/>
      <c r="L724" s="170"/>
      <c r="M724" s="730"/>
      <c r="N724" s="730"/>
      <c r="O724" s="730"/>
      <c r="P724" s="731"/>
      <c r="Q724" s="731"/>
      <c r="R724" s="730"/>
      <c r="S724" s="730"/>
      <c r="T724" s="723"/>
      <c r="U724" s="724"/>
      <c r="V724" s="725"/>
      <c r="W724" s="725"/>
      <c r="X724" s="723"/>
      <c r="Y724" s="723"/>
      <c r="Z724" s="723"/>
      <c r="AA724" s="726"/>
      <c r="AB724" s="726"/>
      <c r="AC724" s="170"/>
      <c r="AD724" s="586">
        <f t="shared" si="906"/>
        <v>0</v>
      </c>
      <c r="AE724" s="586">
        <f t="shared" si="906"/>
        <v>0</v>
      </c>
      <c r="AF724" s="586">
        <f t="shared" si="906"/>
        <v>0</v>
      </c>
      <c r="AG724" s="586">
        <f t="shared" si="906"/>
        <v>0</v>
      </c>
      <c r="AH724" s="586">
        <f t="shared" si="906"/>
        <v>0</v>
      </c>
      <c r="AI724" s="586">
        <f t="shared" si="906"/>
        <v>0</v>
      </c>
      <c r="AJ724" s="586">
        <f t="shared" si="906"/>
        <v>0</v>
      </c>
      <c r="AK724" s="586">
        <f t="shared" si="906"/>
        <v>0</v>
      </c>
      <c r="AL724" s="586">
        <f t="shared" si="906"/>
        <v>0</v>
      </c>
      <c r="AM724" s="586">
        <f t="shared" si="906"/>
        <v>0</v>
      </c>
      <c r="AN724" s="586">
        <f t="shared" si="906"/>
        <v>0</v>
      </c>
      <c r="AO724" s="586">
        <f t="shared" si="906"/>
        <v>0</v>
      </c>
      <c r="AP724" s="586">
        <f t="shared" si="906"/>
        <v>0</v>
      </c>
      <c r="AQ724" s="586">
        <f t="shared" si="906"/>
        <v>0</v>
      </c>
      <c r="AR724" s="586">
        <f t="shared" si="906"/>
        <v>0</v>
      </c>
      <c r="AS724" s="586">
        <f t="shared" si="906"/>
        <v>0</v>
      </c>
      <c r="AT724" s="170"/>
      <c r="AU724" s="170"/>
      <c r="AV724" s="721"/>
      <c r="AW724" s="828"/>
      <c r="AX724" s="726"/>
    </row>
    <row r="725" spans="1:50" ht="15" x14ac:dyDescent="0.25">
      <c r="A725" s="721"/>
      <c r="B725" s="904"/>
      <c r="C725" s="721"/>
      <c r="D725" s="721"/>
      <c r="E725" s="721"/>
      <c r="F725" s="721">
        <v>0</v>
      </c>
      <c r="G725" s="170">
        <v>0</v>
      </c>
      <c r="H725" s="170"/>
      <c r="I725" s="170">
        <v>0</v>
      </c>
      <c r="J725" s="170"/>
      <c r="K725" s="170"/>
      <c r="L725" s="170"/>
      <c r="M725" s="730"/>
      <c r="N725" s="730"/>
      <c r="O725" s="730"/>
      <c r="P725" s="731"/>
      <c r="Q725" s="731"/>
      <c r="R725" s="730"/>
      <c r="S725" s="730"/>
      <c r="T725" s="723"/>
      <c r="U725" s="724"/>
      <c r="V725" s="725"/>
      <c r="W725" s="725"/>
      <c r="X725" s="723"/>
      <c r="Y725" s="723"/>
      <c r="Z725" s="723"/>
      <c r="AA725" s="726"/>
      <c r="AB725" s="726"/>
      <c r="AC725" s="170"/>
      <c r="AD725" s="586"/>
      <c r="AE725" s="586"/>
      <c r="AF725" s="586"/>
      <c r="AG725" s="586"/>
      <c r="AH725" s="586"/>
      <c r="AI725" s="586"/>
      <c r="AJ725" s="586"/>
      <c r="AK725" s="586"/>
      <c r="AL725" s="586"/>
      <c r="AM725" s="586"/>
      <c r="AN725" s="586"/>
      <c r="AO725" s="586"/>
      <c r="AP725" s="586"/>
      <c r="AQ725" s="586"/>
      <c r="AR725" s="586"/>
      <c r="AS725" s="586"/>
      <c r="AT725" s="170"/>
      <c r="AU725" s="170"/>
      <c r="AV725" s="721"/>
      <c r="AW725" s="828"/>
      <c r="AX725" s="726"/>
    </row>
    <row r="726" spans="1:50" ht="15" x14ac:dyDescent="0.25">
      <c r="A726" s="721"/>
      <c r="B726" s="904"/>
      <c r="C726" s="721"/>
      <c r="D726" s="721"/>
      <c r="E726" s="721"/>
      <c r="F726" s="721"/>
      <c r="G726" s="721"/>
      <c r="H726" s="170"/>
      <c r="I726" s="170"/>
      <c r="J726" s="170"/>
      <c r="K726" s="170"/>
      <c r="L726" s="170"/>
      <c r="M726" s="730"/>
      <c r="N726" s="730"/>
      <c r="O726" s="730"/>
      <c r="P726" s="731"/>
      <c r="Q726" s="731"/>
      <c r="R726" s="730"/>
      <c r="S726" s="730"/>
      <c r="T726" s="723"/>
      <c r="U726" s="724"/>
      <c r="V726" s="725"/>
      <c r="W726" s="725"/>
      <c r="X726" s="723"/>
      <c r="Y726" s="723"/>
      <c r="Z726" s="723"/>
      <c r="AA726" s="726"/>
      <c r="AB726" s="726"/>
      <c r="AC726" s="170"/>
      <c r="AD726" s="586"/>
      <c r="AE726" s="586"/>
      <c r="AF726" s="586"/>
      <c r="AG726" s="586"/>
      <c r="AH726" s="586"/>
      <c r="AI726" s="586"/>
      <c r="AJ726" s="586"/>
      <c r="AK726" s="586"/>
      <c r="AL726" s="586"/>
      <c r="AM726" s="586"/>
      <c r="AN726" s="586"/>
      <c r="AO726" s="586"/>
      <c r="AP726" s="586"/>
      <c r="AQ726" s="586"/>
      <c r="AR726" s="586"/>
      <c r="AS726" s="586"/>
      <c r="AT726" s="170"/>
      <c r="AU726" s="170"/>
      <c r="AV726" s="721"/>
      <c r="AW726" s="828"/>
      <c r="AX726" s="726"/>
    </row>
    <row r="727" spans="1:50" ht="15" x14ac:dyDescent="0.25">
      <c r="A727" s="721"/>
      <c r="B727" s="904"/>
      <c r="C727" s="721"/>
      <c r="D727" s="721"/>
      <c r="E727" s="721"/>
      <c r="F727" s="721"/>
      <c r="G727" s="721"/>
      <c r="H727" s="170"/>
      <c r="I727" s="170"/>
      <c r="J727" s="170"/>
      <c r="K727" s="170"/>
      <c r="L727" s="170"/>
      <c r="M727" s="730"/>
      <c r="N727" s="730"/>
      <c r="O727" s="730"/>
      <c r="P727" s="731"/>
      <c r="Q727" s="731"/>
      <c r="R727" s="730"/>
      <c r="S727" s="730"/>
      <c r="T727" s="723"/>
      <c r="U727" s="724"/>
      <c r="V727" s="725"/>
      <c r="W727" s="725"/>
      <c r="X727" s="723"/>
      <c r="Y727" s="723"/>
      <c r="Z727" s="723"/>
      <c r="AA727" s="726"/>
      <c r="AB727" s="726"/>
      <c r="AC727" s="170"/>
      <c r="AD727" s="586"/>
      <c r="AE727" s="586"/>
      <c r="AF727" s="586"/>
      <c r="AG727" s="586"/>
      <c r="AH727" s="586"/>
      <c r="AI727" s="586"/>
      <c r="AJ727" s="586"/>
      <c r="AK727" s="586"/>
      <c r="AL727" s="586"/>
      <c r="AM727" s="586"/>
      <c r="AN727" s="586"/>
      <c r="AO727" s="586"/>
      <c r="AP727" s="586"/>
      <c r="AQ727" s="586"/>
      <c r="AR727" s="586"/>
      <c r="AS727" s="586"/>
      <c r="AT727" s="170"/>
      <c r="AU727" s="170"/>
      <c r="AV727" s="721"/>
      <c r="AW727" s="828"/>
      <c r="AX727" s="726"/>
    </row>
    <row r="728" spans="1:50" ht="15" x14ac:dyDescent="0.25">
      <c r="A728" s="721"/>
      <c r="B728" s="904"/>
      <c r="C728" s="721"/>
      <c r="D728" s="721"/>
      <c r="E728" s="721"/>
      <c r="F728" s="721"/>
      <c r="G728" s="721"/>
      <c r="H728" s="170"/>
      <c r="I728" s="170"/>
      <c r="J728" s="170"/>
      <c r="K728" s="170"/>
      <c r="L728" s="170"/>
      <c r="M728" s="730"/>
      <c r="N728" s="730"/>
      <c r="O728" s="730"/>
      <c r="P728" s="731"/>
      <c r="Q728" s="731"/>
      <c r="R728" s="730"/>
      <c r="S728" s="730"/>
      <c r="T728" s="723"/>
      <c r="U728" s="724"/>
      <c r="V728" s="725"/>
      <c r="W728" s="725"/>
      <c r="X728" s="723"/>
      <c r="Y728" s="723"/>
      <c r="Z728" s="723"/>
      <c r="AA728" s="726"/>
      <c r="AB728" s="726"/>
      <c r="AC728" s="170"/>
      <c r="AD728" s="586"/>
      <c r="AE728" s="586"/>
      <c r="AF728" s="586"/>
      <c r="AG728" s="586"/>
      <c r="AH728" s="586"/>
      <c r="AI728" s="586"/>
      <c r="AJ728" s="586"/>
      <c r="AK728" s="586"/>
      <c r="AL728" s="586"/>
      <c r="AM728" s="586"/>
      <c r="AN728" s="586"/>
      <c r="AO728" s="586"/>
      <c r="AP728" s="586"/>
      <c r="AQ728" s="586"/>
      <c r="AR728" s="586"/>
      <c r="AS728" s="586"/>
      <c r="AT728" s="170"/>
      <c r="AU728" s="170"/>
      <c r="AV728" s="721"/>
      <c r="AW728" s="828"/>
      <c r="AX728" s="726"/>
    </row>
    <row r="729" spans="1:50" ht="15" x14ac:dyDescent="0.25">
      <c r="A729" s="721"/>
      <c r="B729" s="904"/>
      <c r="C729" s="721"/>
      <c r="D729" s="721"/>
      <c r="E729" s="721"/>
      <c r="F729" s="721"/>
      <c r="G729" s="721" t="s">
        <v>223</v>
      </c>
      <c r="H729" s="170"/>
      <c r="I729" s="170"/>
      <c r="J729" s="170"/>
      <c r="K729" s="170"/>
      <c r="L729" s="170"/>
      <c r="M729" s="730"/>
      <c r="N729" s="730"/>
      <c r="O729" s="730"/>
      <c r="P729" s="731"/>
      <c r="Q729" s="731"/>
      <c r="R729" s="730"/>
      <c r="S729" s="730"/>
      <c r="T729" s="723"/>
      <c r="U729" s="724"/>
      <c r="V729" s="725"/>
      <c r="W729" s="725"/>
      <c r="X729" s="723"/>
      <c r="Y729" s="723"/>
      <c r="Z729" s="723"/>
      <c r="AA729" s="726"/>
      <c r="AB729" s="726"/>
      <c r="AC729" s="170"/>
      <c r="AD729" s="586">
        <f t="shared" ref="AD729:AS729" si="907">SUM(AD625:AD728)</f>
        <v>0</v>
      </c>
      <c r="AE729" s="586">
        <f t="shared" si="907"/>
        <v>0</v>
      </c>
      <c r="AF729" s="586">
        <f t="shared" si="907"/>
        <v>0</v>
      </c>
      <c r="AG729" s="586">
        <f t="shared" si="907"/>
        <v>0</v>
      </c>
      <c r="AH729" s="586">
        <f t="shared" si="907"/>
        <v>0</v>
      </c>
      <c r="AI729" s="586">
        <f t="shared" si="907"/>
        <v>0</v>
      </c>
      <c r="AJ729" s="586">
        <f t="shared" si="907"/>
        <v>0</v>
      </c>
      <c r="AK729" s="586">
        <f t="shared" si="907"/>
        <v>0</v>
      </c>
      <c r="AL729" s="586">
        <f t="shared" si="907"/>
        <v>0</v>
      </c>
      <c r="AM729" s="586">
        <f t="shared" si="907"/>
        <v>0</v>
      </c>
      <c r="AN729" s="586">
        <f t="shared" si="907"/>
        <v>0</v>
      </c>
      <c r="AO729" s="586">
        <f t="shared" si="907"/>
        <v>0</v>
      </c>
      <c r="AP729" s="586">
        <f t="shared" si="907"/>
        <v>0</v>
      </c>
      <c r="AQ729" s="586">
        <f t="shared" si="907"/>
        <v>0</v>
      </c>
      <c r="AR729" s="586">
        <f t="shared" si="907"/>
        <v>0</v>
      </c>
      <c r="AS729" s="586">
        <f t="shared" si="907"/>
        <v>0</v>
      </c>
      <c r="AT729" s="170" t="s">
        <v>395</v>
      </c>
      <c r="AU729" s="170"/>
      <c r="AV729" s="721"/>
      <c r="AW729" s="828"/>
      <c r="AX729" s="726"/>
    </row>
    <row r="730" spans="1:50" ht="15" x14ac:dyDescent="0.25">
      <c r="A730" s="721"/>
      <c r="B730" s="904"/>
      <c r="C730" s="721"/>
      <c r="D730" s="721"/>
      <c r="E730" s="721"/>
      <c r="F730" s="721"/>
      <c r="G730" s="721"/>
      <c r="H730" s="721"/>
      <c r="I730" s="721"/>
      <c r="J730" s="721"/>
      <c r="K730" s="721"/>
      <c r="L730" s="721"/>
      <c r="M730" s="930"/>
      <c r="N730" s="930"/>
      <c r="O730" s="930"/>
      <c r="P730" s="931"/>
      <c r="Q730" s="931"/>
      <c r="R730" s="930"/>
      <c r="S730" s="930"/>
      <c r="T730" s="932"/>
      <c r="U730" s="933"/>
      <c r="V730" s="934"/>
      <c r="W730" s="934"/>
      <c r="X730" s="932"/>
      <c r="Y730" s="932"/>
      <c r="Z730" s="932"/>
      <c r="AA730" s="726"/>
      <c r="AB730" s="726"/>
      <c r="AC730" s="721"/>
      <c r="AD730" s="586"/>
      <c r="AE730" s="586"/>
      <c r="AF730" s="170"/>
      <c r="AG730" s="170"/>
      <c r="AH730" s="170"/>
      <c r="AI730" s="170"/>
      <c r="AJ730" s="170"/>
      <c r="AK730" s="170"/>
      <c r="AL730" s="170"/>
      <c r="AM730" s="170"/>
      <c r="AN730" s="170"/>
      <c r="AO730" s="170"/>
      <c r="AP730" s="170"/>
      <c r="AQ730" s="170"/>
      <c r="AR730" s="170"/>
      <c r="AS730" s="170"/>
      <c r="AT730" s="721"/>
      <c r="AU730" s="721"/>
      <c r="AV730" s="721"/>
      <c r="AW730" s="828"/>
      <c r="AX730" s="726"/>
    </row>
    <row r="731" spans="1:50" ht="15" x14ac:dyDescent="0.25">
      <c r="A731" s="721"/>
      <c r="B731" s="904"/>
      <c r="C731" s="721"/>
      <c r="D731" s="721"/>
      <c r="E731" s="721"/>
      <c r="F731" s="721"/>
      <c r="G731" s="721"/>
      <c r="H731" s="721"/>
      <c r="I731" s="721"/>
      <c r="J731" s="721"/>
      <c r="K731" s="721"/>
      <c r="L731" s="721"/>
      <c r="M731" s="930"/>
      <c r="N731" s="930"/>
      <c r="O731" s="930"/>
      <c r="P731" s="931"/>
      <c r="Q731" s="931"/>
      <c r="R731" s="930"/>
      <c r="S731" s="930"/>
      <c r="T731" s="932"/>
      <c r="U731" s="933"/>
      <c r="V731" s="934"/>
      <c r="W731" s="934"/>
      <c r="X731" s="932"/>
      <c r="Y731" s="932"/>
      <c r="Z731" s="932"/>
      <c r="AA731" s="726"/>
      <c r="AB731" s="726"/>
      <c r="AC731" s="721"/>
      <c r="AD731" s="586"/>
      <c r="AE731" s="586"/>
      <c r="AF731" s="170"/>
      <c r="AG731" s="170"/>
      <c r="AH731" s="170"/>
      <c r="AI731" s="170"/>
      <c r="AJ731" s="170"/>
      <c r="AK731" s="170"/>
      <c r="AL731" s="170"/>
      <c r="AM731" s="170"/>
      <c r="AN731" s="170"/>
      <c r="AO731" s="170"/>
      <c r="AP731" s="170"/>
      <c r="AQ731" s="170"/>
      <c r="AR731" s="170"/>
      <c r="AS731" s="170"/>
      <c r="AT731" s="721"/>
      <c r="AU731" s="721"/>
      <c r="AV731" s="721"/>
      <c r="AW731" s="828"/>
      <c r="AX731" s="726"/>
    </row>
    <row r="732" spans="1:50" ht="15" x14ac:dyDescent="0.25">
      <c r="A732" s="721"/>
      <c r="B732" s="904"/>
      <c r="C732" s="721"/>
      <c r="D732" s="721"/>
      <c r="E732" s="721"/>
      <c r="F732" s="721"/>
      <c r="G732" s="721"/>
      <c r="H732" s="721"/>
      <c r="I732" s="721"/>
      <c r="J732" s="721"/>
      <c r="K732" s="721"/>
      <c r="L732" s="721"/>
      <c r="M732" s="930"/>
      <c r="N732" s="930"/>
      <c r="O732" s="930"/>
      <c r="P732" s="931"/>
      <c r="Q732" s="931"/>
      <c r="R732" s="930"/>
      <c r="S732" s="930"/>
      <c r="T732" s="932"/>
      <c r="U732" s="933"/>
      <c r="V732" s="934"/>
      <c r="W732" s="934"/>
      <c r="X732" s="932"/>
      <c r="Y732" s="932"/>
      <c r="Z732" s="932"/>
      <c r="AA732" s="726"/>
      <c r="AB732" s="726"/>
      <c r="AC732" s="721"/>
      <c r="AD732" s="586"/>
      <c r="AE732" s="586"/>
      <c r="AF732" s="170"/>
      <c r="AG732" s="170"/>
      <c r="AH732" s="170"/>
      <c r="AI732" s="170"/>
      <c r="AJ732" s="170"/>
      <c r="AK732" s="170"/>
      <c r="AL732" s="170"/>
      <c r="AM732" s="170"/>
      <c r="AN732" s="170"/>
      <c r="AO732" s="170"/>
      <c r="AP732" s="170"/>
      <c r="AQ732" s="170"/>
      <c r="AR732" s="170"/>
      <c r="AS732" s="170"/>
      <c r="AT732" s="721"/>
      <c r="AU732" s="721"/>
      <c r="AV732" s="721"/>
      <c r="AW732" s="828"/>
      <c r="AX732" s="726"/>
    </row>
    <row r="733" spans="1:50" ht="15" x14ac:dyDescent="0.25">
      <c r="A733" s="721"/>
      <c r="B733" s="904"/>
      <c r="C733" s="721"/>
      <c r="D733" s="721"/>
      <c r="E733" s="721"/>
      <c r="F733" s="721"/>
      <c r="G733" s="721"/>
      <c r="H733" s="721"/>
      <c r="I733" s="721"/>
      <c r="J733" s="721"/>
      <c r="K733" s="721"/>
      <c r="L733" s="721"/>
      <c r="M733" s="930"/>
      <c r="N733" s="930"/>
      <c r="O733" s="930"/>
      <c r="P733" s="931"/>
      <c r="Q733" s="931"/>
      <c r="R733" s="930"/>
      <c r="S733" s="930"/>
      <c r="T733" s="932"/>
      <c r="U733" s="933"/>
      <c r="V733" s="934"/>
      <c r="W733" s="934"/>
      <c r="X733" s="932"/>
      <c r="Y733" s="932"/>
      <c r="Z733" s="932"/>
      <c r="AA733" s="726"/>
      <c r="AB733" s="726"/>
      <c r="AC733" s="721"/>
      <c r="AD733" s="586"/>
      <c r="AE733" s="586"/>
      <c r="AF733" s="170"/>
      <c r="AG733" s="170"/>
      <c r="AH733" s="170"/>
      <c r="AI733" s="170"/>
      <c r="AJ733" s="170"/>
      <c r="AK733" s="170"/>
      <c r="AL733" s="170"/>
      <c r="AM733" s="170"/>
      <c r="AN733" s="170"/>
      <c r="AO733" s="170"/>
      <c r="AP733" s="170"/>
      <c r="AQ733" s="170"/>
      <c r="AR733" s="170"/>
      <c r="AS733" s="170"/>
      <c r="AT733" s="721"/>
      <c r="AU733" s="721"/>
      <c r="AV733" s="721"/>
      <c r="AW733" s="828"/>
      <c r="AX733" s="726"/>
    </row>
    <row r="734" spans="1:50" ht="15" x14ac:dyDescent="0.25">
      <c r="A734" s="721"/>
      <c r="B734" s="904"/>
      <c r="C734" s="721"/>
      <c r="D734" s="721"/>
      <c r="E734" s="721"/>
      <c r="F734" s="721"/>
      <c r="G734" s="721"/>
      <c r="H734" s="721"/>
      <c r="I734" s="721"/>
      <c r="J734" s="721"/>
      <c r="K734" s="721"/>
      <c r="L734" s="721"/>
      <c r="M734" s="930"/>
      <c r="N734" s="930"/>
      <c r="O734" s="930"/>
      <c r="P734" s="931"/>
      <c r="Q734" s="931"/>
      <c r="R734" s="930"/>
      <c r="S734" s="930"/>
      <c r="T734" s="932"/>
      <c r="U734" s="933"/>
      <c r="V734" s="934"/>
      <c r="W734" s="934"/>
      <c r="X734" s="932"/>
      <c r="Y734" s="932"/>
      <c r="Z734" s="932"/>
      <c r="AA734" s="726"/>
      <c r="AB734" s="726"/>
      <c r="AC734" s="721"/>
      <c r="AD734" s="586"/>
      <c r="AE734" s="586"/>
      <c r="AF734" s="170"/>
      <c r="AG734" s="170"/>
      <c r="AH734" s="170"/>
      <c r="AI734" s="170"/>
      <c r="AJ734" s="170"/>
      <c r="AK734" s="170"/>
      <c r="AL734" s="170"/>
      <c r="AM734" s="170"/>
      <c r="AN734" s="170"/>
      <c r="AO734" s="170"/>
      <c r="AP734" s="170"/>
      <c r="AQ734" s="170"/>
      <c r="AR734" s="170"/>
      <c r="AS734" s="170"/>
      <c r="AT734" s="721"/>
      <c r="AU734" s="721"/>
      <c r="AV734" s="721"/>
      <c r="AW734" s="828"/>
      <c r="AX734" s="726"/>
    </row>
    <row r="735" spans="1:50" ht="15" x14ac:dyDescent="0.25">
      <c r="A735" s="721"/>
      <c r="B735" s="904"/>
      <c r="C735" s="721"/>
      <c r="D735" s="721"/>
      <c r="E735" s="721"/>
      <c r="F735" s="721"/>
      <c r="G735" s="721"/>
      <c r="H735" s="721"/>
      <c r="I735" s="721"/>
      <c r="J735" s="721"/>
      <c r="K735" s="721"/>
      <c r="L735" s="721"/>
      <c r="M735" s="930"/>
      <c r="N735" s="930"/>
      <c r="O735" s="930"/>
      <c r="P735" s="931"/>
      <c r="Q735" s="931"/>
      <c r="R735" s="930"/>
      <c r="S735" s="930"/>
      <c r="T735" s="932"/>
      <c r="U735" s="933"/>
      <c r="V735" s="934"/>
      <c r="W735" s="934"/>
      <c r="X735" s="932"/>
      <c r="Y735" s="932"/>
      <c r="Z735" s="932"/>
      <c r="AA735" s="726"/>
      <c r="AB735" s="726"/>
      <c r="AC735" s="721"/>
      <c r="AD735" s="586"/>
      <c r="AE735" s="586"/>
      <c r="AF735" s="170"/>
      <c r="AG735" s="170"/>
      <c r="AH735" s="170"/>
      <c r="AI735" s="170"/>
      <c r="AJ735" s="170"/>
      <c r="AK735" s="170"/>
      <c r="AL735" s="170"/>
      <c r="AM735" s="170"/>
      <c r="AN735" s="170"/>
      <c r="AO735" s="170"/>
      <c r="AP735" s="170"/>
      <c r="AQ735" s="170"/>
      <c r="AR735" s="170"/>
      <c r="AS735" s="170"/>
      <c r="AT735" s="721"/>
      <c r="AU735" s="721"/>
      <c r="AV735" s="721"/>
      <c r="AW735" s="828"/>
      <c r="AX735" s="726"/>
    </row>
    <row r="736" spans="1:50" ht="15" x14ac:dyDescent="0.25">
      <c r="A736" s="721"/>
      <c r="B736" s="904"/>
      <c r="C736" s="721"/>
      <c r="D736" s="721"/>
      <c r="E736" s="721"/>
      <c r="F736" s="721"/>
      <c r="G736" s="721"/>
      <c r="H736" s="721"/>
      <c r="I736" s="721"/>
      <c r="J736" s="721"/>
      <c r="K736" s="721"/>
      <c r="L736" s="721"/>
      <c r="M736" s="930"/>
      <c r="N736" s="930"/>
      <c r="O736" s="930"/>
      <c r="P736" s="931"/>
      <c r="Q736" s="931"/>
      <c r="R736" s="930"/>
      <c r="S736" s="930"/>
      <c r="T736" s="932"/>
      <c r="U736" s="933"/>
      <c r="V736" s="934"/>
      <c r="W736" s="934"/>
      <c r="X736" s="932"/>
      <c r="Y736" s="932"/>
      <c r="Z736" s="932"/>
      <c r="AA736" s="726"/>
      <c r="AB736" s="726"/>
      <c r="AC736" s="721"/>
      <c r="AD736" s="586"/>
      <c r="AE736" s="586"/>
      <c r="AF736" s="170"/>
      <c r="AG736" s="170"/>
      <c r="AH736" s="170"/>
      <c r="AI736" s="170"/>
      <c r="AJ736" s="170"/>
      <c r="AK736" s="170"/>
      <c r="AL736" s="170"/>
      <c r="AM736" s="170"/>
      <c r="AN736" s="170"/>
      <c r="AO736" s="170"/>
      <c r="AP736" s="170"/>
      <c r="AQ736" s="170"/>
      <c r="AR736" s="170"/>
      <c r="AS736" s="170"/>
      <c r="AT736" s="721"/>
      <c r="AU736" s="721"/>
      <c r="AV736" s="721"/>
      <c r="AW736" s="828"/>
      <c r="AX736" s="726"/>
    </row>
    <row r="737" spans="1:50" ht="15" x14ac:dyDescent="0.25">
      <c r="A737" s="721"/>
      <c r="B737" s="904"/>
      <c r="C737" s="721"/>
      <c r="D737" s="721"/>
      <c r="E737" s="721"/>
      <c r="F737" s="721"/>
      <c r="G737" s="721"/>
      <c r="H737" s="721"/>
      <c r="I737" s="721"/>
      <c r="J737" s="721"/>
      <c r="K737" s="721"/>
      <c r="L737" s="721"/>
      <c r="M737" s="930"/>
      <c r="N737" s="930"/>
      <c r="O737" s="930"/>
      <c r="P737" s="931"/>
      <c r="Q737" s="931"/>
      <c r="R737" s="930"/>
      <c r="S737" s="930"/>
      <c r="T737" s="932"/>
      <c r="U737" s="933"/>
      <c r="V737" s="934"/>
      <c r="W737" s="934"/>
      <c r="X737" s="932"/>
      <c r="Y737" s="932"/>
      <c r="Z737" s="932"/>
      <c r="AA737" s="726"/>
      <c r="AB737" s="726"/>
      <c r="AC737" s="721"/>
      <c r="AD737" s="586"/>
      <c r="AE737" s="586"/>
      <c r="AF737" s="170"/>
      <c r="AG737" s="170"/>
      <c r="AH737" s="170"/>
      <c r="AI737" s="170"/>
      <c r="AJ737" s="170"/>
      <c r="AK737" s="170"/>
      <c r="AL737" s="170"/>
      <c r="AM737" s="170"/>
      <c r="AN737" s="170"/>
      <c r="AO737" s="170"/>
      <c r="AP737" s="170"/>
      <c r="AQ737" s="170"/>
      <c r="AR737" s="170"/>
      <c r="AS737" s="170"/>
      <c r="AT737" s="721"/>
      <c r="AU737" s="721"/>
      <c r="AV737" s="721"/>
      <c r="AW737" s="828"/>
      <c r="AX737" s="726"/>
    </row>
    <row r="738" spans="1:50" ht="15" x14ac:dyDescent="0.25">
      <c r="A738" s="721"/>
      <c r="B738" s="904"/>
      <c r="C738" s="721"/>
      <c r="D738" s="721"/>
      <c r="E738" s="721"/>
      <c r="F738" s="721"/>
      <c r="G738" s="721"/>
      <c r="H738" s="721"/>
      <c r="I738" s="721"/>
      <c r="J738" s="721"/>
      <c r="K738" s="721"/>
      <c r="L738" s="721"/>
      <c r="M738" s="930"/>
      <c r="N738" s="930"/>
      <c r="O738" s="930"/>
      <c r="P738" s="931"/>
      <c r="Q738" s="931"/>
      <c r="R738" s="930"/>
      <c r="S738" s="930"/>
      <c r="T738" s="932"/>
      <c r="U738" s="933"/>
      <c r="V738" s="934"/>
      <c r="W738" s="934"/>
      <c r="X738" s="932"/>
      <c r="Y738" s="932"/>
      <c r="Z738" s="932"/>
      <c r="AA738" s="726"/>
      <c r="AB738" s="726"/>
      <c r="AC738" s="721"/>
      <c r="AD738" s="586"/>
      <c r="AE738" s="586"/>
      <c r="AF738" s="170"/>
      <c r="AG738" s="170"/>
      <c r="AH738" s="170"/>
      <c r="AI738" s="170"/>
      <c r="AJ738" s="170"/>
      <c r="AK738" s="170"/>
      <c r="AL738" s="170"/>
      <c r="AM738" s="170"/>
      <c r="AN738" s="170"/>
      <c r="AO738" s="170"/>
      <c r="AP738" s="170"/>
      <c r="AQ738" s="170"/>
      <c r="AR738" s="170"/>
      <c r="AS738" s="170"/>
      <c r="AT738" s="721"/>
      <c r="AU738" s="721"/>
      <c r="AV738" s="721"/>
      <c r="AW738" s="828"/>
      <c r="AX738" s="726"/>
    </row>
    <row r="739" spans="1:50" ht="15" x14ac:dyDescent="0.25">
      <c r="A739" s="721"/>
      <c r="B739" s="904"/>
      <c r="C739" s="721"/>
      <c r="D739" s="721"/>
      <c r="E739" s="721"/>
      <c r="F739" s="721"/>
      <c r="G739" s="721"/>
      <c r="H739" s="721"/>
      <c r="I739" s="721"/>
      <c r="J739" s="721"/>
      <c r="K739" s="721"/>
      <c r="L739" s="721"/>
      <c r="M739" s="930"/>
      <c r="N739" s="930"/>
      <c r="O739" s="930"/>
      <c r="P739" s="931"/>
      <c r="Q739" s="931"/>
      <c r="R739" s="930"/>
      <c r="S739" s="930"/>
      <c r="T739" s="932"/>
      <c r="U739" s="933"/>
      <c r="V739" s="934"/>
      <c r="W739" s="934"/>
      <c r="X739" s="932"/>
      <c r="Y739" s="932"/>
      <c r="Z739" s="932"/>
      <c r="AA739" s="726"/>
      <c r="AB739" s="726"/>
      <c r="AC739" s="721"/>
      <c r="AD739" s="586"/>
      <c r="AE739" s="586"/>
      <c r="AF739" s="170"/>
      <c r="AG739" s="170"/>
      <c r="AH739" s="170"/>
      <c r="AI739" s="170"/>
      <c r="AJ739" s="170"/>
      <c r="AK739" s="170"/>
      <c r="AL739" s="170"/>
      <c r="AM739" s="170"/>
      <c r="AN739" s="170"/>
      <c r="AO739" s="170"/>
      <c r="AP739" s="170"/>
      <c r="AQ739" s="170"/>
      <c r="AR739" s="170"/>
      <c r="AS739" s="170"/>
      <c r="AT739" s="721"/>
      <c r="AU739" s="721"/>
      <c r="AV739" s="721"/>
      <c r="AW739" s="828"/>
      <c r="AX739" s="726"/>
    </row>
    <row r="740" spans="1:50" ht="15" x14ac:dyDescent="0.25">
      <c r="A740" s="721"/>
      <c r="B740" s="904"/>
      <c r="C740" s="721"/>
      <c r="D740" s="721"/>
      <c r="E740" s="721"/>
      <c r="F740" s="721"/>
      <c r="G740" s="721"/>
      <c r="H740" s="721"/>
      <c r="I740" s="721"/>
      <c r="J740" s="721"/>
      <c r="K740" s="721"/>
      <c r="L740" s="721"/>
      <c r="M740" s="930"/>
      <c r="N740" s="930"/>
      <c r="O740" s="930"/>
      <c r="P740" s="931"/>
      <c r="Q740" s="931"/>
      <c r="R740" s="930"/>
      <c r="S740" s="930"/>
      <c r="T740" s="932"/>
      <c r="U740" s="933"/>
      <c r="V740" s="934"/>
      <c r="W740" s="934"/>
      <c r="X740" s="932"/>
      <c r="Y740" s="932"/>
      <c r="Z740" s="932"/>
      <c r="AA740" s="726"/>
      <c r="AB740" s="726"/>
      <c r="AC740" s="721"/>
      <c r="AD740" s="586"/>
      <c r="AE740" s="586"/>
      <c r="AF740" s="170"/>
      <c r="AG740" s="170"/>
      <c r="AH740" s="170"/>
      <c r="AI740" s="170"/>
      <c r="AJ740" s="170"/>
      <c r="AK740" s="170"/>
      <c r="AL740" s="170"/>
      <c r="AM740" s="170"/>
      <c r="AN740" s="170"/>
      <c r="AO740" s="170"/>
      <c r="AP740" s="170"/>
      <c r="AQ740" s="170"/>
      <c r="AR740" s="170"/>
      <c r="AS740" s="170"/>
      <c r="AT740" s="721"/>
      <c r="AU740" s="721"/>
      <c r="AV740" s="721"/>
      <c r="AW740" s="828"/>
      <c r="AX740" s="726"/>
    </row>
    <row r="741" spans="1:50" ht="15" x14ac:dyDescent="0.25">
      <c r="A741" s="721"/>
      <c r="B741" s="904"/>
      <c r="C741" s="721"/>
      <c r="D741" s="721"/>
      <c r="E741" s="721"/>
      <c r="F741" s="721"/>
      <c r="G741" s="721"/>
      <c r="H741" s="721"/>
      <c r="I741" s="721"/>
      <c r="J741" s="721"/>
      <c r="K741" s="721"/>
      <c r="L741" s="721"/>
      <c r="M741" s="930"/>
      <c r="N741" s="930"/>
      <c r="O741" s="930"/>
      <c r="P741" s="931"/>
      <c r="Q741" s="931"/>
      <c r="R741" s="930"/>
      <c r="S741" s="930"/>
      <c r="T741" s="932"/>
      <c r="U741" s="933"/>
      <c r="V741" s="934"/>
      <c r="W741" s="934"/>
      <c r="X741" s="932"/>
      <c r="Y741" s="932"/>
      <c r="Z741" s="932"/>
      <c r="AA741" s="726"/>
      <c r="AB741" s="726"/>
      <c r="AC741" s="721"/>
      <c r="AD741" s="586"/>
      <c r="AE741" s="586"/>
      <c r="AF741" s="170"/>
      <c r="AG741" s="170"/>
      <c r="AH741" s="170"/>
      <c r="AI741" s="170"/>
      <c r="AJ741" s="170"/>
      <c r="AK741" s="170"/>
      <c r="AL741" s="170"/>
      <c r="AM741" s="170"/>
      <c r="AN741" s="170"/>
      <c r="AO741" s="170"/>
      <c r="AP741" s="170"/>
      <c r="AQ741" s="170"/>
      <c r="AR741" s="170"/>
      <c r="AS741" s="170"/>
      <c r="AT741" s="721"/>
      <c r="AU741" s="721"/>
      <c r="AV741" s="721"/>
      <c r="AW741" s="828"/>
      <c r="AX741" s="726"/>
    </row>
    <row r="742" spans="1:50" ht="15" x14ac:dyDescent="0.25">
      <c r="A742" s="721"/>
      <c r="B742" s="904"/>
      <c r="C742" s="721"/>
      <c r="D742" s="721"/>
      <c r="E742" s="721"/>
      <c r="F742" s="721"/>
      <c r="G742" s="721"/>
      <c r="H742" s="721"/>
      <c r="I742" s="721"/>
      <c r="J742" s="721"/>
      <c r="K742" s="721"/>
      <c r="L742" s="721"/>
      <c r="M742" s="930"/>
      <c r="N742" s="930"/>
      <c r="O742" s="930"/>
      <c r="P742" s="931"/>
      <c r="Q742" s="931"/>
      <c r="R742" s="930"/>
      <c r="S742" s="930"/>
      <c r="T742" s="932"/>
      <c r="U742" s="933"/>
      <c r="V742" s="934"/>
      <c r="W742" s="934"/>
      <c r="X742" s="932"/>
      <c r="Y742" s="932"/>
      <c r="Z742" s="932"/>
      <c r="AA742" s="726"/>
      <c r="AB742" s="726"/>
      <c r="AC742" s="721"/>
      <c r="AD742" s="586"/>
      <c r="AE742" s="586"/>
      <c r="AF742" s="170"/>
      <c r="AG742" s="170"/>
      <c r="AH742" s="170"/>
      <c r="AI742" s="170"/>
      <c r="AJ742" s="170"/>
      <c r="AK742" s="170"/>
      <c r="AL742" s="170"/>
      <c r="AM742" s="170"/>
      <c r="AN742" s="170"/>
      <c r="AO742" s="170"/>
      <c r="AP742" s="170"/>
      <c r="AQ742" s="170"/>
      <c r="AR742" s="170"/>
      <c r="AS742" s="170"/>
      <c r="AT742" s="721"/>
      <c r="AU742" s="721"/>
      <c r="AV742" s="721"/>
      <c r="AW742" s="828"/>
      <c r="AX742" s="726"/>
    </row>
    <row r="743" spans="1:50" ht="15" x14ac:dyDescent="0.25">
      <c r="A743" s="721"/>
      <c r="B743" s="904"/>
      <c r="C743" s="721"/>
      <c r="D743" s="721"/>
      <c r="E743" s="721"/>
      <c r="F743" s="721"/>
      <c r="G743" s="721"/>
      <c r="H743" s="721"/>
      <c r="I743" s="721"/>
      <c r="J743" s="721"/>
      <c r="K743" s="721"/>
      <c r="L743" s="721"/>
      <c r="M743" s="930"/>
      <c r="N743" s="930"/>
      <c r="O743" s="930"/>
      <c r="P743" s="931"/>
      <c r="Q743" s="931"/>
      <c r="R743" s="930"/>
      <c r="S743" s="930"/>
      <c r="T743" s="932"/>
      <c r="U743" s="933"/>
      <c r="V743" s="934"/>
      <c r="W743" s="934"/>
      <c r="X743" s="932"/>
      <c r="Y743" s="932"/>
      <c r="Z743" s="932"/>
      <c r="AA743" s="726"/>
      <c r="AB743" s="726"/>
      <c r="AC743" s="721"/>
      <c r="AD743" s="586"/>
      <c r="AE743" s="586"/>
      <c r="AF743" s="170"/>
      <c r="AG743" s="170"/>
      <c r="AH743" s="170"/>
      <c r="AI743" s="170"/>
      <c r="AJ743" s="170"/>
      <c r="AK743" s="170"/>
      <c r="AL743" s="170"/>
      <c r="AM743" s="170"/>
      <c r="AN743" s="170"/>
      <c r="AO743" s="170"/>
      <c r="AP743" s="170"/>
      <c r="AQ743" s="170"/>
      <c r="AR743" s="170"/>
      <c r="AS743" s="170"/>
      <c r="AT743" s="721"/>
      <c r="AU743" s="721"/>
      <c r="AV743" s="721"/>
      <c r="AW743" s="828"/>
      <c r="AX743" s="726"/>
    </row>
    <row r="744" spans="1:50" ht="15" x14ac:dyDescent="0.25">
      <c r="A744" s="721"/>
      <c r="B744" s="904"/>
      <c r="C744" s="721"/>
      <c r="D744" s="721"/>
      <c r="E744" s="721"/>
      <c r="F744" s="721"/>
      <c r="G744" s="721"/>
      <c r="H744" s="721"/>
      <c r="I744" s="721"/>
      <c r="J744" s="721"/>
      <c r="K744" s="721"/>
      <c r="L744" s="721"/>
      <c r="M744" s="930"/>
      <c r="N744" s="930"/>
      <c r="O744" s="930"/>
      <c r="P744" s="931"/>
      <c r="Q744" s="931"/>
      <c r="R744" s="930"/>
      <c r="S744" s="930"/>
      <c r="T744" s="932"/>
      <c r="U744" s="933"/>
      <c r="V744" s="934"/>
      <c r="W744" s="934"/>
      <c r="X744" s="932"/>
      <c r="Y744" s="932"/>
      <c r="Z744" s="932"/>
      <c r="AA744" s="726"/>
      <c r="AB744" s="726"/>
      <c r="AC744" s="721"/>
      <c r="AD744" s="586"/>
      <c r="AE744" s="586"/>
      <c r="AF744" s="170"/>
      <c r="AG744" s="170"/>
      <c r="AH744" s="170"/>
      <c r="AI744" s="170"/>
      <c r="AJ744" s="170"/>
      <c r="AK744" s="170"/>
      <c r="AL744" s="170"/>
      <c r="AM744" s="170"/>
      <c r="AN744" s="170"/>
      <c r="AO744" s="170"/>
      <c r="AP744" s="170"/>
      <c r="AQ744" s="170"/>
      <c r="AR744" s="170"/>
      <c r="AS744" s="170"/>
      <c r="AT744" s="721"/>
      <c r="AU744" s="721"/>
      <c r="AV744" s="721"/>
      <c r="AW744" s="828"/>
      <c r="AX744" s="726"/>
    </row>
    <row r="745" spans="1:50" ht="15" x14ac:dyDescent="0.25">
      <c r="A745" s="721"/>
      <c r="B745" s="904"/>
      <c r="C745" s="721"/>
      <c r="D745" s="721"/>
      <c r="E745" s="721"/>
      <c r="F745" s="721"/>
      <c r="G745" s="721"/>
      <c r="H745" s="721"/>
      <c r="I745" s="721"/>
      <c r="J745" s="721"/>
      <c r="K745" s="721"/>
      <c r="L745" s="721"/>
      <c r="M745" s="930"/>
      <c r="N745" s="930"/>
      <c r="O745" s="930"/>
      <c r="P745" s="931"/>
      <c r="Q745" s="931"/>
      <c r="R745" s="930"/>
      <c r="S745" s="930"/>
      <c r="T745" s="932"/>
      <c r="U745" s="933"/>
      <c r="V745" s="934"/>
      <c r="W745" s="934"/>
      <c r="X745" s="932"/>
      <c r="Y745" s="932"/>
      <c r="Z745" s="932"/>
      <c r="AA745" s="726"/>
      <c r="AB745" s="726"/>
      <c r="AC745" s="721"/>
      <c r="AD745" s="586"/>
      <c r="AE745" s="586"/>
      <c r="AF745" s="170"/>
      <c r="AG745" s="170"/>
      <c r="AH745" s="170"/>
      <c r="AI745" s="170"/>
      <c r="AJ745" s="170"/>
      <c r="AK745" s="170"/>
      <c r="AL745" s="170"/>
      <c r="AM745" s="170"/>
      <c r="AN745" s="170"/>
      <c r="AO745" s="170"/>
      <c r="AP745" s="170"/>
      <c r="AQ745" s="170"/>
      <c r="AR745" s="170"/>
      <c r="AS745" s="170"/>
      <c r="AT745" s="721"/>
      <c r="AU745" s="721"/>
      <c r="AV745" s="721"/>
      <c r="AW745" s="828"/>
      <c r="AX745" s="726"/>
    </row>
    <row r="746" spans="1:50" ht="15" x14ac:dyDescent="0.25">
      <c r="A746" s="721"/>
      <c r="B746" s="904"/>
      <c r="C746" s="721"/>
      <c r="D746" s="721"/>
      <c r="E746" s="721"/>
      <c r="F746" s="721"/>
      <c r="G746" s="721"/>
      <c r="H746" s="721"/>
      <c r="I746" s="721"/>
      <c r="J746" s="721"/>
      <c r="K746" s="721"/>
      <c r="L746" s="721"/>
      <c r="M746" s="930"/>
      <c r="N746" s="930"/>
      <c r="O746" s="930"/>
      <c r="P746" s="931"/>
      <c r="Q746" s="931"/>
      <c r="R746" s="930"/>
      <c r="S746" s="930"/>
      <c r="T746" s="932"/>
      <c r="U746" s="933"/>
      <c r="V746" s="934"/>
      <c r="W746" s="934"/>
      <c r="X746" s="932"/>
      <c r="Y746" s="932"/>
      <c r="Z746" s="932"/>
      <c r="AA746" s="726"/>
      <c r="AB746" s="726"/>
      <c r="AC746" s="721"/>
      <c r="AD746" s="586"/>
      <c r="AE746" s="586"/>
      <c r="AF746" s="170"/>
      <c r="AG746" s="170"/>
      <c r="AH746" s="170"/>
      <c r="AI746" s="170"/>
      <c r="AJ746" s="170"/>
      <c r="AK746" s="170"/>
      <c r="AL746" s="170"/>
      <c r="AM746" s="170"/>
      <c r="AN746" s="170"/>
      <c r="AO746" s="170"/>
      <c r="AP746" s="170"/>
      <c r="AQ746" s="170"/>
      <c r="AR746" s="170"/>
      <c r="AS746" s="170"/>
      <c r="AT746" s="721"/>
      <c r="AU746" s="721"/>
      <c r="AV746" s="721"/>
      <c r="AW746" s="828"/>
      <c r="AX746" s="726"/>
    </row>
    <row r="747" spans="1:50" ht="15" x14ac:dyDescent="0.25">
      <c r="A747" s="721"/>
      <c r="B747" s="904"/>
      <c r="C747" s="721"/>
      <c r="D747" s="721"/>
      <c r="E747" s="721"/>
      <c r="F747" s="721"/>
      <c r="G747" s="721"/>
      <c r="H747" s="721"/>
      <c r="I747" s="721"/>
      <c r="J747" s="721"/>
      <c r="K747" s="721"/>
      <c r="L747" s="721"/>
      <c r="M747" s="930"/>
      <c r="N747" s="930"/>
      <c r="O747" s="930"/>
      <c r="P747" s="931"/>
      <c r="Q747" s="931"/>
      <c r="R747" s="930"/>
      <c r="S747" s="930"/>
      <c r="T747" s="932"/>
      <c r="U747" s="933"/>
      <c r="V747" s="934"/>
      <c r="W747" s="934"/>
      <c r="X747" s="932"/>
      <c r="Y747" s="932"/>
      <c r="Z747" s="932"/>
      <c r="AA747" s="726"/>
      <c r="AB747" s="726"/>
      <c r="AC747" s="721"/>
      <c r="AD747" s="586"/>
      <c r="AE747" s="586"/>
      <c r="AF747" s="170"/>
      <c r="AG747" s="170"/>
      <c r="AH747" s="170"/>
      <c r="AI747" s="170"/>
      <c r="AJ747" s="170"/>
      <c r="AK747" s="170"/>
      <c r="AL747" s="170"/>
      <c r="AM747" s="170"/>
      <c r="AN747" s="170"/>
      <c r="AO747" s="170"/>
      <c r="AP747" s="170"/>
      <c r="AQ747" s="170"/>
      <c r="AR747" s="170"/>
      <c r="AS747" s="170"/>
      <c r="AT747" s="721"/>
      <c r="AU747" s="721"/>
      <c r="AV747" s="721"/>
      <c r="AW747" s="828"/>
      <c r="AX747" s="726"/>
    </row>
    <row r="748" spans="1:50" ht="15" x14ac:dyDescent="0.25">
      <c r="A748" s="721"/>
      <c r="B748" s="904"/>
      <c r="C748" s="721"/>
      <c r="D748" s="721"/>
      <c r="E748" s="721"/>
      <c r="F748" s="721"/>
      <c r="G748" s="721"/>
      <c r="H748" s="721"/>
      <c r="I748" s="721"/>
      <c r="J748" s="721"/>
      <c r="K748" s="721"/>
      <c r="L748" s="721"/>
      <c r="M748" s="930"/>
      <c r="N748" s="930"/>
      <c r="O748" s="930"/>
      <c r="P748" s="931"/>
      <c r="Q748" s="931"/>
      <c r="R748" s="930"/>
      <c r="S748" s="930"/>
      <c r="T748" s="932"/>
      <c r="U748" s="933"/>
      <c r="V748" s="934"/>
      <c r="W748" s="934"/>
      <c r="X748" s="932"/>
      <c r="Y748" s="932"/>
      <c r="Z748" s="932"/>
      <c r="AA748" s="726"/>
      <c r="AB748" s="726"/>
      <c r="AC748" s="721"/>
      <c r="AD748" s="586"/>
      <c r="AE748" s="586"/>
      <c r="AF748" s="170"/>
      <c r="AG748" s="170"/>
      <c r="AH748" s="170"/>
      <c r="AI748" s="170"/>
      <c r="AJ748" s="170"/>
      <c r="AK748" s="170"/>
      <c r="AL748" s="170"/>
      <c r="AM748" s="170"/>
      <c r="AN748" s="170"/>
      <c r="AO748" s="170"/>
      <c r="AP748" s="170"/>
      <c r="AQ748" s="170"/>
      <c r="AR748" s="170"/>
      <c r="AS748" s="170"/>
      <c r="AT748" s="721"/>
      <c r="AU748" s="721"/>
      <c r="AV748" s="721"/>
      <c r="AW748" s="828"/>
      <c r="AX748" s="726"/>
    </row>
    <row r="749" spans="1:50" ht="15" x14ac:dyDescent="0.25">
      <c r="A749" s="721"/>
      <c r="B749" s="904"/>
      <c r="C749" s="721"/>
      <c r="D749" s="721"/>
      <c r="E749" s="721"/>
      <c r="F749" s="721"/>
      <c r="G749" s="721"/>
      <c r="H749" s="721"/>
      <c r="I749" s="721"/>
      <c r="J749" s="721"/>
      <c r="K749" s="721"/>
      <c r="L749" s="721"/>
      <c r="M749" s="930"/>
      <c r="N749" s="930"/>
      <c r="O749" s="930"/>
      <c r="P749" s="931"/>
      <c r="Q749" s="931"/>
      <c r="R749" s="930"/>
      <c r="S749" s="930"/>
      <c r="T749" s="932"/>
      <c r="U749" s="933"/>
      <c r="V749" s="934"/>
      <c r="W749" s="934"/>
      <c r="X749" s="932"/>
      <c r="Y749" s="932"/>
      <c r="Z749" s="932"/>
      <c r="AA749" s="726"/>
      <c r="AB749" s="726"/>
      <c r="AC749" s="721"/>
      <c r="AD749" s="586"/>
      <c r="AE749" s="586"/>
      <c r="AF749" s="170"/>
      <c r="AG749" s="170"/>
      <c r="AH749" s="170"/>
      <c r="AI749" s="170"/>
      <c r="AJ749" s="170"/>
      <c r="AK749" s="170"/>
      <c r="AL749" s="170"/>
      <c r="AM749" s="170"/>
      <c r="AN749" s="170"/>
      <c r="AO749" s="170"/>
      <c r="AP749" s="170"/>
      <c r="AQ749" s="170"/>
      <c r="AR749" s="170"/>
      <c r="AS749" s="170"/>
      <c r="AT749" s="721"/>
      <c r="AU749" s="721"/>
      <c r="AV749" s="721"/>
      <c r="AW749" s="828"/>
      <c r="AX749" s="726"/>
    </row>
    <row r="750" spans="1:50" ht="15" x14ac:dyDescent="0.25">
      <c r="A750" s="721"/>
      <c r="B750" s="904"/>
      <c r="C750" s="721"/>
      <c r="D750" s="721"/>
      <c r="E750" s="721"/>
      <c r="F750" s="721"/>
      <c r="G750" s="721"/>
      <c r="H750" s="721"/>
      <c r="I750" s="721"/>
      <c r="J750" s="721"/>
      <c r="K750" s="721"/>
      <c r="L750" s="721"/>
      <c r="M750" s="930"/>
      <c r="N750" s="930"/>
      <c r="O750" s="930"/>
      <c r="P750" s="931"/>
      <c r="Q750" s="931"/>
      <c r="R750" s="930"/>
      <c r="S750" s="930"/>
      <c r="T750" s="932"/>
      <c r="U750" s="933"/>
      <c r="V750" s="934"/>
      <c r="W750" s="934"/>
      <c r="X750" s="932"/>
      <c r="Y750" s="932"/>
      <c r="Z750" s="932"/>
      <c r="AA750" s="726"/>
      <c r="AB750" s="726"/>
      <c r="AC750" s="721"/>
      <c r="AD750" s="586"/>
      <c r="AE750" s="586"/>
      <c r="AF750" s="170"/>
      <c r="AG750" s="170"/>
      <c r="AH750" s="170"/>
      <c r="AI750" s="170"/>
      <c r="AJ750" s="170"/>
      <c r="AK750" s="170"/>
      <c r="AL750" s="170"/>
      <c r="AM750" s="170"/>
      <c r="AN750" s="170"/>
      <c r="AO750" s="170"/>
      <c r="AP750" s="170"/>
      <c r="AQ750" s="170"/>
      <c r="AR750" s="170"/>
      <c r="AS750" s="170"/>
      <c r="AT750" s="721"/>
      <c r="AU750" s="721"/>
      <c r="AV750" s="721"/>
      <c r="AW750" s="828"/>
      <c r="AX750" s="726"/>
    </row>
    <row r="751" spans="1:50" ht="15" x14ac:dyDescent="0.25">
      <c r="A751" s="721"/>
      <c r="B751" s="904"/>
      <c r="C751" s="721"/>
      <c r="D751" s="721"/>
      <c r="E751" s="721"/>
      <c r="F751" s="721"/>
      <c r="G751" s="721"/>
      <c r="H751" s="721"/>
      <c r="I751" s="721"/>
      <c r="J751" s="721"/>
      <c r="K751" s="721"/>
      <c r="L751" s="721"/>
      <c r="M751" s="930"/>
      <c r="N751" s="930"/>
      <c r="O751" s="930"/>
      <c r="P751" s="931"/>
      <c r="Q751" s="931"/>
      <c r="R751" s="930"/>
      <c r="S751" s="930"/>
      <c r="T751" s="932"/>
      <c r="U751" s="933"/>
      <c r="V751" s="934"/>
      <c r="W751" s="934"/>
      <c r="X751" s="932"/>
      <c r="Y751" s="932"/>
      <c r="Z751" s="932"/>
      <c r="AA751" s="726"/>
      <c r="AB751" s="726"/>
      <c r="AC751" s="721"/>
      <c r="AD751" s="586"/>
      <c r="AE751" s="586"/>
      <c r="AF751" s="170"/>
      <c r="AG751" s="170"/>
      <c r="AH751" s="170"/>
      <c r="AI751" s="170"/>
      <c r="AJ751" s="170"/>
      <c r="AK751" s="170"/>
      <c r="AL751" s="170"/>
      <c r="AM751" s="170"/>
      <c r="AN751" s="170"/>
      <c r="AO751" s="170"/>
      <c r="AP751" s="170"/>
      <c r="AQ751" s="170"/>
      <c r="AR751" s="170"/>
      <c r="AS751" s="170"/>
      <c r="AT751" s="721"/>
      <c r="AU751" s="721"/>
      <c r="AV751" s="721"/>
      <c r="AW751" s="828"/>
      <c r="AX751" s="726"/>
    </row>
    <row r="752" spans="1:50" ht="15" x14ac:dyDescent="0.25">
      <c r="A752" s="721"/>
      <c r="B752" s="904"/>
      <c r="C752" s="721"/>
      <c r="D752" s="721"/>
      <c r="E752" s="721"/>
      <c r="F752" s="721"/>
      <c r="G752" s="721"/>
      <c r="H752" s="721"/>
      <c r="I752" s="721"/>
      <c r="J752" s="721"/>
      <c r="K752" s="721"/>
      <c r="L752" s="721"/>
      <c r="M752" s="930"/>
      <c r="N752" s="930"/>
      <c r="O752" s="930"/>
      <c r="P752" s="931"/>
      <c r="Q752" s="931"/>
      <c r="R752" s="930"/>
      <c r="S752" s="930"/>
      <c r="T752" s="932"/>
      <c r="U752" s="933"/>
      <c r="V752" s="934"/>
      <c r="W752" s="934"/>
      <c r="X752" s="932"/>
      <c r="Y752" s="932"/>
      <c r="Z752" s="932"/>
      <c r="AA752" s="726"/>
      <c r="AB752" s="726"/>
      <c r="AC752" s="721"/>
      <c r="AD752" s="586"/>
      <c r="AE752" s="586"/>
      <c r="AF752" s="170"/>
      <c r="AG752" s="170"/>
      <c r="AH752" s="170"/>
      <c r="AI752" s="170"/>
      <c r="AJ752" s="170"/>
      <c r="AK752" s="170"/>
      <c r="AL752" s="170"/>
      <c r="AM752" s="170"/>
      <c r="AN752" s="170"/>
      <c r="AO752" s="170"/>
      <c r="AP752" s="170"/>
      <c r="AQ752" s="170"/>
      <c r="AR752" s="170"/>
      <c r="AS752" s="170"/>
      <c r="AT752" s="721"/>
      <c r="AU752" s="721"/>
      <c r="AV752" s="721"/>
      <c r="AW752" s="828"/>
      <c r="AX752" s="726"/>
    </row>
    <row r="753" spans="1:50" ht="15" x14ac:dyDescent="0.25">
      <c r="A753" s="721"/>
      <c r="B753" s="904"/>
      <c r="C753" s="721"/>
      <c r="D753" s="721"/>
      <c r="E753" s="721"/>
      <c r="F753" s="721"/>
      <c r="G753" s="721"/>
      <c r="H753" s="721"/>
      <c r="I753" s="721"/>
      <c r="J753" s="721"/>
      <c r="K753" s="721"/>
      <c r="L753" s="721"/>
      <c r="M753" s="930"/>
      <c r="N753" s="930"/>
      <c r="O753" s="930"/>
      <c r="P753" s="931"/>
      <c r="Q753" s="931"/>
      <c r="R753" s="930"/>
      <c r="S753" s="930"/>
      <c r="T753" s="932"/>
      <c r="U753" s="933"/>
      <c r="V753" s="934"/>
      <c r="W753" s="934"/>
      <c r="X753" s="932"/>
      <c r="Y753" s="932"/>
      <c r="Z753" s="932"/>
      <c r="AA753" s="726"/>
      <c r="AB753" s="726"/>
      <c r="AC753" s="721"/>
      <c r="AD753" s="586"/>
      <c r="AE753" s="586"/>
      <c r="AF753" s="170"/>
      <c r="AG753" s="170"/>
      <c r="AH753" s="170"/>
      <c r="AI753" s="170"/>
      <c r="AJ753" s="170"/>
      <c r="AK753" s="170"/>
      <c r="AL753" s="170"/>
      <c r="AM753" s="170"/>
      <c r="AN753" s="170"/>
      <c r="AO753" s="170"/>
      <c r="AP753" s="170"/>
      <c r="AQ753" s="170"/>
      <c r="AR753" s="170"/>
      <c r="AS753" s="170"/>
      <c r="AT753" s="721"/>
      <c r="AU753" s="721"/>
      <c r="AV753" s="721"/>
      <c r="AW753" s="828"/>
      <c r="AX753" s="726"/>
    </row>
    <row r="754" spans="1:50" ht="15" x14ac:dyDescent="0.25">
      <c r="A754" s="721"/>
      <c r="B754" s="904"/>
      <c r="C754" s="721"/>
      <c r="D754" s="721"/>
      <c r="E754" s="721"/>
      <c r="F754" s="721"/>
      <c r="G754" s="721"/>
      <c r="H754" s="721"/>
      <c r="I754" s="721"/>
      <c r="J754" s="721"/>
      <c r="K754" s="721"/>
      <c r="L754" s="721"/>
      <c r="M754" s="930"/>
      <c r="N754" s="930"/>
      <c r="O754" s="930"/>
      <c r="P754" s="931"/>
      <c r="Q754" s="931"/>
      <c r="R754" s="930"/>
      <c r="S754" s="930"/>
      <c r="T754" s="932"/>
      <c r="U754" s="933"/>
      <c r="V754" s="934"/>
      <c r="W754" s="934"/>
      <c r="X754" s="932"/>
      <c r="Y754" s="932"/>
      <c r="Z754" s="932"/>
      <c r="AA754" s="726"/>
      <c r="AB754" s="726"/>
      <c r="AC754" s="721"/>
      <c r="AD754" s="586"/>
      <c r="AE754" s="586"/>
      <c r="AF754" s="170"/>
      <c r="AG754" s="170"/>
      <c r="AH754" s="170"/>
      <c r="AI754" s="170"/>
      <c r="AJ754" s="170"/>
      <c r="AK754" s="170"/>
      <c r="AL754" s="170"/>
      <c r="AM754" s="170"/>
      <c r="AN754" s="170"/>
      <c r="AO754" s="170"/>
      <c r="AP754" s="170"/>
      <c r="AQ754" s="170"/>
      <c r="AR754" s="170"/>
      <c r="AS754" s="170"/>
      <c r="AT754" s="721"/>
      <c r="AU754" s="721"/>
      <c r="AV754" s="721"/>
      <c r="AW754" s="828"/>
      <c r="AX754" s="726"/>
    </row>
    <row r="755" spans="1:50" ht="15" x14ac:dyDescent="0.25">
      <c r="A755" s="721"/>
      <c r="B755" s="904"/>
      <c r="C755" s="721"/>
      <c r="D755" s="721"/>
      <c r="E755" s="721"/>
      <c r="F755" s="721"/>
      <c r="G755" s="721"/>
      <c r="H755" s="721"/>
      <c r="I755" s="721"/>
      <c r="J755" s="721"/>
      <c r="K755" s="721"/>
      <c r="L755" s="721"/>
      <c r="M755" s="930"/>
      <c r="N755" s="930"/>
      <c r="O755" s="930"/>
      <c r="P755" s="931"/>
      <c r="Q755" s="931"/>
      <c r="R755" s="930"/>
      <c r="S755" s="930"/>
      <c r="T755" s="932"/>
      <c r="U755" s="933"/>
      <c r="V755" s="934"/>
      <c r="W755" s="934"/>
      <c r="X755" s="932"/>
      <c r="Y755" s="932"/>
      <c r="Z755" s="932"/>
      <c r="AA755" s="726"/>
      <c r="AB755" s="726"/>
      <c r="AC755" s="721"/>
      <c r="AD755" s="586"/>
      <c r="AE755" s="586"/>
      <c r="AF755" s="170"/>
      <c r="AG755" s="170"/>
      <c r="AH755" s="170"/>
      <c r="AI755" s="170"/>
      <c r="AJ755" s="170"/>
      <c r="AK755" s="170"/>
      <c r="AL755" s="170"/>
      <c r="AM755" s="170"/>
      <c r="AN755" s="170"/>
      <c r="AO755" s="170"/>
      <c r="AP755" s="170"/>
      <c r="AQ755" s="170"/>
      <c r="AR755" s="170"/>
      <c r="AS755" s="170"/>
      <c r="AT755" s="721"/>
      <c r="AU755" s="721"/>
      <c r="AV755" s="721"/>
      <c r="AW755" s="828"/>
      <c r="AX755" s="726"/>
    </row>
    <row r="756" spans="1:50" ht="15" x14ac:dyDescent="0.25">
      <c r="A756" s="721"/>
      <c r="B756" s="904"/>
      <c r="C756" s="721"/>
      <c r="D756" s="721"/>
      <c r="E756" s="721"/>
      <c r="F756" s="721"/>
      <c r="G756" s="721"/>
      <c r="H756" s="721"/>
      <c r="I756" s="721"/>
      <c r="J756" s="721"/>
      <c r="K756" s="721"/>
      <c r="L756" s="721"/>
      <c r="M756" s="930"/>
      <c r="N756" s="930"/>
      <c r="O756" s="930"/>
      <c r="P756" s="931"/>
      <c r="Q756" s="931"/>
      <c r="R756" s="930"/>
      <c r="S756" s="930"/>
      <c r="T756" s="932"/>
      <c r="U756" s="933"/>
      <c r="V756" s="934"/>
      <c r="W756" s="934"/>
      <c r="X756" s="932"/>
      <c r="Y756" s="932"/>
      <c r="Z756" s="932"/>
      <c r="AA756" s="726"/>
      <c r="AB756" s="726"/>
      <c r="AC756" s="721"/>
      <c r="AD756" s="586"/>
      <c r="AE756" s="586"/>
      <c r="AF756" s="170"/>
      <c r="AG756" s="170"/>
      <c r="AH756" s="170"/>
      <c r="AI756" s="170"/>
      <c r="AJ756" s="170"/>
      <c r="AK756" s="170"/>
      <c r="AL756" s="170"/>
      <c r="AM756" s="170"/>
      <c r="AN756" s="170"/>
      <c r="AO756" s="170"/>
      <c r="AP756" s="170"/>
      <c r="AQ756" s="170"/>
      <c r="AR756" s="170"/>
      <c r="AS756" s="170"/>
      <c r="AT756" s="721"/>
      <c r="AU756" s="721"/>
      <c r="AV756" s="721"/>
      <c r="AW756" s="828"/>
      <c r="AX756" s="726"/>
    </row>
    <row r="757" spans="1:50" ht="15" x14ac:dyDescent="0.25">
      <c r="A757" s="721"/>
      <c r="B757" s="904"/>
      <c r="C757" s="721"/>
      <c r="D757" s="721"/>
      <c r="E757" s="721"/>
      <c r="F757" s="721"/>
      <c r="G757" s="721"/>
      <c r="H757" s="721"/>
      <c r="I757" s="721"/>
      <c r="J757" s="721"/>
      <c r="K757" s="721"/>
      <c r="L757" s="721"/>
      <c r="M757" s="930"/>
      <c r="N757" s="930"/>
      <c r="O757" s="930"/>
      <c r="P757" s="931"/>
      <c r="Q757" s="931"/>
      <c r="R757" s="930"/>
      <c r="S757" s="930"/>
      <c r="T757" s="932"/>
      <c r="U757" s="933"/>
      <c r="V757" s="934"/>
      <c r="W757" s="934"/>
      <c r="X757" s="932"/>
      <c r="Y757" s="932"/>
      <c r="Z757" s="932"/>
      <c r="AA757" s="726"/>
      <c r="AB757" s="726"/>
      <c r="AC757" s="721"/>
      <c r="AD757" s="586"/>
      <c r="AE757" s="586"/>
      <c r="AF757" s="170"/>
      <c r="AG757" s="170"/>
      <c r="AH757" s="170"/>
      <c r="AI757" s="170"/>
      <c r="AJ757" s="170"/>
      <c r="AK757" s="170"/>
      <c r="AL757" s="170"/>
      <c r="AM757" s="170"/>
      <c r="AN757" s="170"/>
      <c r="AO757" s="170"/>
      <c r="AP757" s="170"/>
      <c r="AQ757" s="170"/>
      <c r="AR757" s="170"/>
      <c r="AS757" s="170"/>
      <c r="AT757" s="721"/>
      <c r="AU757" s="721"/>
      <c r="AV757" s="721"/>
      <c r="AW757" s="828"/>
      <c r="AX757" s="726"/>
    </row>
    <row r="758" spans="1:50" ht="15" x14ac:dyDescent="0.25">
      <c r="A758" s="721"/>
      <c r="B758" s="904"/>
      <c r="C758" s="721"/>
      <c r="D758" s="721"/>
      <c r="E758" s="721"/>
      <c r="F758" s="721"/>
      <c r="G758" s="721"/>
      <c r="H758" s="721"/>
      <c r="I758" s="721"/>
      <c r="J758" s="721"/>
      <c r="K758" s="721"/>
      <c r="L758" s="721"/>
      <c r="M758" s="930"/>
      <c r="N758" s="930"/>
      <c r="O758" s="930"/>
      <c r="P758" s="931"/>
      <c r="Q758" s="931"/>
      <c r="R758" s="930"/>
      <c r="S758" s="930"/>
      <c r="T758" s="932"/>
      <c r="U758" s="933"/>
      <c r="V758" s="934"/>
      <c r="W758" s="934"/>
      <c r="X758" s="932"/>
      <c r="Y758" s="932"/>
      <c r="Z758" s="932"/>
      <c r="AA758" s="726"/>
      <c r="AB758" s="726"/>
      <c r="AC758" s="721"/>
      <c r="AD758" s="586"/>
      <c r="AE758" s="586"/>
      <c r="AF758" s="170"/>
      <c r="AG758" s="170"/>
      <c r="AH758" s="170"/>
      <c r="AI758" s="170"/>
      <c r="AJ758" s="170"/>
      <c r="AK758" s="170"/>
      <c r="AL758" s="170"/>
      <c r="AM758" s="170"/>
      <c r="AN758" s="170"/>
      <c r="AO758" s="170"/>
      <c r="AP758" s="170"/>
      <c r="AQ758" s="170"/>
      <c r="AR758" s="170"/>
      <c r="AS758" s="170"/>
      <c r="AT758" s="721"/>
      <c r="AU758" s="721"/>
      <c r="AV758" s="721"/>
      <c r="AW758" s="828"/>
      <c r="AX758" s="726"/>
    </row>
    <row r="759" spans="1:50" ht="15" x14ac:dyDescent="0.25">
      <c r="A759" s="721"/>
      <c r="B759" s="904"/>
      <c r="C759" s="721"/>
      <c r="D759" s="721"/>
      <c r="E759" s="721"/>
      <c r="F759" s="721"/>
      <c r="G759" s="721"/>
      <c r="H759" s="721"/>
      <c r="I759" s="721"/>
      <c r="J759" s="721"/>
      <c r="K759" s="721"/>
      <c r="L759" s="721"/>
      <c r="M759" s="930"/>
      <c r="N759" s="930"/>
      <c r="O759" s="930"/>
      <c r="P759" s="931"/>
      <c r="Q759" s="931"/>
      <c r="R759" s="930"/>
      <c r="S759" s="930"/>
      <c r="T759" s="932"/>
      <c r="U759" s="933"/>
      <c r="V759" s="934"/>
      <c r="W759" s="934"/>
      <c r="X759" s="932"/>
      <c r="Y759" s="932"/>
      <c r="Z759" s="932"/>
      <c r="AA759" s="726"/>
      <c r="AB759" s="726"/>
      <c r="AC759" s="721"/>
      <c r="AD759" s="586"/>
      <c r="AE759" s="586"/>
      <c r="AF759" s="170"/>
      <c r="AG759" s="170"/>
      <c r="AH759" s="170"/>
      <c r="AI759" s="170"/>
      <c r="AJ759" s="170"/>
      <c r="AK759" s="170"/>
      <c r="AL759" s="170"/>
      <c r="AM759" s="170"/>
      <c r="AN759" s="170"/>
      <c r="AO759" s="170"/>
      <c r="AP759" s="170"/>
      <c r="AQ759" s="170"/>
      <c r="AR759" s="170"/>
      <c r="AS759" s="170"/>
      <c r="AT759" s="721"/>
      <c r="AU759" s="721"/>
      <c r="AV759" s="721"/>
      <c r="AW759" s="828"/>
      <c r="AX759" s="726"/>
    </row>
    <row r="760" spans="1:50" ht="15" x14ac:dyDescent="0.25">
      <c r="A760" s="721"/>
      <c r="B760" s="904"/>
      <c r="C760" s="721"/>
      <c r="D760" s="721"/>
      <c r="E760" s="721"/>
      <c r="F760" s="721"/>
      <c r="G760" s="721"/>
      <c r="H760" s="721"/>
      <c r="I760" s="721"/>
      <c r="J760" s="721"/>
      <c r="K760" s="721"/>
      <c r="L760" s="721"/>
      <c r="M760" s="930"/>
      <c r="N760" s="930"/>
      <c r="O760" s="930"/>
      <c r="P760" s="931"/>
      <c r="Q760" s="931"/>
      <c r="R760" s="930"/>
      <c r="S760" s="930"/>
      <c r="T760" s="932"/>
      <c r="U760" s="933"/>
      <c r="V760" s="934"/>
      <c r="W760" s="934"/>
      <c r="X760" s="932"/>
      <c r="Y760" s="932"/>
      <c r="Z760" s="932"/>
      <c r="AA760" s="726"/>
      <c r="AB760" s="726"/>
      <c r="AC760" s="721"/>
      <c r="AD760" s="586"/>
      <c r="AE760" s="586"/>
      <c r="AF760" s="170"/>
      <c r="AG760" s="170"/>
      <c r="AH760" s="170"/>
      <c r="AI760" s="170"/>
      <c r="AJ760" s="170"/>
      <c r="AK760" s="170"/>
      <c r="AL760" s="170"/>
      <c r="AM760" s="170"/>
      <c r="AN760" s="170"/>
      <c r="AO760" s="170"/>
      <c r="AP760" s="170"/>
      <c r="AQ760" s="170"/>
      <c r="AR760" s="170"/>
      <c r="AS760" s="170"/>
      <c r="AT760" s="721"/>
      <c r="AU760" s="721"/>
      <c r="AV760" s="721"/>
      <c r="AW760" s="828"/>
      <c r="AX760" s="726"/>
    </row>
    <row r="761" spans="1:50" ht="15" x14ac:dyDescent="0.25">
      <c r="A761" s="721"/>
      <c r="B761" s="904"/>
      <c r="C761" s="721"/>
      <c r="D761" s="721"/>
      <c r="E761" s="721"/>
      <c r="F761" s="721"/>
      <c r="G761" s="721"/>
      <c r="H761" s="721"/>
      <c r="I761" s="721"/>
      <c r="J761" s="721"/>
      <c r="K761" s="721"/>
      <c r="L761" s="721"/>
      <c r="M761" s="930"/>
      <c r="N761" s="930"/>
      <c r="O761" s="930"/>
      <c r="P761" s="931"/>
      <c r="Q761" s="931"/>
      <c r="R761" s="930"/>
      <c r="S761" s="930"/>
      <c r="T761" s="932"/>
      <c r="U761" s="933"/>
      <c r="V761" s="934"/>
      <c r="W761" s="934"/>
      <c r="X761" s="932"/>
      <c r="Y761" s="932"/>
      <c r="Z761" s="932"/>
      <c r="AA761" s="726"/>
      <c r="AB761" s="726"/>
      <c r="AC761" s="721"/>
      <c r="AD761" s="586"/>
      <c r="AE761" s="586"/>
      <c r="AF761" s="170"/>
      <c r="AG761" s="170"/>
      <c r="AH761" s="170"/>
      <c r="AI761" s="170"/>
      <c r="AJ761" s="170"/>
      <c r="AK761" s="170"/>
      <c r="AL761" s="170"/>
      <c r="AM761" s="170"/>
      <c r="AN761" s="170"/>
      <c r="AO761" s="170"/>
      <c r="AP761" s="170"/>
      <c r="AQ761" s="170"/>
      <c r="AR761" s="170"/>
      <c r="AS761" s="170"/>
      <c r="AT761" s="721"/>
      <c r="AU761" s="721"/>
      <c r="AV761" s="721"/>
      <c r="AW761" s="828"/>
      <c r="AX761" s="726"/>
    </row>
    <row r="762" spans="1:50" ht="15" x14ac:dyDescent="0.25">
      <c r="A762" s="721"/>
      <c r="B762" s="904"/>
      <c r="C762" s="721"/>
      <c r="D762" s="721"/>
      <c r="E762" s="721"/>
      <c r="F762" s="721"/>
      <c r="G762" s="721"/>
      <c r="H762" s="721"/>
      <c r="I762" s="721"/>
      <c r="J762" s="721"/>
      <c r="K762" s="721"/>
      <c r="L762" s="721"/>
      <c r="M762" s="930"/>
      <c r="N762" s="930"/>
      <c r="O762" s="930"/>
      <c r="P762" s="931"/>
      <c r="Q762" s="931"/>
      <c r="R762" s="930"/>
      <c r="S762" s="930"/>
      <c r="T762" s="932"/>
      <c r="U762" s="933"/>
      <c r="V762" s="934"/>
      <c r="W762" s="934"/>
      <c r="X762" s="932"/>
      <c r="Y762" s="932"/>
      <c r="Z762" s="932"/>
      <c r="AA762" s="726"/>
      <c r="AB762" s="726"/>
      <c r="AC762" s="721"/>
      <c r="AD762" s="586"/>
      <c r="AE762" s="586"/>
      <c r="AF762" s="170"/>
      <c r="AG762" s="170"/>
      <c r="AH762" s="170"/>
      <c r="AI762" s="170"/>
      <c r="AJ762" s="170"/>
      <c r="AK762" s="170"/>
      <c r="AL762" s="170"/>
      <c r="AM762" s="170"/>
      <c r="AN762" s="170"/>
      <c r="AO762" s="170"/>
      <c r="AP762" s="170"/>
      <c r="AQ762" s="170"/>
      <c r="AR762" s="170"/>
      <c r="AS762" s="170"/>
      <c r="AT762" s="721"/>
      <c r="AU762" s="721"/>
      <c r="AV762" s="721"/>
      <c r="AW762" s="828"/>
      <c r="AX762" s="726"/>
    </row>
    <row r="763" spans="1:50" ht="15" x14ac:dyDescent="0.25">
      <c r="A763" s="721"/>
      <c r="B763" s="904"/>
      <c r="C763" s="721"/>
      <c r="D763" s="721"/>
      <c r="E763" s="721"/>
      <c r="F763" s="721"/>
      <c r="G763" s="721"/>
      <c r="H763" s="721"/>
      <c r="I763" s="721"/>
      <c r="J763" s="721"/>
      <c r="K763" s="721"/>
      <c r="L763" s="721"/>
      <c r="M763" s="930"/>
      <c r="N763" s="930"/>
      <c r="O763" s="930"/>
      <c r="P763" s="931"/>
      <c r="Q763" s="931"/>
      <c r="R763" s="930"/>
      <c r="S763" s="930"/>
      <c r="T763" s="932"/>
      <c r="U763" s="933"/>
      <c r="V763" s="934"/>
      <c r="W763" s="934"/>
      <c r="X763" s="932"/>
      <c r="Y763" s="932"/>
      <c r="Z763" s="932"/>
      <c r="AA763" s="726"/>
      <c r="AB763" s="726"/>
      <c r="AC763" s="721"/>
      <c r="AD763" s="586"/>
      <c r="AE763" s="586"/>
      <c r="AF763" s="170"/>
      <c r="AG763" s="170"/>
      <c r="AH763" s="170"/>
      <c r="AI763" s="170"/>
      <c r="AJ763" s="170"/>
      <c r="AK763" s="170"/>
      <c r="AL763" s="170"/>
      <c r="AM763" s="170"/>
      <c r="AN763" s="170"/>
      <c r="AO763" s="170"/>
      <c r="AP763" s="170"/>
      <c r="AQ763" s="170"/>
      <c r="AR763" s="170"/>
      <c r="AS763" s="170"/>
      <c r="AT763" s="721"/>
      <c r="AU763" s="721"/>
      <c r="AV763" s="721"/>
      <c r="AW763" s="828"/>
      <c r="AX763" s="726"/>
    </row>
    <row r="764" spans="1:50" ht="15" x14ac:dyDescent="0.25">
      <c r="A764" s="721"/>
      <c r="B764" s="904"/>
      <c r="C764" s="721"/>
      <c r="D764" s="721"/>
      <c r="E764" s="721"/>
      <c r="F764" s="721"/>
      <c r="G764" s="721"/>
      <c r="H764" s="721"/>
      <c r="I764" s="721"/>
      <c r="J764" s="721"/>
      <c r="K764" s="721"/>
      <c r="L764" s="721"/>
      <c r="M764" s="930"/>
      <c r="N764" s="930"/>
      <c r="O764" s="930"/>
      <c r="P764" s="931"/>
      <c r="Q764" s="931"/>
      <c r="R764" s="930"/>
      <c r="S764" s="930"/>
      <c r="T764" s="932"/>
      <c r="U764" s="933"/>
      <c r="V764" s="934"/>
      <c r="W764" s="934"/>
      <c r="X764" s="932"/>
      <c r="Y764" s="932"/>
      <c r="Z764" s="932"/>
      <c r="AA764" s="726"/>
      <c r="AB764" s="726"/>
      <c r="AC764" s="721"/>
      <c r="AD764" s="586"/>
      <c r="AE764" s="586"/>
      <c r="AF764" s="170"/>
      <c r="AG764" s="170"/>
      <c r="AH764" s="170"/>
      <c r="AI764" s="170"/>
      <c r="AJ764" s="170"/>
      <c r="AK764" s="170"/>
      <c r="AL764" s="170"/>
      <c r="AM764" s="170"/>
      <c r="AN764" s="170"/>
      <c r="AO764" s="170"/>
      <c r="AP764" s="170"/>
      <c r="AQ764" s="170"/>
      <c r="AR764" s="170"/>
      <c r="AS764" s="170"/>
      <c r="AT764" s="721"/>
      <c r="AU764" s="721"/>
      <c r="AV764" s="721"/>
      <c r="AW764" s="828"/>
      <c r="AX764" s="726"/>
    </row>
    <row r="765" spans="1:50" ht="15" x14ac:dyDescent="0.25">
      <c r="A765" s="721"/>
      <c r="B765" s="904"/>
      <c r="C765" s="721"/>
      <c r="D765" s="721"/>
      <c r="E765" s="721"/>
      <c r="F765" s="721"/>
      <c r="G765" s="721"/>
      <c r="H765" s="721"/>
      <c r="I765" s="721"/>
      <c r="J765" s="721"/>
      <c r="K765" s="721"/>
      <c r="L765" s="721"/>
      <c r="M765" s="930"/>
      <c r="N765" s="930"/>
      <c r="O765" s="930"/>
      <c r="P765" s="931"/>
      <c r="Q765" s="931"/>
      <c r="R765" s="930"/>
      <c r="S765" s="930"/>
      <c r="T765" s="932"/>
      <c r="U765" s="933"/>
      <c r="V765" s="934"/>
      <c r="W765" s="934"/>
      <c r="X765" s="932"/>
      <c r="Y765" s="932"/>
      <c r="Z765" s="932"/>
      <c r="AA765" s="726"/>
      <c r="AB765" s="726"/>
      <c r="AC765" s="721"/>
      <c r="AD765" s="586"/>
      <c r="AE765" s="586"/>
      <c r="AF765" s="170"/>
      <c r="AG765" s="170"/>
      <c r="AH765" s="170"/>
      <c r="AI765" s="170"/>
      <c r="AJ765" s="170"/>
      <c r="AK765" s="170"/>
      <c r="AL765" s="170"/>
      <c r="AM765" s="170"/>
      <c r="AN765" s="170"/>
      <c r="AO765" s="170"/>
      <c r="AP765" s="170"/>
      <c r="AQ765" s="170"/>
      <c r="AR765" s="170"/>
      <c r="AS765" s="170"/>
      <c r="AT765" s="721"/>
      <c r="AU765" s="721"/>
      <c r="AV765" s="721"/>
      <c r="AW765" s="828"/>
      <c r="AX765" s="726"/>
    </row>
    <row r="766" spans="1:50" ht="15" x14ac:dyDescent="0.25">
      <c r="A766" s="721"/>
      <c r="B766" s="904"/>
      <c r="C766" s="721"/>
      <c r="D766" s="721"/>
      <c r="E766" s="721"/>
      <c r="F766" s="721"/>
      <c r="G766" s="721"/>
      <c r="H766" s="721"/>
      <c r="I766" s="721"/>
      <c r="J766" s="721"/>
      <c r="K766" s="721"/>
      <c r="L766" s="721"/>
      <c r="M766" s="930"/>
      <c r="N766" s="930"/>
      <c r="O766" s="930"/>
      <c r="P766" s="931"/>
      <c r="Q766" s="931"/>
      <c r="R766" s="930"/>
      <c r="S766" s="930"/>
      <c r="T766" s="932"/>
      <c r="U766" s="933"/>
      <c r="V766" s="934"/>
      <c r="W766" s="934"/>
      <c r="X766" s="932"/>
      <c r="Y766" s="932"/>
      <c r="Z766" s="932"/>
      <c r="AA766" s="726"/>
      <c r="AB766" s="726"/>
      <c r="AC766" s="721"/>
      <c r="AD766" s="586"/>
      <c r="AE766" s="586"/>
      <c r="AF766" s="170"/>
      <c r="AG766" s="170"/>
      <c r="AH766" s="170"/>
      <c r="AI766" s="170"/>
      <c r="AJ766" s="170"/>
      <c r="AK766" s="170"/>
      <c r="AL766" s="170"/>
      <c r="AM766" s="170"/>
      <c r="AN766" s="170"/>
      <c r="AO766" s="170"/>
      <c r="AP766" s="170"/>
      <c r="AQ766" s="170"/>
      <c r="AR766" s="170"/>
      <c r="AS766" s="170"/>
      <c r="AT766" s="721"/>
      <c r="AU766" s="721"/>
      <c r="AV766" s="721"/>
      <c r="AW766" s="828"/>
      <c r="AX766" s="726"/>
    </row>
    <row r="767" spans="1:50" ht="15" x14ac:dyDescent="0.25">
      <c r="A767" s="721"/>
      <c r="B767" s="904"/>
      <c r="C767" s="721"/>
      <c r="D767" s="721"/>
      <c r="E767" s="721"/>
      <c r="F767" s="721"/>
      <c r="G767" s="721"/>
      <c r="H767" s="721"/>
      <c r="I767" s="721"/>
      <c r="J767" s="721"/>
      <c r="K767" s="721"/>
      <c r="L767" s="721"/>
      <c r="M767" s="930"/>
      <c r="N767" s="930"/>
      <c r="O767" s="930"/>
      <c r="P767" s="931"/>
      <c r="Q767" s="931"/>
      <c r="R767" s="930"/>
      <c r="S767" s="930"/>
      <c r="T767" s="932"/>
      <c r="U767" s="933"/>
      <c r="V767" s="934"/>
      <c r="W767" s="934"/>
      <c r="X767" s="932"/>
      <c r="Y767" s="932"/>
      <c r="Z767" s="932"/>
      <c r="AA767" s="726"/>
      <c r="AB767" s="726"/>
      <c r="AC767" s="721"/>
      <c r="AD767" s="586"/>
      <c r="AE767" s="586"/>
      <c r="AF767" s="170"/>
      <c r="AG767" s="170"/>
      <c r="AH767" s="170"/>
      <c r="AI767" s="170"/>
      <c r="AJ767" s="170"/>
      <c r="AK767" s="170"/>
      <c r="AL767" s="170"/>
      <c r="AM767" s="170"/>
      <c r="AN767" s="170"/>
      <c r="AO767" s="170"/>
      <c r="AP767" s="170"/>
      <c r="AQ767" s="170"/>
      <c r="AR767" s="170"/>
      <c r="AS767" s="170"/>
      <c r="AT767" s="721"/>
      <c r="AU767" s="721"/>
      <c r="AV767" s="721"/>
      <c r="AW767" s="828"/>
      <c r="AX767" s="726"/>
    </row>
    <row r="768" spans="1:50" ht="15" x14ac:dyDescent="0.25">
      <c r="A768" s="721"/>
      <c r="B768" s="904"/>
      <c r="C768" s="721"/>
      <c r="D768" s="721"/>
      <c r="E768" s="721"/>
      <c r="F768" s="721"/>
      <c r="G768" s="721"/>
      <c r="H768" s="721"/>
      <c r="I768" s="721"/>
      <c r="J768" s="721"/>
      <c r="K768" s="721"/>
      <c r="L768" s="721"/>
      <c r="M768" s="930"/>
      <c r="N768" s="930"/>
      <c r="O768" s="930"/>
      <c r="P768" s="931"/>
      <c r="Q768" s="931"/>
      <c r="R768" s="930"/>
      <c r="S768" s="930"/>
      <c r="T768" s="932"/>
      <c r="U768" s="933"/>
      <c r="V768" s="934"/>
      <c r="W768" s="934"/>
      <c r="X768" s="932"/>
      <c r="Y768" s="932"/>
      <c r="Z768" s="932"/>
      <c r="AA768" s="726"/>
      <c r="AB768" s="726"/>
      <c r="AC768" s="721"/>
      <c r="AD768" s="586"/>
      <c r="AE768" s="586"/>
      <c r="AF768" s="170"/>
      <c r="AG768" s="170"/>
      <c r="AH768" s="170"/>
      <c r="AI768" s="170"/>
      <c r="AJ768" s="170"/>
      <c r="AK768" s="170"/>
      <c r="AL768" s="170"/>
      <c r="AM768" s="170"/>
      <c r="AN768" s="170"/>
      <c r="AO768" s="170"/>
      <c r="AP768" s="170"/>
      <c r="AQ768" s="170"/>
      <c r="AR768" s="170"/>
      <c r="AS768" s="170"/>
      <c r="AT768" s="721"/>
      <c r="AU768" s="721"/>
      <c r="AV768" s="721"/>
      <c r="AW768" s="828"/>
      <c r="AX768" s="726"/>
    </row>
    <row r="769" spans="1:50" ht="15" x14ac:dyDescent="0.25">
      <c r="A769" s="721"/>
      <c r="B769" s="904"/>
      <c r="C769" s="721"/>
      <c r="D769" s="721"/>
      <c r="E769" s="721"/>
      <c r="F769" s="721"/>
      <c r="G769" s="721"/>
      <c r="H769" s="721"/>
      <c r="I769" s="721"/>
      <c r="J769" s="721"/>
      <c r="K769" s="721"/>
      <c r="L769" s="721"/>
      <c r="M769" s="930"/>
      <c r="N769" s="930"/>
      <c r="O769" s="930"/>
      <c r="P769" s="931"/>
      <c r="Q769" s="931"/>
      <c r="R769" s="930"/>
      <c r="S769" s="930"/>
      <c r="T769" s="932"/>
      <c r="U769" s="933"/>
      <c r="V769" s="934"/>
      <c r="W769" s="934"/>
      <c r="X769" s="932"/>
      <c r="Y769" s="932"/>
      <c r="Z769" s="932"/>
      <c r="AA769" s="726"/>
      <c r="AB769" s="726"/>
      <c r="AC769" s="721"/>
      <c r="AD769" s="586"/>
      <c r="AE769" s="586"/>
      <c r="AF769" s="170"/>
      <c r="AG769" s="170"/>
      <c r="AH769" s="170"/>
      <c r="AI769" s="170"/>
      <c r="AJ769" s="170"/>
      <c r="AK769" s="170"/>
      <c r="AL769" s="170"/>
      <c r="AM769" s="170"/>
      <c r="AN769" s="170"/>
      <c r="AO769" s="170"/>
      <c r="AP769" s="170"/>
      <c r="AQ769" s="170"/>
      <c r="AR769" s="170"/>
      <c r="AS769" s="170"/>
      <c r="AT769" s="721"/>
      <c r="AU769" s="721"/>
      <c r="AV769" s="721"/>
      <c r="AW769" s="828"/>
      <c r="AX769" s="726"/>
    </row>
    <row r="770" spans="1:50" ht="15" x14ac:dyDescent="0.25">
      <c r="A770" s="721"/>
      <c r="B770" s="904"/>
      <c r="C770" s="721"/>
      <c r="D770" s="721"/>
      <c r="E770" s="721"/>
      <c r="F770" s="721"/>
      <c r="G770" s="721"/>
      <c r="H770" s="721"/>
      <c r="I770" s="721"/>
      <c r="J770" s="721"/>
      <c r="K770" s="721"/>
      <c r="L770" s="721"/>
      <c r="M770" s="930"/>
      <c r="N770" s="930"/>
      <c r="O770" s="930"/>
      <c r="P770" s="931"/>
      <c r="Q770" s="931"/>
      <c r="R770" s="930"/>
      <c r="S770" s="930"/>
      <c r="T770" s="932"/>
      <c r="U770" s="933"/>
      <c r="V770" s="934"/>
      <c r="W770" s="934"/>
      <c r="X770" s="932"/>
      <c r="Y770" s="932"/>
      <c r="Z770" s="932"/>
      <c r="AA770" s="726"/>
      <c r="AB770" s="726"/>
      <c r="AC770" s="721"/>
      <c r="AD770" s="586"/>
      <c r="AE770" s="586"/>
      <c r="AF770" s="170"/>
      <c r="AG770" s="170"/>
      <c r="AH770" s="170"/>
      <c r="AI770" s="170"/>
      <c r="AJ770" s="170"/>
      <c r="AK770" s="170"/>
      <c r="AL770" s="170"/>
      <c r="AM770" s="170"/>
      <c r="AN770" s="170"/>
      <c r="AO770" s="170"/>
      <c r="AP770" s="170"/>
      <c r="AQ770" s="170"/>
      <c r="AR770" s="170"/>
      <c r="AS770" s="170"/>
      <c r="AT770" s="721"/>
      <c r="AU770" s="721"/>
      <c r="AV770" s="721"/>
      <c r="AW770" s="828"/>
      <c r="AX770" s="726"/>
    </row>
    <row r="771" spans="1:50" ht="15" x14ac:dyDescent="0.25">
      <c r="A771" s="721"/>
      <c r="B771" s="904"/>
      <c r="C771" s="721"/>
      <c r="D771" s="721"/>
      <c r="E771" s="721"/>
      <c r="F771" s="721"/>
      <c r="G771" s="721"/>
      <c r="H771" s="721"/>
      <c r="I771" s="721"/>
      <c r="J771" s="721"/>
      <c r="K771" s="721"/>
      <c r="L771" s="721"/>
      <c r="M771" s="930"/>
      <c r="N771" s="930"/>
      <c r="O771" s="930"/>
      <c r="P771" s="931"/>
      <c r="Q771" s="931"/>
      <c r="R771" s="930"/>
      <c r="S771" s="930"/>
      <c r="T771" s="932"/>
      <c r="U771" s="933"/>
      <c r="V771" s="934"/>
      <c r="W771" s="934"/>
      <c r="X771" s="932"/>
      <c r="Y771" s="932"/>
      <c r="Z771" s="932"/>
      <c r="AA771" s="726"/>
      <c r="AB771" s="726"/>
      <c r="AC771" s="721"/>
      <c r="AD771" s="586"/>
      <c r="AE771" s="586"/>
      <c r="AF771" s="170"/>
      <c r="AG771" s="170"/>
      <c r="AH771" s="170"/>
      <c r="AI771" s="170"/>
      <c r="AJ771" s="170"/>
      <c r="AK771" s="170"/>
      <c r="AL771" s="170"/>
      <c r="AM771" s="170"/>
      <c r="AN771" s="170"/>
      <c r="AO771" s="170"/>
      <c r="AP771" s="170"/>
      <c r="AQ771" s="170"/>
      <c r="AR771" s="170"/>
      <c r="AS771" s="170"/>
      <c r="AT771" s="721"/>
      <c r="AU771" s="721"/>
      <c r="AV771" s="721"/>
      <c r="AW771" s="828"/>
      <c r="AX771" s="726"/>
    </row>
    <row r="772" spans="1:50" ht="15" x14ac:dyDescent="0.25">
      <c r="A772" s="721"/>
      <c r="B772" s="904"/>
      <c r="C772" s="721"/>
      <c r="D772" s="721"/>
      <c r="E772" s="721"/>
      <c r="F772" s="721"/>
      <c r="G772" s="721"/>
      <c r="H772" s="721"/>
      <c r="I772" s="721"/>
      <c r="J772" s="721"/>
      <c r="K772" s="721"/>
      <c r="L772" s="721"/>
      <c r="M772" s="930"/>
      <c r="N772" s="930"/>
      <c r="O772" s="930"/>
      <c r="P772" s="931"/>
      <c r="Q772" s="931"/>
      <c r="R772" s="930"/>
      <c r="S772" s="930"/>
      <c r="T772" s="932"/>
      <c r="U772" s="933"/>
      <c r="V772" s="934"/>
      <c r="W772" s="934"/>
      <c r="X772" s="932"/>
      <c r="Y772" s="932"/>
      <c r="Z772" s="932"/>
      <c r="AA772" s="726"/>
      <c r="AB772" s="726"/>
      <c r="AC772" s="721"/>
      <c r="AD772" s="586"/>
      <c r="AE772" s="586"/>
      <c r="AF772" s="170"/>
      <c r="AG772" s="170"/>
      <c r="AH772" s="170"/>
      <c r="AI772" s="170"/>
      <c r="AJ772" s="170"/>
      <c r="AK772" s="170"/>
      <c r="AL772" s="170"/>
      <c r="AM772" s="170"/>
      <c r="AN772" s="170"/>
      <c r="AO772" s="170"/>
      <c r="AP772" s="170"/>
      <c r="AQ772" s="170"/>
      <c r="AR772" s="170"/>
      <c r="AS772" s="170"/>
      <c r="AT772" s="721"/>
      <c r="AU772" s="721"/>
      <c r="AV772" s="721"/>
      <c r="AW772" s="828"/>
      <c r="AX772" s="726"/>
    </row>
    <row r="773" spans="1:50" ht="15" x14ac:dyDescent="0.25">
      <c r="A773" s="721"/>
      <c r="B773" s="904"/>
      <c r="C773" s="721"/>
      <c r="D773" s="721"/>
      <c r="E773" s="721"/>
      <c r="F773" s="721"/>
      <c r="G773" s="721"/>
      <c r="H773" s="721"/>
      <c r="I773" s="721"/>
      <c r="J773" s="721"/>
      <c r="K773" s="721"/>
      <c r="L773" s="721"/>
      <c r="M773" s="930"/>
      <c r="N773" s="930"/>
      <c r="O773" s="930"/>
      <c r="P773" s="931"/>
      <c r="Q773" s="931"/>
      <c r="R773" s="930"/>
      <c r="S773" s="930"/>
      <c r="T773" s="932"/>
      <c r="U773" s="933"/>
      <c r="V773" s="934"/>
      <c r="W773" s="934"/>
      <c r="X773" s="932"/>
      <c r="Y773" s="932"/>
      <c r="Z773" s="932"/>
      <c r="AA773" s="726"/>
      <c r="AB773" s="726"/>
      <c r="AC773" s="721"/>
      <c r="AD773" s="586"/>
      <c r="AE773" s="586"/>
      <c r="AF773" s="170"/>
      <c r="AG773" s="170"/>
      <c r="AH773" s="170"/>
      <c r="AI773" s="170"/>
      <c r="AJ773" s="170"/>
      <c r="AK773" s="170"/>
      <c r="AL773" s="170"/>
      <c r="AM773" s="170"/>
      <c r="AN773" s="170"/>
      <c r="AO773" s="170"/>
      <c r="AP773" s="170"/>
      <c r="AQ773" s="170"/>
      <c r="AR773" s="170"/>
      <c r="AS773" s="170"/>
      <c r="AT773" s="721"/>
      <c r="AU773" s="721"/>
      <c r="AV773" s="721"/>
      <c r="AW773" s="828"/>
      <c r="AX773" s="726"/>
    </row>
    <row r="774" spans="1:50" ht="15" x14ac:dyDescent="0.25">
      <c r="A774" s="721"/>
      <c r="B774" s="904"/>
      <c r="C774" s="721"/>
      <c r="D774" s="721"/>
      <c r="E774" s="721"/>
      <c r="F774" s="721"/>
      <c r="G774" s="721"/>
      <c r="H774" s="721"/>
      <c r="I774" s="721"/>
      <c r="J774" s="721"/>
      <c r="K774" s="721"/>
      <c r="L774" s="721"/>
      <c r="M774" s="930"/>
      <c r="N774" s="930"/>
      <c r="O774" s="930"/>
      <c r="P774" s="931"/>
      <c r="Q774" s="931"/>
      <c r="R774" s="930"/>
      <c r="S774" s="930"/>
      <c r="T774" s="932"/>
      <c r="U774" s="933"/>
      <c r="V774" s="934"/>
      <c r="W774" s="934"/>
      <c r="X774" s="932"/>
      <c r="Y774" s="932"/>
      <c r="Z774" s="932"/>
      <c r="AA774" s="726"/>
      <c r="AB774" s="726"/>
      <c r="AC774" s="721"/>
      <c r="AD774" s="586"/>
      <c r="AE774" s="586"/>
      <c r="AF774" s="170"/>
      <c r="AG774" s="170"/>
      <c r="AH774" s="170"/>
      <c r="AI774" s="170"/>
      <c r="AJ774" s="170"/>
      <c r="AK774" s="170"/>
      <c r="AL774" s="170"/>
      <c r="AM774" s="170"/>
      <c r="AN774" s="170"/>
      <c r="AO774" s="170"/>
      <c r="AP774" s="170"/>
      <c r="AQ774" s="170"/>
      <c r="AR774" s="170"/>
      <c r="AS774" s="170"/>
      <c r="AT774" s="721"/>
      <c r="AU774" s="721"/>
      <c r="AV774" s="721"/>
      <c r="AW774" s="828"/>
      <c r="AX774" s="726"/>
    </row>
    <row r="775" spans="1:50" ht="15" x14ac:dyDescent="0.25">
      <c r="A775" s="721"/>
      <c r="B775" s="904"/>
      <c r="C775" s="721"/>
      <c r="D775" s="721"/>
      <c r="E775" s="721"/>
      <c r="F775" s="721"/>
      <c r="G775" s="721"/>
      <c r="H775" s="721"/>
      <c r="I775" s="721"/>
      <c r="J775" s="721"/>
      <c r="K775" s="721"/>
      <c r="L775" s="721"/>
      <c r="M775" s="930"/>
      <c r="N775" s="930"/>
      <c r="O775" s="930"/>
      <c r="P775" s="931"/>
      <c r="Q775" s="931"/>
      <c r="R775" s="930"/>
      <c r="S775" s="930"/>
      <c r="T775" s="932"/>
      <c r="U775" s="933"/>
      <c r="V775" s="934"/>
      <c r="W775" s="934"/>
      <c r="X775" s="932"/>
      <c r="Y775" s="932"/>
      <c r="Z775" s="932"/>
      <c r="AA775" s="726"/>
      <c r="AB775" s="726"/>
      <c r="AC775" s="721"/>
      <c r="AD775" s="586"/>
      <c r="AE775" s="586"/>
      <c r="AF775" s="170"/>
      <c r="AG775" s="170"/>
      <c r="AH775" s="170"/>
      <c r="AI775" s="170"/>
      <c r="AJ775" s="170"/>
      <c r="AK775" s="170"/>
      <c r="AL775" s="170"/>
      <c r="AM775" s="170"/>
      <c r="AN775" s="170"/>
      <c r="AO775" s="170"/>
      <c r="AP775" s="170"/>
      <c r="AQ775" s="170"/>
      <c r="AR775" s="170"/>
      <c r="AS775" s="170"/>
      <c r="AT775" s="721"/>
      <c r="AU775" s="721"/>
      <c r="AV775" s="721"/>
      <c r="AW775" s="828"/>
      <c r="AX775" s="726"/>
    </row>
    <row r="776" spans="1:50" ht="15" x14ac:dyDescent="0.25">
      <c r="A776" s="721"/>
      <c r="B776" s="904"/>
      <c r="C776" s="721"/>
      <c r="D776" s="721"/>
      <c r="E776" s="721"/>
      <c r="F776" s="721"/>
      <c r="G776" s="721"/>
      <c r="H776" s="721"/>
      <c r="I776" s="721"/>
      <c r="J776" s="721"/>
      <c r="K776" s="721"/>
      <c r="L776" s="721"/>
      <c r="M776" s="930"/>
      <c r="N776" s="930"/>
      <c r="O776" s="930"/>
      <c r="P776" s="931"/>
      <c r="Q776" s="931"/>
      <c r="R776" s="930"/>
      <c r="S776" s="930"/>
      <c r="T776" s="932"/>
      <c r="U776" s="933"/>
      <c r="V776" s="934"/>
      <c r="W776" s="934"/>
      <c r="X776" s="932"/>
      <c r="Y776" s="932"/>
      <c r="Z776" s="932"/>
      <c r="AA776" s="726"/>
      <c r="AB776" s="726"/>
      <c r="AC776" s="721"/>
      <c r="AD776" s="586"/>
      <c r="AE776" s="586"/>
      <c r="AF776" s="170"/>
      <c r="AG776" s="170"/>
      <c r="AH776" s="170"/>
      <c r="AI776" s="170"/>
      <c r="AJ776" s="170"/>
      <c r="AK776" s="170"/>
      <c r="AL776" s="170"/>
      <c r="AM776" s="170"/>
      <c r="AN776" s="170"/>
      <c r="AO776" s="170"/>
      <c r="AP776" s="170"/>
      <c r="AQ776" s="170"/>
      <c r="AR776" s="170"/>
      <c r="AS776" s="170"/>
      <c r="AT776" s="721"/>
      <c r="AU776" s="721"/>
      <c r="AV776" s="721"/>
      <c r="AW776" s="828"/>
      <c r="AX776" s="726"/>
    </row>
    <row r="777" spans="1:50" ht="15" x14ac:dyDescent="0.25">
      <c r="A777" s="721"/>
      <c r="B777" s="904"/>
      <c r="C777" s="721"/>
      <c r="D777" s="721"/>
      <c r="E777" s="721"/>
      <c r="F777" s="721"/>
      <c r="G777" s="721"/>
      <c r="H777" s="721"/>
      <c r="I777" s="721"/>
      <c r="J777" s="721"/>
      <c r="K777" s="721"/>
      <c r="L777" s="721"/>
      <c r="M777" s="930"/>
      <c r="N777" s="930"/>
      <c r="O777" s="930"/>
      <c r="P777" s="931"/>
      <c r="Q777" s="931"/>
      <c r="R777" s="930"/>
      <c r="S777" s="930"/>
      <c r="T777" s="932"/>
      <c r="U777" s="933"/>
      <c r="V777" s="934"/>
      <c r="W777" s="934"/>
      <c r="X777" s="932"/>
      <c r="Y777" s="932"/>
      <c r="Z777" s="932"/>
      <c r="AA777" s="726"/>
      <c r="AB777" s="726"/>
      <c r="AC777" s="721"/>
      <c r="AD777" s="586"/>
      <c r="AE777" s="586"/>
      <c r="AF777" s="170"/>
      <c r="AG777" s="170"/>
      <c r="AH777" s="170"/>
      <c r="AI777" s="170"/>
      <c r="AJ777" s="170"/>
      <c r="AK777" s="170"/>
      <c r="AL777" s="170"/>
      <c r="AM777" s="170"/>
      <c r="AN777" s="170"/>
      <c r="AO777" s="170"/>
      <c r="AP777" s="170"/>
      <c r="AQ777" s="170"/>
      <c r="AR777" s="170"/>
      <c r="AS777" s="170"/>
      <c r="AT777" s="721"/>
      <c r="AU777" s="721"/>
      <c r="AV777" s="721"/>
      <c r="AW777" s="828"/>
      <c r="AX777" s="726"/>
    </row>
    <row r="778" spans="1:50" ht="15" x14ac:dyDescent="0.25">
      <c r="A778" s="721"/>
      <c r="B778" s="904"/>
      <c r="C778" s="721"/>
      <c r="D778" s="721"/>
      <c r="E778" s="721"/>
      <c r="F778" s="721"/>
      <c r="G778" s="721"/>
      <c r="H778" s="721"/>
      <c r="I778" s="721"/>
      <c r="J778" s="721"/>
      <c r="K778" s="721"/>
      <c r="L778" s="721"/>
      <c r="M778" s="930"/>
      <c r="N778" s="930"/>
      <c r="O778" s="930"/>
      <c r="P778" s="931"/>
      <c r="Q778" s="931"/>
      <c r="R778" s="930"/>
      <c r="S778" s="930"/>
      <c r="T778" s="932"/>
      <c r="U778" s="933"/>
      <c r="V778" s="934"/>
      <c r="W778" s="934"/>
      <c r="X778" s="932"/>
      <c r="Y778" s="932"/>
      <c r="Z778" s="932"/>
      <c r="AA778" s="726"/>
      <c r="AB778" s="726"/>
      <c r="AC778" s="721"/>
      <c r="AD778" s="586"/>
      <c r="AE778" s="586"/>
      <c r="AF778" s="170"/>
      <c r="AG778" s="170"/>
      <c r="AH778" s="170"/>
      <c r="AI778" s="170"/>
      <c r="AJ778" s="170"/>
      <c r="AK778" s="170"/>
      <c r="AL778" s="170"/>
      <c r="AM778" s="170"/>
      <c r="AN778" s="170"/>
      <c r="AO778" s="170"/>
      <c r="AP778" s="170"/>
      <c r="AQ778" s="170"/>
      <c r="AR778" s="170"/>
      <c r="AS778" s="170"/>
      <c r="AT778" s="721"/>
      <c r="AU778" s="721"/>
      <c r="AV778" s="721"/>
      <c r="AW778" s="828"/>
      <c r="AX778" s="726"/>
    </row>
    <row r="779" spans="1:50" ht="15" x14ac:dyDescent="0.25">
      <c r="A779" s="721"/>
      <c r="B779" s="904"/>
      <c r="C779" s="721"/>
      <c r="D779" s="721"/>
      <c r="E779" s="721"/>
      <c r="F779" s="721"/>
      <c r="G779" s="721"/>
      <c r="H779" s="721"/>
      <c r="I779" s="721"/>
      <c r="J779" s="721"/>
      <c r="K779" s="721"/>
      <c r="L779" s="721"/>
      <c r="M779" s="930"/>
      <c r="N779" s="930"/>
      <c r="O779" s="930"/>
      <c r="P779" s="931"/>
      <c r="Q779" s="931"/>
      <c r="R779" s="930"/>
      <c r="S779" s="930"/>
      <c r="T779" s="932"/>
      <c r="U779" s="933"/>
      <c r="V779" s="934"/>
      <c r="W779" s="934"/>
      <c r="X779" s="932"/>
      <c r="Y779" s="932"/>
      <c r="Z779" s="932"/>
      <c r="AA779" s="726"/>
      <c r="AB779" s="726"/>
      <c r="AC779" s="721"/>
      <c r="AD779" s="586"/>
      <c r="AE779" s="586"/>
      <c r="AF779" s="170"/>
      <c r="AG779" s="170"/>
      <c r="AH779" s="170"/>
      <c r="AI779" s="170"/>
      <c r="AJ779" s="170"/>
      <c r="AK779" s="170"/>
      <c r="AL779" s="170"/>
      <c r="AM779" s="170"/>
      <c r="AN779" s="170"/>
      <c r="AO779" s="170"/>
      <c r="AP779" s="170"/>
      <c r="AQ779" s="170"/>
      <c r="AR779" s="170"/>
      <c r="AS779" s="170"/>
      <c r="AT779" s="721"/>
      <c r="AU779" s="721"/>
      <c r="AV779" s="721"/>
      <c r="AW779" s="828"/>
      <c r="AX779" s="726"/>
    </row>
    <row r="780" spans="1:50" ht="15" x14ac:dyDescent="0.25">
      <c r="A780" s="721"/>
      <c r="B780" s="904"/>
      <c r="C780" s="721"/>
      <c r="D780" s="721"/>
      <c r="E780" s="721"/>
      <c r="F780" s="721"/>
      <c r="G780" s="721"/>
      <c r="H780" s="721"/>
      <c r="I780" s="721"/>
      <c r="J780" s="721"/>
      <c r="K780" s="721"/>
      <c r="L780" s="721"/>
      <c r="M780" s="930"/>
      <c r="N780" s="930"/>
      <c r="O780" s="930"/>
      <c r="P780" s="931"/>
      <c r="Q780" s="931"/>
      <c r="R780" s="930"/>
      <c r="S780" s="930"/>
      <c r="T780" s="932"/>
      <c r="U780" s="933"/>
      <c r="V780" s="934"/>
      <c r="W780" s="934"/>
      <c r="X780" s="932"/>
      <c r="Y780" s="932"/>
      <c r="Z780" s="932"/>
      <c r="AA780" s="726"/>
      <c r="AB780" s="726"/>
      <c r="AC780" s="721"/>
      <c r="AD780" s="586"/>
      <c r="AE780" s="586"/>
      <c r="AF780" s="170"/>
      <c r="AG780" s="170"/>
      <c r="AH780" s="170"/>
      <c r="AI780" s="170"/>
      <c r="AJ780" s="170"/>
      <c r="AK780" s="170"/>
      <c r="AL780" s="170"/>
      <c r="AM780" s="170"/>
      <c r="AN780" s="170"/>
      <c r="AO780" s="170"/>
      <c r="AP780" s="170"/>
      <c r="AQ780" s="170"/>
      <c r="AR780" s="170"/>
      <c r="AS780" s="170"/>
      <c r="AT780" s="721"/>
      <c r="AU780" s="721"/>
      <c r="AV780" s="721"/>
      <c r="AW780" s="828"/>
      <c r="AX780" s="726"/>
    </row>
    <row r="781" spans="1:50" ht="15" x14ac:dyDescent="0.25">
      <c r="A781" s="721"/>
      <c r="B781" s="904"/>
      <c r="C781" s="721"/>
      <c r="D781" s="721"/>
      <c r="E781" s="721"/>
      <c r="F781" s="721"/>
      <c r="G781" s="721"/>
      <c r="H781" s="721"/>
      <c r="I781" s="721"/>
      <c r="J781" s="721"/>
      <c r="K781" s="721"/>
      <c r="L781" s="721"/>
      <c r="M781" s="930"/>
      <c r="N781" s="930"/>
      <c r="O781" s="930"/>
      <c r="P781" s="931"/>
      <c r="Q781" s="931"/>
      <c r="R781" s="930"/>
      <c r="S781" s="930"/>
      <c r="T781" s="932"/>
      <c r="U781" s="933"/>
      <c r="V781" s="934"/>
      <c r="W781" s="934"/>
      <c r="X781" s="932"/>
      <c r="Y781" s="932"/>
      <c r="Z781" s="932"/>
      <c r="AA781" s="726"/>
      <c r="AB781" s="726"/>
      <c r="AC781" s="721"/>
      <c r="AD781" s="586"/>
      <c r="AE781" s="586"/>
      <c r="AF781" s="170"/>
      <c r="AG781" s="170"/>
      <c r="AH781" s="170"/>
      <c r="AI781" s="170"/>
      <c r="AJ781" s="170"/>
      <c r="AK781" s="170"/>
      <c r="AL781" s="170"/>
      <c r="AM781" s="170"/>
      <c r="AN781" s="170"/>
      <c r="AO781" s="170"/>
      <c r="AP781" s="170"/>
      <c r="AQ781" s="170"/>
      <c r="AR781" s="170"/>
      <c r="AS781" s="170"/>
      <c r="AT781" s="721"/>
      <c r="AU781" s="721"/>
      <c r="AV781" s="721"/>
      <c r="AW781" s="828"/>
      <c r="AX781" s="726"/>
    </row>
    <row r="782" spans="1:50" ht="15" x14ac:dyDescent="0.25">
      <c r="A782" s="721"/>
      <c r="B782" s="904"/>
      <c r="C782" s="721"/>
      <c r="D782" s="721"/>
      <c r="E782" s="721"/>
      <c r="F782" s="721"/>
      <c r="G782" s="721"/>
      <c r="H782" s="721"/>
      <c r="I782" s="721"/>
      <c r="J782" s="721"/>
      <c r="K782" s="721"/>
      <c r="L782" s="721"/>
      <c r="M782" s="930"/>
      <c r="N782" s="930"/>
      <c r="O782" s="930"/>
      <c r="P782" s="931"/>
      <c r="Q782" s="931"/>
      <c r="R782" s="930"/>
      <c r="S782" s="930"/>
      <c r="T782" s="932"/>
      <c r="U782" s="933"/>
      <c r="V782" s="934"/>
      <c r="W782" s="934"/>
      <c r="X782" s="932"/>
      <c r="Y782" s="932"/>
      <c r="Z782" s="932"/>
      <c r="AA782" s="726"/>
      <c r="AB782" s="726"/>
      <c r="AC782" s="721"/>
      <c r="AD782" s="586"/>
      <c r="AE782" s="586"/>
      <c r="AF782" s="170"/>
      <c r="AG782" s="170"/>
      <c r="AH782" s="170"/>
      <c r="AI782" s="170"/>
      <c r="AJ782" s="170"/>
      <c r="AK782" s="170"/>
      <c r="AL782" s="170"/>
      <c r="AM782" s="170"/>
      <c r="AN782" s="170"/>
      <c r="AO782" s="170"/>
      <c r="AP782" s="170"/>
      <c r="AQ782" s="170"/>
      <c r="AR782" s="170"/>
      <c r="AS782" s="170"/>
      <c r="AT782" s="721"/>
      <c r="AU782" s="721"/>
      <c r="AV782" s="721"/>
      <c r="AW782" s="828"/>
      <c r="AX782" s="726"/>
    </row>
    <row r="783" spans="1:50" ht="15" x14ac:dyDescent="0.25">
      <c r="A783" s="721"/>
      <c r="B783" s="904"/>
      <c r="C783" s="721"/>
      <c r="D783" s="721"/>
      <c r="E783" s="721"/>
      <c r="F783" s="721"/>
      <c r="G783" s="721"/>
      <c r="H783" s="721"/>
      <c r="I783" s="721"/>
      <c r="J783" s="721"/>
      <c r="K783" s="721"/>
      <c r="L783" s="721"/>
      <c r="M783" s="930"/>
      <c r="N783" s="930"/>
      <c r="O783" s="930"/>
      <c r="P783" s="931"/>
      <c r="Q783" s="931"/>
      <c r="R783" s="930"/>
      <c r="S783" s="930"/>
      <c r="T783" s="932"/>
      <c r="U783" s="933"/>
      <c r="V783" s="934"/>
      <c r="W783" s="934"/>
      <c r="X783" s="932"/>
      <c r="Y783" s="932"/>
      <c r="Z783" s="932"/>
      <c r="AA783" s="726"/>
      <c r="AB783" s="726"/>
      <c r="AC783" s="721"/>
      <c r="AD783" s="586"/>
      <c r="AE783" s="586"/>
      <c r="AF783" s="170"/>
      <c r="AG783" s="170"/>
      <c r="AH783" s="170"/>
      <c r="AI783" s="170"/>
      <c r="AJ783" s="170"/>
      <c r="AK783" s="170"/>
      <c r="AL783" s="170"/>
      <c r="AM783" s="170"/>
      <c r="AN783" s="170"/>
      <c r="AO783" s="170"/>
      <c r="AP783" s="170"/>
      <c r="AQ783" s="170"/>
      <c r="AR783" s="170"/>
      <c r="AS783" s="170"/>
      <c r="AT783" s="721"/>
      <c r="AU783" s="721"/>
      <c r="AV783" s="721"/>
      <c r="AW783" s="828"/>
      <c r="AX783" s="726"/>
    </row>
    <row r="784" spans="1:50" ht="15" x14ac:dyDescent="0.25">
      <c r="A784" s="721"/>
      <c r="B784" s="904"/>
      <c r="C784" s="721"/>
      <c r="D784" s="721"/>
      <c r="E784" s="721"/>
      <c r="F784" s="721"/>
      <c r="G784" s="721"/>
      <c r="H784" s="721"/>
      <c r="I784" s="721"/>
      <c r="J784" s="721"/>
      <c r="K784" s="721"/>
      <c r="L784" s="721"/>
      <c r="M784" s="930"/>
      <c r="N784" s="930"/>
      <c r="O784" s="930"/>
      <c r="P784" s="931"/>
      <c r="Q784" s="931"/>
      <c r="R784" s="930"/>
      <c r="S784" s="930"/>
      <c r="T784" s="932"/>
      <c r="U784" s="933"/>
      <c r="V784" s="934"/>
      <c r="W784" s="934"/>
      <c r="X784" s="932"/>
      <c r="Y784" s="932"/>
      <c r="Z784" s="932"/>
      <c r="AA784" s="726"/>
      <c r="AB784" s="726"/>
      <c r="AC784" s="721"/>
      <c r="AD784" s="586"/>
      <c r="AE784" s="586"/>
      <c r="AF784" s="170"/>
      <c r="AG784" s="170"/>
      <c r="AH784" s="170"/>
      <c r="AI784" s="170"/>
      <c r="AJ784" s="170"/>
      <c r="AK784" s="170"/>
      <c r="AL784" s="170"/>
      <c r="AM784" s="170"/>
      <c r="AN784" s="170"/>
      <c r="AO784" s="170"/>
      <c r="AP784" s="170"/>
      <c r="AQ784" s="170"/>
      <c r="AR784" s="170"/>
      <c r="AS784" s="170"/>
      <c r="AT784" s="721"/>
      <c r="AU784" s="721"/>
      <c r="AV784" s="721"/>
      <c r="AW784" s="828"/>
      <c r="AX784" s="726"/>
    </row>
    <row r="785" spans="1:50" ht="15" x14ac:dyDescent="0.25">
      <c r="A785" s="721"/>
      <c r="B785" s="904"/>
      <c r="C785" s="721"/>
      <c r="D785" s="721"/>
      <c r="E785" s="721"/>
      <c r="F785" s="721"/>
      <c r="G785" s="721"/>
      <c r="H785" s="721"/>
      <c r="I785" s="721"/>
      <c r="J785" s="721"/>
      <c r="K785" s="721"/>
      <c r="L785" s="721"/>
      <c r="M785" s="930"/>
      <c r="N785" s="930"/>
      <c r="O785" s="930"/>
      <c r="P785" s="931"/>
      <c r="Q785" s="931"/>
      <c r="R785" s="930"/>
      <c r="S785" s="930"/>
      <c r="T785" s="932"/>
      <c r="U785" s="933"/>
      <c r="V785" s="934"/>
      <c r="W785" s="934"/>
      <c r="X785" s="932"/>
      <c r="Y785" s="932"/>
      <c r="Z785" s="932"/>
      <c r="AA785" s="726"/>
      <c r="AB785" s="726"/>
      <c r="AC785" s="721"/>
      <c r="AD785" s="586"/>
      <c r="AE785" s="586"/>
      <c r="AF785" s="170"/>
      <c r="AG785" s="170"/>
      <c r="AH785" s="170"/>
      <c r="AI785" s="170"/>
      <c r="AJ785" s="170"/>
      <c r="AK785" s="170"/>
      <c r="AL785" s="170"/>
      <c r="AM785" s="170"/>
      <c r="AN785" s="170"/>
      <c r="AO785" s="170"/>
      <c r="AP785" s="170"/>
      <c r="AQ785" s="170"/>
      <c r="AR785" s="170"/>
      <c r="AS785" s="170"/>
      <c r="AT785" s="721"/>
      <c r="AU785" s="721"/>
      <c r="AV785" s="721"/>
      <c r="AW785" s="828"/>
      <c r="AX785" s="726"/>
    </row>
    <row r="786" spans="1:50" ht="15" x14ac:dyDescent="0.25">
      <c r="A786" s="721"/>
      <c r="B786" s="904"/>
      <c r="C786" s="721"/>
      <c r="D786" s="721"/>
      <c r="E786" s="721"/>
      <c r="F786" s="721"/>
      <c r="G786" s="721"/>
      <c r="H786" s="721"/>
      <c r="I786" s="721"/>
      <c r="J786" s="721"/>
      <c r="K786" s="721"/>
      <c r="L786" s="721"/>
      <c r="M786" s="930"/>
      <c r="N786" s="930"/>
      <c r="O786" s="930"/>
      <c r="P786" s="931"/>
      <c r="Q786" s="931"/>
      <c r="R786" s="930"/>
      <c r="S786" s="930"/>
      <c r="T786" s="932"/>
      <c r="U786" s="933"/>
      <c r="V786" s="934"/>
      <c r="W786" s="934"/>
      <c r="X786" s="932"/>
      <c r="Y786" s="932"/>
      <c r="Z786" s="932"/>
      <c r="AA786" s="726"/>
      <c r="AB786" s="726"/>
      <c r="AC786" s="721"/>
      <c r="AD786" s="586"/>
      <c r="AE786" s="586"/>
      <c r="AF786" s="170"/>
      <c r="AG786" s="170"/>
      <c r="AH786" s="170"/>
      <c r="AI786" s="170"/>
      <c r="AJ786" s="170"/>
      <c r="AK786" s="170"/>
      <c r="AL786" s="170"/>
      <c r="AM786" s="170"/>
      <c r="AN786" s="170"/>
      <c r="AO786" s="170"/>
      <c r="AP786" s="170"/>
      <c r="AQ786" s="170"/>
      <c r="AR786" s="170"/>
      <c r="AS786" s="170"/>
      <c r="AT786" s="721"/>
      <c r="AU786" s="721"/>
      <c r="AV786" s="721"/>
      <c r="AW786" s="828"/>
      <c r="AX786" s="726"/>
    </row>
    <row r="787" spans="1:50" ht="15" x14ac:dyDescent="0.25">
      <c r="A787" s="721"/>
      <c r="B787" s="904"/>
      <c r="C787" s="721"/>
      <c r="D787" s="721"/>
      <c r="E787" s="721"/>
      <c r="F787" s="721"/>
      <c r="G787" s="721"/>
      <c r="H787" s="721"/>
      <c r="I787" s="721"/>
      <c r="J787" s="721"/>
      <c r="K787" s="721"/>
      <c r="L787" s="721"/>
      <c r="M787" s="930"/>
      <c r="N787" s="930"/>
      <c r="O787" s="930"/>
      <c r="P787" s="931"/>
      <c r="Q787" s="931"/>
      <c r="R787" s="930"/>
      <c r="S787" s="930"/>
      <c r="T787" s="932"/>
      <c r="U787" s="933"/>
      <c r="V787" s="934"/>
      <c r="W787" s="934"/>
      <c r="X787" s="932"/>
      <c r="Y787" s="932"/>
      <c r="Z787" s="932"/>
      <c r="AA787" s="726"/>
      <c r="AB787" s="726"/>
      <c r="AC787" s="721"/>
      <c r="AD787" s="586"/>
      <c r="AE787" s="586"/>
      <c r="AF787" s="170"/>
      <c r="AG787" s="170"/>
      <c r="AH787" s="170"/>
      <c r="AI787" s="170"/>
      <c r="AJ787" s="170"/>
      <c r="AK787" s="170"/>
      <c r="AL787" s="170"/>
      <c r="AM787" s="170"/>
      <c r="AN787" s="170"/>
      <c r="AO787" s="170"/>
      <c r="AP787" s="170"/>
      <c r="AQ787" s="170"/>
      <c r="AR787" s="170"/>
      <c r="AS787" s="170"/>
      <c r="AT787" s="721"/>
      <c r="AU787" s="721"/>
      <c r="AV787" s="721"/>
      <c r="AW787" s="828"/>
      <c r="AX787" s="726"/>
    </row>
    <row r="788" spans="1:50" ht="15" x14ac:dyDescent="0.25">
      <c r="A788" s="721"/>
      <c r="B788" s="904"/>
      <c r="C788" s="721"/>
      <c r="D788" s="721"/>
      <c r="E788" s="721"/>
      <c r="F788" s="721"/>
      <c r="G788" s="721"/>
      <c r="H788" s="721"/>
      <c r="I788" s="721"/>
      <c r="J788" s="721"/>
      <c r="K788" s="721"/>
      <c r="L788" s="721"/>
      <c r="M788" s="930"/>
      <c r="N788" s="930"/>
      <c r="O788" s="930"/>
      <c r="P788" s="931"/>
      <c r="Q788" s="931"/>
      <c r="R788" s="930"/>
      <c r="S788" s="930"/>
      <c r="T788" s="932"/>
      <c r="U788" s="933"/>
      <c r="V788" s="934"/>
      <c r="W788" s="934"/>
      <c r="X788" s="932"/>
      <c r="Y788" s="932"/>
      <c r="Z788" s="932"/>
      <c r="AA788" s="726"/>
      <c r="AB788" s="726"/>
      <c r="AC788" s="721"/>
      <c r="AD788" s="586"/>
      <c r="AE788" s="586"/>
      <c r="AF788" s="170"/>
      <c r="AG788" s="170"/>
      <c r="AH788" s="170"/>
      <c r="AI788" s="170"/>
      <c r="AJ788" s="170"/>
      <c r="AK788" s="170"/>
      <c r="AL788" s="170"/>
      <c r="AM788" s="170"/>
      <c r="AN788" s="170"/>
      <c r="AO788" s="170"/>
      <c r="AP788" s="170"/>
      <c r="AQ788" s="170"/>
      <c r="AR788" s="170"/>
      <c r="AS788" s="170"/>
      <c r="AT788" s="721"/>
      <c r="AU788" s="721"/>
      <c r="AV788" s="721"/>
      <c r="AW788" s="828"/>
      <c r="AX788" s="726"/>
    </row>
    <row r="789" spans="1:50" ht="15" x14ac:dyDescent="0.25">
      <c r="A789" s="721"/>
      <c r="B789" s="904"/>
      <c r="C789" s="721"/>
      <c r="D789" s="721"/>
      <c r="E789" s="721"/>
      <c r="F789" s="721"/>
      <c r="G789" s="721"/>
      <c r="H789" s="721"/>
      <c r="I789" s="721"/>
      <c r="J789" s="721"/>
      <c r="K789" s="721"/>
      <c r="L789" s="721"/>
      <c r="M789" s="930"/>
      <c r="N789" s="930"/>
      <c r="O789" s="930"/>
      <c r="P789" s="931"/>
      <c r="Q789" s="931"/>
      <c r="R789" s="930"/>
      <c r="S789" s="930"/>
      <c r="T789" s="932"/>
      <c r="U789" s="933"/>
      <c r="V789" s="934"/>
      <c r="W789" s="934"/>
      <c r="X789" s="932"/>
      <c r="Y789" s="932"/>
      <c r="Z789" s="932"/>
      <c r="AA789" s="726"/>
      <c r="AB789" s="726"/>
      <c r="AC789" s="721"/>
      <c r="AD789" s="586"/>
      <c r="AE789" s="586"/>
      <c r="AF789" s="170"/>
      <c r="AG789" s="170"/>
      <c r="AH789" s="170"/>
      <c r="AI789" s="170"/>
      <c r="AJ789" s="170"/>
      <c r="AK789" s="170"/>
      <c r="AL789" s="170"/>
      <c r="AM789" s="170"/>
      <c r="AN789" s="170"/>
      <c r="AO789" s="170"/>
      <c r="AP789" s="170"/>
      <c r="AQ789" s="170"/>
      <c r="AR789" s="170"/>
      <c r="AS789" s="170"/>
      <c r="AT789" s="721"/>
      <c r="AU789" s="721"/>
      <c r="AV789" s="721"/>
      <c r="AW789" s="828"/>
      <c r="AX789" s="726"/>
    </row>
    <row r="790" spans="1:50" ht="15" x14ac:dyDescent="0.25">
      <c r="A790" s="721"/>
      <c r="B790" s="904"/>
      <c r="C790" s="721"/>
      <c r="D790" s="721"/>
      <c r="E790" s="721"/>
      <c r="F790" s="721"/>
      <c r="G790" s="721"/>
      <c r="H790" s="721"/>
      <c r="I790" s="721"/>
      <c r="J790" s="721"/>
      <c r="K790" s="721"/>
      <c r="L790" s="721"/>
      <c r="M790" s="930"/>
      <c r="N790" s="930"/>
      <c r="O790" s="930"/>
      <c r="P790" s="931"/>
      <c r="Q790" s="931"/>
      <c r="R790" s="930"/>
      <c r="S790" s="930"/>
      <c r="T790" s="932"/>
      <c r="U790" s="933"/>
      <c r="V790" s="934"/>
      <c r="W790" s="934"/>
      <c r="X790" s="932"/>
      <c r="Y790" s="932"/>
      <c r="Z790" s="932"/>
      <c r="AA790" s="726"/>
      <c r="AB790" s="726"/>
      <c r="AC790" s="721"/>
      <c r="AD790" s="586"/>
      <c r="AE790" s="586"/>
      <c r="AF790" s="170"/>
      <c r="AG790" s="170"/>
      <c r="AH790" s="170"/>
      <c r="AI790" s="170"/>
      <c r="AJ790" s="170"/>
      <c r="AK790" s="170"/>
      <c r="AL790" s="170"/>
      <c r="AM790" s="170"/>
      <c r="AN790" s="170"/>
      <c r="AO790" s="170"/>
      <c r="AP790" s="170"/>
      <c r="AQ790" s="170"/>
      <c r="AR790" s="170"/>
      <c r="AS790" s="170"/>
      <c r="AT790" s="721"/>
      <c r="AU790" s="721"/>
      <c r="AV790" s="721"/>
      <c r="AW790" s="828"/>
      <c r="AX790" s="726"/>
    </row>
    <row r="791" spans="1:50" ht="15" x14ac:dyDescent="0.25">
      <c r="A791" s="721"/>
      <c r="B791" s="904"/>
      <c r="C791" s="721"/>
      <c r="D791" s="721"/>
      <c r="E791" s="721"/>
      <c r="F791" s="721"/>
      <c r="G791" s="721"/>
      <c r="H791" s="721"/>
      <c r="I791" s="721"/>
      <c r="J791" s="721"/>
      <c r="K791" s="721"/>
      <c r="L791" s="721"/>
      <c r="M791" s="930"/>
      <c r="N791" s="930"/>
      <c r="O791" s="930"/>
      <c r="P791" s="931"/>
      <c r="Q791" s="931"/>
      <c r="R791" s="930"/>
      <c r="S791" s="930"/>
      <c r="T791" s="932"/>
      <c r="U791" s="933"/>
      <c r="V791" s="934"/>
      <c r="W791" s="934"/>
      <c r="X791" s="932"/>
      <c r="Y791" s="932"/>
      <c r="Z791" s="932"/>
      <c r="AA791" s="726"/>
      <c r="AB791" s="726"/>
      <c r="AC791" s="721"/>
      <c r="AD791" s="586"/>
      <c r="AE791" s="586"/>
      <c r="AF791" s="170"/>
      <c r="AG791" s="170"/>
      <c r="AH791" s="170"/>
      <c r="AI791" s="170"/>
      <c r="AJ791" s="170"/>
      <c r="AK791" s="170"/>
      <c r="AL791" s="170"/>
      <c r="AM791" s="170"/>
      <c r="AN791" s="170"/>
      <c r="AO791" s="170"/>
      <c r="AP791" s="170"/>
      <c r="AQ791" s="170"/>
      <c r="AR791" s="170"/>
      <c r="AS791" s="170"/>
      <c r="AT791" s="721"/>
      <c r="AU791" s="721"/>
      <c r="AV791" s="721"/>
      <c r="AW791" s="828"/>
      <c r="AX791" s="726"/>
    </row>
    <row r="792" spans="1:50" ht="15" x14ac:dyDescent="0.25">
      <c r="A792" s="721"/>
      <c r="B792" s="904"/>
      <c r="C792" s="721"/>
      <c r="D792" s="721"/>
      <c r="E792" s="721"/>
      <c r="F792" s="721"/>
      <c r="G792" s="721"/>
      <c r="H792" s="721"/>
      <c r="I792" s="721"/>
      <c r="J792" s="721"/>
      <c r="K792" s="721"/>
      <c r="L792" s="721"/>
      <c r="M792" s="930"/>
      <c r="N792" s="930"/>
      <c r="O792" s="930"/>
      <c r="P792" s="931"/>
      <c r="Q792" s="931"/>
      <c r="R792" s="930"/>
      <c r="S792" s="930"/>
      <c r="T792" s="932"/>
      <c r="U792" s="933"/>
      <c r="V792" s="934"/>
      <c r="W792" s="934"/>
      <c r="X792" s="932"/>
      <c r="Y792" s="932"/>
      <c r="Z792" s="932"/>
      <c r="AA792" s="726"/>
      <c r="AB792" s="726"/>
      <c r="AC792" s="721"/>
      <c r="AD792" s="586"/>
      <c r="AE792" s="586"/>
      <c r="AF792" s="170"/>
      <c r="AG792" s="170"/>
      <c r="AH792" s="170"/>
      <c r="AI792" s="170"/>
      <c r="AJ792" s="170"/>
      <c r="AK792" s="170"/>
      <c r="AL792" s="170"/>
      <c r="AM792" s="170"/>
      <c r="AN792" s="170"/>
      <c r="AO792" s="170"/>
      <c r="AP792" s="170"/>
      <c r="AQ792" s="170"/>
      <c r="AR792" s="170"/>
      <c r="AS792" s="170"/>
      <c r="AT792" s="721"/>
      <c r="AU792" s="721"/>
      <c r="AV792" s="721"/>
      <c r="AW792" s="828"/>
      <c r="AX792" s="726"/>
    </row>
    <row r="793" spans="1:50" ht="15" x14ac:dyDescent="0.25">
      <c r="A793" s="721"/>
      <c r="B793" s="904"/>
      <c r="C793" s="721"/>
      <c r="D793" s="721"/>
      <c r="E793" s="721"/>
      <c r="F793" s="721"/>
      <c r="G793" s="721"/>
      <c r="H793" s="721"/>
      <c r="I793" s="721"/>
      <c r="J793" s="721"/>
      <c r="K793" s="721"/>
      <c r="L793" s="721"/>
      <c r="M793" s="930"/>
      <c r="N793" s="930"/>
      <c r="O793" s="930"/>
      <c r="P793" s="931"/>
      <c r="Q793" s="931"/>
      <c r="R793" s="930"/>
      <c r="S793" s="930"/>
      <c r="T793" s="932"/>
      <c r="U793" s="933"/>
      <c r="V793" s="934"/>
      <c r="W793" s="934"/>
      <c r="X793" s="932"/>
      <c r="Y793" s="932"/>
      <c r="Z793" s="932"/>
      <c r="AA793" s="726"/>
      <c r="AB793" s="726"/>
      <c r="AC793" s="721"/>
      <c r="AD793" s="586"/>
      <c r="AE793" s="586"/>
      <c r="AF793" s="170"/>
      <c r="AG793" s="170"/>
      <c r="AH793" s="170"/>
      <c r="AI793" s="170"/>
      <c r="AJ793" s="170"/>
      <c r="AK793" s="170"/>
      <c r="AL793" s="170"/>
      <c r="AM793" s="170"/>
      <c r="AN793" s="170"/>
      <c r="AO793" s="170"/>
      <c r="AP793" s="170"/>
      <c r="AQ793" s="170"/>
      <c r="AR793" s="170"/>
      <c r="AS793" s="170"/>
      <c r="AT793" s="721"/>
      <c r="AU793" s="721"/>
      <c r="AV793" s="721"/>
      <c r="AW793" s="828"/>
      <c r="AX793" s="726"/>
    </row>
    <row r="794" spans="1:50" ht="15" x14ac:dyDescent="0.25">
      <c r="A794" s="721"/>
      <c r="B794" s="904"/>
      <c r="C794" s="721"/>
      <c r="D794" s="721"/>
      <c r="E794" s="721"/>
      <c r="F794" s="721"/>
      <c r="G794" s="721"/>
      <c r="H794" s="721"/>
      <c r="I794" s="721"/>
      <c r="J794" s="721"/>
      <c r="K794" s="721"/>
      <c r="L794" s="721"/>
      <c r="M794" s="930"/>
      <c r="N794" s="930"/>
      <c r="O794" s="930"/>
      <c r="P794" s="931"/>
      <c r="Q794" s="931"/>
      <c r="R794" s="930"/>
      <c r="S794" s="930"/>
      <c r="T794" s="932"/>
      <c r="U794" s="933"/>
      <c r="V794" s="934"/>
      <c r="W794" s="934"/>
      <c r="X794" s="932"/>
      <c r="Y794" s="932"/>
      <c r="Z794" s="932"/>
      <c r="AA794" s="726"/>
      <c r="AB794" s="726"/>
      <c r="AC794" s="721"/>
      <c r="AD794" s="586"/>
      <c r="AE794" s="586"/>
      <c r="AF794" s="170"/>
      <c r="AG794" s="170"/>
      <c r="AH794" s="170"/>
      <c r="AI794" s="170"/>
      <c r="AJ794" s="170"/>
      <c r="AK794" s="170"/>
      <c r="AL794" s="170"/>
      <c r="AM794" s="170"/>
      <c r="AN794" s="170"/>
      <c r="AO794" s="170"/>
      <c r="AP794" s="170"/>
      <c r="AQ794" s="170"/>
      <c r="AR794" s="170"/>
      <c r="AS794" s="170"/>
      <c r="AT794" s="721"/>
      <c r="AU794" s="721"/>
      <c r="AV794" s="721"/>
      <c r="AW794" s="828"/>
      <c r="AX794" s="726"/>
    </row>
    <row r="795" spans="1:50" ht="15" x14ac:dyDescent="0.25">
      <c r="A795" s="721"/>
      <c r="B795" s="904"/>
      <c r="C795" s="721"/>
      <c r="D795" s="721"/>
      <c r="E795" s="721"/>
      <c r="F795" s="721"/>
      <c r="G795" s="721"/>
      <c r="H795" s="721"/>
      <c r="I795" s="721"/>
      <c r="J795" s="721"/>
      <c r="K795" s="721"/>
      <c r="L795" s="721"/>
      <c r="M795" s="930"/>
      <c r="N795" s="930"/>
      <c r="O795" s="930"/>
      <c r="P795" s="931"/>
      <c r="Q795" s="931"/>
      <c r="R795" s="930"/>
      <c r="S795" s="930"/>
      <c r="T795" s="932"/>
      <c r="U795" s="933"/>
      <c r="V795" s="934"/>
      <c r="W795" s="934"/>
      <c r="X795" s="932"/>
      <c r="Y795" s="932"/>
      <c r="Z795" s="932"/>
      <c r="AA795" s="726"/>
      <c r="AB795" s="726"/>
      <c r="AC795" s="721"/>
      <c r="AD795" s="586"/>
      <c r="AE795" s="586"/>
      <c r="AF795" s="170"/>
      <c r="AG795" s="170"/>
      <c r="AH795" s="170"/>
      <c r="AI795" s="170"/>
      <c r="AJ795" s="170"/>
      <c r="AK795" s="170"/>
      <c r="AL795" s="170"/>
      <c r="AM795" s="170"/>
      <c r="AN795" s="170"/>
      <c r="AO795" s="170"/>
      <c r="AP795" s="170"/>
      <c r="AQ795" s="170"/>
      <c r="AR795" s="170"/>
      <c r="AS795" s="170"/>
      <c r="AT795" s="721"/>
      <c r="AU795" s="721"/>
      <c r="AV795" s="721"/>
      <c r="AW795" s="828"/>
      <c r="AX795" s="726"/>
    </row>
    <row r="796" spans="1:50" ht="15" x14ac:dyDescent="0.25">
      <c r="A796" s="721"/>
      <c r="B796" s="904"/>
      <c r="C796" s="721"/>
      <c r="D796" s="721"/>
      <c r="E796" s="721"/>
      <c r="F796" s="721"/>
      <c r="G796" s="721"/>
      <c r="H796" s="721"/>
      <c r="I796" s="721"/>
      <c r="J796" s="721"/>
      <c r="K796" s="721"/>
      <c r="L796" s="721"/>
      <c r="M796" s="930"/>
      <c r="N796" s="930"/>
      <c r="O796" s="930"/>
      <c r="P796" s="931"/>
      <c r="Q796" s="931"/>
      <c r="R796" s="930"/>
      <c r="S796" s="930"/>
      <c r="T796" s="932"/>
      <c r="U796" s="933"/>
      <c r="V796" s="934"/>
      <c r="W796" s="934"/>
      <c r="X796" s="932"/>
      <c r="Y796" s="932"/>
      <c r="Z796" s="932"/>
      <c r="AA796" s="726"/>
      <c r="AB796" s="726"/>
      <c r="AC796" s="721"/>
      <c r="AD796" s="586"/>
      <c r="AE796" s="586"/>
      <c r="AF796" s="170"/>
      <c r="AG796" s="170"/>
      <c r="AH796" s="170"/>
      <c r="AI796" s="170"/>
      <c r="AJ796" s="170"/>
      <c r="AK796" s="170"/>
      <c r="AL796" s="170"/>
      <c r="AM796" s="170"/>
      <c r="AN796" s="170"/>
      <c r="AO796" s="170"/>
      <c r="AP796" s="170"/>
      <c r="AQ796" s="170"/>
      <c r="AR796" s="170"/>
      <c r="AS796" s="170"/>
      <c r="AT796" s="721"/>
      <c r="AU796" s="721"/>
      <c r="AV796" s="721"/>
      <c r="AW796" s="828"/>
      <c r="AX796" s="726"/>
    </row>
    <row r="797" spans="1:50" ht="15" x14ac:dyDescent="0.25">
      <c r="A797" s="721"/>
      <c r="B797" s="904"/>
      <c r="C797" s="721"/>
      <c r="D797" s="721"/>
      <c r="E797" s="721"/>
      <c r="F797" s="721"/>
      <c r="G797" s="721"/>
      <c r="H797" s="721"/>
      <c r="I797" s="721"/>
      <c r="J797" s="721"/>
      <c r="K797" s="721"/>
      <c r="L797" s="721"/>
      <c r="M797" s="930"/>
      <c r="N797" s="930"/>
      <c r="O797" s="930"/>
      <c r="P797" s="931"/>
      <c r="Q797" s="931"/>
      <c r="R797" s="930"/>
      <c r="S797" s="930"/>
      <c r="T797" s="932"/>
      <c r="U797" s="933"/>
      <c r="V797" s="934"/>
      <c r="W797" s="934"/>
      <c r="X797" s="932"/>
      <c r="Y797" s="932"/>
      <c r="Z797" s="932"/>
      <c r="AA797" s="726"/>
      <c r="AB797" s="726"/>
      <c r="AC797" s="721"/>
      <c r="AD797" s="586"/>
      <c r="AE797" s="586"/>
      <c r="AF797" s="170"/>
      <c r="AG797" s="170"/>
      <c r="AH797" s="170"/>
      <c r="AI797" s="170"/>
      <c r="AJ797" s="170"/>
      <c r="AK797" s="170"/>
      <c r="AL797" s="170"/>
      <c r="AM797" s="170"/>
      <c r="AN797" s="170"/>
      <c r="AO797" s="170"/>
      <c r="AP797" s="170"/>
      <c r="AQ797" s="170"/>
      <c r="AR797" s="170"/>
      <c r="AS797" s="170"/>
      <c r="AT797" s="721"/>
      <c r="AU797" s="721"/>
      <c r="AV797" s="721"/>
      <c r="AW797" s="828"/>
      <c r="AX797" s="726"/>
    </row>
    <row r="798" spans="1:50" ht="15" x14ac:dyDescent="0.25">
      <c r="A798" s="721"/>
      <c r="B798" s="904"/>
      <c r="C798" s="721"/>
      <c r="D798" s="721"/>
      <c r="E798" s="721"/>
      <c r="F798" s="721"/>
      <c r="G798" s="721"/>
      <c r="H798" s="721"/>
      <c r="I798" s="721"/>
      <c r="J798" s="721"/>
      <c r="K798" s="721"/>
      <c r="L798" s="721"/>
      <c r="M798" s="930"/>
      <c r="N798" s="930"/>
      <c r="O798" s="930"/>
      <c r="P798" s="931"/>
      <c r="Q798" s="931"/>
      <c r="R798" s="930"/>
      <c r="S798" s="930"/>
      <c r="T798" s="932"/>
      <c r="U798" s="933"/>
      <c r="V798" s="934"/>
      <c r="W798" s="934"/>
      <c r="X798" s="932"/>
      <c r="Y798" s="932"/>
      <c r="Z798" s="932"/>
      <c r="AA798" s="726"/>
      <c r="AB798" s="726"/>
      <c r="AC798" s="721"/>
      <c r="AD798" s="586"/>
      <c r="AE798" s="586"/>
      <c r="AF798" s="170"/>
      <c r="AG798" s="170"/>
      <c r="AH798" s="170"/>
      <c r="AI798" s="170"/>
      <c r="AJ798" s="170"/>
      <c r="AK798" s="170"/>
      <c r="AL798" s="170"/>
      <c r="AM798" s="170"/>
      <c r="AN798" s="170"/>
      <c r="AO798" s="170"/>
      <c r="AP798" s="170"/>
      <c r="AQ798" s="170"/>
      <c r="AR798" s="170"/>
      <c r="AS798" s="170"/>
      <c r="AT798" s="721"/>
      <c r="AU798" s="721"/>
      <c r="AV798" s="721"/>
      <c r="AW798" s="828"/>
      <c r="AX798" s="726"/>
    </row>
    <row r="799" spans="1:50" ht="15" x14ac:dyDescent="0.25">
      <c r="A799" s="721"/>
      <c r="B799" s="904"/>
      <c r="C799" s="721"/>
      <c r="D799" s="721"/>
      <c r="E799" s="721"/>
      <c r="F799" s="721"/>
      <c r="G799" s="721"/>
      <c r="H799" s="721"/>
      <c r="I799" s="721"/>
      <c r="J799" s="721"/>
      <c r="K799" s="721"/>
      <c r="L799" s="721"/>
      <c r="M799" s="930"/>
      <c r="N799" s="930"/>
      <c r="O799" s="930"/>
      <c r="P799" s="931"/>
      <c r="Q799" s="931"/>
      <c r="R799" s="930"/>
      <c r="S799" s="930"/>
      <c r="T799" s="932"/>
      <c r="U799" s="933"/>
      <c r="V799" s="934"/>
      <c r="W799" s="934"/>
      <c r="X799" s="932"/>
      <c r="Y799" s="932"/>
      <c r="Z799" s="932"/>
      <c r="AA799" s="726"/>
      <c r="AB799" s="726"/>
      <c r="AC799" s="721"/>
      <c r="AD799" s="586"/>
      <c r="AE799" s="586"/>
      <c r="AF799" s="170"/>
      <c r="AG799" s="170"/>
      <c r="AH799" s="170"/>
      <c r="AI799" s="170"/>
      <c r="AJ799" s="170"/>
      <c r="AK799" s="170"/>
      <c r="AL799" s="170"/>
      <c r="AM799" s="170"/>
      <c r="AN799" s="170"/>
      <c r="AO799" s="170"/>
      <c r="AP799" s="170"/>
      <c r="AQ799" s="170"/>
      <c r="AR799" s="170"/>
      <c r="AS799" s="170"/>
      <c r="AT799" s="721"/>
      <c r="AU799" s="721"/>
      <c r="AV799" s="721"/>
      <c r="AW799" s="828"/>
      <c r="AX799" s="726"/>
    </row>
    <row r="800" spans="1:50" ht="15" x14ac:dyDescent="0.25">
      <c r="A800" s="721"/>
      <c r="B800" s="904"/>
      <c r="C800" s="721"/>
      <c r="D800" s="721"/>
      <c r="E800" s="721"/>
      <c r="F800" s="721"/>
      <c r="G800" s="721"/>
      <c r="H800" s="721"/>
      <c r="I800" s="721"/>
      <c r="J800" s="721"/>
      <c r="K800" s="721"/>
      <c r="L800" s="721"/>
      <c r="M800" s="930"/>
      <c r="N800" s="930"/>
      <c r="O800" s="930"/>
      <c r="P800" s="931"/>
      <c r="Q800" s="931"/>
      <c r="R800" s="930"/>
      <c r="S800" s="930"/>
      <c r="T800" s="932"/>
      <c r="U800" s="933"/>
      <c r="V800" s="934"/>
      <c r="W800" s="934"/>
      <c r="X800" s="932"/>
      <c r="Y800" s="932"/>
      <c r="Z800" s="932"/>
      <c r="AA800" s="726"/>
      <c r="AB800" s="726"/>
      <c r="AC800" s="721"/>
      <c r="AD800" s="586"/>
      <c r="AE800" s="586"/>
      <c r="AF800" s="170"/>
      <c r="AG800" s="170"/>
      <c r="AH800" s="170"/>
      <c r="AI800" s="170"/>
      <c r="AJ800" s="170"/>
      <c r="AK800" s="170"/>
      <c r="AL800" s="170"/>
      <c r="AM800" s="170"/>
      <c r="AN800" s="170"/>
      <c r="AO800" s="170"/>
      <c r="AP800" s="170"/>
      <c r="AQ800" s="170"/>
      <c r="AR800" s="170"/>
      <c r="AS800" s="170"/>
      <c r="AT800" s="721"/>
      <c r="AU800" s="721"/>
      <c r="AV800" s="721"/>
      <c r="AW800" s="828"/>
      <c r="AX800" s="726"/>
    </row>
    <row r="801" spans="1:50" ht="15" x14ac:dyDescent="0.25">
      <c r="A801" s="721"/>
      <c r="B801" s="904"/>
      <c r="C801" s="721"/>
      <c r="D801" s="721"/>
      <c r="E801" s="721"/>
      <c r="F801" s="721"/>
      <c r="G801" s="721"/>
      <c r="H801" s="721"/>
      <c r="I801" s="721"/>
      <c r="J801" s="721"/>
      <c r="K801" s="721"/>
      <c r="L801" s="721"/>
      <c r="M801" s="930"/>
      <c r="N801" s="930"/>
      <c r="O801" s="930"/>
      <c r="P801" s="931"/>
      <c r="Q801" s="931"/>
      <c r="R801" s="930"/>
      <c r="S801" s="930"/>
      <c r="T801" s="932"/>
      <c r="U801" s="933"/>
      <c r="V801" s="934"/>
      <c r="W801" s="934"/>
      <c r="X801" s="932"/>
      <c r="Y801" s="932"/>
      <c r="Z801" s="932"/>
      <c r="AA801" s="726"/>
      <c r="AB801" s="726"/>
      <c r="AC801" s="721"/>
      <c r="AD801" s="586"/>
      <c r="AE801" s="586"/>
      <c r="AF801" s="170"/>
      <c r="AG801" s="170"/>
      <c r="AH801" s="170"/>
      <c r="AI801" s="170"/>
      <c r="AJ801" s="170"/>
      <c r="AK801" s="170"/>
      <c r="AL801" s="170"/>
      <c r="AM801" s="170"/>
      <c r="AN801" s="170"/>
      <c r="AO801" s="170"/>
      <c r="AP801" s="170"/>
      <c r="AQ801" s="170"/>
      <c r="AR801" s="170"/>
      <c r="AS801" s="170"/>
      <c r="AT801" s="721"/>
      <c r="AU801" s="721"/>
      <c r="AV801" s="721"/>
      <c r="AW801" s="828"/>
      <c r="AX801" s="726"/>
    </row>
    <row r="802" spans="1:50" ht="15" x14ac:dyDescent="0.25">
      <c r="A802" s="721"/>
      <c r="B802" s="904"/>
      <c r="C802" s="721"/>
      <c r="D802" s="721"/>
      <c r="E802" s="721"/>
      <c r="F802" s="721"/>
      <c r="G802" s="721"/>
      <c r="H802" s="721"/>
      <c r="I802" s="721"/>
      <c r="J802" s="721"/>
      <c r="K802" s="721"/>
      <c r="L802" s="721"/>
      <c r="M802" s="930"/>
      <c r="N802" s="930"/>
      <c r="O802" s="930"/>
      <c r="P802" s="931"/>
      <c r="Q802" s="931"/>
      <c r="R802" s="930"/>
      <c r="S802" s="930"/>
      <c r="T802" s="932"/>
      <c r="U802" s="933"/>
      <c r="V802" s="934"/>
      <c r="W802" s="934"/>
      <c r="X802" s="932"/>
      <c r="Y802" s="932"/>
      <c r="Z802" s="932"/>
      <c r="AA802" s="726"/>
      <c r="AB802" s="726"/>
      <c r="AC802" s="721"/>
      <c r="AD802" s="586"/>
      <c r="AE802" s="586"/>
      <c r="AF802" s="170"/>
      <c r="AG802" s="170"/>
      <c r="AH802" s="170"/>
      <c r="AI802" s="170"/>
      <c r="AJ802" s="170"/>
      <c r="AK802" s="170"/>
      <c r="AL802" s="170"/>
      <c r="AM802" s="170"/>
      <c r="AN802" s="170"/>
      <c r="AO802" s="170"/>
      <c r="AP802" s="170"/>
      <c r="AQ802" s="170"/>
      <c r="AR802" s="170"/>
      <c r="AS802" s="170"/>
      <c r="AT802" s="721"/>
      <c r="AU802" s="721"/>
      <c r="AV802" s="721"/>
      <c r="AW802" s="828"/>
      <c r="AX802" s="726"/>
    </row>
    <row r="803" spans="1:50" ht="15" x14ac:dyDescent="0.25">
      <c r="A803" s="721"/>
      <c r="B803" s="904"/>
      <c r="C803" s="721"/>
      <c r="D803" s="721"/>
      <c r="E803" s="721"/>
      <c r="F803" s="721"/>
      <c r="G803" s="721"/>
      <c r="H803" s="721"/>
      <c r="I803" s="721"/>
      <c r="J803" s="721"/>
      <c r="K803" s="721"/>
      <c r="L803" s="721"/>
      <c r="M803" s="930"/>
      <c r="N803" s="930"/>
      <c r="O803" s="930"/>
      <c r="P803" s="931"/>
      <c r="Q803" s="931"/>
      <c r="R803" s="930"/>
      <c r="S803" s="930"/>
      <c r="T803" s="932"/>
      <c r="U803" s="933"/>
      <c r="V803" s="934"/>
      <c r="W803" s="934"/>
      <c r="X803" s="932"/>
      <c r="Y803" s="932"/>
      <c r="Z803" s="932"/>
      <c r="AA803" s="726"/>
      <c r="AB803" s="726"/>
      <c r="AC803" s="721"/>
      <c r="AD803" s="586"/>
      <c r="AE803" s="586"/>
      <c r="AF803" s="170"/>
      <c r="AG803" s="170"/>
      <c r="AH803" s="170"/>
      <c r="AI803" s="170"/>
      <c r="AJ803" s="170"/>
      <c r="AK803" s="170"/>
      <c r="AL803" s="170"/>
      <c r="AM803" s="170"/>
      <c r="AN803" s="170"/>
      <c r="AO803" s="170"/>
      <c r="AP803" s="170"/>
      <c r="AQ803" s="170"/>
      <c r="AR803" s="170"/>
      <c r="AS803" s="170"/>
      <c r="AT803" s="721"/>
      <c r="AU803" s="721"/>
      <c r="AV803" s="721"/>
      <c r="AW803" s="828"/>
      <c r="AX803" s="726"/>
    </row>
    <row r="804" spans="1:50" ht="15" x14ac:dyDescent="0.25">
      <c r="A804" s="721"/>
      <c r="B804" s="904"/>
      <c r="C804" s="721"/>
      <c r="D804" s="721"/>
      <c r="E804" s="721"/>
      <c r="F804" s="721"/>
      <c r="G804" s="721"/>
      <c r="H804" s="721"/>
      <c r="I804" s="721"/>
      <c r="J804" s="721"/>
      <c r="K804" s="721"/>
      <c r="L804" s="721"/>
      <c r="M804" s="930"/>
      <c r="N804" s="930"/>
      <c r="O804" s="930"/>
      <c r="P804" s="931"/>
      <c r="Q804" s="931"/>
      <c r="R804" s="930"/>
      <c r="S804" s="930"/>
      <c r="T804" s="932"/>
      <c r="U804" s="933"/>
      <c r="V804" s="934"/>
      <c r="W804" s="934"/>
      <c r="X804" s="932"/>
      <c r="Y804" s="932"/>
      <c r="Z804" s="932"/>
      <c r="AA804" s="726"/>
      <c r="AB804" s="726"/>
      <c r="AC804" s="721"/>
      <c r="AD804" s="586"/>
      <c r="AE804" s="586"/>
      <c r="AF804" s="170"/>
      <c r="AG804" s="170"/>
      <c r="AH804" s="170"/>
      <c r="AI804" s="170"/>
      <c r="AJ804" s="170"/>
      <c r="AK804" s="170"/>
      <c r="AL804" s="170"/>
      <c r="AM804" s="170"/>
      <c r="AN804" s="170"/>
      <c r="AO804" s="170"/>
      <c r="AP804" s="170"/>
      <c r="AQ804" s="170"/>
      <c r="AR804" s="170"/>
      <c r="AS804" s="170"/>
      <c r="AT804" s="721"/>
      <c r="AU804" s="721"/>
      <c r="AV804" s="721"/>
      <c r="AW804" s="828"/>
      <c r="AX804" s="726"/>
    </row>
    <row r="805" spans="1:50" ht="15" x14ac:dyDescent="0.25">
      <c r="A805" s="721"/>
      <c r="B805" s="904"/>
      <c r="C805" s="721"/>
      <c r="D805" s="721"/>
      <c r="E805" s="721"/>
      <c r="F805" s="721"/>
      <c r="G805" s="721"/>
      <c r="H805" s="721"/>
      <c r="I805" s="721"/>
      <c r="J805" s="721"/>
      <c r="K805" s="721"/>
      <c r="L805" s="721"/>
      <c r="M805" s="930"/>
      <c r="N805" s="930"/>
      <c r="O805" s="930"/>
      <c r="P805" s="931"/>
      <c r="Q805" s="931"/>
      <c r="R805" s="930"/>
      <c r="S805" s="930"/>
      <c r="T805" s="932"/>
      <c r="U805" s="933"/>
      <c r="V805" s="934"/>
      <c r="W805" s="934"/>
      <c r="X805" s="932"/>
      <c r="Y805" s="932"/>
      <c r="Z805" s="932"/>
      <c r="AA805" s="726"/>
      <c r="AB805" s="726"/>
      <c r="AC805" s="721"/>
      <c r="AD805" s="586"/>
      <c r="AE805" s="586"/>
      <c r="AF805" s="170"/>
      <c r="AG805" s="170"/>
      <c r="AH805" s="170"/>
      <c r="AI805" s="170"/>
      <c r="AJ805" s="170"/>
      <c r="AK805" s="170"/>
      <c r="AL805" s="170"/>
      <c r="AM805" s="170"/>
      <c r="AN805" s="170"/>
      <c r="AO805" s="170"/>
      <c r="AP805" s="170"/>
      <c r="AQ805" s="170"/>
      <c r="AR805" s="170"/>
      <c r="AS805" s="170"/>
      <c r="AT805" s="721"/>
      <c r="AU805" s="721"/>
      <c r="AV805" s="721"/>
      <c r="AW805" s="828"/>
      <c r="AX805" s="726"/>
    </row>
    <row r="806" spans="1:50" ht="15" x14ac:dyDescent="0.25">
      <c r="A806" s="721"/>
      <c r="B806" s="904"/>
      <c r="C806" s="721"/>
      <c r="D806" s="721"/>
      <c r="E806" s="721"/>
      <c r="F806" s="721"/>
      <c r="G806" s="721"/>
      <c r="H806" s="721"/>
      <c r="I806" s="721"/>
      <c r="J806" s="721"/>
      <c r="K806" s="721"/>
      <c r="L806" s="721"/>
      <c r="M806" s="930"/>
      <c r="N806" s="930"/>
      <c r="O806" s="930"/>
      <c r="P806" s="931"/>
      <c r="Q806" s="931"/>
      <c r="R806" s="930"/>
      <c r="S806" s="930"/>
      <c r="T806" s="932"/>
      <c r="U806" s="933"/>
      <c r="V806" s="934"/>
      <c r="W806" s="934"/>
      <c r="X806" s="932"/>
      <c r="Y806" s="932"/>
      <c r="Z806" s="932"/>
      <c r="AA806" s="726"/>
      <c r="AB806" s="726"/>
      <c r="AC806" s="721"/>
      <c r="AD806" s="586"/>
      <c r="AE806" s="586"/>
      <c r="AF806" s="170"/>
      <c r="AG806" s="170"/>
      <c r="AH806" s="170"/>
      <c r="AI806" s="170"/>
      <c r="AJ806" s="170"/>
      <c r="AK806" s="170"/>
      <c r="AL806" s="170"/>
      <c r="AM806" s="170"/>
      <c r="AN806" s="170"/>
      <c r="AO806" s="170"/>
      <c r="AP806" s="170"/>
      <c r="AQ806" s="170"/>
      <c r="AR806" s="170"/>
      <c r="AS806" s="170"/>
      <c r="AT806" s="721"/>
      <c r="AU806" s="721"/>
      <c r="AV806" s="721"/>
      <c r="AW806" s="828"/>
      <c r="AX806" s="726"/>
    </row>
    <row r="807" spans="1:50" ht="15" x14ac:dyDescent="0.25">
      <c r="A807" s="721"/>
      <c r="B807" s="904"/>
      <c r="C807" s="721"/>
      <c r="D807" s="721"/>
      <c r="E807" s="721"/>
      <c r="F807" s="721"/>
      <c r="G807" s="721"/>
      <c r="H807" s="721"/>
      <c r="I807" s="721"/>
      <c r="J807" s="721"/>
      <c r="K807" s="721"/>
      <c r="L807" s="721"/>
      <c r="M807" s="930"/>
      <c r="N807" s="930"/>
      <c r="O807" s="930"/>
      <c r="P807" s="931"/>
      <c r="Q807" s="931"/>
      <c r="R807" s="930"/>
      <c r="S807" s="930"/>
      <c r="T807" s="932"/>
      <c r="U807" s="933"/>
      <c r="V807" s="934"/>
      <c r="W807" s="934"/>
      <c r="X807" s="932"/>
      <c r="Y807" s="932"/>
      <c r="Z807" s="932"/>
      <c r="AA807" s="726"/>
      <c r="AB807" s="726"/>
      <c r="AC807" s="721"/>
      <c r="AD807" s="586"/>
      <c r="AE807" s="586"/>
      <c r="AF807" s="170"/>
      <c r="AG807" s="170"/>
      <c r="AH807" s="170"/>
      <c r="AI807" s="170"/>
      <c r="AJ807" s="170"/>
      <c r="AK807" s="170"/>
      <c r="AL807" s="170"/>
      <c r="AM807" s="170"/>
      <c r="AN807" s="170"/>
      <c r="AO807" s="170"/>
      <c r="AP807" s="170"/>
      <c r="AQ807" s="170"/>
      <c r="AR807" s="170"/>
      <c r="AS807" s="170"/>
      <c r="AT807" s="721"/>
      <c r="AU807" s="721"/>
      <c r="AV807" s="721"/>
      <c r="AW807" s="828"/>
      <c r="AX807" s="726"/>
    </row>
    <row r="808" spans="1:50" ht="15" x14ac:dyDescent="0.25">
      <c r="A808" s="721"/>
      <c r="B808" s="904"/>
      <c r="C808" s="721"/>
      <c r="D808" s="721"/>
      <c r="E808" s="721"/>
      <c r="F808" s="721"/>
      <c r="G808" s="721"/>
      <c r="H808" s="721"/>
      <c r="I808" s="721"/>
      <c r="J808" s="721"/>
      <c r="K808" s="721"/>
      <c r="L808" s="721"/>
      <c r="M808" s="930"/>
      <c r="N808" s="930"/>
      <c r="O808" s="930"/>
      <c r="P808" s="931"/>
      <c r="Q808" s="931"/>
      <c r="R808" s="930"/>
      <c r="S808" s="930"/>
      <c r="T808" s="932"/>
      <c r="U808" s="933"/>
      <c r="V808" s="934"/>
      <c r="W808" s="934"/>
      <c r="X808" s="932"/>
      <c r="Y808" s="932"/>
      <c r="Z808" s="932"/>
      <c r="AA808" s="726"/>
      <c r="AB808" s="726"/>
      <c r="AC808" s="721"/>
      <c r="AD808" s="586"/>
      <c r="AE808" s="586"/>
      <c r="AF808" s="170"/>
      <c r="AG808" s="170"/>
      <c r="AH808" s="170"/>
      <c r="AI808" s="170"/>
      <c r="AJ808" s="170"/>
      <c r="AK808" s="170"/>
      <c r="AL808" s="170"/>
      <c r="AM808" s="170"/>
      <c r="AN808" s="170"/>
      <c r="AO808" s="170"/>
      <c r="AP808" s="170"/>
      <c r="AQ808" s="170"/>
      <c r="AR808" s="170"/>
      <c r="AS808" s="170"/>
      <c r="AT808" s="721"/>
      <c r="AU808" s="721"/>
      <c r="AV808" s="721"/>
      <c r="AW808" s="828"/>
      <c r="AX808" s="726"/>
    </row>
    <row r="809" spans="1:50" ht="15" x14ac:dyDescent="0.25">
      <c r="A809" s="721"/>
      <c r="B809" s="904"/>
      <c r="C809" s="721"/>
      <c r="D809" s="721"/>
      <c r="E809" s="721"/>
      <c r="F809" s="721"/>
      <c r="G809" s="721"/>
      <c r="H809" s="721"/>
      <c r="I809" s="721"/>
      <c r="J809" s="721"/>
      <c r="K809" s="721"/>
      <c r="L809" s="721"/>
      <c r="M809" s="930"/>
      <c r="N809" s="930"/>
      <c r="O809" s="930"/>
      <c r="P809" s="931"/>
      <c r="Q809" s="931"/>
      <c r="R809" s="930"/>
      <c r="S809" s="930"/>
      <c r="T809" s="932"/>
      <c r="U809" s="933"/>
      <c r="V809" s="934"/>
      <c r="W809" s="934"/>
      <c r="X809" s="932"/>
      <c r="Y809" s="932"/>
      <c r="Z809" s="932"/>
      <c r="AA809" s="726"/>
      <c r="AB809" s="726"/>
      <c r="AC809" s="721"/>
      <c r="AD809" s="586"/>
      <c r="AE809" s="586"/>
      <c r="AF809" s="170"/>
      <c r="AG809" s="170"/>
      <c r="AH809" s="170"/>
      <c r="AI809" s="170"/>
      <c r="AJ809" s="170"/>
      <c r="AK809" s="170"/>
      <c r="AL809" s="170"/>
      <c r="AM809" s="170"/>
      <c r="AN809" s="170"/>
      <c r="AO809" s="170"/>
      <c r="AP809" s="170"/>
      <c r="AQ809" s="170"/>
      <c r="AR809" s="170"/>
      <c r="AS809" s="170"/>
      <c r="AT809" s="721"/>
      <c r="AU809" s="721"/>
      <c r="AV809" s="721"/>
      <c r="AW809" s="828"/>
      <c r="AX809" s="726"/>
    </row>
    <row r="810" spans="1:50" ht="15" x14ac:dyDescent="0.25">
      <c r="A810" s="721"/>
      <c r="B810" s="904"/>
      <c r="C810" s="721"/>
      <c r="D810" s="721"/>
      <c r="E810" s="721"/>
      <c r="F810" s="721"/>
      <c r="G810" s="721"/>
      <c r="H810" s="721"/>
      <c r="I810" s="721"/>
      <c r="J810" s="721"/>
      <c r="K810" s="721"/>
      <c r="L810" s="721"/>
      <c r="M810" s="930"/>
      <c r="N810" s="930"/>
      <c r="O810" s="930"/>
      <c r="P810" s="931"/>
      <c r="Q810" s="931"/>
      <c r="R810" s="930"/>
      <c r="S810" s="930"/>
      <c r="T810" s="932"/>
      <c r="U810" s="933"/>
      <c r="V810" s="934"/>
      <c r="W810" s="934"/>
      <c r="X810" s="932"/>
      <c r="Y810" s="932"/>
      <c r="Z810" s="932"/>
      <c r="AA810" s="726"/>
      <c r="AB810" s="726"/>
      <c r="AC810" s="721"/>
      <c r="AD810" s="586"/>
      <c r="AE810" s="586"/>
      <c r="AF810" s="170"/>
      <c r="AG810" s="170"/>
      <c r="AH810" s="170"/>
      <c r="AI810" s="170"/>
      <c r="AJ810" s="170"/>
      <c r="AK810" s="170"/>
      <c r="AL810" s="170"/>
      <c r="AM810" s="170"/>
      <c r="AN810" s="170"/>
      <c r="AO810" s="170"/>
      <c r="AP810" s="170"/>
      <c r="AQ810" s="170"/>
      <c r="AR810" s="170"/>
      <c r="AS810" s="170"/>
      <c r="AT810" s="721"/>
      <c r="AU810" s="721"/>
      <c r="AV810" s="721"/>
      <c r="AW810" s="828"/>
      <c r="AX810" s="726"/>
    </row>
    <row r="811" spans="1:50" ht="15" x14ac:dyDescent="0.25">
      <c r="A811" s="721"/>
      <c r="B811" s="904"/>
      <c r="C811" s="721"/>
      <c r="D811" s="721"/>
      <c r="E811" s="721"/>
      <c r="F811" s="721"/>
      <c r="G811" s="721"/>
      <c r="H811" s="721"/>
      <c r="I811" s="721"/>
      <c r="J811" s="721"/>
      <c r="K811" s="721"/>
      <c r="L811" s="721"/>
      <c r="M811" s="930"/>
      <c r="N811" s="930"/>
      <c r="O811" s="930"/>
      <c r="P811" s="931"/>
      <c r="Q811" s="931"/>
      <c r="R811" s="930"/>
      <c r="S811" s="930"/>
      <c r="T811" s="932"/>
      <c r="U811" s="933"/>
      <c r="V811" s="934"/>
      <c r="W811" s="934"/>
      <c r="X811" s="932"/>
      <c r="Y811" s="932"/>
      <c r="Z811" s="932"/>
      <c r="AA811" s="726"/>
      <c r="AB811" s="726"/>
      <c r="AC811" s="721"/>
      <c r="AD811" s="586"/>
      <c r="AE811" s="586"/>
      <c r="AF811" s="170"/>
      <c r="AG811" s="170"/>
      <c r="AH811" s="170"/>
      <c r="AI811" s="170"/>
      <c r="AJ811" s="170"/>
      <c r="AK811" s="170"/>
      <c r="AL811" s="170"/>
      <c r="AM811" s="170"/>
      <c r="AN811" s="170"/>
      <c r="AO811" s="170"/>
      <c r="AP811" s="170"/>
      <c r="AQ811" s="170"/>
      <c r="AR811" s="170"/>
      <c r="AS811" s="170"/>
      <c r="AT811" s="721"/>
      <c r="AU811" s="721"/>
      <c r="AV811" s="721"/>
      <c r="AW811" s="828"/>
      <c r="AX811" s="726"/>
    </row>
    <row r="812" spans="1:50" ht="15" x14ac:dyDescent="0.25">
      <c r="A812" s="721"/>
      <c r="B812" s="904"/>
      <c r="C812" s="721"/>
      <c r="D812" s="721"/>
      <c r="E812" s="721"/>
      <c r="F812" s="721"/>
      <c r="G812" s="721"/>
      <c r="H812" s="721"/>
      <c r="I812" s="721"/>
      <c r="J812" s="721"/>
      <c r="K812" s="721"/>
      <c r="L812" s="721"/>
      <c r="M812" s="930"/>
      <c r="N812" s="930"/>
      <c r="O812" s="930"/>
      <c r="P812" s="931"/>
      <c r="Q812" s="931"/>
      <c r="R812" s="930"/>
      <c r="S812" s="930"/>
      <c r="T812" s="932"/>
      <c r="U812" s="933"/>
      <c r="V812" s="934"/>
      <c r="W812" s="934"/>
      <c r="X812" s="932"/>
      <c r="Y812" s="932"/>
      <c r="Z812" s="932"/>
      <c r="AA812" s="726"/>
      <c r="AB812" s="726"/>
      <c r="AC812" s="721"/>
      <c r="AD812" s="586"/>
      <c r="AE812" s="586"/>
      <c r="AF812" s="170"/>
      <c r="AG812" s="170"/>
      <c r="AH812" s="170"/>
      <c r="AI812" s="170"/>
      <c r="AJ812" s="170"/>
      <c r="AK812" s="170"/>
      <c r="AL812" s="170"/>
      <c r="AM812" s="170"/>
      <c r="AN812" s="170"/>
      <c r="AO812" s="170"/>
      <c r="AP812" s="170"/>
      <c r="AQ812" s="170"/>
      <c r="AR812" s="170"/>
      <c r="AS812" s="170"/>
      <c r="AT812" s="721"/>
      <c r="AU812" s="721"/>
      <c r="AV812" s="721"/>
      <c r="AW812" s="828"/>
      <c r="AX812" s="726"/>
    </row>
    <row r="813" spans="1:50" ht="15" x14ac:dyDescent="0.25">
      <c r="A813" s="721"/>
      <c r="B813" s="904"/>
      <c r="C813" s="721"/>
      <c r="D813" s="721"/>
      <c r="E813" s="721"/>
      <c r="F813" s="721"/>
      <c r="G813" s="721"/>
      <c r="H813" s="721"/>
      <c r="I813" s="721"/>
      <c r="J813" s="721"/>
      <c r="K813" s="721"/>
      <c r="L813" s="721"/>
      <c r="M813" s="930"/>
      <c r="N813" s="930"/>
      <c r="O813" s="930"/>
      <c r="P813" s="931"/>
      <c r="Q813" s="931"/>
      <c r="R813" s="930"/>
      <c r="S813" s="930"/>
      <c r="T813" s="932"/>
      <c r="U813" s="933"/>
      <c r="V813" s="934"/>
      <c r="W813" s="934"/>
      <c r="X813" s="932"/>
      <c r="Y813" s="932"/>
      <c r="Z813" s="932"/>
      <c r="AA813" s="726"/>
      <c r="AB813" s="726"/>
      <c r="AC813" s="721"/>
      <c r="AD813" s="586"/>
      <c r="AE813" s="586"/>
      <c r="AF813" s="170"/>
      <c r="AG813" s="170"/>
      <c r="AH813" s="170"/>
      <c r="AI813" s="170"/>
      <c r="AJ813" s="170"/>
      <c r="AK813" s="170"/>
      <c r="AL813" s="170"/>
      <c r="AM813" s="170"/>
      <c r="AN813" s="170"/>
      <c r="AO813" s="170"/>
      <c r="AP813" s="170"/>
      <c r="AQ813" s="170"/>
      <c r="AR813" s="170"/>
      <c r="AS813" s="170"/>
      <c r="AT813" s="721"/>
      <c r="AU813" s="721"/>
      <c r="AV813" s="721"/>
      <c r="AW813" s="828"/>
      <c r="AX813" s="726"/>
    </row>
    <row r="814" spans="1:50" ht="15" x14ac:dyDescent="0.25">
      <c r="A814" s="721"/>
      <c r="B814" s="904"/>
      <c r="C814" s="721"/>
      <c r="D814" s="721"/>
      <c r="E814" s="721"/>
      <c r="F814" s="721"/>
      <c r="G814" s="721"/>
      <c r="H814" s="721"/>
      <c r="I814" s="721"/>
      <c r="J814" s="721"/>
      <c r="K814" s="721"/>
      <c r="L814" s="721"/>
      <c r="M814" s="930"/>
      <c r="N814" s="930"/>
      <c r="O814" s="930"/>
      <c r="P814" s="931"/>
      <c r="Q814" s="931"/>
      <c r="R814" s="930"/>
      <c r="S814" s="930"/>
      <c r="T814" s="932"/>
      <c r="U814" s="933"/>
      <c r="V814" s="934"/>
      <c r="W814" s="934"/>
      <c r="X814" s="932"/>
      <c r="Y814" s="932"/>
      <c r="Z814" s="932"/>
      <c r="AA814" s="726"/>
      <c r="AB814" s="726"/>
      <c r="AC814" s="721"/>
      <c r="AD814" s="586"/>
      <c r="AE814" s="586"/>
      <c r="AF814" s="170"/>
      <c r="AG814" s="170"/>
      <c r="AH814" s="170"/>
      <c r="AI814" s="170"/>
      <c r="AJ814" s="170"/>
      <c r="AK814" s="170"/>
      <c r="AL814" s="170"/>
      <c r="AM814" s="170"/>
      <c r="AN814" s="170"/>
      <c r="AO814" s="170"/>
      <c r="AP814" s="170"/>
      <c r="AQ814" s="170"/>
      <c r="AR814" s="170"/>
      <c r="AS814" s="170"/>
      <c r="AT814" s="721"/>
      <c r="AU814" s="721"/>
      <c r="AV814" s="721"/>
      <c r="AW814" s="828"/>
      <c r="AX814" s="726"/>
    </row>
    <row r="815" spans="1:50" ht="15" x14ac:dyDescent="0.25">
      <c r="A815" s="721"/>
      <c r="B815" s="904"/>
      <c r="C815" s="721"/>
      <c r="D815" s="721"/>
      <c r="E815" s="721"/>
      <c r="F815" s="721"/>
      <c r="G815" s="721"/>
      <c r="H815" s="721"/>
      <c r="I815" s="721"/>
      <c r="J815" s="721"/>
      <c r="K815" s="721"/>
      <c r="L815" s="721"/>
      <c r="M815" s="930"/>
      <c r="N815" s="930"/>
      <c r="O815" s="930"/>
      <c r="P815" s="931"/>
      <c r="Q815" s="931"/>
      <c r="R815" s="930"/>
      <c r="S815" s="930"/>
      <c r="T815" s="932"/>
      <c r="U815" s="933"/>
      <c r="V815" s="934"/>
      <c r="W815" s="934"/>
      <c r="X815" s="932"/>
      <c r="Y815" s="932"/>
      <c r="Z815" s="932"/>
      <c r="AA815" s="726"/>
      <c r="AB815" s="726"/>
      <c r="AC815" s="721"/>
      <c r="AD815" s="586"/>
      <c r="AE815" s="586"/>
      <c r="AF815" s="170"/>
      <c r="AG815" s="170"/>
      <c r="AH815" s="170"/>
      <c r="AI815" s="170"/>
      <c r="AJ815" s="170"/>
      <c r="AK815" s="170"/>
      <c r="AL815" s="170"/>
      <c r="AM815" s="170"/>
      <c r="AN815" s="170"/>
      <c r="AO815" s="170"/>
      <c r="AP815" s="170"/>
      <c r="AQ815" s="170"/>
      <c r="AR815" s="170"/>
      <c r="AS815" s="170"/>
      <c r="AT815" s="721"/>
      <c r="AU815" s="721"/>
      <c r="AV815" s="721"/>
      <c r="AW815" s="828"/>
      <c r="AX815" s="726"/>
    </row>
    <row r="816" spans="1:50" ht="15" x14ac:dyDescent="0.25">
      <c r="A816" s="721"/>
      <c r="B816" s="904"/>
      <c r="C816" s="721"/>
      <c r="D816" s="721"/>
      <c r="E816" s="721"/>
      <c r="F816" s="721"/>
      <c r="G816" s="721"/>
      <c r="H816" s="721"/>
      <c r="I816" s="721"/>
      <c r="J816" s="721"/>
      <c r="K816" s="721"/>
      <c r="L816" s="721"/>
      <c r="M816" s="930"/>
      <c r="N816" s="930"/>
      <c r="O816" s="930"/>
      <c r="P816" s="931"/>
      <c r="Q816" s="931"/>
      <c r="R816" s="930"/>
      <c r="S816" s="930"/>
      <c r="T816" s="932"/>
      <c r="U816" s="933"/>
      <c r="V816" s="934"/>
      <c r="W816" s="934"/>
      <c r="X816" s="932"/>
      <c r="Y816" s="932"/>
      <c r="Z816" s="932"/>
      <c r="AA816" s="726"/>
      <c r="AB816" s="726"/>
      <c r="AC816" s="721"/>
      <c r="AD816" s="586"/>
      <c r="AE816" s="586"/>
      <c r="AF816" s="170"/>
      <c r="AG816" s="170"/>
      <c r="AH816" s="170"/>
      <c r="AI816" s="170"/>
      <c r="AJ816" s="170"/>
      <c r="AK816" s="170"/>
      <c r="AL816" s="170"/>
      <c r="AM816" s="170"/>
      <c r="AN816" s="170"/>
      <c r="AO816" s="170"/>
      <c r="AP816" s="170"/>
      <c r="AQ816" s="170"/>
      <c r="AR816" s="170"/>
      <c r="AS816" s="170"/>
      <c r="AT816" s="721"/>
      <c r="AU816" s="721"/>
      <c r="AV816" s="721"/>
      <c r="AW816" s="828"/>
      <c r="AX816" s="726"/>
    </row>
    <row r="817" spans="1:50" ht="15" x14ac:dyDescent="0.25">
      <c r="A817" s="721"/>
      <c r="B817" s="904"/>
      <c r="C817" s="721"/>
      <c r="D817" s="721"/>
      <c r="E817" s="721"/>
      <c r="F817" s="721"/>
      <c r="G817" s="721"/>
      <c r="H817" s="721"/>
      <c r="I817" s="721"/>
      <c r="J817" s="721"/>
      <c r="K817" s="721"/>
      <c r="L817" s="721"/>
      <c r="M817" s="930"/>
      <c r="N817" s="930"/>
      <c r="O817" s="930"/>
      <c r="P817" s="931"/>
      <c r="Q817" s="931"/>
      <c r="R817" s="930"/>
      <c r="S817" s="930"/>
      <c r="T817" s="932"/>
      <c r="U817" s="933"/>
      <c r="V817" s="934"/>
      <c r="W817" s="934"/>
      <c r="X817" s="932"/>
      <c r="Y817" s="932"/>
      <c r="Z817" s="932"/>
      <c r="AA817" s="726"/>
      <c r="AB817" s="726"/>
      <c r="AC817" s="721"/>
      <c r="AD817" s="586"/>
      <c r="AE817" s="586"/>
      <c r="AF817" s="170"/>
      <c r="AG817" s="170"/>
      <c r="AH817" s="170"/>
      <c r="AI817" s="170"/>
      <c r="AJ817" s="170"/>
      <c r="AK817" s="170"/>
      <c r="AL817" s="170"/>
      <c r="AM817" s="170"/>
      <c r="AN817" s="170"/>
      <c r="AO817" s="170"/>
      <c r="AP817" s="170"/>
      <c r="AQ817" s="170"/>
      <c r="AR817" s="170"/>
      <c r="AS817" s="170"/>
      <c r="AT817" s="721"/>
      <c r="AU817" s="721"/>
      <c r="AV817" s="721"/>
      <c r="AW817" s="828"/>
      <c r="AX817" s="726"/>
    </row>
    <row r="818" spans="1:50" ht="15" x14ac:dyDescent="0.25">
      <c r="A818" s="721"/>
      <c r="B818" s="904"/>
      <c r="C818" s="721"/>
      <c r="D818" s="721"/>
      <c r="E818" s="721"/>
      <c r="F818" s="721"/>
      <c r="G818" s="721"/>
      <c r="H818" s="721"/>
      <c r="I818" s="721"/>
      <c r="J818" s="721"/>
      <c r="K818" s="721"/>
      <c r="L818" s="721"/>
      <c r="M818" s="930"/>
      <c r="N818" s="930"/>
      <c r="O818" s="930"/>
      <c r="P818" s="931"/>
      <c r="Q818" s="931"/>
      <c r="R818" s="930"/>
      <c r="S818" s="930"/>
      <c r="T818" s="932"/>
      <c r="U818" s="933"/>
      <c r="V818" s="934"/>
      <c r="W818" s="934"/>
      <c r="X818" s="932"/>
      <c r="Y818" s="932"/>
      <c r="Z818" s="932"/>
      <c r="AA818" s="726"/>
      <c r="AB818" s="726"/>
      <c r="AC818" s="721"/>
      <c r="AD818" s="586"/>
      <c r="AE818" s="586"/>
      <c r="AF818" s="170"/>
      <c r="AG818" s="170"/>
      <c r="AH818" s="170"/>
      <c r="AI818" s="170"/>
      <c r="AJ818" s="170"/>
      <c r="AK818" s="170"/>
      <c r="AL818" s="170"/>
      <c r="AM818" s="170"/>
      <c r="AN818" s="170"/>
      <c r="AO818" s="170"/>
      <c r="AP818" s="170"/>
      <c r="AQ818" s="170"/>
      <c r="AR818" s="170"/>
      <c r="AS818" s="170"/>
      <c r="AT818" s="721"/>
      <c r="AU818" s="721"/>
      <c r="AV818" s="721"/>
      <c r="AW818" s="828"/>
      <c r="AX818" s="726"/>
    </row>
    <row r="819" spans="1:50" ht="15" x14ac:dyDescent="0.25">
      <c r="A819" s="721"/>
      <c r="B819" s="904"/>
      <c r="C819" s="721"/>
      <c r="D819" s="721"/>
      <c r="E819" s="721"/>
      <c r="F819" s="721"/>
      <c r="G819" s="721"/>
      <c r="H819" s="721"/>
      <c r="I819" s="721"/>
      <c r="J819" s="721"/>
      <c r="K819" s="721"/>
      <c r="L819" s="721"/>
      <c r="M819" s="930"/>
      <c r="N819" s="930"/>
      <c r="O819" s="930"/>
      <c r="P819" s="931"/>
      <c r="Q819" s="931"/>
      <c r="R819" s="930"/>
      <c r="S819" s="930"/>
      <c r="T819" s="932"/>
      <c r="U819" s="933"/>
      <c r="V819" s="934"/>
      <c r="W819" s="934"/>
      <c r="X819" s="932"/>
      <c r="Y819" s="932"/>
      <c r="Z819" s="932"/>
      <c r="AA819" s="726"/>
      <c r="AB819" s="726"/>
      <c r="AC819" s="721"/>
      <c r="AD819" s="586"/>
      <c r="AE819" s="586"/>
      <c r="AF819" s="170"/>
      <c r="AG819" s="170"/>
      <c r="AH819" s="170"/>
      <c r="AI819" s="170"/>
      <c r="AJ819" s="170"/>
      <c r="AK819" s="170"/>
      <c r="AL819" s="170"/>
      <c r="AM819" s="170"/>
      <c r="AN819" s="170"/>
      <c r="AO819" s="170"/>
      <c r="AP819" s="170"/>
      <c r="AQ819" s="170"/>
      <c r="AR819" s="170"/>
      <c r="AS819" s="170"/>
      <c r="AT819" s="721"/>
      <c r="AU819" s="721"/>
      <c r="AV819" s="721"/>
      <c r="AW819" s="828"/>
      <c r="AX819" s="726"/>
    </row>
    <row r="820" spans="1:50" ht="15" x14ac:dyDescent="0.25">
      <c r="A820" s="721"/>
      <c r="B820" s="904"/>
      <c r="C820" s="721"/>
      <c r="D820" s="721"/>
      <c r="E820" s="721"/>
      <c r="F820" s="721"/>
      <c r="G820" s="721"/>
      <c r="H820" s="721"/>
      <c r="I820" s="721"/>
      <c r="J820" s="721"/>
      <c r="K820" s="721"/>
      <c r="L820" s="721"/>
      <c r="M820" s="930"/>
      <c r="N820" s="930"/>
      <c r="O820" s="930"/>
      <c r="P820" s="931"/>
      <c r="Q820" s="931"/>
      <c r="R820" s="930"/>
      <c r="S820" s="930"/>
      <c r="T820" s="932"/>
      <c r="U820" s="933"/>
      <c r="V820" s="934"/>
      <c r="W820" s="934"/>
      <c r="X820" s="932"/>
      <c r="Y820" s="932"/>
      <c r="Z820" s="932"/>
      <c r="AA820" s="726"/>
      <c r="AB820" s="726"/>
      <c r="AC820" s="721"/>
      <c r="AD820" s="586"/>
      <c r="AE820" s="586"/>
      <c r="AF820" s="170"/>
      <c r="AG820" s="170"/>
      <c r="AH820" s="170"/>
      <c r="AI820" s="170"/>
      <c r="AJ820" s="170"/>
      <c r="AK820" s="170"/>
      <c r="AL820" s="170"/>
      <c r="AM820" s="170"/>
      <c r="AN820" s="170"/>
      <c r="AO820" s="170"/>
      <c r="AP820" s="170"/>
      <c r="AQ820" s="170"/>
      <c r="AR820" s="170"/>
      <c r="AS820" s="170"/>
      <c r="AT820" s="721"/>
      <c r="AU820" s="721"/>
      <c r="AV820" s="721"/>
      <c r="AW820" s="828"/>
      <c r="AX820" s="726"/>
    </row>
    <row r="821" spans="1:50" ht="15" x14ac:dyDescent="0.25">
      <c r="A821" s="721"/>
      <c r="B821" s="904"/>
      <c r="C821" s="721"/>
      <c r="D821" s="721"/>
      <c r="E821" s="721"/>
      <c r="F821" s="721"/>
      <c r="G821" s="721"/>
      <c r="H821" s="721"/>
      <c r="I821" s="721"/>
      <c r="J821" s="721"/>
      <c r="K821" s="721"/>
      <c r="L821" s="721"/>
      <c r="M821" s="930"/>
      <c r="N821" s="930"/>
      <c r="O821" s="930"/>
      <c r="P821" s="931"/>
      <c r="Q821" s="931"/>
      <c r="R821" s="930"/>
      <c r="S821" s="930"/>
      <c r="T821" s="932"/>
      <c r="U821" s="933"/>
      <c r="V821" s="934"/>
      <c r="W821" s="934"/>
      <c r="X821" s="932"/>
      <c r="Y821" s="932"/>
      <c r="Z821" s="932"/>
      <c r="AA821" s="726"/>
      <c r="AB821" s="726"/>
      <c r="AC821" s="721"/>
      <c r="AD821" s="586"/>
      <c r="AE821" s="586"/>
      <c r="AF821" s="170"/>
      <c r="AG821" s="170"/>
      <c r="AH821" s="170"/>
      <c r="AI821" s="170"/>
      <c r="AJ821" s="170"/>
      <c r="AK821" s="170"/>
      <c r="AL821" s="170"/>
      <c r="AM821" s="170"/>
      <c r="AN821" s="170"/>
      <c r="AO821" s="170"/>
      <c r="AP821" s="170"/>
      <c r="AQ821" s="170"/>
      <c r="AR821" s="170"/>
      <c r="AS821" s="170"/>
      <c r="AT821" s="721"/>
      <c r="AU821" s="721"/>
      <c r="AV821" s="721"/>
      <c r="AW821" s="828"/>
      <c r="AX821" s="726"/>
    </row>
    <row r="822" spans="1:50" ht="15" x14ac:dyDescent="0.25">
      <c r="A822" s="721"/>
      <c r="B822" s="904"/>
      <c r="C822" s="721"/>
      <c r="D822" s="721"/>
      <c r="E822" s="721"/>
      <c r="F822" s="721"/>
      <c r="G822" s="721"/>
      <c r="H822" s="721"/>
      <c r="I822" s="721"/>
      <c r="J822" s="721"/>
      <c r="K822" s="721"/>
      <c r="L822" s="721"/>
      <c r="M822" s="930"/>
      <c r="N822" s="930"/>
      <c r="O822" s="930"/>
      <c r="P822" s="931"/>
      <c r="Q822" s="931"/>
      <c r="R822" s="930"/>
      <c r="S822" s="930"/>
      <c r="T822" s="932"/>
      <c r="U822" s="933"/>
      <c r="V822" s="934"/>
      <c r="W822" s="934"/>
      <c r="X822" s="932"/>
      <c r="Y822" s="932"/>
      <c r="Z822" s="932"/>
      <c r="AA822" s="726"/>
      <c r="AB822" s="726"/>
      <c r="AC822" s="721"/>
      <c r="AD822" s="586"/>
      <c r="AE822" s="586"/>
      <c r="AF822" s="170"/>
      <c r="AG822" s="170"/>
      <c r="AH822" s="170"/>
      <c r="AI822" s="170"/>
      <c r="AJ822" s="170"/>
      <c r="AK822" s="170"/>
      <c r="AL822" s="170"/>
      <c r="AM822" s="170"/>
      <c r="AN822" s="170"/>
      <c r="AO822" s="170"/>
      <c r="AP822" s="170"/>
      <c r="AQ822" s="170"/>
      <c r="AR822" s="170"/>
      <c r="AS822" s="170"/>
      <c r="AT822" s="721"/>
      <c r="AU822" s="721"/>
      <c r="AV822" s="721"/>
      <c r="AW822" s="828"/>
      <c r="AX822" s="726"/>
    </row>
    <row r="823" spans="1:50" ht="15" x14ac:dyDescent="0.25">
      <c r="A823" s="721"/>
      <c r="B823" s="904"/>
      <c r="C823" s="721"/>
      <c r="D823" s="721"/>
      <c r="E823" s="721"/>
      <c r="F823" s="721"/>
      <c r="G823" s="721"/>
      <c r="H823" s="721"/>
      <c r="I823" s="721"/>
      <c r="J823" s="721"/>
      <c r="K823" s="721"/>
      <c r="L823" s="721"/>
      <c r="M823" s="930"/>
      <c r="N823" s="930"/>
      <c r="O823" s="930"/>
      <c r="P823" s="931"/>
      <c r="Q823" s="931"/>
      <c r="R823" s="930"/>
      <c r="S823" s="930"/>
      <c r="T823" s="932"/>
      <c r="U823" s="933"/>
      <c r="V823" s="934"/>
      <c r="W823" s="934"/>
      <c r="X823" s="932"/>
      <c r="Y823" s="932"/>
      <c r="Z823" s="932"/>
      <c r="AA823" s="726"/>
      <c r="AB823" s="726"/>
      <c r="AC823" s="721"/>
      <c r="AD823" s="586"/>
      <c r="AE823" s="586"/>
      <c r="AF823" s="170"/>
      <c r="AG823" s="170"/>
      <c r="AH823" s="170"/>
      <c r="AI823" s="170"/>
      <c r="AJ823" s="170"/>
      <c r="AK823" s="170"/>
      <c r="AL823" s="170"/>
      <c r="AM823" s="170"/>
      <c r="AN823" s="170"/>
      <c r="AO823" s="170"/>
      <c r="AP823" s="170"/>
      <c r="AQ823" s="170"/>
      <c r="AR823" s="170"/>
      <c r="AS823" s="170"/>
      <c r="AT823" s="721"/>
      <c r="AU823" s="721"/>
      <c r="AV823" s="721"/>
      <c r="AW823" s="828"/>
      <c r="AX823" s="726"/>
    </row>
    <row r="824" spans="1:50" ht="15" x14ac:dyDescent="0.25">
      <c r="A824" s="721"/>
      <c r="B824" s="904"/>
      <c r="C824" s="721"/>
      <c r="D824" s="721"/>
      <c r="E824" s="721"/>
      <c r="F824" s="721"/>
      <c r="G824" s="721"/>
      <c r="H824" s="721"/>
      <c r="I824" s="721"/>
      <c r="J824" s="721"/>
      <c r="K824" s="721"/>
      <c r="L824" s="721"/>
      <c r="M824" s="930"/>
      <c r="N824" s="930"/>
      <c r="O824" s="930"/>
      <c r="P824" s="931"/>
      <c r="Q824" s="931"/>
      <c r="R824" s="930"/>
      <c r="S824" s="930"/>
      <c r="T824" s="932"/>
      <c r="U824" s="933"/>
      <c r="V824" s="934"/>
      <c r="W824" s="934"/>
      <c r="X824" s="932"/>
      <c r="Y824" s="932"/>
      <c r="Z824" s="932"/>
      <c r="AA824" s="726"/>
      <c r="AB824" s="726"/>
      <c r="AC824" s="721"/>
      <c r="AD824" s="586"/>
      <c r="AE824" s="586"/>
      <c r="AF824" s="170"/>
      <c r="AG824" s="170"/>
      <c r="AH824" s="170"/>
      <c r="AI824" s="170"/>
      <c r="AJ824" s="170"/>
      <c r="AK824" s="170"/>
      <c r="AL824" s="170"/>
      <c r="AM824" s="170"/>
      <c r="AN824" s="170"/>
      <c r="AO824" s="170"/>
      <c r="AP824" s="170"/>
      <c r="AQ824" s="170"/>
      <c r="AR824" s="170"/>
      <c r="AS824" s="170"/>
      <c r="AT824" s="721"/>
      <c r="AU824" s="721"/>
      <c r="AV824" s="721"/>
      <c r="AW824" s="828"/>
      <c r="AX824" s="726"/>
    </row>
    <row r="825" spans="1:50" ht="15" x14ac:dyDescent="0.25">
      <c r="A825" s="721"/>
      <c r="B825" s="904"/>
      <c r="C825" s="721"/>
      <c r="D825" s="721"/>
      <c r="E825" s="721"/>
      <c r="F825" s="721"/>
      <c r="G825" s="721"/>
      <c r="H825" s="721"/>
      <c r="I825" s="721"/>
      <c r="J825" s="721"/>
      <c r="K825" s="721"/>
      <c r="L825" s="721"/>
      <c r="M825" s="930"/>
      <c r="N825" s="930"/>
      <c r="O825" s="930"/>
      <c r="P825" s="931"/>
      <c r="Q825" s="931"/>
      <c r="R825" s="930"/>
      <c r="S825" s="930"/>
      <c r="T825" s="932"/>
      <c r="U825" s="933"/>
      <c r="V825" s="934"/>
      <c r="W825" s="934"/>
      <c r="X825" s="932"/>
      <c r="Y825" s="932"/>
      <c r="Z825" s="932"/>
      <c r="AA825" s="726"/>
      <c r="AB825" s="726"/>
      <c r="AC825" s="721"/>
      <c r="AD825" s="586"/>
      <c r="AE825" s="586"/>
      <c r="AF825" s="170"/>
      <c r="AG825" s="170"/>
      <c r="AH825" s="170"/>
      <c r="AI825" s="170"/>
      <c r="AJ825" s="170"/>
      <c r="AK825" s="170"/>
      <c r="AL825" s="170"/>
      <c r="AM825" s="170"/>
      <c r="AN825" s="170"/>
      <c r="AO825" s="170"/>
      <c r="AP825" s="170"/>
      <c r="AQ825" s="170"/>
      <c r="AR825" s="170"/>
      <c r="AS825" s="170"/>
      <c r="AT825" s="721"/>
      <c r="AU825" s="721"/>
      <c r="AV825" s="721"/>
      <c r="AW825" s="828"/>
      <c r="AX825" s="726"/>
    </row>
    <row r="826" spans="1:50" ht="15" x14ac:dyDescent="0.25">
      <c r="A826" s="721"/>
      <c r="B826" s="904"/>
      <c r="C826" s="721"/>
      <c r="D826" s="721"/>
      <c r="E826" s="721"/>
      <c r="F826" s="721"/>
      <c r="G826" s="721"/>
      <c r="H826" s="721"/>
      <c r="I826" s="721"/>
      <c r="J826" s="721"/>
      <c r="K826" s="721"/>
      <c r="L826" s="721"/>
      <c r="M826" s="930"/>
      <c r="N826" s="930"/>
      <c r="O826" s="930"/>
      <c r="P826" s="931"/>
      <c r="Q826" s="931"/>
      <c r="R826" s="930"/>
      <c r="S826" s="930"/>
      <c r="T826" s="932"/>
      <c r="U826" s="933"/>
      <c r="V826" s="934"/>
      <c r="W826" s="934"/>
      <c r="X826" s="932"/>
      <c r="Y826" s="932"/>
      <c r="Z826" s="932"/>
      <c r="AA826" s="726"/>
      <c r="AB826" s="726"/>
      <c r="AC826" s="721"/>
      <c r="AD826" s="586"/>
      <c r="AE826" s="586"/>
      <c r="AF826" s="170"/>
      <c r="AG826" s="170"/>
      <c r="AH826" s="170"/>
      <c r="AI826" s="170"/>
      <c r="AJ826" s="170"/>
      <c r="AK826" s="170"/>
      <c r="AL826" s="170"/>
      <c r="AM826" s="170"/>
      <c r="AN826" s="170"/>
      <c r="AO826" s="170"/>
      <c r="AP826" s="170"/>
      <c r="AQ826" s="170"/>
      <c r="AR826" s="170"/>
      <c r="AS826" s="170"/>
      <c r="AT826" s="721"/>
      <c r="AU826" s="721"/>
      <c r="AV826" s="721"/>
      <c r="AW826" s="828"/>
      <c r="AX826" s="726"/>
    </row>
    <row r="827" spans="1:50" ht="15" x14ac:dyDescent="0.25">
      <c r="A827" s="721"/>
      <c r="B827" s="904"/>
      <c r="C827" s="721"/>
      <c r="D827" s="721"/>
      <c r="E827" s="721"/>
      <c r="F827" s="721"/>
      <c r="G827" s="721"/>
      <c r="H827" s="721"/>
      <c r="I827" s="721"/>
      <c r="J827" s="721"/>
      <c r="K827" s="721"/>
      <c r="L827" s="721"/>
      <c r="M827" s="930"/>
      <c r="N827" s="930"/>
      <c r="O827" s="930"/>
      <c r="P827" s="931"/>
      <c r="Q827" s="931"/>
      <c r="R827" s="930"/>
      <c r="S827" s="930"/>
      <c r="T827" s="932"/>
      <c r="U827" s="933"/>
      <c r="V827" s="934"/>
      <c r="W827" s="934"/>
      <c r="X827" s="932"/>
      <c r="Y827" s="932"/>
      <c r="Z827" s="932"/>
      <c r="AA827" s="726"/>
      <c r="AB827" s="726"/>
      <c r="AC827" s="721"/>
      <c r="AD827" s="586"/>
      <c r="AE827" s="586"/>
      <c r="AF827" s="170"/>
      <c r="AG827" s="170"/>
      <c r="AH827" s="170"/>
      <c r="AI827" s="170"/>
      <c r="AJ827" s="170"/>
      <c r="AK827" s="170"/>
      <c r="AL827" s="170"/>
      <c r="AM827" s="170"/>
      <c r="AN827" s="170"/>
      <c r="AO827" s="170"/>
      <c r="AP827" s="170"/>
      <c r="AQ827" s="170"/>
      <c r="AR827" s="170"/>
      <c r="AS827" s="170"/>
      <c r="AT827" s="721"/>
      <c r="AU827" s="721"/>
      <c r="AV827" s="721"/>
      <c r="AW827" s="828"/>
      <c r="AX827" s="726"/>
    </row>
    <row r="828" spans="1:50" ht="15" x14ac:dyDescent="0.25">
      <c r="A828" s="721"/>
      <c r="B828" s="904"/>
      <c r="C828" s="721"/>
      <c r="D828" s="721"/>
      <c r="E828" s="721"/>
      <c r="F828" s="721"/>
      <c r="G828" s="721"/>
      <c r="H828" s="721"/>
      <c r="I828" s="721"/>
      <c r="J828" s="721"/>
      <c r="K828" s="721"/>
      <c r="L828" s="721"/>
      <c r="M828" s="930"/>
      <c r="N828" s="930"/>
      <c r="O828" s="930"/>
      <c r="P828" s="931"/>
      <c r="Q828" s="931"/>
      <c r="R828" s="930"/>
      <c r="S828" s="930"/>
      <c r="T828" s="932"/>
      <c r="U828" s="933"/>
      <c r="V828" s="934"/>
      <c r="W828" s="934"/>
      <c r="X828" s="932"/>
      <c r="Y828" s="932"/>
      <c r="Z828" s="932"/>
      <c r="AA828" s="726"/>
      <c r="AB828" s="726"/>
      <c r="AC828" s="721"/>
      <c r="AD828" s="586"/>
      <c r="AE828" s="586"/>
      <c r="AF828" s="170"/>
      <c r="AG828" s="170"/>
      <c r="AH828" s="170"/>
      <c r="AI828" s="170"/>
      <c r="AJ828" s="170"/>
      <c r="AK828" s="170"/>
      <c r="AL828" s="170"/>
      <c r="AM828" s="170"/>
      <c r="AN828" s="170"/>
      <c r="AO828" s="170"/>
      <c r="AP828" s="170"/>
      <c r="AQ828" s="170"/>
      <c r="AR828" s="170"/>
      <c r="AS828" s="170"/>
      <c r="AT828" s="721"/>
      <c r="AU828" s="721"/>
      <c r="AV828" s="721"/>
      <c r="AW828" s="828"/>
      <c r="AX828" s="726"/>
    </row>
    <row r="829" spans="1:50" ht="15" x14ac:dyDescent="0.25">
      <c r="A829" s="721"/>
      <c r="B829" s="904"/>
      <c r="C829" s="721"/>
      <c r="D829" s="721"/>
      <c r="E829" s="721"/>
      <c r="F829" s="721"/>
      <c r="G829" s="721"/>
      <c r="H829" s="721"/>
      <c r="I829" s="721"/>
      <c r="J829" s="721"/>
      <c r="K829" s="721"/>
      <c r="L829" s="721"/>
      <c r="M829" s="930"/>
      <c r="N829" s="930"/>
      <c r="O829" s="930"/>
      <c r="P829" s="931"/>
      <c r="Q829" s="931"/>
      <c r="R829" s="930"/>
      <c r="S829" s="930"/>
      <c r="T829" s="932"/>
      <c r="U829" s="933"/>
      <c r="V829" s="934"/>
      <c r="W829" s="934"/>
      <c r="X829" s="932"/>
      <c r="Y829" s="932"/>
      <c r="Z829" s="932"/>
      <c r="AA829" s="726"/>
      <c r="AB829" s="726"/>
      <c r="AC829" s="721"/>
      <c r="AD829" s="586"/>
      <c r="AE829" s="586"/>
      <c r="AF829" s="170"/>
      <c r="AG829" s="170"/>
      <c r="AH829" s="170"/>
      <c r="AI829" s="170"/>
      <c r="AJ829" s="170"/>
      <c r="AK829" s="170"/>
      <c r="AL829" s="170"/>
      <c r="AM829" s="170"/>
      <c r="AN829" s="170"/>
      <c r="AO829" s="170"/>
      <c r="AP829" s="170"/>
      <c r="AQ829" s="170"/>
      <c r="AR829" s="170"/>
      <c r="AS829" s="170"/>
      <c r="AT829" s="721"/>
      <c r="AU829" s="721"/>
      <c r="AV829" s="721"/>
      <c r="AW829" s="828"/>
      <c r="AX829" s="726"/>
    </row>
    <row r="830" spans="1:50" ht="15" x14ac:dyDescent="0.25">
      <c r="A830" s="721"/>
      <c r="B830" s="904"/>
      <c r="C830" s="721"/>
      <c r="D830" s="721"/>
      <c r="E830" s="721"/>
      <c r="F830" s="721"/>
      <c r="G830" s="721"/>
      <c r="H830" s="721"/>
      <c r="I830" s="721"/>
      <c r="J830" s="721"/>
      <c r="K830" s="721"/>
      <c r="L830" s="721"/>
      <c r="M830" s="930"/>
      <c r="N830" s="930"/>
      <c r="O830" s="930"/>
      <c r="P830" s="931"/>
      <c r="Q830" s="931"/>
      <c r="R830" s="930"/>
      <c r="S830" s="930"/>
      <c r="T830" s="932"/>
      <c r="U830" s="933"/>
      <c r="V830" s="934"/>
      <c r="W830" s="934"/>
      <c r="X830" s="932"/>
      <c r="Y830" s="932"/>
      <c r="Z830" s="932"/>
      <c r="AA830" s="726"/>
      <c r="AB830" s="726"/>
      <c r="AC830" s="721"/>
      <c r="AD830" s="586"/>
      <c r="AE830" s="586"/>
      <c r="AF830" s="170"/>
      <c r="AG830" s="170"/>
      <c r="AH830" s="170"/>
      <c r="AI830" s="170"/>
      <c r="AJ830" s="170"/>
      <c r="AK830" s="170"/>
      <c r="AL830" s="170"/>
      <c r="AM830" s="170"/>
      <c r="AN830" s="170"/>
      <c r="AO830" s="170"/>
      <c r="AP830" s="170"/>
      <c r="AQ830" s="170"/>
      <c r="AR830" s="170"/>
      <c r="AS830" s="170"/>
      <c r="AT830" s="721"/>
      <c r="AU830" s="721"/>
      <c r="AV830" s="721"/>
      <c r="AW830" s="828"/>
      <c r="AX830" s="726"/>
    </row>
    <row r="831" spans="1:50" ht="15" x14ac:dyDescent="0.25">
      <c r="A831" s="721"/>
      <c r="B831" s="904"/>
      <c r="C831" s="721"/>
      <c r="D831" s="721"/>
      <c r="E831" s="721"/>
      <c r="F831" s="721"/>
      <c r="G831" s="721"/>
      <c r="H831" s="721"/>
      <c r="I831" s="721"/>
      <c r="J831" s="721"/>
      <c r="K831" s="721"/>
      <c r="L831" s="721"/>
      <c r="M831" s="930"/>
      <c r="N831" s="930"/>
      <c r="O831" s="930"/>
      <c r="P831" s="931"/>
      <c r="Q831" s="931"/>
      <c r="R831" s="930"/>
      <c r="S831" s="930"/>
      <c r="T831" s="932"/>
      <c r="U831" s="933"/>
      <c r="V831" s="934"/>
      <c r="W831" s="934"/>
      <c r="X831" s="932"/>
      <c r="Y831" s="932"/>
      <c r="Z831" s="932"/>
      <c r="AA831" s="726"/>
      <c r="AB831" s="726"/>
      <c r="AC831" s="721"/>
      <c r="AD831" s="586"/>
      <c r="AE831" s="586"/>
      <c r="AF831" s="170"/>
      <c r="AG831" s="170"/>
      <c r="AH831" s="170"/>
      <c r="AI831" s="170"/>
      <c r="AJ831" s="170"/>
      <c r="AK831" s="170"/>
      <c r="AL831" s="170"/>
      <c r="AM831" s="170"/>
      <c r="AN831" s="170"/>
      <c r="AO831" s="170"/>
      <c r="AP831" s="170"/>
      <c r="AQ831" s="170"/>
      <c r="AR831" s="170"/>
      <c r="AS831" s="170"/>
      <c r="AT831" s="721"/>
      <c r="AU831" s="721"/>
      <c r="AV831" s="721"/>
      <c r="AW831" s="828"/>
      <c r="AX831" s="726"/>
    </row>
    <row r="832" spans="1:50" ht="15" x14ac:dyDescent="0.25">
      <c r="A832" s="721"/>
      <c r="B832" s="904"/>
      <c r="C832" s="721"/>
      <c r="D832" s="721"/>
      <c r="E832" s="721"/>
      <c r="F832" s="721"/>
      <c r="G832" s="721"/>
      <c r="H832" s="721"/>
      <c r="I832" s="721"/>
      <c r="J832" s="721"/>
      <c r="K832" s="721"/>
      <c r="L832" s="721"/>
      <c r="M832" s="930"/>
      <c r="N832" s="930"/>
      <c r="O832" s="930"/>
      <c r="P832" s="931"/>
      <c r="Q832" s="931"/>
      <c r="R832" s="930"/>
      <c r="S832" s="930"/>
      <c r="T832" s="932"/>
      <c r="U832" s="933"/>
      <c r="V832" s="934"/>
      <c r="W832" s="934"/>
      <c r="X832" s="932"/>
      <c r="Y832" s="932"/>
      <c r="Z832" s="932"/>
      <c r="AA832" s="726"/>
      <c r="AB832" s="726"/>
      <c r="AC832" s="721"/>
      <c r="AD832" s="586"/>
      <c r="AE832" s="586"/>
      <c r="AF832" s="170"/>
      <c r="AG832" s="170"/>
      <c r="AH832" s="170"/>
      <c r="AI832" s="170"/>
      <c r="AJ832" s="170"/>
      <c r="AK832" s="170"/>
      <c r="AL832" s="170"/>
      <c r="AM832" s="170"/>
      <c r="AN832" s="170"/>
      <c r="AO832" s="170"/>
      <c r="AP832" s="170"/>
      <c r="AQ832" s="170"/>
      <c r="AR832" s="170"/>
      <c r="AS832" s="170"/>
      <c r="AT832" s="721"/>
      <c r="AU832" s="721"/>
      <c r="AV832" s="721"/>
      <c r="AW832" s="828"/>
      <c r="AX832" s="726"/>
    </row>
    <row r="833" spans="1:50" ht="15" x14ac:dyDescent="0.25">
      <c r="A833" s="721"/>
      <c r="B833" s="904"/>
      <c r="C833" s="721"/>
      <c r="D833" s="721"/>
      <c r="E833" s="721"/>
      <c r="F833" s="721"/>
      <c r="G833" s="721"/>
      <c r="H833" s="721"/>
      <c r="I833" s="721"/>
      <c r="J833" s="721"/>
      <c r="K833" s="721"/>
      <c r="L833" s="721"/>
      <c r="M833" s="930"/>
      <c r="N833" s="930"/>
      <c r="O833" s="930"/>
      <c r="P833" s="931"/>
      <c r="Q833" s="931"/>
      <c r="R833" s="930"/>
      <c r="S833" s="930"/>
      <c r="T833" s="932"/>
      <c r="U833" s="933"/>
      <c r="V833" s="934"/>
      <c r="W833" s="934"/>
      <c r="X833" s="932"/>
      <c r="Y833" s="932"/>
      <c r="Z833" s="932"/>
      <c r="AA833" s="726"/>
      <c r="AB833" s="726"/>
      <c r="AC833" s="721"/>
      <c r="AD833" s="586"/>
      <c r="AE833" s="586"/>
      <c r="AF833" s="170"/>
      <c r="AG833" s="170"/>
      <c r="AH833" s="170"/>
      <c r="AI833" s="170"/>
      <c r="AJ833" s="170"/>
      <c r="AK833" s="170"/>
      <c r="AL833" s="170"/>
      <c r="AM833" s="170"/>
      <c r="AN833" s="170"/>
      <c r="AO833" s="170"/>
      <c r="AP833" s="170"/>
      <c r="AQ833" s="170"/>
      <c r="AR833" s="170"/>
      <c r="AS833" s="170"/>
      <c r="AT833" s="721"/>
      <c r="AU833" s="721"/>
      <c r="AV833" s="721"/>
      <c r="AW833" s="828"/>
      <c r="AX833" s="726"/>
    </row>
    <row r="834" spans="1:50" ht="15" x14ac:dyDescent="0.25">
      <c r="A834" s="721"/>
      <c r="B834" s="904"/>
      <c r="C834" s="721"/>
      <c r="D834" s="721"/>
      <c r="E834" s="721"/>
      <c r="F834" s="721"/>
      <c r="G834" s="721"/>
      <c r="H834" s="721"/>
      <c r="I834" s="721"/>
      <c r="J834" s="721"/>
      <c r="K834" s="721"/>
      <c r="L834" s="721"/>
      <c r="M834" s="930"/>
      <c r="N834" s="930"/>
      <c r="O834" s="930"/>
      <c r="P834" s="931"/>
      <c r="Q834" s="931"/>
      <c r="R834" s="930"/>
      <c r="S834" s="930"/>
      <c r="T834" s="932"/>
      <c r="U834" s="933"/>
      <c r="V834" s="934"/>
      <c r="W834" s="934"/>
      <c r="X834" s="932"/>
      <c r="Y834" s="932"/>
      <c r="Z834" s="932"/>
      <c r="AA834" s="726"/>
      <c r="AB834" s="726"/>
      <c r="AC834" s="721"/>
      <c r="AD834" s="586"/>
      <c r="AE834" s="586"/>
      <c r="AF834" s="170"/>
      <c r="AG834" s="170"/>
      <c r="AH834" s="170"/>
      <c r="AI834" s="170"/>
      <c r="AJ834" s="170"/>
      <c r="AK834" s="170"/>
      <c r="AL834" s="170"/>
      <c r="AM834" s="170"/>
      <c r="AN834" s="170"/>
      <c r="AO834" s="170"/>
      <c r="AP834" s="170"/>
      <c r="AQ834" s="170"/>
      <c r="AR834" s="170"/>
      <c r="AS834" s="170"/>
      <c r="AT834" s="721"/>
      <c r="AU834" s="721"/>
      <c r="AV834" s="721"/>
      <c r="AW834" s="828"/>
      <c r="AX834" s="726"/>
    </row>
    <row r="835" spans="1:50" ht="15" x14ac:dyDescent="0.25">
      <c r="A835" s="721"/>
      <c r="B835" s="904"/>
      <c r="C835" s="721"/>
      <c r="D835" s="721"/>
      <c r="E835" s="721"/>
      <c r="F835" s="721"/>
      <c r="G835" s="721"/>
      <c r="H835" s="721"/>
      <c r="I835" s="721"/>
      <c r="J835" s="721"/>
      <c r="K835" s="721"/>
      <c r="L835" s="721"/>
      <c r="M835" s="930"/>
      <c r="N835" s="930"/>
      <c r="O835" s="930"/>
      <c r="P835" s="931"/>
      <c r="Q835" s="931"/>
      <c r="R835" s="930"/>
      <c r="S835" s="930"/>
      <c r="T835" s="932"/>
      <c r="U835" s="933"/>
      <c r="V835" s="934"/>
      <c r="W835" s="934"/>
      <c r="X835" s="932"/>
      <c r="Y835" s="932"/>
      <c r="Z835" s="932"/>
      <c r="AA835" s="726"/>
      <c r="AB835" s="726"/>
      <c r="AC835" s="721"/>
      <c r="AD835" s="586"/>
      <c r="AE835" s="586"/>
      <c r="AF835" s="170"/>
      <c r="AG835" s="170"/>
      <c r="AH835" s="170"/>
      <c r="AI835" s="170"/>
      <c r="AJ835" s="170"/>
      <c r="AK835" s="170"/>
      <c r="AL835" s="170"/>
      <c r="AM835" s="170"/>
      <c r="AN835" s="170"/>
      <c r="AO835" s="170"/>
      <c r="AP835" s="170"/>
      <c r="AQ835" s="170"/>
      <c r="AR835" s="170"/>
      <c r="AS835" s="170"/>
      <c r="AT835" s="721"/>
      <c r="AU835" s="721"/>
      <c r="AV835" s="721"/>
      <c r="AW835" s="828"/>
      <c r="AX835" s="726"/>
    </row>
    <row r="836" spans="1:50" ht="15" x14ac:dyDescent="0.25">
      <c r="A836" s="721"/>
      <c r="B836" s="904"/>
      <c r="C836" s="721"/>
      <c r="D836" s="721"/>
      <c r="E836" s="721"/>
      <c r="F836" s="721"/>
      <c r="G836" s="721"/>
      <c r="H836" s="721"/>
      <c r="I836" s="721"/>
      <c r="J836" s="721"/>
      <c r="K836" s="721"/>
      <c r="L836" s="721"/>
      <c r="M836" s="930"/>
      <c r="N836" s="930"/>
      <c r="O836" s="930"/>
      <c r="P836" s="931"/>
      <c r="Q836" s="931"/>
      <c r="R836" s="930"/>
      <c r="S836" s="930"/>
      <c r="T836" s="932"/>
      <c r="U836" s="933"/>
      <c r="V836" s="934"/>
      <c r="W836" s="934"/>
      <c r="X836" s="932"/>
      <c r="Y836" s="932"/>
      <c r="Z836" s="932"/>
      <c r="AA836" s="726"/>
      <c r="AB836" s="726"/>
      <c r="AC836" s="721"/>
      <c r="AD836" s="586"/>
      <c r="AE836" s="586"/>
      <c r="AF836" s="170"/>
      <c r="AG836" s="170"/>
      <c r="AH836" s="170"/>
      <c r="AI836" s="170"/>
      <c r="AJ836" s="170"/>
      <c r="AK836" s="170"/>
      <c r="AL836" s="170"/>
      <c r="AM836" s="170"/>
      <c r="AN836" s="170"/>
      <c r="AO836" s="170"/>
      <c r="AP836" s="170"/>
      <c r="AQ836" s="170"/>
      <c r="AR836" s="170"/>
      <c r="AS836" s="170"/>
      <c r="AT836" s="721"/>
      <c r="AU836" s="721"/>
      <c r="AV836" s="721"/>
      <c r="AW836" s="828"/>
      <c r="AX836" s="726"/>
    </row>
    <row r="837" spans="1:50" ht="15" x14ac:dyDescent="0.25">
      <c r="A837" s="721"/>
      <c r="B837" s="904"/>
      <c r="C837" s="721"/>
      <c r="D837" s="721"/>
      <c r="E837" s="721"/>
      <c r="F837" s="721"/>
      <c r="G837" s="721"/>
      <c r="H837" s="721"/>
      <c r="I837" s="721"/>
      <c r="J837" s="721"/>
      <c r="K837" s="721"/>
      <c r="L837" s="721"/>
      <c r="M837" s="930"/>
      <c r="N837" s="930"/>
      <c r="O837" s="930"/>
      <c r="P837" s="931"/>
      <c r="Q837" s="931"/>
      <c r="R837" s="930"/>
      <c r="S837" s="930"/>
      <c r="T837" s="932"/>
      <c r="U837" s="933"/>
      <c r="V837" s="934"/>
      <c r="W837" s="934"/>
      <c r="X837" s="932"/>
      <c r="Y837" s="932"/>
      <c r="Z837" s="932"/>
      <c r="AA837" s="726"/>
      <c r="AB837" s="726"/>
      <c r="AC837" s="721"/>
      <c r="AD837" s="586"/>
      <c r="AE837" s="586"/>
      <c r="AF837" s="170"/>
      <c r="AG837" s="170"/>
      <c r="AH837" s="170"/>
      <c r="AI837" s="170"/>
      <c r="AJ837" s="170"/>
      <c r="AK837" s="170"/>
      <c r="AL837" s="170"/>
      <c r="AM837" s="170"/>
      <c r="AN837" s="170"/>
      <c r="AO837" s="170"/>
      <c r="AP837" s="170"/>
      <c r="AQ837" s="170"/>
      <c r="AR837" s="170"/>
      <c r="AS837" s="170"/>
      <c r="AT837" s="721"/>
      <c r="AU837" s="721"/>
      <c r="AV837" s="721"/>
      <c r="AW837" s="828"/>
      <c r="AX837" s="726"/>
    </row>
    <row r="838" spans="1:50" ht="15" x14ac:dyDescent="0.25">
      <c r="A838" s="721"/>
      <c r="B838" s="904"/>
      <c r="C838" s="721"/>
      <c r="D838" s="721"/>
      <c r="E838" s="721"/>
      <c r="F838" s="721"/>
      <c r="G838" s="721"/>
      <c r="H838" s="721"/>
      <c r="I838" s="721"/>
      <c r="J838" s="721"/>
      <c r="K838" s="721"/>
      <c r="L838" s="721"/>
      <c r="M838" s="930"/>
      <c r="N838" s="930"/>
      <c r="O838" s="930"/>
      <c r="P838" s="931"/>
      <c r="Q838" s="931"/>
      <c r="R838" s="930"/>
      <c r="S838" s="930"/>
      <c r="T838" s="932"/>
      <c r="U838" s="933"/>
      <c r="V838" s="934"/>
      <c r="W838" s="934"/>
      <c r="X838" s="932"/>
      <c r="Y838" s="932"/>
      <c r="Z838" s="932"/>
      <c r="AA838" s="726"/>
      <c r="AB838" s="726"/>
      <c r="AC838" s="721"/>
      <c r="AD838" s="586"/>
      <c r="AE838" s="586"/>
      <c r="AF838" s="170"/>
      <c r="AG838" s="170"/>
      <c r="AH838" s="170"/>
      <c r="AI838" s="170"/>
      <c r="AJ838" s="170"/>
      <c r="AK838" s="170"/>
      <c r="AL838" s="170"/>
      <c r="AM838" s="170"/>
      <c r="AN838" s="170"/>
      <c r="AO838" s="170"/>
      <c r="AP838" s="170"/>
      <c r="AQ838" s="170"/>
      <c r="AR838" s="170"/>
      <c r="AS838" s="170"/>
      <c r="AT838" s="721"/>
      <c r="AU838" s="721"/>
      <c r="AV838" s="721"/>
      <c r="AW838" s="828"/>
      <c r="AX838" s="726"/>
    </row>
    <row r="839" spans="1:50" ht="15" x14ac:dyDescent="0.25">
      <c r="A839" s="721"/>
      <c r="B839" s="904"/>
      <c r="C839" s="721"/>
      <c r="D839" s="721"/>
      <c r="E839" s="721"/>
      <c r="F839" s="721"/>
      <c r="G839" s="721"/>
      <c r="H839" s="721"/>
      <c r="I839" s="721"/>
      <c r="J839" s="721"/>
      <c r="K839" s="721"/>
      <c r="L839" s="721"/>
      <c r="M839" s="930"/>
      <c r="N839" s="930"/>
      <c r="O839" s="930"/>
      <c r="P839" s="931"/>
      <c r="Q839" s="931"/>
      <c r="R839" s="930"/>
      <c r="S839" s="930"/>
      <c r="T839" s="932"/>
      <c r="U839" s="933"/>
      <c r="V839" s="934"/>
      <c r="W839" s="934"/>
      <c r="X839" s="932"/>
      <c r="Y839" s="932"/>
      <c r="Z839" s="932"/>
      <c r="AA839" s="726"/>
      <c r="AB839" s="726"/>
      <c r="AC839" s="721"/>
      <c r="AD839" s="586"/>
      <c r="AE839" s="586"/>
      <c r="AF839" s="170"/>
      <c r="AG839" s="170"/>
      <c r="AH839" s="170"/>
      <c r="AI839" s="170"/>
      <c r="AJ839" s="170"/>
      <c r="AK839" s="170"/>
      <c r="AL839" s="170"/>
      <c r="AM839" s="170"/>
      <c r="AN839" s="170"/>
      <c r="AO839" s="170"/>
      <c r="AP839" s="170"/>
      <c r="AQ839" s="170"/>
      <c r="AR839" s="170"/>
      <c r="AS839" s="170"/>
      <c r="AT839" s="721"/>
      <c r="AU839" s="721"/>
      <c r="AV839" s="721"/>
      <c r="AW839" s="828"/>
      <c r="AX839" s="726"/>
    </row>
    <row r="840" spans="1:50" ht="15" x14ac:dyDescent="0.25">
      <c r="A840" s="721"/>
      <c r="B840" s="904"/>
      <c r="C840" s="721"/>
      <c r="D840" s="721"/>
      <c r="E840" s="721"/>
      <c r="F840" s="721"/>
      <c r="G840" s="721"/>
      <c r="H840" s="721"/>
      <c r="I840" s="721"/>
      <c r="J840" s="721"/>
      <c r="K840" s="721"/>
      <c r="L840" s="721"/>
      <c r="M840" s="930"/>
      <c r="N840" s="930"/>
      <c r="O840" s="930"/>
      <c r="P840" s="931"/>
      <c r="Q840" s="931"/>
      <c r="R840" s="930"/>
      <c r="S840" s="930"/>
      <c r="T840" s="932"/>
      <c r="U840" s="933"/>
      <c r="V840" s="934"/>
      <c r="W840" s="934"/>
      <c r="X840" s="932"/>
      <c r="Y840" s="932"/>
      <c r="Z840" s="932"/>
      <c r="AA840" s="726"/>
      <c r="AB840" s="726"/>
      <c r="AC840" s="721"/>
      <c r="AD840" s="586"/>
      <c r="AE840" s="586"/>
      <c r="AF840" s="170"/>
      <c r="AG840" s="170"/>
      <c r="AH840" s="170"/>
      <c r="AI840" s="170"/>
      <c r="AJ840" s="170"/>
      <c r="AK840" s="170"/>
      <c r="AL840" s="170"/>
      <c r="AM840" s="170"/>
      <c r="AN840" s="170"/>
      <c r="AO840" s="170"/>
      <c r="AP840" s="170"/>
      <c r="AQ840" s="170"/>
      <c r="AR840" s="170"/>
      <c r="AS840" s="170"/>
      <c r="AT840" s="721"/>
      <c r="AU840" s="721"/>
      <c r="AV840" s="721"/>
      <c r="AW840" s="828"/>
      <c r="AX840" s="726"/>
    </row>
    <row r="841" spans="1:50" ht="15" x14ac:dyDescent="0.25">
      <c r="A841" s="721"/>
      <c r="B841" s="904"/>
      <c r="C841" s="721"/>
      <c r="D841" s="721"/>
      <c r="E841" s="721"/>
      <c r="F841" s="721"/>
      <c r="G841" s="721"/>
      <c r="H841" s="721"/>
      <c r="I841" s="721"/>
      <c r="J841" s="721"/>
      <c r="K841" s="721"/>
      <c r="L841" s="721"/>
      <c r="M841" s="930"/>
      <c r="N841" s="930"/>
      <c r="O841" s="930"/>
      <c r="P841" s="931"/>
      <c r="Q841" s="931"/>
      <c r="R841" s="930"/>
      <c r="S841" s="930"/>
      <c r="T841" s="932"/>
      <c r="U841" s="933"/>
      <c r="V841" s="934"/>
      <c r="W841" s="934"/>
      <c r="X841" s="932"/>
      <c r="Y841" s="932"/>
      <c r="Z841" s="932"/>
      <c r="AA841" s="726"/>
      <c r="AB841" s="726"/>
      <c r="AC841" s="721"/>
      <c r="AD841" s="586"/>
      <c r="AE841" s="586"/>
      <c r="AF841" s="170"/>
      <c r="AG841" s="170"/>
      <c r="AH841" s="170"/>
      <c r="AI841" s="170"/>
      <c r="AJ841" s="170"/>
      <c r="AK841" s="170"/>
      <c r="AL841" s="170"/>
      <c r="AM841" s="170"/>
      <c r="AN841" s="170"/>
      <c r="AO841" s="170"/>
      <c r="AP841" s="170"/>
      <c r="AQ841" s="170"/>
      <c r="AR841" s="170"/>
      <c r="AS841" s="170"/>
      <c r="AT841" s="721"/>
      <c r="AU841" s="721"/>
      <c r="AV841" s="721"/>
      <c r="AW841" s="828"/>
      <c r="AX841" s="726"/>
    </row>
    <row r="842" spans="1:50" ht="15" x14ac:dyDescent="0.25">
      <c r="A842" s="721"/>
      <c r="B842" s="904"/>
      <c r="C842" s="721"/>
      <c r="D842" s="721"/>
      <c r="E842" s="721"/>
      <c r="F842" s="721"/>
      <c r="G842" s="721"/>
      <c r="H842" s="721"/>
      <c r="I842" s="721"/>
      <c r="J842" s="721"/>
      <c r="K842" s="721"/>
      <c r="L842" s="721"/>
      <c r="M842" s="930"/>
      <c r="N842" s="930"/>
      <c r="O842" s="930"/>
      <c r="P842" s="931"/>
      <c r="Q842" s="931"/>
      <c r="R842" s="930"/>
      <c r="S842" s="930"/>
      <c r="T842" s="932"/>
      <c r="U842" s="933"/>
      <c r="V842" s="934"/>
      <c r="W842" s="934"/>
      <c r="X842" s="932"/>
      <c r="Y842" s="932"/>
      <c r="Z842" s="932"/>
      <c r="AA842" s="726"/>
      <c r="AB842" s="726"/>
      <c r="AC842" s="721"/>
      <c r="AD842" s="586"/>
      <c r="AE842" s="586"/>
      <c r="AF842" s="170"/>
      <c r="AG842" s="170"/>
      <c r="AH842" s="170"/>
      <c r="AI842" s="170"/>
      <c r="AJ842" s="170"/>
      <c r="AK842" s="170"/>
      <c r="AL842" s="170"/>
      <c r="AM842" s="170"/>
      <c r="AN842" s="170"/>
      <c r="AO842" s="170"/>
      <c r="AP842" s="170"/>
      <c r="AQ842" s="170"/>
      <c r="AR842" s="170"/>
      <c r="AS842" s="170"/>
      <c r="AT842" s="721"/>
      <c r="AU842" s="721"/>
      <c r="AV842" s="721"/>
      <c r="AW842" s="828"/>
      <c r="AX842" s="726"/>
    </row>
    <row r="843" spans="1:50" ht="15" x14ac:dyDescent="0.25">
      <c r="A843" s="721"/>
      <c r="B843" s="904"/>
      <c r="C843" s="721"/>
      <c r="D843" s="721"/>
      <c r="E843" s="721"/>
      <c r="F843" s="721"/>
      <c r="G843" s="721"/>
      <c r="H843" s="721"/>
      <c r="I843" s="721"/>
      <c r="J843" s="721"/>
      <c r="K843" s="721"/>
      <c r="L843" s="721"/>
      <c r="M843" s="930"/>
      <c r="N843" s="930"/>
      <c r="O843" s="930"/>
      <c r="P843" s="931"/>
      <c r="Q843" s="931"/>
      <c r="R843" s="930"/>
      <c r="S843" s="930"/>
      <c r="T843" s="932"/>
      <c r="U843" s="933"/>
      <c r="V843" s="934"/>
      <c r="W843" s="934"/>
      <c r="X843" s="932"/>
      <c r="Y843" s="932"/>
      <c r="Z843" s="932"/>
      <c r="AA843" s="726"/>
      <c r="AB843" s="726"/>
      <c r="AC843" s="721"/>
      <c r="AD843" s="586"/>
      <c r="AE843" s="586"/>
      <c r="AF843" s="170"/>
      <c r="AG843" s="170"/>
      <c r="AH843" s="170"/>
      <c r="AI843" s="170"/>
      <c r="AJ843" s="170"/>
      <c r="AK843" s="170"/>
      <c r="AL843" s="170"/>
      <c r="AM843" s="170"/>
      <c r="AN843" s="170"/>
      <c r="AO843" s="170"/>
      <c r="AP843" s="170"/>
      <c r="AQ843" s="170"/>
      <c r="AR843" s="170"/>
      <c r="AS843" s="170"/>
      <c r="AT843" s="721"/>
      <c r="AU843" s="721"/>
      <c r="AV843" s="721"/>
      <c r="AW843" s="828"/>
      <c r="AX843" s="726"/>
    </row>
    <row r="844" spans="1:50" ht="15" x14ac:dyDescent="0.25">
      <c r="A844" s="721"/>
      <c r="B844" s="904"/>
      <c r="C844" s="721"/>
      <c r="D844" s="721"/>
      <c r="E844" s="721"/>
      <c r="F844" s="721"/>
      <c r="G844" s="721"/>
      <c r="H844" s="721"/>
      <c r="I844" s="721"/>
      <c r="J844" s="721"/>
      <c r="K844" s="721"/>
      <c r="L844" s="721"/>
      <c r="M844" s="930"/>
      <c r="N844" s="930"/>
      <c r="O844" s="930"/>
      <c r="P844" s="931"/>
      <c r="Q844" s="931"/>
      <c r="R844" s="930"/>
      <c r="S844" s="930"/>
      <c r="T844" s="932"/>
      <c r="U844" s="933"/>
      <c r="V844" s="934"/>
      <c r="W844" s="934"/>
      <c r="X844" s="932"/>
      <c r="Y844" s="932"/>
      <c r="Z844" s="932"/>
      <c r="AA844" s="726"/>
      <c r="AB844" s="726"/>
      <c r="AC844" s="721"/>
      <c r="AD844" s="586"/>
      <c r="AE844" s="586"/>
      <c r="AF844" s="170"/>
      <c r="AG844" s="170"/>
      <c r="AH844" s="170"/>
      <c r="AI844" s="170"/>
      <c r="AJ844" s="170"/>
      <c r="AK844" s="170"/>
      <c r="AL844" s="170"/>
      <c r="AM844" s="170"/>
      <c r="AN844" s="170"/>
      <c r="AO844" s="170"/>
      <c r="AP844" s="170"/>
      <c r="AQ844" s="170"/>
      <c r="AR844" s="170"/>
      <c r="AS844" s="170"/>
      <c r="AT844" s="721"/>
      <c r="AU844" s="721"/>
      <c r="AV844" s="721"/>
      <c r="AW844" s="828"/>
      <c r="AX844" s="726"/>
    </row>
    <row r="845" spans="1:50" ht="15" x14ac:dyDescent="0.25">
      <c r="A845" s="721"/>
      <c r="B845" s="904"/>
      <c r="C845" s="721"/>
      <c r="D845" s="721"/>
      <c r="E845" s="721"/>
      <c r="F845" s="721"/>
      <c r="G845" s="721"/>
      <c r="H845" s="721"/>
      <c r="I845" s="721"/>
      <c r="J845" s="721"/>
      <c r="K845" s="721"/>
      <c r="L845" s="721"/>
      <c r="M845" s="930"/>
      <c r="N845" s="930"/>
      <c r="O845" s="930"/>
      <c r="P845" s="931"/>
      <c r="Q845" s="931"/>
      <c r="R845" s="930"/>
      <c r="S845" s="930"/>
      <c r="T845" s="932"/>
      <c r="U845" s="933"/>
      <c r="V845" s="934"/>
      <c r="W845" s="934"/>
      <c r="X845" s="932"/>
      <c r="Y845" s="932"/>
      <c r="Z845" s="932"/>
      <c r="AA845" s="726"/>
      <c r="AB845" s="726"/>
      <c r="AC845" s="721"/>
      <c r="AD845" s="586"/>
      <c r="AE845" s="586"/>
      <c r="AF845" s="170"/>
      <c r="AG845" s="170"/>
      <c r="AH845" s="170"/>
      <c r="AI845" s="170"/>
      <c r="AJ845" s="170"/>
      <c r="AK845" s="170"/>
      <c r="AL845" s="170"/>
      <c r="AM845" s="170"/>
      <c r="AN845" s="170"/>
      <c r="AO845" s="170"/>
      <c r="AP845" s="170"/>
      <c r="AQ845" s="170"/>
      <c r="AR845" s="170"/>
      <c r="AS845" s="170"/>
      <c r="AT845" s="721"/>
      <c r="AU845" s="721"/>
      <c r="AV845" s="721"/>
      <c r="AW845" s="828"/>
      <c r="AX845" s="726"/>
    </row>
    <row r="846" spans="1:50" ht="15" x14ac:dyDescent="0.25">
      <c r="A846" s="721"/>
      <c r="B846" s="904"/>
      <c r="C846" s="721"/>
      <c r="D846" s="721"/>
      <c r="E846" s="721"/>
      <c r="F846" s="721"/>
      <c r="G846" s="721"/>
      <c r="H846" s="721"/>
      <c r="I846" s="721"/>
      <c r="J846" s="721"/>
      <c r="K846" s="721"/>
      <c r="L846" s="721"/>
      <c r="M846" s="930"/>
      <c r="N846" s="930"/>
      <c r="O846" s="930"/>
      <c r="P846" s="931"/>
      <c r="Q846" s="931"/>
      <c r="R846" s="930"/>
      <c r="S846" s="930"/>
      <c r="T846" s="932"/>
      <c r="U846" s="933"/>
      <c r="V846" s="934"/>
      <c r="W846" s="934"/>
      <c r="X846" s="932"/>
      <c r="Y846" s="932"/>
      <c r="Z846" s="932"/>
      <c r="AA846" s="726"/>
      <c r="AB846" s="726"/>
      <c r="AC846" s="721"/>
      <c r="AD846" s="586"/>
      <c r="AE846" s="586"/>
      <c r="AF846" s="170"/>
      <c r="AG846" s="170"/>
      <c r="AH846" s="170"/>
      <c r="AI846" s="170"/>
      <c r="AJ846" s="170"/>
      <c r="AK846" s="170"/>
      <c r="AL846" s="170"/>
      <c r="AM846" s="170"/>
      <c r="AN846" s="170"/>
      <c r="AO846" s="170"/>
      <c r="AP846" s="170"/>
      <c r="AQ846" s="170"/>
      <c r="AR846" s="170"/>
      <c r="AS846" s="170"/>
      <c r="AT846" s="721"/>
      <c r="AU846" s="721"/>
      <c r="AV846" s="721"/>
      <c r="AW846" s="828"/>
      <c r="AX846" s="726"/>
    </row>
    <row r="847" spans="1:50" ht="15" x14ac:dyDescent="0.25">
      <c r="A847" s="721"/>
      <c r="B847" s="904"/>
      <c r="C847" s="721"/>
      <c r="D847" s="721"/>
      <c r="E847" s="721"/>
      <c r="F847" s="721"/>
      <c r="G847" s="721"/>
      <c r="H847" s="721"/>
      <c r="I847" s="721"/>
      <c r="J847" s="721"/>
      <c r="K847" s="721"/>
      <c r="L847" s="721"/>
      <c r="M847" s="930"/>
      <c r="N847" s="930"/>
      <c r="O847" s="930"/>
      <c r="P847" s="931"/>
      <c r="Q847" s="931"/>
      <c r="R847" s="930"/>
      <c r="S847" s="930"/>
      <c r="T847" s="932"/>
      <c r="U847" s="933"/>
      <c r="V847" s="934"/>
      <c r="W847" s="934"/>
      <c r="X847" s="932"/>
      <c r="Y847" s="932"/>
      <c r="Z847" s="932"/>
      <c r="AA847" s="726"/>
      <c r="AB847" s="726"/>
      <c r="AC847" s="721"/>
      <c r="AD847" s="586"/>
      <c r="AE847" s="586"/>
      <c r="AF847" s="170"/>
      <c r="AG847" s="170"/>
      <c r="AH847" s="170"/>
      <c r="AI847" s="170"/>
      <c r="AJ847" s="170"/>
      <c r="AK847" s="170"/>
      <c r="AL847" s="170"/>
      <c r="AM847" s="170"/>
      <c r="AN847" s="170"/>
      <c r="AO847" s="170"/>
      <c r="AP847" s="170"/>
      <c r="AQ847" s="170"/>
      <c r="AR847" s="170"/>
      <c r="AS847" s="170"/>
      <c r="AT847" s="721"/>
      <c r="AU847" s="721"/>
      <c r="AV847" s="721"/>
      <c r="AW847" s="828"/>
      <c r="AX847" s="726"/>
    </row>
    <row r="848" spans="1:50" ht="15" x14ac:dyDescent="0.25">
      <c r="A848" s="721"/>
      <c r="B848" s="904"/>
      <c r="C848" s="721"/>
      <c r="D848" s="721"/>
      <c r="E848" s="721"/>
      <c r="F848" s="721"/>
      <c r="G848" s="721"/>
      <c r="H848" s="721"/>
      <c r="I848" s="721"/>
      <c r="J848" s="721"/>
      <c r="K848" s="721"/>
      <c r="L848" s="721"/>
      <c r="M848" s="930"/>
      <c r="N848" s="930"/>
      <c r="O848" s="930"/>
      <c r="P848" s="931"/>
      <c r="Q848" s="931"/>
      <c r="R848" s="930"/>
      <c r="S848" s="930"/>
      <c r="T848" s="932"/>
      <c r="U848" s="933"/>
      <c r="V848" s="934"/>
      <c r="W848" s="934"/>
      <c r="X848" s="932"/>
      <c r="Y848" s="932"/>
      <c r="Z848" s="932"/>
      <c r="AA848" s="726"/>
      <c r="AB848" s="726"/>
      <c r="AC848" s="721"/>
      <c r="AD848" s="586"/>
      <c r="AE848" s="586"/>
      <c r="AF848" s="170"/>
      <c r="AG848" s="170"/>
      <c r="AH848" s="170"/>
      <c r="AI848" s="170"/>
      <c r="AJ848" s="170"/>
      <c r="AK848" s="170"/>
      <c r="AL848" s="170"/>
      <c r="AM848" s="170"/>
      <c r="AN848" s="170"/>
      <c r="AO848" s="170"/>
      <c r="AP848" s="170"/>
      <c r="AQ848" s="170"/>
      <c r="AR848" s="170"/>
      <c r="AS848" s="170"/>
      <c r="AT848" s="721"/>
      <c r="AU848" s="721"/>
      <c r="AV848" s="721"/>
      <c r="AW848" s="828"/>
      <c r="AX848" s="726"/>
    </row>
    <row r="849" spans="1:50" ht="15" x14ac:dyDescent="0.25">
      <c r="A849" s="721"/>
      <c r="B849" s="904"/>
      <c r="C849" s="721"/>
      <c r="D849" s="721"/>
      <c r="E849" s="721"/>
      <c r="F849" s="721"/>
      <c r="G849" s="721"/>
      <c r="H849" s="721"/>
      <c r="I849" s="721"/>
      <c r="J849" s="721"/>
      <c r="K849" s="721"/>
      <c r="L849" s="721"/>
      <c r="M849" s="930"/>
      <c r="N849" s="930"/>
      <c r="O849" s="930"/>
      <c r="P849" s="931"/>
      <c r="Q849" s="931"/>
      <c r="R849" s="930"/>
      <c r="S849" s="930"/>
      <c r="T849" s="932"/>
      <c r="U849" s="933"/>
      <c r="V849" s="934"/>
      <c r="W849" s="934"/>
      <c r="X849" s="932"/>
      <c r="Y849" s="932"/>
      <c r="Z849" s="932"/>
      <c r="AA849" s="726"/>
      <c r="AB849" s="726"/>
      <c r="AC849" s="721"/>
      <c r="AD849" s="586"/>
      <c r="AE849" s="586"/>
      <c r="AF849" s="170"/>
      <c r="AG849" s="170"/>
      <c r="AH849" s="170"/>
      <c r="AI849" s="170"/>
      <c r="AJ849" s="170"/>
      <c r="AK849" s="170"/>
      <c r="AL849" s="170"/>
      <c r="AM849" s="170"/>
      <c r="AN849" s="170"/>
      <c r="AO849" s="170"/>
      <c r="AP849" s="170"/>
      <c r="AQ849" s="170"/>
      <c r="AR849" s="170"/>
      <c r="AS849" s="170"/>
      <c r="AT849" s="721"/>
      <c r="AU849" s="721"/>
      <c r="AV849" s="721"/>
      <c r="AW849" s="828"/>
      <c r="AX849" s="726"/>
    </row>
    <row r="850" spans="1:50" ht="15" x14ac:dyDescent="0.25">
      <c r="A850" s="721"/>
      <c r="B850" s="904"/>
      <c r="C850" s="721"/>
      <c r="D850" s="721"/>
      <c r="E850" s="721"/>
      <c r="F850" s="721"/>
      <c r="G850" s="721"/>
      <c r="H850" s="721"/>
      <c r="I850" s="721"/>
      <c r="J850" s="721"/>
      <c r="K850" s="721"/>
      <c r="L850" s="721"/>
      <c r="M850" s="930"/>
      <c r="N850" s="930"/>
      <c r="O850" s="930"/>
      <c r="P850" s="931"/>
      <c r="Q850" s="931"/>
      <c r="R850" s="930"/>
      <c r="S850" s="930"/>
      <c r="T850" s="932"/>
      <c r="U850" s="933"/>
      <c r="V850" s="934"/>
      <c r="W850" s="934"/>
      <c r="X850" s="932"/>
      <c r="Y850" s="932"/>
      <c r="Z850" s="932"/>
      <c r="AA850" s="726"/>
      <c r="AB850" s="726"/>
      <c r="AC850" s="721"/>
      <c r="AD850" s="586"/>
      <c r="AE850" s="586"/>
      <c r="AF850" s="170"/>
      <c r="AG850" s="170"/>
      <c r="AH850" s="170"/>
      <c r="AI850" s="170"/>
      <c r="AJ850" s="170"/>
      <c r="AK850" s="170"/>
      <c r="AL850" s="170"/>
      <c r="AM850" s="170"/>
      <c r="AN850" s="170"/>
      <c r="AO850" s="170"/>
      <c r="AP850" s="170"/>
      <c r="AQ850" s="170"/>
      <c r="AR850" s="170"/>
      <c r="AS850" s="170"/>
      <c r="AT850" s="721"/>
      <c r="AU850" s="721"/>
      <c r="AV850" s="721"/>
      <c r="AW850" s="828"/>
      <c r="AX850" s="726"/>
    </row>
    <row r="851" spans="1:50" ht="15" x14ac:dyDescent="0.25">
      <c r="A851" s="721"/>
      <c r="B851" s="904"/>
      <c r="C851" s="721"/>
      <c r="D851" s="721"/>
      <c r="E851" s="721"/>
      <c r="F851" s="721"/>
      <c r="G851" s="721"/>
      <c r="H851" s="721"/>
      <c r="I851" s="721"/>
      <c r="J851" s="721"/>
      <c r="K851" s="721"/>
      <c r="L851" s="721"/>
      <c r="M851" s="930"/>
      <c r="N851" s="930"/>
      <c r="O851" s="930"/>
      <c r="P851" s="931"/>
      <c r="Q851" s="931"/>
      <c r="R851" s="930"/>
      <c r="S851" s="930"/>
      <c r="T851" s="932"/>
      <c r="U851" s="933"/>
      <c r="V851" s="934"/>
      <c r="W851" s="934"/>
      <c r="X851" s="932"/>
      <c r="Y851" s="932"/>
      <c r="Z851" s="932"/>
      <c r="AA851" s="726"/>
      <c r="AB851" s="726"/>
      <c r="AC851" s="721"/>
      <c r="AD851" s="586"/>
      <c r="AE851" s="586"/>
      <c r="AF851" s="170"/>
      <c r="AG851" s="170"/>
      <c r="AH851" s="170"/>
      <c r="AI851" s="170"/>
      <c r="AJ851" s="170"/>
      <c r="AK851" s="170"/>
      <c r="AL851" s="170"/>
      <c r="AM851" s="170"/>
      <c r="AN851" s="170"/>
      <c r="AO851" s="170"/>
      <c r="AP851" s="170"/>
      <c r="AQ851" s="170"/>
      <c r="AR851" s="170"/>
      <c r="AS851" s="170"/>
      <c r="AT851" s="721"/>
      <c r="AU851" s="721"/>
      <c r="AV851" s="721"/>
      <c r="AW851" s="828"/>
      <c r="AX851" s="726"/>
    </row>
    <row r="852" spans="1:50" ht="15" x14ac:dyDescent="0.25">
      <c r="A852" s="721"/>
      <c r="B852" s="904"/>
      <c r="C852" s="721"/>
      <c r="D852" s="721"/>
      <c r="E852" s="721"/>
      <c r="F852" s="721"/>
      <c r="G852" s="721"/>
      <c r="H852" s="721"/>
      <c r="I852" s="721"/>
      <c r="J852" s="721"/>
      <c r="K852" s="721"/>
      <c r="L852" s="721"/>
      <c r="M852" s="930"/>
      <c r="N852" s="930"/>
      <c r="O852" s="930"/>
      <c r="P852" s="931"/>
      <c r="Q852" s="931"/>
      <c r="R852" s="930"/>
      <c r="S852" s="930"/>
      <c r="T852" s="932"/>
      <c r="U852" s="933"/>
      <c r="V852" s="934"/>
      <c r="W852" s="934"/>
      <c r="X852" s="932"/>
      <c r="Y852" s="932"/>
      <c r="Z852" s="932"/>
      <c r="AA852" s="726"/>
      <c r="AB852" s="726"/>
      <c r="AC852" s="721"/>
      <c r="AD852" s="586"/>
      <c r="AE852" s="586"/>
      <c r="AF852" s="170"/>
      <c r="AG852" s="170"/>
      <c r="AH852" s="170"/>
      <c r="AI852" s="170"/>
      <c r="AJ852" s="170"/>
      <c r="AK852" s="170"/>
      <c r="AL852" s="170"/>
      <c r="AM852" s="170"/>
      <c r="AN852" s="170"/>
      <c r="AO852" s="170"/>
      <c r="AP852" s="170"/>
      <c r="AQ852" s="170"/>
      <c r="AR852" s="170"/>
      <c r="AS852" s="170"/>
      <c r="AT852" s="721"/>
      <c r="AU852" s="721"/>
      <c r="AV852" s="721"/>
      <c r="AW852" s="828"/>
      <c r="AX852" s="726"/>
    </row>
    <row r="853" spans="1:50" ht="15" x14ac:dyDescent="0.25">
      <c r="A853" s="721"/>
      <c r="B853" s="904"/>
      <c r="C853" s="721"/>
      <c r="D853" s="721"/>
      <c r="E853" s="721"/>
      <c r="F853" s="721"/>
      <c r="G853" s="721"/>
      <c r="H853" s="721"/>
      <c r="I853" s="721"/>
      <c r="J853" s="721"/>
      <c r="K853" s="721"/>
      <c r="L853" s="721"/>
      <c r="M853" s="930"/>
      <c r="N853" s="930"/>
      <c r="O853" s="930"/>
      <c r="P853" s="931"/>
      <c r="Q853" s="931"/>
      <c r="R853" s="930"/>
      <c r="S853" s="930"/>
      <c r="T853" s="932"/>
      <c r="U853" s="933"/>
      <c r="V853" s="934"/>
      <c r="W853" s="934"/>
      <c r="X853" s="932"/>
      <c r="Y853" s="932"/>
      <c r="Z853" s="932"/>
      <c r="AA853" s="726"/>
      <c r="AB853" s="726"/>
      <c r="AC853" s="721"/>
      <c r="AD853" s="586"/>
      <c r="AE853" s="586"/>
      <c r="AF853" s="170"/>
      <c r="AG853" s="170"/>
      <c r="AH853" s="170"/>
      <c r="AI853" s="170"/>
      <c r="AJ853" s="170"/>
      <c r="AK853" s="170"/>
      <c r="AL853" s="170"/>
      <c r="AM853" s="170"/>
      <c r="AN853" s="170"/>
      <c r="AO853" s="170"/>
      <c r="AP853" s="170"/>
      <c r="AQ853" s="170"/>
      <c r="AR853" s="170"/>
      <c r="AS853" s="170"/>
      <c r="AT853" s="721"/>
      <c r="AU853" s="721"/>
      <c r="AV853" s="721"/>
      <c r="AW853" s="828"/>
      <c r="AX853" s="726"/>
    </row>
    <row r="854" spans="1:50" ht="15" x14ac:dyDescent="0.25">
      <c r="A854" s="721"/>
      <c r="B854" s="904"/>
      <c r="C854" s="721"/>
      <c r="D854" s="721"/>
      <c r="E854" s="721"/>
      <c r="F854" s="721"/>
      <c r="G854" s="721"/>
      <c r="H854" s="721"/>
      <c r="I854" s="721"/>
      <c r="J854" s="721"/>
      <c r="K854" s="721"/>
      <c r="L854" s="721"/>
      <c r="M854" s="930"/>
      <c r="N854" s="930"/>
      <c r="O854" s="930"/>
      <c r="P854" s="931"/>
      <c r="Q854" s="931"/>
      <c r="R854" s="930"/>
      <c r="S854" s="930"/>
      <c r="T854" s="932"/>
      <c r="U854" s="933"/>
      <c r="V854" s="934"/>
      <c r="W854" s="934"/>
      <c r="X854" s="932"/>
      <c r="Y854" s="932"/>
      <c r="Z854" s="932"/>
      <c r="AA854" s="726"/>
      <c r="AB854" s="726"/>
      <c r="AC854" s="721"/>
      <c r="AD854" s="586"/>
      <c r="AE854" s="586"/>
      <c r="AF854" s="170"/>
      <c r="AG854" s="170"/>
      <c r="AH854" s="170"/>
      <c r="AI854" s="170"/>
      <c r="AJ854" s="170"/>
      <c r="AK854" s="170"/>
      <c r="AL854" s="170"/>
      <c r="AM854" s="170"/>
      <c r="AN854" s="170"/>
      <c r="AO854" s="170"/>
      <c r="AP854" s="170"/>
      <c r="AQ854" s="170"/>
      <c r="AR854" s="170"/>
      <c r="AS854" s="170"/>
      <c r="AT854" s="721"/>
      <c r="AU854" s="721"/>
      <c r="AV854" s="721"/>
      <c r="AW854" s="828"/>
      <c r="AX854" s="726"/>
    </row>
    <row r="855" spans="1:50" ht="15" x14ac:dyDescent="0.25">
      <c r="A855" s="721"/>
      <c r="B855" s="904"/>
      <c r="C855" s="721"/>
      <c r="D855" s="721"/>
      <c r="E855" s="721"/>
      <c r="F855" s="721"/>
      <c r="G855" s="721"/>
      <c r="H855" s="721"/>
      <c r="I855" s="721"/>
      <c r="J855" s="721"/>
      <c r="K855" s="721"/>
      <c r="L855" s="721"/>
      <c r="M855" s="930"/>
      <c r="N855" s="930"/>
      <c r="O855" s="930"/>
      <c r="P855" s="931"/>
      <c r="Q855" s="931"/>
      <c r="R855" s="930"/>
      <c r="S855" s="930"/>
      <c r="T855" s="932"/>
      <c r="U855" s="933"/>
      <c r="V855" s="934"/>
      <c r="W855" s="934"/>
      <c r="X855" s="932"/>
      <c r="Y855" s="932"/>
      <c r="Z855" s="932"/>
      <c r="AA855" s="726"/>
      <c r="AB855" s="726"/>
      <c r="AC855" s="721"/>
      <c r="AD855" s="586"/>
      <c r="AE855" s="586"/>
      <c r="AF855" s="170"/>
      <c r="AG855" s="170"/>
      <c r="AH855" s="170"/>
      <c r="AI855" s="170"/>
      <c r="AJ855" s="170"/>
      <c r="AK855" s="170"/>
      <c r="AL855" s="170"/>
      <c r="AM855" s="170"/>
      <c r="AN855" s="170"/>
      <c r="AO855" s="170"/>
      <c r="AP855" s="170"/>
      <c r="AQ855" s="170"/>
      <c r="AR855" s="170"/>
      <c r="AS855" s="170"/>
      <c r="AT855" s="721"/>
      <c r="AU855" s="721"/>
      <c r="AV855" s="721"/>
      <c r="AW855" s="828"/>
      <c r="AX855" s="726"/>
    </row>
    <row r="856" spans="1:50" ht="15" x14ac:dyDescent="0.25">
      <c r="A856" s="721"/>
      <c r="B856" s="904"/>
      <c r="C856" s="721"/>
      <c r="D856" s="721"/>
      <c r="E856" s="721"/>
      <c r="F856" s="721"/>
      <c r="G856" s="721"/>
      <c r="H856" s="721"/>
      <c r="I856" s="721"/>
      <c r="J856" s="721"/>
      <c r="K856" s="721"/>
      <c r="L856" s="721"/>
      <c r="M856" s="930"/>
      <c r="N856" s="930"/>
      <c r="O856" s="930"/>
      <c r="P856" s="931"/>
      <c r="Q856" s="931"/>
      <c r="R856" s="930"/>
      <c r="S856" s="930"/>
      <c r="T856" s="932"/>
      <c r="U856" s="933"/>
      <c r="V856" s="934"/>
      <c r="W856" s="934"/>
      <c r="X856" s="932"/>
      <c r="Y856" s="932"/>
      <c r="Z856" s="932"/>
      <c r="AA856" s="726"/>
      <c r="AB856" s="726"/>
      <c r="AC856" s="721"/>
      <c r="AD856" s="586"/>
      <c r="AE856" s="586"/>
      <c r="AF856" s="170"/>
      <c r="AG856" s="170"/>
      <c r="AH856" s="170"/>
      <c r="AI856" s="170"/>
      <c r="AJ856" s="170"/>
      <c r="AK856" s="170"/>
      <c r="AL856" s="170"/>
      <c r="AM856" s="170"/>
      <c r="AN856" s="170"/>
      <c r="AO856" s="170"/>
      <c r="AP856" s="170"/>
      <c r="AQ856" s="170"/>
      <c r="AR856" s="170"/>
      <c r="AS856" s="170"/>
      <c r="AT856" s="721"/>
      <c r="AU856" s="721"/>
      <c r="AV856" s="721"/>
      <c r="AW856" s="828"/>
      <c r="AX856" s="726"/>
    </row>
    <row r="857" spans="1:50" ht="15" x14ac:dyDescent="0.25">
      <c r="A857" s="721"/>
      <c r="B857" s="904"/>
      <c r="C857" s="721"/>
      <c r="D857" s="721"/>
      <c r="E857" s="721"/>
      <c r="F857" s="721"/>
      <c r="G857" s="721"/>
      <c r="H857" s="721"/>
      <c r="I857" s="721"/>
      <c r="J857" s="721"/>
      <c r="K857" s="721"/>
      <c r="L857" s="721"/>
      <c r="M857" s="930"/>
      <c r="N857" s="930"/>
      <c r="O857" s="930"/>
      <c r="P857" s="931"/>
      <c r="Q857" s="931"/>
      <c r="R857" s="930"/>
      <c r="S857" s="930"/>
      <c r="T857" s="932"/>
      <c r="U857" s="933"/>
      <c r="V857" s="934"/>
      <c r="W857" s="934"/>
      <c r="X857" s="932"/>
      <c r="Y857" s="932"/>
      <c r="Z857" s="932"/>
      <c r="AA857" s="726"/>
      <c r="AB857" s="726"/>
      <c r="AC857" s="721"/>
      <c r="AD857" s="586"/>
      <c r="AE857" s="586"/>
      <c r="AF857" s="170"/>
      <c r="AG857" s="170"/>
      <c r="AH857" s="170"/>
      <c r="AI857" s="170"/>
      <c r="AJ857" s="170"/>
      <c r="AK857" s="170"/>
      <c r="AL857" s="170"/>
      <c r="AM857" s="170"/>
      <c r="AN857" s="170"/>
      <c r="AO857" s="170"/>
      <c r="AP857" s="170"/>
      <c r="AQ857" s="170"/>
      <c r="AR857" s="170"/>
      <c r="AS857" s="170"/>
      <c r="AT857" s="721"/>
      <c r="AU857" s="721"/>
      <c r="AV857" s="721"/>
      <c r="AW857" s="828"/>
      <c r="AX857" s="726"/>
    </row>
    <row r="858" spans="1:50" ht="15" x14ac:dyDescent="0.25">
      <c r="A858" s="721"/>
      <c r="B858" s="904"/>
      <c r="C858" s="721"/>
      <c r="D858" s="721"/>
      <c r="E858" s="721"/>
      <c r="F858" s="721"/>
      <c r="G858" s="721"/>
      <c r="H858" s="721"/>
      <c r="I858" s="721"/>
      <c r="J858" s="721"/>
      <c r="K858" s="721"/>
      <c r="L858" s="721"/>
      <c r="M858" s="930"/>
      <c r="N858" s="930"/>
      <c r="O858" s="930"/>
      <c r="P858" s="931"/>
      <c r="Q858" s="931"/>
      <c r="R858" s="930"/>
      <c r="S858" s="930"/>
      <c r="T858" s="932"/>
      <c r="U858" s="933"/>
      <c r="V858" s="934"/>
      <c r="W858" s="934"/>
      <c r="X858" s="932"/>
      <c r="Y858" s="932"/>
      <c r="Z858" s="932"/>
      <c r="AA858" s="726"/>
      <c r="AB858" s="726"/>
      <c r="AC858" s="721"/>
      <c r="AD858" s="586"/>
      <c r="AE858" s="586"/>
      <c r="AF858" s="170"/>
      <c r="AG858" s="170"/>
      <c r="AH858" s="170"/>
      <c r="AI858" s="170"/>
      <c r="AJ858" s="170"/>
      <c r="AK858" s="170"/>
      <c r="AL858" s="170"/>
      <c r="AM858" s="170"/>
      <c r="AN858" s="170"/>
      <c r="AO858" s="170"/>
      <c r="AP858" s="170"/>
      <c r="AQ858" s="170"/>
      <c r="AR858" s="170"/>
      <c r="AS858" s="170"/>
      <c r="AT858" s="721"/>
      <c r="AU858" s="721"/>
      <c r="AV858" s="721"/>
      <c r="AW858" s="828"/>
      <c r="AX858" s="726"/>
    </row>
    <row r="859" spans="1:50" ht="15" x14ac:dyDescent="0.25">
      <c r="A859" s="721"/>
      <c r="B859" s="904"/>
      <c r="C859" s="721"/>
      <c r="D859" s="721"/>
      <c r="E859" s="721"/>
      <c r="F859" s="721"/>
      <c r="G859" s="721"/>
      <c r="H859" s="721"/>
      <c r="I859" s="721"/>
      <c r="J859" s="721"/>
      <c r="K859" s="721"/>
      <c r="L859" s="721"/>
      <c r="M859" s="930"/>
      <c r="N859" s="930"/>
      <c r="O859" s="930"/>
      <c r="P859" s="931"/>
      <c r="Q859" s="931"/>
      <c r="R859" s="930"/>
      <c r="S859" s="930"/>
      <c r="T859" s="932"/>
      <c r="U859" s="933"/>
      <c r="V859" s="934"/>
      <c r="W859" s="934"/>
      <c r="X859" s="932"/>
      <c r="Y859" s="932"/>
      <c r="Z859" s="932"/>
      <c r="AA859" s="726"/>
      <c r="AB859" s="726"/>
      <c r="AC859" s="721"/>
      <c r="AD859" s="586"/>
      <c r="AE859" s="586"/>
      <c r="AF859" s="170"/>
      <c r="AG859" s="170"/>
      <c r="AH859" s="170"/>
      <c r="AI859" s="170"/>
      <c r="AJ859" s="170"/>
      <c r="AK859" s="170"/>
      <c r="AL859" s="170"/>
      <c r="AM859" s="170"/>
      <c r="AN859" s="170"/>
      <c r="AO859" s="170"/>
      <c r="AP859" s="170"/>
      <c r="AQ859" s="170"/>
      <c r="AR859" s="170"/>
      <c r="AS859" s="170"/>
      <c r="AT859" s="721"/>
      <c r="AU859" s="721"/>
      <c r="AV859" s="721"/>
      <c r="AW859" s="828"/>
      <c r="AX859" s="726"/>
    </row>
    <row r="860" spans="1:50" ht="15" x14ac:dyDescent="0.25">
      <c r="A860" s="721"/>
      <c r="B860" s="904"/>
      <c r="C860" s="721"/>
      <c r="D860" s="721"/>
      <c r="E860" s="721"/>
      <c r="F860" s="721"/>
      <c r="G860" s="721"/>
      <c r="H860" s="721"/>
      <c r="I860" s="721"/>
      <c r="J860" s="721"/>
      <c r="K860" s="721"/>
      <c r="L860" s="721"/>
      <c r="M860" s="930"/>
      <c r="N860" s="930"/>
      <c r="O860" s="930"/>
      <c r="P860" s="931"/>
      <c r="Q860" s="931"/>
      <c r="R860" s="930"/>
      <c r="S860" s="930"/>
      <c r="T860" s="932"/>
      <c r="U860" s="933"/>
      <c r="V860" s="934"/>
      <c r="W860" s="934"/>
      <c r="X860" s="932"/>
      <c r="Y860" s="932"/>
      <c r="Z860" s="932"/>
      <c r="AA860" s="726"/>
      <c r="AB860" s="726"/>
      <c r="AC860" s="721"/>
      <c r="AD860" s="586"/>
      <c r="AE860" s="586"/>
      <c r="AF860" s="170"/>
      <c r="AG860" s="170"/>
      <c r="AH860" s="170"/>
      <c r="AI860" s="170"/>
      <c r="AJ860" s="170"/>
      <c r="AK860" s="170"/>
      <c r="AL860" s="170"/>
      <c r="AM860" s="170"/>
      <c r="AN860" s="170"/>
      <c r="AO860" s="170"/>
      <c r="AP860" s="170"/>
      <c r="AQ860" s="170"/>
      <c r="AR860" s="170"/>
      <c r="AS860" s="170"/>
      <c r="AT860" s="721"/>
      <c r="AU860" s="721"/>
      <c r="AV860" s="721"/>
      <c r="AW860" s="828"/>
      <c r="AX860" s="726"/>
    </row>
    <row r="861" spans="1:50" ht="15" x14ac:dyDescent="0.25">
      <c r="A861" s="721"/>
      <c r="B861" s="904"/>
      <c r="C861" s="721"/>
      <c r="D861" s="721"/>
      <c r="E861" s="721"/>
      <c r="F861" s="721"/>
      <c r="G861" s="721"/>
      <c r="H861" s="721"/>
      <c r="I861" s="721"/>
      <c r="J861" s="721"/>
      <c r="K861" s="721"/>
      <c r="L861" s="721"/>
      <c r="M861" s="930"/>
      <c r="N861" s="930"/>
      <c r="O861" s="930"/>
      <c r="P861" s="931"/>
      <c r="Q861" s="931"/>
      <c r="R861" s="930"/>
      <c r="S861" s="930"/>
      <c r="T861" s="932"/>
      <c r="U861" s="933"/>
      <c r="V861" s="934"/>
      <c r="W861" s="934"/>
      <c r="X861" s="932"/>
      <c r="Y861" s="932"/>
      <c r="Z861" s="932"/>
      <c r="AA861" s="726"/>
      <c r="AB861" s="726"/>
      <c r="AC861" s="721"/>
      <c r="AD861" s="586"/>
      <c r="AE861" s="586"/>
      <c r="AF861" s="170"/>
      <c r="AG861" s="170"/>
      <c r="AH861" s="170"/>
      <c r="AI861" s="170"/>
      <c r="AJ861" s="170"/>
      <c r="AK861" s="170"/>
      <c r="AL861" s="170"/>
      <c r="AM861" s="170"/>
      <c r="AN861" s="170"/>
      <c r="AO861" s="170"/>
      <c r="AP861" s="170"/>
      <c r="AQ861" s="170"/>
      <c r="AR861" s="170"/>
      <c r="AS861" s="170"/>
      <c r="AT861" s="721"/>
      <c r="AU861" s="721"/>
      <c r="AV861" s="721"/>
      <c r="AW861" s="828"/>
      <c r="AX861" s="726"/>
    </row>
    <row r="862" spans="1:50" ht="15" x14ac:dyDescent="0.25">
      <c r="A862" s="721"/>
      <c r="B862" s="904"/>
      <c r="C862" s="721"/>
      <c r="D862" s="721"/>
      <c r="E862" s="721"/>
      <c r="F862" s="721"/>
      <c r="G862" s="721"/>
      <c r="H862" s="721"/>
      <c r="I862" s="721"/>
      <c r="J862" s="721"/>
      <c r="K862" s="721"/>
      <c r="L862" s="721"/>
      <c r="M862" s="930"/>
      <c r="N862" s="930"/>
      <c r="O862" s="930"/>
      <c r="P862" s="931"/>
      <c r="Q862" s="931"/>
      <c r="R862" s="930"/>
      <c r="S862" s="930"/>
      <c r="T862" s="932"/>
      <c r="U862" s="933"/>
      <c r="V862" s="934"/>
      <c r="W862" s="934"/>
      <c r="X862" s="932"/>
      <c r="Y862" s="932"/>
      <c r="Z862" s="932"/>
      <c r="AA862" s="726"/>
      <c r="AB862" s="726"/>
      <c r="AC862" s="721"/>
      <c r="AD862" s="586"/>
      <c r="AE862" s="586"/>
      <c r="AF862" s="170"/>
      <c r="AG862" s="170"/>
      <c r="AH862" s="170"/>
      <c r="AI862" s="170"/>
      <c r="AJ862" s="170"/>
      <c r="AK862" s="170"/>
      <c r="AL862" s="170"/>
      <c r="AM862" s="170"/>
      <c r="AN862" s="170"/>
      <c r="AO862" s="170"/>
      <c r="AP862" s="170"/>
      <c r="AQ862" s="170"/>
      <c r="AR862" s="170"/>
      <c r="AS862" s="170"/>
      <c r="AT862" s="721"/>
      <c r="AU862" s="721"/>
      <c r="AV862" s="721"/>
      <c r="AW862" s="828"/>
      <c r="AX862" s="726"/>
    </row>
    <row r="863" spans="1:50" ht="15" x14ac:dyDescent="0.25">
      <c r="A863" s="721"/>
      <c r="B863" s="904"/>
      <c r="C863" s="721"/>
      <c r="D863" s="721"/>
      <c r="E863" s="721"/>
      <c r="F863" s="721"/>
      <c r="G863" s="721"/>
      <c r="H863" s="721"/>
      <c r="I863" s="721"/>
      <c r="J863" s="721"/>
      <c r="K863" s="721"/>
      <c r="L863" s="721"/>
      <c r="M863" s="930"/>
      <c r="N863" s="930"/>
      <c r="O863" s="930"/>
      <c r="P863" s="931"/>
      <c r="Q863" s="931"/>
      <c r="R863" s="930"/>
      <c r="S863" s="930"/>
      <c r="T863" s="932"/>
      <c r="U863" s="933"/>
      <c r="V863" s="934"/>
      <c r="W863" s="934"/>
      <c r="X863" s="932"/>
      <c r="Y863" s="932"/>
      <c r="Z863" s="932"/>
      <c r="AA863" s="726"/>
      <c r="AB863" s="726"/>
      <c r="AC863" s="721"/>
      <c r="AD863" s="586"/>
      <c r="AE863" s="586"/>
      <c r="AF863" s="170"/>
      <c r="AG863" s="170"/>
      <c r="AH863" s="170"/>
      <c r="AI863" s="170"/>
      <c r="AJ863" s="170"/>
      <c r="AK863" s="170"/>
      <c r="AL863" s="170"/>
      <c r="AM863" s="170"/>
      <c r="AN863" s="170"/>
      <c r="AO863" s="170"/>
      <c r="AP863" s="170"/>
      <c r="AQ863" s="170"/>
      <c r="AR863" s="170"/>
      <c r="AS863" s="170"/>
      <c r="AT863" s="721"/>
      <c r="AU863" s="721"/>
      <c r="AV863" s="721"/>
      <c r="AW863" s="828"/>
      <c r="AX863" s="726"/>
    </row>
    <row r="864" spans="1:50" ht="15" x14ac:dyDescent="0.25">
      <c r="A864" s="721"/>
      <c r="B864" s="904"/>
      <c r="C864" s="721"/>
      <c r="D864" s="721"/>
      <c r="E864" s="721"/>
      <c r="F864" s="721"/>
      <c r="G864" s="721"/>
      <c r="H864" s="721"/>
      <c r="I864" s="721"/>
      <c r="J864" s="721"/>
      <c r="K864" s="721"/>
      <c r="L864" s="721"/>
      <c r="M864" s="930"/>
      <c r="N864" s="930"/>
      <c r="O864" s="930"/>
      <c r="P864" s="931"/>
      <c r="Q864" s="931"/>
      <c r="R864" s="930"/>
      <c r="S864" s="930"/>
      <c r="T864" s="932"/>
      <c r="U864" s="933"/>
      <c r="V864" s="934"/>
      <c r="W864" s="934"/>
      <c r="X864" s="932"/>
      <c r="Y864" s="932"/>
      <c r="Z864" s="932"/>
      <c r="AA864" s="726"/>
      <c r="AB864" s="726"/>
      <c r="AC864" s="721"/>
      <c r="AD864" s="586"/>
      <c r="AE864" s="586"/>
      <c r="AF864" s="170"/>
      <c r="AG864" s="170"/>
      <c r="AH864" s="170"/>
      <c r="AI864" s="170"/>
      <c r="AJ864" s="170"/>
      <c r="AK864" s="170"/>
      <c r="AL864" s="170"/>
      <c r="AM864" s="170"/>
      <c r="AN864" s="170"/>
      <c r="AO864" s="170"/>
      <c r="AP864" s="170"/>
      <c r="AQ864" s="170"/>
      <c r="AR864" s="170"/>
      <c r="AS864" s="170"/>
      <c r="AT864" s="721"/>
      <c r="AU864" s="721"/>
      <c r="AV864" s="721"/>
      <c r="AW864" s="828"/>
      <c r="AX864" s="726"/>
    </row>
    <row r="865" spans="1:50" ht="15" x14ac:dyDescent="0.25">
      <c r="A865" s="721"/>
      <c r="B865" s="904"/>
      <c r="C865" s="721"/>
      <c r="D865" s="721"/>
      <c r="E865" s="721"/>
      <c r="F865" s="721"/>
      <c r="G865" s="721"/>
      <c r="H865" s="721"/>
      <c r="I865" s="721"/>
      <c r="J865" s="721"/>
      <c r="K865" s="721"/>
      <c r="L865" s="721"/>
      <c r="M865" s="930"/>
      <c r="N865" s="930"/>
      <c r="O865" s="930"/>
      <c r="P865" s="931"/>
      <c r="Q865" s="931"/>
      <c r="R865" s="930"/>
      <c r="S865" s="930"/>
      <c r="T865" s="932"/>
      <c r="U865" s="933"/>
      <c r="V865" s="934"/>
      <c r="W865" s="934"/>
      <c r="X865" s="932"/>
      <c r="Y865" s="932"/>
      <c r="Z865" s="932"/>
      <c r="AA865" s="726"/>
      <c r="AB865" s="726"/>
      <c r="AC865" s="721"/>
      <c r="AD865" s="586"/>
      <c r="AE865" s="586"/>
      <c r="AF865" s="170"/>
      <c r="AG865" s="170"/>
      <c r="AH865" s="170"/>
      <c r="AI865" s="170"/>
      <c r="AJ865" s="170"/>
      <c r="AK865" s="170"/>
      <c r="AL865" s="170"/>
      <c r="AM865" s="170"/>
      <c r="AN865" s="170"/>
      <c r="AO865" s="170"/>
      <c r="AP865" s="170"/>
      <c r="AQ865" s="170"/>
      <c r="AR865" s="170"/>
      <c r="AS865" s="170"/>
      <c r="AT865" s="721"/>
      <c r="AU865" s="721"/>
      <c r="AV865" s="721"/>
      <c r="AW865" s="828"/>
      <c r="AX865" s="726"/>
    </row>
    <row r="866" spans="1:50" ht="15" x14ac:dyDescent="0.25">
      <c r="A866" s="721"/>
      <c r="B866" s="904"/>
      <c r="C866" s="721"/>
      <c r="D866" s="721"/>
      <c r="E866" s="721"/>
      <c r="F866" s="721"/>
      <c r="G866" s="721"/>
      <c r="H866" s="721"/>
      <c r="I866" s="721"/>
      <c r="J866" s="721"/>
      <c r="K866" s="721"/>
      <c r="L866" s="721"/>
      <c r="M866" s="930"/>
      <c r="N866" s="930"/>
      <c r="O866" s="930"/>
      <c r="P866" s="931"/>
      <c r="Q866" s="931"/>
      <c r="R866" s="930"/>
      <c r="S866" s="930"/>
      <c r="T866" s="932"/>
      <c r="U866" s="933"/>
      <c r="V866" s="934"/>
      <c r="W866" s="934"/>
      <c r="X866" s="932"/>
      <c r="Y866" s="932"/>
      <c r="Z866" s="932"/>
      <c r="AA866" s="726"/>
      <c r="AB866" s="726"/>
      <c r="AC866" s="721"/>
      <c r="AD866" s="586"/>
      <c r="AE866" s="586"/>
      <c r="AF866" s="170"/>
      <c r="AG866" s="170"/>
      <c r="AH866" s="170"/>
      <c r="AI866" s="170"/>
      <c r="AJ866" s="170"/>
      <c r="AK866" s="170"/>
      <c r="AL866" s="170"/>
      <c r="AM866" s="170"/>
      <c r="AN866" s="170"/>
      <c r="AO866" s="170"/>
      <c r="AP866" s="170"/>
      <c r="AQ866" s="170"/>
      <c r="AR866" s="170"/>
      <c r="AS866" s="170"/>
      <c r="AT866" s="721"/>
      <c r="AU866" s="721"/>
      <c r="AV866" s="721"/>
      <c r="AW866" s="828"/>
      <c r="AX866" s="726"/>
    </row>
    <row r="867" spans="1:50" ht="15" x14ac:dyDescent="0.25">
      <c r="A867" s="721"/>
      <c r="B867" s="904"/>
      <c r="C867" s="721"/>
      <c r="D867" s="721"/>
      <c r="E867" s="721"/>
      <c r="F867" s="721"/>
      <c r="G867" s="721"/>
      <c r="H867" s="721"/>
      <c r="I867" s="721"/>
      <c r="J867" s="721"/>
      <c r="K867" s="721"/>
      <c r="L867" s="721"/>
      <c r="M867" s="930"/>
      <c r="N867" s="930"/>
      <c r="O867" s="930"/>
      <c r="P867" s="931"/>
      <c r="Q867" s="931"/>
      <c r="R867" s="930"/>
      <c r="S867" s="930"/>
      <c r="T867" s="932"/>
      <c r="U867" s="933"/>
      <c r="V867" s="934"/>
      <c r="W867" s="934"/>
      <c r="X867" s="932"/>
      <c r="Y867" s="932"/>
      <c r="Z867" s="932"/>
      <c r="AA867" s="726"/>
      <c r="AB867" s="726"/>
      <c r="AC867" s="721"/>
      <c r="AD867" s="586"/>
      <c r="AE867" s="586"/>
      <c r="AF867" s="170"/>
      <c r="AG867" s="170"/>
      <c r="AH867" s="170"/>
      <c r="AI867" s="170"/>
      <c r="AJ867" s="170"/>
      <c r="AK867" s="170"/>
      <c r="AL867" s="170"/>
      <c r="AM867" s="170"/>
      <c r="AN867" s="170"/>
      <c r="AO867" s="170"/>
      <c r="AP867" s="170"/>
      <c r="AQ867" s="170"/>
      <c r="AR867" s="170"/>
      <c r="AS867" s="170"/>
      <c r="AT867" s="721"/>
      <c r="AU867" s="721"/>
      <c r="AV867" s="721"/>
      <c r="AW867" s="828"/>
      <c r="AX867" s="726"/>
    </row>
    <row r="868" spans="1:50" ht="15" x14ac:dyDescent="0.25">
      <c r="A868" s="721"/>
      <c r="B868" s="904"/>
      <c r="C868" s="721"/>
      <c r="D868" s="721"/>
      <c r="E868" s="721"/>
      <c r="F868" s="721"/>
      <c r="G868" s="721"/>
      <c r="H868" s="721"/>
      <c r="I868" s="721"/>
      <c r="J868" s="721"/>
      <c r="K868" s="721"/>
      <c r="L868" s="721"/>
      <c r="M868" s="930"/>
      <c r="N868" s="930"/>
      <c r="O868" s="930"/>
      <c r="P868" s="931"/>
      <c r="Q868" s="931"/>
      <c r="R868" s="930"/>
      <c r="S868" s="930"/>
      <c r="T868" s="932"/>
      <c r="U868" s="933"/>
      <c r="V868" s="934"/>
      <c r="W868" s="934"/>
      <c r="X868" s="932"/>
      <c r="Y868" s="932"/>
      <c r="Z868" s="932"/>
      <c r="AA868" s="726"/>
      <c r="AB868" s="726"/>
      <c r="AC868" s="721"/>
      <c r="AD868" s="586"/>
      <c r="AE868" s="586"/>
      <c r="AF868" s="170"/>
      <c r="AG868" s="170"/>
      <c r="AH868" s="170"/>
      <c r="AI868" s="170"/>
      <c r="AJ868" s="170"/>
      <c r="AK868" s="170"/>
      <c r="AL868" s="170"/>
      <c r="AM868" s="170"/>
      <c r="AN868" s="170"/>
      <c r="AO868" s="170"/>
      <c r="AP868" s="170"/>
      <c r="AQ868" s="170"/>
      <c r="AR868" s="170"/>
      <c r="AS868" s="170"/>
      <c r="AT868" s="721"/>
      <c r="AU868" s="721"/>
      <c r="AV868" s="721"/>
      <c r="AW868" s="828"/>
      <c r="AX868" s="726"/>
    </row>
    <row r="869" spans="1:50" ht="15" x14ac:dyDescent="0.25">
      <c r="A869" s="721"/>
      <c r="B869" s="904"/>
      <c r="C869" s="721"/>
      <c r="D869" s="721"/>
      <c r="E869" s="721"/>
      <c r="F869" s="721"/>
      <c r="G869" s="721"/>
      <c r="H869" s="721"/>
      <c r="I869" s="721"/>
      <c r="J869" s="721"/>
      <c r="K869" s="721"/>
      <c r="L869" s="721"/>
      <c r="M869" s="930"/>
      <c r="N869" s="930"/>
      <c r="O869" s="930"/>
      <c r="P869" s="931"/>
      <c r="Q869" s="931"/>
      <c r="R869" s="930"/>
      <c r="S869" s="930"/>
      <c r="T869" s="932"/>
      <c r="U869" s="933"/>
      <c r="V869" s="934"/>
      <c r="W869" s="934"/>
      <c r="X869" s="932"/>
      <c r="Y869" s="932"/>
      <c r="Z869" s="932"/>
      <c r="AA869" s="726"/>
      <c r="AB869" s="726"/>
      <c r="AC869" s="721"/>
      <c r="AD869" s="586"/>
      <c r="AE869" s="586"/>
      <c r="AF869" s="170"/>
      <c r="AG869" s="170"/>
      <c r="AH869" s="170"/>
      <c r="AI869" s="170"/>
      <c r="AJ869" s="170"/>
      <c r="AK869" s="170"/>
      <c r="AL869" s="170"/>
      <c r="AM869" s="170"/>
      <c r="AN869" s="170"/>
      <c r="AO869" s="170"/>
      <c r="AP869" s="170"/>
      <c r="AQ869" s="170"/>
      <c r="AR869" s="170"/>
      <c r="AS869" s="170"/>
      <c r="AT869" s="721"/>
      <c r="AU869" s="721"/>
      <c r="AV869" s="721"/>
      <c r="AW869" s="828"/>
      <c r="AX869" s="726"/>
    </row>
    <row r="870" spans="1:50" ht="15" x14ac:dyDescent="0.25">
      <c r="A870" s="721"/>
      <c r="B870" s="904"/>
      <c r="C870" s="721"/>
      <c r="D870" s="721"/>
      <c r="E870" s="721"/>
      <c r="F870" s="721"/>
      <c r="G870" s="721"/>
      <c r="H870" s="721"/>
      <c r="I870" s="721"/>
      <c r="J870" s="721"/>
      <c r="K870" s="721"/>
      <c r="L870" s="721"/>
      <c r="M870" s="930"/>
      <c r="N870" s="930"/>
      <c r="O870" s="930"/>
      <c r="P870" s="931"/>
      <c r="Q870" s="931"/>
      <c r="R870" s="930"/>
      <c r="S870" s="930"/>
      <c r="T870" s="932"/>
      <c r="U870" s="933"/>
      <c r="V870" s="934"/>
      <c r="W870" s="934"/>
      <c r="X870" s="932"/>
      <c r="Y870" s="932"/>
      <c r="Z870" s="932"/>
      <c r="AA870" s="726"/>
      <c r="AB870" s="726"/>
      <c r="AC870" s="721"/>
      <c r="AD870" s="586"/>
      <c r="AE870" s="586"/>
      <c r="AF870" s="170"/>
      <c r="AG870" s="170"/>
      <c r="AH870" s="170"/>
      <c r="AI870" s="170"/>
      <c r="AJ870" s="170"/>
      <c r="AK870" s="170"/>
      <c r="AL870" s="170"/>
      <c r="AM870" s="170"/>
      <c r="AN870" s="170"/>
      <c r="AO870" s="170"/>
      <c r="AP870" s="170"/>
      <c r="AQ870" s="170"/>
      <c r="AR870" s="170"/>
      <c r="AS870" s="170"/>
      <c r="AT870" s="721"/>
      <c r="AU870" s="721"/>
      <c r="AV870" s="721"/>
      <c r="AW870" s="828"/>
      <c r="AX870" s="726"/>
    </row>
    <row r="871" spans="1:50" ht="15" x14ac:dyDescent="0.25">
      <c r="A871" s="721"/>
      <c r="B871" s="904"/>
      <c r="C871" s="721"/>
      <c r="D871" s="721"/>
      <c r="E871" s="721"/>
      <c r="F871" s="721"/>
      <c r="G871" s="721"/>
      <c r="H871" s="721"/>
      <c r="I871" s="721"/>
      <c r="J871" s="721"/>
      <c r="K871" s="721"/>
      <c r="L871" s="721"/>
      <c r="M871" s="930"/>
      <c r="N871" s="930"/>
      <c r="O871" s="930"/>
      <c r="P871" s="931"/>
      <c r="Q871" s="931"/>
      <c r="R871" s="930"/>
      <c r="S871" s="930"/>
      <c r="T871" s="932"/>
      <c r="U871" s="933"/>
      <c r="V871" s="934"/>
      <c r="W871" s="934"/>
      <c r="X871" s="932"/>
      <c r="Y871" s="932"/>
      <c r="Z871" s="932"/>
      <c r="AA871" s="726"/>
      <c r="AB871" s="726"/>
      <c r="AC871" s="721"/>
      <c r="AD871" s="586"/>
      <c r="AE871" s="586"/>
      <c r="AF871" s="170"/>
      <c r="AG871" s="170"/>
      <c r="AH871" s="170"/>
      <c r="AI871" s="170"/>
      <c r="AJ871" s="170"/>
      <c r="AK871" s="170"/>
      <c r="AL871" s="170"/>
      <c r="AM871" s="170"/>
      <c r="AN871" s="170"/>
      <c r="AO871" s="170"/>
      <c r="AP871" s="170"/>
      <c r="AQ871" s="170"/>
      <c r="AR871" s="170"/>
      <c r="AS871" s="170"/>
      <c r="AT871" s="721"/>
      <c r="AU871" s="721"/>
      <c r="AV871" s="721"/>
      <c r="AW871" s="828"/>
      <c r="AX871" s="726"/>
    </row>
    <row r="872" spans="1:50" ht="15" x14ac:dyDescent="0.25">
      <c r="A872" s="721"/>
      <c r="B872" s="904"/>
      <c r="C872" s="721"/>
      <c r="D872" s="721"/>
      <c r="E872" s="721"/>
      <c r="F872" s="721"/>
      <c r="G872" s="721"/>
      <c r="H872" s="721"/>
      <c r="I872" s="721"/>
      <c r="J872" s="721"/>
      <c r="K872" s="721"/>
      <c r="L872" s="721"/>
      <c r="M872" s="930"/>
      <c r="N872" s="930"/>
      <c r="O872" s="930"/>
      <c r="P872" s="931"/>
      <c r="Q872" s="931"/>
      <c r="R872" s="930"/>
      <c r="S872" s="930"/>
      <c r="T872" s="932"/>
      <c r="U872" s="933"/>
      <c r="V872" s="934"/>
      <c r="W872" s="934"/>
      <c r="X872" s="932"/>
      <c r="Y872" s="932"/>
      <c r="Z872" s="932"/>
      <c r="AA872" s="726"/>
      <c r="AB872" s="726"/>
      <c r="AC872" s="721"/>
      <c r="AD872" s="586"/>
      <c r="AE872" s="586"/>
      <c r="AF872" s="170"/>
      <c r="AG872" s="170"/>
      <c r="AH872" s="170"/>
      <c r="AI872" s="170"/>
      <c r="AJ872" s="170"/>
      <c r="AK872" s="170"/>
      <c r="AL872" s="170"/>
      <c r="AM872" s="170"/>
      <c r="AN872" s="170"/>
      <c r="AO872" s="170"/>
      <c r="AP872" s="170"/>
      <c r="AQ872" s="170"/>
      <c r="AR872" s="170"/>
      <c r="AS872" s="170"/>
      <c r="AT872" s="721"/>
      <c r="AU872" s="721"/>
      <c r="AV872" s="721"/>
      <c r="AW872" s="828"/>
      <c r="AX872" s="726"/>
    </row>
    <row r="873" spans="1:50" ht="15" x14ac:dyDescent="0.25">
      <c r="A873" s="721"/>
      <c r="B873" s="904"/>
      <c r="C873" s="721"/>
      <c r="D873" s="721"/>
      <c r="E873" s="721"/>
      <c r="F873" s="721"/>
      <c r="G873" s="721"/>
      <c r="H873" s="721"/>
      <c r="I873" s="721"/>
      <c r="J873" s="721"/>
      <c r="K873" s="721"/>
      <c r="L873" s="721"/>
      <c r="M873" s="930"/>
      <c r="N873" s="930"/>
      <c r="O873" s="930"/>
      <c r="P873" s="931"/>
      <c r="Q873" s="931"/>
      <c r="R873" s="930"/>
      <c r="S873" s="930"/>
      <c r="T873" s="932"/>
      <c r="U873" s="933"/>
      <c r="V873" s="934"/>
      <c r="W873" s="934"/>
      <c r="X873" s="932"/>
      <c r="Y873" s="932"/>
      <c r="Z873" s="932"/>
      <c r="AA873" s="726"/>
      <c r="AB873" s="726"/>
      <c r="AC873" s="721"/>
      <c r="AD873" s="586"/>
      <c r="AE873" s="586"/>
      <c r="AF873" s="170"/>
      <c r="AG873" s="170"/>
      <c r="AH873" s="170"/>
      <c r="AI873" s="170"/>
      <c r="AJ873" s="170"/>
      <c r="AK873" s="170"/>
      <c r="AL873" s="170"/>
      <c r="AM873" s="170"/>
      <c r="AN873" s="170"/>
      <c r="AO873" s="170"/>
      <c r="AP873" s="170"/>
      <c r="AQ873" s="170"/>
      <c r="AR873" s="170"/>
      <c r="AS873" s="170"/>
      <c r="AT873" s="721"/>
      <c r="AU873" s="721"/>
      <c r="AV873" s="721"/>
      <c r="AW873" s="828"/>
      <c r="AX873" s="726"/>
    </row>
    <row r="874" spans="1:50" ht="15" x14ac:dyDescent="0.25">
      <c r="A874" s="721"/>
      <c r="B874" s="904"/>
      <c r="C874" s="721"/>
      <c r="D874" s="721"/>
      <c r="E874" s="721"/>
      <c r="F874" s="721"/>
      <c r="G874" s="721"/>
      <c r="H874" s="721"/>
      <c r="I874" s="721"/>
      <c r="J874" s="721"/>
      <c r="K874" s="721"/>
      <c r="L874" s="721"/>
      <c r="M874" s="930"/>
      <c r="N874" s="930"/>
      <c r="O874" s="930"/>
      <c r="P874" s="931"/>
      <c r="Q874" s="931"/>
      <c r="R874" s="930"/>
      <c r="S874" s="930"/>
      <c r="T874" s="932"/>
      <c r="U874" s="933"/>
      <c r="V874" s="934"/>
      <c r="W874" s="934"/>
      <c r="X874" s="932"/>
      <c r="Y874" s="932"/>
      <c r="Z874" s="932"/>
      <c r="AA874" s="726"/>
      <c r="AB874" s="726"/>
      <c r="AC874" s="721"/>
      <c r="AD874" s="586"/>
      <c r="AE874" s="586"/>
      <c r="AF874" s="170"/>
      <c r="AG874" s="170"/>
      <c r="AH874" s="170"/>
      <c r="AI874" s="170"/>
      <c r="AJ874" s="170"/>
      <c r="AK874" s="170"/>
      <c r="AL874" s="170"/>
      <c r="AM874" s="170"/>
      <c r="AN874" s="170"/>
      <c r="AO874" s="170"/>
      <c r="AP874" s="170"/>
      <c r="AQ874" s="170"/>
      <c r="AR874" s="170"/>
      <c r="AS874" s="170"/>
      <c r="AT874" s="721"/>
      <c r="AU874" s="721"/>
      <c r="AV874" s="721"/>
      <c r="AW874" s="828"/>
      <c r="AX874" s="726"/>
    </row>
    <row r="875" spans="1:50" ht="15" x14ac:dyDescent="0.25">
      <c r="A875" s="721"/>
      <c r="B875" s="904"/>
      <c r="C875" s="721"/>
      <c r="D875" s="721"/>
      <c r="E875" s="721"/>
      <c r="F875" s="721"/>
      <c r="G875" s="721"/>
      <c r="H875" s="721"/>
      <c r="I875" s="721"/>
      <c r="J875" s="721"/>
      <c r="K875" s="721"/>
      <c r="L875" s="721"/>
      <c r="M875" s="930"/>
      <c r="N875" s="930"/>
      <c r="O875" s="930"/>
      <c r="P875" s="931"/>
      <c r="Q875" s="931"/>
      <c r="R875" s="930"/>
      <c r="S875" s="930"/>
      <c r="T875" s="932"/>
      <c r="U875" s="933"/>
      <c r="V875" s="934"/>
      <c r="W875" s="934"/>
      <c r="X875" s="932"/>
      <c r="Y875" s="932"/>
      <c r="Z875" s="932"/>
      <c r="AA875" s="726"/>
      <c r="AB875" s="726"/>
      <c r="AC875" s="721"/>
      <c r="AD875" s="586"/>
      <c r="AE875" s="586"/>
      <c r="AF875" s="170"/>
      <c r="AG875" s="170"/>
      <c r="AH875" s="170"/>
      <c r="AI875" s="170"/>
      <c r="AJ875" s="170"/>
      <c r="AK875" s="170"/>
      <c r="AL875" s="170"/>
      <c r="AM875" s="170"/>
      <c r="AN875" s="170"/>
      <c r="AO875" s="170"/>
      <c r="AP875" s="170"/>
      <c r="AQ875" s="170"/>
      <c r="AR875" s="170"/>
      <c r="AS875" s="170"/>
      <c r="AT875" s="721"/>
      <c r="AU875" s="721"/>
      <c r="AV875" s="721"/>
      <c r="AW875" s="828"/>
      <c r="AX875" s="726"/>
    </row>
    <row r="876" spans="1:50" ht="15" x14ac:dyDescent="0.25">
      <c r="A876" s="721"/>
      <c r="B876" s="904"/>
      <c r="C876" s="721"/>
      <c r="D876" s="721"/>
      <c r="E876" s="721"/>
      <c r="F876" s="721"/>
      <c r="G876" s="721"/>
      <c r="H876" s="721"/>
      <c r="I876" s="721"/>
      <c r="J876" s="721"/>
      <c r="K876" s="721"/>
      <c r="L876" s="721"/>
      <c r="M876" s="930"/>
      <c r="N876" s="930"/>
      <c r="O876" s="930"/>
      <c r="P876" s="931"/>
      <c r="Q876" s="931"/>
      <c r="R876" s="930"/>
      <c r="S876" s="930"/>
      <c r="T876" s="932"/>
      <c r="U876" s="933"/>
      <c r="V876" s="934"/>
      <c r="W876" s="934"/>
      <c r="X876" s="932"/>
      <c r="Y876" s="932"/>
      <c r="Z876" s="932"/>
      <c r="AA876" s="726"/>
      <c r="AB876" s="726"/>
      <c r="AC876" s="721"/>
      <c r="AD876" s="586"/>
      <c r="AE876" s="586"/>
      <c r="AF876" s="170"/>
      <c r="AG876" s="170"/>
      <c r="AH876" s="170"/>
      <c r="AI876" s="170"/>
      <c r="AJ876" s="170"/>
      <c r="AK876" s="170"/>
      <c r="AL876" s="170"/>
      <c r="AM876" s="170"/>
      <c r="AN876" s="170"/>
      <c r="AO876" s="170"/>
      <c r="AP876" s="170"/>
      <c r="AQ876" s="170"/>
      <c r="AR876" s="170"/>
      <c r="AS876" s="170"/>
      <c r="AT876" s="721"/>
      <c r="AU876" s="721"/>
      <c r="AV876" s="721"/>
      <c r="AW876" s="828"/>
      <c r="AX876" s="726"/>
    </row>
    <row r="877" spans="1:50" ht="15" x14ac:dyDescent="0.25">
      <c r="A877" s="721"/>
      <c r="B877" s="904"/>
      <c r="C877" s="721"/>
      <c r="D877" s="721"/>
      <c r="E877" s="721"/>
      <c r="F877" s="721"/>
      <c r="G877" s="721"/>
      <c r="H877" s="721"/>
      <c r="I877" s="721"/>
      <c r="J877" s="721"/>
      <c r="K877" s="721"/>
      <c r="L877" s="721"/>
      <c r="M877" s="930"/>
      <c r="N877" s="930"/>
      <c r="O877" s="930"/>
      <c r="P877" s="931"/>
      <c r="Q877" s="931"/>
      <c r="R877" s="930"/>
      <c r="S877" s="930"/>
      <c r="T877" s="932"/>
      <c r="U877" s="933"/>
      <c r="V877" s="934"/>
      <c r="W877" s="934"/>
      <c r="X877" s="932"/>
      <c r="Y877" s="932"/>
      <c r="Z877" s="932"/>
      <c r="AA877" s="726"/>
      <c r="AB877" s="726"/>
      <c r="AC877" s="721"/>
      <c r="AD877" s="586"/>
      <c r="AE877" s="586"/>
      <c r="AF877" s="170"/>
      <c r="AG877" s="170"/>
      <c r="AH877" s="170"/>
      <c r="AI877" s="170"/>
      <c r="AJ877" s="170"/>
      <c r="AK877" s="170"/>
      <c r="AL877" s="170"/>
      <c r="AM877" s="170"/>
      <c r="AN877" s="170"/>
      <c r="AO877" s="170"/>
      <c r="AP877" s="170"/>
      <c r="AQ877" s="170"/>
      <c r="AR877" s="170"/>
      <c r="AS877" s="170"/>
      <c r="AT877" s="721"/>
      <c r="AU877" s="721"/>
      <c r="AV877" s="721"/>
      <c r="AW877" s="828"/>
      <c r="AX877" s="726"/>
    </row>
    <row r="878" spans="1:50" ht="15" x14ac:dyDescent="0.25">
      <c r="A878" s="721"/>
      <c r="B878" s="904"/>
      <c r="C878" s="721"/>
      <c r="D878" s="721"/>
      <c r="E878" s="721"/>
      <c r="F878" s="721"/>
      <c r="G878" s="721"/>
      <c r="H878" s="721"/>
      <c r="I878" s="721"/>
      <c r="J878" s="721"/>
      <c r="K878" s="721"/>
      <c r="L878" s="721"/>
      <c r="M878" s="930"/>
      <c r="N878" s="930"/>
      <c r="O878" s="930"/>
      <c r="P878" s="931"/>
      <c r="Q878" s="931"/>
      <c r="R878" s="930"/>
      <c r="S878" s="930"/>
      <c r="T878" s="932"/>
      <c r="U878" s="933"/>
      <c r="V878" s="934"/>
      <c r="W878" s="934"/>
      <c r="X878" s="932"/>
      <c r="Y878" s="932"/>
      <c r="Z878" s="932"/>
      <c r="AA878" s="726"/>
      <c r="AB878" s="726"/>
      <c r="AC878" s="721"/>
      <c r="AD878" s="586"/>
      <c r="AE878" s="586"/>
      <c r="AF878" s="170"/>
      <c r="AG878" s="170"/>
      <c r="AH878" s="170"/>
      <c r="AI878" s="170"/>
      <c r="AJ878" s="170"/>
      <c r="AK878" s="170"/>
      <c r="AL878" s="170"/>
      <c r="AM878" s="170"/>
      <c r="AN878" s="170"/>
      <c r="AO878" s="170"/>
      <c r="AP878" s="170"/>
      <c r="AQ878" s="170"/>
      <c r="AR878" s="170"/>
      <c r="AS878" s="170"/>
      <c r="AT878" s="721"/>
      <c r="AU878" s="721"/>
      <c r="AV878" s="721"/>
      <c r="AW878" s="828"/>
      <c r="AX878" s="726"/>
    </row>
    <row r="879" spans="1:50" ht="15" x14ac:dyDescent="0.25">
      <c r="A879" s="721"/>
      <c r="B879" s="904"/>
      <c r="C879" s="721"/>
      <c r="D879" s="721"/>
      <c r="E879" s="721"/>
      <c r="F879" s="721"/>
      <c r="G879" s="721"/>
      <c r="H879" s="721"/>
      <c r="I879" s="721"/>
      <c r="J879" s="721"/>
      <c r="K879" s="721"/>
      <c r="L879" s="721"/>
      <c r="M879" s="930"/>
      <c r="N879" s="930"/>
      <c r="O879" s="930"/>
      <c r="P879" s="931"/>
      <c r="Q879" s="931"/>
      <c r="R879" s="930"/>
      <c r="S879" s="930"/>
      <c r="T879" s="932"/>
      <c r="U879" s="933"/>
      <c r="V879" s="934"/>
      <c r="W879" s="934"/>
      <c r="X879" s="932"/>
      <c r="Y879" s="932"/>
      <c r="Z879" s="932"/>
      <c r="AA879" s="726"/>
      <c r="AB879" s="726"/>
      <c r="AC879" s="721"/>
      <c r="AD879" s="586"/>
      <c r="AE879" s="586"/>
      <c r="AF879" s="170"/>
      <c r="AG879" s="170"/>
      <c r="AH879" s="170"/>
      <c r="AI879" s="170"/>
      <c r="AJ879" s="170"/>
      <c r="AK879" s="170"/>
      <c r="AL879" s="170"/>
      <c r="AM879" s="170"/>
      <c r="AN879" s="170"/>
      <c r="AO879" s="170"/>
      <c r="AP879" s="170"/>
      <c r="AQ879" s="170"/>
      <c r="AR879" s="170"/>
      <c r="AS879" s="170"/>
      <c r="AT879" s="721"/>
      <c r="AU879" s="721"/>
      <c r="AV879" s="721"/>
      <c r="AW879" s="828"/>
      <c r="AX879" s="726"/>
    </row>
    <row r="880" spans="1:50" ht="15" x14ac:dyDescent="0.25">
      <c r="A880" s="721"/>
      <c r="B880" s="904"/>
      <c r="C880" s="721"/>
      <c r="D880" s="721"/>
      <c r="E880" s="721"/>
      <c r="F880" s="721"/>
      <c r="G880" s="721"/>
      <c r="H880" s="721"/>
      <c r="I880" s="721"/>
      <c r="J880" s="721"/>
      <c r="K880" s="721"/>
      <c r="L880" s="721"/>
      <c r="M880" s="930"/>
      <c r="N880" s="930"/>
      <c r="O880" s="930"/>
      <c r="P880" s="931"/>
      <c r="Q880" s="931"/>
      <c r="R880" s="930"/>
      <c r="S880" s="930"/>
      <c r="T880" s="932"/>
      <c r="U880" s="933"/>
      <c r="V880" s="934"/>
      <c r="W880" s="934"/>
      <c r="X880" s="932"/>
      <c r="Y880" s="932"/>
      <c r="Z880" s="932"/>
      <c r="AA880" s="726"/>
      <c r="AB880" s="726"/>
      <c r="AC880" s="721"/>
      <c r="AD880" s="586"/>
      <c r="AE880" s="586"/>
      <c r="AF880" s="170"/>
      <c r="AG880" s="170"/>
      <c r="AH880" s="170"/>
      <c r="AI880" s="170"/>
      <c r="AJ880" s="170"/>
      <c r="AK880" s="170"/>
      <c r="AL880" s="170"/>
      <c r="AM880" s="170"/>
      <c r="AN880" s="170"/>
      <c r="AO880" s="170"/>
      <c r="AP880" s="170"/>
      <c r="AQ880" s="170"/>
      <c r="AR880" s="170"/>
      <c r="AS880" s="170"/>
      <c r="AT880" s="721"/>
      <c r="AU880" s="721"/>
      <c r="AV880" s="721"/>
      <c r="AW880" s="828"/>
      <c r="AX880" s="726"/>
    </row>
    <row r="881" spans="1:50" ht="15" x14ac:dyDescent="0.25">
      <c r="A881" s="721"/>
      <c r="B881" s="904"/>
      <c r="C881" s="721"/>
      <c r="D881" s="721"/>
      <c r="E881" s="721"/>
      <c r="F881" s="721"/>
      <c r="G881" s="721"/>
      <c r="H881" s="721"/>
      <c r="I881" s="721"/>
      <c r="J881" s="721"/>
      <c r="K881" s="721"/>
      <c r="L881" s="721"/>
      <c r="M881" s="930"/>
      <c r="N881" s="930"/>
      <c r="O881" s="930"/>
      <c r="P881" s="931"/>
      <c r="Q881" s="931"/>
      <c r="R881" s="930"/>
      <c r="S881" s="930"/>
      <c r="T881" s="932"/>
      <c r="U881" s="933"/>
      <c r="V881" s="934"/>
      <c r="W881" s="934"/>
      <c r="X881" s="932"/>
      <c r="Y881" s="932"/>
      <c r="Z881" s="932"/>
      <c r="AA881" s="726"/>
      <c r="AB881" s="726"/>
      <c r="AC881" s="721"/>
      <c r="AD881" s="586"/>
      <c r="AE881" s="586"/>
      <c r="AF881" s="170"/>
      <c r="AG881" s="170"/>
      <c r="AH881" s="170"/>
      <c r="AI881" s="170"/>
      <c r="AJ881" s="170"/>
      <c r="AK881" s="170"/>
      <c r="AL881" s="170"/>
      <c r="AM881" s="170"/>
      <c r="AN881" s="170"/>
      <c r="AO881" s="170"/>
      <c r="AP881" s="170"/>
      <c r="AQ881" s="170"/>
      <c r="AR881" s="170"/>
      <c r="AS881" s="170"/>
      <c r="AT881" s="721"/>
      <c r="AU881" s="721"/>
      <c r="AV881" s="721"/>
      <c r="AW881" s="828"/>
      <c r="AX881" s="726"/>
    </row>
    <row r="882" spans="1:50" ht="15" x14ac:dyDescent="0.25">
      <c r="A882" s="721"/>
      <c r="B882" s="904"/>
      <c r="C882" s="721"/>
      <c r="D882" s="721"/>
      <c r="E882" s="721"/>
      <c r="F882" s="721"/>
      <c r="G882" s="721"/>
      <c r="H882" s="721"/>
      <c r="I882" s="721"/>
      <c r="J882" s="721"/>
      <c r="K882" s="721"/>
      <c r="L882" s="721"/>
      <c r="M882" s="930"/>
      <c r="N882" s="930"/>
      <c r="O882" s="930"/>
      <c r="P882" s="931"/>
      <c r="Q882" s="931"/>
      <c r="R882" s="930"/>
      <c r="S882" s="930"/>
      <c r="T882" s="932"/>
      <c r="U882" s="933"/>
      <c r="V882" s="934"/>
      <c r="W882" s="934"/>
      <c r="X882" s="932"/>
      <c r="Y882" s="932"/>
      <c r="Z882" s="932"/>
      <c r="AA882" s="726"/>
      <c r="AB882" s="726"/>
      <c r="AC882" s="721"/>
      <c r="AD882" s="586"/>
      <c r="AE882" s="586"/>
      <c r="AF882" s="170"/>
      <c r="AG882" s="170"/>
      <c r="AH882" s="170"/>
      <c r="AI882" s="170"/>
      <c r="AJ882" s="170"/>
      <c r="AK882" s="170"/>
      <c r="AL882" s="170"/>
      <c r="AM882" s="170"/>
      <c r="AN882" s="170"/>
      <c r="AO882" s="170"/>
      <c r="AP882" s="170"/>
      <c r="AQ882" s="170"/>
      <c r="AR882" s="170"/>
      <c r="AS882" s="170"/>
      <c r="AT882" s="721"/>
      <c r="AU882" s="721"/>
      <c r="AV882" s="721"/>
      <c r="AW882" s="828"/>
      <c r="AX882" s="726"/>
    </row>
    <row r="883" spans="1:50" ht="15" x14ac:dyDescent="0.25">
      <c r="A883" s="721"/>
      <c r="B883" s="904"/>
      <c r="C883" s="721"/>
      <c r="D883" s="721"/>
      <c r="E883" s="721"/>
      <c r="F883" s="721"/>
      <c r="G883" s="721"/>
      <c r="H883" s="721"/>
      <c r="I883" s="721"/>
      <c r="J883" s="721"/>
      <c r="K883" s="721"/>
      <c r="L883" s="721"/>
      <c r="M883" s="930"/>
      <c r="N883" s="930"/>
      <c r="O883" s="930"/>
      <c r="P883" s="931"/>
      <c r="Q883" s="931"/>
      <c r="R883" s="930"/>
      <c r="S883" s="930"/>
      <c r="T883" s="932"/>
      <c r="U883" s="933"/>
      <c r="V883" s="934"/>
      <c r="W883" s="934"/>
      <c r="X883" s="932"/>
      <c r="Y883" s="932"/>
      <c r="Z883" s="932"/>
      <c r="AA883" s="726"/>
      <c r="AB883" s="726"/>
      <c r="AC883" s="721"/>
      <c r="AD883" s="586"/>
      <c r="AE883" s="586"/>
      <c r="AF883" s="170"/>
      <c r="AG883" s="170"/>
      <c r="AH883" s="170"/>
      <c r="AI883" s="170"/>
      <c r="AJ883" s="170"/>
      <c r="AK883" s="170"/>
      <c r="AL883" s="170"/>
      <c r="AM883" s="170"/>
      <c r="AN883" s="170"/>
      <c r="AO883" s="170"/>
      <c r="AP883" s="170"/>
      <c r="AQ883" s="170"/>
      <c r="AR883" s="170"/>
      <c r="AS883" s="170"/>
      <c r="AT883" s="721"/>
      <c r="AU883" s="721"/>
      <c r="AV883" s="721"/>
      <c r="AW883" s="828"/>
      <c r="AX883" s="726"/>
    </row>
    <row r="884" spans="1:50" ht="15" x14ac:dyDescent="0.25">
      <c r="A884" s="721"/>
      <c r="B884" s="904"/>
      <c r="C884" s="721"/>
      <c r="D884" s="721"/>
      <c r="E884" s="721"/>
      <c r="F884" s="721"/>
      <c r="G884" s="721"/>
      <c r="H884" s="721"/>
      <c r="I884" s="721"/>
      <c r="J884" s="721"/>
      <c r="K884" s="721"/>
      <c r="L884" s="721"/>
      <c r="M884" s="930"/>
      <c r="N884" s="930"/>
      <c r="O884" s="930"/>
      <c r="P884" s="931"/>
      <c r="Q884" s="931"/>
      <c r="R884" s="930"/>
      <c r="S884" s="930"/>
      <c r="T884" s="932"/>
      <c r="U884" s="933"/>
      <c r="V884" s="934"/>
      <c r="W884" s="934"/>
      <c r="X884" s="932"/>
      <c r="Y884" s="932"/>
      <c r="Z884" s="932"/>
      <c r="AA884" s="726"/>
      <c r="AB884" s="726"/>
      <c r="AC884" s="721"/>
      <c r="AD884" s="586"/>
      <c r="AE884" s="586"/>
      <c r="AF884" s="170"/>
      <c r="AG884" s="170"/>
      <c r="AH884" s="170"/>
      <c r="AI884" s="170"/>
      <c r="AJ884" s="170"/>
      <c r="AK884" s="170"/>
      <c r="AL884" s="170"/>
      <c r="AM884" s="170"/>
      <c r="AN884" s="170"/>
      <c r="AO884" s="170"/>
      <c r="AP884" s="170"/>
      <c r="AQ884" s="170"/>
      <c r="AR884" s="170"/>
      <c r="AS884" s="170"/>
      <c r="AT884" s="721"/>
      <c r="AU884" s="721"/>
      <c r="AV884" s="721"/>
      <c r="AW884" s="828"/>
      <c r="AX884" s="726"/>
    </row>
    <row r="885" spans="1:50" ht="15" x14ac:dyDescent="0.25">
      <c r="A885" s="721"/>
      <c r="B885" s="904"/>
      <c r="C885" s="721"/>
      <c r="D885" s="721"/>
      <c r="E885" s="721"/>
      <c r="F885" s="721"/>
      <c r="G885" s="721"/>
      <c r="H885" s="721"/>
      <c r="I885" s="721"/>
      <c r="J885" s="721"/>
      <c r="K885" s="721"/>
      <c r="L885" s="721"/>
      <c r="M885" s="930"/>
      <c r="N885" s="930"/>
      <c r="O885" s="930"/>
      <c r="P885" s="931"/>
      <c r="Q885" s="931"/>
      <c r="R885" s="930"/>
      <c r="S885" s="930"/>
      <c r="T885" s="932"/>
      <c r="U885" s="933"/>
      <c r="V885" s="934"/>
      <c r="W885" s="934"/>
      <c r="X885" s="932"/>
      <c r="Y885" s="932"/>
      <c r="Z885" s="932"/>
      <c r="AA885" s="726"/>
      <c r="AB885" s="726"/>
      <c r="AC885" s="721"/>
      <c r="AD885" s="586"/>
      <c r="AE885" s="586"/>
      <c r="AF885" s="170"/>
      <c r="AG885" s="170"/>
      <c r="AH885" s="170"/>
      <c r="AI885" s="170"/>
      <c r="AJ885" s="170"/>
      <c r="AK885" s="170"/>
      <c r="AL885" s="170"/>
      <c r="AM885" s="170"/>
      <c r="AN885" s="170"/>
      <c r="AO885" s="170"/>
      <c r="AP885" s="170"/>
      <c r="AQ885" s="170"/>
      <c r="AR885" s="170"/>
      <c r="AS885" s="170"/>
      <c r="AT885" s="721"/>
      <c r="AU885" s="721"/>
      <c r="AV885" s="721"/>
      <c r="AW885" s="828"/>
      <c r="AX885" s="726"/>
    </row>
    <row r="886" spans="1:50" ht="15" x14ac:dyDescent="0.25">
      <c r="A886" s="721"/>
      <c r="B886" s="904"/>
      <c r="C886" s="721"/>
      <c r="D886" s="721"/>
      <c r="E886" s="721"/>
      <c r="F886" s="721"/>
      <c r="G886" s="721"/>
      <c r="H886" s="721"/>
      <c r="I886" s="721"/>
      <c r="J886" s="721"/>
      <c r="K886" s="721"/>
      <c r="L886" s="721"/>
      <c r="M886" s="930"/>
      <c r="N886" s="930"/>
      <c r="O886" s="930"/>
      <c r="P886" s="931"/>
      <c r="Q886" s="931"/>
      <c r="R886" s="930"/>
      <c r="S886" s="930"/>
      <c r="T886" s="932"/>
      <c r="U886" s="933"/>
      <c r="V886" s="934"/>
      <c r="W886" s="934"/>
      <c r="X886" s="932"/>
      <c r="Y886" s="932"/>
      <c r="Z886" s="932"/>
      <c r="AA886" s="726"/>
      <c r="AB886" s="726"/>
      <c r="AC886" s="721"/>
      <c r="AD886" s="586"/>
      <c r="AE886" s="586"/>
      <c r="AF886" s="170"/>
      <c r="AG886" s="170"/>
      <c r="AH886" s="170"/>
      <c r="AI886" s="170"/>
      <c r="AJ886" s="170"/>
      <c r="AK886" s="170"/>
      <c r="AL886" s="170"/>
      <c r="AM886" s="170"/>
      <c r="AN886" s="170"/>
      <c r="AO886" s="170"/>
      <c r="AP886" s="170"/>
      <c r="AQ886" s="170"/>
      <c r="AR886" s="170"/>
      <c r="AS886" s="170"/>
      <c r="AT886" s="721"/>
      <c r="AU886" s="721"/>
      <c r="AV886" s="721"/>
      <c r="AW886" s="828"/>
      <c r="AX886" s="726"/>
    </row>
    <row r="887" spans="1:50" ht="15" x14ac:dyDescent="0.25">
      <c r="A887" s="721"/>
      <c r="B887" s="904"/>
      <c r="C887" s="721"/>
      <c r="D887" s="721"/>
      <c r="E887" s="721"/>
      <c r="F887" s="721"/>
      <c r="G887" s="721"/>
      <c r="H887" s="721"/>
      <c r="I887" s="721"/>
      <c r="J887" s="721"/>
      <c r="K887" s="721"/>
      <c r="L887" s="721"/>
      <c r="M887" s="930"/>
      <c r="N887" s="930"/>
      <c r="O887" s="930"/>
      <c r="P887" s="931"/>
      <c r="Q887" s="931"/>
      <c r="R887" s="930"/>
      <c r="S887" s="930"/>
      <c r="T887" s="932"/>
      <c r="U887" s="933"/>
      <c r="V887" s="934"/>
      <c r="W887" s="934"/>
      <c r="X887" s="932"/>
      <c r="Y887" s="932"/>
      <c r="Z887" s="932"/>
      <c r="AA887" s="726"/>
      <c r="AB887" s="726"/>
      <c r="AC887" s="721"/>
      <c r="AD887" s="586"/>
      <c r="AE887" s="586"/>
      <c r="AF887" s="170"/>
      <c r="AG887" s="170"/>
      <c r="AH887" s="170"/>
      <c r="AI887" s="170"/>
      <c r="AJ887" s="170"/>
      <c r="AK887" s="170"/>
      <c r="AL887" s="170"/>
      <c r="AM887" s="170"/>
      <c r="AN887" s="170"/>
      <c r="AO887" s="170"/>
      <c r="AP887" s="170"/>
      <c r="AQ887" s="170"/>
      <c r="AR887" s="170"/>
      <c r="AS887" s="170"/>
      <c r="AT887" s="721"/>
      <c r="AU887" s="721"/>
      <c r="AV887" s="721"/>
      <c r="AW887" s="828"/>
      <c r="AX887" s="726"/>
    </row>
    <row r="888" spans="1:50" ht="15" x14ac:dyDescent="0.25">
      <c r="A888" s="721"/>
      <c r="B888" s="904"/>
      <c r="C888" s="721"/>
      <c r="D888" s="721"/>
      <c r="E888" s="721"/>
      <c r="F888" s="721"/>
      <c r="G888" s="721"/>
      <c r="H888" s="721"/>
      <c r="I888" s="721"/>
      <c r="J888" s="721"/>
      <c r="K888" s="721"/>
      <c r="L888" s="721"/>
      <c r="M888" s="930"/>
      <c r="N888" s="930"/>
      <c r="O888" s="930"/>
      <c r="P888" s="931"/>
      <c r="Q888" s="931"/>
      <c r="R888" s="930"/>
      <c r="S888" s="930"/>
      <c r="T888" s="932"/>
      <c r="U888" s="933"/>
      <c r="V888" s="934"/>
      <c r="W888" s="934"/>
      <c r="X888" s="932"/>
      <c r="Y888" s="932"/>
      <c r="Z888" s="932"/>
      <c r="AA888" s="726"/>
      <c r="AB888" s="726"/>
      <c r="AC888" s="721"/>
      <c r="AD888" s="586"/>
      <c r="AE888" s="586"/>
      <c r="AF888" s="170"/>
      <c r="AG888" s="170"/>
      <c r="AH888" s="170"/>
      <c r="AI888" s="170"/>
      <c r="AJ888" s="170"/>
      <c r="AK888" s="170"/>
      <c r="AL888" s="170"/>
      <c r="AM888" s="170"/>
      <c r="AN888" s="170"/>
      <c r="AO888" s="170"/>
      <c r="AP888" s="170"/>
      <c r="AQ888" s="170"/>
      <c r="AR888" s="170"/>
      <c r="AS888" s="170"/>
      <c r="AT888" s="721"/>
      <c r="AU888" s="721"/>
      <c r="AV888" s="721"/>
      <c r="AW888" s="828"/>
      <c r="AX888" s="726"/>
    </row>
    <row r="889" spans="1:50" ht="15" x14ac:dyDescent="0.25">
      <c r="A889" s="721"/>
      <c r="B889" s="904"/>
      <c r="C889" s="721"/>
      <c r="D889" s="721"/>
      <c r="E889" s="721"/>
      <c r="F889" s="721"/>
      <c r="G889" s="721"/>
      <c r="H889" s="721"/>
      <c r="I889" s="721"/>
      <c r="J889" s="721"/>
      <c r="K889" s="721"/>
      <c r="L889" s="721"/>
      <c r="M889" s="930"/>
      <c r="N889" s="930"/>
      <c r="O889" s="930"/>
      <c r="P889" s="931"/>
      <c r="Q889" s="931"/>
      <c r="R889" s="930"/>
      <c r="S889" s="930"/>
      <c r="T889" s="932"/>
      <c r="U889" s="933"/>
      <c r="V889" s="934"/>
      <c r="W889" s="934"/>
      <c r="X889" s="932"/>
      <c r="Y889" s="932"/>
      <c r="Z889" s="932"/>
      <c r="AA889" s="726"/>
      <c r="AB889" s="726"/>
      <c r="AC889" s="721"/>
      <c r="AD889" s="586"/>
      <c r="AE889" s="586"/>
      <c r="AF889" s="170"/>
      <c r="AG889" s="170"/>
      <c r="AH889" s="170"/>
      <c r="AI889" s="170"/>
      <c r="AJ889" s="170"/>
      <c r="AK889" s="170"/>
      <c r="AL889" s="170"/>
      <c r="AM889" s="170"/>
      <c r="AN889" s="170"/>
      <c r="AO889" s="170"/>
      <c r="AP889" s="170"/>
      <c r="AQ889" s="170"/>
      <c r="AR889" s="170"/>
      <c r="AS889" s="170"/>
      <c r="AT889" s="721"/>
      <c r="AU889" s="721"/>
      <c r="AV889" s="721"/>
      <c r="AW889" s="828"/>
      <c r="AX889" s="726"/>
    </row>
    <row r="890" spans="1:50" ht="15" x14ac:dyDescent="0.25">
      <c r="A890" s="721"/>
      <c r="B890" s="904"/>
      <c r="C890" s="721"/>
      <c r="D890" s="721"/>
      <c r="E890" s="721"/>
      <c r="F890" s="721"/>
      <c r="G890" s="721"/>
      <c r="H890" s="721"/>
      <c r="I890" s="721"/>
      <c r="J890" s="721"/>
      <c r="K890" s="721"/>
      <c r="L890" s="721"/>
      <c r="M890" s="930"/>
      <c r="N890" s="930"/>
      <c r="O890" s="930"/>
      <c r="P890" s="931"/>
      <c r="Q890" s="931"/>
      <c r="R890" s="930"/>
      <c r="S890" s="930"/>
      <c r="T890" s="932"/>
      <c r="U890" s="933"/>
      <c r="V890" s="934"/>
      <c r="W890" s="934"/>
      <c r="X890" s="932"/>
      <c r="Y890" s="932"/>
      <c r="Z890" s="932"/>
      <c r="AA890" s="726"/>
      <c r="AB890" s="726"/>
      <c r="AC890" s="721"/>
      <c r="AD890" s="586"/>
      <c r="AE890" s="586"/>
      <c r="AF890" s="170"/>
      <c r="AG890" s="170"/>
      <c r="AH890" s="170"/>
      <c r="AI890" s="170"/>
      <c r="AJ890" s="170"/>
      <c r="AK890" s="170"/>
      <c r="AL890" s="170"/>
      <c r="AM890" s="170"/>
      <c r="AN890" s="170"/>
      <c r="AO890" s="170"/>
      <c r="AP890" s="170"/>
      <c r="AQ890" s="170"/>
      <c r="AR890" s="170"/>
      <c r="AS890" s="170"/>
      <c r="AT890" s="721"/>
      <c r="AU890" s="721"/>
      <c r="AV890" s="721"/>
      <c r="AW890" s="828"/>
      <c r="AX890" s="726"/>
    </row>
    <row r="891" spans="1:50" ht="15" x14ac:dyDescent="0.25">
      <c r="A891" s="721"/>
      <c r="B891" s="904"/>
      <c r="C891" s="721"/>
      <c r="D891" s="721"/>
      <c r="E891" s="721"/>
      <c r="F891" s="721"/>
      <c r="G891" s="721"/>
      <c r="H891" s="721"/>
      <c r="I891" s="721"/>
      <c r="J891" s="721"/>
      <c r="K891" s="721"/>
      <c r="L891" s="721"/>
      <c r="M891" s="930"/>
      <c r="N891" s="930"/>
      <c r="O891" s="930"/>
      <c r="P891" s="931"/>
      <c r="Q891" s="931"/>
      <c r="R891" s="930"/>
      <c r="S891" s="930"/>
      <c r="T891" s="932"/>
      <c r="U891" s="933"/>
      <c r="V891" s="934"/>
      <c r="W891" s="934"/>
      <c r="X891" s="932"/>
      <c r="Y891" s="932"/>
      <c r="Z891" s="932"/>
      <c r="AA891" s="726"/>
      <c r="AB891" s="726"/>
      <c r="AC891" s="721"/>
      <c r="AD891" s="586"/>
      <c r="AE891" s="586"/>
      <c r="AF891" s="170"/>
      <c r="AG891" s="170"/>
      <c r="AH891" s="170"/>
      <c r="AI891" s="170"/>
      <c r="AJ891" s="170"/>
      <c r="AK891" s="170"/>
      <c r="AL891" s="170"/>
      <c r="AM891" s="170"/>
      <c r="AN891" s="170"/>
      <c r="AO891" s="170"/>
      <c r="AP891" s="170"/>
      <c r="AQ891" s="170"/>
      <c r="AR891" s="170"/>
      <c r="AS891" s="170"/>
      <c r="AT891" s="721"/>
      <c r="AU891" s="721"/>
      <c r="AV891" s="721"/>
      <c r="AW891" s="828"/>
      <c r="AX891" s="726"/>
    </row>
    <row r="892" spans="1:50" ht="15" x14ac:dyDescent="0.25">
      <c r="A892" s="721"/>
      <c r="B892" s="904"/>
      <c r="C892" s="721"/>
      <c r="D892" s="721"/>
      <c r="E892" s="721"/>
      <c r="F892" s="721"/>
      <c r="G892" s="721"/>
      <c r="H892" s="721"/>
      <c r="I892" s="721"/>
      <c r="J892" s="721"/>
      <c r="K892" s="721"/>
      <c r="L892" s="721"/>
      <c r="M892" s="930"/>
      <c r="N892" s="930"/>
      <c r="O892" s="930"/>
      <c r="P892" s="931"/>
      <c r="Q892" s="931"/>
      <c r="R892" s="930"/>
      <c r="S892" s="930"/>
      <c r="T892" s="932"/>
      <c r="U892" s="933"/>
      <c r="V892" s="934"/>
      <c r="W892" s="934"/>
      <c r="X892" s="932"/>
      <c r="Y892" s="932"/>
      <c r="Z892" s="932"/>
      <c r="AA892" s="726"/>
      <c r="AB892" s="726"/>
      <c r="AC892" s="721"/>
      <c r="AD892" s="586"/>
      <c r="AE892" s="586"/>
      <c r="AF892" s="170"/>
      <c r="AG892" s="170"/>
      <c r="AH892" s="170"/>
      <c r="AI892" s="170"/>
      <c r="AJ892" s="170"/>
      <c r="AK892" s="170"/>
      <c r="AL892" s="170"/>
      <c r="AM892" s="170"/>
      <c r="AN892" s="170"/>
      <c r="AO892" s="170"/>
      <c r="AP892" s="170"/>
      <c r="AQ892" s="170"/>
      <c r="AR892" s="170"/>
      <c r="AS892" s="170"/>
      <c r="AT892" s="721"/>
      <c r="AU892" s="721"/>
      <c r="AV892" s="721"/>
      <c r="AW892" s="828"/>
      <c r="AX892" s="726"/>
    </row>
    <row r="893" spans="1:50" ht="15" x14ac:dyDescent="0.25">
      <c r="A893" s="721"/>
      <c r="B893" s="904"/>
      <c r="C893" s="721"/>
      <c r="D893" s="721"/>
      <c r="E893" s="721"/>
      <c r="F893" s="721"/>
      <c r="G893" s="721"/>
      <c r="H893" s="721"/>
      <c r="I893" s="721"/>
      <c r="J893" s="721"/>
      <c r="K893" s="721"/>
      <c r="L893" s="721"/>
      <c r="M893" s="930"/>
      <c r="N893" s="930"/>
      <c r="O893" s="930"/>
      <c r="P893" s="931"/>
      <c r="Q893" s="931"/>
      <c r="R893" s="930"/>
      <c r="S893" s="930"/>
      <c r="T893" s="932"/>
      <c r="U893" s="933"/>
      <c r="V893" s="934"/>
      <c r="W893" s="934"/>
      <c r="X893" s="932"/>
      <c r="Y893" s="932"/>
      <c r="Z893" s="932"/>
      <c r="AA893" s="726"/>
      <c r="AB893" s="726"/>
      <c r="AC893" s="721"/>
      <c r="AD893" s="586"/>
      <c r="AE893" s="586"/>
      <c r="AF893" s="170"/>
      <c r="AG893" s="170"/>
      <c r="AH893" s="170"/>
      <c r="AI893" s="170"/>
      <c r="AJ893" s="170"/>
      <c r="AK893" s="170"/>
      <c r="AL893" s="170"/>
      <c r="AM893" s="170"/>
      <c r="AN893" s="170"/>
      <c r="AO893" s="170"/>
      <c r="AP893" s="170"/>
      <c r="AQ893" s="170"/>
      <c r="AR893" s="170"/>
      <c r="AS893" s="170"/>
      <c r="AT893" s="721"/>
      <c r="AU893" s="721"/>
      <c r="AV893" s="721"/>
      <c r="AW893" s="828"/>
      <c r="AX893" s="726"/>
    </row>
    <row r="894" spans="1:50" ht="15" x14ac:dyDescent="0.25">
      <c r="A894" s="721"/>
      <c r="B894" s="904"/>
      <c r="C894" s="721"/>
      <c r="D894" s="721"/>
      <c r="E894" s="721"/>
      <c r="F894" s="721"/>
      <c r="G894" s="721"/>
      <c r="H894" s="721"/>
      <c r="I894" s="721"/>
      <c r="J894" s="721"/>
      <c r="K894" s="721"/>
      <c r="L894" s="721"/>
      <c r="M894" s="930"/>
      <c r="N894" s="930"/>
      <c r="O894" s="930"/>
      <c r="P894" s="931"/>
      <c r="Q894" s="931"/>
      <c r="R894" s="930"/>
      <c r="S894" s="930"/>
      <c r="T894" s="932"/>
      <c r="U894" s="933"/>
      <c r="V894" s="934"/>
      <c r="W894" s="934"/>
      <c r="X894" s="932"/>
      <c r="Y894" s="932"/>
      <c r="Z894" s="932"/>
      <c r="AA894" s="726"/>
      <c r="AB894" s="726"/>
      <c r="AC894" s="721"/>
      <c r="AD894" s="586"/>
      <c r="AE894" s="586"/>
      <c r="AF894" s="170"/>
      <c r="AG894" s="170"/>
      <c r="AH894" s="170"/>
      <c r="AI894" s="170"/>
      <c r="AJ894" s="170"/>
      <c r="AK894" s="170"/>
      <c r="AL894" s="170"/>
      <c r="AM894" s="170"/>
      <c r="AN894" s="170"/>
      <c r="AO894" s="170"/>
      <c r="AP894" s="170"/>
      <c r="AQ894" s="170"/>
      <c r="AR894" s="170"/>
      <c r="AS894" s="170"/>
      <c r="AT894" s="721"/>
      <c r="AU894" s="721"/>
      <c r="AV894" s="721"/>
      <c r="AW894" s="828"/>
      <c r="AX894" s="726"/>
    </row>
    <row r="895" spans="1:50" ht="15" x14ac:dyDescent="0.25">
      <c r="A895" s="721"/>
      <c r="B895" s="904"/>
      <c r="C895" s="721"/>
      <c r="D895" s="721"/>
      <c r="E895" s="721"/>
      <c r="F895" s="721"/>
      <c r="G895" s="721"/>
      <c r="H895" s="721"/>
      <c r="I895" s="721"/>
      <c r="J895" s="721"/>
      <c r="K895" s="721"/>
      <c r="L895" s="721"/>
      <c r="M895" s="930"/>
      <c r="N895" s="930"/>
      <c r="O895" s="930"/>
      <c r="P895" s="931"/>
      <c r="Q895" s="931"/>
      <c r="R895" s="930"/>
      <c r="S895" s="930"/>
      <c r="T895" s="932"/>
      <c r="U895" s="933"/>
      <c r="V895" s="934"/>
      <c r="W895" s="934"/>
      <c r="X895" s="932"/>
      <c r="Y895" s="932"/>
      <c r="Z895" s="932"/>
      <c r="AA895" s="726"/>
      <c r="AB895" s="726"/>
      <c r="AC895" s="721"/>
      <c r="AD895" s="586"/>
      <c r="AE895" s="586"/>
      <c r="AF895" s="170"/>
      <c r="AG895" s="170"/>
      <c r="AH895" s="170"/>
      <c r="AI895" s="170"/>
      <c r="AJ895" s="170"/>
      <c r="AK895" s="170"/>
      <c r="AL895" s="170"/>
      <c r="AM895" s="170"/>
      <c r="AN895" s="170"/>
      <c r="AO895" s="170"/>
      <c r="AP895" s="170"/>
      <c r="AQ895" s="170"/>
      <c r="AR895" s="170"/>
      <c r="AS895" s="170"/>
      <c r="AT895" s="721"/>
      <c r="AU895" s="721"/>
      <c r="AV895" s="721"/>
      <c r="AW895" s="828"/>
      <c r="AX895" s="726"/>
    </row>
    <row r="896" spans="1:50" ht="15" x14ac:dyDescent="0.25">
      <c r="A896" s="721"/>
      <c r="B896" s="904"/>
      <c r="C896" s="721"/>
      <c r="D896" s="721"/>
      <c r="E896" s="721"/>
      <c r="F896" s="721"/>
      <c r="G896" s="721"/>
      <c r="H896" s="721"/>
      <c r="I896" s="721"/>
      <c r="J896" s="721"/>
      <c r="K896" s="721"/>
      <c r="L896" s="721"/>
      <c r="M896" s="930"/>
      <c r="N896" s="930"/>
      <c r="O896" s="930"/>
      <c r="P896" s="931"/>
      <c r="Q896" s="931"/>
      <c r="R896" s="930"/>
      <c r="S896" s="930"/>
      <c r="T896" s="932"/>
      <c r="U896" s="933"/>
      <c r="V896" s="934"/>
      <c r="W896" s="934"/>
      <c r="X896" s="932"/>
      <c r="Y896" s="932"/>
      <c r="Z896" s="932"/>
      <c r="AA896" s="726"/>
      <c r="AB896" s="726"/>
      <c r="AC896" s="721"/>
      <c r="AD896" s="586"/>
      <c r="AE896" s="586"/>
      <c r="AF896" s="170"/>
      <c r="AG896" s="170"/>
      <c r="AH896" s="170"/>
      <c r="AI896" s="170"/>
      <c r="AJ896" s="170"/>
      <c r="AK896" s="170"/>
      <c r="AL896" s="170"/>
      <c r="AM896" s="170"/>
      <c r="AN896" s="170"/>
      <c r="AO896" s="170"/>
      <c r="AP896" s="170"/>
      <c r="AQ896" s="170"/>
      <c r="AR896" s="170"/>
      <c r="AS896" s="170"/>
      <c r="AT896" s="721"/>
      <c r="AU896" s="721"/>
      <c r="AV896" s="721"/>
      <c r="AW896" s="828"/>
      <c r="AX896" s="726"/>
    </row>
    <row r="897" spans="1:50" ht="15" x14ac:dyDescent="0.25">
      <c r="A897" s="721"/>
      <c r="B897" s="904"/>
      <c r="C897" s="721"/>
      <c r="D897" s="721"/>
      <c r="E897" s="721"/>
      <c r="F897" s="721"/>
      <c r="G897" s="721"/>
      <c r="H897" s="721"/>
      <c r="I897" s="721"/>
      <c r="J897" s="721"/>
      <c r="K897" s="721"/>
      <c r="L897" s="721"/>
      <c r="M897" s="930"/>
      <c r="N897" s="930"/>
      <c r="O897" s="930"/>
      <c r="P897" s="931"/>
      <c r="Q897" s="931"/>
      <c r="R897" s="930"/>
      <c r="S897" s="930"/>
      <c r="T897" s="932"/>
      <c r="U897" s="933"/>
      <c r="V897" s="934"/>
      <c r="W897" s="934"/>
      <c r="X897" s="932"/>
      <c r="Y897" s="932"/>
      <c r="Z897" s="932"/>
      <c r="AA897" s="726"/>
      <c r="AB897" s="726"/>
      <c r="AC897" s="721"/>
      <c r="AD897" s="586"/>
      <c r="AE897" s="586"/>
      <c r="AF897" s="170"/>
      <c r="AG897" s="170"/>
      <c r="AH897" s="170"/>
      <c r="AI897" s="170"/>
      <c r="AJ897" s="170"/>
      <c r="AK897" s="170"/>
      <c r="AL897" s="170"/>
      <c r="AM897" s="170"/>
      <c r="AN897" s="170"/>
      <c r="AO897" s="170"/>
      <c r="AP897" s="170"/>
      <c r="AQ897" s="170"/>
      <c r="AR897" s="170"/>
      <c r="AS897" s="170"/>
      <c r="AT897" s="721"/>
      <c r="AU897" s="721"/>
      <c r="AV897" s="721"/>
      <c r="AW897" s="828"/>
      <c r="AX897" s="726"/>
    </row>
    <row r="898" spans="1:50" ht="15" x14ac:dyDescent="0.25">
      <c r="A898" s="721"/>
      <c r="B898" s="904"/>
      <c r="C898" s="721"/>
      <c r="D898" s="721"/>
      <c r="E898" s="721"/>
      <c r="F898" s="721"/>
      <c r="G898" s="721"/>
      <c r="H898" s="721"/>
      <c r="I898" s="721"/>
      <c r="J898" s="721"/>
      <c r="K898" s="721"/>
      <c r="L898" s="721"/>
      <c r="M898" s="930"/>
      <c r="N898" s="930"/>
      <c r="O898" s="930"/>
      <c r="P898" s="931"/>
      <c r="Q898" s="931"/>
      <c r="R898" s="930"/>
      <c r="S898" s="930"/>
      <c r="T898" s="932"/>
      <c r="U898" s="933"/>
      <c r="V898" s="934"/>
      <c r="W898" s="934"/>
      <c r="X898" s="932"/>
      <c r="Y898" s="932"/>
      <c r="Z898" s="932"/>
      <c r="AA898" s="726"/>
      <c r="AB898" s="726"/>
      <c r="AC898" s="721"/>
      <c r="AD898" s="586"/>
      <c r="AE898" s="586"/>
      <c r="AF898" s="170"/>
      <c r="AG898" s="170"/>
      <c r="AH898" s="170"/>
      <c r="AI898" s="170"/>
      <c r="AJ898" s="170"/>
      <c r="AK898" s="170"/>
      <c r="AL898" s="170"/>
      <c r="AM898" s="170"/>
      <c r="AN898" s="170"/>
      <c r="AO898" s="170"/>
      <c r="AP898" s="170"/>
      <c r="AQ898" s="170"/>
      <c r="AR898" s="170"/>
      <c r="AS898" s="170"/>
      <c r="AT898" s="721"/>
      <c r="AU898" s="721"/>
      <c r="AV898" s="721"/>
      <c r="AW898" s="828"/>
      <c r="AX898" s="726"/>
    </row>
    <row r="899" spans="1:50" ht="15" x14ac:dyDescent="0.25">
      <c r="A899" s="721"/>
      <c r="B899" s="904"/>
      <c r="C899" s="721"/>
      <c r="D899" s="721"/>
      <c r="E899" s="721"/>
      <c r="F899" s="721"/>
      <c r="G899" s="721"/>
      <c r="H899" s="721"/>
      <c r="I899" s="721"/>
      <c r="J899" s="721"/>
      <c r="K899" s="721"/>
      <c r="L899" s="721"/>
      <c r="M899" s="930"/>
      <c r="N899" s="930"/>
      <c r="O899" s="930"/>
      <c r="P899" s="931"/>
      <c r="Q899" s="931"/>
      <c r="R899" s="930"/>
      <c r="S899" s="930"/>
      <c r="T899" s="932"/>
      <c r="U899" s="933"/>
      <c r="V899" s="934"/>
      <c r="W899" s="934"/>
      <c r="X899" s="932"/>
      <c r="Y899" s="932"/>
      <c r="Z899" s="932"/>
      <c r="AA899" s="726"/>
      <c r="AB899" s="726"/>
      <c r="AC899" s="721"/>
      <c r="AD899" s="586"/>
      <c r="AE899" s="586"/>
      <c r="AF899" s="170"/>
      <c r="AG899" s="170"/>
      <c r="AH899" s="170"/>
      <c r="AI899" s="170"/>
      <c r="AJ899" s="170"/>
      <c r="AK899" s="170"/>
      <c r="AL899" s="170"/>
      <c r="AM899" s="170"/>
      <c r="AN899" s="170"/>
      <c r="AO899" s="170"/>
      <c r="AP899" s="170"/>
      <c r="AQ899" s="170"/>
      <c r="AR899" s="170"/>
      <c r="AS899" s="170"/>
      <c r="AT899" s="721"/>
      <c r="AU899" s="721"/>
      <c r="AV899" s="721"/>
      <c r="AW899" s="828"/>
      <c r="AX899" s="726"/>
    </row>
    <row r="900" spans="1:50" ht="15" x14ac:dyDescent="0.25">
      <c r="A900" s="721"/>
      <c r="B900" s="904"/>
      <c r="C900" s="721"/>
      <c r="D900" s="721"/>
      <c r="E900" s="721"/>
      <c r="F900" s="721"/>
      <c r="G900" s="721"/>
      <c r="H900" s="721"/>
      <c r="I900" s="721"/>
      <c r="J900" s="721"/>
      <c r="K900" s="721"/>
      <c r="L900" s="721"/>
      <c r="M900" s="930"/>
      <c r="N900" s="930"/>
      <c r="O900" s="930"/>
      <c r="P900" s="931"/>
      <c r="Q900" s="931"/>
      <c r="R900" s="930"/>
      <c r="S900" s="930"/>
      <c r="T900" s="932"/>
      <c r="U900" s="933"/>
      <c r="V900" s="934"/>
      <c r="W900" s="934"/>
      <c r="X900" s="932"/>
      <c r="Y900" s="932"/>
      <c r="Z900" s="932"/>
      <c r="AA900" s="726"/>
      <c r="AB900" s="726"/>
      <c r="AC900" s="721"/>
      <c r="AD900" s="586"/>
      <c r="AE900" s="586"/>
      <c r="AF900" s="170"/>
      <c r="AG900" s="170"/>
      <c r="AH900" s="170"/>
      <c r="AI900" s="170"/>
      <c r="AJ900" s="170"/>
      <c r="AK900" s="170"/>
      <c r="AL900" s="170"/>
      <c r="AM900" s="170"/>
      <c r="AN900" s="170"/>
      <c r="AO900" s="170"/>
      <c r="AP900" s="170"/>
      <c r="AQ900" s="170"/>
      <c r="AR900" s="170"/>
      <c r="AS900" s="170"/>
      <c r="AT900" s="721"/>
      <c r="AU900" s="721"/>
      <c r="AV900" s="721"/>
      <c r="AW900" s="828"/>
      <c r="AX900" s="726"/>
    </row>
    <row r="901" spans="1:50" ht="15" x14ac:dyDescent="0.25">
      <c r="A901" s="721"/>
      <c r="B901" s="904"/>
      <c r="C901" s="721"/>
      <c r="D901" s="721"/>
      <c r="E901" s="721"/>
      <c r="F901" s="721"/>
      <c r="G901" s="721"/>
      <c r="H901" s="721"/>
      <c r="I901" s="721"/>
      <c r="J901" s="721"/>
      <c r="K901" s="721"/>
      <c r="L901" s="721"/>
      <c r="M901" s="930"/>
      <c r="N901" s="930"/>
      <c r="O901" s="930"/>
      <c r="P901" s="931"/>
      <c r="Q901" s="931"/>
      <c r="R901" s="930"/>
      <c r="S901" s="930"/>
      <c r="T901" s="932"/>
      <c r="U901" s="933"/>
      <c r="V901" s="934"/>
      <c r="W901" s="934"/>
      <c r="X901" s="932"/>
      <c r="Y901" s="932"/>
      <c r="Z901" s="932"/>
      <c r="AA901" s="726"/>
      <c r="AB901" s="726"/>
      <c r="AC901" s="721"/>
      <c r="AD901" s="586"/>
      <c r="AE901" s="586"/>
      <c r="AF901" s="170"/>
      <c r="AG901" s="170"/>
      <c r="AH901" s="170"/>
      <c r="AI901" s="170"/>
      <c r="AJ901" s="170"/>
      <c r="AK901" s="170"/>
      <c r="AL901" s="170"/>
      <c r="AM901" s="170"/>
      <c r="AN901" s="170"/>
      <c r="AO901" s="170"/>
      <c r="AP901" s="170"/>
      <c r="AQ901" s="170"/>
      <c r="AR901" s="170"/>
      <c r="AS901" s="170"/>
      <c r="AT901" s="721"/>
      <c r="AU901" s="721"/>
      <c r="AV901" s="721"/>
      <c r="AW901" s="828"/>
      <c r="AX901" s="726"/>
    </row>
    <row r="902" spans="1:50" ht="15" x14ac:dyDescent="0.25">
      <c r="A902" s="721"/>
      <c r="B902" s="904"/>
      <c r="C902" s="721"/>
      <c r="D902" s="721"/>
      <c r="E902" s="721"/>
      <c r="F902" s="721"/>
      <c r="G902" s="721"/>
      <c r="H902" s="721"/>
      <c r="I902" s="721"/>
      <c r="J902" s="721"/>
      <c r="K902" s="721"/>
      <c r="L902" s="721"/>
      <c r="M902" s="930"/>
      <c r="N902" s="930"/>
      <c r="O902" s="930"/>
      <c r="P902" s="931"/>
      <c r="Q902" s="931"/>
      <c r="R902" s="930"/>
      <c r="S902" s="930"/>
      <c r="T902" s="932"/>
      <c r="U902" s="933"/>
      <c r="V902" s="934"/>
      <c r="W902" s="934"/>
      <c r="X902" s="932"/>
      <c r="Y902" s="932"/>
      <c r="Z902" s="932"/>
      <c r="AA902" s="726"/>
      <c r="AB902" s="726"/>
      <c r="AC902" s="721"/>
      <c r="AD902" s="586"/>
      <c r="AE902" s="586"/>
      <c r="AF902" s="170"/>
      <c r="AG902" s="170"/>
      <c r="AH902" s="170"/>
      <c r="AI902" s="170"/>
      <c r="AJ902" s="170"/>
      <c r="AK902" s="170"/>
      <c r="AL902" s="170"/>
      <c r="AM902" s="170"/>
      <c r="AN902" s="170"/>
      <c r="AO902" s="170"/>
      <c r="AP902" s="170"/>
      <c r="AQ902" s="170"/>
      <c r="AR902" s="170"/>
      <c r="AS902" s="170"/>
      <c r="AT902" s="721"/>
      <c r="AU902" s="721"/>
      <c r="AV902" s="721"/>
      <c r="AW902" s="828"/>
      <c r="AX902" s="726"/>
    </row>
    <row r="903" spans="1:50" ht="15" x14ac:dyDescent="0.25">
      <c r="A903" s="721"/>
      <c r="B903" s="904"/>
      <c r="C903" s="721"/>
      <c r="D903" s="721"/>
      <c r="E903" s="721"/>
      <c r="F903" s="721"/>
      <c r="G903" s="721"/>
      <c r="H903" s="721"/>
      <c r="I903" s="721"/>
      <c r="J903" s="721"/>
      <c r="K903" s="721"/>
      <c r="L903" s="721"/>
      <c r="M903" s="930"/>
      <c r="N903" s="930"/>
      <c r="O903" s="930"/>
      <c r="P903" s="931"/>
      <c r="Q903" s="931"/>
      <c r="R903" s="930"/>
      <c r="S903" s="930"/>
      <c r="T903" s="932"/>
      <c r="U903" s="933"/>
      <c r="V903" s="934"/>
      <c r="W903" s="934"/>
      <c r="X903" s="932"/>
      <c r="Y903" s="932"/>
      <c r="Z903" s="932"/>
      <c r="AA903" s="726"/>
      <c r="AB903" s="726"/>
      <c r="AC903" s="721"/>
      <c r="AD903" s="586"/>
      <c r="AE903" s="586"/>
      <c r="AF903" s="170"/>
      <c r="AG903" s="170"/>
      <c r="AH903" s="170"/>
      <c r="AI903" s="170"/>
      <c r="AJ903" s="170"/>
      <c r="AK903" s="170"/>
      <c r="AL903" s="170"/>
      <c r="AM903" s="170"/>
      <c r="AN903" s="170"/>
      <c r="AO903" s="170"/>
      <c r="AP903" s="170"/>
      <c r="AQ903" s="170"/>
      <c r="AR903" s="170"/>
      <c r="AS903" s="170"/>
      <c r="AT903" s="721"/>
      <c r="AU903" s="721"/>
      <c r="AV903" s="721"/>
      <c r="AW903" s="828"/>
      <c r="AX903" s="726"/>
    </row>
    <row r="904" spans="1:50" ht="15" x14ac:dyDescent="0.25">
      <c r="A904" s="721"/>
      <c r="B904" s="904"/>
      <c r="C904" s="721"/>
      <c r="D904" s="721"/>
      <c r="E904" s="721"/>
      <c r="F904" s="721"/>
      <c r="G904" s="721"/>
      <c r="H904" s="721"/>
      <c r="I904" s="721"/>
      <c r="J904" s="721"/>
      <c r="K904" s="721"/>
      <c r="L904" s="721"/>
      <c r="M904" s="930"/>
      <c r="N904" s="930"/>
      <c r="O904" s="930"/>
      <c r="P904" s="931"/>
      <c r="Q904" s="931"/>
      <c r="R904" s="930"/>
      <c r="S904" s="930"/>
      <c r="T904" s="932"/>
      <c r="U904" s="933"/>
      <c r="V904" s="934"/>
      <c r="W904" s="934"/>
      <c r="X904" s="932"/>
      <c r="Y904" s="932"/>
      <c r="Z904" s="932"/>
      <c r="AA904" s="726"/>
      <c r="AB904" s="726"/>
      <c r="AC904" s="721"/>
      <c r="AD904" s="586"/>
      <c r="AE904" s="586"/>
      <c r="AF904" s="170"/>
      <c r="AG904" s="170"/>
      <c r="AH904" s="170"/>
      <c r="AI904" s="170"/>
      <c r="AJ904" s="170"/>
      <c r="AK904" s="170"/>
      <c r="AL904" s="170"/>
      <c r="AM904" s="170"/>
      <c r="AN904" s="170"/>
      <c r="AO904" s="170"/>
      <c r="AP904" s="170"/>
      <c r="AQ904" s="170"/>
      <c r="AR904" s="170"/>
      <c r="AS904" s="170"/>
      <c r="AT904" s="721"/>
      <c r="AU904" s="721"/>
      <c r="AV904" s="721"/>
      <c r="AW904" s="828"/>
      <c r="AX904" s="726"/>
    </row>
    <row r="905" spans="1:50" ht="15" x14ac:dyDescent="0.25">
      <c r="A905" s="721"/>
      <c r="B905" s="904"/>
      <c r="C905" s="721"/>
      <c r="D905" s="721"/>
      <c r="E905" s="721"/>
      <c r="F905" s="721"/>
      <c r="G905" s="721"/>
      <c r="H905" s="721"/>
      <c r="I905" s="721"/>
      <c r="J905" s="721"/>
      <c r="K905" s="721"/>
      <c r="L905" s="721"/>
      <c r="M905" s="930"/>
      <c r="N905" s="930"/>
      <c r="O905" s="930"/>
      <c r="P905" s="931"/>
      <c r="Q905" s="931"/>
      <c r="R905" s="930"/>
      <c r="S905" s="930"/>
      <c r="T905" s="932"/>
      <c r="U905" s="933"/>
      <c r="V905" s="934"/>
      <c r="W905" s="934"/>
      <c r="X905" s="932"/>
      <c r="Y905" s="932"/>
      <c r="Z905" s="932"/>
      <c r="AA905" s="726"/>
      <c r="AB905" s="726"/>
      <c r="AC905" s="721"/>
      <c r="AD905" s="586"/>
      <c r="AE905" s="586"/>
      <c r="AF905" s="170"/>
      <c r="AG905" s="170"/>
      <c r="AH905" s="170"/>
      <c r="AI905" s="170"/>
      <c r="AJ905" s="170"/>
      <c r="AK905" s="170"/>
      <c r="AL905" s="170"/>
      <c r="AM905" s="170"/>
      <c r="AN905" s="170"/>
      <c r="AO905" s="170"/>
      <c r="AP905" s="170"/>
      <c r="AQ905" s="170"/>
      <c r="AR905" s="170"/>
      <c r="AS905" s="170"/>
      <c r="AT905" s="721"/>
      <c r="AU905" s="721"/>
      <c r="AV905" s="721"/>
      <c r="AW905" s="828"/>
      <c r="AX905" s="726"/>
    </row>
    <row r="906" spans="1:50" ht="15" x14ac:dyDescent="0.25">
      <c r="A906" s="721"/>
      <c r="B906" s="904"/>
      <c r="C906" s="721"/>
      <c r="D906" s="721"/>
      <c r="E906" s="721"/>
      <c r="F906" s="721"/>
      <c r="G906" s="721"/>
      <c r="H906" s="721"/>
      <c r="I906" s="721"/>
      <c r="J906" s="721"/>
      <c r="K906" s="721"/>
      <c r="L906" s="721"/>
      <c r="M906" s="930"/>
      <c r="N906" s="930"/>
      <c r="O906" s="930"/>
      <c r="P906" s="931"/>
      <c r="Q906" s="931"/>
      <c r="R906" s="930"/>
      <c r="S906" s="930"/>
      <c r="T906" s="932"/>
      <c r="U906" s="933"/>
      <c r="V906" s="934"/>
      <c r="W906" s="934"/>
      <c r="X906" s="932"/>
      <c r="Y906" s="932"/>
      <c r="Z906" s="932"/>
      <c r="AA906" s="726"/>
      <c r="AB906" s="726"/>
      <c r="AC906" s="721"/>
      <c r="AD906" s="586"/>
      <c r="AE906" s="586"/>
      <c r="AF906" s="170"/>
      <c r="AG906" s="170"/>
      <c r="AH906" s="170"/>
      <c r="AI906" s="170"/>
      <c r="AJ906" s="170"/>
      <c r="AK906" s="170"/>
      <c r="AL906" s="170"/>
      <c r="AM906" s="170"/>
      <c r="AN906" s="170"/>
      <c r="AO906" s="170"/>
      <c r="AP906" s="170"/>
      <c r="AQ906" s="170"/>
      <c r="AR906" s="170"/>
      <c r="AS906" s="170"/>
      <c r="AT906" s="721"/>
      <c r="AU906" s="721"/>
      <c r="AV906" s="721"/>
      <c r="AW906" s="828"/>
      <c r="AX906" s="726"/>
    </row>
    <row r="907" spans="1:50" ht="15" x14ac:dyDescent="0.25">
      <c r="A907" s="721"/>
      <c r="B907" s="904"/>
      <c r="C907" s="721"/>
      <c r="D907" s="721"/>
      <c r="E907" s="721"/>
      <c r="F907" s="721"/>
      <c r="G907" s="721"/>
      <c r="H907" s="721"/>
      <c r="I907" s="721"/>
      <c r="J907" s="721"/>
      <c r="K907" s="721"/>
      <c r="L907" s="721"/>
      <c r="M907" s="930"/>
      <c r="N907" s="930"/>
      <c r="O907" s="930"/>
      <c r="P907" s="931"/>
      <c r="Q907" s="931"/>
      <c r="R907" s="930"/>
      <c r="S907" s="930"/>
      <c r="T907" s="932"/>
      <c r="U907" s="933"/>
      <c r="V907" s="934"/>
      <c r="W907" s="934"/>
      <c r="X907" s="932"/>
      <c r="Y907" s="932"/>
      <c r="Z907" s="932"/>
      <c r="AA907" s="726"/>
      <c r="AB907" s="726"/>
      <c r="AC907" s="721"/>
      <c r="AD907" s="586"/>
      <c r="AE907" s="586"/>
      <c r="AF907" s="170"/>
      <c r="AG907" s="170"/>
      <c r="AH907" s="170"/>
      <c r="AI907" s="170"/>
      <c r="AJ907" s="170"/>
      <c r="AK907" s="170"/>
      <c r="AL907" s="170"/>
      <c r="AM907" s="170"/>
      <c r="AN907" s="170"/>
      <c r="AO907" s="170"/>
      <c r="AP907" s="170"/>
      <c r="AQ907" s="170"/>
      <c r="AR907" s="170"/>
      <c r="AS907" s="170"/>
      <c r="AT907" s="721"/>
      <c r="AU907" s="721"/>
      <c r="AV907" s="721"/>
      <c r="AW907" s="828"/>
      <c r="AX907" s="726"/>
    </row>
    <row r="908" spans="1:50" ht="15" x14ac:dyDescent="0.25">
      <c r="A908" s="721"/>
      <c r="B908" s="904"/>
      <c r="C908" s="721"/>
      <c r="D908" s="721"/>
      <c r="E908" s="721"/>
      <c r="F908" s="721"/>
      <c r="G908" s="721"/>
      <c r="H908" s="721"/>
      <c r="I908" s="721"/>
      <c r="J908" s="721"/>
      <c r="K908" s="721"/>
      <c r="L908" s="721"/>
      <c r="M908" s="930"/>
      <c r="N908" s="930"/>
      <c r="O908" s="930"/>
      <c r="P908" s="931"/>
      <c r="Q908" s="931"/>
      <c r="R908" s="930"/>
      <c r="S908" s="930"/>
      <c r="T908" s="932"/>
      <c r="U908" s="933"/>
      <c r="V908" s="934"/>
      <c r="W908" s="934"/>
      <c r="X908" s="932"/>
      <c r="Y908" s="932"/>
      <c r="Z908" s="932"/>
      <c r="AA908" s="726"/>
      <c r="AB908" s="726"/>
      <c r="AC908" s="721"/>
      <c r="AD908" s="586"/>
      <c r="AE908" s="586"/>
      <c r="AF908" s="170"/>
      <c r="AG908" s="170"/>
      <c r="AH908" s="170"/>
      <c r="AI908" s="170"/>
      <c r="AJ908" s="170"/>
      <c r="AK908" s="170"/>
      <c r="AL908" s="170"/>
      <c r="AM908" s="170"/>
      <c r="AN908" s="170"/>
      <c r="AO908" s="170"/>
      <c r="AP908" s="170"/>
      <c r="AQ908" s="170"/>
      <c r="AR908" s="170"/>
      <c r="AS908" s="170"/>
      <c r="AT908" s="721"/>
      <c r="AU908" s="721"/>
      <c r="AV908" s="721"/>
      <c r="AW908" s="828"/>
      <c r="AX908" s="726"/>
    </row>
    <row r="909" spans="1:50" ht="15" x14ac:dyDescent="0.25">
      <c r="A909" s="721"/>
      <c r="B909" s="904"/>
      <c r="C909" s="721"/>
      <c r="D909" s="721"/>
      <c r="E909" s="721"/>
      <c r="F909" s="721"/>
      <c r="G909" s="721"/>
      <c r="H909" s="721"/>
      <c r="I909" s="721"/>
      <c r="J909" s="721"/>
      <c r="K909" s="721"/>
      <c r="L909" s="721"/>
      <c r="M909" s="930"/>
      <c r="N909" s="930"/>
      <c r="O909" s="930"/>
      <c r="P909" s="931"/>
      <c r="Q909" s="931"/>
      <c r="R909" s="930"/>
      <c r="S909" s="930"/>
      <c r="T909" s="932"/>
      <c r="U909" s="933"/>
      <c r="V909" s="934"/>
      <c r="W909" s="934"/>
      <c r="X909" s="932"/>
      <c r="Y909" s="932"/>
      <c r="Z909" s="932"/>
      <c r="AA909" s="726"/>
      <c r="AB909" s="726"/>
      <c r="AC909" s="721"/>
      <c r="AD909" s="586"/>
      <c r="AE909" s="586"/>
      <c r="AF909" s="170"/>
      <c r="AG909" s="170"/>
      <c r="AH909" s="170"/>
      <c r="AI909" s="170"/>
      <c r="AJ909" s="170"/>
      <c r="AK909" s="170"/>
      <c r="AL909" s="170"/>
      <c r="AM909" s="170"/>
      <c r="AN909" s="170"/>
      <c r="AO909" s="170"/>
      <c r="AP909" s="170"/>
      <c r="AQ909" s="170"/>
      <c r="AR909" s="170"/>
      <c r="AS909" s="170"/>
      <c r="AT909" s="721"/>
      <c r="AU909" s="721"/>
      <c r="AV909" s="721"/>
      <c r="AW909" s="828"/>
      <c r="AX909" s="726"/>
    </row>
    <row r="910" spans="1:50" ht="15" x14ac:dyDescent="0.25">
      <c r="A910" s="721"/>
      <c r="B910" s="904"/>
      <c r="C910" s="721"/>
      <c r="D910" s="721"/>
      <c r="E910" s="721"/>
      <c r="F910" s="721"/>
      <c r="G910" s="721"/>
      <c r="H910" s="721"/>
      <c r="I910" s="721"/>
      <c r="J910" s="721"/>
      <c r="K910" s="721"/>
      <c r="L910" s="721"/>
      <c r="M910" s="930"/>
      <c r="N910" s="930"/>
      <c r="O910" s="930"/>
      <c r="P910" s="931"/>
      <c r="Q910" s="931"/>
      <c r="R910" s="930"/>
      <c r="S910" s="930"/>
      <c r="T910" s="932"/>
      <c r="U910" s="933"/>
      <c r="V910" s="934"/>
      <c r="W910" s="934"/>
      <c r="X910" s="932"/>
      <c r="Y910" s="932"/>
      <c r="Z910" s="932"/>
      <c r="AA910" s="726"/>
      <c r="AB910" s="726"/>
      <c r="AC910" s="721"/>
      <c r="AD910" s="586"/>
      <c r="AE910" s="586"/>
      <c r="AF910" s="170"/>
      <c r="AG910" s="170"/>
      <c r="AH910" s="170"/>
      <c r="AI910" s="170"/>
      <c r="AJ910" s="170"/>
      <c r="AK910" s="170"/>
      <c r="AL910" s="170"/>
      <c r="AM910" s="170"/>
      <c r="AN910" s="170"/>
      <c r="AO910" s="170"/>
      <c r="AP910" s="170"/>
      <c r="AQ910" s="170"/>
      <c r="AR910" s="170"/>
      <c r="AS910" s="170"/>
      <c r="AT910" s="721"/>
      <c r="AU910" s="721"/>
      <c r="AV910" s="721"/>
      <c r="AW910" s="828"/>
      <c r="AX910" s="726"/>
    </row>
    <row r="911" spans="1:50" ht="15" x14ac:dyDescent="0.25">
      <c r="A911" s="721"/>
      <c r="B911" s="904"/>
      <c r="C911" s="721"/>
      <c r="D911" s="721"/>
      <c r="E911" s="721"/>
      <c r="F911" s="721"/>
      <c r="G911" s="721"/>
      <c r="H911" s="721"/>
      <c r="I911" s="721"/>
      <c r="J911" s="721"/>
      <c r="K911" s="721"/>
      <c r="L911" s="721"/>
      <c r="M911" s="930"/>
      <c r="N911" s="930"/>
      <c r="O911" s="930"/>
      <c r="P911" s="931"/>
      <c r="Q911" s="931"/>
      <c r="R911" s="930"/>
      <c r="S911" s="930"/>
      <c r="T911" s="932"/>
      <c r="U911" s="933"/>
      <c r="V911" s="934"/>
      <c r="W911" s="934"/>
      <c r="X911" s="932"/>
      <c r="Y911" s="932"/>
      <c r="Z911" s="932"/>
      <c r="AA911" s="726"/>
      <c r="AB911" s="726"/>
      <c r="AC911" s="721"/>
      <c r="AD911" s="586"/>
      <c r="AE911" s="586"/>
      <c r="AF911" s="170"/>
      <c r="AG911" s="170"/>
      <c r="AH911" s="170"/>
      <c r="AI911" s="170"/>
      <c r="AJ911" s="170"/>
      <c r="AK911" s="170"/>
      <c r="AL911" s="170"/>
      <c r="AM911" s="170"/>
      <c r="AN911" s="170"/>
      <c r="AO911" s="170"/>
      <c r="AP911" s="170"/>
      <c r="AQ911" s="170"/>
      <c r="AR911" s="170"/>
      <c r="AS911" s="170"/>
      <c r="AT911" s="721"/>
      <c r="AU911" s="721"/>
      <c r="AV911" s="721"/>
      <c r="AW911" s="828"/>
      <c r="AX911" s="726"/>
    </row>
    <row r="912" spans="1:50" ht="15" x14ac:dyDescent="0.25">
      <c r="A912" s="721"/>
      <c r="B912" s="904"/>
      <c r="C912" s="721"/>
      <c r="D912" s="721"/>
      <c r="E912" s="721"/>
      <c r="F912" s="721"/>
      <c r="G912" s="721"/>
      <c r="H912" s="721"/>
      <c r="I912" s="721"/>
      <c r="J912" s="721"/>
      <c r="K912" s="721"/>
      <c r="L912" s="721"/>
      <c r="M912" s="930"/>
      <c r="N912" s="930"/>
      <c r="O912" s="930"/>
      <c r="P912" s="931"/>
      <c r="Q912" s="931"/>
      <c r="R912" s="930"/>
      <c r="S912" s="930"/>
      <c r="T912" s="932"/>
      <c r="U912" s="933"/>
      <c r="V912" s="934"/>
      <c r="W912" s="934"/>
      <c r="X912" s="932"/>
      <c r="Y912" s="932"/>
      <c r="Z912" s="932"/>
      <c r="AA912" s="726"/>
      <c r="AB912" s="726"/>
      <c r="AC912" s="721"/>
      <c r="AD912" s="586"/>
      <c r="AE912" s="586"/>
      <c r="AF912" s="170"/>
      <c r="AG912" s="170"/>
      <c r="AH912" s="170"/>
      <c r="AI912" s="170"/>
      <c r="AJ912" s="170"/>
      <c r="AK912" s="170"/>
      <c r="AL912" s="170"/>
      <c r="AM912" s="170"/>
      <c r="AN912" s="170"/>
      <c r="AO912" s="170"/>
      <c r="AP912" s="170"/>
      <c r="AQ912" s="170"/>
      <c r="AR912" s="170"/>
      <c r="AS912" s="170"/>
      <c r="AT912" s="721"/>
      <c r="AU912" s="721"/>
      <c r="AV912" s="721"/>
      <c r="AW912" s="828"/>
      <c r="AX912" s="726"/>
    </row>
    <row r="913" spans="1:50" ht="15" x14ac:dyDescent="0.25">
      <c r="A913" s="721"/>
      <c r="B913" s="904"/>
      <c r="C913" s="721"/>
      <c r="D913" s="721"/>
      <c r="E913" s="721"/>
      <c r="F913" s="721"/>
      <c r="G913" s="721"/>
      <c r="H913" s="721"/>
      <c r="I913" s="721"/>
      <c r="J913" s="721"/>
      <c r="K913" s="721"/>
      <c r="L913" s="721"/>
      <c r="M913" s="930"/>
      <c r="N913" s="930"/>
      <c r="O913" s="930"/>
      <c r="P913" s="931"/>
      <c r="Q913" s="931"/>
      <c r="R913" s="930"/>
      <c r="S913" s="930"/>
      <c r="T913" s="932"/>
      <c r="U913" s="933"/>
      <c r="V913" s="934"/>
      <c r="W913" s="934"/>
      <c r="X913" s="932"/>
      <c r="Y913" s="932"/>
      <c r="Z913" s="932"/>
      <c r="AA913" s="726"/>
      <c r="AB913" s="726"/>
      <c r="AC913" s="721"/>
      <c r="AD913" s="586"/>
      <c r="AE913" s="586"/>
      <c r="AF913" s="170"/>
      <c r="AG913" s="170"/>
      <c r="AH913" s="170"/>
      <c r="AI913" s="170"/>
      <c r="AJ913" s="170"/>
      <c r="AK913" s="170"/>
      <c r="AL913" s="170"/>
      <c r="AM913" s="170"/>
      <c r="AN913" s="170"/>
      <c r="AO913" s="170"/>
      <c r="AP913" s="170"/>
      <c r="AQ913" s="170"/>
      <c r="AR913" s="170"/>
      <c r="AS913" s="170"/>
      <c r="AT913" s="721"/>
      <c r="AU913" s="721"/>
      <c r="AV913" s="721"/>
      <c r="AW913" s="828"/>
      <c r="AX913" s="726"/>
    </row>
    <row r="914" spans="1:50" ht="15" x14ac:dyDescent="0.25">
      <c r="A914" s="721"/>
      <c r="B914" s="904"/>
      <c r="C914" s="721"/>
      <c r="D914" s="721"/>
      <c r="E914" s="721"/>
      <c r="F914" s="721"/>
      <c r="G914" s="721"/>
      <c r="H914" s="721"/>
      <c r="I914" s="721"/>
      <c r="J914" s="721"/>
      <c r="K914" s="721"/>
      <c r="L914" s="721"/>
      <c r="M914" s="930"/>
      <c r="N914" s="930"/>
      <c r="O914" s="930"/>
      <c r="P914" s="931"/>
      <c r="Q914" s="931"/>
      <c r="R914" s="930"/>
      <c r="S914" s="930"/>
      <c r="T914" s="932"/>
      <c r="U914" s="933"/>
      <c r="V914" s="934"/>
      <c r="W914" s="934"/>
      <c r="X914" s="932"/>
      <c r="Y914" s="932"/>
      <c r="Z914" s="932"/>
      <c r="AA914" s="726"/>
      <c r="AB914" s="726"/>
      <c r="AC914" s="721"/>
      <c r="AD914" s="586"/>
      <c r="AE914" s="586"/>
      <c r="AF914" s="170"/>
      <c r="AG914" s="170"/>
      <c r="AH914" s="170"/>
      <c r="AI914" s="170"/>
      <c r="AJ914" s="170"/>
      <c r="AK914" s="170"/>
      <c r="AL914" s="170"/>
      <c r="AM914" s="170"/>
      <c r="AN914" s="170"/>
      <c r="AO914" s="170"/>
      <c r="AP914" s="170"/>
      <c r="AQ914" s="170"/>
      <c r="AR914" s="170"/>
      <c r="AS914" s="170"/>
      <c r="AT914" s="721"/>
      <c r="AU914" s="721"/>
      <c r="AV914" s="721"/>
      <c r="AW914" s="828"/>
      <c r="AX914" s="726"/>
    </row>
    <row r="915" spans="1:50" ht="15" x14ac:dyDescent="0.25">
      <c r="A915" s="721"/>
      <c r="B915" s="904"/>
      <c r="C915" s="721"/>
      <c r="D915" s="721"/>
      <c r="E915" s="721"/>
      <c r="F915" s="721"/>
      <c r="G915" s="721"/>
      <c r="H915" s="721"/>
      <c r="I915" s="721"/>
      <c r="J915" s="721"/>
      <c r="K915" s="721"/>
      <c r="L915" s="721"/>
      <c r="M915" s="930"/>
      <c r="N915" s="930"/>
      <c r="O915" s="930"/>
      <c r="P915" s="931"/>
      <c r="Q915" s="931"/>
      <c r="R915" s="930"/>
      <c r="S915" s="930"/>
      <c r="T915" s="932"/>
      <c r="U915" s="933"/>
      <c r="V915" s="934"/>
      <c r="W915" s="934"/>
      <c r="X915" s="932"/>
      <c r="Y915" s="932"/>
      <c r="Z915" s="932"/>
      <c r="AA915" s="726"/>
      <c r="AB915" s="726"/>
      <c r="AC915" s="721"/>
      <c r="AD915" s="586"/>
      <c r="AE915" s="586"/>
      <c r="AF915" s="170"/>
      <c r="AG915" s="170"/>
      <c r="AH915" s="170"/>
      <c r="AI915" s="170"/>
      <c r="AJ915" s="170"/>
      <c r="AK915" s="170"/>
      <c r="AL915" s="170"/>
      <c r="AM915" s="170"/>
      <c r="AN915" s="170"/>
      <c r="AO915" s="170"/>
      <c r="AP915" s="170"/>
      <c r="AQ915" s="170"/>
      <c r="AR915" s="170"/>
      <c r="AS915" s="170"/>
      <c r="AT915" s="721"/>
      <c r="AU915" s="721"/>
      <c r="AV915" s="721"/>
      <c r="AW915" s="828"/>
      <c r="AX915" s="726"/>
    </row>
    <row r="916" spans="1:50" ht="15" x14ac:dyDescent="0.25">
      <c r="A916" s="721"/>
      <c r="B916" s="904"/>
      <c r="C916" s="721"/>
      <c r="D916" s="721"/>
      <c r="E916" s="721"/>
      <c r="F916" s="721"/>
      <c r="G916" s="721"/>
      <c r="H916" s="721"/>
      <c r="I916" s="721"/>
      <c r="J916" s="721"/>
      <c r="K916" s="721"/>
      <c r="L916" s="721"/>
      <c r="M916" s="930"/>
      <c r="N916" s="930"/>
      <c r="O916" s="930"/>
      <c r="P916" s="931"/>
      <c r="Q916" s="931"/>
      <c r="R916" s="930"/>
      <c r="S916" s="930"/>
      <c r="T916" s="932"/>
      <c r="U916" s="933"/>
      <c r="V916" s="934"/>
      <c r="W916" s="934"/>
      <c r="X916" s="932"/>
      <c r="Y916" s="932"/>
      <c r="Z916" s="932"/>
      <c r="AA916" s="726"/>
      <c r="AB916" s="726"/>
      <c r="AC916" s="721"/>
      <c r="AD916" s="586"/>
      <c r="AE916" s="586"/>
      <c r="AF916" s="170"/>
      <c r="AG916" s="170"/>
      <c r="AH916" s="170"/>
      <c r="AI916" s="170"/>
      <c r="AJ916" s="170"/>
      <c r="AK916" s="170"/>
      <c r="AL916" s="170"/>
      <c r="AM916" s="170"/>
      <c r="AN916" s="170"/>
      <c r="AO916" s="170"/>
      <c r="AP916" s="170"/>
      <c r="AQ916" s="170"/>
      <c r="AR916" s="170"/>
      <c r="AS916" s="170"/>
      <c r="AT916" s="721"/>
      <c r="AU916" s="721"/>
      <c r="AV916" s="721"/>
      <c r="AW916" s="828"/>
      <c r="AX916" s="726"/>
    </row>
    <row r="917" spans="1:50" ht="15" x14ac:dyDescent="0.25">
      <c r="A917" s="721"/>
      <c r="B917" s="904"/>
      <c r="C917" s="721"/>
      <c r="D917" s="721"/>
      <c r="E917" s="721"/>
      <c r="F917" s="721"/>
      <c r="G917" s="721"/>
      <c r="H917" s="721"/>
      <c r="I917" s="721"/>
      <c r="J917" s="721"/>
      <c r="K917" s="721"/>
      <c r="L917" s="721"/>
      <c r="M917" s="930"/>
      <c r="N917" s="930"/>
      <c r="O917" s="930"/>
      <c r="P917" s="931"/>
      <c r="Q917" s="931"/>
      <c r="R917" s="930"/>
      <c r="S917" s="930"/>
      <c r="T917" s="932"/>
      <c r="U917" s="933"/>
      <c r="V917" s="934"/>
      <c r="W917" s="934"/>
      <c r="X917" s="932"/>
      <c r="Y917" s="932"/>
      <c r="Z917" s="932"/>
      <c r="AA917" s="726"/>
      <c r="AB917" s="726"/>
      <c r="AC917" s="721"/>
      <c r="AD917" s="586"/>
      <c r="AE917" s="586"/>
      <c r="AF917" s="170"/>
      <c r="AG917" s="170"/>
      <c r="AH917" s="170"/>
      <c r="AI917" s="170"/>
      <c r="AJ917" s="170"/>
      <c r="AK917" s="170"/>
      <c r="AL917" s="170"/>
      <c r="AM917" s="170"/>
      <c r="AN917" s="170"/>
      <c r="AO917" s="170"/>
      <c r="AP917" s="170"/>
      <c r="AQ917" s="170"/>
      <c r="AR917" s="170"/>
      <c r="AS917" s="170"/>
      <c r="AT917" s="721"/>
      <c r="AU917" s="721"/>
      <c r="AV917" s="721"/>
      <c r="AW917" s="828"/>
      <c r="AX917" s="726"/>
    </row>
    <row r="918" spans="1:50" ht="15" x14ac:dyDescent="0.25">
      <c r="A918" s="721"/>
      <c r="B918" s="904"/>
      <c r="C918" s="721"/>
      <c r="D918" s="721"/>
      <c r="E918" s="721"/>
      <c r="F918" s="721"/>
      <c r="G918" s="721"/>
      <c r="H918" s="721"/>
      <c r="I918" s="721"/>
      <c r="J918" s="721"/>
      <c r="K918" s="721"/>
      <c r="L918" s="721"/>
      <c r="M918" s="930"/>
      <c r="N918" s="930"/>
      <c r="O918" s="930"/>
      <c r="P918" s="931"/>
      <c r="Q918" s="931"/>
      <c r="R918" s="930"/>
      <c r="S918" s="930"/>
      <c r="T918" s="932"/>
      <c r="U918" s="933"/>
      <c r="V918" s="934"/>
      <c r="W918" s="934"/>
      <c r="X918" s="932"/>
      <c r="Y918" s="932"/>
      <c r="Z918" s="932"/>
      <c r="AA918" s="726"/>
      <c r="AB918" s="726"/>
      <c r="AC918" s="721"/>
      <c r="AD918" s="586"/>
      <c r="AE918" s="586"/>
      <c r="AF918" s="170"/>
      <c r="AG918" s="170"/>
      <c r="AH918" s="170"/>
      <c r="AI918" s="170"/>
      <c r="AJ918" s="170"/>
      <c r="AK918" s="170"/>
      <c r="AL918" s="170"/>
      <c r="AM918" s="170"/>
      <c r="AN918" s="170"/>
      <c r="AO918" s="170"/>
      <c r="AP918" s="170"/>
      <c r="AQ918" s="170"/>
      <c r="AR918" s="170"/>
      <c r="AS918" s="170"/>
      <c r="AT918" s="721"/>
      <c r="AU918" s="721"/>
      <c r="AV918" s="721"/>
      <c r="AW918" s="828"/>
      <c r="AX918" s="726"/>
    </row>
    <row r="919" spans="1:50" ht="15" x14ac:dyDescent="0.25">
      <c r="A919" s="721"/>
      <c r="B919" s="904"/>
      <c r="C919" s="721"/>
      <c r="D919" s="721"/>
      <c r="E919" s="721"/>
      <c r="F919" s="721"/>
      <c r="G919" s="721"/>
      <c r="H919" s="721"/>
      <c r="I919" s="721"/>
      <c r="J919" s="721"/>
      <c r="K919" s="721"/>
      <c r="L919" s="721"/>
      <c r="M919" s="930"/>
      <c r="N919" s="930"/>
      <c r="O919" s="930"/>
      <c r="P919" s="931"/>
      <c r="Q919" s="931"/>
      <c r="R919" s="930"/>
      <c r="S919" s="930"/>
      <c r="T919" s="932"/>
      <c r="U919" s="933"/>
      <c r="V919" s="934"/>
      <c r="W919" s="934"/>
      <c r="X919" s="932"/>
      <c r="Y919" s="932"/>
      <c r="Z919" s="932"/>
      <c r="AA919" s="726"/>
      <c r="AB919" s="726"/>
      <c r="AC919" s="721"/>
      <c r="AD919" s="586"/>
      <c r="AE919" s="586"/>
      <c r="AF919" s="170"/>
      <c r="AG919" s="170"/>
      <c r="AH919" s="170"/>
      <c r="AI919" s="170"/>
      <c r="AJ919" s="170"/>
      <c r="AK919" s="170"/>
      <c r="AL919" s="170"/>
      <c r="AM919" s="170"/>
      <c r="AN919" s="170"/>
      <c r="AO919" s="170"/>
      <c r="AP919" s="170"/>
      <c r="AQ919" s="170"/>
      <c r="AR919" s="170"/>
      <c r="AS919" s="170"/>
      <c r="AT919" s="721"/>
      <c r="AU919" s="721"/>
      <c r="AV919" s="721"/>
      <c r="AW919" s="828"/>
      <c r="AX919" s="726"/>
    </row>
    <row r="920" spans="1:50" ht="15" x14ac:dyDescent="0.25">
      <c r="A920" s="721"/>
      <c r="B920" s="904"/>
      <c r="C920" s="721"/>
      <c r="D920" s="721"/>
      <c r="E920" s="721"/>
      <c r="F920" s="721"/>
      <c r="G920" s="721"/>
      <c r="H920" s="721"/>
      <c r="I920" s="721"/>
      <c r="J920" s="721"/>
      <c r="K920" s="721"/>
      <c r="L920" s="721"/>
      <c r="M920" s="930"/>
      <c r="N920" s="930"/>
      <c r="O920" s="930"/>
      <c r="P920" s="931"/>
      <c r="Q920" s="931"/>
      <c r="R920" s="930"/>
      <c r="S920" s="930"/>
      <c r="T920" s="932"/>
      <c r="U920" s="933"/>
      <c r="V920" s="934"/>
      <c r="W920" s="934"/>
      <c r="X920" s="932"/>
      <c r="Y920" s="932"/>
      <c r="Z920" s="932"/>
      <c r="AA920" s="726"/>
      <c r="AB920" s="726"/>
      <c r="AC920" s="721"/>
      <c r="AD920" s="586"/>
      <c r="AE920" s="586"/>
      <c r="AF920" s="170"/>
      <c r="AG920" s="170"/>
      <c r="AH920" s="170"/>
      <c r="AI920" s="170"/>
      <c r="AJ920" s="170"/>
      <c r="AK920" s="170"/>
      <c r="AL920" s="170"/>
      <c r="AM920" s="170"/>
      <c r="AN920" s="170"/>
      <c r="AO920" s="170"/>
      <c r="AP920" s="170"/>
      <c r="AQ920" s="170"/>
      <c r="AR920" s="170"/>
      <c r="AS920" s="170"/>
      <c r="AT920" s="721"/>
      <c r="AU920" s="721"/>
      <c r="AV920" s="721"/>
      <c r="AW920" s="828"/>
      <c r="AX920" s="726"/>
    </row>
    <row r="921" spans="1:50" ht="15" x14ac:dyDescent="0.25">
      <c r="A921" s="721"/>
      <c r="B921" s="904"/>
      <c r="C921" s="721"/>
      <c r="D921" s="721"/>
      <c r="E921" s="721"/>
      <c r="F921" s="721"/>
      <c r="G921" s="721"/>
      <c r="H921" s="721"/>
      <c r="I921" s="721"/>
      <c r="J921" s="721"/>
      <c r="K921" s="721"/>
      <c r="L921" s="721"/>
      <c r="M921" s="930"/>
      <c r="N921" s="930"/>
      <c r="O921" s="930"/>
      <c r="P921" s="931"/>
      <c r="Q921" s="931"/>
      <c r="R921" s="930"/>
      <c r="S921" s="930"/>
      <c r="T921" s="932"/>
      <c r="U921" s="933"/>
      <c r="V921" s="934"/>
      <c r="W921" s="934"/>
      <c r="X921" s="932"/>
      <c r="Y921" s="932"/>
      <c r="Z921" s="932"/>
      <c r="AA921" s="726"/>
      <c r="AB921" s="726"/>
      <c r="AC921" s="721"/>
      <c r="AD921" s="586"/>
      <c r="AE921" s="586"/>
      <c r="AF921" s="170"/>
      <c r="AG921" s="170"/>
      <c r="AH921" s="170"/>
      <c r="AI921" s="170"/>
      <c r="AJ921" s="170"/>
      <c r="AK921" s="170"/>
      <c r="AL921" s="170"/>
      <c r="AM921" s="170"/>
      <c r="AN921" s="170"/>
      <c r="AO921" s="170"/>
      <c r="AP921" s="170"/>
      <c r="AQ921" s="170"/>
      <c r="AR921" s="170"/>
      <c r="AS921" s="170"/>
      <c r="AT921" s="721"/>
      <c r="AU921" s="721"/>
      <c r="AV921" s="721"/>
      <c r="AW921" s="828"/>
      <c r="AX921" s="726"/>
    </row>
    <row r="922" spans="1:50" ht="15" x14ac:dyDescent="0.25">
      <c r="A922" s="721"/>
      <c r="B922" s="904"/>
      <c r="C922" s="721"/>
      <c r="D922" s="721"/>
      <c r="E922" s="721"/>
      <c r="F922" s="721"/>
      <c r="G922" s="721"/>
      <c r="H922" s="721"/>
      <c r="I922" s="721"/>
      <c r="J922" s="721"/>
      <c r="K922" s="721"/>
      <c r="L922" s="721"/>
      <c r="M922" s="930"/>
      <c r="N922" s="930"/>
      <c r="O922" s="930"/>
      <c r="P922" s="931"/>
      <c r="Q922" s="931"/>
      <c r="R922" s="930"/>
      <c r="S922" s="930"/>
      <c r="T922" s="932"/>
      <c r="U922" s="933"/>
      <c r="V922" s="934"/>
      <c r="W922" s="934"/>
      <c r="X922" s="932"/>
      <c r="Y922" s="932"/>
      <c r="Z922" s="932"/>
      <c r="AA922" s="726"/>
      <c r="AB922" s="726"/>
      <c r="AC922" s="721"/>
      <c r="AD922" s="586"/>
      <c r="AE922" s="586"/>
      <c r="AF922" s="170"/>
      <c r="AG922" s="170"/>
      <c r="AH922" s="170"/>
      <c r="AI922" s="170"/>
      <c r="AJ922" s="170"/>
      <c r="AK922" s="170"/>
      <c r="AL922" s="170"/>
      <c r="AM922" s="170"/>
      <c r="AN922" s="170"/>
      <c r="AO922" s="170"/>
      <c r="AP922" s="170"/>
      <c r="AQ922" s="170"/>
      <c r="AR922" s="170"/>
      <c r="AS922" s="170"/>
      <c r="AT922" s="721"/>
      <c r="AU922" s="721"/>
      <c r="AV922" s="721"/>
      <c r="AW922" s="828"/>
      <c r="AX922" s="726"/>
    </row>
    <row r="923" spans="1:50" ht="15" x14ac:dyDescent="0.25">
      <c r="A923" s="721"/>
      <c r="B923" s="904"/>
      <c r="C923" s="721"/>
      <c r="D923" s="721"/>
      <c r="E923" s="721"/>
      <c r="F923" s="721"/>
      <c r="G923" s="721"/>
      <c r="H923" s="721"/>
      <c r="I923" s="721"/>
      <c r="J923" s="721"/>
      <c r="K923" s="721"/>
      <c r="L923" s="721"/>
      <c r="M923" s="930"/>
      <c r="N923" s="930"/>
      <c r="O923" s="930"/>
      <c r="P923" s="931"/>
      <c r="Q923" s="931"/>
      <c r="R923" s="930"/>
      <c r="S923" s="930"/>
      <c r="T923" s="932"/>
      <c r="U923" s="933"/>
      <c r="V923" s="934"/>
      <c r="W923" s="934"/>
      <c r="X923" s="932"/>
      <c r="Y923" s="932"/>
      <c r="Z923" s="932"/>
      <c r="AA923" s="726"/>
      <c r="AB923" s="726"/>
      <c r="AC923" s="721"/>
      <c r="AD923" s="586"/>
      <c r="AE923" s="586"/>
      <c r="AF923" s="170"/>
      <c r="AG923" s="170"/>
      <c r="AH923" s="170"/>
      <c r="AI923" s="170"/>
      <c r="AJ923" s="170"/>
      <c r="AK923" s="170"/>
      <c r="AL923" s="170"/>
      <c r="AM923" s="170"/>
      <c r="AN923" s="170"/>
      <c r="AO923" s="170"/>
      <c r="AP923" s="170"/>
      <c r="AQ923" s="170"/>
      <c r="AR923" s="170"/>
      <c r="AS923" s="170"/>
      <c r="AT923" s="721"/>
      <c r="AU923" s="721"/>
      <c r="AV923" s="721"/>
      <c r="AW923" s="828"/>
      <c r="AX923" s="726"/>
    </row>
    <row r="924" spans="1:50" ht="15" x14ac:dyDescent="0.25">
      <c r="A924" s="721"/>
      <c r="B924" s="904"/>
      <c r="C924" s="721"/>
      <c r="D924" s="721"/>
      <c r="E924" s="721"/>
      <c r="F924" s="721"/>
      <c r="G924" s="721"/>
      <c r="H924" s="721"/>
      <c r="I924" s="721"/>
      <c r="J924" s="721"/>
      <c r="K924" s="721"/>
      <c r="L924" s="721"/>
      <c r="M924" s="930"/>
      <c r="N924" s="930"/>
      <c r="O924" s="930"/>
      <c r="P924" s="931"/>
      <c r="Q924" s="931"/>
      <c r="R924" s="930"/>
      <c r="S924" s="930"/>
      <c r="T924" s="932"/>
      <c r="U924" s="933"/>
      <c r="V924" s="934"/>
      <c r="W924" s="934"/>
      <c r="X924" s="932"/>
      <c r="Y924" s="932"/>
      <c r="Z924" s="932"/>
      <c r="AA924" s="726"/>
      <c r="AB924" s="726"/>
      <c r="AC924" s="721"/>
      <c r="AD924" s="586"/>
      <c r="AE924" s="586"/>
      <c r="AF924" s="170"/>
      <c r="AG924" s="170"/>
      <c r="AH924" s="170"/>
      <c r="AI924" s="170"/>
      <c r="AJ924" s="170"/>
      <c r="AK924" s="170"/>
      <c r="AL924" s="170"/>
      <c r="AM924" s="170"/>
      <c r="AN924" s="170"/>
      <c r="AO924" s="170"/>
      <c r="AP924" s="170"/>
      <c r="AQ924" s="170"/>
      <c r="AR924" s="170"/>
      <c r="AS924" s="170"/>
      <c r="AT924" s="721"/>
      <c r="AU924" s="721"/>
      <c r="AV924" s="721"/>
      <c r="AW924" s="828"/>
      <c r="AX924" s="726"/>
    </row>
    <row r="925" spans="1:50" ht="15" x14ac:dyDescent="0.25">
      <c r="A925" s="721"/>
      <c r="B925" s="904"/>
      <c r="C925" s="721"/>
      <c r="D925" s="721"/>
      <c r="E925" s="721"/>
      <c r="F925" s="721"/>
      <c r="G925" s="721"/>
      <c r="H925" s="721"/>
      <c r="I925" s="721"/>
      <c r="J925" s="721"/>
      <c r="K925" s="721"/>
      <c r="L925" s="721"/>
      <c r="M925" s="930"/>
      <c r="N925" s="930"/>
      <c r="O925" s="930"/>
      <c r="P925" s="931"/>
      <c r="Q925" s="931"/>
      <c r="R925" s="930"/>
      <c r="S925" s="930"/>
      <c r="T925" s="932"/>
      <c r="U925" s="933"/>
      <c r="V925" s="934"/>
      <c r="W925" s="934"/>
      <c r="X925" s="932"/>
      <c r="Y925" s="932"/>
      <c r="Z925" s="932"/>
      <c r="AA925" s="726"/>
      <c r="AB925" s="726"/>
      <c r="AC925" s="721"/>
      <c r="AD925" s="586"/>
      <c r="AE925" s="586"/>
      <c r="AF925" s="170"/>
      <c r="AG925" s="170"/>
      <c r="AH925" s="170"/>
      <c r="AI925" s="170"/>
      <c r="AJ925" s="170"/>
      <c r="AK925" s="170"/>
      <c r="AL925" s="170"/>
      <c r="AM925" s="170"/>
      <c r="AN925" s="170"/>
      <c r="AO925" s="170"/>
      <c r="AP925" s="170"/>
      <c r="AQ925" s="170"/>
      <c r="AR925" s="170"/>
      <c r="AS925" s="170"/>
      <c r="AT925" s="721"/>
      <c r="AU925" s="721"/>
      <c r="AV925" s="721"/>
      <c r="AW925" s="828"/>
      <c r="AX925" s="726"/>
    </row>
    <row r="926" spans="1:50" ht="15" x14ac:dyDescent="0.25">
      <c r="A926" s="721"/>
      <c r="B926" s="904"/>
      <c r="C926" s="721"/>
      <c r="D926" s="721"/>
      <c r="E926" s="721"/>
      <c r="F926" s="721"/>
      <c r="G926" s="721"/>
      <c r="H926" s="721"/>
      <c r="I926" s="721"/>
      <c r="J926" s="721"/>
      <c r="K926" s="721"/>
      <c r="L926" s="721"/>
      <c r="M926" s="930"/>
      <c r="N926" s="930"/>
      <c r="O926" s="930"/>
      <c r="P926" s="931"/>
      <c r="Q926" s="931"/>
      <c r="R926" s="930"/>
      <c r="S926" s="930"/>
      <c r="T926" s="932"/>
      <c r="U926" s="933"/>
      <c r="V926" s="934"/>
      <c r="W926" s="934"/>
      <c r="X926" s="932"/>
      <c r="Y926" s="932"/>
      <c r="Z926" s="932"/>
      <c r="AA926" s="726"/>
      <c r="AB926" s="726"/>
      <c r="AC926" s="721"/>
      <c r="AD926" s="586"/>
      <c r="AE926" s="586"/>
      <c r="AF926" s="170"/>
      <c r="AG926" s="170"/>
      <c r="AH926" s="170"/>
      <c r="AI926" s="170"/>
      <c r="AJ926" s="170"/>
      <c r="AK926" s="170"/>
      <c r="AL926" s="170"/>
      <c r="AM926" s="170"/>
      <c r="AN926" s="170"/>
      <c r="AO926" s="170"/>
      <c r="AP926" s="170"/>
      <c r="AQ926" s="170"/>
      <c r="AR926" s="170"/>
      <c r="AS926" s="170"/>
      <c r="AT926" s="721"/>
      <c r="AU926" s="721"/>
      <c r="AV926" s="721"/>
      <c r="AW926" s="828"/>
      <c r="AX926" s="726"/>
    </row>
    <row r="927" spans="1:50" ht="15" x14ac:dyDescent="0.25">
      <c r="A927" s="721"/>
      <c r="B927" s="904"/>
      <c r="C927" s="721"/>
      <c r="D927" s="721"/>
      <c r="E927" s="721"/>
      <c r="F927" s="721"/>
      <c r="G927" s="721"/>
      <c r="H927" s="721"/>
      <c r="I927" s="721"/>
      <c r="J927" s="721"/>
      <c r="K927" s="721"/>
      <c r="L927" s="721"/>
      <c r="M927" s="930"/>
      <c r="N927" s="930"/>
      <c r="O927" s="930"/>
      <c r="P927" s="931"/>
      <c r="Q927" s="931"/>
      <c r="R927" s="930"/>
      <c r="S927" s="930"/>
      <c r="T927" s="932"/>
      <c r="U927" s="933"/>
      <c r="V927" s="934"/>
      <c r="W927" s="934"/>
      <c r="X927" s="932"/>
      <c r="Y927" s="932"/>
      <c r="Z927" s="932"/>
      <c r="AA927" s="726"/>
      <c r="AB927" s="726"/>
      <c r="AC927" s="721"/>
      <c r="AD927" s="586"/>
      <c r="AE927" s="586"/>
      <c r="AF927" s="170"/>
      <c r="AG927" s="170"/>
      <c r="AH927" s="170"/>
      <c r="AI927" s="170"/>
      <c r="AJ927" s="170"/>
      <c r="AK927" s="170"/>
      <c r="AL927" s="170"/>
      <c r="AM927" s="170"/>
      <c r="AN927" s="170"/>
      <c r="AO927" s="170"/>
      <c r="AP927" s="170"/>
      <c r="AQ927" s="170"/>
      <c r="AR927" s="170"/>
      <c r="AS927" s="170"/>
      <c r="AT927" s="721"/>
      <c r="AU927" s="721"/>
      <c r="AV927" s="721"/>
      <c r="AW927" s="828"/>
      <c r="AX927" s="726"/>
    </row>
    <row r="928" spans="1:50" ht="15" x14ac:dyDescent="0.25">
      <c r="A928" s="721"/>
      <c r="B928" s="904"/>
      <c r="C928" s="721"/>
      <c r="D928" s="721"/>
      <c r="E928" s="721"/>
      <c r="F928" s="721"/>
      <c r="G928" s="721"/>
      <c r="H928" s="721"/>
      <c r="I928" s="721"/>
      <c r="J928" s="721"/>
      <c r="K928" s="721"/>
      <c r="L928" s="721"/>
      <c r="M928" s="930"/>
      <c r="N928" s="930"/>
      <c r="O928" s="930"/>
      <c r="P928" s="931"/>
      <c r="Q928" s="931"/>
      <c r="R928" s="930"/>
      <c r="S928" s="930"/>
      <c r="T928" s="932"/>
      <c r="U928" s="933"/>
      <c r="V928" s="934"/>
      <c r="W928" s="934"/>
      <c r="X928" s="932"/>
      <c r="Y928" s="932"/>
      <c r="Z928" s="932"/>
      <c r="AA928" s="726"/>
      <c r="AB928" s="726"/>
      <c r="AC928" s="721"/>
      <c r="AD928" s="586"/>
      <c r="AE928" s="586"/>
      <c r="AF928" s="170"/>
      <c r="AG928" s="170"/>
      <c r="AH928" s="170"/>
      <c r="AI928" s="170"/>
      <c r="AJ928" s="170"/>
      <c r="AK928" s="170"/>
      <c r="AL928" s="170"/>
      <c r="AM928" s="170"/>
      <c r="AN928" s="170"/>
      <c r="AO928" s="170"/>
      <c r="AP928" s="170"/>
      <c r="AQ928" s="170"/>
      <c r="AR928" s="170"/>
      <c r="AS928" s="170"/>
      <c r="AT928" s="721"/>
      <c r="AU928" s="721"/>
      <c r="AV928" s="721"/>
      <c r="AW928" s="828"/>
      <c r="AX928" s="726"/>
    </row>
    <row r="929" spans="1:50" ht="15" x14ac:dyDescent="0.25">
      <c r="A929" s="721"/>
      <c r="B929" s="904"/>
      <c r="C929" s="721"/>
      <c r="D929" s="721"/>
      <c r="E929" s="721"/>
      <c r="F929" s="721"/>
      <c r="G929" s="721"/>
      <c r="H929" s="721"/>
      <c r="I929" s="721"/>
      <c r="J929" s="721"/>
      <c r="K929" s="721"/>
      <c r="L929" s="721"/>
      <c r="M929" s="930"/>
      <c r="N929" s="930"/>
      <c r="O929" s="930"/>
      <c r="P929" s="931"/>
      <c r="Q929" s="931"/>
      <c r="R929" s="930"/>
      <c r="S929" s="930"/>
      <c r="T929" s="932"/>
      <c r="U929" s="933"/>
      <c r="V929" s="934"/>
      <c r="W929" s="934"/>
      <c r="X929" s="932"/>
      <c r="Y929" s="932"/>
      <c r="Z929" s="932"/>
      <c r="AA929" s="726"/>
      <c r="AB929" s="726"/>
      <c r="AC929" s="721"/>
      <c r="AD929" s="586"/>
      <c r="AE929" s="586"/>
      <c r="AF929" s="170"/>
      <c r="AG929" s="170"/>
      <c r="AH929" s="170"/>
      <c r="AI929" s="170"/>
      <c r="AJ929" s="170"/>
      <c r="AK929" s="170"/>
      <c r="AL929" s="170"/>
      <c r="AM929" s="170"/>
      <c r="AN929" s="170"/>
      <c r="AO929" s="170"/>
      <c r="AP929" s="170"/>
      <c r="AQ929" s="170"/>
      <c r="AR929" s="170"/>
      <c r="AS929" s="170"/>
      <c r="AT929" s="721"/>
      <c r="AU929" s="721"/>
      <c r="AV929" s="721"/>
      <c r="AW929" s="828"/>
      <c r="AX929" s="726"/>
    </row>
    <row r="930" spans="1:50" ht="15" x14ac:dyDescent="0.25">
      <c r="A930" s="721"/>
      <c r="B930" s="904"/>
      <c r="C930" s="721"/>
      <c r="D930" s="721"/>
      <c r="E930" s="721"/>
      <c r="F930" s="721"/>
      <c r="G930" s="721"/>
      <c r="H930" s="721"/>
      <c r="I930" s="721"/>
      <c r="J930" s="721"/>
      <c r="K930" s="721"/>
      <c r="L930" s="721"/>
      <c r="M930" s="930"/>
      <c r="N930" s="930"/>
      <c r="O930" s="930"/>
      <c r="P930" s="931"/>
      <c r="Q930" s="931"/>
      <c r="R930" s="930"/>
      <c r="S930" s="930"/>
      <c r="T930" s="932"/>
      <c r="U930" s="933"/>
      <c r="V930" s="934"/>
      <c r="W930" s="934"/>
      <c r="X930" s="932"/>
      <c r="Y930" s="932"/>
      <c r="Z930" s="932"/>
      <c r="AA930" s="726"/>
      <c r="AB930" s="726"/>
      <c r="AC930" s="721"/>
      <c r="AD930" s="586"/>
      <c r="AE930" s="586"/>
      <c r="AF930" s="170"/>
      <c r="AG930" s="170"/>
      <c r="AH930" s="170"/>
      <c r="AI930" s="170"/>
      <c r="AJ930" s="170"/>
      <c r="AK930" s="170"/>
      <c r="AL930" s="170"/>
      <c r="AM930" s="170"/>
      <c r="AN930" s="170"/>
      <c r="AO930" s="170"/>
      <c r="AP930" s="170"/>
      <c r="AQ930" s="170"/>
      <c r="AR930" s="170"/>
      <c r="AS930" s="170"/>
      <c r="AT930" s="721"/>
      <c r="AU930" s="721"/>
      <c r="AV930" s="721"/>
      <c r="AW930" s="828"/>
      <c r="AX930" s="726"/>
    </row>
    <row r="931" spans="1:50" ht="15" x14ac:dyDescent="0.25">
      <c r="A931" s="721"/>
      <c r="B931" s="904"/>
      <c r="C931" s="721"/>
      <c r="D931" s="721"/>
      <c r="E931" s="721"/>
      <c r="F931" s="721"/>
      <c r="G931" s="721"/>
      <c r="H931" s="721"/>
      <c r="I931" s="721"/>
      <c r="J931" s="721"/>
      <c r="K931" s="721"/>
      <c r="L931" s="721"/>
      <c r="M931" s="930"/>
      <c r="N931" s="930"/>
      <c r="O931" s="930"/>
      <c r="P931" s="931"/>
      <c r="Q931" s="931"/>
      <c r="R931" s="930"/>
      <c r="S931" s="930"/>
      <c r="T931" s="932"/>
      <c r="U931" s="933"/>
      <c r="V931" s="934"/>
      <c r="W931" s="934"/>
      <c r="X931" s="932"/>
      <c r="Y931" s="932"/>
      <c r="Z931" s="932"/>
      <c r="AA931" s="726"/>
      <c r="AB931" s="726"/>
      <c r="AC931" s="721"/>
      <c r="AD931" s="586"/>
      <c r="AE931" s="586"/>
      <c r="AF931" s="170"/>
      <c r="AG931" s="170"/>
      <c r="AH931" s="170"/>
      <c r="AI931" s="170"/>
      <c r="AJ931" s="170"/>
      <c r="AK931" s="170"/>
      <c r="AL931" s="170"/>
      <c r="AM931" s="170"/>
      <c r="AN931" s="170"/>
      <c r="AO931" s="170"/>
      <c r="AP931" s="170"/>
      <c r="AQ931" s="170"/>
      <c r="AR931" s="170"/>
      <c r="AS931" s="170"/>
      <c r="AT931" s="721"/>
      <c r="AU931" s="721"/>
      <c r="AV931" s="721"/>
      <c r="AW931" s="828"/>
      <c r="AX931" s="726"/>
    </row>
    <row r="932" spans="1:50" ht="15" x14ac:dyDescent="0.25">
      <c r="A932" s="721"/>
      <c r="B932" s="904"/>
      <c r="C932" s="721"/>
      <c r="D932" s="721"/>
      <c r="E932" s="721"/>
      <c r="F932" s="721"/>
      <c r="G932" s="721"/>
      <c r="H932" s="721"/>
      <c r="I932" s="721"/>
      <c r="J932" s="721"/>
      <c r="K932" s="721"/>
      <c r="L932" s="721"/>
      <c r="M932" s="930"/>
      <c r="N932" s="930"/>
      <c r="O932" s="930"/>
      <c r="P932" s="931"/>
      <c r="Q932" s="931"/>
      <c r="R932" s="930"/>
      <c r="S932" s="930"/>
      <c r="T932" s="932"/>
      <c r="U932" s="933"/>
      <c r="V932" s="934"/>
      <c r="W932" s="934"/>
      <c r="X932" s="932"/>
      <c r="Y932" s="932"/>
      <c r="Z932" s="932"/>
      <c r="AA932" s="726"/>
      <c r="AB932" s="726"/>
      <c r="AC932" s="721"/>
      <c r="AD932" s="586"/>
      <c r="AE932" s="586"/>
      <c r="AF932" s="170"/>
      <c r="AG932" s="170"/>
      <c r="AH932" s="170"/>
      <c r="AI932" s="170"/>
      <c r="AJ932" s="170"/>
      <c r="AK932" s="170"/>
      <c r="AL932" s="170"/>
      <c r="AM932" s="170"/>
      <c r="AN932" s="170"/>
      <c r="AO932" s="170"/>
      <c r="AP932" s="170"/>
      <c r="AQ932" s="170"/>
      <c r="AR932" s="170"/>
      <c r="AS932" s="170"/>
      <c r="AT932" s="721"/>
      <c r="AU932" s="721"/>
      <c r="AV932" s="721"/>
      <c r="AW932" s="828"/>
      <c r="AX932" s="726"/>
    </row>
    <row r="933" spans="1:50" ht="15" x14ac:dyDescent="0.25">
      <c r="A933" s="721"/>
      <c r="B933" s="904"/>
      <c r="C933" s="721"/>
      <c r="D933" s="721"/>
      <c r="E933" s="721"/>
      <c r="F933" s="721"/>
      <c r="G933" s="721"/>
      <c r="H933" s="721"/>
      <c r="I933" s="721"/>
      <c r="J933" s="721"/>
      <c r="K933" s="721"/>
      <c r="L933" s="721"/>
      <c r="M933" s="930"/>
      <c r="N933" s="930"/>
      <c r="O933" s="930"/>
      <c r="P933" s="931"/>
      <c r="Q933" s="931"/>
      <c r="R933" s="930"/>
      <c r="S933" s="930"/>
      <c r="T933" s="932"/>
      <c r="U933" s="933"/>
      <c r="V933" s="934"/>
      <c r="W933" s="934"/>
      <c r="X933" s="932"/>
      <c r="Y933" s="932"/>
      <c r="Z933" s="932"/>
      <c r="AA933" s="726"/>
      <c r="AB933" s="726"/>
      <c r="AC933" s="721"/>
      <c r="AD933" s="586"/>
      <c r="AE933" s="586"/>
      <c r="AF933" s="170"/>
      <c r="AG933" s="170"/>
      <c r="AH933" s="170"/>
      <c r="AI933" s="170"/>
      <c r="AJ933" s="170"/>
      <c r="AK933" s="170"/>
      <c r="AL933" s="170"/>
      <c r="AM933" s="170"/>
      <c r="AN933" s="170"/>
      <c r="AO933" s="170"/>
      <c r="AP933" s="170"/>
      <c r="AQ933" s="170"/>
      <c r="AR933" s="170"/>
      <c r="AS933" s="170"/>
      <c r="AT933" s="721"/>
      <c r="AU933" s="721"/>
      <c r="AV933" s="721"/>
      <c r="AW933" s="828"/>
      <c r="AX933" s="726"/>
    </row>
    <row r="934" spans="1:50" ht="15" x14ac:dyDescent="0.25">
      <c r="A934" s="721"/>
      <c r="B934" s="904"/>
      <c r="C934" s="721"/>
      <c r="D934" s="721"/>
      <c r="E934" s="721"/>
      <c r="F934" s="721"/>
      <c r="G934" s="721"/>
      <c r="H934" s="721"/>
      <c r="I934" s="721"/>
      <c r="J934" s="721"/>
      <c r="K934" s="721"/>
      <c r="L934" s="721"/>
      <c r="M934" s="930"/>
      <c r="N934" s="930"/>
      <c r="O934" s="930"/>
      <c r="P934" s="931"/>
      <c r="Q934" s="931"/>
      <c r="R934" s="930"/>
      <c r="S934" s="930"/>
      <c r="T934" s="932"/>
      <c r="U934" s="933"/>
      <c r="V934" s="934"/>
      <c r="W934" s="934"/>
      <c r="X934" s="932"/>
      <c r="Y934" s="932"/>
      <c r="Z934" s="932"/>
      <c r="AA934" s="726"/>
      <c r="AB934" s="726"/>
      <c r="AC934" s="721"/>
      <c r="AD934" s="586"/>
      <c r="AE934" s="586"/>
      <c r="AF934" s="170"/>
      <c r="AG934" s="170"/>
      <c r="AH934" s="170"/>
      <c r="AI934" s="170"/>
      <c r="AJ934" s="170"/>
      <c r="AK934" s="170"/>
      <c r="AL934" s="170"/>
      <c r="AM934" s="170"/>
      <c r="AN934" s="170"/>
      <c r="AO934" s="170"/>
      <c r="AP934" s="170"/>
      <c r="AQ934" s="170"/>
      <c r="AR934" s="170"/>
      <c r="AS934" s="170"/>
      <c r="AT934" s="721"/>
      <c r="AU934" s="721"/>
      <c r="AV934" s="721"/>
      <c r="AW934" s="828"/>
      <c r="AX934" s="726"/>
    </row>
    <row r="935" spans="1:50" ht="15" x14ac:dyDescent="0.25">
      <c r="A935" s="721"/>
      <c r="B935" s="904"/>
      <c r="C935" s="721"/>
      <c r="D935" s="721"/>
      <c r="E935" s="721"/>
      <c r="F935" s="721"/>
      <c r="G935" s="721"/>
      <c r="H935" s="721"/>
      <c r="I935" s="721"/>
      <c r="J935" s="721"/>
      <c r="K935" s="721"/>
      <c r="L935" s="721"/>
      <c r="M935" s="930"/>
      <c r="N935" s="930"/>
      <c r="O935" s="930"/>
      <c r="P935" s="931"/>
      <c r="Q935" s="931"/>
      <c r="R935" s="930"/>
      <c r="S935" s="930"/>
      <c r="T935" s="932"/>
      <c r="U935" s="933"/>
      <c r="V935" s="934"/>
      <c r="W935" s="934"/>
      <c r="X935" s="932"/>
      <c r="Y935" s="932"/>
      <c r="Z935" s="932"/>
      <c r="AA935" s="726"/>
      <c r="AB935" s="726"/>
      <c r="AC935" s="721"/>
      <c r="AD935" s="586"/>
      <c r="AE935" s="586"/>
      <c r="AF935" s="170"/>
      <c r="AG935" s="170"/>
      <c r="AH935" s="170"/>
      <c r="AI935" s="170"/>
      <c r="AJ935" s="170"/>
      <c r="AK935" s="170"/>
      <c r="AL935" s="170"/>
      <c r="AM935" s="170"/>
      <c r="AN935" s="170"/>
      <c r="AO935" s="170"/>
      <c r="AP935" s="170"/>
      <c r="AQ935" s="170"/>
      <c r="AR935" s="170"/>
      <c r="AS935" s="170"/>
      <c r="AT935" s="721"/>
      <c r="AU935" s="721"/>
      <c r="AV935" s="721"/>
      <c r="AW935" s="828"/>
      <c r="AX935" s="726"/>
    </row>
    <row r="936" spans="1:50" ht="15" x14ac:dyDescent="0.25">
      <c r="A936" s="721"/>
      <c r="B936" s="904"/>
      <c r="C936" s="721"/>
      <c r="D936" s="721"/>
      <c r="E936" s="721"/>
      <c r="F936" s="721"/>
      <c r="G936" s="721"/>
      <c r="H936" s="721"/>
      <c r="I936" s="721"/>
      <c r="J936" s="721"/>
      <c r="K936" s="721"/>
      <c r="L936" s="721"/>
      <c r="M936" s="930"/>
      <c r="N936" s="930"/>
      <c r="O936" s="930"/>
      <c r="P936" s="931"/>
      <c r="Q936" s="931"/>
      <c r="R936" s="930"/>
      <c r="S936" s="930"/>
      <c r="T936" s="932"/>
      <c r="U936" s="933"/>
      <c r="V936" s="934"/>
      <c r="W936" s="934"/>
      <c r="X936" s="932"/>
      <c r="Y936" s="932"/>
      <c r="Z936" s="932"/>
      <c r="AA936" s="726"/>
      <c r="AB936" s="726"/>
      <c r="AC936" s="721"/>
      <c r="AD936" s="586"/>
      <c r="AE936" s="586"/>
      <c r="AF936" s="170"/>
      <c r="AG936" s="170"/>
      <c r="AH936" s="170"/>
      <c r="AI936" s="170"/>
      <c r="AJ936" s="170"/>
      <c r="AK936" s="170"/>
      <c r="AL936" s="170"/>
      <c r="AM936" s="170"/>
      <c r="AN936" s="170"/>
      <c r="AO936" s="170"/>
      <c r="AP936" s="170"/>
      <c r="AQ936" s="170"/>
      <c r="AR936" s="170"/>
      <c r="AS936" s="170"/>
      <c r="AT936" s="721"/>
      <c r="AU936" s="721"/>
      <c r="AV936" s="721"/>
      <c r="AW936" s="828"/>
      <c r="AX936" s="726"/>
    </row>
    <row r="937" spans="1:50" ht="15" x14ac:dyDescent="0.25">
      <c r="A937" s="721"/>
      <c r="B937" s="904"/>
      <c r="C937" s="721"/>
      <c r="D937" s="721"/>
      <c r="E937" s="721"/>
      <c r="F937" s="721"/>
      <c r="G937" s="721"/>
      <c r="H937" s="721"/>
      <c r="I937" s="721"/>
      <c r="J937" s="721"/>
      <c r="K937" s="721"/>
      <c r="L937" s="721"/>
      <c r="M937" s="930"/>
      <c r="N937" s="930"/>
      <c r="O937" s="930"/>
      <c r="P937" s="931"/>
      <c r="Q937" s="931"/>
      <c r="R937" s="930"/>
      <c r="S937" s="930"/>
      <c r="T937" s="932"/>
      <c r="U937" s="933"/>
      <c r="V937" s="934"/>
      <c r="W937" s="934"/>
      <c r="X937" s="932"/>
      <c r="Y937" s="932"/>
      <c r="Z937" s="932"/>
      <c r="AA937" s="726"/>
      <c r="AB937" s="726"/>
      <c r="AC937" s="721"/>
      <c r="AD937" s="586"/>
      <c r="AE937" s="586"/>
      <c r="AF937" s="170"/>
      <c r="AG937" s="170"/>
      <c r="AH937" s="170"/>
      <c r="AI937" s="170"/>
      <c r="AJ937" s="170"/>
      <c r="AK937" s="170"/>
      <c r="AL937" s="170"/>
      <c r="AM937" s="170"/>
      <c r="AN937" s="170"/>
      <c r="AO937" s="170"/>
      <c r="AP937" s="170"/>
      <c r="AQ937" s="170"/>
      <c r="AR937" s="170"/>
      <c r="AS937" s="170"/>
      <c r="AT937" s="721"/>
      <c r="AU937" s="721"/>
      <c r="AV937" s="721"/>
      <c r="AW937" s="828"/>
      <c r="AX937" s="726"/>
    </row>
    <row r="938" spans="1:50" ht="15" x14ac:dyDescent="0.25">
      <c r="A938" s="721"/>
      <c r="B938" s="904"/>
      <c r="C938" s="721"/>
      <c r="D938" s="721"/>
      <c r="E938" s="721"/>
      <c r="F938" s="721"/>
      <c r="G938" s="721"/>
      <c r="H938" s="721"/>
      <c r="I938" s="721"/>
      <c r="J938" s="721"/>
      <c r="K938" s="721"/>
      <c r="L938" s="721"/>
      <c r="M938" s="930"/>
      <c r="N938" s="930"/>
      <c r="O938" s="930"/>
      <c r="P938" s="931"/>
      <c r="Q938" s="931"/>
      <c r="R938" s="930"/>
      <c r="S938" s="930"/>
      <c r="T938" s="932"/>
      <c r="U938" s="933"/>
      <c r="V938" s="934"/>
      <c r="W938" s="934"/>
      <c r="X938" s="932"/>
      <c r="Y938" s="932"/>
      <c r="Z938" s="932"/>
      <c r="AA938" s="726"/>
      <c r="AB938" s="726"/>
      <c r="AC938" s="721"/>
      <c r="AD938" s="586"/>
      <c r="AE938" s="586"/>
      <c r="AF938" s="170"/>
      <c r="AG938" s="170"/>
      <c r="AH938" s="170"/>
      <c r="AI938" s="170"/>
      <c r="AJ938" s="170"/>
      <c r="AK938" s="170"/>
      <c r="AL938" s="170"/>
      <c r="AM938" s="170"/>
      <c r="AN938" s="170"/>
      <c r="AO938" s="170"/>
      <c r="AP938" s="170"/>
      <c r="AQ938" s="170"/>
      <c r="AR938" s="170"/>
      <c r="AS938" s="170"/>
      <c r="AT938" s="721"/>
      <c r="AU938" s="721"/>
      <c r="AV938" s="721"/>
      <c r="AW938" s="828"/>
      <c r="AX938" s="726"/>
    </row>
    <row r="939" spans="1:50" ht="15" x14ac:dyDescent="0.25">
      <c r="A939" s="721"/>
      <c r="B939" s="904"/>
      <c r="C939" s="721"/>
      <c r="D939" s="721"/>
      <c r="E939" s="721"/>
      <c r="F939" s="721"/>
      <c r="G939" s="721"/>
      <c r="H939" s="721"/>
      <c r="I939" s="721"/>
      <c r="J939" s="721"/>
      <c r="K939" s="721"/>
      <c r="L939" s="721"/>
      <c r="M939" s="930"/>
      <c r="N939" s="930"/>
      <c r="O939" s="930"/>
      <c r="P939" s="931"/>
      <c r="Q939" s="931"/>
      <c r="R939" s="930"/>
      <c r="S939" s="930"/>
      <c r="T939" s="932"/>
      <c r="U939" s="933"/>
      <c r="V939" s="934"/>
      <c r="W939" s="934"/>
      <c r="X939" s="932"/>
      <c r="Y939" s="932"/>
      <c r="Z939" s="932"/>
      <c r="AA939" s="726"/>
      <c r="AB939" s="726"/>
      <c r="AC939" s="721"/>
      <c r="AD939" s="586"/>
      <c r="AE939" s="586"/>
      <c r="AF939" s="170"/>
      <c r="AG939" s="170"/>
      <c r="AH939" s="170"/>
      <c r="AI939" s="170"/>
      <c r="AJ939" s="170"/>
      <c r="AK939" s="170"/>
      <c r="AL939" s="170"/>
      <c r="AM939" s="170"/>
      <c r="AN939" s="170"/>
      <c r="AO939" s="170"/>
      <c r="AP939" s="170"/>
      <c r="AQ939" s="170"/>
      <c r="AR939" s="170"/>
      <c r="AS939" s="170"/>
      <c r="AT939" s="721"/>
      <c r="AU939" s="721"/>
      <c r="AV939" s="721"/>
      <c r="AW939" s="828"/>
      <c r="AX939" s="726"/>
    </row>
    <row r="940" spans="1:50" ht="15" x14ac:dyDescent="0.25">
      <c r="A940" s="721"/>
      <c r="B940" s="904"/>
      <c r="C940" s="721"/>
      <c r="D940" s="721"/>
      <c r="E940" s="721"/>
      <c r="F940" s="721"/>
      <c r="G940" s="721"/>
      <c r="H940" s="721"/>
      <c r="I940" s="721"/>
      <c r="J940" s="721"/>
      <c r="K940" s="721"/>
      <c r="L940" s="721"/>
      <c r="M940" s="930"/>
      <c r="N940" s="930"/>
      <c r="O940" s="930"/>
      <c r="P940" s="931"/>
      <c r="Q940" s="931"/>
      <c r="R940" s="930"/>
      <c r="S940" s="930"/>
      <c r="T940" s="932"/>
      <c r="U940" s="933"/>
      <c r="V940" s="934"/>
      <c r="W940" s="934"/>
      <c r="X940" s="932"/>
      <c r="Y940" s="932"/>
      <c r="Z940" s="932"/>
      <c r="AA940" s="726"/>
      <c r="AB940" s="726"/>
      <c r="AC940" s="721"/>
      <c r="AD940" s="586"/>
      <c r="AE940" s="586"/>
      <c r="AF940" s="170"/>
      <c r="AG940" s="170"/>
      <c r="AH940" s="170"/>
      <c r="AI940" s="170"/>
      <c r="AJ940" s="170"/>
      <c r="AK940" s="170"/>
      <c r="AL940" s="170"/>
      <c r="AM940" s="170"/>
      <c r="AN940" s="170"/>
      <c r="AO940" s="170"/>
      <c r="AP940" s="170"/>
      <c r="AQ940" s="170"/>
      <c r="AR940" s="170"/>
      <c r="AS940" s="170"/>
      <c r="AT940" s="721"/>
      <c r="AU940" s="721"/>
      <c r="AV940" s="721"/>
      <c r="AW940" s="828"/>
      <c r="AX940" s="726"/>
    </row>
    <row r="941" spans="1:50" ht="15" x14ac:dyDescent="0.25">
      <c r="A941" s="721"/>
      <c r="B941" s="904"/>
      <c r="C941" s="721"/>
      <c r="D941" s="721"/>
      <c r="E941" s="721"/>
      <c r="F941" s="721"/>
      <c r="G941" s="721"/>
      <c r="H941" s="721"/>
      <c r="I941" s="721"/>
      <c r="J941" s="721"/>
      <c r="K941" s="721"/>
      <c r="L941" s="721"/>
      <c r="M941" s="930"/>
      <c r="N941" s="930"/>
      <c r="O941" s="930"/>
      <c r="P941" s="931"/>
      <c r="Q941" s="931"/>
      <c r="R941" s="930"/>
      <c r="S941" s="930"/>
      <c r="T941" s="932"/>
      <c r="U941" s="933"/>
      <c r="V941" s="934"/>
      <c r="W941" s="934"/>
      <c r="X941" s="932"/>
      <c r="Y941" s="932"/>
      <c r="Z941" s="932"/>
      <c r="AA941" s="726"/>
      <c r="AB941" s="726"/>
      <c r="AC941" s="721"/>
      <c r="AD941" s="586"/>
      <c r="AE941" s="586"/>
      <c r="AF941" s="170"/>
      <c r="AG941" s="170"/>
      <c r="AH941" s="170"/>
      <c r="AI941" s="170"/>
      <c r="AJ941" s="170"/>
      <c r="AK941" s="170"/>
      <c r="AL941" s="170"/>
      <c r="AM941" s="170"/>
      <c r="AN941" s="170"/>
      <c r="AO941" s="170"/>
      <c r="AP941" s="170"/>
      <c r="AQ941" s="170"/>
      <c r="AR941" s="170"/>
      <c r="AS941" s="170"/>
      <c r="AT941" s="721"/>
      <c r="AU941" s="721"/>
      <c r="AV941" s="721"/>
      <c r="AW941" s="828"/>
      <c r="AX941" s="726"/>
    </row>
    <row r="942" spans="1:50" ht="15" x14ac:dyDescent="0.25">
      <c r="A942" s="721"/>
      <c r="B942" s="904"/>
      <c r="C942" s="721"/>
      <c r="D942" s="721"/>
      <c r="E942" s="721"/>
      <c r="F942" s="721"/>
      <c r="G942" s="721"/>
      <c r="H942" s="721"/>
      <c r="I942" s="721"/>
      <c r="J942" s="721"/>
      <c r="K942" s="721"/>
      <c r="L942" s="721"/>
      <c r="M942" s="930"/>
      <c r="N942" s="930"/>
      <c r="O942" s="930"/>
      <c r="P942" s="931"/>
      <c r="Q942" s="931"/>
      <c r="R942" s="930"/>
      <c r="S942" s="930"/>
      <c r="T942" s="932"/>
      <c r="U942" s="933"/>
      <c r="V942" s="934"/>
      <c r="W942" s="934"/>
      <c r="X942" s="932"/>
      <c r="Y942" s="932"/>
      <c r="Z942" s="932"/>
      <c r="AA942" s="726"/>
      <c r="AB942" s="726"/>
      <c r="AC942" s="721"/>
      <c r="AD942" s="586"/>
      <c r="AE942" s="586"/>
      <c r="AF942" s="170"/>
      <c r="AG942" s="170"/>
      <c r="AH942" s="170"/>
      <c r="AI942" s="170"/>
      <c r="AJ942" s="170"/>
      <c r="AK942" s="170"/>
      <c r="AL942" s="170"/>
      <c r="AM942" s="170"/>
      <c r="AN942" s="170"/>
      <c r="AO942" s="170"/>
      <c r="AP942" s="170"/>
      <c r="AQ942" s="170"/>
      <c r="AR942" s="170"/>
      <c r="AS942" s="170"/>
      <c r="AT942" s="721"/>
      <c r="AU942" s="721"/>
      <c r="AV942" s="721"/>
      <c r="AW942" s="828"/>
      <c r="AX942" s="726"/>
    </row>
    <row r="943" spans="1:50" ht="15" x14ac:dyDescent="0.25">
      <c r="A943" s="721"/>
      <c r="B943" s="904"/>
      <c r="C943" s="721"/>
      <c r="D943" s="721"/>
      <c r="E943" s="721"/>
      <c r="F943" s="721"/>
      <c r="G943" s="721"/>
      <c r="H943" s="721"/>
      <c r="I943" s="721"/>
      <c r="J943" s="721"/>
      <c r="K943" s="721"/>
      <c r="L943" s="721"/>
      <c r="M943" s="930"/>
      <c r="N943" s="930"/>
      <c r="O943" s="930"/>
      <c r="P943" s="931"/>
      <c r="Q943" s="931"/>
      <c r="R943" s="930"/>
      <c r="S943" s="930"/>
      <c r="T943" s="932"/>
      <c r="U943" s="933"/>
      <c r="V943" s="934"/>
      <c r="W943" s="934"/>
      <c r="X943" s="932"/>
      <c r="Y943" s="932"/>
      <c r="Z943" s="932"/>
      <c r="AA943" s="726"/>
      <c r="AB943" s="726"/>
      <c r="AC943" s="721"/>
      <c r="AD943" s="586"/>
      <c r="AE943" s="586"/>
      <c r="AF943" s="170"/>
      <c r="AG943" s="170"/>
      <c r="AH943" s="170"/>
      <c r="AI943" s="170"/>
      <c r="AJ943" s="170"/>
      <c r="AK943" s="170"/>
      <c r="AL943" s="170"/>
      <c r="AM943" s="170"/>
      <c r="AN943" s="170"/>
      <c r="AO943" s="170"/>
      <c r="AP943" s="170"/>
      <c r="AQ943" s="170"/>
      <c r="AR943" s="170"/>
      <c r="AS943" s="170"/>
      <c r="AT943" s="721"/>
      <c r="AU943" s="721"/>
      <c r="AV943" s="721"/>
      <c r="AW943" s="828"/>
      <c r="AX943" s="726"/>
    </row>
    <row r="944" spans="1:50" ht="15" x14ac:dyDescent="0.25">
      <c r="A944" s="721"/>
      <c r="B944" s="904"/>
      <c r="C944" s="721"/>
      <c r="D944" s="721"/>
      <c r="E944" s="721"/>
      <c r="F944" s="721"/>
      <c r="G944" s="721"/>
      <c r="H944" s="721"/>
      <c r="I944" s="721"/>
      <c r="J944" s="721"/>
      <c r="K944" s="721"/>
      <c r="L944" s="721"/>
      <c r="M944" s="930"/>
      <c r="N944" s="930"/>
      <c r="O944" s="930"/>
      <c r="P944" s="931"/>
      <c r="Q944" s="931"/>
      <c r="R944" s="930"/>
      <c r="S944" s="930"/>
      <c r="T944" s="932"/>
      <c r="U944" s="933"/>
      <c r="V944" s="934"/>
      <c r="W944" s="934"/>
      <c r="X944" s="932"/>
      <c r="Y944" s="932"/>
      <c r="Z944" s="932"/>
      <c r="AA944" s="726"/>
      <c r="AB944" s="726"/>
      <c r="AC944" s="721"/>
      <c r="AD944" s="586"/>
      <c r="AE944" s="586"/>
      <c r="AF944" s="170"/>
      <c r="AG944" s="170"/>
      <c r="AH944" s="170"/>
      <c r="AI944" s="170"/>
      <c r="AJ944" s="170"/>
      <c r="AK944" s="170"/>
      <c r="AL944" s="170"/>
      <c r="AM944" s="170"/>
      <c r="AN944" s="170"/>
      <c r="AO944" s="170"/>
      <c r="AP944" s="170"/>
      <c r="AQ944" s="170"/>
      <c r="AR944" s="170"/>
      <c r="AS944" s="170"/>
      <c r="AT944" s="721"/>
      <c r="AU944" s="721"/>
      <c r="AV944" s="721"/>
      <c r="AW944" s="828"/>
      <c r="AX944" s="726"/>
    </row>
    <row r="945" spans="1:50" ht="15" x14ac:dyDescent="0.25">
      <c r="A945" s="721"/>
      <c r="B945" s="904"/>
      <c r="C945" s="721"/>
      <c r="D945" s="721"/>
      <c r="E945" s="721"/>
      <c r="F945" s="721"/>
      <c r="G945" s="721"/>
      <c r="H945" s="721"/>
      <c r="I945" s="721"/>
      <c r="J945" s="721"/>
      <c r="K945" s="721"/>
      <c r="L945" s="721"/>
      <c r="M945" s="930"/>
      <c r="N945" s="930"/>
      <c r="O945" s="930"/>
      <c r="P945" s="931"/>
      <c r="Q945" s="931"/>
      <c r="R945" s="930"/>
      <c r="S945" s="930"/>
      <c r="T945" s="932"/>
      <c r="U945" s="933"/>
      <c r="V945" s="934"/>
      <c r="W945" s="934"/>
      <c r="X945" s="932"/>
      <c r="Y945" s="932"/>
      <c r="Z945" s="932"/>
      <c r="AA945" s="726"/>
      <c r="AB945" s="726"/>
      <c r="AC945" s="721"/>
      <c r="AD945" s="586"/>
      <c r="AE945" s="586"/>
      <c r="AF945" s="170"/>
      <c r="AG945" s="170"/>
      <c r="AH945" s="170"/>
      <c r="AI945" s="170"/>
      <c r="AJ945" s="170"/>
      <c r="AK945" s="170"/>
      <c r="AL945" s="170"/>
      <c r="AM945" s="170"/>
      <c r="AN945" s="170"/>
      <c r="AO945" s="170"/>
      <c r="AP945" s="170"/>
      <c r="AQ945" s="170"/>
      <c r="AR945" s="170"/>
      <c r="AS945" s="170"/>
      <c r="AT945" s="721"/>
      <c r="AU945" s="721"/>
      <c r="AV945" s="721"/>
      <c r="AW945" s="828"/>
      <c r="AX945" s="726"/>
    </row>
    <row r="946" spans="1:50" ht="15" x14ac:dyDescent="0.25">
      <c r="A946" s="721"/>
      <c r="B946" s="904"/>
      <c r="C946" s="721"/>
      <c r="D946" s="721"/>
      <c r="E946" s="721"/>
      <c r="F946" s="721"/>
      <c r="G946" s="721"/>
      <c r="H946" s="721"/>
      <c r="I946" s="721"/>
      <c r="J946" s="721"/>
      <c r="K946" s="721"/>
      <c r="L946" s="721"/>
      <c r="M946" s="930"/>
      <c r="N946" s="930"/>
      <c r="O946" s="930"/>
      <c r="P946" s="931"/>
      <c r="Q946" s="931"/>
      <c r="R946" s="930"/>
      <c r="S946" s="930"/>
      <c r="T946" s="932"/>
      <c r="U946" s="933"/>
      <c r="V946" s="934"/>
      <c r="W946" s="934"/>
      <c r="X946" s="932"/>
      <c r="Y946" s="932"/>
      <c r="Z946" s="932"/>
      <c r="AA946" s="726"/>
      <c r="AB946" s="726"/>
      <c r="AC946" s="721"/>
      <c r="AD946" s="586"/>
      <c r="AE946" s="586"/>
      <c r="AF946" s="170"/>
      <c r="AG946" s="170"/>
      <c r="AH946" s="170"/>
      <c r="AI946" s="170"/>
      <c r="AJ946" s="170"/>
      <c r="AK946" s="170"/>
      <c r="AL946" s="170"/>
      <c r="AM946" s="170"/>
      <c r="AN946" s="170"/>
      <c r="AO946" s="170"/>
      <c r="AP946" s="170"/>
      <c r="AQ946" s="170"/>
      <c r="AR946" s="170"/>
      <c r="AS946" s="170"/>
      <c r="AT946" s="721"/>
      <c r="AU946" s="721"/>
      <c r="AV946" s="721"/>
      <c r="AW946" s="828"/>
      <c r="AX946" s="726"/>
    </row>
    <row r="947" spans="1:50" ht="15" x14ac:dyDescent="0.25">
      <c r="A947" s="721"/>
      <c r="B947" s="904"/>
      <c r="C947" s="721"/>
      <c r="D947" s="721"/>
      <c r="E947" s="721"/>
      <c r="F947" s="721"/>
      <c r="G947" s="721"/>
      <c r="H947" s="721"/>
      <c r="I947" s="721"/>
      <c r="J947" s="721"/>
      <c r="K947" s="721"/>
      <c r="L947" s="721"/>
      <c r="M947" s="930"/>
      <c r="N947" s="930"/>
      <c r="O947" s="930"/>
      <c r="P947" s="931"/>
      <c r="Q947" s="931"/>
      <c r="R947" s="930"/>
      <c r="S947" s="930"/>
      <c r="T947" s="932"/>
      <c r="U947" s="933"/>
      <c r="V947" s="934"/>
      <c r="W947" s="934"/>
      <c r="X947" s="932"/>
      <c r="Y947" s="932"/>
      <c r="Z947" s="932"/>
      <c r="AA947" s="726"/>
      <c r="AB947" s="726"/>
      <c r="AC947" s="721"/>
      <c r="AD947" s="586"/>
      <c r="AE947" s="586"/>
      <c r="AF947" s="170"/>
      <c r="AG947" s="170"/>
      <c r="AH947" s="170"/>
      <c r="AI947" s="170"/>
      <c r="AJ947" s="170"/>
      <c r="AK947" s="170"/>
      <c r="AL947" s="170"/>
      <c r="AM947" s="170"/>
      <c r="AN947" s="170"/>
      <c r="AO947" s="170"/>
      <c r="AP947" s="170"/>
      <c r="AQ947" s="170"/>
      <c r="AR947" s="170"/>
      <c r="AS947" s="170"/>
      <c r="AT947" s="721"/>
      <c r="AU947" s="721"/>
      <c r="AV947" s="721"/>
      <c r="AW947" s="828"/>
      <c r="AX947" s="726"/>
    </row>
    <row r="948" spans="1:50" ht="15" x14ac:dyDescent="0.25">
      <c r="A948" s="721"/>
      <c r="B948" s="904"/>
      <c r="C948" s="721"/>
      <c r="D948" s="721"/>
      <c r="E948" s="721"/>
      <c r="F948" s="721"/>
      <c r="G948" s="721"/>
      <c r="H948" s="721"/>
      <c r="I948" s="721"/>
      <c r="J948" s="721"/>
      <c r="K948" s="721"/>
      <c r="L948" s="721"/>
      <c r="M948" s="930"/>
      <c r="N948" s="930"/>
      <c r="O948" s="930"/>
      <c r="P948" s="931"/>
      <c r="Q948" s="931"/>
      <c r="R948" s="930"/>
      <c r="S948" s="930"/>
      <c r="T948" s="932"/>
      <c r="U948" s="933"/>
      <c r="V948" s="934"/>
      <c r="W948" s="934"/>
      <c r="X948" s="932"/>
      <c r="Y948" s="932"/>
      <c r="Z948" s="932"/>
      <c r="AA948" s="726"/>
      <c r="AB948" s="726"/>
      <c r="AC948" s="721"/>
      <c r="AD948" s="586"/>
      <c r="AE948" s="586"/>
      <c r="AF948" s="170"/>
      <c r="AG948" s="170"/>
      <c r="AH948" s="170"/>
      <c r="AI948" s="170"/>
      <c r="AJ948" s="170"/>
      <c r="AK948" s="170"/>
      <c r="AL948" s="170"/>
      <c r="AM948" s="170"/>
      <c r="AN948" s="170"/>
      <c r="AO948" s="170"/>
      <c r="AP948" s="170"/>
      <c r="AQ948" s="170"/>
      <c r="AR948" s="170"/>
      <c r="AS948" s="170"/>
      <c r="AT948" s="721"/>
      <c r="AU948" s="721"/>
      <c r="AV948" s="721"/>
      <c r="AW948" s="828"/>
      <c r="AX948" s="726"/>
    </row>
    <row r="949" spans="1:50" ht="15" x14ac:dyDescent="0.25">
      <c r="A949" s="721"/>
      <c r="B949" s="904"/>
      <c r="C949" s="721"/>
      <c r="D949" s="721"/>
      <c r="E949" s="721"/>
      <c r="F949" s="721"/>
      <c r="G949" s="721"/>
      <c r="H949" s="721"/>
      <c r="I949" s="721"/>
      <c r="J949" s="721"/>
      <c r="K949" s="721"/>
      <c r="L949" s="721"/>
      <c r="M949" s="930"/>
      <c r="N949" s="930"/>
      <c r="O949" s="930"/>
      <c r="P949" s="931"/>
      <c r="Q949" s="931"/>
      <c r="R949" s="930"/>
      <c r="S949" s="930"/>
      <c r="T949" s="932"/>
      <c r="U949" s="933"/>
      <c r="V949" s="934"/>
      <c r="W949" s="934"/>
      <c r="X949" s="932"/>
      <c r="Y949" s="932"/>
      <c r="Z949" s="932"/>
      <c r="AA949" s="726"/>
      <c r="AB949" s="726"/>
      <c r="AC949" s="721"/>
      <c r="AD949" s="586"/>
      <c r="AE949" s="586"/>
      <c r="AF949" s="170"/>
      <c r="AG949" s="170"/>
      <c r="AH949" s="170"/>
      <c r="AI949" s="170"/>
      <c r="AJ949" s="170"/>
      <c r="AK949" s="170"/>
      <c r="AL949" s="170"/>
      <c r="AM949" s="170"/>
      <c r="AN949" s="170"/>
      <c r="AO949" s="170"/>
      <c r="AP949" s="170"/>
      <c r="AQ949" s="170"/>
      <c r="AR949" s="170"/>
      <c r="AS949" s="170"/>
      <c r="AT949" s="721"/>
      <c r="AU949" s="721"/>
      <c r="AV949" s="721"/>
      <c r="AW949" s="828"/>
      <c r="AX949" s="726"/>
    </row>
    <row r="950" spans="1:50" ht="15" x14ac:dyDescent="0.25">
      <c r="A950" s="721"/>
      <c r="B950" s="904"/>
      <c r="C950" s="721"/>
      <c r="D950" s="721"/>
      <c r="E950" s="721"/>
      <c r="F950" s="721"/>
      <c r="G950" s="721"/>
      <c r="H950" s="721"/>
      <c r="I950" s="721"/>
      <c r="J950" s="721"/>
      <c r="K950" s="721"/>
      <c r="L950" s="721"/>
      <c r="M950" s="930"/>
      <c r="N950" s="930"/>
      <c r="O950" s="930"/>
      <c r="P950" s="931"/>
      <c r="Q950" s="931"/>
      <c r="R950" s="930"/>
      <c r="S950" s="930"/>
      <c r="T950" s="932"/>
      <c r="U950" s="933"/>
      <c r="V950" s="934"/>
      <c r="W950" s="934"/>
      <c r="X950" s="932"/>
      <c r="Y950" s="932"/>
      <c r="Z950" s="932"/>
      <c r="AA950" s="726"/>
      <c r="AB950" s="726"/>
      <c r="AC950" s="721"/>
      <c r="AD950" s="586"/>
      <c r="AE950" s="586"/>
      <c r="AF950" s="170"/>
      <c r="AG950" s="170"/>
      <c r="AH950" s="170"/>
      <c r="AI950" s="170"/>
      <c r="AJ950" s="170"/>
      <c r="AK950" s="170"/>
      <c r="AL950" s="170"/>
      <c r="AM950" s="170"/>
      <c r="AN950" s="170"/>
      <c r="AO950" s="170"/>
      <c r="AP950" s="170"/>
      <c r="AQ950" s="170"/>
      <c r="AR950" s="170"/>
      <c r="AS950" s="170"/>
      <c r="AT950" s="721"/>
      <c r="AU950" s="721"/>
      <c r="AV950" s="721"/>
      <c r="AW950" s="828"/>
      <c r="AX950" s="726"/>
    </row>
    <row r="951" spans="1:50" ht="15" x14ac:dyDescent="0.25">
      <c r="A951" s="721"/>
      <c r="B951" s="904"/>
      <c r="C951" s="721"/>
      <c r="D951" s="721"/>
      <c r="E951" s="721"/>
      <c r="F951" s="721"/>
      <c r="G951" s="721"/>
      <c r="H951" s="721"/>
      <c r="I951" s="721"/>
      <c r="J951" s="721"/>
      <c r="K951" s="721"/>
      <c r="L951" s="721"/>
      <c r="M951" s="930"/>
      <c r="N951" s="930"/>
      <c r="O951" s="930"/>
      <c r="P951" s="931"/>
      <c r="Q951" s="931"/>
      <c r="R951" s="930"/>
      <c r="S951" s="930"/>
      <c r="T951" s="932"/>
      <c r="U951" s="933"/>
      <c r="V951" s="934"/>
      <c r="W951" s="934"/>
      <c r="X951" s="932"/>
      <c r="Y951" s="932"/>
      <c r="Z951" s="932"/>
      <c r="AA951" s="726"/>
      <c r="AB951" s="726"/>
      <c r="AC951" s="721"/>
      <c r="AD951" s="586"/>
      <c r="AE951" s="586"/>
      <c r="AF951" s="170"/>
      <c r="AG951" s="170"/>
      <c r="AH951" s="170"/>
      <c r="AI951" s="170"/>
      <c r="AJ951" s="170"/>
      <c r="AK951" s="170"/>
      <c r="AL951" s="170"/>
      <c r="AM951" s="170"/>
      <c r="AN951" s="170"/>
      <c r="AO951" s="170"/>
      <c r="AP951" s="170"/>
      <c r="AQ951" s="170"/>
      <c r="AR951" s="170"/>
      <c r="AS951" s="170"/>
      <c r="AT951" s="721"/>
      <c r="AU951" s="721"/>
      <c r="AV951" s="721"/>
      <c r="AW951" s="828"/>
      <c r="AX951" s="726"/>
    </row>
    <row r="952" spans="1:50" ht="15" x14ac:dyDescent="0.25">
      <c r="A952" s="721"/>
      <c r="B952" s="904"/>
      <c r="C952" s="721"/>
      <c r="D952" s="721"/>
      <c r="E952" s="721"/>
      <c r="F952" s="721"/>
      <c r="G952" s="721"/>
      <c r="H952" s="721"/>
      <c r="I952" s="721"/>
      <c r="J952" s="721"/>
      <c r="K952" s="721"/>
      <c r="L952" s="721"/>
      <c r="M952" s="930"/>
      <c r="N952" s="930"/>
      <c r="O952" s="930"/>
      <c r="P952" s="931"/>
      <c r="Q952" s="931"/>
      <c r="R952" s="930"/>
      <c r="S952" s="930"/>
      <c r="T952" s="932"/>
      <c r="U952" s="933"/>
      <c r="V952" s="934"/>
      <c r="W952" s="934"/>
      <c r="X952" s="932"/>
      <c r="Y952" s="932"/>
      <c r="Z952" s="932"/>
      <c r="AA952" s="726"/>
      <c r="AB952" s="726"/>
      <c r="AC952" s="721"/>
      <c r="AD952" s="586"/>
      <c r="AE952" s="586"/>
      <c r="AF952" s="170"/>
      <c r="AG952" s="170"/>
      <c r="AH952" s="170"/>
      <c r="AI952" s="170"/>
      <c r="AJ952" s="170"/>
      <c r="AK952" s="170"/>
      <c r="AL952" s="170"/>
      <c r="AM952" s="170"/>
      <c r="AN952" s="170"/>
      <c r="AO952" s="170"/>
      <c r="AP952" s="170"/>
      <c r="AQ952" s="170"/>
      <c r="AR952" s="170"/>
      <c r="AS952" s="170"/>
      <c r="AT952" s="721"/>
      <c r="AU952" s="721"/>
      <c r="AV952" s="721"/>
      <c r="AW952" s="828"/>
      <c r="AX952" s="726"/>
    </row>
    <row r="953" spans="1:50" ht="15" x14ac:dyDescent="0.25">
      <c r="A953" s="721"/>
      <c r="B953" s="904"/>
      <c r="C953" s="721"/>
      <c r="D953" s="721"/>
      <c r="E953" s="721"/>
      <c r="F953" s="721"/>
      <c r="G953" s="721"/>
      <c r="H953" s="721"/>
      <c r="I953" s="721"/>
      <c r="J953" s="721"/>
      <c r="K953" s="721"/>
      <c r="L953" s="721"/>
      <c r="M953" s="930"/>
      <c r="N953" s="930"/>
      <c r="O953" s="930"/>
      <c r="P953" s="931"/>
      <c r="Q953" s="931"/>
      <c r="R953" s="930"/>
      <c r="S953" s="930"/>
      <c r="T953" s="932"/>
      <c r="U953" s="933"/>
      <c r="V953" s="934"/>
      <c r="W953" s="934"/>
      <c r="X953" s="932"/>
      <c r="Y953" s="932"/>
      <c r="Z953" s="932"/>
      <c r="AA953" s="726"/>
      <c r="AB953" s="726"/>
      <c r="AC953" s="721"/>
      <c r="AD953" s="586"/>
      <c r="AE953" s="586"/>
      <c r="AF953" s="170"/>
      <c r="AG953" s="170"/>
      <c r="AH953" s="170"/>
      <c r="AI953" s="170"/>
      <c r="AJ953" s="170"/>
      <c r="AK953" s="170"/>
      <c r="AL953" s="170"/>
      <c r="AM953" s="170"/>
      <c r="AN953" s="170"/>
      <c r="AO953" s="170"/>
      <c r="AP953" s="170"/>
      <c r="AQ953" s="170"/>
      <c r="AR953" s="170"/>
      <c r="AS953" s="170"/>
      <c r="AT953" s="721"/>
      <c r="AU953" s="721"/>
      <c r="AV953" s="721"/>
      <c r="AW953" s="828"/>
      <c r="AX953" s="726"/>
    </row>
    <row r="954" spans="1:50" ht="15" x14ac:dyDescent="0.25">
      <c r="A954" s="721"/>
      <c r="B954" s="904"/>
      <c r="C954" s="721"/>
      <c r="D954" s="721"/>
      <c r="E954" s="721"/>
      <c r="F954" s="721"/>
      <c r="G954" s="721"/>
      <c r="H954" s="721"/>
      <c r="I954" s="721"/>
      <c r="J954" s="721"/>
      <c r="K954" s="721"/>
      <c r="L954" s="721"/>
      <c r="M954" s="930"/>
      <c r="N954" s="930"/>
      <c r="O954" s="930"/>
      <c r="P954" s="931"/>
      <c r="Q954" s="931"/>
      <c r="R954" s="930"/>
      <c r="S954" s="930"/>
      <c r="T954" s="932"/>
      <c r="U954" s="933"/>
      <c r="V954" s="934"/>
      <c r="W954" s="934"/>
      <c r="X954" s="932"/>
      <c r="Y954" s="932"/>
      <c r="Z954" s="932"/>
      <c r="AA954" s="726"/>
      <c r="AB954" s="726"/>
      <c r="AC954" s="721"/>
      <c r="AD954" s="586"/>
      <c r="AE954" s="586"/>
      <c r="AF954" s="170"/>
      <c r="AG954" s="170"/>
      <c r="AH954" s="170"/>
      <c r="AI954" s="170"/>
      <c r="AJ954" s="170"/>
      <c r="AK954" s="170"/>
      <c r="AL954" s="170"/>
      <c r="AM954" s="170"/>
      <c r="AN954" s="170"/>
      <c r="AO954" s="170"/>
      <c r="AP954" s="170"/>
      <c r="AQ954" s="170"/>
      <c r="AR954" s="170"/>
      <c r="AS954" s="170"/>
      <c r="AT954" s="721"/>
      <c r="AU954" s="721"/>
      <c r="AV954" s="721"/>
      <c r="AW954" s="828"/>
      <c r="AX954" s="726"/>
    </row>
    <row r="955" spans="1:50" ht="15" x14ac:dyDescent="0.25">
      <c r="A955" s="721"/>
      <c r="B955" s="904"/>
      <c r="C955" s="721"/>
      <c r="D955" s="721"/>
      <c r="E955" s="721"/>
      <c r="F955" s="721"/>
      <c r="G955" s="721"/>
      <c r="H955" s="721"/>
      <c r="I955" s="721"/>
      <c r="J955" s="721"/>
      <c r="K955" s="721"/>
      <c r="L955" s="721"/>
      <c r="M955" s="930"/>
      <c r="N955" s="930"/>
      <c r="O955" s="930"/>
      <c r="P955" s="931"/>
      <c r="Q955" s="931"/>
      <c r="R955" s="930"/>
      <c r="S955" s="930"/>
      <c r="T955" s="932"/>
      <c r="U955" s="933"/>
      <c r="V955" s="934"/>
      <c r="W955" s="934"/>
      <c r="X955" s="932"/>
      <c r="Y955" s="932"/>
      <c r="Z955" s="932"/>
      <c r="AA955" s="726"/>
      <c r="AB955" s="726"/>
      <c r="AC955" s="721"/>
      <c r="AD955" s="586"/>
      <c r="AE955" s="586"/>
      <c r="AF955" s="170"/>
      <c r="AG955" s="170"/>
      <c r="AH955" s="170"/>
      <c r="AI955" s="170"/>
      <c r="AJ955" s="170"/>
      <c r="AK955" s="170"/>
      <c r="AL955" s="170"/>
      <c r="AM955" s="170"/>
      <c r="AN955" s="170"/>
      <c r="AO955" s="170"/>
      <c r="AP955" s="170"/>
      <c r="AQ955" s="170"/>
      <c r="AR955" s="170"/>
      <c r="AS955" s="170"/>
      <c r="AT955" s="721"/>
      <c r="AU955" s="721"/>
      <c r="AV955" s="721"/>
      <c r="AW955" s="828"/>
      <c r="AX955" s="726"/>
    </row>
    <row r="956" spans="1:50" ht="15" x14ac:dyDescent="0.25">
      <c r="A956" s="721"/>
      <c r="B956" s="904"/>
      <c r="C956" s="721"/>
      <c r="D956" s="721"/>
      <c r="E956" s="721"/>
      <c r="F956" s="721"/>
      <c r="G956" s="721"/>
      <c r="H956" s="721"/>
      <c r="I956" s="721"/>
      <c r="J956" s="721"/>
      <c r="K956" s="721"/>
      <c r="L956" s="721"/>
      <c r="M956" s="930"/>
      <c r="N956" s="930"/>
      <c r="O956" s="930"/>
      <c r="P956" s="931"/>
      <c r="Q956" s="931"/>
      <c r="R956" s="930"/>
      <c r="S956" s="930"/>
      <c r="T956" s="932"/>
      <c r="U956" s="933"/>
      <c r="V956" s="934"/>
      <c r="W956" s="934"/>
      <c r="X956" s="932"/>
      <c r="Y956" s="932"/>
      <c r="Z956" s="932"/>
      <c r="AA956" s="726"/>
      <c r="AB956" s="726"/>
      <c r="AC956" s="721"/>
      <c r="AD956" s="586"/>
      <c r="AE956" s="586"/>
      <c r="AF956" s="170"/>
      <c r="AG956" s="170"/>
      <c r="AH956" s="170"/>
      <c r="AI956" s="170"/>
      <c r="AJ956" s="170"/>
      <c r="AK956" s="170"/>
      <c r="AL956" s="170"/>
      <c r="AM956" s="170"/>
      <c r="AN956" s="170"/>
      <c r="AO956" s="170"/>
      <c r="AP956" s="170"/>
      <c r="AQ956" s="170"/>
      <c r="AR956" s="170"/>
      <c r="AS956" s="170"/>
      <c r="AT956" s="721"/>
      <c r="AU956" s="721"/>
      <c r="AV956" s="721"/>
      <c r="AW956" s="828"/>
      <c r="AX956" s="726"/>
    </row>
    <row r="957" spans="1:50" ht="15" x14ac:dyDescent="0.25">
      <c r="A957" s="721"/>
      <c r="B957" s="904"/>
      <c r="C957" s="721"/>
      <c r="D957" s="721"/>
      <c r="E957" s="721"/>
      <c r="F957" s="721"/>
      <c r="G957" s="721"/>
      <c r="H957" s="721"/>
      <c r="I957" s="721"/>
      <c r="J957" s="721"/>
      <c r="K957" s="721"/>
      <c r="L957" s="721"/>
      <c r="M957" s="930"/>
      <c r="N957" s="930"/>
      <c r="O957" s="930"/>
      <c r="P957" s="931"/>
      <c r="Q957" s="931"/>
      <c r="R957" s="930"/>
      <c r="S957" s="930"/>
      <c r="T957" s="932"/>
      <c r="U957" s="933"/>
      <c r="V957" s="934"/>
      <c r="W957" s="934"/>
      <c r="X957" s="932"/>
      <c r="Y957" s="932"/>
      <c r="Z957" s="932"/>
      <c r="AA957" s="726"/>
      <c r="AB957" s="726"/>
      <c r="AC957" s="721"/>
      <c r="AD957" s="586"/>
      <c r="AE957" s="586"/>
      <c r="AF957" s="170"/>
      <c r="AG957" s="170"/>
      <c r="AH957" s="170"/>
      <c r="AI957" s="170"/>
      <c r="AJ957" s="170"/>
      <c r="AK957" s="170"/>
      <c r="AL957" s="170"/>
      <c r="AM957" s="170"/>
      <c r="AN957" s="170"/>
      <c r="AO957" s="170"/>
      <c r="AP957" s="170"/>
      <c r="AQ957" s="170"/>
      <c r="AR957" s="170"/>
      <c r="AS957" s="170"/>
      <c r="AT957" s="721"/>
      <c r="AU957" s="721"/>
      <c r="AV957" s="721"/>
      <c r="AW957" s="828"/>
      <c r="AX957" s="726"/>
    </row>
    <row r="958" spans="1:50" ht="15" x14ac:dyDescent="0.25">
      <c r="A958" s="721"/>
      <c r="B958" s="904"/>
      <c r="C958" s="721"/>
      <c r="D958" s="721"/>
      <c r="E958" s="721"/>
      <c r="F958" s="721"/>
      <c r="G958" s="721"/>
      <c r="H958" s="721"/>
      <c r="I958" s="721"/>
      <c r="J958" s="721"/>
      <c r="K958" s="721"/>
      <c r="L958" s="721"/>
      <c r="M958" s="930"/>
      <c r="N958" s="930"/>
      <c r="O958" s="930"/>
      <c r="P958" s="931"/>
      <c r="Q958" s="931"/>
      <c r="R958" s="930"/>
      <c r="S958" s="930"/>
      <c r="T958" s="932"/>
      <c r="U958" s="933"/>
      <c r="V958" s="934"/>
      <c r="W958" s="934"/>
      <c r="X958" s="932"/>
      <c r="Y958" s="932"/>
      <c r="Z958" s="932"/>
      <c r="AA958" s="726"/>
      <c r="AB958" s="726"/>
      <c r="AC958" s="721"/>
      <c r="AD958" s="586"/>
      <c r="AE958" s="586"/>
      <c r="AF958" s="170"/>
      <c r="AG958" s="170"/>
      <c r="AH958" s="170"/>
      <c r="AI958" s="170"/>
      <c r="AJ958" s="170"/>
      <c r="AK958" s="170"/>
      <c r="AL958" s="170"/>
      <c r="AM958" s="170"/>
      <c r="AN958" s="170"/>
      <c r="AO958" s="170"/>
      <c r="AP958" s="170"/>
      <c r="AQ958" s="170"/>
      <c r="AR958" s="170"/>
      <c r="AS958" s="170"/>
      <c r="AT958" s="721"/>
      <c r="AU958" s="721"/>
      <c r="AV958" s="721"/>
      <c r="AW958" s="828"/>
      <c r="AX958" s="726"/>
    </row>
    <row r="959" spans="1:50" ht="15" x14ac:dyDescent="0.25">
      <c r="A959" s="721"/>
      <c r="B959" s="904"/>
      <c r="C959" s="721"/>
      <c r="D959" s="721"/>
      <c r="E959" s="721"/>
      <c r="F959" s="721"/>
      <c r="G959" s="721"/>
      <c r="H959" s="721"/>
      <c r="I959" s="721"/>
      <c r="J959" s="721"/>
      <c r="K959" s="721"/>
      <c r="L959" s="721"/>
      <c r="M959" s="930"/>
      <c r="N959" s="930"/>
      <c r="O959" s="930"/>
      <c r="P959" s="931"/>
      <c r="Q959" s="931"/>
      <c r="R959" s="930"/>
      <c r="S959" s="930"/>
      <c r="T959" s="932"/>
      <c r="U959" s="933"/>
      <c r="V959" s="934"/>
      <c r="W959" s="934"/>
      <c r="X959" s="932"/>
      <c r="Y959" s="932"/>
      <c r="Z959" s="932"/>
      <c r="AA959" s="726"/>
      <c r="AB959" s="726"/>
      <c r="AC959" s="721"/>
      <c r="AD959" s="586"/>
      <c r="AE959" s="586"/>
      <c r="AF959" s="170"/>
      <c r="AG959" s="170"/>
      <c r="AH959" s="170"/>
      <c r="AI959" s="170"/>
      <c r="AJ959" s="170"/>
      <c r="AK959" s="170"/>
      <c r="AL959" s="170"/>
      <c r="AM959" s="170"/>
      <c r="AN959" s="170"/>
      <c r="AO959" s="170"/>
      <c r="AP959" s="170"/>
      <c r="AQ959" s="170"/>
      <c r="AR959" s="170"/>
      <c r="AS959" s="170"/>
      <c r="AT959" s="721"/>
      <c r="AU959" s="721"/>
      <c r="AV959" s="721"/>
      <c r="AW959" s="828"/>
      <c r="AX959" s="726"/>
    </row>
    <row r="960" spans="1:50" ht="15" x14ac:dyDescent="0.25">
      <c r="A960" s="721"/>
      <c r="B960" s="904"/>
      <c r="C960" s="721"/>
      <c r="D960" s="721"/>
      <c r="E960" s="721"/>
      <c r="F960" s="721"/>
      <c r="G960" s="721"/>
      <c r="H960" s="721"/>
      <c r="I960" s="721"/>
      <c r="J960" s="721"/>
      <c r="K960" s="721"/>
      <c r="L960" s="721"/>
      <c r="M960" s="930"/>
      <c r="N960" s="930"/>
      <c r="O960" s="930"/>
      <c r="P960" s="931"/>
      <c r="Q960" s="931"/>
      <c r="R960" s="930"/>
      <c r="S960" s="930"/>
      <c r="T960" s="932"/>
      <c r="U960" s="933"/>
      <c r="V960" s="934"/>
      <c r="W960" s="934"/>
      <c r="X960" s="932"/>
      <c r="Y960" s="932"/>
      <c r="Z960" s="932"/>
      <c r="AA960" s="726"/>
      <c r="AB960" s="726"/>
      <c r="AC960" s="721"/>
      <c r="AD960" s="586"/>
      <c r="AE960" s="586"/>
      <c r="AF960" s="170"/>
      <c r="AG960" s="170"/>
      <c r="AH960" s="170"/>
      <c r="AI960" s="170"/>
      <c r="AJ960" s="170"/>
      <c r="AK960" s="170"/>
      <c r="AL960" s="170"/>
      <c r="AM960" s="170"/>
      <c r="AN960" s="170"/>
      <c r="AO960" s="170"/>
      <c r="AP960" s="170"/>
      <c r="AQ960" s="170"/>
      <c r="AR960" s="170"/>
      <c r="AS960" s="170"/>
      <c r="AT960" s="721"/>
      <c r="AU960" s="721"/>
      <c r="AV960" s="721"/>
      <c r="AW960" s="828"/>
      <c r="AX960" s="726"/>
    </row>
    <row r="961" spans="1:50" ht="15" x14ac:dyDescent="0.25">
      <c r="A961" s="721"/>
      <c r="B961" s="904"/>
      <c r="C961" s="721"/>
      <c r="D961" s="721"/>
      <c r="E961" s="721"/>
      <c r="F961" s="721"/>
      <c r="G961" s="721"/>
      <c r="H961" s="721"/>
      <c r="I961" s="721"/>
      <c r="J961" s="721"/>
      <c r="K961" s="721"/>
      <c r="L961" s="721"/>
      <c r="M961" s="930"/>
      <c r="N961" s="930"/>
      <c r="O961" s="930"/>
      <c r="P961" s="931"/>
      <c r="Q961" s="931"/>
      <c r="R961" s="930"/>
      <c r="S961" s="930"/>
      <c r="T961" s="932"/>
      <c r="U961" s="933"/>
      <c r="V961" s="934"/>
      <c r="W961" s="934"/>
      <c r="X961" s="932"/>
      <c r="Y961" s="932"/>
      <c r="Z961" s="932"/>
      <c r="AA961" s="726"/>
      <c r="AB961" s="726"/>
      <c r="AC961" s="721"/>
      <c r="AD961" s="586"/>
      <c r="AE961" s="586"/>
      <c r="AF961" s="170"/>
      <c r="AG961" s="170"/>
      <c r="AH961" s="170"/>
      <c r="AI961" s="170"/>
      <c r="AJ961" s="170"/>
      <c r="AK961" s="170"/>
      <c r="AL961" s="170"/>
      <c r="AM961" s="170"/>
      <c r="AN961" s="170"/>
      <c r="AO961" s="170"/>
      <c r="AP961" s="170"/>
      <c r="AQ961" s="170"/>
      <c r="AR961" s="170"/>
      <c r="AS961" s="170"/>
      <c r="AT961" s="721"/>
      <c r="AU961" s="721"/>
      <c r="AV961" s="721"/>
      <c r="AW961" s="828"/>
      <c r="AX961" s="726"/>
    </row>
    <row r="962" spans="1:50" ht="15" x14ac:dyDescent="0.25">
      <c r="A962" s="721"/>
      <c r="B962" s="904"/>
      <c r="C962" s="721"/>
      <c r="D962" s="721"/>
      <c r="E962" s="721"/>
      <c r="F962" s="721"/>
      <c r="G962" s="721"/>
      <c r="H962" s="721"/>
      <c r="I962" s="721"/>
      <c r="J962" s="721"/>
      <c r="K962" s="721"/>
      <c r="L962" s="721"/>
      <c r="M962" s="930"/>
      <c r="N962" s="930"/>
      <c r="O962" s="930"/>
      <c r="P962" s="931"/>
      <c r="Q962" s="931"/>
      <c r="R962" s="930"/>
      <c r="S962" s="930"/>
      <c r="T962" s="932"/>
      <c r="U962" s="933"/>
      <c r="V962" s="934"/>
      <c r="W962" s="934"/>
      <c r="X962" s="932"/>
      <c r="Y962" s="932"/>
      <c r="Z962" s="932"/>
      <c r="AA962" s="726"/>
      <c r="AB962" s="726"/>
      <c r="AC962" s="721"/>
      <c r="AD962" s="586"/>
      <c r="AE962" s="586"/>
      <c r="AF962" s="170"/>
      <c r="AG962" s="170"/>
      <c r="AH962" s="170"/>
      <c r="AI962" s="170"/>
      <c r="AJ962" s="170"/>
      <c r="AK962" s="170"/>
      <c r="AL962" s="170"/>
      <c r="AM962" s="170"/>
      <c r="AN962" s="170"/>
      <c r="AO962" s="170"/>
      <c r="AP962" s="170"/>
      <c r="AQ962" s="170"/>
      <c r="AR962" s="170"/>
      <c r="AS962" s="170"/>
      <c r="AT962" s="721"/>
      <c r="AU962" s="721"/>
      <c r="AV962" s="721"/>
      <c r="AW962" s="828"/>
      <c r="AX962" s="726"/>
    </row>
    <row r="963" spans="1:50" ht="15" x14ac:dyDescent="0.25">
      <c r="A963" s="721"/>
      <c r="B963" s="904"/>
      <c r="C963" s="721"/>
      <c r="D963" s="721"/>
      <c r="E963" s="721"/>
      <c r="F963" s="721"/>
      <c r="G963" s="721"/>
      <c r="H963" s="721"/>
      <c r="I963" s="721"/>
      <c r="J963" s="721"/>
      <c r="K963" s="721"/>
      <c r="L963" s="721"/>
      <c r="M963" s="930"/>
      <c r="N963" s="930"/>
      <c r="O963" s="930"/>
      <c r="P963" s="931"/>
      <c r="Q963" s="931"/>
      <c r="R963" s="930"/>
      <c r="S963" s="930"/>
      <c r="T963" s="932"/>
      <c r="U963" s="933"/>
      <c r="V963" s="934"/>
      <c r="W963" s="934"/>
      <c r="X963" s="932"/>
      <c r="Y963" s="932"/>
      <c r="Z963" s="932"/>
      <c r="AA963" s="726"/>
      <c r="AB963" s="726"/>
      <c r="AC963" s="721"/>
      <c r="AD963" s="586"/>
      <c r="AE963" s="586"/>
      <c r="AF963" s="170"/>
      <c r="AG963" s="170"/>
      <c r="AH963" s="170"/>
      <c r="AI963" s="170"/>
      <c r="AJ963" s="170"/>
      <c r="AK963" s="170"/>
      <c r="AL963" s="170"/>
      <c r="AM963" s="170"/>
      <c r="AN963" s="170"/>
      <c r="AO963" s="170"/>
      <c r="AP963" s="170"/>
      <c r="AQ963" s="170"/>
      <c r="AR963" s="170"/>
      <c r="AS963" s="170"/>
      <c r="AT963" s="721"/>
      <c r="AU963" s="721"/>
      <c r="AV963" s="721"/>
      <c r="AW963" s="828"/>
      <c r="AX963" s="726"/>
    </row>
    <row r="964" spans="1:50" ht="15" x14ac:dyDescent="0.25">
      <c r="A964" s="721"/>
      <c r="B964" s="904"/>
      <c r="C964" s="721"/>
      <c r="D964" s="721"/>
      <c r="E964" s="721"/>
      <c r="F964" s="721"/>
      <c r="G964" s="721"/>
      <c r="H964" s="721"/>
      <c r="I964" s="721"/>
      <c r="J964" s="721"/>
      <c r="K964" s="721"/>
      <c r="L964" s="721"/>
      <c r="M964" s="930"/>
      <c r="N964" s="930"/>
      <c r="O964" s="930"/>
      <c r="P964" s="931"/>
      <c r="Q964" s="931"/>
      <c r="R964" s="930"/>
      <c r="S964" s="930"/>
      <c r="T964" s="932"/>
      <c r="U964" s="933"/>
      <c r="V964" s="934"/>
      <c r="W964" s="934"/>
      <c r="X964" s="932"/>
      <c r="Y964" s="932"/>
      <c r="Z964" s="932"/>
      <c r="AA964" s="726"/>
      <c r="AB964" s="726"/>
      <c r="AC964" s="721"/>
      <c r="AD964" s="586"/>
      <c r="AE964" s="586"/>
      <c r="AF964" s="170"/>
      <c r="AG964" s="170"/>
      <c r="AH964" s="170"/>
      <c r="AI964" s="170"/>
      <c r="AJ964" s="170"/>
      <c r="AK964" s="170"/>
      <c r="AL964" s="170"/>
      <c r="AM964" s="170"/>
      <c r="AN964" s="170"/>
      <c r="AO964" s="170"/>
      <c r="AP964" s="170"/>
      <c r="AQ964" s="170"/>
      <c r="AR964" s="170"/>
      <c r="AS964" s="170"/>
      <c r="AT964" s="721"/>
      <c r="AU964" s="721"/>
      <c r="AV964" s="721"/>
      <c r="AW964" s="828"/>
      <c r="AX964" s="726"/>
    </row>
    <row r="965" spans="1:50" ht="15" x14ac:dyDescent="0.25">
      <c r="A965" s="721"/>
      <c r="B965" s="904"/>
      <c r="C965" s="721"/>
      <c r="D965" s="721"/>
      <c r="E965" s="721"/>
      <c r="F965" s="721"/>
      <c r="G965" s="721"/>
      <c r="H965" s="721"/>
      <c r="I965" s="721"/>
      <c r="J965" s="721"/>
      <c r="K965" s="721"/>
      <c r="L965" s="721"/>
      <c r="M965" s="930"/>
      <c r="N965" s="930"/>
      <c r="O965" s="930"/>
      <c r="P965" s="931"/>
      <c r="Q965" s="931"/>
      <c r="R965" s="930"/>
      <c r="S965" s="930"/>
      <c r="T965" s="932"/>
      <c r="U965" s="933"/>
      <c r="V965" s="934"/>
      <c r="W965" s="934"/>
      <c r="X965" s="932"/>
      <c r="Y965" s="932"/>
      <c r="Z965" s="932"/>
      <c r="AA965" s="726"/>
      <c r="AB965" s="726"/>
      <c r="AC965" s="721"/>
      <c r="AD965" s="586"/>
      <c r="AE965" s="586"/>
      <c r="AF965" s="170"/>
      <c r="AG965" s="170"/>
      <c r="AH965" s="170"/>
      <c r="AI965" s="170"/>
      <c r="AJ965" s="170"/>
      <c r="AK965" s="170"/>
      <c r="AL965" s="170"/>
      <c r="AM965" s="170"/>
      <c r="AN965" s="170"/>
      <c r="AO965" s="170"/>
      <c r="AP965" s="170"/>
      <c r="AQ965" s="170"/>
      <c r="AR965" s="170"/>
      <c r="AS965" s="170"/>
      <c r="AT965" s="721"/>
      <c r="AU965" s="721"/>
      <c r="AV965" s="721"/>
      <c r="AW965" s="828"/>
      <c r="AX965" s="726"/>
    </row>
    <row r="966" spans="1:50" ht="15" x14ac:dyDescent="0.25">
      <c r="A966" s="721"/>
      <c r="B966" s="904"/>
      <c r="C966" s="721"/>
      <c r="D966" s="721"/>
      <c r="E966" s="721"/>
      <c r="F966" s="721"/>
      <c r="G966" s="721"/>
      <c r="H966" s="721"/>
      <c r="I966" s="721"/>
      <c r="J966" s="721"/>
      <c r="K966" s="721"/>
      <c r="L966" s="721"/>
      <c r="M966" s="930"/>
      <c r="N966" s="930"/>
      <c r="O966" s="930"/>
      <c r="P966" s="931"/>
      <c r="Q966" s="931"/>
      <c r="R966" s="930"/>
      <c r="S966" s="930"/>
      <c r="T966" s="932"/>
      <c r="U966" s="933"/>
      <c r="V966" s="934"/>
      <c r="W966" s="934"/>
      <c r="X966" s="932"/>
      <c r="Y966" s="932"/>
      <c r="Z966" s="932"/>
      <c r="AA966" s="726"/>
      <c r="AB966" s="726"/>
      <c r="AC966" s="721"/>
      <c r="AD966" s="586"/>
      <c r="AE966" s="586"/>
      <c r="AF966" s="170"/>
      <c r="AG966" s="170"/>
      <c r="AH966" s="170"/>
      <c r="AI966" s="170"/>
      <c r="AJ966" s="170"/>
      <c r="AK966" s="170"/>
      <c r="AL966" s="170"/>
      <c r="AM966" s="170"/>
      <c r="AN966" s="170"/>
      <c r="AO966" s="170"/>
      <c r="AP966" s="170"/>
      <c r="AQ966" s="170"/>
      <c r="AR966" s="170"/>
      <c r="AS966" s="170"/>
      <c r="AT966" s="721"/>
      <c r="AU966" s="721"/>
      <c r="AV966" s="721"/>
      <c r="AW966" s="828"/>
      <c r="AX966" s="726"/>
    </row>
    <row r="967" spans="1:50" ht="15" x14ac:dyDescent="0.25">
      <c r="A967" s="721"/>
      <c r="B967" s="904"/>
      <c r="C967" s="721"/>
      <c r="D967" s="721"/>
      <c r="E967" s="721"/>
      <c r="F967" s="721"/>
      <c r="G967" s="721"/>
      <c r="H967" s="721"/>
      <c r="I967" s="721"/>
      <c r="J967" s="721"/>
      <c r="K967" s="721"/>
      <c r="L967" s="721"/>
      <c r="M967" s="930"/>
      <c r="N967" s="930"/>
      <c r="O967" s="930"/>
      <c r="P967" s="931"/>
      <c r="Q967" s="931"/>
      <c r="R967" s="930"/>
      <c r="S967" s="930"/>
      <c r="T967" s="932"/>
      <c r="U967" s="933"/>
      <c r="V967" s="934"/>
      <c r="W967" s="934"/>
      <c r="X967" s="932"/>
      <c r="Y967" s="932"/>
      <c r="Z967" s="932"/>
      <c r="AA967" s="726"/>
      <c r="AB967" s="726"/>
      <c r="AC967" s="721"/>
      <c r="AD967" s="586"/>
      <c r="AE967" s="586"/>
      <c r="AF967" s="170"/>
      <c r="AG967" s="170"/>
      <c r="AH967" s="170"/>
      <c r="AI967" s="170"/>
      <c r="AJ967" s="170"/>
      <c r="AK967" s="170"/>
      <c r="AL967" s="170"/>
      <c r="AM967" s="170"/>
      <c r="AN967" s="170"/>
      <c r="AO967" s="170"/>
      <c r="AP967" s="170"/>
      <c r="AQ967" s="170"/>
      <c r="AR967" s="170"/>
      <c r="AS967" s="170"/>
      <c r="AT967" s="721"/>
      <c r="AU967" s="721"/>
      <c r="AV967" s="721"/>
      <c r="AW967" s="828"/>
      <c r="AX967" s="726"/>
    </row>
    <row r="968" spans="1:50" ht="15" x14ac:dyDescent="0.25">
      <c r="A968" s="721"/>
      <c r="B968" s="904"/>
      <c r="C968" s="721"/>
      <c r="D968" s="721"/>
      <c r="E968" s="721"/>
      <c r="F968" s="721"/>
      <c r="G968" s="721"/>
      <c r="H968" s="721"/>
      <c r="I968" s="721"/>
      <c r="J968" s="721"/>
      <c r="K968" s="721"/>
      <c r="L968" s="721"/>
      <c r="M968" s="930"/>
      <c r="N968" s="930"/>
      <c r="O968" s="930"/>
      <c r="P968" s="931"/>
      <c r="Q968" s="931"/>
      <c r="R968" s="930"/>
      <c r="S968" s="930"/>
      <c r="T968" s="932"/>
      <c r="U968" s="933"/>
      <c r="V968" s="934"/>
      <c r="W968" s="934"/>
      <c r="X968" s="932"/>
      <c r="Y968" s="932"/>
      <c r="Z968" s="932"/>
      <c r="AA968" s="726"/>
      <c r="AB968" s="726"/>
      <c r="AC968" s="721"/>
      <c r="AD968" s="586"/>
      <c r="AE968" s="586"/>
      <c r="AF968" s="170"/>
      <c r="AG968" s="170"/>
      <c r="AH968" s="170"/>
      <c r="AI968" s="170"/>
      <c r="AJ968" s="170"/>
      <c r="AK968" s="170"/>
      <c r="AL968" s="170"/>
      <c r="AM968" s="170"/>
      <c r="AN968" s="170"/>
      <c r="AO968" s="170"/>
      <c r="AP968" s="170"/>
      <c r="AQ968" s="170"/>
      <c r="AR968" s="170"/>
      <c r="AS968" s="170"/>
      <c r="AT968" s="721"/>
      <c r="AU968" s="721"/>
      <c r="AV968" s="721"/>
      <c r="AW968" s="828"/>
      <c r="AX968" s="726"/>
    </row>
    <row r="969" spans="1:50" ht="15" x14ac:dyDescent="0.25">
      <c r="A969" s="721"/>
      <c r="B969" s="904"/>
      <c r="C969" s="721"/>
      <c r="D969" s="721"/>
      <c r="E969" s="721"/>
      <c r="F969" s="721"/>
      <c r="G969" s="721"/>
      <c r="H969" s="721"/>
      <c r="I969" s="721"/>
      <c r="J969" s="721"/>
      <c r="K969" s="721"/>
      <c r="L969" s="721"/>
      <c r="M969" s="930"/>
      <c r="N969" s="930"/>
      <c r="O969" s="930"/>
      <c r="P969" s="931"/>
      <c r="Q969" s="931"/>
      <c r="R969" s="930"/>
      <c r="S969" s="930"/>
      <c r="T969" s="932"/>
      <c r="U969" s="933"/>
      <c r="V969" s="934"/>
      <c r="W969" s="934"/>
      <c r="X969" s="932"/>
      <c r="Y969" s="932"/>
      <c r="Z969" s="932"/>
      <c r="AA969" s="726"/>
      <c r="AB969" s="726"/>
      <c r="AC969" s="721"/>
      <c r="AD969" s="586"/>
      <c r="AE969" s="586"/>
      <c r="AF969" s="170"/>
      <c r="AG969" s="170"/>
      <c r="AH969" s="170"/>
      <c r="AI969" s="170"/>
      <c r="AJ969" s="170"/>
      <c r="AK969" s="170"/>
      <c r="AL969" s="170"/>
      <c r="AM969" s="170"/>
      <c r="AN969" s="170"/>
      <c r="AO969" s="170"/>
      <c r="AP969" s="170"/>
      <c r="AQ969" s="170"/>
      <c r="AR969" s="170"/>
      <c r="AS969" s="170"/>
      <c r="AT969" s="721"/>
      <c r="AU969" s="721"/>
      <c r="AV969" s="721"/>
      <c r="AW969" s="828"/>
      <c r="AX969" s="726"/>
    </row>
    <row r="970" spans="1:50" ht="15" x14ac:dyDescent="0.25">
      <c r="A970" s="721"/>
      <c r="B970" s="904"/>
      <c r="C970" s="721"/>
      <c r="D970" s="721"/>
      <c r="E970" s="721"/>
      <c r="F970" s="721"/>
      <c r="G970" s="721"/>
      <c r="H970" s="721"/>
      <c r="I970" s="721"/>
      <c r="J970" s="721"/>
      <c r="K970" s="721"/>
      <c r="L970" s="721"/>
      <c r="M970" s="930"/>
      <c r="N970" s="930"/>
      <c r="O970" s="930"/>
      <c r="P970" s="931"/>
      <c r="Q970" s="931"/>
      <c r="R970" s="930"/>
      <c r="S970" s="930"/>
      <c r="T970" s="932"/>
      <c r="U970" s="933"/>
      <c r="V970" s="934"/>
      <c r="W970" s="934"/>
      <c r="X970" s="932"/>
      <c r="Y970" s="932"/>
      <c r="Z970" s="932"/>
      <c r="AA970" s="726"/>
      <c r="AB970" s="726"/>
      <c r="AC970" s="721"/>
      <c r="AD970" s="586"/>
      <c r="AE970" s="586"/>
      <c r="AF970" s="170"/>
      <c r="AG970" s="170"/>
      <c r="AH970" s="170"/>
      <c r="AI970" s="170"/>
      <c r="AJ970" s="170"/>
      <c r="AK970" s="170"/>
      <c r="AL970" s="170"/>
      <c r="AM970" s="170"/>
      <c r="AN970" s="170"/>
      <c r="AO970" s="170"/>
      <c r="AP970" s="170"/>
      <c r="AQ970" s="170"/>
      <c r="AR970" s="170"/>
      <c r="AS970" s="170"/>
      <c r="AT970" s="721"/>
      <c r="AU970" s="721"/>
      <c r="AV970" s="721"/>
      <c r="AW970" s="828"/>
      <c r="AX970" s="726"/>
    </row>
    <row r="971" spans="1:50" ht="15" x14ac:dyDescent="0.25">
      <c r="A971" s="721"/>
      <c r="B971" s="904"/>
      <c r="C971" s="721"/>
      <c r="D971" s="721"/>
      <c r="E971" s="721"/>
      <c r="F971" s="721"/>
      <c r="G971" s="721"/>
      <c r="H971" s="721"/>
      <c r="I971" s="721"/>
      <c r="J971" s="721"/>
      <c r="K971" s="721"/>
      <c r="L971" s="721"/>
      <c r="M971" s="930"/>
      <c r="N971" s="930"/>
      <c r="O971" s="930"/>
      <c r="P971" s="931"/>
      <c r="Q971" s="931"/>
      <c r="R971" s="930"/>
      <c r="S971" s="930"/>
      <c r="T971" s="932"/>
      <c r="U971" s="933"/>
      <c r="V971" s="934"/>
      <c r="W971" s="934"/>
      <c r="X971" s="932"/>
      <c r="Y971" s="932"/>
      <c r="Z971" s="932"/>
      <c r="AA971" s="726"/>
      <c r="AB971" s="726"/>
      <c r="AC971" s="721"/>
      <c r="AD971" s="586"/>
      <c r="AE971" s="586"/>
      <c r="AF971" s="170"/>
      <c r="AG971" s="170"/>
      <c r="AH971" s="170"/>
      <c r="AI971" s="170"/>
      <c r="AJ971" s="170"/>
      <c r="AK971" s="170"/>
      <c r="AL971" s="170"/>
      <c r="AM971" s="170"/>
      <c r="AN971" s="170"/>
      <c r="AO971" s="170"/>
      <c r="AP971" s="170"/>
      <c r="AQ971" s="170"/>
      <c r="AR971" s="170"/>
      <c r="AS971" s="170"/>
      <c r="AT971" s="721"/>
      <c r="AU971" s="721"/>
      <c r="AV971" s="721"/>
      <c r="AW971" s="828"/>
      <c r="AX971" s="726"/>
    </row>
    <row r="972" spans="1:50" ht="15" x14ac:dyDescent="0.25">
      <c r="A972" s="721"/>
      <c r="B972" s="904"/>
      <c r="C972" s="721"/>
      <c r="D972" s="721"/>
      <c r="E972" s="721"/>
      <c r="F972" s="721"/>
      <c r="G972" s="721"/>
      <c r="H972" s="721"/>
      <c r="I972" s="721"/>
      <c r="J972" s="721"/>
      <c r="K972" s="721"/>
      <c r="L972" s="721"/>
      <c r="M972" s="930"/>
      <c r="N972" s="930"/>
      <c r="O972" s="930"/>
      <c r="P972" s="931"/>
      <c r="Q972" s="931"/>
      <c r="R972" s="930"/>
      <c r="S972" s="930"/>
      <c r="T972" s="932"/>
      <c r="U972" s="933"/>
      <c r="V972" s="934"/>
      <c r="W972" s="934"/>
      <c r="X972" s="932"/>
      <c r="Y972" s="932"/>
      <c r="Z972" s="932"/>
      <c r="AA972" s="726"/>
      <c r="AB972" s="726"/>
      <c r="AC972" s="721"/>
      <c r="AD972" s="586"/>
      <c r="AE972" s="586"/>
      <c r="AF972" s="170"/>
      <c r="AG972" s="170"/>
      <c r="AH972" s="170"/>
      <c r="AI972" s="170"/>
      <c r="AJ972" s="170"/>
      <c r="AK972" s="170"/>
      <c r="AL972" s="170"/>
      <c r="AM972" s="170"/>
      <c r="AN972" s="170"/>
      <c r="AO972" s="170"/>
      <c r="AP972" s="170"/>
      <c r="AQ972" s="170"/>
      <c r="AR972" s="170"/>
      <c r="AS972" s="170"/>
      <c r="AT972" s="721"/>
      <c r="AU972" s="721"/>
      <c r="AV972" s="721"/>
      <c r="AW972" s="828"/>
      <c r="AX972" s="726"/>
    </row>
    <row r="973" spans="1:50" ht="15" x14ac:dyDescent="0.25">
      <c r="A973" s="721"/>
      <c r="B973" s="904"/>
      <c r="C973" s="721"/>
      <c r="D973" s="721"/>
      <c r="E973" s="721"/>
      <c r="F973" s="721"/>
      <c r="G973" s="721"/>
      <c r="H973" s="721"/>
      <c r="I973" s="721"/>
      <c r="J973" s="721"/>
      <c r="K973" s="721"/>
      <c r="L973" s="721"/>
      <c r="M973" s="930"/>
      <c r="N973" s="930"/>
      <c r="O973" s="930"/>
      <c r="P973" s="931"/>
      <c r="Q973" s="931"/>
      <c r="R973" s="930"/>
      <c r="S973" s="930"/>
      <c r="T973" s="932"/>
      <c r="U973" s="933"/>
      <c r="V973" s="934"/>
      <c r="W973" s="934"/>
      <c r="X973" s="932"/>
      <c r="Y973" s="932"/>
      <c r="Z973" s="932"/>
      <c r="AA973" s="726"/>
      <c r="AB973" s="726"/>
      <c r="AC973" s="721"/>
      <c r="AD973" s="586"/>
      <c r="AE973" s="586"/>
      <c r="AF973" s="170"/>
      <c r="AG973" s="170"/>
      <c r="AH973" s="170"/>
      <c r="AI973" s="170"/>
      <c r="AJ973" s="170"/>
      <c r="AK973" s="170"/>
      <c r="AL973" s="170"/>
      <c r="AM973" s="170"/>
      <c r="AN973" s="170"/>
      <c r="AO973" s="170"/>
      <c r="AP973" s="170"/>
      <c r="AQ973" s="170"/>
      <c r="AR973" s="170"/>
      <c r="AS973" s="170"/>
      <c r="AT973" s="721"/>
      <c r="AU973" s="721"/>
      <c r="AV973" s="721"/>
      <c r="AW973" s="828"/>
      <c r="AX973" s="726"/>
    </row>
    <row r="974" spans="1:50" ht="15" x14ac:dyDescent="0.25">
      <c r="A974" s="721"/>
      <c r="B974" s="904"/>
      <c r="C974" s="721"/>
      <c r="D974" s="721"/>
      <c r="E974" s="721"/>
      <c r="F974" s="721"/>
      <c r="G974" s="721"/>
      <c r="H974" s="721"/>
      <c r="I974" s="721"/>
      <c r="J974" s="721"/>
      <c r="K974" s="721"/>
      <c r="L974" s="721"/>
      <c r="M974" s="930"/>
      <c r="N974" s="930"/>
      <c r="O974" s="930"/>
      <c r="P974" s="931"/>
      <c r="Q974" s="931"/>
      <c r="R974" s="930"/>
      <c r="S974" s="930"/>
      <c r="T974" s="932"/>
      <c r="U974" s="933"/>
      <c r="V974" s="934"/>
      <c r="W974" s="934"/>
      <c r="X974" s="932"/>
      <c r="Y974" s="932"/>
      <c r="Z974" s="932"/>
      <c r="AA974" s="726"/>
      <c r="AB974" s="726"/>
      <c r="AC974" s="721"/>
      <c r="AD974" s="586"/>
      <c r="AE974" s="586"/>
      <c r="AF974" s="170"/>
      <c r="AG974" s="170"/>
      <c r="AH974" s="170"/>
      <c r="AI974" s="170"/>
      <c r="AJ974" s="170"/>
      <c r="AK974" s="170"/>
      <c r="AL974" s="170"/>
      <c r="AM974" s="170"/>
      <c r="AN974" s="170"/>
      <c r="AO974" s="170"/>
      <c r="AP974" s="170"/>
      <c r="AQ974" s="170"/>
      <c r="AR974" s="170"/>
      <c r="AS974" s="170"/>
      <c r="AT974" s="721"/>
      <c r="AU974" s="721"/>
      <c r="AV974" s="721"/>
      <c r="AW974" s="828"/>
      <c r="AX974" s="726"/>
    </row>
    <row r="975" spans="1:50" ht="15" x14ac:dyDescent="0.25">
      <c r="A975" s="721"/>
      <c r="B975" s="904"/>
      <c r="C975" s="721"/>
      <c r="D975" s="721"/>
      <c r="E975" s="721"/>
      <c r="F975" s="721"/>
      <c r="G975" s="721"/>
      <c r="H975" s="721"/>
      <c r="I975" s="721"/>
      <c r="J975" s="721"/>
      <c r="K975" s="721"/>
      <c r="L975" s="721"/>
      <c r="M975" s="930"/>
      <c r="N975" s="930"/>
      <c r="O975" s="930"/>
      <c r="P975" s="931"/>
      <c r="Q975" s="931"/>
      <c r="R975" s="930"/>
      <c r="S975" s="930"/>
      <c r="T975" s="932"/>
      <c r="U975" s="933"/>
      <c r="V975" s="934"/>
      <c r="W975" s="934"/>
      <c r="X975" s="932"/>
      <c r="Y975" s="932"/>
      <c r="Z975" s="932"/>
      <c r="AA975" s="726"/>
      <c r="AB975" s="726"/>
      <c r="AC975" s="721"/>
      <c r="AD975" s="586"/>
      <c r="AE975" s="586"/>
      <c r="AF975" s="170"/>
      <c r="AG975" s="170"/>
      <c r="AH975" s="170"/>
      <c r="AI975" s="170"/>
      <c r="AJ975" s="170"/>
      <c r="AK975" s="170"/>
      <c r="AL975" s="170"/>
      <c r="AM975" s="170"/>
      <c r="AN975" s="170"/>
      <c r="AO975" s="170"/>
      <c r="AP975" s="170"/>
      <c r="AQ975" s="170"/>
      <c r="AR975" s="170"/>
      <c r="AS975" s="170"/>
      <c r="AT975" s="721"/>
      <c r="AU975" s="721"/>
      <c r="AV975" s="721"/>
      <c r="AW975" s="828"/>
      <c r="AX975" s="726"/>
    </row>
    <row r="976" spans="1:50" ht="15" x14ac:dyDescent="0.25">
      <c r="A976" s="721"/>
      <c r="B976" s="904"/>
      <c r="C976" s="721"/>
      <c r="D976" s="721"/>
      <c r="E976" s="721"/>
      <c r="F976" s="721"/>
      <c r="G976" s="721"/>
      <c r="H976" s="721"/>
      <c r="I976" s="721"/>
      <c r="J976" s="721"/>
      <c r="K976" s="721"/>
      <c r="L976" s="721"/>
      <c r="M976" s="930"/>
      <c r="N976" s="930"/>
      <c r="O976" s="930"/>
      <c r="P976" s="931"/>
      <c r="Q976" s="931"/>
      <c r="R976" s="930"/>
      <c r="S976" s="930"/>
      <c r="T976" s="932"/>
      <c r="U976" s="933"/>
      <c r="V976" s="934"/>
      <c r="W976" s="934"/>
      <c r="X976" s="932"/>
      <c r="Y976" s="932"/>
      <c r="Z976" s="932"/>
      <c r="AA976" s="726"/>
      <c r="AB976" s="726"/>
      <c r="AC976" s="721"/>
      <c r="AD976" s="586"/>
      <c r="AE976" s="586"/>
      <c r="AF976" s="170"/>
      <c r="AG976" s="170"/>
      <c r="AH976" s="170"/>
      <c r="AI976" s="170"/>
      <c r="AJ976" s="170"/>
      <c r="AK976" s="170"/>
      <c r="AL976" s="170"/>
      <c r="AM976" s="170"/>
      <c r="AN976" s="170"/>
      <c r="AO976" s="170"/>
      <c r="AP976" s="170"/>
      <c r="AQ976" s="170"/>
      <c r="AR976" s="170"/>
      <c r="AS976" s="170"/>
      <c r="AT976" s="721"/>
      <c r="AU976" s="721"/>
      <c r="AV976" s="721"/>
      <c r="AW976" s="828"/>
      <c r="AX976" s="726"/>
    </row>
    <row r="977" spans="1:50" ht="15" x14ac:dyDescent="0.25">
      <c r="A977" s="721"/>
      <c r="B977" s="904"/>
      <c r="C977" s="721"/>
      <c r="D977" s="721"/>
      <c r="E977" s="721"/>
      <c r="F977" s="721"/>
      <c r="G977" s="721"/>
      <c r="H977" s="721"/>
      <c r="I977" s="721"/>
      <c r="J977" s="721"/>
      <c r="K977" s="721"/>
      <c r="L977" s="721"/>
      <c r="M977" s="930"/>
      <c r="N977" s="930"/>
      <c r="O977" s="930"/>
      <c r="P977" s="931"/>
      <c r="Q977" s="931"/>
      <c r="R977" s="930"/>
      <c r="S977" s="930"/>
      <c r="T977" s="932"/>
      <c r="U977" s="933"/>
      <c r="V977" s="934"/>
      <c r="W977" s="934"/>
      <c r="X977" s="932"/>
      <c r="Y977" s="932"/>
      <c r="Z977" s="932"/>
      <c r="AA977" s="726"/>
      <c r="AB977" s="726"/>
      <c r="AC977" s="721"/>
      <c r="AD977" s="586"/>
      <c r="AE977" s="586"/>
      <c r="AF977" s="170"/>
      <c r="AG977" s="170"/>
      <c r="AH977" s="170"/>
      <c r="AI977" s="170"/>
      <c r="AJ977" s="170"/>
      <c r="AK977" s="170"/>
      <c r="AL977" s="170"/>
      <c r="AM977" s="170"/>
      <c r="AN977" s="170"/>
      <c r="AO977" s="170"/>
      <c r="AP977" s="170"/>
      <c r="AQ977" s="170"/>
      <c r="AR977" s="170"/>
      <c r="AS977" s="170"/>
      <c r="AT977" s="721"/>
      <c r="AU977" s="721"/>
      <c r="AV977" s="721"/>
      <c r="AW977" s="828"/>
      <c r="AX977" s="726"/>
    </row>
    <row r="978" spans="1:50" ht="15" x14ac:dyDescent="0.25">
      <c r="A978" s="721"/>
      <c r="B978" s="904"/>
      <c r="C978" s="721"/>
      <c r="D978" s="721"/>
      <c r="E978" s="721"/>
      <c r="F978" s="721"/>
      <c r="G978" s="721"/>
      <c r="H978" s="721"/>
      <c r="I978" s="721"/>
      <c r="J978" s="721"/>
      <c r="K978" s="721"/>
      <c r="L978" s="721"/>
      <c r="M978" s="930"/>
      <c r="N978" s="930"/>
      <c r="O978" s="930"/>
      <c r="P978" s="931"/>
      <c r="Q978" s="931"/>
      <c r="R978" s="930"/>
      <c r="S978" s="930"/>
      <c r="T978" s="932"/>
      <c r="U978" s="933"/>
      <c r="V978" s="934"/>
      <c r="W978" s="934"/>
      <c r="X978" s="932"/>
      <c r="Y978" s="932"/>
      <c r="Z978" s="932"/>
      <c r="AA978" s="726"/>
      <c r="AB978" s="726"/>
      <c r="AC978" s="721"/>
      <c r="AD978" s="586"/>
      <c r="AE978" s="586"/>
      <c r="AF978" s="170"/>
      <c r="AG978" s="170"/>
      <c r="AH978" s="170"/>
      <c r="AI978" s="170"/>
      <c r="AJ978" s="170"/>
      <c r="AK978" s="170"/>
      <c r="AL978" s="170"/>
      <c r="AM978" s="170"/>
      <c r="AN978" s="170"/>
      <c r="AO978" s="170"/>
      <c r="AP978" s="170"/>
      <c r="AQ978" s="170"/>
      <c r="AR978" s="170"/>
      <c r="AS978" s="170"/>
      <c r="AT978" s="721"/>
      <c r="AU978" s="721"/>
      <c r="AV978" s="721"/>
      <c r="AW978" s="828"/>
      <c r="AX978" s="726"/>
    </row>
    <row r="979" spans="1:50" ht="15" x14ac:dyDescent="0.25">
      <c r="A979" s="721"/>
      <c r="B979" s="904"/>
      <c r="C979" s="721"/>
      <c r="D979" s="721"/>
      <c r="E979" s="721"/>
      <c r="F979" s="721"/>
      <c r="G979" s="721"/>
      <c r="H979" s="721"/>
      <c r="I979" s="721"/>
      <c r="J979" s="721"/>
      <c r="K979" s="721"/>
      <c r="L979" s="721"/>
      <c r="M979" s="930"/>
      <c r="N979" s="930"/>
      <c r="O979" s="930"/>
      <c r="P979" s="931"/>
      <c r="Q979" s="931"/>
      <c r="R979" s="930"/>
      <c r="S979" s="930"/>
      <c r="T979" s="932"/>
      <c r="U979" s="933"/>
      <c r="V979" s="934"/>
      <c r="W979" s="934"/>
      <c r="X979" s="932"/>
      <c r="Y979" s="932"/>
      <c r="Z979" s="932"/>
      <c r="AA979" s="726"/>
      <c r="AB979" s="726"/>
      <c r="AC979" s="721"/>
      <c r="AD979" s="586"/>
      <c r="AE979" s="586"/>
      <c r="AF979" s="170"/>
      <c r="AG979" s="170"/>
      <c r="AH979" s="170"/>
      <c r="AI979" s="170"/>
      <c r="AJ979" s="170"/>
      <c r="AK979" s="170"/>
      <c r="AL979" s="170"/>
      <c r="AM979" s="170"/>
      <c r="AN979" s="170"/>
      <c r="AO979" s="170"/>
      <c r="AP979" s="170"/>
      <c r="AQ979" s="170"/>
      <c r="AR979" s="170"/>
      <c r="AS979" s="170"/>
      <c r="AT979" s="721"/>
      <c r="AU979" s="721"/>
      <c r="AV979" s="721"/>
      <c r="AW979" s="828"/>
      <c r="AX979" s="726"/>
    </row>
    <row r="980" spans="1:50" ht="15" x14ac:dyDescent="0.25">
      <c r="A980" s="721"/>
      <c r="B980" s="904"/>
      <c r="C980" s="721"/>
      <c r="D980" s="721"/>
      <c r="E980" s="721"/>
      <c r="F980" s="721"/>
      <c r="G980" s="721"/>
      <c r="H980" s="721"/>
      <c r="I980" s="721"/>
      <c r="J980" s="721"/>
      <c r="K980" s="721"/>
      <c r="L980" s="721"/>
      <c r="M980" s="930"/>
      <c r="N980" s="930"/>
      <c r="O980" s="930"/>
      <c r="P980" s="931"/>
      <c r="Q980" s="931"/>
      <c r="R980" s="930"/>
      <c r="S980" s="930"/>
      <c r="T980" s="932"/>
      <c r="U980" s="933"/>
      <c r="V980" s="934"/>
      <c r="W980" s="934"/>
      <c r="X980" s="932"/>
      <c r="Y980" s="932"/>
      <c r="Z980" s="932"/>
      <c r="AA980" s="726"/>
      <c r="AB980" s="726"/>
      <c r="AC980" s="721"/>
      <c r="AD980" s="586"/>
      <c r="AE980" s="586"/>
      <c r="AF980" s="170"/>
      <c r="AG980" s="170"/>
      <c r="AH980" s="170"/>
      <c r="AI980" s="170"/>
      <c r="AJ980" s="170"/>
      <c r="AK980" s="170"/>
      <c r="AL980" s="170"/>
      <c r="AM980" s="170"/>
      <c r="AN980" s="170"/>
      <c r="AO980" s="170"/>
      <c r="AP980" s="170"/>
      <c r="AQ980" s="170"/>
      <c r="AR980" s="170"/>
      <c r="AS980" s="170"/>
      <c r="AT980" s="721"/>
      <c r="AU980" s="721"/>
      <c r="AV980" s="721"/>
      <c r="AW980" s="828"/>
      <c r="AX980" s="726"/>
    </row>
    <row r="981" spans="1:50" ht="15" x14ac:dyDescent="0.25">
      <c r="A981" s="721"/>
      <c r="B981" s="904"/>
      <c r="C981" s="721"/>
      <c r="D981" s="721"/>
      <c r="E981" s="721"/>
      <c r="F981" s="721"/>
      <c r="G981" s="721"/>
      <c r="H981" s="721"/>
      <c r="I981" s="721"/>
      <c r="J981" s="721"/>
      <c r="K981" s="721"/>
      <c r="L981" s="721"/>
      <c r="M981" s="930"/>
      <c r="N981" s="930"/>
      <c r="O981" s="930"/>
      <c r="P981" s="931"/>
      <c r="Q981" s="931"/>
      <c r="R981" s="930"/>
      <c r="S981" s="930"/>
      <c r="T981" s="932"/>
      <c r="U981" s="933"/>
      <c r="V981" s="934"/>
      <c r="W981" s="934"/>
      <c r="X981" s="932"/>
      <c r="Y981" s="932"/>
      <c r="Z981" s="932"/>
      <c r="AA981" s="726"/>
      <c r="AB981" s="726"/>
      <c r="AC981" s="721"/>
      <c r="AD981" s="586"/>
      <c r="AE981" s="586"/>
      <c r="AF981" s="170"/>
      <c r="AG981" s="170"/>
      <c r="AH981" s="170"/>
      <c r="AI981" s="170"/>
      <c r="AJ981" s="170"/>
      <c r="AK981" s="170"/>
      <c r="AL981" s="170"/>
      <c r="AM981" s="170"/>
      <c r="AN981" s="170"/>
      <c r="AO981" s="170"/>
      <c r="AP981" s="170"/>
      <c r="AQ981" s="170"/>
      <c r="AR981" s="170"/>
      <c r="AS981" s="170"/>
      <c r="AT981" s="721"/>
      <c r="AU981" s="721"/>
      <c r="AV981" s="721"/>
      <c r="AW981" s="828"/>
      <c r="AX981" s="726"/>
    </row>
    <row r="982" spans="1:50" ht="15" x14ac:dyDescent="0.25">
      <c r="A982" s="721"/>
      <c r="B982" s="904"/>
      <c r="C982" s="721"/>
      <c r="D982" s="721"/>
      <c r="E982" s="721"/>
      <c r="F982" s="721"/>
      <c r="G982" s="721"/>
      <c r="H982" s="721"/>
      <c r="I982" s="721"/>
      <c r="J982" s="721"/>
      <c r="K982" s="721"/>
      <c r="L982" s="721"/>
      <c r="M982" s="930"/>
      <c r="N982" s="930"/>
      <c r="O982" s="930"/>
      <c r="P982" s="931"/>
      <c r="Q982" s="931"/>
      <c r="R982" s="930"/>
      <c r="S982" s="930"/>
      <c r="T982" s="932"/>
      <c r="U982" s="933"/>
      <c r="V982" s="934"/>
      <c r="W982" s="934"/>
      <c r="X982" s="932"/>
      <c r="Y982" s="932"/>
      <c r="Z982" s="932"/>
      <c r="AA982" s="726"/>
      <c r="AB982" s="726"/>
      <c r="AC982" s="721"/>
      <c r="AD982" s="586"/>
      <c r="AE982" s="586"/>
      <c r="AF982" s="170"/>
      <c r="AG982" s="170"/>
      <c r="AH982" s="170"/>
      <c r="AI982" s="170"/>
      <c r="AJ982" s="170"/>
      <c r="AK982" s="170"/>
      <c r="AL982" s="170"/>
      <c r="AM982" s="170"/>
      <c r="AN982" s="170"/>
      <c r="AO982" s="170"/>
      <c r="AP982" s="170"/>
      <c r="AQ982" s="170"/>
      <c r="AR982" s="170"/>
      <c r="AS982" s="170"/>
      <c r="AT982" s="721"/>
      <c r="AU982" s="721"/>
      <c r="AV982" s="721"/>
      <c r="AW982" s="828"/>
      <c r="AX982" s="726"/>
    </row>
    <row r="983" spans="1:50" ht="15" x14ac:dyDescent="0.25">
      <c r="A983" s="721"/>
      <c r="B983" s="904"/>
      <c r="C983" s="721"/>
      <c r="D983" s="721"/>
      <c r="E983" s="721"/>
      <c r="F983" s="721"/>
      <c r="G983" s="721"/>
      <c r="H983" s="721"/>
      <c r="I983" s="721"/>
      <c r="J983" s="721"/>
      <c r="K983" s="721"/>
      <c r="L983" s="721"/>
      <c r="M983" s="930"/>
      <c r="N983" s="930"/>
      <c r="O983" s="930"/>
      <c r="P983" s="931"/>
      <c r="Q983" s="931"/>
      <c r="R983" s="930"/>
      <c r="S983" s="930"/>
      <c r="T983" s="932"/>
      <c r="U983" s="933"/>
      <c r="V983" s="934"/>
      <c r="W983" s="934"/>
      <c r="X983" s="932"/>
      <c r="Y983" s="932"/>
      <c r="Z983" s="932"/>
      <c r="AA983" s="726"/>
      <c r="AB983" s="726"/>
      <c r="AC983" s="721"/>
      <c r="AD983" s="586"/>
      <c r="AE983" s="586"/>
      <c r="AF983" s="170"/>
      <c r="AG983" s="170"/>
      <c r="AH983" s="170"/>
      <c r="AI983" s="170"/>
      <c r="AJ983" s="170"/>
      <c r="AK983" s="170"/>
      <c r="AL983" s="170"/>
      <c r="AM983" s="170"/>
      <c r="AN983" s="170"/>
      <c r="AO983" s="170"/>
      <c r="AP983" s="170"/>
      <c r="AQ983" s="170"/>
      <c r="AR983" s="170"/>
      <c r="AS983" s="170"/>
      <c r="AT983" s="721"/>
      <c r="AU983" s="721"/>
      <c r="AV983" s="721"/>
      <c r="AW983" s="828"/>
      <c r="AX983" s="726"/>
    </row>
    <row r="984" spans="1:50" ht="15" x14ac:dyDescent="0.25">
      <c r="A984" s="721"/>
      <c r="B984" s="904"/>
      <c r="C984" s="721"/>
      <c r="D984" s="721"/>
      <c r="E984" s="721"/>
      <c r="F984" s="721"/>
      <c r="G984" s="721"/>
      <c r="H984" s="721"/>
      <c r="I984" s="721"/>
      <c r="J984" s="721"/>
      <c r="K984" s="721"/>
      <c r="L984" s="721"/>
      <c r="M984" s="930"/>
      <c r="N984" s="930"/>
      <c r="O984" s="930"/>
      <c r="P984" s="931"/>
      <c r="Q984" s="931"/>
      <c r="R984" s="930"/>
      <c r="S984" s="930"/>
      <c r="T984" s="932"/>
      <c r="U984" s="933"/>
      <c r="V984" s="934"/>
      <c r="W984" s="934"/>
      <c r="X984" s="932"/>
      <c r="Y984" s="932"/>
      <c r="Z984" s="932"/>
      <c r="AA984" s="726"/>
      <c r="AB984" s="726"/>
      <c r="AC984" s="721"/>
      <c r="AD984" s="586"/>
      <c r="AE984" s="586"/>
      <c r="AF984" s="170"/>
      <c r="AG984" s="170"/>
      <c r="AH984" s="170"/>
      <c r="AI984" s="170"/>
      <c r="AJ984" s="170"/>
      <c r="AK984" s="170"/>
      <c r="AL984" s="170"/>
      <c r="AM984" s="170"/>
      <c r="AN984" s="170"/>
      <c r="AO984" s="170"/>
      <c r="AP984" s="170"/>
      <c r="AQ984" s="170"/>
      <c r="AR984" s="170"/>
      <c r="AS984" s="170"/>
      <c r="AT984" s="721"/>
      <c r="AU984" s="721"/>
      <c r="AV984" s="721"/>
      <c r="AW984" s="828"/>
      <c r="AX984" s="726"/>
    </row>
    <row r="985" spans="1:50" ht="15" x14ac:dyDescent="0.25">
      <c r="A985" s="721"/>
      <c r="B985" s="904"/>
      <c r="C985" s="721"/>
      <c r="D985" s="721"/>
      <c r="E985" s="721"/>
      <c r="F985" s="721"/>
      <c r="G985" s="721"/>
      <c r="H985" s="721"/>
      <c r="I985" s="721"/>
      <c r="J985" s="721"/>
      <c r="K985" s="721"/>
      <c r="L985" s="721"/>
      <c r="M985" s="930"/>
      <c r="N985" s="930"/>
      <c r="O985" s="930"/>
      <c r="P985" s="931"/>
      <c r="Q985" s="931"/>
      <c r="R985" s="930"/>
      <c r="S985" s="930"/>
      <c r="T985" s="932"/>
      <c r="U985" s="933"/>
      <c r="V985" s="934"/>
      <c r="W985" s="934"/>
      <c r="X985" s="932"/>
      <c r="Y985" s="932"/>
      <c r="Z985" s="932"/>
      <c r="AA985" s="726"/>
      <c r="AB985" s="726"/>
      <c r="AC985" s="721"/>
      <c r="AD985" s="586"/>
      <c r="AE985" s="586"/>
      <c r="AF985" s="170"/>
      <c r="AG985" s="170"/>
      <c r="AH985" s="170"/>
      <c r="AI985" s="170"/>
      <c r="AJ985" s="170"/>
      <c r="AK985" s="170"/>
      <c r="AL985" s="170"/>
      <c r="AM985" s="170"/>
      <c r="AN985" s="170"/>
      <c r="AO985" s="170"/>
      <c r="AP985" s="170"/>
      <c r="AQ985" s="170"/>
      <c r="AR985" s="170"/>
      <c r="AS985" s="170"/>
      <c r="AT985" s="721"/>
      <c r="AU985" s="721"/>
      <c r="AV985" s="721"/>
      <c r="AW985" s="828"/>
      <c r="AX985" s="726"/>
    </row>
    <row r="986" spans="1:50" ht="15" x14ac:dyDescent="0.25">
      <c r="A986" s="721"/>
      <c r="B986" s="904"/>
      <c r="C986" s="721"/>
      <c r="D986" s="721"/>
      <c r="E986" s="721"/>
      <c r="F986" s="721"/>
      <c r="G986" s="721"/>
      <c r="H986" s="721"/>
      <c r="I986" s="721"/>
      <c r="J986" s="721"/>
      <c r="K986" s="721"/>
      <c r="L986" s="721"/>
      <c r="M986" s="930"/>
      <c r="N986" s="930"/>
      <c r="O986" s="930"/>
      <c r="P986" s="931"/>
      <c r="Q986" s="931"/>
      <c r="R986" s="930"/>
      <c r="S986" s="930"/>
      <c r="T986" s="932"/>
      <c r="U986" s="933"/>
      <c r="V986" s="934"/>
      <c r="W986" s="934"/>
      <c r="X986" s="932"/>
      <c r="Y986" s="932"/>
      <c r="Z986" s="932"/>
      <c r="AA986" s="726"/>
      <c r="AB986" s="726"/>
      <c r="AC986" s="721"/>
      <c r="AD986" s="586"/>
      <c r="AE986" s="586"/>
      <c r="AF986" s="170"/>
      <c r="AG986" s="170"/>
      <c r="AH986" s="170"/>
      <c r="AI986" s="170"/>
      <c r="AJ986" s="170"/>
      <c r="AK986" s="170"/>
      <c r="AL986" s="170"/>
      <c r="AM986" s="170"/>
      <c r="AN986" s="170"/>
      <c r="AO986" s="170"/>
      <c r="AP986" s="170"/>
      <c r="AQ986" s="170"/>
      <c r="AR986" s="170"/>
      <c r="AS986" s="170"/>
      <c r="AT986" s="721"/>
      <c r="AU986" s="721"/>
      <c r="AV986" s="721"/>
      <c r="AW986" s="828"/>
      <c r="AX986" s="726"/>
    </row>
    <row r="987" spans="1:50" ht="15" x14ac:dyDescent="0.25">
      <c r="A987" s="721"/>
      <c r="B987" s="904"/>
      <c r="C987" s="721"/>
      <c r="D987" s="721"/>
      <c r="E987" s="721"/>
      <c r="F987" s="721"/>
      <c r="G987" s="721"/>
      <c r="H987" s="721"/>
      <c r="I987" s="721"/>
      <c r="J987" s="721"/>
      <c r="K987" s="721"/>
      <c r="L987" s="721"/>
      <c r="M987" s="930"/>
      <c r="N987" s="930"/>
      <c r="O987" s="930"/>
      <c r="P987" s="931"/>
      <c r="Q987" s="931"/>
      <c r="R987" s="930"/>
      <c r="S987" s="930"/>
      <c r="T987" s="932"/>
      <c r="U987" s="933"/>
      <c r="V987" s="934"/>
      <c r="W987" s="934"/>
      <c r="X987" s="932"/>
      <c r="Y987" s="932"/>
      <c r="Z987" s="932"/>
      <c r="AA987" s="726"/>
      <c r="AB987" s="726"/>
      <c r="AC987" s="721"/>
      <c r="AD987" s="586"/>
      <c r="AE987" s="586"/>
      <c r="AF987" s="170"/>
      <c r="AG987" s="170"/>
      <c r="AH987" s="170"/>
      <c r="AI987" s="170"/>
      <c r="AJ987" s="170"/>
      <c r="AK987" s="170"/>
      <c r="AL987" s="170"/>
      <c r="AM987" s="170"/>
      <c r="AN987" s="170"/>
      <c r="AO987" s="170"/>
      <c r="AP987" s="170"/>
      <c r="AQ987" s="170"/>
      <c r="AR987" s="170"/>
      <c r="AS987" s="170"/>
      <c r="AT987" s="721"/>
      <c r="AU987" s="721"/>
      <c r="AV987" s="721"/>
      <c r="AW987" s="828"/>
      <c r="AX987" s="726"/>
    </row>
    <row r="988" spans="1:50" ht="15" x14ac:dyDescent="0.25">
      <c r="A988" s="721"/>
      <c r="B988" s="904"/>
      <c r="C988" s="721"/>
      <c r="D988" s="721"/>
      <c r="E988" s="721"/>
      <c r="F988" s="721"/>
      <c r="G988" s="721"/>
      <c r="H988" s="721"/>
      <c r="I988" s="721"/>
      <c r="J988" s="721"/>
      <c r="K988" s="721"/>
      <c r="L988" s="721"/>
      <c r="M988" s="930"/>
      <c r="N988" s="930"/>
      <c r="O988" s="930"/>
      <c r="P988" s="931"/>
      <c r="Q988" s="931"/>
      <c r="R988" s="930"/>
      <c r="S988" s="930"/>
      <c r="T988" s="932"/>
      <c r="U988" s="933"/>
      <c r="V988" s="934"/>
      <c r="W988" s="934"/>
      <c r="X988" s="932"/>
      <c r="Y988" s="932"/>
      <c r="Z988" s="932"/>
      <c r="AA988" s="726"/>
      <c r="AB988" s="726"/>
      <c r="AC988" s="721"/>
      <c r="AD988" s="586"/>
      <c r="AE988" s="586"/>
      <c r="AF988" s="170"/>
      <c r="AG988" s="170"/>
      <c r="AH988" s="170"/>
      <c r="AI988" s="170"/>
      <c r="AJ988" s="170"/>
      <c r="AK988" s="170"/>
      <c r="AL988" s="170"/>
      <c r="AM988" s="170"/>
      <c r="AN988" s="170"/>
      <c r="AO988" s="170"/>
      <c r="AP988" s="170"/>
      <c r="AQ988" s="170"/>
      <c r="AR988" s="170"/>
      <c r="AS988" s="170"/>
      <c r="AT988" s="721"/>
      <c r="AU988" s="721"/>
      <c r="AV988" s="721"/>
      <c r="AW988" s="828"/>
      <c r="AX988" s="726"/>
    </row>
    <row r="989" spans="1:50" ht="15" x14ac:dyDescent="0.25">
      <c r="A989" s="721"/>
      <c r="B989" s="904"/>
      <c r="C989" s="721"/>
      <c r="D989" s="721"/>
      <c r="E989" s="721"/>
      <c r="F989" s="721"/>
      <c r="G989" s="721"/>
      <c r="H989" s="721"/>
      <c r="I989" s="721"/>
      <c r="J989" s="721"/>
      <c r="K989" s="721"/>
      <c r="L989" s="721"/>
      <c r="M989" s="930"/>
      <c r="N989" s="930"/>
      <c r="O989" s="930"/>
      <c r="P989" s="931"/>
      <c r="Q989" s="931"/>
      <c r="R989" s="930"/>
      <c r="S989" s="930"/>
      <c r="T989" s="932"/>
      <c r="U989" s="933"/>
      <c r="V989" s="934"/>
      <c r="W989" s="934"/>
      <c r="X989" s="932"/>
      <c r="Y989" s="932"/>
      <c r="Z989" s="932"/>
      <c r="AA989" s="726"/>
      <c r="AB989" s="726"/>
      <c r="AC989" s="721"/>
      <c r="AD989" s="586"/>
      <c r="AE989" s="586"/>
      <c r="AF989" s="170"/>
      <c r="AG989" s="170"/>
      <c r="AH989" s="170"/>
      <c r="AI989" s="170"/>
      <c r="AJ989" s="170"/>
      <c r="AK989" s="170"/>
      <c r="AL989" s="170"/>
      <c r="AM989" s="170"/>
      <c r="AN989" s="170"/>
      <c r="AO989" s="170"/>
      <c r="AP989" s="170"/>
      <c r="AQ989" s="170"/>
      <c r="AR989" s="170"/>
      <c r="AS989" s="170"/>
      <c r="AT989" s="721"/>
      <c r="AU989" s="721"/>
      <c r="AV989" s="721"/>
      <c r="AW989" s="828"/>
      <c r="AX989" s="726"/>
    </row>
    <row r="990" spans="1:50" ht="15" x14ac:dyDescent="0.25">
      <c r="A990" s="721"/>
      <c r="B990" s="904"/>
      <c r="C990" s="721"/>
      <c r="D990" s="721"/>
      <c r="E990" s="721"/>
      <c r="F990" s="721"/>
      <c r="G990" s="721"/>
      <c r="H990" s="721"/>
      <c r="I990" s="721"/>
      <c r="J990" s="721"/>
      <c r="K990" s="721"/>
      <c r="L990" s="721"/>
      <c r="M990" s="930"/>
      <c r="N990" s="930"/>
      <c r="O990" s="930"/>
      <c r="P990" s="931"/>
      <c r="Q990" s="931"/>
      <c r="R990" s="930"/>
      <c r="S990" s="930"/>
      <c r="T990" s="932"/>
      <c r="U990" s="933"/>
      <c r="V990" s="934"/>
      <c r="W990" s="934"/>
      <c r="X990" s="932"/>
      <c r="Y990" s="932"/>
      <c r="Z990" s="932"/>
      <c r="AA990" s="726"/>
      <c r="AB990" s="726"/>
      <c r="AC990" s="721"/>
      <c r="AD990" s="586"/>
      <c r="AE990" s="586"/>
      <c r="AF990" s="170"/>
      <c r="AG990" s="170"/>
      <c r="AH990" s="170"/>
      <c r="AI990" s="170"/>
      <c r="AJ990" s="170"/>
      <c r="AK990" s="170"/>
      <c r="AL990" s="170"/>
      <c r="AM990" s="170"/>
      <c r="AN990" s="170"/>
      <c r="AO990" s="170"/>
      <c r="AP990" s="170"/>
      <c r="AQ990" s="170"/>
      <c r="AR990" s="170"/>
      <c r="AS990" s="170"/>
      <c r="AT990" s="721"/>
      <c r="AU990" s="721"/>
      <c r="AV990" s="721"/>
      <c r="AW990" s="828"/>
      <c r="AX990" s="726"/>
    </row>
    <row r="991" spans="1:50" ht="15" x14ac:dyDescent="0.25">
      <c r="A991" s="721"/>
      <c r="B991" s="904"/>
      <c r="C991" s="721"/>
      <c r="D991" s="721"/>
      <c r="E991" s="721"/>
      <c r="F991" s="721"/>
      <c r="G991" s="721"/>
      <c r="H991" s="721"/>
      <c r="I991" s="721"/>
      <c r="J991" s="721"/>
      <c r="K991" s="721"/>
      <c r="L991" s="721"/>
      <c r="M991" s="930"/>
      <c r="N991" s="930"/>
      <c r="O991" s="930"/>
      <c r="P991" s="931"/>
      <c r="Q991" s="931"/>
      <c r="R991" s="930"/>
      <c r="S991" s="930"/>
      <c r="T991" s="932"/>
      <c r="U991" s="933"/>
      <c r="V991" s="934"/>
      <c r="W991" s="934"/>
      <c r="X991" s="932"/>
      <c r="Y991" s="932"/>
      <c r="Z991" s="932"/>
      <c r="AA991" s="726"/>
      <c r="AB991" s="726"/>
      <c r="AC991" s="721"/>
      <c r="AD991" s="586"/>
      <c r="AE991" s="586"/>
      <c r="AF991" s="170"/>
      <c r="AG991" s="170"/>
      <c r="AH991" s="170"/>
      <c r="AI991" s="170"/>
      <c r="AJ991" s="170"/>
      <c r="AK991" s="170"/>
      <c r="AL991" s="170"/>
      <c r="AM991" s="170"/>
      <c r="AN991" s="170"/>
      <c r="AO991" s="170"/>
      <c r="AP991" s="170"/>
      <c r="AQ991" s="170"/>
      <c r="AR991" s="170"/>
      <c r="AS991" s="170"/>
      <c r="AT991" s="721"/>
      <c r="AU991" s="721"/>
      <c r="AV991" s="721"/>
      <c r="AW991" s="828"/>
      <c r="AX991" s="726"/>
    </row>
    <row r="992" spans="1:50" ht="15" x14ac:dyDescent="0.25">
      <c r="A992" s="721"/>
      <c r="B992" s="904"/>
      <c r="C992" s="721"/>
      <c r="D992" s="721"/>
      <c r="E992" s="721"/>
      <c r="F992" s="721"/>
      <c r="G992" s="721"/>
      <c r="H992" s="721"/>
      <c r="I992" s="721"/>
      <c r="J992" s="721"/>
      <c r="K992" s="721"/>
      <c r="L992" s="721"/>
      <c r="M992" s="930"/>
      <c r="N992" s="930"/>
      <c r="O992" s="930"/>
      <c r="P992" s="931"/>
      <c r="Q992" s="931"/>
      <c r="R992" s="930"/>
      <c r="S992" s="930"/>
      <c r="T992" s="932"/>
      <c r="U992" s="933"/>
      <c r="V992" s="934"/>
      <c r="W992" s="934"/>
      <c r="X992" s="932"/>
      <c r="Y992" s="932"/>
      <c r="Z992" s="932"/>
      <c r="AA992" s="726"/>
      <c r="AB992" s="726"/>
      <c r="AC992" s="721"/>
      <c r="AD992" s="586"/>
      <c r="AE992" s="586"/>
      <c r="AF992" s="170"/>
      <c r="AG992" s="170"/>
      <c r="AH992" s="170"/>
      <c r="AI992" s="170"/>
      <c r="AJ992" s="170"/>
      <c r="AK992" s="170"/>
      <c r="AL992" s="170"/>
      <c r="AM992" s="170"/>
      <c r="AN992" s="170"/>
      <c r="AO992" s="170"/>
      <c r="AP992" s="170"/>
      <c r="AQ992" s="170"/>
      <c r="AR992" s="170"/>
      <c r="AS992" s="170"/>
      <c r="AT992" s="721"/>
      <c r="AU992" s="721"/>
      <c r="AV992" s="721"/>
      <c r="AW992" s="828"/>
      <c r="AX992" s="726"/>
    </row>
    <row r="993" spans="1:50" ht="15" x14ac:dyDescent="0.25">
      <c r="A993" s="721"/>
      <c r="B993" s="904"/>
      <c r="C993" s="721"/>
      <c r="D993" s="721"/>
      <c r="E993" s="721"/>
      <c r="F993" s="721"/>
      <c r="G993" s="721"/>
      <c r="H993" s="721"/>
      <c r="I993" s="721"/>
      <c r="J993" s="721"/>
      <c r="K993" s="721"/>
      <c r="L993" s="721"/>
      <c r="M993" s="930"/>
      <c r="N993" s="930"/>
      <c r="O993" s="930"/>
      <c r="P993" s="931"/>
      <c r="Q993" s="931"/>
      <c r="R993" s="930"/>
      <c r="S993" s="930"/>
      <c r="T993" s="932"/>
      <c r="U993" s="933"/>
      <c r="V993" s="934"/>
      <c r="W993" s="934"/>
      <c r="X993" s="932"/>
      <c r="Y993" s="932"/>
      <c r="Z993" s="932"/>
      <c r="AA993" s="726"/>
      <c r="AB993" s="726"/>
      <c r="AC993" s="721"/>
      <c r="AD993" s="586"/>
      <c r="AE993" s="586"/>
      <c r="AF993" s="170"/>
      <c r="AG993" s="170"/>
      <c r="AH993" s="170"/>
      <c r="AI993" s="170"/>
      <c r="AJ993" s="170"/>
      <c r="AK993" s="170"/>
      <c r="AL993" s="170"/>
      <c r="AM993" s="170"/>
      <c r="AN993" s="170"/>
      <c r="AO993" s="170"/>
      <c r="AP993" s="170"/>
      <c r="AQ993" s="170"/>
      <c r="AR993" s="170"/>
      <c r="AS993" s="170"/>
      <c r="AT993" s="721"/>
      <c r="AU993" s="721"/>
      <c r="AV993" s="721"/>
      <c r="AW993" s="828"/>
      <c r="AX993" s="726"/>
    </row>
    <row r="994" spans="1:50" ht="15" x14ac:dyDescent="0.25">
      <c r="A994" s="721"/>
      <c r="B994" s="904"/>
      <c r="C994" s="721"/>
      <c r="D994" s="721"/>
      <c r="E994" s="721"/>
      <c r="F994" s="721"/>
      <c r="G994" s="721"/>
      <c r="H994" s="721"/>
      <c r="I994" s="721"/>
      <c r="J994" s="721"/>
      <c r="K994" s="721"/>
      <c r="L994" s="721"/>
      <c r="M994" s="930"/>
      <c r="N994" s="930"/>
      <c r="O994" s="930"/>
      <c r="P994" s="931"/>
      <c r="Q994" s="931"/>
      <c r="R994" s="930"/>
      <c r="S994" s="930"/>
      <c r="T994" s="932"/>
      <c r="U994" s="933"/>
      <c r="V994" s="934"/>
      <c r="W994" s="934"/>
      <c r="X994" s="932"/>
      <c r="Y994" s="932"/>
      <c r="Z994" s="932"/>
      <c r="AA994" s="726"/>
      <c r="AB994" s="726"/>
      <c r="AC994" s="721"/>
      <c r="AD994" s="586"/>
      <c r="AE994" s="586"/>
      <c r="AF994" s="170"/>
      <c r="AG994" s="170"/>
      <c r="AH994" s="170"/>
      <c r="AI994" s="170"/>
      <c r="AJ994" s="170"/>
      <c r="AK994" s="170"/>
      <c r="AL994" s="170"/>
      <c r="AM994" s="170"/>
      <c r="AN994" s="170"/>
      <c r="AO994" s="170"/>
      <c r="AP994" s="170"/>
      <c r="AQ994" s="170"/>
      <c r="AR994" s="170"/>
      <c r="AS994" s="170"/>
      <c r="AT994" s="721"/>
      <c r="AU994" s="721"/>
      <c r="AV994" s="721"/>
      <c r="AW994" s="828"/>
      <c r="AX994" s="726"/>
    </row>
    <row r="995" spans="1:50" ht="15" x14ac:dyDescent="0.25">
      <c r="A995" s="721"/>
      <c r="B995" s="904"/>
      <c r="C995" s="721"/>
      <c r="D995" s="721"/>
      <c r="E995" s="721"/>
      <c r="F995" s="721"/>
      <c r="G995" s="721"/>
      <c r="H995" s="721"/>
      <c r="I995" s="721"/>
      <c r="J995" s="721"/>
      <c r="K995" s="721"/>
      <c r="L995" s="721"/>
      <c r="M995" s="930"/>
      <c r="N995" s="930"/>
      <c r="O995" s="930"/>
      <c r="P995" s="931"/>
      <c r="Q995" s="931"/>
      <c r="R995" s="930"/>
      <c r="S995" s="930"/>
      <c r="T995" s="932"/>
      <c r="U995" s="933"/>
      <c r="V995" s="934"/>
      <c r="W995" s="934"/>
      <c r="X995" s="932"/>
      <c r="Y995" s="932"/>
      <c r="Z995" s="932"/>
      <c r="AA995" s="726"/>
      <c r="AB995" s="726"/>
      <c r="AC995" s="721"/>
      <c r="AD995" s="586"/>
      <c r="AE995" s="586"/>
      <c r="AF995" s="170"/>
      <c r="AG995" s="170"/>
      <c r="AH995" s="170"/>
      <c r="AI995" s="170"/>
      <c r="AJ995" s="170"/>
      <c r="AK995" s="170"/>
      <c r="AL995" s="170"/>
      <c r="AM995" s="170"/>
      <c r="AN995" s="170"/>
      <c r="AO995" s="170"/>
      <c r="AP995" s="170"/>
      <c r="AQ995" s="170"/>
      <c r="AR995" s="170"/>
      <c r="AS995" s="170"/>
      <c r="AT995" s="721"/>
      <c r="AU995" s="721"/>
      <c r="AV995" s="721"/>
      <c r="AW995" s="828"/>
      <c r="AX995" s="726"/>
    </row>
    <row r="996" spans="1:50" ht="15" x14ac:dyDescent="0.25">
      <c r="A996" s="721"/>
      <c r="B996" s="904"/>
      <c r="C996" s="721"/>
      <c r="D996" s="721"/>
      <c r="E996" s="721"/>
      <c r="F996" s="721"/>
      <c r="G996" s="721"/>
      <c r="H996" s="721"/>
      <c r="I996" s="721"/>
      <c r="J996" s="721"/>
      <c r="K996" s="721"/>
      <c r="L996" s="721"/>
      <c r="M996" s="930"/>
      <c r="N996" s="930"/>
      <c r="O996" s="930"/>
      <c r="P996" s="931"/>
      <c r="Q996" s="931"/>
      <c r="R996" s="930"/>
      <c r="S996" s="930"/>
      <c r="T996" s="932"/>
      <c r="U996" s="933"/>
      <c r="V996" s="934"/>
      <c r="W996" s="934"/>
      <c r="X996" s="932"/>
      <c r="Y996" s="932"/>
      <c r="Z996" s="932"/>
      <c r="AA996" s="726"/>
      <c r="AB996" s="726"/>
      <c r="AC996" s="721"/>
      <c r="AD996" s="586"/>
      <c r="AE996" s="586"/>
      <c r="AF996" s="170"/>
      <c r="AG996" s="170"/>
      <c r="AH996" s="170"/>
      <c r="AI996" s="170"/>
      <c r="AJ996" s="170"/>
      <c r="AK996" s="170"/>
      <c r="AL996" s="170"/>
      <c r="AM996" s="170"/>
      <c r="AN996" s="170"/>
      <c r="AO996" s="170"/>
      <c r="AP996" s="170"/>
      <c r="AQ996" s="170"/>
      <c r="AR996" s="170"/>
      <c r="AS996" s="170"/>
      <c r="AT996" s="721"/>
      <c r="AU996" s="721"/>
      <c r="AV996" s="721"/>
      <c r="AW996" s="828"/>
      <c r="AX996" s="726"/>
    </row>
    <row r="997" spans="1:50" ht="15" x14ac:dyDescent="0.25">
      <c r="A997" s="721"/>
      <c r="B997" s="904"/>
      <c r="C997" s="721"/>
      <c r="D997" s="721"/>
      <c r="E997" s="721"/>
      <c r="F997" s="721"/>
      <c r="G997" s="721"/>
      <c r="H997" s="721"/>
      <c r="I997" s="721"/>
      <c r="J997" s="721"/>
      <c r="K997" s="721"/>
      <c r="L997" s="721"/>
      <c r="M997" s="930"/>
      <c r="N997" s="930"/>
      <c r="O997" s="930"/>
      <c r="P997" s="931"/>
      <c r="Q997" s="931"/>
      <c r="R997" s="930"/>
      <c r="S997" s="930"/>
      <c r="T997" s="932"/>
      <c r="U997" s="933"/>
      <c r="V997" s="934"/>
      <c r="W997" s="934"/>
      <c r="X997" s="932"/>
      <c r="Y997" s="932"/>
      <c r="Z997" s="932"/>
      <c r="AA997" s="726"/>
      <c r="AB997" s="726"/>
      <c r="AC997" s="721"/>
      <c r="AD997" s="586"/>
      <c r="AE997" s="586"/>
      <c r="AF997" s="170"/>
      <c r="AG997" s="170"/>
      <c r="AH997" s="170"/>
      <c r="AI997" s="170"/>
      <c r="AJ997" s="170"/>
      <c r="AK997" s="170"/>
      <c r="AL997" s="170"/>
      <c r="AM997" s="170"/>
      <c r="AN997" s="170"/>
      <c r="AO997" s="170"/>
      <c r="AP997" s="170"/>
      <c r="AQ997" s="170"/>
      <c r="AR997" s="170"/>
      <c r="AS997" s="170"/>
      <c r="AT997" s="721"/>
      <c r="AU997" s="721"/>
      <c r="AV997" s="721"/>
      <c r="AW997" s="828"/>
      <c r="AX997" s="726"/>
    </row>
    <row r="998" spans="1:50" ht="15" x14ac:dyDescent="0.25">
      <c r="A998" s="721"/>
      <c r="B998" s="904"/>
      <c r="C998" s="721"/>
      <c r="D998" s="721"/>
      <c r="E998" s="721"/>
      <c r="F998" s="721"/>
      <c r="G998" s="721"/>
      <c r="H998" s="721"/>
      <c r="I998" s="721"/>
      <c r="J998" s="721"/>
      <c r="K998" s="721"/>
      <c r="L998" s="721"/>
      <c r="M998" s="930"/>
      <c r="N998" s="930"/>
      <c r="O998" s="930"/>
      <c r="P998" s="931"/>
      <c r="Q998" s="931"/>
      <c r="R998" s="930"/>
      <c r="S998" s="930"/>
      <c r="T998" s="932"/>
      <c r="U998" s="933"/>
      <c r="V998" s="934"/>
      <c r="W998" s="934"/>
      <c r="X998" s="932"/>
      <c r="Y998" s="932"/>
      <c r="Z998" s="932"/>
      <c r="AA998" s="726"/>
      <c r="AB998" s="726"/>
      <c r="AC998" s="721"/>
      <c r="AD998" s="586"/>
      <c r="AE998" s="586"/>
      <c r="AF998" s="170"/>
      <c r="AG998" s="170"/>
      <c r="AH998" s="170"/>
      <c r="AI998" s="170"/>
      <c r="AJ998" s="170"/>
      <c r="AK998" s="170"/>
      <c r="AL998" s="170"/>
      <c r="AM998" s="170"/>
      <c r="AN998" s="170"/>
      <c r="AO998" s="170"/>
      <c r="AP998" s="170"/>
      <c r="AQ998" s="170"/>
      <c r="AR998" s="170"/>
      <c r="AS998" s="170"/>
      <c r="AT998" s="721"/>
      <c r="AU998" s="721"/>
      <c r="AV998" s="721"/>
      <c r="AW998" s="828"/>
      <c r="AX998" s="726"/>
    </row>
    <row r="999" spans="1:50" ht="15" x14ac:dyDescent="0.25">
      <c r="A999" s="721"/>
      <c r="B999" s="904"/>
      <c r="C999" s="721"/>
      <c r="D999" s="721"/>
      <c r="E999" s="721"/>
      <c r="F999" s="721"/>
      <c r="G999" s="721"/>
      <c r="H999" s="721"/>
      <c r="I999" s="721"/>
      <c r="J999" s="721"/>
      <c r="K999" s="721"/>
      <c r="L999" s="721"/>
      <c r="M999" s="930"/>
      <c r="N999" s="930"/>
      <c r="O999" s="930"/>
      <c r="P999" s="931"/>
      <c r="Q999" s="931"/>
      <c r="R999" s="930"/>
      <c r="S999" s="930"/>
      <c r="T999" s="932"/>
      <c r="U999" s="933"/>
      <c r="V999" s="934"/>
      <c r="W999" s="934"/>
      <c r="X999" s="932"/>
      <c r="Y999" s="932"/>
      <c r="Z999" s="932"/>
      <c r="AA999" s="726"/>
      <c r="AB999" s="726"/>
      <c r="AC999" s="721"/>
      <c r="AD999" s="586"/>
      <c r="AE999" s="586"/>
      <c r="AF999" s="170"/>
      <c r="AG999" s="170"/>
      <c r="AH999" s="170"/>
      <c r="AI999" s="170"/>
      <c r="AJ999" s="170"/>
      <c r="AK999" s="170"/>
      <c r="AL999" s="170"/>
      <c r="AM999" s="170"/>
      <c r="AN999" s="170"/>
      <c r="AO999" s="170"/>
      <c r="AP999" s="170"/>
      <c r="AQ999" s="170"/>
      <c r="AR999" s="170"/>
      <c r="AS999" s="170"/>
      <c r="AT999" s="721"/>
      <c r="AU999" s="721"/>
      <c r="AV999" s="721"/>
      <c r="AW999" s="828"/>
      <c r="AX999" s="726"/>
    </row>
    <row r="1000" spans="1:50" ht="15" x14ac:dyDescent="0.25">
      <c r="A1000" s="721"/>
      <c r="B1000" s="904"/>
      <c r="C1000" s="721"/>
      <c r="D1000" s="721"/>
      <c r="E1000" s="721"/>
      <c r="F1000" s="721"/>
      <c r="G1000" s="721"/>
      <c r="H1000" s="721"/>
      <c r="I1000" s="721"/>
      <c r="J1000" s="721"/>
      <c r="K1000" s="721"/>
      <c r="L1000" s="721"/>
      <c r="M1000" s="930"/>
      <c r="N1000" s="930"/>
      <c r="O1000" s="930"/>
      <c r="P1000" s="931"/>
      <c r="Q1000" s="931"/>
      <c r="R1000" s="930"/>
      <c r="S1000" s="930"/>
      <c r="T1000" s="932"/>
      <c r="U1000" s="933"/>
      <c r="V1000" s="934"/>
      <c r="W1000" s="934"/>
      <c r="X1000" s="932"/>
      <c r="Y1000" s="932"/>
      <c r="Z1000" s="932"/>
      <c r="AA1000" s="726"/>
      <c r="AB1000" s="726"/>
      <c r="AC1000" s="721"/>
      <c r="AD1000" s="586"/>
      <c r="AE1000" s="586"/>
      <c r="AF1000" s="170"/>
      <c r="AG1000" s="170"/>
      <c r="AH1000" s="170"/>
      <c r="AI1000" s="170"/>
      <c r="AJ1000" s="170"/>
      <c r="AK1000" s="170"/>
      <c r="AL1000" s="170"/>
      <c r="AM1000" s="170"/>
      <c r="AN1000" s="170"/>
      <c r="AO1000" s="170"/>
      <c r="AP1000" s="170"/>
      <c r="AQ1000" s="170"/>
      <c r="AR1000" s="170"/>
      <c r="AS1000" s="170"/>
      <c r="AT1000" s="721"/>
      <c r="AU1000" s="721"/>
      <c r="AV1000" s="721"/>
      <c r="AW1000" s="828"/>
      <c r="AX1000" s="726"/>
    </row>
    <row r="1001" spans="1:50" ht="15" x14ac:dyDescent="0.25">
      <c r="A1001" s="721"/>
      <c r="B1001" s="904"/>
      <c r="C1001" s="721"/>
      <c r="D1001" s="721"/>
      <c r="E1001" s="721"/>
      <c r="F1001" s="721"/>
      <c r="G1001" s="721"/>
      <c r="H1001" s="721"/>
      <c r="I1001" s="721"/>
      <c r="J1001" s="721"/>
      <c r="K1001" s="721"/>
      <c r="L1001" s="721"/>
      <c r="M1001" s="930"/>
      <c r="N1001" s="930"/>
      <c r="O1001" s="930"/>
      <c r="P1001" s="931"/>
      <c r="Q1001" s="931"/>
      <c r="R1001" s="930"/>
      <c r="S1001" s="930"/>
      <c r="T1001" s="932"/>
      <c r="U1001" s="933"/>
      <c r="V1001" s="934"/>
      <c r="W1001" s="934"/>
      <c r="X1001" s="932"/>
      <c r="Y1001" s="932"/>
      <c r="Z1001" s="932"/>
      <c r="AA1001" s="726"/>
      <c r="AB1001" s="726"/>
      <c r="AC1001" s="721"/>
      <c r="AD1001" s="586"/>
      <c r="AE1001" s="586"/>
      <c r="AF1001" s="170"/>
      <c r="AG1001" s="170"/>
      <c r="AH1001" s="170"/>
      <c r="AI1001" s="170"/>
      <c r="AJ1001" s="170"/>
      <c r="AK1001" s="170"/>
      <c r="AL1001" s="170"/>
      <c r="AM1001" s="170"/>
      <c r="AN1001" s="170"/>
      <c r="AO1001" s="170"/>
      <c r="AP1001" s="170"/>
      <c r="AQ1001" s="170"/>
      <c r="AR1001" s="170"/>
      <c r="AS1001" s="170"/>
      <c r="AT1001" s="721"/>
      <c r="AU1001" s="721"/>
      <c r="AV1001" s="721"/>
      <c r="AW1001" s="828"/>
      <c r="AX1001" s="726"/>
    </row>
    <row r="1002" spans="1:50" ht="15" x14ac:dyDescent="0.25">
      <c r="A1002" s="721"/>
      <c r="B1002" s="904"/>
      <c r="C1002" s="721"/>
      <c r="D1002" s="721"/>
      <c r="E1002" s="721"/>
      <c r="F1002" s="721"/>
      <c r="G1002" s="721"/>
      <c r="H1002" s="721"/>
      <c r="I1002" s="721"/>
      <c r="J1002" s="721"/>
      <c r="K1002" s="721"/>
      <c r="L1002" s="721"/>
      <c r="M1002" s="930"/>
      <c r="N1002" s="930"/>
      <c r="O1002" s="930"/>
      <c r="P1002" s="931"/>
      <c r="Q1002" s="931"/>
      <c r="R1002" s="930"/>
      <c r="S1002" s="930"/>
      <c r="T1002" s="932"/>
      <c r="U1002" s="933"/>
      <c r="V1002" s="934"/>
      <c r="W1002" s="934"/>
      <c r="X1002" s="932"/>
      <c r="Y1002" s="932"/>
      <c r="Z1002" s="932"/>
      <c r="AA1002" s="726"/>
      <c r="AB1002" s="726"/>
      <c r="AC1002" s="721"/>
      <c r="AD1002" s="586"/>
      <c r="AE1002" s="586"/>
      <c r="AF1002" s="170"/>
      <c r="AG1002" s="170"/>
      <c r="AH1002" s="170"/>
      <c r="AI1002" s="170"/>
      <c r="AJ1002" s="170"/>
      <c r="AK1002" s="170"/>
      <c r="AL1002" s="170"/>
      <c r="AM1002" s="170"/>
      <c r="AN1002" s="170"/>
      <c r="AO1002" s="170"/>
      <c r="AP1002" s="170"/>
      <c r="AQ1002" s="170"/>
      <c r="AR1002" s="170"/>
      <c r="AS1002" s="170"/>
      <c r="AT1002" s="721"/>
      <c r="AU1002" s="721"/>
      <c r="AV1002" s="721"/>
      <c r="AW1002" s="828"/>
      <c r="AX1002" s="726"/>
    </row>
    <row r="1003" spans="1:50" ht="15" x14ac:dyDescent="0.25">
      <c r="A1003" s="721"/>
      <c r="B1003" s="904"/>
      <c r="C1003" s="721"/>
      <c r="D1003" s="721"/>
      <c r="E1003" s="721"/>
      <c r="F1003" s="721"/>
      <c r="G1003" s="721"/>
      <c r="H1003" s="721"/>
      <c r="I1003" s="721"/>
      <c r="J1003" s="721"/>
      <c r="K1003" s="721"/>
      <c r="L1003" s="721"/>
      <c r="M1003" s="930"/>
      <c r="N1003" s="930"/>
      <c r="O1003" s="930"/>
      <c r="P1003" s="931"/>
      <c r="Q1003" s="931"/>
      <c r="R1003" s="930"/>
      <c r="S1003" s="930"/>
      <c r="T1003" s="932"/>
      <c r="U1003" s="933"/>
      <c r="V1003" s="934"/>
      <c r="W1003" s="934"/>
      <c r="X1003" s="932"/>
      <c r="Y1003" s="932"/>
      <c r="Z1003" s="932"/>
      <c r="AA1003" s="726"/>
      <c r="AB1003" s="726"/>
      <c r="AC1003" s="721"/>
      <c r="AD1003" s="586"/>
      <c r="AE1003" s="586"/>
      <c r="AF1003" s="170"/>
      <c r="AG1003" s="170"/>
      <c r="AH1003" s="170"/>
      <c r="AI1003" s="170"/>
      <c r="AJ1003" s="170"/>
      <c r="AK1003" s="170"/>
      <c r="AL1003" s="170"/>
      <c r="AM1003" s="170"/>
      <c r="AN1003" s="170"/>
      <c r="AO1003" s="170"/>
      <c r="AP1003" s="170"/>
      <c r="AQ1003" s="170"/>
      <c r="AR1003" s="170"/>
      <c r="AS1003" s="170"/>
      <c r="AT1003" s="721"/>
      <c r="AU1003" s="721"/>
      <c r="AV1003" s="721"/>
      <c r="AW1003" s="828"/>
      <c r="AX1003" s="726"/>
    </row>
    <row r="1004" spans="1:50" ht="15" x14ac:dyDescent="0.25">
      <c r="A1004" s="721"/>
      <c r="B1004" s="904"/>
      <c r="C1004" s="721"/>
      <c r="D1004" s="721"/>
      <c r="E1004" s="721"/>
      <c r="F1004" s="721"/>
      <c r="G1004" s="721"/>
      <c r="H1004" s="721"/>
      <c r="I1004" s="721"/>
      <c r="J1004" s="721"/>
      <c r="K1004" s="721"/>
      <c r="L1004" s="721"/>
      <c r="M1004" s="930"/>
      <c r="N1004" s="930"/>
      <c r="O1004" s="930"/>
      <c r="P1004" s="931"/>
      <c r="Q1004" s="931"/>
      <c r="R1004" s="930"/>
      <c r="S1004" s="930"/>
      <c r="T1004" s="932"/>
      <c r="U1004" s="933"/>
      <c r="V1004" s="934"/>
      <c r="W1004" s="934"/>
      <c r="X1004" s="932"/>
      <c r="Y1004" s="932"/>
      <c r="Z1004" s="932"/>
      <c r="AA1004" s="726"/>
      <c r="AB1004" s="726"/>
      <c r="AC1004" s="721"/>
      <c r="AD1004" s="586"/>
      <c r="AE1004" s="586"/>
      <c r="AF1004" s="170"/>
      <c r="AG1004" s="170"/>
      <c r="AH1004" s="170"/>
      <c r="AI1004" s="170"/>
      <c r="AJ1004" s="170"/>
      <c r="AK1004" s="170"/>
      <c r="AL1004" s="170"/>
      <c r="AM1004" s="170"/>
      <c r="AN1004" s="170"/>
      <c r="AO1004" s="170"/>
      <c r="AP1004" s="170"/>
      <c r="AQ1004" s="170"/>
      <c r="AR1004" s="170"/>
      <c r="AS1004" s="170"/>
      <c r="AT1004" s="721"/>
      <c r="AU1004" s="721"/>
      <c r="AV1004" s="721"/>
      <c r="AW1004" s="828"/>
      <c r="AX1004" s="726"/>
    </row>
    <row r="1005" spans="1:50" ht="15" x14ac:dyDescent="0.25">
      <c r="A1005" s="721"/>
      <c r="B1005" s="904"/>
      <c r="C1005" s="721"/>
      <c r="D1005" s="721"/>
      <c r="E1005" s="721"/>
      <c r="F1005" s="721"/>
      <c r="G1005" s="721"/>
      <c r="H1005" s="721"/>
      <c r="I1005" s="721"/>
      <c r="J1005" s="721"/>
      <c r="K1005" s="721"/>
      <c r="L1005" s="721"/>
      <c r="M1005" s="930"/>
      <c r="N1005" s="930"/>
      <c r="O1005" s="930"/>
      <c r="P1005" s="931"/>
      <c r="Q1005" s="931"/>
      <c r="R1005" s="930"/>
      <c r="S1005" s="930"/>
      <c r="T1005" s="932"/>
      <c r="U1005" s="933"/>
      <c r="V1005" s="934"/>
      <c r="W1005" s="934"/>
      <c r="X1005" s="932"/>
      <c r="Y1005" s="932"/>
      <c r="Z1005" s="932"/>
      <c r="AA1005" s="726"/>
      <c r="AB1005" s="726"/>
      <c r="AC1005" s="721"/>
      <c r="AD1005" s="586"/>
      <c r="AE1005" s="586"/>
      <c r="AF1005" s="170"/>
      <c r="AG1005" s="170"/>
      <c r="AH1005" s="170"/>
      <c r="AI1005" s="170"/>
      <c r="AJ1005" s="170"/>
      <c r="AK1005" s="170"/>
      <c r="AL1005" s="170"/>
      <c r="AM1005" s="170"/>
      <c r="AN1005" s="170"/>
      <c r="AO1005" s="170"/>
      <c r="AP1005" s="170"/>
      <c r="AQ1005" s="170"/>
      <c r="AR1005" s="170"/>
      <c r="AS1005" s="170"/>
      <c r="AT1005" s="721"/>
      <c r="AU1005" s="721"/>
      <c r="AV1005" s="721"/>
      <c r="AW1005" s="828"/>
      <c r="AX1005" s="726"/>
    </row>
    <row r="1006" spans="1:50" ht="15" x14ac:dyDescent="0.25">
      <c r="A1006" s="721"/>
      <c r="B1006" s="904"/>
      <c r="C1006" s="721"/>
      <c r="D1006" s="721"/>
      <c r="E1006" s="721"/>
      <c r="F1006" s="721"/>
      <c r="G1006" s="721"/>
      <c r="H1006" s="721"/>
      <c r="I1006" s="721"/>
      <c r="J1006" s="721"/>
      <c r="K1006" s="721"/>
      <c r="L1006" s="721"/>
      <c r="M1006" s="930"/>
      <c r="N1006" s="930"/>
      <c r="O1006" s="930"/>
      <c r="P1006" s="931"/>
      <c r="Q1006" s="931"/>
      <c r="R1006" s="930"/>
      <c r="S1006" s="930"/>
      <c r="T1006" s="932"/>
      <c r="U1006" s="933"/>
      <c r="V1006" s="934"/>
      <c r="W1006" s="934"/>
      <c r="X1006" s="932"/>
      <c r="Y1006" s="932"/>
      <c r="Z1006" s="932"/>
      <c r="AA1006" s="726"/>
      <c r="AB1006" s="726"/>
      <c r="AC1006" s="721"/>
      <c r="AD1006" s="586"/>
      <c r="AE1006" s="586"/>
      <c r="AF1006" s="170"/>
      <c r="AG1006" s="170"/>
      <c r="AH1006" s="170"/>
      <c r="AI1006" s="170"/>
      <c r="AJ1006" s="170"/>
      <c r="AK1006" s="170"/>
      <c r="AL1006" s="170"/>
      <c r="AM1006" s="170"/>
      <c r="AN1006" s="170"/>
      <c r="AO1006" s="170"/>
      <c r="AP1006" s="170"/>
      <c r="AQ1006" s="170"/>
      <c r="AR1006" s="170"/>
      <c r="AS1006" s="170"/>
      <c r="AT1006" s="721"/>
      <c r="AU1006" s="721"/>
      <c r="AV1006" s="721"/>
      <c r="AW1006" s="828"/>
      <c r="AX1006" s="726"/>
    </row>
    <row r="1007" spans="1:50" ht="15" x14ac:dyDescent="0.25">
      <c r="A1007" s="721"/>
      <c r="B1007" s="904"/>
      <c r="C1007" s="721"/>
      <c r="D1007" s="721"/>
      <c r="E1007" s="721"/>
      <c r="F1007" s="721"/>
      <c r="G1007" s="721"/>
      <c r="H1007" s="721"/>
      <c r="I1007" s="721"/>
      <c r="J1007" s="721"/>
      <c r="K1007" s="721"/>
      <c r="L1007" s="721"/>
      <c r="M1007" s="930"/>
      <c r="N1007" s="930"/>
      <c r="O1007" s="930"/>
      <c r="P1007" s="931"/>
      <c r="Q1007" s="931"/>
      <c r="R1007" s="930"/>
      <c r="S1007" s="930"/>
      <c r="T1007" s="932"/>
      <c r="U1007" s="933"/>
      <c r="V1007" s="934"/>
      <c r="W1007" s="934"/>
      <c r="X1007" s="932"/>
      <c r="Y1007" s="932"/>
      <c r="Z1007" s="932"/>
      <c r="AA1007" s="726"/>
      <c r="AB1007" s="726"/>
      <c r="AC1007" s="721"/>
      <c r="AD1007" s="586"/>
      <c r="AE1007" s="586"/>
      <c r="AF1007" s="170"/>
      <c r="AG1007" s="170"/>
      <c r="AH1007" s="170"/>
      <c r="AI1007" s="170"/>
      <c r="AJ1007" s="170"/>
      <c r="AK1007" s="170"/>
      <c r="AL1007" s="170"/>
      <c r="AM1007" s="170"/>
      <c r="AN1007" s="170"/>
      <c r="AO1007" s="170"/>
      <c r="AP1007" s="170"/>
      <c r="AQ1007" s="170"/>
      <c r="AR1007" s="170"/>
      <c r="AS1007" s="170"/>
      <c r="AT1007" s="721"/>
      <c r="AU1007" s="721"/>
      <c r="AV1007" s="721"/>
      <c r="AW1007" s="828"/>
      <c r="AX1007" s="726"/>
    </row>
    <row r="1008" spans="1:50" ht="15" x14ac:dyDescent="0.25">
      <c r="A1008" s="721"/>
      <c r="B1008" s="904"/>
      <c r="C1008" s="721"/>
      <c r="D1008" s="721"/>
      <c r="E1008" s="721"/>
      <c r="F1008" s="721"/>
      <c r="G1008" s="721"/>
      <c r="H1008" s="721"/>
      <c r="I1008" s="721"/>
      <c r="J1008" s="721"/>
      <c r="K1008" s="721"/>
      <c r="L1008" s="721"/>
      <c r="M1008" s="930"/>
      <c r="N1008" s="930"/>
      <c r="O1008" s="930"/>
      <c r="P1008" s="931"/>
      <c r="Q1008" s="931"/>
      <c r="R1008" s="930"/>
      <c r="S1008" s="930"/>
      <c r="T1008" s="932"/>
      <c r="U1008" s="933"/>
      <c r="V1008" s="934"/>
      <c r="W1008" s="934"/>
      <c r="X1008" s="932"/>
      <c r="Y1008" s="932"/>
      <c r="Z1008" s="932"/>
      <c r="AA1008" s="726"/>
      <c r="AB1008" s="726"/>
      <c r="AC1008" s="721"/>
      <c r="AD1008" s="586"/>
      <c r="AE1008" s="586"/>
      <c r="AF1008" s="170"/>
      <c r="AG1008" s="170"/>
      <c r="AH1008" s="170"/>
      <c r="AI1008" s="170"/>
      <c r="AJ1008" s="170"/>
      <c r="AK1008" s="170"/>
      <c r="AL1008" s="170"/>
      <c r="AM1008" s="170"/>
      <c r="AN1008" s="170"/>
      <c r="AO1008" s="170"/>
      <c r="AP1008" s="170"/>
      <c r="AQ1008" s="170"/>
      <c r="AR1008" s="170"/>
      <c r="AS1008" s="170"/>
      <c r="AT1008" s="721"/>
      <c r="AU1008" s="721"/>
      <c r="AV1008" s="721"/>
      <c r="AW1008" s="828"/>
      <c r="AX1008" s="726"/>
    </row>
    <row r="1009" spans="1:50" ht="15" x14ac:dyDescent="0.25">
      <c r="A1009" s="721"/>
      <c r="B1009" s="904"/>
      <c r="C1009" s="721"/>
      <c r="D1009" s="721"/>
      <c r="E1009" s="721"/>
      <c r="F1009" s="721"/>
      <c r="G1009" s="721"/>
      <c r="H1009" s="721"/>
      <c r="I1009" s="721"/>
      <c r="J1009" s="721"/>
      <c r="K1009" s="721"/>
      <c r="L1009" s="721"/>
      <c r="M1009" s="930"/>
      <c r="N1009" s="930"/>
      <c r="O1009" s="930"/>
      <c r="P1009" s="931"/>
      <c r="Q1009" s="931"/>
      <c r="R1009" s="930"/>
      <c r="S1009" s="930"/>
      <c r="T1009" s="932"/>
      <c r="U1009" s="933"/>
      <c r="V1009" s="934"/>
      <c r="W1009" s="934"/>
      <c r="X1009" s="932"/>
      <c r="Y1009" s="932"/>
      <c r="Z1009" s="932"/>
      <c r="AA1009" s="726"/>
      <c r="AB1009" s="726"/>
      <c r="AC1009" s="721"/>
      <c r="AD1009" s="586"/>
      <c r="AE1009" s="586"/>
      <c r="AF1009" s="170"/>
      <c r="AG1009" s="170"/>
      <c r="AH1009" s="170"/>
      <c r="AI1009" s="170"/>
      <c r="AJ1009" s="170"/>
      <c r="AK1009" s="170"/>
      <c r="AL1009" s="170"/>
      <c r="AM1009" s="170"/>
      <c r="AN1009" s="170"/>
      <c r="AO1009" s="170"/>
      <c r="AP1009" s="170"/>
      <c r="AQ1009" s="170"/>
      <c r="AR1009" s="170"/>
      <c r="AS1009" s="170"/>
      <c r="AT1009" s="721"/>
      <c r="AU1009" s="721"/>
      <c r="AV1009" s="721"/>
      <c r="AW1009" s="828"/>
      <c r="AX1009" s="726"/>
    </row>
    <row r="1010" spans="1:50" ht="15" x14ac:dyDescent="0.25">
      <c r="A1010" s="721"/>
      <c r="B1010" s="904"/>
      <c r="C1010" s="721"/>
      <c r="D1010" s="721"/>
      <c r="E1010" s="721"/>
      <c r="F1010" s="721"/>
      <c r="G1010" s="721"/>
      <c r="H1010" s="721"/>
      <c r="I1010" s="721"/>
      <c r="J1010" s="721"/>
      <c r="K1010" s="721"/>
      <c r="L1010" s="721"/>
      <c r="M1010" s="930"/>
      <c r="N1010" s="930"/>
      <c r="O1010" s="930"/>
      <c r="P1010" s="931"/>
      <c r="Q1010" s="931"/>
      <c r="R1010" s="930"/>
      <c r="S1010" s="930"/>
      <c r="T1010" s="932"/>
      <c r="U1010" s="933"/>
      <c r="V1010" s="934"/>
      <c r="W1010" s="934"/>
      <c r="X1010" s="932"/>
      <c r="Y1010" s="932"/>
      <c r="Z1010" s="932"/>
      <c r="AA1010" s="726"/>
      <c r="AB1010" s="726"/>
      <c r="AC1010" s="721"/>
      <c r="AD1010" s="586"/>
      <c r="AE1010" s="586"/>
      <c r="AF1010" s="170"/>
      <c r="AG1010" s="170"/>
      <c r="AH1010" s="170"/>
      <c r="AI1010" s="170"/>
      <c r="AJ1010" s="170"/>
      <c r="AK1010" s="170"/>
      <c r="AL1010" s="170"/>
      <c r="AM1010" s="170"/>
      <c r="AN1010" s="170"/>
      <c r="AO1010" s="170"/>
      <c r="AP1010" s="170"/>
      <c r="AQ1010" s="170"/>
      <c r="AR1010" s="170"/>
      <c r="AS1010" s="170"/>
      <c r="AT1010" s="721"/>
      <c r="AU1010" s="721"/>
      <c r="AV1010" s="721"/>
      <c r="AW1010" s="828"/>
      <c r="AX1010" s="726"/>
    </row>
    <row r="1011" spans="1:50" ht="15" x14ac:dyDescent="0.25">
      <c r="A1011" s="721"/>
      <c r="B1011" s="904"/>
      <c r="C1011" s="721"/>
      <c r="D1011" s="721"/>
      <c r="E1011" s="721"/>
      <c r="F1011" s="721"/>
      <c r="G1011" s="721"/>
      <c r="H1011" s="721"/>
      <c r="I1011" s="721"/>
      <c r="J1011" s="721"/>
      <c r="K1011" s="721"/>
      <c r="L1011" s="721"/>
      <c r="M1011" s="930"/>
      <c r="N1011" s="930"/>
      <c r="O1011" s="930"/>
      <c r="P1011" s="931"/>
      <c r="Q1011" s="931"/>
      <c r="R1011" s="930"/>
      <c r="S1011" s="930"/>
      <c r="T1011" s="932"/>
      <c r="U1011" s="933"/>
      <c r="V1011" s="934"/>
      <c r="W1011" s="934"/>
      <c r="X1011" s="932"/>
      <c r="Y1011" s="932"/>
      <c r="Z1011" s="932"/>
      <c r="AA1011" s="726"/>
      <c r="AB1011" s="726"/>
      <c r="AC1011" s="721"/>
      <c r="AD1011" s="586"/>
      <c r="AE1011" s="586"/>
      <c r="AF1011" s="170"/>
      <c r="AG1011" s="170"/>
      <c r="AH1011" s="170"/>
      <c r="AI1011" s="170"/>
      <c r="AJ1011" s="170"/>
      <c r="AK1011" s="170"/>
      <c r="AL1011" s="170"/>
      <c r="AM1011" s="170"/>
      <c r="AN1011" s="170"/>
      <c r="AO1011" s="170"/>
      <c r="AP1011" s="170"/>
      <c r="AQ1011" s="170"/>
      <c r="AR1011" s="170"/>
      <c r="AS1011" s="170"/>
      <c r="AT1011" s="721"/>
      <c r="AU1011" s="721"/>
      <c r="AV1011" s="721"/>
      <c r="AW1011" s="828"/>
      <c r="AX1011" s="726"/>
    </row>
    <row r="1012" spans="1:50" ht="15" x14ac:dyDescent="0.25">
      <c r="A1012" s="721"/>
      <c r="B1012" s="904"/>
      <c r="C1012" s="721"/>
      <c r="D1012" s="721"/>
      <c r="E1012" s="721"/>
      <c r="F1012" s="721"/>
      <c r="G1012" s="721"/>
      <c r="H1012" s="721"/>
      <c r="I1012" s="721"/>
      <c r="J1012" s="721"/>
      <c r="K1012" s="721"/>
      <c r="L1012" s="721"/>
      <c r="M1012" s="930"/>
      <c r="N1012" s="930"/>
      <c r="O1012" s="930"/>
      <c r="P1012" s="931"/>
      <c r="Q1012" s="931"/>
      <c r="R1012" s="930"/>
      <c r="S1012" s="930"/>
      <c r="T1012" s="932"/>
      <c r="U1012" s="933"/>
      <c r="V1012" s="934"/>
      <c r="W1012" s="934"/>
      <c r="X1012" s="932"/>
      <c r="Y1012" s="932"/>
      <c r="Z1012" s="932"/>
      <c r="AA1012" s="726"/>
      <c r="AB1012" s="726"/>
      <c r="AC1012" s="721"/>
      <c r="AD1012" s="586"/>
      <c r="AE1012" s="586"/>
      <c r="AF1012" s="170"/>
      <c r="AG1012" s="170"/>
      <c r="AH1012" s="170"/>
      <c r="AI1012" s="170"/>
      <c r="AJ1012" s="170"/>
      <c r="AK1012" s="170"/>
      <c r="AL1012" s="170"/>
      <c r="AM1012" s="170"/>
      <c r="AN1012" s="170"/>
      <c r="AO1012" s="170"/>
      <c r="AP1012" s="170"/>
      <c r="AQ1012" s="170"/>
      <c r="AR1012" s="170"/>
      <c r="AS1012" s="170"/>
      <c r="AT1012" s="721"/>
      <c r="AU1012" s="721"/>
      <c r="AV1012" s="721"/>
      <c r="AW1012" s="828"/>
      <c r="AX1012" s="726"/>
    </row>
    <row r="1013" spans="1:50" ht="15" x14ac:dyDescent="0.25">
      <c r="A1013" s="721"/>
      <c r="B1013" s="904"/>
      <c r="C1013" s="721"/>
      <c r="D1013" s="721"/>
      <c r="E1013" s="721"/>
      <c r="F1013" s="721"/>
      <c r="G1013" s="721"/>
      <c r="H1013" s="721"/>
      <c r="I1013" s="721"/>
      <c r="J1013" s="721"/>
      <c r="K1013" s="721"/>
      <c r="L1013" s="721"/>
      <c r="M1013" s="930"/>
      <c r="N1013" s="930"/>
      <c r="O1013" s="930"/>
      <c r="P1013" s="931"/>
      <c r="Q1013" s="931"/>
      <c r="R1013" s="930"/>
      <c r="S1013" s="930"/>
      <c r="T1013" s="932"/>
      <c r="U1013" s="933"/>
      <c r="V1013" s="934"/>
      <c r="W1013" s="934"/>
      <c r="X1013" s="932"/>
      <c r="Y1013" s="932"/>
      <c r="Z1013" s="932"/>
      <c r="AA1013" s="726"/>
      <c r="AB1013" s="726"/>
      <c r="AC1013" s="721"/>
      <c r="AD1013" s="586"/>
      <c r="AE1013" s="586"/>
      <c r="AF1013" s="170"/>
      <c r="AG1013" s="170"/>
      <c r="AH1013" s="170"/>
      <c r="AI1013" s="170"/>
      <c r="AJ1013" s="170"/>
      <c r="AK1013" s="170"/>
      <c r="AL1013" s="170"/>
      <c r="AM1013" s="170"/>
      <c r="AN1013" s="170"/>
      <c r="AO1013" s="170"/>
      <c r="AP1013" s="170"/>
      <c r="AQ1013" s="170"/>
      <c r="AR1013" s="170"/>
      <c r="AS1013" s="170"/>
      <c r="AT1013" s="721"/>
      <c r="AU1013" s="721"/>
      <c r="AV1013" s="721"/>
      <c r="AW1013" s="828"/>
      <c r="AX1013" s="726"/>
    </row>
    <row r="1014" spans="1:50" ht="15" x14ac:dyDescent="0.25">
      <c r="A1014" s="721"/>
      <c r="B1014" s="904"/>
      <c r="C1014" s="721"/>
      <c r="D1014" s="721"/>
      <c r="E1014" s="721"/>
      <c r="F1014" s="721"/>
      <c r="G1014" s="721"/>
      <c r="H1014" s="721"/>
      <c r="I1014" s="721"/>
      <c r="J1014" s="721"/>
      <c r="K1014" s="721"/>
      <c r="L1014" s="721"/>
      <c r="M1014" s="930"/>
      <c r="N1014" s="930"/>
      <c r="O1014" s="930"/>
      <c r="P1014" s="931"/>
      <c r="Q1014" s="931"/>
      <c r="R1014" s="930"/>
      <c r="S1014" s="930"/>
      <c r="T1014" s="932"/>
      <c r="U1014" s="933"/>
      <c r="V1014" s="934"/>
      <c r="W1014" s="934"/>
      <c r="X1014" s="932"/>
      <c r="Y1014" s="932"/>
      <c r="Z1014" s="932"/>
      <c r="AA1014" s="726"/>
      <c r="AB1014" s="726"/>
      <c r="AC1014" s="721"/>
      <c r="AD1014" s="586"/>
      <c r="AE1014" s="586"/>
      <c r="AF1014" s="170"/>
      <c r="AG1014" s="170"/>
      <c r="AH1014" s="170"/>
      <c r="AI1014" s="170"/>
      <c r="AJ1014" s="170"/>
      <c r="AK1014" s="170"/>
      <c r="AL1014" s="170"/>
      <c r="AM1014" s="170"/>
      <c r="AN1014" s="170"/>
      <c r="AO1014" s="170"/>
      <c r="AP1014" s="170"/>
      <c r="AQ1014" s="170"/>
      <c r="AR1014" s="170"/>
      <c r="AS1014" s="170"/>
      <c r="AT1014" s="721"/>
      <c r="AU1014" s="721"/>
      <c r="AV1014" s="721"/>
      <c r="AW1014" s="828"/>
      <c r="AX1014" s="726"/>
    </row>
    <row r="1015" spans="1:50" ht="15" x14ac:dyDescent="0.25">
      <c r="A1015" s="721"/>
      <c r="B1015" s="904"/>
      <c r="C1015" s="721"/>
      <c r="D1015" s="721"/>
      <c r="E1015" s="721"/>
      <c r="F1015" s="721"/>
      <c r="G1015" s="721"/>
      <c r="H1015" s="721"/>
      <c r="I1015" s="721"/>
      <c r="J1015" s="721"/>
      <c r="K1015" s="721"/>
      <c r="L1015" s="721"/>
      <c r="M1015" s="930"/>
      <c r="N1015" s="930"/>
      <c r="O1015" s="930"/>
      <c r="P1015" s="931"/>
      <c r="Q1015" s="931"/>
      <c r="R1015" s="930"/>
      <c r="S1015" s="930"/>
      <c r="T1015" s="932"/>
      <c r="U1015" s="933"/>
      <c r="V1015" s="934"/>
      <c r="W1015" s="934"/>
      <c r="X1015" s="932"/>
      <c r="Y1015" s="932"/>
      <c r="Z1015" s="932"/>
      <c r="AA1015" s="726"/>
      <c r="AB1015" s="726"/>
      <c r="AC1015" s="721"/>
      <c r="AD1015" s="586"/>
      <c r="AE1015" s="586"/>
      <c r="AF1015" s="170"/>
      <c r="AG1015" s="170"/>
      <c r="AH1015" s="170"/>
      <c r="AI1015" s="170"/>
      <c r="AJ1015" s="170"/>
      <c r="AK1015" s="170"/>
      <c r="AL1015" s="170"/>
      <c r="AM1015" s="170"/>
      <c r="AN1015" s="170"/>
      <c r="AO1015" s="170"/>
      <c r="AP1015" s="170"/>
      <c r="AQ1015" s="170"/>
      <c r="AR1015" s="170"/>
      <c r="AS1015" s="170"/>
      <c r="AT1015" s="721"/>
      <c r="AU1015" s="721"/>
      <c r="AV1015" s="721"/>
      <c r="AW1015" s="828"/>
      <c r="AX1015" s="726"/>
    </row>
    <row r="1016" spans="1:50" ht="15" x14ac:dyDescent="0.25">
      <c r="A1016" s="721"/>
      <c r="B1016" s="904"/>
      <c r="C1016" s="721"/>
      <c r="D1016" s="721"/>
      <c r="E1016" s="721"/>
      <c r="F1016" s="721"/>
      <c r="G1016" s="721"/>
      <c r="H1016" s="721"/>
      <c r="I1016" s="721"/>
      <c r="J1016" s="721"/>
      <c r="K1016" s="721"/>
      <c r="L1016" s="721"/>
      <c r="M1016" s="930"/>
      <c r="N1016" s="930"/>
      <c r="O1016" s="930"/>
      <c r="P1016" s="931"/>
      <c r="Q1016" s="931"/>
      <c r="R1016" s="930"/>
      <c r="S1016" s="930"/>
      <c r="T1016" s="932"/>
      <c r="U1016" s="933"/>
      <c r="V1016" s="934"/>
      <c r="W1016" s="934"/>
      <c r="X1016" s="932"/>
      <c r="Y1016" s="932"/>
      <c r="Z1016" s="932"/>
      <c r="AA1016" s="726"/>
      <c r="AB1016" s="726"/>
      <c r="AC1016" s="721"/>
      <c r="AD1016" s="586"/>
      <c r="AE1016" s="586"/>
      <c r="AF1016" s="170"/>
      <c r="AG1016" s="170"/>
      <c r="AH1016" s="170"/>
      <c r="AI1016" s="170"/>
      <c r="AJ1016" s="170"/>
      <c r="AK1016" s="170"/>
      <c r="AL1016" s="170"/>
      <c r="AM1016" s="170"/>
      <c r="AN1016" s="170"/>
      <c r="AO1016" s="170"/>
      <c r="AP1016" s="170"/>
      <c r="AQ1016" s="170"/>
      <c r="AR1016" s="170"/>
      <c r="AS1016" s="170"/>
      <c r="AT1016" s="721"/>
      <c r="AU1016" s="721"/>
      <c r="AV1016" s="721"/>
      <c r="AW1016" s="828"/>
      <c r="AX1016" s="726"/>
    </row>
    <row r="1017" spans="1:50" ht="15" x14ac:dyDescent="0.25">
      <c r="A1017" s="721"/>
      <c r="B1017" s="904"/>
      <c r="C1017" s="721"/>
      <c r="D1017" s="721"/>
      <c r="E1017" s="721"/>
      <c r="F1017" s="721"/>
      <c r="G1017" s="721"/>
      <c r="H1017" s="721"/>
      <c r="I1017" s="721"/>
      <c r="J1017" s="721"/>
      <c r="K1017" s="721"/>
      <c r="L1017" s="721"/>
      <c r="M1017" s="930"/>
      <c r="N1017" s="930"/>
      <c r="O1017" s="930"/>
      <c r="P1017" s="931"/>
      <c r="Q1017" s="931"/>
      <c r="R1017" s="930"/>
      <c r="S1017" s="930"/>
      <c r="T1017" s="932"/>
      <c r="U1017" s="933"/>
      <c r="V1017" s="934"/>
      <c r="W1017" s="934"/>
      <c r="X1017" s="932"/>
      <c r="Y1017" s="932"/>
      <c r="Z1017" s="932"/>
      <c r="AA1017" s="726"/>
      <c r="AB1017" s="726"/>
      <c r="AC1017" s="721"/>
      <c r="AD1017" s="586"/>
      <c r="AE1017" s="586"/>
      <c r="AF1017" s="170"/>
      <c r="AG1017" s="170"/>
      <c r="AH1017" s="170"/>
      <c r="AI1017" s="170"/>
      <c r="AJ1017" s="170"/>
      <c r="AK1017" s="170"/>
      <c r="AL1017" s="170"/>
      <c r="AM1017" s="170"/>
      <c r="AN1017" s="170"/>
      <c r="AO1017" s="170"/>
      <c r="AP1017" s="170"/>
      <c r="AQ1017" s="170"/>
      <c r="AR1017" s="170"/>
      <c r="AS1017" s="170"/>
      <c r="AT1017" s="721"/>
      <c r="AU1017" s="721"/>
      <c r="AV1017" s="721"/>
      <c r="AW1017" s="828"/>
      <c r="AX1017" s="726"/>
    </row>
    <row r="1018" spans="1:50" ht="15" x14ac:dyDescent="0.25">
      <c r="A1018" s="721"/>
      <c r="B1018" s="904"/>
      <c r="C1018" s="721"/>
      <c r="D1018" s="721"/>
      <c r="E1018" s="721"/>
      <c r="F1018" s="721"/>
      <c r="G1018" s="721"/>
      <c r="H1018" s="721"/>
      <c r="I1018" s="721"/>
      <c r="J1018" s="721"/>
      <c r="K1018" s="721"/>
      <c r="L1018" s="721"/>
      <c r="M1018" s="930"/>
      <c r="N1018" s="930"/>
      <c r="O1018" s="930"/>
      <c r="P1018" s="931"/>
      <c r="Q1018" s="931"/>
      <c r="R1018" s="930"/>
      <c r="S1018" s="930"/>
      <c r="T1018" s="932"/>
      <c r="U1018" s="933"/>
      <c r="V1018" s="934"/>
      <c r="W1018" s="934"/>
      <c r="X1018" s="932"/>
      <c r="Y1018" s="932"/>
      <c r="Z1018" s="932"/>
      <c r="AA1018" s="726"/>
      <c r="AB1018" s="726"/>
      <c r="AC1018" s="721"/>
      <c r="AD1018" s="586"/>
      <c r="AE1018" s="586"/>
      <c r="AF1018" s="170"/>
      <c r="AG1018" s="170"/>
      <c r="AH1018" s="170"/>
      <c r="AI1018" s="170"/>
      <c r="AJ1018" s="170"/>
      <c r="AK1018" s="170"/>
      <c r="AL1018" s="170"/>
      <c r="AM1018" s="170"/>
      <c r="AN1018" s="170"/>
      <c r="AO1018" s="170"/>
      <c r="AP1018" s="170"/>
      <c r="AQ1018" s="170"/>
      <c r="AR1018" s="170"/>
      <c r="AS1018" s="170"/>
      <c r="AT1018" s="721"/>
      <c r="AU1018" s="721"/>
      <c r="AV1018" s="721"/>
      <c r="AW1018" s="828"/>
      <c r="AX1018" s="726"/>
    </row>
    <row r="1019" spans="1:50" ht="15" x14ac:dyDescent="0.25">
      <c r="A1019" s="721"/>
      <c r="B1019" s="904"/>
      <c r="C1019" s="721"/>
      <c r="D1019" s="721"/>
      <c r="E1019" s="721"/>
      <c r="F1019" s="721"/>
      <c r="G1019" s="721"/>
      <c r="H1019" s="721"/>
      <c r="I1019" s="721"/>
      <c r="J1019" s="721"/>
      <c r="K1019" s="721"/>
      <c r="L1019" s="721"/>
      <c r="M1019" s="930"/>
      <c r="N1019" s="930"/>
      <c r="O1019" s="930"/>
      <c r="P1019" s="931"/>
      <c r="Q1019" s="931"/>
      <c r="R1019" s="930"/>
      <c r="S1019" s="930"/>
      <c r="T1019" s="932"/>
      <c r="U1019" s="933"/>
      <c r="V1019" s="934"/>
      <c r="W1019" s="934"/>
      <c r="X1019" s="932"/>
      <c r="Y1019" s="932"/>
      <c r="Z1019" s="932"/>
      <c r="AA1019" s="726"/>
      <c r="AB1019" s="726"/>
      <c r="AC1019" s="721"/>
      <c r="AD1019" s="586"/>
      <c r="AE1019" s="586"/>
      <c r="AF1019" s="170"/>
      <c r="AG1019" s="170"/>
      <c r="AH1019" s="170"/>
      <c r="AI1019" s="170"/>
      <c r="AJ1019" s="170"/>
      <c r="AK1019" s="170"/>
      <c r="AL1019" s="170"/>
      <c r="AM1019" s="170"/>
      <c r="AN1019" s="170"/>
      <c r="AO1019" s="170"/>
      <c r="AP1019" s="170"/>
      <c r="AQ1019" s="170"/>
      <c r="AR1019" s="170"/>
      <c r="AS1019" s="170"/>
      <c r="AT1019" s="721"/>
      <c r="AU1019" s="721"/>
      <c r="AV1019" s="721"/>
      <c r="AW1019" s="828"/>
      <c r="AX1019" s="726"/>
    </row>
    <row r="1020" spans="1:50" ht="15" x14ac:dyDescent="0.25">
      <c r="A1020" s="721"/>
      <c r="B1020" s="904"/>
      <c r="C1020" s="721"/>
      <c r="D1020" s="721"/>
      <c r="E1020" s="721"/>
      <c r="F1020" s="721"/>
      <c r="G1020" s="721"/>
      <c r="H1020" s="721"/>
      <c r="I1020" s="721"/>
      <c r="J1020" s="721"/>
      <c r="K1020" s="721"/>
      <c r="L1020" s="721"/>
      <c r="M1020" s="930"/>
      <c r="N1020" s="930"/>
      <c r="O1020" s="930"/>
      <c r="P1020" s="931"/>
      <c r="Q1020" s="931"/>
      <c r="R1020" s="930"/>
      <c r="S1020" s="930"/>
      <c r="T1020" s="932"/>
      <c r="U1020" s="933"/>
      <c r="V1020" s="934"/>
      <c r="W1020" s="934"/>
      <c r="X1020" s="932"/>
      <c r="Y1020" s="932"/>
      <c r="Z1020" s="932"/>
      <c r="AA1020" s="726"/>
      <c r="AB1020" s="726"/>
      <c r="AC1020" s="721"/>
      <c r="AD1020" s="586"/>
      <c r="AE1020" s="586"/>
      <c r="AF1020" s="170"/>
      <c r="AG1020" s="170"/>
      <c r="AH1020" s="170"/>
      <c r="AI1020" s="170"/>
      <c r="AJ1020" s="170"/>
      <c r="AK1020" s="170"/>
      <c r="AL1020" s="170"/>
      <c r="AM1020" s="170"/>
      <c r="AN1020" s="170"/>
      <c r="AO1020" s="170"/>
      <c r="AP1020" s="170"/>
      <c r="AQ1020" s="170"/>
      <c r="AR1020" s="170"/>
      <c r="AS1020" s="170"/>
      <c r="AT1020" s="721"/>
      <c r="AU1020" s="721"/>
      <c r="AV1020" s="721"/>
      <c r="AW1020" s="828"/>
      <c r="AX1020" s="726"/>
    </row>
    <row r="1021" spans="1:50" ht="15" x14ac:dyDescent="0.25">
      <c r="A1021" s="721"/>
      <c r="B1021" s="904"/>
      <c r="C1021" s="721"/>
      <c r="D1021" s="721"/>
      <c r="E1021" s="721"/>
      <c r="F1021" s="721"/>
      <c r="G1021" s="721"/>
      <c r="H1021" s="721"/>
      <c r="I1021" s="721"/>
      <c r="J1021" s="721"/>
      <c r="K1021" s="721"/>
      <c r="L1021" s="721"/>
      <c r="M1021" s="930"/>
      <c r="N1021" s="930"/>
      <c r="O1021" s="930"/>
      <c r="P1021" s="931"/>
      <c r="Q1021" s="931"/>
      <c r="R1021" s="930"/>
      <c r="S1021" s="930"/>
      <c r="T1021" s="932"/>
      <c r="U1021" s="933"/>
      <c r="V1021" s="934"/>
      <c r="W1021" s="934"/>
      <c r="X1021" s="932"/>
      <c r="Y1021" s="932"/>
      <c r="Z1021" s="932"/>
      <c r="AA1021" s="726"/>
      <c r="AB1021" s="726"/>
      <c r="AC1021" s="721"/>
      <c r="AD1021" s="586"/>
      <c r="AE1021" s="586"/>
      <c r="AF1021" s="170"/>
      <c r="AG1021" s="170"/>
      <c r="AH1021" s="170"/>
      <c r="AI1021" s="170"/>
      <c r="AJ1021" s="170"/>
      <c r="AK1021" s="170"/>
      <c r="AL1021" s="170"/>
      <c r="AM1021" s="170"/>
      <c r="AN1021" s="170"/>
      <c r="AO1021" s="170"/>
      <c r="AP1021" s="170"/>
      <c r="AQ1021" s="170"/>
      <c r="AR1021" s="170"/>
      <c r="AS1021" s="170"/>
      <c r="AT1021" s="721"/>
      <c r="AU1021" s="721"/>
      <c r="AV1021" s="721"/>
      <c r="AW1021" s="828"/>
      <c r="AX1021" s="726"/>
    </row>
    <row r="1022" spans="1:50" ht="15" x14ac:dyDescent="0.25">
      <c r="A1022" s="721"/>
      <c r="B1022" s="904"/>
      <c r="C1022" s="721"/>
      <c r="D1022" s="721"/>
      <c r="E1022" s="721"/>
      <c r="F1022" s="721"/>
      <c r="G1022" s="721"/>
      <c r="H1022" s="721"/>
      <c r="I1022" s="721"/>
      <c r="J1022" s="721"/>
      <c r="K1022" s="721"/>
      <c r="L1022" s="721"/>
      <c r="M1022" s="930"/>
      <c r="N1022" s="930"/>
      <c r="O1022" s="930"/>
      <c r="P1022" s="931"/>
      <c r="Q1022" s="931"/>
      <c r="R1022" s="930"/>
      <c r="S1022" s="930"/>
      <c r="T1022" s="932"/>
      <c r="U1022" s="933"/>
      <c r="V1022" s="934"/>
      <c r="W1022" s="934"/>
      <c r="X1022" s="932"/>
      <c r="Y1022" s="932"/>
      <c r="Z1022" s="932"/>
      <c r="AA1022" s="726"/>
      <c r="AB1022" s="726"/>
      <c r="AC1022" s="721"/>
      <c r="AD1022" s="586"/>
      <c r="AE1022" s="586"/>
      <c r="AF1022" s="170"/>
      <c r="AG1022" s="170"/>
      <c r="AH1022" s="170"/>
      <c r="AI1022" s="170"/>
      <c r="AJ1022" s="170"/>
      <c r="AK1022" s="170"/>
      <c r="AL1022" s="170"/>
      <c r="AM1022" s="170"/>
      <c r="AN1022" s="170"/>
      <c r="AO1022" s="170"/>
      <c r="AP1022" s="170"/>
      <c r="AQ1022" s="170"/>
      <c r="AR1022" s="170"/>
      <c r="AS1022" s="170"/>
      <c r="AT1022" s="721"/>
      <c r="AU1022" s="721"/>
      <c r="AV1022" s="721"/>
      <c r="AW1022" s="828"/>
      <c r="AX1022" s="726"/>
    </row>
    <row r="1023" spans="1:50" ht="15" x14ac:dyDescent="0.25">
      <c r="A1023" s="721"/>
      <c r="B1023" s="904"/>
      <c r="C1023" s="721"/>
      <c r="D1023" s="721"/>
      <c r="E1023" s="721"/>
      <c r="F1023" s="721"/>
      <c r="G1023" s="721"/>
      <c r="H1023" s="721"/>
      <c r="I1023" s="721"/>
      <c r="J1023" s="721"/>
      <c r="K1023" s="721"/>
      <c r="L1023" s="721"/>
      <c r="M1023" s="930"/>
      <c r="N1023" s="930"/>
      <c r="O1023" s="930"/>
      <c r="P1023" s="931"/>
      <c r="Q1023" s="931"/>
      <c r="R1023" s="930"/>
      <c r="S1023" s="930"/>
      <c r="T1023" s="932"/>
      <c r="U1023" s="933"/>
      <c r="V1023" s="934"/>
      <c r="W1023" s="934"/>
      <c r="X1023" s="932"/>
      <c r="Y1023" s="932"/>
      <c r="Z1023" s="932"/>
      <c r="AA1023" s="726"/>
      <c r="AB1023" s="726"/>
      <c r="AC1023" s="721"/>
      <c r="AD1023" s="586"/>
      <c r="AE1023" s="586"/>
      <c r="AF1023" s="170"/>
      <c r="AG1023" s="170"/>
      <c r="AH1023" s="170"/>
      <c r="AI1023" s="170"/>
      <c r="AJ1023" s="170"/>
      <c r="AK1023" s="170"/>
      <c r="AL1023" s="170"/>
      <c r="AM1023" s="170"/>
      <c r="AN1023" s="170"/>
      <c r="AO1023" s="170"/>
      <c r="AP1023" s="170"/>
      <c r="AQ1023" s="170"/>
      <c r="AR1023" s="170"/>
      <c r="AS1023" s="170"/>
      <c r="AT1023" s="721"/>
      <c r="AU1023" s="721"/>
      <c r="AV1023" s="721"/>
      <c r="AW1023" s="828"/>
      <c r="AX1023" s="726"/>
    </row>
    <row r="1024" spans="1:50" ht="15" x14ac:dyDescent="0.25">
      <c r="A1024" s="721"/>
      <c r="B1024" s="904"/>
      <c r="C1024" s="721"/>
      <c r="D1024" s="721"/>
      <c r="E1024" s="721"/>
      <c r="F1024" s="721"/>
      <c r="G1024" s="721"/>
      <c r="H1024" s="721"/>
      <c r="I1024" s="721"/>
      <c r="J1024" s="721"/>
      <c r="K1024" s="721"/>
      <c r="L1024" s="721"/>
      <c r="M1024" s="930"/>
      <c r="N1024" s="930"/>
      <c r="O1024" s="930"/>
      <c r="P1024" s="931"/>
      <c r="Q1024" s="931"/>
      <c r="R1024" s="930"/>
      <c r="S1024" s="930"/>
      <c r="T1024" s="932"/>
      <c r="U1024" s="933"/>
      <c r="V1024" s="934"/>
      <c r="W1024" s="934"/>
      <c r="X1024" s="932"/>
      <c r="Y1024" s="932"/>
      <c r="Z1024" s="932"/>
      <c r="AA1024" s="726"/>
      <c r="AB1024" s="726"/>
      <c r="AC1024" s="721"/>
      <c r="AD1024" s="586"/>
      <c r="AE1024" s="586"/>
      <c r="AF1024" s="170"/>
      <c r="AG1024" s="170"/>
      <c r="AH1024" s="170"/>
      <c r="AI1024" s="170"/>
      <c r="AJ1024" s="170"/>
      <c r="AK1024" s="170"/>
      <c r="AL1024" s="170"/>
      <c r="AM1024" s="170"/>
      <c r="AN1024" s="170"/>
      <c r="AO1024" s="170"/>
      <c r="AP1024" s="170"/>
      <c r="AQ1024" s="170"/>
      <c r="AR1024" s="170"/>
      <c r="AS1024" s="170"/>
      <c r="AT1024" s="721"/>
      <c r="AU1024" s="721"/>
      <c r="AV1024" s="721"/>
      <c r="AW1024" s="828"/>
      <c r="AX1024" s="726"/>
    </row>
    <row r="1025" spans="1:50" ht="15" x14ac:dyDescent="0.25">
      <c r="A1025" s="721"/>
      <c r="B1025" s="904"/>
      <c r="C1025" s="721"/>
      <c r="D1025" s="721"/>
      <c r="E1025" s="721"/>
      <c r="F1025" s="721"/>
      <c r="G1025" s="721"/>
      <c r="H1025" s="721"/>
      <c r="I1025" s="721"/>
      <c r="J1025" s="721"/>
      <c r="K1025" s="721"/>
      <c r="L1025" s="721"/>
      <c r="M1025" s="930"/>
      <c r="N1025" s="930"/>
      <c r="O1025" s="930"/>
      <c r="P1025" s="931"/>
      <c r="Q1025" s="931"/>
      <c r="R1025" s="930"/>
      <c r="S1025" s="930"/>
      <c r="T1025" s="932"/>
      <c r="U1025" s="933"/>
      <c r="V1025" s="934"/>
      <c r="W1025" s="934"/>
      <c r="X1025" s="932"/>
      <c r="Y1025" s="932"/>
      <c r="Z1025" s="932"/>
      <c r="AA1025" s="726"/>
      <c r="AB1025" s="726"/>
      <c r="AC1025" s="721"/>
      <c r="AD1025" s="586"/>
      <c r="AE1025" s="586"/>
      <c r="AF1025" s="170"/>
      <c r="AG1025" s="170"/>
      <c r="AH1025" s="170"/>
      <c r="AI1025" s="170"/>
      <c r="AJ1025" s="170"/>
      <c r="AK1025" s="170"/>
      <c r="AL1025" s="170"/>
      <c r="AM1025" s="170"/>
      <c r="AN1025" s="170"/>
      <c r="AO1025" s="170"/>
      <c r="AP1025" s="170"/>
      <c r="AQ1025" s="170"/>
      <c r="AR1025" s="170"/>
      <c r="AS1025" s="170"/>
      <c r="AT1025" s="721"/>
      <c r="AU1025" s="721"/>
      <c r="AV1025" s="721"/>
      <c r="AW1025" s="828"/>
      <c r="AX1025" s="726"/>
    </row>
    <row r="1026" spans="1:50" ht="15" x14ac:dyDescent="0.25">
      <c r="A1026" s="721"/>
      <c r="B1026" s="904"/>
      <c r="C1026" s="721"/>
      <c r="D1026" s="721"/>
      <c r="E1026" s="721"/>
      <c r="F1026" s="721"/>
      <c r="G1026" s="721"/>
      <c r="H1026" s="721"/>
      <c r="I1026" s="721"/>
      <c r="J1026" s="721"/>
      <c r="K1026" s="721"/>
      <c r="L1026" s="721"/>
      <c r="M1026" s="930"/>
      <c r="N1026" s="930"/>
      <c r="O1026" s="930"/>
      <c r="P1026" s="931"/>
      <c r="Q1026" s="931"/>
      <c r="R1026" s="930"/>
      <c r="S1026" s="930"/>
      <c r="T1026" s="932"/>
      <c r="U1026" s="933"/>
      <c r="V1026" s="934"/>
      <c r="W1026" s="934"/>
      <c r="X1026" s="932"/>
      <c r="Y1026" s="932"/>
      <c r="Z1026" s="932"/>
      <c r="AA1026" s="726"/>
      <c r="AB1026" s="726"/>
      <c r="AC1026" s="721"/>
      <c r="AD1026" s="586"/>
      <c r="AE1026" s="586"/>
      <c r="AF1026" s="170"/>
      <c r="AG1026" s="170"/>
      <c r="AH1026" s="170"/>
      <c r="AI1026" s="170"/>
      <c r="AJ1026" s="170"/>
      <c r="AK1026" s="170"/>
      <c r="AL1026" s="170"/>
      <c r="AM1026" s="170"/>
      <c r="AN1026" s="170"/>
      <c r="AO1026" s="170"/>
      <c r="AP1026" s="170"/>
      <c r="AQ1026" s="170"/>
      <c r="AR1026" s="170"/>
      <c r="AS1026" s="170"/>
      <c r="AT1026" s="721"/>
      <c r="AU1026" s="721"/>
      <c r="AV1026" s="721"/>
      <c r="AW1026" s="828"/>
      <c r="AX1026" s="726"/>
    </row>
    <row r="1027" spans="1:50" ht="15" x14ac:dyDescent="0.25">
      <c r="A1027" s="721"/>
      <c r="B1027" s="904"/>
      <c r="C1027" s="721"/>
      <c r="D1027" s="721"/>
      <c r="E1027" s="721"/>
      <c r="F1027" s="721"/>
      <c r="G1027" s="721"/>
      <c r="H1027" s="721"/>
      <c r="I1027" s="721"/>
      <c r="J1027" s="721"/>
      <c r="K1027" s="721"/>
      <c r="L1027" s="721"/>
      <c r="M1027" s="930"/>
      <c r="N1027" s="930"/>
      <c r="O1027" s="930"/>
      <c r="P1027" s="931"/>
      <c r="Q1027" s="931"/>
      <c r="R1027" s="930"/>
      <c r="S1027" s="930"/>
      <c r="T1027" s="932"/>
      <c r="U1027" s="933"/>
      <c r="V1027" s="934"/>
      <c r="W1027" s="934"/>
      <c r="X1027" s="932"/>
      <c r="Y1027" s="932"/>
      <c r="Z1027" s="932"/>
      <c r="AA1027" s="726"/>
      <c r="AB1027" s="726"/>
      <c r="AC1027" s="721"/>
      <c r="AD1027" s="586"/>
      <c r="AE1027" s="586"/>
      <c r="AF1027" s="170"/>
      <c r="AG1027" s="170"/>
      <c r="AH1027" s="170"/>
      <c r="AI1027" s="170"/>
      <c r="AJ1027" s="170"/>
      <c r="AK1027" s="170"/>
      <c r="AL1027" s="170"/>
      <c r="AM1027" s="170"/>
      <c r="AN1027" s="170"/>
      <c r="AO1027" s="170"/>
      <c r="AP1027" s="170"/>
      <c r="AQ1027" s="170"/>
      <c r="AR1027" s="170"/>
      <c r="AS1027" s="170"/>
      <c r="AT1027" s="721"/>
      <c r="AU1027" s="721"/>
      <c r="AV1027" s="721"/>
      <c r="AW1027" s="828"/>
      <c r="AX1027" s="726"/>
    </row>
    <row r="1028" spans="1:50" ht="15" x14ac:dyDescent="0.25">
      <c r="A1028" s="721"/>
      <c r="B1028" s="904"/>
      <c r="C1028" s="721"/>
      <c r="D1028" s="721"/>
      <c r="E1028" s="721"/>
      <c r="F1028" s="721"/>
      <c r="G1028" s="721"/>
      <c r="H1028" s="721"/>
      <c r="I1028" s="721"/>
      <c r="J1028" s="721"/>
      <c r="K1028" s="721"/>
      <c r="L1028" s="721"/>
      <c r="M1028" s="930"/>
      <c r="N1028" s="930"/>
      <c r="O1028" s="930"/>
      <c r="P1028" s="931"/>
      <c r="Q1028" s="931"/>
      <c r="R1028" s="930"/>
      <c r="S1028" s="930"/>
      <c r="T1028" s="932"/>
      <c r="U1028" s="933"/>
      <c r="V1028" s="934"/>
      <c r="W1028" s="934"/>
      <c r="X1028" s="932"/>
      <c r="Y1028" s="932"/>
      <c r="Z1028" s="932"/>
      <c r="AA1028" s="726"/>
      <c r="AB1028" s="726"/>
      <c r="AC1028" s="721"/>
      <c r="AD1028" s="586"/>
      <c r="AE1028" s="586"/>
      <c r="AF1028" s="170"/>
      <c r="AG1028" s="170"/>
      <c r="AH1028" s="170"/>
      <c r="AI1028" s="170"/>
      <c r="AJ1028" s="170"/>
      <c r="AK1028" s="170"/>
      <c r="AL1028" s="170"/>
      <c r="AM1028" s="170"/>
      <c r="AN1028" s="170"/>
      <c r="AO1028" s="170"/>
      <c r="AP1028" s="170"/>
      <c r="AQ1028" s="170"/>
      <c r="AR1028" s="170"/>
      <c r="AS1028" s="170"/>
      <c r="AT1028" s="721"/>
      <c r="AU1028" s="721"/>
      <c r="AV1028" s="721"/>
      <c r="AW1028" s="828"/>
      <c r="AX1028" s="726"/>
    </row>
    <row r="1029" spans="1:50" ht="15" x14ac:dyDescent="0.25">
      <c r="A1029" s="721"/>
      <c r="B1029" s="904"/>
      <c r="C1029" s="721"/>
      <c r="D1029" s="721"/>
      <c r="E1029" s="721"/>
      <c r="F1029" s="721"/>
      <c r="G1029" s="721"/>
      <c r="H1029" s="721"/>
      <c r="I1029" s="721"/>
      <c r="J1029" s="721"/>
      <c r="K1029" s="721"/>
      <c r="L1029" s="721"/>
      <c r="M1029" s="930"/>
      <c r="N1029" s="930"/>
      <c r="O1029" s="930"/>
      <c r="P1029" s="931"/>
      <c r="Q1029" s="931"/>
      <c r="R1029" s="930"/>
      <c r="S1029" s="930"/>
      <c r="T1029" s="932"/>
      <c r="U1029" s="933"/>
      <c r="V1029" s="934"/>
      <c r="W1029" s="934"/>
      <c r="X1029" s="932"/>
      <c r="Y1029" s="932"/>
      <c r="Z1029" s="932"/>
      <c r="AA1029" s="726"/>
      <c r="AB1029" s="726"/>
      <c r="AC1029" s="721"/>
      <c r="AD1029" s="586"/>
      <c r="AE1029" s="586"/>
      <c r="AF1029" s="170"/>
      <c r="AG1029" s="170"/>
      <c r="AH1029" s="170"/>
      <c r="AI1029" s="170"/>
      <c r="AJ1029" s="170"/>
      <c r="AK1029" s="170"/>
      <c r="AL1029" s="170"/>
      <c r="AM1029" s="170"/>
      <c r="AN1029" s="170"/>
      <c r="AO1029" s="170"/>
      <c r="AP1029" s="170"/>
      <c r="AQ1029" s="170"/>
      <c r="AR1029" s="170"/>
      <c r="AS1029" s="170"/>
      <c r="AT1029" s="721"/>
      <c r="AU1029" s="721"/>
      <c r="AV1029" s="721"/>
      <c r="AW1029" s="828"/>
      <c r="AX1029" s="726"/>
    </row>
    <row r="1030" spans="1:50" ht="15" x14ac:dyDescent="0.25">
      <c r="A1030" s="721"/>
      <c r="B1030" s="904"/>
      <c r="C1030" s="721"/>
      <c r="D1030" s="721"/>
      <c r="E1030" s="721"/>
      <c r="F1030" s="721"/>
      <c r="G1030" s="721"/>
      <c r="H1030" s="721"/>
      <c r="I1030" s="721"/>
      <c r="J1030" s="721"/>
      <c r="K1030" s="721"/>
      <c r="L1030" s="721"/>
      <c r="M1030" s="930"/>
      <c r="N1030" s="930"/>
      <c r="O1030" s="930"/>
      <c r="P1030" s="931"/>
      <c r="Q1030" s="931"/>
      <c r="R1030" s="930"/>
      <c r="S1030" s="930"/>
      <c r="T1030" s="932"/>
      <c r="U1030" s="933"/>
      <c r="V1030" s="934"/>
      <c r="W1030" s="934"/>
      <c r="X1030" s="932"/>
      <c r="Y1030" s="932"/>
      <c r="Z1030" s="932"/>
      <c r="AA1030" s="726"/>
      <c r="AB1030" s="726"/>
      <c r="AC1030" s="721"/>
      <c r="AD1030" s="586"/>
      <c r="AE1030" s="586"/>
      <c r="AF1030" s="170"/>
      <c r="AG1030" s="170"/>
      <c r="AH1030" s="170"/>
      <c r="AI1030" s="170"/>
      <c r="AJ1030" s="170"/>
      <c r="AK1030" s="170"/>
      <c r="AL1030" s="170"/>
      <c r="AM1030" s="170"/>
      <c r="AN1030" s="170"/>
      <c r="AO1030" s="170"/>
      <c r="AP1030" s="170"/>
      <c r="AQ1030" s="170"/>
      <c r="AR1030" s="170"/>
      <c r="AS1030" s="170"/>
      <c r="AT1030" s="721"/>
      <c r="AU1030" s="721"/>
      <c r="AV1030" s="721"/>
      <c r="AW1030" s="828"/>
      <c r="AX1030" s="726"/>
    </row>
    <row r="1031" spans="1:50" ht="15" x14ac:dyDescent="0.25">
      <c r="A1031" s="721"/>
      <c r="B1031" s="904"/>
      <c r="C1031" s="721"/>
      <c r="D1031" s="721"/>
      <c r="E1031" s="721"/>
      <c r="F1031" s="721"/>
      <c r="G1031" s="721"/>
      <c r="H1031" s="721"/>
      <c r="I1031" s="721"/>
      <c r="J1031" s="721"/>
      <c r="K1031" s="721"/>
      <c r="L1031" s="721"/>
      <c r="M1031" s="930"/>
      <c r="N1031" s="930"/>
      <c r="O1031" s="930"/>
      <c r="P1031" s="931"/>
      <c r="Q1031" s="931"/>
      <c r="R1031" s="930"/>
      <c r="S1031" s="930"/>
      <c r="T1031" s="932"/>
      <c r="U1031" s="933"/>
      <c r="V1031" s="934"/>
      <c r="W1031" s="934"/>
      <c r="X1031" s="932"/>
      <c r="Y1031" s="932"/>
      <c r="Z1031" s="932"/>
      <c r="AA1031" s="726"/>
      <c r="AB1031" s="726"/>
      <c r="AC1031" s="721"/>
      <c r="AD1031" s="586"/>
      <c r="AE1031" s="586"/>
      <c r="AF1031" s="170"/>
      <c r="AG1031" s="170"/>
      <c r="AH1031" s="170"/>
      <c r="AI1031" s="170"/>
      <c r="AJ1031" s="170"/>
      <c r="AK1031" s="170"/>
      <c r="AL1031" s="170"/>
      <c r="AM1031" s="170"/>
      <c r="AN1031" s="170"/>
      <c r="AO1031" s="170"/>
      <c r="AP1031" s="170"/>
      <c r="AQ1031" s="170"/>
      <c r="AR1031" s="170"/>
      <c r="AS1031" s="170"/>
      <c r="AT1031" s="721"/>
      <c r="AU1031" s="721"/>
      <c r="AV1031" s="721"/>
      <c r="AW1031" s="828"/>
      <c r="AX1031" s="726"/>
    </row>
    <row r="1032" spans="1:50" ht="15" x14ac:dyDescent="0.25">
      <c r="A1032" s="721"/>
      <c r="B1032" s="904"/>
      <c r="C1032" s="721"/>
      <c r="D1032" s="721"/>
      <c r="E1032" s="721"/>
      <c r="F1032" s="721"/>
      <c r="G1032" s="721"/>
      <c r="H1032" s="721"/>
      <c r="I1032" s="721"/>
      <c r="J1032" s="721"/>
      <c r="K1032" s="721"/>
      <c r="L1032" s="721"/>
      <c r="M1032" s="930"/>
      <c r="N1032" s="930"/>
      <c r="O1032" s="930"/>
      <c r="P1032" s="931"/>
      <c r="Q1032" s="931"/>
      <c r="R1032" s="930"/>
      <c r="S1032" s="930"/>
      <c r="T1032" s="932"/>
      <c r="U1032" s="933"/>
      <c r="V1032" s="934"/>
      <c r="W1032" s="934"/>
      <c r="X1032" s="932"/>
      <c r="Y1032" s="932"/>
      <c r="Z1032" s="932"/>
      <c r="AA1032" s="726"/>
      <c r="AB1032" s="726"/>
      <c r="AC1032" s="721"/>
      <c r="AD1032" s="586"/>
      <c r="AE1032" s="586"/>
      <c r="AF1032" s="170"/>
      <c r="AG1032" s="170"/>
      <c r="AH1032" s="170"/>
      <c r="AI1032" s="170"/>
      <c r="AJ1032" s="170"/>
      <c r="AK1032" s="170"/>
      <c r="AL1032" s="170"/>
      <c r="AM1032" s="170"/>
      <c r="AN1032" s="170"/>
      <c r="AO1032" s="170"/>
      <c r="AP1032" s="170"/>
      <c r="AQ1032" s="170"/>
      <c r="AR1032" s="170"/>
      <c r="AS1032" s="170"/>
      <c r="AT1032" s="721"/>
      <c r="AU1032" s="721"/>
      <c r="AV1032" s="721"/>
      <c r="AW1032" s="828"/>
      <c r="AX1032" s="726"/>
    </row>
    <row r="1033" spans="1:50" ht="15" x14ac:dyDescent="0.25">
      <c r="A1033" s="721"/>
      <c r="B1033" s="904"/>
      <c r="C1033" s="721"/>
      <c r="D1033" s="721"/>
      <c r="E1033" s="721"/>
      <c r="F1033" s="721"/>
      <c r="G1033" s="721"/>
      <c r="H1033" s="721"/>
      <c r="I1033" s="721"/>
      <c r="J1033" s="721"/>
      <c r="K1033" s="721"/>
      <c r="L1033" s="721"/>
      <c r="M1033" s="930"/>
      <c r="N1033" s="930"/>
      <c r="O1033" s="930"/>
      <c r="P1033" s="931"/>
      <c r="Q1033" s="931"/>
      <c r="R1033" s="930"/>
      <c r="S1033" s="930"/>
      <c r="T1033" s="932"/>
      <c r="U1033" s="933"/>
      <c r="V1033" s="934"/>
      <c r="W1033" s="934"/>
      <c r="X1033" s="932"/>
      <c r="Y1033" s="932"/>
      <c r="Z1033" s="932"/>
      <c r="AA1033" s="726"/>
      <c r="AB1033" s="726"/>
      <c r="AC1033" s="721"/>
      <c r="AD1033" s="586"/>
      <c r="AE1033" s="586"/>
      <c r="AF1033" s="170"/>
      <c r="AG1033" s="170"/>
      <c r="AH1033" s="170"/>
      <c r="AI1033" s="170"/>
      <c r="AJ1033" s="170"/>
      <c r="AK1033" s="170"/>
      <c r="AL1033" s="170"/>
      <c r="AM1033" s="170"/>
      <c r="AN1033" s="170"/>
      <c r="AO1033" s="170"/>
      <c r="AP1033" s="170"/>
      <c r="AQ1033" s="170"/>
      <c r="AR1033" s="170"/>
      <c r="AS1033" s="170"/>
      <c r="AT1033" s="721"/>
      <c r="AU1033" s="721"/>
      <c r="AV1033" s="721"/>
      <c r="AW1033" s="828"/>
      <c r="AX1033" s="726"/>
    </row>
    <row r="1034" spans="1:50" ht="15" x14ac:dyDescent="0.25">
      <c r="A1034" s="721"/>
      <c r="B1034" s="904"/>
      <c r="C1034" s="721"/>
      <c r="D1034" s="721"/>
      <c r="E1034" s="721"/>
      <c r="F1034" s="721"/>
      <c r="G1034" s="721"/>
      <c r="H1034" s="721"/>
      <c r="I1034" s="721"/>
      <c r="J1034" s="721"/>
      <c r="K1034" s="721"/>
      <c r="L1034" s="721"/>
      <c r="M1034" s="930"/>
      <c r="N1034" s="930"/>
      <c r="O1034" s="930"/>
      <c r="P1034" s="931"/>
      <c r="Q1034" s="931"/>
      <c r="R1034" s="930"/>
      <c r="S1034" s="930"/>
      <c r="T1034" s="932"/>
      <c r="U1034" s="933"/>
      <c r="V1034" s="934"/>
      <c r="W1034" s="934"/>
      <c r="X1034" s="932"/>
      <c r="Y1034" s="932"/>
      <c r="Z1034" s="932"/>
      <c r="AA1034" s="726"/>
      <c r="AB1034" s="726"/>
      <c r="AC1034" s="721"/>
      <c r="AD1034" s="586"/>
      <c r="AE1034" s="586"/>
      <c r="AF1034" s="170"/>
      <c r="AG1034" s="170"/>
      <c r="AH1034" s="170"/>
      <c r="AI1034" s="170"/>
      <c r="AJ1034" s="170"/>
      <c r="AK1034" s="170"/>
      <c r="AL1034" s="170"/>
      <c r="AM1034" s="170"/>
      <c r="AN1034" s="170"/>
      <c r="AO1034" s="170"/>
      <c r="AP1034" s="170"/>
      <c r="AQ1034" s="170"/>
      <c r="AR1034" s="170"/>
      <c r="AS1034" s="170"/>
      <c r="AT1034" s="721"/>
      <c r="AU1034" s="721"/>
      <c r="AV1034" s="721"/>
      <c r="AW1034" s="828"/>
      <c r="AX1034" s="726"/>
    </row>
    <row r="1035" spans="1:50" ht="15" x14ac:dyDescent="0.25">
      <c r="A1035" s="721"/>
      <c r="B1035" s="904"/>
      <c r="C1035" s="721"/>
      <c r="D1035" s="721"/>
      <c r="E1035" s="721"/>
      <c r="F1035" s="721"/>
      <c r="G1035" s="721"/>
      <c r="H1035" s="721"/>
      <c r="I1035" s="721"/>
      <c r="J1035" s="721"/>
      <c r="K1035" s="721"/>
      <c r="L1035" s="721"/>
      <c r="M1035" s="930"/>
      <c r="N1035" s="930"/>
      <c r="O1035" s="930"/>
      <c r="P1035" s="931"/>
      <c r="Q1035" s="931"/>
      <c r="R1035" s="930"/>
      <c r="S1035" s="930"/>
      <c r="T1035" s="932"/>
      <c r="U1035" s="933"/>
      <c r="V1035" s="934"/>
      <c r="W1035" s="934"/>
      <c r="X1035" s="932"/>
      <c r="Y1035" s="932"/>
      <c r="Z1035" s="932"/>
      <c r="AA1035" s="726"/>
      <c r="AB1035" s="726"/>
      <c r="AC1035" s="721"/>
      <c r="AD1035" s="586"/>
      <c r="AE1035" s="586"/>
      <c r="AF1035" s="170"/>
      <c r="AG1035" s="170"/>
      <c r="AH1035" s="170"/>
      <c r="AI1035" s="170"/>
      <c r="AJ1035" s="170"/>
      <c r="AK1035" s="170"/>
      <c r="AL1035" s="170"/>
      <c r="AM1035" s="170"/>
      <c r="AN1035" s="170"/>
      <c r="AO1035" s="170"/>
      <c r="AP1035" s="170"/>
      <c r="AQ1035" s="170"/>
      <c r="AR1035" s="170"/>
      <c r="AS1035" s="170"/>
      <c r="AT1035" s="721"/>
      <c r="AU1035" s="721"/>
      <c r="AV1035" s="721"/>
      <c r="AW1035" s="828"/>
      <c r="AX1035" s="726"/>
    </row>
    <row r="1036" spans="1:50" ht="15" x14ac:dyDescent="0.25">
      <c r="A1036" s="721"/>
      <c r="B1036" s="904"/>
      <c r="C1036" s="721"/>
      <c r="D1036" s="721"/>
      <c r="E1036" s="721"/>
      <c r="F1036" s="721"/>
      <c r="G1036" s="721"/>
      <c r="H1036" s="721"/>
      <c r="I1036" s="721"/>
      <c r="J1036" s="721"/>
      <c r="K1036" s="721"/>
      <c r="L1036" s="721"/>
      <c r="M1036" s="930"/>
      <c r="N1036" s="930"/>
      <c r="O1036" s="930"/>
      <c r="P1036" s="931"/>
      <c r="Q1036" s="931"/>
      <c r="R1036" s="930"/>
      <c r="S1036" s="930"/>
      <c r="T1036" s="932"/>
      <c r="U1036" s="933"/>
      <c r="V1036" s="934"/>
      <c r="W1036" s="934"/>
      <c r="X1036" s="932"/>
      <c r="Y1036" s="932"/>
      <c r="Z1036" s="932"/>
      <c r="AA1036" s="726"/>
      <c r="AB1036" s="726"/>
      <c r="AC1036" s="721"/>
      <c r="AD1036" s="586"/>
      <c r="AE1036" s="586"/>
      <c r="AF1036" s="170"/>
      <c r="AG1036" s="170"/>
      <c r="AH1036" s="170"/>
      <c r="AI1036" s="170"/>
      <c r="AJ1036" s="170"/>
      <c r="AK1036" s="170"/>
      <c r="AL1036" s="170"/>
      <c r="AM1036" s="170"/>
      <c r="AN1036" s="170"/>
      <c r="AO1036" s="170"/>
      <c r="AP1036" s="170"/>
      <c r="AQ1036" s="170"/>
      <c r="AR1036" s="170"/>
      <c r="AS1036" s="170"/>
      <c r="AT1036" s="721"/>
      <c r="AU1036" s="721"/>
      <c r="AV1036" s="721"/>
      <c r="AW1036" s="828"/>
      <c r="AX1036" s="726"/>
    </row>
    <row r="1037" spans="1:50" ht="15" x14ac:dyDescent="0.25">
      <c r="A1037" s="721"/>
      <c r="B1037" s="904"/>
      <c r="C1037" s="721"/>
      <c r="D1037" s="721"/>
      <c r="E1037" s="721"/>
      <c r="F1037" s="721"/>
      <c r="G1037" s="721"/>
      <c r="H1037" s="721"/>
      <c r="I1037" s="721"/>
      <c r="J1037" s="721"/>
      <c r="K1037" s="721"/>
      <c r="L1037" s="721"/>
      <c r="M1037" s="930"/>
      <c r="N1037" s="930"/>
      <c r="O1037" s="930"/>
      <c r="P1037" s="931"/>
      <c r="Q1037" s="931"/>
      <c r="R1037" s="930"/>
      <c r="S1037" s="930"/>
      <c r="T1037" s="932"/>
      <c r="U1037" s="933"/>
      <c r="V1037" s="934"/>
      <c r="W1037" s="934"/>
      <c r="X1037" s="932"/>
      <c r="Y1037" s="932"/>
      <c r="Z1037" s="932"/>
      <c r="AA1037" s="726"/>
      <c r="AB1037" s="726"/>
      <c r="AC1037" s="721"/>
      <c r="AD1037" s="586"/>
      <c r="AE1037" s="586"/>
      <c r="AF1037" s="170"/>
      <c r="AG1037" s="170"/>
      <c r="AH1037" s="170"/>
      <c r="AI1037" s="170"/>
      <c r="AJ1037" s="170"/>
      <c r="AK1037" s="170"/>
      <c r="AL1037" s="170"/>
      <c r="AM1037" s="170"/>
      <c r="AN1037" s="170"/>
      <c r="AO1037" s="170"/>
      <c r="AP1037" s="170"/>
      <c r="AQ1037" s="170"/>
      <c r="AR1037" s="170"/>
      <c r="AS1037" s="170"/>
      <c r="AT1037" s="721"/>
      <c r="AU1037" s="721"/>
      <c r="AV1037" s="721"/>
      <c r="AW1037" s="828"/>
      <c r="AX1037" s="726"/>
    </row>
    <row r="1038" spans="1:50" ht="15" x14ac:dyDescent="0.25">
      <c r="A1038" s="721"/>
      <c r="B1038" s="904"/>
      <c r="C1038" s="721"/>
      <c r="D1038" s="721"/>
      <c r="E1038" s="721"/>
      <c r="F1038" s="721"/>
      <c r="G1038" s="721"/>
      <c r="H1038" s="721"/>
      <c r="I1038" s="721"/>
      <c r="J1038" s="721"/>
      <c r="K1038" s="721"/>
      <c r="L1038" s="721"/>
      <c r="M1038" s="930"/>
      <c r="N1038" s="930"/>
      <c r="O1038" s="930"/>
      <c r="P1038" s="931"/>
      <c r="Q1038" s="931"/>
      <c r="R1038" s="930"/>
      <c r="S1038" s="930"/>
      <c r="T1038" s="932"/>
      <c r="U1038" s="933"/>
      <c r="V1038" s="934"/>
      <c r="W1038" s="934"/>
      <c r="X1038" s="932"/>
      <c r="Y1038" s="932"/>
      <c r="Z1038" s="932"/>
      <c r="AA1038" s="726"/>
      <c r="AB1038" s="726"/>
      <c r="AC1038" s="721"/>
      <c r="AD1038" s="586"/>
      <c r="AE1038" s="586"/>
      <c r="AF1038" s="170"/>
      <c r="AG1038" s="170"/>
      <c r="AH1038" s="170"/>
      <c r="AI1038" s="170"/>
      <c r="AJ1038" s="170"/>
      <c r="AK1038" s="170"/>
      <c r="AL1038" s="170"/>
      <c r="AM1038" s="170"/>
      <c r="AN1038" s="170"/>
      <c r="AO1038" s="170"/>
      <c r="AP1038" s="170"/>
      <c r="AQ1038" s="170"/>
      <c r="AR1038" s="170"/>
      <c r="AS1038" s="170"/>
      <c r="AT1038" s="721"/>
      <c r="AU1038" s="721"/>
      <c r="AV1038" s="721"/>
      <c r="AW1038" s="828"/>
      <c r="AX1038" s="726"/>
    </row>
    <row r="1039" spans="1:50" ht="15" x14ac:dyDescent="0.25">
      <c r="A1039" s="721"/>
      <c r="B1039" s="904"/>
      <c r="C1039" s="721"/>
      <c r="D1039" s="721"/>
      <c r="E1039" s="721"/>
      <c r="F1039" s="721"/>
      <c r="G1039" s="721"/>
      <c r="H1039" s="721"/>
      <c r="I1039" s="721"/>
      <c r="J1039" s="721"/>
      <c r="K1039" s="721"/>
      <c r="L1039" s="721"/>
      <c r="M1039" s="930"/>
      <c r="N1039" s="930"/>
      <c r="O1039" s="930"/>
      <c r="P1039" s="931"/>
      <c r="Q1039" s="931"/>
      <c r="R1039" s="930"/>
      <c r="S1039" s="930"/>
      <c r="T1039" s="932"/>
      <c r="U1039" s="933"/>
      <c r="V1039" s="934"/>
      <c r="W1039" s="934"/>
      <c r="X1039" s="932"/>
      <c r="Y1039" s="932"/>
      <c r="Z1039" s="932"/>
      <c r="AA1039" s="726"/>
      <c r="AB1039" s="726"/>
      <c r="AC1039" s="721"/>
      <c r="AD1039" s="586"/>
      <c r="AE1039" s="586"/>
      <c r="AF1039" s="170"/>
      <c r="AG1039" s="170"/>
      <c r="AH1039" s="170"/>
      <c r="AI1039" s="170"/>
      <c r="AJ1039" s="170"/>
      <c r="AK1039" s="170"/>
      <c r="AL1039" s="170"/>
      <c r="AM1039" s="170"/>
      <c r="AN1039" s="170"/>
      <c r="AO1039" s="170"/>
      <c r="AP1039" s="170"/>
      <c r="AQ1039" s="170"/>
      <c r="AR1039" s="170"/>
      <c r="AS1039" s="170"/>
      <c r="AT1039" s="721"/>
      <c r="AU1039" s="721"/>
      <c r="AV1039" s="721"/>
      <c r="AW1039" s="828"/>
      <c r="AX1039" s="726"/>
    </row>
    <row r="1040" spans="1:50" ht="15" x14ac:dyDescent="0.25">
      <c r="A1040" s="721"/>
      <c r="B1040" s="904"/>
      <c r="C1040" s="721"/>
      <c r="D1040" s="721"/>
      <c r="E1040" s="721"/>
      <c r="F1040" s="721"/>
      <c r="G1040" s="721"/>
      <c r="H1040" s="721"/>
      <c r="I1040" s="721"/>
      <c r="J1040" s="721"/>
      <c r="K1040" s="721"/>
      <c r="L1040" s="721"/>
      <c r="M1040" s="930"/>
      <c r="N1040" s="930"/>
      <c r="O1040" s="930"/>
      <c r="P1040" s="931"/>
      <c r="Q1040" s="931"/>
      <c r="R1040" s="930"/>
      <c r="S1040" s="930"/>
      <c r="T1040" s="932"/>
      <c r="U1040" s="933"/>
      <c r="V1040" s="934"/>
      <c r="W1040" s="934"/>
      <c r="X1040" s="932"/>
      <c r="Y1040" s="932"/>
      <c r="Z1040" s="932"/>
      <c r="AA1040" s="726"/>
      <c r="AB1040" s="726"/>
      <c r="AC1040" s="721"/>
      <c r="AD1040" s="586"/>
      <c r="AE1040" s="586"/>
      <c r="AF1040" s="170"/>
      <c r="AG1040" s="170"/>
      <c r="AH1040" s="170"/>
      <c r="AI1040" s="170"/>
      <c r="AJ1040" s="170"/>
      <c r="AK1040" s="170"/>
      <c r="AL1040" s="170"/>
      <c r="AM1040" s="170"/>
      <c r="AN1040" s="170"/>
      <c r="AO1040" s="170"/>
      <c r="AP1040" s="170"/>
      <c r="AQ1040" s="170"/>
      <c r="AR1040" s="170"/>
      <c r="AS1040" s="170"/>
      <c r="AT1040" s="721"/>
      <c r="AU1040" s="721"/>
      <c r="AV1040" s="721"/>
      <c r="AW1040" s="828"/>
      <c r="AX1040" s="726"/>
    </row>
    <row r="1041" spans="1:50" ht="15" x14ac:dyDescent="0.25">
      <c r="A1041" s="721"/>
      <c r="B1041" s="904"/>
      <c r="C1041" s="721"/>
      <c r="D1041" s="721"/>
      <c r="E1041" s="721"/>
      <c r="F1041" s="721"/>
      <c r="G1041" s="721"/>
      <c r="H1041" s="721"/>
      <c r="I1041" s="721"/>
      <c r="J1041" s="721"/>
      <c r="K1041" s="721"/>
      <c r="L1041" s="721"/>
      <c r="M1041" s="930"/>
      <c r="N1041" s="930"/>
      <c r="O1041" s="930"/>
      <c r="P1041" s="931"/>
      <c r="Q1041" s="931"/>
      <c r="R1041" s="930"/>
      <c r="S1041" s="930"/>
      <c r="T1041" s="932"/>
      <c r="U1041" s="933"/>
      <c r="V1041" s="934"/>
      <c r="W1041" s="934"/>
      <c r="X1041" s="932"/>
      <c r="Y1041" s="932"/>
      <c r="Z1041" s="932"/>
      <c r="AA1041" s="726"/>
      <c r="AB1041" s="726"/>
      <c r="AC1041" s="721"/>
      <c r="AD1041" s="586"/>
      <c r="AE1041" s="586"/>
      <c r="AF1041" s="170"/>
      <c r="AG1041" s="170"/>
      <c r="AH1041" s="170"/>
      <c r="AI1041" s="170"/>
      <c r="AJ1041" s="170"/>
      <c r="AK1041" s="170"/>
      <c r="AL1041" s="170"/>
      <c r="AM1041" s="170"/>
      <c r="AN1041" s="170"/>
      <c r="AO1041" s="170"/>
      <c r="AP1041" s="170"/>
      <c r="AQ1041" s="170"/>
      <c r="AR1041" s="170"/>
      <c r="AS1041" s="170"/>
      <c r="AT1041" s="721"/>
      <c r="AU1041" s="721"/>
      <c r="AV1041" s="721"/>
      <c r="AW1041" s="828"/>
      <c r="AX1041" s="726"/>
    </row>
    <row r="1042" spans="1:50" ht="15" x14ac:dyDescent="0.25">
      <c r="A1042" s="721"/>
      <c r="B1042" s="904"/>
      <c r="C1042" s="721"/>
      <c r="D1042" s="721"/>
      <c r="E1042" s="721"/>
      <c r="F1042" s="721"/>
      <c r="G1042" s="721"/>
      <c r="H1042" s="721"/>
      <c r="I1042" s="721"/>
      <c r="J1042" s="721"/>
      <c r="K1042" s="721"/>
      <c r="L1042" s="721"/>
      <c r="M1042" s="930"/>
      <c r="N1042" s="930"/>
      <c r="O1042" s="930"/>
      <c r="P1042" s="931"/>
      <c r="Q1042" s="931"/>
      <c r="R1042" s="930"/>
      <c r="S1042" s="930"/>
      <c r="T1042" s="932"/>
      <c r="U1042" s="933"/>
      <c r="V1042" s="934"/>
      <c r="W1042" s="934"/>
      <c r="X1042" s="932"/>
      <c r="Y1042" s="932"/>
      <c r="Z1042" s="932"/>
      <c r="AA1042" s="726"/>
      <c r="AB1042" s="726"/>
      <c r="AC1042" s="721"/>
      <c r="AD1042" s="586"/>
      <c r="AE1042" s="586"/>
      <c r="AF1042" s="170"/>
      <c r="AG1042" s="170"/>
      <c r="AH1042" s="170"/>
      <c r="AI1042" s="170"/>
      <c r="AJ1042" s="170"/>
      <c r="AK1042" s="170"/>
      <c r="AL1042" s="170"/>
      <c r="AM1042" s="170"/>
      <c r="AN1042" s="170"/>
      <c r="AO1042" s="170"/>
      <c r="AP1042" s="170"/>
      <c r="AQ1042" s="170"/>
      <c r="AR1042" s="170"/>
      <c r="AS1042" s="170"/>
      <c r="AT1042" s="721"/>
      <c r="AU1042" s="721"/>
      <c r="AV1042" s="721"/>
      <c r="AW1042" s="828"/>
      <c r="AX1042" s="726"/>
    </row>
    <row r="1043" spans="1:50" ht="15" x14ac:dyDescent="0.25">
      <c r="A1043" s="721"/>
      <c r="B1043" s="904"/>
      <c r="C1043" s="721"/>
      <c r="D1043" s="721"/>
      <c r="E1043" s="721"/>
      <c r="F1043" s="721"/>
      <c r="G1043" s="721"/>
      <c r="H1043" s="721"/>
      <c r="I1043" s="721"/>
      <c r="J1043" s="721"/>
      <c r="K1043" s="721"/>
      <c r="L1043" s="721"/>
      <c r="M1043" s="930"/>
      <c r="N1043" s="930"/>
      <c r="O1043" s="930"/>
      <c r="P1043" s="931"/>
      <c r="Q1043" s="931"/>
      <c r="R1043" s="930"/>
      <c r="S1043" s="930"/>
      <c r="T1043" s="932"/>
      <c r="U1043" s="933"/>
      <c r="V1043" s="934"/>
      <c r="W1043" s="934"/>
      <c r="X1043" s="932"/>
      <c r="Y1043" s="932"/>
      <c r="Z1043" s="932"/>
      <c r="AA1043" s="726"/>
      <c r="AB1043" s="726"/>
      <c r="AC1043" s="721"/>
      <c r="AD1043" s="586"/>
      <c r="AE1043" s="586"/>
      <c r="AF1043" s="170"/>
      <c r="AG1043" s="170"/>
      <c r="AH1043" s="170"/>
      <c r="AI1043" s="170"/>
      <c r="AJ1043" s="170"/>
      <c r="AK1043" s="170"/>
      <c r="AL1043" s="170"/>
      <c r="AM1043" s="170"/>
      <c r="AN1043" s="170"/>
      <c r="AO1043" s="170"/>
      <c r="AP1043" s="170"/>
      <c r="AQ1043" s="170"/>
      <c r="AR1043" s="170"/>
      <c r="AS1043" s="170"/>
      <c r="AT1043" s="721"/>
      <c r="AU1043" s="721"/>
      <c r="AV1043" s="721"/>
      <c r="AW1043" s="828"/>
      <c r="AX1043" s="726"/>
    </row>
    <row r="1044" spans="1:50" ht="15" x14ac:dyDescent="0.25">
      <c r="A1044" s="721"/>
      <c r="B1044" s="904"/>
      <c r="C1044" s="721"/>
      <c r="D1044" s="721"/>
      <c r="E1044" s="721"/>
      <c r="F1044" s="721"/>
      <c r="G1044" s="721"/>
      <c r="H1044" s="721"/>
      <c r="I1044" s="721"/>
      <c r="J1044" s="721"/>
      <c r="K1044" s="721"/>
      <c r="L1044" s="721"/>
      <c r="M1044" s="930"/>
      <c r="N1044" s="930"/>
      <c r="O1044" s="930"/>
      <c r="P1044" s="931"/>
      <c r="Q1044" s="931"/>
      <c r="R1044" s="930"/>
      <c r="S1044" s="930"/>
      <c r="T1044" s="932"/>
      <c r="U1044" s="933"/>
      <c r="V1044" s="934"/>
      <c r="W1044" s="934"/>
      <c r="X1044" s="932"/>
      <c r="Y1044" s="932"/>
      <c r="Z1044" s="932"/>
      <c r="AA1044" s="726"/>
      <c r="AB1044" s="726"/>
      <c r="AC1044" s="721"/>
      <c r="AD1044" s="586"/>
      <c r="AE1044" s="586"/>
      <c r="AF1044" s="170"/>
      <c r="AG1044" s="170"/>
      <c r="AH1044" s="170"/>
      <c r="AI1044" s="170"/>
      <c r="AJ1044" s="170"/>
      <c r="AK1044" s="170"/>
      <c r="AL1044" s="170"/>
      <c r="AM1044" s="170"/>
      <c r="AN1044" s="170"/>
      <c r="AO1044" s="170"/>
      <c r="AP1044" s="170"/>
      <c r="AQ1044" s="170"/>
      <c r="AR1044" s="170"/>
      <c r="AS1044" s="170"/>
      <c r="AT1044" s="721"/>
      <c r="AU1044" s="721"/>
      <c r="AV1044" s="721"/>
      <c r="AW1044" s="828"/>
      <c r="AX1044" s="726"/>
    </row>
    <row r="1045" spans="1:50" ht="15" x14ac:dyDescent="0.25">
      <c r="A1045" s="721"/>
      <c r="B1045" s="904"/>
      <c r="C1045" s="721"/>
      <c r="D1045" s="721"/>
      <c r="E1045" s="721"/>
      <c r="F1045" s="721"/>
      <c r="G1045" s="721"/>
      <c r="H1045" s="721"/>
      <c r="I1045" s="721"/>
      <c r="J1045" s="721"/>
      <c r="K1045" s="721"/>
      <c r="L1045" s="721"/>
      <c r="M1045" s="930"/>
      <c r="N1045" s="930"/>
      <c r="O1045" s="930"/>
      <c r="P1045" s="931"/>
      <c r="Q1045" s="931"/>
      <c r="R1045" s="930"/>
      <c r="S1045" s="930"/>
      <c r="T1045" s="932"/>
      <c r="U1045" s="933"/>
      <c r="V1045" s="934"/>
      <c r="W1045" s="934"/>
      <c r="X1045" s="932"/>
      <c r="Y1045" s="932"/>
      <c r="Z1045" s="932"/>
      <c r="AA1045" s="726"/>
      <c r="AB1045" s="726"/>
      <c r="AC1045" s="721"/>
      <c r="AD1045" s="586"/>
      <c r="AE1045" s="586"/>
      <c r="AF1045" s="170"/>
      <c r="AG1045" s="170"/>
      <c r="AH1045" s="170"/>
      <c r="AI1045" s="170"/>
      <c r="AJ1045" s="170"/>
      <c r="AK1045" s="170"/>
      <c r="AL1045" s="170"/>
      <c r="AM1045" s="170"/>
      <c r="AN1045" s="170"/>
      <c r="AO1045" s="170"/>
      <c r="AP1045" s="170"/>
      <c r="AQ1045" s="170"/>
      <c r="AR1045" s="170"/>
      <c r="AS1045" s="170"/>
      <c r="AT1045" s="721"/>
      <c r="AU1045" s="721"/>
      <c r="AV1045" s="721"/>
      <c r="AW1045" s="828"/>
      <c r="AX1045" s="726"/>
    </row>
    <row r="1046" spans="1:50" ht="15" x14ac:dyDescent="0.25">
      <c r="A1046" s="721"/>
      <c r="B1046" s="904"/>
      <c r="C1046" s="721"/>
      <c r="D1046" s="721"/>
      <c r="E1046" s="721"/>
      <c r="F1046" s="721"/>
      <c r="G1046" s="721"/>
      <c r="H1046" s="721"/>
      <c r="I1046" s="721"/>
      <c r="J1046" s="721"/>
      <c r="K1046" s="721"/>
      <c r="L1046" s="721"/>
      <c r="M1046" s="930"/>
      <c r="N1046" s="930"/>
      <c r="O1046" s="930"/>
      <c r="P1046" s="931"/>
      <c r="Q1046" s="931"/>
      <c r="R1046" s="930"/>
      <c r="S1046" s="930"/>
      <c r="T1046" s="932"/>
      <c r="U1046" s="933"/>
      <c r="V1046" s="934"/>
      <c r="W1046" s="934"/>
      <c r="X1046" s="932"/>
      <c r="Y1046" s="932"/>
      <c r="Z1046" s="932"/>
      <c r="AA1046" s="726"/>
      <c r="AB1046" s="726"/>
      <c r="AC1046" s="721"/>
      <c r="AD1046" s="586"/>
      <c r="AE1046" s="586"/>
      <c r="AF1046" s="170"/>
      <c r="AG1046" s="170"/>
      <c r="AH1046" s="170"/>
      <c r="AI1046" s="170"/>
      <c r="AJ1046" s="170"/>
      <c r="AK1046" s="170"/>
      <c r="AL1046" s="170"/>
      <c r="AM1046" s="170"/>
      <c r="AN1046" s="170"/>
      <c r="AO1046" s="170"/>
      <c r="AP1046" s="170"/>
      <c r="AQ1046" s="170"/>
      <c r="AR1046" s="170"/>
      <c r="AS1046" s="170"/>
      <c r="AT1046" s="721"/>
      <c r="AU1046" s="721"/>
      <c r="AV1046" s="721"/>
      <c r="AW1046" s="828"/>
      <c r="AX1046" s="726"/>
    </row>
    <row r="1047" spans="1:50" ht="15" x14ac:dyDescent="0.25">
      <c r="A1047" s="721"/>
      <c r="B1047" s="904"/>
      <c r="C1047" s="721"/>
      <c r="D1047" s="721"/>
      <c r="E1047" s="721"/>
      <c r="F1047" s="721"/>
      <c r="G1047" s="721"/>
      <c r="H1047" s="721"/>
      <c r="I1047" s="721"/>
      <c r="J1047" s="721"/>
      <c r="K1047" s="721"/>
      <c r="L1047" s="721"/>
      <c r="M1047" s="930"/>
      <c r="N1047" s="930"/>
      <c r="O1047" s="930"/>
      <c r="P1047" s="931"/>
      <c r="Q1047" s="931"/>
      <c r="R1047" s="930"/>
      <c r="S1047" s="930"/>
      <c r="T1047" s="932"/>
      <c r="U1047" s="933"/>
      <c r="V1047" s="934"/>
      <c r="W1047" s="934"/>
      <c r="X1047" s="932"/>
      <c r="Y1047" s="932"/>
      <c r="Z1047" s="932"/>
      <c r="AA1047" s="726"/>
      <c r="AB1047" s="726"/>
      <c r="AC1047" s="721"/>
      <c r="AD1047" s="586"/>
      <c r="AE1047" s="586"/>
      <c r="AF1047" s="170"/>
      <c r="AG1047" s="170"/>
      <c r="AH1047" s="170"/>
      <c r="AI1047" s="170"/>
      <c r="AJ1047" s="170"/>
      <c r="AK1047" s="170"/>
      <c r="AL1047" s="170"/>
      <c r="AM1047" s="170"/>
      <c r="AN1047" s="170"/>
      <c r="AO1047" s="170"/>
      <c r="AP1047" s="170"/>
      <c r="AQ1047" s="170"/>
      <c r="AR1047" s="170"/>
      <c r="AS1047" s="170"/>
      <c r="AT1047" s="721"/>
      <c r="AU1047" s="721"/>
      <c r="AV1047" s="721"/>
      <c r="AW1047" s="828"/>
      <c r="AX1047" s="726"/>
    </row>
    <row r="1048" spans="1:50" ht="15" x14ac:dyDescent="0.25">
      <c r="A1048" s="721"/>
      <c r="B1048" s="904"/>
      <c r="C1048" s="721"/>
      <c r="D1048" s="721"/>
      <c r="E1048" s="721"/>
      <c r="F1048" s="721"/>
      <c r="G1048" s="721"/>
      <c r="H1048" s="721"/>
      <c r="I1048" s="721"/>
      <c r="J1048" s="721"/>
      <c r="K1048" s="721"/>
      <c r="L1048" s="721"/>
      <c r="M1048" s="930"/>
      <c r="N1048" s="930"/>
      <c r="O1048" s="930"/>
      <c r="P1048" s="931"/>
      <c r="Q1048" s="931"/>
      <c r="R1048" s="930"/>
      <c r="S1048" s="930"/>
      <c r="T1048" s="932"/>
      <c r="U1048" s="933"/>
      <c r="V1048" s="934"/>
      <c r="W1048" s="934"/>
      <c r="X1048" s="932"/>
      <c r="Y1048" s="932"/>
      <c r="Z1048" s="932"/>
      <c r="AA1048" s="726"/>
      <c r="AB1048" s="726"/>
      <c r="AC1048" s="721"/>
      <c r="AD1048" s="586"/>
      <c r="AE1048" s="586"/>
      <c r="AF1048" s="170"/>
      <c r="AG1048" s="170"/>
      <c r="AH1048" s="170"/>
      <c r="AI1048" s="170"/>
      <c r="AJ1048" s="170"/>
      <c r="AK1048" s="170"/>
      <c r="AL1048" s="170"/>
      <c r="AM1048" s="170"/>
      <c r="AN1048" s="170"/>
      <c r="AO1048" s="170"/>
      <c r="AP1048" s="170"/>
      <c r="AQ1048" s="170"/>
      <c r="AR1048" s="170"/>
      <c r="AS1048" s="170"/>
      <c r="AT1048" s="721"/>
      <c r="AU1048" s="721"/>
      <c r="AV1048" s="721"/>
      <c r="AW1048" s="828"/>
      <c r="AX1048" s="726"/>
    </row>
    <row r="1049" spans="1:50" ht="15" x14ac:dyDescent="0.25">
      <c r="A1049" s="721"/>
      <c r="B1049" s="904"/>
      <c r="C1049" s="721"/>
      <c r="D1049" s="721"/>
      <c r="E1049" s="721"/>
      <c r="F1049" s="721"/>
      <c r="G1049" s="721"/>
      <c r="H1049" s="721"/>
      <c r="I1049" s="721"/>
      <c r="J1049" s="721"/>
      <c r="K1049" s="721"/>
      <c r="L1049" s="721"/>
      <c r="M1049" s="930"/>
      <c r="N1049" s="930"/>
      <c r="O1049" s="930"/>
      <c r="P1049" s="931"/>
      <c r="Q1049" s="931"/>
      <c r="R1049" s="930"/>
      <c r="S1049" s="930"/>
      <c r="T1049" s="932"/>
      <c r="U1049" s="933"/>
      <c r="V1049" s="934"/>
      <c r="W1049" s="934"/>
      <c r="X1049" s="932"/>
      <c r="Y1049" s="932"/>
      <c r="Z1049" s="932"/>
      <c r="AA1049" s="726"/>
      <c r="AB1049" s="726"/>
      <c r="AC1049" s="721"/>
      <c r="AD1049" s="586"/>
      <c r="AE1049" s="586"/>
      <c r="AF1049" s="170"/>
      <c r="AG1049" s="170"/>
      <c r="AH1049" s="170"/>
      <c r="AI1049" s="170"/>
      <c r="AJ1049" s="170"/>
      <c r="AK1049" s="170"/>
      <c r="AL1049" s="170"/>
      <c r="AM1049" s="170"/>
      <c r="AN1049" s="170"/>
      <c r="AO1049" s="170"/>
      <c r="AP1049" s="170"/>
      <c r="AQ1049" s="170"/>
      <c r="AR1049" s="170"/>
      <c r="AS1049" s="170"/>
      <c r="AT1049" s="721"/>
      <c r="AU1049" s="721"/>
      <c r="AV1049" s="721"/>
      <c r="AW1049" s="828"/>
      <c r="AX1049" s="726"/>
    </row>
    <row r="1050" spans="1:50" ht="15" x14ac:dyDescent="0.25">
      <c r="A1050" s="721"/>
      <c r="B1050" s="904"/>
      <c r="C1050" s="721"/>
      <c r="D1050" s="721"/>
      <c r="E1050" s="721"/>
      <c r="F1050" s="721"/>
      <c r="G1050" s="721"/>
      <c r="H1050" s="721"/>
      <c r="I1050" s="721"/>
      <c r="J1050" s="721"/>
      <c r="K1050" s="721"/>
      <c r="L1050" s="721"/>
      <c r="M1050" s="930"/>
      <c r="N1050" s="930"/>
      <c r="O1050" s="930"/>
      <c r="P1050" s="931"/>
      <c r="Q1050" s="931"/>
      <c r="R1050" s="930"/>
      <c r="S1050" s="930"/>
      <c r="T1050" s="932"/>
      <c r="U1050" s="933"/>
      <c r="V1050" s="934"/>
      <c r="W1050" s="934"/>
      <c r="X1050" s="932"/>
      <c r="Y1050" s="932"/>
      <c r="Z1050" s="932"/>
      <c r="AA1050" s="726"/>
      <c r="AB1050" s="726"/>
      <c r="AC1050" s="721"/>
      <c r="AD1050" s="586"/>
      <c r="AE1050" s="586"/>
      <c r="AF1050" s="170"/>
      <c r="AG1050" s="170"/>
      <c r="AH1050" s="170"/>
      <c r="AI1050" s="170"/>
      <c r="AJ1050" s="170"/>
      <c r="AK1050" s="170"/>
      <c r="AL1050" s="170"/>
      <c r="AM1050" s="170"/>
      <c r="AN1050" s="170"/>
      <c r="AO1050" s="170"/>
      <c r="AP1050" s="170"/>
      <c r="AQ1050" s="170"/>
      <c r="AR1050" s="170"/>
      <c r="AS1050" s="170"/>
      <c r="AT1050" s="721"/>
      <c r="AU1050" s="721"/>
      <c r="AV1050" s="721"/>
      <c r="AW1050" s="828"/>
      <c r="AX1050" s="726"/>
    </row>
    <row r="1051" spans="1:50" ht="15" x14ac:dyDescent="0.25">
      <c r="A1051" s="721"/>
      <c r="B1051" s="904"/>
      <c r="C1051" s="721"/>
      <c r="D1051" s="721"/>
      <c r="E1051" s="721"/>
      <c r="F1051" s="721"/>
      <c r="G1051" s="721"/>
      <c r="H1051" s="721"/>
      <c r="I1051" s="721"/>
      <c r="J1051" s="721"/>
      <c r="K1051" s="721"/>
      <c r="L1051" s="721"/>
      <c r="M1051" s="930"/>
      <c r="N1051" s="930"/>
      <c r="O1051" s="930"/>
      <c r="P1051" s="931"/>
      <c r="Q1051" s="931"/>
      <c r="R1051" s="930"/>
      <c r="S1051" s="930"/>
      <c r="T1051" s="932"/>
      <c r="U1051" s="933"/>
      <c r="V1051" s="934"/>
      <c r="W1051" s="934"/>
      <c r="X1051" s="932"/>
      <c r="Y1051" s="932"/>
      <c r="Z1051" s="932"/>
      <c r="AA1051" s="726"/>
      <c r="AB1051" s="726"/>
      <c r="AC1051" s="721"/>
      <c r="AD1051" s="586"/>
      <c r="AE1051" s="586"/>
      <c r="AF1051" s="170"/>
      <c r="AG1051" s="170"/>
      <c r="AH1051" s="170"/>
      <c r="AI1051" s="170"/>
      <c r="AJ1051" s="170"/>
      <c r="AK1051" s="170"/>
      <c r="AL1051" s="170"/>
      <c r="AM1051" s="170"/>
      <c r="AN1051" s="170"/>
      <c r="AO1051" s="170"/>
      <c r="AP1051" s="170"/>
      <c r="AQ1051" s="170"/>
      <c r="AR1051" s="170"/>
      <c r="AS1051" s="170"/>
      <c r="AT1051" s="721"/>
      <c r="AU1051" s="721"/>
      <c r="AV1051" s="721"/>
      <c r="AW1051" s="828"/>
      <c r="AX1051" s="726"/>
    </row>
    <row r="1052" spans="1:50" ht="15" x14ac:dyDescent="0.25">
      <c r="A1052" s="721"/>
      <c r="B1052" s="904"/>
      <c r="C1052" s="721"/>
      <c r="D1052" s="721"/>
      <c r="E1052" s="721"/>
      <c r="F1052" s="721"/>
      <c r="G1052" s="721"/>
      <c r="H1052" s="721"/>
      <c r="I1052" s="721"/>
      <c r="J1052" s="721"/>
      <c r="K1052" s="721"/>
      <c r="L1052" s="721"/>
      <c r="M1052" s="930"/>
      <c r="N1052" s="930"/>
      <c r="O1052" s="930"/>
      <c r="P1052" s="931"/>
      <c r="Q1052" s="931"/>
      <c r="R1052" s="930"/>
      <c r="S1052" s="930"/>
      <c r="T1052" s="932"/>
      <c r="U1052" s="933"/>
      <c r="V1052" s="934"/>
      <c r="W1052" s="934"/>
      <c r="X1052" s="932"/>
      <c r="Y1052" s="932"/>
      <c r="Z1052" s="932"/>
      <c r="AA1052" s="726"/>
      <c r="AB1052" s="726"/>
      <c r="AC1052" s="721"/>
      <c r="AD1052" s="586"/>
      <c r="AE1052" s="586"/>
      <c r="AF1052" s="170"/>
      <c r="AG1052" s="170"/>
      <c r="AH1052" s="170"/>
      <c r="AI1052" s="170"/>
      <c r="AJ1052" s="170"/>
      <c r="AK1052" s="170"/>
      <c r="AL1052" s="170"/>
      <c r="AM1052" s="170"/>
      <c r="AN1052" s="170"/>
      <c r="AO1052" s="170"/>
      <c r="AP1052" s="170"/>
      <c r="AQ1052" s="170"/>
      <c r="AR1052" s="170"/>
      <c r="AS1052" s="170"/>
      <c r="AT1052" s="721"/>
      <c r="AU1052" s="721"/>
      <c r="AV1052" s="721"/>
      <c r="AW1052" s="828"/>
      <c r="AX1052" s="726"/>
    </row>
    <row r="1053" spans="1:50" ht="15" x14ac:dyDescent="0.25">
      <c r="A1053" s="721"/>
      <c r="B1053" s="904"/>
      <c r="C1053" s="721"/>
      <c r="D1053" s="721"/>
      <c r="E1053" s="721"/>
      <c r="F1053" s="721"/>
      <c r="G1053" s="721"/>
      <c r="H1053" s="721"/>
      <c r="I1053" s="721"/>
      <c r="J1053" s="721"/>
      <c r="K1053" s="721"/>
      <c r="L1053" s="721"/>
      <c r="M1053" s="930"/>
      <c r="N1053" s="930"/>
      <c r="O1053" s="930"/>
      <c r="P1053" s="931"/>
      <c r="Q1053" s="931"/>
      <c r="R1053" s="930"/>
      <c r="S1053" s="930"/>
      <c r="T1053" s="932"/>
      <c r="U1053" s="933"/>
      <c r="V1053" s="934"/>
      <c r="W1053" s="934"/>
      <c r="X1053" s="932"/>
      <c r="Y1053" s="932"/>
      <c r="Z1053" s="932"/>
      <c r="AA1053" s="726"/>
      <c r="AB1053" s="726"/>
      <c r="AC1053" s="721"/>
      <c r="AD1053" s="586"/>
      <c r="AE1053" s="586"/>
      <c r="AF1053" s="170"/>
      <c r="AG1053" s="170"/>
      <c r="AH1053" s="170"/>
      <c r="AI1053" s="170"/>
      <c r="AJ1053" s="170"/>
      <c r="AK1053" s="170"/>
      <c r="AL1053" s="170"/>
      <c r="AM1053" s="170"/>
      <c r="AN1053" s="170"/>
      <c r="AO1053" s="170"/>
      <c r="AP1053" s="170"/>
      <c r="AQ1053" s="170"/>
      <c r="AR1053" s="170"/>
      <c r="AS1053" s="170"/>
      <c r="AT1053" s="721"/>
      <c r="AU1053" s="721"/>
      <c r="AV1053" s="721"/>
      <c r="AW1053" s="828"/>
      <c r="AX1053" s="726"/>
    </row>
    <row r="1054" spans="1:50" ht="15" x14ac:dyDescent="0.25">
      <c r="A1054" s="721"/>
      <c r="B1054" s="904"/>
      <c r="C1054" s="721"/>
      <c r="D1054" s="721"/>
      <c r="E1054" s="721"/>
      <c r="F1054" s="721"/>
      <c r="G1054" s="721"/>
      <c r="H1054" s="721"/>
      <c r="I1054" s="721"/>
      <c r="J1054" s="721"/>
      <c r="K1054" s="721"/>
      <c r="L1054" s="721"/>
      <c r="M1054" s="930"/>
      <c r="N1054" s="930"/>
      <c r="O1054" s="930"/>
      <c r="P1054" s="931"/>
      <c r="Q1054" s="931"/>
      <c r="R1054" s="930"/>
      <c r="S1054" s="930"/>
      <c r="T1054" s="932"/>
      <c r="U1054" s="933"/>
      <c r="V1054" s="934"/>
      <c r="W1054" s="934"/>
      <c r="X1054" s="932"/>
      <c r="Y1054" s="932"/>
      <c r="Z1054" s="932"/>
      <c r="AA1054" s="726"/>
      <c r="AB1054" s="726"/>
      <c r="AC1054" s="721"/>
      <c r="AD1054" s="586"/>
      <c r="AE1054" s="586"/>
      <c r="AF1054" s="170"/>
      <c r="AG1054" s="170"/>
      <c r="AH1054" s="170"/>
      <c r="AI1054" s="170"/>
      <c r="AJ1054" s="170"/>
      <c r="AK1054" s="170"/>
      <c r="AL1054" s="170"/>
      <c r="AM1054" s="170"/>
      <c r="AN1054" s="170"/>
      <c r="AO1054" s="170"/>
      <c r="AP1054" s="170"/>
      <c r="AQ1054" s="170"/>
      <c r="AR1054" s="170"/>
      <c r="AS1054" s="170"/>
      <c r="AT1054" s="721"/>
      <c r="AU1054" s="721"/>
      <c r="AV1054" s="721"/>
      <c r="AW1054" s="828"/>
      <c r="AX1054" s="726"/>
    </row>
    <row r="1055" spans="1:50" ht="15" x14ac:dyDescent="0.25">
      <c r="A1055" s="721"/>
      <c r="B1055" s="904"/>
      <c r="C1055" s="721"/>
      <c r="D1055" s="721"/>
      <c r="E1055" s="721"/>
      <c r="F1055" s="721"/>
      <c r="G1055" s="721"/>
      <c r="H1055" s="721"/>
      <c r="I1055" s="721"/>
      <c r="J1055" s="721"/>
      <c r="K1055" s="721"/>
      <c r="L1055" s="721"/>
      <c r="M1055" s="930"/>
      <c r="N1055" s="930"/>
      <c r="O1055" s="930"/>
      <c r="P1055" s="931"/>
      <c r="Q1055" s="931"/>
      <c r="R1055" s="930"/>
      <c r="S1055" s="930"/>
      <c r="T1055" s="932"/>
      <c r="U1055" s="933"/>
      <c r="V1055" s="934"/>
      <c r="W1055" s="934"/>
      <c r="X1055" s="932"/>
      <c r="Y1055" s="932"/>
      <c r="Z1055" s="932"/>
      <c r="AA1055" s="726"/>
      <c r="AB1055" s="726"/>
      <c r="AC1055" s="721"/>
      <c r="AD1055" s="586"/>
      <c r="AE1055" s="586"/>
      <c r="AF1055" s="170"/>
      <c r="AG1055" s="170"/>
      <c r="AH1055" s="170"/>
      <c r="AI1055" s="170"/>
      <c r="AJ1055" s="170"/>
      <c r="AK1055" s="170"/>
      <c r="AL1055" s="170"/>
      <c r="AM1055" s="170"/>
      <c r="AN1055" s="170"/>
      <c r="AO1055" s="170"/>
      <c r="AP1055" s="170"/>
      <c r="AQ1055" s="170"/>
      <c r="AR1055" s="170"/>
      <c r="AS1055" s="170"/>
      <c r="AT1055" s="721"/>
      <c r="AU1055" s="721"/>
      <c r="AV1055" s="721"/>
      <c r="AW1055" s="828"/>
      <c r="AX1055" s="726"/>
    </row>
    <row r="1056" spans="1:50" ht="15" x14ac:dyDescent="0.25">
      <c r="A1056" s="721"/>
      <c r="B1056" s="904"/>
      <c r="C1056" s="721"/>
      <c r="D1056" s="721"/>
      <c r="E1056" s="721"/>
      <c r="F1056" s="721"/>
      <c r="G1056" s="721"/>
      <c r="H1056" s="721"/>
      <c r="I1056" s="721"/>
      <c r="J1056" s="721"/>
      <c r="K1056" s="721"/>
      <c r="L1056" s="721"/>
      <c r="M1056" s="930"/>
      <c r="N1056" s="930"/>
      <c r="O1056" s="930"/>
      <c r="P1056" s="931"/>
      <c r="Q1056" s="931"/>
      <c r="R1056" s="930"/>
      <c r="S1056" s="930"/>
      <c r="T1056" s="932"/>
      <c r="U1056" s="933"/>
      <c r="V1056" s="934"/>
      <c r="W1056" s="934"/>
      <c r="X1056" s="932"/>
      <c r="Y1056" s="932"/>
      <c r="Z1056" s="932"/>
      <c r="AA1056" s="726"/>
      <c r="AB1056" s="726"/>
      <c r="AC1056" s="721"/>
      <c r="AD1056" s="586"/>
      <c r="AE1056" s="586"/>
      <c r="AF1056" s="170"/>
      <c r="AG1056" s="170"/>
      <c r="AH1056" s="170"/>
      <c r="AI1056" s="170"/>
      <c r="AJ1056" s="170"/>
      <c r="AK1056" s="170"/>
      <c r="AL1056" s="170"/>
      <c r="AM1056" s="170"/>
      <c r="AN1056" s="170"/>
      <c r="AO1056" s="170"/>
      <c r="AP1056" s="170"/>
      <c r="AQ1056" s="170"/>
      <c r="AR1056" s="170"/>
      <c r="AS1056" s="170"/>
      <c r="AT1056" s="721"/>
      <c r="AU1056" s="721"/>
      <c r="AV1056" s="721"/>
      <c r="AW1056" s="828"/>
      <c r="AX1056" s="726"/>
    </row>
    <row r="1057" spans="1:50" ht="15" x14ac:dyDescent="0.25">
      <c r="A1057" s="721"/>
      <c r="B1057" s="904"/>
      <c r="C1057" s="721"/>
      <c r="D1057" s="721"/>
      <c r="E1057" s="721"/>
      <c r="F1057" s="721"/>
      <c r="G1057" s="721"/>
      <c r="H1057" s="721"/>
      <c r="I1057" s="721"/>
      <c r="J1057" s="721"/>
      <c r="K1057" s="721"/>
      <c r="L1057" s="721"/>
      <c r="M1057" s="930"/>
      <c r="N1057" s="930"/>
      <c r="O1057" s="930"/>
      <c r="P1057" s="931"/>
      <c r="Q1057" s="931"/>
      <c r="R1057" s="930"/>
      <c r="S1057" s="930"/>
      <c r="T1057" s="932"/>
      <c r="U1057" s="933"/>
      <c r="V1057" s="934"/>
      <c r="W1057" s="934"/>
      <c r="X1057" s="932"/>
      <c r="Y1057" s="932"/>
      <c r="Z1057" s="932"/>
      <c r="AA1057" s="726"/>
      <c r="AB1057" s="726"/>
      <c r="AC1057" s="721"/>
      <c r="AD1057" s="586"/>
      <c r="AE1057" s="586"/>
      <c r="AF1057" s="170"/>
      <c r="AG1057" s="170"/>
      <c r="AH1057" s="170"/>
      <c r="AI1057" s="170"/>
      <c r="AJ1057" s="170"/>
      <c r="AK1057" s="170"/>
      <c r="AL1057" s="170"/>
      <c r="AM1057" s="170"/>
      <c r="AN1057" s="170"/>
      <c r="AO1057" s="170"/>
      <c r="AP1057" s="170"/>
      <c r="AQ1057" s="170"/>
      <c r="AR1057" s="170"/>
      <c r="AS1057" s="170"/>
      <c r="AT1057" s="721"/>
      <c r="AU1057" s="721"/>
      <c r="AV1057" s="721"/>
      <c r="AW1057" s="828"/>
      <c r="AX1057" s="726"/>
    </row>
    <row r="1058" spans="1:50" ht="15" x14ac:dyDescent="0.25">
      <c r="A1058" s="721"/>
      <c r="B1058" s="904"/>
      <c r="C1058" s="721"/>
      <c r="D1058" s="721"/>
      <c r="E1058" s="721"/>
      <c r="F1058" s="721"/>
      <c r="G1058" s="721"/>
      <c r="H1058" s="721"/>
      <c r="I1058" s="721"/>
      <c r="J1058" s="721"/>
      <c r="K1058" s="721"/>
      <c r="L1058" s="721"/>
      <c r="M1058" s="930"/>
      <c r="N1058" s="930"/>
      <c r="O1058" s="930"/>
      <c r="P1058" s="931"/>
      <c r="Q1058" s="931"/>
      <c r="R1058" s="930"/>
      <c r="S1058" s="930"/>
      <c r="T1058" s="932"/>
      <c r="U1058" s="933"/>
      <c r="V1058" s="934"/>
      <c r="W1058" s="934"/>
      <c r="X1058" s="932"/>
      <c r="Y1058" s="932"/>
      <c r="Z1058" s="932"/>
      <c r="AA1058" s="726"/>
      <c r="AB1058" s="726"/>
      <c r="AC1058" s="721"/>
      <c r="AD1058" s="586"/>
      <c r="AE1058" s="586"/>
      <c r="AF1058" s="170"/>
      <c r="AG1058" s="170"/>
      <c r="AH1058" s="170"/>
      <c r="AI1058" s="170"/>
      <c r="AJ1058" s="170"/>
      <c r="AK1058" s="170"/>
      <c r="AL1058" s="170"/>
      <c r="AM1058" s="170"/>
      <c r="AN1058" s="170"/>
      <c r="AO1058" s="170"/>
      <c r="AP1058" s="170"/>
      <c r="AQ1058" s="170"/>
      <c r="AR1058" s="170"/>
      <c r="AS1058" s="170"/>
      <c r="AT1058" s="721"/>
      <c r="AU1058" s="721"/>
      <c r="AV1058" s="721"/>
      <c r="AW1058" s="828"/>
      <c r="AX1058" s="726"/>
    </row>
    <row r="1059" spans="1:50" ht="15" x14ac:dyDescent="0.25">
      <c r="A1059" s="721"/>
      <c r="B1059" s="904"/>
      <c r="C1059" s="721"/>
      <c r="D1059" s="721"/>
      <c r="E1059" s="721"/>
      <c r="F1059" s="721"/>
      <c r="G1059" s="721"/>
      <c r="H1059" s="721"/>
      <c r="I1059" s="721"/>
      <c r="J1059" s="721"/>
      <c r="K1059" s="721"/>
      <c r="L1059" s="721"/>
      <c r="M1059" s="930"/>
      <c r="N1059" s="930"/>
      <c r="O1059" s="930"/>
      <c r="P1059" s="931"/>
      <c r="Q1059" s="931"/>
      <c r="R1059" s="930"/>
      <c r="S1059" s="930"/>
      <c r="T1059" s="932"/>
      <c r="U1059" s="933"/>
      <c r="V1059" s="934"/>
      <c r="W1059" s="934"/>
      <c r="X1059" s="932"/>
      <c r="Y1059" s="932"/>
      <c r="Z1059" s="932"/>
      <c r="AA1059" s="726"/>
      <c r="AB1059" s="726"/>
      <c r="AC1059" s="721"/>
      <c r="AD1059" s="586"/>
      <c r="AE1059" s="586"/>
      <c r="AF1059" s="170"/>
      <c r="AG1059" s="170"/>
      <c r="AH1059" s="170"/>
      <c r="AI1059" s="170"/>
      <c r="AJ1059" s="170"/>
      <c r="AK1059" s="170"/>
      <c r="AL1059" s="170"/>
      <c r="AM1059" s="170"/>
      <c r="AN1059" s="170"/>
      <c r="AO1059" s="170"/>
      <c r="AP1059" s="170"/>
      <c r="AQ1059" s="170"/>
      <c r="AR1059" s="170"/>
      <c r="AS1059" s="170"/>
      <c r="AT1059" s="721"/>
      <c r="AU1059" s="721"/>
      <c r="AV1059" s="721"/>
      <c r="AW1059" s="828"/>
      <c r="AX1059" s="726"/>
    </row>
    <row r="1060" spans="1:50" ht="15" x14ac:dyDescent="0.25">
      <c r="A1060" s="721"/>
      <c r="B1060" s="904"/>
      <c r="C1060" s="721"/>
      <c r="D1060" s="721"/>
      <c r="E1060" s="721"/>
      <c r="F1060" s="721"/>
      <c r="G1060" s="721"/>
      <c r="H1060" s="721"/>
      <c r="I1060" s="721"/>
      <c r="J1060" s="721"/>
      <c r="K1060" s="721"/>
      <c r="L1060" s="721"/>
      <c r="M1060" s="930"/>
      <c r="N1060" s="930"/>
      <c r="O1060" s="930"/>
      <c r="P1060" s="931"/>
      <c r="Q1060" s="931"/>
      <c r="R1060" s="930"/>
      <c r="S1060" s="930"/>
      <c r="T1060" s="932"/>
      <c r="U1060" s="933"/>
      <c r="V1060" s="934"/>
      <c r="W1060" s="934"/>
      <c r="X1060" s="932"/>
      <c r="Y1060" s="932"/>
      <c r="Z1060" s="932"/>
      <c r="AA1060" s="726"/>
      <c r="AB1060" s="726"/>
      <c r="AC1060" s="721"/>
      <c r="AD1060" s="586"/>
      <c r="AE1060" s="586"/>
      <c r="AF1060" s="170"/>
      <c r="AG1060" s="170"/>
      <c r="AH1060" s="170"/>
      <c r="AI1060" s="170"/>
      <c r="AJ1060" s="170"/>
      <c r="AK1060" s="170"/>
      <c r="AL1060" s="170"/>
      <c r="AM1060" s="170"/>
      <c r="AN1060" s="170"/>
      <c r="AO1060" s="170"/>
      <c r="AP1060" s="170"/>
      <c r="AQ1060" s="170"/>
      <c r="AR1060" s="170"/>
      <c r="AS1060" s="170"/>
      <c r="AT1060" s="721"/>
      <c r="AU1060" s="721"/>
      <c r="AV1060" s="721"/>
      <c r="AW1060" s="828"/>
      <c r="AX1060" s="726"/>
    </row>
    <row r="1061" spans="1:50" ht="15" x14ac:dyDescent="0.25">
      <c r="A1061" s="721"/>
      <c r="B1061" s="904"/>
      <c r="C1061" s="721"/>
      <c r="D1061" s="721"/>
      <c r="E1061" s="721"/>
      <c r="F1061" s="721"/>
      <c r="G1061" s="721"/>
      <c r="H1061" s="721"/>
      <c r="I1061" s="721"/>
      <c r="J1061" s="721"/>
      <c r="K1061" s="721"/>
      <c r="L1061" s="721"/>
      <c r="M1061" s="930"/>
      <c r="N1061" s="930"/>
      <c r="O1061" s="930"/>
      <c r="P1061" s="931"/>
      <c r="Q1061" s="931"/>
      <c r="R1061" s="930"/>
      <c r="S1061" s="930"/>
      <c r="T1061" s="932"/>
      <c r="U1061" s="933"/>
      <c r="V1061" s="934"/>
      <c r="W1061" s="934"/>
      <c r="X1061" s="932"/>
      <c r="Y1061" s="932"/>
      <c r="Z1061" s="932"/>
      <c r="AA1061" s="726"/>
      <c r="AB1061" s="726"/>
      <c r="AC1061" s="721"/>
      <c r="AD1061" s="586"/>
      <c r="AE1061" s="586"/>
      <c r="AF1061" s="170"/>
      <c r="AG1061" s="170"/>
      <c r="AH1061" s="170"/>
      <c r="AI1061" s="170"/>
      <c r="AJ1061" s="170"/>
      <c r="AK1061" s="170"/>
      <c r="AL1061" s="170"/>
      <c r="AM1061" s="170"/>
      <c r="AN1061" s="170"/>
      <c r="AO1061" s="170"/>
      <c r="AP1061" s="170"/>
      <c r="AQ1061" s="170"/>
      <c r="AR1061" s="170"/>
      <c r="AS1061" s="170"/>
      <c r="AT1061" s="721"/>
      <c r="AU1061" s="721"/>
      <c r="AV1061" s="721"/>
      <c r="AW1061" s="828"/>
      <c r="AX1061" s="726"/>
    </row>
    <row r="1062" spans="1:50" ht="15" x14ac:dyDescent="0.25">
      <c r="A1062" s="721"/>
      <c r="B1062" s="904"/>
      <c r="C1062" s="721"/>
      <c r="D1062" s="721"/>
      <c r="E1062" s="721"/>
      <c r="F1062" s="721"/>
      <c r="G1062" s="721"/>
      <c r="H1062" s="721"/>
      <c r="I1062" s="721"/>
      <c r="J1062" s="721"/>
      <c r="K1062" s="721"/>
      <c r="L1062" s="721"/>
      <c r="M1062" s="930"/>
      <c r="N1062" s="930"/>
      <c r="O1062" s="930"/>
      <c r="P1062" s="931"/>
      <c r="Q1062" s="931"/>
      <c r="R1062" s="930"/>
      <c r="S1062" s="930"/>
      <c r="T1062" s="932"/>
      <c r="U1062" s="933"/>
      <c r="V1062" s="934"/>
      <c r="W1062" s="934"/>
      <c r="X1062" s="932"/>
      <c r="Y1062" s="932"/>
      <c r="Z1062" s="932"/>
      <c r="AA1062" s="726"/>
      <c r="AB1062" s="726"/>
      <c r="AC1062" s="721"/>
      <c r="AD1062" s="586"/>
      <c r="AE1062" s="586"/>
      <c r="AF1062" s="170"/>
      <c r="AG1062" s="170"/>
      <c r="AH1062" s="170"/>
      <c r="AI1062" s="170"/>
      <c r="AJ1062" s="170"/>
      <c r="AK1062" s="170"/>
      <c r="AL1062" s="170"/>
      <c r="AM1062" s="170"/>
      <c r="AN1062" s="170"/>
      <c r="AO1062" s="170"/>
      <c r="AP1062" s="170"/>
      <c r="AQ1062" s="170"/>
      <c r="AR1062" s="170"/>
      <c r="AS1062" s="170"/>
      <c r="AT1062" s="721"/>
      <c r="AU1062" s="721"/>
      <c r="AV1062" s="721"/>
      <c r="AW1062" s="828"/>
      <c r="AX1062" s="726"/>
    </row>
    <row r="1063" spans="1:50" ht="15" x14ac:dyDescent="0.25">
      <c r="A1063" s="721"/>
      <c r="B1063" s="904"/>
      <c r="C1063" s="721"/>
      <c r="D1063" s="721"/>
      <c r="E1063" s="721"/>
      <c r="F1063" s="721"/>
      <c r="G1063" s="721"/>
      <c r="H1063" s="721"/>
      <c r="I1063" s="721"/>
      <c r="J1063" s="721"/>
      <c r="K1063" s="721"/>
      <c r="L1063" s="721"/>
      <c r="M1063" s="930"/>
      <c r="N1063" s="930"/>
      <c r="O1063" s="930"/>
      <c r="P1063" s="931"/>
      <c r="Q1063" s="931"/>
      <c r="R1063" s="930"/>
      <c r="S1063" s="930"/>
      <c r="T1063" s="932"/>
      <c r="U1063" s="933"/>
      <c r="V1063" s="934"/>
      <c r="W1063" s="934"/>
      <c r="X1063" s="932"/>
      <c r="Y1063" s="932"/>
      <c r="Z1063" s="932"/>
      <c r="AA1063" s="726"/>
      <c r="AB1063" s="726"/>
      <c r="AC1063" s="721"/>
      <c r="AD1063" s="586"/>
      <c r="AE1063" s="586"/>
      <c r="AF1063" s="170"/>
      <c r="AG1063" s="170"/>
      <c r="AH1063" s="170"/>
      <c r="AI1063" s="170"/>
      <c r="AJ1063" s="170"/>
      <c r="AK1063" s="170"/>
      <c r="AL1063" s="170"/>
      <c r="AM1063" s="170"/>
      <c r="AN1063" s="170"/>
      <c r="AO1063" s="170"/>
      <c r="AP1063" s="170"/>
      <c r="AQ1063" s="170"/>
      <c r="AR1063" s="170"/>
      <c r="AS1063" s="170"/>
      <c r="AT1063" s="721"/>
      <c r="AU1063" s="721"/>
      <c r="AV1063" s="721"/>
      <c r="AW1063" s="828"/>
      <c r="AX1063" s="726"/>
    </row>
    <row r="1064" spans="1:50" ht="15" x14ac:dyDescent="0.25">
      <c r="A1064" s="721"/>
      <c r="B1064" s="904"/>
      <c r="C1064" s="721"/>
      <c r="D1064" s="721"/>
      <c r="E1064" s="721"/>
      <c r="F1064" s="721"/>
      <c r="G1064" s="721"/>
      <c r="H1064" s="721"/>
      <c r="I1064" s="721"/>
      <c r="J1064" s="721"/>
      <c r="K1064" s="721"/>
      <c r="L1064" s="721"/>
      <c r="M1064" s="930"/>
      <c r="N1064" s="930"/>
      <c r="O1064" s="930"/>
      <c r="P1064" s="931"/>
      <c r="Q1064" s="931"/>
      <c r="R1064" s="930"/>
      <c r="S1064" s="930"/>
      <c r="T1064" s="932"/>
      <c r="U1064" s="933"/>
      <c r="V1064" s="934"/>
      <c r="W1064" s="934"/>
      <c r="X1064" s="932"/>
      <c r="Y1064" s="932"/>
      <c r="Z1064" s="932"/>
      <c r="AA1064" s="726"/>
      <c r="AB1064" s="726"/>
      <c r="AC1064" s="721"/>
      <c r="AD1064" s="586"/>
      <c r="AE1064" s="586"/>
      <c r="AF1064" s="170"/>
      <c r="AG1064" s="170"/>
      <c r="AH1064" s="170"/>
      <c r="AI1064" s="170"/>
      <c r="AJ1064" s="170"/>
      <c r="AK1064" s="170"/>
      <c r="AL1064" s="170"/>
      <c r="AM1064" s="170"/>
      <c r="AN1064" s="170"/>
      <c r="AO1064" s="170"/>
      <c r="AP1064" s="170"/>
      <c r="AQ1064" s="170"/>
      <c r="AR1064" s="170"/>
      <c r="AS1064" s="170"/>
      <c r="AT1064" s="721"/>
      <c r="AU1064" s="721"/>
      <c r="AV1064" s="721"/>
      <c r="AW1064" s="828"/>
      <c r="AX1064" s="726"/>
    </row>
    <row r="1065" spans="1:50" ht="15" x14ac:dyDescent="0.25">
      <c r="A1065" s="721"/>
      <c r="B1065" s="904"/>
      <c r="C1065" s="721"/>
      <c r="D1065" s="721"/>
      <c r="E1065" s="721"/>
      <c r="F1065" s="721"/>
      <c r="G1065" s="721"/>
      <c r="H1065" s="721"/>
      <c r="I1065" s="721"/>
      <c r="J1065" s="721"/>
      <c r="K1065" s="721"/>
      <c r="L1065" s="721"/>
      <c r="M1065" s="930"/>
      <c r="N1065" s="930"/>
      <c r="O1065" s="930"/>
      <c r="P1065" s="931"/>
      <c r="Q1065" s="931"/>
      <c r="R1065" s="930"/>
      <c r="S1065" s="930"/>
      <c r="T1065" s="932"/>
      <c r="U1065" s="933"/>
      <c r="V1065" s="934"/>
      <c r="W1065" s="934"/>
      <c r="X1065" s="932"/>
      <c r="Y1065" s="932"/>
      <c r="Z1065" s="932"/>
      <c r="AA1065" s="726"/>
      <c r="AB1065" s="726"/>
      <c r="AC1065" s="721"/>
      <c r="AD1065" s="586"/>
      <c r="AE1065" s="586"/>
      <c r="AF1065" s="170"/>
      <c r="AG1065" s="170"/>
      <c r="AH1065" s="170"/>
      <c r="AI1065" s="170"/>
      <c r="AJ1065" s="170"/>
      <c r="AK1065" s="170"/>
      <c r="AL1065" s="170"/>
      <c r="AM1065" s="170"/>
      <c r="AN1065" s="170"/>
      <c r="AO1065" s="170"/>
      <c r="AP1065" s="170"/>
      <c r="AQ1065" s="170"/>
      <c r="AR1065" s="170"/>
      <c r="AS1065" s="170"/>
      <c r="AT1065" s="721"/>
      <c r="AU1065" s="721"/>
      <c r="AV1065" s="721"/>
      <c r="AW1065" s="828"/>
      <c r="AX1065" s="726"/>
    </row>
    <row r="1066" spans="1:50" ht="15" x14ac:dyDescent="0.25">
      <c r="A1066" s="721"/>
      <c r="B1066" s="904"/>
      <c r="C1066" s="721"/>
      <c r="D1066" s="721"/>
      <c r="E1066" s="721"/>
      <c r="F1066" s="721"/>
      <c r="G1066" s="721"/>
      <c r="H1066" s="721"/>
      <c r="I1066" s="721"/>
      <c r="J1066" s="721"/>
      <c r="K1066" s="721"/>
      <c r="L1066" s="721"/>
      <c r="M1066" s="930"/>
      <c r="N1066" s="930"/>
      <c r="O1066" s="930"/>
      <c r="P1066" s="931"/>
      <c r="Q1066" s="931"/>
      <c r="R1066" s="930"/>
      <c r="S1066" s="930"/>
      <c r="T1066" s="932"/>
      <c r="U1066" s="933"/>
      <c r="V1066" s="934"/>
      <c r="W1066" s="934"/>
      <c r="X1066" s="932"/>
      <c r="Y1066" s="932"/>
      <c r="Z1066" s="932"/>
      <c r="AA1066" s="726"/>
      <c r="AB1066" s="726"/>
      <c r="AC1066" s="721"/>
      <c r="AD1066" s="586"/>
      <c r="AE1066" s="586"/>
      <c r="AF1066" s="170"/>
      <c r="AG1066" s="170"/>
      <c r="AH1066" s="170"/>
      <c r="AI1066" s="170"/>
      <c r="AJ1066" s="170"/>
      <c r="AK1066" s="170"/>
      <c r="AL1066" s="170"/>
      <c r="AM1066" s="170"/>
      <c r="AN1066" s="170"/>
      <c r="AO1066" s="170"/>
      <c r="AP1066" s="170"/>
      <c r="AQ1066" s="170"/>
      <c r="AR1066" s="170"/>
      <c r="AS1066" s="170"/>
      <c r="AT1066" s="721"/>
      <c r="AU1066" s="721"/>
      <c r="AV1066" s="721"/>
      <c r="AW1066" s="828"/>
      <c r="AX1066" s="726"/>
    </row>
    <row r="1067" spans="1:50" ht="15" x14ac:dyDescent="0.25">
      <c r="A1067" s="721"/>
      <c r="B1067" s="904"/>
      <c r="C1067" s="721"/>
      <c r="D1067" s="721"/>
      <c r="E1067" s="721"/>
      <c r="F1067" s="721"/>
      <c r="G1067" s="721"/>
      <c r="H1067" s="721"/>
      <c r="I1067" s="721"/>
      <c r="J1067" s="721"/>
      <c r="K1067" s="721"/>
      <c r="L1067" s="721"/>
      <c r="M1067" s="930"/>
      <c r="N1067" s="930"/>
      <c r="O1067" s="930"/>
      <c r="P1067" s="931"/>
      <c r="Q1067" s="931"/>
      <c r="R1067" s="930"/>
      <c r="S1067" s="930"/>
      <c r="T1067" s="932"/>
      <c r="U1067" s="933"/>
      <c r="V1067" s="934"/>
      <c r="W1067" s="934"/>
      <c r="X1067" s="932"/>
      <c r="Y1067" s="932"/>
      <c r="Z1067" s="932"/>
      <c r="AA1067" s="726"/>
      <c r="AB1067" s="726"/>
      <c r="AC1067" s="721"/>
      <c r="AD1067" s="586"/>
      <c r="AE1067" s="586"/>
      <c r="AF1067" s="170"/>
      <c r="AG1067" s="170"/>
      <c r="AH1067" s="170"/>
      <c r="AI1067" s="170"/>
      <c r="AJ1067" s="170"/>
      <c r="AK1067" s="170"/>
      <c r="AL1067" s="170"/>
      <c r="AM1067" s="170"/>
      <c r="AN1067" s="170"/>
      <c r="AO1067" s="170"/>
      <c r="AP1067" s="170"/>
      <c r="AQ1067" s="170"/>
      <c r="AR1067" s="170"/>
      <c r="AS1067" s="170"/>
      <c r="AT1067" s="721"/>
      <c r="AU1067" s="721"/>
      <c r="AV1067" s="721"/>
      <c r="AW1067" s="828"/>
      <c r="AX1067" s="726"/>
    </row>
    <row r="1068" spans="1:50" ht="15" x14ac:dyDescent="0.25">
      <c r="A1068" s="721"/>
      <c r="B1068" s="904"/>
      <c r="C1068" s="721"/>
      <c r="D1068" s="721"/>
      <c r="E1068" s="721"/>
      <c r="F1068" s="721"/>
      <c r="G1068" s="721"/>
      <c r="H1068" s="721"/>
      <c r="I1068" s="721"/>
      <c r="J1068" s="721"/>
      <c r="K1068" s="721"/>
      <c r="L1068" s="721"/>
      <c r="M1068" s="930"/>
      <c r="N1068" s="930"/>
      <c r="O1068" s="930"/>
      <c r="P1068" s="931"/>
      <c r="Q1068" s="931"/>
      <c r="R1068" s="930"/>
      <c r="S1068" s="930"/>
      <c r="T1068" s="932"/>
      <c r="U1068" s="933"/>
      <c r="V1068" s="934"/>
      <c r="W1068" s="934"/>
      <c r="X1068" s="932"/>
      <c r="Y1068" s="932"/>
      <c r="Z1068" s="932"/>
      <c r="AA1068" s="726"/>
      <c r="AB1068" s="726"/>
      <c r="AC1068" s="721"/>
      <c r="AD1068" s="586"/>
      <c r="AE1068" s="586"/>
      <c r="AF1068" s="170"/>
      <c r="AG1068" s="170"/>
      <c r="AH1068" s="170"/>
      <c r="AI1068" s="170"/>
      <c r="AJ1068" s="170"/>
      <c r="AK1068" s="170"/>
      <c r="AL1068" s="170"/>
      <c r="AM1068" s="170"/>
      <c r="AN1068" s="170"/>
      <c r="AO1068" s="170"/>
      <c r="AP1068" s="170"/>
      <c r="AQ1068" s="170"/>
      <c r="AR1068" s="170"/>
      <c r="AS1068" s="170"/>
      <c r="AT1068" s="721"/>
      <c r="AU1068" s="721"/>
      <c r="AV1068" s="721"/>
      <c r="AW1068" s="828"/>
      <c r="AX1068" s="726"/>
    </row>
    <row r="1069" spans="1:50" ht="15" x14ac:dyDescent="0.25">
      <c r="A1069" s="721"/>
      <c r="B1069" s="904"/>
      <c r="C1069" s="721"/>
      <c r="D1069" s="721"/>
      <c r="E1069" s="721"/>
      <c r="F1069" s="721"/>
      <c r="G1069" s="721"/>
      <c r="H1069" s="721"/>
      <c r="I1069" s="721"/>
      <c r="J1069" s="721"/>
      <c r="K1069" s="721"/>
      <c r="L1069" s="721"/>
      <c r="M1069" s="930"/>
      <c r="N1069" s="930"/>
      <c r="O1069" s="930"/>
      <c r="P1069" s="931"/>
      <c r="Q1069" s="931"/>
      <c r="R1069" s="930"/>
      <c r="S1069" s="930"/>
      <c r="T1069" s="932"/>
      <c r="U1069" s="933"/>
      <c r="V1069" s="934"/>
      <c r="W1069" s="934"/>
      <c r="X1069" s="932"/>
      <c r="Y1069" s="932"/>
      <c r="Z1069" s="932"/>
      <c r="AA1069" s="726"/>
      <c r="AB1069" s="726"/>
      <c r="AC1069" s="721"/>
      <c r="AD1069" s="586"/>
      <c r="AE1069" s="586"/>
      <c r="AF1069" s="170"/>
      <c r="AG1069" s="170"/>
      <c r="AH1069" s="170"/>
      <c r="AI1069" s="170"/>
      <c r="AJ1069" s="170"/>
      <c r="AK1069" s="170"/>
      <c r="AL1069" s="170"/>
      <c r="AM1069" s="170"/>
      <c r="AN1069" s="170"/>
      <c r="AO1069" s="170"/>
      <c r="AP1069" s="170"/>
      <c r="AQ1069" s="170"/>
      <c r="AR1069" s="170"/>
      <c r="AS1069" s="170"/>
      <c r="AT1069" s="721"/>
      <c r="AU1069" s="721"/>
      <c r="AV1069" s="721"/>
      <c r="AW1069" s="828"/>
      <c r="AX1069" s="726"/>
    </row>
    <row r="1070" spans="1:50" ht="15" x14ac:dyDescent="0.25">
      <c r="A1070" s="721"/>
      <c r="B1070" s="904"/>
      <c r="C1070" s="721"/>
      <c r="D1070" s="721"/>
      <c r="E1070" s="721"/>
      <c r="F1070" s="721"/>
      <c r="G1070" s="721"/>
      <c r="H1070" s="721"/>
      <c r="I1070" s="721"/>
      <c r="J1070" s="721"/>
      <c r="K1070" s="721"/>
      <c r="L1070" s="721"/>
      <c r="M1070" s="930"/>
      <c r="N1070" s="930"/>
      <c r="O1070" s="930"/>
      <c r="P1070" s="931"/>
      <c r="Q1070" s="931"/>
      <c r="R1070" s="930"/>
      <c r="S1070" s="930"/>
      <c r="T1070" s="932"/>
      <c r="U1070" s="933"/>
      <c r="V1070" s="934"/>
      <c r="W1070" s="934"/>
      <c r="X1070" s="932"/>
      <c r="Y1070" s="932"/>
      <c r="Z1070" s="932"/>
      <c r="AA1070" s="726"/>
      <c r="AB1070" s="726"/>
      <c r="AC1070" s="721"/>
      <c r="AD1070" s="586"/>
      <c r="AE1070" s="586"/>
      <c r="AF1070" s="170"/>
      <c r="AG1070" s="170"/>
      <c r="AH1070" s="170"/>
      <c r="AI1070" s="170"/>
      <c r="AJ1070" s="170"/>
      <c r="AK1070" s="170"/>
      <c r="AL1070" s="170"/>
      <c r="AM1070" s="170"/>
      <c r="AN1070" s="170"/>
      <c r="AO1070" s="170"/>
      <c r="AP1070" s="170"/>
      <c r="AQ1070" s="170"/>
      <c r="AR1070" s="170"/>
      <c r="AS1070" s="170"/>
      <c r="AT1070" s="721"/>
      <c r="AU1070" s="721"/>
      <c r="AV1070" s="721"/>
      <c r="AW1070" s="828"/>
      <c r="AX1070" s="726"/>
    </row>
    <row r="1071" spans="1:50" ht="15" x14ac:dyDescent="0.25">
      <c r="A1071" s="721"/>
      <c r="B1071" s="904"/>
      <c r="C1071" s="721"/>
      <c r="D1071" s="721"/>
      <c r="E1071" s="721"/>
      <c r="F1071" s="721"/>
      <c r="G1071" s="721"/>
      <c r="H1071" s="721"/>
      <c r="I1071" s="721"/>
      <c r="J1071" s="721"/>
      <c r="K1071" s="721"/>
      <c r="L1071" s="721"/>
      <c r="M1071" s="930"/>
      <c r="N1071" s="930"/>
      <c r="O1071" s="930"/>
      <c r="P1071" s="931"/>
      <c r="Q1071" s="931"/>
      <c r="R1071" s="930"/>
      <c r="S1071" s="930"/>
      <c r="T1071" s="932"/>
      <c r="U1071" s="933"/>
      <c r="V1071" s="934"/>
      <c r="W1071" s="934"/>
      <c r="X1071" s="932"/>
      <c r="Y1071" s="932"/>
      <c r="Z1071" s="932"/>
      <c r="AA1071" s="726"/>
      <c r="AB1071" s="726"/>
      <c r="AC1071" s="721"/>
      <c r="AD1071" s="586"/>
      <c r="AE1071" s="586"/>
      <c r="AF1071" s="170"/>
      <c r="AG1071" s="170"/>
      <c r="AH1071" s="170"/>
      <c r="AI1071" s="170"/>
      <c r="AJ1071" s="170"/>
      <c r="AK1071" s="170"/>
      <c r="AL1071" s="170"/>
      <c r="AM1071" s="170"/>
      <c r="AN1071" s="170"/>
      <c r="AO1071" s="170"/>
      <c r="AP1071" s="170"/>
      <c r="AQ1071" s="170"/>
      <c r="AR1071" s="170"/>
      <c r="AS1071" s="170"/>
      <c r="AT1071" s="721"/>
      <c r="AU1071" s="721"/>
      <c r="AV1071" s="721"/>
      <c r="AW1071" s="828"/>
      <c r="AX1071" s="726"/>
    </row>
    <row r="1072" spans="1:50" ht="15" x14ac:dyDescent="0.25">
      <c r="A1072" s="721"/>
      <c r="B1072" s="904"/>
      <c r="C1072" s="721"/>
      <c r="D1072" s="721"/>
      <c r="E1072" s="721"/>
      <c r="F1072" s="721"/>
      <c r="G1072" s="721"/>
      <c r="H1072" s="721"/>
      <c r="I1072" s="721"/>
      <c r="J1072" s="721"/>
      <c r="K1072" s="721"/>
      <c r="L1072" s="721"/>
      <c r="M1072" s="930"/>
      <c r="N1072" s="930"/>
      <c r="O1072" s="930"/>
      <c r="P1072" s="931"/>
      <c r="Q1072" s="931"/>
      <c r="R1072" s="930"/>
      <c r="S1072" s="930"/>
      <c r="T1072" s="932"/>
      <c r="U1072" s="933"/>
      <c r="V1072" s="934"/>
      <c r="W1072" s="934"/>
      <c r="X1072" s="932"/>
      <c r="Y1072" s="932"/>
      <c r="Z1072" s="932"/>
      <c r="AA1072" s="726"/>
      <c r="AB1072" s="726"/>
      <c r="AC1072" s="721"/>
      <c r="AD1072" s="586"/>
      <c r="AE1072" s="586"/>
      <c r="AF1072" s="170"/>
      <c r="AG1072" s="170"/>
      <c r="AH1072" s="170"/>
      <c r="AI1072" s="170"/>
      <c r="AJ1072" s="170"/>
      <c r="AK1072" s="170"/>
      <c r="AL1072" s="170"/>
      <c r="AM1072" s="170"/>
      <c r="AN1072" s="170"/>
      <c r="AO1072" s="170"/>
      <c r="AP1072" s="170"/>
      <c r="AQ1072" s="170"/>
      <c r="AR1072" s="170"/>
      <c r="AS1072" s="170"/>
      <c r="AT1072" s="721"/>
      <c r="AU1072" s="721"/>
      <c r="AV1072" s="721"/>
      <c r="AW1072" s="828"/>
      <c r="AX1072" s="726"/>
    </row>
    <row r="1073" spans="1:50" ht="15" x14ac:dyDescent="0.25">
      <c r="A1073" s="721"/>
      <c r="B1073" s="904"/>
      <c r="C1073" s="721"/>
      <c r="D1073" s="721"/>
      <c r="E1073" s="721"/>
      <c r="F1073" s="721"/>
      <c r="G1073" s="721"/>
      <c r="H1073" s="721"/>
      <c r="I1073" s="721"/>
      <c r="J1073" s="721"/>
      <c r="K1073" s="721"/>
      <c r="L1073" s="721"/>
      <c r="M1073" s="930"/>
      <c r="N1073" s="930"/>
      <c r="O1073" s="930"/>
      <c r="P1073" s="931"/>
      <c r="Q1073" s="931"/>
      <c r="R1073" s="930"/>
      <c r="S1073" s="930"/>
      <c r="T1073" s="932"/>
      <c r="U1073" s="933"/>
      <c r="V1073" s="934"/>
      <c r="W1073" s="934"/>
      <c r="X1073" s="932"/>
      <c r="Y1073" s="932"/>
      <c r="Z1073" s="932"/>
      <c r="AA1073" s="726"/>
      <c r="AB1073" s="726"/>
      <c r="AC1073" s="721"/>
      <c r="AD1073" s="586"/>
      <c r="AE1073" s="586"/>
      <c r="AF1073" s="170"/>
      <c r="AG1073" s="170"/>
      <c r="AH1073" s="170"/>
      <c r="AI1073" s="170"/>
      <c r="AJ1073" s="170"/>
      <c r="AK1073" s="170"/>
      <c r="AL1073" s="170"/>
      <c r="AM1073" s="170"/>
      <c r="AN1073" s="170"/>
      <c r="AO1073" s="170"/>
      <c r="AP1073" s="170"/>
      <c r="AQ1073" s="170"/>
      <c r="AR1073" s="170"/>
      <c r="AS1073" s="170"/>
      <c r="AT1073" s="721"/>
      <c r="AU1073" s="721"/>
      <c r="AV1073" s="721"/>
      <c r="AW1073" s="828"/>
      <c r="AX1073" s="726"/>
    </row>
    <row r="1074" spans="1:50" ht="15" x14ac:dyDescent="0.25">
      <c r="A1074" s="721"/>
      <c r="B1074" s="904"/>
      <c r="C1074" s="721"/>
      <c r="D1074" s="721"/>
      <c r="E1074" s="721"/>
      <c r="F1074" s="721"/>
      <c r="G1074" s="721"/>
      <c r="H1074" s="721"/>
      <c r="I1074" s="721"/>
      <c r="J1074" s="721"/>
      <c r="K1074" s="721"/>
      <c r="L1074" s="721"/>
      <c r="M1074" s="930"/>
      <c r="N1074" s="930"/>
      <c r="O1074" s="930"/>
      <c r="P1074" s="931"/>
      <c r="Q1074" s="931"/>
      <c r="R1074" s="930"/>
      <c r="S1074" s="930"/>
      <c r="T1074" s="932"/>
      <c r="U1074" s="933"/>
      <c r="V1074" s="934"/>
      <c r="W1074" s="934"/>
      <c r="X1074" s="932"/>
      <c r="Y1074" s="932"/>
      <c r="Z1074" s="932"/>
      <c r="AA1074" s="726"/>
      <c r="AB1074" s="726"/>
      <c r="AC1074" s="721"/>
      <c r="AD1074" s="586"/>
      <c r="AE1074" s="586"/>
      <c r="AF1074" s="170"/>
      <c r="AG1074" s="170"/>
      <c r="AH1074" s="170"/>
      <c r="AI1074" s="170"/>
      <c r="AJ1074" s="170"/>
      <c r="AK1074" s="170"/>
      <c r="AL1074" s="170"/>
      <c r="AM1074" s="170"/>
      <c r="AN1074" s="170"/>
      <c r="AO1074" s="170"/>
      <c r="AP1074" s="170"/>
      <c r="AQ1074" s="170"/>
      <c r="AR1074" s="170"/>
      <c r="AS1074" s="170"/>
      <c r="AT1074" s="721"/>
      <c r="AU1074" s="721"/>
      <c r="AV1074" s="721"/>
      <c r="AW1074" s="828"/>
      <c r="AX1074" s="726"/>
    </row>
    <row r="1075" spans="1:50" ht="15" x14ac:dyDescent="0.25">
      <c r="A1075" s="721"/>
      <c r="B1075" s="904"/>
      <c r="C1075" s="721"/>
      <c r="D1075" s="721"/>
      <c r="E1075" s="721"/>
      <c r="F1075" s="721"/>
      <c r="G1075" s="721"/>
      <c r="H1075" s="721"/>
      <c r="I1075" s="721"/>
      <c r="J1075" s="721"/>
      <c r="K1075" s="721"/>
      <c r="L1075" s="721"/>
      <c r="M1075" s="930"/>
      <c r="N1075" s="930"/>
      <c r="O1075" s="930"/>
      <c r="P1075" s="931"/>
      <c r="Q1075" s="931"/>
      <c r="R1075" s="930"/>
      <c r="S1075" s="930"/>
      <c r="T1075" s="932"/>
      <c r="U1075" s="933"/>
      <c r="V1075" s="934"/>
      <c r="W1075" s="934"/>
      <c r="X1075" s="932"/>
      <c r="Y1075" s="932"/>
      <c r="Z1075" s="932"/>
      <c r="AA1075" s="726"/>
      <c r="AB1075" s="726"/>
      <c r="AC1075" s="721"/>
      <c r="AD1075" s="586"/>
      <c r="AE1075" s="586"/>
      <c r="AF1075" s="170"/>
      <c r="AG1075" s="170"/>
      <c r="AH1075" s="170"/>
      <c r="AI1075" s="170"/>
      <c r="AJ1075" s="170"/>
      <c r="AK1075" s="170"/>
      <c r="AL1075" s="170"/>
      <c r="AM1075" s="170"/>
      <c r="AN1075" s="170"/>
      <c r="AO1075" s="170"/>
      <c r="AP1075" s="170"/>
      <c r="AQ1075" s="170"/>
      <c r="AR1075" s="170"/>
      <c r="AS1075" s="170"/>
      <c r="AT1075" s="721"/>
      <c r="AU1075" s="721"/>
      <c r="AV1075" s="721"/>
      <c r="AW1075" s="828"/>
      <c r="AX1075" s="726"/>
    </row>
    <row r="1076" spans="1:50" ht="15" x14ac:dyDescent="0.25">
      <c r="A1076" s="721"/>
      <c r="B1076" s="904"/>
      <c r="C1076" s="721"/>
      <c r="D1076" s="721"/>
      <c r="E1076" s="721"/>
      <c r="F1076" s="721"/>
      <c r="G1076" s="721"/>
      <c r="H1076" s="721"/>
      <c r="I1076" s="721"/>
      <c r="J1076" s="721"/>
      <c r="K1076" s="721"/>
      <c r="L1076" s="721"/>
      <c r="M1076" s="930"/>
      <c r="N1076" s="930"/>
      <c r="O1076" s="930"/>
      <c r="P1076" s="931"/>
      <c r="Q1076" s="931"/>
      <c r="R1076" s="930"/>
      <c r="S1076" s="930"/>
      <c r="T1076" s="932"/>
      <c r="U1076" s="933"/>
      <c r="V1076" s="934"/>
      <c r="W1076" s="934"/>
      <c r="X1076" s="932"/>
      <c r="Y1076" s="932"/>
      <c r="Z1076" s="932"/>
      <c r="AA1076" s="726"/>
      <c r="AB1076" s="726"/>
      <c r="AC1076" s="721"/>
      <c r="AD1076" s="586"/>
      <c r="AE1076" s="586"/>
      <c r="AF1076" s="170"/>
      <c r="AG1076" s="170"/>
      <c r="AH1076" s="170"/>
      <c r="AI1076" s="170"/>
      <c r="AJ1076" s="170"/>
      <c r="AK1076" s="170"/>
      <c r="AL1076" s="170"/>
      <c r="AM1076" s="170"/>
      <c r="AN1076" s="170"/>
      <c r="AO1076" s="170"/>
      <c r="AP1076" s="170"/>
      <c r="AQ1076" s="170"/>
      <c r="AR1076" s="170"/>
      <c r="AS1076" s="170"/>
      <c r="AT1076" s="721"/>
      <c r="AU1076" s="721"/>
      <c r="AV1076" s="721"/>
      <c r="AW1076" s="828"/>
      <c r="AX1076" s="726"/>
    </row>
    <row r="1077" spans="1:50" ht="15" x14ac:dyDescent="0.25">
      <c r="A1077" s="721"/>
      <c r="B1077" s="904"/>
      <c r="C1077" s="721"/>
      <c r="D1077" s="721"/>
      <c r="E1077" s="721"/>
      <c r="F1077" s="721"/>
      <c r="G1077" s="721"/>
      <c r="H1077" s="721"/>
      <c r="I1077" s="721"/>
      <c r="J1077" s="721"/>
      <c r="K1077" s="721"/>
      <c r="L1077" s="721"/>
      <c r="M1077" s="930"/>
      <c r="N1077" s="930"/>
      <c r="O1077" s="930"/>
      <c r="P1077" s="931"/>
      <c r="Q1077" s="931"/>
      <c r="R1077" s="930"/>
      <c r="S1077" s="930"/>
      <c r="T1077" s="932"/>
      <c r="U1077" s="933"/>
      <c r="V1077" s="934"/>
      <c r="W1077" s="934"/>
      <c r="X1077" s="932"/>
      <c r="Y1077" s="932"/>
      <c r="Z1077" s="932"/>
      <c r="AA1077" s="726"/>
      <c r="AB1077" s="726"/>
      <c r="AC1077" s="721"/>
      <c r="AD1077" s="586"/>
      <c r="AE1077" s="586"/>
      <c r="AF1077" s="170"/>
      <c r="AG1077" s="170"/>
      <c r="AH1077" s="170"/>
      <c r="AI1077" s="170"/>
      <c r="AJ1077" s="170"/>
      <c r="AK1077" s="170"/>
      <c r="AL1077" s="170"/>
      <c r="AM1077" s="170"/>
      <c r="AN1077" s="170"/>
      <c r="AO1077" s="170"/>
      <c r="AP1077" s="170"/>
      <c r="AQ1077" s="170"/>
      <c r="AR1077" s="170"/>
      <c r="AS1077" s="170"/>
      <c r="AT1077" s="721"/>
      <c r="AU1077" s="721"/>
      <c r="AV1077" s="721"/>
      <c r="AW1077" s="828"/>
      <c r="AX1077" s="726"/>
    </row>
    <row r="1078" spans="1:50" ht="15" x14ac:dyDescent="0.25">
      <c r="A1078" s="721"/>
      <c r="B1078" s="904"/>
      <c r="C1078" s="721"/>
      <c r="D1078" s="721"/>
      <c r="E1078" s="721"/>
      <c r="F1078" s="721"/>
      <c r="G1078" s="721"/>
      <c r="H1078" s="721"/>
      <c r="I1078" s="721"/>
      <c r="J1078" s="721"/>
      <c r="K1078" s="721"/>
      <c r="L1078" s="721"/>
      <c r="M1078" s="930"/>
      <c r="N1078" s="930"/>
      <c r="O1078" s="930"/>
      <c r="P1078" s="931"/>
      <c r="Q1078" s="931"/>
      <c r="R1078" s="930"/>
      <c r="S1078" s="930"/>
      <c r="T1078" s="932"/>
      <c r="U1078" s="933"/>
      <c r="V1078" s="934"/>
      <c r="W1078" s="934"/>
      <c r="X1078" s="932"/>
      <c r="Y1078" s="932"/>
      <c r="Z1078" s="932"/>
      <c r="AA1078" s="726"/>
      <c r="AB1078" s="726"/>
      <c r="AC1078" s="721"/>
      <c r="AD1078" s="586"/>
      <c r="AE1078" s="586"/>
      <c r="AF1078" s="170"/>
      <c r="AG1078" s="170"/>
      <c r="AH1078" s="170"/>
      <c r="AI1078" s="170"/>
      <c r="AJ1078" s="170"/>
      <c r="AK1078" s="170"/>
      <c r="AL1078" s="170"/>
      <c r="AM1078" s="170"/>
      <c r="AN1078" s="170"/>
      <c r="AO1078" s="170"/>
      <c r="AP1078" s="170"/>
      <c r="AQ1078" s="170"/>
      <c r="AR1078" s="170"/>
      <c r="AS1078" s="170"/>
      <c r="AT1078" s="721"/>
      <c r="AU1078" s="721"/>
      <c r="AV1078" s="721"/>
      <c r="AW1078" s="828"/>
      <c r="AX1078" s="726"/>
    </row>
    <row r="1079" spans="1:50" ht="15" x14ac:dyDescent="0.25">
      <c r="A1079" s="721"/>
      <c r="B1079" s="904"/>
      <c r="C1079" s="721"/>
      <c r="D1079" s="721"/>
      <c r="E1079" s="721"/>
      <c r="F1079" s="721"/>
      <c r="G1079" s="721"/>
      <c r="H1079" s="721"/>
      <c r="I1079" s="721"/>
      <c r="J1079" s="721"/>
      <c r="K1079" s="721"/>
      <c r="L1079" s="721"/>
      <c r="M1079" s="930"/>
      <c r="N1079" s="930"/>
      <c r="O1079" s="930"/>
      <c r="P1079" s="931"/>
      <c r="Q1079" s="931"/>
      <c r="R1079" s="930"/>
      <c r="S1079" s="930"/>
      <c r="T1079" s="932"/>
      <c r="U1079" s="933"/>
      <c r="V1079" s="934"/>
      <c r="W1079" s="934"/>
      <c r="X1079" s="932"/>
      <c r="Y1079" s="932"/>
      <c r="Z1079" s="932"/>
      <c r="AA1079" s="726"/>
      <c r="AB1079" s="726"/>
      <c r="AC1079" s="721"/>
      <c r="AD1079" s="586"/>
      <c r="AE1079" s="586"/>
      <c r="AF1079" s="170"/>
      <c r="AG1079" s="170"/>
      <c r="AH1079" s="170"/>
      <c r="AI1079" s="170"/>
      <c r="AJ1079" s="170"/>
      <c r="AK1079" s="170"/>
      <c r="AL1079" s="170"/>
      <c r="AM1079" s="170"/>
      <c r="AN1079" s="170"/>
      <c r="AO1079" s="170"/>
      <c r="AP1079" s="170"/>
      <c r="AQ1079" s="170"/>
      <c r="AR1079" s="170"/>
      <c r="AS1079" s="170"/>
      <c r="AT1079" s="721"/>
      <c r="AU1079" s="721"/>
      <c r="AV1079" s="721"/>
      <c r="AW1079" s="828"/>
      <c r="AX1079" s="726"/>
    </row>
    <row r="1080" spans="1:50" ht="15" x14ac:dyDescent="0.25">
      <c r="A1080" s="721"/>
      <c r="B1080" s="904"/>
      <c r="C1080" s="721"/>
      <c r="D1080" s="721"/>
      <c r="E1080" s="721"/>
      <c r="F1080" s="721"/>
      <c r="G1080" s="721"/>
      <c r="H1080" s="721"/>
      <c r="I1080" s="721"/>
      <c r="J1080" s="721"/>
      <c r="K1080" s="721"/>
      <c r="L1080" s="721"/>
      <c r="M1080" s="930"/>
      <c r="N1080" s="930"/>
      <c r="O1080" s="930"/>
      <c r="P1080" s="931"/>
      <c r="Q1080" s="931"/>
      <c r="R1080" s="930"/>
      <c r="S1080" s="930"/>
      <c r="T1080" s="932"/>
      <c r="U1080" s="933"/>
      <c r="V1080" s="934"/>
      <c r="W1080" s="934"/>
      <c r="X1080" s="932"/>
      <c r="Y1080" s="932"/>
      <c r="Z1080" s="932"/>
      <c r="AA1080" s="726"/>
      <c r="AB1080" s="726"/>
      <c r="AC1080" s="721"/>
      <c r="AD1080" s="586"/>
      <c r="AE1080" s="586"/>
      <c r="AF1080" s="170"/>
      <c r="AG1080" s="170"/>
      <c r="AH1080" s="170"/>
      <c r="AI1080" s="170"/>
      <c r="AJ1080" s="170"/>
      <c r="AK1080" s="170"/>
      <c r="AL1080" s="170"/>
      <c r="AM1080" s="170"/>
      <c r="AN1080" s="170"/>
      <c r="AO1080" s="170"/>
      <c r="AP1080" s="170"/>
      <c r="AQ1080" s="170"/>
      <c r="AR1080" s="170"/>
      <c r="AS1080" s="170"/>
      <c r="AT1080" s="721"/>
      <c r="AU1080" s="721"/>
      <c r="AV1080" s="721"/>
      <c r="AW1080" s="828"/>
      <c r="AX1080" s="726"/>
    </row>
    <row r="1081" spans="1:50" ht="15" x14ac:dyDescent="0.25">
      <c r="A1081" s="721"/>
      <c r="B1081" s="904"/>
      <c r="C1081" s="721"/>
      <c r="D1081" s="721"/>
      <c r="E1081" s="721"/>
      <c r="F1081" s="721"/>
      <c r="G1081" s="721"/>
      <c r="H1081" s="721"/>
      <c r="I1081" s="721"/>
      <c r="J1081" s="721"/>
      <c r="K1081" s="721"/>
      <c r="L1081" s="721"/>
      <c r="M1081" s="930"/>
      <c r="N1081" s="930"/>
      <c r="O1081" s="930"/>
      <c r="P1081" s="931"/>
      <c r="Q1081" s="931"/>
      <c r="R1081" s="930"/>
      <c r="S1081" s="930"/>
      <c r="T1081" s="932"/>
      <c r="U1081" s="933"/>
      <c r="V1081" s="934"/>
      <c r="W1081" s="934"/>
      <c r="X1081" s="932"/>
      <c r="Y1081" s="932"/>
      <c r="Z1081" s="932"/>
      <c r="AA1081" s="726"/>
      <c r="AB1081" s="726"/>
      <c r="AC1081" s="721"/>
      <c r="AD1081" s="586"/>
      <c r="AE1081" s="586"/>
      <c r="AF1081" s="170"/>
      <c r="AG1081" s="170"/>
      <c r="AH1081" s="170"/>
      <c r="AI1081" s="170"/>
      <c r="AJ1081" s="170"/>
      <c r="AK1081" s="170"/>
      <c r="AL1081" s="170"/>
      <c r="AM1081" s="170"/>
      <c r="AN1081" s="170"/>
      <c r="AO1081" s="170"/>
      <c r="AP1081" s="170"/>
      <c r="AQ1081" s="170"/>
      <c r="AR1081" s="170"/>
      <c r="AS1081" s="170"/>
      <c r="AT1081" s="721"/>
      <c r="AU1081" s="721"/>
      <c r="AV1081" s="721"/>
      <c r="AW1081" s="828"/>
      <c r="AX1081" s="726"/>
    </row>
    <row r="1082" spans="1:50" ht="15" x14ac:dyDescent="0.25">
      <c r="A1082" s="721"/>
      <c r="B1082" s="904"/>
      <c r="C1082" s="721"/>
      <c r="D1082" s="721"/>
      <c r="E1082" s="721"/>
      <c r="F1082" s="721"/>
      <c r="G1082" s="721"/>
      <c r="H1082" s="721"/>
      <c r="I1082" s="721"/>
      <c r="J1082" s="721"/>
      <c r="K1082" s="721"/>
      <c r="L1082" s="721"/>
      <c r="M1082" s="930"/>
      <c r="N1082" s="930"/>
      <c r="O1082" s="930"/>
      <c r="P1082" s="931"/>
      <c r="Q1082" s="931"/>
      <c r="R1082" s="930"/>
      <c r="S1082" s="930"/>
      <c r="T1082" s="932"/>
      <c r="U1082" s="933"/>
      <c r="V1082" s="934"/>
      <c r="W1082" s="934"/>
      <c r="X1082" s="932"/>
      <c r="Y1082" s="932"/>
      <c r="Z1082" s="932"/>
      <c r="AA1082" s="726"/>
      <c r="AB1082" s="726"/>
      <c r="AC1082" s="721"/>
      <c r="AD1082" s="586"/>
      <c r="AE1082" s="586"/>
      <c r="AF1082" s="170"/>
      <c r="AG1082" s="170"/>
      <c r="AH1082" s="170"/>
      <c r="AI1082" s="170"/>
      <c r="AJ1082" s="170"/>
      <c r="AK1082" s="170"/>
      <c r="AL1082" s="170"/>
      <c r="AM1082" s="170"/>
      <c r="AN1082" s="170"/>
      <c r="AO1082" s="170"/>
      <c r="AP1082" s="170"/>
      <c r="AQ1082" s="170"/>
      <c r="AR1082" s="170"/>
      <c r="AS1082" s="170"/>
      <c r="AT1082" s="721"/>
      <c r="AU1082" s="721"/>
      <c r="AV1082" s="721"/>
      <c r="AW1082" s="828"/>
      <c r="AX1082" s="726"/>
    </row>
    <row r="1083" spans="1:50" ht="15" x14ac:dyDescent="0.25">
      <c r="A1083" s="721"/>
      <c r="B1083" s="904"/>
      <c r="C1083" s="721"/>
      <c r="D1083" s="721"/>
      <c r="E1083" s="721"/>
      <c r="F1083" s="721"/>
      <c r="G1083" s="721"/>
      <c r="H1083" s="721"/>
      <c r="I1083" s="721"/>
      <c r="J1083" s="721"/>
      <c r="K1083" s="721"/>
      <c r="L1083" s="721"/>
      <c r="M1083" s="930"/>
      <c r="N1083" s="930"/>
      <c r="O1083" s="930"/>
      <c r="P1083" s="931"/>
      <c r="Q1083" s="931"/>
      <c r="R1083" s="930"/>
      <c r="S1083" s="930"/>
      <c r="T1083" s="932"/>
      <c r="U1083" s="933"/>
      <c r="V1083" s="934"/>
      <c r="W1083" s="934"/>
      <c r="X1083" s="932"/>
      <c r="Y1083" s="932"/>
      <c r="Z1083" s="932"/>
      <c r="AA1083" s="726"/>
      <c r="AB1083" s="726"/>
      <c r="AC1083" s="721"/>
      <c r="AD1083" s="586"/>
      <c r="AE1083" s="586"/>
      <c r="AF1083" s="170"/>
      <c r="AG1083" s="170"/>
      <c r="AH1083" s="170"/>
      <c r="AI1083" s="170"/>
      <c r="AJ1083" s="170"/>
      <c r="AK1083" s="170"/>
      <c r="AL1083" s="170"/>
      <c r="AM1083" s="170"/>
      <c r="AN1083" s="170"/>
      <c r="AO1083" s="170"/>
      <c r="AP1083" s="170"/>
      <c r="AQ1083" s="170"/>
      <c r="AR1083" s="170"/>
      <c r="AS1083" s="170"/>
      <c r="AT1083" s="721"/>
      <c r="AU1083" s="721"/>
      <c r="AV1083" s="721"/>
      <c r="AW1083" s="828"/>
      <c r="AX1083" s="726"/>
    </row>
    <row r="1084" spans="1:50" ht="15" x14ac:dyDescent="0.25">
      <c r="A1084" s="721"/>
      <c r="B1084" s="904"/>
      <c r="C1084" s="721"/>
      <c r="D1084" s="721"/>
      <c r="E1084" s="721"/>
      <c r="F1084" s="721"/>
      <c r="G1084" s="721"/>
      <c r="H1084" s="721"/>
      <c r="I1084" s="721"/>
      <c r="J1084" s="721"/>
      <c r="K1084" s="721"/>
      <c r="L1084" s="721"/>
      <c r="M1084" s="930"/>
      <c r="N1084" s="930"/>
      <c r="O1084" s="930"/>
      <c r="P1084" s="931"/>
      <c r="Q1084" s="931"/>
      <c r="R1084" s="930"/>
      <c r="S1084" s="930"/>
      <c r="T1084" s="932"/>
      <c r="U1084" s="933"/>
      <c r="V1084" s="934"/>
      <c r="W1084" s="934"/>
      <c r="X1084" s="932"/>
      <c r="Y1084" s="932"/>
      <c r="Z1084" s="932"/>
      <c r="AA1084" s="726"/>
      <c r="AB1084" s="726"/>
      <c r="AC1084" s="721"/>
      <c r="AD1084" s="586"/>
      <c r="AE1084" s="586"/>
      <c r="AF1084" s="170"/>
      <c r="AG1084" s="170"/>
      <c r="AH1084" s="170"/>
      <c r="AI1084" s="170"/>
      <c r="AJ1084" s="170"/>
      <c r="AK1084" s="170"/>
      <c r="AL1084" s="170"/>
      <c r="AM1084" s="170"/>
      <c r="AN1084" s="170"/>
      <c r="AO1084" s="170"/>
      <c r="AP1084" s="170"/>
      <c r="AQ1084" s="170"/>
      <c r="AR1084" s="170"/>
      <c r="AS1084" s="170"/>
      <c r="AT1084" s="721"/>
      <c r="AU1084" s="721"/>
      <c r="AV1084" s="721"/>
      <c r="AW1084" s="828"/>
      <c r="AX1084" s="726"/>
    </row>
    <row r="1085" spans="1:50" ht="15" x14ac:dyDescent="0.25">
      <c r="A1085" s="721"/>
      <c r="B1085" s="904"/>
      <c r="C1085" s="721"/>
      <c r="D1085" s="721"/>
      <c r="E1085" s="721"/>
      <c r="F1085" s="721"/>
      <c r="G1085" s="721"/>
      <c r="H1085" s="721"/>
      <c r="I1085" s="721"/>
      <c r="J1085" s="721"/>
      <c r="K1085" s="721"/>
      <c r="L1085" s="721"/>
      <c r="M1085" s="930"/>
      <c r="N1085" s="930"/>
      <c r="O1085" s="930"/>
      <c r="P1085" s="931"/>
      <c r="Q1085" s="931"/>
      <c r="R1085" s="930"/>
      <c r="S1085" s="930"/>
      <c r="T1085" s="932"/>
      <c r="U1085" s="933"/>
      <c r="V1085" s="934"/>
      <c r="W1085" s="934"/>
      <c r="X1085" s="932"/>
      <c r="Y1085" s="932"/>
      <c r="Z1085" s="932"/>
      <c r="AA1085" s="726"/>
      <c r="AB1085" s="726"/>
      <c r="AC1085" s="721"/>
      <c r="AD1085" s="586"/>
      <c r="AE1085" s="586"/>
      <c r="AF1085" s="170"/>
      <c r="AG1085" s="170"/>
      <c r="AH1085" s="170"/>
      <c r="AI1085" s="170"/>
      <c r="AJ1085" s="170"/>
      <c r="AK1085" s="170"/>
      <c r="AL1085" s="170"/>
      <c r="AM1085" s="170"/>
      <c r="AN1085" s="170"/>
      <c r="AO1085" s="170"/>
      <c r="AP1085" s="170"/>
      <c r="AQ1085" s="170"/>
      <c r="AR1085" s="170"/>
      <c r="AS1085" s="170"/>
      <c r="AT1085" s="721"/>
      <c r="AU1085" s="721"/>
      <c r="AV1085" s="721"/>
      <c r="AW1085" s="828"/>
      <c r="AX1085" s="726"/>
    </row>
    <row r="1086" spans="1:50" ht="15" x14ac:dyDescent="0.25">
      <c r="A1086" s="721"/>
      <c r="B1086" s="904"/>
      <c r="C1086" s="721"/>
      <c r="D1086" s="721"/>
      <c r="E1086" s="721"/>
      <c r="F1086" s="721"/>
      <c r="G1086" s="721"/>
      <c r="H1086" s="721"/>
      <c r="I1086" s="721"/>
      <c r="J1086" s="721"/>
      <c r="K1086" s="721"/>
      <c r="L1086" s="721"/>
      <c r="M1086" s="930"/>
      <c r="N1086" s="930"/>
      <c r="O1086" s="930"/>
      <c r="P1086" s="931"/>
      <c r="Q1086" s="931"/>
      <c r="R1086" s="930"/>
      <c r="S1086" s="930"/>
      <c r="T1086" s="932"/>
      <c r="U1086" s="933"/>
      <c r="V1086" s="934"/>
      <c r="W1086" s="934"/>
      <c r="X1086" s="932"/>
      <c r="Y1086" s="932"/>
      <c r="Z1086" s="932"/>
      <c r="AA1086" s="726"/>
      <c r="AB1086" s="726"/>
      <c r="AC1086" s="721"/>
      <c r="AD1086" s="586"/>
      <c r="AE1086" s="586"/>
      <c r="AF1086" s="170"/>
      <c r="AG1086" s="170"/>
      <c r="AH1086" s="170"/>
      <c r="AI1086" s="170"/>
      <c r="AJ1086" s="170"/>
      <c r="AK1086" s="170"/>
      <c r="AL1086" s="170"/>
      <c r="AM1086" s="170"/>
      <c r="AN1086" s="170"/>
      <c r="AO1086" s="170"/>
      <c r="AP1086" s="170"/>
      <c r="AQ1086" s="170"/>
      <c r="AR1086" s="170"/>
      <c r="AS1086" s="170"/>
      <c r="AT1086" s="721"/>
      <c r="AU1086" s="721"/>
      <c r="AV1086" s="721"/>
      <c r="AW1086" s="828"/>
      <c r="AX1086" s="726"/>
    </row>
    <row r="1087" spans="1:50" ht="15" x14ac:dyDescent="0.25">
      <c r="A1087" s="721"/>
      <c r="B1087" s="904"/>
      <c r="C1087" s="721"/>
      <c r="D1087" s="721"/>
      <c r="E1087" s="721"/>
      <c r="F1087" s="721"/>
      <c r="G1087" s="721"/>
      <c r="H1087" s="721"/>
      <c r="I1087" s="721"/>
      <c r="J1087" s="721"/>
      <c r="K1087" s="721"/>
      <c r="L1087" s="721"/>
      <c r="M1087" s="930"/>
      <c r="N1087" s="930"/>
      <c r="O1087" s="930"/>
      <c r="P1087" s="931"/>
      <c r="Q1087" s="931"/>
      <c r="R1087" s="930"/>
      <c r="S1087" s="930"/>
      <c r="T1087" s="932"/>
      <c r="U1087" s="933"/>
      <c r="V1087" s="934"/>
      <c r="W1087" s="934"/>
      <c r="X1087" s="932"/>
      <c r="Y1087" s="932"/>
      <c r="Z1087" s="932"/>
      <c r="AA1087" s="726"/>
      <c r="AB1087" s="726"/>
      <c r="AC1087" s="721"/>
      <c r="AD1087" s="586"/>
      <c r="AE1087" s="586"/>
      <c r="AF1087" s="170"/>
      <c r="AG1087" s="170"/>
      <c r="AH1087" s="170"/>
      <c r="AI1087" s="170"/>
      <c r="AJ1087" s="170"/>
      <c r="AK1087" s="170"/>
      <c r="AL1087" s="170"/>
      <c r="AM1087" s="170"/>
      <c r="AN1087" s="170"/>
      <c r="AO1087" s="170"/>
      <c r="AP1087" s="170"/>
      <c r="AQ1087" s="170"/>
      <c r="AR1087" s="170"/>
      <c r="AS1087" s="170"/>
      <c r="AT1087" s="721"/>
      <c r="AU1087" s="721"/>
      <c r="AV1087" s="721"/>
      <c r="AW1087" s="828"/>
      <c r="AX1087" s="726"/>
    </row>
    <row r="1088" spans="1:50" ht="15" x14ac:dyDescent="0.25">
      <c r="A1088" s="721"/>
      <c r="B1088" s="904"/>
      <c r="C1088" s="721"/>
      <c r="D1088" s="721"/>
      <c r="E1088" s="721"/>
      <c r="F1088" s="721"/>
      <c r="G1088" s="721"/>
      <c r="H1088" s="721"/>
      <c r="I1088" s="721"/>
      <c r="J1088" s="721"/>
      <c r="K1088" s="721"/>
      <c r="L1088" s="721"/>
      <c r="M1088" s="930"/>
      <c r="N1088" s="930"/>
      <c r="O1088" s="930"/>
      <c r="P1088" s="931"/>
      <c r="Q1088" s="931"/>
      <c r="R1088" s="930"/>
      <c r="S1088" s="930"/>
      <c r="T1088" s="932"/>
      <c r="U1088" s="933"/>
      <c r="V1088" s="934"/>
      <c r="W1088" s="934"/>
      <c r="X1088" s="932"/>
      <c r="Y1088" s="932"/>
      <c r="Z1088" s="932"/>
      <c r="AA1088" s="726"/>
      <c r="AB1088" s="726"/>
      <c r="AC1088" s="721"/>
      <c r="AD1088" s="586"/>
      <c r="AE1088" s="586"/>
      <c r="AF1088" s="170"/>
      <c r="AG1088" s="170"/>
      <c r="AH1088" s="170"/>
      <c r="AI1088" s="170"/>
      <c r="AJ1088" s="170"/>
      <c r="AK1088" s="170"/>
      <c r="AL1088" s="170"/>
      <c r="AM1088" s="170"/>
      <c r="AN1088" s="170"/>
      <c r="AO1088" s="170"/>
      <c r="AP1088" s="170"/>
      <c r="AQ1088" s="170"/>
      <c r="AR1088" s="170"/>
      <c r="AS1088" s="170"/>
      <c r="AT1088" s="721"/>
      <c r="AU1088" s="721"/>
      <c r="AV1088" s="721"/>
      <c r="AW1088" s="828"/>
      <c r="AX1088" s="726"/>
    </row>
    <row r="1089" spans="1:50" ht="15" x14ac:dyDescent="0.25">
      <c r="A1089" s="721"/>
      <c r="B1089" s="904"/>
      <c r="C1089" s="721"/>
      <c r="D1089" s="721"/>
      <c r="E1089" s="721"/>
      <c r="F1089" s="721"/>
      <c r="G1089" s="721"/>
      <c r="H1089" s="721"/>
      <c r="I1089" s="721"/>
      <c r="J1089" s="721"/>
      <c r="K1089" s="721"/>
      <c r="L1089" s="721"/>
      <c r="M1089" s="930"/>
      <c r="N1089" s="930"/>
      <c r="O1089" s="930"/>
      <c r="P1089" s="931"/>
      <c r="Q1089" s="931"/>
      <c r="R1089" s="930"/>
      <c r="S1089" s="930"/>
      <c r="T1089" s="932"/>
      <c r="U1089" s="933"/>
      <c r="V1089" s="934"/>
      <c r="W1089" s="934"/>
      <c r="X1089" s="932"/>
      <c r="Y1089" s="932"/>
      <c r="Z1089" s="932"/>
      <c r="AA1089" s="726"/>
      <c r="AB1089" s="726"/>
      <c r="AC1089" s="721"/>
      <c r="AD1089" s="586"/>
      <c r="AE1089" s="586"/>
      <c r="AF1089" s="170"/>
      <c r="AG1089" s="170"/>
      <c r="AH1089" s="170"/>
      <c r="AI1089" s="170"/>
      <c r="AJ1089" s="170"/>
      <c r="AK1089" s="170"/>
      <c r="AL1089" s="170"/>
      <c r="AM1089" s="170"/>
      <c r="AN1089" s="170"/>
      <c r="AO1089" s="170"/>
      <c r="AP1089" s="170"/>
      <c r="AQ1089" s="170"/>
      <c r="AR1089" s="170"/>
      <c r="AS1089" s="170"/>
      <c r="AT1089" s="721"/>
      <c r="AU1089" s="721"/>
      <c r="AV1089" s="721"/>
      <c r="AW1089" s="828"/>
      <c r="AX1089" s="726"/>
    </row>
    <row r="1090" spans="1:50" ht="15" x14ac:dyDescent="0.25">
      <c r="A1090" s="721"/>
      <c r="B1090" s="904"/>
      <c r="C1090" s="721"/>
      <c r="D1090" s="721"/>
      <c r="E1090" s="721"/>
      <c r="F1090" s="721"/>
      <c r="G1090" s="721"/>
      <c r="H1090" s="721"/>
      <c r="I1090" s="721"/>
      <c r="J1090" s="721"/>
      <c r="K1090" s="721"/>
      <c r="L1090" s="721"/>
      <c r="M1090" s="930"/>
      <c r="N1090" s="930"/>
      <c r="O1090" s="930"/>
      <c r="P1090" s="931"/>
      <c r="Q1090" s="931"/>
      <c r="R1090" s="930"/>
      <c r="S1090" s="930"/>
      <c r="T1090" s="932"/>
      <c r="U1090" s="933"/>
      <c r="V1090" s="934"/>
      <c r="W1090" s="934"/>
      <c r="X1090" s="932"/>
      <c r="Y1090" s="932"/>
      <c r="Z1090" s="932"/>
      <c r="AA1090" s="726"/>
      <c r="AB1090" s="726"/>
      <c r="AC1090" s="721"/>
      <c r="AD1090" s="586"/>
      <c r="AE1090" s="586"/>
      <c r="AF1090" s="170"/>
      <c r="AG1090" s="170"/>
      <c r="AH1090" s="170"/>
      <c r="AI1090" s="170"/>
      <c r="AJ1090" s="170"/>
      <c r="AK1090" s="170"/>
      <c r="AL1090" s="170"/>
      <c r="AM1090" s="170"/>
      <c r="AN1090" s="170"/>
      <c r="AO1090" s="170"/>
      <c r="AP1090" s="170"/>
      <c r="AQ1090" s="170"/>
      <c r="AR1090" s="170"/>
      <c r="AS1090" s="170"/>
      <c r="AT1090" s="721"/>
      <c r="AU1090" s="721"/>
      <c r="AV1090" s="721"/>
      <c r="AW1090" s="828"/>
      <c r="AX1090" s="726"/>
    </row>
    <row r="1091" spans="1:50" ht="15" x14ac:dyDescent="0.25">
      <c r="A1091" s="721"/>
      <c r="B1091" s="904"/>
      <c r="C1091" s="721"/>
      <c r="D1091" s="721"/>
      <c r="E1091" s="721"/>
      <c r="F1091" s="721"/>
      <c r="G1091" s="721"/>
      <c r="H1091" s="721"/>
      <c r="I1091" s="721"/>
      <c r="J1091" s="721"/>
      <c r="K1091" s="721"/>
      <c r="L1091" s="721"/>
      <c r="M1091" s="930"/>
      <c r="N1091" s="930"/>
      <c r="O1091" s="930"/>
      <c r="P1091" s="931"/>
      <c r="Q1091" s="931"/>
      <c r="R1091" s="930"/>
      <c r="S1091" s="930"/>
      <c r="T1091" s="932"/>
      <c r="U1091" s="933"/>
      <c r="V1091" s="934"/>
      <c r="W1091" s="934"/>
      <c r="X1091" s="932"/>
      <c r="Y1091" s="932"/>
      <c r="Z1091" s="932"/>
      <c r="AA1091" s="726"/>
      <c r="AB1091" s="726"/>
      <c r="AC1091" s="721"/>
      <c r="AD1091" s="586"/>
      <c r="AE1091" s="586"/>
      <c r="AF1091" s="170"/>
      <c r="AG1091" s="170"/>
      <c r="AH1091" s="170"/>
      <c r="AI1091" s="170"/>
      <c r="AJ1091" s="170"/>
      <c r="AK1091" s="170"/>
      <c r="AL1091" s="170"/>
      <c r="AM1091" s="170"/>
      <c r="AN1091" s="170"/>
      <c r="AO1091" s="170"/>
      <c r="AP1091" s="170"/>
      <c r="AQ1091" s="170"/>
      <c r="AR1091" s="170"/>
      <c r="AS1091" s="170"/>
      <c r="AT1091" s="721"/>
      <c r="AU1091" s="721"/>
      <c r="AV1091" s="721"/>
      <c r="AW1091" s="828"/>
      <c r="AX1091" s="726"/>
    </row>
    <row r="1092" spans="1:50" ht="15" x14ac:dyDescent="0.25">
      <c r="A1092" s="721"/>
      <c r="B1092" s="904"/>
      <c r="C1092" s="721"/>
      <c r="D1092" s="721"/>
      <c r="E1092" s="721"/>
      <c r="F1092" s="721"/>
      <c r="G1092" s="721"/>
      <c r="H1092" s="721"/>
      <c r="I1092" s="721"/>
      <c r="J1092" s="721"/>
      <c r="K1092" s="721"/>
      <c r="L1092" s="721"/>
      <c r="M1092" s="930"/>
      <c r="N1092" s="930"/>
      <c r="O1092" s="930"/>
      <c r="P1092" s="931"/>
      <c r="Q1092" s="931"/>
      <c r="R1092" s="930"/>
      <c r="S1092" s="930"/>
      <c r="T1092" s="932"/>
      <c r="U1092" s="933"/>
      <c r="V1092" s="934"/>
      <c r="W1092" s="934"/>
      <c r="X1092" s="932"/>
      <c r="Y1092" s="932"/>
      <c r="Z1092" s="932"/>
      <c r="AA1092" s="726"/>
      <c r="AB1092" s="726"/>
      <c r="AC1092" s="721"/>
      <c r="AD1092" s="586"/>
      <c r="AE1092" s="586"/>
      <c r="AF1092" s="170"/>
      <c r="AG1092" s="170"/>
      <c r="AH1092" s="170"/>
      <c r="AI1092" s="170"/>
      <c r="AJ1092" s="170"/>
      <c r="AK1092" s="170"/>
      <c r="AL1092" s="170"/>
      <c r="AM1092" s="170"/>
      <c r="AN1092" s="170"/>
      <c r="AO1092" s="170"/>
      <c r="AP1092" s="170"/>
      <c r="AQ1092" s="170"/>
      <c r="AR1092" s="170"/>
      <c r="AS1092" s="170"/>
      <c r="AT1092" s="721"/>
      <c r="AU1092" s="721"/>
      <c r="AV1092" s="721"/>
      <c r="AW1092" s="828"/>
      <c r="AX1092" s="726"/>
    </row>
    <row r="1093" spans="1:50" ht="15" x14ac:dyDescent="0.25">
      <c r="A1093" s="721"/>
      <c r="B1093" s="904"/>
      <c r="C1093" s="721"/>
      <c r="D1093" s="721"/>
      <c r="E1093" s="721"/>
      <c r="F1093" s="721"/>
      <c r="G1093" s="721"/>
      <c r="H1093" s="721"/>
      <c r="I1093" s="721"/>
      <c r="J1093" s="721"/>
      <c r="K1093" s="721"/>
      <c r="L1093" s="721"/>
      <c r="M1093" s="930"/>
      <c r="N1093" s="930"/>
      <c r="O1093" s="930"/>
      <c r="P1093" s="931"/>
      <c r="Q1093" s="931"/>
      <c r="R1093" s="930"/>
      <c r="S1093" s="930"/>
      <c r="T1093" s="932"/>
      <c r="U1093" s="933"/>
      <c r="V1093" s="934"/>
      <c r="W1093" s="934"/>
      <c r="X1093" s="932"/>
      <c r="Y1093" s="932"/>
      <c r="Z1093" s="932"/>
      <c r="AA1093" s="726"/>
      <c r="AB1093" s="726"/>
      <c r="AC1093" s="721"/>
      <c r="AD1093" s="586"/>
      <c r="AE1093" s="586"/>
      <c r="AF1093" s="170"/>
      <c r="AG1093" s="170"/>
      <c r="AH1093" s="170"/>
      <c r="AI1093" s="170"/>
      <c r="AJ1093" s="170"/>
      <c r="AK1093" s="170"/>
      <c r="AL1093" s="170"/>
      <c r="AM1093" s="170"/>
      <c r="AN1093" s="170"/>
      <c r="AO1093" s="170"/>
      <c r="AP1093" s="170"/>
      <c r="AQ1093" s="170"/>
      <c r="AR1093" s="170"/>
      <c r="AS1093" s="170"/>
      <c r="AT1093" s="721"/>
      <c r="AU1093" s="721"/>
      <c r="AV1093" s="721"/>
      <c r="AW1093" s="828"/>
      <c r="AX1093" s="726"/>
    </row>
    <row r="1094" spans="1:50" ht="15" x14ac:dyDescent="0.25">
      <c r="A1094" s="721"/>
      <c r="B1094" s="904"/>
      <c r="C1094" s="721"/>
      <c r="D1094" s="721"/>
      <c r="E1094" s="721"/>
      <c r="F1094" s="721"/>
      <c r="G1094" s="721"/>
      <c r="H1094" s="721"/>
      <c r="I1094" s="721"/>
      <c r="J1094" s="721"/>
      <c r="K1094" s="721"/>
      <c r="L1094" s="721"/>
      <c r="M1094" s="930"/>
      <c r="N1094" s="930"/>
      <c r="O1094" s="930"/>
      <c r="P1094" s="931"/>
      <c r="Q1094" s="931"/>
      <c r="R1094" s="930"/>
      <c r="S1094" s="930"/>
      <c r="T1094" s="932"/>
      <c r="U1094" s="933"/>
      <c r="V1094" s="934"/>
      <c r="W1094" s="934"/>
      <c r="X1094" s="932"/>
      <c r="Y1094" s="932"/>
      <c r="Z1094" s="932"/>
      <c r="AA1094" s="726"/>
      <c r="AB1094" s="726"/>
      <c r="AC1094" s="721"/>
      <c r="AD1094" s="586"/>
      <c r="AE1094" s="586"/>
      <c r="AF1094" s="170"/>
      <c r="AG1094" s="170"/>
      <c r="AH1094" s="170"/>
      <c r="AI1094" s="170"/>
      <c r="AJ1094" s="170"/>
      <c r="AK1094" s="170"/>
      <c r="AL1094" s="170"/>
      <c r="AM1094" s="170"/>
      <c r="AN1094" s="170"/>
      <c r="AO1094" s="170"/>
      <c r="AP1094" s="170"/>
      <c r="AQ1094" s="170"/>
      <c r="AR1094" s="170"/>
      <c r="AS1094" s="170"/>
      <c r="AT1094" s="721"/>
      <c r="AU1094" s="721"/>
      <c r="AV1094" s="721"/>
      <c r="AW1094" s="828"/>
      <c r="AX1094" s="726"/>
    </row>
    <row r="1095" spans="1:50" ht="15" x14ac:dyDescent="0.25">
      <c r="A1095" s="721"/>
      <c r="B1095" s="904"/>
      <c r="C1095" s="721"/>
      <c r="D1095" s="721"/>
      <c r="E1095" s="721"/>
      <c r="F1095" s="721"/>
      <c r="G1095" s="721"/>
      <c r="H1095" s="721"/>
      <c r="I1095" s="721"/>
      <c r="J1095" s="721"/>
      <c r="K1095" s="721"/>
      <c r="L1095" s="721"/>
      <c r="M1095" s="930"/>
      <c r="N1095" s="930"/>
      <c r="O1095" s="930"/>
      <c r="P1095" s="931"/>
      <c r="Q1095" s="931"/>
      <c r="R1095" s="930"/>
      <c r="S1095" s="930"/>
      <c r="T1095" s="932"/>
      <c r="U1095" s="933"/>
      <c r="V1095" s="934"/>
      <c r="W1095" s="934"/>
      <c r="X1095" s="932"/>
      <c r="Y1095" s="932"/>
      <c r="Z1095" s="932"/>
      <c r="AA1095" s="726"/>
      <c r="AB1095" s="726"/>
      <c r="AC1095" s="721"/>
      <c r="AD1095" s="586"/>
      <c r="AE1095" s="586"/>
      <c r="AF1095" s="170"/>
      <c r="AG1095" s="170"/>
      <c r="AH1095" s="170"/>
      <c r="AI1095" s="170"/>
      <c r="AJ1095" s="170"/>
      <c r="AK1095" s="170"/>
      <c r="AL1095" s="170"/>
      <c r="AM1095" s="170"/>
      <c r="AN1095" s="170"/>
      <c r="AO1095" s="170"/>
      <c r="AP1095" s="170"/>
      <c r="AQ1095" s="170"/>
      <c r="AR1095" s="170"/>
      <c r="AS1095" s="170"/>
      <c r="AT1095" s="721"/>
      <c r="AU1095" s="721"/>
      <c r="AV1095" s="721"/>
      <c r="AW1095" s="828"/>
      <c r="AX1095" s="726"/>
    </row>
    <row r="1096" spans="1:50" ht="15" x14ac:dyDescent="0.25">
      <c r="A1096" s="721"/>
      <c r="B1096" s="904"/>
      <c r="C1096" s="721"/>
      <c r="D1096" s="721"/>
      <c r="E1096" s="721"/>
      <c r="F1096" s="721"/>
      <c r="G1096" s="721"/>
      <c r="H1096" s="721"/>
      <c r="I1096" s="721"/>
      <c r="J1096" s="721"/>
      <c r="K1096" s="721"/>
      <c r="L1096" s="721"/>
      <c r="M1096" s="930"/>
      <c r="N1096" s="930"/>
      <c r="O1096" s="930"/>
      <c r="P1096" s="931"/>
      <c r="Q1096" s="931"/>
      <c r="R1096" s="930"/>
      <c r="S1096" s="930"/>
      <c r="T1096" s="932"/>
      <c r="U1096" s="933"/>
      <c r="V1096" s="934"/>
      <c r="W1096" s="934"/>
      <c r="X1096" s="932"/>
      <c r="Y1096" s="932"/>
      <c r="Z1096" s="932"/>
      <c r="AA1096" s="726"/>
      <c r="AB1096" s="726"/>
      <c r="AC1096" s="721"/>
      <c r="AD1096" s="586"/>
      <c r="AE1096" s="586"/>
      <c r="AF1096" s="170"/>
      <c r="AG1096" s="170"/>
      <c r="AH1096" s="170"/>
      <c r="AI1096" s="170"/>
      <c r="AJ1096" s="170"/>
      <c r="AK1096" s="170"/>
      <c r="AL1096" s="170"/>
      <c r="AM1096" s="170"/>
      <c r="AN1096" s="170"/>
      <c r="AO1096" s="170"/>
      <c r="AP1096" s="170"/>
      <c r="AQ1096" s="170"/>
      <c r="AR1096" s="170"/>
      <c r="AS1096" s="170"/>
      <c r="AT1096" s="721"/>
      <c r="AU1096" s="721"/>
      <c r="AV1096" s="721"/>
      <c r="AW1096" s="828"/>
      <c r="AX1096" s="726"/>
    </row>
    <row r="1097" spans="1:50" ht="15" x14ac:dyDescent="0.25">
      <c r="A1097" s="721"/>
      <c r="B1097" s="904"/>
      <c r="C1097" s="721"/>
      <c r="D1097" s="721"/>
      <c r="E1097" s="721"/>
      <c r="F1097" s="721"/>
      <c r="G1097" s="721"/>
      <c r="H1097" s="721"/>
      <c r="I1097" s="721"/>
      <c r="J1097" s="721"/>
      <c r="K1097" s="721"/>
      <c r="L1097" s="721"/>
      <c r="M1097" s="930"/>
      <c r="N1097" s="930"/>
      <c r="O1097" s="930"/>
      <c r="P1097" s="931"/>
      <c r="Q1097" s="931"/>
      <c r="R1097" s="930"/>
      <c r="S1097" s="930"/>
      <c r="T1097" s="932"/>
      <c r="U1097" s="933"/>
      <c r="V1097" s="934"/>
      <c r="W1097" s="934"/>
      <c r="X1097" s="932"/>
      <c r="Y1097" s="932"/>
      <c r="Z1097" s="932"/>
      <c r="AA1097" s="726"/>
      <c r="AB1097" s="726"/>
      <c r="AC1097" s="721"/>
      <c r="AD1097" s="586"/>
      <c r="AE1097" s="586"/>
      <c r="AF1097" s="170"/>
      <c r="AG1097" s="170"/>
      <c r="AH1097" s="170"/>
      <c r="AI1097" s="170"/>
      <c r="AJ1097" s="170"/>
      <c r="AK1097" s="170"/>
      <c r="AL1097" s="170"/>
      <c r="AM1097" s="170"/>
      <c r="AN1097" s="170"/>
      <c r="AO1097" s="170"/>
      <c r="AP1097" s="170"/>
      <c r="AQ1097" s="170"/>
      <c r="AR1097" s="170"/>
      <c r="AS1097" s="170"/>
      <c r="AT1097" s="721"/>
      <c r="AU1097" s="721"/>
      <c r="AV1097" s="721"/>
      <c r="AW1097" s="828"/>
      <c r="AX1097" s="726"/>
    </row>
    <row r="1098" spans="1:50" ht="15" x14ac:dyDescent="0.25">
      <c r="A1098" s="721"/>
      <c r="B1098" s="904"/>
      <c r="C1098" s="721"/>
      <c r="D1098" s="721"/>
      <c r="E1098" s="721"/>
      <c r="F1098" s="721"/>
      <c r="G1098" s="721"/>
      <c r="H1098" s="721"/>
      <c r="I1098" s="721"/>
      <c r="J1098" s="721"/>
      <c r="K1098" s="721"/>
      <c r="L1098" s="721"/>
      <c r="M1098" s="930"/>
      <c r="N1098" s="930"/>
      <c r="O1098" s="930"/>
      <c r="P1098" s="931"/>
      <c r="Q1098" s="931"/>
      <c r="R1098" s="930"/>
      <c r="S1098" s="930"/>
      <c r="T1098" s="932"/>
      <c r="U1098" s="933"/>
      <c r="V1098" s="934"/>
      <c r="W1098" s="934"/>
      <c r="X1098" s="932"/>
      <c r="Y1098" s="932"/>
      <c r="Z1098" s="932"/>
      <c r="AA1098" s="726"/>
      <c r="AB1098" s="726"/>
      <c r="AC1098" s="721"/>
      <c r="AD1098" s="586"/>
      <c r="AE1098" s="586"/>
      <c r="AF1098" s="170"/>
      <c r="AG1098" s="170"/>
      <c r="AH1098" s="170"/>
      <c r="AI1098" s="170"/>
      <c r="AJ1098" s="170"/>
      <c r="AK1098" s="170"/>
      <c r="AL1098" s="170"/>
      <c r="AM1098" s="170"/>
      <c r="AN1098" s="170"/>
      <c r="AO1098" s="170"/>
      <c r="AP1098" s="170"/>
      <c r="AQ1098" s="170"/>
      <c r="AR1098" s="170"/>
      <c r="AS1098" s="170"/>
      <c r="AT1098" s="721"/>
      <c r="AU1098" s="721"/>
      <c r="AV1098" s="721"/>
      <c r="AW1098" s="828"/>
      <c r="AX1098" s="726"/>
    </row>
    <row r="1099" spans="1:50" ht="15" x14ac:dyDescent="0.25">
      <c r="A1099" s="721"/>
      <c r="B1099" s="904"/>
      <c r="C1099" s="721"/>
      <c r="D1099" s="721"/>
      <c r="E1099" s="721"/>
      <c r="F1099" s="721"/>
      <c r="G1099" s="721"/>
      <c r="H1099" s="721"/>
      <c r="I1099" s="721"/>
      <c r="J1099" s="721"/>
      <c r="K1099" s="721"/>
      <c r="L1099" s="721"/>
      <c r="M1099" s="930"/>
      <c r="N1099" s="930"/>
      <c r="O1099" s="930"/>
      <c r="P1099" s="931"/>
      <c r="Q1099" s="931"/>
      <c r="R1099" s="930"/>
      <c r="S1099" s="930"/>
      <c r="T1099" s="932"/>
      <c r="U1099" s="933"/>
      <c r="V1099" s="934"/>
      <c r="W1099" s="934"/>
      <c r="X1099" s="932"/>
      <c r="Y1099" s="932"/>
      <c r="Z1099" s="932"/>
      <c r="AA1099" s="726"/>
      <c r="AB1099" s="726"/>
      <c r="AC1099" s="721"/>
      <c r="AD1099" s="586"/>
      <c r="AE1099" s="586"/>
      <c r="AF1099" s="170"/>
      <c r="AG1099" s="170"/>
      <c r="AH1099" s="170"/>
      <c r="AI1099" s="170"/>
      <c r="AJ1099" s="170"/>
      <c r="AK1099" s="170"/>
      <c r="AL1099" s="170"/>
      <c r="AM1099" s="170"/>
      <c r="AN1099" s="170"/>
      <c r="AO1099" s="170"/>
      <c r="AP1099" s="170"/>
      <c r="AQ1099" s="170"/>
      <c r="AR1099" s="170"/>
      <c r="AS1099" s="170"/>
      <c r="AT1099" s="721"/>
      <c r="AU1099" s="721"/>
      <c r="AV1099" s="721"/>
      <c r="AW1099" s="828"/>
      <c r="AX1099" s="726"/>
    </row>
    <row r="1100" spans="1:50" ht="15" x14ac:dyDescent="0.25">
      <c r="A1100" s="721"/>
      <c r="B1100" s="904"/>
      <c r="C1100" s="721"/>
      <c r="D1100" s="721"/>
      <c r="E1100" s="721"/>
      <c r="F1100" s="721"/>
      <c r="G1100" s="721"/>
      <c r="H1100" s="721"/>
      <c r="I1100" s="721"/>
      <c r="J1100" s="721"/>
      <c r="K1100" s="721"/>
      <c r="L1100" s="721"/>
      <c r="M1100" s="930"/>
      <c r="N1100" s="930"/>
      <c r="O1100" s="930"/>
      <c r="P1100" s="931"/>
      <c r="Q1100" s="931"/>
      <c r="R1100" s="930"/>
      <c r="S1100" s="930"/>
      <c r="T1100" s="932"/>
      <c r="U1100" s="933"/>
      <c r="V1100" s="934"/>
      <c r="W1100" s="934"/>
      <c r="X1100" s="932"/>
      <c r="Y1100" s="932"/>
      <c r="Z1100" s="932"/>
      <c r="AA1100" s="726"/>
      <c r="AB1100" s="726"/>
      <c r="AC1100" s="721"/>
      <c r="AD1100" s="586"/>
      <c r="AE1100" s="586"/>
      <c r="AF1100" s="170"/>
      <c r="AG1100" s="170"/>
      <c r="AH1100" s="170"/>
      <c r="AI1100" s="170"/>
      <c r="AJ1100" s="170"/>
      <c r="AK1100" s="170"/>
      <c r="AL1100" s="170"/>
      <c r="AM1100" s="170"/>
      <c r="AN1100" s="170"/>
      <c r="AO1100" s="170"/>
      <c r="AP1100" s="170"/>
      <c r="AQ1100" s="170"/>
      <c r="AR1100" s="170"/>
      <c r="AS1100" s="170"/>
      <c r="AT1100" s="721"/>
      <c r="AU1100" s="721"/>
      <c r="AV1100" s="721"/>
      <c r="AW1100" s="828"/>
      <c r="AX1100" s="726"/>
    </row>
    <row r="1101" spans="1:50" ht="15" x14ac:dyDescent="0.25">
      <c r="A1101" s="721"/>
      <c r="B1101" s="904"/>
      <c r="C1101" s="721"/>
      <c r="D1101" s="721"/>
      <c r="E1101" s="721"/>
      <c r="F1101" s="721"/>
      <c r="G1101" s="721"/>
      <c r="H1101" s="721"/>
      <c r="I1101" s="721"/>
      <c r="J1101" s="721"/>
      <c r="K1101" s="721"/>
      <c r="L1101" s="721"/>
      <c r="M1101" s="930"/>
      <c r="N1101" s="930"/>
      <c r="O1101" s="930"/>
      <c r="P1101" s="931"/>
      <c r="Q1101" s="931"/>
      <c r="R1101" s="930"/>
      <c r="S1101" s="930"/>
      <c r="T1101" s="932"/>
      <c r="U1101" s="933"/>
      <c r="V1101" s="934"/>
      <c r="W1101" s="934"/>
      <c r="X1101" s="932"/>
      <c r="Y1101" s="932"/>
      <c r="Z1101" s="932"/>
      <c r="AA1101" s="726"/>
      <c r="AB1101" s="726"/>
      <c r="AC1101" s="721"/>
      <c r="AD1101" s="586"/>
      <c r="AE1101" s="586"/>
      <c r="AF1101" s="170"/>
      <c r="AG1101" s="170"/>
      <c r="AH1101" s="170"/>
      <c r="AI1101" s="170"/>
      <c r="AJ1101" s="170"/>
      <c r="AK1101" s="170"/>
      <c r="AL1101" s="170"/>
      <c r="AM1101" s="170"/>
      <c r="AN1101" s="170"/>
      <c r="AO1101" s="170"/>
      <c r="AP1101" s="170"/>
      <c r="AQ1101" s="170"/>
      <c r="AR1101" s="170"/>
      <c r="AS1101" s="170"/>
      <c r="AT1101" s="721"/>
      <c r="AU1101" s="721"/>
      <c r="AV1101" s="721"/>
      <c r="AW1101" s="828"/>
      <c r="AX1101" s="726"/>
    </row>
    <row r="1102" spans="1:50" ht="15" x14ac:dyDescent="0.25">
      <c r="A1102" s="721"/>
      <c r="B1102" s="904"/>
      <c r="C1102" s="721"/>
      <c r="D1102" s="721"/>
      <c r="E1102" s="721"/>
      <c r="F1102" s="721"/>
      <c r="G1102" s="721"/>
      <c r="H1102" s="721"/>
      <c r="I1102" s="721"/>
      <c r="J1102" s="721"/>
      <c r="K1102" s="721"/>
      <c r="L1102" s="721"/>
      <c r="M1102" s="930"/>
      <c r="N1102" s="930"/>
      <c r="O1102" s="930"/>
      <c r="P1102" s="931"/>
      <c r="Q1102" s="931"/>
      <c r="R1102" s="930"/>
      <c r="S1102" s="930"/>
      <c r="T1102" s="932"/>
      <c r="U1102" s="933"/>
      <c r="V1102" s="934"/>
      <c r="W1102" s="934"/>
      <c r="X1102" s="932"/>
      <c r="Y1102" s="932"/>
      <c r="Z1102" s="932"/>
      <c r="AA1102" s="726"/>
      <c r="AB1102" s="726"/>
      <c r="AC1102" s="721"/>
      <c r="AD1102" s="586"/>
      <c r="AE1102" s="586"/>
      <c r="AF1102" s="170"/>
      <c r="AG1102" s="170"/>
      <c r="AH1102" s="170"/>
      <c r="AI1102" s="170"/>
      <c r="AJ1102" s="170"/>
      <c r="AK1102" s="170"/>
      <c r="AL1102" s="170"/>
      <c r="AM1102" s="170"/>
      <c r="AN1102" s="170"/>
      <c r="AO1102" s="170"/>
      <c r="AP1102" s="170"/>
      <c r="AQ1102" s="170"/>
      <c r="AR1102" s="170"/>
      <c r="AS1102" s="170"/>
      <c r="AT1102" s="721"/>
      <c r="AU1102" s="721"/>
      <c r="AV1102" s="721"/>
      <c r="AW1102" s="828"/>
      <c r="AX1102" s="726"/>
    </row>
    <row r="1103" spans="1:50" ht="15" x14ac:dyDescent="0.25">
      <c r="A1103" s="721"/>
      <c r="B1103" s="904"/>
      <c r="C1103" s="721"/>
      <c r="D1103" s="721"/>
      <c r="E1103" s="721"/>
      <c r="F1103" s="721"/>
      <c r="G1103" s="721"/>
      <c r="H1103" s="721"/>
      <c r="I1103" s="721"/>
      <c r="J1103" s="721"/>
      <c r="K1103" s="721"/>
      <c r="L1103" s="721"/>
      <c r="M1103" s="930"/>
      <c r="N1103" s="930"/>
      <c r="O1103" s="930"/>
      <c r="P1103" s="931"/>
      <c r="Q1103" s="931"/>
      <c r="R1103" s="930"/>
      <c r="S1103" s="930"/>
      <c r="T1103" s="932"/>
      <c r="U1103" s="933"/>
      <c r="V1103" s="934"/>
      <c r="W1103" s="934"/>
      <c r="X1103" s="932"/>
      <c r="Y1103" s="932"/>
      <c r="Z1103" s="932"/>
      <c r="AA1103" s="726"/>
      <c r="AB1103" s="726"/>
      <c r="AC1103" s="721"/>
      <c r="AD1103" s="586"/>
      <c r="AE1103" s="586"/>
      <c r="AF1103" s="170"/>
      <c r="AG1103" s="170"/>
      <c r="AH1103" s="170"/>
      <c r="AI1103" s="170"/>
      <c r="AJ1103" s="170"/>
      <c r="AK1103" s="170"/>
      <c r="AL1103" s="170"/>
      <c r="AM1103" s="170"/>
      <c r="AN1103" s="170"/>
      <c r="AO1103" s="170"/>
      <c r="AP1103" s="170"/>
      <c r="AQ1103" s="170"/>
      <c r="AR1103" s="170"/>
      <c r="AS1103" s="170"/>
      <c r="AT1103" s="721"/>
      <c r="AU1103" s="721"/>
      <c r="AV1103" s="721"/>
      <c r="AW1103" s="828"/>
      <c r="AX1103" s="726"/>
    </row>
    <row r="1104" spans="1:50" ht="15" x14ac:dyDescent="0.25">
      <c r="A1104" s="721"/>
      <c r="B1104" s="904"/>
      <c r="C1104" s="721"/>
      <c r="D1104" s="721"/>
      <c r="E1104" s="721"/>
      <c r="F1104" s="721"/>
      <c r="G1104" s="721"/>
      <c r="H1104" s="721"/>
      <c r="I1104" s="721"/>
      <c r="J1104" s="721"/>
      <c r="K1104" s="721"/>
      <c r="L1104" s="721"/>
      <c r="M1104" s="930"/>
      <c r="N1104" s="930"/>
      <c r="O1104" s="930"/>
      <c r="P1104" s="931"/>
      <c r="Q1104" s="931"/>
      <c r="R1104" s="930"/>
      <c r="S1104" s="930"/>
      <c r="T1104" s="932"/>
      <c r="U1104" s="933"/>
      <c r="V1104" s="934"/>
      <c r="W1104" s="934"/>
      <c r="X1104" s="932"/>
      <c r="Y1104" s="932"/>
      <c r="Z1104" s="932"/>
      <c r="AA1104" s="726"/>
      <c r="AB1104" s="726"/>
      <c r="AC1104" s="721"/>
      <c r="AD1104" s="586"/>
      <c r="AE1104" s="586"/>
      <c r="AF1104" s="170"/>
      <c r="AG1104" s="170"/>
      <c r="AH1104" s="170"/>
      <c r="AI1104" s="170"/>
      <c r="AJ1104" s="170"/>
      <c r="AK1104" s="170"/>
      <c r="AL1104" s="170"/>
      <c r="AM1104" s="170"/>
      <c r="AN1104" s="170"/>
      <c r="AO1104" s="170"/>
      <c r="AP1104" s="170"/>
      <c r="AQ1104" s="170"/>
      <c r="AR1104" s="170"/>
      <c r="AS1104" s="170"/>
      <c r="AT1104" s="721"/>
      <c r="AU1104" s="721"/>
      <c r="AV1104" s="721"/>
      <c r="AW1104" s="828"/>
      <c r="AX1104" s="726"/>
    </row>
    <row r="1105" spans="1:50" ht="15" x14ac:dyDescent="0.25">
      <c r="A1105" s="721"/>
      <c r="B1105" s="904"/>
      <c r="C1105" s="721"/>
      <c r="D1105" s="721"/>
      <c r="E1105" s="721"/>
      <c r="F1105" s="721"/>
      <c r="G1105" s="721"/>
      <c r="H1105" s="721"/>
      <c r="I1105" s="721"/>
      <c r="J1105" s="721"/>
      <c r="K1105" s="721"/>
      <c r="L1105" s="721"/>
      <c r="M1105" s="930"/>
      <c r="N1105" s="930"/>
      <c r="O1105" s="930"/>
      <c r="P1105" s="931"/>
      <c r="Q1105" s="931"/>
      <c r="R1105" s="930"/>
      <c r="S1105" s="930"/>
      <c r="T1105" s="932"/>
      <c r="U1105" s="933"/>
      <c r="V1105" s="934"/>
      <c r="W1105" s="934"/>
      <c r="X1105" s="932"/>
      <c r="Y1105" s="932"/>
      <c r="Z1105" s="932"/>
      <c r="AA1105" s="726"/>
      <c r="AB1105" s="726"/>
      <c r="AC1105" s="721"/>
      <c r="AD1105" s="586"/>
      <c r="AE1105" s="586"/>
      <c r="AF1105" s="170"/>
      <c r="AG1105" s="170"/>
      <c r="AH1105" s="170"/>
      <c r="AI1105" s="170"/>
      <c r="AJ1105" s="170"/>
      <c r="AK1105" s="170"/>
      <c r="AL1105" s="170"/>
      <c r="AM1105" s="170"/>
      <c r="AN1105" s="170"/>
      <c r="AO1105" s="170"/>
      <c r="AP1105" s="170"/>
      <c r="AQ1105" s="170"/>
      <c r="AR1105" s="170"/>
      <c r="AS1105" s="170"/>
      <c r="AT1105" s="721"/>
      <c r="AU1105" s="721"/>
      <c r="AV1105" s="721"/>
      <c r="AW1105" s="828"/>
      <c r="AX1105" s="726"/>
    </row>
    <row r="1106" spans="1:50" ht="15" x14ac:dyDescent="0.25">
      <c r="A1106" s="721"/>
      <c r="B1106" s="904"/>
      <c r="C1106" s="721"/>
      <c r="D1106" s="721"/>
      <c r="E1106" s="721"/>
      <c r="F1106" s="721"/>
      <c r="G1106" s="721"/>
      <c r="H1106" s="721"/>
      <c r="I1106" s="721"/>
      <c r="J1106" s="721"/>
      <c r="K1106" s="721"/>
      <c r="L1106" s="721"/>
      <c r="M1106" s="930"/>
      <c r="N1106" s="930"/>
      <c r="O1106" s="930"/>
      <c r="P1106" s="931"/>
      <c r="Q1106" s="931"/>
      <c r="R1106" s="930"/>
      <c r="S1106" s="930"/>
      <c r="T1106" s="932"/>
      <c r="U1106" s="933"/>
      <c r="V1106" s="934"/>
      <c r="W1106" s="934"/>
      <c r="X1106" s="932"/>
      <c r="Y1106" s="932"/>
      <c r="Z1106" s="932"/>
      <c r="AA1106" s="726"/>
      <c r="AB1106" s="726"/>
      <c r="AC1106" s="721"/>
      <c r="AD1106" s="586"/>
      <c r="AE1106" s="586"/>
      <c r="AF1106" s="170"/>
      <c r="AG1106" s="170"/>
      <c r="AH1106" s="170"/>
      <c r="AI1106" s="170"/>
      <c r="AJ1106" s="170"/>
      <c r="AK1106" s="170"/>
      <c r="AL1106" s="170"/>
      <c r="AM1106" s="170"/>
      <c r="AN1106" s="170"/>
      <c r="AO1106" s="170"/>
      <c r="AP1106" s="170"/>
      <c r="AQ1106" s="170"/>
      <c r="AR1106" s="170"/>
      <c r="AS1106" s="170"/>
      <c r="AT1106" s="721"/>
      <c r="AU1106" s="721"/>
      <c r="AV1106" s="721"/>
      <c r="AW1106" s="828"/>
      <c r="AX1106" s="726"/>
    </row>
    <row r="1107" spans="1:50" ht="15" x14ac:dyDescent="0.25">
      <c r="A1107" s="721"/>
      <c r="B1107" s="904"/>
      <c r="C1107" s="721"/>
      <c r="D1107" s="721"/>
      <c r="E1107" s="721"/>
      <c r="F1107" s="721"/>
      <c r="G1107" s="721"/>
      <c r="H1107" s="721"/>
      <c r="I1107" s="721"/>
      <c r="J1107" s="721"/>
      <c r="K1107" s="721"/>
      <c r="L1107" s="721"/>
      <c r="M1107" s="930"/>
      <c r="N1107" s="930"/>
      <c r="O1107" s="930"/>
      <c r="P1107" s="931"/>
      <c r="Q1107" s="931"/>
      <c r="R1107" s="930"/>
      <c r="S1107" s="930"/>
      <c r="T1107" s="932"/>
      <c r="U1107" s="933"/>
      <c r="V1107" s="934"/>
      <c r="W1107" s="934"/>
      <c r="X1107" s="932"/>
      <c r="Y1107" s="932"/>
      <c r="Z1107" s="932"/>
      <c r="AA1107" s="726"/>
      <c r="AB1107" s="726"/>
      <c r="AC1107" s="721"/>
      <c r="AD1107" s="586"/>
      <c r="AE1107" s="586"/>
      <c r="AF1107" s="170"/>
      <c r="AG1107" s="170"/>
      <c r="AH1107" s="170"/>
      <c r="AI1107" s="170"/>
      <c r="AJ1107" s="170"/>
      <c r="AK1107" s="170"/>
      <c r="AL1107" s="170"/>
      <c r="AM1107" s="170"/>
      <c r="AN1107" s="170"/>
      <c r="AO1107" s="170"/>
      <c r="AP1107" s="170"/>
      <c r="AQ1107" s="170"/>
      <c r="AR1107" s="170"/>
      <c r="AS1107" s="170"/>
      <c r="AT1107" s="721"/>
      <c r="AU1107" s="721"/>
      <c r="AV1107" s="721"/>
      <c r="AW1107" s="828"/>
      <c r="AX1107" s="726"/>
    </row>
    <row r="1108" spans="1:50" ht="15" x14ac:dyDescent="0.25">
      <c r="A1108" s="721"/>
      <c r="B1108" s="904"/>
      <c r="C1108" s="721"/>
      <c r="D1108" s="721"/>
      <c r="E1108" s="721"/>
      <c r="F1108" s="721"/>
      <c r="G1108" s="721"/>
      <c r="H1108" s="721"/>
      <c r="I1108" s="721"/>
      <c r="J1108" s="721"/>
      <c r="K1108" s="721"/>
      <c r="L1108" s="721"/>
      <c r="M1108" s="930"/>
      <c r="N1108" s="930"/>
      <c r="O1108" s="930"/>
      <c r="P1108" s="931"/>
      <c r="Q1108" s="931"/>
      <c r="R1108" s="930"/>
      <c r="S1108" s="930"/>
      <c r="T1108" s="932"/>
      <c r="U1108" s="933"/>
      <c r="V1108" s="934"/>
      <c r="W1108" s="934"/>
      <c r="X1108" s="932"/>
      <c r="Y1108" s="932"/>
      <c r="Z1108" s="932"/>
      <c r="AA1108" s="726"/>
      <c r="AB1108" s="726"/>
      <c r="AC1108" s="721"/>
      <c r="AD1108" s="586"/>
      <c r="AE1108" s="586"/>
      <c r="AF1108" s="170"/>
      <c r="AG1108" s="170"/>
      <c r="AH1108" s="170"/>
      <c r="AI1108" s="170"/>
      <c r="AJ1108" s="170"/>
      <c r="AK1108" s="170"/>
      <c r="AL1108" s="170"/>
      <c r="AM1108" s="170"/>
      <c r="AN1108" s="170"/>
      <c r="AO1108" s="170"/>
      <c r="AP1108" s="170"/>
      <c r="AQ1108" s="170"/>
      <c r="AR1108" s="170"/>
      <c r="AS1108" s="170"/>
      <c r="AT1108" s="721"/>
      <c r="AU1108" s="721"/>
      <c r="AV1108" s="721"/>
      <c r="AW1108" s="828"/>
      <c r="AX1108" s="726"/>
    </row>
    <row r="1109" spans="1:50" ht="15" x14ac:dyDescent="0.25">
      <c r="A1109" s="721"/>
      <c r="B1109" s="904"/>
      <c r="C1109" s="721"/>
      <c r="D1109" s="721"/>
      <c r="E1109" s="721"/>
      <c r="F1109" s="721"/>
      <c r="G1109" s="721"/>
      <c r="H1109" s="721"/>
      <c r="I1109" s="721"/>
      <c r="J1109" s="721"/>
      <c r="K1109" s="721"/>
      <c r="L1109" s="721"/>
      <c r="M1109" s="930"/>
      <c r="N1109" s="930"/>
      <c r="O1109" s="930"/>
      <c r="P1109" s="931"/>
      <c r="Q1109" s="931"/>
      <c r="R1109" s="930"/>
      <c r="S1109" s="930"/>
      <c r="T1109" s="932"/>
      <c r="U1109" s="933"/>
      <c r="V1109" s="934"/>
      <c r="W1109" s="934"/>
      <c r="X1109" s="932"/>
      <c r="Y1109" s="932"/>
      <c r="Z1109" s="932"/>
      <c r="AA1109" s="726"/>
      <c r="AB1109" s="726"/>
      <c r="AC1109" s="721"/>
      <c r="AD1109" s="586"/>
      <c r="AE1109" s="586"/>
      <c r="AF1109" s="170"/>
      <c r="AG1109" s="170"/>
      <c r="AH1109" s="170"/>
      <c r="AI1109" s="170"/>
      <c r="AJ1109" s="170"/>
      <c r="AK1109" s="170"/>
      <c r="AL1109" s="170"/>
      <c r="AM1109" s="170"/>
      <c r="AN1109" s="170"/>
      <c r="AO1109" s="170"/>
      <c r="AP1109" s="170"/>
      <c r="AQ1109" s="170"/>
      <c r="AR1109" s="170"/>
      <c r="AS1109" s="170"/>
      <c r="AT1109" s="721"/>
      <c r="AU1109" s="721"/>
      <c r="AV1109" s="721"/>
      <c r="AW1109" s="828"/>
      <c r="AX1109" s="726"/>
    </row>
    <row r="1110" spans="1:50" ht="15" x14ac:dyDescent="0.25">
      <c r="A1110" s="721"/>
      <c r="B1110" s="904"/>
      <c r="C1110" s="721"/>
      <c r="D1110" s="721"/>
      <c r="E1110" s="721"/>
      <c r="F1110" s="721"/>
      <c r="G1110" s="721"/>
      <c r="H1110" s="721"/>
      <c r="I1110" s="721"/>
      <c r="J1110" s="721"/>
      <c r="K1110" s="721"/>
      <c r="L1110" s="721"/>
      <c r="M1110" s="930"/>
      <c r="N1110" s="930"/>
      <c r="O1110" s="930"/>
      <c r="P1110" s="931"/>
      <c r="Q1110" s="931"/>
      <c r="R1110" s="930"/>
      <c r="S1110" s="930"/>
      <c r="T1110" s="932"/>
      <c r="U1110" s="933"/>
      <c r="V1110" s="934"/>
      <c r="W1110" s="934"/>
      <c r="X1110" s="932"/>
      <c r="Y1110" s="932"/>
      <c r="Z1110" s="932"/>
      <c r="AA1110" s="726"/>
      <c r="AB1110" s="726"/>
      <c r="AC1110" s="721"/>
      <c r="AD1110" s="586"/>
      <c r="AE1110" s="586"/>
      <c r="AF1110" s="170"/>
      <c r="AG1110" s="170"/>
      <c r="AH1110" s="170"/>
      <c r="AI1110" s="170"/>
      <c r="AJ1110" s="170"/>
      <c r="AK1110" s="170"/>
      <c r="AL1110" s="170"/>
      <c r="AM1110" s="170"/>
      <c r="AN1110" s="170"/>
      <c r="AO1110" s="170"/>
      <c r="AP1110" s="170"/>
      <c r="AQ1110" s="170"/>
      <c r="AR1110" s="170"/>
      <c r="AS1110" s="170"/>
      <c r="AT1110" s="721"/>
      <c r="AU1110" s="721"/>
      <c r="AV1110" s="721"/>
      <c r="AW1110" s="828"/>
      <c r="AX1110" s="726"/>
    </row>
    <row r="1111" spans="1:50" ht="15" x14ac:dyDescent="0.25">
      <c r="A1111" s="721"/>
      <c r="B1111" s="904"/>
      <c r="C1111" s="721"/>
      <c r="D1111" s="721"/>
      <c r="E1111" s="721"/>
      <c r="F1111" s="721"/>
      <c r="G1111" s="721"/>
      <c r="H1111" s="721"/>
      <c r="I1111" s="721"/>
      <c r="J1111" s="721"/>
      <c r="K1111" s="721"/>
      <c r="L1111" s="721"/>
      <c r="M1111" s="930"/>
      <c r="N1111" s="930"/>
      <c r="O1111" s="930"/>
      <c r="P1111" s="931"/>
      <c r="Q1111" s="931"/>
      <c r="R1111" s="930"/>
      <c r="S1111" s="930"/>
      <c r="T1111" s="932"/>
      <c r="U1111" s="933"/>
      <c r="V1111" s="934"/>
      <c r="W1111" s="934"/>
      <c r="X1111" s="932"/>
      <c r="Y1111" s="932"/>
      <c r="Z1111" s="932"/>
      <c r="AA1111" s="726"/>
      <c r="AB1111" s="726"/>
      <c r="AC1111" s="721"/>
      <c r="AD1111" s="586"/>
      <c r="AE1111" s="586"/>
      <c r="AF1111" s="170"/>
      <c r="AG1111" s="170"/>
      <c r="AH1111" s="170"/>
      <c r="AI1111" s="170"/>
      <c r="AJ1111" s="170"/>
      <c r="AK1111" s="170"/>
      <c r="AL1111" s="170"/>
      <c r="AM1111" s="170"/>
      <c r="AN1111" s="170"/>
      <c r="AO1111" s="170"/>
      <c r="AP1111" s="170"/>
      <c r="AQ1111" s="170"/>
      <c r="AR1111" s="170"/>
      <c r="AS1111" s="170"/>
      <c r="AT1111" s="721"/>
      <c r="AU1111" s="721"/>
      <c r="AV1111" s="721"/>
      <c r="AW1111" s="828"/>
      <c r="AX1111" s="726"/>
    </row>
    <row r="1112" spans="1:50" ht="15" x14ac:dyDescent="0.25">
      <c r="A1112" s="721"/>
      <c r="B1112" s="904"/>
      <c r="C1112" s="721"/>
      <c r="D1112" s="721"/>
      <c r="E1112" s="721"/>
      <c r="F1112" s="721"/>
      <c r="G1112" s="721"/>
      <c r="H1112" s="721"/>
      <c r="I1112" s="721"/>
      <c r="J1112" s="721"/>
      <c r="K1112" s="721"/>
      <c r="L1112" s="721"/>
      <c r="M1112" s="930"/>
      <c r="N1112" s="930"/>
      <c r="O1112" s="930"/>
      <c r="P1112" s="931"/>
      <c r="Q1112" s="931"/>
      <c r="R1112" s="930"/>
      <c r="S1112" s="930"/>
      <c r="T1112" s="932"/>
      <c r="U1112" s="933"/>
      <c r="V1112" s="934"/>
      <c r="W1112" s="934"/>
      <c r="X1112" s="932"/>
      <c r="Y1112" s="932"/>
      <c r="Z1112" s="932"/>
      <c r="AA1112" s="726"/>
      <c r="AB1112" s="726"/>
      <c r="AC1112" s="721"/>
      <c r="AD1112" s="586"/>
      <c r="AE1112" s="586"/>
      <c r="AF1112" s="170"/>
      <c r="AG1112" s="170"/>
      <c r="AH1112" s="170"/>
      <c r="AI1112" s="170"/>
      <c r="AJ1112" s="170"/>
      <c r="AK1112" s="170"/>
      <c r="AL1112" s="170"/>
      <c r="AM1112" s="170"/>
      <c r="AN1112" s="170"/>
      <c r="AO1112" s="170"/>
      <c r="AP1112" s="170"/>
      <c r="AQ1112" s="170"/>
      <c r="AR1112" s="170"/>
      <c r="AS1112" s="170"/>
      <c r="AT1112" s="721"/>
      <c r="AU1112" s="721"/>
      <c r="AV1112" s="721"/>
      <c r="AW1112" s="828"/>
      <c r="AX1112" s="726"/>
    </row>
    <row r="1113" spans="1:50" ht="15" x14ac:dyDescent="0.25">
      <c r="A1113" s="721"/>
      <c r="B1113" s="904"/>
      <c r="C1113" s="721"/>
      <c r="D1113" s="721"/>
      <c r="E1113" s="721"/>
      <c r="F1113" s="721"/>
      <c r="G1113" s="721"/>
      <c r="H1113" s="721"/>
      <c r="I1113" s="721"/>
      <c r="J1113" s="721"/>
      <c r="K1113" s="721"/>
      <c r="L1113" s="721"/>
      <c r="M1113" s="930"/>
      <c r="N1113" s="930"/>
      <c r="O1113" s="930"/>
      <c r="P1113" s="931"/>
      <c r="Q1113" s="931"/>
      <c r="R1113" s="930"/>
      <c r="S1113" s="930"/>
      <c r="T1113" s="932"/>
      <c r="U1113" s="933"/>
      <c r="V1113" s="934"/>
      <c r="W1113" s="934"/>
      <c r="X1113" s="932"/>
      <c r="Y1113" s="932"/>
      <c r="Z1113" s="932"/>
      <c r="AA1113" s="726"/>
      <c r="AB1113" s="726"/>
      <c r="AC1113" s="721"/>
      <c r="AD1113" s="586"/>
      <c r="AE1113" s="586"/>
      <c r="AF1113" s="170"/>
      <c r="AG1113" s="170"/>
      <c r="AH1113" s="170"/>
      <c r="AI1113" s="170"/>
      <c r="AJ1113" s="170"/>
      <c r="AK1113" s="170"/>
      <c r="AL1113" s="170"/>
      <c r="AM1113" s="170"/>
      <c r="AN1113" s="170"/>
      <c r="AO1113" s="170"/>
      <c r="AP1113" s="170"/>
      <c r="AQ1113" s="170"/>
      <c r="AR1113" s="170"/>
      <c r="AS1113" s="170"/>
      <c r="AT1113" s="721"/>
      <c r="AU1113" s="721"/>
      <c r="AV1113" s="721"/>
      <c r="AW1113" s="828"/>
      <c r="AX1113" s="726"/>
    </row>
    <row r="1114" spans="1:50" ht="15" x14ac:dyDescent="0.25">
      <c r="A1114" s="721"/>
      <c r="B1114" s="904"/>
      <c r="C1114" s="721"/>
      <c r="D1114" s="721"/>
      <c r="E1114" s="721"/>
      <c r="F1114" s="721"/>
      <c r="G1114" s="721"/>
      <c r="H1114" s="721"/>
      <c r="I1114" s="721"/>
      <c r="J1114" s="721"/>
      <c r="K1114" s="721"/>
      <c r="L1114" s="721"/>
      <c r="M1114" s="930"/>
      <c r="N1114" s="930"/>
      <c r="O1114" s="930"/>
      <c r="P1114" s="931"/>
      <c r="Q1114" s="931"/>
      <c r="R1114" s="930"/>
      <c r="S1114" s="930"/>
      <c r="T1114" s="932"/>
      <c r="U1114" s="933"/>
      <c r="V1114" s="934"/>
      <c r="W1114" s="934"/>
      <c r="X1114" s="932"/>
      <c r="Y1114" s="932"/>
      <c r="Z1114" s="932"/>
      <c r="AA1114" s="726"/>
      <c r="AB1114" s="726"/>
      <c r="AC1114" s="721"/>
      <c r="AD1114" s="586"/>
      <c r="AE1114" s="586"/>
      <c r="AF1114" s="170"/>
      <c r="AG1114" s="170"/>
      <c r="AH1114" s="170"/>
      <c r="AI1114" s="170"/>
      <c r="AJ1114" s="170"/>
      <c r="AK1114" s="170"/>
      <c r="AL1114" s="170"/>
      <c r="AM1114" s="170"/>
      <c r="AN1114" s="170"/>
      <c r="AO1114" s="170"/>
      <c r="AP1114" s="170"/>
      <c r="AQ1114" s="170"/>
      <c r="AR1114" s="170"/>
      <c r="AS1114" s="170"/>
      <c r="AT1114" s="721"/>
      <c r="AU1114" s="721"/>
      <c r="AV1114" s="721"/>
      <c r="AW1114" s="828"/>
      <c r="AX1114" s="726"/>
    </row>
    <row r="1115" spans="1:50" ht="15" x14ac:dyDescent="0.25">
      <c r="A1115" s="721"/>
      <c r="B1115" s="904"/>
      <c r="C1115" s="721"/>
      <c r="D1115" s="721"/>
      <c r="E1115" s="721"/>
      <c r="F1115" s="721"/>
      <c r="G1115" s="721"/>
      <c r="H1115" s="721"/>
      <c r="I1115" s="721"/>
      <c r="J1115" s="721"/>
      <c r="K1115" s="721"/>
      <c r="L1115" s="721"/>
      <c r="M1115" s="930"/>
      <c r="N1115" s="930"/>
      <c r="O1115" s="930"/>
      <c r="P1115" s="931"/>
      <c r="Q1115" s="931"/>
      <c r="R1115" s="930"/>
      <c r="S1115" s="930"/>
      <c r="T1115" s="932"/>
      <c r="U1115" s="933"/>
      <c r="V1115" s="934"/>
      <c r="W1115" s="934"/>
      <c r="X1115" s="932"/>
      <c r="Y1115" s="932"/>
      <c r="Z1115" s="932"/>
      <c r="AA1115" s="726"/>
      <c r="AB1115" s="726"/>
      <c r="AC1115" s="721"/>
      <c r="AD1115" s="586"/>
      <c r="AE1115" s="586"/>
      <c r="AF1115" s="170"/>
      <c r="AG1115" s="170"/>
      <c r="AH1115" s="170"/>
      <c r="AI1115" s="170"/>
      <c r="AJ1115" s="170"/>
      <c r="AK1115" s="170"/>
      <c r="AL1115" s="170"/>
      <c r="AM1115" s="170"/>
      <c r="AN1115" s="170"/>
      <c r="AO1115" s="170"/>
      <c r="AP1115" s="170"/>
      <c r="AQ1115" s="170"/>
      <c r="AR1115" s="170"/>
      <c r="AS1115" s="170"/>
      <c r="AT1115" s="721"/>
      <c r="AU1115" s="721"/>
      <c r="AV1115" s="721"/>
      <c r="AW1115" s="828"/>
      <c r="AX1115" s="726"/>
    </row>
    <row r="1116" spans="1:50" ht="15" x14ac:dyDescent="0.25">
      <c r="A1116" s="721"/>
      <c r="B1116" s="904"/>
      <c r="C1116" s="721"/>
      <c r="D1116" s="721"/>
      <c r="E1116" s="721"/>
      <c r="F1116" s="721"/>
      <c r="G1116" s="721"/>
      <c r="H1116" s="721"/>
      <c r="I1116" s="721"/>
      <c r="J1116" s="721"/>
      <c r="K1116" s="721"/>
      <c r="L1116" s="721"/>
      <c r="M1116" s="930"/>
      <c r="N1116" s="930"/>
      <c r="O1116" s="930"/>
      <c r="P1116" s="931"/>
      <c r="Q1116" s="931"/>
      <c r="R1116" s="930"/>
      <c r="S1116" s="930"/>
      <c r="T1116" s="932"/>
      <c r="U1116" s="933"/>
      <c r="V1116" s="934"/>
      <c r="W1116" s="934"/>
      <c r="X1116" s="932"/>
      <c r="Y1116" s="932"/>
      <c r="Z1116" s="932"/>
      <c r="AA1116" s="726"/>
      <c r="AB1116" s="726"/>
      <c r="AC1116" s="721"/>
      <c r="AD1116" s="586"/>
      <c r="AE1116" s="586"/>
      <c r="AF1116" s="170"/>
      <c r="AG1116" s="170"/>
      <c r="AH1116" s="170"/>
      <c r="AI1116" s="170"/>
      <c r="AJ1116" s="170"/>
      <c r="AK1116" s="170"/>
      <c r="AL1116" s="170"/>
      <c r="AM1116" s="170"/>
      <c r="AN1116" s="170"/>
      <c r="AO1116" s="170"/>
      <c r="AP1116" s="170"/>
      <c r="AQ1116" s="170"/>
      <c r="AR1116" s="170"/>
      <c r="AS1116" s="170"/>
      <c r="AT1116" s="721"/>
      <c r="AU1116" s="721"/>
      <c r="AV1116" s="721"/>
      <c r="AW1116" s="828"/>
      <c r="AX1116" s="726"/>
    </row>
    <row r="1117" spans="1:50" ht="15" x14ac:dyDescent="0.25">
      <c r="A1117" s="721"/>
      <c r="B1117" s="904"/>
      <c r="C1117" s="721"/>
      <c r="D1117" s="721"/>
      <c r="E1117" s="721"/>
      <c r="F1117" s="721"/>
      <c r="G1117" s="721"/>
      <c r="H1117" s="721"/>
      <c r="I1117" s="721"/>
      <c r="J1117" s="721"/>
      <c r="K1117" s="721"/>
      <c r="L1117" s="721"/>
      <c r="M1117" s="930"/>
      <c r="N1117" s="930"/>
      <c r="O1117" s="930"/>
      <c r="P1117" s="931"/>
      <c r="Q1117" s="931"/>
      <c r="R1117" s="930"/>
      <c r="S1117" s="930"/>
      <c r="T1117" s="932"/>
      <c r="U1117" s="933"/>
      <c r="V1117" s="934"/>
      <c r="W1117" s="934"/>
      <c r="X1117" s="932"/>
      <c r="Y1117" s="932"/>
      <c r="Z1117" s="932"/>
      <c r="AA1117" s="726"/>
      <c r="AB1117" s="726"/>
      <c r="AC1117" s="721"/>
      <c r="AD1117" s="586"/>
      <c r="AE1117" s="586"/>
      <c r="AF1117" s="170"/>
      <c r="AG1117" s="170"/>
      <c r="AH1117" s="170"/>
      <c r="AI1117" s="170"/>
      <c r="AJ1117" s="170"/>
      <c r="AK1117" s="170"/>
      <c r="AL1117" s="170"/>
      <c r="AM1117" s="170"/>
      <c r="AN1117" s="170"/>
      <c r="AO1117" s="170"/>
      <c r="AP1117" s="170"/>
      <c r="AQ1117" s="170"/>
      <c r="AR1117" s="170"/>
      <c r="AS1117" s="170"/>
      <c r="AT1117" s="721"/>
      <c r="AU1117" s="721"/>
      <c r="AV1117" s="721"/>
      <c r="AW1117" s="828"/>
      <c r="AX1117" s="726"/>
    </row>
    <row r="1118" spans="1:50" ht="15" x14ac:dyDescent="0.25">
      <c r="A1118" s="721"/>
      <c r="B1118" s="904"/>
      <c r="C1118" s="721"/>
      <c r="D1118" s="721"/>
      <c r="E1118" s="721"/>
      <c r="F1118" s="721"/>
      <c r="G1118" s="721"/>
      <c r="H1118" s="721"/>
      <c r="I1118" s="721"/>
      <c r="J1118" s="721"/>
      <c r="K1118" s="721"/>
      <c r="L1118" s="721"/>
      <c r="M1118" s="930"/>
      <c r="N1118" s="930"/>
      <c r="O1118" s="930"/>
      <c r="P1118" s="931"/>
      <c r="Q1118" s="931"/>
      <c r="R1118" s="930"/>
      <c r="S1118" s="930"/>
      <c r="T1118" s="932"/>
      <c r="U1118" s="933"/>
      <c r="V1118" s="934"/>
      <c r="W1118" s="934"/>
      <c r="X1118" s="932"/>
      <c r="Y1118" s="932"/>
      <c r="Z1118" s="932"/>
      <c r="AA1118" s="726"/>
      <c r="AB1118" s="726"/>
      <c r="AC1118" s="721"/>
      <c r="AD1118" s="586"/>
      <c r="AE1118" s="586"/>
      <c r="AF1118" s="170"/>
      <c r="AG1118" s="170"/>
      <c r="AH1118" s="170"/>
      <c r="AI1118" s="170"/>
      <c r="AJ1118" s="170"/>
      <c r="AK1118" s="170"/>
      <c r="AL1118" s="170"/>
      <c r="AM1118" s="170"/>
      <c r="AN1118" s="170"/>
      <c r="AO1118" s="170"/>
      <c r="AP1118" s="170"/>
      <c r="AQ1118" s="170"/>
      <c r="AR1118" s="170"/>
      <c r="AS1118" s="170"/>
      <c r="AT1118" s="721"/>
      <c r="AU1118" s="721"/>
      <c r="AV1118" s="721"/>
      <c r="AW1118" s="828"/>
      <c r="AX1118" s="726"/>
    </row>
    <row r="1119" spans="1:50" ht="15" x14ac:dyDescent="0.25">
      <c r="A1119" s="721"/>
      <c r="B1119" s="904"/>
      <c r="C1119" s="721"/>
      <c r="D1119" s="721"/>
      <c r="E1119" s="721"/>
      <c r="F1119" s="721"/>
      <c r="G1119" s="721"/>
      <c r="H1119" s="721"/>
      <c r="I1119" s="721"/>
      <c r="J1119" s="721"/>
      <c r="K1119" s="721"/>
      <c r="L1119" s="721"/>
      <c r="M1119" s="930"/>
      <c r="N1119" s="930"/>
      <c r="O1119" s="930"/>
      <c r="P1119" s="931"/>
      <c r="Q1119" s="931"/>
      <c r="R1119" s="930"/>
      <c r="S1119" s="930"/>
      <c r="T1119" s="932"/>
      <c r="U1119" s="933"/>
      <c r="V1119" s="934"/>
      <c r="W1119" s="934"/>
      <c r="X1119" s="932"/>
      <c r="Y1119" s="932"/>
      <c r="Z1119" s="932"/>
      <c r="AA1119" s="726"/>
      <c r="AB1119" s="726"/>
      <c r="AC1119" s="721"/>
      <c r="AD1119" s="586"/>
      <c r="AE1119" s="586"/>
      <c r="AF1119" s="170"/>
      <c r="AG1119" s="170"/>
      <c r="AH1119" s="170"/>
      <c r="AI1119" s="170"/>
      <c r="AJ1119" s="170"/>
      <c r="AK1119" s="170"/>
      <c r="AL1119" s="170"/>
      <c r="AM1119" s="170"/>
      <c r="AN1119" s="170"/>
      <c r="AO1119" s="170"/>
      <c r="AP1119" s="170"/>
      <c r="AQ1119" s="170"/>
      <c r="AR1119" s="170"/>
      <c r="AS1119" s="170"/>
      <c r="AT1119" s="721"/>
      <c r="AU1119" s="721"/>
      <c r="AV1119" s="721"/>
      <c r="AW1119" s="828"/>
      <c r="AX1119" s="726"/>
    </row>
    <row r="1120" spans="1:50" ht="15" x14ac:dyDescent="0.25">
      <c r="A1120" s="721"/>
      <c r="B1120" s="904"/>
      <c r="C1120" s="721"/>
      <c r="D1120" s="721"/>
      <c r="E1120" s="721"/>
      <c r="F1120" s="721"/>
      <c r="G1120" s="721"/>
      <c r="H1120" s="721"/>
      <c r="I1120" s="721"/>
      <c r="J1120" s="721"/>
      <c r="K1120" s="721"/>
      <c r="L1120" s="721"/>
      <c r="M1120" s="930"/>
      <c r="N1120" s="930"/>
      <c r="O1120" s="930"/>
      <c r="P1120" s="931"/>
      <c r="Q1120" s="931"/>
      <c r="R1120" s="930"/>
      <c r="S1120" s="930"/>
      <c r="T1120" s="932"/>
      <c r="U1120" s="933"/>
      <c r="V1120" s="934"/>
      <c r="W1120" s="934"/>
      <c r="X1120" s="932"/>
      <c r="Y1120" s="932"/>
      <c r="Z1120" s="932"/>
      <c r="AA1120" s="726"/>
      <c r="AB1120" s="726"/>
      <c r="AC1120" s="721"/>
      <c r="AD1120" s="586"/>
      <c r="AE1120" s="586"/>
      <c r="AF1120" s="170"/>
      <c r="AG1120" s="170"/>
      <c r="AH1120" s="170"/>
      <c r="AI1120" s="170"/>
      <c r="AJ1120" s="170"/>
      <c r="AK1120" s="170"/>
      <c r="AL1120" s="170"/>
      <c r="AM1120" s="170"/>
      <c r="AN1120" s="170"/>
      <c r="AO1120" s="170"/>
      <c r="AP1120" s="170"/>
      <c r="AQ1120" s="170"/>
      <c r="AR1120" s="170"/>
      <c r="AS1120" s="170"/>
      <c r="AT1120" s="721"/>
      <c r="AU1120" s="721"/>
      <c r="AV1120" s="721"/>
      <c r="AW1120" s="828"/>
      <c r="AX1120" s="726"/>
    </row>
    <row r="1121" spans="1:50" ht="15" x14ac:dyDescent="0.25">
      <c r="A1121" s="721"/>
      <c r="B1121" s="904"/>
      <c r="C1121" s="721"/>
      <c r="D1121" s="721"/>
      <c r="E1121" s="721"/>
      <c r="F1121" s="721"/>
      <c r="G1121" s="721"/>
      <c r="H1121" s="721"/>
      <c r="I1121" s="721"/>
      <c r="J1121" s="721"/>
      <c r="K1121" s="721"/>
      <c r="L1121" s="721"/>
      <c r="M1121" s="930"/>
      <c r="N1121" s="930"/>
      <c r="O1121" s="930"/>
      <c r="P1121" s="931"/>
      <c r="Q1121" s="931"/>
      <c r="R1121" s="930"/>
      <c r="S1121" s="930"/>
      <c r="T1121" s="932"/>
      <c r="U1121" s="933"/>
      <c r="V1121" s="934"/>
      <c r="W1121" s="934"/>
      <c r="X1121" s="932"/>
      <c r="Y1121" s="932"/>
      <c r="Z1121" s="932"/>
      <c r="AA1121" s="726"/>
      <c r="AB1121" s="726"/>
      <c r="AC1121" s="721"/>
      <c r="AD1121" s="586"/>
      <c r="AE1121" s="586"/>
      <c r="AF1121" s="170"/>
      <c r="AG1121" s="170"/>
      <c r="AH1121" s="170"/>
      <c r="AI1121" s="170"/>
      <c r="AJ1121" s="170"/>
      <c r="AK1121" s="170"/>
      <c r="AL1121" s="170"/>
      <c r="AM1121" s="170"/>
      <c r="AN1121" s="170"/>
      <c r="AO1121" s="170"/>
      <c r="AP1121" s="170"/>
      <c r="AQ1121" s="170"/>
      <c r="AR1121" s="170"/>
      <c r="AS1121" s="170"/>
      <c r="AT1121" s="721"/>
      <c r="AU1121" s="721"/>
      <c r="AV1121" s="721"/>
      <c r="AW1121" s="828"/>
      <c r="AX1121" s="726"/>
    </row>
    <row r="1122" spans="1:50" ht="15" x14ac:dyDescent="0.25">
      <c r="A1122" s="721"/>
      <c r="B1122" s="904"/>
      <c r="C1122" s="721"/>
      <c r="D1122" s="721"/>
      <c r="E1122" s="721"/>
      <c r="F1122" s="721"/>
      <c r="G1122" s="721"/>
      <c r="H1122" s="721"/>
      <c r="I1122" s="721"/>
      <c r="J1122" s="721"/>
      <c r="K1122" s="721"/>
      <c r="L1122" s="721"/>
      <c r="M1122" s="930"/>
      <c r="N1122" s="930"/>
      <c r="O1122" s="930"/>
      <c r="P1122" s="931"/>
      <c r="Q1122" s="931"/>
      <c r="R1122" s="930"/>
      <c r="S1122" s="930"/>
      <c r="T1122" s="932"/>
      <c r="U1122" s="933"/>
      <c r="V1122" s="934"/>
      <c r="W1122" s="934"/>
      <c r="X1122" s="932"/>
      <c r="Y1122" s="932"/>
      <c r="Z1122" s="932"/>
      <c r="AA1122" s="726"/>
      <c r="AB1122" s="726"/>
      <c r="AC1122" s="721"/>
      <c r="AD1122" s="586"/>
      <c r="AE1122" s="586"/>
      <c r="AF1122" s="170"/>
      <c r="AG1122" s="170"/>
      <c r="AH1122" s="170"/>
      <c r="AI1122" s="170"/>
      <c r="AJ1122" s="170"/>
      <c r="AK1122" s="170"/>
      <c r="AL1122" s="170"/>
      <c r="AM1122" s="170"/>
      <c r="AN1122" s="170"/>
      <c r="AO1122" s="170"/>
      <c r="AP1122" s="170"/>
      <c r="AQ1122" s="170"/>
      <c r="AR1122" s="170"/>
      <c r="AS1122" s="170"/>
      <c r="AT1122" s="721"/>
      <c r="AU1122" s="721"/>
      <c r="AV1122" s="721"/>
      <c r="AW1122" s="828"/>
      <c r="AX1122" s="726"/>
    </row>
    <row r="1123" spans="1:50" ht="15" x14ac:dyDescent="0.25">
      <c r="A1123" s="721"/>
      <c r="B1123" s="904"/>
      <c r="C1123" s="721"/>
      <c r="D1123" s="721"/>
      <c r="E1123" s="721"/>
      <c r="F1123" s="721"/>
      <c r="G1123" s="721"/>
      <c r="H1123" s="721"/>
      <c r="I1123" s="721"/>
      <c r="J1123" s="721"/>
      <c r="K1123" s="721"/>
      <c r="L1123" s="721"/>
      <c r="M1123" s="930"/>
      <c r="N1123" s="930"/>
      <c r="O1123" s="930"/>
      <c r="P1123" s="931"/>
      <c r="Q1123" s="931"/>
      <c r="R1123" s="930"/>
      <c r="S1123" s="930"/>
      <c r="T1123" s="932"/>
      <c r="U1123" s="933"/>
      <c r="V1123" s="934"/>
      <c r="W1123" s="934"/>
      <c r="X1123" s="932"/>
      <c r="Y1123" s="932"/>
      <c r="Z1123" s="932"/>
      <c r="AA1123" s="726"/>
      <c r="AB1123" s="726"/>
      <c r="AC1123" s="721"/>
      <c r="AD1123" s="586"/>
      <c r="AE1123" s="586"/>
      <c r="AF1123" s="170"/>
      <c r="AG1123" s="170"/>
      <c r="AH1123" s="170"/>
      <c r="AI1123" s="170"/>
      <c r="AJ1123" s="170"/>
      <c r="AK1123" s="170"/>
      <c r="AL1123" s="170"/>
      <c r="AM1123" s="170"/>
      <c r="AN1123" s="170"/>
      <c r="AO1123" s="170"/>
      <c r="AP1123" s="170"/>
      <c r="AQ1123" s="170"/>
      <c r="AR1123" s="170"/>
      <c r="AS1123" s="170"/>
      <c r="AT1123" s="721"/>
      <c r="AU1123" s="721"/>
      <c r="AV1123" s="721"/>
      <c r="AW1123" s="828"/>
      <c r="AX1123" s="726"/>
    </row>
  </sheetData>
  <sheetProtection formatCells="0" formatColumns="0" formatRows="0" autoFilter="0"/>
  <autoFilter ref="D8:AS723" xr:uid="{2A431407-0965-4ACF-A0D4-3AE3747C1582}">
    <filterColumn colId="4">
      <filters>
        <filter val="1"/>
      </filters>
    </filterColumn>
  </autoFilter>
  <conditionalFormatting sqref="F34:F44 F29:F32 F71 F77:F79 F533 F68:F69 F46:F61 F63:F66 F196:F203 F107:F108 F129 F135:F143 F151 F178 F180:F182 F187 F190:F194 F431:F433 F372:F408 F548:F562 F499:F503 F515:F521 F573:F578 F11:F17 F474:F488 F435:F441 F580:F583 F153:F160 F412:F414 F416 F422">
    <cfRule type="cellIs" dxfId="153" priority="278" operator="equal">
      <formula>0</formula>
    </cfRule>
  </conditionalFormatting>
  <conditionalFormatting sqref="F94 F146 F110:F111 F113:F118">
    <cfRule type="cellIs" dxfId="152" priority="277" operator="equal">
      <formula>0</formula>
    </cfRule>
  </conditionalFormatting>
  <conditionalFormatting sqref="F170">
    <cfRule type="cellIs" dxfId="151" priority="276" operator="equal">
      <formula>0</formula>
    </cfRule>
  </conditionalFormatting>
  <conditionalFormatting sqref="F593:F616">
    <cfRule type="cellIs" dxfId="150" priority="250" operator="equal">
      <formula>0</formula>
    </cfRule>
  </conditionalFormatting>
  <conditionalFormatting sqref="F24 F29 F26">
    <cfRule type="cellIs" dxfId="149" priority="269" operator="equal">
      <formula>0</formula>
    </cfRule>
  </conditionalFormatting>
  <conditionalFormatting sqref="F80">
    <cfRule type="cellIs" dxfId="148" priority="268" operator="equal">
      <formula>0</formula>
    </cfRule>
  </conditionalFormatting>
  <conditionalFormatting sqref="F70">
    <cfRule type="cellIs" dxfId="147" priority="263" operator="equal">
      <formula>0</formula>
    </cfRule>
  </conditionalFormatting>
  <conditionalFormatting sqref="F72">
    <cfRule type="cellIs" dxfId="146" priority="262" operator="equal">
      <formula>0</formula>
    </cfRule>
  </conditionalFormatting>
  <conditionalFormatting sqref="F74">
    <cfRule type="cellIs" dxfId="145" priority="261" operator="equal">
      <formula>0</formula>
    </cfRule>
  </conditionalFormatting>
  <conditionalFormatting sqref="F73">
    <cfRule type="cellIs" dxfId="144" priority="260" operator="equal">
      <formula>0</formula>
    </cfRule>
  </conditionalFormatting>
  <conditionalFormatting sqref="F75">
    <cfRule type="cellIs" dxfId="143" priority="259" operator="equal">
      <formula>0</formula>
    </cfRule>
  </conditionalFormatting>
  <conditionalFormatting sqref="F171">
    <cfRule type="cellIs" dxfId="142" priority="256" operator="equal">
      <formula>0</formula>
    </cfRule>
  </conditionalFormatting>
  <conditionalFormatting sqref="F397:F400">
    <cfRule type="cellIs" dxfId="141" priority="224" operator="equal">
      <formula>0</formula>
    </cfRule>
  </conditionalFormatting>
  <conditionalFormatting sqref="F447 F464">
    <cfRule type="cellIs" dxfId="140" priority="223" operator="equal">
      <formula>0</formula>
    </cfRule>
  </conditionalFormatting>
  <conditionalFormatting sqref="F448:F463">
    <cfRule type="cellIs" dxfId="139" priority="222" operator="equal">
      <formula>0</formula>
    </cfRule>
  </conditionalFormatting>
  <conditionalFormatting sqref="F577">
    <cfRule type="cellIs" dxfId="138" priority="221" operator="equal">
      <formula>0</formula>
    </cfRule>
  </conditionalFormatting>
  <conditionalFormatting sqref="F19:F20">
    <cfRule type="cellIs" dxfId="137" priority="214" operator="equal">
      <formula>0</formula>
    </cfRule>
  </conditionalFormatting>
  <conditionalFormatting sqref="F21:F23">
    <cfRule type="cellIs" dxfId="136" priority="213" operator="equal">
      <formula>0</formula>
    </cfRule>
  </conditionalFormatting>
  <conditionalFormatting sqref="F27:F28">
    <cfRule type="cellIs" dxfId="135" priority="212" operator="equal">
      <formula>0</formula>
    </cfRule>
  </conditionalFormatting>
  <conditionalFormatting sqref="F25">
    <cfRule type="cellIs" dxfId="134" priority="211" operator="equal">
      <formula>0</formula>
    </cfRule>
  </conditionalFormatting>
  <conditionalFormatting sqref="F33">
    <cfRule type="cellIs" dxfId="133" priority="210" operator="equal">
      <formula>0</formula>
    </cfRule>
  </conditionalFormatting>
  <conditionalFormatting sqref="F81 F84:F85 F90">
    <cfRule type="cellIs" dxfId="132" priority="209" operator="equal">
      <formula>0</formula>
    </cfRule>
  </conditionalFormatting>
  <conditionalFormatting sqref="F166">
    <cfRule type="cellIs" dxfId="131" priority="207" operator="equal">
      <formula>0</formula>
    </cfRule>
  </conditionalFormatting>
  <conditionalFormatting sqref="F617:F620">
    <cfRule type="cellIs" dxfId="130" priority="205" operator="equal">
      <formula>0</formula>
    </cfRule>
  </conditionalFormatting>
  <conditionalFormatting sqref="F76">
    <cfRule type="cellIs" dxfId="129" priority="204" operator="equal">
      <formula>0</formula>
    </cfRule>
  </conditionalFormatting>
  <conditionalFormatting sqref="F91">
    <cfRule type="cellIs" dxfId="128" priority="199" operator="equal">
      <formula>0</formula>
    </cfRule>
  </conditionalFormatting>
  <conditionalFormatting sqref="F62">
    <cfRule type="cellIs" dxfId="127" priority="195" operator="equal">
      <formula>0</formula>
    </cfRule>
  </conditionalFormatting>
  <conditionalFormatting sqref="F92">
    <cfRule type="cellIs" dxfId="126" priority="198" operator="equal">
      <formula>0</formula>
    </cfRule>
  </conditionalFormatting>
  <conditionalFormatting sqref="F67">
    <cfRule type="cellIs" dxfId="125" priority="197" operator="equal">
      <formula>0</formula>
    </cfRule>
  </conditionalFormatting>
  <conditionalFormatting sqref="F45">
    <cfRule type="cellIs" dxfId="124" priority="196" operator="equal">
      <formula>0</formula>
    </cfRule>
  </conditionalFormatting>
  <conditionalFormatting sqref="F403">
    <cfRule type="cellIs" dxfId="123" priority="174" operator="equal">
      <formula>0</formula>
    </cfRule>
  </conditionalFormatting>
  <conditionalFormatting sqref="F372 F375:F382">
    <cfRule type="cellIs" dxfId="122" priority="168" operator="equal">
      <formula>0</formula>
    </cfRule>
  </conditionalFormatting>
  <conditionalFormatting sqref="F600">
    <cfRule type="cellIs" dxfId="121" priority="156" operator="equal">
      <formula>0</formula>
    </cfRule>
  </conditionalFormatting>
  <conditionalFormatting sqref="F504">
    <cfRule type="cellIs" dxfId="120" priority="171" operator="equal">
      <formula>0</formula>
    </cfRule>
  </conditionalFormatting>
  <conditionalFormatting sqref="F505:F510">
    <cfRule type="cellIs" dxfId="119" priority="170" operator="equal">
      <formula>0</formula>
    </cfRule>
  </conditionalFormatting>
  <conditionalFormatting sqref="F390:F407">
    <cfRule type="cellIs" dxfId="118" priority="169" operator="equal">
      <formula>0</formula>
    </cfRule>
  </conditionalFormatting>
  <conditionalFormatting sqref="F526">
    <cfRule type="cellIs" dxfId="117" priority="148" operator="equal">
      <formula>0</formula>
    </cfRule>
  </conditionalFormatting>
  <conditionalFormatting sqref="F442">
    <cfRule type="cellIs" dxfId="116" priority="166" operator="equal">
      <formula>0</formula>
    </cfRule>
  </conditionalFormatting>
  <conditionalFormatting sqref="F444:F446">
    <cfRule type="cellIs" dxfId="115" priority="165" operator="equal">
      <formula>0</formula>
    </cfRule>
  </conditionalFormatting>
  <conditionalFormatting sqref="F443">
    <cfRule type="cellIs" dxfId="114" priority="164" operator="equal">
      <formula>0</formula>
    </cfRule>
  </conditionalFormatting>
  <conditionalFormatting sqref="F594 F598:F599">
    <cfRule type="cellIs" dxfId="113" priority="162" operator="equal">
      <formula>0</formula>
    </cfRule>
  </conditionalFormatting>
  <conditionalFormatting sqref="F408">
    <cfRule type="cellIs" dxfId="112" priority="161" operator="equal">
      <formula>0</formula>
    </cfRule>
  </conditionalFormatting>
  <conditionalFormatting sqref="F412:F414 F416">
    <cfRule type="cellIs" dxfId="111" priority="160" operator="equal">
      <formula>0</formula>
    </cfRule>
  </conditionalFormatting>
  <conditionalFormatting sqref="F423:F433">
    <cfRule type="cellIs" dxfId="110" priority="159" operator="equal">
      <formula>0</formula>
    </cfRule>
  </conditionalFormatting>
  <conditionalFormatting sqref="F595:F597">
    <cfRule type="cellIs" dxfId="109" priority="158" operator="equal">
      <formula>0</formula>
    </cfRule>
  </conditionalFormatting>
  <conditionalFormatting sqref="F601">
    <cfRule type="cellIs" dxfId="108" priority="157" operator="equal">
      <formula>0</formula>
    </cfRule>
  </conditionalFormatting>
  <conditionalFormatting sqref="F527:F530">
    <cfRule type="cellIs" dxfId="107" priority="147" operator="equal">
      <formula>0</formula>
    </cfRule>
  </conditionalFormatting>
  <conditionalFormatting sqref="F583">
    <cfRule type="cellIs" dxfId="106" priority="152" operator="equal">
      <formula>0</formula>
    </cfRule>
  </conditionalFormatting>
  <conditionalFormatting sqref="F534">
    <cfRule type="cellIs" dxfId="105" priority="146" operator="equal">
      <formula>0</formula>
    </cfRule>
  </conditionalFormatting>
  <conditionalFormatting sqref="F523">
    <cfRule type="cellIs" dxfId="104" priority="150" operator="equal">
      <formula>0</formula>
    </cfRule>
  </conditionalFormatting>
  <conditionalFormatting sqref="F524">
    <cfRule type="cellIs" dxfId="103" priority="149" operator="equal">
      <formula>0</formula>
    </cfRule>
  </conditionalFormatting>
  <conditionalFormatting sqref="F584">
    <cfRule type="cellIs" dxfId="102" priority="144" operator="equal">
      <formula>0</formula>
    </cfRule>
  </conditionalFormatting>
  <conditionalFormatting sqref="F283">
    <cfRule type="cellIs" dxfId="101" priority="143" operator="equal">
      <formula>0</formula>
    </cfRule>
  </conditionalFormatting>
  <conditionalFormatting sqref="F578">
    <cfRule type="cellIs" dxfId="100" priority="142" operator="equal">
      <formula>0</formula>
    </cfRule>
  </conditionalFormatting>
  <conditionalFormatting sqref="F585">
    <cfRule type="cellIs" dxfId="99" priority="141" operator="equal">
      <formula>0</formula>
    </cfRule>
  </conditionalFormatting>
  <conditionalFormatting sqref="F544">
    <cfRule type="cellIs" dxfId="98" priority="120" operator="equal">
      <formula>0</formula>
    </cfRule>
  </conditionalFormatting>
  <conditionalFormatting sqref="F547">
    <cfRule type="cellIs" dxfId="97" priority="119" operator="equal">
      <formula>0</formula>
    </cfRule>
  </conditionalFormatting>
  <conditionalFormatting sqref="F545">
    <cfRule type="cellIs" dxfId="96" priority="117" operator="equal">
      <formula>0</formula>
    </cfRule>
  </conditionalFormatting>
  <conditionalFormatting sqref="F541">
    <cfRule type="cellIs" dxfId="95" priority="116" operator="equal">
      <formula>0</formula>
    </cfRule>
  </conditionalFormatting>
  <conditionalFormatting sqref="F466:F471">
    <cfRule type="cellIs" dxfId="94" priority="114" operator="equal">
      <formula>0</formula>
    </cfRule>
  </conditionalFormatting>
  <conditionalFormatting sqref="F490:F491">
    <cfRule type="cellIs" dxfId="93" priority="112" operator="equal">
      <formula>0</formula>
    </cfRule>
  </conditionalFormatting>
  <conditionalFormatting sqref="F492:F503">
    <cfRule type="cellIs" dxfId="92" priority="111" operator="equal">
      <formula>0</formula>
    </cfRule>
  </conditionalFormatting>
  <conditionalFormatting sqref="F590:F592">
    <cfRule type="cellIs" dxfId="91" priority="108" operator="equal">
      <formula>0</formula>
    </cfRule>
  </conditionalFormatting>
  <conditionalFormatting sqref="F587:F589">
    <cfRule type="cellIs" dxfId="90" priority="107" operator="equal">
      <formula>0</formula>
    </cfRule>
  </conditionalFormatting>
  <conditionalFormatting sqref="F511:F514">
    <cfRule type="cellIs" dxfId="89" priority="106" operator="equal">
      <formula>0</formula>
    </cfRule>
  </conditionalFormatting>
  <conditionalFormatting sqref="F383 F385:F389">
    <cfRule type="cellIs" dxfId="88" priority="103" operator="equal">
      <formula>0</formula>
    </cfRule>
  </conditionalFormatting>
  <conditionalFormatting sqref="F432">
    <cfRule type="cellIs" dxfId="87" priority="102" operator="equal">
      <formula>0</formula>
    </cfRule>
  </conditionalFormatting>
  <conditionalFormatting sqref="F433">
    <cfRule type="cellIs" dxfId="86" priority="101" operator="equal">
      <formula>0</formula>
    </cfRule>
  </conditionalFormatting>
  <conditionalFormatting sqref="F431">
    <cfRule type="cellIs" dxfId="85" priority="100" operator="equal">
      <formula>0</formula>
    </cfRule>
  </conditionalFormatting>
  <conditionalFormatting sqref="F95">
    <cfRule type="cellIs" dxfId="84" priority="98" operator="equal">
      <formula>0</formula>
    </cfRule>
  </conditionalFormatting>
  <conditionalFormatting sqref="F96">
    <cfRule type="cellIs" dxfId="83" priority="97" operator="equal">
      <formula>0</formula>
    </cfRule>
  </conditionalFormatting>
  <conditionalFormatting sqref="F98 F100">
    <cfRule type="cellIs" dxfId="82" priority="96" operator="equal">
      <formula>0</formula>
    </cfRule>
  </conditionalFormatting>
  <conditionalFormatting sqref="F96">
    <cfRule type="cellIs" dxfId="81" priority="95" operator="equal">
      <formula>0</formula>
    </cfRule>
  </conditionalFormatting>
  <conditionalFormatting sqref="F97">
    <cfRule type="cellIs" dxfId="80" priority="94" operator="equal">
      <formula>0</formula>
    </cfRule>
  </conditionalFormatting>
  <conditionalFormatting sqref="F100">
    <cfRule type="cellIs" dxfId="79" priority="93" operator="equal">
      <formula>0</formula>
    </cfRule>
  </conditionalFormatting>
  <conditionalFormatting sqref="F102:F105">
    <cfRule type="cellIs" dxfId="78" priority="92" operator="equal">
      <formula>0</formula>
    </cfRule>
  </conditionalFormatting>
  <conditionalFormatting sqref="F103:F104">
    <cfRule type="cellIs" dxfId="77" priority="91" operator="equal">
      <formula>0</formula>
    </cfRule>
  </conditionalFormatting>
  <conditionalFormatting sqref="F101">
    <cfRule type="cellIs" dxfId="76" priority="90" operator="equal">
      <formula>0</formula>
    </cfRule>
  </conditionalFormatting>
  <conditionalFormatting sqref="F106">
    <cfRule type="cellIs" dxfId="75" priority="89" operator="equal">
      <formula>0</formula>
    </cfRule>
  </conditionalFormatting>
  <conditionalFormatting sqref="F105">
    <cfRule type="cellIs" dxfId="74" priority="88" operator="equal">
      <formula>0</formula>
    </cfRule>
  </conditionalFormatting>
  <conditionalFormatting sqref="F104">
    <cfRule type="cellIs" dxfId="73" priority="87" operator="equal">
      <formula>0</formula>
    </cfRule>
  </conditionalFormatting>
  <conditionalFormatting sqref="F99">
    <cfRule type="cellIs" dxfId="72" priority="86" operator="equal">
      <formula>0</formula>
    </cfRule>
  </conditionalFormatting>
  <conditionalFormatting sqref="F109">
    <cfRule type="cellIs" dxfId="71" priority="85" operator="equal">
      <formula>0</formula>
    </cfRule>
  </conditionalFormatting>
  <conditionalFormatting sqref="F112">
    <cfRule type="cellIs" dxfId="70" priority="84" operator="equal">
      <formula>0</formula>
    </cfRule>
  </conditionalFormatting>
  <conditionalFormatting sqref="F119">
    <cfRule type="cellIs" dxfId="69" priority="83" operator="equal">
      <formula>0</formula>
    </cfRule>
  </conditionalFormatting>
  <conditionalFormatting sqref="F120">
    <cfRule type="cellIs" dxfId="68" priority="82" operator="equal">
      <formula>0</formula>
    </cfRule>
  </conditionalFormatting>
  <conditionalFormatting sqref="F121">
    <cfRule type="cellIs" dxfId="67" priority="81" operator="equal">
      <formula>0</formula>
    </cfRule>
  </conditionalFormatting>
  <conditionalFormatting sqref="F122">
    <cfRule type="cellIs" dxfId="66" priority="80" operator="equal">
      <formula>0</formula>
    </cfRule>
  </conditionalFormatting>
  <conditionalFormatting sqref="F123">
    <cfRule type="cellIs" dxfId="65" priority="79" operator="equal">
      <formula>0</formula>
    </cfRule>
  </conditionalFormatting>
  <conditionalFormatting sqref="F124">
    <cfRule type="cellIs" dxfId="64" priority="78" operator="equal">
      <formula>0</formula>
    </cfRule>
  </conditionalFormatting>
  <conditionalFormatting sqref="F125">
    <cfRule type="cellIs" dxfId="63" priority="77" operator="equal">
      <formula>0</formula>
    </cfRule>
  </conditionalFormatting>
  <conditionalFormatting sqref="F126">
    <cfRule type="cellIs" dxfId="62" priority="76" operator="equal">
      <formula>0</formula>
    </cfRule>
  </conditionalFormatting>
  <conditionalFormatting sqref="F127">
    <cfRule type="cellIs" dxfId="61" priority="75" operator="equal">
      <formula>0</formula>
    </cfRule>
  </conditionalFormatting>
  <conditionalFormatting sqref="F128">
    <cfRule type="cellIs" dxfId="60" priority="74" operator="equal">
      <formula>0</formula>
    </cfRule>
  </conditionalFormatting>
  <conditionalFormatting sqref="F130">
    <cfRule type="cellIs" dxfId="59" priority="73" operator="equal">
      <formula>0</formula>
    </cfRule>
  </conditionalFormatting>
  <conditionalFormatting sqref="F131:F132">
    <cfRule type="cellIs" dxfId="58" priority="72" operator="equal">
      <formula>0</formula>
    </cfRule>
  </conditionalFormatting>
  <conditionalFormatting sqref="F133">
    <cfRule type="cellIs" dxfId="57" priority="71" operator="equal">
      <formula>0</formula>
    </cfRule>
  </conditionalFormatting>
  <conditionalFormatting sqref="F134">
    <cfRule type="cellIs" dxfId="56" priority="70" operator="equal">
      <formula>0</formula>
    </cfRule>
  </conditionalFormatting>
  <conditionalFormatting sqref="F144">
    <cfRule type="cellIs" dxfId="55" priority="69" operator="equal">
      <formula>0</formula>
    </cfRule>
  </conditionalFormatting>
  <conditionalFormatting sqref="F145">
    <cfRule type="cellIs" dxfId="54" priority="68" operator="equal">
      <formula>0</formula>
    </cfRule>
  </conditionalFormatting>
  <conditionalFormatting sqref="F147">
    <cfRule type="cellIs" dxfId="53" priority="67" operator="equal">
      <formula>0</formula>
    </cfRule>
  </conditionalFormatting>
  <conditionalFormatting sqref="F148">
    <cfRule type="cellIs" dxfId="52" priority="66" operator="equal">
      <formula>0</formula>
    </cfRule>
  </conditionalFormatting>
  <conditionalFormatting sqref="F149">
    <cfRule type="cellIs" dxfId="51" priority="65" operator="equal">
      <formula>0</formula>
    </cfRule>
  </conditionalFormatting>
  <conditionalFormatting sqref="F150">
    <cfRule type="cellIs" dxfId="50" priority="64" operator="equal">
      <formula>0</formula>
    </cfRule>
  </conditionalFormatting>
  <conditionalFormatting sqref="F167:F168">
    <cfRule type="cellIs" dxfId="49" priority="63" operator="equal">
      <formula>0</formula>
    </cfRule>
  </conditionalFormatting>
  <conditionalFormatting sqref="F161">
    <cfRule type="cellIs" dxfId="48" priority="62" operator="equal">
      <formula>0</formula>
    </cfRule>
  </conditionalFormatting>
  <conditionalFormatting sqref="F162">
    <cfRule type="cellIs" dxfId="47" priority="61" operator="equal">
      <formula>0</formula>
    </cfRule>
  </conditionalFormatting>
  <conditionalFormatting sqref="F163">
    <cfRule type="cellIs" dxfId="46" priority="60" operator="equal">
      <formula>0</formula>
    </cfRule>
  </conditionalFormatting>
  <conditionalFormatting sqref="F164">
    <cfRule type="cellIs" dxfId="45" priority="59" operator="equal">
      <formula>0</formula>
    </cfRule>
  </conditionalFormatting>
  <conditionalFormatting sqref="F165">
    <cfRule type="cellIs" dxfId="44" priority="58" operator="equal">
      <formula>0</formula>
    </cfRule>
  </conditionalFormatting>
  <conditionalFormatting sqref="F172">
    <cfRule type="cellIs" dxfId="43" priority="57" operator="equal">
      <formula>0</formula>
    </cfRule>
  </conditionalFormatting>
  <conditionalFormatting sqref="F173">
    <cfRule type="cellIs" dxfId="42" priority="56" operator="equal">
      <formula>0</formula>
    </cfRule>
  </conditionalFormatting>
  <conditionalFormatting sqref="F174">
    <cfRule type="cellIs" dxfId="41" priority="55" operator="equal">
      <formula>0</formula>
    </cfRule>
  </conditionalFormatting>
  <conditionalFormatting sqref="F175">
    <cfRule type="cellIs" dxfId="40" priority="54" operator="equal">
      <formula>0</formula>
    </cfRule>
  </conditionalFormatting>
  <conditionalFormatting sqref="F177">
    <cfRule type="cellIs" dxfId="39" priority="53" operator="equal">
      <formula>0</formula>
    </cfRule>
  </conditionalFormatting>
  <conditionalFormatting sqref="F176">
    <cfRule type="cellIs" dxfId="38" priority="52" operator="equal">
      <formula>0</formula>
    </cfRule>
  </conditionalFormatting>
  <conditionalFormatting sqref="F179">
    <cfRule type="cellIs" dxfId="37" priority="51" operator="equal">
      <formula>0</formula>
    </cfRule>
  </conditionalFormatting>
  <conditionalFormatting sqref="F184">
    <cfRule type="cellIs" dxfId="36" priority="50" operator="equal">
      <formula>0</formula>
    </cfRule>
  </conditionalFormatting>
  <conditionalFormatting sqref="F183">
    <cfRule type="cellIs" dxfId="35" priority="49" operator="equal">
      <formula>0</formula>
    </cfRule>
  </conditionalFormatting>
  <conditionalFormatting sqref="F185">
    <cfRule type="cellIs" dxfId="34" priority="48" operator="equal">
      <formula>0</formula>
    </cfRule>
  </conditionalFormatting>
  <conditionalFormatting sqref="F186">
    <cfRule type="cellIs" dxfId="33" priority="47" operator="equal">
      <formula>0</formula>
    </cfRule>
  </conditionalFormatting>
  <conditionalFormatting sqref="F188">
    <cfRule type="cellIs" dxfId="32" priority="46" operator="equal">
      <formula>0</formula>
    </cfRule>
  </conditionalFormatting>
  <conditionalFormatting sqref="F189">
    <cfRule type="cellIs" dxfId="31" priority="45" operator="equal">
      <formula>0</formula>
    </cfRule>
  </conditionalFormatting>
  <conditionalFormatting sqref="F195">
    <cfRule type="cellIs" dxfId="30" priority="44" operator="equal">
      <formula>0</formula>
    </cfRule>
  </conditionalFormatting>
  <conditionalFormatting sqref="F473">
    <cfRule type="cellIs" dxfId="29" priority="43" operator="equal">
      <formula>0</formula>
    </cfRule>
  </conditionalFormatting>
  <conditionalFormatting sqref="F465">
    <cfRule type="cellIs" dxfId="28" priority="42" operator="equal">
      <formula>0</formula>
    </cfRule>
  </conditionalFormatting>
  <conditionalFormatting sqref="F525:F526">
    <cfRule type="cellIs" dxfId="27" priority="41" operator="equal">
      <formula>0</formula>
    </cfRule>
  </conditionalFormatting>
  <conditionalFormatting sqref="F515:F521">
    <cfRule type="cellIs" dxfId="26" priority="40" operator="equal">
      <formula>0</formula>
    </cfRule>
  </conditionalFormatting>
  <conditionalFormatting sqref="F374">
    <cfRule type="cellIs" dxfId="25" priority="37" operator="equal">
      <formula>0</formula>
    </cfRule>
  </conditionalFormatting>
  <conditionalFormatting sqref="F384">
    <cfRule type="cellIs" dxfId="24" priority="36" operator="equal">
      <formula>0</formula>
    </cfRule>
  </conditionalFormatting>
  <conditionalFormatting sqref="F373">
    <cfRule type="cellIs" dxfId="23" priority="35" operator="equal">
      <formula>0</formula>
    </cfRule>
  </conditionalFormatting>
  <conditionalFormatting sqref="F559:F561">
    <cfRule type="cellIs" dxfId="22" priority="33" operator="equal">
      <formula>0</formula>
    </cfRule>
  </conditionalFormatting>
  <conditionalFormatting sqref="F372:F389">
    <cfRule type="cellIs" dxfId="21" priority="31" operator="equal">
      <formula>0</formula>
    </cfRule>
  </conditionalFormatting>
  <conditionalFormatting sqref="F434">
    <cfRule type="cellIs" dxfId="20" priority="30" operator="equal">
      <formula>0</formula>
    </cfRule>
  </conditionalFormatting>
  <conditionalFormatting sqref="F522">
    <cfRule type="cellIs" dxfId="19" priority="29" operator="equal">
      <formula>0</formula>
    </cfRule>
  </conditionalFormatting>
  <conditionalFormatting sqref="F489">
    <cfRule type="cellIs" dxfId="18" priority="28" operator="equal">
      <formula>0</formula>
    </cfRule>
  </conditionalFormatting>
  <conditionalFormatting sqref="F248">
    <cfRule type="cellIs" dxfId="17" priority="27" operator="equal">
      <formula>0</formula>
    </cfRule>
  </conditionalFormatting>
  <conditionalFormatting sqref="F579">
    <cfRule type="cellIs" dxfId="16" priority="23" operator="equal">
      <formula>0</formula>
    </cfRule>
  </conditionalFormatting>
  <conditionalFormatting sqref="F152">
    <cfRule type="cellIs" dxfId="15" priority="22" operator="equal">
      <formula>0</formula>
    </cfRule>
  </conditionalFormatting>
  <conditionalFormatting sqref="F82">
    <cfRule type="cellIs" dxfId="14" priority="21" operator="equal">
      <formula>0</formula>
    </cfRule>
  </conditionalFormatting>
  <conditionalFormatting sqref="F83">
    <cfRule type="cellIs" dxfId="13" priority="20" operator="equal">
      <formula>0</formula>
    </cfRule>
  </conditionalFormatting>
  <conditionalFormatting sqref="F409">
    <cfRule type="cellIs" dxfId="12" priority="19" operator="equal">
      <formula>0</formula>
    </cfRule>
  </conditionalFormatting>
  <conditionalFormatting sqref="F409">
    <cfRule type="cellIs" dxfId="11" priority="18" operator="equal">
      <formula>0</formula>
    </cfRule>
  </conditionalFormatting>
  <conditionalFormatting sqref="F410">
    <cfRule type="cellIs" dxfId="10" priority="17" operator="equal">
      <formula>0</formula>
    </cfRule>
  </conditionalFormatting>
  <conditionalFormatting sqref="F410">
    <cfRule type="cellIs" dxfId="9" priority="16" operator="equal">
      <formula>0</formula>
    </cfRule>
  </conditionalFormatting>
  <conditionalFormatting sqref="F417:F421">
    <cfRule type="cellIs" dxfId="8" priority="8" operator="equal">
      <formula>0</formula>
    </cfRule>
  </conditionalFormatting>
  <conditionalFormatting sqref="F417:F421">
    <cfRule type="cellIs" dxfId="7" priority="7" operator="equal">
      <formula>0</formula>
    </cfRule>
  </conditionalFormatting>
  <conditionalFormatting sqref="F415">
    <cfRule type="cellIs" dxfId="6" priority="6" operator="equal">
      <formula>0</formula>
    </cfRule>
  </conditionalFormatting>
  <conditionalFormatting sqref="F415">
    <cfRule type="cellIs" dxfId="5" priority="5" operator="equal">
      <formula>0</formula>
    </cfRule>
  </conditionalFormatting>
  <conditionalFormatting sqref="F411">
    <cfRule type="cellIs" dxfId="4" priority="4" operator="equal">
      <formula>0</formula>
    </cfRule>
  </conditionalFormatting>
  <conditionalFormatting sqref="F411">
    <cfRule type="cellIs" dxfId="3" priority="3" operator="equal">
      <formula>0</formula>
    </cfRule>
  </conditionalFormatting>
  <conditionalFormatting sqref="F87:F89">
    <cfRule type="cellIs" dxfId="2" priority="2" operator="equal">
      <formula>0</formula>
    </cfRule>
  </conditionalFormatting>
  <conditionalFormatting sqref="F86">
    <cfRule type="cellIs" dxfId="1" priority="1" operator="equal">
      <formula>0</formula>
    </cfRule>
  </conditionalFormatting>
  <dataValidations count="1">
    <dataValidation type="list" allowBlank="1" showInputMessage="1" showErrorMessage="1" sqref="P9:Q620" xr:uid="{69999167-5989-4F4A-8350-48D63D4A9114}">
      <formula1>"E, Other"</formula1>
    </dataValidation>
  </dataValidations>
  <printOptions horizontalCentered="1"/>
  <pageMargins left="0.25" right="0.25" top="0.46" bottom="0.31" header="0.16" footer="0.16"/>
  <pageSetup scale="57" fitToHeight="0" orientation="landscape"/>
  <headerFooter alignWithMargins="0">
    <oddFooter>&amp;C&amp;P of &amp;N</oddFooter>
  </headerFooter>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47D1523-53B5-4832-84F7-5386345EFE22}">
          <x14:formula1>
            <xm:f>Parameters!$D$311:$D$351</xm:f>
          </x14:formula1>
          <xm:sqref>K544:K545 K525:K530 I135:I143 K187 I187 K465:K471 K249 K541 I190:I194 I107:I108 K107:K108 K110:K111 I110:I111 I113:I118 K113:K118 I129 K129 K135:K143 K146 I146 I196:I279 I166:I171 K166:K171 I178 K178 K180:K182 I180:I182 K190:K194 K431:K434 I424:I446 I524:I531 K547:K569 K533 K490:K503 K196:K205 K213:K214 K319:K341 K345:K361 K473:K488 I505:I522 K511:K522 I151:I160 I448:I503 K251:K271 K11:K94 K282:K317 K573:K620 K151:K160 I281:I422 K368:K422 I11:I94 I533:I620</xm:sqref>
        </x14:dataValidation>
        <x14:dataValidation type="list" allowBlank="1" showInputMessage="1" showErrorMessage="1" xr:uid="{6F63ECB0-C380-4BC2-B13B-10950B451792}">
          <x14:formula1>
            <xm:f>'Data Input sheet'!$B$118:$B$179</xm:f>
          </x14:formula1>
          <xm:sqref>R9:R622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DA284-D623-4D77-8F87-108EE37A2811}">
  <sheetPr codeName="Sheet24">
    <tabColor rgb="FFFFC000"/>
    <pageSetUpPr autoPageBreaks="0" fitToPage="1"/>
  </sheetPr>
  <dimension ref="A1:AU780"/>
  <sheetViews>
    <sheetView showZeros="0" topLeftCell="A6" zoomScale="115" zoomScaleNormal="115" workbookViewId="0">
      <pane xSplit="9" ySplit="3" topLeftCell="J36" activePane="bottomRight" state="frozen"/>
      <selection activeCell="A6" sqref="A6"/>
      <selection pane="topRight" activeCell="J6" sqref="J6"/>
      <selection pane="bottomLeft" activeCell="A9" sqref="A9"/>
      <selection pane="bottomRight" activeCell="G41" sqref="G41"/>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66.42578125" customWidth="1"/>
    <col min="8" max="8" width="10.5703125" customWidth="1"/>
    <col min="9" max="9" width="7.5703125" customWidth="1"/>
    <col min="10" max="11" width="8.42578125" customWidth="1"/>
    <col min="12" max="12" width="6.5703125" customWidth="1" outlineLevel="1"/>
    <col min="13" max="16" width="8.42578125" customWidth="1" outlineLevel="1"/>
    <col min="17" max="17" width="9.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3.42578125" customWidth="1" outlineLevel="1"/>
    <col min="24" max="24" width="13" customWidth="1" outlineLevel="1"/>
    <col min="25" max="25" width="13.42578125" customWidth="1" outlineLevel="1"/>
    <col min="26" max="26" width="13.5703125"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8.5703125" customWidth="1"/>
    <col min="47" max="47" width="11.42578125" customWidth="1"/>
  </cols>
  <sheetData>
    <row r="1" spans="1:47" ht="15" x14ac:dyDescent="0.25">
      <c r="A1" s="170"/>
      <c r="B1" s="719"/>
      <c r="C1" s="170"/>
      <c r="D1" s="170"/>
      <c r="E1" s="170"/>
      <c r="F1" s="170"/>
      <c r="G1" s="2295" t="str">
        <f>+Cover!C5</f>
        <v>Project Title: Battery Storage - Hyde Park</v>
      </c>
      <c r="H1" s="170"/>
      <c r="I1" s="170"/>
      <c r="J1" s="170"/>
      <c r="K1" s="170"/>
      <c r="L1" s="170"/>
      <c r="M1" s="720"/>
      <c r="N1" s="720"/>
      <c r="O1" s="720"/>
      <c r="P1" s="722"/>
      <c r="Q1" s="722"/>
      <c r="R1" s="720"/>
      <c r="S1" s="720"/>
      <c r="T1" s="723"/>
      <c r="U1" s="724"/>
      <c r="V1" s="725"/>
      <c r="W1" s="725"/>
      <c r="X1" s="723"/>
      <c r="Y1" s="723"/>
      <c r="Z1" s="723"/>
      <c r="AA1" s="726"/>
      <c r="AB1" s="726"/>
      <c r="AC1" s="170"/>
      <c r="AD1" s="586"/>
      <c r="AE1" s="586"/>
      <c r="AF1" s="727"/>
      <c r="AG1" s="727"/>
      <c r="AH1" s="727"/>
      <c r="AI1" s="170"/>
      <c r="AJ1" s="170"/>
      <c r="AK1" s="170"/>
      <c r="AL1" s="170"/>
      <c r="AM1" s="170"/>
      <c r="AN1" s="170"/>
      <c r="AO1" s="170"/>
      <c r="AP1" s="170"/>
      <c r="AQ1" s="170"/>
      <c r="AR1" s="170"/>
      <c r="AS1" s="170"/>
    </row>
    <row r="2" spans="1:47" ht="15" x14ac:dyDescent="0.25">
      <c r="A2" s="170"/>
      <c r="B2" s="719"/>
      <c r="C2" s="170"/>
      <c r="D2" s="170"/>
      <c r="E2" s="170"/>
      <c r="F2" s="170"/>
      <c r="G2" s="2295" t="str">
        <f>+Cover!C8</f>
        <v>Project Number: 21334</v>
      </c>
      <c r="H2" s="170"/>
      <c r="I2" s="170"/>
      <c r="J2" s="170"/>
      <c r="K2" s="170"/>
      <c r="L2" s="170"/>
      <c r="M2" s="720"/>
      <c r="N2" s="720"/>
      <c r="O2" s="720"/>
      <c r="P2" s="722"/>
      <c r="Q2" s="722"/>
      <c r="R2" s="720"/>
      <c r="S2" s="720"/>
      <c r="T2" s="723"/>
      <c r="U2" s="720"/>
      <c r="V2" s="728"/>
      <c r="W2" s="728"/>
      <c r="X2" s="729"/>
      <c r="Y2" s="729"/>
      <c r="Z2" s="723"/>
      <c r="AA2" s="726"/>
      <c r="AB2" s="726"/>
      <c r="AC2" s="170"/>
      <c r="AD2" s="586"/>
      <c r="AE2" s="586"/>
      <c r="AF2" s="170"/>
      <c r="AG2" s="170"/>
      <c r="AH2" s="170"/>
      <c r="AI2" s="170"/>
      <c r="AJ2" s="170"/>
      <c r="AK2" s="170"/>
      <c r="AL2" s="170"/>
      <c r="AM2" s="170"/>
      <c r="AN2" s="170"/>
      <c r="AO2" s="170"/>
      <c r="AP2" s="170"/>
      <c r="AQ2" s="170"/>
      <c r="AR2" s="170"/>
      <c r="AS2" s="735" t="str" cm="1">
        <f t="array" ref="AS2:AT2">+Cover!R8:S8</f>
        <v>Estimate done by: PAG</v>
      </c>
      <c r="AT2">
        <v>0</v>
      </c>
    </row>
    <row r="3" spans="1:47" ht="15" x14ac:dyDescent="0.25">
      <c r="A3" s="170"/>
      <c r="B3" s="719"/>
      <c r="C3" s="170"/>
      <c r="D3" s="170"/>
      <c r="E3" s="170"/>
      <c r="F3" s="170"/>
      <c r="G3" s="2295" t="str">
        <f>+Cover!C9</f>
        <v>WO &amp; Task #: 80089926</v>
      </c>
      <c r="H3" s="170"/>
      <c r="I3" s="170"/>
      <c r="J3" s="170"/>
      <c r="K3" s="170"/>
      <c r="L3" s="170"/>
      <c r="M3" s="730"/>
      <c r="N3" s="730"/>
      <c r="O3" s="730"/>
      <c r="P3" s="731"/>
      <c r="Q3" s="731"/>
      <c r="R3" s="720"/>
      <c r="S3" s="720"/>
      <c r="T3" s="723"/>
      <c r="U3" s="720"/>
      <c r="V3" s="732"/>
      <c r="W3" s="723"/>
      <c r="X3" s="733" t="s">
        <v>552</v>
      </c>
      <c r="Y3" s="734">
        <f>'Data Input sheet'!D185</f>
        <v>2.5375000000000001</v>
      </c>
      <c r="Z3" s="723"/>
      <c r="AA3" s="726"/>
      <c r="AB3" s="726"/>
      <c r="AC3" s="170"/>
      <c r="AD3" s="586"/>
      <c r="AE3" s="586"/>
      <c r="AF3" s="170"/>
      <c r="AG3" s="170"/>
      <c r="AH3" s="170"/>
      <c r="AI3" s="170"/>
      <c r="AJ3" s="170"/>
      <c r="AK3" s="170"/>
      <c r="AL3" s="170"/>
      <c r="AM3" s="170"/>
      <c r="AN3" s="170"/>
      <c r="AO3" s="170"/>
      <c r="AP3" s="170"/>
      <c r="AQ3" s="170"/>
      <c r="AR3" s="170"/>
      <c r="AS3" s="735" t="str">
        <f>+Cover!R6</f>
        <v>Date of Estimate:12/08/2023</v>
      </c>
    </row>
    <row r="4" spans="1:47" ht="15.75" customHeight="1" thickBot="1" x14ac:dyDescent="0.3">
      <c r="A4" s="170"/>
      <c r="B4" s="719"/>
      <c r="C4" s="170"/>
      <c r="D4" s="170"/>
      <c r="E4" s="170"/>
      <c r="F4" s="170"/>
      <c r="G4" s="2295" t="str">
        <f>+Cover!R5</f>
        <v>Estimate #: E-23-373</v>
      </c>
      <c r="H4" s="170"/>
      <c r="I4" s="170"/>
      <c r="J4" s="170"/>
      <c r="K4" s="170"/>
      <c r="L4" s="170"/>
      <c r="M4" s="730"/>
      <c r="N4" s="730"/>
      <c r="O4" s="730"/>
      <c r="P4" s="731"/>
      <c r="Q4" s="731"/>
      <c r="R4" s="720"/>
      <c r="S4" s="720"/>
      <c r="T4" s="723"/>
      <c r="U4" s="720"/>
      <c r="V4" s="728"/>
      <c r="W4" s="728"/>
      <c r="X4" s="723"/>
      <c r="Y4" s="723"/>
      <c r="Z4" s="729"/>
      <c r="AA4" s="726"/>
      <c r="AB4" s="726"/>
      <c r="AC4" s="170"/>
      <c r="AD4" s="586"/>
      <c r="AE4" s="586"/>
      <c r="AF4" s="170"/>
      <c r="AG4" s="170"/>
      <c r="AH4" s="170"/>
      <c r="AI4" s="170"/>
      <c r="AJ4" s="170"/>
      <c r="AK4" s="170"/>
      <c r="AL4" s="170"/>
      <c r="AM4" s="170"/>
      <c r="AN4" s="170"/>
      <c r="AO4" s="170"/>
      <c r="AP4" s="170"/>
      <c r="AQ4" s="170"/>
      <c r="AR4" s="170"/>
      <c r="AS4" s="735" t="str">
        <f>+Cover!C10</f>
        <v>Estimate revision #: 00</v>
      </c>
    </row>
    <row r="5" spans="1:47" ht="16.5" thickTop="1" thickBot="1" x14ac:dyDescent="0.3">
      <c r="A5" s="170"/>
      <c r="B5" s="719"/>
      <c r="C5" s="170"/>
      <c r="D5" s="736" t="s">
        <v>553</v>
      </c>
      <c r="E5" s="548"/>
      <c r="F5" s="548"/>
      <c r="G5" s="737"/>
      <c r="H5" s="548"/>
      <c r="I5" s="548"/>
      <c r="J5" s="548"/>
      <c r="K5" s="548"/>
      <c r="L5" s="548"/>
      <c r="M5" s="738"/>
      <c r="N5" s="738"/>
      <c r="O5" s="738"/>
      <c r="P5" s="739"/>
      <c r="Q5" s="739"/>
      <c r="R5" s="740"/>
      <c r="S5" s="740"/>
      <c r="T5" s="741"/>
      <c r="U5" s="742"/>
      <c r="V5" s="743"/>
      <c r="W5" s="743"/>
      <c r="X5" s="741"/>
      <c r="Y5" s="741"/>
      <c r="Z5" s="744"/>
      <c r="AA5" s="745"/>
      <c r="AB5" s="745"/>
      <c r="AC5" s="548"/>
      <c r="AD5" s="746"/>
      <c r="AE5" s="746"/>
      <c r="AF5" s="548"/>
      <c r="AG5" s="548"/>
      <c r="AH5" s="548"/>
      <c r="AI5" s="548"/>
      <c r="AJ5" s="548"/>
      <c r="AK5" s="548"/>
      <c r="AL5" s="548"/>
      <c r="AM5" s="548"/>
      <c r="AN5" s="548"/>
      <c r="AO5" s="548"/>
      <c r="AP5" s="548"/>
      <c r="AQ5" s="548"/>
      <c r="AR5" s="548"/>
      <c r="AS5" s="548"/>
    </row>
    <row r="6" spans="1:47" ht="16.5" thickBot="1" x14ac:dyDescent="0.3">
      <c r="A6" s="170"/>
      <c r="B6" s="719"/>
      <c r="C6" s="170"/>
      <c r="D6" s="2014"/>
      <c r="E6" s="2014"/>
      <c r="F6" s="2014"/>
      <c r="G6" s="2014" t="s">
        <v>554</v>
      </c>
      <c r="H6" s="2015"/>
      <c r="I6" s="2015"/>
      <c r="J6" s="2015"/>
      <c r="K6" s="2015"/>
      <c r="L6" s="2015"/>
      <c r="M6" s="2015"/>
      <c r="N6" s="2015"/>
      <c r="O6" s="2015"/>
      <c r="P6" s="2016"/>
      <c r="Q6" s="2016"/>
      <c r="R6" s="2015"/>
      <c r="S6" s="2015"/>
      <c r="T6" s="2015"/>
      <c r="U6" s="2015"/>
      <c r="V6" s="2015"/>
      <c r="W6" s="2015"/>
      <c r="X6" s="2015"/>
      <c r="Y6" s="2017"/>
      <c r="Z6" s="2017"/>
      <c r="AA6" s="2018"/>
      <c r="AB6" s="2019"/>
      <c r="AC6" s="170"/>
      <c r="AD6" s="755" t="s">
        <v>555</v>
      </c>
      <c r="AE6" s="756"/>
      <c r="AF6" s="757"/>
      <c r="AG6" s="757"/>
      <c r="AH6" s="757"/>
      <c r="AI6" s="757"/>
      <c r="AJ6" s="757"/>
      <c r="AK6" s="757"/>
      <c r="AL6" s="757"/>
      <c r="AM6" s="757"/>
      <c r="AN6" s="757"/>
      <c r="AO6" s="757"/>
      <c r="AP6" s="757"/>
      <c r="AQ6" s="757"/>
      <c r="AR6" s="757"/>
      <c r="AS6" s="758"/>
    </row>
    <row r="7" spans="1:47" ht="2.85" customHeight="1" thickBot="1" x14ac:dyDescent="0.3">
      <c r="A7" s="170"/>
      <c r="B7" s="719"/>
      <c r="C7" s="170"/>
      <c r="D7" s="2020"/>
      <c r="E7" s="378"/>
      <c r="F7" s="378"/>
      <c r="G7" s="2021"/>
      <c r="H7" s="378"/>
      <c r="I7" s="378"/>
      <c r="J7" s="378"/>
      <c r="K7" s="378"/>
      <c r="L7" s="378"/>
      <c r="M7" s="2022"/>
      <c r="N7" s="2022"/>
      <c r="O7" s="2022"/>
      <c r="P7" s="2023"/>
      <c r="Q7" s="2023"/>
      <c r="R7" s="2022"/>
      <c r="S7" s="2022"/>
      <c r="T7" s="2024"/>
      <c r="U7" s="2025"/>
      <c r="V7" s="2026"/>
      <c r="W7" s="2026"/>
      <c r="X7" s="2024"/>
      <c r="Y7" s="2024"/>
      <c r="Z7" s="2024"/>
      <c r="AA7" s="2027"/>
      <c r="AB7" s="2027"/>
      <c r="AC7" s="170"/>
      <c r="AD7" s="584"/>
      <c r="AE7" s="584"/>
      <c r="AF7" s="376"/>
      <c r="AG7" s="376"/>
      <c r="AH7" s="376"/>
      <c r="AI7" s="376"/>
      <c r="AJ7" s="376"/>
      <c r="AK7" s="376"/>
      <c r="AL7" s="762"/>
      <c r="AM7" s="762"/>
      <c r="AN7" s="762"/>
      <c r="AO7" s="762"/>
      <c r="AP7" s="762"/>
      <c r="AQ7" s="762"/>
      <c r="AR7" s="762"/>
      <c r="AS7" s="762"/>
    </row>
    <row r="8" spans="1:47" ht="63" customHeight="1" thickBot="1" x14ac:dyDescent="0.3">
      <c r="A8" s="170"/>
      <c r="B8" s="719"/>
      <c r="C8" s="170"/>
      <c r="D8" s="2028" t="s">
        <v>630</v>
      </c>
      <c r="E8" s="2028" t="s">
        <v>631</v>
      </c>
      <c r="F8" s="2028" t="s">
        <v>632</v>
      </c>
      <c r="G8" s="2014" t="s">
        <v>206</v>
      </c>
      <c r="H8" s="2029" t="s">
        <v>557</v>
      </c>
      <c r="I8" s="2029" t="s">
        <v>556</v>
      </c>
      <c r="J8" s="2014" t="s">
        <v>560</v>
      </c>
      <c r="K8" s="2014" t="s">
        <v>559</v>
      </c>
      <c r="L8" s="2030" t="s">
        <v>561</v>
      </c>
      <c r="M8" s="2030" t="s">
        <v>562</v>
      </c>
      <c r="N8" s="2030" t="s">
        <v>563</v>
      </c>
      <c r="O8" s="2030" t="s">
        <v>564</v>
      </c>
      <c r="P8" s="2030" t="s">
        <v>565</v>
      </c>
      <c r="Q8" s="2030" t="s">
        <v>566</v>
      </c>
      <c r="R8" s="2030" t="s">
        <v>567</v>
      </c>
      <c r="S8" s="2030" t="s">
        <v>568</v>
      </c>
      <c r="T8" s="2030" t="s">
        <v>569</v>
      </c>
      <c r="U8" s="2030" t="s">
        <v>1740</v>
      </c>
      <c r="V8" s="2030" t="s">
        <v>571</v>
      </c>
      <c r="W8" s="2030" t="s">
        <v>572</v>
      </c>
      <c r="X8" s="2030" t="s">
        <v>573</v>
      </c>
      <c r="Y8" s="2030" t="s">
        <v>574</v>
      </c>
      <c r="Z8" s="2030" t="s">
        <v>575</v>
      </c>
      <c r="AA8" s="2030" t="s">
        <v>1</v>
      </c>
      <c r="AB8" s="2031" t="s">
        <v>576</v>
      </c>
      <c r="AC8" s="765"/>
      <c r="AD8" s="766" t="s">
        <v>577</v>
      </c>
      <c r="AE8" s="766" t="s">
        <v>578</v>
      </c>
      <c r="AF8" s="766" t="s">
        <v>558</v>
      </c>
      <c r="AG8" s="766" t="s">
        <v>579</v>
      </c>
      <c r="AH8" s="766" t="s">
        <v>580</v>
      </c>
      <c r="AI8" s="766" t="s">
        <v>581</v>
      </c>
      <c r="AJ8" s="766" t="s">
        <v>582</v>
      </c>
      <c r="AK8" s="766" t="s">
        <v>583</v>
      </c>
      <c r="AL8" s="766" t="s">
        <v>584</v>
      </c>
      <c r="AM8" s="766" t="s">
        <v>585</v>
      </c>
      <c r="AN8" s="766" t="s">
        <v>586</v>
      </c>
      <c r="AO8" s="766" t="s">
        <v>587</v>
      </c>
      <c r="AP8" s="766" t="s">
        <v>588</v>
      </c>
      <c r="AQ8" s="766" t="s">
        <v>589</v>
      </c>
      <c r="AR8" s="766" t="s">
        <v>590</v>
      </c>
      <c r="AS8" s="767" t="s">
        <v>591</v>
      </c>
    </row>
    <row r="9" spans="1:47" ht="15" x14ac:dyDescent="0.25">
      <c r="A9" s="768"/>
      <c r="B9" s="719">
        <v>1</v>
      </c>
      <c r="C9" s="170"/>
      <c r="D9" s="557"/>
      <c r="E9" s="170"/>
      <c r="F9" s="170"/>
      <c r="G9" s="769" t="s">
        <v>636</v>
      </c>
      <c r="H9" s="770"/>
      <c r="I9" s="768"/>
      <c r="J9" s="770"/>
      <c r="K9" s="770"/>
      <c r="L9" s="170"/>
      <c r="M9" s="771"/>
      <c r="N9" s="772">
        <v>1</v>
      </c>
      <c r="O9" s="773"/>
      <c r="P9" s="768" t="s">
        <v>39</v>
      </c>
      <c r="Q9" s="768" t="s">
        <v>39</v>
      </c>
      <c r="R9" s="774" t="s">
        <v>74</v>
      </c>
      <c r="S9" s="775">
        <v>140</v>
      </c>
      <c r="T9" s="1863">
        <f t="shared" ref="T9:T14" si="0">ROUND(O9*S9,0)</f>
        <v>0</v>
      </c>
      <c r="U9" s="2107"/>
      <c r="V9" s="1969">
        <f t="shared" ref="V9:V14" si="1">ROUND(U9*O9,0)</f>
        <v>0</v>
      </c>
      <c r="W9" s="2108"/>
      <c r="X9" s="1970"/>
      <c r="Y9" s="2109"/>
      <c r="Z9" s="780">
        <f t="shared" ref="Z9:Z57" si="2">T9+V9+W9+Y9</f>
        <v>0</v>
      </c>
      <c r="AA9" s="769"/>
      <c r="AB9" s="769"/>
      <c r="AC9" s="765"/>
      <c r="AD9" s="781">
        <f t="shared" ref="AD9:AD57" si="3">IF(P9="E",+ROUND(H9*O9,0),0)</f>
        <v>0</v>
      </c>
      <c r="AE9" s="781">
        <f t="shared" ref="AE9:AE57" si="4">+AF9-AD9</f>
        <v>0</v>
      </c>
      <c r="AF9" s="781">
        <f t="shared" ref="AF9:AF57" si="5">+H9*O9</f>
        <v>0</v>
      </c>
      <c r="AG9" s="781">
        <f t="shared" ref="AG9:AG57" si="6">IF(P9="E",+ROUND(T9*H9,0),0)</f>
        <v>0</v>
      </c>
      <c r="AH9" s="781">
        <f t="shared" ref="AH9:AH57" si="7">+AI9-AG9</f>
        <v>0</v>
      </c>
      <c r="AI9" s="782">
        <f t="shared" ref="AI9:AI57" si="8">+H9*T9</f>
        <v>0</v>
      </c>
      <c r="AJ9" s="781">
        <f t="shared" ref="AJ9:AJ57" si="9">IF(P9="E",+ROUND(V9*H9,0),0)</f>
        <v>0</v>
      </c>
      <c r="AK9" s="781">
        <f t="shared" ref="AK9:AK57" si="10">+AL9-AJ9</f>
        <v>0</v>
      </c>
      <c r="AL9" s="781">
        <f t="shared" ref="AL9:AL57" si="11">ROUND(V9*H9,0)</f>
        <v>0</v>
      </c>
      <c r="AM9" s="781">
        <f t="shared" ref="AM9:AM57" si="12">IF(Q9="E",+ROUND(W9*H9,0),0)</f>
        <v>0</v>
      </c>
      <c r="AN9" s="781">
        <f t="shared" ref="AN9:AN57" si="13">+AO9-AM9</f>
        <v>0</v>
      </c>
      <c r="AO9" s="781">
        <f t="shared" ref="AO9:AO57" si="14">ROUND(W9*H9,0)</f>
        <v>0</v>
      </c>
      <c r="AP9" s="781">
        <f t="shared" ref="AP9:AP57" si="15">IF(P9="E",+ROUND(Y9*H9,0),0)</f>
        <v>0</v>
      </c>
      <c r="AQ9" s="781">
        <f t="shared" ref="AQ9:AQ57" si="16">+AR9-AP9</f>
        <v>0</v>
      </c>
      <c r="AR9" s="781">
        <f t="shared" ref="AR9:AR57" si="17">ROUND(Y9*H9,0)</f>
        <v>0</v>
      </c>
      <c r="AS9" s="783">
        <f t="shared" ref="AS9:AS57" si="18">+AR9+AO9+AL9+AI9</f>
        <v>0</v>
      </c>
    </row>
    <row r="10" spans="1:47" ht="15" x14ac:dyDescent="0.25">
      <c r="A10" s="784"/>
      <c r="B10" s="719">
        <f>+B9+1</f>
        <v>2</v>
      </c>
      <c r="C10" s="170"/>
      <c r="D10" s="557"/>
      <c r="E10" s="170"/>
      <c r="F10" s="170">
        <v>0</v>
      </c>
      <c r="G10" s="769"/>
      <c r="H10" s="770"/>
      <c r="I10" s="768"/>
      <c r="J10" s="770"/>
      <c r="K10" s="770"/>
      <c r="L10" s="170"/>
      <c r="M10" s="771"/>
      <c r="N10" s="772">
        <v>1</v>
      </c>
      <c r="O10" s="773"/>
      <c r="P10" s="768" t="s">
        <v>39</v>
      </c>
      <c r="Q10" s="768" t="s">
        <v>39</v>
      </c>
      <c r="R10" s="774" t="s">
        <v>74</v>
      </c>
      <c r="S10" s="775">
        <v>140</v>
      </c>
      <c r="T10" s="1863">
        <f t="shared" si="0"/>
        <v>0</v>
      </c>
      <c r="U10" s="2107"/>
      <c r="V10" s="1969">
        <f t="shared" si="1"/>
        <v>0</v>
      </c>
      <c r="W10" s="2108"/>
      <c r="X10" s="1970"/>
      <c r="Y10" s="2109"/>
      <c r="Z10" s="780">
        <f t="shared" si="2"/>
        <v>0</v>
      </c>
      <c r="AA10" s="769"/>
      <c r="AB10" s="769"/>
      <c r="AC10" s="765"/>
      <c r="AD10" s="781">
        <f t="shared" si="3"/>
        <v>0</v>
      </c>
      <c r="AE10" s="781">
        <f t="shared" si="4"/>
        <v>0</v>
      </c>
      <c r="AF10" s="781">
        <f t="shared" si="5"/>
        <v>0</v>
      </c>
      <c r="AG10" s="781">
        <f t="shared" si="6"/>
        <v>0</v>
      </c>
      <c r="AH10" s="781">
        <f t="shared" si="7"/>
        <v>0</v>
      </c>
      <c r="AI10" s="782">
        <f t="shared" si="8"/>
        <v>0</v>
      </c>
      <c r="AJ10" s="781">
        <f t="shared" si="9"/>
        <v>0</v>
      </c>
      <c r="AK10" s="781">
        <f t="shared" si="10"/>
        <v>0</v>
      </c>
      <c r="AL10" s="781">
        <f t="shared" si="11"/>
        <v>0</v>
      </c>
      <c r="AM10" s="781">
        <f t="shared" si="12"/>
        <v>0</v>
      </c>
      <c r="AN10" s="781">
        <f t="shared" si="13"/>
        <v>0</v>
      </c>
      <c r="AO10" s="781">
        <f t="shared" si="14"/>
        <v>0</v>
      </c>
      <c r="AP10" s="781">
        <f t="shared" si="15"/>
        <v>0</v>
      </c>
      <c r="AQ10" s="781">
        <f t="shared" si="16"/>
        <v>0</v>
      </c>
      <c r="AR10" s="781">
        <f t="shared" si="17"/>
        <v>0</v>
      </c>
      <c r="AS10" s="783">
        <f t="shared" si="18"/>
        <v>0</v>
      </c>
    </row>
    <row r="11" spans="1:47" ht="15" x14ac:dyDescent="0.25">
      <c r="A11" s="784"/>
      <c r="B11" s="719">
        <f t="shared" ref="B11:B57" si="19">B10+1</f>
        <v>3</v>
      </c>
      <c r="C11" s="170"/>
      <c r="D11" s="557"/>
      <c r="E11" s="170"/>
      <c r="F11" s="170">
        <v>1</v>
      </c>
      <c r="G11" s="785" t="s">
        <v>637</v>
      </c>
      <c r="H11" s="770"/>
      <c r="I11" s="768" t="s">
        <v>640</v>
      </c>
      <c r="J11" s="770"/>
      <c r="K11" s="770"/>
      <c r="L11" s="170">
        <v>2.5000000000000001E-3</v>
      </c>
      <c r="M11" s="771"/>
      <c r="N11" s="772">
        <v>1</v>
      </c>
      <c r="O11" s="773"/>
      <c r="P11" s="768" t="s">
        <v>39</v>
      </c>
      <c r="Q11" s="768" t="s">
        <v>39</v>
      </c>
      <c r="R11" s="774" t="s">
        <v>74</v>
      </c>
      <c r="S11" s="775">
        <v>140</v>
      </c>
      <c r="T11" s="1863">
        <f t="shared" si="0"/>
        <v>0</v>
      </c>
      <c r="U11" s="2107"/>
      <c r="V11" s="1969">
        <f t="shared" si="1"/>
        <v>0</v>
      </c>
      <c r="W11" s="2108"/>
      <c r="X11" s="1970"/>
      <c r="Y11" s="2109"/>
      <c r="Z11" s="780">
        <f t="shared" si="2"/>
        <v>0</v>
      </c>
      <c r="AA11" s="769"/>
      <c r="AB11" s="769"/>
      <c r="AC11" s="765"/>
      <c r="AD11" s="781">
        <f t="shared" si="3"/>
        <v>0</v>
      </c>
      <c r="AE11" s="781">
        <f t="shared" si="4"/>
        <v>0</v>
      </c>
      <c r="AF11" s="781">
        <f t="shared" si="5"/>
        <v>0</v>
      </c>
      <c r="AG11" s="781">
        <f t="shared" si="6"/>
        <v>0</v>
      </c>
      <c r="AH11" s="781">
        <f t="shared" si="7"/>
        <v>0</v>
      </c>
      <c r="AI11" s="782">
        <f t="shared" si="8"/>
        <v>0</v>
      </c>
      <c r="AJ11" s="781">
        <f t="shared" si="9"/>
        <v>0</v>
      </c>
      <c r="AK11" s="781">
        <f t="shared" si="10"/>
        <v>0</v>
      </c>
      <c r="AL11" s="781">
        <f t="shared" si="11"/>
        <v>0</v>
      </c>
      <c r="AM11" s="781">
        <f t="shared" si="12"/>
        <v>0</v>
      </c>
      <c r="AN11" s="781">
        <f t="shared" si="13"/>
        <v>0</v>
      </c>
      <c r="AO11" s="781">
        <f t="shared" si="14"/>
        <v>0</v>
      </c>
      <c r="AP11" s="781">
        <f t="shared" si="15"/>
        <v>0</v>
      </c>
      <c r="AQ11" s="781">
        <f t="shared" si="16"/>
        <v>0</v>
      </c>
      <c r="AR11" s="781">
        <f t="shared" si="17"/>
        <v>0</v>
      </c>
      <c r="AS11" s="783">
        <f t="shared" si="18"/>
        <v>0</v>
      </c>
      <c r="AU11" s="335"/>
    </row>
    <row r="12" spans="1:47" ht="15" x14ac:dyDescent="0.25">
      <c r="A12" s="768"/>
      <c r="B12" s="719">
        <f t="shared" si="19"/>
        <v>4</v>
      </c>
      <c r="C12" s="170"/>
      <c r="D12" s="557"/>
      <c r="E12" s="170"/>
      <c r="F12" s="170">
        <v>1</v>
      </c>
      <c r="G12" s="785" t="s">
        <v>84</v>
      </c>
      <c r="H12" s="770">
        <v>1</v>
      </c>
      <c r="I12" s="768" t="s">
        <v>640</v>
      </c>
      <c r="J12" s="770"/>
      <c r="K12" s="770"/>
      <c r="L12" s="170">
        <v>0.05</v>
      </c>
      <c r="M12" s="771"/>
      <c r="N12" s="772">
        <v>1</v>
      </c>
      <c r="O12" s="773"/>
      <c r="P12" s="768" t="s">
        <v>39</v>
      </c>
      <c r="Q12" s="768" t="s">
        <v>39</v>
      </c>
      <c r="R12" s="774" t="s">
        <v>74</v>
      </c>
      <c r="S12" s="775">
        <v>140</v>
      </c>
      <c r="T12" s="1863">
        <f>(SUM(AI13:AI132)+SUM(AL13:AL132)+SUM(AO13:AO132)+SUM(AR13:AR132))*L12</f>
        <v>0</v>
      </c>
      <c r="U12" s="2107"/>
      <c r="V12" s="1969">
        <f t="shared" si="1"/>
        <v>0</v>
      </c>
      <c r="W12" s="2108"/>
      <c r="X12" s="1970"/>
      <c r="Y12" s="2109"/>
      <c r="Z12" s="780">
        <f t="shared" si="2"/>
        <v>0</v>
      </c>
      <c r="AA12" s="769"/>
      <c r="AB12" s="769"/>
      <c r="AC12" s="765"/>
      <c r="AD12" s="781">
        <f t="shared" si="3"/>
        <v>0</v>
      </c>
      <c r="AE12" s="781">
        <f t="shared" si="4"/>
        <v>0</v>
      </c>
      <c r="AF12" s="781">
        <f t="shared" si="5"/>
        <v>0</v>
      </c>
      <c r="AG12" s="781">
        <f t="shared" si="6"/>
        <v>0</v>
      </c>
      <c r="AH12" s="781">
        <f t="shared" si="7"/>
        <v>0</v>
      </c>
      <c r="AI12" s="782">
        <f t="shared" si="8"/>
        <v>0</v>
      </c>
      <c r="AJ12" s="781">
        <f t="shared" si="9"/>
        <v>0</v>
      </c>
      <c r="AK12" s="781">
        <f t="shared" si="10"/>
        <v>0</v>
      </c>
      <c r="AL12" s="781">
        <f t="shared" si="11"/>
        <v>0</v>
      </c>
      <c r="AM12" s="781">
        <f t="shared" si="12"/>
        <v>0</v>
      </c>
      <c r="AN12" s="781">
        <f t="shared" si="13"/>
        <v>0</v>
      </c>
      <c r="AO12" s="781">
        <f t="shared" si="14"/>
        <v>0</v>
      </c>
      <c r="AP12" s="781">
        <f t="shared" si="15"/>
        <v>0</v>
      </c>
      <c r="AQ12" s="781">
        <f t="shared" si="16"/>
        <v>0</v>
      </c>
      <c r="AR12" s="781">
        <f t="shared" si="17"/>
        <v>0</v>
      </c>
      <c r="AS12" s="783">
        <f t="shared" si="18"/>
        <v>0</v>
      </c>
    </row>
    <row r="13" spans="1:47" ht="15" x14ac:dyDescent="0.25">
      <c r="A13" s="768"/>
      <c r="B13" s="719">
        <f t="shared" si="19"/>
        <v>5</v>
      </c>
      <c r="C13" s="170"/>
      <c r="D13" s="557"/>
      <c r="E13" s="170"/>
      <c r="F13" s="170">
        <v>1</v>
      </c>
      <c r="G13" s="785" t="s">
        <v>1145</v>
      </c>
      <c r="H13" s="770"/>
      <c r="I13" s="768" t="s">
        <v>640</v>
      </c>
      <c r="J13" s="770"/>
      <c r="K13" s="770"/>
      <c r="L13" s="170"/>
      <c r="M13" s="771"/>
      <c r="N13" s="772">
        <v>1</v>
      </c>
      <c r="O13" s="773"/>
      <c r="P13" s="768" t="s">
        <v>39</v>
      </c>
      <c r="Q13" s="768" t="s">
        <v>39</v>
      </c>
      <c r="R13" s="774" t="s">
        <v>74</v>
      </c>
      <c r="S13" s="775">
        <v>140</v>
      </c>
      <c r="T13" s="1863">
        <f t="shared" si="0"/>
        <v>0</v>
      </c>
      <c r="U13" s="2107"/>
      <c r="V13" s="1969">
        <f t="shared" si="1"/>
        <v>0</v>
      </c>
      <c r="W13" s="2108"/>
      <c r="X13" s="1970"/>
      <c r="Y13" s="2109"/>
      <c r="Z13" s="780">
        <f t="shared" si="2"/>
        <v>0</v>
      </c>
      <c r="AA13" s="769"/>
      <c r="AB13" s="769"/>
      <c r="AC13" s="765"/>
      <c r="AD13" s="781">
        <f t="shared" si="3"/>
        <v>0</v>
      </c>
      <c r="AE13" s="781">
        <f t="shared" si="4"/>
        <v>0</v>
      </c>
      <c r="AF13" s="781">
        <f t="shared" si="5"/>
        <v>0</v>
      </c>
      <c r="AG13" s="781">
        <f t="shared" si="6"/>
        <v>0</v>
      </c>
      <c r="AH13" s="781">
        <f t="shared" si="7"/>
        <v>0</v>
      </c>
      <c r="AI13" s="782">
        <f t="shared" si="8"/>
        <v>0</v>
      </c>
      <c r="AJ13" s="781">
        <f t="shared" si="9"/>
        <v>0</v>
      </c>
      <c r="AK13" s="781">
        <f t="shared" si="10"/>
        <v>0</v>
      </c>
      <c r="AL13" s="781">
        <f t="shared" si="11"/>
        <v>0</v>
      </c>
      <c r="AM13" s="781">
        <f t="shared" si="12"/>
        <v>0</v>
      </c>
      <c r="AN13" s="781">
        <f t="shared" si="13"/>
        <v>0</v>
      </c>
      <c r="AO13" s="781">
        <f t="shared" si="14"/>
        <v>0</v>
      </c>
      <c r="AP13" s="781">
        <f t="shared" si="15"/>
        <v>0</v>
      </c>
      <c r="AQ13" s="781">
        <f t="shared" si="16"/>
        <v>0</v>
      </c>
      <c r="AR13" s="781">
        <f t="shared" si="17"/>
        <v>0</v>
      </c>
      <c r="AS13" s="783">
        <f t="shared" si="18"/>
        <v>0</v>
      </c>
    </row>
    <row r="14" spans="1:47" ht="15" x14ac:dyDescent="0.25">
      <c r="A14" s="786"/>
      <c r="B14" s="719">
        <f t="shared" si="19"/>
        <v>6</v>
      </c>
      <c r="C14" s="170"/>
      <c r="D14" s="557"/>
      <c r="E14" s="170"/>
      <c r="F14" s="170">
        <v>1</v>
      </c>
      <c r="G14" s="785"/>
      <c r="H14" s="770"/>
      <c r="I14" s="768"/>
      <c r="J14" s="770"/>
      <c r="K14" s="770"/>
      <c r="L14" s="170"/>
      <c r="M14" s="771">
        <v>0</v>
      </c>
      <c r="N14" s="772">
        <v>1</v>
      </c>
      <c r="O14" s="773">
        <f t="shared" ref="O14:O57" si="20">+M14*N14</f>
        <v>0</v>
      </c>
      <c r="P14" s="768" t="s">
        <v>39</v>
      </c>
      <c r="Q14" s="768" t="s">
        <v>39</v>
      </c>
      <c r="R14" s="774" t="s">
        <v>73</v>
      </c>
      <c r="S14" s="775">
        <f>SUMIF('Data Input sheet'!$B$118:$B$180,R14,'Data Input sheet'!$D$118:$D$180)</f>
        <v>119</v>
      </c>
      <c r="T14" s="1863">
        <f t="shared" si="0"/>
        <v>0</v>
      </c>
      <c r="U14" s="2107"/>
      <c r="V14" s="1969">
        <f t="shared" si="1"/>
        <v>0</v>
      </c>
      <c r="W14" s="2108"/>
      <c r="X14" s="1970"/>
      <c r="Y14" s="2109"/>
      <c r="Z14" s="780">
        <f t="shared" si="2"/>
        <v>0</v>
      </c>
      <c r="AA14" s="769"/>
      <c r="AB14" s="769"/>
      <c r="AC14" s="765"/>
      <c r="AD14" s="781">
        <f t="shared" si="3"/>
        <v>0</v>
      </c>
      <c r="AE14" s="781">
        <f t="shared" si="4"/>
        <v>0</v>
      </c>
      <c r="AF14" s="781">
        <f t="shared" si="5"/>
        <v>0</v>
      </c>
      <c r="AG14" s="781">
        <f t="shared" si="6"/>
        <v>0</v>
      </c>
      <c r="AH14" s="781">
        <f t="shared" si="7"/>
        <v>0</v>
      </c>
      <c r="AI14" s="782">
        <f t="shared" si="8"/>
        <v>0</v>
      </c>
      <c r="AJ14" s="781">
        <f t="shared" si="9"/>
        <v>0</v>
      </c>
      <c r="AK14" s="781">
        <f t="shared" si="10"/>
        <v>0</v>
      </c>
      <c r="AL14" s="781">
        <f t="shared" si="11"/>
        <v>0</v>
      </c>
      <c r="AM14" s="781">
        <f t="shared" si="12"/>
        <v>0</v>
      </c>
      <c r="AN14" s="781">
        <f t="shared" si="13"/>
        <v>0</v>
      </c>
      <c r="AO14" s="781">
        <f t="shared" si="14"/>
        <v>0</v>
      </c>
      <c r="AP14" s="781">
        <f t="shared" si="15"/>
        <v>0</v>
      </c>
      <c r="AQ14" s="781">
        <f t="shared" si="16"/>
        <v>0</v>
      </c>
      <c r="AR14" s="781">
        <f t="shared" si="17"/>
        <v>0</v>
      </c>
      <c r="AS14" s="783">
        <f t="shared" si="18"/>
        <v>0</v>
      </c>
    </row>
    <row r="15" spans="1:47" ht="15" x14ac:dyDescent="0.25">
      <c r="A15" s="768"/>
      <c r="B15" s="719">
        <f t="shared" si="19"/>
        <v>7</v>
      </c>
      <c r="C15" s="170"/>
      <c r="D15" s="557"/>
      <c r="E15" s="170"/>
      <c r="F15" s="170">
        <v>0</v>
      </c>
      <c r="G15" s="1962" t="s">
        <v>1661</v>
      </c>
      <c r="H15" s="1982">
        <v>0</v>
      </c>
      <c r="I15" s="1963"/>
      <c r="J15" s="2039"/>
      <c r="K15" s="1982"/>
      <c r="L15" s="1983"/>
      <c r="M15" s="2041"/>
      <c r="N15" s="1984">
        <v>1</v>
      </c>
      <c r="O15" s="1985">
        <f t="shared" si="20"/>
        <v>0</v>
      </c>
      <c r="P15" s="2008" t="s">
        <v>39</v>
      </c>
      <c r="Q15" s="2008" t="s">
        <v>39</v>
      </c>
      <c r="R15" s="2011" t="s">
        <v>73</v>
      </c>
      <c r="S15" s="1986">
        <f>SUMIF('Data Input sheet'!$B$118:$B$180,R15,'Data Input sheet'!$D$118:$D$180)</f>
        <v>119</v>
      </c>
      <c r="T15" s="1987">
        <f t="shared" ref="T15:T57" si="21">ROUND(O15*S15,0)</f>
        <v>0</v>
      </c>
      <c r="U15" s="2042"/>
      <c r="V15" s="1988">
        <f t="shared" ref="V15:V57" si="22">ROUND(U15*O15,0)</f>
        <v>0</v>
      </c>
      <c r="W15" s="2043"/>
      <c r="X15" s="1989"/>
      <c r="Y15" s="2047">
        <v>0</v>
      </c>
      <c r="Z15" s="1964">
        <f t="shared" si="2"/>
        <v>0</v>
      </c>
      <c r="AA15" s="2007"/>
      <c r="AB15" s="2007"/>
      <c r="AC15" s="765"/>
      <c r="AD15" s="781">
        <f t="shared" si="3"/>
        <v>0</v>
      </c>
      <c r="AE15" s="781">
        <f t="shared" si="4"/>
        <v>0</v>
      </c>
      <c r="AF15" s="781">
        <f t="shared" si="5"/>
        <v>0</v>
      </c>
      <c r="AG15" s="781">
        <f t="shared" si="6"/>
        <v>0</v>
      </c>
      <c r="AH15" s="781">
        <f t="shared" si="7"/>
        <v>0</v>
      </c>
      <c r="AI15" s="782">
        <f t="shared" si="8"/>
        <v>0</v>
      </c>
      <c r="AJ15" s="781">
        <f t="shared" si="9"/>
        <v>0</v>
      </c>
      <c r="AK15" s="781">
        <f t="shared" si="10"/>
        <v>0</v>
      </c>
      <c r="AL15" s="781">
        <f t="shared" si="11"/>
        <v>0</v>
      </c>
      <c r="AM15" s="781">
        <f t="shared" si="12"/>
        <v>0</v>
      </c>
      <c r="AN15" s="781">
        <f t="shared" si="13"/>
        <v>0</v>
      </c>
      <c r="AO15" s="781">
        <f t="shared" si="14"/>
        <v>0</v>
      </c>
      <c r="AP15" s="781">
        <f t="shared" si="15"/>
        <v>0</v>
      </c>
      <c r="AQ15" s="781">
        <f t="shared" si="16"/>
        <v>0</v>
      </c>
      <c r="AR15" s="781">
        <f t="shared" si="17"/>
        <v>0</v>
      </c>
      <c r="AS15" s="783">
        <f t="shared" si="18"/>
        <v>0</v>
      </c>
    </row>
    <row r="16" spans="1:47" ht="15" x14ac:dyDescent="0.25">
      <c r="A16" s="768"/>
      <c r="B16" s="719">
        <f t="shared" si="19"/>
        <v>8</v>
      </c>
      <c r="C16" s="170"/>
      <c r="D16" s="557"/>
      <c r="E16" s="170"/>
      <c r="F16" s="170">
        <v>2</v>
      </c>
      <c r="G16" s="891" t="s">
        <v>1662</v>
      </c>
      <c r="H16" s="2039"/>
      <c r="I16" s="768" t="s">
        <v>732</v>
      </c>
      <c r="J16" s="2039"/>
      <c r="K16" s="842"/>
      <c r="L16" s="488"/>
      <c r="M16" s="2041"/>
      <c r="N16" s="1966">
        <v>1</v>
      </c>
      <c r="O16" s="1967">
        <f t="shared" si="20"/>
        <v>0</v>
      </c>
      <c r="P16" s="2008" t="s">
        <v>39</v>
      </c>
      <c r="Q16" s="2008" t="s">
        <v>39</v>
      </c>
      <c r="R16" s="2011" t="s">
        <v>73</v>
      </c>
      <c r="S16" s="1968">
        <f>SUMIF('Data Input sheet'!$B$118:$B$180,R16,'Data Input sheet'!$D$118:$D$180)</f>
        <v>119</v>
      </c>
      <c r="T16" s="1863">
        <f t="shared" si="21"/>
        <v>0</v>
      </c>
      <c r="U16" s="2042"/>
      <c r="V16" s="1969">
        <f t="shared" si="22"/>
        <v>0</v>
      </c>
      <c r="W16" s="2043"/>
      <c r="X16" s="1970"/>
      <c r="Y16" s="2047">
        <v>15000</v>
      </c>
      <c r="Z16" s="780">
        <f t="shared" si="2"/>
        <v>15000</v>
      </c>
      <c r="AA16" s="2007"/>
      <c r="AB16" s="2007"/>
      <c r="AC16" s="765"/>
      <c r="AD16" s="781">
        <f t="shared" si="3"/>
        <v>0</v>
      </c>
      <c r="AE16" s="781">
        <f t="shared" si="4"/>
        <v>0</v>
      </c>
      <c r="AF16" s="781">
        <f t="shared" si="5"/>
        <v>0</v>
      </c>
      <c r="AG16" s="781">
        <f t="shared" si="6"/>
        <v>0</v>
      </c>
      <c r="AH16" s="781">
        <f t="shared" si="7"/>
        <v>0</v>
      </c>
      <c r="AI16" s="782">
        <f t="shared" si="8"/>
        <v>0</v>
      </c>
      <c r="AJ16" s="781">
        <f t="shared" si="9"/>
        <v>0</v>
      </c>
      <c r="AK16" s="781">
        <f t="shared" si="10"/>
        <v>0</v>
      </c>
      <c r="AL16" s="781">
        <f t="shared" si="11"/>
        <v>0</v>
      </c>
      <c r="AM16" s="781">
        <f t="shared" si="12"/>
        <v>0</v>
      </c>
      <c r="AN16" s="781">
        <f t="shared" si="13"/>
        <v>0</v>
      </c>
      <c r="AO16" s="781">
        <f t="shared" si="14"/>
        <v>0</v>
      </c>
      <c r="AP16" s="781">
        <f t="shared" si="15"/>
        <v>0</v>
      </c>
      <c r="AQ16" s="781">
        <f t="shared" si="16"/>
        <v>0</v>
      </c>
      <c r="AR16" s="781">
        <f t="shared" si="17"/>
        <v>0</v>
      </c>
      <c r="AS16" s="783">
        <f t="shared" si="18"/>
        <v>0</v>
      </c>
    </row>
    <row r="17" spans="1:45" ht="15" x14ac:dyDescent="0.25">
      <c r="A17" s="784"/>
      <c r="B17" s="719">
        <f t="shared" si="19"/>
        <v>9</v>
      </c>
      <c r="C17" s="170"/>
      <c r="D17" s="557"/>
      <c r="E17" s="170"/>
      <c r="F17" s="170">
        <v>2</v>
      </c>
      <c r="G17" s="891" t="s">
        <v>1663</v>
      </c>
      <c r="H17" s="2039"/>
      <c r="I17" s="768" t="s">
        <v>732</v>
      </c>
      <c r="J17" s="2039"/>
      <c r="K17" s="842"/>
      <c r="L17" s="488"/>
      <c r="M17" s="2041"/>
      <c r="N17" s="1966">
        <v>1</v>
      </c>
      <c r="O17" s="1967">
        <f t="shared" si="20"/>
        <v>0</v>
      </c>
      <c r="P17" s="2008" t="s">
        <v>39</v>
      </c>
      <c r="Q17" s="2008" t="s">
        <v>39</v>
      </c>
      <c r="R17" s="2011" t="s">
        <v>73</v>
      </c>
      <c r="S17" s="1968">
        <f>SUMIF('Data Input sheet'!$B$118:$B$180,R17,'Data Input sheet'!$D$118:$D$180)</f>
        <v>119</v>
      </c>
      <c r="T17" s="1863">
        <f t="shared" si="21"/>
        <v>0</v>
      </c>
      <c r="U17" s="2042"/>
      <c r="V17" s="1969">
        <f t="shared" si="22"/>
        <v>0</v>
      </c>
      <c r="W17" s="2043"/>
      <c r="X17" s="1970"/>
      <c r="Y17" s="2047">
        <v>3500</v>
      </c>
      <c r="Z17" s="780">
        <f t="shared" si="2"/>
        <v>3500</v>
      </c>
      <c r="AA17" s="2007"/>
      <c r="AB17" s="2007"/>
      <c r="AC17" s="765"/>
      <c r="AD17" s="781">
        <f t="shared" si="3"/>
        <v>0</v>
      </c>
      <c r="AE17" s="781">
        <f t="shared" si="4"/>
        <v>0</v>
      </c>
      <c r="AF17" s="781">
        <f t="shared" si="5"/>
        <v>0</v>
      </c>
      <c r="AG17" s="781">
        <f t="shared" si="6"/>
        <v>0</v>
      </c>
      <c r="AH17" s="781">
        <f t="shared" si="7"/>
        <v>0</v>
      </c>
      <c r="AI17" s="782">
        <f t="shared" si="8"/>
        <v>0</v>
      </c>
      <c r="AJ17" s="781">
        <f t="shared" si="9"/>
        <v>0</v>
      </c>
      <c r="AK17" s="781">
        <f t="shared" si="10"/>
        <v>0</v>
      </c>
      <c r="AL17" s="781">
        <f t="shared" si="11"/>
        <v>0</v>
      </c>
      <c r="AM17" s="781">
        <f t="shared" si="12"/>
        <v>0</v>
      </c>
      <c r="AN17" s="781">
        <f t="shared" si="13"/>
        <v>0</v>
      </c>
      <c r="AO17" s="781">
        <f t="shared" si="14"/>
        <v>0</v>
      </c>
      <c r="AP17" s="781">
        <f t="shared" si="15"/>
        <v>0</v>
      </c>
      <c r="AQ17" s="781">
        <f t="shared" si="16"/>
        <v>0</v>
      </c>
      <c r="AR17" s="781">
        <f t="shared" si="17"/>
        <v>0</v>
      </c>
      <c r="AS17" s="783">
        <f t="shared" si="18"/>
        <v>0</v>
      </c>
    </row>
    <row r="18" spans="1:45" ht="15" x14ac:dyDescent="0.25">
      <c r="A18" s="784"/>
      <c r="B18" s="719">
        <f t="shared" si="19"/>
        <v>10</v>
      </c>
      <c r="C18" s="170"/>
      <c r="D18" s="557"/>
      <c r="E18" s="170"/>
      <c r="F18" s="170">
        <v>0</v>
      </c>
      <c r="G18" s="1952" t="s">
        <v>1664</v>
      </c>
      <c r="H18" s="2039">
        <v>0</v>
      </c>
      <c r="I18" s="1955"/>
      <c r="J18" s="2039"/>
      <c r="K18" s="1965"/>
      <c r="L18" s="1971"/>
      <c r="M18" s="2041"/>
      <c r="N18" s="1972">
        <v>1</v>
      </c>
      <c r="O18" s="1973">
        <f t="shared" si="20"/>
        <v>0</v>
      </c>
      <c r="P18" s="2008" t="s">
        <v>39</v>
      </c>
      <c r="Q18" s="2008" t="s">
        <v>39</v>
      </c>
      <c r="R18" s="2011" t="s">
        <v>73</v>
      </c>
      <c r="S18" s="1974">
        <f>SUMIF('Data Input sheet'!$B$118:$B$180,R18,'Data Input sheet'!$D$118:$D$180)</f>
        <v>119</v>
      </c>
      <c r="T18" s="1975">
        <f t="shared" si="21"/>
        <v>0</v>
      </c>
      <c r="U18" s="2042"/>
      <c r="V18" s="1976">
        <f t="shared" si="22"/>
        <v>0</v>
      </c>
      <c r="W18" s="2043"/>
      <c r="X18" s="1977"/>
      <c r="Y18" s="2047">
        <v>0</v>
      </c>
      <c r="Z18" s="1956">
        <f t="shared" si="2"/>
        <v>0</v>
      </c>
      <c r="AA18" s="2007"/>
      <c r="AB18" s="2007"/>
      <c r="AC18" s="765"/>
      <c r="AD18" s="781">
        <f t="shared" si="3"/>
        <v>0</v>
      </c>
      <c r="AE18" s="781">
        <f t="shared" si="4"/>
        <v>0</v>
      </c>
      <c r="AF18" s="781">
        <f t="shared" si="5"/>
        <v>0</v>
      </c>
      <c r="AG18" s="781">
        <f t="shared" si="6"/>
        <v>0</v>
      </c>
      <c r="AH18" s="781">
        <f t="shared" si="7"/>
        <v>0</v>
      </c>
      <c r="AI18" s="782">
        <f t="shared" si="8"/>
        <v>0</v>
      </c>
      <c r="AJ18" s="781">
        <f t="shared" si="9"/>
        <v>0</v>
      </c>
      <c r="AK18" s="781">
        <f t="shared" si="10"/>
        <v>0</v>
      </c>
      <c r="AL18" s="781">
        <f t="shared" si="11"/>
        <v>0</v>
      </c>
      <c r="AM18" s="781">
        <f t="shared" si="12"/>
        <v>0</v>
      </c>
      <c r="AN18" s="781">
        <f t="shared" si="13"/>
        <v>0</v>
      </c>
      <c r="AO18" s="781">
        <f t="shared" si="14"/>
        <v>0</v>
      </c>
      <c r="AP18" s="781">
        <f t="shared" si="15"/>
        <v>0</v>
      </c>
      <c r="AQ18" s="781">
        <f t="shared" si="16"/>
        <v>0</v>
      </c>
      <c r="AR18" s="781">
        <f t="shared" si="17"/>
        <v>0</v>
      </c>
      <c r="AS18" s="783">
        <f t="shared" si="18"/>
        <v>0</v>
      </c>
    </row>
    <row r="19" spans="1:45" ht="15" x14ac:dyDescent="0.25">
      <c r="A19" s="784"/>
      <c r="B19" s="719">
        <f t="shared" si="19"/>
        <v>11</v>
      </c>
      <c r="C19" s="170"/>
      <c r="D19" s="557"/>
      <c r="E19" s="170"/>
      <c r="F19" s="170">
        <v>2</v>
      </c>
      <c r="G19" s="1953" t="s">
        <v>1665</v>
      </c>
      <c r="H19" s="2039"/>
      <c r="I19" s="768" t="s">
        <v>728</v>
      </c>
      <c r="J19" s="2039"/>
      <c r="K19" s="842"/>
      <c r="L19" s="488"/>
      <c r="M19" s="2041"/>
      <c r="N19" s="1966">
        <v>1</v>
      </c>
      <c r="O19" s="1967">
        <f t="shared" si="20"/>
        <v>0</v>
      </c>
      <c r="P19" s="2008" t="s">
        <v>39</v>
      </c>
      <c r="Q19" s="2008" t="s">
        <v>39</v>
      </c>
      <c r="R19" s="2011" t="s">
        <v>73</v>
      </c>
      <c r="S19" s="1968">
        <f>SUMIF('Data Input sheet'!$B$118:$B$180,R19,'Data Input sheet'!$D$118:$D$180)</f>
        <v>119</v>
      </c>
      <c r="T19" s="1863">
        <f t="shared" si="21"/>
        <v>0</v>
      </c>
      <c r="U19" s="2042"/>
      <c r="V19" s="1969">
        <f t="shared" si="22"/>
        <v>0</v>
      </c>
      <c r="W19" s="2043">
        <v>3125</v>
      </c>
      <c r="X19" s="1970"/>
      <c r="Y19" s="2047">
        <v>0</v>
      </c>
      <c r="Z19" s="780">
        <f t="shared" si="2"/>
        <v>3125</v>
      </c>
      <c r="AA19" s="2007"/>
      <c r="AB19" s="2007"/>
      <c r="AC19" s="765"/>
      <c r="AD19" s="781">
        <f t="shared" si="3"/>
        <v>0</v>
      </c>
      <c r="AE19" s="781">
        <f t="shared" si="4"/>
        <v>0</v>
      </c>
      <c r="AF19" s="781">
        <f t="shared" si="5"/>
        <v>0</v>
      </c>
      <c r="AG19" s="781">
        <f t="shared" si="6"/>
        <v>0</v>
      </c>
      <c r="AH19" s="781">
        <f t="shared" si="7"/>
        <v>0</v>
      </c>
      <c r="AI19" s="782">
        <f t="shared" si="8"/>
        <v>0</v>
      </c>
      <c r="AJ19" s="781">
        <f t="shared" si="9"/>
        <v>0</v>
      </c>
      <c r="AK19" s="781">
        <f t="shared" si="10"/>
        <v>0</v>
      </c>
      <c r="AL19" s="781">
        <f t="shared" si="11"/>
        <v>0</v>
      </c>
      <c r="AM19" s="781">
        <f t="shared" si="12"/>
        <v>0</v>
      </c>
      <c r="AN19" s="781">
        <f t="shared" si="13"/>
        <v>0</v>
      </c>
      <c r="AO19" s="781">
        <f t="shared" si="14"/>
        <v>0</v>
      </c>
      <c r="AP19" s="781">
        <f t="shared" si="15"/>
        <v>0</v>
      </c>
      <c r="AQ19" s="781">
        <f t="shared" si="16"/>
        <v>0</v>
      </c>
      <c r="AR19" s="781">
        <f t="shared" si="17"/>
        <v>0</v>
      </c>
      <c r="AS19" s="783">
        <f t="shared" si="18"/>
        <v>0</v>
      </c>
    </row>
    <row r="20" spans="1:45" ht="15" x14ac:dyDescent="0.25">
      <c r="A20" s="784"/>
      <c r="B20" s="719">
        <f t="shared" si="19"/>
        <v>12</v>
      </c>
      <c r="C20" s="170"/>
      <c r="D20" s="557"/>
      <c r="E20" s="170"/>
      <c r="F20" s="170">
        <v>0</v>
      </c>
      <c r="G20" s="1952" t="s">
        <v>1666</v>
      </c>
      <c r="H20" s="2039"/>
      <c r="I20" s="1955"/>
      <c r="J20" s="2039"/>
      <c r="K20" s="1965"/>
      <c r="L20" s="1971"/>
      <c r="M20" s="2041">
        <v>0</v>
      </c>
      <c r="N20" s="1972">
        <v>1</v>
      </c>
      <c r="O20" s="1973">
        <f t="shared" si="20"/>
        <v>0</v>
      </c>
      <c r="P20" s="2008" t="s">
        <v>39</v>
      </c>
      <c r="Q20" s="2008" t="s">
        <v>39</v>
      </c>
      <c r="R20" s="2011" t="s">
        <v>73</v>
      </c>
      <c r="S20" s="1974">
        <f>SUMIF('Data Input sheet'!$B$118:$B$180,R20,'Data Input sheet'!$D$118:$D$180)</f>
        <v>119</v>
      </c>
      <c r="T20" s="1975">
        <f t="shared" si="21"/>
        <v>0</v>
      </c>
      <c r="U20" s="2042"/>
      <c r="V20" s="1976">
        <f t="shared" si="22"/>
        <v>0</v>
      </c>
      <c r="W20" s="2043"/>
      <c r="X20" s="1977"/>
      <c r="Y20" s="2047">
        <v>0</v>
      </c>
      <c r="Z20" s="1956">
        <f t="shared" si="2"/>
        <v>0</v>
      </c>
      <c r="AA20" s="2007"/>
      <c r="AB20" s="2007"/>
      <c r="AC20" s="765"/>
      <c r="AD20" s="781">
        <f t="shared" si="3"/>
        <v>0</v>
      </c>
      <c r="AE20" s="781">
        <f t="shared" si="4"/>
        <v>0</v>
      </c>
      <c r="AF20" s="781">
        <f t="shared" si="5"/>
        <v>0</v>
      </c>
      <c r="AG20" s="781">
        <f t="shared" si="6"/>
        <v>0</v>
      </c>
      <c r="AH20" s="781">
        <f t="shared" si="7"/>
        <v>0</v>
      </c>
      <c r="AI20" s="782">
        <f t="shared" si="8"/>
        <v>0</v>
      </c>
      <c r="AJ20" s="781">
        <f t="shared" si="9"/>
        <v>0</v>
      </c>
      <c r="AK20" s="781">
        <f t="shared" si="10"/>
        <v>0</v>
      </c>
      <c r="AL20" s="781">
        <f t="shared" si="11"/>
        <v>0</v>
      </c>
      <c r="AM20" s="781">
        <f t="shared" si="12"/>
        <v>0</v>
      </c>
      <c r="AN20" s="781">
        <f t="shared" si="13"/>
        <v>0</v>
      </c>
      <c r="AO20" s="781">
        <f t="shared" si="14"/>
        <v>0</v>
      </c>
      <c r="AP20" s="781">
        <f t="shared" si="15"/>
        <v>0</v>
      </c>
      <c r="AQ20" s="781">
        <f t="shared" si="16"/>
        <v>0</v>
      </c>
      <c r="AR20" s="781">
        <f t="shared" si="17"/>
        <v>0</v>
      </c>
      <c r="AS20" s="783">
        <f t="shared" si="18"/>
        <v>0</v>
      </c>
    </row>
    <row r="21" spans="1:45" ht="15" x14ac:dyDescent="0.25">
      <c r="A21" s="784"/>
      <c r="B21" s="719">
        <f t="shared" si="19"/>
        <v>13</v>
      </c>
      <c r="C21" s="170"/>
      <c r="D21" s="557"/>
      <c r="E21" s="170"/>
      <c r="F21" s="170">
        <v>2</v>
      </c>
      <c r="G21" s="1953" t="s">
        <v>1667</v>
      </c>
      <c r="H21" s="2039"/>
      <c r="I21" s="768" t="s">
        <v>728</v>
      </c>
      <c r="J21" s="2039"/>
      <c r="K21" s="842"/>
      <c r="L21" s="488"/>
      <c r="M21" s="2041">
        <v>0</v>
      </c>
      <c r="N21" s="1966">
        <v>1</v>
      </c>
      <c r="O21" s="1967">
        <f t="shared" si="20"/>
        <v>0</v>
      </c>
      <c r="P21" s="2008" t="s">
        <v>39</v>
      </c>
      <c r="Q21" s="2008" t="s">
        <v>39</v>
      </c>
      <c r="R21" s="2011" t="s">
        <v>73</v>
      </c>
      <c r="S21" s="1968">
        <f>SUMIF('Data Input sheet'!$B$118:$B$180,R21,'Data Input sheet'!$D$118:$D$180)</f>
        <v>119</v>
      </c>
      <c r="T21" s="1863">
        <f t="shared" si="21"/>
        <v>0</v>
      </c>
      <c r="U21" s="2042"/>
      <c r="V21" s="1969">
        <f t="shared" si="22"/>
        <v>0</v>
      </c>
      <c r="W21" s="2043">
        <v>31</v>
      </c>
      <c r="X21" s="1970"/>
      <c r="Y21" s="2047">
        <v>0</v>
      </c>
      <c r="Z21" s="780">
        <f t="shared" si="2"/>
        <v>31</v>
      </c>
      <c r="AA21" s="2007"/>
      <c r="AB21" s="2007"/>
      <c r="AC21" s="765"/>
      <c r="AD21" s="781">
        <f t="shared" si="3"/>
        <v>0</v>
      </c>
      <c r="AE21" s="781">
        <f t="shared" si="4"/>
        <v>0</v>
      </c>
      <c r="AF21" s="781">
        <f t="shared" si="5"/>
        <v>0</v>
      </c>
      <c r="AG21" s="781">
        <f t="shared" si="6"/>
        <v>0</v>
      </c>
      <c r="AH21" s="781">
        <f t="shared" si="7"/>
        <v>0</v>
      </c>
      <c r="AI21" s="782">
        <f t="shared" si="8"/>
        <v>0</v>
      </c>
      <c r="AJ21" s="781">
        <f t="shared" si="9"/>
        <v>0</v>
      </c>
      <c r="AK21" s="781">
        <f t="shared" si="10"/>
        <v>0</v>
      </c>
      <c r="AL21" s="781">
        <f t="shared" si="11"/>
        <v>0</v>
      </c>
      <c r="AM21" s="781">
        <f t="shared" si="12"/>
        <v>0</v>
      </c>
      <c r="AN21" s="781">
        <f t="shared" si="13"/>
        <v>0</v>
      </c>
      <c r="AO21" s="781">
        <f t="shared" si="14"/>
        <v>0</v>
      </c>
      <c r="AP21" s="781">
        <f t="shared" si="15"/>
        <v>0</v>
      </c>
      <c r="AQ21" s="781">
        <f t="shared" si="16"/>
        <v>0</v>
      </c>
      <c r="AR21" s="781">
        <f t="shared" si="17"/>
        <v>0</v>
      </c>
      <c r="AS21" s="783">
        <f t="shared" si="18"/>
        <v>0</v>
      </c>
    </row>
    <row r="22" spans="1:45" ht="15" x14ac:dyDescent="0.25">
      <c r="A22" s="784"/>
      <c r="B22" s="719">
        <f t="shared" si="19"/>
        <v>14</v>
      </c>
      <c r="C22" s="170"/>
      <c r="D22" s="557"/>
      <c r="E22" s="170"/>
      <c r="F22" s="170">
        <v>2</v>
      </c>
      <c r="G22" s="1953" t="s">
        <v>1668</v>
      </c>
      <c r="H22" s="2039">
        <v>0</v>
      </c>
      <c r="I22" s="768" t="s">
        <v>728</v>
      </c>
      <c r="J22" s="2039"/>
      <c r="K22" s="842"/>
      <c r="L22" s="488"/>
      <c r="M22" s="2041">
        <v>300</v>
      </c>
      <c r="N22" s="1966">
        <v>1</v>
      </c>
      <c r="O22" s="1967">
        <f t="shared" si="20"/>
        <v>300</v>
      </c>
      <c r="P22" s="2008" t="s">
        <v>39</v>
      </c>
      <c r="Q22" s="2008" t="s">
        <v>39</v>
      </c>
      <c r="R22" s="2011" t="s">
        <v>73</v>
      </c>
      <c r="S22" s="1968">
        <f>SUMIF('Data Input sheet'!$B$118:$B$180,R22,'Data Input sheet'!$D$118:$D$180)</f>
        <v>119</v>
      </c>
      <c r="T22" s="1863">
        <f t="shared" si="21"/>
        <v>35700</v>
      </c>
      <c r="U22" s="2042"/>
      <c r="V22" s="1969">
        <f t="shared" si="22"/>
        <v>0</v>
      </c>
      <c r="W22" s="2043">
        <v>31</v>
      </c>
      <c r="X22" s="1970"/>
      <c r="Y22" s="2047">
        <v>0</v>
      </c>
      <c r="Z22" s="780">
        <f t="shared" si="2"/>
        <v>35731</v>
      </c>
      <c r="AA22" s="2007"/>
      <c r="AB22" s="2007"/>
      <c r="AC22" s="765"/>
      <c r="AD22" s="781">
        <f t="shared" si="3"/>
        <v>0</v>
      </c>
      <c r="AE22" s="781">
        <f t="shared" si="4"/>
        <v>0</v>
      </c>
      <c r="AF22" s="781">
        <f t="shared" si="5"/>
        <v>0</v>
      </c>
      <c r="AG22" s="781">
        <f t="shared" si="6"/>
        <v>0</v>
      </c>
      <c r="AH22" s="781">
        <f t="shared" si="7"/>
        <v>0</v>
      </c>
      <c r="AI22" s="782">
        <f t="shared" si="8"/>
        <v>0</v>
      </c>
      <c r="AJ22" s="781">
        <f t="shared" si="9"/>
        <v>0</v>
      </c>
      <c r="AK22" s="781">
        <f t="shared" si="10"/>
        <v>0</v>
      </c>
      <c r="AL22" s="781">
        <f t="shared" si="11"/>
        <v>0</v>
      </c>
      <c r="AM22" s="781">
        <f t="shared" si="12"/>
        <v>0</v>
      </c>
      <c r="AN22" s="781">
        <f t="shared" si="13"/>
        <v>0</v>
      </c>
      <c r="AO22" s="781">
        <f t="shared" si="14"/>
        <v>0</v>
      </c>
      <c r="AP22" s="781">
        <f t="shared" si="15"/>
        <v>0</v>
      </c>
      <c r="AQ22" s="781">
        <f t="shared" si="16"/>
        <v>0</v>
      </c>
      <c r="AR22" s="781">
        <f t="shared" si="17"/>
        <v>0</v>
      </c>
      <c r="AS22" s="783">
        <f t="shared" si="18"/>
        <v>0</v>
      </c>
    </row>
    <row r="23" spans="1:45" ht="15" x14ac:dyDescent="0.25">
      <c r="A23" s="768"/>
      <c r="B23" s="719">
        <f t="shared" si="19"/>
        <v>15</v>
      </c>
      <c r="C23" s="170"/>
      <c r="D23" s="557"/>
      <c r="E23" s="170"/>
      <c r="F23" s="170">
        <v>0</v>
      </c>
      <c r="G23" s="1952" t="s">
        <v>1669</v>
      </c>
      <c r="H23" s="2039"/>
      <c r="I23" s="1955"/>
      <c r="J23" s="2039"/>
      <c r="K23" s="1965"/>
      <c r="L23" s="1971"/>
      <c r="M23" s="2041">
        <v>0</v>
      </c>
      <c r="N23" s="1972">
        <v>1</v>
      </c>
      <c r="O23" s="1973">
        <f t="shared" si="20"/>
        <v>0</v>
      </c>
      <c r="P23" s="2008" t="s">
        <v>39</v>
      </c>
      <c r="Q23" s="2008" t="s">
        <v>39</v>
      </c>
      <c r="R23" s="2011" t="s">
        <v>73</v>
      </c>
      <c r="S23" s="1974">
        <f>SUMIF('Data Input sheet'!$B$118:$B$180,R23,'Data Input sheet'!$D$118:$D$180)</f>
        <v>119</v>
      </c>
      <c r="T23" s="1975">
        <f t="shared" si="21"/>
        <v>0</v>
      </c>
      <c r="U23" s="2042"/>
      <c r="V23" s="1976">
        <f t="shared" si="22"/>
        <v>0</v>
      </c>
      <c r="W23" s="2043"/>
      <c r="X23" s="1977"/>
      <c r="Y23" s="2047">
        <v>0</v>
      </c>
      <c r="Z23" s="1956">
        <f t="shared" si="2"/>
        <v>0</v>
      </c>
      <c r="AA23" s="2007"/>
      <c r="AB23" s="2007"/>
      <c r="AC23" s="765"/>
      <c r="AD23" s="781">
        <f t="shared" si="3"/>
        <v>0</v>
      </c>
      <c r="AE23" s="781">
        <f t="shared" si="4"/>
        <v>0</v>
      </c>
      <c r="AF23" s="781">
        <f t="shared" si="5"/>
        <v>0</v>
      </c>
      <c r="AG23" s="781">
        <f t="shared" si="6"/>
        <v>0</v>
      </c>
      <c r="AH23" s="781">
        <f t="shared" si="7"/>
        <v>0</v>
      </c>
      <c r="AI23" s="782">
        <f t="shared" si="8"/>
        <v>0</v>
      </c>
      <c r="AJ23" s="781">
        <f t="shared" si="9"/>
        <v>0</v>
      </c>
      <c r="AK23" s="781">
        <f t="shared" si="10"/>
        <v>0</v>
      </c>
      <c r="AL23" s="781">
        <f t="shared" si="11"/>
        <v>0</v>
      </c>
      <c r="AM23" s="781">
        <f t="shared" si="12"/>
        <v>0</v>
      </c>
      <c r="AN23" s="781">
        <f t="shared" si="13"/>
        <v>0</v>
      </c>
      <c r="AO23" s="781">
        <f t="shared" si="14"/>
        <v>0</v>
      </c>
      <c r="AP23" s="781">
        <f t="shared" si="15"/>
        <v>0</v>
      </c>
      <c r="AQ23" s="781">
        <f t="shared" si="16"/>
        <v>0</v>
      </c>
      <c r="AR23" s="781">
        <f t="shared" si="17"/>
        <v>0</v>
      </c>
      <c r="AS23" s="783">
        <f t="shared" si="18"/>
        <v>0</v>
      </c>
    </row>
    <row r="24" spans="1:45" ht="15" x14ac:dyDescent="0.25">
      <c r="A24" s="768"/>
      <c r="B24" s="719">
        <f t="shared" si="19"/>
        <v>16</v>
      </c>
      <c r="C24" s="170"/>
      <c r="D24" s="557"/>
      <c r="E24" s="170"/>
      <c r="F24" s="170">
        <v>8</v>
      </c>
      <c r="G24" s="1953" t="s">
        <v>1670</v>
      </c>
      <c r="H24" s="2039"/>
      <c r="I24" s="768" t="s">
        <v>740</v>
      </c>
      <c r="J24" s="2039"/>
      <c r="K24" s="842"/>
      <c r="L24" s="488"/>
      <c r="M24" s="2041">
        <v>0</v>
      </c>
      <c r="N24" s="1966">
        <v>1</v>
      </c>
      <c r="O24" s="1967">
        <f t="shared" si="20"/>
        <v>0</v>
      </c>
      <c r="P24" s="2008" t="s">
        <v>39</v>
      </c>
      <c r="Q24" s="2008" t="s">
        <v>39</v>
      </c>
      <c r="R24" s="2011" t="s">
        <v>73</v>
      </c>
      <c r="S24" s="1968">
        <f>SUMIF('Data Input sheet'!$B$118:$B$180,R24,'Data Input sheet'!$D$118:$D$180)</f>
        <v>119</v>
      </c>
      <c r="T24" s="1863">
        <f t="shared" si="21"/>
        <v>0</v>
      </c>
      <c r="U24" s="2042"/>
      <c r="V24" s="1969">
        <f t="shared" si="22"/>
        <v>0</v>
      </c>
      <c r="W24" s="2043"/>
      <c r="X24" s="1970"/>
      <c r="Y24" s="2047">
        <v>75</v>
      </c>
      <c r="Z24" s="780">
        <f t="shared" si="2"/>
        <v>75</v>
      </c>
      <c r="AA24" s="2007"/>
      <c r="AB24" s="2007"/>
      <c r="AC24" s="765"/>
      <c r="AD24" s="781">
        <f t="shared" si="3"/>
        <v>0</v>
      </c>
      <c r="AE24" s="781">
        <f t="shared" si="4"/>
        <v>0</v>
      </c>
      <c r="AF24" s="781">
        <f t="shared" si="5"/>
        <v>0</v>
      </c>
      <c r="AG24" s="781">
        <f t="shared" si="6"/>
        <v>0</v>
      </c>
      <c r="AH24" s="781">
        <f t="shared" si="7"/>
        <v>0</v>
      </c>
      <c r="AI24" s="782">
        <f t="shared" si="8"/>
        <v>0</v>
      </c>
      <c r="AJ24" s="781">
        <f t="shared" si="9"/>
        <v>0</v>
      </c>
      <c r="AK24" s="781">
        <f t="shared" si="10"/>
        <v>0</v>
      </c>
      <c r="AL24" s="781">
        <f t="shared" si="11"/>
        <v>0</v>
      </c>
      <c r="AM24" s="781">
        <f t="shared" si="12"/>
        <v>0</v>
      </c>
      <c r="AN24" s="781">
        <f t="shared" si="13"/>
        <v>0</v>
      </c>
      <c r="AO24" s="781">
        <f t="shared" si="14"/>
        <v>0</v>
      </c>
      <c r="AP24" s="781">
        <f t="shared" si="15"/>
        <v>0</v>
      </c>
      <c r="AQ24" s="781">
        <f t="shared" si="16"/>
        <v>0</v>
      </c>
      <c r="AR24" s="781">
        <f t="shared" si="17"/>
        <v>0</v>
      </c>
      <c r="AS24" s="783">
        <f t="shared" si="18"/>
        <v>0</v>
      </c>
    </row>
    <row r="25" spans="1:45" ht="15" x14ac:dyDescent="0.25">
      <c r="A25" s="768"/>
      <c r="B25" s="719">
        <f t="shared" si="19"/>
        <v>17</v>
      </c>
      <c r="C25" s="170"/>
      <c r="D25" s="557"/>
      <c r="E25" s="170"/>
      <c r="F25" s="170">
        <v>8</v>
      </c>
      <c r="G25" s="1953" t="s">
        <v>1671</v>
      </c>
      <c r="H25" s="2039"/>
      <c r="I25" s="768" t="s">
        <v>740</v>
      </c>
      <c r="J25" s="2039"/>
      <c r="K25" s="842"/>
      <c r="L25" s="488"/>
      <c r="M25" s="2041">
        <v>0</v>
      </c>
      <c r="N25" s="1966">
        <v>1</v>
      </c>
      <c r="O25" s="1967">
        <f t="shared" si="20"/>
        <v>0</v>
      </c>
      <c r="P25" s="2008" t="s">
        <v>39</v>
      </c>
      <c r="Q25" s="2008" t="s">
        <v>39</v>
      </c>
      <c r="R25" s="2011" t="s">
        <v>73</v>
      </c>
      <c r="S25" s="1968">
        <f>SUMIF('Data Input sheet'!$B$118:$B$180,R25,'Data Input sheet'!$D$118:$D$180)</f>
        <v>119</v>
      </c>
      <c r="T25" s="1863">
        <f t="shared" si="21"/>
        <v>0</v>
      </c>
      <c r="U25" s="2042"/>
      <c r="V25" s="1969">
        <f t="shared" si="22"/>
        <v>0</v>
      </c>
      <c r="W25" s="2043"/>
      <c r="X25" s="1970"/>
      <c r="Y25" s="2047">
        <v>38</v>
      </c>
      <c r="Z25" s="780">
        <f t="shared" si="2"/>
        <v>38</v>
      </c>
      <c r="AA25" s="2007"/>
      <c r="AB25" s="2007"/>
      <c r="AC25" s="765"/>
      <c r="AD25" s="781">
        <f t="shared" si="3"/>
        <v>0</v>
      </c>
      <c r="AE25" s="781">
        <f t="shared" si="4"/>
        <v>0</v>
      </c>
      <c r="AF25" s="781">
        <f t="shared" si="5"/>
        <v>0</v>
      </c>
      <c r="AG25" s="781">
        <f t="shared" si="6"/>
        <v>0</v>
      </c>
      <c r="AH25" s="781">
        <f t="shared" si="7"/>
        <v>0</v>
      </c>
      <c r="AI25" s="782">
        <f t="shared" si="8"/>
        <v>0</v>
      </c>
      <c r="AJ25" s="781">
        <f t="shared" si="9"/>
        <v>0</v>
      </c>
      <c r="AK25" s="781">
        <f t="shared" si="10"/>
        <v>0</v>
      </c>
      <c r="AL25" s="781">
        <f t="shared" si="11"/>
        <v>0</v>
      </c>
      <c r="AM25" s="781">
        <f t="shared" si="12"/>
        <v>0</v>
      </c>
      <c r="AN25" s="781">
        <f t="shared" si="13"/>
        <v>0</v>
      </c>
      <c r="AO25" s="781">
        <f t="shared" si="14"/>
        <v>0</v>
      </c>
      <c r="AP25" s="781">
        <f t="shared" si="15"/>
        <v>0</v>
      </c>
      <c r="AQ25" s="781">
        <f t="shared" si="16"/>
        <v>0</v>
      </c>
      <c r="AR25" s="781">
        <f t="shared" si="17"/>
        <v>0</v>
      </c>
      <c r="AS25" s="783">
        <f t="shared" si="18"/>
        <v>0</v>
      </c>
    </row>
    <row r="26" spans="1:45" ht="15" x14ac:dyDescent="0.25">
      <c r="A26" s="768"/>
      <c r="B26" s="719">
        <f t="shared" si="19"/>
        <v>18</v>
      </c>
      <c r="C26" s="170"/>
      <c r="D26" s="557"/>
      <c r="E26" s="170"/>
      <c r="F26" s="170">
        <v>15</v>
      </c>
      <c r="G26" s="1953" t="s">
        <v>1672</v>
      </c>
      <c r="H26" s="2039"/>
      <c r="I26" s="768" t="s">
        <v>740</v>
      </c>
      <c r="J26" s="2039"/>
      <c r="K26" s="842"/>
      <c r="L26" s="488"/>
      <c r="M26" s="2041">
        <v>0</v>
      </c>
      <c r="N26" s="1966">
        <v>1</v>
      </c>
      <c r="O26" s="1967">
        <f t="shared" si="20"/>
        <v>0</v>
      </c>
      <c r="P26" s="2008" t="s">
        <v>39</v>
      </c>
      <c r="Q26" s="2008" t="s">
        <v>39</v>
      </c>
      <c r="R26" s="2011" t="s">
        <v>73</v>
      </c>
      <c r="S26" s="1968">
        <f>SUMIF('Data Input sheet'!$B$118:$B$180,R26,'Data Input sheet'!$D$118:$D$180)</f>
        <v>119</v>
      </c>
      <c r="T26" s="1863">
        <f t="shared" si="21"/>
        <v>0</v>
      </c>
      <c r="U26" s="2042"/>
      <c r="V26" s="1969">
        <f t="shared" si="22"/>
        <v>0</v>
      </c>
      <c r="W26" s="2043">
        <v>34</v>
      </c>
      <c r="X26" s="1970"/>
      <c r="Y26" s="2047">
        <v>0</v>
      </c>
      <c r="Z26" s="780">
        <f t="shared" si="2"/>
        <v>34</v>
      </c>
      <c r="AA26" s="2007"/>
      <c r="AB26" s="2007"/>
      <c r="AC26" s="765"/>
      <c r="AD26" s="781">
        <f t="shared" si="3"/>
        <v>0</v>
      </c>
      <c r="AE26" s="781">
        <f t="shared" si="4"/>
        <v>0</v>
      </c>
      <c r="AF26" s="781">
        <f t="shared" si="5"/>
        <v>0</v>
      </c>
      <c r="AG26" s="781">
        <f t="shared" si="6"/>
        <v>0</v>
      </c>
      <c r="AH26" s="781">
        <f t="shared" si="7"/>
        <v>0</v>
      </c>
      <c r="AI26" s="782">
        <f t="shared" si="8"/>
        <v>0</v>
      </c>
      <c r="AJ26" s="781">
        <f t="shared" si="9"/>
        <v>0</v>
      </c>
      <c r="AK26" s="781">
        <f t="shared" si="10"/>
        <v>0</v>
      </c>
      <c r="AL26" s="781">
        <f t="shared" si="11"/>
        <v>0</v>
      </c>
      <c r="AM26" s="781">
        <f t="shared" si="12"/>
        <v>0</v>
      </c>
      <c r="AN26" s="781">
        <f t="shared" si="13"/>
        <v>0</v>
      </c>
      <c r="AO26" s="781">
        <f t="shared" si="14"/>
        <v>0</v>
      </c>
      <c r="AP26" s="781">
        <f t="shared" si="15"/>
        <v>0</v>
      </c>
      <c r="AQ26" s="781">
        <f t="shared" si="16"/>
        <v>0</v>
      </c>
      <c r="AR26" s="781">
        <f t="shared" si="17"/>
        <v>0</v>
      </c>
      <c r="AS26" s="783">
        <f t="shared" si="18"/>
        <v>0</v>
      </c>
    </row>
    <row r="27" spans="1:45" ht="15" x14ac:dyDescent="0.25">
      <c r="A27" s="768"/>
      <c r="B27" s="719">
        <f t="shared" si="19"/>
        <v>19</v>
      </c>
      <c r="C27" s="170"/>
      <c r="D27" s="557"/>
      <c r="E27" s="170"/>
      <c r="F27" s="170">
        <v>0</v>
      </c>
      <c r="G27" s="1952" t="s">
        <v>1631</v>
      </c>
      <c r="H27" s="2039"/>
      <c r="I27" s="1955"/>
      <c r="J27" s="2039"/>
      <c r="K27" s="1965"/>
      <c r="L27" s="1971"/>
      <c r="M27" s="2041">
        <v>0</v>
      </c>
      <c r="N27" s="1972">
        <v>1</v>
      </c>
      <c r="O27" s="1973">
        <f t="shared" si="20"/>
        <v>0</v>
      </c>
      <c r="P27" s="2008" t="s">
        <v>39</v>
      </c>
      <c r="Q27" s="2008" t="s">
        <v>39</v>
      </c>
      <c r="R27" s="2011" t="s">
        <v>73</v>
      </c>
      <c r="S27" s="1974">
        <f>SUMIF('Data Input sheet'!$B$118:$B$180,R27,'Data Input sheet'!$D$118:$D$180)</f>
        <v>119</v>
      </c>
      <c r="T27" s="1975">
        <f t="shared" si="21"/>
        <v>0</v>
      </c>
      <c r="U27" s="2042"/>
      <c r="V27" s="1976">
        <f t="shared" si="22"/>
        <v>0</v>
      </c>
      <c r="W27" s="2043"/>
      <c r="X27" s="1977"/>
      <c r="Y27" s="2047">
        <v>0</v>
      </c>
      <c r="Z27" s="1956">
        <f t="shared" si="2"/>
        <v>0</v>
      </c>
      <c r="AA27" s="2007"/>
      <c r="AB27" s="2007"/>
      <c r="AC27" s="765"/>
      <c r="AD27" s="781">
        <f t="shared" si="3"/>
        <v>0</v>
      </c>
      <c r="AE27" s="781">
        <f t="shared" si="4"/>
        <v>0</v>
      </c>
      <c r="AF27" s="781">
        <f t="shared" si="5"/>
        <v>0</v>
      </c>
      <c r="AG27" s="781">
        <f t="shared" si="6"/>
        <v>0</v>
      </c>
      <c r="AH27" s="781">
        <f t="shared" si="7"/>
        <v>0</v>
      </c>
      <c r="AI27" s="782">
        <f t="shared" si="8"/>
        <v>0</v>
      </c>
      <c r="AJ27" s="781">
        <f t="shared" si="9"/>
        <v>0</v>
      </c>
      <c r="AK27" s="781">
        <f t="shared" si="10"/>
        <v>0</v>
      </c>
      <c r="AL27" s="781">
        <f t="shared" si="11"/>
        <v>0</v>
      </c>
      <c r="AM27" s="781">
        <f t="shared" si="12"/>
        <v>0</v>
      </c>
      <c r="AN27" s="781">
        <f t="shared" si="13"/>
        <v>0</v>
      </c>
      <c r="AO27" s="781">
        <f t="shared" si="14"/>
        <v>0</v>
      </c>
      <c r="AP27" s="781">
        <f t="shared" si="15"/>
        <v>0</v>
      </c>
      <c r="AQ27" s="781">
        <f t="shared" si="16"/>
        <v>0</v>
      </c>
      <c r="AR27" s="781">
        <f t="shared" si="17"/>
        <v>0</v>
      </c>
      <c r="AS27" s="783">
        <f t="shared" si="18"/>
        <v>0</v>
      </c>
    </row>
    <row r="28" spans="1:45" ht="15" x14ac:dyDescent="0.25">
      <c r="A28" s="768"/>
      <c r="B28" s="719">
        <f t="shared" si="19"/>
        <v>20</v>
      </c>
      <c r="C28" s="170"/>
      <c r="D28" s="557"/>
      <c r="E28" s="170"/>
      <c r="F28" s="170">
        <v>18</v>
      </c>
      <c r="G28" s="1953" t="s">
        <v>1632</v>
      </c>
      <c r="H28" s="2039"/>
      <c r="I28" s="768" t="s">
        <v>728</v>
      </c>
      <c r="J28" s="2039"/>
      <c r="K28" s="842"/>
      <c r="L28" s="488"/>
      <c r="M28" s="2041">
        <v>0</v>
      </c>
      <c r="N28" s="1966">
        <v>1</v>
      </c>
      <c r="O28" s="1967">
        <f t="shared" si="20"/>
        <v>0</v>
      </c>
      <c r="P28" s="2008" t="s">
        <v>39</v>
      </c>
      <c r="Q28" s="2008" t="s">
        <v>39</v>
      </c>
      <c r="R28" s="2011" t="s">
        <v>73</v>
      </c>
      <c r="S28" s="1968">
        <f>SUMIF('Data Input sheet'!$B$118:$B$180,R28,'Data Input sheet'!$D$118:$D$180)</f>
        <v>119</v>
      </c>
      <c r="T28" s="1863">
        <f t="shared" si="21"/>
        <v>0</v>
      </c>
      <c r="U28" s="2042"/>
      <c r="V28" s="1969">
        <f t="shared" si="22"/>
        <v>0</v>
      </c>
      <c r="W28" s="2043">
        <v>250</v>
      </c>
      <c r="X28" s="1970"/>
      <c r="Y28" s="2047">
        <v>0</v>
      </c>
      <c r="Z28" s="780">
        <f t="shared" si="2"/>
        <v>250</v>
      </c>
      <c r="AA28" s="2007"/>
      <c r="AB28" s="2007"/>
      <c r="AC28" s="765"/>
      <c r="AD28" s="781">
        <f t="shared" si="3"/>
        <v>0</v>
      </c>
      <c r="AE28" s="781">
        <f t="shared" si="4"/>
        <v>0</v>
      </c>
      <c r="AF28" s="781">
        <f t="shared" si="5"/>
        <v>0</v>
      </c>
      <c r="AG28" s="781">
        <f t="shared" si="6"/>
        <v>0</v>
      </c>
      <c r="AH28" s="781">
        <f t="shared" si="7"/>
        <v>0</v>
      </c>
      <c r="AI28" s="782">
        <f t="shared" si="8"/>
        <v>0</v>
      </c>
      <c r="AJ28" s="781">
        <f t="shared" si="9"/>
        <v>0</v>
      </c>
      <c r="AK28" s="781">
        <f t="shared" si="10"/>
        <v>0</v>
      </c>
      <c r="AL28" s="781">
        <f t="shared" si="11"/>
        <v>0</v>
      </c>
      <c r="AM28" s="781">
        <f t="shared" si="12"/>
        <v>0</v>
      </c>
      <c r="AN28" s="781">
        <f t="shared" si="13"/>
        <v>0</v>
      </c>
      <c r="AO28" s="781">
        <f t="shared" si="14"/>
        <v>0</v>
      </c>
      <c r="AP28" s="781">
        <f t="shared" si="15"/>
        <v>0</v>
      </c>
      <c r="AQ28" s="781">
        <f t="shared" si="16"/>
        <v>0</v>
      </c>
      <c r="AR28" s="781">
        <f t="shared" si="17"/>
        <v>0</v>
      </c>
      <c r="AS28" s="783">
        <f t="shared" si="18"/>
        <v>0</v>
      </c>
    </row>
    <row r="29" spans="1:45" ht="15" x14ac:dyDescent="0.25">
      <c r="A29" s="768"/>
      <c r="B29" s="719">
        <f t="shared" si="19"/>
        <v>21</v>
      </c>
      <c r="C29" s="170"/>
      <c r="D29" s="557"/>
      <c r="E29" s="170"/>
      <c r="F29" s="170">
        <v>18</v>
      </c>
      <c r="G29" s="1953" t="s">
        <v>1633</v>
      </c>
      <c r="H29" s="2039"/>
      <c r="I29" s="768" t="s">
        <v>728</v>
      </c>
      <c r="J29" s="2039"/>
      <c r="K29" s="842"/>
      <c r="L29" s="488"/>
      <c r="M29" s="2041">
        <v>0</v>
      </c>
      <c r="N29" s="1966">
        <v>1</v>
      </c>
      <c r="O29" s="1967">
        <f t="shared" si="20"/>
        <v>0</v>
      </c>
      <c r="P29" s="2008" t="s">
        <v>39</v>
      </c>
      <c r="Q29" s="2008" t="s">
        <v>39</v>
      </c>
      <c r="R29" s="2011" t="s">
        <v>73</v>
      </c>
      <c r="S29" s="1968">
        <f>SUMIF('Data Input sheet'!$B$118:$B$180,R29,'Data Input sheet'!$D$118:$D$180)</f>
        <v>119</v>
      </c>
      <c r="T29" s="1863">
        <f t="shared" si="21"/>
        <v>0</v>
      </c>
      <c r="U29" s="2042"/>
      <c r="V29" s="1969">
        <f t="shared" si="22"/>
        <v>0</v>
      </c>
      <c r="W29" s="2043">
        <v>200</v>
      </c>
      <c r="X29" s="1970"/>
      <c r="Y29" s="2047">
        <v>0</v>
      </c>
      <c r="Z29" s="780">
        <f t="shared" si="2"/>
        <v>200</v>
      </c>
      <c r="AA29" s="2007"/>
      <c r="AB29" s="2007"/>
      <c r="AC29" s="765"/>
      <c r="AD29" s="781">
        <f t="shared" si="3"/>
        <v>0</v>
      </c>
      <c r="AE29" s="781">
        <f t="shared" si="4"/>
        <v>0</v>
      </c>
      <c r="AF29" s="781">
        <f t="shared" si="5"/>
        <v>0</v>
      </c>
      <c r="AG29" s="781">
        <f t="shared" si="6"/>
        <v>0</v>
      </c>
      <c r="AH29" s="781">
        <f t="shared" si="7"/>
        <v>0</v>
      </c>
      <c r="AI29" s="782">
        <f t="shared" si="8"/>
        <v>0</v>
      </c>
      <c r="AJ29" s="781">
        <f t="shared" si="9"/>
        <v>0</v>
      </c>
      <c r="AK29" s="781">
        <f t="shared" si="10"/>
        <v>0</v>
      </c>
      <c r="AL29" s="781">
        <f t="shared" si="11"/>
        <v>0</v>
      </c>
      <c r="AM29" s="781">
        <f t="shared" si="12"/>
        <v>0</v>
      </c>
      <c r="AN29" s="781">
        <f t="shared" si="13"/>
        <v>0</v>
      </c>
      <c r="AO29" s="781">
        <f t="shared" si="14"/>
        <v>0</v>
      </c>
      <c r="AP29" s="781">
        <f t="shared" si="15"/>
        <v>0</v>
      </c>
      <c r="AQ29" s="781">
        <f t="shared" si="16"/>
        <v>0</v>
      </c>
      <c r="AR29" s="781">
        <f t="shared" si="17"/>
        <v>0</v>
      </c>
      <c r="AS29" s="783">
        <f t="shared" si="18"/>
        <v>0</v>
      </c>
    </row>
    <row r="30" spans="1:45" ht="15" x14ac:dyDescent="0.25">
      <c r="A30" s="768"/>
      <c r="B30" s="719">
        <f t="shared" si="19"/>
        <v>22</v>
      </c>
      <c r="C30" s="170"/>
      <c r="D30" s="557"/>
      <c r="E30" s="170"/>
      <c r="F30" s="170">
        <v>0</v>
      </c>
      <c r="G30" s="1952" t="s">
        <v>1634</v>
      </c>
      <c r="H30" s="2039"/>
      <c r="I30" s="1955"/>
      <c r="J30" s="2039"/>
      <c r="K30" s="1965"/>
      <c r="L30" s="1971"/>
      <c r="M30" s="2041">
        <v>0</v>
      </c>
      <c r="N30" s="1972">
        <v>1</v>
      </c>
      <c r="O30" s="1973">
        <f t="shared" si="20"/>
        <v>0</v>
      </c>
      <c r="P30" s="2008" t="s">
        <v>39</v>
      </c>
      <c r="Q30" s="2008" t="s">
        <v>39</v>
      </c>
      <c r="R30" s="2011" t="s">
        <v>73</v>
      </c>
      <c r="S30" s="1974">
        <f>SUMIF('Data Input sheet'!$B$118:$B$180,R30,'Data Input sheet'!$D$118:$D$180)</f>
        <v>119</v>
      </c>
      <c r="T30" s="1975">
        <f t="shared" si="21"/>
        <v>0</v>
      </c>
      <c r="U30" s="2042"/>
      <c r="V30" s="1976">
        <f t="shared" si="22"/>
        <v>0</v>
      </c>
      <c r="W30" s="2043"/>
      <c r="X30" s="1977"/>
      <c r="Y30" s="2047">
        <v>0</v>
      </c>
      <c r="Z30" s="1956">
        <f t="shared" si="2"/>
        <v>0</v>
      </c>
      <c r="AA30" s="2007"/>
      <c r="AB30" s="2007"/>
      <c r="AC30" s="765"/>
      <c r="AD30" s="781">
        <f t="shared" si="3"/>
        <v>0</v>
      </c>
      <c r="AE30" s="781">
        <f t="shared" si="4"/>
        <v>0</v>
      </c>
      <c r="AF30" s="781">
        <f t="shared" si="5"/>
        <v>0</v>
      </c>
      <c r="AG30" s="781">
        <f t="shared" si="6"/>
        <v>0</v>
      </c>
      <c r="AH30" s="781">
        <f t="shared" si="7"/>
        <v>0</v>
      </c>
      <c r="AI30" s="782">
        <f t="shared" si="8"/>
        <v>0</v>
      </c>
      <c r="AJ30" s="781">
        <f t="shared" si="9"/>
        <v>0</v>
      </c>
      <c r="AK30" s="781">
        <f t="shared" si="10"/>
        <v>0</v>
      </c>
      <c r="AL30" s="781">
        <f t="shared" si="11"/>
        <v>0</v>
      </c>
      <c r="AM30" s="781">
        <f t="shared" si="12"/>
        <v>0</v>
      </c>
      <c r="AN30" s="781">
        <f t="shared" si="13"/>
        <v>0</v>
      </c>
      <c r="AO30" s="781">
        <f t="shared" si="14"/>
        <v>0</v>
      </c>
      <c r="AP30" s="781">
        <f t="shared" si="15"/>
        <v>0</v>
      </c>
      <c r="AQ30" s="781">
        <f t="shared" si="16"/>
        <v>0</v>
      </c>
      <c r="AR30" s="781">
        <f t="shared" si="17"/>
        <v>0</v>
      </c>
      <c r="AS30" s="783">
        <f t="shared" si="18"/>
        <v>0</v>
      </c>
    </row>
    <row r="31" spans="1:45" ht="15" x14ac:dyDescent="0.25">
      <c r="A31" s="768"/>
      <c r="B31" s="719">
        <f t="shared" si="19"/>
        <v>23</v>
      </c>
      <c r="C31" s="170"/>
      <c r="D31" s="557"/>
      <c r="E31" s="170"/>
      <c r="F31" s="170">
        <v>16</v>
      </c>
      <c r="G31" s="1953" t="s">
        <v>1635</v>
      </c>
      <c r="H31" s="2039"/>
      <c r="I31" s="768" t="s">
        <v>728</v>
      </c>
      <c r="J31" s="2039"/>
      <c r="K31" s="842"/>
      <c r="L31" s="488"/>
      <c r="M31" s="2041">
        <v>0</v>
      </c>
      <c r="N31" s="1966">
        <v>1</v>
      </c>
      <c r="O31" s="1967">
        <f t="shared" si="20"/>
        <v>0</v>
      </c>
      <c r="P31" s="2008" t="s">
        <v>39</v>
      </c>
      <c r="Q31" s="2008" t="s">
        <v>39</v>
      </c>
      <c r="R31" s="2011" t="s">
        <v>73</v>
      </c>
      <c r="S31" s="1968">
        <f>SUMIF('Data Input sheet'!$B$118:$B$180,R31,'Data Input sheet'!$D$118:$D$180)</f>
        <v>119</v>
      </c>
      <c r="T31" s="1863">
        <f t="shared" si="21"/>
        <v>0</v>
      </c>
      <c r="U31" s="2042"/>
      <c r="V31" s="1969">
        <f t="shared" si="22"/>
        <v>0</v>
      </c>
      <c r="W31" s="2043">
        <v>38</v>
      </c>
      <c r="X31" s="1970"/>
      <c r="Y31" s="2047">
        <v>0</v>
      </c>
      <c r="Z31" s="780">
        <f t="shared" si="2"/>
        <v>38</v>
      </c>
      <c r="AA31" s="2007"/>
      <c r="AB31" s="2007"/>
      <c r="AC31" s="765"/>
      <c r="AD31" s="781">
        <f t="shared" si="3"/>
        <v>0</v>
      </c>
      <c r="AE31" s="781">
        <f t="shared" si="4"/>
        <v>0</v>
      </c>
      <c r="AF31" s="781">
        <f t="shared" si="5"/>
        <v>0</v>
      </c>
      <c r="AG31" s="781">
        <f t="shared" si="6"/>
        <v>0</v>
      </c>
      <c r="AH31" s="781">
        <f t="shared" si="7"/>
        <v>0</v>
      </c>
      <c r="AI31" s="782">
        <f t="shared" si="8"/>
        <v>0</v>
      </c>
      <c r="AJ31" s="781">
        <f t="shared" si="9"/>
        <v>0</v>
      </c>
      <c r="AK31" s="781">
        <f t="shared" si="10"/>
        <v>0</v>
      </c>
      <c r="AL31" s="781">
        <f t="shared" si="11"/>
        <v>0</v>
      </c>
      <c r="AM31" s="781">
        <f t="shared" si="12"/>
        <v>0</v>
      </c>
      <c r="AN31" s="781">
        <f t="shared" si="13"/>
        <v>0</v>
      </c>
      <c r="AO31" s="781">
        <f t="shared" si="14"/>
        <v>0</v>
      </c>
      <c r="AP31" s="781">
        <f t="shared" si="15"/>
        <v>0</v>
      </c>
      <c r="AQ31" s="781">
        <f t="shared" si="16"/>
        <v>0</v>
      </c>
      <c r="AR31" s="781">
        <f t="shared" si="17"/>
        <v>0</v>
      </c>
      <c r="AS31" s="783">
        <f t="shared" si="18"/>
        <v>0</v>
      </c>
    </row>
    <row r="32" spans="1:45" ht="15" x14ac:dyDescent="0.25">
      <c r="A32" s="768"/>
      <c r="B32" s="719">
        <f t="shared" si="19"/>
        <v>24</v>
      </c>
      <c r="C32" s="170"/>
      <c r="D32" s="557"/>
      <c r="E32" s="170"/>
      <c r="F32" s="170">
        <v>16</v>
      </c>
      <c r="G32" s="1953" t="s">
        <v>1636</v>
      </c>
      <c r="H32" s="2039"/>
      <c r="I32" s="768" t="s">
        <v>732</v>
      </c>
      <c r="J32" s="2039"/>
      <c r="K32" s="842"/>
      <c r="L32" s="488"/>
      <c r="M32" s="2041">
        <v>0</v>
      </c>
      <c r="N32" s="1966">
        <v>1</v>
      </c>
      <c r="O32" s="1967">
        <f t="shared" si="20"/>
        <v>0</v>
      </c>
      <c r="P32" s="2008" t="s">
        <v>39</v>
      </c>
      <c r="Q32" s="2008" t="s">
        <v>39</v>
      </c>
      <c r="R32" s="2011" t="s">
        <v>73</v>
      </c>
      <c r="S32" s="1968">
        <f>SUMIF('Data Input sheet'!$B$118:$B$180,R32,'Data Input sheet'!$D$118:$D$180)</f>
        <v>119</v>
      </c>
      <c r="T32" s="1863">
        <f t="shared" si="21"/>
        <v>0</v>
      </c>
      <c r="U32" s="2042"/>
      <c r="V32" s="1969">
        <f t="shared" si="22"/>
        <v>0</v>
      </c>
      <c r="W32" s="2043">
        <v>188</v>
      </c>
      <c r="X32" s="1970"/>
      <c r="Y32" s="2047">
        <v>0</v>
      </c>
      <c r="Z32" s="780">
        <f t="shared" si="2"/>
        <v>188</v>
      </c>
      <c r="AA32" s="2007"/>
      <c r="AB32" s="2007"/>
      <c r="AC32" s="765"/>
      <c r="AD32" s="781">
        <f t="shared" si="3"/>
        <v>0</v>
      </c>
      <c r="AE32" s="781">
        <f t="shared" si="4"/>
        <v>0</v>
      </c>
      <c r="AF32" s="781">
        <f t="shared" si="5"/>
        <v>0</v>
      </c>
      <c r="AG32" s="781">
        <f t="shared" si="6"/>
        <v>0</v>
      </c>
      <c r="AH32" s="781">
        <f t="shared" si="7"/>
        <v>0</v>
      </c>
      <c r="AI32" s="782">
        <f t="shared" si="8"/>
        <v>0</v>
      </c>
      <c r="AJ32" s="781">
        <f t="shared" si="9"/>
        <v>0</v>
      </c>
      <c r="AK32" s="781">
        <f t="shared" si="10"/>
        <v>0</v>
      </c>
      <c r="AL32" s="781">
        <f t="shared" si="11"/>
        <v>0</v>
      </c>
      <c r="AM32" s="781">
        <f t="shared" si="12"/>
        <v>0</v>
      </c>
      <c r="AN32" s="781">
        <f t="shared" si="13"/>
        <v>0</v>
      </c>
      <c r="AO32" s="781">
        <f t="shared" si="14"/>
        <v>0</v>
      </c>
      <c r="AP32" s="781">
        <f t="shared" si="15"/>
        <v>0</v>
      </c>
      <c r="AQ32" s="781">
        <f t="shared" si="16"/>
        <v>0</v>
      </c>
      <c r="AR32" s="781">
        <f t="shared" si="17"/>
        <v>0</v>
      </c>
      <c r="AS32" s="783">
        <f t="shared" si="18"/>
        <v>0</v>
      </c>
    </row>
    <row r="33" spans="1:45" ht="15" x14ac:dyDescent="0.25">
      <c r="A33" s="784"/>
      <c r="B33" s="719">
        <f t="shared" si="19"/>
        <v>25</v>
      </c>
      <c r="C33" s="170"/>
      <c r="D33" s="557"/>
      <c r="E33" s="170"/>
      <c r="F33" s="170">
        <v>16</v>
      </c>
      <c r="G33" s="1953" t="s">
        <v>1637</v>
      </c>
      <c r="H33" s="2039"/>
      <c r="I33" s="768" t="s">
        <v>732</v>
      </c>
      <c r="J33" s="2039"/>
      <c r="K33" s="842"/>
      <c r="L33" s="488"/>
      <c r="M33" s="2041">
        <v>0</v>
      </c>
      <c r="N33" s="1966">
        <v>1</v>
      </c>
      <c r="O33" s="1967">
        <f t="shared" si="20"/>
        <v>0</v>
      </c>
      <c r="P33" s="2008" t="s">
        <v>39</v>
      </c>
      <c r="Q33" s="2008" t="s">
        <v>39</v>
      </c>
      <c r="R33" s="2011" t="s">
        <v>73</v>
      </c>
      <c r="S33" s="1968">
        <f>SUMIF('Data Input sheet'!$B$118:$B$180,R33,'Data Input sheet'!$D$118:$D$180)</f>
        <v>119</v>
      </c>
      <c r="T33" s="1863">
        <f t="shared" si="21"/>
        <v>0</v>
      </c>
      <c r="U33" s="2042"/>
      <c r="V33" s="1969">
        <f t="shared" si="22"/>
        <v>0</v>
      </c>
      <c r="W33" s="2043">
        <v>94</v>
      </c>
      <c r="X33" s="1970"/>
      <c r="Y33" s="2047">
        <v>0</v>
      </c>
      <c r="Z33" s="780">
        <f t="shared" si="2"/>
        <v>94</v>
      </c>
      <c r="AA33" s="2007"/>
      <c r="AB33" s="2007"/>
      <c r="AC33" s="765"/>
      <c r="AD33" s="781">
        <f t="shared" si="3"/>
        <v>0</v>
      </c>
      <c r="AE33" s="781">
        <f t="shared" si="4"/>
        <v>0</v>
      </c>
      <c r="AF33" s="781">
        <f t="shared" si="5"/>
        <v>0</v>
      </c>
      <c r="AG33" s="781">
        <f t="shared" si="6"/>
        <v>0</v>
      </c>
      <c r="AH33" s="781">
        <f t="shared" si="7"/>
        <v>0</v>
      </c>
      <c r="AI33" s="782">
        <f t="shared" si="8"/>
        <v>0</v>
      </c>
      <c r="AJ33" s="781">
        <f t="shared" si="9"/>
        <v>0</v>
      </c>
      <c r="AK33" s="781">
        <f t="shared" si="10"/>
        <v>0</v>
      </c>
      <c r="AL33" s="781">
        <f t="shared" si="11"/>
        <v>0</v>
      </c>
      <c r="AM33" s="781">
        <f t="shared" si="12"/>
        <v>0</v>
      </c>
      <c r="AN33" s="781">
        <f t="shared" si="13"/>
        <v>0</v>
      </c>
      <c r="AO33" s="781">
        <f t="shared" si="14"/>
        <v>0</v>
      </c>
      <c r="AP33" s="781">
        <f t="shared" si="15"/>
        <v>0</v>
      </c>
      <c r="AQ33" s="781">
        <f t="shared" si="16"/>
        <v>0</v>
      </c>
      <c r="AR33" s="781">
        <f t="shared" si="17"/>
        <v>0</v>
      </c>
      <c r="AS33" s="783">
        <f t="shared" si="18"/>
        <v>0</v>
      </c>
    </row>
    <row r="34" spans="1:45" ht="15" x14ac:dyDescent="0.25">
      <c r="A34" s="784"/>
      <c r="B34" s="719">
        <f t="shared" si="19"/>
        <v>26</v>
      </c>
      <c r="C34" s="170"/>
      <c r="D34" s="557"/>
      <c r="E34" s="170"/>
      <c r="F34" s="170">
        <v>99</v>
      </c>
      <c r="G34" s="1953" t="s">
        <v>1638</v>
      </c>
      <c r="H34" s="2039"/>
      <c r="I34" s="768" t="s">
        <v>728</v>
      </c>
      <c r="J34" s="2039"/>
      <c r="K34" s="842"/>
      <c r="L34" s="488"/>
      <c r="M34" s="2041">
        <v>0</v>
      </c>
      <c r="N34" s="1966">
        <v>1</v>
      </c>
      <c r="O34" s="1967">
        <f t="shared" si="20"/>
        <v>0</v>
      </c>
      <c r="P34" s="2008" t="s">
        <v>39</v>
      </c>
      <c r="Q34" s="2008" t="s">
        <v>39</v>
      </c>
      <c r="R34" s="2011" t="s">
        <v>73</v>
      </c>
      <c r="S34" s="1968">
        <f>SUMIF('Data Input sheet'!$B$118:$B$180,R34,'Data Input sheet'!$D$118:$D$180)</f>
        <v>119</v>
      </c>
      <c r="T34" s="1863">
        <f t="shared" si="21"/>
        <v>0</v>
      </c>
      <c r="U34" s="2042"/>
      <c r="V34" s="1969">
        <f t="shared" si="22"/>
        <v>0</v>
      </c>
      <c r="W34" s="2043"/>
      <c r="X34" s="1970"/>
      <c r="Y34" s="2047">
        <v>13</v>
      </c>
      <c r="Z34" s="780">
        <f t="shared" si="2"/>
        <v>13</v>
      </c>
      <c r="AA34" s="2007"/>
      <c r="AB34" s="2007"/>
      <c r="AC34" s="765"/>
      <c r="AD34" s="781">
        <f t="shared" si="3"/>
        <v>0</v>
      </c>
      <c r="AE34" s="781">
        <f t="shared" si="4"/>
        <v>0</v>
      </c>
      <c r="AF34" s="781">
        <f t="shared" si="5"/>
        <v>0</v>
      </c>
      <c r="AG34" s="781">
        <f t="shared" si="6"/>
        <v>0</v>
      </c>
      <c r="AH34" s="781">
        <f t="shared" si="7"/>
        <v>0</v>
      </c>
      <c r="AI34" s="782">
        <f t="shared" si="8"/>
        <v>0</v>
      </c>
      <c r="AJ34" s="781">
        <f t="shared" si="9"/>
        <v>0</v>
      </c>
      <c r="AK34" s="781">
        <f t="shared" si="10"/>
        <v>0</v>
      </c>
      <c r="AL34" s="781">
        <f t="shared" si="11"/>
        <v>0</v>
      </c>
      <c r="AM34" s="781">
        <f t="shared" si="12"/>
        <v>0</v>
      </c>
      <c r="AN34" s="781">
        <f t="shared" si="13"/>
        <v>0</v>
      </c>
      <c r="AO34" s="781">
        <f t="shared" si="14"/>
        <v>0</v>
      </c>
      <c r="AP34" s="781">
        <f t="shared" si="15"/>
        <v>0</v>
      </c>
      <c r="AQ34" s="781">
        <f t="shared" si="16"/>
        <v>0</v>
      </c>
      <c r="AR34" s="781">
        <f t="shared" si="17"/>
        <v>0</v>
      </c>
      <c r="AS34" s="783">
        <f t="shared" si="18"/>
        <v>0</v>
      </c>
    </row>
    <row r="35" spans="1:45" ht="15" x14ac:dyDescent="0.25">
      <c r="A35" s="768"/>
      <c r="B35" s="719">
        <f t="shared" si="19"/>
        <v>27</v>
      </c>
      <c r="C35" s="170"/>
      <c r="D35" s="557"/>
      <c r="E35" s="170"/>
      <c r="F35" s="170">
        <v>0</v>
      </c>
      <c r="G35" s="1954" t="s">
        <v>1639</v>
      </c>
      <c r="H35" s="2039"/>
      <c r="I35" s="1955"/>
      <c r="J35" s="2039"/>
      <c r="K35" s="1965"/>
      <c r="L35" s="1971"/>
      <c r="M35" s="2041">
        <v>0</v>
      </c>
      <c r="N35" s="1972">
        <v>1</v>
      </c>
      <c r="O35" s="1973">
        <f t="shared" si="20"/>
        <v>0</v>
      </c>
      <c r="P35" s="2008" t="s">
        <v>39</v>
      </c>
      <c r="Q35" s="2008" t="s">
        <v>39</v>
      </c>
      <c r="R35" s="2011" t="s">
        <v>73</v>
      </c>
      <c r="S35" s="1974">
        <f>SUMIF('Data Input sheet'!$B$118:$B$180,R35,'Data Input sheet'!$D$118:$D$180)</f>
        <v>119</v>
      </c>
      <c r="T35" s="1975">
        <f t="shared" si="21"/>
        <v>0</v>
      </c>
      <c r="U35" s="2042"/>
      <c r="V35" s="1976">
        <f t="shared" si="22"/>
        <v>0</v>
      </c>
      <c r="W35" s="2043"/>
      <c r="X35" s="1977"/>
      <c r="Y35" s="2047">
        <v>0</v>
      </c>
      <c r="Z35" s="1956">
        <f t="shared" si="2"/>
        <v>0</v>
      </c>
      <c r="AA35" s="2007"/>
      <c r="AB35" s="2007"/>
      <c r="AC35" s="765"/>
      <c r="AD35" s="781">
        <f t="shared" si="3"/>
        <v>0</v>
      </c>
      <c r="AE35" s="781">
        <f t="shared" si="4"/>
        <v>0</v>
      </c>
      <c r="AF35" s="781">
        <f t="shared" si="5"/>
        <v>0</v>
      </c>
      <c r="AG35" s="781">
        <f t="shared" si="6"/>
        <v>0</v>
      </c>
      <c r="AH35" s="781">
        <f t="shared" si="7"/>
        <v>0</v>
      </c>
      <c r="AI35" s="782">
        <f t="shared" si="8"/>
        <v>0</v>
      </c>
      <c r="AJ35" s="781">
        <f t="shared" si="9"/>
        <v>0</v>
      </c>
      <c r="AK35" s="781">
        <f t="shared" si="10"/>
        <v>0</v>
      </c>
      <c r="AL35" s="781">
        <f t="shared" si="11"/>
        <v>0</v>
      </c>
      <c r="AM35" s="781">
        <f t="shared" si="12"/>
        <v>0</v>
      </c>
      <c r="AN35" s="781">
        <f t="shared" si="13"/>
        <v>0</v>
      </c>
      <c r="AO35" s="781">
        <f t="shared" si="14"/>
        <v>0</v>
      </c>
      <c r="AP35" s="781">
        <f t="shared" si="15"/>
        <v>0</v>
      </c>
      <c r="AQ35" s="781">
        <f t="shared" si="16"/>
        <v>0</v>
      </c>
      <c r="AR35" s="781">
        <f t="shared" si="17"/>
        <v>0</v>
      </c>
      <c r="AS35" s="783">
        <f t="shared" si="18"/>
        <v>0</v>
      </c>
    </row>
    <row r="36" spans="1:45" ht="15" x14ac:dyDescent="0.25">
      <c r="A36" s="768"/>
      <c r="B36" s="719">
        <f t="shared" si="19"/>
        <v>28</v>
      </c>
      <c r="C36" s="170"/>
      <c r="D36" s="557"/>
      <c r="E36" s="170"/>
      <c r="F36" s="170">
        <v>11</v>
      </c>
      <c r="G36" s="1953" t="s">
        <v>1640</v>
      </c>
      <c r="H36" s="2039"/>
      <c r="I36" s="768" t="s">
        <v>728</v>
      </c>
      <c r="J36" s="2039"/>
      <c r="K36" s="842"/>
      <c r="L36" s="488"/>
      <c r="M36" s="2041">
        <v>0</v>
      </c>
      <c r="N36" s="1966">
        <v>1</v>
      </c>
      <c r="O36" s="1967">
        <f t="shared" si="20"/>
        <v>0</v>
      </c>
      <c r="P36" s="2008" t="s">
        <v>39</v>
      </c>
      <c r="Q36" s="2008" t="s">
        <v>39</v>
      </c>
      <c r="R36" s="2011" t="s">
        <v>73</v>
      </c>
      <c r="S36" s="1968">
        <f>SUMIF('Data Input sheet'!$B$118:$B$180,R36,'Data Input sheet'!$D$118:$D$180)</f>
        <v>119</v>
      </c>
      <c r="T36" s="1863">
        <f t="shared" si="21"/>
        <v>0</v>
      </c>
      <c r="U36" s="2042"/>
      <c r="V36" s="1969">
        <f t="shared" si="22"/>
        <v>0</v>
      </c>
      <c r="W36" s="2043">
        <v>30</v>
      </c>
      <c r="X36" s="1970"/>
      <c r="Y36" s="2047">
        <v>0</v>
      </c>
      <c r="Z36" s="780">
        <f t="shared" si="2"/>
        <v>30</v>
      </c>
      <c r="AA36" s="2007"/>
      <c r="AB36" s="2007"/>
      <c r="AC36" s="765"/>
      <c r="AD36" s="781">
        <f t="shared" si="3"/>
        <v>0</v>
      </c>
      <c r="AE36" s="781">
        <f t="shared" si="4"/>
        <v>0</v>
      </c>
      <c r="AF36" s="781">
        <f t="shared" si="5"/>
        <v>0</v>
      </c>
      <c r="AG36" s="781">
        <f t="shared" si="6"/>
        <v>0</v>
      </c>
      <c r="AH36" s="781">
        <f t="shared" si="7"/>
        <v>0</v>
      </c>
      <c r="AI36" s="782">
        <f t="shared" si="8"/>
        <v>0</v>
      </c>
      <c r="AJ36" s="781">
        <f t="shared" si="9"/>
        <v>0</v>
      </c>
      <c r="AK36" s="781">
        <f t="shared" si="10"/>
        <v>0</v>
      </c>
      <c r="AL36" s="781">
        <f t="shared" si="11"/>
        <v>0</v>
      </c>
      <c r="AM36" s="781">
        <f t="shared" si="12"/>
        <v>0</v>
      </c>
      <c r="AN36" s="781">
        <f t="shared" si="13"/>
        <v>0</v>
      </c>
      <c r="AO36" s="781">
        <f t="shared" si="14"/>
        <v>0</v>
      </c>
      <c r="AP36" s="781">
        <f t="shared" si="15"/>
        <v>0</v>
      </c>
      <c r="AQ36" s="781">
        <f t="shared" si="16"/>
        <v>0</v>
      </c>
      <c r="AR36" s="781">
        <f t="shared" si="17"/>
        <v>0</v>
      </c>
      <c r="AS36" s="783">
        <f t="shared" si="18"/>
        <v>0</v>
      </c>
    </row>
    <row r="37" spans="1:45" ht="15" x14ac:dyDescent="0.25">
      <c r="A37" s="768"/>
      <c r="B37" s="719">
        <f t="shared" si="19"/>
        <v>29</v>
      </c>
      <c r="C37" s="170"/>
      <c r="D37" s="557"/>
      <c r="E37" s="170"/>
      <c r="F37" s="170">
        <v>0</v>
      </c>
      <c r="G37" s="1952" t="s">
        <v>1641</v>
      </c>
      <c r="H37" s="2039"/>
      <c r="I37" s="1955"/>
      <c r="J37" s="2039"/>
      <c r="K37" s="1965"/>
      <c r="L37" s="1971"/>
      <c r="M37" s="2041">
        <v>0</v>
      </c>
      <c r="N37" s="1972">
        <v>1</v>
      </c>
      <c r="O37" s="1973">
        <f t="shared" si="20"/>
        <v>0</v>
      </c>
      <c r="P37" s="2008" t="s">
        <v>39</v>
      </c>
      <c r="Q37" s="2008" t="s">
        <v>39</v>
      </c>
      <c r="R37" s="2011" t="s">
        <v>73</v>
      </c>
      <c r="S37" s="1974">
        <f>SUMIF('Data Input sheet'!$B$118:$B$180,R37,'Data Input sheet'!$D$118:$D$180)</f>
        <v>119</v>
      </c>
      <c r="T37" s="1975">
        <f t="shared" si="21"/>
        <v>0</v>
      </c>
      <c r="U37" s="2042"/>
      <c r="V37" s="1976">
        <f t="shared" si="22"/>
        <v>0</v>
      </c>
      <c r="W37" s="2043"/>
      <c r="X37" s="1977"/>
      <c r="Y37" s="2047">
        <v>0</v>
      </c>
      <c r="Z37" s="1956">
        <f t="shared" si="2"/>
        <v>0</v>
      </c>
      <c r="AA37" s="2007"/>
      <c r="AB37" s="2007"/>
      <c r="AC37" s="765"/>
      <c r="AD37" s="781">
        <f t="shared" si="3"/>
        <v>0</v>
      </c>
      <c r="AE37" s="781">
        <f t="shared" si="4"/>
        <v>0</v>
      </c>
      <c r="AF37" s="781">
        <f t="shared" si="5"/>
        <v>0</v>
      </c>
      <c r="AG37" s="781">
        <f t="shared" si="6"/>
        <v>0</v>
      </c>
      <c r="AH37" s="781">
        <f t="shared" si="7"/>
        <v>0</v>
      </c>
      <c r="AI37" s="782">
        <f t="shared" si="8"/>
        <v>0</v>
      </c>
      <c r="AJ37" s="781">
        <f t="shared" si="9"/>
        <v>0</v>
      </c>
      <c r="AK37" s="781">
        <f t="shared" si="10"/>
        <v>0</v>
      </c>
      <c r="AL37" s="781">
        <f t="shared" si="11"/>
        <v>0</v>
      </c>
      <c r="AM37" s="781">
        <f t="shared" si="12"/>
        <v>0</v>
      </c>
      <c r="AN37" s="781">
        <f t="shared" si="13"/>
        <v>0</v>
      </c>
      <c r="AO37" s="781">
        <f t="shared" si="14"/>
        <v>0</v>
      </c>
      <c r="AP37" s="781">
        <f t="shared" si="15"/>
        <v>0</v>
      </c>
      <c r="AQ37" s="781">
        <f t="shared" si="16"/>
        <v>0</v>
      </c>
      <c r="AR37" s="781">
        <f t="shared" si="17"/>
        <v>0</v>
      </c>
      <c r="AS37" s="783">
        <f t="shared" si="18"/>
        <v>0</v>
      </c>
    </row>
    <row r="38" spans="1:45" ht="15" x14ac:dyDescent="0.25">
      <c r="A38" s="768"/>
      <c r="B38" s="719">
        <f t="shared" si="19"/>
        <v>30</v>
      </c>
      <c r="C38" s="170"/>
      <c r="D38" s="557"/>
      <c r="E38" s="170"/>
      <c r="F38" s="170">
        <v>15</v>
      </c>
      <c r="G38" s="1953" t="s">
        <v>1642</v>
      </c>
      <c r="H38" s="2039"/>
      <c r="I38" s="768" t="s">
        <v>671</v>
      </c>
      <c r="J38" s="2039"/>
      <c r="K38" s="842"/>
      <c r="L38" s="488"/>
      <c r="M38" s="2041">
        <v>0</v>
      </c>
      <c r="N38" s="1966">
        <v>1</v>
      </c>
      <c r="O38" s="1967">
        <f t="shared" si="20"/>
        <v>0</v>
      </c>
      <c r="P38" s="2008" t="s">
        <v>39</v>
      </c>
      <c r="Q38" s="2008" t="s">
        <v>39</v>
      </c>
      <c r="R38" s="2011" t="s">
        <v>73</v>
      </c>
      <c r="S38" s="1968">
        <f>SUMIF('Data Input sheet'!$B$118:$B$180,R38,'Data Input sheet'!$D$118:$D$180)</f>
        <v>119</v>
      </c>
      <c r="T38" s="1863">
        <f t="shared" si="21"/>
        <v>0</v>
      </c>
      <c r="U38" s="2042"/>
      <c r="V38" s="1969">
        <f t="shared" si="22"/>
        <v>0</v>
      </c>
      <c r="W38" s="2043">
        <v>31</v>
      </c>
      <c r="X38" s="1970"/>
      <c r="Y38" s="2047">
        <v>0</v>
      </c>
      <c r="Z38" s="780">
        <f t="shared" si="2"/>
        <v>31</v>
      </c>
      <c r="AA38" s="2007"/>
      <c r="AB38" s="2007"/>
      <c r="AC38" s="765"/>
      <c r="AD38" s="781">
        <f t="shared" si="3"/>
        <v>0</v>
      </c>
      <c r="AE38" s="781">
        <f t="shared" si="4"/>
        <v>0</v>
      </c>
      <c r="AF38" s="781">
        <f t="shared" si="5"/>
        <v>0</v>
      </c>
      <c r="AG38" s="781">
        <f t="shared" si="6"/>
        <v>0</v>
      </c>
      <c r="AH38" s="781">
        <f t="shared" si="7"/>
        <v>0</v>
      </c>
      <c r="AI38" s="782">
        <f t="shared" si="8"/>
        <v>0</v>
      </c>
      <c r="AJ38" s="781">
        <f t="shared" si="9"/>
        <v>0</v>
      </c>
      <c r="AK38" s="781">
        <f t="shared" si="10"/>
        <v>0</v>
      </c>
      <c r="AL38" s="781">
        <f t="shared" si="11"/>
        <v>0</v>
      </c>
      <c r="AM38" s="781">
        <f t="shared" si="12"/>
        <v>0</v>
      </c>
      <c r="AN38" s="781">
        <f t="shared" si="13"/>
        <v>0</v>
      </c>
      <c r="AO38" s="781">
        <f t="shared" si="14"/>
        <v>0</v>
      </c>
      <c r="AP38" s="781">
        <f t="shared" si="15"/>
        <v>0</v>
      </c>
      <c r="AQ38" s="781">
        <f t="shared" si="16"/>
        <v>0</v>
      </c>
      <c r="AR38" s="781">
        <f t="shared" si="17"/>
        <v>0</v>
      </c>
      <c r="AS38" s="783">
        <f t="shared" si="18"/>
        <v>0</v>
      </c>
    </row>
    <row r="39" spans="1:45" ht="15" x14ac:dyDescent="0.25">
      <c r="A39" s="768"/>
      <c r="B39" s="719">
        <f t="shared" si="19"/>
        <v>31</v>
      </c>
      <c r="C39" s="170"/>
      <c r="D39" s="557"/>
      <c r="E39" s="170"/>
      <c r="F39" s="170">
        <v>0</v>
      </c>
      <c r="G39" s="1952" t="s">
        <v>1643</v>
      </c>
      <c r="H39" s="2039"/>
      <c r="I39" s="1955"/>
      <c r="J39" s="2039"/>
      <c r="K39" s="1965"/>
      <c r="L39" s="1971"/>
      <c r="M39" s="2041">
        <v>0</v>
      </c>
      <c r="N39" s="1972">
        <v>1</v>
      </c>
      <c r="O39" s="1973">
        <f t="shared" si="20"/>
        <v>0</v>
      </c>
      <c r="P39" s="2008" t="s">
        <v>39</v>
      </c>
      <c r="Q39" s="2008" t="s">
        <v>39</v>
      </c>
      <c r="R39" s="2011" t="s">
        <v>73</v>
      </c>
      <c r="S39" s="1974">
        <f>SUMIF('Data Input sheet'!$B$118:$B$180,R39,'Data Input sheet'!$D$118:$D$180)</f>
        <v>119</v>
      </c>
      <c r="T39" s="1975">
        <f t="shared" si="21"/>
        <v>0</v>
      </c>
      <c r="U39" s="2042"/>
      <c r="V39" s="1976">
        <f t="shared" si="22"/>
        <v>0</v>
      </c>
      <c r="W39" s="2043"/>
      <c r="X39" s="1977"/>
      <c r="Y39" s="2047">
        <v>0</v>
      </c>
      <c r="Z39" s="1956">
        <f t="shared" si="2"/>
        <v>0</v>
      </c>
      <c r="AA39" s="2007"/>
      <c r="AB39" s="2007"/>
      <c r="AC39" s="765"/>
      <c r="AD39" s="781">
        <f t="shared" si="3"/>
        <v>0</v>
      </c>
      <c r="AE39" s="781">
        <f t="shared" si="4"/>
        <v>0</v>
      </c>
      <c r="AF39" s="781">
        <f t="shared" si="5"/>
        <v>0</v>
      </c>
      <c r="AG39" s="781">
        <f t="shared" si="6"/>
        <v>0</v>
      </c>
      <c r="AH39" s="781">
        <f t="shared" si="7"/>
        <v>0</v>
      </c>
      <c r="AI39" s="782">
        <f t="shared" si="8"/>
        <v>0</v>
      </c>
      <c r="AJ39" s="781">
        <f t="shared" si="9"/>
        <v>0</v>
      </c>
      <c r="AK39" s="781">
        <f t="shared" si="10"/>
        <v>0</v>
      </c>
      <c r="AL39" s="781">
        <f t="shared" si="11"/>
        <v>0</v>
      </c>
      <c r="AM39" s="781">
        <f t="shared" si="12"/>
        <v>0</v>
      </c>
      <c r="AN39" s="781">
        <f t="shared" si="13"/>
        <v>0</v>
      </c>
      <c r="AO39" s="781">
        <f t="shared" si="14"/>
        <v>0</v>
      </c>
      <c r="AP39" s="781">
        <f t="shared" si="15"/>
        <v>0</v>
      </c>
      <c r="AQ39" s="781">
        <f t="shared" si="16"/>
        <v>0</v>
      </c>
      <c r="AR39" s="781">
        <f t="shared" si="17"/>
        <v>0</v>
      </c>
      <c r="AS39" s="783">
        <f t="shared" si="18"/>
        <v>0</v>
      </c>
    </row>
    <row r="40" spans="1:45" ht="15" x14ac:dyDescent="0.25">
      <c r="A40" s="768"/>
      <c r="B40" s="719">
        <f t="shared" si="19"/>
        <v>32</v>
      </c>
      <c r="C40" s="170"/>
      <c r="D40" s="557"/>
      <c r="E40" s="170"/>
      <c r="F40" s="170">
        <v>26</v>
      </c>
      <c r="G40" s="1953" t="s">
        <v>1644</v>
      </c>
      <c r="H40" s="2039"/>
      <c r="I40" s="768" t="s">
        <v>732</v>
      </c>
      <c r="J40" s="2039"/>
      <c r="K40" s="842"/>
      <c r="L40" s="488"/>
      <c r="M40" s="2041">
        <v>0</v>
      </c>
      <c r="N40" s="1966">
        <v>1</v>
      </c>
      <c r="O40" s="1967">
        <f t="shared" si="20"/>
        <v>0</v>
      </c>
      <c r="P40" s="2008" t="s">
        <v>39</v>
      </c>
      <c r="Q40" s="2008" t="s">
        <v>39</v>
      </c>
      <c r="R40" s="2011" t="s">
        <v>73</v>
      </c>
      <c r="S40" s="1968">
        <f>SUMIF('Data Input sheet'!$B$118:$B$180,R40,'Data Input sheet'!$D$118:$D$180)</f>
        <v>119</v>
      </c>
      <c r="T40" s="1863">
        <f t="shared" si="21"/>
        <v>0</v>
      </c>
      <c r="U40" s="2042"/>
      <c r="V40" s="1969">
        <f t="shared" si="22"/>
        <v>0</v>
      </c>
      <c r="W40" s="2043">
        <v>438</v>
      </c>
      <c r="X40" s="1970"/>
      <c r="Y40" s="2047">
        <v>0</v>
      </c>
      <c r="Z40" s="780">
        <f t="shared" si="2"/>
        <v>438</v>
      </c>
      <c r="AA40" s="2007"/>
      <c r="AB40" s="2007"/>
      <c r="AC40" s="765"/>
      <c r="AD40" s="781">
        <f t="shared" si="3"/>
        <v>0</v>
      </c>
      <c r="AE40" s="781">
        <f t="shared" si="4"/>
        <v>0</v>
      </c>
      <c r="AF40" s="781">
        <f t="shared" si="5"/>
        <v>0</v>
      </c>
      <c r="AG40" s="781">
        <f t="shared" si="6"/>
        <v>0</v>
      </c>
      <c r="AH40" s="781">
        <f t="shared" si="7"/>
        <v>0</v>
      </c>
      <c r="AI40" s="782">
        <f t="shared" si="8"/>
        <v>0</v>
      </c>
      <c r="AJ40" s="781">
        <f t="shared" si="9"/>
        <v>0</v>
      </c>
      <c r="AK40" s="781">
        <f t="shared" si="10"/>
        <v>0</v>
      </c>
      <c r="AL40" s="781">
        <f t="shared" si="11"/>
        <v>0</v>
      </c>
      <c r="AM40" s="781">
        <f t="shared" si="12"/>
        <v>0</v>
      </c>
      <c r="AN40" s="781">
        <f t="shared" si="13"/>
        <v>0</v>
      </c>
      <c r="AO40" s="781">
        <f t="shared" si="14"/>
        <v>0</v>
      </c>
      <c r="AP40" s="781">
        <f t="shared" si="15"/>
        <v>0</v>
      </c>
      <c r="AQ40" s="781">
        <f t="shared" si="16"/>
        <v>0</v>
      </c>
      <c r="AR40" s="781">
        <f t="shared" si="17"/>
        <v>0</v>
      </c>
      <c r="AS40" s="783">
        <f t="shared" si="18"/>
        <v>0</v>
      </c>
    </row>
    <row r="41" spans="1:45" ht="15" x14ac:dyDescent="0.25">
      <c r="A41" s="768"/>
      <c r="B41" s="719">
        <f t="shared" si="19"/>
        <v>33</v>
      </c>
      <c r="C41" s="170"/>
      <c r="D41" s="557"/>
      <c r="E41" s="170"/>
      <c r="F41" s="170">
        <v>26</v>
      </c>
      <c r="G41" s="1953" t="s">
        <v>1645</v>
      </c>
      <c r="H41" s="2039"/>
      <c r="I41" s="768" t="s">
        <v>732</v>
      </c>
      <c r="J41" s="2039"/>
      <c r="K41" s="842"/>
      <c r="L41" s="488"/>
      <c r="M41" s="2041">
        <v>0</v>
      </c>
      <c r="N41" s="1966">
        <v>1</v>
      </c>
      <c r="O41" s="1967">
        <f t="shared" si="20"/>
        <v>0</v>
      </c>
      <c r="P41" s="2008" t="s">
        <v>39</v>
      </c>
      <c r="Q41" s="2008" t="s">
        <v>39</v>
      </c>
      <c r="R41" s="2011" t="s">
        <v>73</v>
      </c>
      <c r="S41" s="1968">
        <f>SUMIF('Data Input sheet'!$B$118:$B$180,R41,'Data Input sheet'!$D$118:$D$180)</f>
        <v>119</v>
      </c>
      <c r="T41" s="1863">
        <f t="shared" si="21"/>
        <v>0</v>
      </c>
      <c r="U41" s="2042"/>
      <c r="V41" s="1969">
        <f t="shared" si="22"/>
        <v>0</v>
      </c>
      <c r="W41" s="2043">
        <v>625</v>
      </c>
      <c r="X41" s="1970"/>
      <c r="Y41" s="2047">
        <v>0</v>
      </c>
      <c r="Z41" s="780">
        <f t="shared" si="2"/>
        <v>625</v>
      </c>
      <c r="AA41" s="2007"/>
      <c r="AB41" s="2007"/>
      <c r="AC41" s="765"/>
      <c r="AD41" s="781">
        <f t="shared" si="3"/>
        <v>0</v>
      </c>
      <c r="AE41" s="781">
        <f t="shared" si="4"/>
        <v>0</v>
      </c>
      <c r="AF41" s="781">
        <f t="shared" si="5"/>
        <v>0</v>
      </c>
      <c r="AG41" s="781">
        <f t="shared" si="6"/>
        <v>0</v>
      </c>
      <c r="AH41" s="781">
        <f t="shared" si="7"/>
        <v>0</v>
      </c>
      <c r="AI41" s="782">
        <f t="shared" si="8"/>
        <v>0</v>
      </c>
      <c r="AJ41" s="781">
        <f t="shared" si="9"/>
        <v>0</v>
      </c>
      <c r="AK41" s="781">
        <f t="shared" si="10"/>
        <v>0</v>
      </c>
      <c r="AL41" s="781">
        <f t="shared" si="11"/>
        <v>0</v>
      </c>
      <c r="AM41" s="781">
        <f t="shared" si="12"/>
        <v>0</v>
      </c>
      <c r="AN41" s="781">
        <f t="shared" si="13"/>
        <v>0</v>
      </c>
      <c r="AO41" s="781">
        <f t="shared" si="14"/>
        <v>0</v>
      </c>
      <c r="AP41" s="781">
        <f t="shared" si="15"/>
        <v>0</v>
      </c>
      <c r="AQ41" s="781">
        <f t="shared" si="16"/>
        <v>0</v>
      </c>
      <c r="AR41" s="781">
        <f t="shared" si="17"/>
        <v>0</v>
      </c>
      <c r="AS41" s="783">
        <f t="shared" si="18"/>
        <v>0</v>
      </c>
    </row>
    <row r="42" spans="1:45" ht="25.5" x14ac:dyDescent="0.25">
      <c r="A42" s="768"/>
      <c r="B42" s="719">
        <f t="shared" si="19"/>
        <v>34</v>
      </c>
      <c r="C42" s="170"/>
      <c r="D42" s="557"/>
      <c r="E42" s="170"/>
      <c r="F42" s="170">
        <v>26</v>
      </c>
      <c r="G42" s="1953" t="s">
        <v>1646</v>
      </c>
      <c r="H42" s="2039"/>
      <c r="I42" s="768" t="s">
        <v>728</v>
      </c>
      <c r="J42" s="2039"/>
      <c r="K42" s="842"/>
      <c r="L42" s="488"/>
      <c r="M42" s="2041">
        <v>0</v>
      </c>
      <c r="N42" s="1966">
        <v>1</v>
      </c>
      <c r="O42" s="1967">
        <f t="shared" si="20"/>
        <v>0</v>
      </c>
      <c r="P42" s="2008" t="s">
        <v>39</v>
      </c>
      <c r="Q42" s="2008" t="s">
        <v>39</v>
      </c>
      <c r="R42" s="2011" t="s">
        <v>73</v>
      </c>
      <c r="S42" s="1968">
        <f>SUMIF('Data Input sheet'!$B$118:$B$180,R42,'Data Input sheet'!$D$118:$D$180)</f>
        <v>119</v>
      </c>
      <c r="T42" s="1863">
        <f t="shared" si="21"/>
        <v>0</v>
      </c>
      <c r="U42" s="2042"/>
      <c r="V42" s="1969">
        <f t="shared" si="22"/>
        <v>0</v>
      </c>
      <c r="W42" s="2043">
        <v>25</v>
      </c>
      <c r="X42" s="1970"/>
      <c r="Y42" s="2047">
        <v>0</v>
      </c>
      <c r="Z42" s="780">
        <f t="shared" si="2"/>
        <v>25</v>
      </c>
      <c r="AA42" s="2007"/>
      <c r="AB42" s="2007"/>
      <c r="AC42" s="765"/>
      <c r="AD42" s="781">
        <f t="shared" si="3"/>
        <v>0</v>
      </c>
      <c r="AE42" s="781">
        <f t="shared" si="4"/>
        <v>0</v>
      </c>
      <c r="AF42" s="781">
        <f t="shared" si="5"/>
        <v>0</v>
      </c>
      <c r="AG42" s="781">
        <f t="shared" si="6"/>
        <v>0</v>
      </c>
      <c r="AH42" s="781">
        <f t="shared" si="7"/>
        <v>0</v>
      </c>
      <c r="AI42" s="782">
        <f t="shared" si="8"/>
        <v>0</v>
      </c>
      <c r="AJ42" s="781">
        <f t="shared" si="9"/>
        <v>0</v>
      </c>
      <c r="AK42" s="781">
        <f t="shared" si="10"/>
        <v>0</v>
      </c>
      <c r="AL42" s="781">
        <f t="shared" si="11"/>
        <v>0</v>
      </c>
      <c r="AM42" s="781">
        <f t="shared" si="12"/>
        <v>0</v>
      </c>
      <c r="AN42" s="781">
        <f t="shared" si="13"/>
        <v>0</v>
      </c>
      <c r="AO42" s="781">
        <f t="shared" si="14"/>
        <v>0</v>
      </c>
      <c r="AP42" s="781">
        <f t="shared" si="15"/>
        <v>0</v>
      </c>
      <c r="AQ42" s="781">
        <f t="shared" si="16"/>
        <v>0</v>
      </c>
      <c r="AR42" s="781">
        <f t="shared" si="17"/>
        <v>0</v>
      </c>
      <c r="AS42" s="783">
        <f t="shared" si="18"/>
        <v>0</v>
      </c>
    </row>
    <row r="43" spans="1:45" ht="15" x14ac:dyDescent="0.25">
      <c r="A43" s="784"/>
      <c r="B43" s="719">
        <f t="shared" si="19"/>
        <v>35</v>
      </c>
      <c r="C43" s="170"/>
      <c r="D43" s="557"/>
      <c r="E43" s="170"/>
      <c r="F43" s="170">
        <v>0</v>
      </c>
      <c r="G43" s="1954" t="s">
        <v>1647</v>
      </c>
      <c r="H43" s="2039"/>
      <c r="I43" s="1955"/>
      <c r="J43" s="2039"/>
      <c r="K43" s="1965"/>
      <c r="L43" s="1971"/>
      <c r="M43" s="2041">
        <v>0</v>
      </c>
      <c r="N43" s="1972">
        <v>1</v>
      </c>
      <c r="O43" s="1973">
        <f t="shared" si="20"/>
        <v>0</v>
      </c>
      <c r="P43" s="2008" t="s">
        <v>39</v>
      </c>
      <c r="Q43" s="2008" t="s">
        <v>39</v>
      </c>
      <c r="R43" s="2011" t="s">
        <v>73</v>
      </c>
      <c r="S43" s="1974">
        <f>SUMIF('Data Input sheet'!$B$118:$B$180,R43,'Data Input sheet'!$D$118:$D$180)</f>
        <v>119</v>
      </c>
      <c r="T43" s="1975">
        <f t="shared" si="21"/>
        <v>0</v>
      </c>
      <c r="U43" s="2042"/>
      <c r="V43" s="1976">
        <f t="shared" si="22"/>
        <v>0</v>
      </c>
      <c r="W43" s="2043"/>
      <c r="X43" s="1977"/>
      <c r="Y43" s="2047">
        <v>0</v>
      </c>
      <c r="Z43" s="1956">
        <f t="shared" si="2"/>
        <v>0</v>
      </c>
      <c r="AA43" s="2007"/>
      <c r="AB43" s="2007"/>
      <c r="AC43" s="765"/>
      <c r="AD43" s="781">
        <f t="shared" si="3"/>
        <v>0</v>
      </c>
      <c r="AE43" s="781">
        <f t="shared" si="4"/>
        <v>0</v>
      </c>
      <c r="AF43" s="781">
        <f t="shared" si="5"/>
        <v>0</v>
      </c>
      <c r="AG43" s="781">
        <f t="shared" si="6"/>
        <v>0</v>
      </c>
      <c r="AH43" s="781">
        <f t="shared" si="7"/>
        <v>0</v>
      </c>
      <c r="AI43" s="782">
        <f t="shared" si="8"/>
        <v>0</v>
      </c>
      <c r="AJ43" s="781">
        <f t="shared" si="9"/>
        <v>0</v>
      </c>
      <c r="AK43" s="781">
        <f t="shared" si="10"/>
        <v>0</v>
      </c>
      <c r="AL43" s="781">
        <f t="shared" si="11"/>
        <v>0</v>
      </c>
      <c r="AM43" s="781">
        <f t="shared" si="12"/>
        <v>0</v>
      </c>
      <c r="AN43" s="781">
        <f t="shared" si="13"/>
        <v>0</v>
      </c>
      <c r="AO43" s="781">
        <f t="shared" si="14"/>
        <v>0</v>
      </c>
      <c r="AP43" s="781">
        <f t="shared" si="15"/>
        <v>0</v>
      </c>
      <c r="AQ43" s="781">
        <f t="shared" si="16"/>
        <v>0</v>
      </c>
      <c r="AR43" s="781">
        <f t="shared" si="17"/>
        <v>0</v>
      </c>
      <c r="AS43" s="783">
        <f t="shared" si="18"/>
        <v>0</v>
      </c>
    </row>
    <row r="44" spans="1:45" ht="15" x14ac:dyDescent="0.25">
      <c r="A44" s="784"/>
      <c r="B44" s="719">
        <f t="shared" si="19"/>
        <v>36</v>
      </c>
      <c r="C44" s="170"/>
      <c r="D44" s="557"/>
      <c r="E44" s="170"/>
      <c r="F44" s="170">
        <v>2</v>
      </c>
      <c r="G44" s="1953" t="s">
        <v>1648</v>
      </c>
      <c r="H44" s="2039"/>
      <c r="I44" s="768" t="s">
        <v>732</v>
      </c>
      <c r="J44" s="2039"/>
      <c r="K44" s="842"/>
      <c r="L44" s="488"/>
      <c r="M44" s="2041">
        <v>0</v>
      </c>
      <c r="N44" s="1966">
        <v>1</v>
      </c>
      <c r="O44" s="1967">
        <f t="shared" si="20"/>
        <v>0</v>
      </c>
      <c r="P44" s="2008" t="s">
        <v>39</v>
      </c>
      <c r="Q44" s="2008" t="s">
        <v>39</v>
      </c>
      <c r="R44" s="2011" t="s">
        <v>73</v>
      </c>
      <c r="S44" s="1968">
        <f>SUMIF('Data Input sheet'!$B$118:$B$180,R44,'Data Input sheet'!$D$118:$D$180)</f>
        <v>119</v>
      </c>
      <c r="T44" s="1863">
        <f t="shared" si="21"/>
        <v>0</v>
      </c>
      <c r="U44" s="2042"/>
      <c r="V44" s="1969">
        <f t="shared" si="22"/>
        <v>0</v>
      </c>
      <c r="W44" s="2043">
        <v>3125</v>
      </c>
      <c r="X44" s="1970"/>
      <c r="Y44" s="2047">
        <v>0</v>
      </c>
      <c r="Z44" s="780">
        <f t="shared" si="2"/>
        <v>3125</v>
      </c>
      <c r="AA44" s="2007"/>
      <c r="AB44" s="2007"/>
      <c r="AC44" s="765"/>
      <c r="AD44" s="781">
        <f t="shared" si="3"/>
        <v>0</v>
      </c>
      <c r="AE44" s="781">
        <f t="shared" si="4"/>
        <v>0</v>
      </c>
      <c r="AF44" s="781">
        <f t="shared" si="5"/>
        <v>0</v>
      </c>
      <c r="AG44" s="781">
        <f t="shared" si="6"/>
        <v>0</v>
      </c>
      <c r="AH44" s="781">
        <f t="shared" si="7"/>
        <v>0</v>
      </c>
      <c r="AI44" s="782">
        <f t="shared" si="8"/>
        <v>0</v>
      </c>
      <c r="AJ44" s="781">
        <f t="shared" si="9"/>
        <v>0</v>
      </c>
      <c r="AK44" s="781">
        <f t="shared" si="10"/>
        <v>0</v>
      </c>
      <c r="AL44" s="781">
        <f t="shared" si="11"/>
        <v>0</v>
      </c>
      <c r="AM44" s="781">
        <f t="shared" si="12"/>
        <v>0</v>
      </c>
      <c r="AN44" s="781">
        <f t="shared" si="13"/>
        <v>0</v>
      </c>
      <c r="AO44" s="781">
        <f t="shared" si="14"/>
        <v>0</v>
      </c>
      <c r="AP44" s="781">
        <f t="shared" si="15"/>
        <v>0</v>
      </c>
      <c r="AQ44" s="781">
        <f t="shared" si="16"/>
        <v>0</v>
      </c>
      <c r="AR44" s="781">
        <f t="shared" si="17"/>
        <v>0</v>
      </c>
      <c r="AS44" s="783">
        <f t="shared" si="18"/>
        <v>0</v>
      </c>
    </row>
    <row r="45" spans="1:45" ht="15" x14ac:dyDescent="0.25">
      <c r="A45" s="768"/>
      <c r="B45" s="719">
        <f t="shared" si="19"/>
        <v>37</v>
      </c>
      <c r="C45" s="170"/>
      <c r="D45" s="557"/>
      <c r="E45" s="170"/>
      <c r="F45" s="170">
        <v>2</v>
      </c>
      <c r="G45" s="1953" t="s">
        <v>1649</v>
      </c>
      <c r="H45" s="2039"/>
      <c r="I45" s="768" t="s">
        <v>732</v>
      </c>
      <c r="J45" s="2039"/>
      <c r="K45" s="842"/>
      <c r="L45" s="488"/>
      <c r="M45" s="2041">
        <v>0</v>
      </c>
      <c r="N45" s="1966">
        <v>1</v>
      </c>
      <c r="O45" s="1967">
        <f t="shared" si="20"/>
        <v>0</v>
      </c>
      <c r="P45" s="2008" t="s">
        <v>39</v>
      </c>
      <c r="Q45" s="2008" t="s">
        <v>39</v>
      </c>
      <c r="R45" s="2011" t="s">
        <v>73</v>
      </c>
      <c r="S45" s="1968">
        <f>SUMIF('Data Input sheet'!$B$118:$B$180,R45,'Data Input sheet'!$D$118:$D$180)</f>
        <v>119</v>
      </c>
      <c r="T45" s="1863">
        <f t="shared" si="21"/>
        <v>0</v>
      </c>
      <c r="U45" s="2042"/>
      <c r="V45" s="1969">
        <f t="shared" si="22"/>
        <v>0</v>
      </c>
      <c r="W45" s="2043"/>
      <c r="X45" s="1970"/>
      <c r="Y45" s="2047">
        <v>0</v>
      </c>
      <c r="Z45" s="780">
        <f t="shared" si="2"/>
        <v>0</v>
      </c>
      <c r="AA45" s="2007" t="s">
        <v>1696</v>
      </c>
      <c r="AB45" s="2007"/>
      <c r="AC45" s="765"/>
      <c r="AD45" s="781">
        <f t="shared" si="3"/>
        <v>0</v>
      </c>
      <c r="AE45" s="781">
        <f t="shared" si="4"/>
        <v>0</v>
      </c>
      <c r="AF45" s="781">
        <f t="shared" si="5"/>
        <v>0</v>
      </c>
      <c r="AG45" s="781">
        <f t="shared" si="6"/>
        <v>0</v>
      </c>
      <c r="AH45" s="781">
        <f t="shared" si="7"/>
        <v>0</v>
      </c>
      <c r="AI45" s="782">
        <f t="shared" si="8"/>
        <v>0</v>
      </c>
      <c r="AJ45" s="781">
        <f t="shared" si="9"/>
        <v>0</v>
      </c>
      <c r="AK45" s="781">
        <f t="shared" si="10"/>
        <v>0</v>
      </c>
      <c r="AL45" s="781">
        <f t="shared" si="11"/>
        <v>0</v>
      </c>
      <c r="AM45" s="781">
        <f t="shared" si="12"/>
        <v>0</v>
      </c>
      <c r="AN45" s="781">
        <f t="shared" si="13"/>
        <v>0</v>
      </c>
      <c r="AO45" s="781">
        <f t="shared" si="14"/>
        <v>0</v>
      </c>
      <c r="AP45" s="781">
        <f t="shared" si="15"/>
        <v>0</v>
      </c>
      <c r="AQ45" s="781">
        <f t="shared" si="16"/>
        <v>0</v>
      </c>
      <c r="AR45" s="781">
        <f t="shared" si="17"/>
        <v>0</v>
      </c>
      <c r="AS45" s="783">
        <f t="shared" si="18"/>
        <v>0</v>
      </c>
    </row>
    <row r="46" spans="1:45" ht="15" x14ac:dyDescent="0.25">
      <c r="A46" s="768"/>
      <c r="B46" s="719">
        <f t="shared" si="19"/>
        <v>38</v>
      </c>
      <c r="C46" s="170"/>
      <c r="D46" s="557"/>
      <c r="E46" s="170"/>
      <c r="F46" s="170">
        <v>0</v>
      </c>
      <c r="G46" s="1954" t="s">
        <v>1650</v>
      </c>
      <c r="H46" s="2039"/>
      <c r="I46" s="1955"/>
      <c r="J46" s="2039"/>
      <c r="K46" s="1965"/>
      <c r="L46" s="1971"/>
      <c r="M46" s="2041">
        <v>0</v>
      </c>
      <c r="N46" s="1972">
        <v>1</v>
      </c>
      <c r="O46" s="1973">
        <f t="shared" si="20"/>
        <v>0</v>
      </c>
      <c r="P46" s="2008" t="s">
        <v>39</v>
      </c>
      <c r="Q46" s="2008" t="s">
        <v>39</v>
      </c>
      <c r="R46" s="2011" t="s">
        <v>73</v>
      </c>
      <c r="S46" s="1974">
        <f>SUMIF('Data Input sheet'!$B$118:$B$180,R46,'Data Input sheet'!$D$118:$D$180)</f>
        <v>119</v>
      </c>
      <c r="T46" s="1975">
        <f t="shared" si="21"/>
        <v>0</v>
      </c>
      <c r="U46" s="2042"/>
      <c r="V46" s="1976">
        <f t="shared" si="22"/>
        <v>0</v>
      </c>
      <c r="W46" s="2043"/>
      <c r="X46" s="1977"/>
      <c r="Y46" s="2047">
        <v>0</v>
      </c>
      <c r="Z46" s="1956">
        <f t="shared" si="2"/>
        <v>0</v>
      </c>
      <c r="AA46" s="2007"/>
      <c r="AB46" s="2007"/>
      <c r="AC46" s="765"/>
      <c r="AD46" s="781">
        <f t="shared" si="3"/>
        <v>0</v>
      </c>
      <c r="AE46" s="781">
        <f t="shared" si="4"/>
        <v>0</v>
      </c>
      <c r="AF46" s="781">
        <f t="shared" si="5"/>
        <v>0</v>
      </c>
      <c r="AG46" s="781">
        <f t="shared" si="6"/>
        <v>0</v>
      </c>
      <c r="AH46" s="781">
        <f t="shared" si="7"/>
        <v>0</v>
      </c>
      <c r="AI46" s="782">
        <f t="shared" si="8"/>
        <v>0</v>
      </c>
      <c r="AJ46" s="781">
        <f t="shared" si="9"/>
        <v>0</v>
      </c>
      <c r="AK46" s="781">
        <f t="shared" si="10"/>
        <v>0</v>
      </c>
      <c r="AL46" s="781">
        <f t="shared" si="11"/>
        <v>0</v>
      </c>
      <c r="AM46" s="781">
        <f t="shared" si="12"/>
        <v>0</v>
      </c>
      <c r="AN46" s="781">
        <f t="shared" si="13"/>
        <v>0</v>
      </c>
      <c r="AO46" s="781">
        <f t="shared" si="14"/>
        <v>0</v>
      </c>
      <c r="AP46" s="781">
        <f t="shared" si="15"/>
        <v>0</v>
      </c>
      <c r="AQ46" s="781">
        <f t="shared" si="16"/>
        <v>0</v>
      </c>
      <c r="AR46" s="781">
        <f t="shared" si="17"/>
        <v>0</v>
      </c>
      <c r="AS46" s="783">
        <f t="shared" si="18"/>
        <v>0</v>
      </c>
    </row>
    <row r="47" spans="1:45" ht="15" x14ac:dyDescent="0.25">
      <c r="A47" s="768"/>
      <c r="B47" s="719">
        <f t="shared" si="19"/>
        <v>39</v>
      </c>
      <c r="C47" s="170"/>
      <c r="D47" s="557"/>
      <c r="E47" s="170"/>
      <c r="F47" s="170">
        <v>2</v>
      </c>
      <c r="G47" s="1953" t="s">
        <v>1651</v>
      </c>
      <c r="H47" s="2039"/>
      <c r="I47" s="768" t="s">
        <v>732</v>
      </c>
      <c r="J47" s="2039"/>
      <c r="K47" s="842"/>
      <c r="L47" s="488"/>
      <c r="M47" s="2041">
        <v>0</v>
      </c>
      <c r="N47" s="1966">
        <v>1</v>
      </c>
      <c r="O47" s="1967">
        <f t="shared" si="20"/>
        <v>0</v>
      </c>
      <c r="P47" s="2008" t="s">
        <v>39</v>
      </c>
      <c r="Q47" s="2008" t="s">
        <v>39</v>
      </c>
      <c r="R47" s="2011" t="s">
        <v>73</v>
      </c>
      <c r="S47" s="1968">
        <f>SUMIF('Data Input sheet'!$B$118:$B$180,R47,'Data Input sheet'!$D$118:$D$180)</f>
        <v>119</v>
      </c>
      <c r="T47" s="1863">
        <f t="shared" si="21"/>
        <v>0</v>
      </c>
      <c r="U47" s="2042"/>
      <c r="V47" s="1969">
        <f t="shared" si="22"/>
        <v>0</v>
      </c>
      <c r="W47" s="2043">
        <v>3125</v>
      </c>
      <c r="X47" s="1970"/>
      <c r="Y47" s="2047">
        <v>0</v>
      </c>
      <c r="Z47" s="780">
        <f t="shared" si="2"/>
        <v>3125</v>
      </c>
      <c r="AA47" s="2007"/>
      <c r="AB47" s="2007"/>
      <c r="AC47" s="765"/>
      <c r="AD47" s="781">
        <f t="shared" si="3"/>
        <v>0</v>
      </c>
      <c r="AE47" s="781">
        <f t="shared" si="4"/>
        <v>0</v>
      </c>
      <c r="AF47" s="781">
        <f t="shared" si="5"/>
        <v>0</v>
      </c>
      <c r="AG47" s="781">
        <f t="shared" si="6"/>
        <v>0</v>
      </c>
      <c r="AH47" s="781">
        <f t="shared" si="7"/>
        <v>0</v>
      </c>
      <c r="AI47" s="782">
        <f t="shared" si="8"/>
        <v>0</v>
      </c>
      <c r="AJ47" s="781">
        <f t="shared" si="9"/>
        <v>0</v>
      </c>
      <c r="AK47" s="781">
        <f t="shared" si="10"/>
        <v>0</v>
      </c>
      <c r="AL47" s="781">
        <f t="shared" si="11"/>
        <v>0</v>
      </c>
      <c r="AM47" s="781">
        <f t="shared" si="12"/>
        <v>0</v>
      </c>
      <c r="AN47" s="781">
        <f t="shared" si="13"/>
        <v>0</v>
      </c>
      <c r="AO47" s="781">
        <f t="shared" si="14"/>
        <v>0</v>
      </c>
      <c r="AP47" s="781">
        <f t="shared" si="15"/>
        <v>0</v>
      </c>
      <c r="AQ47" s="781">
        <f t="shared" si="16"/>
        <v>0</v>
      </c>
      <c r="AR47" s="781">
        <f t="shared" si="17"/>
        <v>0</v>
      </c>
      <c r="AS47" s="783">
        <f t="shared" si="18"/>
        <v>0</v>
      </c>
    </row>
    <row r="48" spans="1:45" ht="15" x14ac:dyDescent="0.25">
      <c r="A48" s="768"/>
      <c r="B48" s="719">
        <f t="shared" si="19"/>
        <v>40</v>
      </c>
      <c r="C48" s="170"/>
      <c r="D48" s="557"/>
      <c r="E48" s="170"/>
      <c r="F48" s="170">
        <v>2</v>
      </c>
      <c r="G48" s="1953" t="s">
        <v>1652</v>
      </c>
      <c r="H48" s="2039"/>
      <c r="I48" s="768" t="s">
        <v>728</v>
      </c>
      <c r="J48" s="2039"/>
      <c r="K48" s="842"/>
      <c r="L48" s="488"/>
      <c r="M48" s="2041">
        <v>0</v>
      </c>
      <c r="N48" s="1966">
        <v>1</v>
      </c>
      <c r="O48" s="1967">
        <f t="shared" si="20"/>
        <v>0</v>
      </c>
      <c r="P48" s="2008" t="s">
        <v>39</v>
      </c>
      <c r="Q48" s="2008" t="s">
        <v>39</v>
      </c>
      <c r="R48" s="2011" t="s">
        <v>73</v>
      </c>
      <c r="S48" s="1968">
        <f>SUMIF('Data Input sheet'!$B$118:$B$180,R48,'Data Input sheet'!$D$118:$D$180)</f>
        <v>119</v>
      </c>
      <c r="T48" s="1863">
        <f t="shared" si="21"/>
        <v>0</v>
      </c>
      <c r="U48" s="2042"/>
      <c r="V48" s="1969">
        <f t="shared" si="22"/>
        <v>0</v>
      </c>
      <c r="W48" s="2043"/>
      <c r="X48" s="1970"/>
      <c r="Y48" s="2047">
        <v>19</v>
      </c>
      <c r="Z48" s="780">
        <f t="shared" si="2"/>
        <v>19</v>
      </c>
      <c r="AA48" s="2007"/>
      <c r="AB48" s="2007"/>
      <c r="AC48" s="765"/>
      <c r="AD48" s="781">
        <f t="shared" si="3"/>
        <v>0</v>
      </c>
      <c r="AE48" s="781">
        <f t="shared" si="4"/>
        <v>0</v>
      </c>
      <c r="AF48" s="781">
        <f t="shared" si="5"/>
        <v>0</v>
      </c>
      <c r="AG48" s="781">
        <f t="shared" si="6"/>
        <v>0</v>
      </c>
      <c r="AH48" s="781">
        <f t="shared" si="7"/>
        <v>0</v>
      </c>
      <c r="AI48" s="782">
        <f t="shared" si="8"/>
        <v>0</v>
      </c>
      <c r="AJ48" s="781">
        <f t="shared" si="9"/>
        <v>0</v>
      </c>
      <c r="AK48" s="781">
        <f t="shared" si="10"/>
        <v>0</v>
      </c>
      <c r="AL48" s="781">
        <f t="shared" si="11"/>
        <v>0</v>
      </c>
      <c r="AM48" s="781">
        <f t="shared" si="12"/>
        <v>0</v>
      </c>
      <c r="AN48" s="781">
        <f t="shared" si="13"/>
        <v>0</v>
      </c>
      <c r="AO48" s="781">
        <f t="shared" si="14"/>
        <v>0</v>
      </c>
      <c r="AP48" s="781">
        <f t="shared" si="15"/>
        <v>0</v>
      </c>
      <c r="AQ48" s="781">
        <f t="shared" si="16"/>
        <v>0</v>
      </c>
      <c r="AR48" s="781">
        <f t="shared" si="17"/>
        <v>0</v>
      </c>
      <c r="AS48" s="783">
        <f t="shared" si="18"/>
        <v>0</v>
      </c>
    </row>
    <row r="49" spans="1:45" ht="15" x14ac:dyDescent="0.25">
      <c r="A49" s="768"/>
      <c r="B49" s="719">
        <f t="shared" si="19"/>
        <v>41</v>
      </c>
      <c r="C49" s="170"/>
      <c r="D49" s="557"/>
      <c r="E49" s="170"/>
      <c r="F49" s="170">
        <v>0</v>
      </c>
      <c r="G49" s="1952" t="s">
        <v>1654</v>
      </c>
      <c r="H49" s="2039"/>
      <c r="I49" s="1955"/>
      <c r="J49" s="2039"/>
      <c r="K49" s="1965"/>
      <c r="L49" s="1971"/>
      <c r="M49" s="2041">
        <v>0</v>
      </c>
      <c r="N49" s="1972">
        <v>1</v>
      </c>
      <c r="O49" s="1973">
        <f t="shared" si="20"/>
        <v>0</v>
      </c>
      <c r="P49" s="2008" t="s">
        <v>39</v>
      </c>
      <c r="Q49" s="2008" t="s">
        <v>39</v>
      </c>
      <c r="R49" s="2011" t="s">
        <v>73</v>
      </c>
      <c r="S49" s="1974">
        <f>SUMIF('Data Input sheet'!$B$118:$B$180,R49,'Data Input sheet'!$D$118:$D$180)</f>
        <v>119</v>
      </c>
      <c r="T49" s="1975">
        <f t="shared" si="21"/>
        <v>0</v>
      </c>
      <c r="U49" s="2042"/>
      <c r="V49" s="1976">
        <f t="shared" si="22"/>
        <v>0</v>
      </c>
      <c r="W49" s="2043"/>
      <c r="X49" s="1977"/>
      <c r="Y49" s="2047">
        <v>0</v>
      </c>
      <c r="Z49" s="1956">
        <f t="shared" si="2"/>
        <v>0</v>
      </c>
      <c r="AA49" s="2007"/>
      <c r="AB49" s="2007"/>
      <c r="AC49" s="765"/>
      <c r="AD49" s="781">
        <f t="shared" si="3"/>
        <v>0</v>
      </c>
      <c r="AE49" s="781">
        <f t="shared" si="4"/>
        <v>0</v>
      </c>
      <c r="AF49" s="781">
        <f t="shared" si="5"/>
        <v>0</v>
      </c>
      <c r="AG49" s="781">
        <f t="shared" si="6"/>
        <v>0</v>
      </c>
      <c r="AH49" s="781">
        <f t="shared" si="7"/>
        <v>0</v>
      </c>
      <c r="AI49" s="782">
        <f t="shared" si="8"/>
        <v>0</v>
      </c>
      <c r="AJ49" s="781">
        <f t="shared" si="9"/>
        <v>0</v>
      </c>
      <c r="AK49" s="781">
        <f t="shared" si="10"/>
        <v>0</v>
      </c>
      <c r="AL49" s="781">
        <f t="shared" si="11"/>
        <v>0</v>
      </c>
      <c r="AM49" s="781">
        <f t="shared" si="12"/>
        <v>0</v>
      </c>
      <c r="AN49" s="781">
        <f t="shared" si="13"/>
        <v>0</v>
      </c>
      <c r="AO49" s="781">
        <f t="shared" si="14"/>
        <v>0</v>
      </c>
      <c r="AP49" s="781">
        <f t="shared" si="15"/>
        <v>0</v>
      </c>
      <c r="AQ49" s="781">
        <f t="shared" si="16"/>
        <v>0</v>
      </c>
      <c r="AR49" s="781">
        <f t="shared" si="17"/>
        <v>0</v>
      </c>
      <c r="AS49" s="783">
        <f t="shared" si="18"/>
        <v>0</v>
      </c>
    </row>
    <row r="50" spans="1:45" ht="15" x14ac:dyDescent="0.25">
      <c r="A50" s="768"/>
      <c r="B50" s="719">
        <f t="shared" si="19"/>
        <v>42</v>
      </c>
      <c r="C50" s="170"/>
      <c r="D50" s="557"/>
      <c r="E50" s="170"/>
      <c r="F50" s="170">
        <v>11</v>
      </c>
      <c r="G50" s="891" t="s">
        <v>1653</v>
      </c>
      <c r="H50" s="2039"/>
      <c r="I50" s="768" t="s">
        <v>640</v>
      </c>
      <c r="J50" s="2039"/>
      <c r="K50" s="842"/>
      <c r="L50" s="488"/>
      <c r="M50" s="2041">
        <v>0</v>
      </c>
      <c r="N50" s="1966">
        <v>1</v>
      </c>
      <c r="O50" s="1967">
        <f t="shared" si="20"/>
        <v>0</v>
      </c>
      <c r="P50" s="2008" t="s">
        <v>39</v>
      </c>
      <c r="Q50" s="2008" t="s">
        <v>39</v>
      </c>
      <c r="R50" s="2011" t="s">
        <v>73</v>
      </c>
      <c r="S50" s="1968">
        <f>SUMIF('Data Input sheet'!$B$118:$B$180,R50,'Data Input sheet'!$D$118:$D$180)</f>
        <v>119</v>
      </c>
      <c r="T50" s="1863">
        <f t="shared" si="21"/>
        <v>0</v>
      </c>
      <c r="U50" s="2042"/>
      <c r="V50" s="1969">
        <f t="shared" si="22"/>
        <v>0</v>
      </c>
      <c r="W50" s="2043"/>
      <c r="X50" s="1970"/>
      <c r="Y50" s="2047">
        <v>10000</v>
      </c>
      <c r="Z50" s="780">
        <f t="shared" si="2"/>
        <v>10000</v>
      </c>
      <c r="AA50" s="2007"/>
      <c r="AB50" s="2007"/>
      <c r="AC50" s="765"/>
      <c r="AD50" s="781">
        <f t="shared" si="3"/>
        <v>0</v>
      </c>
      <c r="AE50" s="781">
        <f t="shared" si="4"/>
        <v>0</v>
      </c>
      <c r="AF50" s="781">
        <f t="shared" si="5"/>
        <v>0</v>
      </c>
      <c r="AG50" s="781">
        <f t="shared" si="6"/>
        <v>0</v>
      </c>
      <c r="AH50" s="781">
        <f t="shared" si="7"/>
        <v>0</v>
      </c>
      <c r="AI50" s="782">
        <f t="shared" si="8"/>
        <v>0</v>
      </c>
      <c r="AJ50" s="781">
        <f t="shared" si="9"/>
        <v>0</v>
      </c>
      <c r="AK50" s="781">
        <f t="shared" si="10"/>
        <v>0</v>
      </c>
      <c r="AL50" s="781">
        <f t="shared" si="11"/>
        <v>0</v>
      </c>
      <c r="AM50" s="781">
        <f t="shared" si="12"/>
        <v>0</v>
      </c>
      <c r="AN50" s="781">
        <f t="shared" si="13"/>
        <v>0</v>
      </c>
      <c r="AO50" s="781">
        <f t="shared" si="14"/>
        <v>0</v>
      </c>
      <c r="AP50" s="781">
        <f t="shared" si="15"/>
        <v>0</v>
      </c>
      <c r="AQ50" s="781">
        <f t="shared" si="16"/>
        <v>0</v>
      </c>
      <c r="AR50" s="781">
        <f t="shared" si="17"/>
        <v>0</v>
      </c>
      <c r="AS50" s="783">
        <f t="shared" si="18"/>
        <v>0</v>
      </c>
    </row>
    <row r="51" spans="1:45" ht="15" x14ac:dyDescent="0.25">
      <c r="A51" s="768"/>
      <c r="B51" s="719">
        <f t="shared" si="19"/>
        <v>43</v>
      </c>
      <c r="C51" s="170"/>
      <c r="D51" s="557"/>
      <c r="E51" s="170"/>
      <c r="F51" s="170">
        <v>21</v>
      </c>
      <c r="G51" s="891" t="s">
        <v>1655</v>
      </c>
      <c r="H51" s="2039"/>
      <c r="I51" s="768" t="s">
        <v>728</v>
      </c>
      <c r="J51" s="2039"/>
      <c r="K51" s="842"/>
      <c r="L51" s="488"/>
      <c r="M51" s="2041">
        <v>0</v>
      </c>
      <c r="N51" s="1966">
        <v>1</v>
      </c>
      <c r="O51" s="1967">
        <f t="shared" si="20"/>
        <v>0</v>
      </c>
      <c r="P51" s="2008" t="s">
        <v>39</v>
      </c>
      <c r="Q51" s="2008" t="s">
        <v>39</v>
      </c>
      <c r="R51" s="2011" t="s">
        <v>73</v>
      </c>
      <c r="S51" s="1968">
        <f>SUMIF('Data Input sheet'!$B$118:$B$180,R51,'Data Input sheet'!$D$118:$D$180)</f>
        <v>119</v>
      </c>
      <c r="T51" s="1863">
        <f t="shared" si="21"/>
        <v>0</v>
      </c>
      <c r="U51" s="2042"/>
      <c r="V51" s="1969">
        <f t="shared" si="22"/>
        <v>0</v>
      </c>
      <c r="W51" s="2043">
        <v>13</v>
      </c>
      <c r="X51" s="1970"/>
      <c r="Y51" s="2047">
        <v>0</v>
      </c>
      <c r="Z51" s="780">
        <f t="shared" si="2"/>
        <v>13</v>
      </c>
      <c r="AA51" s="2007"/>
      <c r="AB51" s="2007"/>
      <c r="AC51" s="765"/>
      <c r="AD51" s="781">
        <f t="shared" si="3"/>
        <v>0</v>
      </c>
      <c r="AE51" s="781">
        <f t="shared" si="4"/>
        <v>0</v>
      </c>
      <c r="AF51" s="781">
        <f t="shared" si="5"/>
        <v>0</v>
      </c>
      <c r="AG51" s="781">
        <f t="shared" si="6"/>
        <v>0</v>
      </c>
      <c r="AH51" s="781">
        <f t="shared" si="7"/>
        <v>0</v>
      </c>
      <c r="AI51" s="782">
        <f t="shared" si="8"/>
        <v>0</v>
      </c>
      <c r="AJ51" s="781">
        <f t="shared" si="9"/>
        <v>0</v>
      </c>
      <c r="AK51" s="781">
        <f t="shared" si="10"/>
        <v>0</v>
      </c>
      <c r="AL51" s="781">
        <f t="shared" si="11"/>
        <v>0</v>
      </c>
      <c r="AM51" s="781">
        <f t="shared" si="12"/>
        <v>0</v>
      </c>
      <c r="AN51" s="781">
        <f t="shared" si="13"/>
        <v>0</v>
      </c>
      <c r="AO51" s="781">
        <f t="shared" si="14"/>
        <v>0</v>
      </c>
      <c r="AP51" s="781">
        <f t="shared" si="15"/>
        <v>0</v>
      </c>
      <c r="AQ51" s="781">
        <f t="shared" si="16"/>
        <v>0</v>
      </c>
      <c r="AR51" s="781">
        <f t="shared" si="17"/>
        <v>0</v>
      </c>
      <c r="AS51" s="783">
        <f t="shared" si="18"/>
        <v>0</v>
      </c>
    </row>
    <row r="52" spans="1:45" ht="15" x14ac:dyDescent="0.25">
      <c r="A52" s="768"/>
      <c r="B52" s="719">
        <f t="shared" si="19"/>
        <v>44</v>
      </c>
      <c r="C52" s="170"/>
      <c r="D52" s="557"/>
      <c r="E52" s="170"/>
      <c r="F52" s="170">
        <v>21</v>
      </c>
      <c r="G52" s="891" t="s">
        <v>1656</v>
      </c>
      <c r="H52" s="2039"/>
      <c r="I52" s="768" t="s">
        <v>728</v>
      </c>
      <c r="J52" s="2039"/>
      <c r="K52" s="842"/>
      <c r="L52" s="488"/>
      <c r="M52" s="2041">
        <v>0</v>
      </c>
      <c r="N52" s="1966">
        <v>1</v>
      </c>
      <c r="O52" s="1967">
        <f t="shared" si="20"/>
        <v>0</v>
      </c>
      <c r="P52" s="2008" t="s">
        <v>39</v>
      </c>
      <c r="Q52" s="2008" t="s">
        <v>39</v>
      </c>
      <c r="R52" s="2011" t="s">
        <v>73</v>
      </c>
      <c r="S52" s="1968">
        <f>SUMIF('Data Input sheet'!$B$118:$B$180,R52,'Data Input sheet'!$D$118:$D$180)</f>
        <v>119</v>
      </c>
      <c r="T52" s="1863">
        <f t="shared" si="21"/>
        <v>0</v>
      </c>
      <c r="U52" s="2042"/>
      <c r="V52" s="1969">
        <f t="shared" si="22"/>
        <v>0</v>
      </c>
      <c r="W52" s="2043">
        <v>23</v>
      </c>
      <c r="X52" s="1970"/>
      <c r="Y52" s="2047">
        <v>0</v>
      </c>
      <c r="Z52" s="780">
        <f t="shared" si="2"/>
        <v>23</v>
      </c>
      <c r="AA52" s="2007"/>
      <c r="AB52" s="2007"/>
      <c r="AC52" s="765"/>
      <c r="AD52" s="781">
        <f t="shared" si="3"/>
        <v>0</v>
      </c>
      <c r="AE52" s="781">
        <f t="shared" si="4"/>
        <v>0</v>
      </c>
      <c r="AF52" s="781">
        <f t="shared" si="5"/>
        <v>0</v>
      </c>
      <c r="AG52" s="781">
        <f t="shared" si="6"/>
        <v>0</v>
      </c>
      <c r="AH52" s="781">
        <f t="shared" si="7"/>
        <v>0</v>
      </c>
      <c r="AI52" s="782">
        <f t="shared" si="8"/>
        <v>0</v>
      </c>
      <c r="AJ52" s="781">
        <f t="shared" si="9"/>
        <v>0</v>
      </c>
      <c r="AK52" s="781">
        <f t="shared" si="10"/>
        <v>0</v>
      </c>
      <c r="AL52" s="781">
        <f t="shared" si="11"/>
        <v>0</v>
      </c>
      <c r="AM52" s="781">
        <f t="shared" si="12"/>
        <v>0</v>
      </c>
      <c r="AN52" s="781">
        <f t="shared" si="13"/>
        <v>0</v>
      </c>
      <c r="AO52" s="781">
        <f t="shared" si="14"/>
        <v>0</v>
      </c>
      <c r="AP52" s="781">
        <f t="shared" si="15"/>
        <v>0</v>
      </c>
      <c r="AQ52" s="781">
        <f t="shared" si="16"/>
        <v>0</v>
      </c>
      <c r="AR52" s="781">
        <f t="shared" si="17"/>
        <v>0</v>
      </c>
      <c r="AS52" s="783">
        <f t="shared" si="18"/>
        <v>0</v>
      </c>
    </row>
    <row r="53" spans="1:45" ht="15" x14ac:dyDescent="0.25">
      <c r="A53" s="768"/>
      <c r="B53" s="719">
        <f t="shared" si="19"/>
        <v>45</v>
      </c>
      <c r="C53" s="170"/>
      <c r="D53" s="557"/>
      <c r="E53" s="170"/>
      <c r="F53" s="170">
        <v>21</v>
      </c>
      <c r="G53" s="891" t="s">
        <v>1657</v>
      </c>
      <c r="H53" s="2039"/>
      <c r="I53" s="768" t="s">
        <v>728</v>
      </c>
      <c r="J53" s="2039"/>
      <c r="K53" s="842"/>
      <c r="L53" s="488"/>
      <c r="M53" s="2041">
        <v>0</v>
      </c>
      <c r="N53" s="1966">
        <v>1</v>
      </c>
      <c r="O53" s="1967">
        <f t="shared" si="20"/>
        <v>0</v>
      </c>
      <c r="P53" s="2008" t="s">
        <v>39</v>
      </c>
      <c r="Q53" s="2008" t="s">
        <v>39</v>
      </c>
      <c r="R53" s="2011" t="s">
        <v>73</v>
      </c>
      <c r="S53" s="1968">
        <f>SUMIF('Data Input sheet'!$B$118:$B$180,R53,'Data Input sheet'!$D$118:$D$180)</f>
        <v>119</v>
      </c>
      <c r="T53" s="1863">
        <f t="shared" si="21"/>
        <v>0</v>
      </c>
      <c r="U53" s="2042"/>
      <c r="V53" s="1969">
        <f t="shared" si="22"/>
        <v>0</v>
      </c>
      <c r="W53" s="2043">
        <v>33</v>
      </c>
      <c r="X53" s="1970"/>
      <c r="Y53" s="2047">
        <v>0</v>
      </c>
      <c r="Z53" s="780">
        <f t="shared" si="2"/>
        <v>33</v>
      </c>
      <c r="AA53" s="2007"/>
      <c r="AB53" s="2007"/>
      <c r="AC53" s="765"/>
      <c r="AD53" s="781">
        <f t="shared" si="3"/>
        <v>0</v>
      </c>
      <c r="AE53" s="781">
        <f t="shared" si="4"/>
        <v>0</v>
      </c>
      <c r="AF53" s="781">
        <f t="shared" si="5"/>
        <v>0</v>
      </c>
      <c r="AG53" s="781">
        <f t="shared" si="6"/>
        <v>0</v>
      </c>
      <c r="AH53" s="781">
        <f t="shared" si="7"/>
        <v>0</v>
      </c>
      <c r="AI53" s="782">
        <f t="shared" si="8"/>
        <v>0</v>
      </c>
      <c r="AJ53" s="781">
        <f t="shared" si="9"/>
        <v>0</v>
      </c>
      <c r="AK53" s="781">
        <f t="shared" si="10"/>
        <v>0</v>
      </c>
      <c r="AL53" s="781">
        <f t="shared" si="11"/>
        <v>0</v>
      </c>
      <c r="AM53" s="781">
        <f t="shared" si="12"/>
        <v>0</v>
      </c>
      <c r="AN53" s="781">
        <f t="shared" si="13"/>
        <v>0</v>
      </c>
      <c r="AO53" s="781">
        <f t="shared" si="14"/>
        <v>0</v>
      </c>
      <c r="AP53" s="781">
        <f t="shared" si="15"/>
        <v>0</v>
      </c>
      <c r="AQ53" s="781">
        <f t="shared" si="16"/>
        <v>0</v>
      </c>
      <c r="AR53" s="781">
        <f t="shared" si="17"/>
        <v>0</v>
      </c>
      <c r="AS53" s="783">
        <f t="shared" si="18"/>
        <v>0</v>
      </c>
    </row>
    <row r="54" spans="1:45" ht="15" x14ac:dyDescent="0.25">
      <c r="A54" s="768"/>
      <c r="B54" s="719">
        <f t="shared" si="19"/>
        <v>46</v>
      </c>
      <c r="C54" s="170"/>
      <c r="D54" s="557"/>
      <c r="E54" s="170"/>
      <c r="F54" s="170">
        <v>23</v>
      </c>
      <c r="G54" s="891" t="s">
        <v>1658</v>
      </c>
      <c r="H54" s="2039"/>
      <c r="I54" s="768" t="s">
        <v>732</v>
      </c>
      <c r="J54" s="2039"/>
      <c r="K54" s="842"/>
      <c r="L54" s="488"/>
      <c r="M54" s="2041">
        <v>0</v>
      </c>
      <c r="N54" s="1966">
        <v>1</v>
      </c>
      <c r="O54" s="1967">
        <f t="shared" si="20"/>
        <v>0</v>
      </c>
      <c r="P54" s="2008" t="s">
        <v>39</v>
      </c>
      <c r="Q54" s="2008" t="s">
        <v>39</v>
      </c>
      <c r="R54" s="2011" t="s">
        <v>73</v>
      </c>
      <c r="S54" s="1968">
        <f>SUMIF('Data Input sheet'!$B$118:$B$180,R54,'Data Input sheet'!$D$118:$D$180)</f>
        <v>119</v>
      </c>
      <c r="T54" s="1863">
        <f t="shared" si="21"/>
        <v>0</v>
      </c>
      <c r="U54" s="2042"/>
      <c r="V54" s="1969">
        <f t="shared" si="22"/>
        <v>0</v>
      </c>
      <c r="W54" s="2043">
        <v>44</v>
      </c>
      <c r="X54" s="1970"/>
      <c r="Y54" s="2047">
        <v>0</v>
      </c>
      <c r="Z54" s="780">
        <f t="shared" si="2"/>
        <v>44</v>
      </c>
      <c r="AA54" s="2007"/>
      <c r="AB54" s="2007"/>
      <c r="AC54" s="765"/>
      <c r="AD54" s="781">
        <f t="shared" si="3"/>
        <v>0</v>
      </c>
      <c r="AE54" s="781">
        <f t="shared" si="4"/>
        <v>0</v>
      </c>
      <c r="AF54" s="781">
        <f t="shared" si="5"/>
        <v>0</v>
      </c>
      <c r="AG54" s="781">
        <f t="shared" si="6"/>
        <v>0</v>
      </c>
      <c r="AH54" s="781">
        <f t="shared" si="7"/>
        <v>0</v>
      </c>
      <c r="AI54" s="782">
        <f t="shared" si="8"/>
        <v>0</v>
      </c>
      <c r="AJ54" s="781">
        <f t="shared" si="9"/>
        <v>0</v>
      </c>
      <c r="AK54" s="781">
        <f t="shared" si="10"/>
        <v>0</v>
      </c>
      <c r="AL54" s="781">
        <f t="shared" si="11"/>
        <v>0</v>
      </c>
      <c r="AM54" s="781">
        <f t="shared" si="12"/>
        <v>0</v>
      </c>
      <c r="AN54" s="781">
        <f t="shared" si="13"/>
        <v>0</v>
      </c>
      <c r="AO54" s="781">
        <f t="shared" si="14"/>
        <v>0</v>
      </c>
      <c r="AP54" s="781">
        <f t="shared" si="15"/>
        <v>0</v>
      </c>
      <c r="AQ54" s="781">
        <f t="shared" si="16"/>
        <v>0</v>
      </c>
      <c r="AR54" s="781">
        <f t="shared" si="17"/>
        <v>0</v>
      </c>
      <c r="AS54" s="783">
        <f t="shared" si="18"/>
        <v>0</v>
      </c>
    </row>
    <row r="55" spans="1:45" ht="15" x14ac:dyDescent="0.25">
      <c r="A55" s="768"/>
      <c r="B55" s="719">
        <f t="shared" si="19"/>
        <v>47</v>
      </c>
      <c r="C55" s="170"/>
      <c r="D55" s="557"/>
      <c r="E55" s="170"/>
      <c r="F55" s="170">
        <v>23</v>
      </c>
      <c r="G55" s="891" t="s">
        <v>1659</v>
      </c>
      <c r="H55" s="2039"/>
      <c r="I55" s="768" t="s">
        <v>732</v>
      </c>
      <c r="J55" s="2039"/>
      <c r="K55" s="842"/>
      <c r="L55" s="488"/>
      <c r="M55" s="2041">
        <v>0</v>
      </c>
      <c r="N55" s="1966">
        <v>1</v>
      </c>
      <c r="O55" s="1967">
        <f t="shared" si="20"/>
        <v>0</v>
      </c>
      <c r="P55" s="2008" t="s">
        <v>39</v>
      </c>
      <c r="Q55" s="2008" t="s">
        <v>39</v>
      </c>
      <c r="R55" s="2011" t="s">
        <v>73</v>
      </c>
      <c r="S55" s="1968">
        <f>SUMIF('Data Input sheet'!$B$118:$B$180,R55,'Data Input sheet'!$D$118:$D$180)</f>
        <v>119</v>
      </c>
      <c r="T55" s="1863">
        <f t="shared" si="21"/>
        <v>0</v>
      </c>
      <c r="U55" s="2042"/>
      <c r="V55" s="1969">
        <f t="shared" si="22"/>
        <v>0</v>
      </c>
      <c r="W55" s="2043">
        <v>314</v>
      </c>
      <c r="X55" s="1970"/>
      <c r="Y55" s="2047">
        <v>0</v>
      </c>
      <c r="Z55" s="780">
        <f t="shared" si="2"/>
        <v>314</v>
      </c>
      <c r="AA55" s="2007"/>
      <c r="AB55" s="2007"/>
      <c r="AC55" s="765"/>
      <c r="AD55" s="781">
        <f t="shared" si="3"/>
        <v>0</v>
      </c>
      <c r="AE55" s="781">
        <f t="shared" si="4"/>
        <v>0</v>
      </c>
      <c r="AF55" s="781">
        <f t="shared" si="5"/>
        <v>0</v>
      </c>
      <c r="AG55" s="781">
        <f t="shared" si="6"/>
        <v>0</v>
      </c>
      <c r="AH55" s="781">
        <f t="shared" si="7"/>
        <v>0</v>
      </c>
      <c r="AI55" s="782">
        <f t="shared" si="8"/>
        <v>0</v>
      </c>
      <c r="AJ55" s="781">
        <f t="shared" si="9"/>
        <v>0</v>
      </c>
      <c r="AK55" s="781">
        <f t="shared" si="10"/>
        <v>0</v>
      </c>
      <c r="AL55" s="781">
        <f t="shared" si="11"/>
        <v>0</v>
      </c>
      <c r="AM55" s="781">
        <f t="shared" si="12"/>
        <v>0</v>
      </c>
      <c r="AN55" s="781">
        <f t="shared" si="13"/>
        <v>0</v>
      </c>
      <c r="AO55" s="781">
        <f t="shared" si="14"/>
        <v>0</v>
      </c>
      <c r="AP55" s="781">
        <f t="shared" si="15"/>
        <v>0</v>
      </c>
      <c r="AQ55" s="781">
        <f t="shared" si="16"/>
        <v>0</v>
      </c>
      <c r="AR55" s="781">
        <f t="shared" si="17"/>
        <v>0</v>
      </c>
      <c r="AS55" s="783">
        <f t="shared" si="18"/>
        <v>0</v>
      </c>
    </row>
    <row r="56" spans="1:45" ht="15" x14ac:dyDescent="0.25">
      <c r="A56" s="768"/>
      <c r="B56" s="719">
        <f t="shared" si="19"/>
        <v>48</v>
      </c>
      <c r="C56" s="170"/>
      <c r="D56" s="557"/>
      <c r="E56" s="170"/>
      <c r="F56" s="170">
        <v>19</v>
      </c>
      <c r="G56" s="891" t="s">
        <v>1660</v>
      </c>
      <c r="H56" s="2039"/>
      <c r="I56" s="768" t="s">
        <v>732</v>
      </c>
      <c r="J56" s="2039"/>
      <c r="K56" s="842"/>
      <c r="L56" s="488"/>
      <c r="M56" s="2041">
        <v>0</v>
      </c>
      <c r="N56" s="1966">
        <v>1</v>
      </c>
      <c r="O56" s="1967">
        <f t="shared" si="20"/>
        <v>0</v>
      </c>
      <c r="P56" s="2008" t="s">
        <v>39</v>
      </c>
      <c r="Q56" s="2008" t="s">
        <v>39</v>
      </c>
      <c r="R56" s="2011" t="s">
        <v>73</v>
      </c>
      <c r="S56" s="1968">
        <f>SUMIF('Data Input sheet'!$B$118:$B$180,R56,'Data Input sheet'!$D$118:$D$180)</f>
        <v>119</v>
      </c>
      <c r="T56" s="1863">
        <f t="shared" si="21"/>
        <v>0</v>
      </c>
      <c r="U56" s="2042"/>
      <c r="V56" s="1969">
        <f t="shared" si="22"/>
        <v>0</v>
      </c>
      <c r="W56" s="2043">
        <v>4875</v>
      </c>
      <c r="X56" s="1970"/>
      <c r="Y56" s="2047">
        <v>0</v>
      </c>
      <c r="Z56" s="780">
        <f t="shared" si="2"/>
        <v>4875</v>
      </c>
      <c r="AA56" s="2007"/>
      <c r="AB56" s="2007"/>
      <c r="AC56" s="765"/>
      <c r="AD56" s="781">
        <f t="shared" si="3"/>
        <v>0</v>
      </c>
      <c r="AE56" s="781">
        <f t="shared" si="4"/>
        <v>0</v>
      </c>
      <c r="AF56" s="781">
        <f t="shared" si="5"/>
        <v>0</v>
      </c>
      <c r="AG56" s="781">
        <f t="shared" si="6"/>
        <v>0</v>
      </c>
      <c r="AH56" s="781">
        <f t="shared" si="7"/>
        <v>0</v>
      </c>
      <c r="AI56" s="782">
        <f t="shared" si="8"/>
        <v>0</v>
      </c>
      <c r="AJ56" s="781">
        <f t="shared" si="9"/>
        <v>0</v>
      </c>
      <c r="AK56" s="781">
        <f t="shared" si="10"/>
        <v>0</v>
      </c>
      <c r="AL56" s="781">
        <f t="shared" si="11"/>
        <v>0</v>
      </c>
      <c r="AM56" s="781">
        <f t="shared" si="12"/>
        <v>0</v>
      </c>
      <c r="AN56" s="781">
        <f t="shared" si="13"/>
        <v>0</v>
      </c>
      <c r="AO56" s="781">
        <f t="shared" si="14"/>
        <v>0</v>
      </c>
      <c r="AP56" s="781">
        <f t="shared" si="15"/>
        <v>0</v>
      </c>
      <c r="AQ56" s="781">
        <f t="shared" si="16"/>
        <v>0</v>
      </c>
      <c r="AR56" s="781">
        <f t="shared" si="17"/>
        <v>0</v>
      </c>
      <c r="AS56" s="783">
        <f t="shared" si="18"/>
        <v>0</v>
      </c>
    </row>
    <row r="57" spans="1:45" ht="15" x14ac:dyDescent="0.25">
      <c r="A57" s="768"/>
      <c r="B57" s="719">
        <f t="shared" si="19"/>
        <v>49</v>
      </c>
      <c r="C57" s="170"/>
      <c r="D57" s="557"/>
      <c r="E57" s="170"/>
      <c r="F57" s="170">
        <v>0</v>
      </c>
      <c r="G57" s="1962" t="s">
        <v>1673</v>
      </c>
      <c r="H57" s="2039"/>
      <c r="I57" s="1963"/>
      <c r="J57" s="2039"/>
      <c r="K57" s="1982"/>
      <c r="L57" s="1983"/>
      <c r="M57" s="2041">
        <v>0</v>
      </c>
      <c r="N57" s="1984">
        <v>1</v>
      </c>
      <c r="O57" s="1985">
        <f t="shared" si="20"/>
        <v>0</v>
      </c>
      <c r="P57" s="2008" t="s">
        <v>39</v>
      </c>
      <c r="Q57" s="2008" t="s">
        <v>39</v>
      </c>
      <c r="R57" s="2011" t="s">
        <v>73</v>
      </c>
      <c r="S57" s="1986">
        <f>SUMIF('Data Input sheet'!$B$118:$B$180,R57,'Data Input sheet'!$D$118:$D$180)</f>
        <v>119</v>
      </c>
      <c r="T57" s="1987">
        <f t="shared" si="21"/>
        <v>0</v>
      </c>
      <c r="U57" s="2042"/>
      <c r="V57" s="1988">
        <f t="shared" si="22"/>
        <v>0</v>
      </c>
      <c r="W57" s="2043"/>
      <c r="X57" s="1989"/>
      <c r="Y57" s="2047">
        <v>0</v>
      </c>
      <c r="Z57" s="1964">
        <f t="shared" si="2"/>
        <v>0</v>
      </c>
      <c r="AA57" s="2007"/>
      <c r="AB57" s="2007"/>
      <c r="AC57" s="765"/>
      <c r="AD57" s="781">
        <f t="shared" si="3"/>
        <v>0</v>
      </c>
      <c r="AE57" s="781">
        <f t="shared" si="4"/>
        <v>0</v>
      </c>
      <c r="AF57" s="781">
        <f t="shared" si="5"/>
        <v>0</v>
      </c>
      <c r="AG57" s="781">
        <f t="shared" si="6"/>
        <v>0</v>
      </c>
      <c r="AH57" s="781">
        <f t="shared" si="7"/>
        <v>0</v>
      </c>
      <c r="AI57" s="782">
        <f t="shared" si="8"/>
        <v>0</v>
      </c>
      <c r="AJ57" s="781">
        <f t="shared" si="9"/>
        <v>0</v>
      </c>
      <c r="AK57" s="781">
        <f t="shared" si="10"/>
        <v>0</v>
      </c>
      <c r="AL57" s="781">
        <f t="shared" si="11"/>
        <v>0</v>
      </c>
      <c r="AM57" s="781">
        <f t="shared" si="12"/>
        <v>0</v>
      </c>
      <c r="AN57" s="781">
        <f t="shared" si="13"/>
        <v>0</v>
      </c>
      <c r="AO57" s="781">
        <f t="shared" si="14"/>
        <v>0</v>
      </c>
      <c r="AP57" s="781">
        <f t="shared" si="15"/>
        <v>0</v>
      </c>
      <c r="AQ57" s="781">
        <f t="shared" si="16"/>
        <v>0</v>
      </c>
      <c r="AR57" s="781">
        <f t="shared" si="17"/>
        <v>0</v>
      </c>
      <c r="AS57" s="783">
        <f t="shared" si="18"/>
        <v>0</v>
      </c>
    </row>
    <row r="58" spans="1:45" ht="15" x14ac:dyDescent="0.25">
      <c r="A58" s="768"/>
      <c r="B58" s="719">
        <f>B57+1</f>
        <v>50</v>
      </c>
      <c r="C58" s="170"/>
      <c r="D58" s="557"/>
      <c r="E58" s="170"/>
      <c r="F58" s="170">
        <v>5</v>
      </c>
      <c r="G58" s="1957" t="s">
        <v>2805</v>
      </c>
      <c r="H58" s="2464">
        <f t="shared" ref="H58:H80" si="23">+J58*X58</f>
        <v>0</v>
      </c>
      <c r="I58" s="768" t="s">
        <v>671</v>
      </c>
      <c r="J58" s="2465"/>
      <c r="K58" s="842" t="s">
        <v>732</v>
      </c>
      <c r="L58" s="488">
        <v>3</v>
      </c>
      <c r="M58" s="2041">
        <v>6</v>
      </c>
      <c r="N58" s="1966">
        <v>1</v>
      </c>
      <c r="O58" s="1967">
        <f t="shared" ref="O58:O83" si="24">+M58*N58</f>
        <v>6</v>
      </c>
      <c r="P58" s="2008" t="s">
        <v>39</v>
      </c>
      <c r="Q58" s="2008" t="s">
        <v>39</v>
      </c>
      <c r="R58" s="2011" t="s">
        <v>73</v>
      </c>
      <c r="S58" s="1968">
        <f>SUMIF('Data Input sheet'!$B$118:$B$180,R58,'Data Input sheet'!$D$118:$D$180)</f>
        <v>119</v>
      </c>
      <c r="T58" s="1863">
        <f t="shared" ref="T58:T83" si="25">ROUND(O58*S58,0)</f>
        <v>714</v>
      </c>
      <c r="U58" s="2042">
        <v>11</v>
      </c>
      <c r="V58" s="1969">
        <f t="shared" ref="V58:V83" si="26">ROUND(U58*O58,0)</f>
        <v>66</v>
      </c>
      <c r="W58" s="2010">
        <f t="shared" ref="W58:W80" si="27">(125+(150*1.5)+5)</f>
        <v>355</v>
      </c>
      <c r="X58" s="488">
        <v>3</v>
      </c>
      <c r="Y58" s="2047">
        <v>0</v>
      </c>
      <c r="Z58" s="780">
        <f t="shared" ref="Z58:Z83" si="28">T58+V58+W58+Y58</f>
        <v>1135</v>
      </c>
      <c r="AA58" s="2007"/>
      <c r="AB58" s="2007"/>
      <c r="AC58" s="765"/>
      <c r="AD58" s="781">
        <f t="shared" ref="AD58:AD83" si="29">IF(P58="E",+ROUND(H58*O58,0),0)</f>
        <v>0</v>
      </c>
      <c r="AE58" s="781">
        <f t="shared" ref="AE58:AE83" si="30">+AF58-AD58</f>
        <v>0</v>
      </c>
      <c r="AF58" s="781">
        <f t="shared" ref="AF58:AF83" si="31">+H58*O58</f>
        <v>0</v>
      </c>
      <c r="AG58" s="781">
        <f t="shared" ref="AG58:AG83" si="32">IF(P58="E",+ROUND(T58*H58,0),0)</f>
        <v>0</v>
      </c>
      <c r="AH58" s="781">
        <f t="shared" ref="AH58:AH83" si="33">+AI58-AG58</f>
        <v>0</v>
      </c>
      <c r="AI58" s="782">
        <f t="shared" ref="AI58:AI83" si="34">+H58*T58</f>
        <v>0</v>
      </c>
      <c r="AJ58" s="781">
        <f t="shared" ref="AJ58:AJ83" si="35">IF(P58="E",+ROUND(V58*H58,0),0)</f>
        <v>0</v>
      </c>
      <c r="AK58" s="781">
        <f t="shared" ref="AK58:AK83" si="36">+AL58-AJ58</f>
        <v>0</v>
      </c>
      <c r="AL58" s="781">
        <f t="shared" ref="AL58:AL83" si="37">ROUND(V58*H58,0)</f>
        <v>0</v>
      </c>
      <c r="AM58" s="781">
        <f t="shared" ref="AM58:AM83" si="38">IF(Q58="E",+ROUND(W58*H58,0),0)</f>
        <v>0</v>
      </c>
      <c r="AN58" s="781">
        <f t="shared" ref="AN58:AN83" si="39">+AO58-AM58</f>
        <v>0</v>
      </c>
      <c r="AO58" s="781">
        <f t="shared" ref="AO58:AO83" si="40">ROUND(W58*H58,0)</f>
        <v>0</v>
      </c>
      <c r="AP58" s="781">
        <f t="shared" ref="AP58:AP83" si="41">IF(P58="E",+ROUND(Y58*H58,0),0)</f>
        <v>0</v>
      </c>
      <c r="AQ58" s="781">
        <f t="shared" ref="AQ58:AQ83" si="42">+AR58-AP58</f>
        <v>0</v>
      </c>
      <c r="AR58" s="781">
        <f t="shared" ref="AR58:AR83" si="43">ROUND(Y58*H58,0)</f>
        <v>0</v>
      </c>
      <c r="AS58" s="783">
        <f t="shared" ref="AS58:AS83" si="44">+AR58+AO58+AL58+AI58</f>
        <v>0</v>
      </c>
    </row>
    <row r="59" spans="1:45" ht="15" x14ac:dyDescent="0.25">
      <c r="A59" s="768"/>
      <c r="B59" s="719">
        <f t="shared" ref="B59:B83" si="45">B58+1</f>
        <v>51</v>
      </c>
      <c r="C59" s="170"/>
      <c r="D59" s="557"/>
      <c r="E59" s="170"/>
      <c r="F59" s="170">
        <v>5</v>
      </c>
      <c r="G59" s="1957" t="s">
        <v>2806</v>
      </c>
      <c r="H59" s="2464">
        <f t="shared" si="23"/>
        <v>0</v>
      </c>
      <c r="I59" s="768" t="s">
        <v>671</v>
      </c>
      <c r="J59" s="2465"/>
      <c r="K59" s="842" t="s">
        <v>732</v>
      </c>
      <c r="L59" s="488">
        <v>6</v>
      </c>
      <c r="M59" s="2041">
        <v>6</v>
      </c>
      <c r="N59" s="1966">
        <v>1</v>
      </c>
      <c r="O59" s="1967">
        <f t="shared" si="24"/>
        <v>6</v>
      </c>
      <c r="P59" s="2008" t="s">
        <v>39</v>
      </c>
      <c r="Q59" s="2008" t="s">
        <v>39</v>
      </c>
      <c r="R59" s="2011" t="s">
        <v>73</v>
      </c>
      <c r="S59" s="1968">
        <f>SUMIF('Data Input sheet'!$B$118:$B$180,R59,'Data Input sheet'!$D$118:$D$180)</f>
        <v>119</v>
      </c>
      <c r="T59" s="1863">
        <f t="shared" si="25"/>
        <v>714</v>
      </c>
      <c r="U59" s="2042">
        <v>11</v>
      </c>
      <c r="V59" s="1969">
        <f t="shared" si="26"/>
        <v>66</v>
      </c>
      <c r="W59" s="2010">
        <f t="shared" si="27"/>
        <v>355</v>
      </c>
      <c r="X59" s="488">
        <v>6</v>
      </c>
      <c r="Y59" s="2047">
        <v>0</v>
      </c>
      <c r="Z59" s="780">
        <f t="shared" si="28"/>
        <v>1135</v>
      </c>
      <c r="AA59" s="2007"/>
      <c r="AB59" s="2007"/>
      <c r="AC59" s="765"/>
      <c r="AD59" s="781">
        <f t="shared" si="29"/>
        <v>0</v>
      </c>
      <c r="AE59" s="781">
        <f t="shared" si="30"/>
        <v>0</v>
      </c>
      <c r="AF59" s="781">
        <f t="shared" si="31"/>
        <v>0</v>
      </c>
      <c r="AG59" s="781">
        <f t="shared" si="32"/>
        <v>0</v>
      </c>
      <c r="AH59" s="781">
        <f t="shared" si="33"/>
        <v>0</v>
      </c>
      <c r="AI59" s="782">
        <f t="shared" si="34"/>
        <v>0</v>
      </c>
      <c r="AJ59" s="781">
        <f t="shared" si="35"/>
        <v>0</v>
      </c>
      <c r="AK59" s="781">
        <f t="shared" si="36"/>
        <v>0</v>
      </c>
      <c r="AL59" s="781">
        <f t="shared" si="37"/>
        <v>0</v>
      </c>
      <c r="AM59" s="781">
        <f t="shared" si="38"/>
        <v>0</v>
      </c>
      <c r="AN59" s="781">
        <f t="shared" si="39"/>
        <v>0</v>
      </c>
      <c r="AO59" s="781">
        <f t="shared" si="40"/>
        <v>0</v>
      </c>
      <c r="AP59" s="781">
        <f t="shared" si="41"/>
        <v>0</v>
      </c>
      <c r="AQ59" s="781">
        <f t="shared" si="42"/>
        <v>0</v>
      </c>
      <c r="AR59" s="781">
        <f t="shared" si="43"/>
        <v>0</v>
      </c>
      <c r="AS59" s="783">
        <f t="shared" si="44"/>
        <v>0</v>
      </c>
    </row>
    <row r="60" spans="1:45" ht="15" x14ac:dyDescent="0.25">
      <c r="A60" s="768"/>
      <c r="B60" s="719">
        <f t="shared" si="45"/>
        <v>52</v>
      </c>
      <c r="C60" s="170"/>
      <c r="D60" s="557"/>
      <c r="E60" s="170"/>
      <c r="F60" s="170">
        <v>5</v>
      </c>
      <c r="G60" s="1957" t="s">
        <v>2807</v>
      </c>
      <c r="H60" s="2464">
        <f t="shared" si="23"/>
        <v>0</v>
      </c>
      <c r="I60" s="768" t="s">
        <v>671</v>
      </c>
      <c r="J60" s="2465"/>
      <c r="K60" s="842" t="s">
        <v>732</v>
      </c>
      <c r="L60" s="488">
        <v>6</v>
      </c>
      <c r="M60" s="2041">
        <v>6</v>
      </c>
      <c r="N60" s="1966">
        <v>1</v>
      </c>
      <c r="O60" s="1967">
        <f t="shared" si="24"/>
        <v>6</v>
      </c>
      <c r="P60" s="2008" t="s">
        <v>39</v>
      </c>
      <c r="Q60" s="2008" t="s">
        <v>39</v>
      </c>
      <c r="R60" s="2011" t="s">
        <v>73</v>
      </c>
      <c r="S60" s="1968">
        <f>SUMIF('Data Input sheet'!$B$118:$B$180,R60,'Data Input sheet'!$D$118:$D$180)</f>
        <v>119</v>
      </c>
      <c r="T60" s="1863">
        <f t="shared" si="25"/>
        <v>714</v>
      </c>
      <c r="U60" s="2042">
        <v>11</v>
      </c>
      <c r="V60" s="1969">
        <f t="shared" si="26"/>
        <v>66</v>
      </c>
      <c r="W60" s="2010">
        <f t="shared" si="27"/>
        <v>355</v>
      </c>
      <c r="X60" s="488">
        <v>6</v>
      </c>
      <c r="Y60" s="2047">
        <v>0</v>
      </c>
      <c r="Z60" s="780">
        <f t="shared" si="28"/>
        <v>1135</v>
      </c>
      <c r="AA60" s="2007"/>
      <c r="AB60" s="2007"/>
      <c r="AC60" s="765"/>
      <c r="AD60" s="781">
        <f t="shared" si="29"/>
        <v>0</v>
      </c>
      <c r="AE60" s="781">
        <f t="shared" si="30"/>
        <v>0</v>
      </c>
      <c r="AF60" s="781">
        <f t="shared" si="31"/>
        <v>0</v>
      </c>
      <c r="AG60" s="781">
        <f t="shared" si="32"/>
        <v>0</v>
      </c>
      <c r="AH60" s="781">
        <f t="shared" si="33"/>
        <v>0</v>
      </c>
      <c r="AI60" s="782">
        <f t="shared" si="34"/>
        <v>0</v>
      </c>
      <c r="AJ60" s="781">
        <f t="shared" si="35"/>
        <v>0</v>
      </c>
      <c r="AK60" s="781">
        <f t="shared" si="36"/>
        <v>0</v>
      </c>
      <c r="AL60" s="781">
        <f t="shared" si="37"/>
        <v>0</v>
      </c>
      <c r="AM60" s="781">
        <f t="shared" si="38"/>
        <v>0</v>
      </c>
      <c r="AN60" s="781">
        <f t="shared" si="39"/>
        <v>0</v>
      </c>
      <c r="AO60" s="781">
        <f t="shared" si="40"/>
        <v>0</v>
      </c>
      <c r="AP60" s="781">
        <f t="shared" si="41"/>
        <v>0</v>
      </c>
      <c r="AQ60" s="781">
        <f t="shared" si="42"/>
        <v>0</v>
      </c>
      <c r="AR60" s="781">
        <f t="shared" si="43"/>
        <v>0</v>
      </c>
      <c r="AS60" s="783">
        <f t="shared" si="44"/>
        <v>0</v>
      </c>
    </row>
    <row r="61" spans="1:45" ht="15" x14ac:dyDescent="0.25">
      <c r="A61" s="768"/>
      <c r="B61" s="719">
        <f t="shared" si="45"/>
        <v>53</v>
      </c>
      <c r="C61" s="170"/>
      <c r="D61" s="557"/>
      <c r="E61" s="170"/>
      <c r="F61" s="170">
        <v>5</v>
      </c>
      <c r="G61" s="1957" t="s">
        <v>2808</v>
      </c>
      <c r="H61" s="2464">
        <f t="shared" si="23"/>
        <v>0</v>
      </c>
      <c r="I61" s="768" t="s">
        <v>671</v>
      </c>
      <c r="J61" s="2465"/>
      <c r="K61" s="842" t="s">
        <v>732</v>
      </c>
      <c r="L61" s="488">
        <v>4</v>
      </c>
      <c r="M61" s="2041">
        <v>6</v>
      </c>
      <c r="N61" s="1966">
        <v>1</v>
      </c>
      <c r="O61" s="1967">
        <f t="shared" si="24"/>
        <v>6</v>
      </c>
      <c r="P61" s="2008" t="s">
        <v>39</v>
      </c>
      <c r="Q61" s="2008" t="s">
        <v>39</v>
      </c>
      <c r="R61" s="2011" t="s">
        <v>73</v>
      </c>
      <c r="S61" s="1968">
        <f>SUMIF('Data Input sheet'!$B$118:$B$180,R61,'Data Input sheet'!$D$118:$D$180)</f>
        <v>119</v>
      </c>
      <c r="T61" s="1863">
        <f t="shared" si="25"/>
        <v>714</v>
      </c>
      <c r="U61" s="2042">
        <v>11</v>
      </c>
      <c r="V61" s="1969">
        <f t="shared" si="26"/>
        <v>66</v>
      </c>
      <c r="W61" s="2010">
        <f t="shared" si="27"/>
        <v>355</v>
      </c>
      <c r="X61" s="488">
        <v>4</v>
      </c>
      <c r="Y61" s="2047">
        <v>0</v>
      </c>
      <c r="Z61" s="780">
        <f t="shared" si="28"/>
        <v>1135</v>
      </c>
      <c r="AA61" s="2007"/>
      <c r="AB61" s="2007"/>
      <c r="AC61" s="765"/>
      <c r="AD61" s="781">
        <f t="shared" si="29"/>
        <v>0</v>
      </c>
      <c r="AE61" s="781">
        <f t="shared" si="30"/>
        <v>0</v>
      </c>
      <c r="AF61" s="781">
        <f t="shared" si="31"/>
        <v>0</v>
      </c>
      <c r="AG61" s="781">
        <f t="shared" si="32"/>
        <v>0</v>
      </c>
      <c r="AH61" s="781">
        <f t="shared" si="33"/>
        <v>0</v>
      </c>
      <c r="AI61" s="782">
        <f t="shared" si="34"/>
        <v>0</v>
      </c>
      <c r="AJ61" s="781">
        <f t="shared" si="35"/>
        <v>0</v>
      </c>
      <c r="AK61" s="781">
        <f t="shared" si="36"/>
        <v>0</v>
      </c>
      <c r="AL61" s="781">
        <f t="shared" si="37"/>
        <v>0</v>
      </c>
      <c r="AM61" s="781">
        <f t="shared" si="38"/>
        <v>0</v>
      </c>
      <c r="AN61" s="781">
        <f t="shared" si="39"/>
        <v>0</v>
      </c>
      <c r="AO61" s="781">
        <f t="shared" si="40"/>
        <v>0</v>
      </c>
      <c r="AP61" s="781">
        <f t="shared" si="41"/>
        <v>0</v>
      </c>
      <c r="AQ61" s="781">
        <f t="shared" si="42"/>
        <v>0</v>
      </c>
      <c r="AR61" s="781">
        <f t="shared" si="43"/>
        <v>0</v>
      </c>
      <c r="AS61" s="783">
        <f t="shared" si="44"/>
        <v>0</v>
      </c>
    </row>
    <row r="62" spans="1:45" ht="15" x14ac:dyDescent="0.25">
      <c r="A62" s="768"/>
      <c r="B62" s="719">
        <f t="shared" si="45"/>
        <v>54</v>
      </c>
      <c r="C62" s="170"/>
      <c r="D62" s="557"/>
      <c r="E62" s="170"/>
      <c r="F62" s="170">
        <v>5</v>
      </c>
      <c r="G62" s="1957" t="s">
        <v>2809</v>
      </c>
      <c r="H62" s="2464">
        <f t="shared" si="23"/>
        <v>0</v>
      </c>
      <c r="I62" s="768" t="s">
        <v>671</v>
      </c>
      <c r="J62" s="2465"/>
      <c r="K62" s="842" t="s">
        <v>732</v>
      </c>
      <c r="L62" s="488">
        <v>1</v>
      </c>
      <c r="M62" s="2041">
        <v>6</v>
      </c>
      <c r="N62" s="1966">
        <v>1</v>
      </c>
      <c r="O62" s="1967">
        <f t="shared" si="24"/>
        <v>6</v>
      </c>
      <c r="P62" s="2008" t="s">
        <v>39</v>
      </c>
      <c r="Q62" s="2008" t="s">
        <v>39</v>
      </c>
      <c r="R62" s="2011" t="s">
        <v>73</v>
      </c>
      <c r="S62" s="1968">
        <f>SUMIF('Data Input sheet'!$B$118:$B$180,R62,'Data Input sheet'!$D$118:$D$180)</f>
        <v>119</v>
      </c>
      <c r="T62" s="1863">
        <f t="shared" si="25"/>
        <v>714</v>
      </c>
      <c r="U62" s="2042">
        <v>11</v>
      </c>
      <c r="V62" s="1969">
        <f t="shared" si="26"/>
        <v>66</v>
      </c>
      <c r="W62" s="2010">
        <f t="shared" si="27"/>
        <v>355</v>
      </c>
      <c r="X62" s="488">
        <v>1</v>
      </c>
      <c r="Y62" s="2047">
        <v>0</v>
      </c>
      <c r="Z62" s="780">
        <f t="shared" si="28"/>
        <v>1135</v>
      </c>
      <c r="AA62" s="2007"/>
      <c r="AB62" s="2007"/>
      <c r="AC62" s="765"/>
      <c r="AD62" s="781">
        <f t="shared" si="29"/>
        <v>0</v>
      </c>
      <c r="AE62" s="781">
        <f t="shared" si="30"/>
        <v>0</v>
      </c>
      <c r="AF62" s="781">
        <f t="shared" si="31"/>
        <v>0</v>
      </c>
      <c r="AG62" s="781">
        <f t="shared" si="32"/>
        <v>0</v>
      </c>
      <c r="AH62" s="781">
        <f t="shared" si="33"/>
        <v>0</v>
      </c>
      <c r="AI62" s="782">
        <f t="shared" si="34"/>
        <v>0</v>
      </c>
      <c r="AJ62" s="781">
        <f t="shared" si="35"/>
        <v>0</v>
      </c>
      <c r="AK62" s="781">
        <f t="shared" si="36"/>
        <v>0</v>
      </c>
      <c r="AL62" s="781">
        <f t="shared" si="37"/>
        <v>0</v>
      </c>
      <c r="AM62" s="781">
        <f t="shared" si="38"/>
        <v>0</v>
      </c>
      <c r="AN62" s="781">
        <f t="shared" si="39"/>
        <v>0</v>
      </c>
      <c r="AO62" s="781">
        <f t="shared" si="40"/>
        <v>0</v>
      </c>
      <c r="AP62" s="781">
        <f t="shared" si="41"/>
        <v>0</v>
      </c>
      <c r="AQ62" s="781">
        <f t="shared" si="42"/>
        <v>0</v>
      </c>
      <c r="AR62" s="781">
        <f t="shared" si="43"/>
        <v>0</v>
      </c>
      <c r="AS62" s="783">
        <f t="shared" si="44"/>
        <v>0</v>
      </c>
    </row>
    <row r="63" spans="1:45" ht="15" x14ac:dyDescent="0.25">
      <c r="A63" s="768"/>
      <c r="B63" s="719">
        <f t="shared" si="45"/>
        <v>55</v>
      </c>
      <c r="C63" s="170"/>
      <c r="D63" s="557"/>
      <c r="E63" s="170"/>
      <c r="F63" s="170">
        <v>5</v>
      </c>
      <c r="G63" s="1957" t="s">
        <v>2810</v>
      </c>
      <c r="H63" s="2464">
        <f t="shared" si="23"/>
        <v>0</v>
      </c>
      <c r="I63" s="768" t="s">
        <v>671</v>
      </c>
      <c r="J63" s="2465"/>
      <c r="K63" s="842" t="s">
        <v>732</v>
      </c>
      <c r="L63" s="488">
        <v>6</v>
      </c>
      <c r="M63" s="2041">
        <v>6</v>
      </c>
      <c r="N63" s="1966">
        <v>1</v>
      </c>
      <c r="O63" s="1967">
        <f t="shared" si="24"/>
        <v>6</v>
      </c>
      <c r="P63" s="2008" t="s">
        <v>39</v>
      </c>
      <c r="Q63" s="2008" t="s">
        <v>39</v>
      </c>
      <c r="R63" s="2011" t="s">
        <v>73</v>
      </c>
      <c r="S63" s="1968">
        <f>SUMIF('Data Input sheet'!$B$118:$B$180,R63,'Data Input sheet'!$D$118:$D$180)</f>
        <v>119</v>
      </c>
      <c r="T63" s="1863">
        <f t="shared" si="25"/>
        <v>714</v>
      </c>
      <c r="U63" s="2042">
        <v>11</v>
      </c>
      <c r="V63" s="1969">
        <f t="shared" si="26"/>
        <v>66</v>
      </c>
      <c r="W63" s="2010">
        <f t="shared" si="27"/>
        <v>355</v>
      </c>
      <c r="X63" s="488">
        <v>6</v>
      </c>
      <c r="Y63" s="2047">
        <v>0</v>
      </c>
      <c r="Z63" s="780">
        <f t="shared" si="28"/>
        <v>1135</v>
      </c>
      <c r="AA63" s="2007"/>
      <c r="AB63" s="2007"/>
      <c r="AC63" s="765"/>
      <c r="AD63" s="781">
        <f t="shared" si="29"/>
        <v>0</v>
      </c>
      <c r="AE63" s="781">
        <f t="shared" si="30"/>
        <v>0</v>
      </c>
      <c r="AF63" s="781">
        <f t="shared" si="31"/>
        <v>0</v>
      </c>
      <c r="AG63" s="781">
        <f t="shared" si="32"/>
        <v>0</v>
      </c>
      <c r="AH63" s="781">
        <f t="shared" si="33"/>
        <v>0</v>
      </c>
      <c r="AI63" s="782">
        <f t="shared" si="34"/>
        <v>0</v>
      </c>
      <c r="AJ63" s="781">
        <f t="shared" si="35"/>
        <v>0</v>
      </c>
      <c r="AK63" s="781">
        <f t="shared" si="36"/>
        <v>0</v>
      </c>
      <c r="AL63" s="781">
        <f t="shared" si="37"/>
        <v>0</v>
      </c>
      <c r="AM63" s="781">
        <f t="shared" si="38"/>
        <v>0</v>
      </c>
      <c r="AN63" s="781">
        <f t="shared" si="39"/>
        <v>0</v>
      </c>
      <c r="AO63" s="781">
        <f t="shared" si="40"/>
        <v>0</v>
      </c>
      <c r="AP63" s="781">
        <f t="shared" si="41"/>
        <v>0</v>
      </c>
      <c r="AQ63" s="781">
        <f t="shared" si="42"/>
        <v>0</v>
      </c>
      <c r="AR63" s="781">
        <f t="shared" si="43"/>
        <v>0</v>
      </c>
      <c r="AS63" s="783">
        <f t="shared" si="44"/>
        <v>0</v>
      </c>
    </row>
    <row r="64" spans="1:45" ht="15" x14ac:dyDescent="0.25">
      <c r="A64" s="784"/>
      <c r="B64" s="719">
        <f t="shared" si="45"/>
        <v>56</v>
      </c>
      <c r="C64" s="170"/>
      <c r="D64" s="557"/>
      <c r="E64" s="170"/>
      <c r="F64" s="170">
        <v>5</v>
      </c>
      <c r="G64" s="1957" t="s">
        <v>2811</v>
      </c>
      <c r="H64" s="2464">
        <f t="shared" si="23"/>
        <v>0</v>
      </c>
      <c r="I64" s="768" t="s">
        <v>671</v>
      </c>
      <c r="J64" s="2465"/>
      <c r="K64" s="842" t="s">
        <v>732</v>
      </c>
      <c r="L64" s="488">
        <v>3</v>
      </c>
      <c r="M64" s="2041">
        <v>6</v>
      </c>
      <c r="N64" s="1966">
        <v>1</v>
      </c>
      <c r="O64" s="1967">
        <f t="shared" si="24"/>
        <v>6</v>
      </c>
      <c r="P64" s="2008" t="s">
        <v>39</v>
      </c>
      <c r="Q64" s="2008" t="s">
        <v>39</v>
      </c>
      <c r="R64" s="2011" t="s">
        <v>73</v>
      </c>
      <c r="S64" s="1968">
        <f>SUMIF('Data Input sheet'!$B$118:$B$180,R64,'Data Input sheet'!$D$118:$D$180)</f>
        <v>119</v>
      </c>
      <c r="T64" s="1863">
        <f t="shared" si="25"/>
        <v>714</v>
      </c>
      <c r="U64" s="2042">
        <v>11</v>
      </c>
      <c r="V64" s="1969">
        <f t="shared" si="26"/>
        <v>66</v>
      </c>
      <c r="W64" s="2010">
        <f t="shared" si="27"/>
        <v>355</v>
      </c>
      <c r="X64" s="488">
        <v>3</v>
      </c>
      <c r="Y64" s="2047">
        <v>0</v>
      </c>
      <c r="Z64" s="780">
        <f t="shared" si="28"/>
        <v>1135</v>
      </c>
      <c r="AA64" s="2007"/>
      <c r="AB64" s="2007"/>
      <c r="AC64" s="765"/>
      <c r="AD64" s="781">
        <f t="shared" si="29"/>
        <v>0</v>
      </c>
      <c r="AE64" s="781">
        <f t="shared" si="30"/>
        <v>0</v>
      </c>
      <c r="AF64" s="781">
        <f t="shared" si="31"/>
        <v>0</v>
      </c>
      <c r="AG64" s="781">
        <f t="shared" si="32"/>
        <v>0</v>
      </c>
      <c r="AH64" s="781">
        <f t="shared" si="33"/>
        <v>0</v>
      </c>
      <c r="AI64" s="782">
        <f t="shared" si="34"/>
        <v>0</v>
      </c>
      <c r="AJ64" s="781">
        <f t="shared" si="35"/>
        <v>0</v>
      </c>
      <c r="AK64" s="781">
        <f t="shared" si="36"/>
        <v>0</v>
      </c>
      <c r="AL64" s="781">
        <f t="shared" si="37"/>
        <v>0</v>
      </c>
      <c r="AM64" s="781">
        <f t="shared" si="38"/>
        <v>0</v>
      </c>
      <c r="AN64" s="781">
        <f t="shared" si="39"/>
        <v>0</v>
      </c>
      <c r="AO64" s="781">
        <f t="shared" si="40"/>
        <v>0</v>
      </c>
      <c r="AP64" s="781">
        <f t="shared" si="41"/>
        <v>0</v>
      </c>
      <c r="AQ64" s="781">
        <f t="shared" si="42"/>
        <v>0</v>
      </c>
      <c r="AR64" s="781">
        <f t="shared" si="43"/>
        <v>0</v>
      </c>
      <c r="AS64" s="783">
        <f t="shared" si="44"/>
        <v>0</v>
      </c>
    </row>
    <row r="65" spans="1:45" ht="15" x14ac:dyDescent="0.25">
      <c r="A65" s="784"/>
      <c r="B65" s="719">
        <f t="shared" si="45"/>
        <v>57</v>
      </c>
      <c r="C65" s="170"/>
      <c r="D65" s="557"/>
      <c r="E65" s="170"/>
      <c r="F65" s="170">
        <v>5</v>
      </c>
      <c r="G65" s="1957" t="s">
        <v>2812</v>
      </c>
      <c r="H65" s="2464">
        <f t="shared" si="23"/>
        <v>0</v>
      </c>
      <c r="I65" s="768" t="s">
        <v>671</v>
      </c>
      <c r="J65" s="2465"/>
      <c r="K65" s="842" t="s">
        <v>732</v>
      </c>
      <c r="L65" s="488">
        <v>4</v>
      </c>
      <c r="M65" s="2041">
        <v>6</v>
      </c>
      <c r="N65" s="1966">
        <v>1</v>
      </c>
      <c r="O65" s="1967">
        <f t="shared" si="24"/>
        <v>6</v>
      </c>
      <c r="P65" s="2008" t="s">
        <v>39</v>
      </c>
      <c r="Q65" s="2008" t="s">
        <v>39</v>
      </c>
      <c r="R65" s="2011" t="s">
        <v>73</v>
      </c>
      <c r="S65" s="1968">
        <f>SUMIF('Data Input sheet'!$B$118:$B$180,R65,'Data Input sheet'!$D$118:$D$180)</f>
        <v>119</v>
      </c>
      <c r="T65" s="1863">
        <f t="shared" si="25"/>
        <v>714</v>
      </c>
      <c r="U65" s="2042">
        <v>11</v>
      </c>
      <c r="V65" s="1969">
        <f t="shared" si="26"/>
        <v>66</v>
      </c>
      <c r="W65" s="2010">
        <f t="shared" si="27"/>
        <v>355</v>
      </c>
      <c r="X65" s="488">
        <v>4</v>
      </c>
      <c r="Y65" s="2047">
        <v>0</v>
      </c>
      <c r="Z65" s="780">
        <f t="shared" si="28"/>
        <v>1135</v>
      </c>
      <c r="AA65" s="2007"/>
      <c r="AB65" s="2007"/>
      <c r="AC65" s="765"/>
      <c r="AD65" s="781">
        <f t="shared" si="29"/>
        <v>0</v>
      </c>
      <c r="AE65" s="781">
        <f t="shared" si="30"/>
        <v>0</v>
      </c>
      <c r="AF65" s="781">
        <f t="shared" si="31"/>
        <v>0</v>
      </c>
      <c r="AG65" s="781">
        <f t="shared" si="32"/>
        <v>0</v>
      </c>
      <c r="AH65" s="781">
        <f t="shared" si="33"/>
        <v>0</v>
      </c>
      <c r="AI65" s="782">
        <f t="shared" si="34"/>
        <v>0</v>
      </c>
      <c r="AJ65" s="781">
        <f t="shared" si="35"/>
        <v>0</v>
      </c>
      <c r="AK65" s="781">
        <f t="shared" si="36"/>
        <v>0</v>
      </c>
      <c r="AL65" s="781">
        <f t="shared" si="37"/>
        <v>0</v>
      </c>
      <c r="AM65" s="781">
        <f t="shared" si="38"/>
        <v>0</v>
      </c>
      <c r="AN65" s="781">
        <f t="shared" si="39"/>
        <v>0</v>
      </c>
      <c r="AO65" s="781">
        <f t="shared" si="40"/>
        <v>0</v>
      </c>
      <c r="AP65" s="781">
        <f t="shared" si="41"/>
        <v>0</v>
      </c>
      <c r="AQ65" s="781">
        <f t="shared" si="42"/>
        <v>0</v>
      </c>
      <c r="AR65" s="781">
        <f t="shared" si="43"/>
        <v>0</v>
      </c>
      <c r="AS65" s="783">
        <f t="shared" si="44"/>
        <v>0</v>
      </c>
    </row>
    <row r="66" spans="1:45" ht="15" x14ac:dyDescent="0.25">
      <c r="A66" s="784"/>
      <c r="B66" s="719">
        <f t="shared" si="45"/>
        <v>58</v>
      </c>
      <c r="C66" s="170"/>
      <c r="D66" s="557"/>
      <c r="E66" s="170"/>
      <c r="F66" s="170">
        <v>5</v>
      </c>
      <c r="G66" s="1957" t="s">
        <v>2813</v>
      </c>
      <c r="H66" s="2464">
        <f t="shared" si="23"/>
        <v>0</v>
      </c>
      <c r="I66" s="768" t="s">
        <v>671</v>
      </c>
      <c r="J66" s="2465"/>
      <c r="K66" s="842" t="s">
        <v>732</v>
      </c>
      <c r="L66" s="488">
        <v>50</v>
      </c>
      <c r="M66" s="2041">
        <v>6</v>
      </c>
      <c r="N66" s="1966">
        <v>1</v>
      </c>
      <c r="O66" s="1967">
        <f t="shared" si="24"/>
        <v>6</v>
      </c>
      <c r="P66" s="2008" t="s">
        <v>39</v>
      </c>
      <c r="Q66" s="2008" t="s">
        <v>39</v>
      </c>
      <c r="R66" s="2011" t="s">
        <v>73</v>
      </c>
      <c r="S66" s="1968">
        <f>SUMIF('Data Input sheet'!$B$118:$B$180,R66,'Data Input sheet'!$D$118:$D$180)</f>
        <v>119</v>
      </c>
      <c r="T66" s="1863">
        <f t="shared" si="25"/>
        <v>714</v>
      </c>
      <c r="U66" s="2042">
        <v>11</v>
      </c>
      <c r="V66" s="1969">
        <f t="shared" si="26"/>
        <v>66</v>
      </c>
      <c r="W66" s="2010">
        <f t="shared" si="27"/>
        <v>355</v>
      </c>
      <c r="X66" s="488">
        <v>50</v>
      </c>
      <c r="Y66" s="2047">
        <v>0</v>
      </c>
      <c r="Z66" s="780">
        <f t="shared" si="28"/>
        <v>1135</v>
      </c>
      <c r="AA66" s="2007"/>
      <c r="AB66" s="2007"/>
      <c r="AC66" s="765"/>
      <c r="AD66" s="781">
        <f t="shared" si="29"/>
        <v>0</v>
      </c>
      <c r="AE66" s="781">
        <f t="shared" si="30"/>
        <v>0</v>
      </c>
      <c r="AF66" s="781">
        <f t="shared" si="31"/>
        <v>0</v>
      </c>
      <c r="AG66" s="781">
        <f t="shared" si="32"/>
        <v>0</v>
      </c>
      <c r="AH66" s="781">
        <f t="shared" si="33"/>
        <v>0</v>
      </c>
      <c r="AI66" s="782">
        <f t="shared" si="34"/>
        <v>0</v>
      </c>
      <c r="AJ66" s="781">
        <f t="shared" si="35"/>
        <v>0</v>
      </c>
      <c r="AK66" s="781">
        <f t="shared" si="36"/>
        <v>0</v>
      </c>
      <c r="AL66" s="781">
        <f t="shared" si="37"/>
        <v>0</v>
      </c>
      <c r="AM66" s="781">
        <f t="shared" si="38"/>
        <v>0</v>
      </c>
      <c r="AN66" s="781">
        <f t="shared" si="39"/>
        <v>0</v>
      </c>
      <c r="AO66" s="781">
        <f t="shared" si="40"/>
        <v>0</v>
      </c>
      <c r="AP66" s="781">
        <f t="shared" si="41"/>
        <v>0</v>
      </c>
      <c r="AQ66" s="781">
        <f t="shared" si="42"/>
        <v>0</v>
      </c>
      <c r="AR66" s="781">
        <f t="shared" si="43"/>
        <v>0</v>
      </c>
      <c r="AS66" s="783">
        <f t="shared" si="44"/>
        <v>0</v>
      </c>
    </row>
    <row r="67" spans="1:45" ht="15" x14ac:dyDescent="0.25">
      <c r="A67" s="784"/>
      <c r="B67" s="719">
        <f t="shared" si="45"/>
        <v>59</v>
      </c>
      <c r="C67" s="170"/>
      <c r="D67" s="557"/>
      <c r="E67" s="170"/>
      <c r="F67" s="170">
        <v>5</v>
      </c>
      <c r="G67" s="1957" t="s">
        <v>2814</v>
      </c>
      <c r="H67" s="2464">
        <f t="shared" si="23"/>
        <v>0</v>
      </c>
      <c r="I67" s="768" t="s">
        <v>671</v>
      </c>
      <c r="J67" s="2465"/>
      <c r="K67" s="842" t="s">
        <v>732</v>
      </c>
      <c r="L67" s="488">
        <v>150</v>
      </c>
      <c r="M67" s="2041">
        <v>6</v>
      </c>
      <c r="N67" s="1966">
        <v>1</v>
      </c>
      <c r="O67" s="1967">
        <f t="shared" si="24"/>
        <v>6</v>
      </c>
      <c r="P67" s="2008" t="s">
        <v>39</v>
      </c>
      <c r="Q67" s="2008" t="s">
        <v>39</v>
      </c>
      <c r="R67" s="2011" t="s">
        <v>73</v>
      </c>
      <c r="S67" s="1968">
        <f>SUMIF('Data Input sheet'!$B$118:$B$180,R67,'Data Input sheet'!$D$118:$D$180)</f>
        <v>119</v>
      </c>
      <c r="T67" s="1863">
        <f t="shared" si="25"/>
        <v>714</v>
      </c>
      <c r="U67" s="2042">
        <v>11</v>
      </c>
      <c r="V67" s="1969">
        <f t="shared" si="26"/>
        <v>66</v>
      </c>
      <c r="W67" s="2010">
        <f t="shared" si="27"/>
        <v>355</v>
      </c>
      <c r="X67" s="488">
        <v>150</v>
      </c>
      <c r="Y67" s="2047">
        <v>0</v>
      </c>
      <c r="Z67" s="780">
        <f t="shared" si="28"/>
        <v>1135</v>
      </c>
      <c r="AA67" s="2007"/>
      <c r="AB67" s="2007"/>
      <c r="AC67" s="765"/>
      <c r="AD67" s="781">
        <f t="shared" si="29"/>
        <v>0</v>
      </c>
      <c r="AE67" s="781">
        <f t="shared" si="30"/>
        <v>0</v>
      </c>
      <c r="AF67" s="781">
        <f t="shared" si="31"/>
        <v>0</v>
      </c>
      <c r="AG67" s="781">
        <f t="shared" si="32"/>
        <v>0</v>
      </c>
      <c r="AH67" s="781">
        <f t="shared" si="33"/>
        <v>0</v>
      </c>
      <c r="AI67" s="782">
        <f t="shared" si="34"/>
        <v>0</v>
      </c>
      <c r="AJ67" s="781">
        <f t="shared" si="35"/>
        <v>0</v>
      </c>
      <c r="AK67" s="781">
        <f t="shared" si="36"/>
        <v>0</v>
      </c>
      <c r="AL67" s="781">
        <f t="shared" si="37"/>
        <v>0</v>
      </c>
      <c r="AM67" s="781">
        <f t="shared" si="38"/>
        <v>0</v>
      </c>
      <c r="AN67" s="781">
        <f t="shared" si="39"/>
        <v>0</v>
      </c>
      <c r="AO67" s="781">
        <f t="shared" si="40"/>
        <v>0</v>
      </c>
      <c r="AP67" s="781">
        <f t="shared" si="41"/>
        <v>0</v>
      </c>
      <c r="AQ67" s="781">
        <f t="shared" si="42"/>
        <v>0</v>
      </c>
      <c r="AR67" s="781">
        <f t="shared" si="43"/>
        <v>0</v>
      </c>
      <c r="AS67" s="783">
        <f t="shared" si="44"/>
        <v>0</v>
      </c>
    </row>
    <row r="68" spans="1:45" ht="15" x14ac:dyDescent="0.25">
      <c r="A68" s="784"/>
      <c r="B68" s="719">
        <f t="shared" si="45"/>
        <v>60</v>
      </c>
      <c r="C68" s="170"/>
      <c r="D68" s="557"/>
      <c r="E68" s="170"/>
      <c r="F68" s="170">
        <v>5</v>
      </c>
      <c r="G68" s="1957" t="s">
        <v>2815</v>
      </c>
      <c r="H68" s="2464">
        <f t="shared" si="23"/>
        <v>0</v>
      </c>
      <c r="I68" s="768" t="s">
        <v>671</v>
      </c>
      <c r="J68" s="2465"/>
      <c r="K68" s="842" t="s">
        <v>732</v>
      </c>
      <c r="L68" s="488">
        <v>60</v>
      </c>
      <c r="M68" s="2041">
        <v>6</v>
      </c>
      <c r="N68" s="1966">
        <v>1</v>
      </c>
      <c r="O68" s="1967">
        <f t="shared" si="24"/>
        <v>6</v>
      </c>
      <c r="P68" s="2008" t="s">
        <v>39</v>
      </c>
      <c r="Q68" s="2008" t="s">
        <v>39</v>
      </c>
      <c r="R68" s="2011" t="s">
        <v>73</v>
      </c>
      <c r="S68" s="1968">
        <f>SUMIF('Data Input sheet'!$B$118:$B$180,R68,'Data Input sheet'!$D$118:$D$180)</f>
        <v>119</v>
      </c>
      <c r="T68" s="1863">
        <f t="shared" si="25"/>
        <v>714</v>
      </c>
      <c r="U68" s="2042">
        <v>11</v>
      </c>
      <c r="V68" s="1969">
        <f t="shared" si="26"/>
        <v>66</v>
      </c>
      <c r="W68" s="2010">
        <f t="shared" si="27"/>
        <v>355</v>
      </c>
      <c r="X68" s="488">
        <v>60</v>
      </c>
      <c r="Y68" s="2047">
        <v>0</v>
      </c>
      <c r="Z68" s="780">
        <f t="shared" si="28"/>
        <v>1135</v>
      </c>
      <c r="AA68" s="2007"/>
      <c r="AB68" s="2007"/>
      <c r="AC68" s="765"/>
      <c r="AD68" s="781">
        <f t="shared" si="29"/>
        <v>0</v>
      </c>
      <c r="AE68" s="781">
        <f t="shared" si="30"/>
        <v>0</v>
      </c>
      <c r="AF68" s="781">
        <f t="shared" si="31"/>
        <v>0</v>
      </c>
      <c r="AG68" s="781">
        <f t="shared" si="32"/>
        <v>0</v>
      </c>
      <c r="AH68" s="781">
        <f t="shared" si="33"/>
        <v>0</v>
      </c>
      <c r="AI68" s="782">
        <f t="shared" si="34"/>
        <v>0</v>
      </c>
      <c r="AJ68" s="781">
        <f t="shared" si="35"/>
        <v>0</v>
      </c>
      <c r="AK68" s="781">
        <f t="shared" si="36"/>
        <v>0</v>
      </c>
      <c r="AL68" s="781">
        <f t="shared" si="37"/>
        <v>0</v>
      </c>
      <c r="AM68" s="781">
        <f t="shared" si="38"/>
        <v>0</v>
      </c>
      <c r="AN68" s="781">
        <f t="shared" si="39"/>
        <v>0</v>
      </c>
      <c r="AO68" s="781">
        <f t="shared" si="40"/>
        <v>0</v>
      </c>
      <c r="AP68" s="781">
        <f t="shared" si="41"/>
        <v>0</v>
      </c>
      <c r="AQ68" s="781">
        <f t="shared" si="42"/>
        <v>0</v>
      </c>
      <c r="AR68" s="781">
        <f t="shared" si="43"/>
        <v>0</v>
      </c>
      <c r="AS68" s="783">
        <f t="shared" si="44"/>
        <v>0</v>
      </c>
    </row>
    <row r="69" spans="1:45" ht="15" x14ac:dyDescent="0.25">
      <c r="A69" s="784"/>
      <c r="B69" s="719">
        <f t="shared" si="45"/>
        <v>61</v>
      </c>
      <c r="C69" s="170"/>
      <c r="D69" s="557"/>
      <c r="E69" s="170"/>
      <c r="F69" s="170">
        <v>5</v>
      </c>
      <c r="G69" s="1957" t="s">
        <v>2817</v>
      </c>
      <c r="H69" s="2464">
        <f t="shared" si="23"/>
        <v>0</v>
      </c>
      <c r="I69" s="768" t="s">
        <v>671</v>
      </c>
      <c r="J69" s="2465"/>
      <c r="K69" s="842" t="s">
        <v>732</v>
      </c>
      <c r="L69" s="488">
        <v>44</v>
      </c>
      <c r="M69" s="2041">
        <v>6</v>
      </c>
      <c r="N69" s="1966">
        <v>1</v>
      </c>
      <c r="O69" s="1967">
        <f t="shared" si="24"/>
        <v>6</v>
      </c>
      <c r="P69" s="2008" t="s">
        <v>39</v>
      </c>
      <c r="Q69" s="2008" t="s">
        <v>39</v>
      </c>
      <c r="R69" s="2011" t="s">
        <v>73</v>
      </c>
      <c r="S69" s="1968">
        <f>SUMIF('Data Input sheet'!$B$118:$B$180,R69,'Data Input sheet'!$D$118:$D$180)</f>
        <v>119</v>
      </c>
      <c r="T69" s="1863">
        <f t="shared" si="25"/>
        <v>714</v>
      </c>
      <c r="U69" s="2042">
        <v>11</v>
      </c>
      <c r="V69" s="1969">
        <f t="shared" si="26"/>
        <v>66</v>
      </c>
      <c r="W69" s="2010">
        <f t="shared" si="27"/>
        <v>355</v>
      </c>
      <c r="X69" s="488">
        <v>44</v>
      </c>
      <c r="Y69" s="2047">
        <v>0</v>
      </c>
      <c r="Z69" s="780">
        <f t="shared" si="28"/>
        <v>1135</v>
      </c>
      <c r="AA69" s="2007"/>
      <c r="AB69" s="2007"/>
      <c r="AC69" s="765"/>
      <c r="AD69" s="781">
        <f t="shared" si="29"/>
        <v>0</v>
      </c>
      <c r="AE69" s="781">
        <f t="shared" si="30"/>
        <v>0</v>
      </c>
      <c r="AF69" s="781">
        <f t="shared" si="31"/>
        <v>0</v>
      </c>
      <c r="AG69" s="781">
        <f t="shared" si="32"/>
        <v>0</v>
      </c>
      <c r="AH69" s="781">
        <f t="shared" si="33"/>
        <v>0</v>
      </c>
      <c r="AI69" s="782">
        <f t="shared" si="34"/>
        <v>0</v>
      </c>
      <c r="AJ69" s="781">
        <f t="shared" si="35"/>
        <v>0</v>
      </c>
      <c r="AK69" s="781">
        <f t="shared" si="36"/>
        <v>0</v>
      </c>
      <c r="AL69" s="781">
        <f t="shared" si="37"/>
        <v>0</v>
      </c>
      <c r="AM69" s="781">
        <f t="shared" si="38"/>
        <v>0</v>
      </c>
      <c r="AN69" s="781">
        <f t="shared" si="39"/>
        <v>0</v>
      </c>
      <c r="AO69" s="781">
        <f t="shared" si="40"/>
        <v>0</v>
      </c>
      <c r="AP69" s="781">
        <f t="shared" si="41"/>
        <v>0</v>
      </c>
      <c r="AQ69" s="781">
        <f t="shared" si="42"/>
        <v>0</v>
      </c>
      <c r="AR69" s="781">
        <f t="shared" si="43"/>
        <v>0</v>
      </c>
      <c r="AS69" s="783">
        <f t="shared" si="44"/>
        <v>0</v>
      </c>
    </row>
    <row r="70" spans="1:45" ht="15" x14ac:dyDescent="0.25">
      <c r="A70" s="768"/>
      <c r="B70" s="719">
        <f t="shared" si="45"/>
        <v>62</v>
      </c>
      <c r="C70" s="170"/>
      <c r="D70" s="557"/>
      <c r="E70" s="170"/>
      <c r="F70" s="170">
        <v>5</v>
      </c>
      <c r="G70" s="1957" t="s">
        <v>2816</v>
      </c>
      <c r="H70" s="2464">
        <f t="shared" si="23"/>
        <v>0</v>
      </c>
      <c r="I70" s="768" t="s">
        <v>671</v>
      </c>
      <c r="J70" s="2465"/>
      <c r="K70" s="842" t="s">
        <v>732</v>
      </c>
      <c r="L70" s="488">
        <v>50</v>
      </c>
      <c r="M70" s="2041">
        <v>6</v>
      </c>
      <c r="N70" s="1966">
        <v>1</v>
      </c>
      <c r="O70" s="1967">
        <f t="shared" si="24"/>
        <v>6</v>
      </c>
      <c r="P70" s="2008" t="s">
        <v>39</v>
      </c>
      <c r="Q70" s="2008" t="s">
        <v>39</v>
      </c>
      <c r="R70" s="2011" t="s">
        <v>73</v>
      </c>
      <c r="S70" s="1968">
        <f>SUMIF('Data Input sheet'!$B$118:$B$180,R70,'Data Input sheet'!$D$118:$D$180)</f>
        <v>119</v>
      </c>
      <c r="T70" s="1863">
        <f t="shared" si="25"/>
        <v>714</v>
      </c>
      <c r="U70" s="2042">
        <v>11</v>
      </c>
      <c r="V70" s="1969">
        <f t="shared" si="26"/>
        <v>66</v>
      </c>
      <c r="W70" s="2010">
        <f t="shared" si="27"/>
        <v>355</v>
      </c>
      <c r="X70" s="488">
        <v>50</v>
      </c>
      <c r="Y70" s="2047">
        <v>0</v>
      </c>
      <c r="Z70" s="780">
        <f t="shared" si="28"/>
        <v>1135</v>
      </c>
      <c r="AA70" s="2007"/>
      <c r="AB70" s="2007"/>
      <c r="AC70" s="765"/>
      <c r="AD70" s="781">
        <f t="shared" si="29"/>
        <v>0</v>
      </c>
      <c r="AE70" s="781">
        <f t="shared" si="30"/>
        <v>0</v>
      </c>
      <c r="AF70" s="781">
        <f t="shared" si="31"/>
        <v>0</v>
      </c>
      <c r="AG70" s="781">
        <f t="shared" si="32"/>
        <v>0</v>
      </c>
      <c r="AH70" s="781">
        <f t="shared" si="33"/>
        <v>0</v>
      </c>
      <c r="AI70" s="782">
        <f t="shared" si="34"/>
        <v>0</v>
      </c>
      <c r="AJ70" s="781">
        <f t="shared" si="35"/>
        <v>0</v>
      </c>
      <c r="AK70" s="781">
        <f t="shared" si="36"/>
        <v>0</v>
      </c>
      <c r="AL70" s="781">
        <f t="shared" si="37"/>
        <v>0</v>
      </c>
      <c r="AM70" s="781">
        <f t="shared" si="38"/>
        <v>0</v>
      </c>
      <c r="AN70" s="781">
        <f t="shared" si="39"/>
        <v>0</v>
      </c>
      <c r="AO70" s="781">
        <f t="shared" si="40"/>
        <v>0</v>
      </c>
      <c r="AP70" s="781">
        <f t="shared" si="41"/>
        <v>0</v>
      </c>
      <c r="AQ70" s="781">
        <f t="shared" si="42"/>
        <v>0</v>
      </c>
      <c r="AR70" s="781">
        <f t="shared" si="43"/>
        <v>0</v>
      </c>
      <c r="AS70" s="783">
        <f t="shared" si="44"/>
        <v>0</v>
      </c>
    </row>
    <row r="71" spans="1:45" ht="15" x14ac:dyDescent="0.25">
      <c r="A71" s="768"/>
      <c r="B71" s="719">
        <f t="shared" si="45"/>
        <v>63</v>
      </c>
      <c r="C71" s="170"/>
      <c r="D71" s="557"/>
      <c r="E71" s="170"/>
      <c r="F71" s="170">
        <v>5</v>
      </c>
      <c r="G71" s="1957" t="s">
        <v>2818</v>
      </c>
      <c r="H71" s="2464">
        <f t="shared" si="23"/>
        <v>0</v>
      </c>
      <c r="I71" s="768" t="s">
        <v>671</v>
      </c>
      <c r="J71" s="2465"/>
      <c r="K71" s="842" t="s">
        <v>732</v>
      </c>
      <c r="L71" s="488">
        <v>40</v>
      </c>
      <c r="M71" s="2041">
        <v>6</v>
      </c>
      <c r="N71" s="1966">
        <v>1</v>
      </c>
      <c r="O71" s="1967">
        <f t="shared" si="24"/>
        <v>6</v>
      </c>
      <c r="P71" s="2008" t="s">
        <v>39</v>
      </c>
      <c r="Q71" s="2008" t="s">
        <v>39</v>
      </c>
      <c r="R71" s="2011" t="s">
        <v>73</v>
      </c>
      <c r="S71" s="1968">
        <f>SUMIF('Data Input sheet'!$B$118:$B$180,R71,'Data Input sheet'!$D$118:$D$180)</f>
        <v>119</v>
      </c>
      <c r="T71" s="1863">
        <f t="shared" si="25"/>
        <v>714</v>
      </c>
      <c r="U71" s="2042">
        <v>11</v>
      </c>
      <c r="V71" s="1969">
        <f t="shared" si="26"/>
        <v>66</v>
      </c>
      <c r="W71" s="2010">
        <f t="shared" si="27"/>
        <v>355</v>
      </c>
      <c r="X71" s="488">
        <v>40</v>
      </c>
      <c r="Y71" s="2047">
        <v>0</v>
      </c>
      <c r="Z71" s="780">
        <f t="shared" si="28"/>
        <v>1135</v>
      </c>
      <c r="AA71" s="2007"/>
      <c r="AB71" s="2007"/>
      <c r="AC71" s="765"/>
      <c r="AD71" s="781">
        <f t="shared" si="29"/>
        <v>0</v>
      </c>
      <c r="AE71" s="781">
        <f t="shared" si="30"/>
        <v>0</v>
      </c>
      <c r="AF71" s="781">
        <f t="shared" si="31"/>
        <v>0</v>
      </c>
      <c r="AG71" s="781">
        <f t="shared" si="32"/>
        <v>0</v>
      </c>
      <c r="AH71" s="781">
        <f t="shared" si="33"/>
        <v>0</v>
      </c>
      <c r="AI71" s="782">
        <f t="shared" si="34"/>
        <v>0</v>
      </c>
      <c r="AJ71" s="781">
        <f t="shared" si="35"/>
        <v>0</v>
      </c>
      <c r="AK71" s="781">
        <f t="shared" si="36"/>
        <v>0</v>
      </c>
      <c r="AL71" s="781">
        <f t="shared" si="37"/>
        <v>0</v>
      </c>
      <c r="AM71" s="781">
        <f t="shared" si="38"/>
        <v>0</v>
      </c>
      <c r="AN71" s="781">
        <f t="shared" si="39"/>
        <v>0</v>
      </c>
      <c r="AO71" s="781">
        <f t="shared" si="40"/>
        <v>0</v>
      </c>
      <c r="AP71" s="781">
        <f t="shared" si="41"/>
        <v>0</v>
      </c>
      <c r="AQ71" s="781">
        <f t="shared" si="42"/>
        <v>0</v>
      </c>
      <c r="AR71" s="781">
        <f t="shared" si="43"/>
        <v>0</v>
      </c>
      <c r="AS71" s="783">
        <f t="shared" si="44"/>
        <v>0</v>
      </c>
    </row>
    <row r="72" spans="1:45" ht="15" x14ac:dyDescent="0.25">
      <c r="A72" s="768"/>
      <c r="B72" s="719">
        <f t="shared" si="45"/>
        <v>64</v>
      </c>
      <c r="C72" s="170"/>
      <c r="D72" s="557"/>
      <c r="E72" s="170"/>
      <c r="F72" s="170">
        <v>5</v>
      </c>
      <c r="G72" s="1957" t="s">
        <v>2819</v>
      </c>
      <c r="H72" s="2464">
        <f t="shared" si="23"/>
        <v>0</v>
      </c>
      <c r="I72" s="768" t="s">
        <v>671</v>
      </c>
      <c r="J72" s="2465"/>
      <c r="K72" s="842" t="s">
        <v>732</v>
      </c>
      <c r="L72" s="488">
        <v>30</v>
      </c>
      <c r="M72" s="2041">
        <v>6</v>
      </c>
      <c r="N72" s="1966">
        <v>1</v>
      </c>
      <c r="O72" s="1967">
        <f t="shared" si="24"/>
        <v>6</v>
      </c>
      <c r="P72" s="2008" t="s">
        <v>39</v>
      </c>
      <c r="Q72" s="2008" t="s">
        <v>39</v>
      </c>
      <c r="R72" s="2011" t="s">
        <v>73</v>
      </c>
      <c r="S72" s="1968">
        <f>SUMIF('Data Input sheet'!$B$118:$B$180,R72,'Data Input sheet'!$D$118:$D$180)</f>
        <v>119</v>
      </c>
      <c r="T72" s="1863">
        <f t="shared" si="25"/>
        <v>714</v>
      </c>
      <c r="U72" s="2042">
        <v>11</v>
      </c>
      <c r="V72" s="1969">
        <f t="shared" si="26"/>
        <v>66</v>
      </c>
      <c r="W72" s="2010">
        <f t="shared" si="27"/>
        <v>355</v>
      </c>
      <c r="X72" s="488">
        <v>30</v>
      </c>
      <c r="Y72" s="2047">
        <v>0</v>
      </c>
      <c r="Z72" s="780">
        <f t="shared" si="28"/>
        <v>1135</v>
      </c>
      <c r="AA72" s="2007"/>
      <c r="AB72" s="2007"/>
      <c r="AC72" s="765"/>
      <c r="AD72" s="781">
        <f t="shared" si="29"/>
        <v>0</v>
      </c>
      <c r="AE72" s="781">
        <f t="shared" si="30"/>
        <v>0</v>
      </c>
      <c r="AF72" s="781">
        <f t="shared" si="31"/>
        <v>0</v>
      </c>
      <c r="AG72" s="781">
        <f t="shared" si="32"/>
        <v>0</v>
      </c>
      <c r="AH72" s="781">
        <f t="shared" si="33"/>
        <v>0</v>
      </c>
      <c r="AI72" s="782">
        <f t="shared" si="34"/>
        <v>0</v>
      </c>
      <c r="AJ72" s="781">
        <f t="shared" si="35"/>
        <v>0</v>
      </c>
      <c r="AK72" s="781">
        <f t="shared" si="36"/>
        <v>0</v>
      </c>
      <c r="AL72" s="781">
        <f t="shared" si="37"/>
        <v>0</v>
      </c>
      <c r="AM72" s="781">
        <f t="shared" si="38"/>
        <v>0</v>
      </c>
      <c r="AN72" s="781">
        <f t="shared" si="39"/>
        <v>0</v>
      </c>
      <c r="AO72" s="781">
        <f t="shared" si="40"/>
        <v>0</v>
      </c>
      <c r="AP72" s="781">
        <f t="shared" si="41"/>
        <v>0</v>
      </c>
      <c r="AQ72" s="781">
        <f t="shared" si="42"/>
        <v>0</v>
      </c>
      <c r="AR72" s="781">
        <f t="shared" si="43"/>
        <v>0</v>
      </c>
      <c r="AS72" s="783">
        <f t="shared" si="44"/>
        <v>0</v>
      </c>
    </row>
    <row r="73" spans="1:45" ht="15" x14ac:dyDescent="0.25">
      <c r="A73" s="768"/>
      <c r="B73" s="719">
        <f t="shared" si="45"/>
        <v>65</v>
      </c>
      <c r="C73" s="170"/>
      <c r="D73" s="557"/>
      <c r="E73" s="170"/>
      <c r="F73" s="170">
        <v>5</v>
      </c>
      <c r="G73" s="1957" t="s">
        <v>2820</v>
      </c>
      <c r="H73" s="2464">
        <f t="shared" si="23"/>
        <v>0</v>
      </c>
      <c r="I73" s="768" t="s">
        <v>671</v>
      </c>
      <c r="J73" s="2465"/>
      <c r="K73" s="842" t="s">
        <v>732</v>
      </c>
      <c r="L73" s="488">
        <v>15</v>
      </c>
      <c r="M73" s="2041">
        <v>6</v>
      </c>
      <c r="N73" s="1966">
        <v>1</v>
      </c>
      <c r="O73" s="1967">
        <f t="shared" si="24"/>
        <v>6</v>
      </c>
      <c r="P73" s="2008" t="s">
        <v>39</v>
      </c>
      <c r="Q73" s="2008" t="s">
        <v>39</v>
      </c>
      <c r="R73" s="2011" t="s">
        <v>73</v>
      </c>
      <c r="S73" s="1968">
        <f>SUMIF('Data Input sheet'!$B$118:$B$180,R73,'Data Input sheet'!$D$118:$D$180)</f>
        <v>119</v>
      </c>
      <c r="T73" s="1863">
        <f t="shared" si="25"/>
        <v>714</v>
      </c>
      <c r="U73" s="2042">
        <v>11</v>
      </c>
      <c r="V73" s="1969">
        <f t="shared" si="26"/>
        <v>66</v>
      </c>
      <c r="W73" s="2010">
        <f t="shared" si="27"/>
        <v>355</v>
      </c>
      <c r="X73" s="488">
        <v>15</v>
      </c>
      <c r="Y73" s="2047">
        <v>0</v>
      </c>
      <c r="Z73" s="780">
        <f t="shared" si="28"/>
        <v>1135</v>
      </c>
      <c r="AA73" s="2007"/>
      <c r="AB73" s="2007"/>
      <c r="AC73" s="765"/>
      <c r="AD73" s="781">
        <f t="shared" si="29"/>
        <v>0</v>
      </c>
      <c r="AE73" s="781">
        <f t="shared" si="30"/>
        <v>0</v>
      </c>
      <c r="AF73" s="781">
        <f t="shared" si="31"/>
        <v>0</v>
      </c>
      <c r="AG73" s="781">
        <f t="shared" si="32"/>
        <v>0</v>
      </c>
      <c r="AH73" s="781">
        <f t="shared" si="33"/>
        <v>0</v>
      </c>
      <c r="AI73" s="782">
        <f t="shared" si="34"/>
        <v>0</v>
      </c>
      <c r="AJ73" s="781">
        <f t="shared" si="35"/>
        <v>0</v>
      </c>
      <c r="AK73" s="781">
        <f t="shared" si="36"/>
        <v>0</v>
      </c>
      <c r="AL73" s="781">
        <f t="shared" si="37"/>
        <v>0</v>
      </c>
      <c r="AM73" s="781">
        <f t="shared" si="38"/>
        <v>0</v>
      </c>
      <c r="AN73" s="781">
        <f t="shared" si="39"/>
        <v>0</v>
      </c>
      <c r="AO73" s="781">
        <f t="shared" si="40"/>
        <v>0</v>
      </c>
      <c r="AP73" s="781">
        <f t="shared" si="41"/>
        <v>0</v>
      </c>
      <c r="AQ73" s="781">
        <f t="shared" si="42"/>
        <v>0</v>
      </c>
      <c r="AR73" s="781">
        <f t="shared" si="43"/>
        <v>0</v>
      </c>
      <c r="AS73" s="783">
        <f t="shared" si="44"/>
        <v>0</v>
      </c>
    </row>
    <row r="74" spans="1:45" ht="15" x14ac:dyDescent="0.25">
      <c r="A74" s="768"/>
      <c r="B74" s="719">
        <f t="shared" si="45"/>
        <v>66</v>
      </c>
      <c r="C74" s="170"/>
      <c r="D74" s="557"/>
      <c r="E74" s="170"/>
      <c r="F74" s="170">
        <v>6</v>
      </c>
      <c r="G74" s="1957" t="s">
        <v>2821</v>
      </c>
      <c r="H74" s="2464">
        <f t="shared" si="23"/>
        <v>0</v>
      </c>
      <c r="I74" s="768" t="s">
        <v>671</v>
      </c>
      <c r="J74" s="2465"/>
      <c r="K74" s="842" t="s">
        <v>732</v>
      </c>
      <c r="L74" s="488">
        <v>84</v>
      </c>
      <c r="M74" s="2041">
        <v>6</v>
      </c>
      <c r="N74" s="1966">
        <v>1</v>
      </c>
      <c r="O74" s="1967">
        <f t="shared" si="24"/>
        <v>6</v>
      </c>
      <c r="P74" s="2008" t="s">
        <v>39</v>
      </c>
      <c r="Q74" s="2008" t="s">
        <v>39</v>
      </c>
      <c r="R74" s="2011" t="s">
        <v>73</v>
      </c>
      <c r="S74" s="1968">
        <f>SUMIF('Data Input sheet'!$B$118:$B$180,R74,'Data Input sheet'!$D$118:$D$180)</f>
        <v>119</v>
      </c>
      <c r="T74" s="1863">
        <f t="shared" si="25"/>
        <v>714</v>
      </c>
      <c r="U74" s="2042">
        <v>11</v>
      </c>
      <c r="V74" s="1969">
        <f t="shared" si="26"/>
        <v>66</v>
      </c>
      <c r="W74" s="2010">
        <f t="shared" si="27"/>
        <v>355</v>
      </c>
      <c r="X74" s="488">
        <v>84</v>
      </c>
      <c r="Y74" s="2047">
        <v>0</v>
      </c>
      <c r="Z74" s="780">
        <f t="shared" si="28"/>
        <v>1135</v>
      </c>
      <c r="AA74" s="2007"/>
      <c r="AB74" s="2007"/>
      <c r="AC74" s="765"/>
      <c r="AD74" s="781">
        <f t="shared" si="29"/>
        <v>0</v>
      </c>
      <c r="AE74" s="781">
        <f t="shared" si="30"/>
        <v>0</v>
      </c>
      <c r="AF74" s="781">
        <f t="shared" si="31"/>
        <v>0</v>
      </c>
      <c r="AG74" s="781">
        <f t="shared" si="32"/>
        <v>0</v>
      </c>
      <c r="AH74" s="781">
        <f t="shared" si="33"/>
        <v>0</v>
      </c>
      <c r="AI74" s="782">
        <f t="shared" si="34"/>
        <v>0</v>
      </c>
      <c r="AJ74" s="781">
        <f t="shared" si="35"/>
        <v>0</v>
      </c>
      <c r="AK74" s="781">
        <f t="shared" si="36"/>
        <v>0</v>
      </c>
      <c r="AL74" s="781">
        <f t="shared" si="37"/>
        <v>0</v>
      </c>
      <c r="AM74" s="781">
        <f t="shared" si="38"/>
        <v>0</v>
      </c>
      <c r="AN74" s="781">
        <f t="shared" si="39"/>
        <v>0</v>
      </c>
      <c r="AO74" s="781">
        <f t="shared" si="40"/>
        <v>0</v>
      </c>
      <c r="AP74" s="781">
        <f t="shared" si="41"/>
        <v>0</v>
      </c>
      <c r="AQ74" s="781">
        <f t="shared" si="42"/>
        <v>0</v>
      </c>
      <c r="AR74" s="781">
        <f t="shared" si="43"/>
        <v>0</v>
      </c>
      <c r="AS74" s="783">
        <f t="shared" si="44"/>
        <v>0</v>
      </c>
    </row>
    <row r="75" spans="1:45" ht="15" x14ac:dyDescent="0.25">
      <c r="A75" s="768"/>
      <c r="B75" s="719">
        <f t="shared" si="45"/>
        <v>67</v>
      </c>
      <c r="C75" s="170"/>
      <c r="D75" s="557"/>
      <c r="E75" s="170"/>
      <c r="F75" s="170">
        <v>18</v>
      </c>
      <c r="G75" s="1957" t="s">
        <v>2822</v>
      </c>
      <c r="H75" s="2464">
        <f t="shared" si="23"/>
        <v>0</v>
      </c>
      <c r="I75" s="768" t="s">
        <v>671</v>
      </c>
      <c r="J75" s="2465"/>
      <c r="K75" s="842" t="s">
        <v>732</v>
      </c>
      <c r="L75" s="488">
        <v>85</v>
      </c>
      <c r="M75" s="2041">
        <v>6</v>
      </c>
      <c r="N75" s="1966">
        <v>1</v>
      </c>
      <c r="O75" s="1967">
        <f t="shared" si="24"/>
        <v>6</v>
      </c>
      <c r="P75" s="2008" t="s">
        <v>39</v>
      </c>
      <c r="Q75" s="2008" t="s">
        <v>39</v>
      </c>
      <c r="R75" s="2011" t="s">
        <v>73</v>
      </c>
      <c r="S75" s="1968">
        <f>SUMIF('Data Input sheet'!$B$118:$B$180,R75,'Data Input sheet'!$D$118:$D$180)</f>
        <v>119</v>
      </c>
      <c r="T75" s="1863">
        <f t="shared" si="25"/>
        <v>714</v>
      </c>
      <c r="U75" s="2042">
        <v>11</v>
      </c>
      <c r="V75" s="1969">
        <f t="shared" si="26"/>
        <v>66</v>
      </c>
      <c r="W75" s="2010">
        <f t="shared" si="27"/>
        <v>355</v>
      </c>
      <c r="X75" s="488">
        <v>85</v>
      </c>
      <c r="Y75" s="2047">
        <v>0</v>
      </c>
      <c r="Z75" s="780">
        <f t="shared" si="28"/>
        <v>1135</v>
      </c>
      <c r="AA75" s="2007"/>
      <c r="AB75" s="2007"/>
      <c r="AC75" s="765"/>
      <c r="AD75" s="781">
        <f t="shared" si="29"/>
        <v>0</v>
      </c>
      <c r="AE75" s="781">
        <f t="shared" si="30"/>
        <v>0</v>
      </c>
      <c r="AF75" s="781">
        <f t="shared" si="31"/>
        <v>0</v>
      </c>
      <c r="AG75" s="781">
        <f t="shared" si="32"/>
        <v>0</v>
      </c>
      <c r="AH75" s="781">
        <f t="shared" si="33"/>
        <v>0</v>
      </c>
      <c r="AI75" s="782">
        <f t="shared" si="34"/>
        <v>0</v>
      </c>
      <c r="AJ75" s="781">
        <f t="shared" si="35"/>
        <v>0</v>
      </c>
      <c r="AK75" s="781">
        <f t="shared" si="36"/>
        <v>0</v>
      </c>
      <c r="AL75" s="781">
        <f t="shared" si="37"/>
        <v>0</v>
      </c>
      <c r="AM75" s="781">
        <f t="shared" si="38"/>
        <v>0</v>
      </c>
      <c r="AN75" s="781">
        <f t="shared" si="39"/>
        <v>0</v>
      </c>
      <c r="AO75" s="781">
        <f t="shared" si="40"/>
        <v>0</v>
      </c>
      <c r="AP75" s="781">
        <f t="shared" si="41"/>
        <v>0</v>
      </c>
      <c r="AQ75" s="781">
        <f t="shared" si="42"/>
        <v>0</v>
      </c>
      <c r="AR75" s="781">
        <f t="shared" si="43"/>
        <v>0</v>
      </c>
      <c r="AS75" s="783">
        <f t="shared" si="44"/>
        <v>0</v>
      </c>
    </row>
    <row r="76" spans="1:45" ht="15" x14ac:dyDescent="0.25">
      <c r="A76" s="768"/>
      <c r="B76" s="719">
        <f t="shared" si="45"/>
        <v>68</v>
      </c>
      <c r="C76" s="170"/>
      <c r="D76" s="557"/>
      <c r="E76" s="170"/>
      <c r="F76" s="170">
        <v>6</v>
      </c>
      <c r="G76" s="1957" t="s">
        <v>2823</v>
      </c>
      <c r="H76" s="2464">
        <f t="shared" si="23"/>
        <v>0</v>
      </c>
      <c r="I76" s="768" t="s">
        <v>671</v>
      </c>
      <c r="J76" s="2465"/>
      <c r="K76" s="842" t="s">
        <v>732</v>
      </c>
      <c r="L76" s="488">
        <v>800</v>
      </c>
      <c r="M76" s="2041">
        <v>6</v>
      </c>
      <c r="N76" s="1966">
        <v>1</v>
      </c>
      <c r="O76" s="1967">
        <f t="shared" si="24"/>
        <v>6</v>
      </c>
      <c r="P76" s="2008" t="s">
        <v>39</v>
      </c>
      <c r="Q76" s="2008" t="s">
        <v>39</v>
      </c>
      <c r="R76" s="2011" t="s">
        <v>73</v>
      </c>
      <c r="S76" s="1968">
        <f>SUMIF('Data Input sheet'!$B$118:$B$180,R76,'Data Input sheet'!$D$118:$D$180)</f>
        <v>119</v>
      </c>
      <c r="T76" s="1863">
        <f t="shared" si="25"/>
        <v>714</v>
      </c>
      <c r="U76" s="2042">
        <v>11</v>
      </c>
      <c r="V76" s="1969">
        <f t="shared" si="26"/>
        <v>66</v>
      </c>
      <c r="W76" s="2010">
        <f t="shared" si="27"/>
        <v>355</v>
      </c>
      <c r="X76" s="488">
        <v>800</v>
      </c>
      <c r="Y76" s="2047">
        <v>0</v>
      </c>
      <c r="Z76" s="780">
        <f t="shared" si="28"/>
        <v>1135</v>
      </c>
      <c r="AA76" s="2007"/>
      <c r="AB76" s="2007"/>
      <c r="AC76" s="765"/>
      <c r="AD76" s="781">
        <f t="shared" si="29"/>
        <v>0</v>
      </c>
      <c r="AE76" s="781">
        <f t="shared" si="30"/>
        <v>0</v>
      </c>
      <c r="AF76" s="781">
        <f t="shared" si="31"/>
        <v>0</v>
      </c>
      <c r="AG76" s="781">
        <f t="shared" si="32"/>
        <v>0</v>
      </c>
      <c r="AH76" s="781">
        <f t="shared" si="33"/>
        <v>0</v>
      </c>
      <c r="AI76" s="782">
        <f t="shared" si="34"/>
        <v>0</v>
      </c>
      <c r="AJ76" s="781">
        <f t="shared" si="35"/>
        <v>0</v>
      </c>
      <c r="AK76" s="781">
        <f t="shared" si="36"/>
        <v>0</v>
      </c>
      <c r="AL76" s="781">
        <f t="shared" si="37"/>
        <v>0</v>
      </c>
      <c r="AM76" s="781">
        <f t="shared" si="38"/>
        <v>0</v>
      </c>
      <c r="AN76" s="781">
        <f t="shared" si="39"/>
        <v>0</v>
      </c>
      <c r="AO76" s="781">
        <f t="shared" si="40"/>
        <v>0</v>
      </c>
      <c r="AP76" s="781">
        <f t="shared" si="41"/>
        <v>0</v>
      </c>
      <c r="AQ76" s="781">
        <f t="shared" si="42"/>
        <v>0</v>
      </c>
      <c r="AR76" s="781">
        <f t="shared" si="43"/>
        <v>0</v>
      </c>
      <c r="AS76" s="783">
        <f t="shared" si="44"/>
        <v>0</v>
      </c>
    </row>
    <row r="77" spans="1:45" ht="15" x14ac:dyDescent="0.25">
      <c r="A77" s="768"/>
      <c r="B77" s="719">
        <f t="shared" si="45"/>
        <v>69</v>
      </c>
      <c r="C77" s="170"/>
      <c r="D77" s="557"/>
      <c r="E77" s="170"/>
      <c r="F77" s="170">
        <v>5</v>
      </c>
      <c r="G77" s="1957" t="s">
        <v>2824</v>
      </c>
      <c r="H77" s="2464">
        <f t="shared" si="23"/>
        <v>0</v>
      </c>
      <c r="I77" s="768" t="s">
        <v>671</v>
      </c>
      <c r="J77" s="2465"/>
      <c r="K77" s="842" t="s">
        <v>732</v>
      </c>
      <c r="L77" s="488">
        <v>10</v>
      </c>
      <c r="M77" s="2041">
        <v>6</v>
      </c>
      <c r="N77" s="1966">
        <v>1</v>
      </c>
      <c r="O77" s="1967">
        <f t="shared" si="24"/>
        <v>6</v>
      </c>
      <c r="P77" s="2008" t="s">
        <v>39</v>
      </c>
      <c r="Q77" s="2008" t="s">
        <v>39</v>
      </c>
      <c r="R77" s="2011" t="s">
        <v>73</v>
      </c>
      <c r="S77" s="1968">
        <f>SUMIF('Data Input sheet'!$B$118:$B$180,R77,'Data Input sheet'!$D$118:$D$180)</f>
        <v>119</v>
      </c>
      <c r="T77" s="1863">
        <f t="shared" si="25"/>
        <v>714</v>
      </c>
      <c r="U77" s="2042">
        <v>11</v>
      </c>
      <c r="V77" s="1969">
        <f t="shared" si="26"/>
        <v>66</v>
      </c>
      <c r="W77" s="2010">
        <f t="shared" si="27"/>
        <v>355</v>
      </c>
      <c r="X77" s="488">
        <v>10</v>
      </c>
      <c r="Y77" s="2047">
        <v>0</v>
      </c>
      <c r="Z77" s="780">
        <f t="shared" si="28"/>
        <v>1135</v>
      </c>
      <c r="AA77" s="2007"/>
      <c r="AB77" s="2007"/>
      <c r="AC77" s="765"/>
      <c r="AD77" s="781">
        <f t="shared" si="29"/>
        <v>0</v>
      </c>
      <c r="AE77" s="781">
        <f t="shared" si="30"/>
        <v>0</v>
      </c>
      <c r="AF77" s="781">
        <f t="shared" si="31"/>
        <v>0</v>
      </c>
      <c r="AG77" s="781">
        <f t="shared" si="32"/>
        <v>0</v>
      </c>
      <c r="AH77" s="781">
        <f t="shared" si="33"/>
        <v>0</v>
      </c>
      <c r="AI77" s="782">
        <f t="shared" si="34"/>
        <v>0</v>
      </c>
      <c r="AJ77" s="781">
        <f t="shared" si="35"/>
        <v>0</v>
      </c>
      <c r="AK77" s="781">
        <f t="shared" si="36"/>
        <v>0</v>
      </c>
      <c r="AL77" s="781">
        <f t="shared" si="37"/>
        <v>0</v>
      </c>
      <c r="AM77" s="781">
        <f t="shared" si="38"/>
        <v>0</v>
      </c>
      <c r="AN77" s="781">
        <f t="shared" si="39"/>
        <v>0</v>
      </c>
      <c r="AO77" s="781">
        <f t="shared" si="40"/>
        <v>0</v>
      </c>
      <c r="AP77" s="781">
        <f t="shared" si="41"/>
        <v>0</v>
      </c>
      <c r="AQ77" s="781">
        <f t="shared" si="42"/>
        <v>0</v>
      </c>
      <c r="AR77" s="781">
        <f t="shared" si="43"/>
        <v>0</v>
      </c>
      <c r="AS77" s="783">
        <f t="shared" si="44"/>
        <v>0</v>
      </c>
    </row>
    <row r="78" spans="1:45" ht="15" x14ac:dyDescent="0.25">
      <c r="A78" s="768"/>
      <c r="B78" s="719">
        <f t="shared" si="45"/>
        <v>70</v>
      </c>
      <c r="C78" s="170"/>
      <c r="D78" s="557"/>
      <c r="E78" s="170"/>
      <c r="F78" s="170">
        <v>5</v>
      </c>
      <c r="G78" s="1957" t="s">
        <v>2825</v>
      </c>
      <c r="H78" s="2464">
        <f t="shared" si="23"/>
        <v>0</v>
      </c>
      <c r="I78" s="768" t="s">
        <v>671</v>
      </c>
      <c r="J78" s="2465"/>
      <c r="K78" s="842" t="s">
        <v>732</v>
      </c>
      <c r="L78" s="488">
        <v>700</v>
      </c>
      <c r="M78" s="2041">
        <v>6</v>
      </c>
      <c r="N78" s="1966">
        <v>1</v>
      </c>
      <c r="O78" s="1967">
        <f t="shared" si="24"/>
        <v>6</v>
      </c>
      <c r="P78" s="2008" t="s">
        <v>39</v>
      </c>
      <c r="Q78" s="2008" t="s">
        <v>39</v>
      </c>
      <c r="R78" s="2011" t="s">
        <v>73</v>
      </c>
      <c r="S78" s="1968">
        <f>SUMIF('Data Input sheet'!$B$118:$B$180,R78,'Data Input sheet'!$D$118:$D$180)</f>
        <v>119</v>
      </c>
      <c r="T78" s="1863">
        <f t="shared" si="25"/>
        <v>714</v>
      </c>
      <c r="U78" s="2042">
        <v>11</v>
      </c>
      <c r="V78" s="1969">
        <f t="shared" si="26"/>
        <v>66</v>
      </c>
      <c r="W78" s="2010">
        <f t="shared" si="27"/>
        <v>355</v>
      </c>
      <c r="X78" s="488">
        <v>700</v>
      </c>
      <c r="Y78" s="2047">
        <v>0</v>
      </c>
      <c r="Z78" s="780">
        <f t="shared" si="28"/>
        <v>1135</v>
      </c>
      <c r="AA78" s="2007"/>
      <c r="AB78" s="2007"/>
      <c r="AC78" s="765"/>
      <c r="AD78" s="781">
        <f t="shared" si="29"/>
        <v>0</v>
      </c>
      <c r="AE78" s="781">
        <f t="shared" si="30"/>
        <v>0</v>
      </c>
      <c r="AF78" s="781">
        <f t="shared" si="31"/>
        <v>0</v>
      </c>
      <c r="AG78" s="781">
        <f t="shared" si="32"/>
        <v>0</v>
      </c>
      <c r="AH78" s="781">
        <f t="shared" si="33"/>
        <v>0</v>
      </c>
      <c r="AI78" s="782">
        <f t="shared" si="34"/>
        <v>0</v>
      </c>
      <c r="AJ78" s="781">
        <f t="shared" si="35"/>
        <v>0</v>
      </c>
      <c r="AK78" s="781">
        <f t="shared" si="36"/>
        <v>0</v>
      </c>
      <c r="AL78" s="781">
        <f t="shared" si="37"/>
        <v>0</v>
      </c>
      <c r="AM78" s="781">
        <f t="shared" si="38"/>
        <v>0</v>
      </c>
      <c r="AN78" s="781">
        <f t="shared" si="39"/>
        <v>0</v>
      </c>
      <c r="AO78" s="781">
        <f t="shared" si="40"/>
        <v>0</v>
      </c>
      <c r="AP78" s="781">
        <f t="shared" si="41"/>
        <v>0</v>
      </c>
      <c r="AQ78" s="781">
        <f t="shared" si="42"/>
        <v>0</v>
      </c>
      <c r="AR78" s="781">
        <f t="shared" si="43"/>
        <v>0</v>
      </c>
      <c r="AS78" s="783">
        <f t="shared" si="44"/>
        <v>0</v>
      </c>
    </row>
    <row r="79" spans="1:45" ht="15" x14ac:dyDescent="0.25">
      <c r="A79" s="768"/>
      <c r="B79" s="719">
        <f t="shared" si="45"/>
        <v>71</v>
      </c>
      <c r="C79" s="170"/>
      <c r="D79" s="557"/>
      <c r="E79" s="170"/>
      <c r="F79" s="170">
        <v>5</v>
      </c>
      <c r="G79" s="1957" t="s">
        <v>2826</v>
      </c>
      <c r="H79" s="2464">
        <f t="shared" si="23"/>
        <v>0</v>
      </c>
      <c r="I79" s="768" t="s">
        <v>671</v>
      </c>
      <c r="J79" s="2465"/>
      <c r="K79" s="842" t="s">
        <v>732</v>
      </c>
      <c r="L79" s="488">
        <v>935</v>
      </c>
      <c r="M79" s="2041">
        <v>6</v>
      </c>
      <c r="N79" s="1966">
        <v>1</v>
      </c>
      <c r="O79" s="1967">
        <f t="shared" si="24"/>
        <v>6</v>
      </c>
      <c r="P79" s="2008" t="s">
        <v>39</v>
      </c>
      <c r="Q79" s="2008" t="s">
        <v>39</v>
      </c>
      <c r="R79" s="2011" t="s">
        <v>73</v>
      </c>
      <c r="S79" s="1968">
        <f>SUMIF('Data Input sheet'!$B$118:$B$180,R79,'Data Input sheet'!$D$118:$D$180)</f>
        <v>119</v>
      </c>
      <c r="T79" s="1863">
        <f t="shared" si="25"/>
        <v>714</v>
      </c>
      <c r="U79" s="2042">
        <v>11</v>
      </c>
      <c r="V79" s="1969">
        <f t="shared" si="26"/>
        <v>66</v>
      </c>
      <c r="W79" s="2010">
        <f t="shared" si="27"/>
        <v>355</v>
      </c>
      <c r="X79" s="488">
        <v>935</v>
      </c>
      <c r="Y79" s="2047">
        <v>0</v>
      </c>
      <c r="Z79" s="780">
        <f t="shared" si="28"/>
        <v>1135</v>
      </c>
      <c r="AA79" s="2007"/>
      <c r="AB79" s="2007"/>
      <c r="AC79" s="765"/>
      <c r="AD79" s="781">
        <f t="shared" si="29"/>
        <v>0</v>
      </c>
      <c r="AE79" s="781">
        <f t="shared" si="30"/>
        <v>0</v>
      </c>
      <c r="AF79" s="781">
        <f t="shared" si="31"/>
        <v>0</v>
      </c>
      <c r="AG79" s="781">
        <f t="shared" si="32"/>
        <v>0</v>
      </c>
      <c r="AH79" s="781">
        <f t="shared" si="33"/>
        <v>0</v>
      </c>
      <c r="AI79" s="782">
        <f t="shared" si="34"/>
        <v>0</v>
      </c>
      <c r="AJ79" s="781">
        <f t="shared" si="35"/>
        <v>0</v>
      </c>
      <c r="AK79" s="781">
        <f t="shared" si="36"/>
        <v>0</v>
      </c>
      <c r="AL79" s="781">
        <f t="shared" si="37"/>
        <v>0</v>
      </c>
      <c r="AM79" s="781">
        <f t="shared" si="38"/>
        <v>0</v>
      </c>
      <c r="AN79" s="781">
        <f t="shared" si="39"/>
        <v>0</v>
      </c>
      <c r="AO79" s="781">
        <f t="shared" si="40"/>
        <v>0</v>
      </c>
      <c r="AP79" s="781">
        <f t="shared" si="41"/>
        <v>0</v>
      </c>
      <c r="AQ79" s="781">
        <f t="shared" si="42"/>
        <v>0</v>
      </c>
      <c r="AR79" s="781">
        <f t="shared" si="43"/>
        <v>0</v>
      </c>
      <c r="AS79" s="783">
        <f t="shared" si="44"/>
        <v>0</v>
      </c>
    </row>
    <row r="80" spans="1:45" ht="15" x14ac:dyDescent="0.25">
      <c r="A80" s="768"/>
      <c r="B80" s="719">
        <f t="shared" si="45"/>
        <v>72</v>
      </c>
      <c r="C80" s="170"/>
      <c r="D80" s="557"/>
      <c r="E80" s="170"/>
      <c r="F80" s="170">
        <v>5</v>
      </c>
      <c r="G80" s="1957" t="s">
        <v>2827</v>
      </c>
      <c r="H80" s="2464">
        <f t="shared" si="23"/>
        <v>0</v>
      </c>
      <c r="I80" s="768" t="s">
        <v>671</v>
      </c>
      <c r="J80" s="2465"/>
      <c r="K80" s="842" t="s">
        <v>732</v>
      </c>
      <c r="L80" s="488">
        <v>77</v>
      </c>
      <c r="M80" s="2041">
        <v>6</v>
      </c>
      <c r="N80" s="1966">
        <v>1</v>
      </c>
      <c r="O80" s="1967">
        <f t="shared" si="24"/>
        <v>6</v>
      </c>
      <c r="P80" s="2008" t="s">
        <v>39</v>
      </c>
      <c r="Q80" s="2008" t="s">
        <v>39</v>
      </c>
      <c r="R80" s="2011" t="s">
        <v>73</v>
      </c>
      <c r="S80" s="1968">
        <f>SUMIF('Data Input sheet'!$B$118:$B$180,R80,'Data Input sheet'!$D$118:$D$180)</f>
        <v>119</v>
      </c>
      <c r="T80" s="1863">
        <f t="shared" si="25"/>
        <v>714</v>
      </c>
      <c r="U80" s="2042">
        <v>11</v>
      </c>
      <c r="V80" s="1969">
        <f t="shared" si="26"/>
        <v>66</v>
      </c>
      <c r="W80" s="2010">
        <f t="shared" si="27"/>
        <v>355</v>
      </c>
      <c r="X80" s="488">
        <v>77</v>
      </c>
      <c r="Y80" s="2047">
        <v>0</v>
      </c>
      <c r="Z80" s="780">
        <f t="shared" si="28"/>
        <v>1135</v>
      </c>
      <c r="AA80" s="2007"/>
      <c r="AB80" s="2007"/>
      <c r="AC80" s="765"/>
      <c r="AD80" s="781">
        <f t="shared" si="29"/>
        <v>0</v>
      </c>
      <c r="AE80" s="781">
        <f t="shared" si="30"/>
        <v>0</v>
      </c>
      <c r="AF80" s="781">
        <f t="shared" si="31"/>
        <v>0</v>
      </c>
      <c r="AG80" s="781">
        <f t="shared" si="32"/>
        <v>0</v>
      </c>
      <c r="AH80" s="781">
        <f t="shared" si="33"/>
        <v>0</v>
      </c>
      <c r="AI80" s="782">
        <f t="shared" si="34"/>
        <v>0</v>
      </c>
      <c r="AJ80" s="781">
        <f t="shared" si="35"/>
        <v>0</v>
      </c>
      <c r="AK80" s="781">
        <f t="shared" si="36"/>
        <v>0</v>
      </c>
      <c r="AL80" s="781">
        <f t="shared" si="37"/>
        <v>0</v>
      </c>
      <c r="AM80" s="781">
        <f t="shared" si="38"/>
        <v>0</v>
      </c>
      <c r="AN80" s="781">
        <f t="shared" si="39"/>
        <v>0</v>
      </c>
      <c r="AO80" s="781">
        <f t="shared" si="40"/>
        <v>0</v>
      </c>
      <c r="AP80" s="781">
        <f t="shared" si="41"/>
        <v>0</v>
      </c>
      <c r="AQ80" s="781">
        <f t="shared" si="42"/>
        <v>0</v>
      </c>
      <c r="AR80" s="781">
        <f t="shared" si="43"/>
        <v>0</v>
      </c>
      <c r="AS80" s="783">
        <f t="shared" si="44"/>
        <v>0</v>
      </c>
    </row>
    <row r="81" spans="1:45" ht="15" x14ac:dyDescent="0.25">
      <c r="A81" s="768"/>
      <c r="B81" s="719">
        <f t="shared" si="45"/>
        <v>73</v>
      </c>
      <c r="C81" s="170"/>
      <c r="D81" s="557"/>
      <c r="E81" s="170"/>
      <c r="F81" s="170">
        <v>5</v>
      </c>
      <c r="G81" s="1957" t="s">
        <v>2828</v>
      </c>
      <c r="H81" s="2464">
        <f t="shared" ref="H81" si="46">+J81*X81</f>
        <v>0</v>
      </c>
      <c r="I81" s="768" t="s">
        <v>671</v>
      </c>
      <c r="J81" s="2465"/>
      <c r="K81" s="842" t="s">
        <v>732</v>
      </c>
      <c r="L81" s="488">
        <v>37</v>
      </c>
      <c r="M81" s="2041">
        <v>6</v>
      </c>
      <c r="N81" s="1966">
        <v>1</v>
      </c>
      <c r="O81" s="1967">
        <f t="shared" si="24"/>
        <v>6</v>
      </c>
      <c r="P81" s="2008" t="s">
        <v>39</v>
      </c>
      <c r="Q81" s="2008" t="s">
        <v>39</v>
      </c>
      <c r="R81" s="2011" t="s">
        <v>73</v>
      </c>
      <c r="S81" s="1968">
        <f>SUMIF('Data Input sheet'!$B$118:$B$180,R81,'Data Input sheet'!$D$118:$D$180)</f>
        <v>119</v>
      </c>
      <c r="T81" s="1863">
        <f t="shared" si="25"/>
        <v>714</v>
      </c>
      <c r="U81" s="2042">
        <v>11</v>
      </c>
      <c r="V81" s="1969">
        <f t="shared" si="26"/>
        <v>66</v>
      </c>
      <c r="W81" s="2010">
        <f t="shared" ref="W81" si="47">(125+(150*1.5)+5)</f>
        <v>355</v>
      </c>
      <c r="X81" s="488">
        <v>37</v>
      </c>
      <c r="Y81" s="2047">
        <v>0</v>
      </c>
      <c r="Z81" s="780">
        <f t="shared" si="28"/>
        <v>1135</v>
      </c>
      <c r="AA81" s="2007"/>
      <c r="AB81" s="2007"/>
      <c r="AC81" s="765"/>
      <c r="AD81" s="781">
        <f t="shared" si="29"/>
        <v>0</v>
      </c>
      <c r="AE81" s="781">
        <f t="shared" si="30"/>
        <v>0</v>
      </c>
      <c r="AF81" s="781">
        <f t="shared" si="31"/>
        <v>0</v>
      </c>
      <c r="AG81" s="781">
        <f t="shared" si="32"/>
        <v>0</v>
      </c>
      <c r="AH81" s="781">
        <f t="shared" si="33"/>
        <v>0</v>
      </c>
      <c r="AI81" s="782">
        <f t="shared" si="34"/>
        <v>0</v>
      </c>
      <c r="AJ81" s="781">
        <f t="shared" si="35"/>
        <v>0</v>
      </c>
      <c r="AK81" s="781">
        <f t="shared" si="36"/>
        <v>0</v>
      </c>
      <c r="AL81" s="781">
        <f t="shared" si="37"/>
        <v>0</v>
      </c>
      <c r="AM81" s="781">
        <f t="shared" si="38"/>
        <v>0</v>
      </c>
      <c r="AN81" s="781">
        <f t="shared" si="39"/>
        <v>0</v>
      </c>
      <c r="AO81" s="781">
        <f t="shared" si="40"/>
        <v>0</v>
      </c>
      <c r="AP81" s="781">
        <f t="shared" si="41"/>
        <v>0</v>
      </c>
      <c r="AQ81" s="781">
        <f t="shared" si="42"/>
        <v>0</v>
      </c>
      <c r="AR81" s="781">
        <f t="shared" si="43"/>
        <v>0</v>
      </c>
      <c r="AS81" s="783">
        <f t="shared" si="44"/>
        <v>0</v>
      </c>
    </row>
    <row r="82" spans="1:45" ht="15" x14ac:dyDescent="0.25">
      <c r="A82" s="768"/>
      <c r="B82" s="719">
        <f t="shared" si="45"/>
        <v>74</v>
      </c>
      <c r="C82" s="170"/>
      <c r="D82" s="557"/>
      <c r="E82" s="170"/>
      <c r="F82" s="170">
        <v>5</v>
      </c>
      <c r="G82" s="1957" t="s">
        <v>2829</v>
      </c>
      <c r="H82" s="2039"/>
      <c r="I82" s="768" t="s">
        <v>732</v>
      </c>
      <c r="J82" s="2039"/>
      <c r="K82" s="842"/>
      <c r="L82" s="488"/>
      <c r="M82" s="2041">
        <v>0</v>
      </c>
      <c r="N82" s="1966">
        <v>1</v>
      </c>
      <c r="O82" s="1967">
        <f t="shared" si="24"/>
        <v>0</v>
      </c>
      <c r="P82" s="2008" t="s">
        <v>39</v>
      </c>
      <c r="Q82" s="2008" t="s">
        <v>39</v>
      </c>
      <c r="R82" s="2011" t="s">
        <v>73</v>
      </c>
      <c r="S82" s="1968">
        <f>SUMIF('Data Input sheet'!$B$118:$B$180,R82,'Data Input sheet'!$D$118:$D$180)</f>
        <v>119</v>
      </c>
      <c r="T82" s="1863">
        <f t="shared" si="25"/>
        <v>0</v>
      </c>
      <c r="U82" s="2042"/>
      <c r="V82" s="1969">
        <f t="shared" si="26"/>
        <v>0</v>
      </c>
      <c r="W82" s="2043"/>
      <c r="X82" s="1970"/>
      <c r="Y82" s="2047">
        <v>30000</v>
      </c>
      <c r="Z82" s="780">
        <f t="shared" si="28"/>
        <v>30000</v>
      </c>
      <c r="AA82" s="2007"/>
      <c r="AB82" s="2007"/>
      <c r="AC82" s="765"/>
      <c r="AD82" s="781">
        <f t="shared" si="29"/>
        <v>0</v>
      </c>
      <c r="AE82" s="781">
        <f t="shared" si="30"/>
        <v>0</v>
      </c>
      <c r="AF82" s="781">
        <f t="shared" si="31"/>
        <v>0</v>
      </c>
      <c r="AG82" s="781">
        <f t="shared" si="32"/>
        <v>0</v>
      </c>
      <c r="AH82" s="781">
        <f t="shared" si="33"/>
        <v>0</v>
      </c>
      <c r="AI82" s="782">
        <f t="shared" si="34"/>
        <v>0</v>
      </c>
      <c r="AJ82" s="781">
        <f t="shared" si="35"/>
        <v>0</v>
      </c>
      <c r="AK82" s="781">
        <f t="shared" si="36"/>
        <v>0</v>
      </c>
      <c r="AL82" s="781">
        <f t="shared" si="37"/>
        <v>0</v>
      </c>
      <c r="AM82" s="781">
        <f t="shared" si="38"/>
        <v>0</v>
      </c>
      <c r="AN82" s="781">
        <f t="shared" si="39"/>
        <v>0</v>
      </c>
      <c r="AO82" s="781">
        <f t="shared" si="40"/>
        <v>0</v>
      </c>
      <c r="AP82" s="781">
        <f t="shared" si="41"/>
        <v>0</v>
      </c>
      <c r="AQ82" s="781">
        <f t="shared" si="42"/>
        <v>0</v>
      </c>
      <c r="AR82" s="781">
        <f t="shared" si="43"/>
        <v>0</v>
      </c>
      <c r="AS82" s="783">
        <f t="shared" si="44"/>
        <v>0</v>
      </c>
    </row>
    <row r="83" spans="1:45" ht="15" x14ac:dyDescent="0.25">
      <c r="A83" s="768"/>
      <c r="B83" s="719">
        <f t="shared" si="45"/>
        <v>75</v>
      </c>
      <c r="C83" s="170"/>
      <c r="D83" s="557"/>
      <c r="E83" s="170"/>
      <c r="F83" s="170">
        <v>0</v>
      </c>
      <c r="G83" s="1962" t="s">
        <v>1679</v>
      </c>
      <c r="H83" s="2039"/>
      <c r="I83" s="1963"/>
      <c r="J83" s="2039"/>
      <c r="K83" s="1982"/>
      <c r="L83" s="1983"/>
      <c r="M83" s="2041">
        <v>0</v>
      </c>
      <c r="N83" s="1984">
        <v>1</v>
      </c>
      <c r="O83" s="1985">
        <f t="shared" si="24"/>
        <v>0</v>
      </c>
      <c r="P83" s="2008" t="s">
        <v>39</v>
      </c>
      <c r="Q83" s="2008" t="s">
        <v>39</v>
      </c>
      <c r="R83" s="2011" t="s">
        <v>73</v>
      </c>
      <c r="S83" s="1986">
        <f>SUMIF('Data Input sheet'!$B$118:$B$180,R83,'Data Input sheet'!$D$118:$D$180)</f>
        <v>119</v>
      </c>
      <c r="T83" s="1987">
        <f t="shared" si="25"/>
        <v>0</v>
      </c>
      <c r="U83" s="2042"/>
      <c r="V83" s="1988">
        <f t="shared" si="26"/>
        <v>0</v>
      </c>
      <c r="W83" s="2043"/>
      <c r="X83" s="1989"/>
      <c r="Y83" s="2047"/>
      <c r="Z83" s="1964">
        <f t="shared" si="28"/>
        <v>0</v>
      </c>
      <c r="AA83" s="2007"/>
      <c r="AB83" s="2007"/>
      <c r="AC83" s="765"/>
      <c r="AD83" s="781">
        <f t="shared" si="29"/>
        <v>0</v>
      </c>
      <c r="AE83" s="781">
        <f t="shared" si="30"/>
        <v>0</v>
      </c>
      <c r="AF83" s="781">
        <f t="shared" si="31"/>
        <v>0</v>
      </c>
      <c r="AG83" s="781">
        <f t="shared" si="32"/>
        <v>0</v>
      </c>
      <c r="AH83" s="781">
        <f t="shared" si="33"/>
        <v>0</v>
      </c>
      <c r="AI83" s="782">
        <f t="shared" si="34"/>
        <v>0</v>
      </c>
      <c r="AJ83" s="781">
        <f t="shared" si="35"/>
        <v>0</v>
      </c>
      <c r="AK83" s="781">
        <f t="shared" si="36"/>
        <v>0</v>
      </c>
      <c r="AL83" s="781">
        <f t="shared" si="37"/>
        <v>0</v>
      </c>
      <c r="AM83" s="781">
        <f t="shared" si="38"/>
        <v>0</v>
      </c>
      <c r="AN83" s="781">
        <f t="shared" si="39"/>
        <v>0</v>
      </c>
      <c r="AO83" s="781">
        <f t="shared" si="40"/>
        <v>0</v>
      </c>
      <c r="AP83" s="781">
        <f t="shared" si="41"/>
        <v>0</v>
      </c>
      <c r="AQ83" s="781">
        <f t="shared" si="42"/>
        <v>0</v>
      </c>
      <c r="AR83" s="781">
        <f t="shared" si="43"/>
        <v>0</v>
      </c>
      <c r="AS83" s="783">
        <f t="shared" si="44"/>
        <v>0</v>
      </c>
    </row>
    <row r="84" spans="1:45" ht="15" x14ac:dyDescent="0.25">
      <c r="A84" s="784"/>
      <c r="B84" s="719">
        <f>B83+1</f>
        <v>76</v>
      </c>
      <c r="C84" s="170"/>
      <c r="D84" s="557"/>
      <c r="E84" s="170"/>
      <c r="F84" s="170">
        <v>45</v>
      </c>
      <c r="G84" s="1957" t="s">
        <v>2830</v>
      </c>
      <c r="H84" s="1967">
        <f>+J84</f>
        <v>0</v>
      </c>
      <c r="I84" s="768" t="s">
        <v>732</v>
      </c>
      <c r="J84" s="2465">
        <v>0</v>
      </c>
      <c r="K84" s="842" t="s">
        <v>732</v>
      </c>
      <c r="L84" s="488"/>
      <c r="M84" s="2041">
        <v>30</v>
      </c>
      <c r="N84" s="1966">
        <v>1</v>
      </c>
      <c r="O84" s="1967">
        <f t="shared" ref="O84" si="48">+M84*N84</f>
        <v>30</v>
      </c>
      <c r="P84" s="2008" t="s">
        <v>39</v>
      </c>
      <c r="Q84" s="2008" t="s">
        <v>39</v>
      </c>
      <c r="R84" s="2011" t="s">
        <v>73</v>
      </c>
      <c r="S84" s="1968">
        <f>SUMIF('Data Input sheet'!$B$118:$B$180,R84,'Data Input sheet'!$D$118:$D$180)</f>
        <v>119</v>
      </c>
      <c r="T84" s="1863">
        <f t="shared" ref="T84" si="49">ROUND(O84*S84,0)</f>
        <v>3570</v>
      </c>
      <c r="U84" s="2042">
        <v>55</v>
      </c>
      <c r="V84" s="1969">
        <f t="shared" ref="V84:V92" si="50">ROUND(U84*O84,0)</f>
        <v>1650</v>
      </c>
      <c r="W84" s="2043">
        <v>6500</v>
      </c>
      <c r="X84" s="1960">
        <v>5555.5555555555557</v>
      </c>
      <c r="Y84" s="2047">
        <v>0</v>
      </c>
      <c r="Z84" s="780">
        <f t="shared" ref="Z84" si="51">T84+V84+W84+Y84</f>
        <v>11720</v>
      </c>
      <c r="AA84" s="2007"/>
      <c r="AB84" s="2007"/>
      <c r="AC84" s="765"/>
      <c r="AD84" s="781">
        <f t="shared" ref="AD84:AD95" si="52">IF(P84="E",+ROUND(H84*O84,0),0)</f>
        <v>0</v>
      </c>
      <c r="AE84" s="781">
        <f t="shared" ref="AE84:AE95" si="53">+AF84-AD84</f>
        <v>0</v>
      </c>
      <c r="AF84" s="781">
        <f t="shared" ref="AF84:AF95" si="54">+H84*O84</f>
        <v>0</v>
      </c>
      <c r="AG84" s="781">
        <f t="shared" ref="AG84:AG95" si="55">IF(P84="E",+ROUND(T84*H84,0),0)</f>
        <v>0</v>
      </c>
      <c r="AH84" s="781">
        <f t="shared" ref="AH84:AH95" si="56">+AI84-AG84</f>
        <v>0</v>
      </c>
      <c r="AI84" s="782">
        <f t="shared" ref="AI84:AI95" si="57">+H84*T84</f>
        <v>0</v>
      </c>
      <c r="AJ84" s="781">
        <f t="shared" ref="AJ84:AJ95" si="58">IF(P84="E",+ROUND(V84*H84,0),0)</f>
        <v>0</v>
      </c>
      <c r="AK84" s="781">
        <f t="shared" ref="AK84:AK95" si="59">+AL84-AJ84</f>
        <v>0</v>
      </c>
      <c r="AL84" s="781">
        <f t="shared" ref="AL84:AL95" si="60">ROUND(V84*H84,0)</f>
        <v>0</v>
      </c>
      <c r="AM84" s="781">
        <f t="shared" ref="AM84:AM95" si="61">IF(Q84="E",+ROUND(W84*H84,0),0)</f>
        <v>0</v>
      </c>
      <c r="AN84" s="781">
        <f t="shared" ref="AN84:AN95" si="62">+AO84-AM84</f>
        <v>0</v>
      </c>
      <c r="AO84" s="781">
        <f t="shared" ref="AO84:AO95" si="63">ROUND(W84*H84,0)</f>
        <v>0</v>
      </c>
      <c r="AP84" s="781">
        <f t="shared" ref="AP84:AP95" si="64">IF(P84="E",+ROUND(Y84*H84,0),0)</f>
        <v>0</v>
      </c>
      <c r="AQ84" s="781">
        <f t="shared" ref="AQ84:AQ95" si="65">+AR84-AP84</f>
        <v>0</v>
      </c>
      <c r="AR84" s="781">
        <f t="shared" ref="AR84:AR95" si="66">ROUND(Y84*H84,0)</f>
        <v>0</v>
      </c>
      <c r="AS84" s="783">
        <f t="shared" ref="AS84:AS95" si="67">+AR84+AO84+AL84+AI84</f>
        <v>0</v>
      </c>
    </row>
    <row r="85" spans="1:45" ht="15" x14ac:dyDescent="0.25">
      <c r="A85" s="784"/>
      <c r="B85" s="719">
        <f t="shared" ref="B85:B135" si="68">B84+1</f>
        <v>77</v>
      </c>
      <c r="C85" s="170"/>
      <c r="D85" s="557"/>
      <c r="E85" s="170"/>
      <c r="F85" s="170"/>
      <c r="G85" s="1959"/>
      <c r="H85" s="2039"/>
      <c r="I85" s="1955" t="s">
        <v>732</v>
      </c>
      <c r="J85" s="2040"/>
      <c r="K85" s="1965" t="s">
        <v>1680</v>
      </c>
      <c r="L85" s="1971"/>
      <c r="M85" s="2041"/>
      <c r="N85" s="1972"/>
      <c r="O85" s="1973"/>
      <c r="P85" s="2008"/>
      <c r="Q85" s="2008"/>
      <c r="R85" s="2011"/>
      <c r="S85" s="1974"/>
      <c r="T85" s="1975"/>
      <c r="U85" s="2042"/>
      <c r="V85" s="1976">
        <f t="shared" si="50"/>
        <v>0</v>
      </c>
      <c r="W85" s="2043">
        <f t="shared" ref="W85:W89" si="69">+X85*$Y$3</f>
        <v>0</v>
      </c>
      <c r="X85" s="1961"/>
      <c r="Y85" s="2047"/>
      <c r="Z85" s="1956"/>
      <c r="AA85" s="2007"/>
      <c r="AB85" s="2007"/>
      <c r="AC85" s="765"/>
      <c r="AD85" s="781">
        <f t="shared" si="52"/>
        <v>0</v>
      </c>
      <c r="AE85" s="781">
        <f t="shared" si="53"/>
        <v>0</v>
      </c>
      <c r="AF85" s="781">
        <f t="shared" si="54"/>
        <v>0</v>
      </c>
      <c r="AG85" s="781">
        <f t="shared" si="55"/>
        <v>0</v>
      </c>
      <c r="AH85" s="781">
        <f t="shared" si="56"/>
        <v>0</v>
      </c>
      <c r="AI85" s="782">
        <f t="shared" si="57"/>
        <v>0</v>
      </c>
      <c r="AJ85" s="781">
        <f t="shared" si="58"/>
        <v>0</v>
      </c>
      <c r="AK85" s="781">
        <f t="shared" si="59"/>
        <v>0</v>
      </c>
      <c r="AL85" s="781">
        <f t="shared" si="60"/>
        <v>0</v>
      </c>
      <c r="AM85" s="781">
        <f t="shared" si="61"/>
        <v>0</v>
      </c>
      <c r="AN85" s="781">
        <f t="shared" si="62"/>
        <v>0</v>
      </c>
      <c r="AO85" s="781">
        <f t="shared" si="63"/>
        <v>0</v>
      </c>
      <c r="AP85" s="781">
        <f t="shared" si="64"/>
        <v>0</v>
      </c>
      <c r="AQ85" s="781">
        <f t="shared" si="65"/>
        <v>0</v>
      </c>
      <c r="AR85" s="781">
        <f t="shared" si="66"/>
        <v>0</v>
      </c>
      <c r="AS85" s="783">
        <f t="shared" si="67"/>
        <v>0</v>
      </c>
    </row>
    <row r="86" spans="1:45" ht="15" x14ac:dyDescent="0.25">
      <c r="A86" s="784"/>
      <c r="B86" s="719">
        <f t="shared" si="68"/>
        <v>78</v>
      </c>
      <c r="C86" s="170"/>
      <c r="D86" s="557"/>
      <c r="E86" s="170"/>
      <c r="F86" s="170">
        <v>45</v>
      </c>
      <c r="G86" s="1957" t="s">
        <v>2832</v>
      </c>
      <c r="H86" s="1967">
        <f t="shared" ref="H86:H88" si="70">+J86*X86/2000</f>
        <v>0</v>
      </c>
      <c r="I86" s="768" t="s">
        <v>1323</v>
      </c>
      <c r="J86" s="2465">
        <v>0</v>
      </c>
      <c r="K86" s="842" t="s">
        <v>732</v>
      </c>
      <c r="L86" s="488"/>
      <c r="M86" s="2041">
        <v>30</v>
      </c>
      <c r="N86" s="1966">
        <v>1</v>
      </c>
      <c r="O86" s="1967">
        <f t="shared" ref="O86:O88" si="71">+M86*N86</f>
        <v>30</v>
      </c>
      <c r="P86" s="2008" t="s">
        <v>39</v>
      </c>
      <c r="Q86" s="2008" t="s">
        <v>39</v>
      </c>
      <c r="R86" s="2011" t="s">
        <v>73</v>
      </c>
      <c r="S86" s="1968">
        <f>SUMIF('Data Input sheet'!$B$118:$B$180,R86,'Data Input sheet'!$D$118:$D$180)</f>
        <v>119</v>
      </c>
      <c r="T86" s="1863">
        <f t="shared" ref="T86:T88" si="72">ROUND(O86*S86,0)</f>
        <v>3570</v>
      </c>
      <c r="U86" s="2042">
        <v>28</v>
      </c>
      <c r="V86" s="1969">
        <f t="shared" si="50"/>
        <v>840</v>
      </c>
      <c r="W86" s="2043">
        <f t="shared" ref="W86:W88" si="73">+$Y$3*2000</f>
        <v>5075</v>
      </c>
      <c r="X86" s="1960">
        <v>4800</v>
      </c>
      <c r="Y86" s="2047">
        <v>0</v>
      </c>
      <c r="Z86" s="780">
        <f t="shared" ref="Z86:Z88" si="74">T86+V86+W86+Y86</f>
        <v>9485</v>
      </c>
      <c r="AA86" s="2007"/>
      <c r="AB86" s="2007"/>
      <c r="AC86" s="765"/>
      <c r="AD86" s="781">
        <f t="shared" si="52"/>
        <v>0</v>
      </c>
      <c r="AE86" s="781">
        <f t="shared" si="53"/>
        <v>0</v>
      </c>
      <c r="AF86" s="781">
        <f t="shared" si="54"/>
        <v>0</v>
      </c>
      <c r="AG86" s="781">
        <f t="shared" si="55"/>
        <v>0</v>
      </c>
      <c r="AH86" s="781">
        <f t="shared" si="56"/>
        <v>0</v>
      </c>
      <c r="AI86" s="782">
        <f t="shared" si="57"/>
        <v>0</v>
      </c>
      <c r="AJ86" s="781">
        <f t="shared" si="58"/>
        <v>0</v>
      </c>
      <c r="AK86" s="781">
        <f t="shared" si="59"/>
        <v>0</v>
      </c>
      <c r="AL86" s="781">
        <f t="shared" si="60"/>
        <v>0</v>
      </c>
      <c r="AM86" s="781">
        <f t="shared" si="61"/>
        <v>0</v>
      </c>
      <c r="AN86" s="781">
        <f t="shared" si="62"/>
        <v>0</v>
      </c>
      <c r="AO86" s="781">
        <f t="shared" si="63"/>
        <v>0</v>
      </c>
      <c r="AP86" s="781">
        <f t="shared" si="64"/>
        <v>0</v>
      </c>
      <c r="AQ86" s="781">
        <f t="shared" si="65"/>
        <v>0</v>
      </c>
      <c r="AR86" s="781">
        <f t="shared" si="66"/>
        <v>0</v>
      </c>
      <c r="AS86" s="783">
        <f t="shared" si="67"/>
        <v>0</v>
      </c>
    </row>
    <row r="87" spans="1:45" ht="15" x14ac:dyDescent="0.25">
      <c r="A87" s="784"/>
      <c r="B87" s="719">
        <f t="shared" si="68"/>
        <v>79</v>
      </c>
      <c r="C87" s="170"/>
      <c r="D87" s="557"/>
      <c r="E87" s="170"/>
      <c r="F87" s="170">
        <v>45</v>
      </c>
      <c r="G87" s="1957" t="s">
        <v>2833</v>
      </c>
      <c r="H87" s="1967">
        <f t="shared" si="70"/>
        <v>0</v>
      </c>
      <c r="I87" s="768" t="s">
        <v>1323</v>
      </c>
      <c r="J87" s="2465">
        <v>0</v>
      </c>
      <c r="K87" s="842" t="s">
        <v>732</v>
      </c>
      <c r="L87" s="488"/>
      <c r="M87" s="2041">
        <v>30</v>
      </c>
      <c r="N87" s="1966">
        <v>1</v>
      </c>
      <c r="O87" s="1967">
        <f t="shared" si="71"/>
        <v>30</v>
      </c>
      <c r="P87" s="2008" t="s">
        <v>39</v>
      </c>
      <c r="Q87" s="2008" t="s">
        <v>39</v>
      </c>
      <c r="R87" s="2011" t="s">
        <v>73</v>
      </c>
      <c r="S87" s="1968">
        <f>SUMIF('Data Input sheet'!$B$118:$B$180,R87,'Data Input sheet'!$D$118:$D$180)</f>
        <v>119</v>
      </c>
      <c r="T87" s="1863">
        <f t="shared" si="72"/>
        <v>3570</v>
      </c>
      <c r="U87" s="2042">
        <v>28</v>
      </c>
      <c r="V87" s="1969">
        <f t="shared" si="50"/>
        <v>840</v>
      </c>
      <c r="W87" s="2043">
        <f t="shared" si="73"/>
        <v>5075</v>
      </c>
      <c r="X87" s="1960">
        <v>800</v>
      </c>
      <c r="Y87" s="2047">
        <v>0</v>
      </c>
      <c r="Z87" s="780">
        <f t="shared" si="74"/>
        <v>9485</v>
      </c>
      <c r="AA87" s="2007"/>
      <c r="AB87" s="2007"/>
      <c r="AC87" s="765"/>
      <c r="AD87" s="781">
        <f t="shared" si="52"/>
        <v>0</v>
      </c>
      <c r="AE87" s="781">
        <f t="shared" si="53"/>
        <v>0</v>
      </c>
      <c r="AF87" s="781">
        <f t="shared" si="54"/>
        <v>0</v>
      </c>
      <c r="AG87" s="781">
        <f t="shared" si="55"/>
        <v>0</v>
      </c>
      <c r="AH87" s="781">
        <f t="shared" si="56"/>
        <v>0</v>
      </c>
      <c r="AI87" s="782">
        <f t="shared" si="57"/>
        <v>0</v>
      </c>
      <c r="AJ87" s="781">
        <f t="shared" si="58"/>
        <v>0</v>
      </c>
      <c r="AK87" s="781">
        <f t="shared" si="59"/>
        <v>0</v>
      </c>
      <c r="AL87" s="781">
        <f t="shared" si="60"/>
        <v>0</v>
      </c>
      <c r="AM87" s="781">
        <f t="shared" si="61"/>
        <v>0</v>
      </c>
      <c r="AN87" s="781">
        <f t="shared" si="62"/>
        <v>0</v>
      </c>
      <c r="AO87" s="781">
        <f t="shared" si="63"/>
        <v>0</v>
      </c>
      <c r="AP87" s="781">
        <f t="shared" si="64"/>
        <v>0</v>
      </c>
      <c r="AQ87" s="781">
        <f t="shared" si="65"/>
        <v>0</v>
      </c>
      <c r="AR87" s="781">
        <f t="shared" si="66"/>
        <v>0</v>
      </c>
      <c r="AS87" s="783">
        <f t="shared" si="67"/>
        <v>0</v>
      </c>
    </row>
    <row r="88" spans="1:45" ht="15" x14ac:dyDescent="0.25">
      <c r="A88" s="784"/>
      <c r="B88" s="719">
        <f t="shared" si="68"/>
        <v>80</v>
      </c>
      <c r="C88" s="170"/>
      <c r="D88" s="557"/>
      <c r="E88" s="170"/>
      <c r="F88" s="170">
        <v>45</v>
      </c>
      <c r="G88" s="1957" t="s">
        <v>2834</v>
      </c>
      <c r="H88" s="1967">
        <f t="shared" si="70"/>
        <v>0</v>
      </c>
      <c r="I88" s="768" t="s">
        <v>1323</v>
      </c>
      <c r="J88" s="2465">
        <v>0</v>
      </c>
      <c r="K88" s="842" t="s">
        <v>732</v>
      </c>
      <c r="L88" s="488"/>
      <c r="M88" s="2041">
        <v>30</v>
      </c>
      <c r="N88" s="1966">
        <v>1</v>
      </c>
      <c r="O88" s="1967">
        <f t="shared" si="71"/>
        <v>30</v>
      </c>
      <c r="P88" s="2008" t="s">
        <v>39</v>
      </c>
      <c r="Q88" s="2008" t="s">
        <v>39</v>
      </c>
      <c r="R88" s="2011" t="s">
        <v>73</v>
      </c>
      <c r="S88" s="1968">
        <f>SUMIF('Data Input sheet'!$B$118:$B$180,R88,'Data Input sheet'!$D$118:$D$180)</f>
        <v>119</v>
      </c>
      <c r="T88" s="1863">
        <f t="shared" si="72"/>
        <v>3570</v>
      </c>
      <c r="U88" s="2042">
        <v>28</v>
      </c>
      <c r="V88" s="1969">
        <f t="shared" si="50"/>
        <v>840</v>
      </c>
      <c r="W88" s="2043">
        <f t="shared" si="73"/>
        <v>5075</v>
      </c>
      <c r="X88" s="1960">
        <v>1300</v>
      </c>
      <c r="Y88" s="2047">
        <v>0</v>
      </c>
      <c r="Z88" s="780">
        <f t="shared" si="74"/>
        <v>9485</v>
      </c>
      <c r="AA88" s="2007"/>
      <c r="AB88" s="2007"/>
      <c r="AC88" s="765"/>
      <c r="AD88" s="781">
        <f t="shared" si="52"/>
        <v>0</v>
      </c>
      <c r="AE88" s="781">
        <f t="shared" si="53"/>
        <v>0</v>
      </c>
      <c r="AF88" s="781">
        <f t="shared" si="54"/>
        <v>0</v>
      </c>
      <c r="AG88" s="781">
        <f t="shared" si="55"/>
        <v>0</v>
      </c>
      <c r="AH88" s="781">
        <f t="shared" si="56"/>
        <v>0</v>
      </c>
      <c r="AI88" s="782">
        <f t="shared" si="57"/>
        <v>0</v>
      </c>
      <c r="AJ88" s="781">
        <f t="shared" si="58"/>
        <v>0</v>
      </c>
      <c r="AK88" s="781">
        <f t="shared" si="59"/>
        <v>0</v>
      </c>
      <c r="AL88" s="781">
        <f t="shared" si="60"/>
        <v>0</v>
      </c>
      <c r="AM88" s="781">
        <f t="shared" si="61"/>
        <v>0</v>
      </c>
      <c r="AN88" s="781">
        <f t="shared" si="62"/>
        <v>0</v>
      </c>
      <c r="AO88" s="781">
        <f t="shared" si="63"/>
        <v>0</v>
      </c>
      <c r="AP88" s="781">
        <f t="shared" si="64"/>
        <v>0</v>
      </c>
      <c r="AQ88" s="781">
        <f t="shared" si="65"/>
        <v>0</v>
      </c>
      <c r="AR88" s="781">
        <f t="shared" si="66"/>
        <v>0</v>
      </c>
      <c r="AS88" s="783">
        <f t="shared" si="67"/>
        <v>0</v>
      </c>
    </row>
    <row r="89" spans="1:45" ht="15" x14ac:dyDescent="0.25">
      <c r="A89" s="784"/>
      <c r="B89" s="719">
        <f t="shared" si="68"/>
        <v>81</v>
      </c>
      <c r="C89" s="170"/>
      <c r="D89" s="557"/>
      <c r="E89" s="170"/>
      <c r="F89" s="170"/>
      <c r="G89" s="1959"/>
      <c r="H89" s="2039"/>
      <c r="I89" s="1955" t="s">
        <v>732</v>
      </c>
      <c r="J89" s="2040"/>
      <c r="K89" s="1965" t="s">
        <v>1680</v>
      </c>
      <c r="L89" s="1971"/>
      <c r="M89" s="2041"/>
      <c r="N89" s="1972"/>
      <c r="O89" s="1973"/>
      <c r="P89" s="2008"/>
      <c r="Q89" s="2008"/>
      <c r="R89" s="2011"/>
      <c r="S89" s="1974"/>
      <c r="T89" s="1975"/>
      <c r="U89" s="2042"/>
      <c r="V89" s="1976">
        <f t="shared" si="50"/>
        <v>0</v>
      </c>
      <c r="W89" s="2043">
        <f t="shared" si="69"/>
        <v>0</v>
      </c>
      <c r="X89" s="1961"/>
      <c r="Y89" s="2047"/>
      <c r="Z89" s="1956"/>
      <c r="AA89" s="2007"/>
      <c r="AB89" s="2007"/>
      <c r="AC89" s="765"/>
      <c r="AD89" s="781">
        <f t="shared" si="52"/>
        <v>0</v>
      </c>
      <c r="AE89" s="781">
        <f t="shared" si="53"/>
        <v>0</v>
      </c>
      <c r="AF89" s="781">
        <f t="shared" si="54"/>
        <v>0</v>
      </c>
      <c r="AG89" s="781">
        <f t="shared" si="55"/>
        <v>0</v>
      </c>
      <c r="AH89" s="781">
        <f t="shared" si="56"/>
        <v>0</v>
      </c>
      <c r="AI89" s="782">
        <f t="shared" si="57"/>
        <v>0</v>
      </c>
      <c r="AJ89" s="781">
        <f t="shared" si="58"/>
        <v>0</v>
      </c>
      <c r="AK89" s="781">
        <f t="shared" si="59"/>
        <v>0</v>
      </c>
      <c r="AL89" s="781">
        <f t="shared" si="60"/>
        <v>0</v>
      </c>
      <c r="AM89" s="781">
        <f t="shared" si="61"/>
        <v>0</v>
      </c>
      <c r="AN89" s="781">
        <f t="shared" si="62"/>
        <v>0</v>
      </c>
      <c r="AO89" s="781">
        <f t="shared" si="63"/>
        <v>0</v>
      </c>
      <c r="AP89" s="781">
        <f t="shared" si="64"/>
        <v>0</v>
      </c>
      <c r="AQ89" s="781">
        <f t="shared" si="65"/>
        <v>0</v>
      </c>
      <c r="AR89" s="781">
        <f t="shared" si="66"/>
        <v>0</v>
      </c>
      <c r="AS89" s="783">
        <f t="shared" si="67"/>
        <v>0</v>
      </c>
    </row>
    <row r="90" spans="1:45" ht="15" x14ac:dyDescent="0.25">
      <c r="A90" s="784"/>
      <c r="B90" s="719">
        <f t="shared" si="68"/>
        <v>82</v>
      </c>
      <c r="C90" s="170"/>
      <c r="D90" s="557"/>
      <c r="E90" s="170"/>
      <c r="F90" s="170">
        <v>45</v>
      </c>
      <c r="G90" s="1957" t="s">
        <v>2836</v>
      </c>
      <c r="H90" s="1967">
        <f t="shared" ref="H90:H92" si="75">+J90*X90/2000</f>
        <v>0</v>
      </c>
      <c r="I90" s="768" t="s">
        <v>1323</v>
      </c>
      <c r="J90" s="2465">
        <v>0</v>
      </c>
      <c r="K90" s="842" t="s">
        <v>732</v>
      </c>
      <c r="L90" s="488"/>
      <c r="M90" s="2041">
        <v>30</v>
      </c>
      <c r="N90" s="1966">
        <v>1</v>
      </c>
      <c r="O90" s="1967">
        <f t="shared" ref="O90:O92" si="76">+M90*N90</f>
        <v>30</v>
      </c>
      <c r="P90" s="2008" t="s">
        <v>39</v>
      </c>
      <c r="Q90" s="2008" t="s">
        <v>39</v>
      </c>
      <c r="R90" s="2011" t="s">
        <v>73</v>
      </c>
      <c r="S90" s="1968">
        <f>SUMIF('Data Input sheet'!$B$118:$B$180,R90,'Data Input sheet'!$D$118:$D$180)</f>
        <v>119</v>
      </c>
      <c r="T90" s="1863">
        <f t="shared" ref="T90:T92" si="77">ROUND(O90*S90,0)</f>
        <v>3570</v>
      </c>
      <c r="U90" s="2042">
        <v>28</v>
      </c>
      <c r="V90" s="1969">
        <f t="shared" si="50"/>
        <v>840</v>
      </c>
      <c r="W90" s="2043">
        <f t="shared" ref="W90:W92" si="78">+$Y$3*2000</f>
        <v>5075</v>
      </c>
      <c r="X90" s="1960">
        <v>4800</v>
      </c>
      <c r="Y90" s="2047">
        <v>0</v>
      </c>
      <c r="Z90" s="780">
        <f t="shared" ref="Z90:Z92" si="79">T90+V90+W90+Y90</f>
        <v>9485</v>
      </c>
      <c r="AA90" s="2007"/>
      <c r="AB90" s="2007"/>
      <c r="AC90" s="765"/>
      <c r="AD90" s="781">
        <f t="shared" si="52"/>
        <v>0</v>
      </c>
      <c r="AE90" s="781">
        <f t="shared" si="53"/>
        <v>0</v>
      </c>
      <c r="AF90" s="781">
        <f t="shared" si="54"/>
        <v>0</v>
      </c>
      <c r="AG90" s="781">
        <f t="shared" si="55"/>
        <v>0</v>
      </c>
      <c r="AH90" s="781">
        <f t="shared" si="56"/>
        <v>0</v>
      </c>
      <c r="AI90" s="782">
        <f t="shared" si="57"/>
        <v>0</v>
      </c>
      <c r="AJ90" s="781">
        <f t="shared" si="58"/>
        <v>0</v>
      </c>
      <c r="AK90" s="781">
        <f t="shared" si="59"/>
        <v>0</v>
      </c>
      <c r="AL90" s="781">
        <f t="shared" si="60"/>
        <v>0</v>
      </c>
      <c r="AM90" s="781">
        <f t="shared" si="61"/>
        <v>0</v>
      </c>
      <c r="AN90" s="781">
        <f t="shared" si="62"/>
        <v>0</v>
      </c>
      <c r="AO90" s="781">
        <f t="shared" si="63"/>
        <v>0</v>
      </c>
      <c r="AP90" s="781">
        <f t="shared" si="64"/>
        <v>0</v>
      </c>
      <c r="AQ90" s="781">
        <f t="shared" si="65"/>
        <v>0</v>
      </c>
      <c r="AR90" s="781">
        <f t="shared" si="66"/>
        <v>0</v>
      </c>
      <c r="AS90" s="783">
        <f t="shared" si="67"/>
        <v>0</v>
      </c>
    </row>
    <row r="91" spans="1:45" ht="15" x14ac:dyDescent="0.25">
      <c r="A91" s="784"/>
      <c r="B91" s="719">
        <f t="shared" si="68"/>
        <v>83</v>
      </c>
      <c r="C91" s="170"/>
      <c r="D91" s="557"/>
      <c r="E91" s="170"/>
      <c r="F91" s="170">
        <v>45</v>
      </c>
      <c r="G91" s="1957" t="s">
        <v>2837</v>
      </c>
      <c r="H91" s="1967">
        <f t="shared" si="75"/>
        <v>0</v>
      </c>
      <c r="I91" s="768" t="s">
        <v>1323</v>
      </c>
      <c r="J91" s="2465">
        <v>0</v>
      </c>
      <c r="K91" s="842" t="s">
        <v>732</v>
      </c>
      <c r="L91" s="488"/>
      <c r="M91" s="2041">
        <v>30</v>
      </c>
      <c r="N91" s="1966">
        <v>1</v>
      </c>
      <c r="O91" s="1967">
        <f t="shared" si="76"/>
        <v>30</v>
      </c>
      <c r="P91" s="2008" t="s">
        <v>39</v>
      </c>
      <c r="Q91" s="2008" t="s">
        <v>39</v>
      </c>
      <c r="R91" s="2011" t="s">
        <v>73</v>
      </c>
      <c r="S91" s="1968">
        <f>SUMIF('Data Input sheet'!$B$118:$B$180,R91,'Data Input sheet'!$D$118:$D$180)</f>
        <v>119</v>
      </c>
      <c r="T91" s="1863">
        <f t="shared" si="77"/>
        <v>3570</v>
      </c>
      <c r="U91" s="2042">
        <v>28</v>
      </c>
      <c r="V91" s="1969">
        <f t="shared" si="50"/>
        <v>840</v>
      </c>
      <c r="W91" s="2043">
        <f t="shared" si="78"/>
        <v>5075</v>
      </c>
      <c r="X91" s="1960">
        <v>600</v>
      </c>
      <c r="Y91" s="2047">
        <v>0</v>
      </c>
      <c r="Z91" s="780">
        <f t="shared" si="79"/>
        <v>9485</v>
      </c>
      <c r="AA91" s="2007"/>
      <c r="AB91" s="2007"/>
      <c r="AC91" s="765"/>
      <c r="AD91" s="781">
        <f t="shared" si="52"/>
        <v>0</v>
      </c>
      <c r="AE91" s="781">
        <f t="shared" si="53"/>
        <v>0</v>
      </c>
      <c r="AF91" s="781">
        <f t="shared" si="54"/>
        <v>0</v>
      </c>
      <c r="AG91" s="781">
        <f t="shared" si="55"/>
        <v>0</v>
      </c>
      <c r="AH91" s="781">
        <f t="shared" si="56"/>
        <v>0</v>
      </c>
      <c r="AI91" s="782">
        <f t="shared" si="57"/>
        <v>0</v>
      </c>
      <c r="AJ91" s="781">
        <f t="shared" si="58"/>
        <v>0</v>
      </c>
      <c r="AK91" s="781">
        <f t="shared" si="59"/>
        <v>0</v>
      </c>
      <c r="AL91" s="781">
        <f t="shared" si="60"/>
        <v>0</v>
      </c>
      <c r="AM91" s="781">
        <f t="shared" si="61"/>
        <v>0</v>
      </c>
      <c r="AN91" s="781">
        <f t="shared" si="62"/>
        <v>0</v>
      </c>
      <c r="AO91" s="781">
        <f t="shared" si="63"/>
        <v>0</v>
      </c>
      <c r="AP91" s="781">
        <f t="shared" si="64"/>
        <v>0</v>
      </c>
      <c r="AQ91" s="781">
        <f t="shared" si="65"/>
        <v>0</v>
      </c>
      <c r="AR91" s="781">
        <f t="shared" si="66"/>
        <v>0</v>
      </c>
      <c r="AS91" s="783">
        <f t="shared" si="67"/>
        <v>0</v>
      </c>
    </row>
    <row r="92" spans="1:45" ht="15" x14ac:dyDescent="0.25">
      <c r="A92" s="784"/>
      <c r="B92" s="719">
        <f t="shared" si="68"/>
        <v>84</v>
      </c>
      <c r="C92" s="170"/>
      <c r="D92" s="557"/>
      <c r="E92" s="170"/>
      <c r="F92" s="170">
        <v>45</v>
      </c>
      <c r="G92" s="1957" t="s">
        <v>2838</v>
      </c>
      <c r="H92" s="1967">
        <f t="shared" si="75"/>
        <v>0</v>
      </c>
      <c r="I92" s="768" t="s">
        <v>1323</v>
      </c>
      <c r="J92" s="2465">
        <v>0</v>
      </c>
      <c r="K92" s="842" t="s">
        <v>732</v>
      </c>
      <c r="L92" s="488"/>
      <c r="M92" s="2041">
        <v>30</v>
      </c>
      <c r="N92" s="1966">
        <v>1</v>
      </c>
      <c r="O92" s="1967">
        <f t="shared" si="76"/>
        <v>30</v>
      </c>
      <c r="P92" s="2008" t="s">
        <v>39</v>
      </c>
      <c r="Q92" s="2008" t="s">
        <v>39</v>
      </c>
      <c r="R92" s="2011" t="s">
        <v>73</v>
      </c>
      <c r="S92" s="1968">
        <f>SUMIF('Data Input sheet'!$B$118:$B$180,R92,'Data Input sheet'!$D$118:$D$180)</f>
        <v>119</v>
      </c>
      <c r="T92" s="1863">
        <f t="shared" si="77"/>
        <v>3570</v>
      </c>
      <c r="U92" s="2042">
        <v>28</v>
      </c>
      <c r="V92" s="1969">
        <f t="shared" si="50"/>
        <v>840</v>
      </c>
      <c r="W92" s="2043">
        <f t="shared" si="78"/>
        <v>5075</v>
      </c>
      <c r="X92" s="1960">
        <v>1200</v>
      </c>
      <c r="Y92" s="2047">
        <v>0</v>
      </c>
      <c r="Z92" s="780">
        <f t="shared" si="79"/>
        <v>9485</v>
      </c>
      <c r="AA92" s="2007"/>
      <c r="AB92" s="2007"/>
      <c r="AC92" s="765"/>
      <c r="AD92" s="781">
        <f t="shared" si="52"/>
        <v>0</v>
      </c>
      <c r="AE92" s="781">
        <f t="shared" si="53"/>
        <v>0</v>
      </c>
      <c r="AF92" s="781">
        <f t="shared" si="54"/>
        <v>0</v>
      </c>
      <c r="AG92" s="781">
        <f t="shared" si="55"/>
        <v>0</v>
      </c>
      <c r="AH92" s="781">
        <f t="shared" si="56"/>
        <v>0</v>
      </c>
      <c r="AI92" s="782">
        <f t="shared" si="57"/>
        <v>0</v>
      </c>
      <c r="AJ92" s="781">
        <f t="shared" si="58"/>
        <v>0</v>
      </c>
      <c r="AK92" s="781">
        <f t="shared" si="59"/>
        <v>0</v>
      </c>
      <c r="AL92" s="781">
        <f t="shared" si="60"/>
        <v>0</v>
      </c>
      <c r="AM92" s="781">
        <f t="shared" si="61"/>
        <v>0</v>
      </c>
      <c r="AN92" s="781">
        <f t="shared" si="62"/>
        <v>0</v>
      </c>
      <c r="AO92" s="781">
        <f t="shared" si="63"/>
        <v>0</v>
      </c>
      <c r="AP92" s="781">
        <f t="shared" si="64"/>
        <v>0</v>
      </c>
      <c r="AQ92" s="781">
        <f t="shared" si="65"/>
        <v>0</v>
      </c>
      <c r="AR92" s="781">
        <f t="shared" si="66"/>
        <v>0</v>
      </c>
      <c r="AS92" s="783">
        <f t="shared" si="67"/>
        <v>0</v>
      </c>
    </row>
    <row r="93" spans="1:45" ht="15" x14ac:dyDescent="0.25">
      <c r="A93" s="784"/>
      <c r="B93" s="719">
        <f t="shared" si="68"/>
        <v>85</v>
      </c>
      <c r="C93" s="170"/>
      <c r="D93" s="557"/>
      <c r="E93" s="170"/>
      <c r="F93" s="170"/>
      <c r="G93" s="2484" t="s">
        <v>1681</v>
      </c>
      <c r="H93" s="2039"/>
      <c r="I93" s="1955"/>
      <c r="J93" s="2039"/>
      <c r="K93" s="1965"/>
      <c r="L93" s="1971"/>
      <c r="M93" s="2041"/>
      <c r="N93" s="1972"/>
      <c r="O93" s="1973"/>
      <c r="P93" s="2008"/>
      <c r="Q93" s="2008"/>
      <c r="R93" s="2011"/>
      <c r="S93" s="1974"/>
      <c r="T93" s="1975"/>
      <c r="U93" s="2042"/>
      <c r="V93" s="1976">
        <f t="shared" ref="V93:V97" si="80">ROUND(U93*O93,0)</f>
        <v>0</v>
      </c>
      <c r="W93" s="2043"/>
      <c r="X93" s="1977"/>
      <c r="Y93" s="2047"/>
      <c r="Z93" s="1956"/>
      <c r="AA93" s="2007"/>
      <c r="AB93" s="2007"/>
      <c r="AC93" s="765"/>
      <c r="AD93" s="781">
        <f t="shared" si="52"/>
        <v>0</v>
      </c>
      <c r="AE93" s="781">
        <f t="shared" si="53"/>
        <v>0</v>
      </c>
      <c r="AF93" s="781">
        <f t="shared" si="54"/>
        <v>0</v>
      </c>
      <c r="AG93" s="781">
        <f t="shared" si="55"/>
        <v>0</v>
      </c>
      <c r="AH93" s="781">
        <f t="shared" si="56"/>
        <v>0</v>
      </c>
      <c r="AI93" s="782">
        <f t="shared" si="57"/>
        <v>0</v>
      </c>
      <c r="AJ93" s="781">
        <f t="shared" si="58"/>
        <v>0</v>
      </c>
      <c r="AK93" s="781">
        <f t="shared" si="59"/>
        <v>0</v>
      </c>
      <c r="AL93" s="781">
        <f t="shared" si="60"/>
        <v>0</v>
      </c>
      <c r="AM93" s="781">
        <f t="shared" si="61"/>
        <v>0</v>
      </c>
      <c r="AN93" s="781">
        <f t="shared" si="62"/>
        <v>0</v>
      </c>
      <c r="AO93" s="781">
        <f t="shared" si="63"/>
        <v>0</v>
      </c>
      <c r="AP93" s="781">
        <f t="shared" si="64"/>
        <v>0</v>
      </c>
      <c r="AQ93" s="781">
        <f t="shared" si="65"/>
        <v>0</v>
      </c>
      <c r="AR93" s="781">
        <f t="shared" si="66"/>
        <v>0</v>
      </c>
      <c r="AS93" s="783">
        <f t="shared" si="67"/>
        <v>0</v>
      </c>
    </row>
    <row r="94" spans="1:45" ht="15" x14ac:dyDescent="0.25">
      <c r="A94" s="784"/>
      <c r="B94" s="719">
        <f t="shared" si="68"/>
        <v>86</v>
      </c>
      <c r="C94" s="170"/>
      <c r="D94" s="557"/>
      <c r="E94" s="170"/>
      <c r="F94" s="170">
        <v>36</v>
      </c>
      <c r="G94" s="2537" t="s">
        <v>1684</v>
      </c>
      <c r="H94" s="2039"/>
      <c r="I94" s="768" t="s">
        <v>728</v>
      </c>
      <c r="J94" s="2039"/>
      <c r="K94" s="842"/>
      <c r="L94" s="488"/>
      <c r="M94" s="2041">
        <v>0</v>
      </c>
      <c r="N94" s="1979">
        <v>1</v>
      </c>
      <c r="O94" s="1967">
        <f t="shared" ref="O94:O96" si="81">+M94*N94</f>
        <v>0</v>
      </c>
      <c r="P94" s="2008" t="s">
        <v>39</v>
      </c>
      <c r="Q94" s="2008" t="s">
        <v>39</v>
      </c>
      <c r="R94" s="2011" t="s">
        <v>73</v>
      </c>
      <c r="S94" s="1968">
        <f>SUMIF('Data Input sheet'!$B$118:$B$180,R94,'Data Input sheet'!$D$118:$D$180)</f>
        <v>119</v>
      </c>
      <c r="T94" s="1980">
        <f t="shared" ref="T94:T96" si="82">ROUND(O94*S94,0)</f>
        <v>0</v>
      </c>
      <c r="U94" s="2042"/>
      <c r="V94" s="1981">
        <f t="shared" si="80"/>
        <v>0</v>
      </c>
      <c r="W94" s="2045">
        <v>1.25</v>
      </c>
      <c r="X94" s="1960"/>
      <c r="Y94" s="2047">
        <v>0</v>
      </c>
      <c r="Z94" s="780">
        <f t="shared" ref="Z94:Z96" si="83">T94+V94+W94+Y94</f>
        <v>1.25</v>
      </c>
      <c r="AA94" s="2007"/>
      <c r="AB94" s="2007"/>
      <c r="AC94" s="765"/>
      <c r="AD94" s="781">
        <f t="shared" si="52"/>
        <v>0</v>
      </c>
      <c r="AE94" s="781">
        <f t="shared" si="53"/>
        <v>0</v>
      </c>
      <c r="AF94" s="781">
        <f t="shared" si="54"/>
        <v>0</v>
      </c>
      <c r="AG94" s="781">
        <f t="shared" si="55"/>
        <v>0</v>
      </c>
      <c r="AH94" s="781">
        <f t="shared" si="56"/>
        <v>0</v>
      </c>
      <c r="AI94" s="782">
        <f t="shared" si="57"/>
        <v>0</v>
      </c>
      <c r="AJ94" s="781">
        <f t="shared" si="58"/>
        <v>0</v>
      </c>
      <c r="AK94" s="781">
        <f t="shared" si="59"/>
        <v>0</v>
      </c>
      <c r="AL94" s="781">
        <f t="shared" si="60"/>
        <v>0</v>
      </c>
      <c r="AM94" s="781">
        <f t="shared" si="61"/>
        <v>0</v>
      </c>
      <c r="AN94" s="781">
        <f t="shared" si="62"/>
        <v>0</v>
      </c>
      <c r="AO94" s="781">
        <f t="shared" si="63"/>
        <v>0</v>
      </c>
      <c r="AP94" s="781">
        <f t="shared" si="64"/>
        <v>0</v>
      </c>
      <c r="AQ94" s="781">
        <f t="shared" si="65"/>
        <v>0</v>
      </c>
      <c r="AR94" s="781">
        <f t="shared" si="66"/>
        <v>0</v>
      </c>
      <c r="AS94" s="783">
        <f t="shared" si="67"/>
        <v>0</v>
      </c>
    </row>
    <row r="95" spans="1:45" ht="15" x14ac:dyDescent="0.25">
      <c r="A95" s="784"/>
      <c r="B95" s="719">
        <f t="shared" si="68"/>
        <v>87</v>
      </c>
      <c r="C95" s="170"/>
      <c r="D95" s="557"/>
      <c r="E95" s="170"/>
      <c r="F95" s="170">
        <v>36</v>
      </c>
      <c r="G95" s="2537" t="s">
        <v>1685</v>
      </c>
      <c r="H95" s="2039"/>
      <c r="I95" s="768" t="s">
        <v>728</v>
      </c>
      <c r="J95" s="2039"/>
      <c r="K95" s="842"/>
      <c r="L95" s="488"/>
      <c r="M95" s="2041">
        <v>0</v>
      </c>
      <c r="N95" s="1979">
        <v>1</v>
      </c>
      <c r="O95" s="1967">
        <f t="shared" si="81"/>
        <v>0</v>
      </c>
      <c r="P95" s="2008" t="s">
        <v>39</v>
      </c>
      <c r="Q95" s="2008" t="s">
        <v>39</v>
      </c>
      <c r="R95" s="2011" t="s">
        <v>73</v>
      </c>
      <c r="S95" s="1968">
        <f>SUMIF('Data Input sheet'!$B$118:$B$180,R95,'Data Input sheet'!$D$118:$D$180)</f>
        <v>119</v>
      </c>
      <c r="T95" s="1980">
        <f t="shared" si="82"/>
        <v>0</v>
      </c>
      <c r="U95" s="2042"/>
      <c r="V95" s="1981">
        <f t="shared" si="80"/>
        <v>0</v>
      </c>
      <c r="W95" s="2045">
        <v>1.5</v>
      </c>
      <c r="X95" s="1960"/>
      <c r="Y95" s="2047">
        <v>0</v>
      </c>
      <c r="Z95" s="780">
        <f t="shared" si="83"/>
        <v>1.5</v>
      </c>
      <c r="AA95" s="2007"/>
      <c r="AB95" s="2007"/>
      <c r="AC95" s="765"/>
      <c r="AD95" s="781">
        <f t="shared" si="52"/>
        <v>0</v>
      </c>
      <c r="AE95" s="781">
        <f t="shared" si="53"/>
        <v>0</v>
      </c>
      <c r="AF95" s="781">
        <f t="shared" si="54"/>
        <v>0</v>
      </c>
      <c r="AG95" s="781">
        <f t="shared" si="55"/>
        <v>0</v>
      </c>
      <c r="AH95" s="781">
        <f t="shared" si="56"/>
        <v>0</v>
      </c>
      <c r="AI95" s="782">
        <f t="shared" si="57"/>
        <v>0</v>
      </c>
      <c r="AJ95" s="781">
        <f t="shared" si="58"/>
        <v>0</v>
      </c>
      <c r="AK95" s="781">
        <f t="shared" si="59"/>
        <v>0</v>
      </c>
      <c r="AL95" s="781">
        <f t="shared" si="60"/>
        <v>0</v>
      </c>
      <c r="AM95" s="781">
        <f t="shared" si="61"/>
        <v>0</v>
      </c>
      <c r="AN95" s="781">
        <f t="shared" si="62"/>
        <v>0</v>
      </c>
      <c r="AO95" s="781">
        <f t="shared" si="63"/>
        <v>0</v>
      </c>
      <c r="AP95" s="781">
        <f t="shared" si="64"/>
        <v>0</v>
      </c>
      <c r="AQ95" s="781">
        <f t="shared" si="65"/>
        <v>0</v>
      </c>
      <c r="AR95" s="781">
        <f t="shared" si="66"/>
        <v>0</v>
      </c>
      <c r="AS95" s="783">
        <f t="shared" si="67"/>
        <v>0</v>
      </c>
    </row>
    <row r="96" spans="1:45" ht="15" x14ac:dyDescent="0.25">
      <c r="A96" s="784"/>
      <c r="B96" s="719">
        <f t="shared" si="68"/>
        <v>88</v>
      </c>
      <c r="C96" s="170"/>
      <c r="D96" s="557"/>
      <c r="E96" s="170"/>
      <c r="F96" s="170">
        <v>36</v>
      </c>
      <c r="G96" s="2537" t="s">
        <v>1686</v>
      </c>
      <c r="H96" s="2039"/>
      <c r="I96" s="768" t="s">
        <v>728</v>
      </c>
      <c r="J96" s="2039"/>
      <c r="K96" s="842"/>
      <c r="L96" s="488"/>
      <c r="M96" s="2041">
        <v>0</v>
      </c>
      <c r="N96" s="1979">
        <v>1</v>
      </c>
      <c r="O96" s="1967">
        <f t="shared" si="81"/>
        <v>0</v>
      </c>
      <c r="P96" s="2008" t="s">
        <v>39</v>
      </c>
      <c r="Q96" s="2008" t="s">
        <v>39</v>
      </c>
      <c r="R96" s="2011" t="s">
        <v>73</v>
      </c>
      <c r="S96" s="1968">
        <f>SUMIF('Data Input sheet'!$B$118:$B$180,R96,'Data Input sheet'!$D$118:$D$180)</f>
        <v>119</v>
      </c>
      <c r="T96" s="1980">
        <f t="shared" si="82"/>
        <v>0</v>
      </c>
      <c r="U96" s="2042"/>
      <c r="V96" s="1981">
        <f t="shared" si="80"/>
        <v>0</v>
      </c>
      <c r="W96" s="2045">
        <v>0.96</v>
      </c>
      <c r="X96" s="1960"/>
      <c r="Y96" s="2047">
        <v>0</v>
      </c>
      <c r="Z96" s="780">
        <f t="shared" si="83"/>
        <v>0.96</v>
      </c>
      <c r="AA96" s="2007"/>
      <c r="AB96" s="2007"/>
      <c r="AC96" s="765"/>
      <c r="AD96" s="781">
        <f t="shared" ref="AD96:AD97" si="84">IF(P96="E",+ROUND(H96*O96,0),0)</f>
        <v>0</v>
      </c>
      <c r="AE96" s="781">
        <f t="shared" ref="AE96:AE97" si="85">+AF96-AD96</f>
        <v>0</v>
      </c>
      <c r="AF96" s="781">
        <f t="shared" ref="AF96:AF97" si="86">+H96*O96</f>
        <v>0</v>
      </c>
      <c r="AG96" s="781">
        <f t="shared" ref="AG96:AG97" si="87">IF(P96="E",+ROUND(T96*H96,0),0)</f>
        <v>0</v>
      </c>
      <c r="AH96" s="781">
        <f t="shared" ref="AH96:AH97" si="88">+AI96-AG96</f>
        <v>0</v>
      </c>
      <c r="AI96" s="782">
        <f t="shared" ref="AI96:AI97" si="89">+H96*T96</f>
        <v>0</v>
      </c>
      <c r="AJ96" s="781">
        <f t="shared" ref="AJ96:AJ97" si="90">IF(P96="E",+ROUND(V96*H96,0),0)</f>
        <v>0</v>
      </c>
      <c r="AK96" s="781">
        <f t="shared" ref="AK96:AK97" si="91">+AL96-AJ96</f>
        <v>0</v>
      </c>
      <c r="AL96" s="781">
        <f t="shared" ref="AL96:AL97" si="92">ROUND(V96*H96,0)</f>
        <v>0</v>
      </c>
      <c r="AM96" s="781">
        <f t="shared" ref="AM96:AM97" si="93">IF(Q96="E",+ROUND(W96*H96,0),0)</f>
        <v>0</v>
      </c>
      <c r="AN96" s="781">
        <f t="shared" ref="AN96:AN97" si="94">+AO96-AM96</f>
        <v>0</v>
      </c>
      <c r="AO96" s="781">
        <f t="shared" ref="AO96:AO97" si="95">ROUND(W96*H96,0)</f>
        <v>0</v>
      </c>
      <c r="AP96" s="781">
        <f t="shared" ref="AP96:AP97" si="96">IF(P96="E",+ROUND(Y96*H96,0),0)</f>
        <v>0</v>
      </c>
      <c r="AQ96" s="781">
        <f t="shared" ref="AQ96:AQ97" si="97">+AR96-AP96</f>
        <v>0</v>
      </c>
      <c r="AR96" s="781">
        <f t="shared" ref="AR96:AR97" si="98">ROUND(Y96*H96,0)</f>
        <v>0</v>
      </c>
      <c r="AS96" s="783">
        <f t="shared" ref="AS96:AS97" si="99">+AR96+AO96+AL96+AI96</f>
        <v>0</v>
      </c>
    </row>
    <row r="97" spans="1:45" ht="15" x14ac:dyDescent="0.25">
      <c r="A97" s="784"/>
      <c r="B97" s="719">
        <f t="shared" si="68"/>
        <v>89</v>
      </c>
      <c r="C97" s="170"/>
      <c r="D97" s="557"/>
      <c r="E97" s="170"/>
      <c r="F97" s="170"/>
      <c r="G97" s="1962" t="s">
        <v>1163</v>
      </c>
      <c r="H97" s="2039"/>
      <c r="I97" s="1963"/>
      <c r="J97" s="2039"/>
      <c r="K97" s="1982"/>
      <c r="L97" s="1983"/>
      <c r="M97" s="2041"/>
      <c r="N97" s="1984"/>
      <c r="O97" s="1985"/>
      <c r="P97" s="2008"/>
      <c r="Q97" s="2008"/>
      <c r="R97" s="2011"/>
      <c r="S97" s="1986"/>
      <c r="T97" s="1987"/>
      <c r="U97" s="2042"/>
      <c r="V97" s="1988">
        <f t="shared" si="80"/>
        <v>0</v>
      </c>
      <c r="W97" s="2045"/>
      <c r="X97" s="1990"/>
      <c r="Y97" s="2047"/>
      <c r="Z97" s="1964"/>
      <c r="AA97" s="2007"/>
      <c r="AB97" s="2007"/>
      <c r="AC97" s="765"/>
      <c r="AD97" s="781">
        <f t="shared" si="84"/>
        <v>0</v>
      </c>
      <c r="AE97" s="781">
        <f t="shared" si="85"/>
        <v>0</v>
      </c>
      <c r="AF97" s="781">
        <f t="shared" si="86"/>
        <v>0</v>
      </c>
      <c r="AG97" s="781">
        <f t="shared" si="87"/>
        <v>0</v>
      </c>
      <c r="AH97" s="781">
        <f t="shared" si="88"/>
        <v>0</v>
      </c>
      <c r="AI97" s="782">
        <f t="shared" si="89"/>
        <v>0</v>
      </c>
      <c r="AJ97" s="781">
        <f t="shared" si="90"/>
        <v>0</v>
      </c>
      <c r="AK97" s="781">
        <f t="shared" si="91"/>
        <v>0</v>
      </c>
      <c r="AL97" s="781">
        <f t="shared" si="92"/>
        <v>0</v>
      </c>
      <c r="AM97" s="781">
        <f t="shared" si="93"/>
        <v>0</v>
      </c>
      <c r="AN97" s="781">
        <f t="shared" si="94"/>
        <v>0</v>
      </c>
      <c r="AO97" s="781">
        <f t="shared" si="95"/>
        <v>0</v>
      </c>
      <c r="AP97" s="781">
        <f t="shared" si="96"/>
        <v>0</v>
      </c>
      <c r="AQ97" s="781">
        <f t="shared" si="97"/>
        <v>0</v>
      </c>
      <c r="AR97" s="781">
        <f t="shared" si="98"/>
        <v>0</v>
      </c>
      <c r="AS97" s="783">
        <f t="shared" si="99"/>
        <v>0</v>
      </c>
    </row>
    <row r="98" spans="1:45" ht="15" x14ac:dyDescent="0.25">
      <c r="A98" s="784"/>
      <c r="B98" s="719">
        <f t="shared" si="68"/>
        <v>90</v>
      </c>
      <c r="C98" s="170"/>
      <c r="D98" s="557"/>
      <c r="E98" s="170"/>
      <c r="F98" s="170"/>
      <c r="G98" s="1954" t="s">
        <v>1700</v>
      </c>
      <c r="H98" s="2039"/>
      <c r="I98" s="1955"/>
      <c r="J98" s="2039"/>
      <c r="K98" s="1965"/>
      <c r="L98" s="1971"/>
      <c r="M98" s="2041"/>
      <c r="N98" s="1972"/>
      <c r="O98" s="1973"/>
      <c r="P98" s="2008"/>
      <c r="Q98" s="2008"/>
      <c r="R98" s="2011"/>
      <c r="S98" s="1974"/>
      <c r="T98" s="1975"/>
      <c r="U98" s="2042"/>
      <c r="V98" s="1976">
        <f t="shared" ref="V98:V100" si="100">ROUND(U98*O98,0)</f>
        <v>0</v>
      </c>
      <c r="W98" s="2045"/>
      <c r="X98" s="1961"/>
      <c r="Y98" s="2047"/>
      <c r="Z98" s="1956"/>
      <c r="AA98" s="2007"/>
      <c r="AB98" s="2007"/>
      <c r="AC98" s="765"/>
      <c r="AD98" s="781">
        <f t="shared" ref="AD98:AD100" si="101">IF(P98="E",+ROUND(H98*O98,0),0)</f>
        <v>0</v>
      </c>
      <c r="AE98" s="781">
        <f t="shared" ref="AE98:AE100" si="102">+AF98-AD98</f>
        <v>0</v>
      </c>
      <c r="AF98" s="781">
        <f t="shared" ref="AF98:AF100" si="103">+H98*O98</f>
        <v>0</v>
      </c>
      <c r="AG98" s="781">
        <f t="shared" ref="AG98:AG100" si="104">IF(P98="E",+ROUND(T98*H98,0),0)</f>
        <v>0</v>
      </c>
      <c r="AH98" s="781">
        <f t="shared" ref="AH98:AH100" si="105">+AI98-AG98</f>
        <v>0</v>
      </c>
      <c r="AI98" s="782">
        <f t="shared" ref="AI98:AI100" si="106">+H98*T98</f>
        <v>0</v>
      </c>
      <c r="AJ98" s="781">
        <f t="shared" ref="AJ98:AJ100" si="107">IF(P98="E",+ROUND(V98*H98,0),0)</f>
        <v>0</v>
      </c>
      <c r="AK98" s="781">
        <f t="shared" ref="AK98:AK100" si="108">+AL98-AJ98</f>
        <v>0</v>
      </c>
      <c r="AL98" s="781">
        <f t="shared" ref="AL98:AL100" si="109">ROUND(V98*H98,0)</f>
        <v>0</v>
      </c>
      <c r="AM98" s="781">
        <f t="shared" ref="AM98:AM100" si="110">IF(Q98="E",+ROUND(W98*H98,0),0)</f>
        <v>0</v>
      </c>
      <c r="AN98" s="781">
        <f t="shared" ref="AN98:AN100" si="111">+AO98-AM98</f>
        <v>0</v>
      </c>
      <c r="AO98" s="781">
        <f t="shared" ref="AO98:AO100" si="112">ROUND(W98*H98,0)</f>
        <v>0</v>
      </c>
      <c r="AP98" s="781">
        <f t="shared" ref="AP98:AP100" si="113">IF(P98="E",+ROUND(Y98*H98,0),0)</f>
        <v>0</v>
      </c>
      <c r="AQ98" s="781">
        <f t="shared" ref="AQ98:AQ100" si="114">+AR98-AP98</f>
        <v>0</v>
      </c>
      <c r="AR98" s="781">
        <f t="shared" ref="AR98:AR100" si="115">ROUND(Y98*H98,0)</f>
        <v>0</v>
      </c>
      <c r="AS98" s="783">
        <f t="shared" ref="AS98:AS100" si="116">+AR98+AO98+AL98+AI98</f>
        <v>0</v>
      </c>
    </row>
    <row r="99" spans="1:45" ht="25.5" x14ac:dyDescent="0.25">
      <c r="A99" s="784"/>
      <c r="B99" s="719">
        <f t="shared" si="68"/>
        <v>91</v>
      </c>
      <c r="C99" s="170"/>
      <c r="D99" s="557"/>
      <c r="E99" s="170"/>
      <c r="F99" s="170">
        <v>53</v>
      </c>
      <c r="G99" s="1953" t="s">
        <v>1701</v>
      </c>
      <c r="H99" s="2039"/>
      <c r="I99" s="768" t="s">
        <v>732</v>
      </c>
      <c r="J99" s="2039"/>
      <c r="K99" s="842"/>
      <c r="L99" s="488"/>
      <c r="M99" s="2041">
        <v>0</v>
      </c>
      <c r="N99" s="1979">
        <v>1</v>
      </c>
      <c r="O99" s="1967">
        <f t="shared" ref="O99:O100" si="117">+M99*N99</f>
        <v>0</v>
      </c>
      <c r="P99" s="2008" t="s">
        <v>39</v>
      </c>
      <c r="Q99" s="2008" t="s">
        <v>39</v>
      </c>
      <c r="R99" s="2011" t="s">
        <v>73</v>
      </c>
      <c r="S99" s="1968">
        <f>SUMIF('Data Input sheet'!$B$118:$B$180,R99,'Data Input sheet'!$D$118:$D$180)</f>
        <v>119</v>
      </c>
      <c r="T99" s="1980">
        <f t="shared" ref="T99:T100" si="118">ROUND(O99*S99,0)</f>
        <v>0</v>
      </c>
      <c r="U99" s="2042"/>
      <c r="V99" s="1981">
        <f t="shared" si="100"/>
        <v>0</v>
      </c>
      <c r="W99" s="2046">
        <v>2600</v>
      </c>
      <c r="X99" s="1960"/>
      <c r="Y99" s="2047">
        <v>0</v>
      </c>
      <c r="Z99" s="780">
        <f t="shared" ref="Z99:Z100" si="119">T99+V99+W99+Y99</f>
        <v>2600</v>
      </c>
      <c r="AA99" s="2007" t="s">
        <v>3259</v>
      </c>
      <c r="AB99" s="2007"/>
      <c r="AC99" s="765"/>
      <c r="AD99" s="781">
        <f t="shared" si="101"/>
        <v>0</v>
      </c>
      <c r="AE99" s="781">
        <f t="shared" si="102"/>
        <v>0</v>
      </c>
      <c r="AF99" s="781">
        <f t="shared" si="103"/>
        <v>0</v>
      </c>
      <c r="AG99" s="781">
        <f t="shared" si="104"/>
        <v>0</v>
      </c>
      <c r="AH99" s="781">
        <f t="shared" si="105"/>
        <v>0</v>
      </c>
      <c r="AI99" s="782">
        <f t="shared" si="106"/>
        <v>0</v>
      </c>
      <c r="AJ99" s="781">
        <f t="shared" si="107"/>
        <v>0</v>
      </c>
      <c r="AK99" s="781">
        <f t="shared" si="108"/>
        <v>0</v>
      </c>
      <c r="AL99" s="781">
        <f t="shared" si="109"/>
        <v>0</v>
      </c>
      <c r="AM99" s="781">
        <f t="shared" si="110"/>
        <v>0</v>
      </c>
      <c r="AN99" s="781">
        <f t="shared" si="111"/>
        <v>0</v>
      </c>
      <c r="AO99" s="781">
        <f t="shared" si="112"/>
        <v>0</v>
      </c>
      <c r="AP99" s="781">
        <f t="shared" si="113"/>
        <v>0</v>
      </c>
      <c r="AQ99" s="781">
        <f t="shared" si="114"/>
        <v>0</v>
      </c>
      <c r="AR99" s="781">
        <f t="shared" si="115"/>
        <v>0</v>
      </c>
      <c r="AS99" s="783">
        <f t="shared" si="116"/>
        <v>0</v>
      </c>
    </row>
    <row r="100" spans="1:45" ht="25.5" x14ac:dyDescent="0.25">
      <c r="A100" s="784"/>
      <c r="B100" s="719">
        <f t="shared" si="68"/>
        <v>92</v>
      </c>
      <c r="C100" s="170"/>
      <c r="D100" s="557"/>
      <c r="E100" s="170"/>
      <c r="F100" s="170">
        <v>53</v>
      </c>
      <c r="G100" s="1953" t="s">
        <v>1702</v>
      </c>
      <c r="H100" s="2039"/>
      <c r="I100" s="768" t="s">
        <v>732</v>
      </c>
      <c r="J100" s="2039"/>
      <c r="K100" s="842"/>
      <c r="L100" s="488"/>
      <c r="M100" s="2041">
        <v>0</v>
      </c>
      <c r="N100" s="1979">
        <v>1</v>
      </c>
      <c r="O100" s="1967">
        <f t="shared" si="117"/>
        <v>0</v>
      </c>
      <c r="P100" s="2008" t="s">
        <v>39</v>
      </c>
      <c r="Q100" s="2008" t="s">
        <v>39</v>
      </c>
      <c r="R100" s="2011" t="s">
        <v>73</v>
      </c>
      <c r="S100" s="1968">
        <f>SUMIF('Data Input sheet'!$B$118:$B$180,R100,'Data Input sheet'!$D$118:$D$180)</f>
        <v>119</v>
      </c>
      <c r="T100" s="1980">
        <f t="shared" si="118"/>
        <v>0</v>
      </c>
      <c r="U100" s="2042"/>
      <c r="V100" s="1981">
        <f t="shared" si="100"/>
        <v>0</v>
      </c>
      <c r="W100" s="2046">
        <v>960</v>
      </c>
      <c r="X100" s="1960"/>
      <c r="Y100" s="2047">
        <v>0</v>
      </c>
      <c r="Z100" s="780">
        <f t="shared" si="119"/>
        <v>960</v>
      </c>
      <c r="AA100" s="2007" t="s">
        <v>3259</v>
      </c>
      <c r="AB100" s="2007"/>
      <c r="AC100" s="765"/>
      <c r="AD100" s="781">
        <f t="shared" si="101"/>
        <v>0</v>
      </c>
      <c r="AE100" s="781">
        <f t="shared" si="102"/>
        <v>0</v>
      </c>
      <c r="AF100" s="781">
        <f t="shared" si="103"/>
        <v>0</v>
      </c>
      <c r="AG100" s="781">
        <f t="shared" si="104"/>
        <v>0</v>
      </c>
      <c r="AH100" s="781">
        <f t="shared" si="105"/>
        <v>0</v>
      </c>
      <c r="AI100" s="782">
        <f t="shared" si="106"/>
        <v>0</v>
      </c>
      <c r="AJ100" s="781">
        <f t="shared" si="107"/>
        <v>0</v>
      </c>
      <c r="AK100" s="781">
        <f t="shared" si="108"/>
        <v>0</v>
      </c>
      <c r="AL100" s="781">
        <f t="shared" si="109"/>
        <v>0</v>
      </c>
      <c r="AM100" s="781">
        <f t="shared" si="110"/>
        <v>0</v>
      </c>
      <c r="AN100" s="781">
        <f t="shared" si="111"/>
        <v>0</v>
      </c>
      <c r="AO100" s="781">
        <f t="shared" si="112"/>
        <v>0</v>
      </c>
      <c r="AP100" s="781">
        <f t="shared" si="113"/>
        <v>0</v>
      </c>
      <c r="AQ100" s="781">
        <f t="shared" si="114"/>
        <v>0</v>
      </c>
      <c r="AR100" s="781">
        <f t="shared" si="115"/>
        <v>0</v>
      </c>
      <c r="AS100" s="783">
        <f t="shared" si="116"/>
        <v>0</v>
      </c>
    </row>
    <row r="101" spans="1:45" ht="15" x14ac:dyDescent="0.25">
      <c r="A101" s="784"/>
      <c r="B101" s="719">
        <f t="shared" si="68"/>
        <v>93</v>
      </c>
      <c r="C101" s="170"/>
      <c r="D101" s="557"/>
      <c r="E101" s="170"/>
      <c r="F101" s="170"/>
      <c r="G101" s="1991" t="s">
        <v>1741</v>
      </c>
      <c r="H101" s="2039"/>
      <c r="I101" s="1963"/>
      <c r="J101" s="2039"/>
      <c r="K101" s="1982"/>
      <c r="L101" s="1983"/>
      <c r="M101" s="2041">
        <v>0</v>
      </c>
      <c r="N101" s="1984">
        <v>1</v>
      </c>
      <c r="O101" s="1985">
        <f t="shared" ref="O101:O108" si="120">+M101*N101</f>
        <v>0</v>
      </c>
      <c r="P101" s="2008" t="s">
        <v>39</v>
      </c>
      <c r="Q101" s="2008" t="s">
        <v>39</v>
      </c>
      <c r="R101" s="2011" t="s">
        <v>73</v>
      </c>
      <c r="S101" s="1986">
        <f>SUMIF('Data Input sheet'!$B$118:$B$180,R101,'Data Input sheet'!$D$118:$D$180)</f>
        <v>119</v>
      </c>
      <c r="T101" s="1987">
        <f t="shared" ref="T101:T108" si="121">ROUND(O101*S101,0)</f>
        <v>0</v>
      </c>
      <c r="U101" s="2042"/>
      <c r="V101" s="1988">
        <f t="shared" ref="V101" si="122">ROUND(U101*O101,0)</f>
        <v>0</v>
      </c>
      <c r="W101" s="2046"/>
      <c r="X101" s="1990"/>
      <c r="Y101" s="2047">
        <v>0</v>
      </c>
      <c r="Z101" s="1964">
        <f t="shared" ref="Z101:Z108" si="123">T101+V101+W101+Y101</f>
        <v>0</v>
      </c>
      <c r="AA101" s="2007"/>
      <c r="AB101" s="2007"/>
      <c r="AC101" s="765"/>
      <c r="AD101" s="781">
        <f t="shared" ref="AD101:AD108" si="124">IF(P101="E",+ROUND(H101*O101,0),0)</f>
        <v>0</v>
      </c>
      <c r="AE101" s="781">
        <f t="shared" ref="AE101:AE108" si="125">+AF101-AD101</f>
        <v>0</v>
      </c>
      <c r="AF101" s="781">
        <f t="shared" ref="AF101:AF108" si="126">+H101*O101</f>
        <v>0</v>
      </c>
      <c r="AG101" s="781">
        <f t="shared" ref="AG101:AG108" si="127">IF(P101="E",+ROUND(T101*H101,0),0)</f>
        <v>0</v>
      </c>
      <c r="AH101" s="781">
        <f t="shared" ref="AH101:AH108" si="128">+AI101-AG101</f>
        <v>0</v>
      </c>
      <c r="AI101" s="782">
        <f t="shared" ref="AI101:AI108" si="129">+H101*T101</f>
        <v>0</v>
      </c>
      <c r="AJ101" s="781">
        <f t="shared" ref="AJ101:AJ108" si="130">IF(P101="E",+ROUND(V101*H101,0),0)</f>
        <v>0</v>
      </c>
      <c r="AK101" s="781">
        <f t="shared" ref="AK101:AK108" si="131">+AL101-AJ101</f>
        <v>0</v>
      </c>
      <c r="AL101" s="781">
        <f t="shared" ref="AL101:AL108" si="132">ROUND(V101*H101,0)</f>
        <v>0</v>
      </c>
      <c r="AM101" s="781">
        <f t="shared" ref="AM101:AM108" si="133">IF(Q101="E",+ROUND(W101*H101,0),0)</f>
        <v>0</v>
      </c>
      <c r="AN101" s="781">
        <f t="shared" ref="AN101:AN108" si="134">+AO101-AM101</f>
        <v>0</v>
      </c>
      <c r="AO101" s="781">
        <f t="shared" ref="AO101:AO108" si="135">ROUND(W101*H101,0)</f>
        <v>0</v>
      </c>
      <c r="AP101" s="781">
        <f t="shared" ref="AP101:AP108" si="136">IF(P101="E",+ROUND(Y101*H101,0),0)</f>
        <v>0</v>
      </c>
      <c r="AQ101" s="781">
        <f t="shared" ref="AQ101:AQ108" si="137">+AR101-AP101</f>
        <v>0</v>
      </c>
      <c r="AR101" s="781">
        <f t="shared" ref="AR101:AR108" si="138">ROUND(Y101*H101,0)</f>
        <v>0</v>
      </c>
      <c r="AS101" s="783">
        <f t="shared" ref="AS101:AS108" si="139">+AR101+AO101+AL101+AI101</f>
        <v>0</v>
      </c>
    </row>
    <row r="102" spans="1:45" ht="15" x14ac:dyDescent="0.25">
      <c r="A102" s="784"/>
      <c r="B102" s="719">
        <f t="shared" si="68"/>
        <v>94</v>
      </c>
      <c r="C102" s="170"/>
      <c r="D102" s="557"/>
      <c r="E102" s="170"/>
      <c r="F102" s="170"/>
      <c r="G102" s="1952" t="s">
        <v>1871</v>
      </c>
      <c r="H102" s="2039"/>
      <c r="I102" s="1955"/>
      <c r="J102" s="2039"/>
      <c r="K102" s="1965"/>
      <c r="L102" s="1971"/>
      <c r="M102" s="2041">
        <v>0</v>
      </c>
      <c r="N102" s="1972">
        <v>1</v>
      </c>
      <c r="O102" s="1973">
        <f t="shared" si="120"/>
        <v>0</v>
      </c>
      <c r="P102" s="2008" t="s">
        <v>39</v>
      </c>
      <c r="Q102" s="2008" t="s">
        <v>39</v>
      </c>
      <c r="R102" s="2011" t="s">
        <v>73</v>
      </c>
      <c r="S102" s="1974">
        <f>SUMIF('Data Input sheet'!$B$118:$B$180,R102,'Data Input sheet'!$D$118:$D$180)</f>
        <v>119</v>
      </c>
      <c r="T102" s="1975">
        <f t="shared" si="121"/>
        <v>0</v>
      </c>
      <c r="U102" s="2042"/>
      <c r="V102" s="1976">
        <f t="shared" ref="V102:V127" si="140">ROUND(U102*O102,0)</f>
        <v>0</v>
      </c>
      <c r="W102" s="2046"/>
      <c r="X102" s="1961"/>
      <c r="Y102" s="2047">
        <v>0</v>
      </c>
      <c r="Z102" s="1956">
        <f t="shared" si="123"/>
        <v>0</v>
      </c>
      <c r="AA102" s="2007"/>
      <c r="AB102" s="2007"/>
      <c r="AC102" s="765"/>
      <c r="AD102" s="781">
        <f t="shared" si="124"/>
        <v>0</v>
      </c>
      <c r="AE102" s="781">
        <f t="shared" si="125"/>
        <v>0</v>
      </c>
      <c r="AF102" s="781">
        <f t="shared" si="126"/>
        <v>0</v>
      </c>
      <c r="AG102" s="781">
        <f t="shared" si="127"/>
        <v>0</v>
      </c>
      <c r="AH102" s="781">
        <f t="shared" si="128"/>
        <v>0</v>
      </c>
      <c r="AI102" s="782">
        <f t="shared" si="129"/>
        <v>0</v>
      </c>
      <c r="AJ102" s="781">
        <f t="shared" si="130"/>
        <v>0</v>
      </c>
      <c r="AK102" s="781">
        <f t="shared" si="131"/>
        <v>0</v>
      </c>
      <c r="AL102" s="781">
        <f t="shared" si="132"/>
        <v>0</v>
      </c>
      <c r="AM102" s="781">
        <f t="shared" si="133"/>
        <v>0</v>
      </c>
      <c r="AN102" s="781">
        <f t="shared" si="134"/>
        <v>0</v>
      </c>
      <c r="AO102" s="781">
        <f t="shared" si="135"/>
        <v>0</v>
      </c>
      <c r="AP102" s="781">
        <f t="shared" si="136"/>
        <v>0</v>
      </c>
      <c r="AQ102" s="781">
        <f t="shared" si="137"/>
        <v>0</v>
      </c>
      <c r="AR102" s="781">
        <f t="shared" si="138"/>
        <v>0</v>
      </c>
      <c r="AS102" s="783">
        <f t="shared" si="139"/>
        <v>0</v>
      </c>
    </row>
    <row r="103" spans="1:45" ht="15" x14ac:dyDescent="0.25">
      <c r="A103" s="784"/>
      <c r="B103" s="719">
        <f t="shared" si="68"/>
        <v>95</v>
      </c>
      <c r="C103" s="170"/>
      <c r="D103" s="557"/>
      <c r="E103" s="170"/>
      <c r="F103" s="170">
        <v>59</v>
      </c>
      <c r="G103" s="2538" t="s">
        <v>1742</v>
      </c>
      <c r="H103" s="2039"/>
      <c r="I103" s="768" t="s">
        <v>732</v>
      </c>
      <c r="J103" s="2039"/>
      <c r="K103" s="842"/>
      <c r="L103" s="488"/>
      <c r="M103" s="2041">
        <v>0</v>
      </c>
      <c r="N103" s="1979">
        <v>1</v>
      </c>
      <c r="O103" s="1967">
        <f t="shared" si="120"/>
        <v>0</v>
      </c>
      <c r="P103" s="2008" t="s">
        <v>39</v>
      </c>
      <c r="Q103" s="2008" t="s">
        <v>39</v>
      </c>
      <c r="R103" s="2011" t="s">
        <v>73</v>
      </c>
      <c r="S103" s="1968">
        <f>SUMIF('Data Input sheet'!$B$118:$B$180,R103,'Data Input sheet'!$D$118:$D$180)</f>
        <v>119</v>
      </c>
      <c r="T103" s="1980">
        <f t="shared" si="121"/>
        <v>0</v>
      </c>
      <c r="U103" s="2042"/>
      <c r="V103" s="1981">
        <f t="shared" si="140"/>
        <v>0</v>
      </c>
      <c r="W103" s="2046">
        <v>7400</v>
      </c>
      <c r="X103" s="1960"/>
      <c r="Y103" s="2047">
        <v>0</v>
      </c>
      <c r="Z103" s="780">
        <f t="shared" si="123"/>
        <v>7400</v>
      </c>
      <c r="AA103" s="2007"/>
      <c r="AB103" s="2007"/>
      <c r="AC103" s="765"/>
      <c r="AD103" s="781">
        <f t="shared" si="124"/>
        <v>0</v>
      </c>
      <c r="AE103" s="781">
        <f t="shared" si="125"/>
        <v>0</v>
      </c>
      <c r="AF103" s="781">
        <f t="shared" si="126"/>
        <v>0</v>
      </c>
      <c r="AG103" s="781">
        <f t="shared" si="127"/>
        <v>0</v>
      </c>
      <c r="AH103" s="781">
        <f t="shared" si="128"/>
        <v>0</v>
      </c>
      <c r="AI103" s="782">
        <f t="shared" si="129"/>
        <v>0</v>
      </c>
      <c r="AJ103" s="781">
        <f t="shared" si="130"/>
        <v>0</v>
      </c>
      <c r="AK103" s="781">
        <f t="shared" si="131"/>
        <v>0</v>
      </c>
      <c r="AL103" s="781">
        <f t="shared" si="132"/>
        <v>0</v>
      </c>
      <c r="AM103" s="781">
        <f t="shared" si="133"/>
        <v>0</v>
      </c>
      <c r="AN103" s="781">
        <f t="shared" si="134"/>
        <v>0</v>
      </c>
      <c r="AO103" s="781">
        <f t="shared" si="135"/>
        <v>0</v>
      </c>
      <c r="AP103" s="781">
        <f t="shared" si="136"/>
        <v>0</v>
      </c>
      <c r="AQ103" s="781">
        <f t="shared" si="137"/>
        <v>0</v>
      </c>
      <c r="AR103" s="781">
        <f t="shared" si="138"/>
        <v>0</v>
      </c>
      <c r="AS103" s="783">
        <f t="shared" si="139"/>
        <v>0</v>
      </c>
    </row>
    <row r="104" spans="1:45" ht="15" x14ac:dyDescent="0.25">
      <c r="A104" s="784"/>
      <c r="B104" s="719">
        <f t="shared" si="68"/>
        <v>96</v>
      </c>
      <c r="C104" s="170"/>
      <c r="D104" s="557"/>
      <c r="E104" s="170"/>
      <c r="F104" s="170">
        <v>59</v>
      </c>
      <c r="G104" s="2538" t="s">
        <v>1743</v>
      </c>
      <c r="H104" s="2039"/>
      <c r="I104" s="768" t="s">
        <v>732</v>
      </c>
      <c r="J104" s="2039"/>
      <c r="K104" s="842"/>
      <c r="L104" s="488"/>
      <c r="M104" s="2041">
        <v>0</v>
      </c>
      <c r="N104" s="1979">
        <v>1</v>
      </c>
      <c r="O104" s="1967">
        <f t="shared" si="120"/>
        <v>0</v>
      </c>
      <c r="P104" s="2008" t="s">
        <v>39</v>
      </c>
      <c r="Q104" s="2008" t="s">
        <v>39</v>
      </c>
      <c r="R104" s="2011" t="s">
        <v>73</v>
      </c>
      <c r="S104" s="1968">
        <f>SUMIF('Data Input sheet'!$B$118:$B$180,R104,'Data Input sheet'!$D$118:$D$180)</f>
        <v>119</v>
      </c>
      <c r="T104" s="1980">
        <f t="shared" si="121"/>
        <v>0</v>
      </c>
      <c r="U104" s="2042"/>
      <c r="V104" s="1981">
        <f t="shared" si="140"/>
        <v>0</v>
      </c>
      <c r="W104" s="2046">
        <v>8700</v>
      </c>
      <c r="X104" s="1960"/>
      <c r="Y104" s="2047">
        <v>0</v>
      </c>
      <c r="Z104" s="780">
        <f t="shared" si="123"/>
        <v>8700</v>
      </c>
      <c r="AA104" s="2007"/>
      <c r="AB104" s="2007"/>
      <c r="AC104" s="765"/>
      <c r="AD104" s="781">
        <f t="shared" si="124"/>
        <v>0</v>
      </c>
      <c r="AE104" s="781">
        <f t="shared" si="125"/>
        <v>0</v>
      </c>
      <c r="AF104" s="781">
        <f t="shared" si="126"/>
        <v>0</v>
      </c>
      <c r="AG104" s="781">
        <f t="shared" si="127"/>
        <v>0</v>
      </c>
      <c r="AH104" s="781">
        <f t="shared" si="128"/>
        <v>0</v>
      </c>
      <c r="AI104" s="782">
        <f t="shared" si="129"/>
        <v>0</v>
      </c>
      <c r="AJ104" s="781">
        <f t="shared" si="130"/>
        <v>0</v>
      </c>
      <c r="AK104" s="781">
        <f t="shared" si="131"/>
        <v>0</v>
      </c>
      <c r="AL104" s="781">
        <f t="shared" si="132"/>
        <v>0</v>
      </c>
      <c r="AM104" s="781">
        <f t="shared" si="133"/>
        <v>0</v>
      </c>
      <c r="AN104" s="781">
        <f t="shared" si="134"/>
        <v>0</v>
      </c>
      <c r="AO104" s="781">
        <f t="shared" si="135"/>
        <v>0</v>
      </c>
      <c r="AP104" s="781">
        <f t="shared" si="136"/>
        <v>0</v>
      </c>
      <c r="AQ104" s="781">
        <f t="shared" si="137"/>
        <v>0</v>
      </c>
      <c r="AR104" s="781">
        <f t="shared" si="138"/>
        <v>0</v>
      </c>
      <c r="AS104" s="783">
        <f t="shared" si="139"/>
        <v>0</v>
      </c>
    </row>
    <row r="105" spans="1:45" ht="15" x14ac:dyDescent="0.25">
      <c r="A105" s="784"/>
      <c r="B105" s="719">
        <f t="shared" si="68"/>
        <v>97</v>
      </c>
      <c r="C105" s="170"/>
      <c r="D105" s="557"/>
      <c r="E105" s="170"/>
      <c r="F105" s="170">
        <v>59</v>
      </c>
      <c r="G105" s="2538" t="s">
        <v>1744</v>
      </c>
      <c r="H105" s="2039"/>
      <c r="I105" s="768" t="s">
        <v>732</v>
      </c>
      <c r="J105" s="2039"/>
      <c r="K105" s="842"/>
      <c r="L105" s="488"/>
      <c r="M105" s="2041">
        <v>0</v>
      </c>
      <c r="N105" s="1979">
        <v>1</v>
      </c>
      <c r="O105" s="1967">
        <f t="shared" si="120"/>
        <v>0</v>
      </c>
      <c r="P105" s="2008" t="s">
        <v>39</v>
      </c>
      <c r="Q105" s="2008" t="s">
        <v>39</v>
      </c>
      <c r="R105" s="2011" t="s">
        <v>73</v>
      </c>
      <c r="S105" s="1968">
        <f>SUMIF('Data Input sheet'!$B$118:$B$180,R105,'Data Input sheet'!$D$118:$D$180)</f>
        <v>119</v>
      </c>
      <c r="T105" s="1980">
        <f t="shared" si="121"/>
        <v>0</v>
      </c>
      <c r="U105" s="2042"/>
      <c r="V105" s="1981">
        <f t="shared" si="140"/>
        <v>0</v>
      </c>
      <c r="W105" s="2046">
        <v>12000</v>
      </c>
      <c r="X105" s="1960"/>
      <c r="Y105" s="2047">
        <v>0</v>
      </c>
      <c r="Z105" s="780">
        <f t="shared" si="123"/>
        <v>12000</v>
      </c>
      <c r="AA105" s="2007"/>
      <c r="AB105" s="2007"/>
      <c r="AC105" s="765"/>
      <c r="AD105" s="781">
        <f t="shared" si="124"/>
        <v>0</v>
      </c>
      <c r="AE105" s="781">
        <f t="shared" si="125"/>
        <v>0</v>
      </c>
      <c r="AF105" s="781">
        <f t="shared" si="126"/>
        <v>0</v>
      </c>
      <c r="AG105" s="781">
        <f t="shared" si="127"/>
        <v>0</v>
      </c>
      <c r="AH105" s="781">
        <f t="shared" si="128"/>
        <v>0</v>
      </c>
      <c r="AI105" s="782">
        <f t="shared" si="129"/>
        <v>0</v>
      </c>
      <c r="AJ105" s="781">
        <f t="shared" si="130"/>
        <v>0</v>
      </c>
      <c r="AK105" s="781">
        <f t="shared" si="131"/>
        <v>0</v>
      </c>
      <c r="AL105" s="781">
        <f t="shared" si="132"/>
        <v>0</v>
      </c>
      <c r="AM105" s="781">
        <f t="shared" si="133"/>
        <v>0</v>
      </c>
      <c r="AN105" s="781">
        <f t="shared" si="134"/>
        <v>0</v>
      </c>
      <c r="AO105" s="781">
        <f t="shared" si="135"/>
        <v>0</v>
      </c>
      <c r="AP105" s="781">
        <f t="shared" si="136"/>
        <v>0</v>
      </c>
      <c r="AQ105" s="781">
        <f t="shared" si="137"/>
        <v>0</v>
      </c>
      <c r="AR105" s="781">
        <f t="shared" si="138"/>
        <v>0</v>
      </c>
      <c r="AS105" s="783">
        <f t="shared" si="139"/>
        <v>0</v>
      </c>
    </row>
    <row r="106" spans="1:45" ht="15" x14ac:dyDescent="0.25">
      <c r="A106" s="784"/>
      <c r="B106" s="719">
        <f t="shared" si="68"/>
        <v>98</v>
      </c>
      <c r="C106" s="170"/>
      <c r="D106" s="557"/>
      <c r="E106" s="170"/>
      <c r="F106" s="170">
        <v>59</v>
      </c>
      <c r="G106" s="2538" t="s">
        <v>1745</v>
      </c>
      <c r="H106" s="2039"/>
      <c r="I106" s="768" t="s">
        <v>732</v>
      </c>
      <c r="J106" s="2039"/>
      <c r="K106" s="842"/>
      <c r="L106" s="488"/>
      <c r="M106" s="2041">
        <v>0</v>
      </c>
      <c r="N106" s="1979">
        <v>1</v>
      </c>
      <c r="O106" s="1967">
        <f t="shared" si="120"/>
        <v>0</v>
      </c>
      <c r="P106" s="2008" t="s">
        <v>39</v>
      </c>
      <c r="Q106" s="2008" t="s">
        <v>39</v>
      </c>
      <c r="R106" s="2011" t="s">
        <v>73</v>
      </c>
      <c r="S106" s="1968">
        <f>SUMIF('Data Input sheet'!$B$118:$B$180,R106,'Data Input sheet'!$D$118:$D$180)</f>
        <v>119</v>
      </c>
      <c r="T106" s="1980">
        <f t="shared" si="121"/>
        <v>0</v>
      </c>
      <c r="U106" s="2042"/>
      <c r="V106" s="1981">
        <f t="shared" si="140"/>
        <v>0</v>
      </c>
      <c r="W106" s="2046">
        <v>20248</v>
      </c>
      <c r="X106" s="1960"/>
      <c r="Y106" s="2047">
        <v>0</v>
      </c>
      <c r="Z106" s="780">
        <f t="shared" si="123"/>
        <v>20248</v>
      </c>
      <c r="AA106" s="2007"/>
      <c r="AB106" s="2007"/>
      <c r="AC106" s="765"/>
      <c r="AD106" s="781">
        <f t="shared" si="124"/>
        <v>0</v>
      </c>
      <c r="AE106" s="781">
        <f t="shared" si="125"/>
        <v>0</v>
      </c>
      <c r="AF106" s="781">
        <f t="shared" si="126"/>
        <v>0</v>
      </c>
      <c r="AG106" s="781">
        <f t="shared" si="127"/>
        <v>0</v>
      </c>
      <c r="AH106" s="781">
        <f t="shared" si="128"/>
        <v>0</v>
      </c>
      <c r="AI106" s="782">
        <f t="shared" si="129"/>
        <v>0</v>
      </c>
      <c r="AJ106" s="781">
        <f t="shared" si="130"/>
        <v>0</v>
      </c>
      <c r="AK106" s="781">
        <f t="shared" si="131"/>
        <v>0</v>
      </c>
      <c r="AL106" s="781">
        <f t="shared" si="132"/>
        <v>0</v>
      </c>
      <c r="AM106" s="781">
        <f t="shared" si="133"/>
        <v>0</v>
      </c>
      <c r="AN106" s="781">
        <f t="shared" si="134"/>
        <v>0</v>
      </c>
      <c r="AO106" s="781">
        <f t="shared" si="135"/>
        <v>0</v>
      </c>
      <c r="AP106" s="781">
        <f t="shared" si="136"/>
        <v>0</v>
      </c>
      <c r="AQ106" s="781">
        <f t="shared" si="137"/>
        <v>0</v>
      </c>
      <c r="AR106" s="781">
        <f t="shared" si="138"/>
        <v>0</v>
      </c>
      <c r="AS106" s="783">
        <f t="shared" si="139"/>
        <v>0</v>
      </c>
    </row>
    <row r="107" spans="1:45" ht="15" x14ac:dyDescent="0.25">
      <c r="A107" s="784"/>
      <c r="B107" s="719">
        <f t="shared" si="68"/>
        <v>99</v>
      </c>
      <c r="C107" s="170"/>
      <c r="D107" s="557"/>
      <c r="E107" s="170"/>
      <c r="F107" s="170"/>
      <c r="G107" s="1995" t="s">
        <v>1746</v>
      </c>
      <c r="H107" s="2039"/>
      <c r="I107" s="1955"/>
      <c r="J107" s="2039"/>
      <c r="K107" s="1965"/>
      <c r="L107" s="1971"/>
      <c r="M107" s="2041">
        <v>0</v>
      </c>
      <c r="N107" s="1972">
        <v>1</v>
      </c>
      <c r="O107" s="1973">
        <f t="shared" si="120"/>
        <v>0</v>
      </c>
      <c r="P107" s="2008" t="s">
        <v>39</v>
      </c>
      <c r="Q107" s="2008" t="s">
        <v>39</v>
      </c>
      <c r="R107" s="2011" t="s">
        <v>73</v>
      </c>
      <c r="S107" s="1974">
        <f>SUMIF('Data Input sheet'!$B$118:$B$180,R107,'Data Input sheet'!$D$118:$D$180)</f>
        <v>119</v>
      </c>
      <c r="T107" s="1975">
        <f t="shared" si="121"/>
        <v>0</v>
      </c>
      <c r="U107" s="2042"/>
      <c r="V107" s="1976">
        <f t="shared" si="140"/>
        <v>0</v>
      </c>
      <c r="W107" s="2046"/>
      <c r="X107" s="1961"/>
      <c r="Y107" s="2047">
        <v>0</v>
      </c>
      <c r="Z107" s="1956">
        <f t="shared" si="123"/>
        <v>0</v>
      </c>
      <c r="AA107" s="2007"/>
      <c r="AB107" s="2007"/>
      <c r="AC107" s="765"/>
      <c r="AD107" s="781">
        <f t="shared" si="124"/>
        <v>0</v>
      </c>
      <c r="AE107" s="781">
        <f t="shared" si="125"/>
        <v>0</v>
      </c>
      <c r="AF107" s="781">
        <f t="shared" si="126"/>
        <v>0</v>
      </c>
      <c r="AG107" s="781">
        <f t="shared" si="127"/>
        <v>0</v>
      </c>
      <c r="AH107" s="781">
        <f t="shared" si="128"/>
        <v>0</v>
      </c>
      <c r="AI107" s="782">
        <f t="shared" si="129"/>
        <v>0</v>
      </c>
      <c r="AJ107" s="781">
        <f t="shared" si="130"/>
        <v>0</v>
      </c>
      <c r="AK107" s="781">
        <f t="shared" si="131"/>
        <v>0</v>
      </c>
      <c r="AL107" s="781">
        <f t="shared" si="132"/>
        <v>0</v>
      </c>
      <c r="AM107" s="781">
        <f t="shared" si="133"/>
        <v>0</v>
      </c>
      <c r="AN107" s="781">
        <f t="shared" si="134"/>
        <v>0</v>
      </c>
      <c r="AO107" s="781">
        <f t="shared" si="135"/>
        <v>0</v>
      </c>
      <c r="AP107" s="781">
        <f t="shared" si="136"/>
        <v>0</v>
      </c>
      <c r="AQ107" s="781">
        <f t="shared" si="137"/>
        <v>0</v>
      </c>
      <c r="AR107" s="781">
        <f t="shared" si="138"/>
        <v>0</v>
      </c>
      <c r="AS107" s="783">
        <f t="shared" si="139"/>
        <v>0</v>
      </c>
    </row>
    <row r="108" spans="1:45" ht="15" x14ac:dyDescent="0.25">
      <c r="A108" s="784"/>
      <c r="B108" s="719">
        <f t="shared" si="68"/>
        <v>100</v>
      </c>
      <c r="C108" s="170"/>
      <c r="D108" s="557"/>
      <c r="E108" s="170"/>
      <c r="F108" s="170">
        <v>59</v>
      </c>
      <c r="G108" s="1953" t="s">
        <v>1747</v>
      </c>
      <c r="H108" s="2039"/>
      <c r="I108" s="768" t="s">
        <v>732</v>
      </c>
      <c r="J108" s="2039"/>
      <c r="K108" s="842"/>
      <c r="L108" s="488"/>
      <c r="M108" s="2041">
        <v>0</v>
      </c>
      <c r="N108" s="1979">
        <v>1</v>
      </c>
      <c r="O108" s="1967">
        <f t="shared" si="120"/>
        <v>0</v>
      </c>
      <c r="P108" s="2008" t="s">
        <v>39</v>
      </c>
      <c r="Q108" s="2008" t="s">
        <v>39</v>
      </c>
      <c r="R108" s="2011" t="s">
        <v>73</v>
      </c>
      <c r="S108" s="1968">
        <f>SUMIF('Data Input sheet'!$B$118:$B$180,R108,'Data Input sheet'!$D$118:$D$180)</f>
        <v>119</v>
      </c>
      <c r="T108" s="1980">
        <f t="shared" si="121"/>
        <v>0</v>
      </c>
      <c r="U108" s="2042"/>
      <c r="V108" s="1981">
        <f t="shared" si="140"/>
        <v>0</v>
      </c>
      <c r="W108" s="2046">
        <v>4773</v>
      </c>
      <c r="X108" s="1960"/>
      <c r="Y108" s="2047">
        <v>0</v>
      </c>
      <c r="Z108" s="780">
        <f t="shared" si="123"/>
        <v>4773</v>
      </c>
      <c r="AA108" s="2007"/>
      <c r="AB108" s="2007"/>
      <c r="AC108" s="765"/>
      <c r="AD108" s="781">
        <f t="shared" si="124"/>
        <v>0</v>
      </c>
      <c r="AE108" s="781">
        <f t="shared" si="125"/>
        <v>0</v>
      </c>
      <c r="AF108" s="781">
        <f t="shared" si="126"/>
        <v>0</v>
      </c>
      <c r="AG108" s="781">
        <f t="shared" si="127"/>
        <v>0</v>
      </c>
      <c r="AH108" s="781">
        <f t="shared" si="128"/>
        <v>0</v>
      </c>
      <c r="AI108" s="782">
        <f t="shared" si="129"/>
        <v>0</v>
      </c>
      <c r="AJ108" s="781">
        <f t="shared" si="130"/>
        <v>0</v>
      </c>
      <c r="AK108" s="781">
        <f t="shared" si="131"/>
        <v>0</v>
      </c>
      <c r="AL108" s="781">
        <f t="shared" si="132"/>
        <v>0</v>
      </c>
      <c r="AM108" s="781">
        <f t="shared" si="133"/>
        <v>0</v>
      </c>
      <c r="AN108" s="781">
        <f t="shared" si="134"/>
        <v>0</v>
      </c>
      <c r="AO108" s="781">
        <f t="shared" si="135"/>
        <v>0</v>
      </c>
      <c r="AP108" s="781">
        <f t="shared" si="136"/>
        <v>0</v>
      </c>
      <c r="AQ108" s="781">
        <f t="shared" si="137"/>
        <v>0</v>
      </c>
      <c r="AR108" s="781">
        <f t="shared" si="138"/>
        <v>0</v>
      </c>
      <c r="AS108" s="783">
        <f t="shared" si="139"/>
        <v>0</v>
      </c>
    </row>
    <row r="109" spans="1:45" ht="15" x14ac:dyDescent="0.25">
      <c r="A109" s="784"/>
      <c r="B109" s="719">
        <f t="shared" si="68"/>
        <v>101</v>
      </c>
      <c r="C109" s="170"/>
      <c r="D109" s="557"/>
      <c r="E109" s="170"/>
      <c r="F109" s="170"/>
      <c r="G109" s="1995" t="s">
        <v>1766</v>
      </c>
      <c r="H109" s="2039"/>
      <c r="I109" s="1955" t="s">
        <v>732</v>
      </c>
      <c r="J109" s="2039"/>
      <c r="K109" s="1965"/>
      <c r="L109" s="1971"/>
      <c r="M109" s="2041">
        <v>0</v>
      </c>
      <c r="N109" s="1972">
        <v>1</v>
      </c>
      <c r="O109" s="1973">
        <f t="shared" ref="O109" si="141">+M109*N109</f>
        <v>0</v>
      </c>
      <c r="P109" s="2008" t="s">
        <v>39</v>
      </c>
      <c r="Q109" s="2008" t="s">
        <v>39</v>
      </c>
      <c r="R109" s="2011" t="s">
        <v>73</v>
      </c>
      <c r="S109" s="1974">
        <f>SUMIF('Data Input sheet'!$B$118:$B$180,R109,'Data Input sheet'!$D$118:$D$180)</f>
        <v>119</v>
      </c>
      <c r="T109" s="1975">
        <f t="shared" ref="T109" si="142">ROUND(O109*S109,0)</f>
        <v>0</v>
      </c>
      <c r="U109" s="2042"/>
      <c r="V109" s="1976">
        <f t="shared" si="140"/>
        <v>0</v>
      </c>
      <c r="W109" s="2046"/>
      <c r="X109" s="1961"/>
      <c r="Y109" s="2047">
        <v>0</v>
      </c>
      <c r="Z109" s="1956">
        <f t="shared" ref="Z109" si="143">T109+V109+W109+Y109</f>
        <v>0</v>
      </c>
      <c r="AA109" s="2007"/>
      <c r="AB109" s="2007"/>
      <c r="AC109" s="765">
        <f t="shared" ref="AC109:AC133" si="144">IF(V109=0,0,ROUND(V109/O109,0))</f>
        <v>0</v>
      </c>
      <c r="AD109" s="781">
        <f t="shared" ref="AD109:AD111" si="145">IF(P109="E",+ROUND(H109*O109,0),0)</f>
        <v>0</v>
      </c>
      <c r="AE109" s="781">
        <f t="shared" ref="AE109:AE111" si="146">+AF109-AD109</f>
        <v>0</v>
      </c>
      <c r="AF109" s="781">
        <f t="shared" ref="AF109:AF111" si="147">+H109*O109</f>
        <v>0</v>
      </c>
      <c r="AG109" s="781">
        <f t="shared" ref="AG109:AG111" si="148">IF(P109="E",+ROUND(T109*H109,0),0)</f>
        <v>0</v>
      </c>
      <c r="AH109" s="781">
        <f t="shared" ref="AH109:AH111" si="149">+AI109-AG109</f>
        <v>0</v>
      </c>
      <c r="AI109" s="782">
        <f t="shared" ref="AI109:AI111" si="150">+H109*T109</f>
        <v>0</v>
      </c>
      <c r="AJ109" s="781">
        <f t="shared" ref="AJ109:AJ111" si="151">IF(P109="E",+ROUND(V109*H109,0),0)</f>
        <v>0</v>
      </c>
      <c r="AK109" s="781">
        <f t="shared" ref="AK109:AK111" si="152">+AL109-AJ109</f>
        <v>0</v>
      </c>
      <c r="AL109" s="781">
        <f t="shared" ref="AL109:AL111" si="153">ROUND(V109*H109,0)</f>
        <v>0</v>
      </c>
      <c r="AM109" s="781">
        <f t="shared" ref="AM109:AM111" si="154">IF(Q109="E",+ROUND(W109*H109,0),0)</f>
        <v>0</v>
      </c>
      <c r="AN109" s="781">
        <f t="shared" ref="AN109:AN111" si="155">+AO109-AM109</f>
        <v>0</v>
      </c>
      <c r="AO109" s="781">
        <f t="shared" ref="AO109:AO111" si="156">ROUND(W109*H109,0)</f>
        <v>0</v>
      </c>
      <c r="AP109" s="781">
        <f t="shared" ref="AP109:AP111" si="157">IF(P109="E",+ROUND(Y109*H109,0),0)</f>
        <v>0</v>
      </c>
      <c r="AQ109" s="781">
        <f t="shared" ref="AQ109:AQ111" si="158">+AR109-AP109</f>
        <v>0</v>
      </c>
      <c r="AR109" s="781">
        <f t="shared" ref="AR109:AR111" si="159">ROUND(Y109*H109,0)</f>
        <v>0</v>
      </c>
      <c r="AS109" s="783">
        <f t="shared" ref="AS109:AS111" si="160">+AR109+AO109+AL109+AI109</f>
        <v>0</v>
      </c>
    </row>
    <row r="110" spans="1:45" ht="15" x14ac:dyDescent="0.25">
      <c r="A110" s="784"/>
      <c r="B110" s="719">
        <f t="shared" si="68"/>
        <v>102</v>
      </c>
      <c r="C110" s="170"/>
      <c r="D110" s="557"/>
      <c r="E110" s="170"/>
      <c r="F110" s="170">
        <v>69</v>
      </c>
      <c r="G110" s="1953" t="s">
        <v>1767</v>
      </c>
      <c r="H110" s="2039"/>
      <c r="I110" s="768" t="s">
        <v>732</v>
      </c>
      <c r="J110" s="2039"/>
      <c r="K110" s="842"/>
      <c r="L110" s="488"/>
      <c r="M110" s="2041">
        <v>0</v>
      </c>
      <c r="N110" s="1979">
        <v>1</v>
      </c>
      <c r="O110" s="1967">
        <f t="shared" ref="O110:O111" si="161">+M110*N110</f>
        <v>0</v>
      </c>
      <c r="P110" s="2008" t="s">
        <v>39</v>
      </c>
      <c r="Q110" s="2008" t="s">
        <v>39</v>
      </c>
      <c r="R110" s="2011" t="s">
        <v>73</v>
      </c>
      <c r="S110" s="1968">
        <f>SUMIF('Data Input sheet'!$B$118:$B$180,R110,'Data Input sheet'!$D$118:$D$180)</f>
        <v>119</v>
      </c>
      <c r="T110" s="1980">
        <f t="shared" ref="T110:T111" si="162">ROUND(O110*S110,0)</f>
        <v>0</v>
      </c>
      <c r="U110" s="2042"/>
      <c r="V110" s="1981">
        <f t="shared" ref="V110:V111" si="163">ROUND(U110*O110,0)</f>
        <v>0</v>
      </c>
      <c r="W110" s="2046">
        <v>2400</v>
      </c>
      <c r="X110" s="1960"/>
      <c r="Y110" s="2047">
        <v>0</v>
      </c>
      <c r="Z110" s="780">
        <f t="shared" ref="Z110:Z111" si="164">T110+V110+W110+Y110</f>
        <v>2400</v>
      </c>
      <c r="AA110" s="2007"/>
      <c r="AB110" s="2007"/>
      <c r="AC110" s="765"/>
      <c r="AD110" s="781">
        <f t="shared" si="145"/>
        <v>0</v>
      </c>
      <c r="AE110" s="781">
        <f t="shared" si="146"/>
        <v>0</v>
      </c>
      <c r="AF110" s="781">
        <f t="shared" si="147"/>
        <v>0</v>
      </c>
      <c r="AG110" s="781">
        <f t="shared" si="148"/>
        <v>0</v>
      </c>
      <c r="AH110" s="781">
        <f t="shared" si="149"/>
        <v>0</v>
      </c>
      <c r="AI110" s="782">
        <f t="shared" si="150"/>
        <v>0</v>
      </c>
      <c r="AJ110" s="781">
        <f t="shared" si="151"/>
        <v>0</v>
      </c>
      <c r="AK110" s="781">
        <f t="shared" si="152"/>
        <v>0</v>
      </c>
      <c r="AL110" s="781">
        <f t="shared" si="153"/>
        <v>0</v>
      </c>
      <c r="AM110" s="781">
        <f t="shared" si="154"/>
        <v>0</v>
      </c>
      <c r="AN110" s="781">
        <f t="shared" si="155"/>
        <v>0</v>
      </c>
      <c r="AO110" s="781">
        <f t="shared" si="156"/>
        <v>0</v>
      </c>
      <c r="AP110" s="781">
        <f t="shared" si="157"/>
        <v>0</v>
      </c>
      <c r="AQ110" s="781">
        <f t="shared" si="158"/>
        <v>0</v>
      </c>
      <c r="AR110" s="781">
        <f t="shared" si="159"/>
        <v>0</v>
      </c>
      <c r="AS110" s="783">
        <f t="shared" si="160"/>
        <v>0</v>
      </c>
    </row>
    <row r="111" spans="1:45" ht="15" x14ac:dyDescent="0.25">
      <c r="A111" s="784"/>
      <c r="B111" s="719">
        <f t="shared" si="68"/>
        <v>103</v>
      </c>
      <c r="C111" s="170"/>
      <c r="D111" s="557"/>
      <c r="E111" s="170"/>
      <c r="F111" s="170">
        <v>69</v>
      </c>
      <c r="G111" s="1953" t="s">
        <v>1768</v>
      </c>
      <c r="H111" s="2039"/>
      <c r="I111" s="768" t="s">
        <v>732</v>
      </c>
      <c r="J111" s="2039"/>
      <c r="K111" s="842"/>
      <c r="L111" s="488"/>
      <c r="M111" s="2041">
        <v>0</v>
      </c>
      <c r="N111" s="1979">
        <v>1</v>
      </c>
      <c r="O111" s="1967">
        <f t="shared" si="161"/>
        <v>0</v>
      </c>
      <c r="P111" s="2008" t="s">
        <v>39</v>
      </c>
      <c r="Q111" s="2008" t="s">
        <v>39</v>
      </c>
      <c r="R111" s="2011" t="s">
        <v>73</v>
      </c>
      <c r="S111" s="1968">
        <f>SUMIF('Data Input sheet'!$B$118:$B$180,R111,'Data Input sheet'!$D$118:$D$180)</f>
        <v>119</v>
      </c>
      <c r="T111" s="1980">
        <f t="shared" si="162"/>
        <v>0</v>
      </c>
      <c r="U111" s="2042"/>
      <c r="V111" s="1981">
        <f t="shared" si="163"/>
        <v>0</v>
      </c>
      <c r="W111" s="2046">
        <v>240</v>
      </c>
      <c r="X111" s="1960"/>
      <c r="Y111" s="2047">
        <v>0</v>
      </c>
      <c r="Z111" s="780">
        <f t="shared" si="164"/>
        <v>240</v>
      </c>
      <c r="AA111" s="2007"/>
      <c r="AB111" s="2007"/>
      <c r="AC111" s="765"/>
      <c r="AD111" s="781">
        <f t="shared" si="145"/>
        <v>0</v>
      </c>
      <c r="AE111" s="781">
        <f t="shared" si="146"/>
        <v>0</v>
      </c>
      <c r="AF111" s="781">
        <f t="shared" si="147"/>
        <v>0</v>
      </c>
      <c r="AG111" s="781">
        <f t="shared" si="148"/>
        <v>0</v>
      </c>
      <c r="AH111" s="781">
        <f t="shared" si="149"/>
        <v>0</v>
      </c>
      <c r="AI111" s="782">
        <f t="shared" si="150"/>
        <v>0</v>
      </c>
      <c r="AJ111" s="781">
        <f t="shared" si="151"/>
        <v>0</v>
      </c>
      <c r="AK111" s="781">
        <f t="shared" si="152"/>
        <v>0</v>
      </c>
      <c r="AL111" s="781">
        <f t="shared" si="153"/>
        <v>0</v>
      </c>
      <c r="AM111" s="781">
        <f t="shared" si="154"/>
        <v>0</v>
      </c>
      <c r="AN111" s="781">
        <f t="shared" si="155"/>
        <v>0</v>
      </c>
      <c r="AO111" s="781">
        <f t="shared" si="156"/>
        <v>0</v>
      </c>
      <c r="AP111" s="781">
        <f t="shared" si="157"/>
        <v>0</v>
      </c>
      <c r="AQ111" s="781">
        <f t="shared" si="158"/>
        <v>0</v>
      </c>
      <c r="AR111" s="781">
        <f t="shared" si="159"/>
        <v>0</v>
      </c>
      <c r="AS111" s="783">
        <f t="shared" si="160"/>
        <v>0</v>
      </c>
    </row>
    <row r="112" spans="1:45" ht="15" x14ac:dyDescent="0.25">
      <c r="A112" s="784"/>
      <c r="B112" s="719">
        <f t="shared" si="68"/>
        <v>104</v>
      </c>
      <c r="C112" s="170"/>
      <c r="D112" s="557"/>
      <c r="E112" s="170"/>
      <c r="F112" s="170"/>
      <c r="G112" s="1997" t="s">
        <v>1815</v>
      </c>
      <c r="H112" s="2039"/>
      <c r="I112" s="1955" t="s">
        <v>732</v>
      </c>
      <c r="J112" s="2039"/>
      <c r="K112" s="1965"/>
      <c r="L112" s="1971"/>
      <c r="M112" s="2041">
        <v>0</v>
      </c>
      <c r="N112" s="1972">
        <v>1</v>
      </c>
      <c r="O112" s="1973">
        <f t="shared" ref="O112:O114" si="165">+M112*N112</f>
        <v>0</v>
      </c>
      <c r="P112" s="2008" t="s">
        <v>39</v>
      </c>
      <c r="Q112" s="2008" t="s">
        <v>39</v>
      </c>
      <c r="R112" s="2011" t="s">
        <v>73</v>
      </c>
      <c r="S112" s="1974">
        <f>SUMIF('Data Input sheet'!$B$118:$B$180,R112,'Data Input sheet'!$D$118:$D$180)</f>
        <v>119</v>
      </c>
      <c r="T112" s="1975">
        <f t="shared" ref="T112:T114" si="166">ROUND(O112*S112,0)</f>
        <v>0</v>
      </c>
      <c r="U112" s="2042"/>
      <c r="V112" s="1976">
        <f t="shared" ref="V112:V114" si="167">ROUND(U112*O112,0)</f>
        <v>0</v>
      </c>
      <c r="W112" s="2046"/>
      <c r="X112" s="1961"/>
      <c r="Y112" s="2047">
        <v>0</v>
      </c>
      <c r="Z112" s="1956">
        <f t="shared" ref="Z112:Z114" si="168">T112+V112+W112+Y112</f>
        <v>0</v>
      </c>
      <c r="AA112" s="2007"/>
      <c r="AB112" s="2007"/>
      <c r="AC112" s="765"/>
      <c r="AD112" s="781">
        <f t="shared" ref="AD112:AD113" si="169">IF(P112="E",+ROUND(H112*O112,0),0)</f>
        <v>0</v>
      </c>
      <c r="AE112" s="781">
        <f t="shared" ref="AE112:AE113" si="170">+AF112-AD112</f>
        <v>0</v>
      </c>
      <c r="AF112" s="781">
        <f t="shared" ref="AF112:AF113" si="171">+H112*O112</f>
        <v>0</v>
      </c>
      <c r="AG112" s="781">
        <f t="shared" ref="AG112:AG113" si="172">IF(P112="E",+ROUND(T112*H112,0),0)</f>
        <v>0</v>
      </c>
      <c r="AH112" s="781">
        <f t="shared" ref="AH112:AH113" si="173">+AI112-AG112</f>
        <v>0</v>
      </c>
      <c r="AI112" s="782">
        <f t="shared" ref="AI112:AI113" si="174">+H112*T112</f>
        <v>0</v>
      </c>
      <c r="AJ112" s="781">
        <f t="shared" ref="AJ112:AJ113" si="175">IF(P112="E",+ROUND(V112*H112,0),0)</f>
        <v>0</v>
      </c>
      <c r="AK112" s="781">
        <f t="shared" ref="AK112:AK113" si="176">+AL112-AJ112</f>
        <v>0</v>
      </c>
      <c r="AL112" s="781">
        <f t="shared" ref="AL112:AL113" si="177">ROUND(V112*H112,0)</f>
        <v>0</v>
      </c>
      <c r="AM112" s="781">
        <f t="shared" ref="AM112:AM113" si="178">IF(Q112="E",+ROUND(W112*H112,0),0)</f>
        <v>0</v>
      </c>
      <c r="AN112" s="781">
        <f t="shared" ref="AN112:AN113" si="179">+AO112-AM112</f>
        <v>0</v>
      </c>
      <c r="AO112" s="781">
        <f t="shared" ref="AO112:AO113" si="180">ROUND(W112*H112,0)</f>
        <v>0</v>
      </c>
      <c r="AP112" s="781">
        <f t="shared" ref="AP112:AP113" si="181">IF(P112="E",+ROUND(Y112*H112,0),0)</f>
        <v>0</v>
      </c>
      <c r="AQ112" s="781">
        <f t="shared" ref="AQ112:AQ113" si="182">+AR112-AP112</f>
        <v>0</v>
      </c>
      <c r="AR112" s="781">
        <f t="shared" ref="AR112:AR113" si="183">ROUND(Y112*H112,0)</f>
        <v>0</v>
      </c>
      <c r="AS112" s="783">
        <f t="shared" ref="AS112:AS113" si="184">+AR112+AO112+AL112+AI112</f>
        <v>0</v>
      </c>
    </row>
    <row r="113" spans="1:45" ht="15" x14ac:dyDescent="0.25">
      <c r="A113" s="784"/>
      <c r="B113" s="719">
        <f t="shared" si="68"/>
        <v>105</v>
      </c>
      <c r="C113" s="170"/>
      <c r="D113" s="557"/>
      <c r="E113" s="170"/>
      <c r="F113" s="170">
        <v>89</v>
      </c>
      <c r="G113" s="1996" t="s">
        <v>1816</v>
      </c>
      <c r="H113" s="2039"/>
      <c r="I113" s="768" t="s">
        <v>732</v>
      </c>
      <c r="J113" s="2039"/>
      <c r="K113" s="842"/>
      <c r="L113" s="488"/>
      <c r="M113" s="2041">
        <v>0</v>
      </c>
      <c r="N113" s="1979">
        <v>1</v>
      </c>
      <c r="O113" s="1967">
        <f t="shared" si="165"/>
        <v>0</v>
      </c>
      <c r="P113" s="2008" t="s">
        <v>39</v>
      </c>
      <c r="Q113" s="2008" t="s">
        <v>39</v>
      </c>
      <c r="R113" s="2011" t="s">
        <v>73</v>
      </c>
      <c r="S113" s="1968">
        <f>SUMIF('Data Input sheet'!$B$118:$B$180,R113,'Data Input sheet'!$D$118:$D$180)</f>
        <v>119</v>
      </c>
      <c r="T113" s="1980">
        <f t="shared" si="166"/>
        <v>0</v>
      </c>
      <c r="U113" s="2042"/>
      <c r="V113" s="1981">
        <f t="shared" si="167"/>
        <v>0</v>
      </c>
      <c r="W113" s="2046">
        <v>5300</v>
      </c>
      <c r="X113" s="1960"/>
      <c r="Y113" s="2047">
        <v>0</v>
      </c>
      <c r="Z113" s="780">
        <f t="shared" si="168"/>
        <v>5300</v>
      </c>
      <c r="AA113" s="2007"/>
      <c r="AB113" s="2007"/>
      <c r="AC113" s="765"/>
      <c r="AD113" s="781">
        <f t="shared" si="169"/>
        <v>0</v>
      </c>
      <c r="AE113" s="781">
        <f t="shared" si="170"/>
        <v>0</v>
      </c>
      <c r="AF113" s="781">
        <f t="shared" si="171"/>
        <v>0</v>
      </c>
      <c r="AG113" s="781">
        <f t="shared" si="172"/>
        <v>0</v>
      </c>
      <c r="AH113" s="781">
        <f t="shared" si="173"/>
        <v>0</v>
      </c>
      <c r="AI113" s="782">
        <f t="shared" si="174"/>
        <v>0</v>
      </c>
      <c r="AJ113" s="781">
        <f t="shared" si="175"/>
        <v>0</v>
      </c>
      <c r="AK113" s="781">
        <f t="shared" si="176"/>
        <v>0</v>
      </c>
      <c r="AL113" s="781">
        <f t="shared" si="177"/>
        <v>0</v>
      </c>
      <c r="AM113" s="781">
        <f t="shared" si="178"/>
        <v>0</v>
      </c>
      <c r="AN113" s="781">
        <f t="shared" si="179"/>
        <v>0</v>
      </c>
      <c r="AO113" s="781">
        <f t="shared" si="180"/>
        <v>0</v>
      </c>
      <c r="AP113" s="781">
        <f t="shared" si="181"/>
        <v>0</v>
      </c>
      <c r="AQ113" s="781">
        <f t="shared" si="182"/>
        <v>0</v>
      </c>
      <c r="AR113" s="781">
        <f t="shared" si="183"/>
        <v>0</v>
      </c>
      <c r="AS113" s="783">
        <f t="shared" si="184"/>
        <v>0</v>
      </c>
    </row>
    <row r="114" spans="1:45" ht="15" x14ac:dyDescent="0.25">
      <c r="A114" s="784"/>
      <c r="B114" s="719">
        <f t="shared" si="68"/>
        <v>106</v>
      </c>
      <c r="C114" s="170"/>
      <c r="D114" s="557"/>
      <c r="E114" s="170"/>
      <c r="F114" s="170">
        <v>89</v>
      </c>
      <c r="G114" s="1996" t="s">
        <v>1817</v>
      </c>
      <c r="H114" s="2039"/>
      <c r="I114" s="768" t="s">
        <v>732</v>
      </c>
      <c r="J114" s="2039"/>
      <c r="K114" s="842"/>
      <c r="L114" s="488"/>
      <c r="M114" s="2041">
        <v>0</v>
      </c>
      <c r="N114" s="1979">
        <v>1</v>
      </c>
      <c r="O114" s="1967">
        <f t="shared" si="165"/>
        <v>0</v>
      </c>
      <c r="P114" s="2008" t="s">
        <v>39</v>
      </c>
      <c r="Q114" s="2008" t="s">
        <v>39</v>
      </c>
      <c r="R114" s="2011" t="s">
        <v>73</v>
      </c>
      <c r="S114" s="1968">
        <f>SUMIF('Data Input sheet'!$B$118:$B$180,R114,'Data Input sheet'!$D$118:$D$180)</f>
        <v>119</v>
      </c>
      <c r="T114" s="1980">
        <f t="shared" si="166"/>
        <v>0</v>
      </c>
      <c r="U114" s="2042"/>
      <c r="V114" s="1981">
        <f t="shared" si="167"/>
        <v>0</v>
      </c>
      <c r="W114" s="2046">
        <v>6000</v>
      </c>
      <c r="X114" s="1960"/>
      <c r="Y114" s="2047">
        <v>0</v>
      </c>
      <c r="Z114" s="780">
        <f t="shared" si="168"/>
        <v>6000</v>
      </c>
      <c r="AA114" s="2007"/>
      <c r="AB114" s="2007"/>
      <c r="AC114" s="765"/>
      <c r="AD114" s="781">
        <f t="shared" ref="AD114:AD117" si="185">IF(P114="E",+ROUND(H114*O114,0),0)</f>
        <v>0</v>
      </c>
      <c r="AE114" s="781">
        <f t="shared" ref="AE114:AE117" si="186">+AF114-AD114</f>
        <v>0</v>
      </c>
      <c r="AF114" s="781">
        <f t="shared" ref="AF114:AF117" si="187">+H114*O114</f>
        <v>0</v>
      </c>
      <c r="AG114" s="781">
        <f t="shared" ref="AG114:AG117" si="188">IF(P114="E",+ROUND(T114*H114,0),0)</f>
        <v>0</v>
      </c>
      <c r="AH114" s="781">
        <f t="shared" ref="AH114:AH117" si="189">+AI114-AG114</f>
        <v>0</v>
      </c>
      <c r="AI114" s="782">
        <f t="shared" ref="AI114:AI117" si="190">+H114*T114</f>
        <v>0</v>
      </c>
      <c r="AJ114" s="781">
        <f t="shared" ref="AJ114:AJ117" si="191">IF(P114="E",+ROUND(V114*H114,0),0)</f>
        <v>0</v>
      </c>
      <c r="AK114" s="781">
        <f t="shared" ref="AK114:AK117" si="192">+AL114-AJ114</f>
        <v>0</v>
      </c>
      <c r="AL114" s="781">
        <f t="shared" ref="AL114:AL117" si="193">ROUND(V114*H114,0)</f>
        <v>0</v>
      </c>
      <c r="AM114" s="781">
        <f t="shared" ref="AM114:AM117" si="194">IF(Q114="E",+ROUND(W114*H114,0),0)</f>
        <v>0</v>
      </c>
      <c r="AN114" s="781">
        <f t="shared" ref="AN114:AN117" si="195">+AO114-AM114</f>
        <v>0</v>
      </c>
      <c r="AO114" s="781">
        <f t="shared" ref="AO114:AO117" si="196">ROUND(W114*H114,0)</f>
        <v>0</v>
      </c>
      <c r="AP114" s="781">
        <f t="shared" ref="AP114:AP117" si="197">IF(P114="E",+ROUND(Y114*H114,0),0)</f>
        <v>0</v>
      </c>
      <c r="AQ114" s="781">
        <f t="shared" ref="AQ114:AQ117" si="198">+AR114-AP114</f>
        <v>0</v>
      </c>
      <c r="AR114" s="781">
        <f t="shared" ref="AR114:AR117" si="199">ROUND(Y114*H114,0)</f>
        <v>0</v>
      </c>
      <c r="AS114" s="783">
        <f t="shared" ref="AS114:AS117" si="200">+AR114+AO114+AL114+AI114</f>
        <v>0</v>
      </c>
    </row>
    <row r="115" spans="1:45" ht="15" x14ac:dyDescent="0.25">
      <c r="A115" s="784"/>
      <c r="B115" s="719">
        <f t="shared" si="68"/>
        <v>107</v>
      </c>
      <c r="C115" s="170"/>
      <c r="D115" s="557"/>
      <c r="E115" s="170"/>
      <c r="F115" s="170"/>
      <c r="G115" s="1998" t="s">
        <v>1846</v>
      </c>
      <c r="H115" s="2039"/>
      <c r="I115" s="1955"/>
      <c r="J115" s="2039"/>
      <c r="K115" s="1965"/>
      <c r="L115" s="1971"/>
      <c r="M115" s="2041">
        <v>0</v>
      </c>
      <c r="N115" s="1972">
        <v>1</v>
      </c>
      <c r="O115" s="1973">
        <f t="shared" ref="O115:O117" si="201">+M115*N115</f>
        <v>0</v>
      </c>
      <c r="P115" s="2008" t="s">
        <v>39</v>
      </c>
      <c r="Q115" s="2008" t="s">
        <v>39</v>
      </c>
      <c r="R115" s="2011" t="s">
        <v>73</v>
      </c>
      <c r="S115" s="1974">
        <f>SUMIF('Data Input sheet'!$B$118:$B$180,R115,'Data Input sheet'!$D$118:$D$180)</f>
        <v>119</v>
      </c>
      <c r="T115" s="1975">
        <f t="shared" ref="T115:T117" si="202">ROUND(O115*S115,0)</f>
        <v>0</v>
      </c>
      <c r="U115" s="2042"/>
      <c r="V115" s="1976">
        <f t="shared" ref="V115:V117" si="203">ROUND(U115*O115,0)</f>
        <v>0</v>
      </c>
      <c r="W115" s="2046"/>
      <c r="X115" s="1961"/>
      <c r="Y115" s="2047">
        <v>0</v>
      </c>
      <c r="Z115" s="1956">
        <f t="shared" ref="Z115:Z117" si="204">T115+V115+W115+Y115</f>
        <v>0</v>
      </c>
      <c r="AA115" s="2007"/>
      <c r="AB115" s="2007"/>
      <c r="AC115" s="765"/>
      <c r="AD115" s="781">
        <f t="shared" si="185"/>
        <v>0</v>
      </c>
      <c r="AE115" s="781">
        <f t="shared" si="186"/>
        <v>0</v>
      </c>
      <c r="AF115" s="781">
        <f t="shared" si="187"/>
        <v>0</v>
      </c>
      <c r="AG115" s="781">
        <f t="shared" si="188"/>
        <v>0</v>
      </c>
      <c r="AH115" s="781">
        <f t="shared" si="189"/>
        <v>0</v>
      </c>
      <c r="AI115" s="782">
        <f t="shared" si="190"/>
        <v>0</v>
      </c>
      <c r="AJ115" s="781">
        <f t="shared" si="191"/>
        <v>0</v>
      </c>
      <c r="AK115" s="781">
        <f t="shared" si="192"/>
        <v>0</v>
      </c>
      <c r="AL115" s="781">
        <f t="shared" si="193"/>
        <v>0</v>
      </c>
      <c r="AM115" s="781">
        <f t="shared" si="194"/>
        <v>0</v>
      </c>
      <c r="AN115" s="781">
        <f t="shared" si="195"/>
        <v>0</v>
      </c>
      <c r="AO115" s="781">
        <f t="shared" si="196"/>
        <v>0</v>
      </c>
      <c r="AP115" s="781">
        <f t="shared" si="197"/>
        <v>0</v>
      </c>
      <c r="AQ115" s="781">
        <f t="shared" si="198"/>
        <v>0</v>
      </c>
      <c r="AR115" s="781">
        <f t="shared" si="199"/>
        <v>0</v>
      </c>
      <c r="AS115" s="783">
        <f t="shared" si="200"/>
        <v>0</v>
      </c>
    </row>
    <row r="116" spans="1:45" ht="15" x14ac:dyDescent="0.25">
      <c r="A116" s="784"/>
      <c r="B116" s="719">
        <f t="shared" si="68"/>
        <v>108</v>
      </c>
      <c r="C116" s="170"/>
      <c r="D116" s="557"/>
      <c r="E116" s="170"/>
      <c r="F116" s="170">
        <v>69</v>
      </c>
      <c r="G116" s="1978" t="s">
        <v>1838</v>
      </c>
      <c r="H116" s="2039"/>
      <c r="I116" s="768" t="s">
        <v>732</v>
      </c>
      <c r="J116" s="2039"/>
      <c r="K116" s="842"/>
      <c r="L116" s="488"/>
      <c r="M116" s="2041">
        <v>0</v>
      </c>
      <c r="N116" s="1979">
        <v>1</v>
      </c>
      <c r="O116" s="1967">
        <f t="shared" si="201"/>
        <v>0</v>
      </c>
      <c r="P116" s="2008" t="s">
        <v>39</v>
      </c>
      <c r="Q116" s="2008" t="s">
        <v>39</v>
      </c>
      <c r="R116" s="2011" t="s">
        <v>73</v>
      </c>
      <c r="S116" s="1968">
        <f>SUMIF('Data Input sheet'!$B$118:$B$180,R116,'Data Input sheet'!$D$118:$D$180)</f>
        <v>119</v>
      </c>
      <c r="T116" s="1980">
        <f t="shared" si="202"/>
        <v>0</v>
      </c>
      <c r="U116" s="2042"/>
      <c r="V116" s="1981">
        <f t="shared" si="203"/>
        <v>0</v>
      </c>
      <c r="W116" s="2046">
        <v>9000</v>
      </c>
      <c r="X116" s="1960"/>
      <c r="Y116" s="2047">
        <v>0</v>
      </c>
      <c r="Z116" s="780">
        <f t="shared" si="204"/>
        <v>9000</v>
      </c>
      <c r="AA116" s="2007"/>
      <c r="AB116" s="2007"/>
      <c r="AC116" s="765"/>
      <c r="AD116" s="781">
        <f t="shared" si="185"/>
        <v>0</v>
      </c>
      <c r="AE116" s="781">
        <f t="shared" si="186"/>
        <v>0</v>
      </c>
      <c r="AF116" s="781">
        <f t="shared" si="187"/>
        <v>0</v>
      </c>
      <c r="AG116" s="781">
        <f t="shared" si="188"/>
        <v>0</v>
      </c>
      <c r="AH116" s="781">
        <f t="shared" si="189"/>
        <v>0</v>
      </c>
      <c r="AI116" s="782">
        <f t="shared" si="190"/>
        <v>0</v>
      </c>
      <c r="AJ116" s="781">
        <f t="shared" si="191"/>
        <v>0</v>
      </c>
      <c r="AK116" s="781">
        <f t="shared" si="192"/>
        <v>0</v>
      </c>
      <c r="AL116" s="781">
        <f t="shared" si="193"/>
        <v>0</v>
      </c>
      <c r="AM116" s="781">
        <f t="shared" si="194"/>
        <v>0</v>
      </c>
      <c r="AN116" s="781">
        <f t="shared" si="195"/>
        <v>0</v>
      </c>
      <c r="AO116" s="781">
        <f t="shared" si="196"/>
        <v>0</v>
      </c>
      <c r="AP116" s="781">
        <f t="shared" si="197"/>
        <v>0</v>
      </c>
      <c r="AQ116" s="781">
        <f t="shared" si="198"/>
        <v>0</v>
      </c>
      <c r="AR116" s="781">
        <f t="shared" si="199"/>
        <v>0</v>
      </c>
      <c r="AS116" s="783">
        <f t="shared" si="200"/>
        <v>0</v>
      </c>
    </row>
    <row r="117" spans="1:45" ht="15" x14ac:dyDescent="0.25">
      <c r="A117" s="784"/>
      <c r="B117" s="719">
        <f t="shared" si="68"/>
        <v>109</v>
      </c>
      <c r="C117" s="170"/>
      <c r="D117" s="557"/>
      <c r="E117" s="170"/>
      <c r="F117" s="170">
        <v>69</v>
      </c>
      <c r="G117" s="1978" t="s">
        <v>1839</v>
      </c>
      <c r="H117" s="2039"/>
      <c r="I117" s="768" t="s">
        <v>732</v>
      </c>
      <c r="J117" s="2039"/>
      <c r="K117" s="842"/>
      <c r="L117" s="488"/>
      <c r="M117" s="2041">
        <v>0</v>
      </c>
      <c r="N117" s="1979">
        <v>1</v>
      </c>
      <c r="O117" s="1967">
        <f t="shared" si="201"/>
        <v>0</v>
      </c>
      <c r="P117" s="2008" t="s">
        <v>39</v>
      </c>
      <c r="Q117" s="2008" t="s">
        <v>39</v>
      </c>
      <c r="R117" s="2011" t="s">
        <v>73</v>
      </c>
      <c r="S117" s="1968">
        <f>SUMIF('Data Input sheet'!$B$118:$B$180,R117,'Data Input sheet'!$D$118:$D$180)</f>
        <v>119</v>
      </c>
      <c r="T117" s="1980">
        <f t="shared" si="202"/>
        <v>0</v>
      </c>
      <c r="U117" s="2042"/>
      <c r="V117" s="1981">
        <f t="shared" si="203"/>
        <v>0</v>
      </c>
      <c r="W117" s="2046">
        <v>10000</v>
      </c>
      <c r="X117" s="1960"/>
      <c r="Y117" s="2047">
        <v>0</v>
      </c>
      <c r="Z117" s="780">
        <f t="shared" si="204"/>
        <v>10000</v>
      </c>
      <c r="AA117" s="2007"/>
      <c r="AB117" s="2007"/>
      <c r="AC117" s="765"/>
      <c r="AD117" s="781">
        <f t="shared" si="185"/>
        <v>0</v>
      </c>
      <c r="AE117" s="781">
        <f t="shared" si="186"/>
        <v>0</v>
      </c>
      <c r="AF117" s="781">
        <f t="shared" si="187"/>
        <v>0</v>
      </c>
      <c r="AG117" s="781">
        <f t="shared" si="188"/>
        <v>0</v>
      </c>
      <c r="AH117" s="781">
        <f t="shared" si="189"/>
        <v>0</v>
      </c>
      <c r="AI117" s="782">
        <f t="shared" si="190"/>
        <v>0</v>
      </c>
      <c r="AJ117" s="781">
        <f t="shared" si="191"/>
        <v>0</v>
      </c>
      <c r="AK117" s="781">
        <f t="shared" si="192"/>
        <v>0</v>
      </c>
      <c r="AL117" s="781">
        <f t="shared" si="193"/>
        <v>0</v>
      </c>
      <c r="AM117" s="781">
        <f t="shared" si="194"/>
        <v>0</v>
      </c>
      <c r="AN117" s="781">
        <f t="shared" si="195"/>
        <v>0</v>
      </c>
      <c r="AO117" s="781">
        <f t="shared" si="196"/>
        <v>0</v>
      </c>
      <c r="AP117" s="781">
        <f t="shared" si="197"/>
        <v>0</v>
      </c>
      <c r="AQ117" s="781">
        <f t="shared" si="198"/>
        <v>0</v>
      </c>
      <c r="AR117" s="781">
        <f t="shared" si="199"/>
        <v>0</v>
      </c>
      <c r="AS117" s="783">
        <f t="shared" si="200"/>
        <v>0</v>
      </c>
    </row>
    <row r="118" spans="1:45" ht="15" x14ac:dyDescent="0.25">
      <c r="A118" s="784"/>
      <c r="B118" s="719">
        <f t="shared" si="68"/>
        <v>110</v>
      </c>
      <c r="C118" s="170"/>
      <c r="D118" s="557"/>
      <c r="E118" s="170"/>
      <c r="F118" s="170"/>
      <c r="G118" s="1999"/>
      <c r="H118" s="2039"/>
      <c r="I118" s="1963"/>
      <c r="J118" s="2039"/>
      <c r="K118" s="1982"/>
      <c r="L118" s="1983"/>
      <c r="M118" s="2041"/>
      <c r="N118" s="1984"/>
      <c r="O118" s="1985"/>
      <c r="P118" s="2008"/>
      <c r="Q118" s="2008"/>
      <c r="R118" s="2011"/>
      <c r="S118" s="1986"/>
      <c r="T118" s="1987"/>
      <c r="U118" s="2042"/>
      <c r="V118" s="1988"/>
      <c r="W118" s="2046"/>
      <c r="X118" s="1990"/>
      <c r="Y118" s="2047"/>
      <c r="Z118" s="1964"/>
      <c r="AA118" s="2007"/>
      <c r="AB118" s="2007"/>
      <c r="AC118" s="765"/>
      <c r="AD118" s="781">
        <f t="shared" ref="AD118:AD124" si="205">IF(P118="E",+ROUND(H118*O118,0),0)</f>
        <v>0</v>
      </c>
      <c r="AE118" s="781">
        <f t="shared" ref="AE118:AE124" si="206">+AF118-AD118</f>
        <v>0</v>
      </c>
      <c r="AF118" s="781">
        <f t="shared" ref="AF118:AF124" si="207">+H118*O118</f>
        <v>0</v>
      </c>
      <c r="AG118" s="781">
        <f t="shared" ref="AG118:AG124" si="208">IF(P118="E",+ROUND(T118*H118,0),0)</f>
        <v>0</v>
      </c>
      <c r="AH118" s="781">
        <f t="shared" ref="AH118:AH124" si="209">+AI118-AG118</f>
        <v>0</v>
      </c>
      <c r="AI118" s="782">
        <f t="shared" ref="AI118:AI124" si="210">+H118*T118</f>
        <v>0</v>
      </c>
      <c r="AJ118" s="781">
        <f t="shared" ref="AJ118:AJ124" si="211">IF(P118="E",+ROUND(V118*H118,0),0)</f>
        <v>0</v>
      </c>
      <c r="AK118" s="781">
        <f t="shared" ref="AK118:AK124" si="212">+AL118-AJ118</f>
        <v>0</v>
      </c>
      <c r="AL118" s="781">
        <f t="shared" ref="AL118:AL124" si="213">ROUND(V118*H118,0)</f>
        <v>0</v>
      </c>
      <c r="AM118" s="781">
        <f t="shared" ref="AM118:AM124" si="214">IF(Q118="E",+ROUND(W118*H118,0),0)</f>
        <v>0</v>
      </c>
      <c r="AN118" s="781">
        <f t="shared" ref="AN118:AN124" si="215">+AO118-AM118</f>
        <v>0</v>
      </c>
      <c r="AO118" s="781">
        <f t="shared" ref="AO118:AO124" si="216">ROUND(W118*H118,0)</f>
        <v>0</v>
      </c>
      <c r="AP118" s="781">
        <f t="shared" ref="AP118:AP124" si="217">IF(P118="E",+ROUND(Y118*H118,0),0)</f>
        <v>0</v>
      </c>
      <c r="AQ118" s="781">
        <f t="shared" ref="AQ118:AQ124" si="218">+AR118-AP118</f>
        <v>0</v>
      </c>
      <c r="AR118" s="781">
        <f t="shared" ref="AR118:AR124" si="219">ROUND(Y118*H118,0)</f>
        <v>0</v>
      </c>
      <c r="AS118" s="783">
        <f t="shared" ref="AS118:AS124" si="220">+AR118+AO118+AL118+AI118</f>
        <v>0</v>
      </c>
    </row>
    <row r="119" spans="1:45" ht="15" x14ac:dyDescent="0.25">
      <c r="A119" s="784"/>
      <c r="B119" s="719">
        <f t="shared" si="68"/>
        <v>111</v>
      </c>
      <c r="C119" s="170"/>
      <c r="D119" s="557"/>
      <c r="E119" s="170"/>
      <c r="F119" s="170"/>
      <c r="G119" s="785"/>
      <c r="H119" s="2039"/>
      <c r="I119" s="768"/>
      <c r="J119" s="2039"/>
      <c r="K119" s="842"/>
      <c r="L119" s="488"/>
      <c r="M119" s="2041"/>
      <c r="N119" s="1979"/>
      <c r="O119" s="1967"/>
      <c r="P119" s="2008"/>
      <c r="Q119" s="2008"/>
      <c r="R119" s="2011"/>
      <c r="S119" s="1968"/>
      <c r="T119" s="1980"/>
      <c r="U119" s="2042"/>
      <c r="V119" s="1981"/>
      <c r="W119" s="2046"/>
      <c r="X119" s="1960"/>
      <c r="Y119" s="2047"/>
      <c r="Z119" s="780"/>
      <c r="AA119" s="2007"/>
      <c r="AB119" s="2007"/>
      <c r="AC119" s="765"/>
      <c r="AD119" s="781">
        <f t="shared" si="205"/>
        <v>0</v>
      </c>
      <c r="AE119" s="781">
        <f t="shared" si="206"/>
        <v>0</v>
      </c>
      <c r="AF119" s="781">
        <f t="shared" si="207"/>
        <v>0</v>
      </c>
      <c r="AG119" s="781">
        <f t="shared" si="208"/>
        <v>0</v>
      </c>
      <c r="AH119" s="781">
        <f t="shared" si="209"/>
        <v>0</v>
      </c>
      <c r="AI119" s="782">
        <f t="shared" si="210"/>
        <v>0</v>
      </c>
      <c r="AJ119" s="781">
        <f t="shared" si="211"/>
        <v>0</v>
      </c>
      <c r="AK119" s="781">
        <f t="shared" si="212"/>
        <v>0</v>
      </c>
      <c r="AL119" s="781">
        <f t="shared" si="213"/>
        <v>0</v>
      </c>
      <c r="AM119" s="781">
        <f t="shared" si="214"/>
        <v>0</v>
      </c>
      <c r="AN119" s="781">
        <f t="shared" si="215"/>
        <v>0</v>
      </c>
      <c r="AO119" s="781">
        <f t="shared" si="216"/>
        <v>0</v>
      </c>
      <c r="AP119" s="781">
        <f t="shared" si="217"/>
        <v>0</v>
      </c>
      <c r="AQ119" s="781">
        <f t="shared" si="218"/>
        <v>0</v>
      </c>
      <c r="AR119" s="781">
        <f t="shared" si="219"/>
        <v>0</v>
      </c>
      <c r="AS119" s="783">
        <f t="shared" si="220"/>
        <v>0</v>
      </c>
    </row>
    <row r="120" spans="1:45" ht="15" x14ac:dyDescent="0.25">
      <c r="A120" s="784"/>
      <c r="B120" s="719">
        <f t="shared" si="68"/>
        <v>112</v>
      </c>
      <c r="C120" s="170"/>
      <c r="D120" s="557"/>
      <c r="E120" s="170"/>
      <c r="F120" s="170"/>
      <c r="G120" s="785"/>
      <c r="H120" s="2039"/>
      <c r="I120" s="768"/>
      <c r="J120" s="2039"/>
      <c r="K120" s="842"/>
      <c r="L120" s="488"/>
      <c r="M120" s="2041"/>
      <c r="N120" s="1979"/>
      <c r="O120" s="1967"/>
      <c r="P120" s="2008"/>
      <c r="Q120" s="2008"/>
      <c r="R120" s="2011"/>
      <c r="S120" s="1968"/>
      <c r="T120" s="1980"/>
      <c r="U120" s="2042"/>
      <c r="V120" s="1981"/>
      <c r="W120" s="2046"/>
      <c r="X120" s="1960"/>
      <c r="Y120" s="2047"/>
      <c r="Z120" s="780"/>
      <c r="AA120" s="2007"/>
      <c r="AB120" s="2007"/>
      <c r="AC120" s="765"/>
      <c r="AD120" s="781">
        <f t="shared" si="205"/>
        <v>0</v>
      </c>
      <c r="AE120" s="781">
        <f t="shared" si="206"/>
        <v>0</v>
      </c>
      <c r="AF120" s="781">
        <f t="shared" si="207"/>
        <v>0</v>
      </c>
      <c r="AG120" s="781">
        <f t="shared" si="208"/>
        <v>0</v>
      </c>
      <c r="AH120" s="781">
        <f t="shared" si="209"/>
        <v>0</v>
      </c>
      <c r="AI120" s="782">
        <f t="shared" si="210"/>
        <v>0</v>
      </c>
      <c r="AJ120" s="781">
        <f t="shared" si="211"/>
        <v>0</v>
      </c>
      <c r="AK120" s="781">
        <f t="shared" si="212"/>
        <v>0</v>
      </c>
      <c r="AL120" s="781">
        <f t="shared" si="213"/>
        <v>0</v>
      </c>
      <c r="AM120" s="781">
        <f t="shared" si="214"/>
        <v>0</v>
      </c>
      <c r="AN120" s="781">
        <f t="shared" si="215"/>
        <v>0</v>
      </c>
      <c r="AO120" s="781">
        <f t="shared" si="216"/>
        <v>0</v>
      </c>
      <c r="AP120" s="781">
        <f t="shared" si="217"/>
        <v>0</v>
      </c>
      <c r="AQ120" s="781">
        <f t="shared" si="218"/>
        <v>0</v>
      </c>
      <c r="AR120" s="781">
        <f t="shared" si="219"/>
        <v>0</v>
      </c>
      <c r="AS120" s="783">
        <f t="shared" si="220"/>
        <v>0</v>
      </c>
    </row>
    <row r="121" spans="1:45" ht="15" x14ac:dyDescent="0.25">
      <c r="A121" s="784"/>
      <c r="B121" s="719">
        <f t="shared" si="68"/>
        <v>113</v>
      </c>
      <c r="C121" s="170"/>
      <c r="D121" s="557"/>
      <c r="E121" s="170"/>
      <c r="F121" s="170"/>
      <c r="G121" s="785"/>
      <c r="H121" s="2039"/>
      <c r="I121" s="768"/>
      <c r="J121" s="2039"/>
      <c r="K121" s="842"/>
      <c r="L121" s="488"/>
      <c r="M121" s="2041"/>
      <c r="N121" s="1979"/>
      <c r="O121" s="1967"/>
      <c r="P121" s="2008"/>
      <c r="Q121" s="2008"/>
      <c r="R121" s="2011"/>
      <c r="S121" s="1968"/>
      <c r="T121" s="1980"/>
      <c r="U121" s="2042"/>
      <c r="V121" s="1981"/>
      <c r="W121" s="2046"/>
      <c r="X121" s="1960"/>
      <c r="Y121" s="2047"/>
      <c r="Z121" s="780"/>
      <c r="AA121" s="2007"/>
      <c r="AB121" s="2007"/>
      <c r="AC121" s="765"/>
      <c r="AD121" s="781">
        <f t="shared" si="205"/>
        <v>0</v>
      </c>
      <c r="AE121" s="781">
        <f t="shared" si="206"/>
        <v>0</v>
      </c>
      <c r="AF121" s="781">
        <f t="shared" si="207"/>
        <v>0</v>
      </c>
      <c r="AG121" s="781">
        <f t="shared" si="208"/>
        <v>0</v>
      </c>
      <c r="AH121" s="781">
        <f t="shared" si="209"/>
        <v>0</v>
      </c>
      <c r="AI121" s="782">
        <f t="shared" si="210"/>
        <v>0</v>
      </c>
      <c r="AJ121" s="781">
        <f t="shared" si="211"/>
        <v>0</v>
      </c>
      <c r="AK121" s="781">
        <f t="shared" si="212"/>
        <v>0</v>
      </c>
      <c r="AL121" s="781">
        <f t="shared" si="213"/>
        <v>0</v>
      </c>
      <c r="AM121" s="781">
        <f t="shared" si="214"/>
        <v>0</v>
      </c>
      <c r="AN121" s="781">
        <f t="shared" si="215"/>
        <v>0</v>
      </c>
      <c r="AO121" s="781">
        <f t="shared" si="216"/>
        <v>0</v>
      </c>
      <c r="AP121" s="781">
        <f t="shared" si="217"/>
        <v>0</v>
      </c>
      <c r="AQ121" s="781">
        <f t="shared" si="218"/>
        <v>0</v>
      </c>
      <c r="AR121" s="781">
        <f t="shared" si="219"/>
        <v>0</v>
      </c>
      <c r="AS121" s="783">
        <f t="shared" si="220"/>
        <v>0</v>
      </c>
    </row>
    <row r="122" spans="1:45" ht="15" x14ac:dyDescent="0.25">
      <c r="A122" s="784"/>
      <c r="B122" s="719">
        <f t="shared" si="68"/>
        <v>114</v>
      </c>
      <c r="C122" s="170"/>
      <c r="D122" s="557"/>
      <c r="E122" s="170"/>
      <c r="F122" s="170"/>
      <c r="G122" s="785"/>
      <c r="H122" s="2039"/>
      <c r="I122" s="768"/>
      <c r="J122" s="2039"/>
      <c r="K122" s="842"/>
      <c r="L122" s="488"/>
      <c r="M122" s="2041"/>
      <c r="N122" s="1979"/>
      <c r="O122" s="1967"/>
      <c r="P122" s="2008"/>
      <c r="Q122" s="2008"/>
      <c r="R122" s="2011"/>
      <c r="S122" s="1968"/>
      <c r="T122" s="1980"/>
      <c r="U122" s="2042"/>
      <c r="V122" s="1981"/>
      <c r="W122" s="2046"/>
      <c r="X122" s="1960"/>
      <c r="Y122" s="2047"/>
      <c r="Z122" s="780"/>
      <c r="AA122" s="2007"/>
      <c r="AB122" s="2007"/>
      <c r="AC122" s="765"/>
      <c r="AD122" s="781">
        <f t="shared" si="205"/>
        <v>0</v>
      </c>
      <c r="AE122" s="781">
        <f t="shared" si="206"/>
        <v>0</v>
      </c>
      <c r="AF122" s="781">
        <f t="shared" si="207"/>
        <v>0</v>
      </c>
      <c r="AG122" s="781">
        <f t="shared" si="208"/>
        <v>0</v>
      </c>
      <c r="AH122" s="781">
        <f t="shared" si="209"/>
        <v>0</v>
      </c>
      <c r="AI122" s="782">
        <f t="shared" si="210"/>
        <v>0</v>
      </c>
      <c r="AJ122" s="781">
        <f t="shared" si="211"/>
        <v>0</v>
      </c>
      <c r="AK122" s="781">
        <f t="shared" si="212"/>
        <v>0</v>
      </c>
      <c r="AL122" s="781">
        <f t="shared" si="213"/>
        <v>0</v>
      </c>
      <c r="AM122" s="781">
        <f t="shared" si="214"/>
        <v>0</v>
      </c>
      <c r="AN122" s="781">
        <f t="shared" si="215"/>
        <v>0</v>
      </c>
      <c r="AO122" s="781">
        <f t="shared" si="216"/>
        <v>0</v>
      </c>
      <c r="AP122" s="781">
        <f t="shared" si="217"/>
        <v>0</v>
      </c>
      <c r="AQ122" s="781">
        <f t="shared" si="218"/>
        <v>0</v>
      </c>
      <c r="AR122" s="781">
        <f t="shared" si="219"/>
        <v>0</v>
      </c>
      <c r="AS122" s="783">
        <f t="shared" si="220"/>
        <v>0</v>
      </c>
    </row>
    <row r="123" spans="1:45" ht="15" x14ac:dyDescent="0.25">
      <c r="A123" s="784"/>
      <c r="B123" s="719">
        <f t="shared" si="68"/>
        <v>115</v>
      </c>
      <c r="C123" s="170"/>
      <c r="D123" s="557"/>
      <c r="E123" s="170"/>
      <c r="F123" s="170"/>
      <c r="G123" s="785"/>
      <c r="H123" s="2039"/>
      <c r="I123" s="768"/>
      <c r="J123" s="2039"/>
      <c r="K123" s="842"/>
      <c r="L123" s="488"/>
      <c r="M123" s="2041"/>
      <c r="N123" s="1979"/>
      <c r="O123" s="1967"/>
      <c r="P123" s="2008"/>
      <c r="Q123" s="2008"/>
      <c r="R123" s="2011"/>
      <c r="S123" s="1968"/>
      <c r="T123" s="1980"/>
      <c r="U123" s="2042"/>
      <c r="V123" s="1981"/>
      <c r="W123" s="2046"/>
      <c r="X123" s="1960"/>
      <c r="Y123" s="2047"/>
      <c r="Z123" s="780"/>
      <c r="AA123" s="2007"/>
      <c r="AB123" s="2007"/>
      <c r="AC123" s="765"/>
      <c r="AD123" s="781">
        <f t="shared" si="205"/>
        <v>0</v>
      </c>
      <c r="AE123" s="781">
        <f t="shared" si="206"/>
        <v>0</v>
      </c>
      <c r="AF123" s="781">
        <f t="shared" si="207"/>
        <v>0</v>
      </c>
      <c r="AG123" s="781">
        <f t="shared" si="208"/>
        <v>0</v>
      </c>
      <c r="AH123" s="781">
        <f t="shared" si="209"/>
        <v>0</v>
      </c>
      <c r="AI123" s="782">
        <f t="shared" si="210"/>
        <v>0</v>
      </c>
      <c r="AJ123" s="781">
        <f t="shared" si="211"/>
        <v>0</v>
      </c>
      <c r="AK123" s="781">
        <f t="shared" si="212"/>
        <v>0</v>
      </c>
      <c r="AL123" s="781">
        <f t="shared" si="213"/>
        <v>0</v>
      </c>
      <c r="AM123" s="781">
        <f t="shared" si="214"/>
        <v>0</v>
      </c>
      <c r="AN123" s="781">
        <f t="shared" si="215"/>
        <v>0</v>
      </c>
      <c r="AO123" s="781">
        <f t="shared" si="216"/>
        <v>0</v>
      </c>
      <c r="AP123" s="781">
        <f t="shared" si="217"/>
        <v>0</v>
      </c>
      <c r="AQ123" s="781">
        <f t="shared" si="218"/>
        <v>0</v>
      </c>
      <c r="AR123" s="781">
        <f t="shared" si="219"/>
        <v>0</v>
      </c>
      <c r="AS123" s="783">
        <f t="shared" si="220"/>
        <v>0</v>
      </c>
    </row>
    <row r="124" spans="1:45" ht="15" x14ac:dyDescent="0.25">
      <c r="A124" s="784"/>
      <c r="B124" s="719">
        <f t="shared" si="68"/>
        <v>116</v>
      </c>
      <c r="C124" s="170"/>
      <c r="D124" s="557"/>
      <c r="E124" s="170"/>
      <c r="F124" s="170"/>
      <c r="G124" s="785"/>
      <c r="H124" s="1926"/>
      <c r="I124" s="768"/>
      <c r="J124" s="1926"/>
      <c r="K124" s="770"/>
      <c r="L124" s="170"/>
      <c r="M124" s="2009"/>
      <c r="N124" s="772"/>
      <c r="O124" s="773"/>
      <c r="P124" s="2008"/>
      <c r="Q124" s="2008"/>
      <c r="R124" s="2011"/>
      <c r="S124" s="775"/>
      <c r="T124" s="776"/>
      <c r="U124" s="2013"/>
      <c r="V124" s="778">
        <f t="shared" si="140"/>
        <v>0</v>
      </c>
      <c r="W124" s="2010"/>
      <c r="X124" s="779"/>
      <c r="Y124" s="2012"/>
      <c r="Z124" s="780"/>
      <c r="AA124" s="2007"/>
      <c r="AB124" s="2007"/>
      <c r="AC124" s="765">
        <f t="shared" si="144"/>
        <v>0</v>
      </c>
      <c r="AD124" s="781">
        <f t="shared" si="205"/>
        <v>0</v>
      </c>
      <c r="AE124" s="781">
        <f t="shared" si="206"/>
        <v>0</v>
      </c>
      <c r="AF124" s="781">
        <f t="shared" si="207"/>
        <v>0</v>
      </c>
      <c r="AG124" s="781">
        <f t="shared" si="208"/>
        <v>0</v>
      </c>
      <c r="AH124" s="781">
        <f t="shared" si="209"/>
        <v>0</v>
      </c>
      <c r="AI124" s="782">
        <f t="shared" si="210"/>
        <v>0</v>
      </c>
      <c r="AJ124" s="781">
        <f t="shared" si="211"/>
        <v>0</v>
      </c>
      <c r="AK124" s="781">
        <f t="shared" si="212"/>
        <v>0</v>
      </c>
      <c r="AL124" s="781">
        <f t="shared" si="213"/>
        <v>0</v>
      </c>
      <c r="AM124" s="781">
        <f t="shared" si="214"/>
        <v>0</v>
      </c>
      <c r="AN124" s="781">
        <f t="shared" si="215"/>
        <v>0</v>
      </c>
      <c r="AO124" s="781">
        <f t="shared" si="216"/>
        <v>0</v>
      </c>
      <c r="AP124" s="781">
        <f t="shared" si="217"/>
        <v>0</v>
      </c>
      <c r="AQ124" s="781">
        <f t="shared" si="218"/>
        <v>0</v>
      </c>
      <c r="AR124" s="781">
        <f t="shared" si="219"/>
        <v>0</v>
      </c>
      <c r="AS124" s="783">
        <f t="shared" si="220"/>
        <v>0</v>
      </c>
    </row>
    <row r="125" spans="1:45" ht="15" x14ac:dyDescent="0.25">
      <c r="A125" s="784"/>
      <c r="B125" s="719">
        <f t="shared" si="68"/>
        <v>117</v>
      </c>
      <c r="C125" s="170"/>
      <c r="D125" s="557"/>
      <c r="E125" s="170"/>
      <c r="F125" s="170"/>
      <c r="G125" s="785"/>
      <c r="H125" s="1926"/>
      <c r="I125" s="768"/>
      <c r="J125" s="1926"/>
      <c r="K125" s="770"/>
      <c r="L125" s="170"/>
      <c r="M125" s="2009"/>
      <c r="N125" s="772"/>
      <c r="O125" s="773"/>
      <c r="P125" s="2008"/>
      <c r="Q125" s="2008"/>
      <c r="R125" s="2011"/>
      <c r="S125" s="775"/>
      <c r="T125" s="776"/>
      <c r="U125" s="2013"/>
      <c r="V125" s="778">
        <f t="shared" si="140"/>
        <v>0</v>
      </c>
      <c r="W125" s="2010"/>
      <c r="X125" s="779"/>
      <c r="Y125" s="2012"/>
      <c r="Z125" s="780"/>
      <c r="AA125" s="2007"/>
      <c r="AB125" s="2007"/>
      <c r="AC125" s="765">
        <f t="shared" si="144"/>
        <v>0</v>
      </c>
      <c r="AD125" s="781">
        <f t="shared" ref="AD125:AD127" si="221">IF(P125="E",+ROUND(H125*O125,0),0)</f>
        <v>0</v>
      </c>
      <c r="AE125" s="781">
        <f t="shared" ref="AE125:AE127" si="222">+AF125-AD125</f>
        <v>0</v>
      </c>
      <c r="AF125" s="781">
        <f t="shared" ref="AF125:AF127" si="223">+H125*O125</f>
        <v>0</v>
      </c>
      <c r="AG125" s="781">
        <f t="shared" ref="AG125:AG127" si="224">IF(P125="E",+ROUND(T125*H125,0),0)</f>
        <v>0</v>
      </c>
      <c r="AH125" s="781">
        <f t="shared" ref="AH125:AH127" si="225">+AI125-AG125</f>
        <v>0</v>
      </c>
      <c r="AI125" s="782">
        <f t="shared" ref="AI125:AI127" si="226">+H125*T125</f>
        <v>0</v>
      </c>
      <c r="AJ125" s="781">
        <f t="shared" ref="AJ125:AJ127" si="227">IF(P125="E",+ROUND(V125*H125,0),0)</f>
        <v>0</v>
      </c>
      <c r="AK125" s="781">
        <f t="shared" ref="AK125:AK127" si="228">+AL125-AJ125</f>
        <v>0</v>
      </c>
      <c r="AL125" s="781">
        <f t="shared" ref="AL125:AL127" si="229">ROUND(V125*H125,0)</f>
        <v>0</v>
      </c>
      <c r="AM125" s="781">
        <f t="shared" ref="AM125:AM127" si="230">IF(Q125="E",+ROUND(W125*H125,0),0)</f>
        <v>0</v>
      </c>
      <c r="AN125" s="781">
        <f t="shared" ref="AN125:AN127" si="231">+AO125-AM125</f>
        <v>0</v>
      </c>
      <c r="AO125" s="781">
        <f t="shared" ref="AO125:AO127" si="232">ROUND(W125*H125,0)</f>
        <v>0</v>
      </c>
      <c r="AP125" s="781">
        <f t="shared" ref="AP125:AP127" si="233">IF(P125="E",+ROUND(Y125*H125,0),0)</f>
        <v>0</v>
      </c>
      <c r="AQ125" s="781">
        <f t="shared" ref="AQ125:AQ127" si="234">+AR125-AP125</f>
        <v>0</v>
      </c>
      <c r="AR125" s="781">
        <f t="shared" ref="AR125:AR127" si="235">ROUND(Y125*H125,0)</f>
        <v>0</v>
      </c>
      <c r="AS125" s="783">
        <f t="shared" ref="AS125:AS127" si="236">+AR125+AO125+AL125+AI125</f>
        <v>0</v>
      </c>
    </row>
    <row r="126" spans="1:45" ht="15" x14ac:dyDescent="0.25">
      <c r="A126" s="784"/>
      <c r="B126" s="719">
        <f t="shared" si="68"/>
        <v>118</v>
      </c>
      <c r="C126" s="170"/>
      <c r="D126" s="557"/>
      <c r="E126" s="170"/>
      <c r="F126" s="170"/>
      <c r="G126" s="785"/>
      <c r="H126" s="1926"/>
      <c r="I126" s="768"/>
      <c r="J126" s="1926"/>
      <c r="K126" s="770"/>
      <c r="L126" s="170"/>
      <c r="M126" s="2009"/>
      <c r="N126" s="772"/>
      <c r="O126" s="773"/>
      <c r="P126" s="2008"/>
      <c r="Q126" s="2008"/>
      <c r="R126" s="2011"/>
      <c r="S126" s="775"/>
      <c r="T126" s="776"/>
      <c r="U126" s="2013"/>
      <c r="V126" s="778">
        <f t="shared" si="140"/>
        <v>0</v>
      </c>
      <c r="W126" s="2010"/>
      <c r="X126" s="779"/>
      <c r="Y126" s="2012"/>
      <c r="Z126" s="780"/>
      <c r="AA126" s="2007"/>
      <c r="AB126" s="2007"/>
      <c r="AC126" s="765">
        <f t="shared" si="144"/>
        <v>0</v>
      </c>
      <c r="AD126" s="781">
        <f t="shared" si="221"/>
        <v>0</v>
      </c>
      <c r="AE126" s="781">
        <f t="shared" si="222"/>
        <v>0</v>
      </c>
      <c r="AF126" s="781">
        <f t="shared" si="223"/>
        <v>0</v>
      </c>
      <c r="AG126" s="781">
        <f t="shared" si="224"/>
        <v>0</v>
      </c>
      <c r="AH126" s="781">
        <f t="shared" si="225"/>
        <v>0</v>
      </c>
      <c r="AI126" s="782">
        <f t="shared" si="226"/>
        <v>0</v>
      </c>
      <c r="AJ126" s="781">
        <f t="shared" si="227"/>
        <v>0</v>
      </c>
      <c r="AK126" s="781">
        <f t="shared" si="228"/>
        <v>0</v>
      </c>
      <c r="AL126" s="781">
        <f t="shared" si="229"/>
        <v>0</v>
      </c>
      <c r="AM126" s="781">
        <f t="shared" si="230"/>
        <v>0</v>
      </c>
      <c r="AN126" s="781">
        <f t="shared" si="231"/>
        <v>0</v>
      </c>
      <c r="AO126" s="781">
        <f t="shared" si="232"/>
        <v>0</v>
      </c>
      <c r="AP126" s="781">
        <f t="shared" si="233"/>
        <v>0</v>
      </c>
      <c r="AQ126" s="781">
        <f t="shared" si="234"/>
        <v>0</v>
      </c>
      <c r="AR126" s="781">
        <f t="shared" si="235"/>
        <v>0</v>
      </c>
      <c r="AS126" s="783">
        <f t="shared" si="236"/>
        <v>0</v>
      </c>
    </row>
    <row r="127" spans="1:45" ht="15" x14ac:dyDescent="0.25">
      <c r="A127" s="784"/>
      <c r="B127" s="719">
        <f t="shared" si="68"/>
        <v>119</v>
      </c>
      <c r="C127" s="170"/>
      <c r="D127" s="557"/>
      <c r="E127" s="170"/>
      <c r="F127" s="170"/>
      <c r="G127" s="785"/>
      <c r="H127" s="1926"/>
      <c r="I127" s="768"/>
      <c r="J127" s="1926"/>
      <c r="K127" s="770"/>
      <c r="L127" s="170"/>
      <c r="M127" s="2009"/>
      <c r="N127" s="772"/>
      <c r="O127" s="773"/>
      <c r="P127" s="2008"/>
      <c r="Q127" s="2008"/>
      <c r="R127" s="2011"/>
      <c r="S127" s="775"/>
      <c r="T127" s="776"/>
      <c r="U127" s="2013"/>
      <c r="V127" s="778">
        <f t="shared" si="140"/>
        <v>0</v>
      </c>
      <c r="W127" s="2010"/>
      <c r="X127" s="779"/>
      <c r="Y127" s="2012"/>
      <c r="Z127" s="780"/>
      <c r="AA127" s="2007"/>
      <c r="AB127" s="2007"/>
      <c r="AC127" s="765">
        <f t="shared" si="144"/>
        <v>0</v>
      </c>
      <c r="AD127" s="781">
        <f t="shared" si="221"/>
        <v>0</v>
      </c>
      <c r="AE127" s="781">
        <f t="shared" si="222"/>
        <v>0</v>
      </c>
      <c r="AF127" s="781">
        <f t="shared" si="223"/>
        <v>0</v>
      </c>
      <c r="AG127" s="781">
        <f t="shared" si="224"/>
        <v>0</v>
      </c>
      <c r="AH127" s="781">
        <f t="shared" si="225"/>
        <v>0</v>
      </c>
      <c r="AI127" s="782">
        <f t="shared" si="226"/>
        <v>0</v>
      </c>
      <c r="AJ127" s="781">
        <f t="shared" si="227"/>
        <v>0</v>
      </c>
      <c r="AK127" s="781">
        <f t="shared" si="228"/>
        <v>0</v>
      </c>
      <c r="AL127" s="781">
        <f t="shared" si="229"/>
        <v>0</v>
      </c>
      <c r="AM127" s="781">
        <f t="shared" si="230"/>
        <v>0</v>
      </c>
      <c r="AN127" s="781">
        <f t="shared" si="231"/>
        <v>0</v>
      </c>
      <c r="AO127" s="781">
        <f t="shared" si="232"/>
        <v>0</v>
      </c>
      <c r="AP127" s="781">
        <f t="shared" si="233"/>
        <v>0</v>
      </c>
      <c r="AQ127" s="781">
        <f t="shared" si="234"/>
        <v>0</v>
      </c>
      <c r="AR127" s="781">
        <f t="shared" si="235"/>
        <v>0</v>
      </c>
      <c r="AS127" s="783">
        <f t="shared" si="236"/>
        <v>0</v>
      </c>
    </row>
    <row r="128" spans="1:45" ht="15" x14ac:dyDescent="0.25">
      <c r="A128" s="784"/>
      <c r="B128" s="719">
        <f t="shared" si="68"/>
        <v>120</v>
      </c>
      <c r="C128" s="170"/>
      <c r="D128" s="557"/>
      <c r="E128" s="170"/>
      <c r="F128" s="170"/>
      <c r="G128" s="787"/>
      <c r="H128" s="784"/>
      <c r="I128" s="784"/>
      <c r="J128" s="784"/>
      <c r="K128" s="784"/>
      <c r="L128" s="170"/>
      <c r="M128" s="773"/>
      <c r="N128" s="773"/>
      <c r="O128" s="773"/>
      <c r="P128" s="788"/>
      <c r="Q128" s="788"/>
      <c r="R128" s="773"/>
      <c r="S128" s="773"/>
      <c r="T128" s="779"/>
      <c r="U128" s="789"/>
      <c r="V128" s="778"/>
      <c r="W128" s="778"/>
      <c r="X128" s="779"/>
      <c r="Y128" s="779"/>
      <c r="Z128" s="780"/>
      <c r="AA128" s="787"/>
      <c r="AB128" s="787"/>
      <c r="AC128" s="765">
        <f t="shared" si="144"/>
        <v>0</v>
      </c>
      <c r="AD128" s="781">
        <f t="shared" ref="AD128:AD133" si="237">IF(P128="E",+ROUND(H128*O128,0),0)</f>
        <v>0</v>
      </c>
      <c r="AE128" s="781">
        <f t="shared" ref="AE128:AE133" si="238">+AF128-AD128</f>
        <v>0</v>
      </c>
      <c r="AF128" s="781">
        <f t="shared" ref="AF128:AF133" si="239">+H128*O128</f>
        <v>0</v>
      </c>
      <c r="AG128" s="781">
        <f t="shared" ref="AG128:AG133" si="240">IF(P128="E",+ROUND(T128*H128,0),0)</f>
        <v>0</v>
      </c>
      <c r="AH128" s="781">
        <f t="shared" ref="AH128:AH133" si="241">+AI128-AG128</f>
        <v>0</v>
      </c>
      <c r="AI128" s="782">
        <f t="shared" ref="AI128:AI133" si="242">+H128*T128</f>
        <v>0</v>
      </c>
      <c r="AJ128" s="781">
        <f t="shared" ref="AJ128:AJ133" si="243">IF(P128="E",+ROUND(V128*H128,0),0)</f>
        <v>0</v>
      </c>
      <c r="AK128" s="781">
        <f t="shared" ref="AK128:AK133" si="244">+AL128-AJ128</f>
        <v>0</v>
      </c>
      <c r="AL128" s="781">
        <f t="shared" ref="AL128:AL133" si="245">ROUND(V128*H128,0)</f>
        <v>0</v>
      </c>
      <c r="AM128" s="781">
        <f t="shared" ref="AM128:AM133" si="246">IF(Q128="E",+ROUND(W128*H128,0),0)</f>
        <v>0</v>
      </c>
      <c r="AN128" s="781">
        <f t="shared" ref="AN128:AN133" si="247">+AO128-AM128</f>
        <v>0</v>
      </c>
      <c r="AO128" s="781">
        <f t="shared" ref="AO128:AO133" si="248">ROUND(W128*H128,0)</f>
        <v>0</v>
      </c>
      <c r="AP128" s="781">
        <f t="shared" ref="AP128:AP133" si="249">IF(P128="E",+ROUND(Y128*H128,0),0)</f>
        <v>0</v>
      </c>
      <c r="AQ128" s="781">
        <f t="shared" ref="AQ128:AQ133" si="250">+AR128-AP128</f>
        <v>0</v>
      </c>
      <c r="AR128" s="781">
        <f t="shared" ref="AR128:AR133" si="251">ROUND(Y128*H128,0)</f>
        <v>0</v>
      </c>
      <c r="AS128" s="783">
        <f t="shared" ref="AS128:AS134" si="252">+AR128+AO128+AL128+AI128</f>
        <v>0</v>
      </c>
    </row>
    <row r="129" spans="1:46" ht="15" x14ac:dyDescent="0.25">
      <c r="A129" s="784"/>
      <c r="B129" s="719">
        <f t="shared" si="68"/>
        <v>121</v>
      </c>
      <c r="C129" s="170"/>
      <c r="D129" s="557"/>
      <c r="E129" s="170"/>
      <c r="F129" s="170"/>
      <c r="G129" s="787"/>
      <c r="H129" s="784"/>
      <c r="I129" s="784"/>
      <c r="J129" s="784"/>
      <c r="K129" s="784"/>
      <c r="L129" s="170"/>
      <c r="M129" s="773"/>
      <c r="N129" s="773"/>
      <c r="O129" s="773"/>
      <c r="P129" s="788"/>
      <c r="Q129" s="788"/>
      <c r="R129" s="773"/>
      <c r="S129" s="773"/>
      <c r="T129" s="779"/>
      <c r="U129" s="789"/>
      <c r="V129" s="778"/>
      <c r="W129" s="778"/>
      <c r="X129" s="779"/>
      <c r="Y129" s="779"/>
      <c r="Z129" s="780"/>
      <c r="AA129" s="787"/>
      <c r="AB129" s="787"/>
      <c r="AC129" s="765">
        <f t="shared" si="144"/>
        <v>0</v>
      </c>
      <c r="AD129" s="781">
        <f t="shared" si="237"/>
        <v>0</v>
      </c>
      <c r="AE129" s="781">
        <f t="shared" si="238"/>
        <v>0</v>
      </c>
      <c r="AF129" s="781">
        <f t="shared" si="239"/>
        <v>0</v>
      </c>
      <c r="AG129" s="781">
        <f t="shared" si="240"/>
        <v>0</v>
      </c>
      <c r="AH129" s="781">
        <f t="shared" si="241"/>
        <v>0</v>
      </c>
      <c r="AI129" s="782">
        <f t="shared" si="242"/>
        <v>0</v>
      </c>
      <c r="AJ129" s="781">
        <f t="shared" si="243"/>
        <v>0</v>
      </c>
      <c r="AK129" s="781">
        <f t="shared" si="244"/>
        <v>0</v>
      </c>
      <c r="AL129" s="781">
        <f t="shared" si="245"/>
        <v>0</v>
      </c>
      <c r="AM129" s="781">
        <f t="shared" si="246"/>
        <v>0</v>
      </c>
      <c r="AN129" s="781">
        <f t="shared" si="247"/>
        <v>0</v>
      </c>
      <c r="AO129" s="781">
        <f t="shared" si="248"/>
        <v>0</v>
      </c>
      <c r="AP129" s="781">
        <f t="shared" si="249"/>
        <v>0</v>
      </c>
      <c r="AQ129" s="781">
        <f t="shared" si="250"/>
        <v>0</v>
      </c>
      <c r="AR129" s="781">
        <f t="shared" si="251"/>
        <v>0</v>
      </c>
      <c r="AS129" s="783">
        <f t="shared" si="252"/>
        <v>0</v>
      </c>
    </row>
    <row r="130" spans="1:46" ht="15" x14ac:dyDescent="0.25">
      <c r="A130" s="784"/>
      <c r="B130" s="719">
        <f t="shared" si="68"/>
        <v>122</v>
      </c>
      <c r="C130" s="170"/>
      <c r="D130" s="557"/>
      <c r="E130" s="170"/>
      <c r="F130" s="170"/>
      <c r="G130" s="787"/>
      <c r="H130" s="784"/>
      <c r="I130" s="784"/>
      <c r="J130" s="784"/>
      <c r="K130" s="784"/>
      <c r="L130" s="170"/>
      <c r="M130" s="773"/>
      <c r="N130" s="773"/>
      <c r="O130" s="773"/>
      <c r="P130" s="788"/>
      <c r="Q130" s="788"/>
      <c r="R130" s="773"/>
      <c r="S130" s="773"/>
      <c r="T130" s="779"/>
      <c r="U130" s="789"/>
      <c r="V130" s="778"/>
      <c r="W130" s="778"/>
      <c r="X130" s="779"/>
      <c r="Y130" s="779"/>
      <c r="Z130" s="780"/>
      <c r="AA130" s="787"/>
      <c r="AB130" s="787"/>
      <c r="AC130" s="765">
        <f t="shared" si="144"/>
        <v>0</v>
      </c>
      <c r="AD130" s="781">
        <f t="shared" si="237"/>
        <v>0</v>
      </c>
      <c r="AE130" s="781">
        <f t="shared" si="238"/>
        <v>0</v>
      </c>
      <c r="AF130" s="781">
        <f t="shared" si="239"/>
        <v>0</v>
      </c>
      <c r="AG130" s="781">
        <f t="shared" si="240"/>
        <v>0</v>
      </c>
      <c r="AH130" s="781">
        <f t="shared" si="241"/>
        <v>0</v>
      </c>
      <c r="AI130" s="782">
        <f t="shared" si="242"/>
        <v>0</v>
      </c>
      <c r="AJ130" s="781">
        <f t="shared" si="243"/>
        <v>0</v>
      </c>
      <c r="AK130" s="781">
        <f t="shared" si="244"/>
        <v>0</v>
      </c>
      <c r="AL130" s="781">
        <f t="shared" si="245"/>
        <v>0</v>
      </c>
      <c r="AM130" s="781">
        <f t="shared" si="246"/>
        <v>0</v>
      </c>
      <c r="AN130" s="781">
        <f t="shared" si="247"/>
        <v>0</v>
      </c>
      <c r="AO130" s="781">
        <f t="shared" si="248"/>
        <v>0</v>
      </c>
      <c r="AP130" s="781">
        <f t="shared" si="249"/>
        <v>0</v>
      </c>
      <c r="AQ130" s="781">
        <f t="shared" si="250"/>
        <v>0</v>
      </c>
      <c r="AR130" s="781">
        <f t="shared" si="251"/>
        <v>0</v>
      </c>
      <c r="AS130" s="783">
        <f t="shared" si="252"/>
        <v>0</v>
      </c>
    </row>
    <row r="131" spans="1:46" ht="15" x14ac:dyDescent="0.25">
      <c r="A131" s="784"/>
      <c r="B131" s="719">
        <f t="shared" si="68"/>
        <v>123</v>
      </c>
      <c r="C131" s="170"/>
      <c r="D131" s="557"/>
      <c r="E131" s="170"/>
      <c r="F131" s="170"/>
      <c r="G131" s="769"/>
      <c r="H131" s="784"/>
      <c r="I131" s="784"/>
      <c r="J131" s="784"/>
      <c r="K131" s="784"/>
      <c r="L131" s="170"/>
      <c r="M131" s="773"/>
      <c r="N131" s="773"/>
      <c r="O131" s="773"/>
      <c r="P131" s="788"/>
      <c r="Q131" s="788"/>
      <c r="R131" s="773"/>
      <c r="S131" s="773"/>
      <c r="T131" s="779"/>
      <c r="U131" s="789"/>
      <c r="V131" s="778"/>
      <c r="W131" s="778"/>
      <c r="X131" s="779"/>
      <c r="Y131" s="779"/>
      <c r="Z131" s="780"/>
      <c r="AA131" s="787"/>
      <c r="AB131" s="787"/>
      <c r="AC131" s="765">
        <f t="shared" si="144"/>
        <v>0</v>
      </c>
      <c r="AD131" s="781">
        <f t="shared" si="237"/>
        <v>0</v>
      </c>
      <c r="AE131" s="781">
        <f t="shared" si="238"/>
        <v>0</v>
      </c>
      <c r="AF131" s="781">
        <f t="shared" si="239"/>
        <v>0</v>
      </c>
      <c r="AG131" s="781">
        <f t="shared" si="240"/>
        <v>0</v>
      </c>
      <c r="AH131" s="781">
        <f t="shared" si="241"/>
        <v>0</v>
      </c>
      <c r="AI131" s="782">
        <f t="shared" si="242"/>
        <v>0</v>
      </c>
      <c r="AJ131" s="781">
        <f t="shared" si="243"/>
        <v>0</v>
      </c>
      <c r="AK131" s="781">
        <f t="shared" si="244"/>
        <v>0</v>
      </c>
      <c r="AL131" s="781">
        <f t="shared" si="245"/>
        <v>0</v>
      </c>
      <c r="AM131" s="781">
        <f t="shared" si="246"/>
        <v>0</v>
      </c>
      <c r="AN131" s="781">
        <f t="shared" si="247"/>
        <v>0</v>
      </c>
      <c r="AO131" s="781">
        <f t="shared" si="248"/>
        <v>0</v>
      </c>
      <c r="AP131" s="781">
        <f t="shared" si="249"/>
        <v>0</v>
      </c>
      <c r="AQ131" s="781">
        <f t="shared" si="250"/>
        <v>0</v>
      </c>
      <c r="AR131" s="781">
        <f t="shared" si="251"/>
        <v>0</v>
      </c>
      <c r="AS131" s="783">
        <f t="shared" si="252"/>
        <v>0</v>
      </c>
    </row>
    <row r="132" spans="1:46" ht="15" x14ac:dyDescent="0.25">
      <c r="A132" s="784"/>
      <c r="B132" s="719">
        <f t="shared" si="68"/>
        <v>124</v>
      </c>
      <c r="C132" s="170"/>
      <c r="D132" s="557"/>
      <c r="E132" s="170"/>
      <c r="F132" s="170"/>
      <c r="G132" s="787"/>
      <c r="H132" s="784"/>
      <c r="I132" s="784"/>
      <c r="J132" s="784"/>
      <c r="K132" s="784"/>
      <c r="L132" s="170"/>
      <c r="M132" s="773"/>
      <c r="N132" s="773"/>
      <c r="O132" s="773"/>
      <c r="P132" s="788"/>
      <c r="Q132" s="788"/>
      <c r="R132" s="773"/>
      <c r="S132" s="773"/>
      <c r="T132" s="779"/>
      <c r="U132" s="789"/>
      <c r="V132" s="778"/>
      <c r="W132" s="778"/>
      <c r="X132" s="779"/>
      <c r="Y132" s="779"/>
      <c r="Z132" s="780"/>
      <c r="AA132" s="787"/>
      <c r="AB132" s="787"/>
      <c r="AC132" s="765">
        <f t="shared" si="144"/>
        <v>0</v>
      </c>
      <c r="AD132" s="781">
        <f t="shared" si="237"/>
        <v>0</v>
      </c>
      <c r="AE132" s="781">
        <f t="shared" si="238"/>
        <v>0</v>
      </c>
      <c r="AF132" s="781">
        <f t="shared" si="239"/>
        <v>0</v>
      </c>
      <c r="AG132" s="781">
        <f t="shared" si="240"/>
        <v>0</v>
      </c>
      <c r="AH132" s="781">
        <f t="shared" si="241"/>
        <v>0</v>
      </c>
      <c r="AI132" s="782">
        <f t="shared" si="242"/>
        <v>0</v>
      </c>
      <c r="AJ132" s="781">
        <f t="shared" si="243"/>
        <v>0</v>
      </c>
      <c r="AK132" s="781">
        <f t="shared" si="244"/>
        <v>0</v>
      </c>
      <c r="AL132" s="781">
        <f t="shared" si="245"/>
        <v>0</v>
      </c>
      <c r="AM132" s="781">
        <f t="shared" si="246"/>
        <v>0</v>
      </c>
      <c r="AN132" s="781">
        <f t="shared" si="247"/>
        <v>0</v>
      </c>
      <c r="AO132" s="781">
        <f t="shared" si="248"/>
        <v>0</v>
      </c>
      <c r="AP132" s="781">
        <f t="shared" si="249"/>
        <v>0</v>
      </c>
      <c r="AQ132" s="781">
        <f t="shared" si="250"/>
        <v>0</v>
      </c>
      <c r="AR132" s="781">
        <f t="shared" si="251"/>
        <v>0</v>
      </c>
      <c r="AS132" s="783">
        <f t="shared" si="252"/>
        <v>0</v>
      </c>
    </row>
    <row r="133" spans="1:46" ht="15" x14ac:dyDescent="0.25">
      <c r="A133" s="784"/>
      <c r="B133" s="719">
        <f t="shared" si="68"/>
        <v>125</v>
      </c>
      <c r="C133" s="170"/>
      <c r="D133" s="557"/>
      <c r="E133" s="170"/>
      <c r="F133" s="170"/>
      <c r="G133" s="787"/>
      <c r="H133" s="784"/>
      <c r="I133" s="784"/>
      <c r="J133" s="784"/>
      <c r="K133" s="784"/>
      <c r="L133" s="170"/>
      <c r="M133" s="773"/>
      <c r="N133" s="773"/>
      <c r="O133" s="773"/>
      <c r="P133" s="788"/>
      <c r="Q133" s="788"/>
      <c r="R133" s="773"/>
      <c r="S133" s="773"/>
      <c r="T133" s="779"/>
      <c r="U133" s="789"/>
      <c r="V133" s="778"/>
      <c r="W133" s="778"/>
      <c r="X133" s="779"/>
      <c r="Y133" s="779"/>
      <c r="Z133" s="780"/>
      <c r="AA133" s="787"/>
      <c r="AB133" s="787"/>
      <c r="AC133" s="765">
        <f t="shared" si="144"/>
        <v>0</v>
      </c>
      <c r="AD133" s="781">
        <f t="shared" si="237"/>
        <v>0</v>
      </c>
      <c r="AE133" s="781">
        <f t="shared" si="238"/>
        <v>0</v>
      </c>
      <c r="AF133" s="781">
        <f t="shared" si="239"/>
        <v>0</v>
      </c>
      <c r="AG133" s="781">
        <f t="shared" si="240"/>
        <v>0</v>
      </c>
      <c r="AH133" s="781">
        <f t="shared" si="241"/>
        <v>0</v>
      </c>
      <c r="AI133" s="782">
        <f t="shared" si="242"/>
        <v>0</v>
      </c>
      <c r="AJ133" s="781">
        <f t="shared" si="243"/>
        <v>0</v>
      </c>
      <c r="AK133" s="781">
        <f t="shared" si="244"/>
        <v>0</v>
      </c>
      <c r="AL133" s="781">
        <f t="shared" si="245"/>
        <v>0</v>
      </c>
      <c r="AM133" s="781">
        <f t="shared" si="246"/>
        <v>0</v>
      </c>
      <c r="AN133" s="781">
        <f t="shared" si="247"/>
        <v>0</v>
      </c>
      <c r="AO133" s="781">
        <f t="shared" si="248"/>
        <v>0</v>
      </c>
      <c r="AP133" s="781">
        <f t="shared" si="249"/>
        <v>0</v>
      </c>
      <c r="AQ133" s="781">
        <f t="shared" si="250"/>
        <v>0</v>
      </c>
      <c r="AR133" s="781">
        <f t="shared" si="251"/>
        <v>0</v>
      </c>
      <c r="AS133" s="783">
        <f t="shared" si="252"/>
        <v>0</v>
      </c>
    </row>
    <row r="134" spans="1:46" ht="15" x14ac:dyDescent="0.25">
      <c r="A134" s="784"/>
      <c r="B134" s="719">
        <f t="shared" si="68"/>
        <v>126</v>
      </c>
      <c r="C134" s="170"/>
      <c r="D134" s="557"/>
      <c r="E134" s="170"/>
      <c r="F134" s="170"/>
      <c r="G134" s="792" t="s">
        <v>592</v>
      </c>
      <c r="H134" s="784">
        <v>1</v>
      </c>
      <c r="I134" s="784"/>
      <c r="J134" s="784">
        <v>1</v>
      </c>
      <c r="K134" s="784"/>
      <c r="L134" s="170"/>
      <c r="M134" s="773"/>
      <c r="N134" s="773"/>
      <c r="O134" s="773"/>
      <c r="P134" s="793"/>
      <c r="Q134" s="793"/>
      <c r="R134" s="773"/>
      <c r="S134" s="773"/>
      <c r="T134" s="779"/>
      <c r="U134" s="789"/>
      <c r="V134" s="778"/>
      <c r="W134" s="778"/>
      <c r="X134" s="779"/>
      <c r="Y134" s="779"/>
      <c r="Z134" s="780"/>
      <c r="AA134" s="787"/>
      <c r="AB134" s="787"/>
      <c r="AC134" s="170"/>
      <c r="AD134" s="1816">
        <f t="shared" ref="AD134:AR134" si="253">SUM(AD9:AD128)</f>
        <v>0</v>
      </c>
      <c r="AE134" s="1816">
        <f t="shared" si="253"/>
        <v>0</v>
      </c>
      <c r="AF134" s="1816">
        <f t="shared" si="253"/>
        <v>0</v>
      </c>
      <c r="AG134" s="1816">
        <f t="shared" si="253"/>
        <v>0</v>
      </c>
      <c r="AH134" s="1816">
        <f t="shared" si="253"/>
        <v>0</v>
      </c>
      <c r="AI134" s="1816">
        <f t="shared" si="253"/>
        <v>0</v>
      </c>
      <c r="AJ134" s="1816">
        <f t="shared" si="253"/>
        <v>0</v>
      </c>
      <c r="AK134" s="1816">
        <f t="shared" si="253"/>
        <v>0</v>
      </c>
      <c r="AL134" s="1816">
        <f t="shared" si="253"/>
        <v>0</v>
      </c>
      <c r="AM134" s="1816">
        <f t="shared" si="253"/>
        <v>0</v>
      </c>
      <c r="AN134" s="1816">
        <f t="shared" si="253"/>
        <v>0</v>
      </c>
      <c r="AO134" s="1816">
        <f t="shared" si="253"/>
        <v>0</v>
      </c>
      <c r="AP134" s="1816">
        <f t="shared" si="253"/>
        <v>0</v>
      </c>
      <c r="AQ134" s="1816">
        <f t="shared" si="253"/>
        <v>0</v>
      </c>
      <c r="AR134" s="1816">
        <f t="shared" si="253"/>
        <v>0</v>
      </c>
      <c r="AS134" s="1816">
        <f t="shared" si="252"/>
        <v>0</v>
      </c>
    </row>
    <row r="135" spans="1:46" ht="15.75" thickBot="1" x14ac:dyDescent="0.3">
      <c r="A135" s="784"/>
      <c r="B135" s="719">
        <f t="shared" si="68"/>
        <v>127</v>
      </c>
      <c r="C135" s="170"/>
      <c r="D135" s="574"/>
      <c r="E135" s="576"/>
      <c r="F135" s="576"/>
      <c r="G135" s="796"/>
      <c r="H135" s="797"/>
      <c r="I135" s="797"/>
      <c r="J135" s="797"/>
      <c r="K135" s="797"/>
      <c r="L135" s="576"/>
      <c r="M135" s="798"/>
      <c r="N135" s="798"/>
      <c r="O135" s="798"/>
      <c r="P135" s="799"/>
      <c r="Q135" s="799"/>
      <c r="R135" s="798"/>
      <c r="S135" s="798"/>
      <c r="T135" s="800"/>
      <c r="U135" s="801"/>
      <c r="V135" s="802"/>
      <c r="W135" s="802"/>
      <c r="X135" s="800"/>
      <c r="Y135" s="800"/>
      <c r="Z135" s="803"/>
      <c r="AA135" s="796"/>
      <c r="AB135" s="796"/>
      <c r="AC135" s="804"/>
      <c r="AD135" s="805"/>
      <c r="AE135" s="805"/>
      <c r="AF135" s="576"/>
      <c r="AG135" s="576"/>
      <c r="AH135" s="576"/>
      <c r="AI135" s="806"/>
      <c r="AJ135" s="806"/>
      <c r="AK135" s="806"/>
      <c r="AL135" s="806"/>
      <c r="AM135" s="806"/>
      <c r="AN135" s="806"/>
      <c r="AO135" s="806"/>
      <c r="AP135" s="806"/>
      <c r="AQ135" s="806"/>
      <c r="AR135" s="806"/>
      <c r="AS135" s="806"/>
    </row>
    <row r="136" spans="1:46" ht="15.75" thickTop="1" x14ac:dyDescent="0.25">
      <c r="A136" s="170"/>
      <c r="B136" s="719"/>
      <c r="C136" s="170"/>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70"/>
      <c r="AB136" s="170"/>
      <c r="AC136" s="170"/>
      <c r="AD136" s="170"/>
      <c r="AE136" s="170"/>
      <c r="AF136" s="170"/>
      <c r="AG136" s="170"/>
      <c r="AH136" s="1951"/>
      <c r="AI136" s="1951"/>
      <c r="AJ136" s="170"/>
      <c r="AK136" s="170"/>
      <c r="AL136" s="1951"/>
      <c r="AM136" s="170"/>
      <c r="AN136" s="170"/>
      <c r="AO136" s="1951"/>
      <c r="AP136" s="170"/>
      <c r="AQ136" s="170"/>
      <c r="AR136" s="170"/>
      <c r="AS136" s="1951"/>
    </row>
    <row r="137" spans="1:46" ht="15" x14ac:dyDescent="0.25">
      <c r="A137" s="170"/>
      <c r="B137" s="719"/>
      <c r="C137" s="170"/>
      <c r="D137" s="168" t="s">
        <v>742</v>
      </c>
      <c r="E137" s="170"/>
      <c r="F137" s="170"/>
      <c r="G137" s="721"/>
      <c r="H137" s="170"/>
      <c r="I137" s="170"/>
      <c r="J137" s="170"/>
      <c r="K137" s="170"/>
      <c r="L137" s="170"/>
      <c r="M137" s="730"/>
      <c r="N137" s="730"/>
      <c r="O137" s="730"/>
      <c r="P137" s="731"/>
      <c r="Q137" s="731"/>
      <c r="R137" s="730"/>
      <c r="S137" s="730"/>
      <c r="T137" s="723"/>
      <c r="U137" s="724"/>
      <c r="V137" s="725"/>
      <c r="W137" s="725"/>
      <c r="X137" s="723"/>
      <c r="Y137" s="723"/>
      <c r="Z137" s="723"/>
      <c r="AA137" s="726"/>
      <c r="AB137" s="726"/>
      <c r="AC137" s="170"/>
      <c r="AD137" s="586"/>
      <c r="AE137" s="586"/>
      <c r="AF137" s="170"/>
      <c r="AG137" s="170"/>
      <c r="AH137" s="170"/>
      <c r="AI137" s="170"/>
      <c r="AJ137" s="170"/>
      <c r="AK137" s="170"/>
      <c r="AL137" s="170"/>
      <c r="AM137" s="170"/>
      <c r="AN137" s="170"/>
      <c r="AO137" s="170"/>
      <c r="AP137" s="170"/>
      <c r="AQ137" s="170"/>
      <c r="AR137" s="170"/>
      <c r="AS137" s="170"/>
      <c r="AT137" s="170"/>
    </row>
    <row r="138" spans="1:46" ht="15" x14ac:dyDescent="0.25">
      <c r="A138" s="170"/>
      <c r="B138" s="719"/>
      <c r="C138" s="170"/>
      <c r="D138" s="170"/>
      <c r="E138" s="170"/>
      <c r="F138" s="170">
        <f>+Parameters!D4</f>
        <v>1</v>
      </c>
      <c r="G138" s="170" t="str">
        <f>+Parameters!E4</f>
        <v>General mob / demob</v>
      </c>
      <c r="H138" s="586"/>
      <c r="I138" s="170" t="str">
        <f>+Parameters!F4</f>
        <v>ls</v>
      </c>
      <c r="J138" s="170"/>
      <c r="K138" s="170"/>
      <c r="L138" s="170"/>
      <c r="M138" s="730"/>
      <c r="N138" s="730"/>
      <c r="O138" s="730"/>
      <c r="P138" s="731"/>
      <c r="Q138" s="731"/>
      <c r="R138" s="730"/>
      <c r="S138" s="730"/>
      <c r="T138" s="723"/>
      <c r="U138" s="724"/>
      <c r="V138" s="725"/>
      <c r="W138" s="725"/>
      <c r="X138" s="723"/>
      <c r="Y138" s="723"/>
      <c r="Z138" s="723"/>
      <c r="AA138" s="726"/>
      <c r="AB138" s="726"/>
      <c r="AC138" s="170"/>
      <c r="AD138" s="586">
        <f t="shared" ref="AD138:AS147" si="254">SUMIF($F$9:$F$134,$F138,AD$9:AD$134)</f>
        <v>0</v>
      </c>
      <c r="AE138" s="586">
        <f t="shared" si="254"/>
        <v>0</v>
      </c>
      <c r="AF138" s="586">
        <f t="shared" si="254"/>
        <v>0</v>
      </c>
      <c r="AG138" s="586">
        <f t="shared" si="254"/>
        <v>0</v>
      </c>
      <c r="AH138" s="586">
        <f t="shared" si="254"/>
        <v>0</v>
      </c>
      <c r="AI138" s="586">
        <f t="shared" si="254"/>
        <v>0</v>
      </c>
      <c r="AJ138" s="586">
        <f t="shared" si="254"/>
        <v>0</v>
      </c>
      <c r="AK138" s="586">
        <f t="shared" si="254"/>
        <v>0</v>
      </c>
      <c r="AL138" s="586">
        <f t="shared" si="254"/>
        <v>0</v>
      </c>
      <c r="AM138" s="586">
        <f t="shared" si="254"/>
        <v>0</v>
      </c>
      <c r="AN138" s="586">
        <f t="shared" si="254"/>
        <v>0</v>
      </c>
      <c r="AO138" s="586">
        <f t="shared" si="254"/>
        <v>0</v>
      </c>
      <c r="AP138" s="586">
        <f t="shared" si="254"/>
        <v>0</v>
      </c>
      <c r="AQ138" s="586">
        <f t="shared" si="254"/>
        <v>0</v>
      </c>
      <c r="AR138" s="586">
        <f t="shared" si="254"/>
        <v>0</v>
      </c>
      <c r="AS138" s="586">
        <f t="shared" si="254"/>
        <v>0</v>
      </c>
      <c r="AT138" s="170"/>
    </row>
    <row r="139" spans="1:46" ht="15" x14ac:dyDescent="0.25">
      <c r="A139" s="170"/>
      <c r="B139" s="719"/>
      <c r="C139" s="170"/>
      <c r="D139" s="170"/>
      <c r="E139" s="170"/>
      <c r="F139" s="170">
        <f>+Parameters!D5</f>
        <v>2</v>
      </c>
      <c r="G139" s="170" t="str">
        <f>+Parameters!E5</f>
        <v>General site work - general inc roads/paving</v>
      </c>
      <c r="H139" s="586"/>
      <c r="I139" s="170">
        <f>+Parameters!F5</f>
        <v>0</v>
      </c>
      <c r="J139" s="170"/>
      <c r="K139" s="170"/>
      <c r="L139" s="170"/>
      <c r="M139" s="730"/>
      <c r="N139" s="730"/>
      <c r="O139" s="730"/>
      <c r="P139" s="731"/>
      <c r="Q139" s="731"/>
      <c r="R139" s="730"/>
      <c r="S139" s="730"/>
      <c r="T139" s="723"/>
      <c r="U139" s="724"/>
      <c r="V139" s="725"/>
      <c r="W139" s="725"/>
      <c r="X139" s="723"/>
      <c r="Y139" s="723"/>
      <c r="Z139" s="723"/>
      <c r="AA139" s="726"/>
      <c r="AB139" s="726"/>
      <c r="AC139" s="170"/>
      <c r="AD139" s="586">
        <f t="shared" si="254"/>
        <v>0</v>
      </c>
      <c r="AE139" s="586">
        <f t="shared" si="254"/>
        <v>0</v>
      </c>
      <c r="AF139" s="586">
        <f t="shared" si="254"/>
        <v>0</v>
      </c>
      <c r="AG139" s="586">
        <f t="shared" si="254"/>
        <v>0</v>
      </c>
      <c r="AH139" s="586">
        <f t="shared" si="254"/>
        <v>0</v>
      </c>
      <c r="AI139" s="586">
        <f t="shared" si="254"/>
        <v>0</v>
      </c>
      <c r="AJ139" s="586">
        <f t="shared" si="254"/>
        <v>0</v>
      </c>
      <c r="AK139" s="586">
        <f t="shared" si="254"/>
        <v>0</v>
      </c>
      <c r="AL139" s="586">
        <f t="shared" si="254"/>
        <v>0</v>
      </c>
      <c r="AM139" s="586">
        <f t="shared" si="254"/>
        <v>0</v>
      </c>
      <c r="AN139" s="586">
        <f t="shared" si="254"/>
        <v>0</v>
      </c>
      <c r="AO139" s="586">
        <f t="shared" si="254"/>
        <v>0</v>
      </c>
      <c r="AP139" s="586">
        <f t="shared" si="254"/>
        <v>0</v>
      </c>
      <c r="AQ139" s="586">
        <f t="shared" si="254"/>
        <v>0</v>
      </c>
      <c r="AR139" s="586">
        <f t="shared" si="254"/>
        <v>0</v>
      </c>
      <c r="AS139" s="586">
        <f t="shared" si="254"/>
        <v>0</v>
      </c>
      <c r="AT139" s="170"/>
    </row>
    <row r="140" spans="1:46" ht="15" x14ac:dyDescent="0.25">
      <c r="A140" s="170"/>
      <c r="B140" s="719"/>
      <c r="C140" s="170"/>
      <c r="D140" s="170"/>
      <c r="E140" s="170"/>
      <c r="F140" s="170">
        <f>+Parameters!D6</f>
        <v>3</v>
      </c>
      <c r="G140" s="170" t="str">
        <f>+Parameters!E6</f>
        <v>foundations - Poles - direct embed</v>
      </c>
      <c r="H140" s="586"/>
      <c r="I140" s="170" t="str">
        <f>+Parameters!F6</f>
        <v>ea</v>
      </c>
      <c r="J140" s="170"/>
      <c r="K140" s="170"/>
      <c r="L140" s="170"/>
      <c r="M140" s="730"/>
      <c r="N140" s="730"/>
      <c r="O140" s="730"/>
      <c r="P140" s="731"/>
      <c r="Q140" s="731"/>
      <c r="R140" s="730"/>
      <c r="S140" s="730"/>
      <c r="T140" s="723"/>
      <c r="U140" s="724"/>
      <c r="V140" s="725"/>
      <c r="W140" s="725"/>
      <c r="X140" s="723"/>
      <c r="Y140" s="723"/>
      <c r="Z140" s="723"/>
      <c r="AA140" s="726"/>
      <c r="AB140" s="726"/>
      <c r="AC140" s="170"/>
      <c r="AD140" s="586">
        <f t="shared" si="254"/>
        <v>0</v>
      </c>
      <c r="AE140" s="586">
        <f t="shared" si="254"/>
        <v>0</v>
      </c>
      <c r="AF140" s="586">
        <f t="shared" si="254"/>
        <v>0</v>
      </c>
      <c r="AG140" s="586">
        <f t="shared" si="254"/>
        <v>0</v>
      </c>
      <c r="AH140" s="586">
        <f t="shared" si="254"/>
        <v>0</v>
      </c>
      <c r="AI140" s="586">
        <f t="shared" si="254"/>
        <v>0</v>
      </c>
      <c r="AJ140" s="586">
        <f t="shared" si="254"/>
        <v>0</v>
      </c>
      <c r="AK140" s="586">
        <f t="shared" si="254"/>
        <v>0</v>
      </c>
      <c r="AL140" s="586">
        <f t="shared" si="254"/>
        <v>0</v>
      </c>
      <c r="AM140" s="586">
        <f t="shared" si="254"/>
        <v>0</v>
      </c>
      <c r="AN140" s="586">
        <f t="shared" si="254"/>
        <v>0</v>
      </c>
      <c r="AO140" s="586">
        <f t="shared" si="254"/>
        <v>0</v>
      </c>
      <c r="AP140" s="586">
        <f t="shared" si="254"/>
        <v>0</v>
      </c>
      <c r="AQ140" s="586">
        <f t="shared" si="254"/>
        <v>0</v>
      </c>
      <c r="AR140" s="586">
        <f t="shared" si="254"/>
        <v>0</v>
      </c>
      <c r="AS140" s="586">
        <f t="shared" si="254"/>
        <v>0</v>
      </c>
      <c r="AT140" s="170"/>
    </row>
    <row r="141" spans="1:46" ht="15" x14ac:dyDescent="0.25">
      <c r="A141" s="170"/>
      <c r="B141" s="719"/>
      <c r="C141" s="170"/>
      <c r="D141" s="170"/>
      <c r="E141" s="170"/>
      <c r="F141" s="170">
        <f>+Parameters!D7</f>
        <v>4</v>
      </c>
      <c r="G141" s="170" t="str">
        <f>+Parameters!E7</f>
        <v>foundations - Poles - formed conc.</v>
      </c>
      <c r="H141" s="586"/>
      <c r="I141" s="170">
        <f>+Parameters!F7</f>
        <v>0</v>
      </c>
      <c r="J141" s="170"/>
      <c r="K141" s="170"/>
      <c r="L141" s="170"/>
      <c r="M141" s="730"/>
      <c r="N141" s="730"/>
      <c r="O141" s="730"/>
      <c r="P141" s="731"/>
      <c r="Q141" s="731"/>
      <c r="R141" s="730"/>
      <c r="S141" s="730"/>
      <c r="T141" s="723"/>
      <c r="U141" s="724"/>
      <c r="V141" s="725"/>
      <c r="W141" s="725"/>
      <c r="X141" s="723"/>
      <c r="Y141" s="723"/>
      <c r="Z141" s="723"/>
      <c r="AA141" s="726"/>
      <c r="AB141" s="726"/>
      <c r="AC141" s="170"/>
      <c r="AD141" s="586">
        <f t="shared" si="254"/>
        <v>0</v>
      </c>
      <c r="AE141" s="586">
        <f t="shared" si="254"/>
        <v>0</v>
      </c>
      <c r="AF141" s="586">
        <f t="shared" si="254"/>
        <v>0</v>
      </c>
      <c r="AG141" s="586">
        <f t="shared" si="254"/>
        <v>0</v>
      </c>
      <c r="AH141" s="586">
        <f t="shared" si="254"/>
        <v>0</v>
      </c>
      <c r="AI141" s="586">
        <f t="shared" si="254"/>
        <v>0</v>
      </c>
      <c r="AJ141" s="586">
        <f t="shared" si="254"/>
        <v>0</v>
      </c>
      <c r="AK141" s="586">
        <f t="shared" si="254"/>
        <v>0</v>
      </c>
      <c r="AL141" s="586">
        <f t="shared" si="254"/>
        <v>0</v>
      </c>
      <c r="AM141" s="586">
        <f t="shared" si="254"/>
        <v>0</v>
      </c>
      <c r="AN141" s="586">
        <f t="shared" si="254"/>
        <v>0</v>
      </c>
      <c r="AO141" s="586">
        <f t="shared" si="254"/>
        <v>0</v>
      </c>
      <c r="AP141" s="586">
        <f t="shared" si="254"/>
        <v>0</v>
      </c>
      <c r="AQ141" s="586">
        <f t="shared" si="254"/>
        <v>0</v>
      </c>
      <c r="AR141" s="586">
        <f t="shared" si="254"/>
        <v>0</v>
      </c>
      <c r="AS141" s="586">
        <f t="shared" si="254"/>
        <v>0</v>
      </c>
      <c r="AT141" s="170"/>
    </row>
    <row r="142" spans="1:46" ht="15" x14ac:dyDescent="0.25">
      <c r="A142" s="170"/>
      <c r="B142" s="719"/>
      <c r="C142" s="170"/>
      <c r="D142" s="170"/>
      <c r="E142" s="170"/>
      <c r="F142" s="170">
        <f>+Parameters!D8</f>
        <v>5</v>
      </c>
      <c r="G142" s="170" t="str">
        <f>+Parameters!E8</f>
        <v>foundations - station</v>
      </c>
      <c r="H142" s="586"/>
      <c r="I142" s="170" t="str">
        <f>+Parameters!F8</f>
        <v>cy</v>
      </c>
      <c r="J142" s="170"/>
      <c r="K142" s="170"/>
      <c r="L142" s="170"/>
      <c r="M142" s="730"/>
      <c r="N142" s="730"/>
      <c r="O142" s="730"/>
      <c r="P142" s="731"/>
      <c r="Q142" s="731"/>
      <c r="R142" s="730"/>
      <c r="S142" s="730"/>
      <c r="T142" s="723"/>
      <c r="U142" s="724"/>
      <c r="V142" s="725"/>
      <c r="W142" s="725"/>
      <c r="X142" s="723"/>
      <c r="Y142" s="723"/>
      <c r="Z142" s="723"/>
      <c r="AA142" s="726"/>
      <c r="AB142" s="726"/>
      <c r="AC142" s="170"/>
      <c r="AD142" s="586">
        <f t="shared" si="254"/>
        <v>0</v>
      </c>
      <c r="AE142" s="586">
        <f t="shared" si="254"/>
        <v>0</v>
      </c>
      <c r="AF142" s="586">
        <f t="shared" si="254"/>
        <v>0</v>
      </c>
      <c r="AG142" s="586">
        <f t="shared" si="254"/>
        <v>0</v>
      </c>
      <c r="AH142" s="586">
        <f t="shared" si="254"/>
        <v>0</v>
      </c>
      <c r="AI142" s="586">
        <f t="shared" si="254"/>
        <v>0</v>
      </c>
      <c r="AJ142" s="586">
        <f t="shared" si="254"/>
        <v>0</v>
      </c>
      <c r="AK142" s="586">
        <f t="shared" si="254"/>
        <v>0</v>
      </c>
      <c r="AL142" s="586">
        <f t="shared" si="254"/>
        <v>0</v>
      </c>
      <c r="AM142" s="586">
        <f t="shared" si="254"/>
        <v>0</v>
      </c>
      <c r="AN142" s="586">
        <f t="shared" si="254"/>
        <v>0</v>
      </c>
      <c r="AO142" s="586">
        <f t="shared" si="254"/>
        <v>0</v>
      </c>
      <c r="AP142" s="586">
        <f t="shared" si="254"/>
        <v>0</v>
      </c>
      <c r="AQ142" s="586">
        <f t="shared" si="254"/>
        <v>0</v>
      </c>
      <c r="AR142" s="586">
        <f t="shared" si="254"/>
        <v>0</v>
      </c>
      <c r="AS142" s="586">
        <f t="shared" si="254"/>
        <v>0</v>
      </c>
      <c r="AT142" s="170"/>
    </row>
    <row r="143" spans="1:46" ht="15" x14ac:dyDescent="0.25">
      <c r="A143" s="170"/>
      <c r="B143" s="719"/>
      <c r="C143" s="170"/>
      <c r="D143" s="170"/>
      <c r="E143" s="170"/>
      <c r="F143" s="170">
        <f>+Parameters!D9</f>
        <v>6</v>
      </c>
      <c r="G143" s="170" t="str">
        <f>+Parameters!E9</f>
        <v>foundations - buildings</v>
      </c>
      <c r="H143" s="586"/>
      <c r="I143" s="170" t="str">
        <f>+Parameters!F9</f>
        <v>cy</v>
      </c>
      <c r="J143" s="170"/>
      <c r="K143" s="170"/>
      <c r="L143" s="170"/>
      <c r="M143" s="730"/>
      <c r="N143" s="730"/>
      <c r="O143" s="730"/>
      <c r="P143" s="731"/>
      <c r="Q143" s="731"/>
      <c r="R143" s="730"/>
      <c r="S143" s="730"/>
      <c r="T143" s="723"/>
      <c r="U143" s="724"/>
      <c r="V143" s="725"/>
      <c r="W143" s="725"/>
      <c r="X143" s="723"/>
      <c r="Y143" s="723"/>
      <c r="Z143" s="723"/>
      <c r="AA143" s="726"/>
      <c r="AB143" s="726"/>
      <c r="AC143" s="170"/>
      <c r="AD143" s="586">
        <f t="shared" si="254"/>
        <v>0</v>
      </c>
      <c r="AE143" s="586">
        <f t="shared" si="254"/>
        <v>0</v>
      </c>
      <c r="AF143" s="586">
        <f t="shared" si="254"/>
        <v>0</v>
      </c>
      <c r="AG143" s="586">
        <f t="shared" si="254"/>
        <v>0</v>
      </c>
      <c r="AH143" s="586">
        <f t="shared" si="254"/>
        <v>0</v>
      </c>
      <c r="AI143" s="586">
        <f t="shared" si="254"/>
        <v>0</v>
      </c>
      <c r="AJ143" s="586">
        <f t="shared" si="254"/>
        <v>0</v>
      </c>
      <c r="AK143" s="586">
        <f t="shared" si="254"/>
        <v>0</v>
      </c>
      <c r="AL143" s="586">
        <f t="shared" si="254"/>
        <v>0</v>
      </c>
      <c r="AM143" s="586">
        <f t="shared" si="254"/>
        <v>0</v>
      </c>
      <c r="AN143" s="586">
        <f t="shared" si="254"/>
        <v>0</v>
      </c>
      <c r="AO143" s="586">
        <f t="shared" si="254"/>
        <v>0</v>
      </c>
      <c r="AP143" s="586">
        <f t="shared" si="254"/>
        <v>0</v>
      </c>
      <c r="AQ143" s="586">
        <f t="shared" si="254"/>
        <v>0</v>
      </c>
      <c r="AR143" s="586">
        <f t="shared" si="254"/>
        <v>0</v>
      </c>
      <c r="AS143" s="586">
        <f t="shared" si="254"/>
        <v>0</v>
      </c>
      <c r="AT143" s="170"/>
    </row>
    <row r="144" spans="1:46" ht="15" x14ac:dyDescent="0.25">
      <c r="A144" s="170"/>
      <c r="B144" s="719"/>
      <c r="C144" s="170"/>
      <c r="D144" s="170"/>
      <c r="E144" s="170"/>
      <c r="F144" s="170">
        <f>+Parameters!D10</f>
        <v>7</v>
      </c>
      <c r="G144" s="170" t="str">
        <f>+Parameters!E10</f>
        <v>Piling / Caissons</v>
      </c>
      <c r="H144" s="586"/>
      <c r="I144" s="170">
        <f>+Parameters!F10</f>
        <v>0</v>
      </c>
      <c r="J144" s="170"/>
      <c r="K144" s="170"/>
      <c r="L144" s="170"/>
      <c r="M144" s="730"/>
      <c r="N144" s="730"/>
      <c r="O144" s="730"/>
      <c r="P144" s="731"/>
      <c r="Q144" s="731"/>
      <c r="R144" s="730"/>
      <c r="S144" s="730"/>
      <c r="T144" s="723"/>
      <c r="U144" s="724"/>
      <c r="V144" s="725"/>
      <c r="W144" s="725"/>
      <c r="X144" s="723"/>
      <c r="Y144" s="723"/>
      <c r="Z144" s="723"/>
      <c r="AA144" s="726"/>
      <c r="AB144" s="726"/>
      <c r="AC144" s="170"/>
      <c r="AD144" s="586">
        <f t="shared" si="254"/>
        <v>0</v>
      </c>
      <c r="AE144" s="586">
        <f t="shared" si="254"/>
        <v>0</v>
      </c>
      <c r="AF144" s="586">
        <f t="shared" si="254"/>
        <v>0</v>
      </c>
      <c r="AG144" s="586">
        <f t="shared" si="254"/>
        <v>0</v>
      </c>
      <c r="AH144" s="586">
        <f t="shared" si="254"/>
        <v>0</v>
      </c>
      <c r="AI144" s="586">
        <f t="shared" si="254"/>
        <v>0</v>
      </c>
      <c r="AJ144" s="586">
        <f t="shared" si="254"/>
        <v>0</v>
      </c>
      <c r="AK144" s="586">
        <f t="shared" si="254"/>
        <v>0</v>
      </c>
      <c r="AL144" s="586">
        <f t="shared" si="254"/>
        <v>0</v>
      </c>
      <c r="AM144" s="586">
        <f t="shared" si="254"/>
        <v>0</v>
      </c>
      <c r="AN144" s="586">
        <f t="shared" si="254"/>
        <v>0</v>
      </c>
      <c r="AO144" s="586">
        <f t="shared" si="254"/>
        <v>0</v>
      </c>
      <c r="AP144" s="586">
        <f t="shared" si="254"/>
        <v>0</v>
      </c>
      <c r="AQ144" s="586">
        <f t="shared" si="254"/>
        <v>0</v>
      </c>
      <c r="AR144" s="586">
        <f t="shared" si="254"/>
        <v>0</v>
      </c>
      <c r="AS144" s="586">
        <f t="shared" si="254"/>
        <v>0</v>
      </c>
      <c r="AT144" s="170"/>
    </row>
    <row r="145" spans="1:46" ht="15" x14ac:dyDescent="0.25">
      <c r="A145" s="170"/>
      <c r="B145" s="719"/>
      <c r="C145" s="170"/>
      <c r="D145" s="170"/>
      <c r="E145" s="170"/>
      <c r="F145" s="170">
        <f>+Parameters!D11</f>
        <v>8</v>
      </c>
      <c r="G145" s="170" t="str">
        <f>+Parameters!E11</f>
        <v>ROW work ( clearing/ Grubbing/ access roads)</v>
      </c>
      <c r="H145" s="586"/>
      <c r="I145" s="170">
        <f>+Parameters!F11</f>
        <v>0</v>
      </c>
      <c r="J145" s="170"/>
      <c r="K145" s="170"/>
      <c r="L145" s="170"/>
      <c r="M145" s="730"/>
      <c r="N145" s="730"/>
      <c r="O145" s="730"/>
      <c r="P145" s="731"/>
      <c r="Q145" s="731"/>
      <c r="R145" s="730"/>
      <c r="S145" s="730"/>
      <c r="T145" s="723"/>
      <c r="U145" s="724"/>
      <c r="V145" s="725"/>
      <c r="W145" s="725"/>
      <c r="X145" s="723"/>
      <c r="Y145" s="723"/>
      <c r="Z145" s="723"/>
      <c r="AA145" s="726"/>
      <c r="AB145" s="726"/>
      <c r="AC145" s="170"/>
      <c r="AD145" s="586">
        <f t="shared" si="254"/>
        <v>0</v>
      </c>
      <c r="AE145" s="586">
        <f t="shared" si="254"/>
        <v>0</v>
      </c>
      <c r="AF145" s="586">
        <f t="shared" si="254"/>
        <v>0</v>
      </c>
      <c r="AG145" s="586">
        <f t="shared" si="254"/>
        <v>0</v>
      </c>
      <c r="AH145" s="586">
        <f t="shared" si="254"/>
        <v>0</v>
      </c>
      <c r="AI145" s="586">
        <f t="shared" si="254"/>
        <v>0</v>
      </c>
      <c r="AJ145" s="586">
        <f t="shared" si="254"/>
        <v>0</v>
      </c>
      <c r="AK145" s="586">
        <f t="shared" si="254"/>
        <v>0</v>
      </c>
      <c r="AL145" s="586">
        <f t="shared" si="254"/>
        <v>0</v>
      </c>
      <c r="AM145" s="586">
        <f t="shared" si="254"/>
        <v>0</v>
      </c>
      <c r="AN145" s="586">
        <f t="shared" si="254"/>
        <v>0</v>
      </c>
      <c r="AO145" s="586">
        <f t="shared" si="254"/>
        <v>0</v>
      </c>
      <c r="AP145" s="586">
        <f t="shared" si="254"/>
        <v>0</v>
      </c>
      <c r="AQ145" s="586">
        <f t="shared" si="254"/>
        <v>0</v>
      </c>
      <c r="AR145" s="586">
        <f t="shared" si="254"/>
        <v>0</v>
      </c>
      <c r="AS145" s="586">
        <f t="shared" si="254"/>
        <v>0</v>
      </c>
      <c r="AT145" s="170"/>
    </row>
    <row r="146" spans="1:46" ht="15" x14ac:dyDescent="0.25">
      <c r="A146" s="170"/>
      <c r="B146" s="719"/>
      <c r="C146" s="170"/>
      <c r="D146" s="170"/>
      <c r="E146" s="170"/>
      <c r="F146" s="170">
        <f>+Parameters!D12</f>
        <v>9</v>
      </c>
      <c r="G146" s="170" t="str">
        <f>+Parameters!E12</f>
        <v>Mats</v>
      </c>
      <c r="H146" s="586"/>
      <c r="I146" s="170">
        <f>+Parameters!F12</f>
        <v>0</v>
      </c>
      <c r="J146" s="170"/>
      <c r="K146" s="170"/>
      <c r="L146" s="170"/>
      <c r="M146" s="730"/>
      <c r="N146" s="730"/>
      <c r="O146" s="730"/>
      <c r="P146" s="731"/>
      <c r="Q146" s="731"/>
      <c r="R146" s="730"/>
      <c r="S146" s="730"/>
      <c r="T146" s="723"/>
      <c r="U146" s="724"/>
      <c r="V146" s="725"/>
      <c r="W146" s="725"/>
      <c r="X146" s="723"/>
      <c r="Y146" s="723"/>
      <c r="Z146" s="723"/>
      <c r="AA146" s="726"/>
      <c r="AB146" s="726"/>
      <c r="AC146" s="170"/>
      <c r="AD146" s="586">
        <f t="shared" si="254"/>
        <v>0</v>
      </c>
      <c r="AE146" s="586">
        <f t="shared" si="254"/>
        <v>0</v>
      </c>
      <c r="AF146" s="586">
        <f t="shared" si="254"/>
        <v>0</v>
      </c>
      <c r="AG146" s="586">
        <f t="shared" si="254"/>
        <v>0</v>
      </c>
      <c r="AH146" s="586">
        <f t="shared" si="254"/>
        <v>0</v>
      </c>
      <c r="AI146" s="586">
        <f t="shared" si="254"/>
        <v>0</v>
      </c>
      <c r="AJ146" s="586">
        <f t="shared" si="254"/>
        <v>0</v>
      </c>
      <c r="AK146" s="586">
        <f t="shared" si="254"/>
        <v>0</v>
      </c>
      <c r="AL146" s="586">
        <f t="shared" si="254"/>
        <v>0</v>
      </c>
      <c r="AM146" s="586">
        <f t="shared" si="254"/>
        <v>0</v>
      </c>
      <c r="AN146" s="586">
        <f t="shared" si="254"/>
        <v>0</v>
      </c>
      <c r="AO146" s="586">
        <f t="shared" si="254"/>
        <v>0</v>
      </c>
      <c r="AP146" s="586">
        <f t="shared" si="254"/>
        <v>0</v>
      </c>
      <c r="AQ146" s="586">
        <f t="shared" si="254"/>
        <v>0</v>
      </c>
      <c r="AR146" s="586">
        <f t="shared" si="254"/>
        <v>0</v>
      </c>
      <c r="AS146" s="586">
        <f t="shared" si="254"/>
        <v>0</v>
      </c>
      <c r="AT146" s="170"/>
    </row>
    <row r="147" spans="1:46" ht="15" x14ac:dyDescent="0.25">
      <c r="A147" s="170"/>
      <c r="B147" s="719"/>
      <c r="C147" s="170"/>
      <c r="D147" s="170"/>
      <c r="E147" s="170"/>
      <c r="F147" s="170">
        <f>+Parameters!D13</f>
        <v>10</v>
      </c>
      <c r="G147" s="170" t="str">
        <f>+Parameters!E13</f>
        <v>Crane pads</v>
      </c>
      <c r="H147" s="586"/>
      <c r="I147" s="170">
        <f>+Parameters!F13</f>
        <v>0</v>
      </c>
      <c r="J147" s="170"/>
      <c r="K147" s="170"/>
      <c r="L147" s="170"/>
      <c r="M147" s="730"/>
      <c r="N147" s="730"/>
      <c r="O147" s="730"/>
      <c r="P147" s="731"/>
      <c r="Q147" s="731"/>
      <c r="R147" s="730"/>
      <c r="S147" s="730"/>
      <c r="T147" s="723"/>
      <c r="U147" s="724"/>
      <c r="V147" s="725"/>
      <c r="W147" s="725"/>
      <c r="X147" s="723"/>
      <c r="Y147" s="723"/>
      <c r="Z147" s="723"/>
      <c r="AA147" s="726"/>
      <c r="AB147" s="726"/>
      <c r="AC147" s="170"/>
      <c r="AD147" s="586">
        <f t="shared" si="254"/>
        <v>0</v>
      </c>
      <c r="AE147" s="586">
        <f t="shared" si="254"/>
        <v>0</v>
      </c>
      <c r="AF147" s="586">
        <f t="shared" si="254"/>
        <v>0</v>
      </c>
      <c r="AG147" s="586">
        <f t="shared" si="254"/>
        <v>0</v>
      </c>
      <c r="AH147" s="586">
        <f t="shared" si="254"/>
        <v>0</v>
      </c>
      <c r="AI147" s="586">
        <f t="shared" si="254"/>
        <v>0</v>
      </c>
      <c r="AJ147" s="586">
        <f t="shared" si="254"/>
        <v>0</v>
      </c>
      <c r="AK147" s="586">
        <f t="shared" si="254"/>
        <v>0</v>
      </c>
      <c r="AL147" s="586">
        <f t="shared" si="254"/>
        <v>0</v>
      </c>
      <c r="AM147" s="586">
        <f t="shared" si="254"/>
        <v>0</v>
      </c>
      <c r="AN147" s="586">
        <f t="shared" si="254"/>
        <v>0</v>
      </c>
      <c r="AO147" s="586">
        <f t="shared" si="254"/>
        <v>0</v>
      </c>
      <c r="AP147" s="586">
        <f t="shared" si="254"/>
        <v>0</v>
      </c>
      <c r="AQ147" s="586">
        <f t="shared" si="254"/>
        <v>0</v>
      </c>
      <c r="AR147" s="586">
        <f t="shared" si="254"/>
        <v>0</v>
      </c>
      <c r="AS147" s="586">
        <f t="shared" si="254"/>
        <v>0</v>
      </c>
      <c r="AT147" s="170"/>
    </row>
    <row r="148" spans="1:46" ht="15" x14ac:dyDescent="0.25">
      <c r="A148" s="170"/>
      <c r="B148" s="719"/>
      <c r="C148" s="170"/>
      <c r="D148" s="170"/>
      <c r="E148" s="170"/>
      <c r="F148" s="170">
        <f>+Parameters!D14</f>
        <v>11</v>
      </c>
      <c r="G148" s="170" t="str">
        <f>+Parameters!E14</f>
        <v>Excavation ( incl machine / hand / trench)</v>
      </c>
      <c r="H148" s="586"/>
      <c r="I148" s="170" t="str">
        <f>+Parameters!F14</f>
        <v>cy</v>
      </c>
      <c r="J148" s="170"/>
      <c r="K148" s="170"/>
      <c r="L148" s="170"/>
      <c r="M148" s="730"/>
      <c r="N148" s="730"/>
      <c r="O148" s="730"/>
      <c r="P148" s="731"/>
      <c r="Q148" s="731"/>
      <c r="R148" s="730"/>
      <c r="S148" s="730"/>
      <c r="T148" s="723"/>
      <c r="U148" s="724"/>
      <c r="V148" s="725"/>
      <c r="W148" s="725"/>
      <c r="X148" s="723"/>
      <c r="Y148" s="723"/>
      <c r="Z148" s="723"/>
      <c r="AA148" s="726"/>
      <c r="AB148" s="726"/>
      <c r="AC148" s="170"/>
      <c r="AD148" s="586">
        <f t="shared" ref="AD148:AS157" si="255">SUMIF($F$9:$F$134,$F148,AD$9:AD$134)</f>
        <v>0</v>
      </c>
      <c r="AE148" s="586">
        <f t="shared" si="255"/>
        <v>0</v>
      </c>
      <c r="AF148" s="586">
        <f t="shared" si="255"/>
        <v>0</v>
      </c>
      <c r="AG148" s="586">
        <f t="shared" si="255"/>
        <v>0</v>
      </c>
      <c r="AH148" s="586">
        <f t="shared" si="255"/>
        <v>0</v>
      </c>
      <c r="AI148" s="586">
        <f t="shared" si="255"/>
        <v>0</v>
      </c>
      <c r="AJ148" s="586">
        <f t="shared" si="255"/>
        <v>0</v>
      </c>
      <c r="AK148" s="586">
        <f t="shared" si="255"/>
        <v>0</v>
      </c>
      <c r="AL148" s="586">
        <f t="shared" si="255"/>
        <v>0</v>
      </c>
      <c r="AM148" s="586">
        <f t="shared" si="255"/>
        <v>0</v>
      </c>
      <c r="AN148" s="586">
        <f t="shared" si="255"/>
        <v>0</v>
      </c>
      <c r="AO148" s="586">
        <f t="shared" si="255"/>
        <v>0</v>
      </c>
      <c r="AP148" s="586">
        <f t="shared" si="255"/>
        <v>0</v>
      </c>
      <c r="AQ148" s="586">
        <f t="shared" si="255"/>
        <v>0</v>
      </c>
      <c r="AR148" s="586">
        <f t="shared" si="255"/>
        <v>0</v>
      </c>
      <c r="AS148" s="586">
        <f t="shared" si="255"/>
        <v>0</v>
      </c>
      <c r="AT148" s="170"/>
    </row>
    <row r="149" spans="1:46" ht="15" x14ac:dyDescent="0.25">
      <c r="A149" s="170"/>
      <c r="B149" s="719"/>
      <c r="C149" s="170"/>
      <c r="D149" s="170"/>
      <c r="E149" s="170"/>
      <c r="F149" s="170">
        <f>+Parameters!D15</f>
        <v>12</v>
      </c>
      <c r="G149" s="170" t="str">
        <f>+Parameters!E15</f>
        <v>Rock Excavation</v>
      </c>
      <c r="H149" s="586"/>
      <c r="I149" s="170" t="str">
        <f>+Parameters!F15</f>
        <v>cy</v>
      </c>
      <c r="J149" s="170"/>
      <c r="K149" s="170"/>
      <c r="L149" s="170"/>
      <c r="M149" s="730"/>
      <c r="N149" s="730"/>
      <c r="O149" s="730"/>
      <c r="P149" s="731"/>
      <c r="Q149" s="731"/>
      <c r="R149" s="730"/>
      <c r="S149" s="730"/>
      <c r="T149" s="723"/>
      <c r="U149" s="724"/>
      <c r="V149" s="725"/>
      <c r="W149" s="725"/>
      <c r="X149" s="723"/>
      <c r="Y149" s="723"/>
      <c r="Z149" s="723"/>
      <c r="AA149" s="726"/>
      <c r="AB149" s="726"/>
      <c r="AC149" s="170"/>
      <c r="AD149" s="586">
        <f t="shared" si="255"/>
        <v>0</v>
      </c>
      <c r="AE149" s="586">
        <f t="shared" si="255"/>
        <v>0</v>
      </c>
      <c r="AF149" s="586">
        <f t="shared" si="255"/>
        <v>0</v>
      </c>
      <c r="AG149" s="586">
        <f t="shared" si="255"/>
        <v>0</v>
      </c>
      <c r="AH149" s="586">
        <f t="shared" si="255"/>
        <v>0</v>
      </c>
      <c r="AI149" s="586">
        <f t="shared" si="255"/>
        <v>0</v>
      </c>
      <c r="AJ149" s="586">
        <f t="shared" si="255"/>
        <v>0</v>
      </c>
      <c r="AK149" s="586">
        <f t="shared" si="255"/>
        <v>0</v>
      </c>
      <c r="AL149" s="586">
        <f t="shared" si="255"/>
        <v>0</v>
      </c>
      <c r="AM149" s="586">
        <f t="shared" si="255"/>
        <v>0</v>
      </c>
      <c r="AN149" s="586">
        <f t="shared" si="255"/>
        <v>0</v>
      </c>
      <c r="AO149" s="586">
        <f t="shared" si="255"/>
        <v>0</v>
      </c>
      <c r="AP149" s="586">
        <f t="shared" si="255"/>
        <v>0</v>
      </c>
      <c r="AQ149" s="586">
        <f t="shared" si="255"/>
        <v>0</v>
      </c>
      <c r="AR149" s="586">
        <f t="shared" si="255"/>
        <v>0</v>
      </c>
      <c r="AS149" s="586">
        <f t="shared" si="255"/>
        <v>0</v>
      </c>
      <c r="AT149" s="170"/>
    </row>
    <row r="150" spans="1:46" ht="15" x14ac:dyDescent="0.25">
      <c r="A150" s="170"/>
      <c r="B150" s="719"/>
      <c r="C150" s="170"/>
      <c r="D150" s="170"/>
      <c r="E150" s="170"/>
      <c r="F150" s="170">
        <f>+Parameters!D16</f>
        <v>13</v>
      </c>
      <c r="G150" s="170" t="str">
        <f>+Parameters!E16</f>
        <v>Soil disposal</v>
      </c>
      <c r="H150" s="586"/>
      <c r="I150" s="170" t="str">
        <f>+Parameters!F16</f>
        <v>cy</v>
      </c>
      <c r="J150" s="170"/>
      <c r="K150" s="170"/>
      <c r="L150" s="170"/>
      <c r="M150" s="730"/>
      <c r="N150" s="730"/>
      <c r="O150" s="730"/>
      <c r="P150" s="731"/>
      <c r="Q150" s="731"/>
      <c r="R150" s="730"/>
      <c r="S150" s="730"/>
      <c r="T150" s="723"/>
      <c r="U150" s="724"/>
      <c r="V150" s="725"/>
      <c r="W150" s="725"/>
      <c r="X150" s="723"/>
      <c r="Y150" s="723"/>
      <c r="Z150" s="723"/>
      <c r="AA150" s="726"/>
      <c r="AB150" s="726"/>
      <c r="AC150" s="170"/>
      <c r="AD150" s="586">
        <f t="shared" si="255"/>
        <v>0</v>
      </c>
      <c r="AE150" s="586">
        <f t="shared" si="255"/>
        <v>0</v>
      </c>
      <c r="AF150" s="586">
        <f t="shared" si="255"/>
        <v>0</v>
      </c>
      <c r="AG150" s="586">
        <f t="shared" si="255"/>
        <v>0</v>
      </c>
      <c r="AH150" s="586">
        <f t="shared" si="255"/>
        <v>0</v>
      </c>
      <c r="AI150" s="586">
        <f t="shared" si="255"/>
        <v>0</v>
      </c>
      <c r="AJ150" s="586">
        <f t="shared" si="255"/>
        <v>0</v>
      </c>
      <c r="AK150" s="586">
        <f t="shared" si="255"/>
        <v>0</v>
      </c>
      <c r="AL150" s="586">
        <f t="shared" si="255"/>
        <v>0</v>
      </c>
      <c r="AM150" s="586">
        <f t="shared" si="255"/>
        <v>0</v>
      </c>
      <c r="AN150" s="586">
        <f t="shared" si="255"/>
        <v>0</v>
      </c>
      <c r="AO150" s="586">
        <f t="shared" si="255"/>
        <v>0</v>
      </c>
      <c r="AP150" s="586">
        <f t="shared" si="255"/>
        <v>0</v>
      </c>
      <c r="AQ150" s="586">
        <f t="shared" si="255"/>
        <v>0</v>
      </c>
      <c r="AR150" s="586">
        <f t="shared" si="255"/>
        <v>0</v>
      </c>
      <c r="AS150" s="586">
        <f t="shared" si="255"/>
        <v>0</v>
      </c>
      <c r="AT150" s="170"/>
    </row>
    <row r="151" spans="1:46" ht="15" x14ac:dyDescent="0.25">
      <c r="A151" s="170"/>
      <c r="B151" s="719"/>
      <c r="C151" s="170"/>
      <c r="D151" s="170"/>
      <c r="E151" s="170"/>
      <c r="F151" s="170">
        <f>+Parameters!D17</f>
        <v>14</v>
      </c>
      <c r="G151" s="170" t="str">
        <f>+Parameters!E17</f>
        <v>Backfill - earth</v>
      </c>
      <c r="H151" s="586"/>
      <c r="I151" s="170" t="str">
        <f>+Parameters!F17</f>
        <v>cy</v>
      </c>
      <c r="J151" s="170"/>
      <c r="K151" s="170"/>
      <c r="L151" s="170"/>
      <c r="M151" s="730"/>
      <c r="N151" s="730"/>
      <c r="O151" s="730"/>
      <c r="P151" s="731"/>
      <c r="Q151" s="731"/>
      <c r="R151" s="730"/>
      <c r="S151" s="730"/>
      <c r="T151" s="723"/>
      <c r="U151" s="724"/>
      <c r="V151" s="725"/>
      <c r="W151" s="725"/>
      <c r="X151" s="723"/>
      <c r="Y151" s="723"/>
      <c r="Z151" s="723"/>
      <c r="AA151" s="726"/>
      <c r="AB151" s="726"/>
      <c r="AC151" s="170"/>
      <c r="AD151" s="586">
        <f t="shared" si="255"/>
        <v>0</v>
      </c>
      <c r="AE151" s="586">
        <f t="shared" si="255"/>
        <v>0</v>
      </c>
      <c r="AF151" s="586">
        <f t="shared" si="255"/>
        <v>0</v>
      </c>
      <c r="AG151" s="586">
        <f t="shared" si="255"/>
        <v>0</v>
      </c>
      <c r="AH151" s="586">
        <f t="shared" si="255"/>
        <v>0</v>
      </c>
      <c r="AI151" s="586">
        <f t="shared" si="255"/>
        <v>0</v>
      </c>
      <c r="AJ151" s="586">
        <f t="shared" si="255"/>
        <v>0</v>
      </c>
      <c r="AK151" s="586">
        <f t="shared" si="255"/>
        <v>0</v>
      </c>
      <c r="AL151" s="586">
        <f t="shared" si="255"/>
        <v>0</v>
      </c>
      <c r="AM151" s="586">
        <f t="shared" si="255"/>
        <v>0</v>
      </c>
      <c r="AN151" s="586">
        <f t="shared" si="255"/>
        <v>0</v>
      </c>
      <c r="AO151" s="586">
        <f t="shared" si="255"/>
        <v>0</v>
      </c>
      <c r="AP151" s="586">
        <f t="shared" si="255"/>
        <v>0</v>
      </c>
      <c r="AQ151" s="586">
        <f t="shared" si="255"/>
        <v>0</v>
      </c>
      <c r="AR151" s="586">
        <f t="shared" si="255"/>
        <v>0</v>
      </c>
      <c r="AS151" s="586">
        <f t="shared" si="255"/>
        <v>0</v>
      </c>
      <c r="AT151" s="170"/>
    </row>
    <row r="152" spans="1:46" ht="15" x14ac:dyDescent="0.25">
      <c r="A152" s="170"/>
      <c r="B152" s="719"/>
      <c r="C152" s="170"/>
      <c r="D152" s="170"/>
      <c r="E152" s="170"/>
      <c r="F152" s="170">
        <f>+Parameters!D18</f>
        <v>15</v>
      </c>
      <c r="G152" s="170" t="str">
        <f>+Parameters!E18</f>
        <v>Backfill- stone ( incl trap rock and surfacing)</v>
      </c>
      <c r="H152" s="586"/>
      <c r="I152" s="170" t="str">
        <f>+Parameters!F18</f>
        <v>cy</v>
      </c>
      <c r="J152" s="170"/>
      <c r="K152" s="170"/>
      <c r="L152" s="170"/>
      <c r="M152" s="730"/>
      <c r="N152" s="730"/>
      <c r="O152" s="730"/>
      <c r="P152" s="731"/>
      <c r="Q152" s="731"/>
      <c r="R152" s="730"/>
      <c r="S152" s="730"/>
      <c r="T152" s="723"/>
      <c r="U152" s="724"/>
      <c r="V152" s="725"/>
      <c r="W152" s="725"/>
      <c r="X152" s="723"/>
      <c r="Y152" s="723"/>
      <c r="Z152" s="723"/>
      <c r="AA152" s="726"/>
      <c r="AB152" s="726"/>
      <c r="AC152" s="170"/>
      <c r="AD152" s="586">
        <f t="shared" si="255"/>
        <v>0</v>
      </c>
      <c r="AE152" s="586">
        <f t="shared" si="255"/>
        <v>0</v>
      </c>
      <c r="AF152" s="586">
        <f t="shared" si="255"/>
        <v>0</v>
      </c>
      <c r="AG152" s="586">
        <f t="shared" si="255"/>
        <v>0</v>
      </c>
      <c r="AH152" s="586">
        <f t="shared" si="255"/>
        <v>0</v>
      </c>
      <c r="AI152" s="586">
        <f t="shared" si="255"/>
        <v>0</v>
      </c>
      <c r="AJ152" s="586">
        <f t="shared" si="255"/>
        <v>0</v>
      </c>
      <c r="AK152" s="586">
        <f t="shared" si="255"/>
        <v>0</v>
      </c>
      <c r="AL152" s="586">
        <f t="shared" si="255"/>
        <v>0</v>
      </c>
      <c r="AM152" s="586">
        <f t="shared" si="255"/>
        <v>0</v>
      </c>
      <c r="AN152" s="586">
        <f t="shared" si="255"/>
        <v>0</v>
      </c>
      <c r="AO152" s="586">
        <f t="shared" si="255"/>
        <v>0</v>
      </c>
      <c r="AP152" s="586">
        <f t="shared" si="255"/>
        <v>0</v>
      </c>
      <c r="AQ152" s="586">
        <f t="shared" si="255"/>
        <v>0</v>
      </c>
      <c r="AR152" s="586">
        <f t="shared" si="255"/>
        <v>0</v>
      </c>
      <c r="AS152" s="586">
        <f t="shared" si="255"/>
        <v>0</v>
      </c>
      <c r="AT152" s="170"/>
    </row>
    <row r="153" spans="1:46" ht="15" x14ac:dyDescent="0.25">
      <c r="A153" s="170"/>
      <c r="B153" s="719"/>
      <c r="C153" s="170"/>
      <c r="D153" s="170"/>
      <c r="E153" s="170"/>
      <c r="F153" s="170">
        <f>+Parameters!D19</f>
        <v>16</v>
      </c>
      <c r="G153" s="170" t="str">
        <f>+Parameters!E19</f>
        <v>Fence / Gates</v>
      </c>
      <c r="H153" s="586"/>
      <c r="I153" s="170" t="str">
        <f>+Parameters!F19</f>
        <v>lf</v>
      </c>
      <c r="J153" s="170"/>
      <c r="K153" s="170"/>
      <c r="L153" s="170"/>
      <c r="M153" s="730"/>
      <c r="N153" s="730"/>
      <c r="O153" s="730"/>
      <c r="P153" s="731"/>
      <c r="Q153" s="731"/>
      <c r="R153" s="730"/>
      <c r="S153" s="730"/>
      <c r="T153" s="723"/>
      <c r="U153" s="724"/>
      <c r="V153" s="725"/>
      <c r="W153" s="725"/>
      <c r="X153" s="723"/>
      <c r="Y153" s="723"/>
      <c r="Z153" s="723"/>
      <c r="AA153" s="726"/>
      <c r="AB153" s="726"/>
      <c r="AC153" s="170"/>
      <c r="AD153" s="586">
        <f t="shared" si="255"/>
        <v>0</v>
      </c>
      <c r="AE153" s="586">
        <f t="shared" si="255"/>
        <v>0</v>
      </c>
      <c r="AF153" s="586">
        <f t="shared" si="255"/>
        <v>0</v>
      </c>
      <c r="AG153" s="586">
        <f t="shared" si="255"/>
        <v>0</v>
      </c>
      <c r="AH153" s="586">
        <f t="shared" si="255"/>
        <v>0</v>
      </c>
      <c r="AI153" s="586">
        <f t="shared" si="255"/>
        <v>0</v>
      </c>
      <c r="AJ153" s="586">
        <f t="shared" si="255"/>
        <v>0</v>
      </c>
      <c r="AK153" s="586">
        <f t="shared" si="255"/>
        <v>0</v>
      </c>
      <c r="AL153" s="586">
        <f t="shared" si="255"/>
        <v>0</v>
      </c>
      <c r="AM153" s="586">
        <f t="shared" si="255"/>
        <v>0</v>
      </c>
      <c r="AN153" s="586">
        <f t="shared" si="255"/>
        <v>0</v>
      </c>
      <c r="AO153" s="586">
        <f t="shared" si="255"/>
        <v>0</v>
      </c>
      <c r="AP153" s="586">
        <f t="shared" si="255"/>
        <v>0</v>
      </c>
      <c r="AQ153" s="586">
        <f t="shared" si="255"/>
        <v>0</v>
      </c>
      <c r="AR153" s="586">
        <f t="shared" si="255"/>
        <v>0</v>
      </c>
      <c r="AS153" s="586">
        <f t="shared" si="255"/>
        <v>0</v>
      </c>
      <c r="AT153" s="170"/>
    </row>
    <row r="154" spans="1:46" ht="15" x14ac:dyDescent="0.25">
      <c r="A154" s="170"/>
      <c r="B154" s="719"/>
      <c r="C154" s="170"/>
      <c r="D154" s="170"/>
      <c r="E154" s="170"/>
      <c r="F154" s="170">
        <f>+Parameters!D20</f>
        <v>17</v>
      </c>
      <c r="G154" s="170" t="str">
        <f>+Parameters!E20</f>
        <v>CIP Fence, Gates, Balistic protection</v>
      </c>
      <c r="H154" s="586"/>
      <c r="I154" s="170" t="str">
        <f>+Parameters!F20</f>
        <v>lf</v>
      </c>
      <c r="J154" s="170"/>
      <c r="K154" s="170"/>
      <c r="L154" s="170"/>
      <c r="M154" s="730"/>
      <c r="N154" s="730"/>
      <c r="O154" s="730"/>
      <c r="P154" s="731"/>
      <c r="Q154" s="731"/>
      <c r="R154" s="730"/>
      <c r="S154" s="730"/>
      <c r="T154" s="723"/>
      <c r="U154" s="724"/>
      <c r="V154" s="725"/>
      <c r="W154" s="725"/>
      <c r="X154" s="723"/>
      <c r="Y154" s="723"/>
      <c r="Z154" s="723"/>
      <c r="AA154" s="726"/>
      <c r="AB154" s="726"/>
      <c r="AC154" s="170"/>
      <c r="AD154" s="586">
        <f t="shared" si="255"/>
        <v>0</v>
      </c>
      <c r="AE154" s="586">
        <f t="shared" si="255"/>
        <v>0</v>
      </c>
      <c r="AF154" s="586">
        <f t="shared" si="255"/>
        <v>0</v>
      </c>
      <c r="AG154" s="586">
        <f t="shared" si="255"/>
        <v>0</v>
      </c>
      <c r="AH154" s="586">
        <f t="shared" si="255"/>
        <v>0</v>
      </c>
      <c r="AI154" s="586">
        <f t="shared" si="255"/>
        <v>0</v>
      </c>
      <c r="AJ154" s="586">
        <f t="shared" si="255"/>
        <v>0</v>
      </c>
      <c r="AK154" s="586">
        <f t="shared" si="255"/>
        <v>0</v>
      </c>
      <c r="AL154" s="586">
        <f t="shared" si="255"/>
        <v>0</v>
      </c>
      <c r="AM154" s="586">
        <f t="shared" si="255"/>
        <v>0</v>
      </c>
      <c r="AN154" s="586">
        <f t="shared" si="255"/>
        <v>0</v>
      </c>
      <c r="AO154" s="586">
        <f t="shared" si="255"/>
        <v>0</v>
      </c>
      <c r="AP154" s="586">
        <f t="shared" si="255"/>
        <v>0</v>
      </c>
      <c r="AQ154" s="586">
        <f t="shared" si="255"/>
        <v>0</v>
      </c>
      <c r="AR154" s="586">
        <f t="shared" si="255"/>
        <v>0</v>
      </c>
      <c r="AS154" s="586">
        <f t="shared" si="255"/>
        <v>0</v>
      </c>
      <c r="AT154" s="170"/>
    </row>
    <row r="155" spans="1:46" ht="15" x14ac:dyDescent="0.25">
      <c r="A155" s="170"/>
      <c r="B155" s="719"/>
      <c r="C155" s="170"/>
      <c r="D155" s="170"/>
      <c r="E155" s="170"/>
      <c r="F155" s="170">
        <f>+Parameters!D21</f>
        <v>18</v>
      </c>
      <c r="G155" s="170" t="str">
        <f>+Parameters!E21</f>
        <v>Sound walls/ retaining walls</v>
      </c>
      <c r="H155" s="586"/>
      <c r="I155" s="170">
        <f>+Parameters!F21</f>
        <v>0</v>
      </c>
      <c r="J155" s="170"/>
      <c r="K155" s="170"/>
      <c r="L155" s="170"/>
      <c r="M155" s="730"/>
      <c r="N155" s="730"/>
      <c r="O155" s="730"/>
      <c r="P155" s="731"/>
      <c r="Q155" s="731"/>
      <c r="R155" s="730"/>
      <c r="S155" s="730"/>
      <c r="T155" s="723"/>
      <c r="U155" s="724"/>
      <c r="V155" s="725"/>
      <c r="W155" s="725"/>
      <c r="X155" s="723"/>
      <c r="Y155" s="723"/>
      <c r="Z155" s="723"/>
      <c r="AA155" s="726"/>
      <c r="AB155" s="726"/>
      <c r="AC155" s="170"/>
      <c r="AD155" s="586">
        <f t="shared" si="255"/>
        <v>0</v>
      </c>
      <c r="AE155" s="586">
        <f t="shared" si="255"/>
        <v>0</v>
      </c>
      <c r="AF155" s="586">
        <f t="shared" si="255"/>
        <v>0</v>
      </c>
      <c r="AG155" s="586">
        <f t="shared" si="255"/>
        <v>0</v>
      </c>
      <c r="AH155" s="586">
        <f t="shared" si="255"/>
        <v>0</v>
      </c>
      <c r="AI155" s="586">
        <f t="shared" si="255"/>
        <v>0</v>
      </c>
      <c r="AJ155" s="586">
        <f t="shared" si="255"/>
        <v>0</v>
      </c>
      <c r="AK155" s="586">
        <f t="shared" si="255"/>
        <v>0</v>
      </c>
      <c r="AL155" s="586">
        <f t="shared" si="255"/>
        <v>0</v>
      </c>
      <c r="AM155" s="586">
        <f t="shared" si="255"/>
        <v>0</v>
      </c>
      <c r="AN155" s="586">
        <f t="shared" si="255"/>
        <v>0</v>
      </c>
      <c r="AO155" s="586">
        <f t="shared" si="255"/>
        <v>0</v>
      </c>
      <c r="AP155" s="586">
        <f t="shared" si="255"/>
        <v>0</v>
      </c>
      <c r="AQ155" s="586">
        <f t="shared" si="255"/>
        <v>0</v>
      </c>
      <c r="AR155" s="586">
        <f t="shared" si="255"/>
        <v>0</v>
      </c>
      <c r="AS155" s="586">
        <f t="shared" si="255"/>
        <v>0</v>
      </c>
      <c r="AT155" s="170"/>
    </row>
    <row r="156" spans="1:46" ht="15" x14ac:dyDescent="0.25">
      <c r="A156" s="170"/>
      <c r="B156" s="719"/>
      <c r="C156" s="170"/>
      <c r="D156" s="170"/>
      <c r="E156" s="170"/>
      <c r="F156" s="170">
        <f>+Parameters!D22</f>
        <v>19</v>
      </c>
      <c r="G156" s="170" t="str">
        <f>+Parameters!E22</f>
        <v>Other</v>
      </c>
      <c r="H156" s="586"/>
      <c r="I156" s="170">
        <f>+Parameters!F22</f>
        <v>0</v>
      </c>
      <c r="J156" s="170"/>
      <c r="K156" s="170"/>
      <c r="L156" s="170"/>
      <c r="M156" s="730"/>
      <c r="N156" s="730"/>
      <c r="O156" s="730"/>
      <c r="P156" s="731"/>
      <c r="Q156" s="731"/>
      <c r="R156" s="730"/>
      <c r="S156" s="730"/>
      <c r="T156" s="723"/>
      <c r="U156" s="724"/>
      <c r="V156" s="725"/>
      <c r="W156" s="725"/>
      <c r="X156" s="723"/>
      <c r="Y156" s="723"/>
      <c r="Z156" s="723"/>
      <c r="AA156" s="726"/>
      <c r="AB156" s="726"/>
      <c r="AC156" s="170"/>
      <c r="AD156" s="586">
        <f t="shared" si="255"/>
        <v>0</v>
      </c>
      <c r="AE156" s="586">
        <f t="shared" si="255"/>
        <v>0</v>
      </c>
      <c r="AF156" s="586">
        <f t="shared" si="255"/>
        <v>0</v>
      </c>
      <c r="AG156" s="586">
        <f t="shared" si="255"/>
        <v>0</v>
      </c>
      <c r="AH156" s="586">
        <f t="shared" si="255"/>
        <v>0</v>
      </c>
      <c r="AI156" s="586">
        <f t="shared" si="255"/>
        <v>0</v>
      </c>
      <c r="AJ156" s="586">
        <f t="shared" si="255"/>
        <v>0</v>
      </c>
      <c r="AK156" s="586">
        <f t="shared" si="255"/>
        <v>0</v>
      </c>
      <c r="AL156" s="586">
        <f t="shared" si="255"/>
        <v>0</v>
      </c>
      <c r="AM156" s="586">
        <f t="shared" si="255"/>
        <v>0</v>
      </c>
      <c r="AN156" s="586">
        <f t="shared" si="255"/>
        <v>0</v>
      </c>
      <c r="AO156" s="586">
        <f t="shared" si="255"/>
        <v>0</v>
      </c>
      <c r="AP156" s="586">
        <f t="shared" si="255"/>
        <v>0</v>
      </c>
      <c r="AQ156" s="586">
        <f t="shared" si="255"/>
        <v>0</v>
      </c>
      <c r="AR156" s="586">
        <f t="shared" si="255"/>
        <v>0</v>
      </c>
      <c r="AS156" s="586">
        <f t="shared" si="255"/>
        <v>0</v>
      </c>
      <c r="AT156" s="170"/>
    </row>
    <row r="157" spans="1:46" ht="15" x14ac:dyDescent="0.25">
      <c r="A157" s="170"/>
      <c r="B157" s="719"/>
      <c r="C157" s="170"/>
      <c r="D157" s="170"/>
      <c r="E157" s="170"/>
      <c r="F157" s="170">
        <f>+Parameters!D23</f>
        <v>20</v>
      </c>
      <c r="G157" s="170" t="str">
        <f>+Parameters!E23</f>
        <v>Trench (Trenwa type)</v>
      </c>
      <c r="H157" s="586"/>
      <c r="I157" s="170">
        <f>+Parameters!F23</f>
        <v>0</v>
      </c>
      <c r="J157" s="170"/>
      <c r="K157" s="170"/>
      <c r="L157" s="170"/>
      <c r="M157" s="730"/>
      <c r="N157" s="730"/>
      <c r="O157" s="730"/>
      <c r="P157" s="731"/>
      <c r="Q157" s="731"/>
      <c r="R157" s="730"/>
      <c r="S157" s="730"/>
      <c r="T157" s="723"/>
      <c r="U157" s="724"/>
      <c r="V157" s="725"/>
      <c r="W157" s="725"/>
      <c r="X157" s="723"/>
      <c r="Y157" s="723"/>
      <c r="Z157" s="723"/>
      <c r="AA157" s="726"/>
      <c r="AB157" s="726"/>
      <c r="AC157" s="170"/>
      <c r="AD157" s="586">
        <f t="shared" si="255"/>
        <v>0</v>
      </c>
      <c r="AE157" s="586">
        <f t="shared" si="255"/>
        <v>0</v>
      </c>
      <c r="AF157" s="586">
        <f t="shared" si="255"/>
        <v>0</v>
      </c>
      <c r="AG157" s="586">
        <f t="shared" si="255"/>
        <v>0</v>
      </c>
      <c r="AH157" s="586">
        <f t="shared" si="255"/>
        <v>0</v>
      </c>
      <c r="AI157" s="586">
        <f t="shared" si="255"/>
        <v>0</v>
      </c>
      <c r="AJ157" s="586">
        <f t="shared" si="255"/>
        <v>0</v>
      </c>
      <c r="AK157" s="586">
        <f t="shared" si="255"/>
        <v>0</v>
      </c>
      <c r="AL157" s="586">
        <f t="shared" si="255"/>
        <v>0</v>
      </c>
      <c r="AM157" s="586">
        <f t="shared" si="255"/>
        <v>0</v>
      </c>
      <c r="AN157" s="586">
        <f t="shared" si="255"/>
        <v>0</v>
      </c>
      <c r="AO157" s="586">
        <f t="shared" si="255"/>
        <v>0</v>
      </c>
      <c r="AP157" s="586">
        <f t="shared" si="255"/>
        <v>0</v>
      </c>
      <c r="AQ157" s="586">
        <f t="shared" si="255"/>
        <v>0</v>
      </c>
      <c r="AR157" s="586">
        <f t="shared" si="255"/>
        <v>0</v>
      </c>
      <c r="AS157" s="586">
        <f t="shared" si="255"/>
        <v>0</v>
      </c>
      <c r="AT157" s="170"/>
    </row>
    <row r="158" spans="1:46" ht="15" x14ac:dyDescent="0.25">
      <c r="A158" s="170"/>
      <c r="B158" s="719"/>
      <c r="C158" s="170"/>
      <c r="D158" s="170"/>
      <c r="E158" s="170"/>
      <c r="F158" s="170">
        <f>+Parameters!D24</f>
        <v>21</v>
      </c>
      <c r="G158" s="170" t="str">
        <f>+Parameters!E24</f>
        <v>Ductbank ( incl conduit)</v>
      </c>
      <c r="H158" s="586"/>
      <c r="I158" s="170" t="str">
        <f>+Parameters!F24</f>
        <v>lf</v>
      </c>
      <c r="J158" s="170"/>
      <c r="K158" s="170"/>
      <c r="L158" s="170"/>
      <c r="M158" s="730"/>
      <c r="N158" s="730"/>
      <c r="O158" s="730"/>
      <c r="P158" s="731"/>
      <c r="Q158" s="731"/>
      <c r="R158" s="730"/>
      <c r="S158" s="730"/>
      <c r="T158" s="723"/>
      <c r="U158" s="724"/>
      <c r="V158" s="725"/>
      <c r="W158" s="725"/>
      <c r="X158" s="723"/>
      <c r="Y158" s="723"/>
      <c r="Z158" s="723"/>
      <c r="AA158" s="726"/>
      <c r="AB158" s="726"/>
      <c r="AC158" s="170"/>
      <c r="AD158" s="586">
        <f t="shared" ref="AD158:AS167" si="256">SUMIF($F$9:$F$134,$F158,AD$9:AD$134)</f>
        <v>0</v>
      </c>
      <c r="AE158" s="586">
        <f t="shared" si="256"/>
        <v>0</v>
      </c>
      <c r="AF158" s="586">
        <f t="shared" si="256"/>
        <v>0</v>
      </c>
      <c r="AG158" s="586">
        <f t="shared" si="256"/>
        <v>0</v>
      </c>
      <c r="AH158" s="586">
        <f t="shared" si="256"/>
        <v>0</v>
      </c>
      <c r="AI158" s="586">
        <f t="shared" si="256"/>
        <v>0</v>
      </c>
      <c r="AJ158" s="586">
        <f t="shared" si="256"/>
        <v>0</v>
      </c>
      <c r="AK158" s="586">
        <f t="shared" si="256"/>
        <v>0</v>
      </c>
      <c r="AL158" s="586">
        <f t="shared" si="256"/>
        <v>0</v>
      </c>
      <c r="AM158" s="586">
        <f t="shared" si="256"/>
        <v>0</v>
      </c>
      <c r="AN158" s="586">
        <f t="shared" si="256"/>
        <v>0</v>
      </c>
      <c r="AO158" s="586">
        <f t="shared" si="256"/>
        <v>0</v>
      </c>
      <c r="AP158" s="586">
        <f t="shared" si="256"/>
        <v>0</v>
      </c>
      <c r="AQ158" s="586">
        <f t="shared" si="256"/>
        <v>0</v>
      </c>
      <c r="AR158" s="586">
        <f t="shared" si="256"/>
        <v>0</v>
      </c>
      <c r="AS158" s="586">
        <f t="shared" si="256"/>
        <v>0</v>
      </c>
      <c r="AT158" s="170"/>
    </row>
    <row r="159" spans="1:46" ht="15" x14ac:dyDescent="0.25">
      <c r="A159" s="170"/>
      <c r="B159" s="719"/>
      <c r="C159" s="170"/>
      <c r="D159" s="170"/>
      <c r="E159" s="170"/>
      <c r="F159" s="170">
        <f>+Parameters!D25</f>
        <v>22</v>
      </c>
      <c r="G159" s="170" t="str">
        <f>+Parameters!E25</f>
        <v>Conduit - AG</v>
      </c>
      <c r="H159" s="586"/>
      <c r="I159" s="170" t="str">
        <f>+Parameters!F25</f>
        <v>lf</v>
      </c>
      <c r="J159" s="170"/>
      <c r="K159" s="170"/>
      <c r="L159" s="170"/>
      <c r="M159" s="730"/>
      <c r="N159" s="730"/>
      <c r="O159" s="730"/>
      <c r="P159" s="731"/>
      <c r="Q159" s="731"/>
      <c r="R159" s="730"/>
      <c r="S159" s="730"/>
      <c r="T159" s="723"/>
      <c r="U159" s="724"/>
      <c r="V159" s="725"/>
      <c r="W159" s="725"/>
      <c r="X159" s="723"/>
      <c r="Y159" s="723"/>
      <c r="Z159" s="723"/>
      <c r="AA159" s="726"/>
      <c r="AB159" s="726"/>
      <c r="AC159" s="170"/>
      <c r="AD159" s="586">
        <f t="shared" si="256"/>
        <v>0</v>
      </c>
      <c r="AE159" s="586">
        <f t="shared" si="256"/>
        <v>0</v>
      </c>
      <c r="AF159" s="586">
        <f t="shared" si="256"/>
        <v>0</v>
      </c>
      <c r="AG159" s="586">
        <f t="shared" si="256"/>
        <v>0</v>
      </c>
      <c r="AH159" s="586">
        <f t="shared" si="256"/>
        <v>0</v>
      </c>
      <c r="AI159" s="586">
        <f t="shared" si="256"/>
        <v>0</v>
      </c>
      <c r="AJ159" s="586">
        <f t="shared" si="256"/>
        <v>0</v>
      </c>
      <c r="AK159" s="586">
        <f t="shared" si="256"/>
        <v>0</v>
      </c>
      <c r="AL159" s="586">
        <f t="shared" si="256"/>
        <v>0</v>
      </c>
      <c r="AM159" s="586">
        <f t="shared" si="256"/>
        <v>0</v>
      </c>
      <c r="AN159" s="586">
        <f t="shared" si="256"/>
        <v>0</v>
      </c>
      <c r="AO159" s="586">
        <f t="shared" si="256"/>
        <v>0</v>
      </c>
      <c r="AP159" s="586">
        <f t="shared" si="256"/>
        <v>0</v>
      </c>
      <c r="AQ159" s="586">
        <f t="shared" si="256"/>
        <v>0</v>
      </c>
      <c r="AR159" s="586">
        <f t="shared" si="256"/>
        <v>0</v>
      </c>
      <c r="AS159" s="586">
        <f t="shared" si="256"/>
        <v>0</v>
      </c>
      <c r="AT159" s="170"/>
    </row>
    <row r="160" spans="1:46" ht="15" x14ac:dyDescent="0.25">
      <c r="A160" s="170"/>
      <c r="B160" s="719"/>
      <c r="C160" s="170"/>
      <c r="D160" s="170"/>
      <c r="E160" s="170"/>
      <c r="F160" s="170">
        <f>+Parameters!D26</f>
        <v>23</v>
      </c>
      <c r="G160" s="170" t="str">
        <f>+Parameters!E26</f>
        <v>Conduit - UG ( excl ductbank)</v>
      </c>
      <c r="H160" s="586"/>
      <c r="I160" s="170" t="str">
        <f>+Parameters!F26</f>
        <v>lf</v>
      </c>
      <c r="J160" s="170"/>
      <c r="K160" s="170"/>
      <c r="L160" s="170"/>
      <c r="M160" s="730"/>
      <c r="N160" s="730"/>
      <c r="O160" s="730"/>
      <c r="P160" s="731"/>
      <c r="Q160" s="731"/>
      <c r="R160" s="730"/>
      <c r="S160" s="730"/>
      <c r="T160" s="723"/>
      <c r="U160" s="724"/>
      <c r="V160" s="725"/>
      <c r="W160" s="725"/>
      <c r="X160" s="723"/>
      <c r="Y160" s="723"/>
      <c r="Z160" s="723"/>
      <c r="AA160" s="726"/>
      <c r="AB160" s="726"/>
      <c r="AC160" s="170"/>
      <c r="AD160" s="586">
        <f t="shared" si="256"/>
        <v>0</v>
      </c>
      <c r="AE160" s="586">
        <f t="shared" si="256"/>
        <v>0</v>
      </c>
      <c r="AF160" s="586">
        <f t="shared" si="256"/>
        <v>0</v>
      </c>
      <c r="AG160" s="586">
        <f t="shared" si="256"/>
        <v>0</v>
      </c>
      <c r="AH160" s="586">
        <f t="shared" si="256"/>
        <v>0</v>
      </c>
      <c r="AI160" s="586">
        <f t="shared" si="256"/>
        <v>0</v>
      </c>
      <c r="AJ160" s="586">
        <f t="shared" si="256"/>
        <v>0</v>
      </c>
      <c r="AK160" s="586">
        <f t="shared" si="256"/>
        <v>0</v>
      </c>
      <c r="AL160" s="586">
        <f t="shared" si="256"/>
        <v>0</v>
      </c>
      <c r="AM160" s="586">
        <f t="shared" si="256"/>
        <v>0</v>
      </c>
      <c r="AN160" s="586">
        <f t="shared" si="256"/>
        <v>0</v>
      </c>
      <c r="AO160" s="586">
        <f t="shared" si="256"/>
        <v>0</v>
      </c>
      <c r="AP160" s="586">
        <f t="shared" si="256"/>
        <v>0</v>
      </c>
      <c r="AQ160" s="586">
        <f t="shared" si="256"/>
        <v>0</v>
      </c>
      <c r="AR160" s="586">
        <f t="shared" si="256"/>
        <v>0</v>
      </c>
      <c r="AS160" s="586">
        <f t="shared" si="256"/>
        <v>0</v>
      </c>
      <c r="AT160" s="170"/>
    </row>
    <row r="161" spans="1:46" ht="15" x14ac:dyDescent="0.25">
      <c r="A161" s="170"/>
      <c r="B161" s="719"/>
      <c r="C161" s="170"/>
      <c r="D161" s="170"/>
      <c r="E161" s="170"/>
      <c r="F161" s="170">
        <f>+Parameters!D27</f>
        <v>24</v>
      </c>
      <c r="G161" s="170" t="str">
        <f>+Parameters!E27</f>
        <v>Cable tray</v>
      </c>
      <c r="H161" s="586"/>
      <c r="I161" s="170" t="str">
        <f>+Parameters!F27</f>
        <v>lf</v>
      </c>
      <c r="J161" s="170"/>
      <c r="K161" s="170"/>
      <c r="L161" s="170"/>
      <c r="M161" s="730"/>
      <c r="N161" s="730"/>
      <c r="O161" s="730"/>
      <c r="P161" s="731"/>
      <c r="Q161" s="731"/>
      <c r="R161" s="730"/>
      <c r="S161" s="730"/>
      <c r="T161" s="723"/>
      <c r="U161" s="724"/>
      <c r="V161" s="725"/>
      <c r="W161" s="725"/>
      <c r="X161" s="723"/>
      <c r="Y161" s="723"/>
      <c r="Z161" s="723"/>
      <c r="AA161" s="726"/>
      <c r="AB161" s="726"/>
      <c r="AC161" s="170"/>
      <c r="AD161" s="586">
        <f t="shared" si="256"/>
        <v>0</v>
      </c>
      <c r="AE161" s="586">
        <f t="shared" si="256"/>
        <v>0</v>
      </c>
      <c r="AF161" s="586">
        <f t="shared" si="256"/>
        <v>0</v>
      </c>
      <c r="AG161" s="586">
        <f t="shared" si="256"/>
        <v>0</v>
      </c>
      <c r="AH161" s="586">
        <f t="shared" si="256"/>
        <v>0</v>
      </c>
      <c r="AI161" s="586">
        <f t="shared" si="256"/>
        <v>0</v>
      </c>
      <c r="AJ161" s="586">
        <f t="shared" si="256"/>
        <v>0</v>
      </c>
      <c r="AK161" s="586">
        <f t="shared" si="256"/>
        <v>0</v>
      </c>
      <c r="AL161" s="586">
        <f t="shared" si="256"/>
        <v>0</v>
      </c>
      <c r="AM161" s="586">
        <f t="shared" si="256"/>
        <v>0</v>
      </c>
      <c r="AN161" s="586">
        <f t="shared" si="256"/>
        <v>0</v>
      </c>
      <c r="AO161" s="586">
        <f t="shared" si="256"/>
        <v>0</v>
      </c>
      <c r="AP161" s="586">
        <f t="shared" si="256"/>
        <v>0</v>
      </c>
      <c r="AQ161" s="586">
        <f t="shared" si="256"/>
        <v>0</v>
      </c>
      <c r="AR161" s="586">
        <f t="shared" si="256"/>
        <v>0</v>
      </c>
      <c r="AS161" s="586">
        <f t="shared" si="256"/>
        <v>0</v>
      </c>
      <c r="AT161" s="170"/>
    </row>
    <row r="162" spans="1:46" ht="15" x14ac:dyDescent="0.25">
      <c r="A162" s="170"/>
      <c r="B162" s="719"/>
      <c r="C162" s="170"/>
      <c r="D162" s="170"/>
      <c r="E162" s="170"/>
      <c r="F162" s="170">
        <f>+Parameters!D28</f>
        <v>25</v>
      </c>
      <c r="G162" s="170" t="str">
        <f>+Parameters!E28</f>
        <v>Grounding</v>
      </c>
      <c r="H162" s="586"/>
      <c r="I162" s="170" t="str">
        <f>+Parameters!F28</f>
        <v>lf</v>
      </c>
      <c r="J162" s="170"/>
      <c r="K162" s="170"/>
      <c r="L162" s="170"/>
      <c r="M162" s="730"/>
      <c r="N162" s="730"/>
      <c r="O162" s="730"/>
      <c r="P162" s="731"/>
      <c r="Q162" s="731"/>
      <c r="R162" s="730"/>
      <c r="S162" s="730"/>
      <c r="T162" s="723"/>
      <c r="U162" s="724"/>
      <c r="V162" s="725"/>
      <c r="W162" s="725"/>
      <c r="X162" s="723"/>
      <c r="Y162" s="723"/>
      <c r="Z162" s="723"/>
      <c r="AA162" s="726"/>
      <c r="AB162" s="726"/>
      <c r="AC162" s="170"/>
      <c r="AD162" s="586">
        <f t="shared" si="256"/>
        <v>0</v>
      </c>
      <c r="AE162" s="586">
        <f t="shared" si="256"/>
        <v>0</v>
      </c>
      <c r="AF162" s="586">
        <f t="shared" si="256"/>
        <v>0</v>
      </c>
      <c r="AG162" s="586">
        <f t="shared" si="256"/>
        <v>0</v>
      </c>
      <c r="AH162" s="586">
        <f t="shared" si="256"/>
        <v>0</v>
      </c>
      <c r="AI162" s="586">
        <f t="shared" si="256"/>
        <v>0</v>
      </c>
      <c r="AJ162" s="586">
        <f t="shared" si="256"/>
        <v>0</v>
      </c>
      <c r="AK162" s="586">
        <f t="shared" si="256"/>
        <v>0</v>
      </c>
      <c r="AL162" s="586">
        <f t="shared" si="256"/>
        <v>0</v>
      </c>
      <c r="AM162" s="586">
        <f t="shared" si="256"/>
        <v>0</v>
      </c>
      <c r="AN162" s="586">
        <f t="shared" si="256"/>
        <v>0</v>
      </c>
      <c r="AO162" s="586">
        <f t="shared" si="256"/>
        <v>0</v>
      </c>
      <c r="AP162" s="586">
        <f t="shared" si="256"/>
        <v>0</v>
      </c>
      <c r="AQ162" s="586">
        <f t="shared" si="256"/>
        <v>0</v>
      </c>
      <c r="AR162" s="586">
        <f t="shared" si="256"/>
        <v>0</v>
      </c>
      <c r="AS162" s="586">
        <f t="shared" si="256"/>
        <v>0</v>
      </c>
      <c r="AT162" s="170"/>
    </row>
    <row r="163" spans="1:46" ht="15" x14ac:dyDescent="0.25">
      <c r="A163" s="170"/>
      <c r="B163" s="719"/>
      <c r="C163" s="170"/>
      <c r="D163" s="170"/>
      <c r="E163" s="170"/>
      <c r="F163" s="170">
        <f>+Parameters!D29</f>
        <v>26</v>
      </c>
      <c r="G163" s="170" t="str">
        <f>+Parameters!E29</f>
        <v>Lighting</v>
      </c>
      <c r="H163" s="586"/>
      <c r="I163" s="170">
        <f>+Parameters!F29</f>
        <v>0</v>
      </c>
      <c r="J163" s="170"/>
      <c r="K163" s="170"/>
      <c r="L163" s="170"/>
      <c r="M163" s="730"/>
      <c r="N163" s="730"/>
      <c r="O163" s="730"/>
      <c r="P163" s="731"/>
      <c r="Q163" s="731"/>
      <c r="R163" s="730"/>
      <c r="S163" s="730"/>
      <c r="T163" s="723"/>
      <c r="U163" s="724"/>
      <c r="V163" s="725"/>
      <c r="W163" s="725"/>
      <c r="X163" s="723"/>
      <c r="Y163" s="723"/>
      <c r="Z163" s="723"/>
      <c r="AA163" s="726"/>
      <c r="AB163" s="726"/>
      <c r="AC163" s="170"/>
      <c r="AD163" s="586">
        <f t="shared" si="256"/>
        <v>0</v>
      </c>
      <c r="AE163" s="586">
        <f t="shared" si="256"/>
        <v>0</v>
      </c>
      <c r="AF163" s="586">
        <f t="shared" si="256"/>
        <v>0</v>
      </c>
      <c r="AG163" s="586">
        <f t="shared" si="256"/>
        <v>0</v>
      </c>
      <c r="AH163" s="586">
        <f t="shared" si="256"/>
        <v>0</v>
      </c>
      <c r="AI163" s="586">
        <f t="shared" si="256"/>
        <v>0</v>
      </c>
      <c r="AJ163" s="586">
        <f t="shared" si="256"/>
        <v>0</v>
      </c>
      <c r="AK163" s="586">
        <f t="shared" si="256"/>
        <v>0</v>
      </c>
      <c r="AL163" s="586">
        <f t="shared" si="256"/>
        <v>0</v>
      </c>
      <c r="AM163" s="586">
        <f t="shared" si="256"/>
        <v>0</v>
      </c>
      <c r="AN163" s="586">
        <f t="shared" si="256"/>
        <v>0</v>
      </c>
      <c r="AO163" s="586">
        <f t="shared" si="256"/>
        <v>0</v>
      </c>
      <c r="AP163" s="586">
        <f t="shared" si="256"/>
        <v>0</v>
      </c>
      <c r="AQ163" s="586">
        <f t="shared" si="256"/>
        <v>0</v>
      </c>
      <c r="AR163" s="586">
        <f t="shared" si="256"/>
        <v>0</v>
      </c>
      <c r="AS163" s="586">
        <f t="shared" si="256"/>
        <v>0</v>
      </c>
      <c r="AT163" s="170"/>
    </row>
    <row r="164" spans="1:46" ht="15" x14ac:dyDescent="0.25">
      <c r="A164" s="170"/>
      <c r="B164" s="719"/>
      <c r="C164" s="170"/>
      <c r="D164" s="170"/>
      <c r="E164" s="170"/>
      <c r="F164" s="170">
        <f>+Parameters!D30</f>
        <v>27</v>
      </c>
      <c r="G164" s="170">
        <f>+Parameters!E30</f>
        <v>0</v>
      </c>
      <c r="H164" s="586"/>
      <c r="I164" s="170">
        <f>+Parameters!F30</f>
        <v>0</v>
      </c>
      <c r="J164" s="170"/>
      <c r="K164" s="170"/>
      <c r="L164" s="170"/>
      <c r="M164" s="730"/>
      <c r="N164" s="730"/>
      <c r="O164" s="730"/>
      <c r="P164" s="731"/>
      <c r="Q164" s="731"/>
      <c r="R164" s="730"/>
      <c r="S164" s="730"/>
      <c r="T164" s="723"/>
      <c r="U164" s="724"/>
      <c r="V164" s="725"/>
      <c r="W164" s="725"/>
      <c r="X164" s="723"/>
      <c r="Y164" s="723"/>
      <c r="Z164" s="723"/>
      <c r="AA164" s="726"/>
      <c r="AB164" s="726"/>
      <c r="AC164" s="170"/>
      <c r="AD164" s="586">
        <f t="shared" si="256"/>
        <v>0</v>
      </c>
      <c r="AE164" s="586">
        <f t="shared" si="256"/>
        <v>0</v>
      </c>
      <c r="AF164" s="586">
        <f t="shared" si="256"/>
        <v>0</v>
      </c>
      <c r="AG164" s="586">
        <f t="shared" si="256"/>
        <v>0</v>
      </c>
      <c r="AH164" s="586">
        <f t="shared" si="256"/>
        <v>0</v>
      </c>
      <c r="AI164" s="586">
        <f t="shared" si="256"/>
        <v>0</v>
      </c>
      <c r="AJ164" s="586">
        <f t="shared" si="256"/>
        <v>0</v>
      </c>
      <c r="AK164" s="586">
        <f t="shared" si="256"/>
        <v>0</v>
      </c>
      <c r="AL164" s="586">
        <f t="shared" si="256"/>
        <v>0</v>
      </c>
      <c r="AM164" s="586">
        <f t="shared" si="256"/>
        <v>0</v>
      </c>
      <c r="AN164" s="586">
        <f t="shared" si="256"/>
        <v>0</v>
      </c>
      <c r="AO164" s="586">
        <f t="shared" si="256"/>
        <v>0</v>
      </c>
      <c r="AP164" s="586">
        <f t="shared" si="256"/>
        <v>0</v>
      </c>
      <c r="AQ164" s="586">
        <f t="shared" si="256"/>
        <v>0</v>
      </c>
      <c r="AR164" s="586">
        <f t="shared" si="256"/>
        <v>0</v>
      </c>
      <c r="AS164" s="586">
        <f t="shared" si="256"/>
        <v>0</v>
      </c>
      <c r="AT164" s="170"/>
    </row>
    <row r="165" spans="1:46" ht="15" x14ac:dyDescent="0.25">
      <c r="A165" s="170"/>
      <c r="B165" s="719"/>
      <c r="C165" s="170"/>
      <c r="D165" s="170"/>
      <c r="E165" s="170"/>
      <c r="F165" s="170">
        <f>+Parameters!D31</f>
        <v>28</v>
      </c>
      <c r="G165" s="170">
        <f>+Parameters!E31</f>
        <v>0</v>
      </c>
      <c r="H165" s="586"/>
      <c r="I165" s="170">
        <f>+Parameters!F31</f>
        <v>0</v>
      </c>
      <c r="J165" s="170"/>
      <c r="K165" s="170"/>
      <c r="L165" s="170"/>
      <c r="M165" s="730"/>
      <c r="N165" s="730"/>
      <c r="O165" s="730"/>
      <c r="P165" s="731"/>
      <c r="Q165" s="731"/>
      <c r="R165" s="730"/>
      <c r="S165" s="730"/>
      <c r="T165" s="723"/>
      <c r="U165" s="724"/>
      <c r="V165" s="725"/>
      <c r="W165" s="725"/>
      <c r="X165" s="723"/>
      <c r="Y165" s="723"/>
      <c r="Z165" s="723"/>
      <c r="AA165" s="726"/>
      <c r="AB165" s="726"/>
      <c r="AC165" s="170"/>
      <c r="AD165" s="586">
        <f t="shared" si="256"/>
        <v>0</v>
      </c>
      <c r="AE165" s="586">
        <f t="shared" si="256"/>
        <v>0</v>
      </c>
      <c r="AF165" s="586">
        <f t="shared" si="256"/>
        <v>0</v>
      </c>
      <c r="AG165" s="586">
        <f t="shared" si="256"/>
        <v>0</v>
      </c>
      <c r="AH165" s="586">
        <f t="shared" si="256"/>
        <v>0</v>
      </c>
      <c r="AI165" s="586">
        <f t="shared" si="256"/>
        <v>0</v>
      </c>
      <c r="AJ165" s="586">
        <f t="shared" si="256"/>
        <v>0</v>
      </c>
      <c r="AK165" s="586">
        <f t="shared" si="256"/>
        <v>0</v>
      </c>
      <c r="AL165" s="586">
        <f t="shared" si="256"/>
        <v>0</v>
      </c>
      <c r="AM165" s="586">
        <f t="shared" si="256"/>
        <v>0</v>
      </c>
      <c r="AN165" s="586">
        <f t="shared" si="256"/>
        <v>0</v>
      </c>
      <c r="AO165" s="586">
        <f t="shared" si="256"/>
        <v>0</v>
      </c>
      <c r="AP165" s="586">
        <f t="shared" si="256"/>
        <v>0</v>
      </c>
      <c r="AQ165" s="586">
        <f t="shared" si="256"/>
        <v>0</v>
      </c>
      <c r="AR165" s="586">
        <f t="shared" si="256"/>
        <v>0</v>
      </c>
      <c r="AS165" s="586">
        <f t="shared" si="256"/>
        <v>0</v>
      </c>
      <c r="AT165" s="170"/>
    </row>
    <row r="166" spans="1:46" ht="15" x14ac:dyDescent="0.25">
      <c r="A166" s="170"/>
      <c r="B166" s="719"/>
      <c r="C166" s="170"/>
      <c r="D166" s="170"/>
      <c r="E166" s="170"/>
      <c r="F166" s="170">
        <f>+Parameters!D32</f>
        <v>29</v>
      </c>
      <c r="G166" s="170">
        <f>+Parameters!E32</f>
        <v>0</v>
      </c>
      <c r="H166" s="586"/>
      <c r="I166" s="170">
        <f>+Parameters!F32</f>
        <v>0</v>
      </c>
      <c r="J166" s="170"/>
      <c r="K166" s="170"/>
      <c r="L166" s="170"/>
      <c r="M166" s="730"/>
      <c r="N166" s="730"/>
      <c r="O166" s="730"/>
      <c r="P166" s="731"/>
      <c r="Q166" s="731"/>
      <c r="R166" s="730"/>
      <c r="S166" s="730"/>
      <c r="T166" s="723"/>
      <c r="U166" s="724"/>
      <c r="V166" s="725"/>
      <c r="W166" s="725"/>
      <c r="X166" s="723"/>
      <c r="Y166" s="723"/>
      <c r="Z166" s="723"/>
      <c r="AA166" s="726"/>
      <c r="AB166" s="726"/>
      <c r="AC166" s="170"/>
      <c r="AD166" s="586">
        <f t="shared" si="256"/>
        <v>0</v>
      </c>
      <c r="AE166" s="586">
        <f t="shared" si="256"/>
        <v>0</v>
      </c>
      <c r="AF166" s="586">
        <f t="shared" si="256"/>
        <v>0</v>
      </c>
      <c r="AG166" s="586">
        <f t="shared" si="256"/>
        <v>0</v>
      </c>
      <c r="AH166" s="586">
        <f t="shared" si="256"/>
        <v>0</v>
      </c>
      <c r="AI166" s="586">
        <f t="shared" si="256"/>
        <v>0</v>
      </c>
      <c r="AJ166" s="586">
        <f t="shared" si="256"/>
        <v>0</v>
      </c>
      <c r="AK166" s="586">
        <f t="shared" si="256"/>
        <v>0</v>
      </c>
      <c r="AL166" s="586">
        <f t="shared" si="256"/>
        <v>0</v>
      </c>
      <c r="AM166" s="586">
        <f t="shared" si="256"/>
        <v>0</v>
      </c>
      <c r="AN166" s="586">
        <f t="shared" si="256"/>
        <v>0</v>
      </c>
      <c r="AO166" s="586">
        <f t="shared" si="256"/>
        <v>0</v>
      </c>
      <c r="AP166" s="586">
        <f t="shared" si="256"/>
        <v>0</v>
      </c>
      <c r="AQ166" s="586">
        <f t="shared" si="256"/>
        <v>0</v>
      </c>
      <c r="AR166" s="586">
        <f t="shared" si="256"/>
        <v>0</v>
      </c>
      <c r="AS166" s="586">
        <f t="shared" si="256"/>
        <v>0</v>
      </c>
      <c r="AT166" s="170"/>
    </row>
    <row r="167" spans="1:46" ht="15" x14ac:dyDescent="0.25">
      <c r="A167" s="170"/>
      <c r="B167" s="719"/>
      <c r="C167" s="170"/>
      <c r="D167" s="170"/>
      <c r="E167" s="170"/>
      <c r="F167" s="170">
        <f>+Parameters!D33</f>
        <v>30</v>
      </c>
      <c r="G167" s="170" t="str">
        <f>+Parameters!E33</f>
        <v>Cable - UG - HPFF ( incl terms)</v>
      </c>
      <c r="H167" s="586"/>
      <c r="I167" s="170" t="str">
        <f>+Parameters!F33</f>
        <v>lf</v>
      </c>
      <c r="J167" s="170"/>
      <c r="K167" s="170"/>
      <c r="L167" s="170"/>
      <c r="M167" s="730"/>
      <c r="N167" s="730"/>
      <c r="O167" s="730"/>
      <c r="P167" s="731"/>
      <c r="Q167" s="731"/>
      <c r="R167" s="730"/>
      <c r="S167" s="730"/>
      <c r="T167" s="723"/>
      <c r="U167" s="724"/>
      <c r="V167" s="725"/>
      <c r="W167" s="725"/>
      <c r="X167" s="723"/>
      <c r="Y167" s="723"/>
      <c r="Z167" s="723"/>
      <c r="AA167" s="726"/>
      <c r="AB167" s="726"/>
      <c r="AC167" s="170"/>
      <c r="AD167" s="586">
        <f t="shared" si="256"/>
        <v>0</v>
      </c>
      <c r="AE167" s="586">
        <f t="shared" si="256"/>
        <v>0</v>
      </c>
      <c r="AF167" s="586">
        <f t="shared" si="256"/>
        <v>0</v>
      </c>
      <c r="AG167" s="586">
        <f t="shared" si="256"/>
        <v>0</v>
      </c>
      <c r="AH167" s="586">
        <f t="shared" si="256"/>
        <v>0</v>
      </c>
      <c r="AI167" s="586">
        <f t="shared" si="256"/>
        <v>0</v>
      </c>
      <c r="AJ167" s="586">
        <f t="shared" si="256"/>
        <v>0</v>
      </c>
      <c r="AK167" s="586">
        <f t="shared" si="256"/>
        <v>0</v>
      </c>
      <c r="AL167" s="586">
        <f t="shared" si="256"/>
        <v>0</v>
      </c>
      <c r="AM167" s="586">
        <f t="shared" si="256"/>
        <v>0</v>
      </c>
      <c r="AN167" s="586">
        <f t="shared" si="256"/>
        <v>0</v>
      </c>
      <c r="AO167" s="586">
        <f t="shared" si="256"/>
        <v>0</v>
      </c>
      <c r="AP167" s="586">
        <f t="shared" si="256"/>
        <v>0</v>
      </c>
      <c r="AQ167" s="586">
        <f t="shared" si="256"/>
        <v>0</v>
      </c>
      <c r="AR167" s="586">
        <f t="shared" si="256"/>
        <v>0</v>
      </c>
      <c r="AS167" s="586">
        <f t="shared" si="256"/>
        <v>0</v>
      </c>
      <c r="AT167" s="170"/>
    </row>
    <row r="168" spans="1:46" ht="15" x14ac:dyDescent="0.25">
      <c r="A168" s="170"/>
      <c r="B168" s="719"/>
      <c r="C168" s="170"/>
      <c r="D168" s="170"/>
      <c r="E168" s="170"/>
      <c r="F168" s="170">
        <f>+Parameters!D34</f>
        <v>31</v>
      </c>
      <c r="G168" s="170" t="str">
        <f>+Parameters!E34</f>
        <v>Cable - UG - XLPE ( incl terms)</v>
      </c>
      <c r="H168" s="586"/>
      <c r="I168" s="170" t="str">
        <f>+Parameters!F34</f>
        <v>lf</v>
      </c>
      <c r="J168" s="170"/>
      <c r="K168" s="170"/>
      <c r="L168" s="170"/>
      <c r="M168" s="730"/>
      <c r="N168" s="730"/>
      <c r="O168" s="730"/>
      <c r="P168" s="731"/>
      <c r="Q168" s="731"/>
      <c r="R168" s="730"/>
      <c r="S168" s="730"/>
      <c r="T168" s="723"/>
      <c r="U168" s="724"/>
      <c r="V168" s="725"/>
      <c r="W168" s="725"/>
      <c r="X168" s="723"/>
      <c r="Y168" s="723"/>
      <c r="Z168" s="723"/>
      <c r="AA168" s="726"/>
      <c r="AB168" s="726"/>
      <c r="AC168" s="170"/>
      <c r="AD168" s="586">
        <f t="shared" ref="AD168:AS177" si="257">SUMIF($F$9:$F$134,$F168,AD$9:AD$134)</f>
        <v>0</v>
      </c>
      <c r="AE168" s="586">
        <f t="shared" si="257"/>
        <v>0</v>
      </c>
      <c r="AF168" s="586">
        <f t="shared" si="257"/>
        <v>0</v>
      </c>
      <c r="AG168" s="586">
        <f t="shared" si="257"/>
        <v>0</v>
      </c>
      <c r="AH168" s="586">
        <f t="shared" si="257"/>
        <v>0</v>
      </c>
      <c r="AI168" s="586">
        <f t="shared" si="257"/>
        <v>0</v>
      </c>
      <c r="AJ168" s="586">
        <f t="shared" si="257"/>
        <v>0</v>
      </c>
      <c r="AK168" s="586">
        <f t="shared" si="257"/>
        <v>0</v>
      </c>
      <c r="AL168" s="586">
        <f t="shared" si="257"/>
        <v>0</v>
      </c>
      <c r="AM168" s="586">
        <f t="shared" si="257"/>
        <v>0</v>
      </c>
      <c r="AN168" s="586">
        <f t="shared" si="257"/>
        <v>0</v>
      </c>
      <c r="AO168" s="586">
        <f t="shared" si="257"/>
        <v>0</v>
      </c>
      <c r="AP168" s="586">
        <f t="shared" si="257"/>
        <v>0</v>
      </c>
      <c r="AQ168" s="586">
        <f t="shared" si="257"/>
        <v>0</v>
      </c>
      <c r="AR168" s="586">
        <f t="shared" si="257"/>
        <v>0</v>
      </c>
      <c r="AS168" s="586">
        <f t="shared" si="257"/>
        <v>0</v>
      </c>
      <c r="AT168" s="170"/>
    </row>
    <row r="169" spans="1:46" ht="15" x14ac:dyDescent="0.25">
      <c r="A169" s="170"/>
      <c r="B169" s="719"/>
      <c r="C169" s="170"/>
      <c r="D169" s="170"/>
      <c r="E169" s="170"/>
      <c r="F169" s="170">
        <f>+Parameters!D35</f>
        <v>32</v>
      </c>
      <c r="G169" s="170" t="str">
        <f>+Parameters!E35</f>
        <v>Cable - AG under 115kv ( incl terms)</v>
      </c>
      <c r="H169" s="586"/>
      <c r="I169" s="170" t="str">
        <f>+Parameters!F35</f>
        <v>lf</v>
      </c>
      <c r="J169" s="170"/>
      <c r="K169" s="170"/>
      <c r="L169" s="170"/>
      <c r="M169" s="730"/>
      <c r="N169" s="730"/>
      <c r="O169" s="730"/>
      <c r="P169" s="731"/>
      <c r="Q169" s="731"/>
      <c r="R169" s="730"/>
      <c r="S169" s="730"/>
      <c r="T169" s="723"/>
      <c r="U169" s="724"/>
      <c r="V169" s="725"/>
      <c r="W169" s="725"/>
      <c r="X169" s="723"/>
      <c r="Y169" s="723"/>
      <c r="Z169" s="723"/>
      <c r="AA169" s="726"/>
      <c r="AB169" s="726"/>
      <c r="AC169" s="170"/>
      <c r="AD169" s="586">
        <f t="shared" si="257"/>
        <v>0</v>
      </c>
      <c r="AE169" s="586">
        <f t="shared" si="257"/>
        <v>0</v>
      </c>
      <c r="AF169" s="586">
        <f t="shared" si="257"/>
        <v>0</v>
      </c>
      <c r="AG169" s="586">
        <f t="shared" si="257"/>
        <v>0</v>
      </c>
      <c r="AH169" s="586">
        <f t="shared" si="257"/>
        <v>0</v>
      </c>
      <c r="AI169" s="586">
        <f t="shared" si="257"/>
        <v>0</v>
      </c>
      <c r="AJ169" s="586">
        <f t="shared" si="257"/>
        <v>0</v>
      </c>
      <c r="AK169" s="586">
        <f t="shared" si="257"/>
        <v>0</v>
      </c>
      <c r="AL169" s="586">
        <f t="shared" si="257"/>
        <v>0</v>
      </c>
      <c r="AM169" s="586">
        <f t="shared" si="257"/>
        <v>0</v>
      </c>
      <c r="AN169" s="586">
        <f t="shared" si="257"/>
        <v>0</v>
      </c>
      <c r="AO169" s="586">
        <f t="shared" si="257"/>
        <v>0</v>
      </c>
      <c r="AP169" s="586">
        <f t="shared" si="257"/>
        <v>0</v>
      </c>
      <c r="AQ169" s="586">
        <f t="shared" si="257"/>
        <v>0</v>
      </c>
      <c r="AR169" s="586">
        <f t="shared" si="257"/>
        <v>0</v>
      </c>
      <c r="AS169" s="586">
        <f t="shared" si="257"/>
        <v>0</v>
      </c>
      <c r="AT169" s="170"/>
    </row>
    <row r="170" spans="1:46" ht="15" x14ac:dyDescent="0.25">
      <c r="A170" s="170"/>
      <c r="B170" s="719"/>
      <c r="C170" s="170"/>
      <c r="D170" s="170"/>
      <c r="E170" s="170"/>
      <c r="F170" s="170">
        <f>+Parameters!D36</f>
        <v>33</v>
      </c>
      <c r="G170" s="170" t="str">
        <f>+Parameters!E36</f>
        <v>Cable - AG 115 kv ( incl terms)</v>
      </c>
      <c r="H170" s="586"/>
      <c r="I170" s="170" t="str">
        <f>+Parameters!F36</f>
        <v>lf</v>
      </c>
      <c r="J170" s="170"/>
      <c r="K170" s="170"/>
      <c r="L170" s="170"/>
      <c r="M170" s="730"/>
      <c r="N170" s="730"/>
      <c r="O170" s="730"/>
      <c r="P170" s="731"/>
      <c r="Q170" s="731"/>
      <c r="R170" s="730"/>
      <c r="S170" s="730"/>
      <c r="T170" s="723"/>
      <c r="U170" s="724"/>
      <c r="V170" s="725"/>
      <c r="W170" s="725"/>
      <c r="X170" s="723"/>
      <c r="Y170" s="723"/>
      <c r="Z170" s="723"/>
      <c r="AA170" s="726"/>
      <c r="AB170" s="726"/>
      <c r="AC170" s="170"/>
      <c r="AD170" s="586">
        <f t="shared" si="257"/>
        <v>0</v>
      </c>
      <c r="AE170" s="586">
        <f t="shared" si="257"/>
        <v>0</v>
      </c>
      <c r="AF170" s="586">
        <f t="shared" si="257"/>
        <v>0</v>
      </c>
      <c r="AG170" s="586">
        <f t="shared" si="257"/>
        <v>0</v>
      </c>
      <c r="AH170" s="586">
        <f t="shared" si="257"/>
        <v>0</v>
      </c>
      <c r="AI170" s="586">
        <f t="shared" si="257"/>
        <v>0</v>
      </c>
      <c r="AJ170" s="586">
        <f t="shared" si="257"/>
        <v>0</v>
      </c>
      <c r="AK170" s="586">
        <f t="shared" si="257"/>
        <v>0</v>
      </c>
      <c r="AL170" s="586">
        <f t="shared" si="257"/>
        <v>0</v>
      </c>
      <c r="AM170" s="586">
        <f t="shared" si="257"/>
        <v>0</v>
      </c>
      <c r="AN170" s="586">
        <f t="shared" si="257"/>
        <v>0</v>
      </c>
      <c r="AO170" s="586">
        <f t="shared" si="257"/>
        <v>0</v>
      </c>
      <c r="AP170" s="586">
        <f t="shared" si="257"/>
        <v>0</v>
      </c>
      <c r="AQ170" s="586">
        <f t="shared" si="257"/>
        <v>0</v>
      </c>
      <c r="AR170" s="586">
        <f t="shared" si="257"/>
        <v>0</v>
      </c>
      <c r="AS170" s="586">
        <f t="shared" si="257"/>
        <v>0</v>
      </c>
      <c r="AT170" s="170"/>
    </row>
    <row r="171" spans="1:46" ht="15" x14ac:dyDescent="0.25">
      <c r="A171" s="170"/>
      <c r="B171" s="719"/>
      <c r="C171" s="170"/>
      <c r="D171" s="170"/>
      <c r="E171" s="170"/>
      <c r="F171" s="170">
        <f>+Parameters!D37</f>
        <v>34</v>
      </c>
      <c r="G171" s="170" t="str">
        <f>+Parameters!E37</f>
        <v>Cable - AG 345 kv ( incl terms)</v>
      </c>
      <c r="H171" s="586"/>
      <c r="I171" s="170" t="str">
        <f>+Parameters!F37</f>
        <v>lf</v>
      </c>
      <c r="J171" s="170"/>
      <c r="K171" s="170"/>
      <c r="L171" s="170"/>
      <c r="M171" s="730"/>
      <c r="N171" s="730"/>
      <c r="O171" s="730"/>
      <c r="P171" s="731"/>
      <c r="Q171" s="731"/>
      <c r="R171" s="730"/>
      <c r="S171" s="730"/>
      <c r="T171" s="723"/>
      <c r="U171" s="724"/>
      <c r="V171" s="725"/>
      <c r="W171" s="725"/>
      <c r="X171" s="723"/>
      <c r="Y171" s="723"/>
      <c r="Z171" s="723"/>
      <c r="AA171" s="726"/>
      <c r="AB171" s="726"/>
      <c r="AC171" s="170"/>
      <c r="AD171" s="586">
        <f t="shared" si="257"/>
        <v>0</v>
      </c>
      <c r="AE171" s="586">
        <f t="shared" si="257"/>
        <v>0</v>
      </c>
      <c r="AF171" s="586">
        <f t="shared" si="257"/>
        <v>0</v>
      </c>
      <c r="AG171" s="586">
        <f t="shared" si="257"/>
        <v>0</v>
      </c>
      <c r="AH171" s="586">
        <f t="shared" si="257"/>
        <v>0</v>
      </c>
      <c r="AI171" s="586">
        <f t="shared" si="257"/>
        <v>0</v>
      </c>
      <c r="AJ171" s="586">
        <f t="shared" si="257"/>
        <v>0</v>
      </c>
      <c r="AK171" s="586">
        <f t="shared" si="257"/>
        <v>0</v>
      </c>
      <c r="AL171" s="586">
        <f t="shared" si="257"/>
        <v>0</v>
      </c>
      <c r="AM171" s="586">
        <f t="shared" si="257"/>
        <v>0</v>
      </c>
      <c r="AN171" s="586">
        <f t="shared" si="257"/>
        <v>0</v>
      </c>
      <c r="AO171" s="586">
        <f t="shared" si="257"/>
        <v>0</v>
      </c>
      <c r="AP171" s="586">
        <f t="shared" si="257"/>
        <v>0</v>
      </c>
      <c r="AQ171" s="586">
        <f t="shared" si="257"/>
        <v>0</v>
      </c>
      <c r="AR171" s="586">
        <f t="shared" si="257"/>
        <v>0</v>
      </c>
      <c r="AS171" s="586">
        <f t="shared" si="257"/>
        <v>0</v>
      </c>
      <c r="AT171" s="170"/>
    </row>
    <row r="172" spans="1:46" ht="15" x14ac:dyDescent="0.25">
      <c r="A172" s="170"/>
      <c r="B172" s="719"/>
      <c r="C172" s="170"/>
      <c r="D172" s="170"/>
      <c r="E172" s="170"/>
      <c r="F172" s="170">
        <f>+Parameters!D38</f>
        <v>35</v>
      </c>
      <c r="G172" s="170" t="str">
        <f>+Parameters!E38</f>
        <v>Cable - OPGW / Shield ( incl terms)</v>
      </c>
      <c r="H172" s="586"/>
      <c r="I172" s="170" t="str">
        <f>+Parameters!F38</f>
        <v>lf</v>
      </c>
      <c r="J172" s="170"/>
      <c r="K172" s="170"/>
      <c r="L172" s="170"/>
      <c r="M172" s="730"/>
      <c r="N172" s="730"/>
      <c r="O172" s="730"/>
      <c r="P172" s="731"/>
      <c r="Q172" s="731"/>
      <c r="R172" s="730"/>
      <c r="S172" s="730"/>
      <c r="T172" s="723"/>
      <c r="U172" s="724"/>
      <c r="V172" s="725"/>
      <c r="W172" s="725"/>
      <c r="X172" s="723"/>
      <c r="Y172" s="723"/>
      <c r="Z172" s="723"/>
      <c r="AA172" s="726"/>
      <c r="AB172" s="726"/>
      <c r="AC172" s="170"/>
      <c r="AD172" s="586">
        <f t="shared" si="257"/>
        <v>0</v>
      </c>
      <c r="AE172" s="586">
        <f t="shared" si="257"/>
        <v>0</v>
      </c>
      <c r="AF172" s="586">
        <f t="shared" si="257"/>
        <v>0</v>
      </c>
      <c r="AG172" s="586">
        <f t="shared" si="257"/>
        <v>0</v>
      </c>
      <c r="AH172" s="586">
        <f t="shared" si="257"/>
        <v>0</v>
      </c>
      <c r="AI172" s="586">
        <f t="shared" si="257"/>
        <v>0</v>
      </c>
      <c r="AJ172" s="586">
        <f t="shared" si="257"/>
        <v>0</v>
      </c>
      <c r="AK172" s="586">
        <f t="shared" si="257"/>
        <v>0</v>
      </c>
      <c r="AL172" s="586">
        <f t="shared" si="257"/>
        <v>0</v>
      </c>
      <c r="AM172" s="586">
        <f t="shared" si="257"/>
        <v>0</v>
      </c>
      <c r="AN172" s="586">
        <f t="shared" si="257"/>
        <v>0</v>
      </c>
      <c r="AO172" s="586">
        <f t="shared" si="257"/>
        <v>0</v>
      </c>
      <c r="AP172" s="586">
        <f t="shared" si="257"/>
        <v>0</v>
      </c>
      <c r="AQ172" s="586">
        <f t="shared" si="257"/>
        <v>0</v>
      </c>
      <c r="AR172" s="586">
        <f t="shared" si="257"/>
        <v>0</v>
      </c>
      <c r="AS172" s="586">
        <f t="shared" si="257"/>
        <v>0</v>
      </c>
      <c r="AT172" s="170"/>
    </row>
    <row r="173" spans="1:46" ht="15" x14ac:dyDescent="0.25">
      <c r="A173" s="170"/>
      <c r="B173" s="719"/>
      <c r="C173" s="170"/>
      <c r="D173" s="170"/>
      <c r="E173" s="170"/>
      <c r="F173" s="170">
        <f>+Parameters!D39</f>
        <v>36</v>
      </c>
      <c r="G173" s="170" t="str">
        <f>+Parameters!E39</f>
        <v>Cable - Control ( incl terms)</v>
      </c>
      <c r="H173" s="586"/>
      <c r="I173" s="170" t="str">
        <f>+Parameters!F39</f>
        <v>lf</v>
      </c>
      <c r="J173" s="170"/>
      <c r="K173" s="170"/>
      <c r="L173" s="170"/>
      <c r="M173" s="730"/>
      <c r="N173" s="730"/>
      <c r="O173" s="730"/>
      <c r="P173" s="731"/>
      <c r="Q173" s="731"/>
      <c r="R173" s="730"/>
      <c r="S173" s="730"/>
      <c r="T173" s="723"/>
      <c r="U173" s="724"/>
      <c r="V173" s="725"/>
      <c r="W173" s="725"/>
      <c r="X173" s="723"/>
      <c r="Y173" s="723"/>
      <c r="Z173" s="723"/>
      <c r="AA173" s="726"/>
      <c r="AB173" s="726"/>
      <c r="AC173" s="170"/>
      <c r="AD173" s="586">
        <f t="shared" si="257"/>
        <v>0</v>
      </c>
      <c r="AE173" s="586">
        <f t="shared" si="257"/>
        <v>0</v>
      </c>
      <c r="AF173" s="586">
        <f t="shared" si="257"/>
        <v>0</v>
      </c>
      <c r="AG173" s="586">
        <f t="shared" si="257"/>
        <v>0</v>
      </c>
      <c r="AH173" s="586">
        <f t="shared" si="257"/>
        <v>0</v>
      </c>
      <c r="AI173" s="586">
        <f t="shared" si="257"/>
        <v>0</v>
      </c>
      <c r="AJ173" s="586">
        <f t="shared" si="257"/>
        <v>0</v>
      </c>
      <c r="AK173" s="586">
        <f t="shared" si="257"/>
        <v>0</v>
      </c>
      <c r="AL173" s="586">
        <f t="shared" si="257"/>
        <v>0</v>
      </c>
      <c r="AM173" s="586">
        <f t="shared" si="257"/>
        <v>0</v>
      </c>
      <c r="AN173" s="586">
        <f t="shared" si="257"/>
        <v>0</v>
      </c>
      <c r="AO173" s="586">
        <f t="shared" si="257"/>
        <v>0</v>
      </c>
      <c r="AP173" s="586">
        <f t="shared" si="257"/>
        <v>0</v>
      </c>
      <c r="AQ173" s="586">
        <f t="shared" si="257"/>
        <v>0</v>
      </c>
      <c r="AR173" s="586">
        <f t="shared" si="257"/>
        <v>0</v>
      </c>
      <c r="AS173" s="586">
        <f t="shared" si="257"/>
        <v>0</v>
      </c>
      <c r="AT173" s="170"/>
    </row>
    <row r="174" spans="1:46" ht="15" x14ac:dyDescent="0.25">
      <c r="A174" s="170"/>
      <c r="B174" s="719"/>
      <c r="C174" s="170"/>
      <c r="D174" s="170"/>
      <c r="E174" s="170"/>
      <c r="F174" s="170">
        <f>+Parameters!D40</f>
        <v>37</v>
      </c>
      <c r="G174" s="170" t="str">
        <f>+Parameters!E40</f>
        <v>Cable - Communication / Oher ( incl terms)</v>
      </c>
      <c r="H174" s="586"/>
      <c r="I174" s="170" t="str">
        <f>+Parameters!F40</f>
        <v>lf</v>
      </c>
      <c r="J174" s="170"/>
      <c r="K174" s="170"/>
      <c r="L174" s="170"/>
      <c r="M174" s="730"/>
      <c r="N174" s="730"/>
      <c r="O174" s="730"/>
      <c r="P174" s="731"/>
      <c r="Q174" s="731"/>
      <c r="R174" s="730"/>
      <c r="S174" s="730"/>
      <c r="T174" s="723"/>
      <c r="U174" s="724"/>
      <c r="V174" s="725"/>
      <c r="W174" s="725"/>
      <c r="X174" s="723"/>
      <c r="Y174" s="723"/>
      <c r="Z174" s="723"/>
      <c r="AA174" s="726"/>
      <c r="AB174" s="726"/>
      <c r="AC174" s="170"/>
      <c r="AD174" s="586">
        <f t="shared" si="257"/>
        <v>0</v>
      </c>
      <c r="AE174" s="586">
        <f t="shared" si="257"/>
        <v>0</v>
      </c>
      <c r="AF174" s="586">
        <f t="shared" si="257"/>
        <v>0</v>
      </c>
      <c r="AG174" s="586">
        <f t="shared" si="257"/>
        <v>0</v>
      </c>
      <c r="AH174" s="586">
        <f t="shared" si="257"/>
        <v>0</v>
      </c>
      <c r="AI174" s="586">
        <f t="shared" si="257"/>
        <v>0</v>
      </c>
      <c r="AJ174" s="586">
        <f t="shared" si="257"/>
        <v>0</v>
      </c>
      <c r="AK174" s="586">
        <f t="shared" si="257"/>
        <v>0</v>
      </c>
      <c r="AL174" s="586">
        <f t="shared" si="257"/>
        <v>0</v>
      </c>
      <c r="AM174" s="586">
        <f t="shared" si="257"/>
        <v>0</v>
      </c>
      <c r="AN174" s="586">
        <f t="shared" si="257"/>
        <v>0</v>
      </c>
      <c r="AO174" s="586">
        <f t="shared" si="257"/>
        <v>0</v>
      </c>
      <c r="AP174" s="586">
        <f t="shared" si="257"/>
        <v>0</v>
      </c>
      <c r="AQ174" s="586">
        <f t="shared" si="257"/>
        <v>0</v>
      </c>
      <c r="AR174" s="586">
        <f t="shared" si="257"/>
        <v>0</v>
      </c>
      <c r="AS174" s="586">
        <f t="shared" si="257"/>
        <v>0</v>
      </c>
      <c r="AT174" s="170"/>
    </row>
    <row r="175" spans="1:46" ht="15" x14ac:dyDescent="0.25">
      <c r="A175" s="170"/>
      <c r="B175" s="719"/>
      <c r="C175" s="170"/>
      <c r="D175" s="170"/>
      <c r="E175" s="170"/>
      <c r="F175" s="170">
        <f>+Parameters!D41</f>
        <v>38</v>
      </c>
      <c r="G175" s="170" t="str">
        <f>+Parameters!E41</f>
        <v>Cable - Power ( incl terms)</v>
      </c>
      <c r="H175" s="586"/>
      <c r="I175" s="170" t="str">
        <f>+Parameters!F41</f>
        <v>lf</v>
      </c>
      <c r="J175" s="170"/>
      <c r="K175" s="170"/>
      <c r="L175" s="170"/>
      <c r="M175" s="730"/>
      <c r="N175" s="730"/>
      <c r="O175" s="730"/>
      <c r="P175" s="731"/>
      <c r="Q175" s="731"/>
      <c r="R175" s="730"/>
      <c r="S175" s="730"/>
      <c r="T175" s="723"/>
      <c r="U175" s="724"/>
      <c r="V175" s="725"/>
      <c r="W175" s="725"/>
      <c r="X175" s="723"/>
      <c r="Y175" s="723"/>
      <c r="Z175" s="723"/>
      <c r="AA175" s="726"/>
      <c r="AB175" s="726"/>
      <c r="AC175" s="170"/>
      <c r="AD175" s="586">
        <f t="shared" si="257"/>
        <v>0</v>
      </c>
      <c r="AE175" s="586">
        <f t="shared" si="257"/>
        <v>0</v>
      </c>
      <c r="AF175" s="586">
        <f t="shared" si="257"/>
        <v>0</v>
      </c>
      <c r="AG175" s="586">
        <f t="shared" si="257"/>
        <v>0</v>
      </c>
      <c r="AH175" s="586">
        <f t="shared" si="257"/>
        <v>0</v>
      </c>
      <c r="AI175" s="586">
        <f t="shared" si="257"/>
        <v>0</v>
      </c>
      <c r="AJ175" s="586">
        <f t="shared" si="257"/>
        <v>0</v>
      </c>
      <c r="AK175" s="586">
        <f t="shared" si="257"/>
        <v>0</v>
      </c>
      <c r="AL175" s="586">
        <f t="shared" si="257"/>
        <v>0</v>
      </c>
      <c r="AM175" s="586">
        <f t="shared" si="257"/>
        <v>0</v>
      </c>
      <c r="AN175" s="586">
        <f t="shared" si="257"/>
        <v>0</v>
      </c>
      <c r="AO175" s="586">
        <f t="shared" si="257"/>
        <v>0</v>
      </c>
      <c r="AP175" s="586">
        <f t="shared" si="257"/>
        <v>0</v>
      </c>
      <c r="AQ175" s="586">
        <f t="shared" si="257"/>
        <v>0</v>
      </c>
      <c r="AR175" s="586">
        <f t="shared" si="257"/>
        <v>0</v>
      </c>
      <c r="AS175" s="586">
        <f t="shared" si="257"/>
        <v>0</v>
      </c>
      <c r="AT175" s="170"/>
    </row>
    <row r="176" spans="1:46" ht="15" x14ac:dyDescent="0.25">
      <c r="A176" s="170"/>
      <c r="B176" s="719"/>
      <c r="C176" s="170"/>
      <c r="D176" s="170"/>
      <c r="E176" s="170"/>
      <c r="F176" s="170">
        <f>+Parameters!D42</f>
        <v>39</v>
      </c>
      <c r="G176" s="170" t="str">
        <f>+Parameters!E42</f>
        <v>Cable - Other</v>
      </c>
      <c r="H176" s="586"/>
      <c r="I176" s="170" t="str">
        <f>+Parameters!F42</f>
        <v>lf</v>
      </c>
      <c r="J176" s="170"/>
      <c r="K176" s="170"/>
      <c r="L176" s="170"/>
      <c r="M176" s="730"/>
      <c r="N176" s="730"/>
      <c r="O176" s="730"/>
      <c r="P176" s="731"/>
      <c r="Q176" s="731"/>
      <c r="R176" s="730"/>
      <c r="S176" s="730"/>
      <c r="T176" s="723"/>
      <c r="U176" s="724"/>
      <c r="V176" s="725"/>
      <c r="W176" s="725"/>
      <c r="X176" s="723"/>
      <c r="Y176" s="723"/>
      <c r="Z176" s="723"/>
      <c r="AA176" s="726"/>
      <c r="AB176" s="726"/>
      <c r="AC176" s="170"/>
      <c r="AD176" s="586">
        <f t="shared" si="257"/>
        <v>0</v>
      </c>
      <c r="AE176" s="586">
        <f t="shared" si="257"/>
        <v>0</v>
      </c>
      <c r="AF176" s="586">
        <f t="shared" si="257"/>
        <v>0</v>
      </c>
      <c r="AG176" s="586">
        <f t="shared" si="257"/>
        <v>0</v>
      </c>
      <c r="AH176" s="586">
        <f t="shared" si="257"/>
        <v>0</v>
      </c>
      <c r="AI176" s="586">
        <f t="shared" si="257"/>
        <v>0</v>
      </c>
      <c r="AJ176" s="586">
        <f t="shared" si="257"/>
        <v>0</v>
      </c>
      <c r="AK176" s="586">
        <f t="shared" si="257"/>
        <v>0</v>
      </c>
      <c r="AL176" s="586">
        <f t="shared" si="257"/>
        <v>0</v>
      </c>
      <c r="AM176" s="586">
        <f t="shared" si="257"/>
        <v>0</v>
      </c>
      <c r="AN176" s="586">
        <f t="shared" si="257"/>
        <v>0</v>
      </c>
      <c r="AO176" s="586">
        <f t="shared" si="257"/>
        <v>0</v>
      </c>
      <c r="AP176" s="586">
        <f t="shared" si="257"/>
        <v>0</v>
      </c>
      <c r="AQ176" s="586">
        <f t="shared" si="257"/>
        <v>0</v>
      </c>
      <c r="AR176" s="586">
        <f t="shared" si="257"/>
        <v>0</v>
      </c>
      <c r="AS176" s="586">
        <f t="shared" si="257"/>
        <v>0</v>
      </c>
      <c r="AT176" s="170"/>
    </row>
    <row r="177" spans="1:46" ht="15" x14ac:dyDescent="0.25">
      <c r="A177" s="170"/>
      <c r="B177" s="719"/>
      <c r="C177" s="170"/>
      <c r="D177" s="170"/>
      <c r="E177" s="170"/>
      <c r="F177" s="170">
        <f>+Parameters!D43</f>
        <v>40</v>
      </c>
      <c r="G177" s="170" t="str">
        <f>+Parameters!E43</f>
        <v>Structures - buildings</v>
      </c>
      <c r="H177" s="586"/>
      <c r="I177" s="170">
        <f>+Parameters!F43</f>
        <v>0</v>
      </c>
      <c r="J177" s="170"/>
      <c r="K177" s="170"/>
      <c r="L177" s="170"/>
      <c r="M177" s="730"/>
      <c r="N177" s="730"/>
      <c r="O177" s="730"/>
      <c r="P177" s="731"/>
      <c r="Q177" s="731"/>
      <c r="R177" s="730"/>
      <c r="S177" s="730"/>
      <c r="T177" s="723"/>
      <c r="U177" s="724"/>
      <c r="V177" s="725"/>
      <c r="W177" s="725"/>
      <c r="X177" s="723"/>
      <c r="Y177" s="723"/>
      <c r="Z177" s="723"/>
      <c r="AA177" s="726"/>
      <c r="AB177" s="726"/>
      <c r="AC177" s="170"/>
      <c r="AD177" s="586">
        <f t="shared" si="257"/>
        <v>0</v>
      </c>
      <c r="AE177" s="586">
        <f t="shared" si="257"/>
        <v>0</v>
      </c>
      <c r="AF177" s="586">
        <f t="shared" si="257"/>
        <v>0</v>
      </c>
      <c r="AG177" s="586">
        <f t="shared" si="257"/>
        <v>0</v>
      </c>
      <c r="AH177" s="586">
        <f t="shared" si="257"/>
        <v>0</v>
      </c>
      <c r="AI177" s="586">
        <f t="shared" si="257"/>
        <v>0</v>
      </c>
      <c r="AJ177" s="586">
        <f t="shared" si="257"/>
        <v>0</v>
      </c>
      <c r="AK177" s="586">
        <f t="shared" si="257"/>
        <v>0</v>
      </c>
      <c r="AL177" s="586">
        <f t="shared" si="257"/>
        <v>0</v>
      </c>
      <c r="AM177" s="586">
        <f t="shared" si="257"/>
        <v>0</v>
      </c>
      <c r="AN177" s="586">
        <f t="shared" si="257"/>
        <v>0</v>
      </c>
      <c r="AO177" s="586">
        <f t="shared" si="257"/>
        <v>0</v>
      </c>
      <c r="AP177" s="586">
        <f t="shared" si="257"/>
        <v>0</v>
      </c>
      <c r="AQ177" s="586">
        <f t="shared" si="257"/>
        <v>0</v>
      </c>
      <c r="AR177" s="586">
        <f t="shared" si="257"/>
        <v>0</v>
      </c>
      <c r="AS177" s="586">
        <f t="shared" si="257"/>
        <v>0</v>
      </c>
      <c r="AT177" s="170"/>
    </row>
    <row r="178" spans="1:46" ht="15" x14ac:dyDescent="0.25">
      <c r="A178" s="170"/>
      <c r="B178" s="719"/>
      <c r="C178" s="170"/>
      <c r="D178" s="170"/>
      <c r="E178" s="170"/>
      <c r="F178" s="170">
        <f>+Parameters!D44</f>
        <v>41</v>
      </c>
      <c r="G178" s="170" t="str">
        <f>+Parameters!E44</f>
        <v>Structures - Poles - monopoles</v>
      </c>
      <c r="H178" s="586"/>
      <c r="I178" s="170" t="str">
        <f>+Parameters!F44</f>
        <v>ea</v>
      </c>
      <c r="J178" s="170"/>
      <c r="K178" s="170"/>
      <c r="L178" s="170"/>
      <c r="M178" s="730"/>
      <c r="N178" s="730"/>
      <c r="O178" s="730"/>
      <c r="P178" s="731"/>
      <c r="Q178" s="731"/>
      <c r="R178" s="730"/>
      <c r="S178" s="730"/>
      <c r="T178" s="723"/>
      <c r="U178" s="724"/>
      <c r="V178" s="725"/>
      <c r="W178" s="725"/>
      <c r="X178" s="723"/>
      <c r="Y178" s="723"/>
      <c r="Z178" s="723"/>
      <c r="AA178" s="726"/>
      <c r="AB178" s="726"/>
      <c r="AC178" s="170"/>
      <c r="AD178" s="586">
        <f t="shared" ref="AD178:AS187" si="258">SUMIF($F$9:$F$134,$F178,AD$9:AD$134)</f>
        <v>0</v>
      </c>
      <c r="AE178" s="586">
        <f t="shared" si="258"/>
        <v>0</v>
      </c>
      <c r="AF178" s="586">
        <f t="shared" si="258"/>
        <v>0</v>
      </c>
      <c r="AG178" s="586">
        <f t="shared" si="258"/>
        <v>0</v>
      </c>
      <c r="AH178" s="586">
        <f t="shared" si="258"/>
        <v>0</v>
      </c>
      <c r="AI178" s="586">
        <f t="shared" si="258"/>
        <v>0</v>
      </c>
      <c r="AJ178" s="586">
        <f t="shared" si="258"/>
        <v>0</v>
      </c>
      <c r="AK178" s="586">
        <f t="shared" si="258"/>
        <v>0</v>
      </c>
      <c r="AL178" s="586">
        <f t="shared" si="258"/>
        <v>0</v>
      </c>
      <c r="AM178" s="586">
        <f t="shared" si="258"/>
        <v>0</v>
      </c>
      <c r="AN178" s="586">
        <f t="shared" si="258"/>
        <v>0</v>
      </c>
      <c r="AO178" s="586">
        <f t="shared" si="258"/>
        <v>0</v>
      </c>
      <c r="AP178" s="586">
        <f t="shared" si="258"/>
        <v>0</v>
      </c>
      <c r="AQ178" s="586">
        <f t="shared" si="258"/>
        <v>0</v>
      </c>
      <c r="AR178" s="586">
        <f t="shared" si="258"/>
        <v>0</v>
      </c>
      <c r="AS178" s="586">
        <f t="shared" si="258"/>
        <v>0</v>
      </c>
      <c r="AT178" s="170"/>
    </row>
    <row r="179" spans="1:46" ht="15" x14ac:dyDescent="0.25">
      <c r="A179" s="170"/>
      <c r="B179" s="719"/>
      <c r="C179" s="170"/>
      <c r="D179" s="170"/>
      <c r="E179" s="170"/>
      <c r="F179" s="170">
        <f>+Parameters!D45</f>
        <v>42</v>
      </c>
      <c r="G179" s="170" t="str">
        <f>+Parameters!E45</f>
        <v>Structures - Poles - frame</v>
      </c>
      <c r="H179" s="586"/>
      <c r="I179" s="170" t="str">
        <f>+Parameters!F45</f>
        <v>ea</v>
      </c>
      <c r="J179" s="170"/>
      <c r="K179" s="170"/>
      <c r="L179" s="170"/>
      <c r="M179" s="730"/>
      <c r="N179" s="730"/>
      <c r="O179" s="730"/>
      <c r="P179" s="731"/>
      <c r="Q179" s="731"/>
      <c r="R179" s="730"/>
      <c r="S179" s="730"/>
      <c r="T179" s="723"/>
      <c r="U179" s="724"/>
      <c r="V179" s="725"/>
      <c r="W179" s="725"/>
      <c r="X179" s="723"/>
      <c r="Y179" s="723"/>
      <c r="Z179" s="723"/>
      <c r="AA179" s="726"/>
      <c r="AB179" s="726"/>
      <c r="AC179" s="170"/>
      <c r="AD179" s="586">
        <f t="shared" si="258"/>
        <v>0</v>
      </c>
      <c r="AE179" s="586">
        <f t="shared" si="258"/>
        <v>0</v>
      </c>
      <c r="AF179" s="586">
        <f t="shared" si="258"/>
        <v>0</v>
      </c>
      <c r="AG179" s="586">
        <f t="shared" si="258"/>
        <v>0</v>
      </c>
      <c r="AH179" s="586">
        <f t="shared" si="258"/>
        <v>0</v>
      </c>
      <c r="AI179" s="586">
        <f t="shared" si="258"/>
        <v>0</v>
      </c>
      <c r="AJ179" s="586">
        <f t="shared" si="258"/>
        <v>0</v>
      </c>
      <c r="AK179" s="586">
        <f t="shared" si="258"/>
        <v>0</v>
      </c>
      <c r="AL179" s="586">
        <f t="shared" si="258"/>
        <v>0</v>
      </c>
      <c r="AM179" s="586">
        <f t="shared" si="258"/>
        <v>0</v>
      </c>
      <c r="AN179" s="586">
        <f t="shared" si="258"/>
        <v>0</v>
      </c>
      <c r="AO179" s="586">
        <f t="shared" si="258"/>
        <v>0</v>
      </c>
      <c r="AP179" s="586">
        <f t="shared" si="258"/>
        <v>0</v>
      </c>
      <c r="AQ179" s="586">
        <f t="shared" si="258"/>
        <v>0</v>
      </c>
      <c r="AR179" s="586">
        <f t="shared" si="258"/>
        <v>0</v>
      </c>
      <c r="AS179" s="586">
        <f t="shared" si="258"/>
        <v>0</v>
      </c>
      <c r="AT179" s="170"/>
    </row>
    <row r="180" spans="1:46" ht="15" x14ac:dyDescent="0.25">
      <c r="A180" s="170"/>
      <c r="B180" s="719"/>
      <c r="C180" s="170"/>
      <c r="D180" s="170"/>
      <c r="E180" s="170"/>
      <c r="F180" s="170">
        <f>+Parameters!D46</f>
        <v>43</v>
      </c>
      <c r="G180" s="170" t="str">
        <f>+Parameters!E46</f>
        <v>Structures - Poles - Guys</v>
      </c>
      <c r="H180" s="586"/>
      <c r="I180" s="170" t="str">
        <f>+Parameters!F46</f>
        <v>ea</v>
      </c>
      <c r="J180" s="170"/>
      <c r="K180" s="170"/>
      <c r="L180" s="170"/>
      <c r="M180" s="730"/>
      <c r="N180" s="730"/>
      <c r="O180" s="730"/>
      <c r="P180" s="731"/>
      <c r="Q180" s="731"/>
      <c r="R180" s="730"/>
      <c r="S180" s="730"/>
      <c r="T180" s="723"/>
      <c r="U180" s="724"/>
      <c r="V180" s="725"/>
      <c r="W180" s="725"/>
      <c r="X180" s="723"/>
      <c r="Y180" s="723"/>
      <c r="Z180" s="723"/>
      <c r="AA180" s="726"/>
      <c r="AB180" s="726"/>
      <c r="AC180" s="170"/>
      <c r="AD180" s="586">
        <f t="shared" si="258"/>
        <v>0</v>
      </c>
      <c r="AE180" s="586">
        <f t="shared" si="258"/>
        <v>0</v>
      </c>
      <c r="AF180" s="586">
        <f t="shared" si="258"/>
        <v>0</v>
      </c>
      <c r="AG180" s="586">
        <f t="shared" si="258"/>
        <v>0</v>
      </c>
      <c r="AH180" s="586">
        <f t="shared" si="258"/>
        <v>0</v>
      </c>
      <c r="AI180" s="586">
        <f t="shared" si="258"/>
        <v>0</v>
      </c>
      <c r="AJ180" s="586">
        <f t="shared" si="258"/>
        <v>0</v>
      </c>
      <c r="AK180" s="586">
        <f t="shared" si="258"/>
        <v>0</v>
      </c>
      <c r="AL180" s="586">
        <f t="shared" si="258"/>
        <v>0</v>
      </c>
      <c r="AM180" s="586">
        <f t="shared" si="258"/>
        <v>0</v>
      </c>
      <c r="AN180" s="586">
        <f t="shared" si="258"/>
        <v>0</v>
      </c>
      <c r="AO180" s="586">
        <f t="shared" si="258"/>
        <v>0</v>
      </c>
      <c r="AP180" s="586">
        <f t="shared" si="258"/>
        <v>0</v>
      </c>
      <c r="AQ180" s="586">
        <f t="shared" si="258"/>
        <v>0</v>
      </c>
      <c r="AR180" s="586">
        <f t="shared" si="258"/>
        <v>0</v>
      </c>
      <c r="AS180" s="586">
        <f t="shared" si="258"/>
        <v>0</v>
      </c>
      <c r="AT180" s="170"/>
    </row>
    <row r="181" spans="1:46" ht="15" x14ac:dyDescent="0.25">
      <c r="A181" s="170"/>
      <c r="B181" s="719"/>
      <c r="C181" s="170"/>
      <c r="D181" s="170"/>
      <c r="E181" s="170"/>
      <c r="F181" s="170">
        <f>+Parameters!D47</f>
        <v>44</v>
      </c>
      <c r="G181" s="170">
        <f>+Parameters!E47</f>
        <v>0</v>
      </c>
      <c r="H181" s="586"/>
      <c r="I181" s="170">
        <f>+Parameters!F47</f>
        <v>0</v>
      </c>
      <c r="J181" s="170"/>
      <c r="K181" s="170"/>
      <c r="L181" s="170"/>
      <c r="M181" s="730"/>
      <c r="N181" s="730"/>
      <c r="O181" s="730"/>
      <c r="P181" s="731"/>
      <c r="Q181" s="731"/>
      <c r="R181" s="730"/>
      <c r="S181" s="730"/>
      <c r="T181" s="723"/>
      <c r="U181" s="724"/>
      <c r="V181" s="725"/>
      <c r="W181" s="725"/>
      <c r="X181" s="723"/>
      <c r="Y181" s="723"/>
      <c r="Z181" s="723"/>
      <c r="AA181" s="726"/>
      <c r="AB181" s="726"/>
      <c r="AC181" s="170"/>
      <c r="AD181" s="586">
        <f t="shared" si="258"/>
        <v>0</v>
      </c>
      <c r="AE181" s="586">
        <f t="shared" si="258"/>
        <v>0</v>
      </c>
      <c r="AF181" s="586">
        <f t="shared" si="258"/>
        <v>0</v>
      </c>
      <c r="AG181" s="586">
        <f t="shared" si="258"/>
        <v>0</v>
      </c>
      <c r="AH181" s="586">
        <f t="shared" si="258"/>
        <v>0</v>
      </c>
      <c r="AI181" s="586">
        <f t="shared" si="258"/>
        <v>0</v>
      </c>
      <c r="AJ181" s="586">
        <f t="shared" si="258"/>
        <v>0</v>
      </c>
      <c r="AK181" s="586">
        <f t="shared" si="258"/>
        <v>0</v>
      </c>
      <c r="AL181" s="586">
        <f t="shared" si="258"/>
        <v>0</v>
      </c>
      <c r="AM181" s="586">
        <f t="shared" si="258"/>
        <v>0</v>
      </c>
      <c r="AN181" s="586">
        <f t="shared" si="258"/>
        <v>0</v>
      </c>
      <c r="AO181" s="586">
        <f t="shared" si="258"/>
        <v>0</v>
      </c>
      <c r="AP181" s="586">
        <f t="shared" si="258"/>
        <v>0</v>
      </c>
      <c r="AQ181" s="586">
        <f t="shared" si="258"/>
        <v>0</v>
      </c>
      <c r="AR181" s="586">
        <f t="shared" si="258"/>
        <v>0</v>
      </c>
      <c r="AS181" s="586">
        <f t="shared" si="258"/>
        <v>0</v>
      </c>
      <c r="AT181" s="170"/>
    </row>
    <row r="182" spans="1:46" ht="15" x14ac:dyDescent="0.25">
      <c r="A182" s="170"/>
      <c r="B182" s="719"/>
      <c r="C182" s="170"/>
      <c r="D182" s="170"/>
      <c r="E182" s="170"/>
      <c r="F182" s="170">
        <f>+Parameters!D48</f>
        <v>45</v>
      </c>
      <c r="G182" s="170" t="str">
        <f>+Parameters!E48</f>
        <v>Structures - S.S.</v>
      </c>
      <c r="H182" s="586"/>
      <c r="I182" s="170" t="str">
        <f>+Parameters!F48</f>
        <v>tn</v>
      </c>
      <c r="J182" s="170"/>
      <c r="K182" s="170"/>
      <c r="L182" s="170"/>
      <c r="M182" s="730"/>
      <c r="N182" s="730"/>
      <c r="O182" s="730"/>
      <c r="P182" s="731"/>
      <c r="Q182" s="731"/>
      <c r="R182" s="730"/>
      <c r="S182" s="730"/>
      <c r="T182" s="723"/>
      <c r="U182" s="724"/>
      <c r="V182" s="725"/>
      <c r="W182" s="725"/>
      <c r="X182" s="723"/>
      <c r="Y182" s="723"/>
      <c r="Z182" s="723"/>
      <c r="AA182" s="726"/>
      <c r="AB182" s="726"/>
      <c r="AC182" s="170"/>
      <c r="AD182" s="586">
        <f t="shared" si="258"/>
        <v>0</v>
      </c>
      <c r="AE182" s="586">
        <f t="shared" si="258"/>
        <v>0</v>
      </c>
      <c r="AF182" s="586">
        <f t="shared" si="258"/>
        <v>0</v>
      </c>
      <c r="AG182" s="586">
        <f t="shared" si="258"/>
        <v>0</v>
      </c>
      <c r="AH182" s="586">
        <f t="shared" si="258"/>
        <v>0</v>
      </c>
      <c r="AI182" s="586">
        <f t="shared" si="258"/>
        <v>0</v>
      </c>
      <c r="AJ182" s="586">
        <f t="shared" si="258"/>
        <v>0</v>
      </c>
      <c r="AK182" s="586">
        <f t="shared" si="258"/>
        <v>0</v>
      </c>
      <c r="AL182" s="586">
        <f t="shared" si="258"/>
        <v>0</v>
      </c>
      <c r="AM182" s="586">
        <f t="shared" si="258"/>
        <v>0</v>
      </c>
      <c r="AN182" s="586">
        <f t="shared" si="258"/>
        <v>0</v>
      </c>
      <c r="AO182" s="586">
        <f t="shared" si="258"/>
        <v>0</v>
      </c>
      <c r="AP182" s="586">
        <f t="shared" si="258"/>
        <v>0</v>
      </c>
      <c r="AQ182" s="586">
        <f t="shared" si="258"/>
        <v>0</v>
      </c>
      <c r="AR182" s="586">
        <f t="shared" si="258"/>
        <v>0</v>
      </c>
      <c r="AS182" s="586">
        <f t="shared" si="258"/>
        <v>0</v>
      </c>
      <c r="AT182" s="170"/>
    </row>
    <row r="183" spans="1:46" ht="15" x14ac:dyDescent="0.25">
      <c r="A183" s="170"/>
      <c r="B183" s="719"/>
      <c r="C183" s="170"/>
      <c r="D183" s="170"/>
      <c r="E183" s="170"/>
      <c r="F183" s="170">
        <f>+Parameters!D49</f>
        <v>46</v>
      </c>
      <c r="G183" s="170" t="str">
        <f>+Parameters!E49</f>
        <v>Structures - Platforms</v>
      </c>
      <c r="H183" s="586"/>
      <c r="I183" s="170" t="str">
        <f>+Parameters!F49</f>
        <v>tn</v>
      </c>
      <c r="J183" s="170"/>
      <c r="K183" s="170"/>
      <c r="L183" s="170"/>
      <c r="M183" s="730"/>
      <c r="N183" s="730"/>
      <c r="O183" s="730"/>
      <c r="P183" s="731"/>
      <c r="Q183" s="731"/>
      <c r="R183" s="730"/>
      <c r="S183" s="730"/>
      <c r="T183" s="723"/>
      <c r="U183" s="724"/>
      <c r="V183" s="725"/>
      <c r="W183" s="725"/>
      <c r="X183" s="723"/>
      <c r="Y183" s="723"/>
      <c r="Z183" s="723"/>
      <c r="AA183" s="726"/>
      <c r="AB183" s="726"/>
      <c r="AC183" s="170"/>
      <c r="AD183" s="586">
        <f t="shared" si="258"/>
        <v>0</v>
      </c>
      <c r="AE183" s="586">
        <f t="shared" si="258"/>
        <v>0</v>
      </c>
      <c r="AF183" s="586">
        <f t="shared" si="258"/>
        <v>0</v>
      </c>
      <c r="AG183" s="586">
        <f t="shared" si="258"/>
        <v>0</v>
      </c>
      <c r="AH183" s="586">
        <f t="shared" si="258"/>
        <v>0</v>
      </c>
      <c r="AI183" s="586">
        <f t="shared" si="258"/>
        <v>0</v>
      </c>
      <c r="AJ183" s="586">
        <f t="shared" si="258"/>
        <v>0</v>
      </c>
      <c r="AK183" s="586">
        <f t="shared" si="258"/>
        <v>0</v>
      </c>
      <c r="AL183" s="586">
        <f t="shared" si="258"/>
        <v>0</v>
      </c>
      <c r="AM183" s="586">
        <f t="shared" si="258"/>
        <v>0</v>
      </c>
      <c r="AN183" s="586">
        <f t="shared" si="258"/>
        <v>0</v>
      </c>
      <c r="AO183" s="586">
        <f t="shared" si="258"/>
        <v>0</v>
      </c>
      <c r="AP183" s="586">
        <f t="shared" si="258"/>
        <v>0</v>
      </c>
      <c r="AQ183" s="586">
        <f t="shared" si="258"/>
        <v>0</v>
      </c>
      <c r="AR183" s="586">
        <f t="shared" si="258"/>
        <v>0</v>
      </c>
      <c r="AS183" s="586">
        <f t="shared" si="258"/>
        <v>0</v>
      </c>
      <c r="AT183" s="170"/>
    </row>
    <row r="184" spans="1:46" ht="15" x14ac:dyDescent="0.25">
      <c r="A184" s="170"/>
      <c r="B184" s="719"/>
      <c r="C184" s="170"/>
      <c r="D184" s="170"/>
      <c r="E184" s="170"/>
      <c r="F184" s="170">
        <f>+Parameters!D50</f>
        <v>47</v>
      </c>
      <c r="G184" s="170">
        <f>+Parameters!E50</f>
        <v>0</v>
      </c>
      <c r="H184" s="586"/>
      <c r="I184" s="170">
        <f>+Parameters!F50</f>
        <v>0</v>
      </c>
      <c r="J184" s="170"/>
      <c r="K184" s="170"/>
      <c r="L184" s="170"/>
      <c r="M184" s="730"/>
      <c r="N184" s="730"/>
      <c r="O184" s="730"/>
      <c r="P184" s="731"/>
      <c r="Q184" s="731"/>
      <c r="R184" s="730"/>
      <c r="S184" s="730"/>
      <c r="T184" s="723"/>
      <c r="U184" s="724"/>
      <c r="V184" s="725"/>
      <c r="W184" s="725"/>
      <c r="X184" s="723"/>
      <c r="Y184" s="723"/>
      <c r="Z184" s="723"/>
      <c r="AA184" s="726"/>
      <c r="AB184" s="726"/>
      <c r="AC184" s="170"/>
      <c r="AD184" s="586">
        <f t="shared" si="258"/>
        <v>0</v>
      </c>
      <c r="AE184" s="586">
        <f t="shared" si="258"/>
        <v>0</v>
      </c>
      <c r="AF184" s="586">
        <f t="shared" si="258"/>
        <v>0</v>
      </c>
      <c r="AG184" s="586">
        <f t="shared" si="258"/>
        <v>0</v>
      </c>
      <c r="AH184" s="586">
        <f t="shared" si="258"/>
        <v>0</v>
      </c>
      <c r="AI184" s="586">
        <f t="shared" si="258"/>
        <v>0</v>
      </c>
      <c r="AJ184" s="586">
        <f t="shared" si="258"/>
        <v>0</v>
      </c>
      <c r="AK184" s="586">
        <f t="shared" si="258"/>
        <v>0</v>
      </c>
      <c r="AL184" s="586">
        <f t="shared" si="258"/>
        <v>0</v>
      </c>
      <c r="AM184" s="586">
        <f t="shared" si="258"/>
        <v>0</v>
      </c>
      <c r="AN184" s="586">
        <f t="shared" si="258"/>
        <v>0</v>
      </c>
      <c r="AO184" s="586">
        <f t="shared" si="258"/>
        <v>0</v>
      </c>
      <c r="AP184" s="586">
        <f t="shared" si="258"/>
        <v>0</v>
      </c>
      <c r="AQ184" s="586">
        <f t="shared" si="258"/>
        <v>0</v>
      </c>
      <c r="AR184" s="586">
        <f t="shared" si="258"/>
        <v>0</v>
      </c>
      <c r="AS184" s="586">
        <f t="shared" si="258"/>
        <v>0</v>
      </c>
      <c r="AT184" s="170"/>
    </row>
    <row r="185" spans="1:46" ht="15" x14ac:dyDescent="0.25">
      <c r="A185" s="170"/>
      <c r="B185" s="719"/>
      <c r="C185" s="170"/>
      <c r="D185" s="170"/>
      <c r="E185" s="170"/>
      <c r="F185" s="170">
        <f>+Parameters!D51</f>
        <v>48</v>
      </c>
      <c r="G185" s="170">
        <f>+Parameters!E51</f>
        <v>0</v>
      </c>
      <c r="H185" s="586"/>
      <c r="I185" s="170">
        <f>+Parameters!F51</f>
        <v>0</v>
      </c>
      <c r="J185" s="170"/>
      <c r="K185" s="170"/>
      <c r="L185" s="170"/>
      <c r="M185" s="730"/>
      <c r="N185" s="730"/>
      <c r="O185" s="730"/>
      <c r="P185" s="731"/>
      <c r="Q185" s="731"/>
      <c r="R185" s="730"/>
      <c r="S185" s="730"/>
      <c r="T185" s="723"/>
      <c r="U185" s="724"/>
      <c r="V185" s="725"/>
      <c r="W185" s="725"/>
      <c r="X185" s="723"/>
      <c r="Y185" s="723"/>
      <c r="Z185" s="723"/>
      <c r="AA185" s="726"/>
      <c r="AB185" s="726"/>
      <c r="AC185" s="170"/>
      <c r="AD185" s="586">
        <f t="shared" si="258"/>
        <v>0</v>
      </c>
      <c r="AE185" s="586">
        <f t="shared" si="258"/>
        <v>0</v>
      </c>
      <c r="AF185" s="586">
        <f t="shared" si="258"/>
        <v>0</v>
      </c>
      <c r="AG185" s="586">
        <f t="shared" si="258"/>
        <v>0</v>
      </c>
      <c r="AH185" s="586">
        <f t="shared" si="258"/>
        <v>0</v>
      </c>
      <c r="AI185" s="586">
        <f t="shared" si="258"/>
        <v>0</v>
      </c>
      <c r="AJ185" s="586">
        <f t="shared" si="258"/>
        <v>0</v>
      </c>
      <c r="AK185" s="586">
        <f t="shared" si="258"/>
        <v>0</v>
      </c>
      <c r="AL185" s="586">
        <f t="shared" si="258"/>
        <v>0</v>
      </c>
      <c r="AM185" s="586">
        <f t="shared" si="258"/>
        <v>0</v>
      </c>
      <c r="AN185" s="586">
        <f t="shared" si="258"/>
        <v>0</v>
      </c>
      <c r="AO185" s="586">
        <f t="shared" si="258"/>
        <v>0</v>
      </c>
      <c r="AP185" s="586">
        <f t="shared" si="258"/>
        <v>0</v>
      </c>
      <c r="AQ185" s="586">
        <f t="shared" si="258"/>
        <v>0</v>
      </c>
      <c r="AR185" s="586">
        <f t="shared" si="258"/>
        <v>0</v>
      </c>
      <c r="AS185" s="586">
        <f t="shared" si="258"/>
        <v>0</v>
      </c>
      <c r="AT185" s="170"/>
    </row>
    <row r="186" spans="1:46" ht="15" x14ac:dyDescent="0.25">
      <c r="A186" s="170"/>
      <c r="B186" s="719"/>
      <c r="C186" s="170"/>
      <c r="D186" s="170"/>
      <c r="E186" s="170"/>
      <c r="F186" s="170">
        <f>+Parameters!D52</f>
        <v>49</v>
      </c>
      <c r="G186" s="170" t="str">
        <f>+Parameters!E52</f>
        <v>Structures - Others</v>
      </c>
      <c r="H186" s="586"/>
      <c r="I186" s="170" t="str">
        <f>+Parameters!F52</f>
        <v>tn</v>
      </c>
      <c r="J186" s="170"/>
      <c r="K186" s="170"/>
      <c r="L186" s="170"/>
      <c r="M186" s="730"/>
      <c r="N186" s="730"/>
      <c r="O186" s="730"/>
      <c r="P186" s="731"/>
      <c r="Q186" s="731"/>
      <c r="R186" s="730"/>
      <c r="S186" s="730"/>
      <c r="T186" s="723"/>
      <c r="U186" s="724"/>
      <c r="V186" s="725"/>
      <c r="W186" s="725"/>
      <c r="X186" s="723"/>
      <c r="Y186" s="723"/>
      <c r="Z186" s="723"/>
      <c r="AA186" s="726"/>
      <c r="AB186" s="726"/>
      <c r="AC186" s="170"/>
      <c r="AD186" s="586">
        <f t="shared" si="258"/>
        <v>0</v>
      </c>
      <c r="AE186" s="586">
        <f t="shared" si="258"/>
        <v>0</v>
      </c>
      <c r="AF186" s="586">
        <f t="shared" si="258"/>
        <v>0</v>
      </c>
      <c r="AG186" s="586">
        <f t="shared" si="258"/>
        <v>0</v>
      </c>
      <c r="AH186" s="586">
        <f t="shared" si="258"/>
        <v>0</v>
      </c>
      <c r="AI186" s="586">
        <f t="shared" si="258"/>
        <v>0</v>
      </c>
      <c r="AJ186" s="586">
        <f t="shared" si="258"/>
        <v>0</v>
      </c>
      <c r="AK186" s="586">
        <f t="shared" si="258"/>
        <v>0</v>
      </c>
      <c r="AL186" s="586">
        <f t="shared" si="258"/>
        <v>0</v>
      </c>
      <c r="AM186" s="586">
        <f t="shared" si="258"/>
        <v>0</v>
      </c>
      <c r="AN186" s="586">
        <f t="shared" si="258"/>
        <v>0</v>
      </c>
      <c r="AO186" s="586">
        <f t="shared" si="258"/>
        <v>0</v>
      </c>
      <c r="AP186" s="586">
        <f t="shared" si="258"/>
        <v>0</v>
      </c>
      <c r="AQ186" s="586">
        <f t="shared" si="258"/>
        <v>0</v>
      </c>
      <c r="AR186" s="586">
        <f t="shared" si="258"/>
        <v>0</v>
      </c>
      <c r="AS186" s="586">
        <f t="shared" si="258"/>
        <v>0</v>
      </c>
      <c r="AT186" s="170"/>
    </row>
    <row r="187" spans="1:46" ht="15" x14ac:dyDescent="0.25">
      <c r="A187" s="170"/>
      <c r="B187" s="719"/>
      <c r="C187" s="170"/>
      <c r="D187" s="170"/>
      <c r="E187" s="170"/>
      <c r="F187" s="170">
        <f>+Parameters!D53</f>
        <v>50</v>
      </c>
      <c r="G187" s="170" t="str">
        <f>+Parameters!E53</f>
        <v>Major Eqt - Circuit Breakers</v>
      </c>
      <c r="H187" s="586"/>
      <c r="I187" s="170" t="str">
        <f>+Parameters!F53</f>
        <v>ea</v>
      </c>
      <c r="J187" s="170"/>
      <c r="K187" s="170"/>
      <c r="L187" s="170"/>
      <c r="M187" s="730"/>
      <c r="N187" s="730"/>
      <c r="O187" s="730"/>
      <c r="P187" s="731"/>
      <c r="Q187" s="731"/>
      <c r="R187" s="730"/>
      <c r="S187" s="730"/>
      <c r="T187" s="723"/>
      <c r="U187" s="724"/>
      <c r="V187" s="725"/>
      <c r="W187" s="725"/>
      <c r="X187" s="723"/>
      <c r="Y187" s="723"/>
      <c r="Z187" s="723"/>
      <c r="AA187" s="726"/>
      <c r="AB187" s="726"/>
      <c r="AC187" s="170"/>
      <c r="AD187" s="586">
        <f t="shared" si="258"/>
        <v>0</v>
      </c>
      <c r="AE187" s="586">
        <f t="shared" si="258"/>
        <v>0</v>
      </c>
      <c r="AF187" s="586">
        <f t="shared" si="258"/>
        <v>0</v>
      </c>
      <c r="AG187" s="586">
        <f t="shared" si="258"/>
        <v>0</v>
      </c>
      <c r="AH187" s="586">
        <f t="shared" si="258"/>
        <v>0</v>
      </c>
      <c r="AI187" s="586">
        <f t="shared" si="258"/>
        <v>0</v>
      </c>
      <c r="AJ187" s="586">
        <f t="shared" si="258"/>
        <v>0</v>
      </c>
      <c r="AK187" s="586">
        <f t="shared" si="258"/>
        <v>0</v>
      </c>
      <c r="AL187" s="586">
        <f t="shared" si="258"/>
        <v>0</v>
      </c>
      <c r="AM187" s="586">
        <f t="shared" si="258"/>
        <v>0</v>
      </c>
      <c r="AN187" s="586">
        <f t="shared" si="258"/>
        <v>0</v>
      </c>
      <c r="AO187" s="586">
        <f t="shared" si="258"/>
        <v>0</v>
      </c>
      <c r="AP187" s="586">
        <f t="shared" si="258"/>
        <v>0</v>
      </c>
      <c r="AQ187" s="586">
        <f t="shared" si="258"/>
        <v>0</v>
      </c>
      <c r="AR187" s="586">
        <f t="shared" si="258"/>
        <v>0</v>
      </c>
      <c r="AS187" s="586">
        <f t="shared" si="258"/>
        <v>0</v>
      </c>
      <c r="AT187" s="170"/>
    </row>
    <row r="188" spans="1:46" ht="15" x14ac:dyDescent="0.25">
      <c r="A188" s="170"/>
      <c r="B188" s="719"/>
      <c r="C188" s="170"/>
      <c r="D188" s="170"/>
      <c r="E188" s="170"/>
      <c r="F188" s="170">
        <f>+Parameters!D54</f>
        <v>51</v>
      </c>
      <c r="G188" s="170" t="str">
        <f>+Parameters!E54</f>
        <v>Major Eqt - Transformers</v>
      </c>
      <c r="H188" s="586"/>
      <c r="I188" s="170" t="str">
        <f>+Parameters!F54</f>
        <v>ea</v>
      </c>
      <c r="J188" s="170"/>
      <c r="K188" s="170"/>
      <c r="L188" s="170"/>
      <c r="M188" s="730"/>
      <c r="N188" s="730"/>
      <c r="O188" s="730"/>
      <c r="P188" s="731"/>
      <c r="Q188" s="731"/>
      <c r="R188" s="730"/>
      <c r="S188" s="730"/>
      <c r="T188" s="723"/>
      <c r="U188" s="724"/>
      <c r="V188" s="725"/>
      <c r="W188" s="725"/>
      <c r="X188" s="723"/>
      <c r="Y188" s="723"/>
      <c r="Z188" s="723"/>
      <c r="AA188" s="726"/>
      <c r="AB188" s="726"/>
      <c r="AC188" s="170"/>
      <c r="AD188" s="586">
        <f t="shared" ref="AD188:AS197" si="259">SUMIF($F$9:$F$134,$F188,AD$9:AD$134)</f>
        <v>0</v>
      </c>
      <c r="AE188" s="586">
        <f t="shared" si="259"/>
        <v>0</v>
      </c>
      <c r="AF188" s="586">
        <f t="shared" si="259"/>
        <v>0</v>
      </c>
      <c r="AG188" s="586">
        <f t="shared" si="259"/>
        <v>0</v>
      </c>
      <c r="AH188" s="586">
        <f t="shared" si="259"/>
        <v>0</v>
      </c>
      <c r="AI188" s="586">
        <f t="shared" si="259"/>
        <v>0</v>
      </c>
      <c r="AJ188" s="586">
        <f t="shared" si="259"/>
        <v>0</v>
      </c>
      <c r="AK188" s="586">
        <f t="shared" si="259"/>
        <v>0</v>
      </c>
      <c r="AL188" s="586">
        <f t="shared" si="259"/>
        <v>0</v>
      </c>
      <c r="AM188" s="586">
        <f t="shared" si="259"/>
        <v>0</v>
      </c>
      <c r="AN188" s="586">
        <f t="shared" si="259"/>
        <v>0</v>
      </c>
      <c r="AO188" s="586">
        <f t="shared" si="259"/>
        <v>0</v>
      </c>
      <c r="AP188" s="586">
        <f t="shared" si="259"/>
        <v>0</v>
      </c>
      <c r="AQ188" s="586">
        <f t="shared" si="259"/>
        <v>0</v>
      </c>
      <c r="AR188" s="586">
        <f t="shared" si="259"/>
        <v>0</v>
      </c>
      <c r="AS188" s="586">
        <f t="shared" si="259"/>
        <v>0</v>
      </c>
      <c r="AT188" s="170"/>
    </row>
    <row r="189" spans="1:46" ht="15" x14ac:dyDescent="0.25">
      <c r="A189" s="170"/>
      <c r="B189" s="719"/>
      <c r="C189" s="170"/>
      <c r="D189" s="170"/>
      <c r="E189" s="170"/>
      <c r="F189" s="170">
        <f>+Parameters!D55</f>
        <v>52</v>
      </c>
      <c r="G189" s="170" t="str">
        <f>+Parameters!E55</f>
        <v>Major Eqt - Circuit Switchers</v>
      </c>
      <c r="H189" s="586"/>
      <c r="I189" s="170" t="str">
        <f>+Parameters!F55</f>
        <v>ea</v>
      </c>
      <c r="J189" s="170"/>
      <c r="K189" s="170"/>
      <c r="L189" s="170"/>
      <c r="M189" s="730"/>
      <c r="N189" s="730"/>
      <c r="O189" s="730"/>
      <c r="P189" s="731"/>
      <c r="Q189" s="731"/>
      <c r="R189" s="730"/>
      <c r="S189" s="730"/>
      <c r="T189" s="723"/>
      <c r="U189" s="724"/>
      <c r="V189" s="725"/>
      <c r="W189" s="725"/>
      <c r="X189" s="723"/>
      <c r="Y189" s="723"/>
      <c r="Z189" s="723"/>
      <c r="AA189" s="726"/>
      <c r="AB189" s="726"/>
      <c r="AC189" s="170"/>
      <c r="AD189" s="586">
        <f t="shared" si="259"/>
        <v>0</v>
      </c>
      <c r="AE189" s="586">
        <f t="shared" si="259"/>
        <v>0</v>
      </c>
      <c r="AF189" s="586">
        <f t="shared" si="259"/>
        <v>0</v>
      </c>
      <c r="AG189" s="586">
        <f t="shared" si="259"/>
        <v>0</v>
      </c>
      <c r="AH189" s="586">
        <f t="shared" si="259"/>
        <v>0</v>
      </c>
      <c r="AI189" s="586">
        <f t="shared" si="259"/>
        <v>0</v>
      </c>
      <c r="AJ189" s="586">
        <f t="shared" si="259"/>
        <v>0</v>
      </c>
      <c r="AK189" s="586">
        <f t="shared" si="259"/>
        <v>0</v>
      </c>
      <c r="AL189" s="586">
        <f t="shared" si="259"/>
        <v>0</v>
      </c>
      <c r="AM189" s="586">
        <f t="shared" si="259"/>
        <v>0</v>
      </c>
      <c r="AN189" s="586">
        <f t="shared" si="259"/>
        <v>0</v>
      </c>
      <c r="AO189" s="586">
        <f t="shared" si="259"/>
        <v>0</v>
      </c>
      <c r="AP189" s="586">
        <f t="shared" si="259"/>
        <v>0</v>
      </c>
      <c r="AQ189" s="586">
        <f t="shared" si="259"/>
        <v>0</v>
      </c>
      <c r="AR189" s="586">
        <f t="shared" si="259"/>
        <v>0</v>
      </c>
      <c r="AS189" s="586">
        <f t="shared" si="259"/>
        <v>0</v>
      </c>
      <c r="AT189" s="170"/>
    </row>
    <row r="190" spans="1:46" ht="15" x14ac:dyDescent="0.25">
      <c r="A190" s="170"/>
      <c r="B190" s="719"/>
      <c r="C190" s="170"/>
      <c r="D190" s="170"/>
      <c r="E190" s="170"/>
      <c r="F190" s="170">
        <f>+Parameters!D56</f>
        <v>53</v>
      </c>
      <c r="G190" s="170" t="str">
        <f>+Parameters!E56</f>
        <v>Major Eqt - Disconect Switches</v>
      </c>
      <c r="H190" s="586"/>
      <c r="I190" s="170" t="str">
        <f>+Parameters!F56</f>
        <v>ea</v>
      </c>
      <c r="J190" s="170"/>
      <c r="K190" s="170"/>
      <c r="L190" s="170"/>
      <c r="M190" s="730"/>
      <c r="N190" s="730"/>
      <c r="O190" s="730"/>
      <c r="P190" s="731"/>
      <c r="Q190" s="731"/>
      <c r="R190" s="730"/>
      <c r="S190" s="730"/>
      <c r="T190" s="723"/>
      <c r="U190" s="724"/>
      <c r="V190" s="725"/>
      <c r="W190" s="725"/>
      <c r="X190" s="723"/>
      <c r="Y190" s="723"/>
      <c r="Z190" s="723"/>
      <c r="AA190" s="726"/>
      <c r="AB190" s="726"/>
      <c r="AC190" s="170"/>
      <c r="AD190" s="586">
        <f t="shared" si="259"/>
        <v>0</v>
      </c>
      <c r="AE190" s="586">
        <f t="shared" si="259"/>
        <v>0</v>
      </c>
      <c r="AF190" s="586">
        <f t="shared" si="259"/>
        <v>0</v>
      </c>
      <c r="AG190" s="586">
        <f t="shared" si="259"/>
        <v>0</v>
      </c>
      <c r="AH190" s="586">
        <f t="shared" si="259"/>
        <v>0</v>
      </c>
      <c r="AI190" s="586">
        <f t="shared" si="259"/>
        <v>0</v>
      </c>
      <c r="AJ190" s="586">
        <f t="shared" si="259"/>
        <v>0</v>
      </c>
      <c r="AK190" s="586">
        <f t="shared" si="259"/>
        <v>0</v>
      </c>
      <c r="AL190" s="586">
        <f t="shared" si="259"/>
        <v>0</v>
      </c>
      <c r="AM190" s="586">
        <f t="shared" si="259"/>
        <v>0</v>
      </c>
      <c r="AN190" s="586">
        <f t="shared" si="259"/>
        <v>0</v>
      </c>
      <c r="AO190" s="586">
        <f t="shared" si="259"/>
        <v>0</v>
      </c>
      <c r="AP190" s="586">
        <f t="shared" si="259"/>
        <v>0</v>
      </c>
      <c r="AQ190" s="586">
        <f t="shared" si="259"/>
        <v>0</v>
      </c>
      <c r="AR190" s="586">
        <f t="shared" si="259"/>
        <v>0</v>
      </c>
      <c r="AS190" s="586">
        <f t="shared" si="259"/>
        <v>0</v>
      </c>
      <c r="AT190" s="170"/>
    </row>
    <row r="191" spans="1:46" ht="15" x14ac:dyDescent="0.25">
      <c r="A191" s="170"/>
      <c r="B191" s="719"/>
      <c r="C191" s="170"/>
      <c r="D191" s="170"/>
      <c r="E191" s="170"/>
      <c r="F191" s="170">
        <f>+Parameters!D57</f>
        <v>54</v>
      </c>
      <c r="G191" s="170" t="str">
        <f>+Parameters!E57</f>
        <v>Major Eqt - Cap Banks</v>
      </c>
      <c r="H191" s="586"/>
      <c r="I191" s="170" t="str">
        <f>+Parameters!F57</f>
        <v>ea</v>
      </c>
      <c r="J191" s="170"/>
      <c r="K191" s="170"/>
      <c r="L191" s="170"/>
      <c r="M191" s="730"/>
      <c r="N191" s="730"/>
      <c r="O191" s="730"/>
      <c r="P191" s="731"/>
      <c r="Q191" s="731"/>
      <c r="R191" s="730"/>
      <c r="S191" s="730"/>
      <c r="T191" s="723"/>
      <c r="U191" s="724"/>
      <c r="V191" s="725"/>
      <c r="W191" s="725"/>
      <c r="X191" s="723"/>
      <c r="Y191" s="723"/>
      <c r="Z191" s="723"/>
      <c r="AA191" s="726"/>
      <c r="AB191" s="726"/>
      <c r="AC191" s="170"/>
      <c r="AD191" s="586">
        <f t="shared" si="259"/>
        <v>0</v>
      </c>
      <c r="AE191" s="586">
        <f t="shared" si="259"/>
        <v>0</v>
      </c>
      <c r="AF191" s="586">
        <f t="shared" si="259"/>
        <v>0</v>
      </c>
      <c r="AG191" s="586">
        <f t="shared" si="259"/>
        <v>0</v>
      </c>
      <c r="AH191" s="586">
        <f t="shared" si="259"/>
        <v>0</v>
      </c>
      <c r="AI191" s="586">
        <f t="shared" si="259"/>
        <v>0</v>
      </c>
      <c r="AJ191" s="586">
        <f t="shared" si="259"/>
        <v>0</v>
      </c>
      <c r="AK191" s="586">
        <f t="shared" si="259"/>
        <v>0</v>
      </c>
      <c r="AL191" s="586">
        <f t="shared" si="259"/>
        <v>0</v>
      </c>
      <c r="AM191" s="586">
        <f t="shared" si="259"/>
        <v>0</v>
      </c>
      <c r="AN191" s="586">
        <f t="shared" si="259"/>
        <v>0</v>
      </c>
      <c r="AO191" s="586">
        <f t="shared" si="259"/>
        <v>0</v>
      </c>
      <c r="AP191" s="586">
        <f t="shared" si="259"/>
        <v>0</v>
      </c>
      <c r="AQ191" s="586">
        <f t="shared" si="259"/>
        <v>0</v>
      </c>
      <c r="AR191" s="586">
        <f t="shared" si="259"/>
        <v>0</v>
      </c>
      <c r="AS191" s="586">
        <f t="shared" si="259"/>
        <v>0</v>
      </c>
      <c r="AT191" s="170"/>
    </row>
    <row r="192" spans="1:46" ht="15" x14ac:dyDescent="0.25">
      <c r="A192" s="170"/>
      <c r="B192" s="719"/>
      <c r="C192" s="170"/>
      <c r="D192" s="170"/>
      <c r="E192" s="170"/>
      <c r="F192" s="170">
        <f>+Parameters!D58</f>
        <v>55</v>
      </c>
      <c r="G192" s="170" t="str">
        <f>+Parameters!E58</f>
        <v>Major Eqt - Reactors</v>
      </c>
      <c r="H192" s="586"/>
      <c r="I192" s="170" t="str">
        <f>+Parameters!F58</f>
        <v>ea</v>
      </c>
      <c r="J192" s="170"/>
      <c r="K192" s="170"/>
      <c r="L192" s="170"/>
      <c r="M192" s="730"/>
      <c r="N192" s="730"/>
      <c r="O192" s="730"/>
      <c r="P192" s="731"/>
      <c r="Q192" s="731"/>
      <c r="R192" s="730"/>
      <c r="S192" s="730"/>
      <c r="T192" s="723"/>
      <c r="U192" s="724"/>
      <c r="V192" s="725"/>
      <c r="W192" s="725"/>
      <c r="X192" s="723"/>
      <c r="Y192" s="723"/>
      <c r="Z192" s="723"/>
      <c r="AA192" s="726"/>
      <c r="AB192" s="726"/>
      <c r="AC192" s="170"/>
      <c r="AD192" s="586">
        <f t="shared" si="259"/>
        <v>0</v>
      </c>
      <c r="AE192" s="586">
        <f t="shared" si="259"/>
        <v>0</v>
      </c>
      <c r="AF192" s="586">
        <f t="shared" si="259"/>
        <v>0</v>
      </c>
      <c r="AG192" s="586">
        <f t="shared" si="259"/>
        <v>0</v>
      </c>
      <c r="AH192" s="586">
        <f t="shared" si="259"/>
        <v>0</v>
      </c>
      <c r="AI192" s="586">
        <f t="shared" si="259"/>
        <v>0</v>
      </c>
      <c r="AJ192" s="586">
        <f t="shared" si="259"/>
        <v>0</v>
      </c>
      <c r="AK192" s="586">
        <f t="shared" si="259"/>
        <v>0</v>
      </c>
      <c r="AL192" s="586">
        <f t="shared" si="259"/>
        <v>0</v>
      </c>
      <c r="AM192" s="586">
        <f t="shared" si="259"/>
        <v>0</v>
      </c>
      <c r="AN192" s="586">
        <f t="shared" si="259"/>
        <v>0</v>
      </c>
      <c r="AO192" s="586">
        <f t="shared" si="259"/>
        <v>0</v>
      </c>
      <c r="AP192" s="586">
        <f t="shared" si="259"/>
        <v>0</v>
      </c>
      <c r="AQ192" s="586">
        <f t="shared" si="259"/>
        <v>0</v>
      </c>
      <c r="AR192" s="586">
        <f t="shared" si="259"/>
        <v>0</v>
      </c>
      <c r="AS192" s="586">
        <f t="shared" si="259"/>
        <v>0</v>
      </c>
      <c r="AT192" s="170"/>
    </row>
    <row r="193" spans="1:46" ht="15" x14ac:dyDescent="0.25">
      <c r="A193" s="170"/>
      <c r="B193" s="719"/>
      <c r="C193" s="170"/>
      <c r="D193" s="170"/>
      <c r="E193" s="170"/>
      <c r="F193" s="170">
        <f>+Parameters!D59</f>
        <v>56</v>
      </c>
      <c r="G193" s="170" t="str">
        <f>+Parameters!E59</f>
        <v>Major Eqt - GIS</v>
      </c>
      <c r="H193" s="586"/>
      <c r="I193" s="170" t="str">
        <f>+Parameters!F59</f>
        <v>ea</v>
      </c>
      <c r="J193" s="170"/>
      <c r="K193" s="170"/>
      <c r="L193" s="170"/>
      <c r="M193" s="730"/>
      <c r="N193" s="730"/>
      <c r="O193" s="730"/>
      <c r="P193" s="731"/>
      <c r="Q193" s="731"/>
      <c r="R193" s="730"/>
      <c r="S193" s="730"/>
      <c r="T193" s="723"/>
      <c r="U193" s="724"/>
      <c r="V193" s="725"/>
      <c r="W193" s="725"/>
      <c r="X193" s="723"/>
      <c r="Y193" s="723"/>
      <c r="Z193" s="723"/>
      <c r="AA193" s="726"/>
      <c r="AB193" s="726"/>
      <c r="AC193" s="170"/>
      <c r="AD193" s="586">
        <f t="shared" si="259"/>
        <v>0</v>
      </c>
      <c r="AE193" s="586">
        <f t="shared" si="259"/>
        <v>0</v>
      </c>
      <c r="AF193" s="586">
        <f t="shared" si="259"/>
        <v>0</v>
      </c>
      <c r="AG193" s="586">
        <f t="shared" si="259"/>
        <v>0</v>
      </c>
      <c r="AH193" s="586">
        <f t="shared" si="259"/>
        <v>0</v>
      </c>
      <c r="AI193" s="586">
        <f t="shared" si="259"/>
        <v>0</v>
      </c>
      <c r="AJ193" s="586">
        <f t="shared" si="259"/>
        <v>0</v>
      </c>
      <c r="AK193" s="586">
        <f t="shared" si="259"/>
        <v>0</v>
      </c>
      <c r="AL193" s="586">
        <f t="shared" si="259"/>
        <v>0</v>
      </c>
      <c r="AM193" s="586">
        <f t="shared" si="259"/>
        <v>0</v>
      </c>
      <c r="AN193" s="586">
        <f t="shared" si="259"/>
        <v>0</v>
      </c>
      <c r="AO193" s="586">
        <f t="shared" si="259"/>
        <v>0</v>
      </c>
      <c r="AP193" s="586">
        <f t="shared" si="259"/>
        <v>0</v>
      </c>
      <c r="AQ193" s="586">
        <f t="shared" si="259"/>
        <v>0</v>
      </c>
      <c r="AR193" s="586">
        <f t="shared" si="259"/>
        <v>0</v>
      </c>
      <c r="AS193" s="586">
        <f t="shared" si="259"/>
        <v>0</v>
      </c>
      <c r="AT193" s="170"/>
    </row>
    <row r="194" spans="1:46" ht="15" x14ac:dyDescent="0.25">
      <c r="A194" s="170"/>
      <c r="B194" s="719"/>
      <c r="C194" s="170"/>
      <c r="D194" s="170"/>
      <c r="E194" s="170"/>
      <c r="F194" s="170">
        <f>+Parameters!D60</f>
        <v>57</v>
      </c>
      <c r="G194" s="170" t="str">
        <f>+Parameters!E60</f>
        <v>Major Eqt - Switchgear</v>
      </c>
      <c r="H194" s="586"/>
      <c r="I194" s="170" t="str">
        <f>+Parameters!F60</f>
        <v>ea</v>
      </c>
      <c r="J194" s="170"/>
      <c r="K194" s="170"/>
      <c r="L194" s="170"/>
      <c r="M194" s="730"/>
      <c r="N194" s="730"/>
      <c r="O194" s="730"/>
      <c r="P194" s="731"/>
      <c r="Q194" s="731"/>
      <c r="R194" s="730"/>
      <c r="S194" s="730"/>
      <c r="T194" s="723"/>
      <c r="U194" s="724"/>
      <c r="V194" s="725"/>
      <c r="W194" s="725"/>
      <c r="X194" s="723"/>
      <c r="Y194" s="723"/>
      <c r="Z194" s="723"/>
      <c r="AA194" s="726"/>
      <c r="AB194" s="726"/>
      <c r="AC194" s="170"/>
      <c r="AD194" s="586">
        <f t="shared" si="259"/>
        <v>0</v>
      </c>
      <c r="AE194" s="586">
        <f t="shared" si="259"/>
        <v>0</v>
      </c>
      <c r="AF194" s="586">
        <f t="shared" si="259"/>
        <v>0</v>
      </c>
      <c r="AG194" s="586">
        <f t="shared" si="259"/>
        <v>0</v>
      </c>
      <c r="AH194" s="586">
        <f t="shared" si="259"/>
        <v>0</v>
      </c>
      <c r="AI194" s="586">
        <f t="shared" si="259"/>
        <v>0</v>
      </c>
      <c r="AJ194" s="586">
        <f t="shared" si="259"/>
        <v>0</v>
      </c>
      <c r="AK194" s="586">
        <f t="shared" si="259"/>
        <v>0</v>
      </c>
      <c r="AL194" s="586">
        <f t="shared" si="259"/>
        <v>0</v>
      </c>
      <c r="AM194" s="586">
        <f t="shared" si="259"/>
        <v>0</v>
      </c>
      <c r="AN194" s="586">
        <f t="shared" si="259"/>
        <v>0</v>
      </c>
      <c r="AO194" s="586">
        <f t="shared" si="259"/>
        <v>0</v>
      </c>
      <c r="AP194" s="586">
        <f t="shared" si="259"/>
        <v>0</v>
      </c>
      <c r="AQ194" s="586">
        <f t="shared" si="259"/>
        <v>0</v>
      </c>
      <c r="AR194" s="586">
        <f t="shared" si="259"/>
        <v>0</v>
      </c>
      <c r="AS194" s="586">
        <f t="shared" si="259"/>
        <v>0</v>
      </c>
      <c r="AT194" s="170"/>
    </row>
    <row r="195" spans="1:46" ht="15" x14ac:dyDescent="0.25">
      <c r="A195" s="170"/>
      <c r="B195" s="719"/>
      <c r="C195" s="170"/>
      <c r="D195" s="170"/>
      <c r="E195" s="170"/>
      <c r="F195" s="170">
        <f>+Parameters!D61</f>
        <v>58</v>
      </c>
      <c r="G195" s="170">
        <f>+Parameters!E61</f>
        <v>0</v>
      </c>
      <c r="H195" s="586"/>
      <c r="I195" s="170">
        <f>+Parameters!F61</f>
        <v>0</v>
      </c>
      <c r="J195" s="170"/>
      <c r="K195" s="170"/>
      <c r="L195" s="170"/>
      <c r="M195" s="730"/>
      <c r="N195" s="730"/>
      <c r="O195" s="730"/>
      <c r="P195" s="731"/>
      <c r="Q195" s="731"/>
      <c r="R195" s="730"/>
      <c r="S195" s="730"/>
      <c r="T195" s="723"/>
      <c r="U195" s="724"/>
      <c r="V195" s="725"/>
      <c r="W195" s="725"/>
      <c r="X195" s="723"/>
      <c r="Y195" s="723"/>
      <c r="Z195" s="723"/>
      <c r="AA195" s="726"/>
      <c r="AB195" s="726"/>
      <c r="AC195" s="170"/>
      <c r="AD195" s="586">
        <f t="shared" si="259"/>
        <v>0</v>
      </c>
      <c r="AE195" s="586">
        <f t="shared" si="259"/>
        <v>0</v>
      </c>
      <c r="AF195" s="586">
        <f t="shared" si="259"/>
        <v>0</v>
      </c>
      <c r="AG195" s="586">
        <f t="shared" si="259"/>
        <v>0</v>
      </c>
      <c r="AH195" s="586">
        <f t="shared" si="259"/>
        <v>0</v>
      </c>
      <c r="AI195" s="586">
        <f t="shared" si="259"/>
        <v>0</v>
      </c>
      <c r="AJ195" s="586">
        <f t="shared" si="259"/>
        <v>0</v>
      </c>
      <c r="AK195" s="586">
        <f t="shared" si="259"/>
        <v>0</v>
      </c>
      <c r="AL195" s="586">
        <f t="shared" si="259"/>
        <v>0</v>
      </c>
      <c r="AM195" s="586">
        <f t="shared" si="259"/>
        <v>0</v>
      </c>
      <c r="AN195" s="586">
        <f t="shared" si="259"/>
        <v>0</v>
      </c>
      <c r="AO195" s="586">
        <f t="shared" si="259"/>
        <v>0</v>
      </c>
      <c r="AP195" s="586">
        <f t="shared" si="259"/>
        <v>0</v>
      </c>
      <c r="AQ195" s="586">
        <f t="shared" si="259"/>
        <v>0</v>
      </c>
      <c r="AR195" s="586">
        <f t="shared" si="259"/>
        <v>0</v>
      </c>
      <c r="AS195" s="586">
        <f t="shared" si="259"/>
        <v>0</v>
      </c>
      <c r="AT195" s="170"/>
    </row>
    <row r="196" spans="1:46" ht="15" x14ac:dyDescent="0.25">
      <c r="A196" s="170"/>
      <c r="B196" s="719"/>
      <c r="C196" s="170"/>
      <c r="D196" s="170"/>
      <c r="E196" s="170"/>
      <c r="F196" s="170">
        <f>+Parameters!D62</f>
        <v>59</v>
      </c>
      <c r="G196" s="170" t="str">
        <f>+Parameters!E62</f>
        <v>Major Eqt - Other</v>
      </c>
      <c r="H196" s="586"/>
      <c r="I196" s="170" t="str">
        <f>+Parameters!F62</f>
        <v>ea</v>
      </c>
      <c r="J196" s="170"/>
      <c r="K196" s="170"/>
      <c r="L196" s="170"/>
      <c r="M196" s="730"/>
      <c r="N196" s="730"/>
      <c r="O196" s="730"/>
      <c r="P196" s="731"/>
      <c r="Q196" s="731"/>
      <c r="R196" s="730"/>
      <c r="S196" s="730"/>
      <c r="T196" s="723"/>
      <c r="U196" s="724"/>
      <c r="V196" s="725"/>
      <c r="W196" s="725"/>
      <c r="X196" s="723"/>
      <c r="Y196" s="723"/>
      <c r="Z196" s="723"/>
      <c r="AA196" s="726"/>
      <c r="AB196" s="726"/>
      <c r="AC196" s="170"/>
      <c r="AD196" s="586">
        <f t="shared" si="259"/>
        <v>0</v>
      </c>
      <c r="AE196" s="586">
        <f t="shared" si="259"/>
        <v>0</v>
      </c>
      <c r="AF196" s="586">
        <f t="shared" si="259"/>
        <v>0</v>
      </c>
      <c r="AG196" s="586">
        <f t="shared" si="259"/>
        <v>0</v>
      </c>
      <c r="AH196" s="586">
        <f t="shared" si="259"/>
        <v>0</v>
      </c>
      <c r="AI196" s="586">
        <f t="shared" si="259"/>
        <v>0</v>
      </c>
      <c r="AJ196" s="586">
        <f t="shared" si="259"/>
        <v>0</v>
      </c>
      <c r="AK196" s="586">
        <f t="shared" si="259"/>
        <v>0</v>
      </c>
      <c r="AL196" s="586">
        <f t="shared" si="259"/>
        <v>0</v>
      </c>
      <c r="AM196" s="586">
        <f t="shared" si="259"/>
        <v>0</v>
      </c>
      <c r="AN196" s="586">
        <f t="shared" si="259"/>
        <v>0</v>
      </c>
      <c r="AO196" s="586">
        <f t="shared" si="259"/>
        <v>0</v>
      </c>
      <c r="AP196" s="586">
        <f t="shared" si="259"/>
        <v>0</v>
      </c>
      <c r="AQ196" s="586">
        <f t="shared" si="259"/>
        <v>0</v>
      </c>
      <c r="AR196" s="586">
        <f t="shared" si="259"/>
        <v>0</v>
      </c>
      <c r="AS196" s="586">
        <f t="shared" si="259"/>
        <v>0</v>
      </c>
      <c r="AT196" s="170"/>
    </row>
    <row r="197" spans="1:46" ht="15" x14ac:dyDescent="0.25">
      <c r="A197" s="170"/>
      <c r="B197" s="719"/>
      <c r="C197" s="170"/>
      <c r="D197" s="170"/>
      <c r="E197" s="170"/>
      <c r="F197" s="170">
        <f>+Parameters!D63</f>
        <v>60</v>
      </c>
      <c r="G197" s="170">
        <f>+Parameters!E63</f>
        <v>0</v>
      </c>
      <c r="H197" s="586"/>
      <c r="I197" s="170">
        <f>+Parameters!F63</f>
        <v>0</v>
      </c>
      <c r="J197" s="170"/>
      <c r="K197" s="170"/>
      <c r="L197" s="170"/>
      <c r="M197" s="730"/>
      <c r="N197" s="730"/>
      <c r="O197" s="730"/>
      <c r="P197" s="731"/>
      <c r="Q197" s="731"/>
      <c r="R197" s="730"/>
      <c r="S197" s="730"/>
      <c r="T197" s="723"/>
      <c r="U197" s="724"/>
      <c r="V197" s="725"/>
      <c r="W197" s="725"/>
      <c r="X197" s="723"/>
      <c r="Y197" s="723"/>
      <c r="Z197" s="723"/>
      <c r="AA197" s="726"/>
      <c r="AB197" s="726"/>
      <c r="AC197" s="170"/>
      <c r="AD197" s="586">
        <f t="shared" si="259"/>
        <v>0</v>
      </c>
      <c r="AE197" s="586">
        <f t="shared" si="259"/>
        <v>0</v>
      </c>
      <c r="AF197" s="586">
        <f t="shared" si="259"/>
        <v>0</v>
      </c>
      <c r="AG197" s="586">
        <f t="shared" si="259"/>
        <v>0</v>
      </c>
      <c r="AH197" s="586">
        <f t="shared" si="259"/>
        <v>0</v>
      </c>
      <c r="AI197" s="586">
        <f t="shared" si="259"/>
        <v>0</v>
      </c>
      <c r="AJ197" s="586">
        <f t="shared" si="259"/>
        <v>0</v>
      </c>
      <c r="AK197" s="586">
        <f t="shared" si="259"/>
        <v>0</v>
      </c>
      <c r="AL197" s="586">
        <f t="shared" si="259"/>
        <v>0</v>
      </c>
      <c r="AM197" s="586">
        <f t="shared" si="259"/>
        <v>0</v>
      </c>
      <c r="AN197" s="586">
        <f t="shared" si="259"/>
        <v>0</v>
      </c>
      <c r="AO197" s="586">
        <f t="shared" si="259"/>
        <v>0</v>
      </c>
      <c r="AP197" s="586">
        <f t="shared" si="259"/>
        <v>0</v>
      </c>
      <c r="AQ197" s="586">
        <f t="shared" si="259"/>
        <v>0</v>
      </c>
      <c r="AR197" s="586">
        <f t="shared" si="259"/>
        <v>0</v>
      </c>
      <c r="AS197" s="586">
        <f t="shared" si="259"/>
        <v>0</v>
      </c>
      <c r="AT197" s="170"/>
    </row>
    <row r="198" spans="1:46" ht="15" x14ac:dyDescent="0.25">
      <c r="A198" s="170"/>
      <c r="B198" s="719"/>
      <c r="C198" s="170"/>
      <c r="D198" s="170"/>
      <c r="E198" s="170"/>
      <c r="F198" s="170">
        <f>+Parameters!D64</f>
        <v>61</v>
      </c>
      <c r="G198" s="170">
        <f>+Parameters!E64</f>
        <v>0</v>
      </c>
      <c r="H198" s="586"/>
      <c r="I198" s="170">
        <f>+Parameters!F64</f>
        <v>0</v>
      </c>
      <c r="J198" s="170"/>
      <c r="K198" s="170"/>
      <c r="L198" s="170"/>
      <c r="M198" s="730"/>
      <c r="N198" s="730"/>
      <c r="O198" s="730"/>
      <c r="P198" s="731"/>
      <c r="Q198" s="731"/>
      <c r="R198" s="730"/>
      <c r="S198" s="730"/>
      <c r="T198" s="723"/>
      <c r="U198" s="724"/>
      <c r="V198" s="725"/>
      <c r="W198" s="725"/>
      <c r="X198" s="723"/>
      <c r="Y198" s="723"/>
      <c r="Z198" s="723"/>
      <c r="AA198" s="726"/>
      <c r="AB198" s="726"/>
      <c r="AC198" s="170"/>
      <c r="AD198" s="586">
        <f t="shared" ref="AD198:AS207" si="260">SUMIF($F$9:$F$134,$F198,AD$9:AD$134)</f>
        <v>0</v>
      </c>
      <c r="AE198" s="586">
        <f t="shared" si="260"/>
        <v>0</v>
      </c>
      <c r="AF198" s="586">
        <f t="shared" si="260"/>
        <v>0</v>
      </c>
      <c r="AG198" s="586">
        <f t="shared" si="260"/>
        <v>0</v>
      </c>
      <c r="AH198" s="586">
        <f t="shared" si="260"/>
        <v>0</v>
      </c>
      <c r="AI198" s="586">
        <f t="shared" si="260"/>
        <v>0</v>
      </c>
      <c r="AJ198" s="586">
        <f t="shared" si="260"/>
        <v>0</v>
      </c>
      <c r="AK198" s="586">
        <f t="shared" si="260"/>
        <v>0</v>
      </c>
      <c r="AL198" s="586">
        <f t="shared" si="260"/>
        <v>0</v>
      </c>
      <c r="AM198" s="586">
        <f t="shared" si="260"/>
        <v>0</v>
      </c>
      <c r="AN198" s="586">
        <f t="shared" si="260"/>
        <v>0</v>
      </c>
      <c r="AO198" s="586">
        <f t="shared" si="260"/>
        <v>0</v>
      </c>
      <c r="AP198" s="586">
        <f t="shared" si="260"/>
        <v>0</v>
      </c>
      <c r="AQ198" s="586">
        <f t="shared" si="260"/>
        <v>0</v>
      </c>
      <c r="AR198" s="586">
        <f t="shared" si="260"/>
        <v>0</v>
      </c>
      <c r="AS198" s="586">
        <f t="shared" si="260"/>
        <v>0</v>
      </c>
      <c r="AT198" s="170"/>
    </row>
    <row r="199" spans="1:46" ht="15" x14ac:dyDescent="0.25">
      <c r="A199" s="170"/>
      <c r="B199" s="719"/>
      <c r="C199" s="170"/>
      <c r="D199" s="170"/>
      <c r="E199" s="170"/>
      <c r="F199" s="170">
        <f>+Parameters!D65</f>
        <v>62</v>
      </c>
      <c r="G199" s="170">
        <f>+Parameters!E65</f>
        <v>0</v>
      </c>
      <c r="H199" s="586"/>
      <c r="I199" s="170">
        <f>+Parameters!F65</f>
        <v>0</v>
      </c>
      <c r="J199" s="170"/>
      <c r="K199" s="170"/>
      <c r="L199" s="170"/>
      <c r="M199" s="730"/>
      <c r="N199" s="730"/>
      <c r="O199" s="730"/>
      <c r="P199" s="731"/>
      <c r="Q199" s="731"/>
      <c r="R199" s="730"/>
      <c r="S199" s="730"/>
      <c r="T199" s="723"/>
      <c r="U199" s="724"/>
      <c r="V199" s="725"/>
      <c r="W199" s="725"/>
      <c r="X199" s="723"/>
      <c r="Y199" s="723"/>
      <c r="Z199" s="723"/>
      <c r="AA199" s="726"/>
      <c r="AB199" s="726"/>
      <c r="AC199" s="170"/>
      <c r="AD199" s="586">
        <f t="shared" si="260"/>
        <v>0</v>
      </c>
      <c r="AE199" s="586">
        <f t="shared" si="260"/>
        <v>0</v>
      </c>
      <c r="AF199" s="586">
        <f t="shared" si="260"/>
        <v>0</v>
      </c>
      <c r="AG199" s="586">
        <f t="shared" si="260"/>
        <v>0</v>
      </c>
      <c r="AH199" s="586">
        <f t="shared" si="260"/>
        <v>0</v>
      </c>
      <c r="AI199" s="586">
        <f t="shared" si="260"/>
        <v>0</v>
      </c>
      <c r="AJ199" s="586">
        <f t="shared" si="260"/>
        <v>0</v>
      </c>
      <c r="AK199" s="586">
        <f t="shared" si="260"/>
        <v>0</v>
      </c>
      <c r="AL199" s="586">
        <f t="shared" si="260"/>
        <v>0</v>
      </c>
      <c r="AM199" s="586">
        <f t="shared" si="260"/>
        <v>0</v>
      </c>
      <c r="AN199" s="586">
        <f t="shared" si="260"/>
        <v>0</v>
      </c>
      <c r="AO199" s="586">
        <f t="shared" si="260"/>
        <v>0</v>
      </c>
      <c r="AP199" s="586">
        <f t="shared" si="260"/>
        <v>0</v>
      </c>
      <c r="AQ199" s="586">
        <f t="shared" si="260"/>
        <v>0</v>
      </c>
      <c r="AR199" s="586">
        <f t="shared" si="260"/>
        <v>0</v>
      </c>
      <c r="AS199" s="586">
        <f t="shared" si="260"/>
        <v>0</v>
      </c>
      <c r="AT199" s="170"/>
    </row>
    <row r="200" spans="1:46" ht="15" x14ac:dyDescent="0.25">
      <c r="A200" s="170"/>
      <c r="B200" s="719"/>
      <c r="C200" s="170"/>
      <c r="D200" s="170"/>
      <c r="E200" s="170"/>
      <c r="F200" s="170">
        <f>+Parameters!D66</f>
        <v>63</v>
      </c>
      <c r="G200" s="170" t="str">
        <f>+Parameters!E66</f>
        <v>Misc. Eqt - Bus</v>
      </c>
      <c r="H200" s="586"/>
      <c r="I200" s="170" t="str">
        <f>+Parameters!F66</f>
        <v>lf</v>
      </c>
      <c r="J200" s="170"/>
      <c r="K200" s="170"/>
      <c r="L200" s="170"/>
      <c r="M200" s="730"/>
      <c r="N200" s="730"/>
      <c r="O200" s="730"/>
      <c r="P200" s="731"/>
      <c r="Q200" s="731"/>
      <c r="R200" s="730"/>
      <c r="S200" s="730"/>
      <c r="T200" s="723"/>
      <c r="U200" s="724"/>
      <c r="V200" s="725"/>
      <c r="W200" s="725"/>
      <c r="X200" s="723"/>
      <c r="Y200" s="723"/>
      <c r="Z200" s="723"/>
      <c r="AA200" s="726"/>
      <c r="AB200" s="726"/>
      <c r="AC200" s="170"/>
      <c r="AD200" s="586">
        <f t="shared" si="260"/>
        <v>0</v>
      </c>
      <c r="AE200" s="586">
        <f t="shared" si="260"/>
        <v>0</v>
      </c>
      <c r="AF200" s="586">
        <f t="shared" si="260"/>
        <v>0</v>
      </c>
      <c r="AG200" s="586">
        <f t="shared" si="260"/>
        <v>0</v>
      </c>
      <c r="AH200" s="586">
        <f t="shared" si="260"/>
        <v>0</v>
      </c>
      <c r="AI200" s="586">
        <f t="shared" si="260"/>
        <v>0</v>
      </c>
      <c r="AJ200" s="586">
        <f t="shared" si="260"/>
        <v>0</v>
      </c>
      <c r="AK200" s="586">
        <f t="shared" si="260"/>
        <v>0</v>
      </c>
      <c r="AL200" s="586">
        <f t="shared" si="260"/>
        <v>0</v>
      </c>
      <c r="AM200" s="586">
        <f t="shared" si="260"/>
        <v>0</v>
      </c>
      <c r="AN200" s="586">
        <f t="shared" si="260"/>
        <v>0</v>
      </c>
      <c r="AO200" s="586">
        <f t="shared" si="260"/>
        <v>0</v>
      </c>
      <c r="AP200" s="586">
        <f t="shared" si="260"/>
        <v>0</v>
      </c>
      <c r="AQ200" s="586">
        <f t="shared" si="260"/>
        <v>0</v>
      </c>
      <c r="AR200" s="586">
        <f t="shared" si="260"/>
        <v>0</v>
      </c>
      <c r="AS200" s="586">
        <f t="shared" si="260"/>
        <v>0</v>
      </c>
      <c r="AT200" s="170"/>
    </row>
    <row r="201" spans="1:46" ht="15" x14ac:dyDescent="0.25">
      <c r="A201" s="170"/>
      <c r="B201" s="719"/>
      <c r="C201" s="170"/>
      <c r="D201" s="170"/>
      <c r="E201" s="170"/>
      <c r="F201" s="170">
        <f>+Parameters!D67</f>
        <v>64</v>
      </c>
      <c r="G201" s="170" t="str">
        <f>+Parameters!E67</f>
        <v>Misc. Eqt - Conduit / Tray</v>
      </c>
      <c r="H201" s="586"/>
      <c r="I201" s="170" t="str">
        <f>+Parameters!F67</f>
        <v>lf</v>
      </c>
      <c r="J201" s="170"/>
      <c r="K201" s="170"/>
      <c r="L201" s="170"/>
      <c r="M201" s="730"/>
      <c r="N201" s="730"/>
      <c r="O201" s="730"/>
      <c r="P201" s="731"/>
      <c r="Q201" s="731"/>
      <c r="R201" s="730"/>
      <c r="S201" s="730"/>
      <c r="T201" s="723"/>
      <c r="U201" s="724"/>
      <c r="V201" s="725"/>
      <c r="W201" s="725"/>
      <c r="X201" s="723"/>
      <c r="Y201" s="723"/>
      <c r="Z201" s="723"/>
      <c r="AA201" s="726"/>
      <c r="AB201" s="726"/>
      <c r="AC201" s="170"/>
      <c r="AD201" s="586">
        <f t="shared" si="260"/>
        <v>0</v>
      </c>
      <c r="AE201" s="586">
        <f t="shared" si="260"/>
        <v>0</v>
      </c>
      <c r="AF201" s="586">
        <f t="shared" si="260"/>
        <v>0</v>
      </c>
      <c r="AG201" s="586">
        <f t="shared" si="260"/>
        <v>0</v>
      </c>
      <c r="AH201" s="586">
        <f t="shared" si="260"/>
        <v>0</v>
      </c>
      <c r="AI201" s="586">
        <f t="shared" si="260"/>
        <v>0</v>
      </c>
      <c r="AJ201" s="586">
        <f t="shared" si="260"/>
        <v>0</v>
      </c>
      <c r="AK201" s="586">
        <f t="shared" si="260"/>
        <v>0</v>
      </c>
      <c r="AL201" s="586">
        <f t="shared" si="260"/>
        <v>0</v>
      </c>
      <c r="AM201" s="586">
        <f t="shared" si="260"/>
        <v>0</v>
      </c>
      <c r="AN201" s="586">
        <f t="shared" si="260"/>
        <v>0</v>
      </c>
      <c r="AO201" s="586">
        <f t="shared" si="260"/>
        <v>0</v>
      </c>
      <c r="AP201" s="586">
        <f t="shared" si="260"/>
        <v>0</v>
      </c>
      <c r="AQ201" s="586">
        <f t="shared" si="260"/>
        <v>0</v>
      </c>
      <c r="AR201" s="586">
        <f t="shared" si="260"/>
        <v>0</v>
      </c>
      <c r="AS201" s="586">
        <f t="shared" si="260"/>
        <v>0</v>
      </c>
      <c r="AT201" s="170"/>
    </row>
    <row r="202" spans="1:46" ht="15" x14ac:dyDescent="0.25">
      <c r="A202" s="170"/>
      <c r="B202" s="719"/>
      <c r="C202" s="170"/>
      <c r="D202" s="170"/>
      <c r="E202" s="170"/>
      <c r="F202" s="170">
        <f>+Parameters!D68</f>
        <v>65</v>
      </c>
      <c r="G202" s="170" t="str">
        <f>+Parameters!E68</f>
        <v>Misc. Eqt - Insulators</v>
      </c>
      <c r="H202" s="586"/>
      <c r="I202" s="170" t="str">
        <f>+Parameters!F68</f>
        <v>ea</v>
      </c>
      <c r="J202" s="170"/>
      <c r="K202" s="170"/>
      <c r="L202" s="170"/>
      <c r="M202" s="730"/>
      <c r="N202" s="730"/>
      <c r="O202" s="730"/>
      <c r="P202" s="731"/>
      <c r="Q202" s="731"/>
      <c r="R202" s="730"/>
      <c r="S202" s="730"/>
      <c r="T202" s="723"/>
      <c r="U202" s="724"/>
      <c r="V202" s="725"/>
      <c r="W202" s="725"/>
      <c r="X202" s="723"/>
      <c r="Y202" s="723"/>
      <c r="Z202" s="723"/>
      <c r="AA202" s="726"/>
      <c r="AB202" s="726"/>
      <c r="AC202" s="170"/>
      <c r="AD202" s="586">
        <f t="shared" si="260"/>
        <v>0</v>
      </c>
      <c r="AE202" s="586">
        <f t="shared" si="260"/>
        <v>0</v>
      </c>
      <c r="AF202" s="586">
        <f t="shared" si="260"/>
        <v>0</v>
      </c>
      <c r="AG202" s="586">
        <f t="shared" si="260"/>
        <v>0</v>
      </c>
      <c r="AH202" s="586">
        <f t="shared" si="260"/>
        <v>0</v>
      </c>
      <c r="AI202" s="586">
        <f t="shared" si="260"/>
        <v>0</v>
      </c>
      <c r="AJ202" s="586">
        <f t="shared" si="260"/>
        <v>0</v>
      </c>
      <c r="AK202" s="586">
        <f t="shared" si="260"/>
        <v>0</v>
      </c>
      <c r="AL202" s="586">
        <f t="shared" si="260"/>
        <v>0</v>
      </c>
      <c r="AM202" s="586">
        <f t="shared" si="260"/>
        <v>0</v>
      </c>
      <c r="AN202" s="586">
        <f t="shared" si="260"/>
        <v>0</v>
      </c>
      <c r="AO202" s="586">
        <f t="shared" si="260"/>
        <v>0</v>
      </c>
      <c r="AP202" s="586">
        <f t="shared" si="260"/>
        <v>0</v>
      </c>
      <c r="AQ202" s="586">
        <f t="shared" si="260"/>
        <v>0</v>
      </c>
      <c r="AR202" s="586">
        <f t="shared" si="260"/>
        <v>0</v>
      </c>
      <c r="AS202" s="586">
        <f t="shared" si="260"/>
        <v>0</v>
      </c>
      <c r="AT202" s="170"/>
    </row>
    <row r="203" spans="1:46" ht="15" x14ac:dyDescent="0.25">
      <c r="A203" s="170"/>
      <c r="B203" s="719"/>
      <c r="C203" s="170"/>
      <c r="D203" s="170"/>
      <c r="E203" s="170"/>
      <c r="F203" s="170">
        <f>+Parameters!D69</f>
        <v>66</v>
      </c>
      <c r="G203" s="170" t="str">
        <f>+Parameters!E69</f>
        <v>Misc. Eqt - LA's</v>
      </c>
      <c r="H203" s="586"/>
      <c r="I203" s="170" t="str">
        <f>+Parameters!F69</f>
        <v>ea</v>
      </c>
      <c r="J203" s="170"/>
      <c r="K203" s="170"/>
      <c r="L203" s="170"/>
      <c r="M203" s="730"/>
      <c r="N203" s="730"/>
      <c r="O203" s="730"/>
      <c r="P203" s="731"/>
      <c r="Q203" s="731"/>
      <c r="R203" s="730"/>
      <c r="S203" s="730"/>
      <c r="T203" s="723"/>
      <c r="U203" s="724"/>
      <c r="V203" s="725"/>
      <c r="W203" s="725"/>
      <c r="X203" s="723"/>
      <c r="Y203" s="723"/>
      <c r="Z203" s="723"/>
      <c r="AA203" s="726"/>
      <c r="AB203" s="726"/>
      <c r="AC203" s="170"/>
      <c r="AD203" s="586">
        <f t="shared" si="260"/>
        <v>0</v>
      </c>
      <c r="AE203" s="586">
        <f t="shared" si="260"/>
        <v>0</v>
      </c>
      <c r="AF203" s="586">
        <f t="shared" si="260"/>
        <v>0</v>
      </c>
      <c r="AG203" s="586">
        <f t="shared" si="260"/>
        <v>0</v>
      </c>
      <c r="AH203" s="586">
        <f t="shared" si="260"/>
        <v>0</v>
      </c>
      <c r="AI203" s="586">
        <f t="shared" si="260"/>
        <v>0</v>
      </c>
      <c r="AJ203" s="586">
        <f t="shared" si="260"/>
        <v>0</v>
      </c>
      <c r="AK203" s="586">
        <f t="shared" si="260"/>
        <v>0</v>
      </c>
      <c r="AL203" s="586">
        <f t="shared" si="260"/>
        <v>0</v>
      </c>
      <c r="AM203" s="586">
        <f t="shared" si="260"/>
        <v>0</v>
      </c>
      <c r="AN203" s="586">
        <f t="shared" si="260"/>
        <v>0</v>
      </c>
      <c r="AO203" s="586">
        <f t="shared" si="260"/>
        <v>0</v>
      </c>
      <c r="AP203" s="586">
        <f t="shared" si="260"/>
        <v>0</v>
      </c>
      <c r="AQ203" s="586">
        <f t="shared" si="260"/>
        <v>0</v>
      </c>
      <c r="AR203" s="586">
        <f t="shared" si="260"/>
        <v>0</v>
      </c>
      <c r="AS203" s="586">
        <f t="shared" si="260"/>
        <v>0</v>
      </c>
      <c r="AT203" s="170"/>
    </row>
    <row r="204" spans="1:46" ht="15" x14ac:dyDescent="0.25">
      <c r="A204" s="170"/>
      <c r="B204" s="719"/>
      <c r="C204" s="170"/>
      <c r="D204" s="170"/>
      <c r="E204" s="170"/>
      <c r="F204" s="170">
        <f>+Parameters!D70</f>
        <v>67</v>
      </c>
      <c r="G204" s="170" t="str">
        <f>+Parameters!E70</f>
        <v>Misc. Eqt - CCVT</v>
      </c>
      <c r="H204" s="586"/>
      <c r="I204" s="170" t="str">
        <f>+Parameters!F70</f>
        <v>ea</v>
      </c>
      <c r="J204" s="170"/>
      <c r="K204" s="170"/>
      <c r="L204" s="170"/>
      <c r="M204" s="730"/>
      <c r="N204" s="730"/>
      <c r="O204" s="730"/>
      <c r="P204" s="731"/>
      <c r="Q204" s="731"/>
      <c r="R204" s="730"/>
      <c r="S204" s="730"/>
      <c r="T204" s="723"/>
      <c r="U204" s="724"/>
      <c r="V204" s="725"/>
      <c r="W204" s="725"/>
      <c r="X204" s="723"/>
      <c r="Y204" s="723"/>
      <c r="Z204" s="723"/>
      <c r="AA204" s="726"/>
      <c r="AB204" s="726"/>
      <c r="AC204" s="170"/>
      <c r="AD204" s="586">
        <f t="shared" si="260"/>
        <v>0</v>
      </c>
      <c r="AE204" s="586">
        <f t="shared" si="260"/>
        <v>0</v>
      </c>
      <c r="AF204" s="586">
        <f t="shared" si="260"/>
        <v>0</v>
      </c>
      <c r="AG204" s="586">
        <f t="shared" si="260"/>
        <v>0</v>
      </c>
      <c r="AH204" s="586">
        <f t="shared" si="260"/>
        <v>0</v>
      </c>
      <c r="AI204" s="586">
        <f t="shared" si="260"/>
        <v>0</v>
      </c>
      <c r="AJ204" s="586">
        <f t="shared" si="260"/>
        <v>0</v>
      </c>
      <c r="AK204" s="586">
        <f t="shared" si="260"/>
        <v>0</v>
      </c>
      <c r="AL204" s="586">
        <f t="shared" si="260"/>
        <v>0</v>
      </c>
      <c r="AM204" s="586">
        <f t="shared" si="260"/>
        <v>0</v>
      </c>
      <c r="AN204" s="586">
        <f t="shared" si="260"/>
        <v>0</v>
      </c>
      <c r="AO204" s="586">
        <f t="shared" si="260"/>
        <v>0</v>
      </c>
      <c r="AP204" s="586">
        <f t="shared" si="260"/>
        <v>0</v>
      </c>
      <c r="AQ204" s="586">
        <f t="shared" si="260"/>
        <v>0</v>
      </c>
      <c r="AR204" s="586">
        <f t="shared" si="260"/>
        <v>0</v>
      </c>
      <c r="AS204" s="586">
        <f t="shared" si="260"/>
        <v>0</v>
      </c>
      <c r="AT204" s="170"/>
    </row>
    <row r="205" spans="1:46" ht="15" x14ac:dyDescent="0.25">
      <c r="A205" s="170"/>
      <c r="B205" s="719"/>
      <c r="C205" s="170"/>
      <c r="D205" s="170"/>
      <c r="E205" s="170"/>
      <c r="F205" s="170">
        <f>+Parameters!D71</f>
        <v>68</v>
      </c>
      <c r="G205" s="170">
        <f>+Parameters!E71</f>
        <v>0</v>
      </c>
      <c r="H205" s="586"/>
      <c r="I205" s="170">
        <f>+Parameters!F71</f>
        <v>0</v>
      </c>
      <c r="J205" s="170"/>
      <c r="K205" s="170"/>
      <c r="L205" s="170"/>
      <c r="M205" s="730"/>
      <c r="N205" s="730"/>
      <c r="O205" s="730"/>
      <c r="P205" s="731"/>
      <c r="Q205" s="731"/>
      <c r="R205" s="730"/>
      <c r="S205" s="730"/>
      <c r="T205" s="723"/>
      <c r="U205" s="724"/>
      <c r="V205" s="725"/>
      <c r="W205" s="725"/>
      <c r="X205" s="723"/>
      <c r="Y205" s="723"/>
      <c r="Z205" s="723"/>
      <c r="AA205" s="726"/>
      <c r="AB205" s="726"/>
      <c r="AC205" s="170"/>
      <c r="AD205" s="586">
        <f t="shared" si="260"/>
        <v>0</v>
      </c>
      <c r="AE205" s="586">
        <f t="shared" si="260"/>
        <v>0</v>
      </c>
      <c r="AF205" s="586">
        <f t="shared" si="260"/>
        <v>0</v>
      </c>
      <c r="AG205" s="586">
        <f t="shared" si="260"/>
        <v>0</v>
      </c>
      <c r="AH205" s="586">
        <f t="shared" si="260"/>
        <v>0</v>
      </c>
      <c r="AI205" s="586">
        <f t="shared" si="260"/>
        <v>0</v>
      </c>
      <c r="AJ205" s="586">
        <f t="shared" si="260"/>
        <v>0</v>
      </c>
      <c r="AK205" s="586">
        <f t="shared" si="260"/>
        <v>0</v>
      </c>
      <c r="AL205" s="586">
        <f t="shared" si="260"/>
        <v>0</v>
      </c>
      <c r="AM205" s="586">
        <f t="shared" si="260"/>
        <v>0</v>
      </c>
      <c r="AN205" s="586">
        <f t="shared" si="260"/>
        <v>0</v>
      </c>
      <c r="AO205" s="586">
        <f t="shared" si="260"/>
        <v>0</v>
      </c>
      <c r="AP205" s="586">
        <f t="shared" si="260"/>
        <v>0</v>
      </c>
      <c r="AQ205" s="586">
        <f t="shared" si="260"/>
        <v>0</v>
      </c>
      <c r="AR205" s="586">
        <f t="shared" si="260"/>
        <v>0</v>
      </c>
      <c r="AS205" s="586">
        <f t="shared" si="260"/>
        <v>0</v>
      </c>
      <c r="AT205" s="170"/>
    </row>
    <row r="206" spans="1:46" ht="15" x14ac:dyDescent="0.25">
      <c r="A206" s="170"/>
      <c r="B206" s="719"/>
      <c r="C206" s="170"/>
      <c r="D206" s="170"/>
      <c r="E206" s="170"/>
      <c r="F206" s="170">
        <f>+Parameters!D72</f>
        <v>69</v>
      </c>
      <c r="G206" s="170" t="str">
        <f>+Parameters!E72</f>
        <v>Misc. Eqt - Other</v>
      </c>
      <c r="H206" s="586"/>
      <c r="I206" s="170" t="str">
        <f>+Parameters!F72</f>
        <v>ea</v>
      </c>
      <c r="J206" s="170"/>
      <c r="K206" s="170"/>
      <c r="L206" s="170"/>
      <c r="M206" s="730"/>
      <c r="N206" s="730"/>
      <c r="O206" s="730"/>
      <c r="P206" s="731"/>
      <c r="Q206" s="731"/>
      <c r="R206" s="730"/>
      <c r="S206" s="730"/>
      <c r="T206" s="723"/>
      <c r="U206" s="724"/>
      <c r="V206" s="725"/>
      <c r="W206" s="725"/>
      <c r="X206" s="723"/>
      <c r="Y206" s="723"/>
      <c r="Z206" s="723"/>
      <c r="AA206" s="726"/>
      <c r="AB206" s="726"/>
      <c r="AC206" s="170"/>
      <c r="AD206" s="586">
        <f t="shared" si="260"/>
        <v>0</v>
      </c>
      <c r="AE206" s="586">
        <f t="shared" si="260"/>
        <v>0</v>
      </c>
      <c r="AF206" s="586">
        <f t="shared" si="260"/>
        <v>0</v>
      </c>
      <c r="AG206" s="586">
        <f t="shared" si="260"/>
        <v>0</v>
      </c>
      <c r="AH206" s="586">
        <f t="shared" si="260"/>
        <v>0</v>
      </c>
      <c r="AI206" s="586">
        <f t="shared" si="260"/>
        <v>0</v>
      </c>
      <c r="AJ206" s="586">
        <f t="shared" si="260"/>
        <v>0</v>
      </c>
      <c r="AK206" s="586">
        <f t="shared" si="260"/>
        <v>0</v>
      </c>
      <c r="AL206" s="586">
        <f t="shared" si="260"/>
        <v>0</v>
      </c>
      <c r="AM206" s="586">
        <f t="shared" si="260"/>
        <v>0</v>
      </c>
      <c r="AN206" s="586">
        <f t="shared" si="260"/>
        <v>0</v>
      </c>
      <c r="AO206" s="586">
        <f t="shared" si="260"/>
        <v>0</v>
      </c>
      <c r="AP206" s="586">
        <f t="shared" si="260"/>
        <v>0</v>
      </c>
      <c r="AQ206" s="586">
        <f t="shared" si="260"/>
        <v>0</v>
      </c>
      <c r="AR206" s="586">
        <f t="shared" si="260"/>
        <v>0</v>
      </c>
      <c r="AS206" s="586">
        <f t="shared" si="260"/>
        <v>0</v>
      </c>
      <c r="AT206" s="170"/>
    </row>
    <row r="207" spans="1:46" ht="15" x14ac:dyDescent="0.25">
      <c r="A207" s="170"/>
      <c r="B207" s="719"/>
      <c r="C207" s="170"/>
      <c r="D207" s="170"/>
      <c r="E207" s="170"/>
      <c r="F207" s="170">
        <f>+Parameters!D73</f>
        <v>70</v>
      </c>
      <c r="G207" s="170" t="str">
        <f>+Parameters!E73</f>
        <v>Control house Buidling</v>
      </c>
      <c r="H207" s="586"/>
      <c r="I207" s="170">
        <f>+Parameters!F73</f>
        <v>0</v>
      </c>
      <c r="J207" s="170"/>
      <c r="K207" s="170"/>
      <c r="L207" s="170"/>
      <c r="M207" s="730"/>
      <c r="N207" s="730"/>
      <c r="O207" s="730"/>
      <c r="P207" s="731"/>
      <c r="Q207" s="731"/>
      <c r="R207" s="730"/>
      <c r="S207" s="730"/>
      <c r="T207" s="723"/>
      <c r="U207" s="724"/>
      <c r="V207" s="725"/>
      <c r="W207" s="725"/>
      <c r="X207" s="723"/>
      <c r="Y207" s="723"/>
      <c r="Z207" s="723"/>
      <c r="AA207" s="726"/>
      <c r="AB207" s="726"/>
      <c r="AC207" s="170"/>
      <c r="AD207" s="586">
        <f t="shared" si="260"/>
        <v>0</v>
      </c>
      <c r="AE207" s="586">
        <f t="shared" si="260"/>
        <v>0</v>
      </c>
      <c r="AF207" s="586">
        <f t="shared" si="260"/>
        <v>0</v>
      </c>
      <c r="AG207" s="586">
        <f t="shared" si="260"/>
        <v>0</v>
      </c>
      <c r="AH207" s="586">
        <f t="shared" si="260"/>
        <v>0</v>
      </c>
      <c r="AI207" s="586">
        <f t="shared" si="260"/>
        <v>0</v>
      </c>
      <c r="AJ207" s="586">
        <f t="shared" si="260"/>
        <v>0</v>
      </c>
      <c r="AK207" s="586">
        <f t="shared" si="260"/>
        <v>0</v>
      </c>
      <c r="AL207" s="586">
        <f t="shared" si="260"/>
        <v>0</v>
      </c>
      <c r="AM207" s="586">
        <f t="shared" si="260"/>
        <v>0</v>
      </c>
      <c r="AN207" s="586">
        <f t="shared" si="260"/>
        <v>0</v>
      </c>
      <c r="AO207" s="586">
        <f t="shared" si="260"/>
        <v>0</v>
      </c>
      <c r="AP207" s="586">
        <f t="shared" si="260"/>
        <v>0</v>
      </c>
      <c r="AQ207" s="586">
        <f t="shared" si="260"/>
        <v>0</v>
      </c>
      <c r="AR207" s="586">
        <f t="shared" si="260"/>
        <v>0</v>
      </c>
      <c r="AS207" s="586">
        <f t="shared" si="260"/>
        <v>0</v>
      </c>
      <c r="AT207" s="170"/>
    </row>
    <row r="208" spans="1:46" ht="15" x14ac:dyDescent="0.25">
      <c r="A208" s="170"/>
      <c r="B208" s="719"/>
      <c r="C208" s="170"/>
      <c r="D208" s="170"/>
      <c r="E208" s="170"/>
      <c r="F208" s="170">
        <f>+Parameters!D74</f>
        <v>71</v>
      </c>
      <c r="G208" s="170" t="str">
        <f>+Parameters!E74</f>
        <v>Pre-Eng Building</v>
      </c>
      <c r="H208" s="586"/>
      <c r="I208" s="170">
        <f>+Parameters!F74</f>
        <v>0</v>
      </c>
      <c r="J208" s="170"/>
      <c r="K208" s="170"/>
      <c r="L208" s="170"/>
      <c r="M208" s="730"/>
      <c r="N208" s="730"/>
      <c r="O208" s="730"/>
      <c r="P208" s="731"/>
      <c r="Q208" s="731"/>
      <c r="R208" s="730"/>
      <c r="S208" s="730"/>
      <c r="T208" s="723"/>
      <c r="U208" s="724"/>
      <c r="V208" s="725"/>
      <c r="W208" s="725"/>
      <c r="X208" s="723"/>
      <c r="Y208" s="723"/>
      <c r="Z208" s="723"/>
      <c r="AA208" s="726"/>
      <c r="AB208" s="726"/>
      <c r="AC208" s="170"/>
      <c r="AD208" s="586">
        <f t="shared" ref="AD208:AS217" si="261">SUMIF($F$9:$F$134,$F208,AD$9:AD$134)</f>
        <v>0</v>
      </c>
      <c r="AE208" s="586">
        <f t="shared" si="261"/>
        <v>0</v>
      </c>
      <c r="AF208" s="586">
        <f t="shared" si="261"/>
        <v>0</v>
      </c>
      <c r="AG208" s="586">
        <f t="shared" si="261"/>
        <v>0</v>
      </c>
      <c r="AH208" s="586">
        <f t="shared" si="261"/>
        <v>0</v>
      </c>
      <c r="AI208" s="586">
        <f t="shared" si="261"/>
        <v>0</v>
      </c>
      <c r="AJ208" s="586">
        <f t="shared" si="261"/>
        <v>0</v>
      </c>
      <c r="AK208" s="586">
        <f t="shared" si="261"/>
        <v>0</v>
      </c>
      <c r="AL208" s="586">
        <f t="shared" si="261"/>
        <v>0</v>
      </c>
      <c r="AM208" s="586">
        <f t="shared" si="261"/>
        <v>0</v>
      </c>
      <c r="AN208" s="586">
        <f t="shared" si="261"/>
        <v>0</v>
      </c>
      <c r="AO208" s="586">
        <f t="shared" si="261"/>
        <v>0</v>
      </c>
      <c r="AP208" s="586">
        <f t="shared" si="261"/>
        <v>0</v>
      </c>
      <c r="AQ208" s="586">
        <f t="shared" si="261"/>
        <v>0</v>
      </c>
      <c r="AR208" s="586">
        <f t="shared" si="261"/>
        <v>0</v>
      </c>
      <c r="AS208" s="586">
        <f t="shared" si="261"/>
        <v>0</v>
      </c>
      <c r="AT208" s="170"/>
    </row>
    <row r="209" spans="1:46" ht="15" x14ac:dyDescent="0.25">
      <c r="A209" s="170"/>
      <c r="B209" s="719"/>
      <c r="C209" s="170"/>
      <c r="D209" s="170"/>
      <c r="E209" s="170"/>
      <c r="F209" s="170">
        <f>+Parameters!D75</f>
        <v>72</v>
      </c>
      <c r="G209" s="170">
        <f>+Parameters!E75</f>
        <v>0</v>
      </c>
      <c r="H209" s="586"/>
      <c r="I209" s="170">
        <f>+Parameters!F75</f>
        <v>0</v>
      </c>
      <c r="J209" s="170"/>
      <c r="K209" s="170"/>
      <c r="L209" s="170"/>
      <c r="M209" s="730"/>
      <c r="N209" s="730"/>
      <c r="O209" s="730"/>
      <c r="P209" s="731"/>
      <c r="Q209" s="731"/>
      <c r="R209" s="730"/>
      <c r="S209" s="730"/>
      <c r="T209" s="723"/>
      <c r="U209" s="724"/>
      <c r="V209" s="725"/>
      <c r="W209" s="725"/>
      <c r="X209" s="723"/>
      <c r="Y209" s="723"/>
      <c r="Z209" s="723"/>
      <c r="AA209" s="726"/>
      <c r="AB209" s="726"/>
      <c r="AC209" s="170"/>
      <c r="AD209" s="586">
        <f t="shared" si="261"/>
        <v>0</v>
      </c>
      <c r="AE209" s="586">
        <f t="shared" si="261"/>
        <v>0</v>
      </c>
      <c r="AF209" s="586">
        <f t="shared" si="261"/>
        <v>0</v>
      </c>
      <c r="AG209" s="586">
        <f t="shared" si="261"/>
        <v>0</v>
      </c>
      <c r="AH209" s="586">
        <f t="shared" si="261"/>
        <v>0</v>
      </c>
      <c r="AI209" s="586">
        <f t="shared" si="261"/>
        <v>0</v>
      </c>
      <c r="AJ209" s="586">
        <f t="shared" si="261"/>
        <v>0</v>
      </c>
      <c r="AK209" s="586">
        <f t="shared" si="261"/>
        <v>0</v>
      </c>
      <c r="AL209" s="586">
        <f t="shared" si="261"/>
        <v>0</v>
      </c>
      <c r="AM209" s="586">
        <f t="shared" si="261"/>
        <v>0</v>
      </c>
      <c r="AN209" s="586">
        <f t="shared" si="261"/>
        <v>0</v>
      </c>
      <c r="AO209" s="586">
        <f t="shared" si="261"/>
        <v>0</v>
      </c>
      <c r="AP209" s="586">
        <f t="shared" si="261"/>
        <v>0</v>
      </c>
      <c r="AQ209" s="586">
        <f t="shared" si="261"/>
        <v>0</v>
      </c>
      <c r="AR209" s="586">
        <f t="shared" si="261"/>
        <v>0</v>
      </c>
      <c r="AS209" s="586">
        <f t="shared" si="261"/>
        <v>0</v>
      </c>
      <c r="AT209" s="170"/>
    </row>
    <row r="210" spans="1:46" ht="15" x14ac:dyDescent="0.25">
      <c r="A210" s="170"/>
      <c r="B210" s="719"/>
      <c r="C210" s="170"/>
      <c r="D210" s="170"/>
      <c r="E210" s="170"/>
      <c r="F210" s="170">
        <f>+Parameters!D76</f>
        <v>73</v>
      </c>
      <c r="G210" s="170">
        <f>+Parameters!E76</f>
        <v>0</v>
      </c>
      <c r="H210" s="586"/>
      <c r="I210" s="170">
        <f>+Parameters!F76</f>
        <v>0</v>
      </c>
      <c r="J210" s="170"/>
      <c r="K210" s="170"/>
      <c r="L210" s="170"/>
      <c r="M210" s="730"/>
      <c r="N210" s="730"/>
      <c r="O210" s="730"/>
      <c r="P210" s="731"/>
      <c r="Q210" s="731"/>
      <c r="R210" s="730"/>
      <c r="S210" s="730"/>
      <c r="T210" s="723"/>
      <c r="U210" s="724"/>
      <c r="V210" s="725"/>
      <c r="W210" s="725"/>
      <c r="X210" s="723"/>
      <c r="Y210" s="723"/>
      <c r="Z210" s="723"/>
      <c r="AA210" s="726"/>
      <c r="AB210" s="726"/>
      <c r="AC210" s="170"/>
      <c r="AD210" s="586">
        <f t="shared" si="261"/>
        <v>0</v>
      </c>
      <c r="AE210" s="586">
        <f t="shared" si="261"/>
        <v>0</v>
      </c>
      <c r="AF210" s="586">
        <f t="shared" si="261"/>
        <v>0</v>
      </c>
      <c r="AG210" s="586">
        <f t="shared" si="261"/>
        <v>0</v>
      </c>
      <c r="AH210" s="586">
        <f t="shared" si="261"/>
        <v>0</v>
      </c>
      <c r="AI210" s="586">
        <f t="shared" si="261"/>
        <v>0</v>
      </c>
      <c r="AJ210" s="586">
        <f t="shared" si="261"/>
        <v>0</v>
      </c>
      <c r="AK210" s="586">
        <f t="shared" si="261"/>
        <v>0</v>
      </c>
      <c r="AL210" s="586">
        <f t="shared" si="261"/>
        <v>0</v>
      </c>
      <c r="AM210" s="586">
        <f t="shared" si="261"/>
        <v>0</v>
      </c>
      <c r="AN210" s="586">
        <f t="shared" si="261"/>
        <v>0</v>
      </c>
      <c r="AO210" s="586">
        <f t="shared" si="261"/>
        <v>0</v>
      </c>
      <c r="AP210" s="586">
        <f t="shared" si="261"/>
        <v>0</v>
      </c>
      <c r="AQ210" s="586">
        <f t="shared" si="261"/>
        <v>0</v>
      </c>
      <c r="AR210" s="586">
        <f t="shared" si="261"/>
        <v>0</v>
      </c>
      <c r="AS210" s="586">
        <f t="shared" si="261"/>
        <v>0</v>
      </c>
      <c r="AT210" s="170"/>
    </row>
    <row r="211" spans="1:46" ht="15" x14ac:dyDescent="0.25">
      <c r="A211" s="170"/>
      <c r="B211" s="719"/>
      <c r="C211" s="170"/>
      <c r="D211" s="170"/>
      <c r="E211" s="170"/>
      <c r="F211" s="170">
        <f>+Parameters!D77</f>
        <v>74</v>
      </c>
      <c r="G211" s="170">
        <f>+Parameters!E77</f>
        <v>0</v>
      </c>
      <c r="H211" s="586"/>
      <c r="I211" s="170">
        <f>+Parameters!F77</f>
        <v>0</v>
      </c>
      <c r="J211" s="170"/>
      <c r="K211" s="170"/>
      <c r="L211" s="170"/>
      <c r="M211" s="730"/>
      <c r="N211" s="730"/>
      <c r="O211" s="730"/>
      <c r="P211" s="731"/>
      <c r="Q211" s="731"/>
      <c r="R211" s="730"/>
      <c r="S211" s="730"/>
      <c r="T211" s="723"/>
      <c r="U211" s="724"/>
      <c r="V211" s="725"/>
      <c r="W211" s="725"/>
      <c r="X211" s="723"/>
      <c r="Y211" s="723"/>
      <c r="Z211" s="723"/>
      <c r="AA211" s="726"/>
      <c r="AB211" s="726"/>
      <c r="AC211" s="170"/>
      <c r="AD211" s="586">
        <f t="shared" si="261"/>
        <v>0</v>
      </c>
      <c r="AE211" s="586">
        <f t="shared" si="261"/>
        <v>0</v>
      </c>
      <c r="AF211" s="586">
        <f t="shared" si="261"/>
        <v>0</v>
      </c>
      <c r="AG211" s="586">
        <f t="shared" si="261"/>
        <v>0</v>
      </c>
      <c r="AH211" s="586">
        <f t="shared" si="261"/>
        <v>0</v>
      </c>
      <c r="AI211" s="586">
        <f t="shared" si="261"/>
        <v>0</v>
      </c>
      <c r="AJ211" s="586">
        <f t="shared" si="261"/>
        <v>0</v>
      </c>
      <c r="AK211" s="586">
        <f t="shared" si="261"/>
        <v>0</v>
      </c>
      <c r="AL211" s="586">
        <f t="shared" si="261"/>
        <v>0</v>
      </c>
      <c r="AM211" s="586">
        <f t="shared" si="261"/>
        <v>0</v>
      </c>
      <c r="AN211" s="586">
        <f t="shared" si="261"/>
        <v>0</v>
      </c>
      <c r="AO211" s="586">
        <f t="shared" si="261"/>
        <v>0</v>
      </c>
      <c r="AP211" s="586">
        <f t="shared" si="261"/>
        <v>0</v>
      </c>
      <c r="AQ211" s="586">
        <f t="shared" si="261"/>
        <v>0</v>
      </c>
      <c r="AR211" s="586">
        <f t="shared" si="261"/>
        <v>0</v>
      </c>
      <c r="AS211" s="586">
        <f t="shared" si="261"/>
        <v>0</v>
      </c>
      <c r="AT211" s="170"/>
    </row>
    <row r="212" spans="1:46" ht="15" x14ac:dyDescent="0.25">
      <c r="A212" s="170"/>
      <c r="B212" s="719"/>
      <c r="C212" s="170"/>
      <c r="D212" s="170"/>
      <c r="E212" s="170"/>
      <c r="F212" s="170">
        <f>+Parameters!D78</f>
        <v>75</v>
      </c>
      <c r="G212" s="170">
        <f>+Parameters!E78</f>
        <v>0</v>
      </c>
      <c r="H212" s="586"/>
      <c r="I212" s="170">
        <f>+Parameters!F78</f>
        <v>0</v>
      </c>
      <c r="J212" s="170"/>
      <c r="K212" s="170"/>
      <c r="L212" s="170"/>
      <c r="M212" s="730"/>
      <c r="N212" s="730"/>
      <c r="O212" s="730"/>
      <c r="P212" s="731"/>
      <c r="Q212" s="731"/>
      <c r="R212" s="730"/>
      <c r="S212" s="730"/>
      <c r="T212" s="723"/>
      <c r="U212" s="724"/>
      <c r="V212" s="725"/>
      <c r="W212" s="725"/>
      <c r="X212" s="723"/>
      <c r="Y212" s="723"/>
      <c r="Z212" s="723"/>
      <c r="AA212" s="726"/>
      <c r="AB212" s="726"/>
      <c r="AC212" s="170"/>
      <c r="AD212" s="586">
        <f t="shared" si="261"/>
        <v>0</v>
      </c>
      <c r="AE212" s="586">
        <f t="shared" si="261"/>
        <v>0</v>
      </c>
      <c r="AF212" s="586">
        <f t="shared" si="261"/>
        <v>0</v>
      </c>
      <c r="AG212" s="586">
        <f t="shared" si="261"/>
        <v>0</v>
      </c>
      <c r="AH212" s="586">
        <f t="shared" si="261"/>
        <v>0</v>
      </c>
      <c r="AI212" s="586">
        <f t="shared" si="261"/>
        <v>0</v>
      </c>
      <c r="AJ212" s="586">
        <f t="shared" si="261"/>
        <v>0</v>
      </c>
      <c r="AK212" s="586">
        <f t="shared" si="261"/>
        <v>0</v>
      </c>
      <c r="AL212" s="586">
        <f t="shared" si="261"/>
        <v>0</v>
      </c>
      <c r="AM212" s="586">
        <f t="shared" si="261"/>
        <v>0</v>
      </c>
      <c r="AN212" s="586">
        <f t="shared" si="261"/>
        <v>0</v>
      </c>
      <c r="AO212" s="586">
        <f t="shared" si="261"/>
        <v>0</v>
      </c>
      <c r="AP212" s="586">
        <f t="shared" si="261"/>
        <v>0</v>
      </c>
      <c r="AQ212" s="586">
        <f t="shared" si="261"/>
        <v>0</v>
      </c>
      <c r="AR212" s="586">
        <f t="shared" si="261"/>
        <v>0</v>
      </c>
      <c r="AS212" s="586">
        <f t="shared" si="261"/>
        <v>0</v>
      </c>
      <c r="AT212" s="170"/>
    </row>
    <row r="213" spans="1:46" ht="15" x14ac:dyDescent="0.25">
      <c r="A213" s="170"/>
      <c r="B213" s="719"/>
      <c r="C213" s="170"/>
      <c r="D213" s="170"/>
      <c r="E213" s="170"/>
      <c r="F213" s="170">
        <f>+Parameters!D79</f>
        <v>76</v>
      </c>
      <c r="G213" s="170">
        <f>+Parameters!E79</f>
        <v>0</v>
      </c>
      <c r="H213" s="586"/>
      <c r="I213" s="170">
        <f>+Parameters!F79</f>
        <v>0</v>
      </c>
      <c r="J213" s="170"/>
      <c r="K213" s="170"/>
      <c r="L213" s="170"/>
      <c r="M213" s="730"/>
      <c r="N213" s="730"/>
      <c r="O213" s="730"/>
      <c r="P213" s="731"/>
      <c r="Q213" s="731"/>
      <c r="R213" s="730"/>
      <c r="S213" s="730"/>
      <c r="T213" s="723"/>
      <c r="U213" s="724"/>
      <c r="V213" s="725"/>
      <c r="W213" s="725"/>
      <c r="X213" s="723"/>
      <c r="Y213" s="723"/>
      <c r="Z213" s="723"/>
      <c r="AA213" s="726"/>
      <c r="AB213" s="726"/>
      <c r="AC213" s="170"/>
      <c r="AD213" s="586">
        <f t="shared" si="261"/>
        <v>0</v>
      </c>
      <c r="AE213" s="586">
        <f t="shared" si="261"/>
        <v>0</v>
      </c>
      <c r="AF213" s="586">
        <f t="shared" si="261"/>
        <v>0</v>
      </c>
      <c r="AG213" s="586">
        <f t="shared" si="261"/>
        <v>0</v>
      </c>
      <c r="AH213" s="586">
        <f t="shared" si="261"/>
        <v>0</v>
      </c>
      <c r="AI213" s="586">
        <f t="shared" si="261"/>
        <v>0</v>
      </c>
      <c r="AJ213" s="586">
        <f t="shared" si="261"/>
        <v>0</v>
      </c>
      <c r="AK213" s="586">
        <f t="shared" si="261"/>
        <v>0</v>
      </c>
      <c r="AL213" s="586">
        <f t="shared" si="261"/>
        <v>0</v>
      </c>
      <c r="AM213" s="586">
        <f t="shared" si="261"/>
        <v>0</v>
      </c>
      <c r="AN213" s="586">
        <f t="shared" si="261"/>
        <v>0</v>
      </c>
      <c r="AO213" s="586">
        <f t="shared" si="261"/>
        <v>0</v>
      </c>
      <c r="AP213" s="586">
        <f t="shared" si="261"/>
        <v>0</v>
      </c>
      <c r="AQ213" s="586">
        <f t="shared" si="261"/>
        <v>0</v>
      </c>
      <c r="AR213" s="586">
        <f t="shared" si="261"/>
        <v>0</v>
      </c>
      <c r="AS213" s="586">
        <f t="shared" si="261"/>
        <v>0</v>
      </c>
      <c r="AT213" s="170"/>
    </row>
    <row r="214" spans="1:46" ht="15" x14ac:dyDescent="0.25">
      <c r="A214" s="170"/>
      <c r="B214" s="719"/>
      <c r="C214" s="170"/>
      <c r="D214" s="170"/>
      <c r="E214" s="170"/>
      <c r="F214" s="170">
        <f>+Parameters!D80</f>
        <v>77</v>
      </c>
      <c r="G214" s="170">
        <f>+Parameters!E80</f>
        <v>0</v>
      </c>
      <c r="H214" s="586"/>
      <c r="I214" s="170">
        <f>+Parameters!F80</f>
        <v>0</v>
      </c>
      <c r="J214" s="170"/>
      <c r="K214" s="170"/>
      <c r="L214" s="170"/>
      <c r="M214" s="730"/>
      <c r="N214" s="730"/>
      <c r="O214" s="730"/>
      <c r="P214" s="731"/>
      <c r="Q214" s="731"/>
      <c r="R214" s="730"/>
      <c r="S214" s="730"/>
      <c r="T214" s="723"/>
      <c r="U214" s="724"/>
      <c r="V214" s="725"/>
      <c r="W214" s="725"/>
      <c r="X214" s="723"/>
      <c r="Y214" s="723"/>
      <c r="Z214" s="723"/>
      <c r="AA214" s="726"/>
      <c r="AB214" s="726"/>
      <c r="AC214" s="170"/>
      <c r="AD214" s="586">
        <f t="shared" si="261"/>
        <v>0</v>
      </c>
      <c r="AE214" s="586">
        <f t="shared" si="261"/>
        <v>0</v>
      </c>
      <c r="AF214" s="586">
        <f t="shared" si="261"/>
        <v>0</v>
      </c>
      <c r="AG214" s="586">
        <f t="shared" si="261"/>
        <v>0</v>
      </c>
      <c r="AH214" s="586">
        <f t="shared" si="261"/>
        <v>0</v>
      </c>
      <c r="AI214" s="586">
        <f t="shared" si="261"/>
        <v>0</v>
      </c>
      <c r="AJ214" s="586">
        <f t="shared" si="261"/>
        <v>0</v>
      </c>
      <c r="AK214" s="586">
        <f t="shared" si="261"/>
        <v>0</v>
      </c>
      <c r="AL214" s="586">
        <f t="shared" si="261"/>
        <v>0</v>
      </c>
      <c r="AM214" s="586">
        <f t="shared" si="261"/>
        <v>0</v>
      </c>
      <c r="AN214" s="586">
        <f t="shared" si="261"/>
        <v>0</v>
      </c>
      <c r="AO214" s="586">
        <f t="shared" si="261"/>
        <v>0</v>
      </c>
      <c r="AP214" s="586">
        <f t="shared" si="261"/>
        <v>0</v>
      </c>
      <c r="AQ214" s="586">
        <f t="shared" si="261"/>
        <v>0</v>
      </c>
      <c r="AR214" s="586">
        <f t="shared" si="261"/>
        <v>0</v>
      </c>
      <c r="AS214" s="586">
        <f t="shared" si="261"/>
        <v>0</v>
      </c>
      <c r="AT214" s="170"/>
    </row>
    <row r="215" spans="1:46" ht="15" x14ac:dyDescent="0.25">
      <c r="A215" s="170"/>
      <c r="B215" s="719"/>
      <c r="C215" s="170"/>
      <c r="D215" s="170"/>
      <c r="E215" s="170"/>
      <c r="F215" s="170">
        <f>+Parameters!D81</f>
        <v>78</v>
      </c>
      <c r="G215" s="170">
        <f>+Parameters!E81</f>
        <v>0</v>
      </c>
      <c r="H215" s="586"/>
      <c r="I215" s="170">
        <f>+Parameters!F81</f>
        <v>0</v>
      </c>
      <c r="J215" s="170"/>
      <c r="K215" s="170"/>
      <c r="L215" s="170"/>
      <c r="M215" s="730"/>
      <c r="N215" s="730"/>
      <c r="O215" s="730"/>
      <c r="P215" s="731"/>
      <c r="Q215" s="731"/>
      <c r="R215" s="730"/>
      <c r="S215" s="730"/>
      <c r="T215" s="723"/>
      <c r="U215" s="724"/>
      <c r="V215" s="725"/>
      <c r="W215" s="725"/>
      <c r="X215" s="723"/>
      <c r="Y215" s="723"/>
      <c r="Z215" s="723"/>
      <c r="AA215" s="726"/>
      <c r="AB215" s="726"/>
      <c r="AC215" s="170"/>
      <c r="AD215" s="586">
        <f t="shared" si="261"/>
        <v>0</v>
      </c>
      <c r="AE215" s="586">
        <f t="shared" si="261"/>
        <v>0</v>
      </c>
      <c r="AF215" s="586">
        <f t="shared" si="261"/>
        <v>0</v>
      </c>
      <c r="AG215" s="586">
        <f t="shared" si="261"/>
        <v>0</v>
      </c>
      <c r="AH215" s="586">
        <f t="shared" si="261"/>
        <v>0</v>
      </c>
      <c r="AI215" s="586">
        <f t="shared" si="261"/>
        <v>0</v>
      </c>
      <c r="AJ215" s="586">
        <f t="shared" si="261"/>
        <v>0</v>
      </c>
      <c r="AK215" s="586">
        <f t="shared" si="261"/>
        <v>0</v>
      </c>
      <c r="AL215" s="586">
        <f t="shared" si="261"/>
        <v>0</v>
      </c>
      <c r="AM215" s="586">
        <f t="shared" si="261"/>
        <v>0</v>
      </c>
      <c r="AN215" s="586">
        <f t="shared" si="261"/>
        <v>0</v>
      </c>
      <c r="AO215" s="586">
        <f t="shared" si="261"/>
        <v>0</v>
      </c>
      <c r="AP215" s="586">
        <f t="shared" si="261"/>
        <v>0</v>
      </c>
      <c r="AQ215" s="586">
        <f t="shared" si="261"/>
        <v>0</v>
      </c>
      <c r="AR215" s="586">
        <f t="shared" si="261"/>
        <v>0</v>
      </c>
      <c r="AS215" s="586">
        <f t="shared" si="261"/>
        <v>0</v>
      </c>
      <c r="AT215" s="170"/>
    </row>
    <row r="216" spans="1:46" ht="15" x14ac:dyDescent="0.25">
      <c r="A216" s="170"/>
      <c r="B216" s="719"/>
      <c r="C216" s="170"/>
      <c r="D216" s="170"/>
      <c r="E216" s="170"/>
      <c r="F216" s="170">
        <f>+Parameters!D82</f>
        <v>79</v>
      </c>
      <c r="G216" s="170">
        <f>+Parameters!E82</f>
        <v>0</v>
      </c>
      <c r="H216" s="586"/>
      <c r="I216" s="170">
        <f>+Parameters!F82</f>
        <v>0</v>
      </c>
      <c r="J216" s="170"/>
      <c r="K216" s="170"/>
      <c r="L216" s="170"/>
      <c r="M216" s="730"/>
      <c r="N216" s="730"/>
      <c r="O216" s="730"/>
      <c r="P216" s="731"/>
      <c r="Q216" s="731"/>
      <c r="R216" s="730"/>
      <c r="S216" s="730"/>
      <c r="T216" s="723"/>
      <c r="U216" s="724"/>
      <c r="V216" s="725"/>
      <c r="W216" s="725"/>
      <c r="X216" s="723"/>
      <c r="Y216" s="723"/>
      <c r="Z216" s="723"/>
      <c r="AA216" s="726"/>
      <c r="AB216" s="726"/>
      <c r="AC216" s="170"/>
      <c r="AD216" s="586">
        <f t="shared" si="261"/>
        <v>0</v>
      </c>
      <c r="AE216" s="586">
        <f t="shared" si="261"/>
        <v>0</v>
      </c>
      <c r="AF216" s="586">
        <f t="shared" si="261"/>
        <v>0</v>
      </c>
      <c r="AG216" s="586">
        <f t="shared" si="261"/>
        <v>0</v>
      </c>
      <c r="AH216" s="586">
        <f t="shared" si="261"/>
        <v>0</v>
      </c>
      <c r="AI216" s="586">
        <f t="shared" si="261"/>
        <v>0</v>
      </c>
      <c r="AJ216" s="586">
        <f t="shared" si="261"/>
        <v>0</v>
      </c>
      <c r="AK216" s="586">
        <f t="shared" si="261"/>
        <v>0</v>
      </c>
      <c r="AL216" s="586">
        <f t="shared" si="261"/>
        <v>0</v>
      </c>
      <c r="AM216" s="586">
        <f t="shared" si="261"/>
        <v>0</v>
      </c>
      <c r="AN216" s="586">
        <f t="shared" si="261"/>
        <v>0</v>
      </c>
      <c r="AO216" s="586">
        <f t="shared" si="261"/>
        <v>0</v>
      </c>
      <c r="AP216" s="586">
        <f t="shared" si="261"/>
        <v>0</v>
      </c>
      <c r="AQ216" s="586">
        <f t="shared" si="261"/>
        <v>0</v>
      </c>
      <c r="AR216" s="586">
        <f t="shared" si="261"/>
        <v>0</v>
      </c>
      <c r="AS216" s="586">
        <f t="shared" si="261"/>
        <v>0</v>
      </c>
      <c r="AT216" s="170"/>
    </row>
    <row r="217" spans="1:46" ht="15" x14ac:dyDescent="0.25">
      <c r="A217" s="170"/>
      <c r="B217" s="719"/>
      <c r="C217" s="170"/>
      <c r="D217" s="170"/>
      <c r="E217" s="170"/>
      <c r="F217" s="170">
        <f>+Parameters!D83</f>
        <v>80</v>
      </c>
      <c r="G217" s="170" t="str">
        <f>+Parameters!E83</f>
        <v>Protection and Controls</v>
      </c>
      <c r="H217" s="586"/>
      <c r="I217" s="170">
        <f>+Parameters!F83</f>
        <v>0</v>
      </c>
      <c r="J217" s="170"/>
      <c r="K217" s="170"/>
      <c r="L217" s="170"/>
      <c r="M217" s="730"/>
      <c r="N217" s="730"/>
      <c r="O217" s="730"/>
      <c r="P217" s="731"/>
      <c r="Q217" s="731"/>
      <c r="R217" s="730"/>
      <c r="S217" s="730"/>
      <c r="T217" s="723"/>
      <c r="U217" s="724"/>
      <c r="V217" s="725"/>
      <c r="W217" s="725"/>
      <c r="X217" s="723"/>
      <c r="Y217" s="723"/>
      <c r="Z217" s="723"/>
      <c r="AA217" s="726"/>
      <c r="AB217" s="726"/>
      <c r="AC217" s="170"/>
      <c r="AD217" s="586">
        <f t="shared" si="261"/>
        <v>0</v>
      </c>
      <c r="AE217" s="586">
        <f t="shared" si="261"/>
        <v>0</v>
      </c>
      <c r="AF217" s="586">
        <f t="shared" si="261"/>
        <v>0</v>
      </c>
      <c r="AG217" s="586">
        <f t="shared" si="261"/>
        <v>0</v>
      </c>
      <c r="AH217" s="586">
        <f t="shared" si="261"/>
        <v>0</v>
      </c>
      <c r="AI217" s="586">
        <f t="shared" si="261"/>
        <v>0</v>
      </c>
      <c r="AJ217" s="586">
        <f t="shared" si="261"/>
        <v>0</v>
      </c>
      <c r="AK217" s="586">
        <f t="shared" si="261"/>
        <v>0</v>
      </c>
      <c r="AL217" s="586">
        <f t="shared" si="261"/>
        <v>0</v>
      </c>
      <c r="AM217" s="586">
        <f t="shared" si="261"/>
        <v>0</v>
      </c>
      <c r="AN217" s="586">
        <f t="shared" si="261"/>
        <v>0</v>
      </c>
      <c r="AO217" s="586">
        <f t="shared" si="261"/>
        <v>0</v>
      </c>
      <c r="AP217" s="586">
        <f t="shared" si="261"/>
        <v>0</v>
      </c>
      <c r="AQ217" s="586">
        <f t="shared" si="261"/>
        <v>0</v>
      </c>
      <c r="AR217" s="586">
        <f t="shared" si="261"/>
        <v>0</v>
      </c>
      <c r="AS217" s="586">
        <f t="shared" si="261"/>
        <v>0</v>
      </c>
      <c r="AT217" s="170"/>
    </row>
    <row r="218" spans="1:46" ht="15" x14ac:dyDescent="0.25">
      <c r="A218" s="170"/>
      <c r="B218" s="719"/>
      <c r="C218" s="170"/>
      <c r="D218" s="170"/>
      <c r="E218" s="170"/>
      <c r="F218" s="170">
        <f>+Parameters!D84</f>
        <v>81</v>
      </c>
      <c r="G218" s="170" t="str">
        <f>+Parameters!E84</f>
        <v>Relays</v>
      </c>
      <c r="H218" s="586"/>
      <c r="I218" s="170" t="str">
        <f>+Parameters!F84</f>
        <v>ea</v>
      </c>
      <c r="J218" s="170"/>
      <c r="K218" s="170"/>
      <c r="L218" s="170"/>
      <c r="M218" s="730"/>
      <c r="N218" s="730"/>
      <c r="O218" s="730"/>
      <c r="P218" s="731"/>
      <c r="Q218" s="731"/>
      <c r="R218" s="730"/>
      <c r="S218" s="730"/>
      <c r="T218" s="723"/>
      <c r="U218" s="724"/>
      <c r="V218" s="725"/>
      <c r="W218" s="725"/>
      <c r="X218" s="723"/>
      <c r="Y218" s="723"/>
      <c r="Z218" s="723"/>
      <c r="AA218" s="726"/>
      <c r="AB218" s="726"/>
      <c r="AC218" s="170"/>
      <c r="AD218" s="586">
        <f t="shared" ref="AD218:AS227" si="262">SUMIF($F$9:$F$134,$F218,AD$9:AD$134)</f>
        <v>0</v>
      </c>
      <c r="AE218" s="586">
        <f t="shared" si="262"/>
        <v>0</v>
      </c>
      <c r="AF218" s="586">
        <f t="shared" si="262"/>
        <v>0</v>
      </c>
      <c r="AG218" s="586">
        <f t="shared" si="262"/>
        <v>0</v>
      </c>
      <c r="AH218" s="586">
        <f t="shared" si="262"/>
        <v>0</v>
      </c>
      <c r="AI218" s="586">
        <f t="shared" si="262"/>
        <v>0</v>
      </c>
      <c r="AJ218" s="586">
        <f t="shared" si="262"/>
        <v>0</v>
      </c>
      <c r="AK218" s="586">
        <f t="shared" si="262"/>
        <v>0</v>
      </c>
      <c r="AL218" s="586">
        <f t="shared" si="262"/>
        <v>0</v>
      </c>
      <c r="AM218" s="586">
        <f t="shared" si="262"/>
        <v>0</v>
      </c>
      <c r="AN218" s="586">
        <f t="shared" si="262"/>
        <v>0</v>
      </c>
      <c r="AO218" s="586">
        <f t="shared" si="262"/>
        <v>0</v>
      </c>
      <c r="AP218" s="586">
        <f t="shared" si="262"/>
        <v>0</v>
      </c>
      <c r="AQ218" s="586">
        <f t="shared" si="262"/>
        <v>0</v>
      </c>
      <c r="AR218" s="586">
        <f t="shared" si="262"/>
        <v>0</v>
      </c>
      <c r="AS218" s="586">
        <f t="shared" si="262"/>
        <v>0</v>
      </c>
      <c r="AT218" s="170"/>
    </row>
    <row r="219" spans="1:46" ht="15" x14ac:dyDescent="0.25">
      <c r="A219" s="170"/>
      <c r="B219" s="719"/>
      <c r="C219" s="170"/>
      <c r="D219" s="170"/>
      <c r="E219" s="170"/>
      <c r="F219" s="170">
        <f>+Parameters!D85</f>
        <v>82</v>
      </c>
      <c r="G219" s="170" t="str">
        <f>+Parameters!E85</f>
        <v>Cabinets</v>
      </c>
      <c r="H219" s="586"/>
      <c r="I219" s="170" t="str">
        <f>+Parameters!F85</f>
        <v>ea</v>
      </c>
      <c r="J219" s="170"/>
      <c r="K219" s="170"/>
      <c r="L219" s="170"/>
      <c r="M219" s="730"/>
      <c r="N219" s="730"/>
      <c r="O219" s="730"/>
      <c r="P219" s="731"/>
      <c r="Q219" s="731"/>
      <c r="R219" s="730"/>
      <c r="S219" s="730"/>
      <c r="T219" s="723"/>
      <c r="U219" s="724"/>
      <c r="V219" s="725"/>
      <c r="W219" s="725"/>
      <c r="X219" s="723"/>
      <c r="Y219" s="723"/>
      <c r="Z219" s="723"/>
      <c r="AA219" s="726"/>
      <c r="AB219" s="726"/>
      <c r="AC219" s="170"/>
      <c r="AD219" s="586">
        <f t="shared" si="262"/>
        <v>0</v>
      </c>
      <c r="AE219" s="586">
        <f t="shared" si="262"/>
        <v>0</v>
      </c>
      <c r="AF219" s="586">
        <f t="shared" si="262"/>
        <v>0</v>
      </c>
      <c r="AG219" s="586">
        <f t="shared" si="262"/>
        <v>0</v>
      </c>
      <c r="AH219" s="586">
        <f t="shared" si="262"/>
        <v>0</v>
      </c>
      <c r="AI219" s="586">
        <f t="shared" si="262"/>
        <v>0</v>
      </c>
      <c r="AJ219" s="586">
        <f t="shared" si="262"/>
        <v>0</v>
      </c>
      <c r="AK219" s="586">
        <f t="shared" si="262"/>
        <v>0</v>
      </c>
      <c r="AL219" s="586">
        <f t="shared" si="262"/>
        <v>0</v>
      </c>
      <c r="AM219" s="586">
        <f t="shared" si="262"/>
        <v>0</v>
      </c>
      <c r="AN219" s="586">
        <f t="shared" si="262"/>
        <v>0</v>
      </c>
      <c r="AO219" s="586">
        <f t="shared" si="262"/>
        <v>0</v>
      </c>
      <c r="AP219" s="586">
        <f t="shared" si="262"/>
        <v>0</v>
      </c>
      <c r="AQ219" s="586">
        <f t="shared" si="262"/>
        <v>0</v>
      </c>
      <c r="AR219" s="586">
        <f t="shared" si="262"/>
        <v>0</v>
      </c>
      <c r="AS219" s="586">
        <f t="shared" si="262"/>
        <v>0</v>
      </c>
      <c r="AT219" s="170"/>
    </row>
    <row r="220" spans="1:46" ht="15" x14ac:dyDescent="0.25">
      <c r="A220" s="170"/>
      <c r="B220" s="719"/>
      <c r="C220" s="170"/>
      <c r="D220" s="170"/>
      <c r="E220" s="170"/>
      <c r="F220" s="170">
        <f>+Parameters!D86</f>
        <v>83</v>
      </c>
      <c r="G220" s="170" t="str">
        <f>+Parameters!E86</f>
        <v>Comm. Eqt</v>
      </c>
      <c r="H220" s="586"/>
      <c r="I220" s="170" t="str">
        <f>+Parameters!F86</f>
        <v>ea</v>
      </c>
      <c r="J220" s="170"/>
      <c r="K220" s="170"/>
      <c r="L220" s="170"/>
      <c r="M220" s="730"/>
      <c r="N220" s="730"/>
      <c r="O220" s="730"/>
      <c r="P220" s="731"/>
      <c r="Q220" s="731"/>
      <c r="R220" s="730"/>
      <c r="S220" s="730"/>
      <c r="T220" s="723"/>
      <c r="U220" s="724"/>
      <c r="V220" s="725"/>
      <c r="W220" s="725"/>
      <c r="X220" s="723"/>
      <c r="Y220" s="723"/>
      <c r="Z220" s="723"/>
      <c r="AA220" s="726"/>
      <c r="AB220" s="726"/>
      <c r="AC220" s="170"/>
      <c r="AD220" s="586">
        <f t="shared" si="262"/>
        <v>0</v>
      </c>
      <c r="AE220" s="586">
        <f t="shared" si="262"/>
        <v>0</v>
      </c>
      <c r="AF220" s="586">
        <f t="shared" si="262"/>
        <v>0</v>
      </c>
      <c r="AG220" s="586">
        <f t="shared" si="262"/>
        <v>0</v>
      </c>
      <c r="AH220" s="586">
        <f t="shared" si="262"/>
        <v>0</v>
      </c>
      <c r="AI220" s="586">
        <f t="shared" si="262"/>
        <v>0</v>
      </c>
      <c r="AJ220" s="586">
        <f t="shared" si="262"/>
        <v>0</v>
      </c>
      <c r="AK220" s="586">
        <f t="shared" si="262"/>
        <v>0</v>
      </c>
      <c r="AL220" s="586">
        <f t="shared" si="262"/>
        <v>0</v>
      </c>
      <c r="AM220" s="586">
        <f t="shared" si="262"/>
        <v>0</v>
      </c>
      <c r="AN220" s="586">
        <f t="shared" si="262"/>
        <v>0</v>
      </c>
      <c r="AO220" s="586">
        <f t="shared" si="262"/>
        <v>0</v>
      </c>
      <c r="AP220" s="586">
        <f t="shared" si="262"/>
        <v>0</v>
      </c>
      <c r="AQ220" s="586">
        <f t="shared" si="262"/>
        <v>0</v>
      </c>
      <c r="AR220" s="586">
        <f t="shared" si="262"/>
        <v>0</v>
      </c>
      <c r="AS220" s="586">
        <f t="shared" si="262"/>
        <v>0</v>
      </c>
      <c r="AT220" s="170"/>
    </row>
    <row r="221" spans="1:46" ht="15" x14ac:dyDescent="0.25">
      <c r="A221" s="170"/>
      <c r="B221" s="719"/>
      <c r="C221" s="170"/>
      <c r="D221" s="170"/>
      <c r="E221" s="170"/>
      <c r="F221" s="170">
        <f>+Parameters!D87</f>
        <v>84</v>
      </c>
      <c r="G221" s="170" t="str">
        <f>+Parameters!E87</f>
        <v>SCADA</v>
      </c>
      <c r="H221" s="586"/>
      <c r="I221" s="170" t="str">
        <f>+Parameters!F87</f>
        <v>ea</v>
      </c>
      <c r="J221" s="170"/>
      <c r="K221" s="170"/>
      <c r="L221" s="170"/>
      <c r="M221" s="730"/>
      <c r="N221" s="730"/>
      <c r="O221" s="730"/>
      <c r="P221" s="731"/>
      <c r="Q221" s="731"/>
      <c r="R221" s="730"/>
      <c r="S221" s="730"/>
      <c r="T221" s="723"/>
      <c r="U221" s="724"/>
      <c r="V221" s="725"/>
      <c r="W221" s="725"/>
      <c r="X221" s="723"/>
      <c r="Y221" s="723"/>
      <c r="Z221" s="723"/>
      <c r="AA221" s="726"/>
      <c r="AB221" s="726"/>
      <c r="AC221" s="170"/>
      <c r="AD221" s="586">
        <f t="shared" si="262"/>
        <v>0</v>
      </c>
      <c r="AE221" s="586">
        <f t="shared" si="262"/>
        <v>0</v>
      </c>
      <c r="AF221" s="586">
        <f t="shared" si="262"/>
        <v>0</v>
      </c>
      <c r="AG221" s="586">
        <f t="shared" si="262"/>
        <v>0</v>
      </c>
      <c r="AH221" s="586">
        <f t="shared" si="262"/>
        <v>0</v>
      </c>
      <c r="AI221" s="586">
        <f t="shared" si="262"/>
        <v>0</v>
      </c>
      <c r="AJ221" s="586">
        <f t="shared" si="262"/>
        <v>0</v>
      </c>
      <c r="AK221" s="586">
        <f t="shared" si="262"/>
        <v>0</v>
      </c>
      <c r="AL221" s="586">
        <f t="shared" si="262"/>
        <v>0</v>
      </c>
      <c r="AM221" s="586">
        <f t="shared" si="262"/>
        <v>0</v>
      </c>
      <c r="AN221" s="586">
        <f t="shared" si="262"/>
        <v>0</v>
      </c>
      <c r="AO221" s="586">
        <f t="shared" si="262"/>
        <v>0</v>
      </c>
      <c r="AP221" s="586">
        <f t="shared" si="262"/>
        <v>0</v>
      </c>
      <c r="AQ221" s="586">
        <f t="shared" si="262"/>
        <v>0</v>
      </c>
      <c r="AR221" s="586">
        <f t="shared" si="262"/>
        <v>0</v>
      </c>
      <c r="AS221" s="586">
        <f t="shared" si="262"/>
        <v>0</v>
      </c>
      <c r="AT221" s="170"/>
    </row>
    <row r="222" spans="1:46" ht="15" x14ac:dyDescent="0.25">
      <c r="A222" s="170"/>
      <c r="B222" s="719"/>
      <c r="C222" s="170"/>
      <c r="D222" s="170"/>
      <c r="E222" s="170"/>
      <c r="F222" s="170">
        <f>+Parameters!D88</f>
        <v>85</v>
      </c>
      <c r="G222" s="170" t="str">
        <f>+Parameters!E88</f>
        <v>Batteries</v>
      </c>
      <c r="H222" s="586"/>
      <c r="I222" s="170" t="str">
        <f>+Parameters!F88</f>
        <v>ea</v>
      </c>
      <c r="J222" s="170"/>
      <c r="K222" s="170"/>
      <c r="L222" s="170"/>
      <c r="M222" s="730"/>
      <c r="N222" s="730"/>
      <c r="O222" s="730"/>
      <c r="P222" s="731"/>
      <c r="Q222" s="731"/>
      <c r="R222" s="730"/>
      <c r="S222" s="730"/>
      <c r="T222" s="723"/>
      <c r="U222" s="724"/>
      <c r="V222" s="725"/>
      <c r="W222" s="725"/>
      <c r="X222" s="723"/>
      <c r="Y222" s="723"/>
      <c r="Z222" s="723"/>
      <c r="AA222" s="726"/>
      <c r="AB222" s="726"/>
      <c r="AC222" s="170"/>
      <c r="AD222" s="586">
        <f t="shared" si="262"/>
        <v>0</v>
      </c>
      <c r="AE222" s="586">
        <f t="shared" si="262"/>
        <v>0</v>
      </c>
      <c r="AF222" s="586">
        <f t="shared" si="262"/>
        <v>0</v>
      </c>
      <c r="AG222" s="586">
        <f t="shared" si="262"/>
        <v>0</v>
      </c>
      <c r="AH222" s="586">
        <f t="shared" si="262"/>
        <v>0</v>
      </c>
      <c r="AI222" s="586">
        <f t="shared" si="262"/>
        <v>0</v>
      </c>
      <c r="AJ222" s="586">
        <f t="shared" si="262"/>
        <v>0</v>
      </c>
      <c r="AK222" s="586">
        <f t="shared" si="262"/>
        <v>0</v>
      </c>
      <c r="AL222" s="586">
        <f t="shared" si="262"/>
        <v>0</v>
      </c>
      <c r="AM222" s="586">
        <f t="shared" si="262"/>
        <v>0</v>
      </c>
      <c r="AN222" s="586">
        <f t="shared" si="262"/>
        <v>0</v>
      </c>
      <c r="AO222" s="586">
        <f t="shared" si="262"/>
        <v>0</v>
      </c>
      <c r="AP222" s="586">
        <f t="shared" si="262"/>
        <v>0</v>
      </c>
      <c r="AQ222" s="586">
        <f t="shared" si="262"/>
        <v>0</v>
      </c>
      <c r="AR222" s="586">
        <f t="shared" si="262"/>
        <v>0</v>
      </c>
      <c r="AS222" s="586">
        <f t="shared" si="262"/>
        <v>0</v>
      </c>
      <c r="AT222" s="170"/>
    </row>
    <row r="223" spans="1:46" ht="15" x14ac:dyDescent="0.25">
      <c r="A223" s="170"/>
      <c r="B223" s="719"/>
      <c r="C223" s="170"/>
      <c r="D223" s="170"/>
      <c r="E223" s="170"/>
      <c r="F223" s="170">
        <f>+Parameters!D89</f>
        <v>86</v>
      </c>
      <c r="G223" s="170">
        <f>+Parameters!E89</f>
        <v>0</v>
      </c>
      <c r="H223" s="586"/>
      <c r="I223" s="170">
        <f>+Parameters!F89</f>
        <v>0</v>
      </c>
      <c r="J223" s="170"/>
      <c r="K223" s="170"/>
      <c r="L223" s="170"/>
      <c r="M223" s="730"/>
      <c r="N223" s="730"/>
      <c r="O223" s="730"/>
      <c r="P223" s="731"/>
      <c r="Q223" s="731"/>
      <c r="R223" s="730"/>
      <c r="S223" s="730"/>
      <c r="T223" s="723"/>
      <c r="U223" s="724"/>
      <c r="V223" s="725"/>
      <c r="W223" s="725"/>
      <c r="X223" s="723"/>
      <c r="Y223" s="723"/>
      <c r="Z223" s="723"/>
      <c r="AA223" s="726"/>
      <c r="AB223" s="726"/>
      <c r="AC223" s="170"/>
      <c r="AD223" s="586">
        <f t="shared" si="262"/>
        <v>0</v>
      </c>
      <c r="AE223" s="586">
        <f t="shared" si="262"/>
        <v>0</v>
      </c>
      <c r="AF223" s="586">
        <f t="shared" si="262"/>
        <v>0</v>
      </c>
      <c r="AG223" s="586">
        <f t="shared" si="262"/>
        <v>0</v>
      </c>
      <c r="AH223" s="586">
        <f t="shared" si="262"/>
        <v>0</v>
      </c>
      <c r="AI223" s="586">
        <f t="shared" si="262"/>
        <v>0</v>
      </c>
      <c r="AJ223" s="586">
        <f t="shared" si="262"/>
        <v>0</v>
      </c>
      <c r="AK223" s="586">
        <f t="shared" si="262"/>
        <v>0</v>
      </c>
      <c r="AL223" s="586">
        <f t="shared" si="262"/>
        <v>0</v>
      </c>
      <c r="AM223" s="586">
        <f t="shared" si="262"/>
        <v>0</v>
      </c>
      <c r="AN223" s="586">
        <f t="shared" si="262"/>
        <v>0</v>
      </c>
      <c r="AO223" s="586">
        <f t="shared" si="262"/>
        <v>0</v>
      </c>
      <c r="AP223" s="586">
        <f t="shared" si="262"/>
        <v>0</v>
      </c>
      <c r="AQ223" s="586">
        <f t="shared" si="262"/>
        <v>0</v>
      </c>
      <c r="AR223" s="586">
        <f t="shared" si="262"/>
        <v>0</v>
      </c>
      <c r="AS223" s="586">
        <f t="shared" si="262"/>
        <v>0</v>
      </c>
      <c r="AT223" s="170"/>
    </row>
    <row r="224" spans="1:46" ht="15" x14ac:dyDescent="0.25">
      <c r="A224" s="170"/>
      <c r="B224" s="719"/>
      <c r="C224" s="170"/>
      <c r="D224" s="170"/>
      <c r="E224" s="170"/>
      <c r="F224" s="170">
        <f>+Parameters!D90</f>
        <v>87</v>
      </c>
      <c r="G224" s="170">
        <f>+Parameters!E90</f>
        <v>0</v>
      </c>
      <c r="H224" s="586"/>
      <c r="I224" s="170">
        <f>+Parameters!F90</f>
        <v>0</v>
      </c>
      <c r="J224" s="170"/>
      <c r="K224" s="170"/>
      <c r="L224" s="170"/>
      <c r="M224" s="730"/>
      <c r="N224" s="730"/>
      <c r="O224" s="730"/>
      <c r="P224" s="731"/>
      <c r="Q224" s="731"/>
      <c r="R224" s="730"/>
      <c r="S224" s="730"/>
      <c r="T224" s="723"/>
      <c r="U224" s="724"/>
      <c r="V224" s="725"/>
      <c r="W224" s="725"/>
      <c r="X224" s="723"/>
      <c r="Y224" s="723"/>
      <c r="Z224" s="723"/>
      <c r="AA224" s="726"/>
      <c r="AB224" s="726"/>
      <c r="AC224" s="170"/>
      <c r="AD224" s="586">
        <f t="shared" si="262"/>
        <v>0</v>
      </c>
      <c r="AE224" s="586">
        <f t="shared" si="262"/>
        <v>0</v>
      </c>
      <c r="AF224" s="586">
        <f t="shared" si="262"/>
        <v>0</v>
      </c>
      <c r="AG224" s="586">
        <f t="shared" si="262"/>
        <v>0</v>
      </c>
      <c r="AH224" s="586">
        <f t="shared" si="262"/>
        <v>0</v>
      </c>
      <c r="AI224" s="586">
        <f t="shared" si="262"/>
        <v>0</v>
      </c>
      <c r="AJ224" s="586">
        <f t="shared" si="262"/>
        <v>0</v>
      </c>
      <c r="AK224" s="586">
        <f t="shared" si="262"/>
        <v>0</v>
      </c>
      <c r="AL224" s="586">
        <f t="shared" si="262"/>
        <v>0</v>
      </c>
      <c r="AM224" s="586">
        <f t="shared" si="262"/>
        <v>0</v>
      </c>
      <c r="AN224" s="586">
        <f t="shared" si="262"/>
        <v>0</v>
      </c>
      <c r="AO224" s="586">
        <f t="shared" si="262"/>
        <v>0</v>
      </c>
      <c r="AP224" s="586">
        <f t="shared" si="262"/>
        <v>0</v>
      </c>
      <c r="AQ224" s="586">
        <f t="shared" si="262"/>
        <v>0</v>
      </c>
      <c r="AR224" s="586">
        <f t="shared" si="262"/>
        <v>0</v>
      </c>
      <c r="AS224" s="586">
        <f t="shared" si="262"/>
        <v>0</v>
      </c>
      <c r="AT224" s="170"/>
    </row>
    <row r="225" spans="1:46" ht="15" x14ac:dyDescent="0.25">
      <c r="A225" s="170"/>
      <c r="B225" s="719"/>
      <c r="C225" s="170"/>
      <c r="D225" s="170"/>
      <c r="E225" s="170"/>
      <c r="F225" s="170">
        <f>+Parameters!D91</f>
        <v>88</v>
      </c>
      <c r="G225" s="170">
        <f>+Parameters!E91</f>
        <v>0</v>
      </c>
      <c r="H225" s="586"/>
      <c r="I225" s="170">
        <f>+Parameters!F91</f>
        <v>0</v>
      </c>
      <c r="J225" s="170"/>
      <c r="K225" s="170"/>
      <c r="L225" s="170"/>
      <c r="M225" s="730"/>
      <c r="N225" s="730"/>
      <c r="O225" s="730"/>
      <c r="P225" s="731"/>
      <c r="Q225" s="731"/>
      <c r="R225" s="730"/>
      <c r="S225" s="730"/>
      <c r="T225" s="723"/>
      <c r="U225" s="724"/>
      <c r="V225" s="725"/>
      <c r="W225" s="725"/>
      <c r="X225" s="723"/>
      <c r="Y225" s="723"/>
      <c r="Z225" s="723"/>
      <c r="AA225" s="726"/>
      <c r="AB225" s="726"/>
      <c r="AC225" s="170"/>
      <c r="AD225" s="586">
        <f t="shared" si="262"/>
        <v>0</v>
      </c>
      <c r="AE225" s="586">
        <f t="shared" si="262"/>
        <v>0</v>
      </c>
      <c r="AF225" s="586">
        <f t="shared" si="262"/>
        <v>0</v>
      </c>
      <c r="AG225" s="586">
        <f t="shared" si="262"/>
        <v>0</v>
      </c>
      <c r="AH225" s="586">
        <f t="shared" si="262"/>
        <v>0</v>
      </c>
      <c r="AI225" s="586">
        <f t="shared" si="262"/>
        <v>0</v>
      </c>
      <c r="AJ225" s="586">
        <f t="shared" si="262"/>
        <v>0</v>
      </c>
      <c r="AK225" s="586">
        <f t="shared" si="262"/>
        <v>0</v>
      </c>
      <c r="AL225" s="586">
        <f t="shared" si="262"/>
        <v>0</v>
      </c>
      <c r="AM225" s="586">
        <f t="shared" si="262"/>
        <v>0</v>
      </c>
      <c r="AN225" s="586">
        <f t="shared" si="262"/>
        <v>0</v>
      </c>
      <c r="AO225" s="586">
        <f t="shared" si="262"/>
        <v>0</v>
      </c>
      <c r="AP225" s="586">
        <f t="shared" si="262"/>
        <v>0</v>
      </c>
      <c r="AQ225" s="586">
        <f t="shared" si="262"/>
        <v>0</v>
      </c>
      <c r="AR225" s="586">
        <f t="shared" si="262"/>
        <v>0</v>
      </c>
      <c r="AS225" s="586">
        <f t="shared" si="262"/>
        <v>0</v>
      </c>
      <c r="AT225" s="170"/>
    </row>
    <row r="226" spans="1:46" ht="15" x14ac:dyDescent="0.25">
      <c r="A226" s="170"/>
      <c r="B226" s="719"/>
      <c r="C226" s="170"/>
      <c r="D226" s="170"/>
      <c r="E226" s="170"/>
      <c r="F226" s="170">
        <f>+Parameters!D92</f>
        <v>89</v>
      </c>
      <c r="G226" s="170" t="str">
        <f>+Parameters!E92</f>
        <v>Misc. Protection and controls Eqt.</v>
      </c>
      <c r="H226" s="586"/>
      <c r="I226" s="170" t="str">
        <f>+Parameters!F92</f>
        <v>ea</v>
      </c>
      <c r="J226" s="170"/>
      <c r="K226" s="170"/>
      <c r="L226" s="170"/>
      <c r="M226" s="730"/>
      <c r="N226" s="730"/>
      <c r="O226" s="730"/>
      <c r="P226" s="731"/>
      <c r="Q226" s="731"/>
      <c r="R226" s="730"/>
      <c r="S226" s="730"/>
      <c r="T226" s="723"/>
      <c r="U226" s="724"/>
      <c r="V226" s="725"/>
      <c r="W226" s="725"/>
      <c r="X226" s="723"/>
      <c r="Y226" s="723"/>
      <c r="Z226" s="723"/>
      <c r="AA226" s="726"/>
      <c r="AB226" s="726"/>
      <c r="AC226" s="170"/>
      <c r="AD226" s="586">
        <f t="shared" si="262"/>
        <v>0</v>
      </c>
      <c r="AE226" s="586">
        <f t="shared" si="262"/>
        <v>0</v>
      </c>
      <c r="AF226" s="586">
        <f t="shared" si="262"/>
        <v>0</v>
      </c>
      <c r="AG226" s="586">
        <f t="shared" si="262"/>
        <v>0</v>
      </c>
      <c r="AH226" s="586">
        <f t="shared" si="262"/>
        <v>0</v>
      </c>
      <c r="AI226" s="586">
        <f t="shared" si="262"/>
        <v>0</v>
      </c>
      <c r="AJ226" s="586">
        <f t="shared" si="262"/>
        <v>0</v>
      </c>
      <c r="AK226" s="586">
        <f t="shared" si="262"/>
        <v>0</v>
      </c>
      <c r="AL226" s="586">
        <f t="shared" si="262"/>
        <v>0</v>
      </c>
      <c r="AM226" s="586">
        <f t="shared" si="262"/>
        <v>0</v>
      </c>
      <c r="AN226" s="586">
        <f t="shared" si="262"/>
        <v>0</v>
      </c>
      <c r="AO226" s="586">
        <f t="shared" si="262"/>
        <v>0</v>
      </c>
      <c r="AP226" s="586">
        <f t="shared" si="262"/>
        <v>0</v>
      </c>
      <c r="AQ226" s="586">
        <f t="shared" si="262"/>
        <v>0</v>
      </c>
      <c r="AR226" s="586">
        <f t="shared" si="262"/>
        <v>0</v>
      </c>
      <c r="AS226" s="586">
        <f t="shared" si="262"/>
        <v>0</v>
      </c>
      <c r="AT226" s="170"/>
    </row>
    <row r="227" spans="1:46" ht="15" x14ac:dyDescent="0.25">
      <c r="A227" s="170"/>
      <c r="B227" s="719"/>
      <c r="C227" s="170"/>
      <c r="D227" s="170"/>
      <c r="E227" s="170"/>
      <c r="F227" s="170">
        <f>+Parameters!D93</f>
        <v>90</v>
      </c>
      <c r="G227" s="170" t="str">
        <f>+Parameters!E93</f>
        <v>Environmental</v>
      </c>
      <c r="H227" s="586"/>
      <c r="I227" s="170">
        <f>+Parameters!F93</f>
        <v>0</v>
      </c>
      <c r="J227" s="170"/>
      <c r="K227" s="170"/>
      <c r="L227" s="170"/>
      <c r="M227" s="730"/>
      <c r="N227" s="730"/>
      <c r="O227" s="730"/>
      <c r="P227" s="731"/>
      <c r="Q227" s="731"/>
      <c r="R227" s="730"/>
      <c r="S227" s="730"/>
      <c r="T227" s="723"/>
      <c r="U227" s="724"/>
      <c r="V227" s="725"/>
      <c r="W227" s="725"/>
      <c r="X227" s="723"/>
      <c r="Y227" s="723"/>
      <c r="Z227" s="723"/>
      <c r="AA227" s="726"/>
      <c r="AB227" s="726"/>
      <c r="AC227" s="170"/>
      <c r="AD227" s="586">
        <f t="shared" si="262"/>
        <v>0</v>
      </c>
      <c r="AE227" s="586">
        <f t="shared" si="262"/>
        <v>0</v>
      </c>
      <c r="AF227" s="586">
        <f t="shared" si="262"/>
        <v>0</v>
      </c>
      <c r="AG227" s="586">
        <f t="shared" si="262"/>
        <v>0</v>
      </c>
      <c r="AH227" s="586">
        <f t="shared" si="262"/>
        <v>0</v>
      </c>
      <c r="AI227" s="586">
        <f t="shared" si="262"/>
        <v>0</v>
      </c>
      <c r="AJ227" s="586">
        <f t="shared" si="262"/>
        <v>0</v>
      </c>
      <c r="AK227" s="586">
        <f t="shared" si="262"/>
        <v>0</v>
      </c>
      <c r="AL227" s="586">
        <f t="shared" si="262"/>
        <v>0</v>
      </c>
      <c r="AM227" s="586">
        <f t="shared" si="262"/>
        <v>0</v>
      </c>
      <c r="AN227" s="586">
        <f t="shared" si="262"/>
        <v>0</v>
      </c>
      <c r="AO227" s="586">
        <f t="shared" si="262"/>
        <v>0</v>
      </c>
      <c r="AP227" s="586">
        <f t="shared" si="262"/>
        <v>0</v>
      </c>
      <c r="AQ227" s="586">
        <f t="shared" si="262"/>
        <v>0</v>
      </c>
      <c r="AR227" s="586">
        <f t="shared" si="262"/>
        <v>0</v>
      </c>
      <c r="AS227" s="586">
        <f t="shared" si="262"/>
        <v>0</v>
      </c>
      <c r="AT227" s="170"/>
    </row>
    <row r="228" spans="1:46" ht="15" x14ac:dyDescent="0.25">
      <c r="A228" s="170"/>
      <c r="B228" s="719"/>
      <c r="C228" s="170"/>
      <c r="D228" s="170"/>
      <c r="E228" s="170"/>
      <c r="F228" s="170">
        <f>+Parameters!D94</f>
        <v>91</v>
      </c>
      <c r="G228" s="170">
        <f>+Parameters!E94</f>
        <v>0</v>
      </c>
      <c r="H228" s="586"/>
      <c r="I228" s="170">
        <f>+Parameters!F94</f>
        <v>0</v>
      </c>
      <c r="J228" s="170"/>
      <c r="K228" s="170"/>
      <c r="L228" s="170"/>
      <c r="M228" s="730"/>
      <c r="N228" s="730"/>
      <c r="O228" s="730"/>
      <c r="P228" s="731"/>
      <c r="Q228" s="731"/>
      <c r="R228" s="730"/>
      <c r="S228" s="730"/>
      <c r="T228" s="723"/>
      <c r="U228" s="724"/>
      <c r="V228" s="725"/>
      <c r="W228" s="725"/>
      <c r="X228" s="723"/>
      <c r="Y228" s="723"/>
      <c r="Z228" s="723"/>
      <c r="AA228" s="726"/>
      <c r="AB228" s="726"/>
      <c r="AC228" s="170"/>
      <c r="AD228" s="586">
        <f t="shared" ref="AD228:AS238" si="263">SUMIF($F$9:$F$134,$F228,AD$9:AD$134)</f>
        <v>0</v>
      </c>
      <c r="AE228" s="586">
        <f t="shared" si="263"/>
        <v>0</v>
      </c>
      <c r="AF228" s="586">
        <f t="shared" si="263"/>
        <v>0</v>
      </c>
      <c r="AG228" s="586">
        <f t="shared" si="263"/>
        <v>0</v>
      </c>
      <c r="AH228" s="586">
        <f t="shared" si="263"/>
        <v>0</v>
      </c>
      <c r="AI228" s="586">
        <f t="shared" si="263"/>
        <v>0</v>
      </c>
      <c r="AJ228" s="586">
        <f t="shared" si="263"/>
        <v>0</v>
      </c>
      <c r="AK228" s="586">
        <f t="shared" si="263"/>
        <v>0</v>
      </c>
      <c r="AL228" s="586">
        <f t="shared" si="263"/>
        <v>0</v>
      </c>
      <c r="AM228" s="586">
        <f t="shared" si="263"/>
        <v>0</v>
      </c>
      <c r="AN228" s="586">
        <f t="shared" si="263"/>
        <v>0</v>
      </c>
      <c r="AO228" s="586">
        <f t="shared" si="263"/>
        <v>0</v>
      </c>
      <c r="AP228" s="586">
        <f t="shared" si="263"/>
        <v>0</v>
      </c>
      <c r="AQ228" s="586">
        <f t="shared" si="263"/>
        <v>0</v>
      </c>
      <c r="AR228" s="586">
        <f t="shared" si="263"/>
        <v>0</v>
      </c>
      <c r="AS228" s="586">
        <f t="shared" si="263"/>
        <v>0</v>
      </c>
      <c r="AT228" s="170"/>
    </row>
    <row r="229" spans="1:46" ht="15" x14ac:dyDescent="0.25">
      <c r="A229" s="170"/>
      <c r="B229" s="719"/>
      <c r="C229" s="170"/>
      <c r="D229" s="170"/>
      <c r="E229" s="170"/>
      <c r="F229" s="170">
        <f>+Parameters!D95</f>
        <v>92</v>
      </c>
      <c r="G229" s="170">
        <f>+Parameters!E95</f>
        <v>0</v>
      </c>
      <c r="H229" s="586"/>
      <c r="I229" s="170">
        <f>+Parameters!F95</f>
        <v>0</v>
      </c>
      <c r="J229" s="170"/>
      <c r="K229" s="170"/>
      <c r="L229" s="170"/>
      <c r="M229" s="730"/>
      <c r="N229" s="730"/>
      <c r="O229" s="730"/>
      <c r="P229" s="731"/>
      <c r="Q229" s="731"/>
      <c r="R229" s="730"/>
      <c r="S229" s="730"/>
      <c r="T229" s="723"/>
      <c r="U229" s="724"/>
      <c r="V229" s="725"/>
      <c r="W229" s="725"/>
      <c r="X229" s="723"/>
      <c r="Y229" s="723"/>
      <c r="Z229" s="723"/>
      <c r="AA229" s="726"/>
      <c r="AB229" s="726"/>
      <c r="AC229" s="170"/>
      <c r="AD229" s="586">
        <f t="shared" si="263"/>
        <v>0</v>
      </c>
      <c r="AE229" s="586">
        <f t="shared" si="263"/>
        <v>0</v>
      </c>
      <c r="AF229" s="586">
        <f t="shared" si="263"/>
        <v>0</v>
      </c>
      <c r="AG229" s="586">
        <f t="shared" si="263"/>
        <v>0</v>
      </c>
      <c r="AH229" s="586">
        <f t="shared" si="263"/>
        <v>0</v>
      </c>
      <c r="AI229" s="586">
        <f t="shared" si="263"/>
        <v>0</v>
      </c>
      <c r="AJ229" s="586">
        <f t="shared" si="263"/>
        <v>0</v>
      </c>
      <c r="AK229" s="586">
        <f t="shared" si="263"/>
        <v>0</v>
      </c>
      <c r="AL229" s="586">
        <f t="shared" si="263"/>
        <v>0</v>
      </c>
      <c r="AM229" s="586">
        <f t="shared" si="263"/>
        <v>0</v>
      </c>
      <c r="AN229" s="586">
        <f t="shared" si="263"/>
        <v>0</v>
      </c>
      <c r="AO229" s="586">
        <f t="shared" si="263"/>
        <v>0</v>
      </c>
      <c r="AP229" s="586">
        <f t="shared" si="263"/>
        <v>0</v>
      </c>
      <c r="AQ229" s="586">
        <f t="shared" si="263"/>
        <v>0</v>
      </c>
      <c r="AR229" s="586">
        <f t="shared" si="263"/>
        <v>0</v>
      </c>
      <c r="AS229" s="586">
        <f t="shared" si="263"/>
        <v>0</v>
      </c>
      <c r="AT229" s="170"/>
    </row>
    <row r="230" spans="1:46" ht="15" x14ac:dyDescent="0.25">
      <c r="A230" s="170"/>
      <c r="B230" s="719"/>
      <c r="C230" s="170"/>
      <c r="D230" s="170"/>
      <c r="E230" s="170"/>
      <c r="F230" s="170">
        <f>+Parameters!D96</f>
        <v>93</v>
      </c>
      <c r="G230" s="170">
        <f>+Parameters!E96</f>
        <v>0</v>
      </c>
      <c r="H230" s="586"/>
      <c r="I230" s="170">
        <f>+Parameters!F96</f>
        <v>0</v>
      </c>
      <c r="J230" s="170"/>
      <c r="K230" s="170"/>
      <c r="L230" s="170"/>
      <c r="M230" s="730"/>
      <c r="N230" s="730"/>
      <c r="O230" s="730"/>
      <c r="P230" s="731"/>
      <c r="Q230" s="731"/>
      <c r="R230" s="730"/>
      <c r="S230" s="730"/>
      <c r="T230" s="723"/>
      <c r="U230" s="724"/>
      <c r="V230" s="725"/>
      <c r="W230" s="725"/>
      <c r="X230" s="723"/>
      <c r="Y230" s="723"/>
      <c r="Z230" s="723"/>
      <c r="AA230" s="726"/>
      <c r="AB230" s="726"/>
      <c r="AC230" s="170"/>
      <c r="AD230" s="586">
        <f t="shared" si="263"/>
        <v>0</v>
      </c>
      <c r="AE230" s="586">
        <f t="shared" si="263"/>
        <v>0</v>
      </c>
      <c r="AF230" s="586">
        <f t="shared" si="263"/>
        <v>0</v>
      </c>
      <c r="AG230" s="586">
        <f t="shared" si="263"/>
        <v>0</v>
      </c>
      <c r="AH230" s="586">
        <f t="shared" si="263"/>
        <v>0</v>
      </c>
      <c r="AI230" s="586">
        <f t="shared" si="263"/>
        <v>0</v>
      </c>
      <c r="AJ230" s="586">
        <f t="shared" si="263"/>
        <v>0</v>
      </c>
      <c r="AK230" s="586">
        <f t="shared" si="263"/>
        <v>0</v>
      </c>
      <c r="AL230" s="586">
        <f t="shared" si="263"/>
        <v>0</v>
      </c>
      <c r="AM230" s="586">
        <f t="shared" si="263"/>
        <v>0</v>
      </c>
      <c r="AN230" s="586">
        <f t="shared" si="263"/>
        <v>0</v>
      </c>
      <c r="AO230" s="586">
        <f t="shared" si="263"/>
        <v>0</v>
      </c>
      <c r="AP230" s="586">
        <f t="shared" si="263"/>
        <v>0</v>
      </c>
      <c r="AQ230" s="586">
        <f t="shared" si="263"/>
        <v>0</v>
      </c>
      <c r="AR230" s="586">
        <f t="shared" si="263"/>
        <v>0</v>
      </c>
      <c r="AS230" s="586">
        <f t="shared" si="263"/>
        <v>0</v>
      </c>
      <c r="AT230" s="170"/>
    </row>
    <row r="231" spans="1:46" ht="15" x14ac:dyDescent="0.25">
      <c r="A231" s="170"/>
      <c r="B231" s="719"/>
      <c r="C231" s="170"/>
      <c r="D231" s="170"/>
      <c r="E231" s="170"/>
      <c r="F231" s="170">
        <f>+Parameters!D97</f>
        <v>94</v>
      </c>
      <c r="G231" s="170">
        <f>+Parameters!E97</f>
        <v>0</v>
      </c>
      <c r="H231" s="586"/>
      <c r="I231" s="170">
        <f>+Parameters!F97</f>
        <v>0</v>
      </c>
      <c r="J231" s="170"/>
      <c r="K231" s="170"/>
      <c r="L231" s="170"/>
      <c r="M231" s="730"/>
      <c r="N231" s="730"/>
      <c r="O231" s="730"/>
      <c r="P231" s="731"/>
      <c r="Q231" s="731"/>
      <c r="R231" s="730"/>
      <c r="S231" s="730"/>
      <c r="T231" s="723"/>
      <c r="U231" s="724"/>
      <c r="V231" s="725"/>
      <c r="W231" s="725"/>
      <c r="X231" s="723"/>
      <c r="Y231" s="723"/>
      <c r="Z231" s="723"/>
      <c r="AA231" s="726"/>
      <c r="AB231" s="726"/>
      <c r="AC231" s="170"/>
      <c r="AD231" s="586">
        <f t="shared" si="263"/>
        <v>0</v>
      </c>
      <c r="AE231" s="586">
        <f t="shared" si="263"/>
        <v>0</v>
      </c>
      <c r="AF231" s="586">
        <f t="shared" si="263"/>
        <v>0</v>
      </c>
      <c r="AG231" s="586">
        <f t="shared" si="263"/>
        <v>0</v>
      </c>
      <c r="AH231" s="586">
        <f t="shared" si="263"/>
        <v>0</v>
      </c>
      <c r="AI231" s="586">
        <f t="shared" si="263"/>
        <v>0</v>
      </c>
      <c r="AJ231" s="586">
        <f t="shared" si="263"/>
        <v>0</v>
      </c>
      <c r="AK231" s="586">
        <f t="shared" si="263"/>
        <v>0</v>
      </c>
      <c r="AL231" s="586">
        <f t="shared" si="263"/>
        <v>0</v>
      </c>
      <c r="AM231" s="586">
        <f t="shared" si="263"/>
        <v>0</v>
      </c>
      <c r="AN231" s="586">
        <f t="shared" si="263"/>
        <v>0</v>
      </c>
      <c r="AO231" s="586">
        <f t="shared" si="263"/>
        <v>0</v>
      </c>
      <c r="AP231" s="586">
        <f t="shared" si="263"/>
        <v>0</v>
      </c>
      <c r="AQ231" s="586">
        <f t="shared" si="263"/>
        <v>0</v>
      </c>
      <c r="AR231" s="586">
        <f t="shared" si="263"/>
        <v>0</v>
      </c>
      <c r="AS231" s="586">
        <f t="shared" si="263"/>
        <v>0</v>
      </c>
      <c r="AT231" s="170"/>
    </row>
    <row r="232" spans="1:46" ht="15" x14ac:dyDescent="0.25">
      <c r="A232" s="170"/>
      <c r="B232" s="719"/>
      <c r="C232" s="170"/>
      <c r="D232" s="170"/>
      <c r="E232" s="170"/>
      <c r="F232" s="170">
        <f>+Parameters!D98</f>
        <v>95</v>
      </c>
      <c r="G232" s="170">
        <f>+Parameters!E98</f>
        <v>0</v>
      </c>
      <c r="H232" s="586"/>
      <c r="I232" s="170">
        <f>+Parameters!F98</f>
        <v>0</v>
      </c>
      <c r="J232" s="170"/>
      <c r="K232" s="170"/>
      <c r="L232" s="170"/>
      <c r="M232" s="730"/>
      <c r="N232" s="730"/>
      <c r="O232" s="730"/>
      <c r="P232" s="731"/>
      <c r="Q232" s="731"/>
      <c r="R232" s="730"/>
      <c r="S232" s="730"/>
      <c r="T232" s="723"/>
      <c r="U232" s="724"/>
      <c r="V232" s="725"/>
      <c r="W232" s="725"/>
      <c r="X232" s="723"/>
      <c r="Y232" s="723"/>
      <c r="Z232" s="723"/>
      <c r="AA232" s="726"/>
      <c r="AB232" s="726"/>
      <c r="AC232" s="170"/>
      <c r="AD232" s="586">
        <f t="shared" si="263"/>
        <v>0</v>
      </c>
      <c r="AE232" s="586">
        <f t="shared" si="263"/>
        <v>0</v>
      </c>
      <c r="AF232" s="586">
        <f t="shared" si="263"/>
        <v>0</v>
      </c>
      <c r="AG232" s="586">
        <f t="shared" si="263"/>
        <v>0</v>
      </c>
      <c r="AH232" s="586">
        <f t="shared" si="263"/>
        <v>0</v>
      </c>
      <c r="AI232" s="586">
        <f t="shared" si="263"/>
        <v>0</v>
      </c>
      <c r="AJ232" s="586">
        <f t="shared" si="263"/>
        <v>0</v>
      </c>
      <c r="AK232" s="586">
        <f t="shared" si="263"/>
        <v>0</v>
      </c>
      <c r="AL232" s="586">
        <f t="shared" si="263"/>
        <v>0</v>
      </c>
      <c r="AM232" s="586">
        <f t="shared" si="263"/>
        <v>0</v>
      </c>
      <c r="AN232" s="586">
        <f t="shared" si="263"/>
        <v>0</v>
      </c>
      <c r="AO232" s="586">
        <f t="shared" si="263"/>
        <v>0</v>
      </c>
      <c r="AP232" s="586">
        <f t="shared" si="263"/>
        <v>0</v>
      </c>
      <c r="AQ232" s="586">
        <f t="shared" si="263"/>
        <v>0</v>
      </c>
      <c r="AR232" s="586">
        <f t="shared" si="263"/>
        <v>0</v>
      </c>
      <c r="AS232" s="586">
        <f t="shared" si="263"/>
        <v>0</v>
      </c>
      <c r="AT232" s="170"/>
    </row>
    <row r="233" spans="1:46" ht="15" x14ac:dyDescent="0.25">
      <c r="A233" s="170"/>
      <c r="B233" s="719"/>
      <c r="C233" s="170"/>
      <c r="D233" s="170"/>
      <c r="E233" s="170"/>
      <c r="F233" s="170">
        <f>+Parameters!D99</f>
        <v>96</v>
      </c>
      <c r="G233" s="170">
        <f>+Parameters!E99</f>
        <v>0</v>
      </c>
      <c r="H233" s="586"/>
      <c r="I233" s="170">
        <f>+Parameters!F99</f>
        <v>0</v>
      </c>
      <c r="J233" s="170"/>
      <c r="K233" s="170"/>
      <c r="L233" s="170"/>
      <c r="M233" s="730"/>
      <c r="N233" s="730"/>
      <c r="O233" s="730"/>
      <c r="P233" s="731"/>
      <c r="Q233" s="731"/>
      <c r="R233" s="730"/>
      <c r="S233" s="730"/>
      <c r="T233" s="723"/>
      <c r="U233" s="724"/>
      <c r="V233" s="725"/>
      <c r="W233" s="725"/>
      <c r="X233" s="723"/>
      <c r="Y233" s="723"/>
      <c r="Z233" s="723"/>
      <c r="AA233" s="726"/>
      <c r="AB233" s="726"/>
      <c r="AC233" s="170"/>
      <c r="AD233" s="586">
        <f t="shared" si="263"/>
        <v>0</v>
      </c>
      <c r="AE233" s="586">
        <f t="shared" si="263"/>
        <v>0</v>
      </c>
      <c r="AF233" s="586">
        <f t="shared" si="263"/>
        <v>0</v>
      </c>
      <c r="AG233" s="586">
        <f t="shared" si="263"/>
        <v>0</v>
      </c>
      <c r="AH233" s="586">
        <f t="shared" si="263"/>
        <v>0</v>
      </c>
      <c r="AI233" s="586">
        <f t="shared" si="263"/>
        <v>0</v>
      </c>
      <c r="AJ233" s="586">
        <f t="shared" si="263"/>
        <v>0</v>
      </c>
      <c r="AK233" s="586">
        <f t="shared" si="263"/>
        <v>0</v>
      </c>
      <c r="AL233" s="586">
        <f t="shared" si="263"/>
        <v>0</v>
      </c>
      <c r="AM233" s="586">
        <f t="shared" si="263"/>
        <v>0</v>
      </c>
      <c r="AN233" s="586">
        <f t="shared" si="263"/>
        <v>0</v>
      </c>
      <c r="AO233" s="586">
        <f t="shared" si="263"/>
        <v>0</v>
      </c>
      <c r="AP233" s="586">
        <f t="shared" si="263"/>
        <v>0</v>
      </c>
      <c r="AQ233" s="586">
        <f t="shared" si="263"/>
        <v>0</v>
      </c>
      <c r="AR233" s="586">
        <f t="shared" si="263"/>
        <v>0</v>
      </c>
      <c r="AS233" s="586">
        <f t="shared" si="263"/>
        <v>0</v>
      </c>
      <c r="AT233" s="170"/>
    </row>
    <row r="234" spans="1:46" ht="15" x14ac:dyDescent="0.25">
      <c r="A234" s="170"/>
      <c r="B234" s="719"/>
      <c r="C234" s="170"/>
      <c r="D234" s="170"/>
      <c r="E234" s="170"/>
      <c r="F234" s="170">
        <f>+Parameters!D100</f>
        <v>97</v>
      </c>
      <c r="G234" s="170">
        <f>+Parameters!E100</f>
        <v>0</v>
      </c>
      <c r="H234" s="586"/>
      <c r="I234" s="170">
        <f>+Parameters!F100</f>
        <v>0</v>
      </c>
      <c r="J234" s="170"/>
      <c r="K234" s="170"/>
      <c r="L234" s="170"/>
      <c r="M234" s="730"/>
      <c r="N234" s="730"/>
      <c r="O234" s="730"/>
      <c r="P234" s="731"/>
      <c r="Q234" s="731"/>
      <c r="R234" s="730"/>
      <c r="S234" s="730"/>
      <c r="T234" s="723"/>
      <c r="U234" s="724"/>
      <c r="V234" s="725"/>
      <c r="W234" s="725"/>
      <c r="X234" s="723"/>
      <c r="Y234" s="723"/>
      <c r="Z234" s="723"/>
      <c r="AA234" s="726"/>
      <c r="AB234" s="726"/>
      <c r="AC234" s="170"/>
      <c r="AD234" s="586">
        <f t="shared" si="263"/>
        <v>0</v>
      </c>
      <c r="AE234" s="586">
        <f t="shared" si="263"/>
        <v>0</v>
      </c>
      <c r="AF234" s="586">
        <f t="shared" si="263"/>
        <v>0</v>
      </c>
      <c r="AG234" s="586">
        <f t="shared" si="263"/>
        <v>0</v>
      </c>
      <c r="AH234" s="586">
        <f t="shared" si="263"/>
        <v>0</v>
      </c>
      <c r="AI234" s="586">
        <f t="shared" si="263"/>
        <v>0</v>
      </c>
      <c r="AJ234" s="586">
        <f t="shared" si="263"/>
        <v>0</v>
      </c>
      <c r="AK234" s="586">
        <f t="shared" si="263"/>
        <v>0</v>
      </c>
      <c r="AL234" s="586">
        <f t="shared" si="263"/>
        <v>0</v>
      </c>
      <c r="AM234" s="586">
        <f t="shared" si="263"/>
        <v>0</v>
      </c>
      <c r="AN234" s="586">
        <f t="shared" si="263"/>
        <v>0</v>
      </c>
      <c r="AO234" s="586">
        <f t="shared" si="263"/>
        <v>0</v>
      </c>
      <c r="AP234" s="586">
        <f t="shared" si="263"/>
        <v>0</v>
      </c>
      <c r="AQ234" s="586">
        <f t="shared" si="263"/>
        <v>0</v>
      </c>
      <c r="AR234" s="586">
        <f t="shared" si="263"/>
        <v>0</v>
      </c>
      <c r="AS234" s="586">
        <f t="shared" si="263"/>
        <v>0</v>
      </c>
      <c r="AT234" s="170"/>
    </row>
    <row r="235" spans="1:46" ht="15" x14ac:dyDescent="0.25">
      <c r="A235" s="170"/>
      <c r="B235" s="719"/>
      <c r="C235" s="170"/>
      <c r="D235" s="170"/>
      <c r="E235" s="170"/>
      <c r="F235" s="170">
        <f>+Parameters!D101</f>
        <v>98</v>
      </c>
      <c r="G235" s="170">
        <f>+Parameters!E101</f>
        <v>0</v>
      </c>
      <c r="H235" s="586"/>
      <c r="I235" s="170">
        <f>+Parameters!F101</f>
        <v>0</v>
      </c>
      <c r="J235" s="170"/>
      <c r="K235" s="170"/>
      <c r="L235" s="170"/>
      <c r="M235" s="730"/>
      <c r="N235" s="730"/>
      <c r="O235" s="730"/>
      <c r="P235" s="731"/>
      <c r="Q235" s="731"/>
      <c r="R235" s="730"/>
      <c r="S235" s="730"/>
      <c r="T235" s="723"/>
      <c r="U235" s="724"/>
      <c r="V235" s="725"/>
      <c r="W235" s="725"/>
      <c r="X235" s="723"/>
      <c r="Y235" s="723"/>
      <c r="Z235" s="723"/>
      <c r="AA235" s="726"/>
      <c r="AB235" s="726"/>
      <c r="AC235" s="170"/>
      <c r="AD235" s="586">
        <f t="shared" si="263"/>
        <v>0</v>
      </c>
      <c r="AE235" s="586">
        <f t="shared" si="263"/>
        <v>0</v>
      </c>
      <c r="AF235" s="586">
        <f t="shared" si="263"/>
        <v>0</v>
      </c>
      <c r="AG235" s="586">
        <f t="shared" si="263"/>
        <v>0</v>
      </c>
      <c r="AH235" s="586">
        <f t="shared" si="263"/>
        <v>0</v>
      </c>
      <c r="AI235" s="586">
        <f t="shared" si="263"/>
        <v>0</v>
      </c>
      <c r="AJ235" s="586">
        <f t="shared" si="263"/>
        <v>0</v>
      </c>
      <c r="AK235" s="586">
        <f t="shared" si="263"/>
        <v>0</v>
      </c>
      <c r="AL235" s="586">
        <f t="shared" si="263"/>
        <v>0</v>
      </c>
      <c r="AM235" s="586">
        <f t="shared" si="263"/>
        <v>0</v>
      </c>
      <c r="AN235" s="586">
        <f t="shared" si="263"/>
        <v>0</v>
      </c>
      <c r="AO235" s="586">
        <f t="shared" si="263"/>
        <v>0</v>
      </c>
      <c r="AP235" s="586">
        <f t="shared" si="263"/>
        <v>0</v>
      </c>
      <c r="AQ235" s="586">
        <f t="shared" si="263"/>
        <v>0</v>
      </c>
      <c r="AR235" s="586">
        <f t="shared" si="263"/>
        <v>0</v>
      </c>
      <c r="AS235" s="586">
        <f t="shared" si="263"/>
        <v>0</v>
      </c>
      <c r="AT235" s="170"/>
    </row>
    <row r="236" spans="1:46" ht="15" x14ac:dyDescent="0.25">
      <c r="A236" s="170"/>
      <c r="B236" s="719"/>
      <c r="C236" s="170"/>
      <c r="D236" s="170"/>
      <c r="E236" s="170"/>
      <c r="F236" s="170">
        <f>+Parameters!D102</f>
        <v>99</v>
      </c>
      <c r="G236" s="170" t="str">
        <f>+Parameters!E102</f>
        <v>REMOVALS</v>
      </c>
      <c r="H236" s="586"/>
      <c r="I236" s="170">
        <f>+Parameters!F102</f>
        <v>0</v>
      </c>
      <c r="J236" s="170"/>
      <c r="K236" s="170"/>
      <c r="L236" s="170"/>
      <c r="M236" s="730"/>
      <c r="N236" s="730"/>
      <c r="O236" s="730"/>
      <c r="P236" s="731"/>
      <c r="Q236" s="731"/>
      <c r="R236" s="730"/>
      <c r="S236" s="730"/>
      <c r="T236" s="723"/>
      <c r="U236" s="724"/>
      <c r="V236" s="725"/>
      <c r="W236" s="725"/>
      <c r="X236" s="723"/>
      <c r="Y236" s="723"/>
      <c r="Z236" s="723"/>
      <c r="AA236" s="726"/>
      <c r="AB236" s="726"/>
      <c r="AC236" s="170"/>
      <c r="AD236" s="586">
        <f t="shared" si="263"/>
        <v>0</v>
      </c>
      <c r="AE236" s="586">
        <f t="shared" si="263"/>
        <v>0</v>
      </c>
      <c r="AF236" s="586">
        <f t="shared" si="263"/>
        <v>0</v>
      </c>
      <c r="AG236" s="586">
        <f t="shared" si="263"/>
        <v>0</v>
      </c>
      <c r="AH236" s="586">
        <f t="shared" si="263"/>
        <v>0</v>
      </c>
      <c r="AI236" s="586">
        <f t="shared" si="263"/>
        <v>0</v>
      </c>
      <c r="AJ236" s="586">
        <f t="shared" si="263"/>
        <v>0</v>
      </c>
      <c r="AK236" s="586">
        <f t="shared" si="263"/>
        <v>0</v>
      </c>
      <c r="AL236" s="586">
        <f t="shared" si="263"/>
        <v>0</v>
      </c>
      <c r="AM236" s="586">
        <f t="shared" si="263"/>
        <v>0</v>
      </c>
      <c r="AN236" s="586">
        <f t="shared" si="263"/>
        <v>0</v>
      </c>
      <c r="AO236" s="586">
        <f t="shared" si="263"/>
        <v>0</v>
      </c>
      <c r="AP236" s="586">
        <f t="shared" si="263"/>
        <v>0</v>
      </c>
      <c r="AQ236" s="586">
        <f t="shared" si="263"/>
        <v>0</v>
      </c>
      <c r="AR236" s="586">
        <f t="shared" si="263"/>
        <v>0</v>
      </c>
      <c r="AS236" s="586">
        <f t="shared" si="263"/>
        <v>0</v>
      </c>
      <c r="AT236" s="170"/>
    </row>
    <row r="237" spans="1:46" ht="15" x14ac:dyDescent="0.25">
      <c r="A237" s="170"/>
      <c r="B237" s="719"/>
      <c r="C237" s="170"/>
      <c r="D237" s="170"/>
      <c r="E237" s="170"/>
      <c r="F237" s="170">
        <f>+Parameters!D103</f>
        <v>0</v>
      </c>
      <c r="G237" s="170" t="str">
        <f>+Parameters!E103</f>
        <v>Uncoded amounts ( fix the coding before continuing)</v>
      </c>
      <c r="H237" s="586"/>
      <c r="I237" s="170">
        <f>+Parameters!F103</f>
        <v>0</v>
      </c>
      <c r="J237" s="170"/>
      <c r="K237" s="170"/>
      <c r="L237" s="170"/>
      <c r="M237" s="730"/>
      <c r="N237" s="730"/>
      <c r="O237" s="730"/>
      <c r="P237" s="731"/>
      <c r="Q237" s="731"/>
      <c r="R237" s="730"/>
      <c r="S237" s="730"/>
      <c r="T237" s="723"/>
      <c r="U237" s="724"/>
      <c r="V237" s="725"/>
      <c r="W237" s="725"/>
      <c r="X237" s="723"/>
      <c r="Y237" s="723"/>
      <c r="Z237" s="723"/>
      <c r="AA237" s="726"/>
      <c r="AB237" s="726"/>
      <c r="AC237" s="170"/>
      <c r="AD237" s="586">
        <f t="shared" si="263"/>
        <v>0</v>
      </c>
      <c r="AE237" s="586">
        <f t="shared" si="263"/>
        <v>0</v>
      </c>
      <c r="AF237" s="586">
        <f t="shared" si="263"/>
        <v>0</v>
      </c>
      <c r="AG237" s="586">
        <f t="shared" si="263"/>
        <v>0</v>
      </c>
      <c r="AH237" s="586">
        <f t="shared" si="263"/>
        <v>0</v>
      </c>
      <c r="AI237" s="586">
        <f t="shared" si="263"/>
        <v>0</v>
      </c>
      <c r="AJ237" s="586">
        <f t="shared" si="263"/>
        <v>0</v>
      </c>
      <c r="AK237" s="586">
        <f t="shared" si="263"/>
        <v>0</v>
      </c>
      <c r="AL237" s="586">
        <f t="shared" si="263"/>
        <v>0</v>
      </c>
      <c r="AM237" s="586">
        <f t="shared" si="263"/>
        <v>0</v>
      </c>
      <c r="AN237" s="586">
        <f t="shared" si="263"/>
        <v>0</v>
      </c>
      <c r="AO237" s="586">
        <f t="shared" si="263"/>
        <v>0</v>
      </c>
      <c r="AP237" s="586">
        <f t="shared" si="263"/>
        <v>0</v>
      </c>
      <c r="AQ237" s="586">
        <f t="shared" si="263"/>
        <v>0</v>
      </c>
      <c r="AR237" s="586">
        <f t="shared" si="263"/>
        <v>0</v>
      </c>
      <c r="AS237" s="586">
        <f t="shared" si="263"/>
        <v>0</v>
      </c>
      <c r="AT237" s="170"/>
    </row>
    <row r="238" spans="1:46" ht="15" x14ac:dyDescent="0.25">
      <c r="A238" s="170"/>
      <c r="B238" s="719"/>
      <c r="C238" s="170"/>
      <c r="D238" s="170"/>
      <c r="E238" s="170"/>
      <c r="F238" s="170">
        <f>+Parameters!D104</f>
        <v>0</v>
      </c>
      <c r="G238" s="170">
        <f>+Parameters!E104</f>
        <v>0</v>
      </c>
      <c r="H238" s="586"/>
      <c r="I238" s="170">
        <f>+Parameters!F104</f>
        <v>0</v>
      </c>
      <c r="J238" s="170"/>
      <c r="K238" s="170"/>
      <c r="L238" s="170"/>
      <c r="M238" s="730"/>
      <c r="N238" s="730"/>
      <c r="O238" s="730"/>
      <c r="P238" s="731"/>
      <c r="Q238" s="731"/>
      <c r="R238" s="730"/>
      <c r="S238" s="730"/>
      <c r="T238" s="723"/>
      <c r="U238" s="724"/>
      <c r="V238" s="725"/>
      <c r="W238" s="725"/>
      <c r="X238" s="723"/>
      <c r="Y238" s="723"/>
      <c r="Z238" s="723"/>
      <c r="AA238" s="726"/>
      <c r="AB238" s="726"/>
      <c r="AC238" s="170"/>
      <c r="AD238" s="586">
        <f t="shared" si="263"/>
        <v>0</v>
      </c>
      <c r="AE238" s="586">
        <f t="shared" si="263"/>
        <v>0</v>
      </c>
      <c r="AF238" s="586">
        <f t="shared" si="263"/>
        <v>0</v>
      </c>
      <c r="AG238" s="586">
        <f t="shared" si="263"/>
        <v>0</v>
      </c>
      <c r="AH238" s="586">
        <f t="shared" si="263"/>
        <v>0</v>
      </c>
      <c r="AI238" s="586">
        <f t="shared" si="263"/>
        <v>0</v>
      </c>
      <c r="AJ238" s="586">
        <f t="shared" si="263"/>
        <v>0</v>
      </c>
      <c r="AK238" s="586">
        <f t="shared" si="263"/>
        <v>0</v>
      </c>
      <c r="AL238" s="586">
        <f t="shared" si="263"/>
        <v>0</v>
      </c>
      <c r="AM238" s="586">
        <f t="shared" si="263"/>
        <v>0</v>
      </c>
      <c r="AN238" s="586">
        <f t="shared" si="263"/>
        <v>0</v>
      </c>
      <c r="AO238" s="586">
        <f t="shared" si="263"/>
        <v>0</v>
      </c>
      <c r="AP238" s="586">
        <f t="shared" si="263"/>
        <v>0</v>
      </c>
      <c r="AQ238" s="586">
        <f t="shared" si="263"/>
        <v>0</v>
      </c>
      <c r="AR238" s="586">
        <f t="shared" si="263"/>
        <v>0</v>
      </c>
      <c r="AS238" s="586">
        <f t="shared" si="263"/>
        <v>0</v>
      </c>
      <c r="AT238" s="170"/>
    </row>
    <row r="239" spans="1:46" ht="15" x14ac:dyDescent="0.25">
      <c r="A239" s="170"/>
      <c r="B239" s="719"/>
      <c r="C239" s="170"/>
      <c r="D239" s="170"/>
      <c r="E239" s="170"/>
      <c r="F239" s="170"/>
      <c r="G239" s="721"/>
      <c r="H239" s="170"/>
      <c r="I239" s="170"/>
      <c r="J239" s="170"/>
      <c r="K239" s="170"/>
      <c r="L239" s="170"/>
      <c r="M239" s="730"/>
      <c r="N239" s="730"/>
      <c r="O239" s="730"/>
      <c r="P239" s="731"/>
      <c r="Q239" s="731"/>
      <c r="R239" s="730"/>
      <c r="S239" s="730"/>
      <c r="T239" s="723"/>
      <c r="U239" s="724"/>
      <c r="V239" s="725"/>
      <c r="W239" s="725"/>
      <c r="X239" s="723"/>
      <c r="Y239" s="723"/>
      <c r="Z239" s="723"/>
      <c r="AA239" s="726"/>
      <c r="AB239" s="726"/>
      <c r="AC239" s="170"/>
      <c r="AD239" s="586"/>
      <c r="AE239" s="586"/>
      <c r="AF239" s="586"/>
      <c r="AG239" s="586"/>
      <c r="AH239" s="586"/>
      <c r="AI239" s="586"/>
      <c r="AJ239" s="586"/>
      <c r="AK239" s="586"/>
      <c r="AL239" s="586"/>
      <c r="AM239" s="586"/>
      <c r="AN239" s="586"/>
      <c r="AO239" s="586"/>
      <c r="AP239" s="586"/>
      <c r="AQ239" s="586"/>
      <c r="AR239" s="586"/>
      <c r="AS239" s="586"/>
      <c r="AT239" s="170"/>
    </row>
    <row r="240" spans="1:46" ht="15" x14ac:dyDescent="0.25">
      <c r="A240" s="170"/>
      <c r="B240" s="719"/>
      <c r="C240" s="170"/>
      <c r="D240" s="170"/>
      <c r="E240" s="170"/>
      <c r="F240" s="170"/>
      <c r="G240" s="721"/>
      <c r="H240" s="170"/>
      <c r="I240" s="170"/>
      <c r="J240" s="170"/>
      <c r="K240" s="170"/>
      <c r="L240" s="170"/>
      <c r="M240" s="730"/>
      <c r="N240" s="730"/>
      <c r="O240" s="730"/>
      <c r="P240" s="731"/>
      <c r="Q240" s="731"/>
      <c r="R240" s="730"/>
      <c r="S240" s="730"/>
      <c r="T240" s="723"/>
      <c r="U240" s="724"/>
      <c r="V240" s="725"/>
      <c r="W240" s="725"/>
      <c r="X240" s="723"/>
      <c r="Y240" s="723"/>
      <c r="Z240" s="723"/>
      <c r="AA240" s="726"/>
      <c r="AB240" s="726"/>
      <c r="AC240" s="170"/>
      <c r="AD240" s="586"/>
      <c r="AE240" s="586"/>
      <c r="AF240" s="586"/>
      <c r="AG240" s="586"/>
      <c r="AH240" s="586"/>
      <c r="AI240" s="586"/>
      <c r="AJ240" s="586"/>
      <c r="AK240" s="586"/>
      <c r="AL240" s="586"/>
      <c r="AM240" s="586"/>
      <c r="AN240" s="586"/>
      <c r="AO240" s="586"/>
      <c r="AP240" s="586"/>
      <c r="AQ240" s="586"/>
      <c r="AR240" s="586"/>
      <c r="AS240" s="586"/>
      <c r="AT240" s="170"/>
    </row>
    <row r="241" spans="1:46" ht="15" x14ac:dyDescent="0.25">
      <c r="A241" s="170"/>
      <c r="B241" s="719"/>
      <c r="C241" s="170"/>
      <c r="D241" s="170"/>
      <c r="E241" s="170"/>
      <c r="F241" s="170"/>
      <c r="G241" s="721"/>
      <c r="H241" s="170"/>
      <c r="I241" s="170"/>
      <c r="J241" s="170"/>
      <c r="K241" s="170"/>
      <c r="L241" s="170"/>
      <c r="M241" s="730"/>
      <c r="N241" s="730"/>
      <c r="O241" s="730"/>
      <c r="P241" s="731"/>
      <c r="Q241" s="731"/>
      <c r="R241" s="730"/>
      <c r="S241" s="730"/>
      <c r="T241" s="723"/>
      <c r="U241" s="724"/>
      <c r="V241" s="725"/>
      <c r="W241" s="725"/>
      <c r="X241" s="723"/>
      <c r="Y241" s="723"/>
      <c r="Z241" s="723"/>
      <c r="AA241" s="726"/>
      <c r="AB241" s="726"/>
      <c r="AC241" s="170"/>
      <c r="AD241" s="586"/>
      <c r="AE241" s="586"/>
      <c r="AF241" s="586"/>
      <c r="AG241" s="586"/>
      <c r="AH241" s="586"/>
      <c r="AI241" s="586"/>
      <c r="AJ241" s="586"/>
      <c r="AK241" s="586"/>
      <c r="AL241" s="586"/>
      <c r="AM241" s="586"/>
      <c r="AN241" s="586"/>
      <c r="AO241" s="586"/>
      <c r="AP241" s="586"/>
      <c r="AQ241" s="586"/>
      <c r="AR241" s="586"/>
      <c r="AS241" s="586"/>
      <c r="AT241" s="170"/>
    </row>
    <row r="242" spans="1:46" ht="15" x14ac:dyDescent="0.25">
      <c r="A242" s="170"/>
      <c r="B242" s="719"/>
      <c r="C242" s="170"/>
      <c r="D242" s="170"/>
      <c r="E242" s="170"/>
      <c r="F242" s="170"/>
      <c r="G242" s="721" t="s">
        <v>223</v>
      </c>
      <c r="H242" s="170"/>
      <c r="I242" s="170"/>
      <c r="J242" s="170"/>
      <c r="K242" s="170"/>
      <c r="L242" s="170"/>
      <c r="M242" s="730"/>
      <c r="N242" s="730"/>
      <c r="O242" s="730"/>
      <c r="P242" s="731"/>
      <c r="Q242" s="731"/>
      <c r="R242" s="730"/>
      <c r="S242" s="730"/>
      <c r="T242" s="723"/>
      <c r="U242" s="724"/>
      <c r="V242" s="725"/>
      <c r="W242" s="725"/>
      <c r="X242" s="723"/>
      <c r="Y242" s="723"/>
      <c r="Z242" s="723"/>
      <c r="AA242" s="726"/>
      <c r="AB242" s="726"/>
      <c r="AC242" s="170"/>
      <c r="AD242" s="586">
        <f t="shared" ref="AD242:AS242" si="264">SUM(AD138:AD241)</f>
        <v>0</v>
      </c>
      <c r="AE242" s="586">
        <f t="shared" si="264"/>
        <v>0</v>
      </c>
      <c r="AF242" s="586">
        <f t="shared" si="264"/>
        <v>0</v>
      </c>
      <c r="AG242" s="586">
        <f t="shared" si="264"/>
        <v>0</v>
      </c>
      <c r="AH242" s="586">
        <f t="shared" si="264"/>
        <v>0</v>
      </c>
      <c r="AI242" s="586">
        <f t="shared" si="264"/>
        <v>0</v>
      </c>
      <c r="AJ242" s="586">
        <f t="shared" si="264"/>
        <v>0</v>
      </c>
      <c r="AK242" s="586">
        <f t="shared" si="264"/>
        <v>0</v>
      </c>
      <c r="AL242" s="586">
        <f t="shared" si="264"/>
        <v>0</v>
      </c>
      <c r="AM242" s="586">
        <f t="shared" si="264"/>
        <v>0</v>
      </c>
      <c r="AN242" s="586">
        <f t="shared" si="264"/>
        <v>0</v>
      </c>
      <c r="AO242" s="586">
        <f t="shared" si="264"/>
        <v>0</v>
      </c>
      <c r="AP242" s="586">
        <f t="shared" si="264"/>
        <v>0</v>
      </c>
      <c r="AQ242" s="586">
        <f t="shared" si="264"/>
        <v>0</v>
      </c>
      <c r="AR242" s="586">
        <f t="shared" si="264"/>
        <v>0</v>
      </c>
      <c r="AS242" s="586">
        <f t="shared" si="264"/>
        <v>0</v>
      </c>
      <c r="AT242" s="170" t="s">
        <v>395</v>
      </c>
    </row>
    <row r="243" spans="1:46" ht="15" x14ac:dyDescent="0.25">
      <c r="A243" s="170"/>
      <c r="B243" s="719"/>
      <c r="C243" s="170"/>
      <c r="D243" s="170"/>
      <c r="E243" s="170"/>
      <c r="F243" s="170"/>
      <c r="G243" s="721"/>
      <c r="H243" s="170"/>
      <c r="I243" s="170"/>
      <c r="J243" s="170"/>
      <c r="K243" s="170"/>
      <c r="L243" s="170"/>
      <c r="M243" s="730"/>
      <c r="N243" s="730"/>
      <c r="O243" s="730"/>
      <c r="P243" s="731"/>
      <c r="Q243" s="731"/>
      <c r="R243" s="730"/>
      <c r="S243" s="730"/>
      <c r="T243" s="723"/>
      <c r="U243" s="724"/>
      <c r="V243" s="725"/>
      <c r="W243" s="725"/>
      <c r="X243" s="723"/>
      <c r="Y243" s="723"/>
      <c r="Z243" s="723"/>
      <c r="AA243" s="726"/>
      <c r="AB243" s="726"/>
      <c r="AC243" s="170"/>
      <c r="AD243" s="586"/>
      <c r="AE243" s="586"/>
      <c r="AF243" s="170"/>
      <c r="AG243" s="170"/>
      <c r="AH243" s="170"/>
      <c r="AI243" s="170"/>
      <c r="AJ243" s="170"/>
      <c r="AK243" s="170"/>
      <c r="AL243" s="170"/>
      <c r="AM243" s="170"/>
      <c r="AN243" s="170"/>
      <c r="AO243" s="170"/>
      <c r="AP243" s="170"/>
      <c r="AQ243" s="170"/>
      <c r="AR243" s="170"/>
      <c r="AS243" s="170"/>
      <c r="AT243" s="170"/>
    </row>
    <row r="244" spans="1:46" ht="15" x14ac:dyDescent="0.25">
      <c r="A244" s="170"/>
      <c r="B244" s="719"/>
      <c r="C244" s="170"/>
      <c r="D244" s="170"/>
      <c r="E244" s="170"/>
      <c r="F244" s="170"/>
      <c r="G244" s="721"/>
      <c r="H244" s="170"/>
      <c r="I244" s="170"/>
      <c r="J244" s="170"/>
      <c r="K244" s="170"/>
      <c r="L244" s="170"/>
      <c r="M244" s="730"/>
      <c r="N244" s="730"/>
      <c r="O244" s="730"/>
      <c r="P244" s="731"/>
      <c r="Q244" s="731"/>
      <c r="R244" s="730"/>
      <c r="S244" s="730"/>
      <c r="T244" s="723"/>
      <c r="U244" s="724"/>
      <c r="V244" s="725"/>
      <c r="W244" s="725"/>
      <c r="X244" s="723"/>
      <c r="Y244" s="723"/>
      <c r="Z244" s="723"/>
      <c r="AA244" s="726"/>
      <c r="AB244" s="726"/>
      <c r="AC244" s="170"/>
      <c r="AD244" s="586"/>
      <c r="AE244" s="586"/>
      <c r="AF244" s="170"/>
      <c r="AG244" s="170"/>
      <c r="AH244" s="170"/>
      <c r="AI244" s="170"/>
      <c r="AJ244" s="170"/>
      <c r="AK244" s="170"/>
      <c r="AL244" s="170"/>
      <c r="AM244" s="170"/>
      <c r="AN244" s="170"/>
      <c r="AO244" s="170"/>
      <c r="AP244" s="170"/>
      <c r="AQ244" s="170"/>
      <c r="AR244" s="170"/>
      <c r="AS244" s="170"/>
    </row>
    <row r="245" spans="1:46" ht="15" x14ac:dyDescent="0.25">
      <c r="A245" s="170"/>
      <c r="B245" s="719"/>
      <c r="C245" s="170"/>
      <c r="D245" s="170"/>
      <c r="E245" s="170"/>
      <c r="F245" s="170"/>
      <c r="G245" s="721"/>
      <c r="H245" s="170"/>
      <c r="I245" s="170"/>
      <c r="J245" s="170"/>
      <c r="K245" s="170"/>
      <c r="L245" s="170"/>
      <c r="M245" s="730"/>
      <c r="N245" s="730"/>
      <c r="O245" s="730"/>
      <c r="P245" s="731"/>
      <c r="Q245" s="731"/>
      <c r="R245" s="730"/>
      <c r="S245" s="730"/>
      <c r="T245" s="723"/>
      <c r="U245" s="724"/>
      <c r="V245" s="725"/>
      <c r="W245" s="725"/>
      <c r="X245" s="723"/>
      <c r="Y245" s="723"/>
      <c r="Z245" s="723"/>
      <c r="AA245" s="726"/>
      <c r="AB245" s="726"/>
      <c r="AC245" s="170"/>
      <c r="AD245" s="586"/>
      <c r="AE245" s="586"/>
      <c r="AF245" s="170"/>
      <c r="AG245" s="170"/>
      <c r="AH245" s="170"/>
      <c r="AI245" s="170"/>
      <c r="AJ245" s="170"/>
      <c r="AK245" s="170"/>
      <c r="AL245" s="170"/>
      <c r="AM245" s="170"/>
      <c r="AN245" s="170"/>
      <c r="AO245" s="170"/>
      <c r="AP245" s="170"/>
      <c r="AQ245" s="170"/>
      <c r="AR245" s="170"/>
      <c r="AS245" s="170"/>
    </row>
    <row r="246" spans="1:46" ht="15" x14ac:dyDescent="0.25">
      <c r="A246" s="170"/>
      <c r="B246" s="719"/>
      <c r="C246" s="170"/>
      <c r="D246" s="170"/>
      <c r="E246" s="170"/>
      <c r="F246" s="170"/>
      <c r="G246" s="721"/>
      <c r="H246" s="170"/>
      <c r="I246" s="170"/>
      <c r="J246" s="170"/>
      <c r="K246" s="170"/>
      <c r="L246" s="170"/>
      <c r="M246" s="730"/>
      <c r="N246" s="730"/>
      <c r="O246" s="730"/>
      <c r="P246" s="731"/>
      <c r="Q246" s="731"/>
      <c r="R246" s="730"/>
      <c r="S246" s="730"/>
      <c r="T246" s="723"/>
      <c r="U246" s="724"/>
      <c r="V246" s="725"/>
      <c r="W246" s="725"/>
      <c r="X246" s="723"/>
      <c r="Y246" s="723"/>
      <c r="Z246" s="723"/>
      <c r="AA246" s="726"/>
      <c r="AB246" s="726"/>
      <c r="AC246" s="170"/>
      <c r="AD246" s="586"/>
      <c r="AE246" s="586"/>
      <c r="AF246" s="170"/>
      <c r="AG246" s="170"/>
      <c r="AH246" s="170"/>
      <c r="AI246" s="170"/>
      <c r="AJ246" s="170"/>
      <c r="AK246" s="170"/>
      <c r="AL246" s="170"/>
      <c r="AM246" s="170"/>
      <c r="AN246" s="170"/>
      <c r="AO246" s="170"/>
      <c r="AP246" s="170"/>
      <c r="AQ246" s="170"/>
      <c r="AR246" s="170"/>
      <c r="AS246" s="170"/>
    </row>
    <row r="247" spans="1:46" ht="15" x14ac:dyDescent="0.25">
      <c r="A247" s="170"/>
      <c r="B247" s="719"/>
      <c r="C247" s="170"/>
      <c r="D247" s="170"/>
      <c r="E247" s="170"/>
      <c r="F247" s="170"/>
      <c r="G247" s="721"/>
      <c r="H247" s="170"/>
      <c r="I247" s="170"/>
      <c r="J247" s="170"/>
      <c r="K247" s="170"/>
      <c r="L247" s="170"/>
      <c r="M247" s="730"/>
      <c r="N247" s="730"/>
      <c r="O247" s="730"/>
      <c r="P247" s="731"/>
      <c r="Q247" s="731"/>
      <c r="R247" s="730"/>
      <c r="S247" s="730"/>
      <c r="T247" s="723"/>
      <c r="U247" s="724"/>
      <c r="V247" s="725"/>
      <c r="W247" s="725"/>
      <c r="X247" s="723"/>
      <c r="Y247" s="723"/>
      <c r="Z247" s="723"/>
      <c r="AA247" s="726"/>
      <c r="AB247" s="726"/>
      <c r="AC247" s="170"/>
      <c r="AD247" s="586"/>
      <c r="AE247" s="586"/>
      <c r="AF247" s="170"/>
      <c r="AG247" s="170"/>
      <c r="AH247" s="170"/>
      <c r="AI247" s="170"/>
      <c r="AJ247" s="170"/>
      <c r="AK247" s="170"/>
      <c r="AL247" s="170"/>
      <c r="AM247" s="170"/>
      <c r="AN247" s="170"/>
      <c r="AO247" s="170"/>
      <c r="AP247" s="170"/>
      <c r="AQ247" s="170"/>
      <c r="AR247" s="170"/>
      <c r="AS247" s="170"/>
    </row>
    <row r="248" spans="1:46" ht="15" x14ac:dyDescent="0.25">
      <c r="A248" s="170"/>
      <c r="B248" s="719"/>
      <c r="C248" s="170"/>
      <c r="D248" s="170"/>
      <c r="E248" s="170"/>
      <c r="F248" s="170"/>
      <c r="G248" s="721"/>
      <c r="H248" s="170"/>
      <c r="I248" s="170"/>
      <c r="J248" s="170"/>
      <c r="K248" s="170"/>
      <c r="L248" s="170"/>
      <c r="M248" s="730"/>
      <c r="N248" s="730"/>
      <c r="O248" s="730"/>
      <c r="P248" s="731"/>
      <c r="Q248" s="731"/>
      <c r="R248" s="730"/>
      <c r="S248" s="730"/>
      <c r="T248" s="723"/>
      <c r="U248" s="724"/>
      <c r="V248" s="725"/>
      <c r="W248" s="725"/>
      <c r="X248" s="723"/>
      <c r="Y248" s="723"/>
      <c r="Z248" s="723"/>
      <c r="AA248" s="726"/>
      <c r="AB248" s="726"/>
      <c r="AC248" s="170"/>
      <c r="AD248" s="586"/>
      <c r="AE248" s="586"/>
      <c r="AF248" s="170"/>
      <c r="AG248" s="170"/>
      <c r="AH248" s="170"/>
      <c r="AI248" s="170"/>
      <c r="AJ248" s="170"/>
      <c r="AK248" s="170"/>
      <c r="AL248" s="170"/>
      <c r="AM248" s="170"/>
      <c r="AN248" s="170"/>
      <c r="AO248" s="170"/>
      <c r="AP248" s="170"/>
      <c r="AQ248" s="170"/>
      <c r="AR248" s="170"/>
      <c r="AS248" s="170"/>
    </row>
    <row r="249" spans="1:46" ht="15" x14ac:dyDescent="0.25">
      <c r="A249" s="170"/>
      <c r="B249" s="719"/>
      <c r="C249" s="170"/>
      <c r="D249" s="170"/>
      <c r="E249" s="170"/>
      <c r="F249" s="170"/>
      <c r="G249" s="721"/>
      <c r="H249" s="170"/>
      <c r="I249" s="170"/>
      <c r="J249" s="170"/>
      <c r="K249" s="170"/>
      <c r="L249" s="170"/>
      <c r="M249" s="730"/>
      <c r="N249" s="730"/>
      <c r="O249" s="730"/>
      <c r="P249" s="731"/>
      <c r="Q249" s="731"/>
      <c r="R249" s="730"/>
      <c r="S249" s="730"/>
      <c r="T249" s="723"/>
      <c r="U249" s="724"/>
      <c r="V249" s="725"/>
      <c r="W249" s="725"/>
      <c r="X249" s="723"/>
      <c r="Y249" s="723"/>
      <c r="Z249" s="723"/>
      <c r="AA249" s="726"/>
      <c r="AB249" s="726"/>
      <c r="AC249" s="170"/>
      <c r="AD249" s="586"/>
      <c r="AE249" s="586"/>
      <c r="AF249" s="170"/>
      <c r="AG249" s="170"/>
      <c r="AH249" s="170"/>
      <c r="AI249" s="170"/>
      <c r="AJ249" s="170"/>
      <c r="AK249" s="170"/>
      <c r="AL249" s="170"/>
      <c r="AM249" s="170"/>
      <c r="AN249" s="170"/>
      <c r="AO249" s="170"/>
      <c r="AP249" s="170"/>
      <c r="AQ249" s="170"/>
      <c r="AR249" s="170"/>
      <c r="AS249" s="170"/>
    </row>
    <row r="250" spans="1:46" ht="15" x14ac:dyDescent="0.25">
      <c r="A250" s="170"/>
      <c r="B250" s="719"/>
      <c r="C250" s="170"/>
      <c r="D250" s="170"/>
      <c r="E250" s="170"/>
      <c r="F250" s="170"/>
      <c r="G250" s="721"/>
      <c r="H250" s="170"/>
      <c r="I250" s="170"/>
      <c r="J250" s="170"/>
      <c r="K250" s="170"/>
      <c r="L250" s="170"/>
      <c r="M250" s="730"/>
      <c r="N250" s="730"/>
      <c r="O250" s="730"/>
      <c r="P250" s="731"/>
      <c r="Q250" s="731"/>
      <c r="R250" s="730"/>
      <c r="S250" s="730"/>
      <c r="T250" s="723"/>
      <c r="U250" s="724"/>
      <c r="V250" s="725"/>
      <c r="W250" s="725"/>
      <c r="X250" s="723"/>
      <c r="Y250" s="723"/>
      <c r="Z250" s="723"/>
      <c r="AA250" s="726"/>
      <c r="AB250" s="726"/>
      <c r="AC250" s="170"/>
      <c r="AD250" s="586"/>
      <c r="AE250" s="586"/>
      <c r="AF250" s="170"/>
      <c r="AG250" s="170"/>
      <c r="AH250" s="170"/>
      <c r="AI250" s="170"/>
      <c r="AJ250" s="170"/>
      <c r="AK250" s="170"/>
      <c r="AL250" s="170"/>
      <c r="AM250" s="170"/>
      <c r="AN250" s="170"/>
      <c r="AO250" s="170"/>
      <c r="AP250" s="170"/>
      <c r="AQ250" s="170"/>
      <c r="AR250" s="170"/>
      <c r="AS250" s="170"/>
    </row>
    <row r="251" spans="1:46" ht="15" x14ac:dyDescent="0.25">
      <c r="A251" s="170"/>
      <c r="B251" s="719"/>
      <c r="C251" s="170"/>
      <c r="D251" s="170"/>
      <c r="E251" s="170"/>
      <c r="F251" s="170"/>
      <c r="G251" s="721"/>
      <c r="H251" s="170"/>
      <c r="I251" s="170"/>
      <c r="J251" s="170"/>
      <c r="K251" s="170"/>
      <c r="L251" s="170"/>
      <c r="M251" s="730"/>
      <c r="N251" s="730"/>
      <c r="O251" s="730"/>
      <c r="P251" s="731"/>
      <c r="Q251" s="731"/>
      <c r="R251" s="730"/>
      <c r="S251" s="730"/>
      <c r="T251" s="723"/>
      <c r="U251" s="724"/>
      <c r="V251" s="725"/>
      <c r="W251" s="725"/>
      <c r="X251" s="723"/>
      <c r="Y251" s="723"/>
      <c r="Z251" s="723"/>
      <c r="AA251" s="726"/>
      <c r="AB251" s="726"/>
      <c r="AC251" s="170"/>
      <c r="AD251" s="586"/>
      <c r="AE251" s="586"/>
      <c r="AF251" s="170"/>
      <c r="AG251" s="170"/>
      <c r="AH251" s="170"/>
      <c r="AI251" s="170"/>
      <c r="AJ251" s="170"/>
      <c r="AK251" s="170"/>
      <c r="AL251" s="170"/>
      <c r="AM251" s="170"/>
      <c r="AN251" s="170"/>
      <c r="AO251" s="170"/>
      <c r="AP251" s="170"/>
      <c r="AQ251" s="170"/>
      <c r="AR251" s="170"/>
      <c r="AS251" s="170"/>
    </row>
    <row r="252" spans="1:46" ht="15" x14ac:dyDescent="0.25">
      <c r="A252" s="170"/>
      <c r="B252" s="719"/>
      <c r="C252" s="170"/>
      <c r="D252" s="170"/>
      <c r="E252" s="170"/>
      <c r="F252" s="170"/>
      <c r="G252" s="721"/>
      <c r="H252" s="170"/>
      <c r="I252" s="170"/>
      <c r="J252" s="170"/>
      <c r="K252" s="170"/>
      <c r="L252" s="170"/>
      <c r="M252" s="730"/>
      <c r="N252" s="730"/>
      <c r="O252" s="730"/>
      <c r="P252" s="731"/>
      <c r="Q252" s="731"/>
      <c r="R252" s="730"/>
      <c r="S252" s="730"/>
      <c r="T252" s="723"/>
      <c r="U252" s="724"/>
      <c r="V252" s="725"/>
      <c r="W252" s="725"/>
      <c r="X252" s="723"/>
      <c r="Y252" s="723"/>
      <c r="Z252" s="723"/>
      <c r="AA252" s="726"/>
      <c r="AB252" s="726"/>
      <c r="AC252" s="170"/>
      <c r="AD252" s="586"/>
      <c r="AE252" s="586"/>
      <c r="AF252" s="170"/>
      <c r="AG252" s="170"/>
      <c r="AH252" s="170"/>
      <c r="AI252" s="170"/>
      <c r="AJ252" s="170"/>
      <c r="AK252" s="170"/>
      <c r="AL252" s="170"/>
      <c r="AM252" s="170"/>
      <c r="AN252" s="170"/>
      <c r="AO252" s="170"/>
      <c r="AP252" s="170"/>
      <c r="AQ252" s="170"/>
      <c r="AR252" s="170"/>
      <c r="AS252" s="170"/>
    </row>
    <row r="253" spans="1:46" ht="15" x14ac:dyDescent="0.25">
      <c r="A253" s="170"/>
      <c r="B253" s="719"/>
      <c r="C253" s="170"/>
      <c r="D253" s="170"/>
      <c r="E253" s="170"/>
      <c r="F253" s="170"/>
      <c r="G253" s="721"/>
      <c r="H253" s="170"/>
      <c r="I253" s="170"/>
      <c r="J253" s="170"/>
      <c r="K253" s="170"/>
      <c r="L253" s="170"/>
      <c r="M253" s="730"/>
      <c r="N253" s="730"/>
      <c r="O253" s="730"/>
      <c r="P253" s="731"/>
      <c r="Q253" s="731"/>
      <c r="R253" s="730"/>
      <c r="S253" s="730"/>
      <c r="T253" s="723"/>
      <c r="U253" s="724"/>
      <c r="V253" s="725"/>
      <c r="W253" s="725"/>
      <c r="X253" s="723"/>
      <c r="Y253" s="723"/>
      <c r="Z253" s="723"/>
      <c r="AA253" s="726"/>
      <c r="AB253" s="726"/>
      <c r="AC253" s="170"/>
      <c r="AD253" s="586"/>
      <c r="AE253" s="586"/>
      <c r="AF253" s="170"/>
      <c r="AG253" s="170"/>
      <c r="AH253" s="170"/>
      <c r="AI253" s="170"/>
      <c r="AJ253" s="170"/>
      <c r="AK253" s="170"/>
      <c r="AL253" s="170"/>
      <c r="AM253" s="170"/>
      <c r="AN253" s="170"/>
      <c r="AO253" s="170"/>
      <c r="AP253" s="170"/>
      <c r="AQ253" s="170"/>
      <c r="AR253" s="170"/>
      <c r="AS253" s="170"/>
    </row>
    <row r="254" spans="1:46" ht="15" x14ac:dyDescent="0.25">
      <c r="A254" s="170"/>
      <c r="B254" s="719"/>
      <c r="C254" s="170"/>
      <c r="D254" s="170"/>
      <c r="E254" s="170"/>
      <c r="F254" s="170"/>
      <c r="G254" s="721"/>
      <c r="H254" s="170"/>
      <c r="I254" s="170"/>
      <c r="J254" s="170"/>
      <c r="K254" s="170"/>
      <c r="L254" s="170"/>
      <c r="M254" s="730"/>
      <c r="N254" s="730"/>
      <c r="O254" s="730"/>
      <c r="P254" s="731"/>
      <c r="Q254" s="731"/>
      <c r="R254" s="730"/>
      <c r="S254" s="730"/>
      <c r="T254" s="723"/>
      <c r="U254" s="724"/>
      <c r="V254" s="725"/>
      <c r="W254" s="725"/>
      <c r="X254" s="723"/>
      <c r="Y254" s="723"/>
      <c r="Z254" s="723"/>
      <c r="AA254" s="726"/>
      <c r="AB254" s="726"/>
      <c r="AC254" s="170"/>
      <c r="AD254" s="586"/>
      <c r="AE254" s="586"/>
      <c r="AF254" s="170"/>
      <c r="AG254" s="170"/>
      <c r="AH254" s="170"/>
      <c r="AI254" s="170"/>
      <c r="AJ254" s="170"/>
      <c r="AK254" s="170"/>
      <c r="AL254" s="170"/>
      <c r="AM254" s="170"/>
      <c r="AN254" s="170"/>
      <c r="AO254" s="170"/>
      <c r="AP254" s="170"/>
      <c r="AQ254" s="170"/>
      <c r="AR254" s="170"/>
      <c r="AS254" s="170"/>
    </row>
    <row r="255" spans="1:46" ht="15" x14ac:dyDescent="0.25">
      <c r="A255" s="170"/>
      <c r="B255" s="719"/>
      <c r="C255" s="170"/>
      <c r="D255" s="170"/>
      <c r="E255" s="170"/>
      <c r="F255" s="170"/>
      <c r="G255" s="721"/>
      <c r="H255" s="170"/>
      <c r="I255" s="170"/>
      <c r="J255" s="170"/>
      <c r="K255" s="170"/>
      <c r="L255" s="170"/>
      <c r="M255" s="730"/>
      <c r="N255" s="730"/>
      <c r="O255" s="730"/>
      <c r="P255" s="731"/>
      <c r="Q255" s="731"/>
      <c r="R255" s="730"/>
      <c r="S255" s="730"/>
      <c r="T255" s="723"/>
      <c r="U255" s="724"/>
      <c r="V255" s="725"/>
      <c r="W255" s="725"/>
      <c r="X255" s="723"/>
      <c r="Y255" s="723"/>
      <c r="Z255" s="723"/>
      <c r="AA255" s="726"/>
      <c r="AB255" s="726"/>
      <c r="AC255" s="170"/>
      <c r="AD255" s="586"/>
      <c r="AE255" s="586"/>
      <c r="AF255" s="170"/>
      <c r="AG255" s="170"/>
      <c r="AH255" s="170"/>
      <c r="AI255" s="170"/>
      <c r="AJ255" s="170"/>
      <c r="AK255" s="170"/>
      <c r="AL255" s="170"/>
      <c r="AM255" s="170"/>
      <c r="AN255" s="170"/>
      <c r="AO255" s="170"/>
      <c r="AP255" s="170"/>
      <c r="AQ255" s="170"/>
      <c r="AR255" s="170"/>
      <c r="AS255" s="170"/>
    </row>
    <row r="256" spans="1:46" ht="15" x14ac:dyDescent="0.25">
      <c r="A256" s="170"/>
      <c r="B256" s="719"/>
      <c r="C256" s="170"/>
      <c r="D256" s="170"/>
      <c r="E256" s="170"/>
      <c r="F256" s="170"/>
      <c r="G256" s="721"/>
      <c r="H256" s="170"/>
      <c r="I256" s="170"/>
      <c r="J256" s="170"/>
      <c r="K256" s="170"/>
      <c r="L256" s="170"/>
      <c r="M256" s="730"/>
      <c r="N256" s="730"/>
      <c r="O256" s="730"/>
      <c r="P256" s="731"/>
      <c r="Q256" s="731"/>
      <c r="R256" s="730"/>
      <c r="S256" s="730"/>
      <c r="T256" s="723"/>
      <c r="U256" s="724"/>
      <c r="V256" s="725"/>
      <c r="W256" s="725"/>
      <c r="X256" s="723"/>
      <c r="Y256" s="723"/>
      <c r="Z256" s="723"/>
      <c r="AA256" s="726"/>
      <c r="AB256" s="726"/>
      <c r="AC256" s="170"/>
      <c r="AD256" s="586"/>
      <c r="AE256" s="586"/>
      <c r="AF256" s="170"/>
      <c r="AG256" s="170"/>
      <c r="AH256" s="170"/>
      <c r="AI256" s="170"/>
      <c r="AJ256" s="170"/>
      <c r="AK256" s="170"/>
      <c r="AL256" s="170"/>
      <c r="AM256" s="170"/>
      <c r="AN256" s="170"/>
      <c r="AO256" s="170"/>
      <c r="AP256" s="170"/>
      <c r="AQ256" s="170"/>
      <c r="AR256" s="170"/>
      <c r="AS256" s="170"/>
    </row>
    <row r="257" spans="1:45" ht="15" x14ac:dyDescent="0.25">
      <c r="A257" s="170"/>
      <c r="B257" s="719"/>
      <c r="C257" s="170"/>
      <c r="D257" s="170"/>
      <c r="E257" s="170"/>
      <c r="F257" s="170"/>
      <c r="G257" s="721"/>
      <c r="H257" s="170"/>
      <c r="I257" s="170"/>
      <c r="J257" s="170"/>
      <c r="K257" s="170"/>
      <c r="L257" s="170"/>
      <c r="M257" s="730"/>
      <c r="N257" s="730"/>
      <c r="O257" s="730"/>
      <c r="P257" s="731"/>
      <c r="Q257" s="731"/>
      <c r="R257" s="730"/>
      <c r="S257" s="730"/>
      <c r="T257" s="723"/>
      <c r="U257" s="724"/>
      <c r="V257" s="725"/>
      <c r="W257" s="725"/>
      <c r="X257" s="723"/>
      <c r="Y257" s="723"/>
      <c r="Z257" s="723"/>
      <c r="AA257" s="726"/>
      <c r="AB257" s="726"/>
      <c r="AC257" s="170"/>
      <c r="AD257" s="586"/>
      <c r="AE257" s="586"/>
      <c r="AF257" s="170"/>
      <c r="AG257" s="170"/>
      <c r="AH257" s="170"/>
      <c r="AI257" s="170"/>
      <c r="AJ257" s="170"/>
      <c r="AK257" s="170"/>
      <c r="AL257" s="170"/>
      <c r="AM257" s="170"/>
      <c r="AN257" s="170"/>
      <c r="AO257" s="170"/>
      <c r="AP257" s="170"/>
      <c r="AQ257" s="170"/>
      <c r="AR257" s="170"/>
      <c r="AS257" s="170"/>
    </row>
    <row r="258" spans="1:45" ht="15" x14ac:dyDescent="0.25">
      <c r="A258" s="170"/>
      <c r="B258" s="719"/>
      <c r="C258" s="170"/>
      <c r="D258" s="170"/>
      <c r="E258" s="170"/>
      <c r="F258" s="170"/>
      <c r="G258" s="721"/>
      <c r="H258" s="170"/>
      <c r="I258" s="170"/>
      <c r="J258" s="170"/>
      <c r="K258" s="170"/>
      <c r="L258" s="170"/>
      <c r="M258" s="730"/>
      <c r="N258" s="730"/>
      <c r="O258" s="730"/>
      <c r="P258" s="731"/>
      <c r="Q258" s="731"/>
      <c r="R258" s="730"/>
      <c r="S258" s="730"/>
      <c r="T258" s="723"/>
      <c r="U258" s="724"/>
      <c r="V258" s="725"/>
      <c r="W258" s="725"/>
      <c r="X258" s="723"/>
      <c r="Y258" s="723"/>
      <c r="Z258" s="723"/>
      <c r="AA258" s="726"/>
      <c r="AB258" s="726"/>
      <c r="AC258" s="170"/>
      <c r="AD258" s="586"/>
      <c r="AE258" s="586"/>
      <c r="AF258" s="170"/>
      <c r="AG258" s="170"/>
      <c r="AH258" s="170"/>
      <c r="AI258" s="170"/>
      <c r="AJ258" s="170"/>
      <c r="AK258" s="170"/>
      <c r="AL258" s="170"/>
      <c r="AM258" s="170"/>
      <c r="AN258" s="170"/>
      <c r="AO258" s="170"/>
      <c r="AP258" s="170"/>
      <c r="AQ258" s="170"/>
      <c r="AR258" s="170"/>
      <c r="AS258" s="170"/>
    </row>
    <row r="259" spans="1:45" ht="15" x14ac:dyDescent="0.25">
      <c r="A259" s="170"/>
      <c r="B259" s="719"/>
      <c r="C259" s="170"/>
      <c r="D259" s="170"/>
      <c r="E259" s="170"/>
      <c r="F259" s="170"/>
      <c r="G259" s="721"/>
      <c r="H259" s="170"/>
      <c r="I259" s="170"/>
      <c r="J259" s="170"/>
      <c r="K259" s="170"/>
      <c r="L259" s="170"/>
      <c r="M259" s="730"/>
      <c r="N259" s="730"/>
      <c r="O259" s="730"/>
      <c r="P259" s="731"/>
      <c r="Q259" s="731"/>
      <c r="R259" s="730"/>
      <c r="S259" s="730"/>
      <c r="T259" s="723"/>
      <c r="U259" s="724"/>
      <c r="V259" s="725"/>
      <c r="W259" s="725"/>
      <c r="X259" s="723"/>
      <c r="Y259" s="723"/>
      <c r="Z259" s="723"/>
      <c r="AA259" s="726"/>
      <c r="AB259" s="726"/>
      <c r="AC259" s="170"/>
      <c r="AD259" s="586"/>
      <c r="AE259" s="586"/>
      <c r="AF259" s="170"/>
      <c r="AG259" s="170"/>
      <c r="AH259" s="170"/>
      <c r="AI259" s="170"/>
      <c r="AJ259" s="170"/>
      <c r="AK259" s="170"/>
      <c r="AL259" s="170"/>
      <c r="AM259" s="170"/>
      <c r="AN259" s="170"/>
      <c r="AO259" s="170"/>
      <c r="AP259" s="170"/>
      <c r="AQ259" s="170"/>
      <c r="AR259" s="170"/>
      <c r="AS259" s="170"/>
    </row>
    <row r="260" spans="1:45" ht="15" x14ac:dyDescent="0.25">
      <c r="A260" s="170"/>
      <c r="B260" s="719"/>
      <c r="C260" s="170"/>
      <c r="D260" s="170"/>
      <c r="E260" s="170"/>
      <c r="F260" s="170"/>
      <c r="G260" s="721"/>
      <c r="H260" s="170"/>
      <c r="I260" s="170"/>
      <c r="J260" s="170"/>
      <c r="K260" s="170"/>
      <c r="L260" s="170"/>
      <c r="M260" s="730"/>
      <c r="N260" s="730"/>
      <c r="O260" s="730"/>
      <c r="P260" s="731"/>
      <c r="Q260" s="731"/>
      <c r="R260" s="730"/>
      <c r="S260" s="730"/>
      <c r="T260" s="723"/>
      <c r="U260" s="724"/>
      <c r="V260" s="725"/>
      <c r="W260" s="725"/>
      <c r="X260" s="723"/>
      <c r="Y260" s="723"/>
      <c r="Z260" s="723"/>
      <c r="AA260" s="726"/>
      <c r="AB260" s="726"/>
      <c r="AC260" s="170"/>
      <c r="AD260" s="586"/>
      <c r="AE260" s="586"/>
      <c r="AF260" s="170"/>
      <c r="AG260" s="170"/>
      <c r="AH260" s="170"/>
      <c r="AI260" s="170"/>
      <c r="AJ260" s="170"/>
      <c r="AK260" s="170"/>
      <c r="AL260" s="170"/>
      <c r="AM260" s="170"/>
      <c r="AN260" s="170"/>
      <c r="AO260" s="170"/>
      <c r="AP260" s="170"/>
      <c r="AQ260" s="170"/>
      <c r="AR260" s="170"/>
      <c r="AS260" s="170"/>
    </row>
    <row r="261" spans="1:45" ht="15" x14ac:dyDescent="0.25">
      <c r="A261" s="170"/>
      <c r="B261" s="719"/>
      <c r="C261" s="170"/>
      <c r="D261" s="170"/>
      <c r="E261" s="170"/>
      <c r="F261" s="170"/>
      <c r="G261" s="721"/>
      <c r="H261" s="170"/>
      <c r="I261" s="170"/>
      <c r="J261" s="170"/>
      <c r="K261" s="170"/>
      <c r="L261" s="170"/>
      <c r="M261" s="730"/>
      <c r="N261" s="730"/>
      <c r="O261" s="730"/>
      <c r="P261" s="731"/>
      <c r="Q261" s="731"/>
      <c r="R261" s="730"/>
      <c r="S261" s="730"/>
      <c r="T261" s="723"/>
      <c r="U261" s="724"/>
      <c r="V261" s="725"/>
      <c r="W261" s="725"/>
      <c r="X261" s="723"/>
      <c r="Y261" s="723"/>
      <c r="Z261" s="723"/>
      <c r="AA261" s="726"/>
      <c r="AB261" s="726"/>
      <c r="AC261" s="170"/>
      <c r="AD261" s="586"/>
      <c r="AE261" s="586"/>
      <c r="AF261" s="170"/>
      <c r="AG261" s="170"/>
      <c r="AH261" s="170"/>
      <c r="AI261" s="170"/>
      <c r="AJ261" s="170"/>
      <c r="AK261" s="170"/>
      <c r="AL261" s="170"/>
      <c r="AM261" s="170"/>
      <c r="AN261" s="170"/>
      <c r="AO261" s="170"/>
      <c r="AP261" s="170"/>
      <c r="AQ261" s="170"/>
      <c r="AR261" s="170"/>
      <c r="AS261" s="170"/>
    </row>
    <row r="262" spans="1:45" ht="15" x14ac:dyDescent="0.25">
      <c r="A262" s="170"/>
      <c r="B262" s="719"/>
      <c r="C262" s="170"/>
      <c r="D262" s="170"/>
      <c r="E262" s="170"/>
      <c r="F262" s="170"/>
      <c r="G262" s="721"/>
      <c r="H262" s="170"/>
      <c r="I262" s="170"/>
      <c r="J262" s="170"/>
      <c r="K262" s="170"/>
      <c r="L262" s="170"/>
      <c r="M262" s="730"/>
      <c r="N262" s="730"/>
      <c r="O262" s="730"/>
      <c r="P262" s="731"/>
      <c r="Q262" s="731"/>
      <c r="R262" s="730"/>
      <c r="S262" s="730"/>
      <c r="T262" s="723"/>
      <c r="U262" s="724"/>
      <c r="V262" s="725"/>
      <c r="W262" s="725"/>
      <c r="X262" s="723"/>
      <c r="Y262" s="723"/>
      <c r="Z262" s="723"/>
      <c r="AA262" s="726"/>
      <c r="AB262" s="726"/>
      <c r="AC262" s="170"/>
      <c r="AD262" s="586"/>
      <c r="AE262" s="586"/>
      <c r="AF262" s="170"/>
      <c r="AG262" s="170"/>
      <c r="AH262" s="170"/>
      <c r="AI262" s="170"/>
      <c r="AJ262" s="170"/>
      <c r="AK262" s="170"/>
      <c r="AL262" s="170"/>
      <c r="AM262" s="170"/>
      <c r="AN262" s="170"/>
      <c r="AO262" s="170"/>
      <c r="AP262" s="170"/>
      <c r="AQ262" s="170"/>
      <c r="AR262" s="170"/>
      <c r="AS262" s="170"/>
    </row>
    <row r="263" spans="1:45" ht="15" x14ac:dyDescent="0.25">
      <c r="A263" s="170"/>
      <c r="B263" s="719"/>
      <c r="C263" s="170"/>
      <c r="D263" s="170"/>
      <c r="E263" s="170"/>
      <c r="F263" s="170"/>
      <c r="G263" s="721"/>
      <c r="H263" s="170"/>
      <c r="I263" s="170"/>
      <c r="J263" s="170"/>
      <c r="K263" s="170"/>
      <c r="L263" s="170"/>
      <c r="M263" s="730"/>
      <c r="N263" s="730"/>
      <c r="O263" s="730"/>
      <c r="P263" s="731"/>
      <c r="Q263" s="731"/>
      <c r="R263" s="730"/>
      <c r="S263" s="730"/>
      <c r="T263" s="723"/>
      <c r="U263" s="724"/>
      <c r="V263" s="725"/>
      <c r="W263" s="725"/>
      <c r="X263" s="723"/>
      <c r="Y263" s="723"/>
      <c r="Z263" s="723"/>
      <c r="AA263" s="726"/>
      <c r="AB263" s="726"/>
      <c r="AC263" s="170"/>
      <c r="AD263" s="586"/>
      <c r="AE263" s="586"/>
      <c r="AF263" s="170"/>
      <c r="AG263" s="170"/>
      <c r="AH263" s="170"/>
      <c r="AI263" s="170"/>
      <c r="AJ263" s="170"/>
      <c r="AK263" s="170"/>
      <c r="AL263" s="170"/>
      <c r="AM263" s="170"/>
      <c r="AN263" s="170"/>
      <c r="AO263" s="170"/>
      <c r="AP263" s="170"/>
      <c r="AQ263" s="170"/>
      <c r="AR263" s="170"/>
      <c r="AS263" s="170"/>
    </row>
    <row r="264" spans="1:45" ht="15" x14ac:dyDescent="0.25">
      <c r="A264" s="170"/>
      <c r="B264" s="719"/>
      <c r="C264" s="170"/>
      <c r="D264" s="170"/>
      <c r="E264" s="170"/>
      <c r="F264" s="170"/>
      <c r="G264" s="721"/>
      <c r="H264" s="170"/>
      <c r="I264" s="170"/>
      <c r="J264" s="170"/>
      <c r="K264" s="170"/>
      <c r="L264" s="170"/>
      <c r="M264" s="730"/>
      <c r="N264" s="730"/>
      <c r="O264" s="730"/>
      <c r="P264" s="731"/>
      <c r="Q264" s="731"/>
      <c r="R264" s="730"/>
      <c r="S264" s="730"/>
      <c r="T264" s="723"/>
      <c r="U264" s="724"/>
      <c r="V264" s="725"/>
      <c r="W264" s="725"/>
      <c r="X264" s="723"/>
      <c r="Y264" s="723"/>
      <c r="Z264" s="723"/>
      <c r="AA264" s="726"/>
      <c r="AB264" s="726"/>
      <c r="AC264" s="170"/>
      <c r="AD264" s="586"/>
      <c r="AE264" s="586"/>
      <c r="AF264" s="170"/>
      <c r="AG264" s="170"/>
      <c r="AH264" s="170"/>
      <c r="AI264" s="170"/>
      <c r="AJ264" s="170"/>
      <c r="AK264" s="170"/>
      <c r="AL264" s="170"/>
      <c r="AM264" s="170"/>
      <c r="AN264" s="170"/>
      <c r="AO264" s="170"/>
      <c r="AP264" s="170"/>
      <c r="AQ264" s="170"/>
      <c r="AR264" s="170"/>
      <c r="AS264" s="170"/>
    </row>
    <row r="265" spans="1:45" ht="15" x14ac:dyDescent="0.25">
      <c r="A265" s="170"/>
      <c r="B265" s="719"/>
      <c r="C265" s="170"/>
      <c r="D265" s="170"/>
      <c r="E265" s="170"/>
      <c r="F265" s="170"/>
      <c r="G265" s="721"/>
      <c r="H265" s="170"/>
      <c r="I265" s="170"/>
      <c r="J265" s="170"/>
      <c r="K265" s="170"/>
      <c r="L265" s="170"/>
      <c r="M265" s="730"/>
      <c r="N265" s="730"/>
      <c r="O265" s="730"/>
      <c r="P265" s="731"/>
      <c r="Q265" s="731"/>
      <c r="R265" s="730"/>
      <c r="S265" s="730"/>
      <c r="T265" s="723"/>
      <c r="U265" s="724"/>
      <c r="V265" s="725"/>
      <c r="W265" s="725"/>
      <c r="X265" s="723"/>
      <c r="Y265" s="723"/>
      <c r="Z265" s="723"/>
      <c r="AA265" s="726"/>
      <c r="AB265" s="726"/>
      <c r="AC265" s="170"/>
      <c r="AD265" s="586"/>
      <c r="AE265" s="586"/>
      <c r="AF265" s="170"/>
      <c r="AG265" s="170"/>
      <c r="AH265" s="170"/>
      <c r="AI265" s="170"/>
      <c r="AJ265" s="170"/>
      <c r="AK265" s="170"/>
      <c r="AL265" s="170"/>
      <c r="AM265" s="170"/>
      <c r="AN265" s="170"/>
      <c r="AO265" s="170"/>
      <c r="AP265" s="170"/>
      <c r="AQ265" s="170"/>
      <c r="AR265" s="170"/>
      <c r="AS265" s="170"/>
    </row>
    <row r="266" spans="1:45" ht="15" x14ac:dyDescent="0.25">
      <c r="A266" s="170"/>
      <c r="B266" s="719"/>
      <c r="C266" s="170"/>
      <c r="D266" s="170"/>
      <c r="E266" s="170"/>
      <c r="F266" s="170"/>
      <c r="G266" s="721"/>
      <c r="H266" s="170"/>
      <c r="I266" s="170"/>
      <c r="J266" s="170"/>
      <c r="K266" s="170"/>
      <c r="L266" s="170"/>
      <c r="M266" s="730"/>
      <c r="N266" s="730"/>
      <c r="O266" s="730"/>
      <c r="P266" s="731"/>
      <c r="Q266" s="731"/>
      <c r="R266" s="730"/>
      <c r="S266" s="730"/>
      <c r="T266" s="723"/>
      <c r="U266" s="724"/>
      <c r="V266" s="725"/>
      <c r="W266" s="725"/>
      <c r="X266" s="723"/>
      <c r="Y266" s="723"/>
      <c r="Z266" s="723"/>
      <c r="AA266" s="726"/>
      <c r="AB266" s="726"/>
      <c r="AC266" s="170"/>
      <c r="AD266" s="586"/>
      <c r="AE266" s="586"/>
      <c r="AF266" s="170"/>
      <c r="AG266" s="170"/>
      <c r="AH266" s="170"/>
      <c r="AI266" s="170"/>
      <c r="AJ266" s="170"/>
      <c r="AK266" s="170"/>
      <c r="AL266" s="170"/>
      <c r="AM266" s="170"/>
      <c r="AN266" s="170"/>
      <c r="AO266" s="170"/>
      <c r="AP266" s="170"/>
      <c r="AQ266" s="170"/>
      <c r="AR266" s="170"/>
      <c r="AS266" s="170"/>
    </row>
    <row r="267" spans="1:45" ht="15" x14ac:dyDescent="0.25">
      <c r="A267" s="170"/>
      <c r="B267" s="719"/>
      <c r="C267" s="170"/>
      <c r="D267" s="170"/>
      <c r="E267" s="170"/>
      <c r="F267" s="170"/>
      <c r="G267" s="721"/>
      <c r="H267" s="170"/>
      <c r="I267" s="170"/>
      <c r="J267" s="170"/>
      <c r="K267" s="170"/>
      <c r="L267" s="170"/>
      <c r="M267" s="730"/>
      <c r="N267" s="730"/>
      <c r="O267" s="730"/>
      <c r="P267" s="731"/>
      <c r="Q267" s="731"/>
      <c r="R267" s="730"/>
      <c r="S267" s="730"/>
      <c r="T267" s="723"/>
      <c r="U267" s="724"/>
      <c r="V267" s="725"/>
      <c r="W267" s="725"/>
      <c r="X267" s="723"/>
      <c r="Y267" s="723"/>
      <c r="Z267" s="723"/>
      <c r="AA267" s="726"/>
      <c r="AB267" s="726"/>
      <c r="AC267" s="170"/>
      <c r="AD267" s="586"/>
      <c r="AE267" s="586"/>
      <c r="AF267" s="170"/>
      <c r="AG267" s="170"/>
      <c r="AH267" s="170"/>
      <c r="AI267" s="170"/>
      <c r="AJ267" s="170"/>
      <c r="AK267" s="170"/>
      <c r="AL267" s="170"/>
      <c r="AM267" s="170"/>
      <c r="AN267" s="170"/>
      <c r="AO267" s="170"/>
      <c r="AP267" s="170"/>
      <c r="AQ267" s="170"/>
      <c r="AR267" s="170"/>
      <c r="AS267" s="170"/>
    </row>
    <row r="268" spans="1:45" ht="15" x14ac:dyDescent="0.25">
      <c r="A268" s="170"/>
      <c r="B268" s="719"/>
      <c r="C268" s="170"/>
      <c r="D268" s="170"/>
      <c r="E268" s="170"/>
      <c r="F268" s="170"/>
      <c r="G268" s="721"/>
      <c r="H268" s="170"/>
      <c r="I268" s="170"/>
      <c r="J268" s="170"/>
      <c r="K268" s="170"/>
      <c r="L268" s="170"/>
      <c r="M268" s="730"/>
      <c r="N268" s="730"/>
      <c r="O268" s="730"/>
      <c r="P268" s="731"/>
      <c r="Q268" s="731"/>
      <c r="R268" s="730"/>
      <c r="S268" s="730"/>
      <c r="T268" s="723"/>
      <c r="U268" s="724"/>
      <c r="V268" s="725"/>
      <c r="W268" s="725"/>
      <c r="X268" s="723"/>
      <c r="Y268" s="723"/>
      <c r="Z268" s="723"/>
      <c r="AA268" s="726"/>
      <c r="AB268" s="726"/>
      <c r="AC268" s="170"/>
      <c r="AD268" s="586"/>
      <c r="AE268" s="586"/>
      <c r="AF268" s="170"/>
      <c r="AG268" s="170"/>
      <c r="AH268" s="170"/>
      <c r="AI268" s="170"/>
      <c r="AJ268" s="170"/>
      <c r="AK268" s="170"/>
      <c r="AL268" s="170"/>
      <c r="AM268" s="170"/>
      <c r="AN268" s="170"/>
      <c r="AO268" s="170"/>
      <c r="AP268" s="170"/>
      <c r="AQ268" s="170"/>
      <c r="AR268" s="170"/>
      <c r="AS268" s="170"/>
    </row>
    <row r="269" spans="1:45" ht="15" x14ac:dyDescent="0.25">
      <c r="A269" s="170"/>
      <c r="B269" s="719"/>
      <c r="C269" s="170"/>
      <c r="D269" s="170"/>
      <c r="E269" s="170"/>
      <c r="F269" s="170"/>
      <c r="G269" s="721"/>
      <c r="H269" s="170"/>
      <c r="I269" s="170"/>
      <c r="J269" s="170"/>
      <c r="K269" s="170"/>
      <c r="L269" s="170"/>
      <c r="M269" s="730"/>
      <c r="N269" s="730"/>
      <c r="O269" s="730"/>
      <c r="P269" s="731"/>
      <c r="Q269" s="731"/>
      <c r="R269" s="730"/>
      <c r="S269" s="730"/>
      <c r="T269" s="723"/>
      <c r="U269" s="724"/>
      <c r="V269" s="725"/>
      <c r="W269" s="725"/>
      <c r="X269" s="723"/>
      <c r="Y269" s="723"/>
      <c r="Z269" s="723"/>
      <c r="AA269" s="726"/>
      <c r="AB269" s="726"/>
      <c r="AC269" s="170"/>
      <c r="AD269" s="586"/>
      <c r="AE269" s="586"/>
      <c r="AF269" s="170"/>
      <c r="AG269" s="170"/>
      <c r="AH269" s="170"/>
      <c r="AI269" s="170"/>
      <c r="AJ269" s="170"/>
      <c r="AK269" s="170"/>
      <c r="AL269" s="170"/>
      <c r="AM269" s="170"/>
      <c r="AN269" s="170"/>
      <c r="AO269" s="170"/>
      <c r="AP269" s="170"/>
      <c r="AQ269" s="170"/>
      <c r="AR269" s="170"/>
      <c r="AS269" s="170"/>
    </row>
    <row r="270" spans="1:45" ht="15" x14ac:dyDescent="0.25">
      <c r="A270" s="170"/>
      <c r="B270" s="719"/>
      <c r="C270" s="170"/>
      <c r="D270" s="170"/>
      <c r="E270" s="170"/>
      <c r="F270" s="170"/>
      <c r="G270" s="721"/>
      <c r="H270" s="170"/>
      <c r="I270" s="170"/>
      <c r="J270" s="170"/>
      <c r="K270" s="170"/>
      <c r="L270" s="170"/>
      <c r="M270" s="730"/>
      <c r="N270" s="730"/>
      <c r="O270" s="730"/>
      <c r="P270" s="731"/>
      <c r="Q270" s="731"/>
      <c r="R270" s="730"/>
      <c r="S270" s="730"/>
      <c r="T270" s="723"/>
      <c r="U270" s="724"/>
      <c r="V270" s="725"/>
      <c r="W270" s="725"/>
      <c r="X270" s="723"/>
      <c r="Y270" s="723"/>
      <c r="Z270" s="723"/>
      <c r="AA270" s="726"/>
      <c r="AB270" s="726"/>
      <c r="AC270" s="170"/>
      <c r="AD270" s="586"/>
      <c r="AE270" s="586"/>
      <c r="AF270" s="170"/>
      <c r="AG270" s="170"/>
      <c r="AH270" s="170"/>
      <c r="AI270" s="170"/>
      <c r="AJ270" s="170"/>
      <c r="AK270" s="170"/>
      <c r="AL270" s="170"/>
      <c r="AM270" s="170"/>
      <c r="AN270" s="170"/>
      <c r="AO270" s="170"/>
      <c r="AP270" s="170"/>
      <c r="AQ270" s="170"/>
      <c r="AR270" s="170"/>
      <c r="AS270" s="170"/>
    </row>
    <row r="271" spans="1:45" ht="15" x14ac:dyDescent="0.25">
      <c r="A271" s="170"/>
      <c r="B271" s="719"/>
      <c r="C271" s="170"/>
      <c r="D271" s="170"/>
      <c r="E271" s="170"/>
      <c r="F271" s="170"/>
      <c r="G271" s="721"/>
      <c r="H271" s="170"/>
      <c r="I271" s="170"/>
      <c r="J271" s="170"/>
      <c r="K271" s="170"/>
      <c r="L271" s="170"/>
      <c r="M271" s="730"/>
      <c r="N271" s="730"/>
      <c r="O271" s="730"/>
      <c r="P271" s="731"/>
      <c r="Q271" s="731"/>
      <c r="R271" s="730"/>
      <c r="S271" s="730"/>
      <c r="T271" s="723"/>
      <c r="U271" s="724"/>
      <c r="V271" s="725"/>
      <c r="W271" s="725"/>
      <c r="X271" s="723"/>
      <c r="Y271" s="723"/>
      <c r="Z271" s="723"/>
      <c r="AA271" s="726"/>
      <c r="AB271" s="726"/>
      <c r="AC271" s="170"/>
      <c r="AD271" s="586"/>
      <c r="AE271" s="586"/>
      <c r="AF271" s="170"/>
      <c r="AG271" s="170"/>
      <c r="AH271" s="170"/>
      <c r="AI271" s="170"/>
      <c r="AJ271" s="170"/>
      <c r="AK271" s="170"/>
      <c r="AL271" s="170"/>
      <c r="AM271" s="170"/>
      <c r="AN271" s="170"/>
      <c r="AO271" s="170"/>
      <c r="AP271" s="170"/>
      <c r="AQ271" s="170"/>
      <c r="AR271" s="170"/>
      <c r="AS271" s="170"/>
    </row>
    <row r="272" spans="1:45" ht="15" x14ac:dyDescent="0.25">
      <c r="A272" s="170"/>
      <c r="B272" s="719"/>
      <c r="C272" s="170"/>
      <c r="D272" s="170"/>
      <c r="E272" s="170"/>
      <c r="F272" s="170"/>
      <c r="G272" s="721"/>
      <c r="H272" s="170"/>
      <c r="I272" s="170"/>
      <c r="J272" s="170"/>
      <c r="K272" s="170"/>
      <c r="L272" s="170"/>
      <c r="M272" s="730"/>
      <c r="N272" s="730"/>
      <c r="O272" s="730"/>
      <c r="P272" s="731"/>
      <c r="Q272" s="731"/>
      <c r="R272" s="730"/>
      <c r="S272" s="730"/>
      <c r="T272" s="723"/>
      <c r="U272" s="724"/>
      <c r="V272" s="725"/>
      <c r="W272" s="725"/>
      <c r="X272" s="723"/>
      <c r="Y272" s="723"/>
      <c r="Z272" s="723"/>
      <c r="AA272" s="726"/>
      <c r="AB272" s="726"/>
      <c r="AC272" s="170"/>
      <c r="AD272" s="586"/>
      <c r="AE272" s="586"/>
      <c r="AF272" s="170"/>
      <c r="AG272" s="170"/>
      <c r="AH272" s="170"/>
      <c r="AI272" s="170"/>
      <c r="AJ272" s="170"/>
      <c r="AK272" s="170"/>
      <c r="AL272" s="170"/>
      <c r="AM272" s="170"/>
      <c r="AN272" s="170"/>
      <c r="AO272" s="170"/>
      <c r="AP272" s="170"/>
      <c r="AQ272" s="170"/>
      <c r="AR272" s="170"/>
      <c r="AS272" s="170"/>
    </row>
    <row r="273" spans="1:45" ht="15" x14ac:dyDescent="0.25">
      <c r="A273" s="170"/>
      <c r="B273" s="719"/>
      <c r="C273" s="170"/>
      <c r="D273" s="170"/>
      <c r="E273" s="170"/>
      <c r="F273" s="170"/>
      <c r="G273" s="721"/>
      <c r="H273" s="170"/>
      <c r="I273" s="170"/>
      <c r="J273" s="170"/>
      <c r="K273" s="170"/>
      <c r="L273" s="170"/>
      <c r="M273" s="730"/>
      <c r="N273" s="730"/>
      <c r="O273" s="730"/>
      <c r="P273" s="731"/>
      <c r="Q273" s="731"/>
      <c r="R273" s="730"/>
      <c r="S273" s="730"/>
      <c r="T273" s="723"/>
      <c r="U273" s="724"/>
      <c r="V273" s="725"/>
      <c r="W273" s="725"/>
      <c r="X273" s="723"/>
      <c r="Y273" s="723"/>
      <c r="Z273" s="723"/>
      <c r="AA273" s="726"/>
      <c r="AB273" s="726"/>
      <c r="AC273" s="170"/>
      <c r="AD273" s="586"/>
      <c r="AE273" s="586"/>
      <c r="AF273" s="170"/>
      <c r="AG273" s="170"/>
      <c r="AH273" s="170"/>
      <c r="AI273" s="170"/>
      <c r="AJ273" s="170"/>
      <c r="AK273" s="170"/>
      <c r="AL273" s="170"/>
      <c r="AM273" s="170"/>
      <c r="AN273" s="170"/>
      <c r="AO273" s="170"/>
      <c r="AP273" s="170"/>
      <c r="AQ273" s="170"/>
      <c r="AR273" s="170"/>
      <c r="AS273" s="170"/>
    </row>
    <row r="274" spans="1:45" ht="15" x14ac:dyDescent="0.25">
      <c r="A274" s="170"/>
      <c r="B274" s="719"/>
      <c r="C274" s="170"/>
      <c r="D274" s="170"/>
      <c r="E274" s="170"/>
      <c r="F274" s="170"/>
      <c r="G274" s="721"/>
      <c r="H274" s="170"/>
      <c r="I274" s="170"/>
      <c r="J274" s="170"/>
      <c r="K274" s="170"/>
      <c r="L274" s="170"/>
      <c r="M274" s="730"/>
      <c r="N274" s="730"/>
      <c r="O274" s="730"/>
      <c r="P274" s="731"/>
      <c r="Q274" s="731"/>
      <c r="R274" s="730"/>
      <c r="S274" s="730"/>
      <c r="T274" s="723"/>
      <c r="U274" s="724"/>
      <c r="V274" s="725"/>
      <c r="W274" s="725"/>
      <c r="X274" s="723"/>
      <c r="Y274" s="723"/>
      <c r="Z274" s="723"/>
      <c r="AA274" s="726"/>
      <c r="AB274" s="726"/>
      <c r="AC274" s="170"/>
      <c r="AD274" s="586"/>
      <c r="AE274" s="586"/>
      <c r="AF274" s="170"/>
      <c r="AG274" s="170"/>
      <c r="AH274" s="170"/>
      <c r="AI274" s="170"/>
      <c r="AJ274" s="170"/>
      <c r="AK274" s="170"/>
      <c r="AL274" s="170"/>
      <c r="AM274" s="170"/>
      <c r="AN274" s="170"/>
      <c r="AO274" s="170"/>
      <c r="AP274" s="170"/>
      <c r="AQ274" s="170"/>
      <c r="AR274" s="170"/>
      <c r="AS274" s="170"/>
    </row>
    <row r="275" spans="1:45" ht="15" x14ac:dyDescent="0.25">
      <c r="A275" s="170"/>
      <c r="B275" s="719"/>
      <c r="C275" s="170"/>
      <c r="D275" s="170"/>
      <c r="E275" s="170"/>
      <c r="F275" s="170"/>
      <c r="G275" s="721"/>
      <c r="H275" s="170"/>
      <c r="I275" s="170"/>
      <c r="J275" s="170"/>
      <c r="K275" s="170"/>
      <c r="L275" s="170"/>
      <c r="M275" s="730"/>
      <c r="N275" s="730"/>
      <c r="O275" s="730"/>
      <c r="P275" s="731"/>
      <c r="Q275" s="731"/>
      <c r="R275" s="730"/>
      <c r="S275" s="730"/>
      <c r="T275" s="723"/>
      <c r="U275" s="724"/>
      <c r="V275" s="725"/>
      <c r="W275" s="725"/>
      <c r="X275" s="723"/>
      <c r="Y275" s="723"/>
      <c r="Z275" s="723"/>
      <c r="AA275" s="726"/>
      <c r="AB275" s="726"/>
      <c r="AC275" s="170"/>
      <c r="AD275" s="586"/>
      <c r="AE275" s="586"/>
      <c r="AF275" s="170"/>
      <c r="AG275" s="170"/>
      <c r="AH275" s="170"/>
      <c r="AI275" s="170"/>
      <c r="AJ275" s="170"/>
      <c r="AK275" s="170"/>
      <c r="AL275" s="170"/>
      <c r="AM275" s="170"/>
      <c r="AN275" s="170"/>
      <c r="AO275" s="170"/>
      <c r="AP275" s="170"/>
      <c r="AQ275" s="170"/>
      <c r="AR275" s="170"/>
      <c r="AS275" s="170"/>
    </row>
    <row r="276" spans="1:45" ht="15" x14ac:dyDescent="0.25">
      <c r="A276" s="170"/>
      <c r="B276" s="719"/>
      <c r="C276" s="170"/>
      <c r="D276" s="170"/>
      <c r="E276" s="170"/>
      <c r="F276" s="170"/>
      <c r="G276" s="721"/>
      <c r="H276" s="170"/>
      <c r="I276" s="170"/>
      <c r="J276" s="170"/>
      <c r="K276" s="170"/>
      <c r="L276" s="170"/>
      <c r="M276" s="730"/>
      <c r="N276" s="730"/>
      <c r="O276" s="730"/>
      <c r="P276" s="731"/>
      <c r="Q276" s="731"/>
      <c r="R276" s="730"/>
      <c r="S276" s="730"/>
      <c r="T276" s="723"/>
      <c r="U276" s="724"/>
      <c r="V276" s="725"/>
      <c r="W276" s="725"/>
      <c r="X276" s="723"/>
      <c r="Y276" s="723"/>
      <c r="Z276" s="723"/>
      <c r="AA276" s="726"/>
      <c r="AB276" s="726"/>
      <c r="AC276" s="170"/>
      <c r="AD276" s="586"/>
      <c r="AE276" s="586"/>
      <c r="AF276" s="170"/>
      <c r="AG276" s="170"/>
      <c r="AH276" s="170"/>
      <c r="AI276" s="170"/>
      <c r="AJ276" s="170"/>
      <c r="AK276" s="170"/>
      <c r="AL276" s="170"/>
      <c r="AM276" s="170"/>
      <c r="AN276" s="170"/>
      <c r="AO276" s="170"/>
      <c r="AP276" s="170"/>
      <c r="AQ276" s="170"/>
      <c r="AR276" s="170"/>
      <c r="AS276" s="170"/>
    </row>
    <row r="277" spans="1:45" ht="15" x14ac:dyDescent="0.25">
      <c r="A277" s="170"/>
      <c r="B277" s="719"/>
      <c r="C277" s="170"/>
      <c r="D277" s="170"/>
      <c r="E277" s="170"/>
      <c r="F277" s="170"/>
      <c r="G277" s="721"/>
      <c r="H277" s="170"/>
      <c r="I277" s="170"/>
      <c r="J277" s="170"/>
      <c r="K277" s="170"/>
      <c r="L277" s="170"/>
      <c r="M277" s="730"/>
      <c r="N277" s="730"/>
      <c r="O277" s="730"/>
      <c r="P277" s="731"/>
      <c r="Q277" s="731"/>
      <c r="R277" s="730"/>
      <c r="S277" s="730"/>
      <c r="T277" s="723"/>
      <c r="U277" s="724"/>
      <c r="V277" s="725"/>
      <c r="W277" s="725"/>
      <c r="X277" s="723"/>
      <c r="Y277" s="723"/>
      <c r="Z277" s="723"/>
      <c r="AA277" s="726"/>
      <c r="AB277" s="726"/>
      <c r="AC277" s="170"/>
      <c r="AD277" s="586"/>
      <c r="AE277" s="586"/>
      <c r="AF277" s="170"/>
      <c r="AG277" s="170"/>
      <c r="AH277" s="170"/>
      <c r="AI277" s="170"/>
      <c r="AJ277" s="170"/>
      <c r="AK277" s="170"/>
      <c r="AL277" s="170"/>
      <c r="AM277" s="170"/>
      <c r="AN277" s="170"/>
      <c r="AO277" s="170"/>
      <c r="AP277" s="170"/>
      <c r="AQ277" s="170"/>
      <c r="AR277" s="170"/>
      <c r="AS277" s="170"/>
    </row>
    <row r="278" spans="1:45" ht="15" x14ac:dyDescent="0.25">
      <c r="A278" s="170"/>
      <c r="B278" s="719"/>
      <c r="C278" s="170"/>
      <c r="D278" s="170"/>
      <c r="E278" s="170"/>
      <c r="F278" s="170"/>
      <c r="G278" s="721"/>
      <c r="H278" s="170"/>
      <c r="I278" s="170"/>
      <c r="J278" s="170"/>
      <c r="K278" s="170"/>
      <c r="L278" s="170"/>
      <c r="M278" s="730"/>
      <c r="N278" s="730"/>
      <c r="O278" s="730"/>
      <c r="P278" s="731"/>
      <c r="Q278" s="731"/>
      <c r="R278" s="730"/>
      <c r="S278" s="730"/>
      <c r="T278" s="723"/>
      <c r="U278" s="724"/>
      <c r="V278" s="725"/>
      <c r="W278" s="725"/>
      <c r="X278" s="723"/>
      <c r="Y278" s="723"/>
      <c r="Z278" s="723"/>
      <c r="AA278" s="726"/>
      <c r="AB278" s="726"/>
      <c r="AC278" s="170"/>
      <c r="AD278" s="586"/>
      <c r="AE278" s="586"/>
      <c r="AF278" s="170"/>
      <c r="AG278" s="170"/>
      <c r="AH278" s="170"/>
      <c r="AI278" s="170"/>
      <c r="AJ278" s="170"/>
      <c r="AK278" s="170"/>
      <c r="AL278" s="170"/>
      <c r="AM278" s="170"/>
      <c r="AN278" s="170"/>
      <c r="AO278" s="170"/>
      <c r="AP278" s="170"/>
      <c r="AQ278" s="170"/>
      <c r="AR278" s="170"/>
      <c r="AS278" s="170"/>
    </row>
    <row r="279" spans="1:45" ht="15" x14ac:dyDescent="0.25">
      <c r="A279" s="170"/>
      <c r="B279" s="719"/>
      <c r="C279" s="170"/>
      <c r="D279" s="170"/>
      <c r="E279" s="170"/>
      <c r="F279" s="170"/>
      <c r="G279" s="721"/>
      <c r="H279" s="170"/>
      <c r="I279" s="170"/>
      <c r="J279" s="170"/>
      <c r="K279" s="170"/>
      <c r="L279" s="170"/>
      <c r="M279" s="730"/>
      <c r="N279" s="730"/>
      <c r="O279" s="730"/>
      <c r="P279" s="731"/>
      <c r="Q279" s="731"/>
      <c r="R279" s="730"/>
      <c r="S279" s="730"/>
      <c r="T279" s="723"/>
      <c r="U279" s="724"/>
      <c r="V279" s="725"/>
      <c r="W279" s="725"/>
      <c r="X279" s="723"/>
      <c r="Y279" s="723"/>
      <c r="Z279" s="723"/>
      <c r="AA279" s="726"/>
      <c r="AB279" s="726"/>
      <c r="AC279" s="170"/>
      <c r="AD279" s="586"/>
      <c r="AE279" s="586"/>
      <c r="AF279" s="170"/>
      <c r="AG279" s="170"/>
      <c r="AH279" s="170"/>
      <c r="AI279" s="170"/>
      <c r="AJ279" s="170"/>
      <c r="AK279" s="170"/>
      <c r="AL279" s="170"/>
      <c r="AM279" s="170"/>
      <c r="AN279" s="170"/>
      <c r="AO279" s="170"/>
      <c r="AP279" s="170"/>
      <c r="AQ279" s="170"/>
      <c r="AR279" s="170"/>
      <c r="AS279" s="170"/>
    </row>
    <row r="280" spans="1:45" ht="15" x14ac:dyDescent="0.25">
      <c r="A280" s="170"/>
      <c r="B280" s="719"/>
      <c r="C280" s="170"/>
      <c r="D280" s="170"/>
      <c r="E280" s="170"/>
      <c r="F280" s="170"/>
      <c r="G280" s="721"/>
      <c r="H280" s="170"/>
      <c r="I280" s="170"/>
      <c r="J280" s="170"/>
      <c r="K280" s="170"/>
      <c r="L280" s="170"/>
      <c r="M280" s="730"/>
      <c r="N280" s="730"/>
      <c r="O280" s="730"/>
      <c r="P280" s="731"/>
      <c r="Q280" s="731"/>
      <c r="R280" s="730"/>
      <c r="S280" s="730"/>
      <c r="T280" s="723"/>
      <c r="U280" s="724"/>
      <c r="V280" s="725"/>
      <c r="W280" s="725"/>
      <c r="X280" s="723"/>
      <c r="Y280" s="723"/>
      <c r="Z280" s="723"/>
      <c r="AA280" s="726"/>
      <c r="AB280" s="726"/>
      <c r="AC280" s="170"/>
      <c r="AD280" s="586"/>
      <c r="AE280" s="586"/>
      <c r="AF280" s="170"/>
      <c r="AG280" s="170"/>
      <c r="AH280" s="170"/>
      <c r="AI280" s="170"/>
      <c r="AJ280" s="170"/>
      <c r="AK280" s="170"/>
      <c r="AL280" s="170"/>
      <c r="AM280" s="170"/>
      <c r="AN280" s="170"/>
      <c r="AO280" s="170"/>
      <c r="AP280" s="170"/>
      <c r="AQ280" s="170"/>
      <c r="AR280" s="170"/>
      <c r="AS280" s="170"/>
    </row>
    <row r="281" spans="1:45" ht="15" x14ac:dyDescent="0.25">
      <c r="A281" s="170"/>
      <c r="B281" s="719"/>
      <c r="C281" s="170"/>
      <c r="D281" s="170"/>
      <c r="E281" s="170"/>
      <c r="F281" s="170"/>
      <c r="G281" s="721"/>
      <c r="H281" s="170"/>
      <c r="I281" s="170"/>
      <c r="J281" s="170"/>
      <c r="K281" s="170"/>
      <c r="L281" s="170"/>
      <c r="M281" s="730"/>
      <c r="N281" s="730"/>
      <c r="O281" s="730"/>
      <c r="P281" s="731"/>
      <c r="Q281" s="731"/>
      <c r="R281" s="730"/>
      <c r="S281" s="730"/>
      <c r="T281" s="723"/>
      <c r="U281" s="724"/>
      <c r="V281" s="725"/>
      <c r="W281" s="725"/>
      <c r="X281" s="723"/>
      <c r="Y281" s="723"/>
      <c r="Z281" s="723"/>
      <c r="AA281" s="726"/>
      <c r="AB281" s="726"/>
      <c r="AC281" s="170"/>
      <c r="AD281" s="586"/>
      <c r="AE281" s="586"/>
      <c r="AF281" s="170"/>
      <c r="AG281" s="170"/>
      <c r="AH281" s="170"/>
      <c r="AI281" s="170"/>
      <c r="AJ281" s="170"/>
      <c r="AK281" s="170"/>
      <c r="AL281" s="170"/>
      <c r="AM281" s="170"/>
      <c r="AN281" s="170"/>
      <c r="AO281" s="170"/>
      <c r="AP281" s="170"/>
      <c r="AQ281" s="170"/>
      <c r="AR281" s="170"/>
      <c r="AS281" s="170"/>
    </row>
    <row r="282" spans="1:45" ht="15" x14ac:dyDescent="0.25">
      <c r="A282" s="170"/>
      <c r="B282" s="719"/>
      <c r="C282" s="170"/>
      <c r="D282" s="170"/>
      <c r="E282" s="170"/>
      <c r="F282" s="170"/>
      <c r="G282" s="721"/>
      <c r="H282" s="170"/>
      <c r="I282" s="170"/>
      <c r="J282" s="170"/>
      <c r="K282" s="170"/>
      <c r="L282" s="170"/>
      <c r="M282" s="730"/>
      <c r="N282" s="730"/>
      <c r="O282" s="730"/>
      <c r="P282" s="731"/>
      <c r="Q282" s="731"/>
      <c r="R282" s="730"/>
      <c r="S282" s="730"/>
      <c r="T282" s="723"/>
      <c r="U282" s="724"/>
      <c r="V282" s="725"/>
      <c r="W282" s="725"/>
      <c r="X282" s="723"/>
      <c r="Y282" s="723"/>
      <c r="Z282" s="723"/>
      <c r="AA282" s="726"/>
      <c r="AB282" s="726"/>
      <c r="AC282" s="170"/>
      <c r="AD282" s="586"/>
      <c r="AE282" s="586"/>
      <c r="AF282" s="170"/>
      <c r="AG282" s="170"/>
      <c r="AH282" s="170"/>
      <c r="AI282" s="170"/>
      <c r="AJ282" s="170"/>
      <c r="AK282" s="170"/>
      <c r="AL282" s="170"/>
      <c r="AM282" s="170"/>
      <c r="AN282" s="170"/>
      <c r="AO282" s="170"/>
      <c r="AP282" s="170"/>
      <c r="AQ282" s="170"/>
      <c r="AR282" s="170"/>
      <c r="AS282" s="170"/>
    </row>
    <row r="283" spans="1:45" ht="15" x14ac:dyDescent="0.25">
      <c r="A283" s="170"/>
      <c r="B283" s="719"/>
      <c r="C283" s="170"/>
      <c r="D283" s="170"/>
      <c r="E283" s="170"/>
      <c r="F283" s="170"/>
      <c r="G283" s="721"/>
      <c r="H283" s="170"/>
      <c r="I283" s="170"/>
      <c r="J283" s="170"/>
      <c r="K283" s="170"/>
      <c r="L283" s="170"/>
      <c r="M283" s="730"/>
      <c r="N283" s="730"/>
      <c r="O283" s="730"/>
      <c r="P283" s="731"/>
      <c r="Q283" s="731"/>
      <c r="R283" s="730"/>
      <c r="S283" s="730"/>
      <c r="T283" s="723"/>
      <c r="U283" s="724"/>
      <c r="V283" s="725"/>
      <c r="W283" s="725"/>
      <c r="X283" s="723"/>
      <c r="Y283" s="723"/>
      <c r="Z283" s="723"/>
      <c r="AA283" s="726"/>
      <c r="AB283" s="726"/>
      <c r="AC283" s="170"/>
      <c r="AD283" s="586"/>
      <c r="AE283" s="586"/>
      <c r="AF283" s="170"/>
      <c r="AG283" s="170"/>
      <c r="AH283" s="170"/>
      <c r="AI283" s="170"/>
      <c r="AJ283" s="170"/>
      <c r="AK283" s="170"/>
      <c r="AL283" s="170"/>
      <c r="AM283" s="170"/>
      <c r="AN283" s="170"/>
      <c r="AO283" s="170"/>
      <c r="AP283" s="170"/>
      <c r="AQ283" s="170"/>
      <c r="AR283" s="170"/>
      <c r="AS283" s="170"/>
    </row>
    <row r="284" spans="1:45" ht="15" x14ac:dyDescent="0.25">
      <c r="A284" s="170"/>
      <c r="B284" s="719"/>
      <c r="C284" s="170"/>
      <c r="D284" s="170"/>
      <c r="E284" s="170"/>
      <c r="F284" s="170"/>
      <c r="G284" s="721"/>
      <c r="H284" s="170"/>
      <c r="I284" s="170"/>
      <c r="J284" s="170"/>
      <c r="K284" s="170"/>
      <c r="L284" s="170"/>
      <c r="M284" s="730"/>
      <c r="N284" s="730"/>
      <c r="O284" s="730"/>
      <c r="P284" s="731"/>
      <c r="Q284" s="731"/>
      <c r="R284" s="730"/>
      <c r="S284" s="730"/>
      <c r="T284" s="723"/>
      <c r="U284" s="724"/>
      <c r="V284" s="725"/>
      <c r="W284" s="725"/>
      <c r="X284" s="723"/>
      <c r="Y284" s="723"/>
      <c r="Z284" s="723"/>
      <c r="AA284" s="726"/>
      <c r="AB284" s="726"/>
      <c r="AC284" s="170"/>
      <c r="AD284" s="586"/>
      <c r="AE284" s="586"/>
      <c r="AF284" s="170"/>
      <c r="AG284" s="170"/>
      <c r="AH284" s="170"/>
      <c r="AI284" s="170"/>
      <c r="AJ284" s="170"/>
      <c r="AK284" s="170"/>
      <c r="AL284" s="170"/>
      <c r="AM284" s="170"/>
      <c r="AN284" s="170"/>
      <c r="AO284" s="170"/>
      <c r="AP284" s="170"/>
      <c r="AQ284" s="170"/>
      <c r="AR284" s="170"/>
      <c r="AS284" s="170"/>
    </row>
    <row r="285" spans="1:45" ht="15" x14ac:dyDescent="0.25">
      <c r="A285" s="170"/>
      <c r="B285" s="719"/>
      <c r="C285" s="170"/>
      <c r="D285" s="170"/>
      <c r="E285" s="170"/>
      <c r="F285" s="170"/>
      <c r="G285" s="721"/>
      <c r="H285" s="170"/>
      <c r="I285" s="170"/>
      <c r="J285" s="170"/>
      <c r="K285" s="170"/>
      <c r="L285" s="170"/>
      <c r="M285" s="730"/>
      <c r="N285" s="730"/>
      <c r="O285" s="730"/>
      <c r="P285" s="731"/>
      <c r="Q285" s="731"/>
      <c r="R285" s="730"/>
      <c r="S285" s="730"/>
      <c r="T285" s="723"/>
      <c r="U285" s="724"/>
      <c r="V285" s="725"/>
      <c r="W285" s="725"/>
      <c r="X285" s="723"/>
      <c r="Y285" s="723"/>
      <c r="Z285" s="723"/>
      <c r="AA285" s="726"/>
      <c r="AB285" s="726"/>
      <c r="AC285" s="170"/>
      <c r="AD285" s="586"/>
      <c r="AE285" s="586"/>
      <c r="AF285" s="170"/>
      <c r="AG285" s="170"/>
      <c r="AH285" s="170"/>
      <c r="AI285" s="170"/>
      <c r="AJ285" s="170"/>
      <c r="AK285" s="170"/>
      <c r="AL285" s="170"/>
      <c r="AM285" s="170"/>
      <c r="AN285" s="170"/>
      <c r="AO285" s="170"/>
      <c r="AP285" s="170"/>
      <c r="AQ285" s="170"/>
      <c r="AR285" s="170"/>
      <c r="AS285" s="170"/>
    </row>
    <row r="286" spans="1:45" ht="15" x14ac:dyDescent="0.25">
      <c r="A286" s="170"/>
      <c r="B286" s="719"/>
      <c r="C286" s="170"/>
      <c r="D286" s="170"/>
      <c r="E286" s="170"/>
      <c r="F286" s="170"/>
      <c r="G286" s="721"/>
      <c r="H286" s="170"/>
      <c r="I286" s="170"/>
      <c r="J286" s="170"/>
      <c r="K286" s="170"/>
      <c r="L286" s="170"/>
      <c r="M286" s="730"/>
      <c r="N286" s="730"/>
      <c r="O286" s="730"/>
      <c r="P286" s="731"/>
      <c r="Q286" s="731"/>
      <c r="R286" s="730"/>
      <c r="S286" s="730"/>
      <c r="T286" s="723"/>
      <c r="U286" s="724"/>
      <c r="V286" s="725"/>
      <c r="W286" s="725"/>
      <c r="X286" s="723"/>
      <c r="Y286" s="723"/>
      <c r="Z286" s="723"/>
      <c r="AA286" s="726"/>
      <c r="AB286" s="726"/>
      <c r="AC286" s="170"/>
      <c r="AD286" s="586"/>
      <c r="AE286" s="586"/>
      <c r="AF286" s="170"/>
      <c r="AG286" s="170"/>
      <c r="AH286" s="170"/>
      <c r="AI286" s="170"/>
      <c r="AJ286" s="170"/>
      <c r="AK286" s="170"/>
      <c r="AL286" s="170"/>
      <c r="AM286" s="170"/>
      <c r="AN286" s="170"/>
      <c r="AO286" s="170"/>
      <c r="AP286" s="170"/>
      <c r="AQ286" s="170"/>
      <c r="AR286" s="170"/>
      <c r="AS286" s="170"/>
    </row>
    <row r="287" spans="1:45" ht="15" x14ac:dyDescent="0.25">
      <c r="A287" s="170"/>
      <c r="B287" s="719"/>
      <c r="C287" s="170"/>
      <c r="D287" s="170"/>
      <c r="E287" s="170"/>
      <c r="F287" s="170"/>
      <c r="G287" s="721"/>
      <c r="H287" s="170"/>
      <c r="I287" s="170"/>
      <c r="J287" s="170"/>
      <c r="K287" s="170"/>
      <c r="L287" s="170"/>
      <c r="M287" s="730"/>
      <c r="N287" s="730"/>
      <c r="O287" s="730"/>
      <c r="P287" s="731"/>
      <c r="Q287" s="731"/>
      <c r="R287" s="730"/>
      <c r="S287" s="730"/>
      <c r="T287" s="723"/>
      <c r="U287" s="724"/>
      <c r="V287" s="725"/>
      <c r="W287" s="725"/>
      <c r="X287" s="723"/>
      <c r="Y287" s="723"/>
      <c r="Z287" s="723"/>
      <c r="AA287" s="726"/>
      <c r="AB287" s="726"/>
      <c r="AC287" s="170"/>
      <c r="AD287" s="586"/>
      <c r="AE287" s="586"/>
      <c r="AF287" s="170"/>
      <c r="AG287" s="170"/>
      <c r="AH287" s="170"/>
      <c r="AI287" s="170"/>
      <c r="AJ287" s="170"/>
      <c r="AK287" s="170"/>
      <c r="AL287" s="170"/>
      <c r="AM287" s="170"/>
      <c r="AN287" s="170"/>
      <c r="AO287" s="170"/>
      <c r="AP287" s="170"/>
      <c r="AQ287" s="170"/>
      <c r="AR287" s="170"/>
      <c r="AS287" s="170"/>
    </row>
    <row r="288" spans="1:45" ht="15" x14ac:dyDescent="0.25">
      <c r="A288" s="170"/>
      <c r="B288" s="719"/>
      <c r="C288" s="170"/>
      <c r="D288" s="170"/>
      <c r="E288" s="170"/>
      <c r="F288" s="170"/>
      <c r="G288" s="721"/>
      <c r="H288" s="170"/>
      <c r="I288" s="170"/>
      <c r="J288" s="170"/>
      <c r="K288" s="170"/>
      <c r="L288" s="170"/>
      <c r="M288" s="730"/>
      <c r="N288" s="730"/>
      <c r="O288" s="730"/>
      <c r="P288" s="731"/>
      <c r="Q288" s="731"/>
      <c r="R288" s="730"/>
      <c r="S288" s="730"/>
      <c r="T288" s="723"/>
      <c r="U288" s="724"/>
      <c r="V288" s="725"/>
      <c r="W288" s="725"/>
      <c r="X288" s="723"/>
      <c r="Y288" s="723"/>
      <c r="Z288" s="723"/>
      <c r="AA288" s="726"/>
      <c r="AB288" s="726"/>
      <c r="AC288" s="170"/>
      <c r="AD288" s="586"/>
      <c r="AE288" s="586"/>
      <c r="AF288" s="170"/>
      <c r="AG288" s="170"/>
      <c r="AH288" s="170"/>
      <c r="AI288" s="170"/>
      <c r="AJ288" s="170"/>
      <c r="AK288" s="170"/>
      <c r="AL288" s="170"/>
      <c r="AM288" s="170"/>
      <c r="AN288" s="170"/>
      <c r="AO288" s="170"/>
      <c r="AP288" s="170"/>
      <c r="AQ288" s="170"/>
      <c r="AR288" s="170"/>
      <c r="AS288" s="170"/>
    </row>
    <row r="289" spans="1:45" ht="15" x14ac:dyDescent="0.25">
      <c r="A289" s="170"/>
      <c r="B289" s="719"/>
      <c r="C289" s="170"/>
      <c r="D289" s="170"/>
      <c r="E289" s="170"/>
      <c r="F289" s="170"/>
      <c r="G289" s="721"/>
      <c r="H289" s="170"/>
      <c r="I289" s="170"/>
      <c r="J289" s="170"/>
      <c r="K289" s="170"/>
      <c r="L289" s="170"/>
      <c r="M289" s="730"/>
      <c r="N289" s="730"/>
      <c r="O289" s="730"/>
      <c r="P289" s="731"/>
      <c r="Q289" s="731"/>
      <c r="R289" s="730"/>
      <c r="S289" s="730"/>
      <c r="T289" s="723"/>
      <c r="U289" s="724"/>
      <c r="V289" s="725"/>
      <c r="W289" s="725"/>
      <c r="X289" s="723"/>
      <c r="Y289" s="723"/>
      <c r="Z289" s="723"/>
      <c r="AA289" s="726"/>
      <c r="AB289" s="726"/>
      <c r="AC289" s="170"/>
      <c r="AD289" s="586"/>
      <c r="AE289" s="586"/>
      <c r="AF289" s="170"/>
      <c r="AG289" s="170"/>
      <c r="AH289" s="170"/>
      <c r="AI289" s="170"/>
      <c r="AJ289" s="170"/>
      <c r="AK289" s="170"/>
      <c r="AL289" s="170"/>
      <c r="AM289" s="170"/>
      <c r="AN289" s="170"/>
      <c r="AO289" s="170"/>
      <c r="AP289" s="170"/>
      <c r="AQ289" s="170"/>
      <c r="AR289" s="170"/>
      <c r="AS289" s="170"/>
    </row>
    <row r="290" spans="1:45" ht="15" x14ac:dyDescent="0.25">
      <c r="A290" s="170"/>
      <c r="B290" s="719"/>
      <c r="C290" s="170"/>
      <c r="D290" s="170"/>
      <c r="E290" s="170"/>
      <c r="F290" s="170"/>
      <c r="G290" s="721"/>
      <c r="H290" s="170"/>
      <c r="I290" s="170"/>
      <c r="J290" s="170"/>
      <c r="K290" s="170"/>
      <c r="L290" s="170"/>
      <c r="M290" s="730"/>
      <c r="N290" s="730"/>
      <c r="O290" s="730"/>
      <c r="P290" s="731"/>
      <c r="Q290" s="731"/>
      <c r="R290" s="730"/>
      <c r="S290" s="730"/>
      <c r="T290" s="723"/>
      <c r="U290" s="724"/>
      <c r="V290" s="725"/>
      <c r="W290" s="725"/>
      <c r="X290" s="723"/>
      <c r="Y290" s="723"/>
      <c r="Z290" s="723"/>
      <c r="AA290" s="726"/>
      <c r="AB290" s="726"/>
      <c r="AC290" s="170"/>
      <c r="AD290" s="586"/>
      <c r="AE290" s="586"/>
      <c r="AF290" s="170"/>
      <c r="AG290" s="170"/>
      <c r="AH290" s="170"/>
      <c r="AI290" s="170"/>
      <c r="AJ290" s="170"/>
      <c r="AK290" s="170"/>
      <c r="AL290" s="170"/>
      <c r="AM290" s="170"/>
      <c r="AN290" s="170"/>
      <c r="AO290" s="170"/>
      <c r="AP290" s="170"/>
      <c r="AQ290" s="170"/>
      <c r="AR290" s="170"/>
      <c r="AS290" s="170"/>
    </row>
    <row r="291" spans="1:45" ht="15" x14ac:dyDescent="0.25">
      <c r="A291" s="170"/>
      <c r="B291" s="719"/>
      <c r="C291" s="170"/>
      <c r="D291" s="170"/>
      <c r="E291" s="170"/>
      <c r="F291" s="170"/>
      <c r="G291" s="721"/>
      <c r="H291" s="170"/>
      <c r="I291" s="170"/>
      <c r="J291" s="170"/>
      <c r="K291" s="170"/>
      <c r="L291" s="170"/>
      <c r="M291" s="730"/>
      <c r="N291" s="730"/>
      <c r="O291" s="730"/>
      <c r="P291" s="731"/>
      <c r="Q291" s="731"/>
      <c r="R291" s="730"/>
      <c r="S291" s="730"/>
      <c r="T291" s="723"/>
      <c r="U291" s="724"/>
      <c r="V291" s="725"/>
      <c r="W291" s="725"/>
      <c r="X291" s="723"/>
      <c r="Y291" s="723"/>
      <c r="Z291" s="723"/>
      <c r="AA291" s="726"/>
      <c r="AB291" s="726"/>
      <c r="AC291" s="170"/>
      <c r="AD291" s="586"/>
      <c r="AE291" s="586"/>
      <c r="AF291" s="170"/>
      <c r="AG291" s="170"/>
      <c r="AH291" s="170"/>
      <c r="AI291" s="170"/>
      <c r="AJ291" s="170"/>
      <c r="AK291" s="170"/>
      <c r="AL291" s="170"/>
      <c r="AM291" s="170"/>
      <c r="AN291" s="170"/>
      <c r="AO291" s="170"/>
      <c r="AP291" s="170"/>
      <c r="AQ291" s="170"/>
      <c r="AR291" s="170"/>
      <c r="AS291" s="170"/>
    </row>
    <row r="292" spans="1:45" ht="15" x14ac:dyDescent="0.25">
      <c r="A292" s="170"/>
      <c r="B292" s="719"/>
      <c r="C292" s="170"/>
      <c r="D292" s="170"/>
      <c r="E292" s="170"/>
      <c r="F292" s="170"/>
      <c r="G292" s="721"/>
      <c r="H292" s="170"/>
      <c r="I292" s="170"/>
      <c r="J292" s="170"/>
      <c r="K292" s="170"/>
      <c r="L292" s="170"/>
      <c r="M292" s="730"/>
      <c r="N292" s="730"/>
      <c r="O292" s="730"/>
      <c r="P292" s="731"/>
      <c r="Q292" s="731"/>
      <c r="R292" s="730"/>
      <c r="S292" s="730"/>
      <c r="T292" s="723"/>
      <c r="U292" s="724"/>
      <c r="V292" s="725"/>
      <c r="W292" s="725"/>
      <c r="X292" s="723"/>
      <c r="Y292" s="723"/>
      <c r="Z292" s="723"/>
      <c r="AA292" s="726"/>
      <c r="AB292" s="726"/>
      <c r="AC292" s="170"/>
      <c r="AD292" s="586"/>
      <c r="AE292" s="586"/>
      <c r="AF292" s="170"/>
      <c r="AG292" s="170"/>
      <c r="AH292" s="170"/>
      <c r="AI292" s="170"/>
      <c r="AJ292" s="170"/>
      <c r="AK292" s="170"/>
      <c r="AL292" s="170"/>
      <c r="AM292" s="170"/>
      <c r="AN292" s="170"/>
      <c r="AO292" s="170"/>
      <c r="AP292" s="170"/>
      <c r="AQ292" s="170"/>
      <c r="AR292" s="170"/>
      <c r="AS292" s="170"/>
    </row>
    <row r="293" spans="1:45" ht="15" x14ac:dyDescent="0.25">
      <c r="A293" s="170"/>
      <c r="B293" s="719"/>
      <c r="C293" s="170"/>
      <c r="D293" s="170"/>
      <c r="E293" s="170"/>
      <c r="F293" s="170"/>
      <c r="G293" s="721"/>
      <c r="H293" s="170"/>
      <c r="I293" s="170"/>
      <c r="J293" s="170"/>
      <c r="K293" s="170"/>
      <c r="L293" s="170"/>
      <c r="M293" s="730"/>
      <c r="N293" s="730"/>
      <c r="O293" s="730"/>
      <c r="P293" s="731"/>
      <c r="Q293" s="731"/>
      <c r="R293" s="730"/>
      <c r="S293" s="730"/>
      <c r="T293" s="723"/>
      <c r="U293" s="724"/>
      <c r="V293" s="725"/>
      <c r="W293" s="725"/>
      <c r="X293" s="723"/>
      <c r="Y293" s="723"/>
      <c r="Z293" s="723"/>
      <c r="AA293" s="726"/>
      <c r="AB293" s="726"/>
      <c r="AC293" s="170"/>
      <c r="AD293" s="586"/>
      <c r="AE293" s="586"/>
      <c r="AF293" s="170"/>
      <c r="AG293" s="170"/>
      <c r="AH293" s="170"/>
      <c r="AI293" s="170"/>
      <c r="AJ293" s="170"/>
      <c r="AK293" s="170"/>
      <c r="AL293" s="170"/>
      <c r="AM293" s="170"/>
      <c r="AN293" s="170"/>
      <c r="AO293" s="170"/>
      <c r="AP293" s="170"/>
      <c r="AQ293" s="170"/>
      <c r="AR293" s="170"/>
      <c r="AS293" s="170"/>
    </row>
    <row r="294" spans="1:45" ht="15" x14ac:dyDescent="0.25">
      <c r="A294" s="170"/>
      <c r="B294" s="719"/>
      <c r="C294" s="170"/>
      <c r="D294" s="170"/>
      <c r="E294" s="170"/>
      <c r="F294" s="170"/>
      <c r="G294" s="721"/>
      <c r="H294" s="170"/>
      <c r="I294" s="170"/>
      <c r="J294" s="170"/>
      <c r="K294" s="170"/>
      <c r="L294" s="170"/>
      <c r="M294" s="730"/>
      <c r="N294" s="730"/>
      <c r="O294" s="730"/>
      <c r="P294" s="731"/>
      <c r="Q294" s="731"/>
      <c r="R294" s="730"/>
      <c r="S294" s="730"/>
      <c r="T294" s="723"/>
      <c r="U294" s="724"/>
      <c r="V294" s="725"/>
      <c r="W294" s="725"/>
      <c r="X294" s="723"/>
      <c r="Y294" s="723"/>
      <c r="Z294" s="723"/>
      <c r="AA294" s="726"/>
      <c r="AB294" s="726"/>
      <c r="AC294" s="170"/>
      <c r="AD294" s="586"/>
      <c r="AE294" s="586"/>
      <c r="AF294" s="170"/>
      <c r="AG294" s="170"/>
      <c r="AH294" s="170"/>
      <c r="AI294" s="170"/>
      <c r="AJ294" s="170"/>
      <c r="AK294" s="170"/>
      <c r="AL294" s="170"/>
      <c r="AM294" s="170"/>
      <c r="AN294" s="170"/>
      <c r="AO294" s="170"/>
      <c r="AP294" s="170"/>
      <c r="AQ294" s="170"/>
      <c r="AR294" s="170"/>
      <c r="AS294" s="170"/>
    </row>
    <row r="295" spans="1:45" ht="15" x14ac:dyDescent="0.25">
      <c r="A295" s="170"/>
      <c r="B295" s="719"/>
      <c r="C295" s="170"/>
      <c r="D295" s="170"/>
      <c r="E295" s="170"/>
      <c r="F295" s="170"/>
      <c r="G295" s="721"/>
      <c r="H295" s="170"/>
      <c r="I295" s="170"/>
      <c r="J295" s="170"/>
      <c r="K295" s="170"/>
      <c r="L295" s="170"/>
      <c r="M295" s="730"/>
      <c r="N295" s="730"/>
      <c r="O295" s="730"/>
      <c r="P295" s="731"/>
      <c r="Q295" s="731"/>
      <c r="R295" s="730"/>
      <c r="S295" s="730"/>
      <c r="T295" s="723"/>
      <c r="U295" s="724"/>
      <c r="V295" s="725"/>
      <c r="W295" s="725"/>
      <c r="X295" s="723"/>
      <c r="Y295" s="723"/>
      <c r="Z295" s="723"/>
      <c r="AA295" s="726"/>
      <c r="AB295" s="726"/>
      <c r="AC295" s="170"/>
      <c r="AD295" s="586"/>
      <c r="AE295" s="586"/>
      <c r="AF295" s="170"/>
      <c r="AG295" s="170"/>
      <c r="AH295" s="170"/>
      <c r="AI295" s="170"/>
      <c r="AJ295" s="170"/>
      <c r="AK295" s="170"/>
      <c r="AL295" s="170"/>
      <c r="AM295" s="170"/>
      <c r="AN295" s="170"/>
      <c r="AO295" s="170"/>
      <c r="AP295" s="170"/>
      <c r="AQ295" s="170"/>
      <c r="AR295" s="170"/>
      <c r="AS295" s="170"/>
    </row>
    <row r="296" spans="1:45" ht="15" x14ac:dyDescent="0.25">
      <c r="A296" s="170"/>
      <c r="B296" s="719"/>
      <c r="C296" s="170"/>
      <c r="D296" s="170"/>
      <c r="E296" s="170"/>
      <c r="F296" s="170"/>
      <c r="G296" s="721"/>
      <c r="H296" s="170"/>
      <c r="I296" s="170"/>
      <c r="J296" s="170"/>
      <c r="K296" s="170"/>
      <c r="L296" s="170"/>
      <c r="M296" s="730"/>
      <c r="N296" s="730"/>
      <c r="O296" s="730"/>
      <c r="P296" s="731"/>
      <c r="Q296" s="731"/>
      <c r="R296" s="730"/>
      <c r="S296" s="730"/>
      <c r="T296" s="723"/>
      <c r="U296" s="724"/>
      <c r="V296" s="725"/>
      <c r="W296" s="725"/>
      <c r="X296" s="723"/>
      <c r="Y296" s="723"/>
      <c r="Z296" s="723"/>
      <c r="AA296" s="726"/>
      <c r="AB296" s="726"/>
      <c r="AC296" s="170"/>
      <c r="AD296" s="586"/>
      <c r="AE296" s="586"/>
      <c r="AF296" s="170"/>
      <c r="AG296" s="170"/>
      <c r="AH296" s="170"/>
      <c r="AI296" s="170"/>
      <c r="AJ296" s="170"/>
      <c r="AK296" s="170"/>
      <c r="AL296" s="170"/>
      <c r="AM296" s="170"/>
      <c r="AN296" s="170"/>
      <c r="AO296" s="170"/>
      <c r="AP296" s="170"/>
      <c r="AQ296" s="170"/>
      <c r="AR296" s="170"/>
      <c r="AS296" s="170"/>
    </row>
    <row r="297" spans="1:45" ht="15" x14ac:dyDescent="0.25">
      <c r="A297" s="170"/>
      <c r="B297" s="719"/>
      <c r="C297" s="170"/>
      <c r="D297" s="170"/>
      <c r="E297" s="170"/>
      <c r="F297" s="170"/>
      <c r="G297" s="721"/>
      <c r="H297" s="170"/>
      <c r="I297" s="170"/>
      <c r="J297" s="170"/>
      <c r="K297" s="170"/>
      <c r="L297" s="170"/>
      <c r="M297" s="730"/>
      <c r="N297" s="730"/>
      <c r="O297" s="730"/>
      <c r="P297" s="731"/>
      <c r="Q297" s="731"/>
      <c r="R297" s="730"/>
      <c r="S297" s="730"/>
      <c r="T297" s="723"/>
      <c r="U297" s="724"/>
      <c r="V297" s="725"/>
      <c r="W297" s="725"/>
      <c r="X297" s="723"/>
      <c r="Y297" s="723"/>
      <c r="Z297" s="723"/>
      <c r="AA297" s="726"/>
      <c r="AB297" s="726"/>
      <c r="AC297" s="170"/>
      <c r="AD297" s="586"/>
      <c r="AE297" s="586"/>
      <c r="AF297" s="170"/>
      <c r="AG297" s="170"/>
      <c r="AH297" s="170"/>
      <c r="AI297" s="170"/>
      <c r="AJ297" s="170"/>
      <c r="AK297" s="170"/>
      <c r="AL297" s="170"/>
      <c r="AM297" s="170"/>
      <c r="AN297" s="170"/>
      <c r="AO297" s="170"/>
      <c r="AP297" s="170"/>
      <c r="AQ297" s="170"/>
      <c r="AR297" s="170"/>
      <c r="AS297" s="170"/>
    </row>
    <row r="298" spans="1:45" ht="15" x14ac:dyDescent="0.25">
      <c r="A298" s="170"/>
      <c r="B298" s="719"/>
      <c r="C298" s="170"/>
      <c r="D298" s="170"/>
      <c r="E298" s="170"/>
      <c r="F298" s="170"/>
      <c r="G298" s="721"/>
      <c r="H298" s="170"/>
      <c r="I298" s="170"/>
      <c r="J298" s="170"/>
      <c r="K298" s="170"/>
      <c r="L298" s="170"/>
      <c r="M298" s="730"/>
      <c r="N298" s="730"/>
      <c r="O298" s="730"/>
      <c r="P298" s="731"/>
      <c r="Q298" s="731"/>
      <c r="R298" s="730"/>
      <c r="S298" s="730"/>
      <c r="T298" s="723"/>
      <c r="U298" s="724"/>
      <c r="V298" s="725"/>
      <c r="W298" s="725"/>
      <c r="X298" s="723"/>
      <c r="Y298" s="723"/>
      <c r="Z298" s="723"/>
      <c r="AA298" s="726"/>
      <c r="AB298" s="726"/>
      <c r="AC298" s="170"/>
      <c r="AD298" s="586"/>
      <c r="AE298" s="586"/>
      <c r="AF298" s="170"/>
      <c r="AG298" s="170"/>
      <c r="AH298" s="170"/>
      <c r="AI298" s="170"/>
      <c r="AJ298" s="170"/>
      <c r="AK298" s="170"/>
      <c r="AL298" s="170"/>
      <c r="AM298" s="170"/>
      <c r="AN298" s="170"/>
      <c r="AO298" s="170"/>
      <c r="AP298" s="170"/>
      <c r="AQ298" s="170"/>
      <c r="AR298" s="170"/>
      <c r="AS298" s="170"/>
    </row>
    <row r="299" spans="1:45" ht="15" x14ac:dyDescent="0.25">
      <c r="A299" s="170"/>
      <c r="B299" s="719"/>
      <c r="C299" s="170"/>
      <c r="D299" s="170"/>
      <c r="E299" s="170"/>
      <c r="F299" s="170"/>
      <c r="G299" s="721"/>
      <c r="H299" s="170"/>
      <c r="I299" s="170"/>
      <c r="J299" s="170"/>
      <c r="K299" s="170"/>
      <c r="L299" s="170"/>
      <c r="M299" s="730"/>
      <c r="N299" s="730"/>
      <c r="O299" s="730"/>
      <c r="P299" s="731"/>
      <c r="Q299" s="731"/>
      <c r="R299" s="730"/>
      <c r="S299" s="730"/>
      <c r="T299" s="723"/>
      <c r="U299" s="724"/>
      <c r="V299" s="725"/>
      <c r="W299" s="725"/>
      <c r="X299" s="723"/>
      <c r="Y299" s="723"/>
      <c r="Z299" s="723"/>
      <c r="AA299" s="726"/>
      <c r="AB299" s="726"/>
      <c r="AC299" s="170"/>
      <c r="AD299" s="586"/>
      <c r="AE299" s="586"/>
      <c r="AF299" s="170"/>
      <c r="AG299" s="170"/>
      <c r="AH299" s="170"/>
      <c r="AI299" s="170"/>
      <c r="AJ299" s="170"/>
      <c r="AK299" s="170"/>
      <c r="AL299" s="170"/>
      <c r="AM299" s="170"/>
      <c r="AN299" s="170"/>
      <c r="AO299" s="170"/>
      <c r="AP299" s="170"/>
      <c r="AQ299" s="170"/>
      <c r="AR299" s="170"/>
      <c r="AS299" s="170"/>
    </row>
    <row r="300" spans="1:45" ht="15" x14ac:dyDescent="0.25">
      <c r="A300" s="170"/>
      <c r="B300" s="719"/>
      <c r="C300" s="170"/>
      <c r="D300" s="170"/>
      <c r="E300" s="170"/>
      <c r="F300" s="170"/>
      <c r="G300" s="721"/>
      <c r="H300" s="170"/>
      <c r="I300" s="170"/>
      <c r="J300" s="170"/>
      <c r="K300" s="170"/>
      <c r="L300" s="170"/>
      <c r="M300" s="730"/>
      <c r="N300" s="730"/>
      <c r="O300" s="730"/>
      <c r="P300" s="731"/>
      <c r="Q300" s="731"/>
      <c r="R300" s="730"/>
      <c r="S300" s="730"/>
      <c r="T300" s="723"/>
      <c r="U300" s="724"/>
      <c r="V300" s="725"/>
      <c r="W300" s="725"/>
      <c r="X300" s="723"/>
      <c r="Y300" s="723"/>
      <c r="Z300" s="723"/>
      <c r="AA300" s="726"/>
      <c r="AB300" s="726"/>
      <c r="AC300" s="170"/>
      <c r="AD300" s="586"/>
      <c r="AE300" s="586"/>
      <c r="AF300" s="170"/>
      <c r="AG300" s="170"/>
      <c r="AH300" s="170"/>
      <c r="AI300" s="170"/>
      <c r="AJ300" s="170"/>
      <c r="AK300" s="170"/>
      <c r="AL300" s="170"/>
      <c r="AM300" s="170"/>
      <c r="AN300" s="170"/>
      <c r="AO300" s="170"/>
      <c r="AP300" s="170"/>
      <c r="AQ300" s="170"/>
      <c r="AR300" s="170"/>
      <c r="AS300" s="170"/>
    </row>
    <row r="301" spans="1:45" ht="15" x14ac:dyDescent="0.25">
      <c r="A301" s="170"/>
      <c r="B301" s="719"/>
      <c r="C301" s="170"/>
      <c r="D301" s="170"/>
      <c r="E301" s="170"/>
      <c r="F301" s="170"/>
      <c r="G301" s="721"/>
      <c r="H301" s="170"/>
      <c r="I301" s="170"/>
      <c r="J301" s="170"/>
      <c r="K301" s="170"/>
      <c r="L301" s="170"/>
      <c r="M301" s="730"/>
      <c r="N301" s="730"/>
      <c r="O301" s="730"/>
      <c r="P301" s="731"/>
      <c r="Q301" s="731"/>
      <c r="R301" s="730"/>
      <c r="S301" s="730"/>
      <c r="T301" s="723"/>
      <c r="U301" s="724"/>
      <c r="V301" s="725"/>
      <c r="W301" s="725"/>
      <c r="X301" s="723"/>
      <c r="Y301" s="723"/>
      <c r="Z301" s="723"/>
      <c r="AA301" s="726"/>
      <c r="AB301" s="726"/>
      <c r="AC301" s="170"/>
      <c r="AD301" s="586"/>
      <c r="AE301" s="586"/>
      <c r="AF301" s="170"/>
      <c r="AG301" s="170"/>
      <c r="AH301" s="170"/>
      <c r="AI301" s="170"/>
      <c r="AJ301" s="170"/>
      <c r="AK301" s="170"/>
      <c r="AL301" s="170"/>
      <c r="AM301" s="170"/>
      <c r="AN301" s="170"/>
      <c r="AO301" s="170"/>
      <c r="AP301" s="170"/>
      <c r="AQ301" s="170"/>
      <c r="AR301" s="170"/>
      <c r="AS301" s="170"/>
    </row>
    <row r="302" spans="1:45" ht="15" x14ac:dyDescent="0.25">
      <c r="A302" s="170"/>
      <c r="B302" s="719"/>
      <c r="C302" s="170"/>
      <c r="D302" s="170"/>
      <c r="E302" s="170"/>
      <c r="F302" s="170"/>
      <c r="G302" s="721"/>
      <c r="H302" s="170"/>
      <c r="I302" s="170"/>
      <c r="J302" s="170"/>
      <c r="K302" s="170"/>
      <c r="L302" s="170"/>
      <c r="M302" s="730"/>
      <c r="N302" s="730"/>
      <c r="O302" s="730"/>
      <c r="P302" s="731"/>
      <c r="Q302" s="731"/>
      <c r="R302" s="730"/>
      <c r="S302" s="730"/>
      <c r="T302" s="723"/>
      <c r="U302" s="724"/>
      <c r="V302" s="725"/>
      <c r="W302" s="725"/>
      <c r="X302" s="723"/>
      <c r="Y302" s="723"/>
      <c r="Z302" s="723"/>
      <c r="AA302" s="726"/>
      <c r="AB302" s="726"/>
      <c r="AC302" s="170"/>
      <c r="AD302" s="586"/>
      <c r="AE302" s="586"/>
      <c r="AF302" s="170"/>
      <c r="AG302" s="170"/>
      <c r="AH302" s="170"/>
      <c r="AI302" s="170"/>
      <c r="AJ302" s="170"/>
      <c r="AK302" s="170"/>
      <c r="AL302" s="170"/>
      <c r="AM302" s="170"/>
      <c r="AN302" s="170"/>
      <c r="AO302" s="170"/>
      <c r="AP302" s="170"/>
      <c r="AQ302" s="170"/>
      <c r="AR302" s="170"/>
      <c r="AS302" s="170"/>
    </row>
    <row r="303" spans="1:45" ht="15" x14ac:dyDescent="0.25">
      <c r="A303" s="170"/>
      <c r="B303" s="719"/>
      <c r="C303" s="170"/>
      <c r="D303" s="170"/>
      <c r="E303" s="170"/>
      <c r="F303" s="170"/>
      <c r="G303" s="721"/>
      <c r="H303" s="170"/>
      <c r="I303" s="170"/>
      <c r="J303" s="170"/>
      <c r="K303" s="170"/>
      <c r="L303" s="170"/>
      <c r="M303" s="730"/>
      <c r="N303" s="730"/>
      <c r="O303" s="730"/>
      <c r="P303" s="731"/>
      <c r="Q303" s="731"/>
      <c r="R303" s="730"/>
      <c r="S303" s="730"/>
      <c r="T303" s="723"/>
      <c r="U303" s="724"/>
      <c r="V303" s="725"/>
      <c r="W303" s="725"/>
      <c r="X303" s="723"/>
      <c r="Y303" s="723"/>
      <c r="Z303" s="723"/>
      <c r="AA303" s="726"/>
      <c r="AB303" s="726"/>
      <c r="AC303" s="170"/>
      <c r="AD303" s="586"/>
      <c r="AE303" s="586"/>
      <c r="AF303" s="170"/>
      <c r="AG303" s="170"/>
      <c r="AH303" s="170"/>
      <c r="AI303" s="170"/>
      <c r="AJ303" s="170"/>
      <c r="AK303" s="170"/>
      <c r="AL303" s="170"/>
      <c r="AM303" s="170"/>
      <c r="AN303" s="170"/>
      <c r="AO303" s="170"/>
      <c r="AP303" s="170"/>
      <c r="AQ303" s="170"/>
      <c r="AR303" s="170"/>
      <c r="AS303" s="170"/>
    </row>
    <row r="304" spans="1:45" ht="15" x14ac:dyDescent="0.25">
      <c r="A304" s="170"/>
      <c r="B304" s="719"/>
      <c r="C304" s="170"/>
      <c r="D304" s="170"/>
      <c r="E304" s="170"/>
      <c r="F304" s="170"/>
      <c r="G304" s="721"/>
      <c r="H304" s="170"/>
      <c r="I304" s="170"/>
      <c r="J304" s="170"/>
      <c r="K304" s="170"/>
      <c r="L304" s="170"/>
      <c r="M304" s="730"/>
      <c r="N304" s="730"/>
      <c r="O304" s="730"/>
      <c r="P304" s="731"/>
      <c r="Q304" s="731"/>
      <c r="R304" s="730"/>
      <c r="S304" s="730"/>
      <c r="T304" s="723"/>
      <c r="U304" s="724"/>
      <c r="V304" s="725"/>
      <c r="W304" s="725"/>
      <c r="X304" s="723"/>
      <c r="Y304" s="723"/>
      <c r="Z304" s="723"/>
      <c r="AA304" s="726"/>
      <c r="AB304" s="726"/>
      <c r="AC304" s="170"/>
      <c r="AD304" s="586"/>
      <c r="AE304" s="586"/>
      <c r="AF304" s="170"/>
      <c r="AG304" s="170"/>
      <c r="AH304" s="170"/>
      <c r="AI304" s="170"/>
      <c r="AJ304" s="170"/>
      <c r="AK304" s="170"/>
      <c r="AL304" s="170"/>
      <c r="AM304" s="170"/>
      <c r="AN304" s="170"/>
      <c r="AO304" s="170"/>
      <c r="AP304" s="170"/>
      <c r="AQ304" s="170"/>
      <c r="AR304" s="170"/>
      <c r="AS304" s="170"/>
    </row>
    <row r="305" spans="1:45" ht="15" x14ac:dyDescent="0.25">
      <c r="A305" s="170"/>
      <c r="B305" s="719"/>
      <c r="C305" s="170"/>
      <c r="D305" s="170"/>
      <c r="E305" s="170"/>
      <c r="F305" s="170"/>
      <c r="G305" s="721"/>
      <c r="H305" s="170"/>
      <c r="I305" s="170"/>
      <c r="J305" s="170"/>
      <c r="K305" s="170"/>
      <c r="L305" s="170"/>
      <c r="M305" s="730"/>
      <c r="N305" s="730"/>
      <c r="O305" s="730"/>
      <c r="P305" s="731"/>
      <c r="Q305" s="731"/>
      <c r="R305" s="730"/>
      <c r="S305" s="730"/>
      <c r="T305" s="723"/>
      <c r="U305" s="724"/>
      <c r="V305" s="725"/>
      <c r="W305" s="725"/>
      <c r="X305" s="723"/>
      <c r="Y305" s="723"/>
      <c r="Z305" s="723"/>
      <c r="AA305" s="726"/>
      <c r="AB305" s="726"/>
      <c r="AC305" s="170"/>
      <c r="AD305" s="586"/>
      <c r="AE305" s="586"/>
      <c r="AF305" s="170"/>
      <c r="AG305" s="170"/>
      <c r="AH305" s="170"/>
      <c r="AI305" s="170"/>
      <c r="AJ305" s="170"/>
      <c r="AK305" s="170"/>
      <c r="AL305" s="170"/>
      <c r="AM305" s="170"/>
      <c r="AN305" s="170"/>
      <c r="AO305" s="170"/>
      <c r="AP305" s="170"/>
      <c r="AQ305" s="170"/>
      <c r="AR305" s="170"/>
      <c r="AS305" s="170"/>
    </row>
    <row r="306" spans="1:45" ht="15" x14ac:dyDescent="0.25">
      <c r="A306" s="170"/>
      <c r="B306" s="719"/>
      <c r="C306" s="170"/>
      <c r="D306" s="170"/>
      <c r="E306" s="170"/>
      <c r="F306" s="170"/>
      <c r="G306" s="721"/>
      <c r="H306" s="170"/>
      <c r="I306" s="170"/>
      <c r="J306" s="170"/>
      <c r="K306" s="170"/>
      <c r="L306" s="170"/>
      <c r="M306" s="730"/>
      <c r="N306" s="730"/>
      <c r="O306" s="730"/>
      <c r="P306" s="731"/>
      <c r="Q306" s="731"/>
      <c r="R306" s="730"/>
      <c r="S306" s="730"/>
      <c r="T306" s="723"/>
      <c r="U306" s="724"/>
      <c r="V306" s="725"/>
      <c r="W306" s="725"/>
      <c r="X306" s="723"/>
      <c r="Y306" s="723"/>
      <c r="Z306" s="723"/>
      <c r="AA306" s="726"/>
      <c r="AB306" s="726"/>
      <c r="AC306" s="170"/>
      <c r="AD306" s="586"/>
      <c r="AE306" s="586"/>
      <c r="AF306" s="170"/>
      <c r="AG306" s="170"/>
      <c r="AH306" s="170"/>
      <c r="AI306" s="170"/>
      <c r="AJ306" s="170"/>
      <c r="AK306" s="170"/>
      <c r="AL306" s="170"/>
      <c r="AM306" s="170"/>
      <c r="AN306" s="170"/>
      <c r="AO306" s="170"/>
      <c r="AP306" s="170"/>
      <c r="AQ306" s="170"/>
      <c r="AR306" s="170"/>
      <c r="AS306" s="170"/>
    </row>
    <row r="307" spans="1:45" ht="15" x14ac:dyDescent="0.25">
      <c r="A307" s="170"/>
      <c r="B307" s="719"/>
      <c r="C307" s="170"/>
      <c r="D307" s="170"/>
      <c r="E307" s="170"/>
      <c r="F307" s="170"/>
      <c r="G307" s="721"/>
      <c r="H307" s="170"/>
      <c r="I307" s="170"/>
      <c r="J307" s="170"/>
      <c r="K307" s="170"/>
      <c r="L307" s="170"/>
      <c r="M307" s="730"/>
      <c r="N307" s="730"/>
      <c r="O307" s="730"/>
      <c r="P307" s="731"/>
      <c r="Q307" s="731"/>
      <c r="R307" s="730"/>
      <c r="S307" s="730"/>
      <c r="T307" s="723"/>
      <c r="U307" s="724"/>
      <c r="V307" s="725"/>
      <c r="W307" s="725"/>
      <c r="X307" s="723"/>
      <c r="Y307" s="723"/>
      <c r="Z307" s="723"/>
      <c r="AA307" s="726"/>
      <c r="AB307" s="726"/>
      <c r="AC307" s="170"/>
      <c r="AD307" s="586"/>
      <c r="AE307" s="586"/>
      <c r="AF307" s="170"/>
      <c r="AG307" s="170"/>
      <c r="AH307" s="170"/>
      <c r="AI307" s="170"/>
      <c r="AJ307" s="170"/>
      <c r="AK307" s="170"/>
      <c r="AL307" s="170"/>
      <c r="AM307" s="170"/>
      <c r="AN307" s="170"/>
      <c r="AO307" s="170"/>
      <c r="AP307" s="170"/>
      <c r="AQ307" s="170"/>
      <c r="AR307" s="170"/>
      <c r="AS307" s="170"/>
    </row>
    <row r="308" spans="1:45" ht="15" x14ac:dyDescent="0.25">
      <c r="A308" s="170"/>
      <c r="B308" s="719"/>
      <c r="C308" s="170"/>
      <c r="D308" s="170"/>
      <c r="E308" s="170"/>
      <c r="F308" s="170"/>
      <c r="G308" s="721"/>
      <c r="H308" s="170"/>
      <c r="I308" s="170"/>
      <c r="J308" s="170"/>
      <c r="K308" s="170"/>
      <c r="L308" s="170"/>
      <c r="M308" s="730"/>
      <c r="N308" s="730"/>
      <c r="O308" s="730"/>
      <c r="P308" s="731"/>
      <c r="Q308" s="731"/>
      <c r="R308" s="730"/>
      <c r="S308" s="730"/>
      <c r="T308" s="723"/>
      <c r="U308" s="724"/>
      <c r="V308" s="725"/>
      <c r="W308" s="725"/>
      <c r="X308" s="723"/>
      <c r="Y308" s="723"/>
      <c r="Z308" s="723"/>
      <c r="AA308" s="726"/>
      <c r="AB308" s="726"/>
      <c r="AC308" s="170"/>
      <c r="AD308" s="586"/>
      <c r="AE308" s="586"/>
      <c r="AF308" s="170"/>
      <c r="AG308" s="170"/>
      <c r="AH308" s="170"/>
      <c r="AI308" s="170"/>
      <c r="AJ308" s="170"/>
      <c r="AK308" s="170"/>
      <c r="AL308" s="170"/>
      <c r="AM308" s="170"/>
      <c r="AN308" s="170"/>
      <c r="AO308" s="170"/>
      <c r="AP308" s="170"/>
      <c r="AQ308" s="170"/>
      <c r="AR308" s="170"/>
      <c r="AS308" s="170"/>
    </row>
    <row r="309" spans="1:45" ht="15" x14ac:dyDescent="0.25">
      <c r="A309" s="170"/>
      <c r="B309" s="719"/>
      <c r="C309" s="170"/>
      <c r="D309" s="170"/>
      <c r="E309" s="170"/>
      <c r="F309" s="170"/>
      <c r="G309" s="721"/>
      <c r="H309" s="170"/>
      <c r="I309" s="170"/>
      <c r="J309" s="170"/>
      <c r="K309" s="170"/>
      <c r="L309" s="170"/>
      <c r="M309" s="730"/>
      <c r="N309" s="730"/>
      <c r="O309" s="730"/>
      <c r="P309" s="731"/>
      <c r="Q309" s="731"/>
      <c r="R309" s="730"/>
      <c r="S309" s="730"/>
      <c r="T309" s="723"/>
      <c r="U309" s="724"/>
      <c r="V309" s="725"/>
      <c r="W309" s="725"/>
      <c r="X309" s="723"/>
      <c r="Y309" s="723"/>
      <c r="Z309" s="723"/>
      <c r="AA309" s="726"/>
      <c r="AB309" s="726"/>
      <c r="AC309" s="170"/>
      <c r="AD309" s="586"/>
      <c r="AE309" s="586"/>
      <c r="AF309" s="170"/>
      <c r="AG309" s="170"/>
      <c r="AH309" s="170"/>
      <c r="AI309" s="170"/>
      <c r="AJ309" s="170"/>
      <c r="AK309" s="170"/>
      <c r="AL309" s="170"/>
      <c r="AM309" s="170"/>
      <c r="AN309" s="170"/>
      <c r="AO309" s="170"/>
      <c r="AP309" s="170"/>
      <c r="AQ309" s="170"/>
      <c r="AR309" s="170"/>
      <c r="AS309" s="170"/>
    </row>
    <row r="310" spans="1:45" ht="15" x14ac:dyDescent="0.25">
      <c r="A310" s="170"/>
      <c r="B310" s="719"/>
      <c r="C310" s="170"/>
      <c r="D310" s="170"/>
      <c r="E310" s="170"/>
      <c r="F310" s="170"/>
      <c r="G310" s="721"/>
      <c r="H310" s="170"/>
      <c r="I310" s="170"/>
      <c r="J310" s="170"/>
      <c r="K310" s="170"/>
      <c r="L310" s="170"/>
      <c r="M310" s="730"/>
      <c r="N310" s="730"/>
      <c r="O310" s="730"/>
      <c r="P310" s="731"/>
      <c r="Q310" s="731"/>
      <c r="R310" s="730"/>
      <c r="S310" s="730"/>
      <c r="T310" s="723"/>
      <c r="U310" s="724"/>
      <c r="V310" s="725"/>
      <c r="W310" s="725"/>
      <c r="X310" s="723"/>
      <c r="Y310" s="723"/>
      <c r="Z310" s="723"/>
      <c r="AA310" s="726"/>
      <c r="AB310" s="726"/>
      <c r="AC310" s="170"/>
      <c r="AD310" s="586"/>
      <c r="AE310" s="586"/>
      <c r="AF310" s="170"/>
      <c r="AG310" s="170"/>
      <c r="AH310" s="170"/>
      <c r="AI310" s="170"/>
      <c r="AJ310" s="170"/>
      <c r="AK310" s="170"/>
      <c r="AL310" s="170"/>
      <c r="AM310" s="170"/>
      <c r="AN310" s="170"/>
      <c r="AO310" s="170"/>
      <c r="AP310" s="170"/>
      <c r="AQ310" s="170"/>
      <c r="AR310" s="170"/>
      <c r="AS310" s="170"/>
    </row>
    <row r="311" spans="1:45" ht="15" x14ac:dyDescent="0.25">
      <c r="A311" s="170"/>
      <c r="B311" s="719"/>
      <c r="C311" s="170"/>
      <c r="D311" s="170"/>
      <c r="E311" s="170"/>
      <c r="F311" s="170"/>
      <c r="G311" s="721"/>
      <c r="H311" s="170"/>
      <c r="I311" s="170"/>
      <c r="J311" s="170"/>
      <c r="K311" s="170"/>
      <c r="L311" s="170"/>
      <c r="M311" s="730"/>
      <c r="N311" s="730"/>
      <c r="O311" s="730"/>
      <c r="P311" s="731"/>
      <c r="Q311" s="731"/>
      <c r="R311" s="730"/>
      <c r="S311" s="730"/>
      <c r="T311" s="723"/>
      <c r="U311" s="724"/>
      <c r="V311" s="725"/>
      <c r="W311" s="725"/>
      <c r="X311" s="723"/>
      <c r="Y311" s="723"/>
      <c r="Z311" s="723"/>
      <c r="AA311" s="726"/>
      <c r="AB311" s="726"/>
      <c r="AC311" s="170"/>
      <c r="AD311" s="586"/>
      <c r="AE311" s="586"/>
      <c r="AF311" s="170"/>
      <c r="AG311" s="170"/>
      <c r="AH311" s="170"/>
      <c r="AI311" s="170"/>
      <c r="AJ311" s="170"/>
      <c r="AK311" s="170"/>
      <c r="AL311" s="170"/>
      <c r="AM311" s="170"/>
      <c r="AN311" s="170"/>
      <c r="AO311" s="170"/>
      <c r="AP311" s="170"/>
      <c r="AQ311" s="170"/>
      <c r="AR311" s="170"/>
      <c r="AS311" s="170"/>
    </row>
    <row r="312" spans="1:45" ht="15" x14ac:dyDescent="0.25">
      <c r="A312" s="170"/>
      <c r="B312" s="719"/>
      <c r="C312" s="170"/>
      <c r="D312" s="170"/>
      <c r="E312" s="170"/>
      <c r="F312" s="170"/>
      <c r="G312" s="721"/>
      <c r="H312" s="170"/>
      <c r="I312" s="170"/>
      <c r="J312" s="170"/>
      <c r="K312" s="170"/>
      <c r="L312" s="170"/>
      <c r="M312" s="730"/>
      <c r="N312" s="730"/>
      <c r="O312" s="730"/>
      <c r="P312" s="731"/>
      <c r="Q312" s="731"/>
      <c r="R312" s="730"/>
      <c r="S312" s="730"/>
      <c r="T312" s="723"/>
      <c r="U312" s="724"/>
      <c r="V312" s="725"/>
      <c r="W312" s="725"/>
      <c r="X312" s="723"/>
      <c r="Y312" s="723"/>
      <c r="Z312" s="723"/>
      <c r="AA312" s="726"/>
      <c r="AB312" s="726"/>
      <c r="AC312" s="170"/>
      <c r="AD312" s="586"/>
      <c r="AE312" s="586"/>
      <c r="AF312" s="170"/>
      <c r="AG312" s="170"/>
      <c r="AH312" s="170"/>
      <c r="AI312" s="170"/>
      <c r="AJ312" s="170"/>
      <c r="AK312" s="170"/>
      <c r="AL312" s="170"/>
      <c r="AM312" s="170"/>
      <c r="AN312" s="170"/>
      <c r="AO312" s="170"/>
      <c r="AP312" s="170"/>
      <c r="AQ312" s="170"/>
      <c r="AR312" s="170"/>
      <c r="AS312" s="170"/>
    </row>
    <row r="313" spans="1:45" ht="15" x14ac:dyDescent="0.25">
      <c r="A313" s="170"/>
      <c r="B313" s="719"/>
      <c r="C313" s="170"/>
      <c r="D313" s="170"/>
      <c r="E313" s="170"/>
      <c r="F313" s="170"/>
      <c r="G313" s="721"/>
      <c r="H313" s="170"/>
      <c r="I313" s="170"/>
      <c r="J313" s="170"/>
      <c r="K313" s="170"/>
      <c r="L313" s="170"/>
      <c r="M313" s="730"/>
      <c r="N313" s="730"/>
      <c r="O313" s="730"/>
      <c r="P313" s="731"/>
      <c r="Q313" s="731"/>
      <c r="R313" s="730"/>
      <c r="S313" s="730"/>
      <c r="T313" s="723"/>
      <c r="U313" s="724"/>
      <c r="V313" s="725"/>
      <c r="W313" s="725"/>
      <c r="X313" s="723"/>
      <c r="Y313" s="723"/>
      <c r="Z313" s="723"/>
      <c r="AA313" s="726"/>
      <c r="AB313" s="726"/>
      <c r="AC313" s="170"/>
      <c r="AD313" s="586"/>
      <c r="AE313" s="586"/>
      <c r="AF313" s="170"/>
      <c r="AG313" s="170"/>
      <c r="AH313" s="170"/>
      <c r="AI313" s="170"/>
      <c r="AJ313" s="170"/>
      <c r="AK313" s="170"/>
      <c r="AL313" s="170"/>
      <c r="AM313" s="170"/>
      <c r="AN313" s="170"/>
      <c r="AO313" s="170"/>
      <c r="AP313" s="170"/>
      <c r="AQ313" s="170"/>
      <c r="AR313" s="170"/>
      <c r="AS313" s="170"/>
    </row>
    <row r="314" spans="1:45" ht="15" x14ac:dyDescent="0.25">
      <c r="A314" s="170"/>
      <c r="B314" s="719"/>
      <c r="C314" s="170"/>
      <c r="D314" s="170"/>
      <c r="E314" s="170"/>
      <c r="F314" s="170"/>
      <c r="G314" s="721"/>
      <c r="H314" s="170"/>
      <c r="I314" s="170"/>
      <c r="J314" s="170"/>
      <c r="K314" s="170"/>
      <c r="L314" s="170"/>
      <c r="M314" s="730"/>
      <c r="N314" s="730"/>
      <c r="O314" s="730"/>
      <c r="P314" s="731"/>
      <c r="Q314" s="731"/>
      <c r="R314" s="730"/>
      <c r="S314" s="730"/>
      <c r="T314" s="723"/>
      <c r="U314" s="724"/>
      <c r="V314" s="725"/>
      <c r="W314" s="725"/>
      <c r="X314" s="723"/>
      <c r="Y314" s="723"/>
      <c r="Z314" s="723"/>
      <c r="AA314" s="726"/>
      <c r="AB314" s="726"/>
      <c r="AC314" s="170"/>
      <c r="AD314" s="586"/>
      <c r="AE314" s="586"/>
      <c r="AF314" s="170"/>
      <c r="AG314" s="170"/>
      <c r="AH314" s="170"/>
      <c r="AI314" s="170"/>
      <c r="AJ314" s="170"/>
      <c r="AK314" s="170"/>
      <c r="AL314" s="170"/>
      <c r="AM314" s="170"/>
      <c r="AN314" s="170"/>
      <c r="AO314" s="170"/>
      <c r="AP314" s="170"/>
      <c r="AQ314" s="170"/>
      <c r="AR314" s="170"/>
      <c r="AS314" s="170"/>
    </row>
    <row r="315" spans="1:45" ht="15" x14ac:dyDescent="0.25">
      <c r="A315" s="170"/>
      <c r="B315" s="719"/>
      <c r="C315" s="170"/>
      <c r="D315" s="170"/>
      <c r="E315" s="170"/>
      <c r="F315" s="170"/>
      <c r="G315" s="721"/>
      <c r="H315" s="170"/>
      <c r="I315" s="170"/>
      <c r="J315" s="170"/>
      <c r="K315" s="170"/>
      <c r="L315" s="170"/>
      <c r="M315" s="730"/>
      <c r="N315" s="730"/>
      <c r="O315" s="730"/>
      <c r="P315" s="731"/>
      <c r="Q315" s="731"/>
      <c r="R315" s="730"/>
      <c r="S315" s="730"/>
      <c r="T315" s="723"/>
      <c r="U315" s="724"/>
      <c r="V315" s="725"/>
      <c r="W315" s="725"/>
      <c r="X315" s="723"/>
      <c r="Y315" s="723"/>
      <c r="Z315" s="723"/>
      <c r="AA315" s="726"/>
      <c r="AB315" s="726"/>
      <c r="AC315" s="170"/>
      <c r="AD315" s="586"/>
      <c r="AE315" s="586"/>
      <c r="AF315" s="170"/>
      <c r="AG315" s="170"/>
      <c r="AH315" s="170"/>
      <c r="AI315" s="170"/>
      <c r="AJ315" s="170"/>
      <c r="AK315" s="170"/>
      <c r="AL315" s="170"/>
      <c r="AM315" s="170"/>
      <c r="AN315" s="170"/>
      <c r="AO315" s="170"/>
      <c r="AP315" s="170"/>
      <c r="AQ315" s="170"/>
      <c r="AR315" s="170"/>
      <c r="AS315" s="170"/>
    </row>
    <row r="316" spans="1:45" ht="15" x14ac:dyDescent="0.25">
      <c r="A316" s="170"/>
      <c r="B316" s="719"/>
      <c r="C316" s="170"/>
      <c r="D316" s="170"/>
      <c r="E316" s="170"/>
      <c r="F316" s="170"/>
      <c r="G316" s="721"/>
      <c r="H316" s="170"/>
      <c r="I316" s="170"/>
      <c r="J316" s="170"/>
      <c r="K316" s="170"/>
      <c r="L316" s="170"/>
      <c r="M316" s="730"/>
      <c r="N316" s="730"/>
      <c r="O316" s="730"/>
      <c r="P316" s="731"/>
      <c r="Q316" s="731"/>
      <c r="R316" s="730"/>
      <c r="S316" s="730"/>
      <c r="T316" s="723"/>
      <c r="U316" s="724"/>
      <c r="V316" s="725"/>
      <c r="W316" s="725"/>
      <c r="X316" s="723"/>
      <c r="Y316" s="723"/>
      <c r="Z316" s="723"/>
      <c r="AA316" s="726"/>
      <c r="AB316" s="726"/>
      <c r="AC316" s="170"/>
      <c r="AD316" s="586"/>
      <c r="AE316" s="586"/>
      <c r="AF316" s="170"/>
      <c r="AG316" s="170"/>
      <c r="AH316" s="170"/>
      <c r="AI316" s="170"/>
      <c r="AJ316" s="170"/>
      <c r="AK316" s="170"/>
      <c r="AL316" s="170"/>
      <c r="AM316" s="170"/>
      <c r="AN316" s="170"/>
      <c r="AO316" s="170"/>
      <c r="AP316" s="170"/>
      <c r="AQ316" s="170"/>
      <c r="AR316" s="170"/>
      <c r="AS316" s="170"/>
    </row>
    <row r="317" spans="1:45" ht="15" x14ac:dyDescent="0.25">
      <c r="A317" s="170"/>
      <c r="B317" s="719"/>
      <c r="C317" s="170"/>
      <c r="D317" s="170"/>
      <c r="E317" s="170"/>
      <c r="F317" s="170"/>
      <c r="G317" s="721"/>
      <c r="H317" s="170"/>
      <c r="I317" s="170"/>
      <c r="J317" s="170"/>
      <c r="K317" s="170"/>
      <c r="L317" s="170"/>
      <c r="M317" s="730"/>
      <c r="N317" s="730"/>
      <c r="O317" s="730"/>
      <c r="P317" s="731"/>
      <c r="Q317" s="731"/>
      <c r="R317" s="730"/>
      <c r="S317" s="730"/>
      <c r="T317" s="723"/>
      <c r="U317" s="724"/>
      <c r="V317" s="725"/>
      <c r="W317" s="725"/>
      <c r="X317" s="723"/>
      <c r="Y317" s="723"/>
      <c r="Z317" s="723"/>
      <c r="AA317" s="726"/>
      <c r="AB317" s="726"/>
      <c r="AC317" s="170"/>
      <c r="AD317" s="586"/>
      <c r="AE317" s="586"/>
      <c r="AF317" s="170"/>
      <c r="AG317" s="170"/>
      <c r="AH317" s="170"/>
      <c r="AI317" s="170"/>
      <c r="AJ317" s="170"/>
      <c r="AK317" s="170"/>
      <c r="AL317" s="170"/>
      <c r="AM317" s="170"/>
      <c r="AN317" s="170"/>
      <c r="AO317" s="170"/>
      <c r="AP317" s="170"/>
      <c r="AQ317" s="170"/>
      <c r="AR317" s="170"/>
      <c r="AS317" s="170"/>
    </row>
    <row r="318" spans="1:45" ht="15" x14ac:dyDescent="0.25">
      <c r="A318" s="170"/>
      <c r="B318" s="719"/>
      <c r="C318" s="170"/>
      <c r="D318" s="170"/>
      <c r="E318" s="170"/>
      <c r="F318" s="170"/>
      <c r="G318" s="721"/>
      <c r="H318" s="170"/>
      <c r="I318" s="170"/>
      <c r="J318" s="170"/>
      <c r="K318" s="170"/>
      <c r="L318" s="170"/>
      <c r="M318" s="730"/>
      <c r="N318" s="730"/>
      <c r="O318" s="730"/>
      <c r="P318" s="731"/>
      <c r="Q318" s="731"/>
      <c r="R318" s="730"/>
      <c r="S318" s="730"/>
      <c r="T318" s="723"/>
      <c r="U318" s="724"/>
      <c r="V318" s="725"/>
      <c r="W318" s="725"/>
      <c r="X318" s="723"/>
      <c r="Y318" s="723"/>
      <c r="Z318" s="723"/>
      <c r="AA318" s="726"/>
      <c r="AB318" s="726"/>
      <c r="AC318" s="170"/>
      <c r="AD318" s="586"/>
      <c r="AE318" s="586"/>
      <c r="AF318" s="170"/>
      <c r="AG318" s="170"/>
      <c r="AH318" s="170"/>
      <c r="AI318" s="170"/>
      <c r="AJ318" s="170"/>
      <c r="AK318" s="170"/>
      <c r="AL318" s="170"/>
      <c r="AM318" s="170"/>
      <c r="AN318" s="170"/>
      <c r="AO318" s="170"/>
      <c r="AP318" s="170"/>
      <c r="AQ318" s="170"/>
      <c r="AR318" s="170"/>
      <c r="AS318" s="170"/>
    </row>
    <row r="319" spans="1:45" ht="15" x14ac:dyDescent="0.25">
      <c r="A319" s="170"/>
      <c r="B319" s="719"/>
      <c r="C319" s="170"/>
      <c r="D319" s="170"/>
      <c r="E319" s="170"/>
      <c r="F319" s="170"/>
      <c r="G319" s="721"/>
      <c r="H319" s="170"/>
      <c r="I319" s="170"/>
      <c r="J319" s="170"/>
      <c r="K319" s="170"/>
      <c r="L319" s="170"/>
      <c r="M319" s="730"/>
      <c r="N319" s="730"/>
      <c r="O319" s="730"/>
      <c r="P319" s="731"/>
      <c r="Q319" s="731"/>
      <c r="R319" s="730"/>
      <c r="S319" s="730"/>
      <c r="T319" s="723"/>
      <c r="U319" s="724"/>
      <c r="V319" s="725"/>
      <c r="W319" s="725"/>
      <c r="X319" s="723"/>
      <c r="Y319" s="723"/>
      <c r="Z319" s="723"/>
      <c r="AA319" s="726"/>
      <c r="AB319" s="726"/>
      <c r="AC319" s="170"/>
      <c r="AD319" s="586"/>
      <c r="AE319" s="586"/>
      <c r="AF319" s="170"/>
      <c r="AG319" s="170"/>
      <c r="AH319" s="170"/>
      <c r="AI319" s="170"/>
      <c r="AJ319" s="170"/>
      <c r="AK319" s="170"/>
      <c r="AL319" s="170"/>
      <c r="AM319" s="170"/>
      <c r="AN319" s="170"/>
      <c r="AO319" s="170"/>
      <c r="AP319" s="170"/>
      <c r="AQ319" s="170"/>
      <c r="AR319" s="170"/>
      <c r="AS319" s="170"/>
    </row>
    <row r="320" spans="1:45" ht="15" x14ac:dyDescent="0.25">
      <c r="A320" s="170"/>
      <c r="B320" s="719"/>
      <c r="C320" s="170"/>
      <c r="D320" s="170"/>
      <c r="E320" s="170"/>
      <c r="F320" s="170"/>
      <c r="G320" s="721"/>
      <c r="H320" s="170"/>
      <c r="I320" s="170"/>
      <c r="J320" s="170"/>
      <c r="K320" s="170"/>
      <c r="L320" s="170"/>
      <c r="M320" s="730"/>
      <c r="N320" s="730"/>
      <c r="O320" s="730"/>
      <c r="P320" s="731"/>
      <c r="Q320" s="731"/>
      <c r="R320" s="730"/>
      <c r="S320" s="730"/>
      <c r="T320" s="723"/>
      <c r="U320" s="724"/>
      <c r="V320" s="725"/>
      <c r="W320" s="725"/>
      <c r="X320" s="723"/>
      <c r="Y320" s="723"/>
      <c r="Z320" s="723"/>
      <c r="AA320" s="726"/>
      <c r="AB320" s="726"/>
      <c r="AC320" s="170"/>
      <c r="AD320" s="586"/>
      <c r="AE320" s="586"/>
      <c r="AF320" s="170"/>
      <c r="AG320" s="170"/>
      <c r="AH320" s="170"/>
      <c r="AI320" s="170"/>
      <c r="AJ320" s="170"/>
      <c r="AK320" s="170"/>
      <c r="AL320" s="170"/>
      <c r="AM320" s="170"/>
      <c r="AN320" s="170"/>
      <c r="AO320" s="170"/>
      <c r="AP320" s="170"/>
      <c r="AQ320" s="170"/>
      <c r="AR320" s="170"/>
      <c r="AS320" s="170"/>
    </row>
    <row r="321" spans="1:45" ht="15" x14ac:dyDescent="0.25">
      <c r="A321" s="170"/>
      <c r="B321" s="719"/>
      <c r="C321" s="170"/>
      <c r="D321" s="170"/>
      <c r="E321" s="170"/>
      <c r="F321" s="170"/>
      <c r="G321" s="721"/>
      <c r="H321" s="170"/>
      <c r="I321" s="170"/>
      <c r="J321" s="170"/>
      <c r="K321" s="170"/>
      <c r="L321" s="170"/>
      <c r="M321" s="730"/>
      <c r="N321" s="730"/>
      <c r="O321" s="730"/>
      <c r="P321" s="731"/>
      <c r="Q321" s="731"/>
      <c r="R321" s="730"/>
      <c r="S321" s="730"/>
      <c r="T321" s="723"/>
      <c r="U321" s="724"/>
      <c r="V321" s="725"/>
      <c r="W321" s="725"/>
      <c r="X321" s="723"/>
      <c r="Y321" s="723"/>
      <c r="Z321" s="723"/>
      <c r="AA321" s="726"/>
      <c r="AB321" s="726"/>
      <c r="AC321" s="170"/>
      <c r="AD321" s="586"/>
      <c r="AE321" s="586"/>
      <c r="AF321" s="170"/>
      <c r="AG321" s="170"/>
      <c r="AH321" s="170"/>
      <c r="AI321" s="170"/>
      <c r="AJ321" s="170"/>
      <c r="AK321" s="170"/>
      <c r="AL321" s="170"/>
      <c r="AM321" s="170"/>
      <c r="AN321" s="170"/>
      <c r="AO321" s="170"/>
      <c r="AP321" s="170"/>
      <c r="AQ321" s="170"/>
      <c r="AR321" s="170"/>
      <c r="AS321" s="170"/>
    </row>
    <row r="322" spans="1:45" ht="15" x14ac:dyDescent="0.25">
      <c r="A322" s="170"/>
      <c r="B322" s="719"/>
      <c r="C322" s="170"/>
      <c r="D322" s="170"/>
      <c r="E322" s="170"/>
      <c r="F322" s="170"/>
      <c r="G322" s="721"/>
      <c r="H322" s="170"/>
      <c r="I322" s="170"/>
      <c r="J322" s="170"/>
      <c r="K322" s="170"/>
      <c r="L322" s="170"/>
      <c r="M322" s="730"/>
      <c r="N322" s="730"/>
      <c r="O322" s="730"/>
      <c r="P322" s="731"/>
      <c r="Q322" s="731"/>
      <c r="R322" s="730"/>
      <c r="S322" s="730"/>
      <c r="T322" s="723"/>
      <c r="U322" s="724"/>
      <c r="V322" s="725"/>
      <c r="W322" s="725"/>
      <c r="X322" s="723"/>
      <c r="Y322" s="723"/>
      <c r="Z322" s="723"/>
      <c r="AA322" s="726"/>
      <c r="AB322" s="726"/>
      <c r="AC322" s="170"/>
      <c r="AD322" s="586"/>
      <c r="AE322" s="586"/>
      <c r="AF322" s="170"/>
      <c r="AG322" s="170"/>
      <c r="AH322" s="170"/>
      <c r="AI322" s="170"/>
      <c r="AJ322" s="170"/>
      <c r="AK322" s="170"/>
      <c r="AL322" s="170"/>
      <c r="AM322" s="170"/>
      <c r="AN322" s="170"/>
      <c r="AO322" s="170"/>
      <c r="AP322" s="170"/>
      <c r="AQ322" s="170"/>
      <c r="AR322" s="170"/>
      <c r="AS322" s="170"/>
    </row>
    <row r="323" spans="1:45" ht="15" x14ac:dyDescent="0.25">
      <c r="A323" s="170"/>
      <c r="B323" s="719"/>
      <c r="C323" s="170"/>
      <c r="D323" s="170"/>
      <c r="E323" s="170"/>
      <c r="F323" s="170"/>
      <c r="G323" s="721"/>
      <c r="H323" s="170"/>
      <c r="I323" s="170"/>
      <c r="J323" s="170"/>
      <c r="K323" s="170"/>
      <c r="L323" s="170"/>
      <c r="M323" s="730"/>
      <c r="N323" s="730"/>
      <c r="O323" s="730"/>
      <c r="P323" s="731"/>
      <c r="Q323" s="731"/>
      <c r="R323" s="730"/>
      <c r="S323" s="730"/>
      <c r="T323" s="723"/>
      <c r="U323" s="724"/>
      <c r="V323" s="725"/>
      <c r="W323" s="725"/>
      <c r="X323" s="723"/>
      <c r="Y323" s="723"/>
      <c r="Z323" s="723"/>
      <c r="AA323" s="726"/>
      <c r="AB323" s="726"/>
      <c r="AC323" s="170"/>
      <c r="AD323" s="586"/>
      <c r="AE323" s="586"/>
      <c r="AF323" s="170"/>
      <c r="AG323" s="170"/>
      <c r="AH323" s="170"/>
      <c r="AI323" s="170"/>
      <c r="AJ323" s="170"/>
      <c r="AK323" s="170"/>
      <c r="AL323" s="170"/>
      <c r="AM323" s="170"/>
      <c r="AN323" s="170"/>
      <c r="AO323" s="170"/>
      <c r="AP323" s="170"/>
      <c r="AQ323" s="170"/>
      <c r="AR323" s="170"/>
      <c r="AS323" s="170"/>
    </row>
    <row r="324" spans="1:45" ht="15" x14ac:dyDescent="0.25">
      <c r="A324" s="170"/>
      <c r="B324" s="719"/>
      <c r="C324" s="170"/>
      <c r="D324" s="170"/>
      <c r="E324" s="170"/>
      <c r="F324" s="170"/>
      <c r="G324" s="721"/>
      <c r="H324" s="170"/>
      <c r="I324" s="170"/>
      <c r="J324" s="170"/>
      <c r="K324" s="170"/>
      <c r="L324" s="170"/>
      <c r="M324" s="730"/>
      <c r="N324" s="730"/>
      <c r="O324" s="730"/>
      <c r="P324" s="731"/>
      <c r="Q324" s="731"/>
      <c r="R324" s="730"/>
      <c r="S324" s="730"/>
      <c r="T324" s="723"/>
      <c r="U324" s="724"/>
      <c r="V324" s="725"/>
      <c r="W324" s="725"/>
      <c r="X324" s="723"/>
      <c r="Y324" s="723"/>
      <c r="Z324" s="723"/>
      <c r="AA324" s="726"/>
      <c r="AB324" s="726"/>
      <c r="AC324" s="170"/>
      <c r="AD324" s="586"/>
      <c r="AE324" s="586"/>
      <c r="AF324" s="170"/>
      <c r="AG324" s="170"/>
      <c r="AH324" s="170"/>
      <c r="AI324" s="170"/>
      <c r="AJ324" s="170"/>
      <c r="AK324" s="170"/>
      <c r="AL324" s="170"/>
      <c r="AM324" s="170"/>
      <c r="AN324" s="170"/>
      <c r="AO324" s="170"/>
      <c r="AP324" s="170"/>
      <c r="AQ324" s="170"/>
      <c r="AR324" s="170"/>
      <c r="AS324" s="170"/>
    </row>
    <row r="325" spans="1:45" ht="15" x14ac:dyDescent="0.25">
      <c r="A325" s="170"/>
      <c r="B325" s="719"/>
      <c r="C325" s="170"/>
      <c r="D325" s="170"/>
      <c r="E325" s="170"/>
      <c r="F325" s="170"/>
      <c r="G325" s="721"/>
      <c r="H325" s="170"/>
      <c r="I325" s="170"/>
      <c r="J325" s="170"/>
      <c r="K325" s="170"/>
      <c r="L325" s="170"/>
      <c r="M325" s="730"/>
      <c r="N325" s="730"/>
      <c r="O325" s="730"/>
      <c r="P325" s="731"/>
      <c r="Q325" s="731"/>
      <c r="R325" s="730"/>
      <c r="S325" s="730"/>
      <c r="T325" s="723"/>
      <c r="U325" s="724"/>
      <c r="V325" s="725"/>
      <c r="W325" s="725"/>
      <c r="X325" s="723"/>
      <c r="Y325" s="723"/>
      <c r="Z325" s="723"/>
      <c r="AA325" s="726"/>
      <c r="AB325" s="726"/>
      <c r="AC325" s="170"/>
      <c r="AD325" s="586"/>
      <c r="AE325" s="586"/>
      <c r="AF325" s="170"/>
      <c r="AG325" s="170"/>
      <c r="AH325" s="170"/>
      <c r="AI325" s="170"/>
      <c r="AJ325" s="170"/>
      <c r="AK325" s="170"/>
      <c r="AL325" s="170"/>
      <c r="AM325" s="170"/>
      <c r="AN325" s="170"/>
      <c r="AO325" s="170"/>
      <c r="AP325" s="170"/>
      <c r="AQ325" s="170"/>
      <c r="AR325" s="170"/>
      <c r="AS325" s="170"/>
    </row>
    <row r="326" spans="1:45" ht="15" x14ac:dyDescent="0.25">
      <c r="A326" s="170"/>
      <c r="B326" s="719"/>
      <c r="C326" s="170"/>
      <c r="D326" s="170"/>
      <c r="E326" s="170"/>
      <c r="F326" s="170"/>
      <c r="G326" s="721"/>
      <c r="H326" s="170"/>
      <c r="I326" s="170"/>
      <c r="J326" s="170"/>
      <c r="K326" s="170"/>
      <c r="L326" s="170"/>
      <c r="M326" s="730"/>
      <c r="N326" s="730"/>
      <c r="O326" s="730"/>
      <c r="P326" s="731"/>
      <c r="Q326" s="731"/>
      <c r="R326" s="730"/>
      <c r="S326" s="730"/>
      <c r="T326" s="723"/>
      <c r="U326" s="724"/>
      <c r="V326" s="725"/>
      <c r="W326" s="725"/>
      <c r="X326" s="723"/>
      <c r="Y326" s="723"/>
      <c r="Z326" s="723"/>
      <c r="AA326" s="726"/>
      <c r="AB326" s="726"/>
      <c r="AC326" s="170"/>
      <c r="AD326" s="586"/>
      <c r="AE326" s="586"/>
      <c r="AF326" s="170"/>
      <c r="AG326" s="170"/>
      <c r="AH326" s="170"/>
      <c r="AI326" s="170"/>
      <c r="AJ326" s="170"/>
      <c r="AK326" s="170"/>
      <c r="AL326" s="170"/>
      <c r="AM326" s="170"/>
      <c r="AN326" s="170"/>
      <c r="AO326" s="170"/>
      <c r="AP326" s="170"/>
      <c r="AQ326" s="170"/>
      <c r="AR326" s="170"/>
      <c r="AS326" s="170"/>
    </row>
    <row r="327" spans="1:45" ht="15" x14ac:dyDescent="0.25">
      <c r="A327" s="170"/>
      <c r="B327" s="719"/>
      <c r="C327" s="170"/>
      <c r="D327" s="170"/>
      <c r="E327" s="170"/>
      <c r="F327" s="170"/>
      <c r="G327" s="721"/>
      <c r="H327" s="170"/>
      <c r="I327" s="170"/>
      <c r="J327" s="170"/>
      <c r="K327" s="170"/>
      <c r="L327" s="170"/>
      <c r="M327" s="730"/>
      <c r="N327" s="730"/>
      <c r="O327" s="730"/>
      <c r="P327" s="731"/>
      <c r="Q327" s="731"/>
      <c r="R327" s="730"/>
      <c r="S327" s="730"/>
      <c r="T327" s="723"/>
      <c r="U327" s="724"/>
      <c r="V327" s="725"/>
      <c r="W327" s="725"/>
      <c r="X327" s="723"/>
      <c r="Y327" s="723"/>
      <c r="Z327" s="723"/>
      <c r="AA327" s="726"/>
      <c r="AB327" s="726"/>
      <c r="AC327" s="170"/>
      <c r="AD327" s="586"/>
      <c r="AE327" s="586"/>
      <c r="AF327" s="170"/>
      <c r="AG327" s="170"/>
      <c r="AH327" s="170"/>
      <c r="AI327" s="170"/>
      <c r="AJ327" s="170"/>
      <c r="AK327" s="170"/>
      <c r="AL327" s="170"/>
      <c r="AM327" s="170"/>
      <c r="AN327" s="170"/>
      <c r="AO327" s="170"/>
      <c r="AP327" s="170"/>
      <c r="AQ327" s="170"/>
      <c r="AR327" s="170"/>
      <c r="AS327" s="170"/>
    </row>
    <row r="328" spans="1:45" ht="15" x14ac:dyDescent="0.25">
      <c r="A328" s="170"/>
      <c r="B328" s="719"/>
      <c r="C328" s="170"/>
      <c r="D328" s="170"/>
      <c r="E328" s="170"/>
      <c r="F328" s="170"/>
      <c r="G328" s="721"/>
      <c r="H328" s="170"/>
      <c r="I328" s="170"/>
      <c r="J328" s="170"/>
      <c r="K328" s="170"/>
      <c r="L328" s="170"/>
      <c r="M328" s="730"/>
      <c r="N328" s="730"/>
      <c r="O328" s="730"/>
      <c r="P328" s="731"/>
      <c r="Q328" s="731"/>
      <c r="R328" s="730"/>
      <c r="S328" s="730"/>
      <c r="T328" s="723"/>
      <c r="U328" s="724"/>
      <c r="V328" s="725"/>
      <c r="W328" s="725"/>
      <c r="X328" s="723"/>
      <c r="Y328" s="723"/>
      <c r="Z328" s="723"/>
      <c r="AA328" s="726"/>
      <c r="AB328" s="726"/>
      <c r="AC328" s="170"/>
      <c r="AD328" s="586"/>
      <c r="AE328" s="586"/>
      <c r="AF328" s="170"/>
      <c r="AG328" s="170"/>
      <c r="AH328" s="170"/>
      <c r="AI328" s="170"/>
      <c r="AJ328" s="170"/>
      <c r="AK328" s="170"/>
      <c r="AL328" s="170"/>
      <c r="AM328" s="170"/>
      <c r="AN328" s="170"/>
      <c r="AO328" s="170"/>
      <c r="AP328" s="170"/>
      <c r="AQ328" s="170"/>
      <c r="AR328" s="170"/>
      <c r="AS328" s="170"/>
    </row>
    <row r="329" spans="1:45" ht="15" x14ac:dyDescent="0.25">
      <c r="A329" s="170"/>
      <c r="B329" s="719"/>
      <c r="C329" s="170"/>
      <c r="D329" s="170"/>
      <c r="E329" s="170"/>
      <c r="F329" s="170"/>
      <c r="G329" s="721"/>
      <c r="H329" s="170"/>
      <c r="I329" s="170"/>
      <c r="J329" s="170"/>
      <c r="K329" s="170"/>
      <c r="L329" s="170"/>
      <c r="M329" s="730"/>
      <c r="N329" s="730"/>
      <c r="O329" s="730"/>
      <c r="P329" s="731"/>
      <c r="Q329" s="731"/>
      <c r="R329" s="730"/>
      <c r="S329" s="730"/>
      <c r="T329" s="723"/>
      <c r="U329" s="724"/>
      <c r="V329" s="725"/>
      <c r="W329" s="725"/>
      <c r="X329" s="723"/>
      <c r="Y329" s="723"/>
      <c r="Z329" s="723"/>
      <c r="AA329" s="726"/>
      <c r="AB329" s="726"/>
      <c r="AC329" s="170"/>
      <c r="AD329" s="586"/>
      <c r="AE329" s="586"/>
      <c r="AF329" s="170"/>
      <c r="AG329" s="170"/>
      <c r="AH329" s="170"/>
      <c r="AI329" s="170"/>
      <c r="AJ329" s="170"/>
      <c r="AK329" s="170"/>
      <c r="AL329" s="170"/>
      <c r="AM329" s="170"/>
      <c r="AN329" s="170"/>
      <c r="AO329" s="170"/>
      <c r="AP329" s="170"/>
      <c r="AQ329" s="170"/>
      <c r="AR329" s="170"/>
      <c r="AS329" s="170"/>
    </row>
    <row r="330" spans="1:45" ht="15" x14ac:dyDescent="0.25">
      <c r="A330" s="170"/>
      <c r="B330" s="719"/>
      <c r="C330" s="170"/>
      <c r="D330" s="170"/>
      <c r="E330" s="170"/>
      <c r="F330" s="170"/>
      <c r="G330" s="721"/>
      <c r="H330" s="170"/>
      <c r="I330" s="170"/>
      <c r="J330" s="170"/>
      <c r="K330" s="170"/>
      <c r="L330" s="170"/>
      <c r="M330" s="730"/>
      <c r="N330" s="730"/>
      <c r="O330" s="730"/>
      <c r="P330" s="731"/>
      <c r="Q330" s="731"/>
      <c r="R330" s="730"/>
      <c r="S330" s="730"/>
      <c r="T330" s="723"/>
      <c r="U330" s="724"/>
      <c r="V330" s="725"/>
      <c r="W330" s="725"/>
      <c r="X330" s="723"/>
      <c r="Y330" s="723"/>
      <c r="Z330" s="723"/>
      <c r="AA330" s="726"/>
      <c r="AB330" s="726"/>
      <c r="AC330" s="170"/>
      <c r="AD330" s="586"/>
      <c r="AE330" s="586"/>
      <c r="AF330" s="170"/>
      <c r="AG330" s="170"/>
      <c r="AH330" s="170"/>
      <c r="AI330" s="170"/>
      <c r="AJ330" s="170"/>
      <c r="AK330" s="170"/>
      <c r="AL330" s="170"/>
      <c r="AM330" s="170"/>
      <c r="AN330" s="170"/>
      <c r="AO330" s="170"/>
      <c r="AP330" s="170"/>
      <c r="AQ330" s="170"/>
      <c r="AR330" s="170"/>
      <c r="AS330" s="170"/>
    </row>
    <row r="331" spans="1:45" ht="15" x14ac:dyDescent="0.25">
      <c r="A331" s="170"/>
      <c r="B331" s="719"/>
      <c r="C331" s="170"/>
      <c r="D331" s="170"/>
      <c r="E331" s="170"/>
      <c r="F331" s="170"/>
      <c r="G331" s="721"/>
      <c r="H331" s="170"/>
      <c r="I331" s="170"/>
      <c r="J331" s="170"/>
      <c r="K331" s="170"/>
      <c r="L331" s="170"/>
      <c r="M331" s="730"/>
      <c r="N331" s="730"/>
      <c r="O331" s="730"/>
      <c r="P331" s="731"/>
      <c r="Q331" s="731"/>
      <c r="R331" s="730"/>
      <c r="S331" s="730"/>
      <c r="T331" s="723"/>
      <c r="U331" s="724"/>
      <c r="V331" s="725"/>
      <c r="W331" s="725"/>
      <c r="X331" s="723"/>
      <c r="Y331" s="723"/>
      <c r="Z331" s="723"/>
      <c r="AA331" s="726"/>
      <c r="AB331" s="726"/>
      <c r="AC331" s="170"/>
      <c r="AD331" s="586"/>
      <c r="AE331" s="586"/>
      <c r="AF331" s="170"/>
      <c r="AG331" s="170"/>
      <c r="AH331" s="170"/>
      <c r="AI331" s="170"/>
      <c r="AJ331" s="170"/>
      <c r="AK331" s="170"/>
      <c r="AL331" s="170"/>
      <c r="AM331" s="170"/>
      <c r="AN331" s="170"/>
      <c r="AO331" s="170"/>
      <c r="AP331" s="170"/>
      <c r="AQ331" s="170"/>
      <c r="AR331" s="170"/>
      <c r="AS331" s="170"/>
    </row>
    <row r="332" spans="1:45" ht="15" x14ac:dyDescent="0.25">
      <c r="A332" s="170"/>
      <c r="B332" s="719"/>
      <c r="C332" s="170"/>
      <c r="D332" s="170"/>
      <c r="E332" s="170"/>
      <c r="F332" s="170"/>
      <c r="G332" s="721"/>
      <c r="H332" s="170"/>
      <c r="I332" s="170"/>
      <c r="J332" s="170"/>
      <c r="K332" s="170"/>
      <c r="L332" s="170"/>
      <c r="M332" s="730"/>
      <c r="N332" s="730"/>
      <c r="O332" s="730"/>
      <c r="P332" s="731"/>
      <c r="Q332" s="731"/>
      <c r="R332" s="730"/>
      <c r="S332" s="730"/>
      <c r="T332" s="723"/>
      <c r="U332" s="724"/>
      <c r="V332" s="725"/>
      <c r="W332" s="725"/>
      <c r="X332" s="723"/>
      <c r="Y332" s="723"/>
      <c r="Z332" s="723"/>
      <c r="AA332" s="726"/>
      <c r="AB332" s="726"/>
      <c r="AC332" s="170"/>
      <c r="AD332" s="586"/>
      <c r="AE332" s="586"/>
      <c r="AF332" s="170"/>
      <c r="AG332" s="170"/>
      <c r="AH332" s="170"/>
      <c r="AI332" s="170"/>
      <c r="AJ332" s="170"/>
      <c r="AK332" s="170"/>
      <c r="AL332" s="170"/>
      <c r="AM332" s="170"/>
      <c r="AN332" s="170"/>
      <c r="AO332" s="170"/>
      <c r="AP332" s="170"/>
      <c r="AQ332" s="170"/>
      <c r="AR332" s="170"/>
      <c r="AS332" s="170"/>
    </row>
    <row r="333" spans="1:45" ht="15" x14ac:dyDescent="0.25">
      <c r="A333" s="170"/>
      <c r="B333" s="719"/>
      <c r="C333" s="170"/>
      <c r="D333" s="170"/>
      <c r="E333" s="170"/>
      <c r="F333" s="170"/>
      <c r="G333" s="721"/>
      <c r="H333" s="170"/>
      <c r="I333" s="170"/>
      <c r="J333" s="170"/>
      <c r="K333" s="170"/>
      <c r="L333" s="170"/>
      <c r="M333" s="730"/>
      <c r="N333" s="730"/>
      <c r="O333" s="730"/>
      <c r="P333" s="731"/>
      <c r="Q333" s="731"/>
      <c r="R333" s="730"/>
      <c r="S333" s="730"/>
      <c r="T333" s="723"/>
      <c r="U333" s="724"/>
      <c r="V333" s="725"/>
      <c r="W333" s="725"/>
      <c r="X333" s="723"/>
      <c r="Y333" s="723"/>
      <c r="Z333" s="723"/>
      <c r="AA333" s="726"/>
      <c r="AB333" s="726"/>
      <c r="AC333" s="170"/>
      <c r="AD333" s="586"/>
      <c r="AE333" s="586"/>
      <c r="AF333" s="170"/>
      <c r="AG333" s="170"/>
      <c r="AH333" s="170"/>
      <c r="AI333" s="170"/>
      <c r="AJ333" s="170"/>
      <c r="AK333" s="170"/>
      <c r="AL333" s="170"/>
      <c r="AM333" s="170"/>
      <c r="AN333" s="170"/>
      <c r="AO333" s="170"/>
      <c r="AP333" s="170"/>
      <c r="AQ333" s="170"/>
      <c r="AR333" s="170"/>
      <c r="AS333" s="170"/>
    </row>
    <row r="334" spans="1:45" ht="15" x14ac:dyDescent="0.25">
      <c r="A334" s="170"/>
      <c r="B334" s="719"/>
      <c r="C334" s="170"/>
      <c r="D334" s="170"/>
      <c r="E334" s="170"/>
      <c r="F334" s="170"/>
      <c r="G334" s="721"/>
      <c r="H334" s="170"/>
      <c r="I334" s="170"/>
      <c r="J334" s="170"/>
      <c r="K334" s="170"/>
      <c r="L334" s="170"/>
      <c r="M334" s="730"/>
      <c r="N334" s="730"/>
      <c r="O334" s="730"/>
      <c r="P334" s="731"/>
      <c r="Q334" s="731"/>
      <c r="R334" s="730"/>
      <c r="S334" s="730"/>
      <c r="T334" s="723"/>
      <c r="U334" s="724"/>
      <c r="V334" s="725"/>
      <c r="W334" s="725"/>
      <c r="X334" s="723"/>
      <c r="Y334" s="723"/>
      <c r="Z334" s="723"/>
      <c r="AA334" s="726"/>
      <c r="AB334" s="726"/>
      <c r="AC334" s="170"/>
      <c r="AD334" s="586"/>
      <c r="AE334" s="586"/>
      <c r="AF334" s="170"/>
      <c r="AG334" s="170"/>
      <c r="AH334" s="170"/>
      <c r="AI334" s="170"/>
      <c r="AJ334" s="170"/>
      <c r="AK334" s="170"/>
      <c r="AL334" s="170"/>
      <c r="AM334" s="170"/>
      <c r="AN334" s="170"/>
      <c r="AO334" s="170"/>
      <c r="AP334" s="170"/>
      <c r="AQ334" s="170"/>
      <c r="AR334" s="170"/>
      <c r="AS334" s="170"/>
    </row>
    <row r="335" spans="1:45" ht="15" x14ac:dyDescent="0.25">
      <c r="A335" s="170"/>
      <c r="B335" s="719"/>
      <c r="C335" s="170"/>
      <c r="D335" s="170"/>
      <c r="E335" s="170"/>
      <c r="F335" s="170"/>
      <c r="G335" s="721"/>
      <c r="H335" s="170"/>
      <c r="I335" s="170"/>
      <c r="J335" s="170"/>
      <c r="K335" s="170"/>
      <c r="L335" s="170"/>
      <c r="M335" s="730"/>
      <c r="N335" s="730"/>
      <c r="O335" s="730"/>
      <c r="P335" s="731"/>
      <c r="Q335" s="731"/>
      <c r="R335" s="730"/>
      <c r="S335" s="730"/>
      <c r="T335" s="723"/>
      <c r="U335" s="724"/>
      <c r="V335" s="725"/>
      <c r="W335" s="725"/>
      <c r="X335" s="723"/>
      <c r="Y335" s="723"/>
      <c r="Z335" s="723"/>
      <c r="AA335" s="726"/>
      <c r="AB335" s="726"/>
      <c r="AC335" s="170"/>
      <c r="AD335" s="586"/>
      <c r="AE335" s="586"/>
      <c r="AF335" s="170"/>
      <c r="AG335" s="170"/>
      <c r="AH335" s="170"/>
      <c r="AI335" s="170"/>
      <c r="AJ335" s="170"/>
      <c r="AK335" s="170"/>
      <c r="AL335" s="170"/>
      <c r="AM335" s="170"/>
      <c r="AN335" s="170"/>
      <c r="AO335" s="170"/>
      <c r="AP335" s="170"/>
      <c r="AQ335" s="170"/>
      <c r="AR335" s="170"/>
      <c r="AS335" s="170"/>
    </row>
    <row r="336" spans="1:45" ht="15" x14ac:dyDescent="0.25">
      <c r="A336" s="170"/>
      <c r="B336" s="719"/>
      <c r="C336" s="170"/>
      <c r="D336" s="170"/>
      <c r="E336" s="170"/>
      <c r="F336" s="170"/>
      <c r="G336" s="721"/>
      <c r="H336" s="170"/>
      <c r="I336" s="170"/>
      <c r="J336" s="170"/>
      <c r="K336" s="170"/>
      <c r="L336" s="170"/>
      <c r="M336" s="730"/>
      <c r="N336" s="730"/>
      <c r="O336" s="730"/>
      <c r="P336" s="731"/>
      <c r="Q336" s="731"/>
      <c r="R336" s="730"/>
      <c r="S336" s="730"/>
      <c r="T336" s="723"/>
      <c r="U336" s="724"/>
      <c r="V336" s="725"/>
      <c r="W336" s="725"/>
      <c r="X336" s="723"/>
      <c r="Y336" s="723"/>
      <c r="Z336" s="723"/>
      <c r="AA336" s="726"/>
      <c r="AB336" s="726"/>
      <c r="AC336" s="170"/>
      <c r="AD336" s="586"/>
      <c r="AE336" s="586"/>
      <c r="AF336" s="170"/>
      <c r="AG336" s="170"/>
      <c r="AH336" s="170"/>
      <c r="AI336" s="170"/>
      <c r="AJ336" s="170"/>
      <c r="AK336" s="170"/>
      <c r="AL336" s="170"/>
      <c r="AM336" s="170"/>
      <c r="AN336" s="170"/>
      <c r="AO336" s="170"/>
      <c r="AP336" s="170"/>
      <c r="AQ336" s="170"/>
      <c r="AR336" s="170"/>
      <c r="AS336" s="170"/>
    </row>
    <row r="337" spans="1:45" ht="15" x14ac:dyDescent="0.25">
      <c r="A337" s="170"/>
      <c r="B337" s="719"/>
      <c r="C337" s="170"/>
      <c r="D337" s="170"/>
      <c r="E337" s="170"/>
      <c r="F337" s="170"/>
      <c r="G337" s="721"/>
      <c r="H337" s="170"/>
      <c r="I337" s="170"/>
      <c r="J337" s="170"/>
      <c r="K337" s="170"/>
      <c r="L337" s="170"/>
      <c r="M337" s="730"/>
      <c r="N337" s="730"/>
      <c r="O337" s="730"/>
      <c r="P337" s="731"/>
      <c r="Q337" s="731"/>
      <c r="R337" s="730"/>
      <c r="S337" s="730"/>
      <c r="T337" s="723"/>
      <c r="U337" s="724"/>
      <c r="V337" s="725"/>
      <c r="W337" s="725"/>
      <c r="X337" s="723"/>
      <c r="Y337" s="723"/>
      <c r="Z337" s="723"/>
      <c r="AA337" s="726"/>
      <c r="AB337" s="726"/>
      <c r="AC337" s="170"/>
      <c r="AD337" s="586"/>
      <c r="AE337" s="586"/>
      <c r="AF337" s="170"/>
      <c r="AG337" s="170"/>
      <c r="AH337" s="170"/>
      <c r="AI337" s="170"/>
      <c r="AJ337" s="170"/>
      <c r="AK337" s="170"/>
      <c r="AL337" s="170"/>
      <c r="AM337" s="170"/>
      <c r="AN337" s="170"/>
      <c r="AO337" s="170"/>
      <c r="AP337" s="170"/>
      <c r="AQ337" s="170"/>
      <c r="AR337" s="170"/>
      <c r="AS337" s="170"/>
    </row>
    <row r="338" spans="1:45" ht="15" x14ac:dyDescent="0.25">
      <c r="A338" s="170"/>
      <c r="B338" s="719"/>
      <c r="C338" s="170"/>
      <c r="D338" s="170"/>
      <c r="E338" s="170"/>
      <c r="F338" s="170"/>
      <c r="G338" s="721"/>
      <c r="H338" s="170"/>
      <c r="I338" s="170"/>
      <c r="J338" s="170"/>
      <c r="K338" s="170"/>
      <c r="L338" s="170"/>
      <c r="M338" s="730"/>
      <c r="N338" s="730"/>
      <c r="O338" s="730"/>
      <c r="P338" s="731"/>
      <c r="Q338" s="731"/>
      <c r="R338" s="730"/>
      <c r="S338" s="730"/>
      <c r="T338" s="723"/>
      <c r="U338" s="724"/>
      <c r="V338" s="725"/>
      <c r="W338" s="725"/>
      <c r="X338" s="723"/>
      <c r="Y338" s="723"/>
      <c r="Z338" s="723"/>
      <c r="AA338" s="726"/>
      <c r="AB338" s="726"/>
      <c r="AC338" s="170"/>
      <c r="AD338" s="586"/>
      <c r="AE338" s="586"/>
      <c r="AF338" s="170"/>
      <c r="AG338" s="170"/>
      <c r="AH338" s="170"/>
      <c r="AI338" s="170"/>
      <c r="AJ338" s="170"/>
      <c r="AK338" s="170"/>
      <c r="AL338" s="170"/>
      <c r="AM338" s="170"/>
      <c r="AN338" s="170"/>
      <c r="AO338" s="170"/>
      <c r="AP338" s="170"/>
      <c r="AQ338" s="170"/>
      <c r="AR338" s="170"/>
      <c r="AS338" s="170"/>
    </row>
    <row r="339" spans="1:45" ht="15" x14ac:dyDescent="0.25">
      <c r="A339" s="170"/>
      <c r="B339" s="719"/>
      <c r="C339" s="170"/>
      <c r="D339" s="170"/>
      <c r="E339" s="170"/>
      <c r="F339" s="170"/>
      <c r="G339" s="721"/>
      <c r="H339" s="170"/>
      <c r="I339" s="170"/>
      <c r="J339" s="170"/>
      <c r="K339" s="170"/>
      <c r="L339" s="170"/>
      <c r="M339" s="730"/>
      <c r="N339" s="730"/>
      <c r="O339" s="730"/>
      <c r="P339" s="731"/>
      <c r="Q339" s="731"/>
      <c r="R339" s="730"/>
      <c r="S339" s="730"/>
      <c r="T339" s="723"/>
      <c r="U339" s="724"/>
      <c r="V339" s="725"/>
      <c r="W339" s="725"/>
      <c r="X339" s="723"/>
      <c r="Y339" s="723"/>
      <c r="Z339" s="723"/>
      <c r="AA339" s="726"/>
      <c r="AB339" s="726"/>
      <c r="AC339" s="170"/>
      <c r="AD339" s="586"/>
      <c r="AE339" s="586"/>
      <c r="AF339" s="170"/>
      <c r="AG339" s="170"/>
      <c r="AH339" s="170"/>
      <c r="AI339" s="170"/>
      <c r="AJ339" s="170"/>
      <c r="AK339" s="170"/>
      <c r="AL339" s="170"/>
      <c r="AM339" s="170"/>
      <c r="AN339" s="170"/>
      <c r="AO339" s="170"/>
      <c r="AP339" s="170"/>
      <c r="AQ339" s="170"/>
      <c r="AR339" s="170"/>
      <c r="AS339" s="170"/>
    </row>
    <row r="340" spans="1:45" ht="15" x14ac:dyDescent="0.25">
      <c r="A340" s="170"/>
      <c r="B340" s="719"/>
      <c r="C340" s="170"/>
      <c r="D340" s="170"/>
      <c r="E340" s="170"/>
      <c r="F340" s="170"/>
      <c r="G340" s="721"/>
      <c r="H340" s="170"/>
      <c r="I340" s="170"/>
      <c r="J340" s="170"/>
      <c r="K340" s="170"/>
      <c r="L340" s="170"/>
      <c r="M340" s="730"/>
      <c r="N340" s="730"/>
      <c r="O340" s="730"/>
      <c r="P340" s="731"/>
      <c r="Q340" s="731"/>
      <c r="R340" s="730"/>
      <c r="S340" s="730"/>
      <c r="T340" s="723"/>
      <c r="U340" s="724"/>
      <c r="V340" s="725"/>
      <c r="W340" s="725"/>
      <c r="X340" s="723"/>
      <c r="Y340" s="723"/>
      <c r="Z340" s="723"/>
      <c r="AA340" s="726"/>
      <c r="AB340" s="726"/>
      <c r="AC340" s="170"/>
      <c r="AD340" s="586"/>
      <c r="AE340" s="586"/>
      <c r="AF340" s="170"/>
      <c r="AG340" s="170"/>
      <c r="AH340" s="170"/>
      <c r="AI340" s="170"/>
      <c r="AJ340" s="170"/>
      <c r="AK340" s="170"/>
      <c r="AL340" s="170"/>
      <c r="AM340" s="170"/>
      <c r="AN340" s="170"/>
      <c r="AO340" s="170"/>
      <c r="AP340" s="170"/>
      <c r="AQ340" s="170"/>
      <c r="AR340" s="170"/>
      <c r="AS340" s="170"/>
    </row>
    <row r="341" spans="1:45" ht="15" x14ac:dyDescent="0.25">
      <c r="A341" s="170"/>
      <c r="B341" s="719"/>
      <c r="C341" s="170"/>
      <c r="D341" s="170"/>
      <c r="E341" s="170"/>
      <c r="F341" s="170"/>
      <c r="G341" s="721"/>
      <c r="H341" s="170"/>
      <c r="I341" s="170"/>
      <c r="J341" s="170"/>
      <c r="K341" s="170"/>
      <c r="L341" s="170"/>
      <c r="M341" s="730"/>
      <c r="N341" s="730"/>
      <c r="O341" s="730"/>
      <c r="P341" s="731"/>
      <c r="Q341" s="731"/>
      <c r="R341" s="730"/>
      <c r="S341" s="730"/>
      <c r="T341" s="723"/>
      <c r="U341" s="724"/>
      <c r="V341" s="725"/>
      <c r="W341" s="725"/>
      <c r="X341" s="723"/>
      <c r="Y341" s="723"/>
      <c r="Z341" s="723"/>
      <c r="AA341" s="726"/>
      <c r="AB341" s="726"/>
      <c r="AC341" s="170"/>
      <c r="AD341" s="586"/>
      <c r="AE341" s="586"/>
      <c r="AF341" s="170"/>
      <c r="AG341" s="170"/>
      <c r="AH341" s="170"/>
      <c r="AI341" s="170"/>
      <c r="AJ341" s="170"/>
      <c r="AK341" s="170"/>
      <c r="AL341" s="170"/>
      <c r="AM341" s="170"/>
      <c r="AN341" s="170"/>
      <c r="AO341" s="170"/>
      <c r="AP341" s="170"/>
      <c r="AQ341" s="170"/>
      <c r="AR341" s="170"/>
      <c r="AS341" s="170"/>
    </row>
    <row r="342" spans="1:45" ht="15" x14ac:dyDescent="0.25">
      <c r="A342" s="170"/>
      <c r="B342" s="719"/>
      <c r="C342" s="170"/>
      <c r="D342" s="170"/>
      <c r="E342" s="170"/>
      <c r="F342" s="170"/>
      <c r="G342" s="721"/>
      <c r="H342" s="170"/>
      <c r="I342" s="170"/>
      <c r="J342" s="170"/>
      <c r="K342" s="170"/>
      <c r="L342" s="170"/>
      <c r="M342" s="730"/>
      <c r="N342" s="730"/>
      <c r="O342" s="730"/>
      <c r="P342" s="731"/>
      <c r="Q342" s="731"/>
      <c r="R342" s="730"/>
      <c r="S342" s="730"/>
      <c r="T342" s="723"/>
      <c r="U342" s="724"/>
      <c r="V342" s="725"/>
      <c r="W342" s="725"/>
      <c r="X342" s="723"/>
      <c r="Y342" s="723"/>
      <c r="Z342" s="723"/>
      <c r="AA342" s="726"/>
      <c r="AB342" s="726"/>
      <c r="AC342" s="170"/>
      <c r="AD342" s="586"/>
      <c r="AE342" s="586"/>
      <c r="AF342" s="170"/>
      <c r="AG342" s="170"/>
      <c r="AH342" s="170"/>
      <c r="AI342" s="170"/>
      <c r="AJ342" s="170"/>
      <c r="AK342" s="170"/>
      <c r="AL342" s="170"/>
      <c r="AM342" s="170"/>
      <c r="AN342" s="170"/>
      <c r="AO342" s="170"/>
      <c r="AP342" s="170"/>
      <c r="AQ342" s="170"/>
      <c r="AR342" s="170"/>
      <c r="AS342" s="170"/>
    </row>
    <row r="343" spans="1:45" ht="15" x14ac:dyDescent="0.25">
      <c r="A343" s="170"/>
      <c r="B343" s="719"/>
      <c r="C343" s="170"/>
      <c r="D343" s="170"/>
      <c r="E343" s="170"/>
      <c r="F343" s="170"/>
      <c r="G343" s="721"/>
      <c r="H343" s="170"/>
      <c r="I343" s="170"/>
      <c r="J343" s="170"/>
      <c r="K343" s="170"/>
      <c r="L343" s="170"/>
      <c r="M343" s="730"/>
      <c r="N343" s="730"/>
      <c r="O343" s="730"/>
      <c r="P343" s="731"/>
      <c r="Q343" s="731"/>
      <c r="R343" s="730"/>
      <c r="S343" s="730"/>
      <c r="T343" s="723"/>
      <c r="U343" s="724"/>
      <c r="V343" s="725"/>
      <c r="W343" s="725"/>
      <c r="X343" s="723"/>
      <c r="Y343" s="723"/>
      <c r="Z343" s="723"/>
      <c r="AA343" s="726"/>
      <c r="AB343" s="726"/>
      <c r="AC343" s="170"/>
      <c r="AD343" s="586"/>
      <c r="AE343" s="586"/>
      <c r="AF343" s="170"/>
      <c r="AG343" s="170"/>
      <c r="AH343" s="170"/>
      <c r="AI343" s="170"/>
      <c r="AJ343" s="170"/>
      <c r="AK343" s="170"/>
      <c r="AL343" s="170"/>
      <c r="AM343" s="170"/>
      <c r="AN343" s="170"/>
      <c r="AO343" s="170"/>
      <c r="AP343" s="170"/>
      <c r="AQ343" s="170"/>
      <c r="AR343" s="170"/>
      <c r="AS343" s="170"/>
    </row>
    <row r="344" spans="1:45" ht="15" x14ac:dyDescent="0.25">
      <c r="A344" s="170"/>
      <c r="B344" s="719"/>
      <c r="C344" s="170"/>
      <c r="D344" s="170"/>
      <c r="E344" s="170"/>
      <c r="F344" s="170"/>
      <c r="G344" s="721"/>
      <c r="H344" s="170"/>
      <c r="I344" s="170"/>
      <c r="J344" s="170"/>
      <c r="K344" s="170"/>
      <c r="L344" s="170"/>
      <c r="M344" s="730"/>
      <c r="N344" s="730"/>
      <c r="O344" s="730"/>
      <c r="P344" s="731"/>
      <c r="Q344" s="731"/>
      <c r="R344" s="730"/>
      <c r="S344" s="730"/>
      <c r="T344" s="723"/>
      <c r="U344" s="724"/>
      <c r="V344" s="725"/>
      <c r="W344" s="725"/>
      <c r="X344" s="723"/>
      <c r="Y344" s="723"/>
      <c r="Z344" s="723"/>
      <c r="AA344" s="726"/>
      <c r="AB344" s="726"/>
      <c r="AC344" s="170"/>
      <c r="AD344" s="586"/>
      <c r="AE344" s="586"/>
      <c r="AF344" s="170"/>
      <c r="AG344" s="170"/>
      <c r="AH344" s="170"/>
      <c r="AI344" s="170"/>
      <c r="AJ344" s="170"/>
      <c r="AK344" s="170"/>
      <c r="AL344" s="170"/>
      <c r="AM344" s="170"/>
      <c r="AN344" s="170"/>
      <c r="AO344" s="170"/>
      <c r="AP344" s="170"/>
      <c r="AQ344" s="170"/>
      <c r="AR344" s="170"/>
      <c r="AS344" s="170"/>
    </row>
    <row r="345" spans="1:45" ht="15" x14ac:dyDescent="0.25">
      <c r="A345" s="170"/>
      <c r="B345" s="719"/>
      <c r="C345" s="170"/>
      <c r="D345" s="170"/>
      <c r="E345" s="170"/>
      <c r="F345" s="170"/>
      <c r="G345" s="721"/>
      <c r="H345" s="170"/>
      <c r="I345" s="170"/>
      <c r="J345" s="170"/>
      <c r="K345" s="170"/>
      <c r="L345" s="170"/>
      <c r="M345" s="730"/>
      <c r="N345" s="730"/>
      <c r="O345" s="730"/>
      <c r="P345" s="731"/>
      <c r="Q345" s="731"/>
      <c r="R345" s="730"/>
      <c r="S345" s="730"/>
      <c r="T345" s="723"/>
      <c r="U345" s="724"/>
      <c r="V345" s="725"/>
      <c r="W345" s="725"/>
      <c r="X345" s="723"/>
      <c r="Y345" s="723"/>
      <c r="Z345" s="723"/>
      <c r="AA345" s="726"/>
      <c r="AB345" s="726"/>
      <c r="AC345" s="170"/>
      <c r="AD345" s="586"/>
      <c r="AE345" s="586"/>
      <c r="AF345" s="170"/>
      <c r="AG345" s="170"/>
      <c r="AH345" s="170"/>
      <c r="AI345" s="170"/>
      <c r="AJ345" s="170"/>
      <c r="AK345" s="170"/>
      <c r="AL345" s="170"/>
      <c r="AM345" s="170"/>
      <c r="AN345" s="170"/>
      <c r="AO345" s="170"/>
      <c r="AP345" s="170"/>
      <c r="AQ345" s="170"/>
      <c r="AR345" s="170"/>
      <c r="AS345" s="170"/>
    </row>
    <row r="346" spans="1:45" ht="15" x14ac:dyDescent="0.25">
      <c r="A346" s="170"/>
      <c r="B346" s="719"/>
      <c r="C346" s="170"/>
      <c r="D346" s="170"/>
      <c r="E346" s="170"/>
      <c r="F346" s="170"/>
      <c r="G346" s="721"/>
      <c r="H346" s="170"/>
      <c r="I346" s="170"/>
      <c r="J346" s="170"/>
      <c r="K346" s="170"/>
      <c r="L346" s="170"/>
      <c r="M346" s="730"/>
      <c r="N346" s="730"/>
      <c r="O346" s="730"/>
      <c r="P346" s="731"/>
      <c r="Q346" s="731"/>
      <c r="R346" s="730"/>
      <c r="S346" s="730"/>
      <c r="T346" s="723"/>
      <c r="U346" s="724"/>
      <c r="V346" s="725"/>
      <c r="W346" s="725"/>
      <c r="X346" s="723"/>
      <c r="Y346" s="723"/>
      <c r="Z346" s="723"/>
      <c r="AA346" s="726"/>
      <c r="AB346" s="726"/>
      <c r="AC346" s="170"/>
      <c r="AD346" s="586"/>
      <c r="AE346" s="586"/>
      <c r="AF346" s="170"/>
      <c r="AG346" s="170"/>
      <c r="AH346" s="170"/>
      <c r="AI346" s="170"/>
      <c r="AJ346" s="170"/>
      <c r="AK346" s="170"/>
      <c r="AL346" s="170"/>
      <c r="AM346" s="170"/>
      <c r="AN346" s="170"/>
      <c r="AO346" s="170"/>
      <c r="AP346" s="170"/>
      <c r="AQ346" s="170"/>
      <c r="AR346" s="170"/>
      <c r="AS346" s="170"/>
    </row>
    <row r="347" spans="1:45" ht="15" x14ac:dyDescent="0.25">
      <c r="A347" s="170"/>
      <c r="B347" s="719"/>
      <c r="C347" s="170"/>
      <c r="D347" s="170"/>
      <c r="E347" s="170"/>
      <c r="F347" s="170"/>
      <c r="G347" s="721"/>
      <c r="H347" s="170"/>
      <c r="I347" s="170"/>
      <c r="J347" s="170"/>
      <c r="K347" s="170"/>
      <c r="L347" s="170"/>
      <c r="M347" s="730"/>
      <c r="N347" s="730"/>
      <c r="O347" s="730"/>
      <c r="P347" s="731"/>
      <c r="Q347" s="731"/>
      <c r="R347" s="730"/>
      <c r="S347" s="730"/>
      <c r="T347" s="723"/>
      <c r="U347" s="724"/>
      <c r="V347" s="725"/>
      <c r="W347" s="725"/>
      <c r="X347" s="723"/>
      <c r="Y347" s="723"/>
      <c r="Z347" s="723"/>
      <c r="AA347" s="726"/>
      <c r="AB347" s="726"/>
      <c r="AC347" s="170"/>
      <c r="AD347" s="586"/>
      <c r="AE347" s="586"/>
      <c r="AF347" s="170"/>
      <c r="AG347" s="170"/>
      <c r="AH347" s="170"/>
      <c r="AI347" s="170"/>
      <c r="AJ347" s="170"/>
      <c r="AK347" s="170"/>
      <c r="AL347" s="170"/>
      <c r="AM347" s="170"/>
      <c r="AN347" s="170"/>
      <c r="AO347" s="170"/>
      <c r="AP347" s="170"/>
      <c r="AQ347" s="170"/>
      <c r="AR347" s="170"/>
      <c r="AS347" s="170"/>
    </row>
    <row r="348" spans="1:45" ht="15" x14ac:dyDescent="0.25">
      <c r="A348" s="170"/>
      <c r="B348" s="719"/>
      <c r="C348" s="170"/>
      <c r="D348" s="170"/>
      <c r="E348" s="170"/>
      <c r="F348" s="170"/>
      <c r="G348" s="721"/>
      <c r="H348" s="170"/>
      <c r="I348" s="170"/>
      <c r="J348" s="170"/>
      <c r="K348" s="170"/>
      <c r="L348" s="170"/>
      <c r="M348" s="730"/>
      <c r="N348" s="730"/>
      <c r="O348" s="730"/>
      <c r="P348" s="731"/>
      <c r="Q348" s="731"/>
      <c r="R348" s="730"/>
      <c r="S348" s="730"/>
      <c r="T348" s="723"/>
      <c r="U348" s="724"/>
      <c r="V348" s="725"/>
      <c r="W348" s="725"/>
      <c r="X348" s="723"/>
      <c r="Y348" s="723"/>
      <c r="Z348" s="723"/>
      <c r="AA348" s="726"/>
      <c r="AB348" s="726"/>
      <c r="AC348" s="170"/>
      <c r="AD348" s="586"/>
      <c r="AE348" s="586"/>
      <c r="AF348" s="170"/>
      <c r="AG348" s="170"/>
      <c r="AH348" s="170"/>
      <c r="AI348" s="170"/>
      <c r="AJ348" s="170"/>
      <c r="AK348" s="170"/>
      <c r="AL348" s="170"/>
      <c r="AM348" s="170"/>
      <c r="AN348" s="170"/>
      <c r="AO348" s="170"/>
      <c r="AP348" s="170"/>
      <c r="AQ348" s="170"/>
      <c r="AR348" s="170"/>
      <c r="AS348" s="170"/>
    </row>
    <row r="349" spans="1:45" ht="15" x14ac:dyDescent="0.25">
      <c r="A349" s="170"/>
      <c r="B349" s="719"/>
      <c r="C349" s="170"/>
      <c r="D349" s="170"/>
      <c r="E349" s="170"/>
      <c r="F349" s="170"/>
      <c r="G349" s="721"/>
      <c r="H349" s="170"/>
      <c r="I349" s="170"/>
      <c r="J349" s="170"/>
      <c r="K349" s="170"/>
      <c r="L349" s="170"/>
      <c r="M349" s="730"/>
      <c r="N349" s="730"/>
      <c r="O349" s="730"/>
      <c r="P349" s="731"/>
      <c r="Q349" s="731"/>
      <c r="R349" s="730"/>
      <c r="S349" s="730"/>
      <c r="T349" s="723"/>
      <c r="U349" s="724"/>
      <c r="V349" s="725"/>
      <c r="W349" s="725"/>
      <c r="X349" s="723"/>
      <c r="Y349" s="723"/>
      <c r="Z349" s="723"/>
      <c r="AA349" s="726"/>
      <c r="AB349" s="726"/>
      <c r="AC349" s="170"/>
      <c r="AD349" s="586"/>
      <c r="AE349" s="586"/>
      <c r="AF349" s="170"/>
      <c r="AG349" s="170"/>
      <c r="AH349" s="170"/>
      <c r="AI349" s="170"/>
      <c r="AJ349" s="170"/>
      <c r="AK349" s="170"/>
      <c r="AL349" s="170"/>
      <c r="AM349" s="170"/>
      <c r="AN349" s="170"/>
      <c r="AO349" s="170"/>
      <c r="AP349" s="170"/>
      <c r="AQ349" s="170"/>
      <c r="AR349" s="170"/>
      <c r="AS349" s="170"/>
    </row>
    <row r="350" spans="1:45" ht="15" x14ac:dyDescent="0.25">
      <c r="A350" s="170"/>
      <c r="B350" s="719"/>
      <c r="C350" s="170"/>
      <c r="D350" s="170"/>
      <c r="E350" s="170"/>
      <c r="F350" s="170"/>
      <c r="G350" s="721"/>
      <c r="H350" s="170"/>
      <c r="I350" s="170"/>
      <c r="J350" s="170"/>
      <c r="K350" s="170"/>
      <c r="L350" s="170"/>
      <c r="M350" s="730"/>
      <c r="N350" s="730"/>
      <c r="O350" s="730"/>
      <c r="P350" s="731"/>
      <c r="Q350" s="731"/>
      <c r="R350" s="730"/>
      <c r="S350" s="730"/>
      <c r="T350" s="723"/>
      <c r="U350" s="724"/>
      <c r="V350" s="725"/>
      <c r="W350" s="725"/>
      <c r="X350" s="723"/>
      <c r="Y350" s="723"/>
      <c r="Z350" s="723"/>
      <c r="AA350" s="726"/>
      <c r="AB350" s="726"/>
      <c r="AC350" s="170"/>
      <c r="AD350" s="586"/>
      <c r="AE350" s="586"/>
      <c r="AF350" s="170"/>
      <c r="AG350" s="170"/>
      <c r="AH350" s="170"/>
      <c r="AI350" s="170"/>
      <c r="AJ350" s="170"/>
      <c r="AK350" s="170"/>
      <c r="AL350" s="170"/>
      <c r="AM350" s="170"/>
      <c r="AN350" s="170"/>
      <c r="AO350" s="170"/>
      <c r="AP350" s="170"/>
      <c r="AQ350" s="170"/>
      <c r="AR350" s="170"/>
      <c r="AS350" s="170"/>
    </row>
    <row r="351" spans="1:45" ht="15" x14ac:dyDescent="0.25">
      <c r="A351" s="170"/>
      <c r="B351" s="719"/>
      <c r="C351" s="170"/>
      <c r="D351" s="170"/>
      <c r="E351" s="170"/>
      <c r="F351" s="170"/>
      <c r="G351" s="721"/>
      <c r="H351" s="170"/>
      <c r="I351" s="170"/>
      <c r="J351" s="170"/>
      <c r="K351" s="170"/>
      <c r="L351" s="170"/>
      <c r="M351" s="730"/>
      <c r="N351" s="730"/>
      <c r="O351" s="730"/>
      <c r="P351" s="731"/>
      <c r="Q351" s="731"/>
      <c r="R351" s="730"/>
      <c r="S351" s="730"/>
      <c r="T351" s="723"/>
      <c r="U351" s="724"/>
      <c r="V351" s="725"/>
      <c r="W351" s="725"/>
      <c r="X351" s="723"/>
      <c r="Y351" s="723"/>
      <c r="Z351" s="723"/>
      <c r="AA351" s="726"/>
      <c r="AB351" s="726"/>
      <c r="AC351" s="170"/>
      <c r="AD351" s="586"/>
      <c r="AE351" s="586"/>
      <c r="AF351" s="170"/>
      <c r="AG351" s="170"/>
      <c r="AH351" s="170"/>
      <c r="AI351" s="170"/>
      <c r="AJ351" s="170"/>
      <c r="AK351" s="170"/>
      <c r="AL351" s="170"/>
      <c r="AM351" s="170"/>
      <c r="AN351" s="170"/>
      <c r="AO351" s="170"/>
      <c r="AP351" s="170"/>
      <c r="AQ351" s="170"/>
      <c r="AR351" s="170"/>
      <c r="AS351" s="170"/>
    </row>
    <row r="352" spans="1:45" ht="15" x14ac:dyDescent="0.25">
      <c r="A352" s="170"/>
      <c r="B352" s="719"/>
      <c r="C352" s="170"/>
      <c r="D352" s="170"/>
      <c r="E352" s="170"/>
      <c r="F352" s="170"/>
      <c r="G352" s="721"/>
      <c r="H352" s="170"/>
      <c r="I352" s="170"/>
      <c r="J352" s="170"/>
      <c r="K352" s="170"/>
      <c r="L352" s="170"/>
      <c r="M352" s="730"/>
      <c r="N352" s="730"/>
      <c r="O352" s="730"/>
      <c r="P352" s="731"/>
      <c r="Q352" s="731"/>
      <c r="R352" s="730"/>
      <c r="S352" s="730"/>
      <c r="T352" s="723"/>
      <c r="U352" s="724"/>
      <c r="V352" s="725"/>
      <c r="W352" s="725"/>
      <c r="X352" s="723"/>
      <c r="Y352" s="723"/>
      <c r="Z352" s="723"/>
      <c r="AA352" s="726"/>
      <c r="AB352" s="726"/>
      <c r="AC352" s="170"/>
      <c r="AD352" s="586"/>
      <c r="AE352" s="586"/>
      <c r="AF352" s="170"/>
      <c r="AG352" s="170"/>
      <c r="AH352" s="170"/>
      <c r="AI352" s="170"/>
      <c r="AJ352" s="170"/>
      <c r="AK352" s="170"/>
      <c r="AL352" s="170"/>
      <c r="AM352" s="170"/>
      <c r="AN352" s="170"/>
      <c r="AO352" s="170"/>
      <c r="AP352" s="170"/>
      <c r="AQ352" s="170"/>
      <c r="AR352" s="170"/>
      <c r="AS352" s="170"/>
    </row>
    <row r="353" spans="1:45" ht="15" x14ac:dyDescent="0.25">
      <c r="A353" s="170"/>
      <c r="B353" s="719"/>
      <c r="C353" s="170"/>
      <c r="D353" s="170"/>
      <c r="E353" s="170"/>
      <c r="F353" s="170"/>
      <c r="G353" s="721"/>
      <c r="H353" s="170"/>
      <c r="I353" s="170"/>
      <c r="J353" s="170"/>
      <c r="K353" s="170"/>
      <c r="L353" s="170"/>
      <c r="M353" s="730"/>
      <c r="N353" s="730"/>
      <c r="O353" s="730"/>
      <c r="P353" s="731"/>
      <c r="Q353" s="731"/>
      <c r="R353" s="730"/>
      <c r="S353" s="730"/>
      <c r="T353" s="723"/>
      <c r="U353" s="724"/>
      <c r="V353" s="725"/>
      <c r="W353" s="725"/>
      <c r="X353" s="723"/>
      <c r="Y353" s="723"/>
      <c r="Z353" s="723"/>
      <c r="AA353" s="726"/>
      <c r="AB353" s="726"/>
      <c r="AC353" s="170"/>
      <c r="AD353" s="586"/>
      <c r="AE353" s="586"/>
      <c r="AF353" s="170"/>
      <c r="AG353" s="170"/>
      <c r="AH353" s="170"/>
      <c r="AI353" s="170"/>
      <c r="AJ353" s="170"/>
      <c r="AK353" s="170"/>
      <c r="AL353" s="170"/>
      <c r="AM353" s="170"/>
      <c r="AN353" s="170"/>
      <c r="AO353" s="170"/>
      <c r="AP353" s="170"/>
      <c r="AQ353" s="170"/>
      <c r="AR353" s="170"/>
      <c r="AS353" s="170"/>
    </row>
    <row r="354" spans="1:45" ht="15" x14ac:dyDescent="0.25">
      <c r="A354" s="170"/>
      <c r="B354" s="719"/>
      <c r="C354" s="170"/>
      <c r="D354" s="170"/>
      <c r="E354" s="170"/>
      <c r="F354" s="170"/>
      <c r="G354" s="721"/>
      <c r="H354" s="170"/>
      <c r="I354" s="170"/>
      <c r="J354" s="170"/>
      <c r="K354" s="170"/>
      <c r="L354" s="170"/>
      <c r="M354" s="730"/>
      <c r="N354" s="730"/>
      <c r="O354" s="730"/>
      <c r="P354" s="731"/>
      <c r="Q354" s="731"/>
      <c r="R354" s="730"/>
      <c r="S354" s="730"/>
      <c r="T354" s="723"/>
      <c r="U354" s="724"/>
      <c r="V354" s="725"/>
      <c r="W354" s="725"/>
      <c r="X354" s="723"/>
      <c r="Y354" s="723"/>
      <c r="Z354" s="723"/>
      <c r="AA354" s="726"/>
      <c r="AB354" s="726"/>
      <c r="AC354" s="170"/>
      <c r="AD354" s="586"/>
      <c r="AE354" s="586"/>
      <c r="AF354" s="170"/>
      <c r="AG354" s="170"/>
      <c r="AH354" s="170"/>
      <c r="AI354" s="170"/>
      <c r="AJ354" s="170"/>
      <c r="AK354" s="170"/>
      <c r="AL354" s="170"/>
      <c r="AM354" s="170"/>
      <c r="AN354" s="170"/>
      <c r="AO354" s="170"/>
      <c r="AP354" s="170"/>
      <c r="AQ354" s="170"/>
      <c r="AR354" s="170"/>
      <c r="AS354" s="170"/>
    </row>
    <row r="355" spans="1:45" ht="15" x14ac:dyDescent="0.25">
      <c r="A355" s="170"/>
      <c r="B355" s="719"/>
      <c r="C355" s="170"/>
      <c r="D355" s="170"/>
      <c r="E355" s="170"/>
      <c r="F355" s="170"/>
      <c r="G355" s="721"/>
      <c r="H355" s="170"/>
      <c r="I355" s="170"/>
      <c r="J355" s="170"/>
      <c r="K355" s="170"/>
      <c r="L355" s="170"/>
      <c r="M355" s="730"/>
      <c r="N355" s="730"/>
      <c r="O355" s="730"/>
      <c r="P355" s="731"/>
      <c r="Q355" s="731"/>
      <c r="R355" s="730"/>
      <c r="S355" s="730"/>
      <c r="T355" s="723"/>
      <c r="U355" s="724"/>
      <c r="V355" s="725"/>
      <c r="W355" s="725"/>
      <c r="X355" s="723"/>
      <c r="Y355" s="723"/>
      <c r="Z355" s="723"/>
      <c r="AA355" s="726"/>
      <c r="AB355" s="726"/>
      <c r="AC355" s="170"/>
      <c r="AD355" s="586"/>
      <c r="AE355" s="586"/>
      <c r="AF355" s="170"/>
      <c r="AG355" s="170"/>
      <c r="AH355" s="170"/>
      <c r="AI355" s="170"/>
      <c r="AJ355" s="170"/>
      <c r="AK355" s="170"/>
      <c r="AL355" s="170"/>
      <c r="AM355" s="170"/>
      <c r="AN355" s="170"/>
      <c r="AO355" s="170"/>
      <c r="AP355" s="170"/>
      <c r="AQ355" s="170"/>
      <c r="AR355" s="170"/>
      <c r="AS355" s="170"/>
    </row>
    <row r="356" spans="1:45" ht="15" x14ac:dyDescent="0.25">
      <c r="A356" s="170"/>
      <c r="B356" s="719"/>
      <c r="C356" s="170"/>
      <c r="D356" s="170"/>
      <c r="E356" s="170"/>
      <c r="F356" s="170"/>
      <c r="G356" s="721"/>
      <c r="H356" s="170"/>
      <c r="I356" s="170"/>
      <c r="J356" s="170"/>
      <c r="K356" s="170"/>
      <c r="L356" s="170"/>
      <c r="M356" s="730"/>
      <c r="N356" s="730"/>
      <c r="O356" s="730"/>
      <c r="P356" s="731"/>
      <c r="Q356" s="731"/>
      <c r="R356" s="730"/>
      <c r="S356" s="730"/>
      <c r="T356" s="723"/>
      <c r="U356" s="724"/>
      <c r="V356" s="725"/>
      <c r="W356" s="725"/>
      <c r="X356" s="723"/>
      <c r="Y356" s="723"/>
      <c r="Z356" s="723"/>
      <c r="AA356" s="726"/>
      <c r="AB356" s="726"/>
      <c r="AC356" s="170"/>
      <c r="AD356" s="586"/>
      <c r="AE356" s="586"/>
      <c r="AF356" s="170"/>
      <c r="AG356" s="170"/>
      <c r="AH356" s="170"/>
      <c r="AI356" s="170"/>
      <c r="AJ356" s="170"/>
      <c r="AK356" s="170"/>
      <c r="AL356" s="170"/>
      <c r="AM356" s="170"/>
      <c r="AN356" s="170"/>
      <c r="AO356" s="170"/>
      <c r="AP356" s="170"/>
      <c r="AQ356" s="170"/>
      <c r="AR356" s="170"/>
      <c r="AS356" s="170"/>
    </row>
    <row r="357" spans="1:45" ht="15" x14ac:dyDescent="0.25">
      <c r="A357" s="170"/>
      <c r="B357" s="719"/>
      <c r="C357" s="170"/>
      <c r="D357" s="170"/>
      <c r="E357" s="170"/>
      <c r="F357" s="170"/>
      <c r="G357" s="721"/>
      <c r="H357" s="170"/>
      <c r="I357" s="170"/>
      <c r="J357" s="170"/>
      <c r="K357" s="170"/>
      <c r="L357" s="170"/>
      <c r="M357" s="730"/>
      <c r="N357" s="730"/>
      <c r="O357" s="730"/>
      <c r="P357" s="731"/>
      <c r="Q357" s="731"/>
      <c r="R357" s="730"/>
      <c r="S357" s="730"/>
      <c r="T357" s="723"/>
      <c r="U357" s="724"/>
      <c r="V357" s="725"/>
      <c r="W357" s="725"/>
      <c r="X357" s="723"/>
      <c r="Y357" s="723"/>
      <c r="Z357" s="723"/>
      <c r="AA357" s="726"/>
      <c r="AB357" s="726"/>
      <c r="AC357" s="170"/>
      <c r="AD357" s="586"/>
      <c r="AE357" s="586"/>
      <c r="AF357" s="170"/>
      <c r="AG357" s="170"/>
      <c r="AH357" s="170"/>
      <c r="AI357" s="170"/>
      <c r="AJ357" s="170"/>
      <c r="AK357" s="170"/>
      <c r="AL357" s="170"/>
      <c r="AM357" s="170"/>
      <c r="AN357" s="170"/>
      <c r="AO357" s="170"/>
      <c r="AP357" s="170"/>
      <c r="AQ357" s="170"/>
      <c r="AR357" s="170"/>
      <c r="AS357" s="170"/>
    </row>
    <row r="358" spans="1:45" ht="15" x14ac:dyDescent="0.25">
      <c r="A358" s="170"/>
      <c r="B358" s="719"/>
      <c r="C358" s="170"/>
      <c r="D358" s="170"/>
      <c r="E358" s="170"/>
      <c r="F358" s="170"/>
      <c r="G358" s="721"/>
      <c r="H358" s="170"/>
      <c r="I358" s="170"/>
      <c r="J358" s="170"/>
      <c r="K358" s="170"/>
      <c r="L358" s="170"/>
      <c r="M358" s="730"/>
      <c r="N358" s="730"/>
      <c r="O358" s="730"/>
      <c r="P358" s="731"/>
      <c r="Q358" s="731"/>
      <c r="R358" s="730"/>
      <c r="S358" s="730"/>
      <c r="T358" s="723"/>
      <c r="U358" s="724"/>
      <c r="V358" s="725"/>
      <c r="W358" s="725"/>
      <c r="X358" s="723"/>
      <c r="Y358" s="723"/>
      <c r="Z358" s="723"/>
      <c r="AA358" s="726"/>
      <c r="AB358" s="726"/>
      <c r="AC358" s="170"/>
      <c r="AD358" s="586"/>
      <c r="AE358" s="586"/>
      <c r="AF358" s="170"/>
      <c r="AG358" s="170"/>
      <c r="AH358" s="170"/>
      <c r="AI358" s="170"/>
      <c r="AJ358" s="170"/>
      <c r="AK358" s="170"/>
      <c r="AL358" s="170"/>
      <c r="AM358" s="170"/>
      <c r="AN358" s="170"/>
      <c r="AO358" s="170"/>
      <c r="AP358" s="170"/>
      <c r="AQ358" s="170"/>
      <c r="AR358" s="170"/>
      <c r="AS358" s="170"/>
    </row>
    <row r="359" spans="1:45" ht="15" x14ac:dyDescent="0.25">
      <c r="A359" s="170"/>
      <c r="B359" s="719"/>
      <c r="C359" s="170"/>
      <c r="D359" s="170"/>
      <c r="E359" s="170"/>
      <c r="F359" s="170"/>
      <c r="G359" s="721"/>
      <c r="H359" s="170"/>
      <c r="I359" s="170"/>
      <c r="J359" s="170"/>
      <c r="K359" s="170"/>
      <c r="L359" s="170"/>
      <c r="M359" s="730"/>
      <c r="N359" s="730"/>
      <c r="O359" s="730"/>
      <c r="P359" s="731"/>
      <c r="Q359" s="731"/>
      <c r="R359" s="730"/>
      <c r="S359" s="730"/>
      <c r="T359" s="723"/>
      <c r="U359" s="724"/>
      <c r="V359" s="725"/>
      <c r="W359" s="725"/>
      <c r="X359" s="723"/>
      <c r="Y359" s="723"/>
      <c r="Z359" s="723"/>
      <c r="AA359" s="726"/>
      <c r="AB359" s="726"/>
      <c r="AC359" s="170"/>
      <c r="AD359" s="586"/>
      <c r="AE359" s="586"/>
      <c r="AF359" s="170"/>
      <c r="AG359" s="170"/>
      <c r="AH359" s="170"/>
      <c r="AI359" s="170"/>
      <c r="AJ359" s="170"/>
      <c r="AK359" s="170"/>
      <c r="AL359" s="170"/>
      <c r="AM359" s="170"/>
      <c r="AN359" s="170"/>
      <c r="AO359" s="170"/>
      <c r="AP359" s="170"/>
      <c r="AQ359" s="170"/>
      <c r="AR359" s="170"/>
      <c r="AS359" s="170"/>
    </row>
    <row r="360" spans="1:45" ht="15" x14ac:dyDescent="0.25">
      <c r="A360" s="170"/>
      <c r="B360" s="719"/>
      <c r="C360" s="170"/>
      <c r="D360" s="170"/>
      <c r="E360" s="170"/>
      <c r="F360" s="170"/>
      <c r="G360" s="721"/>
      <c r="H360" s="170"/>
      <c r="I360" s="170"/>
      <c r="J360" s="170"/>
      <c r="K360" s="170"/>
      <c r="L360" s="170"/>
      <c r="M360" s="730"/>
      <c r="N360" s="730"/>
      <c r="O360" s="730"/>
      <c r="P360" s="731"/>
      <c r="Q360" s="731"/>
      <c r="R360" s="730"/>
      <c r="S360" s="730"/>
      <c r="T360" s="723"/>
      <c r="U360" s="724"/>
      <c r="V360" s="725"/>
      <c r="W360" s="725"/>
      <c r="X360" s="723"/>
      <c r="Y360" s="723"/>
      <c r="Z360" s="723"/>
      <c r="AA360" s="726"/>
      <c r="AB360" s="726"/>
      <c r="AC360" s="170"/>
      <c r="AD360" s="586"/>
      <c r="AE360" s="586"/>
      <c r="AF360" s="170"/>
      <c r="AG360" s="170"/>
      <c r="AH360" s="170"/>
      <c r="AI360" s="170"/>
      <c r="AJ360" s="170"/>
      <c r="AK360" s="170"/>
      <c r="AL360" s="170"/>
      <c r="AM360" s="170"/>
      <c r="AN360" s="170"/>
      <c r="AO360" s="170"/>
      <c r="AP360" s="170"/>
      <c r="AQ360" s="170"/>
      <c r="AR360" s="170"/>
      <c r="AS360" s="170"/>
    </row>
    <row r="361" spans="1:45" ht="15" x14ac:dyDescent="0.25">
      <c r="A361" s="170"/>
      <c r="B361" s="719"/>
      <c r="C361" s="170"/>
      <c r="D361" s="170"/>
      <c r="E361" s="170"/>
      <c r="F361" s="170"/>
      <c r="G361" s="721"/>
      <c r="H361" s="170"/>
      <c r="I361" s="170"/>
      <c r="J361" s="170"/>
      <c r="K361" s="170"/>
      <c r="L361" s="170"/>
      <c r="M361" s="730"/>
      <c r="N361" s="730"/>
      <c r="O361" s="730"/>
      <c r="P361" s="731"/>
      <c r="Q361" s="731"/>
      <c r="R361" s="730"/>
      <c r="S361" s="730"/>
      <c r="T361" s="723"/>
      <c r="U361" s="724"/>
      <c r="V361" s="725"/>
      <c r="W361" s="725"/>
      <c r="X361" s="723"/>
      <c r="Y361" s="723"/>
      <c r="Z361" s="723"/>
      <c r="AA361" s="726"/>
      <c r="AB361" s="726"/>
      <c r="AC361" s="170"/>
      <c r="AD361" s="586"/>
      <c r="AE361" s="586"/>
      <c r="AF361" s="170"/>
      <c r="AG361" s="170"/>
      <c r="AH361" s="170"/>
      <c r="AI361" s="170"/>
      <c r="AJ361" s="170"/>
      <c r="AK361" s="170"/>
      <c r="AL361" s="170"/>
      <c r="AM361" s="170"/>
      <c r="AN361" s="170"/>
      <c r="AO361" s="170"/>
      <c r="AP361" s="170"/>
      <c r="AQ361" s="170"/>
      <c r="AR361" s="170"/>
      <c r="AS361" s="170"/>
    </row>
    <row r="362" spans="1:45" ht="15" x14ac:dyDescent="0.25">
      <c r="A362" s="170"/>
      <c r="B362" s="719"/>
      <c r="C362" s="170"/>
      <c r="D362" s="170"/>
      <c r="E362" s="170"/>
      <c r="F362" s="170"/>
      <c r="G362" s="721"/>
      <c r="H362" s="170"/>
      <c r="I362" s="170"/>
      <c r="J362" s="170"/>
      <c r="K362" s="170"/>
      <c r="L362" s="170"/>
      <c r="M362" s="730"/>
      <c r="N362" s="730"/>
      <c r="O362" s="730"/>
      <c r="P362" s="731"/>
      <c r="Q362" s="731"/>
      <c r="R362" s="730"/>
      <c r="S362" s="730"/>
      <c r="T362" s="723"/>
      <c r="U362" s="724"/>
      <c r="V362" s="725"/>
      <c r="W362" s="725"/>
      <c r="X362" s="723"/>
      <c r="Y362" s="723"/>
      <c r="Z362" s="723"/>
      <c r="AA362" s="726"/>
      <c r="AB362" s="726"/>
      <c r="AC362" s="170"/>
      <c r="AD362" s="586"/>
      <c r="AE362" s="586"/>
      <c r="AF362" s="170"/>
      <c r="AG362" s="170"/>
      <c r="AH362" s="170"/>
      <c r="AI362" s="170"/>
      <c r="AJ362" s="170"/>
      <c r="AK362" s="170"/>
      <c r="AL362" s="170"/>
      <c r="AM362" s="170"/>
      <c r="AN362" s="170"/>
      <c r="AO362" s="170"/>
      <c r="AP362" s="170"/>
      <c r="AQ362" s="170"/>
      <c r="AR362" s="170"/>
      <c r="AS362" s="170"/>
    </row>
    <row r="363" spans="1:45" ht="15" x14ac:dyDescent="0.25">
      <c r="A363" s="170"/>
      <c r="B363" s="719"/>
      <c r="C363" s="170"/>
      <c r="D363" s="170"/>
      <c r="E363" s="170"/>
      <c r="F363" s="170"/>
      <c r="G363" s="721"/>
      <c r="H363" s="170"/>
      <c r="I363" s="170"/>
      <c r="J363" s="170"/>
      <c r="K363" s="170"/>
      <c r="L363" s="170"/>
      <c r="M363" s="730"/>
      <c r="N363" s="730"/>
      <c r="O363" s="730"/>
      <c r="P363" s="731"/>
      <c r="Q363" s="731"/>
      <c r="R363" s="730"/>
      <c r="S363" s="730"/>
      <c r="T363" s="723"/>
      <c r="U363" s="724"/>
      <c r="V363" s="725"/>
      <c r="W363" s="725"/>
      <c r="X363" s="723"/>
      <c r="Y363" s="723"/>
      <c r="Z363" s="723"/>
      <c r="AA363" s="726"/>
      <c r="AB363" s="726"/>
      <c r="AC363" s="170"/>
      <c r="AD363" s="586"/>
      <c r="AE363" s="586"/>
      <c r="AF363" s="170"/>
      <c r="AG363" s="170"/>
      <c r="AH363" s="170"/>
      <c r="AI363" s="170"/>
      <c r="AJ363" s="170"/>
      <c r="AK363" s="170"/>
      <c r="AL363" s="170"/>
      <c r="AM363" s="170"/>
      <c r="AN363" s="170"/>
      <c r="AO363" s="170"/>
      <c r="AP363" s="170"/>
      <c r="AQ363" s="170"/>
      <c r="AR363" s="170"/>
      <c r="AS363" s="170"/>
    </row>
    <row r="364" spans="1:45" ht="15" x14ac:dyDescent="0.25">
      <c r="A364" s="170"/>
      <c r="B364" s="719"/>
      <c r="C364" s="170"/>
      <c r="D364" s="170"/>
      <c r="E364" s="170"/>
      <c r="F364" s="170"/>
      <c r="G364" s="721"/>
      <c r="H364" s="170"/>
      <c r="I364" s="170"/>
      <c r="J364" s="170"/>
      <c r="K364" s="170"/>
      <c r="L364" s="170"/>
      <c r="M364" s="730"/>
      <c r="N364" s="730"/>
      <c r="O364" s="730"/>
      <c r="P364" s="731"/>
      <c r="Q364" s="731"/>
      <c r="R364" s="730"/>
      <c r="S364" s="730"/>
      <c r="T364" s="723"/>
      <c r="U364" s="724"/>
      <c r="V364" s="725"/>
      <c r="W364" s="725"/>
      <c r="X364" s="723"/>
      <c r="Y364" s="723"/>
      <c r="Z364" s="723"/>
      <c r="AA364" s="726"/>
      <c r="AB364" s="726"/>
      <c r="AC364" s="170"/>
      <c r="AD364" s="586"/>
      <c r="AE364" s="586"/>
      <c r="AF364" s="170"/>
      <c r="AG364" s="170"/>
      <c r="AH364" s="170"/>
      <c r="AI364" s="170"/>
      <c r="AJ364" s="170"/>
      <c r="AK364" s="170"/>
      <c r="AL364" s="170"/>
      <c r="AM364" s="170"/>
      <c r="AN364" s="170"/>
      <c r="AO364" s="170"/>
      <c r="AP364" s="170"/>
      <c r="AQ364" s="170"/>
      <c r="AR364" s="170"/>
      <c r="AS364" s="170"/>
    </row>
    <row r="365" spans="1:45" ht="15" x14ac:dyDescent="0.25">
      <c r="A365" s="170"/>
      <c r="B365" s="719"/>
      <c r="C365" s="170"/>
      <c r="D365" s="170"/>
      <c r="E365" s="170"/>
      <c r="F365" s="170"/>
      <c r="G365" s="721"/>
      <c r="H365" s="170"/>
      <c r="I365" s="170"/>
      <c r="J365" s="170"/>
      <c r="K365" s="170"/>
      <c r="L365" s="170"/>
      <c r="M365" s="730"/>
      <c r="N365" s="730"/>
      <c r="O365" s="730"/>
      <c r="P365" s="731"/>
      <c r="Q365" s="731"/>
      <c r="R365" s="730"/>
      <c r="S365" s="730"/>
      <c r="T365" s="723"/>
      <c r="U365" s="724"/>
      <c r="V365" s="725"/>
      <c r="W365" s="725"/>
      <c r="X365" s="723"/>
      <c r="Y365" s="723"/>
      <c r="Z365" s="723"/>
      <c r="AA365" s="726"/>
      <c r="AB365" s="726"/>
      <c r="AC365" s="170"/>
      <c r="AD365" s="586"/>
      <c r="AE365" s="586"/>
      <c r="AF365" s="170"/>
      <c r="AG365" s="170"/>
      <c r="AH365" s="170"/>
      <c r="AI365" s="170"/>
      <c r="AJ365" s="170"/>
      <c r="AK365" s="170"/>
      <c r="AL365" s="170"/>
      <c r="AM365" s="170"/>
      <c r="AN365" s="170"/>
      <c r="AO365" s="170"/>
      <c r="AP365" s="170"/>
      <c r="AQ365" s="170"/>
      <c r="AR365" s="170"/>
      <c r="AS365" s="170"/>
    </row>
    <row r="366" spans="1:45" ht="15" x14ac:dyDescent="0.25">
      <c r="A366" s="170"/>
      <c r="B366" s="719"/>
      <c r="C366" s="170"/>
      <c r="D366" s="170"/>
      <c r="E366" s="170"/>
      <c r="F366" s="170"/>
      <c r="G366" s="721"/>
      <c r="H366" s="170"/>
      <c r="I366" s="170"/>
      <c r="J366" s="170"/>
      <c r="K366" s="170"/>
      <c r="L366" s="170"/>
      <c r="M366" s="730"/>
      <c r="N366" s="730"/>
      <c r="O366" s="730"/>
      <c r="P366" s="731"/>
      <c r="Q366" s="731"/>
      <c r="R366" s="730"/>
      <c r="S366" s="730"/>
      <c r="T366" s="723"/>
      <c r="U366" s="724"/>
      <c r="V366" s="725"/>
      <c r="W366" s="725"/>
      <c r="X366" s="723"/>
      <c r="Y366" s="723"/>
      <c r="Z366" s="723"/>
      <c r="AA366" s="726"/>
      <c r="AB366" s="726"/>
      <c r="AC366" s="170"/>
      <c r="AD366" s="586"/>
      <c r="AE366" s="586"/>
      <c r="AF366" s="170"/>
      <c r="AG366" s="170"/>
      <c r="AH366" s="170"/>
      <c r="AI366" s="170"/>
      <c r="AJ366" s="170"/>
      <c r="AK366" s="170"/>
      <c r="AL366" s="170"/>
      <c r="AM366" s="170"/>
      <c r="AN366" s="170"/>
      <c r="AO366" s="170"/>
      <c r="AP366" s="170"/>
      <c r="AQ366" s="170"/>
      <c r="AR366" s="170"/>
      <c r="AS366" s="170"/>
    </row>
    <row r="367" spans="1:45" ht="15" x14ac:dyDescent="0.25">
      <c r="A367" s="170"/>
      <c r="B367" s="719"/>
      <c r="C367" s="170"/>
      <c r="D367" s="170"/>
      <c r="E367" s="170"/>
      <c r="F367" s="170"/>
      <c r="G367" s="721"/>
      <c r="H367" s="170"/>
      <c r="I367" s="170"/>
      <c r="J367" s="170"/>
      <c r="K367" s="170"/>
      <c r="L367" s="170"/>
      <c r="M367" s="730"/>
      <c r="N367" s="730"/>
      <c r="O367" s="730"/>
      <c r="P367" s="731"/>
      <c r="Q367" s="731"/>
      <c r="R367" s="730"/>
      <c r="S367" s="730"/>
      <c r="T367" s="723"/>
      <c r="U367" s="724"/>
      <c r="V367" s="725"/>
      <c r="W367" s="725"/>
      <c r="X367" s="723"/>
      <c r="Y367" s="723"/>
      <c r="Z367" s="723"/>
      <c r="AA367" s="726"/>
      <c r="AB367" s="726"/>
      <c r="AC367" s="170"/>
      <c r="AD367" s="586"/>
      <c r="AE367" s="586"/>
      <c r="AF367" s="170"/>
      <c r="AG367" s="170"/>
      <c r="AH367" s="170"/>
      <c r="AI367" s="170"/>
      <c r="AJ367" s="170"/>
      <c r="AK367" s="170"/>
      <c r="AL367" s="170"/>
      <c r="AM367" s="170"/>
      <c r="AN367" s="170"/>
      <c r="AO367" s="170"/>
      <c r="AP367" s="170"/>
      <c r="AQ367" s="170"/>
      <c r="AR367" s="170"/>
      <c r="AS367" s="170"/>
    </row>
    <row r="368" spans="1:45" ht="15" x14ac:dyDescent="0.25">
      <c r="A368" s="170"/>
      <c r="B368" s="719"/>
      <c r="C368" s="170"/>
      <c r="D368" s="170"/>
      <c r="E368" s="170"/>
      <c r="F368" s="170"/>
      <c r="G368" s="721"/>
      <c r="H368" s="170"/>
      <c r="I368" s="170"/>
      <c r="J368" s="170"/>
      <c r="K368" s="170"/>
      <c r="L368" s="170"/>
      <c r="M368" s="730"/>
      <c r="N368" s="730"/>
      <c r="O368" s="730"/>
      <c r="P368" s="731"/>
      <c r="Q368" s="731"/>
      <c r="R368" s="730"/>
      <c r="S368" s="730"/>
      <c r="T368" s="723"/>
      <c r="U368" s="724"/>
      <c r="V368" s="725"/>
      <c r="W368" s="725"/>
      <c r="X368" s="723"/>
      <c r="Y368" s="723"/>
      <c r="Z368" s="723"/>
      <c r="AA368" s="726"/>
      <c r="AB368" s="726"/>
      <c r="AC368" s="170"/>
      <c r="AD368" s="586"/>
      <c r="AE368" s="586"/>
      <c r="AF368" s="170"/>
      <c r="AG368" s="170"/>
      <c r="AH368" s="170"/>
      <c r="AI368" s="170"/>
      <c r="AJ368" s="170"/>
      <c r="AK368" s="170"/>
      <c r="AL368" s="170"/>
      <c r="AM368" s="170"/>
      <c r="AN368" s="170"/>
      <c r="AO368" s="170"/>
      <c r="AP368" s="170"/>
      <c r="AQ368" s="170"/>
      <c r="AR368" s="170"/>
      <c r="AS368" s="170"/>
    </row>
    <row r="369" spans="1:45" ht="15" x14ac:dyDescent="0.25">
      <c r="A369" s="170"/>
      <c r="B369" s="719"/>
      <c r="C369" s="170"/>
      <c r="D369" s="170"/>
      <c r="E369" s="170"/>
      <c r="F369" s="170"/>
      <c r="G369" s="721"/>
      <c r="H369" s="170"/>
      <c r="I369" s="170"/>
      <c r="J369" s="170"/>
      <c r="K369" s="170"/>
      <c r="L369" s="170"/>
      <c r="M369" s="730"/>
      <c r="N369" s="730"/>
      <c r="O369" s="730"/>
      <c r="P369" s="731"/>
      <c r="Q369" s="731"/>
      <c r="R369" s="730"/>
      <c r="S369" s="730"/>
      <c r="T369" s="723"/>
      <c r="U369" s="724"/>
      <c r="V369" s="725"/>
      <c r="W369" s="725"/>
      <c r="X369" s="723"/>
      <c r="Y369" s="723"/>
      <c r="Z369" s="723"/>
      <c r="AA369" s="726"/>
      <c r="AB369" s="726"/>
      <c r="AC369" s="170"/>
      <c r="AD369" s="586"/>
      <c r="AE369" s="586"/>
      <c r="AF369" s="170"/>
      <c r="AG369" s="170"/>
      <c r="AH369" s="170"/>
      <c r="AI369" s="170"/>
      <c r="AJ369" s="170"/>
      <c r="AK369" s="170"/>
      <c r="AL369" s="170"/>
      <c r="AM369" s="170"/>
      <c r="AN369" s="170"/>
      <c r="AO369" s="170"/>
      <c r="AP369" s="170"/>
      <c r="AQ369" s="170"/>
      <c r="AR369" s="170"/>
      <c r="AS369" s="170"/>
    </row>
    <row r="370" spans="1:45" ht="15" x14ac:dyDescent="0.25">
      <c r="A370" s="170"/>
      <c r="B370" s="719"/>
      <c r="C370" s="170"/>
      <c r="D370" s="170"/>
      <c r="E370" s="170"/>
      <c r="F370" s="170"/>
      <c r="G370" s="721"/>
      <c r="H370" s="170"/>
      <c r="I370" s="170"/>
      <c r="J370" s="170"/>
      <c r="K370" s="170"/>
      <c r="L370" s="170"/>
      <c r="M370" s="730"/>
      <c r="N370" s="730"/>
      <c r="O370" s="730"/>
      <c r="P370" s="731"/>
      <c r="Q370" s="731"/>
      <c r="R370" s="730"/>
      <c r="S370" s="730"/>
      <c r="T370" s="723"/>
      <c r="U370" s="724"/>
      <c r="V370" s="725"/>
      <c r="W370" s="725"/>
      <c r="X370" s="723"/>
      <c r="Y370" s="723"/>
      <c r="Z370" s="723"/>
      <c r="AA370" s="726"/>
      <c r="AB370" s="726"/>
      <c r="AC370" s="170"/>
      <c r="AD370" s="586"/>
      <c r="AE370" s="586"/>
      <c r="AF370" s="170"/>
      <c r="AG370" s="170"/>
      <c r="AH370" s="170"/>
      <c r="AI370" s="170"/>
      <c r="AJ370" s="170"/>
      <c r="AK370" s="170"/>
      <c r="AL370" s="170"/>
      <c r="AM370" s="170"/>
      <c r="AN370" s="170"/>
      <c r="AO370" s="170"/>
      <c r="AP370" s="170"/>
      <c r="AQ370" s="170"/>
      <c r="AR370" s="170"/>
      <c r="AS370" s="170"/>
    </row>
    <row r="371" spans="1:45" ht="15" x14ac:dyDescent="0.25">
      <c r="A371" s="170"/>
      <c r="B371" s="719"/>
      <c r="C371" s="170"/>
      <c r="D371" s="170"/>
      <c r="E371" s="170"/>
      <c r="F371" s="170"/>
      <c r="G371" s="721"/>
      <c r="H371" s="170"/>
      <c r="I371" s="170"/>
      <c r="J371" s="170"/>
      <c r="K371" s="170"/>
      <c r="L371" s="170"/>
      <c r="M371" s="730"/>
      <c r="N371" s="730"/>
      <c r="O371" s="730"/>
      <c r="P371" s="731"/>
      <c r="Q371" s="731"/>
      <c r="R371" s="730"/>
      <c r="S371" s="730"/>
      <c r="T371" s="723"/>
      <c r="U371" s="724"/>
      <c r="V371" s="725"/>
      <c r="W371" s="725"/>
      <c r="X371" s="723"/>
      <c r="Y371" s="723"/>
      <c r="Z371" s="723"/>
      <c r="AA371" s="726"/>
      <c r="AB371" s="726"/>
      <c r="AC371" s="170"/>
      <c r="AD371" s="586"/>
      <c r="AE371" s="586"/>
      <c r="AF371" s="170"/>
      <c r="AG371" s="170"/>
      <c r="AH371" s="170"/>
      <c r="AI371" s="170"/>
      <c r="AJ371" s="170"/>
      <c r="AK371" s="170"/>
      <c r="AL371" s="170"/>
      <c r="AM371" s="170"/>
      <c r="AN371" s="170"/>
      <c r="AO371" s="170"/>
      <c r="AP371" s="170"/>
      <c r="AQ371" s="170"/>
      <c r="AR371" s="170"/>
      <c r="AS371" s="170"/>
    </row>
    <row r="372" spans="1:45" ht="15" x14ac:dyDescent="0.25">
      <c r="A372" s="170"/>
      <c r="B372" s="719"/>
      <c r="C372" s="170"/>
      <c r="D372" s="170"/>
      <c r="E372" s="170"/>
      <c r="F372" s="170"/>
      <c r="G372" s="721"/>
      <c r="H372" s="170"/>
      <c r="I372" s="170"/>
      <c r="J372" s="170"/>
      <c r="K372" s="170"/>
      <c r="L372" s="170"/>
      <c r="M372" s="730"/>
      <c r="N372" s="730"/>
      <c r="O372" s="730"/>
      <c r="P372" s="731"/>
      <c r="Q372" s="731"/>
      <c r="R372" s="730"/>
      <c r="S372" s="730"/>
      <c r="T372" s="723"/>
      <c r="U372" s="724"/>
      <c r="V372" s="725"/>
      <c r="W372" s="725"/>
      <c r="X372" s="723"/>
      <c r="Y372" s="723"/>
      <c r="Z372" s="723"/>
      <c r="AA372" s="726"/>
      <c r="AB372" s="726"/>
      <c r="AC372" s="170"/>
      <c r="AD372" s="586"/>
      <c r="AE372" s="586"/>
      <c r="AF372" s="170"/>
      <c r="AG372" s="170"/>
      <c r="AH372" s="170"/>
      <c r="AI372" s="170"/>
      <c r="AJ372" s="170"/>
      <c r="AK372" s="170"/>
      <c r="AL372" s="170"/>
      <c r="AM372" s="170"/>
      <c r="AN372" s="170"/>
      <c r="AO372" s="170"/>
      <c r="AP372" s="170"/>
      <c r="AQ372" s="170"/>
      <c r="AR372" s="170"/>
      <c r="AS372" s="170"/>
    </row>
    <row r="373" spans="1:45" ht="15" x14ac:dyDescent="0.25">
      <c r="A373" s="170"/>
      <c r="B373" s="719"/>
      <c r="C373" s="170"/>
      <c r="D373" s="170"/>
      <c r="E373" s="170"/>
      <c r="F373" s="170"/>
      <c r="G373" s="721"/>
      <c r="H373" s="170"/>
      <c r="I373" s="170"/>
      <c r="J373" s="170"/>
      <c r="K373" s="170"/>
      <c r="L373" s="170"/>
      <c r="M373" s="730"/>
      <c r="N373" s="730"/>
      <c r="O373" s="730"/>
      <c r="P373" s="731"/>
      <c r="Q373" s="731"/>
      <c r="R373" s="730"/>
      <c r="S373" s="730"/>
      <c r="T373" s="723"/>
      <c r="U373" s="724"/>
      <c r="V373" s="725"/>
      <c r="W373" s="725"/>
      <c r="X373" s="723"/>
      <c r="Y373" s="723"/>
      <c r="Z373" s="723"/>
      <c r="AA373" s="726"/>
      <c r="AB373" s="726"/>
      <c r="AC373" s="170"/>
      <c r="AD373" s="586"/>
      <c r="AE373" s="586"/>
      <c r="AF373" s="170"/>
      <c r="AG373" s="170"/>
      <c r="AH373" s="170"/>
      <c r="AI373" s="170"/>
      <c r="AJ373" s="170"/>
      <c r="AK373" s="170"/>
      <c r="AL373" s="170"/>
      <c r="AM373" s="170"/>
      <c r="AN373" s="170"/>
      <c r="AO373" s="170"/>
      <c r="AP373" s="170"/>
      <c r="AQ373" s="170"/>
      <c r="AR373" s="170"/>
      <c r="AS373" s="170"/>
    </row>
    <row r="374" spans="1:45" ht="15" x14ac:dyDescent="0.25">
      <c r="A374" s="170"/>
      <c r="B374" s="719"/>
      <c r="C374" s="170"/>
      <c r="D374" s="170"/>
      <c r="E374" s="170"/>
      <c r="F374" s="170"/>
      <c r="G374" s="721"/>
      <c r="H374" s="170"/>
      <c r="I374" s="170"/>
      <c r="J374" s="170"/>
      <c r="K374" s="170"/>
      <c r="L374" s="170"/>
      <c r="M374" s="730"/>
      <c r="N374" s="730"/>
      <c r="O374" s="730"/>
      <c r="P374" s="731"/>
      <c r="Q374" s="731"/>
      <c r="R374" s="730"/>
      <c r="S374" s="730"/>
      <c r="T374" s="723"/>
      <c r="U374" s="724"/>
      <c r="V374" s="725"/>
      <c r="W374" s="725"/>
      <c r="X374" s="723"/>
      <c r="Y374" s="723"/>
      <c r="Z374" s="723"/>
      <c r="AA374" s="726"/>
      <c r="AB374" s="726"/>
      <c r="AC374" s="170"/>
      <c r="AD374" s="586"/>
      <c r="AE374" s="586"/>
      <c r="AF374" s="170"/>
      <c r="AG374" s="170"/>
      <c r="AH374" s="170"/>
      <c r="AI374" s="170"/>
      <c r="AJ374" s="170"/>
      <c r="AK374" s="170"/>
      <c r="AL374" s="170"/>
      <c r="AM374" s="170"/>
      <c r="AN374" s="170"/>
      <c r="AO374" s="170"/>
      <c r="AP374" s="170"/>
      <c r="AQ374" s="170"/>
      <c r="AR374" s="170"/>
      <c r="AS374" s="170"/>
    </row>
    <row r="375" spans="1:45" ht="15" x14ac:dyDescent="0.25">
      <c r="A375" s="170"/>
      <c r="B375" s="719"/>
      <c r="C375" s="170"/>
      <c r="D375" s="170"/>
      <c r="E375" s="170"/>
      <c r="F375" s="170"/>
      <c r="G375" s="721"/>
      <c r="H375" s="170"/>
      <c r="I375" s="170"/>
      <c r="J375" s="170"/>
      <c r="K375" s="170"/>
      <c r="L375" s="170"/>
      <c r="M375" s="730"/>
      <c r="N375" s="730"/>
      <c r="O375" s="730"/>
      <c r="P375" s="731"/>
      <c r="Q375" s="731"/>
      <c r="R375" s="730"/>
      <c r="S375" s="730"/>
      <c r="T375" s="723"/>
      <c r="U375" s="724"/>
      <c r="V375" s="725"/>
      <c r="W375" s="725"/>
      <c r="X375" s="723"/>
      <c r="Y375" s="723"/>
      <c r="Z375" s="723"/>
      <c r="AA375" s="726"/>
      <c r="AB375" s="726"/>
      <c r="AC375" s="170"/>
      <c r="AD375" s="586"/>
      <c r="AE375" s="586"/>
      <c r="AF375" s="170"/>
      <c r="AG375" s="170"/>
      <c r="AH375" s="170"/>
      <c r="AI375" s="170"/>
      <c r="AJ375" s="170"/>
      <c r="AK375" s="170"/>
      <c r="AL375" s="170"/>
      <c r="AM375" s="170"/>
      <c r="AN375" s="170"/>
      <c r="AO375" s="170"/>
      <c r="AP375" s="170"/>
      <c r="AQ375" s="170"/>
      <c r="AR375" s="170"/>
      <c r="AS375" s="170"/>
    </row>
    <row r="376" spans="1:45" ht="15" x14ac:dyDescent="0.25">
      <c r="A376" s="170"/>
      <c r="B376" s="719"/>
      <c r="C376" s="170"/>
      <c r="D376" s="170"/>
      <c r="E376" s="170"/>
      <c r="F376" s="170"/>
      <c r="G376" s="721"/>
      <c r="H376" s="170"/>
      <c r="I376" s="170"/>
      <c r="J376" s="170"/>
      <c r="K376" s="170"/>
      <c r="L376" s="170"/>
      <c r="M376" s="730"/>
      <c r="N376" s="730"/>
      <c r="O376" s="730"/>
      <c r="P376" s="731"/>
      <c r="Q376" s="731"/>
      <c r="R376" s="730"/>
      <c r="S376" s="730"/>
      <c r="T376" s="723"/>
      <c r="U376" s="724"/>
      <c r="V376" s="725"/>
      <c r="W376" s="725"/>
      <c r="X376" s="723"/>
      <c r="Y376" s="723"/>
      <c r="Z376" s="723"/>
      <c r="AA376" s="726"/>
      <c r="AB376" s="726"/>
      <c r="AC376" s="170"/>
      <c r="AD376" s="586"/>
      <c r="AE376" s="586"/>
      <c r="AF376" s="170"/>
      <c r="AG376" s="170"/>
      <c r="AH376" s="170"/>
      <c r="AI376" s="170"/>
      <c r="AJ376" s="170"/>
      <c r="AK376" s="170"/>
      <c r="AL376" s="170"/>
      <c r="AM376" s="170"/>
      <c r="AN376" s="170"/>
      <c r="AO376" s="170"/>
      <c r="AP376" s="170"/>
      <c r="AQ376" s="170"/>
      <c r="AR376" s="170"/>
      <c r="AS376" s="170"/>
    </row>
    <row r="377" spans="1:45" ht="15" x14ac:dyDescent="0.25">
      <c r="A377" s="170"/>
      <c r="B377" s="719"/>
      <c r="C377" s="170"/>
      <c r="D377" s="170"/>
      <c r="E377" s="170"/>
      <c r="F377" s="170"/>
      <c r="G377" s="721"/>
      <c r="H377" s="170"/>
      <c r="I377" s="170"/>
      <c r="J377" s="170"/>
      <c r="K377" s="170"/>
      <c r="L377" s="170"/>
      <c r="M377" s="730"/>
      <c r="N377" s="730"/>
      <c r="O377" s="730"/>
      <c r="P377" s="731"/>
      <c r="Q377" s="731"/>
      <c r="R377" s="730"/>
      <c r="S377" s="730"/>
      <c r="T377" s="723"/>
      <c r="U377" s="724"/>
      <c r="V377" s="725"/>
      <c r="W377" s="725"/>
      <c r="X377" s="723"/>
      <c r="Y377" s="723"/>
      <c r="Z377" s="723"/>
      <c r="AA377" s="726"/>
      <c r="AB377" s="726"/>
      <c r="AC377" s="170"/>
      <c r="AD377" s="586"/>
      <c r="AE377" s="586"/>
      <c r="AF377" s="170"/>
      <c r="AG377" s="170"/>
      <c r="AH377" s="170"/>
      <c r="AI377" s="170"/>
      <c r="AJ377" s="170"/>
      <c r="AK377" s="170"/>
      <c r="AL377" s="170"/>
      <c r="AM377" s="170"/>
      <c r="AN377" s="170"/>
      <c r="AO377" s="170"/>
      <c r="AP377" s="170"/>
      <c r="AQ377" s="170"/>
      <c r="AR377" s="170"/>
      <c r="AS377" s="170"/>
    </row>
    <row r="378" spans="1:45" ht="15" x14ac:dyDescent="0.25">
      <c r="A378" s="170"/>
      <c r="B378" s="719"/>
      <c r="C378" s="170"/>
      <c r="D378" s="170"/>
      <c r="E378" s="170"/>
      <c r="F378" s="170"/>
      <c r="G378" s="721"/>
      <c r="H378" s="170"/>
      <c r="I378" s="170"/>
      <c r="J378" s="170"/>
      <c r="K378" s="170"/>
      <c r="L378" s="170"/>
      <c r="M378" s="730"/>
      <c r="N378" s="730"/>
      <c r="O378" s="730"/>
      <c r="P378" s="731"/>
      <c r="Q378" s="731"/>
      <c r="R378" s="730"/>
      <c r="S378" s="730"/>
      <c r="T378" s="723"/>
      <c r="U378" s="724"/>
      <c r="V378" s="725"/>
      <c r="W378" s="725"/>
      <c r="X378" s="723"/>
      <c r="Y378" s="723"/>
      <c r="Z378" s="723"/>
      <c r="AA378" s="726"/>
      <c r="AB378" s="726"/>
      <c r="AC378" s="170"/>
      <c r="AD378" s="586"/>
      <c r="AE378" s="586"/>
      <c r="AF378" s="170"/>
      <c r="AG378" s="170"/>
      <c r="AH378" s="170"/>
      <c r="AI378" s="170"/>
      <c r="AJ378" s="170"/>
      <c r="AK378" s="170"/>
      <c r="AL378" s="170"/>
      <c r="AM378" s="170"/>
      <c r="AN378" s="170"/>
      <c r="AO378" s="170"/>
      <c r="AP378" s="170"/>
      <c r="AQ378" s="170"/>
      <c r="AR378" s="170"/>
      <c r="AS378" s="170"/>
    </row>
    <row r="379" spans="1:45" ht="15" x14ac:dyDescent="0.25">
      <c r="A379" s="170"/>
      <c r="B379" s="719"/>
      <c r="C379" s="170"/>
      <c r="D379" s="170"/>
      <c r="E379" s="170"/>
      <c r="F379" s="170"/>
      <c r="G379" s="721"/>
      <c r="H379" s="170"/>
      <c r="I379" s="170"/>
      <c r="J379" s="170"/>
      <c r="K379" s="170"/>
      <c r="L379" s="170"/>
      <c r="M379" s="730"/>
      <c r="N379" s="730"/>
      <c r="O379" s="730"/>
      <c r="P379" s="731"/>
      <c r="Q379" s="731"/>
      <c r="R379" s="730"/>
      <c r="S379" s="730"/>
      <c r="T379" s="723"/>
      <c r="U379" s="724"/>
      <c r="V379" s="725"/>
      <c r="W379" s="725"/>
      <c r="X379" s="723"/>
      <c r="Y379" s="723"/>
      <c r="Z379" s="723"/>
      <c r="AA379" s="726"/>
      <c r="AB379" s="726"/>
      <c r="AC379" s="170"/>
      <c r="AD379" s="586"/>
      <c r="AE379" s="586"/>
      <c r="AF379" s="170"/>
      <c r="AG379" s="170"/>
      <c r="AH379" s="170"/>
      <c r="AI379" s="170"/>
      <c r="AJ379" s="170"/>
      <c r="AK379" s="170"/>
      <c r="AL379" s="170"/>
      <c r="AM379" s="170"/>
      <c r="AN379" s="170"/>
      <c r="AO379" s="170"/>
      <c r="AP379" s="170"/>
      <c r="AQ379" s="170"/>
      <c r="AR379" s="170"/>
      <c r="AS379" s="170"/>
    </row>
    <row r="380" spans="1:45" ht="15" x14ac:dyDescent="0.25">
      <c r="A380" s="170"/>
      <c r="B380" s="719"/>
      <c r="C380" s="170"/>
      <c r="D380" s="170"/>
      <c r="E380" s="170"/>
      <c r="F380" s="170"/>
      <c r="G380" s="721"/>
      <c r="H380" s="170"/>
      <c r="I380" s="170"/>
      <c r="J380" s="170"/>
      <c r="K380" s="170"/>
      <c r="L380" s="170"/>
      <c r="M380" s="730"/>
      <c r="N380" s="730"/>
      <c r="O380" s="730"/>
      <c r="P380" s="731"/>
      <c r="Q380" s="731"/>
      <c r="R380" s="730"/>
      <c r="S380" s="730"/>
      <c r="T380" s="723"/>
      <c r="U380" s="724"/>
      <c r="V380" s="725"/>
      <c r="W380" s="725"/>
      <c r="X380" s="723"/>
      <c r="Y380" s="723"/>
      <c r="Z380" s="723"/>
      <c r="AA380" s="726"/>
      <c r="AB380" s="726"/>
      <c r="AC380" s="170"/>
      <c r="AD380" s="586"/>
      <c r="AE380" s="586"/>
      <c r="AF380" s="170"/>
      <c r="AG380" s="170"/>
      <c r="AH380" s="170"/>
      <c r="AI380" s="170"/>
      <c r="AJ380" s="170"/>
      <c r="AK380" s="170"/>
      <c r="AL380" s="170"/>
      <c r="AM380" s="170"/>
      <c r="AN380" s="170"/>
      <c r="AO380" s="170"/>
      <c r="AP380" s="170"/>
      <c r="AQ380" s="170"/>
      <c r="AR380" s="170"/>
      <c r="AS380" s="170"/>
    </row>
    <row r="381" spans="1:45" ht="15" x14ac:dyDescent="0.25">
      <c r="A381" s="170"/>
      <c r="B381" s="719"/>
      <c r="C381" s="170"/>
      <c r="D381" s="170"/>
      <c r="E381" s="170"/>
      <c r="F381" s="170"/>
      <c r="G381" s="721"/>
      <c r="H381" s="170"/>
      <c r="I381" s="170"/>
      <c r="J381" s="170"/>
      <c r="K381" s="170"/>
      <c r="L381" s="170"/>
      <c r="M381" s="730"/>
      <c r="N381" s="730"/>
      <c r="O381" s="730"/>
      <c r="P381" s="731"/>
      <c r="Q381" s="731"/>
      <c r="R381" s="730"/>
      <c r="S381" s="730"/>
      <c r="T381" s="723"/>
      <c r="U381" s="724"/>
      <c r="V381" s="725"/>
      <c r="W381" s="725"/>
      <c r="X381" s="723"/>
      <c r="Y381" s="723"/>
      <c r="Z381" s="723"/>
      <c r="AA381" s="726"/>
      <c r="AB381" s="726"/>
      <c r="AC381" s="170"/>
      <c r="AD381" s="586"/>
      <c r="AE381" s="586"/>
      <c r="AF381" s="170"/>
      <c r="AG381" s="170"/>
      <c r="AH381" s="170"/>
      <c r="AI381" s="170"/>
      <c r="AJ381" s="170"/>
      <c r="AK381" s="170"/>
      <c r="AL381" s="170"/>
      <c r="AM381" s="170"/>
      <c r="AN381" s="170"/>
      <c r="AO381" s="170"/>
      <c r="AP381" s="170"/>
      <c r="AQ381" s="170"/>
      <c r="AR381" s="170"/>
      <c r="AS381" s="170"/>
    </row>
    <row r="382" spans="1:45" ht="15" x14ac:dyDescent="0.25">
      <c r="A382" s="170"/>
      <c r="B382" s="719"/>
      <c r="C382" s="170"/>
      <c r="D382" s="170"/>
      <c r="E382" s="170"/>
      <c r="F382" s="170"/>
      <c r="G382" s="721"/>
      <c r="H382" s="170"/>
      <c r="I382" s="170"/>
      <c r="J382" s="170"/>
      <c r="K382" s="170"/>
      <c r="L382" s="170"/>
      <c r="M382" s="730"/>
      <c r="N382" s="730"/>
      <c r="O382" s="730"/>
      <c r="P382" s="731"/>
      <c r="Q382" s="731"/>
      <c r="R382" s="730"/>
      <c r="S382" s="730"/>
      <c r="T382" s="723"/>
      <c r="U382" s="724"/>
      <c r="V382" s="725"/>
      <c r="W382" s="725"/>
      <c r="X382" s="723"/>
      <c r="Y382" s="723"/>
      <c r="Z382" s="723"/>
      <c r="AA382" s="726"/>
      <c r="AB382" s="726"/>
      <c r="AC382" s="170"/>
      <c r="AD382" s="586"/>
      <c r="AE382" s="586"/>
      <c r="AF382" s="170"/>
      <c r="AG382" s="170"/>
      <c r="AH382" s="170"/>
      <c r="AI382" s="170"/>
      <c r="AJ382" s="170"/>
      <c r="AK382" s="170"/>
      <c r="AL382" s="170"/>
      <c r="AM382" s="170"/>
      <c r="AN382" s="170"/>
      <c r="AO382" s="170"/>
      <c r="AP382" s="170"/>
      <c r="AQ382" s="170"/>
      <c r="AR382" s="170"/>
      <c r="AS382" s="170"/>
    </row>
    <row r="383" spans="1:45" ht="15" x14ac:dyDescent="0.25">
      <c r="A383" s="170"/>
      <c r="B383" s="719"/>
      <c r="C383" s="170"/>
      <c r="D383" s="170"/>
      <c r="E383" s="170"/>
      <c r="F383" s="170"/>
      <c r="G383" s="721"/>
      <c r="H383" s="170"/>
      <c r="I383" s="170"/>
      <c r="J383" s="170"/>
      <c r="K383" s="170"/>
      <c r="L383" s="170"/>
      <c r="M383" s="730"/>
      <c r="N383" s="730"/>
      <c r="O383" s="730"/>
      <c r="P383" s="731"/>
      <c r="Q383" s="731"/>
      <c r="R383" s="730"/>
      <c r="S383" s="730"/>
      <c r="T383" s="723"/>
      <c r="U383" s="724"/>
      <c r="V383" s="725"/>
      <c r="W383" s="725"/>
      <c r="X383" s="723"/>
      <c r="Y383" s="723"/>
      <c r="Z383" s="723"/>
      <c r="AA383" s="726"/>
      <c r="AB383" s="726"/>
      <c r="AC383" s="170"/>
      <c r="AD383" s="586"/>
      <c r="AE383" s="586"/>
      <c r="AF383" s="170"/>
      <c r="AG383" s="170"/>
      <c r="AH383" s="170"/>
      <c r="AI383" s="170"/>
      <c r="AJ383" s="170"/>
      <c r="AK383" s="170"/>
      <c r="AL383" s="170"/>
      <c r="AM383" s="170"/>
      <c r="AN383" s="170"/>
      <c r="AO383" s="170"/>
      <c r="AP383" s="170"/>
      <c r="AQ383" s="170"/>
      <c r="AR383" s="170"/>
      <c r="AS383" s="170"/>
    </row>
    <row r="384" spans="1:45" ht="15" x14ac:dyDescent="0.25">
      <c r="A384" s="170"/>
      <c r="B384" s="719"/>
      <c r="C384" s="170"/>
      <c r="D384" s="170"/>
      <c r="E384" s="170"/>
      <c r="F384" s="170"/>
      <c r="G384" s="721"/>
      <c r="H384" s="170"/>
      <c r="I384" s="170"/>
      <c r="J384" s="170"/>
      <c r="K384" s="170"/>
      <c r="L384" s="170"/>
      <c r="M384" s="730"/>
      <c r="N384" s="730"/>
      <c r="O384" s="730"/>
      <c r="P384" s="731"/>
      <c r="Q384" s="731"/>
      <c r="R384" s="730"/>
      <c r="S384" s="730"/>
      <c r="T384" s="723"/>
      <c r="U384" s="724"/>
      <c r="V384" s="725"/>
      <c r="W384" s="725"/>
      <c r="X384" s="723"/>
      <c r="Y384" s="723"/>
      <c r="Z384" s="723"/>
      <c r="AA384" s="726"/>
      <c r="AB384" s="726"/>
      <c r="AC384" s="170"/>
      <c r="AD384" s="586"/>
      <c r="AE384" s="586"/>
      <c r="AF384" s="170"/>
      <c r="AG384" s="170"/>
      <c r="AH384" s="170"/>
      <c r="AI384" s="170"/>
      <c r="AJ384" s="170"/>
      <c r="AK384" s="170"/>
      <c r="AL384" s="170"/>
      <c r="AM384" s="170"/>
      <c r="AN384" s="170"/>
      <c r="AO384" s="170"/>
      <c r="AP384" s="170"/>
      <c r="AQ384" s="170"/>
      <c r="AR384" s="170"/>
      <c r="AS384" s="170"/>
    </row>
    <row r="385" spans="1:45" ht="15" x14ac:dyDescent="0.25">
      <c r="A385" s="170"/>
      <c r="B385" s="719"/>
      <c r="C385" s="170"/>
      <c r="D385" s="170"/>
      <c r="E385" s="170"/>
      <c r="F385" s="170"/>
      <c r="G385" s="721"/>
      <c r="H385" s="170"/>
      <c r="I385" s="170"/>
      <c r="J385" s="170"/>
      <c r="K385" s="170"/>
      <c r="L385" s="170"/>
      <c r="M385" s="730"/>
      <c r="N385" s="730"/>
      <c r="O385" s="730"/>
      <c r="P385" s="731"/>
      <c r="Q385" s="731"/>
      <c r="R385" s="730"/>
      <c r="S385" s="730"/>
      <c r="T385" s="723"/>
      <c r="U385" s="724"/>
      <c r="V385" s="725"/>
      <c r="W385" s="725"/>
      <c r="X385" s="723"/>
      <c r="Y385" s="723"/>
      <c r="Z385" s="723"/>
      <c r="AA385" s="726"/>
      <c r="AB385" s="726"/>
      <c r="AC385" s="170"/>
      <c r="AD385" s="586"/>
      <c r="AE385" s="586"/>
      <c r="AF385" s="170"/>
      <c r="AG385" s="170"/>
      <c r="AH385" s="170"/>
      <c r="AI385" s="170"/>
      <c r="AJ385" s="170"/>
      <c r="AK385" s="170"/>
      <c r="AL385" s="170"/>
      <c r="AM385" s="170"/>
      <c r="AN385" s="170"/>
      <c r="AO385" s="170"/>
      <c r="AP385" s="170"/>
      <c r="AQ385" s="170"/>
      <c r="AR385" s="170"/>
      <c r="AS385" s="170"/>
    </row>
    <row r="386" spans="1:45" ht="15" x14ac:dyDescent="0.25">
      <c r="A386" s="170"/>
      <c r="B386" s="719"/>
      <c r="C386" s="170"/>
      <c r="D386" s="170"/>
      <c r="E386" s="170"/>
      <c r="F386" s="170"/>
      <c r="G386" s="721"/>
      <c r="H386" s="170"/>
      <c r="I386" s="170"/>
      <c r="J386" s="170"/>
      <c r="K386" s="170"/>
      <c r="L386" s="170"/>
      <c r="M386" s="730"/>
      <c r="N386" s="730"/>
      <c r="O386" s="730"/>
      <c r="P386" s="731"/>
      <c r="Q386" s="731"/>
      <c r="R386" s="730"/>
      <c r="S386" s="730"/>
      <c r="T386" s="723"/>
      <c r="U386" s="724"/>
      <c r="V386" s="725"/>
      <c r="W386" s="725"/>
      <c r="X386" s="723"/>
      <c r="Y386" s="723"/>
      <c r="Z386" s="723"/>
      <c r="AA386" s="726"/>
      <c r="AB386" s="726"/>
      <c r="AC386" s="170"/>
      <c r="AD386" s="586"/>
      <c r="AE386" s="586"/>
      <c r="AF386" s="170"/>
      <c r="AG386" s="170"/>
      <c r="AH386" s="170"/>
      <c r="AI386" s="170"/>
      <c r="AJ386" s="170"/>
      <c r="AK386" s="170"/>
      <c r="AL386" s="170"/>
      <c r="AM386" s="170"/>
      <c r="AN386" s="170"/>
      <c r="AO386" s="170"/>
      <c r="AP386" s="170"/>
      <c r="AQ386" s="170"/>
      <c r="AR386" s="170"/>
      <c r="AS386" s="170"/>
    </row>
    <row r="387" spans="1:45" ht="15" x14ac:dyDescent="0.25">
      <c r="A387" s="170"/>
      <c r="B387" s="719"/>
      <c r="C387" s="170"/>
      <c r="D387" s="170"/>
      <c r="E387" s="170"/>
      <c r="F387" s="170"/>
      <c r="G387" s="721"/>
      <c r="H387" s="170"/>
      <c r="I387" s="170"/>
      <c r="J387" s="170"/>
      <c r="K387" s="170"/>
      <c r="L387" s="170"/>
      <c r="M387" s="730"/>
      <c r="N387" s="730"/>
      <c r="O387" s="730"/>
      <c r="P387" s="731"/>
      <c r="Q387" s="731"/>
      <c r="R387" s="730"/>
      <c r="S387" s="730"/>
      <c r="T387" s="723"/>
      <c r="U387" s="724"/>
      <c r="V387" s="725"/>
      <c r="W387" s="725"/>
      <c r="X387" s="723"/>
      <c r="Y387" s="723"/>
      <c r="Z387" s="723"/>
      <c r="AA387" s="726"/>
      <c r="AB387" s="726"/>
      <c r="AC387" s="170"/>
      <c r="AD387" s="586"/>
      <c r="AE387" s="586"/>
      <c r="AF387" s="170"/>
      <c r="AG387" s="170"/>
      <c r="AH387" s="170"/>
      <c r="AI387" s="170"/>
      <c r="AJ387" s="170"/>
      <c r="AK387" s="170"/>
      <c r="AL387" s="170"/>
      <c r="AM387" s="170"/>
      <c r="AN387" s="170"/>
      <c r="AO387" s="170"/>
      <c r="AP387" s="170"/>
      <c r="AQ387" s="170"/>
      <c r="AR387" s="170"/>
      <c r="AS387" s="170"/>
    </row>
    <row r="388" spans="1:45" ht="15" x14ac:dyDescent="0.25">
      <c r="A388" s="170"/>
      <c r="B388" s="719"/>
      <c r="C388" s="170"/>
      <c r="D388" s="170"/>
      <c r="E388" s="170"/>
      <c r="F388" s="170"/>
      <c r="G388" s="721"/>
      <c r="H388" s="170"/>
      <c r="I388" s="170"/>
      <c r="J388" s="170"/>
      <c r="K388" s="170"/>
      <c r="L388" s="170"/>
      <c r="M388" s="730"/>
      <c r="N388" s="730"/>
      <c r="O388" s="730"/>
      <c r="P388" s="731"/>
      <c r="Q388" s="731"/>
      <c r="R388" s="730"/>
      <c r="S388" s="730"/>
      <c r="T388" s="723"/>
      <c r="U388" s="724"/>
      <c r="V388" s="725"/>
      <c r="W388" s="725"/>
      <c r="X388" s="723"/>
      <c r="Y388" s="723"/>
      <c r="Z388" s="723"/>
      <c r="AA388" s="726"/>
      <c r="AB388" s="726"/>
      <c r="AC388" s="170"/>
      <c r="AD388" s="586"/>
      <c r="AE388" s="586"/>
      <c r="AF388" s="170"/>
      <c r="AG388" s="170"/>
      <c r="AH388" s="170"/>
      <c r="AI388" s="170"/>
      <c r="AJ388" s="170"/>
      <c r="AK388" s="170"/>
      <c r="AL388" s="170"/>
      <c r="AM388" s="170"/>
      <c r="AN388" s="170"/>
      <c r="AO388" s="170"/>
      <c r="AP388" s="170"/>
      <c r="AQ388" s="170"/>
      <c r="AR388" s="170"/>
      <c r="AS388" s="170"/>
    </row>
    <row r="389" spans="1:45" ht="15" x14ac:dyDescent="0.25">
      <c r="A389" s="170"/>
      <c r="B389" s="719"/>
      <c r="C389" s="170"/>
      <c r="D389" s="170"/>
      <c r="E389" s="170"/>
      <c r="F389" s="170"/>
      <c r="G389" s="721"/>
      <c r="H389" s="170"/>
      <c r="I389" s="170"/>
      <c r="J389" s="170"/>
      <c r="K389" s="170"/>
      <c r="L389" s="170"/>
      <c r="M389" s="730"/>
      <c r="N389" s="730"/>
      <c r="O389" s="730"/>
      <c r="P389" s="731"/>
      <c r="Q389" s="731"/>
      <c r="R389" s="730"/>
      <c r="S389" s="730"/>
      <c r="T389" s="723"/>
      <c r="U389" s="724"/>
      <c r="V389" s="725"/>
      <c r="W389" s="725"/>
      <c r="X389" s="723"/>
      <c r="Y389" s="723"/>
      <c r="Z389" s="723"/>
      <c r="AA389" s="726"/>
      <c r="AB389" s="726"/>
      <c r="AC389" s="170"/>
      <c r="AD389" s="586"/>
      <c r="AE389" s="586"/>
      <c r="AF389" s="170"/>
      <c r="AG389" s="170"/>
      <c r="AH389" s="170"/>
      <c r="AI389" s="170"/>
      <c r="AJ389" s="170"/>
      <c r="AK389" s="170"/>
      <c r="AL389" s="170"/>
      <c r="AM389" s="170"/>
      <c r="AN389" s="170"/>
      <c r="AO389" s="170"/>
      <c r="AP389" s="170"/>
      <c r="AQ389" s="170"/>
      <c r="AR389" s="170"/>
      <c r="AS389" s="170"/>
    </row>
    <row r="390" spans="1:45" ht="15" x14ac:dyDescent="0.25">
      <c r="A390" s="170"/>
      <c r="B390" s="719"/>
      <c r="C390" s="170"/>
      <c r="D390" s="170"/>
      <c r="E390" s="170"/>
      <c r="F390" s="170"/>
      <c r="G390" s="721"/>
      <c r="H390" s="170"/>
      <c r="I390" s="170"/>
      <c r="J390" s="170"/>
      <c r="K390" s="170"/>
      <c r="L390" s="170"/>
      <c r="M390" s="730"/>
      <c r="N390" s="730"/>
      <c r="O390" s="730"/>
      <c r="P390" s="731"/>
      <c r="Q390" s="731"/>
      <c r="R390" s="730"/>
      <c r="S390" s="730"/>
      <c r="T390" s="723"/>
      <c r="U390" s="724"/>
      <c r="V390" s="725"/>
      <c r="W390" s="725"/>
      <c r="X390" s="723"/>
      <c r="Y390" s="723"/>
      <c r="Z390" s="723"/>
      <c r="AA390" s="726"/>
      <c r="AB390" s="726"/>
      <c r="AC390" s="170"/>
      <c r="AD390" s="586"/>
      <c r="AE390" s="586"/>
      <c r="AF390" s="170"/>
      <c r="AG390" s="170"/>
      <c r="AH390" s="170"/>
      <c r="AI390" s="170"/>
      <c r="AJ390" s="170"/>
      <c r="AK390" s="170"/>
      <c r="AL390" s="170"/>
      <c r="AM390" s="170"/>
      <c r="AN390" s="170"/>
      <c r="AO390" s="170"/>
      <c r="AP390" s="170"/>
      <c r="AQ390" s="170"/>
      <c r="AR390" s="170"/>
      <c r="AS390" s="170"/>
    </row>
    <row r="391" spans="1:45" ht="15" x14ac:dyDescent="0.25">
      <c r="A391" s="170"/>
      <c r="B391" s="719"/>
      <c r="C391" s="170"/>
      <c r="D391" s="170"/>
      <c r="E391" s="170"/>
      <c r="F391" s="170"/>
      <c r="G391" s="721"/>
      <c r="H391" s="170"/>
      <c r="I391" s="170"/>
      <c r="J391" s="170"/>
      <c r="K391" s="170"/>
      <c r="L391" s="170"/>
      <c r="M391" s="730"/>
      <c r="N391" s="730"/>
      <c r="O391" s="730"/>
      <c r="P391" s="731"/>
      <c r="Q391" s="731"/>
      <c r="R391" s="730"/>
      <c r="S391" s="730"/>
      <c r="T391" s="723"/>
      <c r="U391" s="724"/>
      <c r="V391" s="725"/>
      <c r="W391" s="725"/>
      <c r="X391" s="723"/>
      <c r="Y391" s="723"/>
      <c r="Z391" s="723"/>
      <c r="AA391" s="726"/>
      <c r="AB391" s="726"/>
      <c r="AC391" s="170"/>
      <c r="AD391" s="586"/>
      <c r="AE391" s="586"/>
      <c r="AF391" s="170"/>
      <c r="AG391" s="170"/>
      <c r="AH391" s="170"/>
      <c r="AI391" s="170"/>
      <c r="AJ391" s="170"/>
      <c r="AK391" s="170"/>
      <c r="AL391" s="170"/>
      <c r="AM391" s="170"/>
      <c r="AN391" s="170"/>
      <c r="AO391" s="170"/>
      <c r="AP391" s="170"/>
      <c r="AQ391" s="170"/>
      <c r="AR391" s="170"/>
      <c r="AS391" s="170"/>
    </row>
    <row r="392" spans="1:45" ht="15" x14ac:dyDescent="0.25">
      <c r="A392" s="170"/>
      <c r="B392" s="719"/>
      <c r="C392" s="170"/>
      <c r="D392" s="170"/>
      <c r="E392" s="170"/>
      <c r="F392" s="170"/>
      <c r="G392" s="721"/>
      <c r="H392" s="170"/>
      <c r="I392" s="170"/>
      <c r="J392" s="170"/>
      <c r="K392" s="170"/>
      <c r="L392" s="170"/>
      <c r="M392" s="730"/>
      <c r="N392" s="730"/>
      <c r="O392" s="730"/>
      <c r="P392" s="731"/>
      <c r="Q392" s="731"/>
      <c r="R392" s="730"/>
      <c r="S392" s="730"/>
      <c r="T392" s="723"/>
      <c r="U392" s="724"/>
      <c r="V392" s="725"/>
      <c r="W392" s="725"/>
      <c r="X392" s="723"/>
      <c r="Y392" s="723"/>
      <c r="Z392" s="723"/>
      <c r="AA392" s="726"/>
      <c r="AB392" s="726"/>
      <c r="AC392" s="170"/>
      <c r="AD392" s="586"/>
      <c r="AE392" s="586"/>
      <c r="AF392" s="170"/>
      <c r="AG392" s="170"/>
      <c r="AH392" s="170"/>
      <c r="AI392" s="170"/>
      <c r="AJ392" s="170"/>
      <c r="AK392" s="170"/>
      <c r="AL392" s="170"/>
      <c r="AM392" s="170"/>
      <c r="AN392" s="170"/>
      <c r="AO392" s="170"/>
      <c r="AP392" s="170"/>
      <c r="AQ392" s="170"/>
      <c r="AR392" s="170"/>
      <c r="AS392" s="170"/>
    </row>
    <row r="393" spans="1:45" ht="15" x14ac:dyDescent="0.25">
      <c r="A393" s="170"/>
      <c r="B393" s="719"/>
      <c r="C393" s="170"/>
      <c r="D393" s="170"/>
      <c r="E393" s="170"/>
      <c r="F393" s="170"/>
      <c r="G393" s="721"/>
      <c r="H393" s="170"/>
      <c r="I393" s="170"/>
      <c r="J393" s="170"/>
      <c r="K393" s="170"/>
      <c r="L393" s="170"/>
      <c r="M393" s="730"/>
      <c r="N393" s="730"/>
      <c r="O393" s="730"/>
      <c r="P393" s="731"/>
      <c r="Q393" s="731"/>
      <c r="R393" s="730"/>
      <c r="S393" s="730"/>
      <c r="T393" s="723"/>
      <c r="U393" s="724"/>
      <c r="V393" s="725"/>
      <c r="W393" s="725"/>
      <c r="X393" s="723"/>
      <c r="Y393" s="723"/>
      <c r="Z393" s="723"/>
      <c r="AA393" s="726"/>
      <c r="AB393" s="726"/>
      <c r="AC393" s="170"/>
      <c r="AD393" s="586"/>
      <c r="AE393" s="586"/>
      <c r="AF393" s="170"/>
      <c r="AG393" s="170"/>
      <c r="AH393" s="170"/>
      <c r="AI393" s="170"/>
      <c r="AJ393" s="170"/>
      <c r="AK393" s="170"/>
      <c r="AL393" s="170"/>
      <c r="AM393" s="170"/>
      <c r="AN393" s="170"/>
      <c r="AO393" s="170"/>
      <c r="AP393" s="170"/>
      <c r="AQ393" s="170"/>
      <c r="AR393" s="170"/>
      <c r="AS393" s="170"/>
    </row>
    <row r="394" spans="1:45" ht="15" x14ac:dyDescent="0.25">
      <c r="A394" s="170"/>
      <c r="B394" s="719"/>
      <c r="C394" s="170"/>
      <c r="D394" s="170"/>
      <c r="E394" s="170"/>
      <c r="F394" s="170"/>
      <c r="G394" s="721"/>
      <c r="H394" s="170"/>
      <c r="I394" s="170"/>
      <c r="J394" s="170"/>
      <c r="K394" s="170"/>
      <c r="L394" s="170"/>
      <c r="M394" s="730"/>
      <c r="N394" s="730"/>
      <c r="O394" s="730"/>
      <c r="P394" s="731"/>
      <c r="Q394" s="731"/>
      <c r="R394" s="730"/>
      <c r="S394" s="730"/>
      <c r="T394" s="723"/>
      <c r="U394" s="724"/>
      <c r="V394" s="725"/>
      <c r="W394" s="725"/>
      <c r="X394" s="723"/>
      <c r="Y394" s="723"/>
      <c r="Z394" s="723"/>
      <c r="AA394" s="726"/>
      <c r="AB394" s="726"/>
      <c r="AC394" s="170"/>
      <c r="AD394" s="586"/>
      <c r="AE394" s="586"/>
      <c r="AF394" s="170"/>
      <c r="AG394" s="170"/>
      <c r="AH394" s="170"/>
      <c r="AI394" s="170"/>
      <c r="AJ394" s="170"/>
      <c r="AK394" s="170"/>
      <c r="AL394" s="170"/>
      <c r="AM394" s="170"/>
      <c r="AN394" s="170"/>
      <c r="AO394" s="170"/>
      <c r="AP394" s="170"/>
      <c r="AQ394" s="170"/>
      <c r="AR394" s="170"/>
      <c r="AS394" s="170"/>
    </row>
    <row r="395" spans="1:45" ht="15" x14ac:dyDescent="0.25">
      <c r="A395" s="170"/>
      <c r="B395" s="719"/>
      <c r="C395" s="170"/>
      <c r="D395" s="170"/>
      <c r="E395" s="170"/>
      <c r="F395" s="170"/>
      <c r="G395" s="721"/>
      <c r="H395" s="170"/>
      <c r="I395" s="170"/>
      <c r="J395" s="170"/>
      <c r="K395" s="170"/>
      <c r="L395" s="170"/>
      <c r="M395" s="730"/>
      <c r="N395" s="730"/>
      <c r="O395" s="730"/>
      <c r="P395" s="731"/>
      <c r="Q395" s="731"/>
      <c r="R395" s="730"/>
      <c r="S395" s="730"/>
      <c r="T395" s="723"/>
      <c r="U395" s="724"/>
      <c r="V395" s="725"/>
      <c r="W395" s="725"/>
      <c r="X395" s="723"/>
      <c r="Y395" s="723"/>
      <c r="Z395" s="723"/>
      <c r="AA395" s="726"/>
      <c r="AB395" s="726"/>
      <c r="AC395" s="170"/>
      <c r="AD395" s="586"/>
      <c r="AE395" s="586"/>
      <c r="AF395" s="170"/>
      <c r="AG395" s="170"/>
      <c r="AH395" s="170"/>
      <c r="AI395" s="170"/>
      <c r="AJ395" s="170"/>
      <c r="AK395" s="170"/>
      <c r="AL395" s="170"/>
      <c r="AM395" s="170"/>
      <c r="AN395" s="170"/>
      <c r="AO395" s="170"/>
      <c r="AP395" s="170"/>
      <c r="AQ395" s="170"/>
      <c r="AR395" s="170"/>
      <c r="AS395" s="170"/>
    </row>
    <row r="396" spans="1:45" ht="15" x14ac:dyDescent="0.25">
      <c r="A396" s="170"/>
      <c r="B396" s="719"/>
      <c r="C396" s="170"/>
      <c r="D396" s="170"/>
      <c r="E396" s="170"/>
      <c r="F396" s="170"/>
      <c r="G396" s="721"/>
      <c r="H396" s="170"/>
      <c r="I396" s="170"/>
      <c r="J396" s="170"/>
      <c r="K396" s="170"/>
      <c r="L396" s="170"/>
      <c r="M396" s="730"/>
      <c r="N396" s="730"/>
      <c r="O396" s="730"/>
      <c r="P396" s="731"/>
      <c r="Q396" s="731"/>
      <c r="R396" s="730"/>
      <c r="S396" s="730"/>
      <c r="T396" s="723"/>
      <c r="U396" s="724"/>
      <c r="V396" s="725"/>
      <c r="W396" s="725"/>
      <c r="X396" s="723"/>
      <c r="Y396" s="723"/>
      <c r="Z396" s="723"/>
      <c r="AA396" s="726"/>
      <c r="AB396" s="726"/>
      <c r="AC396" s="170"/>
      <c r="AD396" s="586"/>
      <c r="AE396" s="586"/>
      <c r="AF396" s="170"/>
      <c r="AG396" s="170"/>
      <c r="AH396" s="170"/>
      <c r="AI396" s="170"/>
      <c r="AJ396" s="170"/>
      <c r="AK396" s="170"/>
      <c r="AL396" s="170"/>
      <c r="AM396" s="170"/>
      <c r="AN396" s="170"/>
      <c r="AO396" s="170"/>
      <c r="AP396" s="170"/>
      <c r="AQ396" s="170"/>
      <c r="AR396" s="170"/>
      <c r="AS396" s="170"/>
    </row>
    <row r="397" spans="1:45" ht="15" x14ac:dyDescent="0.25">
      <c r="A397" s="170"/>
      <c r="B397" s="719"/>
      <c r="C397" s="170"/>
      <c r="D397" s="170"/>
      <c r="E397" s="170"/>
      <c r="F397" s="170"/>
      <c r="G397" s="721"/>
      <c r="H397" s="170"/>
      <c r="I397" s="170"/>
      <c r="J397" s="170"/>
      <c r="K397" s="170"/>
      <c r="L397" s="170"/>
      <c r="M397" s="730"/>
      <c r="N397" s="730"/>
      <c r="O397" s="730"/>
      <c r="P397" s="731"/>
      <c r="Q397" s="731"/>
      <c r="R397" s="730"/>
      <c r="S397" s="730"/>
      <c r="T397" s="723"/>
      <c r="U397" s="724"/>
      <c r="V397" s="725"/>
      <c r="W397" s="725"/>
      <c r="X397" s="723"/>
      <c r="Y397" s="723"/>
      <c r="Z397" s="723"/>
      <c r="AA397" s="726"/>
      <c r="AB397" s="726"/>
      <c r="AC397" s="170"/>
      <c r="AD397" s="586"/>
      <c r="AE397" s="586"/>
      <c r="AF397" s="170"/>
      <c r="AG397" s="170"/>
      <c r="AH397" s="170"/>
      <c r="AI397" s="170"/>
      <c r="AJ397" s="170"/>
      <c r="AK397" s="170"/>
      <c r="AL397" s="170"/>
      <c r="AM397" s="170"/>
      <c r="AN397" s="170"/>
      <c r="AO397" s="170"/>
      <c r="AP397" s="170"/>
      <c r="AQ397" s="170"/>
      <c r="AR397" s="170"/>
      <c r="AS397" s="170"/>
    </row>
    <row r="398" spans="1:45" ht="15" x14ac:dyDescent="0.25">
      <c r="A398" s="170"/>
      <c r="B398" s="719"/>
      <c r="C398" s="170"/>
      <c r="D398" s="170"/>
      <c r="E398" s="170"/>
      <c r="F398" s="170"/>
      <c r="G398" s="721"/>
      <c r="H398" s="170"/>
      <c r="I398" s="170"/>
      <c r="J398" s="170"/>
      <c r="K398" s="170"/>
      <c r="L398" s="170"/>
      <c r="M398" s="730"/>
      <c r="N398" s="730"/>
      <c r="O398" s="730"/>
      <c r="P398" s="731"/>
      <c r="Q398" s="731"/>
      <c r="R398" s="730"/>
      <c r="S398" s="730"/>
      <c r="T398" s="723"/>
      <c r="U398" s="724"/>
      <c r="V398" s="725"/>
      <c r="W398" s="725"/>
      <c r="X398" s="723"/>
      <c r="Y398" s="723"/>
      <c r="Z398" s="723"/>
      <c r="AA398" s="726"/>
      <c r="AB398" s="726"/>
      <c r="AC398" s="170"/>
      <c r="AD398" s="586"/>
      <c r="AE398" s="586"/>
      <c r="AF398" s="170"/>
      <c r="AG398" s="170"/>
      <c r="AH398" s="170"/>
      <c r="AI398" s="170"/>
      <c r="AJ398" s="170"/>
      <c r="AK398" s="170"/>
      <c r="AL398" s="170"/>
      <c r="AM398" s="170"/>
      <c r="AN398" s="170"/>
      <c r="AO398" s="170"/>
      <c r="AP398" s="170"/>
      <c r="AQ398" s="170"/>
      <c r="AR398" s="170"/>
      <c r="AS398" s="170"/>
    </row>
    <row r="399" spans="1:45" ht="15" x14ac:dyDescent="0.25">
      <c r="A399" s="170"/>
      <c r="B399" s="719"/>
      <c r="C399" s="170"/>
      <c r="D399" s="170"/>
      <c r="E399" s="170"/>
      <c r="F399" s="170"/>
      <c r="G399" s="721"/>
      <c r="H399" s="170"/>
      <c r="I399" s="170"/>
      <c r="J399" s="170"/>
      <c r="K399" s="170"/>
      <c r="L399" s="170"/>
      <c r="M399" s="730"/>
      <c r="N399" s="730"/>
      <c r="O399" s="730"/>
      <c r="P399" s="731"/>
      <c r="Q399" s="731"/>
      <c r="R399" s="730"/>
      <c r="S399" s="730"/>
      <c r="T399" s="723"/>
      <c r="U399" s="724"/>
      <c r="V399" s="725"/>
      <c r="W399" s="725"/>
      <c r="X399" s="723"/>
      <c r="Y399" s="723"/>
      <c r="Z399" s="723"/>
      <c r="AA399" s="726"/>
      <c r="AB399" s="726"/>
      <c r="AC399" s="170"/>
      <c r="AD399" s="586"/>
      <c r="AE399" s="586"/>
      <c r="AF399" s="170"/>
      <c r="AG399" s="170"/>
      <c r="AH399" s="170"/>
      <c r="AI399" s="170"/>
      <c r="AJ399" s="170"/>
      <c r="AK399" s="170"/>
      <c r="AL399" s="170"/>
      <c r="AM399" s="170"/>
      <c r="AN399" s="170"/>
      <c r="AO399" s="170"/>
      <c r="AP399" s="170"/>
      <c r="AQ399" s="170"/>
      <c r="AR399" s="170"/>
      <c r="AS399" s="170"/>
    </row>
    <row r="400" spans="1:45" ht="15" x14ac:dyDescent="0.25">
      <c r="A400" s="170"/>
      <c r="B400" s="719"/>
      <c r="C400" s="170"/>
      <c r="D400" s="170"/>
      <c r="E400" s="170"/>
      <c r="F400" s="170"/>
      <c r="G400" s="721"/>
      <c r="H400" s="170"/>
      <c r="I400" s="170"/>
      <c r="J400" s="170"/>
      <c r="K400" s="170"/>
      <c r="L400" s="170"/>
      <c r="M400" s="730"/>
      <c r="N400" s="730"/>
      <c r="O400" s="730"/>
      <c r="P400" s="731"/>
      <c r="Q400" s="731"/>
      <c r="R400" s="730"/>
      <c r="S400" s="730"/>
      <c r="T400" s="723"/>
      <c r="U400" s="724"/>
      <c r="V400" s="725"/>
      <c r="W400" s="725"/>
      <c r="X400" s="723"/>
      <c r="Y400" s="723"/>
      <c r="Z400" s="723"/>
      <c r="AA400" s="726"/>
      <c r="AB400" s="726"/>
      <c r="AC400" s="170"/>
      <c r="AD400" s="586"/>
      <c r="AE400" s="586"/>
      <c r="AF400" s="170"/>
      <c r="AG400" s="170"/>
      <c r="AH400" s="170"/>
      <c r="AI400" s="170"/>
      <c r="AJ400" s="170"/>
      <c r="AK400" s="170"/>
      <c r="AL400" s="170"/>
      <c r="AM400" s="170"/>
      <c r="AN400" s="170"/>
      <c r="AO400" s="170"/>
      <c r="AP400" s="170"/>
      <c r="AQ400" s="170"/>
      <c r="AR400" s="170"/>
      <c r="AS400" s="170"/>
    </row>
    <row r="401" spans="1:45" ht="15" x14ac:dyDescent="0.25">
      <c r="A401" s="170"/>
      <c r="B401" s="719"/>
      <c r="C401" s="170"/>
      <c r="D401" s="170"/>
      <c r="E401" s="170"/>
      <c r="F401" s="170"/>
      <c r="G401" s="721"/>
      <c r="H401" s="170"/>
      <c r="I401" s="170"/>
      <c r="J401" s="170"/>
      <c r="K401" s="170"/>
      <c r="L401" s="170"/>
      <c r="M401" s="730"/>
      <c r="N401" s="730"/>
      <c r="O401" s="730"/>
      <c r="P401" s="731"/>
      <c r="Q401" s="731"/>
      <c r="R401" s="730"/>
      <c r="S401" s="730"/>
      <c r="T401" s="723"/>
      <c r="U401" s="724"/>
      <c r="V401" s="725"/>
      <c r="W401" s="725"/>
      <c r="X401" s="723"/>
      <c r="Y401" s="723"/>
      <c r="Z401" s="723"/>
      <c r="AA401" s="726"/>
      <c r="AB401" s="726"/>
      <c r="AC401" s="170"/>
      <c r="AD401" s="586"/>
      <c r="AE401" s="586"/>
      <c r="AF401" s="170"/>
      <c r="AG401" s="170"/>
      <c r="AH401" s="170"/>
      <c r="AI401" s="170"/>
      <c r="AJ401" s="170"/>
      <c r="AK401" s="170"/>
      <c r="AL401" s="170"/>
      <c r="AM401" s="170"/>
      <c r="AN401" s="170"/>
      <c r="AO401" s="170"/>
      <c r="AP401" s="170"/>
      <c r="AQ401" s="170"/>
      <c r="AR401" s="170"/>
      <c r="AS401" s="170"/>
    </row>
    <row r="402" spans="1:45" ht="15" x14ac:dyDescent="0.25">
      <c r="A402" s="170"/>
      <c r="B402" s="719"/>
      <c r="C402" s="170"/>
      <c r="D402" s="170"/>
      <c r="E402" s="170"/>
      <c r="F402" s="170"/>
      <c r="G402" s="721"/>
      <c r="H402" s="170"/>
      <c r="I402" s="170"/>
      <c r="J402" s="170"/>
      <c r="K402" s="170"/>
      <c r="L402" s="170"/>
      <c r="M402" s="730"/>
      <c r="N402" s="730"/>
      <c r="O402" s="730"/>
      <c r="P402" s="731"/>
      <c r="Q402" s="731"/>
      <c r="R402" s="730"/>
      <c r="S402" s="730"/>
      <c r="T402" s="723"/>
      <c r="U402" s="724"/>
      <c r="V402" s="725"/>
      <c r="W402" s="725"/>
      <c r="X402" s="723"/>
      <c r="Y402" s="723"/>
      <c r="Z402" s="723"/>
      <c r="AA402" s="726"/>
      <c r="AB402" s="726"/>
      <c r="AC402" s="170"/>
      <c r="AD402" s="586"/>
      <c r="AE402" s="586"/>
      <c r="AF402" s="170"/>
      <c r="AG402" s="170"/>
      <c r="AH402" s="170"/>
      <c r="AI402" s="170"/>
      <c r="AJ402" s="170"/>
      <c r="AK402" s="170"/>
      <c r="AL402" s="170"/>
      <c r="AM402" s="170"/>
      <c r="AN402" s="170"/>
      <c r="AO402" s="170"/>
      <c r="AP402" s="170"/>
      <c r="AQ402" s="170"/>
      <c r="AR402" s="170"/>
      <c r="AS402" s="170"/>
    </row>
    <row r="403" spans="1:45" ht="15" x14ac:dyDescent="0.25">
      <c r="A403" s="170"/>
      <c r="B403" s="719"/>
      <c r="C403" s="170"/>
      <c r="D403" s="170"/>
      <c r="E403" s="170"/>
      <c r="F403" s="170"/>
      <c r="G403" s="721"/>
      <c r="H403" s="170"/>
      <c r="I403" s="170"/>
      <c r="J403" s="170"/>
      <c r="K403" s="170"/>
      <c r="L403" s="170"/>
      <c r="M403" s="730"/>
      <c r="N403" s="730"/>
      <c r="O403" s="730"/>
      <c r="P403" s="731"/>
      <c r="Q403" s="731"/>
      <c r="R403" s="730"/>
      <c r="S403" s="730"/>
      <c r="T403" s="723"/>
      <c r="U403" s="724"/>
      <c r="V403" s="725"/>
      <c r="W403" s="725"/>
      <c r="X403" s="723"/>
      <c r="Y403" s="723"/>
      <c r="Z403" s="723"/>
      <c r="AA403" s="726"/>
      <c r="AB403" s="726"/>
      <c r="AC403" s="170"/>
      <c r="AD403" s="586"/>
      <c r="AE403" s="586"/>
      <c r="AF403" s="170"/>
      <c r="AG403" s="170"/>
      <c r="AH403" s="170"/>
      <c r="AI403" s="170"/>
      <c r="AJ403" s="170"/>
      <c r="AK403" s="170"/>
      <c r="AL403" s="170"/>
      <c r="AM403" s="170"/>
      <c r="AN403" s="170"/>
      <c r="AO403" s="170"/>
      <c r="AP403" s="170"/>
      <c r="AQ403" s="170"/>
      <c r="AR403" s="170"/>
      <c r="AS403" s="170"/>
    </row>
    <row r="404" spans="1:45" ht="15" x14ac:dyDescent="0.25">
      <c r="A404" s="170"/>
      <c r="B404" s="719"/>
      <c r="C404" s="170"/>
      <c r="D404" s="170"/>
      <c r="E404" s="170"/>
      <c r="F404" s="170"/>
      <c r="G404" s="721"/>
      <c r="H404" s="170"/>
      <c r="I404" s="170"/>
      <c r="J404" s="170"/>
      <c r="K404" s="170"/>
      <c r="L404" s="170"/>
      <c r="M404" s="730"/>
      <c r="N404" s="730"/>
      <c r="O404" s="730"/>
      <c r="P404" s="731"/>
      <c r="Q404" s="731"/>
      <c r="R404" s="730"/>
      <c r="S404" s="730"/>
      <c r="T404" s="723"/>
      <c r="U404" s="724"/>
      <c r="V404" s="725"/>
      <c r="W404" s="725"/>
      <c r="X404" s="723"/>
      <c r="Y404" s="723"/>
      <c r="Z404" s="723"/>
      <c r="AA404" s="726"/>
      <c r="AB404" s="726"/>
      <c r="AC404" s="170"/>
      <c r="AD404" s="586"/>
      <c r="AE404" s="586"/>
      <c r="AF404" s="170"/>
      <c r="AG404" s="170"/>
      <c r="AH404" s="170"/>
      <c r="AI404" s="170"/>
      <c r="AJ404" s="170"/>
      <c r="AK404" s="170"/>
      <c r="AL404" s="170"/>
      <c r="AM404" s="170"/>
      <c r="AN404" s="170"/>
      <c r="AO404" s="170"/>
      <c r="AP404" s="170"/>
      <c r="AQ404" s="170"/>
      <c r="AR404" s="170"/>
      <c r="AS404" s="170"/>
    </row>
    <row r="405" spans="1:45" ht="15" x14ac:dyDescent="0.25">
      <c r="A405" s="170"/>
      <c r="B405" s="719"/>
      <c r="C405" s="170"/>
      <c r="D405" s="170"/>
      <c r="E405" s="170"/>
      <c r="F405" s="170"/>
      <c r="G405" s="721"/>
      <c r="H405" s="170"/>
      <c r="I405" s="170"/>
      <c r="J405" s="170"/>
      <c r="K405" s="170"/>
      <c r="L405" s="170"/>
      <c r="M405" s="730"/>
      <c r="N405" s="730"/>
      <c r="O405" s="730"/>
      <c r="P405" s="731"/>
      <c r="Q405" s="731"/>
      <c r="R405" s="730"/>
      <c r="S405" s="730"/>
      <c r="T405" s="723"/>
      <c r="U405" s="724"/>
      <c r="V405" s="725"/>
      <c r="W405" s="725"/>
      <c r="X405" s="723"/>
      <c r="Y405" s="723"/>
      <c r="Z405" s="723"/>
      <c r="AA405" s="726"/>
      <c r="AB405" s="726"/>
      <c r="AC405" s="170"/>
      <c r="AD405" s="586"/>
      <c r="AE405" s="586"/>
      <c r="AF405" s="170"/>
      <c r="AG405" s="170"/>
      <c r="AH405" s="170"/>
      <c r="AI405" s="170"/>
      <c r="AJ405" s="170"/>
      <c r="AK405" s="170"/>
      <c r="AL405" s="170"/>
      <c r="AM405" s="170"/>
      <c r="AN405" s="170"/>
      <c r="AO405" s="170"/>
      <c r="AP405" s="170"/>
      <c r="AQ405" s="170"/>
      <c r="AR405" s="170"/>
      <c r="AS405" s="170"/>
    </row>
    <row r="406" spans="1:45" ht="15" x14ac:dyDescent="0.25">
      <c r="A406" s="170"/>
      <c r="B406" s="719"/>
      <c r="C406" s="170"/>
      <c r="D406" s="170"/>
      <c r="E406" s="170"/>
      <c r="F406" s="170"/>
      <c r="G406" s="721"/>
      <c r="H406" s="170"/>
      <c r="I406" s="170"/>
      <c r="J406" s="170"/>
      <c r="K406" s="170"/>
      <c r="L406" s="170"/>
      <c r="M406" s="730"/>
      <c r="N406" s="730"/>
      <c r="O406" s="730"/>
      <c r="P406" s="731"/>
      <c r="Q406" s="731"/>
      <c r="R406" s="730"/>
      <c r="S406" s="730"/>
      <c r="T406" s="723"/>
      <c r="U406" s="724"/>
      <c r="V406" s="725"/>
      <c r="W406" s="725"/>
      <c r="X406" s="723"/>
      <c r="Y406" s="723"/>
      <c r="Z406" s="723"/>
      <c r="AA406" s="726"/>
      <c r="AB406" s="726"/>
      <c r="AC406" s="170"/>
      <c r="AD406" s="586"/>
      <c r="AE406" s="586"/>
      <c r="AF406" s="170"/>
      <c r="AG406" s="170"/>
      <c r="AH406" s="170"/>
      <c r="AI406" s="170"/>
      <c r="AJ406" s="170"/>
      <c r="AK406" s="170"/>
      <c r="AL406" s="170"/>
      <c r="AM406" s="170"/>
      <c r="AN406" s="170"/>
      <c r="AO406" s="170"/>
      <c r="AP406" s="170"/>
      <c r="AQ406" s="170"/>
      <c r="AR406" s="170"/>
      <c r="AS406" s="170"/>
    </row>
    <row r="407" spans="1:45" ht="15" x14ac:dyDescent="0.25">
      <c r="A407" s="170"/>
      <c r="B407" s="719"/>
      <c r="C407" s="170"/>
      <c r="D407" s="170"/>
      <c r="E407" s="170"/>
      <c r="F407" s="170"/>
      <c r="G407" s="721"/>
      <c r="H407" s="170"/>
      <c r="I407" s="170"/>
      <c r="J407" s="170"/>
      <c r="K407" s="170"/>
      <c r="L407" s="170"/>
      <c r="M407" s="730"/>
      <c r="N407" s="730"/>
      <c r="O407" s="730"/>
      <c r="P407" s="731"/>
      <c r="Q407" s="731"/>
      <c r="R407" s="730"/>
      <c r="S407" s="730"/>
      <c r="T407" s="723"/>
      <c r="U407" s="724"/>
      <c r="V407" s="725"/>
      <c r="W407" s="725"/>
      <c r="X407" s="723"/>
      <c r="Y407" s="723"/>
      <c r="Z407" s="723"/>
      <c r="AA407" s="726"/>
      <c r="AB407" s="726"/>
      <c r="AC407" s="170"/>
      <c r="AD407" s="586"/>
      <c r="AE407" s="586"/>
      <c r="AF407" s="170"/>
      <c r="AG407" s="170"/>
      <c r="AH407" s="170"/>
      <c r="AI407" s="170"/>
      <c r="AJ407" s="170"/>
      <c r="AK407" s="170"/>
      <c r="AL407" s="170"/>
      <c r="AM407" s="170"/>
      <c r="AN407" s="170"/>
      <c r="AO407" s="170"/>
      <c r="AP407" s="170"/>
      <c r="AQ407" s="170"/>
      <c r="AR407" s="170"/>
      <c r="AS407" s="170"/>
    </row>
    <row r="408" spans="1:45" ht="15" x14ac:dyDescent="0.25">
      <c r="A408" s="170"/>
      <c r="B408" s="719"/>
      <c r="C408" s="170"/>
      <c r="D408" s="170"/>
      <c r="E408" s="170"/>
      <c r="F408" s="170"/>
      <c r="G408" s="721"/>
      <c r="H408" s="170"/>
      <c r="I408" s="170"/>
      <c r="J408" s="170"/>
      <c r="K408" s="170"/>
      <c r="L408" s="170"/>
      <c r="M408" s="730"/>
      <c r="N408" s="730"/>
      <c r="O408" s="730"/>
      <c r="P408" s="731"/>
      <c r="Q408" s="731"/>
      <c r="R408" s="730"/>
      <c r="S408" s="730"/>
      <c r="T408" s="723"/>
      <c r="U408" s="724"/>
      <c r="V408" s="725"/>
      <c r="W408" s="725"/>
      <c r="X408" s="723"/>
      <c r="Y408" s="723"/>
      <c r="Z408" s="723"/>
      <c r="AA408" s="726"/>
      <c r="AB408" s="726"/>
      <c r="AC408" s="170"/>
      <c r="AD408" s="586"/>
      <c r="AE408" s="586"/>
      <c r="AF408" s="170"/>
      <c r="AG408" s="170"/>
      <c r="AH408" s="170"/>
      <c r="AI408" s="170"/>
      <c r="AJ408" s="170"/>
      <c r="AK408" s="170"/>
      <c r="AL408" s="170"/>
      <c r="AM408" s="170"/>
      <c r="AN408" s="170"/>
      <c r="AO408" s="170"/>
      <c r="AP408" s="170"/>
      <c r="AQ408" s="170"/>
      <c r="AR408" s="170"/>
      <c r="AS408" s="170"/>
    </row>
    <row r="409" spans="1:45" ht="15" x14ac:dyDescent="0.25">
      <c r="A409" s="170"/>
      <c r="B409" s="719"/>
      <c r="C409" s="170"/>
      <c r="D409" s="170"/>
      <c r="E409" s="170"/>
      <c r="F409" s="170"/>
      <c r="G409" s="721"/>
      <c r="H409" s="170"/>
      <c r="I409" s="170"/>
      <c r="J409" s="170"/>
      <c r="K409" s="170"/>
      <c r="L409" s="170"/>
      <c r="M409" s="730"/>
      <c r="N409" s="730"/>
      <c r="O409" s="730"/>
      <c r="P409" s="731"/>
      <c r="Q409" s="731"/>
      <c r="R409" s="730"/>
      <c r="S409" s="730"/>
      <c r="T409" s="723"/>
      <c r="U409" s="724"/>
      <c r="V409" s="725"/>
      <c r="W409" s="725"/>
      <c r="X409" s="723"/>
      <c r="Y409" s="723"/>
      <c r="Z409" s="723"/>
      <c r="AA409" s="726"/>
      <c r="AB409" s="726"/>
      <c r="AC409" s="170"/>
      <c r="AD409" s="586"/>
      <c r="AE409" s="586"/>
      <c r="AF409" s="170"/>
      <c r="AG409" s="170"/>
      <c r="AH409" s="170"/>
      <c r="AI409" s="170"/>
      <c r="AJ409" s="170"/>
      <c r="AK409" s="170"/>
      <c r="AL409" s="170"/>
      <c r="AM409" s="170"/>
      <c r="AN409" s="170"/>
      <c r="AO409" s="170"/>
      <c r="AP409" s="170"/>
      <c r="AQ409" s="170"/>
      <c r="AR409" s="170"/>
      <c r="AS409" s="170"/>
    </row>
    <row r="410" spans="1:45" ht="15" x14ac:dyDescent="0.25">
      <c r="A410" s="170"/>
      <c r="B410" s="719"/>
      <c r="C410" s="170"/>
      <c r="D410" s="170"/>
      <c r="E410" s="170"/>
      <c r="F410" s="170"/>
      <c r="G410" s="721"/>
      <c r="H410" s="170"/>
      <c r="I410" s="170"/>
      <c r="J410" s="170"/>
      <c r="K410" s="170"/>
      <c r="L410" s="170"/>
      <c r="M410" s="730"/>
      <c r="N410" s="730"/>
      <c r="O410" s="730"/>
      <c r="P410" s="731"/>
      <c r="Q410" s="731"/>
      <c r="R410" s="730"/>
      <c r="S410" s="730"/>
      <c r="T410" s="723"/>
      <c r="U410" s="724"/>
      <c r="V410" s="725"/>
      <c r="W410" s="725"/>
      <c r="X410" s="723"/>
      <c r="Y410" s="723"/>
      <c r="Z410" s="723"/>
      <c r="AA410" s="726"/>
      <c r="AB410" s="726"/>
      <c r="AC410" s="170"/>
      <c r="AD410" s="586"/>
      <c r="AE410" s="586"/>
      <c r="AF410" s="170"/>
      <c r="AG410" s="170"/>
      <c r="AH410" s="170"/>
      <c r="AI410" s="170"/>
      <c r="AJ410" s="170"/>
      <c r="AK410" s="170"/>
      <c r="AL410" s="170"/>
      <c r="AM410" s="170"/>
      <c r="AN410" s="170"/>
      <c r="AO410" s="170"/>
      <c r="AP410" s="170"/>
      <c r="AQ410" s="170"/>
      <c r="AR410" s="170"/>
      <c r="AS410" s="170"/>
    </row>
    <row r="411" spans="1:45" ht="15" x14ac:dyDescent="0.25">
      <c r="A411" s="170"/>
      <c r="B411" s="719"/>
      <c r="C411" s="170"/>
      <c r="D411" s="170"/>
      <c r="E411" s="170"/>
      <c r="F411" s="170"/>
      <c r="G411" s="721"/>
      <c r="H411" s="170"/>
      <c r="I411" s="170"/>
      <c r="J411" s="170"/>
      <c r="K411" s="170"/>
      <c r="L411" s="170"/>
      <c r="M411" s="730"/>
      <c r="N411" s="730"/>
      <c r="O411" s="730"/>
      <c r="P411" s="731"/>
      <c r="Q411" s="731"/>
      <c r="R411" s="730"/>
      <c r="S411" s="730"/>
      <c r="T411" s="723"/>
      <c r="U411" s="724"/>
      <c r="V411" s="725"/>
      <c r="W411" s="725"/>
      <c r="X411" s="723"/>
      <c r="Y411" s="723"/>
      <c r="Z411" s="723"/>
      <c r="AA411" s="726"/>
      <c r="AB411" s="726"/>
      <c r="AC411" s="170"/>
      <c r="AD411" s="586"/>
      <c r="AE411" s="586"/>
      <c r="AF411" s="170"/>
      <c r="AG411" s="170"/>
      <c r="AH411" s="170"/>
      <c r="AI411" s="170"/>
      <c r="AJ411" s="170"/>
      <c r="AK411" s="170"/>
      <c r="AL411" s="170"/>
      <c r="AM411" s="170"/>
      <c r="AN411" s="170"/>
      <c r="AO411" s="170"/>
      <c r="AP411" s="170"/>
      <c r="AQ411" s="170"/>
      <c r="AR411" s="170"/>
      <c r="AS411" s="170"/>
    </row>
    <row r="412" spans="1:45" ht="15" x14ac:dyDescent="0.25">
      <c r="A412" s="170"/>
      <c r="B412" s="719"/>
      <c r="C412" s="170"/>
      <c r="D412" s="170"/>
      <c r="E412" s="170"/>
      <c r="F412" s="170"/>
      <c r="G412" s="721"/>
      <c r="H412" s="170"/>
      <c r="I412" s="170"/>
      <c r="J412" s="170"/>
      <c r="K412" s="170"/>
      <c r="L412" s="170"/>
      <c r="M412" s="730"/>
      <c r="N412" s="730"/>
      <c r="O412" s="730"/>
      <c r="P412" s="731"/>
      <c r="Q412" s="731"/>
      <c r="R412" s="730"/>
      <c r="S412" s="730"/>
      <c r="T412" s="723"/>
      <c r="U412" s="724"/>
      <c r="V412" s="725"/>
      <c r="W412" s="725"/>
      <c r="X412" s="723"/>
      <c r="Y412" s="723"/>
      <c r="Z412" s="723"/>
      <c r="AA412" s="726"/>
      <c r="AB412" s="726"/>
      <c r="AC412" s="170"/>
      <c r="AD412" s="586"/>
      <c r="AE412" s="586"/>
      <c r="AF412" s="170"/>
      <c r="AG412" s="170"/>
      <c r="AH412" s="170"/>
      <c r="AI412" s="170"/>
      <c r="AJ412" s="170"/>
      <c r="AK412" s="170"/>
      <c r="AL412" s="170"/>
      <c r="AM412" s="170"/>
      <c r="AN412" s="170"/>
      <c r="AO412" s="170"/>
      <c r="AP412" s="170"/>
      <c r="AQ412" s="170"/>
      <c r="AR412" s="170"/>
      <c r="AS412" s="170"/>
    </row>
    <row r="413" spans="1:45" ht="15" x14ac:dyDescent="0.25">
      <c r="A413" s="170"/>
      <c r="B413" s="719"/>
      <c r="C413" s="170"/>
      <c r="D413" s="170"/>
      <c r="E413" s="170"/>
      <c r="F413" s="170"/>
      <c r="G413" s="721"/>
      <c r="H413" s="170"/>
      <c r="I413" s="170"/>
      <c r="J413" s="170"/>
      <c r="K413" s="170"/>
      <c r="L413" s="170"/>
      <c r="M413" s="730"/>
      <c r="N413" s="730"/>
      <c r="O413" s="730"/>
      <c r="P413" s="731"/>
      <c r="Q413" s="731"/>
      <c r="R413" s="730"/>
      <c r="S413" s="730"/>
      <c r="T413" s="723"/>
      <c r="U413" s="724"/>
      <c r="V413" s="725"/>
      <c r="W413" s="725"/>
      <c r="X413" s="723"/>
      <c r="Y413" s="723"/>
      <c r="Z413" s="723"/>
      <c r="AA413" s="726"/>
      <c r="AB413" s="726"/>
      <c r="AC413" s="170"/>
      <c r="AD413" s="586"/>
      <c r="AE413" s="586"/>
      <c r="AF413" s="170"/>
      <c r="AG413" s="170"/>
      <c r="AH413" s="170"/>
      <c r="AI413" s="170"/>
      <c r="AJ413" s="170"/>
      <c r="AK413" s="170"/>
      <c r="AL413" s="170"/>
      <c r="AM413" s="170"/>
      <c r="AN413" s="170"/>
      <c r="AO413" s="170"/>
      <c r="AP413" s="170"/>
      <c r="AQ413" s="170"/>
      <c r="AR413" s="170"/>
      <c r="AS413" s="170"/>
    </row>
    <row r="414" spans="1:45" ht="15" x14ac:dyDescent="0.25">
      <c r="A414" s="170"/>
      <c r="B414" s="719"/>
      <c r="C414" s="170"/>
      <c r="D414" s="170"/>
      <c r="E414" s="170"/>
      <c r="F414" s="170"/>
      <c r="G414" s="721"/>
      <c r="H414" s="170"/>
      <c r="I414" s="170"/>
      <c r="J414" s="170"/>
      <c r="K414" s="170"/>
      <c r="L414" s="170"/>
      <c r="M414" s="730"/>
      <c r="N414" s="730"/>
      <c r="O414" s="730"/>
      <c r="P414" s="731"/>
      <c r="Q414" s="731"/>
      <c r="R414" s="730"/>
      <c r="S414" s="730"/>
      <c r="T414" s="723"/>
      <c r="U414" s="724"/>
      <c r="V414" s="725"/>
      <c r="W414" s="725"/>
      <c r="X414" s="723"/>
      <c r="Y414" s="723"/>
      <c r="Z414" s="723"/>
      <c r="AA414" s="726"/>
      <c r="AB414" s="726"/>
      <c r="AC414" s="170"/>
      <c r="AD414" s="586"/>
      <c r="AE414" s="586"/>
      <c r="AF414" s="170"/>
      <c r="AG414" s="170"/>
      <c r="AH414" s="170"/>
      <c r="AI414" s="170"/>
      <c r="AJ414" s="170"/>
      <c r="AK414" s="170"/>
      <c r="AL414" s="170"/>
      <c r="AM414" s="170"/>
      <c r="AN414" s="170"/>
      <c r="AO414" s="170"/>
      <c r="AP414" s="170"/>
      <c r="AQ414" s="170"/>
      <c r="AR414" s="170"/>
      <c r="AS414" s="170"/>
    </row>
    <row r="415" spans="1:45" ht="15" x14ac:dyDescent="0.25">
      <c r="A415" s="170"/>
      <c r="B415" s="719"/>
      <c r="C415" s="170"/>
      <c r="D415" s="170"/>
      <c r="E415" s="170"/>
      <c r="F415" s="170"/>
      <c r="G415" s="721"/>
      <c r="H415" s="170"/>
      <c r="I415" s="170"/>
      <c r="J415" s="170"/>
      <c r="K415" s="170"/>
      <c r="L415" s="170"/>
      <c r="M415" s="730"/>
      <c r="N415" s="730"/>
      <c r="O415" s="730"/>
      <c r="P415" s="731"/>
      <c r="Q415" s="731"/>
      <c r="R415" s="730"/>
      <c r="S415" s="730"/>
      <c r="T415" s="723"/>
      <c r="U415" s="724"/>
      <c r="V415" s="725"/>
      <c r="W415" s="725"/>
      <c r="X415" s="723"/>
      <c r="Y415" s="723"/>
      <c r="Z415" s="723"/>
      <c r="AA415" s="726"/>
      <c r="AB415" s="726"/>
      <c r="AC415" s="170"/>
      <c r="AD415" s="586"/>
      <c r="AE415" s="586"/>
      <c r="AF415" s="170"/>
      <c r="AG415" s="170"/>
      <c r="AH415" s="170"/>
      <c r="AI415" s="170"/>
      <c r="AJ415" s="170"/>
      <c r="AK415" s="170"/>
      <c r="AL415" s="170"/>
      <c r="AM415" s="170"/>
      <c r="AN415" s="170"/>
      <c r="AO415" s="170"/>
      <c r="AP415" s="170"/>
      <c r="AQ415" s="170"/>
      <c r="AR415" s="170"/>
      <c r="AS415" s="170"/>
    </row>
    <row r="416" spans="1:45" ht="15" x14ac:dyDescent="0.25">
      <c r="A416" s="170"/>
      <c r="B416" s="719"/>
      <c r="C416" s="170"/>
      <c r="D416" s="170"/>
      <c r="E416" s="170"/>
      <c r="F416" s="170"/>
      <c r="G416" s="721"/>
      <c r="H416" s="170"/>
      <c r="I416" s="170"/>
      <c r="J416" s="170"/>
      <c r="K416" s="170"/>
      <c r="L416" s="170"/>
      <c r="M416" s="730"/>
      <c r="N416" s="730"/>
      <c r="O416" s="730"/>
      <c r="P416" s="731"/>
      <c r="Q416" s="731"/>
      <c r="R416" s="730"/>
      <c r="S416" s="730"/>
      <c r="T416" s="723"/>
      <c r="U416" s="724"/>
      <c r="V416" s="725"/>
      <c r="W416" s="725"/>
      <c r="X416" s="723"/>
      <c r="Y416" s="723"/>
      <c r="Z416" s="723"/>
      <c r="AA416" s="726"/>
      <c r="AB416" s="726"/>
      <c r="AC416" s="170"/>
      <c r="AD416" s="586"/>
      <c r="AE416" s="586"/>
      <c r="AF416" s="170"/>
      <c r="AG416" s="170"/>
      <c r="AH416" s="170"/>
      <c r="AI416" s="170"/>
      <c r="AJ416" s="170"/>
      <c r="AK416" s="170"/>
      <c r="AL416" s="170"/>
      <c r="AM416" s="170"/>
      <c r="AN416" s="170"/>
      <c r="AO416" s="170"/>
      <c r="AP416" s="170"/>
      <c r="AQ416" s="170"/>
      <c r="AR416" s="170"/>
      <c r="AS416" s="170"/>
    </row>
    <row r="417" spans="1:45" ht="15" x14ac:dyDescent="0.25">
      <c r="A417" s="170"/>
      <c r="B417" s="719"/>
      <c r="C417" s="170"/>
      <c r="D417" s="170"/>
      <c r="E417" s="170"/>
      <c r="F417" s="170"/>
      <c r="G417" s="721"/>
      <c r="H417" s="170"/>
      <c r="I417" s="170"/>
      <c r="J417" s="170"/>
      <c r="K417" s="170"/>
      <c r="L417" s="170"/>
      <c r="M417" s="730"/>
      <c r="N417" s="730"/>
      <c r="O417" s="730"/>
      <c r="P417" s="731"/>
      <c r="Q417" s="731"/>
      <c r="R417" s="730"/>
      <c r="S417" s="730"/>
      <c r="T417" s="723"/>
      <c r="U417" s="724"/>
      <c r="V417" s="725"/>
      <c r="W417" s="725"/>
      <c r="X417" s="723"/>
      <c r="Y417" s="723"/>
      <c r="Z417" s="723"/>
      <c r="AA417" s="726"/>
      <c r="AB417" s="726"/>
      <c r="AC417" s="170"/>
      <c r="AD417" s="586"/>
      <c r="AE417" s="586"/>
      <c r="AF417" s="170"/>
      <c r="AG417" s="170"/>
      <c r="AH417" s="170"/>
      <c r="AI417" s="170"/>
      <c r="AJ417" s="170"/>
      <c r="AK417" s="170"/>
      <c r="AL417" s="170"/>
      <c r="AM417" s="170"/>
      <c r="AN417" s="170"/>
      <c r="AO417" s="170"/>
      <c r="AP417" s="170"/>
      <c r="AQ417" s="170"/>
      <c r="AR417" s="170"/>
      <c r="AS417" s="170"/>
    </row>
    <row r="418" spans="1:45" ht="15" x14ac:dyDescent="0.25">
      <c r="A418" s="170"/>
      <c r="B418" s="719"/>
      <c r="C418" s="170"/>
      <c r="D418" s="170"/>
      <c r="E418" s="170"/>
      <c r="F418" s="170"/>
      <c r="G418" s="721"/>
      <c r="H418" s="170"/>
      <c r="I418" s="170"/>
      <c r="J418" s="170"/>
      <c r="K418" s="170"/>
      <c r="L418" s="170"/>
      <c r="M418" s="730"/>
      <c r="N418" s="730"/>
      <c r="O418" s="730"/>
      <c r="P418" s="731"/>
      <c r="Q418" s="731"/>
      <c r="R418" s="730"/>
      <c r="S418" s="730"/>
      <c r="T418" s="723"/>
      <c r="U418" s="724"/>
      <c r="V418" s="725"/>
      <c r="W418" s="725"/>
      <c r="X418" s="723"/>
      <c r="Y418" s="723"/>
      <c r="Z418" s="723"/>
      <c r="AA418" s="726"/>
      <c r="AB418" s="726"/>
      <c r="AC418" s="170"/>
      <c r="AD418" s="586"/>
      <c r="AE418" s="586"/>
      <c r="AF418" s="170"/>
      <c r="AG418" s="170"/>
      <c r="AH418" s="170"/>
      <c r="AI418" s="170"/>
      <c r="AJ418" s="170"/>
      <c r="AK418" s="170"/>
      <c r="AL418" s="170"/>
      <c r="AM418" s="170"/>
      <c r="AN418" s="170"/>
      <c r="AO418" s="170"/>
      <c r="AP418" s="170"/>
      <c r="AQ418" s="170"/>
      <c r="AR418" s="170"/>
      <c r="AS418" s="170"/>
    </row>
    <row r="419" spans="1:45" ht="15" x14ac:dyDescent="0.25">
      <c r="A419" s="170"/>
      <c r="B419" s="719"/>
      <c r="C419" s="170"/>
      <c r="D419" s="170"/>
      <c r="E419" s="170"/>
      <c r="F419" s="170"/>
      <c r="G419" s="721"/>
      <c r="H419" s="170"/>
      <c r="I419" s="170"/>
      <c r="J419" s="170"/>
      <c r="K419" s="170"/>
      <c r="L419" s="170"/>
      <c r="M419" s="730"/>
      <c r="N419" s="730"/>
      <c r="O419" s="730"/>
      <c r="P419" s="731"/>
      <c r="Q419" s="731"/>
      <c r="R419" s="730"/>
      <c r="S419" s="730"/>
      <c r="T419" s="723"/>
      <c r="U419" s="724"/>
      <c r="V419" s="725"/>
      <c r="W419" s="725"/>
      <c r="X419" s="723"/>
      <c r="Y419" s="723"/>
      <c r="Z419" s="723"/>
      <c r="AA419" s="726"/>
      <c r="AB419" s="726"/>
      <c r="AC419" s="170"/>
      <c r="AD419" s="586"/>
      <c r="AE419" s="586"/>
      <c r="AF419" s="170"/>
      <c r="AG419" s="170"/>
      <c r="AH419" s="170"/>
      <c r="AI419" s="170"/>
      <c r="AJ419" s="170"/>
      <c r="AK419" s="170"/>
      <c r="AL419" s="170"/>
      <c r="AM419" s="170"/>
      <c r="AN419" s="170"/>
      <c r="AO419" s="170"/>
      <c r="AP419" s="170"/>
      <c r="AQ419" s="170"/>
      <c r="AR419" s="170"/>
      <c r="AS419" s="170"/>
    </row>
    <row r="420" spans="1:45" ht="15" x14ac:dyDescent="0.25">
      <c r="A420" s="170"/>
      <c r="B420" s="719"/>
      <c r="C420" s="170"/>
      <c r="D420" s="170"/>
      <c r="E420" s="170"/>
      <c r="F420" s="170"/>
      <c r="G420" s="721"/>
      <c r="H420" s="170"/>
      <c r="I420" s="170"/>
      <c r="J420" s="170"/>
      <c r="K420" s="170"/>
      <c r="L420" s="170"/>
      <c r="M420" s="730"/>
      <c r="N420" s="730"/>
      <c r="O420" s="730"/>
      <c r="P420" s="731"/>
      <c r="Q420" s="731"/>
      <c r="R420" s="730"/>
      <c r="S420" s="730"/>
      <c r="T420" s="723"/>
      <c r="U420" s="724"/>
      <c r="V420" s="725"/>
      <c r="W420" s="725"/>
      <c r="X420" s="723"/>
      <c r="Y420" s="723"/>
      <c r="Z420" s="723"/>
      <c r="AA420" s="726"/>
      <c r="AB420" s="726"/>
      <c r="AC420" s="170"/>
      <c r="AD420" s="586"/>
      <c r="AE420" s="586"/>
      <c r="AF420" s="170"/>
      <c r="AG420" s="170"/>
      <c r="AH420" s="170"/>
      <c r="AI420" s="170"/>
      <c r="AJ420" s="170"/>
      <c r="AK420" s="170"/>
      <c r="AL420" s="170"/>
      <c r="AM420" s="170"/>
      <c r="AN420" s="170"/>
      <c r="AO420" s="170"/>
      <c r="AP420" s="170"/>
      <c r="AQ420" s="170"/>
      <c r="AR420" s="170"/>
      <c r="AS420" s="170"/>
    </row>
    <row r="421" spans="1:45" ht="15" x14ac:dyDescent="0.25">
      <c r="A421" s="170"/>
      <c r="B421" s="719"/>
      <c r="C421" s="170"/>
      <c r="D421" s="170"/>
      <c r="E421" s="170"/>
      <c r="F421" s="170"/>
      <c r="G421" s="721"/>
      <c r="H421" s="170"/>
      <c r="I421" s="170"/>
      <c r="J421" s="170"/>
      <c r="K421" s="170"/>
      <c r="L421" s="170"/>
      <c r="M421" s="730"/>
      <c r="N421" s="730"/>
      <c r="O421" s="730"/>
      <c r="P421" s="731"/>
      <c r="Q421" s="731"/>
      <c r="R421" s="730"/>
      <c r="S421" s="730"/>
      <c r="T421" s="723"/>
      <c r="U421" s="724"/>
      <c r="V421" s="725"/>
      <c r="W421" s="725"/>
      <c r="X421" s="723"/>
      <c r="Y421" s="723"/>
      <c r="Z421" s="723"/>
      <c r="AA421" s="726"/>
      <c r="AB421" s="726"/>
      <c r="AC421" s="170"/>
      <c r="AD421" s="586"/>
      <c r="AE421" s="586"/>
      <c r="AF421" s="170"/>
      <c r="AG421" s="170"/>
      <c r="AH421" s="170"/>
      <c r="AI421" s="170"/>
      <c r="AJ421" s="170"/>
      <c r="AK421" s="170"/>
      <c r="AL421" s="170"/>
      <c r="AM421" s="170"/>
      <c r="AN421" s="170"/>
      <c r="AO421" s="170"/>
      <c r="AP421" s="170"/>
      <c r="AQ421" s="170"/>
      <c r="AR421" s="170"/>
      <c r="AS421" s="170"/>
    </row>
    <row r="422" spans="1:45" ht="15" x14ac:dyDescent="0.25">
      <c r="A422" s="170"/>
      <c r="B422" s="719"/>
      <c r="C422" s="170"/>
      <c r="D422" s="170"/>
      <c r="E422" s="170"/>
      <c r="F422" s="170"/>
      <c r="G422" s="721"/>
      <c r="H422" s="170"/>
      <c r="I422" s="170"/>
      <c r="J422" s="170"/>
      <c r="K422" s="170"/>
      <c r="L422" s="170"/>
      <c r="M422" s="730"/>
      <c r="N422" s="730"/>
      <c r="O422" s="730"/>
      <c r="P422" s="731"/>
      <c r="Q422" s="731"/>
      <c r="R422" s="730"/>
      <c r="S422" s="730"/>
      <c r="T422" s="723"/>
      <c r="U422" s="724"/>
      <c r="V422" s="725"/>
      <c r="W422" s="725"/>
      <c r="X422" s="723"/>
      <c r="Y422" s="723"/>
      <c r="Z422" s="723"/>
      <c r="AA422" s="726"/>
      <c r="AB422" s="726"/>
      <c r="AC422" s="170"/>
      <c r="AD422" s="586"/>
      <c r="AE422" s="586"/>
      <c r="AF422" s="170"/>
      <c r="AG422" s="170"/>
      <c r="AH422" s="170"/>
      <c r="AI422" s="170"/>
      <c r="AJ422" s="170"/>
      <c r="AK422" s="170"/>
      <c r="AL422" s="170"/>
      <c r="AM422" s="170"/>
      <c r="AN422" s="170"/>
      <c r="AO422" s="170"/>
      <c r="AP422" s="170"/>
      <c r="AQ422" s="170"/>
      <c r="AR422" s="170"/>
      <c r="AS422" s="170"/>
    </row>
    <row r="423" spans="1:45" ht="15" x14ac:dyDescent="0.25">
      <c r="A423" s="170"/>
      <c r="B423" s="719"/>
      <c r="C423" s="170"/>
      <c r="D423" s="170"/>
      <c r="E423" s="170"/>
      <c r="F423" s="170"/>
      <c r="G423" s="721"/>
      <c r="H423" s="170"/>
      <c r="I423" s="170"/>
      <c r="J423" s="170"/>
      <c r="K423" s="170"/>
      <c r="L423" s="170"/>
      <c r="M423" s="730"/>
      <c r="N423" s="730"/>
      <c r="O423" s="730"/>
      <c r="P423" s="731"/>
      <c r="Q423" s="731"/>
      <c r="R423" s="730"/>
      <c r="S423" s="730"/>
      <c r="T423" s="723"/>
      <c r="U423" s="724"/>
      <c r="V423" s="725"/>
      <c r="W423" s="725"/>
      <c r="X423" s="723"/>
      <c r="Y423" s="723"/>
      <c r="Z423" s="723"/>
      <c r="AA423" s="726"/>
      <c r="AB423" s="726"/>
      <c r="AC423" s="170"/>
      <c r="AD423" s="586"/>
      <c r="AE423" s="586"/>
      <c r="AF423" s="170"/>
      <c r="AG423" s="170"/>
      <c r="AH423" s="170"/>
      <c r="AI423" s="170"/>
      <c r="AJ423" s="170"/>
      <c r="AK423" s="170"/>
      <c r="AL423" s="170"/>
      <c r="AM423" s="170"/>
      <c r="AN423" s="170"/>
      <c r="AO423" s="170"/>
      <c r="AP423" s="170"/>
      <c r="AQ423" s="170"/>
      <c r="AR423" s="170"/>
      <c r="AS423" s="170"/>
    </row>
    <row r="424" spans="1:45" ht="15" x14ac:dyDescent="0.25">
      <c r="A424" s="170"/>
      <c r="B424" s="719"/>
      <c r="C424" s="170"/>
      <c r="D424" s="170"/>
      <c r="E424" s="170"/>
      <c r="F424" s="170"/>
      <c r="G424" s="721"/>
      <c r="H424" s="170"/>
      <c r="I424" s="170"/>
      <c r="J424" s="170"/>
      <c r="K424" s="170"/>
      <c r="L424" s="170"/>
      <c r="M424" s="730"/>
      <c r="N424" s="730"/>
      <c r="O424" s="730"/>
      <c r="P424" s="731"/>
      <c r="Q424" s="731"/>
      <c r="R424" s="730"/>
      <c r="S424" s="730"/>
      <c r="T424" s="723"/>
      <c r="U424" s="724"/>
      <c r="V424" s="725"/>
      <c r="W424" s="725"/>
      <c r="X424" s="723"/>
      <c r="Y424" s="723"/>
      <c r="Z424" s="723"/>
      <c r="AA424" s="726"/>
      <c r="AB424" s="726"/>
      <c r="AC424" s="170"/>
      <c r="AD424" s="586"/>
      <c r="AE424" s="586"/>
      <c r="AF424" s="170"/>
      <c r="AG424" s="170"/>
      <c r="AH424" s="170"/>
      <c r="AI424" s="170"/>
      <c r="AJ424" s="170"/>
      <c r="AK424" s="170"/>
      <c r="AL424" s="170"/>
      <c r="AM424" s="170"/>
      <c r="AN424" s="170"/>
      <c r="AO424" s="170"/>
      <c r="AP424" s="170"/>
      <c r="AQ424" s="170"/>
      <c r="AR424" s="170"/>
      <c r="AS424" s="170"/>
    </row>
    <row r="425" spans="1:45" ht="15" x14ac:dyDescent="0.25">
      <c r="A425" s="170"/>
      <c r="B425" s="719"/>
      <c r="C425" s="170"/>
      <c r="D425" s="170"/>
      <c r="E425" s="170"/>
      <c r="F425" s="170"/>
      <c r="G425" s="721"/>
      <c r="H425" s="170"/>
      <c r="I425" s="170"/>
      <c r="J425" s="170"/>
      <c r="K425" s="170"/>
      <c r="L425" s="170"/>
      <c r="M425" s="730"/>
      <c r="N425" s="730"/>
      <c r="O425" s="730"/>
      <c r="P425" s="731"/>
      <c r="Q425" s="731"/>
      <c r="R425" s="730"/>
      <c r="S425" s="730"/>
      <c r="T425" s="723"/>
      <c r="U425" s="724"/>
      <c r="V425" s="725"/>
      <c r="W425" s="725"/>
      <c r="X425" s="723"/>
      <c r="Y425" s="723"/>
      <c r="Z425" s="723"/>
      <c r="AA425" s="726"/>
      <c r="AB425" s="726"/>
      <c r="AC425" s="170"/>
      <c r="AD425" s="586"/>
      <c r="AE425" s="586"/>
      <c r="AF425" s="170"/>
      <c r="AG425" s="170"/>
      <c r="AH425" s="170"/>
      <c r="AI425" s="170"/>
      <c r="AJ425" s="170"/>
      <c r="AK425" s="170"/>
      <c r="AL425" s="170"/>
      <c r="AM425" s="170"/>
      <c r="AN425" s="170"/>
      <c r="AO425" s="170"/>
      <c r="AP425" s="170"/>
      <c r="AQ425" s="170"/>
      <c r="AR425" s="170"/>
      <c r="AS425" s="170"/>
    </row>
    <row r="426" spans="1:45" ht="15" x14ac:dyDescent="0.25">
      <c r="A426" s="170"/>
      <c r="B426" s="719"/>
      <c r="C426" s="170"/>
      <c r="D426" s="170"/>
      <c r="E426" s="170"/>
      <c r="F426" s="170"/>
      <c r="G426" s="721"/>
      <c r="H426" s="170"/>
      <c r="I426" s="170"/>
      <c r="J426" s="170"/>
      <c r="K426" s="170"/>
      <c r="L426" s="170"/>
      <c r="M426" s="730"/>
      <c r="N426" s="730"/>
      <c r="O426" s="730"/>
      <c r="P426" s="731"/>
      <c r="Q426" s="731"/>
      <c r="R426" s="730"/>
      <c r="S426" s="730"/>
      <c r="T426" s="723"/>
      <c r="U426" s="724"/>
      <c r="V426" s="725"/>
      <c r="W426" s="725"/>
      <c r="X426" s="723"/>
      <c r="Y426" s="723"/>
      <c r="Z426" s="723"/>
      <c r="AA426" s="726"/>
      <c r="AB426" s="726"/>
      <c r="AC426" s="170"/>
      <c r="AD426" s="586"/>
      <c r="AE426" s="586"/>
      <c r="AF426" s="170"/>
      <c r="AG426" s="170"/>
      <c r="AH426" s="170"/>
      <c r="AI426" s="170"/>
      <c r="AJ426" s="170"/>
      <c r="AK426" s="170"/>
      <c r="AL426" s="170"/>
      <c r="AM426" s="170"/>
      <c r="AN426" s="170"/>
      <c r="AO426" s="170"/>
      <c r="AP426" s="170"/>
      <c r="AQ426" s="170"/>
      <c r="AR426" s="170"/>
      <c r="AS426" s="170"/>
    </row>
    <row r="427" spans="1:45" ht="15" x14ac:dyDescent="0.25">
      <c r="A427" s="170"/>
      <c r="B427" s="719"/>
      <c r="C427" s="170"/>
      <c r="D427" s="170"/>
      <c r="E427" s="170"/>
      <c r="F427" s="170"/>
      <c r="G427" s="721"/>
      <c r="H427" s="170"/>
      <c r="I427" s="170"/>
      <c r="J427" s="170"/>
      <c r="K427" s="170"/>
      <c r="L427" s="170"/>
      <c r="M427" s="730"/>
      <c r="N427" s="730"/>
      <c r="O427" s="730"/>
      <c r="P427" s="731"/>
      <c r="Q427" s="731"/>
      <c r="R427" s="730"/>
      <c r="S427" s="730"/>
      <c r="T427" s="723"/>
      <c r="U427" s="724"/>
      <c r="V427" s="725"/>
      <c r="W427" s="725"/>
      <c r="X427" s="723"/>
      <c r="Y427" s="723"/>
      <c r="Z427" s="723"/>
      <c r="AA427" s="726"/>
      <c r="AB427" s="726"/>
      <c r="AC427" s="170"/>
      <c r="AD427" s="586"/>
      <c r="AE427" s="586"/>
      <c r="AF427" s="170"/>
      <c r="AG427" s="170"/>
      <c r="AH427" s="170"/>
      <c r="AI427" s="170"/>
      <c r="AJ427" s="170"/>
      <c r="AK427" s="170"/>
      <c r="AL427" s="170"/>
      <c r="AM427" s="170"/>
      <c r="AN427" s="170"/>
      <c r="AO427" s="170"/>
      <c r="AP427" s="170"/>
      <c r="AQ427" s="170"/>
      <c r="AR427" s="170"/>
      <c r="AS427" s="170"/>
    </row>
    <row r="428" spans="1:45" ht="15" x14ac:dyDescent="0.25">
      <c r="A428" s="170"/>
      <c r="B428" s="719"/>
      <c r="C428" s="170"/>
      <c r="D428" s="170"/>
      <c r="E428" s="170"/>
      <c r="F428" s="170"/>
      <c r="G428" s="721"/>
      <c r="H428" s="170"/>
      <c r="I428" s="170"/>
      <c r="J428" s="170"/>
      <c r="K428" s="170"/>
      <c r="L428" s="170"/>
      <c r="M428" s="730"/>
      <c r="N428" s="730"/>
      <c r="O428" s="730"/>
      <c r="P428" s="731"/>
      <c r="Q428" s="731"/>
      <c r="R428" s="730"/>
      <c r="S428" s="730"/>
      <c r="T428" s="723"/>
      <c r="U428" s="724"/>
      <c r="V428" s="725"/>
      <c r="W428" s="725"/>
      <c r="X428" s="723"/>
      <c r="Y428" s="723"/>
      <c r="Z428" s="723"/>
      <c r="AA428" s="726"/>
      <c r="AB428" s="726"/>
      <c r="AC428" s="170"/>
      <c r="AD428" s="586"/>
      <c r="AE428" s="586"/>
      <c r="AF428" s="170"/>
      <c r="AG428" s="170"/>
      <c r="AH428" s="170"/>
      <c r="AI428" s="170"/>
      <c r="AJ428" s="170"/>
      <c r="AK428" s="170"/>
      <c r="AL428" s="170"/>
      <c r="AM428" s="170"/>
      <c r="AN428" s="170"/>
      <c r="AO428" s="170"/>
      <c r="AP428" s="170"/>
      <c r="AQ428" s="170"/>
      <c r="AR428" s="170"/>
      <c r="AS428" s="170"/>
    </row>
    <row r="429" spans="1:45" ht="15" x14ac:dyDescent="0.25">
      <c r="A429" s="170"/>
      <c r="B429" s="719"/>
      <c r="C429" s="170"/>
      <c r="D429" s="170"/>
      <c r="E429" s="170"/>
      <c r="F429" s="170"/>
      <c r="G429" s="721"/>
      <c r="H429" s="170"/>
      <c r="I429" s="170"/>
      <c r="J429" s="170"/>
      <c r="K429" s="170"/>
      <c r="L429" s="170"/>
      <c r="M429" s="730"/>
      <c r="N429" s="730"/>
      <c r="O429" s="730"/>
      <c r="P429" s="731"/>
      <c r="Q429" s="731"/>
      <c r="R429" s="730"/>
      <c r="S429" s="730"/>
      <c r="T429" s="723"/>
      <c r="U429" s="724"/>
      <c r="V429" s="725"/>
      <c r="W429" s="725"/>
      <c r="X429" s="723"/>
      <c r="Y429" s="723"/>
      <c r="Z429" s="723"/>
      <c r="AA429" s="726"/>
      <c r="AB429" s="726"/>
      <c r="AC429" s="170"/>
      <c r="AD429" s="586"/>
      <c r="AE429" s="586"/>
      <c r="AF429" s="170"/>
      <c r="AG429" s="170"/>
      <c r="AH429" s="170"/>
      <c r="AI429" s="170"/>
      <c r="AJ429" s="170"/>
      <c r="AK429" s="170"/>
      <c r="AL429" s="170"/>
      <c r="AM429" s="170"/>
      <c r="AN429" s="170"/>
      <c r="AO429" s="170"/>
      <c r="AP429" s="170"/>
      <c r="AQ429" s="170"/>
      <c r="AR429" s="170"/>
      <c r="AS429" s="170"/>
    </row>
    <row r="430" spans="1:45" ht="15" x14ac:dyDescent="0.25">
      <c r="A430" s="170"/>
      <c r="B430" s="719"/>
      <c r="C430" s="170"/>
      <c r="D430" s="170"/>
      <c r="E430" s="170"/>
      <c r="F430" s="170"/>
      <c r="G430" s="721"/>
      <c r="H430" s="170"/>
      <c r="I430" s="170"/>
      <c r="J430" s="170"/>
      <c r="K430" s="170"/>
      <c r="L430" s="170"/>
      <c r="M430" s="730"/>
      <c r="N430" s="730"/>
      <c r="O430" s="730"/>
      <c r="P430" s="731"/>
      <c r="Q430" s="731"/>
      <c r="R430" s="730"/>
      <c r="S430" s="730"/>
      <c r="T430" s="723"/>
      <c r="U430" s="724"/>
      <c r="V430" s="725"/>
      <c r="W430" s="725"/>
      <c r="X430" s="723"/>
      <c r="Y430" s="723"/>
      <c r="Z430" s="723"/>
      <c r="AA430" s="726"/>
      <c r="AB430" s="726"/>
      <c r="AC430" s="170"/>
      <c r="AD430" s="586"/>
      <c r="AE430" s="586"/>
      <c r="AF430" s="170"/>
      <c r="AG430" s="170"/>
      <c r="AH430" s="170"/>
      <c r="AI430" s="170"/>
      <c r="AJ430" s="170"/>
      <c r="AK430" s="170"/>
      <c r="AL430" s="170"/>
      <c r="AM430" s="170"/>
      <c r="AN430" s="170"/>
      <c r="AO430" s="170"/>
      <c r="AP430" s="170"/>
      <c r="AQ430" s="170"/>
      <c r="AR430" s="170"/>
      <c r="AS430" s="170"/>
    </row>
    <row r="431" spans="1:45" ht="15" x14ac:dyDescent="0.25">
      <c r="A431" s="170"/>
      <c r="B431" s="719"/>
      <c r="C431" s="170"/>
      <c r="D431" s="170"/>
      <c r="E431" s="170"/>
      <c r="F431" s="170"/>
      <c r="G431" s="721"/>
      <c r="H431" s="170"/>
      <c r="I431" s="170"/>
      <c r="J431" s="170"/>
      <c r="K431" s="170"/>
      <c r="L431" s="170"/>
      <c r="M431" s="730"/>
      <c r="N431" s="730"/>
      <c r="O431" s="730"/>
      <c r="P431" s="731"/>
      <c r="Q431" s="731"/>
      <c r="R431" s="730"/>
      <c r="S431" s="730"/>
      <c r="T431" s="723"/>
      <c r="U431" s="724"/>
      <c r="V431" s="725"/>
      <c r="W431" s="725"/>
      <c r="X431" s="723"/>
      <c r="Y431" s="723"/>
      <c r="Z431" s="723"/>
      <c r="AA431" s="726"/>
      <c r="AB431" s="726"/>
      <c r="AC431" s="170"/>
      <c r="AD431" s="586"/>
      <c r="AE431" s="586"/>
      <c r="AF431" s="170"/>
      <c r="AG431" s="170"/>
      <c r="AH431" s="170"/>
      <c r="AI431" s="170"/>
      <c r="AJ431" s="170"/>
      <c r="AK431" s="170"/>
      <c r="AL431" s="170"/>
      <c r="AM431" s="170"/>
      <c r="AN431" s="170"/>
      <c r="AO431" s="170"/>
      <c r="AP431" s="170"/>
      <c r="AQ431" s="170"/>
      <c r="AR431" s="170"/>
      <c r="AS431" s="170"/>
    </row>
    <row r="432" spans="1:45" ht="15" x14ac:dyDescent="0.25">
      <c r="A432" s="170"/>
      <c r="B432" s="719"/>
      <c r="C432" s="170"/>
      <c r="D432" s="170"/>
      <c r="E432" s="170"/>
      <c r="F432" s="170"/>
      <c r="G432" s="721"/>
      <c r="H432" s="170"/>
      <c r="I432" s="170"/>
      <c r="J432" s="170"/>
      <c r="K432" s="170"/>
      <c r="L432" s="170"/>
      <c r="M432" s="730"/>
      <c r="N432" s="730"/>
      <c r="O432" s="730"/>
      <c r="P432" s="731"/>
      <c r="Q432" s="731"/>
      <c r="R432" s="730"/>
      <c r="S432" s="730"/>
      <c r="T432" s="723"/>
      <c r="U432" s="724"/>
      <c r="V432" s="725"/>
      <c r="W432" s="725"/>
      <c r="X432" s="723"/>
      <c r="Y432" s="723"/>
      <c r="Z432" s="723"/>
      <c r="AA432" s="726"/>
      <c r="AB432" s="726"/>
      <c r="AC432" s="170"/>
      <c r="AD432" s="586"/>
      <c r="AE432" s="586"/>
      <c r="AF432" s="170"/>
      <c r="AG432" s="170"/>
      <c r="AH432" s="170"/>
      <c r="AI432" s="170"/>
      <c r="AJ432" s="170"/>
      <c r="AK432" s="170"/>
      <c r="AL432" s="170"/>
      <c r="AM432" s="170"/>
      <c r="AN432" s="170"/>
      <c r="AO432" s="170"/>
      <c r="AP432" s="170"/>
      <c r="AQ432" s="170"/>
      <c r="AR432" s="170"/>
      <c r="AS432" s="170"/>
    </row>
    <row r="433" spans="1:45" ht="15" x14ac:dyDescent="0.25">
      <c r="A433" s="170"/>
      <c r="B433" s="719"/>
      <c r="C433" s="170"/>
      <c r="D433" s="170"/>
      <c r="E433" s="170"/>
      <c r="F433" s="170"/>
      <c r="G433" s="721"/>
      <c r="H433" s="170"/>
      <c r="I433" s="170"/>
      <c r="J433" s="170"/>
      <c r="K433" s="170"/>
      <c r="L433" s="170"/>
      <c r="M433" s="730"/>
      <c r="N433" s="730"/>
      <c r="O433" s="730"/>
      <c r="P433" s="731"/>
      <c r="Q433" s="731"/>
      <c r="R433" s="730"/>
      <c r="S433" s="730"/>
      <c r="T433" s="723"/>
      <c r="U433" s="724"/>
      <c r="V433" s="725"/>
      <c r="W433" s="725"/>
      <c r="X433" s="723"/>
      <c r="Y433" s="723"/>
      <c r="Z433" s="723"/>
      <c r="AA433" s="726"/>
      <c r="AB433" s="726"/>
      <c r="AC433" s="170"/>
      <c r="AD433" s="586"/>
      <c r="AE433" s="586"/>
      <c r="AF433" s="170"/>
      <c r="AG433" s="170"/>
      <c r="AH433" s="170"/>
      <c r="AI433" s="170"/>
      <c r="AJ433" s="170"/>
      <c r="AK433" s="170"/>
      <c r="AL433" s="170"/>
      <c r="AM433" s="170"/>
      <c r="AN433" s="170"/>
      <c r="AO433" s="170"/>
      <c r="AP433" s="170"/>
      <c r="AQ433" s="170"/>
      <c r="AR433" s="170"/>
      <c r="AS433" s="170"/>
    </row>
    <row r="434" spans="1:45" ht="15" x14ac:dyDescent="0.25">
      <c r="A434" s="170"/>
      <c r="B434" s="719"/>
      <c r="C434" s="170"/>
      <c r="D434" s="170"/>
      <c r="E434" s="170"/>
      <c r="F434" s="170"/>
      <c r="G434" s="721"/>
      <c r="H434" s="170"/>
      <c r="I434" s="170"/>
      <c r="J434" s="170"/>
      <c r="K434" s="170"/>
      <c r="L434" s="170"/>
      <c r="M434" s="730"/>
      <c r="N434" s="730"/>
      <c r="O434" s="730"/>
      <c r="P434" s="731"/>
      <c r="Q434" s="731"/>
      <c r="R434" s="730"/>
      <c r="S434" s="730"/>
      <c r="T434" s="723"/>
      <c r="U434" s="724"/>
      <c r="V434" s="725"/>
      <c r="W434" s="725"/>
      <c r="X434" s="723"/>
      <c r="Y434" s="723"/>
      <c r="Z434" s="723"/>
      <c r="AA434" s="726"/>
      <c r="AB434" s="726"/>
      <c r="AC434" s="170"/>
      <c r="AD434" s="586"/>
      <c r="AE434" s="586"/>
      <c r="AF434" s="170"/>
      <c r="AG434" s="170"/>
      <c r="AH434" s="170"/>
      <c r="AI434" s="170"/>
      <c r="AJ434" s="170"/>
      <c r="AK434" s="170"/>
      <c r="AL434" s="170"/>
      <c r="AM434" s="170"/>
      <c r="AN434" s="170"/>
      <c r="AO434" s="170"/>
      <c r="AP434" s="170"/>
      <c r="AQ434" s="170"/>
      <c r="AR434" s="170"/>
      <c r="AS434" s="170"/>
    </row>
    <row r="435" spans="1:45" ht="15" x14ac:dyDescent="0.25">
      <c r="A435" s="170"/>
      <c r="B435" s="719"/>
      <c r="C435" s="170"/>
      <c r="D435" s="170"/>
      <c r="E435" s="170"/>
      <c r="F435" s="170"/>
      <c r="G435" s="721"/>
      <c r="H435" s="170"/>
      <c r="I435" s="170"/>
      <c r="J435" s="170"/>
      <c r="K435" s="170"/>
      <c r="L435" s="170"/>
      <c r="M435" s="730"/>
      <c r="N435" s="730"/>
      <c r="O435" s="730"/>
      <c r="P435" s="731"/>
      <c r="Q435" s="731"/>
      <c r="R435" s="730"/>
      <c r="S435" s="730"/>
      <c r="T435" s="723"/>
      <c r="U435" s="724"/>
      <c r="V435" s="725"/>
      <c r="W435" s="725"/>
      <c r="X435" s="723"/>
      <c r="Y435" s="723"/>
      <c r="Z435" s="723"/>
      <c r="AA435" s="726"/>
      <c r="AB435" s="726"/>
      <c r="AC435" s="170"/>
      <c r="AD435" s="586"/>
      <c r="AE435" s="586"/>
      <c r="AF435" s="170"/>
      <c r="AG435" s="170"/>
      <c r="AH435" s="170"/>
      <c r="AI435" s="170"/>
      <c r="AJ435" s="170"/>
      <c r="AK435" s="170"/>
      <c r="AL435" s="170"/>
      <c r="AM435" s="170"/>
      <c r="AN435" s="170"/>
      <c r="AO435" s="170"/>
      <c r="AP435" s="170"/>
      <c r="AQ435" s="170"/>
      <c r="AR435" s="170"/>
      <c r="AS435" s="170"/>
    </row>
    <row r="436" spans="1:45" ht="15" x14ac:dyDescent="0.25">
      <c r="A436" s="170"/>
      <c r="B436" s="719"/>
      <c r="C436" s="170"/>
      <c r="D436" s="170"/>
      <c r="E436" s="170"/>
      <c r="F436" s="170"/>
      <c r="G436" s="721"/>
      <c r="H436" s="170"/>
      <c r="I436" s="170"/>
      <c r="J436" s="170"/>
      <c r="K436" s="170"/>
      <c r="L436" s="170"/>
      <c r="M436" s="730"/>
      <c r="N436" s="730"/>
      <c r="O436" s="730"/>
      <c r="P436" s="731"/>
      <c r="Q436" s="731"/>
      <c r="R436" s="730"/>
      <c r="S436" s="730"/>
      <c r="T436" s="723"/>
      <c r="U436" s="724"/>
      <c r="V436" s="725"/>
      <c r="W436" s="725"/>
      <c r="X436" s="723"/>
      <c r="Y436" s="723"/>
      <c r="Z436" s="723"/>
      <c r="AA436" s="726"/>
      <c r="AB436" s="726"/>
      <c r="AC436" s="170"/>
      <c r="AD436" s="586"/>
      <c r="AE436" s="586"/>
      <c r="AF436" s="170"/>
      <c r="AG436" s="170"/>
      <c r="AH436" s="170"/>
      <c r="AI436" s="170"/>
      <c r="AJ436" s="170"/>
      <c r="AK436" s="170"/>
      <c r="AL436" s="170"/>
      <c r="AM436" s="170"/>
      <c r="AN436" s="170"/>
      <c r="AO436" s="170"/>
      <c r="AP436" s="170"/>
      <c r="AQ436" s="170"/>
      <c r="AR436" s="170"/>
      <c r="AS436" s="170"/>
    </row>
    <row r="437" spans="1:45" ht="15" x14ac:dyDescent="0.25">
      <c r="A437" s="170"/>
      <c r="B437" s="719"/>
      <c r="C437" s="170"/>
      <c r="D437" s="170"/>
      <c r="E437" s="170"/>
      <c r="F437" s="170"/>
      <c r="G437" s="721"/>
      <c r="H437" s="170"/>
      <c r="I437" s="170"/>
      <c r="J437" s="170"/>
      <c r="K437" s="170"/>
      <c r="L437" s="170"/>
      <c r="M437" s="730"/>
      <c r="N437" s="730"/>
      <c r="O437" s="730"/>
      <c r="P437" s="731"/>
      <c r="Q437" s="731"/>
      <c r="R437" s="730"/>
      <c r="S437" s="730"/>
      <c r="T437" s="723"/>
      <c r="U437" s="724"/>
      <c r="V437" s="725"/>
      <c r="W437" s="725"/>
      <c r="X437" s="723"/>
      <c r="Y437" s="723"/>
      <c r="Z437" s="723"/>
      <c r="AA437" s="726"/>
      <c r="AB437" s="726"/>
      <c r="AC437" s="170"/>
      <c r="AD437" s="586"/>
      <c r="AE437" s="586"/>
      <c r="AF437" s="170"/>
      <c r="AG437" s="170"/>
      <c r="AH437" s="170"/>
      <c r="AI437" s="170"/>
      <c r="AJ437" s="170"/>
      <c r="AK437" s="170"/>
      <c r="AL437" s="170"/>
      <c r="AM437" s="170"/>
      <c r="AN437" s="170"/>
      <c r="AO437" s="170"/>
      <c r="AP437" s="170"/>
      <c r="AQ437" s="170"/>
      <c r="AR437" s="170"/>
      <c r="AS437" s="170"/>
    </row>
    <row r="438" spans="1:45" ht="15" x14ac:dyDescent="0.25">
      <c r="A438" s="170"/>
      <c r="B438" s="719"/>
      <c r="C438" s="170"/>
      <c r="D438" s="170"/>
      <c r="E438" s="170"/>
      <c r="F438" s="170"/>
      <c r="G438" s="721"/>
      <c r="H438" s="170"/>
      <c r="I438" s="170"/>
      <c r="J438" s="170"/>
      <c r="K438" s="170"/>
      <c r="L438" s="170"/>
      <c r="M438" s="730"/>
      <c r="N438" s="730"/>
      <c r="O438" s="730"/>
      <c r="P438" s="731"/>
      <c r="Q438" s="731"/>
      <c r="R438" s="730"/>
      <c r="S438" s="730"/>
      <c r="T438" s="723"/>
      <c r="U438" s="724"/>
      <c r="V438" s="725"/>
      <c r="W438" s="725"/>
      <c r="X438" s="723"/>
      <c r="Y438" s="723"/>
      <c r="Z438" s="723"/>
      <c r="AA438" s="726"/>
      <c r="AB438" s="726"/>
      <c r="AC438" s="170"/>
      <c r="AD438" s="586"/>
      <c r="AE438" s="586"/>
      <c r="AF438" s="170"/>
      <c r="AG438" s="170"/>
      <c r="AH438" s="170"/>
      <c r="AI438" s="170"/>
      <c r="AJ438" s="170"/>
      <c r="AK438" s="170"/>
      <c r="AL438" s="170"/>
      <c r="AM438" s="170"/>
      <c r="AN438" s="170"/>
      <c r="AO438" s="170"/>
      <c r="AP438" s="170"/>
      <c r="AQ438" s="170"/>
      <c r="AR438" s="170"/>
      <c r="AS438" s="170"/>
    </row>
    <row r="439" spans="1:45" ht="15" x14ac:dyDescent="0.25">
      <c r="A439" s="170"/>
      <c r="B439" s="719"/>
      <c r="C439" s="170"/>
      <c r="D439" s="170"/>
      <c r="E439" s="170"/>
      <c r="F439" s="170"/>
      <c r="G439" s="721"/>
      <c r="H439" s="170"/>
      <c r="I439" s="170"/>
      <c r="J439" s="170"/>
      <c r="K439" s="170"/>
      <c r="L439" s="170"/>
      <c r="M439" s="730"/>
      <c r="N439" s="730"/>
      <c r="O439" s="730"/>
      <c r="P439" s="731"/>
      <c r="Q439" s="731"/>
      <c r="R439" s="730"/>
      <c r="S439" s="730"/>
      <c r="T439" s="723"/>
      <c r="U439" s="724"/>
      <c r="V439" s="725"/>
      <c r="W439" s="725"/>
      <c r="X439" s="723"/>
      <c r="Y439" s="723"/>
      <c r="Z439" s="723"/>
      <c r="AA439" s="726"/>
      <c r="AB439" s="726"/>
      <c r="AC439" s="170"/>
      <c r="AD439" s="586"/>
      <c r="AE439" s="586"/>
      <c r="AF439" s="170"/>
      <c r="AG439" s="170"/>
      <c r="AH439" s="170"/>
      <c r="AI439" s="170"/>
      <c r="AJ439" s="170"/>
      <c r="AK439" s="170"/>
      <c r="AL439" s="170"/>
      <c r="AM439" s="170"/>
      <c r="AN439" s="170"/>
      <c r="AO439" s="170"/>
      <c r="AP439" s="170"/>
      <c r="AQ439" s="170"/>
      <c r="AR439" s="170"/>
      <c r="AS439" s="170"/>
    </row>
    <row r="440" spans="1:45" ht="15" x14ac:dyDescent="0.25">
      <c r="A440" s="170"/>
      <c r="B440" s="719"/>
      <c r="C440" s="170"/>
      <c r="D440" s="170"/>
      <c r="E440" s="170"/>
      <c r="F440" s="170"/>
      <c r="G440" s="721"/>
      <c r="H440" s="170"/>
      <c r="I440" s="170"/>
      <c r="J440" s="170"/>
      <c r="K440" s="170"/>
      <c r="L440" s="170"/>
      <c r="M440" s="730"/>
      <c r="N440" s="730"/>
      <c r="O440" s="730"/>
      <c r="P440" s="731"/>
      <c r="Q440" s="731"/>
      <c r="R440" s="730"/>
      <c r="S440" s="730"/>
      <c r="T440" s="723"/>
      <c r="U440" s="724"/>
      <c r="V440" s="725"/>
      <c r="W440" s="725"/>
      <c r="X440" s="723"/>
      <c r="Y440" s="723"/>
      <c r="Z440" s="723"/>
      <c r="AA440" s="726"/>
      <c r="AB440" s="726"/>
      <c r="AC440" s="170"/>
      <c r="AD440" s="586"/>
      <c r="AE440" s="586"/>
      <c r="AF440" s="170"/>
      <c r="AG440" s="170"/>
      <c r="AH440" s="170"/>
      <c r="AI440" s="170"/>
      <c r="AJ440" s="170"/>
      <c r="AK440" s="170"/>
      <c r="AL440" s="170"/>
      <c r="AM440" s="170"/>
      <c r="AN440" s="170"/>
      <c r="AO440" s="170"/>
      <c r="AP440" s="170"/>
      <c r="AQ440" s="170"/>
      <c r="AR440" s="170"/>
      <c r="AS440" s="170"/>
    </row>
    <row r="441" spans="1:45" ht="15" x14ac:dyDescent="0.25">
      <c r="A441" s="170"/>
      <c r="B441" s="719"/>
      <c r="C441" s="170"/>
      <c r="D441" s="170"/>
      <c r="E441" s="170"/>
      <c r="F441" s="170"/>
      <c r="G441" s="721"/>
      <c r="H441" s="170"/>
      <c r="I441" s="170"/>
      <c r="J441" s="170"/>
      <c r="K441" s="170"/>
      <c r="L441" s="170"/>
      <c r="M441" s="730"/>
      <c r="N441" s="730"/>
      <c r="O441" s="730"/>
      <c r="P441" s="731"/>
      <c r="Q441" s="731"/>
      <c r="R441" s="730"/>
      <c r="S441" s="730"/>
      <c r="T441" s="723"/>
      <c r="U441" s="724"/>
      <c r="V441" s="725"/>
      <c r="W441" s="725"/>
      <c r="X441" s="723"/>
      <c r="Y441" s="723"/>
      <c r="Z441" s="723"/>
      <c r="AA441" s="726"/>
      <c r="AB441" s="726"/>
      <c r="AC441" s="170"/>
      <c r="AD441" s="586"/>
      <c r="AE441" s="586"/>
      <c r="AF441" s="170"/>
      <c r="AG441" s="170"/>
      <c r="AH441" s="170"/>
      <c r="AI441" s="170"/>
      <c r="AJ441" s="170"/>
      <c r="AK441" s="170"/>
      <c r="AL441" s="170"/>
      <c r="AM441" s="170"/>
      <c r="AN441" s="170"/>
      <c r="AO441" s="170"/>
      <c r="AP441" s="170"/>
      <c r="AQ441" s="170"/>
      <c r="AR441" s="170"/>
      <c r="AS441" s="170"/>
    </row>
    <row r="442" spans="1:45" ht="15" x14ac:dyDescent="0.25">
      <c r="A442" s="170"/>
      <c r="B442" s="719"/>
      <c r="C442" s="170"/>
      <c r="D442" s="170"/>
      <c r="E442" s="170"/>
      <c r="F442" s="170"/>
      <c r="G442" s="721"/>
      <c r="H442" s="170"/>
      <c r="I442" s="170"/>
      <c r="J442" s="170"/>
      <c r="K442" s="170"/>
      <c r="L442" s="170"/>
      <c r="M442" s="730"/>
      <c r="N442" s="730"/>
      <c r="O442" s="730"/>
      <c r="P442" s="731"/>
      <c r="Q442" s="731"/>
      <c r="R442" s="730"/>
      <c r="S442" s="730"/>
      <c r="T442" s="723"/>
      <c r="U442" s="724"/>
      <c r="V442" s="725"/>
      <c r="W442" s="725"/>
      <c r="X442" s="723"/>
      <c r="Y442" s="723"/>
      <c r="Z442" s="723"/>
      <c r="AA442" s="726"/>
      <c r="AB442" s="726"/>
      <c r="AC442" s="170"/>
      <c r="AD442" s="586"/>
      <c r="AE442" s="586"/>
      <c r="AF442" s="170"/>
      <c r="AG442" s="170"/>
      <c r="AH442" s="170"/>
      <c r="AI442" s="170"/>
      <c r="AJ442" s="170"/>
      <c r="AK442" s="170"/>
      <c r="AL442" s="170"/>
      <c r="AM442" s="170"/>
      <c r="AN442" s="170"/>
      <c r="AO442" s="170"/>
      <c r="AP442" s="170"/>
      <c r="AQ442" s="170"/>
      <c r="AR442" s="170"/>
      <c r="AS442" s="170"/>
    </row>
    <row r="443" spans="1:45" ht="15" x14ac:dyDescent="0.25">
      <c r="A443" s="170"/>
      <c r="B443" s="719"/>
      <c r="C443" s="170"/>
      <c r="D443" s="170"/>
      <c r="E443" s="170"/>
      <c r="F443" s="170"/>
      <c r="G443" s="721"/>
      <c r="H443" s="170"/>
      <c r="I443" s="170"/>
      <c r="J443" s="170"/>
      <c r="K443" s="170"/>
      <c r="L443" s="170"/>
      <c r="M443" s="730"/>
      <c r="N443" s="730"/>
      <c r="O443" s="730"/>
      <c r="P443" s="731"/>
      <c r="Q443" s="731"/>
      <c r="R443" s="730"/>
      <c r="S443" s="730"/>
      <c r="T443" s="723"/>
      <c r="U443" s="724"/>
      <c r="V443" s="725"/>
      <c r="W443" s="725"/>
      <c r="X443" s="723"/>
      <c r="Y443" s="723"/>
      <c r="Z443" s="723"/>
      <c r="AA443" s="726"/>
      <c r="AB443" s="726"/>
      <c r="AC443" s="170"/>
      <c r="AD443" s="586"/>
      <c r="AE443" s="586"/>
      <c r="AF443" s="170"/>
      <c r="AG443" s="170"/>
      <c r="AH443" s="170"/>
      <c r="AI443" s="170"/>
      <c r="AJ443" s="170"/>
      <c r="AK443" s="170"/>
      <c r="AL443" s="170"/>
      <c r="AM443" s="170"/>
      <c r="AN443" s="170"/>
      <c r="AO443" s="170"/>
      <c r="AP443" s="170"/>
      <c r="AQ443" s="170"/>
      <c r="AR443" s="170"/>
      <c r="AS443" s="170"/>
    </row>
    <row r="444" spans="1:45" ht="15" x14ac:dyDescent="0.25">
      <c r="A444" s="170"/>
      <c r="B444" s="719"/>
      <c r="C444" s="170"/>
      <c r="D444" s="170"/>
      <c r="E444" s="170"/>
      <c r="F444" s="170"/>
      <c r="G444" s="721"/>
      <c r="H444" s="170"/>
      <c r="I444" s="170"/>
      <c r="J444" s="170"/>
      <c r="K444" s="170"/>
      <c r="L444" s="170"/>
      <c r="M444" s="730"/>
      <c r="N444" s="730"/>
      <c r="O444" s="730"/>
      <c r="P444" s="731"/>
      <c r="Q444" s="731"/>
      <c r="R444" s="730"/>
      <c r="S444" s="730"/>
      <c r="T444" s="723"/>
      <c r="U444" s="724"/>
      <c r="V444" s="725"/>
      <c r="W444" s="725"/>
      <c r="X444" s="723"/>
      <c r="Y444" s="723"/>
      <c r="Z444" s="723"/>
      <c r="AA444" s="726"/>
      <c r="AB444" s="726"/>
      <c r="AC444" s="170"/>
      <c r="AD444" s="586"/>
      <c r="AE444" s="586"/>
      <c r="AF444" s="170"/>
      <c r="AG444" s="170"/>
      <c r="AH444" s="170"/>
      <c r="AI444" s="170"/>
      <c r="AJ444" s="170"/>
      <c r="AK444" s="170"/>
      <c r="AL444" s="170"/>
      <c r="AM444" s="170"/>
      <c r="AN444" s="170"/>
      <c r="AO444" s="170"/>
      <c r="AP444" s="170"/>
      <c r="AQ444" s="170"/>
      <c r="AR444" s="170"/>
      <c r="AS444" s="170"/>
    </row>
    <row r="445" spans="1:45" ht="15" x14ac:dyDescent="0.25">
      <c r="A445" s="170"/>
      <c r="B445" s="719"/>
      <c r="C445" s="170"/>
      <c r="D445" s="170"/>
      <c r="E445" s="170"/>
      <c r="F445" s="170"/>
      <c r="G445" s="721"/>
      <c r="H445" s="170"/>
      <c r="I445" s="170"/>
      <c r="J445" s="170"/>
      <c r="K445" s="170"/>
      <c r="L445" s="170"/>
      <c r="M445" s="730"/>
      <c r="N445" s="730"/>
      <c r="O445" s="730"/>
      <c r="P445" s="731"/>
      <c r="Q445" s="731"/>
      <c r="R445" s="730"/>
      <c r="S445" s="730"/>
      <c r="T445" s="723"/>
      <c r="U445" s="724"/>
      <c r="V445" s="725"/>
      <c r="W445" s="725"/>
      <c r="X445" s="723"/>
      <c r="Y445" s="723"/>
      <c r="Z445" s="723"/>
      <c r="AA445" s="726"/>
      <c r="AB445" s="726"/>
      <c r="AC445" s="170"/>
      <c r="AD445" s="586"/>
      <c r="AE445" s="586"/>
      <c r="AF445" s="170"/>
      <c r="AG445" s="170"/>
      <c r="AH445" s="170"/>
      <c r="AI445" s="170"/>
      <c r="AJ445" s="170"/>
      <c r="AK445" s="170"/>
      <c r="AL445" s="170"/>
      <c r="AM445" s="170"/>
      <c r="AN445" s="170"/>
      <c r="AO445" s="170"/>
      <c r="AP445" s="170"/>
      <c r="AQ445" s="170"/>
      <c r="AR445" s="170"/>
      <c r="AS445" s="170"/>
    </row>
    <row r="446" spans="1:45" ht="15" x14ac:dyDescent="0.25">
      <c r="A446" s="170"/>
      <c r="B446" s="719"/>
      <c r="C446" s="170"/>
      <c r="D446" s="170"/>
      <c r="E446" s="170"/>
      <c r="F446" s="170"/>
      <c r="G446" s="721"/>
      <c r="H446" s="170"/>
      <c r="I446" s="170"/>
      <c r="J446" s="170"/>
      <c r="K446" s="170"/>
      <c r="L446" s="170"/>
      <c r="M446" s="730"/>
      <c r="N446" s="730"/>
      <c r="O446" s="730"/>
      <c r="P446" s="731"/>
      <c r="Q446" s="731"/>
      <c r="R446" s="730"/>
      <c r="S446" s="730"/>
      <c r="T446" s="723"/>
      <c r="U446" s="724"/>
      <c r="V446" s="725"/>
      <c r="W446" s="725"/>
      <c r="X446" s="723"/>
      <c r="Y446" s="723"/>
      <c r="Z446" s="723"/>
      <c r="AA446" s="726"/>
      <c r="AB446" s="726"/>
      <c r="AC446" s="170"/>
      <c r="AD446" s="586"/>
      <c r="AE446" s="586"/>
      <c r="AF446" s="170"/>
      <c r="AG446" s="170"/>
      <c r="AH446" s="170"/>
      <c r="AI446" s="170"/>
      <c r="AJ446" s="170"/>
      <c r="AK446" s="170"/>
      <c r="AL446" s="170"/>
      <c r="AM446" s="170"/>
      <c r="AN446" s="170"/>
      <c r="AO446" s="170"/>
      <c r="AP446" s="170"/>
      <c r="AQ446" s="170"/>
      <c r="AR446" s="170"/>
      <c r="AS446" s="170"/>
    </row>
    <row r="447" spans="1:45" ht="15" x14ac:dyDescent="0.25">
      <c r="A447" s="170"/>
      <c r="B447" s="719"/>
      <c r="C447" s="170"/>
      <c r="D447" s="170"/>
      <c r="E447" s="170"/>
      <c r="F447" s="170"/>
      <c r="G447" s="721"/>
      <c r="H447" s="170"/>
      <c r="I447" s="170"/>
      <c r="J447" s="170"/>
      <c r="K447" s="170"/>
      <c r="L447" s="170"/>
      <c r="M447" s="730"/>
      <c r="N447" s="730"/>
      <c r="O447" s="730"/>
      <c r="P447" s="731"/>
      <c r="Q447" s="731"/>
      <c r="R447" s="730"/>
      <c r="S447" s="730"/>
      <c r="T447" s="723"/>
      <c r="U447" s="724"/>
      <c r="V447" s="725"/>
      <c r="W447" s="725"/>
      <c r="X447" s="723"/>
      <c r="Y447" s="723"/>
      <c r="Z447" s="723"/>
      <c r="AA447" s="726"/>
      <c r="AB447" s="726"/>
      <c r="AC447" s="170"/>
      <c r="AD447" s="586"/>
      <c r="AE447" s="586"/>
      <c r="AF447" s="170"/>
      <c r="AG447" s="170"/>
      <c r="AH447" s="170"/>
      <c r="AI447" s="170"/>
      <c r="AJ447" s="170"/>
      <c r="AK447" s="170"/>
      <c r="AL447" s="170"/>
      <c r="AM447" s="170"/>
      <c r="AN447" s="170"/>
      <c r="AO447" s="170"/>
      <c r="AP447" s="170"/>
      <c r="AQ447" s="170"/>
      <c r="AR447" s="170"/>
      <c r="AS447" s="170"/>
    </row>
    <row r="448" spans="1:45" ht="15" x14ac:dyDescent="0.25">
      <c r="A448" s="170"/>
      <c r="B448" s="719"/>
      <c r="C448" s="170"/>
      <c r="D448" s="170"/>
      <c r="E448" s="170"/>
      <c r="F448" s="170"/>
      <c r="G448" s="721"/>
      <c r="H448" s="170"/>
      <c r="I448" s="170"/>
      <c r="J448" s="170"/>
      <c r="K448" s="170"/>
      <c r="L448" s="170"/>
      <c r="M448" s="730"/>
      <c r="N448" s="730"/>
      <c r="O448" s="730"/>
      <c r="P448" s="731"/>
      <c r="Q448" s="731"/>
      <c r="R448" s="730"/>
      <c r="S448" s="730"/>
      <c r="T448" s="723"/>
      <c r="U448" s="724"/>
      <c r="V448" s="725"/>
      <c r="W448" s="725"/>
      <c r="X448" s="723"/>
      <c r="Y448" s="723"/>
      <c r="Z448" s="723"/>
      <c r="AA448" s="726"/>
      <c r="AB448" s="726"/>
      <c r="AC448" s="170"/>
      <c r="AD448" s="586"/>
      <c r="AE448" s="586"/>
      <c r="AF448" s="170"/>
      <c r="AG448" s="170"/>
      <c r="AH448" s="170"/>
      <c r="AI448" s="170"/>
      <c r="AJ448" s="170"/>
      <c r="AK448" s="170"/>
      <c r="AL448" s="170"/>
      <c r="AM448" s="170"/>
      <c r="AN448" s="170"/>
      <c r="AO448" s="170"/>
      <c r="AP448" s="170"/>
      <c r="AQ448" s="170"/>
      <c r="AR448" s="170"/>
      <c r="AS448" s="170"/>
    </row>
    <row r="449" spans="1:45" ht="15" x14ac:dyDescent="0.25">
      <c r="A449" s="170"/>
      <c r="B449" s="719"/>
      <c r="C449" s="170"/>
      <c r="D449" s="170"/>
      <c r="E449" s="170"/>
      <c r="F449" s="170"/>
      <c r="G449" s="721"/>
      <c r="H449" s="170"/>
      <c r="I449" s="170"/>
      <c r="J449" s="170"/>
      <c r="K449" s="170"/>
      <c r="L449" s="170"/>
      <c r="M449" s="730"/>
      <c r="N449" s="730"/>
      <c r="O449" s="730"/>
      <c r="P449" s="731"/>
      <c r="Q449" s="731"/>
      <c r="R449" s="730"/>
      <c r="S449" s="730"/>
      <c r="T449" s="723"/>
      <c r="U449" s="724"/>
      <c r="V449" s="725"/>
      <c r="W449" s="725"/>
      <c r="X449" s="723"/>
      <c r="Y449" s="723"/>
      <c r="Z449" s="723"/>
      <c r="AA449" s="726"/>
      <c r="AB449" s="726"/>
      <c r="AC449" s="170"/>
      <c r="AD449" s="586"/>
      <c r="AE449" s="586"/>
      <c r="AF449" s="170"/>
      <c r="AG449" s="170"/>
      <c r="AH449" s="170"/>
      <c r="AI449" s="170"/>
      <c r="AJ449" s="170"/>
      <c r="AK449" s="170"/>
      <c r="AL449" s="170"/>
      <c r="AM449" s="170"/>
      <c r="AN449" s="170"/>
      <c r="AO449" s="170"/>
      <c r="AP449" s="170"/>
      <c r="AQ449" s="170"/>
      <c r="AR449" s="170"/>
      <c r="AS449" s="170"/>
    </row>
    <row r="450" spans="1:45" ht="15" x14ac:dyDescent="0.25">
      <c r="A450" s="170"/>
      <c r="B450" s="719"/>
      <c r="C450" s="170"/>
      <c r="D450" s="170"/>
      <c r="E450" s="170"/>
      <c r="F450" s="170"/>
      <c r="G450" s="721"/>
      <c r="H450" s="170"/>
      <c r="I450" s="170"/>
      <c r="J450" s="170"/>
      <c r="K450" s="170"/>
      <c r="L450" s="170"/>
      <c r="M450" s="730"/>
      <c r="N450" s="730"/>
      <c r="O450" s="730"/>
      <c r="P450" s="731"/>
      <c r="Q450" s="731"/>
      <c r="R450" s="730"/>
      <c r="S450" s="730"/>
      <c r="T450" s="723"/>
      <c r="U450" s="724"/>
      <c r="V450" s="725"/>
      <c r="W450" s="725"/>
      <c r="X450" s="723"/>
      <c r="Y450" s="723"/>
      <c r="Z450" s="723"/>
      <c r="AA450" s="726"/>
      <c r="AB450" s="726"/>
      <c r="AC450" s="170"/>
      <c r="AD450" s="586"/>
      <c r="AE450" s="586"/>
      <c r="AF450" s="170"/>
      <c r="AG450" s="170"/>
      <c r="AH450" s="170"/>
      <c r="AI450" s="170"/>
      <c r="AJ450" s="170"/>
      <c r="AK450" s="170"/>
      <c r="AL450" s="170"/>
      <c r="AM450" s="170"/>
      <c r="AN450" s="170"/>
      <c r="AO450" s="170"/>
      <c r="AP450" s="170"/>
      <c r="AQ450" s="170"/>
      <c r="AR450" s="170"/>
      <c r="AS450" s="170"/>
    </row>
    <row r="451" spans="1:45" ht="15" x14ac:dyDescent="0.25">
      <c r="A451" s="170"/>
      <c r="B451" s="719"/>
      <c r="C451" s="170"/>
      <c r="D451" s="170"/>
      <c r="E451" s="170"/>
      <c r="F451" s="170"/>
      <c r="G451" s="721"/>
      <c r="H451" s="170"/>
      <c r="I451" s="170"/>
      <c r="J451" s="170"/>
      <c r="K451" s="170"/>
      <c r="L451" s="170"/>
      <c r="M451" s="730"/>
      <c r="N451" s="730"/>
      <c r="O451" s="730"/>
      <c r="P451" s="731"/>
      <c r="Q451" s="731"/>
      <c r="R451" s="730"/>
      <c r="S451" s="730"/>
      <c r="T451" s="723"/>
      <c r="U451" s="724"/>
      <c r="V451" s="725"/>
      <c r="W451" s="725"/>
      <c r="X451" s="723"/>
      <c r="Y451" s="723"/>
      <c r="Z451" s="723"/>
      <c r="AA451" s="726"/>
      <c r="AB451" s="726"/>
      <c r="AC451" s="170"/>
      <c r="AD451" s="586"/>
      <c r="AE451" s="586"/>
      <c r="AF451" s="170"/>
      <c r="AG451" s="170"/>
      <c r="AH451" s="170"/>
      <c r="AI451" s="170"/>
      <c r="AJ451" s="170"/>
      <c r="AK451" s="170"/>
      <c r="AL451" s="170"/>
      <c r="AM451" s="170"/>
      <c r="AN451" s="170"/>
      <c r="AO451" s="170"/>
      <c r="AP451" s="170"/>
      <c r="AQ451" s="170"/>
      <c r="AR451" s="170"/>
      <c r="AS451" s="170"/>
    </row>
    <row r="452" spans="1:45" ht="15" x14ac:dyDescent="0.25">
      <c r="A452" s="170"/>
      <c r="B452" s="719"/>
      <c r="C452" s="170"/>
      <c r="D452" s="170"/>
      <c r="E452" s="170"/>
      <c r="F452" s="170"/>
      <c r="G452" s="721"/>
      <c r="H452" s="170"/>
      <c r="I452" s="170"/>
      <c r="J452" s="170"/>
      <c r="K452" s="170"/>
      <c r="L452" s="170"/>
      <c r="M452" s="730"/>
      <c r="N452" s="730"/>
      <c r="O452" s="730"/>
      <c r="P452" s="731"/>
      <c r="Q452" s="731"/>
      <c r="R452" s="730"/>
      <c r="S452" s="730"/>
      <c r="T452" s="723"/>
      <c r="U452" s="724"/>
      <c r="V452" s="725"/>
      <c r="W452" s="725"/>
      <c r="X452" s="723"/>
      <c r="Y452" s="723"/>
      <c r="Z452" s="723"/>
      <c r="AA452" s="726"/>
      <c r="AB452" s="726"/>
      <c r="AC452" s="170"/>
      <c r="AD452" s="586"/>
      <c r="AE452" s="586"/>
      <c r="AF452" s="170"/>
      <c r="AG452" s="170"/>
      <c r="AH452" s="170"/>
      <c r="AI452" s="170"/>
      <c r="AJ452" s="170"/>
      <c r="AK452" s="170"/>
      <c r="AL452" s="170"/>
      <c r="AM452" s="170"/>
      <c r="AN452" s="170"/>
      <c r="AO452" s="170"/>
      <c r="AP452" s="170"/>
      <c r="AQ452" s="170"/>
      <c r="AR452" s="170"/>
      <c r="AS452" s="170"/>
    </row>
    <row r="453" spans="1:45" ht="15" x14ac:dyDescent="0.25">
      <c r="A453" s="170"/>
      <c r="B453" s="719"/>
      <c r="C453" s="170"/>
      <c r="D453" s="170"/>
      <c r="E453" s="170"/>
      <c r="F453" s="170"/>
      <c r="G453" s="721"/>
      <c r="H453" s="170"/>
      <c r="I453" s="170"/>
      <c r="J453" s="170"/>
      <c r="K453" s="170"/>
      <c r="L453" s="170"/>
      <c r="M453" s="730"/>
      <c r="N453" s="730"/>
      <c r="O453" s="730"/>
      <c r="P453" s="731"/>
      <c r="Q453" s="731"/>
      <c r="R453" s="730"/>
      <c r="S453" s="730"/>
      <c r="T453" s="723"/>
      <c r="U453" s="724"/>
      <c r="V453" s="725"/>
      <c r="W453" s="725"/>
      <c r="X453" s="723"/>
      <c r="Y453" s="723"/>
      <c r="Z453" s="723"/>
      <c r="AA453" s="726"/>
      <c r="AB453" s="726"/>
      <c r="AC453" s="170"/>
      <c r="AD453" s="586"/>
      <c r="AE453" s="586"/>
      <c r="AF453" s="170"/>
      <c r="AG453" s="170"/>
      <c r="AH453" s="170"/>
      <c r="AI453" s="170"/>
      <c r="AJ453" s="170"/>
      <c r="AK453" s="170"/>
      <c r="AL453" s="170"/>
      <c r="AM453" s="170"/>
      <c r="AN453" s="170"/>
      <c r="AO453" s="170"/>
      <c r="AP453" s="170"/>
      <c r="AQ453" s="170"/>
      <c r="AR453" s="170"/>
      <c r="AS453" s="170"/>
    </row>
    <row r="454" spans="1:45" ht="15" x14ac:dyDescent="0.25">
      <c r="A454" s="170"/>
      <c r="B454" s="719"/>
      <c r="C454" s="170"/>
      <c r="D454" s="170"/>
      <c r="E454" s="170"/>
      <c r="F454" s="170"/>
      <c r="G454" s="721"/>
      <c r="H454" s="170"/>
      <c r="I454" s="170"/>
      <c r="J454" s="170"/>
      <c r="K454" s="170"/>
      <c r="L454" s="170"/>
      <c r="M454" s="730"/>
      <c r="N454" s="730"/>
      <c r="O454" s="730"/>
      <c r="P454" s="731"/>
      <c r="Q454" s="731"/>
      <c r="R454" s="730"/>
      <c r="S454" s="730"/>
      <c r="T454" s="723"/>
      <c r="U454" s="724"/>
      <c r="V454" s="725"/>
      <c r="W454" s="725"/>
      <c r="X454" s="723"/>
      <c r="Y454" s="723"/>
      <c r="Z454" s="723"/>
      <c r="AA454" s="726"/>
      <c r="AB454" s="726"/>
      <c r="AC454" s="170"/>
      <c r="AD454" s="586"/>
      <c r="AE454" s="586"/>
      <c r="AF454" s="170"/>
      <c r="AG454" s="170"/>
      <c r="AH454" s="170"/>
      <c r="AI454" s="170"/>
      <c r="AJ454" s="170"/>
      <c r="AK454" s="170"/>
      <c r="AL454" s="170"/>
      <c r="AM454" s="170"/>
      <c r="AN454" s="170"/>
      <c r="AO454" s="170"/>
      <c r="AP454" s="170"/>
      <c r="AQ454" s="170"/>
      <c r="AR454" s="170"/>
      <c r="AS454" s="170"/>
    </row>
    <row r="455" spans="1:45" ht="15" x14ac:dyDescent="0.25">
      <c r="A455" s="170"/>
      <c r="B455" s="719"/>
      <c r="C455" s="170"/>
      <c r="D455" s="170"/>
      <c r="E455" s="170"/>
      <c r="F455" s="170"/>
      <c r="G455" s="721"/>
      <c r="H455" s="170"/>
      <c r="I455" s="170"/>
      <c r="J455" s="170"/>
      <c r="K455" s="170"/>
      <c r="L455" s="170"/>
      <c r="M455" s="730"/>
      <c r="N455" s="730"/>
      <c r="O455" s="730"/>
      <c r="P455" s="731"/>
      <c r="Q455" s="731"/>
      <c r="R455" s="730"/>
      <c r="S455" s="730"/>
      <c r="T455" s="723"/>
      <c r="U455" s="724"/>
      <c r="V455" s="725"/>
      <c r="W455" s="725"/>
      <c r="X455" s="723"/>
      <c r="Y455" s="723"/>
      <c r="Z455" s="723"/>
      <c r="AA455" s="726"/>
      <c r="AB455" s="726"/>
      <c r="AC455" s="170"/>
      <c r="AD455" s="586"/>
      <c r="AE455" s="586"/>
      <c r="AF455" s="170"/>
      <c r="AG455" s="170"/>
      <c r="AH455" s="170"/>
      <c r="AI455" s="170"/>
      <c r="AJ455" s="170"/>
      <c r="AK455" s="170"/>
      <c r="AL455" s="170"/>
      <c r="AM455" s="170"/>
      <c r="AN455" s="170"/>
      <c r="AO455" s="170"/>
      <c r="AP455" s="170"/>
      <c r="AQ455" s="170"/>
      <c r="AR455" s="170"/>
      <c r="AS455" s="170"/>
    </row>
    <row r="456" spans="1:45" ht="15" x14ac:dyDescent="0.25">
      <c r="A456" s="170"/>
      <c r="B456" s="719"/>
      <c r="C456" s="170"/>
      <c r="D456" s="170"/>
      <c r="E456" s="170"/>
      <c r="F456" s="170"/>
      <c r="G456" s="721"/>
      <c r="H456" s="170"/>
      <c r="I456" s="170"/>
      <c r="J456" s="170"/>
      <c r="K456" s="170"/>
      <c r="L456" s="170"/>
      <c r="M456" s="730"/>
      <c r="N456" s="730"/>
      <c r="O456" s="730"/>
      <c r="P456" s="731"/>
      <c r="Q456" s="731"/>
      <c r="R456" s="730"/>
      <c r="S456" s="730"/>
      <c r="T456" s="723"/>
      <c r="U456" s="724"/>
      <c r="V456" s="725"/>
      <c r="W456" s="725"/>
      <c r="X456" s="723"/>
      <c r="Y456" s="723"/>
      <c r="Z456" s="723"/>
      <c r="AA456" s="726"/>
      <c r="AB456" s="726"/>
      <c r="AC456" s="170"/>
      <c r="AD456" s="586"/>
      <c r="AE456" s="586"/>
      <c r="AF456" s="170"/>
      <c r="AG456" s="170"/>
      <c r="AH456" s="170"/>
      <c r="AI456" s="170"/>
      <c r="AJ456" s="170"/>
      <c r="AK456" s="170"/>
      <c r="AL456" s="170"/>
      <c r="AM456" s="170"/>
      <c r="AN456" s="170"/>
      <c r="AO456" s="170"/>
      <c r="AP456" s="170"/>
      <c r="AQ456" s="170"/>
      <c r="AR456" s="170"/>
      <c r="AS456" s="170"/>
    </row>
    <row r="457" spans="1:45" ht="15" x14ac:dyDescent="0.25">
      <c r="A457" s="170"/>
      <c r="B457" s="719"/>
      <c r="C457" s="170"/>
      <c r="D457" s="170"/>
      <c r="E457" s="170"/>
      <c r="F457" s="170"/>
      <c r="G457" s="721"/>
      <c r="H457" s="170"/>
      <c r="I457" s="170"/>
      <c r="J457" s="170"/>
      <c r="K457" s="170"/>
      <c r="L457" s="170"/>
      <c r="M457" s="730"/>
      <c r="N457" s="730"/>
      <c r="O457" s="730"/>
      <c r="P457" s="731"/>
      <c r="Q457" s="731"/>
      <c r="R457" s="730"/>
      <c r="S457" s="730"/>
      <c r="T457" s="723"/>
      <c r="U457" s="724"/>
      <c r="V457" s="725"/>
      <c r="W457" s="725"/>
      <c r="X457" s="723"/>
      <c r="Y457" s="723"/>
      <c r="Z457" s="723"/>
      <c r="AA457" s="726"/>
      <c r="AB457" s="726"/>
      <c r="AC457" s="170"/>
      <c r="AD457" s="586"/>
      <c r="AE457" s="586"/>
      <c r="AF457" s="170"/>
      <c r="AG457" s="170"/>
      <c r="AH457" s="170"/>
      <c r="AI457" s="170"/>
      <c r="AJ457" s="170"/>
      <c r="AK457" s="170"/>
      <c r="AL457" s="170"/>
      <c r="AM457" s="170"/>
      <c r="AN457" s="170"/>
      <c r="AO457" s="170"/>
      <c r="AP457" s="170"/>
      <c r="AQ457" s="170"/>
      <c r="AR457" s="170"/>
      <c r="AS457" s="170"/>
    </row>
    <row r="458" spans="1:45" ht="15" x14ac:dyDescent="0.25">
      <c r="A458" s="170"/>
      <c r="B458" s="719"/>
      <c r="C458" s="170"/>
      <c r="D458" s="170"/>
      <c r="E458" s="170"/>
      <c r="F458" s="170"/>
      <c r="G458" s="721"/>
      <c r="H458" s="170"/>
      <c r="I458" s="170"/>
      <c r="J458" s="170"/>
      <c r="K458" s="170"/>
      <c r="L458" s="170"/>
      <c r="M458" s="730"/>
      <c r="N458" s="730"/>
      <c r="O458" s="730"/>
      <c r="P458" s="731"/>
      <c r="Q458" s="731"/>
      <c r="R458" s="730"/>
      <c r="S458" s="730"/>
      <c r="T458" s="723"/>
      <c r="U458" s="724"/>
      <c r="V458" s="725"/>
      <c r="W458" s="725"/>
      <c r="X458" s="723"/>
      <c r="Y458" s="723"/>
      <c r="Z458" s="723"/>
      <c r="AA458" s="726"/>
      <c r="AB458" s="726"/>
      <c r="AC458" s="170"/>
      <c r="AD458" s="586"/>
      <c r="AE458" s="586"/>
      <c r="AF458" s="170"/>
      <c r="AG458" s="170"/>
      <c r="AH458" s="170"/>
      <c r="AI458" s="170"/>
      <c r="AJ458" s="170"/>
      <c r="AK458" s="170"/>
      <c r="AL458" s="170"/>
      <c r="AM458" s="170"/>
      <c r="AN458" s="170"/>
      <c r="AO458" s="170"/>
      <c r="AP458" s="170"/>
      <c r="AQ458" s="170"/>
      <c r="AR458" s="170"/>
      <c r="AS458" s="170"/>
    </row>
    <row r="459" spans="1:45" ht="15" x14ac:dyDescent="0.25">
      <c r="A459" s="170"/>
      <c r="B459" s="719"/>
      <c r="C459" s="170"/>
      <c r="D459" s="170"/>
      <c r="E459" s="170"/>
      <c r="F459" s="170"/>
      <c r="G459" s="721"/>
      <c r="H459" s="170"/>
      <c r="I459" s="170"/>
      <c r="J459" s="170"/>
      <c r="K459" s="170"/>
      <c r="L459" s="170"/>
      <c r="M459" s="730"/>
      <c r="N459" s="730"/>
      <c r="O459" s="730"/>
      <c r="P459" s="731"/>
      <c r="Q459" s="731"/>
      <c r="R459" s="730"/>
      <c r="S459" s="730"/>
      <c r="T459" s="723"/>
      <c r="U459" s="724"/>
      <c r="V459" s="725"/>
      <c r="W459" s="725"/>
      <c r="X459" s="723"/>
      <c r="Y459" s="723"/>
      <c r="Z459" s="723"/>
      <c r="AA459" s="726"/>
      <c r="AB459" s="726"/>
      <c r="AC459" s="170"/>
      <c r="AD459" s="586"/>
      <c r="AE459" s="586"/>
      <c r="AF459" s="170"/>
      <c r="AG459" s="170"/>
      <c r="AH459" s="170"/>
      <c r="AI459" s="170"/>
      <c r="AJ459" s="170"/>
      <c r="AK459" s="170"/>
      <c r="AL459" s="170"/>
      <c r="AM459" s="170"/>
      <c r="AN459" s="170"/>
      <c r="AO459" s="170"/>
      <c r="AP459" s="170"/>
      <c r="AQ459" s="170"/>
      <c r="AR459" s="170"/>
      <c r="AS459" s="170"/>
    </row>
    <row r="460" spans="1:45" ht="15" x14ac:dyDescent="0.25">
      <c r="A460" s="170"/>
      <c r="B460" s="719"/>
      <c r="C460" s="170"/>
      <c r="D460" s="170"/>
      <c r="E460" s="170"/>
      <c r="F460" s="170"/>
      <c r="G460" s="721"/>
      <c r="H460" s="170"/>
      <c r="I460" s="170"/>
      <c r="J460" s="170"/>
      <c r="K460" s="170"/>
      <c r="L460" s="170"/>
      <c r="M460" s="730"/>
      <c r="N460" s="730"/>
      <c r="O460" s="730"/>
      <c r="P460" s="731"/>
      <c r="Q460" s="731"/>
      <c r="R460" s="730"/>
      <c r="S460" s="730"/>
      <c r="T460" s="723"/>
      <c r="U460" s="724"/>
      <c r="V460" s="725"/>
      <c r="W460" s="725"/>
      <c r="X460" s="723"/>
      <c r="Y460" s="723"/>
      <c r="Z460" s="723"/>
      <c r="AA460" s="726"/>
      <c r="AB460" s="726"/>
      <c r="AC460" s="170"/>
      <c r="AD460" s="586"/>
      <c r="AE460" s="586"/>
      <c r="AF460" s="170"/>
      <c r="AG460" s="170"/>
      <c r="AH460" s="170"/>
      <c r="AI460" s="170"/>
      <c r="AJ460" s="170"/>
      <c r="AK460" s="170"/>
      <c r="AL460" s="170"/>
      <c r="AM460" s="170"/>
      <c r="AN460" s="170"/>
      <c r="AO460" s="170"/>
      <c r="AP460" s="170"/>
      <c r="AQ460" s="170"/>
      <c r="AR460" s="170"/>
      <c r="AS460" s="170"/>
    </row>
    <row r="461" spans="1:45" ht="15" x14ac:dyDescent="0.25">
      <c r="A461" s="170"/>
      <c r="B461" s="719"/>
      <c r="C461" s="170"/>
      <c r="D461" s="170"/>
      <c r="E461" s="170"/>
      <c r="F461" s="170"/>
      <c r="G461" s="721"/>
      <c r="H461" s="170"/>
      <c r="I461" s="170"/>
      <c r="J461" s="170"/>
      <c r="K461" s="170"/>
      <c r="L461" s="170"/>
      <c r="M461" s="730"/>
      <c r="N461" s="730"/>
      <c r="O461" s="730"/>
      <c r="P461" s="731"/>
      <c r="Q461" s="731"/>
      <c r="R461" s="730"/>
      <c r="S461" s="730"/>
      <c r="T461" s="723"/>
      <c r="U461" s="724"/>
      <c r="V461" s="725"/>
      <c r="W461" s="725"/>
      <c r="X461" s="723"/>
      <c r="Y461" s="723"/>
      <c r="Z461" s="723"/>
      <c r="AA461" s="726"/>
      <c r="AB461" s="726"/>
      <c r="AC461" s="170"/>
      <c r="AD461" s="586"/>
      <c r="AE461" s="586"/>
      <c r="AF461" s="170"/>
      <c r="AG461" s="170"/>
      <c r="AH461" s="170"/>
      <c r="AI461" s="170"/>
      <c r="AJ461" s="170"/>
      <c r="AK461" s="170"/>
      <c r="AL461" s="170"/>
      <c r="AM461" s="170"/>
      <c r="AN461" s="170"/>
      <c r="AO461" s="170"/>
      <c r="AP461" s="170"/>
      <c r="AQ461" s="170"/>
      <c r="AR461" s="170"/>
      <c r="AS461" s="170"/>
    </row>
    <row r="462" spans="1:45" ht="15" x14ac:dyDescent="0.25">
      <c r="A462" s="170"/>
      <c r="B462" s="719"/>
      <c r="C462" s="170"/>
      <c r="D462" s="170"/>
      <c r="E462" s="170"/>
      <c r="F462" s="170"/>
      <c r="G462" s="721"/>
      <c r="H462" s="170"/>
      <c r="I462" s="170"/>
      <c r="J462" s="170"/>
      <c r="K462" s="170"/>
      <c r="L462" s="170"/>
      <c r="M462" s="730"/>
      <c r="N462" s="730"/>
      <c r="O462" s="730"/>
      <c r="P462" s="731"/>
      <c r="Q462" s="731"/>
      <c r="R462" s="730"/>
      <c r="S462" s="730"/>
      <c r="T462" s="723"/>
      <c r="U462" s="724"/>
      <c r="V462" s="725"/>
      <c r="W462" s="725"/>
      <c r="X462" s="723"/>
      <c r="Y462" s="723"/>
      <c r="Z462" s="723"/>
      <c r="AA462" s="726"/>
      <c r="AB462" s="726"/>
      <c r="AC462" s="170"/>
      <c r="AD462" s="586"/>
      <c r="AE462" s="586"/>
      <c r="AF462" s="170"/>
      <c r="AG462" s="170"/>
      <c r="AH462" s="170"/>
      <c r="AI462" s="170"/>
      <c r="AJ462" s="170"/>
      <c r="AK462" s="170"/>
      <c r="AL462" s="170"/>
      <c r="AM462" s="170"/>
      <c r="AN462" s="170"/>
      <c r="AO462" s="170"/>
      <c r="AP462" s="170"/>
      <c r="AQ462" s="170"/>
      <c r="AR462" s="170"/>
      <c r="AS462" s="170"/>
    </row>
    <row r="463" spans="1:45" ht="15" x14ac:dyDescent="0.25">
      <c r="A463" s="170"/>
      <c r="B463" s="719"/>
      <c r="C463" s="170"/>
      <c r="D463" s="170"/>
      <c r="E463" s="170"/>
      <c r="F463" s="170"/>
      <c r="G463" s="721"/>
      <c r="H463" s="170"/>
      <c r="I463" s="170"/>
      <c r="J463" s="170"/>
      <c r="K463" s="170"/>
      <c r="L463" s="170"/>
      <c r="M463" s="730"/>
      <c r="N463" s="730"/>
      <c r="O463" s="730"/>
      <c r="P463" s="731"/>
      <c r="Q463" s="731"/>
      <c r="R463" s="730"/>
      <c r="S463" s="730"/>
      <c r="T463" s="723"/>
      <c r="U463" s="724"/>
      <c r="V463" s="725"/>
      <c r="W463" s="725"/>
      <c r="X463" s="723"/>
      <c r="Y463" s="723"/>
      <c r="Z463" s="723"/>
      <c r="AA463" s="726"/>
      <c r="AB463" s="726"/>
      <c r="AC463" s="170"/>
      <c r="AD463" s="586"/>
      <c r="AE463" s="586"/>
      <c r="AF463" s="170"/>
      <c r="AG463" s="170"/>
      <c r="AH463" s="170"/>
      <c r="AI463" s="170"/>
      <c r="AJ463" s="170"/>
      <c r="AK463" s="170"/>
      <c r="AL463" s="170"/>
      <c r="AM463" s="170"/>
      <c r="AN463" s="170"/>
      <c r="AO463" s="170"/>
      <c r="AP463" s="170"/>
      <c r="AQ463" s="170"/>
      <c r="AR463" s="170"/>
      <c r="AS463" s="170"/>
    </row>
    <row r="464" spans="1:45" ht="15" x14ac:dyDescent="0.25">
      <c r="A464" s="170"/>
      <c r="B464" s="719"/>
      <c r="C464" s="170"/>
      <c r="D464" s="170"/>
      <c r="E464" s="170"/>
      <c r="F464" s="170"/>
      <c r="G464" s="721"/>
      <c r="H464" s="170"/>
      <c r="I464" s="170"/>
      <c r="J464" s="170"/>
      <c r="K464" s="170"/>
      <c r="L464" s="170"/>
      <c r="M464" s="730"/>
      <c r="N464" s="730"/>
      <c r="O464" s="730"/>
      <c r="P464" s="731"/>
      <c r="Q464" s="731"/>
      <c r="R464" s="730"/>
      <c r="S464" s="730"/>
      <c r="T464" s="723"/>
      <c r="U464" s="724"/>
      <c r="V464" s="725"/>
      <c r="W464" s="725"/>
      <c r="X464" s="723"/>
      <c r="Y464" s="723"/>
      <c r="Z464" s="723"/>
      <c r="AA464" s="726"/>
      <c r="AB464" s="726"/>
      <c r="AC464" s="170"/>
      <c r="AD464" s="586"/>
      <c r="AE464" s="586"/>
      <c r="AF464" s="170"/>
      <c r="AG464" s="170"/>
      <c r="AH464" s="170"/>
      <c r="AI464" s="170"/>
      <c r="AJ464" s="170"/>
      <c r="AK464" s="170"/>
      <c r="AL464" s="170"/>
      <c r="AM464" s="170"/>
      <c r="AN464" s="170"/>
      <c r="AO464" s="170"/>
      <c r="AP464" s="170"/>
      <c r="AQ464" s="170"/>
      <c r="AR464" s="170"/>
      <c r="AS464" s="170"/>
    </row>
    <row r="465" spans="1:45" ht="15" x14ac:dyDescent="0.25">
      <c r="A465" s="170"/>
      <c r="B465" s="719"/>
      <c r="C465" s="170"/>
      <c r="D465" s="170"/>
      <c r="E465" s="170"/>
      <c r="F465" s="170"/>
      <c r="G465" s="721"/>
      <c r="H465" s="170"/>
      <c r="I465" s="170"/>
      <c r="J465" s="170"/>
      <c r="K465" s="170"/>
      <c r="L465" s="170"/>
      <c r="M465" s="730"/>
      <c r="N465" s="730"/>
      <c r="O465" s="730"/>
      <c r="P465" s="731"/>
      <c r="Q465" s="731"/>
      <c r="R465" s="730"/>
      <c r="S465" s="730"/>
      <c r="T465" s="723"/>
      <c r="U465" s="724"/>
      <c r="V465" s="725"/>
      <c r="W465" s="725"/>
      <c r="X465" s="723"/>
      <c r="Y465" s="723"/>
      <c r="Z465" s="723"/>
      <c r="AA465" s="726"/>
      <c r="AB465" s="726"/>
      <c r="AC465" s="170"/>
      <c r="AD465" s="586"/>
      <c r="AE465" s="586"/>
      <c r="AF465" s="170"/>
      <c r="AG465" s="170"/>
      <c r="AH465" s="170"/>
      <c r="AI465" s="170"/>
      <c r="AJ465" s="170"/>
      <c r="AK465" s="170"/>
      <c r="AL465" s="170"/>
      <c r="AM465" s="170"/>
      <c r="AN465" s="170"/>
      <c r="AO465" s="170"/>
      <c r="AP465" s="170"/>
      <c r="AQ465" s="170"/>
      <c r="AR465" s="170"/>
      <c r="AS465" s="170"/>
    </row>
    <row r="466" spans="1:45" ht="15" x14ac:dyDescent="0.25">
      <c r="A466" s="170"/>
      <c r="B466" s="719"/>
      <c r="C466" s="170"/>
      <c r="D466" s="170"/>
      <c r="E466" s="170"/>
      <c r="F466" s="170"/>
      <c r="G466" s="721"/>
      <c r="H466" s="170"/>
      <c r="I466" s="170"/>
      <c r="J466" s="170"/>
      <c r="K466" s="170"/>
      <c r="L466" s="170"/>
      <c r="M466" s="730"/>
      <c r="N466" s="730"/>
      <c r="O466" s="730"/>
      <c r="P466" s="731"/>
      <c r="Q466" s="731"/>
      <c r="R466" s="730"/>
      <c r="S466" s="730"/>
      <c r="T466" s="723"/>
      <c r="U466" s="724"/>
      <c r="V466" s="725"/>
      <c r="W466" s="725"/>
      <c r="X466" s="723"/>
      <c r="Y466" s="723"/>
      <c r="Z466" s="723"/>
      <c r="AA466" s="726"/>
      <c r="AB466" s="726"/>
      <c r="AC466" s="170"/>
      <c r="AD466" s="586"/>
      <c r="AE466" s="586"/>
      <c r="AF466" s="170"/>
      <c r="AG466" s="170"/>
      <c r="AH466" s="170"/>
      <c r="AI466" s="170"/>
      <c r="AJ466" s="170"/>
      <c r="AK466" s="170"/>
      <c r="AL466" s="170"/>
      <c r="AM466" s="170"/>
      <c r="AN466" s="170"/>
      <c r="AO466" s="170"/>
      <c r="AP466" s="170"/>
      <c r="AQ466" s="170"/>
      <c r="AR466" s="170"/>
      <c r="AS466" s="170"/>
    </row>
    <row r="467" spans="1:45" ht="15" x14ac:dyDescent="0.25">
      <c r="A467" s="170"/>
      <c r="B467" s="719"/>
      <c r="C467" s="170"/>
      <c r="D467" s="170"/>
      <c r="E467" s="170"/>
      <c r="F467" s="170"/>
      <c r="G467" s="721"/>
      <c r="H467" s="170"/>
      <c r="I467" s="170"/>
      <c r="J467" s="170"/>
      <c r="K467" s="170"/>
      <c r="L467" s="170"/>
      <c r="M467" s="730"/>
      <c r="N467" s="730"/>
      <c r="O467" s="730"/>
      <c r="P467" s="731"/>
      <c r="Q467" s="731"/>
      <c r="R467" s="730"/>
      <c r="S467" s="730"/>
      <c r="T467" s="723"/>
      <c r="U467" s="724"/>
      <c r="V467" s="725"/>
      <c r="W467" s="725"/>
      <c r="X467" s="723"/>
      <c r="Y467" s="723"/>
      <c r="Z467" s="723"/>
      <c r="AA467" s="726"/>
      <c r="AB467" s="726"/>
      <c r="AC467" s="170"/>
      <c r="AD467" s="586"/>
      <c r="AE467" s="586"/>
      <c r="AF467" s="170"/>
      <c r="AG467" s="170"/>
      <c r="AH467" s="170"/>
      <c r="AI467" s="170"/>
      <c r="AJ467" s="170"/>
      <c r="AK467" s="170"/>
      <c r="AL467" s="170"/>
      <c r="AM467" s="170"/>
      <c r="AN467" s="170"/>
      <c r="AO467" s="170"/>
      <c r="AP467" s="170"/>
      <c r="AQ467" s="170"/>
      <c r="AR467" s="170"/>
      <c r="AS467" s="170"/>
    </row>
    <row r="468" spans="1:45" ht="15" x14ac:dyDescent="0.25">
      <c r="A468" s="170"/>
      <c r="B468" s="719"/>
      <c r="C468" s="170"/>
      <c r="D468" s="170"/>
      <c r="E468" s="170"/>
      <c r="F468" s="170"/>
      <c r="G468" s="721"/>
      <c r="H468" s="170"/>
      <c r="I468" s="170"/>
      <c r="J468" s="170"/>
      <c r="K468" s="170"/>
      <c r="L468" s="170"/>
      <c r="M468" s="730"/>
      <c r="N468" s="730"/>
      <c r="O468" s="730"/>
      <c r="P468" s="731"/>
      <c r="Q468" s="731"/>
      <c r="R468" s="730"/>
      <c r="S468" s="730"/>
      <c r="T468" s="723"/>
      <c r="U468" s="724"/>
      <c r="V468" s="725"/>
      <c r="W468" s="725"/>
      <c r="X468" s="723"/>
      <c r="Y468" s="723"/>
      <c r="Z468" s="723"/>
      <c r="AA468" s="726"/>
      <c r="AB468" s="726"/>
      <c r="AC468" s="170"/>
      <c r="AD468" s="586"/>
      <c r="AE468" s="586"/>
      <c r="AF468" s="170"/>
      <c r="AG468" s="170"/>
      <c r="AH468" s="170"/>
      <c r="AI468" s="170"/>
      <c r="AJ468" s="170"/>
      <c r="AK468" s="170"/>
      <c r="AL468" s="170"/>
      <c r="AM468" s="170"/>
      <c r="AN468" s="170"/>
      <c r="AO468" s="170"/>
      <c r="AP468" s="170"/>
      <c r="AQ468" s="170"/>
      <c r="AR468" s="170"/>
      <c r="AS468" s="170"/>
    </row>
    <row r="469" spans="1:45" ht="15" x14ac:dyDescent="0.25">
      <c r="A469" s="170"/>
      <c r="B469" s="719"/>
      <c r="C469" s="170"/>
      <c r="D469" s="170"/>
      <c r="E469" s="170"/>
      <c r="F469" s="170"/>
      <c r="G469" s="721"/>
      <c r="H469" s="170"/>
      <c r="I469" s="170"/>
      <c r="J469" s="170"/>
      <c r="K469" s="170"/>
      <c r="L469" s="170"/>
      <c r="M469" s="730"/>
      <c r="N469" s="730"/>
      <c r="O469" s="730"/>
      <c r="P469" s="731"/>
      <c r="Q469" s="731"/>
      <c r="R469" s="730"/>
      <c r="S469" s="730"/>
      <c r="T469" s="723"/>
      <c r="U469" s="724"/>
      <c r="V469" s="725"/>
      <c r="W469" s="725"/>
      <c r="X469" s="723"/>
      <c r="Y469" s="723"/>
      <c r="Z469" s="723"/>
      <c r="AA469" s="726"/>
      <c r="AB469" s="726"/>
      <c r="AC469" s="170"/>
      <c r="AD469" s="586"/>
      <c r="AE469" s="586"/>
      <c r="AF469" s="170"/>
      <c r="AG469" s="170"/>
      <c r="AH469" s="170"/>
      <c r="AI469" s="170"/>
      <c r="AJ469" s="170"/>
      <c r="AK469" s="170"/>
      <c r="AL469" s="170"/>
      <c r="AM469" s="170"/>
      <c r="AN469" s="170"/>
      <c r="AO469" s="170"/>
      <c r="AP469" s="170"/>
      <c r="AQ469" s="170"/>
      <c r="AR469" s="170"/>
      <c r="AS469" s="170"/>
    </row>
    <row r="470" spans="1:45" ht="15" x14ac:dyDescent="0.25">
      <c r="A470" s="170"/>
      <c r="B470" s="719"/>
      <c r="C470" s="170"/>
      <c r="D470" s="170"/>
      <c r="E470" s="170"/>
      <c r="F470" s="170"/>
      <c r="G470" s="721"/>
      <c r="H470" s="170"/>
      <c r="I470" s="170"/>
      <c r="J470" s="170"/>
      <c r="K470" s="170"/>
      <c r="L470" s="170"/>
      <c r="M470" s="730"/>
      <c r="N470" s="730"/>
      <c r="O470" s="730"/>
      <c r="P470" s="731"/>
      <c r="Q470" s="731"/>
      <c r="R470" s="730"/>
      <c r="S470" s="730"/>
      <c r="T470" s="723"/>
      <c r="U470" s="724"/>
      <c r="V470" s="725"/>
      <c r="W470" s="725"/>
      <c r="X470" s="723"/>
      <c r="Y470" s="723"/>
      <c r="Z470" s="723"/>
      <c r="AA470" s="726"/>
      <c r="AB470" s="726"/>
      <c r="AC470" s="170"/>
      <c r="AD470" s="586"/>
      <c r="AE470" s="586"/>
      <c r="AF470" s="170"/>
      <c r="AG470" s="170"/>
      <c r="AH470" s="170"/>
      <c r="AI470" s="170"/>
      <c r="AJ470" s="170"/>
      <c r="AK470" s="170"/>
      <c r="AL470" s="170"/>
      <c r="AM470" s="170"/>
      <c r="AN470" s="170"/>
      <c r="AO470" s="170"/>
      <c r="AP470" s="170"/>
      <c r="AQ470" s="170"/>
      <c r="AR470" s="170"/>
      <c r="AS470" s="170"/>
    </row>
    <row r="471" spans="1:45" ht="15" x14ac:dyDescent="0.25">
      <c r="A471" s="170"/>
      <c r="B471" s="719"/>
      <c r="C471" s="170"/>
      <c r="D471" s="170"/>
      <c r="E471" s="170"/>
      <c r="F471" s="170"/>
      <c r="G471" s="721"/>
      <c r="H471" s="170"/>
      <c r="I471" s="170"/>
      <c r="J471" s="170"/>
      <c r="K471" s="170"/>
      <c r="L471" s="170"/>
      <c r="M471" s="730"/>
      <c r="N471" s="730"/>
      <c r="O471" s="730"/>
      <c r="P471" s="731"/>
      <c r="Q471" s="731"/>
      <c r="R471" s="730"/>
      <c r="S471" s="730"/>
      <c r="T471" s="723"/>
      <c r="U471" s="724"/>
      <c r="V471" s="725"/>
      <c r="W471" s="725"/>
      <c r="X471" s="723"/>
      <c r="Y471" s="723"/>
      <c r="Z471" s="723"/>
      <c r="AA471" s="726"/>
      <c r="AB471" s="726"/>
      <c r="AC471" s="170"/>
      <c r="AD471" s="586"/>
      <c r="AE471" s="586"/>
      <c r="AF471" s="170"/>
      <c r="AG471" s="170"/>
      <c r="AH471" s="170"/>
      <c r="AI471" s="170"/>
      <c r="AJ471" s="170"/>
      <c r="AK471" s="170"/>
      <c r="AL471" s="170"/>
      <c r="AM471" s="170"/>
      <c r="AN471" s="170"/>
      <c r="AO471" s="170"/>
      <c r="AP471" s="170"/>
      <c r="AQ471" s="170"/>
      <c r="AR471" s="170"/>
      <c r="AS471" s="170"/>
    </row>
    <row r="472" spans="1:45" ht="15" x14ac:dyDescent="0.25">
      <c r="A472" s="170"/>
      <c r="B472" s="719"/>
      <c r="C472" s="170"/>
      <c r="D472" s="170"/>
      <c r="E472" s="170"/>
      <c r="F472" s="170"/>
      <c r="G472" s="721"/>
      <c r="H472" s="170"/>
      <c r="I472" s="170"/>
      <c r="J472" s="170"/>
      <c r="K472" s="170"/>
      <c r="L472" s="170"/>
      <c r="M472" s="730"/>
      <c r="N472" s="730"/>
      <c r="O472" s="730"/>
      <c r="P472" s="731"/>
      <c r="Q472" s="731"/>
      <c r="R472" s="730"/>
      <c r="S472" s="730"/>
      <c r="T472" s="723"/>
      <c r="U472" s="724"/>
      <c r="V472" s="725"/>
      <c r="W472" s="725"/>
      <c r="X472" s="723"/>
      <c r="Y472" s="723"/>
      <c r="Z472" s="723"/>
      <c r="AA472" s="726"/>
      <c r="AB472" s="726"/>
      <c r="AC472" s="170"/>
      <c r="AD472" s="586"/>
      <c r="AE472" s="586"/>
      <c r="AF472" s="170"/>
      <c r="AG472" s="170"/>
      <c r="AH472" s="170"/>
      <c r="AI472" s="170"/>
      <c r="AJ472" s="170"/>
      <c r="AK472" s="170"/>
      <c r="AL472" s="170"/>
      <c r="AM472" s="170"/>
      <c r="AN472" s="170"/>
      <c r="AO472" s="170"/>
      <c r="AP472" s="170"/>
      <c r="AQ472" s="170"/>
      <c r="AR472" s="170"/>
      <c r="AS472" s="170"/>
    </row>
    <row r="473" spans="1:45" ht="15" x14ac:dyDescent="0.25">
      <c r="A473" s="170"/>
      <c r="B473" s="719"/>
      <c r="C473" s="170"/>
      <c r="D473" s="170"/>
      <c r="E473" s="170"/>
      <c r="F473" s="170"/>
      <c r="G473" s="721"/>
      <c r="H473" s="170"/>
      <c r="I473" s="170"/>
      <c r="J473" s="170"/>
      <c r="K473" s="170"/>
      <c r="L473" s="170"/>
      <c r="M473" s="730"/>
      <c r="N473" s="730"/>
      <c r="O473" s="730"/>
      <c r="P473" s="731"/>
      <c r="Q473" s="731"/>
      <c r="R473" s="730"/>
      <c r="S473" s="730"/>
      <c r="T473" s="723"/>
      <c r="U473" s="724"/>
      <c r="V473" s="725"/>
      <c r="W473" s="725"/>
      <c r="X473" s="723"/>
      <c r="Y473" s="723"/>
      <c r="Z473" s="723"/>
      <c r="AA473" s="726"/>
      <c r="AB473" s="726"/>
      <c r="AC473" s="170"/>
      <c r="AD473" s="586"/>
      <c r="AE473" s="586"/>
      <c r="AF473" s="170"/>
      <c r="AG473" s="170"/>
      <c r="AH473" s="170"/>
      <c r="AI473" s="170"/>
      <c r="AJ473" s="170"/>
      <c r="AK473" s="170"/>
      <c r="AL473" s="170"/>
      <c r="AM473" s="170"/>
      <c r="AN473" s="170"/>
      <c r="AO473" s="170"/>
      <c r="AP473" s="170"/>
      <c r="AQ473" s="170"/>
      <c r="AR473" s="170"/>
      <c r="AS473" s="170"/>
    </row>
    <row r="474" spans="1:45" ht="15" x14ac:dyDescent="0.25">
      <c r="A474" s="170"/>
      <c r="B474" s="719"/>
      <c r="C474" s="170"/>
      <c r="D474" s="170"/>
      <c r="E474" s="170"/>
      <c r="F474" s="170"/>
      <c r="G474" s="721"/>
      <c r="H474" s="170"/>
      <c r="I474" s="170"/>
      <c r="J474" s="170"/>
      <c r="K474" s="170"/>
      <c r="L474" s="170"/>
      <c r="M474" s="730"/>
      <c r="N474" s="730"/>
      <c r="O474" s="730"/>
      <c r="P474" s="731"/>
      <c r="Q474" s="731"/>
      <c r="R474" s="730"/>
      <c r="S474" s="730"/>
      <c r="T474" s="723"/>
      <c r="U474" s="724"/>
      <c r="V474" s="725"/>
      <c r="W474" s="725"/>
      <c r="X474" s="723"/>
      <c r="Y474" s="723"/>
      <c r="Z474" s="723"/>
      <c r="AA474" s="726"/>
      <c r="AB474" s="726"/>
      <c r="AC474" s="170"/>
      <c r="AD474" s="586"/>
      <c r="AE474" s="586"/>
      <c r="AF474" s="170"/>
      <c r="AG474" s="170"/>
      <c r="AH474" s="170"/>
      <c r="AI474" s="170"/>
      <c r="AJ474" s="170"/>
      <c r="AK474" s="170"/>
      <c r="AL474" s="170"/>
      <c r="AM474" s="170"/>
      <c r="AN474" s="170"/>
      <c r="AO474" s="170"/>
      <c r="AP474" s="170"/>
      <c r="AQ474" s="170"/>
      <c r="AR474" s="170"/>
      <c r="AS474" s="170"/>
    </row>
    <row r="475" spans="1:45" ht="15" x14ac:dyDescent="0.25">
      <c r="A475" s="170"/>
      <c r="B475" s="719"/>
      <c r="C475" s="170"/>
      <c r="D475" s="170"/>
      <c r="E475" s="170"/>
      <c r="F475" s="170"/>
      <c r="G475" s="721"/>
      <c r="H475" s="170"/>
      <c r="I475" s="170"/>
      <c r="J475" s="170"/>
      <c r="K475" s="170"/>
      <c r="L475" s="170"/>
      <c r="M475" s="730"/>
      <c r="N475" s="730"/>
      <c r="O475" s="730"/>
      <c r="P475" s="731"/>
      <c r="Q475" s="731"/>
      <c r="R475" s="730"/>
      <c r="S475" s="730"/>
      <c r="T475" s="723"/>
      <c r="U475" s="724"/>
      <c r="V475" s="725"/>
      <c r="W475" s="725"/>
      <c r="X475" s="723"/>
      <c r="Y475" s="723"/>
      <c r="Z475" s="723"/>
      <c r="AA475" s="726"/>
      <c r="AB475" s="726"/>
      <c r="AC475" s="170"/>
      <c r="AD475" s="586"/>
      <c r="AE475" s="586"/>
      <c r="AF475" s="170"/>
      <c r="AG475" s="170"/>
      <c r="AH475" s="170"/>
      <c r="AI475" s="170"/>
      <c r="AJ475" s="170"/>
      <c r="AK475" s="170"/>
      <c r="AL475" s="170"/>
      <c r="AM475" s="170"/>
      <c r="AN475" s="170"/>
      <c r="AO475" s="170"/>
      <c r="AP475" s="170"/>
      <c r="AQ475" s="170"/>
      <c r="AR475" s="170"/>
      <c r="AS475" s="170"/>
    </row>
    <row r="476" spans="1:45" ht="15" x14ac:dyDescent="0.25">
      <c r="A476" s="170"/>
      <c r="B476" s="719"/>
      <c r="C476" s="170"/>
      <c r="D476" s="170"/>
      <c r="E476" s="170"/>
      <c r="F476" s="170"/>
      <c r="G476" s="721"/>
      <c r="H476" s="170"/>
      <c r="I476" s="170"/>
      <c r="J476" s="170"/>
      <c r="K476" s="170"/>
      <c r="L476" s="170"/>
      <c r="M476" s="730"/>
      <c r="N476" s="730"/>
      <c r="O476" s="730"/>
      <c r="P476" s="731"/>
      <c r="Q476" s="731"/>
      <c r="R476" s="730"/>
      <c r="S476" s="730"/>
      <c r="T476" s="723"/>
      <c r="U476" s="724"/>
      <c r="V476" s="725"/>
      <c r="W476" s="725"/>
      <c r="X476" s="723"/>
      <c r="Y476" s="723"/>
      <c r="Z476" s="723"/>
      <c r="AA476" s="726"/>
      <c r="AB476" s="726"/>
      <c r="AC476" s="170"/>
      <c r="AD476" s="586"/>
      <c r="AE476" s="586"/>
      <c r="AF476" s="170"/>
      <c r="AG476" s="170"/>
      <c r="AH476" s="170"/>
      <c r="AI476" s="170"/>
      <c r="AJ476" s="170"/>
      <c r="AK476" s="170"/>
      <c r="AL476" s="170"/>
      <c r="AM476" s="170"/>
      <c r="AN476" s="170"/>
      <c r="AO476" s="170"/>
      <c r="AP476" s="170"/>
      <c r="AQ476" s="170"/>
      <c r="AR476" s="170"/>
      <c r="AS476" s="170"/>
    </row>
    <row r="477" spans="1:45" ht="15" x14ac:dyDescent="0.25">
      <c r="A477" s="170"/>
      <c r="B477" s="719"/>
      <c r="C477" s="170"/>
      <c r="D477" s="170"/>
      <c r="E477" s="170"/>
      <c r="F477" s="170"/>
      <c r="G477" s="721"/>
      <c r="H477" s="170"/>
      <c r="I477" s="170"/>
      <c r="J477" s="170"/>
      <c r="K477" s="170"/>
      <c r="L477" s="170"/>
      <c r="M477" s="730"/>
      <c r="N477" s="730"/>
      <c r="O477" s="730"/>
      <c r="P477" s="731"/>
      <c r="Q477" s="731"/>
      <c r="R477" s="730"/>
      <c r="S477" s="730"/>
      <c r="T477" s="723"/>
      <c r="U477" s="724"/>
      <c r="V477" s="725"/>
      <c r="W477" s="725"/>
      <c r="X477" s="723"/>
      <c r="Y477" s="723"/>
      <c r="Z477" s="723"/>
      <c r="AA477" s="726"/>
      <c r="AB477" s="726"/>
      <c r="AC477" s="170"/>
      <c r="AD477" s="586"/>
      <c r="AE477" s="586"/>
      <c r="AF477" s="170"/>
      <c r="AG477" s="170"/>
      <c r="AH477" s="170"/>
      <c r="AI477" s="170"/>
      <c r="AJ477" s="170"/>
      <c r="AK477" s="170"/>
      <c r="AL477" s="170"/>
      <c r="AM477" s="170"/>
      <c r="AN477" s="170"/>
      <c r="AO477" s="170"/>
      <c r="AP477" s="170"/>
      <c r="AQ477" s="170"/>
      <c r="AR477" s="170"/>
      <c r="AS477" s="170"/>
    </row>
    <row r="478" spans="1:45" ht="15" x14ac:dyDescent="0.25">
      <c r="A478" s="170"/>
      <c r="B478" s="719"/>
      <c r="C478" s="170"/>
      <c r="D478" s="170"/>
      <c r="E478" s="170"/>
      <c r="F478" s="170"/>
      <c r="G478" s="721"/>
      <c r="H478" s="170"/>
      <c r="I478" s="170"/>
      <c r="J478" s="170"/>
      <c r="K478" s="170"/>
      <c r="L478" s="170"/>
      <c r="M478" s="730"/>
      <c r="N478" s="730"/>
      <c r="O478" s="730"/>
      <c r="P478" s="731"/>
      <c r="Q478" s="731"/>
      <c r="R478" s="730"/>
      <c r="S478" s="730"/>
      <c r="T478" s="723"/>
      <c r="U478" s="724"/>
      <c r="V478" s="725"/>
      <c r="W478" s="725"/>
      <c r="X478" s="723"/>
      <c r="Y478" s="723"/>
      <c r="Z478" s="723"/>
      <c r="AA478" s="726"/>
      <c r="AB478" s="726"/>
      <c r="AC478" s="170"/>
      <c r="AD478" s="586"/>
      <c r="AE478" s="586"/>
      <c r="AF478" s="170"/>
      <c r="AG478" s="170"/>
      <c r="AH478" s="170"/>
      <c r="AI478" s="170"/>
      <c r="AJ478" s="170"/>
      <c r="AK478" s="170"/>
      <c r="AL478" s="170"/>
      <c r="AM478" s="170"/>
      <c r="AN478" s="170"/>
      <c r="AO478" s="170"/>
      <c r="AP478" s="170"/>
      <c r="AQ478" s="170"/>
      <c r="AR478" s="170"/>
      <c r="AS478" s="170"/>
    </row>
    <row r="479" spans="1:45" ht="15" x14ac:dyDescent="0.25">
      <c r="A479" s="170"/>
      <c r="B479" s="719"/>
      <c r="C479" s="170"/>
      <c r="D479" s="170"/>
      <c r="E479" s="170"/>
      <c r="F479" s="170"/>
      <c r="G479" s="721"/>
      <c r="H479" s="170"/>
      <c r="I479" s="170"/>
      <c r="J479" s="170"/>
      <c r="K479" s="170"/>
      <c r="L479" s="170"/>
      <c r="M479" s="730"/>
      <c r="N479" s="730"/>
      <c r="O479" s="730"/>
      <c r="P479" s="731"/>
      <c r="Q479" s="731"/>
      <c r="R479" s="730"/>
      <c r="S479" s="730"/>
      <c r="T479" s="723"/>
      <c r="U479" s="724"/>
      <c r="V479" s="725"/>
      <c r="W479" s="725"/>
      <c r="X479" s="723"/>
      <c r="Y479" s="723"/>
      <c r="Z479" s="723"/>
      <c r="AA479" s="726"/>
      <c r="AB479" s="726"/>
      <c r="AC479" s="170"/>
      <c r="AD479" s="586"/>
      <c r="AE479" s="586"/>
      <c r="AF479" s="170"/>
      <c r="AG479" s="170"/>
      <c r="AH479" s="170"/>
      <c r="AI479" s="170"/>
      <c r="AJ479" s="170"/>
      <c r="AK479" s="170"/>
      <c r="AL479" s="170"/>
      <c r="AM479" s="170"/>
      <c r="AN479" s="170"/>
      <c r="AO479" s="170"/>
      <c r="AP479" s="170"/>
      <c r="AQ479" s="170"/>
      <c r="AR479" s="170"/>
      <c r="AS479" s="170"/>
    </row>
    <row r="480" spans="1:45" ht="15" x14ac:dyDescent="0.25">
      <c r="A480" s="170"/>
      <c r="B480" s="719"/>
      <c r="C480" s="170"/>
      <c r="D480" s="170"/>
      <c r="E480" s="170"/>
      <c r="F480" s="170"/>
      <c r="G480" s="721"/>
      <c r="H480" s="170"/>
      <c r="I480" s="170"/>
      <c r="J480" s="170"/>
      <c r="K480" s="170"/>
      <c r="L480" s="170"/>
      <c r="M480" s="730"/>
      <c r="N480" s="730"/>
      <c r="O480" s="730"/>
      <c r="P480" s="731"/>
      <c r="Q480" s="731"/>
      <c r="R480" s="730"/>
      <c r="S480" s="730"/>
      <c r="T480" s="723"/>
      <c r="U480" s="724"/>
      <c r="V480" s="725"/>
      <c r="W480" s="725"/>
      <c r="X480" s="723"/>
      <c r="Y480" s="723"/>
      <c r="Z480" s="723"/>
      <c r="AA480" s="726"/>
      <c r="AB480" s="726"/>
      <c r="AC480" s="170"/>
      <c r="AD480" s="586"/>
      <c r="AE480" s="586"/>
      <c r="AF480" s="170"/>
      <c r="AG480" s="170"/>
      <c r="AH480" s="170"/>
      <c r="AI480" s="170"/>
      <c r="AJ480" s="170"/>
      <c r="AK480" s="170"/>
      <c r="AL480" s="170"/>
      <c r="AM480" s="170"/>
      <c r="AN480" s="170"/>
      <c r="AO480" s="170"/>
      <c r="AP480" s="170"/>
      <c r="AQ480" s="170"/>
      <c r="AR480" s="170"/>
      <c r="AS480" s="170"/>
    </row>
    <row r="481" spans="1:45" ht="15" x14ac:dyDescent="0.25">
      <c r="A481" s="170"/>
      <c r="B481" s="719"/>
      <c r="C481" s="170"/>
      <c r="D481" s="170"/>
      <c r="E481" s="170"/>
      <c r="F481" s="170"/>
      <c r="G481" s="721"/>
      <c r="H481" s="170"/>
      <c r="I481" s="170"/>
      <c r="J481" s="170"/>
      <c r="K481" s="170"/>
      <c r="L481" s="170"/>
      <c r="M481" s="730"/>
      <c r="N481" s="730"/>
      <c r="O481" s="730"/>
      <c r="P481" s="731"/>
      <c r="Q481" s="731"/>
      <c r="R481" s="730"/>
      <c r="S481" s="730"/>
      <c r="T481" s="723"/>
      <c r="U481" s="724"/>
      <c r="V481" s="725"/>
      <c r="W481" s="725"/>
      <c r="X481" s="723"/>
      <c r="Y481" s="723"/>
      <c r="Z481" s="723"/>
      <c r="AA481" s="726"/>
      <c r="AB481" s="726"/>
      <c r="AC481" s="170"/>
      <c r="AD481" s="586"/>
      <c r="AE481" s="586"/>
      <c r="AF481" s="170"/>
      <c r="AG481" s="170"/>
      <c r="AH481" s="170"/>
      <c r="AI481" s="170"/>
      <c r="AJ481" s="170"/>
      <c r="AK481" s="170"/>
      <c r="AL481" s="170"/>
      <c r="AM481" s="170"/>
      <c r="AN481" s="170"/>
      <c r="AO481" s="170"/>
      <c r="AP481" s="170"/>
      <c r="AQ481" s="170"/>
      <c r="AR481" s="170"/>
      <c r="AS481" s="170"/>
    </row>
    <row r="482" spans="1:45" ht="15" x14ac:dyDescent="0.25">
      <c r="A482" s="170"/>
      <c r="B482" s="719"/>
      <c r="C482" s="170"/>
      <c r="D482" s="170"/>
      <c r="E482" s="170"/>
      <c r="F482" s="170"/>
      <c r="G482" s="721"/>
      <c r="H482" s="170"/>
      <c r="I482" s="170"/>
      <c r="J482" s="170"/>
      <c r="K482" s="170"/>
      <c r="L482" s="170"/>
      <c r="M482" s="730"/>
      <c r="N482" s="730"/>
      <c r="O482" s="730"/>
      <c r="P482" s="731"/>
      <c r="Q482" s="731"/>
      <c r="R482" s="730"/>
      <c r="S482" s="730"/>
      <c r="T482" s="723"/>
      <c r="U482" s="724"/>
      <c r="V482" s="725"/>
      <c r="W482" s="725"/>
      <c r="X482" s="723"/>
      <c r="Y482" s="723"/>
      <c r="Z482" s="723"/>
      <c r="AA482" s="726"/>
      <c r="AB482" s="726"/>
      <c r="AC482" s="170"/>
      <c r="AD482" s="586"/>
      <c r="AE482" s="586"/>
      <c r="AF482" s="170"/>
      <c r="AG482" s="170"/>
      <c r="AH482" s="170"/>
      <c r="AI482" s="170"/>
      <c r="AJ482" s="170"/>
      <c r="AK482" s="170"/>
      <c r="AL482" s="170"/>
      <c r="AM482" s="170"/>
      <c r="AN482" s="170"/>
      <c r="AO482" s="170"/>
      <c r="AP482" s="170"/>
      <c r="AQ482" s="170"/>
      <c r="AR482" s="170"/>
      <c r="AS482" s="170"/>
    </row>
    <row r="483" spans="1:45" ht="15" x14ac:dyDescent="0.25">
      <c r="A483" s="170"/>
      <c r="B483" s="719"/>
      <c r="C483" s="170"/>
      <c r="D483" s="170"/>
      <c r="E483" s="170"/>
      <c r="F483" s="170"/>
      <c r="G483" s="721"/>
      <c r="H483" s="170"/>
      <c r="I483" s="170"/>
      <c r="J483" s="170"/>
      <c r="K483" s="170"/>
      <c r="L483" s="170"/>
      <c r="M483" s="730"/>
      <c r="N483" s="730"/>
      <c r="O483" s="730"/>
      <c r="P483" s="731"/>
      <c r="Q483" s="731"/>
      <c r="R483" s="730"/>
      <c r="S483" s="730"/>
      <c r="T483" s="723"/>
      <c r="U483" s="724"/>
      <c r="V483" s="725"/>
      <c r="W483" s="725"/>
      <c r="X483" s="723"/>
      <c r="Y483" s="723"/>
      <c r="Z483" s="723"/>
      <c r="AA483" s="726"/>
      <c r="AB483" s="726"/>
      <c r="AC483" s="170"/>
      <c r="AD483" s="586"/>
      <c r="AE483" s="586"/>
      <c r="AF483" s="170"/>
      <c r="AG483" s="170"/>
      <c r="AH483" s="170"/>
      <c r="AI483" s="170"/>
      <c r="AJ483" s="170"/>
      <c r="AK483" s="170"/>
      <c r="AL483" s="170"/>
      <c r="AM483" s="170"/>
      <c r="AN483" s="170"/>
      <c r="AO483" s="170"/>
      <c r="AP483" s="170"/>
      <c r="AQ483" s="170"/>
      <c r="AR483" s="170"/>
      <c r="AS483" s="170"/>
    </row>
    <row r="484" spans="1:45" ht="15" x14ac:dyDescent="0.25">
      <c r="A484" s="170"/>
      <c r="B484" s="719"/>
      <c r="C484" s="170"/>
      <c r="D484" s="170"/>
      <c r="E484" s="170"/>
      <c r="F484" s="170"/>
      <c r="G484" s="721"/>
      <c r="H484" s="170"/>
      <c r="I484" s="170"/>
      <c r="J484" s="170"/>
      <c r="K484" s="170"/>
      <c r="L484" s="170"/>
      <c r="M484" s="730"/>
      <c r="N484" s="730"/>
      <c r="O484" s="730"/>
      <c r="P484" s="731"/>
      <c r="Q484" s="731"/>
      <c r="R484" s="730"/>
      <c r="S484" s="730"/>
      <c r="T484" s="723"/>
      <c r="U484" s="724"/>
      <c r="V484" s="725"/>
      <c r="W484" s="725"/>
      <c r="X484" s="723"/>
      <c r="Y484" s="723"/>
      <c r="Z484" s="723"/>
      <c r="AA484" s="726"/>
      <c r="AB484" s="726"/>
      <c r="AC484" s="170"/>
      <c r="AD484" s="586"/>
      <c r="AE484" s="586"/>
      <c r="AF484" s="170"/>
      <c r="AG484" s="170"/>
      <c r="AH484" s="170"/>
      <c r="AI484" s="170"/>
      <c r="AJ484" s="170"/>
      <c r="AK484" s="170"/>
      <c r="AL484" s="170"/>
      <c r="AM484" s="170"/>
      <c r="AN484" s="170"/>
      <c r="AO484" s="170"/>
      <c r="AP484" s="170"/>
      <c r="AQ484" s="170"/>
      <c r="AR484" s="170"/>
      <c r="AS484" s="170"/>
    </row>
    <row r="485" spans="1:45" ht="15" x14ac:dyDescent="0.25">
      <c r="A485" s="170"/>
      <c r="B485" s="719"/>
      <c r="C485" s="170"/>
      <c r="D485" s="170"/>
      <c r="E485" s="170"/>
      <c r="F485" s="170"/>
      <c r="G485" s="721"/>
      <c r="H485" s="170"/>
      <c r="I485" s="170"/>
      <c r="J485" s="170"/>
      <c r="K485" s="170"/>
      <c r="L485" s="170"/>
      <c r="M485" s="730"/>
      <c r="N485" s="730"/>
      <c r="O485" s="730"/>
      <c r="P485" s="731"/>
      <c r="Q485" s="731"/>
      <c r="R485" s="730"/>
      <c r="S485" s="730"/>
      <c r="T485" s="723"/>
      <c r="U485" s="724"/>
      <c r="V485" s="725"/>
      <c r="W485" s="725"/>
      <c r="X485" s="723"/>
      <c r="Y485" s="723"/>
      <c r="Z485" s="723"/>
      <c r="AA485" s="726"/>
      <c r="AB485" s="726"/>
      <c r="AC485" s="170"/>
      <c r="AD485" s="586"/>
      <c r="AE485" s="586"/>
      <c r="AF485" s="170"/>
      <c r="AG485" s="170"/>
      <c r="AH485" s="170"/>
      <c r="AI485" s="170"/>
      <c r="AJ485" s="170"/>
      <c r="AK485" s="170"/>
      <c r="AL485" s="170"/>
      <c r="AM485" s="170"/>
      <c r="AN485" s="170"/>
      <c r="AO485" s="170"/>
      <c r="AP485" s="170"/>
      <c r="AQ485" s="170"/>
      <c r="AR485" s="170"/>
      <c r="AS485" s="170"/>
    </row>
    <row r="486" spans="1:45" ht="15" x14ac:dyDescent="0.25">
      <c r="A486" s="170"/>
      <c r="B486" s="719"/>
      <c r="C486" s="170"/>
      <c r="D486" s="170"/>
      <c r="E486" s="170"/>
      <c r="F486" s="170"/>
      <c r="G486" s="721"/>
      <c r="H486" s="170"/>
      <c r="I486" s="170"/>
      <c r="J486" s="170"/>
      <c r="K486" s="170"/>
      <c r="L486" s="170"/>
      <c r="M486" s="730"/>
      <c r="N486" s="730"/>
      <c r="O486" s="730"/>
      <c r="P486" s="731"/>
      <c r="Q486" s="731"/>
      <c r="R486" s="730"/>
      <c r="S486" s="730"/>
      <c r="T486" s="723"/>
      <c r="U486" s="724"/>
      <c r="V486" s="725"/>
      <c r="W486" s="725"/>
      <c r="X486" s="723"/>
      <c r="Y486" s="723"/>
      <c r="Z486" s="723"/>
      <c r="AA486" s="726"/>
      <c r="AB486" s="726"/>
      <c r="AC486" s="170"/>
      <c r="AD486" s="586"/>
      <c r="AE486" s="586"/>
      <c r="AF486" s="170"/>
      <c r="AG486" s="170"/>
      <c r="AH486" s="170"/>
      <c r="AI486" s="170"/>
      <c r="AJ486" s="170"/>
      <c r="AK486" s="170"/>
      <c r="AL486" s="170"/>
      <c r="AM486" s="170"/>
      <c r="AN486" s="170"/>
      <c r="AO486" s="170"/>
      <c r="AP486" s="170"/>
      <c r="AQ486" s="170"/>
      <c r="AR486" s="170"/>
      <c r="AS486" s="170"/>
    </row>
    <row r="487" spans="1:45" ht="15" x14ac:dyDescent="0.25">
      <c r="A487" s="170"/>
      <c r="B487" s="719"/>
      <c r="C487" s="170"/>
      <c r="D487" s="170"/>
      <c r="E487" s="170"/>
      <c r="F487" s="170"/>
      <c r="G487" s="721"/>
      <c r="H487" s="170"/>
      <c r="I487" s="170"/>
      <c r="J487" s="170"/>
      <c r="K487" s="170"/>
      <c r="L487" s="170"/>
      <c r="M487" s="730"/>
      <c r="N487" s="730"/>
      <c r="O487" s="730"/>
      <c r="P487" s="731"/>
      <c r="Q487" s="731"/>
      <c r="R487" s="730"/>
      <c r="S487" s="730"/>
      <c r="T487" s="723"/>
      <c r="U487" s="724"/>
      <c r="V487" s="725"/>
      <c r="W487" s="725"/>
      <c r="X487" s="723"/>
      <c r="Y487" s="723"/>
      <c r="Z487" s="723"/>
      <c r="AA487" s="726"/>
      <c r="AB487" s="726"/>
      <c r="AC487" s="170"/>
      <c r="AD487" s="586"/>
      <c r="AE487" s="586"/>
      <c r="AF487" s="170"/>
      <c r="AG487" s="170"/>
      <c r="AH487" s="170"/>
      <c r="AI487" s="170"/>
      <c r="AJ487" s="170"/>
      <c r="AK487" s="170"/>
      <c r="AL487" s="170"/>
      <c r="AM487" s="170"/>
      <c r="AN487" s="170"/>
      <c r="AO487" s="170"/>
      <c r="AP487" s="170"/>
      <c r="AQ487" s="170"/>
      <c r="AR487" s="170"/>
      <c r="AS487" s="170"/>
    </row>
    <row r="488" spans="1:45" ht="15" x14ac:dyDescent="0.25">
      <c r="A488" s="170"/>
      <c r="B488" s="719"/>
      <c r="C488" s="170"/>
      <c r="D488" s="170"/>
      <c r="E488" s="170"/>
      <c r="F488" s="170"/>
      <c r="G488" s="721"/>
      <c r="H488" s="170"/>
      <c r="I488" s="170"/>
      <c r="J488" s="170"/>
      <c r="K488" s="170"/>
      <c r="L488" s="170"/>
      <c r="M488" s="730"/>
      <c r="N488" s="730"/>
      <c r="O488" s="730"/>
      <c r="P488" s="731"/>
      <c r="Q488" s="731"/>
      <c r="R488" s="730"/>
      <c r="S488" s="730"/>
      <c r="T488" s="723"/>
      <c r="U488" s="724"/>
      <c r="V488" s="725"/>
      <c r="W488" s="725"/>
      <c r="X488" s="723"/>
      <c r="Y488" s="723"/>
      <c r="Z488" s="723"/>
      <c r="AA488" s="726"/>
      <c r="AB488" s="726"/>
      <c r="AC488" s="170"/>
      <c r="AD488" s="586"/>
      <c r="AE488" s="586"/>
      <c r="AF488" s="170"/>
      <c r="AG488" s="170"/>
      <c r="AH488" s="170"/>
      <c r="AI488" s="170"/>
      <c r="AJ488" s="170"/>
      <c r="AK488" s="170"/>
      <c r="AL488" s="170"/>
      <c r="AM488" s="170"/>
      <c r="AN488" s="170"/>
      <c r="AO488" s="170"/>
      <c r="AP488" s="170"/>
      <c r="AQ488" s="170"/>
      <c r="AR488" s="170"/>
      <c r="AS488" s="170"/>
    </row>
    <row r="489" spans="1:45" ht="15" x14ac:dyDescent="0.25">
      <c r="A489" s="170"/>
      <c r="B489" s="719"/>
      <c r="C489" s="170"/>
      <c r="D489" s="170"/>
      <c r="E489" s="170"/>
      <c r="F489" s="170"/>
      <c r="G489" s="721"/>
      <c r="H489" s="170"/>
      <c r="I489" s="170"/>
      <c r="J489" s="170"/>
      <c r="K489" s="170"/>
      <c r="L489" s="170"/>
      <c r="M489" s="730"/>
      <c r="N489" s="730"/>
      <c r="O489" s="730"/>
      <c r="P489" s="731"/>
      <c r="Q489" s="731"/>
      <c r="R489" s="730"/>
      <c r="S489" s="730"/>
      <c r="T489" s="723"/>
      <c r="U489" s="724"/>
      <c r="V489" s="725"/>
      <c r="W489" s="725"/>
      <c r="X489" s="723"/>
      <c r="Y489" s="723"/>
      <c r="Z489" s="723"/>
      <c r="AA489" s="726"/>
      <c r="AB489" s="726"/>
      <c r="AC489" s="170"/>
      <c r="AD489" s="586"/>
      <c r="AE489" s="586"/>
      <c r="AF489" s="170"/>
      <c r="AG489" s="170"/>
      <c r="AH489" s="170"/>
      <c r="AI489" s="170"/>
      <c r="AJ489" s="170"/>
      <c r="AK489" s="170"/>
      <c r="AL489" s="170"/>
      <c r="AM489" s="170"/>
      <c r="AN489" s="170"/>
      <c r="AO489" s="170"/>
      <c r="AP489" s="170"/>
      <c r="AQ489" s="170"/>
      <c r="AR489" s="170"/>
      <c r="AS489" s="170"/>
    </row>
    <row r="490" spans="1:45" ht="15" x14ac:dyDescent="0.25">
      <c r="A490" s="170"/>
      <c r="B490" s="719"/>
      <c r="C490" s="170"/>
      <c r="D490" s="170"/>
      <c r="E490" s="170"/>
      <c r="F490" s="170"/>
      <c r="G490" s="721"/>
      <c r="H490" s="170"/>
      <c r="I490" s="170"/>
      <c r="J490" s="170"/>
      <c r="K490" s="170"/>
      <c r="L490" s="170"/>
      <c r="M490" s="730"/>
      <c r="N490" s="730"/>
      <c r="O490" s="730"/>
      <c r="P490" s="731"/>
      <c r="Q490" s="731"/>
      <c r="R490" s="730"/>
      <c r="S490" s="730"/>
      <c r="T490" s="723"/>
      <c r="U490" s="724"/>
      <c r="V490" s="725"/>
      <c r="W490" s="725"/>
      <c r="X490" s="723"/>
      <c r="Y490" s="723"/>
      <c r="Z490" s="723"/>
      <c r="AA490" s="726"/>
      <c r="AB490" s="726"/>
      <c r="AC490" s="170"/>
      <c r="AD490" s="586"/>
      <c r="AE490" s="586"/>
      <c r="AF490" s="170"/>
      <c r="AG490" s="170"/>
      <c r="AH490" s="170"/>
      <c r="AI490" s="170"/>
      <c r="AJ490" s="170"/>
      <c r="AK490" s="170"/>
      <c r="AL490" s="170"/>
      <c r="AM490" s="170"/>
      <c r="AN490" s="170"/>
      <c r="AO490" s="170"/>
      <c r="AP490" s="170"/>
      <c r="AQ490" s="170"/>
      <c r="AR490" s="170"/>
      <c r="AS490" s="170"/>
    </row>
    <row r="491" spans="1:45" ht="15" x14ac:dyDescent="0.25">
      <c r="A491" s="170"/>
      <c r="B491" s="719"/>
      <c r="C491" s="170"/>
      <c r="D491" s="170"/>
      <c r="E491" s="170"/>
      <c r="F491" s="170"/>
      <c r="G491" s="721"/>
      <c r="H491" s="170"/>
      <c r="I491" s="170"/>
      <c r="J491" s="170"/>
      <c r="K491" s="170"/>
      <c r="L491" s="170"/>
      <c r="M491" s="730"/>
      <c r="N491" s="730"/>
      <c r="O491" s="730"/>
      <c r="P491" s="731"/>
      <c r="Q491" s="731"/>
      <c r="R491" s="730"/>
      <c r="S491" s="730"/>
      <c r="T491" s="723"/>
      <c r="U491" s="724"/>
      <c r="V491" s="725"/>
      <c r="W491" s="725"/>
      <c r="X491" s="723"/>
      <c r="Y491" s="723"/>
      <c r="Z491" s="723"/>
      <c r="AA491" s="726"/>
      <c r="AB491" s="726"/>
      <c r="AC491" s="170"/>
      <c r="AD491" s="586"/>
      <c r="AE491" s="586"/>
      <c r="AF491" s="170"/>
      <c r="AG491" s="170"/>
      <c r="AH491" s="170"/>
      <c r="AI491" s="170"/>
      <c r="AJ491" s="170"/>
      <c r="AK491" s="170"/>
      <c r="AL491" s="170"/>
      <c r="AM491" s="170"/>
      <c r="AN491" s="170"/>
      <c r="AO491" s="170"/>
      <c r="AP491" s="170"/>
      <c r="AQ491" s="170"/>
      <c r="AR491" s="170"/>
      <c r="AS491" s="170"/>
    </row>
    <row r="492" spans="1:45" ht="15" x14ac:dyDescent="0.25">
      <c r="A492" s="170"/>
      <c r="B492" s="719"/>
      <c r="C492" s="170"/>
      <c r="D492" s="170"/>
      <c r="E492" s="170"/>
      <c r="F492" s="170"/>
      <c r="G492" s="721"/>
      <c r="H492" s="170"/>
      <c r="I492" s="170"/>
      <c r="J492" s="170"/>
      <c r="K492" s="170"/>
      <c r="L492" s="170"/>
      <c r="M492" s="730"/>
      <c r="N492" s="730"/>
      <c r="O492" s="730"/>
      <c r="P492" s="731"/>
      <c r="Q492" s="731"/>
      <c r="R492" s="730"/>
      <c r="S492" s="730"/>
      <c r="T492" s="723"/>
      <c r="U492" s="724"/>
      <c r="V492" s="725"/>
      <c r="W492" s="725"/>
      <c r="X492" s="723"/>
      <c r="Y492" s="723"/>
      <c r="Z492" s="723"/>
      <c r="AA492" s="726"/>
      <c r="AB492" s="726"/>
      <c r="AC492" s="170"/>
      <c r="AD492" s="586"/>
      <c r="AE492" s="586"/>
      <c r="AF492" s="170"/>
      <c r="AG492" s="170"/>
      <c r="AH492" s="170"/>
      <c r="AI492" s="170"/>
      <c r="AJ492" s="170"/>
      <c r="AK492" s="170"/>
      <c r="AL492" s="170"/>
      <c r="AM492" s="170"/>
      <c r="AN492" s="170"/>
      <c r="AO492" s="170"/>
      <c r="AP492" s="170"/>
      <c r="AQ492" s="170"/>
      <c r="AR492" s="170"/>
      <c r="AS492" s="170"/>
    </row>
    <row r="493" spans="1:45" ht="15" x14ac:dyDescent="0.25">
      <c r="A493" s="170"/>
      <c r="B493" s="719"/>
      <c r="C493" s="170"/>
      <c r="D493" s="170"/>
      <c r="E493" s="170"/>
      <c r="F493" s="170"/>
      <c r="G493" s="721"/>
      <c r="H493" s="170"/>
      <c r="I493" s="170"/>
      <c r="J493" s="170"/>
      <c r="K493" s="170"/>
      <c r="L493" s="170"/>
      <c r="M493" s="730"/>
      <c r="N493" s="730"/>
      <c r="O493" s="730"/>
      <c r="P493" s="731"/>
      <c r="Q493" s="731"/>
      <c r="R493" s="730"/>
      <c r="S493" s="730"/>
      <c r="T493" s="723"/>
      <c r="U493" s="724"/>
      <c r="V493" s="725"/>
      <c r="W493" s="725"/>
      <c r="X493" s="723"/>
      <c r="Y493" s="723"/>
      <c r="Z493" s="723"/>
      <c r="AA493" s="726"/>
      <c r="AB493" s="726"/>
      <c r="AC493" s="170"/>
      <c r="AD493" s="586"/>
      <c r="AE493" s="586"/>
      <c r="AF493" s="170"/>
      <c r="AG493" s="170"/>
      <c r="AH493" s="170"/>
      <c r="AI493" s="170"/>
      <c r="AJ493" s="170"/>
      <c r="AK493" s="170"/>
      <c r="AL493" s="170"/>
      <c r="AM493" s="170"/>
      <c r="AN493" s="170"/>
      <c r="AO493" s="170"/>
      <c r="AP493" s="170"/>
      <c r="AQ493" s="170"/>
      <c r="AR493" s="170"/>
      <c r="AS493" s="170"/>
    </row>
    <row r="494" spans="1:45" ht="15" x14ac:dyDescent="0.25">
      <c r="A494" s="170"/>
      <c r="B494" s="719"/>
      <c r="C494" s="170"/>
      <c r="D494" s="170"/>
      <c r="E494" s="170"/>
      <c r="F494" s="170"/>
      <c r="G494" s="721"/>
      <c r="H494" s="170"/>
      <c r="I494" s="170"/>
      <c r="J494" s="170"/>
      <c r="K494" s="170"/>
      <c r="L494" s="170"/>
      <c r="M494" s="730"/>
      <c r="N494" s="730"/>
      <c r="O494" s="730"/>
      <c r="P494" s="731"/>
      <c r="Q494" s="731"/>
      <c r="R494" s="730"/>
      <c r="S494" s="730"/>
      <c r="T494" s="723"/>
      <c r="U494" s="724"/>
      <c r="V494" s="725"/>
      <c r="W494" s="725"/>
      <c r="X494" s="723"/>
      <c r="Y494" s="723"/>
      <c r="Z494" s="723"/>
      <c r="AA494" s="726"/>
      <c r="AB494" s="726"/>
      <c r="AC494" s="170"/>
      <c r="AD494" s="586"/>
      <c r="AE494" s="586"/>
      <c r="AF494" s="170"/>
      <c r="AG494" s="170"/>
      <c r="AH494" s="170"/>
      <c r="AI494" s="170"/>
      <c r="AJ494" s="170"/>
      <c r="AK494" s="170"/>
      <c r="AL494" s="170"/>
      <c r="AM494" s="170"/>
      <c r="AN494" s="170"/>
      <c r="AO494" s="170"/>
      <c r="AP494" s="170"/>
      <c r="AQ494" s="170"/>
      <c r="AR494" s="170"/>
      <c r="AS494" s="170"/>
    </row>
    <row r="495" spans="1:45" ht="15" x14ac:dyDescent="0.25">
      <c r="A495" s="170"/>
      <c r="B495" s="719"/>
      <c r="C495" s="170"/>
      <c r="D495" s="170"/>
      <c r="E495" s="170"/>
      <c r="F495" s="170"/>
      <c r="G495" s="721"/>
      <c r="H495" s="170"/>
      <c r="I495" s="170"/>
      <c r="J495" s="170"/>
      <c r="K495" s="170"/>
      <c r="L495" s="170"/>
      <c r="M495" s="730"/>
      <c r="N495" s="730"/>
      <c r="O495" s="730"/>
      <c r="P495" s="731"/>
      <c r="Q495" s="731"/>
      <c r="R495" s="730"/>
      <c r="S495" s="730"/>
      <c r="T495" s="723"/>
      <c r="U495" s="724"/>
      <c r="V495" s="725"/>
      <c r="W495" s="725"/>
      <c r="X495" s="723"/>
      <c r="Y495" s="723"/>
      <c r="Z495" s="723"/>
      <c r="AA495" s="726"/>
      <c r="AB495" s="726"/>
      <c r="AC495" s="170"/>
      <c r="AD495" s="586"/>
      <c r="AE495" s="586"/>
      <c r="AF495" s="170"/>
      <c r="AG495" s="170"/>
      <c r="AH495" s="170"/>
      <c r="AI495" s="170"/>
      <c r="AJ495" s="170"/>
      <c r="AK495" s="170"/>
      <c r="AL495" s="170"/>
      <c r="AM495" s="170"/>
      <c r="AN495" s="170"/>
      <c r="AO495" s="170"/>
      <c r="AP495" s="170"/>
      <c r="AQ495" s="170"/>
      <c r="AR495" s="170"/>
      <c r="AS495" s="170"/>
    </row>
    <row r="496" spans="1:45" ht="15" x14ac:dyDescent="0.25">
      <c r="A496" s="170"/>
      <c r="B496" s="719"/>
      <c r="C496" s="170"/>
      <c r="D496" s="170"/>
      <c r="E496" s="170"/>
      <c r="F496" s="170"/>
      <c r="G496" s="721"/>
      <c r="H496" s="170"/>
      <c r="I496" s="170"/>
      <c r="J496" s="170"/>
      <c r="K496" s="170"/>
      <c r="L496" s="170"/>
      <c r="M496" s="730"/>
      <c r="N496" s="730"/>
      <c r="O496" s="730"/>
      <c r="P496" s="731"/>
      <c r="Q496" s="731"/>
      <c r="R496" s="730"/>
      <c r="S496" s="730"/>
      <c r="T496" s="723"/>
      <c r="U496" s="724"/>
      <c r="V496" s="725"/>
      <c r="W496" s="725"/>
      <c r="X496" s="723"/>
      <c r="Y496" s="723"/>
      <c r="Z496" s="723"/>
      <c r="AA496" s="726"/>
      <c r="AB496" s="726"/>
      <c r="AC496" s="170"/>
      <c r="AD496" s="586"/>
      <c r="AE496" s="586"/>
      <c r="AF496" s="170"/>
      <c r="AG496" s="170"/>
      <c r="AH496" s="170"/>
      <c r="AI496" s="170"/>
      <c r="AJ496" s="170"/>
      <c r="AK496" s="170"/>
      <c r="AL496" s="170"/>
      <c r="AM496" s="170"/>
      <c r="AN496" s="170"/>
      <c r="AO496" s="170"/>
      <c r="AP496" s="170"/>
      <c r="AQ496" s="170"/>
      <c r="AR496" s="170"/>
      <c r="AS496" s="170"/>
    </row>
    <row r="497" spans="1:45" ht="15" x14ac:dyDescent="0.25">
      <c r="A497" s="170"/>
      <c r="B497" s="719"/>
      <c r="C497" s="170"/>
      <c r="D497" s="170"/>
      <c r="E497" s="170"/>
      <c r="F497" s="170"/>
      <c r="G497" s="721"/>
      <c r="H497" s="170"/>
      <c r="I497" s="170"/>
      <c r="J497" s="170"/>
      <c r="K497" s="170"/>
      <c r="L497" s="170"/>
      <c r="M497" s="730"/>
      <c r="N497" s="730"/>
      <c r="O497" s="730"/>
      <c r="P497" s="731"/>
      <c r="Q497" s="731"/>
      <c r="R497" s="730"/>
      <c r="S497" s="730"/>
      <c r="T497" s="723"/>
      <c r="U497" s="724"/>
      <c r="V497" s="725"/>
      <c r="W497" s="725"/>
      <c r="X497" s="723"/>
      <c r="Y497" s="723"/>
      <c r="Z497" s="723"/>
      <c r="AA497" s="726"/>
      <c r="AB497" s="726"/>
      <c r="AC497" s="170"/>
      <c r="AD497" s="586"/>
      <c r="AE497" s="586"/>
      <c r="AF497" s="170"/>
      <c r="AG497" s="170"/>
      <c r="AH497" s="170"/>
      <c r="AI497" s="170"/>
      <c r="AJ497" s="170"/>
      <c r="AK497" s="170"/>
      <c r="AL497" s="170"/>
      <c r="AM497" s="170"/>
      <c r="AN497" s="170"/>
      <c r="AO497" s="170"/>
      <c r="AP497" s="170"/>
      <c r="AQ497" s="170"/>
      <c r="AR497" s="170"/>
      <c r="AS497" s="170"/>
    </row>
    <row r="498" spans="1:45" ht="15" x14ac:dyDescent="0.25">
      <c r="A498" s="170"/>
      <c r="B498" s="719"/>
      <c r="C498" s="170"/>
      <c r="D498" s="170"/>
      <c r="E498" s="170"/>
      <c r="F498" s="170"/>
      <c r="G498" s="721"/>
      <c r="H498" s="170"/>
      <c r="I498" s="170"/>
      <c r="J498" s="170"/>
      <c r="K498" s="170"/>
      <c r="L498" s="170"/>
      <c r="M498" s="730"/>
      <c r="N498" s="730"/>
      <c r="O498" s="730"/>
      <c r="P498" s="731"/>
      <c r="Q498" s="731"/>
      <c r="R498" s="730"/>
      <c r="S498" s="730"/>
      <c r="T498" s="723"/>
      <c r="U498" s="724"/>
      <c r="V498" s="725"/>
      <c r="W498" s="725"/>
      <c r="X498" s="723"/>
      <c r="Y498" s="723"/>
      <c r="Z498" s="723"/>
      <c r="AA498" s="726"/>
      <c r="AB498" s="726"/>
      <c r="AC498" s="170"/>
      <c r="AD498" s="586"/>
      <c r="AE498" s="586"/>
      <c r="AF498" s="170"/>
      <c r="AG498" s="170"/>
      <c r="AH498" s="170"/>
      <c r="AI498" s="170"/>
      <c r="AJ498" s="170"/>
      <c r="AK498" s="170"/>
      <c r="AL498" s="170"/>
      <c r="AM498" s="170"/>
      <c r="AN498" s="170"/>
      <c r="AO498" s="170"/>
      <c r="AP498" s="170"/>
      <c r="AQ498" s="170"/>
      <c r="AR498" s="170"/>
      <c r="AS498" s="170"/>
    </row>
    <row r="499" spans="1:45" ht="15" x14ac:dyDescent="0.25">
      <c r="A499" s="170"/>
      <c r="B499" s="719"/>
      <c r="C499" s="170"/>
      <c r="D499" s="170"/>
      <c r="E499" s="170"/>
      <c r="F499" s="170"/>
      <c r="G499" s="721"/>
      <c r="H499" s="170"/>
      <c r="I499" s="170"/>
      <c r="J499" s="170"/>
      <c r="K499" s="170"/>
      <c r="L499" s="170"/>
      <c r="M499" s="730"/>
      <c r="N499" s="730"/>
      <c r="O499" s="730"/>
      <c r="P499" s="731"/>
      <c r="Q499" s="731"/>
      <c r="R499" s="730"/>
      <c r="S499" s="730"/>
      <c r="T499" s="723"/>
      <c r="U499" s="724"/>
      <c r="V499" s="725"/>
      <c r="W499" s="725"/>
      <c r="X499" s="723"/>
      <c r="Y499" s="723"/>
      <c r="Z499" s="723"/>
      <c r="AA499" s="726"/>
      <c r="AB499" s="726"/>
      <c r="AC499" s="170"/>
      <c r="AD499" s="586"/>
      <c r="AE499" s="586"/>
      <c r="AF499" s="170"/>
      <c r="AG499" s="170"/>
      <c r="AH499" s="170"/>
      <c r="AI499" s="170"/>
      <c r="AJ499" s="170"/>
      <c r="AK499" s="170"/>
      <c r="AL499" s="170"/>
      <c r="AM499" s="170"/>
      <c r="AN499" s="170"/>
      <c r="AO499" s="170"/>
      <c r="AP499" s="170"/>
      <c r="AQ499" s="170"/>
      <c r="AR499" s="170"/>
      <c r="AS499" s="170"/>
    </row>
    <row r="500" spans="1:45" ht="15" x14ac:dyDescent="0.25">
      <c r="A500" s="170"/>
      <c r="B500" s="719"/>
      <c r="C500" s="170"/>
      <c r="D500" s="170"/>
      <c r="E500" s="170"/>
      <c r="F500" s="170"/>
      <c r="G500" s="721"/>
      <c r="H500" s="170"/>
      <c r="I500" s="170"/>
      <c r="J500" s="170"/>
      <c r="K500" s="170"/>
      <c r="L500" s="170"/>
      <c r="M500" s="730"/>
      <c r="N500" s="730"/>
      <c r="O500" s="730"/>
      <c r="P500" s="731"/>
      <c r="Q500" s="731"/>
      <c r="R500" s="730"/>
      <c r="S500" s="730"/>
      <c r="T500" s="723"/>
      <c r="U500" s="724"/>
      <c r="V500" s="725"/>
      <c r="W500" s="725"/>
      <c r="X500" s="723"/>
      <c r="Y500" s="723"/>
      <c r="Z500" s="723"/>
      <c r="AA500" s="726"/>
      <c r="AB500" s="726"/>
      <c r="AC500" s="170"/>
      <c r="AD500" s="586"/>
      <c r="AE500" s="586"/>
      <c r="AF500" s="170"/>
      <c r="AG500" s="170"/>
      <c r="AH500" s="170"/>
      <c r="AI500" s="170"/>
      <c r="AJ500" s="170"/>
      <c r="AK500" s="170"/>
      <c r="AL500" s="170"/>
      <c r="AM500" s="170"/>
      <c r="AN500" s="170"/>
      <c r="AO500" s="170"/>
      <c r="AP500" s="170"/>
      <c r="AQ500" s="170"/>
      <c r="AR500" s="170"/>
      <c r="AS500" s="170"/>
    </row>
    <row r="501" spans="1:45" ht="15" x14ac:dyDescent="0.25">
      <c r="A501" s="170"/>
      <c r="B501" s="719"/>
      <c r="C501" s="170"/>
      <c r="D501" s="170"/>
      <c r="E501" s="170"/>
      <c r="F501" s="170"/>
      <c r="G501" s="721"/>
      <c r="H501" s="170"/>
      <c r="I501" s="170"/>
      <c r="J501" s="170"/>
      <c r="K501" s="170"/>
      <c r="L501" s="170"/>
      <c r="M501" s="730"/>
      <c r="N501" s="730"/>
      <c r="O501" s="730"/>
      <c r="P501" s="731"/>
      <c r="Q501" s="731"/>
      <c r="R501" s="730"/>
      <c r="S501" s="730"/>
      <c r="T501" s="723"/>
      <c r="U501" s="724"/>
      <c r="V501" s="725"/>
      <c r="W501" s="725"/>
      <c r="X501" s="723"/>
      <c r="Y501" s="723"/>
      <c r="Z501" s="723"/>
      <c r="AA501" s="726"/>
      <c r="AB501" s="726"/>
      <c r="AC501" s="170"/>
      <c r="AD501" s="586"/>
      <c r="AE501" s="586"/>
      <c r="AF501" s="170"/>
      <c r="AG501" s="170"/>
      <c r="AH501" s="170"/>
      <c r="AI501" s="170"/>
      <c r="AJ501" s="170"/>
      <c r="AK501" s="170"/>
      <c r="AL501" s="170"/>
      <c r="AM501" s="170"/>
      <c r="AN501" s="170"/>
      <c r="AO501" s="170"/>
      <c r="AP501" s="170"/>
      <c r="AQ501" s="170"/>
      <c r="AR501" s="170"/>
      <c r="AS501" s="170"/>
    </row>
    <row r="502" spans="1:45" ht="15" x14ac:dyDescent="0.25">
      <c r="A502" s="170"/>
      <c r="B502" s="719"/>
      <c r="C502" s="170"/>
      <c r="D502" s="170"/>
      <c r="E502" s="170"/>
      <c r="F502" s="170"/>
      <c r="G502" s="721"/>
      <c r="H502" s="170"/>
      <c r="I502" s="170"/>
      <c r="J502" s="170"/>
      <c r="K502" s="170"/>
      <c r="L502" s="170"/>
      <c r="M502" s="730"/>
      <c r="N502" s="730"/>
      <c r="O502" s="730"/>
      <c r="P502" s="731"/>
      <c r="Q502" s="731"/>
      <c r="R502" s="730"/>
      <c r="S502" s="730"/>
      <c r="T502" s="723"/>
      <c r="U502" s="724"/>
      <c r="V502" s="725"/>
      <c r="W502" s="725"/>
      <c r="X502" s="723"/>
      <c r="Y502" s="723"/>
      <c r="Z502" s="723"/>
      <c r="AA502" s="726"/>
      <c r="AB502" s="726"/>
      <c r="AC502" s="170"/>
      <c r="AD502" s="586"/>
      <c r="AE502" s="586"/>
      <c r="AF502" s="170"/>
      <c r="AG502" s="170"/>
      <c r="AH502" s="170"/>
      <c r="AI502" s="170"/>
      <c r="AJ502" s="170"/>
      <c r="AK502" s="170"/>
      <c r="AL502" s="170"/>
      <c r="AM502" s="170"/>
      <c r="AN502" s="170"/>
      <c r="AO502" s="170"/>
      <c r="AP502" s="170"/>
      <c r="AQ502" s="170"/>
      <c r="AR502" s="170"/>
      <c r="AS502" s="170"/>
    </row>
    <row r="503" spans="1:45" ht="15" x14ac:dyDescent="0.25">
      <c r="A503" s="170"/>
      <c r="B503" s="719"/>
      <c r="C503" s="170"/>
      <c r="D503" s="170"/>
      <c r="E503" s="170"/>
      <c r="F503" s="170"/>
      <c r="G503" s="721"/>
      <c r="H503" s="170"/>
      <c r="I503" s="170"/>
      <c r="J503" s="170"/>
      <c r="K503" s="170"/>
      <c r="L503" s="170"/>
      <c r="M503" s="730"/>
      <c r="N503" s="730"/>
      <c r="O503" s="730"/>
      <c r="P503" s="731"/>
      <c r="Q503" s="731"/>
      <c r="R503" s="730"/>
      <c r="S503" s="730"/>
      <c r="T503" s="723"/>
      <c r="U503" s="724"/>
      <c r="V503" s="725"/>
      <c r="W503" s="725"/>
      <c r="X503" s="723"/>
      <c r="Y503" s="723"/>
      <c r="Z503" s="723"/>
      <c r="AA503" s="726"/>
      <c r="AB503" s="726"/>
      <c r="AC503" s="170"/>
      <c r="AD503" s="586"/>
      <c r="AE503" s="586"/>
      <c r="AF503" s="170"/>
      <c r="AG503" s="170"/>
      <c r="AH503" s="170"/>
      <c r="AI503" s="170"/>
      <c r="AJ503" s="170"/>
      <c r="AK503" s="170"/>
      <c r="AL503" s="170"/>
      <c r="AM503" s="170"/>
      <c r="AN503" s="170"/>
      <c r="AO503" s="170"/>
      <c r="AP503" s="170"/>
      <c r="AQ503" s="170"/>
      <c r="AR503" s="170"/>
      <c r="AS503" s="170"/>
    </row>
    <row r="504" spans="1:45" ht="15" x14ac:dyDescent="0.25">
      <c r="A504" s="170"/>
      <c r="B504" s="719"/>
      <c r="C504" s="170"/>
      <c r="D504" s="170"/>
      <c r="E504" s="170"/>
      <c r="F504" s="170"/>
      <c r="G504" s="721"/>
      <c r="H504" s="170"/>
      <c r="I504" s="170"/>
      <c r="J504" s="170"/>
      <c r="K504" s="170"/>
      <c r="L504" s="170"/>
      <c r="M504" s="730"/>
      <c r="N504" s="730"/>
      <c r="O504" s="730"/>
      <c r="P504" s="731"/>
      <c r="Q504" s="731"/>
      <c r="R504" s="730"/>
      <c r="S504" s="730"/>
      <c r="T504" s="723"/>
      <c r="U504" s="724"/>
      <c r="V504" s="725"/>
      <c r="W504" s="725"/>
      <c r="X504" s="723"/>
      <c r="Y504" s="723"/>
      <c r="Z504" s="723"/>
      <c r="AA504" s="726"/>
      <c r="AB504" s="726"/>
      <c r="AC504" s="170"/>
      <c r="AD504" s="586"/>
      <c r="AE504" s="586"/>
      <c r="AF504" s="170"/>
      <c r="AG504" s="170"/>
      <c r="AH504" s="170"/>
      <c r="AI504" s="170"/>
      <c r="AJ504" s="170"/>
      <c r="AK504" s="170"/>
      <c r="AL504" s="170"/>
      <c r="AM504" s="170"/>
      <c r="AN504" s="170"/>
      <c r="AO504" s="170"/>
      <c r="AP504" s="170"/>
      <c r="AQ504" s="170"/>
      <c r="AR504" s="170"/>
      <c r="AS504" s="170"/>
    </row>
    <row r="505" spans="1:45" ht="15" x14ac:dyDescent="0.25">
      <c r="A505" s="170"/>
      <c r="B505" s="719"/>
      <c r="C505" s="170"/>
      <c r="D505" s="170"/>
      <c r="E505" s="170"/>
      <c r="F505" s="170"/>
      <c r="G505" s="721"/>
      <c r="H505" s="170"/>
      <c r="I505" s="170"/>
      <c r="J505" s="170"/>
      <c r="K505" s="170"/>
      <c r="L505" s="170"/>
      <c r="M505" s="730"/>
      <c r="N505" s="730"/>
      <c r="O505" s="730"/>
      <c r="P505" s="731"/>
      <c r="Q505" s="731"/>
      <c r="R505" s="730"/>
      <c r="S505" s="730"/>
      <c r="T505" s="723"/>
      <c r="U505" s="724"/>
      <c r="V505" s="725"/>
      <c r="W505" s="725"/>
      <c r="X505" s="723"/>
      <c r="Y505" s="723"/>
      <c r="Z505" s="723"/>
      <c r="AA505" s="726"/>
      <c r="AB505" s="726"/>
      <c r="AC505" s="170"/>
      <c r="AD505" s="586"/>
      <c r="AE505" s="586"/>
      <c r="AF505" s="170"/>
      <c r="AG505" s="170"/>
      <c r="AH505" s="170"/>
      <c r="AI505" s="170"/>
      <c r="AJ505" s="170"/>
      <c r="AK505" s="170"/>
      <c r="AL505" s="170"/>
      <c r="AM505" s="170"/>
      <c r="AN505" s="170"/>
      <c r="AO505" s="170"/>
      <c r="AP505" s="170"/>
      <c r="AQ505" s="170"/>
      <c r="AR505" s="170"/>
      <c r="AS505" s="170"/>
    </row>
    <row r="506" spans="1:45" ht="15" x14ac:dyDescent="0.25">
      <c r="A506" s="170"/>
      <c r="B506" s="719"/>
      <c r="C506" s="170"/>
      <c r="D506" s="170"/>
      <c r="E506" s="170"/>
      <c r="F506" s="170"/>
      <c r="G506" s="721"/>
      <c r="H506" s="170"/>
      <c r="I506" s="170"/>
      <c r="J506" s="170"/>
      <c r="K506" s="170"/>
      <c r="L506" s="170"/>
      <c r="M506" s="730"/>
      <c r="N506" s="730"/>
      <c r="O506" s="730"/>
      <c r="P506" s="731"/>
      <c r="Q506" s="731"/>
      <c r="R506" s="730"/>
      <c r="S506" s="730"/>
      <c r="T506" s="723"/>
      <c r="U506" s="724"/>
      <c r="V506" s="725"/>
      <c r="W506" s="725"/>
      <c r="X506" s="723"/>
      <c r="Y506" s="723"/>
      <c r="Z506" s="723"/>
      <c r="AA506" s="726"/>
      <c r="AB506" s="726"/>
      <c r="AC506" s="170"/>
      <c r="AD506" s="586"/>
      <c r="AE506" s="586"/>
      <c r="AF506" s="170"/>
      <c r="AG506" s="170"/>
      <c r="AH506" s="170"/>
      <c r="AI506" s="170"/>
      <c r="AJ506" s="170"/>
      <c r="AK506" s="170"/>
      <c r="AL506" s="170"/>
      <c r="AM506" s="170"/>
      <c r="AN506" s="170"/>
      <c r="AO506" s="170"/>
      <c r="AP506" s="170"/>
      <c r="AQ506" s="170"/>
      <c r="AR506" s="170"/>
      <c r="AS506" s="170"/>
    </row>
    <row r="507" spans="1:45" ht="15" x14ac:dyDescent="0.25">
      <c r="A507" s="170"/>
      <c r="B507" s="719"/>
      <c r="C507" s="170"/>
      <c r="D507" s="170"/>
      <c r="E507" s="170"/>
      <c r="F507" s="170"/>
      <c r="G507" s="721"/>
      <c r="H507" s="170"/>
      <c r="I507" s="170"/>
      <c r="J507" s="170"/>
      <c r="K507" s="170"/>
      <c r="L507" s="170"/>
      <c r="M507" s="730"/>
      <c r="N507" s="730"/>
      <c r="O507" s="730"/>
      <c r="P507" s="731"/>
      <c r="Q507" s="731"/>
      <c r="R507" s="730"/>
      <c r="S507" s="730"/>
      <c r="T507" s="723"/>
      <c r="U507" s="724"/>
      <c r="V507" s="725"/>
      <c r="W507" s="725"/>
      <c r="X507" s="723"/>
      <c r="Y507" s="723"/>
      <c r="Z507" s="723"/>
      <c r="AA507" s="726"/>
      <c r="AB507" s="726"/>
      <c r="AC507" s="170"/>
      <c r="AD507" s="586"/>
      <c r="AE507" s="586"/>
      <c r="AF507" s="170"/>
      <c r="AG507" s="170"/>
      <c r="AH507" s="170"/>
      <c r="AI507" s="170"/>
      <c r="AJ507" s="170"/>
      <c r="AK507" s="170"/>
      <c r="AL507" s="170"/>
      <c r="AM507" s="170"/>
      <c r="AN507" s="170"/>
      <c r="AO507" s="170"/>
      <c r="AP507" s="170"/>
      <c r="AQ507" s="170"/>
      <c r="AR507" s="170"/>
      <c r="AS507" s="170"/>
    </row>
    <row r="508" spans="1:45" ht="15" x14ac:dyDescent="0.25">
      <c r="A508" s="170"/>
      <c r="B508" s="719"/>
      <c r="C508" s="170"/>
      <c r="D508" s="170"/>
      <c r="E508" s="170"/>
      <c r="F508" s="170"/>
      <c r="G508" s="721"/>
      <c r="H508" s="170"/>
      <c r="I508" s="170"/>
      <c r="J508" s="170"/>
      <c r="K508" s="170"/>
      <c r="L508" s="170"/>
      <c r="M508" s="730"/>
      <c r="N508" s="730"/>
      <c r="O508" s="730"/>
      <c r="P508" s="731"/>
      <c r="Q508" s="731"/>
      <c r="R508" s="730"/>
      <c r="S508" s="730"/>
      <c r="T508" s="723"/>
      <c r="U508" s="724"/>
      <c r="V508" s="725"/>
      <c r="W508" s="725"/>
      <c r="X508" s="723"/>
      <c r="Y508" s="723"/>
      <c r="Z508" s="723"/>
      <c r="AA508" s="726"/>
      <c r="AB508" s="726"/>
      <c r="AC508" s="170"/>
      <c r="AD508" s="586"/>
      <c r="AE508" s="586"/>
      <c r="AF508" s="170"/>
      <c r="AG508" s="170"/>
      <c r="AH508" s="170"/>
      <c r="AI508" s="170"/>
      <c r="AJ508" s="170"/>
      <c r="AK508" s="170"/>
      <c r="AL508" s="170"/>
      <c r="AM508" s="170"/>
      <c r="AN508" s="170"/>
      <c r="AO508" s="170"/>
      <c r="AP508" s="170"/>
      <c r="AQ508" s="170"/>
      <c r="AR508" s="170"/>
      <c r="AS508" s="170"/>
    </row>
    <row r="509" spans="1:45" ht="15" x14ac:dyDescent="0.25">
      <c r="A509" s="170"/>
      <c r="B509" s="719"/>
      <c r="C509" s="170"/>
      <c r="D509" s="170"/>
      <c r="E509" s="170"/>
      <c r="F509" s="170"/>
      <c r="G509" s="721"/>
      <c r="H509" s="170"/>
      <c r="I509" s="170"/>
      <c r="J509" s="170"/>
      <c r="K509" s="170"/>
      <c r="L509" s="170"/>
      <c r="M509" s="730"/>
      <c r="N509" s="730"/>
      <c r="O509" s="730"/>
      <c r="P509" s="731"/>
      <c r="Q509" s="731"/>
      <c r="R509" s="730"/>
      <c r="S509" s="730"/>
      <c r="T509" s="723"/>
      <c r="U509" s="724"/>
      <c r="V509" s="725"/>
      <c r="W509" s="725"/>
      <c r="X509" s="723"/>
      <c r="Y509" s="723"/>
      <c r="Z509" s="723"/>
      <c r="AA509" s="726"/>
      <c r="AB509" s="726"/>
      <c r="AC509" s="170"/>
      <c r="AD509" s="586"/>
      <c r="AE509" s="586"/>
      <c r="AF509" s="170"/>
      <c r="AG509" s="170"/>
      <c r="AH509" s="170"/>
      <c r="AI509" s="170"/>
      <c r="AJ509" s="170"/>
      <c r="AK509" s="170"/>
      <c r="AL509" s="170"/>
      <c r="AM509" s="170"/>
      <c r="AN509" s="170"/>
      <c r="AO509" s="170"/>
      <c r="AP509" s="170"/>
      <c r="AQ509" s="170"/>
      <c r="AR509" s="170"/>
      <c r="AS509" s="170"/>
    </row>
    <row r="510" spans="1:45" ht="15" x14ac:dyDescent="0.25">
      <c r="A510" s="170"/>
      <c r="B510" s="719"/>
      <c r="C510" s="170"/>
      <c r="D510" s="170"/>
      <c r="E510" s="170"/>
      <c r="F510" s="170"/>
      <c r="G510" s="721"/>
      <c r="H510" s="170"/>
      <c r="I510" s="170"/>
      <c r="J510" s="170"/>
      <c r="K510" s="170"/>
      <c r="L510" s="170"/>
      <c r="M510" s="730"/>
      <c r="N510" s="730"/>
      <c r="O510" s="730"/>
      <c r="P510" s="731"/>
      <c r="Q510" s="731"/>
      <c r="R510" s="730"/>
      <c r="S510" s="730"/>
      <c r="T510" s="723"/>
      <c r="U510" s="724"/>
      <c r="V510" s="725"/>
      <c r="W510" s="725"/>
      <c r="X510" s="723"/>
      <c r="Y510" s="723"/>
      <c r="Z510" s="723"/>
      <c r="AA510" s="726"/>
      <c r="AB510" s="726"/>
      <c r="AC510" s="170"/>
      <c r="AD510" s="586"/>
      <c r="AE510" s="586"/>
      <c r="AF510" s="170"/>
      <c r="AG510" s="170"/>
      <c r="AH510" s="170"/>
      <c r="AI510" s="170"/>
      <c r="AJ510" s="170"/>
      <c r="AK510" s="170"/>
      <c r="AL510" s="170"/>
      <c r="AM510" s="170"/>
      <c r="AN510" s="170"/>
      <c r="AO510" s="170"/>
      <c r="AP510" s="170"/>
      <c r="AQ510" s="170"/>
      <c r="AR510" s="170"/>
      <c r="AS510" s="170"/>
    </row>
    <row r="511" spans="1:45" ht="15" x14ac:dyDescent="0.25">
      <c r="A511" s="170"/>
      <c r="B511" s="719"/>
      <c r="C511" s="170"/>
      <c r="D511" s="170"/>
      <c r="E511" s="170"/>
      <c r="F511" s="170"/>
      <c r="G511" s="721"/>
      <c r="H511" s="170"/>
      <c r="I511" s="170"/>
      <c r="J511" s="170"/>
      <c r="K511" s="170"/>
      <c r="L511" s="170"/>
      <c r="M511" s="730"/>
      <c r="N511" s="730"/>
      <c r="O511" s="730"/>
      <c r="P511" s="731"/>
      <c r="Q511" s="731"/>
      <c r="R511" s="730"/>
      <c r="S511" s="730"/>
      <c r="T511" s="723"/>
      <c r="U511" s="724"/>
      <c r="V511" s="725"/>
      <c r="W511" s="725"/>
      <c r="X511" s="723"/>
      <c r="Y511" s="723"/>
      <c r="Z511" s="723"/>
      <c r="AA511" s="726"/>
      <c r="AB511" s="726"/>
      <c r="AC511" s="170"/>
      <c r="AD511" s="586"/>
      <c r="AE511" s="586"/>
      <c r="AF511" s="170"/>
      <c r="AG511" s="170"/>
      <c r="AH511" s="170"/>
      <c r="AI511" s="170"/>
      <c r="AJ511" s="170"/>
      <c r="AK511" s="170"/>
      <c r="AL511" s="170"/>
      <c r="AM511" s="170"/>
      <c r="AN511" s="170"/>
      <c r="AO511" s="170"/>
      <c r="AP511" s="170"/>
      <c r="AQ511" s="170"/>
      <c r="AR511" s="170"/>
      <c r="AS511" s="170"/>
    </row>
    <row r="512" spans="1:45" ht="15" x14ac:dyDescent="0.25">
      <c r="A512" s="170"/>
      <c r="B512" s="719"/>
      <c r="C512" s="170"/>
      <c r="D512" s="170"/>
      <c r="E512" s="170"/>
      <c r="F512" s="170"/>
      <c r="G512" s="721"/>
      <c r="H512" s="170"/>
      <c r="I512" s="170"/>
      <c r="J512" s="170"/>
      <c r="K512" s="170"/>
      <c r="L512" s="170"/>
      <c r="M512" s="730"/>
      <c r="N512" s="730"/>
      <c r="O512" s="730"/>
      <c r="P512" s="731"/>
      <c r="Q512" s="731"/>
      <c r="R512" s="730"/>
      <c r="S512" s="730"/>
      <c r="T512" s="723"/>
      <c r="U512" s="724"/>
      <c r="V512" s="725"/>
      <c r="W512" s="725"/>
      <c r="X512" s="723"/>
      <c r="Y512" s="723"/>
      <c r="Z512" s="723"/>
      <c r="AA512" s="726"/>
      <c r="AB512" s="726"/>
      <c r="AC512" s="170"/>
      <c r="AD512" s="586"/>
      <c r="AE512" s="586"/>
      <c r="AF512" s="170"/>
      <c r="AG512" s="170"/>
      <c r="AH512" s="170"/>
      <c r="AI512" s="170"/>
      <c r="AJ512" s="170"/>
      <c r="AK512" s="170"/>
      <c r="AL512" s="170"/>
      <c r="AM512" s="170"/>
      <c r="AN512" s="170"/>
      <c r="AO512" s="170"/>
      <c r="AP512" s="170"/>
      <c r="AQ512" s="170"/>
      <c r="AR512" s="170"/>
      <c r="AS512" s="170"/>
    </row>
    <row r="513" spans="1:45" ht="15" x14ac:dyDescent="0.25">
      <c r="A513" s="170"/>
      <c r="B513" s="719"/>
      <c r="C513" s="170"/>
      <c r="D513" s="170"/>
      <c r="E513" s="170"/>
      <c r="F513" s="170"/>
      <c r="G513" s="721"/>
      <c r="H513" s="170"/>
      <c r="I513" s="170"/>
      <c r="J513" s="170"/>
      <c r="K513" s="170"/>
      <c r="L513" s="170"/>
      <c r="M513" s="730"/>
      <c r="N513" s="730"/>
      <c r="O513" s="730"/>
      <c r="P513" s="731"/>
      <c r="Q513" s="731"/>
      <c r="R513" s="730"/>
      <c r="S513" s="730"/>
      <c r="T513" s="723"/>
      <c r="U513" s="724"/>
      <c r="V513" s="725"/>
      <c r="W513" s="725"/>
      <c r="X513" s="723"/>
      <c r="Y513" s="723"/>
      <c r="Z513" s="723"/>
      <c r="AA513" s="726"/>
      <c r="AB513" s="726"/>
      <c r="AC513" s="170"/>
      <c r="AD513" s="586"/>
      <c r="AE513" s="586"/>
      <c r="AF513" s="170"/>
      <c r="AG513" s="170"/>
      <c r="AH513" s="170"/>
      <c r="AI513" s="170"/>
      <c r="AJ513" s="170"/>
      <c r="AK513" s="170"/>
      <c r="AL513" s="170"/>
      <c r="AM513" s="170"/>
      <c r="AN513" s="170"/>
      <c r="AO513" s="170"/>
      <c r="AP513" s="170"/>
      <c r="AQ513" s="170"/>
      <c r="AR513" s="170"/>
      <c r="AS513" s="170"/>
    </row>
    <row r="514" spans="1:45" ht="15" x14ac:dyDescent="0.25">
      <c r="A514" s="170"/>
      <c r="B514" s="719"/>
      <c r="C514" s="170"/>
      <c r="D514" s="170"/>
      <c r="E514" s="170"/>
      <c r="F514" s="170"/>
      <c r="G514" s="721"/>
      <c r="H514" s="170"/>
      <c r="I514" s="170"/>
      <c r="J514" s="170"/>
      <c r="K514" s="170"/>
      <c r="L514" s="170"/>
      <c r="M514" s="730"/>
      <c r="N514" s="730"/>
      <c r="O514" s="730"/>
      <c r="P514" s="731"/>
      <c r="Q514" s="731"/>
      <c r="R514" s="730"/>
      <c r="S514" s="730"/>
      <c r="T514" s="723"/>
      <c r="U514" s="724"/>
      <c r="V514" s="725"/>
      <c r="W514" s="725"/>
      <c r="X514" s="723"/>
      <c r="Y514" s="723"/>
      <c r="Z514" s="723"/>
      <c r="AA514" s="726"/>
      <c r="AB514" s="726"/>
      <c r="AC514" s="170"/>
      <c r="AD514" s="586"/>
      <c r="AE514" s="586"/>
      <c r="AF514" s="170"/>
      <c r="AG514" s="170"/>
      <c r="AH514" s="170"/>
      <c r="AI514" s="170"/>
      <c r="AJ514" s="170"/>
      <c r="AK514" s="170"/>
      <c r="AL514" s="170"/>
      <c r="AM514" s="170"/>
      <c r="AN514" s="170"/>
      <c r="AO514" s="170"/>
      <c r="AP514" s="170"/>
      <c r="AQ514" s="170"/>
      <c r="AR514" s="170"/>
      <c r="AS514" s="170"/>
    </row>
    <row r="515" spans="1:45" ht="15" x14ac:dyDescent="0.25">
      <c r="A515" s="170"/>
      <c r="B515" s="719"/>
      <c r="C515" s="170"/>
      <c r="D515" s="170"/>
      <c r="E515" s="170"/>
      <c r="F515" s="170"/>
      <c r="G515" s="721"/>
      <c r="H515" s="170"/>
      <c r="I515" s="170"/>
      <c r="J515" s="170"/>
      <c r="K515" s="170"/>
      <c r="L515" s="170"/>
      <c r="M515" s="730"/>
      <c r="N515" s="730"/>
      <c r="O515" s="730"/>
      <c r="P515" s="731"/>
      <c r="Q515" s="731"/>
      <c r="R515" s="730"/>
      <c r="S515" s="730"/>
      <c r="T515" s="723"/>
      <c r="U515" s="724"/>
      <c r="V515" s="725"/>
      <c r="W515" s="725"/>
      <c r="X515" s="723"/>
      <c r="Y515" s="723"/>
      <c r="Z515" s="723"/>
      <c r="AA515" s="726"/>
      <c r="AB515" s="726"/>
      <c r="AC515" s="170"/>
      <c r="AD515" s="586"/>
      <c r="AE515" s="586"/>
      <c r="AF515" s="170"/>
      <c r="AG515" s="170"/>
      <c r="AH515" s="170"/>
      <c r="AI515" s="170"/>
      <c r="AJ515" s="170"/>
      <c r="AK515" s="170"/>
      <c r="AL515" s="170"/>
      <c r="AM515" s="170"/>
      <c r="AN515" s="170"/>
      <c r="AO515" s="170"/>
      <c r="AP515" s="170"/>
      <c r="AQ515" s="170"/>
      <c r="AR515" s="170"/>
      <c r="AS515" s="170"/>
    </row>
    <row r="516" spans="1:45" ht="15" x14ac:dyDescent="0.25">
      <c r="A516" s="170"/>
      <c r="B516" s="719"/>
      <c r="C516" s="170"/>
      <c r="D516" s="170"/>
      <c r="E516" s="170"/>
      <c r="F516" s="170"/>
      <c r="G516" s="721"/>
      <c r="H516" s="170"/>
      <c r="I516" s="170"/>
      <c r="J516" s="170"/>
      <c r="K516" s="170"/>
      <c r="L516" s="170"/>
      <c r="M516" s="730"/>
      <c r="N516" s="730"/>
      <c r="O516" s="730"/>
      <c r="P516" s="731"/>
      <c r="Q516" s="731"/>
      <c r="R516" s="730"/>
      <c r="S516" s="730"/>
      <c r="T516" s="723"/>
      <c r="U516" s="724"/>
      <c r="V516" s="725"/>
      <c r="W516" s="725"/>
      <c r="X516" s="723"/>
      <c r="Y516" s="723"/>
      <c r="Z516" s="723"/>
      <c r="AA516" s="726"/>
      <c r="AB516" s="726"/>
      <c r="AC516" s="170"/>
      <c r="AD516" s="586"/>
      <c r="AE516" s="586"/>
      <c r="AF516" s="170"/>
      <c r="AG516" s="170"/>
      <c r="AH516" s="170"/>
      <c r="AI516" s="170"/>
      <c r="AJ516" s="170"/>
      <c r="AK516" s="170"/>
      <c r="AL516" s="170"/>
      <c r="AM516" s="170"/>
      <c r="AN516" s="170"/>
      <c r="AO516" s="170"/>
      <c r="AP516" s="170"/>
      <c r="AQ516" s="170"/>
      <c r="AR516" s="170"/>
      <c r="AS516" s="170"/>
    </row>
    <row r="517" spans="1:45" ht="15" x14ac:dyDescent="0.25">
      <c r="A517" s="170"/>
      <c r="B517" s="719"/>
      <c r="C517" s="170"/>
      <c r="D517" s="170"/>
      <c r="E517" s="170"/>
      <c r="F517" s="170"/>
      <c r="G517" s="721"/>
      <c r="H517" s="170"/>
      <c r="I517" s="170"/>
      <c r="J517" s="170"/>
      <c r="K517" s="170"/>
      <c r="L517" s="170"/>
      <c r="M517" s="730"/>
      <c r="N517" s="730"/>
      <c r="O517" s="730"/>
      <c r="P517" s="731"/>
      <c r="Q517" s="731"/>
      <c r="R517" s="730"/>
      <c r="S517" s="730"/>
      <c r="T517" s="723"/>
      <c r="U517" s="724"/>
      <c r="V517" s="725"/>
      <c r="W517" s="725"/>
      <c r="X517" s="723"/>
      <c r="Y517" s="723"/>
      <c r="Z517" s="723"/>
      <c r="AA517" s="726"/>
      <c r="AB517" s="726"/>
      <c r="AC517" s="170"/>
      <c r="AD517" s="586"/>
      <c r="AE517" s="586"/>
      <c r="AF517" s="170"/>
      <c r="AG517" s="170"/>
      <c r="AH517" s="170"/>
      <c r="AI517" s="170"/>
      <c r="AJ517" s="170"/>
      <c r="AK517" s="170"/>
      <c r="AL517" s="170"/>
      <c r="AM517" s="170"/>
      <c r="AN517" s="170"/>
      <c r="AO517" s="170"/>
      <c r="AP517" s="170"/>
      <c r="AQ517" s="170"/>
      <c r="AR517" s="170"/>
      <c r="AS517" s="170"/>
    </row>
    <row r="518" spans="1:45" ht="15" x14ac:dyDescent="0.25">
      <c r="A518" s="170"/>
      <c r="B518" s="719"/>
      <c r="C518" s="170"/>
      <c r="D518" s="170"/>
      <c r="E518" s="170"/>
      <c r="F518" s="170"/>
      <c r="G518" s="721"/>
      <c r="H518" s="170"/>
      <c r="I518" s="170"/>
      <c r="J518" s="170"/>
      <c r="K518" s="170"/>
      <c r="L518" s="170"/>
      <c r="M518" s="730"/>
      <c r="N518" s="730"/>
      <c r="O518" s="730"/>
      <c r="P518" s="731"/>
      <c r="Q518" s="731"/>
      <c r="R518" s="730"/>
      <c r="S518" s="730"/>
      <c r="T518" s="723"/>
      <c r="U518" s="724"/>
      <c r="V518" s="725"/>
      <c r="W518" s="725"/>
      <c r="X518" s="723"/>
      <c r="Y518" s="723"/>
      <c r="Z518" s="723"/>
      <c r="AA518" s="726"/>
      <c r="AB518" s="726"/>
      <c r="AC518" s="170"/>
      <c r="AD518" s="586"/>
      <c r="AE518" s="586"/>
      <c r="AF518" s="170"/>
      <c r="AG518" s="170"/>
      <c r="AH518" s="170"/>
      <c r="AI518" s="170"/>
      <c r="AJ518" s="170"/>
      <c r="AK518" s="170"/>
      <c r="AL518" s="170"/>
      <c r="AM518" s="170"/>
      <c r="AN518" s="170"/>
      <c r="AO518" s="170"/>
      <c r="AP518" s="170"/>
      <c r="AQ518" s="170"/>
      <c r="AR518" s="170"/>
      <c r="AS518" s="170"/>
    </row>
    <row r="519" spans="1:45" ht="15" x14ac:dyDescent="0.25">
      <c r="A519" s="170"/>
      <c r="B519" s="719"/>
      <c r="C519" s="170"/>
      <c r="D519" s="170"/>
      <c r="E519" s="170"/>
      <c r="F519" s="170"/>
      <c r="G519" s="721"/>
      <c r="H519" s="170"/>
      <c r="I519" s="170"/>
      <c r="J519" s="170"/>
      <c r="K519" s="170"/>
      <c r="L519" s="170"/>
      <c r="M519" s="730"/>
      <c r="N519" s="730"/>
      <c r="O519" s="730"/>
      <c r="P519" s="731"/>
      <c r="Q519" s="731"/>
      <c r="R519" s="730"/>
      <c r="S519" s="730"/>
      <c r="T519" s="723"/>
      <c r="U519" s="724"/>
      <c r="V519" s="725"/>
      <c r="W519" s="725"/>
      <c r="X519" s="723"/>
      <c r="Y519" s="723"/>
      <c r="Z519" s="723"/>
      <c r="AA519" s="726"/>
      <c r="AB519" s="726"/>
      <c r="AC519" s="170"/>
      <c r="AD519" s="586"/>
      <c r="AE519" s="586"/>
      <c r="AF519" s="170"/>
      <c r="AG519" s="170"/>
      <c r="AH519" s="170"/>
      <c r="AI519" s="170"/>
      <c r="AJ519" s="170"/>
      <c r="AK519" s="170"/>
      <c r="AL519" s="170"/>
      <c r="AM519" s="170"/>
      <c r="AN519" s="170"/>
      <c r="AO519" s="170"/>
      <c r="AP519" s="170"/>
      <c r="AQ519" s="170"/>
      <c r="AR519" s="170"/>
      <c r="AS519" s="170"/>
    </row>
    <row r="520" spans="1:45" ht="15" x14ac:dyDescent="0.25">
      <c r="A520" s="170"/>
      <c r="B520" s="719"/>
      <c r="C520" s="170"/>
      <c r="D520" s="170"/>
      <c r="E520" s="170"/>
      <c r="F520" s="170"/>
      <c r="G520" s="721"/>
      <c r="H520" s="170"/>
      <c r="I520" s="170"/>
      <c r="J520" s="170"/>
      <c r="K520" s="170"/>
      <c r="L520" s="170"/>
      <c r="M520" s="730"/>
      <c r="N520" s="730"/>
      <c r="O520" s="730"/>
      <c r="P520" s="731"/>
      <c r="Q520" s="731"/>
      <c r="R520" s="730"/>
      <c r="S520" s="730"/>
      <c r="T520" s="723"/>
      <c r="U520" s="724"/>
      <c r="V520" s="725"/>
      <c r="W520" s="725"/>
      <c r="X520" s="723"/>
      <c r="Y520" s="723"/>
      <c r="Z520" s="723"/>
      <c r="AA520" s="726"/>
      <c r="AB520" s="726"/>
      <c r="AC520" s="170"/>
      <c r="AD520" s="586"/>
      <c r="AE520" s="586"/>
      <c r="AF520" s="170"/>
      <c r="AG520" s="170"/>
      <c r="AH520" s="170"/>
      <c r="AI520" s="170"/>
      <c r="AJ520" s="170"/>
      <c r="AK520" s="170"/>
      <c r="AL520" s="170"/>
      <c r="AM520" s="170"/>
      <c r="AN520" s="170"/>
      <c r="AO520" s="170"/>
      <c r="AP520" s="170"/>
      <c r="AQ520" s="170"/>
      <c r="AR520" s="170"/>
      <c r="AS520" s="170"/>
    </row>
    <row r="521" spans="1:45" ht="15" x14ac:dyDescent="0.25">
      <c r="A521" s="170"/>
      <c r="B521" s="719"/>
      <c r="C521" s="170"/>
      <c r="D521" s="170"/>
      <c r="E521" s="170"/>
      <c r="F521" s="170"/>
      <c r="G521" s="721"/>
      <c r="H521" s="170"/>
      <c r="I521" s="170"/>
      <c r="J521" s="170"/>
      <c r="K521" s="170"/>
      <c r="L521" s="170"/>
      <c r="M521" s="730"/>
      <c r="N521" s="730"/>
      <c r="O521" s="730"/>
      <c r="P521" s="731"/>
      <c r="Q521" s="731"/>
      <c r="R521" s="730"/>
      <c r="S521" s="730"/>
      <c r="T521" s="723"/>
      <c r="U521" s="724"/>
      <c r="V521" s="725"/>
      <c r="W521" s="725"/>
      <c r="X521" s="723"/>
      <c r="Y521" s="723"/>
      <c r="Z521" s="723"/>
      <c r="AA521" s="726"/>
      <c r="AB521" s="726"/>
      <c r="AC521" s="170"/>
      <c r="AD521" s="586"/>
      <c r="AE521" s="586"/>
      <c r="AF521" s="170"/>
      <c r="AG521" s="170"/>
      <c r="AH521" s="170"/>
      <c r="AI521" s="170"/>
      <c r="AJ521" s="170"/>
      <c r="AK521" s="170"/>
      <c r="AL521" s="170"/>
      <c r="AM521" s="170"/>
      <c r="AN521" s="170"/>
      <c r="AO521" s="170"/>
      <c r="AP521" s="170"/>
      <c r="AQ521" s="170"/>
      <c r="AR521" s="170"/>
      <c r="AS521" s="170"/>
    </row>
    <row r="522" spans="1:45" ht="15" x14ac:dyDescent="0.25">
      <c r="A522" s="170"/>
      <c r="B522" s="719"/>
      <c r="C522" s="170"/>
      <c r="D522" s="170"/>
      <c r="E522" s="170"/>
      <c r="F522" s="170"/>
      <c r="G522" s="721"/>
      <c r="H522" s="170"/>
      <c r="I522" s="170"/>
      <c r="J522" s="170"/>
      <c r="K522" s="170"/>
      <c r="L522" s="170"/>
      <c r="M522" s="730"/>
      <c r="N522" s="730"/>
      <c r="O522" s="730"/>
      <c r="P522" s="731"/>
      <c r="Q522" s="731"/>
      <c r="R522" s="730"/>
      <c r="S522" s="730"/>
      <c r="T522" s="723"/>
      <c r="U522" s="724"/>
      <c r="V522" s="725"/>
      <c r="W522" s="725"/>
      <c r="X522" s="723"/>
      <c r="Y522" s="723"/>
      <c r="Z522" s="723"/>
      <c r="AA522" s="726"/>
      <c r="AB522" s="726"/>
      <c r="AC522" s="170"/>
      <c r="AD522" s="586"/>
      <c r="AE522" s="586"/>
      <c r="AF522" s="170"/>
      <c r="AG522" s="170"/>
      <c r="AH522" s="170"/>
      <c r="AI522" s="170"/>
      <c r="AJ522" s="170"/>
      <c r="AK522" s="170"/>
      <c r="AL522" s="170"/>
      <c r="AM522" s="170"/>
      <c r="AN522" s="170"/>
      <c r="AO522" s="170"/>
      <c r="AP522" s="170"/>
      <c r="AQ522" s="170"/>
      <c r="AR522" s="170"/>
      <c r="AS522" s="170"/>
    </row>
    <row r="523" spans="1:45" ht="15" x14ac:dyDescent="0.25">
      <c r="A523" s="170"/>
      <c r="B523" s="719"/>
      <c r="C523" s="170"/>
      <c r="D523" s="170"/>
      <c r="E523" s="170"/>
      <c r="F523" s="170"/>
      <c r="G523" s="721"/>
      <c r="H523" s="170"/>
      <c r="I523" s="170"/>
      <c r="J523" s="170"/>
      <c r="K523" s="170"/>
      <c r="L523" s="170"/>
      <c r="M523" s="730"/>
      <c r="N523" s="730"/>
      <c r="O523" s="730"/>
      <c r="P523" s="731"/>
      <c r="Q523" s="731"/>
      <c r="R523" s="730"/>
      <c r="S523" s="730"/>
      <c r="T523" s="723"/>
      <c r="U523" s="724"/>
      <c r="V523" s="725"/>
      <c r="W523" s="725"/>
      <c r="X523" s="723"/>
      <c r="Y523" s="723"/>
      <c r="Z523" s="723"/>
      <c r="AA523" s="726"/>
      <c r="AB523" s="726"/>
      <c r="AC523" s="170"/>
      <c r="AD523" s="586"/>
      <c r="AE523" s="586"/>
      <c r="AF523" s="170"/>
      <c r="AG523" s="170"/>
      <c r="AH523" s="170"/>
      <c r="AI523" s="170"/>
      <c r="AJ523" s="170"/>
      <c r="AK523" s="170"/>
      <c r="AL523" s="170"/>
      <c r="AM523" s="170"/>
      <c r="AN523" s="170"/>
      <c r="AO523" s="170"/>
      <c r="AP523" s="170"/>
      <c r="AQ523" s="170"/>
      <c r="AR523" s="170"/>
      <c r="AS523" s="170"/>
    </row>
    <row r="524" spans="1:45" ht="15" x14ac:dyDescent="0.25">
      <c r="A524" s="170"/>
      <c r="B524" s="719"/>
      <c r="C524" s="170"/>
      <c r="D524" s="170"/>
      <c r="E524" s="170"/>
      <c r="F524" s="170"/>
      <c r="G524" s="721"/>
      <c r="H524" s="170"/>
      <c r="I524" s="170"/>
      <c r="J524" s="170"/>
      <c r="K524" s="170"/>
      <c r="L524" s="170"/>
      <c r="M524" s="730"/>
      <c r="N524" s="730"/>
      <c r="O524" s="730"/>
      <c r="P524" s="731"/>
      <c r="Q524" s="731"/>
      <c r="R524" s="730"/>
      <c r="S524" s="730"/>
      <c r="T524" s="723"/>
      <c r="U524" s="724"/>
      <c r="V524" s="725"/>
      <c r="W524" s="725"/>
      <c r="X524" s="723"/>
      <c r="Y524" s="723"/>
      <c r="Z524" s="723"/>
      <c r="AA524" s="726"/>
      <c r="AB524" s="726"/>
      <c r="AC524" s="170"/>
      <c r="AD524" s="586"/>
      <c r="AE524" s="586"/>
      <c r="AF524" s="170"/>
      <c r="AG524" s="170"/>
      <c r="AH524" s="170"/>
      <c r="AI524" s="170"/>
      <c r="AJ524" s="170"/>
      <c r="AK524" s="170"/>
      <c r="AL524" s="170"/>
      <c r="AM524" s="170"/>
      <c r="AN524" s="170"/>
      <c r="AO524" s="170"/>
      <c r="AP524" s="170"/>
      <c r="AQ524" s="170"/>
      <c r="AR524" s="170"/>
      <c r="AS524" s="170"/>
    </row>
    <row r="525" spans="1:45" ht="15" x14ac:dyDescent="0.25">
      <c r="A525" s="170"/>
      <c r="B525" s="719"/>
      <c r="C525" s="170"/>
      <c r="D525" s="170"/>
      <c r="E525" s="170"/>
      <c r="F525" s="170"/>
      <c r="G525" s="721"/>
      <c r="H525" s="170"/>
      <c r="I525" s="170"/>
      <c r="J525" s="170"/>
      <c r="K525" s="170"/>
      <c r="L525" s="170"/>
      <c r="M525" s="730"/>
      <c r="N525" s="730"/>
      <c r="O525" s="730"/>
      <c r="P525" s="731"/>
      <c r="Q525" s="731"/>
      <c r="R525" s="730"/>
      <c r="S525" s="730"/>
      <c r="T525" s="723"/>
      <c r="U525" s="724"/>
      <c r="V525" s="725"/>
      <c r="W525" s="725"/>
      <c r="X525" s="723"/>
      <c r="Y525" s="723"/>
      <c r="Z525" s="723"/>
      <c r="AA525" s="726"/>
      <c r="AB525" s="726"/>
      <c r="AC525" s="170"/>
      <c r="AD525" s="586"/>
      <c r="AE525" s="586"/>
      <c r="AF525" s="170"/>
      <c r="AG525" s="170"/>
      <c r="AH525" s="170"/>
      <c r="AI525" s="170"/>
      <c r="AJ525" s="170"/>
      <c r="AK525" s="170"/>
      <c r="AL525" s="170"/>
      <c r="AM525" s="170"/>
      <c r="AN525" s="170"/>
      <c r="AO525" s="170"/>
      <c r="AP525" s="170"/>
      <c r="AQ525" s="170"/>
      <c r="AR525" s="170"/>
      <c r="AS525" s="170"/>
    </row>
    <row r="526" spans="1:45" ht="15" x14ac:dyDescent="0.25">
      <c r="A526" s="170"/>
      <c r="B526" s="719"/>
      <c r="C526" s="170"/>
      <c r="D526" s="170"/>
      <c r="E526" s="170"/>
      <c r="F526" s="170"/>
      <c r="G526" s="721"/>
      <c r="H526" s="170"/>
      <c r="I526" s="170"/>
      <c r="J526" s="170"/>
      <c r="K526" s="170"/>
      <c r="L526" s="170"/>
      <c r="M526" s="730"/>
      <c r="N526" s="730"/>
      <c r="O526" s="730"/>
      <c r="P526" s="731"/>
      <c r="Q526" s="731"/>
      <c r="R526" s="730"/>
      <c r="S526" s="730"/>
      <c r="T526" s="723"/>
      <c r="U526" s="724"/>
      <c r="V526" s="725"/>
      <c r="W526" s="725"/>
      <c r="X526" s="723"/>
      <c r="Y526" s="723"/>
      <c r="Z526" s="723"/>
      <c r="AA526" s="726"/>
      <c r="AB526" s="726"/>
      <c r="AC526" s="170"/>
      <c r="AD526" s="586"/>
      <c r="AE526" s="586"/>
      <c r="AF526" s="170"/>
      <c r="AG526" s="170"/>
      <c r="AH526" s="170"/>
      <c r="AI526" s="170"/>
      <c r="AJ526" s="170"/>
      <c r="AK526" s="170"/>
      <c r="AL526" s="170"/>
      <c r="AM526" s="170"/>
      <c r="AN526" s="170"/>
      <c r="AO526" s="170"/>
      <c r="AP526" s="170"/>
      <c r="AQ526" s="170"/>
      <c r="AR526" s="170"/>
      <c r="AS526" s="170"/>
    </row>
    <row r="527" spans="1:45" ht="15" x14ac:dyDescent="0.25">
      <c r="A527" s="170"/>
      <c r="B527" s="719"/>
      <c r="C527" s="170"/>
      <c r="D527" s="170"/>
      <c r="E527" s="170"/>
      <c r="F527" s="170"/>
      <c r="G527" s="721"/>
      <c r="H527" s="170"/>
      <c r="I527" s="170"/>
      <c r="J527" s="170"/>
      <c r="K527" s="170"/>
      <c r="L527" s="170"/>
      <c r="M527" s="730"/>
      <c r="N527" s="730"/>
      <c r="O527" s="730"/>
      <c r="P527" s="731"/>
      <c r="Q527" s="731"/>
      <c r="R527" s="730"/>
      <c r="S527" s="730"/>
      <c r="T527" s="723"/>
      <c r="U527" s="724"/>
      <c r="V527" s="725"/>
      <c r="W527" s="725"/>
      <c r="X527" s="723"/>
      <c r="Y527" s="723"/>
      <c r="Z527" s="723"/>
      <c r="AA527" s="726"/>
      <c r="AB527" s="726"/>
      <c r="AC527" s="170"/>
      <c r="AD527" s="586"/>
      <c r="AE527" s="586"/>
      <c r="AF527" s="170"/>
      <c r="AG527" s="170"/>
      <c r="AH527" s="170"/>
      <c r="AI527" s="170"/>
      <c r="AJ527" s="170"/>
      <c r="AK527" s="170"/>
      <c r="AL527" s="170"/>
      <c r="AM527" s="170"/>
      <c r="AN527" s="170"/>
      <c r="AO527" s="170"/>
      <c r="AP527" s="170"/>
      <c r="AQ527" s="170"/>
      <c r="AR527" s="170"/>
      <c r="AS527" s="170"/>
    </row>
    <row r="528" spans="1:45" ht="15" x14ac:dyDescent="0.25">
      <c r="A528" s="170"/>
      <c r="B528" s="719"/>
      <c r="C528" s="170"/>
      <c r="D528" s="170"/>
      <c r="E528" s="170"/>
      <c r="F528" s="170"/>
      <c r="G528" s="721"/>
      <c r="H528" s="170"/>
      <c r="I528" s="170"/>
      <c r="J528" s="170"/>
      <c r="K528" s="170"/>
      <c r="L528" s="170"/>
      <c r="M528" s="730"/>
      <c r="N528" s="730"/>
      <c r="O528" s="730"/>
      <c r="P528" s="731"/>
      <c r="Q528" s="731"/>
      <c r="R528" s="730"/>
      <c r="S528" s="730"/>
      <c r="T528" s="723"/>
      <c r="U528" s="724"/>
      <c r="V528" s="725"/>
      <c r="W528" s="725"/>
      <c r="X528" s="723"/>
      <c r="Y528" s="723"/>
      <c r="Z528" s="723"/>
      <c r="AA528" s="726"/>
      <c r="AB528" s="726"/>
      <c r="AC528" s="170"/>
      <c r="AD528" s="586"/>
      <c r="AE528" s="586"/>
      <c r="AF528" s="170"/>
      <c r="AG528" s="170"/>
      <c r="AH528" s="170"/>
      <c r="AI528" s="170"/>
      <c r="AJ528" s="170"/>
      <c r="AK528" s="170"/>
      <c r="AL528" s="170"/>
      <c r="AM528" s="170"/>
      <c r="AN528" s="170"/>
      <c r="AO528" s="170"/>
      <c r="AP528" s="170"/>
      <c r="AQ528" s="170"/>
      <c r="AR528" s="170"/>
      <c r="AS528" s="170"/>
    </row>
    <row r="529" spans="1:45" ht="15" x14ac:dyDescent="0.25">
      <c r="A529" s="170"/>
      <c r="B529" s="719"/>
      <c r="C529" s="170"/>
      <c r="D529" s="170"/>
      <c r="E529" s="170"/>
      <c r="F529" s="170"/>
      <c r="G529" s="721"/>
      <c r="H529" s="170"/>
      <c r="I529" s="170"/>
      <c r="J529" s="170"/>
      <c r="K529" s="170"/>
      <c r="L529" s="170"/>
      <c r="M529" s="730"/>
      <c r="N529" s="730"/>
      <c r="O529" s="730"/>
      <c r="P529" s="731"/>
      <c r="Q529" s="731"/>
      <c r="R529" s="730"/>
      <c r="S529" s="730"/>
      <c r="T529" s="723"/>
      <c r="U529" s="724"/>
      <c r="V529" s="725"/>
      <c r="W529" s="725"/>
      <c r="X529" s="723"/>
      <c r="Y529" s="723"/>
      <c r="Z529" s="723"/>
      <c r="AA529" s="726"/>
      <c r="AB529" s="726"/>
      <c r="AC529" s="170"/>
      <c r="AD529" s="586"/>
      <c r="AE529" s="586"/>
      <c r="AF529" s="170"/>
      <c r="AG529" s="170"/>
      <c r="AH529" s="170"/>
      <c r="AI529" s="170"/>
      <c r="AJ529" s="170"/>
      <c r="AK529" s="170"/>
      <c r="AL529" s="170"/>
      <c r="AM529" s="170"/>
      <c r="AN529" s="170"/>
      <c r="AO529" s="170"/>
      <c r="AP529" s="170"/>
      <c r="AQ529" s="170"/>
      <c r="AR529" s="170"/>
      <c r="AS529" s="170"/>
    </row>
    <row r="530" spans="1:45" ht="15" x14ac:dyDescent="0.25">
      <c r="A530" s="170"/>
      <c r="B530" s="719"/>
      <c r="C530" s="170"/>
      <c r="D530" s="170"/>
      <c r="E530" s="170"/>
      <c r="F530" s="170"/>
      <c r="G530" s="721"/>
      <c r="H530" s="170"/>
      <c r="I530" s="170"/>
      <c r="J530" s="170"/>
      <c r="K530" s="170"/>
      <c r="L530" s="170"/>
      <c r="M530" s="730"/>
      <c r="N530" s="730"/>
      <c r="O530" s="730"/>
      <c r="P530" s="731"/>
      <c r="Q530" s="731"/>
      <c r="R530" s="730"/>
      <c r="S530" s="730"/>
      <c r="T530" s="723"/>
      <c r="U530" s="724"/>
      <c r="V530" s="725"/>
      <c r="W530" s="725"/>
      <c r="X530" s="723"/>
      <c r="Y530" s="723"/>
      <c r="Z530" s="723"/>
      <c r="AA530" s="726"/>
      <c r="AB530" s="726"/>
      <c r="AC530" s="170"/>
      <c r="AD530" s="586"/>
      <c r="AE530" s="586"/>
      <c r="AF530" s="170"/>
      <c r="AG530" s="170"/>
      <c r="AH530" s="170"/>
      <c r="AI530" s="170"/>
      <c r="AJ530" s="170"/>
      <c r="AK530" s="170"/>
      <c r="AL530" s="170"/>
      <c r="AM530" s="170"/>
      <c r="AN530" s="170"/>
      <c r="AO530" s="170"/>
      <c r="AP530" s="170"/>
      <c r="AQ530" s="170"/>
      <c r="AR530" s="170"/>
      <c r="AS530" s="170"/>
    </row>
    <row r="531" spans="1:45" ht="15" x14ac:dyDescent="0.25">
      <c r="A531" s="170"/>
      <c r="B531" s="719"/>
      <c r="C531" s="170"/>
      <c r="D531" s="170"/>
      <c r="E531" s="170"/>
      <c r="F531" s="170"/>
      <c r="G531" s="721"/>
      <c r="H531" s="170"/>
      <c r="I531" s="170"/>
      <c r="J531" s="170"/>
      <c r="K531" s="170"/>
      <c r="L531" s="170"/>
      <c r="M531" s="730"/>
      <c r="N531" s="730"/>
      <c r="O531" s="730"/>
      <c r="P531" s="731"/>
      <c r="Q531" s="731"/>
      <c r="R531" s="730"/>
      <c r="S531" s="730"/>
      <c r="T531" s="723"/>
      <c r="U531" s="724"/>
      <c r="V531" s="725"/>
      <c r="W531" s="725"/>
      <c r="X531" s="723"/>
      <c r="Y531" s="723"/>
      <c r="Z531" s="723"/>
      <c r="AA531" s="726"/>
      <c r="AB531" s="726"/>
      <c r="AC531" s="170"/>
      <c r="AD531" s="586"/>
      <c r="AE531" s="586"/>
      <c r="AF531" s="170"/>
      <c r="AG531" s="170"/>
      <c r="AH531" s="170"/>
      <c r="AI531" s="170"/>
      <c r="AJ531" s="170"/>
      <c r="AK531" s="170"/>
      <c r="AL531" s="170"/>
      <c r="AM531" s="170"/>
      <c r="AN531" s="170"/>
      <c r="AO531" s="170"/>
      <c r="AP531" s="170"/>
      <c r="AQ531" s="170"/>
      <c r="AR531" s="170"/>
      <c r="AS531" s="170"/>
    </row>
    <row r="532" spans="1:45" ht="15" x14ac:dyDescent="0.25">
      <c r="A532" s="170"/>
      <c r="B532" s="719"/>
      <c r="C532" s="170"/>
      <c r="D532" s="170"/>
      <c r="E532" s="170"/>
      <c r="F532" s="170"/>
      <c r="G532" s="721"/>
      <c r="H532" s="170"/>
      <c r="I532" s="170"/>
      <c r="J532" s="170"/>
      <c r="K532" s="170"/>
      <c r="L532" s="170"/>
      <c r="M532" s="730"/>
      <c r="N532" s="730"/>
      <c r="O532" s="730"/>
      <c r="P532" s="731"/>
      <c r="Q532" s="731"/>
      <c r="R532" s="730"/>
      <c r="S532" s="730"/>
      <c r="T532" s="723"/>
      <c r="U532" s="724"/>
      <c r="V532" s="725"/>
      <c r="W532" s="725"/>
      <c r="X532" s="723"/>
      <c r="Y532" s="723"/>
      <c r="Z532" s="723"/>
      <c r="AA532" s="726"/>
      <c r="AB532" s="726"/>
      <c r="AC532" s="170"/>
      <c r="AD532" s="586"/>
      <c r="AE532" s="586"/>
      <c r="AF532" s="170"/>
      <c r="AG532" s="170"/>
      <c r="AH532" s="170"/>
      <c r="AI532" s="170"/>
      <c r="AJ532" s="170"/>
      <c r="AK532" s="170"/>
      <c r="AL532" s="170"/>
      <c r="AM532" s="170"/>
      <c r="AN532" s="170"/>
      <c r="AO532" s="170"/>
      <c r="AP532" s="170"/>
      <c r="AQ532" s="170"/>
      <c r="AR532" s="170"/>
      <c r="AS532" s="170"/>
    </row>
    <row r="533" spans="1:45" ht="15" x14ac:dyDescent="0.25">
      <c r="A533" s="170"/>
      <c r="B533" s="719"/>
      <c r="C533" s="170"/>
      <c r="D533" s="170"/>
      <c r="E533" s="170"/>
      <c r="F533" s="170"/>
      <c r="G533" s="721"/>
      <c r="H533" s="170"/>
      <c r="I533" s="170"/>
      <c r="J533" s="170"/>
      <c r="K533" s="170"/>
      <c r="L533" s="170"/>
      <c r="M533" s="730"/>
      <c r="N533" s="730"/>
      <c r="O533" s="730"/>
      <c r="P533" s="731"/>
      <c r="Q533" s="731"/>
      <c r="R533" s="730"/>
      <c r="S533" s="730"/>
      <c r="T533" s="723"/>
      <c r="U533" s="724"/>
      <c r="V533" s="725"/>
      <c r="W533" s="725"/>
      <c r="X533" s="723"/>
      <c r="Y533" s="723"/>
      <c r="Z533" s="723"/>
      <c r="AA533" s="726"/>
      <c r="AB533" s="726"/>
      <c r="AC533" s="170"/>
      <c r="AD533" s="586"/>
      <c r="AE533" s="586"/>
      <c r="AF533" s="170"/>
      <c r="AG533" s="170"/>
      <c r="AH533" s="170"/>
      <c r="AI533" s="170"/>
      <c r="AJ533" s="170"/>
      <c r="AK533" s="170"/>
      <c r="AL533" s="170"/>
      <c r="AM533" s="170"/>
      <c r="AN533" s="170"/>
      <c r="AO533" s="170"/>
      <c r="AP533" s="170"/>
      <c r="AQ533" s="170"/>
      <c r="AR533" s="170"/>
      <c r="AS533" s="170"/>
    </row>
    <row r="534" spans="1:45" ht="15" x14ac:dyDescent="0.25">
      <c r="A534" s="170"/>
      <c r="B534" s="719"/>
      <c r="C534" s="170"/>
      <c r="D534" s="170"/>
      <c r="E534" s="170"/>
      <c r="F534" s="170"/>
      <c r="G534" s="721"/>
      <c r="H534" s="170"/>
      <c r="I534" s="170"/>
      <c r="J534" s="170"/>
      <c r="K534" s="170"/>
      <c r="L534" s="170"/>
      <c r="M534" s="730"/>
      <c r="N534" s="730"/>
      <c r="O534" s="730"/>
      <c r="P534" s="731"/>
      <c r="Q534" s="731"/>
      <c r="R534" s="730"/>
      <c r="S534" s="730"/>
      <c r="T534" s="723"/>
      <c r="U534" s="724"/>
      <c r="V534" s="725"/>
      <c r="W534" s="725"/>
      <c r="X534" s="723"/>
      <c r="Y534" s="723"/>
      <c r="Z534" s="723"/>
      <c r="AA534" s="726"/>
      <c r="AB534" s="726"/>
      <c r="AC534" s="170"/>
      <c r="AD534" s="586"/>
      <c r="AE534" s="586"/>
      <c r="AF534" s="170"/>
      <c r="AG534" s="170"/>
      <c r="AH534" s="170"/>
      <c r="AI534" s="170"/>
      <c r="AJ534" s="170"/>
      <c r="AK534" s="170"/>
      <c r="AL534" s="170"/>
      <c r="AM534" s="170"/>
      <c r="AN534" s="170"/>
      <c r="AO534" s="170"/>
      <c r="AP534" s="170"/>
      <c r="AQ534" s="170"/>
      <c r="AR534" s="170"/>
      <c r="AS534" s="170"/>
    </row>
    <row r="535" spans="1:45" ht="15" x14ac:dyDescent="0.25">
      <c r="A535" s="170"/>
      <c r="B535" s="719"/>
      <c r="C535" s="170"/>
      <c r="D535" s="170"/>
      <c r="E535" s="170"/>
      <c r="F535" s="170"/>
      <c r="G535" s="721"/>
      <c r="H535" s="170"/>
      <c r="I535" s="170"/>
      <c r="J535" s="170"/>
      <c r="K535" s="170"/>
      <c r="L535" s="170"/>
      <c r="M535" s="730"/>
      <c r="N535" s="730"/>
      <c r="O535" s="730"/>
      <c r="P535" s="731"/>
      <c r="Q535" s="731"/>
      <c r="R535" s="730"/>
      <c r="S535" s="730"/>
      <c r="T535" s="723"/>
      <c r="U535" s="724"/>
      <c r="V535" s="725"/>
      <c r="W535" s="725"/>
      <c r="X535" s="723"/>
      <c r="Y535" s="723"/>
      <c r="Z535" s="723"/>
      <c r="AA535" s="726"/>
      <c r="AB535" s="726"/>
      <c r="AC535" s="170"/>
      <c r="AD535" s="586"/>
      <c r="AE535" s="586"/>
      <c r="AF535" s="170"/>
      <c r="AG535" s="170"/>
      <c r="AH535" s="170"/>
      <c r="AI535" s="170"/>
      <c r="AJ535" s="170"/>
      <c r="AK535" s="170"/>
      <c r="AL535" s="170"/>
      <c r="AM535" s="170"/>
      <c r="AN535" s="170"/>
      <c r="AO535" s="170"/>
      <c r="AP535" s="170"/>
      <c r="AQ535" s="170"/>
      <c r="AR535" s="170"/>
      <c r="AS535" s="170"/>
    </row>
    <row r="536" spans="1:45" ht="15" x14ac:dyDescent="0.25">
      <c r="A536" s="170"/>
      <c r="B536" s="719"/>
      <c r="C536" s="170"/>
      <c r="D536" s="170"/>
      <c r="E536" s="170"/>
      <c r="F536" s="170"/>
      <c r="G536" s="721"/>
      <c r="H536" s="170"/>
      <c r="I536" s="170"/>
      <c r="J536" s="170"/>
      <c r="K536" s="170"/>
      <c r="L536" s="170"/>
      <c r="M536" s="730"/>
      <c r="N536" s="730"/>
      <c r="O536" s="730"/>
      <c r="P536" s="731"/>
      <c r="Q536" s="731"/>
      <c r="R536" s="730"/>
      <c r="S536" s="730"/>
      <c r="T536" s="723"/>
      <c r="U536" s="724"/>
      <c r="V536" s="725"/>
      <c r="W536" s="725"/>
      <c r="X536" s="723"/>
      <c r="Y536" s="723"/>
      <c r="Z536" s="723"/>
      <c r="AA536" s="726"/>
      <c r="AB536" s="726"/>
      <c r="AC536" s="170"/>
      <c r="AD536" s="586"/>
      <c r="AE536" s="586"/>
      <c r="AF536" s="170"/>
      <c r="AG536" s="170"/>
      <c r="AH536" s="170"/>
      <c r="AI536" s="170"/>
      <c r="AJ536" s="170"/>
      <c r="AK536" s="170"/>
      <c r="AL536" s="170"/>
      <c r="AM536" s="170"/>
      <c r="AN536" s="170"/>
      <c r="AO536" s="170"/>
      <c r="AP536" s="170"/>
      <c r="AQ536" s="170"/>
      <c r="AR536" s="170"/>
      <c r="AS536" s="170"/>
    </row>
    <row r="537" spans="1:45" ht="15" x14ac:dyDescent="0.25">
      <c r="A537" s="170"/>
      <c r="B537" s="719"/>
      <c r="C537" s="170"/>
      <c r="D537" s="170"/>
      <c r="E537" s="170"/>
      <c r="F537" s="170"/>
      <c r="G537" s="721"/>
      <c r="H537" s="170"/>
      <c r="I537" s="170"/>
      <c r="J537" s="170"/>
      <c r="K537" s="170"/>
      <c r="L537" s="170"/>
      <c r="M537" s="730"/>
      <c r="N537" s="730"/>
      <c r="O537" s="730"/>
      <c r="P537" s="731"/>
      <c r="Q537" s="731"/>
      <c r="R537" s="730"/>
      <c r="S537" s="730"/>
      <c r="T537" s="723"/>
      <c r="U537" s="724"/>
      <c r="V537" s="725"/>
      <c r="W537" s="725"/>
      <c r="X537" s="723"/>
      <c r="Y537" s="723"/>
      <c r="Z537" s="723"/>
      <c r="AA537" s="726"/>
      <c r="AB537" s="726"/>
      <c r="AC537" s="170"/>
      <c r="AD537" s="586"/>
      <c r="AE537" s="586"/>
      <c r="AF537" s="170"/>
      <c r="AG537" s="170"/>
      <c r="AH537" s="170"/>
      <c r="AI537" s="170"/>
      <c r="AJ537" s="170"/>
      <c r="AK537" s="170"/>
      <c r="AL537" s="170"/>
      <c r="AM537" s="170"/>
      <c r="AN537" s="170"/>
      <c r="AO537" s="170"/>
      <c r="AP537" s="170"/>
      <c r="AQ537" s="170"/>
      <c r="AR537" s="170"/>
      <c r="AS537" s="170"/>
    </row>
    <row r="538" spans="1:45" ht="15" x14ac:dyDescent="0.25">
      <c r="A538" s="170"/>
      <c r="B538" s="719"/>
      <c r="C538" s="170"/>
      <c r="D538" s="170"/>
      <c r="E538" s="170"/>
      <c r="F538" s="170"/>
      <c r="G538" s="721"/>
      <c r="H538" s="170"/>
      <c r="I538" s="170"/>
      <c r="J538" s="170"/>
      <c r="K538" s="170"/>
      <c r="L538" s="170"/>
      <c r="M538" s="730"/>
      <c r="N538" s="730"/>
      <c r="O538" s="730"/>
      <c r="P538" s="731"/>
      <c r="Q538" s="731"/>
      <c r="R538" s="730"/>
      <c r="S538" s="730"/>
      <c r="T538" s="723"/>
      <c r="U538" s="724"/>
      <c r="V538" s="725"/>
      <c r="W538" s="725"/>
      <c r="X538" s="723"/>
      <c r="Y538" s="723"/>
      <c r="Z538" s="723"/>
      <c r="AA538" s="726"/>
      <c r="AB538" s="726"/>
      <c r="AC538" s="170"/>
      <c r="AD538" s="586"/>
      <c r="AE538" s="586"/>
      <c r="AF538" s="170"/>
      <c r="AG538" s="170"/>
      <c r="AH538" s="170"/>
      <c r="AI538" s="170"/>
      <c r="AJ538" s="170"/>
      <c r="AK538" s="170"/>
      <c r="AL538" s="170"/>
      <c r="AM538" s="170"/>
      <c r="AN538" s="170"/>
      <c r="AO538" s="170"/>
      <c r="AP538" s="170"/>
      <c r="AQ538" s="170"/>
      <c r="AR538" s="170"/>
      <c r="AS538" s="170"/>
    </row>
    <row r="539" spans="1:45" ht="15" x14ac:dyDescent="0.25">
      <c r="A539" s="170"/>
      <c r="B539" s="719"/>
      <c r="C539" s="170"/>
      <c r="D539" s="170"/>
      <c r="E539" s="170"/>
      <c r="F539" s="170"/>
      <c r="G539" s="721"/>
      <c r="H539" s="170"/>
      <c r="I539" s="170"/>
      <c r="J539" s="170"/>
      <c r="K539" s="170"/>
      <c r="L539" s="170"/>
      <c r="M539" s="730"/>
      <c r="N539" s="730"/>
      <c r="O539" s="730"/>
      <c r="P539" s="731"/>
      <c r="Q539" s="731"/>
      <c r="R539" s="730"/>
      <c r="S539" s="730"/>
      <c r="T539" s="723"/>
      <c r="U539" s="724"/>
      <c r="V539" s="725"/>
      <c r="W539" s="725"/>
      <c r="X539" s="723"/>
      <c r="Y539" s="723"/>
      <c r="Z539" s="723"/>
      <c r="AA539" s="726"/>
      <c r="AB539" s="726"/>
      <c r="AC539" s="170"/>
      <c r="AD539" s="586"/>
      <c r="AE539" s="586"/>
      <c r="AF539" s="170"/>
      <c r="AG539" s="170"/>
      <c r="AH539" s="170"/>
      <c r="AI539" s="170"/>
      <c r="AJ539" s="170"/>
      <c r="AK539" s="170"/>
      <c r="AL539" s="170"/>
      <c r="AM539" s="170"/>
      <c r="AN539" s="170"/>
      <c r="AO539" s="170"/>
      <c r="AP539" s="170"/>
      <c r="AQ539" s="170"/>
      <c r="AR539" s="170"/>
      <c r="AS539" s="170"/>
    </row>
    <row r="540" spans="1:45" ht="15" x14ac:dyDescent="0.25">
      <c r="A540" s="170"/>
      <c r="B540" s="719"/>
      <c r="C540" s="170"/>
      <c r="D540" s="170"/>
      <c r="E540" s="170"/>
      <c r="F540" s="170"/>
      <c r="G540" s="721"/>
      <c r="H540" s="170"/>
      <c r="I540" s="170"/>
      <c r="J540" s="170"/>
      <c r="K540" s="170"/>
      <c r="L540" s="170"/>
      <c r="M540" s="730"/>
      <c r="N540" s="730"/>
      <c r="O540" s="730"/>
      <c r="P540" s="731"/>
      <c r="Q540" s="731"/>
      <c r="R540" s="730"/>
      <c r="S540" s="730"/>
      <c r="T540" s="723"/>
      <c r="U540" s="724"/>
      <c r="V540" s="725"/>
      <c r="W540" s="725"/>
      <c r="X540" s="723"/>
      <c r="Y540" s="723"/>
      <c r="Z540" s="723"/>
      <c r="AA540" s="726"/>
      <c r="AB540" s="726"/>
      <c r="AC540" s="170"/>
      <c r="AD540" s="586"/>
      <c r="AE540" s="586"/>
      <c r="AF540" s="170"/>
      <c r="AG540" s="170"/>
      <c r="AH540" s="170"/>
      <c r="AI540" s="170"/>
      <c r="AJ540" s="170"/>
      <c r="AK540" s="170"/>
      <c r="AL540" s="170"/>
      <c r="AM540" s="170"/>
      <c r="AN540" s="170"/>
      <c r="AO540" s="170"/>
      <c r="AP540" s="170"/>
      <c r="AQ540" s="170"/>
      <c r="AR540" s="170"/>
      <c r="AS540" s="170"/>
    </row>
    <row r="541" spans="1:45" ht="15" x14ac:dyDescent="0.25">
      <c r="A541" s="170"/>
      <c r="B541" s="719"/>
      <c r="C541" s="170"/>
      <c r="D541" s="170"/>
      <c r="E541" s="170"/>
      <c r="F541" s="170"/>
      <c r="G541" s="721"/>
      <c r="H541" s="170"/>
      <c r="I541" s="170"/>
      <c r="J541" s="170"/>
      <c r="K541" s="170"/>
      <c r="L541" s="170"/>
      <c r="M541" s="730"/>
      <c r="N541" s="730"/>
      <c r="O541" s="730"/>
      <c r="P541" s="731"/>
      <c r="Q541" s="731"/>
      <c r="R541" s="730"/>
      <c r="S541" s="730"/>
      <c r="T541" s="723"/>
      <c r="U541" s="724"/>
      <c r="V541" s="725"/>
      <c r="W541" s="725"/>
      <c r="X541" s="723"/>
      <c r="Y541" s="723"/>
      <c r="Z541" s="723"/>
      <c r="AA541" s="726"/>
      <c r="AB541" s="726"/>
      <c r="AC541" s="170"/>
      <c r="AD541" s="586"/>
      <c r="AE541" s="586"/>
      <c r="AF541" s="170"/>
      <c r="AG541" s="170"/>
      <c r="AH541" s="170"/>
      <c r="AI541" s="170"/>
      <c r="AJ541" s="170"/>
      <c r="AK541" s="170"/>
      <c r="AL541" s="170"/>
      <c r="AM541" s="170"/>
      <c r="AN541" s="170"/>
      <c r="AO541" s="170"/>
      <c r="AP541" s="170"/>
      <c r="AQ541" s="170"/>
      <c r="AR541" s="170"/>
      <c r="AS541" s="170"/>
    </row>
    <row r="542" spans="1:45" ht="15" x14ac:dyDescent="0.25">
      <c r="A542" s="170"/>
      <c r="B542" s="719"/>
      <c r="C542" s="170"/>
      <c r="D542" s="170"/>
      <c r="E542" s="170"/>
      <c r="F542" s="170"/>
      <c r="G542" s="721"/>
      <c r="H542" s="170"/>
      <c r="I542" s="170"/>
      <c r="J542" s="170"/>
      <c r="K542" s="170"/>
      <c r="L542" s="170"/>
      <c r="M542" s="730"/>
      <c r="N542" s="730"/>
      <c r="O542" s="730"/>
      <c r="P542" s="731"/>
      <c r="Q542" s="731"/>
      <c r="R542" s="730"/>
      <c r="S542" s="730"/>
      <c r="T542" s="723"/>
      <c r="U542" s="724"/>
      <c r="V542" s="725"/>
      <c r="W542" s="725"/>
      <c r="X542" s="723"/>
      <c r="Y542" s="723"/>
      <c r="Z542" s="723"/>
      <c r="AA542" s="726"/>
      <c r="AB542" s="726"/>
      <c r="AC542" s="170"/>
      <c r="AD542" s="586"/>
      <c r="AE542" s="586"/>
      <c r="AF542" s="170"/>
      <c r="AG542" s="170"/>
      <c r="AH542" s="170"/>
      <c r="AI542" s="170"/>
      <c r="AJ542" s="170"/>
      <c r="AK542" s="170"/>
      <c r="AL542" s="170"/>
      <c r="AM542" s="170"/>
      <c r="AN542" s="170"/>
      <c r="AO542" s="170"/>
      <c r="AP542" s="170"/>
      <c r="AQ542" s="170"/>
      <c r="AR542" s="170"/>
      <c r="AS542" s="170"/>
    </row>
    <row r="543" spans="1:45" ht="15" x14ac:dyDescent="0.25">
      <c r="A543" s="170"/>
      <c r="B543" s="719"/>
      <c r="C543" s="170"/>
      <c r="D543" s="170"/>
      <c r="E543" s="170"/>
      <c r="F543" s="170"/>
      <c r="G543" s="721"/>
      <c r="H543" s="170"/>
      <c r="I543" s="170"/>
      <c r="J543" s="170"/>
      <c r="K543" s="170"/>
      <c r="L543" s="170"/>
      <c r="M543" s="730"/>
      <c r="N543" s="730"/>
      <c r="O543" s="730"/>
      <c r="P543" s="731"/>
      <c r="Q543" s="731"/>
      <c r="R543" s="730"/>
      <c r="S543" s="730"/>
      <c r="T543" s="723"/>
      <c r="U543" s="724"/>
      <c r="V543" s="725"/>
      <c r="W543" s="725"/>
      <c r="X543" s="723"/>
      <c r="Y543" s="723"/>
      <c r="Z543" s="723"/>
      <c r="AA543" s="726"/>
      <c r="AB543" s="726"/>
      <c r="AC543" s="170"/>
      <c r="AD543" s="586"/>
      <c r="AE543" s="586"/>
      <c r="AF543" s="170"/>
      <c r="AG543" s="170"/>
      <c r="AH543" s="170"/>
      <c r="AI543" s="170"/>
      <c r="AJ543" s="170"/>
      <c r="AK543" s="170"/>
      <c r="AL543" s="170"/>
      <c r="AM543" s="170"/>
      <c r="AN543" s="170"/>
      <c r="AO543" s="170"/>
      <c r="AP543" s="170"/>
      <c r="AQ543" s="170"/>
      <c r="AR543" s="170"/>
      <c r="AS543" s="170"/>
    </row>
    <row r="544" spans="1:45" ht="15" x14ac:dyDescent="0.25">
      <c r="A544" s="170"/>
      <c r="B544" s="719"/>
      <c r="C544" s="170"/>
      <c r="D544" s="170"/>
      <c r="E544" s="170"/>
      <c r="F544" s="170"/>
      <c r="G544" s="721"/>
      <c r="H544" s="170"/>
      <c r="I544" s="170"/>
      <c r="J544" s="170"/>
      <c r="K544" s="170"/>
      <c r="L544" s="170"/>
      <c r="M544" s="730"/>
      <c r="N544" s="730"/>
      <c r="O544" s="730"/>
      <c r="P544" s="731"/>
      <c r="Q544" s="731"/>
      <c r="R544" s="730"/>
      <c r="S544" s="730"/>
      <c r="T544" s="723"/>
      <c r="U544" s="724"/>
      <c r="V544" s="725"/>
      <c r="W544" s="725"/>
      <c r="X544" s="723"/>
      <c r="Y544" s="723"/>
      <c r="Z544" s="723"/>
      <c r="AA544" s="726"/>
      <c r="AB544" s="726"/>
      <c r="AC544" s="170"/>
      <c r="AD544" s="586"/>
      <c r="AE544" s="586"/>
      <c r="AF544" s="170"/>
      <c r="AG544" s="170"/>
      <c r="AH544" s="170"/>
      <c r="AI544" s="170"/>
      <c r="AJ544" s="170"/>
      <c r="AK544" s="170"/>
      <c r="AL544" s="170"/>
      <c r="AM544" s="170"/>
      <c r="AN544" s="170"/>
      <c r="AO544" s="170"/>
      <c r="AP544" s="170"/>
      <c r="AQ544" s="170"/>
      <c r="AR544" s="170"/>
      <c r="AS544" s="170"/>
    </row>
    <row r="545" spans="1:45" ht="15" x14ac:dyDescent="0.25">
      <c r="A545" s="170"/>
      <c r="B545" s="719"/>
      <c r="C545" s="170"/>
      <c r="D545" s="170"/>
      <c r="E545" s="170"/>
      <c r="F545" s="170"/>
      <c r="G545" s="721"/>
      <c r="H545" s="170"/>
      <c r="I545" s="170"/>
      <c r="J545" s="170"/>
      <c r="K545" s="170"/>
      <c r="L545" s="170"/>
      <c r="M545" s="730"/>
      <c r="N545" s="730"/>
      <c r="O545" s="730"/>
      <c r="P545" s="731"/>
      <c r="Q545" s="731"/>
      <c r="R545" s="730"/>
      <c r="S545" s="730"/>
      <c r="T545" s="723"/>
      <c r="U545" s="724"/>
      <c r="V545" s="725"/>
      <c r="W545" s="725"/>
      <c r="X545" s="723"/>
      <c r="Y545" s="723"/>
      <c r="Z545" s="723"/>
      <c r="AA545" s="726"/>
      <c r="AB545" s="726"/>
      <c r="AC545" s="170"/>
      <c r="AD545" s="586"/>
      <c r="AE545" s="586"/>
      <c r="AF545" s="170"/>
      <c r="AG545" s="170"/>
      <c r="AH545" s="170"/>
      <c r="AI545" s="170"/>
      <c r="AJ545" s="170"/>
      <c r="AK545" s="170"/>
      <c r="AL545" s="170"/>
      <c r="AM545" s="170"/>
      <c r="AN545" s="170"/>
      <c r="AO545" s="170"/>
      <c r="AP545" s="170"/>
      <c r="AQ545" s="170"/>
      <c r="AR545" s="170"/>
      <c r="AS545" s="170"/>
    </row>
    <row r="546" spans="1:45" ht="15" x14ac:dyDescent="0.25">
      <c r="A546" s="170"/>
      <c r="B546" s="719"/>
      <c r="C546" s="170"/>
      <c r="D546" s="170"/>
      <c r="E546" s="170"/>
      <c r="F546" s="170"/>
      <c r="G546" s="721"/>
      <c r="H546" s="170"/>
      <c r="I546" s="170"/>
      <c r="J546" s="170"/>
      <c r="K546" s="170"/>
      <c r="L546" s="170"/>
      <c r="M546" s="730"/>
      <c r="N546" s="730"/>
      <c r="O546" s="730"/>
      <c r="P546" s="731"/>
      <c r="Q546" s="731"/>
      <c r="R546" s="730"/>
      <c r="S546" s="730"/>
      <c r="T546" s="723"/>
      <c r="U546" s="724"/>
      <c r="V546" s="725"/>
      <c r="W546" s="725"/>
      <c r="X546" s="723"/>
      <c r="Y546" s="723"/>
      <c r="Z546" s="723"/>
      <c r="AA546" s="726"/>
      <c r="AB546" s="726"/>
      <c r="AC546" s="170"/>
      <c r="AD546" s="586"/>
      <c r="AE546" s="586"/>
      <c r="AF546" s="170"/>
      <c r="AG546" s="170"/>
      <c r="AH546" s="170"/>
      <c r="AI546" s="170"/>
      <c r="AJ546" s="170"/>
      <c r="AK546" s="170"/>
      <c r="AL546" s="170"/>
      <c r="AM546" s="170"/>
      <c r="AN546" s="170"/>
      <c r="AO546" s="170"/>
      <c r="AP546" s="170"/>
      <c r="AQ546" s="170"/>
      <c r="AR546" s="170"/>
      <c r="AS546" s="170"/>
    </row>
    <row r="547" spans="1:45" ht="15" x14ac:dyDescent="0.25">
      <c r="A547" s="170"/>
      <c r="B547" s="719"/>
      <c r="C547" s="170"/>
      <c r="D547" s="170"/>
      <c r="E547" s="170"/>
      <c r="F547" s="170"/>
      <c r="G547" s="721"/>
      <c r="H547" s="170"/>
      <c r="I547" s="170"/>
      <c r="J547" s="170"/>
      <c r="K547" s="170"/>
      <c r="L547" s="170"/>
      <c r="M547" s="730"/>
      <c r="N547" s="730"/>
      <c r="O547" s="730"/>
      <c r="P547" s="731"/>
      <c r="Q547" s="731"/>
      <c r="R547" s="730"/>
      <c r="S547" s="730"/>
      <c r="T547" s="723"/>
      <c r="U547" s="724"/>
      <c r="V547" s="725"/>
      <c r="W547" s="725"/>
      <c r="X547" s="723"/>
      <c r="Y547" s="723"/>
      <c r="Z547" s="723"/>
      <c r="AA547" s="726"/>
      <c r="AB547" s="726"/>
      <c r="AC547" s="170"/>
      <c r="AD547" s="586"/>
      <c r="AE547" s="586"/>
      <c r="AF547" s="170"/>
      <c r="AG547" s="170"/>
      <c r="AH547" s="170"/>
      <c r="AI547" s="170"/>
      <c r="AJ547" s="170"/>
      <c r="AK547" s="170"/>
      <c r="AL547" s="170"/>
      <c r="AM547" s="170"/>
      <c r="AN547" s="170"/>
      <c r="AO547" s="170"/>
      <c r="AP547" s="170"/>
      <c r="AQ547" s="170"/>
      <c r="AR547" s="170"/>
      <c r="AS547" s="170"/>
    </row>
    <row r="548" spans="1:45" ht="15" x14ac:dyDescent="0.25">
      <c r="A548" s="170"/>
      <c r="B548" s="719"/>
      <c r="C548" s="170"/>
      <c r="D548" s="170"/>
      <c r="E548" s="170"/>
      <c r="F548" s="170"/>
      <c r="G548" s="721"/>
      <c r="H548" s="170"/>
      <c r="I548" s="170"/>
      <c r="J548" s="170"/>
      <c r="K548" s="170"/>
      <c r="L548" s="170"/>
      <c r="M548" s="730"/>
      <c r="N548" s="730"/>
      <c r="O548" s="730"/>
      <c r="P548" s="731"/>
      <c r="Q548" s="731"/>
      <c r="R548" s="730"/>
      <c r="S548" s="730"/>
      <c r="T548" s="723"/>
      <c r="U548" s="724"/>
      <c r="V548" s="725"/>
      <c r="W548" s="725"/>
      <c r="X548" s="723"/>
      <c r="Y548" s="723"/>
      <c r="Z548" s="723"/>
      <c r="AA548" s="726"/>
      <c r="AB548" s="726"/>
      <c r="AC548" s="170"/>
      <c r="AD548" s="586"/>
      <c r="AE548" s="586"/>
      <c r="AF548" s="170"/>
      <c r="AG548" s="170"/>
      <c r="AH548" s="170"/>
      <c r="AI548" s="170"/>
      <c r="AJ548" s="170"/>
      <c r="AK548" s="170"/>
      <c r="AL548" s="170"/>
      <c r="AM548" s="170"/>
      <c r="AN548" s="170"/>
      <c r="AO548" s="170"/>
      <c r="AP548" s="170"/>
      <c r="AQ548" s="170"/>
      <c r="AR548" s="170"/>
      <c r="AS548" s="170"/>
    </row>
    <row r="549" spans="1:45" ht="15" x14ac:dyDescent="0.25">
      <c r="A549" s="170"/>
      <c r="B549" s="719"/>
      <c r="C549" s="170"/>
      <c r="D549" s="170"/>
      <c r="E549" s="170"/>
      <c r="F549" s="170"/>
      <c r="G549" s="721"/>
      <c r="H549" s="170"/>
      <c r="I549" s="170"/>
      <c r="J549" s="170"/>
      <c r="K549" s="170"/>
      <c r="L549" s="170"/>
      <c r="M549" s="730"/>
      <c r="N549" s="730"/>
      <c r="O549" s="730"/>
      <c r="P549" s="731"/>
      <c r="Q549" s="731"/>
      <c r="R549" s="730"/>
      <c r="S549" s="730"/>
      <c r="T549" s="723"/>
      <c r="U549" s="724"/>
      <c r="V549" s="725"/>
      <c r="W549" s="725"/>
      <c r="X549" s="723"/>
      <c r="Y549" s="723"/>
      <c r="Z549" s="723"/>
      <c r="AA549" s="726"/>
      <c r="AB549" s="726"/>
      <c r="AC549" s="170"/>
      <c r="AD549" s="586"/>
      <c r="AE549" s="586"/>
      <c r="AF549" s="170"/>
      <c r="AG549" s="170"/>
      <c r="AH549" s="170"/>
      <c r="AI549" s="170"/>
      <c r="AJ549" s="170"/>
      <c r="AK549" s="170"/>
      <c r="AL549" s="170"/>
      <c r="AM549" s="170"/>
      <c r="AN549" s="170"/>
      <c r="AO549" s="170"/>
      <c r="AP549" s="170"/>
      <c r="AQ549" s="170"/>
      <c r="AR549" s="170"/>
      <c r="AS549" s="170"/>
    </row>
    <row r="550" spans="1:45" ht="15" x14ac:dyDescent="0.25">
      <c r="A550" s="170"/>
      <c r="B550" s="719"/>
      <c r="C550" s="170"/>
      <c r="D550" s="170"/>
      <c r="E550" s="170"/>
      <c r="F550" s="170"/>
      <c r="G550" s="721"/>
      <c r="H550" s="170"/>
      <c r="I550" s="170"/>
      <c r="J550" s="170"/>
      <c r="K550" s="170"/>
      <c r="L550" s="170"/>
      <c r="M550" s="730"/>
      <c r="N550" s="730"/>
      <c r="O550" s="730"/>
      <c r="P550" s="731"/>
      <c r="Q550" s="731"/>
      <c r="R550" s="730"/>
      <c r="S550" s="730"/>
      <c r="T550" s="723"/>
      <c r="U550" s="724"/>
      <c r="V550" s="725"/>
      <c r="W550" s="725"/>
      <c r="X550" s="723"/>
      <c r="Y550" s="723"/>
      <c r="Z550" s="723"/>
      <c r="AA550" s="726"/>
      <c r="AB550" s="726"/>
      <c r="AC550" s="170"/>
      <c r="AD550" s="586"/>
      <c r="AE550" s="586"/>
      <c r="AF550" s="170"/>
      <c r="AG550" s="170"/>
      <c r="AH550" s="170"/>
      <c r="AI550" s="170"/>
      <c r="AJ550" s="170"/>
      <c r="AK550" s="170"/>
      <c r="AL550" s="170"/>
      <c r="AM550" s="170"/>
      <c r="AN550" s="170"/>
      <c r="AO550" s="170"/>
      <c r="AP550" s="170"/>
      <c r="AQ550" s="170"/>
      <c r="AR550" s="170"/>
      <c r="AS550" s="170"/>
    </row>
    <row r="551" spans="1:45" ht="15" x14ac:dyDescent="0.25">
      <c r="A551" s="170"/>
      <c r="B551" s="719"/>
      <c r="C551" s="170"/>
      <c r="D551" s="170"/>
      <c r="E551" s="170"/>
      <c r="F551" s="170"/>
      <c r="G551" s="721"/>
      <c r="H551" s="170"/>
      <c r="I551" s="170"/>
      <c r="J551" s="170"/>
      <c r="K551" s="170"/>
      <c r="L551" s="170"/>
      <c r="M551" s="730"/>
      <c r="N551" s="730"/>
      <c r="O551" s="730"/>
      <c r="P551" s="731"/>
      <c r="Q551" s="731"/>
      <c r="R551" s="730"/>
      <c r="S551" s="730"/>
      <c r="T551" s="723"/>
      <c r="U551" s="724"/>
      <c r="V551" s="725"/>
      <c r="W551" s="725"/>
      <c r="X551" s="723"/>
      <c r="Y551" s="723"/>
      <c r="Z551" s="723"/>
      <c r="AA551" s="726"/>
      <c r="AB551" s="726"/>
      <c r="AC551" s="170"/>
      <c r="AD551" s="586"/>
      <c r="AE551" s="586"/>
      <c r="AF551" s="170"/>
      <c r="AG551" s="170"/>
      <c r="AH551" s="170"/>
      <c r="AI551" s="170"/>
      <c r="AJ551" s="170"/>
      <c r="AK551" s="170"/>
      <c r="AL551" s="170"/>
      <c r="AM551" s="170"/>
      <c r="AN551" s="170"/>
      <c r="AO551" s="170"/>
      <c r="AP551" s="170"/>
      <c r="AQ551" s="170"/>
      <c r="AR551" s="170"/>
      <c r="AS551" s="170"/>
    </row>
    <row r="552" spans="1:45" ht="15" x14ac:dyDescent="0.25">
      <c r="A552" s="170"/>
      <c r="B552" s="719"/>
      <c r="C552" s="170"/>
      <c r="D552" s="170"/>
      <c r="E552" s="170"/>
      <c r="F552" s="170"/>
      <c r="G552" s="721"/>
      <c r="H552" s="170"/>
      <c r="I552" s="170"/>
      <c r="J552" s="170"/>
      <c r="K552" s="170"/>
      <c r="L552" s="170"/>
      <c r="M552" s="730"/>
      <c r="N552" s="730"/>
      <c r="O552" s="730"/>
      <c r="P552" s="731"/>
      <c r="Q552" s="731"/>
      <c r="R552" s="730"/>
      <c r="S552" s="730"/>
      <c r="T552" s="723"/>
      <c r="U552" s="724"/>
      <c r="V552" s="725"/>
      <c r="W552" s="725"/>
      <c r="X552" s="723"/>
      <c r="Y552" s="723"/>
      <c r="Z552" s="723"/>
      <c r="AA552" s="726"/>
      <c r="AB552" s="726"/>
      <c r="AC552" s="170"/>
      <c r="AD552" s="586"/>
      <c r="AE552" s="586"/>
      <c r="AF552" s="170"/>
      <c r="AG552" s="170"/>
      <c r="AH552" s="170"/>
      <c r="AI552" s="170"/>
      <c r="AJ552" s="170"/>
      <c r="AK552" s="170"/>
      <c r="AL552" s="170"/>
      <c r="AM552" s="170"/>
      <c r="AN552" s="170"/>
      <c r="AO552" s="170"/>
      <c r="AP552" s="170"/>
      <c r="AQ552" s="170"/>
      <c r="AR552" s="170"/>
      <c r="AS552" s="170"/>
    </row>
    <row r="553" spans="1:45" ht="15" x14ac:dyDescent="0.25">
      <c r="A553" s="170"/>
      <c r="B553" s="719"/>
      <c r="C553" s="170"/>
      <c r="D553" s="170"/>
      <c r="E553" s="170"/>
      <c r="F553" s="170"/>
      <c r="G553" s="721"/>
      <c r="H553" s="170"/>
      <c r="I553" s="170"/>
      <c r="J553" s="170"/>
      <c r="K553" s="170"/>
      <c r="L553" s="170"/>
      <c r="M553" s="730"/>
      <c r="N553" s="730"/>
      <c r="O553" s="730"/>
      <c r="P553" s="731"/>
      <c r="Q553" s="731"/>
      <c r="R553" s="730"/>
      <c r="S553" s="730"/>
      <c r="T553" s="723"/>
      <c r="U553" s="724"/>
      <c r="V553" s="725"/>
      <c r="W553" s="725"/>
      <c r="X553" s="723"/>
      <c r="Y553" s="723"/>
      <c r="Z553" s="723"/>
      <c r="AA553" s="726"/>
      <c r="AB553" s="726"/>
      <c r="AC553" s="170"/>
      <c r="AD553" s="586"/>
      <c r="AE553" s="586"/>
      <c r="AF553" s="170"/>
      <c r="AG553" s="170"/>
      <c r="AH553" s="170"/>
      <c r="AI553" s="170"/>
      <c r="AJ553" s="170"/>
      <c r="AK553" s="170"/>
      <c r="AL553" s="170"/>
      <c r="AM553" s="170"/>
      <c r="AN553" s="170"/>
      <c r="AO553" s="170"/>
      <c r="AP553" s="170"/>
      <c r="AQ553" s="170"/>
      <c r="AR553" s="170"/>
      <c r="AS553" s="170"/>
    </row>
    <row r="554" spans="1:45" ht="15" x14ac:dyDescent="0.25">
      <c r="A554" s="170"/>
      <c r="B554" s="719"/>
      <c r="C554" s="170"/>
      <c r="D554" s="170"/>
      <c r="E554" s="170"/>
      <c r="F554" s="170"/>
      <c r="G554" s="721"/>
      <c r="H554" s="170"/>
      <c r="I554" s="170"/>
      <c r="J554" s="170"/>
      <c r="K554" s="170"/>
      <c r="L554" s="170"/>
      <c r="M554" s="730"/>
      <c r="N554" s="730"/>
      <c r="O554" s="730"/>
      <c r="P554" s="731"/>
      <c r="Q554" s="731"/>
      <c r="R554" s="730"/>
      <c r="S554" s="730"/>
      <c r="T554" s="723"/>
      <c r="U554" s="724"/>
      <c r="V554" s="725"/>
      <c r="W554" s="725"/>
      <c r="X554" s="723"/>
      <c r="Y554" s="723"/>
      <c r="Z554" s="723"/>
      <c r="AA554" s="726"/>
      <c r="AB554" s="726"/>
      <c r="AC554" s="170"/>
      <c r="AD554" s="586"/>
      <c r="AE554" s="586"/>
      <c r="AF554" s="170"/>
      <c r="AG554" s="170"/>
      <c r="AH554" s="170"/>
      <c r="AI554" s="170"/>
      <c r="AJ554" s="170"/>
      <c r="AK554" s="170"/>
      <c r="AL554" s="170"/>
      <c r="AM554" s="170"/>
      <c r="AN554" s="170"/>
      <c r="AO554" s="170"/>
      <c r="AP554" s="170"/>
      <c r="AQ554" s="170"/>
      <c r="AR554" s="170"/>
      <c r="AS554" s="170"/>
    </row>
    <row r="555" spans="1:45" ht="15" x14ac:dyDescent="0.25">
      <c r="A555" s="170"/>
      <c r="B555" s="719"/>
      <c r="C555" s="170"/>
      <c r="D555" s="170"/>
      <c r="E555" s="170"/>
      <c r="F555" s="170"/>
      <c r="G555" s="721"/>
      <c r="H555" s="170"/>
      <c r="I555" s="170"/>
      <c r="J555" s="170"/>
      <c r="K555" s="170"/>
      <c r="L555" s="170"/>
      <c r="M555" s="730"/>
      <c r="N555" s="730"/>
      <c r="O555" s="730"/>
      <c r="P555" s="731"/>
      <c r="Q555" s="731"/>
      <c r="R555" s="730"/>
      <c r="S555" s="730"/>
      <c r="T555" s="723"/>
      <c r="U555" s="724"/>
      <c r="V555" s="725"/>
      <c r="W555" s="725"/>
      <c r="X555" s="723"/>
      <c r="Y555" s="723"/>
      <c r="Z555" s="723"/>
      <c r="AA555" s="726"/>
      <c r="AB555" s="726"/>
      <c r="AC555" s="170"/>
      <c r="AD555" s="586"/>
      <c r="AE555" s="586"/>
      <c r="AF555" s="170"/>
      <c r="AG555" s="170"/>
      <c r="AH555" s="170"/>
      <c r="AI555" s="170"/>
      <c r="AJ555" s="170"/>
      <c r="AK555" s="170"/>
      <c r="AL555" s="170"/>
      <c r="AM555" s="170"/>
      <c r="AN555" s="170"/>
      <c r="AO555" s="170"/>
      <c r="AP555" s="170"/>
      <c r="AQ555" s="170"/>
      <c r="AR555" s="170"/>
      <c r="AS555" s="170"/>
    </row>
    <row r="556" spans="1:45" ht="15" x14ac:dyDescent="0.25">
      <c r="A556" s="170"/>
      <c r="B556" s="719"/>
      <c r="C556" s="170"/>
      <c r="D556" s="170"/>
      <c r="E556" s="170"/>
      <c r="F556" s="170"/>
      <c r="G556" s="721"/>
      <c r="H556" s="170"/>
      <c r="I556" s="170"/>
      <c r="J556" s="170"/>
      <c r="K556" s="170"/>
      <c r="L556" s="170"/>
      <c r="M556" s="730"/>
      <c r="N556" s="730"/>
      <c r="O556" s="730"/>
      <c r="P556" s="731"/>
      <c r="Q556" s="731"/>
      <c r="R556" s="730"/>
      <c r="S556" s="730"/>
      <c r="T556" s="723"/>
      <c r="U556" s="724"/>
      <c r="V556" s="725"/>
      <c r="W556" s="725"/>
      <c r="X556" s="723"/>
      <c r="Y556" s="723"/>
      <c r="Z556" s="723"/>
      <c r="AA556" s="726"/>
      <c r="AB556" s="726"/>
      <c r="AC556" s="170"/>
      <c r="AD556" s="586"/>
      <c r="AE556" s="586"/>
      <c r="AF556" s="170"/>
      <c r="AG556" s="170"/>
      <c r="AH556" s="170"/>
      <c r="AI556" s="170"/>
      <c r="AJ556" s="170"/>
      <c r="AK556" s="170"/>
      <c r="AL556" s="170"/>
      <c r="AM556" s="170"/>
      <c r="AN556" s="170"/>
      <c r="AO556" s="170"/>
      <c r="AP556" s="170"/>
      <c r="AQ556" s="170"/>
      <c r="AR556" s="170"/>
      <c r="AS556" s="170"/>
    </row>
    <row r="557" spans="1:45" ht="15" x14ac:dyDescent="0.25">
      <c r="A557" s="170"/>
      <c r="B557" s="719"/>
      <c r="C557" s="170"/>
      <c r="D557" s="170"/>
      <c r="E557" s="170"/>
      <c r="F557" s="170"/>
      <c r="G557" s="721"/>
      <c r="H557" s="170"/>
      <c r="I557" s="170"/>
      <c r="J557" s="170"/>
      <c r="K557" s="170"/>
      <c r="L557" s="170"/>
      <c r="M557" s="730"/>
      <c r="N557" s="730"/>
      <c r="O557" s="730"/>
      <c r="P557" s="731"/>
      <c r="Q557" s="731"/>
      <c r="R557" s="730"/>
      <c r="S557" s="730"/>
      <c r="T557" s="723"/>
      <c r="U557" s="724"/>
      <c r="V557" s="725"/>
      <c r="W557" s="725"/>
      <c r="X557" s="723"/>
      <c r="Y557" s="723"/>
      <c r="Z557" s="723"/>
      <c r="AA557" s="726"/>
      <c r="AB557" s="726"/>
      <c r="AC557" s="170"/>
      <c r="AD557" s="586"/>
      <c r="AE557" s="586"/>
      <c r="AF557" s="170"/>
      <c r="AG557" s="170"/>
      <c r="AH557" s="170"/>
      <c r="AI557" s="170"/>
      <c r="AJ557" s="170"/>
      <c r="AK557" s="170"/>
      <c r="AL557" s="170"/>
      <c r="AM557" s="170"/>
      <c r="AN557" s="170"/>
      <c r="AO557" s="170"/>
      <c r="AP557" s="170"/>
      <c r="AQ557" s="170"/>
      <c r="AR557" s="170"/>
      <c r="AS557" s="170"/>
    </row>
    <row r="558" spans="1:45" ht="15" x14ac:dyDescent="0.25">
      <c r="A558" s="170"/>
      <c r="B558" s="719"/>
      <c r="C558" s="170"/>
      <c r="D558" s="170"/>
      <c r="E558" s="170"/>
      <c r="F558" s="170"/>
      <c r="G558" s="721"/>
      <c r="H558" s="170"/>
      <c r="I558" s="170"/>
      <c r="J558" s="170"/>
      <c r="K558" s="170"/>
      <c r="L558" s="170"/>
      <c r="M558" s="730"/>
      <c r="N558" s="730"/>
      <c r="O558" s="730"/>
      <c r="P558" s="731"/>
      <c r="Q558" s="731"/>
      <c r="R558" s="730"/>
      <c r="S558" s="730"/>
      <c r="T558" s="723"/>
      <c r="U558" s="724"/>
      <c r="V558" s="725"/>
      <c r="W558" s="725"/>
      <c r="X558" s="723"/>
      <c r="Y558" s="723"/>
      <c r="Z558" s="723"/>
      <c r="AA558" s="726"/>
      <c r="AB558" s="726"/>
      <c r="AC558" s="170"/>
      <c r="AD558" s="586"/>
      <c r="AE558" s="586"/>
      <c r="AF558" s="170"/>
      <c r="AG558" s="170"/>
      <c r="AH558" s="170"/>
      <c r="AI558" s="170"/>
      <c r="AJ558" s="170"/>
      <c r="AK558" s="170"/>
      <c r="AL558" s="170"/>
      <c r="AM558" s="170"/>
      <c r="AN558" s="170"/>
      <c r="AO558" s="170"/>
      <c r="AP558" s="170"/>
      <c r="AQ558" s="170"/>
      <c r="AR558" s="170"/>
      <c r="AS558" s="170"/>
    </row>
    <row r="559" spans="1:45" ht="15" x14ac:dyDescent="0.25">
      <c r="A559" s="170"/>
      <c r="B559" s="719"/>
      <c r="C559" s="170"/>
      <c r="D559" s="170"/>
      <c r="E559" s="170"/>
      <c r="F559" s="170"/>
      <c r="G559" s="721"/>
      <c r="H559" s="170"/>
      <c r="I559" s="170"/>
      <c r="J559" s="170"/>
      <c r="K559" s="170"/>
      <c r="L559" s="170"/>
      <c r="M559" s="730"/>
      <c r="N559" s="730"/>
      <c r="O559" s="730"/>
      <c r="P559" s="731"/>
      <c r="Q559" s="731"/>
      <c r="R559" s="730"/>
      <c r="S559" s="730"/>
      <c r="T559" s="723"/>
      <c r="U559" s="724"/>
      <c r="V559" s="725"/>
      <c r="W559" s="725"/>
      <c r="X559" s="723"/>
      <c r="Y559" s="723"/>
      <c r="Z559" s="723"/>
      <c r="AA559" s="726"/>
      <c r="AB559" s="726"/>
      <c r="AC559" s="170"/>
      <c r="AD559" s="586"/>
      <c r="AE559" s="586"/>
      <c r="AF559" s="170"/>
      <c r="AG559" s="170"/>
      <c r="AH559" s="170"/>
      <c r="AI559" s="170"/>
      <c r="AJ559" s="170"/>
      <c r="AK559" s="170"/>
      <c r="AL559" s="170"/>
      <c r="AM559" s="170"/>
      <c r="AN559" s="170"/>
      <c r="AO559" s="170"/>
      <c r="AP559" s="170"/>
      <c r="AQ559" s="170"/>
      <c r="AR559" s="170"/>
      <c r="AS559" s="170"/>
    </row>
    <row r="560" spans="1:45" ht="15" x14ac:dyDescent="0.25">
      <c r="A560" s="170"/>
      <c r="B560" s="719"/>
      <c r="C560" s="170"/>
      <c r="D560" s="170"/>
      <c r="E560" s="170"/>
      <c r="F560" s="170"/>
      <c r="G560" s="721"/>
      <c r="H560" s="170"/>
      <c r="I560" s="170"/>
      <c r="J560" s="170"/>
      <c r="K560" s="170"/>
      <c r="L560" s="170"/>
      <c r="M560" s="730"/>
      <c r="N560" s="730"/>
      <c r="O560" s="730"/>
      <c r="P560" s="731"/>
      <c r="Q560" s="731"/>
      <c r="R560" s="730"/>
      <c r="S560" s="730"/>
      <c r="T560" s="723"/>
      <c r="U560" s="724"/>
      <c r="V560" s="725"/>
      <c r="W560" s="725"/>
      <c r="X560" s="723"/>
      <c r="Y560" s="723"/>
      <c r="Z560" s="723"/>
      <c r="AA560" s="726"/>
      <c r="AB560" s="726"/>
      <c r="AC560" s="170"/>
      <c r="AD560" s="586"/>
      <c r="AE560" s="586"/>
      <c r="AF560" s="170"/>
      <c r="AG560" s="170"/>
      <c r="AH560" s="170"/>
      <c r="AI560" s="170"/>
      <c r="AJ560" s="170"/>
      <c r="AK560" s="170"/>
      <c r="AL560" s="170"/>
      <c r="AM560" s="170"/>
      <c r="AN560" s="170"/>
      <c r="AO560" s="170"/>
      <c r="AP560" s="170"/>
      <c r="AQ560" s="170"/>
      <c r="AR560" s="170"/>
      <c r="AS560" s="170"/>
    </row>
    <row r="561" spans="1:45" ht="15" x14ac:dyDescent="0.25">
      <c r="A561" s="170"/>
      <c r="B561" s="719"/>
      <c r="C561" s="170"/>
      <c r="D561" s="170"/>
      <c r="E561" s="170"/>
      <c r="F561" s="170"/>
      <c r="G561" s="721"/>
      <c r="H561" s="170"/>
      <c r="I561" s="170"/>
      <c r="J561" s="170"/>
      <c r="K561" s="170"/>
      <c r="L561" s="170"/>
      <c r="M561" s="730"/>
      <c r="N561" s="730"/>
      <c r="O561" s="730"/>
      <c r="P561" s="731"/>
      <c r="Q561" s="731"/>
      <c r="R561" s="730"/>
      <c r="S561" s="730"/>
      <c r="T561" s="723"/>
      <c r="U561" s="724"/>
      <c r="V561" s="725"/>
      <c r="W561" s="725"/>
      <c r="X561" s="723"/>
      <c r="Y561" s="723"/>
      <c r="Z561" s="723"/>
      <c r="AA561" s="726"/>
      <c r="AB561" s="726"/>
      <c r="AC561" s="170"/>
      <c r="AD561" s="586"/>
      <c r="AE561" s="586"/>
      <c r="AF561" s="170"/>
      <c r="AG561" s="170"/>
      <c r="AH561" s="170"/>
      <c r="AI561" s="170"/>
      <c r="AJ561" s="170"/>
      <c r="AK561" s="170"/>
      <c r="AL561" s="170"/>
      <c r="AM561" s="170"/>
      <c r="AN561" s="170"/>
      <c r="AO561" s="170"/>
      <c r="AP561" s="170"/>
      <c r="AQ561" s="170"/>
      <c r="AR561" s="170"/>
      <c r="AS561" s="170"/>
    </row>
    <row r="562" spans="1:45" ht="15" x14ac:dyDescent="0.25">
      <c r="A562" s="170"/>
      <c r="B562" s="719"/>
      <c r="C562" s="170"/>
      <c r="D562" s="170"/>
      <c r="E562" s="170"/>
      <c r="F562" s="170"/>
      <c r="G562" s="721"/>
      <c r="H562" s="170"/>
      <c r="I562" s="170"/>
      <c r="J562" s="170"/>
      <c r="K562" s="170"/>
      <c r="L562" s="170"/>
      <c r="M562" s="730"/>
      <c r="N562" s="730"/>
      <c r="O562" s="730"/>
      <c r="P562" s="731"/>
      <c r="Q562" s="731"/>
      <c r="R562" s="730"/>
      <c r="S562" s="730"/>
      <c r="T562" s="723"/>
      <c r="U562" s="724"/>
      <c r="V562" s="725"/>
      <c r="W562" s="725"/>
      <c r="X562" s="723"/>
      <c r="Y562" s="723"/>
      <c r="Z562" s="723"/>
      <c r="AA562" s="726"/>
      <c r="AB562" s="726"/>
      <c r="AC562" s="170"/>
      <c r="AD562" s="586"/>
      <c r="AE562" s="586"/>
      <c r="AF562" s="170"/>
      <c r="AG562" s="170"/>
      <c r="AH562" s="170"/>
      <c r="AI562" s="170"/>
      <c r="AJ562" s="170"/>
      <c r="AK562" s="170"/>
      <c r="AL562" s="170"/>
      <c r="AM562" s="170"/>
      <c r="AN562" s="170"/>
      <c r="AO562" s="170"/>
      <c r="AP562" s="170"/>
      <c r="AQ562" s="170"/>
      <c r="AR562" s="170"/>
      <c r="AS562" s="170"/>
    </row>
    <row r="563" spans="1:45" ht="15" x14ac:dyDescent="0.25">
      <c r="A563" s="170"/>
      <c r="B563" s="719"/>
      <c r="C563" s="170"/>
      <c r="D563" s="170"/>
      <c r="E563" s="170"/>
      <c r="F563" s="170"/>
      <c r="G563" s="721"/>
      <c r="H563" s="170"/>
      <c r="I563" s="170"/>
      <c r="J563" s="170"/>
      <c r="K563" s="170"/>
      <c r="L563" s="170"/>
      <c r="M563" s="730"/>
      <c r="N563" s="730"/>
      <c r="O563" s="730"/>
      <c r="P563" s="731"/>
      <c r="Q563" s="731"/>
      <c r="R563" s="730"/>
      <c r="S563" s="730"/>
      <c r="T563" s="723"/>
      <c r="U563" s="724"/>
      <c r="V563" s="725"/>
      <c r="W563" s="725"/>
      <c r="X563" s="723"/>
      <c r="Y563" s="723"/>
      <c r="Z563" s="723"/>
      <c r="AA563" s="726"/>
      <c r="AB563" s="726"/>
      <c r="AC563" s="170"/>
      <c r="AD563" s="586"/>
      <c r="AE563" s="586"/>
      <c r="AF563" s="170"/>
      <c r="AG563" s="170"/>
      <c r="AH563" s="170"/>
      <c r="AI563" s="170"/>
      <c r="AJ563" s="170"/>
      <c r="AK563" s="170"/>
      <c r="AL563" s="170"/>
      <c r="AM563" s="170"/>
      <c r="AN563" s="170"/>
      <c r="AO563" s="170"/>
      <c r="AP563" s="170"/>
      <c r="AQ563" s="170"/>
      <c r="AR563" s="170"/>
      <c r="AS563" s="170"/>
    </row>
    <row r="564" spans="1:45" ht="15" x14ac:dyDescent="0.25">
      <c r="A564" s="170"/>
      <c r="B564" s="719"/>
      <c r="C564" s="170"/>
      <c r="D564" s="170"/>
      <c r="E564" s="170"/>
      <c r="F564" s="170"/>
      <c r="G564" s="721"/>
      <c r="H564" s="170"/>
      <c r="I564" s="170"/>
      <c r="J564" s="170"/>
      <c r="K564" s="170"/>
      <c r="L564" s="170"/>
      <c r="M564" s="730"/>
      <c r="N564" s="730"/>
      <c r="O564" s="730"/>
      <c r="P564" s="731"/>
      <c r="Q564" s="731"/>
      <c r="R564" s="730"/>
      <c r="S564" s="730"/>
      <c r="T564" s="723"/>
      <c r="U564" s="724"/>
      <c r="V564" s="725"/>
      <c r="W564" s="725"/>
      <c r="X564" s="723"/>
      <c r="Y564" s="723"/>
      <c r="Z564" s="723"/>
      <c r="AA564" s="726"/>
      <c r="AB564" s="726"/>
      <c r="AC564" s="170"/>
      <c r="AD564" s="586"/>
      <c r="AE564" s="586"/>
      <c r="AF564" s="170"/>
      <c r="AG564" s="170"/>
      <c r="AH564" s="170"/>
      <c r="AI564" s="170"/>
      <c r="AJ564" s="170"/>
      <c r="AK564" s="170"/>
      <c r="AL564" s="170"/>
      <c r="AM564" s="170"/>
      <c r="AN564" s="170"/>
      <c r="AO564" s="170"/>
      <c r="AP564" s="170"/>
      <c r="AQ564" s="170"/>
      <c r="AR564" s="170"/>
      <c r="AS564" s="170"/>
    </row>
    <row r="565" spans="1:45" ht="15" x14ac:dyDescent="0.25">
      <c r="A565" s="170"/>
      <c r="B565" s="719"/>
      <c r="C565" s="170"/>
      <c r="D565" s="170"/>
      <c r="E565" s="170"/>
      <c r="F565" s="170"/>
      <c r="G565" s="721"/>
      <c r="H565" s="170"/>
      <c r="I565" s="170"/>
      <c r="J565" s="170"/>
      <c r="K565" s="170"/>
      <c r="L565" s="170"/>
      <c r="M565" s="730"/>
      <c r="N565" s="730"/>
      <c r="O565" s="730"/>
      <c r="P565" s="731"/>
      <c r="Q565" s="731"/>
      <c r="R565" s="730"/>
      <c r="S565" s="730"/>
      <c r="T565" s="723"/>
      <c r="U565" s="724"/>
      <c r="V565" s="725"/>
      <c r="W565" s="725"/>
      <c r="X565" s="723"/>
      <c r="Y565" s="723"/>
      <c r="Z565" s="723"/>
      <c r="AA565" s="726"/>
      <c r="AB565" s="726"/>
      <c r="AC565" s="170"/>
      <c r="AD565" s="586"/>
      <c r="AE565" s="586"/>
      <c r="AF565" s="170"/>
      <c r="AG565" s="170"/>
      <c r="AH565" s="170"/>
      <c r="AI565" s="170"/>
      <c r="AJ565" s="170"/>
      <c r="AK565" s="170"/>
      <c r="AL565" s="170"/>
      <c r="AM565" s="170"/>
      <c r="AN565" s="170"/>
      <c r="AO565" s="170"/>
      <c r="AP565" s="170"/>
      <c r="AQ565" s="170"/>
      <c r="AR565" s="170"/>
      <c r="AS565" s="170"/>
    </row>
    <row r="566" spans="1:45" ht="15" x14ac:dyDescent="0.25">
      <c r="A566" s="170"/>
      <c r="B566" s="719"/>
      <c r="C566" s="170"/>
      <c r="D566" s="170"/>
      <c r="E566" s="170"/>
      <c r="F566" s="170"/>
      <c r="G566" s="721"/>
      <c r="H566" s="170"/>
      <c r="I566" s="170"/>
      <c r="J566" s="170"/>
      <c r="K566" s="170"/>
      <c r="L566" s="170"/>
      <c r="M566" s="730"/>
      <c r="N566" s="730"/>
      <c r="O566" s="730"/>
      <c r="P566" s="731"/>
      <c r="Q566" s="731"/>
      <c r="R566" s="730"/>
      <c r="S566" s="730"/>
      <c r="T566" s="723"/>
      <c r="U566" s="724"/>
      <c r="V566" s="725"/>
      <c r="W566" s="725"/>
      <c r="X566" s="723"/>
      <c r="Y566" s="723"/>
      <c r="Z566" s="723"/>
      <c r="AA566" s="726"/>
      <c r="AB566" s="726"/>
      <c r="AC566" s="170"/>
      <c r="AD566" s="586"/>
      <c r="AE566" s="586"/>
      <c r="AF566" s="170"/>
      <c r="AG566" s="170"/>
      <c r="AH566" s="170"/>
      <c r="AI566" s="170"/>
      <c r="AJ566" s="170"/>
      <c r="AK566" s="170"/>
      <c r="AL566" s="170"/>
      <c r="AM566" s="170"/>
      <c r="AN566" s="170"/>
      <c r="AO566" s="170"/>
      <c r="AP566" s="170"/>
      <c r="AQ566" s="170"/>
      <c r="AR566" s="170"/>
      <c r="AS566" s="170"/>
    </row>
    <row r="567" spans="1:45" ht="15" x14ac:dyDescent="0.25">
      <c r="A567" s="170"/>
      <c r="B567" s="719"/>
      <c r="C567" s="170"/>
      <c r="D567" s="170"/>
      <c r="E567" s="170"/>
      <c r="F567" s="170"/>
      <c r="G567" s="721"/>
      <c r="H567" s="170"/>
      <c r="I567" s="170"/>
      <c r="J567" s="170"/>
      <c r="K567" s="170"/>
      <c r="L567" s="170"/>
      <c r="M567" s="730"/>
      <c r="N567" s="730"/>
      <c r="O567" s="730"/>
      <c r="P567" s="731"/>
      <c r="Q567" s="731"/>
      <c r="R567" s="730"/>
      <c r="S567" s="730"/>
      <c r="T567" s="723"/>
      <c r="U567" s="724"/>
      <c r="V567" s="725"/>
      <c r="W567" s="725"/>
      <c r="X567" s="723"/>
      <c r="Y567" s="723"/>
      <c r="Z567" s="723"/>
      <c r="AA567" s="726"/>
      <c r="AB567" s="726"/>
      <c r="AC567" s="170"/>
      <c r="AD567" s="586"/>
      <c r="AE567" s="586"/>
      <c r="AF567" s="170"/>
      <c r="AG567" s="170"/>
      <c r="AH567" s="170"/>
      <c r="AI567" s="170"/>
      <c r="AJ567" s="170"/>
      <c r="AK567" s="170"/>
      <c r="AL567" s="170"/>
      <c r="AM567" s="170"/>
      <c r="AN567" s="170"/>
      <c r="AO567" s="170"/>
      <c r="AP567" s="170"/>
      <c r="AQ567" s="170"/>
      <c r="AR567" s="170"/>
      <c r="AS567" s="170"/>
    </row>
    <row r="568" spans="1:45" ht="15" x14ac:dyDescent="0.25">
      <c r="A568" s="170"/>
      <c r="B568" s="719"/>
      <c r="C568" s="170"/>
      <c r="D568" s="170"/>
      <c r="E568" s="170"/>
      <c r="F568" s="170"/>
      <c r="G568" s="721"/>
      <c r="H568" s="170"/>
      <c r="I568" s="170"/>
      <c r="J568" s="170"/>
      <c r="K568" s="170"/>
      <c r="L568" s="170"/>
      <c r="M568" s="730"/>
      <c r="N568" s="730"/>
      <c r="O568" s="730"/>
      <c r="P568" s="731"/>
      <c r="Q568" s="731"/>
      <c r="R568" s="730"/>
      <c r="S568" s="730"/>
      <c r="T568" s="723"/>
      <c r="U568" s="724"/>
      <c r="V568" s="725"/>
      <c r="W568" s="725"/>
      <c r="X568" s="723"/>
      <c r="Y568" s="723"/>
      <c r="Z568" s="723"/>
      <c r="AA568" s="726"/>
      <c r="AB568" s="726"/>
      <c r="AC568" s="170"/>
      <c r="AD568" s="586"/>
      <c r="AE568" s="586"/>
      <c r="AF568" s="170"/>
      <c r="AG568" s="170"/>
      <c r="AH568" s="170"/>
      <c r="AI568" s="170"/>
      <c r="AJ568" s="170"/>
      <c r="AK568" s="170"/>
      <c r="AL568" s="170"/>
      <c r="AM568" s="170"/>
      <c r="AN568" s="170"/>
      <c r="AO568" s="170"/>
      <c r="AP568" s="170"/>
      <c r="AQ568" s="170"/>
      <c r="AR568" s="170"/>
      <c r="AS568" s="170"/>
    </row>
    <row r="569" spans="1:45" ht="15" x14ac:dyDescent="0.25">
      <c r="A569" s="170"/>
      <c r="B569" s="719"/>
      <c r="C569" s="170"/>
      <c r="D569" s="170"/>
      <c r="E569" s="170"/>
      <c r="F569" s="170"/>
      <c r="G569" s="721"/>
      <c r="H569" s="170"/>
      <c r="I569" s="170"/>
      <c r="J569" s="170"/>
      <c r="K569" s="170"/>
      <c r="L569" s="170"/>
      <c r="M569" s="730"/>
      <c r="N569" s="730"/>
      <c r="O569" s="730"/>
      <c r="P569" s="731"/>
      <c r="Q569" s="731"/>
      <c r="R569" s="730"/>
      <c r="S569" s="730"/>
      <c r="T569" s="723"/>
      <c r="U569" s="724"/>
      <c r="V569" s="725"/>
      <c r="W569" s="725"/>
      <c r="X569" s="723"/>
      <c r="Y569" s="723"/>
      <c r="Z569" s="723"/>
      <c r="AA569" s="726"/>
      <c r="AB569" s="726"/>
      <c r="AC569" s="170"/>
      <c r="AD569" s="586"/>
      <c r="AE569" s="586"/>
      <c r="AF569" s="170"/>
      <c r="AG569" s="170"/>
      <c r="AH569" s="170"/>
      <c r="AI569" s="170"/>
      <c r="AJ569" s="170"/>
      <c r="AK569" s="170"/>
      <c r="AL569" s="170"/>
      <c r="AM569" s="170"/>
      <c r="AN569" s="170"/>
      <c r="AO569" s="170"/>
      <c r="AP569" s="170"/>
      <c r="AQ569" s="170"/>
      <c r="AR569" s="170"/>
      <c r="AS569" s="170"/>
    </row>
    <row r="570" spans="1:45" ht="15" x14ac:dyDescent="0.25">
      <c r="A570" s="170"/>
      <c r="B570" s="719"/>
      <c r="C570" s="170"/>
      <c r="D570" s="170"/>
      <c r="E570" s="170"/>
      <c r="F570" s="170"/>
      <c r="G570" s="721"/>
      <c r="H570" s="170"/>
      <c r="I570" s="170"/>
      <c r="J570" s="170"/>
      <c r="K570" s="170"/>
      <c r="L570" s="170"/>
      <c r="M570" s="730"/>
      <c r="N570" s="730"/>
      <c r="O570" s="730"/>
      <c r="P570" s="731"/>
      <c r="Q570" s="731"/>
      <c r="R570" s="730"/>
      <c r="S570" s="730"/>
      <c r="T570" s="723"/>
      <c r="U570" s="724"/>
      <c r="V570" s="725"/>
      <c r="W570" s="725"/>
      <c r="X570" s="723"/>
      <c r="Y570" s="723"/>
      <c r="Z570" s="723"/>
      <c r="AA570" s="726"/>
      <c r="AB570" s="726"/>
      <c r="AC570" s="170"/>
      <c r="AD570" s="586"/>
      <c r="AE570" s="586"/>
      <c r="AF570" s="170"/>
      <c r="AG570" s="170"/>
      <c r="AH570" s="170"/>
      <c r="AI570" s="170"/>
      <c r="AJ570" s="170"/>
      <c r="AK570" s="170"/>
      <c r="AL570" s="170"/>
      <c r="AM570" s="170"/>
      <c r="AN570" s="170"/>
      <c r="AO570" s="170"/>
      <c r="AP570" s="170"/>
      <c r="AQ570" s="170"/>
      <c r="AR570" s="170"/>
      <c r="AS570" s="170"/>
    </row>
    <row r="571" spans="1:45" ht="15" x14ac:dyDescent="0.25">
      <c r="A571" s="170"/>
      <c r="B571" s="719"/>
      <c r="C571" s="170"/>
      <c r="D571" s="170"/>
      <c r="E571" s="170"/>
      <c r="F571" s="170"/>
      <c r="G571" s="721"/>
      <c r="H571" s="170"/>
      <c r="I571" s="170"/>
      <c r="J571" s="170"/>
      <c r="K571" s="170"/>
      <c r="L571" s="170"/>
      <c r="M571" s="730"/>
      <c r="N571" s="730"/>
      <c r="O571" s="730"/>
      <c r="P571" s="731"/>
      <c r="Q571" s="731"/>
      <c r="R571" s="730"/>
      <c r="S571" s="730"/>
      <c r="T571" s="723"/>
      <c r="U571" s="724"/>
      <c r="V571" s="725"/>
      <c r="W571" s="725"/>
      <c r="X571" s="723"/>
      <c r="Y571" s="723"/>
      <c r="Z571" s="723"/>
      <c r="AA571" s="726"/>
      <c r="AB571" s="726"/>
      <c r="AC571" s="170"/>
      <c r="AD571" s="586"/>
      <c r="AE571" s="586"/>
      <c r="AF571" s="170"/>
      <c r="AG571" s="170"/>
      <c r="AH571" s="170"/>
      <c r="AI571" s="170"/>
      <c r="AJ571" s="170"/>
      <c r="AK571" s="170"/>
      <c r="AL571" s="170"/>
      <c r="AM571" s="170"/>
      <c r="AN571" s="170"/>
      <c r="AO571" s="170"/>
      <c r="AP571" s="170"/>
      <c r="AQ571" s="170"/>
      <c r="AR571" s="170"/>
      <c r="AS571" s="170"/>
    </row>
    <row r="572" spans="1:45" ht="15" x14ac:dyDescent="0.25">
      <c r="A572" s="170"/>
      <c r="B572" s="719"/>
      <c r="C572" s="170"/>
      <c r="D572" s="170"/>
      <c r="E572" s="170"/>
      <c r="F572" s="170"/>
      <c r="G572" s="721"/>
      <c r="H572" s="170"/>
      <c r="I572" s="170"/>
      <c r="J572" s="170"/>
      <c r="K572" s="170"/>
      <c r="L572" s="170"/>
      <c r="M572" s="730"/>
      <c r="N572" s="730"/>
      <c r="O572" s="730"/>
      <c r="P572" s="731"/>
      <c r="Q572" s="731"/>
      <c r="R572" s="730"/>
      <c r="S572" s="730"/>
      <c r="T572" s="723"/>
      <c r="U572" s="724"/>
      <c r="V572" s="725"/>
      <c r="W572" s="725"/>
      <c r="X572" s="723"/>
      <c r="Y572" s="723"/>
      <c r="Z572" s="723"/>
      <c r="AA572" s="726"/>
      <c r="AB572" s="726"/>
      <c r="AC572" s="170"/>
      <c r="AD572" s="586"/>
      <c r="AE572" s="586"/>
      <c r="AF572" s="170"/>
      <c r="AG572" s="170"/>
      <c r="AH572" s="170"/>
      <c r="AI572" s="170"/>
      <c r="AJ572" s="170"/>
      <c r="AK572" s="170"/>
      <c r="AL572" s="170"/>
      <c r="AM572" s="170"/>
      <c r="AN572" s="170"/>
      <c r="AO572" s="170"/>
      <c r="AP572" s="170"/>
      <c r="AQ572" s="170"/>
      <c r="AR572" s="170"/>
      <c r="AS572" s="170"/>
    </row>
    <row r="573" spans="1:45" ht="15" x14ac:dyDescent="0.25">
      <c r="A573" s="170"/>
      <c r="B573" s="719"/>
      <c r="C573" s="170"/>
      <c r="D573" s="170"/>
      <c r="E573" s="170"/>
      <c r="F573" s="170"/>
      <c r="G573" s="721"/>
      <c r="H573" s="170"/>
      <c r="I573" s="170"/>
      <c r="J573" s="170"/>
      <c r="K573" s="170"/>
      <c r="L573" s="170"/>
      <c r="M573" s="730"/>
      <c r="N573" s="730"/>
      <c r="O573" s="730"/>
      <c r="P573" s="731"/>
      <c r="Q573" s="731"/>
      <c r="R573" s="730"/>
      <c r="S573" s="730"/>
      <c r="T573" s="723"/>
      <c r="U573" s="724"/>
      <c r="V573" s="725"/>
      <c r="W573" s="725"/>
      <c r="X573" s="723"/>
      <c r="Y573" s="723"/>
      <c r="Z573" s="723"/>
      <c r="AA573" s="726"/>
      <c r="AB573" s="726"/>
      <c r="AC573" s="170"/>
      <c r="AD573" s="586"/>
      <c r="AE573" s="586"/>
      <c r="AF573" s="170"/>
      <c r="AG573" s="170"/>
      <c r="AH573" s="170"/>
      <c r="AI573" s="170"/>
      <c r="AJ573" s="170"/>
      <c r="AK573" s="170"/>
      <c r="AL573" s="170"/>
      <c r="AM573" s="170"/>
      <c r="AN573" s="170"/>
      <c r="AO573" s="170"/>
      <c r="AP573" s="170"/>
      <c r="AQ573" s="170"/>
      <c r="AR573" s="170"/>
      <c r="AS573" s="170"/>
    </row>
    <row r="574" spans="1:45" ht="15" x14ac:dyDescent="0.25">
      <c r="A574" s="170"/>
      <c r="B574" s="719"/>
      <c r="C574" s="170"/>
      <c r="D574" s="170"/>
      <c r="E574" s="170"/>
      <c r="F574" s="170"/>
      <c r="G574" s="721"/>
      <c r="H574" s="170"/>
      <c r="I574" s="170"/>
      <c r="J574" s="170"/>
      <c r="K574" s="170"/>
      <c r="L574" s="170"/>
      <c r="M574" s="730"/>
      <c r="N574" s="730"/>
      <c r="O574" s="730"/>
      <c r="P574" s="731"/>
      <c r="Q574" s="731"/>
      <c r="R574" s="730"/>
      <c r="S574" s="730"/>
      <c r="T574" s="723"/>
      <c r="U574" s="724"/>
      <c r="V574" s="725"/>
      <c r="W574" s="725"/>
      <c r="X574" s="723"/>
      <c r="Y574" s="723"/>
      <c r="Z574" s="723"/>
      <c r="AA574" s="726"/>
      <c r="AB574" s="726"/>
      <c r="AC574" s="170"/>
      <c r="AD574" s="586"/>
      <c r="AE574" s="586"/>
      <c r="AF574" s="170"/>
      <c r="AG574" s="170"/>
      <c r="AH574" s="170"/>
      <c r="AI574" s="170"/>
      <c r="AJ574" s="170"/>
      <c r="AK574" s="170"/>
      <c r="AL574" s="170"/>
      <c r="AM574" s="170"/>
      <c r="AN574" s="170"/>
      <c r="AO574" s="170"/>
      <c r="AP574" s="170"/>
      <c r="AQ574" s="170"/>
      <c r="AR574" s="170"/>
      <c r="AS574" s="170"/>
    </row>
    <row r="575" spans="1:45" ht="15" x14ac:dyDescent="0.25">
      <c r="A575" s="170"/>
      <c r="B575" s="719"/>
      <c r="C575" s="170"/>
      <c r="D575" s="170"/>
      <c r="E575" s="170"/>
      <c r="F575" s="170"/>
      <c r="G575" s="721"/>
      <c r="H575" s="170"/>
      <c r="I575" s="170"/>
      <c r="J575" s="170"/>
      <c r="K575" s="170"/>
      <c r="L575" s="170"/>
      <c r="M575" s="730"/>
      <c r="N575" s="730"/>
      <c r="O575" s="730"/>
      <c r="P575" s="731"/>
      <c r="Q575" s="731"/>
      <c r="R575" s="730"/>
      <c r="S575" s="730"/>
      <c r="T575" s="723"/>
      <c r="U575" s="724"/>
      <c r="V575" s="725"/>
      <c r="W575" s="725"/>
      <c r="X575" s="723"/>
      <c r="Y575" s="723"/>
      <c r="Z575" s="723"/>
      <c r="AA575" s="726"/>
      <c r="AB575" s="726"/>
      <c r="AC575" s="170"/>
      <c r="AD575" s="586"/>
      <c r="AE575" s="586"/>
      <c r="AF575" s="170"/>
      <c r="AG575" s="170"/>
      <c r="AH575" s="170"/>
      <c r="AI575" s="170"/>
      <c r="AJ575" s="170"/>
      <c r="AK575" s="170"/>
      <c r="AL575" s="170"/>
      <c r="AM575" s="170"/>
      <c r="AN575" s="170"/>
      <c r="AO575" s="170"/>
      <c r="AP575" s="170"/>
      <c r="AQ575" s="170"/>
      <c r="AR575" s="170"/>
      <c r="AS575" s="170"/>
    </row>
    <row r="576" spans="1:45" ht="15" x14ac:dyDescent="0.25">
      <c r="A576" s="170"/>
      <c r="B576" s="719"/>
      <c r="C576" s="170"/>
      <c r="D576" s="170"/>
      <c r="E576" s="170"/>
      <c r="F576" s="170"/>
      <c r="G576" s="721"/>
      <c r="H576" s="170"/>
      <c r="I576" s="170"/>
      <c r="J576" s="170"/>
      <c r="K576" s="170"/>
      <c r="L576" s="170"/>
      <c r="M576" s="730"/>
      <c r="N576" s="730"/>
      <c r="O576" s="730"/>
      <c r="P576" s="731"/>
      <c r="Q576" s="731"/>
      <c r="R576" s="730"/>
      <c r="S576" s="730"/>
      <c r="T576" s="723"/>
      <c r="U576" s="724"/>
      <c r="V576" s="725"/>
      <c r="W576" s="725"/>
      <c r="X576" s="723"/>
      <c r="Y576" s="723"/>
      <c r="Z576" s="723"/>
      <c r="AA576" s="726"/>
      <c r="AB576" s="726"/>
      <c r="AC576" s="170"/>
      <c r="AD576" s="586"/>
      <c r="AE576" s="586"/>
      <c r="AF576" s="170"/>
      <c r="AG576" s="170"/>
      <c r="AH576" s="170"/>
      <c r="AI576" s="170"/>
      <c r="AJ576" s="170"/>
      <c r="AK576" s="170"/>
      <c r="AL576" s="170"/>
      <c r="AM576" s="170"/>
      <c r="AN576" s="170"/>
      <c r="AO576" s="170"/>
      <c r="AP576" s="170"/>
      <c r="AQ576" s="170"/>
      <c r="AR576" s="170"/>
      <c r="AS576" s="170"/>
    </row>
    <row r="577" spans="1:45" ht="15" x14ac:dyDescent="0.25">
      <c r="A577" s="170"/>
      <c r="B577" s="719"/>
      <c r="C577" s="170"/>
      <c r="D577" s="170"/>
      <c r="E577" s="170"/>
      <c r="F577" s="170"/>
      <c r="G577" s="721"/>
      <c r="H577" s="170"/>
      <c r="I577" s="170"/>
      <c r="J577" s="170"/>
      <c r="K577" s="170"/>
      <c r="L577" s="170"/>
      <c r="M577" s="730"/>
      <c r="N577" s="730"/>
      <c r="O577" s="730"/>
      <c r="P577" s="731"/>
      <c r="Q577" s="731"/>
      <c r="R577" s="730"/>
      <c r="S577" s="730"/>
      <c r="T577" s="723"/>
      <c r="U577" s="724"/>
      <c r="V577" s="725"/>
      <c r="W577" s="725"/>
      <c r="X577" s="723"/>
      <c r="Y577" s="723"/>
      <c r="Z577" s="723"/>
      <c r="AA577" s="726"/>
      <c r="AB577" s="726"/>
      <c r="AC577" s="170"/>
      <c r="AD577" s="586"/>
      <c r="AE577" s="586"/>
      <c r="AF577" s="170"/>
      <c r="AG577" s="170"/>
      <c r="AH577" s="170"/>
      <c r="AI577" s="170"/>
      <c r="AJ577" s="170"/>
      <c r="AK577" s="170"/>
      <c r="AL577" s="170"/>
      <c r="AM577" s="170"/>
      <c r="AN577" s="170"/>
      <c r="AO577" s="170"/>
      <c r="AP577" s="170"/>
      <c r="AQ577" s="170"/>
      <c r="AR577" s="170"/>
      <c r="AS577" s="170"/>
    </row>
    <row r="578" spans="1:45" ht="15" x14ac:dyDescent="0.25">
      <c r="A578" s="170"/>
      <c r="B578" s="719"/>
      <c r="C578" s="170"/>
      <c r="D578" s="170"/>
      <c r="E578" s="170"/>
      <c r="F578" s="170"/>
      <c r="G578" s="721"/>
      <c r="H578" s="170"/>
      <c r="I578" s="170"/>
      <c r="J578" s="170"/>
      <c r="K578" s="170"/>
      <c r="L578" s="170"/>
      <c r="M578" s="730"/>
      <c r="N578" s="730"/>
      <c r="O578" s="730"/>
      <c r="P578" s="731"/>
      <c r="Q578" s="731"/>
      <c r="R578" s="730"/>
      <c r="S578" s="730"/>
      <c r="T578" s="723"/>
      <c r="U578" s="724"/>
      <c r="V578" s="725"/>
      <c r="W578" s="725"/>
      <c r="X578" s="723"/>
      <c r="Y578" s="723"/>
      <c r="Z578" s="723"/>
      <c r="AA578" s="726"/>
      <c r="AB578" s="726"/>
      <c r="AC578" s="170"/>
      <c r="AD578" s="586"/>
      <c r="AE578" s="586"/>
      <c r="AF578" s="170"/>
      <c r="AG578" s="170"/>
      <c r="AH578" s="170"/>
      <c r="AI578" s="170"/>
      <c r="AJ578" s="170"/>
      <c r="AK578" s="170"/>
      <c r="AL578" s="170"/>
      <c r="AM578" s="170"/>
      <c r="AN578" s="170"/>
      <c r="AO578" s="170"/>
      <c r="AP578" s="170"/>
      <c r="AQ578" s="170"/>
      <c r="AR578" s="170"/>
      <c r="AS578" s="170"/>
    </row>
    <row r="579" spans="1:45" ht="15" x14ac:dyDescent="0.25">
      <c r="A579" s="170"/>
      <c r="B579" s="719"/>
      <c r="C579" s="170"/>
      <c r="D579" s="170"/>
      <c r="E579" s="170"/>
      <c r="F579" s="170"/>
      <c r="G579" s="721"/>
      <c r="H579" s="170"/>
      <c r="I579" s="170"/>
      <c r="J579" s="170"/>
      <c r="K579" s="170"/>
      <c r="L579" s="170"/>
      <c r="M579" s="730"/>
      <c r="N579" s="730"/>
      <c r="O579" s="730"/>
      <c r="P579" s="731"/>
      <c r="Q579" s="731"/>
      <c r="R579" s="730"/>
      <c r="S579" s="730"/>
      <c r="T579" s="723"/>
      <c r="U579" s="724"/>
      <c r="V579" s="725"/>
      <c r="W579" s="725"/>
      <c r="X579" s="723"/>
      <c r="Y579" s="723"/>
      <c r="Z579" s="723"/>
      <c r="AA579" s="726"/>
      <c r="AB579" s="726"/>
      <c r="AC579" s="170"/>
      <c r="AD579" s="586"/>
      <c r="AE579" s="586"/>
      <c r="AF579" s="170"/>
      <c r="AG579" s="170"/>
      <c r="AH579" s="170"/>
      <c r="AI579" s="170"/>
      <c r="AJ579" s="170"/>
      <c r="AK579" s="170"/>
      <c r="AL579" s="170"/>
      <c r="AM579" s="170"/>
      <c r="AN579" s="170"/>
      <c r="AO579" s="170"/>
      <c r="AP579" s="170"/>
      <c r="AQ579" s="170"/>
      <c r="AR579" s="170"/>
      <c r="AS579" s="170"/>
    </row>
    <row r="580" spans="1:45" ht="15" x14ac:dyDescent="0.25">
      <c r="A580" s="170"/>
      <c r="B580" s="719"/>
      <c r="C580" s="170"/>
      <c r="D580" s="170"/>
      <c r="E580" s="170"/>
      <c r="F580" s="170"/>
      <c r="G580" s="721"/>
      <c r="H580" s="170"/>
      <c r="I580" s="170"/>
      <c r="J580" s="170"/>
      <c r="K580" s="170"/>
      <c r="L580" s="170"/>
      <c r="M580" s="730"/>
      <c r="N580" s="730"/>
      <c r="O580" s="730"/>
      <c r="P580" s="731"/>
      <c r="Q580" s="731"/>
      <c r="R580" s="730"/>
      <c r="S580" s="730"/>
      <c r="T580" s="723"/>
      <c r="U580" s="724"/>
      <c r="V580" s="725"/>
      <c r="W580" s="725"/>
      <c r="X580" s="723"/>
      <c r="Y580" s="723"/>
      <c r="Z580" s="723"/>
      <c r="AA580" s="726"/>
      <c r="AB580" s="726"/>
      <c r="AC580" s="170"/>
      <c r="AD580" s="586"/>
      <c r="AE580" s="586"/>
      <c r="AF580" s="170"/>
      <c r="AG580" s="170"/>
      <c r="AH580" s="170"/>
      <c r="AI580" s="170"/>
      <c r="AJ580" s="170"/>
      <c r="AK580" s="170"/>
      <c r="AL580" s="170"/>
      <c r="AM580" s="170"/>
      <c r="AN580" s="170"/>
      <c r="AO580" s="170"/>
      <c r="AP580" s="170"/>
      <c r="AQ580" s="170"/>
      <c r="AR580" s="170"/>
      <c r="AS580" s="170"/>
    </row>
    <row r="581" spans="1:45" ht="15" x14ac:dyDescent="0.25">
      <c r="A581" s="170"/>
      <c r="B581" s="719"/>
      <c r="C581" s="170"/>
      <c r="D581" s="170"/>
      <c r="E581" s="170"/>
      <c r="F581" s="170"/>
      <c r="G581" s="721"/>
      <c r="H581" s="170"/>
      <c r="I581" s="170"/>
      <c r="J581" s="170"/>
      <c r="K581" s="170"/>
      <c r="L581" s="170"/>
      <c r="M581" s="730"/>
      <c r="N581" s="730"/>
      <c r="O581" s="730"/>
      <c r="P581" s="731"/>
      <c r="Q581" s="731"/>
      <c r="R581" s="730"/>
      <c r="S581" s="730"/>
      <c r="T581" s="723"/>
      <c r="U581" s="724"/>
      <c r="V581" s="725"/>
      <c r="W581" s="725"/>
      <c r="X581" s="723"/>
      <c r="Y581" s="723"/>
      <c r="Z581" s="723"/>
      <c r="AA581" s="726"/>
      <c r="AB581" s="726"/>
      <c r="AC581" s="170"/>
      <c r="AD581" s="586"/>
      <c r="AE581" s="586"/>
      <c r="AF581" s="170"/>
      <c r="AG581" s="170"/>
      <c r="AH581" s="170"/>
      <c r="AI581" s="170"/>
      <c r="AJ581" s="170"/>
      <c r="AK581" s="170"/>
      <c r="AL581" s="170"/>
      <c r="AM581" s="170"/>
      <c r="AN581" s="170"/>
      <c r="AO581" s="170"/>
      <c r="AP581" s="170"/>
      <c r="AQ581" s="170"/>
      <c r="AR581" s="170"/>
      <c r="AS581" s="170"/>
    </row>
    <row r="582" spans="1:45" ht="15" x14ac:dyDescent="0.25">
      <c r="A582" s="170"/>
      <c r="B582" s="719"/>
      <c r="C582" s="170"/>
      <c r="D582" s="170"/>
      <c r="E582" s="170"/>
      <c r="F582" s="170"/>
      <c r="G582" s="721"/>
      <c r="H582" s="170"/>
      <c r="I582" s="170"/>
      <c r="J582" s="170"/>
      <c r="K582" s="170"/>
      <c r="L582" s="170"/>
      <c r="M582" s="730"/>
      <c r="N582" s="730"/>
      <c r="O582" s="730"/>
      <c r="P582" s="731"/>
      <c r="Q582" s="731"/>
      <c r="R582" s="730"/>
      <c r="S582" s="730"/>
      <c r="T582" s="723"/>
      <c r="U582" s="724"/>
      <c r="V582" s="725"/>
      <c r="W582" s="725"/>
      <c r="X582" s="723"/>
      <c r="Y582" s="723"/>
      <c r="Z582" s="723"/>
      <c r="AA582" s="726"/>
      <c r="AB582" s="726"/>
      <c r="AC582" s="170"/>
      <c r="AD582" s="586"/>
      <c r="AE582" s="586"/>
      <c r="AF582" s="170"/>
      <c r="AG582" s="170"/>
      <c r="AH582" s="170"/>
      <c r="AI582" s="170"/>
      <c r="AJ582" s="170"/>
      <c r="AK582" s="170"/>
      <c r="AL582" s="170"/>
      <c r="AM582" s="170"/>
      <c r="AN582" s="170"/>
      <c r="AO582" s="170"/>
      <c r="AP582" s="170"/>
      <c r="AQ582" s="170"/>
      <c r="AR582" s="170"/>
      <c r="AS582" s="170"/>
    </row>
    <row r="583" spans="1:45" ht="15" x14ac:dyDescent="0.25">
      <c r="A583" s="170"/>
      <c r="B583" s="719"/>
      <c r="C583" s="170"/>
      <c r="D583" s="170"/>
      <c r="E583" s="170"/>
      <c r="F583" s="170"/>
      <c r="G583" s="721"/>
      <c r="H583" s="170"/>
      <c r="I583" s="170"/>
      <c r="J583" s="170"/>
      <c r="K583" s="170"/>
      <c r="L583" s="170"/>
      <c r="M583" s="730"/>
      <c r="N583" s="730"/>
      <c r="O583" s="730"/>
      <c r="P583" s="731"/>
      <c r="Q583" s="731"/>
      <c r="R583" s="730"/>
      <c r="S583" s="730"/>
      <c r="T583" s="723"/>
      <c r="U583" s="724"/>
      <c r="V583" s="725"/>
      <c r="W583" s="725"/>
      <c r="X583" s="723"/>
      <c r="Y583" s="723"/>
      <c r="Z583" s="723"/>
      <c r="AA583" s="726"/>
      <c r="AB583" s="726"/>
      <c r="AC583" s="170"/>
      <c r="AD583" s="586"/>
      <c r="AE583" s="586"/>
      <c r="AF583" s="170"/>
      <c r="AG583" s="170"/>
      <c r="AH583" s="170"/>
      <c r="AI583" s="170"/>
      <c r="AJ583" s="170"/>
      <c r="AK583" s="170"/>
      <c r="AL583" s="170"/>
      <c r="AM583" s="170"/>
      <c r="AN583" s="170"/>
      <c r="AO583" s="170"/>
      <c r="AP583" s="170"/>
      <c r="AQ583" s="170"/>
      <c r="AR583" s="170"/>
      <c r="AS583" s="170"/>
    </row>
    <row r="584" spans="1:45" ht="15" x14ac:dyDescent="0.25">
      <c r="A584" s="170"/>
      <c r="B584" s="719"/>
      <c r="C584" s="170"/>
      <c r="D584" s="170"/>
      <c r="E584" s="170"/>
      <c r="F584" s="170"/>
      <c r="G584" s="721"/>
      <c r="H584" s="170"/>
      <c r="I584" s="170"/>
      <c r="J584" s="170"/>
      <c r="K584" s="170"/>
      <c r="L584" s="170"/>
      <c r="M584" s="730"/>
      <c r="N584" s="730"/>
      <c r="O584" s="730"/>
      <c r="P584" s="731"/>
      <c r="Q584" s="731"/>
      <c r="R584" s="730"/>
      <c r="S584" s="730"/>
      <c r="T584" s="723"/>
      <c r="U584" s="724"/>
      <c r="V584" s="725"/>
      <c r="W584" s="725"/>
      <c r="X584" s="723"/>
      <c r="Y584" s="723"/>
      <c r="Z584" s="723"/>
      <c r="AA584" s="726"/>
      <c r="AB584" s="726"/>
      <c r="AC584" s="170"/>
      <c r="AD584" s="586"/>
      <c r="AE584" s="586"/>
      <c r="AF584" s="170"/>
      <c r="AG584" s="170"/>
      <c r="AH584" s="170"/>
      <c r="AI584" s="170"/>
      <c r="AJ584" s="170"/>
      <c r="AK584" s="170"/>
      <c r="AL584" s="170"/>
      <c r="AM584" s="170"/>
      <c r="AN584" s="170"/>
      <c r="AO584" s="170"/>
      <c r="AP584" s="170"/>
      <c r="AQ584" s="170"/>
      <c r="AR584" s="170"/>
      <c r="AS584" s="170"/>
    </row>
    <row r="585" spans="1:45" ht="15" x14ac:dyDescent="0.25">
      <c r="A585" s="170"/>
      <c r="B585" s="719"/>
      <c r="C585" s="170"/>
      <c r="D585" s="170"/>
      <c r="E585" s="170"/>
      <c r="F585" s="170"/>
      <c r="G585" s="721"/>
      <c r="H585" s="170"/>
      <c r="I585" s="170"/>
      <c r="J585" s="170"/>
      <c r="K585" s="170"/>
      <c r="L585" s="170"/>
      <c r="M585" s="730"/>
      <c r="N585" s="730"/>
      <c r="O585" s="730"/>
      <c r="P585" s="731"/>
      <c r="Q585" s="731"/>
      <c r="R585" s="730"/>
      <c r="S585" s="730"/>
      <c r="T585" s="723"/>
      <c r="U585" s="724"/>
      <c r="V585" s="725"/>
      <c r="W585" s="725"/>
      <c r="X585" s="723"/>
      <c r="Y585" s="723"/>
      <c r="Z585" s="723"/>
      <c r="AA585" s="726"/>
      <c r="AB585" s="726"/>
      <c r="AC585" s="170"/>
      <c r="AD585" s="586"/>
      <c r="AE585" s="586"/>
      <c r="AF585" s="170"/>
      <c r="AG585" s="170"/>
      <c r="AH585" s="170"/>
      <c r="AI585" s="170"/>
      <c r="AJ585" s="170"/>
      <c r="AK585" s="170"/>
      <c r="AL585" s="170"/>
      <c r="AM585" s="170"/>
      <c r="AN585" s="170"/>
      <c r="AO585" s="170"/>
      <c r="AP585" s="170"/>
      <c r="AQ585" s="170"/>
      <c r="AR585" s="170"/>
      <c r="AS585" s="170"/>
    </row>
    <row r="586" spans="1:45" ht="15" x14ac:dyDescent="0.25">
      <c r="A586" s="170"/>
      <c r="B586" s="719"/>
      <c r="C586" s="170"/>
      <c r="D586" s="170"/>
      <c r="E586" s="170"/>
      <c r="F586" s="170"/>
      <c r="G586" s="721"/>
      <c r="H586" s="170"/>
      <c r="I586" s="170"/>
      <c r="J586" s="170"/>
      <c r="K586" s="170"/>
      <c r="L586" s="170"/>
      <c r="M586" s="730"/>
      <c r="N586" s="730"/>
      <c r="O586" s="730"/>
      <c r="P586" s="731"/>
      <c r="Q586" s="731"/>
      <c r="R586" s="730"/>
      <c r="S586" s="730"/>
      <c r="T586" s="723"/>
      <c r="U586" s="724"/>
      <c r="V586" s="725"/>
      <c r="W586" s="725"/>
      <c r="X586" s="723"/>
      <c r="Y586" s="723"/>
      <c r="Z586" s="723"/>
      <c r="AA586" s="726"/>
      <c r="AB586" s="726"/>
      <c r="AC586" s="170"/>
      <c r="AD586" s="586"/>
      <c r="AE586" s="586"/>
      <c r="AF586" s="170"/>
      <c r="AG586" s="170"/>
      <c r="AH586" s="170"/>
      <c r="AI586" s="170"/>
      <c r="AJ586" s="170"/>
      <c r="AK586" s="170"/>
      <c r="AL586" s="170"/>
      <c r="AM586" s="170"/>
      <c r="AN586" s="170"/>
      <c r="AO586" s="170"/>
      <c r="AP586" s="170"/>
      <c r="AQ586" s="170"/>
      <c r="AR586" s="170"/>
      <c r="AS586" s="170"/>
    </row>
    <row r="587" spans="1:45" ht="15" x14ac:dyDescent="0.25">
      <c r="A587" s="170"/>
      <c r="B587" s="719"/>
      <c r="C587" s="170"/>
      <c r="D587" s="170"/>
      <c r="E587" s="170"/>
      <c r="F587" s="170"/>
      <c r="G587" s="721"/>
      <c r="H587" s="170"/>
      <c r="I587" s="170"/>
      <c r="J587" s="170"/>
      <c r="K587" s="170"/>
      <c r="L587" s="170"/>
      <c r="M587" s="730"/>
      <c r="N587" s="730"/>
      <c r="O587" s="730"/>
      <c r="P587" s="731"/>
      <c r="Q587" s="731"/>
      <c r="R587" s="730"/>
      <c r="S587" s="730"/>
      <c r="T587" s="723"/>
      <c r="U587" s="724"/>
      <c r="V587" s="725"/>
      <c r="W587" s="725"/>
      <c r="X587" s="723"/>
      <c r="Y587" s="723"/>
      <c r="Z587" s="723"/>
      <c r="AA587" s="726"/>
      <c r="AB587" s="726"/>
      <c r="AC587" s="170"/>
      <c r="AD587" s="586"/>
      <c r="AE587" s="586"/>
      <c r="AF587" s="170"/>
      <c r="AG587" s="170"/>
      <c r="AH587" s="170"/>
      <c r="AI587" s="170"/>
      <c r="AJ587" s="170"/>
      <c r="AK587" s="170"/>
      <c r="AL587" s="170"/>
      <c r="AM587" s="170"/>
      <c r="AN587" s="170"/>
      <c r="AO587" s="170"/>
      <c r="AP587" s="170"/>
      <c r="AQ587" s="170"/>
      <c r="AR587" s="170"/>
      <c r="AS587" s="170"/>
    </row>
    <row r="588" spans="1:45" ht="15" x14ac:dyDescent="0.25">
      <c r="A588" s="170"/>
      <c r="B588" s="719"/>
      <c r="C588" s="170"/>
      <c r="D588" s="170"/>
      <c r="E588" s="170"/>
      <c r="F588" s="170"/>
      <c r="G588" s="721"/>
      <c r="H588" s="170"/>
      <c r="I588" s="170"/>
      <c r="J588" s="170"/>
      <c r="K588" s="170"/>
      <c r="L588" s="170"/>
      <c r="M588" s="730"/>
      <c r="N588" s="730"/>
      <c r="O588" s="730"/>
      <c r="P588" s="731"/>
      <c r="Q588" s="731"/>
      <c r="R588" s="730"/>
      <c r="S588" s="730"/>
      <c r="T588" s="723"/>
      <c r="U588" s="724"/>
      <c r="V588" s="725"/>
      <c r="W588" s="725"/>
      <c r="X588" s="723"/>
      <c r="Y588" s="723"/>
      <c r="Z588" s="723"/>
      <c r="AA588" s="726"/>
      <c r="AB588" s="726"/>
      <c r="AC588" s="170"/>
      <c r="AD588" s="586"/>
      <c r="AE588" s="586"/>
      <c r="AF588" s="170"/>
      <c r="AG588" s="170"/>
      <c r="AH588" s="170"/>
      <c r="AI588" s="170"/>
      <c r="AJ588" s="170"/>
      <c r="AK588" s="170"/>
      <c r="AL588" s="170"/>
      <c r="AM588" s="170"/>
      <c r="AN588" s="170"/>
      <c r="AO588" s="170"/>
      <c r="AP588" s="170"/>
      <c r="AQ588" s="170"/>
      <c r="AR588" s="170"/>
      <c r="AS588" s="170"/>
    </row>
    <row r="589" spans="1:45" ht="15" x14ac:dyDescent="0.25">
      <c r="A589" s="170"/>
      <c r="B589" s="719"/>
      <c r="C589" s="170"/>
      <c r="D589" s="170"/>
      <c r="E589" s="170"/>
      <c r="F589" s="170"/>
      <c r="G589" s="721"/>
      <c r="H589" s="170"/>
      <c r="I589" s="170"/>
      <c r="J589" s="170"/>
      <c r="K589" s="170"/>
      <c r="L589" s="170"/>
      <c r="M589" s="730"/>
      <c r="N589" s="730"/>
      <c r="O589" s="730"/>
      <c r="P589" s="731"/>
      <c r="Q589" s="731"/>
      <c r="R589" s="730"/>
      <c r="S589" s="730"/>
      <c r="T589" s="723"/>
      <c r="U589" s="724"/>
      <c r="V589" s="725"/>
      <c r="W589" s="725"/>
      <c r="X589" s="723"/>
      <c r="Y589" s="723"/>
      <c r="Z589" s="723"/>
      <c r="AA589" s="726"/>
      <c r="AB589" s="726"/>
      <c r="AC589" s="170"/>
      <c r="AD589" s="586"/>
      <c r="AE589" s="586"/>
      <c r="AF589" s="170"/>
      <c r="AG589" s="170"/>
      <c r="AH589" s="170"/>
      <c r="AI589" s="170"/>
      <c r="AJ589" s="170"/>
      <c r="AK589" s="170"/>
      <c r="AL589" s="170"/>
      <c r="AM589" s="170"/>
      <c r="AN589" s="170"/>
      <c r="AO589" s="170"/>
      <c r="AP589" s="170"/>
      <c r="AQ589" s="170"/>
      <c r="AR589" s="170"/>
      <c r="AS589" s="170"/>
    </row>
    <row r="590" spans="1:45" ht="15" x14ac:dyDescent="0.25">
      <c r="A590" s="170"/>
      <c r="B590" s="719"/>
      <c r="C590" s="170"/>
      <c r="D590" s="170"/>
      <c r="E590" s="170"/>
      <c r="F590" s="170"/>
      <c r="G590" s="721"/>
      <c r="H590" s="170"/>
      <c r="I590" s="170"/>
      <c r="J590" s="170"/>
      <c r="K590" s="170"/>
      <c r="L590" s="170"/>
      <c r="M590" s="730"/>
      <c r="N590" s="730"/>
      <c r="O590" s="730"/>
      <c r="P590" s="731"/>
      <c r="Q590" s="731"/>
      <c r="R590" s="730"/>
      <c r="S590" s="730"/>
      <c r="T590" s="723"/>
      <c r="U590" s="724"/>
      <c r="V590" s="725"/>
      <c r="W590" s="725"/>
      <c r="X590" s="723"/>
      <c r="Y590" s="723"/>
      <c r="Z590" s="723"/>
      <c r="AA590" s="726"/>
      <c r="AB590" s="726"/>
      <c r="AC590" s="170"/>
      <c r="AD590" s="586"/>
      <c r="AE590" s="586"/>
      <c r="AF590" s="170"/>
      <c r="AG590" s="170"/>
      <c r="AH590" s="170"/>
      <c r="AI590" s="170"/>
      <c r="AJ590" s="170"/>
      <c r="AK590" s="170"/>
      <c r="AL590" s="170"/>
      <c r="AM590" s="170"/>
      <c r="AN590" s="170"/>
      <c r="AO590" s="170"/>
      <c r="AP590" s="170"/>
      <c r="AQ590" s="170"/>
      <c r="AR590" s="170"/>
      <c r="AS590" s="170"/>
    </row>
    <row r="591" spans="1:45" ht="15" x14ac:dyDescent="0.25">
      <c r="A591" s="170"/>
      <c r="B591" s="719"/>
      <c r="C591" s="170"/>
      <c r="D591" s="170"/>
      <c r="E591" s="170"/>
      <c r="F591" s="170"/>
      <c r="G591" s="721"/>
      <c r="H591" s="170"/>
      <c r="I591" s="170"/>
      <c r="J591" s="170"/>
      <c r="K591" s="170"/>
      <c r="L591" s="170"/>
      <c r="M591" s="730"/>
      <c r="N591" s="730"/>
      <c r="O591" s="730"/>
      <c r="P591" s="731"/>
      <c r="Q591" s="731"/>
      <c r="R591" s="730"/>
      <c r="S591" s="730"/>
      <c r="T591" s="723"/>
      <c r="U591" s="724"/>
      <c r="V591" s="725"/>
      <c r="W591" s="725"/>
      <c r="X591" s="723"/>
      <c r="Y591" s="723"/>
      <c r="Z591" s="723"/>
      <c r="AA591" s="726"/>
      <c r="AB591" s="726"/>
      <c r="AC591" s="170"/>
      <c r="AD591" s="586"/>
      <c r="AE591" s="586"/>
      <c r="AF591" s="170"/>
      <c r="AG591" s="170"/>
      <c r="AH591" s="170"/>
      <c r="AI591" s="170"/>
      <c r="AJ591" s="170"/>
      <c r="AK591" s="170"/>
      <c r="AL591" s="170"/>
      <c r="AM591" s="170"/>
      <c r="AN591" s="170"/>
      <c r="AO591" s="170"/>
      <c r="AP591" s="170"/>
      <c r="AQ591" s="170"/>
      <c r="AR591" s="170"/>
      <c r="AS591" s="170"/>
    </row>
    <row r="592" spans="1:45" ht="15" x14ac:dyDescent="0.25">
      <c r="A592" s="170"/>
      <c r="B592" s="719"/>
      <c r="C592" s="170"/>
      <c r="D592" s="170"/>
      <c r="E592" s="170"/>
      <c r="F592" s="170"/>
      <c r="G592" s="721"/>
      <c r="H592" s="170"/>
      <c r="I592" s="170"/>
      <c r="J592" s="170"/>
      <c r="K592" s="170"/>
      <c r="L592" s="170"/>
      <c r="M592" s="730"/>
      <c r="N592" s="730"/>
      <c r="O592" s="730"/>
      <c r="P592" s="731"/>
      <c r="Q592" s="731"/>
      <c r="R592" s="730"/>
      <c r="S592" s="730"/>
      <c r="T592" s="723"/>
      <c r="U592" s="724"/>
      <c r="V592" s="725"/>
      <c r="W592" s="725"/>
      <c r="X592" s="723"/>
      <c r="Y592" s="723"/>
      <c r="Z592" s="723"/>
      <c r="AA592" s="726"/>
      <c r="AB592" s="726"/>
      <c r="AC592" s="170"/>
      <c r="AD592" s="586"/>
      <c r="AE592" s="586"/>
      <c r="AF592" s="170"/>
      <c r="AG592" s="170"/>
      <c r="AH592" s="170"/>
      <c r="AI592" s="170"/>
      <c r="AJ592" s="170"/>
      <c r="AK592" s="170"/>
      <c r="AL592" s="170"/>
      <c r="AM592" s="170"/>
      <c r="AN592" s="170"/>
      <c r="AO592" s="170"/>
      <c r="AP592" s="170"/>
      <c r="AQ592" s="170"/>
      <c r="AR592" s="170"/>
      <c r="AS592" s="170"/>
    </row>
    <row r="593" spans="1:45" ht="15" x14ac:dyDescent="0.25">
      <c r="A593" s="170"/>
      <c r="B593" s="719"/>
      <c r="C593" s="170"/>
      <c r="D593" s="170"/>
      <c r="E593" s="170"/>
      <c r="F593" s="170"/>
      <c r="G593" s="721"/>
      <c r="H593" s="170"/>
      <c r="I593" s="170"/>
      <c r="J593" s="170"/>
      <c r="K593" s="170"/>
      <c r="L593" s="170"/>
      <c r="M593" s="730"/>
      <c r="N593" s="730"/>
      <c r="O593" s="730"/>
      <c r="P593" s="731"/>
      <c r="Q593" s="731"/>
      <c r="R593" s="730"/>
      <c r="S593" s="730"/>
      <c r="T593" s="723"/>
      <c r="U593" s="724"/>
      <c r="V593" s="725"/>
      <c r="W593" s="725"/>
      <c r="X593" s="723"/>
      <c r="Y593" s="723"/>
      <c r="Z593" s="723"/>
      <c r="AA593" s="726"/>
      <c r="AB593" s="726"/>
      <c r="AC593" s="170"/>
      <c r="AD593" s="586"/>
      <c r="AE593" s="586"/>
      <c r="AF593" s="170"/>
      <c r="AG593" s="170"/>
      <c r="AH593" s="170"/>
      <c r="AI593" s="170"/>
      <c r="AJ593" s="170"/>
      <c r="AK593" s="170"/>
      <c r="AL593" s="170"/>
      <c r="AM593" s="170"/>
      <c r="AN593" s="170"/>
      <c r="AO593" s="170"/>
      <c r="AP593" s="170"/>
      <c r="AQ593" s="170"/>
      <c r="AR593" s="170"/>
      <c r="AS593" s="170"/>
    </row>
    <row r="594" spans="1:45" ht="15" x14ac:dyDescent="0.25">
      <c r="A594" s="170"/>
      <c r="B594" s="719"/>
      <c r="C594" s="170"/>
      <c r="D594" s="170"/>
      <c r="E594" s="170"/>
      <c r="F594" s="170"/>
      <c r="G594" s="721"/>
      <c r="H594" s="170"/>
      <c r="I594" s="170"/>
      <c r="J594" s="170"/>
      <c r="K594" s="170"/>
      <c r="L594" s="170"/>
      <c r="M594" s="730"/>
      <c r="N594" s="730"/>
      <c r="O594" s="730"/>
      <c r="P594" s="731"/>
      <c r="Q594" s="731"/>
      <c r="R594" s="730"/>
      <c r="S594" s="730"/>
      <c r="T594" s="723"/>
      <c r="U594" s="724"/>
      <c r="V594" s="725"/>
      <c r="W594" s="725"/>
      <c r="X594" s="723"/>
      <c r="Y594" s="723"/>
      <c r="Z594" s="723"/>
      <c r="AA594" s="726"/>
      <c r="AB594" s="726"/>
      <c r="AC594" s="170"/>
      <c r="AD594" s="586"/>
      <c r="AE594" s="586"/>
      <c r="AF594" s="170"/>
      <c r="AG594" s="170"/>
      <c r="AH594" s="170"/>
      <c r="AI594" s="170"/>
      <c r="AJ594" s="170"/>
      <c r="AK594" s="170"/>
      <c r="AL594" s="170"/>
      <c r="AM594" s="170"/>
      <c r="AN594" s="170"/>
      <c r="AO594" s="170"/>
      <c r="AP594" s="170"/>
      <c r="AQ594" s="170"/>
      <c r="AR594" s="170"/>
      <c r="AS594" s="170"/>
    </row>
    <row r="595" spans="1:45" ht="15" x14ac:dyDescent="0.25">
      <c r="A595" s="170"/>
      <c r="B595" s="719"/>
      <c r="C595" s="170"/>
      <c r="D595" s="170"/>
      <c r="E595" s="170"/>
      <c r="F595" s="170"/>
      <c r="G595" s="721"/>
      <c r="H595" s="170"/>
      <c r="I595" s="170"/>
      <c r="J595" s="170"/>
      <c r="K595" s="170"/>
      <c r="L595" s="170"/>
      <c r="M595" s="730"/>
      <c r="N595" s="730"/>
      <c r="O595" s="730"/>
      <c r="P595" s="731"/>
      <c r="Q595" s="731"/>
      <c r="R595" s="730"/>
      <c r="S595" s="730"/>
      <c r="T595" s="723"/>
      <c r="U595" s="724"/>
      <c r="V595" s="725"/>
      <c r="W595" s="725"/>
      <c r="X595" s="723"/>
      <c r="Y595" s="723"/>
      <c r="Z595" s="723"/>
      <c r="AA595" s="726"/>
      <c r="AB595" s="726"/>
      <c r="AC595" s="170"/>
      <c r="AD595" s="586"/>
      <c r="AE595" s="586"/>
      <c r="AF595" s="170"/>
      <c r="AG595" s="170"/>
      <c r="AH595" s="170"/>
      <c r="AI595" s="170"/>
      <c r="AJ595" s="170"/>
      <c r="AK595" s="170"/>
      <c r="AL595" s="170"/>
      <c r="AM595" s="170"/>
      <c r="AN595" s="170"/>
      <c r="AO595" s="170"/>
      <c r="AP595" s="170"/>
      <c r="AQ595" s="170"/>
      <c r="AR595" s="170"/>
      <c r="AS595" s="170"/>
    </row>
    <row r="596" spans="1:45" ht="15" x14ac:dyDescent="0.25">
      <c r="A596" s="170"/>
      <c r="B596" s="719"/>
      <c r="C596" s="170"/>
      <c r="D596" s="170"/>
      <c r="E596" s="170"/>
      <c r="F596" s="170"/>
      <c r="G596" s="721"/>
      <c r="H596" s="170"/>
      <c r="I596" s="170"/>
      <c r="J596" s="170"/>
      <c r="K596" s="170"/>
      <c r="L596" s="170"/>
      <c r="M596" s="730"/>
      <c r="N596" s="730"/>
      <c r="O596" s="730"/>
      <c r="P596" s="731"/>
      <c r="Q596" s="731"/>
      <c r="R596" s="730"/>
      <c r="S596" s="730"/>
      <c r="T596" s="723"/>
      <c r="U596" s="724"/>
      <c r="V596" s="725"/>
      <c r="W596" s="725"/>
      <c r="X596" s="723"/>
      <c r="Y596" s="723"/>
      <c r="Z596" s="723"/>
      <c r="AA596" s="726"/>
      <c r="AB596" s="726"/>
      <c r="AC596" s="170"/>
      <c r="AD596" s="586"/>
      <c r="AE596" s="586"/>
      <c r="AF596" s="170"/>
      <c r="AG596" s="170"/>
      <c r="AH596" s="170"/>
      <c r="AI596" s="170"/>
      <c r="AJ596" s="170"/>
      <c r="AK596" s="170"/>
      <c r="AL596" s="170"/>
      <c r="AM596" s="170"/>
      <c r="AN596" s="170"/>
      <c r="AO596" s="170"/>
      <c r="AP596" s="170"/>
      <c r="AQ596" s="170"/>
      <c r="AR596" s="170"/>
      <c r="AS596" s="170"/>
    </row>
    <row r="597" spans="1:45" ht="15" x14ac:dyDescent="0.25">
      <c r="A597" s="170"/>
      <c r="B597" s="719"/>
      <c r="C597" s="170"/>
      <c r="D597" s="170"/>
      <c r="E597" s="170"/>
      <c r="F597" s="170"/>
      <c r="G597" s="721"/>
      <c r="H597" s="170"/>
      <c r="I597" s="170"/>
      <c r="J597" s="170"/>
      <c r="K597" s="170"/>
      <c r="L597" s="170"/>
      <c r="M597" s="730"/>
      <c r="N597" s="730"/>
      <c r="O597" s="730"/>
      <c r="P597" s="731"/>
      <c r="Q597" s="731"/>
      <c r="R597" s="730"/>
      <c r="S597" s="730"/>
      <c r="T597" s="723"/>
      <c r="U597" s="724"/>
      <c r="V597" s="725"/>
      <c r="W597" s="725"/>
      <c r="X597" s="723"/>
      <c r="Y597" s="723"/>
      <c r="Z597" s="723"/>
      <c r="AA597" s="726"/>
      <c r="AB597" s="726"/>
      <c r="AC597" s="170"/>
      <c r="AD597" s="586"/>
      <c r="AE597" s="586"/>
      <c r="AF597" s="170"/>
      <c r="AG597" s="170"/>
      <c r="AH597" s="170"/>
      <c r="AI597" s="170"/>
      <c r="AJ597" s="170"/>
      <c r="AK597" s="170"/>
      <c r="AL597" s="170"/>
      <c r="AM597" s="170"/>
      <c r="AN597" s="170"/>
      <c r="AO597" s="170"/>
      <c r="AP597" s="170"/>
      <c r="AQ597" s="170"/>
      <c r="AR597" s="170"/>
      <c r="AS597" s="170"/>
    </row>
    <row r="598" spans="1:45" ht="15" x14ac:dyDescent="0.25">
      <c r="A598" s="170"/>
      <c r="B598" s="719"/>
      <c r="C598" s="170"/>
      <c r="D598" s="170"/>
      <c r="E598" s="170"/>
      <c r="F598" s="170"/>
      <c r="G598" s="721"/>
      <c r="H598" s="170"/>
      <c r="I598" s="170"/>
      <c r="J598" s="170"/>
      <c r="K598" s="170"/>
      <c r="L598" s="170"/>
      <c r="M598" s="730"/>
      <c r="N598" s="730"/>
      <c r="O598" s="730"/>
      <c r="P598" s="731"/>
      <c r="Q598" s="731"/>
      <c r="R598" s="730"/>
      <c r="S598" s="730"/>
      <c r="T598" s="723"/>
      <c r="U598" s="724"/>
      <c r="V598" s="725"/>
      <c r="W598" s="725"/>
      <c r="X598" s="723"/>
      <c r="Y598" s="723"/>
      <c r="Z598" s="723"/>
      <c r="AA598" s="726"/>
      <c r="AB598" s="726"/>
      <c r="AC598" s="170"/>
      <c r="AD598" s="586"/>
      <c r="AE598" s="586"/>
      <c r="AF598" s="170"/>
      <c r="AG598" s="170"/>
      <c r="AH598" s="170"/>
      <c r="AI598" s="170"/>
      <c r="AJ598" s="170"/>
      <c r="AK598" s="170"/>
      <c r="AL598" s="170"/>
      <c r="AM598" s="170"/>
      <c r="AN598" s="170"/>
      <c r="AO598" s="170"/>
      <c r="AP598" s="170"/>
      <c r="AQ598" s="170"/>
      <c r="AR598" s="170"/>
      <c r="AS598" s="170"/>
    </row>
    <row r="599" spans="1:45" ht="15" x14ac:dyDescent="0.25">
      <c r="A599" s="170"/>
      <c r="B599" s="719"/>
      <c r="C599" s="170"/>
      <c r="D599" s="170"/>
      <c r="E599" s="170"/>
      <c r="F599" s="170"/>
      <c r="G599" s="721"/>
      <c r="H599" s="170"/>
      <c r="I599" s="170"/>
      <c r="J599" s="170"/>
      <c r="K599" s="170"/>
      <c r="L599" s="170"/>
      <c r="M599" s="730"/>
      <c r="N599" s="730"/>
      <c r="O599" s="730"/>
      <c r="P599" s="731"/>
      <c r="Q599" s="731"/>
      <c r="R599" s="730"/>
      <c r="S599" s="730"/>
      <c r="T599" s="723"/>
      <c r="U599" s="724"/>
      <c r="V599" s="725"/>
      <c r="W599" s="725"/>
      <c r="X599" s="723"/>
      <c r="Y599" s="723"/>
      <c r="Z599" s="723"/>
      <c r="AA599" s="726"/>
      <c r="AB599" s="726"/>
      <c r="AC599" s="170"/>
      <c r="AD599" s="586"/>
      <c r="AE599" s="586"/>
      <c r="AF599" s="170"/>
      <c r="AG599" s="170"/>
      <c r="AH599" s="170"/>
      <c r="AI599" s="170"/>
      <c r="AJ599" s="170"/>
      <c r="AK599" s="170"/>
      <c r="AL599" s="170"/>
      <c r="AM599" s="170"/>
      <c r="AN599" s="170"/>
      <c r="AO599" s="170"/>
      <c r="AP599" s="170"/>
      <c r="AQ599" s="170"/>
      <c r="AR599" s="170"/>
      <c r="AS599" s="170"/>
    </row>
    <row r="600" spans="1:45" ht="15" x14ac:dyDescent="0.25">
      <c r="A600" s="170"/>
      <c r="B600" s="719"/>
      <c r="C600" s="170"/>
      <c r="D600" s="170"/>
      <c r="E600" s="170"/>
      <c r="F600" s="170"/>
      <c r="G600" s="721"/>
      <c r="H600" s="170"/>
      <c r="I600" s="170"/>
      <c r="J600" s="170"/>
      <c r="K600" s="170"/>
      <c r="L600" s="170"/>
      <c r="M600" s="730"/>
      <c r="N600" s="730"/>
      <c r="O600" s="730"/>
      <c r="P600" s="731"/>
      <c r="Q600" s="731"/>
      <c r="R600" s="730"/>
      <c r="S600" s="730"/>
      <c r="T600" s="723"/>
      <c r="U600" s="724"/>
      <c r="V600" s="725"/>
      <c r="W600" s="725"/>
      <c r="X600" s="723"/>
      <c r="Y600" s="723"/>
      <c r="Z600" s="723"/>
      <c r="AA600" s="726"/>
      <c r="AB600" s="726"/>
      <c r="AC600" s="170"/>
      <c r="AD600" s="586"/>
      <c r="AE600" s="586"/>
      <c r="AF600" s="170"/>
      <c r="AG600" s="170"/>
      <c r="AH600" s="170"/>
      <c r="AI600" s="170"/>
      <c r="AJ600" s="170"/>
      <c r="AK600" s="170"/>
      <c r="AL600" s="170"/>
      <c r="AM600" s="170"/>
      <c r="AN600" s="170"/>
      <c r="AO600" s="170"/>
      <c r="AP600" s="170"/>
      <c r="AQ600" s="170"/>
      <c r="AR600" s="170"/>
      <c r="AS600" s="170"/>
    </row>
    <row r="601" spans="1:45" ht="15" x14ac:dyDescent="0.25">
      <c r="A601" s="170"/>
      <c r="B601" s="719"/>
      <c r="C601" s="170"/>
      <c r="D601" s="170"/>
      <c r="E601" s="170"/>
      <c r="F601" s="170"/>
      <c r="G601" s="721"/>
      <c r="H601" s="170"/>
      <c r="I601" s="170"/>
      <c r="J601" s="170"/>
      <c r="K601" s="170"/>
      <c r="L601" s="170"/>
      <c r="M601" s="730"/>
      <c r="N601" s="730"/>
      <c r="O601" s="730"/>
      <c r="P601" s="731"/>
      <c r="Q601" s="731"/>
      <c r="R601" s="730"/>
      <c r="S601" s="730"/>
      <c r="T601" s="723"/>
      <c r="U601" s="724"/>
      <c r="V601" s="725"/>
      <c r="W601" s="725"/>
      <c r="X601" s="723"/>
      <c r="Y601" s="723"/>
      <c r="Z601" s="723"/>
      <c r="AA601" s="726"/>
      <c r="AB601" s="726"/>
      <c r="AC601" s="170"/>
      <c r="AD601" s="586"/>
      <c r="AE601" s="586"/>
      <c r="AF601" s="170"/>
      <c r="AG601" s="170"/>
      <c r="AH601" s="170"/>
      <c r="AI601" s="170"/>
      <c r="AJ601" s="170"/>
      <c r="AK601" s="170"/>
      <c r="AL601" s="170"/>
      <c r="AM601" s="170"/>
      <c r="AN601" s="170"/>
      <c r="AO601" s="170"/>
      <c r="AP601" s="170"/>
      <c r="AQ601" s="170"/>
      <c r="AR601" s="170"/>
      <c r="AS601" s="170"/>
    </row>
    <row r="602" spans="1:45" ht="15" x14ac:dyDescent="0.25">
      <c r="A602" s="170"/>
      <c r="B602" s="719"/>
      <c r="C602" s="170"/>
      <c r="D602" s="170"/>
      <c r="E602" s="170"/>
      <c r="F602" s="170"/>
      <c r="G602" s="721"/>
      <c r="H602" s="170"/>
      <c r="I602" s="170"/>
      <c r="J602" s="170"/>
      <c r="K602" s="170"/>
      <c r="L602" s="170"/>
      <c r="M602" s="730"/>
      <c r="N602" s="730"/>
      <c r="O602" s="730"/>
      <c r="P602" s="731"/>
      <c r="Q602" s="731"/>
      <c r="R602" s="730"/>
      <c r="S602" s="730"/>
      <c r="T602" s="723"/>
      <c r="U602" s="724"/>
      <c r="V602" s="725"/>
      <c r="W602" s="725"/>
      <c r="X602" s="723"/>
      <c r="Y602" s="723"/>
      <c r="Z602" s="723"/>
      <c r="AA602" s="726"/>
      <c r="AB602" s="726"/>
      <c r="AC602" s="170"/>
      <c r="AD602" s="586"/>
      <c r="AE602" s="586"/>
      <c r="AF602" s="170"/>
      <c r="AG602" s="170"/>
      <c r="AH602" s="170"/>
      <c r="AI602" s="170"/>
      <c r="AJ602" s="170"/>
      <c r="AK602" s="170"/>
      <c r="AL602" s="170"/>
      <c r="AM602" s="170"/>
      <c r="AN602" s="170"/>
      <c r="AO602" s="170"/>
      <c r="AP602" s="170"/>
      <c r="AQ602" s="170"/>
      <c r="AR602" s="170"/>
      <c r="AS602" s="170"/>
    </row>
    <row r="603" spans="1:45" ht="15" x14ac:dyDescent="0.25">
      <c r="A603" s="170"/>
      <c r="B603" s="719"/>
      <c r="C603" s="170"/>
      <c r="D603" s="170"/>
      <c r="E603" s="170"/>
      <c r="F603" s="170"/>
      <c r="G603" s="721"/>
      <c r="H603" s="170"/>
      <c r="I603" s="170"/>
      <c r="J603" s="170"/>
      <c r="K603" s="170"/>
      <c r="L603" s="170"/>
      <c r="M603" s="730"/>
      <c r="N603" s="730"/>
      <c r="O603" s="730"/>
      <c r="P603" s="731"/>
      <c r="Q603" s="731"/>
      <c r="R603" s="730"/>
      <c r="S603" s="730"/>
      <c r="T603" s="723"/>
      <c r="U603" s="724"/>
      <c r="V603" s="725"/>
      <c r="W603" s="725"/>
      <c r="X603" s="723"/>
      <c r="Y603" s="723"/>
      <c r="Z603" s="723"/>
      <c r="AA603" s="726"/>
      <c r="AB603" s="726"/>
      <c r="AC603" s="170"/>
      <c r="AD603" s="586"/>
      <c r="AE603" s="586"/>
      <c r="AF603" s="170"/>
      <c r="AG603" s="170"/>
      <c r="AH603" s="170"/>
      <c r="AI603" s="170"/>
      <c r="AJ603" s="170"/>
      <c r="AK603" s="170"/>
      <c r="AL603" s="170"/>
      <c r="AM603" s="170"/>
      <c r="AN603" s="170"/>
      <c r="AO603" s="170"/>
      <c r="AP603" s="170"/>
      <c r="AQ603" s="170"/>
      <c r="AR603" s="170"/>
      <c r="AS603" s="170"/>
    </row>
    <row r="604" spans="1:45" ht="15" x14ac:dyDescent="0.25">
      <c r="A604" s="170"/>
      <c r="B604" s="719"/>
      <c r="C604" s="170"/>
      <c r="D604" s="170"/>
      <c r="E604" s="170"/>
      <c r="F604" s="170"/>
      <c r="G604" s="721"/>
      <c r="H604" s="170"/>
      <c r="I604" s="170"/>
      <c r="J604" s="170"/>
      <c r="K604" s="170"/>
      <c r="L604" s="170"/>
      <c r="M604" s="730"/>
      <c r="N604" s="730"/>
      <c r="O604" s="730"/>
      <c r="P604" s="731"/>
      <c r="Q604" s="731"/>
      <c r="R604" s="730"/>
      <c r="S604" s="730"/>
      <c r="T604" s="723"/>
      <c r="U604" s="724"/>
      <c r="V604" s="725"/>
      <c r="W604" s="725"/>
      <c r="X604" s="723"/>
      <c r="Y604" s="723"/>
      <c r="Z604" s="723"/>
      <c r="AA604" s="726"/>
      <c r="AB604" s="726"/>
      <c r="AC604" s="170"/>
      <c r="AD604" s="586"/>
      <c r="AE604" s="586"/>
      <c r="AF604" s="170"/>
      <c r="AG604" s="170"/>
      <c r="AH604" s="170"/>
      <c r="AI604" s="170"/>
      <c r="AJ604" s="170"/>
      <c r="AK604" s="170"/>
      <c r="AL604" s="170"/>
      <c r="AM604" s="170"/>
      <c r="AN604" s="170"/>
      <c r="AO604" s="170"/>
      <c r="AP604" s="170"/>
      <c r="AQ604" s="170"/>
      <c r="AR604" s="170"/>
      <c r="AS604" s="170"/>
    </row>
    <row r="605" spans="1:45" ht="15" x14ac:dyDescent="0.25">
      <c r="A605" s="170"/>
      <c r="B605" s="719"/>
      <c r="C605" s="170"/>
      <c r="D605" s="170"/>
      <c r="E605" s="170"/>
      <c r="F605" s="170"/>
      <c r="G605" s="721"/>
      <c r="H605" s="170"/>
      <c r="I605" s="170"/>
      <c r="J605" s="170"/>
      <c r="K605" s="170"/>
      <c r="L605" s="170"/>
      <c r="M605" s="730"/>
      <c r="N605" s="730"/>
      <c r="O605" s="730"/>
      <c r="P605" s="731"/>
      <c r="Q605" s="731"/>
      <c r="R605" s="730"/>
      <c r="S605" s="730"/>
      <c r="T605" s="723"/>
      <c r="U605" s="724"/>
      <c r="V605" s="725"/>
      <c r="W605" s="725"/>
      <c r="X605" s="723"/>
      <c r="Y605" s="723"/>
      <c r="Z605" s="723"/>
      <c r="AA605" s="726"/>
      <c r="AB605" s="726"/>
      <c r="AC605" s="170"/>
      <c r="AD605" s="586"/>
      <c r="AE605" s="586"/>
      <c r="AF605" s="170"/>
      <c r="AG605" s="170"/>
      <c r="AH605" s="170"/>
      <c r="AI605" s="170"/>
      <c r="AJ605" s="170"/>
      <c r="AK605" s="170"/>
      <c r="AL605" s="170"/>
      <c r="AM605" s="170"/>
      <c r="AN605" s="170"/>
      <c r="AO605" s="170"/>
      <c r="AP605" s="170"/>
      <c r="AQ605" s="170"/>
      <c r="AR605" s="170"/>
      <c r="AS605" s="170"/>
    </row>
    <row r="606" spans="1:45" ht="15" x14ac:dyDescent="0.25">
      <c r="A606" s="170"/>
      <c r="B606" s="719"/>
      <c r="C606" s="170"/>
      <c r="D606" s="170"/>
      <c r="E606" s="170"/>
      <c r="F606" s="170"/>
      <c r="G606" s="721"/>
      <c r="H606" s="170"/>
      <c r="I606" s="170"/>
      <c r="J606" s="170"/>
      <c r="K606" s="170"/>
      <c r="L606" s="170"/>
      <c r="M606" s="730"/>
      <c r="N606" s="730"/>
      <c r="O606" s="730"/>
      <c r="P606" s="731"/>
      <c r="Q606" s="731"/>
      <c r="R606" s="730"/>
      <c r="S606" s="730"/>
      <c r="T606" s="723"/>
      <c r="U606" s="724"/>
      <c r="V606" s="725"/>
      <c r="W606" s="725"/>
      <c r="X606" s="723"/>
      <c r="Y606" s="723"/>
      <c r="Z606" s="723"/>
      <c r="AA606" s="726"/>
      <c r="AB606" s="726"/>
      <c r="AC606" s="170"/>
      <c r="AD606" s="586"/>
      <c r="AE606" s="586"/>
      <c r="AF606" s="170"/>
      <c r="AG606" s="170"/>
      <c r="AH606" s="170"/>
      <c r="AI606" s="170"/>
      <c r="AJ606" s="170"/>
      <c r="AK606" s="170"/>
      <c r="AL606" s="170"/>
      <c r="AM606" s="170"/>
      <c r="AN606" s="170"/>
      <c r="AO606" s="170"/>
      <c r="AP606" s="170"/>
      <c r="AQ606" s="170"/>
      <c r="AR606" s="170"/>
      <c r="AS606" s="170"/>
    </row>
    <row r="607" spans="1:45" ht="15" x14ac:dyDescent="0.25">
      <c r="A607" s="170"/>
      <c r="B607" s="719"/>
      <c r="C607" s="170"/>
      <c r="D607" s="170"/>
      <c r="E607" s="170"/>
      <c r="F607" s="170"/>
      <c r="G607" s="721"/>
      <c r="H607" s="170"/>
      <c r="I607" s="170"/>
      <c r="J607" s="170"/>
      <c r="K607" s="170"/>
      <c r="L607" s="170"/>
      <c r="M607" s="730"/>
      <c r="N607" s="730"/>
      <c r="O607" s="730"/>
      <c r="P607" s="731"/>
      <c r="Q607" s="731"/>
      <c r="R607" s="730"/>
      <c r="S607" s="730"/>
      <c r="T607" s="723"/>
      <c r="U607" s="724"/>
      <c r="V607" s="725"/>
      <c r="W607" s="725"/>
      <c r="X607" s="723"/>
      <c r="Y607" s="723"/>
      <c r="Z607" s="723"/>
      <c r="AA607" s="726"/>
      <c r="AB607" s="726"/>
      <c r="AC607" s="170"/>
      <c r="AD607" s="586"/>
      <c r="AE607" s="586"/>
      <c r="AF607" s="170"/>
      <c r="AG607" s="170"/>
      <c r="AH607" s="170"/>
      <c r="AI607" s="170"/>
      <c r="AJ607" s="170"/>
      <c r="AK607" s="170"/>
      <c r="AL607" s="170"/>
      <c r="AM607" s="170"/>
      <c r="AN607" s="170"/>
      <c r="AO607" s="170"/>
      <c r="AP607" s="170"/>
      <c r="AQ607" s="170"/>
      <c r="AR607" s="170"/>
      <c r="AS607" s="170"/>
    </row>
    <row r="608" spans="1:45" ht="15" x14ac:dyDescent="0.25">
      <c r="A608" s="170"/>
      <c r="B608" s="719"/>
      <c r="C608" s="170"/>
      <c r="D608" s="170"/>
      <c r="E608" s="170"/>
      <c r="F608" s="170"/>
      <c r="G608" s="721"/>
      <c r="H608" s="170"/>
      <c r="I608" s="170"/>
      <c r="J608" s="170"/>
      <c r="K608" s="170"/>
      <c r="L608" s="170"/>
      <c r="M608" s="730"/>
      <c r="N608" s="730"/>
      <c r="O608" s="730"/>
      <c r="P608" s="731"/>
      <c r="Q608" s="731"/>
      <c r="R608" s="730"/>
      <c r="S608" s="730"/>
      <c r="T608" s="723"/>
      <c r="U608" s="724"/>
      <c r="V608" s="725"/>
      <c r="W608" s="725"/>
      <c r="X608" s="723"/>
      <c r="Y608" s="723"/>
      <c r="Z608" s="723"/>
      <c r="AA608" s="726"/>
      <c r="AB608" s="726"/>
      <c r="AC608" s="170"/>
      <c r="AD608" s="586"/>
      <c r="AE608" s="586"/>
      <c r="AF608" s="170"/>
      <c r="AG608" s="170"/>
      <c r="AH608" s="170"/>
      <c r="AI608" s="170"/>
      <c r="AJ608" s="170"/>
      <c r="AK608" s="170"/>
      <c r="AL608" s="170"/>
      <c r="AM608" s="170"/>
      <c r="AN608" s="170"/>
      <c r="AO608" s="170"/>
      <c r="AP608" s="170"/>
      <c r="AQ608" s="170"/>
      <c r="AR608" s="170"/>
      <c r="AS608" s="170"/>
    </row>
    <row r="609" spans="1:45" ht="15" x14ac:dyDescent="0.25">
      <c r="A609" s="170"/>
      <c r="B609" s="719"/>
      <c r="C609" s="170"/>
      <c r="D609" s="170"/>
      <c r="E609" s="170"/>
      <c r="F609" s="170"/>
      <c r="G609" s="721"/>
      <c r="H609" s="170"/>
      <c r="I609" s="170"/>
      <c r="J609" s="170"/>
      <c r="K609" s="170"/>
      <c r="L609" s="170"/>
      <c r="M609" s="730"/>
      <c r="N609" s="730"/>
      <c r="O609" s="730"/>
      <c r="P609" s="731"/>
      <c r="Q609" s="731"/>
      <c r="R609" s="730"/>
      <c r="S609" s="730"/>
      <c r="T609" s="723"/>
      <c r="U609" s="724"/>
      <c r="V609" s="725"/>
      <c r="W609" s="725"/>
      <c r="X609" s="723"/>
      <c r="Y609" s="723"/>
      <c r="Z609" s="723"/>
      <c r="AA609" s="726"/>
      <c r="AB609" s="726"/>
      <c r="AC609" s="170"/>
      <c r="AD609" s="586"/>
      <c r="AE609" s="586"/>
      <c r="AF609" s="170"/>
      <c r="AG609" s="170"/>
      <c r="AH609" s="170"/>
      <c r="AI609" s="170"/>
      <c r="AJ609" s="170"/>
      <c r="AK609" s="170"/>
      <c r="AL609" s="170"/>
      <c r="AM609" s="170"/>
      <c r="AN609" s="170"/>
      <c r="AO609" s="170"/>
      <c r="AP609" s="170"/>
      <c r="AQ609" s="170"/>
      <c r="AR609" s="170"/>
      <c r="AS609" s="170"/>
    </row>
    <row r="610" spans="1:45" ht="15" x14ac:dyDescent="0.25">
      <c r="A610" s="170"/>
      <c r="B610" s="719"/>
      <c r="C610" s="170"/>
      <c r="D610" s="170"/>
      <c r="E610" s="170"/>
      <c r="F610" s="170"/>
      <c r="G610" s="721"/>
      <c r="H610" s="170"/>
      <c r="I610" s="170"/>
      <c r="J610" s="170"/>
      <c r="K610" s="170"/>
      <c r="L610" s="170"/>
      <c r="M610" s="730"/>
      <c r="N610" s="730"/>
      <c r="O610" s="730"/>
      <c r="P610" s="731"/>
      <c r="Q610" s="731"/>
      <c r="R610" s="730"/>
      <c r="S610" s="730"/>
      <c r="T610" s="723"/>
      <c r="U610" s="724"/>
      <c r="V610" s="725"/>
      <c r="W610" s="725"/>
      <c r="X610" s="723"/>
      <c r="Y610" s="723"/>
      <c r="Z610" s="723"/>
      <c r="AA610" s="726"/>
      <c r="AB610" s="726"/>
      <c r="AC610" s="170"/>
      <c r="AD610" s="586"/>
      <c r="AE610" s="586"/>
      <c r="AF610" s="170"/>
      <c r="AG610" s="170"/>
      <c r="AH610" s="170"/>
      <c r="AI610" s="170"/>
      <c r="AJ610" s="170"/>
      <c r="AK610" s="170"/>
      <c r="AL610" s="170"/>
      <c r="AM610" s="170"/>
      <c r="AN610" s="170"/>
      <c r="AO610" s="170"/>
      <c r="AP610" s="170"/>
      <c r="AQ610" s="170"/>
      <c r="AR610" s="170"/>
      <c r="AS610" s="170"/>
    </row>
    <row r="611" spans="1:45" ht="15" x14ac:dyDescent="0.25">
      <c r="A611" s="170"/>
      <c r="B611" s="719"/>
      <c r="C611" s="170"/>
      <c r="D611" s="170"/>
      <c r="E611" s="170"/>
      <c r="F611" s="170"/>
      <c r="G611" s="721"/>
      <c r="H611" s="170"/>
      <c r="I611" s="170"/>
      <c r="J611" s="170"/>
      <c r="K611" s="170"/>
      <c r="L611" s="170"/>
      <c r="M611" s="730"/>
      <c r="N611" s="730"/>
      <c r="O611" s="730"/>
      <c r="P611" s="731"/>
      <c r="Q611" s="731"/>
      <c r="R611" s="730"/>
      <c r="S611" s="730"/>
      <c r="T611" s="723"/>
      <c r="U611" s="724"/>
      <c r="V611" s="725"/>
      <c r="W611" s="725"/>
      <c r="X611" s="723"/>
      <c r="Y611" s="723"/>
      <c r="Z611" s="723"/>
      <c r="AA611" s="726"/>
      <c r="AB611" s="726"/>
      <c r="AC611" s="170"/>
      <c r="AD611" s="586"/>
      <c r="AE611" s="586"/>
      <c r="AF611" s="170"/>
      <c r="AG611" s="170"/>
      <c r="AH611" s="170"/>
      <c r="AI611" s="170"/>
      <c r="AJ611" s="170"/>
      <c r="AK611" s="170"/>
      <c r="AL611" s="170"/>
      <c r="AM611" s="170"/>
      <c r="AN611" s="170"/>
      <c r="AO611" s="170"/>
      <c r="AP611" s="170"/>
      <c r="AQ611" s="170"/>
      <c r="AR611" s="170"/>
      <c r="AS611" s="170"/>
    </row>
    <row r="612" spans="1:45" ht="15" x14ac:dyDescent="0.25">
      <c r="A612" s="170"/>
      <c r="B612" s="719"/>
      <c r="C612" s="170"/>
      <c r="D612" s="170"/>
      <c r="E612" s="170"/>
      <c r="F612" s="170"/>
      <c r="G612" s="721"/>
      <c r="H612" s="170"/>
      <c r="I612" s="170"/>
      <c r="J612" s="170"/>
      <c r="K612" s="170"/>
      <c r="L612" s="170"/>
      <c r="M612" s="730"/>
      <c r="N612" s="730"/>
      <c r="O612" s="730"/>
      <c r="P612" s="731"/>
      <c r="Q612" s="731"/>
      <c r="R612" s="730"/>
      <c r="S612" s="730"/>
      <c r="T612" s="723"/>
      <c r="U612" s="724"/>
      <c r="V612" s="725"/>
      <c r="W612" s="725"/>
      <c r="X612" s="723"/>
      <c r="Y612" s="723"/>
      <c r="Z612" s="723"/>
      <c r="AA612" s="726"/>
      <c r="AB612" s="726"/>
      <c r="AC612" s="170"/>
      <c r="AD612" s="586"/>
      <c r="AE612" s="586"/>
      <c r="AF612" s="170"/>
      <c r="AG612" s="170"/>
      <c r="AH612" s="170"/>
      <c r="AI612" s="170"/>
      <c r="AJ612" s="170"/>
      <c r="AK612" s="170"/>
      <c r="AL612" s="170"/>
      <c r="AM612" s="170"/>
      <c r="AN612" s="170"/>
      <c r="AO612" s="170"/>
      <c r="AP612" s="170"/>
      <c r="AQ612" s="170"/>
      <c r="AR612" s="170"/>
      <c r="AS612" s="170"/>
    </row>
    <row r="613" spans="1:45" ht="15" x14ac:dyDescent="0.25">
      <c r="A613" s="170"/>
      <c r="B613" s="719"/>
      <c r="C613" s="170"/>
      <c r="D613" s="170"/>
      <c r="E613" s="170"/>
      <c r="F613" s="170"/>
      <c r="G613" s="721"/>
      <c r="H613" s="170"/>
      <c r="I613" s="170"/>
      <c r="J613" s="170"/>
      <c r="K613" s="170"/>
      <c r="L613" s="170"/>
      <c r="M613" s="730"/>
      <c r="N613" s="730"/>
      <c r="O613" s="730"/>
      <c r="P613" s="731"/>
      <c r="Q613" s="731"/>
      <c r="R613" s="730"/>
      <c r="S613" s="730"/>
      <c r="T613" s="723"/>
      <c r="U613" s="724"/>
      <c r="V613" s="725"/>
      <c r="W613" s="725"/>
      <c r="X613" s="723"/>
      <c r="Y613" s="723"/>
      <c r="Z613" s="723"/>
      <c r="AA613" s="726"/>
      <c r="AB613" s="726"/>
      <c r="AC613" s="170"/>
      <c r="AD613" s="586"/>
      <c r="AE613" s="586"/>
      <c r="AF613" s="170"/>
      <c r="AG613" s="170"/>
      <c r="AH613" s="170"/>
      <c r="AI613" s="170"/>
      <c r="AJ613" s="170"/>
      <c r="AK613" s="170"/>
      <c r="AL613" s="170"/>
      <c r="AM613" s="170"/>
      <c r="AN613" s="170"/>
      <c r="AO613" s="170"/>
      <c r="AP613" s="170"/>
      <c r="AQ613" s="170"/>
      <c r="AR613" s="170"/>
      <c r="AS613" s="170"/>
    </row>
    <row r="614" spans="1:45" ht="15" x14ac:dyDescent="0.25">
      <c r="A614" s="170"/>
      <c r="B614" s="719"/>
      <c r="C614" s="170"/>
      <c r="D614" s="170"/>
      <c r="E614" s="170"/>
      <c r="F614" s="170"/>
      <c r="G614" s="721"/>
      <c r="H614" s="170"/>
      <c r="I614" s="170"/>
      <c r="J614" s="170"/>
      <c r="K614" s="170"/>
      <c r="L614" s="170"/>
      <c r="M614" s="730"/>
      <c r="N614" s="730"/>
      <c r="O614" s="730"/>
      <c r="P614" s="731"/>
      <c r="Q614" s="731"/>
      <c r="R614" s="730"/>
      <c r="S614" s="730"/>
      <c r="T614" s="723"/>
      <c r="U614" s="724"/>
      <c r="V614" s="725"/>
      <c r="W614" s="725"/>
      <c r="X614" s="723"/>
      <c r="Y614" s="723"/>
      <c r="Z614" s="723"/>
      <c r="AA614" s="726"/>
      <c r="AB614" s="726"/>
      <c r="AC614" s="170"/>
      <c r="AD614" s="586"/>
      <c r="AE614" s="586"/>
      <c r="AF614" s="170"/>
      <c r="AG614" s="170"/>
      <c r="AH614" s="170"/>
      <c r="AI614" s="170"/>
      <c r="AJ614" s="170"/>
      <c r="AK614" s="170"/>
      <c r="AL614" s="170"/>
      <c r="AM614" s="170"/>
      <c r="AN614" s="170"/>
      <c r="AO614" s="170"/>
      <c r="AP614" s="170"/>
      <c r="AQ614" s="170"/>
      <c r="AR614" s="170"/>
      <c r="AS614" s="170"/>
    </row>
    <row r="615" spans="1:45" ht="15" x14ac:dyDescent="0.25">
      <c r="A615" s="170"/>
      <c r="B615" s="719"/>
      <c r="C615" s="170"/>
      <c r="D615" s="170"/>
      <c r="E615" s="170"/>
      <c r="F615" s="170"/>
      <c r="G615" s="721"/>
      <c r="H615" s="170"/>
      <c r="I615" s="170"/>
      <c r="J615" s="170"/>
      <c r="K615" s="170"/>
      <c r="L615" s="170"/>
      <c r="M615" s="730"/>
      <c r="N615" s="730"/>
      <c r="O615" s="730"/>
      <c r="P615" s="731"/>
      <c r="Q615" s="731"/>
      <c r="R615" s="730"/>
      <c r="S615" s="730"/>
      <c r="T615" s="723"/>
      <c r="U615" s="724"/>
      <c r="V615" s="725"/>
      <c r="W615" s="725"/>
      <c r="X615" s="723"/>
      <c r="Y615" s="723"/>
      <c r="Z615" s="723"/>
      <c r="AA615" s="726"/>
      <c r="AB615" s="726"/>
      <c r="AC615" s="170"/>
      <c r="AD615" s="586"/>
      <c r="AE615" s="586"/>
      <c r="AF615" s="170"/>
      <c r="AG615" s="170"/>
      <c r="AH615" s="170"/>
      <c r="AI615" s="170"/>
      <c r="AJ615" s="170"/>
      <c r="AK615" s="170"/>
      <c r="AL615" s="170"/>
      <c r="AM615" s="170"/>
      <c r="AN615" s="170"/>
      <c r="AO615" s="170"/>
      <c r="AP615" s="170"/>
      <c r="AQ615" s="170"/>
      <c r="AR615" s="170"/>
      <c r="AS615" s="170"/>
    </row>
    <row r="616" spans="1:45" ht="15" x14ac:dyDescent="0.25">
      <c r="A616" s="170"/>
      <c r="B616" s="719"/>
      <c r="C616" s="170"/>
      <c r="D616" s="170"/>
      <c r="E616" s="170"/>
      <c r="F616" s="170"/>
      <c r="G616" s="721"/>
      <c r="H616" s="170"/>
      <c r="I616" s="170"/>
      <c r="J616" s="170"/>
      <c r="K616" s="170"/>
      <c r="L616" s="170"/>
      <c r="M616" s="730"/>
      <c r="N616" s="730"/>
      <c r="O616" s="730"/>
      <c r="P616" s="731"/>
      <c r="Q616" s="731"/>
      <c r="R616" s="730"/>
      <c r="S616" s="730"/>
      <c r="T616" s="723"/>
      <c r="U616" s="724"/>
      <c r="V616" s="725"/>
      <c r="W616" s="725"/>
      <c r="X616" s="723"/>
      <c r="Y616" s="723"/>
      <c r="Z616" s="723"/>
      <c r="AA616" s="726"/>
      <c r="AB616" s="726"/>
      <c r="AC616" s="170"/>
      <c r="AD616" s="586"/>
      <c r="AE616" s="586"/>
      <c r="AF616" s="170"/>
      <c r="AG616" s="170"/>
      <c r="AH616" s="170"/>
      <c r="AI616" s="170"/>
      <c r="AJ616" s="170"/>
      <c r="AK616" s="170"/>
      <c r="AL616" s="170"/>
      <c r="AM616" s="170"/>
      <c r="AN616" s="170"/>
      <c r="AO616" s="170"/>
      <c r="AP616" s="170"/>
      <c r="AQ616" s="170"/>
      <c r="AR616" s="170"/>
      <c r="AS616" s="170"/>
    </row>
    <row r="617" spans="1:45" ht="15" x14ac:dyDescent="0.25">
      <c r="A617" s="170"/>
      <c r="B617" s="719"/>
      <c r="C617" s="170"/>
      <c r="D617" s="170"/>
      <c r="E617" s="170"/>
      <c r="F617" s="170"/>
      <c r="G617" s="721"/>
      <c r="H617" s="170"/>
      <c r="I617" s="170"/>
      <c r="J617" s="170"/>
      <c r="K617" s="170"/>
      <c r="L617" s="170"/>
      <c r="M617" s="730"/>
      <c r="N617" s="730"/>
      <c r="O617" s="730"/>
      <c r="P617" s="731"/>
      <c r="Q617" s="731"/>
      <c r="R617" s="730"/>
      <c r="S617" s="730"/>
      <c r="T617" s="723"/>
      <c r="U617" s="724"/>
      <c r="V617" s="725"/>
      <c r="W617" s="725"/>
      <c r="X617" s="723"/>
      <c r="Y617" s="723"/>
      <c r="Z617" s="723"/>
      <c r="AA617" s="726"/>
      <c r="AB617" s="726"/>
      <c r="AC617" s="170"/>
      <c r="AD617" s="586"/>
      <c r="AE617" s="586"/>
      <c r="AF617" s="170"/>
      <c r="AG617" s="170"/>
      <c r="AH617" s="170"/>
      <c r="AI617" s="170"/>
      <c r="AJ617" s="170"/>
      <c r="AK617" s="170"/>
      <c r="AL617" s="170"/>
      <c r="AM617" s="170"/>
      <c r="AN617" s="170"/>
      <c r="AO617" s="170"/>
      <c r="AP617" s="170"/>
      <c r="AQ617" s="170"/>
      <c r="AR617" s="170"/>
      <c r="AS617" s="170"/>
    </row>
    <row r="618" spans="1:45" ht="15" x14ac:dyDescent="0.25">
      <c r="A618" s="170"/>
      <c r="B618" s="719"/>
      <c r="C618" s="170"/>
      <c r="D618" s="170"/>
      <c r="E618" s="170"/>
      <c r="F618" s="170"/>
      <c r="G618" s="721"/>
      <c r="H618" s="170"/>
      <c r="I618" s="170"/>
      <c r="J618" s="170"/>
      <c r="K618" s="170"/>
      <c r="L618" s="170"/>
      <c r="M618" s="730"/>
      <c r="N618" s="730"/>
      <c r="O618" s="730"/>
      <c r="P618" s="731"/>
      <c r="Q618" s="731"/>
      <c r="R618" s="730"/>
      <c r="S618" s="730"/>
      <c r="T618" s="723"/>
      <c r="U618" s="724"/>
      <c r="V618" s="725"/>
      <c r="W618" s="725"/>
      <c r="X618" s="723"/>
      <c r="Y618" s="723"/>
      <c r="Z618" s="723"/>
      <c r="AA618" s="726"/>
      <c r="AB618" s="726"/>
      <c r="AC618" s="170"/>
      <c r="AD618" s="586"/>
      <c r="AE618" s="586"/>
      <c r="AF618" s="170"/>
      <c r="AG618" s="170"/>
      <c r="AH618" s="170"/>
      <c r="AI618" s="170"/>
      <c r="AJ618" s="170"/>
      <c r="AK618" s="170"/>
      <c r="AL618" s="170"/>
      <c r="AM618" s="170"/>
      <c r="AN618" s="170"/>
      <c r="AO618" s="170"/>
      <c r="AP618" s="170"/>
      <c r="AQ618" s="170"/>
      <c r="AR618" s="170"/>
      <c r="AS618" s="170"/>
    </row>
    <row r="619" spans="1:45" ht="15" x14ac:dyDescent="0.25">
      <c r="A619" s="170"/>
      <c r="B619" s="719"/>
      <c r="C619" s="170"/>
      <c r="D619" s="170"/>
      <c r="E619" s="170"/>
      <c r="F619" s="170"/>
      <c r="G619" s="721"/>
      <c r="H619" s="170"/>
      <c r="I619" s="170"/>
      <c r="J619" s="170"/>
      <c r="K619" s="170"/>
      <c r="L619" s="170"/>
      <c r="M619" s="730"/>
      <c r="N619" s="730"/>
      <c r="O619" s="730"/>
      <c r="P619" s="731"/>
      <c r="Q619" s="731"/>
      <c r="R619" s="730"/>
      <c r="S619" s="730"/>
      <c r="T619" s="723"/>
      <c r="U619" s="724"/>
      <c r="V619" s="725"/>
      <c r="W619" s="725"/>
      <c r="X619" s="723"/>
      <c r="Y619" s="723"/>
      <c r="Z619" s="723"/>
      <c r="AA619" s="726"/>
      <c r="AB619" s="726"/>
      <c r="AC619" s="170"/>
      <c r="AD619" s="586"/>
      <c r="AE619" s="586"/>
      <c r="AF619" s="170"/>
      <c r="AG619" s="170"/>
      <c r="AH619" s="170"/>
      <c r="AI619" s="170"/>
      <c r="AJ619" s="170"/>
      <c r="AK619" s="170"/>
      <c r="AL619" s="170"/>
      <c r="AM619" s="170"/>
      <c r="AN619" s="170"/>
      <c r="AO619" s="170"/>
      <c r="AP619" s="170"/>
      <c r="AQ619" s="170"/>
      <c r="AR619" s="170"/>
      <c r="AS619" s="170"/>
    </row>
    <row r="620" spans="1:45" ht="15" x14ac:dyDescent="0.25">
      <c r="A620" s="170"/>
      <c r="B620" s="719"/>
      <c r="C620" s="170"/>
      <c r="D620" s="170"/>
      <c r="E620" s="170"/>
      <c r="F620" s="170"/>
      <c r="G620" s="721"/>
      <c r="H620" s="170"/>
      <c r="I620" s="170"/>
      <c r="J620" s="170"/>
      <c r="K620" s="170"/>
      <c r="L620" s="170"/>
      <c r="M620" s="730"/>
      <c r="N620" s="730"/>
      <c r="O620" s="730"/>
      <c r="P620" s="731"/>
      <c r="Q620" s="731"/>
      <c r="R620" s="730"/>
      <c r="S620" s="730"/>
      <c r="T620" s="723"/>
      <c r="U620" s="724"/>
      <c r="V620" s="725"/>
      <c r="W620" s="725"/>
      <c r="X620" s="723"/>
      <c r="Y620" s="723"/>
      <c r="Z620" s="723"/>
      <c r="AA620" s="726"/>
      <c r="AB620" s="726"/>
      <c r="AC620" s="170"/>
      <c r="AD620" s="586"/>
      <c r="AE620" s="586"/>
      <c r="AF620" s="170"/>
      <c r="AG620" s="170"/>
      <c r="AH620" s="170"/>
      <c r="AI620" s="170"/>
      <c r="AJ620" s="170"/>
      <c r="AK620" s="170"/>
      <c r="AL620" s="170"/>
      <c r="AM620" s="170"/>
      <c r="AN620" s="170"/>
      <c r="AO620" s="170"/>
      <c r="AP620" s="170"/>
      <c r="AQ620" s="170"/>
      <c r="AR620" s="170"/>
      <c r="AS620" s="170"/>
    </row>
    <row r="621" spans="1:45" ht="15" x14ac:dyDescent="0.25">
      <c r="A621" s="170"/>
      <c r="B621" s="719"/>
      <c r="C621" s="170"/>
      <c r="D621" s="170"/>
      <c r="E621" s="170"/>
      <c r="F621" s="170"/>
      <c r="G621" s="721"/>
      <c r="H621" s="170"/>
      <c r="I621" s="170"/>
      <c r="J621" s="170"/>
      <c r="K621" s="170"/>
      <c r="L621" s="170"/>
      <c r="M621" s="730"/>
      <c r="N621" s="730"/>
      <c r="O621" s="730"/>
      <c r="P621" s="731"/>
      <c r="Q621" s="731"/>
      <c r="R621" s="730"/>
      <c r="S621" s="730"/>
      <c r="T621" s="723"/>
      <c r="U621" s="724"/>
      <c r="V621" s="725"/>
      <c r="W621" s="725"/>
      <c r="X621" s="723"/>
      <c r="Y621" s="723"/>
      <c r="Z621" s="723"/>
      <c r="AA621" s="726"/>
      <c r="AB621" s="726"/>
      <c r="AC621" s="170"/>
      <c r="AD621" s="586"/>
      <c r="AE621" s="586"/>
      <c r="AF621" s="170"/>
      <c r="AG621" s="170"/>
      <c r="AH621" s="170"/>
      <c r="AI621" s="170"/>
      <c r="AJ621" s="170"/>
      <c r="AK621" s="170"/>
      <c r="AL621" s="170"/>
      <c r="AM621" s="170"/>
      <c r="AN621" s="170"/>
      <c r="AO621" s="170"/>
      <c r="AP621" s="170"/>
      <c r="AQ621" s="170"/>
      <c r="AR621" s="170"/>
      <c r="AS621" s="170"/>
    </row>
    <row r="622" spans="1:45" ht="15" x14ac:dyDescent="0.25">
      <c r="A622" s="170"/>
      <c r="B622" s="719"/>
      <c r="C622" s="170"/>
      <c r="D622" s="170"/>
      <c r="E622" s="170"/>
      <c r="F622" s="170"/>
      <c r="G622" s="721"/>
      <c r="H622" s="170"/>
      <c r="I622" s="170"/>
      <c r="J622" s="170"/>
      <c r="K622" s="170"/>
      <c r="L622" s="170"/>
      <c r="M622" s="730"/>
      <c r="N622" s="730"/>
      <c r="O622" s="730"/>
      <c r="P622" s="731"/>
      <c r="Q622" s="731"/>
      <c r="R622" s="730"/>
      <c r="S622" s="730"/>
      <c r="T622" s="723"/>
      <c r="U622" s="724"/>
      <c r="V622" s="725"/>
      <c r="W622" s="725"/>
      <c r="X622" s="723"/>
      <c r="Y622" s="723"/>
      <c r="Z622" s="723"/>
      <c r="AA622" s="726"/>
      <c r="AB622" s="726"/>
      <c r="AC622" s="170"/>
      <c r="AD622" s="586"/>
      <c r="AE622" s="586"/>
      <c r="AF622" s="170"/>
      <c r="AG622" s="170"/>
      <c r="AH622" s="170"/>
      <c r="AI622" s="170"/>
      <c r="AJ622" s="170"/>
      <c r="AK622" s="170"/>
      <c r="AL622" s="170"/>
      <c r="AM622" s="170"/>
      <c r="AN622" s="170"/>
      <c r="AO622" s="170"/>
      <c r="AP622" s="170"/>
      <c r="AQ622" s="170"/>
      <c r="AR622" s="170"/>
      <c r="AS622" s="170"/>
    </row>
    <row r="623" spans="1:45" ht="15" x14ac:dyDescent="0.25">
      <c r="A623" s="170"/>
      <c r="B623" s="719"/>
      <c r="C623" s="170"/>
      <c r="D623" s="170"/>
      <c r="E623" s="170"/>
      <c r="F623" s="170"/>
      <c r="G623" s="721"/>
      <c r="H623" s="170"/>
      <c r="I623" s="170"/>
      <c r="J623" s="170"/>
      <c r="K623" s="170"/>
      <c r="L623" s="170"/>
      <c r="M623" s="730"/>
      <c r="N623" s="730"/>
      <c r="O623" s="730"/>
      <c r="P623" s="731"/>
      <c r="Q623" s="731"/>
      <c r="R623" s="730"/>
      <c r="S623" s="730"/>
      <c r="T623" s="723"/>
      <c r="U623" s="724"/>
      <c r="V623" s="725"/>
      <c r="W623" s="725"/>
      <c r="X623" s="723"/>
      <c r="Y623" s="723"/>
      <c r="Z623" s="723"/>
      <c r="AA623" s="726"/>
      <c r="AB623" s="726"/>
      <c r="AC623" s="170"/>
      <c r="AD623" s="586"/>
      <c r="AE623" s="586"/>
      <c r="AF623" s="170"/>
      <c r="AG623" s="170"/>
      <c r="AH623" s="170"/>
      <c r="AI623" s="170"/>
      <c r="AJ623" s="170"/>
      <c r="AK623" s="170"/>
      <c r="AL623" s="170"/>
      <c r="AM623" s="170"/>
      <c r="AN623" s="170"/>
      <c r="AO623" s="170"/>
      <c r="AP623" s="170"/>
      <c r="AQ623" s="170"/>
      <c r="AR623" s="170"/>
      <c r="AS623" s="170"/>
    </row>
    <row r="624" spans="1:45" ht="15" x14ac:dyDescent="0.25">
      <c r="A624" s="170"/>
      <c r="B624" s="719"/>
      <c r="C624" s="170"/>
      <c r="D624" s="170"/>
      <c r="E624" s="170"/>
      <c r="F624" s="170"/>
      <c r="G624" s="721"/>
      <c r="H624" s="170"/>
      <c r="I624" s="170"/>
      <c r="J624" s="170"/>
      <c r="K624" s="170"/>
      <c r="L624" s="170"/>
      <c r="M624" s="730"/>
      <c r="N624" s="730"/>
      <c r="O624" s="730"/>
      <c r="P624" s="731"/>
      <c r="Q624" s="731"/>
      <c r="R624" s="730"/>
      <c r="S624" s="730"/>
      <c r="T624" s="723"/>
      <c r="U624" s="724"/>
      <c r="V624" s="725"/>
      <c r="W624" s="725"/>
      <c r="X624" s="723"/>
      <c r="Y624" s="723"/>
      <c r="Z624" s="723"/>
      <c r="AA624" s="726"/>
      <c r="AB624" s="726"/>
      <c r="AC624" s="170"/>
      <c r="AD624" s="586"/>
      <c r="AE624" s="586"/>
      <c r="AF624" s="170"/>
      <c r="AG624" s="170"/>
      <c r="AH624" s="170"/>
      <c r="AI624" s="170"/>
      <c r="AJ624" s="170"/>
      <c r="AK624" s="170"/>
      <c r="AL624" s="170"/>
      <c r="AM624" s="170"/>
      <c r="AN624" s="170"/>
      <c r="AO624" s="170"/>
      <c r="AP624" s="170"/>
      <c r="AQ624" s="170"/>
      <c r="AR624" s="170"/>
      <c r="AS624" s="170"/>
    </row>
    <row r="625" spans="1:45" ht="15" x14ac:dyDescent="0.25">
      <c r="A625" s="170"/>
      <c r="B625" s="719"/>
      <c r="C625" s="170"/>
      <c r="D625" s="170"/>
      <c r="E625" s="170"/>
      <c r="F625" s="170"/>
      <c r="G625" s="721"/>
      <c r="H625" s="170"/>
      <c r="I625" s="170"/>
      <c r="J625" s="170"/>
      <c r="K625" s="170"/>
      <c r="L625" s="170"/>
      <c r="M625" s="730"/>
      <c r="N625" s="730"/>
      <c r="O625" s="730"/>
      <c r="P625" s="731"/>
      <c r="Q625" s="731"/>
      <c r="R625" s="730"/>
      <c r="S625" s="730"/>
      <c r="T625" s="723"/>
      <c r="U625" s="724"/>
      <c r="V625" s="725"/>
      <c r="W625" s="725"/>
      <c r="X625" s="723"/>
      <c r="Y625" s="723"/>
      <c r="Z625" s="723"/>
      <c r="AA625" s="726"/>
      <c r="AB625" s="726"/>
      <c r="AC625" s="170"/>
      <c r="AD625" s="586"/>
      <c r="AE625" s="586"/>
      <c r="AF625" s="170"/>
      <c r="AG625" s="170"/>
      <c r="AH625" s="170"/>
      <c r="AI625" s="170"/>
      <c r="AJ625" s="170"/>
      <c r="AK625" s="170"/>
      <c r="AL625" s="170"/>
      <c r="AM625" s="170"/>
      <c r="AN625" s="170"/>
      <c r="AO625" s="170"/>
      <c r="AP625" s="170"/>
      <c r="AQ625" s="170"/>
      <c r="AR625" s="170"/>
      <c r="AS625" s="170"/>
    </row>
    <row r="626" spans="1:45" ht="15" x14ac:dyDescent="0.25">
      <c r="A626" s="170"/>
      <c r="B626" s="719"/>
      <c r="C626" s="170"/>
      <c r="D626" s="170"/>
      <c r="E626" s="170"/>
      <c r="F626" s="170"/>
      <c r="G626" s="721"/>
      <c r="H626" s="170"/>
      <c r="I626" s="170"/>
      <c r="J626" s="170"/>
      <c r="K626" s="170"/>
      <c r="L626" s="170"/>
      <c r="M626" s="730"/>
      <c r="N626" s="730"/>
      <c r="O626" s="730"/>
      <c r="P626" s="731"/>
      <c r="Q626" s="731"/>
      <c r="R626" s="730"/>
      <c r="S626" s="730"/>
      <c r="T626" s="723"/>
      <c r="U626" s="724"/>
      <c r="V626" s="725"/>
      <c r="W626" s="725"/>
      <c r="X626" s="723"/>
      <c r="Y626" s="723"/>
      <c r="Z626" s="723"/>
      <c r="AA626" s="726"/>
      <c r="AB626" s="726"/>
      <c r="AC626" s="170"/>
      <c r="AD626" s="586"/>
      <c r="AE626" s="586"/>
      <c r="AF626" s="170"/>
      <c r="AG626" s="170"/>
      <c r="AH626" s="170"/>
      <c r="AI626" s="170"/>
      <c r="AJ626" s="170"/>
      <c r="AK626" s="170"/>
      <c r="AL626" s="170"/>
      <c r="AM626" s="170"/>
      <c r="AN626" s="170"/>
      <c r="AO626" s="170"/>
      <c r="AP626" s="170"/>
      <c r="AQ626" s="170"/>
      <c r="AR626" s="170"/>
      <c r="AS626" s="170"/>
    </row>
    <row r="627" spans="1:45" ht="15" x14ac:dyDescent="0.25">
      <c r="A627" s="170"/>
      <c r="B627" s="719"/>
      <c r="C627" s="170"/>
      <c r="D627" s="170"/>
      <c r="E627" s="170"/>
      <c r="F627" s="170"/>
      <c r="G627" s="721"/>
      <c r="H627" s="170"/>
      <c r="I627" s="170"/>
      <c r="J627" s="170"/>
      <c r="K627" s="170"/>
      <c r="L627" s="170"/>
      <c r="M627" s="730"/>
      <c r="N627" s="730"/>
      <c r="O627" s="730"/>
      <c r="P627" s="731"/>
      <c r="Q627" s="731"/>
      <c r="R627" s="730"/>
      <c r="S627" s="730"/>
      <c r="T627" s="723"/>
      <c r="U627" s="724"/>
      <c r="V627" s="725"/>
      <c r="W627" s="725"/>
      <c r="X627" s="723"/>
      <c r="Y627" s="723"/>
      <c r="Z627" s="723"/>
      <c r="AA627" s="726"/>
      <c r="AB627" s="726"/>
      <c r="AC627" s="170"/>
      <c r="AD627" s="586"/>
      <c r="AE627" s="586"/>
      <c r="AF627" s="170"/>
      <c r="AG627" s="170"/>
      <c r="AH627" s="170"/>
      <c r="AI627" s="170"/>
      <c r="AJ627" s="170"/>
      <c r="AK627" s="170"/>
      <c r="AL627" s="170"/>
      <c r="AM627" s="170"/>
      <c r="AN627" s="170"/>
      <c r="AO627" s="170"/>
      <c r="AP627" s="170"/>
      <c r="AQ627" s="170"/>
      <c r="AR627" s="170"/>
      <c r="AS627" s="170"/>
    </row>
    <row r="628" spans="1:45" ht="15" x14ac:dyDescent="0.25">
      <c r="A628" s="170"/>
      <c r="B628" s="719"/>
      <c r="C628" s="170"/>
      <c r="D628" s="170"/>
      <c r="E628" s="170"/>
      <c r="F628" s="170"/>
      <c r="G628" s="721"/>
      <c r="H628" s="170"/>
      <c r="I628" s="170"/>
      <c r="J628" s="170"/>
      <c r="K628" s="170"/>
      <c r="L628" s="170"/>
      <c r="M628" s="730"/>
      <c r="N628" s="730"/>
      <c r="O628" s="730"/>
      <c r="P628" s="731"/>
      <c r="Q628" s="731"/>
      <c r="R628" s="730"/>
      <c r="S628" s="730"/>
      <c r="T628" s="723"/>
      <c r="U628" s="724"/>
      <c r="V628" s="725"/>
      <c r="W628" s="725"/>
      <c r="X628" s="723"/>
      <c r="Y628" s="723"/>
      <c r="Z628" s="723"/>
      <c r="AA628" s="726"/>
      <c r="AB628" s="726"/>
      <c r="AC628" s="170"/>
      <c r="AD628" s="586"/>
      <c r="AE628" s="586"/>
      <c r="AF628" s="170"/>
      <c r="AG628" s="170"/>
      <c r="AH628" s="170"/>
      <c r="AI628" s="170"/>
      <c r="AJ628" s="170"/>
      <c r="AK628" s="170"/>
      <c r="AL628" s="170"/>
      <c r="AM628" s="170"/>
      <c r="AN628" s="170"/>
      <c r="AO628" s="170"/>
      <c r="AP628" s="170"/>
      <c r="AQ628" s="170"/>
      <c r="AR628" s="170"/>
      <c r="AS628" s="170"/>
    </row>
    <row r="629" spans="1:45" ht="15" x14ac:dyDescent="0.25">
      <c r="A629" s="170"/>
      <c r="B629" s="719"/>
      <c r="C629" s="170"/>
      <c r="D629" s="170"/>
      <c r="E629" s="170"/>
      <c r="F629" s="170"/>
      <c r="G629" s="721"/>
      <c r="H629" s="170"/>
      <c r="I629" s="170"/>
      <c r="J629" s="170"/>
      <c r="K629" s="170"/>
      <c r="L629" s="170"/>
      <c r="M629" s="730"/>
      <c r="N629" s="730"/>
      <c r="O629" s="730"/>
      <c r="P629" s="731"/>
      <c r="Q629" s="731"/>
      <c r="R629" s="730"/>
      <c r="S629" s="730"/>
      <c r="T629" s="723"/>
      <c r="U629" s="724"/>
      <c r="V629" s="725"/>
      <c r="W629" s="725"/>
      <c r="X629" s="723"/>
      <c r="Y629" s="723"/>
      <c r="Z629" s="723"/>
      <c r="AA629" s="726"/>
      <c r="AB629" s="726"/>
      <c r="AC629" s="170"/>
      <c r="AD629" s="586"/>
      <c r="AE629" s="586"/>
      <c r="AF629" s="170"/>
      <c r="AG629" s="170"/>
      <c r="AH629" s="170"/>
      <c r="AI629" s="170"/>
      <c r="AJ629" s="170"/>
      <c r="AK629" s="170"/>
      <c r="AL629" s="170"/>
      <c r="AM629" s="170"/>
      <c r="AN629" s="170"/>
      <c r="AO629" s="170"/>
      <c r="AP629" s="170"/>
      <c r="AQ629" s="170"/>
      <c r="AR629" s="170"/>
      <c r="AS629" s="170"/>
    </row>
    <row r="630" spans="1:45" ht="15" x14ac:dyDescent="0.25">
      <c r="A630" s="170"/>
      <c r="B630" s="719"/>
      <c r="C630" s="170"/>
      <c r="D630" s="170"/>
      <c r="E630" s="170"/>
      <c r="F630" s="170"/>
      <c r="G630" s="721"/>
      <c r="H630" s="170"/>
      <c r="I630" s="170"/>
      <c r="J630" s="170"/>
      <c r="K630" s="170"/>
      <c r="L630" s="170"/>
      <c r="M630" s="730"/>
      <c r="N630" s="730"/>
      <c r="O630" s="730"/>
      <c r="P630" s="731"/>
      <c r="Q630" s="731"/>
      <c r="R630" s="730"/>
      <c r="S630" s="730"/>
      <c r="T630" s="723"/>
      <c r="U630" s="724"/>
      <c r="V630" s="725"/>
      <c r="W630" s="725"/>
      <c r="X630" s="723"/>
      <c r="Y630" s="723"/>
      <c r="Z630" s="723"/>
      <c r="AA630" s="726"/>
      <c r="AB630" s="726"/>
      <c r="AC630" s="170"/>
      <c r="AD630" s="586"/>
      <c r="AE630" s="586"/>
      <c r="AF630" s="170"/>
      <c r="AG630" s="170"/>
      <c r="AH630" s="170"/>
      <c r="AI630" s="170"/>
      <c r="AJ630" s="170"/>
      <c r="AK630" s="170"/>
      <c r="AL630" s="170"/>
      <c r="AM630" s="170"/>
      <c r="AN630" s="170"/>
      <c r="AO630" s="170"/>
      <c r="AP630" s="170"/>
      <c r="AQ630" s="170"/>
      <c r="AR630" s="170"/>
      <c r="AS630" s="170"/>
    </row>
    <row r="631" spans="1:45" ht="15" x14ac:dyDescent="0.25">
      <c r="A631" s="170"/>
      <c r="B631" s="719"/>
      <c r="C631" s="170"/>
      <c r="D631" s="170"/>
      <c r="E631" s="170"/>
      <c r="F631" s="170"/>
      <c r="G631" s="721"/>
      <c r="H631" s="170"/>
      <c r="I631" s="170"/>
      <c r="J631" s="170"/>
      <c r="K631" s="170"/>
      <c r="L631" s="170"/>
      <c r="M631" s="730"/>
      <c r="N631" s="730"/>
      <c r="O631" s="730"/>
      <c r="P631" s="731"/>
      <c r="Q631" s="731"/>
      <c r="R631" s="730"/>
      <c r="S631" s="730"/>
      <c r="T631" s="723"/>
      <c r="U631" s="724"/>
      <c r="V631" s="725"/>
      <c r="W631" s="725"/>
      <c r="X631" s="723"/>
      <c r="Y631" s="723"/>
      <c r="Z631" s="723"/>
      <c r="AA631" s="726"/>
      <c r="AB631" s="726"/>
      <c r="AC631" s="170"/>
      <c r="AD631" s="586"/>
      <c r="AE631" s="586"/>
      <c r="AF631" s="170"/>
      <c r="AG631" s="170"/>
      <c r="AH631" s="170"/>
      <c r="AI631" s="170"/>
      <c r="AJ631" s="170"/>
      <c r="AK631" s="170"/>
      <c r="AL631" s="170"/>
      <c r="AM631" s="170"/>
      <c r="AN631" s="170"/>
      <c r="AO631" s="170"/>
      <c r="AP631" s="170"/>
      <c r="AQ631" s="170"/>
      <c r="AR631" s="170"/>
      <c r="AS631" s="170"/>
    </row>
    <row r="632" spans="1:45" ht="15" x14ac:dyDescent="0.25">
      <c r="A632" s="170"/>
      <c r="B632" s="719"/>
      <c r="C632" s="170"/>
      <c r="D632" s="170"/>
      <c r="E632" s="170"/>
      <c r="F632" s="170"/>
      <c r="G632" s="721"/>
      <c r="H632" s="170"/>
      <c r="I632" s="170"/>
      <c r="J632" s="170"/>
      <c r="K632" s="170"/>
      <c r="L632" s="170"/>
      <c r="M632" s="730"/>
      <c r="N632" s="730"/>
      <c r="O632" s="730"/>
      <c r="P632" s="731"/>
      <c r="Q632" s="731"/>
      <c r="R632" s="730"/>
      <c r="S632" s="730"/>
      <c r="T632" s="723"/>
      <c r="U632" s="724"/>
      <c r="V632" s="725"/>
      <c r="W632" s="725"/>
      <c r="X632" s="723"/>
      <c r="Y632" s="723"/>
      <c r="Z632" s="723"/>
      <c r="AA632" s="726"/>
      <c r="AB632" s="726"/>
      <c r="AC632" s="170"/>
      <c r="AD632" s="586"/>
      <c r="AE632" s="586"/>
      <c r="AF632" s="170"/>
      <c r="AG632" s="170"/>
      <c r="AH632" s="170"/>
      <c r="AI632" s="170"/>
      <c r="AJ632" s="170"/>
      <c r="AK632" s="170"/>
      <c r="AL632" s="170"/>
      <c r="AM632" s="170"/>
      <c r="AN632" s="170"/>
      <c r="AO632" s="170"/>
      <c r="AP632" s="170"/>
      <c r="AQ632" s="170"/>
      <c r="AR632" s="170"/>
      <c r="AS632" s="170"/>
    </row>
    <row r="633" spans="1:45" ht="15" x14ac:dyDescent="0.25">
      <c r="A633" s="170"/>
      <c r="B633" s="719"/>
      <c r="C633" s="170"/>
      <c r="D633" s="170"/>
      <c r="E633" s="170"/>
      <c r="F633" s="170"/>
      <c r="G633" s="721"/>
      <c r="H633" s="170"/>
      <c r="I633" s="170"/>
      <c r="J633" s="170"/>
      <c r="K633" s="170"/>
      <c r="L633" s="170"/>
      <c r="M633" s="730"/>
      <c r="N633" s="730"/>
      <c r="O633" s="730"/>
      <c r="P633" s="731"/>
      <c r="Q633" s="731"/>
      <c r="R633" s="730"/>
      <c r="S633" s="730"/>
      <c r="T633" s="723"/>
      <c r="U633" s="724"/>
      <c r="V633" s="725"/>
      <c r="W633" s="725"/>
      <c r="X633" s="723"/>
      <c r="Y633" s="723"/>
      <c r="Z633" s="723"/>
      <c r="AA633" s="726"/>
      <c r="AB633" s="726"/>
      <c r="AC633" s="170"/>
      <c r="AD633" s="586"/>
      <c r="AE633" s="586"/>
      <c r="AF633" s="170"/>
      <c r="AG633" s="170"/>
      <c r="AH633" s="170"/>
      <c r="AI633" s="170"/>
      <c r="AJ633" s="170"/>
      <c r="AK633" s="170"/>
      <c r="AL633" s="170"/>
      <c r="AM633" s="170"/>
      <c r="AN633" s="170"/>
      <c r="AO633" s="170"/>
      <c r="AP633" s="170"/>
      <c r="AQ633" s="170"/>
      <c r="AR633" s="170"/>
      <c r="AS633" s="170"/>
    </row>
    <row r="634" spans="1:45" ht="15" x14ac:dyDescent="0.25">
      <c r="A634" s="170"/>
      <c r="B634" s="719"/>
      <c r="C634" s="170"/>
      <c r="D634" s="170"/>
      <c r="E634" s="170"/>
      <c r="F634" s="170"/>
      <c r="G634" s="721"/>
      <c r="H634" s="170"/>
      <c r="I634" s="170"/>
      <c r="J634" s="170"/>
      <c r="K634" s="170"/>
      <c r="L634" s="170"/>
      <c r="M634" s="730"/>
      <c r="N634" s="730"/>
      <c r="O634" s="730"/>
      <c r="P634" s="731"/>
      <c r="Q634" s="731"/>
      <c r="R634" s="730"/>
      <c r="S634" s="730"/>
      <c r="T634" s="723"/>
      <c r="U634" s="724"/>
      <c r="V634" s="725"/>
      <c r="W634" s="725"/>
      <c r="X634" s="723"/>
      <c r="Y634" s="723"/>
      <c r="Z634" s="723"/>
      <c r="AA634" s="726"/>
      <c r="AB634" s="726"/>
      <c r="AC634" s="170"/>
      <c r="AD634" s="586"/>
      <c r="AE634" s="586"/>
      <c r="AF634" s="170"/>
      <c r="AG634" s="170"/>
      <c r="AH634" s="170"/>
      <c r="AI634" s="170"/>
      <c r="AJ634" s="170"/>
      <c r="AK634" s="170"/>
      <c r="AL634" s="170"/>
      <c r="AM634" s="170"/>
      <c r="AN634" s="170"/>
      <c r="AO634" s="170"/>
      <c r="AP634" s="170"/>
      <c r="AQ634" s="170"/>
      <c r="AR634" s="170"/>
      <c r="AS634" s="170"/>
    </row>
    <row r="635" spans="1:45" ht="15" x14ac:dyDescent="0.25">
      <c r="A635" s="170"/>
      <c r="B635" s="719"/>
      <c r="C635" s="170"/>
      <c r="D635" s="170"/>
      <c r="E635" s="170"/>
      <c r="F635" s="170"/>
      <c r="G635" s="721"/>
      <c r="H635" s="170"/>
      <c r="I635" s="170"/>
      <c r="J635" s="170"/>
      <c r="K635" s="170"/>
      <c r="L635" s="170"/>
      <c r="M635" s="730"/>
      <c r="N635" s="730"/>
      <c r="O635" s="730"/>
      <c r="P635" s="731"/>
      <c r="Q635" s="731"/>
      <c r="R635" s="730"/>
      <c r="S635" s="730"/>
      <c r="T635" s="723"/>
      <c r="U635" s="724"/>
      <c r="V635" s="725"/>
      <c r="W635" s="725"/>
      <c r="X635" s="723"/>
      <c r="Y635" s="723"/>
      <c r="Z635" s="723"/>
      <c r="AA635" s="726"/>
      <c r="AB635" s="726"/>
      <c r="AC635" s="170"/>
      <c r="AD635" s="586"/>
      <c r="AE635" s="586"/>
      <c r="AF635" s="170"/>
      <c r="AG635" s="170"/>
      <c r="AH635" s="170"/>
      <c r="AI635" s="170"/>
      <c r="AJ635" s="170"/>
      <c r="AK635" s="170"/>
      <c r="AL635" s="170"/>
      <c r="AM635" s="170"/>
      <c r="AN635" s="170"/>
      <c r="AO635" s="170"/>
      <c r="AP635" s="170"/>
      <c r="AQ635" s="170"/>
      <c r="AR635" s="170"/>
      <c r="AS635" s="170"/>
    </row>
    <row r="636" spans="1:45" ht="15" x14ac:dyDescent="0.25">
      <c r="A636" s="170"/>
      <c r="B636" s="719"/>
      <c r="C636" s="170"/>
      <c r="D636" s="170"/>
      <c r="E636" s="170"/>
      <c r="F636" s="170"/>
      <c r="G636" s="721"/>
      <c r="H636" s="170"/>
      <c r="I636" s="170"/>
      <c r="J636" s="170"/>
      <c r="K636" s="170"/>
      <c r="L636" s="170"/>
      <c r="M636" s="730"/>
      <c r="N636" s="730"/>
      <c r="O636" s="730"/>
      <c r="P636" s="731"/>
      <c r="Q636" s="731"/>
      <c r="R636" s="730"/>
      <c r="S636" s="730"/>
      <c r="T636" s="723"/>
      <c r="U636" s="724"/>
      <c r="V636" s="725"/>
      <c r="W636" s="725"/>
      <c r="X636" s="723"/>
      <c r="Y636" s="723"/>
      <c r="Z636" s="723"/>
      <c r="AA636" s="726"/>
      <c r="AB636" s="726"/>
      <c r="AC636" s="170"/>
      <c r="AD636" s="586"/>
      <c r="AE636" s="586"/>
      <c r="AF636" s="170"/>
      <c r="AG636" s="170"/>
      <c r="AH636" s="170"/>
      <c r="AI636" s="170"/>
      <c r="AJ636" s="170"/>
      <c r="AK636" s="170"/>
      <c r="AL636" s="170"/>
      <c r="AM636" s="170"/>
      <c r="AN636" s="170"/>
      <c r="AO636" s="170"/>
      <c r="AP636" s="170"/>
      <c r="AQ636" s="170"/>
      <c r="AR636" s="170"/>
      <c r="AS636" s="170"/>
    </row>
    <row r="637" spans="1:45" ht="15" x14ac:dyDescent="0.25">
      <c r="A637" s="170"/>
      <c r="B637" s="719"/>
      <c r="C637" s="170"/>
      <c r="D637" s="170"/>
      <c r="E637" s="170"/>
      <c r="F637" s="170"/>
      <c r="G637" s="721"/>
      <c r="H637" s="170"/>
      <c r="I637" s="170"/>
      <c r="J637" s="170"/>
      <c r="K637" s="170"/>
      <c r="L637" s="170"/>
      <c r="M637" s="730"/>
      <c r="N637" s="730"/>
      <c r="O637" s="730"/>
      <c r="P637" s="731"/>
      <c r="Q637" s="731"/>
      <c r="R637" s="730"/>
      <c r="S637" s="730"/>
      <c r="T637" s="723"/>
      <c r="U637" s="724"/>
      <c r="V637" s="725"/>
      <c r="W637" s="725"/>
      <c r="X637" s="723"/>
      <c r="Y637" s="723"/>
      <c r="Z637" s="723"/>
      <c r="AA637" s="726"/>
      <c r="AB637" s="726"/>
      <c r="AC637" s="170"/>
      <c r="AD637" s="586"/>
      <c r="AE637" s="586"/>
      <c r="AF637" s="170"/>
      <c r="AG637" s="170"/>
      <c r="AH637" s="170"/>
      <c r="AI637" s="170"/>
      <c r="AJ637" s="170"/>
      <c r="AK637" s="170"/>
      <c r="AL637" s="170"/>
      <c r="AM637" s="170"/>
      <c r="AN637" s="170"/>
      <c r="AO637" s="170"/>
      <c r="AP637" s="170"/>
      <c r="AQ637" s="170"/>
      <c r="AR637" s="170"/>
      <c r="AS637" s="170"/>
    </row>
    <row r="638" spans="1:45" ht="15" x14ac:dyDescent="0.25">
      <c r="A638" s="170"/>
      <c r="B638" s="719"/>
      <c r="C638" s="170"/>
      <c r="D638" s="170"/>
      <c r="E638" s="170"/>
      <c r="F638" s="170"/>
      <c r="G638" s="721"/>
      <c r="H638" s="170"/>
      <c r="I638" s="170"/>
      <c r="J638" s="170"/>
      <c r="K638" s="170"/>
      <c r="L638" s="170"/>
      <c r="M638" s="730"/>
      <c r="N638" s="730"/>
      <c r="O638" s="730"/>
      <c r="P638" s="731"/>
      <c r="Q638" s="731"/>
      <c r="R638" s="730"/>
      <c r="S638" s="730"/>
      <c r="T638" s="723"/>
      <c r="U638" s="724"/>
      <c r="V638" s="725"/>
      <c r="W638" s="725"/>
      <c r="X638" s="723"/>
      <c r="Y638" s="723"/>
      <c r="Z638" s="723"/>
      <c r="AA638" s="726"/>
      <c r="AB638" s="726"/>
      <c r="AC638" s="170"/>
      <c r="AD638" s="586"/>
      <c r="AE638" s="586"/>
      <c r="AF638" s="170"/>
      <c r="AG638" s="170"/>
      <c r="AH638" s="170"/>
      <c r="AI638" s="170"/>
      <c r="AJ638" s="170"/>
      <c r="AK638" s="170"/>
      <c r="AL638" s="170"/>
      <c r="AM638" s="170"/>
      <c r="AN638" s="170"/>
      <c r="AO638" s="170"/>
      <c r="AP638" s="170"/>
      <c r="AQ638" s="170"/>
      <c r="AR638" s="170"/>
      <c r="AS638" s="170"/>
    </row>
    <row r="639" spans="1:45" ht="15" x14ac:dyDescent="0.25">
      <c r="A639" s="170"/>
      <c r="B639" s="719"/>
      <c r="C639" s="170"/>
      <c r="D639" s="170"/>
      <c r="E639" s="170"/>
      <c r="F639" s="170"/>
      <c r="G639" s="721"/>
      <c r="H639" s="170"/>
      <c r="I639" s="170"/>
      <c r="J639" s="170"/>
      <c r="K639" s="170"/>
      <c r="L639" s="170"/>
      <c r="M639" s="730"/>
      <c r="N639" s="730"/>
      <c r="O639" s="730"/>
      <c r="P639" s="731"/>
      <c r="Q639" s="731"/>
      <c r="R639" s="730"/>
      <c r="S639" s="730"/>
      <c r="T639" s="723"/>
      <c r="U639" s="724"/>
      <c r="V639" s="725"/>
      <c r="W639" s="725"/>
      <c r="X639" s="723"/>
      <c r="Y639" s="723"/>
      <c r="Z639" s="723"/>
      <c r="AA639" s="726"/>
      <c r="AB639" s="726"/>
      <c r="AC639" s="170"/>
      <c r="AD639" s="586"/>
      <c r="AE639" s="586"/>
      <c r="AF639" s="170"/>
      <c r="AG639" s="170"/>
      <c r="AH639" s="170"/>
      <c r="AI639" s="170"/>
      <c r="AJ639" s="170"/>
      <c r="AK639" s="170"/>
      <c r="AL639" s="170"/>
      <c r="AM639" s="170"/>
      <c r="AN639" s="170"/>
      <c r="AO639" s="170"/>
      <c r="AP639" s="170"/>
      <c r="AQ639" s="170"/>
      <c r="AR639" s="170"/>
      <c r="AS639" s="170"/>
    </row>
    <row r="640" spans="1:45" ht="15" x14ac:dyDescent="0.25">
      <c r="A640" s="170"/>
      <c r="B640" s="719"/>
      <c r="C640" s="170"/>
      <c r="D640" s="170"/>
      <c r="E640" s="170"/>
      <c r="F640" s="170"/>
      <c r="G640" s="721"/>
      <c r="H640" s="170"/>
      <c r="I640" s="170"/>
      <c r="J640" s="170"/>
      <c r="K640" s="170"/>
      <c r="L640" s="170"/>
      <c r="M640" s="730"/>
      <c r="N640" s="730"/>
      <c r="O640" s="730"/>
      <c r="P640" s="731"/>
      <c r="Q640" s="731"/>
      <c r="R640" s="730"/>
      <c r="S640" s="730"/>
      <c r="T640" s="723"/>
      <c r="U640" s="724"/>
      <c r="V640" s="725"/>
      <c r="W640" s="725"/>
      <c r="X640" s="723"/>
      <c r="Y640" s="723"/>
      <c r="Z640" s="723"/>
      <c r="AA640" s="726"/>
      <c r="AB640" s="726"/>
      <c r="AC640" s="170"/>
      <c r="AD640" s="586"/>
      <c r="AE640" s="586"/>
      <c r="AF640" s="170"/>
      <c r="AG640" s="170"/>
      <c r="AH640" s="170"/>
      <c r="AI640" s="170"/>
      <c r="AJ640" s="170"/>
      <c r="AK640" s="170"/>
      <c r="AL640" s="170"/>
      <c r="AM640" s="170"/>
      <c r="AN640" s="170"/>
      <c r="AO640" s="170"/>
      <c r="AP640" s="170"/>
      <c r="AQ640" s="170"/>
      <c r="AR640" s="170"/>
      <c r="AS640" s="170"/>
    </row>
    <row r="641" spans="1:45" ht="15" x14ac:dyDescent="0.25">
      <c r="A641" s="170"/>
      <c r="B641" s="719"/>
      <c r="C641" s="170"/>
      <c r="D641" s="170"/>
      <c r="E641" s="170"/>
      <c r="F641" s="170"/>
      <c r="G641" s="721"/>
      <c r="H641" s="170"/>
      <c r="I641" s="170"/>
      <c r="J641" s="170"/>
      <c r="K641" s="170"/>
      <c r="L641" s="170"/>
      <c r="M641" s="730"/>
      <c r="N641" s="730"/>
      <c r="O641" s="730"/>
      <c r="P641" s="731"/>
      <c r="Q641" s="731"/>
      <c r="R641" s="730"/>
      <c r="S641" s="730"/>
      <c r="T641" s="723"/>
      <c r="U641" s="724"/>
      <c r="V641" s="725"/>
      <c r="W641" s="725"/>
      <c r="X641" s="723"/>
      <c r="Y641" s="723"/>
      <c r="Z641" s="723"/>
      <c r="AA641" s="726"/>
      <c r="AB641" s="726"/>
      <c r="AC641" s="170"/>
      <c r="AD641" s="586"/>
      <c r="AE641" s="586"/>
      <c r="AF641" s="170"/>
      <c r="AG641" s="170"/>
      <c r="AH641" s="170"/>
      <c r="AI641" s="170"/>
      <c r="AJ641" s="170"/>
      <c r="AK641" s="170"/>
      <c r="AL641" s="170"/>
      <c r="AM641" s="170"/>
      <c r="AN641" s="170"/>
      <c r="AO641" s="170"/>
      <c r="AP641" s="170"/>
      <c r="AQ641" s="170"/>
      <c r="AR641" s="170"/>
      <c r="AS641" s="170"/>
    </row>
    <row r="642" spans="1:45" ht="15" x14ac:dyDescent="0.25">
      <c r="A642" s="170"/>
      <c r="B642" s="719"/>
      <c r="C642" s="170"/>
      <c r="D642" s="170"/>
      <c r="E642" s="170"/>
      <c r="F642" s="170"/>
      <c r="G642" s="721"/>
      <c r="H642" s="170"/>
      <c r="I642" s="170"/>
      <c r="J642" s="170"/>
      <c r="K642" s="170"/>
      <c r="L642" s="170"/>
      <c r="M642" s="730"/>
      <c r="N642" s="730"/>
      <c r="O642" s="730"/>
      <c r="P642" s="731"/>
      <c r="Q642" s="731"/>
      <c r="R642" s="730"/>
      <c r="S642" s="730"/>
      <c r="T642" s="723"/>
      <c r="U642" s="724"/>
      <c r="V642" s="725"/>
      <c r="W642" s="725"/>
      <c r="X642" s="723"/>
      <c r="Y642" s="723"/>
      <c r="Z642" s="723"/>
      <c r="AA642" s="726"/>
      <c r="AB642" s="726"/>
      <c r="AC642" s="170"/>
      <c r="AD642" s="586"/>
      <c r="AE642" s="586"/>
      <c r="AF642" s="170"/>
      <c r="AG642" s="170"/>
      <c r="AH642" s="170"/>
      <c r="AI642" s="170"/>
      <c r="AJ642" s="170"/>
      <c r="AK642" s="170"/>
      <c r="AL642" s="170"/>
      <c r="AM642" s="170"/>
      <c r="AN642" s="170"/>
      <c r="AO642" s="170"/>
      <c r="AP642" s="170"/>
      <c r="AQ642" s="170"/>
      <c r="AR642" s="170"/>
      <c r="AS642" s="170"/>
    </row>
    <row r="643" spans="1:45" ht="15" x14ac:dyDescent="0.25">
      <c r="A643" s="170"/>
      <c r="B643" s="719"/>
      <c r="C643" s="170"/>
      <c r="D643" s="170"/>
      <c r="E643" s="170"/>
      <c r="F643" s="170"/>
      <c r="G643" s="721"/>
      <c r="H643" s="170"/>
      <c r="I643" s="170"/>
      <c r="J643" s="170"/>
      <c r="K643" s="170"/>
      <c r="L643" s="170"/>
      <c r="M643" s="730"/>
      <c r="N643" s="730"/>
      <c r="O643" s="730"/>
      <c r="P643" s="731"/>
      <c r="Q643" s="731"/>
      <c r="R643" s="730"/>
      <c r="S643" s="730"/>
      <c r="T643" s="723"/>
      <c r="U643" s="724"/>
      <c r="V643" s="725"/>
      <c r="W643" s="725"/>
      <c r="X643" s="723"/>
      <c r="Y643" s="723"/>
      <c r="Z643" s="723"/>
      <c r="AA643" s="726"/>
      <c r="AB643" s="726"/>
      <c r="AC643" s="170"/>
      <c r="AD643" s="586"/>
      <c r="AE643" s="586"/>
      <c r="AF643" s="170"/>
      <c r="AG643" s="170"/>
      <c r="AH643" s="170"/>
      <c r="AI643" s="170"/>
      <c r="AJ643" s="170"/>
      <c r="AK643" s="170"/>
      <c r="AL643" s="170"/>
      <c r="AM643" s="170"/>
      <c r="AN643" s="170"/>
      <c r="AO643" s="170"/>
      <c r="AP643" s="170"/>
      <c r="AQ643" s="170"/>
      <c r="AR643" s="170"/>
      <c r="AS643" s="170"/>
    </row>
    <row r="644" spans="1:45" ht="15" x14ac:dyDescent="0.25">
      <c r="A644" s="170"/>
      <c r="B644" s="719"/>
      <c r="C644" s="170"/>
      <c r="D644" s="170"/>
      <c r="E644" s="170"/>
      <c r="F644" s="170"/>
      <c r="G644" s="721"/>
      <c r="H644" s="170"/>
      <c r="I644" s="170"/>
      <c r="J644" s="170"/>
      <c r="K644" s="170"/>
      <c r="L644" s="170"/>
      <c r="M644" s="730"/>
      <c r="N644" s="730"/>
      <c r="O644" s="730"/>
      <c r="P644" s="731"/>
      <c r="Q644" s="731"/>
      <c r="R644" s="730"/>
      <c r="S644" s="730"/>
      <c r="T644" s="723"/>
      <c r="U644" s="724"/>
      <c r="V644" s="725"/>
      <c r="W644" s="725"/>
      <c r="X644" s="723"/>
      <c r="Y644" s="723"/>
      <c r="Z644" s="723"/>
      <c r="AA644" s="726"/>
      <c r="AB644" s="726"/>
      <c r="AC644" s="170"/>
      <c r="AD644" s="586"/>
      <c r="AE644" s="586"/>
      <c r="AF644" s="170"/>
      <c r="AG644" s="170"/>
      <c r="AH644" s="170"/>
      <c r="AI644" s="170"/>
      <c r="AJ644" s="170"/>
      <c r="AK644" s="170"/>
      <c r="AL644" s="170"/>
      <c r="AM644" s="170"/>
      <c r="AN644" s="170"/>
      <c r="AO644" s="170"/>
      <c r="AP644" s="170"/>
      <c r="AQ644" s="170"/>
      <c r="AR644" s="170"/>
      <c r="AS644" s="170"/>
    </row>
    <row r="645" spans="1:45" ht="15" x14ac:dyDescent="0.25">
      <c r="A645" s="170"/>
      <c r="B645" s="719"/>
      <c r="C645" s="170"/>
      <c r="D645" s="170"/>
      <c r="E645" s="170"/>
      <c r="F645" s="170"/>
      <c r="G645" s="721"/>
      <c r="H645" s="170"/>
      <c r="I645" s="170"/>
      <c r="J645" s="170"/>
      <c r="K645" s="170"/>
      <c r="L645" s="170"/>
      <c r="M645" s="730"/>
      <c r="N645" s="730"/>
      <c r="O645" s="730"/>
      <c r="P645" s="731"/>
      <c r="Q645" s="731"/>
      <c r="R645" s="730"/>
      <c r="S645" s="730"/>
      <c r="T645" s="723"/>
      <c r="U645" s="724"/>
      <c r="V645" s="725"/>
      <c r="W645" s="725"/>
      <c r="X645" s="723"/>
      <c r="Y645" s="723"/>
      <c r="Z645" s="723"/>
      <c r="AA645" s="726"/>
      <c r="AB645" s="726"/>
      <c r="AC645" s="170"/>
      <c r="AD645" s="586"/>
      <c r="AE645" s="586"/>
      <c r="AF645" s="170"/>
      <c r="AG645" s="170"/>
      <c r="AH645" s="170"/>
      <c r="AI645" s="170"/>
      <c r="AJ645" s="170"/>
      <c r="AK645" s="170"/>
      <c r="AL645" s="170"/>
      <c r="AM645" s="170"/>
      <c r="AN645" s="170"/>
      <c r="AO645" s="170"/>
      <c r="AP645" s="170"/>
      <c r="AQ645" s="170"/>
      <c r="AR645" s="170"/>
      <c r="AS645" s="170"/>
    </row>
    <row r="646" spans="1:45" ht="15" x14ac:dyDescent="0.25">
      <c r="A646" s="170"/>
      <c r="B646" s="719"/>
      <c r="C646" s="170"/>
      <c r="D646" s="170"/>
      <c r="E646" s="170"/>
      <c r="F646" s="170"/>
      <c r="G646" s="721"/>
      <c r="H646" s="170"/>
      <c r="I646" s="170"/>
      <c r="J646" s="170"/>
      <c r="K646" s="170"/>
      <c r="L646" s="170"/>
      <c r="M646" s="730"/>
      <c r="N646" s="730"/>
      <c r="O646" s="730"/>
      <c r="P646" s="731"/>
      <c r="Q646" s="731"/>
      <c r="R646" s="730"/>
      <c r="S646" s="730"/>
      <c r="T646" s="723"/>
      <c r="U646" s="724"/>
      <c r="V646" s="725"/>
      <c r="W646" s="725"/>
      <c r="X646" s="723"/>
      <c r="Y646" s="723"/>
      <c r="Z646" s="723"/>
      <c r="AA646" s="726"/>
      <c r="AB646" s="726"/>
      <c r="AC646" s="170"/>
      <c r="AD646" s="586"/>
      <c r="AE646" s="586"/>
      <c r="AF646" s="170"/>
      <c r="AG646" s="170"/>
      <c r="AH646" s="170"/>
      <c r="AI646" s="170"/>
      <c r="AJ646" s="170"/>
      <c r="AK646" s="170"/>
      <c r="AL646" s="170"/>
      <c r="AM646" s="170"/>
      <c r="AN646" s="170"/>
      <c r="AO646" s="170"/>
      <c r="AP646" s="170"/>
      <c r="AQ646" s="170"/>
      <c r="AR646" s="170"/>
      <c r="AS646" s="170"/>
    </row>
    <row r="647" spans="1:45" ht="15" x14ac:dyDescent="0.25">
      <c r="A647" s="170"/>
      <c r="B647" s="719"/>
      <c r="C647" s="170"/>
      <c r="D647" s="170"/>
      <c r="E647" s="170"/>
      <c r="F647" s="170"/>
      <c r="G647" s="721"/>
      <c r="H647" s="170"/>
      <c r="I647" s="170"/>
      <c r="J647" s="170"/>
      <c r="K647" s="170"/>
      <c r="L647" s="170"/>
      <c r="M647" s="730"/>
      <c r="N647" s="730"/>
      <c r="O647" s="730"/>
      <c r="P647" s="731"/>
      <c r="Q647" s="731"/>
      <c r="R647" s="730"/>
      <c r="S647" s="730"/>
      <c r="T647" s="723"/>
      <c r="U647" s="724"/>
      <c r="V647" s="725"/>
      <c r="W647" s="725"/>
      <c r="X647" s="723"/>
      <c r="Y647" s="723"/>
      <c r="Z647" s="723"/>
      <c r="AA647" s="726"/>
      <c r="AB647" s="726"/>
      <c r="AC647" s="170"/>
      <c r="AD647" s="586"/>
      <c r="AE647" s="586"/>
      <c r="AF647" s="170"/>
      <c r="AG647" s="170"/>
      <c r="AH647" s="170"/>
      <c r="AI647" s="170"/>
      <c r="AJ647" s="170"/>
      <c r="AK647" s="170"/>
      <c r="AL647" s="170"/>
      <c r="AM647" s="170"/>
      <c r="AN647" s="170"/>
      <c r="AO647" s="170"/>
      <c r="AP647" s="170"/>
      <c r="AQ647" s="170"/>
      <c r="AR647" s="170"/>
      <c r="AS647" s="170"/>
    </row>
    <row r="648" spans="1:45" ht="15" x14ac:dyDescent="0.25">
      <c r="A648" s="170"/>
      <c r="B648" s="719"/>
      <c r="C648" s="170"/>
      <c r="D648" s="170"/>
      <c r="E648" s="170"/>
      <c r="F648" s="170"/>
      <c r="G648" s="721"/>
      <c r="H648" s="170"/>
      <c r="I648" s="170"/>
      <c r="J648" s="170"/>
      <c r="K648" s="170"/>
      <c r="L648" s="170"/>
      <c r="M648" s="730"/>
      <c r="N648" s="730"/>
      <c r="O648" s="730"/>
      <c r="P648" s="731"/>
      <c r="Q648" s="731"/>
      <c r="R648" s="730"/>
      <c r="S648" s="730"/>
      <c r="T648" s="723"/>
      <c r="U648" s="724"/>
      <c r="V648" s="725"/>
      <c r="W648" s="725"/>
      <c r="X648" s="723"/>
      <c r="Y648" s="723"/>
      <c r="Z648" s="723"/>
      <c r="AA648" s="726"/>
      <c r="AB648" s="726"/>
      <c r="AC648" s="170"/>
      <c r="AD648" s="586"/>
      <c r="AE648" s="586"/>
      <c r="AF648" s="170"/>
      <c r="AG648" s="170"/>
      <c r="AH648" s="170"/>
      <c r="AI648" s="170"/>
      <c r="AJ648" s="170"/>
      <c r="AK648" s="170"/>
      <c r="AL648" s="170"/>
      <c r="AM648" s="170"/>
      <c r="AN648" s="170"/>
      <c r="AO648" s="170"/>
      <c r="AP648" s="170"/>
      <c r="AQ648" s="170"/>
      <c r="AR648" s="170"/>
      <c r="AS648" s="170"/>
    </row>
    <row r="649" spans="1:45" ht="15" x14ac:dyDescent="0.25">
      <c r="A649" s="170"/>
      <c r="B649" s="719"/>
      <c r="C649" s="170"/>
      <c r="D649" s="170"/>
      <c r="E649" s="170"/>
      <c r="F649" s="170"/>
      <c r="G649" s="721"/>
      <c r="H649" s="170"/>
      <c r="I649" s="170"/>
      <c r="J649" s="170"/>
      <c r="K649" s="170"/>
      <c r="L649" s="170"/>
      <c r="M649" s="730"/>
      <c r="N649" s="730"/>
      <c r="O649" s="730"/>
      <c r="P649" s="731"/>
      <c r="Q649" s="731"/>
      <c r="R649" s="730"/>
      <c r="S649" s="730"/>
      <c r="T649" s="723"/>
      <c r="U649" s="724"/>
      <c r="V649" s="725"/>
      <c r="W649" s="725"/>
      <c r="X649" s="723"/>
      <c r="Y649" s="723"/>
      <c r="Z649" s="723"/>
      <c r="AA649" s="726"/>
      <c r="AB649" s="726"/>
      <c r="AC649" s="170"/>
      <c r="AD649" s="586"/>
      <c r="AE649" s="586"/>
      <c r="AF649" s="170"/>
      <c r="AG649" s="170"/>
      <c r="AH649" s="170"/>
      <c r="AI649" s="170"/>
      <c r="AJ649" s="170"/>
      <c r="AK649" s="170"/>
      <c r="AL649" s="170"/>
      <c r="AM649" s="170"/>
      <c r="AN649" s="170"/>
      <c r="AO649" s="170"/>
      <c r="AP649" s="170"/>
      <c r="AQ649" s="170"/>
      <c r="AR649" s="170"/>
      <c r="AS649" s="170"/>
    </row>
    <row r="650" spans="1:45" ht="15" x14ac:dyDescent="0.25">
      <c r="A650" s="170"/>
      <c r="B650" s="719"/>
      <c r="C650" s="170"/>
      <c r="D650" s="170"/>
      <c r="E650" s="170"/>
      <c r="F650" s="170"/>
      <c r="G650" s="721"/>
      <c r="H650" s="170"/>
      <c r="I650" s="170"/>
      <c r="J650" s="170"/>
      <c r="K650" s="170"/>
      <c r="L650" s="170"/>
      <c r="M650" s="730"/>
      <c r="N650" s="730"/>
      <c r="O650" s="730"/>
      <c r="P650" s="731"/>
      <c r="Q650" s="731"/>
      <c r="R650" s="730"/>
      <c r="S650" s="730"/>
      <c r="T650" s="723"/>
      <c r="U650" s="724"/>
      <c r="V650" s="725"/>
      <c r="W650" s="725"/>
      <c r="X650" s="723"/>
      <c r="Y650" s="723"/>
      <c r="Z650" s="723"/>
      <c r="AA650" s="726"/>
      <c r="AB650" s="726"/>
      <c r="AC650" s="170"/>
      <c r="AD650" s="586"/>
      <c r="AE650" s="586"/>
      <c r="AF650" s="170"/>
      <c r="AG650" s="170"/>
      <c r="AH650" s="170"/>
      <c r="AI650" s="170"/>
      <c r="AJ650" s="170"/>
      <c r="AK650" s="170"/>
      <c r="AL650" s="170"/>
      <c r="AM650" s="170"/>
      <c r="AN650" s="170"/>
      <c r="AO650" s="170"/>
      <c r="AP650" s="170"/>
      <c r="AQ650" s="170"/>
      <c r="AR650" s="170"/>
      <c r="AS650" s="170"/>
    </row>
    <row r="651" spans="1:45" ht="15" x14ac:dyDescent="0.25">
      <c r="A651" s="170"/>
      <c r="B651" s="719"/>
      <c r="C651" s="170"/>
      <c r="D651" s="170"/>
      <c r="E651" s="170"/>
      <c r="F651" s="170"/>
      <c r="G651" s="721"/>
      <c r="H651" s="170"/>
      <c r="I651" s="170"/>
      <c r="J651" s="170"/>
      <c r="K651" s="170"/>
      <c r="L651" s="170"/>
      <c r="M651" s="730"/>
      <c r="N651" s="730"/>
      <c r="O651" s="730"/>
      <c r="P651" s="731"/>
      <c r="Q651" s="731"/>
      <c r="R651" s="730"/>
      <c r="S651" s="730"/>
      <c r="T651" s="723"/>
      <c r="U651" s="724"/>
      <c r="V651" s="725"/>
      <c r="W651" s="725"/>
      <c r="X651" s="723"/>
      <c r="Y651" s="723"/>
      <c r="Z651" s="723"/>
      <c r="AA651" s="726"/>
      <c r="AB651" s="726"/>
      <c r="AC651" s="170"/>
      <c r="AD651" s="586"/>
      <c r="AE651" s="586"/>
      <c r="AF651" s="170"/>
      <c r="AG651" s="170"/>
      <c r="AH651" s="170"/>
      <c r="AI651" s="170"/>
      <c r="AJ651" s="170"/>
      <c r="AK651" s="170"/>
      <c r="AL651" s="170"/>
      <c r="AM651" s="170"/>
      <c r="AN651" s="170"/>
      <c r="AO651" s="170"/>
      <c r="AP651" s="170"/>
      <c r="AQ651" s="170"/>
      <c r="AR651" s="170"/>
      <c r="AS651" s="170"/>
    </row>
    <row r="652" spans="1:45" ht="15" x14ac:dyDescent="0.25">
      <c r="A652" s="170"/>
      <c r="B652" s="719"/>
      <c r="C652" s="170"/>
      <c r="D652" s="170"/>
      <c r="E652" s="170"/>
      <c r="F652" s="170"/>
      <c r="G652" s="721"/>
      <c r="H652" s="170"/>
      <c r="I652" s="170"/>
      <c r="J652" s="170"/>
      <c r="K652" s="170"/>
      <c r="L652" s="170"/>
      <c r="M652" s="730"/>
      <c r="N652" s="730"/>
      <c r="O652" s="730"/>
      <c r="P652" s="731"/>
      <c r="Q652" s="731"/>
      <c r="R652" s="730"/>
      <c r="S652" s="730"/>
      <c r="T652" s="723"/>
      <c r="U652" s="724"/>
      <c r="V652" s="725"/>
      <c r="W652" s="725"/>
      <c r="X652" s="723"/>
      <c r="Y652" s="723"/>
      <c r="Z652" s="723"/>
      <c r="AA652" s="726"/>
      <c r="AB652" s="726"/>
      <c r="AC652" s="170"/>
      <c r="AD652" s="586"/>
      <c r="AE652" s="586"/>
      <c r="AF652" s="170"/>
      <c r="AG652" s="170"/>
      <c r="AH652" s="170"/>
      <c r="AI652" s="170"/>
      <c r="AJ652" s="170"/>
      <c r="AK652" s="170"/>
      <c r="AL652" s="170"/>
      <c r="AM652" s="170"/>
      <c r="AN652" s="170"/>
      <c r="AO652" s="170"/>
      <c r="AP652" s="170"/>
      <c r="AQ652" s="170"/>
      <c r="AR652" s="170"/>
      <c r="AS652" s="170"/>
    </row>
    <row r="653" spans="1:45" ht="15" x14ac:dyDescent="0.25">
      <c r="A653" s="170"/>
      <c r="B653" s="719"/>
      <c r="C653" s="170"/>
      <c r="D653" s="170"/>
      <c r="E653" s="170"/>
      <c r="F653" s="170"/>
      <c r="G653" s="721"/>
      <c r="H653" s="170"/>
      <c r="I653" s="170"/>
      <c r="J653" s="170"/>
      <c r="K653" s="170"/>
      <c r="L653" s="170"/>
      <c r="M653" s="730"/>
      <c r="N653" s="730"/>
      <c r="O653" s="730"/>
      <c r="P653" s="731"/>
      <c r="Q653" s="731"/>
      <c r="R653" s="730"/>
      <c r="S653" s="730"/>
      <c r="T653" s="723"/>
      <c r="U653" s="724"/>
      <c r="V653" s="725"/>
      <c r="W653" s="725"/>
      <c r="X653" s="723"/>
      <c r="Y653" s="723"/>
      <c r="Z653" s="723"/>
      <c r="AA653" s="726"/>
      <c r="AB653" s="726"/>
      <c r="AC653" s="170"/>
      <c r="AD653" s="586"/>
      <c r="AE653" s="586"/>
      <c r="AF653" s="170"/>
      <c r="AG653" s="170"/>
      <c r="AH653" s="170"/>
      <c r="AI653" s="170"/>
      <c r="AJ653" s="170"/>
      <c r="AK653" s="170"/>
      <c r="AL653" s="170"/>
      <c r="AM653" s="170"/>
      <c r="AN653" s="170"/>
      <c r="AO653" s="170"/>
      <c r="AP653" s="170"/>
      <c r="AQ653" s="170"/>
      <c r="AR653" s="170"/>
      <c r="AS653" s="170"/>
    </row>
    <row r="654" spans="1:45" ht="15" x14ac:dyDescent="0.25">
      <c r="A654" s="170"/>
      <c r="B654" s="719"/>
      <c r="C654" s="170"/>
      <c r="D654" s="170"/>
      <c r="E654" s="170"/>
      <c r="F654" s="170"/>
      <c r="G654" s="721"/>
      <c r="H654" s="170"/>
      <c r="I654" s="170"/>
      <c r="J654" s="170"/>
      <c r="K654" s="170"/>
      <c r="L654" s="170"/>
      <c r="M654" s="730"/>
      <c r="N654" s="730"/>
      <c r="O654" s="730"/>
      <c r="P654" s="731"/>
      <c r="Q654" s="731"/>
      <c r="R654" s="730"/>
      <c r="S654" s="730"/>
      <c r="T654" s="723"/>
      <c r="U654" s="724"/>
      <c r="V654" s="725"/>
      <c r="W654" s="725"/>
      <c r="X654" s="723"/>
      <c r="Y654" s="723"/>
      <c r="Z654" s="723"/>
      <c r="AA654" s="726"/>
      <c r="AB654" s="726"/>
      <c r="AC654" s="170"/>
      <c r="AD654" s="586"/>
      <c r="AE654" s="586"/>
      <c r="AF654" s="170"/>
      <c r="AG654" s="170"/>
      <c r="AH654" s="170"/>
      <c r="AI654" s="170"/>
      <c r="AJ654" s="170"/>
      <c r="AK654" s="170"/>
      <c r="AL654" s="170"/>
      <c r="AM654" s="170"/>
      <c r="AN654" s="170"/>
      <c r="AO654" s="170"/>
      <c r="AP654" s="170"/>
      <c r="AQ654" s="170"/>
      <c r="AR654" s="170"/>
      <c r="AS654" s="170"/>
    </row>
    <row r="655" spans="1:45" ht="15" x14ac:dyDescent="0.25">
      <c r="A655" s="170"/>
      <c r="B655" s="719"/>
      <c r="C655" s="170"/>
      <c r="D655" s="170"/>
      <c r="E655" s="170"/>
      <c r="F655" s="170"/>
      <c r="G655" s="721"/>
      <c r="H655" s="170"/>
      <c r="I655" s="170"/>
      <c r="J655" s="170"/>
      <c r="K655" s="170"/>
      <c r="L655" s="170"/>
      <c r="M655" s="730"/>
      <c r="N655" s="730"/>
      <c r="O655" s="730"/>
      <c r="P655" s="731"/>
      <c r="Q655" s="731"/>
      <c r="R655" s="730"/>
      <c r="S655" s="730"/>
      <c r="T655" s="723"/>
      <c r="U655" s="724"/>
      <c r="V655" s="725"/>
      <c r="W655" s="725"/>
      <c r="X655" s="723"/>
      <c r="Y655" s="723"/>
      <c r="Z655" s="723"/>
      <c r="AA655" s="726"/>
      <c r="AB655" s="726"/>
      <c r="AC655" s="170"/>
      <c r="AD655" s="586"/>
      <c r="AE655" s="586"/>
      <c r="AF655" s="170"/>
      <c r="AG655" s="170"/>
      <c r="AH655" s="170"/>
      <c r="AI655" s="170"/>
      <c r="AJ655" s="170"/>
      <c r="AK655" s="170"/>
      <c r="AL655" s="170"/>
      <c r="AM655" s="170"/>
      <c r="AN655" s="170"/>
      <c r="AO655" s="170"/>
      <c r="AP655" s="170"/>
      <c r="AQ655" s="170"/>
      <c r="AR655" s="170"/>
      <c r="AS655" s="170"/>
    </row>
    <row r="656" spans="1:45" ht="15" x14ac:dyDescent="0.25">
      <c r="A656" s="170"/>
      <c r="B656" s="719"/>
      <c r="C656" s="170"/>
      <c r="D656" s="170"/>
      <c r="E656" s="170"/>
      <c r="F656" s="170"/>
      <c r="G656" s="721"/>
      <c r="H656" s="170"/>
      <c r="I656" s="170"/>
      <c r="J656" s="170"/>
      <c r="K656" s="170"/>
      <c r="L656" s="170"/>
      <c r="M656" s="730"/>
      <c r="N656" s="730"/>
      <c r="O656" s="730"/>
      <c r="P656" s="731"/>
      <c r="Q656" s="731"/>
      <c r="R656" s="730"/>
      <c r="S656" s="730"/>
      <c r="T656" s="723"/>
      <c r="U656" s="724"/>
      <c r="V656" s="725"/>
      <c r="W656" s="725"/>
      <c r="X656" s="723"/>
      <c r="Y656" s="723"/>
      <c r="Z656" s="723"/>
      <c r="AA656" s="726"/>
      <c r="AB656" s="726"/>
      <c r="AC656" s="170"/>
      <c r="AD656" s="586"/>
      <c r="AE656" s="586"/>
      <c r="AF656" s="170"/>
      <c r="AG656" s="170"/>
      <c r="AH656" s="170"/>
      <c r="AI656" s="170"/>
      <c r="AJ656" s="170"/>
      <c r="AK656" s="170"/>
      <c r="AL656" s="170"/>
      <c r="AM656" s="170"/>
      <c r="AN656" s="170"/>
      <c r="AO656" s="170"/>
      <c r="AP656" s="170"/>
      <c r="AQ656" s="170"/>
      <c r="AR656" s="170"/>
      <c r="AS656" s="170"/>
    </row>
    <row r="657" spans="1:45" ht="15" x14ac:dyDescent="0.25">
      <c r="A657" s="170"/>
      <c r="B657" s="719"/>
      <c r="C657" s="170"/>
      <c r="D657" s="170"/>
      <c r="E657" s="170"/>
      <c r="F657" s="170"/>
      <c r="G657" s="721"/>
      <c r="H657" s="170"/>
      <c r="I657" s="170"/>
      <c r="J657" s="170"/>
      <c r="K657" s="170"/>
      <c r="L657" s="170"/>
      <c r="M657" s="730"/>
      <c r="N657" s="730"/>
      <c r="O657" s="730"/>
      <c r="P657" s="731"/>
      <c r="Q657" s="731"/>
      <c r="R657" s="730"/>
      <c r="S657" s="730"/>
      <c r="T657" s="723"/>
      <c r="U657" s="724"/>
      <c r="V657" s="725"/>
      <c r="W657" s="725"/>
      <c r="X657" s="723"/>
      <c r="Y657" s="723"/>
      <c r="Z657" s="723"/>
      <c r="AA657" s="726"/>
      <c r="AB657" s="726"/>
      <c r="AC657" s="170"/>
      <c r="AD657" s="586"/>
      <c r="AE657" s="586"/>
      <c r="AF657" s="170"/>
      <c r="AG657" s="170"/>
      <c r="AH657" s="170"/>
      <c r="AI657" s="170"/>
      <c r="AJ657" s="170"/>
      <c r="AK657" s="170"/>
      <c r="AL657" s="170"/>
      <c r="AM657" s="170"/>
      <c r="AN657" s="170"/>
      <c r="AO657" s="170"/>
      <c r="AP657" s="170"/>
      <c r="AQ657" s="170"/>
      <c r="AR657" s="170"/>
      <c r="AS657" s="170"/>
    </row>
    <row r="658" spans="1:45" ht="15" x14ac:dyDescent="0.25">
      <c r="A658" s="170"/>
      <c r="B658" s="719"/>
      <c r="C658" s="170"/>
      <c r="D658" s="170"/>
      <c r="E658" s="170"/>
      <c r="F658" s="170"/>
      <c r="G658" s="721"/>
      <c r="H658" s="170"/>
      <c r="I658" s="170"/>
      <c r="J658" s="170"/>
      <c r="K658" s="170"/>
      <c r="L658" s="170"/>
      <c r="M658" s="730"/>
      <c r="N658" s="730"/>
      <c r="O658" s="730"/>
      <c r="P658" s="731"/>
      <c r="Q658" s="731"/>
      <c r="R658" s="730"/>
      <c r="S658" s="730"/>
      <c r="T658" s="723"/>
      <c r="U658" s="724"/>
      <c r="V658" s="725"/>
      <c r="W658" s="725"/>
      <c r="X658" s="723"/>
      <c r="Y658" s="723"/>
      <c r="Z658" s="723"/>
      <c r="AA658" s="726"/>
      <c r="AB658" s="726"/>
      <c r="AC658" s="170"/>
      <c r="AD658" s="586"/>
      <c r="AE658" s="586"/>
      <c r="AF658" s="170"/>
      <c r="AG658" s="170"/>
      <c r="AH658" s="170"/>
      <c r="AI658" s="170"/>
      <c r="AJ658" s="170"/>
      <c r="AK658" s="170"/>
      <c r="AL658" s="170"/>
      <c r="AM658" s="170"/>
      <c r="AN658" s="170"/>
      <c r="AO658" s="170"/>
      <c r="AP658" s="170"/>
      <c r="AQ658" s="170"/>
      <c r="AR658" s="170"/>
      <c r="AS658" s="170"/>
    </row>
    <row r="659" spans="1:45" ht="15" x14ac:dyDescent="0.25">
      <c r="A659" s="170"/>
      <c r="B659" s="719"/>
      <c r="C659" s="170"/>
      <c r="D659" s="170"/>
      <c r="E659" s="170"/>
      <c r="F659" s="170"/>
      <c r="G659" s="721"/>
      <c r="H659" s="170"/>
      <c r="I659" s="170"/>
      <c r="J659" s="170"/>
      <c r="K659" s="170"/>
      <c r="L659" s="170"/>
      <c r="M659" s="730"/>
      <c r="N659" s="730"/>
      <c r="O659" s="730"/>
      <c r="P659" s="731"/>
      <c r="Q659" s="731"/>
      <c r="R659" s="730"/>
      <c r="S659" s="730"/>
      <c r="T659" s="723"/>
      <c r="U659" s="724"/>
      <c r="V659" s="725"/>
      <c r="W659" s="725"/>
      <c r="X659" s="723"/>
      <c r="Y659" s="723"/>
      <c r="Z659" s="723"/>
      <c r="AA659" s="726"/>
      <c r="AB659" s="726"/>
      <c r="AC659" s="170"/>
      <c r="AD659" s="586"/>
      <c r="AE659" s="586"/>
      <c r="AF659" s="170"/>
      <c r="AG659" s="170"/>
      <c r="AH659" s="170"/>
      <c r="AI659" s="170"/>
      <c r="AJ659" s="170"/>
      <c r="AK659" s="170"/>
      <c r="AL659" s="170"/>
      <c r="AM659" s="170"/>
      <c r="AN659" s="170"/>
      <c r="AO659" s="170"/>
      <c r="AP659" s="170"/>
      <c r="AQ659" s="170"/>
      <c r="AR659" s="170"/>
      <c r="AS659" s="170"/>
    </row>
    <row r="660" spans="1:45" ht="15" x14ac:dyDescent="0.25">
      <c r="A660" s="170"/>
      <c r="B660" s="719"/>
      <c r="C660" s="170"/>
      <c r="D660" s="170"/>
      <c r="E660" s="170"/>
      <c r="F660" s="170"/>
      <c r="G660" s="721"/>
      <c r="H660" s="170"/>
      <c r="I660" s="170"/>
      <c r="J660" s="170"/>
      <c r="K660" s="170"/>
      <c r="L660" s="170"/>
      <c r="M660" s="730"/>
      <c r="N660" s="730"/>
      <c r="O660" s="730"/>
      <c r="P660" s="731"/>
      <c r="Q660" s="731"/>
      <c r="R660" s="730"/>
      <c r="S660" s="730"/>
      <c r="T660" s="723"/>
      <c r="U660" s="724"/>
      <c r="V660" s="725"/>
      <c r="W660" s="725"/>
      <c r="X660" s="723"/>
      <c r="Y660" s="723"/>
      <c r="Z660" s="723"/>
      <c r="AA660" s="726"/>
      <c r="AB660" s="726"/>
      <c r="AC660" s="170"/>
      <c r="AD660" s="586"/>
      <c r="AE660" s="586"/>
      <c r="AF660" s="170"/>
      <c r="AG660" s="170"/>
      <c r="AH660" s="170"/>
      <c r="AI660" s="170"/>
      <c r="AJ660" s="170"/>
      <c r="AK660" s="170"/>
      <c r="AL660" s="170"/>
      <c r="AM660" s="170"/>
      <c r="AN660" s="170"/>
      <c r="AO660" s="170"/>
      <c r="AP660" s="170"/>
      <c r="AQ660" s="170"/>
      <c r="AR660" s="170"/>
      <c r="AS660" s="170"/>
    </row>
    <row r="661" spans="1:45" ht="15" x14ac:dyDescent="0.25">
      <c r="A661" s="170"/>
      <c r="B661" s="719"/>
      <c r="C661" s="170"/>
      <c r="D661" s="170"/>
      <c r="E661" s="170"/>
      <c r="F661" s="170"/>
      <c r="G661" s="721"/>
      <c r="H661" s="170"/>
      <c r="I661" s="170"/>
      <c r="J661" s="170"/>
      <c r="K661" s="170"/>
      <c r="L661" s="170"/>
      <c r="M661" s="730"/>
      <c r="N661" s="730"/>
      <c r="O661" s="730"/>
      <c r="P661" s="731"/>
      <c r="Q661" s="731"/>
      <c r="R661" s="730"/>
      <c r="S661" s="730"/>
      <c r="T661" s="723"/>
      <c r="U661" s="724"/>
      <c r="V661" s="725"/>
      <c r="W661" s="725"/>
      <c r="X661" s="723"/>
      <c r="Y661" s="723"/>
      <c r="Z661" s="723"/>
      <c r="AA661" s="726"/>
      <c r="AB661" s="726"/>
      <c r="AC661" s="170"/>
      <c r="AD661" s="586"/>
      <c r="AE661" s="586"/>
      <c r="AF661" s="170"/>
      <c r="AG661" s="170"/>
      <c r="AH661" s="170"/>
      <c r="AI661" s="170"/>
      <c r="AJ661" s="170"/>
      <c r="AK661" s="170"/>
      <c r="AL661" s="170"/>
      <c r="AM661" s="170"/>
      <c r="AN661" s="170"/>
      <c r="AO661" s="170"/>
      <c r="AP661" s="170"/>
      <c r="AQ661" s="170"/>
      <c r="AR661" s="170"/>
      <c r="AS661" s="170"/>
    </row>
    <row r="662" spans="1:45" ht="15" x14ac:dyDescent="0.25">
      <c r="A662" s="170"/>
      <c r="B662" s="719"/>
      <c r="C662" s="170"/>
      <c r="D662" s="170"/>
      <c r="E662" s="170"/>
      <c r="F662" s="170"/>
      <c r="G662" s="721"/>
      <c r="H662" s="170"/>
      <c r="I662" s="170"/>
      <c r="J662" s="170"/>
      <c r="K662" s="170"/>
      <c r="L662" s="170"/>
      <c r="M662" s="730"/>
      <c r="N662" s="730"/>
      <c r="O662" s="730"/>
      <c r="P662" s="731"/>
      <c r="Q662" s="731"/>
      <c r="R662" s="730"/>
      <c r="S662" s="730"/>
      <c r="T662" s="723"/>
      <c r="U662" s="724"/>
      <c r="V662" s="725"/>
      <c r="W662" s="725"/>
      <c r="X662" s="723"/>
      <c r="Y662" s="723"/>
      <c r="Z662" s="723"/>
      <c r="AA662" s="726"/>
      <c r="AB662" s="726"/>
      <c r="AC662" s="170"/>
      <c r="AD662" s="586"/>
      <c r="AE662" s="586"/>
      <c r="AF662" s="170"/>
      <c r="AG662" s="170"/>
      <c r="AH662" s="170"/>
      <c r="AI662" s="170"/>
      <c r="AJ662" s="170"/>
      <c r="AK662" s="170"/>
      <c r="AL662" s="170"/>
      <c r="AM662" s="170"/>
      <c r="AN662" s="170"/>
      <c r="AO662" s="170"/>
      <c r="AP662" s="170"/>
      <c r="AQ662" s="170"/>
      <c r="AR662" s="170"/>
      <c r="AS662" s="170"/>
    </row>
    <row r="663" spans="1:45" ht="15" x14ac:dyDescent="0.25">
      <c r="A663" s="170"/>
      <c r="B663" s="719"/>
      <c r="C663" s="170"/>
      <c r="D663" s="170"/>
      <c r="E663" s="170"/>
      <c r="F663" s="170"/>
      <c r="G663" s="721"/>
      <c r="H663" s="170"/>
      <c r="I663" s="170"/>
      <c r="J663" s="170"/>
      <c r="K663" s="170"/>
      <c r="L663" s="170"/>
      <c r="M663" s="730"/>
      <c r="N663" s="730"/>
      <c r="O663" s="730"/>
      <c r="P663" s="731"/>
      <c r="Q663" s="731"/>
      <c r="R663" s="730"/>
      <c r="S663" s="730"/>
      <c r="T663" s="723"/>
      <c r="U663" s="724"/>
      <c r="V663" s="725"/>
      <c r="W663" s="725"/>
      <c r="X663" s="723"/>
      <c r="Y663" s="723"/>
      <c r="Z663" s="723"/>
      <c r="AA663" s="726"/>
      <c r="AB663" s="726"/>
      <c r="AC663" s="170"/>
      <c r="AD663" s="586"/>
      <c r="AE663" s="586"/>
      <c r="AF663" s="170"/>
      <c r="AG663" s="170"/>
      <c r="AH663" s="170"/>
      <c r="AI663" s="170"/>
      <c r="AJ663" s="170"/>
      <c r="AK663" s="170"/>
      <c r="AL663" s="170"/>
      <c r="AM663" s="170"/>
      <c r="AN663" s="170"/>
      <c r="AO663" s="170"/>
      <c r="AP663" s="170"/>
      <c r="AQ663" s="170"/>
      <c r="AR663" s="170"/>
      <c r="AS663" s="170"/>
    </row>
    <row r="664" spans="1:45" ht="15" x14ac:dyDescent="0.25">
      <c r="A664" s="170"/>
      <c r="B664" s="719"/>
      <c r="C664" s="170"/>
      <c r="D664" s="170"/>
      <c r="E664" s="170"/>
      <c r="F664" s="170"/>
      <c r="G664" s="721"/>
      <c r="H664" s="170"/>
      <c r="I664" s="170"/>
      <c r="J664" s="170"/>
      <c r="K664" s="170"/>
      <c r="L664" s="170"/>
      <c r="M664" s="730"/>
      <c r="N664" s="730"/>
      <c r="O664" s="730"/>
      <c r="P664" s="731"/>
      <c r="Q664" s="731"/>
      <c r="R664" s="730"/>
      <c r="S664" s="730"/>
      <c r="T664" s="723"/>
      <c r="U664" s="724"/>
      <c r="V664" s="725"/>
      <c r="W664" s="725"/>
      <c r="X664" s="723"/>
      <c r="Y664" s="723"/>
      <c r="Z664" s="723"/>
      <c r="AA664" s="726"/>
      <c r="AB664" s="726"/>
      <c r="AC664" s="170"/>
      <c r="AD664" s="586"/>
      <c r="AE664" s="586"/>
      <c r="AF664" s="170"/>
      <c r="AG664" s="170"/>
      <c r="AH664" s="170"/>
      <c r="AI664" s="170"/>
      <c r="AJ664" s="170"/>
      <c r="AK664" s="170"/>
      <c r="AL664" s="170"/>
      <c r="AM664" s="170"/>
      <c r="AN664" s="170"/>
      <c r="AO664" s="170"/>
      <c r="AP664" s="170"/>
      <c r="AQ664" s="170"/>
      <c r="AR664" s="170"/>
      <c r="AS664" s="170"/>
    </row>
    <row r="665" spans="1:45" ht="15" x14ac:dyDescent="0.25">
      <c r="A665" s="170"/>
      <c r="B665" s="719"/>
      <c r="C665" s="170"/>
      <c r="D665" s="170"/>
      <c r="E665" s="170"/>
      <c r="F665" s="170"/>
      <c r="G665" s="721"/>
      <c r="H665" s="170"/>
      <c r="I665" s="170"/>
      <c r="J665" s="170"/>
      <c r="K665" s="170"/>
      <c r="L665" s="170"/>
      <c r="M665" s="730"/>
      <c r="N665" s="730"/>
      <c r="O665" s="730"/>
      <c r="P665" s="731"/>
      <c r="Q665" s="731"/>
      <c r="R665" s="730"/>
      <c r="S665" s="730"/>
      <c r="T665" s="723"/>
      <c r="U665" s="724"/>
      <c r="V665" s="725"/>
      <c r="W665" s="725"/>
      <c r="X665" s="723"/>
      <c r="Y665" s="723"/>
      <c r="Z665" s="723"/>
      <c r="AA665" s="726"/>
      <c r="AB665" s="726"/>
      <c r="AC665" s="170"/>
      <c r="AD665" s="586"/>
      <c r="AE665" s="586"/>
      <c r="AF665" s="170"/>
      <c r="AG665" s="170"/>
      <c r="AH665" s="170"/>
      <c r="AI665" s="170"/>
      <c r="AJ665" s="170"/>
      <c r="AK665" s="170"/>
      <c r="AL665" s="170"/>
      <c r="AM665" s="170"/>
      <c r="AN665" s="170"/>
      <c r="AO665" s="170"/>
      <c r="AP665" s="170"/>
      <c r="AQ665" s="170"/>
      <c r="AR665" s="170"/>
      <c r="AS665" s="170"/>
    </row>
    <row r="666" spans="1:45" ht="15" x14ac:dyDescent="0.25">
      <c r="A666" s="170"/>
      <c r="B666" s="719"/>
      <c r="C666" s="170"/>
      <c r="D666" s="170"/>
      <c r="E666" s="170"/>
      <c r="F666" s="170"/>
      <c r="G666" s="721"/>
      <c r="H666" s="170"/>
      <c r="I666" s="170"/>
      <c r="J666" s="170"/>
      <c r="K666" s="170"/>
      <c r="L666" s="170"/>
      <c r="M666" s="730"/>
      <c r="N666" s="730"/>
      <c r="O666" s="730"/>
      <c r="P666" s="731"/>
      <c r="Q666" s="731"/>
      <c r="R666" s="730"/>
      <c r="S666" s="730"/>
      <c r="T666" s="723"/>
      <c r="U666" s="724"/>
      <c r="V666" s="725"/>
      <c r="W666" s="725"/>
      <c r="X666" s="723"/>
      <c r="Y666" s="723"/>
      <c r="Z666" s="723"/>
      <c r="AA666" s="726"/>
      <c r="AB666" s="726"/>
      <c r="AC666" s="170"/>
      <c r="AD666" s="586"/>
      <c r="AE666" s="586"/>
      <c r="AF666" s="170"/>
      <c r="AG666" s="170"/>
      <c r="AH666" s="170"/>
      <c r="AI666" s="170"/>
      <c r="AJ666" s="170"/>
      <c r="AK666" s="170"/>
      <c r="AL666" s="170"/>
      <c r="AM666" s="170"/>
      <c r="AN666" s="170"/>
      <c r="AO666" s="170"/>
      <c r="AP666" s="170"/>
      <c r="AQ666" s="170"/>
      <c r="AR666" s="170"/>
      <c r="AS666" s="170"/>
    </row>
    <row r="667" spans="1:45" ht="15" x14ac:dyDescent="0.25">
      <c r="A667" s="170"/>
      <c r="B667" s="719"/>
      <c r="C667" s="170"/>
      <c r="D667" s="170"/>
      <c r="E667" s="170"/>
      <c r="F667" s="170"/>
      <c r="G667" s="721"/>
      <c r="H667" s="170"/>
      <c r="I667" s="170"/>
      <c r="J667" s="170"/>
      <c r="K667" s="170"/>
      <c r="L667" s="170"/>
      <c r="M667" s="730"/>
      <c r="N667" s="730"/>
      <c r="O667" s="730"/>
      <c r="P667" s="731"/>
      <c r="Q667" s="731"/>
      <c r="R667" s="730"/>
      <c r="S667" s="730"/>
      <c r="T667" s="723"/>
      <c r="U667" s="724"/>
      <c r="V667" s="725"/>
      <c r="W667" s="725"/>
      <c r="X667" s="723"/>
      <c r="Y667" s="723"/>
      <c r="Z667" s="723"/>
      <c r="AA667" s="726"/>
      <c r="AB667" s="726"/>
      <c r="AC667" s="170"/>
      <c r="AD667" s="586"/>
      <c r="AE667" s="586"/>
      <c r="AF667" s="170"/>
      <c r="AG667" s="170"/>
      <c r="AH667" s="170"/>
      <c r="AI667" s="170"/>
      <c r="AJ667" s="170"/>
      <c r="AK667" s="170"/>
      <c r="AL667" s="170"/>
      <c r="AM667" s="170"/>
      <c r="AN667" s="170"/>
      <c r="AO667" s="170"/>
      <c r="AP667" s="170"/>
      <c r="AQ667" s="170"/>
      <c r="AR667" s="170"/>
      <c r="AS667" s="170"/>
    </row>
    <row r="668" spans="1:45" ht="15" x14ac:dyDescent="0.25">
      <c r="A668" s="170"/>
      <c r="B668" s="719"/>
      <c r="C668" s="170"/>
      <c r="D668" s="170"/>
      <c r="E668" s="170"/>
      <c r="F668" s="170"/>
      <c r="G668" s="721"/>
      <c r="H668" s="170"/>
      <c r="I668" s="170"/>
      <c r="J668" s="170"/>
      <c r="K668" s="170"/>
      <c r="L668" s="170"/>
      <c r="M668" s="730"/>
      <c r="N668" s="730"/>
      <c r="O668" s="730"/>
      <c r="P668" s="731"/>
      <c r="Q668" s="731"/>
      <c r="R668" s="730"/>
      <c r="S668" s="730"/>
      <c r="T668" s="723"/>
      <c r="U668" s="724"/>
      <c r="V668" s="725"/>
      <c r="W668" s="725"/>
      <c r="X668" s="723"/>
      <c r="Y668" s="723"/>
      <c r="Z668" s="723"/>
      <c r="AA668" s="726"/>
      <c r="AB668" s="726"/>
      <c r="AC668" s="170"/>
      <c r="AD668" s="586"/>
      <c r="AE668" s="586"/>
      <c r="AF668" s="170"/>
      <c r="AG668" s="170"/>
      <c r="AH668" s="170"/>
      <c r="AI668" s="170"/>
      <c r="AJ668" s="170"/>
      <c r="AK668" s="170"/>
      <c r="AL668" s="170"/>
      <c r="AM668" s="170"/>
      <c r="AN668" s="170"/>
      <c r="AO668" s="170"/>
      <c r="AP668" s="170"/>
      <c r="AQ668" s="170"/>
      <c r="AR668" s="170"/>
      <c r="AS668" s="170"/>
    </row>
    <row r="669" spans="1:45" ht="15" x14ac:dyDescent="0.25">
      <c r="A669" s="170"/>
      <c r="B669" s="719"/>
      <c r="C669" s="170"/>
      <c r="D669" s="170"/>
      <c r="E669" s="170"/>
      <c r="F669" s="170"/>
      <c r="G669" s="721"/>
      <c r="H669" s="170"/>
      <c r="I669" s="170"/>
      <c r="J669" s="170"/>
      <c r="K669" s="170"/>
      <c r="L669" s="170"/>
      <c r="M669" s="730"/>
      <c r="N669" s="730"/>
      <c r="O669" s="730"/>
      <c r="P669" s="731"/>
      <c r="Q669" s="731"/>
      <c r="R669" s="730"/>
      <c r="S669" s="730"/>
      <c r="T669" s="723"/>
      <c r="U669" s="724"/>
      <c r="V669" s="725"/>
      <c r="W669" s="725"/>
      <c r="X669" s="723"/>
      <c r="Y669" s="723"/>
      <c r="Z669" s="723"/>
      <c r="AA669" s="726"/>
      <c r="AB669" s="726"/>
      <c r="AC669" s="170"/>
      <c r="AD669" s="586"/>
      <c r="AE669" s="586"/>
      <c r="AF669" s="170"/>
      <c r="AG669" s="170"/>
      <c r="AH669" s="170"/>
      <c r="AI669" s="170"/>
      <c r="AJ669" s="170"/>
      <c r="AK669" s="170"/>
      <c r="AL669" s="170"/>
      <c r="AM669" s="170"/>
      <c r="AN669" s="170"/>
      <c r="AO669" s="170"/>
      <c r="AP669" s="170"/>
      <c r="AQ669" s="170"/>
      <c r="AR669" s="170"/>
      <c r="AS669" s="170"/>
    </row>
    <row r="670" spans="1:45" ht="15" x14ac:dyDescent="0.25">
      <c r="A670" s="170"/>
      <c r="B670" s="719"/>
      <c r="C670" s="170"/>
      <c r="D670" s="170"/>
      <c r="E670" s="170"/>
      <c r="F670" s="170"/>
      <c r="G670" s="721"/>
      <c r="H670" s="170"/>
      <c r="I670" s="170"/>
      <c r="J670" s="170"/>
      <c r="K670" s="170"/>
      <c r="L670" s="170"/>
      <c r="M670" s="730"/>
      <c r="N670" s="730"/>
      <c r="O670" s="730"/>
      <c r="P670" s="731"/>
      <c r="Q670" s="731"/>
      <c r="R670" s="730"/>
      <c r="S670" s="730"/>
      <c r="T670" s="723"/>
      <c r="U670" s="724"/>
      <c r="V670" s="725"/>
      <c r="W670" s="725"/>
      <c r="X670" s="723"/>
      <c r="Y670" s="723"/>
      <c r="Z670" s="723"/>
      <c r="AA670" s="726"/>
      <c r="AB670" s="726"/>
      <c r="AC670" s="170"/>
      <c r="AD670" s="586"/>
      <c r="AE670" s="586"/>
      <c r="AF670" s="170"/>
      <c r="AG670" s="170"/>
      <c r="AH670" s="170"/>
      <c r="AI670" s="170"/>
      <c r="AJ670" s="170"/>
      <c r="AK670" s="170"/>
      <c r="AL670" s="170"/>
      <c r="AM670" s="170"/>
      <c r="AN670" s="170"/>
      <c r="AO670" s="170"/>
      <c r="AP670" s="170"/>
      <c r="AQ670" s="170"/>
      <c r="AR670" s="170"/>
      <c r="AS670" s="170"/>
    </row>
    <row r="671" spans="1:45" ht="15" x14ac:dyDescent="0.25">
      <c r="A671" s="170"/>
      <c r="B671" s="719"/>
      <c r="C671" s="170"/>
      <c r="D671" s="170"/>
      <c r="E671" s="170"/>
      <c r="F671" s="170"/>
      <c r="G671" s="721"/>
      <c r="H671" s="170"/>
      <c r="I671" s="170"/>
      <c r="J671" s="170"/>
      <c r="K671" s="170"/>
      <c r="L671" s="170"/>
      <c r="M671" s="730"/>
      <c r="N671" s="730"/>
      <c r="O671" s="730"/>
      <c r="P671" s="731"/>
      <c r="Q671" s="731"/>
      <c r="R671" s="730"/>
      <c r="S671" s="730"/>
      <c r="T671" s="723"/>
      <c r="U671" s="724"/>
      <c r="V671" s="725"/>
      <c r="W671" s="725"/>
      <c r="X671" s="723"/>
      <c r="Y671" s="723"/>
      <c r="Z671" s="723"/>
      <c r="AA671" s="726"/>
      <c r="AB671" s="726"/>
      <c r="AC671" s="170"/>
      <c r="AD671" s="586"/>
      <c r="AE671" s="586"/>
      <c r="AF671" s="170"/>
      <c r="AG671" s="170"/>
      <c r="AH671" s="170"/>
      <c r="AI671" s="170"/>
      <c r="AJ671" s="170"/>
      <c r="AK671" s="170"/>
      <c r="AL671" s="170"/>
      <c r="AM671" s="170"/>
      <c r="AN671" s="170"/>
      <c r="AO671" s="170"/>
      <c r="AP671" s="170"/>
      <c r="AQ671" s="170"/>
      <c r="AR671" s="170"/>
      <c r="AS671" s="170"/>
    </row>
    <row r="672" spans="1:45" ht="15" x14ac:dyDescent="0.25">
      <c r="A672" s="170"/>
      <c r="B672" s="719"/>
      <c r="C672" s="170"/>
      <c r="D672" s="170"/>
      <c r="E672" s="170"/>
      <c r="F672" s="170"/>
      <c r="G672" s="721"/>
      <c r="H672" s="170"/>
      <c r="I672" s="170"/>
      <c r="J672" s="170"/>
      <c r="K672" s="170"/>
      <c r="L672" s="170"/>
      <c r="M672" s="730"/>
      <c r="N672" s="730"/>
      <c r="O672" s="730"/>
      <c r="P672" s="731"/>
      <c r="Q672" s="731"/>
      <c r="R672" s="730"/>
      <c r="S672" s="730"/>
      <c r="T672" s="723"/>
      <c r="U672" s="724"/>
      <c r="V672" s="725"/>
      <c r="W672" s="725"/>
      <c r="X672" s="723"/>
      <c r="Y672" s="723"/>
      <c r="Z672" s="723"/>
      <c r="AA672" s="726"/>
      <c r="AB672" s="726"/>
      <c r="AC672" s="170"/>
      <c r="AD672" s="586"/>
      <c r="AE672" s="586"/>
      <c r="AF672" s="170"/>
      <c r="AG672" s="170"/>
      <c r="AH672" s="170"/>
      <c r="AI672" s="170"/>
      <c r="AJ672" s="170"/>
      <c r="AK672" s="170"/>
      <c r="AL672" s="170"/>
      <c r="AM672" s="170"/>
      <c r="AN672" s="170"/>
      <c r="AO672" s="170"/>
      <c r="AP672" s="170"/>
      <c r="AQ672" s="170"/>
      <c r="AR672" s="170"/>
      <c r="AS672" s="170"/>
    </row>
    <row r="673" spans="1:45" ht="15" x14ac:dyDescent="0.25">
      <c r="A673" s="170"/>
      <c r="B673" s="719"/>
      <c r="C673" s="170"/>
      <c r="D673" s="170"/>
      <c r="E673" s="170"/>
      <c r="F673" s="170"/>
      <c r="G673" s="721"/>
      <c r="H673" s="170"/>
      <c r="I673" s="170"/>
      <c r="J673" s="170"/>
      <c r="K673" s="170"/>
      <c r="L673" s="170"/>
      <c r="M673" s="730"/>
      <c r="N673" s="730"/>
      <c r="O673" s="730"/>
      <c r="P673" s="731"/>
      <c r="Q673" s="731"/>
      <c r="R673" s="730"/>
      <c r="S673" s="730"/>
      <c r="T673" s="723"/>
      <c r="U673" s="724"/>
      <c r="V673" s="725"/>
      <c r="W673" s="725"/>
      <c r="X673" s="723"/>
      <c r="Y673" s="723"/>
      <c r="Z673" s="723"/>
      <c r="AA673" s="726"/>
      <c r="AB673" s="726"/>
      <c r="AC673" s="170"/>
      <c r="AD673" s="586"/>
      <c r="AE673" s="586"/>
      <c r="AF673" s="170"/>
      <c r="AG673" s="170"/>
      <c r="AH673" s="170"/>
      <c r="AI673" s="170"/>
      <c r="AJ673" s="170"/>
      <c r="AK673" s="170"/>
      <c r="AL673" s="170"/>
      <c r="AM673" s="170"/>
      <c r="AN673" s="170"/>
      <c r="AO673" s="170"/>
      <c r="AP673" s="170"/>
      <c r="AQ673" s="170"/>
      <c r="AR673" s="170"/>
      <c r="AS673" s="170"/>
    </row>
    <row r="674" spans="1:45" ht="15" x14ac:dyDescent="0.25">
      <c r="A674" s="170"/>
      <c r="B674" s="719"/>
      <c r="C674" s="170"/>
      <c r="D674" s="170"/>
      <c r="E674" s="170"/>
      <c r="F674" s="170"/>
      <c r="G674" s="721"/>
      <c r="H674" s="170"/>
      <c r="I674" s="170"/>
      <c r="J674" s="170"/>
      <c r="K674" s="170"/>
      <c r="L674" s="170"/>
      <c r="M674" s="730"/>
      <c r="N674" s="730"/>
      <c r="O674" s="730"/>
      <c r="P674" s="731"/>
      <c r="Q674" s="731"/>
      <c r="R674" s="730"/>
      <c r="S674" s="730"/>
      <c r="T674" s="723"/>
      <c r="U674" s="724"/>
      <c r="V674" s="725"/>
      <c r="W674" s="725"/>
      <c r="X674" s="723"/>
      <c r="Y674" s="723"/>
      <c r="Z674" s="723"/>
      <c r="AA674" s="726"/>
      <c r="AB674" s="726"/>
      <c r="AC674" s="170"/>
      <c r="AD674" s="586"/>
      <c r="AE674" s="586"/>
      <c r="AF674" s="170"/>
      <c r="AG674" s="170"/>
      <c r="AH674" s="170"/>
      <c r="AI674" s="170"/>
      <c r="AJ674" s="170"/>
      <c r="AK674" s="170"/>
      <c r="AL674" s="170"/>
      <c r="AM674" s="170"/>
      <c r="AN674" s="170"/>
      <c r="AO674" s="170"/>
      <c r="AP674" s="170"/>
      <c r="AQ674" s="170"/>
      <c r="AR674" s="170"/>
      <c r="AS674" s="170"/>
    </row>
    <row r="675" spans="1:45" ht="15" x14ac:dyDescent="0.25">
      <c r="A675" s="170"/>
      <c r="B675" s="719"/>
      <c r="C675" s="170"/>
      <c r="D675" s="170"/>
      <c r="E675" s="170"/>
      <c r="F675" s="170"/>
      <c r="G675" s="721"/>
      <c r="H675" s="170"/>
      <c r="I675" s="170"/>
      <c r="J675" s="170"/>
      <c r="K675" s="170"/>
      <c r="L675" s="170"/>
      <c r="M675" s="730"/>
      <c r="N675" s="730"/>
      <c r="O675" s="730"/>
      <c r="P675" s="731"/>
      <c r="Q675" s="731"/>
      <c r="R675" s="730"/>
      <c r="S675" s="730"/>
      <c r="T675" s="723"/>
      <c r="U675" s="724"/>
      <c r="V675" s="725"/>
      <c r="W675" s="725"/>
      <c r="X675" s="723"/>
      <c r="Y675" s="723"/>
      <c r="Z675" s="723"/>
      <c r="AA675" s="726"/>
      <c r="AB675" s="726"/>
      <c r="AC675" s="170"/>
      <c r="AD675" s="586"/>
      <c r="AE675" s="586"/>
      <c r="AF675" s="170"/>
      <c r="AG675" s="170"/>
      <c r="AH675" s="170"/>
      <c r="AI675" s="170"/>
      <c r="AJ675" s="170"/>
      <c r="AK675" s="170"/>
      <c r="AL675" s="170"/>
      <c r="AM675" s="170"/>
      <c r="AN675" s="170"/>
      <c r="AO675" s="170"/>
      <c r="AP675" s="170"/>
      <c r="AQ675" s="170"/>
      <c r="AR675" s="170"/>
      <c r="AS675" s="170"/>
    </row>
    <row r="676" spans="1:45" ht="15" x14ac:dyDescent="0.25">
      <c r="A676" s="170"/>
      <c r="B676" s="719"/>
      <c r="C676" s="170"/>
      <c r="D676" s="170"/>
      <c r="E676" s="170"/>
      <c r="F676" s="170"/>
      <c r="G676" s="721"/>
      <c r="H676" s="170"/>
      <c r="I676" s="170"/>
      <c r="J676" s="170"/>
      <c r="K676" s="170"/>
      <c r="L676" s="170"/>
      <c r="M676" s="730"/>
      <c r="N676" s="730"/>
      <c r="O676" s="730"/>
      <c r="P676" s="731"/>
      <c r="Q676" s="731"/>
      <c r="R676" s="730"/>
      <c r="S676" s="730"/>
      <c r="T676" s="723"/>
      <c r="U676" s="724"/>
      <c r="V676" s="725"/>
      <c r="W676" s="725"/>
      <c r="X676" s="723"/>
      <c r="Y676" s="723"/>
      <c r="Z676" s="723"/>
      <c r="AA676" s="726"/>
      <c r="AB676" s="726"/>
      <c r="AC676" s="170"/>
      <c r="AD676" s="586"/>
      <c r="AE676" s="586"/>
      <c r="AF676" s="170"/>
      <c r="AG676" s="170"/>
      <c r="AH676" s="170"/>
      <c r="AI676" s="170"/>
      <c r="AJ676" s="170"/>
      <c r="AK676" s="170"/>
      <c r="AL676" s="170"/>
      <c r="AM676" s="170"/>
      <c r="AN676" s="170"/>
      <c r="AO676" s="170"/>
      <c r="AP676" s="170"/>
      <c r="AQ676" s="170"/>
      <c r="AR676" s="170"/>
      <c r="AS676" s="170"/>
    </row>
    <row r="677" spans="1:45" ht="15" x14ac:dyDescent="0.25">
      <c r="A677" s="170"/>
      <c r="B677" s="719"/>
      <c r="C677" s="170"/>
      <c r="D677" s="170"/>
      <c r="E677" s="170"/>
      <c r="F677" s="170"/>
      <c r="G677" s="721"/>
      <c r="H677" s="170"/>
      <c r="I677" s="170"/>
      <c r="J677" s="170"/>
      <c r="K677" s="170"/>
      <c r="L677" s="170"/>
      <c r="M677" s="730"/>
      <c r="N677" s="730"/>
      <c r="O677" s="730"/>
      <c r="P677" s="731"/>
      <c r="Q677" s="731"/>
      <c r="R677" s="730"/>
      <c r="S677" s="730"/>
      <c r="T677" s="723"/>
      <c r="U677" s="724"/>
      <c r="V677" s="725"/>
      <c r="W677" s="725"/>
      <c r="X677" s="723"/>
      <c r="Y677" s="723"/>
      <c r="Z677" s="723"/>
      <c r="AA677" s="726"/>
      <c r="AB677" s="726"/>
      <c r="AC677" s="170"/>
      <c r="AD677" s="586"/>
      <c r="AE677" s="586"/>
      <c r="AF677" s="170"/>
      <c r="AG677" s="170"/>
      <c r="AH677" s="170"/>
      <c r="AI677" s="170"/>
      <c r="AJ677" s="170"/>
      <c r="AK677" s="170"/>
      <c r="AL677" s="170"/>
      <c r="AM677" s="170"/>
      <c r="AN677" s="170"/>
      <c r="AO677" s="170"/>
      <c r="AP677" s="170"/>
      <c r="AQ677" s="170"/>
      <c r="AR677" s="170"/>
      <c r="AS677" s="170"/>
    </row>
    <row r="678" spans="1:45" ht="15" x14ac:dyDescent="0.25">
      <c r="A678" s="170"/>
      <c r="B678" s="719"/>
      <c r="C678" s="170"/>
      <c r="D678" s="170"/>
      <c r="E678" s="170"/>
      <c r="F678" s="170"/>
      <c r="G678" s="721"/>
      <c r="H678" s="170"/>
      <c r="I678" s="170"/>
      <c r="J678" s="170"/>
      <c r="K678" s="170"/>
      <c r="L678" s="170"/>
      <c r="M678" s="730"/>
      <c r="N678" s="730"/>
      <c r="O678" s="730"/>
      <c r="P678" s="731"/>
      <c r="Q678" s="731"/>
      <c r="R678" s="730"/>
      <c r="S678" s="730"/>
      <c r="T678" s="723"/>
      <c r="U678" s="724"/>
      <c r="V678" s="725"/>
      <c r="W678" s="725"/>
      <c r="X678" s="723"/>
      <c r="Y678" s="723"/>
      <c r="Z678" s="723"/>
      <c r="AA678" s="726"/>
      <c r="AB678" s="726"/>
      <c r="AC678" s="170"/>
      <c r="AD678" s="586"/>
      <c r="AE678" s="586"/>
      <c r="AF678" s="170"/>
      <c r="AG678" s="170"/>
      <c r="AH678" s="170"/>
      <c r="AI678" s="170"/>
      <c r="AJ678" s="170"/>
      <c r="AK678" s="170"/>
      <c r="AL678" s="170"/>
      <c r="AM678" s="170"/>
      <c r="AN678" s="170"/>
      <c r="AO678" s="170"/>
      <c r="AP678" s="170"/>
      <c r="AQ678" s="170"/>
      <c r="AR678" s="170"/>
      <c r="AS678" s="170"/>
    </row>
    <row r="679" spans="1:45" ht="15" x14ac:dyDescent="0.25">
      <c r="A679" s="170"/>
      <c r="B679" s="719"/>
      <c r="C679" s="170"/>
      <c r="D679" s="170"/>
      <c r="E679" s="170"/>
      <c r="F679" s="170"/>
      <c r="G679" s="721"/>
      <c r="H679" s="170"/>
      <c r="I679" s="170"/>
      <c r="J679" s="170"/>
      <c r="K679" s="170"/>
      <c r="L679" s="170"/>
      <c r="M679" s="730"/>
      <c r="N679" s="730"/>
      <c r="O679" s="730"/>
      <c r="P679" s="731"/>
      <c r="Q679" s="731"/>
      <c r="R679" s="730"/>
      <c r="S679" s="730"/>
      <c r="T679" s="723"/>
      <c r="U679" s="724"/>
      <c r="V679" s="725"/>
      <c r="W679" s="725"/>
      <c r="X679" s="723"/>
      <c r="Y679" s="723"/>
      <c r="Z679" s="723"/>
      <c r="AA679" s="726"/>
      <c r="AB679" s="726"/>
      <c r="AC679" s="170"/>
      <c r="AD679" s="586"/>
      <c r="AE679" s="586"/>
      <c r="AF679" s="170"/>
      <c r="AG679" s="170"/>
      <c r="AH679" s="170"/>
      <c r="AI679" s="170"/>
      <c r="AJ679" s="170"/>
      <c r="AK679" s="170"/>
      <c r="AL679" s="170"/>
      <c r="AM679" s="170"/>
      <c r="AN679" s="170"/>
      <c r="AO679" s="170"/>
      <c r="AP679" s="170"/>
      <c r="AQ679" s="170"/>
      <c r="AR679" s="170"/>
      <c r="AS679" s="170"/>
    </row>
    <row r="680" spans="1:45" ht="15" x14ac:dyDescent="0.25">
      <c r="A680" s="170"/>
      <c r="B680" s="719"/>
      <c r="C680" s="170"/>
      <c r="D680" s="170"/>
      <c r="E680" s="170"/>
      <c r="F680" s="170"/>
      <c r="G680" s="721"/>
      <c r="H680" s="170"/>
      <c r="I680" s="170"/>
      <c r="J680" s="170"/>
      <c r="K680" s="170"/>
      <c r="L680" s="170"/>
      <c r="M680" s="730"/>
      <c r="N680" s="730"/>
      <c r="O680" s="730"/>
      <c r="P680" s="731"/>
      <c r="Q680" s="731"/>
      <c r="R680" s="730"/>
      <c r="S680" s="730"/>
      <c r="T680" s="723"/>
      <c r="U680" s="724"/>
      <c r="V680" s="725"/>
      <c r="W680" s="725"/>
      <c r="X680" s="723"/>
      <c r="Y680" s="723"/>
      <c r="Z680" s="723"/>
      <c r="AA680" s="726"/>
      <c r="AB680" s="726"/>
      <c r="AC680" s="170"/>
      <c r="AD680" s="586"/>
      <c r="AE680" s="586"/>
      <c r="AF680" s="170"/>
      <c r="AG680" s="170"/>
      <c r="AH680" s="170"/>
      <c r="AI680" s="170"/>
      <c r="AJ680" s="170"/>
      <c r="AK680" s="170"/>
      <c r="AL680" s="170"/>
      <c r="AM680" s="170"/>
      <c r="AN680" s="170"/>
      <c r="AO680" s="170"/>
      <c r="AP680" s="170"/>
      <c r="AQ680" s="170"/>
      <c r="AR680" s="170"/>
      <c r="AS680" s="170"/>
    </row>
    <row r="681" spans="1:45" ht="15" x14ac:dyDescent="0.25">
      <c r="A681" s="170"/>
      <c r="B681" s="719"/>
      <c r="C681" s="170"/>
      <c r="D681" s="170"/>
      <c r="E681" s="170"/>
      <c r="F681" s="170"/>
      <c r="G681" s="721"/>
      <c r="H681" s="170"/>
      <c r="I681" s="170"/>
      <c r="J681" s="170"/>
      <c r="K681" s="170"/>
      <c r="L681" s="170"/>
      <c r="M681" s="730"/>
      <c r="N681" s="730"/>
      <c r="O681" s="730"/>
      <c r="P681" s="731"/>
      <c r="Q681" s="731"/>
      <c r="R681" s="730"/>
      <c r="S681" s="730"/>
      <c r="T681" s="723"/>
      <c r="U681" s="724"/>
      <c r="V681" s="725"/>
      <c r="W681" s="725"/>
      <c r="X681" s="723"/>
      <c r="Y681" s="723"/>
      <c r="Z681" s="723"/>
      <c r="AA681" s="726"/>
      <c r="AB681" s="726"/>
      <c r="AC681" s="170"/>
      <c r="AD681" s="586"/>
      <c r="AE681" s="586"/>
      <c r="AF681" s="170"/>
      <c r="AG681" s="170"/>
      <c r="AH681" s="170"/>
      <c r="AI681" s="170"/>
      <c r="AJ681" s="170"/>
      <c r="AK681" s="170"/>
      <c r="AL681" s="170"/>
      <c r="AM681" s="170"/>
      <c r="AN681" s="170"/>
      <c r="AO681" s="170"/>
      <c r="AP681" s="170"/>
      <c r="AQ681" s="170"/>
      <c r="AR681" s="170"/>
      <c r="AS681" s="170"/>
    </row>
    <row r="682" spans="1:45" ht="15" x14ac:dyDescent="0.25">
      <c r="A682" s="170"/>
      <c r="B682" s="719"/>
      <c r="C682" s="170"/>
      <c r="D682" s="170"/>
      <c r="E682" s="170"/>
      <c r="F682" s="170"/>
      <c r="G682" s="721"/>
      <c r="H682" s="170"/>
      <c r="I682" s="170"/>
      <c r="J682" s="170"/>
      <c r="K682" s="170"/>
      <c r="L682" s="170"/>
      <c r="M682" s="730"/>
      <c r="N682" s="730"/>
      <c r="O682" s="730"/>
      <c r="P682" s="731"/>
      <c r="Q682" s="731"/>
      <c r="R682" s="730"/>
      <c r="S682" s="730"/>
      <c r="T682" s="723"/>
      <c r="U682" s="724"/>
      <c r="V682" s="725"/>
      <c r="W682" s="725"/>
      <c r="X682" s="723"/>
      <c r="Y682" s="723"/>
      <c r="Z682" s="723"/>
      <c r="AA682" s="726"/>
      <c r="AB682" s="726"/>
      <c r="AC682" s="170"/>
      <c r="AD682" s="586"/>
      <c r="AE682" s="586"/>
      <c r="AF682" s="170"/>
      <c r="AG682" s="170"/>
      <c r="AH682" s="170"/>
      <c r="AI682" s="170"/>
      <c r="AJ682" s="170"/>
      <c r="AK682" s="170"/>
      <c r="AL682" s="170"/>
      <c r="AM682" s="170"/>
      <c r="AN682" s="170"/>
      <c r="AO682" s="170"/>
      <c r="AP682" s="170"/>
      <c r="AQ682" s="170"/>
      <c r="AR682" s="170"/>
      <c r="AS682" s="170"/>
    </row>
    <row r="683" spans="1:45" ht="15" x14ac:dyDescent="0.25">
      <c r="A683" s="170"/>
      <c r="B683" s="719"/>
      <c r="C683" s="170"/>
      <c r="D683" s="170"/>
      <c r="E683" s="170"/>
      <c r="F683" s="170"/>
      <c r="G683" s="721"/>
      <c r="H683" s="170"/>
      <c r="I683" s="170"/>
      <c r="J683" s="170"/>
      <c r="K683" s="170"/>
      <c r="L683" s="170"/>
      <c r="M683" s="730"/>
      <c r="N683" s="730"/>
      <c r="O683" s="730"/>
      <c r="P683" s="731"/>
      <c r="Q683" s="731"/>
      <c r="R683" s="730"/>
      <c r="S683" s="730"/>
      <c r="T683" s="723"/>
      <c r="U683" s="724"/>
      <c r="V683" s="725"/>
      <c r="W683" s="725"/>
      <c r="X683" s="723"/>
      <c r="Y683" s="723"/>
      <c r="Z683" s="723"/>
      <c r="AA683" s="726"/>
      <c r="AB683" s="726"/>
      <c r="AC683" s="170"/>
      <c r="AD683" s="586"/>
      <c r="AE683" s="586"/>
      <c r="AF683" s="170"/>
      <c r="AG683" s="170"/>
      <c r="AH683" s="170"/>
      <c r="AI683" s="170"/>
      <c r="AJ683" s="170"/>
      <c r="AK683" s="170"/>
      <c r="AL683" s="170"/>
      <c r="AM683" s="170"/>
      <c r="AN683" s="170"/>
      <c r="AO683" s="170"/>
      <c r="AP683" s="170"/>
      <c r="AQ683" s="170"/>
      <c r="AR683" s="170"/>
      <c r="AS683" s="170"/>
    </row>
    <row r="684" spans="1:45" ht="15" x14ac:dyDescent="0.25">
      <c r="A684" s="170"/>
      <c r="B684" s="719"/>
      <c r="C684" s="170"/>
      <c r="D684" s="170"/>
      <c r="E684" s="170"/>
      <c r="F684" s="170"/>
      <c r="G684" s="721"/>
      <c r="H684" s="170"/>
      <c r="I684" s="170"/>
      <c r="J684" s="170"/>
      <c r="K684" s="170"/>
      <c r="L684" s="170"/>
      <c r="M684" s="730"/>
      <c r="N684" s="730"/>
      <c r="O684" s="730"/>
      <c r="P684" s="731"/>
      <c r="Q684" s="731"/>
      <c r="R684" s="730"/>
      <c r="S684" s="730"/>
      <c r="T684" s="723"/>
      <c r="U684" s="724"/>
      <c r="V684" s="725"/>
      <c r="W684" s="725"/>
      <c r="X684" s="723"/>
      <c r="Y684" s="723"/>
      <c r="Z684" s="723"/>
      <c r="AA684" s="726"/>
      <c r="AB684" s="726"/>
      <c r="AC684" s="170"/>
      <c r="AD684" s="586"/>
      <c r="AE684" s="586"/>
      <c r="AF684" s="170"/>
      <c r="AG684" s="170"/>
      <c r="AH684" s="170"/>
      <c r="AI684" s="170"/>
      <c r="AJ684" s="170"/>
      <c r="AK684" s="170"/>
      <c r="AL684" s="170"/>
      <c r="AM684" s="170"/>
      <c r="AN684" s="170"/>
      <c r="AO684" s="170"/>
      <c r="AP684" s="170"/>
      <c r="AQ684" s="170"/>
      <c r="AR684" s="170"/>
      <c r="AS684" s="170"/>
    </row>
    <row r="685" spans="1:45" ht="15" x14ac:dyDescent="0.25">
      <c r="A685" s="170"/>
      <c r="B685" s="719"/>
      <c r="C685" s="170"/>
      <c r="D685" s="170"/>
      <c r="E685" s="170"/>
      <c r="F685" s="170"/>
      <c r="G685" s="721"/>
      <c r="H685" s="170"/>
      <c r="I685" s="170"/>
      <c r="J685" s="170"/>
      <c r="K685" s="170"/>
      <c r="L685" s="170"/>
      <c r="M685" s="730"/>
      <c r="N685" s="730"/>
      <c r="O685" s="730"/>
      <c r="P685" s="731"/>
      <c r="Q685" s="731"/>
      <c r="R685" s="730"/>
      <c r="S685" s="730"/>
      <c r="T685" s="723"/>
      <c r="U685" s="724"/>
      <c r="V685" s="725"/>
      <c r="W685" s="725"/>
      <c r="X685" s="723"/>
      <c r="Y685" s="723"/>
      <c r="Z685" s="723"/>
      <c r="AA685" s="726"/>
      <c r="AB685" s="726"/>
      <c r="AC685" s="170"/>
      <c r="AD685" s="586"/>
      <c r="AE685" s="586"/>
      <c r="AF685" s="170"/>
      <c r="AG685" s="170"/>
      <c r="AH685" s="170"/>
      <c r="AI685" s="170"/>
      <c r="AJ685" s="170"/>
      <c r="AK685" s="170"/>
      <c r="AL685" s="170"/>
      <c r="AM685" s="170"/>
      <c r="AN685" s="170"/>
      <c r="AO685" s="170"/>
      <c r="AP685" s="170"/>
      <c r="AQ685" s="170"/>
      <c r="AR685" s="170"/>
      <c r="AS685" s="170"/>
    </row>
    <row r="686" spans="1:45" ht="15" x14ac:dyDescent="0.25">
      <c r="A686" s="170"/>
      <c r="B686" s="719"/>
      <c r="C686" s="170"/>
      <c r="D686" s="170"/>
      <c r="E686" s="170"/>
      <c r="F686" s="170"/>
      <c r="G686" s="721"/>
      <c r="H686" s="170"/>
      <c r="I686" s="170"/>
      <c r="J686" s="170"/>
      <c r="K686" s="170"/>
      <c r="L686" s="170"/>
      <c r="M686" s="730"/>
      <c r="N686" s="730"/>
      <c r="O686" s="730"/>
      <c r="P686" s="731"/>
      <c r="Q686" s="731"/>
      <c r="R686" s="730"/>
      <c r="S686" s="730"/>
      <c r="T686" s="723"/>
      <c r="U686" s="724"/>
      <c r="V686" s="725"/>
      <c r="W686" s="725"/>
      <c r="X686" s="723"/>
      <c r="Y686" s="723"/>
      <c r="Z686" s="723"/>
      <c r="AA686" s="726"/>
      <c r="AB686" s="726"/>
      <c r="AC686" s="170"/>
      <c r="AD686" s="586"/>
      <c r="AE686" s="586"/>
      <c r="AF686" s="170"/>
      <c r="AG686" s="170"/>
      <c r="AH686" s="170"/>
      <c r="AI686" s="170"/>
      <c r="AJ686" s="170"/>
      <c r="AK686" s="170"/>
      <c r="AL686" s="170"/>
      <c r="AM686" s="170"/>
      <c r="AN686" s="170"/>
      <c r="AO686" s="170"/>
      <c r="AP686" s="170"/>
      <c r="AQ686" s="170"/>
      <c r="AR686" s="170"/>
      <c r="AS686" s="170"/>
    </row>
    <row r="687" spans="1:45" ht="15" x14ac:dyDescent="0.25">
      <c r="A687" s="170"/>
      <c r="B687" s="719"/>
      <c r="C687" s="170"/>
      <c r="D687" s="170"/>
      <c r="E687" s="170"/>
      <c r="F687" s="170"/>
      <c r="G687" s="721"/>
      <c r="H687" s="170"/>
      <c r="I687" s="170"/>
      <c r="J687" s="170"/>
      <c r="K687" s="170"/>
      <c r="L687" s="170"/>
      <c r="M687" s="730"/>
      <c r="N687" s="730"/>
      <c r="O687" s="730"/>
      <c r="P687" s="731"/>
      <c r="Q687" s="731"/>
      <c r="R687" s="730"/>
      <c r="S687" s="730"/>
      <c r="T687" s="723"/>
      <c r="U687" s="724"/>
      <c r="V687" s="725"/>
      <c r="W687" s="725"/>
      <c r="X687" s="723"/>
      <c r="Y687" s="723"/>
      <c r="Z687" s="723"/>
      <c r="AA687" s="726"/>
      <c r="AB687" s="726"/>
      <c r="AC687" s="170"/>
      <c r="AD687" s="586"/>
      <c r="AE687" s="586"/>
      <c r="AF687" s="170"/>
      <c r="AG687" s="170"/>
      <c r="AH687" s="170"/>
      <c r="AI687" s="170"/>
      <c r="AJ687" s="170"/>
      <c r="AK687" s="170"/>
      <c r="AL687" s="170"/>
      <c r="AM687" s="170"/>
      <c r="AN687" s="170"/>
      <c r="AO687" s="170"/>
      <c r="AP687" s="170"/>
      <c r="AQ687" s="170"/>
      <c r="AR687" s="170"/>
      <c r="AS687" s="170"/>
    </row>
    <row r="688" spans="1:45" ht="15" x14ac:dyDescent="0.25">
      <c r="A688" s="170"/>
      <c r="B688" s="719"/>
      <c r="C688" s="170"/>
      <c r="D688" s="170"/>
      <c r="E688" s="170"/>
      <c r="F688" s="170"/>
      <c r="G688" s="721"/>
      <c r="H688" s="170"/>
      <c r="I688" s="170"/>
      <c r="J688" s="170"/>
      <c r="K688" s="170"/>
      <c r="L688" s="170"/>
      <c r="M688" s="730"/>
      <c r="N688" s="730"/>
      <c r="O688" s="730"/>
      <c r="P688" s="731"/>
      <c r="Q688" s="731"/>
      <c r="R688" s="730"/>
      <c r="S688" s="730"/>
      <c r="T688" s="723"/>
      <c r="U688" s="724"/>
      <c r="V688" s="725"/>
      <c r="W688" s="725"/>
      <c r="X688" s="723"/>
      <c r="Y688" s="723"/>
      <c r="Z688" s="723"/>
      <c r="AA688" s="726"/>
      <c r="AB688" s="726"/>
      <c r="AC688" s="170"/>
      <c r="AD688" s="586"/>
      <c r="AE688" s="586"/>
      <c r="AF688" s="170"/>
      <c r="AG688" s="170"/>
      <c r="AH688" s="170"/>
      <c r="AI688" s="170"/>
      <c r="AJ688" s="170"/>
      <c r="AK688" s="170"/>
      <c r="AL688" s="170"/>
      <c r="AM688" s="170"/>
      <c r="AN688" s="170"/>
      <c r="AO688" s="170"/>
      <c r="AP688" s="170"/>
      <c r="AQ688" s="170"/>
      <c r="AR688" s="170"/>
      <c r="AS688" s="170"/>
    </row>
    <row r="689" spans="1:45" ht="15" x14ac:dyDescent="0.25">
      <c r="A689" s="170"/>
      <c r="B689" s="719"/>
      <c r="C689" s="170"/>
      <c r="D689" s="170"/>
      <c r="E689" s="170"/>
      <c r="F689" s="170"/>
      <c r="G689" s="721"/>
      <c r="H689" s="170"/>
      <c r="I689" s="170"/>
      <c r="J689" s="170"/>
      <c r="K689" s="170"/>
      <c r="L689" s="170"/>
      <c r="M689" s="730"/>
      <c r="N689" s="730"/>
      <c r="O689" s="730"/>
      <c r="P689" s="731"/>
      <c r="Q689" s="731"/>
      <c r="R689" s="730"/>
      <c r="S689" s="730"/>
      <c r="T689" s="723"/>
      <c r="U689" s="724"/>
      <c r="V689" s="725"/>
      <c r="W689" s="725"/>
      <c r="X689" s="723"/>
      <c r="Y689" s="723"/>
      <c r="Z689" s="723"/>
      <c r="AA689" s="726"/>
      <c r="AB689" s="726"/>
      <c r="AC689" s="170"/>
      <c r="AD689" s="586"/>
      <c r="AE689" s="586"/>
      <c r="AF689" s="170"/>
      <c r="AG689" s="170"/>
      <c r="AH689" s="170"/>
      <c r="AI689" s="170"/>
      <c r="AJ689" s="170"/>
      <c r="AK689" s="170"/>
      <c r="AL689" s="170"/>
      <c r="AM689" s="170"/>
      <c r="AN689" s="170"/>
      <c r="AO689" s="170"/>
      <c r="AP689" s="170"/>
      <c r="AQ689" s="170"/>
      <c r="AR689" s="170"/>
      <c r="AS689" s="170"/>
    </row>
    <row r="690" spans="1:45" ht="15" x14ac:dyDescent="0.25">
      <c r="A690" s="170"/>
      <c r="B690" s="719"/>
      <c r="C690" s="170"/>
      <c r="D690" s="170"/>
      <c r="E690" s="170"/>
      <c r="F690" s="170"/>
      <c r="G690" s="721"/>
      <c r="H690" s="170"/>
      <c r="I690" s="170"/>
      <c r="J690" s="170"/>
      <c r="K690" s="170"/>
      <c r="L690" s="170"/>
      <c r="M690" s="730"/>
      <c r="N690" s="730"/>
      <c r="O690" s="730"/>
      <c r="P690" s="731"/>
      <c r="Q690" s="731"/>
      <c r="R690" s="730"/>
      <c r="S690" s="730"/>
      <c r="T690" s="723"/>
      <c r="U690" s="724"/>
      <c r="V690" s="725"/>
      <c r="W690" s="725"/>
      <c r="X690" s="723"/>
      <c r="Y690" s="723"/>
      <c r="Z690" s="723"/>
      <c r="AA690" s="726"/>
      <c r="AB690" s="726"/>
      <c r="AC690" s="170"/>
      <c r="AD690" s="586"/>
      <c r="AE690" s="586"/>
      <c r="AF690" s="170"/>
      <c r="AG690" s="170"/>
      <c r="AH690" s="170"/>
      <c r="AI690" s="170"/>
      <c r="AJ690" s="170"/>
      <c r="AK690" s="170"/>
      <c r="AL690" s="170"/>
      <c r="AM690" s="170"/>
      <c r="AN690" s="170"/>
      <c r="AO690" s="170"/>
      <c r="AP690" s="170"/>
      <c r="AQ690" s="170"/>
      <c r="AR690" s="170"/>
      <c r="AS690" s="170"/>
    </row>
    <row r="691" spans="1:45" ht="15" x14ac:dyDescent="0.25">
      <c r="A691" s="170"/>
      <c r="B691" s="719"/>
      <c r="C691" s="170"/>
      <c r="D691" s="170"/>
      <c r="E691" s="170"/>
      <c r="F691" s="170"/>
      <c r="G691" s="721"/>
      <c r="H691" s="170"/>
      <c r="I691" s="170"/>
      <c r="J691" s="170"/>
      <c r="K691" s="170"/>
      <c r="L691" s="170"/>
      <c r="M691" s="730"/>
      <c r="N691" s="730"/>
      <c r="O691" s="730"/>
      <c r="P691" s="731"/>
      <c r="Q691" s="731"/>
      <c r="R691" s="730"/>
      <c r="S691" s="730"/>
      <c r="T691" s="723"/>
      <c r="U691" s="724"/>
      <c r="V691" s="725"/>
      <c r="W691" s="725"/>
      <c r="X691" s="723"/>
      <c r="Y691" s="723"/>
      <c r="Z691" s="723"/>
      <c r="AA691" s="726"/>
      <c r="AB691" s="726"/>
      <c r="AC691" s="170"/>
      <c r="AD691" s="586"/>
      <c r="AE691" s="586"/>
      <c r="AF691" s="170"/>
      <c r="AG691" s="170"/>
      <c r="AH691" s="170"/>
      <c r="AI691" s="170"/>
      <c r="AJ691" s="170"/>
      <c r="AK691" s="170"/>
      <c r="AL691" s="170"/>
      <c r="AM691" s="170"/>
      <c r="AN691" s="170"/>
      <c r="AO691" s="170"/>
      <c r="AP691" s="170"/>
      <c r="AQ691" s="170"/>
      <c r="AR691" s="170"/>
      <c r="AS691" s="170"/>
    </row>
    <row r="692" spans="1:45" ht="15" x14ac:dyDescent="0.25">
      <c r="A692" s="170"/>
      <c r="B692" s="719"/>
      <c r="C692" s="170"/>
      <c r="D692" s="170"/>
      <c r="E692" s="170"/>
      <c r="F692" s="170"/>
      <c r="G692" s="721"/>
      <c r="H692" s="170"/>
      <c r="I692" s="170"/>
      <c r="J692" s="170"/>
      <c r="K692" s="170"/>
      <c r="L692" s="170"/>
      <c r="M692" s="730"/>
      <c r="N692" s="730"/>
      <c r="O692" s="730"/>
      <c r="P692" s="731"/>
      <c r="Q692" s="731"/>
      <c r="R692" s="730"/>
      <c r="S692" s="730"/>
      <c r="T692" s="723"/>
      <c r="U692" s="724"/>
      <c r="V692" s="725"/>
      <c r="W692" s="725"/>
      <c r="X692" s="723"/>
      <c r="Y692" s="723"/>
      <c r="Z692" s="723"/>
      <c r="AA692" s="726"/>
      <c r="AB692" s="726"/>
      <c r="AC692" s="170"/>
      <c r="AD692" s="586"/>
      <c r="AE692" s="586"/>
      <c r="AF692" s="170"/>
      <c r="AG692" s="170"/>
      <c r="AH692" s="170"/>
      <c r="AI692" s="170"/>
      <c r="AJ692" s="170"/>
      <c r="AK692" s="170"/>
      <c r="AL692" s="170"/>
      <c r="AM692" s="170"/>
      <c r="AN692" s="170"/>
      <c r="AO692" s="170"/>
      <c r="AP692" s="170"/>
      <c r="AQ692" s="170"/>
      <c r="AR692" s="170"/>
      <c r="AS692" s="170"/>
    </row>
    <row r="693" spans="1:45" ht="15" x14ac:dyDescent="0.25">
      <c r="A693" s="170"/>
      <c r="B693" s="719"/>
      <c r="C693" s="170"/>
      <c r="D693" s="170"/>
      <c r="E693" s="170"/>
      <c r="F693" s="170"/>
      <c r="G693" s="721"/>
      <c r="H693" s="170"/>
      <c r="I693" s="170"/>
      <c r="J693" s="170"/>
      <c r="K693" s="170"/>
      <c r="L693" s="170"/>
      <c r="M693" s="730"/>
      <c r="N693" s="730"/>
      <c r="O693" s="730"/>
      <c r="P693" s="731"/>
      <c r="Q693" s="731"/>
      <c r="R693" s="730"/>
      <c r="S693" s="730"/>
      <c r="T693" s="723"/>
      <c r="U693" s="724"/>
      <c r="V693" s="725"/>
      <c r="W693" s="725"/>
      <c r="X693" s="723"/>
      <c r="Y693" s="723"/>
      <c r="Z693" s="723"/>
      <c r="AA693" s="726"/>
      <c r="AB693" s="726"/>
      <c r="AC693" s="170"/>
      <c r="AD693" s="586"/>
      <c r="AE693" s="586"/>
      <c r="AF693" s="170"/>
      <c r="AG693" s="170"/>
      <c r="AH693" s="170"/>
      <c r="AI693" s="170"/>
      <c r="AJ693" s="170"/>
      <c r="AK693" s="170"/>
      <c r="AL693" s="170"/>
      <c r="AM693" s="170"/>
      <c r="AN693" s="170"/>
      <c r="AO693" s="170"/>
      <c r="AP693" s="170"/>
      <c r="AQ693" s="170"/>
      <c r="AR693" s="170"/>
      <c r="AS693" s="170"/>
    </row>
    <row r="694" spans="1:45" ht="15" x14ac:dyDescent="0.25">
      <c r="A694" s="170"/>
      <c r="B694" s="719"/>
      <c r="C694" s="170"/>
      <c r="D694" s="170"/>
      <c r="E694" s="170"/>
      <c r="F694" s="170"/>
      <c r="G694" s="721"/>
      <c r="H694" s="170"/>
      <c r="I694" s="170"/>
      <c r="J694" s="170"/>
      <c r="K694" s="170"/>
      <c r="L694" s="170"/>
      <c r="M694" s="730"/>
      <c r="N694" s="730"/>
      <c r="O694" s="730"/>
      <c r="P694" s="731"/>
      <c r="Q694" s="731"/>
      <c r="R694" s="730"/>
      <c r="S694" s="730"/>
      <c r="T694" s="723"/>
      <c r="U694" s="724"/>
      <c r="V694" s="725"/>
      <c r="W694" s="725"/>
      <c r="X694" s="723"/>
      <c r="Y694" s="723"/>
      <c r="Z694" s="723"/>
      <c r="AA694" s="726"/>
      <c r="AB694" s="726"/>
      <c r="AC694" s="170"/>
      <c r="AD694" s="586"/>
      <c r="AE694" s="586"/>
      <c r="AF694" s="170"/>
      <c r="AG694" s="170"/>
      <c r="AH694" s="170"/>
      <c r="AI694" s="170"/>
      <c r="AJ694" s="170"/>
      <c r="AK694" s="170"/>
      <c r="AL694" s="170"/>
      <c r="AM694" s="170"/>
      <c r="AN694" s="170"/>
      <c r="AO694" s="170"/>
      <c r="AP694" s="170"/>
      <c r="AQ694" s="170"/>
      <c r="AR694" s="170"/>
      <c r="AS694" s="170"/>
    </row>
    <row r="695" spans="1:45" ht="15" x14ac:dyDescent="0.25">
      <c r="A695" s="170"/>
      <c r="B695" s="719"/>
      <c r="C695" s="170"/>
      <c r="D695" s="170"/>
      <c r="E695" s="170"/>
      <c r="F695" s="170"/>
      <c r="G695" s="721"/>
      <c r="H695" s="170"/>
      <c r="I695" s="170"/>
      <c r="J695" s="170"/>
      <c r="K695" s="170"/>
      <c r="L695" s="170"/>
      <c r="M695" s="730"/>
      <c r="N695" s="730"/>
      <c r="O695" s="730"/>
      <c r="P695" s="731"/>
      <c r="Q695" s="731"/>
      <c r="R695" s="730"/>
      <c r="S695" s="730"/>
      <c r="T695" s="723"/>
      <c r="U695" s="724"/>
      <c r="V695" s="725"/>
      <c r="W695" s="725"/>
      <c r="X695" s="723"/>
      <c r="Y695" s="723"/>
      <c r="Z695" s="723"/>
      <c r="AA695" s="726"/>
      <c r="AB695" s="726"/>
      <c r="AC695" s="170"/>
      <c r="AD695" s="586"/>
      <c r="AE695" s="586"/>
      <c r="AF695" s="170"/>
      <c r="AG695" s="170"/>
      <c r="AH695" s="170"/>
      <c r="AI695" s="170"/>
      <c r="AJ695" s="170"/>
      <c r="AK695" s="170"/>
      <c r="AL695" s="170"/>
      <c r="AM695" s="170"/>
      <c r="AN695" s="170"/>
      <c r="AO695" s="170"/>
      <c r="AP695" s="170"/>
      <c r="AQ695" s="170"/>
      <c r="AR695" s="170"/>
      <c r="AS695" s="170"/>
    </row>
    <row r="696" spans="1:45" ht="15" x14ac:dyDescent="0.25">
      <c r="A696" s="170"/>
      <c r="B696" s="719"/>
      <c r="C696" s="170"/>
      <c r="D696" s="170"/>
      <c r="E696" s="170"/>
      <c r="F696" s="170"/>
      <c r="G696" s="721"/>
      <c r="H696" s="170"/>
      <c r="I696" s="170"/>
      <c r="J696" s="170"/>
      <c r="K696" s="170"/>
      <c r="L696" s="170"/>
      <c r="M696" s="730"/>
      <c r="N696" s="730"/>
      <c r="O696" s="730"/>
      <c r="P696" s="731"/>
      <c r="Q696" s="731"/>
      <c r="R696" s="730"/>
      <c r="S696" s="730"/>
      <c r="T696" s="723"/>
      <c r="U696" s="724"/>
      <c r="V696" s="725"/>
      <c r="W696" s="725"/>
      <c r="X696" s="723"/>
      <c r="Y696" s="723"/>
      <c r="Z696" s="723"/>
      <c r="AA696" s="726"/>
      <c r="AB696" s="726"/>
      <c r="AC696" s="170"/>
      <c r="AD696" s="586"/>
      <c r="AE696" s="586"/>
      <c r="AF696" s="170"/>
      <c r="AG696" s="170"/>
      <c r="AH696" s="170"/>
      <c r="AI696" s="170"/>
      <c r="AJ696" s="170"/>
      <c r="AK696" s="170"/>
      <c r="AL696" s="170"/>
      <c r="AM696" s="170"/>
      <c r="AN696" s="170"/>
      <c r="AO696" s="170"/>
      <c r="AP696" s="170"/>
      <c r="AQ696" s="170"/>
      <c r="AR696" s="170"/>
      <c r="AS696" s="170"/>
    </row>
    <row r="697" spans="1:45" ht="15" x14ac:dyDescent="0.25">
      <c r="A697" s="170"/>
      <c r="B697" s="719"/>
      <c r="C697" s="170"/>
      <c r="D697" s="170"/>
      <c r="E697" s="170"/>
      <c r="F697" s="170"/>
      <c r="G697" s="721"/>
      <c r="H697" s="170"/>
      <c r="I697" s="170"/>
      <c r="J697" s="170"/>
      <c r="K697" s="170"/>
      <c r="L697" s="170"/>
      <c r="M697" s="730"/>
      <c r="N697" s="730"/>
      <c r="O697" s="730"/>
      <c r="P697" s="731"/>
      <c r="Q697" s="731"/>
      <c r="R697" s="730"/>
      <c r="S697" s="730"/>
      <c r="T697" s="723"/>
      <c r="U697" s="724"/>
      <c r="V697" s="725"/>
      <c r="W697" s="725"/>
      <c r="X697" s="723"/>
      <c r="Y697" s="723"/>
      <c r="Z697" s="723"/>
      <c r="AA697" s="726"/>
      <c r="AB697" s="726"/>
      <c r="AC697" s="170"/>
      <c r="AD697" s="586"/>
      <c r="AE697" s="586"/>
      <c r="AF697" s="170"/>
      <c r="AG697" s="170"/>
      <c r="AH697" s="170"/>
      <c r="AI697" s="170"/>
      <c r="AJ697" s="170"/>
      <c r="AK697" s="170"/>
      <c r="AL697" s="170"/>
      <c r="AM697" s="170"/>
      <c r="AN697" s="170"/>
      <c r="AO697" s="170"/>
      <c r="AP697" s="170"/>
      <c r="AQ697" s="170"/>
      <c r="AR697" s="170"/>
      <c r="AS697" s="170"/>
    </row>
    <row r="698" spans="1:45" ht="15" x14ac:dyDescent="0.25">
      <c r="A698" s="170"/>
      <c r="B698" s="719"/>
      <c r="C698" s="170"/>
      <c r="D698" s="170"/>
      <c r="E698" s="170"/>
      <c r="F698" s="170"/>
      <c r="G698" s="721"/>
      <c r="H698" s="170"/>
      <c r="I698" s="170"/>
      <c r="J698" s="170"/>
      <c r="K698" s="170"/>
      <c r="L698" s="170"/>
      <c r="M698" s="730"/>
      <c r="N698" s="730"/>
      <c r="O698" s="730"/>
      <c r="P698" s="731"/>
      <c r="Q698" s="731"/>
      <c r="R698" s="730"/>
      <c r="S698" s="730"/>
      <c r="T698" s="723"/>
      <c r="U698" s="724"/>
      <c r="V698" s="725"/>
      <c r="W698" s="725"/>
      <c r="X698" s="723"/>
      <c r="Y698" s="723"/>
      <c r="Z698" s="723"/>
      <c r="AA698" s="726"/>
      <c r="AB698" s="726"/>
      <c r="AC698" s="170"/>
      <c r="AD698" s="586"/>
      <c r="AE698" s="586"/>
      <c r="AF698" s="170"/>
      <c r="AG698" s="170"/>
      <c r="AH698" s="170"/>
      <c r="AI698" s="170"/>
      <c r="AJ698" s="170"/>
      <c r="AK698" s="170"/>
      <c r="AL698" s="170"/>
      <c r="AM698" s="170"/>
      <c r="AN698" s="170"/>
      <c r="AO698" s="170"/>
      <c r="AP698" s="170"/>
      <c r="AQ698" s="170"/>
      <c r="AR698" s="170"/>
      <c r="AS698" s="170"/>
    </row>
    <row r="699" spans="1:45" ht="15" x14ac:dyDescent="0.25">
      <c r="A699" s="170"/>
      <c r="B699" s="719"/>
      <c r="C699" s="170"/>
      <c r="D699" s="170"/>
      <c r="E699" s="170"/>
      <c r="F699" s="170"/>
      <c r="G699" s="721"/>
      <c r="H699" s="170"/>
      <c r="I699" s="170"/>
      <c r="J699" s="170"/>
      <c r="K699" s="170"/>
      <c r="L699" s="170"/>
      <c r="M699" s="730"/>
      <c r="N699" s="730"/>
      <c r="O699" s="730"/>
      <c r="P699" s="731"/>
      <c r="Q699" s="731"/>
      <c r="R699" s="730"/>
      <c r="S699" s="730"/>
      <c r="T699" s="723"/>
      <c r="U699" s="724"/>
      <c r="V699" s="725"/>
      <c r="W699" s="725"/>
      <c r="X699" s="723"/>
      <c r="Y699" s="723"/>
      <c r="Z699" s="723"/>
      <c r="AA699" s="726"/>
      <c r="AB699" s="726"/>
      <c r="AC699" s="170"/>
      <c r="AD699" s="586"/>
      <c r="AE699" s="586"/>
      <c r="AF699" s="170"/>
      <c r="AG699" s="170"/>
      <c r="AH699" s="170"/>
      <c r="AI699" s="170"/>
      <c r="AJ699" s="170"/>
      <c r="AK699" s="170"/>
      <c r="AL699" s="170"/>
      <c r="AM699" s="170"/>
      <c r="AN699" s="170"/>
      <c r="AO699" s="170"/>
      <c r="AP699" s="170"/>
      <c r="AQ699" s="170"/>
      <c r="AR699" s="170"/>
      <c r="AS699" s="170"/>
    </row>
    <row r="700" spans="1:45" ht="15" x14ac:dyDescent="0.25">
      <c r="A700" s="170"/>
      <c r="B700" s="719"/>
      <c r="C700" s="170"/>
      <c r="D700" s="170"/>
      <c r="E700" s="170"/>
      <c r="F700" s="170"/>
      <c r="G700" s="721"/>
      <c r="H700" s="170"/>
      <c r="I700" s="170"/>
      <c r="J700" s="170"/>
      <c r="K700" s="170"/>
      <c r="L700" s="170"/>
      <c r="M700" s="730"/>
      <c r="N700" s="730"/>
      <c r="O700" s="730"/>
      <c r="P700" s="731"/>
      <c r="Q700" s="731"/>
      <c r="R700" s="730"/>
      <c r="S700" s="730"/>
      <c r="T700" s="723"/>
      <c r="U700" s="724"/>
      <c r="V700" s="725"/>
      <c r="W700" s="725"/>
      <c r="X700" s="723"/>
      <c r="Y700" s="723"/>
      <c r="Z700" s="723"/>
      <c r="AA700" s="726"/>
      <c r="AB700" s="726"/>
      <c r="AC700" s="170"/>
      <c r="AD700" s="586"/>
      <c r="AE700" s="586"/>
      <c r="AF700" s="170"/>
      <c r="AG700" s="170"/>
      <c r="AH700" s="170"/>
      <c r="AI700" s="170"/>
      <c r="AJ700" s="170"/>
      <c r="AK700" s="170"/>
      <c r="AL700" s="170"/>
      <c r="AM700" s="170"/>
      <c r="AN700" s="170"/>
      <c r="AO700" s="170"/>
      <c r="AP700" s="170"/>
      <c r="AQ700" s="170"/>
      <c r="AR700" s="170"/>
      <c r="AS700" s="170"/>
    </row>
    <row r="701" spans="1:45" ht="15" x14ac:dyDescent="0.25">
      <c r="A701" s="170"/>
      <c r="B701" s="719"/>
      <c r="C701" s="170"/>
      <c r="D701" s="170"/>
      <c r="E701" s="170"/>
      <c r="F701" s="170"/>
      <c r="G701" s="721"/>
      <c r="H701" s="170"/>
      <c r="I701" s="170"/>
      <c r="J701" s="170"/>
      <c r="K701" s="170"/>
      <c r="L701" s="170"/>
      <c r="M701" s="730"/>
      <c r="N701" s="730"/>
      <c r="O701" s="730"/>
      <c r="P701" s="731"/>
      <c r="Q701" s="731"/>
      <c r="R701" s="730"/>
      <c r="S701" s="730"/>
      <c r="T701" s="723"/>
      <c r="U701" s="724"/>
      <c r="V701" s="725"/>
      <c r="W701" s="725"/>
      <c r="X701" s="723"/>
      <c r="Y701" s="723"/>
      <c r="Z701" s="723"/>
      <c r="AA701" s="726"/>
      <c r="AB701" s="726"/>
      <c r="AC701" s="170"/>
      <c r="AD701" s="586"/>
      <c r="AE701" s="586"/>
      <c r="AF701" s="170"/>
      <c r="AG701" s="170"/>
      <c r="AH701" s="170"/>
      <c r="AI701" s="170"/>
      <c r="AJ701" s="170"/>
      <c r="AK701" s="170"/>
      <c r="AL701" s="170"/>
      <c r="AM701" s="170"/>
      <c r="AN701" s="170"/>
      <c r="AO701" s="170"/>
      <c r="AP701" s="170"/>
      <c r="AQ701" s="170"/>
      <c r="AR701" s="170"/>
      <c r="AS701" s="170"/>
    </row>
    <row r="702" spans="1:45" ht="15" x14ac:dyDescent="0.25">
      <c r="A702" s="170"/>
      <c r="B702" s="719"/>
      <c r="C702" s="170"/>
      <c r="D702" s="170"/>
      <c r="E702" s="170"/>
      <c r="F702" s="170"/>
      <c r="G702" s="721"/>
      <c r="H702" s="170"/>
      <c r="I702" s="170"/>
      <c r="J702" s="170"/>
      <c r="K702" s="170"/>
      <c r="L702" s="170"/>
      <c r="M702" s="730"/>
      <c r="N702" s="730"/>
      <c r="O702" s="730"/>
      <c r="P702" s="731"/>
      <c r="Q702" s="731"/>
      <c r="R702" s="730"/>
      <c r="S702" s="730"/>
      <c r="T702" s="723"/>
      <c r="U702" s="724"/>
      <c r="V702" s="725"/>
      <c r="W702" s="725"/>
      <c r="X702" s="723"/>
      <c r="Y702" s="723"/>
      <c r="Z702" s="723"/>
      <c r="AA702" s="726"/>
      <c r="AB702" s="726"/>
      <c r="AC702" s="170"/>
      <c r="AD702" s="586"/>
      <c r="AE702" s="586"/>
      <c r="AF702" s="170"/>
      <c r="AG702" s="170"/>
      <c r="AH702" s="170"/>
      <c r="AI702" s="170"/>
      <c r="AJ702" s="170"/>
      <c r="AK702" s="170"/>
      <c r="AL702" s="170"/>
      <c r="AM702" s="170"/>
      <c r="AN702" s="170"/>
      <c r="AO702" s="170"/>
      <c r="AP702" s="170"/>
      <c r="AQ702" s="170"/>
      <c r="AR702" s="170"/>
      <c r="AS702" s="170"/>
    </row>
    <row r="703" spans="1:45" ht="15" x14ac:dyDescent="0.25">
      <c r="A703" s="170"/>
      <c r="B703" s="719"/>
      <c r="C703" s="170"/>
      <c r="D703" s="170"/>
      <c r="E703" s="170"/>
      <c r="F703" s="170"/>
      <c r="G703" s="721"/>
      <c r="H703" s="170"/>
      <c r="I703" s="170"/>
      <c r="J703" s="170"/>
      <c r="K703" s="170"/>
      <c r="L703" s="170"/>
      <c r="M703" s="730"/>
      <c r="N703" s="730"/>
      <c r="O703" s="730"/>
      <c r="P703" s="731"/>
      <c r="Q703" s="731"/>
      <c r="R703" s="730"/>
      <c r="S703" s="730"/>
      <c r="T703" s="723"/>
      <c r="U703" s="724"/>
      <c r="V703" s="725"/>
      <c r="W703" s="725"/>
      <c r="X703" s="723"/>
      <c r="Y703" s="723"/>
      <c r="Z703" s="723"/>
      <c r="AA703" s="726"/>
      <c r="AB703" s="726"/>
      <c r="AC703" s="170"/>
      <c r="AD703" s="586"/>
      <c r="AE703" s="586"/>
      <c r="AF703" s="170"/>
      <c r="AG703" s="170"/>
      <c r="AH703" s="170"/>
      <c r="AI703" s="170"/>
      <c r="AJ703" s="170"/>
      <c r="AK703" s="170"/>
      <c r="AL703" s="170"/>
      <c r="AM703" s="170"/>
      <c r="AN703" s="170"/>
      <c r="AO703" s="170"/>
      <c r="AP703" s="170"/>
      <c r="AQ703" s="170"/>
      <c r="AR703" s="170"/>
      <c r="AS703" s="170"/>
    </row>
    <row r="704" spans="1:45" ht="15" x14ac:dyDescent="0.25">
      <c r="A704" s="170"/>
      <c r="B704" s="719"/>
      <c r="C704" s="170"/>
      <c r="D704" s="170"/>
      <c r="E704" s="170"/>
      <c r="F704" s="170"/>
      <c r="G704" s="721"/>
      <c r="H704" s="170"/>
      <c r="I704" s="170"/>
      <c r="J704" s="170"/>
      <c r="K704" s="170"/>
      <c r="L704" s="170"/>
      <c r="M704" s="730"/>
      <c r="N704" s="730"/>
      <c r="O704" s="730"/>
      <c r="P704" s="731"/>
      <c r="Q704" s="731"/>
      <c r="R704" s="730"/>
      <c r="S704" s="730"/>
      <c r="T704" s="723"/>
      <c r="U704" s="724"/>
      <c r="V704" s="725"/>
      <c r="W704" s="725"/>
      <c r="X704" s="723"/>
      <c r="Y704" s="723"/>
      <c r="Z704" s="723"/>
      <c r="AA704" s="726"/>
      <c r="AB704" s="726"/>
      <c r="AC704" s="170"/>
      <c r="AD704" s="586"/>
      <c r="AE704" s="586"/>
      <c r="AF704" s="170"/>
      <c r="AG704" s="170"/>
      <c r="AH704" s="170"/>
      <c r="AI704" s="170"/>
      <c r="AJ704" s="170"/>
      <c r="AK704" s="170"/>
      <c r="AL704" s="170"/>
      <c r="AM704" s="170"/>
      <c r="AN704" s="170"/>
      <c r="AO704" s="170"/>
      <c r="AP704" s="170"/>
      <c r="AQ704" s="170"/>
      <c r="AR704" s="170"/>
      <c r="AS704" s="170"/>
    </row>
    <row r="705" spans="1:45" ht="15" x14ac:dyDescent="0.25">
      <c r="A705" s="170"/>
      <c r="B705" s="719"/>
      <c r="C705" s="170"/>
      <c r="D705" s="170"/>
      <c r="E705" s="170"/>
      <c r="F705" s="170"/>
      <c r="G705" s="721"/>
      <c r="H705" s="170"/>
      <c r="I705" s="170"/>
      <c r="J705" s="170"/>
      <c r="K705" s="170"/>
      <c r="L705" s="170"/>
      <c r="M705" s="730"/>
      <c r="N705" s="730"/>
      <c r="O705" s="730"/>
      <c r="P705" s="731"/>
      <c r="Q705" s="731"/>
      <c r="R705" s="730"/>
      <c r="S705" s="730"/>
      <c r="T705" s="723"/>
      <c r="U705" s="724"/>
      <c r="V705" s="725"/>
      <c r="W705" s="725"/>
      <c r="X705" s="723"/>
      <c r="Y705" s="723"/>
      <c r="Z705" s="723"/>
      <c r="AA705" s="726"/>
      <c r="AB705" s="726"/>
      <c r="AC705" s="170"/>
      <c r="AD705" s="586"/>
      <c r="AE705" s="586"/>
      <c r="AF705" s="170"/>
      <c r="AG705" s="170"/>
      <c r="AH705" s="170"/>
      <c r="AI705" s="170"/>
      <c r="AJ705" s="170"/>
      <c r="AK705" s="170"/>
      <c r="AL705" s="170"/>
      <c r="AM705" s="170"/>
      <c r="AN705" s="170"/>
      <c r="AO705" s="170"/>
      <c r="AP705" s="170"/>
      <c r="AQ705" s="170"/>
      <c r="AR705" s="170"/>
      <c r="AS705" s="170"/>
    </row>
    <row r="706" spans="1:45" ht="15" x14ac:dyDescent="0.25">
      <c r="A706" s="170"/>
      <c r="B706" s="719"/>
      <c r="C706" s="170"/>
      <c r="D706" s="170"/>
      <c r="E706" s="170"/>
      <c r="F706" s="170"/>
      <c r="G706" s="721"/>
      <c r="H706" s="170"/>
      <c r="I706" s="170"/>
      <c r="J706" s="170"/>
      <c r="K706" s="170"/>
      <c r="L706" s="170"/>
      <c r="M706" s="730"/>
      <c r="N706" s="730"/>
      <c r="O706" s="730"/>
      <c r="P706" s="731"/>
      <c r="Q706" s="731"/>
      <c r="R706" s="730"/>
      <c r="S706" s="730"/>
      <c r="T706" s="723"/>
      <c r="U706" s="724"/>
      <c r="V706" s="725"/>
      <c r="W706" s="725"/>
      <c r="X706" s="723"/>
      <c r="Y706" s="723"/>
      <c r="Z706" s="723"/>
      <c r="AA706" s="726"/>
      <c r="AB706" s="726"/>
      <c r="AC706" s="170"/>
      <c r="AD706" s="586"/>
      <c r="AE706" s="586"/>
      <c r="AF706" s="170"/>
      <c r="AG706" s="170"/>
      <c r="AH706" s="170"/>
      <c r="AI706" s="170"/>
      <c r="AJ706" s="170"/>
      <c r="AK706" s="170"/>
      <c r="AL706" s="170"/>
      <c r="AM706" s="170"/>
      <c r="AN706" s="170"/>
      <c r="AO706" s="170"/>
      <c r="AP706" s="170"/>
      <c r="AQ706" s="170"/>
      <c r="AR706" s="170"/>
      <c r="AS706" s="170"/>
    </row>
    <row r="707" spans="1:45" ht="15" x14ac:dyDescent="0.25">
      <c r="A707" s="170"/>
      <c r="B707" s="719"/>
      <c r="C707" s="170"/>
      <c r="D707" s="170"/>
      <c r="E707" s="170"/>
      <c r="F707" s="170"/>
      <c r="G707" s="721"/>
      <c r="H707" s="170"/>
      <c r="I707" s="170"/>
      <c r="J707" s="170"/>
      <c r="K707" s="170"/>
      <c r="L707" s="170"/>
      <c r="M707" s="730"/>
      <c r="N707" s="730"/>
      <c r="O707" s="730"/>
      <c r="P707" s="731"/>
      <c r="Q707" s="731"/>
      <c r="R707" s="730"/>
      <c r="S707" s="730"/>
      <c r="T707" s="723"/>
      <c r="U707" s="724"/>
      <c r="V707" s="725"/>
      <c r="W707" s="725"/>
      <c r="X707" s="723"/>
      <c r="Y707" s="723"/>
      <c r="Z707" s="723"/>
      <c r="AA707" s="726"/>
      <c r="AB707" s="726"/>
      <c r="AC707" s="170"/>
      <c r="AD707" s="586"/>
      <c r="AE707" s="586"/>
      <c r="AF707" s="170"/>
      <c r="AG707" s="170"/>
      <c r="AH707" s="170"/>
      <c r="AI707" s="170"/>
      <c r="AJ707" s="170"/>
      <c r="AK707" s="170"/>
      <c r="AL707" s="170"/>
      <c r="AM707" s="170"/>
      <c r="AN707" s="170"/>
      <c r="AO707" s="170"/>
      <c r="AP707" s="170"/>
      <c r="AQ707" s="170"/>
      <c r="AR707" s="170"/>
      <c r="AS707" s="170"/>
    </row>
    <row r="708" spans="1:45" ht="15" x14ac:dyDescent="0.25">
      <c r="A708" s="170"/>
      <c r="B708" s="719"/>
      <c r="C708" s="170"/>
      <c r="D708" s="170"/>
      <c r="E708" s="170"/>
      <c r="F708" s="170"/>
      <c r="G708" s="721"/>
      <c r="H708" s="170"/>
      <c r="I708" s="170"/>
      <c r="J708" s="170"/>
      <c r="K708" s="170"/>
      <c r="L708" s="170"/>
      <c r="M708" s="730"/>
      <c r="N708" s="730"/>
      <c r="O708" s="730"/>
      <c r="P708" s="731"/>
      <c r="Q708" s="731"/>
      <c r="R708" s="730"/>
      <c r="S708" s="730"/>
      <c r="T708" s="723"/>
      <c r="U708" s="724"/>
      <c r="V708" s="725"/>
      <c r="W708" s="725"/>
      <c r="X708" s="723"/>
      <c r="Y708" s="723"/>
      <c r="Z708" s="723"/>
      <c r="AA708" s="726"/>
      <c r="AB708" s="726"/>
      <c r="AC708" s="170"/>
      <c r="AD708" s="586"/>
      <c r="AE708" s="586"/>
      <c r="AF708" s="170"/>
      <c r="AG708" s="170"/>
      <c r="AH708" s="170"/>
      <c r="AI708" s="170"/>
      <c r="AJ708" s="170"/>
      <c r="AK708" s="170"/>
      <c r="AL708" s="170"/>
      <c r="AM708" s="170"/>
      <c r="AN708" s="170"/>
      <c r="AO708" s="170"/>
      <c r="AP708" s="170"/>
      <c r="AQ708" s="170"/>
      <c r="AR708" s="170"/>
      <c r="AS708" s="170"/>
    </row>
    <row r="709" spans="1:45" ht="15" x14ac:dyDescent="0.25">
      <c r="A709" s="170"/>
      <c r="B709" s="719"/>
      <c r="C709" s="170"/>
      <c r="D709" s="170"/>
      <c r="E709" s="170"/>
      <c r="F709" s="170"/>
      <c r="G709" s="721"/>
      <c r="H709" s="170"/>
      <c r="I709" s="170"/>
      <c r="J709" s="170"/>
      <c r="K709" s="170"/>
      <c r="L709" s="170"/>
      <c r="M709" s="730"/>
      <c r="N709" s="730"/>
      <c r="O709" s="730"/>
      <c r="P709" s="731"/>
      <c r="Q709" s="731"/>
      <c r="R709" s="730"/>
      <c r="S709" s="730"/>
      <c r="T709" s="723"/>
      <c r="U709" s="724"/>
      <c r="V709" s="725"/>
      <c r="W709" s="725"/>
      <c r="X709" s="723"/>
      <c r="Y709" s="723"/>
      <c r="Z709" s="723"/>
      <c r="AA709" s="726"/>
      <c r="AB709" s="726"/>
      <c r="AC709" s="170"/>
      <c r="AD709" s="586"/>
      <c r="AE709" s="586"/>
      <c r="AF709" s="170"/>
      <c r="AG709" s="170"/>
      <c r="AH709" s="170"/>
      <c r="AI709" s="170"/>
      <c r="AJ709" s="170"/>
      <c r="AK709" s="170"/>
      <c r="AL709" s="170"/>
      <c r="AM709" s="170"/>
      <c r="AN709" s="170"/>
      <c r="AO709" s="170"/>
      <c r="AP709" s="170"/>
      <c r="AQ709" s="170"/>
      <c r="AR709" s="170"/>
      <c r="AS709" s="170"/>
    </row>
    <row r="710" spans="1:45" ht="15" x14ac:dyDescent="0.25">
      <c r="A710" s="170"/>
      <c r="B710" s="719"/>
      <c r="C710" s="170"/>
      <c r="D710" s="170"/>
      <c r="E710" s="170"/>
      <c r="F710" s="170"/>
      <c r="G710" s="721"/>
      <c r="H710" s="170"/>
      <c r="I710" s="170"/>
      <c r="J710" s="170"/>
      <c r="K710" s="170"/>
      <c r="L710" s="170"/>
      <c r="M710" s="730"/>
      <c r="N710" s="730"/>
      <c r="O710" s="730"/>
      <c r="P710" s="731"/>
      <c r="Q710" s="731"/>
      <c r="R710" s="730"/>
      <c r="S710" s="730"/>
      <c r="T710" s="723"/>
      <c r="U710" s="724"/>
      <c r="V710" s="725"/>
      <c r="W710" s="725"/>
      <c r="X710" s="723"/>
      <c r="Y710" s="723"/>
      <c r="Z710" s="723"/>
      <c r="AA710" s="726"/>
      <c r="AB710" s="726"/>
      <c r="AC710" s="170"/>
      <c r="AD710" s="586"/>
      <c r="AE710" s="586"/>
      <c r="AF710" s="170"/>
      <c r="AG710" s="170"/>
      <c r="AH710" s="170"/>
      <c r="AI710" s="170"/>
      <c r="AJ710" s="170"/>
      <c r="AK710" s="170"/>
      <c r="AL710" s="170"/>
      <c r="AM710" s="170"/>
      <c r="AN710" s="170"/>
      <c r="AO710" s="170"/>
      <c r="AP710" s="170"/>
      <c r="AQ710" s="170"/>
      <c r="AR710" s="170"/>
      <c r="AS710" s="170"/>
    </row>
    <row r="711" spans="1:45" ht="15" x14ac:dyDescent="0.25">
      <c r="A711" s="170"/>
      <c r="B711" s="719"/>
      <c r="C711" s="170"/>
      <c r="D711" s="170"/>
      <c r="E711" s="170"/>
      <c r="F711" s="170"/>
      <c r="G711" s="721"/>
      <c r="H711" s="170"/>
      <c r="I711" s="170"/>
      <c r="J711" s="170"/>
      <c r="K711" s="170"/>
      <c r="L711" s="170"/>
      <c r="M711" s="730"/>
      <c r="N711" s="730"/>
      <c r="O711" s="730"/>
      <c r="P711" s="731"/>
      <c r="Q711" s="731"/>
      <c r="R711" s="730"/>
      <c r="S711" s="730"/>
      <c r="T711" s="723"/>
      <c r="U711" s="724"/>
      <c r="V711" s="725"/>
      <c r="W711" s="725"/>
      <c r="X711" s="723"/>
      <c r="Y711" s="723"/>
      <c r="Z711" s="723"/>
      <c r="AA711" s="726"/>
      <c r="AB711" s="726"/>
      <c r="AC711" s="170"/>
      <c r="AD711" s="586"/>
      <c r="AE711" s="586"/>
      <c r="AF711" s="170"/>
      <c r="AG711" s="170"/>
      <c r="AH711" s="170"/>
      <c r="AI711" s="170"/>
      <c r="AJ711" s="170"/>
      <c r="AK711" s="170"/>
      <c r="AL711" s="170"/>
      <c r="AM711" s="170"/>
      <c r="AN711" s="170"/>
      <c r="AO711" s="170"/>
      <c r="AP711" s="170"/>
      <c r="AQ711" s="170"/>
      <c r="AR711" s="170"/>
      <c r="AS711" s="170"/>
    </row>
    <row r="712" spans="1:45" ht="15" x14ac:dyDescent="0.25">
      <c r="A712" s="170"/>
      <c r="B712" s="719"/>
      <c r="C712" s="170"/>
      <c r="D712" s="170"/>
      <c r="E712" s="170"/>
      <c r="F712" s="170"/>
      <c r="G712" s="721"/>
      <c r="H712" s="170"/>
      <c r="I712" s="170"/>
      <c r="J712" s="170"/>
      <c r="K712" s="170"/>
      <c r="L712" s="170"/>
      <c r="M712" s="730"/>
      <c r="N712" s="730"/>
      <c r="O712" s="730"/>
      <c r="P712" s="731"/>
      <c r="Q712" s="731"/>
      <c r="R712" s="730"/>
      <c r="S712" s="730"/>
      <c r="T712" s="723"/>
      <c r="U712" s="724"/>
      <c r="V712" s="725"/>
      <c r="W712" s="725"/>
      <c r="X712" s="723"/>
      <c r="Y712" s="723"/>
      <c r="Z712" s="723"/>
      <c r="AA712" s="726"/>
      <c r="AB712" s="726"/>
      <c r="AC712" s="170"/>
      <c r="AD712" s="586"/>
      <c r="AE712" s="586"/>
      <c r="AF712" s="170"/>
      <c r="AG712" s="170"/>
      <c r="AH712" s="170"/>
      <c r="AI712" s="170"/>
      <c r="AJ712" s="170"/>
      <c r="AK712" s="170"/>
      <c r="AL712" s="170"/>
      <c r="AM712" s="170"/>
      <c r="AN712" s="170"/>
      <c r="AO712" s="170"/>
      <c r="AP712" s="170"/>
      <c r="AQ712" s="170"/>
      <c r="AR712" s="170"/>
      <c r="AS712" s="170"/>
    </row>
    <row r="713" spans="1:45" ht="15" x14ac:dyDescent="0.25">
      <c r="A713" s="170"/>
      <c r="B713" s="719"/>
      <c r="C713" s="170"/>
      <c r="D713" s="170"/>
      <c r="E713" s="170"/>
      <c r="F713" s="170"/>
      <c r="G713" s="721"/>
      <c r="H713" s="170"/>
      <c r="I713" s="170"/>
      <c r="J713" s="170"/>
      <c r="K713" s="170"/>
      <c r="L713" s="170"/>
      <c r="M713" s="730"/>
      <c r="N713" s="730"/>
      <c r="O713" s="730"/>
      <c r="P713" s="731"/>
      <c r="Q713" s="731"/>
      <c r="R713" s="730"/>
      <c r="S713" s="730"/>
      <c r="T713" s="723"/>
      <c r="U713" s="724"/>
      <c r="V713" s="725"/>
      <c r="W713" s="725"/>
      <c r="X713" s="723"/>
      <c r="Y713" s="723"/>
      <c r="Z713" s="723"/>
      <c r="AA713" s="726"/>
      <c r="AB713" s="726"/>
      <c r="AC713" s="170"/>
      <c r="AD713" s="586"/>
      <c r="AE713" s="586"/>
      <c r="AF713" s="170"/>
      <c r="AG713" s="170"/>
      <c r="AH713" s="170"/>
      <c r="AI713" s="170"/>
      <c r="AJ713" s="170"/>
      <c r="AK713" s="170"/>
      <c r="AL713" s="170"/>
      <c r="AM713" s="170"/>
      <c r="AN713" s="170"/>
      <c r="AO713" s="170"/>
      <c r="AP713" s="170"/>
      <c r="AQ713" s="170"/>
      <c r="AR713" s="170"/>
      <c r="AS713" s="170"/>
    </row>
    <row r="714" spans="1:45" ht="15" x14ac:dyDescent="0.25">
      <c r="A714" s="170"/>
      <c r="B714" s="719"/>
      <c r="C714" s="170"/>
      <c r="D714" s="170"/>
      <c r="E714" s="170"/>
      <c r="F714" s="170"/>
      <c r="G714" s="721"/>
      <c r="H714" s="170"/>
      <c r="I714" s="170"/>
      <c r="J714" s="170"/>
      <c r="K714" s="170"/>
      <c r="L714" s="170"/>
      <c r="M714" s="730"/>
      <c r="N714" s="730"/>
      <c r="O714" s="730"/>
      <c r="P714" s="731"/>
      <c r="Q714" s="731"/>
      <c r="R714" s="730"/>
      <c r="S714" s="730"/>
      <c r="T714" s="723"/>
      <c r="U714" s="724"/>
      <c r="V714" s="725"/>
      <c r="W714" s="725"/>
      <c r="X714" s="723"/>
      <c r="Y714" s="723"/>
      <c r="Z714" s="723"/>
      <c r="AA714" s="726"/>
      <c r="AB714" s="726"/>
      <c r="AC714" s="170"/>
      <c r="AD714" s="586"/>
      <c r="AE714" s="586"/>
      <c r="AF714" s="170"/>
      <c r="AG714" s="170"/>
      <c r="AH714" s="170"/>
      <c r="AI714" s="170"/>
      <c r="AJ714" s="170"/>
      <c r="AK714" s="170"/>
      <c r="AL714" s="170"/>
      <c r="AM714" s="170"/>
      <c r="AN714" s="170"/>
      <c r="AO714" s="170"/>
      <c r="AP714" s="170"/>
      <c r="AQ714" s="170"/>
      <c r="AR714" s="170"/>
      <c r="AS714" s="170"/>
    </row>
    <row r="715" spans="1:45" ht="15" x14ac:dyDescent="0.25">
      <c r="A715" s="170"/>
      <c r="B715" s="719"/>
      <c r="C715" s="170"/>
      <c r="D715" s="170"/>
      <c r="E715" s="170"/>
      <c r="F715" s="170"/>
      <c r="G715" s="721"/>
      <c r="H715" s="170"/>
      <c r="I715" s="170"/>
      <c r="J715" s="170"/>
      <c r="K715" s="170"/>
      <c r="L715" s="170"/>
      <c r="M715" s="730"/>
      <c r="N715" s="730"/>
      <c r="O715" s="730"/>
      <c r="P715" s="731"/>
      <c r="Q715" s="731"/>
      <c r="R715" s="730"/>
      <c r="S715" s="730"/>
      <c r="T715" s="723"/>
      <c r="U715" s="724"/>
      <c r="V715" s="725"/>
      <c r="W715" s="725"/>
      <c r="X715" s="723"/>
      <c r="Y715" s="723"/>
      <c r="Z715" s="723"/>
      <c r="AA715" s="726"/>
      <c r="AB715" s="726"/>
      <c r="AC715" s="170"/>
      <c r="AD715" s="586"/>
      <c r="AE715" s="586"/>
      <c r="AF715" s="170"/>
      <c r="AG715" s="170"/>
      <c r="AH715" s="170"/>
      <c r="AI715" s="170"/>
      <c r="AJ715" s="170"/>
      <c r="AK715" s="170"/>
      <c r="AL715" s="170"/>
      <c r="AM715" s="170"/>
      <c r="AN715" s="170"/>
      <c r="AO715" s="170"/>
      <c r="AP715" s="170"/>
      <c r="AQ715" s="170"/>
      <c r="AR715" s="170"/>
      <c r="AS715" s="170"/>
    </row>
    <row r="716" spans="1:45" ht="15" x14ac:dyDescent="0.25">
      <c r="A716" s="170"/>
      <c r="B716" s="719"/>
      <c r="C716" s="170"/>
      <c r="D716" s="170"/>
      <c r="E716" s="170"/>
      <c r="F716" s="170"/>
      <c r="G716" s="721"/>
      <c r="H716" s="170"/>
      <c r="I716" s="170"/>
      <c r="J716" s="170"/>
      <c r="K716" s="170"/>
      <c r="L716" s="170"/>
      <c r="M716" s="730"/>
      <c r="N716" s="730"/>
      <c r="O716" s="730"/>
      <c r="P716" s="731"/>
      <c r="Q716" s="731"/>
      <c r="R716" s="730"/>
      <c r="S716" s="730"/>
      <c r="T716" s="723"/>
      <c r="U716" s="724"/>
      <c r="V716" s="725"/>
      <c r="W716" s="725"/>
      <c r="X716" s="723"/>
      <c r="Y716" s="723"/>
      <c r="Z716" s="723"/>
      <c r="AA716" s="726"/>
      <c r="AB716" s="726"/>
      <c r="AC716" s="170"/>
      <c r="AD716" s="586"/>
      <c r="AE716" s="586"/>
      <c r="AF716" s="170"/>
      <c r="AG716" s="170"/>
      <c r="AH716" s="170"/>
      <c r="AI716" s="170"/>
      <c r="AJ716" s="170"/>
      <c r="AK716" s="170"/>
      <c r="AL716" s="170"/>
      <c r="AM716" s="170"/>
      <c r="AN716" s="170"/>
      <c r="AO716" s="170"/>
      <c r="AP716" s="170"/>
      <c r="AQ716" s="170"/>
      <c r="AR716" s="170"/>
      <c r="AS716" s="170"/>
    </row>
    <row r="717" spans="1:45" ht="15" x14ac:dyDescent="0.25">
      <c r="A717" s="170"/>
      <c r="B717" s="719"/>
      <c r="C717" s="170"/>
      <c r="D717" s="170"/>
      <c r="E717" s="170"/>
      <c r="F717" s="170"/>
      <c r="G717" s="721"/>
      <c r="H717" s="170"/>
      <c r="I717" s="170"/>
      <c r="J717" s="170"/>
      <c r="K717" s="170"/>
      <c r="L717" s="170"/>
      <c r="M717" s="730"/>
      <c r="N717" s="730"/>
      <c r="O717" s="730"/>
      <c r="P717" s="731"/>
      <c r="Q717" s="731"/>
      <c r="R717" s="730"/>
      <c r="S717" s="730"/>
      <c r="T717" s="723"/>
      <c r="U717" s="724"/>
      <c r="V717" s="725"/>
      <c r="W717" s="725"/>
      <c r="X717" s="723"/>
      <c r="Y717" s="723"/>
      <c r="Z717" s="723"/>
      <c r="AA717" s="726"/>
      <c r="AB717" s="726"/>
      <c r="AC717" s="170"/>
      <c r="AD717" s="586"/>
      <c r="AE717" s="586"/>
      <c r="AF717" s="170"/>
      <c r="AG717" s="170"/>
      <c r="AH717" s="170"/>
      <c r="AI717" s="170"/>
      <c r="AJ717" s="170"/>
      <c r="AK717" s="170"/>
      <c r="AL717" s="170"/>
      <c r="AM717" s="170"/>
      <c r="AN717" s="170"/>
      <c r="AO717" s="170"/>
      <c r="AP717" s="170"/>
      <c r="AQ717" s="170"/>
      <c r="AR717" s="170"/>
      <c r="AS717" s="170"/>
    </row>
    <row r="718" spans="1:45" ht="15" x14ac:dyDescent="0.25">
      <c r="A718" s="170"/>
      <c r="B718" s="719"/>
      <c r="C718" s="170"/>
      <c r="D718" s="170"/>
      <c r="E718" s="170"/>
      <c r="F718" s="170"/>
      <c r="G718" s="721"/>
      <c r="H718" s="170"/>
      <c r="I718" s="170"/>
      <c r="J718" s="170"/>
      <c r="K718" s="170"/>
      <c r="L718" s="170"/>
      <c r="M718" s="730"/>
      <c r="N718" s="730"/>
      <c r="O718" s="730"/>
      <c r="P718" s="731"/>
      <c r="Q718" s="731"/>
      <c r="R718" s="730"/>
      <c r="S718" s="730"/>
      <c r="T718" s="723"/>
      <c r="U718" s="724"/>
      <c r="V718" s="725"/>
      <c r="W718" s="725"/>
      <c r="X718" s="723"/>
      <c r="Y718" s="723"/>
      <c r="Z718" s="723"/>
      <c r="AA718" s="726"/>
      <c r="AB718" s="726"/>
      <c r="AC718" s="170"/>
      <c r="AD718" s="586"/>
      <c r="AE718" s="586"/>
      <c r="AF718" s="170"/>
      <c r="AG718" s="170"/>
      <c r="AH718" s="170"/>
      <c r="AI718" s="170"/>
      <c r="AJ718" s="170"/>
      <c r="AK718" s="170"/>
      <c r="AL718" s="170"/>
      <c r="AM718" s="170"/>
      <c r="AN718" s="170"/>
      <c r="AO718" s="170"/>
      <c r="AP718" s="170"/>
      <c r="AQ718" s="170"/>
      <c r="AR718" s="170"/>
      <c r="AS718" s="170"/>
    </row>
    <row r="719" spans="1:45" ht="15" x14ac:dyDescent="0.25">
      <c r="A719" s="170"/>
      <c r="B719" s="719"/>
      <c r="C719" s="170"/>
      <c r="D719" s="170"/>
      <c r="E719" s="170"/>
      <c r="F719" s="170"/>
      <c r="G719" s="721"/>
      <c r="H719" s="170"/>
      <c r="I719" s="170"/>
      <c r="J719" s="170"/>
      <c r="K719" s="170"/>
      <c r="L719" s="170"/>
      <c r="M719" s="730"/>
      <c r="N719" s="730"/>
      <c r="O719" s="730"/>
      <c r="P719" s="731"/>
      <c r="Q719" s="731"/>
      <c r="R719" s="730"/>
      <c r="S719" s="730"/>
      <c r="T719" s="723"/>
      <c r="U719" s="724"/>
      <c r="V719" s="725"/>
      <c r="W719" s="725"/>
      <c r="X719" s="723"/>
      <c r="Y719" s="723"/>
      <c r="Z719" s="723"/>
      <c r="AA719" s="726"/>
      <c r="AB719" s="726"/>
      <c r="AC719" s="170"/>
      <c r="AD719" s="586"/>
      <c r="AE719" s="586"/>
      <c r="AF719" s="170"/>
      <c r="AG719" s="170"/>
      <c r="AH719" s="170"/>
      <c r="AI719" s="170"/>
      <c r="AJ719" s="170"/>
      <c r="AK719" s="170"/>
      <c r="AL719" s="170"/>
      <c r="AM719" s="170"/>
      <c r="AN719" s="170"/>
      <c r="AO719" s="170"/>
      <c r="AP719" s="170"/>
      <c r="AQ719" s="170"/>
      <c r="AR719" s="170"/>
      <c r="AS719" s="170"/>
    </row>
    <row r="720" spans="1:45" ht="15" x14ac:dyDescent="0.25">
      <c r="A720" s="170"/>
      <c r="B720" s="719"/>
      <c r="C720" s="170"/>
      <c r="D720" s="170"/>
      <c r="E720" s="170"/>
      <c r="F720" s="170"/>
      <c r="G720" s="721"/>
      <c r="H720" s="170"/>
      <c r="I720" s="170"/>
      <c r="J720" s="170"/>
      <c r="K720" s="170"/>
      <c r="L720" s="170"/>
      <c r="M720" s="730"/>
      <c r="N720" s="730"/>
      <c r="O720" s="730"/>
      <c r="P720" s="731"/>
      <c r="Q720" s="731"/>
      <c r="R720" s="730"/>
      <c r="S720" s="730"/>
      <c r="T720" s="723"/>
      <c r="U720" s="724"/>
      <c r="V720" s="725"/>
      <c r="W720" s="725"/>
      <c r="X720" s="723"/>
      <c r="Y720" s="723"/>
      <c r="Z720" s="723"/>
      <c r="AA720" s="726"/>
      <c r="AB720" s="726"/>
      <c r="AC720" s="170"/>
      <c r="AD720" s="586"/>
      <c r="AE720" s="586"/>
      <c r="AF720" s="170"/>
      <c r="AG720" s="170"/>
      <c r="AH720" s="170"/>
      <c r="AI720" s="170"/>
      <c r="AJ720" s="170"/>
      <c r="AK720" s="170"/>
      <c r="AL720" s="170"/>
      <c r="AM720" s="170"/>
      <c r="AN720" s="170"/>
      <c r="AO720" s="170"/>
      <c r="AP720" s="170"/>
      <c r="AQ720" s="170"/>
      <c r="AR720" s="170"/>
      <c r="AS720" s="170"/>
    </row>
    <row r="721" spans="1:45" ht="15" x14ac:dyDescent="0.25">
      <c r="A721" s="170"/>
      <c r="B721" s="719"/>
      <c r="C721" s="170"/>
      <c r="D721" s="170"/>
      <c r="E721" s="170"/>
      <c r="F721" s="170"/>
      <c r="G721" s="721"/>
      <c r="H721" s="170"/>
      <c r="I721" s="170"/>
      <c r="J721" s="170"/>
      <c r="K721" s="170"/>
      <c r="L721" s="170"/>
      <c r="M721" s="730"/>
      <c r="N721" s="730"/>
      <c r="O721" s="730"/>
      <c r="P721" s="731"/>
      <c r="Q721" s="731"/>
      <c r="R721" s="730"/>
      <c r="S721" s="730"/>
      <c r="T721" s="723"/>
      <c r="U721" s="724"/>
      <c r="V721" s="725"/>
      <c r="W721" s="725"/>
      <c r="X721" s="723"/>
      <c r="Y721" s="723"/>
      <c r="Z721" s="723"/>
      <c r="AA721" s="726"/>
      <c r="AB721" s="726"/>
      <c r="AC721" s="170"/>
      <c r="AD721" s="586"/>
      <c r="AE721" s="586"/>
      <c r="AF721" s="170"/>
      <c r="AG721" s="170"/>
      <c r="AH721" s="170"/>
      <c r="AI721" s="170"/>
      <c r="AJ721" s="170"/>
      <c r="AK721" s="170"/>
      <c r="AL721" s="170"/>
      <c r="AM721" s="170"/>
      <c r="AN721" s="170"/>
      <c r="AO721" s="170"/>
      <c r="AP721" s="170"/>
      <c r="AQ721" s="170"/>
      <c r="AR721" s="170"/>
      <c r="AS721" s="170"/>
    </row>
    <row r="722" spans="1:45" ht="15" x14ac:dyDescent="0.25">
      <c r="A722" s="170"/>
      <c r="B722" s="719"/>
      <c r="C722" s="170"/>
      <c r="D722" s="170"/>
      <c r="E722" s="170"/>
      <c r="F722" s="170"/>
      <c r="G722" s="721"/>
      <c r="H722" s="170"/>
      <c r="I722" s="170"/>
      <c r="J722" s="170"/>
      <c r="K722" s="170"/>
      <c r="L722" s="170"/>
      <c r="M722" s="730"/>
      <c r="N722" s="730"/>
      <c r="O722" s="730"/>
      <c r="P722" s="731"/>
      <c r="Q722" s="731"/>
      <c r="R722" s="730"/>
      <c r="S722" s="730"/>
      <c r="T722" s="723"/>
      <c r="U722" s="724"/>
      <c r="V722" s="725"/>
      <c r="W722" s="725"/>
      <c r="X722" s="723"/>
      <c r="Y722" s="723"/>
      <c r="Z722" s="723"/>
      <c r="AA722" s="726"/>
      <c r="AB722" s="726"/>
      <c r="AC722" s="170"/>
      <c r="AD722" s="586"/>
      <c r="AE722" s="586"/>
      <c r="AF722" s="170"/>
      <c r="AG722" s="170"/>
      <c r="AH722" s="170"/>
      <c r="AI722" s="170"/>
      <c r="AJ722" s="170"/>
      <c r="AK722" s="170"/>
      <c r="AL722" s="170"/>
      <c r="AM722" s="170"/>
      <c r="AN722" s="170"/>
      <c r="AO722" s="170"/>
      <c r="AP722" s="170"/>
      <c r="AQ722" s="170"/>
      <c r="AR722" s="170"/>
      <c r="AS722" s="170"/>
    </row>
    <row r="723" spans="1:45" ht="15" x14ac:dyDescent="0.25">
      <c r="A723" s="170"/>
      <c r="B723" s="719"/>
      <c r="C723" s="170"/>
      <c r="D723" s="170"/>
      <c r="E723" s="170"/>
      <c r="F723" s="170"/>
      <c r="G723" s="721"/>
      <c r="H723" s="170"/>
      <c r="I723" s="170"/>
      <c r="J723" s="170"/>
      <c r="K723" s="170"/>
      <c r="L723" s="170"/>
      <c r="M723" s="730"/>
      <c r="N723" s="730"/>
      <c r="O723" s="730"/>
      <c r="P723" s="731"/>
      <c r="Q723" s="731"/>
      <c r="R723" s="730"/>
      <c r="S723" s="730"/>
      <c r="T723" s="723"/>
      <c r="U723" s="724"/>
      <c r="V723" s="725"/>
      <c r="W723" s="725"/>
      <c r="X723" s="723"/>
      <c r="Y723" s="723"/>
      <c r="Z723" s="723"/>
      <c r="AA723" s="726"/>
      <c r="AB723" s="726"/>
      <c r="AC723" s="170"/>
      <c r="AD723" s="586"/>
      <c r="AE723" s="586"/>
      <c r="AF723" s="170"/>
      <c r="AG723" s="170"/>
      <c r="AH723" s="170"/>
      <c r="AI723" s="170"/>
      <c r="AJ723" s="170"/>
      <c r="AK723" s="170"/>
      <c r="AL723" s="170"/>
      <c r="AM723" s="170"/>
      <c r="AN723" s="170"/>
      <c r="AO723" s="170"/>
      <c r="AP723" s="170"/>
      <c r="AQ723" s="170"/>
      <c r="AR723" s="170"/>
      <c r="AS723" s="170"/>
    </row>
    <row r="724" spans="1:45" ht="15" x14ac:dyDescent="0.25">
      <c r="A724" s="170"/>
      <c r="B724" s="719"/>
      <c r="C724" s="170"/>
      <c r="D724" s="170"/>
      <c r="E724" s="170"/>
      <c r="F724" s="170"/>
      <c r="G724" s="721"/>
      <c r="H724" s="170"/>
      <c r="I724" s="170"/>
      <c r="J724" s="170"/>
      <c r="K724" s="170"/>
      <c r="L724" s="170"/>
      <c r="M724" s="730"/>
      <c r="N724" s="730"/>
      <c r="O724" s="730"/>
      <c r="P724" s="731"/>
      <c r="Q724" s="731"/>
      <c r="R724" s="730"/>
      <c r="S724" s="730"/>
      <c r="T724" s="723"/>
      <c r="U724" s="724"/>
      <c r="V724" s="725"/>
      <c r="W724" s="725"/>
      <c r="X724" s="723"/>
      <c r="Y724" s="723"/>
      <c r="Z724" s="723"/>
      <c r="AA724" s="726"/>
      <c r="AB724" s="726"/>
      <c r="AC724" s="170"/>
      <c r="AD724" s="586"/>
      <c r="AE724" s="586"/>
      <c r="AF724" s="170"/>
      <c r="AG724" s="170"/>
      <c r="AH724" s="170"/>
      <c r="AI724" s="170"/>
      <c r="AJ724" s="170"/>
      <c r="AK724" s="170"/>
      <c r="AL724" s="170"/>
      <c r="AM724" s="170"/>
      <c r="AN724" s="170"/>
      <c r="AO724" s="170"/>
      <c r="AP724" s="170"/>
      <c r="AQ724" s="170"/>
      <c r="AR724" s="170"/>
      <c r="AS724" s="170"/>
    </row>
    <row r="725" spans="1:45" ht="15" x14ac:dyDescent="0.25">
      <c r="A725" s="170"/>
      <c r="B725" s="719"/>
      <c r="C725" s="170"/>
      <c r="D725" s="170"/>
      <c r="E725" s="170"/>
      <c r="F725" s="170"/>
      <c r="G725" s="721"/>
      <c r="H725" s="170"/>
      <c r="I725" s="170"/>
      <c r="J725" s="170"/>
      <c r="K725" s="170"/>
      <c r="L725" s="170"/>
      <c r="M725" s="730"/>
      <c r="N725" s="730"/>
      <c r="O725" s="730"/>
      <c r="P725" s="731"/>
      <c r="Q725" s="731"/>
      <c r="R725" s="730"/>
      <c r="S725" s="730"/>
      <c r="T725" s="723"/>
      <c r="U725" s="724"/>
      <c r="V725" s="725"/>
      <c r="W725" s="725"/>
      <c r="X725" s="723"/>
      <c r="Y725" s="723"/>
      <c r="Z725" s="723"/>
      <c r="AA725" s="726"/>
      <c r="AB725" s="726"/>
      <c r="AC725" s="170"/>
      <c r="AD725" s="586"/>
      <c r="AE725" s="586"/>
      <c r="AF725" s="170"/>
      <c r="AG725" s="170"/>
      <c r="AH725" s="170"/>
      <c r="AI725" s="170"/>
      <c r="AJ725" s="170"/>
      <c r="AK725" s="170"/>
      <c r="AL725" s="170"/>
      <c r="AM725" s="170"/>
      <c r="AN725" s="170"/>
      <c r="AO725" s="170"/>
      <c r="AP725" s="170"/>
      <c r="AQ725" s="170"/>
      <c r="AR725" s="170"/>
      <c r="AS725" s="170"/>
    </row>
    <row r="726" spans="1:45" ht="15" x14ac:dyDescent="0.25">
      <c r="A726" s="170"/>
      <c r="B726" s="719"/>
      <c r="C726" s="170"/>
      <c r="D726" s="170"/>
      <c r="E726" s="170"/>
      <c r="F726" s="170"/>
      <c r="G726" s="721"/>
      <c r="H726" s="170"/>
      <c r="I726" s="170"/>
      <c r="J726" s="170"/>
      <c r="K726" s="170"/>
      <c r="L726" s="170"/>
      <c r="M726" s="730"/>
      <c r="N726" s="730"/>
      <c r="O726" s="730"/>
      <c r="P726" s="731"/>
      <c r="Q726" s="731"/>
      <c r="R726" s="730"/>
      <c r="S726" s="730"/>
      <c r="T726" s="723"/>
      <c r="U726" s="724"/>
      <c r="V726" s="725"/>
      <c r="W726" s="725"/>
      <c r="X726" s="723"/>
      <c r="Y726" s="723"/>
      <c r="Z726" s="723"/>
      <c r="AA726" s="726"/>
      <c r="AB726" s="726"/>
      <c r="AC726" s="170"/>
      <c r="AD726" s="586"/>
      <c r="AE726" s="586"/>
      <c r="AF726" s="170"/>
      <c r="AG726" s="170"/>
      <c r="AH726" s="170"/>
      <c r="AI726" s="170"/>
      <c r="AJ726" s="170"/>
      <c r="AK726" s="170"/>
      <c r="AL726" s="170"/>
      <c r="AM726" s="170"/>
      <c r="AN726" s="170"/>
      <c r="AO726" s="170"/>
      <c r="AP726" s="170"/>
      <c r="AQ726" s="170"/>
      <c r="AR726" s="170"/>
      <c r="AS726" s="170"/>
    </row>
    <row r="727" spans="1:45" ht="15" x14ac:dyDescent="0.25">
      <c r="A727" s="170"/>
      <c r="B727" s="719"/>
      <c r="C727" s="170"/>
      <c r="D727" s="170"/>
      <c r="E727" s="170"/>
      <c r="F727" s="170"/>
      <c r="G727" s="721"/>
      <c r="H727" s="170"/>
      <c r="I727" s="170"/>
      <c r="J727" s="170"/>
      <c r="K727" s="170"/>
      <c r="L727" s="170"/>
      <c r="M727" s="730"/>
      <c r="N727" s="730"/>
      <c r="O727" s="730"/>
      <c r="P727" s="731"/>
      <c r="Q727" s="731"/>
      <c r="R727" s="730"/>
      <c r="S727" s="730"/>
      <c r="T727" s="723"/>
      <c r="U727" s="724"/>
      <c r="V727" s="725"/>
      <c r="W727" s="725"/>
      <c r="X727" s="723"/>
      <c r="Y727" s="723"/>
      <c r="Z727" s="723"/>
      <c r="AA727" s="726"/>
      <c r="AB727" s="726"/>
      <c r="AC727" s="170"/>
      <c r="AD727" s="586"/>
      <c r="AE727" s="586"/>
      <c r="AF727" s="170"/>
      <c r="AG727" s="170"/>
      <c r="AH727" s="170"/>
      <c r="AI727" s="170"/>
      <c r="AJ727" s="170"/>
      <c r="AK727" s="170"/>
      <c r="AL727" s="170"/>
      <c r="AM727" s="170"/>
      <c r="AN727" s="170"/>
      <c r="AO727" s="170"/>
      <c r="AP727" s="170"/>
      <c r="AQ727" s="170"/>
      <c r="AR727" s="170"/>
      <c r="AS727" s="170"/>
    </row>
    <row r="728" spans="1:45" ht="15" x14ac:dyDescent="0.25">
      <c r="A728" s="170"/>
      <c r="B728" s="719"/>
      <c r="C728" s="170"/>
      <c r="D728" s="170"/>
      <c r="E728" s="170"/>
      <c r="F728" s="170"/>
      <c r="G728" s="721"/>
      <c r="H728" s="170"/>
      <c r="I728" s="170"/>
      <c r="J728" s="170"/>
      <c r="K728" s="170"/>
      <c r="L728" s="170"/>
      <c r="M728" s="730"/>
      <c r="N728" s="730"/>
      <c r="O728" s="730"/>
      <c r="P728" s="731"/>
      <c r="Q728" s="731"/>
      <c r="R728" s="730"/>
      <c r="S728" s="730"/>
      <c r="T728" s="723"/>
      <c r="U728" s="724"/>
      <c r="V728" s="725"/>
      <c r="W728" s="725"/>
      <c r="X728" s="723"/>
      <c r="Y728" s="723"/>
      <c r="Z728" s="723"/>
      <c r="AA728" s="726"/>
      <c r="AB728" s="726"/>
      <c r="AC728" s="170"/>
      <c r="AD728" s="586"/>
      <c r="AE728" s="586"/>
      <c r="AF728" s="170"/>
      <c r="AG728" s="170"/>
      <c r="AH728" s="170"/>
      <c r="AI728" s="170"/>
      <c r="AJ728" s="170"/>
      <c r="AK728" s="170"/>
      <c r="AL728" s="170"/>
      <c r="AM728" s="170"/>
      <c r="AN728" s="170"/>
      <c r="AO728" s="170"/>
      <c r="AP728" s="170"/>
      <c r="AQ728" s="170"/>
      <c r="AR728" s="170"/>
      <c r="AS728" s="170"/>
    </row>
    <row r="729" spans="1:45" ht="15" x14ac:dyDescent="0.25">
      <c r="A729" s="170"/>
      <c r="B729" s="719"/>
      <c r="C729" s="170"/>
      <c r="D729" s="170"/>
      <c r="E729" s="170"/>
      <c r="F729" s="170"/>
      <c r="G729" s="721"/>
      <c r="H729" s="170"/>
      <c r="I729" s="170"/>
      <c r="J729" s="170"/>
      <c r="K729" s="170"/>
      <c r="L729" s="170"/>
      <c r="M729" s="730"/>
      <c r="N729" s="730"/>
      <c r="O729" s="730"/>
      <c r="P729" s="731"/>
      <c r="Q729" s="731"/>
      <c r="R729" s="730"/>
      <c r="S729" s="730"/>
      <c r="T729" s="723"/>
      <c r="U729" s="724"/>
      <c r="V729" s="725"/>
      <c r="W729" s="725"/>
      <c r="X729" s="723"/>
      <c r="Y729" s="723"/>
      <c r="Z729" s="723"/>
      <c r="AA729" s="726"/>
      <c r="AB729" s="726"/>
      <c r="AC729" s="170"/>
      <c r="AD729" s="586"/>
      <c r="AE729" s="586"/>
      <c r="AF729" s="170"/>
      <c r="AG729" s="170"/>
      <c r="AH729" s="170"/>
      <c r="AI729" s="170"/>
      <c r="AJ729" s="170"/>
      <c r="AK729" s="170"/>
      <c r="AL729" s="170"/>
      <c r="AM729" s="170"/>
      <c r="AN729" s="170"/>
      <c r="AO729" s="170"/>
      <c r="AP729" s="170"/>
      <c r="AQ729" s="170"/>
      <c r="AR729" s="170"/>
      <c r="AS729" s="170"/>
    </row>
    <row r="730" spans="1:45" ht="15" x14ac:dyDescent="0.25">
      <c r="A730" s="170"/>
      <c r="B730" s="719"/>
      <c r="C730" s="170"/>
      <c r="D730" s="170"/>
      <c r="E730" s="170"/>
      <c r="F730" s="170"/>
      <c r="G730" s="721"/>
      <c r="H730" s="170"/>
      <c r="I730" s="170"/>
      <c r="J730" s="170"/>
      <c r="K730" s="170"/>
      <c r="L730" s="170"/>
      <c r="M730" s="730"/>
      <c r="N730" s="730"/>
      <c r="O730" s="730"/>
      <c r="P730" s="731"/>
      <c r="Q730" s="731"/>
      <c r="R730" s="730"/>
      <c r="S730" s="730"/>
      <c r="T730" s="723"/>
      <c r="U730" s="724"/>
      <c r="V730" s="725"/>
      <c r="W730" s="725"/>
      <c r="X730" s="723"/>
      <c r="Y730" s="723"/>
      <c r="Z730" s="723"/>
      <c r="AA730" s="726"/>
      <c r="AB730" s="726"/>
      <c r="AC730" s="170"/>
      <c r="AD730" s="586"/>
      <c r="AE730" s="586"/>
      <c r="AF730" s="170"/>
      <c r="AG730" s="170"/>
      <c r="AH730" s="170"/>
      <c r="AI730" s="170"/>
      <c r="AJ730" s="170"/>
      <c r="AK730" s="170"/>
      <c r="AL730" s="170"/>
      <c r="AM730" s="170"/>
      <c r="AN730" s="170"/>
      <c r="AO730" s="170"/>
      <c r="AP730" s="170"/>
      <c r="AQ730" s="170"/>
      <c r="AR730" s="170"/>
      <c r="AS730" s="170"/>
    </row>
    <row r="731" spans="1:45" ht="15" x14ac:dyDescent="0.25">
      <c r="A731" s="170"/>
      <c r="B731" s="719"/>
      <c r="C731" s="170"/>
      <c r="D731" s="170"/>
      <c r="E731" s="170"/>
      <c r="F731" s="170"/>
      <c r="G731" s="721"/>
      <c r="H731" s="170"/>
      <c r="I731" s="170"/>
      <c r="J731" s="170"/>
      <c r="K731" s="170"/>
      <c r="L731" s="170"/>
      <c r="M731" s="730"/>
      <c r="N731" s="730"/>
      <c r="O731" s="730"/>
      <c r="P731" s="731"/>
      <c r="Q731" s="731"/>
      <c r="R731" s="730"/>
      <c r="S731" s="730"/>
      <c r="T731" s="723"/>
      <c r="U731" s="724"/>
      <c r="V731" s="725"/>
      <c r="W731" s="725"/>
      <c r="X731" s="723"/>
      <c r="Y731" s="723"/>
      <c r="Z731" s="723"/>
      <c r="AA731" s="726"/>
      <c r="AB731" s="726"/>
      <c r="AC731" s="170"/>
      <c r="AD731" s="586"/>
      <c r="AE731" s="586"/>
      <c r="AF731" s="170"/>
      <c r="AG731" s="170"/>
      <c r="AH731" s="170"/>
      <c r="AI731" s="170"/>
      <c r="AJ731" s="170"/>
      <c r="AK731" s="170"/>
      <c r="AL731" s="170"/>
      <c r="AM731" s="170"/>
      <c r="AN731" s="170"/>
      <c r="AO731" s="170"/>
      <c r="AP731" s="170"/>
      <c r="AQ731" s="170"/>
      <c r="AR731" s="170"/>
      <c r="AS731" s="170"/>
    </row>
    <row r="732" spans="1:45" ht="15" x14ac:dyDescent="0.25">
      <c r="A732" s="170"/>
      <c r="B732" s="719"/>
      <c r="C732" s="170"/>
      <c r="D732" s="170"/>
      <c r="E732" s="170"/>
      <c r="F732" s="170"/>
      <c r="G732" s="721"/>
      <c r="H732" s="170"/>
      <c r="I732" s="170"/>
      <c r="J732" s="170"/>
      <c r="K732" s="170"/>
      <c r="L732" s="170"/>
      <c r="M732" s="730"/>
      <c r="N732" s="730"/>
      <c r="O732" s="730"/>
      <c r="P732" s="731"/>
      <c r="Q732" s="731"/>
      <c r="R732" s="730"/>
      <c r="S732" s="730"/>
      <c r="T732" s="723"/>
      <c r="U732" s="724"/>
      <c r="V732" s="725"/>
      <c r="W732" s="725"/>
      <c r="X732" s="723"/>
      <c r="Y732" s="723"/>
      <c r="Z732" s="723"/>
      <c r="AA732" s="726"/>
      <c r="AB732" s="726"/>
      <c r="AC732" s="170"/>
      <c r="AD732" s="586"/>
      <c r="AE732" s="586"/>
      <c r="AF732" s="170"/>
      <c r="AG732" s="170"/>
      <c r="AH732" s="170"/>
      <c r="AI732" s="170"/>
      <c r="AJ732" s="170"/>
      <c r="AK732" s="170"/>
      <c r="AL732" s="170"/>
      <c r="AM732" s="170"/>
      <c r="AN732" s="170"/>
      <c r="AO732" s="170"/>
      <c r="AP732" s="170"/>
      <c r="AQ732" s="170"/>
      <c r="AR732" s="170"/>
      <c r="AS732" s="170"/>
    </row>
    <row r="733" spans="1:45" ht="12.6" customHeight="1" x14ac:dyDescent="0.25">
      <c r="B733" s="719"/>
    </row>
    <row r="734" spans="1:45" ht="12.6" customHeight="1" x14ac:dyDescent="0.25">
      <c r="B734" s="719"/>
    </row>
    <row r="735" spans="1:45" ht="12.6" customHeight="1" x14ac:dyDescent="0.25">
      <c r="B735" s="719"/>
    </row>
    <row r="736" spans="1:45" ht="12.6" customHeight="1" x14ac:dyDescent="0.25">
      <c r="B736" s="719"/>
    </row>
    <row r="737" spans="2:2" ht="12.6" customHeight="1" x14ac:dyDescent="0.25">
      <c r="B737" s="719"/>
    </row>
    <row r="738" spans="2:2" ht="12.6" customHeight="1" x14ac:dyDescent="0.25">
      <c r="B738" s="719"/>
    </row>
    <row r="739" spans="2:2" ht="12.6" customHeight="1" x14ac:dyDescent="0.25">
      <c r="B739" s="719"/>
    </row>
    <row r="740" spans="2:2" ht="12.6" customHeight="1" x14ac:dyDescent="0.25">
      <c r="B740" s="719"/>
    </row>
    <row r="741" spans="2:2" ht="12.6" customHeight="1" x14ac:dyDescent="0.25">
      <c r="B741" s="719"/>
    </row>
    <row r="742" spans="2:2" ht="12.6" customHeight="1" x14ac:dyDescent="0.25">
      <c r="B742" s="719"/>
    </row>
    <row r="743" spans="2:2" ht="12.6" customHeight="1" x14ac:dyDescent="0.25">
      <c r="B743" s="719"/>
    </row>
    <row r="744" spans="2:2" ht="12.6" customHeight="1" x14ac:dyDescent="0.25">
      <c r="B744" s="719"/>
    </row>
    <row r="745" spans="2:2" ht="12.6" customHeight="1" x14ac:dyDescent="0.25">
      <c r="B745" s="719"/>
    </row>
    <row r="746" spans="2:2" ht="12.6" customHeight="1" x14ac:dyDescent="0.25">
      <c r="B746" s="719"/>
    </row>
    <row r="747" spans="2:2" ht="12.6" customHeight="1" x14ac:dyDescent="0.25">
      <c r="B747" s="719"/>
    </row>
    <row r="748" spans="2:2" ht="12.6" customHeight="1" x14ac:dyDescent="0.25">
      <c r="B748" s="719"/>
    </row>
    <row r="749" spans="2:2" ht="12.6" customHeight="1" x14ac:dyDescent="0.25">
      <c r="B749" s="719"/>
    </row>
    <row r="750" spans="2:2" ht="12.6" customHeight="1" x14ac:dyDescent="0.25">
      <c r="B750" s="719"/>
    </row>
    <row r="751" spans="2:2" ht="12.6" customHeight="1" x14ac:dyDescent="0.25">
      <c r="B751" s="719"/>
    </row>
    <row r="752" spans="2:2" ht="12.6" customHeight="1" x14ac:dyDescent="0.25">
      <c r="B752" s="719"/>
    </row>
    <row r="753" spans="2:2" ht="12.6" customHeight="1" x14ac:dyDescent="0.25">
      <c r="B753" s="719"/>
    </row>
    <row r="754" spans="2:2" ht="12.6" customHeight="1" x14ac:dyDescent="0.25">
      <c r="B754" s="719"/>
    </row>
    <row r="755" spans="2:2" ht="12.6" customHeight="1" x14ac:dyDescent="0.25">
      <c r="B755" s="719"/>
    </row>
    <row r="756" spans="2:2" ht="12.6" customHeight="1" x14ac:dyDescent="0.25">
      <c r="B756" s="719"/>
    </row>
    <row r="757" spans="2:2" ht="12.6" customHeight="1" x14ac:dyDescent="0.25">
      <c r="B757" s="719"/>
    </row>
    <row r="758" spans="2:2" ht="12.6" customHeight="1" x14ac:dyDescent="0.25">
      <c r="B758" s="719"/>
    </row>
    <row r="759" spans="2:2" ht="12.6" customHeight="1" x14ac:dyDescent="0.25">
      <c r="B759" s="719"/>
    </row>
    <row r="760" spans="2:2" ht="12.6" customHeight="1" x14ac:dyDescent="0.25">
      <c r="B760" s="719"/>
    </row>
    <row r="761" spans="2:2" ht="12.6" customHeight="1" x14ac:dyDescent="0.25">
      <c r="B761" s="719"/>
    </row>
    <row r="762" spans="2:2" ht="12.6" customHeight="1" x14ac:dyDescent="0.25">
      <c r="B762" s="719"/>
    </row>
    <row r="763" spans="2:2" ht="12.6" customHeight="1" x14ac:dyDescent="0.25">
      <c r="B763" s="719"/>
    </row>
    <row r="764" spans="2:2" ht="12.6" customHeight="1" x14ac:dyDescent="0.25">
      <c r="B764" s="719"/>
    </row>
    <row r="765" spans="2:2" ht="12.6" customHeight="1" x14ac:dyDescent="0.25">
      <c r="B765" s="719"/>
    </row>
    <row r="766" spans="2:2" ht="12.6" customHeight="1" x14ac:dyDescent="0.25">
      <c r="B766" s="719"/>
    </row>
    <row r="767" spans="2:2" ht="12.6" customHeight="1" x14ac:dyDescent="0.25">
      <c r="B767" s="719"/>
    </row>
    <row r="768" spans="2:2" ht="12.6" customHeight="1" x14ac:dyDescent="0.25">
      <c r="B768" s="719"/>
    </row>
    <row r="769" spans="2:2" ht="12.6" customHeight="1" x14ac:dyDescent="0.25">
      <c r="B769" s="719"/>
    </row>
    <row r="770" spans="2:2" ht="12.6" customHeight="1" x14ac:dyDescent="0.25">
      <c r="B770" s="719"/>
    </row>
    <row r="771" spans="2:2" ht="12.6" customHeight="1" x14ac:dyDescent="0.25">
      <c r="B771" s="719"/>
    </row>
    <row r="772" spans="2:2" ht="12.6" customHeight="1" x14ac:dyDescent="0.25">
      <c r="B772" s="719"/>
    </row>
    <row r="773" spans="2:2" ht="12.6" customHeight="1" x14ac:dyDescent="0.25">
      <c r="B773" s="719"/>
    </row>
    <row r="774" spans="2:2" ht="12.6" customHeight="1" x14ac:dyDescent="0.25">
      <c r="B774" s="719"/>
    </row>
    <row r="775" spans="2:2" ht="12.6" customHeight="1" x14ac:dyDescent="0.25">
      <c r="B775" s="719"/>
    </row>
    <row r="776" spans="2:2" ht="12.6" customHeight="1" x14ac:dyDescent="0.25">
      <c r="B776" s="719"/>
    </row>
    <row r="777" spans="2:2" ht="12.6" customHeight="1" x14ac:dyDescent="0.25">
      <c r="B777" s="719"/>
    </row>
    <row r="778" spans="2:2" ht="12.6" customHeight="1" x14ac:dyDescent="0.25">
      <c r="B778" s="719"/>
    </row>
    <row r="779" spans="2:2" ht="12.6" customHeight="1" x14ac:dyDescent="0.25">
      <c r="B779" s="719"/>
    </row>
    <row r="780" spans="2:2" ht="12.6" customHeight="1" x14ac:dyDescent="0.25">
      <c r="B780" s="719"/>
    </row>
  </sheetData>
  <sheetProtection formatCells="0" formatColumns="0" formatRows="0" autoFilter="0"/>
  <autoFilter ref="D8:AS134" xr:uid="{34925F03-CF78-4E80-A122-E948699FDEB3}"/>
  <conditionalFormatting sqref="F9:F127">
    <cfRule type="cellIs" dxfId="0" priority="1" operator="equal">
      <formula>0</formula>
    </cfRule>
  </conditionalFormatting>
  <dataValidations count="2">
    <dataValidation type="list" allowBlank="1" showInputMessage="1" showErrorMessage="1" sqref="F9" xr:uid="{231B8BC1-3FFF-4E6F-BE07-CDF564C5DB96}">
      <formula1>$F$138:$F$236</formula1>
    </dataValidation>
    <dataValidation type="list" allowBlank="1" showInputMessage="1" showErrorMessage="1" sqref="P9:Q127" xr:uid="{0766D548-3072-4220-9DE0-CFD8A487D0E7}">
      <formula1>"E, Other"</formula1>
    </dataValidation>
  </dataValidations>
  <printOptions horizontalCentered="1"/>
  <pageMargins left="0.7" right="0.21" top="0.5" bottom="0.34" header="0.16" footer="0.16"/>
  <pageSetup scale="63" fitToHeight="0" orientation="landscape"/>
  <headerFooter alignWithMargins="0">
    <oddFooter>&amp;Cpage &amp;P of &amp;N</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83A3F052-1161-43F3-9A38-FA8D5FB8D743}">
          <x14:formula1>
            <xm:f>Parameters!$D$311:$D$351</xm:f>
          </x14:formula1>
          <xm:sqref>K9:K127 I9:I127</xm:sqref>
        </x14:dataValidation>
        <x14:dataValidation type="list" allowBlank="1" showInputMessage="1" showErrorMessage="1" xr:uid="{C75C47C4-86D8-4C44-8D60-4976DBFD0AFF}">
          <x14:formula1>
            <xm:f>'Data Input sheet'!$B$118:$B$179</xm:f>
          </x14:formula1>
          <xm:sqref>R9:R127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177F3-2EFC-48C5-BB5E-1EBA7833998B}">
  <sheetPr codeName="Sheet22">
    <tabColor rgb="FFFFC000"/>
    <pageSetUpPr autoPageBreaks="0" fitToPage="1"/>
  </sheetPr>
  <dimension ref="A1:AT751"/>
  <sheetViews>
    <sheetView showZeros="0" topLeftCell="C1" zoomScale="98" zoomScaleNormal="98" workbookViewId="0">
      <pane xSplit="7" ySplit="8" topLeftCell="J9" activePane="bottomRight" state="frozen"/>
      <selection activeCell="H10" sqref="H10"/>
      <selection pane="topRight" activeCell="H10" sqref="H10"/>
      <selection pane="bottomLeft" activeCell="H10" sqref="H10"/>
      <selection pane="bottomRight" activeCell="G158" sqref="G158"/>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30.5703125" customWidth="1"/>
    <col min="8" max="8" width="8.42578125" customWidth="1"/>
    <col min="9" max="9" width="7.5703125" customWidth="1"/>
    <col min="10" max="11" width="8.42578125" customWidth="1"/>
    <col min="12" max="12" width="6.5703125" customWidth="1" outlineLevel="1"/>
    <col min="13" max="15" width="8.42578125" customWidth="1" outlineLevel="1"/>
    <col min="16" max="16" width="10.42578125" customWidth="1" outlineLevel="1"/>
    <col min="17" max="17" width="9.42578125" customWidth="1" outlineLevel="1"/>
    <col min="18" max="19" width="8.42578125" customWidth="1" outlineLevel="1"/>
    <col min="20" max="20" width="14" customWidth="1" outlineLevel="1"/>
    <col min="21" max="21" width="12.42578125" customWidth="1" outlineLevel="1"/>
    <col min="22" max="22" width="13.5703125" customWidth="1" outlineLevel="1"/>
    <col min="23" max="23" width="13.42578125" customWidth="1" outlineLevel="1"/>
    <col min="24" max="24" width="13" customWidth="1" outlineLevel="1"/>
    <col min="25" max="25" width="13.42578125" customWidth="1" outlineLevel="1"/>
    <col min="26" max="26" width="13.5703125"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8.5703125" customWidth="1"/>
  </cols>
  <sheetData>
    <row r="1" spans="1:46" ht="30" x14ac:dyDescent="0.25">
      <c r="A1" s="170"/>
      <c r="B1" s="719"/>
      <c r="C1" s="170"/>
      <c r="D1" s="170"/>
      <c r="E1" s="170"/>
      <c r="F1" s="170"/>
      <c r="G1" s="2295" t="str">
        <f>+Cover!C5</f>
        <v>Project Title: Battery Storage - Hyde Park</v>
      </c>
      <c r="H1" s="170"/>
      <c r="I1" s="170"/>
      <c r="J1" s="170"/>
      <c r="K1" s="170"/>
      <c r="L1" s="170"/>
      <c r="M1" s="720"/>
      <c r="N1" s="720"/>
      <c r="O1" s="720"/>
      <c r="P1" s="722"/>
      <c r="Q1" s="722"/>
      <c r="R1" s="720"/>
      <c r="S1" s="720"/>
      <c r="T1" s="723"/>
      <c r="U1" s="724"/>
      <c r="V1" s="725"/>
      <c r="W1" s="725"/>
      <c r="X1" s="723"/>
      <c r="Y1" s="723"/>
      <c r="Z1" s="723"/>
      <c r="AA1" s="726"/>
      <c r="AB1" s="726"/>
      <c r="AC1" s="170"/>
      <c r="AD1" s="586"/>
      <c r="AE1" s="586"/>
      <c r="AF1" s="727"/>
      <c r="AG1" s="727"/>
      <c r="AH1" s="727"/>
      <c r="AI1" s="170"/>
      <c r="AJ1" s="170"/>
      <c r="AK1" s="170"/>
      <c r="AL1" s="170"/>
      <c r="AM1" s="170"/>
      <c r="AN1" s="170"/>
      <c r="AO1" s="170"/>
      <c r="AP1" s="170"/>
      <c r="AQ1" s="170"/>
      <c r="AR1" s="170"/>
      <c r="AS1" s="170"/>
    </row>
    <row r="2" spans="1:46" ht="15" x14ac:dyDescent="0.25">
      <c r="A2" s="170"/>
      <c r="B2" s="719"/>
      <c r="C2" s="170"/>
      <c r="D2" s="170"/>
      <c r="E2" s="170"/>
      <c r="F2" s="170"/>
      <c r="G2" s="2295" t="str">
        <f>+Cover!C8</f>
        <v>Project Number: 21334</v>
      </c>
      <c r="H2" s="170"/>
      <c r="I2" s="170"/>
      <c r="J2" s="170"/>
      <c r="K2" s="170"/>
      <c r="L2" s="170"/>
      <c r="M2" s="720"/>
      <c r="N2" s="720"/>
      <c r="O2" s="720"/>
      <c r="P2" s="722"/>
      <c r="Q2" s="722"/>
      <c r="R2" s="720"/>
      <c r="S2" s="720"/>
      <c r="T2" s="723"/>
      <c r="U2" s="720"/>
      <c r="V2" s="728"/>
      <c r="W2" s="728"/>
      <c r="X2" s="729"/>
      <c r="Y2" s="729"/>
      <c r="Z2" s="723"/>
      <c r="AA2" s="726"/>
      <c r="AB2" s="726"/>
      <c r="AC2" s="170"/>
      <c r="AD2" s="586"/>
      <c r="AE2" s="586"/>
      <c r="AF2" s="170"/>
      <c r="AG2" s="170"/>
      <c r="AH2" s="170"/>
      <c r="AI2" s="170"/>
      <c r="AJ2" s="170"/>
      <c r="AK2" s="170"/>
      <c r="AL2" s="170"/>
      <c r="AM2" s="170"/>
      <c r="AN2" s="170"/>
      <c r="AO2" s="170"/>
      <c r="AP2" s="170"/>
      <c r="AQ2" s="170"/>
      <c r="AR2" s="170"/>
      <c r="AS2" s="735" t="str" cm="1">
        <f t="array" ref="AS2:AT2">+Cover!R8:S8</f>
        <v>Estimate done by: PAG</v>
      </c>
      <c r="AT2">
        <v>0</v>
      </c>
    </row>
    <row r="3" spans="1:46" ht="15" x14ac:dyDescent="0.25">
      <c r="A3" s="170"/>
      <c r="B3" s="719"/>
      <c r="C3" s="170"/>
      <c r="D3" s="170"/>
      <c r="E3" s="170"/>
      <c r="F3" s="170"/>
      <c r="G3" s="2295" t="str">
        <f>+Cover!C9</f>
        <v>WO &amp; Task #: 80089926</v>
      </c>
      <c r="H3" s="170"/>
      <c r="I3" s="170"/>
      <c r="J3" s="170"/>
      <c r="K3" s="170"/>
      <c r="L3" s="170"/>
      <c r="M3" s="730"/>
      <c r="N3" s="730"/>
      <c r="O3" s="730"/>
      <c r="P3" s="731"/>
      <c r="Q3" s="731"/>
      <c r="R3" s="720"/>
      <c r="S3" s="720"/>
      <c r="T3" s="723"/>
      <c r="U3" s="720"/>
      <c r="V3" s="732"/>
      <c r="W3" s="723"/>
      <c r="X3" s="733" t="s">
        <v>552</v>
      </c>
      <c r="Y3" s="734">
        <f>'Data Input sheet'!D185</f>
        <v>2.5375000000000001</v>
      </c>
      <c r="Z3" s="723"/>
      <c r="AA3" s="726"/>
      <c r="AB3" s="726"/>
      <c r="AC3" s="170"/>
      <c r="AD3" s="586"/>
      <c r="AE3" s="586"/>
      <c r="AF3" s="170"/>
      <c r="AG3" s="170"/>
      <c r="AH3" s="170"/>
      <c r="AI3" s="170"/>
      <c r="AJ3" s="170"/>
      <c r="AK3" s="170"/>
      <c r="AL3" s="170"/>
      <c r="AM3" s="170"/>
      <c r="AN3" s="170"/>
      <c r="AO3" s="170"/>
      <c r="AP3" s="170"/>
      <c r="AQ3" s="170"/>
      <c r="AR3" s="170"/>
      <c r="AS3" s="735" t="str">
        <f>+Cover!R6</f>
        <v>Date of Estimate:12/08/2023</v>
      </c>
    </row>
    <row r="4" spans="1:46" ht="15.75" customHeight="1" thickBot="1" x14ac:dyDescent="0.3">
      <c r="A4" s="170"/>
      <c r="B4" s="719"/>
      <c r="C4" s="170"/>
      <c r="D4" s="170"/>
      <c r="E4" s="170"/>
      <c r="F4" s="170"/>
      <c r="G4" s="2295" t="str">
        <f>+Cover!R5</f>
        <v>Estimate #: E-23-373</v>
      </c>
      <c r="H4" s="170"/>
      <c r="I4" s="170"/>
      <c r="J4" s="170"/>
      <c r="K4" s="170"/>
      <c r="L4" s="170"/>
      <c r="M4" s="730"/>
      <c r="N4" s="730"/>
      <c r="O4" s="730"/>
      <c r="P4" s="731"/>
      <c r="Q4" s="731"/>
      <c r="R4" s="720"/>
      <c r="S4" s="720"/>
      <c r="T4" s="723"/>
      <c r="U4" s="720"/>
      <c r="V4" s="728"/>
      <c r="W4" s="728"/>
      <c r="X4" s="723"/>
      <c r="Y4" s="723"/>
      <c r="Z4" s="729"/>
      <c r="AA4" s="726"/>
      <c r="AB4" s="726"/>
      <c r="AC4" s="170"/>
      <c r="AD4" s="586"/>
      <c r="AE4" s="586"/>
      <c r="AF4" s="170"/>
      <c r="AG4" s="170"/>
      <c r="AH4" s="170"/>
      <c r="AI4" s="170"/>
      <c r="AJ4" s="170"/>
      <c r="AK4" s="170"/>
      <c r="AL4" s="170"/>
      <c r="AM4" s="170"/>
      <c r="AN4" s="170"/>
      <c r="AO4" s="170"/>
      <c r="AP4" s="170"/>
      <c r="AQ4" s="170"/>
      <c r="AR4" s="170"/>
      <c r="AS4" s="735" t="str">
        <f>+Cover!C10</f>
        <v>Estimate revision #: 00</v>
      </c>
    </row>
    <row r="5" spans="1:46" ht="16.5" thickTop="1" thickBot="1" x14ac:dyDescent="0.3">
      <c r="A5" s="170"/>
      <c r="B5" s="719"/>
      <c r="C5" s="170"/>
      <c r="D5" s="736" t="s">
        <v>553</v>
      </c>
      <c r="E5" s="548"/>
      <c r="F5" s="548"/>
      <c r="G5" s="737"/>
      <c r="H5" s="548"/>
      <c r="I5" s="548"/>
      <c r="J5" s="548"/>
      <c r="K5" s="548"/>
      <c r="L5" s="548"/>
      <c r="M5" s="738"/>
      <c r="N5" s="738"/>
      <c r="O5" s="738"/>
      <c r="P5" s="739"/>
      <c r="Q5" s="739"/>
      <c r="R5" s="740"/>
      <c r="S5" s="740"/>
      <c r="T5" s="741"/>
      <c r="U5" s="742"/>
      <c r="V5" s="743"/>
      <c r="W5" s="743"/>
      <c r="X5" s="741"/>
      <c r="Y5" s="741"/>
      <c r="Z5" s="744"/>
      <c r="AA5" s="745"/>
      <c r="AB5" s="745"/>
      <c r="AC5" s="548"/>
      <c r="AD5" s="746"/>
      <c r="AE5" s="746"/>
      <c r="AF5" s="548"/>
      <c r="AG5" s="548"/>
      <c r="AH5" s="548"/>
      <c r="AI5" s="548"/>
      <c r="AJ5" s="548"/>
      <c r="AK5" s="548"/>
      <c r="AL5" s="548"/>
      <c r="AM5" s="548"/>
      <c r="AN5" s="548"/>
      <c r="AO5" s="548"/>
      <c r="AP5" s="548"/>
      <c r="AQ5" s="548"/>
      <c r="AR5" s="548"/>
      <c r="AS5" s="548"/>
    </row>
    <row r="6" spans="1:46" ht="16.5" thickBot="1" x14ac:dyDescent="0.3">
      <c r="A6" s="170"/>
      <c r="B6" s="719"/>
      <c r="C6" s="170"/>
      <c r="D6" s="2014"/>
      <c r="E6" s="2014"/>
      <c r="F6" s="2014"/>
      <c r="G6" s="2014" t="s">
        <v>554</v>
      </c>
      <c r="H6" s="2015"/>
      <c r="I6" s="2015"/>
      <c r="J6" s="2015"/>
      <c r="K6" s="2015"/>
      <c r="L6" s="2015"/>
      <c r="M6" s="2015"/>
      <c r="N6" s="2015"/>
      <c r="O6" s="2015"/>
      <c r="P6" s="2016"/>
      <c r="Q6" s="2016"/>
      <c r="R6" s="2015"/>
      <c r="S6" s="2015"/>
      <c r="T6" s="2015"/>
      <c r="U6" s="2015"/>
      <c r="V6" s="2015"/>
      <c r="W6" s="2015"/>
      <c r="X6" s="2015"/>
      <c r="Y6" s="2017"/>
      <c r="Z6" s="2017"/>
      <c r="AA6" s="2018"/>
      <c r="AB6" s="2019"/>
      <c r="AC6" s="170"/>
      <c r="AD6" s="755" t="s">
        <v>555</v>
      </c>
      <c r="AE6" s="756"/>
      <c r="AF6" s="757"/>
      <c r="AG6" s="757"/>
      <c r="AH6" s="757"/>
      <c r="AI6" s="757"/>
      <c r="AJ6" s="757"/>
      <c r="AK6" s="757"/>
      <c r="AL6" s="757"/>
      <c r="AM6" s="757"/>
      <c r="AN6" s="757"/>
      <c r="AO6" s="757"/>
      <c r="AP6" s="757"/>
      <c r="AQ6" s="757"/>
      <c r="AR6" s="757"/>
      <c r="AS6" s="758"/>
    </row>
    <row r="7" spans="1:46" ht="2.85" customHeight="1" thickBot="1" x14ac:dyDescent="0.3">
      <c r="A7" s="170"/>
      <c r="B7" s="719"/>
      <c r="C7" s="170"/>
      <c r="D7" s="2020"/>
      <c r="E7" s="378"/>
      <c r="F7" s="378"/>
      <c r="G7" s="2021"/>
      <c r="H7" s="378"/>
      <c r="I7" s="378"/>
      <c r="J7" s="378"/>
      <c r="K7" s="378"/>
      <c r="L7" s="378"/>
      <c r="M7" s="2022"/>
      <c r="N7" s="2022"/>
      <c r="O7" s="2022"/>
      <c r="P7" s="2023"/>
      <c r="Q7" s="2023"/>
      <c r="R7" s="2022"/>
      <c r="S7" s="2022"/>
      <c r="T7" s="2024"/>
      <c r="U7" s="2025"/>
      <c r="V7" s="2026"/>
      <c r="W7" s="2026"/>
      <c r="X7" s="2024"/>
      <c r="Y7" s="2024"/>
      <c r="Z7" s="2024"/>
      <c r="AA7" s="2027"/>
      <c r="AB7" s="2027"/>
      <c r="AC7" s="170"/>
      <c r="AD7" s="584"/>
      <c r="AE7" s="584"/>
      <c r="AF7" s="376"/>
      <c r="AG7" s="376"/>
      <c r="AH7" s="376"/>
      <c r="AI7" s="376"/>
      <c r="AJ7" s="376"/>
      <c r="AK7" s="376"/>
      <c r="AL7" s="762"/>
      <c r="AM7" s="762"/>
      <c r="AN7" s="762"/>
      <c r="AO7" s="762"/>
      <c r="AP7" s="762"/>
      <c r="AQ7" s="762"/>
      <c r="AR7" s="762"/>
      <c r="AS7" s="762"/>
    </row>
    <row r="8" spans="1:46" ht="63" customHeight="1" thickBot="1" x14ac:dyDescent="0.3">
      <c r="A8" s="170"/>
      <c r="B8" s="719"/>
      <c r="C8" s="170"/>
      <c r="D8" s="2028" t="s">
        <v>630</v>
      </c>
      <c r="E8" s="2028" t="s">
        <v>631</v>
      </c>
      <c r="F8" s="2028" t="s">
        <v>632</v>
      </c>
      <c r="G8" s="2014" t="s">
        <v>206</v>
      </c>
      <c r="H8" s="2029" t="s">
        <v>557</v>
      </c>
      <c r="I8" s="2029" t="s">
        <v>556</v>
      </c>
      <c r="J8" s="2014" t="s">
        <v>560</v>
      </c>
      <c r="K8" s="2014" t="s">
        <v>559</v>
      </c>
      <c r="L8" s="2030" t="s">
        <v>561</v>
      </c>
      <c r="M8" s="2030" t="s">
        <v>562</v>
      </c>
      <c r="N8" s="2030" t="s">
        <v>563</v>
      </c>
      <c r="O8" s="2030" t="s">
        <v>564</v>
      </c>
      <c r="P8" s="2030" t="s">
        <v>2865</v>
      </c>
      <c r="Q8" s="2030" t="s">
        <v>566</v>
      </c>
      <c r="R8" s="2030" t="s">
        <v>567</v>
      </c>
      <c r="S8" s="2030" t="s">
        <v>568</v>
      </c>
      <c r="T8" s="2030" t="s">
        <v>569</v>
      </c>
      <c r="U8" s="2030" t="s">
        <v>1740</v>
      </c>
      <c r="V8" s="2030" t="s">
        <v>571</v>
      </c>
      <c r="W8" s="2030" t="s">
        <v>572</v>
      </c>
      <c r="X8" s="2030" t="s">
        <v>573</v>
      </c>
      <c r="Y8" s="2030" t="s">
        <v>574</v>
      </c>
      <c r="Z8" s="2030" t="s">
        <v>575</v>
      </c>
      <c r="AA8" s="2030" t="s">
        <v>1</v>
      </c>
      <c r="AB8" s="2031" t="s">
        <v>576</v>
      </c>
      <c r="AC8" s="765"/>
      <c r="AD8" s="766" t="s">
        <v>577</v>
      </c>
      <c r="AE8" s="766" t="s">
        <v>578</v>
      </c>
      <c r="AF8" s="766" t="s">
        <v>558</v>
      </c>
      <c r="AG8" s="766" t="s">
        <v>579</v>
      </c>
      <c r="AH8" s="766" t="s">
        <v>580</v>
      </c>
      <c r="AI8" s="766" t="s">
        <v>581</v>
      </c>
      <c r="AJ8" s="766" t="s">
        <v>582</v>
      </c>
      <c r="AK8" s="766" t="s">
        <v>583</v>
      </c>
      <c r="AL8" s="766" t="s">
        <v>584</v>
      </c>
      <c r="AM8" s="766" t="s">
        <v>585</v>
      </c>
      <c r="AN8" s="766" t="s">
        <v>586</v>
      </c>
      <c r="AO8" s="766" t="s">
        <v>587</v>
      </c>
      <c r="AP8" s="766" t="s">
        <v>588</v>
      </c>
      <c r="AQ8" s="766" t="s">
        <v>589</v>
      </c>
      <c r="AR8" s="766" t="s">
        <v>590</v>
      </c>
      <c r="AS8" s="767" t="s">
        <v>591</v>
      </c>
    </row>
    <row r="9" spans="1:46" ht="15" x14ac:dyDescent="0.25">
      <c r="A9" s="768"/>
      <c r="B9" s="719">
        <v>1</v>
      </c>
      <c r="C9" s="170"/>
      <c r="D9" s="557"/>
      <c r="E9" s="170"/>
      <c r="F9" s="170"/>
      <c r="G9" s="785"/>
      <c r="H9" s="770"/>
      <c r="I9" s="768"/>
      <c r="J9" s="770"/>
      <c r="K9" s="770"/>
      <c r="L9" s="170"/>
      <c r="M9" s="771">
        <v>0</v>
      </c>
      <c r="N9" s="772">
        <v>1</v>
      </c>
      <c r="O9" s="773">
        <f>+M9*N9</f>
        <v>0</v>
      </c>
      <c r="P9" s="768" t="s">
        <v>39</v>
      </c>
      <c r="Q9" s="768" t="s">
        <v>39</v>
      </c>
      <c r="R9" s="774" t="s">
        <v>73</v>
      </c>
      <c r="S9" s="775">
        <f ca="1">SUMIF('Data Input sheet'!$B$118:$D$180,R9,'Data Input sheet'!$D$118:$D$180)</f>
        <v>119</v>
      </c>
      <c r="T9" s="776">
        <f ca="1">+O9*S9</f>
        <v>0</v>
      </c>
      <c r="U9" s="1992"/>
      <c r="V9" s="778">
        <f>ROUND(U9*O9,0)</f>
        <v>0</v>
      </c>
      <c r="W9" s="772"/>
      <c r="X9" s="779"/>
      <c r="Y9" s="776">
        <v>0</v>
      </c>
      <c r="Z9" s="780">
        <f ca="1">T9+V9+W9+Y9</f>
        <v>0</v>
      </c>
      <c r="AA9" s="769"/>
      <c r="AB9" s="769"/>
      <c r="AC9" s="765">
        <f t="shared" ref="AC9:AC72" si="0">IF(V9=0,0,ROUND(V9/O9,0))</f>
        <v>0</v>
      </c>
      <c r="AD9" s="781">
        <f t="shared" ref="AD9:AD40" si="1">IF(P9="E",+ROUND(H9*O9,0),0)</f>
        <v>0</v>
      </c>
      <c r="AE9" s="781">
        <f t="shared" ref="AE9:AE72" si="2">+AF9-AD9</f>
        <v>0</v>
      </c>
      <c r="AF9" s="781">
        <f t="shared" ref="AF9:AF40" si="3">+H9*O9</f>
        <v>0</v>
      </c>
      <c r="AG9" s="781">
        <f t="shared" ref="AG9:AG40" si="4">IF(P9="E",+ROUND(T9*H9,0),0)</f>
        <v>0</v>
      </c>
      <c r="AH9" s="781">
        <f t="shared" ref="AH9:AH72" ca="1" si="5">+AI9-AG9</f>
        <v>0</v>
      </c>
      <c r="AI9" s="782">
        <f t="shared" ref="AI9:AI40" ca="1" si="6">+H9*T9</f>
        <v>0</v>
      </c>
      <c r="AJ9" s="781">
        <f t="shared" ref="AJ9:AJ40" si="7">IF(P9="E",+ROUND(V9*H9,0),0)</f>
        <v>0</v>
      </c>
      <c r="AK9" s="781">
        <f t="shared" ref="AK9:AK72" si="8">+AL9-AJ9</f>
        <v>0</v>
      </c>
      <c r="AL9" s="781">
        <f t="shared" ref="AL9:AL40" si="9">ROUND(V9*H9,0)</f>
        <v>0</v>
      </c>
      <c r="AM9" s="781">
        <f t="shared" ref="AM9:AM40" si="10">IF(Q9="E",+ROUND(W9*H9,0),0)</f>
        <v>0</v>
      </c>
      <c r="AN9" s="781">
        <f t="shared" ref="AN9:AN72" si="11">+AO9-AM9</f>
        <v>0</v>
      </c>
      <c r="AO9" s="781">
        <f t="shared" ref="AO9:AO40" si="12">ROUND(W9*H9,0)</f>
        <v>0</v>
      </c>
      <c r="AP9" s="781">
        <f t="shared" ref="AP9:AP40" si="13">IF(P9="E",+ROUND(Y9*H9,0),0)</f>
        <v>0</v>
      </c>
      <c r="AQ9" s="781">
        <f t="shared" ref="AQ9:AQ72" si="14">+AR9-AP9</f>
        <v>0</v>
      </c>
      <c r="AR9" s="781">
        <f t="shared" ref="AR9:AR40" si="15">ROUND(Y9*H9,0)</f>
        <v>0</v>
      </c>
      <c r="AS9" s="783">
        <f t="shared" ref="AS9:AS72" ca="1" si="16">+AR9+AO9+AL9+AI9</f>
        <v>0</v>
      </c>
    </row>
    <row r="10" spans="1:46" ht="15" x14ac:dyDescent="0.25">
      <c r="A10" s="784"/>
      <c r="B10" s="719">
        <f>+B9+1</f>
        <v>2</v>
      </c>
      <c r="C10" s="170" t="str">
        <f t="shared" ref="C10:C73" si="17">+F10&amp;I10</f>
        <v/>
      </c>
      <c r="D10" s="557"/>
      <c r="E10" s="170"/>
      <c r="F10" s="170"/>
      <c r="G10" s="835" t="s">
        <v>393</v>
      </c>
      <c r="H10" s="784"/>
      <c r="I10" s="784"/>
      <c r="J10" s="784"/>
      <c r="K10" s="784"/>
      <c r="L10" s="170"/>
      <c r="M10" s="773"/>
      <c r="N10" s="773"/>
      <c r="O10" s="773"/>
      <c r="P10" s="793"/>
      <c r="Q10" s="793"/>
      <c r="R10" s="773"/>
      <c r="S10" s="773"/>
      <c r="T10" s="779"/>
      <c r="U10" s="1993"/>
      <c r="V10" s="778">
        <f t="shared" ref="V10:V73" si="18">ROUND(U10*O10,0)</f>
        <v>0</v>
      </c>
      <c r="W10" s="778"/>
      <c r="X10" s="779"/>
      <c r="Y10" s="779"/>
      <c r="Z10" s="780"/>
      <c r="AA10" s="787"/>
      <c r="AB10" s="787"/>
      <c r="AC10" s="765">
        <f t="shared" si="0"/>
        <v>0</v>
      </c>
      <c r="AD10" s="781">
        <f t="shared" si="1"/>
        <v>0</v>
      </c>
      <c r="AE10" s="781">
        <f t="shared" si="2"/>
        <v>0</v>
      </c>
      <c r="AF10" s="781">
        <f t="shared" si="3"/>
        <v>0</v>
      </c>
      <c r="AG10" s="781">
        <f t="shared" si="4"/>
        <v>0</v>
      </c>
      <c r="AH10" s="781">
        <f t="shared" si="5"/>
        <v>0</v>
      </c>
      <c r="AI10" s="782">
        <f t="shared" si="6"/>
        <v>0</v>
      </c>
      <c r="AJ10" s="781">
        <f t="shared" si="7"/>
        <v>0</v>
      </c>
      <c r="AK10" s="781">
        <f t="shared" si="8"/>
        <v>0</v>
      </c>
      <c r="AL10" s="781">
        <f t="shared" si="9"/>
        <v>0</v>
      </c>
      <c r="AM10" s="781">
        <f t="shared" si="10"/>
        <v>0</v>
      </c>
      <c r="AN10" s="781">
        <f t="shared" si="11"/>
        <v>0</v>
      </c>
      <c r="AO10" s="781">
        <f t="shared" si="12"/>
        <v>0</v>
      </c>
      <c r="AP10" s="781">
        <f t="shared" si="13"/>
        <v>0</v>
      </c>
      <c r="AQ10" s="781">
        <f t="shared" si="14"/>
        <v>0</v>
      </c>
      <c r="AR10" s="781">
        <f t="shared" si="15"/>
        <v>0</v>
      </c>
      <c r="AS10" s="783">
        <f t="shared" si="16"/>
        <v>0</v>
      </c>
    </row>
    <row r="11" spans="1:46" ht="15" x14ac:dyDescent="0.25">
      <c r="A11" s="784"/>
      <c r="B11" s="719">
        <f t="shared" ref="B11:B74" si="19">B10+1</f>
        <v>3</v>
      </c>
      <c r="C11" s="170" t="str">
        <f t="shared" si="17"/>
        <v>99</v>
      </c>
      <c r="D11" s="557"/>
      <c r="E11" s="170"/>
      <c r="F11" s="170">
        <v>99</v>
      </c>
      <c r="G11" s="787"/>
      <c r="H11" s="784"/>
      <c r="I11" s="784"/>
      <c r="J11" s="784"/>
      <c r="K11" s="784"/>
      <c r="L11" s="170"/>
      <c r="M11" s="773"/>
      <c r="N11" s="773"/>
      <c r="O11" s="773"/>
      <c r="P11" s="788"/>
      <c r="Q11" s="788"/>
      <c r="R11" s="773"/>
      <c r="S11" s="773"/>
      <c r="T11" s="779"/>
      <c r="U11" s="1993"/>
      <c r="V11" s="778">
        <f t="shared" si="18"/>
        <v>0</v>
      </c>
      <c r="W11" s="778"/>
      <c r="X11" s="779"/>
      <c r="Y11" s="779"/>
      <c r="Z11" s="780"/>
      <c r="AA11" s="787"/>
      <c r="AB11" s="787"/>
      <c r="AC11" s="765">
        <f t="shared" si="0"/>
        <v>0</v>
      </c>
      <c r="AD11" s="781">
        <f t="shared" si="1"/>
        <v>0</v>
      </c>
      <c r="AE11" s="781">
        <f t="shared" si="2"/>
        <v>0</v>
      </c>
      <c r="AF11" s="781">
        <f t="shared" si="3"/>
        <v>0</v>
      </c>
      <c r="AG11" s="781">
        <f t="shared" si="4"/>
        <v>0</v>
      </c>
      <c r="AH11" s="781">
        <f t="shared" si="5"/>
        <v>0</v>
      </c>
      <c r="AI11" s="782">
        <f t="shared" si="6"/>
        <v>0</v>
      </c>
      <c r="AJ11" s="781">
        <f t="shared" si="7"/>
        <v>0</v>
      </c>
      <c r="AK11" s="781">
        <f t="shared" si="8"/>
        <v>0</v>
      </c>
      <c r="AL11" s="781">
        <f t="shared" si="9"/>
        <v>0</v>
      </c>
      <c r="AM11" s="781">
        <f t="shared" si="10"/>
        <v>0</v>
      </c>
      <c r="AN11" s="781">
        <f t="shared" si="11"/>
        <v>0</v>
      </c>
      <c r="AO11" s="781">
        <f t="shared" si="12"/>
        <v>0</v>
      </c>
      <c r="AP11" s="781">
        <f t="shared" si="13"/>
        <v>0</v>
      </c>
      <c r="AQ11" s="781">
        <f t="shared" si="14"/>
        <v>0</v>
      </c>
      <c r="AR11" s="781">
        <f t="shared" si="15"/>
        <v>0</v>
      </c>
      <c r="AS11" s="783">
        <f t="shared" si="16"/>
        <v>0</v>
      </c>
    </row>
    <row r="12" spans="1:46" ht="15" x14ac:dyDescent="0.25">
      <c r="A12" s="768"/>
      <c r="B12" s="719">
        <f t="shared" si="19"/>
        <v>4</v>
      </c>
      <c r="C12" s="170" t="str">
        <f t="shared" si="17"/>
        <v>99</v>
      </c>
      <c r="D12" s="557"/>
      <c r="E12" s="170"/>
      <c r="F12" s="170">
        <v>99</v>
      </c>
      <c r="G12" s="769"/>
      <c r="H12" s="770"/>
      <c r="I12" s="768"/>
      <c r="J12" s="770"/>
      <c r="K12" s="770"/>
      <c r="L12" s="170"/>
      <c r="M12" s="771">
        <v>0</v>
      </c>
      <c r="N12" s="772">
        <v>1</v>
      </c>
      <c r="O12" s="773">
        <f t="shared" ref="O12:O17" si="20">+M12*N12</f>
        <v>0</v>
      </c>
      <c r="P12" s="768" t="s">
        <v>39</v>
      </c>
      <c r="Q12" s="768" t="s">
        <v>39</v>
      </c>
      <c r="R12" s="774" t="s">
        <v>74</v>
      </c>
      <c r="S12" s="775">
        <f ca="1">SUMIF('Data Input sheet'!$B$118:$D$180,R12,'Data Input sheet'!$D$118:$D$180)</f>
        <v>152</v>
      </c>
      <c r="T12" s="776">
        <f t="shared" ref="T12:T17" ca="1" si="21">+O12*S12</f>
        <v>0</v>
      </c>
      <c r="U12" s="1992">
        <v>0</v>
      </c>
      <c r="V12" s="778">
        <f t="shared" si="18"/>
        <v>0</v>
      </c>
      <c r="W12" s="772"/>
      <c r="X12" s="779"/>
      <c r="Y12" s="776"/>
      <c r="Z12" s="780">
        <f t="shared" ref="Z12:Z17" ca="1" si="22">T12+V12+W12+Y12</f>
        <v>0</v>
      </c>
      <c r="AA12" s="769"/>
      <c r="AB12" s="769"/>
      <c r="AC12" s="765">
        <f t="shared" si="0"/>
        <v>0</v>
      </c>
      <c r="AD12" s="781">
        <f t="shared" si="1"/>
        <v>0</v>
      </c>
      <c r="AE12" s="781">
        <f t="shared" si="2"/>
        <v>0</v>
      </c>
      <c r="AF12" s="781">
        <f t="shared" si="3"/>
        <v>0</v>
      </c>
      <c r="AG12" s="781">
        <f t="shared" si="4"/>
        <v>0</v>
      </c>
      <c r="AH12" s="781">
        <f t="shared" ca="1" si="5"/>
        <v>0</v>
      </c>
      <c r="AI12" s="782">
        <f t="shared" ca="1" si="6"/>
        <v>0</v>
      </c>
      <c r="AJ12" s="781">
        <f t="shared" si="7"/>
        <v>0</v>
      </c>
      <c r="AK12" s="781">
        <f t="shared" si="8"/>
        <v>0</v>
      </c>
      <c r="AL12" s="781">
        <f t="shared" si="9"/>
        <v>0</v>
      </c>
      <c r="AM12" s="781">
        <f t="shared" si="10"/>
        <v>0</v>
      </c>
      <c r="AN12" s="781">
        <f t="shared" si="11"/>
        <v>0</v>
      </c>
      <c r="AO12" s="781">
        <f t="shared" si="12"/>
        <v>0</v>
      </c>
      <c r="AP12" s="781">
        <f t="shared" si="13"/>
        <v>0</v>
      </c>
      <c r="AQ12" s="781">
        <f t="shared" si="14"/>
        <v>0</v>
      </c>
      <c r="AR12" s="781">
        <f t="shared" si="15"/>
        <v>0</v>
      </c>
      <c r="AS12" s="783">
        <f t="shared" ca="1" si="16"/>
        <v>0</v>
      </c>
    </row>
    <row r="13" spans="1:46" ht="15" x14ac:dyDescent="0.25">
      <c r="A13" s="768"/>
      <c r="B13" s="719">
        <f t="shared" si="19"/>
        <v>5</v>
      </c>
      <c r="C13" s="170" t="str">
        <f t="shared" si="17"/>
        <v>99</v>
      </c>
      <c r="D13" s="557"/>
      <c r="E13" s="170"/>
      <c r="F13" s="170">
        <v>99</v>
      </c>
      <c r="G13" s="769" t="s">
        <v>1470</v>
      </c>
      <c r="H13" s="842"/>
      <c r="I13" s="221"/>
      <c r="J13" s="768"/>
      <c r="K13" s="770"/>
      <c r="L13" s="170"/>
      <c r="M13" s="771"/>
      <c r="N13" s="772">
        <v>1</v>
      </c>
      <c r="O13" s="773">
        <f t="shared" si="20"/>
        <v>0</v>
      </c>
      <c r="P13" s="768" t="s">
        <v>39</v>
      </c>
      <c r="Q13" s="768" t="s">
        <v>39</v>
      </c>
      <c r="R13" s="774" t="s">
        <v>74</v>
      </c>
      <c r="S13" s="775">
        <f ca="1">SUMIF('Data Input sheet'!$B$118:$D$180,R13,'Data Input sheet'!$D$118:$D$180)</f>
        <v>152</v>
      </c>
      <c r="T13" s="776">
        <f t="shared" ca="1" si="21"/>
        <v>0</v>
      </c>
      <c r="U13" s="1992"/>
      <c r="V13" s="778">
        <f t="shared" si="18"/>
        <v>0</v>
      </c>
      <c r="W13" s="772"/>
      <c r="X13" s="779"/>
      <c r="Y13" s="776"/>
      <c r="Z13" s="780">
        <f t="shared" ca="1" si="22"/>
        <v>0</v>
      </c>
      <c r="AA13" s="769"/>
      <c r="AB13" s="769"/>
      <c r="AC13" s="765">
        <f t="shared" si="0"/>
        <v>0</v>
      </c>
      <c r="AD13" s="781">
        <f t="shared" si="1"/>
        <v>0</v>
      </c>
      <c r="AE13" s="781">
        <f t="shared" si="2"/>
        <v>0</v>
      </c>
      <c r="AF13" s="781">
        <f t="shared" si="3"/>
        <v>0</v>
      </c>
      <c r="AG13" s="781">
        <f t="shared" si="4"/>
        <v>0</v>
      </c>
      <c r="AH13" s="781">
        <f t="shared" ca="1" si="5"/>
        <v>0</v>
      </c>
      <c r="AI13" s="782">
        <f t="shared" ca="1" si="6"/>
        <v>0</v>
      </c>
      <c r="AJ13" s="781">
        <f t="shared" si="7"/>
        <v>0</v>
      </c>
      <c r="AK13" s="781">
        <f t="shared" si="8"/>
        <v>0</v>
      </c>
      <c r="AL13" s="781">
        <f t="shared" si="9"/>
        <v>0</v>
      </c>
      <c r="AM13" s="781">
        <f t="shared" si="10"/>
        <v>0</v>
      </c>
      <c r="AN13" s="781">
        <f t="shared" si="11"/>
        <v>0</v>
      </c>
      <c r="AO13" s="781">
        <f t="shared" si="12"/>
        <v>0</v>
      </c>
      <c r="AP13" s="781">
        <f t="shared" si="13"/>
        <v>0</v>
      </c>
      <c r="AQ13" s="781">
        <f t="shared" si="14"/>
        <v>0</v>
      </c>
      <c r="AR13" s="781">
        <f t="shared" si="15"/>
        <v>0</v>
      </c>
      <c r="AS13" s="783">
        <f t="shared" ca="1" si="16"/>
        <v>0</v>
      </c>
    </row>
    <row r="14" spans="1:46" ht="15" x14ac:dyDescent="0.25">
      <c r="A14" s="786"/>
      <c r="B14" s="719">
        <f t="shared" si="19"/>
        <v>6</v>
      </c>
      <c r="C14" s="170" t="str">
        <f t="shared" si="17"/>
        <v>99</v>
      </c>
      <c r="D14" s="557"/>
      <c r="E14" s="170"/>
      <c r="F14" s="170">
        <v>99</v>
      </c>
      <c r="G14" s="785"/>
      <c r="H14" s="770"/>
      <c r="I14" s="768"/>
      <c r="J14" s="770"/>
      <c r="K14" s="770"/>
      <c r="L14" s="170"/>
      <c r="M14" s="771"/>
      <c r="N14" s="772">
        <v>1</v>
      </c>
      <c r="O14" s="773">
        <f t="shared" si="20"/>
        <v>0</v>
      </c>
      <c r="P14" s="768" t="s">
        <v>39</v>
      </c>
      <c r="Q14" s="768" t="s">
        <v>39</v>
      </c>
      <c r="R14" s="774" t="s">
        <v>74</v>
      </c>
      <c r="S14" s="775">
        <f ca="1">SUMIF('Data Input sheet'!$B$118:$D$180,R14,'Data Input sheet'!$D$118:$D$180)</f>
        <v>152</v>
      </c>
      <c r="T14" s="776">
        <f t="shared" ca="1" si="21"/>
        <v>0</v>
      </c>
      <c r="U14" s="1992"/>
      <c r="V14" s="778">
        <f t="shared" si="18"/>
        <v>0</v>
      </c>
      <c r="W14" s="772">
        <v>0</v>
      </c>
      <c r="X14" s="779"/>
      <c r="Y14" s="776">
        <v>0</v>
      </c>
      <c r="Z14" s="780">
        <f t="shared" ca="1" si="22"/>
        <v>0</v>
      </c>
      <c r="AA14" s="769"/>
      <c r="AB14" s="769"/>
      <c r="AC14" s="765">
        <f t="shared" si="0"/>
        <v>0</v>
      </c>
      <c r="AD14" s="781">
        <f t="shared" si="1"/>
        <v>0</v>
      </c>
      <c r="AE14" s="781">
        <f t="shared" si="2"/>
        <v>0</v>
      </c>
      <c r="AF14" s="781">
        <f t="shared" si="3"/>
        <v>0</v>
      </c>
      <c r="AG14" s="781">
        <f t="shared" si="4"/>
        <v>0</v>
      </c>
      <c r="AH14" s="781">
        <f t="shared" ca="1" si="5"/>
        <v>0</v>
      </c>
      <c r="AI14" s="782">
        <f t="shared" ca="1" si="6"/>
        <v>0</v>
      </c>
      <c r="AJ14" s="781">
        <f t="shared" si="7"/>
        <v>0</v>
      </c>
      <c r="AK14" s="781">
        <f t="shared" si="8"/>
        <v>0</v>
      </c>
      <c r="AL14" s="781">
        <f t="shared" si="9"/>
        <v>0</v>
      </c>
      <c r="AM14" s="781">
        <f t="shared" si="10"/>
        <v>0</v>
      </c>
      <c r="AN14" s="781">
        <f t="shared" si="11"/>
        <v>0</v>
      </c>
      <c r="AO14" s="781">
        <f t="shared" si="12"/>
        <v>0</v>
      </c>
      <c r="AP14" s="781">
        <f t="shared" si="13"/>
        <v>0</v>
      </c>
      <c r="AQ14" s="781">
        <f t="shared" si="14"/>
        <v>0</v>
      </c>
      <c r="AR14" s="781">
        <f t="shared" si="15"/>
        <v>0</v>
      </c>
      <c r="AS14" s="783">
        <f t="shared" ca="1" si="16"/>
        <v>0</v>
      </c>
    </row>
    <row r="15" spans="1:46" ht="15" x14ac:dyDescent="0.25">
      <c r="A15" s="768"/>
      <c r="B15" s="719">
        <f t="shared" si="19"/>
        <v>7</v>
      </c>
      <c r="C15" s="170" t="str">
        <f t="shared" si="17"/>
        <v>99</v>
      </c>
      <c r="D15" s="557"/>
      <c r="E15" s="170"/>
      <c r="F15" s="170">
        <v>99</v>
      </c>
      <c r="G15" s="785"/>
      <c r="H15" s="770"/>
      <c r="I15" s="768"/>
      <c r="J15" s="770"/>
      <c r="K15" s="770"/>
      <c r="L15" s="170"/>
      <c r="M15" s="771">
        <v>0</v>
      </c>
      <c r="N15" s="772">
        <v>1</v>
      </c>
      <c r="O15" s="773">
        <f t="shared" si="20"/>
        <v>0</v>
      </c>
      <c r="P15" s="768" t="s">
        <v>39</v>
      </c>
      <c r="Q15" s="768" t="s">
        <v>39</v>
      </c>
      <c r="R15" s="774" t="s">
        <v>74</v>
      </c>
      <c r="S15" s="775">
        <f ca="1">SUMIF('Data Input sheet'!$B$118:$D$180,R15,'Data Input sheet'!$D$118:$D$180)</f>
        <v>152</v>
      </c>
      <c r="T15" s="776">
        <f t="shared" ca="1" si="21"/>
        <v>0</v>
      </c>
      <c r="U15" s="1992"/>
      <c r="V15" s="778">
        <f t="shared" si="18"/>
        <v>0</v>
      </c>
      <c r="W15" s="772">
        <v>0</v>
      </c>
      <c r="X15" s="779"/>
      <c r="Y15" s="776">
        <v>0</v>
      </c>
      <c r="Z15" s="780">
        <f t="shared" ca="1" si="22"/>
        <v>0</v>
      </c>
      <c r="AA15" s="769"/>
      <c r="AB15" s="769"/>
      <c r="AC15" s="765">
        <f t="shared" si="0"/>
        <v>0</v>
      </c>
      <c r="AD15" s="781">
        <f t="shared" si="1"/>
        <v>0</v>
      </c>
      <c r="AE15" s="781">
        <f t="shared" si="2"/>
        <v>0</v>
      </c>
      <c r="AF15" s="781">
        <f t="shared" si="3"/>
        <v>0</v>
      </c>
      <c r="AG15" s="781">
        <f t="shared" si="4"/>
        <v>0</v>
      </c>
      <c r="AH15" s="781">
        <f t="shared" ca="1" si="5"/>
        <v>0</v>
      </c>
      <c r="AI15" s="782">
        <f t="shared" ca="1" si="6"/>
        <v>0</v>
      </c>
      <c r="AJ15" s="781">
        <f t="shared" si="7"/>
        <v>0</v>
      </c>
      <c r="AK15" s="781">
        <f t="shared" si="8"/>
        <v>0</v>
      </c>
      <c r="AL15" s="781">
        <f t="shared" si="9"/>
        <v>0</v>
      </c>
      <c r="AM15" s="781">
        <f t="shared" si="10"/>
        <v>0</v>
      </c>
      <c r="AN15" s="781">
        <f t="shared" si="11"/>
        <v>0</v>
      </c>
      <c r="AO15" s="781">
        <f t="shared" si="12"/>
        <v>0</v>
      </c>
      <c r="AP15" s="781">
        <f t="shared" si="13"/>
        <v>0</v>
      </c>
      <c r="AQ15" s="781">
        <f t="shared" si="14"/>
        <v>0</v>
      </c>
      <c r="AR15" s="781">
        <f t="shared" si="15"/>
        <v>0</v>
      </c>
      <c r="AS15" s="783">
        <f t="shared" ca="1" si="16"/>
        <v>0</v>
      </c>
    </row>
    <row r="16" spans="1:46" ht="15" x14ac:dyDescent="0.25">
      <c r="A16" s="768"/>
      <c r="B16" s="719">
        <f t="shared" si="19"/>
        <v>8</v>
      </c>
      <c r="C16" s="170" t="str">
        <f t="shared" si="17"/>
        <v>99</v>
      </c>
      <c r="D16" s="557"/>
      <c r="E16" s="170"/>
      <c r="F16" s="170">
        <v>99</v>
      </c>
      <c r="G16" s="785"/>
      <c r="H16" s="770"/>
      <c r="I16" s="768"/>
      <c r="J16" s="770"/>
      <c r="K16" s="770"/>
      <c r="L16" s="170"/>
      <c r="M16" s="771">
        <v>0</v>
      </c>
      <c r="N16" s="772">
        <v>1</v>
      </c>
      <c r="O16" s="773">
        <f t="shared" si="20"/>
        <v>0</v>
      </c>
      <c r="P16" s="768" t="s">
        <v>39</v>
      </c>
      <c r="Q16" s="768" t="s">
        <v>39</v>
      </c>
      <c r="R16" s="774" t="s">
        <v>74</v>
      </c>
      <c r="S16" s="775">
        <f ca="1">SUMIF('Data Input sheet'!$B$118:$D$180,R16,'Data Input sheet'!$D$118:$D$180)</f>
        <v>152</v>
      </c>
      <c r="T16" s="776">
        <f t="shared" ca="1" si="21"/>
        <v>0</v>
      </c>
      <c r="U16" s="1992"/>
      <c r="V16" s="778">
        <f t="shared" si="18"/>
        <v>0</v>
      </c>
      <c r="W16" s="772">
        <v>0</v>
      </c>
      <c r="X16" s="779"/>
      <c r="Y16" s="776">
        <v>0</v>
      </c>
      <c r="Z16" s="780">
        <f t="shared" ca="1" si="22"/>
        <v>0</v>
      </c>
      <c r="AA16" s="769"/>
      <c r="AB16" s="769"/>
      <c r="AC16" s="765">
        <f t="shared" si="0"/>
        <v>0</v>
      </c>
      <c r="AD16" s="781">
        <f t="shared" si="1"/>
        <v>0</v>
      </c>
      <c r="AE16" s="781">
        <f t="shared" si="2"/>
        <v>0</v>
      </c>
      <c r="AF16" s="781">
        <f t="shared" si="3"/>
        <v>0</v>
      </c>
      <c r="AG16" s="781">
        <f t="shared" si="4"/>
        <v>0</v>
      </c>
      <c r="AH16" s="781">
        <f t="shared" ca="1" si="5"/>
        <v>0</v>
      </c>
      <c r="AI16" s="782">
        <f t="shared" ca="1" si="6"/>
        <v>0</v>
      </c>
      <c r="AJ16" s="781">
        <f t="shared" si="7"/>
        <v>0</v>
      </c>
      <c r="AK16" s="781">
        <f t="shared" si="8"/>
        <v>0</v>
      </c>
      <c r="AL16" s="781">
        <f t="shared" si="9"/>
        <v>0</v>
      </c>
      <c r="AM16" s="781">
        <f t="shared" si="10"/>
        <v>0</v>
      </c>
      <c r="AN16" s="781">
        <f t="shared" si="11"/>
        <v>0</v>
      </c>
      <c r="AO16" s="781">
        <f t="shared" si="12"/>
        <v>0</v>
      </c>
      <c r="AP16" s="781">
        <f t="shared" si="13"/>
        <v>0</v>
      </c>
      <c r="AQ16" s="781">
        <f t="shared" si="14"/>
        <v>0</v>
      </c>
      <c r="AR16" s="781">
        <f t="shared" si="15"/>
        <v>0</v>
      </c>
      <c r="AS16" s="783">
        <f t="shared" ca="1" si="16"/>
        <v>0</v>
      </c>
    </row>
    <row r="17" spans="1:45" ht="15" x14ac:dyDescent="0.25">
      <c r="A17" s="784"/>
      <c r="B17" s="719">
        <f t="shared" si="19"/>
        <v>9</v>
      </c>
      <c r="C17" s="170" t="str">
        <f t="shared" si="17"/>
        <v>99</v>
      </c>
      <c r="D17" s="557"/>
      <c r="E17" s="170"/>
      <c r="F17" s="170">
        <v>99</v>
      </c>
      <c r="G17" s="785"/>
      <c r="H17" s="770"/>
      <c r="I17" s="768"/>
      <c r="J17" s="770"/>
      <c r="K17" s="770"/>
      <c r="L17" s="170"/>
      <c r="M17" s="771">
        <v>0</v>
      </c>
      <c r="N17" s="772">
        <v>1</v>
      </c>
      <c r="O17" s="773">
        <f t="shared" si="20"/>
        <v>0</v>
      </c>
      <c r="P17" s="768" t="s">
        <v>39</v>
      </c>
      <c r="Q17" s="768" t="s">
        <v>39</v>
      </c>
      <c r="R17" s="774" t="s">
        <v>74</v>
      </c>
      <c r="S17" s="775">
        <f ca="1">SUMIF('Data Input sheet'!$B$118:$D$180,R17,'Data Input sheet'!$D$118:$D$180)</f>
        <v>152</v>
      </c>
      <c r="T17" s="776">
        <f t="shared" ca="1" si="21"/>
        <v>0</v>
      </c>
      <c r="U17" s="1992"/>
      <c r="V17" s="778">
        <f t="shared" si="18"/>
        <v>0</v>
      </c>
      <c r="W17" s="772"/>
      <c r="X17" s="779"/>
      <c r="Y17" s="776">
        <v>0</v>
      </c>
      <c r="Z17" s="780">
        <f t="shared" ca="1" si="22"/>
        <v>0</v>
      </c>
      <c r="AA17" s="769"/>
      <c r="AB17" s="769"/>
      <c r="AC17" s="765">
        <f t="shared" si="0"/>
        <v>0</v>
      </c>
      <c r="AD17" s="781">
        <f t="shared" si="1"/>
        <v>0</v>
      </c>
      <c r="AE17" s="781">
        <f t="shared" si="2"/>
        <v>0</v>
      </c>
      <c r="AF17" s="781">
        <f t="shared" si="3"/>
        <v>0</v>
      </c>
      <c r="AG17" s="781">
        <f t="shared" si="4"/>
        <v>0</v>
      </c>
      <c r="AH17" s="781">
        <f t="shared" ca="1" si="5"/>
        <v>0</v>
      </c>
      <c r="AI17" s="782">
        <f t="shared" ca="1" si="6"/>
        <v>0</v>
      </c>
      <c r="AJ17" s="781">
        <f t="shared" si="7"/>
        <v>0</v>
      </c>
      <c r="AK17" s="781">
        <f t="shared" si="8"/>
        <v>0</v>
      </c>
      <c r="AL17" s="781">
        <f t="shared" si="9"/>
        <v>0</v>
      </c>
      <c r="AM17" s="781">
        <f t="shared" si="10"/>
        <v>0</v>
      </c>
      <c r="AN17" s="781">
        <f t="shared" si="11"/>
        <v>0</v>
      </c>
      <c r="AO17" s="781">
        <f t="shared" si="12"/>
        <v>0</v>
      </c>
      <c r="AP17" s="781">
        <f t="shared" si="13"/>
        <v>0</v>
      </c>
      <c r="AQ17" s="781">
        <f t="shared" si="14"/>
        <v>0</v>
      </c>
      <c r="AR17" s="781">
        <f t="shared" si="15"/>
        <v>0</v>
      </c>
      <c r="AS17" s="783">
        <f t="shared" ca="1" si="16"/>
        <v>0</v>
      </c>
    </row>
    <row r="18" spans="1:45" ht="15" x14ac:dyDescent="0.25">
      <c r="A18" s="784"/>
      <c r="B18" s="719">
        <f t="shared" si="19"/>
        <v>10</v>
      </c>
      <c r="C18" s="170" t="str">
        <f t="shared" si="17"/>
        <v>99</v>
      </c>
      <c r="D18" s="557"/>
      <c r="E18" s="170"/>
      <c r="F18" s="170">
        <v>99</v>
      </c>
      <c r="G18" s="787"/>
      <c r="H18" s="784"/>
      <c r="I18" s="784"/>
      <c r="J18" s="784"/>
      <c r="K18" s="784"/>
      <c r="L18" s="170"/>
      <c r="M18" s="773"/>
      <c r="N18" s="773"/>
      <c r="O18" s="773"/>
      <c r="P18" s="788"/>
      <c r="Q18" s="788"/>
      <c r="R18" s="773"/>
      <c r="S18" s="773"/>
      <c r="T18" s="779"/>
      <c r="U18" s="1993"/>
      <c r="V18" s="778">
        <f t="shared" si="18"/>
        <v>0</v>
      </c>
      <c r="W18" s="778"/>
      <c r="X18" s="779"/>
      <c r="Y18" s="779"/>
      <c r="Z18" s="780"/>
      <c r="AA18" s="785"/>
      <c r="AB18" s="785"/>
      <c r="AC18" s="765">
        <f t="shared" si="0"/>
        <v>0</v>
      </c>
      <c r="AD18" s="781">
        <f t="shared" si="1"/>
        <v>0</v>
      </c>
      <c r="AE18" s="781">
        <f t="shared" si="2"/>
        <v>0</v>
      </c>
      <c r="AF18" s="781">
        <f t="shared" si="3"/>
        <v>0</v>
      </c>
      <c r="AG18" s="781">
        <f t="shared" si="4"/>
        <v>0</v>
      </c>
      <c r="AH18" s="781">
        <f t="shared" si="5"/>
        <v>0</v>
      </c>
      <c r="AI18" s="782">
        <f t="shared" si="6"/>
        <v>0</v>
      </c>
      <c r="AJ18" s="781">
        <f t="shared" si="7"/>
        <v>0</v>
      </c>
      <c r="AK18" s="781">
        <f t="shared" si="8"/>
        <v>0</v>
      </c>
      <c r="AL18" s="781">
        <f t="shared" si="9"/>
        <v>0</v>
      </c>
      <c r="AM18" s="781">
        <f t="shared" si="10"/>
        <v>0</v>
      </c>
      <c r="AN18" s="781">
        <f t="shared" si="11"/>
        <v>0</v>
      </c>
      <c r="AO18" s="781">
        <f t="shared" si="12"/>
        <v>0</v>
      </c>
      <c r="AP18" s="781">
        <f t="shared" si="13"/>
        <v>0</v>
      </c>
      <c r="AQ18" s="781">
        <f t="shared" si="14"/>
        <v>0</v>
      </c>
      <c r="AR18" s="781">
        <f t="shared" si="15"/>
        <v>0</v>
      </c>
      <c r="AS18" s="783">
        <f t="shared" si="16"/>
        <v>0</v>
      </c>
    </row>
    <row r="19" spans="1:45" ht="15.75" thickBot="1" x14ac:dyDescent="0.3">
      <c r="A19" s="784"/>
      <c r="B19" s="719">
        <f t="shared" si="19"/>
        <v>11</v>
      </c>
      <c r="C19" s="170" t="str">
        <f t="shared" si="17"/>
        <v>99</v>
      </c>
      <c r="D19" s="557"/>
      <c r="E19" s="170"/>
      <c r="F19" s="170">
        <v>99</v>
      </c>
      <c r="G19" s="787"/>
      <c r="H19" s="784"/>
      <c r="I19" s="784"/>
      <c r="J19" s="784"/>
      <c r="K19" s="784"/>
      <c r="L19" s="170"/>
      <c r="M19" s="773"/>
      <c r="N19" s="773"/>
      <c r="O19" s="773"/>
      <c r="P19" s="788"/>
      <c r="Q19" s="788"/>
      <c r="R19" s="773"/>
      <c r="S19" s="773"/>
      <c r="T19" s="779"/>
      <c r="U19" s="1993"/>
      <c r="V19" s="778">
        <f t="shared" si="18"/>
        <v>0</v>
      </c>
      <c r="W19" s="778"/>
      <c r="X19" s="779"/>
      <c r="Y19" s="779"/>
      <c r="Z19" s="780"/>
      <c r="AA19" s="785"/>
      <c r="AB19" s="785"/>
      <c r="AC19" s="765">
        <f t="shared" si="0"/>
        <v>0</v>
      </c>
      <c r="AD19" s="781">
        <f t="shared" si="1"/>
        <v>0</v>
      </c>
      <c r="AE19" s="781">
        <f t="shared" si="2"/>
        <v>0</v>
      </c>
      <c r="AF19" s="781">
        <f t="shared" si="3"/>
        <v>0</v>
      </c>
      <c r="AG19" s="781">
        <f t="shared" si="4"/>
        <v>0</v>
      </c>
      <c r="AH19" s="781">
        <f t="shared" si="5"/>
        <v>0</v>
      </c>
      <c r="AI19" s="782">
        <f t="shared" si="6"/>
        <v>0</v>
      </c>
      <c r="AJ19" s="781">
        <f t="shared" si="7"/>
        <v>0</v>
      </c>
      <c r="AK19" s="781">
        <f t="shared" si="8"/>
        <v>0</v>
      </c>
      <c r="AL19" s="781">
        <f t="shared" si="9"/>
        <v>0</v>
      </c>
      <c r="AM19" s="781">
        <f t="shared" si="10"/>
        <v>0</v>
      </c>
      <c r="AN19" s="781">
        <f t="shared" si="11"/>
        <v>0</v>
      </c>
      <c r="AO19" s="781">
        <f t="shared" si="12"/>
        <v>0</v>
      </c>
      <c r="AP19" s="781">
        <f t="shared" si="13"/>
        <v>0</v>
      </c>
      <c r="AQ19" s="781">
        <f t="shared" si="14"/>
        <v>0</v>
      </c>
      <c r="AR19" s="781">
        <f t="shared" si="15"/>
        <v>0</v>
      </c>
      <c r="AS19" s="783">
        <f t="shared" si="16"/>
        <v>0</v>
      </c>
    </row>
    <row r="20" spans="1:45" ht="15.75" thickBot="1" x14ac:dyDescent="0.3">
      <c r="A20" s="784"/>
      <c r="B20" s="719">
        <f t="shared" si="19"/>
        <v>12</v>
      </c>
      <c r="C20" s="170" t="str">
        <f t="shared" si="17"/>
        <v>99</v>
      </c>
      <c r="D20" s="557"/>
      <c r="E20" s="170"/>
      <c r="F20" s="170">
        <v>99</v>
      </c>
      <c r="G20" s="839" t="s">
        <v>860</v>
      </c>
      <c r="H20" s="784"/>
      <c r="I20" s="784"/>
      <c r="J20" s="784"/>
      <c r="K20" s="784"/>
      <c r="L20" s="170"/>
      <c r="M20" s="773"/>
      <c r="N20" s="773"/>
      <c r="O20" s="773"/>
      <c r="P20" s="788"/>
      <c r="Q20" s="788"/>
      <c r="R20" s="773"/>
      <c r="S20" s="773"/>
      <c r="T20" s="779"/>
      <c r="U20" s="1993"/>
      <c r="V20" s="778">
        <f t="shared" si="18"/>
        <v>0</v>
      </c>
      <c r="W20" s="778"/>
      <c r="X20" s="779"/>
      <c r="Y20" s="779"/>
      <c r="Z20" s="780"/>
      <c r="AA20" s="785"/>
      <c r="AB20" s="785"/>
      <c r="AC20" s="765">
        <f t="shared" si="0"/>
        <v>0</v>
      </c>
      <c r="AD20" s="781">
        <f t="shared" si="1"/>
        <v>0</v>
      </c>
      <c r="AE20" s="781">
        <f t="shared" si="2"/>
        <v>0</v>
      </c>
      <c r="AF20" s="781">
        <f t="shared" si="3"/>
        <v>0</v>
      </c>
      <c r="AG20" s="781">
        <f t="shared" si="4"/>
        <v>0</v>
      </c>
      <c r="AH20" s="781">
        <f t="shared" si="5"/>
        <v>0</v>
      </c>
      <c r="AI20" s="782">
        <f t="shared" si="6"/>
        <v>0</v>
      </c>
      <c r="AJ20" s="781">
        <f t="shared" si="7"/>
        <v>0</v>
      </c>
      <c r="AK20" s="781">
        <f t="shared" si="8"/>
        <v>0</v>
      </c>
      <c r="AL20" s="781">
        <f t="shared" si="9"/>
        <v>0</v>
      </c>
      <c r="AM20" s="781">
        <f t="shared" si="10"/>
        <v>0</v>
      </c>
      <c r="AN20" s="781">
        <f t="shared" si="11"/>
        <v>0</v>
      </c>
      <c r="AO20" s="781">
        <f t="shared" si="12"/>
        <v>0</v>
      </c>
      <c r="AP20" s="781">
        <f t="shared" si="13"/>
        <v>0</v>
      </c>
      <c r="AQ20" s="781">
        <f t="shared" si="14"/>
        <v>0</v>
      </c>
      <c r="AR20" s="781">
        <f t="shared" si="15"/>
        <v>0</v>
      </c>
      <c r="AS20" s="783">
        <f t="shared" si="16"/>
        <v>0</v>
      </c>
    </row>
    <row r="21" spans="1:45" ht="15" x14ac:dyDescent="0.25">
      <c r="A21" s="784"/>
      <c r="B21" s="719">
        <f t="shared" si="19"/>
        <v>13</v>
      </c>
      <c r="C21" s="170" t="str">
        <f t="shared" si="17"/>
        <v>99</v>
      </c>
      <c r="D21" s="557"/>
      <c r="E21" s="170"/>
      <c r="F21" s="170">
        <v>99</v>
      </c>
      <c r="G21" s="840"/>
      <c r="H21" s="784"/>
      <c r="I21" s="784"/>
      <c r="J21" s="784"/>
      <c r="K21" s="784"/>
      <c r="L21" s="170"/>
      <c r="M21" s="773"/>
      <c r="N21" s="773"/>
      <c r="O21" s="773"/>
      <c r="P21" s="788"/>
      <c r="Q21" s="788"/>
      <c r="R21" s="773"/>
      <c r="S21" s="773"/>
      <c r="T21" s="779"/>
      <c r="U21" s="1993"/>
      <c r="V21" s="778">
        <f t="shared" si="18"/>
        <v>0</v>
      </c>
      <c r="W21" s="778"/>
      <c r="X21" s="779"/>
      <c r="Y21" s="779"/>
      <c r="Z21" s="780"/>
      <c r="AA21" s="785"/>
      <c r="AB21" s="785"/>
      <c r="AC21" s="765">
        <f t="shared" si="0"/>
        <v>0</v>
      </c>
      <c r="AD21" s="781">
        <f t="shared" si="1"/>
        <v>0</v>
      </c>
      <c r="AE21" s="781">
        <f t="shared" si="2"/>
        <v>0</v>
      </c>
      <c r="AF21" s="781">
        <f t="shared" si="3"/>
        <v>0</v>
      </c>
      <c r="AG21" s="781">
        <f t="shared" si="4"/>
        <v>0</v>
      </c>
      <c r="AH21" s="781">
        <f t="shared" si="5"/>
        <v>0</v>
      </c>
      <c r="AI21" s="782">
        <f t="shared" si="6"/>
        <v>0</v>
      </c>
      <c r="AJ21" s="781">
        <f t="shared" si="7"/>
        <v>0</v>
      </c>
      <c r="AK21" s="781">
        <f t="shared" si="8"/>
        <v>0</v>
      </c>
      <c r="AL21" s="781">
        <f t="shared" si="9"/>
        <v>0</v>
      </c>
      <c r="AM21" s="781">
        <f t="shared" si="10"/>
        <v>0</v>
      </c>
      <c r="AN21" s="781">
        <f t="shared" si="11"/>
        <v>0</v>
      </c>
      <c r="AO21" s="781">
        <f t="shared" si="12"/>
        <v>0</v>
      </c>
      <c r="AP21" s="781">
        <f t="shared" si="13"/>
        <v>0</v>
      </c>
      <c r="AQ21" s="781">
        <f t="shared" si="14"/>
        <v>0</v>
      </c>
      <c r="AR21" s="781">
        <f t="shared" si="15"/>
        <v>0</v>
      </c>
      <c r="AS21" s="783">
        <f t="shared" si="16"/>
        <v>0</v>
      </c>
    </row>
    <row r="22" spans="1:45" ht="15" x14ac:dyDescent="0.25">
      <c r="A22" s="784"/>
      <c r="B22" s="719">
        <f t="shared" si="19"/>
        <v>14</v>
      </c>
      <c r="C22" s="170" t="str">
        <f t="shared" si="17"/>
        <v>99</v>
      </c>
      <c r="D22" s="557"/>
      <c r="E22" s="170"/>
      <c r="F22" s="170">
        <v>99</v>
      </c>
      <c r="G22" s="792" t="s">
        <v>861</v>
      </c>
      <c r="H22" s="784"/>
      <c r="I22" s="784"/>
      <c r="J22" s="784"/>
      <c r="K22" s="784"/>
      <c r="L22" s="170"/>
      <c r="M22" s="773"/>
      <c r="N22" s="773"/>
      <c r="O22" s="773"/>
      <c r="P22" s="788"/>
      <c r="Q22" s="788"/>
      <c r="R22" s="773"/>
      <c r="S22" s="773"/>
      <c r="T22" s="779"/>
      <c r="U22" s="1993"/>
      <c r="V22" s="778">
        <f t="shared" si="18"/>
        <v>0</v>
      </c>
      <c r="W22" s="778"/>
      <c r="X22" s="779"/>
      <c r="Y22" s="779"/>
      <c r="Z22" s="780"/>
      <c r="AA22" s="785"/>
      <c r="AB22" s="785"/>
      <c r="AC22" s="765">
        <f t="shared" si="0"/>
        <v>0</v>
      </c>
      <c r="AD22" s="781">
        <f t="shared" si="1"/>
        <v>0</v>
      </c>
      <c r="AE22" s="781">
        <f t="shared" si="2"/>
        <v>0</v>
      </c>
      <c r="AF22" s="781">
        <f t="shared" si="3"/>
        <v>0</v>
      </c>
      <c r="AG22" s="781">
        <f t="shared" si="4"/>
        <v>0</v>
      </c>
      <c r="AH22" s="781">
        <f t="shared" si="5"/>
        <v>0</v>
      </c>
      <c r="AI22" s="782">
        <f t="shared" si="6"/>
        <v>0</v>
      </c>
      <c r="AJ22" s="781">
        <f t="shared" si="7"/>
        <v>0</v>
      </c>
      <c r="AK22" s="781">
        <f t="shared" si="8"/>
        <v>0</v>
      </c>
      <c r="AL22" s="781">
        <f t="shared" si="9"/>
        <v>0</v>
      </c>
      <c r="AM22" s="781">
        <f t="shared" si="10"/>
        <v>0</v>
      </c>
      <c r="AN22" s="781">
        <f t="shared" si="11"/>
        <v>0</v>
      </c>
      <c r="AO22" s="781">
        <f t="shared" si="12"/>
        <v>0</v>
      </c>
      <c r="AP22" s="781">
        <f t="shared" si="13"/>
        <v>0</v>
      </c>
      <c r="AQ22" s="781">
        <f t="shared" si="14"/>
        <v>0</v>
      </c>
      <c r="AR22" s="781">
        <f t="shared" si="15"/>
        <v>0</v>
      </c>
      <c r="AS22" s="783">
        <f t="shared" si="16"/>
        <v>0</v>
      </c>
    </row>
    <row r="23" spans="1:45" ht="15" x14ac:dyDescent="0.25">
      <c r="A23" s="768"/>
      <c r="B23" s="719">
        <f t="shared" si="19"/>
        <v>15</v>
      </c>
      <c r="C23" s="170" t="str">
        <f t="shared" si="17"/>
        <v>99</v>
      </c>
      <c r="D23" s="557"/>
      <c r="E23" s="170"/>
      <c r="F23" s="170">
        <v>99</v>
      </c>
      <c r="G23" s="785"/>
      <c r="H23" s="770"/>
      <c r="I23" s="768"/>
      <c r="J23" s="770"/>
      <c r="K23" s="770"/>
      <c r="L23" s="170"/>
      <c r="M23" s="771">
        <v>0</v>
      </c>
      <c r="N23" s="772">
        <v>1</v>
      </c>
      <c r="O23" s="773">
        <f t="shared" ref="O23:O32" si="23">+M23*N23</f>
        <v>0</v>
      </c>
      <c r="P23" s="768" t="s">
        <v>39</v>
      </c>
      <c r="Q23" s="768" t="s">
        <v>39</v>
      </c>
      <c r="R23" s="774" t="s">
        <v>74</v>
      </c>
      <c r="S23" s="775">
        <f ca="1">SUMIF('Data Input sheet'!$B$118:$D$180,R23,'Data Input sheet'!$D$118:$D$180)</f>
        <v>152</v>
      </c>
      <c r="T23" s="776">
        <f t="shared" ref="T23:T32" ca="1" si="24">+O23*S23</f>
        <v>0</v>
      </c>
      <c r="U23" s="1992"/>
      <c r="V23" s="778">
        <f t="shared" si="18"/>
        <v>0</v>
      </c>
      <c r="W23" s="772"/>
      <c r="X23" s="779"/>
      <c r="Y23" s="776">
        <v>0</v>
      </c>
      <c r="Z23" s="780">
        <f t="shared" ref="Z23:Z32" ca="1" si="25">T23+V23+W23+Y23</f>
        <v>0</v>
      </c>
      <c r="AA23" s="769"/>
      <c r="AB23" s="769"/>
      <c r="AC23" s="765">
        <f t="shared" si="0"/>
        <v>0</v>
      </c>
      <c r="AD23" s="781">
        <f t="shared" si="1"/>
        <v>0</v>
      </c>
      <c r="AE23" s="781">
        <f t="shared" si="2"/>
        <v>0</v>
      </c>
      <c r="AF23" s="781">
        <f t="shared" si="3"/>
        <v>0</v>
      </c>
      <c r="AG23" s="781">
        <f t="shared" si="4"/>
        <v>0</v>
      </c>
      <c r="AH23" s="781">
        <f t="shared" ca="1" si="5"/>
        <v>0</v>
      </c>
      <c r="AI23" s="782">
        <f t="shared" ca="1" si="6"/>
        <v>0</v>
      </c>
      <c r="AJ23" s="781">
        <f t="shared" si="7"/>
        <v>0</v>
      </c>
      <c r="AK23" s="781">
        <f t="shared" si="8"/>
        <v>0</v>
      </c>
      <c r="AL23" s="781">
        <f t="shared" si="9"/>
        <v>0</v>
      </c>
      <c r="AM23" s="781">
        <f t="shared" si="10"/>
        <v>0</v>
      </c>
      <c r="AN23" s="781">
        <f t="shared" si="11"/>
        <v>0</v>
      </c>
      <c r="AO23" s="781">
        <f t="shared" si="12"/>
        <v>0</v>
      </c>
      <c r="AP23" s="781">
        <f t="shared" si="13"/>
        <v>0</v>
      </c>
      <c r="AQ23" s="781">
        <f t="shared" si="14"/>
        <v>0</v>
      </c>
      <c r="AR23" s="781">
        <f t="shared" si="15"/>
        <v>0</v>
      </c>
      <c r="AS23" s="783">
        <f t="shared" ca="1" si="16"/>
        <v>0</v>
      </c>
    </row>
    <row r="24" spans="1:45" ht="15" x14ac:dyDescent="0.25">
      <c r="A24" s="768"/>
      <c r="B24" s="719">
        <f t="shared" si="19"/>
        <v>16</v>
      </c>
      <c r="C24" s="170" t="str">
        <f t="shared" si="17"/>
        <v>99</v>
      </c>
      <c r="D24" s="557"/>
      <c r="E24" s="170"/>
      <c r="F24" s="170">
        <v>99</v>
      </c>
      <c r="G24" s="785"/>
      <c r="H24" s="770"/>
      <c r="I24" s="768"/>
      <c r="J24" s="770"/>
      <c r="K24" s="770"/>
      <c r="L24" s="170"/>
      <c r="M24" s="771">
        <v>0</v>
      </c>
      <c r="N24" s="772">
        <v>1</v>
      </c>
      <c r="O24" s="773">
        <f t="shared" si="23"/>
        <v>0</v>
      </c>
      <c r="P24" s="768" t="s">
        <v>39</v>
      </c>
      <c r="Q24" s="768" t="s">
        <v>39</v>
      </c>
      <c r="R24" s="774" t="s">
        <v>74</v>
      </c>
      <c r="S24" s="775">
        <f ca="1">SUMIF('Data Input sheet'!$B$118:$D$180,R24,'Data Input sheet'!$D$118:$D$180)</f>
        <v>152</v>
      </c>
      <c r="T24" s="776">
        <f t="shared" ca="1" si="24"/>
        <v>0</v>
      </c>
      <c r="U24" s="1992"/>
      <c r="V24" s="778">
        <f t="shared" si="18"/>
        <v>0</v>
      </c>
      <c r="W24" s="772"/>
      <c r="X24" s="779"/>
      <c r="Y24" s="776">
        <v>0</v>
      </c>
      <c r="Z24" s="780">
        <f t="shared" ca="1" si="25"/>
        <v>0</v>
      </c>
      <c r="AA24" s="769"/>
      <c r="AB24" s="769"/>
      <c r="AC24" s="765">
        <f t="shared" si="0"/>
        <v>0</v>
      </c>
      <c r="AD24" s="781">
        <f t="shared" si="1"/>
        <v>0</v>
      </c>
      <c r="AE24" s="781">
        <f t="shared" si="2"/>
        <v>0</v>
      </c>
      <c r="AF24" s="781">
        <f t="shared" si="3"/>
        <v>0</v>
      </c>
      <c r="AG24" s="781">
        <f t="shared" si="4"/>
        <v>0</v>
      </c>
      <c r="AH24" s="781">
        <f t="shared" ca="1" si="5"/>
        <v>0</v>
      </c>
      <c r="AI24" s="782">
        <f t="shared" ca="1" si="6"/>
        <v>0</v>
      </c>
      <c r="AJ24" s="781">
        <f t="shared" si="7"/>
        <v>0</v>
      </c>
      <c r="AK24" s="781">
        <f t="shared" si="8"/>
        <v>0</v>
      </c>
      <c r="AL24" s="781">
        <f t="shared" si="9"/>
        <v>0</v>
      </c>
      <c r="AM24" s="781">
        <f t="shared" si="10"/>
        <v>0</v>
      </c>
      <c r="AN24" s="781">
        <f t="shared" si="11"/>
        <v>0</v>
      </c>
      <c r="AO24" s="781">
        <f t="shared" si="12"/>
        <v>0</v>
      </c>
      <c r="AP24" s="781">
        <f t="shared" si="13"/>
        <v>0</v>
      </c>
      <c r="AQ24" s="781">
        <f t="shared" si="14"/>
        <v>0</v>
      </c>
      <c r="AR24" s="781">
        <f t="shared" si="15"/>
        <v>0</v>
      </c>
      <c r="AS24" s="783">
        <f t="shared" ca="1" si="16"/>
        <v>0</v>
      </c>
    </row>
    <row r="25" spans="1:45" ht="15" x14ac:dyDescent="0.25">
      <c r="A25" s="768"/>
      <c r="B25" s="719">
        <f t="shared" si="19"/>
        <v>17</v>
      </c>
      <c r="C25" s="170" t="str">
        <f t="shared" si="17"/>
        <v>99</v>
      </c>
      <c r="D25" s="557"/>
      <c r="E25" s="170"/>
      <c r="F25" s="170">
        <v>99</v>
      </c>
      <c r="G25" s="785" t="str">
        <f>+'Structure replacements'!F180</f>
        <v xml:space="preserve">monopole </v>
      </c>
      <c r="H25" s="770"/>
      <c r="I25" s="768"/>
      <c r="J25" s="770"/>
      <c r="K25" s="770"/>
      <c r="L25" s="170"/>
      <c r="M25" s="771">
        <v>25</v>
      </c>
      <c r="N25" s="772">
        <v>1</v>
      </c>
      <c r="O25" s="773">
        <f t="shared" si="23"/>
        <v>25</v>
      </c>
      <c r="P25" s="768" t="s">
        <v>39</v>
      </c>
      <c r="Q25" s="768" t="s">
        <v>39</v>
      </c>
      <c r="R25" s="774" t="s">
        <v>74</v>
      </c>
      <c r="S25" s="775">
        <f ca="1">SUMIF('Data Input sheet'!$B$118:$D$180,R25,'Data Input sheet'!$D$118:$D$180)</f>
        <v>152</v>
      </c>
      <c r="T25" s="776">
        <f t="shared" ca="1" si="24"/>
        <v>3800</v>
      </c>
      <c r="U25" s="1992">
        <v>60</v>
      </c>
      <c r="V25" s="778">
        <f t="shared" si="18"/>
        <v>1500</v>
      </c>
      <c r="W25" s="772">
        <v>150</v>
      </c>
      <c r="X25" s="779"/>
      <c r="Y25" s="776">
        <v>0</v>
      </c>
      <c r="Z25" s="780">
        <f t="shared" ca="1" si="25"/>
        <v>5450</v>
      </c>
      <c r="AA25" s="769"/>
      <c r="AB25" s="769"/>
      <c r="AC25" s="765">
        <f t="shared" si="0"/>
        <v>60</v>
      </c>
      <c r="AD25" s="781">
        <f t="shared" si="1"/>
        <v>0</v>
      </c>
      <c r="AE25" s="781">
        <f t="shared" si="2"/>
        <v>0</v>
      </c>
      <c r="AF25" s="781">
        <f t="shared" si="3"/>
        <v>0</v>
      </c>
      <c r="AG25" s="781">
        <f t="shared" si="4"/>
        <v>0</v>
      </c>
      <c r="AH25" s="781">
        <f t="shared" ca="1" si="5"/>
        <v>0</v>
      </c>
      <c r="AI25" s="782">
        <f t="shared" ca="1" si="6"/>
        <v>0</v>
      </c>
      <c r="AJ25" s="781">
        <f t="shared" si="7"/>
        <v>0</v>
      </c>
      <c r="AK25" s="781">
        <f t="shared" si="8"/>
        <v>0</v>
      </c>
      <c r="AL25" s="781">
        <f t="shared" si="9"/>
        <v>0</v>
      </c>
      <c r="AM25" s="781">
        <f t="shared" si="10"/>
        <v>0</v>
      </c>
      <c r="AN25" s="781">
        <f t="shared" si="11"/>
        <v>0</v>
      </c>
      <c r="AO25" s="781">
        <f t="shared" si="12"/>
        <v>0</v>
      </c>
      <c r="AP25" s="781">
        <f t="shared" si="13"/>
        <v>0</v>
      </c>
      <c r="AQ25" s="781">
        <f t="shared" si="14"/>
        <v>0</v>
      </c>
      <c r="AR25" s="781">
        <f t="shared" si="15"/>
        <v>0</v>
      </c>
      <c r="AS25" s="783">
        <f t="shared" ca="1" si="16"/>
        <v>0</v>
      </c>
    </row>
    <row r="26" spans="1:45" ht="15" x14ac:dyDescent="0.25">
      <c r="A26" s="768"/>
      <c r="B26" s="719">
        <f t="shared" si="19"/>
        <v>18</v>
      </c>
      <c r="C26" s="170" t="str">
        <f t="shared" si="17"/>
        <v>99</v>
      </c>
      <c r="D26" s="557"/>
      <c r="E26" s="170"/>
      <c r="F26" s="170">
        <v>99</v>
      </c>
      <c r="G26" s="785" t="str">
        <f>+'Structure replacements'!F181</f>
        <v>H frame</v>
      </c>
      <c r="H26" s="770"/>
      <c r="I26" s="768"/>
      <c r="J26" s="770"/>
      <c r="K26" s="770"/>
      <c r="L26" s="170"/>
      <c r="M26" s="771">
        <v>35</v>
      </c>
      <c r="N26" s="772">
        <v>1</v>
      </c>
      <c r="O26" s="773">
        <f t="shared" si="23"/>
        <v>35</v>
      </c>
      <c r="P26" s="768" t="s">
        <v>39</v>
      </c>
      <c r="Q26" s="768" t="s">
        <v>39</v>
      </c>
      <c r="R26" s="774" t="s">
        <v>74</v>
      </c>
      <c r="S26" s="775">
        <f ca="1">SUMIF('Data Input sheet'!$B$118:$D$180,R26,'Data Input sheet'!$D$118:$D$180)</f>
        <v>152</v>
      </c>
      <c r="T26" s="776">
        <f t="shared" ca="1" si="24"/>
        <v>5320</v>
      </c>
      <c r="U26" s="1992">
        <v>60</v>
      </c>
      <c r="V26" s="778">
        <f t="shared" si="18"/>
        <v>2100</v>
      </c>
      <c r="W26" s="772">
        <v>300</v>
      </c>
      <c r="X26" s="779"/>
      <c r="Y26" s="776">
        <v>0</v>
      </c>
      <c r="Z26" s="780">
        <f t="shared" ca="1" si="25"/>
        <v>7720</v>
      </c>
      <c r="AA26" s="769"/>
      <c r="AB26" s="769"/>
      <c r="AC26" s="765">
        <f t="shared" si="0"/>
        <v>60</v>
      </c>
      <c r="AD26" s="781">
        <f t="shared" si="1"/>
        <v>0</v>
      </c>
      <c r="AE26" s="781">
        <f t="shared" si="2"/>
        <v>0</v>
      </c>
      <c r="AF26" s="781">
        <f t="shared" si="3"/>
        <v>0</v>
      </c>
      <c r="AG26" s="781">
        <f t="shared" si="4"/>
        <v>0</v>
      </c>
      <c r="AH26" s="781">
        <f t="shared" ca="1" si="5"/>
        <v>0</v>
      </c>
      <c r="AI26" s="782">
        <f t="shared" ca="1" si="6"/>
        <v>0</v>
      </c>
      <c r="AJ26" s="781">
        <f t="shared" si="7"/>
        <v>0</v>
      </c>
      <c r="AK26" s="781">
        <f t="shared" si="8"/>
        <v>0</v>
      </c>
      <c r="AL26" s="781">
        <f t="shared" si="9"/>
        <v>0</v>
      </c>
      <c r="AM26" s="781">
        <f t="shared" si="10"/>
        <v>0</v>
      </c>
      <c r="AN26" s="781">
        <f t="shared" si="11"/>
        <v>0</v>
      </c>
      <c r="AO26" s="781">
        <f t="shared" si="12"/>
        <v>0</v>
      </c>
      <c r="AP26" s="781">
        <f t="shared" si="13"/>
        <v>0</v>
      </c>
      <c r="AQ26" s="781">
        <f t="shared" si="14"/>
        <v>0</v>
      </c>
      <c r="AR26" s="781">
        <f t="shared" si="15"/>
        <v>0</v>
      </c>
      <c r="AS26" s="783">
        <f t="shared" ca="1" si="16"/>
        <v>0</v>
      </c>
    </row>
    <row r="27" spans="1:45" ht="15" x14ac:dyDescent="0.25">
      <c r="A27" s="768"/>
      <c r="B27" s="719">
        <f t="shared" si="19"/>
        <v>19</v>
      </c>
      <c r="C27" s="170" t="str">
        <f t="shared" si="17"/>
        <v>99</v>
      </c>
      <c r="D27" s="557"/>
      <c r="E27" s="170"/>
      <c r="F27" s="170">
        <v>99</v>
      </c>
      <c r="G27" s="785" t="str">
        <f>+'Structure replacements'!F182</f>
        <v>Horz - 3 pole</v>
      </c>
      <c r="H27" s="770"/>
      <c r="I27" s="768"/>
      <c r="J27" s="770"/>
      <c r="K27" s="770"/>
      <c r="L27" s="170"/>
      <c r="M27" s="771">
        <v>45</v>
      </c>
      <c r="N27" s="772">
        <v>1</v>
      </c>
      <c r="O27" s="773">
        <f t="shared" si="23"/>
        <v>45</v>
      </c>
      <c r="P27" s="768" t="s">
        <v>39</v>
      </c>
      <c r="Q27" s="768" t="s">
        <v>39</v>
      </c>
      <c r="R27" s="774" t="s">
        <v>74</v>
      </c>
      <c r="S27" s="775">
        <f ca="1">SUMIF('Data Input sheet'!$B$118:$D$180,R27,'Data Input sheet'!$D$118:$D$180)</f>
        <v>152</v>
      </c>
      <c r="T27" s="776">
        <f t="shared" ca="1" si="24"/>
        <v>6840</v>
      </c>
      <c r="U27" s="1992">
        <v>60</v>
      </c>
      <c r="V27" s="778">
        <f t="shared" si="18"/>
        <v>2700</v>
      </c>
      <c r="W27" s="772">
        <v>450</v>
      </c>
      <c r="X27" s="779"/>
      <c r="Y27" s="776">
        <v>0</v>
      </c>
      <c r="Z27" s="780">
        <f t="shared" ca="1" si="25"/>
        <v>9990</v>
      </c>
      <c r="AA27" s="769"/>
      <c r="AB27" s="769"/>
      <c r="AC27" s="765">
        <f t="shared" si="0"/>
        <v>60</v>
      </c>
      <c r="AD27" s="781">
        <f t="shared" si="1"/>
        <v>0</v>
      </c>
      <c r="AE27" s="781">
        <f t="shared" si="2"/>
        <v>0</v>
      </c>
      <c r="AF27" s="781">
        <f t="shared" si="3"/>
        <v>0</v>
      </c>
      <c r="AG27" s="781">
        <f t="shared" si="4"/>
        <v>0</v>
      </c>
      <c r="AH27" s="781">
        <f t="shared" ca="1" si="5"/>
        <v>0</v>
      </c>
      <c r="AI27" s="782">
        <f t="shared" ca="1" si="6"/>
        <v>0</v>
      </c>
      <c r="AJ27" s="781">
        <f t="shared" si="7"/>
        <v>0</v>
      </c>
      <c r="AK27" s="781">
        <f t="shared" si="8"/>
        <v>0</v>
      </c>
      <c r="AL27" s="781">
        <f t="shared" si="9"/>
        <v>0</v>
      </c>
      <c r="AM27" s="781">
        <f t="shared" si="10"/>
        <v>0</v>
      </c>
      <c r="AN27" s="781">
        <f t="shared" si="11"/>
        <v>0</v>
      </c>
      <c r="AO27" s="781">
        <f t="shared" si="12"/>
        <v>0</v>
      </c>
      <c r="AP27" s="781">
        <f t="shared" si="13"/>
        <v>0</v>
      </c>
      <c r="AQ27" s="781">
        <f t="shared" si="14"/>
        <v>0</v>
      </c>
      <c r="AR27" s="781">
        <f t="shared" si="15"/>
        <v>0</v>
      </c>
      <c r="AS27" s="783">
        <f t="shared" ca="1" si="16"/>
        <v>0</v>
      </c>
    </row>
    <row r="28" spans="1:45" ht="15" x14ac:dyDescent="0.25">
      <c r="A28" s="768"/>
      <c r="B28" s="719">
        <f t="shared" si="19"/>
        <v>20</v>
      </c>
      <c r="C28" s="170" t="str">
        <f t="shared" si="17"/>
        <v>99</v>
      </c>
      <c r="D28" s="557"/>
      <c r="E28" s="170"/>
      <c r="F28" s="170">
        <v>99</v>
      </c>
      <c r="G28" s="785"/>
      <c r="H28" s="770"/>
      <c r="I28" s="768"/>
      <c r="J28" s="770"/>
      <c r="K28" s="770"/>
      <c r="L28" s="170"/>
      <c r="M28" s="771">
        <v>0</v>
      </c>
      <c r="N28" s="772">
        <v>1</v>
      </c>
      <c r="O28" s="773">
        <f t="shared" si="23"/>
        <v>0</v>
      </c>
      <c r="P28" s="768" t="s">
        <v>39</v>
      </c>
      <c r="Q28" s="768" t="s">
        <v>39</v>
      </c>
      <c r="R28" s="774" t="s">
        <v>74</v>
      </c>
      <c r="S28" s="775">
        <f ca="1">SUMIF('Data Input sheet'!$B$118:$D$180,R28,'Data Input sheet'!$D$118:$D$180)</f>
        <v>152</v>
      </c>
      <c r="T28" s="776">
        <f t="shared" ca="1" si="24"/>
        <v>0</v>
      </c>
      <c r="U28" s="1992"/>
      <c r="V28" s="778">
        <f t="shared" si="18"/>
        <v>0</v>
      </c>
      <c r="W28" s="772"/>
      <c r="X28" s="779"/>
      <c r="Y28" s="776">
        <v>0</v>
      </c>
      <c r="Z28" s="780">
        <f t="shared" ca="1" si="25"/>
        <v>0</v>
      </c>
      <c r="AA28" s="769"/>
      <c r="AB28" s="769"/>
      <c r="AC28" s="765">
        <f t="shared" si="0"/>
        <v>0</v>
      </c>
      <c r="AD28" s="781">
        <f t="shared" si="1"/>
        <v>0</v>
      </c>
      <c r="AE28" s="781">
        <f t="shared" si="2"/>
        <v>0</v>
      </c>
      <c r="AF28" s="781">
        <f t="shared" si="3"/>
        <v>0</v>
      </c>
      <c r="AG28" s="781">
        <f t="shared" si="4"/>
        <v>0</v>
      </c>
      <c r="AH28" s="781">
        <f t="shared" ca="1" si="5"/>
        <v>0</v>
      </c>
      <c r="AI28" s="782">
        <f t="shared" ca="1" si="6"/>
        <v>0</v>
      </c>
      <c r="AJ28" s="781">
        <f t="shared" si="7"/>
        <v>0</v>
      </c>
      <c r="AK28" s="781">
        <f t="shared" si="8"/>
        <v>0</v>
      </c>
      <c r="AL28" s="781">
        <f t="shared" si="9"/>
        <v>0</v>
      </c>
      <c r="AM28" s="781">
        <f t="shared" si="10"/>
        <v>0</v>
      </c>
      <c r="AN28" s="781">
        <f t="shared" si="11"/>
        <v>0</v>
      </c>
      <c r="AO28" s="781">
        <f t="shared" si="12"/>
        <v>0</v>
      </c>
      <c r="AP28" s="781">
        <f t="shared" si="13"/>
        <v>0</v>
      </c>
      <c r="AQ28" s="781">
        <f t="shared" si="14"/>
        <v>0</v>
      </c>
      <c r="AR28" s="781">
        <f t="shared" si="15"/>
        <v>0</v>
      </c>
      <c r="AS28" s="783">
        <f t="shared" ca="1" si="16"/>
        <v>0</v>
      </c>
    </row>
    <row r="29" spans="1:45" ht="15" x14ac:dyDescent="0.25">
      <c r="A29" s="768"/>
      <c r="B29" s="719">
        <f t="shared" si="19"/>
        <v>21</v>
      </c>
      <c r="C29" s="170" t="str">
        <f t="shared" si="17"/>
        <v>99</v>
      </c>
      <c r="D29" s="557"/>
      <c r="E29" s="170"/>
      <c r="F29" s="170">
        <v>99</v>
      </c>
      <c r="G29" s="785"/>
      <c r="H29" s="770"/>
      <c r="I29" s="768"/>
      <c r="J29" s="770"/>
      <c r="K29" s="770"/>
      <c r="L29" s="170"/>
      <c r="M29" s="771">
        <v>0</v>
      </c>
      <c r="N29" s="772">
        <v>1</v>
      </c>
      <c r="O29" s="773">
        <f t="shared" si="23"/>
        <v>0</v>
      </c>
      <c r="P29" s="768" t="s">
        <v>39</v>
      </c>
      <c r="Q29" s="768" t="s">
        <v>39</v>
      </c>
      <c r="R29" s="774" t="s">
        <v>74</v>
      </c>
      <c r="S29" s="775">
        <f ca="1">SUMIF('Data Input sheet'!$B$118:$D$180,R29,'Data Input sheet'!$D$118:$D$180)</f>
        <v>152</v>
      </c>
      <c r="T29" s="776">
        <f t="shared" ca="1" si="24"/>
        <v>0</v>
      </c>
      <c r="U29" s="1992"/>
      <c r="V29" s="778">
        <f t="shared" si="18"/>
        <v>0</v>
      </c>
      <c r="W29" s="772"/>
      <c r="X29" s="779"/>
      <c r="Y29" s="776">
        <v>0</v>
      </c>
      <c r="Z29" s="780">
        <f t="shared" ca="1" si="25"/>
        <v>0</v>
      </c>
      <c r="AA29" s="769"/>
      <c r="AB29" s="769"/>
      <c r="AC29" s="765">
        <f t="shared" si="0"/>
        <v>0</v>
      </c>
      <c r="AD29" s="781">
        <f t="shared" si="1"/>
        <v>0</v>
      </c>
      <c r="AE29" s="781">
        <f t="shared" si="2"/>
        <v>0</v>
      </c>
      <c r="AF29" s="781">
        <f t="shared" si="3"/>
        <v>0</v>
      </c>
      <c r="AG29" s="781">
        <f t="shared" si="4"/>
        <v>0</v>
      </c>
      <c r="AH29" s="781">
        <f t="shared" ca="1" si="5"/>
        <v>0</v>
      </c>
      <c r="AI29" s="782">
        <f t="shared" ca="1" si="6"/>
        <v>0</v>
      </c>
      <c r="AJ29" s="781">
        <f t="shared" si="7"/>
        <v>0</v>
      </c>
      <c r="AK29" s="781">
        <f t="shared" si="8"/>
        <v>0</v>
      </c>
      <c r="AL29" s="781">
        <f t="shared" si="9"/>
        <v>0</v>
      </c>
      <c r="AM29" s="781">
        <f t="shared" si="10"/>
        <v>0</v>
      </c>
      <c r="AN29" s="781">
        <f t="shared" si="11"/>
        <v>0</v>
      </c>
      <c r="AO29" s="781">
        <f t="shared" si="12"/>
        <v>0</v>
      </c>
      <c r="AP29" s="781">
        <f t="shared" si="13"/>
        <v>0</v>
      </c>
      <c r="AQ29" s="781">
        <f t="shared" si="14"/>
        <v>0</v>
      </c>
      <c r="AR29" s="781">
        <f t="shared" si="15"/>
        <v>0</v>
      </c>
      <c r="AS29" s="783">
        <f t="shared" ca="1" si="16"/>
        <v>0</v>
      </c>
    </row>
    <row r="30" spans="1:45" ht="15" x14ac:dyDescent="0.25">
      <c r="A30" s="768"/>
      <c r="B30" s="719">
        <f t="shared" si="19"/>
        <v>22</v>
      </c>
      <c r="C30" s="170" t="str">
        <f t="shared" si="17"/>
        <v>99</v>
      </c>
      <c r="D30" s="557"/>
      <c r="E30" s="170"/>
      <c r="F30" s="170">
        <v>99</v>
      </c>
      <c r="G30" s="785"/>
      <c r="H30" s="770"/>
      <c r="I30" s="768"/>
      <c r="J30" s="770"/>
      <c r="K30" s="770"/>
      <c r="L30" s="170"/>
      <c r="M30" s="771">
        <v>0</v>
      </c>
      <c r="N30" s="772">
        <v>1</v>
      </c>
      <c r="O30" s="773">
        <f t="shared" si="23"/>
        <v>0</v>
      </c>
      <c r="P30" s="768" t="s">
        <v>39</v>
      </c>
      <c r="Q30" s="768" t="s">
        <v>39</v>
      </c>
      <c r="R30" s="774" t="s">
        <v>74</v>
      </c>
      <c r="S30" s="775">
        <f ca="1">SUMIF('Data Input sheet'!$B$118:$D$180,R30,'Data Input sheet'!$D$118:$D$180)</f>
        <v>152</v>
      </c>
      <c r="T30" s="776">
        <f t="shared" ca="1" si="24"/>
        <v>0</v>
      </c>
      <c r="U30" s="1992"/>
      <c r="V30" s="778">
        <f t="shared" si="18"/>
        <v>0</v>
      </c>
      <c r="W30" s="772"/>
      <c r="X30" s="779"/>
      <c r="Y30" s="776">
        <v>0</v>
      </c>
      <c r="Z30" s="780">
        <f t="shared" ca="1" si="25"/>
        <v>0</v>
      </c>
      <c r="AA30" s="769"/>
      <c r="AB30" s="769"/>
      <c r="AC30" s="765">
        <f t="shared" si="0"/>
        <v>0</v>
      </c>
      <c r="AD30" s="781">
        <f t="shared" si="1"/>
        <v>0</v>
      </c>
      <c r="AE30" s="781">
        <f t="shared" si="2"/>
        <v>0</v>
      </c>
      <c r="AF30" s="781">
        <f t="shared" si="3"/>
        <v>0</v>
      </c>
      <c r="AG30" s="781">
        <f t="shared" si="4"/>
        <v>0</v>
      </c>
      <c r="AH30" s="781">
        <f t="shared" ca="1" si="5"/>
        <v>0</v>
      </c>
      <c r="AI30" s="782">
        <f t="shared" ca="1" si="6"/>
        <v>0</v>
      </c>
      <c r="AJ30" s="781">
        <f t="shared" si="7"/>
        <v>0</v>
      </c>
      <c r="AK30" s="781">
        <f t="shared" si="8"/>
        <v>0</v>
      </c>
      <c r="AL30" s="781">
        <f t="shared" si="9"/>
        <v>0</v>
      </c>
      <c r="AM30" s="781">
        <f t="shared" si="10"/>
        <v>0</v>
      </c>
      <c r="AN30" s="781">
        <f t="shared" si="11"/>
        <v>0</v>
      </c>
      <c r="AO30" s="781">
        <f t="shared" si="12"/>
        <v>0</v>
      </c>
      <c r="AP30" s="781">
        <f t="shared" si="13"/>
        <v>0</v>
      </c>
      <c r="AQ30" s="781">
        <f t="shared" si="14"/>
        <v>0</v>
      </c>
      <c r="AR30" s="781">
        <f t="shared" si="15"/>
        <v>0</v>
      </c>
      <c r="AS30" s="783">
        <f t="shared" ca="1" si="16"/>
        <v>0</v>
      </c>
    </row>
    <row r="31" spans="1:45" ht="15" x14ac:dyDescent="0.25">
      <c r="A31" s="768"/>
      <c r="B31" s="719">
        <f t="shared" si="19"/>
        <v>23</v>
      </c>
      <c r="C31" s="170" t="str">
        <f t="shared" si="17"/>
        <v>99</v>
      </c>
      <c r="D31" s="557"/>
      <c r="E31" s="170"/>
      <c r="F31" s="170">
        <v>99</v>
      </c>
      <c r="G31" s="785"/>
      <c r="H31" s="770"/>
      <c r="I31" s="768"/>
      <c r="J31" s="770"/>
      <c r="K31" s="770"/>
      <c r="L31" s="170"/>
      <c r="M31" s="771">
        <v>0</v>
      </c>
      <c r="N31" s="772">
        <v>1</v>
      </c>
      <c r="O31" s="773">
        <f t="shared" si="23"/>
        <v>0</v>
      </c>
      <c r="P31" s="768" t="s">
        <v>39</v>
      </c>
      <c r="Q31" s="768" t="s">
        <v>39</v>
      </c>
      <c r="R31" s="774" t="s">
        <v>74</v>
      </c>
      <c r="S31" s="775">
        <f ca="1">SUMIF('Data Input sheet'!$B$118:$D$180,R31,'Data Input sheet'!$D$118:$D$180)</f>
        <v>152</v>
      </c>
      <c r="T31" s="776">
        <f t="shared" ca="1" si="24"/>
        <v>0</v>
      </c>
      <c r="U31" s="1992"/>
      <c r="V31" s="778">
        <f t="shared" si="18"/>
        <v>0</v>
      </c>
      <c r="W31" s="772"/>
      <c r="X31" s="779"/>
      <c r="Y31" s="776">
        <v>0</v>
      </c>
      <c r="Z31" s="780">
        <f t="shared" ca="1" si="25"/>
        <v>0</v>
      </c>
      <c r="AA31" s="769"/>
      <c r="AB31" s="769"/>
      <c r="AC31" s="765">
        <f t="shared" si="0"/>
        <v>0</v>
      </c>
      <c r="AD31" s="781">
        <f t="shared" si="1"/>
        <v>0</v>
      </c>
      <c r="AE31" s="781">
        <f t="shared" si="2"/>
        <v>0</v>
      </c>
      <c r="AF31" s="781">
        <f t="shared" si="3"/>
        <v>0</v>
      </c>
      <c r="AG31" s="781">
        <f t="shared" si="4"/>
        <v>0</v>
      </c>
      <c r="AH31" s="781">
        <f t="shared" ca="1" si="5"/>
        <v>0</v>
      </c>
      <c r="AI31" s="782">
        <f t="shared" ca="1" si="6"/>
        <v>0</v>
      </c>
      <c r="AJ31" s="781">
        <f t="shared" si="7"/>
        <v>0</v>
      </c>
      <c r="AK31" s="781">
        <f t="shared" si="8"/>
        <v>0</v>
      </c>
      <c r="AL31" s="781">
        <f t="shared" si="9"/>
        <v>0</v>
      </c>
      <c r="AM31" s="781">
        <f t="shared" si="10"/>
        <v>0</v>
      </c>
      <c r="AN31" s="781">
        <f t="shared" si="11"/>
        <v>0</v>
      </c>
      <c r="AO31" s="781">
        <f t="shared" si="12"/>
        <v>0</v>
      </c>
      <c r="AP31" s="781">
        <f t="shared" si="13"/>
        <v>0</v>
      </c>
      <c r="AQ31" s="781">
        <f t="shared" si="14"/>
        <v>0</v>
      </c>
      <c r="AR31" s="781">
        <f t="shared" si="15"/>
        <v>0</v>
      </c>
      <c r="AS31" s="783">
        <f t="shared" ca="1" si="16"/>
        <v>0</v>
      </c>
    </row>
    <row r="32" spans="1:45" ht="15" x14ac:dyDescent="0.25">
      <c r="A32" s="768"/>
      <c r="B32" s="719">
        <f t="shared" si="19"/>
        <v>24</v>
      </c>
      <c r="C32" s="170" t="str">
        <f t="shared" si="17"/>
        <v>99</v>
      </c>
      <c r="D32" s="557"/>
      <c r="E32" s="170"/>
      <c r="F32" s="170">
        <v>99</v>
      </c>
      <c r="G32" s="785"/>
      <c r="H32" s="770"/>
      <c r="I32" s="768"/>
      <c r="J32" s="770"/>
      <c r="K32" s="770"/>
      <c r="L32" s="170"/>
      <c r="M32" s="771">
        <v>0</v>
      </c>
      <c r="N32" s="772">
        <v>1</v>
      </c>
      <c r="O32" s="773">
        <f t="shared" si="23"/>
        <v>0</v>
      </c>
      <c r="P32" s="768" t="s">
        <v>39</v>
      </c>
      <c r="Q32" s="768" t="s">
        <v>39</v>
      </c>
      <c r="R32" s="774" t="s">
        <v>74</v>
      </c>
      <c r="S32" s="775">
        <f ca="1">SUMIF('Data Input sheet'!$B$118:$D$180,R32,'Data Input sheet'!$D$118:$D$180)</f>
        <v>152</v>
      </c>
      <c r="T32" s="776">
        <f t="shared" ca="1" si="24"/>
        <v>0</v>
      </c>
      <c r="U32" s="1992"/>
      <c r="V32" s="778">
        <f t="shared" si="18"/>
        <v>0</v>
      </c>
      <c r="W32" s="772"/>
      <c r="X32" s="779"/>
      <c r="Y32" s="776">
        <v>0</v>
      </c>
      <c r="Z32" s="780">
        <f t="shared" ca="1" si="25"/>
        <v>0</v>
      </c>
      <c r="AA32" s="769"/>
      <c r="AB32" s="769"/>
      <c r="AC32" s="765">
        <f t="shared" si="0"/>
        <v>0</v>
      </c>
      <c r="AD32" s="781">
        <f t="shared" si="1"/>
        <v>0</v>
      </c>
      <c r="AE32" s="781">
        <f t="shared" si="2"/>
        <v>0</v>
      </c>
      <c r="AF32" s="781">
        <f t="shared" si="3"/>
        <v>0</v>
      </c>
      <c r="AG32" s="781">
        <f t="shared" si="4"/>
        <v>0</v>
      </c>
      <c r="AH32" s="781">
        <f t="shared" ca="1" si="5"/>
        <v>0</v>
      </c>
      <c r="AI32" s="782">
        <f t="shared" ca="1" si="6"/>
        <v>0</v>
      </c>
      <c r="AJ32" s="781">
        <f t="shared" si="7"/>
        <v>0</v>
      </c>
      <c r="AK32" s="781">
        <f t="shared" si="8"/>
        <v>0</v>
      </c>
      <c r="AL32" s="781">
        <f t="shared" si="9"/>
        <v>0</v>
      </c>
      <c r="AM32" s="781">
        <f t="shared" si="10"/>
        <v>0</v>
      </c>
      <c r="AN32" s="781">
        <f t="shared" si="11"/>
        <v>0</v>
      </c>
      <c r="AO32" s="781">
        <f t="shared" si="12"/>
        <v>0</v>
      </c>
      <c r="AP32" s="781">
        <f t="shared" si="13"/>
        <v>0</v>
      </c>
      <c r="AQ32" s="781">
        <f t="shared" si="14"/>
        <v>0</v>
      </c>
      <c r="AR32" s="781">
        <f t="shared" si="15"/>
        <v>0</v>
      </c>
      <c r="AS32" s="783">
        <f t="shared" ca="1" si="16"/>
        <v>0</v>
      </c>
    </row>
    <row r="33" spans="1:45" ht="15" x14ac:dyDescent="0.25">
      <c r="A33" s="784"/>
      <c r="B33" s="719">
        <f t="shared" si="19"/>
        <v>25</v>
      </c>
      <c r="C33" s="170" t="str">
        <f t="shared" si="17"/>
        <v>99</v>
      </c>
      <c r="D33" s="557"/>
      <c r="E33" s="170"/>
      <c r="F33" s="170">
        <v>99</v>
      </c>
      <c r="G33" s="787"/>
      <c r="H33" s="784"/>
      <c r="I33" s="784"/>
      <c r="J33" s="784"/>
      <c r="K33" s="784"/>
      <c r="L33" s="170"/>
      <c r="M33" s="773"/>
      <c r="N33" s="773"/>
      <c r="O33" s="773"/>
      <c r="P33" s="788"/>
      <c r="Q33" s="788"/>
      <c r="R33" s="773"/>
      <c r="S33" s="773"/>
      <c r="T33" s="779"/>
      <c r="U33" s="1993"/>
      <c r="V33" s="778">
        <f t="shared" si="18"/>
        <v>0</v>
      </c>
      <c r="W33" s="778"/>
      <c r="X33" s="779"/>
      <c r="Y33" s="779"/>
      <c r="Z33" s="780"/>
      <c r="AA33" s="787"/>
      <c r="AB33" s="787"/>
      <c r="AC33" s="765">
        <f t="shared" si="0"/>
        <v>0</v>
      </c>
      <c r="AD33" s="781">
        <f t="shared" si="1"/>
        <v>0</v>
      </c>
      <c r="AE33" s="781">
        <f t="shared" si="2"/>
        <v>0</v>
      </c>
      <c r="AF33" s="781">
        <f t="shared" si="3"/>
        <v>0</v>
      </c>
      <c r="AG33" s="781">
        <f t="shared" si="4"/>
        <v>0</v>
      </c>
      <c r="AH33" s="781">
        <f t="shared" si="5"/>
        <v>0</v>
      </c>
      <c r="AI33" s="782">
        <f t="shared" si="6"/>
        <v>0</v>
      </c>
      <c r="AJ33" s="781">
        <f t="shared" si="7"/>
        <v>0</v>
      </c>
      <c r="AK33" s="781">
        <f t="shared" si="8"/>
        <v>0</v>
      </c>
      <c r="AL33" s="781">
        <f t="shared" si="9"/>
        <v>0</v>
      </c>
      <c r="AM33" s="781">
        <f t="shared" si="10"/>
        <v>0</v>
      </c>
      <c r="AN33" s="781">
        <f t="shared" si="11"/>
        <v>0</v>
      </c>
      <c r="AO33" s="781">
        <f t="shared" si="12"/>
        <v>0</v>
      </c>
      <c r="AP33" s="781">
        <f t="shared" si="13"/>
        <v>0</v>
      </c>
      <c r="AQ33" s="781">
        <f t="shared" si="14"/>
        <v>0</v>
      </c>
      <c r="AR33" s="781">
        <f t="shared" si="15"/>
        <v>0</v>
      </c>
      <c r="AS33" s="783">
        <f t="shared" si="16"/>
        <v>0</v>
      </c>
    </row>
    <row r="34" spans="1:45" ht="15" x14ac:dyDescent="0.25">
      <c r="A34" s="784"/>
      <c r="B34" s="719">
        <f t="shared" si="19"/>
        <v>26</v>
      </c>
      <c r="C34" s="170" t="str">
        <f t="shared" si="17"/>
        <v>99</v>
      </c>
      <c r="D34" s="557"/>
      <c r="E34" s="170"/>
      <c r="F34" s="170">
        <v>99</v>
      </c>
      <c r="G34" s="792" t="s">
        <v>862</v>
      </c>
      <c r="H34" s="784"/>
      <c r="I34" s="784"/>
      <c r="J34" s="784"/>
      <c r="K34" s="784"/>
      <c r="L34" s="170"/>
      <c r="M34" s="773"/>
      <c r="N34" s="773"/>
      <c r="O34" s="773"/>
      <c r="P34" s="788"/>
      <c r="Q34" s="788"/>
      <c r="R34" s="773"/>
      <c r="S34" s="773"/>
      <c r="T34" s="779"/>
      <c r="U34" s="1993"/>
      <c r="V34" s="778">
        <f t="shared" si="18"/>
        <v>0</v>
      </c>
      <c r="W34" s="778"/>
      <c r="X34" s="734" t="s">
        <v>573</v>
      </c>
      <c r="Y34" s="734"/>
      <c r="Z34" s="780"/>
      <c r="AA34" s="787"/>
      <c r="AB34" s="787"/>
      <c r="AC34" s="765">
        <f t="shared" si="0"/>
        <v>0</v>
      </c>
      <c r="AD34" s="781">
        <f t="shared" si="1"/>
        <v>0</v>
      </c>
      <c r="AE34" s="781">
        <f t="shared" si="2"/>
        <v>0</v>
      </c>
      <c r="AF34" s="781">
        <f t="shared" si="3"/>
        <v>0</v>
      </c>
      <c r="AG34" s="781">
        <f t="shared" si="4"/>
        <v>0</v>
      </c>
      <c r="AH34" s="781">
        <f t="shared" si="5"/>
        <v>0</v>
      </c>
      <c r="AI34" s="782">
        <f t="shared" si="6"/>
        <v>0</v>
      </c>
      <c r="AJ34" s="781">
        <f t="shared" si="7"/>
        <v>0</v>
      </c>
      <c r="AK34" s="781">
        <f t="shared" si="8"/>
        <v>0</v>
      </c>
      <c r="AL34" s="781">
        <f t="shared" si="9"/>
        <v>0</v>
      </c>
      <c r="AM34" s="781">
        <f t="shared" si="10"/>
        <v>0</v>
      </c>
      <c r="AN34" s="781">
        <f t="shared" si="11"/>
        <v>0</v>
      </c>
      <c r="AO34" s="781">
        <f t="shared" si="12"/>
        <v>0</v>
      </c>
      <c r="AP34" s="781">
        <f t="shared" si="13"/>
        <v>0</v>
      </c>
      <c r="AQ34" s="781">
        <f t="shared" si="14"/>
        <v>0</v>
      </c>
      <c r="AR34" s="781">
        <f t="shared" si="15"/>
        <v>0</v>
      </c>
      <c r="AS34" s="783">
        <f t="shared" si="16"/>
        <v>0</v>
      </c>
    </row>
    <row r="35" spans="1:45" ht="15" x14ac:dyDescent="0.25">
      <c r="A35" s="768"/>
      <c r="B35" s="719">
        <f t="shared" si="19"/>
        <v>27</v>
      </c>
      <c r="C35" s="170" t="str">
        <f t="shared" si="17"/>
        <v>99</v>
      </c>
      <c r="D35" s="557"/>
      <c r="E35" s="170"/>
      <c r="F35" s="170">
        <v>99</v>
      </c>
      <c r="G35" s="785"/>
      <c r="H35" s="770"/>
      <c r="I35" s="768"/>
      <c r="J35" s="770"/>
      <c r="K35" s="770"/>
      <c r="L35" s="170"/>
      <c r="M35" s="771">
        <v>0</v>
      </c>
      <c r="N35" s="772">
        <v>1</v>
      </c>
      <c r="O35" s="773">
        <f t="shared" ref="O35:O42" si="26">+M35*N35</f>
        <v>0</v>
      </c>
      <c r="P35" s="768" t="s">
        <v>39</v>
      </c>
      <c r="Q35" s="768" t="s">
        <v>39</v>
      </c>
      <c r="R35" s="774" t="s">
        <v>73</v>
      </c>
      <c r="S35" s="775">
        <f ca="1">SUMIF('Data Input sheet'!$B$118:$D$180,R35,'Data Input sheet'!$D$118:$D$180)</f>
        <v>119</v>
      </c>
      <c r="T35" s="776">
        <f t="shared" ref="T35:T42" ca="1" si="27">+O35*S35</f>
        <v>0</v>
      </c>
      <c r="U35" s="1992"/>
      <c r="V35" s="778">
        <f t="shared" si="18"/>
        <v>0</v>
      </c>
      <c r="W35" s="772"/>
      <c r="X35" s="779"/>
      <c r="Y35" s="776">
        <v>0</v>
      </c>
      <c r="Z35" s="780">
        <f t="shared" ref="Z35:Z42" ca="1" si="28">T35+V35+W35+Y35</f>
        <v>0</v>
      </c>
      <c r="AA35" s="769"/>
      <c r="AB35" s="769"/>
      <c r="AC35" s="765">
        <f t="shared" si="0"/>
        <v>0</v>
      </c>
      <c r="AD35" s="781">
        <f t="shared" si="1"/>
        <v>0</v>
      </c>
      <c r="AE35" s="781">
        <f t="shared" si="2"/>
        <v>0</v>
      </c>
      <c r="AF35" s="781">
        <f t="shared" si="3"/>
        <v>0</v>
      </c>
      <c r="AG35" s="781">
        <f t="shared" si="4"/>
        <v>0</v>
      </c>
      <c r="AH35" s="781">
        <f t="shared" ca="1" si="5"/>
        <v>0</v>
      </c>
      <c r="AI35" s="782">
        <f t="shared" ca="1" si="6"/>
        <v>0</v>
      </c>
      <c r="AJ35" s="781">
        <f t="shared" si="7"/>
        <v>0</v>
      </c>
      <c r="AK35" s="781">
        <f t="shared" si="8"/>
        <v>0</v>
      </c>
      <c r="AL35" s="781">
        <f t="shared" si="9"/>
        <v>0</v>
      </c>
      <c r="AM35" s="781">
        <f t="shared" si="10"/>
        <v>0</v>
      </c>
      <c r="AN35" s="781">
        <f t="shared" si="11"/>
        <v>0</v>
      </c>
      <c r="AO35" s="781">
        <f t="shared" si="12"/>
        <v>0</v>
      </c>
      <c r="AP35" s="781">
        <f t="shared" si="13"/>
        <v>0</v>
      </c>
      <c r="AQ35" s="781">
        <f t="shared" si="14"/>
        <v>0</v>
      </c>
      <c r="AR35" s="781">
        <f t="shared" si="15"/>
        <v>0</v>
      </c>
      <c r="AS35" s="783">
        <f t="shared" ca="1" si="16"/>
        <v>0</v>
      </c>
    </row>
    <row r="36" spans="1:45" ht="15" x14ac:dyDescent="0.25">
      <c r="A36" s="768"/>
      <c r="B36" s="719">
        <f t="shared" si="19"/>
        <v>28</v>
      </c>
      <c r="C36" s="170" t="str">
        <f t="shared" si="17"/>
        <v>99</v>
      </c>
      <c r="D36" s="557"/>
      <c r="E36" s="170"/>
      <c r="F36" s="170">
        <v>99</v>
      </c>
      <c r="G36" s="785"/>
      <c r="H36" s="770"/>
      <c r="I36" s="768"/>
      <c r="J36" s="770"/>
      <c r="K36" s="770"/>
      <c r="L36" s="170"/>
      <c r="M36" s="771">
        <v>0</v>
      </c>
      <c r="N36" s="772">
        <v>1</v>
      </c>
      <c r="O36" s="773">
        <f t="shared" si="26"/>
        <v>0</v>
      </c>
      <c r="P36" s="768" t="s">
        <v>39</v>
      </c>
      <c r="Q36" s="768" t="s">
        <v>39</v>
      </c>
      <c r="R36" s="774" t="s">
        <v>73</v>
      </c>
      <c r="S36" s="775">
        <f ca="1">SUMIF('Data Input sheet'!$B$118:$D$180,R36,'Data Input sheet'!$D$118:$D$180)</f>
        <v>119</v>
      </c>
      <c r="T36" s="776">
        <f t="shared" ca="1" si="27"/>
        <v>0</v>
      </c>
      <c r="U36" s="1992"/>
      <c r="V36" s="778">
        <f t="shared" si="18"/>
        <v>0</v>
      </c>
      <c r="W36" s="772"/>
      <c r="X36" s="779"/>
      <c r="Y36" s="776">
        <v>0</v>
      </c>
      <c r="Z36" s="780">
        <f t="shared" ca="1" si="28"/>
        <v>0</v>
      </c>
      <c r="AA36" s="769"/>
      <c r="AB36" s="769"/>
      <c r="AC36" s="765">
        <f t="shared" si="0"/>
        <v>0</v>
      </c>
      <c r="AD36" s="781">
        <f t="shared" si="1"/>
        <v>0</v>
      </c>
      <c r="AE36" s="781">
        <f t="shared" si="2"/>
        <v>0</v>
      </c>
      <c r="AF36" s="781">
        <f t="shared" si="3"/>
        <v>0</v>
      </c>
      <c r="AG36" s="781">
        <f t="shared" si="4"/>
        <v>0</v>
      </c>
      <c r="AH36" s="781">
        <f t="shared" ca="1" si="5"/>
        <v>0</v>
      </c>
      <c r="AI36" s="782">
        <f t="shared" ca="1" si="6"/>
        <v>0</v>
      </c>
      <c r="AJ36" s="781">
        <f t="shared" si="7"/>
        <v>0</v>
      </c>
      <c r="AK36" s="781">
        <f t="shared" si="8"/>
        <v>0</v>
      </c>
      <c r="AL36" s="781">
        <f t="shared" si="9"/>
        <v>0</v>
      </c>
      <c r="AM36" s="781">
        <f t="shared" si="10"/>
        <v>0</v>
      </c>
      <c r="AN36" s="781">
        <f t="shared" si="11"/>
        <v>0</v>
      </c>
      <c r="AO36" s="781">
        <f t="shared" si="12"/>
        <v>0</v>
      </c>
      <c r="AP36" s="781">
        <f t="shared" si="13"/>
        <v>0</v>
      </c>
      <c r="AQ36" s="781">
        <f t="shared" si="14"/>
        <v>0</v>
      </c>
      <c r="AR36" s="781">
        <f t="shared" si="15"/>
        <v>0</v>
      </c>
      <c r="AS36" s="783">
        <f t="shared" ca="1" si="16"/>
        <v>0</v>
      </c>
    </row>
    <row r="37" spans="1:45" ht="15" x14ac:dyDescent="0.25">
      <c r="A37" s="768"/>
      <c r="B37" s="719">
        <f t="shared" si="19"/>
        <v>29</v>
      </c>
      <c r="C37" s="170" t="str">
        <f t="shared" si="17"/>
        <v>99</v>
      </c>
      <c r="D37" s="557"/>
      <c r="E37" s="170"/>
      <c r="F37" s="170">
        <v>99</v>
      </c>
      <c r="G37" s="785"/>
      <c r="H37" s="770"/>
      <c r="I37" s="768"/>
      <c r="J37" s="770"/>
      <c r="K37" s="770"/>
      <c r="L37" s="170"/>
      <c r="M37" s="771">
        <v>0</v>
      </c>
      <c r="N37" s="772">
        <v>1</v>
      </c>
      <c r="O37" s="773">
        <f t="shared" si="26"/>
        <v>0</v>
      </c>
      <c r="P37" s="768" t="s">
        <v>39</v>
      </c>
      <c r="Q37" s="768" t="s">
        <v>39</v>
      </c>
      <c r="R37" s="774" t="s">
        <v>73</v>
      </c>
      <c r="S37" s="775">
        <f ca="1">SUMIF('Data Input sheet'!$B$118:$D$180,R37,'Data Input sheet'!$D$118:$D$180)</f>
        <v>119</v>
      </c>
      <c r="T37" s="776">
        <f t="shared" ca="1" si="27"/>
        <v>0</v>
      </c>
      <c r="U37" s="1992"/>
      <c r="V37" s="778">
        <f t="shared" si="18"/>
        <v>0</v>
      </c>
      <c r="W37" s="772"/>
      <c r="X37" s="779"/>
      <c r="Y37" s="776">
        <v>0</v>
      </c>
      <c r="Z37" s="780">
        <f t="shared" ca="1" si="28"/>
        <v>0</v>
      </c>
      <c r="AA37" s="769"/>
      <c r="AB37" s="769"/>
      <c r="AC37" s="765">
        <f t="shared" si="0"/>
        <v>0</v>
      </c>
      <c r="AD37" s="781">
        <f t="shared" si="1"/>
        <v>0</v>
      </c>
      <c r="AE37" s="781">
        <f t="shared" si="2"/>
        <v>0</v>
      </c>
      <c r="AF37" s="781">
        <f t="shared" si="3"/>
        <v>0</v>
      </c>
      <c r="AG37" s="781">
        <f t="shared" si="4"/>
        <v>0</v>
      </c>
      <c r="AH37" s="781">
        <f t="shared" ca="1" si="5"/>
        <v>0</v>
      </c>
      <c r="AI37" s="782">
        <f t="shared" ca="1" si="6"/>
        <v>0</v>
      </c>
      <c r="AJ37" s="781">
        <f t="shared" si="7"/>
        <v>0</v>
      </c>
      <c r="AK37" s="781">
        <f t="shared" si="8"/>
        <v>0</v>
      </c>
      <c r="AL37" s="781">
        <f t="shared" si="9"/>
        <v>0</v>
      </c>
      <c r="AM37" s="781">
        <f t="shared" si="10"/>
        <v>0</v>
      </c>
      <c r="AN37" s="781">
        <f t="shared" si="11"/>
        <v>0</v>
      </c>
      <c r="AO37" s="781">
        <f t="shared" si="12"/>
        <v>0</v>
      </c>
      <c r="AP37" s="781">
        <f t="shared" si="13"/>
        <v>0</v>
      </c>
      <c r="AQ37" s="781">
        <f t="shared" si="14"/>
        <v>0</v>
      </c>
      <c r="AR37" s="781">
        <f t="shared" si="15"/>
        <v>0</v>
      </c>
      <c r="AS37" s="783">
        <f t="shared" ca="1" si="16"/>
        <v>0</v>
      </c>
    </row>
    <row r="38" spans="1:45" ht="15" x14ac:dyDescent="0.25">
      <c r="A38" s="768"/>
      <c r="B38" s="719">
        <f t="shared" si="19"/>
        <v>30</v>
      </c>
      <c r="C38" s="170" t="str">
        <f t="shared" si="17"/>
        <v>99</v>
      </c>
      <c r="D38" s="557"/>
      <c r="E38" s="170"/>
      <c r="F38" s="170">
        <v>99</v>
      </c>
      <c r="G38" s="785"/>
      <c r="H38" s="770"/>
      <c r="I38" s="768"/>
      <c r="J38" s="770"/>
      <c r="K38" s="770"/>
      <c r="L38" s="170"/>
      <c r="M38" s="771">
        <v>0</v>
      </c>
      <c r="N38" s="772">
        <v>1</v>
      </c>
      <c r="O38" s="773">
        <f t="shared" si="26"/>
        <v>0</v>
      </c>
      <c r="P38" s="768" t="s">
        <v>39</v>
      </c>
      <c r="Q38" s="768" t="s">
        <v>39</v>
      </c>
      <c r="R38" s="774" t="s">
        <v>73</v>
      </c>
      <c r="S38" s="775">
        <f ca="1">SUMIF('Data Input sheet'!$B$118:$D$180,R38,'Data Input sheet'!$D$118:$D$180)</f>
        <v>119</v>
      </c>
      <c r="T38" s="776">
        <f t="shared" ca="1" si="27"/>
        <v>0</v>
      </c>
      <c r="U38" s="1992"/>
      <c r="V38" s="778">
        <f t="shared" si="18"/>
        <v>0</v>
      </c>
      <c r="W38" s="772"/>
      <c r="X38" s="779"/>
      <c r="Y38" s="776">
        <v>0</v>
      </c>
      <c r="Z38" s="780">
        <f t="shared" ca="1" si="28"/>
        <v>0</v>
      </c>
      <c r="AA38" s="769"/>
      <c r="AB38" s="769"/>
      <c r="AC38" s="765">
        <f t="shared" si="0"/>
        <v>0</v>
      </c>
      <c r="AD38" s="781">
        <f t="shared" si="1"/>
        <v>0</v>
      </c>
      <c r="AE38" s="781">
        <f t="shared" si="2"/>
        <v>0</v>
      </c>
      <c r="AF38" s="781">
        <f t="shared" si="3"/>
        <v>0</v>
      </c>
      <c r="AG38" s="781">
        <f t="shared" si="4"/>
        <v>0</v>
      </c>
      <c r="AH38" s="781">
        <f t="shared" ca="1" si="5"/>
        <v>0</v>
      </c>
      <c r="AI38" s="782">
        <f t="shared" ca="1" si="6"/>
        <v>0</v>
      </c>
      <c r="AJ38" s="781">
        <f t="shared" si="7"/>
        <v>0</v>
      </c>
      <c r="AK38" s="781">
        <f t="shared" si="8"/>
        <v>0</v>
      </c>
      <c r="AL38" s="781">
        <f t="shared" si="9"/>
        <v>0</v>
      </c>
      <c r="AM38" s="781">
        <f t="shared" si="10"/>
        <v>0</v>
      </c>
      <c r="AN38" s="781">
        <f t="shared" si="11"/>
        <v>0</v>
      </c>
      <c r="AO38" s="781">
        <f t="shared" si="12"/>
        <v>0</v>
      </c>
      <c r="AP38" s="781">
        <f t="shared" si="13"/>
        <v>0</v>
      </c>
      <c r="AQ38" s="781">
        <f t="shared" si="14"/>
        <v>0</v>
      </c>
      <c r="AR38" s="781">
        <f t="shared" si="15"/>
        <v>0</v>
      </c>
      <c r="AS38" s="783">
        <f t="shared" ca="1" si="16"/>
        <v>0</v>
      </c>
    </row>
    <row r="39" spans="1:45" ht="15" x14ac:dyDescent="0.25">
      <c r="A39" s="768"/>
      <c r="B39" s="719">
        <f t="shared" si="19"/>
        <v>31</v>
      </c>
      <c r="C39" s="170" t="str">
        <f t="shared" si="17"/>
        <v>99</v>
      </c>
      <c r="D39" s="557"/>
      <c r="E39" s="170"/>
      <c r="F39" s="170">
        <v>99</v>
      </c>
      <c r="G39" s="785"/>
      <c r="H39" s="770"/>
      <c r="I39" s="768"/>
      <c r="J39" s="770"/>
      <c r="K39" s="770"/>
      <c r="L39" s="170"/>
      <c r="M39" s="771">
        <v>0</v>
      </c>
      <c r="N39" s="772">
        <v>1</v>
      </c>
      <c r="O39" s="773">
        <f t="shared" si="26"/>
        <v>0</v>
      </c>
      <c r="P39" s="768" t="s">
        <v>39</v>
      </c>
      <c r="Q39" s="768" t="s">
        <v>39</v>
      </c>
      <c r="R39" s="774" t="s">
        <v>73</v>
      </c>
      <c r="S39" s="775">
        <f ca="1">SUMIF('Data Input sheet'!$B$118:$D$180,R39,'Data Input sheet'!$D$118:$D$180)</f>
        <v>119</v>
      </c>
      <c r="T39" s="776">
        <f t="shared" ca="1" si="27"/>
        <v>0</v>
      </c>
      <c r="U39" s="1992"/>
      <c r="V39" s="778">
        <f t="shared" si="18"/>
        <v>0</v>
      </c>
      <c r="W39" s="772"/>
      <c r="X39" s="779"/>
      <c r="Y39" s="776">
        <v>0</v>
      </c>
      <c r="Z39" s="780">
        <f t="shared" ca="1" si="28"/>
        <v>0</v>
      </c>
      <c r="AA39" s="769"/>
      <c r="AB39" s="769"/>
      <c r="AC39" s="765">
        <f t="shared" si="0"/>
        <v>0</v>
      </c>
      <c r="AD39" s="781">
        <f t="shared" si="1"/>
        <v>0</v>
      </c>
      <c r="AE39" s="781">
        <f t="shared" si="2"/>
        <v>0</v>
      </c>
      <c r="AF39" s="781">
        <f t="shared" si="3"/>
        <v>0</v>
      </c>
      <c r="AG39" s="781">
        <f t="shared" si="4"/>
        <v>0</v>
      </c>
      <c r="AH39" s="781">
        <f t="shared" ca="1" si="5"/>
        <v>0</v>
      </c>
      <c r="AI39" s="782">
        <f t="shared" ca="1" si="6"/>
        <v>0</v>
      </c>
      <c r="AJ39" s="781">
        <f t="shared" si="7"/>
        <v>0</v>
      </c>
      <c r="AK39" s="781">
        <f t="shared" si="8"/>
        <v>0</v>
      </c>
      <c r="AL39" s="781">
        <f t="shared" si="9"/>
        <v>0</v>
      </c>
      <c r="AM39" s="781">
        <f t="shared" si="10"/>
        <v>0</v>
      </c>
      <c r="AN39" s="781">
        <f t="shared" si="11"/>
        <v>0</v>
      </c>
      <c r="AO39" s="781">
        <f t="shared" si="12"/>
        <v>0</v>
      </c>
      <c r="AP39" s="781">
        <f t="shared" si="13"/>
        <v>0</v>
      </c>
      <c r="AQ39" s="781">
        <f t="shared" si="14"/>
        <v>0</v>
      </c>
      <c r="AR39" s="781">
        <f t="shared" si="15"/>
        <v>0</v>
      </c>
      <c r="AS39" s="783">
        <f t="shared" ca="1" si="16"/>
        <v>0</v>
      </c>
    </row>
    <row r="40" spans="1:45" ht="15" x14ac:dyDescent="0.25">
      <c r="A40" s="768"/>
      <c r="B40" s="719">
        <f t="shared" si="19"/>
        <v>32</v>
      </c>
      <c r="C40" s="170" t="str">
        <f t="shared" si="17"/>
        <v>99</v>
      </c>
      <c r="D40" s="557"/>
      <c r="E40" s="170"/>
      <c r="F40" s="170">
        <v>99</v>
      </c>
      <c r="G40" s="785"/>
      <c r="H40" s="770"/>
      <c r="I40" s="768"/>
      <c r="J40" s="770"/>
      <c r="K40" s="770"/>
      <c r="L40" s="170"/>
      <c r="M40" s="771">
        <v>0</v>
      </c>
      <c r="N40" s="772">
        <v>1</v>
      </c>
      <c r="O40" s="773">
        <f t="shared" si="26"/>
        <v>0</v>
      </c>
      <c r="P40" s="768" t="s">
        <v>39</v>
      </c>
      <c r="Q40" s="768" t="s">
        <v>39</v>
      </c>
      <c r="R40" s="774" t="s">
        <v>73</v>
      </c>
      <c r="S40" s="775">
        <f ca="1">SUMIF('Data Input sheet'!$B$118:$D$180,R40,'Data Input sheet'!$D$118:$D$180)</f>
        <v>119</v>
      </c>
      <c r="T40" s="776">
        <f t="shared" ca="1" si="27"/>
        <v>0</v>
      </c>
      <c r="U40" s="1992"/>
      <c r="V40" s="778">
        <f t="shared" si="18"/>
        <v>0</v>
      </c>
      <c r="W40" s="772"/>
      <c r="X40" s="779"/>
      <c r="Y40" s="776">
        <v>0</v>
      </c>
      <c r="Z40" s="780">
        <f t="shared" ca="1" si="28"/>
        <v>0</v>
      </c>
      <c r="AA40" s="769"/>
      <c r="AB40" s="769"/>
      <c r="AC40" s="765">
        <f t="shared" si="0"/>
        <v>0</v>
      </c>
      <c r="AD40" s="781">
        <f t="shared" si="1"/>
        <v>0</v>
      </c>
      <c r="AE40" s="781">
        <f t="shared" si="2"/>
        <v>0</v>
      </c>
      <c r="AF40" s="781">
        <f t="shared" si="3"/>
        <v>0</v>
      </c>
      <c r="AG40" s="781">
        <f t="shared" si="4"/>
        <v>0</v>
      </c>
      <c r="AH40" s="781">
        <f t="shared" ca="1" si="5"/>
        <v>0</v>
      </c>
      <c r="AI40" s="782">
        <f t="shared" ca="1" si="6"/>
        <v>0</v>
      </c>
      <c r="AJ40" s="781">
        <f t="shared" si="7"/>
        <v>0</v>
      </c>
      <c r="AK40" s="781">
        <f t="shared" si="8"/>
        <v>0</v>
      </c>
      <c r="AL40" s="781">
        <f t="shared" si="9"/>
        <v>0</v>
      </c>
      <c r="AM40" s="781">
        <f t="shared" si="10"/>
        <v>0</v>
      </c>
      <c r="AN40" s="781">
        <f t="shared" si="11"/>
        <v>0</v>
      </c>
      <c r="AO40" s="781">
        <f t="shared" si="12"/>
        <v>0</v>
      </c>
      <c r="AP40" s="781">
        <f t="shared" si="13"/>
        <v>0</v>
      </c>
      <c r="AQ40" s="781">
        <f t="shared" si="14"/>
        <v>0</v>
      </c>
      <c r="AR40" s="781">
        <f t="shared" si="15"/>
        <v>0</v>
      </c>
      <c r="AS40" s="783">
        <f t="shared" ca="1" si="16"/>
        <v>0</v>
      </c>
    </row>
    <row r="41" spans="1:45" ht="15" x14ac:dyDescent="0.25">
      <c r="A41" s="768"/>
      <c r="B41" s="719">
        <f t="shared" si="19"/>
        <v>33</v>
      </c>
      <c r="C41" s="170" t="str">
        <f t="shared" si="17"/>
        <v>99</v>
      </c>
      <c r="D41" s="557"/>
      <c r="E41" s="170"/>
      <c r="F41" s="170">
        <v>99</v>
      </c>
      <c r="G41" s="785"/>
      <c r="H41" s="770"/>
      <c r="I41" s="768"/>
      <c r="J41" s="770"/>
      <c r="K41" s="770"/>
      <c r="L41" s="170"/>
      <c r="M41" s="771">
        <v>0</v>
      </c>
      <c r="N41" s="772">
        <v>1</v>
      </c>
      <c r="O41" s="773">
        <f t="shared" si="26"/>
        <v>0</v>
      </c>
      <c r="P41" s="768" t="s">
        <v>39</v>
      </c>
      <c r="Q41" s="768" t="s">
        <v>39</v>
      </c>
      <c r="R41" s="774" t="s">
        <v>73</v>
      </c>
      <c r="S41" s="775">
        <f ca="1">SUMIF('Data Input sheet'!$B$118:$D$180,R41,'Data Input sheet'!$D$118:$D$180)</f>
        <v>119</v>
      </c>
      <c r="T41" s="776">
        <f t="shared" ca="1" si="27"/>
        <v>0</v>
      </c>
      <c r="U41" s="1992"/>
      <c r="V41" s="778">
        <f t="shared" si="18"/>
        <v>0</v>
      </c>
      <c r="W41" s="772"/>
      <c r="X41" s="779"/>
      <c r="Y41" s="776">
        <v>0</v>
      </c>
      <c r="Z41" s="780">
        <f t="shared" ca="1" si="28"/>
        <v>0</v>
      </c>
      <c r="AA41" s="769"/>
      <c r="AB41" s="769"/>
      <c r="AC41" s="765">
        <f t="shared" si="0"/>
        <v>0</v>
      </c>
      <c r="AD41" s="781">
        <f t="shared" ref="AD41:AD72" si="29">IF(P41="E",+ROUND(H41*O41,0),0)</f>
        <v>0</v>
      </c>
      <c r="AE41" s="781">
        <f t="shared" si="2"/>
        <v>0</v>
      </c>
      <c r="AF41" s="781">
        <f t="shared" ref="AF41:AF72" si="30">+H41*O41</f>
        <v>0</v>
      </c>
      <c r="AG41" s="781">
        <f t="shared" ref="AG41:AG72" si="31">IF(P41="E",+ROUND(T41*H41,0),0)</f>
        <v>0</v>
      </c>
      <c r="AH41" s="781">
        <f t="shared" ca="1" si="5"/>
        <v>0</v>
      </c>
      <c r="AI41" s="782">
        <f t="shared" ref="AI41:AI72" ca="1" si="32">+H41*T41</f>
        <v>0</v>
      </c>
      <c r="AJ41" s="781">
        <f t="shared" ref="AJ41:AJ72" si="33">IF(P41="E",+ROUND(V41*H41,0),0)</f>
        <v>0</v>
      </c>
      <c r="AK41" s="781">
        <f t="shared" si="8"/>
        <v>0</v>
      </c>
      <c r="AL41" s="781">
        <f t="shared" ref="AL41:AL72" si="34">ROUND(V41*H41,0)</f>
        <v>0</v>
      </c>
      <c r="AM41" s="781">
        <f t="shared" ref="AM41:AM72" si="35">IF(Q41="E",+ROUND(W41*H41,0),0)</f>
        <v>0</v>
      </c>
      <c r="AN41" s="781">
        <f t="shared" si="11"/>
        <v>0</v>
      </c>
      <c r="AO41" s="781">
        <f t="shared" ref="AO41:AO72" si="36">ROUND(W41*H41,0)</f>
        <v>0</v>
      </c>
      <c r="AP41" s="781">
        <f t="shared" ref="AP41:AP72" si="37">IF(P41="E",+ROUND(Y41*H41,0),0)</f>
        <v>0</v>
      </c>
      <c r="AQ41" s="781">
        <f t="shared" si="14"/>
        <v>0</v>
      </c>
      <c r="AR41" s="781">
        <f t="shared" ref="AR41:AR72" si="38">ROUND(Y41*H41,0)</f>
        <v>0</v>
      </c>
      <c r="AS41" s="783">
        <f t="shared" ca="1" si="16"/>
        <v>0</v>
      </c>
    </row>
    <row r="42" spans="1:45" ht="15" x14ac:dyDescent="0.25">
      <c r="A42" s="768"/>
      <c r="B42" s="719">
        <f t="shared" si="19"/>
        <v>34</v>
      </c>
      <c r="C42" s="170" t="str">
        <f t="shared" si="17"/>
        <v>99</v>
      </c>
      <c r="D42" s="557"/>
      <c r="E42" s="170"/>
      <c r="F42" s="170">
        <v>99</v>
      </c>
      <c r="G42" s="785"/>
      <c r="H42" s="770"/>
      <c r="I42" s="768"/>
      <c r="J42" s="770"/>
      <c r="K42" s="770"/>
      <c r="L42" s="170"/>
      <c r="M42" s="771">
        <v>0</v>
      </c>
      <c r="N42" s="772">
        <v>1</v>
      </c>
      <c r="O42" s="773">
        <f t="shared" si="26"/>
        <v>0</v>
      </c>
      <c r="P42" s="768" t="s">
        <v>39</v>
      </c>
      <c r="Q42" s="768" t="s">
        <v>39</v>
      </c>
      <c r="R42" s="774" t="s">
        <v>73</v>
      </c>
      <c r="S42" s="775">
        <f ca="1">SUMIF('Data Input sheet'!$B$118:$D$180,R42,'Data Input sheet'!$D$118:$D$180)</f>
        <v>119</v>
      </c>
      <c r="T42" s="776">
        <f t="shared" ca="1" si="27"/>
        <v>0</v>
      </c>
      <c r="U42" s="1992"/>
      <c r="V42" s="778">
        <f t="shared" si="18"/>
        <v>0</v>
      </c>
      <c r="W42" s="772"/>
      <c r="X42" s="779"/>
      <c r="Y42" s="776">
        <v>0</v>
      </c>
      <c r="Z42" s="780">
        <f t="shared" ca="1" si="28"/>
        <v>0</v>
      </c>
      <c r="AA42" s="769"/>
      <c r="AB42" s="769"/>
      <c r="AC42" s="765">
        <f t="shared" si="0"/>
        <v>0</v>
      </c>
      <c r="AD42" s="781">
        <f t="shared" si="29"/>
        <v>0</v>
      </c>
      <c r="AE42" s="781">
        <f t="shared" si="2"/>
        <v>0</v>
      </c>
      <c r="AF42" s="781">
        <f t="shared" si="30"/>
        <v>0</v>
      </c>
      <c r="AG42" s="781">
        <f t="shared" si="31"/>
        <v>0</v>
      </c>
      <c r="AH42" s="781">
        <f t="shared" ca="1" si="5"/>
        <v>0</v>
      </c>
      <c r="AI42" s="782">
        <f t="shared" ca="1" si="32"/>
        <v>0</v>
      </c>
      <c r="AJ42" s="781">
        <f t="shared" si="33"/>
        <v>0</v>
      </c>
      <c r="AK42" s="781">
        <f t="shared" si="8"/>
        <v>0</v>
      </c>
      <c r="AL42" s="781">
        <f t="shared" si="34"/>
        <v>0</v>
      </c>
      <c r="AM42" s="781">
        <f t="shared" si="35"/>
        <v>0</v>
      </c>
      <c r="AN42" s="781">
        <f t="shared" si="11"/>
        <v>0</v>
      </c>
      <c r="AO42" s="781">
        <f t="shared" si="36"/>
        <v>0</v>
      </c>
      <c r="AP42" s="781">
        <f t="shared" si="37"/>
        <v>0</v>
      </c>
      <c r="AQ42" s="781">
        <f t="shared" si="14"/>
        <v>0</v>
      </c>
      <c r="AR42" s="781">
        <f t="shared" si="38"/>
        <v>0</v>
      </c>
      <c r="AS42" s="783">
        <f t="shared" ca="1" si="16"/>
        <v>0</v>
      </c>
    </row>
    <row r="43" spans="1:45" ht="15" x14ac:dyDescent="0.25">
      <c r="A43" s="784"/>
      <c r="B43" s="719">
        <f t="shared" si="19"/>
        <v>35</v>
      </c>
      <c r="C43" s="170" t="str">
        <f t="shared" si="17"/>
        <v>99</v>
      </c>
      <c r="D43" s="557"/>
      <c r="E43" s="170"/>
      <c r="F43" s="170">
        <v>99</v>
      </c>
      <c r="G43" s="787"/>
      <c r="H43" s="784"/>
      <c r="I43" s="784"/>
      <c r="J43" s="784"/>
      <c r="K43" s="784"/>
      <c r="L43" s="170"/>
      <c r="M43" s="773"/>
      <c r="N43" s="773"/>
      <c r="O43" s="773"/>
      <c r="P43" s="788"/>
      <c r="Q43" s="788"/>
      <c r="R43" s="773"/>
      <c r="S43" s="773"/>
      <c r="T43" s="779"/>
      <c r="U43" s="1993"/>
      <c r="V43" s="778">
        <f t="shared" si="18"/>
        <v>0</v>
      </c>
      <c r="W43" s="778"/>
      <c r="X43" s="794"/>
      <c r="Y43" s="794"/>
      <c r="Z43" s="780"/>
      <c r="AA43" s="787"/>
      <c r="AB43" s="787"/>
      <c r="AC43" s="765">
        <f t="shared" si="0"/>
        <v>0</v>
      </c>
      <c r="AD43" s="781">
        <f t="shared" si="29"/>
        <v>0</v>
      </c>
      <c r="AE43" s="781">
        <f t="shared" si="2"/>
        <v>0</v>
      </c>
      <c r="AF43" s="781">
        <f t="shared" si="30"/>
        <v>0</v>
      </c>
      <c r="AG43" s="781">
        <f t="shared" si="31"/>
        <v>0</v>
      </c>
      <c r="AH43" s="781">
        <f t="shared" si="5"/>
        <v>0</v>
      </c>
      <c r="AI43" s="782">
        <f t="shared" si="32"/>
        <v>0</v>
      </c>
      <c r="AJ43" s="781">
        <f t="shared" si="33"/>
        <v>0</v>
      </c>
      <c r="AK43" s="781">
        <f t="shared" si="8"/>
        <v>0</v>
      </c>
      <c r="AL43" s="781">
        <f t="shared" si="34"/>
        <v>0</v>
      </c>
      <c r="AM43" s="781">
        <f t="shared" si="35"/>
        <v>0</v>
      </c>
      <c r="AN43" s="781">
        <f t="shared" si="11"/>
        <v>0</v>
      </c>
      <c r="AO43" s="781">
        <f t="shared" si="36"/>
        <v>0</v>
      </c>
      <c r="AP43" s="781">
        <f t="shared" si="37"/>
        <v>0</v>
      </c>
      <c r="AQ43" s="781">
        <f t="shared" si="14"/>
        <v>0</v>
      </c>
      <c r="AR43" s="781">
        <f t="shared" si="38"/>
        <v>0</v>
      </c>
      <c r="AS43" s="783">
        <f t="shared" si="16"/>
        <v>0</v>
      </c>
    </row>
    <row r="44" spans="1:45" ht="15" x14ac:dyDescent="0.25">
      <c r="A44" s="784"/>
      <c r="B44" s="719">
        <f t="shared" si="19"/>
        <v>36</v>
      </c>
      <c r="C44" s="170" t="str">
        <f t="shared" si="17"/>
        <v>99</v>
      </c>
      <c r="D44" s="557"/>
      <c r="E44" s="170"/>
      <c r="F44" s="170">
        <v>99</v>
      </c>
      <c r="G44" s="787"/>
      <c r="H44" s="784"/>
      <c r="I44" s="784"/>
      <c r="J44" s="784"/>
      <c r="K44" s="784"/>
      <c r="L44" s="170"/>
      <c r="M44" s="773"/>
      <c r="N44" s="773"/>
      <c r="O44" s="773"/>
      <c r="P44" s="788"/>
      <c r="Q44" s="788"/>
      <c r="R44" s="773"/>
      <c r="S44" s="773"/>
      <c r="T44" s="779"/>
      <c r="U44" s="1993"/>
      <c r="V44" s="778">
        <f t="shared" si="18"/>
        <v>0</v>
      </c>
      <c r="W44" s="778"/>
      <c r="X44" s="794"/>
      <c r="Y44" s="794"/>
      <c r="Z44" s="780"/>
      <c r="AA44" s="787"/>
      <c r="AB44" s="787"/>
      <c r="AC44" s="765">
        <f t="shared" si="0"/>
        <v>0</v>
      </c>
      <c r="AD44" s="781">
        <f t="shared" si="29"/>
        <v>0</v>
      </c>
      <c r="AE44" s="781">
        <f t="shared" si="2"/>
        <v>0</v>
      </c>
      <c r="AF44" s="781">
        <f t="shared" si="30"/>
        <v>0</v>
      </c>
      <c r="AG44" s="781">
        <f t="shared" si="31"/>
        <v>0</v>
      </c>
      <c r="AH44" s="781">
        <f t="shared" si="5"/>
        <v>0</v>
      </c>
      <c r="AI44" s="782">
        <f t="shared" si="32"/>
        <v>0</v>
      </c>
      <c r="AJ44" s="781">
        <f t="shared" si="33"/>
        <v>0</v>
      </c>
      <c r="AK44" s="781">
        <f t="shared" si="8"/>
        <v>0</v>
      </c>
      <c r="AL44" s="781">
        <f t="shared" si="34"/>
        <v>0</v>
      </c>
      <c r="AM44" s="781">
        <f t="shared" si="35"/>
        <v>0</v>
      </c>
      <c r="AN44" s="781">
        <f t="shared" si="11"/>
        <v>0</v>
      </c>
      <c r="AO44" s="781">
        <f t="shared" si="36"/>
        <v>0</v>
      </c>
      <c r="AP44" s="781">
        <f t="shared" si="37"/>
        <v>0</v>
      </c>
      <c r="AQ44" s="781">
        <f t="shared" si="14"/>
        <v>0</v>
      </c>
      <c r="AR44" s="781">
        <f t="shared" si="38"/>
        <v>0</v>
      </c>
      <c r="AS44" s="783">
        <f t="shared" si="16"/>
        <v>0</v>
      </c>
    </row>
    <row r="45" spans="1:45" ht="15" x14ac:dyDescent="0.25">
      <c r="A45" s="768"/>
      <c r="B45" s="719">
        <f t="shared" si="19"/>
        <v>37</v>
      </c>
      <c r="C45" s="170" t="str">
        <f t="shared" si="17"/>
        <v>99</v>
      </c>
      <c r="D45" s="557"/>
      <c r="E45" s="170"/>
      <c r="F45" s="170">
        <v>99</v>
      </c>
      <c r="G45" s="785"/>
      <c r="H45" s="770"/>
      <c r="I45" s="768"/>
      <c r="J45" s="770"/>
      <c r="K45" s="770"/>
      <c r="L45" s="170"/>
      <c r="M45" s="771">
        <v>0</v>
      </c>
      <c r="N45" s="772">
        <v>1</v>
      </c>
      <c r="O45" s="773">
        <f t="shared" ref="O45:O66" si="39">+M45*N45</f>
        <v>0</v>
      </c>
      <c r="P45" s="768" t="s">
        <v>39</v>
      </c>
      <c r="Q45" s="768" t="s">
        <v>39</v>
      </c>
      <c r="R45" s="774" t="s">
        <v>73</v>
      </c>
      <c r="S45" s="775">
        <f ca="1">SUMIF('Data Input sheet'!$B$118:$D$180,R45,'Data Input sheet'!$D$118:$D$180)</f>
        <v>119</v>
      </c>
      <c r="T45" s="776">
        <f t="shared" ref="T45:T66" ca="1" si="40">+O45*S45</f>
        <v>0</v>
      </c>
      <c r="U45" s="1992"/>
      <c r="V45" s="778">
        <f t="shared" si="18"/>
        <v>0</v>
      </c>
      <c r="W45" s="772"/>
      <c r="X45" s="779"/>
      <c r="Y45" s="776">
        <v>0</v>
      </c>
      <c r="Z45" s="780">
        <f t="shared" ref="Z45:Z66" ca="1" si="41">T45+V45+W45+Y45</f>
        <v>0</v>
      </c>
      <c r="AA45" s="769"/>
      <c r="AB45" s="769"/>
      <c r="AC45" s="765">
        <f t="shared" si="0"/>
        <v>0</v>
      </c>
      <c r="AD45" s="781">
        <f t="shared" si="29"/>
        <v>0</v>
      </c>
      <c r="AE45" s="781">
        <f t="shared" si="2"/>
        <v>0</v>
      </c>
      <c r="AF45" s="781">
        <f t="shared" si="30"/>
        <v>0</v>
      </c>
      <c r="AG45" s="781">
        <f t="shared" si="31"/>
        <v>0</v>
      </c>
      <c r="AH45" s="781">
        <f t="shared" ca="1" si="5"/>
        <v>0</v>
      </c>
      <c r="AI45" s="782">
        <f t="shared" ca="1" si="32"/>
        <v>0</v>
      </c>
      <c r="AJ45" s="781">
        <f t="shared" si="33"/>
        <v>0</v>
      </c>
      <c r="AK45" s="781">
        <f t="shared" si="8"/>
        <v>0</v>
      </c>
      <c r="AL45" s="781">
        <f t="shared" si="34"/>
        <v>0</v>
      </c>
      <c r="AM45" s="781">
        <f t="shared" si="35"/>
        <v>0</v>
      </c>
      <c r="AN45" s="781">
        <f t="shared" si="11"/>
        <v>0</v>
      </c>
      <c r="AO45" s="781">
        <f t="shared" si="36"/>
        <v>0</v>
      </c>
      <c r="AP45" s="781">
        <f t="shared" si="37"/>
        <v>0</v>
      </c>
      <c r="AQ45" s="781">
        <f t="shared" si="14"/>
        <v>0</v>
      </c>
      <c r="AR45" s="781">
        <f t="shared" si="38"/>
        <v>0</v>
      </c>
      <c r="AS45" s="783">
        <f t="shared" ca="1" si="16"/>
        <v>0</v>
      </c>
    </row>
    <row r="46" spans="1:45" ht="15" x14ac:dyDescent="0.25">
      <c r="A46" s="768"/>
      <c r="B46" s="719">
        <f t="shared" si="19"/>
        <v>38</v>
      </c>
      <c r="C46" s="170" t="str">
        <f t="shared" si="17"/>
        <v>99</v>
      </c>
      <c r="D46" s="557"/>
      <c r="E46" s="170"/>
      <c r="F46" s="170">
        <v>99</v>
      </c>
      <c r="G46" s="785"/>
      <c r="H46" s="770"/>
      <c r="I46" s="768"/>
      <c r="J46" s="770"/>
      <c r="K46" s="770"/>
      <c r="L46" s="170"/>
      <c r="M46" s="771">
        <v>0</v>
      </c>
      <c r="N46" s="772">
        <v>1</v>
      </c>
      <c r="O46" s="773">
        <f t="shared" si="39"/>
        <v>0</v>
      </c>
      <c r="P46" s="768" t="s">
        <v>39</v>
      </c>
      <c r="Q46" s="768" t="s">
        <v>39</v>
      </c>
      <c r="R46" s="774" t="s">
        <v>73</v>
      </c>
      <c r="S46" s="775">
        <f ca="1">SUMIF('Data Input sheet'!$B$118:$D$180,R46,'Data Input sheet'!$D$118:$D$180)</f>
        <v>119</v>
      </c>
      <c r="T46" s="776">
        <f t="shared" ca="1" si="40"/>
        <v>0</v>
      </c>
      <c r="U46" s="1992"/>
      <c r="V46" s="778">
        <f t="shared" si="18"/>
        <v>0</v>
      </c>
      <c r="W46" s="772"/>
      <c r="X46" s="779"/>
      <c r="Y46" s="776">
        <v>0</v>
      </c>
      <c r="Z46" s="780">
        <f t="shared" ca="1" si="41"/>
        <v>0</v>
      </c>
      <c r="AA46" s="769"/>
      <c r="AB46" s="769"/>
      <c r="AC46" s="765">
        <f t="shared" si="0"/>
        <v>0</v>
      </c>
      <c r="AD46" s="781">
        <f t="shared" si="29"/>
        <v>0</v>
      </c>
      <c r="AE46" s="781">
        <f t="shared" si="2"/>
        <v>0</v>
      </c>
      <c r="AF46" s="781">
        <f t="shared" si="30"/>
        <v>0</v>
      </c>
      <c r="AG46" s="781">
        <f t="shared" si="31"/>
        <v>0</v>
      </c>
      <c r="AH46" s="781">
        <f t="shared" ca="1" si="5"/>
        <v>0</v>
      </c>
      <c r="AI46" s="782">
        <f t="shared" ca="1" si="32"/>
        <v>0</v>
      </c>
      <c r="AJ46" s="781">
        <f t="shared" si="33"/>
        <v>0</v>
      </c>
      <c r="AK46" s="781">
        <f t="shared" si="8"/>
        <v>0</v>
      </c>
      <c r="AL46" s="781">
        <f t="shared" si="34"/>
        <v>0</v>
      </c>
      <c r="AM46" s="781">
        <f t="shared" si="35"/>
        <v>0</v>
      </c>
      <c r="AN46" s="781">
        <f t="shared" si="11"/>
        <v>0</v>
      </c>
      <c r="AO46" s="781">
        <f t="shared" si="36"/>
        <v>0</v>
      </c>
      <c r="AP46" s="781">
        <f t="shared" si="37"/>
        <v>0</v>
      </c>
      <c r="AQ46" s="781">
        <f t="shared" si="14"/>
        <v>0</v>
      </c>
      <c r="AR46" s="781">
        <f t="shared" si="38"/>
        <v>0</v>
      </c>
      <c r="AS46" s="783">
        <f t="shared" ca="1" si="16"/>
        <v>0</v>
      </c>
    </row>
    <row r="47" spans="1:45" ht="15" x14ac:dyDescent="0.25">
      <c r="A47" s="768"/>
      <c r="B47" s="719">
        <f t="shared" si="19"/>
        <v>39</v>
      </c>
      <c r="C47" s="170" t="str">
        <f t="shared" si="17"/>
        <v>99</v>
      </c>
      <c r="D47" s="557"/>
      <c r="E47" s="170"/>
      <c r="F47" s="170">
        <v>99</v>
      </c>
      <c r="G47" s="785"/>
      <c r="H47" s="770"/>
      <c r="I47" s="768"/>
      <c r="J47" s="770"/>
      <c r="K47" s="770"/>
      <c r="L47" s="170"/>
      <c r="M47" s="771">
        <v>0</v>
      </c>
      <c r="N47" s="772">
        <v>1</v>
      </c>
      <c r="O47" s="773">
        <f t="shared" si="39"/>
        <v>0</v>
      </c>
      <c r="P47" s="768" t="s">
        <v>39</v>
      </c>
      <c r="Q47" s="768" t="s">
        <v>39</v>
      </c>
      <c r="R47" s="774" t="s">
        <v>73</v>
      </c>
      <c r="S47" s="775">
        <f ca="1">SUMIF('Data Input sheet'!$B$118:$D$180,R47,'Data Input sheet'!$D$118:$D$180)</f>
        <v>119</v>
      </c>
      <c r="T47" s="776">
        <f t="shared" ca="1" si="40"/>
        <v>0</v>
      </c>
      <c r="U47" s="1992"/>
      <c r="V47" s="778">
        <f t="shared" si="18"/>
        <v>0</v>
      </c>
      <c r="W47" s="772"/>
      <c r="X47" s="779"/>
      <c r="Y47" s="776">
        <v>0</v>
      </c>
      <c r="Z47" s="780">
        <f t="shared" ca="1" si="41"/>
        <v>0</v>
      </c>
      <c r="AA47" s="769"/>
      <c r="AB47" s="769"/>
      <c r="AC47" s="765">
        <f t="shared" si="0"/>
        <v>0</v>
      </c>
      <c r="AD47" s="781">
        <f t="shared" si="29"/>
        <v>0</v>
      </c>
      <c r="AE47" s="781">
        <f t="shared" si="2"/>
        <v>0</v>
      </c>
      <c r="AF47" s="781">
        <f t="shared" si="30"/>
        <v>0</v>
      </c>
      <c r="AG47" s="781">
        <f t="shared" si="31"/>
        <v>0</v>
      </c>
      <c r="AH47" s="781">
        <f t="shared" ca="1" si="5"/>
        <v>0</v>
      </c>
      <c r="AI47" s="782">
        <f t="shared" ca="1" si="32"/>
        <v>0</v>
      </c>
      <c r="AJ47" s="781">
        <f t="shared" si="33"/>
        <v>0</v>
      </c>
      <c r="AK47" s="781">
        <f t="shared" si="8"/>
        <v>0</v>
      </c>
      <c r="AL47" s="781">
        <f t="shared" si="34"/>
        <v>0</v>
      </c>
      <c r="AM47" s="781">
        <f t="shared" si="35"/>
        <v>0</v>
      </c>
      <c r="AN47" s="781">
        <f t="shared" si="11"/>
        <v>0</v>
      </c>
      <c r="AO47" s="781">
        <f t="shared" si="36"/>
        <v>0</v>
      </c>
      <c r="AP47" s="781">
        <f t="shared" si="37"/>
        <v>0</v>
      </c>
      <c r="AQ47" s="781">
        <f t="shared" si="14"/>
        <v>0</v>
      </c>
      <c r="AR47" s="781">
        <f t="shared" si="38"/>
        <v>0</v>
      </c>
      <c r="AS47" s="783">
        <f t="shared" ca="1" si="16"/>
        <v>0</v>
      </c>
    </row>
    <row r="48" spans="1:45" ht="15" x14ac:dyDescent="0.25">
      <c r="A48" s="768"/>
      <c r="B48" s="719">
        <f t="shared" si="19"/>
        <v>40</v>
      </c>
      <c r="C48" s="170" t="str">
        <f t="shared" si="17"/>
        <v>99</v>
      </c>
      <c r="D48" s="557"/>
      <c r="E48" s="170"/>
      <c r="F48" s="170">
        <v>99</v>
      </c>
      <c r="G48" s="785"/>
      <c r="H48" s="770"/>
      <c r="I48" s="768"/>
      <c r="J48" s="770"/>
      <c r="K48" s="770"/>
      <c r="L48" s="170"/>
      <c r="M48" s="771">
        <v>0</v>
      </c>
      <c r="N48" s="772">
        <v>1</v>
      </c>
      <c r="O48" s="773">
        <f t="shared" si="39"/>
        <v>0</v>
      </c>
      <c r="P48" s="768" t="s">
        <v>39</v>
      </c>
      <c r="Q48" s="768" t="s">
        <v>39</v>
      </c>
      <c r="R48" s="774" t="s">
        <v>73</v>
      </c>
      <c r="S48" s="775">
        <f ca="1">SUMIF('Data Input sheet'!$B$118:$D$180,R48,'Data Input sheet'!$D$118:$D$180)</f>
        <v>119</v>
      </c>
      <c r="T48" s="776">
        <f t="shared" ca="1" si="40"/>
        <v>0</v>
      </c>
      <c r="U48" s="1992"/>
      <c r="V48" s="778">
        <f t="shared" si="18"/>
        <v>0</v>
      </c>
      <c r="W48" s="772"/>
      <c r="X48" s="779"/>
      <c r="Y48" s="776">
        <v>0</v>
      </c>
      <c r="Z48" s="780">
        <f t="shared" ca="1" si="41"/>
        <v>0</v>
      </c>
      <c r="AA48" s="769"/>
      <c r="AB48" s="769"/>
      <c r="AC48" s="765">
        <f t="shared" si="0"/>
        <v>0</v>
      </c>
      <c r="AD48" s="781">
        <f t="shared" si="29"/>
        <v>0</v>
      </c>
      <c r="AE48" s="781">
        <f t="shared" si="2"/>
        <v>0</v>
      </c>
      <c r="AF48" s="781">
        <f t="shared" si="30"/>
        <v>0</v>
      </c>
      <c r="AG48" s="781">
        <f t="shared" si="31"/>
        <v>0</v>
      </c>
      <c r="AH48" s="781">
        <f t="shared" ca="1" si="5"/>
        <v>0</v>
      </c>
      <c r="AI48" s="782">
        <f t="shared" ca="1" si="32"/>
        <v>0</v>
      </c>
      <c r="AJ48" s="781">
        <f t="shared" si="33"/>
        <v>0</v>
      </c>
      <c r="AK48" s="781">
        <f t="shared" si="8"/>
        <v>0</v>
      </c>
      <c r="AL48" s="781">
        <f t="shared" si="34"/>
        <v>0</v>
      </c>
      <c r="AM48" s="781">
        <f t="shared" si="35"/>
        <v>0</v>
      </c>
      <c r="AN48" s="781">
        <f t="shared" si="11"/>
        <v>0</v>
      </c>
      <c r="AO48" s="781">
        <f t="shared" si="36"/>
        <v>0</v>
      </c>
      <c r="AP48" s="781">
        <f t="shared" si="37"/>
        <v>0</v>
      </c>
      <c r="AQ48" s="781">
        <f t="shared" si="14"/>
        <v>0</v>
      </c>
      <c r="AR48" s="781">
        <f t="shared" si="38"/>
        <v>0</v>
      </c>
      <c r="AS48" s="783">
        <f t="shared" ca="1" si="16"/>
        <v>0</v>
      </c>
    </row>
    <row r="49" spans="1:45" ht="15" x14ac:dyDescent="0.25">
      <c r="A49" s="768"/>
      <c r="B49" s="719">
        <f t="shared" si="19"/>
        <v>41</v>
      </c>
      <c r="C49" s="170" t="str">
        <f t="shared" si="17"/>
        <v>99</v>
      </c>
      <c r="D49" s="557"/>
      <c r="E49" s="170"/>
      <c r="F49" s="170">
        <v>99</v>
      </c>
      <c r="G49" s="785"/>
      <c r="H49" s="770"/>
      <c r="I49" s="768"/>
      <c r="J49" s="770"/>
      <c r="K49" s="770"/>
      <c r="L49" s="170"/>
      <c r="M49" s="771">
        <v>0</v>
      </c>
      <c r="N49" s="772">
        <v>1</v>
      </c>
      <c r="O49" s="773">
        <f t="shared" si="39"/>
        <v>0</v>
      </c>
      <c r="P49" s="768" t="s">
        <v>39</v>
      </c>
      <c r="Q49" s="768" t="s">
        <v>39</v>
      </c>
      <c r="R49" s="774" t="s">
        <v>73</v>
      </c>
      <c r="S49" s="775">
        <f ca="1">SUMIF('Data Input sheet'!$B$118:$D$180,R49,'Data Input sheet'!$D$118:$D$180)</f>
        <v>119</v>
      </c>
      <c r="T49" s="776">
        <f t="shared" ca="1" si="40"/>
        <v>0</v>
      </c>
      <c r="U49" s="1992"/>
      <c r="V49" s="778">
        <f t="shared" si="18"/>
        <v>0</v>
      </c>
      <c r="W49" s="772"/>
      <c r="X49" s="779"/>
      <c r="Y49" s="776">
        <v>0</v>
      </c>
      <c r="Z49" s="780">
        <f t="shared" ca="1" si="41"/>
        <v>0</v>
      </c>
      <c r="AA49" s="769"/>
      <c r="AB49" s="769"/>
      <c r="AC49" s="765">
        <f t="shared" si="0"/>
        <v>0</v>
      </c>
      <c r="AD49" s="781">
        <f t="shared" si="29"/>
        <v>0</v>
      </c>
      <c r="AE49" s="781">
        <f t="shared" si="2"/>
        <v>0</v>
      </c>
      <c r="AF49" s="781">
        <f t="shared" si="30"/>
        <v>0</v>
      </c>
      <c r="AG49" s="781">
        <f t="shared" si="31"/>
        <v>0</v>
      </c>
      <c r="AH49" s="781">
        <f t="shared" ca="1" si="5"/>
        <v>0</v>
      </c>
      <c r="AI49" s="782">
        <f t="shared" ca="1" si="32"/>
        <v>0</v>
      </c>
      <c r="AJ49" s="781">
        <f t="shared" si="33"/>
        <v>0</v>
      </c>
      <c r="AK49" s="781">
        <f t="shared" si="8"/>
        <v>0</v>
      </c>
      <c r="AL49" s="781">
        <f t="shared" si="34"/>
        <v>0</v>
      </c>
      <c r="AM49" s="781">
        <f t="shared" si="35"/>
        <v>0</v>
      </c>
      <c r="AN49" s="781">
        <f t="shared" si="11"/>
        <v>0</v>
      </c>
      <c r="AO49" s="781">
        <f t="shared" si="36"/>
        <v>0</v>
      </c>
      <c r="AP49" s="781">
        <f t="shared" si="37"/>
        <v>0</v>
      </c>
      <c r="AQ49" s="781">
        <f t="shared" si="14"/>
        <v>0</v>
      </c>
      <c r="AR49" s="781">
        <f t="shared" si="38"/>
        <v>0</v>
      </c>
      <c r="AS49" s="783">
        <f t="shared" ca="1" si="16"/>
        <v>0</v>
      </c>
    </row>
    <row r="50" spans="1:45" ht="15" x14ac:dyDescent="0.25">
      <c r="A50" s="768"/>
      <c r="B50" s="719">
        <f t="shared" si="19"/>
        <v>42</v>
      </c>
      <c r="C50" s="170" t="str">
        <f t="shared" si="17"/>
        <v>99</v>
      </c>
      <c r="D50" s="557"/>
      <c r="E50" s="170"/>
      <c r="F50" s="170">
        <v>99</v>
      </c>
      <c r="G50" s="785"/>
      <c r="H50" s="770"/>
      <c r="I50" s="768"/>
      <c r="J50" s="770"/>
      <c r="K50" s="770"/>
      <c r="L50" s="170"/>
      <c r="M50" s="771">
        <v>0</v>
      </c>
      <c r="N50" s="772">
        <v>1</v>
      </c>
      <c r="O50" s="773">
        <f t="shared" si="39"/>
        <v>0</v>
      </c>
      <c r="P50" s="768" t="s">
        <v>39</v>
      </c>
      <c r="Q50" s="768" t="s">
        <v>39</v>
      </c>
      <c r="R50" s="774" t="s">
        <v>73</v>
      </c>
      <c r="S50" s="775">
        <f ca="1">SUMIF('Data Input sheet'!$B$118:$D$180,R50,'Data Input sheet'!$D$118:$D$180)</f>
        <v>119</v>
      </c>
      <c r="T50" s="776">
        <f t="shared" ca="1" si="40"/>
        <v>0</v>
      </c>
      <c r="U50" s="1992"/>
      <c r="V50" s="778">
        <f t="shared" si="18"/>
        <v>0</v>
      </c>
      <c r="W50" s="772"/>
      <c r="X50" s="779"/>
      <c r="Y50" s="776">
        <v>0</v>
      </c>
      <c r="Z50" s="780">
        <f t="shared" ca="1" si="41"/>
        <v>0</v>
      </c>
      <c r="AA50" s="769"/>
      <c r="AB50" s="769"/>
      <c r="AC50" s="765">
        <f t="shared" si="0"/>
        <v>0</v>
      </c>
      <c r="AD50" s="781">
        <f t="shared" si="29"/>
        <v>0</v>
      </c>
      <c r="AE50" s="781">
        <f t="shared" si="2"/>
        <v>0</v>
      </c>
      <c r="AF50" s="781">
        <f t="shared" si="30"/>
        <v>0</v>
      </c>
      <c r="AG50" s="781">
        <f t="shared" si="31"/>
        <v>0</v>
      </c>
      <c r="AH50" s="781">
        <f t="shared" ca="1" si="5"/>
        <v>0</v>
      </c>
      <c r="AI50" s="782">
        <f t="shared" ca="1" si="32"/>
        <v>0</v>
      </c>
      <c r="AJ50" s="781">
        <f t="shared" si="33"/>
        <v>0</v>
      </c>
      <c r="AK50" s="781">
        <f t="shared" si="8"/>
        <v>0</v>
      </c>
      <c r="AL50" s="781">
        <f t="shared" si="34"/>
        <v>0</v>
      </c>
      <c r="AM50" s="781">
        <f t="shared" si="35"/>
        <v>0</v>
      </c>
      <c r="AN50" s="781">
        <f t="shared" si="11"/>
        <v>0</v>
      </c>
      <c r="AO50" s="781">
        <f t="shared" si="36"/>
        <v>0</v>
      </c>
      <c r="AP50" s="781">
        <f t="shared" si="37"/>
        <v>0</v>
      </c>
      <c r="AQ50" s="781">
        <f t="shared" si="14"/>
        <v>0</v>
      </c>
      <c r="AR50" s="781">
        <f t="shared" si="38"/>
        <v>0</v>
      </c>
      <c r="AS50" s="783">
        <f t="shared" ca="1" si="16"/>
        <v>0</v>
      </c>
    </row>
    <row r="51" spans="1:45" ht="15" x14ac:dyDescent="0.25">
      <c r="A51" s="768"/>
      <c r="B51" s="719">
        <f t="shared" si="19"/>
        <v>43</v>
      </c>
      <c r="C51" s="170" t="str">
        <f t="shared" si="17"/>
        <v>99</v>
      </c>
      <c r="D51" s="557"/>
      <c r="E51" s="170"/>
      <c r="F51" s="170">
        <v>99</v>
      </c>
      <c r="G51" s="785"/>
      <c r="H51" s="770"/>
      <c r="I51" s="768"/>
      <c r="J51" s="770"/>
      <c r="K51" s="770"/>
      <c r="L51" s="170"/>
      <c r="M51" s="771">
        <v>0</v>
      </c>
      <c r="N51" s="772">
        <v>1</v>
      </c>
      <c r="O51" s="773">
        <f t="shared" si="39"/>
        <v>0</v>
      </c>
      <c r="P51" s="768" t="s">
        <v>39</v>
      </c>
      <c r="Q51" s="768" t="s">
        <v>39</v>
      </c>
      <c r="R51" s="774" t="s">
        <v>73</v>
      </c>
      <c r="S51" s="775">
        <f ca="1">SUMIF('Data Input sheet'!$B$118:$D$180,R51,'Data Input sheet'!$D$118:$D$180)</f>
        <v>119</v>
      </c>
      <c r="T51" s="776">
        <f t="shared" ca="1" si="40"/>
        <v>0</v>
      </c>
      <c r="U51" s="1992"/>
      <c r="V51" s="778">
        <f t="shared" si="18"/>
        <v>0</v>
      </c>
      <c r="W51" s="772"/>
      <c r="X51" s="779"/>
      <c r="Y51" s="776">
        <v>0</v>
      </c>
      <c r="Z51" s="780">
        <f t="shared" ca="1" si="41"/>
        <v>0</v>
      </c>
      <c r="AA51" s="769"/>
      <c r="AB51" s="769"/>
      <c r="AC51" s="765">
        <f t="shared" si="0"/>
        <v>0</v>
      </c>
      <c r="AD51" s="781">
        <f t="shared" si="29"/>
        <v>0</v>
      </c>
      <c r="AE51" s="781">
        <f t="shared" si="2"/>
        <v>0</v>
      </c>
      <c r="AF51" s="781">
        <f t="shared" si="30"/>
        <v>0</v>
      </c>
      <c r="AG51" s="781">
        <f t="shared" si="31"/>
        <v>0</v>
      </c>
      <c r="AH51" s="781">
        <f t="shared" ca="1" si="5"/>
        <v>0</v>
      </c>
      <c r="AI51" s="782">
        <f t="shared" ca="1" si="32"/>
        <v>0</v>
      </c>
      <c r="AJ51" s="781">
        <f t="shared" si="33"/>
        <v>0</v>
      </c>
      <c r="AK51" s="781">
        <f t="shared" si="8"/>
        <v>0</v>
      </c>
      <c r="AL51" s="781">
        <f t="shared" si="34"/>
        <v>0</v>
      </c>
      <c r="AM51" s="781">
        <f t="shared" si="35"/>
        <v>0</v>
      </c>
      <c r="AN51" s="781">
        <f t="shared" si="11"/>
        <v>0</v>
      </c>
      <c r="AO51" s="781">
        <f t="shared" si="36"/>
        <v>0</v>
      </c>
      <c r="AP51" s="781">
        <f t="shared" si="37"/>
        <v>0</v>
      </c>
      <c r="AQ51" s="781">
        <f t="shared" si="14"/>
        <v>0</v>
      </c>
      <c r="AR51" s="781">
        <f t="shared" si="38"/>
        <v>0</v>
      </c>
      <c r="AS51" s="783">
        <f t="shared" ca="1" si="16"/>
        <v>0</v>
      </c>
    </row>
    <row r="52" spans="1:45" ht="15" x14ac:dyDescent="0.25">
      <c r="A52" s="768"/>
      <c r="B52" s="719">
        <f t="shared" si="19"/>
        <v>44</v>
      </c>
      <c r="C52" s="170" t="str">
        <f t="shared" si="17"/>
        <v>99</v>
      </c>
      <c r="D52" s="557"/>
      <c r="E52" s="170"/>
      <c r="F52" s="170">
        <v>99</v>
      </c>
      <c r="G52" s="785"/>
      <c r="H52" s="770"/>
      <c r="I52" s="768"/>
      <c r="J52" s="770"/>
      <c r="K52" s="770"/>
      <c r="L52" s="170"/>
      <c r="M52" s="771">
        <v>0</v>
      </c>
      <c r="N52" s="772">
        <v>1</v>
      </c>
      <c r="O52" s="773">
        <f t="shared" si="39"/>
        <v>0</v>
      </c>
      <c r="P52" s="768" t="s">
        <v>39</v>
      </c>
      <c r="Q52" s="768" t="s">
        <v>39</v>
      </c>
      <c r="R52" s="774" t="s">
        <v>73</v>
      </c>
      <c r="S52" s="775">
        <f ca="1">SUMIF('Data Input sheet'!$B$118:$D$180,R52,'Data Input sheet'!$D$118:$D$180)</f>
        <v>119</v>
      </c>
      <c r="T52" s="776">
        <f t="shared" ca="1" si="40"/>
        <v>0</v>
      </c>
      <c r="U52" s="1992"/>
      <c r="V52" s="778">
        <f t="shared" si="18"/>
        <v>0</v>
      </c>
      <c r="W52" s="772"/>
      <c r="X52" s="779"/>
      <c r="Y52" s="776">
        <v>0</v>
      </c>
      <c r="Z52" s="780">
        <f t="shared" ca="1" si="41"/>
        <v>0</v>
      </c>
      <c r="AA52" s="769"/>
      <c r="AB52" s="769"/>
      <c r="AC52" s="765">
        <f t="shared" si="0"/>
        <v>0</v>
      </c>
      <c r="AD52" s="781">
        <f t="shared" si="29"/>
        <v>0</v>
      </c>
      <c r="AE52" s="781">
        <f t="shared" si="2"/>
        <v>0</v>
      </c>
      <c r="AF52" s="781">
        <f t="shared" si="30"/>
        <v>0</v>
      </c>
      <c r="AG52" s="781">
        <f t="shared" si="31"/>
        <v>0</v>
      </c>
      <c r="AH52" s="781">
        <f t="shared" ca="1" si="5"/>
        <v>0</v>
      </c>
      <c r="AI52" s="782">
        <f t="shared" ca="1" si="32"/>
        <v>0</v>
      </c>
      <c r="AJ52" s="781">
        <f t="shared" si="33"/>
        <v>0</v>
      </c>
      <c r="AK52" s="781">
        <f t="shared" si="8"/>
        <v>0</v>
      </c>
      <c r="AL52" s="781">
        <f t="shared" si="34"/>
        <v>0</v>
      </c>
      <c r="AM52" s="781">
        <f t="shared" si="35"/>
        <v>0</v>
      </c>
      <c r="AN52" s="781">
        <f t="shared" si="11"/>
        <v>0</v>
      </c>
      <c r="AO52" s="781">
        <f t="shared" si="36"/>
        <v>0</v>
      </c>
      <c r="AP52" s="781">
        <f t="shared" si="37"/>
        <v>0</v>
      </c>
      <c r="AQ52" s="781">
        <f t="shared" si="14"/>
        <v>0</v>
      </c>
      <c r="AR52" s="781">
        <f t="shared" si="38"/>
        <v>0</v>
      </c>
      <c r="AS52" s="783">
        <f t="shared" ca="1" si="16"/>
        <v>0</v>
      </c>
    </row>
    <row r="53" spans="1:45" ht="15" x14ac:dyDescent="0.25">
      <c r="A53" s="768"/>
      <c r="B53" s="719">
        <f t="shared" si="19"/>
        <v>45</v>
      </c>
      <c r="C53" s="170" t="str">
        <f t="shared" si="17"/>
        <v>99</v>
      </c>
      <c r="D53" s="557"/>
      <c r="E53" s="170"/>
      <c r="F53" s="170">
        <v>99</v>
      </c>
      <c r="G53" s="785"/>
      <c r="H53" s="770"/>
      <c r="I53" s="768"/>
      <c r="J53" s="770"/>
      <c r="K53" s="770"/>
      <c r="L53" s="170"/>
      <c r="M53" s="771">
        <v>0</v>
      </c>
      <c r="N53" s="772">
        <v>1</v>
      </c>
      <c r="O53" s="773">
        <f t="shared" si="39"/>
        <v>0</v>
      </c>
      <c r="P53" s="768" t="s">
        <v>39</v>
      </c>
      <c r="Q53" s="768" t="s">
        <v>39</v>
      </c>
      <c r="R53" s="774" t="s">
        <v>73</v>
      </c>
      <c r="S53" s="775">
        <f ca="1">SUMIF('Data Input sheet'!$B$118:$D$180,R53,'Data Input sheet'!$D$118:$D$180)</f>
        <v>119</v>
      </c>
      <c r="T53" s="776">
        <f t="shared" ca="1" si="40"/>
        <v>0</v>
      </c>
      <c r="U53" s="1992"/>
      <c r="V53" s="778">
        <f t="shared" si="18"/>
        <v>0</v>
      </c>
      <c r="W53" s="772"/>
      <c r="X53" s="779"/>
      <c r="Y53" s="776">
        <v>0</v>
      </c>
      <c r="Z53" s="780">
        <f t="shared" ca="1" si="41"/>
        <v>0</v>
      </c>
      <c r="AA53" s="769"/>
      <c r="AB53" s="769"/>
      <c r="AC53" s="765">
        <f t="shared" si="0"/>
        <v>0</v>
      </c>
      <c r="AD53" s="781">
        <f t="shared" si="29"/>
        <v>0</v>
      </c>
      <c r="AE53" s="781">
        <f t="shared" si="2"/>
        <v>0</v>
      </c>
      <c r="AF53" s="781">
        <f t="shared" si="30"/>
        <v>0</v>
      </c>
      <c r="AG53" s="781">
        <f t="shared" si="31"/>
        <v>0</v>
      </c>
      <c r="AH53" s="781">
        <f t="shared" ca="1" si="5"/>
        <v>0</v>
      </c>
      <c r="AI53" s="782">
        <f t="shared" ca="1" si="32"/>
        <v>0</v>
      </c>
      <c r="AJ53" s="781">
        <f t="shared" si="33"/>
        <v>0</v>
      </c>
      <c r="AK53" s="781">
        <f t="shared" si="8"/>
        <v>0</v>
      </c>
      <c r="AL53" s="781">
        <f t="shared" si="34"/>
        <v>0</v>
      </c>
      <c r="AM53" s="781">
        <f t="shared" si="35"/>
        <v>0</v>
      </c>
      <c r="AN53" s="781">
        <f t="shared" si="11"/>
        <v>0</v>
      </c>
      <c r="AO53" s="781">
        <f t="shared" si="36"/>
        <v>0</v>
      </c>
      <c r="AP53" s="781">
        <f t="shared" si="37"/>
        <v>0</v>
      </c>
      <c r="AQ53" s="781">
        <f t="shared" si="14"/>
        <v>0</v>
      </c>
      <c r="AR53" s="781">
        <f t="shared" si="38"/>
        <v>0</v>
      </c>
      <c r="AS53" s="783">
        <f t="shared" ca="1" si="16"/>
        <v>0</v>
      </c>
    </row>
    <row r="54" spans="1:45" ht="15" x14ac:dyDescent="0.25">
      <c r="A54" s="768"/>
      <c r="B54" s="719">
        <f t="shared" si="19"/>
        <v>46</v>
      </c>
      <c r="C54" s="170" t="str">
        <f t="shared" si="17"/>
        <v>99</v>
      </c>
      <c r="D54" s="557"/>
      <c r="E54" s="170"/>
      <c r="F54" s="170">
        <v>99</v>
      </c>
      <c r="G54" s="785"/>
      <c r="H54" s="770"/>
      <c r="I54" s="768"/>
      <c r="J54" s="770"/>
      <c r="K54" s="770"/>
      <c r="L54" s="170"/>
      <c r="M54" s="771">
        <v>0</v>
      </c>
      <c r="N54" s="772">
        <v>1</v>
      </c>
      <c r="O54" s="773">
        <f t="shared" si="39"/>
        <v>0</v>
      </c>
      <c r="P54" s="768" t="s">
        <v>39</v>
      </c>
      <c r="Q54" s="768" t="s">
        <v>39</v>
      </c>
      <c r="R54" s="774" t="s">
        <v>73</v>
      </c>
      <c r="S54" s="775">
        <f ca="1">SUMIF('Data Input sheet'!$B$118:$D$180,R54,'Data Input sheet'!$D$118:$D$180)</f>
        <v>119</v>
      </c>
      <c r="T54" s="776">
        <f t="shared" ca="1" si="40"/>
        <v>0</v>
      </c>
      <c r="U54" s="1992"/>
      <c r="V54" s="778">
        <f t="shared" si="18"/>
        <v>0</v>
      </c>
      <c r="W54" s="772"/>
      <c r="X54" s="779"/>
      <c r="Y54" s="776">
        <v>0</v>
      </c>
      <c r="Z54" s="780">
        <f t="shared" ca="1" si="41"/>
        <v>0</v>
      </c>
      <c r="AA54" s="769"/>
      <c r="AB54" s="769"/>
      <c r="AC54" s="765">
        <f t="shared" si="0"/>
        <v>0</v>
      </c>
      <c r="AD54" s="781">
        <f t="shared" si="29"/>
        <v>0</v>
      </c>
      <c r="AE54" s="781">
        <f t="shared" si="2"/>
        <v>0</v>
      </c>
      <c r="AF54" s="781">
        <f t="shared" si="30"/>
        <v>0</v>
      </c>
      <c r="AG54" s="781">
        <f t="shared" si="31"/>
        <v>0</v>
      </c>
      <c r="AH54" s="781">
        <f t="shared" ca="1" si="5"/>
        <v>0</v>
      </c>
      <c r="AI54" s="782">
        <f t="shared" ca="1" si="32"/>
        <v>0</v>
      </c>
      <c r="AJ54" s="781">
        <f t="shared" si="33"/>
        <v>0</v>
      </c>
      <c r="AK54" s="781">
        <f t="shared" si="8"/>
        <v>0</v>
      </c>
      <c r="AL54" s="781">
        <f t="shared" si="34"/>
        <v>0</v>
      </c>
      <c r="AM54" s="781">
        <f t="shared" si="35"/>
        <v>0</v>
      </c>
      <c r="AN54" s="781">
        <f t="shared" si="11"/>
        <v>0</v>
      </c>
      <c r="AO54" s="781">
        <f t="shared" si="36"/>
        <v>0</v>
      </c>
      <c r="AP54" s="781">
        <f t="shared" si="37"/>
        <v>0</v>
      </c>
      <c r="AQ54" s="781">
        <f t="shared" si="14"/>
        <v>0</v>
      </c>
      <c r="AR54" s="781">
        <f t="shared" si="38"/>
        <v>0</v>
      </c>
      <c r="AS54" s="783">
        <f t="shared" ca="1" si="16"/>
        <v>0</v>
      </c>
    </row>
    <row r="55" spans="1:45" ht="15" x14ac:dyDescent="0.25">
      <c r="A55" s="768"/>
      <c r="B55" s="719">
        <f t="shared" si="19"/>
        <v>47</v>
      </c>
      <c r="C55" s="170" t="str">
        <f t="shared" si="17"/>
        <v>99</v>
      </c>
      <c r="D55" s="557"/>
      <c r="E55" s="170"/>
      <c r="F55" s="170">
        <v>99</v>
      </c>
      <c r="G55" s="785"/>
      <c r="H55" s="770"/>
      <c r="I55" s="768"/>
      <c r="J55" s="770"/>
      <c r="K55" s="770"/>
      <c r="L55" s="170"/>
      <c r="M55" s="771">
        <v>0</v>
      </c>
      <c r="N55" s="772">
        <v>1</v>
      </c>
      <c r="O55" s="773">
        <f t="shared" si="39"/>
        <v>0</v>
      </c>
      <c r="P55" s="768" t="s">
        <v>39</v>
      </c>
      <c r="Q55" s="768" t="s">
        <v>39</v>
      </c>
      <c r="R55" s="774" t="s">
        <v>73</v>
      </c>
      <c r="S55" s="775">
        <f ca="1">SUMIF('Data Input sheet'!$B$118:$D$180,R55,'Data Input sheet'!$D$118:$D$180)</f>
        <v>119</v>
      </c>
      <c r="T55" s="776">
        <f t="shared" ca="1" si="40"/>
        <v>0</v>
      </c>
      <c r="U55" s="1992"/>
      <c r="V55" s="778">
        <f t="shared" si="18"/>
        <v>0</v>
      </c>
      <c r="W55" s="772"/>
      <c r="X55" s="779"/>
      <c r="Y55" s="776">
        <v>0</v>
      </c>
      <c r="Z55" s="780">
        <f t="shared" ca="1" si="41"/>
        <v>0</v>
      </c>
      <c r="AA55" s="769"/>
      <c r="AB55" s="769"/>
      <c r="AC55" s="765">
        <f t="shared" si="0"/>
        <v>0</v>
      </c>
      <c r="AD55" s="781">
        <f t="shared" si="29"/>
        <v>0</v>
      </c>
      <c r="AE55" s="781">
        <f t="shared" si="2"/>
        <v>0</v>
      </c>
      <c r="AF55" s="781">
        <f t="shared" si="30"/>
        <v>0</v>
      </c>
      <c r="AG55" s="781">
        <f t="shared" si="31"/>
        <v>0</v>
      </c>
      <c r="AH55" s="781">
        <f t="shared" ca="1" si="5"/>
        <v>0</v>
      </c>
      <c r="AI55" s="782">
        <f t="shared" ca="1" si="32"/>
        <v>0</v>
      </c>
      <c r="AJ55" s="781">
        <f t="shared" si="33"/>
        <v>0</v>
      </c>
      <c r="AK55" s="781">
        <f t="shared" si="8"/>
        <v>0</v>
      </c>
      <c r="AL55" s="781">
        <f t="shared" si="34"/>
        <v>0</v>
      </c>
      <c r="AM55" s="781">
        <f t="shared" si="35"/>
        <v>0</v>
      </c>
      <c r="AN55" s="781">
        <f t="shared" si="11"/>
        <v>0</v>
      </c>
      <c r="AO55" s="781">
        <f t="shared" si="36"/>
        <v>0</v>
      </c>
      <c r="AP55" s="781">
        <f t="shared" si="37"/>
        <v>0</v>
      </c>
      <c r="AQ55" s="781">
        <f t="shared" si="14"/>
        <v>0</v>
      </c>
      <c r="AR55" s="781">
        <f t="shared" si="38"/>
        <v>0</v>
      </c>
      <c r="AS55" s="783">
        <f t="shared" ca="1" si="16"/>
        <v>0</v>
      </c>
    </row>
    <row r="56" spans="1:45" ht="15" x14ac:dyDescent="0.25">
      <c r="A56" s="768"/>
      <c r="B56" s="719">
        <f t="shared" si="19"/>
        <v>48</v>
      </c>
      <c r="C56" s="170" t="str">
        <f t="shared" si="17"/>
        <v>99</v>
      </c>
      <c r="D56" s="557"/>
      <c r="E56" s="170"/>
      <c r="F56" s="170">
        <v>99</v>
      </c>
      <c r="G56" s="785"/>
      <c r="H56" s="770"/>
      <c r="I56" s="768"/>
      <c r="J56" s="770"/>
      <c r="K56" s="770"/>
      <c r="L56" s="170"/>
      <c r="M56" s="771">
        <v>0</v>
      </c>
      <c r="N56" s="772">
        <v>1</v>
      </c>
      <c r="O56" s="773">
        <f t="shared" si="39"/>
        <v>0</v>
      </c>
      <c r="P56" s="768" t="s">
        <v>39</v>
      </c>
      <c r="Q56" s="768" t="s">
        <v>39</v>
      </c>
      <c r="R56" s="774" t="s">
        <v>73</v>
      </c>
      <c r="S56" s="775">
        <f ca="1">SUMIF('Data Input sheet'!$B$118:$D$180,R56,'Data Input sheet'!$D$118:$D$180)</f>
        <v>119</v>
      </c>
      <c r="T56" s="776">
        <f t="shared" ca="1" si="40"/>
        <v>0</v>
      </c>
      <c r="U56" s="1992"/>
      <c r="V56" s="778">
        <f t="shared" si="18"/>
        <v>0</v>
      </c>
      <c r="W56" s="772"/>
      <c r="X56" s="779"/>
      <c r="Y56" s="776">
        <v>0</v>
      </c>
      <c r="Z56" s="780">
        <f t="shared" ca="1" si="41"/>
        <v>0</v>
      </c>
      <c r="AA56" s="769"/>
      <c r="AB56" s="769"/>
      <c r="AC56" s="765">
        <f t="shared" si="0"/>
        <v>0</v>
      </c>
      <c r="AD56" s="781">
        <f t="shared" si="29"/>
        <v>0</v>
      </c>
      <c r="AE56" s="781">
        <f t="shared" si="2"/>
        <v>0</v>
      </c>
      <c r="AF56" s="781">
        <f t="shared" si="30"/>
        <v>0</v>
      </c>
      <c r="AG56" s="781">
        <f t="shared" si="31"/>
        <v>0</v>
      </c>
      <c r="AH56" s="781">
        <f t="shared" ca="1" si="5"/>
        <v>0</v>
      </c>
      <c r="AI56" s="782">
        <f t="shared" ca="1" si="32"/>
        <v>0</v>
      </c>
      <c r="AJ56" s="781">
        <f t="shared" si="33"/>
        <v>0</v>
      </c>
      <c r="AK56" s="781">
        <f t="shared" si="8"/>
        <v>0</v>
      </c>
      <c r="AL56" s="781">
        <f t="shared" si="34"/>
        <v>0</v>
      </c>
      <c r="AM56" s="781">
        <f t="shared" si="35"/>
        <v>0</v>
      </c>
      <c r="AN56" s="781">
        <f t="shared" si="11"/>
        <v>0</v>
      </c>
      <c r="AO56" s="781">
        <f t="shared" si="36"/>
        <v>0</v>
      </c>
      <c r="AP56" s="781">
        <f t="shared" si="37"/>
        <v>0</v>
      </c>
      <c r="AQ56" s="781">
        <f t="shared" si="14"/>
        <v>0</v>
      </c>
      <c r="AR56" s="781">
        <f t="shared" si="38"/>
        <v>0</v>
      </c>
      <c r="AS56" s="783">
        <f t="shared" ca="1" si="16"/>
        <v>0</v>
      </c>
    </row>
    <row r="57" spans="1:45" ht="15" x14ac:dyDescent="0.25">
      <c r="A57" s="768"/>
      <c r="B57" s="719">
        <f t="shared" si="19"/>
        <v>49</v>
      </c>
      <c r="C57" s="170" t="str">
        <f t="shared" si="17"/>
        <v>99</v>
      </c>
      <c r="D57" s="557"/>
      <c r="E57" s="170"/>
      <c r="F57" s="170">
        <v>99</v>
      </c>
      <c r="G57" s="785"/>
      <c r="H57" s="770"/>
      <c r="I57" s="768"/>
      <c r="J57" s="770"/>
      <c r="K57" s="770"/>
      <c r="L57" s="170"/>
      <c r="M57" s="771">
        <v>0</v>
      </c>
      <c r="N57" s="772">
        <v>1</v>
      </c>
      <c r="O57" s="773">
        <f t="shared" si="39"/>
        <v>0</v>
      </c>
      <c r="P57" s="768" t="s">
        <v>39</v>
      </c>
      <c r="Q57" s="768" t="s">
        <v>39</v>
      </c>
      <c r="R57" s="774" t="s">
        <v>73</v>
      </c>
      <c r="S57" s="775">
        <f ca="1">SUMIF('Data Input sheet'!$B$118:$D$180,R57,'Data Input sheet'!$D$118:$D$180)</f>
        <v>119</v>
      </c>
      <c r="T57" s="776">
        <f t="shared" ca="1" si="40"/>
        <v>0</v>
      </c>
      <c r="U57" s="1992"/>
      <c r="V57" s="778">
        <f t="shared" si="18"/>
        <v>0</v>
      </c>
      <c r="W57" s="772"/>
      <c r="X57" s="779"/>
      <c r="Y57" s="776">
        <v>0</v>
      </c>
      <c r="Z57" s="780">
        <f t="shared" ca="1" si="41"/>
        <v>0</v>
      </c>
      <c r="AA57" s="769"/>
      <c r="AB57" s="769"/>
      <c r="AC57" s="765">
        <f t="shared" si="0"/>
        <v>0</v>
      </c>
      <c r="AD57" s="781">
        <f t="shared" si="29"/>
        <v>0</v>
      </c>
      <c r="AE57" s="781">
        <f t="shared" si="2"/>
        <v>0</v>
      </c>
      <c r="AF57" s="781">
        <f t="shared" si="30"/>
        <v>0</v>
      </c>
      <c r="AG57" s="781">
        <f t="shared" si="31"/>
        <v>0</v>
      </c>
      <c r="AH57" s="781">
        <f t="shared" ca="1" si="5"/>
        <v>0</v>
      </c>
      <c r="AI57" s="782">
        <f t="shared" ca="1" si="32"/>
        <v>0</v>
      </c>
      <c r="AJ57" s="781">
        <f t="shared" si="33"/>
        <v>0</v>
      </c>
      <c r="AK57" s="781">
        <f t="shared" si="8"/>
        <v>0</v>
      </c>
      <c r="AL57" s="781">
        <f t="shared" si="34"/>
        <v>0</v>
      </c>
      <c r="AM57" s="781">
        <f t="shared" si="35"/>
        <v>0</v>
      </c>
      <c r="AN57" s="781">
        <f t="shared" si="11"/>
        <v>0</v>
      </c>
      <c r="AO57" s="781">
        <f t="shared" si="36"/>
        <v>0</v>
      </c>
      <c r="AP57" s="781">
        <f t="shared" si="37"/>
        <v>0</v>
      </c>
      <c r="AQ57" s="781">
        <f t="shared" si="14"/>
        <v>0</v>
      </c>
      <c r="AR57" s="781">
        <f t="shared" si="38"/>
        <v>0</v>
      </c>
      <c r="AS57" s="783">
        <f t="shared" ca="1" si="16"/>
        <v>0</v>
      </c>
    </row>
    <row r="58" spans="1:45" ht="15" x14ac:dyDescent="0.25">
      <c r="A58" s="768"/>
      <c r="B58" s="719">
        <f t="shared" si="19"/>
        <v>50</v>
      </c>
      <c r="C58" s="170" t="str">
        <f t="shared" si="17"/>
        <v>99</v>
      </c>
      <c r="D58" s="557"/>
      <c r="E58" s="170"/>
      <c r="F58" s="170">
        <v>99</v>
      </c>
      <c r="G58" s="785"/>
      <c r="H58" s="770"/>
      <c r="I58" s="768"/>
      <c r="J58" s="770"/>
      <c r="K58" s="770"/>
      <c r="L58" s="170"/>
      <c r="M58" s="771">
        <v>0</v>
      </c>
      <c r="N58" s="772">
        <v>1</v>
      </c>
      <c r="O58" s="773">
        <f t="shared" si="39"/>
        <v>0</v>
      </c>
      <c r="P58" s="768" t="s">
        <v>39</v>
      </c>
      <c r="Q58" s="768" t="s">
        <v>39</v>
      </c>
      <c r="R58" s="774" t="s">
        <v>73</v>
      </c>
      <c r="S58" s="775">
        <f ca="1">SUMIF('Data Input sheet'!$B$118:$D$180,R58,'Data Input sheet'!$D$118:$D$180)</f>
        <v>119</v>
      </c>
      <c r="T58" s="776">
        <f t="shared" ca="1" si="40"/>
        <v>0</v>
      </c>
      <c r="U58" s="1992"/>
      <c r="V58" s="778">
        <f t="shared" si="18"/>
        <v>0</v>
      </c>
      <c r="W58" s="772"/>
      <c r="X58" s="779"/>
      <c r="Y58" s="776">
        <v>0</v>
      </c>
      <c r="Z58" s="780">
        <f t="shared" ca="1" si="41"/>
        <v>0</v>
      </c>
      <c r="AA58" s="769"/>
      <c r="AB58" s="769"/>
      <c r="AC58" s="765">
        <f t="shared" si="0"/>
        <v>0</v>
      </c>
      <c r="AD58" s="781">
        <f t="shared" si="29"/>
        <v>0</v>
      </c>
      <c r="AE58" s="781">
        <f t="shared" si="2"/>
        <v>0</v>
      </c>
      <c r="AF58" s="781">
        <f t="shared" si="30"/>
        <v>0</v>
      </c>
      <c r="AG58" s="781">
        <f t="shared" si="31"/>
        <v>0</v>
      </c>
      <c r="AH58" s="781">
        <f t="shared" ca="1" si="5"/>
        <v>0</v>
      </c>
      <c r="AI58" s="782">
        <f t="shared" ca="1" si="32"/>
        <v>0</v>
      </c>
      <c r="AJ58" s="781">
        <f t="shared" si="33"/>
        <v>0</v>
      </c>
      <c r="AK58" s="781">
        <f t="shared" si="8"/>
        <v>0</v>
      </c>
      <c r="AL58" s="781">
        <f t="shared" si="34"/>
        <v>0</v>
      </c>
      <c r="AM58" s="781">
        <f t="shared" si="35"/>
        <v>0</v>
      </c>
      <c r="AN58" s="781">
        <f t="shared" si="11"/>
        <v>0</v>
      </c>
      <c r="AO58" s="781">
        <f t="shared" si="36"/>
        <v>0</v>
      </c>
      <c r="AP58" s="781">
        <f t="shared" si="37"/>
        <v>0</v>
      </c>
      <c r="AQ58" s="781">
        <f t="shared" si="14"/>
        <v>0</v>
      </c>
      <c r="AR58" s="781">
        <f t="shared" si="38"/>
        <v>0</v>
      </c>
      <c r="AS58" s="783">
        <f t="shared" ca="1" si="16"/>
        <v>0</v>
      </c>
    </row>
    <row r="59" spans="1:45" ht="15" x14ac:dyDescent="0.25">
      <c r="A59" s="768"/>
      <c r="B59" s="719">
        <f t="shared" si="19"/>
        <v>51</v>
      </c>
      <c r="C59" s="170" t="str">
        <f t="shared" si="17"/>
        <v>99</v>
      </c>
      <c r="D59" s="557"/>
      <c r="E59" s="170"/>
      <c r="F59" s="170">
        <v>99</v>
      </c>
      <c r="G59" s="785"/>
      <c r="H59" s="770"/>
      <c r="I59" s="768"/>
      <c r="J59" s="770"/>
      <c r="K59" s="770"/>
      <c r="L59" s="170"/>
      <c r="M59" s="771">
        <v>0</v>
      </c>
      <c r="N59" s="772">
        <v>1</v>
      </c>
      <c r="O59" s="773">
        <f t="shared" si="39"/>
        <v>0</v>
      </c>
      <c r="P59" s="768" t="s">
        <v>39</v>
      </c>
      <c r="Q59" s="768" t="s">
        <v>39</v>
      </c>
      <c r="R59" s="774" t="s">
        <v>73</v>
      </c>
      <c r="S59" s="775">
        <f ca="1">SUMIF('Data Input sheet'!$B$118:$D$180,R59,'Data Input sheet'!$D$118:$D$180)</f>
        <v>119</v>
      </c>
      <c r="T59" s="776">
        <f t="shared" ca="1" si="40"/>
        <v>0</v>
      </c>
      <c r="U59" s="1992"/>
      <c r="V59" s="778">
        <f t="shared" si="18"/>
        <v>0</v>
      </c>
      <c r="W59" s="772"/>
      <c r="X59" s="779"/>
      <c r="Y59" s="776">
        <v>0</v>
      </c>
      <c r="Z59" s="780">
        <f t="shared" ca="1" si="41"/>
        <v>0</v>
      </c>
      <c r="AA59" s="769"/>
      <c r="AB59" s="769"/>
      <c r="AC59" s="765">
        <f t="shared" si="0"/>
        <v>0</v>
      </c>
      <c r="AD59" s="781">
        <f t="shared" si="29"/>
        <v>0</v>
      </c>
      <c r="AE59" s="781">
        <f t="shared" si="2"/>
        <v>0</v>
      </c>
      <c r="AF59" s="781">
        <f t="shared" si="30"/>
        <v>0</v>
      </c>
      <c r="AG59" s="781">
        <f t="shared" si="31"/>
        <v>0</v>
      </c>
      <c r="AH59" s="781">
        <f t="shared" ca="1" si="5"/>
        <v>0</v>
      </c>
      <c r="AI59" s="782">
        <f t="shared" ca="1" si="32"/>
        <v>0</v>
      </c>
      <c r="AJ59" s="781">
        <f t="shared" si="33"/>
        <v>0</v>
      </c>
      <c r="AK59" s="781">
        <f t="shared" si="8"/>
        <v>0</v>
      </c>
      <c r="AL59" s="781">
        <f t="shared" si="34"/>
        <v>0</v>
      </c>
      <c r="AM59" s="781">
        <f t="shared" si="35"/>
        <v>0</v>
      </c>
      <c r="AN59" s="781">
        <f t="shared" si="11"/>
        <v>0</v>
      </c>
      <c r="AO59" s="781">
        <f t="shared" si="36"/>
        <v>0</v>
      </c>
      <c r="AP59" s="781">
        <f t="shared" si="37"/>
        <v>0</v>
      </c>
      <c r="AQ59" s="781">
        <f t="shared" si="14"/>
        <v>0</v>
      </c>
      <c r="AR59" s="781">
        <f t="shared" si="38"/>
        <v>0</v>
      </c>
      <c r="AS59" s="783">
        <f t="shared" ca="1" si="16"/>
        <v>0</v>
      </c>
    </row>
    <row r="60" spans="1:45" ht="15" x14ac:dyDescent="0.25">
      <c r="A60" s="768"/>
      <c r="B60" s="719">
        <f t="shared" si="19"/>
        <v>52</v>
      </c>
      <c r="C60" s="170" t="str">
        <f t="shared" si="17"/>
        <v>99</v>
      </c>
      <c r="D60" s="557"/>
      <c r="E60" s="170"/>
      <c r="F60" s="170">
        <v>99</v>
      </c>
      <c r="G60" s="785"/>
      <c r="H60" s="770"/>
      <c r="I60" s="768"/>
      <c r="J60" s="770"/>
      <c r="K60" s="770"/>
      <c r="L60" s="170"/>
      <c r="M60" s="771">
        <v>0</v>
      </c>
      <c r="N60" s="772">
        <v>1</v>
      </c>
      <c r="O60" s="773">
        <f t="shared" si="39"/>
        <v>0</v>
      </c>
      <c r="P60" s="768" t="s">
        <v>39</v>
      </c>
      <c r="Q60" s="768" t="s">
        <v>39</v>
      </c>
      <c r="R60" s="774" t="s">
        <v>73</v>
      </c>
      <c r="S60" s="775">
        <f ca="1">SUMIF('Data Input sheet'!$B$118:$D$180,R60,'Data Input sheet'!$D$118:$D$180)</f>
        <v>119</v>
      </c>
      <c r="T60" s="776">
        <f t="shared" ca="1" si="40"/>
        <v>0</v>
      </c>
      <c r="U60" s="1992"/>
      <c r="V60" s="778">
        <f t="shared" si="18"/>
        <v>0</v>
      </c>
      <c r="W60" s="772"/>
      <c r="X60" s="779"/>
      <c r="Y60" s="776">
        <v>0</v>
      </c>
      <c r="Z60" s="780">
        <f t="shared" ca="1" si="41"/>
        <v>0</v>
      </c>
      <c r="AA60" s="769"/>
      <c r="AB60" s="769"/>
      <c r="AC60" s="765">
        <f t="shared" si="0"/>
        <v>0</v>
      </c>
      <c r="AD60" s="781">
        <f t="shared" si="29"/>
        <v>0</v>
      </c>
      <c r="AE60" s="781">
        <f t="shared" si="2"/>
        <v>0</v>
      </c>
      <c r="AF60" s="781">
        <f t="shared" si="30"/>
        <v>0</v>
      </c>
      <c r="AG60" s="781">
        <f t="shared" si="31"/>
        <v>0</v>
      </c>
      <c r="AH60" s="781">
        <f t="shared" ca="1" si="5"/>
        <v>0</v>
      </c>
      <c r="AI60" s="782">
        <f t="shared" ca="1" si="32"/>
        <v>0</v>
      </c>
      <c r="AJ60" s="781">
        <f t="shared" si="33"/>
        <v>0</v>
      </c>
      <c r="AK60" s="781">
        <f t="shared" si="8"/>
        <v>0</v>
      </c>
      <c r="AL60" s="781">
        <f t="shared" si="34"/>
        <v>0</v>
      </c>
      <c r="AM60" s="781">
        <f t="shared" si="35"/>
        <v>0</v>
      </c>
      <c r="AN60" s="781">
        <f t="shared" si="11"/>
        <v>0</v>
      </c>
      <c r="AO60" s="781">
        <f t="shared" si="36"/>
        <v>0</v>
      </c>
      <c r="AP60" s="781">
        <f t="shared" si="37"/>
        <v>0</v>
      </c>
      <c r="AQ60" s="781">
        <f t="shared" si="14"/>
        <v>0</v>
      </c>
      <c r="AR60" s="781">
        <f t="shared" si="38"/>
        <v>0</v>
      </c>
      <c r="AS60" s="783">
        <f t="shared" ca="1" si="16"/>
        <v>0</v>
      </c>
    </row>
    <row r="61" spans="1:45" ht="15" x14ac:dyDescent="0.25">
      <c r="A61" s="768"/>
      <c r="B61" s="719">
        <f t="shared" si="19"/>
        <v>53</v>
      </c>
      <c r="C61" s="170" t="str">
        <f t="shared" si="17"/>
        <v>99</v>
      </c>
      <c r="D61" s="557"/>
      <c r="E61" s="170"/>
      <c r="F61" s="170">
        <v>99</v>
      </c>
      <c r="G61" s="785"/>
      <c r="H61" s="770"/>
      <c r="I61" s="768"/>
      <c r="J61" s="770"/>
      <c r="K61" s="770"/>
      <c r="L61" s="170"/>
      <c r="M61" s="771">
        <v>0</v>
      </c>
      <c r="N61" s="772">
        <v>1</v>
      </c>
      <c r="O61" s="773">
        <f t="shared" si="39"/>
        <v>0</v>
      </c>
      <c r="P61" s="768" t="s">
        <v>39</v>
      </c>
      <c r="Q61" s="768" t="s">
        <v>39</v>
      </c>
      <c r="R61" s="774" t="s">
        <v>73</v>
      </c>
      <c r="S61" s="775">
        <f ca="1">SUMIF('Data Input sheet'!$B$118:$D$180,R61,'Data Input sheet'!$D$118:$D$180)</f>
        <v>119</v>
      </c>
      <c r="T61" s="776">
        <f t="shared" ca="1" si="40"/>
        <v>0</v>
      </c>
      <c r="U61" s="1992"/>
      <c r="V61" s="778">
        <f t="shared" si="18"/>
        <v>0</v>
      </c>
      <c r="W61" s="772"/>
      <c r="X61" s="779"/>
      <c r="Y61" s="776">
        <v>0</v>
      </c>
      <c r="Z61" s="780">
        <f t="shared" ca="1" si="41"/>
        <v>0</v>
      </c>
      <c r="AA61" s="769"/>
      <c r="AB61" s="769"/>
      <c r="AC61" s="765">
        <f t="shared" si="0"/>
        <v>0</v>
      </c>
      <c r="AD61" s="781">
        <f t="shared" si="29"/>
        <v>0</v>
      </c>
      <c r="AE61" s="781">
        <f t="shared" si="2"/>
        <v>0</v>
      </c>
      <c r="AF61" s="781">
        <f t="shared" si="30"/>
        <v>0</v>
      </c>
      <c r="AG61" s="781">
        <f t="shared" si="31"/>
        <v>0</v>
      </c>
      <c r="AH61" s="781">
        <f t="shared" ca="1" si="5"/>
        <v>0</v>
      </c>
      <c r="AI61" s="782">
        <f t="shared" ca="1" si="32"/>
        <v>0</v>
      </c>
      <c r="AJ61" s="781">
        <f t="shared" si="33"/>
        <v>0</v>
      </c>
      <c r="AK61" s="781">
        <f t="shared" si="8"/>
        <v>0</v>
      </c>
      <c r="AL61" s="781">
        <f t="shared" si="34"/>
        <v>0</v>
      </c>
      <c r="AM61" s="781">
        <f t="shared" si="35"/>
        <v>0</v>
      </c>
      <c r="AN61" s="781">
        <f t="shared" si="11"/>
        <v>0</v>
      </c>
      <c r="AO61" s="781">
        <f t="shared" si="36"/>
        <v>0</v>
      </c>
      <c r="AP61" s="781">
        <f t="shared" si="37"/>
        <v>0</v>
      </c>
      <c r="AQ61" s="781">
        <f t="shared" si="14"/>
        <v>0</v>
      </c>
      <c r="AR61" s="781">
        <f t="shared" si="38"/>
        <v>0</v>
      </c>
      <c r="AS61" s="783">
        <f t="shared" ca="1" si="16"/>
        <v>0</v>
      </c>
    </row>
    <row r="62" spans="1:45" ht="15" x14ac:dyDescent="0.25">
      <c r="A62" s="768"/>
      <c r="B62" s="719">
        <f t="shared" si="19"/>
        <v>54</v>
      </c>
      <c r="C62" s="170" t="str">
        <f t="shared" si="17"/>
        <v>99</v>
      </c>
      <c r="D62" s="557"/>
      <c r="E62" s="170"/>
      <c r="F62" s="170">
        <v>99</v>
      </c>
      <c r="G62" s="785"/>
      <c r="H62" s="770"/>
      <c r="I62" s="768"/>
      <c r="J62" s="770"/>
      <c r="K62" s="770"/>
      <c r="L62" s="170"/>
      <c r="M62" s="771">
        <v>0</v>
      </c>
      <c r="N62" s="772">
        <v>1</v>
      </c>
      <c r="O62" s="773">
        <f t="shared" si="39"/>
        <v>0</v>
      </c>
      <c r="P62" s="768" t="s">
        <v>39</v>
      </c>
      <c r="Q62" s="768" t="s">
        <v>39</v>
      </c>
      <c r="R62" s="774" t="s">
        <v>73</v>
      </c>
      <c r="S62" s="775">
        <f ca="1">SUMIF('Data Input sheet'!$B$118:$D$180,R62,'Data Input sheet'!$D$118:$D$180)</f>
        <v>119</v>
      </c>
      <c r="T62" s="776">
        <f t="shared" ca="1" si="40"/>
        <v>0</v>
      </c>
      <c r="U62" s="1992"/>
      <c r="V62" s="778">
        <f t="shared" si="18"/>
        <v>0</v>
      </c>
      <c r="W62" s="772"/>
      <c r="X62" s="779"/>
      <c r="Y62" s="776">
        <v>0</v>
      </c>
      <c r="Z62" s="780">
        <f t="shared" ca="1" si="41"/>
        <v>0</v>
      </c>
      <c r="AA62" s="769"/>
      <c r="AB62" s="769"/>
      <c r="AC62" s="765">
        <f t="shared" si="0"/>
        <v>0</v>
      </c>
      <c r="AD62" s="781">
        <f t="shared" si="29"/>
        <v>0</v>
      </c>
      <c r="AE62" s="781">
        <f t="shared" si="2"/>
        <v>0</v>
      </c>
      <c r="AF62" s="781">
        <f t="shared" si="30"/>
        <v>0</v>
      </c>
      <c r="AG62" s="781">
        <f t="shared" si="31"/>
        <v>0</v>
      </c>
      <c r="AH62" s="781">
        <f t="shared" ca="1" si="5"/>
        <v>0</v>
      </c>
      <c r="AI62" s="782">
        <f t="shared" ca="1" si="32"/>
        <v>0</v>
      </c>
      <c r="AJ62" s="781">
        <f t="shared" si="33"/>
        <v>0</v>
      </c>
      <c r="AK62" s="781">
        <f t="shared" si="8"/>
        <v>0</v>
      </c>
      <c r="AL62" s="781">
        <f t="shared" si="34"/>
        <v>0</v>
      </c>
      <c r="AM62" s="781">
        <f t="shared" si="35"/>
        <v>0</v>
      </c>
      <c r="AN62" s="781">
        <f t="shared" si="11"/>
        <v>0</v>
      </c>
      <c r="AO62" s="781">
        <f t="shared" si="36"/>
        <v>0</v>
      </c>
      <c r="AP62" s="781">
        <f t="shared" si="37"/>
        <v>0</v>
      </c>
      <c r="AQ62" s="781">
        <f t="shared" si="14"/>
        <v>0</v>
      </c>
      <c r="AR62" s="781">
        <f t="shared" si="38"/>
        <v>0</v>
      </c>
      <c r="AS62" s="783">
        <f t="shared" ca="1" si="16"/>
        <v>0</v>
      </c>
    </row>
    <row r="63" spans="1:45" ht="15" x14ac:dyDescent="0.25">
      <c r="A63" s="768"/>
      <c r="B63" s="719">
        <f t="shared" si="19"/>
        <v>55</v>
      </c>
      <c r="C63" s="170" t="str">
        <f t="shared" si="17"/>
        <v>99</v>
      </c>
      <c r="D63" s="557"/>
      <c r="E63" s="170"/>
      <c r="F63" s="170">
        <v>99</v>
      </c>
      <c r="G63" s="785"/>
      <c r="H63" s="770"/>
      <c r="I63" s="768"/>
      <c r="J63" s="770"/>
      <c r="K63" s="770"/>
      <c r="L63" s="170"/>
      <c r="M63" s="771">
        <v>0</v>
      </c>
      <c r="N63" s="772">
        <v>1</v>
      </c>
      <c r="O63" s="773">
        <f t="shared" si="39"/>
        <v>0</v>
      </c>
      <c r="P63" s="768" t="s">
        <v>39</v>
      </c>
      <c r="Q63" s="768" t="s">
        <v>39</v>
      </c>
      <c r="R63" s="774" t="s">
        <v>73</v>
      </c>
      <c r="S63" s="775">
        <f ca="1">SUMIF('Data Input sheet'!$B$118:$D$180,R63,'Data Input sheet'!$D$118:$D$180)</f>
        <v>119</v>
      </c>
      <c r="T63" s="776">
        <f t="shared" ca="1" si="40"/>
        <v>0</v>
      </c>
      <c r="U63" s="1992"/>
      <c r="V63" s="778">
        <f t="shared" si="18"/>
        <v>0</v>
      </c>
      <c r="W63" s="772"/>
      <c r="X63" s="779"/>
      <c r="Y63" s="776">
        <v>0</v>
      </c>
      <c r="Z63" s="780">
        <f t="shared" ca="1" si="41"/>
        <v>0</v>
      </c>
      <c r="AA63" s="769"/>
      <c r="AB63" s="769"/>
      <c r="AC63" s="765">
        <f t="shared" si="0"/>
        <v>0</v>
      </c>
      <c r="AD63" s="781">
        <f t="shared" si="29"/>
        <v>0</v>
      </c>
      <c r="AE63" s="781">
        <f t="shared" si="2"/>
        <v>0</v>
      </c>
      <c r="AF63" s="781">
        <f t="shared" si="30"/>
        <v>0</v>
      </c>
      <c r="AG63" s="781">
        <f t="shared" si="31"/>
        <v>0</v>
      </c>
      <c r="AH63" s="781">
        <f t="shared" ca="1" si="5"/>
        <v>0</v>
      </c>
      <c r="AI63" s="782">
        <f t="shared" ca="1" si="32"/>
        <v>0</v>
      </c>
      <c r="AJ63" s="781">
        <f t="shared" si="33"/>
        <v>0</v>
      </c>
      <c r="AK63" s="781">
        <f t="shared" si="8"/>
        <v>0</v>
      </c>
      <c r="AL63" s="781">
        <f t="shared" si="34"/>
        <v>0</v>
      </c>
      <c r="AM63" s="781">
        <f t="shared" si="35"/>
        <v>0</v>
      </c>
      <c r="AN63" s="781">
        <f t="shared" si="11"/>
        <v>0</v>
      </c>
      <c r="AO63" s="781">
        <f t="shared" si="36"/>
        <v>0</v>
      </c>
      <c r="AP63" s="781">
        <f t="shared" si="37"/>
        <v>0</v>
      </c>
      <c r="AQ63" s="781">
        <f t="shared" si="14"/>
        <v>0</v>
      </c>
      <c r="AR63" s="781">
        <f t="shared" si="38"/>
        <v>0</v>
      </c>
      <c r="AS63" s="783">
        <f t="shared" ca="1" si="16"/>
        <v>0</v>
      </c>
    </row>
    <row r="64" spans="1:45" ht="15" x14ac:dyDescent="0.25">
      <c r="A64" s="768"/>
      <c r="B64" s="719">
        <f t="shared" si="19"/>
        <v>56</v>
      </c>
      <c r="C64" s="170" t="str">
        <f t="shared" si="17"/>
        <v>99</v>
      </c>
      <c r="D64" s="557"/>
      <c r="E64" s="170"/>
      <c r="F64" s="170">
        <v>99</v>
      </c>
      <c r="G64" s="785"/>
      <c r="H64" s="770"/>
      <c r="I64" s="768"/>
      <c r="J64" s="770"/>
      <c r="K64" s="770"/>
      <c r="L64" s="170"/>
      <c r="M64" s="771">
        <v>0</v>
      </c>
      <c r="N64" s="772">
        <v>1</v>
      </c>
      <c r="O64" s="773">
        <f t="shared" si="39"/>
        <v>0</v>
      </c>
      <c r="P64" s="768" t="s">
        <v>39</v>
      </c>
      <c r="Q64" s="768" t="s">
        <v>39</v>
      </c>
      <c r="R64" s="774" t="s">
        <v>73</v>
      </c>
      <c r="S64" s="775">
        <f ca="1">SUMIF('Data Input sheet'!$B$118:$D$180,R64,'Data Input sheet'!$D$118:$D$180)</f>
        <v>119</v>
      </c>
      <c r="T64" s="776">
        <f t="shared" ca="1" si="40"/>
        <v>0</v>
      </c>
      <c r="U64" s="1992"/>
      <c r="V64" s="778">
        <f t="shared" si="18"/>
        <v>0</v>
      </c>
      <c r="W64" s="772"/>
      <c r="X64" s="779"/>
      <c r="Y64" s="776">
        <v>0</v>
      </c>
      <c r="Z64" s="780">
        <f t="shared" ca="1" si="41"/>
        <v>0</v>
      </c>
      <c r="AA64" s="769"/>
      <c r="AB64" s="769"/>
      <c r="AC64" s="765">
        <f t="shared" si="0"/>
        <v>0</v>
      </c>
      <c r="AD64" s="781">
        <f t="shared" si="29"/>
        <v>0</v>
      </c>
      <c r="AE64" s="781">
        <f t="shared" si="2"/>
        <v>0</v>
      </c>
      <c r="AF64" s="781">
        <f t="shared" si="30"/>
        <v>0</v>
      </c>
      <c r="AG64" s="781">
        <f t="shared" si="31"/>
        <v>0</v>
      </c>
      <c r="AH64" s="781">
        <f t="shared" ca="1" si="5"/>
        <v>0</v>
      </c>
      <c r="AI64" s="782">
        <f t="shared" ca="1" si="32"/>
        <v>0</v>
      </c>
      <c r="AJ64" s="781">
        <f t="shared" si="33"/>
        <v>0</v>
      </c>
      <c r="AK64" s="781">
        <f t="shared" si="8"/>
        <v>0</v>
      </c>
      <c r="AL64" s="781">
        <f t="shared" si="34"/>
        <v>0</v>
      </c>
      <c r="AM64" s="781">
        <f t="shared" si="35"/>
        <v>0</v>
      </c>
      <c r="AN64" s="781">
        <f t="shared" si="11"/>
        <v>0</v>
      </c>
      <c r="AO64" s="781">
        <f t="shared" si="36"/>
        <v>0</v>
      </c>
      <c r="AP64" s="781">
        <f t="shared" si="37"/>
        <v>0</v>
      </c>
      <c r="AQ64" s="781">
        <f t="shared" si="14"/>
        <v>0</v>
      </c>
      <c r="AR64" s="781">
        <f t="shared" si="38"/>
        <v>0</v>
      </c>
      <c r="AS64" s="783">
        <f t="shared" ca="1" si="16"/>
        <v>0</v>
      </c>
    </row>
    <row r="65" spans="1:45" ht="15" x14ac:dyDescent="0.25">
      <c r="A65" s="768"/>
      <c r="B65" s="719">
        <f t="shared" si="19"/>
        <v>57</v>
      </c>
      <c r="C65" s="170" t="str">
        <f t="shared" si="17"/>
        <v>99</v>
      </c>
      <c r="D65" s="557"/>
      <c r="E65" s="170"/>
      <c r="F65" s="170">
        <v>99</v>
      </c>
      <c r="G65" s="785"/>
      <c r="H65" s="770"/>
      <c r="I65" s="768"/>
      <c r="J65" s="770"/>
      <c r="K65" s="770"/>
      <c r="L65" s="170"/>
      <c r="M65" s="771">
        <v>0</v>
      </c>
      <c r="N65" s="772">
        <v>1</v>
      </c>
      <c r="O65" s="773">
        <f t="shared" si="39"/>
        <v>0</v>
      </c>
      <c r="P65" s="768" t="s">
        <v>39</v>
      </c>
      <c r="Q65" s="768" t="s">
        <v>39</v>
      </c>
      <c r="R65" s="774" t="s">
        <v>73</v>
      </c>
      <c r="S65" s="775">
        <f ca="1">SUMIF('Data Input sheet'!$B$118:$D$180,R65,'Data Input sheet'!$D$118:$D$180)</f>
        <v>119</v>
      </c>
      <c r="T65" s="776">
        <f t="shared" ca="1" si="40"/>
        <v>0</v>
      </c>
      <c r="U65" s="1992"/>
      <c r="V65" s="778">
        <f t="shared" si="18"/>
        <v>0</v>
      </c>
      <c r="W65" s="772"/>
      <c r="X65" s="779"/>
      <c r="Y65" s="776">
        <v>0</v>
      </c>
      <c r="Z65" s="780">
        <f t="shared" ca="1" si="41"/>
        <v>0</v>
      </c>
      <c r="AA65" s="769"/>
      <c r="AB65" s="769"/>
      <c r="AC65" s="765">
        <f t="shared" si="0"/>
        <v>0</v>
      </c>
      <c r="AD65" s="781">
        <f t="shared" si="29"/>
        <v>0</v>
      </c>
      <c r="AE65" s="781">
        <f t="shared" si="2"/>
        <v>0</v>
      </c>
      <c r="AF65" s="781">
        <f t="shared" si="30"/>
        <v>0</v>
      </c>
      <c r="AG65" s="781">
        <f t="shared" si="31"/>
        <v>0</v>
      </c>
      <c r="AH65" s="781">
        <f t="shared" ca="1" si="5"/>
        <v>0</v>
      </c>
      <c r="AI65" s="782">
        <f t="shared" ca="1" si="32"/>
        <v>0</v>
      </c>
      <c r="AJ65" s="781">
        <f t="shared" si="33"/>
        <v>0</v>
      </c>
      <c r="AK65" s="781">
        <f t="shared" si="8"/>
        <v>0</v>
      </c>
      <c r="AL65" s="781">
        <f t="shared" si="34"/>
        <v>0</v>
      </c>
      <c r="AM65" s="781">
        <f t="shared" si="35"/>
        <v>0</v>
      </c>
      <c r="AN65" s="781">
        <f t="shared" si="11"/>
        <v>0</v>
      </c>
      <c r="AO65" s="781">
        <f t="shared" si="36"/>
        <v>0</v>
      </c>
      <c r="AP65" s="781">
        <f t="shared" si="37"/>
        <v>0</v>
      </c>
      <c r="AQ65" s="781">
        <f t="shared" si="14"/>
        <v>0</v>
      </c>
      <c r="AR65" s="781">
        <f t="shared" si="38"/>
        <v>0</v>
      </c>
      <c r="AS65" s="783">
        <f t="shared" ca="1" si="16"/>
        <v>0</v>
      </c>
    </row>
    <row r="66" spans="1:45" ht="15" x14ac:dyDescent="0.25">
      <c r="A66" s="784"/>
      <c r="B66" s="719">
        <f t="shared" si="19"/>
        <v>58</v>
      </c>
      <c r="C66" s="170" t="str">
        <f t="shared" si="17"/>
        <v>99</v>
      </c>
      <c r="D66" s="557"/>
      <c r="E66" s="170"/>
      <c r="F66" s="170">
        <v>99</v>
      </c>
      <c r="G66" s="785"/>
      <c r="H66" s="770"/>
      <c r="I66" s="768"/>
      <c r="J66" s="770"/>
      <c r="K66" s="770"/>
      <c r="L66" s="170"/>
      <c r="M66" s="771">
        <v>0</v>
      </c>
      <c r="N66" s="772">
        <v>1</v>
      </c>
      <c r="O66" s="773">
        <f t="shared" si="39"/>
        <v>0</v>
      </c>
      <c r="P66" s="768" t="s">
        <v>39</v>
      </c>
      <c r="Q66" s="768" t="s">
        <v>39</v>
      </c>
      <c r="R66" s="774" t="s">
        <v>73</v>
      </c>
      <c r="S66" s="775">
        <f ca="1">SUMIF('Data Input sheet'!$B$118:$D$180,R66,'Data Input sheet'!$D$118:$D$180)</f>
        <v>119</v>
      </c>
      <c r="T66" s="776">
        <f t="shared" ca="1" si="40"/>
        <v>0</v>
      </c>
      <c r="U66" s="1992"/>
      <c r="V66" s="778">
        <f t="shared" si="18"/>
        <v>0</v>
      </c>
      <c r="W66" s="772"/>
      <c r="X66" s="779"/>
      <c r="Y66" s="776">
        <v>0</v>
      </c>
      <c r="Z66" s="780">
        <f t="shared" ca="1" si="41"/>
        <v>0</v>
      </c>
      <c r="AA66" s="769"/>
      <c r="AB66" s="769"/>
      <c r="AC66" s="765">
        <f t="shared" si="0"/>
        <v>0</v>
      </c>
      <c r="AD66" s="781">
        <f t="shared" si="29"/>
        <v>0</v>
      </c>
      <c r="AE66" s="781">
        <f t="shared" si="2"/>
        <v>0</v>
      </c>
      <c r="AF66" s="781">
        <f t="shared" si="30"/>
        <v>0</v>
      </c>
      <c r="AG66" s="781">
        <f t="shared" si="31"/>
        <v>0</v>
      </c>
      <c r="AH66" s="781">
        <f t="shared" ca="1" si="5"/>
        <v>0</v>
      </c>
      <c r="AI66" s="782">
        <f t="shared" ca="1" si="32"/>
        <v>0</v>
      </c>
      <c r="AJ66" s="781">
        <f t="shared" si="33"/>
        <v>0</v>
      </c>
      <c r="AK66" s="781">
        <f t="shared" si="8"/>
        <v>0</v>
      </c>
      <c r="AL66" s="781">
        <f t="shared" si="34"/>
        <v>0</v>
      </c>
      <c r="AM66" s="781">
        <f t="shared" si="35"/>
        <v>0</v>
      </c>
      <c r="AN66" s="781">
        <f t="shared" si="11"/>
        <v>0</v>
      </c>
      <c r="AO66" s="781">
        <f t="shared" si="36"/>
        <v>0</v>
      </c>
      <c r="AP66" s="781">
        <f t="shared" si="37"/>
        <v>0</v>
      </c>
      <c r="AQ66" s="781">
        <f t="shared" si="14"/>
        <v>0</v>
      </c>
      <c r="AR66" s="781">
        <f t="shared" si="38"/>
        <v>0</v>
      </c>
      <c r="AS66" s="783">
        <f t="shared" ca="1" si="16"/>
        <v>0</v>
      </c>
    </row>
    <row r="67" spans="1:45" ht="15" x14ac:dyDescent="0.25">
      <c r="A67" s="784"/>
      <c r="B67" s="719">
        <f t="shared" si="19"/>
        <v>59</v>
      </c>
      <c r="C67" s="170" t="str">
        <f t="shared" si="17"/>
        <v>99</v>
      </c>
      <c r="D67" s="557"/>
      <c r="E67" s="170"/>
      <c r="F67" s="170">
        <v>99</v>
      </c>
      <c r="G67" s="787"/>
      <c r="H67" s="784"/>
      <c r="I67" s="784"/>
      <c r="J67" s="784"/>
      <c r="K67" s="784"/>
      <c r="L67" s="170"/>
      <c r="M67" s="773"/>
      <c r="N67" s="773"/>
      <c r="O67" s="773"/>
      <c r="P67" s="788"/>
      <c r="Q67" s="788"/>
      <c r="R67" s="773"/>
      <c r="S67" s="773"/>
      <c r="T67" s="779"/>
      <c r="U67" s="1993"/>
      <c r="V67" s="778">
        <f t="shared" si="18"/>
        <v>0</v>
      </c>
      <c r="W67" s="778"/>
      <c r="X67" s="779"/>
      <c r="Y67" s="779"/>
      <c r="Z67" s="780"/>
      <c r="AA67" s="787"/>
      <c r="AB67" s="787"/>
      <c r="AC67" s="765">
        <f t="shared" si="0"/>
        <v>0</v>
      </c>
      <c r="AD67" s="781">
        <f t="shared" si="29"/>
        <v>0</v>
      </c>
      <c r="AE67" s="781">
        <f t="shared" si="2"/>
        <v>0</v>
      </c>
      <c r="AF67" s="781">
        <f t="shared" si="30"/>
        <v>0</v>
      </c>
      <c r="AG67" s="781">
        <f t="shared" si="31"/>
        <v>0</v>
      </c>
      <c r="AH67" s="781">
        <f t="shared" si="5"/>
        <v>0</v>
      </c>
      <c r="AI67" s="782">
        <f t="shared" si="32"/>
        <v>0</v>
      </c>
      <c r="AJ67" s="781">
        <f t="shared" si="33"/>
        <v>0</v>
      </c>
      <c r="AK67" s="781">
        <f t="shared" si="8"/>
        <v>0</v>
      </c>
      <c r="AL67" s="781">
        <f t="shared" si="34"/>
        <v>0</v>
      </c>
      <c r="AM67" s="781">
        <f t="shared" si="35"/>
        <v>0</v>
      </c>
      <c r="AN67" s="781">
        <f t="shared" si="11"/>
        <v>0</v>
      </c>
      <c r="AO67" s="781">
        <f t="shared" si="36"/>
        <v>0</v>
      </c>
      <c r="AP67" s="781">
        <f t="shared" si="37"/>
        <v>0</v>
      </c>
      <c r="AQ67" s="781">
        <f t="shared" si="14"/>
        <v>0</v>
      </c>
      <c r="AR67" s="781">
        <f t="shared" si="38"/>
        <v>0</v>
      </c>
      <c r="AS67" s="783">
        <f t="shared" si="16"/>
        <v>0</v>
      </c>
    </row>
    <row r="68" spans="1:45" ht="15.75" thickBot="1" x14ac:dyDescent="0.3">
      <c r="A68" s="784"/>
      <c r="B68" s="719">
        <f t="shared" si="19"/>
        <v>60</v>
      </c>
      <c r="C68" s="170" t="str">
        <f t="shared" si="17"/>
        <v>99</v>
      </c>
      <c r="D68" s="557"/>
      <c r="E68" s="170"/>
      <c r="F68" s="170">
        <v>99</v>
      </c>
      <c r="G68" s="787"/>
      <c r="H68" s="784"/>
      <c r="I68" s="784"/>
      <c r="J68" s="784"/>
      <c r="K68" s="784"/>
      <c r="L68" s="170"/>
      <c r="M68" s="773"/>
      <c r="N68" s="773"/>
      <c r="O68" s="773"/>
      <c r="P68" s="788"/>
      <c r="Q68" s="788"/>
      <c r="R68" s="773"/>
      <c r="S68" s="773"/>
      <c r="T68" s="779"/>
      <c r="U68" s="1993"/>
      <c r="V68" s="778">
        <f t="shared" si="18"/>
        <v>0</v>
      </c>
      <c r="W68" s="778"/>
      <c r="X68" s="779"/>
      <c r="Y68" s="779"/>
      <c r="Z68" s="780"/>
      <c r="AA68" s="787"/>
      <c r="AB68" s="787"/>
      <c r="AC68" s="765">
        <f t="shared" si="0"/>
        <v>0</v>
      </c>
      <c r="AD68" s="781">
        <f t="shared" si="29"/>
        <v>0</v>
      </c>
      <c r="AE68" s="781">
        <f t="shared" si="2"/>
        <v>0</v>
      </c>
      <c r="AF68" s="781">
        <f t="shared" si="30"/>
        <v>0</v>
      </c>
      <c r="AG68" s="781">
        <f t="shared" si="31"/>
        <v>0</v>
      </c>
      <c r="AH68" s="781">
        <f t="shared" si="5"/>
        <v>0</v>
      </c>
      <c r="AI68" s="782">
        <f t="shared" si="32"/>
        <v>0</v>
      </c>
      <c r="AJ68" s="781">
        <f t="shared" si="33"/>
        <v>0</v>
      </c>
      <c r="AK68" s="781">
        <f t="shared" si="8"/>
        <v>0</v>
      </c>
      <c r="AL68" s="781">
        <f t="shared" si="34"/>
        <v>0</v>
      </c>
      <c r="AM68" s="781">
        <f t="shared" si="35"/>
        <v>0</v>
      </c>
      <c r="AN68" s="781">
        <f t="shared" si="11"/>
        <v>0</v>
      </c>
      <c r="AO68" s="781">
        <f t="shared" si="36"/>
        <v>0</v>
      </c>
      <c r="AP68" s="781">
        <f t="shared" si="37"/>
        <v>0</v>
      </c>
      <c r="AQ68" s="781">
        <f t="shared" si="14"/>
        <v>0</v>
      </c>
      <c r="AR68" s="781">
        <f t="shared" si="38"/>
        <v>0</v>
      </c>
      <c r="AS68" s="783">
        <f t="shared" si="16"/>
        <v>0</v>
      </c>
    </row>
    <row r="69" spans="1:45" ht="15.75" thickBot="1" x14ac:dyDescent="0.3">
      <c r="A69" s="784"/>
      <c r="B69" s="719">
        <f t="shared" si="19"/>
        <v>61</v>
      </c>
      <c r="C69" s="170" t="str">
        <f t="shared" si="17"/>
        <v>99</v>
      </c>
      <c r="D69" s="557"/>
      <c r="E69" s="170"/>
      <c r="F69" s="170">
        <v>99</v>
      </c>
      <c r="G69" s="839" t="s">
        <v>863</v>
      </c>
      <c r="H69" s="784"/>
      <c r="I69" s="784"/>
      <c r="J69" s="784"/>
      <c r="K69" s="784"/>
      <c r="L69" s="170"/>
      <c r="M69" s="773"/>
      <c r="N69" s="773"/>
      <c r="O69" s="773"/>
      <c r="P69" s="788"/>
      <c r="Q69" s="788"/>
      <c r="R69" s="773"/>
      <c r="S69" s="773"/>
      <c r="T69" s="779"/>
      <c r="U69" s="1993"/>
      <c r="V69" s="778">
        <f t="shared" si="18"/>
        <v>0</v>
      </c>
      <c r="W69" s="778"/>
      <c r="X69" s="779"/>
      <c r="Y69" s="779"/>
      <c r="Z69" s="780"/>
      <c r="AA69" s="787"/>
      <c r="AB69" s="787"/>
      <c r="AC69" s="765">
        <f t="shared" si="0"/>
        <v>0</v>
      </c>
      <c r="AD69" s="781">
        <f t="shared" si="29"/>
        <v>0</v>
      </c>
      <c r="AE69" s="781">
        <f t="shared" si="2"/>
        <v>0</v>
      </c>
      <c r="AF69" s="781">
        <f t="shared" si="30"/>
        <v>0</v>
      </c>
      <c r="AG69" s="781">
        <f t="shared" si="31"/>
        <v>0</v>
      </c>
      <c r="AH69" s="781">
        <f t="shared" si="5"/>
        <v>0</v>
      </c>
      <c r="AI69" s="782">
        <f t="shared" si="32"/>
        <v>0</v>
      </c>
      <c r="AJ69" s="781">
        <f t="shared" si="33"/>
        <v>0</v>
      </c>
      <c r="AK69" s="781">
        <f t="shared" si="8"/>
        <v>0</v>
      </c>
      <c r="AL69" s="781">
        <f t="shared" si="34"/>
        <v>0</v>
      </c>
      <c r="AM69" s="781">
        <f t="shared" si="35"/>
        <v>0</v>
      </c>
      <c r="AN69" s="781">
        <f t="shared" si="11"/>
        <v>0</v>
      </c>
      <c r="AO69" s="781">
        <f t="shared" si="36"/>
        <v>0</v>
      </c>
      <c r="AP69" s="781">
        <f t="shared" si="37"/>
        <v>0</v>
      </c>
      <c r="AQ69" s="781">
        <f t="shared" si="14"/>
        <v>0</v>
      </c>
      <c r="AR69" s="781">
        <f t="shared" si="38"/>
        <v>0</v>
      </c>
      <c r="AS69" s="783">
        <f t="shared" si="16"/>
        <v>0</v>
      </c>
    </row>
    <row r="70" spans="1:45" ht="15" x14ac:dyDescent="0.25">
      <c r="A70" s="784"/>
      <c r="B70" s="719">
        <f t="shared" si="19"/>
        <v>62</v>
      </c>
      <c r="C70" s="170" t="str">
        <f t="shared" si="17"/>
        <v>99</v>
      </c>
      <c r="D70" s="557"/>
      <c r="E70" s="170"/>
      <c r="F70" s="170">
        <v>99</v>
      </c>
      <c r="G70" s="792" t="s">
        <v>670</v>
      </c>
      <c r="H70" s="784"/>
      <c r="I70" s="784"/>
      <c r="J70" s="784"/>
      <c r="K70" s="784"/>
      <c r="L70" s="170"/>
      <c r="M70" s="773"/>
      <c r="N70" s="773"/>
      <c r="O70" s="773"/>
      <c r="P70" s="788"/>
      <c r="Q70" s="788"/>
      <c r="R70" s="773"/>
      <c r="S70" s="773"/>
      <c r="T70" s="779"/>
      <c r="U70" s="1993"/>
      <c r="V70" s="778">
        <f t="shared" si="18"/>
        <v>0</v>
      </c>
      <c r="W70" s="778"/>
      <c r="X70" s="779"/>
      <c r="Y70" s="779"/>
      <c r="Z70" s="780"/>
      <c r="AA70" s="787"/>
      <c r="AB70" s="787"/>
      <c r="AC70" s="765">
        <f t="shared" si="0"/>
        <v>0</v>
      </c>
      <c r="AD70" s="781">
        <f t="shared" si="29"/>
        <v>0</v>
      </c>
      <c r="AE70" s="781">
        <f t="shared" si="2"/>
        <v>0</v>
      </c>
      <c r="AF70" s="781">
        <f t="shared" si="30"/>
        <v>0</v>
      </c>
      <c r="AG70" s="781">
        <f t="shared" si="31"/>
        <v>0</v>
      </c>
      <c r="AH70" s="781">
        <f t="shared" si="5"/>
        <v>0</v>
      </c>
      <c r="AI70" s="782">
        <f t="shared" si="32"/>
        <v>0</v>
      </c>
      <c r="AJ70" s="781">
        <f t="shared" si="33"/>
        <v>0</v>
      </c>
      <c r="AK70" s="781">
        <f t="shared" si="8"/>
        <v>0</v>
      </c>
      <c r="AL70" s="781">
        <f t="shared" si="34"/>
        <v>0</v>
      </c>
      <c r="AM70" s="781">
        <f t="shared" si="35"/>
        <v>0</v>
      </c>
      <c r="AN70" s="781">
        <f t="shared" si="11"/>
        <v>0</v>
      </c>
      <c r="AO70" s="781">
        <f t="shared" si="36"/>
        <v>0</v>
      </c>
      <c r="AP70" s="781">
        <f t="shared" si="37"/>
        <v>0</v>
      </c>
      <c r="AQ70" s="781">
        <f t="shared" si="14"/>
        <v>0</v>
      </c>
      <c r="AR70" s="781">
        <f t="shared" si="38"/>
        <v>0</v>
      </c>
      <c r="AS70" s="783">
        <f t="shared" si="16"/>
        <v>0</v>
      </c>
    </row>
    <row r="71" spans="1:45" ht="15" x14ac:dyDescent="0.25">
      <c r="A71" s="768"/>
      <c r="B71" s="719">
        <f t="shared" si="19"/>
        <v>63</v>
      </c>
      <c r="C71" s="170" t="str">
        <f t="shared" si="17"/>
        <v>99</v>
      </c>
      <c r="D71" s="557"/>
      <c r="E71" s="170"/>
      <c r="F71" s="170">
        <v>99</v>
      </c>
      <c r="G71" s="785"/>
      <c r="H71" s="770"/>
      <c r="I71" s="768"/>
      <c r="J71" s="770"/>
      <c r="K71" s="770"/>
      <c r="L71" s="170"/>
      <c r="M71" s="771">
        <v>0</v>
      </c>
      <c r="N71" s="772">
        <v>1</v>
      </c>
      <c r="O71" s="773">
        <f t="shared" ref="O71:O77" si="42">+M71*N71</f>
        <v>0</v>
      </c>
      <c r="P71" s="768" t="s">
        <v>39</v>
      </c>
      <c r="Q71" s="768" t="s">
        <v>39</v>
      </c>
      <c r="R71" s="774" t="s">
        <v>73</v>
      </c>
      <c r="S71" s="775">
        <f ca="1">SUMIF('Data Input sheet'!$B$118:$D$180,R71,'Data Input sheet'!$D$118:$D$180)</f>
        <v>119</v>
      </c>
      <c r="T71" s="776">
        <f t="shared" ref="T71:T77" ca="1" si="43">+O71*S71</f>
        <v>0</v>
      </c>
      <c r="U71" s="1992"/>
      <c r="V71" s="778">
        <f t="shared" si="18"/>
        <v>0</v>
      </c>
      <c r="W71" s="772"/>
      <c r="X71" s="779"/>
      <c r="Y71" s="776">
        <v>0</v>
      </c>
      <c r="Z71" s="780">
        <f t="shared" ref="Z71:Z77" ca="1" si="44">T71+V71+W71+Y71</f>
        <v>0</v>
      </c>
      <c r="AA71" s="769"/>
      <c r="AB71" s="769"/>
      <c r="AC71" s="765">
        <f t="shared" si="0"/>
        <v>0</v>
      </c>
      <c r="AD71" s="781">
        <f t="shared" si="29"/>
        <v>0</v>
      </c>
      <c r="AE71" s="781">
        <f t="shared" si="2"/>
        <v>0</v>
      </c>
      <c r="AF71" s="781">
        <f t="shared" si="30"/>
        <v>0</v>
      </c>
      <c r="AG71" s="781">
        <f t="shared" si="31"/>
        <v>0</v>
      </c>
      <c r="AH71" s="781">
        <f t="shared" ca="1" si="5"/>
        <v>0</v>
      </c>
      <c r="AI71" s="782">
        <f t="shared" ca="1" si="32"/>
        <v>0</v>
      </c>
      <c r="AJ71" s="781">
        <f t="shared" si="33"/>
        <v>0</v>
      </c>
      <c r="AK71" s="781">
        <f t="shared" si="8"/>
        <v>0</v>
      </c>
      <c r="AL71" s="781">
        <f t="shared" si="34"/>
        <v>0</v>
      </c>
      <c r="AM71" s="781">
        <f t="shared" si="35"/>
        <v>0</v>
      </c>
      <c r="AN71" s="781">
        <f t="shared" si="11"/>
        <v>0</v>
      </c>
      <c r="AO71" s="781">
        <f t="shared" si="36"/>
        <v>0</v>
      </c>
      <c r="AP71" s="781">
        <f t="shared" si="37"/>
        <v>0</v>
      </c>
      <c r="AQ71" s="781">
        <f t="shared" si="14"/>
        <v>0</v>
      </c>
      <c r="AR71" s="781">
        <f t="shared" si="38"/>
        <v>0</v>
      </c>
      <c r="AS71" s="783">
        <f t="shared" ca="1" si="16"/>
        <v>0</v>
      </c>
    </row>
    <row r="72" spans="1:45" ht="15" x14ac:dyDescent="0.25">
      <c r="A72" s="768"/>
      <c r="B72" s="719">
        <f t="shared" si="19"/>
        <v>64</v>
      </c>
      <c r="C72" s="170" t="str">
        <f t="shared" si="17"/>
        <v>99</v>
      </c>
      <c r="D72" s="557"/>
      <c r="E72" s="170"/>
      <c r="F72" s="170">
        <v>99</v>
      </c>
      <c r="G72" s="785"/>
      <c r="H72" s="770"/>
      <c r="I72" s="768"/>
      <c r="J72" s="770"/>
      <c r="K72" s="770"/>
      <c r="L72" s="170"/>
      <c r="M72" s="771">
        <v>0</v>
      </c>
      <c r="N72" s="772">
        <v>1</v>
      </c>
      <c r="O72" s="773">
        <f t="shared" si="42"/>
        <v>0</v>
      </c>
      <c r="P72" s="768" t="s">
        <v>39</v>
      </c>
      <c r="Q72" s="768" t="s">
        <v>39</v>
      </c>
      <c r="R72" s="774" t="s">
        <v>73</v>
      </c>
      <c r="S72" s="775">
        <f ca="1">SUMIF('Data Input sheet'!$B$118:$D$180,R72,'Data Input sheet'!$D$118:$D$180)</f>
        <v>119</v>
      </c>
      <c r="T72" s="776">
        <f t="shared" ca="1" si="43"/>
        <v>0</v>
      </c>
      <c r="U72" s="1992"/>
      <c r="V72" s="778">
        <f t="shared" si="18"/>
        <v>0</v>
      </c>
      <c r="W72" s="772"/>
      <c r="X72" s="779"/>
      <c r="Y72" s="776">
        <v>0</v>
      </c>
      <c r="Z72" s="780">
        <f t="shared" ca="1" si="44"/>
        <v>0</v>
      </c>
      <c r="AA72" s="769"/>
      <c r="AB72" s="769"/>
      <c r="AC72" s="765">
        <f t="shared" si="0"/>
        <v>0</v>
      </c>
      <c r="AD72" s="781">
        <f t="shared" si="29"/>
        <v>0</v>
      </c>
      <c r="AE72" s="781">
        <f t="shared" si="2"/>
        <v>0</v>
      </c>
      <c r="AF72" s="781">
        <f t="shared" si="30"/>
        <v>0</v>
      </c>
      <c r="AG72" s="781">
        <f t="shared" si="31"/>
        <v>0</v>
      </c>
      <c r="AH72" s="781">
        <f t="shared" ca="1" si="5"/>
        <v>0</v>
      </c>
      <c r="AI72" s="782">
        <f t="shared" ca="1" si="32"/>
        <v>0</v>
      </c>
      <c r="AJ72" s="781">
        <f t="shared" si="33"/>
        <v>0</v>
      </c>
      <c r="AK72" s="781">
        <f t="shared" si="8"/>
        <v>0</v>
      </c>
      <c r="AL72" s="781">
        <f t="shared" si="34"/>
        <v>0</v>
      </c>
      <c r="AM72" s="781">
        <f t="shared" si="35"/>
        <v>0</v>
      </c>
      <c r="AN72" s="781">
        <f t="shared" si="11"/>
        <v>0</v>
      </c>
      <c r="AO72" s="781">
        <f t="shared" si="36"/>
        <v>0</v>
      </c>
      <c r="AP72" s="781">
        <f t="shared" si="37"/>
        <v>0</v>
      </c>
      <c r="AQ72" s="781">
        <f t="shared" si="14"/>
        <v>0</v>
      </c>
      <c r="AR72" s="781">
        <f t="shared" si="38"/>
        <v>0</v>
      </c>
      <c r="AS72" s="783">
        <f t="shared" ca="1" si="16"/>
        <v>0</v>
      </c>
    </row>
    <row r="73" spans="1:45" ht="15" x14ac:dyDescent="0.25">
      <c r="A73" s="768"/>
      <c r="B73" s="719">
        <f t="shared" si="19"/>
        <v>65</v>
      </c>
      <c r="C73" s="170" t="str">
        <f t="shared" si="17"/>
        <v>99</v>
      </c>
      <c r="D73" s="557"/>
      <c r="E73" s="170"/>
      <c r="F73" s="170">
        <v>99</v>
      </c>
      <c r="G73" s="785"/>
      <c r="H73" s="770"/>
      <c r="I73" s="768"/>
      <c r="J73" s="770"/>
      <c r="K73" s="770"/>
      <c r="L73" s="170"/>
      <c r="M73" s="771">
        <v>0</v>
      </c>
      <c r="N73" s="772">
        <v>1</v>
      </c>
      <c r="O73" s="773">
        <f t="shared" si="42"/>
        <v>0</v>
      </c>
      <c r="P73" s="768" t="s">
        <v>39</v>
      </c>
      <c r="Q73" s="768" t="s">
        <v>39</v>
      </c>
      <c r="R73" s="774" t="s">
        <v>73</v>
      </c>
      <c r="S73" s="775">
        <f ca="1">SUMIF('Data Input sheet'!$B$118:$D$180,R73,'Data Input sheet'!$D$118:$D$180)</f>
        <v>119</v>
      </c>
      <c r="T73" s="776">
        <f t="shared" ca="1" si="43"/>
        <v>0</v>
      </c>
      <c r="U73" s="1992"/>
      <c r="V73" s="778">
        <f t="shared" si="18"/>
        <v>0</v>
      </c>
      <c r="W73" s="772"/>
      <c r="X73" s="779"/>
      <c r="Y73" s="776">
        <v>0</v>
      </c>
      <c r="Z73" s="780">
        <f t="shared" ca="1" si="44"/>
        <v>0</v>
      </c>
      <c r="AA73" s="769"/>
      <c r="AB73" s="769"/>
      <c r="AC73" s="765">
        <f t="shared" ref="AC73:AC136" si="45">IF(V73=0,0,ROUND(V73/O73,0))</f>
        <v>0</v>
      </c>
      <c r="AD73" s="781">
        <f t="shared" ref="AD73:AD104" si="46">IF(P73="E",+ROUND(H73*O73,0),0)</f>
        <v>0</v>
      </c>
      <c r="AE73" s="781">
        <f t="shared" ref="AE73:AE136" si="47">+AF73-AD73</f>
        <v>0</v>
      </c>
      <c r="AF73" s="781">
        <f t="shared" ref="AF73:AF104" si="48">+H73*O73</f>
        <v>0</v>
      </c>
      <c r="AG73" s="781">
        <f t="shared" ref="AG73:AG104" si="49">IF(P73="E",+ROUND(T73*H73,0),0)</f>
        <v>0</v>
      </c>
      <c r="AH73" s="781">
        <f t="shared" ref="AH73:AH136" ca="1" si="50">+AI73-AG73</f>
        <v>0</v>
      </c>
      <c r="AI73" s="782">
        <f t="shared" ref="AI73:AI104" ca="1" si="51">+H73*T73</f>
        <v>0</v>
      </c>
      <c r="AJ73" s="781">
        <f t="shared" ref="AJ73:AJ104" si="52">IF(P73="E",+ROUND(V73*H73,0),0)</f>
        <v>0</v>
      </c>
      <c r="AK73" s="781">
        <f t="shared" ref="AK73:AK136" si="53">+AL73-AJ73</f>
        <v>0</v>
      </c>
      <c r="AL73" s="781">
        <f t="shared" ref="AL73:AL104" si="54">ROUND(V73*H73,0)</f>
        <v>0</v>
      </c>
      <c r="AM73" s="781">
        <f t="shared" ref="AM73:AM104" si="55">IF(Q73="E",+ROUND(W73*H73,0),0)</f>
        <v>0</v>
      </c>
      <c r="AN73" s="781">
        <f t="shared" ref="AN73:AN136" si="56">+AO73-AM73</f>
        <v>0</v>
      </c>
      <c r="AO73" s="781">
        <f t="shared" ref="AO73:AO104" si="57">ROUND(W73*H73,0)</f>
        <v>0</v>
      </c>
      <c r="AP73" s="781">
        <f t="shared" ref="AP73:AP104" si="58">IF(P73="E",+ROUND(Y73*H73,0),0)</f>
        <v>0</v>
      </c>
      <c r="AQ73" s="781">
        <f t="shared" ref="AQ73:AQ136" si="59">+AR73-AP73</f>
        <v>0</v>
      </c>
      <c r="AR73" s="781">
        <f t="shared" ref="AR73:AR104" si="60">ROUND(Y73*H73,0)</f>
        <v>0</v>
      </c>
      <c r="AS73" s="783">
        <f t="shared" ref="AS73:AS136" ca="1" si="61">+AR73+AO73+AL73+AI73</f>
        <v>0</v>
      </c>
    </row>
    <row r="74" spans="1:45" ht="15" x14ac:dyDescent="0.25">
      <c r="A74" s="768"/>
      <c r="B74" s="719">
        <f t="shared" si="19"/>
        <v>66</v>
      </c>
      <c r="C74" s="170" t="str">
        <f t="shared" ref="C74:C137" si="62">+F74&amp;I74</f>
        <v>99</v>
      </c>
      <c r="D74" s="557"/>
      <c r="E74" s="170"/>
      <c r="F74" s="170">
        <v>99</v>
      </c>
      <c r="G74" s="785"/>
      <c r="H74" s="770"/>
      <c r="I74" s="768"/>
      <c r="J74" s="770"/>
      <c r="K74" s="770"/>
      <c r="L74" s="170"/>
      <c r="M74" s="771">
        <v>0</v>
      </c>
      <c r="N74" s="772">
        <v>1</v>
      </c>
      <c r="O74" s="773">
        <f t="shared" si="42"/>
        <v>0</v>
      </c>
      <c r="P74" s="768" t="s">
        <v>39</v>
      </c>
      <c r="Q74" s="768" t="s">
        <v>39</v>
      </c>
      <c r="R74" s="774" t="s">
        <v>73</v>
      </c>
      <c r="S74" s="775">
        <f ca="1">SUMIF('Data Input sheet'!$B$118:$D$180,R74,'Data Input sheet'!$D$118:$D$180)</f>
        <v>119</v>
      </c>
      <c r="T74" s="776">
        <f t="shared" ca="1" si="43"/>
        <v>0</v>
      </c>
      <c r="U74" s="1992"/>
      <c r="V74" s="778">
        <f t="shared" ref="V74:V137" si="63">ROUND(U74*O74,0)</f>
        <v>0</v>
      </c>
      <c r="W74" s="772"/>
      <c r="X74" s="779"/>
      <c r="Y74" s="776">
        <v>0</v>
      </c>
      <c r="Z74" s="780">
        <f t="shared" ca="1" si="44"/>
        <v>0</v>
      </c>
      <c r="AA74" s="769"/>
      <c r="AB74" s="769"/>
      <c r="AC74" s="765">
        <f t="shared" si="45"/>
        <v>0</v>
      </c>
      <c r="AD74" s="781">
        <f t="shared" si="46"/>
        <v>0</v>
      </c>
      <c r="AE74" s="781">
        <f t="shared" si="47"/>
        <v>0</v>
      </c>
      <c r="AF74" s="781">
        <f t="shared" si="48"/>
        <v>0</v>
      </c>
      <c r="AG74" s="781">
        <f t="shared" si="49"/>
        <v>0</v>
      </c>
      <c r="AH74" s="781">
        <f t="shared" ca="1" si="50"/>
        <v>0</v>
      </c>
      <c r="AI74" s="782">
        <f t="shared" ca="1" si="51"/>
        <v>0</v>
      </c>
      <c r="AJ74" s="781">
        <f t="shared" si="52"/>
        <v>0</v>
      </c>
      <c r="AK74" s="781">
        <f t="shared" si="53"/>
        <v>0</v>
      </c>
      <c r="AL74" s="781">
        <f t="shared" si="54"/>
        <v>0</v>
      </c>
      <c r="AM74" s="781">
        <f t="shared" si="55"/>
        <v>0</v>
      </c>
      <c r="AN74" s="781">
        <f t="shared" si="56"/>
        <v>0</v>
      </c>
      <c r="AO74" s="781">
        <f t="shared" si="57"/>
        <v>0</v>
      </c>
      <c r="AP74" s="781">
        <f t="shared" si="58"/>
        <v>0</v>
      </c>
      <c r="AQ74" s="781">
        <f t="shared" si="59"/>
        <v>0</v>
      </c>
      <c r="AR74" s="781">
        <f t="shared" si="60"/>
        <v>0</v>
      </c>
      <c r="AS74" s="783">
        <f t="shared" ca="1" si="61"/>
        <v>0</v>
      </c>
    </row>
    <row r="75" spans="1:45" ht="15" x14ac:dyDescent="0.25">
      <c r="A75" s="768"/>
      <c r="B75" s="719">
        <f t="shared" ref="B75:B138" si="64">B74+1</f>
        <v>67</v>
      </c>
      <c r="C75" s="170" t="str">
        <f t="shared" si="62"/>
        <v>99</v>
      </c>
      <c r="D75" s="557"/>
      <c r="E75" s="170"/>
      <c r="F75" s="170">
        <v>99</v>
      </c>
      <c r="G75" s="785"/>
      <c r="H75" s="770"/>
      <c r="I75" s="768"/>
      <c r="J75" s="770"/>
      <c r="K75" s="770"/>
      <c r="L75" s="170"/>
      <c r="M75" s="771">
        <v>0</v>
      </c>
      <c r="N75" s="772">
        <v>1</v>
      </c>
      <c r="O75" s="773">
        <f t="shared" si="42"/>
        <v>0</v>
      </c>
      <c r="P75" s="768" t="s">
        <v>39</v>
      </c>
      <c r="Q75" s="768" t="s">
        <v>39</v>
      </c>
      <c r="R75" s="774" t="s">
        <v>73</v>
      </c>
      <c r="S75" s="775">
        <f ca="1">SUMIF('Data Input sheet'!$B$118:$D$180,R75,'Data Input sheet'!$D$118:$D$180)</f>
        <v>119</v>
      </c>
      <c r="T75" s="776">
        <f t="shared" ca="1" si="43"/>
        <v>0</v>
      </c>
      <c r="U75" s="1992"/>
      <c r="V75" s="778">
        <f t="shared" si="63"/>
        <v>0</v>
      </c>
      <c r="W75" s="772"/>
      <c r="X75" s="779"/>
      <c r="Y75" s="776">
        <v>0</v>
      </c>
      <c r="Z75" s="780">
        <f t="shared" ca="1" si="44"/>
        <v>0</v>
      </c>
      <c r="AA75" s="769"/>
      <c r="AB75" s="769"/>
      <c r="AC75" s="765">
        <f t="shared" si="45"/>
        <v>0</v>
      </c>
      <c r="AD75" s="781">
        <f t="shared" si="46"/>
        <v>0</v>
      </c>
      <c r="AE75" s="781">
        <f t="shared" si="47"/>
        <v>0</v>
      </c>
      <c r="AF75" s="781">
        <f t="shared" si="48"/>
        <v>0</v>
      </c>
      <c r="AG75" s="781">
        <f t="shared" si="49"/>
        <v>0</v>
      </c>
      <c r="AH75" s="781">
        <f t="shared" ca="1" si="50"/>
        <v>0</v>
      </c>
      <c r="AI75" s="782">
        <f t="shared" ca="1" si="51"/>
        <v>0</v>
      </c>
      <c r="AJ75" s="781">
        <f t="shared" si="52"/>
        <v>0</v>
      </c>
      <c r="AK75" s="781">
        <f t="shared" si="53"/>
        <v>0</v>
      </c>
      <c r="AL75" s="781">
        <f t="shared" si="54"/>
        <v>0</v>
      </c>
      <c r="AM75" s="781">
        <f t="shared" si="55"/>
        <v>0</v>
      </c>
      <c r="AN75" s="781">
        <f t="shared" si="56"/>
        <v>0</v>
      </c>
      <c r="AO75" s="781">
        <f t="shared" si="57"/>
        <v>0</v>
      </c>
      <c r="AP75" s="781">
        <f t="shared" si="58"/>
        <v>0</v>
      </c>
      <c r="AQ75" s="781">
        <f t="shared" si="59"/>
        <v>0</v>
      </c>
      <c r="AR75" s="781">
        <f t="shared" si="60"/>
        <v>0</v>
      </c>
      <c r="AS75" s="783">
        <f t="shared" ca="1" si="61"/>
        <v>0</v>
      </c>
    </row>
    <row r="76" spans="1:45" ht="15" x14ac:dyDescent="0.25">
      <c r="A76" s="768"/>
      <c r="B76" s="719">
        <f t="shared" si="64"/>
        <v>68</v>
      </c>
      <c r="C76" s="170" t="str">
        <f t="shared" si="62"/>
        <v>99</v>
      </c>
      <c r="D76" s="557"/>
      <c r="E76" s="170"/>
      <c r="F76" s="170">
        <v>99</v>
      </c>
      <c r="G76" s="785"/>
      <c r="H76" s="770"/>
      <c r="I76" s="768"/>
      <c r="J76" s="770"/>
      <c r="K76" s="770"/>
      <c r="L76" s="170"/>
      <c r="M76" s="771">
        <v>0</v>
      </c>
      <c r="N76" s="772">
        <v>1</v>
      </c>
      <c r="O76" s="773">
        <f t="shared" si="42"/>
        <v>0</v>
      </c>
      <c r="P76" s="768" t="s">
        <v>39</v>
      </c>
      <c r="Q76" s="768" t="s">
        <v>39</v>
      </c>
      <c r="R76" s="774" t="s">
        <v>73</v>
      </c>
      <c r="S76" s="775">
        <f ca="1">SUMIF('Data Input sheet'!$B$118:$D$180,R76,'Data Input sheet'!$D$118:$D$180)</f>
        <v>119</v>
      </c>
      <c r="T76" s="776">
        <f t="shared" ca="1" si="43"/>
        <v>0</v>
      </c>
      <c r="U76" s="1992"/>
      <c r="V76" s="778">
        <f t="shared" si="63"/>
        <v>0</v>
      </c>
      <c r="W76" s="772"/>
      <c r="X76" s="779"/>
      <c r="Y76" s="776">
        <v>0</v>
      </c>
      <c r="Z76" s="780">
        <f t="shared" ca="1" si="44"/>
        <v>0</v>
      </c>
      <c r="AA76" s="769"/>
      <c r="AB76" s="769"/>
      <c r="AC76" s="765">
        <f t="shared" si="45"/>
        <v>0</v>
      </c>
      <c r="AD76" s="781">
        <f t="shared" si="46"/>
        <v>0</v>
      </c>
      <c r="AE76" s="781">
        <f t="shared" si="47"/>
        <v>0</v>
      </c>
      <c r="AF76" s="781">
        <f t="shared" si="48"/>
        <v>0</v>
      </c>
      <c r="AG76" s="781">
        <f t="shared" si="49"/>
        <v>0</v>
      </c>
      <c r="AH76" s="781">
        <f t="shared" ca="1" si="50"/>
        <v>0</v>
      </c>
      <c r="AI76" s="782">
        <f t="shared" ca="1" si="51"/>
        <v>0</v>
      </c>
      <c r="AJ76" s="781">
        <f t="shared" si="52"/>
        <v>0</v>
      </c>
      <c r="AK76" s="781">
        <f t="shared" si="53"/>
        <v>0</v>
      </c>
      <c r="AL76" s="781">
        <f t="shared" si="54"/>
        <v>0</v>
      </c>
      <c r="AM76" s="781">
        <f t="shared" si="55"/>
        <v>0</v>
      </c>
      <c r="AN76" s="781">
        <f t="shared" si="56"/>
        <v>0</v>
      </c>
      <c r="AO76" s="781">
        <f t="shared" si="57"/>
        <v>0</v>
      </c>
      <c r="AP76" s="781">
        <f t="shared" si="58"/>
        <v>0</v>
      </c>
      <c r="AQ76" s="781">
        <f t="shared" si="59"/>
        <v>0</v>
      </c>
      <c r="AR76" s="781">
        <f t="shared" si="60"/>
        <v>0</v>
      </c>
      <c r="AS76" s="783">
        <f t="shared" ca="1" si="61"/>
        <v>0</v>
      </c>
    </row>
    <row r="77" spans="1:45" ht="15" x14ac:dyDescent="0.25">
      <c r="A77" s="768"/>
      <c r="B77" s="719">
        <f t="shared" si="64"/>
        <v>69</v>
      </c>
      <c r="C77" s="170" t="str">
        <f t="shared" si="62"/>
        <v>99</v>
      </c>
      <c r="D77" s="557"/>
      <c r="E77" s="170"/>
      <c r="F77" s="170">
        <v>99</v>
      </c>
      <c r="G77" s="785"/>
      <c r="H77" s="770"/>
      <c r="I77" s="768"/>
      <c r="J77" s="770"/>
      <c r="K77" s="770"/>
      <c r="L77" s="170"/>
      <c r="M77" s="771">
        <v>0</v>
      </c>
      <c r="N77" s="772">
        <v>1</v>
      </c>
      <c r="O77" s="773">
        <f t="shared" si="42"/>
        <v>0</v>
      </c>
      <c r="P77" s="768" t="s">
        <v>39</v>
      </c>
      <c r="Q77" s="768" t="s">
        <v>39</v>
      </c>
      <c r="R77" s="774" t="s">
        <v>73</v>
      </c>
      <c r="S77" s="775">
        <f ca="1">SUMIF('Data Input sheet'!$B$118:$D$180,R77,'Data Input sheet'!$D$118:$D$180)</f>
        <v>119</v>
      </c>
      <c r="T77" s="776">
        <f t="shared" ca="1" si="43"/>
        <v>0</v>
      </c>
      <c r="U77" s="1992"/>
      <c r="V77" s="778">
        <f t="shared" si="63"/>
        <v>0</v>
      </c>
      <c r="W77" s="772"/>
      <c r="X77" s="779"/>
      <c r="Y77" s="776">
        <v>0</v>
      </c>
      <c r="Z77" s="780">
        <f t="shared" ca="1" si="44"/>
        <v>0</v>
      </c>
      <c r="AA77" s="769"/>
      <c r="AB77" s="769"/>
      <c r="AC77" s="765">
        <f t="shared" si="45"/>
        <v>0</v>
      </c>
      <c r="AD77" s="781">
        <f t="shared" si="46"/>
        <v>0</v>
      </c>
      <c r="AE77" s="781">
        <f t="shared" si="47"/>
        <v>0</v>
      </c>
      <c r="AF77" s="781">
        <f t="shared" si="48"/>
        <v>0</v>
      </c>
      <c r="AG77" s="781">
        <f t="shared" si="49"/>
        <v>0</v>
      </c>
      <c r="AH77" s="781">
        <f t="shared" ca="1" si="50"/>
        <v>0</v>
      </c>
      <c r="AI77" s="782">
        <f t="shared" ca="1" si="51"/>
        <v>0</v>
      </c>
      <c r="AJ77" s="781">
        <f t="shared" si="52"/>
        <v>0</v>
      </c>
      <c r="AK77" s="781">
        <f t="shared" si="53"/>
        <v>0</v>
      </c>
      <c r="AL77" s="781">
        <f t="shared" si="54"/>
        <v>0</v>
      </c>
      <c r="AM77" s="781">
        <f t="shared" si="55"/>
        <v>0</v>
      </c>
      <c r="AN77" s="781">
        <f t="shared" si="56"/>
        <v>0</v>
      </c>
      <c r="AO77" s="781">
        <f t="shared" si="57"/>
        <v>0</v>
      </c>
      <c r="AP77" s="781">
        <f t="shared" si="58"/>
        <v>0</v>
      </c>
      <c r="AQ77" s="781">
        <f t="shared" si="59"/>
        <v>0</v>
      </c>
      <c r="AR77" s="781">
        <f t="shared" si="60"/>
        <v>0</v>
      </c>
      <c r="AS77" s="783">
        <f t="shared" ca="1" si="61"/>
        <v>0</v>
      </c>
    </row>
    <row r="78" spans="1:45" ht="15" x14ac:dyDescent="0.25">
      <c r="A78" s="784"/>
      <c r="B78" s="719">
        <f t="shared" si="64"/>
        <v>70</v>
      </c>
      <c r="C78" s="170" t="str">
        <f t="shared" si="62"/>
        <v>99</v>
      </c>
      <c r="D78" s="557"/>
      <c r="E78" s="170"/>
      <c r="F78" s="170">
        <v>99</v>
      </c>
      <c r="G78" s="787"/>
      <c r="H78" s="784"/>
      <c r="I78" s="784"/>
      <c r="J78" s="784"/>
      <c r="K78" s="784"/>
      <c r="L78" s="170"/>
      <c r="M78" s="773"/>
      <c r="N78" s="773"/>
      <c r="O78" s="773"/>
      <c r="P78" s="788"/>
      <c r="Q78" s="788"/>
      <c r="R78" s="773"/>
      <c r="S78" s="773"/>
      <c r="T78" s="779"/>
      <c r="U78" s="1993"/>
      <c r="V78" s="778">
        <f t="shared" si="63"/>
        <v>0</v>
      </c>
      <c r="W78" s="778"/>
      <c r="X78" s="779"/>
      <c r="Y78" s="779"/>
      <c r="Z78" s="780"/>
      <c r="AA78" s="787"/>
      <c r="AB78" s="787"/>
      <c r="AC78" s="765">
        <f t="shared" si="45"/>
        <v>0</v>
      </c>
      <c r="AD78" s="781">
        <f t="shared" si="46"/>
        <v>0</v>
      </c>
      <c r="AE78" s="781">
        <f t="shared" si="47"/>
        <v>0</v>
      </c>
      <c r="AF78" s="781">
        <f t="shared" si="48"/>
        <v>0</v>
      </c>
      <c r="AG78" s="781">
        <f t="shared" si="49"/>
        <v>0</v>
      </c>
      <c r="AH78" s="781">
        <f t="shared" si="50"/>
        <v>0</v>
      </c>
      <c r="AI78" s="782">
        <f t="shared" si="51"/>
        <v>0</v>
      </c>
      <c r="AJ78" s="781">
        <f t="shared" si="52"/>
        <v>0</v>
      </c>
      <c r="AK78" s="781">
        <f t="shared" si="53"/>
        <v>0</v>
      </c>
      <c r="AL78" s="781">
        <f t="shared" si="54"/>
        <v>0</v>
      </c>
      <c r="AM78" s="781">
        <f t="shared" si="55"/>
        <v>0</v>
      </c>
      <c r="AN78" s="781">
        <f t="shared" si="56"/>
        <v>0</v>
      </c>
      <c r="AO78" s="781">
        <f t="shared" si="57"/>
        <v>0</v>
      </c>
      <c r="AP78" s="781">
        <f t="shared" si="58"/>
        <v>0</v>
      </c>
      <c r="AQ78" s="781">
        <f t="shared" si="59"/>
        <v>0</v>
      </c>
      <c r="AR78" s="781">
        <f t="shared" si="60"/>
        <v>0</v>
      </c>
      <c r="AS78" s="783">
        <f t="shared" si="61"/>
        <v>0</v>
      </c>
    </row>
    <row r="79" spans="1:45" ht="15" x14ac:dyDescent="0.25">
      <c r="A79" s="784"/>
      <c r="B79" s="719">
        <f t="shared" si="64"/>
        <v>71</v>
      </c>
      <c r="C79" s="170" t="str">
        <f t="shared" si="62"/>
        <v>99</v>
      </c>
      <c r="D79" s="557"/>
      <c r="E79" s="170"/>
      <c r="F79" s="170">
        <v>99</v>
      </c>
      <c r="G79" s="792" t="s">
        <v>685</v>
      </c>
      <c r="H79" s="784"/>
      <c r="I79" s="784"/>
      <c r="J79" s="784"/>
      <c r="K79" s="784"/>
      <c r="L79" s="170"/>
      <c r="M79" s="773"/>
      <c r="N79" s="773"/>
      <c r="O79" s="773"/>
      <c r="P79" s="788"/>
      <c r="Q79" s="788"/>
      <c r="R79" s="773"/>
      <c r="S79" s="773"/>
      <c r="T79" s="779"/>
      <c r="U79" s="1993"/>
      <c r="V79" s="778">
        <f t="shared" si="63"/>
        <v>0</v>
      </c>
      <c r="W79" s="778"/>
      <c r="X79" s="779"/>
      <c r="Y79" s="779"/>
      <c r="Z79" s="780"/>
      <c r="AA79" s="787"/>
      <c r="AB79" s="787"/>
      <c r="AC79" s="765">
        <f t="shared" si="45"/>
        <v>0</v>
      </c>
      <c r="AD79" s="781">
        <f t="shared" si="46"/>
        <v>0</v>
      </c>
      <c r="AE79" s="781">
        <f t="shared" si="47"/>
        <v>0</v>
      </c>
      <c r="AF79" s="781">
        <f t="shared" si="48"/>
        <v>0</v>
      </c>
      <c r="AG79" s="781">
        <f t="shared" si="49"/>
        <v>0</v>
      </c>
      <c r="AH79" s="781">
        <f t="shared" si="50"/>
        <v>0</v>
      </c>
      <c r="AI79" s="782">
        <f t="shared" si="51"/>
        <v>0</v>
      </c>
      <c r="AJ79" s="781">
        <f t="shared" si="52"/>
        <v>0</v>
      </c>
      <c r="AK79" s="781">
        <f t="shared" si="53"/>
        <v>0</v>
      </c>
      <c r="AL79" s="781">
        <f t="shared" si="54"/>
        <v>0</v>
      </c>
      <c r="AM79" s="781">
        <f t="shared" si="55"/>
        <v>0</v>
      </c>
      <c r="AN79" s="781">
        <f t="shared" si="56"/>
        <v>0</v>
      </c>
      <c r="AO79" s="781">
        <f t="shared" si="57"/>
        <v>0</v>
      </c>
      <c r="AP79" s="781">
        <f t="shared" si="58"/>
        <v>0</v>
      </c>
      <c r="AQ79" s="781">
        <f t="shared" si="59"/>
        <v>0</v>
      </c>
      <c r="AR79" s="781">
        <f t="shared" si="60"/>
        <v>0</v>
      </c>
      <c r="AS79" s="783">
        <f t="shared" si="61"/>
        <v>0</v>
      </c>
    </row>
    <row r="80" spans="1:45" ht="15" x14ac:dyDescent="0.25">
      <c r="A80" s="768"/>
      <c r="B80" s="719">
        <f t="shared" si="64"/>
        <v>72</v>
      </c>
      <c r="C80" s="170" t="str">
        <f t="shared" si="62"/>
        <v>99</v>
      </c>
      <c r="D80" s="557"/>
      <c r="E80" s="170"/>
      <c r="F80" s="170">
        <v>99</v>
      </c>
      <c r="G80" s="785"/>
      <c r="H80" s="770"/>
      <c r="I80" s="768"/>
      <c r="J80" s="770"/>
      <c r="K80" s="770"/>
      <c r="L80" s="170"/>
      <c r="M80" s="771">
        <v>0</v>
      </c>
      <c r="N80" s="772">
        <v>1</v>
      </c>
      <c r="O80" s="773">
        <f t="shared" ref="O80:O107" si="65">+M80*N80</f>
        <v>0</v>
      </c>
      <c r="P80" s="768" t="s">
        <v>39</v>
      </c>
      <c r="Q80" s="768" t="s">
        <v>39</v>
      </c>
      <c r="R80" s="774" t="s">
        <v>73</v>
      </c>
      <c r="S80" s="775">
        <f ca="1">SUMIF('Data Input sheet'!$B$118:$D$180,R80,'Data Input sheet'!$D$118:$D$180)</f>
        <v>119</v>
      </c>
      <c r="T80" s="776">
        <f t="shared" ref="T80:T107" ca="1" si="66">+O80*S80</f>
        <v>0</v>
      </c>
      <c r="U80" s="1992"/>
      <c r="V80" s="778">
        <f t="shared" si="63"/>
        <v>0</v>
      </c>
      <c r="W80" s="772"/>
      <c r="X80" s="779"/>
      <c r="Y80" s="776">
        <v>0</v>
      </c>
      <c r="Z80" s="780">
        <f t="shared" ref="Z80:Z107" ca="1" si="67">T80+V80+W80+Y80</f>
        <v>0</v>
      </c>
      <c r="AA80" s="769"/>
      <c r="AB80" s="769"/>
      <c r="AC80" s="765">
        <f t="shared" si="45"/>
        <v>0</v>
      </c>
      <c r="AD80" s="781">
        <f t="shared" si="46"/>
        <v>0</v>
      </c>
      <c r="AE80" s="781">
        <f t="shared" si="47"/>
        <v>0</v>
      </c>
      <c r="AF80" s="781">
        <f t="shared" si="48"/>
        <v>0</v>
      </c>
      <c r="AG80" s="781">
        <f t="shared" si="49"/>
        <v>0</v>
      </c>
      <c r="AH80" s="781">
        <f t="shared" ca="1" si="50"/>
        <v>0</v>
      </c>
      <c r="AI80" s="782">
        <f t="shared" ca="1" si="51"/>
        <v>0</v>
      </c>
      <c r="AJ80" s="781">
        <f t="shared" si="52"/>
        <v>0</v>
      </c>
      <c r="AK80" s="781">
        <f t="shared" si="53"/>
        <v>0</v>
      </c>
      <c r="AL80" s="781">
        <f t="shared" si="54"/>
        <v>0</v>
      </c>
      <c r="AM80" s="781">
        <f t="shared" si="55"/>
        <v>0</v>
      </c>
      <c r="AN80" s="781">
        <f t="shared" si="56"/>
        <v>0</v>
      </c>
      <c r="AO80" s="781">
        <f t="shared" si="57"/>
        <v>0</v>
      </c>
      <c r="AP80" s="781">
        <f t="shared" si="58"/>
        <v>0</v>
      </c>
      <c r="AQ80" s="781">
        <f t="shared" si="59"/>
        <v>0</v>
      </c>
      <c r="AR80" s="781">
        <f t="shared" si="60"/>
        <v>0</v>
      </c>
      <c r="AS80" s="783">
        <f t="shared" ca="1" si="61"/>
        <v>0</v>
      </c>
    </row>
    <row r="81" spans="1:45" ht="15" x14ac:dyDescent="0.25">
      <c r="A81" s="768"/>
      <c r="B81" s="719">
        <f t="shared" si="64"/>
        <v>73</v>
      </c>
      <c r="C81" s="170" t="str">
        <f t="shared" si="62"/>
        <v>99</v>
      </c>
      <c r="D81" s="557"/>
      <c r="E81" s="170"/>
      <c r="F81" s="170">
        <v>99</v>
      </c>
      <c r="G81" s="785"/>
      <c r="H81" s="770"/>
      <c r="I81" s="768"/>
      <c r="J81" s="770"/>
      <c r="K81" s="770"/>
      <c r="L81" s="170"/>
      <c r="M81" s="771">
        <v>0</v>
      </c>
      <c r="N81" s="772">
        <v>1</v>
      </c>
      <c r="O81" s="773">
        <f t="shared" si="65"/>
        <v>0</v>
      </c>
      <c r="P81" s="768" t="s">
        <v>39</v>
      </c>
      <c r="Q81" s="768" t="s">
        <v>39</v>
      </c>
      <c r="R81" s="774" t="s">
        <v>73</v>
      </c>
      <c r="S81" s="775">
        <f ca="1">SUMIF('Data Input sheet'!$B$118:$D$180,R81,'Data Input sheet'!$D$118:$D$180)</f>
        <v>119</v>
      </c>
      <c r="T81" s="776">
        <f t="shared" ca="1" si="66"/>
        <v>0</v>
      </c>
      <c r="U81" s="1992"/>
      <c r="V81" s="778">
        <f t="shared" si="63"/>
        <v>0</v>
      </c>
      <c r="W81" s="772"/>
      <c r="X81" s="779"/>
      <c r="Y81" s="776">
        <v>0</v>
      </c>
      <c r="Z81" s="780">
        <f t="shared" ca="1" si="67"/>
        <v>0</v>
      </c>
      <c r="AA81" s="769"/>
      <c r="AB81" s="769"/>
      <c r="AC81" s="765">
        <f t="shared" si="45"/>
        <v>0</v>
      </c>
      <c r="AD81" s="781">
        <f t="shared" si="46"/>
        <v>0</v>
      </c>
      <c r="AE81" s="781">
        <f t="shared" si="47"/>
        <v>0</v>
      </c>
      <c r="AF81" s="781">
        <f t="shared" si="48"/>
        <v>0</v>
      </c>
      <c r="AG81" s="781">
        <f t="shared" si="49"/>
        <v>0</v>
      </c>
      <c r="AH81" s="781">
        <f t="shared" ca="1" si="50"/>
        <v>0</v>
      </c>
      <c r="AI81" s="782">
        <f t="shared" ca="1" si="51"/>
        <v>0</v>
      </c>
      <c r="AJ81" s="781">
        <f t="shared" si="52"/>
        <v>0</v>
      </c>
      <c r="AK81" s="781">
        <f t="shared" si="53"/>
        <v>0</v>
      </c>
      <c r="AL81" s="781">
        <f t="shared" si="54"/>
        <v>0</v>
      </c>
      <c r="AM81" s="781">
        <f t="shared" si="55"/>
        <v>0</v>
      </c>
      <c r="AN81" s="781">
        <f t="shared" si="56"/>
        <v>0</v>
      </c>
      <c r="AO81" s="781">
        <f t="shared" si="57"/>
        <v>0</v>
      </c>
      <c r="AP81" s="781">
        <f t="shared" si="58"/>
        <v>0</v>
      </c>
      <c r="AQ81" s="781">
        <f t="shared" si="59"/>
        <v>0</v>
      </c>
      <c r="AR81" s="781">
        <f t="shared" si="60"/>
        <v>0</v>
      </c>
      <c r="AS81" s="783">
        <f t="shared" ca="1" si="61"/>
        <v>0</v>
      </c>
    </row>
    <row r="82" spans="1:45" ht="15" x14ac:dyDescent="0.25">
      <c r="A82" s="768"/>
      <c r="B82" s="719">
        <f t="shared" si="64"/>
        <v>74</v>
      </c>
      <c r="C82" s="170" t="str">
        <f t="shared" si="62"/>
        <v>99</v>
      </c>
      <c r="D82" s="557"/>
      <c r="E82" s="170"/>
      <c r="F82" s="170">
        <v>99</v>
      </c>
      <c r="G82" s="785"/>
      <c r="H82" s="770"/>
      <c r="I82" s="768"/>
      <c r="J82" s="770"/>
      <c r="K82" s="770"/>
      <c r="L82" s="170"/>
      <c r="M82" s="771">
        <v>0</v>
      </c>
      <c r="N82" s="772">
        <v>1</v>
      </c>
      <c r="O82" s="773">
        <f t="shared" si="65"/>
        <v>0</v>
      </c>
      <c r="P82" s="768" t="s">
        <v>39</v>
      </c>
      <c r="Q82" s="768" t="s">
        <v>39</v>
      </c>
      <c r="R82" s="774" t="s">
        <v>73</v>
      </c>
      <c r="S82" s="775">
        <f ca="1">SUMIF('Data Input sheet'!$B$118:$D$180,R82,'Data Input sheet'!$D$118:$D$180)</f>
        <v>119</v>
      </c>
      <c r="T82" s="776">
        <f t="shared" ca="1" si="66"/>
        <v>0</v>
      </c>
      <c r="U82" s="1992"/>
      <c r="V82" s="778">
        <f t="shared" si="63"/>
        <v>0</v>
      </c>
      <c r="W82" s="772"/>
      <c r="X82" s="779"/>
      <c r="Y82" s="776">
        <v>0</v>
      </c>
      <c r="Z82" s="780">
        <f t="shared" ca="1" si="67"/>
        <v>0</v>
      </c>
      <c r="AA82" s="769"/>
      <c r="AB82" s="769"/>
      <c r="AC82" s="765">
        <f t="shared" si="45"/>
        <v>0</v>
      </c>
      <c r="AD82" s="781">
        <f t="shared" si="46"/>
        <v>0</v>
      </c>
      <c r="AE82" s="781">
        <f t="shared" si="47"/>
        <v>0</v>
      </c>
      <c r="AF82" s="781">
        <f t="shared" si="48"/>
        <v>0</v>
      </c>
      <c r="AG82" s="781">
        <f t="shared" si="49"/>
        <v>0</v>
      </c>
      <c r="AH82" s="781">
        <f t="shared" ca="1" si="50"/>
        <v>0</v>
      </c>
      <c r="AI82" s="782">
        <f t="shared" ca="1" si="51"/>
        <v>0</v>
      </c>
      <c r="AJ82" s="781">
        <f t="shared" si="52"/>
        <v>0</v>
      </c>
      <c r="AK82" s="781">
        <f t="shared" si="53"/>
        <v>0</v>
      </c>
      <c r="AL82" s="781">
        <f t="shared" si="54"/>
        <v>0</v>
      </c>
      <c r="AM82" s="781">
        <f t="shared" si="55"/>
        <v>0</v>
      </c>
      <c r="AN82" s="781">
        <f t="shared" si="56"/>
        <v>0</v>
      </c>
      <c r="AO82" s="781">
        <f t="shared" si="57"/>
        <v>0</v>
      </c>
      <c r="AP82" s="781">
        <f t="shared" si="58"/>
        <v>0</v>
      </c>
      <c r="AQ82" s="781">
        <f t="shared" si="59"/>
        <v>0</v>
      </c>
      <c r="AR82" s="781">
        <f t="shared" si="60"/>
        <v>0</v>
      </c>
      <c r="AS82" s="783">
        <f t="shared" ca="1" si="61"/>
        <v>0</v>
      </c>
    </row>
    <row r="83" spans="1:45" ht="15" x14ac:dyDescent="0.25">
      <c r="A83" s="768"/>
      <c r="B83" s="719">
        <f t="shared" si="64"/>
        <v>75</v>
      </c>
      <c r="C83" s="170" t="str">
        <f t="shared" si="62"/>
        <v>99</v>
      </c>
      <c r="D83" s="557"/>
      <c r="E83" s="170"/>
      <c r="F83" s="170">
        <v>99</v>
      </c>
      <c r="G83" s="785"/>
      <c r="H83" s="770"/>
      <c r="I83" s="768"/>
      <c r="J83" s="770"/>
      <c r="K83" s="770"/>
      <c r="L83" s="170"/>
      <c r="M83" s="771">
        <v>0</v>
      </c>
      <c r="N83" s="772">
        <v>1</v>
      </c>
      <c r="O83" s="773">
        <f t="shared" si="65"/>
        <v>0</v>
      </c>
      <c r="P83" s="768" t="s">
        <v>39</v>
      </c>
      <c r="Q83" s="768" t="s">
        <v>39</v>
      </c>
      <c r="R83" s="774" t="s">
        <v>73</v>
      </c>
      <c r="S83" s="775">
        <f ca="1">SUMIF('Data Input sheet'!$B$118:$D$180,R83,'Data Input sheet'!$D$118:$D$180)</f>
        <v>119</v>
      </c>
      <c r="T83" s="776">
        <f t="shared" ca="1" si="66"/>
        <v>0</v>
      </c>
      <c r="U83" s="1992"/>
      <c r="V83" s="778">
        <f t="shared" si="63"/>
        <v>0</v>
      </c>
      <c r="W83" s="772"/>
      <c r="X83" s="779"/>
      <c r="Y83" s="776">
        <v>0</v>
      </c>
      <c r="Z83" s="780">
        <f t="shared" ca="1" si="67"/>
        <v>0</v>
      </c>
      <c r="AA83" s="769"/>
      <c r="AB83" s="769"/>
      <c r="AC83" s="765">
        <f t="shared" si="45"/>
        <v>0</v>
      </c>
      <c r="AD83" s="781">
        <f t="shared" si="46"/>
        <v>0</v>
      </c>
      <c r="AE83" s="781">
        <f t="shared" si="47"/>
        <v>0</v>
      </c>
      <c r="AF83" s="781">
        <f t="shared" si="48"/>
        <v>0</v>
      </c>
      <c r="AG83" s="781">
        <f t="shared" si="49"/>
        <v>0</v>
      </c>
      <c r="AH83" s="781">
        <f t="shared" ca="1" si="50"/>
        <v>0</v>
      </c>
      <c r="AI83" s="782">
        <f t="shared" ca="1" si="51"/>
        <v>0</v>
      </c>
      <c r="AJ83" s="781">
        <f t="shared" si="52"/>
        <v>0</v>
      </c>
      <c r="AK83" s="781">
        <f t="shared" si="53"/>
        <v>0</v>
      </c>
      <c r="AL83" s="781">
        <f t="shared" si="54"/>
        <v>0</v>
      </c>
      <c r="AM83" s="781">
        <f t="shared" si="55"/>
        <v>0</v>
      </c>
      <c r="AN83" s="781">
        <f t="shared" si="56"/>
        <v>0</v>
      </c>
      <c r="AO83" s="781">
        <f t="shared" si="57"/>
        <v>0</v>
      </c>
      <c r="AP83" s="781">
        <f t="shared" si="58"/>
        <v>0</v>
      </c>
      <c r="AQ83" s="781">
        <f t="shared" si="59"/>
        <v>0</v>
      </c>
      <c r="AR83" s="781">
        <f t="shared" si="60"/>
        <v>0</v>
      </c>
      <c r="AS83" s="783">
        <f t="shared" ca="1" si="61"/>
        <v>0</v>
      </c>
    </row>
    <row r="84" spans="1:45" ht="15" x14ac:dyDescent="0.25">
      <c r="A84" s="768"/>
      <c r="B84" s="719">
        <f t="shared" si="64"/>
        <v>76</v>
      </c>
      <c r="C84" s="170" t="str">
        <f t="shared" si="62"/>
        <v>99</v>
      </c>
      <c r="D84" s="557"/>
      <c r="E84" s="170"/>
      <c r="F84" s="170">
        <v>99</v>
      </c>
      <c r="G84" s="785"/>
      <c r="H84" s="770"/>
      <c r="I84" s="768"/>
      <c r="J84" s="770"/>
      <c r="K84" s="770"/>
      <c r="L84" s="170"/>
      <c r="M84" s="771">
        <v>0</v>
      </c>
      <c r="N84" s="772">
        <v>1</v>
      </c>
      <c r="O84" s="773">
        <f t="shared" si="65"/>
        <v>0</v>
      </c>
      <c r="P84" s="768" t="s">
        <v>39</v>
      </c>
      <c r="Q84" s="768" t="s">
        <v>39</v>
      </c>
      <c r="R84" s="774" t="s">
        <v>73</v>
      </c>
      <c r="S84" s="775">
        <f ca="1">SUMIF('Data Input sheet'!$B$118:$D$180,R84,'Data Input sheet'!$D$118:$D$180)</f>
        <v>119</v>
      </c>
      <c r="T84" s="776">
        <f t="shared" ca="1" si="66"/>
        <v>0</v>
      </c>
      <c r="U84" s="1992"/>
      <c r="V84" s="778">
        <f t="shared" si="63"/>
        <v>0</v>
      </c>
      <c r="W84" s="772"/>
      <c r="X84" s="779"/>
      <c r="Y84" s="776">
        <v>0</v>
      </c>
      <c r="Z84" s="780">
        <f t="shared" ca="1" si="67"/>
        <v>0</v>
      </c>
      <c r="AA84" s="769"/>
      <c r="AB84" s="769"/>
      <c r="AC84" s="765">
        <f t="shared" si="45"/>
        <v>0</v>
      </c>
      <c r="AD84" s="781">
        <f t="shared" si="46"/>
        <v>0</v>
      </c>
      <c r="AE84" s="781">
        <f t="shared" si="47"/>
        <v>0</v>
      </c>
      <c r="AF84" s="781">
        <f t="shared" si="48"/>
        <v>0</v>
      </c>
      <c r="AG84" s="781">
        <f t="shared" si="49"/>
        <v>0</v>
      </c>
      <c r="AH84" s="781">
        <f t="shared" ca="1" si="50"/>
        <v>0</v>
      </c>
      <c r="AI84" s="782">
        <f t="shared" ca="1" si="51"/>
        <v>0</v>
      </c>
      <c r="AJ84" s="781">
        <f t="shared" si="52"/>
        <v>0</v>
      </c>
      <c r="AK84" s="781">
        <f t="shared" si="53"/>
        <v>0</v>
      </c>
      <c r="AL84" s="781">
        <f t="shared" si="54"/>
        <v>0</v>
      </c>
      <c r="AM84" s="781">
        <f t="shared" si="55"/>
        <v>0</v>
      </c>
      <c r="AN84" s="781">
        <f t="shared" si="56"/>
        <v>0</v>
      </c>
      <c r="AO84" s="781">
        <f t="shared" si="57"/>
        <v>0</v>
      </c>
      <c r="AP84" s="781">
        <f t="shared" si="58"/>
        <v>0</v>
      </c>
      <c r="AQ84" s="781">
        <f t="shared" si="59"/>
        <v>0</v>
      </c>
      <c r="AR84" s="781">
        <f t="shared" si="60"/>
        <v>0</v>
      </c>
      <c r="AS84" s="783">
        <f t="shared" ca="1" si="61"/>
        <v>0</v>
      </c>
    </row>
    <row r="85" spans="1:45" ht="15" x14ac:dyDescent="0.25">
      <c r="A85" s="768"/>
      <c r="B85" s="719">
        <f t="shared" si="64"/>
        <v>77</v>
      </c>
      <c r="C85" s="170" t="str">
        <f t="shared" si="62"/>
        <v>99</v>
      </c>
      <c r="D85" s="557"/>
      <c r="E85" s="170"/>
      <c r="F85" s="170">
        <v>99</v>
      </c>
      <c r="G85" s="785"/>
      <c r="H85" s="770"/>
      <c r="I85" s="768"/>
      <c r="J85" s="770"/>
      <c r="K85" s="770"/>
      <c r="L85" s="170"/>
      <c r="M85" s="771">
        <v>0</v>
      </c>
      <c r="N85" s="772">
        <v>1</v>
      </c>
      <c r="O85" s="773">
        <f t="shared" si="65"/>
        <v>0</v>
      </c>
      <c r="P85" s="768" t="s">
        <v>39</v>
      </c>
      <c r="Q85" s="768" t="s">
        <v>39</v>
      </c>
      <c r="R85" s="774" t="s">
        <v>73</v>
      </c>
      <c r="S85" s="775">
        <f ca="1">SUMIF('Data Input sheet'!$B$118:$D$180,R85,'Data Input sheet'!$D$118:$D$180)</f>
        <v>119</v>
      </c>
      <c r="T85" s="776">
        <f t="shared" ca="1" si="66"/>
        <v>0</v>
      </c>
      <c r="U85" s="1992"/>
      <c r="V85" s="778">
        <f t="shared" si="63"/>
        <v>0</v>
      </c>
      <c r="W85" s="772"/>
      <c r="X85" s="779"/>
      <c r="Y85" s="776">
        <v>0</v>
      </c>
      <c r="Z85" s="780">
        <f t="shared" ca="1" si="67"/>
        <v>0</v>
      </c>
      <c r="AA85" s="769"/>
      <c r="AB85" s="769"/>
      <c r="AC85" s="765">
        <f t="shared" si="45"/>
        <v>0</v>
      </c>
      <c r="AD85" s="781">
        <f t="shared" si="46"/>
        <v>0</v>
      </c>
      <c r="AE85" s="781">
        <f t="shared" si="47"/>
        <v>0</v>
      </c>
      <c r="AF85" s="781">
        <f t="shared" si="48"/>
        <v>0</v>
      </c>
      <c r="AG85" s="781">
        <f t="shared" si="49"/>
        <v>0</v>
      </c>
      <c r="AH85" s="781">
        <f t="shared" ca="1" si="50"/>
        <v>0</v>
      </c>
      <c r="AI85" s="782">
        <f t="shared" ca="1" si="51"/>
        <v>0</v>
      </c>
      <c r="AJ85" s="781">
        <f t="shared" si="52"/>
        <v>0</v>
      </c>
      <c r="AK85" s="781">
        <f t="shared" si="53"/>
        <v>0</v>
      </c>
      <c r="AL85" s="781">
        <f t="shared" si="54"/>
        <v>0</v>
      </c>
      <c r="AM85" s="781">
        <f t="shared" si="55"/>
        <v>0</v>
      </c>
      <c r="AN85" s="781">
        <f t="shared" si="56"/>
        <v>0</v>
      </c>
      <c r="AO85" s="781">
        <f t="shared" si="57"/>
        <v>0</v>
      </c>
      <c r="AP85" s="781">
        <f t="shared" si="58"/>
        <v>0</v>
      </c>
      <c r="AQ85" s="781">
        <f t="shared" si="59"/>
        <v>0</v>
      </c>
      <c r="AR85" s="781">
        <f t="shared" si="60"/>
        <v>0</v>
      </c>
      <c r="AS85" s="783">
        <f t="shared" ca="1" si="61"/>
        <v>0</v>
      </c>
    </row>
    <row r="86" spans="1:45" ht="15" x14ac:dyDescent="0.25">
      <c r="A86" s="768"/>
      <c r="B86" s="719">
        <f t="shared" si="64"/>
        <v>78</v>
      </c>
      <c r="C86" s="170" t="str">
        <f t="shared" si="62"/>
        <v>99</v>
      </c>
      <c r="D86" s="557"/>
      <c r="E86" s="170"/>
      <c r="F86" s="170">
        <v>99</v>
      </c>
      <c r="G86" s="785"/>
      <c r="H86" s="770"/>
      <c r="I86" s="768"/>
      <c r="J86" s="770"/>
      <c r="K86" s="770"/>
      <c r="L86" s="170"/>
      <c r="M86" s="771">
        <v>0</v>
      </c>
      <c r="N86" s="772">
        <v>1</v>
      </c>
      <c r="O86" s="773">
        <f t="shared" si="65"/>
        <v>0</v>
      </c>
      <c r="P86" s="768" t="s">
        <v>39</v>
      </c>
      <c r="Q86" s="768" t="s">
        <v>39</v>
      </c>
      <c r="R86" s="774" t="s">
        <v>73</v>
      </c>
      <c r="S86" s="775">
        <f ca="1">SUMIF('Data Input sheet'!$B$118:$D$180,R86,'Data Input sheet'!$D$118:$D$180)</f>
        <v>119</v>
      </c>
      <c r="T86" s="776">
        <f t="shared" ca="1" si="66"/>
        <v>0</v>
      </c>
      <c r="U86" s="1992"/>
      <c r="V86" s="778">
        <f t="shared" si="63"/>
        <v>0</v>
      </c>
      <c r="W86" s="772"/>
      <c r="X86" s="779"/>
      <c r="Y86" s="776">
        <v>0</v>
      </c>
      <c r="Z86" s="780">
        <f t="shared" ca="1" si="67"/>
        <v>0</v>
      </c>
      <c r="AA86" s="769"/>
      <c r="AB86" s="769"/>
      <c r="AC86" s="765">
        <f t="shared" si="45"/>
        <v>0</v>
      </c>
      <c r="AD86" s="781">
        <f t="shared" si="46"/>
        <v>0</v>
      </c>
      <c r="AE86" s="781">
        <f t="shared" si="47"/>
        <v>0</v>
      </c>
      <c r="AF86" s="781">
        <f t="shared" si="48"/>
        <v>0</v>
      </c>
      <c r="AG86" s="781">
        <f t="shared" si="49"/>
        <v>0</v>
      </c>
      <c r="AH86" s="781">
        <f t="shared" ca="1" si="50"/>
        <v>0</v>
      </c>
      <c r="AI86" s="782">
        <f t="shared" ca="1" si="51"/>
        <v>0</v>
      </c>
      <c r="AJ86" s="781">
        <f t="shared" si="52"/>
        <v>0</v>
      </c>
      <c r="AK86" s="781">
        <f t="shared" si="53"/>
        <v>0</v>
      </c>
      <c r="AL86" s="781">
        <f t="shared" si="54"/>
        <v>0</v>
      </c>
      <c r="AM86" s="781">
        <f t="shared" si="55"/>
        <v>0</v>
      </c>
      <c r="AN86" s="781">
        <f t="shared" si="56"/>
        <v>0</v>
      </c>
      <c r="AO86" s="781">
        <f t="shared" si="57"/>
        <v>0</v>
      </c>
      <c r="AP86" s="781">
        <f t="shared" si="58"/>
        <v>0</v>
      </c>
      <c r="AQ86" s="781">
        <f t="shared" si="59"/>
        <v>0</v>
      </c>
      <c r="AR86" s="781">
        <f t="shared" si="60"/>
        <v>0</v>
      </c>
      <c r="AS86" s="783">
        <f t="shared" ca="1" si="61"/>
        <v>0</v>
      </c>
    </row>
    <row r="87" spans="1:45" ht="15" x14ac:dyDescent="0.25">
      <c r="A87" s="768"/>
      <c r="B87" s="719">
        <f t="shared" si="64"/>
        <v>79</v>
      </c>
      <c r="C87" s="170" t="str">
        <f t="shared" si="62"/>
        <v>99</v>
      </c>
      <c r="D87" s="557"/>
      <c r="E87" s="170"/>
      <c r="F87" s="170">
        <v>99</v>
      </c>
      <c r="G87" s="785"/>
      <c r="H87" s="770"/>
      <c r="I87" s="768"/>
      <c r="J87" s="770"/>
      <c r="K87" s="770"/>
      <c r="L87" s="170"/>
      <c r="M87" s="771">
        <v>0</v>
      </c>
      <c r="N87" s="772">
        <v>1</v>
      </c>
      <c r="O87" s="773">
        <f t="shared" si="65"/>
        <v>0</v>
      </c>
      <c r="P87" s="768" t="s">
        <v>39</v>
      </c>
      <c r="Q87" s="768" t="s">
        <v>39</v>
      </c>
      <c r="R87" s="774" t="s">
        <v>73</v>
      </c>
      <c r="S87" s="775">
        <f ca="1">SUMIF('Data Input sheet'!$B$118:$D$180,R87,'Data Input sheet'!$D$118:$D$180)</f>
        <v>119</v>
      </c>
      <c r="T87" s="776">
        <f t="shared" ca="1" si="66"/>
        <v>0</v>
      </c>
      <c r="U87" s="1992"/>
      <c r="V87" s="778">
        <f t="shared" si="63"/>
        <v>0</v>
      </c>
      <c r="W87" s="772"/>
      <c r="X87" s="779"/>
      <c r="Y87" s="776">
        <v>0</v>
      </c>
      <c r="Z87" s="780">
        <f t="shared" ca="1" si="67"/>
        <v>0</v>
      </c>
      <c r="AA87" s="769"/>
      <c r="AB87" s="769"/>
      <c r="AC87" s="765">
        <f t="shared" si="45"/>
        <v>0</v>
      </c>
      <c r="AD87" s="781">
        <f t="shared" si="46"/>
        <v>0</v>
      </c>
      <c r="AE87" s="781">
        <f t="shared" si="47"/>
        <v>0</v>
      </c>
      <c r="AF87" s="781">
        <f t="shared" si="48"/>
        <v>0</v>
      </c>
      <c r="AG87" s="781">
        <f t="shared" si="49"/>
        <v>0</v>
      </c>
      <c r="AH87" s="781">
        <f t="shared" ca="1" si="50"/>
        <v>0</v>
      </c>
      <c r="AI87" s="782">
        <f t="shared" ca="1" si="51"/>
        <v>0</v>
      </c>
      <c r="AJ87" s="781">
        <f t="shared" si="52"/>
        <v>0</v>
      </c>
      <c r="AK87" s="781">
        <f t="shared" si="53"/>
        <v>0</v>
      </c>
      <c r="AL87" s="781">
        <f t="shared" si="54"/>
        <v>0</v>
      </c>
      <c r="AM87" s="781">
        <f t="shared" si="55"/>
        <v>0</v>
      </c>
      <c r="AN87" s="781">
        <f t="shared" si="56"/>
        <v>0</v>
      </c>
      <c r="AO87" s="781">
        <f t="shared" si="57"/>
        <v>0</v>
      </c>
      <c r="AP87" s="781">
        <f t="shared" si="58"/>
        <v>0</v>
      </c>
      <c r="AQ87" s="781">
        <f t="shared" si="59"/>
        <v>0</v>
      </c>
      <c r="AR87" s="781">
        <f t="shared" si="60"/>
        <v>0</v>
      </c>
      <c r="AS87" s="783">
        <f t="shared" ca="1" si="61"/>
        <v>0</v>
      </c>
    </row>
    <row r="88" spans="1:45" ht="15" x14ac:dyDescent="0.25">
      <c r="A88" s="768"/>
      <c r="B88" s="719">
        <f t="shared" si="64"/>
        <v>80</v>
      </c>
      <c r="C88" s="170" t="str">
        <f t="shared" si="62"/>
        <v>99</v>
      </c>
      <c r="D88" s="557"/>
      <c r="E88" s="170"/>
      <c r="F88" s="170">
        <v>99</v>
      </c>
      <c r="G88" s="785"/>
      <c r="H88" s="770"/>
      <c r="I88" s="768"/>
      <c r="J88" s="770"/>
      <c r="K88" s="770"/>
      <c r="L88" s="170"/>
      <c r="M88" s="771">
        <v>0</v>
      </c>
      <c r="N88" s="772">
        <v>1</v>
      </c>
      <c r="O88" s="773">
        <f t="shared" si="65"/>
        <v>0</v>
      </c>
      <c r="P88" s="768" t="s">
        <v>39</v>
      </c>
      <c r="Q88" s="768" t="s">
        <v>39</v>
      </c>
      <c r="R88" s="774" t="s">
        <v>73</v>
      </c>
      <c r="S88" s="775">
        <f ca="1">SUMIF('Data Input sheet'!$B$118:$D$180,R88,'Data Input sheet'!$D$118:$D$180)</f>
        <v>119</v>
      </c>
      <c r="T88" s="776">
        <f t="shared" ca="1" si="66"/>
        <v>0</v>
      </c>
      <c r="U88" s="1992"/>
      <c r="V88" s="778">
        <f t="shared" si="63"/>
        <v>0</v>
      </c>
      <c r="W88" s="772"/>
      <c r="X88" s="779"/>
      <c r="Y88" s="776">
        <v>0</v>
      </c>
      <c r="Z88" s="780">
        <f t="shared" ca="1" si="67"/>
        <v>0</v>
      </c>
      <c r="AA88" s="769"/>
      <c r="AB88" s="769"/>
      <c r="AC88" s="765">
        <f t="shared" si="45"/>
        <v>0</v>
      </c>
      <c r="AD88" s="781">
        <f t="shared" si="46"/>
        <v>0</v>
      </c>
      <c r="AE88" s="781">
        <f t="shared" si="47"/>
        <v>0</v>
      </c>
      <c r="AF88" s="781">
        <f t="shared" si="48"/>
        <v>0</v>
      </c>
      <c r="AG88" s="781">
        <f t="shared" si="49"/>
        <v>0</v>
      </c>
      <c r="AH88" s="781">
        <f t="shared" ca="1" si="50"/>
        <v>0</v>
      </c>
      <c r="AI88" s="782">
        <f t="shared" ca="1" si="51"/>
        <v>0</v>
      </c>
      <c r="AJ88" s="781">
        <f t="shared" si="52"/>
        <v>0</v>
      </c>
      <c r="AK88" s="781">
        <f t="shared" si="53"/>
        <v>0</v>
      </c>
      <c r="AL88" s="781">
        <f t="shared" si="54"/>
        <v>0</v>
      </c>
      <c r="AM88" s="781">
        <f t="shared" si="55"/>
        <v>0</v>
      </c>
      <c r="AN88" s="781">
        <f t="shared" si="56"/>
        <v>0</v>
      </c>
      <c r="AO88" s="781">
        <f t="shared" si="57"/>
        <v>0</v>
      </c>
      <c r="AP88" s="781">
        <f t="shared" si="58"/>
        <v>0</v>
      </c>
      <c r="AQ88" s="781">
        <f t="shared" si="59"/>
        <v>0</v>
      </c>
      <c r="AR88" s="781">
        <f t="shared" si="60"/>
        <v>0</v>
      </c>
      <c r="AS88" s="783">
        <f t="shared" ca="1" si="61"/>
        <v>0</v>
      </c>
    </row>
    <row r="89" spans="1:45" ht="15" x14ac:dyDescent="0.25">
      <c r="A89" s="768"/>
      <c r="B89" s="719">
        <f t="shared" si="64"/>
        <v>81</v>
      </c>
      <c r="C89" s="170" t="str">
        <f t="shared" si="62"/>
        <v>99</v>
      </c>
      <c r="D89" s="557"/>
      <c r="E89" s="170"/>
      <c r="F89" s="170">
        <v>99</v>
      </c>
      <c r="G89" s="785"/>
      <c r="H89" s="770"/>
      <c r="I89" s="768"/>
      <c r="J89" s="770"/>
      <c r="K89" s="770"/>
      <c r="L89" s="170"/>
      <c r="M89" s="771">
        <v>0</v>
      </c>
      <c r="N89" s="772">
        <v>1</v>
      </c>
      <c r="O89" s="773">
        <f t="shared" si="65"/>
        <v>0</v>
      </c>
      <c r="P89" s="768" t="s">
        <v>39</v>
      </c>
      <c r="Q89" s="768" t="s">
        <v>39</v>
      </c>
      <c r="R89" s="774" t="s">
        <v>73</v>
      </c>
      <c r="S89" s="775">
        <f ca="1">SUMIF('Data Input sheet'!$B$118:$D$180,R89,'Data Input sheet'!$D$118:$D$180)</f>
        <v>119</v>
      </c>
      <c r="T89" s="776">
        <f t="shared" ca="1" si="66"/>
        <v>0</v>
      </c>
      <c r="U89" s="1992"/>
      <c r="V89" s="778">
        <f t="shared" si="63"/>
        <v>0</v>
      </c>
      <c r="W89" s="772"/>
      <c r="X89" s="779"/>
      <c r="Y89" s="776">
        <v>0</v>
      </c>
      <c r="Z89" s="780">
        <f t="shared" ca="1" si="67"/>
        <v>0</v>
      </c>
      <c r="AA89" s="769"/>
      <c r="AB89" s="769"/>
      <c r="AC89" s="765">
        <f t="shared" si="45"/>
        <v>0</v>
      </c>
      <c r="AD89" s="781">
        <f t="shared" si="46"/>
        <v>0</v>
      </c>
      <c r="AE89" s="781">
        <f t="shared" si="47"/>
        <v>0</v>
      </c>
      <c r="AF89" s="781">
        <f t="shared" si="48"/>
        <v>0</v>
      </c>
      <c r="AG89" s="781">
        <f t="shared" si="49"/>
        <v>0</v>
      </c>
      <c r="AH89" s="781">
        <f t="shared" ca="1" si="50"/>
        <v>0</v>
      </c>
      <c r="AI89" s="782">
        <f t="shared" ca="1" si="51"/>
        <v>0</v>
      </c>
      <c r="AJ89" s="781">
        <f t="shared" si="52"/>
        <v>0</v>
      </c>
      <c r="AK89" s="781">
        <f t="shared" si="53"/>
        <v>0</v>
      </c>
      <c r="AL89" s="781">
        <f t="shared" si="54"/>
        <v>0</v>
      </c>
      <c r="AM89" s="781">
        <f t="shared" si="55"/>
        <v>0</v>
      </c>
      <c r="AN89" s="781">
        <f t="shared" si="56"/>
        <v>0</v>
      </c>
      <c r="AO89" s="781">
        <f t="shared" si="57"/>
        <v>0</v>
      </c>
      <c r="AP89" s="781">
        <f t="shared" si="58"/>
        <v>0</v>
      </c>
      <c r="AQ89" s="781">
        <f t="shared" si="59"/>
        <v>0</v>
      </c>
      <c r="AR89" s="781">
        <f t="shared" si="60"/>
        <v>0</v>
      </c>
      <c r="AS89" s="783">
        <f t="shared" ca="1" si="61"/>
        <v>0</v>
      </c>
    </row>
    <row r="90" spans="1:45" ht="15" x14ac:dyDescent="0.25">
      <c r="A90" s="768"/>
      <c r="B90" s="719">
        <f t="shared" si="64"/>
        <v>82</v>
      </c>
      <c r="C90" s="170" t="str">
        <f t="shared" si="62"/>
        <v>99</v>
      </c>
      <c r="D90" s="557"/>
      <c r="E90" s="170"/>
      <c r="F90" s="170">
        <v>99</v>
      </c>
      <c r="G90" s="785"/>
      <c r="H90" s="770"/>
      <c r="I90" s="768"/>
      <c r="J90" s="770"/>
      <c r="K90" s="770"/>
      <c r="L90" s="170"/>
      <c r="M90" s="771">
        <v>0</v>
      </c>
      <c r="N90" s="772">
        <v>1</v>
      </c>
      <c r="O90" s="773">
        <f t="shared" si="65"/>
        <v>0</v>
      </c>
      <c r="P90" s="768" t="s">
        <v>39</v>
      </c>
      <c r="Q90" s="768" t="s">
        <v>39</v>
      </c>
      <c r="R90" s="774" t="s">
        <v>73</v>
      </c>
      <c r="S90" s="775">
        <f ca="1">SUMIF('Data Input sheet'!$B$118:$D$180,R90,'Data Input sheet'!$D$118:$D$180)</f>
        <v>119</v>
      </c>
      <c r="T90" s="776">
        <f t="shared" ca="1" si="66"/>
        <v>0</v>
      </c>
      <c r="U90" s="1992"/>
      <c r="V90" s="778">
        <f t="shared" si="63"/>
        <v>0</v>
      </c>
      <c r="W90" s="772"/>
      <c r="X90" s="779"/>
      <c r="Y90" s="776">
        <v>0</v>
      </c>
      <c r="Z90" s="780">
        <f t="shared" ca="1" si="67"/>
        <v>0</v>
      </c>
      <c r="AA90" s="769"/>
      <c r="AB90" s="769"/>
      <c r="AC90" s="765">
        <f t="shared" si="45"/>
        <v>0</v>
      </c>
      <c r="AD90" s="781">
        <f t="shared" si="46"/>
        <v>0</v>
      </c>
      <c r="AE90" s="781">
        <f t="shared" si="47"/>
        <v>0</v>
      </c>
      <c r="AF90" s="781">
        <f t="shared" si="48"/>
        <v>0</v>
      </c>
      <c r="AG90" s="781">
        <f t="shared" si="49"/>
        <v>0</v>
      </c>
      <c r="AH90" s="781">
        <f t="shared" ca="1" si="50"/>
        <v>0</v>
      </c>
      <c r="AI90" s="782">
        <f t="shared" ca="1" si="51"/>
        <v>0</v>
      </c>
      <c r="AJ90" s="781">
        <f t="shared" si="52"/>
        <v>0</v>
      </c>
      <c r="AK90" s="781">
        <f t="shared" si="53"/>
        <v>0</v>
      </c>
      <c r="AL90" s="781">
        <f t="shared" si="54"/>
        <v>0</v>
      </c>
      <c r="AM90" s="781">
        <f t="shared" si="55"/>
        <v>0</v>
      </c>
      <c r="AN90" s="781">
        <f t="shared" si="56"/>
        <v>0</v>
      </c>
      <c r="AO90" s="781">
        <f t="shared" si="57"/>
        <v>0</v>
      </c>
      <c r="AP90" s="781">
        <f t="shared" si="58"/>
        <v>0</v>
      </c>
      <c r="AQ90" s="781">
        <f t="shared" si="59"/>
        <v>0</v>
      </c>
      <c r="AR90" s="781">
        <f t="shared" si="60"/>
        <v>0</v>
      </c>
      <c r="AS90" s="783">
        <f t="shared" ca="1" si="61"/>
        <v>0</v>
      </c>
    </row>
    <row r="91" spans="1:45" ht="15" x14ac:dyDescent="0.25">
      <c r="A91" s="768"/>
      <c r="B91" s="719">
        <f t="shared" si="64"/>
        <v>83</v>
      </c>
      <c r="C91" s="170" t="str">
        <f t="shared" si="62"/>
        <v>99</v>
      </c>
      <c r="D91" s="557"/>
      <c r="E91" s="170"/>
      <c r="F91" s="170">
        <v>99</v>
      </c>
      <c r="G91" s="785"/>
      <c r="H91" s="770"/>
      <c r="I91" s="768"/>
      <c r="J91" s="770"/>
      <c r="K91" s="770"/>
      <c r="L91" s="170"/>
      <c r="M91" s="771">
        <v>0</v>
      </c>
      <c r="N91" s="772">
        <v>1</v>
      </c>
      <c r="O91" s="773">
        <f t="shared" si="65"/>
        <v>0</v>
      </c>
      <c r="P91" s="768" t="s">
        <v>39</v>
      </c>
      <c r="Q91" s="768" t="s">
        <v>39</v>
      </c>
      <c r="R91" s="774" t="s">
        <v>73</v>
      </c>
      <c r="S91" s="775">
        <f ca="1">SUMIF('Data Input sheet'!$B$118:$D$180,R91,'Data Input sheet'!$D$118:$D$180)</f>
        <v>119</v>
      </c>
      <c r="T91" s="776">
        <f t="shared" ca="1" si="66"/>
        <v>0</v>
      </c>
      <c r="U91" s="1992"/>
      <c r="V91" s="778">
        <f t="shared" si="63"/>
        <v>0</v>
      </c>
      <c r="W91" s="772"/>
      <c r="X91" s="779"/>
      <c r="Y91" s="776">
        <v>0</v>
      </c>
      <c r="Z91" s="780">
        <f t="shared" ca="1" si="67"/>
        <v>0</v>
      </c>
      <c r="AA91" s="769"/>
      <c r="AB91" s="769"/>
      <c r="AC91" s="765">
        <f t="shared" si="45"/>
        <v>0</v>
      </c>
      <c r="AD91" s="781">
        <f t="shared" si="46"/>
        <v>0</v>
      </c>
      <c r="AE91" s="781">
        <f t="shared" si="47"/>
        <v>0</v>
      </c>
      <c r="AF91" s="781">
        <f t="shared" si="48"/>
        <v>0</v>
      </c>
      <c r="AG91" s="781">
        <f t="shared" si="49"/>
        <v>0</v>
      </c>
      <c r="AH91" s="781">
        <f t="shared" ca="1" si="50"/>
        <v>0</v>
      </c>
      <c r="AI91" s="782">
        <f t="shared" ca="1" si="51"/>
        <v>0</v>
      </c>
      <c r="AJ91" s="781">
        <f t="shared" si="52"/>
        <v>0</v>
      </c>
      <c r="AK91" s="781">
        <f t="shared" si="53"/>
        <v>0</v>
      </c>
      <c r="AL91" s="781">
        <f t="shared" si="54"/>
        <v>0</v>
      </c>
      <c r="AM91" s="781">
        <f t="shared" si="55"/>
        <v>0</v>
      </c>
      <c r="AN91" s="781">
        <f t="shared" si="56"/>
        <v>0</v>
      </c>
      <c r="AO91" s="781">
        <f t="shared" si="57"/>
        <v>0</v>
      </c>
      <c r="AP91" s="781">
        <f t="shared" si="58"/>
        <v>0</v>
      </c>
      <c r="AQ91" s="781">
        <f t="shared" si="59"/>
        <v>0</v>
      </c>
      <c r="AR91" s="781">
        <f t="shared" si="60"/>
        <v>0</v>
      </c>
      <c r="AS91" s="783">
        <f t="shared" ca="1" si="61"/>
        <v>0</v>
      </c>
    </row>
    <row r="92" spans="1:45" ht="15" x14ac:dyDescent="0.25">
      <c r="A92" s="768"/>
      <c r="B92" s="719">
        <f t="shared" si="64"/>
        <v>84</v>
      </c>
      <c r="C92" s="170" t="str">
        <f t="shared" si="62"/>
        <v>99</v>
      </c>
      <c r="D92" s="557"/>
      <c r="E92" s="170"/>
      <c r="F92" s="170">
        <v>99</v>
      </c>
      <c r="G92" s="785"/>
      <c r="H92" s="770"/>
      <c r="I92" s="768"/>
      <c r="J92" s="770"/>
      <c r="K92" s="770"/>
      <c r="L92" s="170"/>
      <c r="M92" s="771">
        <v>0</v>
      </c>
      <c r="N92" s="772">
        <v>1</v>
      </c>
      <c r="O92" s="773">
        <f t="shared" si="65"/>
        <v>0</v>
      </c>
      <c r="P92" s="768" t="s">
        <v>39</v>
      </c>
      <c r="Q92" s="768" t="s">
        <v>39</v>
      </c>
      <c r="R92" s="774" t="s">
        <v>73</v>
      </c>
      <c r="S92" s="775">
        <f ca="1">SUMIF('Data Input sheet'!$B$118:$D$180,R92,'Data Input sheet'!$D$118:$D$180)</f>
        <v>119</v>
      </c>
      <c r="T92" s="776">
        <f t="shared" ca="1" si="66"/>
        <v>0</v>
      </c>
      <c r="U92" s="1992"/>
      <c r="V92" s="778">
        <f t="shared" si="63"/>
        <v>0</v>
      </c>
      <c r="W92" s="772"/>
      <c r="X92" s="779"/>
      <c r="Y92" s="776">
        <v>0</v>
      </c>
      <c r="Z92" s="780">
        <f t="shared" ca="1" si="67"/>
        <v>0</v>
      </c>
      <c r="AA92" s="769"/>
      <c r="AB92" s="769"/>
      <c r="AC92" s="765">
        <f t="shared" si="45"/>
        <v>0</v>
      </c>
      <c r="AD92" s="781">
        <f t="shared" si="46"/>
        <v>0</v>
      </c>
      <c r="AE92" s="781">
        <f t="shared" si="47"/>
        <v>0</v>
      </c>
      <c r="AF92" s="781">
        <f t="shared" si="48"/>
        <v>0</v>
      </c>
      <c r="AG92" s="781">
        <f t="shared" si="49"/>
        <v>0</v>
      </c>
      <c r="AH92" s="781">
        <f t="shared" ca="1" si="50"/>
        <v>0</v>
      </c>
      <c r="AI92" s="782">
        <f t="shared" ca="1" si="51"/>
        <v>0</v>
      </c>
      <c r="AJ92" s="781">
        <f t="shared" si="52"/>
        <v>0</v>
      </c>
      <c r="AK92" s="781">
        <f t="shared" si="53"/>
        <v>0</v>
      </c>
      <c r="AL92" s="781">
        <f t="shared" si="54"/>
        <v>0</v>
      </c>
      <c r="AM92" s="781">
        <f t="shared" si="55"/>
        <v>0</v>
      </c>
      <c r="AN92" s="781">
        <f t="shared" si="56"/>
        <v>0</v>
      </c>
      <c r="AO92" s="781">
        <f t="shared" si="57"/>
        <v>0</v>
      </c>
      <c r="AP92" s="781">
        <f t="shared" si="58"/>
        <v>0</v>
      </c>
      <c r="AQ92" s="781">
        <f t="shared" si="59"/>
        <v>0</v>
      </c>
      <c r="AR92" s="781">
        <f t="shared" si="60"/>
        <v>0</v>
      </c>
      <c r="AS92" s="783">
        <f t="shared" ca="1" si="61"/>
        <v>0</v>
      </c>
    </row>
    <row r="93" spans="1:45" ht="15" x14ac:dyDescent="0.25">
      <c r="A93" s="768"/>
      <c r="B93" s="719">
        <f t="shared" si="64"/>
        <v>85</v>
      </c>
      <c r="C93" s="170" t="str">
        <f t="shared" si="62"/>
        <v>99</v>
      </c>
      <c r="D93" s="557"/>
      <c r="E93" s="170"/>
      <c r="F93" s="170">
        <v>99</v>
      </c>
      <c r="G93" s="785"/>
      <c r="H93" s="770"/>
      <c r="I93" s="768"/>
      <c r="J93" s="770"/>
      <c r="K93" s="770"/>
      <c r="L93" s="170"/>
      <c r="M93" s="771">
        <v>0</v>
      </c>
      <c r="N93" s="772">
        <v>1</v>
      </c>
      <c r="O93" s="773">
        <f t="shared" si="65"/>
        <v>0</v>
      </c>
      <c r="P93" s="768" t="s">
        <v>39</v>
      </c>
      <c r="Q93" s="768" t="s">
        <v>39</v>
      </c>
      <c r="R93" s="774" t="s">
        <v>73</v>
      </c>
      <c r="S93" s="775">
        <f ca="1">SUMIF('Data Input sheet'!$B$118:$D$180,R93,'Data Input sheet'!$D$118:$D$180)</f>
        <v>119</v>
      </c>
      <c r="T93" s="776">
        <f t="shared" ca="1" si="66"/>
        <v>0</v>
      </c>
      <c r="U93" s="1992"/>
      <c r="V93" s="778">
        <f t="shared" si="63"/>
        <v>0</v>
      </c>
      <c r="W93" s="772"/>
      <c r="X93" s="779"/>
      <c r="Y93" s="776">
        <v>0</v>
      </c>
      <c r="Z93" s="780">
        <f t="shared" ca="1" si="67"/>
        <v>0</v>
      </c>
      <c r="AA93" s="769"/>
      <c r="AB93" s="769"/>
      <c r="AC93" s="765">
        <f t="shared" si="45"/>
        <v>0</v>
      </c>
      <c r="AD93" s="781">
        <f t="shared" si="46"/>
        <v>0</v>
      </c>
      <c r="AE93" s="781">
        <f t="shared" si="47"/>
        <v>0</v>
      </c>
      <c r="AF93" s="781">
        <f t="shared" si="48"/>
        <v>0</v>
      </c>
      <c r="AG93" s="781">
        <f t="shared" si="49"/>
        <v>0</v>
      </c>
      <c r="AH93" s="781">
        <f t="shared" ca="1" si="50"/>
        <v>0</v>
      </c>
      <c r="AI93" s="782">
        <f t="shared" ca="1" si="51"/>
        <v>0</v>
      </c>
      <c r="AJ93" s="781">
        <f t="shared" si="52"/>
        <v>0</v>
      </c>
      <c r="AK93" s="781">
        <f t="shared" si="53"/>
        <v>0</v>
      </c>
      <c r="AL93" s="781">
        <f t="shared" si="54"/>
        <v>0</v>
      </c>
      <c r="AM93" s="781">
        <f t="shared" si="55"/>
        <v>0</v>
      </c>
      <c r="AN93" s="781">
        <f t="shared" si="56"/>
        <v>0</v>
      </c>
      <c r="AO93" s="781">
        <f t="shared" si="57"/>
        <v>0</v>
      </c>
      <c r="AP93" s="781">
        <f t="shared" si="58"/>
        <v>0</v>
      </c>
      <c r="AQ93" s="781">
        <f t="shared" si="59"/>
        <v>0</v>
      </c>
      <c r="AR93" s="781">
        <f t="shared" si="60"/>
        <v>0</v>
      </c>
      <c r="AS93" s="783">
        <f t="shared" ca="1" si="61"/>
        <v>0</v>
      </c>
    </row>
    <row r="94" spans="1:45" ht="15" x14ac:dyDescent="0.25">
      <c r="A94" s="768"/>
      <c r="B94" s="719">
        <f t="shared" si="64"/>
        <v>86</v>
      </c>
      <c r="C94" s="170" t="str">
        <f t="shared" si="62"/>
        <v>99</v>
      </c>
      <c r="D94" s="557"/>
      <c r="E94" s="170"/>
      <c r="F94" s="170">
        <v>99</v>
      </c>
      <c r="G94" s="785"/>
      <c r="H94" s="770"/>
      <c r="I94" s="768"/>
      <c r="J94" s="770"/>
      <c r="K94" s="770"/>
      <c r="L94" s="170"/>
      <c r="M94" s="771">
        <v>0</v>
      </c>
      <c r="N94" s="772">
        <v>1</v>
      </c>
      <c r="O94" s="773">
        <f t="shared" si="65"/>
        <v>0</v>
      </c>
      <c r="P94" s="768" t="s">
        <v>39</v>
      </c>
      <c r="Q94" s="768" t="s">
        <v>39</v>
      </c>
      <c r="R94" s="774" t="s">
        <v>73</v>
      </c>
      <c r="S94" s="775">
        <f ca="1">SUMIF('Data Input sheet'!$B$118:$D$180,R94,'Data Input sheet'!$D$118:$D$180)</f>
        <v>119</v>
      </c>
      <c r="T94" s="776">
        <f t="shared" ca="1" si="66"/>
        <v>0</v>
      </c>
      <c r="U94" s="1992"/>
      <c r="V94" s="778">
        <f t="shared" si="63"/>
        <v>0</v>
      </c>
      <c r="W94" s="772"/>
      <c r="X94" s="779"/>
      <c r="Y94" s="776">
        <v>0</v>
      </c>
      <c r="Z94" s="780">
        <f t="shared" ca="1" si="67"/>
        <v>0</v>
      </c>
      <c r="AA94" s="769"/>
      <c r="AB94" s="769"/>
      <c r="AC94" s="765">
        <f t="shared" si="45"/>
        <v>0</v>
      </c>
      <c r="AD94" s="781">
        <f t="shared" si="46"/>
        <v>0</v>
      </c>
      <c r="AE94" s="781">
        <f t="shared" si="47"/>
        <v>0</v>
      </c>
      <c r="AF94" s="781">
        <f t="shared" si="48"/>
        <v>0</v>
      </c>
      <c r="AG94" s="781">
        <f t="shared" si="49"/>
        <v>0</v>
      </c>
      <c r="AH94" s="781">
        <f t="shared" ca="1" si="50"/>
        <v>0</v>
      </c>
      <c r="AI94" s="782">
        <f t="shared" ca="1" si="51"/>
        <v>0</v>
      </c>
      <c r="AJ94" s="781">
        <f t="shared" si="52"/>
        <v>0</v>
      </c>
      <c r="AK94" s="781">
        <f t="shared" si="53"/>
        <v>0</v>
      </c>
      <c r="AL94" s="781">
        <f t="shared" si="54"/>
        <v>0</v>
      </c>
      <c r="AM94" s="781">
        <f t="shared" si="55"/>
        <v>0</v>
      </c>
      <c r="AN94" s="781">
        <f t="shared" si="56"/>
        <v>0</v>
      </c>
      <c r="AO94" s="781">
        <f t="shared" si="57"/>
        <v>0</v>
      </c>
      <c r="AP94" s="781">
        <f t="shared" si="58"/>
        <v>0</v>
      </c>
      <c r="AQ94" s="781">
        <f t="shared" si="59"/>
        <v>0</v>
      </c>
      <c r="AR94" s="781">
        <f t="shared" si="60"/>
        <v>0</v>
      </c>
      <c r="AS94" s="783">
        <f t="shared" ca="1" si="61"/>
        <v>0</v>
      </c>
    </row>
    <row r="95" spans="1:45" ht="15" x14ac:dyDescent="0.25">
      <c r="A95" s="768"/>
      <c r="B95" s="719">
        <f t="shared" si="64"/>
        <v>87</v>
      </c>
      <c r="C95" s="170" t="str">
        <f t="shared" si="62"/>
        <v>99</v>
      </c>
      <c r="D95" s="557"/>
      <c r="E95" s="170"/>
      <c r="F95" s="170">
        <v>99</v>
      </c>
      <c r="G95" s="785"/>
      <c r="H95" s="770"/>
      <c r="I95" s="768"/>
      <c r="J95" s="770"/>
      <c r="K95" s="770"/>
      <c r="L95" s="170"/>
      <c r="M95" s="771">
        <v>0</v>
      </c>
      <c r="N95" s="772">
        <v>1</v>
      </c>
      <c r="O95" s="773">
        <f t="shared" si="65"/>
        <v>0</v>
      </c>
      <c r="P95" s="768" t="s">
        <v>39</v>
      </c>
      <c r="Q95" s="768" t="s">
        <v>39</v>
      </c>
      <c r="R95" s="774" t="s">
        <v>73</v>
      </c>
      <c r="S95" s="775">
        <f ca="1">SUMIF('Data Input sheet'!$B$118:$D$180,R95,'Data Input sheet'!$D$118:$D$180)</f>
        <v>119</v>
      </c>
      <c r="T95" s="776">
        <f t="shared" ca="1" si="66"/>
        <v>0</v>
      </c>
      <c r="U95" s="1992"/>
      <c r="V95" s="778">
        <f t="shared" si="63"/>
        <v>0</v>
      </c>
      <c r="W95" s="772"/>
      <c r="X95" s="779"/>
      <c r="Y95" s="776">
        <v>0</v>
      </c>
      <c r="Z95" s="780">
        <f t="shared" ca="1" si="67"/>
        <v>0</v>
      </c>
      <c r="AA95" s="769"/>
      <c r="AB95" s="769"/>
      <c r="AC95" s="765">
        <f t="shared" si="45"/>
        <v>0</v>
      </c>
      <c r="AD95" s="781">
        <f t="shared" si="46"/>
        <v>0</v>
      </c>
      <c r="AE95" s="781">
        <f t="shared" si="47"/>
        <v>0</v>
      </c>
      <c r="AF95" s="781">
        <f t="shared" si="48"/>
        <v>0</v>
      </c>
      <c r="AG95" s="781">
        <f t="shared" si="49"/>
        <v>0</v>
      </c>
      <c r="AH95" s="781">
        <f t="shared" ca="1" si="50"/>
        <v>0</v>
      </c>
      <c r="AI95" s="782">
        <f t="shared" ca="1" si="51"/>
        <v>0</v>
      </c>
      <c r="AJ95" s="781">
        <f t="shared" si="52"/>
        <v>0</v>
      </c>
      <c r="AK95" s="781">
        <f t="shared" si="53"/>
        <v>0</v>
      </c>
      <c r="AL95" s="781">
        <f t="shared" si="54"/>
        <v>0</v>
      </c>
      <c r="AM95" s="781">
        <f t="shared" si="55"/>
        <v>0</v>
      </c>
      <c r="AN95" s="781">
        <f t="shared" si="56"/>
        <v>0</v>
      </c>
      <c r="AO95" s="781">
        <f t="shared" si="57"/>
        <v>0</v>
      </c>
      <c r="AP95" s="781">
        <f t="shared" si="58"/>
        <v>0</v>
      </c>
      <c r="AQ95" s="781">
        <f t="shared" si="59"/>
        <v>0</v>
      </c>
      <c r="AR95" s="781">
        <f t="shared" si="60"/>
        <v>0</v>
      </c>
      <c r="AS95" s="783">
        <f t="shared" ca="1" si="61"/>
        <v>0</v>
      </c>
    </row>
    <row r="96" spans="1:45" ht="15" x14ac:dyDescent="0.25">
      <c r="A96" s="768"/>
      <c r="B96" s="719">
        <f t="shared" si="64"/>
        <v>88</v>
      </c>
      <c r="C96" s="170" t="str">
        <f t="shared" si="62"/>
        <v>99</v>
      </c>
      <c r="D96" s="557"/>
      <c r="E96" s="170"/>
      <c r="F96" s="170">
        <v>99</v>
      </c>
      <c r="G96" s="785"/>
      <c r="H96" s="770"/>
      <c r="I96" s="768"/>
      <c r="J96" s="770"/>
      <c r="K96" s="770"/>
      <c r="L96" s="170"/>
      <c r="M96" s="771">
        <v>0</v>
      </c>
      <c r="N96" s="772">
        <v>1</v>
      </c>
      <c r="O96" s="773">
        <f t="shared" si="65"/>
        <v>0</v>
      </c>
      <c r="P96" s="768" t="s">
        <v>39</v>
      </c>
      <c r="Q96" s="768" t="s">
        <v>39</v>
      </c>
      <c r="R96" s="774" t="s">
        <v>73</v>
      </c>
      <c r="S96" s="775">
        <f ca="1">SUMIF('Data Input sheet'!$B$118:$D$180,R96,'Data Input sheet'!$D$118:$D$180)</f>
        <v>119</v>
      </c>
      <c r="T96" s="776">
        <f t="shared" ca="1" si="66"/>
        <v>0</v>
      </c>
      <c r="U96" s="1992"/>
      <c r="V96" s="778">
        <f t="shared" si="63"/>
        <v>0</v>
      </c>
      <c r="W96" s="772"/>
      <c r="X96" s="779"/>
      <c r="Y96" s="776">
        <v>0</v>
      </c>
      <c r="Z96" s="780">
        <f t="shared" ca="1" si="67"/>
        <v>0</v>
      </c>
      <c r="AA96" s="769"/>
      <c r="AB96" s="769"/>
      <c r="AC96" s="765">
        <f t="shared" si="45"/>
        <v>0</v>
      </c>
      <c r="AD96" s="781">
        <f t="shared" si="46"/>
        <v>0</v>
      </c>
      <c r="AE96" s="781">
        <f t="shared" si="47"/>
        <v>0</v>
      </c>
      <c r="AF96" s="781">
        <f t="shared" si="48"/>
        <v>0</v>
      </c>
      <c r="AG96" s="781">
        <f t="shared" si="49"/>
        <v>0</v>
      </c>
      <c r="AH96" s="781">
        <f t="shared" ca="1" si="50"/>
        <v>0</v>
      </c>
      <c r="AI96" s="782">
        <f t="shared" ca="1" si="51"/>
        <v>0</v>
      </c>
      <c r="AJ96" s="781">
        <f t="shared" si="52"/>
        <v>0</v>
      </c>
      <c r="AK96" s="781">
        <f t="shared" si="53"/>
        <v>0</v>
      </c>
      <c r="AL96" s="781">
        <f t="shared" si="54"/>
        <v>0</v>
      </c>
      <c r="AM96" s="781">
        <f t="shared" si="55"/>
        <v>0</v>
      </c>
      <c r="AN96" s="781">
        <f t="shared" si="56"/>
        <v>0</v>
      </c>
      <c r="AO96" s="781">
        <f t="shared" si="57"/>
        <v>0</v>
      </c>
      <c r="AP96" s="781">
        <f t="shared" si="58"/>
        <v>0</v>
      </c>
      <c r="AQ96" s="781">
        <f t="shared" si="59"/>
        <v>0</v>
      </c>
      <c r="AR96" s="781">
        <f t="shared" si="60"/>
        <v>0</v>
      </c>
      <c r="AS96" s="783">
        <f t="shared" ca="1" si="61"/>
        <v>0</v>
      </c>
    </row>
    <row r="97" spans="1:45" ht="15" x14ac:dyDescent="0.25">
      <c r="A97" s="768"/>
      <c r="B97" s="719">
        <f t="shared" si="64"/>
        <v>89</v>
      </c>
      <c r="C97" s="170" t="str">
        <f t="shared" si="62"/>
        <v>99</v>
      </c>
      <c r="D97" s="557"/>
      <c r="E97" s="170"/>
      <c r="F97" s="170">
        <v>99</v>
      </c>
      <c r="G97" s="785"/>
      <c r="H97" s="770"/>
      <c r="I97" s="768"/>
      <c r="J97" s="770"/>
      <c r="K97" s="770"/>
      <c r="L97" s="170"/>
      <c r="M97" s="771">
        <v>0</v>
      </c>
      <c r="N97" s="772">
        <v>1</v>
      </c>
      <c r="O97" s="773">
        <f t="shared" si="65"/>
        <v>0</v>
      </c>
      <c r="P97" s="768" t="s">
        <v>39</v>
      </c>
      <c r="Q97" s="768" t="s">
        <v>39</v>
      </c>
      <c r="R97" s="774" t="s">
        <v>73</v>
      </c>
      <c r="S97" s="775">
        <f ca="1">SUMIF('Data Input sheet'!$B$118:$D$180,R97,'Data Input sheet'!$D$118:$D$180)</f>
        <v>119</v>
      </c>
      <c r="T97" s="776">
        <f t="shared" ca="1" si="66"/>
        <v>0</v>
      </c>
      <c r="U97" s="1992"/>
      <c r="V97" s="778">
        <f t="shared" si="63"/>
        <v>0</v>
      </c>
      <c r="W97" s="772"/>
      <c r="X97" s="779"/>
      <c r="Y97" s="776">
        <v>0</v>
      </c>
      <c r="Z97" s="780">
        <f t="shared" ca="1" si="67"/>
        <v>0</v>
      </c>
      <c r="AA97" s="769"/>
      <c r="AB97" s="769"/>
      <c r="AC97" s="765">
        <f t="shared" si="45"/>
        <v>0</v>
      </c>
      <c r="AD97" s="781">
        <f t="shared" si="46"/>
        <v>0</v>
      </c>
      <c r="AE97" s="781">
        <f t="shared" si="47"/>
        <v>0</v>
      </c>
      <c r="AF97" s="781">
        <f t="shared" si="48"/>
        <v>0</v>
      </c>
      <c r="AG97" s="781">
        <f t="shared" si="49"/>
        <v>0</v>
      </c>
      <c r="AH97" s="781">
        <f t="shared" ca="1" si="50"/>
        <v>0</v>
      </c>
      <c r="AI97" s="782">
        <f t="shared" ca="1" si="51"/>
        <v>0</v>
      </c>
      <c r="AJ97" s="781">
        <f t="shared" si="52"/>
        <v>0</v>
      </c>
      <c r="AK97" s="781">
        <f t="shared" si="53"/>
        <v>0</v>
      </c>
      <c r="AL97" s="781">
        <f t="shared" si="54"/>
        <v>0</v>
      </c>
      <c r="AM97" s="781">
        <f t="shared" si="55"/>
        <v>0</v>
      </c>
      <c r="AN97" s="781">
        <f t="shared" si="56"/>
        <v>0</v>
      </c>
      <c r="AO97" s="781">
        <f t="shared" si="57"/>
        <v>0</v>
      </c>
      <c r="AP97" s="781">
        <f t="shared" si="58"/>
        <v>0</v>
      </c>
      <c r="AQ97" s="781">
        <f t="shared" si="59"/>
        <v>0</v>
      </c>
      <c r="AR97" s="781">
        <f t="shared" si="60"/>
        <v>0</v>
      </c>
      <c r="AS97" s="783">
        <f t="shared" ca="1" si="61"/>
        <v>0</v>
      </c>
    </row>
    <row r="98" spans="1:45" ht="15" x14ac:dyDescent="0.25">
      <c r="A98" s="768"/>
      <c r="B98" s="719">
        <f t="shared" si="64"/>
        <v>90</v>
      </c>
      <c r="C98" s="170" t="str">
        <f t="shared" si="62"/>
        <v>99</v>
      </c>
      <c r="D98" s="557"/>
      <c r="E98" s="170"/>
      <c r="F98" s="170">
        <v>99</v>
      </c>
      <c r="G98" s="785"/>
      <c r="H98" s="770"/>
      <c r="I98" s="768"/>
      <c r="J98" s="770"/>
      <c r="K98" s="770"/>
      <c r="L98" s="170"/>
      <c r="M98" s="771">
        <v>0</v>
      </c>
      <c r="N98" s="772">
        <v>1</v>
      </c>
      <c r="O98" s="773">
        <f t="shared" si="65"/>
        <v>0</v>
      </c>
      <c r="P98" s="768" t="s">
        <v>39</v>
      </c>
      <c r="Q98" s="768" t="s">
        <v>39</v>
      </c>
      <c r="R98" s="774" t="s">
        <v>73</v>
      </c>
      <c r="S98" s="775">
        <f ca="1">SUMIF('Data Input sheet'!$B$118:$D$180,R98,'Data Input sheet'!$D$118:$D$180)</f>
        <v>119</v>
      </c>
      <c r="T98" s="776">
        <f t="shared" ca="1" si="66"/>
        <v>0</v>
      </c>
      <c r="U98" s="1992"/>
      <c r="V98" s="778">
        <f t="shared" si="63"/>
        <v>0</v>
      </c>
      <c r="W98" s="772"/>
      <c r="X98" s="779"/>
      <c r="Y98" s="776">
        <v>0</v>
      </c>
      <c r="Z98" s="780">
        <f t="shared" ca="1" si="67"/>
        <v>0</v>
      </c>
      <c r="AA98" s="769"/>
      <c r="AB98" s="769"/>
      <c r="AC98" s="765">
        <f t="shared" si="45"/>
        <v>0</v>
      </c>
      <c r="AD98" s="781">
        <f t="shared" si="46"/>
        <v>0</v>
      </c>
      <c r="AE98" s="781">
        <f t="shared" si="47"/>
        <v>0</v>
      </c>
      <c r="AF98" s="781">
        <f t="shared" si="48"/>
        <v>0</v>
      </c>
      <c r="AG98" s="781">
        <f t="shared" si="49"/>
        <v>0</v>
      </c>
      <c r="AH98" s="781">
        <f t="shared" ca="1" si="50"/>
        <v>0</v>
      </c>
      <c r="AI98" s="782">
        <f t="shared" ca="1" si="51"/>
        <v>0</v>
      </c>
      <c r="AJ98" s="781">
        <f t="shared" si="52"/>
        <v>0</v>
      </c>
      <c r="AK98" s="781">
        <f t="shared" si="53"/>
        <v>0</v>
      </c>
      <c r="AL98" s="781">
        <f t="shared" si="54"/>
        <v>0</v>
      </c>
      <c r="AM98" s="781">
        <f t="shared" si="55"/>
        <v>0</v>
      </c>
      <c r="AN98" s="781">
        <f t="shared" si="56"/>
        <v>0</v>
      </c>
      <c r="AO98" s="781">
        <f t="shared" si="57"/>
        <v>0</v>
      </c>
      <c r="AP98" s="781">
        <f t="shared" si="58"/>
        <v>0</v>
      </c>
      <c r="AQ98" s="781">
        <f t="shared" si="59"/>
        <v>0</v>
      </c>
      <c r="AR98" s="781">
        <f t="shared" si="60"/>
        <v>0</v>
      </c>
      <c r="AS98" s="783">
        <f t="shared" ca="1" si="61"/>
        <v>0</v>
      </c>
    </row>
    <row r="99" spans="1:45" ht="15" x14ac:dyDescent="0.25">
      <c r="A99" s="768"/>
      <c r="B99" s="719">
        <f t="shared" si="64"/>
        <v>91</v>
      </c>
      <c r="C99" s="170" t="str">
        <f t="shared" si="62"/>
        <v>99</v>
      </c>
      <c r="D99" s="557"/>
      <c r="E99" s="170"/>
      <c r="F99" s="170">
        <v>99</v>
      </c>
      <c r="G99" s="785"/>
      <c r="H99" s="770"/>
      <c r="I99" s="768"/>
      <c r="J99" s="770"/>
      <c r="K99" s="770"/>
      <c r="L99" s="170"/>
      <c r="M99" s="771">
        <v>0</v>
      </c>
      <c r="N99" s="772">
        <v>1</v>
      </c>
      <c r="O99" s="773">
        <f t="shared" si="65"/>
        <v>0</v>
      </c>
      <c r="P99" s="768" t="s">
        <v>39</v>
      </c>
      <c r="Q99" s="768" t="s">
        <v>39</v>
      </c>
      <c r="R99" s="774" t="s">
        <v>73</v>
      </c>
      <c r="S99" s="775">
        <f ca="1">SUMIF('Data Input sheet'!$B$118:$D$180,R99,'Data Input sheet'!$D$118:$D$180)</f>
        <v>119</v>
      </c>
      <c r="T99" s="776">
        <f t="shared" ca="1" si="66"/>
        <v>0</v>
      </c>
      <c r="U99" s="1992"/>
      <c r="V99" s="778">
        <f t="shared" si="63"/>
        <v>0</v>
      </c>
      <c r="W99" s="772"/>
      <c r="X99" s="779"/>
      <c r="Y99" s="776">
        <v>0</v>
      </c>
      <c r="Z99" s="780">
        <f t="shared" ca="1" si="67"/>
        <v>0</v>
      </c>
      <c r="AA99" s="769"/>
      <c r="AB99" s="769"/>
      <c r="AC99" s="765">
        <f t="shared" si="45"/>
        <v>0</v>
      </c>
      <c r="AD99" s="781">
        <f t="shared" si="46"/>
        <v>0</v>
      </c>
      <c r="AE99" s="781">
        <f t="shared" si="47"/>
        <v>0</v>
      </c>
      <c r="AF99" s="781">
        <f t="shared" si="48"/>
        <v>0</v>
      </c>
      <c r="AG99" s="781">
        <f t="shared" si="49"/>
        <v>0</v>
      </c>
      <c r="AH99" s="781">
        <f t="shared" ca="1" si="50"/>
        <v>0</v>
      </c>
      <c r="AI99" s="782">
        <f t="shared" ca="1" si="51"/>
        <v>0</v>
      </c>
      <c r="AJ99" s="781">
        <f t="shared" si="52"/>
        <v>0</v>
      </c>
      <c r="AK99" s="781">
        <f t="shared" si="53"/>
        <v>0</v>
      </c>
      <c r="AL99" s="781">
        <f t="shared" si="54"/>
        <v>0</v>
      </c>
      <c r="AM99" s="781">
        <f t="shared" si="55"/>
        <v>0</v>
      </c>
      <c r="AN99" s="781">
        <f t="shared" si="56"/>
        <v>0</v>
      </c>
      <c r="AO99" s="781">
        <f t="shared" si="57"/>
        <v>0</v>
      </c>
      <c r="AP99" s="781">
        <f t="shared" si="58"/>
        <v>0</v>
      </c>
      <c r="AQ99" s="781">
        <f t="shared" si="59"/>
        <v>0</v>
      </c>
      <c r="AR99" s="781">
        <f t="shared" si="60"/>
        <v>0</v>
      </c>
      <c r="AS99" s="783">
        <f t="shared" ca="1" si="61"/>
        <v>0</v>
      </c>
    </row>
    <row r="100" spans="1:45" ht="15" x14ac:dyDescent="0.25">
      <c r="A100" s="768"/>
      <c r="B100" s="719">
        <f t="shared" si="64"/>
        <v>92</v>
      </c>
      <c r="C100" s="170" t="str">
        <f t="shared" si="62"/>
        <v>99</v>
      </c>
      <c r="D100" s="557"/>
      <c r="E100" s="170"/>
      <c r="F100" s="170">
        <v>99</v>
      </c>
      <c r="G100" s="785"/>
      <c r="H100" s="770"/>
      <c r="I100" s="768"/>
      <c r="J100" s="770"/>
      <c r="K100" s="770"/>
      <c r="L100" s="170"/>
      <c r="M100" s="771">
        <v>0</v>
      </c>
      <c r="N100" s="772">
        <v>1</v>
      </c>
      <c r="O100" s="773">
        <f t="shared" si="65"/>
        <v>0</v>
      </c>
      <c r="P100" s="768" t="s">
        <v>39</v>
      </c>
      <c r="Q100" s="768" t="s">
        <v>39</v>
      </c>
      <c r="R100" s="774" t="s">
        <v>73</v>
      </c>
      <c r="S100" s="775">
        <f ca="1">SUMIF('Data Input sheet'!$B$118:$D$180,R100,'Data Input sheet'!$D$118:$D$180)</f>
        <v>119</v>
      </c>
      <c r="T100" s="776">
        <f t="shared" ca="1" si="66"/>
        <v>0</v>
      </c>
      <c r="U100" s="1992"/>
      <c r="V100" s="778">
        <f t="shared" si="63"/>
        <v>0</v>
      </c>
      <c r="W100" s="772"/>
      <c r="X100" s="779"/>
      <c r="Y100" s="776">
        <v>0</v>
      </c>
      <c r="Z100" s="780">
        <f t="shared" ca="1" si="67"/>
        <v>0</v>
      </c>
      <c r="AA100" s="769"/>
      <c r="AB100" s="769"/>
      <c r="AC100" s="765">
        <f t="shared" si="45"/>
        <v>0</v>
      </c>
      <c r="AD100" s="781">
        <f t="shared" si="46"/>
        <v>0</v>
      </c>
      <c r="AE100" s="781">
        <f t="shared" si="47"/>
        <v>0</v>
      </c>
      <c r="AF100" s="781">
        <f t="shared" si="48"/>
        <v>0</v>
      </c>
      <c r="AG100" s="781">
        <f t="shared" si="49"/>
        <v>0</v>
      </c>
      <c r="AH100" s="781">
        <f t="shared" ca="1" si="50"/>
        <v>0</v>
      </c>
      <c r="AI100" s="782">
        <f t="shared" ca="1" si="51"/>
        <v>0</v>
      </c>
      <c r="AJ100" s="781">
        <f t="shared" si="52"/>
        <v>0</v>
      </c>
      <c r="AK100" s="781">
        <f t="shared" si="53"/>
        <v>0</v>
      </c>
      <c r="AL100" s="781">
        <f t="shared" si="54"/>
        <v>0</v>
      </c>
      <c r="AM100" s="781">
        <f t="shared" si="55"/>
        <v>0</v>
      </c>
      <c r="AN100" s="781">
        <f t="shared" si="56"/>
        <v>0</v>
      </c>
      <c r="AO100" s="781">
        <f t="shared" si="57"/>
        <v>0</v>
      </c>
      <c r="AP100" s="781">
        <f t="shared" si="58"/>
        <v>0</v>
      </c>
      <c r="AQ100" s="781">
        <f t="shared" si="59"/>
        <v>0</v>
      </c>
      <c r="AR100" s="781">
        <f t="shared" si="60"/>
        <v>0</v>
      </c>
      <c r="AS100" s="783">
        <f t="shared" ca="1" si="61"/>
        <v>0</v>
      </c>
    </row>
    <row r="101" spans="1:45" ht="15" x14ac:dyDescent="0.25">
      <c r="A101" s="768"/>
      <c r="B101" s="719">
        <f t="shared" si="64"/>
        <v>93</v>
      </c>
      <c r="C101" s="170" t="str">
        <f t="shared" si="62"/>
        <v>99</v>
      </c>
      <c r="D101" s="557"/>
      <c r="E101" s="170"/>
      <c r="F101" s="170">
        <v>99</v>
      </c>
      <c r="G101" s="785"/>
      <c r="H101" s="770"/>
      <c r="I101" s="768"/>
      <c r="J101" s="770"/>
      <c r="K101" s="770"/>
      <c r="L101" s="170"/>
      <c r="M101" s="771">
        <v>0</v>
      </c>
      <c r="N101" s="772">
        <v>1</v>
      </c>
      <c r="O101" s="773">
        <f t="shared" si="65"/>
        <v>0</v>
      </c>
      <c r="P101" s="768" t="s">
        <v>39</v>
      </c>
      <c r="Q101" s="768" t="s">
        <v>39</v>
      </c>
      <c r="R101" s="774" t="s">
        <v>73</v>
      </c>
      <c r="S101" s="775">
        <f ca="1">SUMIF('Data Input sheet'!$B$118:$D$180,R101,'Data Input sheet'!$D$118:$D$180)</f>
        <v>119</v>
      </c>
      <c r="T101" s="776">
        <f t="shared" ca="1" si="66"/>
        <v>0</v>
      </c>
      <c r="U101" s="1992"/>
      <c r="V101" s="778">
        <f t="shared" si="63"/>
        <v>0</v>
      </c>
      <c r="W101" s="772"/>
      <c r="X101" s="779"/>
      <c r="Y101" s="776">
        <v>0</v>
      </c>
      <c r="Z101" s="780">
        <f t="shared" ca="1" si="67"/>
        <v>0</v>
      </c>
      <c r="AA101" s="769"/>
      <c r="AB101" s="769"/>
      <c r="AC101" s="765">
        <f t="shared" si="45"/>
        <v>0</v>
      </c>
      <c r="AD101" s="781">
        <f t="shared" si="46"/>
        <v>0</v>
      </c>
      <c r="AE101" s="781">
        <f t="shared" si="47"/>
        <v>0</v>
      </c>
      <c r="AF101" s="781">
        <f t="shared" si="48"/>
        <v>0</v>
      </c>
      <c r="AG101" s="781">
        <f t="shared" si="49"/>
        <v>0</v>
      </c>
      <c r="AH101" s="781">
        <f t="shared" ca="1" si="50"/>
        <v>0</v>
      </c>
      <c r="AI101" s="782">
        <f t="shared" ca="1" si="51"/>
        <v>0</v>
      </c>
      <c r="AJ101" s="781">
        <f t="shared" si="52"/>
        <v>0</v>
      </c>
      <c r="AK101" s="781">
        <f t="shared" si="53"/>
        <v>0</v>
      </c>
      <c r="AL101" s="781">
        <f t="shared" si="54"/>
        <v>0</v>
      </c>
      <c r="AM101" s="781">
        <f t="shared" si="55"/>
        <v>0</v>
      </c>
      <c r="AN101" s="781">
        <f t="shared" si="56"/>
        <v>0</v>
      </c>
      <c r="AO101" s="781">
        <f t="shared" si="57"/>
        <v>0</v>
      </c>
      <c r="AP101" s="781">
        <f t="shared" si="58"/>
        <v>0</v>
      </c>
      <c r="AQ101" s="781">
        <f t="shared" si="59"/>
        <v>0</v>
      </c>
      <c r="AR101" s="781">
        <f t="shared" si="60"/>
        <v>0</v>
      </c>
      <c r="AS101" s="783">
        <f t="shared" ca="1" si="61"/>
        <v>0</v>
      </c>
    </row>
    <row r="102" spans="1:45" ht="15" x14ac:dyDescent="0.25">
      <c r="A102" s="768"/>
      <c r="B102" s="719">
        <f t="shared" si="64"/>
        <v>94</v>
      </c>
      <c r="C102" s="170" t="str">
        <f t="shared" si="62"/>
        <v>99</v>
      </c>
      <c r="D102" s="557"/>
      <c r="E102" s="170"/>
      <c r="F102" s="170">
        <v>99</v>
      </c>
      <c r="G102" s="785"/>
      <c r="H102" s="770"/>
      <c r="I102" s="768"/>
      <c r="J102" s="770"/>
      <c r="K102" s="770"/>
      <c r="L102" s="170"/>
      <c r="M102" s="771">
        <v>0</v>
      </c>
      <c r="N102" s="772">
        <v>1</v>
      </c>
      <c r="O102" s="773">
        <f t="shared" si="65"/>
        <v>0</v>
      </c>
      <c r="P102" s="768" t="s">
        <v>39</v>
      </c>
      <c r="Q102" s="768" t="s">
        <v>39</v>
      </c>
      <c r="R102" s="774" t="s">
        <v>73</v>
      </c>
      <c r="S102" s="775">
        <f ca="1">SUMIF('Data Input sheet'!$B$118:$D$180,R102,'Data Input sheet'!$D$118:$D$180)</f>
        <v>119</v>
      </c>
      <c r="T102" s="776">
        <f t="shared" ca="1" si="66"/>
        <v>0</v>
      </c>
      <c r="U102" s="1992"/>
      <c r="V102" s="778">
        <f t="shared" si="63"/>
        <v>0</v>
      </c>
      <c r="W102" s="772"/>
      <c r="X102" s="779"/>
      <c r="Y102" s="776">
        <v>0</v>
      </c>
      <c r="Z102" s="780">
        <f t="shared" ca="1" si="67"/>
        <v>0</v>
      </c>
      <c r="AA102" s="769"/>
      <c r="AB102" s="769"/>
      <c r="AC102" s="765">
        <f t="shared" si="45"/>
        <v>0</v>
      </c>
      <c r="AD102" s="781">
        <f t="shared" si="46"/>
        <v>0</v>
      </c>
      <c r="AE102" s="781">
        <f t="shared" si="47"/>
        <v>0</v>
      </c>
      <c r="AF102" s="781">
        <f t="shared" si="48"/>
        <v>0</v>
      </c>
      <c r="AG102" s="781">
        <f t="shared" si="49"/>
        <v>0</v>
      </c>
      <c r="AH102" s="781">
        <f t="shared" ca="1" si="50"/>
        <v>0</v>
      </c>
      <c r="AI102" s="782">
        <f t="shared" ca="1" si="51"/>
        <v>0</v>
      </c>
      <c r="AJ102" s="781">
        <f t="shared" si="52"/>
        <v>0</v>
      </c>
      <c r="AK102" s="781">
        <f t="shared" si="53"/>
        <v>0</v>
      </c>
      <c r="AL102" s="781">
        <f t="shared" si="54"/>
        <v>0</v>
      </c>
      <c r="AM102" s="781">
        <f t="shared" si="55"/>
        <v>0</v>
      </c>
      <c r="AN102" s="781">
        <f t="shared" si="56"/>
        <v>0</v>
      </c>
      <c r="AO102" s="781">
        <f t="shared" si="57"/>
        <v>0</v>
      </c>
      <c r="AP102" s="781">
        <f t="shared" si="58"/>
        <v>0</v>
      </c>
      <c r="AQ102" s="781">
        <f t="shared" si="59"/>
        <v>0</v>
      </c>
      <c r="AR102" s="781">
        <f t="shared" si="60"/>
        <v>0</v>
      </c>
      <c r="AS102" s="783">
        <f t="shared" ca="1" si="61"/>
        <v>0</v>
      </c>
    </row>
    <row r="103" spans="1:45" ht="15" x14ac:dyDescent="0.25">
      <c r="A103" s="768"/>
      <c r="B103" s="719">
        <f t="shared" si="64"/>
        <v>95</v>
      </c>
      <c r="C103" s="170" t="str">
        <f t="shared" si="62"/>
        <v>99</v>
      </c>
      <c r="D103" s="557"/>
      <c r="E103" s="170"/>
      <c r="F103" s="170">
        <v>99</v>
      </c>
      <c r="G103" s="785"/>
      <c r="H103" s="770"/>
      <c r="I103" s="768"/>
      <c r="J103" s="770"/>
      <c r="K103" s="770"/>
      <c r="L103" s="170"/>
      <c r="M103" s="771">
        <v>0</v>
      </c>
      <c r="N103" s="772">
        <v>1</v>
      </c>
      <c r="O103" s="773">
        <f t="shared" si="65"/>
        <v>0</v>
      </c>
      <c r="P103" s="768" t="s">
        <v>39</v>
      </c>
      <c r="Q103" s="768" t="s">
        <v>39</v>
      </c>
      <c r="R103" s="774" t="s">
        <v>73</v>
      </c>
      <c r="S103" s="775">
        <f ca="1">SUMIF('Data Input sheet'!$B$118:$D$180,R103,'Data Input sheet'!$D$118:$D$180)</f>
        <v>119</v>
      </c>
      <c r="T103" s="776">
        <f t="shared" ca="1" si="66"/>
        <v>0</v>
      </c>
      <c r="U103" s="1992"/>
      <c r="V103" s="778">
        <f t="shared" si="63"/>
        <v>0</v>
      </c>
      <c r="W103" s="772"/>
      <c r="X103" s="779"/>
      <c r="Y103" s="776">
        <v>0</v>
      </c>
      <c r="Z103" s="780">
        <f t="shared" ca="1" si="67"/>
        <v>0</v>
      </c>
      <c r="AA103" s="769"/>
      <c r="AB103" s="769"/>
      <c r="AC103" s="765">
        <f t="shared" si="45"/>
        <v>0</v>
      </c>
      <c r="AD103" s="781">
        <f t="shared" si="46"/>
        <v>0</v>
      </c>
      <c r="AE103" s="781">
        <f t="shared" si="47"/>
        <v>0</v>
      </c>
      <c r="AF103" s="781">
        <f t="shared" si="48"/>
        <v>0</v>
      </c>
      <c r="AG103" s="781">
        <f t="shared" si="49"/>
        <v>0</v>
      </c>
      <c r="AH103" s="781">
        <f t="shared" ca="1" si="50"/>
        <v>0</v>
      </c>
      <c r="AI103" s="782">
        <f t="shared" ca="1" si="51"/>
        <v>0</v>
      </c>
      <c r="AJ103" s="781">
        <f t="shared" si="52"/>
        <v>0</v>
      </c>
      <c r="AK103" s="781">
        <f t="shared" si="53"/>
        <v>0</v>
      </c>
      <c r="AL103" s="781">
        <f t="shared" si="54"/>
        <v>0</v>
      </c>
      <c r="AM103" s="781">
        <f t="shared" si="55"/>
        <v>0</v>
      </c>
      <c r="AN103" s="781">
        <f t="shared" si="56"/>
        <v>0</v>
      </c>
      <c r="AO103" s="781">
        <f t="shared" si="57"/>
        <v>0</v>
      </c>
      <c r="AP103" s="781">
        <f t="shared" si="58"/>
        <v>0</v>
      </c>
      <c r="AQ103" s="781">
        <f t="shared" si="59"/>
        <v>0</v>
      </c>
      <c r="AR103" s="781">
        <f t="shared" si="60"/>
        <v>0</v>
      </c>
      <c r="AS103" s="783">
        <f t="shared" ca="1" si="61"/>
        <v>0</v>
      </c>
    </row>
    <row r="104" spans="1:45" ht="15" x14ac:dyDescent="0.25">
      <c r="A104" s="768"/>
      <c r="B104" s="719">
        <f t="shared" si="64"/>
        <v>96</v>
      </c>
      <c r="C104" s="170" t="str">
        <f t="shared" si="62"/>
        <v>99</v>
      </c>
      <c r="D104" s="557"/>
      <c r="E104" s="170"/>
      <c r="F104" s="170">
        <v>99</v>
      </c>
      <c r="G104" s="785"/>
      <c r="H104" s="770"/>
      <c r="I104" s="768"/>
      <c r="J104" s="770"/>
      <c r="K104" s="770"/>
      <c r="L104" s="170"/>
      <c r="M104" s="771">
        <v>0</v>
      </c>
      <c r="N104" s="772">
        <v>1</v>
      </c>
      <c r="O104" s="773">
        <f t="shared" si="65"/>
        <v>0</v>
      </c>
      <c r="P104" s="768" t="s">
        <v>39</v>
      </c>
      <c r="Q104" s="768" t="s">
        <v>39</v>
      </c>
      <c r="R104" s="774" t="s">
        <v>73</v>
      </c>
      <c r="S104" s="775">
        <f ca="1">SUMIF('Data Input sheet'!$B$118:$D$180,R104,'Data Input sheet'!$D$118:$D$180)</f>
        <v>119</v>
      </c>
      <c r="T104" s="776">
        <f t="shared" ca="1" si="66"/>
        <v>0</v>
      </c>
      <c r="U104" s="1992"/>
      <c r="V104" s="778">
        <f t="shared" si="63"/>
        <v>0</v>
      </c>
      <c r="W104" s="772"/>
      <c r="X104" s="779"/>
      <c r="Y104" s="776">
        <v>0</v>
      </c>
      <c r="Z104" s="780">
        <f t="shared" ca="1" si="67"/>
        <v>0</v>
      </c>
      <c r="AA104" s="769"/>
      <c r="AB104" s="769"/>
      <c r="AC104" s="765">
        <f t="shared" si="45"/>
        <v>0</v>
      </c>
      <c r="AD104" s="781">
        <f t="shared" si="46"/>
        <v>0</v>
      </c>
      <c r="AE104" s="781">
        <f t="shared" si="47"/>
        <v>0</v>
      </c>
      <c r="AF104" s="781">
        <f t="shared" si="48"/>
        <v>0</v>
      </c>
      <c r="AG104" s="781">
        <f t="shared" si="49"/>
        <v>0</v>
      </c>
      <c r="AH104" s="781">
        <f t="shared" ca="1" si="50"/>
        <v>0</v>
      </c>
      <c r="AI104" s="782">
        <f t="shared" ca="1" si="51"/>
        <v>0</v>
      </c>
      <c r="AJ104" s="781">
        <f t="shared" si="52"/>
        <v>0</v>
      </c>
      <c r="AK104" s="781">
        <f t="shared" si="53"/>
        <v>0</v>
      </c>
      <c r="AL104" s="781">
        <f t="shared" si="54"/>
        <v>0</v>
      </c>
      <c r="AM104" s="781">
        <f t="shared" si="55"/>
        <v>0</v>
      </c>
      <c r="AN104" s="781">
        <f t="shared" si="56"/>
        <v>0</v>
      </c>
      <c r="AO104" s="781">
        <f t="shared" si="57"/>
        <v>0</v>
      </c>
      <c r="AP104" s="781">
        <f t="shared" si="58"/>
        <v>0</v>
      </c>
      <c r="AQ104" s="781">
        <f t="shared" si="59"/>
        <v>0</v>
      </c>
      <c r="AR104" s="781">
        <f t="shared" si="60"/>
        <v>0</v>
      </c>
      <c r="AS104" s="783">
        <f t="shared" ca="1" si="61"/>
        <v>0</v>
      </c>
    </row>
    <row r="105" spans="1:45" ht="15" x14ac:dyDescent="0.25">
      <c r="A105" s="768"/>
      <c r="B105" s="719">
        <f t="shared" si="64"/>
        <v>97</v>
      </c>
      <c r="C105" s="170" t="str">
        <f t="shared" si="62"/>
        <v>99</v>
      </c>
      <c r="D105" s="557"/>
      <c r="E105" s="170"/>
      <c r="F105" s="170">
        <v>99</v>
      </c>
      <c r="G105" s="785"/>
      <c r="H105" s="770"/>
      <c r="I105" s="768"/>
      <c r="J105" s="770"/>
      <c r="K105" s="770"/>
      <c r="L105" s="170"/>
      <c r="M105" s="771">
        <v>0</v>
      </c>
      <c r="N105" s="772">
        <v>1</v>
      </c>
      <c r="O105" s="773">
        <f t="shared" si="65"/>
        <v>0</v>
      </c>
      <c r="P105" s="768" t="s">
        <v>39</v>
      </c>
      <c r="Q105" s="768" t="s">
        <v>39</v>
      </c>
      <c r="R105" s="774" t="s">
        <v>73</v>
      </c>
      <c r="S105" s="775">
        <f ca="1">SUMIF('Data Input sheet'!$B$118:$D$180,R105,'Data Input sheet'!$D$118:$D$180)</f>
        <v>119</v>
      </c>
      <c r="T105" s="776">
        <f t="shared" ca="1" si="66"/>
        <v>0</v>
      </c>
      <c r="U105" s="1992"/>
      <c r="V105" s="778">
        <f t="shared" si="63"/>
        <v>0</v>
      </c>
      <c r="W105" s="772"/>
      <c r="X105" s="779"/>
      <c r="Y105" s="776">
        <v>0</v>
      </c>
      <c r="Z105" s="780">
        <f t="shared" ca="1" si="67"/>
        <v>0</v>
      </c>
      <c r="AA105" s="769"/>
      <c r="AB105" s="769"/>
      <c r="AC105" s="765">
        <f t="shared" si="45"/>
        <v>0</v>
      </c>
      <c r="AD105" s="781">
        <f t="shared" ref="AD105:AD136" si="68">IF(P105="E",+ROUND(H105*O105,0),0)</f>
        <v>0</v>
      </c>
      <c r="AE105" s="781">
        <f t="shared" si="47"/>
        <v>0</v>
      </c>
      <c r="AF105" s="781">
        <f t="shared" ref="AF105:AF136" si="69">+H105*O105</f>
        <v>0</v>
      </c>
      <c r="AG105" s="781">
        <f t="shared" ref="AG105:AG136" si="70">IF(P105="E",+ROUND(T105*H105,0),0)</f>
        <v>0</v>
      </c>
      <c r="AH105" s="781">
        <f t="shared" ca="1" si="50"/>
        <v>0</v>
      </c>
      <c r="AI105" s="782">
        <f t="shared" ref="AI105:AI136" ca="1" si="71">+H105*T105</f>
        <v>0</v>
      </c>
      <c r="AJ105" s="781">
        <f t="shared" ref="AJ105:AJ136" si="72">IF(P105="E",+ROUND(V105*H105,0),0)</f>
        <v>0</v>
      </c>
      <c r="AK105" s="781">
        <f t="shared" si="53"/>
        <v>0</v>
      </c>
      <c r="AL105" s="781">
        <f t="shared" ref="AL105:AL136" si="73">ROUND(V105*H105,0)</f>
        <v>0</v>
      </c>
      <c r="AM105" s="781">
        <f t="shared" ref="AM105:AM136" si="74">IF(Q105="E",+ROUND(W105*H105,0),0)</f>
        <v>0</v>
      </c>
      <c r="AN105" s="781">
        <f t="shared" si="56"/>
        <v>0</v>
      </c>
      <c r="AO105" s="781">
        <f t="shared" ref="AO105:AO136" si="75">ROUND(W105*H105,0)</f>
        <v>0</v>
      </c>
      <c r="AP105" s="781">
        <f t="shared" ref="AP105:AP136" si="76">IF(P105="E",+ROUND(Y105*H105,0),0)</f>
        <v>0</v>
      </c>
      <c r="AQ105" s="781">
        <f t="shared" si="59"/>
        <v>0</v>
      </c>
      <c r="AR105" s="781">
        <f t="shared" ref="AR105:AR136" si="77">ROUND(Y105*H105,0)</f>
        <v>0</v>
      </c>
      <c r="AS105" s="783">
        <f t="shared" ca="1" si="61"/>
        <v>0</v>
      </c>
    </row>
    <row r="106" spans="1:45" ht="15" x14ac:dyDescent="0.25">
      <c r="A106" s="784"/>
      <c r="B106" s="719">
        <f t="shared" si="64"/>
        <v>98</v>
      </c>
      <c r="C106" s="170" t="str">
        <f t="shared" si="62"/>
        <v>99</v>
      </c>
      <c r="D106" s="557"/>
      <c r="E106" s="170"/>
      <c r="F106" s="170">
        <v>99</v>
      </c>
      <c r="G106" s="785"/>
      <c r="H106" s="770"/>
      <c r="I106" s="768"/>
      <c r="J106" s="770"/>
      <c r="K106" s="770"/>
      <c r="L106" s="170"/>
      <c r="M106" s="771">
        <v>0</v>
      </c>
      <c r="N106" s="772">
        <v>1</v>
      </c>
      <c r="O106" s="773">
        <f t="shared" si="65"/>
        <v>0</v>
      </c>
      <c r="P106" s="768" t="s">
        <v>39</v>
      </c>
      <c r="Q106" s="768" t="s">
        <v>39</v>
      </c>
      <c r="R106" s="774" t="s">
        <v>73</v>
      </c>
      <c r="S106" s="775">
        <f ca="1">SUMIF('Data Input sheet'!$B$118:$D$180,R106,'Data Input sheet'!$D$118:$D$180)</f>
        <v>119</v>
      </c>
      <c r="T106" s="776">
        <f t="shared" ca="1" si="66"/>
        <v>0</v>
      </c>
      <c r="U106" s="1992"/>
      <c r="V106" s="778">
        <f t="shared" si="63"/>
        <v>0</v>
      </c>
      <c r="W106" s="772"/>
      <c r="X106" s="779"/>
      <c r="Y106" s="776">
        <v>0</v>
      </c>
      <c r="Z106" s="780">
        <f t="shared" ca="1" si="67"/>
        <v>0</v>
      </c>
      <c r="AA106" s="769"/>
      <c r="AB106" s="769"/>
      <c r="AC106" s="765">
        <f t="shared" si="45"/>
        <v>0</v>
      </c>
      <c r="AD106" s="781">
        <f t="shared" si="68"/>
        <v>0</v>
      </c>
      <c r="AE106" s="781">
        <f t="shared" si="47"/>
        <v>0</v>
      </c>
      <c r="AF106" s="781">
        <f t="shared" si="69"/>
        <v>0</v>
      </c>
      <c r="AG106" s="781">
        <f t="shared" si="70"/>
        <v>0</v>
      </c>
      <c r="AH106" s="781">
        <f t="shared" ca="1" si="50"/>
        <v>0</v>
      </c>
      <c r="AI106" s="782">
        <f t="shared" ca="1" si="71"/>
        <v>0</v>
      </c>
      <c r="AJ106" s="781">
        <f t="shared" si="72"/>
        <v>0</v>
      </c>
      <c r="AK106" s="781">
        <f t="shared" si="53"/>
        <v>0</v>
      </c>
      <c r="AL106" s="781">
        <f t="shared" si="73"/>
        <v>0</v>
      </c>
      <c r="AM106" s="781">
        <f t="shared" si="74"/>
        <v>0</v>
      </c>
      <c r="AN106" s="781">
        <f t="shared" si="56"/>
        <v>0</v>
      </c>
      <c r="AO106" s="781">
        <f t="shared" si="75"/>
        <v>0</v>
      </c>
      <c r="AP106" s="781">
        <f t="shared" si="76"/>
        <v>0</v>
      </c>
      <c r="AQ106" s="781">
        <f t="shared" si="59"/>
        <v>0</v>
      </c>
      <c r="AR106" s="781">
        <f t="shared" si="77"/>
        <v>0</v>
      </c>
      <c r="AS106" s="783">
        <f t="shared" ca="1" si="61"/>
        <v>0</v>
      </c>
    </row>
    <row r="107" spans="1:45" ht="15" x14ac:dyDescent="0.25">
      <c r="A107" s="784"/>
      <c r="B107" s="719">
        <f t="shared" si="64"/>
        <v>99</v>
      </c>
      <c r="C107" s="170" t="str">
        <f t="shared" si="62"/>
        <v>99</v>
      </c>
      <c r="D107" s="557"/>
      <c r="E107" s="170"/>
      <c r="F107" s="170">
        <v>99</v>
      </c>
      <c r="G107" s="785"/>
      <c r="H107" s="770"/>
      <c r="I107" s="768"/>
      <c r="J107" s="770"/>
      <c r="K107" s="770"/>
      <c r="L107" s="170"/>
      <c r="M107" s="771">
        <v>0</v>
      </c>
      <c r="N107" s="772">
        <v>1</v>
      </c>
      <c r="O107" s="773">
        <f t="shared" si="65"/>
        <v>0</v>
      </c>
      <c r="P107" s="768" t="s">
        <v>39</v>
      </c>
      <c r="Q107" s="768" t="s">
        <v>39</v>
      </c>
      <c r="R107" s="774" t="s">
        <v>73</v>
      </c>
      <c r="S107" s="775">
        <f ca="1">SUMIF('Data Input sheet'!$B$118:$D$180,R107,'Data Input sheet'!$D$118:$D$180)</f>
        <v>119</v>
      </c>
      <c r="T107" s="776">
        <f t="shared" ca="1" si="66"/>
        <v>0</v>
      </c>
      <c r="U107" s="1992"/>
      <c r="V107" s="778">
        <f t="shared" si="63"/>
        <v>0</v>
      </c>
      <c r="W107" s="772"/>
      <c r="X107" s="779"/>
      <c r="Y107" s="776">
        <v>0</v>
      </c>
      <c r="Z107" s="780">
        <f t="shared" ca="1" si="67"/>
        <v>0</v>
      </c>
      <c r="AA107" s="769"/>
      <c r="AB107" s="769"/>
      <c r="AC107" s="765">
        <f t="shared" si="45"/>
        <v>0</v>
      </c>
      <c r="AD107" s="781">
        <f t="shared" si="68"/>
        <v>0</v>
      </c>
      <c r="AE107" s="781">
        <f t="shared" si="47"/>
        <v>0</v>
      </c>
      <c r="AF107" s="781">
        <f t="shared" si="69"/>
        <v>0</v>
      </c>
      <c r="AG107" s="781">
        <f t="shared" si="70"/>
        <v>0</v>
      </c>
      <c r="AH107" s="781">
        <f t="shared" ca="1" si="50"/>
        <v>0</v>
      </c>
      <c r="AI107" s="782">
        <f t="shared" ca="1" si="71"/>
        <v>0</v>
      </c>
      <c r="AJ107" s="781">
        <f t="shared" si="72"/>
        <v>0</v>
      </c>
      <c r="AK107" s="781">
        <f t="shared" si="53"/>
        <v>0</v>
      </c>
      <c r="AL107" s="781">
        <f t="shared" si="73"/>
        <v>0</v>
      </c>
      <c r="AM107" s="781">
        <f t="shared" si="74"/>
        <v>0</v>
      </c>
      <c r="AN107" s="781">
        <f t="shared" si="56"/>
        <v>0</v>
      </c>
      <c r="AO107" s="781">
        <f t="shared" si="75"/>
        <v>0</v>
      </c>
      <c r="AP107" s="781">
        <f t="shared" si="76"/>
        <v>0</v>
      </c>
      <c r="AQ107" s="781">
        <f t="shared" si="59"/>
        <v>0</v>
      </c>
      <c r="AR107" s="781">
        <f t="shared" si="77"/>
        <v>0</v>
      </c>
      <c r="AS107" s="783">
        <f t="shared" ca="1" si="61"/>
        <v>0</v>
      </c>
    </row>
    <row r="108" spans="1:45" ht="15" x14ac:dyDescent="0.25">
      <c r="A108" s="784"/>
      <c r="B108" s="719">
        <f t="shared" si="64"/>
        <v>100</v>
      </c>
      <c r="C108" s="170" t="str">
        <f t="shared" si="62"/>
        <v>99</v>
      </c>
      <c r="D108" s="557"/>
      <c r="E108" s="170"/>
      <c r="F108" s="170">
        <v>99</v>
      </c>
      <c r="G108" s="787"/>
      <c r="H108" s="784"/>
      <c r="I108" s="784"/>
      <c r="J108" s="784"/>
      <c r="K108" s="784"/>
      <c r="L108" s="170"/>
      <c r="M108" s="773"/>
      <c r="N108" s="773"/>
      <c r="O108" s="773"/>
      <c r="P108" s="788"/>
      <c r="Q108" s="788"/>
      <c r="R108" s="773"/>
      <c r="S108" s="773"/>
      <c r="T108" s="779"/>
      <c r="U108" s="1993"/>
      <c r="V108" s="778">
        <f t="shared" si="63"/>
        <v>0</v>
      </c>
      <c r="W108" s="778"/>
      <c r="X108" s="779"/>
      <c r="Y108" s="779"/>
      <c r="Z108" s="780"/>
      <c r="AA108" s="787"/>
      <c r="AB108" s="787"/>
      <c r="AC108" s="765">
        <f t="shared" si="45"/>
        <v>0</v>
      </c>
      <c r="AD108" s="781">
        <f t="shared" si="68"/>
        <v>0</v>
      </c>
      <c r="AE108" s="781">
        <f t="shared" si="47"/>
        <v>0</v>
      </c>
      <c r="AF108" s="781">
        <f t="shared" si="69"/>
        <v>0</v>
      </c>
      <c r="AG108" s="781">
        <f t="shared" si="70"/>
        <v>0</v>
      </c>
      <c r="AH108" s="781">
        <f t="shared" si="50"/>
        <v>0</v>
      </c>
      <c r="AI108" s="782">
        <f t="shared" si="71"/>
        <v>0</v>
      </c>
      <c r="AJ108" s="781">
        <f t="shared" si="72"/>
        <v>0</v>
      </c>
      <c r="AK108" s="781">
        <f t="shared" si="53"/>
        <v>0</v>
      </c>
      <c r="AL108" s="781">
        <f t="shared" si="73"/>
        <v>0</v>
      </c>
      <c r="AM108" s="781">
        <f t="shared" si="74"/>
        <v>0</v>
      </c>
      <c r="AN108" s="781">
        <f t="shared" si="56"/>
        <v>0</v>
      </c>
      <c r="AO108" s="781">
        <f t="shared" si="75"/>
        <v>0</v>
      </c>
      <c r="AP108" s="781">
        <f t="shared" si="76"/>
        <v>0</v>
      </c>
      <c r="AQ108" s="781">
        <f t="shared" si="59"/>
        <v>0</v>
      </c>
      <c r="AR108" s="781">
        <f t="shared" si="77"/>
        <v>0</v>
      </c>
      <c r="AS108" s="783">
        <f t="shared" si="61"/>
        <v>0</v>
      </c>
    </row>
    <row r="109" spans="1:45" ht="15.75" thickBot="1" x14ac:dyDescent="0.3">
      <c r="A109" s="784"/>
      <c r="B109" s="719">
        <f t="shared" si="64"/>
        <v>101</v>
      </c>
      <c r="C109" s="170" t="str">
        <f t="shared" si="62"/>
        <v>99</v>
      </c>
      <c r="D109" s="557"/>
      <c r="E109" s="170"/>
      <c r="F109" s="170">
        <v>99</v>
      </c>
      <c r="G109" s="787"/>
      <c r="H109" s="784"/>
      <c r="I109" s="784"/>
      <c r="J109" s="784"/>
      <c r="K109" s="784"/>
      <c r="L109" s="170"/>
      <c r="M109" s="773"/>
      <c r="N109" s="773"/>
      <c r="O109" s="773"/>
      <c r="P109" s="788"/>
      <c r="Q109" s="788"/>
      <c r="R109" s="773"/>
      <c r="S109" s="773"/>
      <c r="T109" s="779"/>
      <c r="U109" s="1993"/>
      <c r="V109" s="778">
        <f t="shared" si="63"/>
        <v>0</v>
      </c>
      <c r="W109" s="778"/>
      <c r="X109" s="779"/>
      <c r="Y109" s="779"/>
      <c r="Z109" s="780"/>
      <c r="AA109" s="787"/>
      <c r="AB109" s="787"/>
      <c r="AC109" s="765">
        <f t="shared" si="45"/>
        <v>0</v>
      </c>
      <c r="AD109" s="781">
        <f t="shared" si="68"/>
        <v>0</v>
      </c>
      <c r="AE109" s="781">
        <f t="shared" si="47"/>
        <v>0</v>
      </c>
      <c r="AF109" s="781">
        <f t="shared" si="69"/>
        <v>0</v>
      </c>
      <c r="AG109" s="781">
        <f t="shared" si="70"/>
        <v>0</v>
      </c>
      <c r="AH109" s="781">
        <f t="shared" si="50"/>
        <v>0</v>
      </c>
      <c r="AI109" s="782">
        <f t="shared" si="71"/>
        <v>0</v>
      </c>
      <c r="AJ109" s="781">
        <f t="shared" si="72"/>
        <v>0</v>
      </c>
      <c r="AK109" s="781">
        <f t="shared" si="53"/>
        <v>0</v>
      </c>
      <c r="AL109" s="781">
        <f t="shared" si="73"/>
        <v>0</v>
      </c>
      <c r="AM109" s="781">
        <f t="shared" si="74"/>
        <v>0</v>
      </c>
      <c r="AN109" s="781">
        <f t="shared" si="56"/>
        <v>0</v>
      </c>
      <c r="AO109" s="781">
        <f t="shared" si="75"/>
        <v>0</v>
      </c>
      <c r="AP109" s="781">
        <f t="shared" si="76"/>
        <v>0</v>
      </c>
      <c r="AQ109" s="781">
        <f t="shared" si="59"/>
        <v>0</v>
      </c>
      <c r="AR109" s="781">
        <f t="shared" si="77"/>
        <v>0</v>
      </c>
      <c r="AS109" s="783">
        <f t="shared" si="61"/>
        <v>0</v>
      </c>
    </row>
    <row r="110" spans="1:45" ht="15.75" thickBot="1" x14ac:dyDescent="0.3">
      <c r="A110" s="784"/>
      <c r="B110" s="719">
        <f t="shared" si="64"/>
        <v>102</v>
      </c>
      <c r="C110" s="170" t="str">
        <f t="shared" si="62"/>
        <v>99</v>
      </c>
      <c r="D110" s="557"/>
      <c r="E110" s="170"/>
      <c r="F110" s="170">
        <v>99</v>
      </c>
      <c r="G110" s="841" t="s">
        <v>629</v>
      </c>
      <c r="H110" s="784"/>
      <c r="I110" s="784"/>
      <c r="J110" s="784"/>
      <c r="K110" s="784"/>
      <c r="L110" s="170"/>
      <c r="M110" s="773"/>
      <c r="N110" s="773"/>
      <c r="O110" s="773"/>
      <c r="P110" s="788"/>
      <c r="Q110" s="788"/>
      <c r="R110" s="773"/>
      <c r="S110" s="773"/>
      <c r="T110" s="779"/>
      <c r="U110" s="1993"/>
      <c r="V110" s="778">
        <f t="shared" si="63"/>
        <v>0</v>
      </c>
      <c r="W110" s="778"/>
      <c r="X110" s="779"/>
      <c r="Y110" s="779"/>
      <c r="Z110" s="780"/>
      <c r="AA110" s="787"/>
      <c r="AB110" s="787"/>
      <c r="AC110" s="765">
        <f t="shared" si="45"/>
        <v>0</v>
      </c>
      <c r="AD110" s="781">
        <f t="shared" si="68"/>
        <v>0</v>
      </c>
      <c r="AE110" s="781">
        <f t="shared" si="47"/>
        <v>0</v>
      </c>
      <c r="AF110" s="781">
        <f t="shared" si="69"/>
        <v>0</v>
      </c>
      <c r="AG110" s="781">
        <f t="shared" si="70"/>
        <v>0</v>
      </c>
      <c r="AH110" s="781">
        <f t="shared" si="50"/>
        <v>0</v>
      </c>
      <c r="AI110" s="782">
        <f t="shared" si="71"/>
        <v>0</v>
      </c>
      <c r="AJ110" s="781">
        <f t="shared" si="72"/>
        <v>0</v>
      </c>
      <c r="AK110" s="781">
        <f t="shared" si="53"/>
        <v>0</v>
      </c>
      <c r="AL110" s="781">
        <f t="shared" si="73"/>
        <v>0</v>
      </c>
      <c r="AM110" s="781">
        <f t="shared" si="74"/>
        <v>0</v>
      </c>
      <c r="AN110" s="781">
        <f t="shared" si="56"/>
        <v>0</v>
      </c>
      <c r="AO110" s="781">
        <f t="shared" si="75"/>
        <v>0</v>
      </c>
      <c r="AP110" s="781">
        <f t="shared" si="76"/>
        <v>0</v>
      </c>
      <c r="AQ110" s="781">
        <f t="shared" si="59"/>
        <v>0</v>
      </c>
      <c r="AR110" s="781">
        <f t="shared" si="77"/>
        <v>0</v>
      </c>
      <c r="AS110" s="783">
        <f t="shared" si="61"/>
        <v>0</v>
      </c>
    </row>
    <row r="111" spans="1:45" ht="15" x14ac:dyDescent="0.25">
      <c r="A111" s="784"/>
      <c r="B111" s="719">
        <f t="shared" si="64"/>
        <v>103</v>
      </c>
      <c r="C111" s="170" t="str">
        <f t="shared" si="62"/>
        <v>99</v>
      </c>
      <c r="D111" s="557"/>
      <c r="E111" s="170"/>
      <c r="F111" s="170">
        <v>99</v>
      </c>
      <c r="G111" s="787"/>
      <c r="H111" s="784"/>
      <c r="I111" s="784"/>
      <c r="J111" s="784"/>
      <c r="K111" s="784"/>
      <c r="L111" s="170"/>
      <c r="M111" s="773"/>
      <c r="N111" s="773"/>
      <c r="O111" s="773"/>
      <c r="P111" s="788"/>
      <c r="Q111" s="788"/>
      <c r="R111" s="773"/>
      <c r="S111" s="773"/>
      <c r="T111" s="779"/>
      <c r="U111" s="1993"/>
      <c r="V111" s="778">
        <f t="shared" si="63"/>
        <v>0</v>
      </c>
      <c r="W111" s="778"/>
      <c r="X111" s="779"/>
      <c r="Y111" s="779"/>
      <c r="Z111" s="780"/>
      <c r="AA111" s="787"/>
      <c r="AB111" s="787"/>
      <c r="AC111" s="765">
        <f t="shared" si="45"/>
        <v>0</v>
      </c>
      <c r="AD111" s="781">
        <f t="shared" si="68"/>
        <v>0</v>
      </c>
      <c r="AE111" s="781">
        <f t="shared" si="47"/>
        <v>0</v>
      </c>
      <c r="AF111" s="781">
        <f t="shared" si="69"/>
        <v>0</v>
      </c>
      <c r="AG111" s="781">
        <f t="shared" si="70"/>
        <v>0</v>
      </c>
      <c r="AH111" s="781">
        <f t="shared" si="50"/>
        <v>0</v>
      </c>
      <c r="AI111" s="782">
        <f t="shared" si="71"/>
        <v>0</v>
      </c>
      <c r="AJ111" s="781">
        <f t="shared" si="72"/>
        <v>0</v>
      </c>
      <c r="AK111" s="781">
        <f t="shared" si="53"/>
        <v>0</v>
      </c>
      <c r="AL111" s="781">
        <f t="shared" si="73"/>
        <v>0</v>
      </c>
      <c r="AM111" s="781">
        <f t="shared" si="74"/>
        <v>0</v>
      </c>
      <c r="AN111" s="781">
        <f t="shared" si="56"/>
        <v>0</v>
      </c>
      <c r="AO111" s="781">
        <f t="shared" si="75"/>
        <v>0</v>
      </c>
      <c r="AP111" s="781">
        <f t="shared" si="76"/>
        <v>0</v>
      </c>
      <c r="AQ111" s="781">
        <f t="shared" si="59"/>
        <v>0</v>
      </c>
      <c r="AR111" s="781">
        <f t="shared" si="77"/>
        <v>0</v>
      </c>
      <c r="AS111" s="783">
        <f t="shared" si="61"/>
        <v>0</v>
      </c>
    </row>
    <row r="112" spans="1:45" ht="15" x14ac:dyDescent="0.25">
      <c r="A112" s="768"/>
      <c r="B112" s="719">
        <f t="shared" si="64"/>
        <v>104</v>
      </c>
      <c r="C112" s="170" t="str">
        <f t="shared" si="62"/>
        <v>99</v>
      </c>
      <c r="D112" s="557"/>
      <c r="E112" s="170"/>
      <c r="F112" s="170">
        <v>99</v>
      </c>
      <c r="G112" s="785"/>
      <c r="H112" s="770"/>
      <c r="I112" s="768"/>
      <c r="J112" s="770"/>
      <c r="K112" s="770"/>
      <c r="L112" s="170"/>
      <c r="M112" s="771">
        <v>0</v>
      </c>
      <c r="N112" s="772">
        <v>1</v>
      </c>
      <c r="O112" s="773">
        <f t="shared" ref="O112:O131" si="78">+M112*N112</f>
        <v>0</v>
      </c>
      <c r="P112" s="768" t="s">
        <v>39</v>
      </c>
      <c r="Q112" s="768" t="s">
        <v>39</v>
      </c>
      <c r="R112" s="774" t="s">
        <v>74</v>
      </c>
      <c r="S112" s="775">
        <f ca="1">SUMIF('Data Input sheet'!$B$118:$D$180,R112,'Data Input sheet'!$D$118:$D$180)</f>
        <v>152</v>
      </c>
      <c r="T112" s="776">
        <f t="shared" ref="T112:T131" ca="1" si="79">+O112*S112</f>
        <v>0</v>
      </c>
      <c r="U112" s="1992"/>
      <c r="V112" s="778">
        <f t="shared" si="63"/>
        <v>0</v>
      </c>
      <c r="W112" s="772"/>
      <c r="X112" s="779"/>
      <c r="Y112" s="776">
        <v>0</v>
      </c>
      <c r="Z112" s="780">
        <f t="shared" ref="Z112:Z131" ca="1" si="80">T112+V112+W112+Y112</f>
        <v>0</v>
      </c>
      <c r="AA112" s="769"/>
      <c r="AB112" s="769"/>
      <c r="AC112" s="765">
        <f t="shared" si="45"/>
        <v>0</v>
      </c>
      <c r="AD112" s="781">
        <f t="shared" si="68"/>
        <v>0</v>
      </c>
      <c r="AE112" s="781">
        <f t="shared" si="47"/>
        <v>0</v>
      </c>
      <c r="AF112" s="781">
        <f t="shared" si="69"/>
        <v>0</v>
      </c>
      <c r="AG112" s="781">
        <f t="shared" si="70"/>
        <v>0</v>
      </c>
      <c r="AH112" s="781">
        <f t="shared" ca="1" si="50"/>
        <v>0</v>
      </c>
      <c r="AI112" s="782">
        <f t="shared" ca="1" si="71"/>
        <v>0</v>
      </c>
      <c r="AJ112" s="781">
        <f t="shared" si="72"/>
        <v>0</v>
      </c>
      <c r="AK112" s="781">
        <f t="shared" si="53"/>
        <v>0</v>
      </c>
      <c r="AL112" s="781">
        <f t="shared" si="73"/>
        <v>0</v>
      </c>
      <c r="AM112" s="781">
        <f t="shared" si="74"/>
        <v>0</v>
      </c>
      <c r="AN112" s="781">
        <f t="shared" si="56"/>
        <v>0</v>
      </c>
      <c r="AO112" s="781">
        <f t="shared" si="75"/>
        <v>0</v>
      </c>
      <c r="AP112" s="781">
        <f t="shared" si="76"/>
        <v>0</v>
      </c>
      <c r="AQ112" s="781">
        <f t="shared" si="59"/>
        <v>0</v>
      </c>
      <c r="AR112" s="781">
        <f t="shared" si="77"/>
        <v>0</v>
      </c>
      <c r="AS112" s="783">
        <f t="shared" ca="1" si="61"/>
        <v>0</v>
      </c>
    </row>
    <row r="113" spans="1:45" ht="15" x14ac:dyDescent="0.25">
      <c r="A113" s="768"/>
      <c r="B113" s="719">
        <f t="shared" si="64"/>
        <v>105</v>
      </c>
      <c r="C113" s="170" t="str">
        <f t="shared" si="62"/>
        <v>99</v>
      </c>
      <c r="D113" s="557"/>
      <c r="E113" s="170"/>
      <c r="F113" s="170">
        <v>99</v>
      </c>
      <c r="G113" s="785"/>
      <c r="H113" s="770"/>
      <c r="I113" s="768"/>
      <c r="J113" s="770"/>
      <c r="K113" s="770"/>
      <c r="L113" s="170"/>
      <c r="M113" s="771">
        <v>0</v>
      </c>
      <c r="N113" s="772">
        <v>1</v>
      </c>
      <c r="O113" s="773">
        <f t="shared" si="78"/>
        <v>0</v>
      </c>
      <c r="P113" s="768" t="s">
        <v>39</v>
      </c>
      <c r="Q113" s="768" t="s">
        <v>39</v>
      </c>
      <c r="R113" s="774" t="s">
        <v>74</v>
      </c>
      <c r="S113" s="775">
        <f ca="1">SUMIF('Data Input sheet'!$B$118:$D$180,R113,'Data Input sheet'!$D$118:$D$180)</f>
        <v>152</v>
      </c>
      <c r="T113" s="776">
        <f t="shared" ca="1" si="79"/>
        <v>0</v>
      </c>
      <c r="U113" s="1992"/>
      <c r="V113" s="778">
        <f t="shared" si="63"/>
        <v>0</v>
      </c>
      <c r="W113" s="772"/>
      <c r="X113" s="779"/>
      <c r="Y113" s="776">
        <v>0</v>
      </c>
      <c r="Z113" s="780">
        <f t="shared" ca="1" si="80"/>
        <v>0</v>
      </c>
      <c r="AA113" s="769"/>
      <c r="AB113" s="769"/>
      <c r="AC113" s="765">
        <f t="shared" si="45"/>
        <v>0</v>
      </c>
      <c r="AD113" s="781">
        <f t="shared" si="68"/>
        <v>0</v>
      </c>
      <c r="AE113" s="781">
        <f t="shared" si="47"/>
        <v>0</v>
      </c>
      <c r="AF113" s="781">
        <f t="shared" si="69"/>
        <v>0</v>
      </c>
      <c r="AG113" s="781">
        <f t="shared" si="70"/>
        <v>0</v>
      </c>
      <c r="AH113" s="781">
        <f t="shared" ca="1" si="50"/>
        <v>0</v>
      </c>
      <c r="AI113" s="782">
        <f t="shared" ca="1" si="71"/>
        <v>0</v>
      </c>
      <c r="AJ113" s="781">
        <f t="shared" si="72"/>
        <v>0</v>
      </c>
      <c r="AK113" s="781">
        <f t="shared" si="53"/>
        <v>0</v>
      </c>
      <c r="AL113" s="781">
        <f t="shared" si="73"/>
        <v>0</v>
      </c>
      <c r="AM113" s="781">
        <f t="shared" si="74"/>
        <v>0</v>
      </c>
      <c r="AN113" s="781">
        <f t="shared" si="56"/>
        <v>0</v>
      </c>
      <c r="AO113" s="781">
        <f t="shared" si="75"/>
        <v>0</v>
      </c>
      <c r="AP113" s="781">
        <f t="shared" si="76"/>
        <v>0</v>
      </c>
      <c r="AQ113" s="781">
        <f t="shared" si="59"/>
        <v>0</v>
      </c>
      <c r="AR113" s="781">
        <f t="shared" si="77"/>
        <v>0</v>
      </c>
      <c r="AS113" s="783">
        <f t="shared" ca="1" si="61"/>
        <v>0</v>
      </c>
    </row>
    <row r="114" spans="1:45" ht="15" x14ac:dyDescent="0.25">
      <c r="A114" s="768"/>
      <c r="B114" s="719">
        <f t="shared" si="64"/>
        <v>106</v>
      </c>
      <c r="C114" s="170" t="str">
        <f t="shared" si="62"/>
        <v>99</v>
      </c>
      <c r="D114" s="557"/>
      <c r="E114" s="170"/>
      <c r="F114" s="170">
        <v>99</v>
      </c>
      <c r="G114" s="785"/>
      <c r="H114" s="770"/>
      <c r="I114" s="768"/>
      <c r="J114" s="770"/>
      <c r="K114" s="770"/>
      <c r="L114" s="170"/>
      <c r="M114" s="771">
        <v>0</v>
      </c>
      <c r="N114" s="772">
        <v>1</v>
      </c>
      <c r="O114" s="773">
        <f t="shared" si="78"/>
        <v>0</v>
      </c>
      <c r="P114" s="768" t="s">
        <v>39</v>
      </c>
      <c r="Q114" s="768" t="s">
        <v>39</v>
      </c>
      <c r="R114" s="774" t="s">
        <v>74</v>
      </c>
      <c r="S114" s="775">
        <f ca="1">SUMIF('Data Input sheet'!$B$118:$D$180,R114,'Data Input sheet'!$D$118:$D$180)</f>
        <v>152</v>
      </c>
      <c r="T114" s="776">
        <f t="shared" ca="1" si="79"/>
        <v>0</v>
      </c>
      <c r="U114" s="1992"/>
      <c r="V114" s="778">
        <f t="shared" si="63"/>
        <v>0</v>
      </c>
      <c r="W114" s="772"/>
      <c r="X114" s="779"/>
      <c r="Y114" s="776">
        <v>0</v>
      </c>
      <c r="Z114" s="780">
        <f t="shared" ca="1" si="80"/>
        <v>0</v>
      </c>
      <c r="AA114" s="769"/>
      <c r="AB114" s="769"/>
      <c r="AC114" s="765">
        <f t="shared" si="45"/>
        <v>0</v>
      </c>
      <c r="AD114" s="781">
        <f t="shared" si="68"/>
        <v>0</v>
      </c>
      <c r="AE114" s="781">
        <f t="shared" si="47"/>
        <v>0</v>
      </c>
      <c r="AF114" s="781">
        <f t="shared" si="69"/>
        <v>0</v>
      </c>
      <c r="AG114" s="781">
        <f t="shared" si="70"/>
        <v>0</v>
      </c>
      <c r="AH114" s="781">
        <f t="shared" ca="1" si="50"/>
        <v>0</v>
      </c>
      <c r="AI114" s="782">
        <f t="shared" ca="1" si="71"/>
        <v>0</v>
      </c>
      <c r="AJ114" s="781">
        <f t="shared" si="72"/>
        <v>0</v>
      </c>
      <c r="AK114" s="781">
        <f t="shared" si="53"/>
        <v>0</v>
      </c>
      <c r="AL114" s="781">
        <f t="shared" si="73"/>
        <v>0</v>
      </c>
      <c r="AM114" s="781">
        <f t="shared" si="74"/>
        <v>0</v>
      </c>
      <c r="AN114" s="781">
        <f t="shared" si="56"/>
        <v>0</v>
      </c>
      <c r="AO114" s="781">
        <f t="shared" si="75"/>
        <v>0</v>
      </c>
      <c r="AP114" s="781">
        <f t="shared" si="76"/>
        <v>0</v>
      </c>
      <c r="AQ114" s="781">
        <f t="shared" si="59"/>
        <v>0</v>
      </c>
      <c r="AR114" s="781">
        <f t="shared" si="77"/>
        <v>0</v>
      </c>
      <c r="AS114" s="783">
        <f t="shared" ca="1" si="61"/>
        <v>0</v>
      </c>
    </row>
    <row r="115" spans="1:45" ht="15" x14ac:dyDescent="0.25">
      <c r="A115" s="768"/>
      <c r="B115" s="719">
        <f t="shared" si="64"/>
        <v>107</v>
      </c>
      <c r="C115" s="170" t="str">
        <f t="shared" si="62"/>
        <v>99</v>
      </c>
      <c r="D115" s="557"/>
      <c r="E115" s="170"/>
      <c r="F115" s="170">
        <v>99</v>
      </c>
      <c r="G115" s="785"/>
      <c r="H115" s="770"/>
      <c r="I115" s="768"/>
      <c r="J115" s="770"/>
      <c r="K115" s="770"/>
      <c r="L115" s="170"/>
      <c r="M115" s="771">
        <v>0</v>
      </c>
      <c r="N115" s="772">
        <v>1</v>
      </c>
      <c r="O115" s="773">
        <f t="shared" si="78"/>
        <v>0</v>
      </c>
      <c r="P115" s="768" t="s">
        <v>39</v>
      </c>
      <c r="Q115" s="768" t="s">
        <v>39</v>
      </c>
      <c r="R115" s="774" t="s">
        <v>74</v>
      </c>
      <c r="S115" s="775">
        <f ca="1">SUMIF('Data Input sheet'!$B$118:$D$180,R115,'Data Input sheet'!$D$118:$D$180)</f>
        <v>152</v>
      </c>
      <c r="T115" s="776">
        <f t="shared" ca="1" si="79"/>
        <v>0</v>
      </c>
      <c r="U115" s="1992"/>
      <c r="V115" s="778">
        <f t="shared" si="63"/>
        <v>0</v>
      </c>
      <c r="W115" s="772"/>
      <c r="X115" s="779"/>
      <c r="Y115" s="776">
        <v>0</v>
      </c>
      <c r="Z115" s="780">
        <f t="shared" ca="1" si="80"/>
        <v>0</v>
      </c>
      <c r="AA115" s="769"/>
      <c r="AB115" s="769"/>
      <c r="AC115" s="765">
        <f t="shared" si="45"/>
        <v>0</v>
      </c>
      <c r="AD115" s="781">
        <f t="shared" si="68"/>
        <v>0</v>
      </c>
      <c r="AE115" s="781">
        <f t="shared" si="47"/>
        <v>0</v>
      </c>
      <c r="AF115" s="781">
        <f t="shared" si="69"/>
        <v>0</v>
      </c>
      <c r="AG115" s="781">
        <f t="shared" si="70"/>
        <v>0</v>
      </c>
      <c r="AH115" s="781">
        <f t="shared" ca="1" si="50"/>
        <v>0</v>
      </c>
      <c r="AI115" s="782">
        <f t="shared" ca="1" si="71"/>
        <v>0</v>
      </c>
      <c r="AJ115" s="781">
        <f t="shared" si="72"/>
        <v>0</v>
      </c>
      <c r="AK115" s="781">
        <f t="shared" si="53"/>
        <v>0</v>
      </c>
      <c r="AL115" s="781">
        <f t="shared" si="73"/>
        <v>0</v>
      </c>
      <c r="AM115" s="781">
        <f t="shared" si="74"/>
        <v>0</v>
      </c>
      <c r="AN115" s="781">
        <f t="shared" si="56"/>
        <v>0</v>
      </c>
      <c r="AO115" s="781">
        <f t="shared" si="75"/>
        <v>0</v>
      </c>
      <c r="AP115" s="781">
        <f t="shared" si="76"/>
        <v>0</v>
      </c>
      <c r="AQ115" s="781">
        <f t="shared" si="59"/>
        <v>0</v>
      </c>
      <c r="AR115" s="781">
        <f t="shared" si="77"/>
        <v>0</v>
      </c>
      <c r="AS115" s="783">
        <f t="shared" ca="1" si="61"/>
        <v>0</v>
      </c>
    </row>
    <row r="116" spans="1:45" ht="15" x14ac:dyDescent="0.25">
      <c r="A116" s="768"/>
      <c r="B116" s="719">
        <f t="shared" si="64"/>
        <v>108</v>
      </c>
      <c r="C116" s="170" t="str">
        <f t="shared" si="62"/>
        <v>99</v>
      </c>
      <c r="D116" s="557"/>
      <c r="E116" s="170"/>
      <c r="F116" s="170">
        <v>99</v>
      </c>
      <c r="G116" s="785"/>
      <c r="H116" s="770"/>
      <c r="I116" s="768"/>
      <c r="J116" s="770"/>
      <c r="K116" s="770"/>
      <c r="L116" s="170"/>
      <c r="M116" s="771">
        <v>0</v>
      </c>
      <c r="N116" s="772">
        <v>1</v>
      </c>
      <c r="O116" s="773">
        <f t="shared" si="78"/>
        <v>0</v>
      </c>
      <c r="P116" s="768" t="s">
        <v>39</v>
      </c>
      <c r="Q116" s="768" t="s">
        <v>39</v>
      </c>
      <c r="R116" s="774" t="s">
        <v>74</v>
      </c>
      <c r="S116" s="775">
        <f ca="1">SUMIF('Data Input sheet'!$B$118:$D$180,R116,'Data Input sheet'!$D$118:$D$180)</f>
        <v>152</v>
      </c>
      <c r="T116" s="776">
        <f t="shared" ca="1" si="79"/>
        <v>0</v>
      </c>
      <c r="U116" s="1992"/>
      <c r="V116" s="778">
        <f t="shared" si="63"/>
        <v>0</v>
      </c>
      <c r="W116" s="772"/>
      <c r="X116" s="779"/>
      <c r="Y116" s="776">
        <v>0</v>
      </c>
      <c r="Z116" s="780">
        <f t="shared" ca="1" si="80"/>
        <v>0</v>
      </c>
      <c r="AA116" s="769"/>
      <c r="AB116" s="769"/>
      <c r="AC116" s="765">
        <f t="shared" si="45"/>
        <v>0</v>
      </c>
      <c r="AD116" s="781">
        <f t="shared" si="68"/>
        <v>0</v>
      </c>
      <c r="AE116" s="781">
        <f t="shared" si="47"/>
        <v>0</v>
      </c>
      <c r="AF116" s="781">
        <f t="shared" si="69"/>
        <v>0</v>
      </c>
      <c r="AG116" s="781">
        <f t="shared" si="70"/>
        <v>0</v>
      </c>
      <c r="AH116" s="781">
        <f t="shared" ca="1" si="50"/>
        <v>0</v>
      </c>
      <c r="AI116" s="782">
        <f t="shared" ca="1" si="71"/>
        <v>0</v>
      </c>
      <c r="AJ116" s="781">
        <f t="shared" si="72"/>
        <v>0</v>
      </c>
      <c r="AK116" s="781">
        <f t="shared" si="53"/>
        <v>0</v>
      </c>
      <c r="AL116" s="781">
        <f t="shared" si="73"/>
        <v>0</v>
      </c>
      <c r="AM116" s="781">
        <f t="shared" si="74"/>
        <v>0</v>
      </c>
      <c r="AN116" s="781">
        <f t="shared" si="56"/>
        <v>0</v>
      </c>
      <c r="AO116" s="781">
        <f t="shared" si="75"/>
        <v>0</v>
      </c>
      <c r="AP116" s="781">
        <f t="shared" si="76"/>
        <v>0</v>
      </c>
      <c r="AQ116" s="781">
        <f t="shared" si="59"/>
        <v>0</v>
      </c>
      <c r="AR116" s="781">
        <f t="shared" si="77"/>
        <v>0</v>
      </c>
      <c r="AS116" s="783">
        <f t="shared" ca="1" si="61"/>
        <v>0</v>
      </c>
    </row>
    <row r="117" spans="1:45" ht="15" x14ac:dyDescent="0.25">
      <c r="A117" s="768"/>
      <c r="B117" s="719">
        <f t="shared" si="64"/>
        <v>109</v>
      </c>
      <c r="C117" s="170" t="str">
        <f t="shared" si="62"/>
        <v>99</v>
      </c>
      <c r="D117" s="557"/>
      <c r="E117" s="170"/>
      <c r="F117" s="170">
        <v>99</v>
      </c>
      <c r="G117" s="785"/>
      <c r="H117" s="770"/>
      <c r="I117" s="768"/>
      <c r="J117" s="770"/>
      <c r="K117" s="770"/>
      <c r="L117" s="170"/>
      <c r="M117" s="771">
        <v>0</v>
      </c>
      <c r="N117" s="772">
        <v>1</v>
      </c>
      <c r="O117" s="773">
        <f t="shared" si="78"/>
        <v>0</v>
      </c>
      <c r="P117" s="768" t="s">
        <v>39</v>
      </c>
      <c r="Q117" s="768" t="s">
        <v>39</v>
      </c>
      <c r="R117" s="774" t="s">
        <v>74</v>
      </c>
      <c r="S117" s="775">
        <f ca="1">SUMIF('Data Input sheet'!$B$118:$D$180,R117,'Data Input sheet'!$D$118:$D$180)</f>
        <v>152</v>
      </c>
      <c r="T117" s="776">
        <f t="shared" ca="1" si="79"/>
        <v>0</v>
      </c>
      <c r="U117" s="1992"/>
      <c r="V117" s="778">
        <f t="shared" si="63"/>
        <v>0</v>
      </c>
      <c r="W117" s="772"/>
      <c r="X117" s="779"/>
      <c r="Y117" s="776">
        <v>0</v>
      </c>
      <c r="Z117" s="780">
        <f t="shared" ca="1" si="80"/>
        <v>0</v>
      </c>
      <c r="AA117" s="769"/>
      <c r="AB117" s="769"/>
      <c r="AC117" s="765">
        <f t="shared" si="45"/>
        <v>0</v>
      </c>
      <c r="AD117" s="781">
        <f t="shared" si="68"/>
        <v>0</v>
      </c>
      <c r="AE117" s="781">
        <f t="shared" si="47"/>
        <v>0</v>
      </c>
      <c r="AF117" s="781">
        <f t="shared" si="69"/>
        <v>0</v>
      </c>
      <c r="AG117" s="781">
        <f t="shared" si="70"/>
        <v>0</v>
      </c>
      <c r="AH117" s="781">
        <f t="shared" ca="1" si="50"/>
        <v>0</v>
      </c>
      <c r="AI117" s="782">
        <f t="shared" ca="1" si="71"/>
        <v>0</v>
      </c>
      <c r="AJ117" s="781">
        <f t="shared" si="72"/>
        <v>0</v>
      </c>
      <c r="AK117" s="781">
        <f t="shared" si="53"/>
        <v>0</v>
      </c>
      <c r="AL117" s="781">
        <f t="shared" si="73"/>
        <v>0</v>
      </c>
      <c r="AM117" s="781">
        <f t="shared" si="74"/>
        <v>0</v>
      </c>
      <c r="AN117" s="781">
        <f t="shared" si="56"/>
        <v>0</v>
      </c>
      <c r="AO117" s="781">
        <f t="shared" si="75"/>
        <v>0</v>
      </c>
      <c r="AP117" s="781">
        <f t="shared" si="76"/>
        <v>0</v>
      </c>
      <c r="AQ117" s="781">
        <f t="shared" si="59"/>
        <v>0</v>
      </c>
      <c r="AR117" s="781">
        <f t="shared" si="77"/>
        <v>0</v>
      </c>
      <c r="AS117" s="783">
        <f t="shared" ca="1" si="61"/>
        <v>0</v>
      </c>
    </row>
    <row r="118" spans="1:45" ht="15" x14ac:dyDescent="0.25">
      <c r="A118" s="768"/>
      <c r="B118" s="719">
        <f t="shared" si="64"/>
        <v>110</v>
      </c>
      <c r="C118" s="170" t="str">
        <f t="shared" si="62"/>
        <v>99</v>
      </c>
      <c r="D118" s="557"/>
      <c r="E118" s="170"/>
      <c r="F118" s="170">
        <v>99</v>
      </c>
      <c r="G118" s="785"/>
      <c r="H118" s="770"/>
      <c r="I118" s="768"/>
      <c r="J118" s="770"/>
      <c r="K118" s="770"/>
      <c r="L118" s="170"/>
      <c r="M118" s="771">
        <v>0</v>
      </c>
      <c r="N118" s="772">
        <v>1</v>
      </c>
      <c r="O118" s="773">
        <f t="shared" si="78"/>
        <v>0</v>
      </c>
      <c r="P118" s="768" t="s">
        <v>39</v>
      </c>
      <c r="Q118" s="768" t="s">
        <v>39</v>
      </c>
      <c r="R118" s="774" t="s">
        <v>74</v>
      </c>
      <c r="S118" s="775">
        <f ca="1">SUMIF('Data Input sheet'!$B$118:$D$180,R118,'Data Input sheet'!$D$118:$D$180)</f>
        <v>152</v>
      </c>
      <c r="T118" s="776">
        <f t="shared" ca="1" si="79"/>
        <v>0</v>
      </c>
      <c r="U118" s="1992"/>
      <c r="V118" s="778">
        <f t="shared" si="63"/>
        <v>0</v>
      </c>
      <c r="W118" s="772"/>
      <c r="X118" s="779"/>
      <c r="Y118" s="776">
        <v>0</v>
      </c>
      <c r="Z118" s="780">
        <f t="shared" ca="1" si="80"/>
        <v>0</v>
      </c>
      <c r="AA118" s="769"/>
      <c r="AB118" s="769"/>
      <c r="AC118" s="765">
        <f t="shared" si="45"/>
        <v>0</v>
      </c>
      <c r="AD118" s="781">
        <f t="shared" si="68"/>
        <v>0</v>
      </c>
      <c r="AE118" s="781">
        <f t="shared" si="47"/>
        <v>0</v>
      </c>
      <c r="AF118" s="781">
        <f t="shared" si="69"/>
        <v>0</v>
      </c>
      <c r="AG118" s="781">
        <f t="shared" si="70"/>
        <v>0</v>
      </c>
      <c r="AH118" s="781">
        <f t="shared" ca="1" si="50"/>
        <v>0</v>
      </c>
      <c r="AI118" s="782">
        <f t="shared" ca="1" si="71"/>
        <v>0</v>
      </c>
      <c r="AJ118" s="781">
        <f t="shared" si="72"/>
        <v>0</v>
      </c>
      <c r="AK118" s="781">
        <f t="shared" si="53"/>
        <v>0</v>
      </c>
      <c r="AL118" s="781">
        <f t="shared" si="73"/>
        <v>0</v>
      </c>
      <c r="AM118" s="781">
        <f t="shared" si="74"/>
        <v>0</v>
      </c>
      <c r="AN118" s="781">
        <f t="shared" si="56"/>
        <v>0</v>
      </c>
      <c r="AO118" s="781">
        <f t="shared" si="75"/>
        <v>0</v>
      </c>
      <c r="AP118" s="781">
        <f t="shared" si="76"/>
        <v>0</v>
      </c>
      <c r="AQ118" s="781">
        <f t="shared" si="59"/>
        <v>0</v>
      </c>
      <c r="AR118" s="781">
        <f t="shared" si="77"/>
        <v>0</v>
      </c>
      <c r="AS118" s="783">
        <f t="shared" ca="1" si="61"/>
        <v>0</v>
      </c>
    </row>
    <row r="119" spans="1:45" ht="15" x14ac:dyDescent="0.25">
      <c r="A119" s="768"/>
      <c r="B119" s="719">
        <f t="shared" si="64"/>
        <v>111</v>
      </c>
      <c r="C119" s="170" t="str">
        <f t="shared" si="62"/>
        <v>99</v>
      </c>
      <c r="D119" s="557"/>
      <c r="E119" s="170"/>
      <c r="F119" s="170">
        <v>99</v>
      </c>
      <c r="G119" s="785"/>
      <c r="H119" s="770"/>
      <c r="I119" s="768"/>
      <c r="J119" s="770"/>
      <c r="K119" s="770"/>
      <c r="L119" s="170"/>
      <c r="M119" s="771">
        <v>0</v>
      </c>
      <c r="N119" s="772">
        <v>1</v>
      </c>
      <c r="O119" s="773">
        <f t="shared" si="78"/>
        <v>0</v>
      </c>
      <c r="P119" s="768" t="s">
        <v>39</v>
      </c>
      <c r="Q119" s="768" t="s">
        <v>39</v>
      </c>
      <c r="R119" s="774" t="s">
        <v>74</v>
      </c>
      <c r="S119" s="775">
        <f ca="1">SUMIF('Data Input sheet'!$B$118:$D$180,R119,'Data Input sheet'!$D$118:$D$180)</f>
        <v>152</v>
      </c>
      <c r="T119" s="776">
        <f t="shared" ca="1" si="79"/>
        <v>0</v>
      </c>
      <c r="U119" s="1992"/>
      <c r="V119" s="778">
        <f t="shared" si="63"/>
        <v>0</v>
      </c>
      <c r="W119" s="772"/>
      <c r="X119" s="779"/>
      <c r="Y119" s="776">
        <v>0</v>
      </c>
      <c r="Z119" s="780">
        <f t="shared" ca="1" si="80"/>
        <v>0</v>
      </c>
      <c r="AA119" s="769"/>
      <c r="AB119" s="769"/>
      <c r="AC119" s="765">
        <f t="shared" si="45"/>
        <v>0</v>
      </c>
      <c r="AD119" s="781">
        <f t="shared" si="68"/>
        <v>0</v>
      </c>
      <c r="AE119" s="781">
        <f t="shared" si="47"/>
        <v>0</v>
      </c>
      <c r="AF119" s="781">
        <f t="shared" si="69"/>
        <v>0</v>
      </c>
      <c r="AG119" s="781">
        <f t="shared" si="70"/>
        <v>0</v>
      </c>
      <c r="AH119" s="781">
        <f t="shared" ca="1" si="50"/>
        <v>0</v>
      </c>
      <c r="AI119" s="782">
        <f t="shared" ca="1" si="71"/>
        <v>0</v>
      </c>
      <c r="AJ119" s="781">
        <f t="shared" si="72"/>
        <v>0</v>
      </c>
      <c r="AK119" s="781">
        <f t="shared" si="53"/>
        <v>0</v>
      </c>
      <c r="AL119" s="781">
        <f t="shared" si="73"/>
        <v>0</v>
      </c>
      <c r="AM119" s="781">
        <f t="shared" si="74"/>
        <v>0</v>
      </c>
      <c r="AN119" s="781">
        <f t="shared" si="56"/>
        <v>0</v>
      </c>
      <c r="AO119" s="781">
        <f t="shared" si="75"/>
        <v>0</v>
      </c>
      <c r="AP119" s="781">
        <f t="shared" si="76"/>
        <v>0</v>
      </c>
      <c r="AQ119" s="781">
        <f t="shared" si="59"/>
        <v>0</v>
      </c>
      <c r="AR119" s="781">
        <f t="shared" si="77"/>
        <v>0</v>
      </c>
      <c r="AS119" s="783">
        <f t="shared" ca="1" si="61"/>
        <v>0</v>
      </c>
    </row>
    <row r="120" spans="1:45" ht="15" x14ac:dyDescent="0.25">
      <c r="A120" s="768"/>
      <c r="B120" s="719">
        <f t="shared" si="64"/>
        <v>112</v>
      </c>
      <c r="C120" s="170" t="str">
        <f t="shared" si="62"/>
        <v>99</v>
      </c>
      <c r="D120" s="557"/>
      <c r="E120" s="170"/>
      <c r="F120" s="170">
        <v>99</v>
      </c>
      <c r="G120" s="785"/>
      <c r="H120" s="770"/>
      <c r="I120" s="768"/>
      <c r="J120" s="770"/>
      <c r="K120" s="770"/>
      <c r="L120" s="170"/>
      <c r="M120" s="771">
        <v>0</v>
      </c>
      <c r="N120" s="772">
        <v>1</v>
      </c>
      <c r="O120" s="773">
        <f t="shared" si="78"/>
        <v>0</v>
      </c>
      <c r="P120" s="768" t="s">
        <v>39</v>
      </c>
      <c r="Q120" s="768" t="s">
        <v>39</v>
      </c>
      <c r="R120" s="774" t="s">
        <v>74</v>
      </c>
      <c r="S120" s="775">
        <f ca="1">SUMIF('Data Input sheet'!$B$118:$D$180,R120,'Data Input sheet'!$D$118:$D$180)</f>
        <v>152</v>
      </c>
      <c r="T120" s="776">
        <f t="shared" ca="1" si="79"/>
        <v>0</v>
      </c>
      <c r="U120" s="1992"/>
      <c r="V120" s="778">
        <f t="shared" si="63"/>
        <v>0</v>
      </c>
      <c r="W120" s="772"/>
      <c r="X120" s="779"/>
      <c r="Y120" s="776">
        <v>0</v>
      </c>
      <c r="Z120" s="780">
        <f t="shared" ca="1" si="80"/>
        <v>0</v>
      </c>
      <c r="AA120" s="769"/>
      <c r="AB120" s="769"/>
      <c r="AC120" s="765">
        <f t="shared" si="45"/>
        <v>0</v>
      </c>
      <c r="AD120" s="781">
        <f t="shared" si="68"/>
        <v>0</v>
      </c>
      <c r="AE120" s="781">
        <f t="shared" si="47"/>
        <v>0</v>
      </c>
      <c r="AF120" s="781">
        <f t="shared" si="69"/>
        <v>0</v>
      </c>
      <c r="AG120" s="781">
        <f t="shared" si="70"/>
        <v>0</v>
      </c>
      <c r="AH120" s="781">
        <f t="shared" ca="1" si="50"/>
        <v>0</v>
      </c>
      <c r="AI120" s="782">
        <f t="shared" ca="1" si="71"/>
        <v>0</v>
      </c>
      <c r="AJ120" s="781">
        <f t="shared" si="72"/>
        <v>0</v>
      </c>
      <c r="AK120" s="781">
        <f t="shared" si="53"/>
        <v>0</v>
      </c>
      <c r="AL120" s="781">
        <f t="shared" si="73"/>
        <v>0</v>
      </c>
      <c r="AM120" s="781">
        <f t="shared" si="74"/>
        <v>0</v>
      </c>
      <c r="AN120" s="781">
        <f t="shared" si="56"/>
        <v>0</v>
      </c>
      <c r="AO120" s="781">
        <f t="shared" si="75"/>
        <v>0</v>
      </c>
      <c r="AP120" s="781">
        <f t="shared" si="76"/>
        <v>0</v>
      </c>
      <c r="AQ120" s="781">
        <f t="shared" si="59"/>
        <v>0</v>
      </c>
      <c r="AR120" s="781">
        <f t="shared" si="77"/>
        <v>0</v>
      </c>
      <c r="AS120" s="783">
        <f t="shared" ca="1" si="61"/>
        <v>0</v>
      </c>
    </row>
    <row r="121" spans="1:45" ht="15" x14ac:dyDescent="0.25">
      <c r="A121" s="768"/>
      <c r="B121" s="719">
        <f t="shared" si="64"/>
        <v>113</v>
      </c>
      <c r="C121" s="170" t="str">
        <f t="shared" si="62"/>
        <v>99</v>
      </c>
      <c r="D121" s="557"/>
      <c r="E121" s="170"/>
      <c r="F121" s="170">
        <v>99</v>
      </c>
      <c r="G121" s="785"/>
      <c r="H121" s="770"/>
      <c r="I121" s="768"/>
      <c r="J121" s="770"/>
      <c r="K121" s="770"/>
      <c r="L121" s="170"/>
      <c r="M121" s="771">
        <v>0</v>
      </c>
      <c r="N121" s="772">
        <v>1</v>
      </c>
      <c r="O121" s="773">
        <f t="shared" si="78"/>
        <v>0</v>
      </c>
      <c r="P121" s="768" t="s">
        <v>39</v>
      </c>
      <c r="Q121" s="768" t="s">
        <v>39</v>
      </c>
      <c r="R121" s="774" t="s">
        <v>74</v>
      </c>
      <c r="S121" s="775">
        <f ca="1">SUMIF('Data Input sheet'!$B$118:$D$180,R121,'Data Input sheet'!$D$118:$D$180)</f>
        <v>152</v>
      </c>
      <c r="T121" s="776">
        <f t="shared" ca="1" si="79"/>
        <v>0</v>
      </c>
      <c r="U121" s="1992"/>
      <c r="V121" s="778">
        <f t="shared" si="63"/>
        <v>0</v>
      </c>
      <c r="W121" s="772"/>
      <c r="X121" s="779"/>
      <c r="Y121" s="776">
        <v>0</v>
      </c>
      <c r="Z121" s="780">
        <f t="shared" ca="1" si="80"/>
        <v>0</v>
      </c>
      <c r="AA121" s="769"/>
      <c r="AB121" s="769"/>
      <c r="AC121" s="765">
        <f t="shared" si="45"/>
        <v>0</v>
      </c>
      <c r="AD121" s="781">
        <f t="shared" si="68"/>
        <v>0</v>
      </c>
      <c r="AE121" s="781">
        <f t="shared" si="47"/>
        <v>0</v>
      </c>
      <c r="AF121" s="781">
        <f t="shared" si="69"/>
        <v>0</v>
      </c>
      <c r="AG121" s="781">
        <f t="shared" si="70"/>
        <v>0</v>
      </c>
      <c r="AH121" s="781">
        <f t="shared" ca="1" si="50"/>
        <v>0</v>
      </c>
      <c r="AI121" s="782">
        <f t="shared" ca="1" si="71"/>
        <v>0</v>
      </c>
      <c r="AJ121" s="781">
        <f t="shared" si="72"/>
        <v>0</v>
      </c>
      <c r="AK121" s="781">
        <f t="shared" si="53"/>
        <v>0</v>
      </c>
      <c r="AL121" s="781">
        <f t="shared" si="73"/>
        <v>0</v>
      </c>
      <c r="AM121" s="781">
        <f t="shared" si="74"/>
        <v>0</v>
      </c>
      <c r="AN121" s="781">
        <f t="shared" si="56"/>
        <v>0</v>
      </c>
      <c r="AO121" s="781">
        <f t="shared" si="75"/>
        <v>0</v>
      </c>
      <c r="AP121" s="781">
        <f t="shared" si="76"/>
        <v>0</v>
      </c>
      <c r="AQ121" s="781">
        <f t="shared" si="59"/>
        <v>0</v>
      </c>
      <c r="AR121" s="781">
        <f t="shared" si="77"/>
        <v>0</v>
      </c>
      <c r="AS121" s="783">
        <f t="shared" ca="1" si="61"/>
        <v>0</v>
      </c>
    </row>
    <row r="122" spans="1:45" ht="15" x14ac:dyDescent="0.25">
      <c r="A122" s="768"/>
      <c r="B122" s="719">
        <f t="shared" si="64"/>
        <v>114</v>
      </c>
      <c r="C122" s="170" t="str">
        <f t="shared" si="62"/>
        <v>99</v>
      </c>
      <c r="D122" s="557"/>
      <c r="E122" s="170"/>
      <c r="F122" s="170">
        <v>99</v>
      </c>
      <c r="G122" s="785"/>
      <c r="H122" s="770"/>
      <c r="I122" s="768"/>
      <c r="J122" s="770"/>
      <c r="K122" s="770"/>
      <c r="L122" s="170"/>
      <c r="M122" s="771">
        <v>0</v>
      </c>
      <c r="N122" s="772">
        <v>1</v>
      </c>
      <c r="O122" s="773">
        <f t="shared" si="78"/>
        <v>0</v>
      </c>
      <c r="P122" s="768" t="s">
        <v>39</v>
      </c>
      <c r="Q122" s="768" t="s">
        <v>39</v>
      </c>
      <c r="R122" s="774" t="s">
        <v>74</v>
      </c>
      <c r="S122" s="775">
        <f ca="1">SUMIF('Data Input sheet'!$B$118:$D$180,R122,'Data Input sheet'!$D$118:$D$180)</f>
        <v>152</v>
      </c>
      <c r="T122" s="776">
        <f t="shared" ca="1" si="79"/>
        <v>0</v>
      </c>
      <c r="U122" s="1992"/>
      <c r="V122" s="778">
        <f t="shared" si="63"/>
        <v>0</v>
      </c>
      <c r="W122" s="772"/>
      <c r="X122" s="779"/>
      <c r="Y122" s="776">
        <v>0</v>
      </c>
      <c r="Z122" s="780">
        <f t="shared" ca="1" si="80"/>
        <v>0</v>
      </c>
      <c r="AA122" s="769"/>
      <c r="AB122" s="769"/>
      <c r="AC122" s="765">
        <f t="shared" si="45"/>
        <v>0</v>
      </c>
      <c r="AD122" s="781">
        <f t="shared" si="68"/>
        <v>0</v>
      </c>
      <c r="AE122" s="781">
        <f t="shared" si="47"/>
        <v>0</v>
      </c>
      <c r="AF122" s="781">
        <f t="shared" si="69"/>
        <v>0</v>
      </c>
      <c r="AG122" s="781">
        <f t="shared" si="70"/>
        <v>0</v>
      </c>
      <c r="AH122" s="781">
        <f t="shared" ca="1" si="50"/>
        <v>0</v>
      </c>
      <c r="AI122" s="782">
        <f t="shared" ca="1" si="71"/>
        <v>0</v>
      </c>
      <c r="AJ122" s="781">
        <f t="shared" si="72"/>
        <v>0</v>
      </c>
      <c r="AK122" s="781">
        <f t="shared" si="53"/>
        <v>0</v>
      </c>
      <c r="AL122" s="781">
        <f t="shared" si="73"/>
        <v>0</v>
      </c>
      <c r="AM122" s="781">
        <f t="shared" si="74"/>
        <v>0</v>
      </c>
      <c r="AN122" s="781">
        <f t="shared" si="56"/>
        <v>0</v>
      </c>
      <c r="AO122" s="781">
        <f t="shared" si="75"/>
        <v>0</v>
      </c>
      <c r="AP122" s="781">
        <f t="shared" si="76"/>
        <v>0</v>
      </c>
      <c r="AQ122" s="781">
        <f t="shared" si="59"/>
        <v>0</v>
      </c>
      <c r="AR122" s="781">
        <f t="shared" si="77"/>
        <v>0</v>
      </c>
      <c r="AS122" s="783">
        <f t="shared" ca="1" si="61"/>
        <v>0</v>
      </c>
    </row>
    <row r="123" spans="1:45" ht="15" x14ac:dyDescent="0.25">
      <c r="A123" s="768"/>
      <c r="B123" s="719">
        <f t="shared" si="64"/>
        <v>115</v>
      </c>
      <c r="C123" s="170" t="str">
        <f t="shared" si="62"/>
        <v>99</v>
      </c>
      <c r="D123" s="557"/>
      <c r="E123" s="170"/>
      <c r="F123" s="170">
        <v>99</v>
      </c>
      <c r="G123" s="785"/>
      <c r="H123" s="770"/>
      <c r="I123" s="768"/>
      <c r="J123" s="770"/>
      <c r="K123" s="770"/>
      <c r="L123" s="170"/>
      <c r="M123" s="771">
        <v>0</v>
      </c>
      <c r="N123" s="772">
        <v>1</v>
      </c>
      <c r="O123" s="773">
        <f t="shared" si="78"/>
        <v>0</v>
      </c>
      <c r="P123" s="768" t="s">
        <v>39</v>
      </c>
      <c r="Q123" s="768" t="s">
        <v>39</v>
      </c>
      <c r="R123" s="774" t="s">
        <v>74</v>
      </c>
      <c r="S123" s="775">
        <f ca="1">SUMIF('Data Input sheet'!$B$118:$D$180,R123,'Data Input sheet'!$D$118:$D$180)</f>
        <v>152</v>
      </c>
      <c r="T123" s="776">
        <f t="shared" ca="1" si="79"/>
        <v>0</v>
      </c>
      <c r="U123" s="1992"/>
      <c r="V123" s="778">
        <f t="shared" si="63"/>
        <v>0</v>
      </c>
      <c r="W123" s="772"/>
      <c r="X123" s="779"/>
      <c r="Y123" s="776">
        <v>0</v>
      </c>
      <c r="Z123" s="780">
        <f t="shared" ca="1" si="80"/>
        <v>0</v>
      </c>
      <c r="AA123" s="769"/>
      <c r="AB123" s="769"/>
      <c r="AC123" s="765">
        <f t="shared" si="45"/>
        <v>0</v>
      </c>
      <c r="AD123" s="781">
        <f t="shared" si="68"/>
        <v>0</v>
      </c>
      <c r="AE123" s="781">
        <f t="shared" si="47"/>
        <v>0</v>
      </c>
      <c r="AF123" s="781">
        <f t="shared" si="69"/>
        <v>0</v>
      </c>
      <c r="AG123" s="781">
        <f t="shared" si="70"/>
        <v>0</v>
      </c>
      <c r="AH123" s="781">
        <f t="shared" ca="1" si="50"/>
        <v>0</v>
      </c>
      <c r="AI123" s="782">
        <f t="shared" ca="1" si="71"/>
        <v>0</v>
      </c>
      <c r="AJ123" s="781">
        <f t="shared" si="72"/>
        <v>0</v>
      </c>
      <c r="AK123" s="781">
        <f t="shared" si="53"/>
        <v>0</v>
      </c>
      <c r="AL123" s="781">
        <f t="shared" si="73"/>
        <v>0</v>
      </c>
      <c r="AM123" s="781">
        <f t="shared" si="74"/>
        <v>0</v>
      </c>
      <c r="AN123" s="781">
        <f t="shared" si="56"/>
        <v>0</v>
      </c>
      <c r="AO123" s="781">
        <f t="shared" si="75"/>
        <v>0</v>
      </c>
      <c r="AP123" s="781">
        <f t="shared" si="76"/>
        <v>0</v>
      </c>
      <c r="AQ123" s="781">
        <f t="shared" si="59"/>
        <v>0</v>
      </c>
      <c r="AR123" s="781">
        <f t="shared" si="77"/>
        <v>0</v>
      </c>
      <c r="AS123" s="783">
        <f t="shared" ca="1" si="61"/>
        <v>0</v>
      </c>
    </row>
    <row r="124" spans="1:45" ht="15" x14ac:dyDescent="0.25">
      <c r="A124" s="768"/>
      <c r="B124" s="719">
        <f t="shared" si="64"/>
        <v>116</v>
      </c>
      <c r="C124" s="170" t="str">
        <f t="shared" si="62"/>
        <v>99</v>
      </c>
      <c r="D124" s="557"/>
      <c r="E124" s="170"/>
      <c r="F124" s="170">
        <v>99</v>
      </c>
      <c r="G124" s="785"/>
      <c r="H124" s="770"/>
      <c r="I124" s="768"/>
      <c r="J124" s="770"/>
      <c r="K124" s="770"/>
      <c r="L124" s="170"/>
      <c r="M124" s="771">
        <v>0</v>
      </c>
      <c r="N124" s="772">
        <v>1</v>
      </c>
      <c r="O124" s="773">
        <f t="shared" si="78"/>
        <v>0</v>
      </c>
      <c r="P124" s="768" t="s">
        <v>39</v>
      </c>
      <c r="Q124" s="768" t="s">
        <v>39</v>
      </c>
      <c r="R124" s="774" t="s">
        <v>74</v>
      </c>
      <c r="S124" s="775">
        <f ca="1">SUMIF('Data Input sheet'!$B$118:$D$180,R124,'Data Input sheet'!$D$118:$D$180)</f>
        <v>152</v>
      </c>
      <c r="T124" s="776">
        <f t="shared" ca="1" si="79"/>
        <v>0</v>
      </c>
      <c r="U124" s="1992"/>
      <c r="V124" s="778">
        <f t="shared" si="63"/>
        <v>0</v>
      </c>
      <c r="W124" s="772"/>
      <c r="X124" s="779"/>
      <c r="Y124" s="776">
        <v>0</v>
      </c>
      <c r="Z124" s="780">
        <f t="shared" ca="1" si="80"/>
        <v>0</v>
      </c>
      <c r="AA124" s="769"/>
      <c r="AB124" s="769"/>
      <c r="AC124" s="765">
        <f t="shared" si="45"/>
        <v>0</v>
      </c>
      <c r="AD124" s="781">
        <f t="shared" si="68"/>
        <v>0</v>
      </c>
      <c r="AE124" s="781">
        <f t="shared" si="47"/>
        <v>0</v>
      </c>
      <c r="AF124" s="781">
        <f t="shared" si="69"/>
        <v>0</v>
      </c>
      <c r="AG124" s="781">
        <f t="shared" si="70"/>
        <v>0</v>
      </c>
      <c r="AH124" s="781">
        <f t="shared" ca="1" si="50"/>
        <v>0</v>
      </c>
      <c r="AI124" s="782">
        <f t="shared" ca="1" si="71"/>
        <v>0</v>
      </c>
      <c r="AJ124" s="781">
        <f t="shared" si="72"/>
        <v>0</v>
      </c>
      <c r="AK124" s="781">
        <f t="shared" si="53"/>
        <v>0</v>
      </c>
      <c r="AL124" s="781">
        <f t="shared" si="73"/>
        <v>0</v>
      </c>
      <c r="AM124" s="781">
        <f t="shared" si="74"/>
        <v>0</v>
      </c>
      <c r="AN124" s="781">
        <f t="shared" si="56"/>
        <v>0</v>
      </c>
      <c r="AO124" s="781">
        <f t="shared" si="75"/>
        <v>0</v>
      </c>
      <c r="AP124" s="781">
        <f t="shared" si="76"/>
        <v>0</v>
      </c>
      <c r="AQ124" s="781">
        <f t="shared" si="59"/>
        <v>0</v>
      </c>
      <c r="AR124" s="781">
        <f t="shared" si="77"/>
        <v>0</v>
      </c>
      <c r="AS124" s="783">
        <f t="shared" ca="1" si="61"/>
        <v>0</v>
      </c>
    </row>
    <row r="125" spans="1:45" ht="15" x14ac:dyDescent="0.25">
      <c r="A125" s="768"/>
      <c r="B125" s="719">
        <f t="shared" si="64"/>
        <v>117</v>
      </c>
      <c r="C125" s="170" t="str">
        <f t="shared" si="62"/>
        <v>99</v>
      </c>
      <c r="D125" s="557"/>
      <c r="E125" s="170"/>
      <c r="F125" s="170">
        <v>99</v>
      </c>
      <c r="G125" s="785"/>
      <c r="H125" s="770"/>
      <c r="I125" s="768"/>
      <c r="J125" s="770"/>
      <c r="K125" s="770"/>
      <c r="L125" s="170"/>
      <c r="M125" s="771">
        <v>0</v>
      </c>
      <c r="N125" s="772">
        <v>1</v>
      </c>
      <c r="O125" s="773">
        <f t="shared" si="78"/>
        <v>0</v>
      </c>
      <c r="P125" s="768" t="s">
        <v>39</v>
      </c>
      <c r="Q125" s="768" t="s">
        <v>39</v>
      </c>
      <c r="R125" s="774" t="s">
        <v>74</v>
      </c>
      <c r="S125" s="775">
        <f ca="1">SUMIF('Data Input sheet'!$B$118:$D$180,R125,'Data Input sheet'!$D$118:$D$180)</f>
        <v>152</v>
      </c>
      <c r="T125" s="776">
        <f t="shared" ca="1" si="79"/>
        <v>0</v>
      </c>
      <c r="U125" s="1992"/>
      <c r="V125" s="778">
        <f t="shared" si="63"/>
        <v>0</v>
      </c>
      <c r="W125" s="772"/>
      <c r="X125" s="779"/>
      <c r="Y125" s="776">
        <v>0</v>
      </c>
      <c r="Z125" s="780">
        <f t="shared" ca="1" si="80"/>
        <v>0</v>
      </c>
      <c r="AA125" s="769"/>
      <c r="AB125" s="769"/>
      <c r="AC125" s="765">
        <f t="shared" si="45"/>
        <v>0</v>
      </c>
      <c r="AD125" s="781">
        <f t="shared" si="68"/>
        <v>0</v>
      </c>
      <c r="AE125" s="781">
        <f t="shared" si="47"/>
        <v>0</v>
      </c>
      <c r="AF125" s="781">
        <f t="shared" si="69"/>
        <v>0</v>
      </c>
      <c r="AG125" s="781">
        <f t="shared" si="70"/>
        <v>0</v>
      </c>
      <c r="AH125" s="781">
        <f t="shared" ca="1" si="50"/>
        <v>0</v>
      </c>
      <c r="AI125" s="782">
        <f t="shared" ca="1" si="71"/>
        <v>0</v>
      </c>
      <c r="AJ125" s="781">
        <f t="shared" si="72"/>
        <v>0</v>
      </c>
      <c r="AK125" s="781">
        <f t="shared" si="53"/>
        <v>0</v>
      </c>
      <c r="AL125" s="781">
        <f t="shared" si="73"/>
        <v>0</v>
      </c>
      <c r="AM125" s="781">
        <f t="shared" si="74"/>
        <v>0</v>
      </c>
      <c r="AN125" s="781">
        <f t="shared" si="56"/>
        <v>0</v>
      </c>
      <c r="AO125" s="781">
        <f t="shared" si="75"/>
        <v>0</v>
      </c>
      <c r="AP125" s="781">
        <f t="shared" si="76"/>
        <v>0</v>
      </c>
      <c r="AQ125" s="781">
        <f t="shared" si="59"/>
        <v>0</v>
      </c>
      <c r="AR125" s="781">
        <f t="shared" si="77"/>
        <v>0</v>
      </c>
      <c r="AS125" s="783">
        <f t="shared" ca="1" si="61"/>
        <v>0</v>
      </c>
    </row>
    <row r="126" spans="1:45" ht="15" x14ac:dyDescent="0.25">
      <c r="A126" s="768"/>
      <c r="B126" s="719">
        <f t="shared" si="64"/>
        <v>118</v>
      </c>
      <c r="C126" s="170" t="str">
        <f t="shared" si="62"/>
        <v>99</v>
      </c>
      <c r="D126" s="557"/>
      <c r="E126" s="170"/>
      <c r="F126" s="170">
        <v>99</v>
      </c>
      <c r="G126" s="785"/>
      <c r="H126" s="770"/>
      <c r="I126" s="768"/>
      <c r="J126" s="770"/>
      <c r="K126" s="770"/>
      <c r="L126" s="170"/>
      <c r="M126" s="771">
        <v>0</v>
      </c>
      <c r="N126" s="772">
        <v>1</v>
      </c>
      <c r="O126" s="773">
        <f t="shared" si="78"/>
        <v>0</v>
      </c>
      <c r="P126" s="768" t="s">
        <v>39</v>
      </c>
      <c r="Q126" s="768" t="s">
        <v>39</v>
      </c>
      <c r="R126" s="774" t="s">
        <v>74</v>
      </c>
      <c r="S126" s="775">
        <f ca="1">SUMIF('Data Input sheet'!$B$118:$D$180,R126,'Data Input sheet'!$D$118:$D$180)</f>
        <v>152</v>
      </c>
      <c r="T126" s="776">
        <f t="shared" ca="1" si="79"/>
        <v>0</v>
      </c>
      <c r="U126" s="1992"/>
      <c r="V126" s="778">
        <f t="shared" si="63"/>
        <v>0</v>
      </c>
      <c r="W126" s="772"/>
      <c r="X126" s="779"/>
      <c r="Y126" s="776">
        <v>0</v>
      </c>
      <c r="Z126" s="780">
        <f t="shared" ca="1" si="80"/>
        <v>0</v>
      </c>
      <c r="AA126" s="769"/>
      <c r="AB126" s="769"/>
      <c r="AC126" s="765">
        <f t="shared" si="45"/>
        <v>0</v>
      </c>
      <c r="AD126" s="781">
        <f t="shared" si="68"/>
        <v>0</v>
      </c>
      <c r="AE126" s="781">
        <f t="shared" si="47"/>
        <v>0</v>
      </c>
      <c r="AF126" s="781">
        <f t="shared" si="69"/>
        <v>0</v>
      </c>
      <c r="AG126" s="781">
        <f t="shared" si="70"/>
        <v>0</v>
      </c>
      <c r="AH126" s="781">
        <f t="shared" ca="1" si="50"/>
        <v>0</v>
      </c>
      <c r="AI126" s="782">
        <f t="shared" ca="1" si="71"/>
        <v>0</v>
      </c>
      <c r="AJ126" s="781">
        <f t="shared" si="72"/>
        <v>0</v>
      </c>
      <c r="AK126" s="781">
        <f t="shared" si="53"/>
        <v>0</v>
      </c>
      <c r="AL126" s="781">
        <f t="shared" si="73"/>
        <v>0</v>
      </c>
      <c r="AM126" s="781">
        <f t="shared" si="74"/>
        <v>0</v>
      </c>
      <c r="AN126" s="781">
        <f t="shared" si="56"/>
        <v>0</v>
      </c>
      <c r="AO126" s="781">
        <f t="shared" si="75"/>
        <v>0</v>
      </c>
      <c r="AP126" s="781">
        <f t="shared" si="76"/>
        <v>0</v>
      </c>
      <c r="AQ126" s="781">
        <f t="shared" si="59"/>
        <v>0</v>
      </c>
      <c r="AR126" s="781">
        <f t="shared" si="77"/>
        <v>0</v>
      </c>
      <c r="AS126" s="783">
        <f t="shared" ca="1" si="61"/>
        <v>0</v>
      </c>
    </row>
    <row r="127" spans="1:45" ht="15" x14ac:dyDescent="0.25">
      <c r="A127" s="768"/>
      <c r="B127" s="719">
        <f t="shared" si="64"/>
        <v>119</v>
      </c>
      <c r="C127" s="170" t="str">
        <f t="shared" si="62"/>
        <v>99</v>
      </c>
      <c r="D127" s="557"/>
      <c r="E127" s="170"/>
      <c r="F127" s="170">
        <v>99</v>
      </c>
      <c r="G127" s="785"/>
      <c r="H127" s="770"/>
      <c r="I127" s="768"/>
      <c r="J127" s="770"/>
      <c r="K127" s="770"/>
      <c r="L127" s="170"/>
      <c r="M127" s="771">
        <v>0</v>
      </c>
      <c r="N127" s="772">
        <v>1</v>
      </c>
      <c r="O127" s="773">
        <f t="shared" si="78"/>
        <v>0</v>
      </c>
      <c r="P127" s="768" t="s">
        <v>39</v>
      </c>
      <c r="Q127" s="768" t="s">
        <v>39</v>
      </c>
      <c r="R127" s="774" t="s">
        <v>74</v>
      </c>
      <c r="S127" s="775">
        <f ca="1">SUMIF('Data Input sheet'!$B$118:$D$180,R127,'Data Input sheet'!$D$118:$D$180)</f>
        <v>152</v>
      </c>
      <c r="T127" s="776">
        <f t="shared" ca="1" si="79"/>
        <v>0</v>
      </c>
      <c r="U127" s="1992"/>
      <c r="V127" s="778">
        <f t="shared" si="63"/>
        <v>0</v>
      </c>
      <c r="W127" s="772"/>
      <c r="X127" s="779"/>
      <c r="Y127" s="776">
        <v>0</v>
      </c>
      <c r="Z127" s="780">
        <f t="shared" ca="1" si="80"/>
        <v>0</v>
      </c>
      <c r="AA127" s="769"/>
      <c r="AB127" s="769"/>
      <c r="AC127" s="765">
        <f t="shared" si="45"/>
        <v>0</v>
      </c>
      <c r="AD127" s="781">
        <f t="shared" si="68"/>
        <v>0</v>
      </c>
      <c r="AE127" s="781">
        <f t="shared" si="47"/>
        <v>0</v>
      </c>
      <c r="AF127" s="781">
        <f t="shared" si="69"/>
        <v>0</v>
      </c>
      <c r="AG127" s="781">
        <f t="shared" si="70"/>
        <v>0</v>
      </c>
      <c r="AH127" s="781">
        <f t="shared" ca="1" si="50"/>
        <v>0</v>
      </c>
      <c r="AI127" s="782">
        <f t="shared" ca="1" si="71"/>
        <v>0</v>
      </c>
      <c r="AJ127" s="781">
        <f t="shared" si="72"/>
        <v>0</v>
      </c>
      <c r="AK127" s="781">
        <f t="shared" si="53"/>
        <v>0</v>
      </c>
      <c r="AL127" s="781">
        <f t="shared" si="73"/>
        <v>0</v>
      </c>
      <c r="AM127" s="781">
        <f t="shared" si="74"/>
        <v>0</v>
      </c>
      <c r="AN127" s="781">
        <f t="shared" si="56"/>
        <v>0</v>
      </c>
      <c r="AO127" s="781">
        <f t="shared" si="75"/>
        <v>0</v>
      </c>
      <c r="AP127" s="781">
        <f t="shared" si="76"/>
        <v>0</v>
      </c>
      <c r="AQ127" s="781">
        <f t="shared" si="59"/>
        <v>0</v>
      </c>
      <c r="AR127" s="781">
        <f t="shared" si="77"/>
        <v>0</v>
      </c>
      <c r="AS127" s="783">
        <f t="shared" ca="1" si="61"/>
        <v>0</v>
      </c>
    </row>
    <row r="128" spans="1:45" ht="15" x14ac:dyDescent="0.25">
      <c r="A128" s="768"/>
      <c r="B128" s="719">
        <f t="shared" si="64"/>
        <v>120</v>
      </c>
      <c r="C128" s="170" t="str">
        <f t="shared" si="62"/>
        <v>99</v>
      </c>
      <c r="D128" s="557"/>
      <c r="E128" s="170"/>
      <c r="F128" s="170">
        <v>99</v>
      </c>
      <c r="G128" s="785"/>
      <c r="H128" s="770"/>
      <c r="I128" s="768"/>
      <c r="J128" s="770"/>
      <c r="K128" s="770"/>
      <c r="L128" s="170"/>
      <c r="M128" s="771">
        <v>0</v>
      </c>
      <c r="N128" s="772">
        <v>1</v>
      </c>
      <c r="O128" s="773">
        <f t="shared" si="78"/>
        <v>0</v>
      </c>
      <c r="P128" s="768" t="s">
        <v>39</v>
      </c>
      <c r="Q128" s="768" t="s">
        <v>39</v>
      </c>
      <c r="R128" s="774" t="s">
        <v>74</v>
      </c>
      <c r="S128" s="775">
        <f ca="1">SUMIF('Data Input sheet'!$B$118:$D$180,R128,'Data Input sheet'!$D$118:$D$180)</f>
        <v>152</v>
      </c>
      <c r="T128" s="776">
        <f t="shared" ca="1" si="79"/>
        <v>0</v>
      </c>
      <c r="U128" s="1992"/>
      <c r="V128" s="778">
        <f t="shared" si="63"/>
        <v>0</v>
      </c>
      <c r="W128" s="772"/>
      <c r="X128" s="779"/>
      <c r="Y128" s="776">
        <v>0</v>
      </c>
      <c r="Z128" s="780">
        <f t="shared" ca="1" si="80"/>
        <v>0</v>
      </c>
      <c r="AA128" s="769"/>
      <c r="AB128" s="769"/>
      <c r="AC128" s="765">
        <f t="shared" si="45"/>
        <v>0</v>
      </c>
      <c r="AD128" s="781">
        <f t="shared" si="68"/>
        <v>0</v>
      </c>
      <c r="AE128" s="781">
        <f t="shared" si="47"/>
        <v>0</v>
      </c>
      <c r="AF128" s="781">
        <f t="shared" si="69"/>
        <v>0</v>
      </c>
      <c r="AG128" s="781">
        <f t="shared" si="70"/>
        <v>0</v>
      </c>
      <c r="AH128" s="781">
        <f t="shared" ca="1" si="50"/>
        <v>0</v>
      </c>
      <c r="AI128" s="782">
        <f t="shared" ca="1" si="71"/>
        <v>0</v>
      </c>
      <c r="AJ128" s="781">
        <f t="shared" si="72"/>
        <v>0</v>
      </c>
      <c r="AK128" s="781">
        <f t="shared" si="53"/>
        <v>0</v>
      </c>
      <c r="AL128" s="781">
        <f t="shared" si="73"/>
        <v>0</v>
      </c>
      <c r="AM128" s="781">
        <f t="shared" si="74"/>
        <v>0</v>
      </c>
      <c r="AN128" s="781">
        <f t="shared" si="56"/>
        <v>0</v>
      </c>
      <c r="AO128" s="781">
        <f t="shared" si="75"/>
        <v>0</v>
      </c>
      <c r="AP128" s="781">
        <f t="shared" si="76"/>
        <v>0</v>
      </c>
      <c r="AQ128" s="781">
        <f t="shared" si="59"/>
        <v>0</v>
      </c>
      <c r="AR128" s="781">
        <f t="shared" si="77"/>
        <v>0</v>
      </c>
      <c r="AS128" s="783">
        <f t="shared" ca="1" si="61"/>
        <v>0</v>
      </c>
    </row>
    <row r="129" spans="1:45" ht="15" x14ac:dyDescent="0.25">
      <c r="A129" s="768"/>
      <c r="B129" s="719">
        <f t="shared" si="64"/>
        <v>121</v>
      </c>
      <c r="C129" s="170" t="str">
        <f t="shared" si="62"/>
        <v>99</v>
      </c>
      <c r="D129" s="557"/>
      <c r="E129" s="170"/>
      <c r="F129" s="170">
        <v>99</v>
      </c>
      <c r="G129" s="785"/>
      <c r="H129" s="770"/>
      <c r="I129" s="768"/>
      <c r="J129" s="770"/>
      <c r="K129" s="770"/>
      <c r="L129" s="170"/>
      <c r="M129" s="771">
        <v>0</v>
      </c>
      <c r="N129" s="772">
        <v>1</v>
      </c>
      <c r="O129" s="773">
        <f t="shared" si="78"/>
        <v>0</v>
      </c>
      <c r="P129" s="768" t="s">
        <v>39</v>
      </c>
      <c r="Q129" s="768" t="s">
        <v>39</v>
      </c>
      <c r="R129" s="774" t="s">
        <v>74</v>
      </c>
      <c r="S129" s="775">
        <f ca="1">SUMIF('Data Input sheet'!$B$118:$D$180,R129,'Data Input sheet'!$D$118:$D$180)</f>
        <v>152</v>
      </c>
      <c r="T129" s="776">
        <f t="shared" ca="1" si="79"/>
        <v>0</v>
      </c>
      <c r="U129" s="1992"/>
      <c r="V129" s="778">
        <f t="shared" si="63"/>
        <v>0</v>
      </c>
      <c r="W129" s="772"/>
      <c r="X129" s="779"/>
      <c r="Y129" s="776">
        <v>0</v>
      </c>
      <c r="Z129" s="780">
        <f t="shared" ca="1" si="80"/>
        <v>0</v>
      </c>
      <c r="AA129" s="769"/>
      <c r="AB129" s="769"/>
      <c r="AC129" s="765">
        <f t="shared" si="45"/>
        <v>0</v>
      </c>
      <c r="AD129" s="781">
        <f t="shared" si="68"/>
        <v>0</v>
      </c>
      <c r="AE129" s="781">
        <f t="shared" si="47"/>
        <v>0</v>
      </c>
      <c r="AF129" s="781">
        <f t="shared" si="69"/>
        <v>0</v>
      </c>
      <c r="AG129" s="781">
        <f t="shared" si="70"/>
        <v>0</v>
      </c>
      <c r="AH129" s="781">
        <f t="shared" ca="1" si="50"/>
        <v>0</v>
      </c>
      <c r="AI129" s="782">
        <f t="shared" ca="1" si="71"/>
        <v>0</v>
      </c>
      <c r="AJ129" s="781">
        <f t="shared" si="72"/>
        <v>0</v>
      </c>
      <c r="AK129" s="781">
        <f t="shared" si="53"/>
        <v>0</v>
      </c>
      <c r="AL129" s="781">
        <f t="shared" si="73"/>
        <v>0</v>
      </c>
      <c r="AM129" s="781">
        <f t="shared" si="74"/>
        <v>0</v>
      </c>
      <c r="AN129" s="781">
        <f t="shared" si="56"/>
        <v>0</v>
      </c>
      <c r="AO129" s="781">
        <f t="shared" si="75"/>
        <v>0</v>
      </c>
      <c r="AP129" s="781">
        <f t="shared" si="76"/>
        <v>0</v>
      </c>
      <c r="AQ129" s="781">
        <f t="shared" si="59"/>
        <v>0</v>
      </c>
      <c r="AR129" s="781">
        <f t="shared" si="77"/>
        <v>0</v>
      </c>
      <c r="AS129" s="783">
        <f t="shared" ca="1" si="61"/>
        <v>0</v>
      </c>
    </row>
    <row r="130" spans="1:45" ht="15" x14ac:dyDescent="0.25">
      <c r="A130" s="768"/>
      <c r="B130" s="719">
        <f t="shared" si="64"/>
        <v>122</v>
      </c>
      <c r="C130" s="170" t="str">
        <f t="shared" si="62"/>
        <v>99</v>
      </c>
      <c r="D130" s="557"/>
      <c r="E130" s="170"/>
      <c r="F130" s="170">
        <v>99</v>
      </c>
      <c r="G130" s="785"/>
      <c r="H130" s="770"/>
      <c r="I130" s="768"/>
      <c r="J130" s="770"/>
      <c r="K130" s="770"/>
      <c r="L130" s="170"/>
      <c r="M130" s="771">
        <v>0</v>
      </c>
      <c r="N130" s="772">
        <v>1</v>
      </c>
      <c r="O130" s="773">
        <f t="shared" si="78"/>
        <v>0</v>
      </c>
      <c r="P130" s="768" t="s">
        <v>39</v>
      </c>
      <c r="Q130" s="768" t="s">
        <v>39</v>
      </c>
      <c r="R130" s="774" t="s">
        <v>74</v>
      </c>
      <c r="S130" s="775">
        <f ca="1">SUMIF('Data Input sheet'!$B$118:$D$180,R130,'Data Input sheet'!$D$118:$D$180)</f>
        <v>152</v>
      </c>
      <c r="T130" s="776">
        <f t="shared" ca="1" si="79"/>
        <v>0</v>
      </c>
      <c r="U130" s="1992"/>
      <c r="V130" s="778">
        <f t="shared" si="63"/>
        <v>0</v>
      </c>
      <c r="W130" s="772"/>
      <c r="X130" s="779"/>
      <c r="Y130" s="776">
        <v>0</v>
      </c>
      <c r="Z130" s="780">
        <f t="shared" ca="1" si="80"/>
        <v>0</v>
      </c>
      <c r="AA130" s="769"/>
      <c r="AB130" s="769"/>
      <c r="AC130" s="765">
        <f t="shared" si="45"/>
        <v>0</v>
      </c>
      <c r="AD130" s="781">
        <f t="shared" si="68"/>
        <v>0</v>
      </c>
      <c r="AE130" s="781">
        <f t="shared" si="47"/>
        <v>0</v>
      </c>
      <c r="AF130" s="781">
        <f t="shared" si="69"/>
        <v>0</v>
      </c>
      <c r="AG130" s="781">
        <f t="shared" si="70"/>
        <v>0</v>
      </c>
      <c r="AH130" s="781">
        <f t="shared" ca="1" si="50"/>
        <v>0</v>
      </c>
      <c r="AI130" s="782">
        <f t="shared" ca="1" si="71"/>
        <v>0</v>
      </c>
      <c r="AJ130" s="781">
        <f t="shared" si="72"/>
        <v>0</v>
      </c>
      <c r="AK130" s="781">
        <f t="shared" si="53"/>
        <v>0</v>
      </c>
      <c r="AL130" s="781">
        <f t="shared" si="73"/>
        <v>0</v>
      </c>
      <c r="AM130" s="781">
        <f t="shared" si="74"/>
        <v>0</v>
      </c>
      <c r="AN130" s="781">
        <f t="shared" si="56"/>
        <v>0</v>
      </c>
      <c r="AO130" s="781">
        <f t="shared" si="75"/>
        <v>0</v>
      </c>
      <c r="AP130" s="781">
        <f t="shared" si="76"/>
        <v>0</v>
      </c>
      <c r="AQ130" s="781">
        <f t="shared" si="59"/>
        <v>0</v>
      </c>
      <c r="AR130" s="781">
        <f t="shared" si="77"/>
        <v>0</v>
      </c>
      <c r="AS130" s="783">
        <f t="shared" ca="1" si="61"/>
        <v>0</v>
      </c>
    </row>
    <row r="131" spans="1:45" ht="15" x14ac:dyDescent="0.25">
      <c r="A131" s="768"/>
      <c r="B131" s="719">
        <f t="shared" si="64"/>
        <v>123</v>
      </c>
      <c r="C131" s="170" t="str">
        <f t="shared" si="62"/>
        <v>99</v>
      </c>
      <c r="D131" s="557"/>
      <c r="E131" s="170"/>
      <c r="F131" s="170">
        <v>99</v>
      </c>
      <c r="G131" s="785"/>
      <c r="H131" s="770"/>
      <c r="I131" s="768"/>
      <c r="J131" s="770"/>
      <c r="K131" s="770"/>
      <c r="L131" s="170"/>
      <c r="M131" s="771">
        <v>0</v>
      </c>
      <c r="N131" s="772">
        <v>1</v>
      </c>
      <c r="O131" s="773">
        <f t="shared" si="78"/>
        <v>0</v>
      </c>
      <c r="P131" s="768" t="s">
        <v>39</v>
      </c>
      <c r="Q131" s="768" t="s">
        <v>39</v>
      </c>
      <c r="R131" s="774" t="s">
        <v>74</v>
      </c>
      <c r="S131" s="775">
        <f ca="1">SUMIF('Data Input sheet'!$B$118:$D$180,R131,'Data Input sheet'!$D$118:$D$180)</f>
        <v>152</v>
      </c>
      <c r="T131" s="776">
        <f t="shared" ca="1" si="79"/>
        <v>0</v>
      </c>
      <c r="U131" s="1992"/>
      <c r="V131" s="778">
        <f t="shared" si="63"/>
        <v>0</v>
      </c>
      <c r="W131" s="772"/>
      <c r="X131" s="779"/>
      <c r="Y131" s="776">
        <v>0</v>
      </c>
      <c r="Z131" s="780">
        <f t="shared" ca="1" si="80"/>
        <v>0</v>
      </c>
      <c r="AA131" s="769"/>
      <c r="AB131" s="769"/>
      <c r="AC131" s="765">
        <f t="shared" si="45"/>
        <v>0</v>
      </c>
      <c r="AD131" s="781">
        <f t="shared" si="68"/>
        <v>0</v>
      </c>
      <c r="AE131" s="781">
        <f t="shared" si="47"/>
        <v>0</v>
      </c>
      <c r="AF131" s="781">
        <f t="shared" si="69"/>
        <v>0</v>
      </c>
      <c r="AG131" s="781">
        <f t="shared" si="70"/>
        <v>0</v>
      </c>
      <c r="AH131" s="781">
        <f t="shared" ca="1" si="50"/>
        <v>0</v>
      </c>
      <c r="AI131" s="782">
        <f t="shared" ca="1" si="71"/>
        <v>0</v>
      </c>
      <c r="AJ131" s="781">
        <f t="shared" si="72"/>
        <v>0</v>
      </c>
      <c r="AK131" s="781">
        <f t="shared" si="53"/>
        <v>0</v>
      </c>
      <c r="AL131" s="781">
        <f t="shared" si="73"/>
        <v>0</v>
      </c>
      <c r="AM131" s="781">
        <f t="shared" si="74"/>
        <v>0</v>
      </c>
      <c r="AN131" s="781">
        <f t="shared" si="56"/>
        <v>0</v>
      </c>
      <c r="AO131" s="781">
        <f t="shared" si="75"/>
        <v>0</v>
      </c>
      <c r="AP131" s="781">
        <f t="shared" si="76"/>
        <v>0</v>
      </c>
      <c r="AQ131" s="781">
        <f t="shared" si="59"/>
        <v>0</v>
      </c>
      <c r="AR131" s="781">
        <f t="shared" si="77"/>
        <v>0</v>
      </c>
      <c r="AS131" s="783">
        <f t="shared" ca="1" si="61"/>
        <v>0</v>
      </c>
    </row>
    <row r="132" spans="1:45" ht="15" x14ac:dyDescent="0.25">
      <c r="A132" s="784"/>
      <c r="B132" s="719">
        <f t="shared" si="64"/>
        <v>124</v>
      </c>
      <c r="C132" s="170" t="str">
        <f t="shared" si="62"/>
        <v>99</v>
      </c>
      <c r="D132" s="557"/>
      <c r="E132" s="170"/>
      <c r="F132" s="170">
        <v>99</v>
      </c>
      <c r="G132" s="787"/>
      <c r="H132" s="784"/>
      <c r="I132" s="784"/>
      <c r="J132" s="784"/>
      <c r="K132" s="784"/>
      <c r="L132" s="170"/>
      <c r="M132" s="773"/>
      <c r="N132" s="773"/>
      <c r="O132" s="773"/>
      <c r="P132" s="788"/>
      <c r="Q132" s="788"/>
      <c r="R132" s="773"/>
      <c r="S132" s="773"/>
      <c r="T132" s="779"/>
      <c r="U132" s="1993"/>
      <c r="V132" s="778">
        <f t="shared" si="63"/>
        <v>0</v>
      </c>
      <c r="W132" s="778"/>
      <c r="X132" s="779"/>
      <c r="Y132" s="779"/>
      <c r="Z132" s="780"/>
      <c r="AA132" s="787"/>
      <c r="AB132" s="787"/>
      <c r="AC132" s="765">
        <f t="shared" si="45"/>
        <v>0</v>
      </c>
      <c r="AD132" s="781">
        <f t="shared" si="68"/>
        <v>0</v>
      </c>
      <c r="AE132" s="781">
        <f t="shared" si="47"/>
        <v>0</v>
      </c>
      <c r="AF132" s="781">
        <f t="shared" si="69"/>
        <v>0</v>
      </c>
      <c r="AG132" s="781">
        <f t="shared" si="70"/>
        <v>0</v>
      </c>
      <c r="AH132" s="781">
        <f t="shared" si="50"/>
        <v>0</v>
      </c>
      <c r="AI132" s="782">
        <f t="shared" si="71"/>
        <v>0</v>
      </c>
      <c r="AJ132" s="781">
        <f t="shared" si="72"/>
        <v>0</v>
      </c>
      <c r="AK132" s="781">
        <f t="shared" si="53"/>
        <v>0</v>
      </c>
      <c r="AL132" s="781">
        <f t="shared" si="73"/>
        <v>0</v>
      </c>
      <c r="AM132" s="781">
        <f t="shared" si="74"/>
        <v>0</v>
      </c>
      <c r="AN132" s="781">
        <f t="shared" si="56"/>
        <v>0</v>
      </c>
      <c r="AO132" s="781">
        <f t="shared" si="75"/>
        <v>0</v>
      </c>
      <c r="AP132" s="781">
        <f t="shared" si="76"/>
        <v>0</v>
      </c>
      <c r="AQ132" s="781">
        <f t="shared" si="59"/>
        <v>0</v>
      </c>
      <c r="AR132" s="781">
        <f t="shared" si="77"/>
        <v>0</v>
      </c>
      <c r="AS132" s="783">
        <f t="shared" si="61"/>
        <v>0</v>
      </c>
    </row>
    <row r="133" spans="1:45" ht="15" x14ac:dyDescent="0.25">
      <c r="A133" s="784"/>
      <c r="B133" s="719">
        <f t="shared" si="64"/>
        <v>125</v>
      </c>
      <c r="C133" s="170" t="str">
        <f t="shared" si="62"/>
        <v>99</v>
      </c>
      <c r="D133" s="557"/>
      <c r="E133" s="170"/>
      <c r="F133" s="170">
        <v>99</v>
      </c>
      <c r="G133" s="787"/>
      <c r="H133" s="784"/>
      <c r="I133" s="784"/>
      <c r="J133" s="784"/>
      <c r="K133" s="784"/>
      <c r="L133" s="170"/>
      <c r="M133" s="773"/>
      <c r="N133" s="773"/>
      <c r="O133" s="773"/>
      <c r="P133" s="788"/>
      <c r="Q133" s="788"/>
      <c r="R133" s="773"/>
      <c r="S133" s="773"/>
      <c r="T133" s="779"/>
      <c r="U133" s="1993"/>
      <c r="V133" s="778">
        <f t="shared" si="63"/>
        <v>0</v>
      </c>
      <c r="W133" s="778"/>
      <c r="X133" s="779"/>
      <c r="Y133" s="779"/>
      <c r="Z133" s="780"/>
      <c r="AA133" s="787"/>
      <c r="AB133" s="787"/>
      <c r="AC133" s="765">
        <f t="shared" si="45"/>
        <v>0</v>
      </c>
      <c r="AD133" s="781">
        <f t="shared" si="68"/>
        <v>0</v>
      </c>
      <c r="AE133" s="781">
        <f t="shared" si="47"/>
        <v>0</v>
      </c>
      <c r="AF133" s="781">
        <f t="shared" si="69"/>
        <v>0</v>
      </c>
      <c r="AG133" s="781">
        <f t="shared" si="70"/>
        <v>0</v>
      </c>
      <c r="AH133" s="781">
        <f t="shared" si="50"/>
        <v>0</v>
      </c>
      <c r="AI133" s="782">
        <f t="shared" si="71"/>
        <v>0</v>
      </c>
      <c r="AJ133" s="781">
        <f t="shared" si="72"/>
        <v>0</v>
      </c>
      <c r="AK133" s="781">
        <f t="shared" si="53"/>
        <v>0</v>
      </c>
      <c r="AL133" s="781">
        <f t="shared" si="73"/>
        <v>0</v>
      </c>
      <c r="AM133" s="781">
        <f t="shared" si="74"/>
        <v>0</v>
      </c>
      <c r="AN133" s="781">
        <f t="shared" si="56"/>
        <v>0</v>
      </c>
      <c r="AO133" s="781">
        <f t="shared" si="75"/>
        <v>0</v>
      </c>
      <c r="AP133" s="781">
        <f t="shared" si="76"/>
        <v>0</v>
      </c>
      <c r="AQ133" s="781">
        <f t="shared" si="59"/>
        <v>0</v>
      </c>
      <c r="AR133" s="781">
        <f t="shared" si="77"/>
        <v>0</v>
      </c>
      <c r="AS133" s="783">
        <f t="shared" si="61"/>
        <v>0</v>
      </c>
    </row>
    <row r="134" spans="1:45" ht="15.75" thickBot="1" x14ac:dyDescent="0.3">
      <c r="A134" s="784"/>
      <c r="B134" s="719">
        <f t="shared" si="64"/>
        <v>126</v>
      </c>
      <c r="C134" s="170" t="str">
        <f t="shared" si="62"/>
        <v>99</v>
      </c>
      <c r="D134" s="557"/>
      <c r="E134" s="170"/>
      <c r="F134" s="170">
        <v>99</v>
      </c>
      <c r="G134" s="787"/>
      <c r="H134" s="784"/>
      <c r="I134" s="784"/>
      <c r="J134" s="784"/>
      <c r="K134" s="784"/>
      <c r="L134" s="170"/>
      <c r="M134" s="773"/>
      <c r="N134" s="773"/>
      <c r="O134" s="773"/>
      <c r="P134" s="788"/>
      <c r="Q134" s="788"/>
      <c r="R134" s="773"/>
      <c r="S134" s="773"/>
      <c r="T134" s="779"/>
      <c r="U134" s="1993"/>
      <c r="V134" s="778">
        <f t="shared" si="63"/>
        <v>0</v>
      </c>
      <c r="W134" s="778"/>
      <c r="X134" s="779"/>
      <c r="Y134" s="779"/>
      <c r="Z134" s="780"/>
      <c r="AA134" s="787"/>
      <c r="AB134" s="787"/>
      <c r="AC134" s="765">
        <f t="shared" si="45"/>
        <v>0</v>
      </c>
      <c r="AD134" s="781">
        <f t="shared" si="68"/>
        <v>0</v>
      </c>
      <c r="AE134" s="781">
        <f t="shared" si="47"/>
        <v>0</v>
      </c>
      <c r="AF134" s="781">
        <f t="shared" si="69"/>
        <v>0</v>
      </c>
      <c r="AG134" s="781">
        <f t="shared" si="70"/>
        <v>0</v>
      </c>
      <c r="AH134" s="781">
        <f t="shared" si="50"/>
        <v>0</v>
      </c>
      <c r="AI134" s="782">
        <f t="shared" si="71"/>
        <v>0</v>
      </c>
      <c r="AJ134" s="781">
        <f t="shared" si="72"/>
        <v>0</v>
      </c>
      <c r="AK134" s="781">
        <f t="shared" si="53"/>
        <v>0</v>
      </c>
      <c r="AL134" s="781">
        <f t="shared" si="73"/>
        <v>0</v>
      </c>
      <c r="AM134" s="781">
        <f t="shared" si="74"/>
        <v>0</v>
      </c>
      <c r="AN134" s="781">
        <f t="shared" si="56"/>
        <v>0</v>
      </c>
      <c r="AO134" s="781">
        <f t="shared" si="75"/>
        <v>0</v>
      </c>
      <c r="AP134" s="781">
        <f t="shared" si="76"/>
        <v>0</v>
      </c>
      <c r="AQ134" s="781">
        <f t="shared" si="59"/>
        <v>0</v>
      </c>
      <c r="AR134" s="781">
        <f t="shared" si="77"/>
        <v>0</v>
      </c>
      <c r="AS134" s="783">
        <f t="shared" si="61"/>
        <v>0</v>
      </c>
    </row>
    <row r="135" spans="1:45" ht="15.75" thickBot="1" x14ac:dyDescent="0.3">
      <c r="A135" s="784"/>
      <c r="B135" s="719">
        <f t="shared" si="64"/>
        <v>127</v>
      </c>
      <c r="C135" s="170" t="str">
        <f t="shared" si="62"/>
        <v>99</v>
      </c>
      <c r="D135" s="557"/>
      <c r="E135" s="170"/>
      <c r="F135" s="170">
        <v>99</v>
      </c>
      <c r="G135" s="839" t="s">
        <v>737</v>
      </c>
      <c r="H135" s="784"/>
      <c r="I135" s="784"/>
      <c r="J135" s="784"/>
      <c r="K135" s="784"/>
      <c r="L135" s="170"/>
      <c r="M135" s="773"/>
      <c r="N135" s="773"/>
      <c r="O135" s="773"/>
      <c r="P135" s="788"/>
      <c r="Q135" s="788"/>
      <c r="R135" s="773"/>
      <c r="S135" s="773"/>
      <c r="T135" s="779"/>
      <c r="U135" s="1993"/>
      <c r="V135" s="778">
        <f t="shared" si="63"/>
        <v>0</v>
      </c>
      <c r="W135" s="778"/>
      <c r="X135" s="779"/>
      <c r="Y135" s="779"/>
      <c r="Z135" s="780"/>
      <c r="AA135" s="787"/>
      <c r="AB135" s="787"/>
      <c r="AC135" s="765">
        <f t="shared" si="45"/>
        <v>0</v>
      </c>
      <c r="AD135" s="781">
        <f t="shared" si="68"/>
        <v>0</v>
      </c>
      <c r="AE135" s="781">
        <f t="shared" si="47"/>
        <v>0</v>
      </c>
      <c r="AF135" s="781">
        <f t="shared" si="69"/>
        <v>0</v>
      </c>
      <c r="AG135" s="781">
        <f t="shared" si="70"/>
        <v>0</v>
      </c>
      <c r="AH135" s="781">
        <f t="shared" si="50"/>
        <v>0</v>
      </c>
      <c r="AI135" s="782">
        <f t="shared" si="71"/>
        <v>0</v>
      </c>
      <c r="AJ135" s="781">
        <f t="shared" si="72"/>
        <v>0</v>
      </c>
      <c r="AK135" s="781">
        <f t="shared" si="53"/>
        <v>0</v>
      </c>
      <c r="AL135" s="781">
        <f t="shared" si="73"/>
        <v>0</v>
      </c>
      <c r="AM135" s="781">
        <f t="shared" si="74"/>
        <v>0</v>
      </c>
      <c r="AN135" s="781">
        <f t="shared" si="56"/>
        <v>0</v>
      </c>
      <c r="AO135" s="781">
        <f t="shared" si="75"/>
        <v>0</v>
      </c>
      <c r="AP135" s="781">
        <f t="shared" si="76"/>
        <v>0</v>
      </c>
      <c r="AQ135" s="781">
        <f t="shared" si="59"/>
        <v>0</v>
      </c>
      <c r="AR135" s="781">
        <f t="shared" si="77"/>
        <v>0</v>
      </c>
      <c r="AS135" s="783">
        <f t="shared" si="61"/>
        <v>0</v>
      </c>
    </row>
    <row r="136" spans="1:45" ht="15" x14ac:dyDescent="0.25">
      <c r="A136" s="784"/>
      <c r="B136" s="719">
        <f t="shared" si="64"/>
        <v>128</v>
      </c>
      <c r="C136" s="170" t="str">
        <f t="shared" si="62"/>
        <v>99</v>
      </c>
      <c r="D136" s="557"/>
      <c r="E136" s="170"/>
      <c r="F136" s="170">
        <v>99</v>
      </c>
      <c r="G136" s="787"/>
      <c r="H136" s="784"/>
      <c r="I136" s="784"/>
      <c r="J136" s="784"/>
      <c r="K136" s="784"/>
      <c r="L136" s="170"/>
      <c r="M136" s="773"/>
      <c r="N136" s="773"/>
      <c r="O136" s="773"/>
      <c r="P136" s="788"/>
      <c r="Q136" s="788"/>
      <c r="R136" s="773"/>
      <c r="S136" s="773"/>
      <c r="T136" s="779"/>
      <c r="U136" s="1993"/>
      <c r="V136" s="778">
        <f t="shared" si="63"/>
        <v>0</v>
      </c>
      <c r="W136" s="778"/>
      <c r="X136" s="779"/>
      <c r="Y136" s="779"/>
      <c r="Z136" s="780"/>
      <c r="AA136" s="787"/>
      <c r="AB136" s="787"/>
      <c r="AC136" s="765">
        <f t="shared" si="45"/>
        <v>0</v>
      </c>
      <c r="AD136" s="781">
        <f t="shared" si="68"/>
        <v>0</v>
      </c>
      <c r="AE136" s="781">
        <f t="shared" si="47"/>
        <v>0</v>
      </c>
      <c r="AF136" s="781">
        <f t="shared" si="69"/>
        <v>0</v>
      </c>
      <c r="AG136" s="781">
        <f t="shared" si="70"/>
        <v>0</v>
      </c>
      <c r="AH136" s="781">
        <f t="shared" si="50"/>
        <v>0</v>
      </c>
      <c r="AI136" s="782">
        <f t="shared" si="71"/>
        <v>0</v>
      </c>
      <c r="AJ136" s="781">
        <f t="shared" si="72"/>
        <v>0</v>
      </c>
      <c r="AK136" s="781">
        <f t="shared" si="53"/>
        <v>0</v>
      </c>
      <c r="AL136" s="781">
        <f t="shared" si="73"/>
        <v>0</v>
      </c>
      <c r="AM136" s="781">
        <f t="shared" si="74"/>
        <v>0</v>
      </c>
      <c r="AN136" s="781">
        <f t="shared" si="56"/>
        <v>0</v>
      </c>
      <c r="AO136" s="781">
        <f t="shared" si="75"/>
        <v>0</v>
      </c>
      <c r="AP136" s="781">
        <f t="shared" si="76"/>
        <v>0</v>
      </c>
      <c r="AQ136" s="781">
        <f t="shared" si="59"/>
        <v>0</v>
      </c>
      <c r="AR136" s="781">
        <f t="shared" si="77"/>
        <v>0</v>
      </c>
      <c r="AS136" s="783">
        <f t="shared" si="61"/>
        <v>0</v>
      </c>
    </row>
    <row r="137" spans="1:45" ht="15" x14ac:dyDescent="0.25">
      <c r="A137" s="768"/>
      <c r="B137" s="719">
        <f t="shared" si="64"/>
        <v>129</v>
      </c>
      <c r="C137" s="170" t="str">
        <f t="shared" si="62"/>
        <v>99</v>
      </c>
      <c r="D137" s="557"/>
      <c r="E137" s="170"/>
      <c r="F137" s="170">
        <v>99</v>
      </c>
      <c r="G137" s="785"/>
      <c r="H137" s="770"/>
      <c r="I137" s="768"/>
      <c r="J137" s="770"/>
      <c r="K137" s="770"/>
      <c r="L137" s="170"/>
      <c r="M137" s="771">
        <v>0</v>
      </c>
      <c r="N137" s="772">
        <v>1</v>
      </c>
      <c r="O137" s="773">
        <f t="shared" ref="O137:O145" si="81">+M137*N137</f>
        <v>0</v>
      </c>
      <c r="P137" s="768" t="s">
        <v>39</v>
      </c>
      <c r="Q137" s="768" t="s">
        <v>39</v>
      </c>
      <c r="R137" s="774" t="s">
        <v>73</v>
      </c>
      <c r="S137" s="775">
        <f ca="1">SUMIF('Data Input sheet'!$B$118:$D$180,R137,'Data Input sheet'!$D$118:$D$180)</f>
        <v>119</v>
      </c>
      <c r="T137" s="776">
        <f t="shared" ref="T137:T145" ca="1" si="82">+O137*S137</f>
        <v>0</v>
      </c>
      <c r="U137" s="1992"/>
      <c r="V137" s="778">
        <f t="shared" si="63"/>
        <v>0</v>
      </c>
      <c r="W137" s="772"/>
      <c r="X137" s="779"/>
      <c r="Y137" s="776">
        <v>0</v>
      </c>
      <c r="Z137" s="780">
        <f t="shared" ref="Z137:Z145" ca="1" si="83">T137+V137+W137+Y137</f>
        <v>0</v>
      </c>
      <c r="AA137" s="769"/>
      <c r="AB137" s="769"/>
      <c r="AC137" s="765">
        <f t="shared" ref="AC137:AC152" si="84">IF(V137=0,0,ROUND(V137/O137,0))</f>
        <v>0</v>
      </c>
      <c r="AD137" s="781">
        <f t="shared" ref="AD137:AD152" si="85">IF(P137="E",+ROUND(H137*O137,0),0)</f>
        <v>0</v>
      </c>
      <c r="AE137" s="781">
        <f t="shared" ref="AE137:AE152" si="86">+AF137-AD137</f>
        <v>0</v>
      </c>
      <c r="AF137" s="781">
        <f t="shared" ref="AF137:AF152" si="87">+H137*O137</f>
        <v>0</v>
      </c>
      <c r="AG137" s="781">
        <f t="shared" ref="AG137:AG152" si="88">IF(P137="E",+ROUND(T137*H137,0),0)</f>
        <v>0</v>
      </c>
      <c r="AH137" s="781">
        <f t="shared" ref="AH137:AH152" ca="1" si="89">+AI137-AG137</f>
        <v>0</v>
      </c>
      <c r="AI137" s="782">
        <f t="shared" ref="AI137:AI152" ca="1" si="90">+H137*T137</f>
        <v>0</v>
      </c>
      <c r="AJ137" s="781">
        <f t="shared" ref="AJ137:AJ152" si="91">IF(P137="E",+ROUND(V137*H137,0),0)</f>
        <v>0</v>
      </c>
      <c r="AK137" s="781">
        <f t="shared" ref="AK137:AK152" si="92">+AL137-AJ137</f>
        <v>0</v>
      </c>
      <c r="AL137" s="781">
        <f t="shared" ref="AL137:AL152" si="93">ROUND(V137*H137,0)</f>
        <v>0</v>
      </c>
      <c r="AM137" s="781">
        <f t="shared" ref="AM137:AM152" si="94">IF(Q137="E",+ROUND(W137*H137,0),0)</f>
        <v>0</v>
      </c>
      <c r="AN137" s="781">
        <f t="shared" ref="AN137:AN152" si="95">+AO137-AM137</f>
        <v>0</v>
      </c>
      <c r="AO137" s="781">
        <f t="shared" ref="AO137:AO152" si="96">ROUND(W137*H137,0)</f>
        <v>0</v>
      </c>
      <c r="AP137" s="781">
        <f t="shared" ref="AP137:AP152" si="97">IF(P137="E",+ROUND(Y137*H137,0),0)</f>
        <v>0</v>
      </c>
      <c r="AQ137" s="781">
        <f t="shared" ref="AQ137:AQ152" si="98">+AR137-AP137</f>
        <v>0</v>
      </c>
      <c r="AR137" s="781">
        <f t="shared" ref="AR137:AR152" si="99">ROUND(Y137*H137,0)</f>
        <v>0</v>
      </c>
      <c r="AS137" s="783">
        <f t="shared" ref="AS137:AS153" ca="1" si="100">+AR137+AO137+AL137+AI137</f>
        <v>0</v>
      </c>
    </row>
    <row r="138" spans="1:45" ht="15" x14ac:dyDescent="0.25">
      <c r="A138" s="768"/>
      <c r="B138" s="719">
        <f t="shared" si="64"/>
        <v>130</v>
      </c>
      <c r="C138" s="170" t="str">
        <f t="shared" ref="C138:C152" si="101">+F138&amp;I138</f>
        <v>99</v>
      </c>
      <c r="D138" s="557"/>
      <c r="E138" s="170"/>
      <c r="F138" s="170">
        <v>99</v>
      </c>
      <c r="G138" s="785"/>
      <c r="H138" s="770"/>
      <c r="I138" s="768"/>
      <c r="J138" s="770"/>
      <c r="K138" s="770"/>
      <c r="L138" s="170"/>
      <c r="M138" s="771">
        <v>0</v>
      </c>
      <c r="N138" s="772">
        <v>1</v>
      </c>
      <c r="O138" s="773">
        <f t="shared" si="81"/>
        <v>0</v>
      </c>
      <c r="P138" s="768" t="s">
        <v>39</v>
      </c>
      <c r="Q138" s="768" t="s">
        <v>39</v>
      </c>
      <c r="R138" s="774" t="s">
        <v>73</v>
      </c>
      <c r="S138" s="775">
        <f ca="1">SUMIF('Data Input sheet'!$B$118:$D$180,R138,'Data Input sheet'!$D$118:$D$180)</f>
        <v>119</v>
      </c>
      <c r="T138" s="776">
        <f t="shared" ca="1" si="82"/>
        <v>0</v>
      </c>
      <c r="U138" s="1992"/>
      <c r="V138" s="778">
        <f t="shared" ref="V138:V145" si="102">ROUND(U138*O138,0)</f>
        <v>0</v>
      </c>
      <c r="W138" s="772"/>
      <c r="X138" s="779"/>
      <c r="Y138" s="776">
        <v>0</v>
      </c>
      <c r="Z138" s="780">
        <f t="shared" ca="1" si="83"/>
        <v>0</v>
      </c>
      <c r="AA138" s="769"/>
      <c r="AB138" s="769"/>
      <c r="AC138" s="765">
        <f t="shared" si="84"/>
        <v>0</v>
      </c>
      <c r="AD138" s="781">
        <f t="shared" si="85"/>
        <v>0</v>
      </c>
      <c r="AE138" s="781">
        <f t="shared" si="86"/>
        <v>0</v>
      </c>
      <c r="AF138" s="781">
        <f t="shared" si="87"/>
        <v>0</v>
      </c>
      <c r="AG138" s="781">
        <f t="shared" si="88"/>
        <v>0</v>
      </c>
      <c r="AH138" s="781">
        <f t="shared" ca="1" si="89"/>
        <v>0</v>
      </c>
      <c r="AI138" s="782">
        <f t="shared" ca="1" si="90"/>
        <v>0</v>
      </c>
      <c r="AJ138" s="781">
        <f t="shared" si="91"/>
        <v>0</v>
      </c>
      <c r="AK138" s="781">
        <f t="shared" si="92"/>
        <v>0</v>
      </c>
      <c r="AL138" s="781">
        <f t="shared" si="93"/>
        <v>0</v>
      </c>
      <c r="AM138" s="781">
        <f t="shared" si="94"/>
        <v>0</v>
      </c>
      <c r="AN138" s="781">
        <f t="shared" si="95"/>
        <v>0</v>
      </c>
      <c r="AO138" s="781">
        <f t="shared" si="96"/>
        <v>0</v>
      </c>
      <c r="AP138" s="781">
        <f t="shared" si="97"/>
        <v>0</v>
      </c>
      <c r="AQ138" s="781">
        <f t="shared" si="98"/>
        <v>0</v>
      </c>
      <c r="AR138" s="781">
        <f t="shared" si="99"/>
        <v>0</v>
      </c>
      <c r="AS138" s="783">
        <f t="shared" ca="1" si="100"/>
        <v>0</v>
      </c>
    </row>
    <row r="139" spans="1:45" ht="15" x14ac:dyDescent="0.25">
      <c r="A139" s="768"/>
      <c r="B139" s="719">
        <f t="shared" ref="B139:B154" si="103">B138+1</f>
        <v>131</v>
      </c>
      <c r="C139" s="170" t="str">
        <f t="shared" si="101"/>
        <v>99</v>
      </c>
      <c r="D139" s="557"/>
      <c r="E139" s="170"/>
      <c r="F139" s="170">
        <v>99</v>
      </c>
      <c r="G139" s="785"/>
      <c r="H139" s="770"/>
      <c r="I139" s="768"/>
      <c r="J139" s="770"/>
      <c r="K139" s="770"/>
      <c r="L139" s="170"/>
      <c r="M139" s="771">
        <v>0</v>
      </c>
      <c r="N139" s="772">
        <v>1</v>
      </c>
      <c r="O139" s="773">
        <f t="shared" si="81"/>
        <v>0</v>
      </c>
      <c r="P139" s="768" t="s">
        <v>39</v>
      </c>
      <c r="Q139" s="768" t="s">
        <v>39</v>
      </c>
      <c r="R139" s="774" t="s">
        <v>73</v>
      </c>
      <c r="S139" s="775">
        <f ca="1">SUMIF('Data Input sheet'!$B$118:$D$180,R139,'Data Input sheet'!$D$118:$D$180)</f>
        <v>119</v>
      </c>
      <c r="T139" s="776">
        <f t="shared" ca="1" si="82"/>
        <v>0</v>
      </c>
      <c r="U139" s="1992"/>
      <c r="V139" s="778">
        <f t="shared" si="102"/>
        <v>0</v>
      </c>
      <c r="W139" s="772"/>
      <c r="X139" s="779"/>
      <c r="Y139" s="776">
        <v>0</v>
      </c>
      <c r="Z139" s="780">
        <f t="shared" ca="1" si="83"/>
        <v>0</v>
      </c>
      <c r="AA139" s="769"/>
      <c r="AB139" s="769"/>
      <c r="AC139" s="765">
        <f t="shared" si="84"/>
        <v>0</v>
      </c>
      <c r="AD139" s="781">
        <f t="shared" si="85"/>
        <v>0</v>
      </c>
      <c r="AE139" s="781">
        <f t="shared" si="86"/>
        <v>0</v>
      </c>
      <c r="AF139" s="781">
        <f t="shared" si="87"/>
        <v>0</v>
      </c>
      <c r="AG139" s="781">
        <f t="shared" si="88"/>
        <v>0</v>
      </c>
      <c r="AH139" s="781">
        <f t="shared" ca="1" si="89"/>
        <v>0</v>
      </c>
      <c r="AI139" s="782">
        <f t="shared" ca="1" si="90"/>
        <v>0</v>
      </c>
      <c r="AJ139" s="781">
        <f t="shared" si="91"/>
        <v>0</v>
      </c>
      <c r="AK139" s="781">
        <f t="shared" si="92"/>
        <v>0</v>
      </c>
      <c r="AL139" s="781">
        <f t="shared" si="93"/>
        <v>0</v>
      </c>
      <c r="AM139" s="781">
        <f t="shared" si="94"/>
        <v>0</v>
      </c>
      <c r="AN139" s="781">
        <f t="shared" si="95"/>
        <v>0</v>
      </c>
      <c r="AO139" s="781">
        <f t="shared" si="96"/>
        <v>0</v>
      </c>
      <c r="AP139" s="781">
        <f t="shared" si="97"/>
        <v>0</v>
      </c>
      <c r="AQ139" s="781">
        <f t="shared" si="98"/>
        <v>0</v>
      </c>
      <c r="AR139" s="781">
        <f t="shared" si="99"/>
        <v>0</v>
      </c>
      <c r="AS139" s="783">
        <f t="shared" ca="1" si="100"/>
        <v>0</v>
      </c>
    </row>
    <row r="140" spans="1:45" ht="15" x14ac:dyDescent="0.25">
      <c r="A140" s="768"/>
      <c r="B140" s="719">
        <f t="shared" si="103"/>
        <v>132</v>
      </c>
      <c r="C140" s="170" t="str">
        <f t="shared" si="101"/>
        <v>99</v>
      </c>
      <c r="D140" s="557"/>
      <c r="E140" s="170"/>
      <c r="F140" s="170">
        <v>99</v>
      </c>
      <c r="G140" s="785"/>
      <c r="H140" s="770"/>
      <c r="I140" s="768"/>
      <c r="J140" s="770"/>
      <c r="K140" s="770"/>
      <c r="L140" s="170"/>
      <c r="M140" s="771">
        <v>0</v>
      </c>
      <c r="N140" s="772">
        <v>1</v>
      </c>
      <c r="O140" s="773">
        <f t="shared" si="81"/>
        <v>0</v>
      </c>
      <c r="P140" s="768" t="s">
        <v>39</v>
      </c>
      <c r="Q140" s="768" t="s">
        <v>39</v>
      </c>
      <c r="R140" s="774" t="s">
        <v>73</v>
      </c>
      <c r="S140" s="775">
        <f ca="1">SUMIF('Data Input sheet'!$B$118:$D$180,R140,'Data Input sheet'!$D$118:$D$180)</f>
        <v>119</v>
      </c>
      <c r="T140" s="776">
        <f t="shared" ca="1" si="82"/>
        <v>0</v>
      </c>
      <c r="U140" s="1992"/>
      <c r="V140" s="778">
        <f t="shared" si="102"/>
        <v>0</v>
      </c>
      <c r="W140" s="772"/>
      <c r="X140" s="779"/>
      <c r="Y140" s="776">
        <v>0</v>
      </c>
      <c r="Z140" s="780">
        <f t="shared" ca="1" si="83"/>
        <v>0</v>
      </c>
      <c r="AA140" s="769"/>
      <c r="AB140" s="769"/>
      <c r="AC140" s="765">
        <f t="shared" si="84"/>
        <v>0</v>
      </c>
      <c r="AD140" s="781">
        <f t="shared" si="85"/>
        <v>0</v>
      </c>
      <c r="AE140" s="781">
        <f t="shared" si="86"/>
        <v>0</v>
      </c>
      <c r="AF140" s="781">
        <f t="shared" si="87"/>
        <v>0</v>
      </c>
      <c r="AG140" s="781">
        <f t="shared" si="88"/>
        <v>0</v>
      </c>
      <c r="AH140" s="781">
        <f t="shared" ca="1" si="89"/>
        <v>0</v>
      </c>
      <c r="AI140" s="782">
        <f t="shared" ca="1" si="90"/>
        <v>0</v>
      </c>
      <c r="AJ140" s="781">
        <f t="shared" si="91"/>
        <v>0</v>
      </c>
      <c r="AK140" s="781">
        <f t="shared" si="92"/>
        <v>0</v>
      </c>
      <c r="AL140" s="781">
        <f t="shared" si="93"/>
        <v>0</v>
      </c>
      <c r="AM140" s="781">
        <f t="shared" si="94"/>
        <v>0</v>
      </c>
      <c r="AN140" s="781">
        <f t="shared" si="95"/>
        <v>0</v>
      </c>
      <c r="AO140" s="781">
        <f t="shared" si="96"/>
        <v>0</v>
      </c>
      <c r="AP140" s="781">
        <f t="shared" si="97"/>
        <v>0</v>
      </c>
      <c r="AQ140" s="781">
        <f t="shared" si="98"/>
        <v>0</v>
      </c>
      <c r="AR140" s="781">
        <f t="shared" si="99"/>
        <v>0</v>
      </c>
      <c r="AS140" s="783">
        <f t="shared" ca="1" si="100"/>
        <v>0</v>
      </c>
    </row>
    <row r="141" spans="1:45" ht="15" x14ac:dyDescent="0.25">
      <c r="A141" s="768"/>
      <c r="B141" s="719">
        <f t="shared" si="103"/>
        <v>133</v>
      </c>
      <c r="C141" s="170" t="str">
        <f t="shared" si="101"/>
        <v>99</v>
      </c>
      <c r="D141" s="557"/>
      <c r="E141" s="170"/>
      <c r="F141" s="170">
        <v>99</v>
      </c>
      <c r="G141" s="785"/>
      <c r="H141" s="770"/>
      <c r="I141" s="768"/>
      <c r="J141" s="770"/>
      <c r="K141" s="770"/>
      <c r="L141" s="170"/>
      <c r="M141" s="771">
        <v>0</v>
      </c>
      <c r="N141" s="772">
        <v>1</v>
      </c>
      <c r="O141" s="773">
        <f t="shared" si="81"/>
        <v>0</v>
      </c>
      <c r="P141" s="768" t="s">
        <v>39</v>
      </c>
      <c r="Q141" s="768" t="s">
        <v>39</v>
      </c>
      <c r="R141" s="774" t="s">
        <v>73</v>
      </c>
      <c r="S141" s="775">
        <f ca="1">SUMIF('Data Input sheet'!$B$118:$D$180,R141,'Data Input sheet'!$D$118:$D$180)</f>
        <v>119</v>
      </c>
      <c r="T141" s="776">
        <f t="shared" ca="1" si="82"/>
        <v>0</v>
      </c>
      <c r="U141" s="1992"/>
      <c r="V141" s="778">
        <f t="shared" si="102"/>
        <v>0</v>
      </c>
      <c r="W141" s="772"/>
      <c r="X141" s="779"/>
      <c r="Y141" s="776">
        <v>0</v>
      </c>
      <c r="Z141" s="780">
        <f t="shared" ca="1" si="83"/>
        <v>0</v>
      </c>
      <c r="AA141" s="769"/>
      <c r="AB141" s="769"/>
      <c r="AC141" s="765">
        <f t="shared" si="84"/>
        <v>0</v>
      </c>
      <c r="AD141" s="781">
        <f t="shared" si="85"/>
        <v>0</v>
      </c>
      <c r="AE141" s="781">
        <f t="shared" si="86"/>
        <v>0</v>
      </c>
      <c r="AF141" s="781">
        <f t="shared" si="87"/>
        <v>0</v>
      </c>
      <c r="AG141" s="781">
        <f t="shared" si="88"/>
        <v>0</v>
      </c>
      <c r="AH141" s="781">
        <f t="shared" ca="1" si="89"/>
        <v>0</v>
      </c>
      <c r="AI141" s="782">
        <f t="shared" ca="1" si="90"/>
        <v>0</v>
      </c>
      <c r="AJ141" s="781">
        <f t="shared" si="91"/>
        <v>0</v>
      </c>
      <c r="AK141" s="781">
        <f t="shared" si="92"/>
        <v>0</v>
      </c>
      <c r="AL141" s="781">
        <f t="shared" si="93"/>
        <v>0</v>
      </c>
      <c r="AM141" s="781">
        <f t="shared" si="94"/>
        <v>0</v>
      </c>
      <c r="AN141" s="781">
        <f t="shared" si="95"/>
        <v>0</v>
      </c>
      <c r="AO141" s="781">
        <f t="shared" si="96"/>
        <v>0</v>
      </c>
      <c r="AP141" s="781">
        <f t="shared" si="97"/>
        <v>0</v>
      </c>
      <c r="AQ141" s="781">
        <f t="shared" si="98"/>
        <v>0</v>
      </c>
      <c r="AR141" s="781">
        <f t="shared" si="99"/>
        <v>0</v>
      </c>
      <c r="AS141" s="783">
        <f t="shared" ca="1" si="100"/>
        <v>0</v>
      </c>
    </row>
    <row r="142" spans="1:45" ht="15" x14ac:dyDescent="0.25">
      <c r="A142" s="768"/>
      <c r="B142" s="719">
        <f t="shared" si="103"/>
        <v>134</v>
      </c>
      <c r="C142" s="170" t="str">
        <f t="shared" si="101"/>
        <v>99</v>
      </c>
      <c r="D142" s="557"/>
      <c r="E142" s="170"/>
      <c r="F142" s="170">
        <v>99</v>
      </c>
      <c r="G142" s="785"/>
      <c r="H142" s="770"/>
      <c r="I142" s="768"/>
      <c r="J142" s="770"/>
      <c r="K142" s="770"/>
      <c r="L142" s="170"/>
      <c r="M142" s="771">
        <v>0</v>
      </c>
      <c r="N142" s="772">
        <v>1</v>
      </c>
      <c r="O142" s="773">
        <f t="shared" si="81"/>
        <v>0</v>
      </c>
      <c r="P142" s="768" t="s">
        <v>39</v>
      </c>
      <c r="Q142" s="768" t="s">
        <v>39</v>
      </c>
      <c r="R142" s="774" t="s">
        <v>73</v>
      </c>
      <c r="S142" s="775">
        <f ca="1">SUMIF('Data Input sheet'!$B$118:$D$180,R142,'Data Input sheet'!$D$118:$D$180)</f>
        <v>119</v>
      </c>
      <c r="T142" s="776">
        <f t="shared" ca="1" si="82"/>
        <v>0</v>
      </c>
      <c r="U142" s="1992"/>
      <c r="V142" s="778">
        <f t="shared" si="102"/>
        <v>0</v>
      </c>
      <c r="W142" s="772"/>
      <c r="X142" s="779"/>
      <c r="Y142" s="776">
        <v>0</v>
      </c>
      <c r="Z142" s="780">
        <f t="shared" ca="1" si="83"/>
        <v>0</v>
      </c>
      <c r="AA142" s="769"/>
      <c r="AB142" s="769"/>
      <c r="AC142" s="765">
        <f t="shared" si="84"/>
        <v>0</v>
      </c>
      <c r="AD142" s="781">
        <f t="shared" si="85"/>
        <v>0</v>
      </c>
      <c r="AE142" s="781">
        <f t="shared" si="86"/>
        <v>0</v>
      </c>
      <c r="AF142" s="781">
        <f t="shared" si="87"/>
        <v>0</v>
      </c>
      <c r="AG142" s="781">
        <f t="shared" si="88"/>
        <v>0</v>
      </c>
      <c r="AH142" s="781">
        <f t="shared" ca="1" si="89"/>
        <v>0</v>
      </c>
      <c r="AI142" s="782">
        <f t="shared" ca="1" si="90"/>
        <v>0</v>
      </c>
      <c r="AJ142" s="781">
        <f t="shared" si="91"/>
        <v>0</v>
      </c>
      <c r="AK142" s="781">
        <f t="shared" si="92"/>
        <v>0</v>
      </c>
      <c r="AL142" s="781">
        <f t="shared" si="93"/>
        <v>0</v>
      </c>
      <c r="AM142" s="781">
        <f t="shared" si="94"/>
        <v>0</v>
      </c>
      <c r="AN142" s="781">
        <f t="shared" si="95"/>
        <v>0</v>
      </c>
      <c r="AO142" s="781">
        <f t="shared" si="96"/>
        <v>0</v>
      </c>
      <c r="AP142" s="781">
        <f t="shared" si="97"/>
        <v>0</v>
      </c>
      <c r="AQ142" s="781">
        <f t="shared" si="98"/>
        <v>0</v>
      </c>
      <c r="AR142" s="781">
        <f t="shared" si="99"/>
        <v>0</v>
      </c>
      <c r="AS142" s="783">
        <f t="shared" ca="1" si="100"/>
        <v>0</v>
      </c>
    </row>
    <row r="143" spans="1:45" ht="15" x14ac:dyDescent="0.25">
      <c r="A143" s="768"/>
      <c r="B143" s="719">
        <f t="shared" si="103"/>
        <v>135</v>
      </c>
      <c r="C143" s="170" t="str">
        <f t="shared" si="101"/>
        <v>99</v>
      </c>
      <c r="D143" s="557"/>
      <c r="E143" s="170"/>
      <c r="F143" s="170">
        <v>99</v>
      </c>
      <c r="G143" s="785"/>
      <c r="H143" s="770"/>
      <c r="I143" s="768"/>
      <c r="J143" s="770"/>
      <c r="K143" s="770"/>
      <c r="L143" s="170"/>
      <c r="M143" s="771">
        <v>0</v>
      </c>
      <c r="N143" s="772">
        <v>1</v>
      </c>
      <c r="O143" s="773">
        <f t="shared" si="81"/>
        <v>0</v>
      </c>
      <c r="P143" s="768" t="s">
        <v>39</v>
      </c>
      <c r="Q143" s="768" t="s">
        <v>39</v>
      </c>
      <c r="R143" s="774" t="s">
        <v>73</v>
      </c>
      <c r="S143" s="775">
        <f ca="1">SUMIF('Data Input sheet'!$B$118:$D$180,R143,'Data Input sheet'!$D$118:$D$180)</f>
        <v>119</v>
      </c>
      <c r="T143" s="776">
        <f t="shared" ca="1" si="82"/>
        <v>0</v>
      </c>
      <c r="U143" s="1992"/>
      <c r="V143" s="778">
        <f t="shared" si="102"/>
        <v>0</v>
      </c>
      <c r="W143" s="772"/>
      <c r="X143" s="779"/>
      <c r="Y143" s="776">
        <v>0</v>
      </c>
      <c r="Z143" s="780">
        <f t="shared" ca="1" si="83"/>
        <v>0</v>
      </c>
      <c r="AA143" s="769"/>
      <c r="AB143" s="769"/>
      <c r="AC143" s="765">
        <f t="shared" si="84"/>
        <v>0</v>
      </c>
      <c r="AD143" s="781">
        <f t="shared" si="85"/>
        <v>0</v>
      </c>
      <c r="AE143" s="781">
        <f t="shared" si="86"/>
        <v>0</v>
      </c>
      <c r="AF143" s="781">
        <f t="shared" si="87"/>
        <v>0</v>
      </c>
      <c r="AG143" s="781">
        <f t="shared" si="88"/>
        <v>0</v>
      </c>
      <c r="AH143" s="781">
        <f t="shared" ca="1" si="89"/>
        <v>0</v>
      </c>
      <c r="AI143" s="782">
        <f t="shared" ca="1" si="90"/>
        <v>0</v>
      </c>
      <c r="AJ143" s="781">
        <f t="shared" si="91"/>
        <v>0</v>
      </c>
      <c r="AK143" s="781">
        <f t="shared" si="92"/>
        <v>0</v>
      </c>
      <c r="AL143" s="781">
        <f t="shared" si="93"/>
        <v>0</v>
      </c>
      <c r="AM143" s="781">
        <f t="shared" si="94"/>
        <v>0</v>
      </c>
      <c r="AN143" s="781">
        <f t="shared" si="95"/>
        <v>0</v>
      </c>
      <c r="AO143" s="781">
        <f t="shared" si="96"/>
        <v>0</v>
      </c>
      <c r="AP143" s="781">
        <f t="shared" si="97"/>
        <v>0</v>
      </c>
      <c r="AQ143" s="781">
        <f t="shared" si="98"/>
        <v>0</v>
      </c>
      <c r="AR143" s="781">
        <f t="shared" si="99"/>
        <v>0</v>
      </c>
      <c r="AS143" s="783">
        <f t="shared" ca="1" si="100"/>
        <v>0</v>
      </c>
    </row>
    <row r="144" spans="1:45" ht="15" x14ac:dyDescent="0.25">
      <c r="A144" s="768"/>
      <c r="B144" s="719">
        <f t="shared" si="103"/>
        <v>136</v>
      </c>
      <c r="C144" s="170" t="str">
        <f t="shared" si="101"/>
        <v>99</v>
      </c>
      <c r="D144" s="557"/>
      <c r="E144" s="170"/>
      <c r="F144" s="170">
        <v>99</v>
      </c>
      <c r="G144" s="785"/>
      <c r="H144" s="770"/>
      <c r="I144" s="768"/>
      <c r="J144" s="770"/>
      <c r="K144" s="770"/>
      <c r="L144" s="170"/>
      <c r="M144" s="771">
        <v>0</v>
      </c>
      <c r="N144" s="772">
        <v>1</v>
      </c>
      <c r="O144" s="773">
        <f t="shared" si="81"/>
        <v>0</v>
      </c>
      <c r="P144" s="768" t="s">
        <v>39</v>
      </c>
      <c r="Q144" s="768" t="s">
        <v>39</v>
      </c>
      <c r="R144" s="774" t="s">
        <v>73</v>
      </c>
      <c r="S144" s="775">
        <f ca="1">SUMIF('Data Input sheet'!$B$118:$D$180,R144,'Data Input sheet'!$D$118:$D$180)</f>
        <v>119</v>
      </c>
      <c r="T144" s="776">
        <f t="shared" ca="1" si="82"/>
        <v>0</v>
      </c>
      <c r="U144" s="1992"/>
      <c r="V144" s="778">
        <f t="shared" si="102"/>
        <v>0</v>
      </c>
      <c r="W144" s="772"/>
      <c r="X144" s="779"/>
      <c r="Y144" s="776">
        <v>0</v>
      </c>
      <c r="Z144" s="780">
        <f t="shared" ca="1" si="83"/>
        <v>0</v>
      </c>
      <c r="AA144" s="769"/>
      <c r="AB144" s="769"/>
      <c r="AC144" s="765">
        <f t="shared" si="84"/>
        <v>0</v>
      </c>
      <c r="AD144" s="781">
        <f t="shared" si="85"/>
        <v>0</v>
      </c>
      <c r="AE144" s="781">
        <f t="shared" si="86"/>
        <v>0</v>
      </c>
      <c r="AF144" s="781">
        <f t="shared" si="87"/>
        <v>0</v>
      </c>
      <c r="AG144" s="781">
        <f t="shared" si="88"/>
        <v>0</v>
      </c>
      <c r="AH144" s="781">
        <f t="shared" ca="1" si="89"/>
        <v>0</v>
      </c>
      <c r="AI144" s="782">
        <f t="shared" ca="1" si="90"/>
        <v>0</v>
      </c>
      <c r="AJ144" s="781">
        <f t="shared" si="91"/>
        <v>0</v>
      </c>
      <c r="AK144" s="781">
        <f t="shared" si="92"/>
        <v>0</v>
      </c>
      <c r="AL144" s="781">
        <f t="shared" si="93"/>
        <v>0</v>
      </c>
      <c r="AM144" s="781">
        <f t="shared" si="94"/>
        <v>0</v>
      </c>
      <c r="AN144" s="781">
        <f t="shared" si="95"/>
        <v>0</v>
      </c>
      <c r="AO144" s="781">
        <f t="shared" si="96"/>
        <v>0</v>
      </c>
      <c r="AP144" s="781">
        <f t="shared" si="97"/>
        <v>0</v>
      </c>
      <c r="AQ144" s="781">
        <f t="shared" si="98"/>
        <v>0</v>
      </c>
      <c r="AR144" s="781">
        <f t="shared" si="99"/>
        <v>0</v>
      </c>
      <c r="AS144" s="783">
        <f t="shared" ca="1" si="100"/>
        <v>0</v>
      </c>
    </row>
    <row r="145" spans="1:46" ht="15" x14ac:dyDescent="0.25">
      <c r="A145" s="768"/>
      <c r="B145" s="719">
        <f t="shared" si="103"/>
        <v>137</v>
      </c>
      <c r="C145" s="170" t="str">
        <f t="shared" si="101"/>
        <v>99</v>
      </c>
      <c r="D145" s="557"/>
      <c r="E145" s="170"/>
      <c r="F145" s="170">
        <v>99</v>
      </c>
      <c r="G145" s="785"/>
      <c r="H145" s="770"/>
      <c r="I145" s="768"/>
      <c r="J145" s="770"/>
      <c r="K145" s="770"/>
      <c r="L145" s="170"/>
      <c r="M145" s="771">
        <v>0</v>
      </c>
      <c r="N145" s="772">
        <v>1</v>
      </c>
      <c r="O145" s="773">
        <f t="shared" si="81"/>
        <v>0</v>
      </c>
      <c r="P145" s="768" t="s">
        <v>39</v>
      </c>
      <c r="Q145" s="768" t="s">
        <v>39</v>
      </c>
      <c r="R145" s="774" t="s">
        <v>73</v>
      </c>
      <c r="S145" s="775">
        <f ca="1">SUMIF('Data Input sheet'!$B$118:$D$180,R145,'Data Input sheet'!$D$118:$D$180)</f>
        <v>119</v>
      </c>
      <c r="T145" s="776">
        <f t="shared" ca="1" si="82"/>
        <v>0</v>
      </c>
      <c r="U145" s="1992"/>
      <c r="V145" s="778">
        <f t="shared" si="102"/>
        <v>0</v>
      </c>
      <c r="W145" s="772"/>
      <c r="X145" s="779"/>
      <c r="Y145" s="776">
        <v>0</v>
      </c>
      <c r="Z145" s="780">
        <f t="shared" ca="1" si="83"/>
        <v>0</v>
      </c>
      <c r="AA145" s="769"/>
      <c r="AB145" s="769"/>
      <c r="AC145" s="765">
        <f t="shared" si="84"/>
        <v>0</v>
      </c>
      <c r="AD145" s="781">
        <f t="shared" si="85"/>
        <v>0</v>
      </c>
      <c r="AE145" s="781">
        <f t="shared" si="86"/>
        <v>0</v>
      </c>
      <c r="AF145" s="781">
        <f t="shared" si="87"/>
        <v>0</v>
      </c>
      <c r="AG145" s="781">
        <f t="shared" si="88"/>
        <v>0</v>
      </c>
      <c r="AH145" s="781">
        <f t="shared" ca="1" si="89"/>
        <v>0</v>
      </c>
      <c r="AI145" s="782">
        <f t="shared" ca="1" si="90"/>
        <v>0</v>
      </c>
      <c r="AJ145" s="781">
        <f t="shared" si="91"/>
        <v>0</v>
      </c>
      <c r="AK145" s="781">
        <f t="shared" si="92"/>
        <v>0</v>
      </c>
      <c r="AL145" s="781">
        <f t="shared" si="93"/>
        <v>0</v>
      </c>
      <c r="AM145" s="781">
        <f t="shared" si="94"/>
        <v>0</v>
      </c>
      <c r="AN145" s="781">
        <f t="shared" si="95"/>
        <v>0</v>
      </c>
      <c r="AO145" s="781">
        <f t="shared" si="96"/>
        <v>0</v>
      </c>
      <c r="AP145" s="781">
        <f t="shared" si="97"/>
        <v>0</v>
      </c>
      <c r="AQ145" s="781">
        <f t="shared" si="98"/>
        <v>0</v>
      </c>
      <c r="AR145" s="781">
        <f t="shared" si="99"/>
        <v>0</v>
      </c>
      <c r="AS145" s="783">
        <f t="shared" ca="1" si="100"/>
        <v>0</v>
      </c>
    </row>
    <row r="146" spans="1:46" ht="15" x14ac:dyDescent="0.25">
      <c r="A146" s="784"/>
      <c r="B146" s="719">
        <f t="shared" si="103"/>
        <v>138</v>
      </c>
      <c r="C146" s="170" t="str">
        <f t="shared" si="101"/>
        <v>99</v>
      </c>
      <c r="D146" s="557"/>
      <c r="E146" s="170"/>
      <c r="F146" s="170">
        <v>99</v>
      </c>
      <c r="G146" s="787"/>
      <c r="H146" s="784"/>
      <c r="I146" s="784"/>
      <c r="J146" s="784"/>
      <c r="K146" s="784"/>
      <c r="L146" s="170"/>
      <c r="M146" s="773"/>
      <c r="N146" s="773"/>
      <c r="O146" s="773"/>
      <c r="P146" s="788"/>
      <c r="Q146" s="788"/>
      <c r="R146" s="773"/>
      <c r="S146" s="773"/>
      <c r="T146" s="779"/>
      <c r="U146" s="1993"/>
      <c r="V146" s="778"/>
      <c r="W146" s="778"/>
      <c r="X146" s="779"/>
      <c r="Y146" s="779"/>
      <c r="Z146" s="780"/>
      <c r="AA146" s="787" t="s">
        <v>96</v>
      </c>
      <c r="AB146" s="787"/>
      <c r="AC146" s="765">
        <f t="shared" si="84"/>
        <v>0</v>
      </c>
      <c r="AD146" s="781">
        <f t="shared" si="85"/>
        <v>0</v>
      </c>
      <c r="AE146" s="781">
        <f t="shared" si="86"/>
        <v>0</v>
      </c>
      <c r="AF146" s="781">
        <f t="shared" si="87"/>
        <v>0</v>
      </c>
      <c r="AG146" s="781">
        <f t="shared" si="88"/>
        <v>0</v>
      </c>
      <c r="AH146" s="781">
        <f t="shared" si="89"/>
        <v>0</v>
      </c>
      <c r="AI146" s="782">
        <f t="shared" si="90"/>
        <v>0</v>
      </c>
      <c r="AJ146" s="781">
        <f t="shared" si="91"/>
        <v>0</v>
      </c>
      <c r="AK146" s="781">
        <f t="shared" si="92"/>
        <v>0</v>
      </c>
      <c r="AL146" s="781">
        <f t="shared" si="93"/>
        <v>0</v>
      </c>
      <c r="AM146" s="781">
        <f t="shared" si="94"/>
        <v>0</v>
      </c>
      <c r="AN146" s="781">
        <f t="shared" si="95"/>
        <v>0</v>
      </c>
      <c r="AO146" s="781">
        <f t="shared" si="96"/>
        <v>0</v>
      </c>
      <c r="AP146" s="781">
        <f t="shared" si="97"/>
        <v>0</v>
      </c>
      <c r="AQ146" s="781">
        <f t="shared" si="98"/>
        <v>0</v>
      </c>
      <c r="AR146" s="781">
        <f t="shared" si="99"/>
        <v>0</v>
      </c>
      <c r="AS146" s="783">
        <f t="shared" si="100"/>
        <v>0</v>
      </c>
    </row>
    <row r="147" spans="1:46" ht="15" x14ac:dyDescent="0.25">
      <c r="A147" s="784"/>
      <c r="B147" s="719">
        <f t="shared" si="103"/>
        <v>139</v>
      </c>
      <c r="C147" s="170" t="str">
        <f t="shared" si="101"/>
        <v>99</v>
      </c>
      <c r="D147" s="557"/>
      <c r="E147" s="170"/>
      <c r="F147" s="170">
        <v>99</v>
      </c>
      <c r="G147" s="787"/>
      <c r="H147" s="784"/>
      <c r="I147" s="784"/>
      <c r="J147" s="784"/>
      <c r="K147" s="784"/>
      <c r="L147" s="170"/>
      <c r="M147" s="773"/>
      <c r="N147" s="773"/>
      <c r="O147" s="773"/>
      <c r="P147" s="788"/>
      <c r="Q147" s="788"/>
      <c r="R147" s="773"/>
      <c r="S147" s="773"/>
      <c r="T147" s="779"/>
      <c r="U147" s="1993"/>
      <c r="V147" s="778"/>
      <c r="W147" s="778"/>
      <c r="X147" s="779"/>
      <c r="Y147" s="779"/>
      <c r="Z147" s="780"/>
      <c r="AA147" s="787"/>
      <c r="AB147" s="787"/>
      <c r="AC147" s="765">
        <f t="shared" si="84"/>
        <v>0</v>
      </c>
      <c r="AD147" s="781">
        <f t="shared" si="85"/>
        <v>0</v>
      </c>
      <c r="AE147" s="781">
        <f t="shared" si="86"/>
        <v>0</v>
      </c>
      <c r="AF147" s="781">
        <f t="shared" si="87"/>
        <v>0</v>
      </c>
      <c r="AG147" s="781">
        <f t="shared" si="88"/>
        <v>0</v>
      </c>
      <c r="AH147" s="781">
        <f t="shared" si="89"/>
        <v>0</v>
      </c>
      <c r="AI147" s="782">
        <f t="shared" si="90"/>
        <v>0</v>
      </c>
      <c r="AJ147" s="781">
        <f t="shared" si="91"/>
        <v>0</v>
      </c>
      <c r="AK147" s="781">
        <f t="shared" si="92"/>
        <v>0</v>
      </c>
      <c r="AL147" s="781">
        <f t="shared" si="93"/>
        <v>0</v>
      </c>
      <c r="AM147" s="781">
        <f t="shared" si="94"/>
        <v>0</v>
      </c>
      <c r="AN147" s="781">
        <f t="shared" si="95"/>
        <v>0</v>
      </c>
      <c r="AO147" s="781">
        <f t="shared" si="96"/>
        <v>0</v>
      </c>
      <c r="AP147" s="781">
        <f t="shared" si="97"/>
        <v>0</v>
      </c>
      <c r="AQ147" s="781">
        <f t="shared" si="98"/>
        <v>0</v>
      </c>
      <c r="AR147" s="781">
        <f t="shared" si="99"/>
        <v>0</v>
      </c>
      <c r="AS147" s="783">
        <f t="shared" si="100"/>
        <v>0</v>
      </c>
    </row>
    <row r="148" spans="1:46" ht="15" x14ac:dyDescent="0.25">
      <c r="A148" s="784"/>
      <c r="B148" s="719">
        <f t="shared" si="103"/>
        <v>140</v>
      </c>
      <c r="C148" s="170" t="str">
        <f t="shared" si="101"/>
        <v>99</v>
      </c>
      <c r="D148" s="557"/>
      <c r="E148" s="170"/>
      <c r="F148" s="170">
        <v>99</v>
      </c>
      <c r="G148" s="787"/>
      <c r="H148" s="784"/>
      <c r="I148" s="784"/>
      <c r="J148" s="784"/>
      <c r="K148" s="784"/>
      <c r="L148" s="170"/>
      <c r="M148" s="773"/>
      <c r="N148" s="773"/>
      <c r="O148" s="773"/>
      <c r="P148" s="788"/>
      <c r="Q148" s="788"/>
      <c r="R148" s="773"/>
      <c r="S148" s="773"/>
      <c r="T148" s="779"/>
      <c r="U148" s="1993"/>
      <c r="V148" s="778"/>
      <c r="W148" s="778"/>
      <c r="X148" s="779"/>
      <c r="Y148" s="779"/>
      <c r="Z148" s="780"/>
      <c r="AA148" s="787"/>
      <c r="AB148" s="787"/>
      <c r="AC148" s="765">
        <f t="shared" si="84"/>
        <v>0</v>
      </c>
      <c r="AD148" s="781">
        <f t="shared" si="85"/>
        <v>0</v>
      </c>
      <c r="AE148" s="781">
        <f t="shared" si="86"/>
        <v>0</v>
      </c>
      <c r="AF148" s="781">
        <f t="shared" si="87"/>
        <v>0</v>
      </c>
      <c r="AG148" s="781">
        <f t="shared" si="88"/>
        <v>0</v>
      </c>
      <c r="AH148" s="781">
        <f t="shared" si="89"/>
        <v>0</v>
      </c>
      <c r="AI148" s="782">
        <f t="shared" si="90"/>
        <v>0</v>
      </c>
      <c r="AJ148" s="781">
        <f t="shared" si="91"/>
        <v>0</v>
      </c>
      <c r="AK148" s="781">
        <f t="shared" si="92"/>
        <v>0</v>
      </c>
      <c r="AL148" s="781">
        <f t="shared" si="93"/>
        <v>0</v>
      </c>
      <c r="AM148" s="781">
        <f t="shared" si="94"/>
        <v>0</v>
      </c>
      <c r="AN148" s="781">
        <f t="shared" si="95"/>
        <v>0</v>
      </c>
      <c r="AO148" s="781">
        <f t="shared" si="96"/>
        <v>0</v>
      </c>
      <c r="AP148" s="781">
        <f t="shared" si="97"/>
        <v>0</v>
      </c>
      <c r="AQ148" s="781">
        <f t="shared" si="98"/>
        <v>0</v>
      </c>
      <c r="AR148" s="781">
        <f t="shared" si="99"/>
        <v>0</v>
      </c>
      <c r="AS148" s="783">
        <f t="shared" si="100"/>
        <v>0</v>
      </c>
    </row>
    <row r="149" spans="1:46" ht="15" x14ac:dyDescent="0.25">
      <c r="A149" s="784"/>
      <c r="B149" s="719">
        <f t="shared" si="103"/>
        <v>141</v>
      </c>
      <c r="C149" s="170" t="str">
        <f t="shared" si="101"/>
        <v>99</v>
      </c>
      <c r="D149" s="557"/>
      <c r="E149" s="170"/>
      <c r="F149" s="170">
        <v>99</v>
      </c>
      <c r="G149" s="787"/>
      <c r="H149" s="784"/>
      <c r="I149" s="784"/>
      <c r="J149" s="784"/>
      <c r="K149" s="784"/>
      <c r="L149" s="170"/>
      <c r="M149" s="773"/>
      <c r="N149" s="773"/>
      <c r="O149" s="773"/>
      <c r="P149" s="788"/>
      <c r="Q149" s="788"/>
      <c r="R149" s="773"/>
      <c r="S149" s="773"/>
      <c r="T149" s="779"/>
      <c r="U149" s="1993"/>
      <c r="V149" s="778"/>
      <c r="W149" s="778"/>
      <c r="X149" s="779"/>
      <c r="Y149" s="779"/>
      <c r="Z149" s="780"/>
      <c r="AA149" s="787"/>
      <c r="AB149" s="787"/>
      <c r="AC149" s="765">
        <f t="shared" si="84"/>
        <v>0</v>
      </c>
      <c r="AD149" s="781">
        <f t="shared" si="85"/>
        <v>0</v>
      </c>
      <c r="AE149" s="781">
        <f t="shared" si="86"/>
        <v>0</v>
      </c>
      <c r="AF149" s="781">
        <f t="shared" si="87"/>
        <v>0</v>
      </c>
      <c r="AG149" s="781">
        <f t="shared" si="88"/>
        <v>0</v>
      </c>
      <c r="AH149" s="781">
        <f t="shared" si="89"/>
        <v>0</v>
      </c>
      <c r="AI149" s="782">
        <f t="shared" si="90"/>
        <v>0</v>
      </c>
      <c r="AJ149" s="781">
        <f t="shared" si="91"/>
        <v>0</v>
      </c>
      <c r="AK149" s="781">
        <f t="shared" si="92"/>
        <v>0</v>
      </c>
      <c r="AL149" s="781">
        <f t="shared" si="93"/>
        <v>0</v>
      </c>
      <c r="AM149" s="781">
        <f t="shared" si="94"/>
        <v>0</v>
      </c>
      <c r="AN149" s="781">
        <f t="shared" si="95"/>
        <v>0</v>
      </c>
      <c r="AO149" s="781">
        <f t="shared" si="96"/>
        <v>0</v>
      </c>
      <c r="AP149" s="781">
        <f t="shared" si="97"/>
        <v>0</v>
      </c>
      <c r="AQ149" s="781">
        <f t="shared" si="98"/>
        <v>0</v>
      </c>
      <c r="AR149" s="781">
        <f t="shared" si="99"/>
        <v>0</v>
      </c>
      <c r="AS149" s="783">
        <f t="shared" si="100"/>
        <v>0</v>
      </c>
    </row>
    <row r="150" spans="1:46" ht="15" x14ac:dyDescent="0.25">
      <c r="A150" s="784"/>
      <c r="B150" s="719">
        <f t="shared" si="103"/>
        <v>142</v>
      </c>
      <c r="C150" s="170" t="str">
        <f t="shared" si="101"/>
        <v>99</v>
      </c>
      <c r="D150" s="557"/>
      <c r="E150" s="170"/>
      <c r="F150" s="170">
        <v>99</v>
      </c>
      <c r="G150" s="769"/>
      <c r="H150" s="784"/>
      <c r="I150" s="784"/>
      <c r="J150" s="784"/>
      <c r="K150" s="784"/>
      <c r="L150" s="170"/>
      <c r="M150" s="773"/>
      <c r="N150" s="773"/>
      <c r="O150" s="773"/>
      <c r="P150" s="788"/>
      <c r="Q150" s="788"/>
      <c r="R150" s="773"/>
      <c r="S150" s="773"/>
      <c r="T150" s="779"/>
      <c r="U150" s="1993"/>
      <c r="V150" s="778"/>
      <c r="W150" s="778"/>
      <c r="X150" s="779"/>
      <c r="Y150" s="779"/>
      <c r="Z150" s="780"/>
      <c r="AA150" s="787"/>
      <c r="AB150" s="787"/>
      <c r="AC150" s="765">
        <f t="shared" si="84"/>
        <v>0</v>
      </c>
      <c r="AD150" s="781">
        <f t="shared" si="85"/>
        <v>0</v>
      </c>
      <c r="AE150" s="781">
        <f t="shared" si="86"/>
        <v>0</v>
      </c>
      <c r="AF150" s="781">
        <f t="shared" si="87"/>
        <v>0</v>
      </c>
      <c r="AG150" s="781">
        <f t="shared" si="88"/>
        <v>0</v>
      </c>
      <c r="AH150" s="781">
        <f t="shared" si="89"/>
        <v>0</v>
      </c>
      <c r="AI150" s="782">
        <f t="shared" si="90"/>
        <v>0</v>
      </c>
      <c r="AJ150" s="781">
        <f t="shared" si="91"/>
        <v>0</v>
      </c>
      <c r="AK150" s="781">
        <f t="shared" si="92"/>
        <v>0</v>
      </c>
      <c r="AL150" s="781">
        <f t="shared" si="93"/>
        <v>0</v>
      </c>
      <c r="AM150" s="781">
        <f t="shared" si="94"/>
        <v>0</v>
      </c>
      <c r="AN150" s="781">
        <f t="shared" si="95"/>
        <v>0</v>
      </c>
      <c r="AO150" s="781">
        <f t="shared" si="96"/>
        <v>0</v>
      </c>
      <c r="AP150" s="781">
        <f t="shared" si="97"/>
        <v>0</v>
      </c>
      <c r="AQ150" s="781">
        <f t="shared" si="98"/>
        <v>0</v>
      </c>
      <c r="AR150" s="781">
        <f t="shared" si="99"/>
        <v>0</v>
      </c>
      <c r="AS150" s="783">
        <f t="shared" si="100"/>
        <v>0</v>
      </c>
    </row>
    <row r="151" spans="1:46" ht="15" x14ac:dyDescent="0.25">
      <c r="A151" s="784"/>
      <c r="B151" s="719">
        <f t="shared" si="103"/>
        <v>143</v>
      </c>
      <c r="C151" s="170" t="str">
        <f t="shared" si="101"/>
        <v>99</v>
      </c>
      <c r="D151" s="557"/>
      <c r="E151" s="170"/>
      <c r="F151" s="170">
        <v>99</v>
      </c>
      <c r="G151" s="787"/>
      <c r="H151" s="784"/>
      <c r="I151" s="784"/>
      <c r="J151" s="784"/>
      <c r="K151" s="784"/>
      <c r="L151" s="170"/>
      <c r="M151" s="773"/>
      <c r="N151" s="773"/>
      <c r="O151" s="773"/>
      <c r="P151" s="788"/>
      <c r="Q151" s="788"/>
      <c r="R151" s="773"/>
      <c r="S151" s="773"/>
      <c r="T151" s="779"/>
      <c r="U151" s="789"/>
      <c r="V151" s="778"/>
      <c r="W151" s="778"/>
      <c r="X151" s="779"/>
      <c r="Y151" s="779"/>
      <c r="Z151" s="780"/>
      <c r="AA151" s="787"/>
      <c r="AB151" s="787"/>
      <c r="AC151" s="765">
        <f t="shared" si="84"/>
        <v>0</v>
      </c>
      <c r="AD151" s="781">
        <f t="shared" si="85"/>
        <v>0</v>
      </c>
      <c r="AE151" s="781">
        <f t="shared" si="86"/>
        <v>0</v>
      </c>
      <c r="AF151" s="781">
        <f t="shared" si="87"/>
        <v>0</v>
      </c>
      <c r="AG151" s="781">
        <f t="shared" si="88"/>
        <v>0</v>
      </c>
      <c r="AH151" s="781">
        <f t="shared" si="89"/>
        <v>0</v>
      </c>
      <c r="AI151" s="782">
        <f t="shared" si="90"/>
        <v>0</v>
      </c>
      <c r="AJ151" s="781">
        <f t="shared" si="91"/>
        <v>0</v>
      </c>
      <c r="AK151" s="781">
        <f t="shared" si="92"/>
        <v>0</v>
      </c>
      <c r="AL151" s="781">
        <f t="shared" si="93"/>
        <v>0</v>
      </c>
      <c r="AM151" s="781">
        <f t="shared" si="94"/>
        <v>0</v>
      </c>
      <c r="AN151" s="781">
        <f t="shared" si="95"/>
        <v>0</v>
      </c>
      <c r="AO151" s="781">
        <f t="shared" si="96"/>
        <v>0</v>
      </c>
      <c r="AP151" s="781">
        <f t="shared" si="97"/>
        <v>0</v>
      </c>
      <c r="AQ151" s="781">
        <f t="shared" si="98"/>
        <v>0</v>
      </c>
      <c r="AR151" s="781">
        <f t="shared" si="99"/>
        <v>0</v>
      </c>
      <c r="AS151" s="783">
        <f t="shared" si="100"/>
        <v>0</v>
      </c>
    </row>
    <row r="152" spans="1:46" ht="15" x14ac:dyDescent="0.25">
      <c r="A152" s="784"/>
      <c r="B152" s="719">
        <f t="shared" si="103"/>
        <v>144</v>
      </c>
      <c r="C152" s="170" t="str">
        <f t="shared" si="101"/>
        <v>99</v>
      </c>
      <c r="D152" s="557"/>
      <c r="E152" s="170"/>
      <c r="F152" s="170">
        <v>99</v>
      </c>
      <c r="G152" s="787"/>
      <c r="H152" s="784"/>
      <c r="I152" s="784"/>
      <c r="J152" s="784"/>
      <c r="K152" s="784"/>
      <c r="L152" s="170"/>
      <c r="M152" s="773"/>
      <c r="N152" s="773"/>
      <c r="O152" s="773"/>
      <c r="P152" s="788"/>
      <c r="Q152" s="788"/>
      <c r="R152" s="773"/>
      <c r="S152" s="773"/>
      <c r="T152" s="779"/>
      <c r="U152" s="789"/>
      <c r="V152" s="778"/>
      <c r="W152" s="778"/>
      <c r="X152" s="779"/>
      <c r="Y152" s="779"/>
      <c r="Z152" s="780"/>
      <c r="AA152" s="787"/>
      <c r="AB152" s="787"/>
      <c r="AC152" s="765">
        <f t="shared" si="84"/>
        <v>0</v>
      </c>
      <c r="AD152" s="781">
        <f t="shared" si="85"/>
        <v>0</v>
      </c>
      <c r="AE152" s="781">
        <f t="shared" si="86"/>
        <v>0</v>
      </c>
      <c r="AF152" s="781">
        <f t="shared" si="87"/>
        <v>0</v>
      </c>
      <c r="AG152" s="781">
        <f t="shared" si="88"/>
        <v>0</v>
      </c>
      <c r="AH152" s="781">
        <f t="shared" si="89"/>
        <v>0</v>
      </c>
      <c r="AI152" s="782">
        <f t="shared" si="90"/>
        <v>0</v>
      </c>
      <c r="AJ152" s="781">
        <f t="shared" si="91"/>
        <v>0</v>
      </c>
      <c r="AK152" s="781">
        <f t="shared" si="92"/>
        <v>0</v>
      </c>
      <c r="AL152" s="781">
        <f t="shared" si="93"/>
        <v>0</v>
      </c>
      <c r="AM152" s="781">
        <f t="shared" si="94"/>
        <v>0</v>
      </c>
      <c r="AN152" s="781">
        <f t="shared" si="95"/>
        <v>0</v>
      </c>
      <c r="AO152" s="781">
        <f t="shared" si="96"/>
        <v>0</v>
      </c>
      <c r="AP152" s="781">
        <f t="shared" si="97"/>
        <v>0</v>
      </c>
      <c r="AQ152" s="781">
        <f t="shared" si="98"/>
        <v>0</v>
      </c>
      <c r="AR152" s="781">
        <f t="shared" si="99"/>
        <v>0</v>
      </c>
      <c r="AS152" s="783">
        <f t="shared" si="100"/>
        <v>0</v>
      </c>
    </row>
    <row r="153" spans="1:46" ht="15" x14ac:dyDescent="0.25">
      <c r="A153" s="784"/>
      <c r="B153" s="719">
        <f t="shared" si="103"/>
        <v>145</v>
      </c>
      <c r="C153" s="170"/>
      <c r="D153" s="557"/>
      <c r="E153" s="170"/>
      <c r="F153" s="170"/>
      <c r="G153" s="792" t="s">
        <v>592</v>
      </c>
      <c r="H153" s="784">
        <v>1</v>
      </c>
      <c r="I153" s="784"/>
      <c r="J153" s="784">
        <v>1</v>
      </c>
      <c r="K153" s="784"/>
      <c r="L153" s="170"/>
      <c r="M153" s="773"/>
      <c r="N153" s="773"/>
      <c r="O153" s="773"/>
      <c r="P153" s="793"/>
      <c r="Q153" s="793"/>
      <c r="R153" s="773"/>
      <c r="S153" s="773"/>
      <c r="T153" s="779"/>
      <c r="U153" s="789"/>
      <c r="V153" s="778"/>
      <c r="W153" s="778"/>
      <c r="X153" s="779"/>
      <c r="Y153" s="779"/>
      <c r="Z153" s="780"/>
      <c r="AA153" s="787"/>
      <c r="AB153" s="787"/>
      <c r="AC153" s="170"/>
      <c r="AD153" s="1816">
        <f t="shared" ref="AD153:AR153" si="104">SUM(AD10:AD147)</f>
        <v>0</v>
      </c>
      <c r="AE153" s="1816">
        <f t="shared" si="104"/>
        <v>0</v>
      </c>
      <c r="AF153" s="1816">
        <f t="shared" si="104"/>
        <v>0</v>
      </c>
      <c r="AG153" s="1816">
        <f t="shared" si="104"/>
        <v>0</v>
      </c>
      <c r="AH153" s="1816">
        <f t="shared" ca="1" si="104"/>
        <v>0</v>
      </c>
      <c r="AI153" s="1816">
        <f t="shared" ca="1" si="104"/>
        <v>0</v>
      </c>
      <c r="AJ153" s="1816">
        <f t="shared" si="104"/>
        <v>0</v>
      </c>
      <c r="AK153" s="1816">
        <f t="shared" si="104"/>
        <v>0</v>
      </c>
      <c r="AL153" s="1816">
        <f t="shared" si="104"/>
        <v>0</v>
      </c>
      <c r="AM153" s="1816">
        <f t="shared" si="104"/>
        <v>0</v>
      </c>
      <c r="AN153" s="1816">
        <f t="shared" si="104"/>
        <v>0</v>
      </c>
      <c r="AO153" s="1816">
        <f t="shared" si="104"/>
        <v>0</v>
      </c>
      <c r="AP153" s="1816">
        <f t="shared" si="104"/>
        <v>0</v>
      </c>
      <c r="AQ153" s="1816">
        <f t="shared" si="104"/>
        <v>0</v>
      </c>
      <c r="AR153" s="1816">
        <f t="shared" si="104"/>
        <v>0</v>
      </c>
      <c r="AS153" s="1816">
        <f t="shared" ca="1" si="100"/>
        <v>0</v>
      </c>
    </row>
    <row r="154" spans="1:46" ht="15.75" thickBot="1" x14ac:dyDescent="0.3">
      <c r="A154" s="784"/>
      <c r="B154" s="719">
        <f t="shared" si="103"/>
        <v>146</v>
      </c>
      <c r="C154" s="170"/>
      <c r="D154" s="574"/>
      <c r="E154" s="576"/>
      <c r="F154" s="576"/>
      <c r="G154" s="796"/>
      <c r="H154" s="797"/>
      <c r="I154" s="797"/>
      <c r="J154" s="797"/>
      <c r="K154" s="797"/>
      <c r="L154" s="576"/>
      <c r="M154" s="798"/>
      <c r="N154" s="798"/>
      <c r="O154" s="798"/>
      <c r="P154" s="799"/>
      <c r="Q154" s="799"/>
      <c r="R154" s="798"/>
      <c r="S154" s="798"/>
      <c r="T154" s="800"/>
      <c r="U154" s="801"/>
      <c r="V154" s="802"/>
      <c r="W154" s="802"/>
      <c r="X154" s="800"/>
      <c r="Y154" s="800"/>
      <c r="Z154" s="803"/>
      <c r="AA154" s="796"/>
      <c r="AB154" s="796"/>
      <c r="AC154" s="804"/>
      <c r="AD154" s="805"/>
      <c r="AE154" s="805"/>
      <c r="AF154" s="576"/>
      <c r="AG154" s="576"/>
      <c r="AH154" s="576"/>
      <c r="AI154" s="806"/>
      <c r="AJ154" s="806"/>
      <c r="AK154" s="806"/>
      <c r="AL154" s="806"/>
      <c r="AM154" s="806"/>
      <c r="AN154" s="806"/>
      <c r="AO154" s="806"/>
      <c r="AP154" s="806"/>
      <c r="AQ154" s="806"/>
      <c r="AR154" s="806"/>
      <c r="AS154" s="806"/>
    </row>
    <row r="155" spans="1:46" ht="15.75" thickTop="1" x14ac:dyDescent="0.25">
      <c r="A155" s="170"/>
      <c r="B155" s="719"/>
      <c r="C155" s="170"/>
      <c r="D155" s="170"/>
      <c r="E155" s="170"/>
      <c r="F155" s="170"/>
      <c r="G155" s="170"/>
      <c r="H155" s="170"/>
      <c r="I155" s="170"/>
      <c r="J155" s="170"/>
      <c r="K155" s="170"/>
      <c r="L155" s="170"/>
      <c r="M155" s="170"/>
      <c r="N155" s="170"/>
      <c r="O155" s="170"/>
      <c r="P155" s="170"/>
      <c r="Q155" s="170"/>
      <c r="R155" s="170"/>
      <c r="S155" s="170"/>
      <c r="T155" s="170"/>
      <c r="U155" s="170"/>
      <c r="V155" s="170"/>
      <c r="W155" s="170"/>
      <c r="X155" s="170"/>
      <c r="Y155" s="170"/>
      <c r="Z155" s="170"/>
      <c r="AA155" s="170"/>
      <c r="AB155" s="170"/>
      <c r="AC155" s="170"/>
      <c r="AD155" s="170"/>
      <c r="AE155" s="170"/>
      <c r="AF155" s="170"/>
      <c r="AG155" s="170"/>
      <c r="AH155" s="170"/>
      <c r="AI155" s="170"/>
      <c r="AJ155" s="170"/>
      <c r="AK155" s="170"/>
      <c r="AL155" s="170"/>
      <c r="AM155" s="170"/>
      <c r="AN155" s="170"/>
      <c r="AO155" s="170"/>
      <c r="AP155" s="170"/>
      <c r="AQ155" s="170"/>
      <c r="AR155" s="170"/>
      <c r="AS155" s="170"/>
    </row>
    <row r="156" spans="1:46" ht="15" x14ac:dyDescent="0.25">
      <c r="A156" s="170"/>
      <c r="B156" s="719"/>
      <c r="C156" s="170"/>
      <c r="D156" s="168" t="s">
        <v>742</v>
      </c>
      <c r="E156" s="170"/>
      <c r="F156" s="170"/>
      <c r="G156" s="721"/>
      <c r="H156" s="170"/>
      <c r="I156" s="170"/>
      <c r="J156" s="170"/>
      <c r="K156" s="170"/>
      <c r="L156" s="170"/>
      <c r="M156" s="730"/>
      <c r="N156" s="730"/>
      <c r="O156" s="730"/>
      <c r="P156" s="731"/>
      <c r="Q156" s="731"/>
      <c r="R156" s="730"/>
      <c r="S156" s="730"/>
      <c r="T156" s="723"/>
      <c r="U156" s="724"/>
      <c r="V156" s="725"/>
      <c r="W156" s="725"/>
      <c r="X156" s="723"/>
      <c r="Y156" s="723"/>
      <c r="Z156" s="723"/>
      <c r="AA156" s="726"/>
      <c r="AB156" s="726"/>
      <c r="AC156" s="170"/>
      <c r="AD156" s="586"/>
      <c r="AE156" s="586"/>
      <c r="AF156" s="170"/>
      <c r="AG156" s="170"/>
      <c r="AH156" s="170"/>
      <c r="AI156" s="170"/>
      <c r="AJ156" s="170"/>
      <c r="AK156" s="170"/>
      <c r="AL156" s="170"/>
      <c r="AM156" s="170"/>
      <c r="AN156" s="170"/>
      <c r="AO156" s="170"/>
      <c r="AP156" s="170"/>
      <c r="AQ156" s="170"/>
      <c r="AR156" s="170"/>
      <c r="AS156" s="170"/>
      <c r="AT156" s="170"/>
    </row>
    <row r="157" spans="1:46" ht="15" x14ac:dyDescent="0.25">
      <c r="A157" s="170"/>
      <c r="B157" s="719"/>
      <c r="C157" s="170" t="str">
        <f t="shared" ref="C157:C220" si="105">+F157&amp;I157</f>
        <v>1ls</v>
      </c>
      <c r="D157" s="170"/>
      <c r="E157" s="170"/>
      <c r="F157" s="170">
        <f>+Parameters!D4</f>
        <v>1</v>
      </c>
      <c r="G157" s="170" t="str">
        <f>+Parameters!E4</f>
        <v>General mob / demob</v>
      </c>
      <c r="H157" s="586">
        <f>SUMIF($C$9:$C$153,$C157,H$9:H$153)</f>
        <v>0</v>
      </c>
      <c r="I157" s="792" t="str">
        <f>+Parameters!F4</f>
        <v>ls</v>
      </c>
      <c r="J157" s="170"/>
      <c r="K157" s="170"/>
      <c r="L157" s="170"/>
      <c r="M157" s="730"/>
      <c r="N157" s="730"/>
      <c r="O157" s="730"/>
      <c r="P157" s="731"/>
      <c r="Q157" s="731"/>
      <c r="R157" s="730"/>
      <c r="S157" s="730"/>
      <c r="T157" s="723"/>
      <c r="U157" s="724"/>
      <c r="V157" s="725"/>
      <c r="W157" s="725"/>
      <c r="X157" s="723"/>
      <c r="Y157" s="723"/>
      <c r="Z157" s="723"/>
      <c r="AA157" s="726"/>
      <c r="AB157" s="726"/>
      <c r="AC157" s="170"/>
      <c r="AD157" s="586">
        <f>SUMIF($F$9:$F$153,$F157,AD$9:AD$153)</f>
        <v>0</v>
      </c>
      <c r="AE157" s="586">
        <f t="shared" ref="AE157:AS172" si="106">SUMIF($F$9:$F$153,$F157,AE$9:AE$153)</f>
        <v>0</v>
      </c>
      <c r="AF157" s="586">
        <f t="shared" si="106"/>
        <v>0</v>
      </c>
      <c r="AG157" s="586">
        <f t="shared" si="106"/>
        <v>0</v>
      </c>
      <c r="AH157" s="586">
        <f t="shared" si="106"/>
        <v>0</v>
      </c>
      <c r="AI157" s="586">
        <f t="shared" si="106"/>
        <v>0</v>
      </c>
      <c r="AJ157" s="586">
        <f t="shared" si="106"/>
        <v>0</v>
      </c>
      <c r="AK157" s="586">
        <f t="shared" si="106"/>
        <v>0</v>
      </c>
      <c r="AL157" s="586">
        <f t="shared" si="106"/>
        <v>0</v>
      </c>
      <c r="AM157" s="586">
        <f t="shared" si="106"/>
        <v>0</v>
      </c>
      <c r="AN157" s="586">
        <f t="shared" si="106"/>
        <v>0</v>
      </c>
      <c r="AO157" s="586">
        <f t="shared" si="106"/>
        <v>0</v>
      </c>
      <c r="AP157" s="586">
        <f t="shared" si="106"/>
        <v>0</v>
      </c>
      <c r="AQ157" s="586">
        <f t="shared" si="106"/>
        <v>0</v>
      </c>
      <c r="AR157" s="586">
        <f t="shared" si="106"/>
        <v>0</v>
      </c>
      <c r="AS157" s="586">
        <f t="shared" si="106"/>
        <v>0</v>
      </c>
      <c r="AT157" s="170"/>
    </row>
    <row r="158" spans="1:46" ht="15" x14ac:dyDescent="0.25">
      <c r="A158" s="170"/>
      <c r="B158" s="719"/>
      <c r="C158" s="170" t="str">
        <f t="shared" si="105"/>
        <v>20</v>
      </c>
      <c r="D158" s="170"/>
      <c r="E158" s="170"/>
      <c r="F158" s="170">
        <f>+Parameters!D5</f>
        <v>2</v>
      </c>
      <c r="G158" s="170" t="str">
        <f>+Parameters!E5</f>
        <v>General site work - general inc roads/paving</v>
      </c>
      <c r="H158" s="586">
        <f t="shared" ref="H158:H221" si="107">SUMIF($C$9:$C$153,$C158,H$9:H$153)</f>
        <v>0</v>
      </c>
      <c r="I158" s="170">
        <f>+Parameters!F5</f>
        <v>0</v>
      </c>
      <c r="J158" s="170"/>
      <c r="K158" s="170"/>
      <c r="L158" s="170"/>
      <c r="M158" s="730"/>
      <c r="N158" s="730"/>
      <c r="O158" s="730"/>
      <c r="P158" s="731"/>
      <c r="Q158" s="731"/>
      <c r="R158" s="730"/>
      <c r="S158" s="730"/>
      <c r="T158" s="723"/>
      <c r="U158" s="724"/>
      <c r="V158" s="725"/>
      <c r="W158" s="725"/>
      <c r="X158" s="723"/>
      <c r="Y158" s="723"/>
      <c r="Z158" s="723"/>
      <c r="AA158" s="726"/>
      <c r="AB158" s="726"/>
      <c r="AC158" s="170"/>
      <c r="AD158" s="586">
        <f t="shared" ref="AD158:AS187" si="108">SUMIF($F$9:$F$153,$F158,AD$9:AD$153)</f>
        <v>0</v>
      </c>
      <c r="AE158" s="586">
        <f t="shared" si="106"/>
        <v>0</v>
      </c>
      <c r="AF158" s="586">
        <f t="shared" si="106"/>
        <v>0</v>
      </c>
      <c r="AG158" s="586">
        <f t="shared" si="106"/>
        <v>0</v>
      </c>
      <c r="AH158" s="586">
        <f t="shared" si="106"/>
        <v>0</v>
      </c>
      <c r="AI158" s="586">
        <f t="shared" si="106"/>
        <v>0</v>
      </c>
      <c r="AJ158" s="586">
        <f t="shared" si="106"/>
        <v>0</v>
      </c>
      <c r="AK158" s="586">
        <f t="shared" si="106"/>
        <v>0</v>
      </c>
      <c r="AL158" s="586">
        <f t="shared" si="106"/>
        <v>0</v>
      </c>
      <c r="AM158" s="586">
        <f t="shared" si="106"/>
        <v>0</v>
      </c>
      <c r="AN158" s="586">
        <f t="shared" si="106"/>
        <v>0</v>
      </c>
      <c r="AO158" s="586">
        <f t="shared" si="106"/>
        <v>0</v>
      </c>
      <c r="AP158" s="586">
        <f t="shared" si="106"/>
        <v>0</v>
      </c>
      <c r="AQ158" s="586">
        <f t="shared" si="106"/>
        <v>0</v>
      </c>
      <c r="AR158" s="586">
        <f t="shared" si="106"/>
        <v>0</v>
      </c>
      <c r="AS158" s="586">
        <f t="shared" si="106"/>
        <v>0</v>
      </c>
      <c r="AT158" s="170"/>
    </row>
    <row r="159" spans="1:46" ht="15" x14ac:dyDescent="0.25">
      <c r="A159" s="170"/>
      <c r="B159" s="719"/>
      <c r="C159" s="170" t="str">
        <f t="shared" si="105"/>
        <v>3ea</v>
      </c>
      <c r="D159" s="170"/>
      <c r="E159" s="170"/>
      <c r="F159" s="170">
        <f>+Parameters!D6</f>
        <v>3</v>
      </c>
      <c r="G159" s="170" t="str">
        <f>+Parameters!E6</f>
        <v>foundations - Poles - direct embed</v>
      </c>
      <c r="H159" s="586">
        <f t="shared" si="107"/>
        <v>0</v>
      </c>
      <c r="I159" s="170" t="str">
        <f>+Parameters!F6</f>
        <v>ea</v>
      </c>
      <c r="J159" s="170"/>
      <c r="K159" s="170"/>
      <c r="L159" s="170"/>
      <c r="M159" s="730"/>
      <c r="N159" s="730"/>
      <c r="O159" s="730"/>
      <c r="P159" s="731"/>
      <c r="Q159" s="731"/>
      <c r="R159" s="730"/>
      <c r="S159" s="730"/>
      <c r="T159" s="723"/>
      <c r="U159" s="724"/>
      <c r="V159" s="725"/>
      <c r="W159" s="725"/>
      <c r="X159" s="723"/>
      <c r="Y159" s="723"/>
      <c r="Z159" s="723"/>
      <c r="AA159" s="726"/>
      <c r="AB159" s="726"/>
      <c r="AC159" s="170"/>
      <c r="AD159" s="586">
        <f t="shared" si="108"/>
        <v>0</v>
      </c>
      <c r="AE159" s="586">
        <f t="shared" si="106"/>
        <v>0</v>
      </c>
      <c r="AF159" s="586">
        <f t="shared" si="106"/>
        <v>0</v>
      </c>
      <c r="AG159" s="586">
        <f t="shared" si="106"/>
        <v>0</v>
      </c>
      <c r="AH159" s="586">
        <f t="shared" si="106"/>
        <v>0</v>
      </c>
      <c r="AI159" s="586">
        <f t="shared" si="106"/>
        <v>0</v>
      </c>
      <c r="AJ159" s="586">
        <f t="shared" si="106"/>
        <v>0</v>
      </c>
      <c r="AK159" s="586">
        <f t="shared" si="106"/>
        <v>0</v>
      </c>
      <c r="AL159" s="586">
        <f t="shared" si="106"/>
        <v>0</v>
      </c>
      <c r="AM159" s="586">
        <f t="shared" si="106"/>
        <v>0</v>
      </c>
      <c r="AN159" s="586">
        <f t="shared" si="106"/>
        <v>0</v>
      </c>
      <c r="AO159" s="586">
        <f t="shared" si="106"/>
        <v>0</v>
      </c>
      <c r="AP159" s="586">
        <f t="shared" si="106"/>
        <v>0</v>
      </c>
      <c r="AQ159" s="586">
        <f t="shared" si="106"/>
        <v>0</v>
      </c>
      <c r="AR159" s="586">
        <f t="shared" si="106"/>
        <v>0</v>
      </c>
      <c r="AS159" s="586">
        <f t="shared" si="106"/>
        <v>0</v>
      </c>
      <c r="AT159" s="170"/>
    </row>
    <row r="160" spans="1:46" ht="15" x14ac:dyDescent="0.25">
      <c r="A160" s="170"/>
      <c r="B160" s="719"/>
      <c r="C160" s="170" t="str">
        <f t="shared" si="105"/>
        <v>40</v>
      </c>
      <c r="D160" s="170"/>
      <c r="E160" s="170"/>
      <c r="F160" s="170">
        <f>+Parameters!D7</f>
        <v>4</v>
      </c>
      <c r="G160" s="170" t="str">
        <f>+Parameters!E7</f>
        <v>foundations - Poles - formed conc.</v>
      </c>
      <c r="H160" s="586">
        <f t="shared" si="107"/>
        <v>0</v>
      </c>
      <c r="I160" s="170">
        <f>+Parameters!F7</f>
        <v>0</v>
      </c>
      <c r="J160" s="170"/>
      <c r="K160" s="170"/>
      <c r="L160" s="170"/>
      <c r="M160" s="730"/>
      <c r="N160" s="730"/>
      <c r="O160" s="730"/>
      <c r="P160" s="731"/>
      <c r="Q160" s="731"/>
      <c r="R160" s="730"/>
      <c r="S160" s="730"/>
      <c r="T160" s="723"/>
      <c r="U160" s="724"/>
      <c r="V160" s="725"/>
      <c r="W160" s="725"/>
      <c r="X160" s="723"/>
      <c r="Y160" s="723"/>
      <c r="Z160" s="723"/>
      <c r="AA160" s="726"/>
      <c r="AB160" s="726"/>
      <c r="AC160" s="170"/>
      <c r="AD160" s="586">
        <f t="shared" si="108"/>
        <v>0</v>
      </c>
      <c r="AE160" s="586">
        <f t="shared" si="106"/>
        <v>0</v>
      </c>
      <c r="AF160" s="586">
        <f t="shared" si="106"/>
        <v>0</v>
      </c>
      <c r="AG160" s="586">
        <f t="shared" si="106"/>
        <v>0</v>
      </c>
      <c r="AH160" s="586">
        <f t="shared" si="106"/>
        <v>0</v>
      </c>
      <c r="AI160" s="586">
        <f t="shared" si="106"/>
        <v>0</v>
      </c>
      <c r="AJ160" s="586">
        <f t="shared" si="106"/>
        <v>0</v>
      </c>
      <c r="AK160" s="586">
        <f t="shared" si="106"/>
        <v>0</v>
      </c>
      <c r="AL160" s="586">
        <f t="shared" si="106"/>
        <v>0</v>
      </c>
      <c r="AM160" s="586">
        <f t="shared" si="106"/>
        <v>0</v>
      </c>
      <c r="AN160" s="586">
        <f t="shared" si="106"/>
        <v>0</v>
      </c>
      <c r="AO160" s="586">
        <f t="shared" si="106"/>
        <v>0</v>
      </c>
      <c r="AP160" s="586">
        <f t="shared" si="106"/>
        <v>0</v>
      </c>
      <c r="AQ160" s="586">
        <f t="shared" si="106"/>
        <v>0</v>
      </c>
      <c r="AR160" s="586">
        <f t="shared" si="106"/>
        <v>0</v>
      </c>
      <c r="AS160" s="586">
        <f t="shared" si="106"/>
        <v>0</v>
      </c>
      <c r="AT160" s="170"/>
    </row>
    <row r="161" spans="1:46" ht="15" x14ac:dyDescent="0.25">
      <c r="A161" s="170"/>
      <c r="B161" s="719"/>
      <c r="C161" s="170" t="str">
        <f t="shared" si="105"/>
        <v>5cy</v>
      </c>
      <c r="D161" s="170"/>
      <c r="E161" s="170"/>
      <c r="F161" s="170">
        <f>+Parameters!D8</f>
        <v>5</v>
      </c>
      <c r="G161" s="170" t="str">
        <f>+Parameters!E8</f>
        <v>foundations - station</v>
      </c>
      <c r="H161" s="586">
        <f t="shared" si="107"/>
        <v>0</v>
      </c>
      <c r="I161" s="170" t="str">
        <f>+Parameters!F8</f>
        <v>cy</v>
      </c>
      <c r="J161" s="170"/>
      <c r="K161" s="170"/>
      <c r="L161" s="170"/>
      <c r="M161" s="730"/>
      <c r="N161" s="730"/>
      <c r="O161" s="730"/>
      <c r="P161" s="731"/>
      <c r="Q161" s="731"/>
      <c r="R161" s="730"/>
      <c r="S161" s="730"/>
      <c r="T161" s="723"/>
      <c r="U161" s="724"/>
      <c r="V161" s="725"/>
      <c r="W161" s="725"/>
      <c r="X161" s="723"/>
      <c r="Y161" s="723"/>
      <c r="Z161" s="723"/>
      <c r="AA161" s="726"/>
      <c r="AB161" s="726"/>
      <c r="AC161" s="170"/>
      <c r="AD161" s="586">
        <f t="shared" si="108"/>
        <v>0</v>
      </c>
      <c r="AE161" s="586">
        <f t="shared" si="106"/>
        <v>0</v>
      </c>
      <c r="AF161" s="586">
        <f t="shared" si="106"/>
        <v>0</v>
      </c>
      <c r="AG161" s="586">
        <f t="shared" si="106"/>
        <v>0</v>
      </c>
      <c r="AH161" s="586">
        <f t="shared" si="106"/>
        <v>0</v>
      </c>
      <c r="AI161" s="586">
        <f t="shared" si="106"/>
        <v>0</v>
      </c>
      <c r="AJ161" s="586">
        <f t="shared" si="106"/>
        <v>0</v>
      </c>
      <c r="AK161" s="586">
        <f t="shared" si="106"/>
        <v>0</v>
      </c>
      <c r="AL161" s="586">
        <f t="shared" si="106"/>
        <v>0</v>
      </c>
      <c r="AM161" s="586">
        <f t="shared" si="106"/>
        <v>0</v>
      </c>
      <c r="AN161" s="586">
        <f t="shared" si="106"/>
        <v>0</v>
      </c>
      <c r="AO161" s="586">
        <f t="shared" si="106"/>
        <v>0</v>
      </c>
      <c r="AP161" s="586">
        <f t="shared" si="106"/>
        <v>0</v>
      </c>
      <c r="AQ161" s="586">
        <f t="shared" si="106"/>
        <v>0</v>
      </c>
      <c r="AR161" s="586">
        <f t="shared" si="106"/>
        <v>0</v>
      </c>
      <c r="AS161" s="586">
        <f t="shared" si="106"/>
        <v>0</v>
      </c>
      <c r="AT161" s="170"/>
    </row>
    <row r="162" spans="1:46" ht="15" x14ac:dyDescent="0.25">
      <c r="A162" s="170"/>
      <c r="B162" s="719"/>
      <c r="C162" s="170" t="str">
        <f t="shared" si="105"/>
        <v>6cy</v>
      </c>
      <c r="D162" s="170"/>
      <c r="E162" s="170"/>
      <c r="F162" s="170">
        <f>+Parameters!D9</f>
        <v>6</v>
      </c>
      <c r="G162" s="170" t="str">
        <f>+Parameters!E9</f>
        <v>foundations - buildings</v>
      </c>
      <c r="H162" s="586">
        <f t="shared" si="107"/>
        <v>0</v>
      </c>
      <c r="I162" s="170" t="str">
        <f>+Parameters!F9</f>
        <v>cy</v>
      </c>
      <c r="J162" s="170"/>
      <c r="K162" s="170"/>
      <c r="L162" s="170"/>
      <c r="M162" s="730"/>
      <c r="N162" s="730"/>
      <c r="O162" s="730"/>
      <c r="P162" s="731"/>
      <c r="Q162" s="731"/>
      <c r="R162" s="730"/>
      <c r="S162" s="730"/>
      <c r="T162" s="723"/>
      <c r="U162" s="724"/>
      <c r="V162" s="725"/>
      <c r="W162" s="725"/>
      <c r="X162" s="723"/>
      <c r="Y162" s="723"/>
      <c r="Z162" s="723"/>
      <c r="AA162" s="726"/>
      <c r="AB162" s="726"/>
      <c r="AC162" s="170"/>
      <c r="AD162" s="586">
        <f t="shared" si="108"/>
        <v>0</v>
      </c>
      <c r="AE162" s="586">
        <f t="shared" si="106"/>
        <v>0</v>
      </c>
      <c r="AF162" s="586">
        <f t="shared" si="106"/>
        <v>0</v>
      </c>
      <c r="AG162" s="586">
        <f t="shared" si="106"/>
        <v>0</v>
      </c>
      <c r="AH162" s="586">
        <f t="shared" si="106"/>
        <v>0</v>
      </c>
      <c r="AI162" s="586">
        <f t="shared" si="106"/>
        <v>0</v>
      </c>
      <c r="AJ162" s="586">
        <f t="shared" si="106"/>
        <v>0</v>
      </c>
      <c r="AK162" s="586">
        <f t="shared" si="106"/>
        <v>0</v>
      </c>
      <c r="AL162" s="586">
        <f t="shared" si="106"/>
        <v>0</v>
      </c>
      <c r="AM162" s="586">
        <f t="shared" si="106"/>
        <v>0</v>
      </c>
      <c r="AN162" s="586">
        <f t="shared" si="106"/>
        <v>0</v>
      </c>
      <c r="AO162" s="586">
        <f t="shared" si="106"/>
        <v>0</v>
      </c>
      <c r="AP162" s="586">
        <f t="shared" si="106"/>
        <v>0</v>
      </c>
      <c r="AQ162" s="586">
        <f t="shared" si="106"/>
        <v>0</v>
      </c>
      <c r="AR162" s="586">
        <f t="shared" si="106"/>
        <v>0</v>
      </c>
      <c r="AS162" s="586">
        <f t="shared" si="106"/>
        <v>0</v>
      </c>
      <c r="AT162" s="170"/>
    </row>
    <row r="163" spans="1:46" ht="15" x14ac:dyDescent="0.25">
      <c r="A163" s="170"/>
      <c r="B163" s="719"/>
      <c r="C163" s="170" t="str">
        <f t="shared" si="105"/>
        <v>70</v>
      </c>
      <c r="D163" s="170"/>
      <c r="E163" s="170"/>
      <c r="F163" s="170">
        <f>+Parameters!D10</f>
        <v>7</v>
      </c>
      <c r="G163" s="170" t="str">
        <f>+Parameters!E10</f>
        <v>Piling / Caissons</v>
      </c>
      <c r="H163" s="586">
        <f t="shared" si="107"/>
        <v>0</v>
      </c>
      <c r="I163" s="170">
        <f>+Parameters!F10</f>
        <v>0</v>
      </c>
      <c r="J163" s="170"/>
      <c r="K163" s="170"/>
      <c r="L163" s="170"/>
      <c r="M163" s="730"/>
      <c r="N163" s="730"/>
      <c r="O163" s="730"/>
      <c r="P163" s="731"/>
      <c r="Q163" s="731"/>
      <c r="R163" s="730"/>
      <c r="S163" s="730"/>
      <c r="T163" s="723"/>
      <c r="U163" s="724"/>
      <c r="V163" s="725"/>
      <c r="W163" s="725"/>
      <c r="X163" s="723"/>
      <c r="Y163" s="723"/>
      <c r="Z163" s="723"/>
      <c r="AA163" s="726"/>
      <c r="AB163" s="726"/>
      <c r="AC163" s="170"/>
      <c r="AD163" s="586">
        <f t="shared" si="108"/>
        <v>0</v>
      </c>
      <c r="AE163" s="586">
        <f t="shared" si="106"/>
        <v>0</v>
      </c>
      <c r="AF163" s="586">
        <f t="shared" si="106"/>
        <v>0</v>
      </c>
      <c r="AG163" s="586">
        <f t="shared" si="106"/>
        <v>0</v>
      </c>
      <c r="AH163" s="586">
        <f t="shared" si="106"/>
        <v>0</v>
      </c>
      <c r="AI163" s="586">
        <f t="shared" si="106"/>
        <v>0</v>
      </c>
      <c r="AJ163" s="586">
        <f t="shared" si="106"/>
        <v>0</v>
      </c>
      <c r="AK163" s="586">
        <f t="shared" si="106"/>
        <v>0</v>
      </c>
      <c r="AL163" s="586">
        <f t="shared" si="106"/>
        <v>0</v>
      </c>
      <c r="AM163" s="586">
        <f t="shared" si="106"/>
        <v>0</v>
      </c>
      <c r="AN163" s="586">
        <f t="shared" si="106"/>
        <v>0</v>
      </c>
      <c r="AO163" s="586">
        <f t="shared" si="106"/>
        <v>0</v>
      </c>
      <c r="AP163" s="586">
        <f t="shared" si="106"/>
        <v>0</v>
      </c>
      <c r="AQ163" s="586">
        <f t="shared" si="106"/>
        <v>0</v>
      </c>
      <c r="AR163" s="586">
        <f t="shared" si="106"/>
        <v>0</v>
      </c>
      <c r="AS163" s="586">
        <f t="shared" si="106"/>
        <v>0</v>
      </c>
      <c r="AT163" s="170"/>
    </row>
    <row r="164" spans="1:46" ht="15" x14ac:dyDescent="0.25">
      <c r="A164" s="170"/>
      <c r="B164" s="719"/>
      <c r="C164" s="170" t="str">
        <f t="shared" si="105"/>
        <v>80</v>
      </c>
      <c r="D164" s="170"/>
      <c r="E164" s="170"/>
      <c r="F164" s="170">
        <f>+Parameters!D11</f>
        <v>8</v>
      </c>
      <c r="G164" s="170" t="str">
        <f>+Parameters!E11</f>
        <v>ROW work ( clearing/ Grubbing/ access roads)</v>
      </c>
      <c r="H164" s="586">
        <f t="shared" si="107"/>
        <v>0</v>
      </c>
      <c r="I164" s="170">
        <f>+Parameters!F11</f>
        <v>0</v>
      </c>
      <c r="J164" s="170"/>
      <c r="K164" s="170"/>
      <c r="L164" s="170"/>
      <c r="M164" s="730"/>
      <c r="N164" s="730"/>
      <c r="O164" s="730"/>
      <c r="P164" s="731"/>
      <c r="Q164" s="731"/>
      <c r="R164" s="730"/>
      <c r="S164" s="730"/>
      <c r="T164" s="723"/>
      <c r="U164" s="724"/>
      <c r="V164" s="725"/>
      <c r="W164" s="725"/>
      <c r="X164" s="723"/>
      <c r="Y164" s="723"/>
      <c r="Z164" s="723"/>
      <c r="AA164" s="726"/>
      <c r="AB164" s="726"/>
      <c r="AC164" s="170"/>
      <c r="AD164" s="586">
        <f t="shared" si="108"/>
        <v>0</v>
      </c>
      <c r="AE164" s="586">
        <f t="shared" si="106"/>
        <v>0</v>
      </c>
      <c r="AF164" s="586">
        <f t="shared" si="106"/>
        <v>0</v>
      </c>
      <c r="AG164" s="586">
        <f t="shared" si="106"/>
        <v>0</v>
      </c>
      <c r="AH164" s="586">
        <f t="shared" si="106"/>
        <v>0</v>
      </c>
      <c r="AI164" s="586">
        <f t="shared" si="106"/>
        <v>0</v>
      </c>
      <c r="AJ164" s="586">
        <f t="shared" si="106"/>
        <v>0</v>
      </c>
      <c r="AK164" s="586">
        <f t="shared" si="106"/>
        <v>0</v>
      </c>
      <c r="AL164" s="586">
        <f t="shared" si="106"/>
        <v>0</v>
      </c>
      <c r="AM164" s="586">
        <f t="shared" si="106"/>
        <v>0</v>
      </c>
      <c r="AN164" s="586">
        <f t="shared" si="106"/>
        <v>0</v>
      </c>
      <c r="AO164" s="586">
        <f t="shared" si="106"/>
        <v>0</v>
      </c>
      <c r="AP164" s="586">
        <f t="shared" si="106"/>
        <v>0</v>
      </c>
      <c r="AQ164" s="586">
        <f t="shared" si="106"/>
        <v>0</v>
      </c>
      <c r="AR164" s="586">
        <f t="shared" si="106"/>
        <v>0</v>
      </c>
      <c r="AS164" s="586">
        <f t="shared" si="106"/>
        <v>0</v>
      </c>
      <c r="AT164" s="170"/>
    </row>
    <row r="165" spans="1:46" ht="15" x14ac:dyDescent="0.25">
      <c r="A165" s="170"/>
      <c r="B165" s="719"/>
      <c r="C165" s="170" t="str">
        <f t="shared" si="105"/>
        <v>90</v>
      </c>
      <c r="D165" s="170"/>
      <c r="E165" s="170"/>
      <c r="F165" s="170">
        <f>+Parameters!D12</f>
        <v>9</v>
      </c>
      <c r="G165" s="170" t="str">
        <f>+Parameters!E12</f>
        <v>Mats</v>
      </c>
      <c r="H165" s="586">
        <f t="shared" si="107"/>
        <v>0</v>
      </c>
      <c r="I165" s="170">
        <f>+Parameters!F12</f>
        <v>0</v>
      </c>
      <c r="J165" s="170"/>
      <c r="K165" s="170"/>
      <c r="L165" s="170"/>
      <c r="M165" s="730"/>
      <c r="N165" s="730"/>
      <c r="O165" s="730"/>
      <c r="P165" s="731"/>
      <c r="Q165" s="731"/>
      <c r="R165" s="730"/>
      <c r="S165" s="730"/>
      <c r="T165" s="723"/>
      <c r="U165" s="724"/>
      <c r="V165" s="725"/>
      <c r="W165" s="725"/>
      <c r="X165" s="723"/>
      <c r="Y165" s="723"/>
      <c r="Z165" s="723"/>
      <c r="AA165" s="726"/>
      <c r="AB165" s="726"/>
      <c r="AC165" s="170"/>
      <c r="AD165" s="586">
        <f t="shared" si="108"/>
        <v>0</v>
      </c>
      <c r="AE165" s="586">
        <f t="shared" si="106"/>
        <v>0</v>
      </c>
      <c r="AF165" s="586">
        <f t="shared" si="106"/>
        <v>0</v>
      </c>
      <c r="AG165" s="586">
        <f t="shared" si="106"/>
        <v>0</v>
      </c>
      <c r="AH165" s="586">
        <f t="shared" si="106"/>
        <v>0</v>
      </c>
      <c r="AI165" s="586">
        <f t="shared" si="106"/>
        <v>0</v>
      </c>
      <c r="AJ165" s="586">
        <f t="shared" si="106"/>
        <v>0</v>
      </c>
      <c r="AK165" s="586">
        <f t="shared" si="106"/>
        <v>0</v>
      </c>
      <c r="AL165" s="586">
        <f t="shared" si="106"/>
        <v>0</v>
      </c>
      <c r="AM165" s="586">
        <f t="shared" si="106"/>
        <v>0</v>
      </c>
      <c r="AN165" s="586">
        <f t="shared" si="106"/>
        <v>0</v>
      </c>
      <c r="AO165" s="586">
        <f t="shared" si="106"/>
        <v>0</v>
      </c>
      <c r="AP165" s="586">
        <f t="shared" si="106"/>
        <v>0</v>
      </c>
      <c r="AQ165" s="586">
        <f t="shared" si="106"/>
        <v>0</v>
      </c>
      <c r="AR165" s="586">
        <f t="shared" si="106"/>
        <v>0</v>
      </c>
      <c r="AS165" s="586">
        <f t="shared" si="106"/>
        <v>0</v>
      </c>
      <c r="AT165" s="170"/>
    </row>
    <row r="166" spans="1:46" ht="15" x14ac:dyDescent="0.25">
      <c r="A166" s="170"/>
      <c r="B166" s="719"/>
      <c r="C166" s="170" t="str">
        <f t="shared" si="105"/>
        <v>100</v>
      </c>
      <c r="D166" s="170"/>
      <c r="E166" s="170"/>
      <c r="F166" s="170">
        <f>+Parameters!D13</f>
        <v>10</v>
      </c>
      <c r="G166" s="170" t="str">
        <f>+Parameters!E13</f>
        <v>Crane pads</v>
      </c>
      <c r="H166" s="586">
        <f t="shared" si="107"/>
        <v>0</v>
      </c>
      <c r="I166" s="170">
        <f>+Parameters!F13</f>
        <v>0</v>
      </c>
      <c r="J166" s="170"/>
      <c r="K166" s="170"/>
      <c r="L166" s="170"/>
      <c r="M166" s="730"/>
      <c r="N166" s="730"/>
      <c r="O166" s="730"/>
      <c r="P166" s="731"/>
      <c r="Q166" s="731"/>
      <c r="R166" s="730"/>
      <c r="S166" s="730"/>
      <c r="T166" s="723"/>
      <c r="U166" s="724"/>
      <c r="V166" s="725"/>
      <c r="W166" s="725"/>
      <c r="X166" s="723"/>
      <c r="Y166" s="723"/>
      <c r="Z166" s="723"/>
      <c r="AA166" s="726"/>
      <c r="AB166" s="726"/>
      <c r="AC166" s="170"/>
      <c r="AD166" s="586">
        <f t="shared" si="108"/>
        <v>0</v>
      </c>
      <c r="AE166" s="586">
        <f t="shared" si="106"/>
        <v>0</v>
      </c>
      <c r="AF166" s="586">
        <f t="shared" si="106"/>
        <v>0</v>
      </c>
      <c r="AG166" s="586">
        <f t="shared" si="106"/>
        <v>0</v>
      </c>
      <c r="AH166" s="586">
        <f t="shared" si="106"/>
        <v>0</v>
      </c>
      <c r="AI166" s="586">
        <f t="shared" si="106"/>
        <v>0</v>
      </c>
      <c r="AJ166" s="586">
        <f t="shared" si="106"/>
        <v>0</v>
      </c>
      <c r="AK166" s="586">
        <f t="shared" si="106"/>
        <v>0</v>
      </c>
      <c r="AL166" s="586">
        <f t="shared" si="106"/>
        <v>0</v>
      </c>
      <c r="AM166" s="586">
        <f t="shared" si="106"/>
        <v>0</v>
      </c>
      <c r="AN166" s="586">
        <f t="shared" si="106"/>
        <v>0</v>
      </c>
      <c r="AO166" s="586">
        <f t="shared" si="106"/>
        <v>0</v>
      </c>
      <c r="AP166" s="586">
        <f t="shared" si="106"/>
        <v>0</v>
      </c>
      <c r="AQ166" s="586">
        <f t="shared" si="106"/>
        <v>0</v>
      </c>
      <c r="AR166" s="586">
        <f t="shared" si="106"/>
        <v>0</v>
      </c>
      <c r="AS166" s="586">
        <f t="shared" si="106"/>
        <v>0</v>
      </c>
      <c r="AT166" s="170"/>
    </row>
    <row r="167" spans="1:46" ht="15" x14ac:dyDescent="0.25">
      <c r="A167" s="170"/>
      <c r="B167" s="719"/>
      <c r="C167" s="170" t="str">
        <f t="shared" si="105"/>
        <v>11cy</v>
      </c>
      <c r="D167" s="170"/>
      <c r="E167" s="170"/>
      <c r="F167" s="170">
        <f>+Parameters!D14</f>
        <v>11</v>
      </c>
      <c r="G167" s="170" t="str">
        <f>+Parameters!E14</f>
        <v>Excavation ( incl machine / hand / trench)</v>
      </c>
      <c r="H167" s="586">
        <f t="shared" si="107"/>
        <v>0</v>
      </c>
      <c r="I167" s="170" t="str">
        <f>+Parameters!F14</f>
        <v>cy</v>
      </c>
      <c r="J167" s="170"/>
      <c r="K167" s="170"/>
      <c r="L167" s="170"/>
      <c r="M167" s="730"/>
      <c r="N167" s="730"/>
      <c r="O167" s="730"/>
      <c r="P167" s="731"/>
      <c r="Q167" s="731"/>
      <c r="R167" s="730"/>
      <c r="S167" s="730"/>
      <c r="T167" s="723"/>
      <c r="U167" s="724"/>
      <c r="V167" s="725"/>
      <c r="W167" s="725"/>
      <c r="X167" s="723"/>
      <c r="Y167" s="723"/>
      <c r="Z167" s="723"/>
      <c r="AA167" s="726"/>
      <c r="AB167" s="726"/>
      <c r="AC167" s="170"/>
      <c r="AD167" s="586">
        <f t="shared" si="108"/>
        <v>0</v>
      </c>
      <c r="AE167" s="586">
        <f t="shared" si="106"/>
        <v>0</v>
      </c>
      <c r="AF167" s="586">
        <f t="shared" si="106"/>
        <v>0</v>
      </c>
      <c r="AG167" s="586">
        <f t="shared" si="106"/>
        <v>0</v>
      </c>
      <c r="AH167" s="586">
        <f t="shared" si="106"/>
        <v>0</v>
      </c>
      <c r="AI167" s="586">
        <f t="shared" si="106"/>
        <v>0</v>
      </c>
      <c r="AJ167" s="586">
        <f t="shared" si="106"/>
        <v>0</v>
      </c>
      <c r="AK167" s="586">
        <f t="shared" si="106"/>
        <v>0</v>
      </c>
      <c r="AL167" s="586">
        <f t="shared" si="106"/>
        <v>0</v>
      </c>
      <c r="AM167" s="586">
        <f t="shared" si="106"/>
        <v>0</v>
      </c>
      <c r="AN167" s="586">
        <f t="shared" si="106"/>
        <v>0</v>
      </c>
      <c r="AO167" s="586">
        <f t="shared" si="106"/>
        <v>0</v>
      </c>
      <c r="AP167" s="586">
        <f t="shared" si="106"/>
        <v>0</v>
      </c>
      <c r="AQ167" s="586">
        <f t="shared" si="106"/>
        <v>0</v>
      </c>
      <c r="AR167" s="586">
        <f t="shared" si="106"/>
        <v>0</v>
      </c>
      <c r="AS167" s="586">
        <f t="shared" si="106"/>
        <v>0</v>
      </c>
      <c r="AT167" s="170"/>
    </row>
    <row r="168" spans="1:46" ht="15" x14ac:dyDescent="0.25">
      <c r="A168" s="170"/>
      <c r="B168" s="719"/>
      <c r="C168" s="170" t="str">
        <f t="shared" si="105"/>
        <v>12cy</v>
      </c>
      <c r="D168" s="170"/>
      <c r="E168" s="170"/>
      <c r="F168" s="170">
        <f>+Parameters!D15</f>
        <v>12</v>
      </c>
      <c r="G168" s="170" t="str">
        <f>+Parameters!E15</f>
        <v>Rock Excavation</v>
      </c>
      <c r="H168" s="586">
        <f t="shared" si="107"/>
        <v>0</v>
      </c>
      <c r="I168" s="170" t="str">
        <f>+Parameters!F15</f>
        <v>cy</v>
      </c>
      <c r="J168" s="170"/>
      <c r="K168" s="170"/>
      <c r="L168" s="170"/>
      <c r="M168" s="730"/>
      <c r="N168" s="730"/>
      <c r="O168" s="730"/>
      <c r="P168" s="731"/>
      <c r="Q168" s="731"/>
      <c r="R168" s="730"/>
      <c r="S168" s="730"/>
      <c r="T168" s="723"/>
      <c r="U168" s="724"/>
      <c r="V168" s="725"/>
      <c r="W168" s="725"/>
      <c r="X168" s="723"/>
      <c r="Y168" s="723"/>
      <c r="Z168" s="723"/>
      <c r="AA168" s="726"/>
      <c r="AB168" s="726"/>
      <c r="AC168" s="170"/>
      <c r="AD168" s="586">
        <f t="shared" si="108"/>
        <v>0</v>
      </c>
      <c r="AE168" s="586">
        <f t="shared" si="106"/>
        <v>0</v>
      </c>
      <c r="AF168" s="586">
        <f t="shared" si="106"/>
        <v>0</v>
      </c>
      <c r="AG168" s="586">
        <f t="shared" si="106"/>
        <v>0</v>
      </c>
      <c r="AH168" s="586">
        <f t="shared" si="106"/>
        <v>0</v>
      </c>
      <c r="AI168" s="586">
        <f t="shared" si="106"/>
        <v>0</v>
      </c>
      <c r="AJ168" s="586">
        <f t="shared" si="106"/>
        <v>0</v>
      </c>
      <c r="AK168" s="586">
        <f t="shared" si="106"/>
        <v>0</v>
      </c>
      <c r="AL168" s="586">
        <f t="shared" si="106"/>
        <v>0</v>
      </c>
      <c r="AM168" s="586">
        <f t="shared" si="106"/>
        <v>0</v>
      </c>
      <c r="AN168" s="586">
        <f t="shared" si="106"/>
        <v>0</v>
      </c>
      <c r="AO168" s="586">
        <f t="shared" si="106"/>
        <v>0</v>
      </c>
      <c r="AP168" s="586">
        <f t="shared" si="106"/>
        <v>0</v>
      </c>
      <c r="AQ168" s="586">
        <f t="shared" si="106"/>
        <v>0</v>
      </c>
      <c r="AR168" s="586">
        <f t="shared" si="106"/>
        <v>0</v>
      </c>
      <c r="AS168" s="586">
        <f t="shared" si="106"/>
        <v>0</v>
      </c>
      <c r="AT168" s="170"/>
    </row>
    <row r="169" spans="1:46" ht="15" x14ac:dyDescent="0.25">
      <c r="A169" s="170"/>
      <c r="B169" s="719"/>
      <c r="C169" s="170" t="str">
        <f t="shared" si="105"/>
        <v>13cy</v>
      </c>
      <c r="D169" s="170"/>
      <c r="E169" s="170"/>
      <c r="F169" s="170">
        <f>+Parameters!D16</f>
        <v>13</v>
      </c>
      <c r="G169" s="170" t="str">
        <f>+Parameters!E16</f>
        <v>Soil disposal</v>
      </c>
      <c r="H169" s="586">
        <f t="shared" si="107"/>
        <v>0</v>
      </c>
      <c r="I169" s="170" t="str">
        <f>+Parameters!F16</f>
        <v>cy</v>
      </c>
      <c r="J169" s="170"/>
      <c r="K169" s="170"/>
      <c r="L169" s="170"/>
      <c r="M169" s="730"/>
      <c r="N169" s="730"/>
      <c r="O169" s="730"/>
      <c r="P169" s="731"/>
      <c r="Q169" s="731"/>
      <c r="R169" s="730"/>
      <c r="S169" s="730"/>
      <c r="T169" s="723"/>
      <c r="U169" s="724"/>
      <c r="V169" s="725"/>
      <c r="W169" s="725"/>
      <c r="X169" s="723"/>
      <c r="Y169" s="723"/>
      <c r="Z169" s="723"/>
      <c r="AA169" s="726"/>
      <c r="AB169" s="726"/>
      <c r="AC169" s="170"/>
      <c r="AD169" s="586">
        <f t="shared" si="108"/>
        <v>0</v>
      </c>
      <c r="AE169" s="586">
        <f t="shared" si="106"/>
        <v>0</v>
      </c>
      <c r="AF169" s="586">
        <f t="shared" si="106"/>
        <v>0</v>
      </c>
      <c r="AG169" s="586">
        <f t="shared" si="106"/>
        <v>0</v>
      </c>
      <c r="AH169" s="586">
        <f t="shared" si="106"/>
        <v>0</v>
      </c>
      <c r="AI169" s="586">
        <f t="shared" si="106"/>
        <v>0</v>
      </c>
      <c r="AJ169" s="586">
        <f t="shared" si="106"/>
        <v>0</v>
      </c>
      <c r="AK169" s="586">
        <f t="shared" si="106"/>
        <v>0</v>
      </c>
      <c r="AL169" s="586">
        <f t="shared" si="106"/>
        <v>0</v>
      </c>
      <c r="AM169" s="586">
        <f t="shared" si="106"/>
        <v>0</v>
      </c>
      <c r="AN169" s="586">
        <f t="shared" si="106"/>
        <v>0</v>
      </c>
      <c r="AO169" s="586">
        <f t="shared" si="106"/>
        <v>0</v>
      </c>
      <c r="AP169" s="586">
        <f t="shared" si="106"/>
        <v>0</v>
      </c>
      <c r="AQ169" s="586">
        <f t="shared" si="106"/>
        <v>0</v>
      </c>
      <c r="AR169" s="586">
        <f t="shared" si="106"/>
        <v>0</v>
      </c>
      <c r="AS169" s="586">
        <f t="shared" si="106"/>
        <v>0</v>
      </c>
      <c r="AT169" s="170"/>
    </row>
    <row r="170" spans="1:46" ht="15" x14ac:dyDescent="0.25">
      <c r="A170" s="170"/>
      <c r="B170" s="719"/>
      <c r="C170" s="170" t="str">
        <f t="shared" si="105"/>
        <v>14cy</v>
      </c>
      <c r="D170" s="170"/>
      <c r="E170" s="170"/>
      <c r="F170" s="170">
        <f>+Parameters!D17</f>
        <v>14</v>
      </c>
      <c r="G170" s="170" t="str">
        <f>+Parameters!E17</f>
        <v>Backfill - earth</v>
      </c>
      <c r="H170" s="586">
        <f t="shared" si="107"/>
        <v>0</v>
      </c>
      <c r="I170" s="170" t="str">
        <f>+Parameters!F17</f>
        <v>cy</v>
      </c>
      <c r="J170" s="170"/>
      <c r="K170" s="170"/>
      <c r="L170" s="170"/>
      <c r="M170" s="730"/>
      <c r="N170" s="730"/>
      <c r="O170" s="730"/>
      <c r="P170" s="731"/>
      <c r="Q170" s="731"/>
      <c r="R170" s="730"/>
      <c r="S170" s="730"/>
      <c r="T170" s="723"/>
      <c r="U170" s="724"/>
      <c r="V170" s="725"/>
      <c r="W170" s="725"/>
      <c r="X170" s="723"/>
      <c r="Y170" s="723"/>
      <c r="Z170" s="723"/>
      <c r="AA170" s="726"/>
      <c r="AB170" s="726"/>
      <c r="AC170" s="170"/>
      <c r="AD170" s="586">
        <f t="shared" si="108"/>
        <v>0</v>
      </c>
      <c r="AE170" s="586">
        <f t="shared" si="106"/>
        <v>0</v>
      </c>
      <c r="AF170" s="586">
        <f t="shared" si="106"/>
        <v>0</v>
      </c>
      <c r="AG170" s="586">
        <f t="shared" si="106"/>
        <v>0</v>
      </c>
      <c r="AH170" s="586">
        <f t="shared" si="106"/>
        <v>0</v>
      </c>
      <c r="AI170" s="586">
        <f t="shared" si="106"/>
        <v>0</v>
      </c>
      <c r="AJ170" s="586">
        <f t="shared" si="106"/>
        <v>0</v>
      </c>
      <c r="AK170" s="586">
        <f t="shared" si="106"/>
        <v>0</v>
      </c>
      <c r="AL170" s="586">
        <f t="shared" si="106"/>
        <v>0</v>
      </c>
      <c r="AM170" s="586">
        <f t="shared" si="106"/>
        <v>0</v>
      </c>
      <c r="AN170" s="586">
        <f t="shared" si="106"/>
        <v>0</v>
      </c>
      <c r="AO170" s="586">
        <f t="shared" si="106"/>
        <v>0</v>
      </c>
      <c r="AP170" s="586">
        <f t="shared" si="106"/>
        <v>0</v>
      </c>
      <c r="AQ170" s="586">
        <f t="shared" si="106"/>
        <v>0</v>
      </c>
      <c r="AR170" s="586">
        <f t="shared" si="106"/>
        <v>0</v>
      </c>
      <c r="AS170" s="586">
        <f t="shared" si="106"/>
        <v>0</v>
      </c>
      <c r="AT170" s="170"/>
    </row>
    <row r="171" spans="1:46" ht="15" x14ac:dyDescent="0.25">
      <c r="A171" s="170"/>
      <c r="B171" s="719"/>
      <c r="C171" s="170" t="str">
        <f t="shared" si="105"/>
        <v>15cy</v>
      </c>
      <c r="D171" s="170"/>
      <c r="E171" s="170"/>
      <c r="F171" s="170">
        <f>+Parameters!D18</f>
        <v>15</v>
      </c>
      <c r="G171" s="170" t="str">
        <f>+Parameters!E18</f>
        <v>Backfill- stone ( incl trap rock and surfacing)</v>
      </c>
      <c r="H171" s="586">
        <f t="shared" si="107"/>
        <v>0</v>
      </c>
      <c r="I171" s="170" t="str">
        <f>+Parameters!F18</f>
        <v>cy</v>
      </c>
      <c r="J171" s="170"/>
      <c r="K171" s="170"/>
      <c r="L171" s="170"/>
      <c r="M171" s="730"/>
      <c r="N171" s="730"/>
      <c r="O171" s="730"/>
      <c r="P171" s="731"/>
      <c r="Q171" s="731"/>
      <c r="R171" s="730"/>
      <c r="S171" s="730"/>
      <c r="T171" s="723"/>
      <c r="U171" s="724"/>
      <c r="V171" s="725"/>
      <c r="W171" s="725"/>
      <c r="X171" s="723"/>
      <c r="Y171" s="723"/>
      <c r="Z171" s="723"/>
      <c r="AA171" s="726"/>
      <c r="AB171" s="726"/>
      <c r="AC171" s="170"/>
      <c r="AD171" s="586">
        <f t="shared" si="108"/>
        <v>0</v>
      </c>
      <c r="AE171" s="586">
        <f t="shared" si="106"/>
        <v>0</v>
      </c>
      <c r="AF171" s="586">
        <f t="shared" si="106"/>
        <v>0</v>
      </c>
      <c r="AG171" s="586">
        <f t="shared" si="106"/>
        <v>0</v>
      </c>
      <c r="AH171" s="586">
        <f t="shared" si="106"/>
        <v>0</v>
      </c>
      <c r="AI171" s="586">
        <f t="shared" si="106"/>
        <v>0</v>
      </c>
      <c r="AJ171" s="586">
        <f t="shared" si="106"/>
        <v>0</v>
      </c>
      <c r="AK171" s="586">
        <f t="shared" si="106"/>
        <v>0</v>
      </c>
      <c r="AL171" s="586">
        <f t="shared" si="106"/>
        <v>0</v>
      </c>
      <c r="AM171" s="586">
        <f t="shared" si="106"/>
        <v>0</v>
      </c>
      <c r="AN171" s="586">
        <f t="shared" si="106"/>
        <v>0</v>
      </c>
      <c r="AO171" s="586">
        <f t="shared" si="106"/>
        <v>0</v>
      </c>
      <c r="AP171" s="586">
        <f t="shared" si="106"/>
        <v>0</v>
      </c>
      <c r="AQ171" s="586">
        <f t="shared" si="106"/>
        <v>0</v>
      </c>
      <c r="AR171" s="586">
        <f t="shared" si="106"/>
        <v>0</v>
      </c>
      <c r="AS171" s="586">
        <f t="shared" si="106"/>
        <v>0</v>
      </c>
      <c r="AT171" s="170"/>
    </row>
    <row r="172" spans="1:46" ht="15" x14ac:dyDescent="0.25">
      <c r="A172" s="170"/>
      <c r="B172" s="719"/>
      <c r="C172" s="170" t="str">
        <f t="shared" si="105"/>
        <v>16lf</v>
      </c>
      <c r="D172" s="170"/>
      <c r="E172" s="170"/>
      <c r="F172" s="170">
        <f>+Parameters!D19</f>
        <v>16</v>
      </c>
      <c r="G172" s="170" t="str">
        <f>+Parameters!E19</f>
        <v>Fence / Gates</v>
      </c>
      <c r="H172" s="586">
        <f t="shared" si="107"/>
        <v>0</v>
      </c>
      <c r="I172" s="170" t="str">
        <f>+Parameters!F19</f>
        <v>lf</v>
      </c>
      <c r="J172" s="170"/>
      <c r="K172" s="170"/>
      <c r="L172" s="170"/>
      <c r="M172" s="730"/>
      <c r="N172" s="730"/>
      <c r="O172" s="730"/>
      <c r="P172" s="731"/>
      <c r="Q172" s="731"/>
      <c r="R172" s="730"/>
      <c r="S172" s="730"/>
      <c r="T172" s="723"/>
      <c r="U172" s="724"/>
      <c r="V172" s="725"/>
      <c r="W172" s="725"/>
      <c r="X172" s="723"/>
      <c r="Y172" s="723"/>
      <c r="Z172" s="723"/>
      <c r="AA172" s="726"/>
      <c r="AB172" s="726"/>
      <c r="AC172" s="170"/>
      <c r="AD172" s="586">
        <f t="shared" si="108"/>
        <v>0</v>
      </c>
      <c r="AE172" s="586">
        <f t="shared" si="106"/>
        <v>0</v>
      </c>
      <c r="AF172" s="586">
        <f t="shared" si="106"/>
        <v>0</v>
      </c>
      <c r="AG172" s="586">
        <f t="shared" si="106"/>
        <v>0</v>
      </c>
      <c r="AH172" s="586">
        <f t="shared" si="106"/>
        <v>0</v>
      </c>
      <c r="AI172" s="586">
        <f t="shared" si="106"/>
        <v>0</v>
      </c>
      <c r="AJ172" s="586">
        <f t="shared" si="106"/>
        <v>0</v>
      </c>
      <c r="AK172" s="586">
        <f t="shared" si="106"/>
        <v>0</v>
      </c>
      <c r="AL172" s="586">
        <f t="shared" si="106"/>
        <v>0</v>
      </c>
      <c r="AM172" s="586">
        <f t="shared" si="106"/>
        <v>0</v>
      </c>
      <c r="AN172" s="586">
        <f t="shared" si="106"/>
        <v>0</v>
      </c>
      <c r="AO172" s="586">
        <f t="shared" si="106"/>
        <v>0</v>
      </c>
      <c r="AP172" s="586">
        <f t="shared" si="106"/>
        <v>0</v>
      </c>
      <c r="AQ172" s="586">
        <f t="shared" si="106"/>
        <v>0</v>
      </c>
      <c r="AR172" s="586">
        <f t="shared" si="106"/>
        <v>0</v>
      </c>
      <c r="AS172" s="586">
        <f t="shared" si="106"/>
        <v>0</v>
      </c>
      <c r="AT172" s="170"/>
    </row>
    <row r="173" spans="1:46" ht="15" x14ac:dyDescent="0.25">
      <c r="A173" s="170"/>
      <c r="B173" s="719"/>
      <c r="C173" s="170" t="str">
        <f t="shared" si="105"/>
        <v>17lf</v>
      </c>
      <c r="D173" s="170"/>
      <c r="E173" s="170"/>
      <c r="F173" s="170">
        <f>+Parameters!D20</f>
        <v>17</v>
      </c>
      <c r="G173" s="170" t="str">
        <f>+Parameters!E20</f>
        <v>CIP Fence, Gates, Balistic protection</v>
      </c>
      <c r="H173" s="586">
        <f t="shared" si="107"/>
        <v>0</v>
      </c>
      <c r="I173" s="170" t="str">
        <f>+Parameters!F20</f>
        <v>lf</v>
      </c>
      <c r="J173" s="170"/>
      <c r="K173" s="170"/>
      <c r="L173" s="170"/>
      <c r="M173" s="730"/>
      <c r="N173" s="730"/>
      <c r="O173" s="730"/>
      <c r="P173" s="731"/>
      <c r="Q173" s="731"/>
      <c r="R173" s="730"/>
      <c r="S173" s="730"/>
      <c r="T173" s="723"/>
      <c r="U173" s="724"/>
      <c r="V173" s="725"/>
      <c r="W173" s="725"/>
      <c r="X173" s="723"/>
      <c r="Y173" s="723"/>
      <c r="Z173" s="723"/>
      <c r="AA173" s="726"/>
      <c r="AB173" s="726"/>
      <c r="AC173" s="170"/>
      <c r="AD173" s="586">
        <f t="shared" si="108"/>
        <v>0</v>
      </c>
      <c r="AE173" s="586">
        <f t="shared" si="108"/>
        <v>0</v>
      </c>
      <c r="AF173" s="586">
        <f t="shared" si="108"/>
        <v>0</v>
      </c>
      <c r="AG173" s="586">
        <f t="shared" si="108"/>
        <v>0</v>
      </c>
      <c r="AH173" s="586">
        <f t="shared" si="108"/>
        <v>0</v>
      </c>
      <c r="AI173" s="586">
        <f t="shared" si="108"/>
        <v>0</v>
      </c>
      <c r="AJ173" s="586">
        <f t="shared" si="108"/>
        <v>0</v>
      </c>
      <c r="AK173" s="586">
        <f t="shared" si="108"/>
        <v>0</v>
      </c>
      <c r="AL173" s="586">
        <f t="shared" si="108"/>
        <v>0</v>
      </c>
      <c r="AM173" s="586">
        <f t="shared" si="108"/>
        <v>0</v>
      </c>
      <c r="AN173" s="586">
        <f t="shared" si="108"/>
        <v>0</v>
      </c>
      <c r="AO173" s="586">
        <f t="shared" si="108"/>
        <v>0</v>
      </c>
      <c r="AP173" s="586">
        <f t="shared" si="108"/>
        <v>0</v>
      </c>
      <c r="AQ173" s="586">
        <f t="shared" si="108"/>
        <v>0</v>
      </c>
      <c r="AR173" s="586">
        <f t="shared" si="108"/>
        <v>0</v>
      </c>
      <c r="AS173" s="586">
        <f t="shared" si="108"/>
        <v>0</v>
      </c>
      <c r="AT173" s="170"/>
    </row>
    <row r="174" spans="1:46" ht="15" x14ac:dyDescent="0.25">
      <c r="A174" s="170"/>
      <c r="B174" s="719"/>
      <c r="C174" s="170" t="str">
        <f t="shared" si="105"/>
        <v>180</v>
      </c>
      <c r="D174" s="170"/>
      <c r="E174" s="170"/>
      <c r="F174" s="170">
        <f>+Parameters!D21</f>
        <v>18</v>
      </c>
      <c r="G174" s="170" t="str">
        <f>+Parameters!E21</f>
        <v>Sound walls/ retaining walls</v>
      </c>
      <c r="H174" s="586">
        <f t="shared" si="107"/>
        <v>0</v>
      </c>
      <c r="I174" s="170">
        <f>+Parameters!F21</f>
        <v>0</v>
      </c>
      <c r="J174" s="170"/>
      <c r="K174" s="170"/>
      <c r="L174" s="170"/>
      <c r="M174" s="730"/>
      <c r="N174" s="730"/>
      <c r="O174" s="730"/>
      <c r="P174" s="731"/>
      <c r="Q174" s="731"/>
      <c r="R174" s="730"/>
      <c r="S174" s="730"/>
      <c r="T174" s="723"/>
      <c r="U174" s="724"/>
      <c r="V174" s="725"/>
      <c r="W174" s="725"/>
      <c r="X174" s="723"/>
      <c r="Y174" s="723"/>
      <c r="Z174" s="723"/>
      <c r="AA174" s="726"/>
      <c r="AB174" s="726"/>
      <c r="AC174" s="170"/>
      <c r="AD174" s="586">
        <f t="shared" si="108"/>
        <v>0</v>
      </c>
      <c r="AE174" s="586">
        <f t="shared" si="108"/>
        <v>0</v>
      </c>
      <c r="AF174" s="586">
        <f t="shared" si="108"/>
        <v>0</v>
      </c>
      <c r="AG174" s="586">
        <f t="shared" si="108"/>
        <v>0</v>
      </c>
      <c r="AH174" s="586">
        <f t="shared" si="108"/>
        <v>0</v>
      </c>
      <c r="AI174" s="586">
        <f t="shared" si="108"/>
        <v>0</v>
      </c>
      <c r="AJ174" s="586">
        <f t="shared" si="108"/>
        <v>0</v>
      </c>
      <c r="AK174" s="586">
        <f t="shared" si="108"/>
        <v>0</v>
      </c>
      <c r="AL174" s="586">
        <f t="shared" si="108"/>
        <v>0</v>
      </c>
      <c r="AM174" s="586">
        <f t="shared" si="108"/>
        <v>0</v>
      </c>
      <c r="AN174" s="586">
        <f t="shared" si="108"/>
        <v>0</v>
      </c>
      <c r="AO174" s="586">
        <f t="shared" si="108"/>
        <v>0</v>
      </c>
      <c r="AP174" s="586">
        <f t="shared" si="108"/>
        <v>0</v>
      </c>
      <c r="AQ174" s="586">
        <f t="shared" si="108"/>
        <v>0</v>
      </c>
      <c r="AR174" s="586">
        <f t="shared" si="108"/>
        <v>0</v>
      </c>
      <c r="AS174" s="586">
        <f t="shared" si="108"/>
        <v>0</v>
      </c>
      <c r="AT174" s="170"/>
    </row>
    <row r="175" spans="1:46" ht="15" x14ac:dyDescent="0.25">
      <c r="A175" s="170"/>
      <c r="B175" s="719"/>
      <c r="C175" s="170" t="str">
        <f t="shared" si="105"/>
        <v>190</v>
      </c>
      <c r="D175" s="170"/>
      <c r="E175" s="170"/>
      <c r="F175" s="170">
        <f>+Parameters!D22</f>
        <v>19</v>
      </c>
      <c r="G175" s="170" t="str">
        <f>+Parameters!E22</f>
        <v>Other</v>
      </c>
      <c r="H175" s="586">
        <f t="shared" si="107"/>
        <v>0</v>
      </c>
      <c r="I175" s="170">
        <f>+Parameters!F22</f>
        <v>0</v>
      </c>
      <c r="J175" s="170"/>
      <c r="K175" s="170"/>
      <c r="L175" s="170"/>
      <c r="M175" s="730"/>
      <c r="N175" s="730"/>
      <c r="O175" s="730"/>
      <c r="P175" s="731"/>
      <c r="Q175" s="731"/>
      <c r="R175" s="730"/>
      <c r="S175" s="730"/>
      <c r="T175" s="723"/>
      <c r="U175" s="724"/>
      <c r="V175" s="725"/>
      <c r="W175" s="725"/>
      <c r="X175" s="723"/>
      <c r="Y175" s="723"/>
      <c r="Z175" s="723"/>
      <c r="AA175" s="726"/>
      <c r="AB175" s="726"/>
      <c r="AC175" s="170"/>
      <c r="AD175" s="586">
        <f t="shared" si="108"/>
        <v>0</v>
      </c>
      <c r="AE175" s="586">
        <f t="shared" si="108"/>
        <v>0</v>
      </c>
      <c r="AF175" s="586">
        <f t="shared" si="108"/>
        <v>0</v>
      </c>
      <c r="AG175" s="586">
        <f t="shared" si="108"/>
        <v>0</v>
      </c>
      <c r="AH175" s="586">
        <f t="shared" si="108"/>
        <v>0</v>
      </c>
      <c r="AI175" s="586">
        <f t="shared" si="108"/>
        <v>0</v>
      </c>
      <c r="AJ175" s="586">
        <f t="shared" si="108"/>
        <v>0</v>
      </c>
      <c r="AK175" s="586">
        <f t="shared" si="108"/>
        <v>0</v>
      </c>
      <c r="AL175" s="586">
        <f t="shared" si="108"/>
        <v>0</v>
      </c>
      <c r="AM175" s="586">
        <f t="shared" si="108"/>
        <v>0</v>
      </c>
      <c r="AN175" s="586">
        <f t="shared" si="108"/>
        <v>0</v>
      </c>
      <c r="AO175" s="586">
        <f t="shared" si="108"/>
        <v>0</v>
      </c>
      <c r="AP175" s="586">
        <f t="shared" si="108"/>
        <v>0</v>
      </c>
      <c r="AQ175" s="586">
        <f t="shared" si="108"/>
        <v>0</v>
      </c>
      <c r="AR175" s="586">
        <f t="shared" si="108"/>
        <v>0</v>
      </c>
      <c r="AS175" s="586">
        <f t="shared" si="108"/>
        <v>0</v>
      </c>
      <c r="AT175" s="170"/>
    </row>
    <row r="176" spans="1:46" ht="15" x14ac:dyDescent="0.25">
      <c r="A176" s="170"/>
      <c r="B176" s="719"/>
      <c r="C176" s="170" t="str">
        <f t="shared" si="105"/>
        <v>200</v>
      </c>
      <c r="D176" s="170"/>
      <c r="E176" s="170"/>
      <c r="F176" s="170">
        <f>+Parameters!D23</f>
        <v>20</v>
      </c>
      <c r="G176" s="170" t="str">
        <f>+Parameters!E23</f>
        <v>Trench (Trenwa type)</v>
      </c>
      <c r="H176" s="586">
        <f t="shared" si="107"/>
        <v>0</v>
      </c>
      <c r="I176" s="170">
        <f>+Parameters!F23</f>
        <v>0</v>
      </c>
      <c r="J176" s="170"/>
      <c r="K176" s="170"/>
      <c r="L176" s="170"/>
      <c r="M176" s="730"/>
      <c r="N176" s="730"/>
      <c r="O176" s="730"/>
      <c r="P176" s="731"/>
      <c r="Q176" s="731"/>
      <c r="R176" s="730"/>
      <c r="S176" s="730"/>
      <c r="T176" s="723"/>
      <c r="U176" s="724"/>
      <c r="V176" s="725"/>
      <c r="W176" s="725"/>
      <c r="X176" s="723"/>
      <c r="Y176" s="723"/>
      <c r="Z176" s="723"/>
      <c r="AA176" s="726"/>
      <c r="AB176" s="726"/>
      <c r="AC176" s="170"/>
      <c r="AD176" s="586">
        <f t="shared" si="108"/>
        <v>0</v>
      </c>
      <c r="AE176" s="586">
        <f t="shared" si="108"/>
        <v>0</v>
      </c>
      <c r="AF176" s="586">
        <f t="shared" si="108"/>
        <v>0</v>
      </c>
      <c r="AG176" s="586">
        <f t="shared" si="108"/>
        <v>0</v>
      </c>
      <c r="AH176" s="586">
        <f t="shared" si="108"/>
        <v>0</v>
      </c>
      <c r="AI176" s="586">
        <f t="shared" si="108"/>
        <v>0</v>
      </c>
      <c r="AJ176" s="586">
        <f t="shared" si="108"/>
        <v>0</v>
      </c>
      <c r="AK176" s="586">
        <f t="shared" si="108"/>
        <v>0</v>
      </c>
      <c r="AL176" s="586">
        <f t="shared" si="108"/>
        <v>0</v>
      </c>
      <c r="AM176" s="586">
        <f t="shared" si="108"/>
        <v>0</v>
      </c>
      <c r="AN176" s="586">
        <f t="shared" si="108"/>
        <v>0</v>
      </c>
      <c r="AO176" s="586">
        <f t="shared" si="108"/>
        <v>0</v>
      </c>
      <c r="AP176" s="586">
        <f t="shared" si="108"/>
        <v>0</v>
      </c>
      <c r="AQ176" s="586">
        <f t="shared" si="108"/>
        <v>0</v>
      </c>
      <c r="AR176" s="586">
        <f t="shared" si="108"/>
        <v>0</v>
      </c>
      <c r="AS176" s="586">
        <f t="shared" si="108"/>
        <v>0</v>
      </c>
      <c r="AT176" s="170"/>
    </row>
    <row r="177" spans="1:46" ht="15" x14ac:dyDescent="0.25">
      <c r="A177" s="170"/>
      <c r="B177" s="719"/>
      <c r="C177" s="170" t="str">
        <f t="shared" si="105"/>
        <v>21lf</v>
      </c>
      <c r="D177" s="170"/>
      <c r="E177" s="170"/>
      <c r="F177" s="170">
        <f>+Parameters!D24</f>
        <v>21</v>
      </c>
      <c r="G177" s="170" t="str">
        <f>+Parameters!E24</f>
        <v>Ductbank ( incl conduit)</v>
      </c>
      <c r="H177" s="586">
        <f t="shared" si="107"/>
        <v>0</v>
      </c>
      <c r="I177" s="170" t="str">
        <f>+Parameters!F24</f>
        <v>lf</v>
      </c>
      <c r="J177" s="170"/>
      <c r="K177" s="170"/>
      <c r="L177" s="170"/>
      <c r="M177" s="730"/>
      <c r="N177" s="730"/>
      <c r="O177" s="730"/>
      <c r="P177" s="731"/>
      <c r="Q177" s="731"/>
      <c r="R177" s="730"/>
      <c r="S177" s="730"/>
      <c r="T177" s="723"/>
      <c r="U177" s="724"/>
      <c r="V177" s="725"/>
      <c r="W177" s="725"/>
      <c r="X177" s="723"/>
      <c r="Y177" s="723"/>
      <c r="Z177" s="723"/>
      <c r="AA177" s="726"/>
      <c r="AB177" s="726"/>
      <c r="AC177" s="170"/>
      <c r="AD177" s="586">
        <f t="shared" si="108"/>
        <v>0</v>
      </c>
      <c r="AE177" s="586">
        <f t="shared" si="108"/>
        <v>0</v>
      </c>
      <c r="AF177" s="586">
        <f t="shared" si="108"/>
        <v>0</v>
      </c>
      <c r="AG177" s="586">
        <f t="shared" si="108"/>
        <v>0</v>
      </c>
      <c r="AH177" s="586">
        <f t="shared" si="108"/>
        <v>0</v>
      </c>
      <c r="AI177" s="586">
        <f t="shared" si="108"/>
        <v>0</v>
      </c>
      <c r="AJ177" s="586">
        <f t="shared" si="108"/>
        <v>0</v>
      </c>
      <c r="AK177" s="586">
        <f t="shared" si="108"/>
        <v>0</v>
      </c>
      <c r="AL177" s="586">
        <f t="shared" si="108"/>
        <v>0</v>
      </c>
      <c r="AM177" s="586">
        <f t="shared" si="108"/>
        <v>0</v>
      </c>
      <c r="AN177" s="586">
        <f t="shared" si="108"/>
        <v>0</v>
      </c>
      <c r="AO177" s="586">
        <f t="shared" si="108"/>
        <v>0</v>
      </c>
      <c r="AP177" s="586">
        <f t="shared" si="108"/>
        <v>0</v>
      </c>
      <c r="AQ177" s="586">
        <f t="shared" si="108"/>
        <v>0</v>
      </c>
      <c r="AR177" s="586">
        <f t="shared" si="108"/>
        <v>0</v>
      </c>
      <c r="AS177" s="586">
        <f t="shared" si="108"/>
        <v>0</v>
      </c>
      <c r="AT177" s="170"/>
    </row>
    <row r="178" spans="1:46" ht="15" x14ac:dyDescent="0.25">
      <c r="A178" s="170"/>
      <c r="B178" s="719"/>
      <c r="C178" s="170" t="str">
        <f t="shared" si="105"/>
        <v>22lf</v>
      </c>
      <c r="D178" s="170"/>
      <c r="E178" s="170"/>
      <c r="F178" s="170">
        <f>+Parameters!D25</f>
        <v>22</v>
      </c>
      <c r="G178" s="170" t="str">
        <f>+Parameters!E25</f>
        <v>Conduit - AG</v>
      </c>
      <c r="H178" s="586">
        <f t="shared" si="107"/>
        <v>0</v>
      </c>
      <c r="I178" s="170" t="str">
        <f>+Parameters!F25</f>
        <v>lf</v>
      </c>
      <c r="J178" s="170"/>
      <c r="K178" s="170"/>
      <c r="L178" s="170"/>
      <c r="M178" s="730"/>
      <c r="N178" s="730"/>
      <c r="O178" s="730"/>
      <c r="P178" s="731"/>
      <c r="Q178" s="731"/>
      <c r="R178" s="730"/>
      <c r="S178" s="730"/>
      <c r="T178" s="723"/>
      <c r="U178" s="724"/>
      <c r="V178" s="725"/>
      <c r="W178" s="725"/>
      <c r="X178" s="723"/>
      <c r="Y178" s="723"/>
      <c r="Z178" s="723"/>
      <c r="AA178" s="726"/>
      <c r="AB178" s="726"/>
      <c r="AC178" s="170"/>
      <c r="AD178" s="586">
        <f t="shared" si="108"/>
        <v>0</v>
      </c>
      <c r="AE178" s="586">
        <f t="shared" si="108"/>
        <v>0</v>
      </c>
      <c r="AF178" s="586">
        <f t="shared" si="108"/>
        <v>0</v>
      </c>
      <c r="AG178" s="586">
        <f t="shared" si="108"/>
        <v>0</v>
      </c>
      <c r="AH178" s="586">
        <f t="shared" si="108"/>
        <v>0</v>
      </c>
      <c r="AI178" s="586">
        <f t="shared" si="108"/>
        <v>0</v>
      </c>
      <c r="AJ178" s="586">
        <f t="shared" si="108"/>
        <v>0</v>
      </c>
      <c r="AK178" s="586">
        <f t="shared" si="108"/>
        <v>0</v>
      </c>
      <c r="AL178" s="586">
        <f t="shared" si="108"/>
        <v>0</v>
      </c>
      <c r="AM178" s="586">
        <f t="shared" si="108"/>
        <v>0</v>
      </c>
      <c r="AN178" s="586">
        <f t="shared" si="108"/>
        <v>0</v>
      </c>
      <c r="AO178" s="586">
        <f t="shared" si="108"/>
        <v>0</v>
      </c>
      <c r="AP178" s="586">
        <f t="shared" si="108"/>
        <v>0</v>
      </c>
      <c r="AQ178" s="586">
        <f t="shared" si="108"/>
        <v>0</v>
      </c>
      <c r="AR178" s="586">
        <f t="shared" si="108"/>
        <v>0</v>
      </c>
      <c r="AS178" s="586">
        <f t="shared" si="108"/>
        <v>0</v>
      </c>
      <c r="AT178" s="170"/>
    </row>
    <row r="179" spans="1:46" ht="15" x14ac:dyDescent="0.25">
      <c r="A179" s="170"/>
      <c r="B179" s="719"/>
      <c r="C179" s="170" t="str">
        <f t="shared" si="105"/>
        <v>23lf</v>
      </c>
      <c r="D179" s="170"/>
      <c r="E179" s="170"/>
      <c r="F179" s="170">
        <f>+Parameters!D26</f>
        <v>23</v>
      </c>
      <c r="G179" s="170" t="str">
        <f>+Parameters!E26</f>
        <v>Conduit - UG ( excl ductbank)</v>
      </c>
      <c r="H179" s="586">
        <f t="shared" si="107"/>
        <v>0</v>
      </c>
      <c r="I179" s="170" t="str">
        <f>+Parameters!F26</f>
        <v>lf</v>
      </c>
      <c r="J179" s="170"/>
      <c r="K179" s="170"/>
      <c r="L179" s="170"/>
      <c r="M179" s="730"/>
      <c r="N179" s="730"/>
      <c r="O179" s="730"/>
      <c r="P179" s="731"/>
      <c r="Q179" s="731"/>
      <c r="R179" s="730"/>
      <c r="S179" s="730"/>
      <c r="T179" s="723"/>
      <c r="U179" s="724"/>
      <c r="V179" s="725"/>
      <c r="W179" s="725"/>
      <c r="X179" s="723"/>
      <c r="Y179" s="723"/>
      <c r="Z179" s="723"/>
      <c r="AA179" s="726"/>
      <c r="AB179" s="726"/>
      <c r="AC179" s="170"/>
      <c r="AD179" s="586">
        <f t="shared" si="108"/>
        <v>0</v>
      </c>
      <c r="AE179" s="586">
        <f t="shared" si="108"/>
        <v>0</v>
      </c>
      <c r="AF179" s="586">
        <f t="shared" si="108"/>
        <v>0</v>
      </c>
      <c r="AG179" s="586">
        <f t="shared" si="108"/>
        <v>0</v>
      </c>
      <c r="AH179" s="586">
        <f t="shared" si="108"/>
        <v>0</v>
      </c>
      <c r="AI179" s="586">
        <f t="shared" si="108"/>
        <v>0</v>
      </c>
      <c r="AJ179" s="586">
        <f t="shared" si="108"/>
        <v>0</v>
      </c>
      <c r="AK179" s="586">
        <f t="shared" si="108"/>
        <v>0</v>
      </c>
      <c r="AL179" s="586">
        <f t="shared" si="108"/>
        <v>0</v>
      </c>
      <c r="AM179" s="586">
        <f t="shared" si="108"/>
        <v>0</v>
      </c>
      <c r="AN179" s="586">
        <f t="shared" si="108"/>
        <v>0</v>
      </c>
      <c r="AO179" s="586">
        <f t="shared" si="108"/>
        <v>0</v>
      </c>
      <c r="AP179" s="586">
        <f t="shared" si="108"/>
        <v>0</v>
      </c>
      <c r="AQ179" s="586">
        <f t="shared" si="108"/>
        <v>0</v>
      </c>
      <c r="AR179" s="586">
        <f t="shared" si="108"/>
        <v>0</v>
      </c>
      <c r="AS179" s="586">
        <f t="shared" si="108"/>
        <v>0</v>
      </c>
      <c r="AT179" s="170"/>
    </row>
    <row r="180" spans="1:46" ht="15" x14ac:dyDescent="0.25">
      <c r="A180" s="170"/>
      <c r="B180" s="719"/>
      <c r="C180" s="170" t="str">
        <f t="shared" si="105"/>
        <v>24lf</v>
      </c>
      <c r="D180" s="170"/>
      <c r="E180" s="170"/>
      <c r="F180" s="170">
        <f>+Parameters!D27</f>
        <v>24</v>
      </c>
      <c r="G180" s="170" t="str">
        <f>+Parameters!E27</f>
        <v>Cable tray</v>
      </c>
      <c r="H180" s="586">
        <f t="shared" si="107"/>
        <v>0</v>
      </c>
      <c r="I180" s="170" t="str">
        <f>+Parameters!F27</f>
        <v>lf</v>
      </c>
      <c r="J180" s="170"/>
      <c r="K180" s="170"/>
      <c r="L180" s="170"/>
      <c r="M180" s="730"/>
      <c r="N180" s="730"/>
      <c r="O180" s="730"/>
      <c r="P180" s="731"/>
      <c r="Q180" s="731"/>
      <c r="R180" s="730"/>
      <c r="S180" s="730"/>
      <c r="T180" s="723"/>
      <c r="U180" s="724"/>
      <c r="V180" s="725"/>
      <c r="W180" s="725"/>
      <c r="X180" s="723"/>
      <c r="Y180" s="723"/>
      <c r="Z180" s="723"/>
      <c r="AA180" s="726"/>
      <c r="AB180" s="726"/>
      <c r="AC180" s="170"/>
      <c r="AD180" s="586">
        <f t="shared" si="108"/>
        <v>0</v>
      </c>
      <c r="AE180" s="586">
        <f t="shared" si="108"/>
        <v>0</v>
      </c>
      <c r="AF180" s="586">
        <f t="shared" si="108"/>
        <v>0</v>
      </c>
      <c r="AG180" s="586">
        <f t="shared" si="108"/>
        <v>0</v>
      </c>
      <c r="AH180" s="586">
        <f t="shared" si="108"/>
        <v>0</v>
      </c>
      <c r="AI180" s="586">
        <f t="shared" si="108"/>
        <v>0</v>
      </c>
      <c r="AJ180" s="586">
        <f t="shared" si="108"/>
        <v>0</v>
      </c>
      <c r="AK180" s="586">
        <f t="shared" si="108"/>
        <v>0</v>
      </c>
      <c r="AL180" s="586">
        <f t="shared" si="108"/>
        <v>0</v>
      </c>
      <c r="AM180" s="586">
        <f t="shared" si="108"/>
        <v>0</v>
      </c>
      <c r="AN180" s="586">
        <f t="shared" si="108"/>
        <v>0</v>
      </c>
      <c r="AO180" s="586">
        <f t="shared" si="108"/>
        <v>0</v>
      </c>
      <c r="AP180" s="586">
        <f t="shared" si="108"/>
        <v>0</v>
      </c>
      <c r="AQ180" s="586">
        <f t="shared" si="108"/>
        <v>0</v>
      </c>
      <c r="AR180" s="586">
        <f t="shared" si="108"/>
        <v>0</v>
      </c>
      <c r="AS180" s="586">
        <f t="shared" si="108"/>
        <v>0</v>
      </c>
      <c r="AT180" s="170"/>
    </row>
    <row r="181" spans="1:46" ht="15" x14ac:dyDescent="0.25">
      <c r="A181" s="170"/>
      <c r="B181" s="719"/>
      <c r="C181" s="170" t="str">
        <f t="shared" si="105"/>
        <v>25lf</v>
      </c>
      <c r="D181" s="170"/>
      <c r="E181" s="170"/>
      <c r="F181" s="170">
        <f>+Parameters!D28</f>
        <v>25</v>
      </c>
      <c r="G181" s="170" t="str">
        <f>+Parameters!E28</f>
        <v>Grounding</v>
      </c>
      <c r="H181" s="586">
        <f t="shared" si="107"/>
        <v>0</v>
      </c>
      <c r="I181" s="170" t="str">
        <f>+Parameters!F28</f>
        <v>lf</v>
      </c>
      <c r="J181" s="170"/>
      <c r="K181" s="170"/>
      <c r="L181" s="170"/>
      <c r="M181" s="730"/>
      <c r="N181" s="730"/>
      <c r="O181" s="730"/>
      <c r="P181" s="731"/>
      <c r="Q181" s="731"/>
      <c r="R181" s="730"/>
      <c r="S181" s="730"/>
      <c r="T181" s="723"/>
      <c r="U181" s="724"/>
      <c r="V181" s="725"/>
      <c r="W181" s="725"/>
      <c r="X181" s="723"/>
      <c r="Y181" s="723"/>
      <c r="Z181" s="723"/>
      <c r="AA181" s="726"/>
      <c r="AB181" s="726"/>
      <c r="AC181" s="170"/>
      <c r="AD181" s="586">
        <f t="shared" si="108"/>
        <v>0</v>
      </c>
      <c r="AE181" s="586">
        <f t="shared" si="108"/>
        <v>0</v>
      </c>
      <c r="AF181" s="586">
        <f t="shared" si="108"/>
        <v>0</v>
      </c>
      <c r="AG181" s="586">
        <f t="shared" si="108"/>
        <v>0</v>
      </c>
      <c r="AH181" s="586">
        <f t="shared" si="108"/>
        <v>0</v>
      </c>
      <c r="AI181" s="586">
        <f t="shared" si="108"/>
        <v>0</v>
      </c>
      <c r="AJ181" s="586">
        <f t="shared" si="108"/>
        <v>0</v>
      </c>
      <c r="AK181" s="586">
        <f t="shared" si="108"/>
        <v>0</v>
      </c>
      <c r="AL181" s="586">
        <f t="shared" si="108"/>
        <v>0</v>
      </c>
      <c r="AM181" s="586">
        <f t="shared" si="108"/>
        <v>0</v>
      </c>
      <c r="AN181" s="586">
        <f t="shared" si="108"/>
        <v>0</v>
      </c>
      <c r="AO181" s="586">
        <f t="shared" si="108"/>
        <v>0</v>
      </c>
      <c r="AP181" s="586">
        <f t="shared" si="108"/>
        <v>0</v>
      </c>
      <c r="AQ181" s="586">
        <f t="shared" si="108"/>
        <v>0</v>
      </c>
      <c r="AR181" s="586">
        <f t="shared" si="108"/>
        <v>0</v>
      </c>
      <c r="AS181" s="586">
        <f t="shared" si="108"/>
        <v>0</v>
      </c>
      <c r="AT181" s="170"/>
    </row>
    <row r="182" spans="1:46" ht="15" x14ac:dyDescent="0.25">
      <c r="A182" s="170"/>
      <c r="B182" s="719"/>
      <c r="C182" s="170" t="str">
        <f t="shared" si="105"/>
        <v>260</v>
      </c>
      <c r="D182" s="170"/>
      <c r="E182" s="170"/>
      <c r="F182" s="170">
        <f>+Parameters!D29</f>
        <v>26</v>
      </c>
      <c r="G182" s="170" t="str">
        <f>+Parameters!E29</f>
        <v>Lighting</v>
      </c>
      <c r="H182" s="586">
        <f t="shared" si="107"/>
        <v>0</v>
      </c>
      <c r="I182" s="170">
        <f>+Parameters!F29</f>
        <v>0</v>
      </c>
      <c r="J182" s="170"/>
      <c r="K182" s="170"/>
      <c r="L182" s="170"/>
      <c r="M182" s="730"/>
      <c r="N182" s="730"/>
      <c r="O182" s="730"/>
      <c r="P182" s="731"/>
      <c r="Q182" s="731"/>
      <c r="R182" s="730"/>
      <c r="S182" s="730"/>
      <c r="T182" s="723"/>
      <c r="U182" s="724"/>
      <c r="V182" s="725"/>
      <c r="W182" s="725"/>
      <c r="X182" s="723"/>
      <c r="Y182" s="723"/>
      <c r="Z182" s="723"/>
      <c r="AA182" s="726"/>
      <c r="AB182" s="726"/>
      <c r="AC182" s="170"/>
      <c r="AD182" s="586">
        <f t="shared" si="108"/>
        <v>0</v>
      </c>
      <c r="AE182" s="586">
        <f t="shared" si="108"/>
        <v>0</v>
      </c>
      <c r="AF182" s="586">
        <f t="shared" si="108"/>
        <v>0</v>
      </c>
      <c r="AG182" s="586">
        <f t="shared" si="108"/>
        <v>0</v>
      </c>
      <c r="AH182" s="586">
        <f t="shared" si="108"/>
        <v>0</v>
      </c>
      <c r="AI182" s="586">
        <f t="shared" si="108"/>
        <v>0</v>
      </c>
      <c r="AJ182" s="586">
        <f t="shared" si="108"/>
        <v>0</v>
      </c>
      <c r="AK182" s="586">
        <f t="shared" si="108"/>
        <v>0</v>
      </c>
      <c r="AL182" s="586">
        <f t="shared" si="108"/>
        <v>0</v>
      </c>
      <c r="AM182" s="586">
        <f t="shared" si="108"/>
        <v>0</v>
      </c>
      <c r="AN182" s="586">
        <f t="shared" si="108"/>
        <v>0</v>
      </c>
      <c r="AO182" s="586">
        <f t="shared" si="108"/>
        <v>0</v>
      </c>
      <c r="AP182" s="586">
        <f t="shared" si="108"/>
        <v>0</v>
      </c>
      <c r="AQ182" s="586">
        <f t="shared" si="108"/>
        <v>0</v>
      </c>
      <c r="AR182" s="586">
        <f t="shared" si="108"/>
        <v>0</v>
      </c>
      <c r="AS182" s="586">
        <f t="shared" si="108"/>
        <v>0</v>
      </c>
      <c r="AT182" s="170"/>
    </row>
    <row r="183" spans="1:46" ht="15" x14ac:dyDescent="0.25">
      <c r="A183" s="170"/>
      <c r="B183" s="719"/>
      <c r="C183" s="170" t="str">
        <f t="shared" si="105"/>
        <v>270</v>
      </c>
      <c r="D183" s="170"/>
      <c r="E183" s="170"/>
      <c r="F183" s="170">
        <f>+Parameters!D30</f>
        <v>27</v>
      </c>
      <c r="G183" s="170">
        <f>+Parameters!E30</f>
        <v>0</v>
      </c>
      <c r="H183" s="586">
        <f t="shared" si="107"/>
        <v>0</v>
      </c>
      <c r="I183" s="170">
        <f>+Parameters!F30</f>
        <v>0</v>
      </c>
      <c r="J183" s="170"/>
      <c r="K183" s="170"/>
      <c r="L183" s="170"/>
      <c r="M183" s="730"/>
      <c r="N183" s="730"/>
      <c r="O183" s="730"/>
      <c r="P183" s="731"/>
      <c r="Q183" s="731"/>
      <c r="R183" s="730"/>
      <c r="S183" s="730"/>
      <c r="T183" s="723"/>
      <c r="U183" s="724"/>
      <c r="V183" s="725"/>
      <c r="W183" s="725"/>
      <c r="X183" s="723"/>
      <c r="Y183" s="723"/>
      <c r="Z183" s="723"/>
      <c r="AA183" s="726"/>
      <c r="AB183" s="726"/>
      <c r="AC183" s="170"/>
      <c r="AD183" s="586">
        <f t="shared" si="108"/>
        <v>0</v>
      </c>
      <c r="AE183" s="586">
        <f t="shared" si="108"/>
        <v>0</v>
      </c>
      <c r="AF183" s="586">
        <f t="shared" si="108"/>
        <v>0</v>
      </c>
      <c r="AG183" s="586">
        <f t="shared" si="108"/>
        <v>0</v>
      </c>
      <c r="AH183" s="586">
        <f t="shared" si="108"/>
        <v>0</v>
      </c>
      <c r="AI183" s="586">
        <f t="shared" si="108"/>
        <v>0</v>
      </c>
      <c r="AJ183" s="586">
        <f t="shared" si="108"/>
        <v>0</v>
      </c>
      <c r="AK183" s="586">
        <f t="shared" si="108"/>
        <v>0</v>
      </c>
      <c r="AL183" s="586">
        <f t="shared" si="108"/>
        <v>0</v>
      </c>
      <c r="AM183" s="586">
        <f t="shared" si="108"/>
        <v>0</v>
      </c>
      <c r="AN183" s="586">
        <f t="shared" si="108"/>
        <v>0</v>
      </c>
      <c r="AO183" s="586">
        <f t="shared" si="108"/>
        <v>0</v>
      </c>
      <c r="AP183" s="586">
        <f t="shared" si="108"/>
        <v>0</v>
      </c>
      <c r="AQ183" s="586">
        <f t="shared" si="108"/>
        <v>0</v>
      </c>
      <c r="AR183" s="586">
        <f t="shared" si="108"/>
        <v>0</v>
      </c>
      <c r="AS183" s="586">
        <f t="shared" si="108"/>
        <v>0</v>
      </c>
      <c r="AT183" s="170"/>
    </row>
    <row r="184" spans="1:46" ht="15" x14ac:dyDescent="0.25">
      <c r="A184" s="170"/>
      <c r="B184" s="719"/>
      <c r="C184" s="170" t="str">
        <f t="shared" si="105"/>
        <v>280</v>
      </c>
      <c r="D184" s="170"/>
      <c r="E184" s="170"/>
      <c r="F184" s="170">
        <f>+Parameters!D31</f>
        <v>28</v>
      </c>
      <c r="G184" s="170">
        <f>+Parameters!E31</f>
        <v>0</v>
      </c>
      <c r="H184" s="586">
        <f t="shared" si="107"/>
        <v>0</v>
      </c>
      <c r="I184" s="170">
        <f>+Parameters!F31</f>
        <v>0</v>
      </c>
      <c r="J184" s="170"/>
      <c r="K184" s="170"/>
      <c r="L184" s="170"/>
      <c r="M184" s="730"/>
      <c r="N184" s="730"/>
      <c r="O184" s="730"/>
      <c r="P184" s="731"/>
      <c r="Q184" s="731"/>
      <c r="R184" s="730"/>
      <c r="S184" s="730"/>
      <c r="T184" s="723"/>
      <c r="U184" s="724"/>
      <c r="V184" s="725"/>
      <c r="W184" s="725"/>
      <c r="X184" s="723"/>
      <c r="Y184" s="723"/>
      <c r="Z184" s="723"/>
      <c r="AA184" s="726"/>
      <c r="AB184" s="726"/>
      <c r="AC184" s="170"/>
      <c r="AD184" s="586">
        <f t="shared" si="108"/>
        <v>0</v>
      </c>
      <c r="AE184" s="586">
        <f t="shared" si="108"/>
        <v>0</v>
      </c>
      <c r="AF184" s="586">
        <f t="shared" si="108"/>
        <v>0</v>
      </c>
      <c r="AG184" s="586">
        <f t="shared" si="108"/>
        <v>0</v>
      </c>
      <c r="AH184" s="586">
        <f t="shared" si="108"/>
        <v>0</v>
      </c>
      <c r="AI184" s="586">
        <f t="shared" si="108"/>
        <v>0</v>
      </c>
      <c r="AJ184" s="586">
        <f t="shared" si="108"/>
        <v>0</v>
      </c>
      <c r="AK184" s="586">
        <f t="shared" si="108"/>
        <v>0</v>
      </c>
      <c r="AL184" s="586">
        <f t="shared" si="108"/>
        <v>0</v>
      </c>
      <c r="AM184" s="586">
        <f t="shared" si="108"/>
        <v>0</v>
      </c>
      <c r="AN184" s="586">
        <f t="shared" si="108"/>
        <v>0</v>
      </c>
      <c r="AO184" s="586">
        <f t="shared" si="108"/>
        <v>0</v>
      </c>
      <c r="AP184" s="586">
        <f t="shared" si="108"/>
        <v>0</v>
      </c>
      <c r="AQ184" s="586">
        <f t="shared" si="108"/>
        <v>0</v>
      </c>
      <c r="AR184" s="586">
        <f t="shared" si="108"/>
        <v>0</v>
      </c>
      <c r="AS184" s="586">
        <f t="shared" si="108"/>
        <v>0</v>
      </c>
      <c r="AT184" s="170"/>
    </row>
    <row r="185" spans="1:46" ht="15" x14ac:dyDescent="0.25">
      <c r="A185" s="170"/>
      <c r="B185" s="719"/>
      <c r="C185" s="170" t="str">
        <f t="shared" si="105"/>
        <v>290</v>
      </c>
      <c r="D185" s="170"/>
      <c r="E185" s="170"/>
      <c r="F185" s="170">
        <f>+Parameters!D32</f>
        <v>29</v>
      </c>
      <c r="G185" s="170">
        <f>+Parameters!E32</f>
        <v>0</v>
      </c>
      <c r="H185" s="586">
        <f t="shared" si="107"/>
        <v>0</v>
      </c>
      <c r="I185" s="170">
        <f>+Parameters!F32</f>
        <v>0</v>
      </c>
      <c r="J185" s="170"/>
      <c r="K185" s="170"/>
      <c r="L185" s="170"/>
      <c r="M185" s="730"/>
      <c r="N185" s="730"/>
      <c r="O185" s="730"/>
      <c r="P185" s="731"/>
      <c r="Q185" s="731"/>
      <c r="R185" s="730"/>
      <c r="S185" s="730"/>
      <c r="T185" s="723"/>
      <c r="U185" s="724"/>
      <c r="V185" s="725"/>
      <c r="W185" s="725"/>
      <c r="X185" s="723"/>
      <c r="Y185" s="723"/>
      <c r="Z185" s="723"/>
      <c r="AA185" s="726"/>
      <c r="AB185" s="726"/>
      <c r="AC185" s="170"/>
      <c r="AD185" s="586">
        <f t="shared" si="108"/>
        <v>0</v>
      </c>
      <c r="AE185" s="586">
        <f t="shared" si="108"/>
        <v>0</v>
      </c>
      <c r="AF185" s="586">
        <f t="shared" si="108"/>
        <v>0</v>
      </c>
      <c r="AG185" s="586">
        <f t="shared" si="108"/>
        <v>0</v>
      </c>
      <c r="AH185" s="586">
        <f t="shared" si="108"/>
        <v>0</v>
      </c>
      <c r="AI185" s="586">
        <f t="shared" si="108"/>
        <v>0</v>
      </c>
      <c r="AJ185" s="586">
        <f t="shared" si="108"/>
        <v>0</v>
      </c>
      <c r="AK185" s="586">
        <f t="shared" si="108"/>
        <v>0</v>
      </c>
      <c r="AL185" s="586">
        <f t="shared" si="108"/>
        <v>0</v>
      </c>
      <c r="AM185" s="586">
        <f t="shared" si="108"/>
        <v>0</v>
      </c>
      <c r="AN185" s="586">
        <f t="shared" si="108"/>
        <v>0</v>
      </c>
      <c r="AO185" s="586">
        <f t="shared" si="108"/>
        <v>0</v>
      </c>
      <c r="AP185" s="586">
        <f t="shared" si="108"/>
        <v>0</v>
      </c>
      <c r="AQ185" s="586">
        <f t="shared" si="108"/>
        <v>0</v>
      </c>
      <c r="AR185" s="586">
        <f t="shared" si="108"/>
        <v>0</v>
      </c>
      <c r="AS185" s="586">
        <f t="shared" si="108"/>
        <v>0</v>
      </c>
      <c r="AT185" s="170"/>
    </row>
    <row r="186" spans="1:46" ht="15" x14ac:dyDescent="0.25">
      <c r="A186" s="170"/>
      <c r="B186" s="719"/>
      <c r="C186" s="170" t="str">
        <f t="shared" si="105"/>
        <v>30lf</v>
      </c>
      <c r="D186" s="170"/>
      <c r="E186" s="170"/>
      <c r="F186" s="170">
        <f>+Parameters!D33</f>
        <v>30</v>
      </c>
      <c r="G186" s="170" t="str">
        <f>+Parameters!E33</f>
        <v>Cable - UG - HPFF ( incl terms)</v>
      </c>
      <c r="H186" s="586">
        <f t="shared" si="107"/>
        <v>0</v>
      </c>
      <c r="I186" s="170" t="str">
        <f>+Parameters!F33</f>
        <v>lf</v>
      </c>
      <c r="J186" s="170"/>
      <c r="K186" s="170"/>
      <c r="L186" s="170"/>
      <c r="M186" s="730"/>
      <c r="N186" s="730"/>
      <c r="O186" s="730"/>
      <c r="P186" s="731"/>
      <c r="Q186" s="731"/>
      <c r="R186" s="730"/>
      <c r="S186" s="730"/>
      <c r="T186" s="723"/>
      <c r="U186" s="724"/>
      <c r="V186" s="725"/>
      <c r="W186" s="725"/>
      <c r="X186" s="723"/>
      <c r="Y186" s="723"/>
      <c r="Z186" s="723"/>
      <c r="AA186" s="726"/>
      <c r="AB186" s="726"/>
      <c r="AC186" s="170"/>
      <c r="AD186" s="586">
        <f t="shared" si="108"/>
        <v>0</v>
      </c>
      <c r="AE186" s="586">
        <f t="shared" si="108"/>
        <v>0</v>
      </c>
      <c r="AF186" s="586">
        <f t="shared" si="108"/>
        <v>0</v>
      </c>
      <c r="AG186" s="586">
        <f t="shared" si="108"/>
        <v>0</v>
      </c>
      <c r="AH186" s="586">
        <f t="shared" si="108"/>
        <v>0</v>
      </c>
      <c r="AI186" s="586">
        <f t="shared" si="108"/>
        <v>0</v>
      </c>
      <c r="AJ186" s="586">
        <f t="shared" si="108"/>
        <v>0</v>
      </c>
      <c r="AK186" s="586">
        <f t="shared" si="108"/>
        <v>0</v>
      </c>
      <c r="AL186" s="586">
        <f t="shared" si="108"/>
        <v>0</v>
      </c>
      <c r="AM186" s="586">
        <f t="shared" si="108"/>
        <v>0</v>
      </c>
      <c r="AN186" s="586">
        <f t="shared" si="108"/>
        <v>0</v>
      </c>
      <c r="AO186" s="586">
        <f t="shared" si="108"/>
        <v>0</v>
      </c>
      <c r="AP186" s="586">
        <f t="shared" si="108"/>
        <v>0</v>
      </c>
      <c r="AQ186" s="586">
        <f t="shared" si="108"/>
        <v>0</v>
      </c>
      <c r="AR186" s="586">
        <f t="shared" si="108"/>
        <v>0</v>
      </c>
      <c r="AS186" s="586">
        <f t="shared" si="108"/>
        <v>0</v>
      </c>
      <c r="AT186" s="170"/>
    </row>
    <row r="187" spans="1:46" ht="15" x14ac:dyDescent="0.25">
      <c r="A187" s="170"/>
      <c r="B187" s="719"/>
      <c r="C187" s="170" t="str">
        <f t="shared" si="105"/>
        <v>31lf</v>
      </c>
      <c r="D187" s="170"/>
      <c r="E187" s="170"/>
      <c r="F187" s="170">
        <f>+Parameters!D34</f>
        <v>31</v>
      </c>
      <c r="G187" s="170" t="str">
        <f>+Parameters!E34</f>
        <v>Cable - UG - XLPE ( incl terms)</v>
      </c>
      <c r="H187" s="586">
        <f t="shared" si="107"/>
        <v>0</v>
      </c>
      <c r="I187" s="170" t="str">
        <f>+Parameters!F34</f>
        <v>lf</v>
      </c>
      <c r="J187" s="170"/>
      <c r="K187" s="170"/>
      <c r="L187" s="170"/>
      <c r="M187" s="730"/>
      <c r="N187" s="730"/>
      <c r="O187" s="730"/>
      <c r="P187" s="731"/>
      <c r="Q187" s="731"/>
      <c r="R187" s="730"/>
      <c r="S187" s="730"/>
      <c r="T187" s="723"/>
      <c r="U187" s="724"/>
      <c r="V187" s="725"/>
      <c r="W187" s="725"/>
      <c r="X187" s="723"/>
      <c r="Y187" s="723"/>
      <c r="Z187" s="723"/>
      <c r="AA187" s="726"/>
      <c r="AB187" s="726"/>
      <c r="AC187" s="170"/>
      <c r="AD187" s="586">
        <f t="shared" si="108"/>
        <v>0</v>
      </c>
      <c r="AE187" s="586">
        <f t="shared" si="108"/>
        <v>0</v>
      </c>
      <c r="AF187" s="586">
        <f t="shared" si="108"/>
        <v>0</v>
      </c>
      <c r="AG187" s="586">
        <f t="shared" si="108"/>
        <v>0</v>
      </c>
      <c r="AH187" s="586">
        <f t="shared" si="108"/>
        <v>0</v>
      </c>
      <c r="AI187" s="586">
        <f t="shared" si="108"/>
        <v>0</v>
      </c>
      <c r="AJ187" s="586">
        <f t="shared" si="108"/>
        <v>0</v>
      </c>
      <c r="AK187" s="586">
        <f t="shared" si="108"/>
        <v>0</v>
      </c>
      <c r="AL187" s="586">
        <f t="shared" si="108"/>
        <v>0</v>
      </c>
      <c r="AM187" s="586">
        <f t="shared" si="108"/>
        <v>0</v>
      </c>
      <c r="AN187" s="586">
        <f t="shared" si="108"/>
        <v>0</v>
      </c>
      <c r="AO187" s="586">
        <f t="shared" si="108"/>
        <v>0</v>
      </c>
      <c r="AP187" s="586">
        <f t="shared" si="108"/>
        <v>0</v>
      </c>
      <c r="AQ187" s="586">
        <f t="shared" si="108"/>
        <v>0</v>
      </c>
      <c r="AR187" s="586">
        <f t="shared" si="108"/>
        <v>0</v>
      </c>
      <c r="AS187" s="586">
        <f t="shared" si="108"/>
        <v>0</v>
      </c>
      <c r="AT187" s="170"/>
    </row>
    <row r="188" spans="1:46" ht="15" x14ac:dyDescent="0.25">
      <c r="A188" s="170"/>
      <c r="B188" s="719"/>
      <c r="C188" s="170" t="str">
        <f t="shared" si="105"/>
        <v>32lf</v>
      </c>
      <c r="D188" s="170"/>
      <c r="E188" s="170"/>
      <c r="F188" s="170">
        <f>+Parameters!D35</f>
        <v>32</v>
      </c>
      <c r="G188" s="170" t="str">
        <f>+Parameters!E35</f>
        <v>Cable - AG under 115kv ( incl terms)</v>
      </c>
      <c r="H188" s="586">
        <f t="shared" si="107"/>
        <v>0</v>
      </c>
      <c r="I188" s="170" t="str">
        <f>+Parameters!F35</f>
        <v>lf</v>
      </c>
      <c r="J188" s="170"/>
      <c r="K188" s="170"/>
      <c r="L188" s="170"/>
      <c r="M188" s="730"/>
      <c r="N188" s="730"/>
      <c r="O188" s="730"/>
      <c r="P188" s="731"/>
      <c r="Q188" s="731"/>
      <c r="R188" s="730"/>
      <c r="S188" s="730"/>
      <c r="T188" s="723"/>
      <c r="U188" s="724"/>
      <c r="V188" s="725"/>
      <c r="W188" s="725"/>
      <c r="X188" s="723"/>
      <c r="Y188" s="723"/>
      <c r="Z188" s="723"/>
      <c r="AA188" s="726"/>
      <c r="AB188" s="726"/>
      <c r="AC188" s="170"/>
      <c r="AD188" s="586">
        <f t="shared" ref="AD188:AS203" si="109">SUMIF($F$9:$F$153,$F188,AD$9:AD$153)</f>
        <v>0</v>
      </c>
      <c r="AE188" s="586">
        <f t="shared" si="109"/>
        <v>0</v>
      </c>
      <c r="AF188" s="586">
        <f t="shared" si="109"/>
        <v>0</v>
      </c>
      <c r="AG188" s="586">
        <f t="shared" si="109"/>
        <v>0</v>
      </c>
      <c r="AH188" s="586">
        <f t="shared" si="109"/>
        <v>0</v>
      </c>
      <c r="AI188" s="586">
        <f t="shared" si="109"/>
        <v>0</v>
      </c>
      <c r="AJ188" s="586">
        <f t="shared" si="109"/>
        <v>0</v>
      </c>
      <c r="AK188" s="586">
        <f t="shared" si="109"/>
        <v>0</v>
      </c>
      <c r="AL188" s="586">
        <f t="shared" si="109"/>
        <v>0</v>
      </c>
      <c r="AM188" s="586">
        <f t="shared" si="109"/>
        <v>0</v>
      </c>
      <c r="AN188" s="586">
        <f t="shared" si="109"/>
        <v>0</v>
      </c>
      <c r="AO188" s="586">
        <f t="shared" si="109"/>
        <v>0</v>
      </c>
      <c r="AP188" s="586">
        <f t="shared" si="109"/>
        <v>0</v>
      </c>
      <c r="AQ188" s="586">
        <f t="shared" si="109"/>
        <v>0</v>
      </c>
      <c r="AR188" s="586">
        <f t="shared" si="109"/>
        <v>0</v>
      </c>
      <c r="AS188" s="586">
        <f t="shared" si="109"/>
        <v>0</v>
      </c>
      <c r="AT188" s="170"/>
    </row>
    <row r="189" spans="1:46" ht="15" x14ac:dyDescent="0.25">
      <c r="A189" s="170"/>
      <c r="B189" s="719"/>
      <c r="C189" s="170" t="str">
        <f t="shared" si="105"/>
        <v>33lf</v>
      </c>
      <c r="D189" s="170"/>
      <c r="E189" s="170"/>
      <c r="F189" s="170">
        <f>+Parameters!D36</f>
        <v>33</v>
      </c>
      <c r="G189" s="170" t="str">
        <f>+Parameters!E36</f>
        <v>Cable - AG 115 kv ( incl terms)</v>
      </c>
      <c r="H189" s="586">
        <f t="shared" si="107"/>
        <v>0</v>
      </c>
      <c r="I189" s="170" t="str">
        <f>+Parameters!F36</f>
        <v>lf</v>
      </c>
      <c r="J189" s="170"/>
      <c r="K189" s="170"/>
      <c r="L189" s="170"/>
      <c r="M189" s="730"/>
      <c r="N189" s="730"/>
      <c r="O189" s="730"/>
      <c r="P189" s="731"/>
      <c r="Q189" s="731"/>
      <c r="R189" s="730"/>
      <c r="S189" s="730"/>
      <c r="T189" s="723"/>
      <c r="U189" s="724"/>
      <c r="V189" s="725"/>
      <c r="W189" s="725"/>
      <c r="X189" s="723"/>
      <c r="Y189" s="723"/>
      <c r="Z189" s="723"/>
      <c r="AA189" s="726"/>
      <c r="AB189" s="726"/>
      <c r="AC189" s="170"/>
      <c r="AD189" s="586">
        <f t="shared" si="109"/>
        <v>0</v>
      </c>
      <c r="AE189" s="586">
        <f t="shared" si="109"/>
        <v>0</v>
      </c>
      <c r="AF189" s="586">
        <f t="shared" si="109"/>
        <v>0</v>
      </c>
      <c r="AG189" s="586">
        <f t="shared" si="109"/>
        <v>0</v>
      </c>
      <c r="AH189" s="586">
        <f t="shared" si="109"/>
        <v>0</v>
      </c>
      <c r="AI189" s="586">
        <f t="shared" si="109"/>
        <v>0</v>
      </c>
      <c r="AJ189" s="586">
        <f t="shared" si="109"/>
        <v>0</v>
      </c>
      <c r="AK189" s="586">
        <f t="shared" si="109"/>
        <v>0</v>
      </c>
      <c r="AL189" s="586">
        <f t="shared" si="109"/>
        <v>0</v>
      </c>
      <c r="AM189" s="586">
        <f t="shared" si="109"/>
        <v>0</v>
      </c>
      <c r="AN189" s="586">
        <f t="shared" si="109"/>
        <v>0</v>
      </c>
      <c r="AO189" s="586">
        <f t="shared" si="109"/>
        <v>0</v>
      </c>
      <c r="AP189" s="586">
        <f t="shared" si="109"/>
        <v>0</v>
      </c>
      <c r="AQ189" s="586">
        <f t="shared" si="109"/>
        <v>0</v>
      </c>
      <c r="AR189" s="586">
        <f t="shared" si="109"/>
        <v>0</v>
      </c>
      <c r="AS189" s="586">
        <f t="shared" si="109"/>
        <v>0</v>
      </c>
      <c r="AT189" s="170"/>
    </row>
    <row r="190" spans="1:46" ht="15" x14ac:dyDescent="0.25">
      <c r="A190" s="170"/>
      <c r="B190" s="719"/>
      <c r="C190" s="170" t="str">
        <f t="shared" si="105"/>
        <v>34lf</v>
      </c>
      <c r="D190" s="170"/>
      <c r="E190" s="170"/>
      <c r="F190" s="170">
        <f>+Parameters!D37</f>
        <v>34</v>
      </c>
      <c r="G190" s="170" t="str">
        <f>+Parameters!E37</f>
        <v>Cable - AG 345 kv ( incl terms)</v>
      </c>
      <c r="H190" s="586">
        <f t="shared" si="107"/>
        <v>0</v>
      </c>
      <c r="I190" s="170" t="str">
        <f>+Parameters!F37</f>
        <v>lf</v>
      </c>
      <c r="J190" s="170"/>
      <c r="K190" s="170"/>
      <c r="L190" s="170"/>
      <c r="M190" s="730"/>
      <c r="N190" s="730"/>
      <c r="O190" s="730"/>
      <c r="P190" s="731"/>
      <c r="Q190" s="731"/>
      <c r="R190" s="730"/>
      <c r="S190" s="730"/>
      <c r="T190" s="723"/>
      <c r="U190" s="724"/>
      <c r="V190" s="725"/>
      <c r="W190" s="725"/>
      <c r="X190" s="723"/>
      <c r="Y190" s="723"/>
      <c r="Z190" s="723"/>
      <c r="AA190" s="726"/>
      <c r="AB190" s="726"/>
      <c r="AC190" s="170"/>
      <c r="AD190" s="586">
        <f t="shared" si="109"/>
        <v>0</v>
      </c>
      <c r="AE190" s="586">
        <f t="shared" si="109"/>
        <v>0</v>
      </c>
      <c r="AF190" s="586">
        <f t="shared" si="109"/>
        <v>0</v>
      </c>
      <c r="AG190" s="586">
        <f t="shared" si="109"/>
        <v>0</v>
      </c>
      <c r="AH190" s="586">
        <f t="shared" si="109"/>
        <v>0</v>
      </c>
      <c r="AI190" s="586">
        <f t="shared" si="109"/>
        <v>0</v>
      </c>
      <c r="AJ190" s="586">
        <f t="shared" si="109"/>
        <v>0</v>
      </c>
      <c r="AK190" s="586">
        <f t="shared" si="109"/>
        <v>0</v>
      </c>
      <c r="AL190" s="586">
        <f t="shared" si="109"/>
        <v>0</v>
      </c>
      <c r="AM190" s="586">
        <f t="shared" si="109"/>
        <v>0</v>
      </c>
      <c r="AN190" s="586">
        <f t="shared" si="109"/>
        <v>0</v>
      </c>
      <c r="AO190" s="586">
        <f t="shared" si="109"/>
        <v>0</v>
      </c>
      <c r="AP190" s="586">
        <f t="shared" si="109"/>
        <v>0</v>
      </c>
      <c r="AQ190" s="586">
        <f t="shared" si="109"/>
        <v>0</v>
      </c>
      <c r="AR190" s="586">
        <f t="shared" si="109"/>
        <v>0</v>
      </c>
      <c r="AS190" s="586">
        <f t="shared" si="109"/>
        <v>0</v>
      </c>
      <c r="AT190" s="170"/>
    </row>
    <row r="191" spans="1:46" ht="15" x14ac:dyDescent="0.25">
      <c r="A191" s="170"/>
      <c r="B191" s="719"/>
      <c r="C191" s="170" t="str">
        <f t="shared" si="105"/>
        <v>35lf</v>
      </c>
      <c r="D191" s="170"/>
      <c r="E191" s="170"/>
      <c r="F191" s="170">
        <f>+Parameters!D38</f>
        <v>35</v>
      </c>
      <c r="G191" s="170" t="str">
        <f>+Parameters!E38</f>
        <v>Cable - OPGW / Shield ( incl terms)</v>
      </c>
      <c r="H191" s="586">
        <f t="shared" si="107"/>
        <v>0</v>
      </c>
      <c r="I191" s="170" t="str">
        <f>+Parameters!F38</f>
        <v>lf</v>
      </c>
      <c r="J191" s="170"/>
      <c r="K191" s="170"/>
      <c r="L191" s="170"/>
      <c r="M191" s="730"/>
      <c r="N191" s="730"/>
      <c r="O191" s="730"/>
      <c r="P191" s="731"/>
      <c r="Q191" s="731"/>
      <c r="R191" s="730"/>
      <c r="S191" s="730"/>
      <c r="T191" s="723"/>
      <c r="U191" s="724"/>
      <c r="V191" s="725"/>
      <c r="W191" s="725"/>
      <c r="X191" s="723"/>
      <c r="Y191" s="723"/>
      <c r="Z191" s="723"/>
      <c r="AA191" s="726"/>
      <c r="AB191" s="726"/>
      <c r="AC191" s="170"/>
      <c r="AD191" s="586">
        <f t="shared" si="109"/>
        <v>0</v>
      </c>
      <c r="AE191" s="586">
        <f t="shared" si="109"/>
        <v>0</v>
      </c>
      <c r="AF191" s="586">
        <f t="shared" si="109"/>
        <v>0</v>
      </c>
      <c r="AG191" s="586">
        <f t="shared" si="109"/>
        <v>0</v>
      </c>
      <c r="AH191" s="586">
        <f t="shared" si="109"/>
        <v>0</v>
      </c>
      <c r="AI191" s="586">
        <f t="shared" si="109"/>
        <v>0</v>
      </c>
      <c r="AJ191" s="586">
        <f t="shared" si="109"/>
        <v>0</v>
      </c>
      <c r="AK191" s="586">
        <f t="shared" si="109"/>
        <v>0</v>
      </c>
      <c r="AL191" s="586">
        <f t="shared" si="109"/>
        <v>0</v>
      </c>
      <c r="AM191" s="586">
        <f t="shared" si="109"/>
        <v>0</v>
      </c>
      <c r="AN191" s="586">
        <f t="shared" si="109"/>
        <v>0</v>
      </c>
      <c r="AO191" s="586">
        <f t="shared" si="109"/>
        <v>0</v>
      </c>
      <c r="AP191" s="586">
        <f t="shared" si="109"/>
        <v>0</v>
      </c>
      <c r="AQ191" s="586">
        <f t="shared" si="109"/>
        <v>0</v>
      </c>
      <c r="AR191" s="586">
        <f t="shared" si="109"/>
        <v>0</v>
      </c>
      <c r="AS191" s="586">
        <f t="shared" si="109"/>
        <v>0</v>
      </c>
      <c r="AT191" s="170"/>
    </row>
    <row r="192" spans="1:46" ht="15" x14ac:dyDescent="0.25">
      <c r="A192" s="170"/>
      <c r="B192" s="719"/>
      <c r="C192" s="170" t="str">
        <f t="shared" si="105"/>
        <v>36lf</v>
      </c>
      <c r="D192" s="170"/>
      <c r="E192" s="170"/>
      <c r="F192" s="170">
        <f>+Parameters!D39</f>
        <v>36</v>
      </c>
      <c r="G192" s="170" t="str">
        <f>+Parameters!E39</f>
        <v>Cable - Control ( incl terms)</v>
      </c>
      <c r="H192" s="586">
        <f t="shared" si="107"/>
        <v>0</v>
      </c>
      <c r="I192" s="170" t="str">
        <f>+Parameters!F39</f>
        <v>lf</v>
      </c>
      <c r="J192" s="170"/>
      <c r="K192" s="170"/>
      <c r="L192" s="170"/>
      <c r="M192" s="730"/>
      <c r="N192" s="730"/>
      <c r="O192" s="730"/>
      <c r="P192" s="731"/>
      <c r="Q192" s="731"/>
      <c r="R192" s="730"/>
      <c r="S192" s="730"/>
      <c r="T192" s="723"/>
      <c r="U192" s="724"/>
      <c r="V192" s="725"/>
      <c r="W192" s="725"/>
      <c r="X192" s="723"/>
      <c r="Y192" s="723"/>
      <c r="Z192" s="723"/>
      <c r="AA192" s="726"/>
      <c r="AB192" s="726"/>
      <c r="AC192" s="170"/>
      <c r="AD192" s="586">
        <f t="shared" si="109"/>
        <v>0</v>
      </c>
      <c r="AE192" s="586">
        <f t="shared" si="109"/>
        <v>0</v>
      </c>
      <c r="AF192" s="586">
        <f t="shared" si="109"/>
        <v>0</v>
      </c>
      <c r="AG192" s="586">
        <f t="shared" si="109"/>
        <v>0</v>
      </c>
      <c r="AH192" s="586">
        <f t="shared" si="109"/>
        <v>0</v>
      </c>
      <c r="AI192" s="586">
        <f t="shared" si="109"/>
        <v>0</v>
      </c>
      <c r="AJ192" s="586">
        <f t="shared" si="109"/>
        <v>0</v>
      </c>
      <c r="AK192" s="586">
        <f t="shared" si="109"/>
        <v>0</v>
      </c>
      <c r="AL192" s="586">
        <f t="shared" si="109"/>
        <v>0</v>
      </c>
      <c r="AM192" s="586">
        <f t="shared" si="109"/>
        <v>0</v>
      </c>
      <c r="AN192" s="586">
        <f t="shared" si="109"/>
        <v>0</v>
      </c>
      <c r="AO192" s="586">
        <f t="shared" si="109"/>
        <v>0</v>
      </c>
      <c r="AP192" s="586">
        <f t="shared" si="109"/>
        <v>0</v>
      </c>
      <c r="AQ192" s="586">
        <f t="shared" si="109"/>
        <v>0</v>
      </c>
      <c r="AR192" s="586">
        <f t="shared" si="109"/>
        <v>0</v>
      </c>
      <c r="AS192" s="586">
        <f t="shared" si="109"/>
        <v>0</v>
      </c>
      <c r="AT192" s="170"/>
    </row>
    <row r="193" spans="1:46" ht="15" x14ac:dyDescent="0.25">
      <c r="A193" s="170"/>
      <c r="B193" s="719"/>
      <c r="C193" s="170" t="str">
        <f t="shared" si="105"/>
        <v>37lf</v>
      </c>
      <c r="D193" s="170"/>
      <c r="E193" s="170"/>
      <c r="F193" s="170">
        <f>+Parameters!D40</f>
        <v>37</v>
      </c>
      <c r="G193" s="170" t="str">
        <f>+Parameters!E40</f>
        <v>Cable - Communication / Oher ( incl terms)</v>
      </c>
      <c r="H193" s="586">
        <f t="shared" si="107"/>
        <v>0</v>
      </c>
      <c r="I193" s="170" t="str">
        <f>+Parameters!F40</f>
        <v>lf</v>
      </c>
      <c r="J193" s="170"/>
      <c r="K193" s="170"/>
      <c r="L193" s="170"/>
      <c r="M193" s="730"/>
      <c r="N193" s="730"/>
      <c r="O193" s="730"/>
      <c r="P193" s="731"/>
      <c r="Q193" s="731"/>
      <c r="R193" s="730"/>
      <c r="S193" s="730"/>
      <c r="T193" s="723"/>
      <c r="U193" s="724"/>
      <c r="V193" s="725"/>
      <c r="W193" s="725"/>
      <c r="X193" s="723"/>
      <c r="Y193" s="723"/>
      <c r="Z193" s="723"/>
      <c r="AA193" s="726"/>
      <c r="AB193" s="726"/>
      <c r="AC193" s="170"/>
      <c r="AD193" s="586">
        <f t="shared" si="109"/>
        <v>0</v>
      </c>
      <c r="AE193" s="586">
        <f t="shared" si="109"/>
        <v>0</v>
      </c>
      <c r="AF193" s="586">
        <f t="shared" si="109"/>
        <v>0</v>
      </c>
      <c r="AG193" s="586">
        <f t="shared" si="109"/>
        <v>0</v>
      </c>
      <c r="AH193" s="586">
        <f t="shared" si="109"/>
        <v>0</v>
      </c>
      <c r="AI193" s="586">
        <f t="shared" si="109"/>
        <v>0</v>
      </c>
      <c r="AJ193" s="586">
        <f t="shared" si="109"/>
        <v>0</v>
      </c>
      <c r="AK193" s="586">
        <f t="shared" si="109"/>
        <v>0</v>
      </c>
      <c r="AL193" s="586">
        <f t="shared" si="109"/>
        <v>0</v>
      </c>
      <c r="AM193" s="586">
        <f t="shared" si="109"/>
        <v>0</v>
      </c>
      <c r="AN193" s="586">
        <f t="shared" si="109"/>
        <v>0</v>
      </c>
      <c r="AO193" s="586">
        <f t="shared" si="109"/>
        <v>0</v>
      </c>
      <c r="AP193" s="586">
        <f t="shared" si="109"/>
        <v>0</v>
      </c>
      <c r="AQ193" s="586">
        <f t="shared" si="109"/>
        <v>0</v>
      </c>
      <c r="AR193" s="586">
        <f t="shared" si="109"/>
        <v>0</v>
      </c>
      <c r="AS193" s="586">
        <f t="shared" si="109"/>
        <v>0</v>
      </c>
      <c r="AT193" s="170"/>
    </row>
    <row r="194" spans="1:46" ht="15" x14ac:dyDescent="0.25">
      <c r="A194" s="170"/>
      <c r="B194" s="719"/>
      <c r="C194" s="170" t="str">
        <f t="shared" si="105"/>
        <v>38lf</v>
      </c>
      <c r="D194" s="170"/>
      <c r="E194" s="170"/>
      <c r="F194" s="170">
        <f>+Parameters!D41</f>
        <v>38</v>
      </c>
      <c r="G194" s="170" t="str">
        <f>+Parameters!E41</f>
        <v>Cable - Power ( incl terms)</v>
      </c>
      <c r="H194" s="586">
        <f t="shared" si="107"/>
        <v>0</v>
      </c>
      <c r="I194" s="170" t="str">
        <f>+Parameters!F41</f>
        <v>lf</v>
      </c>
      <c r="J194" s="170"/>
      <c r="K194" s="170"/>
      <c r="L194" s="170"/>
      <c r="M194" s="730"/>
      <c r="N194" s="730"/>
      <c r="O194" s="730"/>
      <c r="P194" s="731"/>
      <c r="Q194" s="731"/>
      <c r="R194" s="730"/>
      <c r="S194" s="730"/>
      <c r="T194" s="723"/>
      <c r="U194" s="724"/>
      <c r="V194" s="725"/>
      <c r="W194" s="725"/>
      <c r="X194" s="723"/>
      <c r="Y194" s="723"/>
      <c r="Z194" s="723"/>
      <c r="AA194" s="726"/>
      <c r="AB194" s="726"/>
      <c r="AC194" s="170"/>
      <c r="AD194" s="586">
        <f t="shared" si="109"/>
        <v>0</v>
      </c>
      <c r="AE194" s="586">
        <f t="shared" si="109"/>
        <v>0</v>
      </c>
      <c r="AF194" s="586">
        <f t="shared" si="109"/>
        <v>0</v>
      </c>
      <c r="AG194" s="586">
        <f t="shared" si="109"/>
        <v>0</v>
      </c>
      <c r="AH194" s="586">
        <f t="shared" si="109"/>
        <v>0</v>
      </c>
      <c r="AI194" s="586">
        <f t="shared" si="109"/>
        <v>0</v>
      </c>
      <c r="AJ194" s="586">
        <f t="shared" si="109"/>
        <v>0</v>
      </c>
      <c r="AK194" s="586">
        <f t="shared" si="109"/>
        <v>0</v>
      </c>
      <c r="AL194" s="586">
        <f t="shared" si="109"/>
        <v>0</v>
      </c>
      <c r="AM194" s="586">
        <f t="shared" si="109"/>
        <v>0</v>
      </c>
      <c r="AN194" s="586">
        <f t="shared" si="109"/>
        <v>0</v>
      </c>
      <c r="AO194" s="586">
        <f t="shared" si="109"/>
        <v>0</v>
      </c>
      <c r="AP194" s="586">
        <f t="shared" si="109"/>
        <v>0</v>
      </c>
      <c r="AQ194" s="586">
        <f t="shared" si="109"/>
        <v>0</v>
      </c>
      <c r="AR194" s="586">
        <f t="shared" si="109"/>
        <v>0</v>
      </c>
      <c r="AS194" s="586">
        <f t="shared" si="109"/>
        <v>0</v>
      </c>
      <c r="AT194" s="170"/>
    </row>
    <row r="195" spans="1:46" ht="15" x14ac:dyDescent="0.25">
      <c r="A195" s="170"/>
      <c r="B195" s="719"/>
      <c r="C195" s="170" t="str">
        <f t="shared" si="105"/>
        <v>39lf</v>
      </c>
      <c r="D195" s="170"/>
      <c r="E195" s="170"/>
      <c r="F195" s="170">
        <f>+Parameters!D42</f>
        <v>39</v>
      </c>
      <c r="G195" s="170" t="str">
        <f>+Parameters!E42</f>
        <v>Cable - Other</v>
      </c>
      <c r="H195" s="586">
        <f t="shared" si="107"/>
        <v>0</v>
      </c>
      <c r="I195" s="170" t="str">
        <f>+Parameters!F42</f>
        <v>lf</v>
      </c>
      <c r="J195" s="170"/>
      <c r="K195" s="170"/>
      <c r="L195" s="170"/>
      <c r="M195" s="730"/>
      <c r="N195" s="730"/>
      <c r="O195" s="730"/>
      <c r="P195" s="731"/>
      <c r="Q195" s="731"/>
      <c r="R195" s="730"/>
      <c r="S195" s="730"/>
      <c r="T195" s="723"/>
      <c r="U195" s="724"/>
      <c r="V195" s="725"/>
      <c r="W195" s="725"/>
      <c r="X195" s="723"/>
      <c r="Y195" s="723"/>
      <c r="Z195" s="723"/>
      <c r="AA195" s="726"/>
      <c r="AB195" s="726"/>
      <c r="AC195" s="170"/>
      <c r="AD195" s="586">
        <f t="shared" si="109"/>
        <v>0</v>
      </c>
      <c r="AE195" s="586">
        <f t="shared" si="109"/>
        <v>0</v>
      </c>
      <c r="AF195" s="586">
        <f t="shared" si="109"/>
        <v>0</v>
      </c>
      <c r="AG195" s="586">
        <f t="shared" si="109"/>
        <v>0</v>
      </c>
      <c r="AH195" s="586">
        <f t="shared" si="109"/>
        <v>0</v>
      </c>
      <c r="AI195" s="586">
        <f t="shared" si="109"/>
        <v>0</v>
      </c>
      <c r="AJ195" s="586">
        <f t="shared" si="109"/>
        <v>0</v>
      </c>
      <c r="AK195" s="586">
        <f t="shared" si="109"/>
        <v>0</v>
      </c>
      <c r="AL195" s="586">
        <f t="shared" si="109"/>
        <v>0</v>
      </c>
      <c r="AM195" s="586">
        <f t="shared" si="109"/>
        <v>0</v>
      </c>
      <c r="AN195" s="586">
        <f t="shared" si="109"/>
        <v>0</v>
      </c>
      <c r="AO195" s="586">
        <f t="shared" si="109"/>
        <v>0</v>
      </c>
      <c r="AP195" s="586">
        <f t="shared" si="109"/>
        <v>0</v>
      </c>
      <c r="AQ195" s="586">
        <f t="shared" si="109"/>
        <v>0</v>
      </c>
      <c r="AR195" s="586">
        <f t="shared" si="109"/>
        <v>0</v>
      </c>
      <c r="AS195" s="586">
        <f t="shared" si="109"/>
        <v>0</v>
      </c>
      <c r="AT195" s="170"/>
    </row>
    <row r="196" spans="1:46" ht="15" x14ac:dyDescent="0.25">
      <c r="A196" s="170"/>
      <c r="B196" s="719"/>
      <c r="C196" s="170" t="str">
        <f t="shared" si="105"/>
        <v>400</v>
      </c>
      <c r="D196" s="170"/>
      <c r="E196" s="170"/>
      <c r="F196" s="170">
        <f>+Parameters!D43</f>
        <v>40</v>
      </c>
      <c r="G196" s="170" t="str">
        <f>+Parameters!E43</f>
        <v>Structures - buildings</v>
      </c>
      <c r="H196" s="586">
        <f t="shared" si="107"/>
        <v>0</v>
      </c>
      <c r="I196" s="170">
        <f>+Parameters!F43</f>
        <v>0</v>
      </c>
      <c r="J196" s="170"/>
      <c r="K196" s="170"/>
      <c r="L196" s="170"/>
      <c r="M196" s="730"/>
      <c r="N196" s="730"/>
      <c r="O196" s="730"/>
      <c r="P196" s="731"/>
      <c r="Q196" s="731"/>
      <c r="R196" s="730"/>
      <c r="S196" s="730"/>
      <c r="T196" s="723"/>
      <c r="U196" s="724"/>
      <c r="V196" s="725"/>
      <c r="W196" s="725"/>
      <c r="X196" s="723"/>
      <c r="Y196" s="723"/>
      <c r="Z196" s="723"/>
      <c r="AA196" s="726"/>
      <c r="AB196" s="726"/>
      <c r="AC196" s="170"/>
      <c r="AD196" s="586">
        <f t="shared" si="109"/>
        <v>0</v>
      </c>
      <c r="AE196" s="586">
        <f t="shared" si="109"/>
        <v>0</v>
      </c>
      <c r="AF196" s="586">
        <f t="shared" si="109"/>
        <v>0</v>
      </c>
      <c r="AG196" s="586">
        <f t="shared" si="109"/>
        <v>0</v>
      </c>
      <c r="AH196" s="586">
        <f t="shared" si="109"/>
        <v>0</v>
      </c>
      <c r="AI196" s="586">
        <f t="shared" si="109"/>
        <v>0</v>
      </c>
      <c r="AJ196" s="586">
        <f t="shared" si="109"/>
        <v>0</v>
      </c>
      <c r="AK196" s="586">
        <f t="shared" si="109"/>
        <v>0</v>
      </c>
      <c r="AL196" s="586">
        <f t="shared" si="109"/>
        <v>0</v>
      </c>
      <c r="AM196" s="586">
        <f t="shared" si="109"/>
        <v>0</v>
      </c>
      <c r="AN196" s="586">
        <f t="shared" si="109"/>
        <v>0</v>
      </c>
      <c r="AO196" s="586">
        <f t="shared" si="109"/>
        <v>0</v>
      </c>
      <c r="AP196" s="586">
        <f t="shared" si="109"/>
        <v>0</v>
      </c>
      <c r="AQ196" s="586">
        <f t="shared" si="109"/>
        <v>0</v>
      </c>
      <c r="AR196" s="586">
        <f t="shared" si="109"/>
        <v>0</v>
      </c>
      <c r="AS196" s="586">
        <f t="shared" si="109"/>
        <v>0</v>
      </c>
      <c r="AT196" s="170"/>
    </row>
    <row r="197" spans="1:46" ht="15" x14ac:dyDescent="0.25">
      <c r="A197" s="170"/>
      <c r="B197" s="719"/>
      <c r="C197" s="170" t="str">
        <f t="shared" si="105"/>
        <v>41ea</v>
      </c>
      <c r="D197" s="170"/>
      <c r="E197" s="170"/>
      <c r="F197" s="170">
        <f>+Parameters!D44</f>
        <v>41</v>
      </c>
      <c r="G197" s="170" t="str">
        <f>+Parameters!E44</f>
        <v>Structures - Poles - monopoles</v>
      </c>
      <c r="H197" s="586">
        <f t="shared" si="107"/>
        <v>0</v>
      </c>
      <c r="I197" s="170" t="str">
        <f>+Parameters!F44</f>
        <v>ea</v>
      </c>
      <c r="J197" s="170"/>
      <c r="K197" s="170"/>
      <c r="L197" s="170"/>
      <c r="M197" s="730"/>
      <c r="N197" s="730"/>
      <c r="O197" s="730"/>
      <c r="P197" s="731"/>
      <c r="Q197" s="731"/>
      <c r="R197" s="730"/>
      <c r="S197" s="730"/>
      <c r="T197" s="723"/>
      <c r="U197" s="724"/>
      <c r="V197" s="725"/>
      <c r="W197" s="725"/>
      <c r="X197" s="723"/>
      <c r="Y197" s="723"/>
      <c r="Z197" s="723"/>
      <c r="AA197" s="726"/>
      <c r="AB197" s="726"/>
      <c r="AC197" s="170"/>
      <c r="AD197" s="586">
        <f t="shared" si="109"/>
        <v>0</v>
      </c>
      <c r="AE197" s="586">
        <f t="shared" si="109"/>
        <v>0</v>
      </c>
      <c r="AF197" s="586">
        <f t="shared" si="109"/>
        <v>0</v>
      </c>
      <c r="AG197" s="586">
        <f t="shared" si="109"/>
        <v>0</v>
      </c>
      <c r="AH197" s="586">
        <f t="shared" si="109"/>
        <v>0</v>
      </c>
      <c r="AI197" s="586">
        <f t="shared" si="109"/>
        <v>0</v>
      </c>
      <c r="AJ197" s="586">
        <f t="shared" si="109"/>
        <v>0</v>
      </c>
      <c r="AK197" s="586">
        <f t="shared" si="109"/>
        <v>0</v>
      </c>
      <c r="AL197" s="586">
        <f t="shared" si="109"/>
        <v>0</v>
      </c>
      <c r="AM197" s="586">
        <f t="shared" si="109"/>
        <v>0</v>
      </c>
      <c r="AN197" s="586">
        <f t="shared" si="109"/>
        <v>0</v>
      </c>
      <c r="AO197" s="586">
        <f t="shared" si="109"/>
        <v>0</v>
      </c>
      <c r="AP197" s="586">
        <f t="shared" si="109"/>
        <v>0</v>
      </c>
      <c r="AQ197" s="586">
        <f t="shared" si="109"/>
        <v>0</v>
      </c>
      <c r="AR197" s="586">
        <f t="shared" si="109"/>
        <v>0</v>
      </c>
      <c r="AS197" s="586">
        <f t="shared" si="109"/>
        <v>0</v>
      </c>
      <c r="AT197" s="170"/>
    </row>
    <row r="198" spans="1:46" ht="15" x14ac:dyDescent="0.25">
      <c r="A198" s="170"/>
      <c r="B198" s="719"/>
      <c r="C198" s="170" t="str">
        <f t="shared" si="105"/>
        <v>42ea</v>
      </c>
      <c r="D198" s="170"/>
      <c r="E198" s="170"/>
      <c r="F198" s="170">
        <f>+Parameters!D45</f>
        <v>42</v>
      </c>
      <c r="G198" s="170" t="str">
        <f>+Parameters!E45</f>
        <v>Structures - Poles - frame</v>
      </c>
      <c r="H198" s="586">
        <f t="shared" si="107"/>
        <v>0</v>
      </c>
      <c r="I198" s="170" t="str">
        <f>+Parameters!F45</f>
        <v>ea</v>
      </c>
      <c r="J198" s="170"/>
      <c r="K198" s="170"/>
      <c r="L198" s="170"/>
      <c r="M198" s="730"/>
      <c r="N198" s="730"/>
      <c r="O198" s="730"/>
      <c r="P198" s="731"/>
      <c r="Q198" s="731"/>
      <c r="R198" s="730"/>
      <c r="S198" s="730"/>
      <c r="T198" s="723"/>
      <c r="U198" s="724"/>
      <c r="V198" s="725"/>
      <c r="W198" s="725"/>
      <c r="X198" s="723"/>
      <c r="Y198" s="723"/>
      <c r="Z198" s="723"/>
      <c r="AA198" s="726"/>
      <c r="AB198" s="726"/>
      <c r="AC198" s="170"/>
      <c r="AD198" s="586">
        <f t="shared" si="109"/>
        <v>0</v>
      </c>
      <c r="AE198" s="586">
        <f t="shared" si="109"/>
        <v>0</v>
      </c>
      <c r="AF198" s="586">
        <f t="shared" si="109"/>
        <v>0</v>
      </c>
      <c r="AG198" s="586">
        <f t="shared" si="109"/>
        <v>0</v>
      </c>
      <c r="AH198" s="586">
        <f t="shared" si="109"/>
        <v>0</v>
      </c>
      <c r="AI198" s="586">
        <f t="shared" si="109"/>
        <v>0</v>
      </c>
      <c r="AJ198" s="586">
        <f t="shared" si="109"/>
        <v>0</v>
      </c>
      <c r="AK198" s="586">
        <f t="shared" si="109"/>
        <v>0</v>
      </c>
      <c r="AL198" s="586">
        <f t="shared" si="109"/>
        <v>0</v>
      </c>
      <c r="AM198" s="586">
        <f t="shared" si="109"/>
        <v>0</v>
      </c>
      <c r="AN198" s="586">
        <f t="shared" si="109"/>
        <v>0</v>
      </c>
      <c r="AO198" s="586">
        <f t="shared" si="109"/>
        <v>0</v>
      </c>
      <c r="AP198" s="586">
        <f t="shared" si="109"/>
        <v>0</v>
      </c>
      <c r="AQ198" s="586">
        <f t="shared" si="109"/>
        <v>0</v>
      </c>
      <c r="AR198" s="586">
        <f t="shared" si="109"/>
        <v>0</v>
      </c>
      <c r="AS198" s="586">
        <f t="shared" si="109"/>
        <v>0</v>
      </c>
      <c r="AT198" s="170"/>
    </row>
    <row r="199" spans="1:46" ht="15" x14ac:dyDescent="0.25">
      <c r="A199" s="170"/>
      <c r="B199" s="719"/>
      <c r="C199" s="170" t="str">
        <f t="shared" si="105"/>
        <v>43ea</v>
      </c>
      <c r="D199" s="170"/>
      <c r="E199" s="170"/>
      <c r="F199" s="170">
        <f>+Parameters!D46</f>
        <v>43</v>
      </c>
      <c r="G199" s="170" t="str">
        <f>+Parameters!E46</f>
        <v>Structures - Poles - Guys</v>
      </c>
      <c r="H199" s="586">
        <f t="shared" si="107"/>
        <v>0</v>
      </c>
      <c r="I199" s="170" t="str">
        <f>+Parameters!F46</f>
        <v>ea</v>
      </c>
      <c r="J199" s="170"/>
      <c r="K199" s="170"/>
      <c r="L199" s="170"/>
      <c r="M199" s="730"/>
      <c r="N199" s="730"/>
      <c r="O199" s="730"/>
      <c r="P199" s="731"/>
      <c r="Q199" s="731"/>
      <c r="R199" s="730"/>
      <c r="S199" s="730"/>
      <c r="T199" s="723"/>
      <c r="U199" s="724"/>
      <c r="V199" s="725"/>
      <c r="W199" s="725"/>
      <c r="X199" s="723"/>
      <c r="Y199" s="723"/>
      <c r="Z199" s="723"/>
      <c r="AA199" s="726"/>
      <c r="AB199" s="726"/>
      <c r="AC199" s="170"/>
      <c r="AD199" s="586">
        <f t="shared" si="109"/>
        <v>0</v>
      </c>
      <c r="AE199" s="586">
        <f t="shared" si="109"/>
        <v>0</v>
      </c>
      <c r="AF199" s="586">
        <f t="shared" si="109"/>
        <v>0</v>
      </c>
      <c r="AG199" s="586">
        <f t="shared" si="109"/>
        <v>0</v>
      </c>
      <c r="AH199" s="586">
        <f t="shared" si="109"/>
        <v>0</v>
      </c>
      <c r="AI199" s="586">
        <f t="shared" si="109"/>
        <v>0</v>
      </c>
      <c r="AJ199" s="586">
        <f t="shared" si="109"/>
        <v>0</v>
      </c>
      <c r="AK199" s="586">
        <f t="shared" si="109"/>
        <v>0</v>
      </c>
      <c r="AL199" s="586">
        <f t="shared" si="109"/>
        <v>0</v>
      </c>
      <c r="AM199" s="586">
        <f t="shared" si="109"/>
        <v>0</v>
      </c>
      <c r="AN199" s="586">
        <f t="shared" si="109"/>
        <v>0</v>
      </c>
      <c r="AO199" s="586">
        <f t="shared" si="109"/>
        <v>0</v>
      </c>
      <c r="AP199" s="586">
        <f t="shared" si="109"/>
        <v>0</v>
      </c>
      <c r="AQ199" s="586">
        <f t="shared" si="109"/>
        <v>0</v>
      </c>
      <c r="AR199" s="586">
        <f t="shared" si="109"/>
        <v>0</v>
      </c>
      <c r="AS199" s="586">
        <f t="shared" si="109"/>
        <v>0</v>
      </c>
      <c r="AT199" s="170"/>
    </row>
    <row r="200" spans="1:46" ht="15" x14ac:dyDescent="0.25">
      <c r="A200" s="170"/>
      <c r="B200" s="719"/>
      <c r="C200" s="170" t="str">
        <f t="shared" si="105"/>
        <v>440</v>
      </c>
      <c r="D200" s="170"/>
      <c r="E200" s="170"/>
      <c r="F200" s="170">
        <f>+Parameters!D47</f>
        <v>44</v>
      </c>
      <c r="G200" s="170">
        <f>+Parameters!E47</f>
        <v>0</v>
      </c>
      <c r="H200" s="586">
        <f t="shared" si="107"/>
        <v>0</v>
      </c>
      <c r="I200" s="170">
        <f>+Parameters!F47</f>
        <v>0</v>
      </c>
      <c r="J200" s="170"/>
      <c r="K200" s="170"/>
      <c r="L200" s="170"/>
      <c r="M200" s="730"/>
      <c r="N200" s="730"/>
      <c r="O200" s="730"/>
      <c r="P200" s="731"/>
      <c r="Q200" s="731"/>
      <c r="R200" s="730"/>
      <c r="S200" s="730"/>
      <c r="T200" s="723"/>
      <c r="U200" s="724"/>
      <c r="V200" s="725"/>
      <c r="W200" s="725"/>
      <c r="X200" s="723"/>
      <c r="Y200" s="723"/>
      <c r="Z200" s="723"/>
      <c r="AA200" s="726"/>
      <c r="AB200" s="726"/>
      <c r="AC200" s="170"/>
      <c r="AD200" s="586">
        <f t="shared" si="109"/>
        <v>0</v>
      </c>
      <c r="AE200" s="586">
        <f t="shared" si="109"/>
        <v>0</v>
      </c>
      <c r="AF200" s="586">
        <f t="shared" si="109"/>
        <v>0</v>
      </c>
      <c r="AG200" s="586">
        <f t="shared" si="109"/>
        <v>0</v>
      </c>
      <c r="AH200" s="586">
        <f t="shared" si="109"/>
        <v>0</v>
      </c>
      <c r="AI200" s="586">
        <f t="shared" si="109"/>
        <v>0</v>
      </c>
      <c r="AJ200" s="586">
        <f t="shared" si="109"/>
        <v>0</v>
      </c>
      <c r="AK200" s="586">
        <f t="shared" si="109"/>
        <v>0</v>
      </c>
      <c r="AL200" s="586">
        <f t="shared" si="109"/>
        <v>0</v>
      </c>
      <c r="AM200" s="586">
        <f t="shared" si="109"/>
        <v>0</v>
      </c>
      <c r="AN200" s="586">
        <f t="shared" si="109"/>
        <v>0</v>
      </c>
      <c r="AO200" s="586">
        <f t="shared" si="109"/>
        <v>0</v>
      </c>
      <c r="AP200" s="586">
        <f t="shared" si="109"/>
        <v>0</v>
      </c>
      <c r="AQ200" s="586">
        <f t="shared" si="109"/>
        <v>0</v>
      </c>
      <c r="AR200" s="586">
        <f t="shared" si="109"/>
        <v>0</v>
      </c>
      <c r="AS200" s="586">
        <f t="shared" si="109"/>
        <v>0</v>
      </c>
      <c r="AT200" s="170"/>
    </row>
    <row r="201" spans="1:46" ht="15" x14ac:dyDescent="0.25">
      <c r="A201" s="170"/>
      <c r="B201" s="719"/>
      <c r="C201" s="170" t="str">
        <f t="shared" si="105"/>
        <v>45tn</v>
      </c>
      <c r="D201" s="170"/>
      <c r="E201" s="170"/>
      <c r="F201" s="170">
        <f>+Parameters!D48</f>
        <v>45</v>
      </c>
      <c r="G201" s="170" t="str">
        <f>+Parameters!E48</f>
        <v>Structures - S.S.</v>
      </c>
      <c r="H201" s="586">
        <f t="shared" si="107"/>
        <v>0</v>
      </c>
      <c r="I201" s="170" t="str">
        <f>+Parameters!F48</f>
        <v>tn</v>
      </c>
      <c r="J201" s="170"/>
      <c r="K201" s="170"/>
      <c r="L201" s="170"/>
      <c r="M201" s="730"/>
      <c r="N201" s="730"/>
      <c r="O201" s="730"/>
      <c r="P201" s="731"/>
      <c r="Q201" s="731"/>
      <c r="R201" s="730"/>
      <c r="S201" s="730"/>
      <c r="T201" s="723"/>
      <c r="U201" s="724"/>
      <c r="V201" s="725"/>
      <c r="W201" s="725"/>
      <c r="X201" s="723"/>
      <c r="Y201" s="723"/>
      <c r="Z201" s="723"/>
      <c r="AA201" s="726"/>
      <c r="AB201" s="726"/>
      <c r="AC201" s="170"/>
      <c r="AD201" s="586">
        <f t="shared" si="109"/>
        <v>0</v>
      </c>
      <c r="AE201" s="586">
        <f t="shared" si="109"/>
        <v>0</v>
      </c>
      <c r="AF201" s="586">
        <f t="shared" si="109"/>
        <v>0</v>
      </c>
      <c r="AG201" s="586">
        <f t="shared" si="109"/>
        <v>0</v>
      </c>
      <c r="AH201" s="586">
        <f t="shared" si="109"/>
        <v>0</v>
      </c>
      <c r="AI201" s="586">
        <f t="shared" si="109"/>
        <v>0</v>
      </c>
      <c r="AJ201" s="586">
        <f t="shared" si="109"/>
        <v>0</v>
      </c>
      <c r="AK201" s="586">
        <f t="shared" si="109"/>
        <v>0</v>
      </c>
      <c r="AL201" s="586">
        <f t="shared" si="109"/>
        <v>0</v>
      </c>
      <c r="AM201" s="586">
        <f t="shared" si="109"/>
        <v>0</v>
      </c>
      <c r="AN201" s="586">
        <f t="shared" si="109"/>
        <v>0</v>
      </c>
      <c r="AO201" s="586">
        <f t="shared" si="109"/>
        <v>0</v>
      </c>
      <c r="AP201" s="586">
        <f t="shared" si="109"/>
        <v>0</v>
      </c>
      <c r="AQ201" s="586">
        <f t="shared" si="109"/>
        <v>0</v>
      </c>
      <c r="AR201" s="586">
        <f t="shared" si="109"/>
        <v>0</v>
      </c>
      <c r="AS201" s="586">
        <f t="shared" si="109"/>
        <v>0</v>
      </c>
      <c r="AT201" s="170"/>
    </row>
    <row r="202" spans="1:46" ht="15" x14ac:dyDescent="0.25">
      <c r="A202" s="170"/>
      <c r="B202" s="719"/>
      <c r="C202" s="170" t="str">
        <f t="shared" si="105"/>
        <v>46tn</v>
      </c>
      <c r="D202" s="170"/>
      <c r="E202" s="170"/>
      <c r="F202" s="170">
        <f>+Parameters!D49</f>
        <v>46</v>
      </c>
      <c r="G202" s="170" t="str">
        <f>+Parameters!E49</f>
        <v>Structures - Platforms</v>
      </c>
      <c r="H202" s="586">
        <f t="shared" si="107"/>
        <v>0</v>
      </c>
      <c r="I202" s="170" t="str">
        <f>+Parameters!F49</f>
        <v>tn</v>
      </c>
      <c r="J202" s="170"/>
      <c r="K202" s="170"/>
      <c r="L202" s="170"/>
      <c r="M202" s="730"/>
      <c r="N202" s="730"/>
      <c r="O202" s="730"/>
      <c r="P202" s="731"/>
      <c r="Q202" s="731"/>
      <c r="R202" s="730"/>
      <c r="S202" s="730"/>
      <c r="T202" s="723"/>
      <c r="U202" s="724"/>
      <c r="V202" s="725"/>
      <c r="W202" s="725"/>
      <c r="X202" s="723"/>
      <c r="Y202" s="723"/>
      <c r="Z202" s="723"/>
      <c r="AA202" s="726"/>
      <c r="AB202" s="726"/>
      <c r="AC202" s="170"/>
      <c r="AD202" s="586">
        <f t="shared" si="109"/>
        <v>0</v>
      </c>
      <c r="AE202" s="586">
        <f t="shared" si="109"/>
        <v>0</v>
      </c>
      <c r="AF202" s="586">
        <f t="shared" si="109"/>
        <v>0</v>
      </c>
      <c r="AG202" s="586">
        <f t="shared" si="109"/>
        <v>0</v>
      </c>
      <c r="AH202" s="586">
        <f t="shared" si="109"/>
        <v>0</v>
      </c>
      <c r="AI202" s="586">
        <f t="shared" si="109"/>
        <v>0</v>
      </c>
      <c r="AJ202" s="586">
        <f t="shared" si="109"/>
        <v>0</v>
      </c>
      <c r="AK202" s="586">
        <f t="shared" si="109"/>
        <v>0</v>
      </c>
      <c r="AL202" s="586">
        <f t="shared" si="109"/>
        <v>0</v>
      </c>
      <c r="AM202" s="586">
        <f t="shared" si="109"/>
        <v>0</v>
      </c>
      <c r="AN202" s="586">
        <f t="shared" si="109"/>
        <v>0</v>
      </c>
      <c r="AO202" s="586">
        <f t="shared" si="109"/>
        <v>0</v>
      </c>
      <c r="AP202" s="586">
        <f t="shared" si="109"/>
        <v>0</v>
      </c>
      <c r="AQ202" s="586">
        <f t="shared" si="109"/>
        <v>0</v>
      </c>
      <c r="AR202" s="586">
        <f t="shared" si="109"/>
        <v>0</v>
      </c>
      <c r="AS202" s="586">
        <f t="shared" si="109"/>
        <v>0</v>
      </c>
      <c r="AT202" s="170"/>
    </row>
    <row r="203" spans="1:46" ht="15" x14ac:dyDescent="0.25">
      <c r="A203" s="170"/>
      <c r="B203" s="719"/>
      <c r="C203" s="170" t="str">
        <f t="shared" si="105"/>
        <v>470</v>
      </c>
      <c r="D203" s="170"/>
      <c r="E203" s="170"/>
      <c r="F203" s="170">
        <f>+Parameters!D50</f>
        <v>47</v>
      </c>
      <c r="G203" s="170">
        <f>+Parameters!E50</f>
        <v>0</v>
      </c>
      <c r="H203" s="586">
        <f t="shared" si="107"/>
        <v>0</v>
      </c>
      <c r="I203" s="170">
        <f>+Parameters!F50</f>
        <v>0</v>
      </c>
      <c r="J203" s="170"/>
      <c r="K203" s="170"/>
      <c r="L203" s="170"/>
      <c r="M203" s="730"/>
      <c r="N203" s="730"/>
      <c r="O203" s="730"/>
      <c r="P203" s="731"/>
      <c r="Q203" s="731"/>
      <c r="R203" s="730"/>
      <c r="S203" s="730"/>
      <c r="T203" s="723"/>
      <c r="U203" s="724"/>
      <c r="V203" s="725"/>
      <c r="W203" s="725"/>
      <c r="X203" s="723"/>
      <c r="Y203" s="723"/>
      <c r="Z203" s="723"/>
      <c r="AA203" s="726"/>
      <c r="AB203" s="726"/>
      <c r="AC203" s="170"/>
      <c r="AD203" s="586">
        <f t="shared" si="109"/>
        <v>0</v>
      </c>
      <c r="AE203" s="586">
        <f t="shared" si="109"/>
        <v>0</v>
      </c>
      <c r="AF203" s="586">
        <f t="shared" si="109"/>
        <v>0</v>
      </c>
      <c r="AG203" s="586">
        <f t="shared" si="109"/>
        <v>0</v>
      </c>
      <c r="AH203" s="586">
        <f t="shared" si="109"/>
        <v>0</v>
      </c>
      <c r="AI203" s="586">
        <f t="shared" si="109"/>
        <v>0</v>
      </c>
      <c r="AJ203" s="586">
        <f t="shared" si="109"/>
        <v>0</v>
      </c>
      <c r="AK203" s="586">
        <f t="shared" si="109"/>
        <v>0</v>
      </c>
      <c r="AL203" s="586">
        <f t="shared" si="109"/>
        <v>0</v>
      </c>
      <c r="AM203" s="586">
        <f t="shared" si="109"/>
        <v>0</v>
      </c>
      <c r="AN203" s="586">
        <f t="shared" si="109"/>
        <v>0</v>
      </c>
      <c r="AO203" s="586">
        <f t="shared" si="109"/>
        <v>0</v>
      </c>
      <c r="AP203" s="586">
        <f t="shared" si="109"/>
        <v>0</v>
      </c>
      <c r="AQ203" s="586">
        <f t="shared" si="109"/>
        <v>0</v>
      </c>
      <c r="AR203" s="586">
        <f t="shared" si="109"/>
        <v>0</v>
      </c>
      <c r="AS203" s="586">
        <f t="shared" ref="AE203:AS220" si="110">SUMIF($F$9:$F$153,$F203,AS$9:AS$153)</f>
        <v>0</v>
      </c>
      <c r="AT203" s="170"/>
    </row>
    <row r="204" spans="1:46" ht="15" x14ac:dyDescent="0.25">
      <c r="A204" s="170"/>
      <c r="B204" s="719"/>
      <c r="C204" s="170" t="str">
        <f t="shared" si="105"/>
        <v>480</v>
      </c>
      <c r="D204" s="170"/>
      <c r="E204" s="170"/>
      <c r="F204" s="170">
        <f>+Parameters!D51</f>
        <v>48</v>
      </c>
      <c r="G204" s="170">
        <f>+Parameters!E51</f>
        <v>0</v>
      </c>
      <c r="H204" s="586">
        <f t="shared" si="107"/>
        <v>0</v>
      </c>
      <c r="I204" s="170">
        <f>+Parameters!F51</f>
        <v>0</v>
      </c>
      <c r="J204" s="170"/>
      <c r="K204" s="170"/>
      <c r="L204" s="170"/>
      <c r="M204" s="730"/>
      <c r="N204" s="730"/>
      <c r="O204" s="730"/>
      <c r="P204" s="731"/>
      <c r="Q204" s="731"/>
      <c r="R204" s="730"/>
      <c r="S204" s="730"/>
      <c r="T204" s="723"/>
      <c r="U204" s="724"/>
      <c r="V204" s="725"/>
      <c r="W204" s="725"/>
      <c r="X204" s="723"/>
      <c r="Y204" s="723"/>
      <c r="Z204" s="723"/>
      <c r="AA204" s="726"/>
      <c r="AB204" s="726"/>
      <c r="AC204" s="170"/>
      <c r="AD204" s="586">
        <f t="shared" ref="AD204:AD235" si="111">SUMIF($F$9:$F$153,$F204,AD$9:AD$153)</f>
        <v>0</v>
      </c>
      <c r="AE204" s="586">
        <f t="shared" si="110"/>
        <v>0</v>
      </c>
      <c r="AF204" s="586">
        <f t="shared" si="110"/>
        <v>0</v>
      </c>
      <c r="AG204" s="586">
        <f t="shared" si="110"/>
        <v>0</v>
      </c>
      <c r="AH204" s="586">
        <f t="shared" si="110"/>
        <v>0</v>
      </c>
      <c r="AI204" s="586">
        <f t="shared" si="110"/>
        <v>0</v>
      </c>
      <c r="AJ204" s="586">
        <f t="shared" si="110"/>
        <v>0</v>
      </c>
      <c r="AK204" s="586">
        <f t="shared" si="110"/>
        <v>0</v>
      </c>
      <c r="AL204" s="586">
        <f t="shared" si="110"/>
        <v>0</v>
      </c>
      <c r="AM204" s="586">
        <f t="shared" si="110"/>
        <v>0</v>
      </c>
      <c r="AN204" s="586">
        <f t="shared" si="110"/>
        <v>0</v>
      </c>
      <c r="AO204" s="586">
        <f t="shared" si="110"/>
        <v>0</v>
      </c>
      <c r="AP204" s="586">
        <f t="shared" si="110"/>
        <v>0</v>
      </c>
      <c r="AQ204" s="586">
        <f t="shared" si="110"/>
        <v>0</v>
      </c>
      <c r="AR204" s="586">
        <f t="shared" si="110"/>
        <v>0</v>
      </c>
      <c r="AS204" s="586">
        <f t="shared" si="110"/>
        <v>0</v>
      </c>
      <c r="AT204" s="170"/>
    </row>
    <row r="205" spans="1:46" ht="15" x14ac:dyDescent="0.25">
      <c r="A205" s="170"/>
      <c r="B205" s="719"/>
      <c r="C205" s="170" t="str">
        <f t="shared" si="105"/>
        <v>49tn</v>
      </c>
      <c r="D205" s="170"/>
      <c r="E205" s="170"/>
      <c r="F205" s="170">
        <f>+Parameters!D52</f>
        <v>49</v>
      </c>
      <c r="G205" s="170" t="str">
        <f>+Parameters!E52</f>
        <v>Structures - Others</v>
      </c>
      <c r="H205" s="586">
        <f t="shared" si="107"/>
        <v>0</v>
      </c>
      <c r="I205" s="170" t="str">
        <f>+Parameters!F52</f>
        <v>tn</v>
      </c>
      <c r="J205" s="170"/>
      <c r="K205" s="170"/>
      <c r="L205" s="170"/>
      <c r="M205" s="730"/>
      <c r="N205" s="730"/>
      <c r="O205" s="730"/>
      <c r="P205" s="731"/>
      <c r="Q205" s="731"/>
      <c r="R205" s="730"/>
      <c r="S205" s="730"/>
      <c r="T205" s="723"/>
      <c r="U205" s="724"/>
      <c r="V205" s="725"/>
      <c r="W205" s="725"/>
      <c r="X205" s="723"/>
      <c r="Y205" s="723"/>
      <c r="Z205" s="723"/>
      <c r="AA205" s="726"/>
      <c r="AB205" s="726"/>
      <c r="AC205" s="170"/>
      <c r="AD205" s="586">
        <f t="shared" si="111"/>
        <v>0</v>
      </c>
      <c r="AE205" s="586">
        <f t="shared" si="110"/>
        <v>0</v>
      </c>
      <c r="AF205" s="586">
        <f t="shared" si="110"/>
        <v>0</v>
      </c>
      <c r="AG205" s="586">
        <f t="shared" si="110"/>
        <v>0</v>
      </c>
      <c r="AH205" s="586">
        <f t="shared" si="110"/>
        <v>0</v>
      </c>
      <c r="AI205" s="586">
        <f t="shared" si="110"/>
        <v>0</v>
      </c>
      <c r="AJ205" s="586">
        <f t="shared" si="110"/>
        <v>0</v>
      </c>
      <c r="AK205" s="586">
        <f t="shared" si="110"/>
        <v>0</v>
      </c>
      <c r="AL205" s="586">
        <f t="shared" si="110"/>
        <v>0</v>
      </c>
      <c r="AM205" s="586">
        <f t="shared" si="110"/>
        <v>0</v>
      </c>
      <c r="AN205" s="586">
        <f t="shared" si="110"/>
        <v>0</v>
      </c>
      <c r="AO205" s="586">
        <f t="shared" si="110"/>
        <v>0</v>
      </c>
      <c r="AP205" s="586">
        <f t="shared" si="110"/>
        <v>0</v>
      </c>
      <c r="AQ205" s="586">
        <f t="shared" si="110"/>
        <v>0</v>
      </c>
      <c r="AR205" s="586">
        <f t="shared" si="110"/>
        <v>0</v>
      </c>
      <c r="AS205" s="586">
        <f t="shared" si="110"/>
        <v>0</v>
      </c>
      <c r="AT205" s="170"/>
    </row>
    <row r="206" spans="1:46" ht="15" x14ac:dyDescent="0.25">
      <c r="A206" s="170"/>
      <c r="B206" s="719"/>
      <c r="C206" s="170" t="str">
        <f t="shared" si="105"/>
        <v>50ea</v>
      </c>
      <c r="D206" s="170"/>
      <c r="E206" s="170"/>
      <c r="F206" s="170">
        <f>+Parameters!D53</f>
        <v>50</v>
      </c>
      <c r="G206" s="170" t="str">
        <f>+Parameters!E53</f>
        <v>Major Eqt - Circuit Breakers</v>
      </c>
      <c r="H206" s="586">
        <f t="shared" si="107"/>
        <v>0</v>
      </c>
      <c r="I206" s="170" t="str">
        <f>+Parameters!F53</f>
        <v>ea</v>
      </c>
      <c r="J206" s="170"/>
      <c r="K206" s="170"/>
      <c r="L206" s="170"/>
      <c r="M206" s="730"/>
      <c r="N206" s="730"/>
      <c r="O206" s="730"/>
      <c r="P206" s="731"/>
      <c r="Q206" s="731"/>
      <c r="R206" s="730"/>
      <c r="S206" s="730"/>
      <c r="T206" s="723"/>
      <c r="U206" s="724"/>
      <c r="V206" s="725"/>
      <c r="W206" s="725"/>
      <c r="X206" s="723"/>
      <c r="Y206" s="723"/>
      <c r="Z206" s="723"/>
      <c r="AA206" s="726"/>
      <c r="AB206" s="726"/>
      <c r="AC206" s="170"/>
      <c r="AD206" s="586">
        <f t="shared" si="111"/>
        <v>0</v>
      </c>
      <c r="AE206" s="586">
        <f t="shared" si="110"/>
        <v>0</v>
      </c>
      <c r="AF206" s="586">
        <f t="shared" si="110"/>
        <v>0</v>
      </c>
      <c r="AG206" s="586">
        <f t="shared" si="110"/>
        <v>0</v>
      </c>
      <c r="AH206" s="586">
        <f t="shared" si="110"/>
        <v>0</v>
      </c>
      <c r="AI206" s="586">
        <f t="shared" si="110"/>
        <v>0</v>
      </c>
      <c r="AJ206" s="586">
        <f t="shared" si="110"/>
        <v>0</v>
      </c>
      <c r="AK206" s="586">
        <f t="shared" si="110"/>
        <v>0</v>
      </c>
      <c r="AL206" s="586">
        <f t="shared" si="110"/>
        <v>0</v>
      </c>
      <c r="AM206" s="586">
        <f t="shared" si="110"/>
        <v>0</v>
      </c>
      <c r="AN206" s="586">
        <f t="shared" si="110"/>
        <v>0</v>
      </c>
      <c r="AO206" s="586">
        <f t="shared" si="110"/>
        <v>0</v>
      </c>
      <c r="AP206" s="586">
        <f t="shared" si="110"/>
        <v>0</v>
      </c>
      <c r="AQ206" s="586">
        <f t="shared" si="110"/>
        <v>0</v>
      </c>
      <c r="AR206" s="586">
        <f t="shared" si="110"/>
        <v>0</v>
      </c>
      <c r="AS206" s="586">
        <f t="shared" si="110"/>
        <v>0</v>
      </c>
      <c r="AT206" s="170"/>
    </row>
    <row r="207" spans="1:46" ht="15" x14ac:dyDescent="0.25">
      <c r="A207" s="170"/>
      <c r="B207" s="719"/>
      <c r="C207" s="170" t="str">
        <f t="shared" si="105"/>
        <v>51ea</v>
      </c>
      <c r="D207" s="170"/>
      <c r="E207" s="170"/>
      <c r="F207" s="170">
        <f>+Parameters!D54</f>
        <v>51</v>
      </c>
      <c r="G207" s="170" t="str">
        <f>+Parameters!E54</f>
        <v>Major Eqt - Transformers</v>
      </c>
      <c r="H207" s="586">
        <f t="shared" si="107"/>
        <v>0</v>
      </c>
      <c r="I207" s="170" t="str">
        <f>+Parameters!F54</f>
        <v>ea</v>
      </c>
      <c r="J207" s="170"/>
      <c r="K207" s="170"/>
      <c r="L207" s="170"/>
      <c r="M207" s="730"/>
      <c r="N207" s="730"/>
      <c r="O207" s="730"/>
      <c r="P207" s="731"/>
      <c r="Q207" s="731"/>
      <c r="R207" s="730"/>
      <c r="S207" s="730"/>
      <c r="T207" s="723"/>
      <c r="U207" s="724"/>
      <c r="V207" s="725"/>
      <c r="W207" s="725"/>
      <c r="X207" s="723"/>
      <c r="Y207" s="723"/>
      <c r="Z207" s="723"/>
      <c r="AA207" s="726"/>
      <c r="AB207" s="726"/>
      <c r="AC207" s="170"/>
      <c r="AD207" s="586">
        <f t="shared" si="111"/>
        <v>0</v>
      </c>
      <c r="AE207" s="586">
        <f t="shared" si="110"/>
        <v>0</v>
      </c>
      <c r="AF207" s="586">
        <f t="shared" si="110"/>
        <v>0</v>
      </c>
      <c r="AG207" s="586">
        <f t="shared" si="110"/>
        <v>0</v>
      </c>
      <c r="AH207" s="586">
        <f t="shared" si="110"/>
        <v>0</v>
      </c>
      <c r="AI207" s="586">
        <f t="shared" si="110"/>
        <v>0</v>
      </c>
      <c r="AJ207" s="586">
        <f t="shared" si="110"/>
        <v>0</v>
      </c>
      <c r="AK207" s="586">
        <f t="shared" si="110"/>
        <v>0</v>
      </c>
      <c r="AL207" s="586">
        <f t="shared" si="110"/>
        <v>0</v>
      </c>
      <c r="AM207" s="586">
        <f t="shared" si="110"/>
        <v>0</v>
      </c>
      <c r="AN207" s="586">
        <f t="shared" si="110"/>
        <v>0</v>
      </c>
      <c r="AO207" s="586">
        <f t="shared" si="110"/>
        <v>0</v>
      </c>
      <c r="AP207" s="586">
        <f t="shared" si="110"/>
        <v>0</v>
      </c>
      <c r="AQ207" s="586">
        <f t="shared" si="110"/>
        <v>0</v>
      </c>
      <c r="AR207" s="586">
        <f t="shared" si="110"/>
        <v>0</v>
      </c>
      <c r="AS207" s="586">
        <f t="shared" si="110"/>
        <v>0</v>
      </c>
      <c r="AT207" s="170"/>
    </row>
    <row r="208" spans="1:46" ht="15" x14ac:dyDescent="0.25">
      <c r="A208" s="170"/>
      <c r="B208" s="719"/>
      <c r="C208" s="170" t="str">
        <f t="shared" si="105"/>
        <v>52ea</v>
      </c>
      <c r="D208" s="170"/>
      <c r="E208" s="170"/>
      <c r="F208" s="170">
        <f>+Parameters!D55</f>
        <v>52</v>
      </c>
      <c r="G208" s="170" t="str">
        <f>+Parameters!E55</f>
        <v>Major Eqt - Circuit Switchers</v>
      </c>
      <c r="H208" s="586">
        <f t="shared" si="107"/>
        <v>0</v>
      </c>
      <c r="I208" s="170" t="str">
        <f>+Parameters!F55</f>
        <v>ea</v>
      </c>
      <c r="J208" s="170"/>
      <c r="K208" s="170"/>
      <c r="L208" s="170"/>
      <c r="M208" s="730"/>
      <c r="N208" s="730"/>
      <c r="O208" s="730"/>
      <c r="P208" s="731"/>
      <c r="Q208" s="731"/>
      <c r="R208" s="730"/>
      <c r="S208" s="730"/>
      <c r="T208" s="723"/>
      <c r="U208" s="724"/>
      <c r="V208" s="725"/>
      <c r="W208" s="725"/>
      <c r="X208" s="723"/>
      <c r="Y208" s="723"/>
      <c r="Z208" s="723"/>
      <c r="AA208" s="726"/>
      <c r="AB208" s="726"/>
      <c r="AC208" s="170"/>
      <c r="AD208" s="586">
        <f t="shared" si="111"/>
        <v>0</v>
      </c>
      <c r="AE208" s="586">
        <f t="shared" si="110"/>
        <v>0</v>
      </c>
      <c r="AF208" s="586">
        <f t="shared" si="110"/>
        <v>0</v>
      </c>
      <c r="AG208" s="586">
        <f t="shared" si="110"/>
        <v>0</v>
      </c>
      <c r="AH208" s="586">
        <f t="shared" si="110"/>
        <v>0</v>
      </c>
      <c r="AI208" s="586">
        <f t="shared" si="110"/>
        <v>0</v>
      </c>
      <c r="AJ208" s="586">
        <f t="shared" si="110"/>
        <v>0</v>
      </c>
      <c r="AK208" s="586">
        <f t="shared" si="110"/>
        <v>0</v>
      </c>
      <c r="AL208" s="586">
        <f t="shared" si="110"/>
        <v>0</v>
      </c>
      <c r="AM208" s="586">
        <f t="shared" si="110"/>
        <v>0</v>
      </c>
      <c r="AN208" s="586">
        <f t="shared" si="110"/>
        <v>0</v>
      </c>
      <c r="AO208" s="586">
        <f t="shared" si="110"/>
        <v>0</v>
      </c>
      <c r="AP208" s="586">
        <f t="shared" si="110"/>
        <v>0</v>
      </c>
      <c r="AQ208" s="586">
        <f t="shared" si="110"/>
        <v>0</v>
      </c>
      <c r="AR208" s="586">
        <f t="shared" si="110"/>
        <v>0</v>
      </c>
      <c r="AS208" s="586">
        <f t="shared" si="110"/>
        <v>0</v>
      </c>
      <c r="AT208" s="170"/>
    </row>
    <row r="209" spans="1:46" ht="15" x14ac:dyDescent="0.25">
      <c r="A209" s="170"/>
      <c r="B209" s="719"/>
      <c r="C209" s="170" t="str">
        <f t="shared" si="105"/>
        <v>53ea</v>
      </c>
      <c r="D209" s="170"/>
      <c r="E209" s="170"/>
      <c r="F209" s="170">
        <f>+Parameters!D56</f>
        <v>53</v>
      </c>
      <c r="G209" s="170" t="str">
        <f>+Parameters!E56</f>
        <v>Major Eqt - Disconect Switches</v>
      </c>
      <c r="H209" s="586">
        <f t="shared" si="107"/>
        <v>0</v>
      </c>
      <c r="I209" s="170" t="str">
        <f>+Parameters!F56</f>
        <v>ea</v>
      </c>
      <c r="J209" s="170"/>
      <c r="K209" s="170"/>
      <c r="L209" s="170"/>
      <c r="M209" s="730"/>
      <c r="N209" s="730"/>
      <c r="O209" s="730"/>
      <c r="P209" s="731"/>
      <c r="Q209" s="731"/>
      <c r="R209" s="730"/>
      <c r="S209" s="730"/>
      <c r="T209" s="723"/>
      <c r="U209" s="724"/>
      <c r="V209" s="725"/>
      <c r="W209" s="725"/>
      <c r="X209" s="723"/>
      <c r="Y209" s="723"/>
      <c r="Z209" s="723"/>
      <c r="AA209" s="726"/>
      <c r="AB209" s="726"/>
      <c r="AC209" s="170"/>
      <c r="AD209" s="586">
        <f t="shared" si="111"/>
        <v>0</v>
      </c>
      <c r="AE209" s="586">
        <f t="shared" si="110"/>
        <v>0</v>
      </c>
      <c r="AF209" s="586">
        <f t="shared" si="110"/>
        <v>0</v>
      </c>
      <c r="AG209" s="586">
        <f t="shared" si="110"/>
        <v>0</v>
      </c>
      <c r="AH209" s="586">
        <f t="shared" si="110"/>
        <v>0</v>
      </c>
      <c r="AI209" s="586">
        <f t="shared" si="110"/>
        <v>0</v>
      </c>
      <c r="AJ209" s="586">
        <f t="shared" si="110"/>
        <v>0</v>
      </c>
      <c r="AK209" s="586">
        <f t="shared" si="110"/>
        <v>0</v>
      </c>
      <c r="AL209" s="586">
        <f t="shared" si="110"/>
        <v>0</v>
      </c>
      <c r="AM209" s="586">
        <f t="shared" si="110"/>
        <v>0</v>
      </c>
      <c r="AN209" s="586">
        <f t="shared" si="110"/>
        <v>0</v>
      </c>
      <c r="AO209" s="586">
        <f t="shared" si="110"/>
        <v>0</v>
      </c>
      <c r="AP209" s="586">
        <f t="shared" si="110"/>
        <v>0</v>
      </c>
      <c r="AQ209" s="586">
        <f t="shared" si="110"/>
        <v>0</v>
      </c>
      <c r="AR209" s="586">
        <f t="shared" si="110"/>
        <v>0</v>
      </c>
      <c r="AS209" s="586">
        <f t="shared" si="110"/>
        <v>0</v>
      </c>
      <c r="AT209" s="170"/>
    </row>
    <row r="210" spans="1:46" ht="15" x14ac:dyDescent="0.25">
      <c r="A210" s="170"/>
      <c r="B210" s="719"/>
      <c r="C210" s="170" t="str">
        <f t="shared" si="105"/>
        <v>54ea</v>
      </c>
      <c r="D210" s="170"/>
      <c r="E210" s="170"/>
      <c r="F210" s="170">
        <f>+Parameters!D57</f>
        <v>54</v>
      </c>
      <c r="G210" s="170" t="str">
        <f>+Parameters!E57</f>
        <v>Major Eqt - Cap Banks</v>
      </c>
      <c r="H210" s="586">
        <f t="shared" si="107"/>
        <v>0</v>
      </c>
      <c r="I210" s="170" t="str">
        <f>+Parameters!F57</f>
        <v>ea</v>
      </c>
      <c r="J210" s="170"/>
      <c r="K210" s="170"/>
      <c r="L210" s="170"/>
      <c r="M210" s="730"/>
      <c r="N210" s="730"/>
      <c r="O210" s="730"/>
      <c r="P210" s="731"/>
      <c r="Q210" s="731"/>
      <c r="R210" s="730"/>
      <c r="S210" s="730"/>
      <c r="T210" s="723"/>
      <c r="U210" s="724"/>
      <c r="V210" s="725"/>
      <c r="W210" s="725"/>
      <c r="X210" s="723"/>
      <c r="Y210" s="723"/>
      <c r="Z210" s="723"/>
      <c r="AA210" s="726"/>
      <c r="AB210" s="726"/>
      <c r="AC210" s="170"/>
      <c r="AD210" s="586">
        <f t="shared" si="111"/>
        <v>0</v>
      </c>
      <c r="AE210" s="586">
        <f t="shared" si="110"/>
        <v>0</v>
      </c>
      <c r="AF210" s="586">
        <f t="shared" si="110"/>
        <v>0</v>
      </c>
      <c r="AG210" s="586">
        <f t="shared" si="110"/>
        <v>0</v>
      </c>
      <c r="AH210" s="586">
        <f t="shared" si="110"/>
        <v>0</v>
      </c>
      <c r="AI210" s="586">
        <f t="shared" si="110"/>
        <v>0</v>
      </c>
      <c r="AJ210" s="586">
        <f t="shared" si="110"/>
        <v>0</v>
      </c>
      <c r="AK210" s="586">
        <f t="shared" si="110"/>
        <v>0</v>
      </c>
      <c r="AL210" s="586">
        <f t="shared" si="110"/>
        <v>0</v>
      </c>
      <c r="AM210" s="586">
        <f t="shared" si="110"/>
        <v>0</v>
      </c>
      <c r="AN210" s="586">
        <f t="shared" si="110"/>
        <v>0</v>
      </c>
      <c r="AO210" s="586">
        <f t="shared" si="110"/>
        <v>0</v>
      </c>
      <c r="AP210" s="586">
        <f t="shared" si="110"/>
        <v>0</v>
      </c>
      <c r="AQ210" s="586">
        <f t="shared" si="110"/>
        <v>0</v>
      </c>
      <c r="AR210" s="586">
        <f t="shared" si="110"/>
        <v>0</v>
      </c>
      <c r="AS210" s="586">
        <f t="shared" si="110"/>
        <v>0</v>
      </c>
      <c r="AT210" s="170"/>
    </row>
    <row r="211" spans="1:46" ht="15" x14ac:dyDescent="0.25">
      <c r="A211" s="170"/>
      <c r="B211" s="719"/>
      <c r="C211" s="170" t="str">
        <f t="shared" si="105"/>
        <v>55ea</v>
      </c>
      <c r="D211" s="170"/>
      <c r="E211" s="170"/>
      <c r="F211" s="170">
        <f>+Parameters!D58</f>
        <v>55</v>
      </c>
      <c r="G211" s="170" t="str">
        <f>+Parameters!E58</f>
        <v>Major Eqt - Reactors</v>
      </c>
      <c r="H211" s="586">
        <f t="shared" si="107"/>
        <v>0</v>
      </c>
      <c r="I211" s="170" t="str">
        <f>+Parameters!F58</f>
        <v>ea</v>
      </c>
      <c r="J211" s="170"/>
      <c r="K211" s="170"/>
      <c r="L211" s="170"/>
      <c r="M211" s="730"/>
      <c r="N211" s="730"/>
      <c r="O211" s="730"/>
      <c r="P211" s="731"/>
      <c r="Q211" s="731"/>
      <c r="R211" s="730"/>
      <c r="S211" s="730"/>
      <c r="T211" s="723"/>
      <c r="U211" s="724"/>
      <c r="V211" s="725"/>
      <c r="W211" s="725"/>
      <c r="X211" s="723"/>
      <c r="Y211" s="723"/>
      <c r="Z211" s="723"/>
      <c r="AA211" s="726"/>
      <c r="AB211" s="726"/>
      <c r="AC211" s="170"/>
      <c r="AD211" s="586">
        <f t="shared" si="111"/>
        <v>0</v>
      </c>
      <c r="AE211" s="586">
        <f t="shared" si="110"/>
        <v>0</v>
      </c>
      <c r="AF211" s="586">
        <f t="shared" si="110"/>
        <v>0</v>
      </c>
      <c r="AG211" s="586">
        <f t="shared" si="110"/>
        <v>0</v>
      </c>
      <c r="AH211" s="586">
        <f t="shared" si="110"/>
        <v>0</v>
      </c>
      <c r="AI211" s="586">
        <f t="shared" si="110"/>
        <v>0</v>
      </c>
      <c r="AJ211" s="586">
        <f t="shared" si="110"/>
        <v>0</v>
      </c>
      <c r="AK211" s="586">
        <f t="shared" si="110"/>
        <v>0</v>
      </c>
      <c r="AL211" s="586">
        <f t="shared" si="110"/>
        <v>0</v>
      </c>
      <c r="AM211" s="586">
        <f t="shared" si="110"/>
        <v>0</v>
      </c>
      <c r="AN211" s="586">
        <f t="shared" si="110"/>
        <v>0</v>
      </c>
      <c r="AO211" s="586">
        <f t="shared" si="110"/>
        <v>0</v>
      </c>
      <c r="AP211" s="586">
        <f t="shared" si="110"/>
        <v>0</v>
      </c>
      <c r="AQ211" s="586">
        <f t="shared" si="110"/>
        <v>0</v>
      </c>
      <c r="AR211" s="586">
        <f t="shared" si="110"/>
        <v>0</v>
      </c>
      <c r="AS211" s="586">
        <f t="shared" si="110"/>
        <v>0</v>
      </c>
      <c r="AT211" s="170"/>
    </row>
    <row r="212" spans="1:46" ht="15" x14ac:dyDescent="0.25">
      <c r="A212" s="170"/>
      <c r="B212" s="719"/>
      <c r="C212" s="170" t="str">
        <f t="shared" si="105"/>
        <v>56ea</v>
      </c>
      <c r="D212" s="170"/>
      <c r="E212" s="170"/>
      <c r="F212" s="170">
        <f>+Parameters!D59</f>
        <v>56</v>
      </c>
      <c r="G212" s="170" t="str">
        <f>+Parameters!E59</f>
        <v>Major Eqt - GIS</v>
      </c>
      <c r="H212" s="586">
        <f t="shared" si="107"/>
        <v>0</v>
      </c>
      <c r="I212" s="170" t="str">
        <f>+Parameters!F59</f>
        <v>ea</v>
      </c>
      <c r="J212" s="170"/>
      <c r="K212" s="170"/>
      <c r="L212" s="170"/>
      <c r="M212" s="730"/>
      <c r="N212" s="730"/>
      <c r="O212" s="730"/>
      <c r="P212" s="731"/>
      <c r="Q212" s="731"/>
      <c r="R212" s="730"/>
      <c r="S212" s="730"/>
      <c r="T212" s="723"/>
      <c r="U212" s="724"/>
      <c r="V212" s="725"/>
      <c r="W212" s="725"/>
      <c r="X212" s="723"/>
      <c r="Y212" s="723"/>
      <c r="Z212" s="723"/>
      <c r="AA212" s="726"/>
      <c r="AB212" s="726"/>
      <c r="AC212" s="170"/>
      <c r="AD212" s="586">
        <f t="shared" si="111"/>
        <v>0</v>
      </c>
      <c r="AE212" s="586">
        <f t="shared" si="110"/>
        <v>0</v>
      </c>
      <c r="AF212" s="586">
        <f t="shared" si="110"/>
        <v>0</v>
      </c>
      <c r="AG212" s="586">
        <f t="shared" si="110"/>
        <v>0</v>
      </c>
      <c r="AH212" s="586">
        <f t="shared" si="110"/>
        <v>0</v>
      </c>
      <c r="AI212" s="586">
        <f t="shared" si="110"/>
        <v>0</v>
      </c>
      <c r="AJ212" s="586">
        <f t="shared" si="110"/>
        <v>0</v>
      </c>
      <c r="AK212" s="586">
        <f t="shared" si="110"/>
        <v>0</v>
      </c>
      <c r="AL212" s="586">
        <f t="shared" si="110"/>
        <v>0</v>
      </c>
      <c r="AM212" s="586">
        <f t="shared" si="110"/>
        <v>0</v>
      </c>
      <c r="AN212" s="586">
        <f t="shared" si="110"/>
        <v>0</v>
      </c>
      <c r="AO212" s="586">
        <f t="shared" si="110"/>
        <v>0</v>
      </c>
      <c r="AP212" s="586">
        <f t="shared" si="110"/>
        <v>0</v>
      </c>
      <c r="AQ212" s="586">
        <f t="shared" si="110"/>
        <v>0</v>
      </c>
      <c r="AR212" s="586">
        <f t="shared" si="110"/>
        <v>0</v>
      </c>
      <c r="AS212" s="586">
        <f t="shared" si="110"/>
        <v>0</v>
      </c>
      <c r="AT212" s="170"/>
    </row>
    <row r="213" spans="1:46" ht="15" x14ac:dyDescent="0.25">
      <c r="A213" s="170"/>
      <c r="B213" s="719"/>
      <c r="C213" s="170" t="str">
        <f t="shared" si="105"/>
        <v>57ea</v>
      </c>
      <c r="D213" s="170"/>
      <c r="E213" s="170"/>
      <c r="F213" s="170">
        <f>+Parameters!D60</f>
        <v>57</v>
      </c>
      <c r="G213" s="170" t="str">
        <f>+Parameters!E60</f>
        <v>Major Eqt - Switchgear</v>
      </c>
      <c r="H213" s="586">
        <f t="shared" si="107"/>
        <v>0</v>
      </c>
      <c r="I213" s="170" t="str">
        <f>+Parameters!F60</f>
        <v>ea</v>
      </c>
      <c r="J213" s="170"/>
      <c r="K213" s="170"/>
      <c r="L213" s="170"/>
      <c r="M213" s="730"/>
      <c r="N213" s="730"/>
      <c r="O213" s="730"/>
      <c r="P213" s="731"/>
      <c r="Q213" s="731"/>
      <c r="R213" s="730"/>
      <c r="S213" s="730"/>
      <c r="T213" s="723"/>
      <c r="U213" s="724"/>
      <c r="V213" s="725"/>
      <c r="W213" s="725"/>
      <c r="X213" s="723"/>
      <c r="Y213" s="723"/>
      <c r="Z213" s="723"/>
      <c r="AA213" s="726"/>
      <c r="AB213" s="726"/>
      <c r="AC213" s="170"/>
      <c r="AD213" s="586">
        <f t="shared" si="111"/>
        <v>0</v>
      </c>
      <c r="AE213" s="586">
        <f t="shared" si="110"/>
        <v>0</v>
      </c>
      <c r="AF213" s="586">
        <f t="shared" si="110"/>
        <v>0</v>
      </c>
      <c r="AG213" s="586">
        <f t="shared" si="110"/>
        <v>0</v>
      </c>
      <c r="AH213" s="586">
        <f t="shared" si="110"/>
        <v>0</v>
      </c>
      <c r="AI213" s="586">
        <f t="shared" si="110"/>
        <v>0</v>
      </c>
      <c r="AJ213" s="586">
        <f t="shared" si="110"/>
        <v>0</v>
      </c>
      <c r="AK213" s="586">
        <f t="shared" si="110"/>
        <v>0</v>
      </c>
      <c r="AL213" s="586">
        <f t="shared" si="110"/>
        <v>0</v>
      </c>
      <c r="AM213" s="586">
        <f t="shared" si="110"/>
        <v>0</v>
      </c>
      <c r="AN213" s="586">
        <f t="shared" si="110"/>
        <v>0</v>
      </c>
      <c r="AO213" s="586">
        <f t="shared" si="110"/>
        <v>0</v>
      </c>
      <c r="AP213" s="586">
        <f t="shared" si="110"/>
        <v>0</v>
      </c>
      <c r="AQ213" s="586">
        <f t="shared" si="110"/>
        <v>0</v>
      </c>
      <c r="AR213" s="586">
        <f t="shared" si="110"/>
        <v>0</v>
      </c>
      <c r="AS213" s="586">
        <f t="shared" si="110"/>
        <v>0</v>
      </c>
      <c r="AT213" s="170"/>
    </row>
    <row r="214" spans="1:46" ht="15" x14ac:dyDescent="0.25">
      <c r="A214" s="170"/>
      <c r="B214" s="719"/>
      <c r="C214" s="170" t="str">
        <f t="shared" si="105"/>
        <v>580</v>
      </c>
      <c r="D214" s="170"/>
      <c r="E214" s="170"/>
      <c r="F214" s="170">
        <f>+Parameters!D61</f>
        <v>58</v>
      </c>
      <c r="G214" s="170">
        <f>+Parameters!E61</f>
        <v>0</v>
      </c>
      <c r="H214" s="586">
        <f t="shared" si="107"/>
        <v>0</v>
      </c>
      <c r="I214" s="170">
        <f>+Parameters!F61</f>
        <v>0</v>
      </c>
      <c r="J214" s="170"/>
      <c r="K214" s="170"/>
      <c r="L214" s="170"/>
      <c r="M214" s="730"/>
      <c r="N214" s="730"/>
      <c r="O214" s="730"/>
      <c r="P214" s="731"/>
      <c r="Q214" s="731"/>
      <c r="R214" s="730"/>
      <c r="S214" s="730"/>
      <c r="T214" s="723"/>
      <c r="U214" s="724"/>
      <c r="V214" s="725"/>
      <c r="W214" s="725"/>
      <c r="X214" s="723"/>
      <c r="Y214" s="723"/>
      <c r="Z214" s="723"/>
      <c r="AA214" s="726"/>
      <c r="AB214" s="726"/>
      <c r="AC214" s="170"/>
      <c r="AD214" s="586">
        <f t="shared" si="111"/>
        <v>0</v>
      </c>
      <c r="AE214" s="586">
        <f t="shared" si="110"/>
        <v>0</v>
      </c>
      <c r="AF214" s="586">
        <f t="shared" si="110"/>
        <v>0</v>
      </c>
      <c r="AG214" s="586">
        <f t="shared" si="110"/>
        <v>0</v>
      </c>
      <c r="AH214" s="586">
        <f t="shared" si="110"/>
        <v>0</v>
      </c>
      <c r="AI214" s="586">
        <f t="shared" si="110"/>
        <v>0</v>
      </c>
      <c r="AJ214" s="586">
        <f t="shared" si="110"/>
        <v>0</v>
      </c>
      <c r="AK214" s="586">
        <f t="shared" si="110"/>
        <v>0</v>
      </c>
      <c r="AL214" s="586">
        <f t="shared" si="110"/>
        <v>0</v>
      </c>
      <c r="AM214" s="586">
        <f t="shared" si="110"/>
        <v>0</v>
      </c>
      <c r="AN214" s="586">
        <f t="shared" si="110"/>
        <v>0</v>
      </c>
      <c r="AO214" s="586">
        <f t="shared" si="110"/>
        <v>0</v>
      </c>
      <c r="AP214" s="586">
        <f t="shared" si="110"/>
        <v>0</v>
      </c>
      <c r="AQ214" s="586">
        <f t="shared" si="110"/>
        <v>0</v>
      </c>
      <c r="AR214" s="586">
        <f t="shared" si="110"/>
        <v>0</v>
      </c>
      <c r="AS214" s="586">
        <f t="shared" si="110"/>
        <v>0</v>
      </c>
      <c r="AT214" s="170"/>
    </row>
    <row r="215" spans="1:46" ht="15" x14ac:dyDescent="0.25">
      <c r="A215" s="170"/>
      <c r="B215" s="719"/>
      <c r="C215" s="170" t="str">
        <f t="shared" si="105"/>
        <v>59ea</v>
      </c>
      <c r="D215" s="170"/>
      <c r="E215" s="170"/>
      <c r="F215" s="170">
        <f>+Parameters!D62</f>
        <v>59</v>
      </c>
      <c r="G215" s="170" t="str">
        <f>+Parameters!E62</f>
        <v>Major Eqt - Other</v>
      </c>
      <c r="H215" s="586">
        <f t="shared" si="107"/>
        <v>0</v>
      </c>
      <c r="I215" s="170" t="str">
        <f>+Parameters!F62</f>
        <v>ea</v>
      </c>
      <c r="J215" s="170"/>
      <c r="K215" s="170"/>
      <c r="L215" s="170"/>
      <c r="M215" s="730"/>
      <c r="N215" s="730"/>
      <c r="O215" s="730"/>
      <c r="P215" s="731"/>
      <c r="Q215" s="731"/>
      <c r="R215" s="730"/>
      <c r="S215" s="730"/>
      <c r="T215" s="723"/>
      <c r="U215" s="724"/>
      <c r="V215" s="725"/>
      <c r="W215" s="725"/>
      <c r="X215" s="723"/>
      <c r="Y215" s="723"/>
      <c r="Z215" s="723"/>
      <c r="AA215" s="726"/>
      <c r="AB215" s="726"/>
      <c r="AC215" s="170"/>
      <c r="AD215" s="586">
        <f t="shared" si="111"/>
        <v>0</v>
      </c>
      <c r="AE215" s="586">
        <f t="shared" si="110"/>
        <v>0</v>
      </c>
      <c r="AF215" s="586">
        <f t="shared" si="110"/>
        <v>0</v>
      </c>
      <c r="AG215" s="586">
        <f t="shared" si="110"/>
        <v>0</v>
      </c>
      <c r="AH215" s="586">
        <f t="shared" si="110"/>
        <v>0</v>
      </c>
      <c r="AI215" s="586">
        <f t="shared" si="110"/>
        <v>0</v>
      </c>
      <c r="AJ215" s="586">
        <f t="shared" si="110"/>
        <v>0</v>
      </c>
      <c r="AK215" s="586">
        <f t="shared" si="110"/>
        <v>0</v>
      </c>
      <c r="AL215" s="586">
        <f t="shared" si="110"/>
        <v>0</v>
      </c>
      <c r="AM215" s="586">
        <f t="shared" si="110"/>
        <v>0</v>
      </c>
      <c r="AN215" s="586">
        <f t="shared" si="110"/>
        <v>0</v>
      </c>
      <c r="AO215" s="586">
        <f t="shared" si="110"/>
        <v>0</v>
      </c>
      <c r="AP215" s="586">
        <f t="shared" si="110"/>
        <v>0</v>
      </c>
      <c r="AQ215" s="586">
        <f t="shared" si="110"/>
        <v>0</v>
      </c>
      <c r="AR215" s="586">
        <f t="shared" si="110"/>
        <v>0</v>
      </c>
      <c r="AS215" s="586">
        <f t="shared" si="110"/>
        <v>0</v>
      </c>
      <c r="AT215" s="170"/>
    </row>
    <row r="216" spans="1:46" ht="15" x14ac:dyDescent="0.25">
      <c r="A216" s="170"/>
      <c r="B216" s="719"/>
      <c r="C216" s="170" t="str">
        <f t="shared" si="105"/>
        <v>600</v>
      </c>
      <c r="D216" s="170"/>
      <c r="E216" s="170"/>
      <c r="F216" s="170">
        <f>+Parameters!D63</f>
        <v>60</v>
      </c>
      <c r="G216" s="170">
        <f>+Parameters!E63</f>
        <v>0</v>
      </c>
      <c r="H216" s="586">
        <f t="shared" si="107"/>
        <v>0</v>
      </c>
      <c r="I216" s="170">
        <f>+Parameters!F63</f>
        <v>0</v>
      </c>
      <c r="J216" s="170"/>
      <c r="K216" s="170"/>
      <c r="L216" s="170"/>
      <c r="M216" s="730"/>
      <c r="N216" s="730"/>
      <c r="O216" s="730"/>
      <c r="P216" s="731"/>
      <c r="Q216" s="731"/>
      <c r="R216" s="730"/>
      <c r="S216" s="730"/>
      <c r="T216" s="723"/>
      <c r="U216" s="724"/>
      <c r="V216" s="725"/>
      <c r="W216" s="725"/>
      <c r="X216" s="723"/>
      <c r="Y216" s="723"/>
      <c r="Z216" s="723"/>
      <c r="AA216" s="726"/>
      <c r="AB216" s="726"/>
      <c r="AC216" s="170"/>
      <c r="AD216" s="586">
        <f t="shared" si="111"/>
        <v>0</v>
      </c>
      <c r="AE216" s="586">
        <f t="shared" si="110"/>
        <v>0</v>
      </c>
      <c r="AF216" s="586">
        <f t="shared" si="110"/>
        <v>0</v>
      </c>
      <c r="AG216" s="586">
        <f t="shared" si="110"/>
        <v>0</v>
      </c>
      <c r="AH216" s="586">
        <f t="shared" si="110"/>
        <v>0</v>
      </c>
      <c r="AI216" s="586">
        <f t="shared" si="110"/>
        <v>0</v>
      </c>
      <c r="AJ216" s="586">
        <f t="shared" si="110"/>
        <v>0</v>
      </c>
      <c r="AK216" s="586">
        <f t="shared" si="110"/>
        <v>0</v>
      </c>
      <c r="AL216" s="586">
        <f t="shared" si="110"/>
        <v>0</v>
      </c>
      <c r="AM216" s="586">
        <f t="shared" si="110"/>
        <v>0</v>
      </c>
      <c r="AN216" s="586">
        <f t="shared" si="110"/>
        <v>0</v>
      </c>
      <c r="AO216" s="586">
        <f t="shared" si="110"/>
        <v>0</v>
      </c>
      <c r="AP216" s="586">
        <f t="shared" si="110"/>
        <v>0</v>
      </c>
      <c r="AQ216" s="586">
        <f t="shared" si="110"/>
        <v>0</v>
      </c>
      <c r="AR216" s="586">
        <f t="shared" si="110"/>
        <v>0</v>
      </c>
      <c r="AS216" s="586">
        <f t="shared" si="110"/>
        <v>0</v>
      </c>
      <c r="AT216" s="170"/>
    </row>
    <row r="217" spans="1:46" ht="15" x14ac:dyDescent="0.25">
      <c r="A217" s="170"/>
      <c r="B217" s="719"/>
      <c r="C217" s="170" t="str">
        <f t="shared" si="105"/>
        <v>610</v>
      </c>
      <c r="D217" s="170"/>
      <c r="E217" s="170"/>
      <c r="F217" s="170">
        <f>+Parameters!D64</f>
        <v>61</v>
      </c>
      <c r="G217" s="170">
        <f>+Parameters!E64</f>
        <v>0</v>
      </c>
      <c r="H217" s="586">
        <f t="shared" si="107"/>
        <v>0</v>
      </c>
      <c r="I217" s="170">
        <f>+Parameters!F64</f>
        <v>0</v>
      </c>
      <c r="J217" s="170"/>
      <c r="K217" s="170"/>
      <c r="L217" s="170"/>
      <c r="M217" s="730"/>
      <c r="N217" s="730"/>
      <c r="O217" s="730"/>
      <c r="P217" s="731"/>
      <c r="Q217" s="731"/>
      <c r="R217" s="730"/>
      <c r="S217" s="730"/>
      <c r="T217" s="723"/>
      <c r="U217" s="724"/>
      <c r="V217" s="725"/>
      <c r="W217" s="725"/>
      <c r="X217" s="723"/>
      <c r="Y217" s="723"/>
      <c r="Z217" s="723"/>
      <c r="AA217" s="726"/>
      <c r="AB217" s="726"/>
      <c r="AC217" s="170"/>
      <c r="AD217" s="586">
        <f t="shared" si="111"/>
        <v>0</v>
      </c>
      <c r="AE217" s="586">
        <f t="shared" si="110"/>
        <v>0</v>
      </c>
      <c r="AF217" s="586">
        <f t="shared" si="110"/>
        <v>0</v>
      </c>
      <c r="AG217" s="586">
        <f t="shared" si="110"/>
        <v>0</v>
      </c>
      <c r="AH217" s="586">
        <f t="shared" si="110"/>
        <v>0</v>
      </c>
      <c r="AI217" s="586">
        <f t="shared" si="110"/>
        <v>0</v>
      </c>
      <c r="AJ217" s="586">
        <f t="shared" si="110"/>
        <v>0</v>
      </c>
      <c r="AK217" s="586">
        <f t="shared" si="110"/>
        <v>0</v>
      </c>
      <c r="AL217" s="586">
        <f t="shared" si="110"/>
        <v>0</v>
      </c>
      <c r="AM217" s="586">
        <f t="shared" si="110"/>
        <v>0</v>
      </c>
      <c r="AN217" s="586">
        <f t="shared" si="110"/>
        <v>0</v>
      </c>
      <c r="AO217" s="586">
        <f t="shared" si="110"/>
        <v>0</v>
      </c>
      <c r="AP217" s="586">
        <f t="shared" si="110"/>
        <v>0</v>
      </c>
      <c r="AQ217" s="586">
        <f t="shared" si="110"/>
        <v>0</v>
      </c>
      <c r="AR217" s="586">
        <f t="shared" si="110"/>
        <v>0</v>
      </c>
      <c r="AS217" s="586">
        <f t="shared" si="110"/>
        <v>0</v>
      </c>
      <c r="AT217" s="170"/>
    </row>
    <row r="218" spans="1:46" ht="15" x14ac:dyDescent="0.25">
      <c r="A218" s="170"/>
      <c r="B218" s="719"/>
      <c r="C218" s="170" t="str">
        <f t="shared" si="105"/>
        <v>620</v>
      </c>
      <c r="D218" s="170"/>
      <c r="E218" s="170"/>
      <c r="F218" s="170">
        <f>+Parameters!D65</f>
        <v>62</v>
      </c>
      <c r="G218" s="170">
        <f>+Parameters!E65</f>
        <v>0</v>
      </c>
      <c r="H218" s="586">
        <f t="shared" si="107"/>
        <v>0</v>
      </c>
      <c r="I218" s="170">
        <f>+Parameters!F65</f>
        <v>0</v>
      </c>
      <c r="J218" s="170"/>
      <c r="K218" s="170"/>
      <c r="L218" s="170"/>
      <c r="M218" s="730"/>
      <c r="N218" s="730"/>
      <c r="O218" s="730"/>
      <c r="P218" s="731"/>
      <c r="Q218" s="731"/>
      <c r="R218" s="730"/>
      <c r="S218" s="730"/>
      <c r="T218" s="723"/>
      <c r="U218" s="724"/>
      <c r="V218" s="725"/>
      <c r="W218" s="725"/>
      <c r="X218" s="723"/>
      <c r="Y218" s="723"/>
      <c r="Z218" s="723"/>
      <c r="AA218" s="726"/>
      <c r="AB218" s="726"/>
      <c r="AC218" s="170"/>
      <c r="AD218" s="586">
        <f t="shared" si="111"/>
        <v>0</v>
      </c>
      <c r="AE218" s="586">
        <f t="shared" si="110"/>
        <v>0</v>
      </c>
      <c r="AF218" s="586">
        <f t="shared" si="110"/>
        <v>0</v>
      </c>
      <c r="AG218" s="586">
        <f t="shared" si="110"/>
        <v>0</v>
      </c>
      <c r="AH218" s="586">
        <f t="shared" si="110"/>
        <v>0</v>
      </c>
      <c r="AI218" s="586">
        <f t="shared" si="110"/>
        <v>0</v>
      </c>
      <c r="AJ218" s="586">
        <f t="shared" si="110"/>
        <v>0</v>
      </c>
      <c r="AK218" s="586">
        <f t="shared" si="110"/>
        <v>0</v>
      </c>
      <c r="AL218" s="586">
        <f t="shared" si="110"/>
        <v>0</v>
      </c>
      <c r="AM218" s="586">
        <f t="shared" si="110"/>
        <v>0</v>
      </c>
      <c r="AN218" s="586">
        <f t="shared" si="110"/>
        <v>0</v>
      </c>
      <c r="AO218" s="586">
        <f t="shared" si="110"/>
        <v>0</v>
      </c>
      <c r="AP218" s="586">
        <f t="shared" si="110"/>
        <v>0</v>
      </c>
      <c r="AQ218" s="586">
        <f t="shared" si="110"/>
        <v>0</v>
      </c>
      <c r="AR218" s="586">
        <f t="shared" si="110"/>
        <v>0</v>
      </c>
      <c r="AS218" s="586">
        <f t="shared" si="110"/>
        <v>0</v>
      </c>
      <c r="AT218" s="170"/>
    </row>
    <row r="219" spans="1:46" ht="15" x14ac:dyDescent="0.25">
      <c r="A219" s="170"/>
      <c r="B219" s="719"/>
      <c r="C219" s="170" t="str">
        <f t="shared" si="105"/>
        <v>63lf</v>
      </c>
      <c r="D219" s="170"/>
      <c r="E219" s="170"/>
      <c r="F219" s="170">
        <f>+Parameters!D66</f>
        <v>63</v>
      </c>
      <c r="G219" s="170" t="str">
        <f>+Parameters!E66</f>
        <v>Misc. Eqt - Bus</v>
      </c>
      <c r="H219" s="586">
        <f t="shared" si="107"/>
        <v>0</v>
      </c>
      <c r="I219" s="170" t="str">
        <f>+Parameters!F66</f>
        <v>lf</v>
      </c>
      <c r="J219" s="170"/>
      <c r="K219" s="170"/>
      <c r="L219" s="170"/>
      <c r="M219" s="730"/>
      <c r="N219" s="730"/>
      <c r="O219" s="730"/>
      <c r="P219" s="731"/>
      <c r="Q219" s="731"/>
      <c r="R219" s="730"/>
      <c r="S219" s="730"/>
      <c r="T219" s="723"/>
      <c r="U219" s="724"/>
      <c r="V219" s="725"/>
      <c r="W219" s="725"/>
      <c r="X219" s="723"/>
      <c r="Y219" s="723"/>
      <c r="Z219" s="723"/>
      <c r="AA219" s="726"/>
      <c r="AB219" s="726"/>
      <c r="AC219" s="170"/>
      <c r="AD219" s="586">
        <f t="shared" si="111"/>
        <v>0</v>
      </c>
      <c r="AE219" s="586">
        <f t="shared" si="110"/>
        <v>0</v>
      </c>
      <c r="AF219" s="586">
        <f t="shared" si="110"/>
        <v>0</v>
      </c>
      <c r="AG219" s="586">
        <f t="shared" si="110"/>
        <v>0</v>
      </c>
      <c r="AH219" s="586">
        <f t="shared" si="110"/>
        <v>0</v>
      </c>
      <c r="AI219" s="586">
        <f t="shared" si="110"/>
        <v>0</v>
      </c>
      <c r="AJ219" s="586">
        <f t="shared" si="110"/>
        <v>0</v>
      </c>
      <c r="AK219" s="586">
        <f t="shared" si="110"/>
        <v>0</v>
      </c>
      <c r="AL219" s="586">
        <f t="shared" si="110"/>
        <v>0</v>
      </c>
      <c r="AM219" s="586">
        <f t="shared" si="110"/>
        <v>0</v>
      </c>
      <c r="AN219" s="586">
        <f t="shared" si="110"/>
        <v>0</v>
      </c>
      <c r="AO219" s="586">
        <f t="shared" si="110"/>
        <v>0</v>
      </c>
      <c r="AP219" s="586">
        <f t="shared" si="110"/>
        <v>0</v>
      </c>
      <c r="AQ219" s="586">
        <f t="shared" si="110"/>
        <v>0</v>
      </c>
      <c r="AR219" s="586">
        <f t="shared" si="110"/>
        <v>0</v>
      </c>
      <c r="AS219" s="586">
        <f t="shared" si="110"/>
        <v>0</v>
      </c>
      <c r="AT219" s="170"/>
    </row>
    <row r="220" spans="1:46" ht="15" x14ac:dyDescent="0.25">
      <c r="A220" s="170"/>
      <c r="B220" s="719"/>
      <c r="C220" s="170" t="str">
        <f t="shared" si="105"/>
        <v>64lf</v>
      </c>
      <c r="D220" s="170"/>
      <c r="E220" s="170"/>
      <c r="F220" s="170">
        <f>+Parameters!D67</f>
        <v>64</v>
      </c>
      <c r="G220" s="170" t="str">
        <f>+Parameters!E67</f>
        <v>Misc. Eqt - Conduit / Tray</v>
      </c>
      <c r="H220" s="586">
        <f t="shared" si="107"/>
        <v>0</v>
      </c>
      <c r="I220" s="170" t="str">
        <f>+Parameters!F67</f>
        <v>lf</v>
      </c>
      <c r="J220" s="170"/>
      <c r="K220" s="170"/>
      <c r="L220" s="170"/>
      <c r="M220" s="730"/>
      <c r="N220" s="730"/>
      <c r="O220" s="730"/>
      <c r="P220" s="731"/>
      <c r="Q220" s="731"/>
      <c r="R220" s="730"/>
      <c r="S220" s="730"/>
      <c r="T220" s="723"/>
      <c r="U220" s="724"/>
      <c r="V220" s="725"/>
      <c r="W220" s="725"/>
      <c r="X220" s="723"/>
      <c r="Y220" s="723"/>
      <c r="Z220" s="723"/>
      <c r="AA220" s="726"/>
      <c r="AB220" s="726"/>
      <c r="AC220" s="170"/>
      <c r="AD220" s="586">
        <f t="shared" si="111"/>
        <v>0</v>
      </c>
      <c r="AE220" s="586">
        <f t="shared" si="110"/>
        <v>0</v>
      </c>
      <c r="AF220" s="586">
        <f t="shared" si="110"/>
        <v>0</v>
      </c>
      <c r="AG220" s="586">
        <f t="shared" si="110"/>
        <v>0</v>
      </c>
      <c r="AH220" s="586">
        <f t="shared" si="110"/>
        <v>0</v>
      </c>
      <c r="AI220" s="586">
        <f t="shared" si="110"/>
        <v>0</v>
      </c>
      <c r="AJ220" s="586">
        <f t="shared" si="110"/>
        <v>0</v>
      </c>
      <c r="AK220" s="586">
        <f t="shared" si="110"/>
        <v>0</v>
      </c>
      <c r="AL220" s="586">
        <f t="shared" si="110"/>
        <v>0</v>
      </c>
      <c r="AM220" s="586">
        <f t="shared" si="110"/>
        <v>0</v>
      </c>
      <c r="AN220" s="586">
        <f t="shared" si="110"/>
        <v>0</v>
      </c>
      <c r="AO220" s="586">
        <f t="shared" si="110"/>
        <v>0</v>
      </c>
      <c r="AP220" s="586">
        <f t="shared" si="110"/>
        <v>0</v>
      </c>
      <c r="AQ220" s="586">
        <f t="shared" si="110"/>
        <v>0</v>
      </c>
      <c r="AR220" s="586">
        <f t="shared" si="110"/>
        <v>0</v>
      </c>
      <c r="AS220" s="586">
        <f t="shared" ref="AE220:AS237" si="112">SUMIF($F$9:$F$153,$F220,AS$9:AS$153)</f>
        <v>0</v>
      </c>
      <c r="AT220" s="170"/>
    </row>
    <row r="221" spans="1:46" ht="15" x14ac:dyDescent="0.25">
      <c r="A221" s="170"/>
      <c r="B221" s="719"/>
      <c r="C221" s="170" t="str">
        <f t="shared" ref="C221:C255" si="113">+F221&amp;I221</f>
        <v>65ea</v>
      </c>
      <c r="D221" s="170"/>
      <c r="E221" s="170"/>
      <c r="F221" s="170">
        <f>+Parameters!D68</f>
        <v>65</v>
      </c>
      <c r="G221" s="170" t="str">
        <f>+Parameters!E68</f>
        <v>Misc. Eqt - Insulators</v>
      </c>
      <c r="H221" s="586">
        <f t="shared" si="107"/>
        <v>0</v>
      </c>
      <c r="I221" s="170" t="str">
        <f>+Parameters!F68</f>
        <v>ea</v>
      </c>
      <c r="J221" s="170"/>
      <c r="K221" s="170"/>
      <c r="L221" s="170"/>
      <c r="M221" s="730"/>
      <c r="N221" s="730"/>
      <c r="O221" s="730"/>
      <c r="P221" s="731"/>
      <c r="Q221" s="731"/>
      <c r="R221" s="730"/>
      <c r="S221" s="730"/>
      <c r="T221" s="723"/>
      <c r="U221" s="724"/>
      <c r="V221" s="725"/>
      <c r="W221" s="725"/>
      <c r="X221" s="723"/>
      <c r="Y221" s="723"/>
      <c r="Z221" s="723"/>
      <c r="AA221" s="726"/>
      <c r="AB221" s="726"/>
      <c r="AC221" s="170"/>
      <c r="AD221" s="586">
        <f t="shared" si="111"/>
        <v>0</v>
      </c>
      <c r="AE221" s="586">
        <f t="shared" si="112"/>
        <v>0</v>
      </c>
      <c r="AF221" s="586">
        <f t="shared" si="112"/>
        <v>0</v>
      </c>
      <c r="AG221" s="586">
        <f t="shared" si="112"/>
        <v>0</v>
      </c>
      <c r="AH221" s="586">
        <f t="shared" si="112"/>
        <v>0</v>
      </c>
      <c r="AI221" s="586">
        <f t="shared" si="112"/>
        <v>0</v>
      </c>
      <c r="AJ221" s="586">
        <f t="shared" si="112"/>
        <v>0</v>
      </c>
      <c r="AK221" s="586">
        <f t="shared" si="112"/>
        <v>0</v>
      </c>
      <c r="AL221" s="586">
        <f t="shared" si="112"/>
        <v>0</v>
      </c>
      <c r="AM221" s="586">
        <f t="shared" si="112"/>
        <v>0</v>
      </c>
      <c r="AN221" s="586">
        <f t="shared" si="112"/>
        <v>0</v>
      </c>
      <c r="AO221" s="586">
        <f t="shared" si="112"/>
        <v>0</v>
      </c>
      <c r="AP221" s="586">
        <f t="shared" si="112"/>
        <v>0</v>
      </c>
      <c r="AQ221" s="586">
        <f t="shared" si="112"/>
        <v>0</v>
      </c>
      <c r="AR221" s="586">
        <f t="shared" si="112"/>
        <v>0</v>
      </c>
      <c r="AS221" s="586">
        <f t="shared" si="112"/>
        <v>0</v>
      </c>
      <c r="AT221" s="170"/>
    </row>
    <row r="222" spans="1:46" ht="15" x14ac:dyDescent="0.25">
      <c r="A222" s="170"/>
      <c r="B222" s="719"/>
      <c r="C222" s="170" t="str">
        <f t="shared" si="113"/>
        <v>66ea</v>
      </c>
      <c r="D222" s="170"/>
      <c r="E222" s="170"/>
      <c r="F222" s="170">
        <f>+Parameters!D69</f>
        <v>66</v>
      </c>
      <c r="G222" s="170" t="str">
        <f>+Parameters!E69</f>
        <v>Misc. Eqt - LA's</v>
      </c>
      <c r="H222" s="586">
        <f t="shared" ref="H222:H255" si="114">SUMIF($C$9:$C$153,$C222,H$9:H$153)</f>
        <v>0</v>
      </c>
      <c r="I222" s="170" t="str">
        <f>+Parameters!F69</f>
        <v>ea</v>
      </c>
      <c r="J222" s="170"/>
      <c r="K222" s="170"/>
      <c r="L222" s="170"/>
      <c r="M222" s="730"/>
      <c r="N222" s="730"/>
      <c r="O222" s="730"/>
      <c r="P222" s="731"/>
      <c r="Q222" s="731"/>
      <c r="R222" s="730"/>
      <c r="S222" s="730"/>
      <c r="T222" s="723"/>
      <c r="U222" s="724"/>
      <c r="V222" s="725"/>
      <c r="W222" s="725"/>
      <c r="X222" s="723"/>
      <c r="Y222" s="723"/>
      <c r="Z222" s="723"/>
      <c r="AA222" s="726"/>
      <c r="AB222" s="726"/>
      <c r="AC222" s="170"/>
      <c r="AD222" s="586">
        <f t="shared" si="111"/>
        <v>0</v>
      </c>
      <c r="AE222" s="586">
        <f t="shared" si="112"/>
        <v>0</v>
      </c>
      <c r="AF222" s="586">
        <f t="shared" si="112"/>
        <v>0</v>
      </c>
      <c r="AG222" s="586">
        <f t="shared" si="112"/>
        <v>0</v>
      </c>
      <c r="AH222" s="586">
        <f t="shared" si="112"/>
        <v>0</v>
      </c>
      <c r="AI222" s="586">
        <f t="shared" si="112"/>
        <v>0</v>
      </c>
      <c r="AJ222" s="586">
        <f t="shared" si="112"/>
        <v>0</v>
      </c>
      <c r="AK222" s="586">
        <f t="shared" si="112"/>
        <v>0</v>
      </c>
      <c r="AL222" s="586">
        <f t="shared" si="112"/>
        <v>0</v>
      </c>
      <c r="AM222" s="586">
        <f t="shared" si="112"/>
        <v>0</v>
      </c>
      <c r="AN222" s="586">
        <f t="shared" si="112"/>
        <v>0</v>
      </c>
      <c r="AO222" s="586">
        <f t="shared" si="112"/>
        <v>0</v>
      </c>
      <c r="AP222" s="586">
        <f t="shared" si="112"/>
        <v>0</v>
      </c>
      <c r="AQ222" s="586">
        <f t="shared" si="112"/>
        <v>0</v>
      </c>
      <c r="AR222" s="586">
        <f t="shared" si="112"/>
        <v>0</v>
      </c>
      <c r="AS222" s="586">
        <f t="shared" si="112"/>
        <v>0</v>
      </c>
      <c r="AT222" s="170"/>
    </row>
    <row r="223" spans="1:46" ht="15" x14ac:dyDescent="0.25">
      <c r="A223" s="170"/>
      <c r="B223" s="719"/>
      <c r="C223" s="170" t="str">
        <f t="shared" si="113"/>
        <v>67ea</v>
      </c>
      <c r="D223" s="170"/>
      <c r="E223" s="170"/>
      <c r="F223" s="170">
        <f>+Parameters!D70</f>
        <v>67</v>
      </c>
      <c r="G223" s="170" t="str">
        <f>+Parameters!E70</f>
        <v>Misc. Eqt - CCVT</v>
      </c>
      <c r="H223" s="586">
        <f t="shared" si="114"/>
        <v>0</v>
      </c>
      <c r="I223" s="170" t="str">
        <f>+Parameters!F70</f>
        <v>ea</v>
      </c>
      <c r="J223" s="170"/>
      <c r="K223" s="170"/>
      <c r="L223" s="170"/>
      <c r="M223" s="730"/>
      <c r="N223" s="730"/>
      <c r="O223" s="730"/>
      <c r="P223" s="731"/>
      <c r="Q223" s="731"/>
      <c r="R223" s="730"/>
      <c r="S223" s="730"/>
      <c r="T223" s="723"/>
      <c r="U223" s="724"/>
      <c r="V223" s="725"/>
      <c r="W223" s="725"/>
      <c r="X223" s="723"/>
      <c r="Y223" s="723"/>
      <c r="Z223" s="723"/>
      <c r="AA223" s="726"/>
      <c r="AB223" s="726"/>
      <c r="AC223" s="170"/>
      <c r="AD223" s="586">
        <f t="shared" si="111"/>
        <v>0</v>
      </c>
      <c r="AE223" s="586">
        <f t="shared" si="112"/>
        <v>0</v>
      </c>
      <c r="AF223" s="586">
        <f t="shared" si="112"/>
        <v>0</v>
      </c>
      <c r="AG223" s="586">
        <f t="shared" si="112"/>
        <v>0</v>
      </c>
      <c r="AH223" s="586">
        <f t="shared" si="112"/>
        <v>0</v>
      </c>
      <c r="AI223" s="586">
        <f t="shared" si="112"/>
        <v>0</v>
      </c>
      <c r="AJ223" s="586">
        <f t="shared" si="112"/>
        <v>0</v>
      </c>
      <c r="AK223" s="586">
        <f t="shared" si="112"/>
        <v>0</v>
      </c>
      <c r="AL223" s="586">
        <f t="shared" si="112"/>
        <v>0</v>
      </c>
      <c r="AM223" s="586">
        <f t="shared" si="112"/>
        <v>0</v>
      </c>
      <c r="AN223" s="586">
        <f t="shared" si="112"/>
        <v>0</v>
      </c>
      <c r="AO223" s="586">
        <f t="shared" si="112"/>
        <v>0</v>
      </c>
      <c r="AP223" s="586">
        <f t="shared" si="112"/>
        <v>0</v>
      </c>
      <c r="AQ223" s="586">
        <f t="shared" si="112"/>
        <v>0</v>
      </c>
      <c r="AR223" s="586">
        <f t="shared" si="112"/>
        <v>0</v>
      </c>
      <c r="AS223" s="586">
        <f t="shared" si="112"/>
        <v>0</v>
      </c>
      <c r="AT223" s="170"/>
    </row>
    <row r="224" spans="1:46" ht="15" x14ac:dyDescent="0.25">
      <c r="A224" s="170"/>
      <c r="B224" s="719"/>
      <c r="C224" s="170" t="str">
        <f t="shared" si="113"/>
        <v>680</v>
      </c>
      <c r="D224" s="170"/>
      <c r="E224" s="170"/>
      <c r="F224" s="170">
        <f>+Parameters!D71</f>
        <v>68</v>
      </c>
      <c r="G224" s="170">
        <f>+Parameters!E71</f>
        <v>0</v>
      </c>
      <c r="H224" s="586">
        <f t="shared" si="114"/>
        <v>0</v>
      </c>
      <c r="I224" s="170">
        <f>+Parameters!F71</f>
        <v>0</v>
      </c>
      <c r="J224" s="170"/>
      <c r="K224" s="170"/>
      <c r="L224" s="170"/>
      <c r="M224" s="730"/>
      <c r="N224" s="730"/>
      <c r="O224" s="730"/>
      <c r="P224" s="731"/>
      <c r="Q224" s="731"/>
      <c r="R224" s="730"/>
      <c r="S224" s="730"/>
      <c r="T224" s="723"/>
      <c r="U224" s="724"/>
      <c r="V224" s="725"/>
      <c r="W224" s="725"/>
      <c r="X224" s="723"/>
      <c r="Y224" s="723"/>
      <c r="Z224" s="723"/>
      <c r="AA224" s="726"/>
      <c r="AB224" s="726"/>
      <c r="AC224" s="170"/>
      <c r="AD224" s="586">
        <f t="shared" si="111"/>
        <v>0</v>
      </c>
      <c r="AE224" s="586">
        <f t="shared" si="112"/>
        <v>0</v>
      </c>
      <c r="AF224" s="586">
        <f t="shared" si="112"/>
        <v>0</v>
      </c>
      <c r="AG224" s="586">
        <f t="shared" si="112"/>
        <v>0</v>
      </c>
      <c r="AH224" s="586">
        <f t="shared" si="112"/>
        <v>0</v>
      </c>
      <c r="AI224" s="586">
        <f t="shared" si="112"/>
        <v>0</v>
      </c>
      <c r="AJ224" s="586">
        <f t="shared" si="112"/>
        <v>0</v>
      </c>
      <c r="AK224" s="586">
        <f t="shared" si="112"/>
        <v>0</v>
      </c>
      <c r="AL224" s="586">
        <f t="shared" si="112"/>
        <v>0</v>
      </c>
      <c r="AM224" s="586">
        <f t="shared" si="112"/>
        <v>0</v>
      </c>
      <c r="AN224" s="586">
        <f t="shared" si="112"/>
        <v>0</v>
      </c>
      <c r="AO224" s="586">
        <f t="shared" si="112"/>
        <v>0</v>
      </c>
      <c r="AP224" s="586">
        <f t="shared" si="112"/>
        <v>0</v>
      </c>
      <c r="AQ224" s="586">
        <f t="shared" si="112"/>
        <v>0</v>
      </c>
      <c r="AR224" s="586">
        <f t="shared" si="112"/>
        <v>0</v>
      </c>
      <c r="AS224" s="586">
        <f t="shared" si="112"/>
        <v>0</v>
      </c>
      <c r="AT224" s="170"/>
    </row>
    <row r="225" spans="1:46" ht="15" x14ac:dyDescent="0.25">
      <c r="A225" s="170"/>
      <c r="B225" s="719"/>
      <c r="C225" s="170" t="str">
        <f t="shared" si="113"/>
        <v>69ea</v>
      </c>
      <c r="D225" s="170"/>
      <c r="E225" s="170"/>
      <c r="F225" s="170">
        <f>+Parameters!D72</f>
        <v>69</v>
      </c>
      <c r="G225" s="170" t="str">
        <f>+Parameters!E72</f>
        <v>Misc. Eqt - Other</v>
      </c>
      <c r="H225" s="586">
        <f t="shared" si="114"/>
        <v>0</v>
      </c>
      <c r="I225" s="170" t="str">
        <f>+Parameters!F72</f>
        <v>ea</v>
      </c>
      <c r="J225" s="170"/>
      <c r="K225" s="170"/>
      <c r="L225" s="170"/>
      <c r="M225" s="730"/>
      <c r="N225" s="730"/>
      <c r="O225" s="730"/>
      <c r="P225" s="731"/>
      <c r="Q225" s="731"/>
      <c r="R225" s="730"/>
      <c r="S225" s="730"/>
      <c r="T225" s="723"/>
      <c r="U225" s="724"/>
      <c r="V225" s="725"/>
      <c r="W225" s="725"/>
      <c r="X225" s="723"/>
      <c r="Y225" s="723"/>
      <c r="Z225" s="723"/>
      <c r="AA225" s="726"/>
      <c r="AB225" s="726"/>
      <c r="AC225" s="170"/>
      <c r="AD225" s="586">
        <f t="shared" si="111"/>
        <v>0</v>
      </c>
      <c r="AE225" s="586">
        <f t="shared" si="112"/>
        <v>0</v>
      </c>
      <c r="AF225" s="586">
        <f t="shared" si="112"/>
        <v>0</v>
      </c>
      <c r="AG225" s="586">
        <f t="shared" si="112"/>
        <v>0</v>
      </c>
      <c r="AH225" s="586">
        <f t="shared" si="112"/>
        <v>0</v>
      </c>
      <c r="AI225" s="586">
        <f t="shared" si="112"/>
        <v>0</v>
      </c>
      <c r="AJ225" s="586">
        <f t="shared" si="112"/>
        <v>0</v>
      </c>
      <c r="AK225" s="586">
        <f t="shared" si="112"/>
        <v>0</v>
      </c>
      <c r="AL225" s="586">
        <f t="shared" si="112"/>
        <v>0</v>
      </c>
      <c r="AM225" s="586">
        <f t="shared" si="112"/>
        <v>0</v>
      </c>
      <c r="AN225" s="586">
        <f t="shared" si="112"/>
        <v>0</v>
      </c>
      <c r="AO225" s="586">
        <f t="shared" si="112"/>
        <v>0</v>
      </c>
      <c r="AP225" s="586">
        <f t="shared" si="112"/>
        <v>0</v>
      </c>
      <c r="AQ225" s="586">
        <f t="shared" si="112"/>
        <v>0</v>
      </c>
      <c r="AR225" s="586">
        <f t="shared" si="112"/>
        <v>0</v>
      </c>
      <c r="AS225" s="586">
        <f t="shared" si="112"/>
        <v>0</v>
      </c>
      <c r="AT225" s="170"/>
    </row>
    <row r="226" spans="1:46" ht="15" x14ac:dyDescent="0.25">
      <c r="A226" s="170"/>
      <c r="B226" s="719"/>
      <c r="C226" s="170" t="str">
        <f t="shared" si="113"/>
        <v>700</v>
      </c>
      <c r="D226" s="170"/>
      <c r="E226" s="170"/>
      <c r="F226" s="170">
        <f>+Parameters!D73</f>
        <v>70</v>
      </c>
      <c r="G226" s="170" t="str">
        <f>+Parameters!E73</f>
        <v>Control house Buidling</v>
      </c>
      <c r="H226" s="586">
        <f t="shared" si="114"/>
        <v>0</v>
      </c>
      <c r="I226" s="170">
        <f>+Parameters!F73</f>
        <v>0</v>
      </c>
      <c r="J226" s="170"/>
      <c r="K226" s="170"/>
      <c r="L226" s="170"/>
      <c r="M226" s="730"/>
      <c r="N226" s="730"/>
      <c r="O226" s="730"/>
      <c r="P226" s="731"/>
      <c r="Q226" s="731"/>
      <c r="R226" s="730"/>
      <c r="S226" s="730"/>
      <c r="T226" s="723"/>
      <c r="U226" s="724"/>
      <c r="V226" s="725"/>
      <c r="W226" s="725"/>
      <c r="X226" s="723"/>
      <c r="Y226" s="723"/>
      <c r="Z226" s="723"/>
      <c r="AA226" s="726"/>
      <c r="AB226" s="726"/>
      <c r="AC226" s="170"/>
      <c r="AD226" s="586">
        <f t="shared" si="111"/>
        <v>0</v>
      </c>
      <c r="AE226" s="586">
        <f t="shared" si="112"/>
        <v>0</v>
      </c>
      <c r="AF226" s="586">
        <f t="shared" si="112"/>
        <v>0</v>
      </c>
      <c r="AG226" s="586">
        <f t="shared" si="112"/>
        <v>0</v>
      </c>
      <c r="AH226" s="586">
        <f t="shared" si="112"/>
        <v>0</v>
      </c>
      <c r="AI226" s="586">
        <f t="shared" si="112"/>
        <v>0</v>
      </c>
      <c r="AJ226" s="586">
        <f t="shared" si="112"/>
        <v>0</v>
      </c>
      <c r="AK226" s="586">
        <f t="shared" si="112"/>
        <v>0</v>
      </c>
      <c r="AL226" s="586">
        <f t="shared" si="112"/>
        <v>0</v>
      </c>
      <c r="AM226" s="586">
        <f t="shared" si="112"/>
        <v>0</v>
      </c>
      <c r="AN226" s="586">
        <f t="shared" si="112"/>
        <v>0</v>
      </c>
      <c r="AO226" s="586">
        <f t="shared" si="112"/>
        <v>0</v>
      </c>
      <c r="AP226" s="586">
        <f t="shared" si="112"/>
        <v>0</v>
      </c>
      <c r="AQ226" s="586">
        <f t="shared" si="112"/>
        <v>0</v>
      </c>
      <c r="AR226" s="586">
        <f t="shared" si="112"/>
        <v>0</v>
      </c>
      <c r="AS226" s="586">
        <f t="shared" si="112"/>
        <v>0</v>
      </c>
      <c r="AT226" s="170"/>
    </row>
    <row r="227" spans="1:46" ht="15" x14ac:dyDescent="0.25">
      <c r="A227" s="170"/>
      <c r="B227" s="719"/>
      <c r="C227" s="170" t="str">
        <f t="shared" si="113"/>
        <v>710</v>
      </c>
      <c r="D227" s="170"/>
      <c r="E227" s="170"/>
      <c r="F227" s="170">
        <f>+Parameters!D74</f>
        <v>71</v>
      </c>
      <c r="G227" s="170" t="str">
        <f>+Parameters!E74</f>
        <v>Pre-Eng Building</v>
      </c>
      <c r="H227" s="586">
        <f t="shared" si="114"/>
        <v>0</v>
      </c>
      <c r="I227" s="170">
        <f>+Parameters!F74</f>
        <v>0</v>
      </c>
      <c r="J227" s="170"/>
      <c r="K227" s="170"/>
      <c r="L227" s="170"/>
      <c r="M227" s="730"/>
      <c r="N227" s="730"/>
      <c r="O227" s="730"/>
      <c r="P227" s="731"/>
      <c r="Q227" s="731"/>
      <c r="R227" s="730"/>
      <c r="S227" s="730"/>
      <c r="T227" s="723"/>
      <c r="U227" s="724"/>
      <c r="V227" s="725"/>
      <c r="W227" s="725"/>
      <c r="X227" s="723"/>
      <c r="Y227" s="723"/>
      <c r="Z227" s="723"/>
      <c r="AA227" s="726"/>
      <c r="AB227" s="726"/>
      <c r="AC227" s="170"/>
      <c r="AD227" s="586">
        <f t="shared" si="111"/>
        <v>0</v>
      </c>
      <c r="AE227" s="586">
        <f t="shared" si="112"/>
        <v>0</v>
      </c>
      <c r="AF227" s="586">
        <f t="shared" si="112"/>
        <v>0</v>
      </c>
      <c r="AG227" s="586">
        <f t="shared" si="112"/>
        <v>0</v>
      </c>
      <c r="AH227" s="586">
        <f t="shared" si="112"/>
        <v>0</v>
      </c>
      <c r="AI227" s="586">
        <f t="shared" si="112"/>
        <v>0</v>
      </c>
      <c r="AJ227" s="586">
        <f t="shared" si="112"/>
        <v>0</v>
      </c>
      <c r="AK227" s="586">
        <f t="shared" si="112"/>
        <v>0</v>
      </c>
      <c r="AL227" s="586">
        <f t="shared" si="112"/>
        <v>0</v>
      </c>
      <c r="AM227" s="586">
        <f t="shared" si="112"/>
        <v>0</v>
      </c>
      <c r="AN227" s="586">
        <f t="shared" si="112"/>
        <v>0</v>
      </c>
      <c r="AO227" s="586">
        <f t="shared" si="112"/>
        <v>0</v>
      </c>
      <c r="AP227" s="586">
        <f t="shared" si="112"/>
        <v>0</v>
      </c>
      <c r="AQ227" s="586">
        <f t="shared" si="112"/>
        <v>0</v>
      </c>
      <c r="AR227" s="586">
        <f t="shared" si="112"/>
        <v>0</v>
      </c>
      <c r="AS227" s="586">
        <f t="shared" si="112"/>
        <v>0</v>
      </c>
      <c r="AT227" s="170"/>
    </row>
    <row r="228" spans="1:46" ht="15" x14ac:dyDescent="0.25">
      <c r="A228" s="170"/>
      <c r="B228" s="719"/>
      <c r="C228" s="170" t="str">
        <f t="shared" si="113"/>
        <v>720</v>
      </c>
      <c r="D228" s="170"/>
      <c r="E228" s="170"/>
      <c r="F228" s="170">
        <f>+Parameters!D75</f>
        <v>72</v>
      </c>
      <c r="G228" s="170">
        <f>+Parameters!E75</f>
        <v>0</v>
      </c>
      <c r="H228" s="586">
        <f t="shared" si="114"/>
        <v>0</v>
      </c>
      <c r="I228" s="170">
        <f>+Parameters!F75</f>
        <v>0</v>
      </c>
      <c r="J228" s="170"/>
      <c r="K228" s="170"/>
      <c r="L228" s="170"/>
      <c r="M228" s="730"/>
      <c r="N228" s="730"/>
      <c r="O228" s="730"/>
      <c r="P228" s="731"/>
      <c r="Q228" s="731"/>
      <c r="R228" s="730"/>
      <c r="S228" s="730"/>
      <c r="T228" s="723"/>
      <c r="U228" s="724"/>
      <c r="V228" s="725"/>
      <c r="W228" s="725"/>
      <c r="X228" s="723"/>
      <c r="Y228" s="723"/>
      <c r="Z228" s="723"/>
      <c r="AA228" s="726"/>
      <c r="AB228" s="726"/>
      <c r="AC228" s="170"/>
      <c r="AD228" s="586">
        <f t="shared" si="111"/>
        <v>0</v>
      </c>
      <c r="AE228" s="586">
        <f t="shared" si="112"/>
        <v>0</v>
      </c>
      <c r="AF228" s="586">
        <f t="shared" si="112"/>
        <v>0</v>
      </c>
      <c r="AG228" s="586">
        <f t="shared" si="112"/>
        <v>0</v>
      </c>
      <c r="AH228" s="586">
        <f t="shared" si="112"/>
        <v>0</v>
      </c>
      <c r="AI228" s="586">
        <f t="shared" si="112"/>
        <v>0</v>
      </c>
      <c r="AJ228" s="586">
        <f t="shared" si="112"/>
        <v>0</v>
      </c>
      <c r="AK228" s="586">
        <f t="shared" si="112"/>
        <v>0</v>
      </c>
      <c r="AL228" s="586">
        <f t="shared" si="112"/>
        <v>0</v>
      </c>
      <c r="AM228" s="586">
        <f t="shared" si="112"/>
        <v>0</v>
      </c>
      <c r="AN228" s="586">
        <f t="shared" si="112"/>
        <v>0</v>
      </c>
      <c r="AO228" s="586">
        <f t="shared" si="112"/>
        <v>0</v>
      </c>
      <c r="AP228" s="586">
        <f t="shared" si="112"/>
        <v>0</v>
      </c>
      <c r="AQ228" s="586">
        <f t="shared" si="112"/>
        <v>0</v>
      </c>
      <c r="AR228" s="586">
        <f t="shared" si="112"/>
        <v>0</v>
      </c>
      <c r="AS228" s="586">
        <f t="shared" si="112"/>
        <v>0</v>
      </c>
      <c r="AT228" s="170"/>
    </row>
    <row r="229" spans="1:46" ht="15" x14ac:dyDescent="0.25">
      <c r="A229" s="170"/>
      <c r="B229" s="719"/>
      <c r="C229" s="170" t="str">
        <f t="shared" si="113"/>
        <v>730</v>
      </c>
      <c r="D229" s="170"/>
      <c r="E229" s="170"/>
      <c r="F229" s="170">
        <f>+Parameters!D76</f>
        <v>73</v>
      </c>
      <c r="G229" s="170">
        <f>+Parameters!E76</f>
        <v>0</v>
      </c>
      <c r="H229" s="586">
        <f t="shared" si="114"/>
        <v>0</v>
      </c>
      <c r="I229" s="170">
        <f>+Parameters!F76</f>
        <v>0</v>
      </c>
      <c r="J229" s="170"/>
      <c r="K229" s="170"/>
      <c r="L229" s="170"/>
      <c r="M229" s="730"/>
      <c r="N229" s="730"/>
      <c r="O229" s="730"/>
      <c r="P229" s="731"/>
      <c r="Q229" s="731"/>
      <c r="R229" s="730"/>
      <c r="S229" s="730"/>
      <c r="T229" s="723"/>
      <c r="U229" s="724"/>
      <c r="V229" s="725"/>
      <c r="W229" s="725"/>
      <c r="X229" s="723"/>
      <c r="Y229" s="723"/>
      <c r="Z229" s="723"/>
      <c r="AA229" s="726"/>
      <c r="AB229" s="726"/>
      <c r="AC229" s="170"/>
      <c r="AD229" s="586">
        <f t="shared" si="111"/>
        <v>0</v>
      </c>
      <c r="AE229" s="586">
        <f t="shared" si="112"/>
        <v>0</v>
      </c>
      <c r="AF229" s="586">
        <f t="shared" si="112"/>
        <v>0</v>
      </c>
      <c r="AG229" s="586">
        <f t="shared" si="112"/>
        <v>0</v>
      </c>
      <c r="AH229" s="586">
        <f t="shared" si="112"/>
        <v>0</v>
      </c>
      <c r="AI229" s="586">
        <f t="shared" si="112"/>
        <v>0</v>
      </c>
      <c r="AJ229" s="586">
        <f t="shared" si="112"/>
        <v>0</v>
      </c>
      <c r="AK229" s="586">
        <f t="shared" si="112"/>
        <v>0</v>
      </c>
      <c r="AL229" s="586">
        <f t="shared" si="112"/>
        <v>0</v>
      </c>
      <c r="AM229" s="586">
        <f t="shared" si="112"/>
        <v>0</v>
      </c>
      <c r="AN229" s="586">
        <f t="shared" si="112"/>
        <v>0</v>
      </c>
      <c r="AO229" s="586">
        <f t="shared" si="112"/>
        <v>0</v>
      </c>
      <c r="AP229" s="586">
        <f t="shared" si="112"/>
        <v>0</v>
      </c>
      <c r="AQ229" s="586">
        <f t="shared" si="112"/>
        <v>0</v>
      </c>
      <c r="AR229" s="586">
        <f t="shared" si="112"/>
        <v>0</v>
      </c>
      <c r="AS229" s="586">
        <f t="shared" si="112"/>
        <v>0</v>
      </c>
      <c r="AT229" s="170"/>
    </row>
    <row r="230" spans="1:46" ht="15" x14ac:dyDescent="0.25">
      <c r="A230" s="170"/>
      <c r="B230" s="719"/>
      <c r="C230" s="170" t="str">
        <f t="shared" si="113"/>
        <v>740</v>
      </c>
      <c r="D230" s="170"/>
      <c r="E230" s="170"/>
      <c r="F230" s="170">
        <f>+Parameters!D77</f>
        <v>74</v>
      </c>
      <c r="G230" s="170">
        <f>+Parameters!E77</f>
        <v>0</v>
      </c>
      <c r="H230" s="586">
        <f t="shared" si="114"/>
        <v>0</v>
      </c>
      <c r="I230" s="170">
        <f>+Parameters!F77</f>
        <v>0</v>
      </c>
      <c r="J230" s="170"/>
      <c r="K230" s="170"/>
      <c r="L230" s="170"/>
      <c r="M230" s="730"/>
      <c r="N230" s="730"/>
      <c r="O230" s="730"/>
      <c r="P230" s="731"/>
      <c r="Q230" s="731"/>
      <c r="R230" s="730"/>
      <c r="S230" s="730"/>
      <c r="T230" s="723"/>
      <c r="U230" s="724"/>
      <c r="V230" s="725"/>
      <c r="W230" s="725"/>
      <c r="X230" s="723"/>
      <c r="Y230" s="723"/>
      <c r="Z230" s="723"/>
      <c r="AA230" s="726"/>
      <c r="AB230" s="726"/>
      <c r="AC230" s="170"/>
      <c r="AD230" s="586">
        <f t="shared" si="111"/>
        <v>0</v>
      </c>
      <c r="AE230" s="586">
        <f t="shared" si="112"/>
        <v>0</v>
      </c>
      <c r="AF230" s="586">
        <f t="shared" si="112"/>
        <v>0</v>
      </c>
      <c r="AG230" s="586">
        <f t="shared" si="112"/>
        <v>0</v>
      </c>
      <c r="AH230" s="586">
        <f t="shared" si="112"/>
        <v>0</v>
      </c>
      <c r="AI230" s="586">
        <f t="shared" si="112"/>
        <v>0</v>
      </c>
      <c r="AJ230" s="586">
        <f t="shared" si="112"/>
        <v>0</v>
      </c>
      <c r="AK230" s="586">
        <f t="shared" si="112"/>
        <v>0</v>
      </c>
      <c r="AL230" s="586">
        <f t="shared" si="112"/>
        <v>0</v>
      </c>
      <c r="AM230" s="586">
        <f t="shared" si="112"/>
        <v>0</v>
      </c>
      <c r="AN230" s="586">
        <f t="shared" si="112"/>
        <v>0</v>
      </c>
      <c r="AO230" s="586">
        <f t="shared" si="112"/>
        <v>0</v>
      </c>
      <c r="AP230" s="586">
        <f t="shared" si="112"/>
        <v>0</v>
      </c>
      <c r="AQ230" s="586">
        <f t="shared" si="112"/>
        <v>0</v>
      </c>
      <c r="AR230" s="586">
        <f t="shared" si="112"/>
        <v>0</v>
      </c>
      <c r="AS230" s="586">
        <f t="shared" si="112"/>
        <v>0</v>
      </c>
      <c r="AT230" s="170"/>
    </row>
    <row r="231" spans="1:46" ht="15" x14ac:dyDescent="0.25">
      <c r="A231" s="170"/>
      <c r="B231" s="719"/>
      <c r="C231" s="170" t="str">
        <f t="shared" si="113"/>
        <v>750</v>
      </c>
      <c r="D231" s="170"/>
      <c r="E231" s="170"/>
      <c r="F231" s="170">
        <f>+Parameters!D78</f>
        <v>75</v>
      </c>
      <c r="G231" s="170">
        <f>+Parameters!E78</f>
        <v>0</v>
      </c>
      <c r="H231" s="586">
        <f t="shared" si="114"/>
        <v>0</v>
      </c>
      <c r="I231" s="170">
        <f>+Parameters!F78</f>
        <v>0</v>
      </c>
      <c r="J231" s="170"/>
      <c r="K231" s="170"/>
      <c r="L231" s="170"/>
      <c r="M231" s="730"/>
      <c r="N231" s="730"/>
      <c r="O231" s="730"/>
      <c r="P231" s="731"/>
      <c r="Q231" s="731"/>
      <c r="R231" s="730"/>
      <c r="S231" s="730"/>
      <c r="T231" s="723"/>
      <c r="U231" s="724"/>
      <c r="V231" s="725"/>
      <c r="W231" s="725"/>
      <c r="X231" s="723"/>
      <c r="Y231" s="723"/>
      <c r="Z231" s="723"/>
      <c r="AA231" s="726"/>
      <c r="AB231" s="726"/>
      <c r="AC231" s="170"/>
      <c r="AD231" s="586">
        <f t="shared" si="111"/>
        <v>0</v>
      </c>
      <c r="AE231" s="586">
        <f t="shared" si="112"/>
        <v>0</v>
      </c>
      <c r="AF231" s="586">
        <f t="shared" si="112"/>
        <v>0</v>
      </c>
      <c r="AG231" s="586">
        <f t="shared" si="112"/>
        <v>0</v>
      </c>
      <c r="AH231" s="586">
        <f t="shared" si="112"/>
        <v>0</v>
      </c>
      <c r="AI231" s="586">
        <f t="shared" si="112"/>
        <v>0</v>
      </c>
      <c r="AJ231" s="586">
        <f t="shared" si="112"/>
        <v>0</v>
      </c>
      <c r="AK231" s="586">
        <f t="shared" si="112"/>
        <v>0</v>
      </c>
      <c r="AL231" s="586">
        <f t="shared" si="112"/>
        <v>0</v>
      </c>
      <c r="AM231" s="586">
        <f t="shared" si="112"/>
        <v>0</v>
      </c>
      <c r="AN231" s="586">
        <f t="shared" si="112"/>
        <v>0</v>
      </c>
      <c r="AO231" s="586">
        <f t="shared" si="112"/>
        <v>0</v>
      </c>
      <c r="AP231" s="586">
        <f t="shared" si="112"/>
        <v>0</v>
      </c>
      <c r="AQ231" s="586">
        <f t="shared" si="112"/>
        <v>0</v>
      </c>
      <c r="AR231" s="586">
        <f t="shared" si="112"/>
        <v>0</v>
      </c>
      <c r="AS231" s="586">
        <f t="shared" si="112"/>
        <v>0</v>
      </c>
      <c r="AT231" s="170"/>
    </row>
    <row r="232" spans="1:46" ht="15" x14ac:dyDescent="0.25">
      <c r="A232" s="170"/>
      <c r="B232" s="719"/>
      <c r="C232" s="170" t="str">
        <f t="shared" si="113"/>
        <v>760</v>
      </c>
      <c r="D232" s="170"/>
      <c r="E232" s="170"/>
      <c r="F232" s="170">
        <f>+Parameters!D79</f>
        <v>76</v>
      </c>
      <c r="G232" s="170">
        <f>+Parameters!E79</f>
        <v>0</v>
      </c>
      <c r="H232" s="586">
        <f t="shared" si="114"/>
        <v>0</v>
      </c>
      <c r="I232" s="170">
        <f>+Parameters!F79</f>
        <v>0</v>
      </c>
      <c r="J232" s="170"/>
      <c r="K232" s="170"/>
      <c r="L232" s="170"/>
      <c r="M232" s="730"/>
      <c r="N232" s="730"/>
      <c r="O232" s="730"/>
      <c r="P232" s="731"/>
      <c r="Q232" s="731"/>
      <c r="R232" s="730"/>
      <c r="S232" s="730"/>
      <c r="T232" s="723"/>
      <c r="U232" s="724"/>
      <c r="V232" s="725"/>
      <c r="W232" s="725"/>
      <c r="X232" s="723"/>
      <c r="Y232" s="723"/>
      <c r="Z232" s="723"/>
      <c r="AA232" s="726"/>
      <c r="AB232" s="726"/>
      <c r="AC232" s="170"/>
      <c r="AD232" s="586">
        <f t="shared" si="111"/>
        <v>0</v>
      </c>
      <c r="AE232" s="586">
        <f t="shared" si="112"/>
        <v>0</v>
      </c>
      <c r="AF232" s="586">
        <f t="shared" si="112"/>
        <v>0</v>
      </c>
      <c r="AG232" s="586">
        <f t="shared" si="112"/>
        <v>0</v>
      </c>
      <c r="AH232" s="586">
        <f t="shared" si="112"/>
        <v>0</v>
      </c>
      <c r="AI232" s="586">
        <f t="shared" si="112"/>
        <v>0</v>
      </c>
      <c r="AJ232" s="586">
        <f t="shared" si="112"/>
        <v>0</v>
      </c>
      <c r="AK232" s="586">
        <f t="shared" si="112"/>
        <v>0</v>
      </c>
      <c r="AL232" s="586">
        <f t="shared" si="112"/>
        <v>0</v>
      </c>
      <c r="AM232" s="586">
        <f t="shared" si="112"/>
        <v>0</v>
      </c>
      <c r="AN232" s="586">
        <f t="shared" si="112"/>
        <v>0</v>
      </c>
      <c r="AO232" s="586">
        <f t="shared" si="112"/>
        <v>0</v>
      </c>
      <c r="AP232" s="586">
        <f t="shared" si="112"/>
        <v>0</v>
      </c>
      <c r="AQ232" s="586">
        <f t="shared" si="112"/>
        <v>0</v>
      </c>
      <c r="AR232" s="586">
        <f t="shared" si="112"/>
        <v>0</v>
      </c>
      <c r="AS232" s="586">
        <f t="shared" si="112"/>
        <v>0</v>
      </c>
      <c r="AT232" s="170"/>
    </row>
    <row r="233" spans="1:46" ht="15" x14ac:dyDescent="0.25">
      <c r="A233" s="170"/>
      <c r="B233" s="719"/>
      <c r="C233" s="170" t="str">
        <f t="shared" si="113"/>
        <v>770</v>
      </c>
      <c r="D233" s="170"/>
      <c r="E233" s="170"/>
      <c r="F233" s="170">
        <f>+Parameters!D80</f>
        <v>77</v>
      </c>
      <c r="G233" s="170">
        <f>+Parameters!E80</f>
        <v>0</v>
      </c>
      <c r="H233" s="586">
        <f t="shared" si="114"/>
        <v>0</v>
      </c>
      <c r="I233" s="170">
        <f>+Parameters!F80</f>
        <v>0</v>
      </c>
      <c r="J233" s="170"/>
      <c r="K233" s="170"/>
      <c r="L233" s="170"/>
      <c r="M233" s="730"/>
      <c r="N233" s="730"/>
      <c r="O233" s="730"/>
      <c r="P233" s="731"/>
      <c r="Q233" s="731"/>
      <c r="R233" s="730"/>
      <c r="S233" s="730"/>
      <c r="T233" s="723"/>
      <c r="U233" s="724"/>
      <c r="V233" s="725"/>
      <c r="W233" s="725"/>
      <c r="X233" s="723"/>
      <c r="Y233" s="723"/>
      <c r="Z233" s="723"/>
      <c r="AA233" s="726"/>
      <c r="AB233" s="726"/>
      <c r="AC233" s="170"/>
      <c r="AD233" s="586">
        <f t="shared" si="111"/>
        <v>0</v>
      </c>
      <c r="AE233" s="586">
        <f t="shared" si="112"/>
        <v>0</v>
      </c>
      <c r="AF233" s="586">
        <f t="shared" si="112"/>
        <v>0</v>
      </c>
      <c r="AG233" s="586">
        <f t="shared" si="112"/>
        <v>0</v>
      </c>
      <c r="AH233" s="586">
        <f t="shared" si="112"/>
        <v>0</v>
      </c>
      <c r="AI233" s="586">
        <f t="shared" si="112"/>
        <v>0</v>
      </c>
      <c r="AJ233" s="586">
        <f t="shared" si="112"/>
        <v>0</v>
      </c>
      <c r="AK233" s="586">
        <f t="shared" si="112"/>
        <v>0</v>
      </c>
      <c r="AL233" s="586">
        <f t="shared" si="112"/>
        <v>0</v>
      </c>
      <c r="AM233" s="586">
        <f t="shared" si="112"/>
        <v>0</v>
      </c>
      <c r="AN233" s="586">
        <f t="shared" si="112"/>
        <v>0</v>
      </c>
      <c r="AO233" s="586">
        <f t="shared" si="112"/>
        <v>0</v>
      </c>
      <c r="AP233" s="586">
        <f t="shared" si="112"/>
        <v>0</v>
      </c>
      <c r="AQ233" s="586">
        <f t="shared" si="112"/>
        <v>0</v>
      </c>
      <c r="AR233" s="586">
        <f t="shared" si="112"/>
        <v>0</v>
      </c>
      <c r="AS233" s="586">
        <f t="shared" si="112"/>
        <v>0</v>
      </c>
      <c r="AT233" s="170"/>
    </row>
    <row r="234" spans="1:46" ht="15" x14ac:dyDescent="0.25">
      <c r="A234" s="170"/>
      <c r="B234" s="719"/>
      <c r="C234" s="170" t="str">
        <f t="shared" si="113"/>
        <v>780</v>
      </c>
      <c r="D234" s="170"/>
      <c r="E234" s="170"/>
      <c r="F234" s="170">
        <f>+Parameters!D81</f>
        <v>78</v>
      </c>
      <c r="G234" s="170">
        <f>+Parameters!E81</f>
        <v>0</v>
      </c>
      <c r="H234" s="586">
        <f t="shared" si="114"/>
        <v>0</v>
      </c>
      <c r="I234" s="170">
        <f>+Parameters!F81</f>
        <v>0</v>
      </c>
      <c r="J234" s="170"/>
      <c r="K234" s="170"/>
      <c r="L234" s="170"/>
      <c r="M234" s="730"/>
      <c r="N234" s="730"/>
      <c r="O234" s="730"/>
      <c r="P234" s="731"/>
      <c r="Q234" s="731"/>
      <c r="R234" s="730"/>
      <c r="S234" s="730"/>
      <c r="T234" s="723"/>
      <c r="U234" s="724"/>
      <c r="V234" s="725"/>
      <c r="W234" s="725"/>
      <c r="X234" s="723"/>
      <c r="Y234" s="723"/>
      <c r="Z234" s="723"/>
      <c r="AA234" s="726"/>
      <c r="AB234" s="726"/>
      <c r="AC234" s="170"/>
      <c r="AD234" s="586">
        <f t="shared" si="111"/>
        <v>0</v>
      </c>
      <c r="AE234" s="586">
        <f t="shared" si="112"/>
        <v>0</v>
      </c>
      <c r="AF234" s="586">
        <f t="shared" si="112"/>
        <v>0</v>
      </c>
      <c r="AG234" s="586">
        <f t="shared" si="112"/>
        <v>0</v>
      </c>
      <c r="AH234" s="586">
        <f t="shared" si="112"/>
        <v>0</v>
      </c>
      <c r="AI234" s="586">
        <f t="shared" si="112"/>
        <v>0</v>
      </c>
      <c r="AJ234" s="586">
        <f t="shared" si="112"/>
        <v>0</v>
      </c>
      <c r="AK234" s="586">
        <f t="shared" si="112"/>
        <v>0</v>
      </c>
      <c r="AL234" s="586">
        <f t="shared" si="112"/>
        <v>0</v>
      </c>
      <c r="AM234" s="586">
        <f t="shared" si="112"/>
        <v>0</v>
      </c>
      <c r="AN234" s="586">
        <f t="shared" si="112"/>
        <v>0</v>
      </c>
      <c r="AO234" s="586">
        <f t="shared" si="112"/>
        <v>0</v>
      </c>
      <c r="AP234" s="586">
        <f t="shared" si="112"/>
        <v>0</v>
      </c>
      <c r="AQ234" s="586">
        <f t="shared" si="112"/>
        <v>0</v>
      </c>
      <c r="AR234" s="586">
        <f t="shared" si="112"/>
        <v>0</v>
      </c>
      <c r="AS234" s="586">
        <f t="shared" si="112"/>
        <v>0</v>
      </c>
      <c r="AT234" s="170"/>
    </row>
    <row r="235" spans="1:46" ht="15" x14ac:dyDescent="0.25">
      <c r="A235" s="170"/>
      <c r="B235" s="719"/>
      <c r="C235" s="170" t="str">
        <f t="shared" si="113"/>
        <v>790</v>
      </c>
      <c r="D235" s="170"/>
      <c r="E235" s="170"/>
      <c r="F235" s="170">
        <f>+Parameters!D82</f>
        <v>79</v>
      </c>
      <c r="G235" s="170">
        <f>+Parameters!E82</f>
        <v>0</v>
      </c>
      <c r="H235" s="586">
        <f t="shared" si="114"/>
        <v>0</v>
      </c>
      <c r="I235" s="170">
        <f>+Parameters!F82</f>
        <v>0</v>
      </c>
      <c r="J235" s="170"/>
      <c r="K235" s="170"/>
      <c r="L235" s="170"/>
      <c r="M235" s="730"/>
      <c r="N235" s="730"/>
      <c r="O235" s="730"/>
      <c r="P235" s="731"/>
      <c r="Q235" s="731"/>
      <c r="R235" s="730"/>
      <c r="S235" s="730"/>
      <c r="T235" s="723"/>
      <c r="U235" s="724"/>
      <c r="V235" s="725"/>
      <c r="W235" s="725"/>
      <c r="X235" s="723"/>
      <c r="Y235" s="723"/>
      <c r="Z235" s="723"/>
      <c r="AA235" s="726"/>
      <c r="AB235" s="726"/>
      <c r="AC235" s="170"/>
      <c r="AD235" s="586">
        <f t="shared" si="111"/>
        <v>0</v>
      </c>
      <c r="AE235" s="586">
        <f t="shared" si="112"/>
        <v>0</v>
      </c>
      <c r="AF235" s="586">
        <f t="shared" si="112"/>
        <v>0</v>
      </c>
      <c r="AG235" s="586">
        <f t="shared" si="112"/>
        <v>0</v>
      </c>
      <c r="AH235" s="586">
        <f t="shared" si="112"/>
        <v>0</v>
      </c>
      <c r="AI235" s="586">
        <f t="shared" si="112"/>
        <v>0</v>
      </c>
      <c r="AJ235" s="586">
        <f t="shared" si="112"/>
        <v>0</v>
      </c>
      <c r="AK235" s="586">
        <f t="shared" si="112"/>
        <v>0</v>
      </c>
      <c r="AL235" s="586">
        <f t="shared" si="112"/>
        <v>0</v>
      </c>
      <c r="AM235" s="586">
        <f t="shared" si="112"/>
        <v>0</v>
      </c>
      <c r="AN235" s="586">
        <f t="shared" si="112"/>
        <v>0</v>
      </c>
      <c r="AO235" s="586">
        <f t="shared" si="112"/>
        <v>0</v>
      </c>
      <c r="AP235" s="586">
        <f t="shared" si="112"/>
        <v>0</v>
      </c>
      <c r="AQ235" s="586">
        <f t="shared" si="112"/>
        <v>0</v>
      </c>
      <c r="AR235" s="586">
        <f t="shared" si="112"/>
        <v>0</v>
      </c>
      <c r="AS235" s="586">
        <f t="shared" si="112"/>
        <v>0</v>
      </c>
      <c r="AT235" s="170"/>
    </row>
    <row r="236" spans="1:46" ht="15" x14ac:dyDescent="0.25">
      <c r="A236" s="170"/>
      <c r="B236" s="719"/>
      <c r="C236" s="170" t="str">
        <f t="shared" si="113"/>
        <v>800</v>
      </c>
      <c r="D236" s="170"/>
      <c r="E236" s="170"/>
      <c r="F236" s="170">
        <f>+Parameters!D83</f>
        <v>80</v>
      </c>
      <c r="G236" s="170" t="str">
        <f>+Parameters!E83</f>
        <v>Protection and Controls</v>
      </c>
      <c r="H236" s="586">
        <f t="shared" si="114"/>
        <v>0</v>
      </c>
      <c r="I236" s="170">
        <f>+Parameters!F83</f>
        <v>0</v>
      </c>
      <c r="J236" s="170"/>
      <c r="K236" s="170"/>
      <c r="L236" s="170"/>
      <c r="M236" s="730"/>
      <c r="N236" s="730"/>
      <c r="O236" s="730"/>
      <c r="P236" s="731"/>
      <c r="Q236" s="731"/>
      <c r="R236" s="730"/>
      <c r="S236" s="730"/>
      <c r="T236" s="723"/>
      <c r="U236" s="724"/>
      <c r="V236" s="725"/>
      <c r="W236" s="725"/>
      <c r="X236" s="723"/>
      <c r="Y236" s="723"/>
      <c r="Z236" s="723"/>
      <c r="AA236" s="726"/>
      <c r="AB236" s="726"/>
      <c r="AC236" s="170"/>
      <c r="AD236" s="586">
        <f t="shared" ref="AD236:AD257" si="115">SUMIF($F$9:$F$153,$F236,AD$9:AD$153)</f>
        <v>0</v>
      </c>
      <c r="AE236" s="586">
        <f t="shared" si="112"/>
        <v>0</v>
      </c>
      <c r="AF236" s="586">
        <f t="shared" si="112"/>
        <v>0</v>
      </c>
      <c r="AG236" s="586">
        <f t="shared" si="112"/>
        <v>0</v>
      </c>
      <c r="AH236" s="586">
        <f t="shared" si="112"/>
        <v>0</v>
      </c>
      <c r="AI236" s="586">
        <f t="shared" si="112"/>
        <v>0</v>
      </c>
      <c r="AJ236" s="586">
        <f t="shared" si="112"/>
        <v>0</v>
      </c>
      <c r="AK236" s="586">
        <f t="shared" si="112"/>
        <v>0</v>
      </c>
      <c r="AL236" s="586">
        <f t="shared" si="112"/>
        <v>0</v>
      </c>
      <c r="AM236" s="586">
        <f t="shared" si="112"/>
        <v>0</v>
      </c>
      <c r="AN236" s="586">
        <f t="shared" si="112"/>
        <v>0</v>
      </c>
      <c r="AO236" s="586">
        <f t="shared" si="112"/>
        <v>0</v>
      </c>
      <c r="AP236" s="586">
        <f t="shared" si="112"/>
        <v>0</v>
      </c>
      <c r="AQ236" s="586">
        <f t="shared" si="112"/>
        <v>0</v>
      </c>
      <c r="AR236" s="586">
        <f t="shared" si="112"/>
        <v>0</v>
      </c>
      <c r="AS236" s="586">
        <f t="shared" si="112"/>
        <v>0</v>
      </c>
      <c r="AT236" s="170"/>
    </row>
    <row r="237" spans="1:46" ht="15" x14ac:dyDescent="0.25">
      <c r="A237" s="170"/>
      <c r="B237" s="719"/>
      <c r="C237" s="170" t="str">
        <f t="shared" si="113"/>
        <v>81ea</v>
      </c>
      <c r="D237" s="170"/>
      <c r="E237" s="170"/>
      <c r="F237" s="170">
        <f>+Parameters!D84</f>
        <v>81</v>
      </c>
      <c r="G237" s="170" t="str">
        <f>+Parameters!E84</f>
        <v>Relays</v>
      </c>
      <c r="H237" s="586">
        <f t="shared" si="114"/>
        <v>0</v>
      </c>
      <c r="I237" s="170" t="str">
        <f>+Parameters!F84</f>
        <v>ea</v>
      </c>
      <c r="J237" s="170"/>
      <c r="K237" s="170"/>
      <c r="L237" s="170"/>
      <c r="M237" s="730"/>
      <c r="N237" s="730"/>
      <c r="O237" s="730"/>
      <c r="P237" s="731"/>
      <c r="Q237" s="731"/>
      <c r="R237" s="730"/>
      <c r="S237" s="730"/>
      <c r="T237" s="723"/>
      <c r="U237" s="724"/>
      <c r="V237" s="725"/>
      <c r="W237" s="725"/>
      <c r="X237" s="723"/>
      <c r="Y237" s="723"/>
      <c r="Z237" s="723"/>
      <c r="AA237" s="726"/>
      <c r="AB237" s="726"/>
      <c r="AC237" s="170"/>
      <c r="AD237" s="586">
        <f t="shared" si="115"/>
        <v>0</v>
      </c>
      <c r="AE237" s="586">
        <f t="shared" si="112"/>
        <v>0</v>
      </c>
      <c r="AF237" s="586">
        <f t="shared" si="112"/>
        <v>0</v>
      </c>
      <c r="AG237" s="586">
        <f t="shared" si="112"/>
        <v>0</v>
      </c>
      <c r="AH237" s="586">
        <f t="shared" si="112"/>
        <v>0</v>
      </c>
      <c r="AI237" s="586">
        <f t="shared" si="112"/>
        <v>0</v>
      </c>
      <c r="AJ237" s="586">
        <f t="shared" si="112"/>
        <v>0</v>
      </c>
      <c r="AK237" s="586">
        <f t="shared" si="112"/>
        <v>0</v>
      </c>
      <c r="AL237" s="586">
        <f t="shared" si="112"/>
        <v>0</v>
      </c>
      <c r="AM237" s="586">
        <f t="shared" si="112"/>
        <v>0</v>
      </c>
      <c r="AN237" s="586">
        <f t="shared" si="112"/>
        <v>0</v>
      </c>
      <c r="AO237" s="586">
        <f t="shared" si="112"/>
        <v>0</v>
      </c>
      <c r="AP237" s="586">
        <f t="shared" si="112"/>
        <v>0</v>
      </c>
      <c r="AQ237" s="586">
        <f t="shared" si="112"/>
        <v>0</v>
      </c>
      <c r="AR237" s="586">
        <f t="shared" si="112"/>
        <v>0</v>
      </c>
      <c r="AS237" s="586">
        <f t="shared" ref="AE237:AS254" si="116">SUMIF($F$9:$F$153,$F237,AS$9:AS$153)</f>
        <v>0</v>
      </c>
      <c r="AT237" s="170"/>
    </row>
    <row r="238" spans="1:46" ht="15" x14ac:dyDescent="0.25">
      <c r="A238" s="170"/>
      <c r="B238" s="719"/>
      <c r="C238" s="170" t="str">
        <f t="shared" si="113"/>
        <v>82ea</v>
      </c>
      <c r="D238" s="170"/>
      <c r="E238" s="170"/>
      <c r="F238" s="170">
        <f>+Parameters!D85</f>
        <v>82</v>
      </c>
      <c r="G238" s="170" t="str">
        <f>+Parameters!E85</f>
        <v>Cabinets</v>
      </c>
      <c r="H238" s="586">
        <f t="shared" si="114"/>
        <v>0</v>
      </c>
      <c r="I238" s="170" t="str">
        <f>+Parameters!F85</f>
        <v>ea</v>
      </c>
      <c r="J238" s="170"/>
      <c r="K238" s="170"/>
      <c r="L238" s="170"/>
      <c r="M238" s="730"/>
      <c r="N238" s="730"/>
      <c r="O238" s="730"/>
      <c r="P238" s="731"/>
      <c r="Q238" s="731"/>
      <c r="R238" s="730"/>
      <c r="S238" s="730"/>
      <c r="T238" s="723"/>
      <c r="U238" s="724"/>
      <c r="V238" s="725"/>
      <c r="W238" s="725"/>
      <c r="X238" s="723"/>
      <c r="Y238" s="723"/>
      <c r="Z238" s="723"/>
      <c r="AA238" s="726"/>
      <c r="AB238" s="726"/>
      <c r="AC238" s="170"/>
      <c r="AD238" s="586">
        <f t="shared" si="115"/>
        <v>0</v>
      </c>
      <c r="AE238" s="586">
        <f t="shared" si="116"/>
        <v>0</v>
      </c>
      <c r="AF238" s="586">
        <f t="shared" si="116"/>
        <v>0</v>
      </c>
      <c r="AG238" s="586">
        <f t="shared" si="116"/>
        <v>0</v>
      </c>
      <c r="AH238" s="586">
        <f t="shared" si="116"/>
        <v>0</v>
      </c>
      <c r="AI238" s="586">
        <f t="shared" si="116"/>
        <v>0</v>
      </c>
      <c r="AJ238" s="586">
        <f t="shared" si="116"/>
        <v>0</v>
      </c>
      <c r="AK238" s="586">
        <f t="shared" si="116"/>
        <v>0</v>
      </c>
      <c r="AL238" s="586">
        <f t="shared" si="116"/>
        <v>0</v>
      </c>
      <c r="AM238" s="586">
        <f t="shared" si="116"/>
        <v>0</v>
      </c>
      <c r="AN238" s="586">
        <f t="shared" si="116"/>
        <v>0</v>
      </c>
      <c r="AO238" s="586">
        <f t="shared" si="116"/>
        <v>0</v>
      </c>
      <c r="AP238" s="586">
        <f t="shared" si="116"/>
        <v>0</v>
      </c>
      <c r="AQ238" s="586">
        <f t="shared" si="116"/>
        <v>0</v>
      </c>
      <c r="AR238" s="586">
        <f t="shared" si="116"/>
        <v>0</v>
      </c>
      <c r="AS238" s="586">
        <f t="shared" si="116"/>
        <v>0</v>
      </c>
      <c r="AT238" s="170"/>
    </row>
    <row r="239" spans="1:46" ht="15" x14ac:dyDescent="0.25">
      <c r="A239" s="170"/>
      <c r="B239" s="719"/>
      <c r="C239" s="170" t="str">
        <f t="shared" si="113"/>
        <v>83ea</v>
      </c>
      <c r="D239" s="170"/>
      <c r="E239" s="170"/>
      <c r="F239" s="170">
        <f>+Parameters!D86</f>
        <v>83</v>
      </c>
      <c r="G239" s="170" t="str">
        <f>+Parameters!E86</f>
        <v>Comm. Eqt</v>
      </c>
      <c r="H239" s="586">
        <f t="shared" si="114"/>
        <v>0</v>
      </c>
      <c r="I239" s="170" t="str">
        <f>+Parameters!F86</f>
        <v>ea</v>
      </c>
      <c r="J239" s="170"/>
      <c r="K239" s="170"/>
      <c r="L239" s="170"/>
      <c r="M239" s="730"/>
      <c r="N239" s="730"/>
      <c r="O239" s="730"/>
      <c r="P239" s="731"/>
      <c r="Q239" s="731"/>
      <c r="R239" s="730"/>
      <c r="S239" s="730"/>
      <c r="T239" s="723"/>
      <c r="U239" s="724"/>
      <c r="V239" s="725"/>
      <c r="W239" s="725"/>
      <c r="X239" s="723"/>
      <c r="Y239" s="723"/>
      <c r="Z239" s="723"/>
      <c r="AA239" s="726"/>
      <c r="AB239" s="726"/>
      <c r="AC239" s="170"/>
      <c r="AD239" s="586">
        <f t="shared" si="115"/>
        <v>0</v>
      </c>
      <c r="AE239" s="586">
        <f t="shared" si="116"/>
        <v>0</v>
      </c>
      <c r="AF239" s="586">
        <f t="shared" si="116"/>
        <v>0</v>
      </c>
      <c r="AG239" s="586">
        <f t="shared" si="116"/>
        <v>0</v>
      </c>
      <c r="AH239" s="586">
        <f t="shared" si="116"/>
        <v>0</v>
      </c>
      <c r="AI239" s="586">
        <f t="shared" si="116"/>
        <v>0</v>
      </c>
      <c r="AJ239" s="586">
        <f t="shared" si="116"/>
        <v>0</v>
      </c>
      <c r="AK239" s="586">
        <f t="shared" si="116"/>
        <v>0</v>
      </c>
      <c r="AL239" s="586">
        <f t="shared" si="116"/>
        <v>0</v>
      </c>
      <c r="AM239" s="586">
        <f t="shared" si="116"/>
        <v>0</v>
      </c>
      <c r="AN239" s="586">
        <f t="shared" si="116"/>
        <v>0</v>
      </c>
      <c r="AO239" s="586">
        <f t="shared" si="116"/>
        <v>0</v>
      </c>
      <c r="AP239" s="586">
        <f t="shared" si="116"/>
        <v>0</v>
      </c>
      <c r="AQ239" s="586">
        <f t="shared" si="116"/>
        <v>0</v>
      </c>
      <c r="AR239" s="586">
        <f t="shared" si="116"/>
        <v>0</v>
      </c>
      <c r="AS239" s="586">
        <f t="shared" si="116"/>
        <v>0</v>
      </c>
      <c r="AT239" s="170"/>
    </row>
    <row r="240" spans="1:46" ht="15" x14ac:dyDescent="0.25">
      <c r="A240" s="170"/>
      <c r="B240" s="719"/>
      <c r="C240" s="170" t="str">
        <f t="shared" si="113"/>
        <v>84ea</v>
      </c>
      <c r="D240" s="170"/>
      <c r="E240" s="170"/>
      <c r="F240" s="170">
        <f>+Parameters!D87</f>
        <v>84</v>
      </c>
      <c r="G240" s="170" t="str">
        <f>+Parameters!E87</f>
        <v>SCADA</v>
      </c>
      <c r="H240" s="586">
        <f t="shared" si="114"/>
        <v>0</v>
      </c>
      <c r="I240" s="170" t="str">
        <f>+Parameters!F87</f>
        <v>ea</v>
      </c>
      <c r="J240" s="170"/>
      <c r="K240" s="170"/>
      <c r="L240" s="170"/>
      <c r="M240" s="730"/>
      <c r="N240" s="730"/>
      <c r="O240" s="730"/>
      <c r="P240" s="731"/>
      <c r="Q240" s="731"/>
      <c r="R240" s="730"/>
      <c r="S240" s="730"/>
      <c r="T240" s="723"/>
      <c r="U240" s="724"/>
      <c r="V240" s="725"/>
      <c r="W240" s="725"/>
      <c r="X240" s="723"/>
      <c r="Y240" s="723"/>
      <c r="Z240" s="723"/>
      <c r="AA240" s="726"/>
      <c r="AB240" s="726"/>
      <c r="AC240" s="170"/>
      <c r="AD240" s="586">
        <f t="shared" si="115"/>
        <v>0</v>
      </c>
      <c r="AE240" s="586">
        <f t="shared" si="116"/>
        <v>0</v>
      </c>
      <c r="AF240" s="586">
        <f t="shared" si="116"/>
        <v>0</v>
      </c>
      <c r="AG240" s="586">
        <f t="shared" si="116"/>
        <v>0</v>
      </c>
      <c r="AH240" s="586">
        <f t="shared" si="116"/>
        <v>0</v>
      </c>
      <c r="AI240" s="586">
        <f t="shared" si="116"/>
        <v>0</v>
      </c>
      <c r="AJ240" s="586">
        <f t="shared" si="116"/>
        <v>0</v>
      </c>
      <c r="AK240" s="586">
        <f t="shared" si="116"/>
        <v>0</v>
      </c>
      <c r="AL240" s="586">
        <f t="shared" si="116"/>
        <v>0</v>
      </c>
      <c r="AM240" s="586">
        <f t="shared" si="116"/>
        <v>0</v>
      </c>
      <c r="AN240" s="586">
        <f t="shared" si="116"/>
        <v>0</v>
      </c>
      <c r="AO240" s="586">
        <f t="shared" si="116"/>
        <v>0</v>
      </c>
      <c r="AP240" s="586">
        <f t="shared" si="116"/>
        <v>0</v>
      </c>
      <c r="AQ240" s="586">
        <f t="shared" si="116"/>
        <v>0</v>
      </c>
      <c r="AR240" s="586">
        <f t="shared" si="116"/>
        <v>0</v>
      </c>
      <c r="AS240" s="586">
        <f t="shared" si="116"/>
        <v>0</v>
      </c>
      <c r="AT240" s="170"/>
    </row>
    <row r="241" spans="1:46" ht="15" x14ac:dyDescent="0.25">
      <c r="A241" s="170"/>
      <c r="B241" s="719"/>
      <c r="C241" s="170" t="str">
        <f t="shared" si="113"/>
        <v>85ea</v>
      </c>
      <c r="D241" s="170"/>
      <c r="E241" s="170"/>
      <c r="F241" s="170">
        <f>+Parameters!D88</f>
        <v>85</v>
      </c>
      <c r="G241" s="170" t="str">
        <f>+Parameters!E88</f>
        <v>Batteries</v>
      </c>
      <c r="H241" s="586">
        <f t="shared" si="114"/>
        <v>0</v>
      </c>
      <c r="I241" s="170" t="str">
        <f>+Parameters!F88</f>
        <v>ea</v>
      </c>
      <c r="J241" s="170"/>
      <c r="K241" s="170"/>
      <c r="L241" s="170"/>
      <c r="M241" s="730"/>
      <c r="N241" s="730"/>
      <c r="O241" s="730"/>
      <c r="P241" s="731"/>
      <c r="Q241" s="731"/>
      <c r="R241" s="730"/>
      <c r="S241" s="730"/>
      <c r="T241" s="723"/>
      <c r="U241" s="724"/>
      <c r="V241" s="725"/>
      <c r="W241" s="725"/>
      <c r="X241" s="723"/>
      <c r="Y241" s="723"/>
      <c r="Z241" s="723"/>
      <c r="AA241" s="726"/>
      <c r="AB241" s="726"/>
      <c r="AC241" s="170"/>
      <c r="AD241" s="586">
        <f t="shared" si="115"/>
        <v>0</v>
      </c>
      <c r="AE241" s="586">
        <f t="shared" si="116"/>
        <v>0</v>
      </c>
      <c r="AF241" s="586">
        <f t="shared" si="116"/>
        <v>0</v>
      </c>
      <c r="AG241" s="586">
        <f t="shared" si="116"/>
        <v>0</v>
      </c>
      <c r="AH241" s="586">
        <f t="shared" si="116"/>
        <v>0</v>
      </c>
      <c r="AI241" s="586">
        <f t="shared" si="116"/>
        <v>0</v>
      </c>
      <c r="AJ241" s="586">
        <f t="shared" si="116"/>
        <v>0</v>
      </c>
      <c r="AK241" s="586">
        <f t="shared" si="116"/>
        <v>0</v>
      </c>
      <c r="AL241" s="586">
        <f t="shared" si="116"/>
        <v>0</v>
      </c>
      <c r="AM241" s="586">
        <f t="shared" si="116"/>
        <v>0</v>
      </c>
      <c r="AN241" s="586">
        <f t="shared" si="116"/>
        <v>0</v>
      </c>
      <c r="AO241" s="586">
        <f t="shared" si="116"/>
        <v>0</v>
      </c>
      <c r="AP241" s="586">
        <f t="shared" si="116"/>
        <v>0</v>
      </c>
      <c r="AQ241" s="586">
        <f t="shared" si="116"/>
        <v>0</v>
      </c>
      <c r="AR241" s="586">
        <f t="shared" si="116"/>
        <v>0</v>
      </c>
      <c r="AS241" s="586">
        <f t="shared" si="116"/>
        <v>0</v>
      </c>
      <c r="AT241" s="170"/>
    </row>
    <row r="242" spans="1:46" ht="15" x14ac:dyDescent="0.25">
      <c r="A242" s="170"/>
      <c r="B242" s="719"/>
      <c r="C242" s="170" t="str">
        <f t="shared" si="113"/>
        <v>860</v>
      </c>
      <c r="D242" s="170"/>
      <c r="E242" s="170"/>
      <c r="F242" s="170">
        <f>+Parameters!D89</f>
        <v>86</v>
      </c>
      <c r="G242" s="170">
        <f>+Parameters!E89</f>
        <v>0</v>
      </c>
      <c r="H242" s="586">
        <f t="shared" si="114"/>
        <v>0</v>
      </c>
      <c r="I242" s="170">
        <f>+Parameters!F89</f>
        <v>0</v>
      </c>
      <c r="J242" s="170"/>
      <c r="K242" s="170"/>
      <c r="L242" s="170"/>
      <c r="M242" s="730"/>
      <c r="N242" s="730"/>
      <c r="O242" s="730"/>
      <c r="P242" s="731"/>
      <c r="Q242" s="731"/>
      <c r="R242" s="730"/>
      <c r="S242" s="730"/>
      <c r="T242" s="723"/>
      <c r="U242" s="724"/>
      <c r="V242" s="725"/>
      <c r="W242" s="725"/>
      <c r="X242" s="723"/>
      <c r="Y242" s="723"/>
      <c r="Z242" s="723"/>
      <c r="AA242" s="726"/>
      <c r="AB242" s="726"/>
      <c r="AC242" s="170"/>
      <c r="AD242" s="586">
        <f t="shared" si="115"/>
        <v>0</v>
      </c>
      <c r="AE242" s="586">
        <f t="shared" si="116"/>
        <v>0</v>
      </c>
      <c r="AF242" s="586">
        <f t="shared" si="116"/>
        <v>0</v>
      </c>
      <c r="AG242" s="586">
        <f t="shared" si="116"/>
        <v>0</v>
      </c>
      <c r="AH242" s="586">
        <f t="shared" si="116"/>
        <v>0</v>
      </c>
      <c r="AI242" s="586">
        <f t="shared" si="116"/>
        <v>0</v>
      </c>
      <c r="AJ242" s="586">
        <f t="shared" si="116"/>
        <v>0</v>
      </c>
      <c r="AK242" s="586">
        <f t="shared" si="116"/>
        <v>0</v>
      </c>
      <c r="AL242" s="586">
        <f t="shared" si="116"/>
        <v>0</v>
      </c>
      <c r="AM242" s="586">
        <f t="shared" si="116"/>
        <v>0</v>
      </c>
      <c r="AN242" s="586">
        <f t="shared" si="116"/>
        <v>0</v>
      </c>
      <c r="AO242" s="586">
        <f t="shared" si="116"/>
        <v>0</v>
      </c>
      <c r="AP242" s="586">
        <f t="shared" si="116"/>
        <v>0</v>
      </c>
      <c r="AQ242" s="586">
        <f t="shared" si="116"/>
        <v>0</v>
      </c>
      <c r="AR242" s="586">
        <f t="shared" si="116"/>
        <v>0</v>
      </c>
      <c r="AS242" s="586">
        <f t="shared" si="116"/>
        <v>0</v>
      </c>
      <c r="AT242" s="170"/>
    </row>
    <row r="243" spans="1:46" ht="15" x14ac:dyDescent="0.25">
      <c r="A243" s="170"/>
      <c r="B243" s="719"/>
      <c r="C243" s="170" t="str">
        <f t="shared" si="113"/>
        <v>870</v>
      </c>
      <c r="D243" s="170"/>
      <c r="E243" s="170"/>
      <c r="F243" s="170">
        <f>+Parameters!D90</f>
        <v>87</v>
      </c>
      <c r="G243" s="170">
        <f>+Parameters!E90</f>
        <v>0</v>
      </c>
      <c r="H243" s="586">
        <f t="shared" si="114"/>
        <v>0</v>
      </c>
      <c r="I243" s="170">
        <f>+Parameters!F90</f>
        <v>0</v>
      </c>
      <c r="J243" s="170"/>
      <c r="K243" s="170"/>
      <c r="L243" s="170"/>
      <c r="M243" s="730"/>
      <c r="N243" s="730"/>
      <c r="O243" s="730"/>
      <c r="P243" s="731"/>
      <c r="Q243" s="731"/>
      <c r="R243" s="730"/>
      <c r="S243" s="730"/>
      <c r="T243" s="723"/>
      <c r="U243" s="724"/>
      <c r="V243" s="725"/>
      <c r="W243" s="725"/>
      <c r="X243" s="723"/>
      <c r="Y243" s="723"/>
      <c r="Z243" s="723"/>
      <c r="AA243" s="726"/>
      <c r="AB243" s="726"/>
      <c r="AC243" s="170"/>
      <c r="AD243" s="586">
        <f t="shared" si="115"/>
        <v>0</v>
      </c>
      <c r="AE243" s="586">
        <f t="shared" si="116"/>
        <v>0</v>
      </c>
      <c r="AF243" s="586">
        <f t="shared" si="116"/>
        <v>0</v>
      </c>
      <c r="AG243" s="586">
        <f t="shared" si="116"/>
        <v>0</v>
      </c>
      <c r="AH243" s="586">
        <f t="shared" si="116"/>
        <v>0</v>
      </c>
      <c r="AI243" s="586">
        <f t="shared" si="116"/>
        <v>0</v>
      </c>
      <c r="AJ243" s="586">
        <f t="shared" si="116"/>
        <v>0</v>
      </c>
      <c r="AK243" s="586">
        <f t="shared" si="116"/>
        <v>0</v>
      </c>
      <c r="AL243" s="586">
        <f t="shared" si="116"/>
        <v>0</v>
      </c>
      <c r="AM243" s="586">
        <f t="shared" si="116"/>
        <v>0</v>
      </c>
      <c r="AN243" s="586">
        <f t="shared" si="116"/>
        <v>0</v>
      </c>
      <c r="AO243" s="586">
        <f t="shared" si="116"/>
        <v>0</v>
      </c>
      <c r="AP243" s="586">
        <f t="shared" si="116"/>
        <v>0</v>
      </c>
      <c r="AQ243" s="586">
        <f t="shared" si="116"/>
        <v>0</v>
      </c>
      <c r="AR243" s="586">
        <f t="shared" si="116"/>
        <v>0</v>
      </c>
      <c r="AS243" s="586">
        <f t="shared" si="116"/>
        <v>0</v>
      </c>
      <c r="AT243" s="170"/>
    </row>
    <row r="244" spans="1:46" ht="15" x14ac:dyDescent="0.25">
      <c r="A244" s="170"/>
      <c r="B244" s="719"/>
      <c r="C244" s="170" t="str">
        <f t="shared" si="113"/>
        <v>880</v>
      </c>
      <c r="D244" s="170"/>
      <c r="E244" s="170"/>
      <c r="F244" s="170">
        <f>+Parameters!D91</f>
        <v>88</v>
      </c>
      <c r="G244" s="170">
        <f>+Parameters!E91</f>
        <v>0</v>
      </c>
      <c r="H244" s="586">
        <f t="shared" si="114"/>
        <v>0</v>
      </c>
      <c r="I244" s="170">
        <f>+Parameters!F91</f>
        <v>0</v>
      </c>
      <c r="J244" s="170"/>
      <c r="K244" s="170"/>
      <c r="L244" s="170"/>
      <c r="M244" s="730"/>
      <c r="N244" s="730"/>
      <c r="O244" s="730"/>
      <c r="P244" s="731"/>
      <c r="Q244" s="731"/>
      <c r="R244" s="730"/>
      <c r="S244" s="730"/>
      <c r="T244" s="723"/>
      <c r="U244" s="724"/>
      <c r="V244" s="725"/>
      <c r="W244" s="725"/>
      <c r="X244" s="723"/>
      <c r="Y244" s="723"/>
      <c r="Z244" s="723"/>
      <c r="AA244" s="726"/>
      <c r="AB244" s="726"/>
      <c r="AC244" s="170"/>
      <c r="AD244" s="586">
        <f t="shared" si="115"/>
        <v>0</v>
      </c>
      <c r="AE244" s="586">
        <f t="shared" si="116"/>
        <v>0</v>
      </c>
      <c r="AF244" s="586">
        <f t="shared" si="116"/>
        <v>0</v>
      </c>
      <c r="AG244" s="586">
        <f t="shared" si="116"/>
        <v>0</v>
      </c>
      <c r="AH244" s="586">
        <f t="shared" si="116"/>
        <v>0</v>
      </c>
      <c r="AI244" s="586">
        <f t="shared" si="116"/>
        <v>0</v>
      </c>
      <c r="AJ244" s="586">
        <f t="shared" si="116"/>
        <v>0</v>
      </c>
      <c r="AK244" s="586">
        <f t="shared" si="116"/>
        <v>0</v>
      </c>
      <c r="AL244" s="586">
        <f t="shared" si="116"/>
        <v>0</v>
      </c>
      <c r="AM244" s="586">
        <f t="shared" si="116"/>
        <v>0</v>
      </c>
      <c r="AN244" s="586">
        <f t="shared" si="116"/>
        <v>0</v>
      </c>
      <c r="AO244" s="586">
        <f t="shared" si="116"/>
        <v>0</v>
      </c>
      <c r="AP244" s="586">
        <f t="shared" si="116"/>
        <v>0</v>
      </c>
      <c r="AQ244" s="586">
        <f t="shared" si="116"/>
        <v>0</v>
      </c>
      <c r="AR244" s="586">
        <f t="shared" si="116"/>
        <v>0</v>
      </c>
      <c r="AS244" s="586">
        <f t="shared" si="116"/>
        <v>0</v>
      </c>
      <c r="AT244" s="170"/>
    </row>
    <row r="245" spans="1:46" ht="15" x14ac:dyDescent="0.25">
      <c r="A245" s="170"/>
      <c r="B245" s="719"/>
      <c r="C245" s="170" t="str">
        <f t="shared" si="113"/>
        <v>89ea</v>
      </c>
      <c r="D245" s="170"/>
      <c r="E245" s="170"/>
      <c r="F245" s="170">
        <f>+Parameters!D92</f>
        <v>89</v>
      </c>
      <c r="G245" s="170" t="str">
        <f>+Parameters!E92</f>
        <v>Misc. Protection and controls Eqt.</v>
      </c>
      <c r="H245" s="586">
        <f t="shared" si="114"/>
        <v>0</v>
      </c>
      <c r="I245" s="170" t="str">
        <f>+Parameters!F92</f>
        <v>ea</v>
      </c>
      <c r="J245" s="170"/>
      <c r="K245" s="170"/>
      <c r="L245" s="170"/>
      <c r="M245" s="730"/>
      <c r="N245" s="730"/>
      <c r="O245" s="730"/>
      <c r="P245" s="731"/>
      <c r="Q245" s="731"/>
      <c r="R245" s="730"/>
      <c r="S245" s="730"/>
      <c r="T245" s="723"/>
      <c r="U245" s="724"/>
      <c r="V245" s="725"/>
      <c r="W245" s="725"/>
      <c r="X245" s="723"/>
      <c r="Y245" s="723"/>
      <c r="Z245" s="723"/>
      <c r="AA245" s="726"/>
      <c r="AB245" s="726"/>
      <c r="AC245" s="170"/>
      <c r="AD245" s="586">
        <f t="shared" si="115"/>
        <v>0</v>
      </c>
      <c r="AE245" s="586">
        <f t="shared" si="116"/>
        <v>0</v>
      </c>
      <c r="AF245" s="586">
        <f t="shared" si="116"/>
        <v>0</v>
      </c>
      <c r="AG245" s="586">
        <f t="shared" si="116"/>
        <v>0</v>
      </c>
      <c r="AH245" s="586">
        <f t="shared" si="116"/>
        <v>0</v>
      </c>
      <c r="AI245" s="586">
        <f t="shared" si="116"/>
        <v>0</v>
      </c>
      <c r="AJ245" s="586">
        <f t="shared" si="116"/>
        <v>0</v>
      </c>
      <c r="AK245" s="586">
        <f t="shared" si="116"/>
        <v>0</v>
      </c>
      <c r="AL245" s="586">
        <f t="shared" si="116"/>
        <v>0</v>
      </c>
      <c r="AM245" s="586">
        <f t="shared" si="116"/>
        <v>0</v>
      </c>
      <c r="AN245" s="586">
        <f t="shared" si="116"/>
        <v>0</v>
      </c>
      <c r="AO245" s="586">
        <f t="shared" si="116"/>
        <v>0</v>
      </c>
      <c r="AP245" s="586">
        <f t="shared" si="116"/>
        <v>0</v>
      </c>
      <c r="AQ245" s="586">
        <f t="shared" si="116"/>
        <v>0</v>
      </c>
      <c r="AR245" s="586">
        <f t="shared" si="116"/>
        <v>0</v>
      </c>
      <c r="AS245" s="586">
        <f t="shared" si="116"/>
        <v>0</v>
      </c>
      <c r="AT245" s="170"/>
    </row>
    <row r="246" spans="1:46" ht="15" x14ac:dyDescent="0.25">
      <c r="A246" s="170"/>
      <c r="B246" s="719"/>
      <c r="C246" s="170" t="str">
        <f t="shared" si="113"/>
        <v>900</v>
      </c>
      <c r="D246" s="170"/>
      <c r="E246" s="170"/>
      <c r="F246" s="170">
        <f>+Parameters!D93</f>
        <v>90</v>
      </c>
      <c r="G246" s="170" t="str">
        <f>+Parameters!E93</f>
        <v>Environmental</v>
      </c>
      <c r="H246" s="586">
        <f t="shared" si="114"/>
        <v>0</v>
      </c>
      <c r="I246" s="170">
        <f>+Parameters!F93</f>
        <v>0</v>
      </c>
      <c r="J246" s="170"/>
      <c r="K246" s="170"/>
      <c r="L246" s="170"/>
      <c r="M246" s="730"/>
      <c r="N246" s="730"/>
      <c r="O246" s="730"/>
      <c r="P246" s="731"/>
      <c r="Q246" s="731"/>
      <c r="R246" s="730"/>
      <c r="S246" s="730"/>
      <c r="T246" s="723"/>
      <c r="U246" s="724"/>
      <c r="V246" s="725"/>
      <c r="W246" s="725"/>
      <c r="X246" s="723"/>
      <c r="Y246" s="723"/>
      <c r="Z246" s="723"/>
      <c r="AA246" s="726"/>
      <c r="AB246" s="726"/>
      <c r="AC246" s="170"/>
      <c r="AD246" s="586">
        <f t="shared" si="115"/>
        <v>0</v>
      </c>
      <c r="AE246" s="586">
        <f t="shared" si="116"/>
        <v>0</v>
      </c>
      <c r="AF246" s="586">
        <f t="shared" si="116"/>
        <v>0</v>
      </c>
      <c r="AG246" s="586">
        <f t="shared" si="116"/>
        <v>0</v>
      </c>
      <c r="AH246" s="586">
        <f t="shared" si="116"/>
        <v>0</v>
      </c>
      <c r="AI246" s="586">
        <f t="shared" si="116"/>
        <v>0</v>
      </c>
      <c r="AJ246" s="586">
        <f t="shared" si="116"/>
        <v>0</v>
      </c>
      <c r="AK246" s="586">
        <f t="shared" si="116"/>
        <v>0</v>
      </c>
      <c r="AL246" s="586">
        <f t="shared" si="116"/>
        <v>0</v>
      </c>
      <c r="AM246" s="586">
        <f t="shared" si="116"/>
        <v>0</v>
      </c>
      <c r="AN246" s="586">
        <f t="shared" si="116"/>
        <v>0</v>
      </c>
      <c r="AO246" s="586">
        <f t="shared" si="116"/>
        <v>0</v>
      </c>
      <c r="AP246" s="586">
        <f t="shared" si="116"/>
        <v>0</v>
      </c>
      <c r="AQ246" s="586">
        <f t="shared" si="116"/>
        <v>0</v>
      </c>
      <c r="AR246" s="586">
        <f t="shared" si="116"/>
        <v>0</v>
      </c>
      <c r="AS246" s="586">
        <f t="shared" si="116"/>
        <v>0</v>
      </c>
      <c r="AT246" s="170"/>
    </row>
    <row r="247" spans="1:46" ht="15" x14ac:dyDescent="0.25">
      <c r="A247" s="170"/>
      <c r="B247" s="719"/>
      <c r="C247" s="170" t="str">
        <f t="shared" si="113"/>
        <v>910</v>
      </c>
      <c r="D247" s="170"/>
      <c r="E247" s="170"/>
      <c r="F247" s="170">
        <f>+Parameters!D94</f>
        <v>91</v>
      </c>
      <c r="G247" s="170">
        <f>+Parameters!E94</f>
        <v>0</v>
      </c>
      <c r="H247" s="586">
        <f t="shared" si="114"/>
        <v>0</v>
      </c>
      <c r="I247" s="170">
        <f>+Parameters!F94</f>
        <v>0</v>
      </c>
      <c r="J247" s="170"/>
      <c r="K247" s="170"/>
      <c r="L247" s="170"/>
      <c r="M247" s="730"/>
      <c r="N247" s="730"/>
      <c r="O247" s="730"/>
      <c r="P247" s="731"/>
      <c r="Q247" s="731"/>
      <c r="R247" s="730"/>
      <c r="S247" s="730"/>
      <c r="T247" s="723"/>
      <c r="U247" s="724"/>
      <c r="V247" s="725"/>
      <c r="W247" s="725"/>
      <c r="X247" s="723"/>
      <c r="Y247" s="723"/>
      <c r="Z247" s="723"/>
      <c r="AA247" s="726"/>
      <c r="AB247" s="726"/>
      <c r="AC247" s="170"/>
      <c r="AD247" s="586">
        <f t="shared" si="115"/>
        <v>0</v>
      </c>
      <c r="AE247" s="586">
        <f t="shared" si="116"/>
        <v>0</v>
      </c>
      <c r="AF247" s="586">
        <f t="shared" si="116"/>
        <v>0</v>
      </c>
      <c r="AG247" s="586">
        <f t="shared" si="116"/>
        <v>0</v>
      </c>
      <c r="AH247" s="586">
        <f t="shared" si="116"/>
        <v>0</v>
      </c>
      <c r="AI247" s="586">
        <f t="shared" si="116"/>
        <v>0</v>
      </c>
      <c r="AJ247" s="586">
        <f t="shared" si="116"/>
        <v>0</v>
      </c>
      <c r="AK247" s="586">
        <f t="shared" si="116"/>
        <v>0</v>
      </c>
      <c r="AL247" s="586">
        <f t="shared" si="116"/>
        <v>0</v>
      </c>
      <c r="AM247" s="586">
        <f t="shared" si="116"/>
        <v>0</v>
      </c>
      <c r="AN247" s="586">
        <f t="shared" si="116"/>
        <v>0</v>
      </c>
      <c r="AO247" s="586">
        <f t="shared" si="116"/>
        <v>0</v>
      </c>
      <c r="AP247" s="586">
        <f t="shared" si="116"/>
        <v>0</v>
      </c>
      <c r="AQ247" s="586">
        <f t="shared" si="116"/>
        <v>0</v>
      </c>
      <c r="AR247" s="586">
        <f t="shared" si="116"/>
        <v>0</v>
      </c>
      <c r="AS247" s="586">
        <f t="shared" si="116"/>
        <v>0</v>
      </c>
      <c r="AT247" s="170"/>
    </row>
    <row r="248" spans="1:46" ht="15" x14ac:dyDescent="0.25">
      <c r="A248" s="170"/>
      <c r="B248" s="719"/>
      <c r="C248" s="170" t="str">
        <f t="shared" si="113"/>
        <v>920</v>
      </c>
      <c r="D248" s="170"/>
      <c r="E248" s="170"/>
      <c r="F248" s="170">
        <f>+Parameters!D95</f>
        <v>92</v>
      </c>
      <c r="G248" s="170">
        <f>+Parameters!E95</f>
        <v>0</v>
      </c>
      <c r="H248" s="586">
        <f t="shared" si="114"/>
        <v>0</v>
      </c>
      <c r="I248" s="170">
        <f>+Parameters!F95</f>
        <v>0</v>
      </c>
      <c r="J248" s="170"/>
      <c r="K248" s="170"/>
      <c r="L248" s="170"/>
      <c r="M248" s="730"/>
      <c r="N248" s="730"/>
      <c r="O248" s="730"/>
      <c r="P248" s="731"/>
      <c r="Q248" s="731"/>
      <c r="R248" s="730"/>
      <c r="S248" s="730"/>
      <c r="T248" s="723"/>
      <c r="U248" s="724"/>
      <c r="V248" s="725"/>
      <c r="W248" s="725"/>
      <c r="X248" s="723"/>
      <c r="Y248" s="723"/>
      <c r="Z248" s="723"/>
      <c r="AA248" s="726"/>
      <c r="AB248" s="726"/>
      <c r="AC248" s="170"/>
      <c r="AD248" s="586">
        <f t="shared" si="115"/>
        <v>0</v>
      </c>
      <c r="AE248" s="586">
        <f t="shared" si="116"/>
        <v>0</v>
      </c>
      <c r="AF248" s="586">
        <f t="shared" si="116"/>
        <v>0</v>
      </c>
      <c r="AG248" s="586">
        <f t="shared" si="116"/>
        <v>0</v>
      </c>
      <c r="AH248" s="586">
        <f t="shared" si="116"/>
        <v>0</v>
      </c>
      <c r="AI248" s="586">
        <f t="shared" si="116"/>
        <v>0</v>
      </c>
      <c r="AJ248" s="586">
        <f t="shared" si="116"/>
        <v>0</v>
      </c>
      <c r="AK248" s="586">
        <f t="shared" si="116"/>
        <v>0</v>
      </c>
      <c r="AL248" s="586">
        <f t="shared" si="116"/>
        <v>0</v>
      </c>
      <c r="AM248" s="586">
        <f t="shared" si="116"/>
        <v>0</v>
      </c>
      <c r="AN248" s="586">
        <f t="shared" si="116"/>
        <v>0</v>
      </c>
      <c r="AO248" s="586">
        <f t="shared" si="116"/>
        <v>0</v>
      </c>
      <c r="AP248" s="586">
        <f t="shared" si="116"/>
        <v>0</v>
      </c>
      <c r="AQ248" s="586">
        <f t="shared" si="116"/>
        <v>0</v>
      </c>
      <c r="AR248" s="586">
        <f t="shared" si="116"/>
        <v>0</v>
      </c>
      <c r="AS248" s="586">
        <f t="shared" si="116"/>
        <v>0</v>
      </c>
      <c r="AT248" s="170"/>
    </row>
    <row r="249" spans="1:46" ht="15" x14ac:dyDescent="0.25">
      <c r="A249" s="170"/>
      <c r="B249" s="719"/>
      <c r="C249" s="170" t="str">
        <f t="shared" si="113"/>
        <v>930</v>
      </c>
      <c r="D249" s="170"/>
      <c r="E249" s="170"/>
      <c r="F249" s="170">
        <f>+Parameters!D96</f>
        <v>93</v>
      </c>
      <c r="G249" s="170">
        <f>+Parameters!E96</f>
        <v>0</v>
      </c>
      <c r="H249" s="586">
        <f t="shared" si="114"/>
        <v>0</v>
      </c>
      <c r="I249" s="170">
        <f>+Parameters!F96</f>
        <v>0</v>
      </c>
      <c r="J249" s="170"/>
      <c r="K249" s="170"/>
      <c r="L249" s="170"/>
      <c r="M249" s="730"/>
      <c r="N249" s="730"/>
      <c r="O249" s="730"/>
      <c r="P249" s="731"/>
      <c r="Q249" s="731"/>
      <c r="R249" s="730"/>
      <c r="S249" s="730"/>
      <c r="T249" s="723"/>
      <c r="U249" s="724"/>
      <c r="V249" s="725"/>
      <c r="W249" s="725"/>
      <c r="X249" s="723"/>
      <c r="Y249" s="723"/>
      <c r="Z249" s="723"/>
      <c r="AA249" s="726"/>
      <c r="AB249" s="726"/>
      <c r="AC249" s="170"/>
      <c r="AD249" s="586">
        <f t="shared" si="115"/>
        <v>0</v>
      </c>
      <c r="AE249" s="586">
        <f t="shared" si="116"/>
        <v>0</v>
      </c>
      <c r="AF249" s="586">
        <f t="shared" si="116"/>
        <v>0</v>
      </c>
      <c r="AG249" s="586">
        <f t="shared" si="116"/>
        <v>0</v>
      </c>
      <c r="AH249" s="586">
        <f t="shared" si="116"/>
        <v>0</v>
      </c>
      <c r="AI249" s="586">
        <f t="shared" si="116"/>
        <v>0</v>
      </c>
      <c r="AJ249" s="586">
        <f t="shared" si="116"/>
        <v>0</v>
      </c>
      <c r="AK249" s="586">
        <f t="shared" si="116"/>
        <v>0</v>
      </c>
      <c r="AL249" s="586">
        <f t="shared" si="116"/>
        <v>0</v>
      </c>
      <c r="AM249" s="586">
        <f t="shared" si="116"/>
        <v>0</v>
      </c>
      <c r="AN249" s="586">
        <f t="shared" si="116"/>
        <v>0</v>
      </c>
      <c r="AO249" s="586">
        <f t="shared" si="116"/>
        <v>0</v>
      </c>
      <c r="AP249" s="586">
        <f t="shared" si="116"/>
        <v>0</v>
      </c>
      <c r="AQ249" s="586">
        <f t="shared" si="116"/>
        <v>0</v>
      </c>
      <c r="AR249" s="586">
        <f t="shared" si="116"/>
        <v>0</v>
      </c>
      <c r="AS249" s="586">
        <f t="shared" si="116"/>
        <v>0</v>
      </c>
      <c r="AT249" s="170"/>
    </row>
    <row r="250" spans="1:46" ht="15" x14ac:dyDescent="0.25">
      <c r="A250" s="170"/>
      <c r="B250" s="719"/>
      <c r="C250" s="170" t="str">
        <f t="shared" si="113"/>
        <v>940</v>
      </c>
      <c r="D250" s="170"/>
      <c r="E250" s="170"/>
      <c r="F250" s="170">
        <f>+Parameters!D97</f>
        <v>94</v>
      </c>
      <c r="G250" s="170">
        <f>+Parameters!E97</f>
        <v>0</v>
      </c>
      <c r="H250" s="586">
        <f t="shared" si="114"/>
        <v>0</v>
      </c>
      <c r="I250" s="170">
        <f>+Parameters!F97</f>
        <v>0</v>
      </c>
      <c r="J250" s="170"/>
      <c r="K250" s="170"/>
      <c r="L250" s="170"/>
      <c r="M250" s="730"/>
      <c r="N250" s="730"/>
      <c r="O250" s="730"/>
      <c r="P250" s="731"/>
      <c r="Q250" s="731"/>
      <c r="R250" s="730"/>
      <c r="S250" s="730"/>
      <c r="T250" s="723"/>
      <c r="U250" s="724"/>
      <c r="V250" s="725"/>
      <c r="W250" s="725"/>
      <c r="X250" s="723"/>
      <c r="Y250" s="723"/>
      <c r="Z250" s="723"/>
      <c r="AA250" s="726"/>
      <c r="AB250" s="726"/>
      <c r="AC250" s="170"/>
      <c r="AD250" s="586">
        <f t="shared" si="115"/>
        <v>0</v>
      </c>
      <c r="AE250" s="586">
        <f t="shared" si="116"/>
        <v>0</v>
      </c>
      <c r="AF250" s="586">
        <f t="shared" si="116"/>
        <v>0</v>
      </c>
      <c r="AG250" s="586">
        <f t="shared" si="116"/>
        <v>0</v>
      </c>
      <c r="AH250" s="586">
        <f t="shared" si="116"/>
        <v>0</v>
      </c>
      <c r="AI250" s="586">
        <f t="shared" si="116"/>
        <v>0</v>
      </c>
      <c r="AJ250" s="586">
        <f t="shared" si="116"/>
        <v>0</v>
      </c>
      <c r="AK250" s="586">
        <f t="shared" si="116"/>
        <v>0</v>
      </c>
      <c r="AL250" s="586">
        <f t="shared" si="116"/>
        <v>0</v>
      </c>
      <c r="AM250" s="586">
        <f t="shared" si="116"/>
        <v>0</v>
      </c>
      <c r="AN250" s="586">
        <f t="shared" si="116"/>
        <v>0</v>
      </c>
      <c r="AO250" s="586">
        <f t="shared" si="116"/>
        <v>0</v>
      </c>
      <c r="AP250" s="586">
        <f t="shared" si="116"/>
        <v>0</v>
      </c>
      <c r="AQ250" s="586">
        <f t="shared" si="116"/>
        <v>0</v>
      </c>
      <c r="AR250" s="586">
        <f t="shared" si="116"/>
        <v>0</v>
      </c>
      <c r="AS250" s="586">
        <f t="shared" si="116"/>
        <v>0</v>
      </c>
      <c r="AT250" s="170"/>
    </row>
    <row r="251" spans="1:46" ht="15" x14ac:dyDescent="0.25">
      <c r="A251" s="170"/>
      <c r="B251" s="719"/>
      <c r="C251" s="170" t="str">
        <f t="shared" si="113"/>
        <v>950</v>
      </c>
      <c r="D251" s="170"/>
      <c r="E251" s="170"/>
      <c r="F251" s="170">
        <f>+Parameters!D98</f>
        <v>95</v>
      </c>
      <c r="G251" s="170">
        <f>+Parameters!E98</f>
        <v>0</v>
      </c>
      <c r="H251" s="586">
        <f t="shared" si="114"/>
        <v>0</v>
      </c>
      <c r="I251" s="170">
        <f>+Parameters!F98</f>
        <v>0</v>
      </c>
      <c r="J251" s="170"/>
      <c r="K251" s="170"/>
      <c r="L251" s="170"/>
      <c r="M251" s="730"/>
      <c r="N251" s="730"/>
      <c r="O251" s="730"/>
      <c r="P251" s="731"/>
      <c r="Q251" s="731"/>
      <c r="R251" s="730"/>
      <c r="S251" s="730"/>
      <c r="T251" s="723"/>
      <c r="U251" s="724"/>
      <c r="V251" s="725"/>
      <c r="W251" s="725"/>
      <c r="X251" s="723"/>
      <c r="Y251" s="723"/>
      <c r="Z251" s="723"/>
      <c r="AA251" s="726"/>
      <c r="AB251" s="726"/>
      <c r="AC251" s="170"/>
      <c r="AD251" s="586">
        <f t="shared" si="115"/>
        <v>0</v>
      </c>
      <c r="AE251" s="586">
        <f t="shared" si="116"/>
        <v>0</v>
      </c>
      <c r="AF251" s="586">
        <f t="shared" si="116"/>
        <v>0</v>
      </c>
      <c r="AG251" s="586">
        <f t="shared" si="116"/>
        <v>0</v>
      </c>
      <c r="AH251" s="586">
        <f t="shared" si="116"/>
        <v>0</v>
      </c>
      <c r="AI251" s="586">
        <f t="shared" si="116"/>
        <v>0</v>
      </c>
      <c r="AJ251" s="586">
        <f t="shared" si="116"/>
        <v>0</v>
      </c>
      <c r="AK251" s="586">
        <f t="shared" si="116"/>
        <v>0</v>
      </c>
      <c r="AL251" s="586">
        <f t="shared" si="116"/>
        <v>0</v>
      </c>
      <c r="AM251" s="586">
        <f t="shared" si="116"/>
        <v>0</v>
      </c>
      <c r="AN251" s="586">
        <f t="shared" si="116"/>
        <v>0</v>
      </c>
      <c r="AO251" s="586">
        <f t="shared" si="116"/>
        <v>0</v>
      </c>
      <c r="AP251" s="586">
        <f t="shared" si="116"/>
        <v>0</v>
      </c>
      <c r="AQ251" s="586">
        <f t="shared" si="116"/>
        <v>0</v>
      </c>
      <c r="AR251" s="586">
        <f t="shared" si="116"/>
        <v>0</v>
      </c>
      <c r="AS251" s="586">
        <f t="shared" si="116"/>
        <v>0</v>
      </c>
      <c r="AT251" s="170"/>
    </row>
    <row r="252" spans="1:46" ht="15" x14ac:dyDescent="0.25">
      <c r="A252" s="170"/>
      <c r="B252" s="719"/>
      <c r="C252" s="170" t="str">
        <f t="shared" si="113"/>
        <v>960</v>
      </c>
      <c r="D252" s="170"/>
      <c r="E252" s="170"/>
      <c r="F252" s="170">
        <f>+Parameters!D99</f>
        <v>96</v>
      </c>
      <c r="G252" s="170">
        <f>+Parameters!E99</f>
        <v>0</v>
      </c>
      <c r="H252" s="586">
        <f t="shared" si="114"/>
        <v>0</v>
      </c>
      <c r="I252" s="170">
        <f>+Parameters!F99</f>
        <v>0</v>
      </c>
      <c r="J252" s="170"/>
      <c r="K252" s="170"/>
      <c r="L252" s="170"/>
      <c r="M252" s="730"/>
      <c r="N252" s="730"/>
      <c r="O252" s="730"/>
      <c r="P252" s="731"/>
      <c r="Q252" s="731"/>
      <c r="R252" s="730"/>
      <c r="S252" s="730"/>
      <c r="T252" s="723"/>
      <c r="U252" s="724"/>
      <c r="V252" s="725"/>
      <c r="W252" s="725"/>
      <c r="X252" s="723"/>
      <c r="Y252" s="723"/>
      <c r="Z252" s="723"/>
      <c r="AA252" s="726"/>
      <c r="AB252" s="726"/>
      <c r="AC252" s="170"/>
      <c r="AD252" s="586">
        <f t="shared" si="115"/>
        <v>0</v>
      </c>
      <c r="AE252" s="586">
        <f t="shared" si="116"/>
        <v>0</v>
      </c>
      <c r="AF252" s="586">
        <f t="shared" si="116"/>
        <v>0</v>
      </c>
      <c r="AG252" s="586">
        <f t="shared" si="116"/>
        <v>0</v>
      </c>
      <c r="AH252" s="586">
        <f t="shared" si="116"/>
        <v>0</v>
      </c>
      <c r="AI252" s="586">
        <f t="shared" si="116"/>
        <v>0</v>
      </c>
      <c r="AJ252" s="586">
        <f t="shared" si="116"/>
        <v>0</v>
      </c>
      <c r="AK252" s="586">
        <f t="shared" si="116"/>
        <v>0</v>
      </c>
      <c r="AL252" s="586">
        <f t="shared" si="116"/>
        <v>0</v>
      </c>
      <c r="AM252" s="586">
        <f t="shared" si="116"/>
        <v>0</v>
      </c>
      <c r="AN252" s="586">
        <f t="shared" si="116"/>
        <v>0</v>
      </c>
      <c r="AO252" s="586">
        <f t="shared" si="116"/>
        <v>0</v>
      </c>
      <c r="AP252" s="586">
        <f t="shared" si="116"/>
        <v>0</v>
      </c>
      <c r="AQ252" s="586">
        <f t="shared" si="116"/>
        <v>0</v>
      </c>
      <c r="AR252" s="586">
        <f t="shared" si="116"/>
        <v>0</v>
      </c>
      <c r="AS252" s="586">
        <f t="shared" si="116"/>
        <v>0</v>
      </c>
      <c r="AT252" s="170"/>
    </row>
    <row r="253" spans="1:46" ht="15" x14ac:dyDescent="0.25">
      <c r="A253" s="170"/>
      <c r="B253" s="719"/>
      <c r="C253" s="170" t="str">
        <f t="shared" si="113"/>
        <v>970</v>
      </c>
      <c r="D253" s="170"/>
      <c r="E253" s="170"/>
      <c r="F253" s="170">
        <f>+Parameters!D100</f>
        <v>97</v>
      </c>
      <c r="G253" s="170">
        <f>+Parameters!E100</f>
        <v>0</v>
      </c>
      <c r="H253" s="586">
        <f t="shared" si="114"/>
        <v>0</v>
      </c>
      <c r="I253" s="170">
        <f>+Parameters!F100</f>
        <v>0</v>
      </c>
      <c r="J253" s="170"/>
      <c r="K253" s="170"/>
      <c r="L253" s="170"/>
      <c r="M253" s="730"/>
      <c r="N253" s="730"/>
      <c r="O253" s="730"/>
      <c r="P253" s="731"/>
      <c r="Q253" s="731"/>
      <c r="R253" s="730"/>
      <c r="S253" s="730"/>
      <c r="T253" s="723"/>
      <c r="U253" s="724"/>
      <c r="V253" s="725"/>
      <c r="W253" s="725"/>
      <c r="X253" s="723"/>
      <c r="Y253" s="723"/>
      <c r="Z253" s="723"/>
      <c r="AA253" s="726"/>
      <c r="AB253" s="726"/>
      <c r="AC253" s="170"/>
      <c r="AD253" s="586">
        <f t="shared" si="115"/>
        <v>0</v>
      </c>
      <c r="AE253" s="586">
        <f t="shared" si="116"/>
        <v>0</v>
      </c>
      <c r="AF253" s="586">
        <f t="shared" si="116"/>
        <v>0</v>
      </c>
      <c r="AG253" s="586">
        <f t="shared" si="116"/>
        <v>0</v>
      </c>
      <c r="AH253" s="586">
        <f t="shared" si="116"/>
        <v>0</v>
      </c>
      <c r="AI253" s="586">
        <f t="shared" si="116"/>
        <v>0</v>
      </c>
      <c r="AJ253" s="586">
        <f t="shared" si="116"/>
        <v>0</v>
      </c>
      <c r="AK253" s="586">
        <f t="shared" si="116"/>
        <v>0</v>
      </c>
      <c r="AL253" s="586">
        <f t="shared" si="116"/>
        <v>0</v>
      </c>
      <c r="AM253" s="586">
        <f t="shared" si="116"/>
        <v>0</v>
      </c>
      <c r="AN253" s="586">
        <f t="shared" si="116"/>
        <v>0</v>
      </c>
      <c r="AO253" s="586">
        <f t="shared" si="116"/>
        <v>0</v>
      </c>
      <c r="AP253" s="586">
        <f t="shared" si="116"/>
        <v>0</v>
      </c>
      <c r="AQ253" s="586">
        <f t="shared" si="116"/>
        <v>0</v>
      </c>
      <c r="AR253" s="586">
        <f t="shared" si="116"/>
        <v>0</v>
      </c>
      <c r="AS253" s="586">
        <f t="shared" si="116"/>
        <v>0</v>
      </c>
      <c r="AT253" s="170"/>
    </row>
    <row r="254" spans="1:46" ht="15" x14ac:dyDescent="0.25">
      <c r="A254" s="170"/>
      <c r="B254" s="719"/>
      <c r="C254" s="170" t="str">
        <f t="shared" si="113"/>
        <v>980</v>
      </c>
      <c r="D254" s="170"/>
      <c r="E254" s="170"/>
      <c r="F254" s="170">
        <f>+Parameters!D101</f>
        <v>98</v>
      </c>
      <c r="G254" s="170">
        <f>+Parameters!E101</f>
        <v>0</v>
      </c>
      <c r="H254" s="586">
        <f t="shared" si="114"/>
        <v>0</v>
      </c>
      <c r="I254" s="170">
        <f>+Parameters!F101</f>
        <v>0</v>
      </c>
      <c r="J254" s="170"/>
      <c r="K254" s="170"/>
      <c r="L254" s="170"/>
      <c r="M254" s="730"/>
      <c r="N254" s="730"/>
      <c r="O254" s="730"/>
      <c r="P254" s="731"/>
      <c r="Q254" s="731"/>
      <c r="R254" s="730"/>
      <c r="S254" s="730"/>
      <c r="T254" s="723"/>
      <c r="U254" s="724"/>
      <c r="V254" s="725"/>
      <c r="W254" s="725"/>
      <c r="X254" s="723"/>
      <c r="Y254" s="723"/>
      <c r="Z254" s="723"/>
      <c r="AA254" s="726"/>
      <c r="AB254" s="726"/>
      <c r="AC254" s="170"/>
      <c r="AD254" s="586">
        <f t="shared" si="115"/>
        <v>0</v>
      </c>
      <c r="AE254" s="586">
        <f t="shared" si="116"/>
        <v>0</v>
      </c>
      <c r="AF254" s="586">
        <f t="shared" si="116"/>
        <v>0</v>
      </c>
      <c r="AG254" s="586">
        <f t="shared" si="116"/>
        <v>0</v>
      </c>
      <c r="AH254" s="586">
        <f t="shared" si="116"/>
        <v>0</v>
      </c>
      <c r="AI254" s="586">
        <f t="shared" si="116"/>
        <v>0</v>
      </c>
      <c r="AJ254" s="586">
        <f t="shared" si="116"/>
        <v>0</v>
      </c>
      <c r="AK254" s="586">
        <f t="shared" si="116"/>
        <v>0</v>
      </c>
      <c r="AL254" s="586">
        <f t="shared" si="116"/>
        <v>0</v>
      </c>
      <c r="AM254" s="586">
        <f t="shared" si="116"/>
        <v>0</v>
      </c>
      <c r="AN254" s="586">
        <f t="shared" si="116"/>
        <v>0</v>
      </c>
      <c r="AO254" s="586">
        <f t="shared" si="116"/>
        <v>0</v>
      </c>
      <c r="AP254" s="586">
        <f t="shared" si="116"/>
        <v>0</v>
      </c>
      <c r="AQ254" s="586">
        <f t="shared" si="116"/>
        <v>0</v>
      </c>
      <c r="AR254" s="586">
        <f t="shared" si="116"/>
        <v>0</v>
      </c>
      <c r="AS254" s="586">
        <f>SUMIF($F$9:$F$153,$F254,AS$9:AS$153)</f>
        <v>0</v>
      </c>
      <c r="AT254" s="170"/>
    </row>
    <row r="255" spans="1:46" ht="15" x14ac:dyDescent="0.25">
      <c r="A255" s="170"/>
      <c r="B255" s="719"/>
      <c r="C255" s="170" t="str">
        <f t="shared" si="113"/>
        <v>990</v>
      </c>
      <c r="D255" s="170"/>
      <c r="E255" s="170"/>
      <c r="F255" s="170">
        <f>+Parameters!D102</f>
        <v>99</v>
      </c>
      <c r="G255" s="170" t="str">
        <f>+Parameters!E102</f>
        <v>REMOVALS</v>
      </c>
      <c r="H255" s="586">
        <f t="shared" si="114"/>
        <v>0</v>
      </c>
      <c r="I255" s="170">
        <f>+Parameters!F102</f>
        <v>0</v>
      </c>
      <c r="J255" s="170"/>
      <c r="K255" s="170"/>
      <c r="L255" s="170"/>
      <c r="M255" s="730"/>
      <c r="N255" s="730"/>
      <c r="O255" s="730"/>
      <c r="P255" s="731"/>
      <c r="Q255" s="731"/>
      <c r="R255" s="730"/>
      <c r="S255" s="730"/>
      <c r="T255" s="723"/>
      <c r="U255" s="724"/>
      <c r="V255" s="725"/>
      <c r="W255" s="725"/>
      <c r="X255" s="723"/>
      <c r="Y255" s="723"/>
      <c r="Z255" s="723"/>
      <c r="AA255" s="726"/>
      <c r="AB255" s="726"/>
      <c r="AC255" s="170"/>
      <c r="AD255" s="586">
        <f t="shared" si="115"/>
        <v>0</v>
      </c>
      <c r="AE255" s="586">
        <f t="shared" ref="AE255:AR257" si="117">SUMIF($F$9:$F$153,$F255,AE$9:AE$153)</f>
        <v>0</v>
      </c>
      <c r="AF255" s="586">
        <f t="shared" si="117"/>
        <v>0</v>
      </c>
      <c r="AG255" s="586">
        <f t="shared" si="117"/>
        <v>0</v>
      </c>
      <c r="AH255" s="586">
        <f t="shared" ca="1" si="117"/>
        <v>0</v>
      </c>
      <c r="AI255" s="586">
        <f t="shared" ca="1" si="117"/>
        <v>0</v>
      </c>
      <c r="AJ255" s="586">
        <f t="shared" si="117"/>
        <v>0</v>
      </c>
      <c r="AK255" s="586">
        <f t="shared" si="117"/>
        <v>0</v>
      </c>
      <c r="AL255" s="586">
        <f t="shared" si="117"/>
        <v>0</v>
      </c>
      <c r="AM255" s="586">
        <f t="shared" si="117"/>
        <v>0</v>
      </c>
      <c r="AN255" s="586">
        <f t="shared" si="117"/>
        <v>0</v>
      </c>
      <c r="AO255" s="586">
        <f t="shared" si="117"/>
        <v>0</v>
      </c>
      <c r="AP255" s="586">
        <f t="shared" si="117"/>
        <v>0</v>
      </c>
      <c r="AQ255" s="586">
        <f t="shared" si="117"/>
        <v>0</v>
      </c>
      <c r="AR255" s="586">
        <f t="shared" si="117"/>
        <v>0</v>
      </c>
      <c r="AS255" s="586">
        <f ca="1">SUMIF($F$9:$F$153,$F255,AS$9:AS$153)</f>
        <v>0</v>
      </c>
      <c r="AT255" s="170"/>
    </row>
    <row r="256" spans="1:46" ht="15" x14ac:dyDescent="0.25">
      <c r="A256" s="170"/>
      <c r="B256" s="719"/>
      <c r="C256" s="170"/>
      <c r="D256" s="170"/>
      <c r="E256" s="170"/>
      <c r="F256" s="170">
        <f>+Parameters!D103</f>
        <v>0</v>
      </c>
      <c r="G256" s="170" t="str">
        <f>+Parameters!E103</f>
        <v>Uncoded amounts ( fix the coding before continuing)</v>
      </c>
      <c r="H256" s="586"/>
      <c r="I256" s="170">
        <f>+Parameters!F103</f>
        <v>0</v>
      </c>
      <c r="J256" s="170"/>
      <c r="K256" s="170"/>
      <c r="L256" s="170"/>
      <c r="M256" s="730"/>
      <c r="N256" s="730"/>
      <c r="O256" s="730"/>
      <c r="P256" s="731"/>
      <c r="Q256" s="731"/>
      <c r="R256" s="730"/>
      <c r="S256" s="730"/>
      <c r="T256" s="723"/>
      <c r="U256" s="724"/>
      <c r="V256" s="725"/>
      <c r="W256" s="725"/>
      <c r="X256" s="723"/>
      <c r="Y256" s="723"/>
      <c r="Z256" s="723"/>
      <c r="AA256" s="726"/>
      <c r="AB256" s="726"/>
      <c r="AC256" s="170"/>
      <c r="AD256" s="586">
        <f t="shared" si="115"/>
        <v>0</v>
      </c>
      <c r="AE256" s="586">
        <f t="shared" si="117"/>
        <v>0</v>
      </c>
      <c r="AF256" s="586">
        <f t="shared" si="117"/>
        <v>0</v>
      </c>
      <c r="AG256" s="586">
        <f t="shared" si="117"/>
        <v>0</v>
      </c>
      <c r="AH256" s="586">
        <f t="shared" si="117"/>
        <v>0</v>
      </c>
      <c r="AI256" s="586">
        <f t="shared" si="117"/>
        <v>0</v>
      </c>
      <c r="AJ256" s="586">
        <f t="shared" si="117"/>
        <v>0</v>
      </c>
      <c r="AK256" s="586">
        <f t="shared" si="117"/>
        <v>0</v>
      </c>
      <c r="AL256" s="586">
        <f t="shared" si="117"/>
        <v>0</v>
      </c>
      <c r="AM256" s="586">
        <f t="shared" si="117"/>
        <v>0</v>
      </c>
      <c r="AN256" s="586">
        <f t="shared" si="117"/>
        <v>0</v>
      </c>
      <c r="AO256" s="586">
        <f t="shared" si="117"/>
        <v>0</v>
      </c>
      <c r="AP256" s="586">
        <f t="shared" si="117"/>
        <v>0</v>
      </c>
      <c r="AQ256" s="586">
        <f t="shared" si="117"/>
        <v>0</v>
      </c>
      <c r="AR256" s="586">
        <f t="shared" si="117"/>
        <v>0</v>
      </c>
      <c r="AS256" s="586">
        <f>SUMIF($F$9:$F$153,$F256,AS$9:AS$153)</f>
        <v>0</v>
      </c>
      <c r="AT256" s="170"/>
    </row>
    <row r="257" spans="1:46" ht="15" x14ac:dyDescent="0.25">
      <c r="A257" s="170"/>
      <c r="B257" s="719"/>
      <c r="C257" s="170"/>
      <c r="D257" s="170"/>
      <c r="E257" s="170"/>
      <c r="F257" s="170">
        <f>+Parameters!D104</f>
        <v>0</v>
      </c>
      <c r="G257" s="170">
        <f>+Parameters!E104</f>
        <v>0</v>
      </c>
      <c r="H257" s="586"/>
      <c r="I257" s="170">
        <f>+Parameters!F104</f>
        <v>0</v>
      </c>
      <c r="J257" s="170"/>
      <c r="K257" s="170"/>
      <c r="L257" s="170"/>
      <c r="M257" s="730"/>
      <c r="N257" s="730"/>
      <c r="O257" s="730"/>
      <c r="P257" s="731"/>
      <c r="Q257" s="731"/>
      <c r="R257" s="730"/>
      <c r="S257" s="730"/>
      <c r="T257" s="723"/>
      <c r="U257" s="724"/>
      <c r="V257" s="725"/>
      <c r="W257" s="725"/>
      <c r="X257" s="723"/>
      <c r="Y257" s="723"/>
      <c r="Z257" s="723"/>
      <c r="AA257" s="726"/>
      <c r="AB257" s="726"/>
      <c r="AC257" s="170"/>
      <c r="AD257" s="586">
        <f t="shared" si="115"/>
        <v>0</v>
      </c>
      <c r="AE257" s="586">
        <f t="shared" si="117"/>
        <v>0</v>
      </c>
      <c r="AF257" s="586">
        <f t="shared" si="117"/>
        <v>0</v>
      </c>
      <c r="AG257" s="586">
        <f t="shared" si="117"/>
        <v>0</v>
      </c>
      <c r="AH257" s="586">
        <f t="shared" si="117"/>
        <v>0</v>
      </c>
      <c r="AI257" s="586">
        <f t="shared" si="117"/>
        <v>0</v>
      </c>
      <c r="AJ257" s="586">
        <f t="shared" si="117"/>
        <v>0</v>
      </c>
      <c r="AK257" s="586">
        <f t="shared" si="117"/>
        <v>0</v>
      </c>
      <c r="AL257" s="586">
        <f t="shared" si="117"/>
        <v>0</v>
      </c>
      <c r="AM257" s="586">
        <f t="shared" si="117"/>
        <v>0</v>
      </c>
      <c r="AN257" s="586">
        <f t="shared" si="117"/>
        <v>0</v>
      </c>
      <c r="AO257" s="586">
        <f t="shared" si="117"/>
        <v>0</v>
      </c>
      <c r="AP257" s="586">
        <f t="shared" si="117"/>
        <v>0</v>
      </c>
      <c r="AQ257" s="586">
        <f t="shared" si="117"/>
        <v>0</v>
      </c>
      <c r="AR257" s="586">
        <f t="shared" si="117"/>
        <v>0</v>
      </c>
      <c r="AS257" s="586">
        <f>SUMIF($F$9:$F$153,$F257,AS$9:AS$153)</f>
        <v>0</v>
      </c>
      <c r="AT257" s="170"/>
    </row>
    <row r="258" spans="1:46" ht="15" x14ac:dyDescent="0.25">
      <c r="A258" s="170"/>
      <c r="B258" s="719"/>
      <c r="C258" s="170"/>
      <c r="D258" s="170"/>
      <c r="E258" s="170"/>
      <c r="F258" s="170"/>
      <c r="G258" s="721"/>
      <c r="H258" s="170"/>
      <c r="I258" s="170"/>
      <c r="J258" s="170"/>
      <c r="K258" s="170"/>
      <c r="L258" s="170"/>
      <c r="M258" s="730"/>
      <c r="N258" s="730"/>
      <c r="O258" s="730"/>
      <c r="P258" s="731"/>
      <c r="Q258" s="731"/>
      <c r="R258" s="730"/>
      <c r="S258" s="730"/>
      <c r="T258" s="723"/>
      <c r="U258" s="724"/>
      <c r="V258" s="725"/>
      <c r="W258" s="725"/>
      <c r="X258" s="723"/>
      <c r="Y258" s="723"/>
      <c r="Z258" s="723"/>
      <c r="AA258" s="726"/>
      <c r="AB258" s="726"/>
      <c r="AC258" s="170"/>
      <c r="AD258" s="586"/>
      <c r="AE258" s="586"/>
      <c r="AF258" s="586"/>
      <c r="AG258" s="586"/>
      <c r="AH258" s="586"/>
      <c r="AI258" s="586"/>
      <c r="AJ258" s="586"/>
      <c r="AK258" s="586"/>
      <c r="AL258" s="586"/>
      <c r="AM258" s="586"/>
      <c r="AN258" s="586"/>
      <c r="AO258" s="586"/>
      <c r="AP258" s="586"/>
      <c r="AQ258" s="586"/>
      <c r="AR258" s="586"/>
      <c r="AS258" s="586"/>
      <c r="AT258" s="170"/>
    </row>
    <row r="259" spans="1:46" ht="15" x14ac:dyDescent="0.25">
      <c r="A259" s="170"/>
      <c r="B259" s="719"/>
      <c r="C259" s="170"/>
      <c r="D259" s="170"/>
      <c r="E259" s="170"/>
      <c r="F259" s="170"/>
      <c r="G259" s="721"/>
      <c r="H259" s="170"/>
      <c r="I259" s="170"/>
      <c r="J259" s="170"/>
      <c r="K259" s="170"/>
      <c r="L259" s="170"/>
      <c r="M259" s="730"/>
      <c r="N259" s="730"/>
      <c r="O259" s="730"/>
      <c r="P259" s="731"/>
      <c r="Q259" s="731"/>
      <c r="R259" s="730"/>
      <c r="S259" s="730"/>
      <c r="T259" s="723"/>
      <c r="U259" s="724"/>
      <c r="V259" s="725"/>
      <c r="W259" s="725"/>
      <c r="X259" s="723"/>
      <c r="Y259" s="723"/>
      <c r="Z259" s="723"/>
      <c r="AA259" s="726"/>
      <c r="AB259" s="726"/>
      <c r="AC259" s="170"/>
      <c r="AD259" s="586"/>
      <c r="AE259" s="586"/>
      <c r="AF259" s="586"/>
      <c r="AG259" s="586"/>
      <c r="AH259" s="586"/>
      <c r="AI259" s="586"/>
      <c r="AJ259" s="586"/>
      <c r="AK259" s="586"/>
      <c r="AL259" s="586"/>
      <c r="AM259" s="586"/>
      <c r="AN259" s="586"/>
      <c r="AO259" s="586"/>
      <c r="AP259" s="586"/>
      <c r="AQ259" s="586"/>
      <c r="AR259" s="586"/>
      <c r="AS259" s="586"/>
      <c r="AT259" s="170"/>
    </row>
    <row r="260" spans="1:46" ht="15" x14ac:dyDescent="0.25">
      <c r="A260" s="170"/>
      <c r="B260" s="719"/>
      <c r="C260" s="170"/>
      <c r="D260" s="170"/>
      <c r="E260" s="170"/>
      <c r="F260" s="170"/>
      <c r="G260" s="721"/>
      <c r="H260" s="170"/>
      <c r="I260" s="170"/>
      <c r="J260" s="170"/>
      <c r="K260" s="170"/>
      <c r="L260" s="170"/>
      <c r="M260" s="730"/>
      <c r="N260" s="730"/>
      <c r="O260" s="730"/>
      <c r="P260" s="731"/>
      <c r="Q260" s="731"/>
      <c r="R260" s="730"/>
      <c r="S260" s="730"/>
      <c r="T260" s="723"/>
      <c r="U260" s="724"/>
      <c r="V260" s="725"/>
      <c r="W260" s="725"/>
      <c r="X260" s="723"/>
      <c r="Y260" s="723"/>
      <c r="Z260" s="723"/>
      <c r="AA260" s="726"/>
      <c r="AB260" s="726"/>
      <c r="AC260" s="170"/>
      <c r="AD260" s="586"/>
      <c r="AE260" s="586"/>
      <c r="AF260" s="586"/>
      <c r="AG260" s="586"/>
      <c r="AH260" s="586"/>
      <c r="AI260" s="586"/>
      <c r="AJ260" s="586"/>
      <c r="AK260" s="586"/>
      <c r="AL260" s="586"/>
      <c r="AM260" s="586"/>
      <c r="AN260" s="586"/>
      <c r="AO260" s="586"/>
      <c r="AP260" s="586"/>
      <c r="AQ260" s="586"/>
      <c r="AR260" s="586"/>
      <c r="AS260" s="586"/>
      <c r="AT260" s="170"/>
    </row>
    <row r="261" spans="1:46" ht="15" x14ac:dyDescent="0.25">
      <c r="A261" s="170"/>
      <c r="B261" s="719"/>
      <c r="C261" s="170"/>
      <c r="D261" s="170"/>
      <c r="E261" s="170"/>
      <c r="F261" s="170"/>
      <c r="G261" s="721" t="s">
        <v>223</v>
      </c>
      <c r="H261" s="170"/>
      <c r="I261" s="170"/>
      <c r="J261" s="170"/>
      <c r="K261" s="170"/>
      <c r="L261" s="170"/>
      <c r="M261" s="730"/>
      <c r="N261" s="730"/>
      <c r="O261" s="730"/>
      <c r="P261" s="731"/>
      <c r="Q261" s="731"/>
      <c r="R261" s="730"/>
      <c r="S261" s="730"/>
      <c r="T261" s="723"/>
      <c r="U261" s="724"/>
      <c r="V261" s="725"/>
      <c r="W261" s="725"/>
      <c r="X261" s="723"/>
      <c r="Y261" s="723"/>
      <c r="Z261" s="723"/>
      <c r="AA261" s="726"/>
      <c r="AB261" s="726"/>
      <c r="AC261" s="170"/>
      <c r="AD261" s="586">
        <f t="shared" ref="AD261:AS261" si="118">SUM(AD157:AD260)</f>
        <v>0</v>
      </c>
      <c r="AE261" s="586">
        <f t="shared" si="118"/>
        <v>0</v>
      </c>
      <c r="AF261" s="586">
        <f t="shared" si="118"/>
        <v>0</v>
      </c>
      <c r="AG261" s="586">
        <f t="shared" si="118"/>
        <v>0</v>
      </c>
      <c r="AH261" s="586">
        <f t="shared" ca="1" si="118"/>
        <v>0</v>
      </c>
      <c r="AI261" s="586">
        <f t="shared" ca="1" si="118"/>
        <v>0</v>
      </c>
      <c r="AJ261" s="586">
        <f t="shared" si="118"/>
        <v>0</v>
      </c>
      <c r="AK261" s="586">
        <f t="shared" si="118"/>
        <v>0</v>
      </c>
      <c r="AL261" s="586">
        <f t="shared" si="118"/>
        <v>0</v>
      </c>
      <c r="AM261" s="586">
        <f t="shared" si="118"/>
        <v>0</v>
      </c>
      <c r="AN261" s="586">
        <f t="shared" si="118"/>
        <v>0</v>
      </c>
      <c r="AO261" s="586">
        <f t="shared" si="118"/>
        <v>0</v>
      </c>
      <c r="AP261" s="586">
        <f t="shared" si="118"/>
        <v>0</v>
      </c>
      <c r="AQ261" s="586">
        <f t="shared" si="118"/>
        <v>0</v>
      </c>
      <c r="AR261" s="586">
        <f t="shared" si="118"/>
        <v>0</v>
      </c>
      <c r="AS261" s="586">
        <f t="shared" ca="1" si="118"/>
        <v>0</v>
      </c>
      <c r="AT261" s="170" t="s">
        <v>395</v>
      </c>
    </row>
    <row r="262" spans="1:46" ht="15" x14ac:dyDescent="0.25">
      <c r="A262" s="170"/>
      <c r="B262" s="719"/>
      <c r="C262" s="170"/>
      <c r="D262" s="170"/>
      <c r="E262" s="170"/>
      <c r="F262" s="170"/>
      <c r="G262" s="721"/>
      <c r="H262" s="170"/>
      <c r="I262" s="170"/>
      <c r="J262" s="170"/>
      <c r="K262" s="170"/>
      <c r="L262" s="170"/>
      <c r="M262" s="730"/>
      <c r="N262" s="730"/>
      <c r="O262" s="730"/>
      <c r="P262" s="731"/>
      <c r="Q262" s="731"/>
      <c r="R262" s="730"/>
      <c r="S262" s="730"/>
      <c r="T262" s="723"/>
      <c r="U262" s="724"/>
      <c r="V262" s="725"/>
      <c r="W262" s="725"/>
      <c r="X262" s="723"/>
      <c r="Y262" s="723"/>
      <c r="Z262" s="723"/>
      <c r="AA262" s="726"/>
      <c r="AB262" s="726"/>
      <c r="AC262" s="170"/>
      <c r="AD262" s="586"/>
      <c r="AE262" s="586"/>
      <c r="AF262" s="170"/>
      <c r="AG262" s="170"/>
      <c r="AH262" s="170"/>
      <c r="AI262" s="170"/>
      <c r="AJ262" s="170"/>
      <c r="AK262" s="170"/>
      <c r="AL262" s="170"/>
      <c r="AM262" s="170"/>
      <c r="AN262" s="170"/>
      <c r="AO262" s="170"/>
      <c r="AP262" s="170"/>
      <c r="AQ262" s="170"/>
      <c r="AR262" s="170"/>
      <c r="AS262" s="170"/>
      <c r="AT262" s="170"/>
    </row>
    <row r="263" spans="1:46" ht="15" x14ac:dyDescent="0.25">
      <c r="A263" s="170"/>
      <c r="B263" s="719"/>
      <c r="C263" s="170"/>
      <c r="D263" s="170"/>
      <c r="E263" s="170"/>
      <c r="F263" s="170"/>
      <c r="G263" s="721"/>
      <c r="H263" s="170"/>
      <c r="I263" s="170"/>
      <c r="J263" s="170"/>
      <c r="K263" s="170"/>
      <c r="L263" s="170"/>
      <c r="M263" s="730"/>
      <c r="N263" s="730"/>
      <c r="O263" s="730"/>
      <c r="P263" s="731"/>
      <c r="Q263" s="731"/>
      <c r="R263" s="730"/>
      <c r="S263" s="730"/>
      <c r="T263" s="723"/>
      <c r="U263" s="724"/>
      <c r="V263" s="725"/>
      <c r="W263" s="725"/>
      <c r="X263" s="723"/>
      <c r="Y263" s="723"/>
      <c r="Z263" s="723"/>
      <c r="AA263" s="726"/>
      <c r="AB263" s="726"/>
      <c r="AC263" s="170"/>
      <c r="AD263" s="586"/>
      <c r="AE263" s="586"/>
      <c r="AF263" s="170"/>
      <c r="AG263" s="170"/>
      <c r="AH263" s="170"/>
      <c r="AI263" s="170"/>
      <c r="AJ263" s="170"/>
      <c r="AK263" s="170"/>
      <c r="AL263" s="170"/>
      <c r="AM263" s="170"/>
      <c r="AN263" s="170"/>
      <c r="AO263" s="170"/>
      <c r="AP263" s="170"/>
      <c r="AQ263" s="170"/>
      <c r="AR263" s="170"/>
      <c r="AS263" s="170"/>
    </row>
    <row r="264" spans="1:46" ht="15" x14ac:dyDescent="0.25">
      <c r="A264" s="170"/>
      <c r="B264" s="719"/>
      <c r="C264" s="170"/>
      <c r="D264" s="170"/>
      <c r="E264" s="170"/>
      <c r="F264" s="170"/>
      <c r="G264" s="721"/>
      <c r="H264" s="170"/>
      <c r="I264" s="170"/>
      <c r="J264" s="170"/>
      <c r="K264" s="170"/>
      <c r="L264" s="170"/>
      <c r="M264" s="730"/>
      <c r="N264" s="730"/>
      <c r="O264" s="730"/>
      <c r="P264" s="731"/>
      <c r="Q264" s="731"/>
      <c r="R264" s="730"/>
      <c r="S264" s="730"/>
      <c r="T264" s="723"/>
      <c r="U264" s="724"/>
      <c r="V264" s="725"/>
      <c r="W264" s="725"/>
      <c r="X264" s="723"/>
      <c r="Y264" s="723"/>
      <c r="Z264" s="723"/>
      <c r="AA264" s="726"/>
      <c r="AB264" s="726"/>
      <c r="AC264" s="170"/>
      <c r="AD264" s="586"/>
      <c r="AE264" s="586"/>
      <c r="AF264" s="170"/>
      <c r="AG264" s="170"/>
      <c r="AH264" s="170"/>
      <c r="AI264" s="170"/>
      <c r="AJ264" s="170"/>
      <c r="AK264" s="170"/>
      <c r="AL264" s="170"/>
      <c r="AM264" s="170"/>
      <c r="AN264" s="170"/>
      <c r="AO264" s="170"/>
      <c r="AP264" s="170"/>
      <c r="AQ264" s="170"/>
      <c r="AR264" s="170"/>
      <c r="AS264" s="170"/>
    </row>
    <row r="265" spans="1:46" ht="15" x14ac:dyDescent="0.25">
      <c r="A265" s="170"/>
      <c r="B265" s="719"/>
      <c r="C265" s="170"/>
      <c r="D265" s="170"/>
      <c r="E265" s="170"/>
      <c r="F265" s="170"/>
      <c r="G265" s="721"/>
      <c r="H265" s="170"/>
      <c r="I265" s="170"/>
      <c r="J265" s="170"/>
      <c r="K265" s="170"/>
      <c r="L265" s="170"/>
      <c r="M265" s="730"/>
      <c r="N265" s="730"/>
      <c r="O265" s="730"/>
      <c r="P265" s="731"/>
      <c r="Q265" s="731"/>
      <c r="R265" s="730"/>
      <c r="S265" s="730"/>
      <c r="T265" s="723"/>
      <c r="U265" s="724"/>
      <c r="V265" s="725"/>
      <c r="W265" s="725"/>
      <c r="X265" s="723"/>
      <c r="Y265" s="723"/>
      <c r="Z265" s="723"/>
      <c r="AA265" s="726"/>
      <c r="AB265" s="726"/>
      <c r="AC265" s="170"/>
      <c r="AD265" s="586"/>
      <c r="AE265" s="586"/>
      <c r="AF265" s="170"/>
      <c r="AG265" s="170"/>
      <c r="AH265" s="170"/>
      <c r="AI265" s="170"/>
      <c r="AJ265" s="170"/>
      <c r="AK265" s="170"/>
      <c r="AL265" s="170"/>
      <c r="AM265" s="170"/>
      <c r="AN265" s="170"/>
      <c r="AO265" s="170"/>
      <c r="AP265" s="170"/>
      <c r="AQ265" s="170"/>
      <c r="AR265" s="170"/>
      <c r="AS265" s="170"/>
    </row>
    <row r="266" spans="1:46" ht="15" x14ac:dyDescent="0.25">
      <c r="A266" s="170"/>
      <c r="B266" s="719"/>
      <c r="C266" s="170"/>
      <c r="D266" s="170"/>
      <c r="E266" s="170"/>
      <c r="F266" s="170"/>
      <c r="G266" s="721"/>
      <c r="H266" s="170"/>
      <c r="I266" s="170"/>
      <c r="J266" s="170"/>
      <c r="K266" s="170"/>
      <c r="L266" s="170"/>
      <c r="M266" s="730"/>
      <c r="N266" s="730"/>
      <c r="O266" s="730"/>
      <c r="P266" s="731"/>
      <c r="Q266" s="731"/>
      <c r="R266" s="730"/>
      <c r="S266" s="730"/>
      <c r="T266" s="723"/>
      <c r="U266" s="724"/>
      <c r="V266" s="725"/>
      <c r="W266" s="725"/>
      <c r="X266" s="723"/>
      <c r="Y266" s="723"/>
      <c r="Z266" s="723"/>
      <c r="AA266" s="726"/>
      <c r="AB266" s="726"/>
      <c r="AC266" s="170"/>
      <c r="AD266" s="586"/>
      <c r="AE266" s="586"/>
      <c r="AF266" s="170"/>
      <c r="AG266" s="170"/>
      <c r="AH266" s="170"/>
      <c r="AI266" s="170"/>
      <c r="AJ266" s="170"/>
      <c r="AK266" s="170"/>
      <c r="AL266" s="170"/>
      <c r="AM266" s="170"/>
      <c r="AN266" s="170"/>
      <c r="AO266" s="170"/>
      <c r="AP266" s="170"/>
      <c r="AQ266" s="170"/>
      <c r="AR266" s="170"/>
      <c r="AS266" s="170"/>
    </row>
    <row r="267" spans="1:46" ht="15" x14ac:dyDescent="0.25">
      <c r="A267" s="170"/>
      <c r="B267" s="719"/>
      <c r="C267" s="170"/>
      <c r="D267" s="170"/>
      <c r="E267" s="170"/>
      <c r="F267" s="170"/>
      <c r="G267" s="721"/>
      <c r="H267" s="170"/>
      <c r="I267" s="170"/>
      <c r="J267" s="170"/>
      <c r="K267" s="170"/>
      <c r="L267" s="170"/>
      <c r="M267" s="730"/>
      <c r="N267" s="730"/>
      <c r="O267" s="730"/>
      <c r="P267" s="731"/>
      <c r="Q267" s="731"/>
      <c r="R267" s="730"/>
      <c r="S267" s="730"/>
      <c r="T267" s="723"/>
      <c r="U267" s="724"/>
      <c r="V267" s="725"/>
      <c r="W267" s="725"/>
      <c r="X267" s="723"/>
      <c r="Y267" s="723"/>
      <c r="Z267" s="723"/>
      <c r="AA267" s="726"/>
      <c r="AB267" s="726"/>
      <c r="AC267" s="170"/>
      <c r="AD267" s="586"/>
      <c r="AE267" s="586"/>
      <c r="AF267" s="170"/>
      <c r="AG267" s="170"/>
      <c r="AH267" s="170"/>
      <c r="AI267" s="170"/>
      <c r="AJ267" s="170"/>
      <c r="AK267" s="170"/>
      <c r="AL267" s="170"/>
      <c r="AM267" s="170"/>
      <c r="AN267" s="170"/>
      <c r="AO267" s="170"/>
      <c r="AP267" s="170"/>
      <c r="AQ267" s="170"/>
      <c r="AR267" s="170"/>
      <c r="AS267" s="170"/>
    </row>
    <row r="268" spans="1:46" ht="15" x14ac:dyDescent="0.25">
      <c r="A268" s="170"/>
      <c r="B268" s="719"/>
      <c r="C268" s="170"/>
      <c r="D268" s="170"/>
      <c r="E268" s="170"/>
      <c r="F268" s="170"/>
      <c r="G268" s="721"/>
      <c r="H268" s="170"/>
      <c r="I268" s="170"/>
      <c r="J268" s="170"/>
      <c r="K268" s="170"/>
      <c r="L268" s="170"/>
      <c r="M268" s="730"/>
      <c r="N268" s="730"/>
      <c r="O268" s="730"/>
      <c r="P268" s="731"/>
      <c r="Q268" s="731"/>
      <c r="R268" s="730"/>
      <c r="S268" s="730"/>
      <c r="T268" s="723"/>
      <c r="U268" s="724"/>
      <c r="V268" s="725"/>
      <c r="W268" s="725"/>
      <c r="X268" s="723"/>
      <c r="Y268" s="723"/>
      <c r="Z268" s="723"/>
      <c r="AA268" s="726"/>
      <c r="AB268" s="726"/>
      <c r="AC268" s="170"/>
      <c r="AD268" s="586"/>
      <c r="AE268" s="586"/>
      <c r="AF268" s="170"/>
      <c r="AG268" s="170"/>
      <c r="AH268" s="170"/>
      <c r="AI268" s="170"/>
      <c r="AJ268" s="170"/>
      <c r="AK268" s="170"/>
      <c r="AL268" s="170"/>
      <c r="AM268" s="170"/>
      <c r="AN268" s="170"/>
      <c r="AO268" s="170"/>
      <c r="AP268" s="170"/>
      <c r="AQ268" s="170"/>
      <c r="AR268" s="170"/>
      <c r="AS268" s="170"/>
    </row>
    <row r="269" spans="1:46" ht="15" x14ac:dyDescent="0.25">
      <c r="A269" s="170"/>
      <c r="B269" s="719"/>
      <c r="C269" s="170"/>
      <c r="D269" s="170"/>
      <c r="E269" s="170"/>
      <c r="F269" s="170"/>
      <c r="G269" s="721"/>
      <c r="H269" s="170"/>
      <c r="I269" s="170"/>
      <c r="J269" s="170"/>
      <c r="K269" s="170"/>
      <c r="L269" s="170"/>
      <c r="M269" s="730"/>
      <c r="N269" s="730"/>
      <c r="O269" s="730"/>
      <c r="P269" s="731"/>
      <c r="Q269" s="731"/>
      <c r="R269" s="730"/>
      <c r="S269" s="730"/>
      <c r="T269" s="723"/>
      <c r="U269" s="724"/>
      <c r="V269" s="725"/>
      <c r="W269" s="725"/>
      <c r="X269" s="723"/>
      <c r="Y269" s="723"/>
      <c r="Z269" s="723"/>
      <c r="AA269" s="726"/>
      <c r="AB269" s="726"/>
      <c r="AC269" s="170"/>
      <c r="AD269" s="586"/>
      <c r="AE269" s="586"/>
      <c r="AF269" s="170"/>
      <c r="AG269" s="170"/>
      <c r="AH269" s="170"/>
      <c r="AI269" s="170"/>
      <c r="AJ269" s="170"/>
      <c r="AK269" s="170"/>
      <c r="AL269" s="170"/>
      <c r="AM269" s="170"/>
      <c r="AN269" s="170"/>
      <c r="AO269" s="170"/>
      <c r="AP269" s="170"/>
      <c r="AQ269" s="170"/>
      <c r="AR269" s="170"/>
      <c r="AS269" s="170"/>
    </row>
    <row r="270" spans="1:46" ht="15" x14ac:dyDescent="0.25">
      <c r="A270" s="170"/>
      <c r="B270" s="719"/>
      <c r="C270" s="170"/>
      <c r="D270" s="170"/>
      <c r="E270" s="170"/>
      <c r="F270" s="170"/>
      <c r="G270" s="721"/>
      <c r="H270" s="170"/>
      <c r="I270" s="170"/>
      <c r="J270" s="170"/>
      <c r="K270" s="170"/>
      <c r="L270" s="170"/>
      <c r="M270" s="730"/>
      <c r="N270" s="730"/>
      <c r="O270" s="730"/>
      <c r="P270" s="731"/>
      <c r="Q270" s="731"/>
      <c r="R270" s="730"/>
      <c r="S270" s="730"/>
      <c r="T270" s="723"/>
      <c r="U270" s="724"/>
      <c r="V270" s="725"/>
      <c r="W270" s="725"/>
      <c r="X270" s="723"/>
      <c r="Y270" s="723"/>
      <c r="Z270" s="723"/>
      <c r="AA270" s="726"/>
      <c r="AB270" s="726"/>
      <c r="AC270" s="170"/>
      <c r="AD270" s="586"/>
      <c r="AE270" s="586"/>
      <c r="AF270" s="170"/>
      <c r="AG270" s="170"/>
      <c r="AH270" s="170"/>
      <c r="AI270" s="170"/>
      <c r="AJ270" s="170"/>
      <c r="AK270" s="170"/>
      <c r="AL270" s="170"/>
      <c r="AM270" s="170"/>
      <c r="AN270" s="170"/>
      <c r="AO270" s="170"/>
      <c r="AP270" s="170"/>
      <c r="AQ270" s="170"/>
      <c r="AR270" s="170"/>
      <c r="AS270" s="170"/>
    </row>
    <row r="271" spans="1:46" ht="15" x14ac:dyDescent="0.25">
      <c r="A271" s="170"/>
      <c r="B271" s="719"/>
      <c r="C271" s="170"/>
      <c r="D271" s="170"/>
      <c r="E271" s="170"/>
      <c r="F271" s="170"/>
      <c r="G271" s="721"/>
      <c r="H271" s="170"/>
      <c r="I271" s="170"/>
      <c r="J271" s="170"/>
      <c r="K271" s="170"/>
      <c r="L271" s="170"/>
      <c r="M271" s="730"/>
      <c r="N271" s="730"/>
      <c r="O271" s="730"/>
      <c r="P271" s="731"/>
      <c r="Q271" s="731"/>
      <c r="R271" s="730"/>
      <c r="S271" s="730"/>
      <c r="T271" s="723"/>
      <c r="U271" s="724"/>
      <c r="V271" s="725"/>
      <c r="W271" s="725"/>
      <c r="X271" s="723"/>
      <c r="Y271" s="723"/>
      <c r="Z271" s="723"/>
      <c r="AA271" s="726"/>
      <c r="AB271" s="726"/>
      <c r="AC271" s="170"/>
      <c r="AD271" s="586"/>
      <c r="AE271" s="586"/>
      <c r="AF271" s="170"/>
      <c r="AG271" s="170"/>
      <c r="AH271" s="170"/>
      <c r="AI271" s="170"/>
      <c r="AJ271" s="170"/>
      <c r="AK271" s="170"/>
      <c r="AL271" s="170"/>
      <c r="AM271" s="170"/>
      <c r="AN271" s="170"/>
      <c r="AO271" s="170"/>
      <c r="AP271" s="170"/>
      <c r="AQ271" s="170"/>
      <c r="AR271" s="170"/>
      <c r="AS271" s="170"/>
    </row>
    <row r="272" spans="1:46" ht="15" x14ac:dyDescent="0.25">
      <c r="A272" s="170"/>
      <c r="B272" s="719"/>
      <c r="C272" s="170"/>
      <c r="D272" s="170"/>
      <c r="E272" s="170"/>
      <c r="F272" s="170"/>
      <c r="G272" s="721"/>
      <c r="H272" s="170"/>
      <c r="I272" s="170"/>
      <c r="J272" s="170"/>
      <c r="K272" s="170"/>
      <c r="L272" s="170"/>
      <c r="M272" s="730"/>
      <c r="N272" s="730"/>
      <c r="O272" s="730"/>
      <c r="P272" s="731"/>
      <c r="Q272" s="731"/>
      <c r="R272" s="730"/>
      <c r="S272" s="730"/>
      <c r="T272" s="723"/>
      <c r="U272" s="724"/>
      <c r="V272" s="725"/>
      <c r="W272" s="725"/>
      <c r="X272" s="723"/>
      <c r="Y272" s="723"/>
      <c r="Z272" s="723"/>
      <c r="AA272" s="726"/>
      <c r="AB272" s="726"/>
      <c r="AC272" s="170"/>
      <c r="AD272" s="586"/>
      <c r="AE272" s="586"/>
      <c r="AF272" s="170"/>
      <c r="AG272" s="170"/>
      <c r="AH272" s="170"/>
      <c r="AI272" s="170"/>
      <c r="AJ272" s="170"/>
      <c r="AK272" s="170"/>
      <c r="AL272" s="170"/>
      <c r="AM272" s="170"/>
      <c r="AN272" s="170"/>
      <c r="AO272" s="170"/>
      <c r="AP272" s="170"/>
      <c r="AQ272" s="170"/>
      <c r="AR272" s="170"/>
      <c r="AS272" s="170"/>
    </row>
    <row r="273" spans="1:45" ht="15" x14ac:dyDescent="0.25">
      <c r="A273" s="170"/>
      <c r="B273" s="719"/>
      <c r="C273" s="170"/>
      <c r="D273" s="170"/>
      <c r="E273" s="170"/>
      <c r="F273" s="170"/>
      <c r="G273" s="721"/>
      <c r="H273" s="170"/>
      <c r="I273" s="170"/>
      <c r="J273" s="170"/>
      <c r="K273" s="170"/>
      <c r="L273" s="170"/>
      <c r="M273" s="730"/>
      <c r="N273" s="730"/>
      <c r="O273" s="730"/>
      <c r="P273" s="731"/>
      <c r="Q273" s="731"/>
      <c r="R273" s="730"/>
      <c r="S273" s="730"/>
      <c r="T273" s="723"/>
      <c r="U273" s="724"/>
      <c r="V273" s="725"/>
      <c r="W273" s="725"/>
      <c r="X273" s="723"/>
      <c r="Y273" s="723"/>
      <c r="Z273" s="723"/>
      <c r="AA273" s="726"/>
      <c r="AB273" s="726"/>
      <c r="AC273" s="170"/>
      <c r="AD273" s="586"/>
      <c r="AE273" s="586"/>
      <c r="AF273" s="170"/>
      <c r="AG273" s="170"/>
      <c r="AH273" s="170"/>
      <c r="AI273" s="170"/>
      <c r="AJ273" s="170"/>
      <c r="AK273" s="170"/>
      <c r="AL273" s="170"/>
      <c r="AM273" s="170"/>
      <c r="AN273" s="170"/>
      <c r="AO273" s="170"/>
      <c r="AP273" s="170"/>
      <c r="AQ273" s="170"/>
      <c r="AR273" s="170"/>
      <c r="AS273" s="170"/>
    </row>
    <row r="274" spans="1:45" ht="15" x14ac:dyDescent="0.25">
      <c r="A274" s="170"/>
      <c r="B274" s="719"/>
      <c r="C274" s="170"/>
      <c r="D274" s="170"/>
      <c r="E274" s="170"/>
      <c r="F274" s="170"/>
      <c r="G274" s="721"/>
      <c r="H274" s="170"/>
      <c r="I274" s="170"/>
      <c r="J274" s="170"/>
      <c r="K274" s="170"/>
      <c r="L274" s="170"/>
      <c r="M274" s="730"/>
      <c r="N274" s="730"/>
      <c r="O274" s="730"/>
      <c r="P274" s="731"/>
      <c r="Q274" s="731"/>
      <c r="R274" s="730"/>
      <c r="S274" s="730"/>
      <c r="T274" s="723"/>
      <c r="U274" s="724"/>
      <c r="V274" s="725"/>
      <c r="W274" s="725"/>
      <c r="X274" s="723"/>
      <c r="Y274" s="723"/>
      <c r="Z274" s="723"/>
      <c r="AA274" s="726"/>
      <c r="AB274" s="726"/>
      <c r="AC274" s="170"/>
      <c r="AD274" s="586"/>
      <c r="AE274" s="586"/>
      <c r="AF274" s="170"/>
      <c r="AG274" s="170"/>
      <c r="AH274" s="170"/>
      <c r="AI274" s="170"/>
      <c r="AJ274" s="170"/>
      <c r="AK274" s="170"/>
      <c r="AL274" s="170"/>
      <c r="AM274" s="170"/>
      <c r="AN274" s="170"/>
      <c r="AO274" s="170"/>
      <c r="AP274" s="170"/>
      <c r="AQ274" s="170"/>
      <c r="AR274" s="170"/>
      <c r="AS274" s="170"/>
    </row>
    <row r="275" spans="1:45" ht="15" x14ac:dyDescent="0.25">
      <c r="A275" s="170"/>
      <c r="B275" s="719"/>
      <c r="C275" s="170"/>
      <c r="D275" s="170"/>
      <c r="E275" s="170"/>
      <c r="F275" s="170"/>
      <c r="G275" s="721"/>
      <c r="H275" s="170"/>
      <c r="I275" s="170"/>
      <c r="J275" s="170"/>
      <c r="K275" s="170"/>
      <c r="L275" s="170"/>
      <c r="M275" s="730"/>
      <c r="N275" s="730"/>
      <c r="O275" s="730"/>
      <c r="P275" s="731"/>
      <c r="Q275" s="731"/>
      <c r="R275" s="730"/>
      <c r="S275" s="730"/>
      <c r="T275" s="723"/>
      <c r="U275" s="724"/>
      <c r="V275" s="725"/>
      <c r="W275" s="725"/>
      <c r="X275" s="723"/>
      <c r="Y275" s="723"/>
      <c r="Z275" s="723"/>
      <c r="AA275" s="726"/>
      <c r="AB275" s="726"/>
      <c r="AC275" s="170"/>
      <c r="AD275" s="586"/>
      <c r="AE275" s="586"/>
      <c r="AF275" s="170"/>
      <c r="AG275" s="170"/>
      <c r="AH275" s="170"/>
      <c r="AI275" s="170"/>
      <c r="AJ275" s="170"/>
      <c r="AK275" s="170"/>
      <c r="AL275" s="170"/>
      <c r="AM275" s="170"/>
      <c r="AN275" s="170"/>
      <c r="AO275" s="170"/>
      <c r="AP275" s="170"/>
      <c r="AQ275" s="170"/>
      <c r="AR275" s="170"/>
      <c r="AS275" s="170"/>
    </row>
    <row r="276" spans="1:45" ht="15" x14ac:dyDescent="0.25">
      <c r="A276" s="170"/>
      <c r="B276" s="719"/>
      <c r="C276" s="170"/>
      <c r="D276" s="170"/>
      <c r="E276" s="170"/>
      <c r="F276" s="170"/>
      <c r="G276" s="721"/>
      <c r="H276" s="170"/>
      <c r="I276" s="170"/>
      <c r="J276" s="170"/>
      <c r="K276" s="170"/>
      <c r="L276" s="170"/>
      <c r="M276" s="730"/>
      <c r="N276" s="730"/>
      <c r="O276" s="730"/>
      <c r="P276" s="731"/>
      <c r="Q276" s="731"/>
      <c r="R276" s="730"/>
      <c r="S276" s="730"/>
      <c r="T276" s="723"/>
      <c r="U276" s="724"/>
      <c r="V276" s="725"/>
      <c r="W276" s="725"/>
      <c r="X276" s="723"/>
      <c r="Y276" s="723"/>
      <c r="Z276" s="723"/>
      <c r="AA276" s="726"/>
      <c r="AB276" s="726"/>
      <c r="AC276" s="170"/>
      <c r="AD276" s="586"/>
      <c r="AE276" s="586"/>
      <c r="AF276" s="170"/>
      <c r="AG276" s="170"/>
      <c r="AH276" s="170"/>
      <c r="AI276" s="170"/>
      <c r="AJ276" s="170"/>
      <c r="AK276" s="170"/>
      <c r="AL276" s="170"/>
      <c r="AM276" s="170"/>
      <c r="AN276" s="170"/>
      <c r="AO276" s="170"/>
      <c r="AP276" s="170"/>
      <c r="AQ276" s="170"/>
      <c r="AR276" s="170"/>
      <c r="AS276" s="170"/>
    </row>
    <row r="277" spans="1:45" ht="15" x14ac:dyDescent="0.25">
      <c r="A277" s="170"/>
      <c r="B277" s="719"/>
      <c r="C277" s="170"/>
      <c r="D277" s="170"/>
      <c r="E277" s="170"/>
      <c r="F277" s="170"/>
      <c r="G277" s="721"/>
      <c r="H277" s="170"/>
      <c r="I277" s="170"/>
      <c r="J277" s="170"/>
      <c r="K277" s="170"/>
      <c r="L277" s="170"/>
      <c r="M277" s="730"/>
      <c r="N277" s="730"/>
      <c r="O277" s="730"/>
      <c r="P277" s="731"/>
      <c r="Q277" s="731"/>
      <c r="R277" s="730"/>
      <c r="S277" s="730"/>
      <c r="T277" s="723"/>
      <c r="U277" s="724"/>
      <c r="V277" s="725"/>
      <c r="W277" s="725"/>
      <c r="X277" s="723"/>
      <c r="Y277" s="723"/>
      <c r="Z277" s="723"/>
      <c r="AA277" s="726"/>
      <c r="AB277" s="726"/>
      <c r="AC277" s="170"/>
      <c r="AD277" s="586"/>
      <c r="AE277" s="586"/>
      <c r="AF277" s="170"/>
      <c r="AG277" s="170"/>
      <c r="AH277" s="170"/>
      <c r="AI277" s="170"/>
      <c r="AJ277" s="170"/>
      <c r="AK277" s="170"/>
      <c r="AL277" s="170"/>
      <c r="AM277" s="170"/>
      <c r="AN277" s="170"/>
      <c r="AO277" s="170"/>
      <c r="AP277" s="170"/>
      <c r="AQ277" s="170"/>
      <c r="AR277" s="170"/>
      <c r="AS277" s="170"/>
    </row>
    <row r="278" spans="1:45" ht="15" x14ac:dyDescent="0.25">
      <c r="A278" s="170"/>
      <c r="B278" s="719"/>
      <c r="C278" s="170"/>
      <c r="D278" s="170"/>
      <c r="E278" s="170"/>
      <c r="F278" s="170"/>
      <c r="G278" s="721"/>
      <c r="H278" s="170"/>
      <c r="I278" s="170"/>
      <c r="J278" s="170"/>
      <c r="K278" s="170"/>
      <c r="L278" s="170"/>
      <c r="M278" s="730"/>
      <c r="N278" s="730"/>
      <c r="O278" s="730"/>
      <c r="P278" s="731"/>
      <c r="Q278" s="731"/>
      <c r="R278" s="730"/>
      <c r="S278" s="730"/>
      <c r="T278" s="723"/>
      <c r="U278" s="724"/>
      <c r="V278" s="725"/>
      <c r="W278" s="725"/>
      <c r="X278" s="723"/>
      <c r="Y278" s="723"/>
      <c r="Z278" s="723"/>
      <c r="AA278" s="726"/>
      <c r="AB278" s="726"/>
      <c r="AC278" s="170"/>
      <c r="AD278" s="586"/>
      <c r="AE278" s="586"/>
      <c r="AF278" s="170"/>
      <c r="AG278" s="170"/>
      <c r="AH278" s="170"/>
      <c r="AI278" s="170"/>
      <c r="AJ278" s="170"/>
      <c r="AK278" s="170"/>
      <c r="AL278" s="170"/>
      <c r="AM278" s="170"/>
      <c r="AN278" s="170"/>
      <c r="AO278" s="170"/>
      <c r="AP278" s="170"/>
      <c r="AQ278" s="170"/>
      <c r="AR278" s="170"/>
      <c r="AS278" s="170"/>
    </row>
    <row r="279" spans="1:45" ht="15" x14ac:dyDescent="0.25">
      <c r="A279" s="170"/>
      <c r="B279" s="719"/>
      <c r="C279" s="170"/>
      <c r="D279" s="170"/>
      <c r="E279" s="170"/>
      <c r="F279" s="170"/>
      <c r="G279" s="721"/>
      <c r="H279" s="170"/>
      <c r="I279" s="170"/>
      <c r="J279" s="170"/>
      <c r="K279" s="170"/>
      <c r="L279" s="170"/>
      <c r="M279" s="730"/>
      <c r="N279" s="730"/>
      <c r="O279" s="730"/>
      <c r="P279" s="731"/>
      <c r="Q279" s="731"/>
      <c r="R279" s="730"/>
      <c r="S279" s="730"/>
      <c r="T279" s="723"/>
      <c r="U279" s="724"/>
      <c r="V279" s="725"/>
      <c r="W279" s="725"/>
      <c r="X279" s="723"/>
      <c r="Y279" s="723"/>
      <c r="Z279" s="723"/>
      <c r="AA279" s="726"/>
      <c r="AB279" s="726"/>
      <c r="AC279" s="170"/>
      <c r="AD279" s="586"/>
      <c r="AE279" s="586"/>
      <c r="AF279" s="170"/>
      <c r="AG279" s="170"/>
      <c r="AH279" s="170"/>
      <c r="AI279" s="170"/>
      <c r="AJ279" s="170"/>
      <c r="AK279" s="170"/>
      <c r="AL279" s="170"/>
      <c r="AM279" s="170"/>
      <c r="AN279" s="170"/>
      <c r="AO279" s="170"/>
      <c r="AP279" s="170"/>
      <c r="AQ279" s="170"/>
      <c r="AR279" s="170"/>
      <c r="AS279" s="170"/>
    </row>
    <row r="280" spans="1:45" ht="15" x14ac:dyDescent="0.25">
      <c r="A280" s="170"/>
      <c r="B280" s="719"/>
      <c r="C280" s="170"/>
      <c r="D280" s="170"/>
      <c r="E280" s="170"/>
      <c r="F280" s="170"/>
      <c r="G280" s="721"/>
      <c r="H280" s="170"/>
      <c r="I280" s="170"/>
      <c r="J280" s="170"/>
      <c r="K280" s="170"/>
      <c r="L280" s="170"/>
      <c r="M280" s="730"/>
      <c r="N280" s="730"/>
      <c r="O280" s="730"/>
      <c r="P280" s="731"/>
      <c r="Q280" s="731"/>
      <c r="R280" s="730"/>
      <c r="S280" s="730"/>
      <c r="T280" s="723"/>
      <c r="U280" s="724"/>
      <c r="V280" s="725"/>
      <c r="W280" s="725"/>
      <c r="X280" s="723"/>
      <c r="Y280" s="723"/>
      <c r="Z280" s="723"/>
      <c r="AA280" s="726"/>
      <c r="AB280" s="726"/>
      <c r="AC280" s="170"/>
      <c r="AD280" s="586"/>
      <c r="AE280" s="586"/>
      <c r="AF280" s="170"/>
      <c r="AG280" s="170"/>
      <c r="AH280" s="170"/>
      <c r="AI280" s="170"/>
      <c r="AJ280" s="170"/>
      <c r="AK280" s="170"/>
      <c r="AL280" s="170"/>
      <c r="AM280" s="170"/>
      <c r="AN280" s="170"/>
      <c r="AO280" s="170"/>
      <c r="AP280" s="170"/>
      <c r="AQ280" s="170"/>
      <c r="AR280" s="170"/>
      <c r="AS280" s="170"/>
    </row>
    <row r="281" spans="1:45" ht="15" x14ac:dyDescent="0.25">
      <c r="A281" s="170"/>
      <c r="B281" s="719"/>
      <c r="C281" s="170"/>
      <c r="D281" s="170"/>
      <c r="E281" s="170"/>
      <c r="F281" s="170"/>
      <c r="G281" s="721"/>
      <c r="H281" s="170"/>
      <c r="I281" s="170"/>
      <c r="J281" s="170"/>
      <c r="K281" s="170"/>
      <c r="L281" s="170"/>
      <c r="M281" s="730"/>
      <c r="N281" s="730"/>
      <c r="O281" s="730"/>
      <c r="P281" s="731"/>
      <c r="Q281" s="731"/>
      <c r="R281" s="730"/>
      <c r="S281" s="730"/>
      <c r="T281" s="723"/>
      <c r="U281" s="724"/>
      <c r="V281" s="725"/>
      <c r="W281" s="725"/>
      <c r="X281" s="723"/>
      <c r="Y281" s="723"/>
      <c r="Z281" s="723"/>
      <c r="AA281" s="726"/>
      <c r="AB281" s="726"/>
      <c r="AC281" s="170"/>
      <c r="AD281" s="586"/>
      <c r="AE281" s="586"/>
      <c r="AF281" s="170"/>
      <c r="AG281" s="170"/>
      <c r="AH281" s="170"/>
      <c r="AI281" s="170"/>
      <c r="AJ281" s="170"/>
      <c r="AK281" s="170"/>
      <c r="AL281" s="170"/>
      <c r="AM281" s="170"/>
      <c r="AN281" s="170"/>
      <c r="AO281" s="170"/>
      <c r="AP281" s="170"/>
      <c r="AQ281" s="170"/>
      <c r="AR281" s="170"/>
      <c r="AS281" s="170"/>
    </row>
    <row r="282" spans="1:45" ht="15" x14ac:dyDescent="0.25">
      <c r="A282" s="170"/>
      <c r="B282" s="719"/>
      <c r="C282" s="170"/>
      <c r="D282" s="170"/>
      <c r="E282" s="170"/>
      <c r="F282" s="170"/>
      <c r="G282" s="721"/>
      <c r="H282" s="170"/>
      <c r="I282" s="170"/>
      <c r="J282" s="170"/>
      <c r="K282" s="170"/>
      <c r="L282" s="170"/>
      <c r="M282" s="730"/>
      <c r="N282" s="730"/>
      <c r="O282" s="730"/>
      <c r="P282" s="731"/>
      <c r="Q282" s="731"/>
      <c r="R282" s="730"/>
      <c r="S282" s="730"/>
      <c r="T282" s="723"/>
      <c r="U282" s="724"/>
      <c r="V282" s="725"/>
      <c r="W282" s="725"/>
      <c r="X282" s="723"/>
      <c r="Y282" s="723"/>
      <c r="Z282" s="723"/>
      <c r="AA282" s="726"/>
      <c r="AB282" s="726"/>
      <c r="AC282" s="170"/>
      <c r="AD282" s="586"/>
      <c r="AE282" s="586"/>
      <c r="AF282" s="170"/>
      <c r="AG282" s="170"/>
      <c r="AH282" s="170"/>
      <c r="AI282" s="170"/>
      <c r="AJ282" s="170"/>
      <c r="AK282" s="170"/>
      <c r="AL282" s="170"/>
      <c r="AM282" s="170"/>
      <c r="AN282" s="170"/>
      <c r="AO282" s="170"/>
      <c r="AP282" s="170"/>
      <c r="AQ282" s="170"/>
      <c r="AR282" s="170"/>
      <c r="AS282" s="170"/>
    </row>
    <row r="283" spans="1:45" ht="15" x14ac:dyDescent="0.25">
      <c r="A283" s="170"/>
      <c r="B283" s="719"/>
      <c r="C283" s="170"/>
      <c r="D283" s="170"/>
      <c r="E283" s="170"/>
      <c r="F283" s="170"/>
      <c r="G283" s="721"/>
      <c r="H283" s="170"/>
      <c r="I283" s="170"/>
      <c r="J283" s="170"/>
      <c r="K283" s="170"/>
      <c r="L283" s="170"/>
      <c r="M283" s="730"/>
      <c r="N283" s="730"/>
      <c r="O283" s="730"/>
      <c r="P283" s="731"/>
      <c r="Q283" s="731"/>
      <c r="R283" s="730"/>
      <c r="S283" s="730"/>
      <c r="T283" s="723"/>
      <c r="U283" s="724"/>
      <c r="V283" s="725"/>
      <c r="W283" s="725"/>
      <c r="X283" s="723"/>
      <c r="Y283" s="723"/>
      <c r="Z283" s="723"/>
      <c r="AA283" s="726"/>
      <c r="AB283" s="726"/>
      <c r="AC283" s="170"/>
      <c r="AD283" s="586"/>
      <c r="AE283" s="586"/>
      <c r="AF283" s="170"/>
      <c r="AG283" s="170"/>
      <c r="AH283" s="170"/>
      <c r="AI283" s="170"/>
      <c r="AJ283" s="170"/>
      <c r="AK283" s="170"/>
      <c r="AL283" s="170"/>
      <c r="AM283" s="170"/>
      <c r="AN283" s="170"/>
      <c r="AO283" s="170"/>
      <c r="AP283" s="170"/>
      <c r="AQ283" s="170"/>
      <c r="AR283" s="170"/>
      <c r="AS283" s="170"/>
    </row>
    <row r="284" spans="1:45" ht="15" x14ac:dyDescent="0.25">
      <c r="A284" s="170"/>
      <c r="B284" s="719"/>
      <c r="C284" s="170"/>
      <c r="D284" s="170"/>
      <c r="E284" s="170"/>
      <c r="F284" s="170"/>
      <c r="G284" s="721"/>
      <c r="H284" s="170"/>
      <c r="I284" s="170"/>
      <c r="J284" s="170"/>
      <c r="K284" s="170"/>
      <c r="L284" s="170"/>
      <c r="M284" s="730"/>
      <c r="N284" s="730"/>
      <c r="O284" s="730"/>
      <c r="P284" s="731"/>
      <c r="Q284" s="731"/>
      <c r="R284" s="730"/>
      <c r="S284" s="730"/>
      <c r="T284" s="723"/>
      <c r="U284" s="724"/>
      <c r="V284" s="725"/>
      <c r="W284" s="725"/>
      <c r="X284" s="723"/>
      <c r="Y284" s="723"/>
      <c r="Z284" s="723"/>
      <c r="AA284" s="726"/>
      <c r="AB284" s="726"/>
      <c r="AC284" s="170"/>
      <c r="AD284" s="586"/>
      <c r="AE284" s="586"/>
      <c r="AF284" s="170"/>
      <c r="AG284" s="170"/>
      <c r="AH284" s="170"/>
      <c r="AI284" s="170"/>
      <c r="AJ284" s="170"/>
      <c r="AK284" s="170"/>
      <c r="AL284" s="170"/>
      <c r="AM284" s="170"/>
      <c r="AN284" s="170"/>
      <c r="AO284" s="170"/>
      <c r="AP284" s="170"/>
      <c r="AQ284" s="170"/>
      <c r="AR284" s="170"/>
      <c r="AS284" s="170"/>
    </row>
    <row r="285" spans="1:45" ht="15" x14ac:dyDescent="0.25">
      <c r="A285" s="170"/>
      <c r="B285" s="719"/>
      <c r="C285" s="170"/>
      <c r="D285" s="170"/>
      <c r="E285" s="170"/>
      <c r="F285" s="170"/>
      <c r="G285" s="721"/>
      <c r="H285" s="170"/>
      <c r="I285" s="170"/>
      <c r="J285" s="170"/>
      <c r="K285" s="170"/>
      <c r="L285" s="170"/>
      <c r="M285" s="730"/>
      <c r="N285" s="730"/>
      <c r="O285" s="730"/>
      <c r="P285" s="731"/>
      <c r="Q285" s="731"/>
      <c r="R285" s="730"/>
      <c r="S285" s="730"/>
      <c r="T285" s="723"/>
      <c r="U285" s="724"/>
      <c r="V285" s="725"/>
      <c r="W285" s="725"/>
      <c r="X285" s="723"/>
      <c r="Y285" s="723"/>
      <c r="Z285" s="723"/>
      <c r="AA285" s="726"/>
      <c r="AB285" s="726"/>
      <c r="AC285" s="170"/>
      <c r="AD285" s="586"/>
      <c r="AE285" s="586"/>
      <c r="AF285" s="170"/>
      <c r="AG285" s="170"/>
      <c r="AH285" s="170"/>
      <c r="AI285" s="170"/>
      <c r="AJ285" s="170"/>
      <c r="AK285" s="170"/>
      <c r="AL285" s="170"/>
      <c r="AM285" s="170"/>
      <c r="AN285" s="170"/>
      <c r="AO285" s="170"/>
      <c r="AP285" s="170"/>
      <c r="AQ285" s="170"/>
      <c r="AR285" s="170"/>
      <c r="AS285" s="170"/>
    </row>
    <row r="286" spans="1:45" ht="15" x14ac:dyDescent="0.25">
      <c r="A286" s="170"/>
      <c r="B286" s="719"/>
      <c r="C286" s="170"/>
      <c r="D286" s="170"/>
      <c r="E286" s="170"/>
      <c r="F286" s="170"/>
      <c r="G286" s="721"/>
      <c r="H286" s="170"/>
      <c r="I286" s="170"/>
      <c r="J286" s="170"/>
      <c r="K286" s="170"/>
      <c r="L286" s="170"/>
      <c r="M286" s="730"/>
      <c r="N286" s="730"/>
      <c r="O286" s="730"/>
      <c r="P286" s="731"/>
      <c r="Q286" s="731"/>
      <c r="R286" s="730"/>
      <c r="S286" s="730"/>
      <c r="T286" s="723"/>
      <c r="U286" s="724"/>
      <c r="V286" s="725"/>
      <c r="W286" s="725"/>
      <c r="X286" s="723"/>
      <c r="Y286" s="723"/>
      <c r="Z286" s="723"/>
      <c r="AA286" s="726"/>
      <c r="AB286" s="726"/>
      <c r="AC286" s="170"/>
      <c r="AD286" s="586"/>
      <c r="AE286" s="586"/>
      <c r="AF286" s="170"/>
      <c r="AG286" s="170"/>
      <c r="AH286" s="170"/>
      <c r="AI286" s="170"/>
      <c r="AJ286" s="170"/>
      <c r="AK286" s="170"/>
      <c r="AL286" s="170"/>
      <c r="AM286" s="170"/>
      <c r="AN286" s="170"/>
      <c r="AO286" s="170"/>
      <c r="AP286" s="170"/>
      <c r="AQ286" s="170"/>
      <c r="AR286" s="170"/>
      <c r="AS286" s="170"/>
    </row>
    <row r="287" spans="1:45" ht="15" x14ac:dyDescent="0.25">
      <c r="A287" s="170"/>
      <c r="B287" s="719"/>
      <c r="C287" s="170"/>
      <c r="D287" s="170"/>
      <c r="E287" s="170"/>
      <c r="F287" s="170"/>
      <c r="G287" s="721"/>
      <c r="H287" s="170"/>
      <c r="I287" s="170"/>
      <c r="J287" s="170"/>
      <c r="K287" s="170"/>
      <c r="L287" s="170"/>
      <c r="M287" s="730"/>
      <c r="N287" s="730"/>
      <c r="O287" s="730"/>
      <c r="P287" s="731"/>
      <c r="Q287" s="731"/>
      <c r="R287" s="730"/>
      <c r="S287" s="730"/>
      <c r="T287" s="723"/>
      <c r="U287" s="724"/>
      <c r="V287" s="725"/>
      <c r="W287" s="725"/>
      <c r="X287" s="723"/>
      <c r="Y287" s="723"/>
      <c r="Z287" s="723"/>
      <c r="AA287" s="726"/>
      <c r="AB287" s="726"/>
      <c r="AC287" s="170"/>
      <c r="AD287" s="586"/>
      <c r="AE287" s="586"/>
      <c r="AF287" s="170"/>
      <c r="AG287" s="170"/>
      <c r="AH287" s="170"/>
      <c r="AI287" s="170"/>
      <c r="AJ287" s="170"/>
      <c r="AK287" s="170"/>
      <c r="AL287" s="170"/>
      <c r="AM287" s="170"/>
      <c r="AN287" s="170"/>
      <c r="AO287" s="170"/>
      <c r="AP287" s="170"/>
      <c r="AQ287" s="170"/>
      <c r="AR287" s="170"/>
      <c r="AS287" s="170"/>
    </row>
    <row r="288" spans="1:45" ht="15" x14ac:dyDescent="0.25">
      <c r="A288" s="170"/>
      <c r="B288" s="719"/>
      <c r="C288" s="170"/>
      <c r="D288" s="170"/>
      <c r="E288" s="170"/>
      <c r="F288" s="170"/>
      <c r="G288" s="721"/>
      <c r="H288" s="170"/>
      <c r="I288" s="170"/>
      <c r="J288" s="170"/>
      <c r="K288" s="170"/>
      <c r="L288" s="170"/>
      <c r="M288" s="730"/>
      <c r="N288" s="730"/>
      <c r="O288" s="730"/>
      <c r="P288" s="731"/>
      <c r="Q288" s="731"/>
      <c r="R288" s="730"/>
      <c r="S288" s="730"/>
      <c r="T288" s="723"/>
      <c r="U288" s="724"/>
      <c r="V288" s="725"/>
      <c r="W288" s="725"/>
      <c r="X288" s="723"/>
      <c r="Y288" s="723"/>
      <c r="Z288" s="723"/>
      <c r="AA288" s="726"/>
      <c r="AB288" s="726"/>
      <c r="AC288" s="170"/>
      <c r="AD288" s="586"/>
      <c r="AE288" s="586"/>
      <c r="AF288" s="170"/>
      <c r="AG288" s="170"/>
      <c r="AH288" s="170"/>
      <c r="AI288" s="170"/>
      <c r="AJ288" s="170"/>
      <c r="AK288" s="170"/>
      <c r="AL288" s="170"/>
      <c r="AM288" s="170"/>
      <c r="AN288" s="170"/>
      <c r="AO288" s="170"/>
      <c r="AP288" s="170"/>
      <c r="AQ288" s="170"/>
      <c r="AR288" s="170"/>
      <c r="AS288" s="170"/>
    </row>
    <row r="289" spans="1:45" ht="15" x14ac:dyDescent="0.25">
      <c r="A289" s="170"/>
      <c r="B289" s="719"/>
      <c r="C289" s="170"/>
      <c r="D289" s="170"/>
      <c r="E289" s="170"/>
      <c r="F289" s="170"/>
      <c r="G289" s="721"/>
      <c r="H289" s="170"/>
      <c r="I289" s="170"/>
      <c r="J289" s="170"/>
      <c r="K289" s="170"/>
      <c r="L289" s="170"/>
      <c r="M289" s="730"/>
      <c r="N289" s="730"/>
      <c r="O289" s="730"/>
      <c r="P289" s="731"/>
      <c r="Q289" s="731"/>
      <c r="R289" s="730"/>
      <c r="S289" s="730"/>
      <c r="T289" s="723"/>
      <c r="U289" s="724"/>
      <c r="V289" s="725"/>
      <c r="W289" s="725"/>
      <c r="X289" s="723"/>
      <c r="Y289" s="723"/>
      <c r="Z289" s="723"/>
      <c r="AA289" s="726"/>
      <c r="AB289" s="726"/>
      <c r="AC289" s="170"/>
      <c r="AD289" s="586"/>
      <c r="AE289" s="586"/>
      <c r="AF289" s="170"/>
      <c r="AG289" s="170"/>
      <c r="AH289" s="170"/>
      <c r="AI289" s="170"/>
      <c r="AJ289" s="170"/>
      <c r="AK289" s="170"/>
      <c r="AL289" s="170"/>
      <c r="AM289" s="170"/>
      <c r="AN289" s="170"/>
      <c r="AO289" s="170"/>
      <c r="AP289" s="170"/>
      <c r="AQ289" s="170"/>
      <c r="AR289" s="170"/>
      <c r="AS289" s="170"/>
    </row>
    <row r="290" spans="1:45" ht="15" x14ac:dyDescent="0.25">
      <c r="A290" s="170"/>
      <c r="B290" s="719"/>
      <c r="C290" s="170"/>
      <c r="D290" s="170"/>
      <c r="E290" s="170"/>
      <c r="F290" s="170"/>
      <c r="G290" s="721"/>
      <c r="H290" s="170"/>
      <c r="I290" s="170"/>
      <c r="J290" s="170"/>
      <c r="K290" s="170"/>
      <c r="L290" s="170"/>
      <c r="M290" s="730"/>
      <c r="N290" s="730"/>
      <c r="O290" s="730"/>
      <c r="P290" s="731"/>
      <c r="Q290" s="731"/>
      <c r="R290" s="730"/>
      <c r="S290" s="730"/>
      <c r="T290" s="723"/>
      <c r="U290" s="724"/>
      <c r="V290" s="725"/>
      <c r="W290" s="725"/>
      <c r="X290" s="723"/>
      <c r="Y290" s="723"/>
      <c r="Z290" s="723"/>
      <c r="AA290" s="726"/>
      <c r="AB290" s="726"/>
      <c r="AC290" s="170"/>
      <c r="AD290" s="586"/>
      <c r="AE290" s="586"/>
      <c r="AF290" s="170"/>
      <c r="AG290" s="170"/>
      <c r="AH290" s="170"/>
      <c r="AI290" s="170"/>
      <c r="AJ290" s="170"/>
      <c r="AK290" s="170"/>
      <c r="AL290" s="170"/>
      <c r="AM290" s="170"/>
      <c r="AN290" s="170"/>
      <c r="AO290" s="170"/>
      <c r="AP290" s="170"/>
      <c r="AQ290" s="170"/>
      <c r="AR290" s="170"/>
      <c r="AS290" s="170"/>
    </row>
    <row r="291" spans="1:45" ht="15" x14ac:dyDescent="0.25">
      <c r="A291" s="170"/>
      <c r="B291" s="719"/>
      <c r="C291" s="170"/>
      <c r="D291" s="170"/>
      <c r="E291" s="170"/>
      <c r="F291" s="170"/>
      <c r="G291" s="721"/>
      <c r="H291" s="170"/>
      <c r="I291" s="170"/>
      <c r="J291" s="170"/>
      <c r="K291" s="170"/>
      <c r="L291" s="170"/>
      <c r="M291" s="730"/>
      <c r="N291" s="730"/>
      <c r="O291" s="730"/>
      <c r="P291" s="731"/>
      <c r="Q291" s="731"/>
      <c r="R291" s="730"/>
      <c r="S291" s="730"/>
      <c r="T291" s="723"/>
      <c r="U291" s="724"/>
      <c r="V291" s="725"/>
      <c r="W291" s="725"/>
      <c r="X291" s="723"/>
      <c r="Y291" s="723"/>
      <c r="Z291" s="723"/>
      <c r="AA291" s="726"/>
      <c r="AB291" s="726"/>
      <c r="AC291" s="170"/>
      <c r="AD291" s="586"/>
      <c r="AE291" s="586"/>
      <c r="AF291" s="170"/>
      <c r="AG291" s="170"/>
      <c r="AH291" s="170"/>
      <c r="AI291" s="170"/>
      <c r="AJ291" s="170"/>
      <c r="AK291" s="170"/>
      <c r="AL291" s="170"/>
      <c r="AM291" s="170"/>
      <c r="AN291" s="170"/>
      <c r="AO291" s="170"/>
      <c r="AP291" s="170"/>
      <c r="AQ291" s="170"/>
      <c r="AR291" s="170"/>
      <c r="AS291" s="170"/>
    </row>
    <row r="292" spans="1:45" ht="15" x14ac:dyDescent="0.25">
      <c r="A292" s="170"/>
      <c r="B292" s="719"/>
      <c r="C292" s="170"/>
      <c r="D292" s="170"/>
      <c r="E292" s="170"/>
      <c r="F292" s="170"/>
      <c r="G292" s="721"/>
      <c r="H292" s="170"/>
      <c r="I292" s="170"/>
      <c r="J292" s="170"/>
      <c r="K292" s="170"/>
      <c r="L292" s="170"/>
      <c r="M292" s="730"/>
      <c r="N292" s="730"/>
      <c r="O292" s="730"/>
      <c r="P292" s="731"/>
      <c r="Q292" s="731"/>
      <c r="R292" s="730"/>
      <c r="S292" s="730"/>
      <c r="T292" s="723"/>
      <c r="U292" s="724"/>
      <c r="V292" s="725"/>
      <c r="W292" s="725"/>
      <c r="X292" s="723"/>
      <c r="Y292" s="723"/>
      <c r="Z292" s="723"/>
      <c r="AA292" s="726"/>
      <c r="AB292" s="726"/>
      <c r="AC292" s="170"/>
      <c r="AD292" s="586"/>
      <c r="AE292" s="586"/>
      <c r="AF292" s="170"/>
      <c r="AG292" s="170"/>
      <c r="AH292" s="170"/>
      <c r="AI292" s="170"/>
      <c r="AJ292" s="170"/>
      <c r="AK292" s="170"/>
      <c r="AL292" s="170"/>
      <c r="AM292" s="170"/>
      <c r="AN292" s="170"/>
      <c r="AO292" s="170"/>
      <c r="AP292" s="170"/>
      <c r="AQ292" s="170"/>
      <c r="AR292" s="170"/>
      <c r="AS292" s="170"/>
    </row>
    <row r="293" spans="1:45" ht="15" x14ac:dyDescent="0.25">
      <c r="A293" s="170"/>
      <c r="B293" s="719"/>
      <c r="C293" s="170"/>
      <c r="D293" s="170"/>
      <c r="E293" s="170"/>
      <c r="F293" s="170"/>
      <c r="G293" s="721"/>
      <c r="H293" s="170"/>
      <c r="I293" s="170"/>
      <c r="J293" s="170"/>
      <c r="K293" s="170"/>
      <c r="L293" s="170"/>
      <c r="M293" s="730"/>
      <c r="N293" s="730"/>
      <c r="O293" s="730"/>
      <c r="P293" s="731"/>
      <c r="Q293" s="731"/>
      <c r="R293" s="730"/>
      <c r="S293" s="730"/>
      <c r="T293" s="723"/>
      <c r="U293" s="724"/>
      <c r="V293" s="725"/>
      <c r="W293" s="725"/>
      <c r="X293" s="723"/>
      <c r="Y293" s="723"/>
      <c r="Z293" s="723"/>
      <c r="AA293" s="726"/>
      <c r="AB293" s="726"/>
      <c r="AC293" s="170"/>
      <c r="AD293" s="586"/>
      <c r="AE293" s="586"/>
      <c r="AF293" s="170"/>
      <c r="AG293" s="170"/>
      <c r="AH293" s="170"/>
      <c r="AI293" s="170"/>
      <c r="AJ293" s="170"/>
      <c r="AK293" s="170"/>
      <c r="AL293" s="170"/>
      <c r="AM293" s="170"/>
      <c r="AN293" s="170"/>
      <c r="AO293" s="170"/>
      <c r="AP293" s="170"/>
      <c r="AQ293" s="170"/>
      <c r="AR293" s="170"/>
      <c r="AS293" s="170"/>
    </row>
    <row r="294" spans="1:45" ht="15" x14ac:dyDescent="0.25">
      <c r="A294" s="170"/>
      <c r="B294" s="719"/>
      <c r="C294" s="170"/>
      <c r="D294" s="170"/>
      <c r="E294" s="170"/>
      <c r="F294" s="170"/>
      <c r="G294" s="721"/>
      <c r="H294" s="170"/>
      <c r="I294" s="170"/>
      <c r="J294" s="170"/>
      <c r="K294" s="170"/>
      <c r="L294" s="170"/>
      <c r="M294" s="730"/>
      <c r="N294" s="730"/>
      <c r="O294" s="730"/>
      <c r="P294" s="731"/>
      <c r="Q294" s="731"/>
      <c r="R294" s="730"/>
      <c r="S294" s="730"/>
      <c r="T294" s="723"/>
      <c r="U294" s="724"/>
      <c r="V294" s="725"/>
      <c r="W294" s="725"/>
      <c r="X294" s="723"/>
      <c r="Y294" s="723"/>
      <c r="Z294" s="723"/>
      <c r="AA294" s="726"/>
      <c r="AB294" s="726"/>
      <c r="AC294" s="170"/>
      <c r="AD294" s="586"/>
      <c r="AE294" s="586"/>
      <c r="AF294" s="170"/>
      <c r="AG294" s="170"/>
      <c r="AH294" s="170"/>
      <c r="AI294" s="170"/>
      <c r="AJ294" s="170"/>
      <c r="AK294" s="170"/>
      <c r="AL294" s="170"/>
      <c r="AM294" s="170"/>
      <c r="AN294" s="170"/>
      <c r="AO294" s="170"/>
      <c r="AP294" s="170"/>
      <c r="AQ294" s="170"/>
      <c r="AR294" s="170"/>
      <c r="AS294" s="170"/>
    </row>
    <row r="295" spans="1:45" ht="15" x14ac:dyDescent="0.25">
      <c r="A295" s="170"/>
      <c r="B295" s="719"/>
      <c r="C295" s="170"/>
      <c r="D295" s="170"/>
      <c r="E295" s="170"/>
      <c r="F295" s="170"/>
      <c r="G295" s="721"/>
      <c r="H295" s="170"/>
      <c r="I295" s="170"/>
      <c r="J295" s="170"/>
      <c r="K295" s="170"/>
      <c r="L295" s="170"/>
      <c r="M295" s="730"/>
      <c r="N295" s="730"/>
      <c r="O295" s="730"/>
      <c r="P295" s="731"/>
      <c r="Q295" s="731"/>
      <c r="R295" s="730"/>
      <c r="S295" s="730"/>
      <c r="T295" s="723"/>
      <c r="U295" s="724"/>
      <c r="V295" s="725"/>
      <c r="W295" s="725"/>
      <c r="X295" s="723"/>
      <c r="Y295" s="723"/>
      <c r="Z295" s="723"/>
      <c r="AA295" s="726"/>
      <c r="AB295" s="726"/>
      <c r="AC295" s="170"/>
      <c r="AD295" s="586"/>
      <c r="AE295" s="586"/>
      <c r="AF295" s="170"/>
      <c r="AG295" s="170"/>
      <c r="AH295" s="170"/>
      <c r="AI295" s="170"/>
      <c r="AJ295" s="170"/>
      <c r="AK295" s="170"/>
      <c r="AL295" s="170"/>
      <c r="AM295" s="170"/>
      <c r="AN295" s="170"/>
      <c r="AO295" s="170"/>
      <c r="AP295" s="170"/>
      <c r="AQ295" s="170"/>
      <c r="AR295" s="170"/>
      <c r="AS295" s="170"/>
    </row>
    <row r="296" spans="1:45" ht="15" x14ac:dyDescent="0.25">
      <c r="A296" s="170"/>
      <c r="B296" s="719"/>
      <c r="C296" s="170"/>
      <c r="D296" s="170"/>
      <c r="E296" s="170"/>
      <c r="F296" s="170"/>
      <c r="G296" s="721"/>
      <c r="H296" s="170"/>
      <c r="I296" s="170"/>
      <c r="J296" s="170"/>
      <c r="K296" s="170"/>
      <c r="L296" s="170"/>
      <c r="M296" s="730"/>
      <c r="N296" s="730"/>
      <c r="O296" s="730"/>
      <c r="P296" s="731"/>
      <c r="Q296" s="731"/>
      <c r="R296" s="730"/>
      <c r="S296" s="730"/>
      <c r="T296" s="723"/>
      <c r="U296" s="724"/>
      <c r="V296" s="725"/>
      <c r="W296" s="725"/>
      <c r="X296" s="723"/>
      <c r="Y296" s="723"/>
      <c r="Z296" s="723"/>
      <c r="AA296" s="726"/>
      <c r="AB296" s="726"/>
      <c r="AC296" s="170"/>
      <c r="AD296" s="586"/>
      <c r="AE296" s="586"/>
      <c r="AF296" s="170"/>
      <c r="AG296" s="170"/>
      <c r="AH296" s="170"/>
      <c r="AI296" s="170"/>
      <c r="AJ296" s="170"/>
      <c r="AK296" s="170"/>
      <c r="AL296" s="170"/>
      <c r="AM296" s="170"/>
      <c r="AN296" s="170"/>
      <c r="AO296" s="170"/>
      <c r="AP296" s="170"/>
      <c r="AQ296" s="170"/>
      <c r="AR296" s="170"/>
      <c r="AS296" s="170"/>
    </row>
    <row r="297" spans="1:45" ht="15" x14ac:dyDescent="0.25">
      <c r="A297" s="170"/>
      <c r="B297" s="719"/>
      <c r="C297" s="170"/>
      <c r="D297" s="170"/>
      <c r="E297" s="170"/>
      <c r="F297" s="170"/>
      <c r="G297" s="721"/>
      <c r="H297" s="170"/>
      <c r="I297" s="170"/>
      <c r="J297" s="170"/>
      <c r="K297" s="170"/>
      <c r="L297" s="170"/>
      <c r="M297" s="730"/>
      <c r="N297" s="730"/>
      <c r="O297" s="730"/>
      <c r="P297" s="731"/>
      <c r="Q297" s="731"/>
      <c r="R297" s="730"/>
      <c r="S297" s="730"/>
      <c r="T297" s="723"/>
      <c r="U297" s="724"/>
      <c r="V297" s="725"/>
      <c r="W297" s="725"/>
      <c r="X297" s="723"/>
      <c r="Y297" s="723"/>
      <c r="Z297" s="723"/>
      <c r="AA297" s="726"/>
      <c r="AB297" s="726"/>
      <c r="AC297" s="170"/>
      <c r="AD297" s="586"/>
      <c r="AE297" s="586"/>
      <c r="AF297" s="170"/>
      <c r="AG297" s="170"/>
      <c r="AH297" s="170"/>
      <c r="AI297" s="170"/>
      <c r="AJ297" s="170"/>
      <c r="AK297" s="170"/>
      <c r="AL297" s="170"/>
      <c r="AM297" s="170"/>
      <c r="AN297" s="170"/>
      <c r="AO297" s="170"/>
      <c r="AP297" s="170"/>
      <c r="AQ297" s="170"/>
      <c r="AR297" s="170"/>
      <c r="AS297" s="170"/>
    </row>
    <row r="298" spans="1:45" ht="15" x14ac:dyDescent="0.25">
      <c r="A298" s="170"/>
      <c r="B298" s="719"/>
      <c r="C298" s="170"/>
      <c r="D298" s="170"/>
      <c r="E298" s="170"/>
      <c r="F298" s="170"/>
      <c r="G298" s="721"/>
      <c r="H298" s="170"/>
      <c r="I298" s="170"/>
      <c r="J298" s="170"/>
      <c r="K298" s="170"/>
      <c r="L298" s="170"/>
      <c r="M298" s="730"/>
      <c r="N298" s="730"/>
      <c r="O298" s="730"/>
      <c r="P298" s="731"/>
      <c r="Q298" s="731"/>
      <c r="R298" s="730"/>
      <c r="S298" s="730"/>
      <c r="T298" s="723"/>
      <c r="U298" s="724"/>
      <c r="V298" s="725"/>
      <c r="W298" s="725"/>
      <c r="X298" s="723"/>
      <c r="Y298" s="723"/>
      <c r="Z298" s="723"/>
      <c r="AA298" s="726"/>
      <c r="AB298" s="726"/>
      <c r="AC298" s="170"/>
      <c r="AD298" s="586"/>
      <c r="AE298" s="586"/>
      <c r="AF298" s="170"/>
      <c r="AG298" s="170"/>
      <c r="AH298" s="170"/>
      <c r="AI298" s="170"/>
      <c r="AJ298" s="170"/>
      <c r="AK298" s="170"/>
      <c r="AL298" s="170"/>
      <c r="AM298" s="170"/>
      <c r="AN298" s="170"/>
      <c r="AO298" s="170"/>
      <c r="AP298" s="170"/>
      <c r="AQ298" s="170"/>
      <c r="AR298" s="170"/>
      <c r="AS298" s="170"/>
    </row>
    <row r="299" spans="1:45" ht="15" x14ac:dyDescent="0.25">
      <c r="A299" s="170"/>
      <c r="B299" s="719"/>
      <c r="C299" s="170"/>
      <c r="D299" s="170"/>
      <c r="E299" s="170"/>
      <c r="F299" s="170"/>
      <c r="G299" s="721"/>
      <c r="H299" s="170"/>
      <c r="I299" s="170"/>
      <c r="J299" s="170"/>
      <c r="K299" s="170"/>
      <c r="L299" s="170"/>
      <c r="M299" s="730"/>
      <c r="N299" s="730"/>
      <c r="O299" s="730"/>
      <c r="P299" s="731"/>
      <c r="Q299" s="731"/>
      <c r="R299" s="730"/>
      <c r="S299" s="730"/>
      <c r="T299" s="723"/>
      <c r="U299" s="724"/>
      <c r="V299" s="725"/>
      <c r="W299" s="725"/>
      <c r="X299" s="723"/>
      <c r="Y299" s="723"/>
      <c r="Z299" s="723"/>
      <c r="AA299" s="726"/>
      <c r="AB299" s="726"/>
      <c r="AC299" s="170"/>
      <c r="AD299" s="586"/>
      <c r="AE299" s="586"/>
      <c r="AF299" s="170"/>
      <c r="AG299" s="170"/>
      <c r="AH299" s="170"/>
      <c r="AI299" s="170"/>
      <c r="AJ299" s="170"/>
      <c r="AK299" s="170"/>
      <c r="AL299" s="170"/>
      <c r="AM299" s="170"/>
      <c r="AN299" s="170"/>
      <c r="AO299" s="170"/>
      <c r="AP299" s="170"/>
      <c r="AQ299" s="170"/>
      <c r="AR299" s="170"/>
      <c r="AS299" s="170"/>
    </row>
    <row r="300" spans="1:45" ht="15" x14ac:dyDescent="0.25">
      <c r="A300" s="170"/>
      <c r="B300" s="719"/>
      <c r="C300" s="170"/>
      <c r="D300" s="170"/>
      <c r="E300" s="170"/>
      <c r="F300" s="170"/>
      <c r="G300" s="721"/>
      <c r="H300" s="170"/>
      <c r="I300" s="170"/>
      <c r="J300" s="170"/>
      <c r="K300" s="170"/>
      <c r="L300" s="170"/>
      <c r="M300" s="730"/>
      <c r="N300" s="730"/>
      <c r="O300" s="730"/>
      <c r="P300" s="731"/>
      <c r="Q300" s="731"/>
      <c r="R300" s="730"/>
      <c r="S300" s="730"/>
      <c r="T300" s="723"/>
      <c r="U300" s="724"/>
      <c r="V300" s="725"/>
      <c r="W300" s="725"/>
      <c r="X300" s="723"/>
      <c r="Y300" s="723"/>
      <c r="Z300" s="723"/>
      <c r="AA300" s="726"/>
      <c r="AB300" s="726"/>
      <c r="AC300" s="170"/>
      <c r="AD300" s="586"/>
      <c r="AE300" s="586"/>
      <c r="AF300" s="170"/>
      <c r="AG300" s="170"/>
      <c r="AH300" s="170"/>
      <c r="AI300" s="170"/>
      <c r="AJ300" s="170"/>
      <c r="AK300" s="170"/>
      <c r="AL300" s="170"/>
      <c r="AM300" s="170"/>
      <c r="AN300" s="170"/>
      <c r="AO300" s="170"/>
      <c r="AP300" s="170"/>
      <c r="AQ300" s="170"/>
      <c r="AR300" s="170"/>
      <c r="AS300" s="170"/>
    </row>
    <row r="301" spans="1:45" ht="15" x14ac:dyDescent="0.25">
      <c r="A301" s="170"/>
      <c r="B301" s="719"/>
      <c r="C301" s="170"/>
      <c r="D301" s="170"/>
      <c r="E301" s="170"/>
      <c r="F301" s="170"/>
      <c r="G301" s="721"/>
      <c r="H301" s="170"/>
      <c r="I301" s="170"/>
      <c r="J301" s="170"/>
      <c r="K301" s="170"/>
      <c r="L301" s="170"/>
      <c r="M301" s="730"/>
      <c r="N301" s="730"/>
      <c r="O301" s="730"/>
      <c r="P301" s="731"/>
      <c r="Q301" s="731"/>
      <c r="R301" s="730"/>
      <c r="S301" s="730"/>
      <c r="T301" s="723"/>
      <c r="U301" s="724"/>
      <c r="V301" s="725"/>
      <c r="W301" s="725"/>
      <c r="X301" s="723"/>
      <c r="Y301" s="723"/>
      <c r="Z301" s="723"/>
      <c r="AA301" s="726"/>
      <c r="AB301" s="726"/>
      <c r="AC301" s="170"/>
      <c r="AD301" s="586"/>
      <c r="AE301" s="586"/>
      <c r="AF301" s="170"/>
      <c r="AG301" s="170"/>
      <c r="AH301" s="170"/>
      <c r="AI301" s="170"/>
      <c r="AJ301" s="170"/>
      <c r="AK301" s="170"/>
      <c r="AL301" s="170"/>
      <c r="AM301" s="170"/>
      <c r="AN301" s="170"/>
      <c r="AO301" s="170"/>
      <c r="AP301" s="170"/>
      <c r="AQ301" s="170"/>
      <c r="AR301" s="170"/>
      <c r="AS301" s="170"/>
    </row>
    <row r="302" spans="1:45" ht="15" x14ac:dyDescent="0.25">
      <c r="A302" s="170"/>
      <c r="B302" s="719"/>
      <c r="C302" s="170"/>
      <c r="D302" s="170"/>
      <c r="E302" s="170"/>
      <c r="F302" s="170"/>
      <c r="G302" s="721"/>
      <c r="H302" s="170"/>
      <c r="I302" s="170"/>
      <c r="J302" s="170"/>
      <c r="K302" s="170"/>
      <c r="L302" s="170"/>
      <c r="M302" s="730"/>
      <c r="N302" s="730"/>
      <c r="O302" s="730"/>
      <c r="P302" s="731"/>
      <c r="Q302" s="731"/>
      <c r="R302" s="730"/>
      <c r="S302" s="730"/>
      <c r="T302" s="723"/>
      <c r="U302" s="724"/>
      <c r="V302" s="725"/>
      <c r="W302" s="725"/>
      <c r="X302" s="723"/>
      <c r="Y302" s="723"/>
      <c r="Z302" s="723"/>
      <c r="AA302" s="726"/>
      <c r="AB302" s="726"/>
      <c r="AC302" s="170"/>
      <c r="AD302" s="586"/>
      <c r="AE302" s="586"/>
      <c r="AF302" s="170"/>
      <c r="AG302" s="170"/>
      <c r="AH302" s="170"/>
      <c r="AI302" s="170"/>
      <c r="AJ302" s="170"/>
      <c r="AK302" s="170"/>
      <c r="AL302" s="170"/>
      <c r="AM302" s="170"/>
      <c r="AN302" s="170"/>
      <c r="AO302" s="170"/>
      <c r="AP302" s="170"/>
      <c r="AQ302" s="170"/>
      <c r="AR302" s="170"/>
      <c r="AS302" s="170"/>
    </row>
    <row r="303" spans="1:45" ht="15" x14ac:dyDescent="0.25">
      <c r="A303" s="170"/>
      <c r="B303" s="719"/>
      <c r="C303" s="170"/>
      <c r="D303" s="170"/>
      <c r="E303" s="170"/>
      <c r="F303" s="170"/>
      <c r="G303" s="721"/>
      <c r="H303" s="170"/>
      <c r="I303" s="170"/>
      <c r="J303" s="170"/>
      <c r="K303" s="170"/>
      <c r="L303" s="170"/>
      <c r="M303" s="730"/>
      <c r="N303" s="730"/>
      <c r="O303" s="730"/>
      <c r="P303" s="731"/>
      <c r="Q303" s="731"/>
      <c r="R303" s="730"/>
      <c r="S303" s="730"/>
      <c r="T303" s="723"/>
      <c r="U303" s="724"/>
      <c r="V303" s="725"/>
      <c r="W303" s="725"/>
      <c r="X303" s="723"/>
      <c r="Y303" s="723"/>
      <c r="Z303" s="723"/>
      <c r="AA303" s="726"/>
      <c r="AB303" s="726"/>
      <c r="AC303" s="170"/>
      <c r="AD303" s="586"/>
      <c r="AE303" s="586"/>
      <c r="AF303" s="170"/>
      <c r="AG303" s="170"/>
      <c r="AH303" s="170"/>
      <c r="AI303" s="170"/>
      <c r="AJ303" s="170"/>
      <c r="AK303" s="170"/>
      <c r="AL303" s="170"/>
      <c r="AM303" s="170"/>
      <c r="AN303" s="170"/>
      <c r="AO303" s="170"/>
      <c r="AP303" s="170"/>
      <c r="AQ303" s="170"/>
      <c r="AR303" s="170"/>
      <c r="AS303" s="170"/>
    </row>
    <row r="304" spans="1:45" ht="15" x14ac:dyDescent="0.25">
      <c r="A304" s="170"/>
      <c r="B304" s="719"/>
      <c r="C304" s="170"/>
      <c r="D304" s="170"/>
      <c r="E304" s="170"/>
      <c r="F304" s="170"/>
      <c r="G304" s="721"/>
      <c r="H304" s="170"/>
      <c r="I304" s="170"/>
      <c r="J304" s="170"/>
      <c r="K304" s="170"/>
      <c r="L304" s="170"/>
      <c r="M304" s="730"/>
      <c r="N304" s="730"/>
      <c r="O304" s="730"/>
      <c r="P304" s="731"/>
      <c r="Q304" s="731"/>
      <c r="R304" s="730"/>
      <c r="S304" s="730"/>
      <c r="T304" s="723"/>
      <c r="U304" s="724"/>
      <c r="V304" s="725"/>
      <c r="W304" s="725"/>
      <c r="X304" s="723"/>
      <c r="Y304" s="723"/>
      <c r="Z304" s="723"/>
      <c r="AA304" s="726"/>
      <c r="AB304" s="726"/>
      <c r="AC304" s="170"/>
      <c r="AD304" s="586"/>
      <c r="AE304" s="586"/>
      <c r="AF304" s="170"/>
      <c r="AG304" s="170"/>
      <c r="AH304" s="170"/>
      <c r="AI304" s="170"/>
      <c r="AJ304" s="170"/>
      <c r="AK304" s="170"/>
      <c r="AL304" s="170"/>
      <c r="AM304" s="170"/>
      <c r="AN304" s="170"/>
      <c r="AO304" s="170"/>
      <c r="AP304" s="170"/>
      <c r="AQ304" s="170"/>
      <c r="AR304" s="170"/>
      <c r="AS304" s="170"/>
    </row>
    <row r="305" spans="1:45" ht="15" x14ac:dyDescent="0.25">
      <c r="A305" s="170"/>
      <c r="B305" s="719"/>
      <c r="C305" s="170"/>
      <c r="D305" s="170"/>
      <c r="E305" s="170"/>
      <c r="F305" s="170"/>
      <c r="G305" s="721"/>
      <c r="H305" s="170"/>
      <c r="I305" s="170"/>
      <c r="J305" s="170"/>
      <c r="K305" s="170"/>
      <c r="L305" s="170"/>
      <c r="M305" s="730"/>
      <c r="N305" s="730"/>
      <c r="O305" s="730"/>
      <c r="P305" s="731"/>
      <c r="Q305" s="731"/>
      <c r="R305" s="730"/>
      <c r="S305" s="730"/>
      <c r="T305" s="723"/>
      <c r="U305" s="724"/>
      <c r="V305" s="725"/>
      <c r="W305" s="725"/>
      <c r="X305" s="723"/>
      <c r="Y305" s="723"/>
      <c r="Z305" s="723"/>
      <c r="AA305" s="726"/>
      <c r="AB305" s="726"/>
      <c r="AC305" s="170"/>
      <c r="AD305" s="586"/>
      <c r="AE305" s="586"/>
      <c r="AF305" s="170"/>
      <c r="AG305" s="170"/>
      <c r="AH305" s="170"/>
      <c r="AI305" s="170"/>
      <c r="AJ305" s="170"/>
      <c r="AK305" s="170"/>
      <c r="AL305" s="170"/>
      <c r="AM305" s="170"/>
      <c r="AN305" s="170"/>
      <c r="AO305" s="170"/>
      <c r="AP305" s="170"/>
      <c r="AQ305" s="170"/>
      <c r="AR305" s="170"/>
      <c r="AS305" s="170"/>
    </row>
    <row r="306" spans="1:45" ht="15" x14ac:dyDescent="0.25">
      <c r="A306" s="170"/>
      <c r="B306" s="719"/>
      <c r="C306" s="170"/>
      <c r="D306" s="170"/>
      <c r="E306" s="170"/>
      <c r="F306" s="170"/>
      <c r="G306" s="721"/>
      <c r="H306" s="170"/>
      <c r="I306" s="170"/>
      <c r="J306" s="170"/>
      <c r="K306" s="170"/>
      <c r="L306" s="170"/>
      <c r="M306" s="730"/>
      <c r="N306" s="730"/>
      <c r="O306" s="730"/>
      <c r="P306" s="731"/>
      <c r="Q306" s="731"/>
      <c r="R306" s="730"/>
      <c r="S306" s="730"/>
      <c r="T306" s="723"/>
      <c r="U306" s="724"/>
      <c r="V306" s="725"/>
      <c r="W306" s="725"/>
      <c r="X306" s="723"/>
      <c r="Y306" s="723"/>
      <c r="Z306" s="723"/>
      <c r="AA306" s="726"/>
      <c r="AB306" s="726"/>
      <c r="AC306" s="170"/>
      <c r="AD306" s="586"/>
      <c r="AE306" s="586"/>
      <c r="AF306" s="170"/>
      <c r="AG306" s="170"/>
      <c r="AH306" s="170"/>
      <c r="AI306" s="170"/>
      <c r="AJ306" s="170"/>
      <c r="AK306" s="170"/>
      <c r="AL306" s="170"/>
      <c r="AM306" s="170"/>
      <c r="AN306" s="170"/>
      <c r="AO306" s="170"/>
      <c r="AP306" s="170"/>
      <c r="AQ306" s="170"/>
      <c r="AR306" s="170"/>
      <c r="AS306" s="170"/>
    </row>
    <row r="307" spans="1:45" ht="15" x14ac:dyDescent="0.25">
      <c r="A307" s="170"/>
      <c r="B307" s="719"/>
      <c r="C307" s="170"/>
      <c r="D307" s="170"/>
      <c r="E307" s="170"/>
      <c r="F307" s="170"/>
      <c r="G307" s="721"/>
      <c r="H307" s="170"/>
      <c r="I307" s="170"/>
      <c r="J307" s="170"/>
      <c r="K307" s="170"/>
      <c r="L307" s="170"/>
      <c r="M307" s="730"/>
      <c r="N307" s="730"/>
      <c r="O307" s="730"/>
      <c r="P307" s="731"/>
      <c r="Q307" s="731"/>
      <c r="R307" s="730"/>
      <c r="S307" s="730"/>
      <c r="T307" s="723"/>
      <c r="U307" s="724"/>
      <c r="V307" s="725"/>
      <c r="W307" s="725"/>
      <c r="X307" s="723"/>
      <c r="Y307" s="723"/>
      <c r="Z307" s="723"/>
      <c r="AA307" s="726"/>
      <c r="AB307" s="726"/>
      <c r="AC307" s="170"/>
      <c r="AD307" s="586"/>
      <c r="AE307" s="586"/>
      <c r="AF307" s="170"/>
      <c r="AG307" s="170"/>
      <c r="AH307" s="170"/>
      <c r="AI307" s="170"/>
      <c r="AJ307" s="170"/>
      <c r="AK307" s="170"/>
      <c r="AL307" s="170"/>
      <c r="AM307" s="170"/>
      <c r="AN307" s="170"/>
      <c r="AO307" s="170"/>
      <c r="AP307" s="170"/>
      <c r="AQ307" s="170"/>
      <c r="AR307" s="170"/>
      <c r="AS307" s="170"/>
    </row>
    <row r="308" spans="1:45" ht="15" x14ac:dyDescent="0.25">
      <c r="A308" s="170"/>
      <c r="B308" s="719"/>
      <c r="C308" s="170"/>
      <c r="D308" s="170"/>
      <c r="E308" s="170"/>
      <c r="F308" s="170"/>
      <c r="G308" s="721"/>
      <c r="H308" s="170"/>
      <c r="I308" s="170"/>
      <c r="J308" s="170"/>
      <c r="K308" s="170"/>
      <c r="L308" s="170"/>
      <c r="M308" s="730"/>
      <c r="N308" s="730"/>
      <c r="O308" s="730"/>
      <c r="P308" s="731"/>
      <c r="Q308" s="731"/>
      <c r="R308" s="730"/>
      <c r="S308" s="730"/>
      <c r="T308" s="723"/>
      <c r="U308" s="724"/>
      <c r="V308" s="725"/>
      <c r="W308" s="725"/>
      <c r="X308" s="723"/>
      <c r="Y308" s="723"/>
      <c r="Z308" s="723"/>
      <c r="AA308" s="726"/>
      <c r="AB308" s="726"/>
      <c r="AC308" s="170"/>
      <c r="AD308" s="586"/>
      <c r="AE308" s="586"/>
      <c r="AF308" s="170"/>
      <c r="AG308" s="170"/>
      <c r="AH308" s="170"/>
      <c r="AI308" s="170"/>
      <c r="AJ308" s="170"/>
      <c r="AK308" s="170"/>
      <c r="AL308" s="170"/>
      <c r="AM308" s="170"/>
      <c r="AN308" s="170"/>
      <c r="AO308" s="170"/>
      <c r="AP308" s="170"/>
      <c r="AQ308" s="170"/>
      <c r="AR308" s="170"/>
      <c r="AS308" s="170"/>
    </row>
    <row r="309" spans="1:45" ht="15" x14ac:dyDescent="0.25">
      <c r="A309" s="170"/>
      <c r="B309" s="719"/>
      <c r="C309" s="170"/>
      <c r="D309" s="170"/>
      <c r="E309" s="170"/>
      <c r="F309" s="170"/>
      <c r="G309" s="721"/>
      <c r="H309" s="170"/>
      <c r="I309" s="170"/>
      <c r="J309" s="170"/>
      <c r="K309" s="170"/>
      <c r="L309" s="170"/>
      <c r="M309" s="730"/>
      <c r="N309" s="730"/>
      <c r="O309" s="730"/>
      <c r="P309" s="731"/>
      <c r="Q309" s="731"/>
      <c r="R309" s="730"/>
      <c r="S309" s="730"/>
      <c r="T309" s="723"/>
      <c r="U309" s="724"/>
      <c r="V309" s="725"/>
      <c r="W309" s="725"/>
      <c r="X309" s="723"/>
      <c r="Y309" s="723"/>
      <c r="Z309" s="723"/>
      <c r="AA309" s="726"/>
      <c r="AB309" s="726"/>
      <c r="AC309" s="170"/>
      <c r="AD309" s="586"/>
      <c r="AE309" s="586"/>
      <c r="AF309" s="170"/>
      <c r="AG309" s="170"/>
      <c r="AH309" s="170"/>
      <c r="AI309" s="170"/>
      <c r="AJ309" s="170"/>
      <c r="AK309" s="170"/>
      <c r="AL309" s="170"/>
      <c r="AM309" s="170"/>
      <c r="AN309" s="170"/>
      <c r="AO309" s="170"/>
      <c r="AP309" s="170"/>
      <c r="AQ309" s="170"/>
      <c r="AR309" s="170"/>
      <c r="AS309" s="170"/>
    </row>
    <row r="310" spans="1:45" ht="15" x14ac:dyDescent="0.25">
      <c r="A310" s="170"/>
      <c r="B310" s="719"/>
      <c r="C310" s="170"/>
      <c r="D310" s="170"/>
      <c r="E310" s="170"/>
      <c r="F310" s="170"/>
      <c r="G310" s="721"/>
      <c r="H310" s="170"/>
      <c r="I310" s="170"/>
      <c r="J310" s="170"/>
      <c r="K310" s="170"/>
      <c r="L310" s="170"/>
      <c r="M310" s="730"/>
      <c r="N310" s="730"/>
      <c r="O310" s="730"/>
      <c r="P310" s="731"/>
      <c r="Q310" s="731"/>
      <c r="R310" s="730"/>
      <c r="S310" s="730"/>
      <c r="T310" s="723"/>
      <c r="U310" s="724"/>
      <c r="V310" s="725"/>
      <c r="W310" s="725"/>
      <c r="X310" s="723"/>
      <c r="Y310" s="723"/>
      <c r="Z310" s="723"/>
      <c r="AA310" s="726"/>
      <c r="AB310" s="726"/>
      <c r="AC310" s="170"/>
      <c r="AD310" s="586"/>
      <c r="AE310" s="586"/>
      <c r="AF310" s="170"/>
      <c r="AG310" s="170"/>
      <c r="AH310" s="170"/>
      <c r="AI310" s="170"/>
      <c r="AJ310" s="170"/>
      <c r="AK310" s="170"/>
      <c r="AL310" s="170"/>
      <c r="AM310" s="170"/>
      <c r="AN310" s="170"/>
      <c r="AO310" s="170"/>
      <c r="AP310" s="170"/>
      <c r="AQ310" s="170"/>
      <c r="AR310" s="170"/>
      <c r="AS310" s="170"/>
    </row>
    <row r="311" spans="1:45" ht="15" x14ac:dyDescent="0.25">
      <c r="A311" s="170"/>
      <c r="B311" s="719"/>
      <c r="C311" s="170"/>
      <c r="D311" s="170"/>
      <c r="E311" s="170"/>
      <c r="F311" s="170"/>
      <c r="G311" s="721"/>
      <c r="H311" s="170"/>
      <c r="I311" s="170"/>
      <c r="J311" s="170"/>
      <c r="K311" s="170"/>
      <c r="L311" s="170"/>
      <c r="M311" s="730"/>
      <c r="N311" s="730"/>
      <c r="O311" s="730"/>
      <c r="P311" s="731"/>
      <c r="Q311" s="731"/>
      <c r="R311" s="730"/>
      <c r="S311" s="730"/>
      <c r="T311" s="723"/>
      <c r="U311" s="724"/>
      <c r="V311" s="725"/>
      <c r="W311" s="725"/>
      <c r="X311" s="723"/>
      <c r="Y311" s="723"/>
      <c r="Z311" s="723"/>
      <c r="AA311" s="726"/>
      <c r="AB311" s="726"/>
      <c r="AC311" s="170"/>
      <c r="AD311" s="586"/>
      <c r="AE311" s="586"/>
      <c r="AF311" s="170"/>
      <c r="AG311" s="170"/>
      <c r="AH311" s="170"/>
      <c r="AI311" s="170"/>
      <c r="AJ311" s="170"/>
      <c r="AK311" s="170"/>
      <c r="AL311" s="170"/>
      <c r="AM311" s="170"/>
      <c r="AN311" s="170"/>
      <c r="AO311" s="170"/>
      <c r="AP311" s="170"/>
      <c r="AQ311" s="170"/>
      <c r="AR311" s="170"/>
      <c r="AS311" s="170"/>
    </row>
    <row r="312" spans="1:45" ht="15" x14ac:dyDescent="0.25">
      <c r="A312" s="170"/>
      <c r="B312" s="719"/>
      <c r="C312" s="170"/>
      <c r="D312" s="170"/>
      <c r="E312" s="170"/>
      <c r="F312" s="170"/>
      <c r="G312" s="721"/>
      <c r="H312" s="170"/>
      <c r="I312" s="170"/>
      <c r="J312" s="170"/>
      <c r="K312" s="170"/>
      <c r="L312" s="170"/>
      <c r="M312" s="730"/>
      <c r="N312" s="730"/>
      <c r="O312" s="730"/>
      <c r="P312" s="731"/>
      <c r="Q312" s="731"/>
      <c r="R312" s="730"/>
      <c r="S312" s="730"/>
      <c r="T312" s="723"/>
      <c r="U312" s="724"/>
      <c r="V312" s="725"/>
      <c r="W312" s="725"/>
      <c r="X312" s="723"/>
      <c r="Y312" s="723"/>
      <c r="Z312" s="723"/>
      <c r="AA312" s="726"/>
      <c r="AB312" s="726"/>
      <c r="AC312" s="170"/>
      <c r="AD312" s="586"/>
      <c r="AE312" s="586"/>
      <c r="AF312" s="170"/>
      <c r="AG312" s="170"/>
      <c r="AH312" s="170"/>
      <c r="AI312" s="170"/>
      <c r="AJ312" s="170"/>
      <c r="AK312" s="170"/>
      <c r="AL312" s="170"/>
      <c r="AM312" s="170"/>
      <c r="AN312" s="170"/>
      <c r="AO312" s="170"/>
      <c r="AP312" s="170"/>
      <c r="AQ312" s="170"/>
      <c r="AR312" s="170"/>
      <c r="AS312" s="170"/>
    </row>
    <row r="313" spans="1:45" ht="15" x14ac:dyDescent="0.25">
      <c r="A313" s="170"/>
      <c r="B313" s="719"/>
      <c r="C313" s="170"/>
      <c r="D313" s="170"/>
      <c r="E313" s="170"/>
      <c r="F313" s="170"/>
      <c r="G313" s="721"/>
      <c r="H313" s="170"/>
      <c r="I313" s="170"/>
      <c r="J313" s="170"/>
      <c r="K313" s="170"/>
      <c r="L313" s="170"/>
      <c r="M313" s="730"/>
      <c r="N313" s="730"/>
      <c r="O313" s="730"/>
      <c r="P313" s="731"/>
      <c r="Q313" s="731"/>
      <c r="R313" s="730"/>
      <c r="S313" s="730"/>
      <c r="T313" s="723"/>
      <c r="U313" s="724"/>
      <c r="V313" s="725"/>
      <c r="W313" s="725"/>
      <c r="X313" s="723"/>
      <c r="Y313" s="723"/>
      <c r="Z313" s="723"/>
      <c r="AA313" s="726"/>
      <c r="AB313" s="726"/>
      <c r="AC313" s="170"/>
      <c r="AD313" s="586"/>
      <c r="AE313" s="586"/>
      <c r="AF313" s="170"/>
      <c r="AG313" s="170"/>
      <c r="AH313" s="170"/>
      <c r="AI313" s="170"/>
      <c r="AJ313" s="170"/>
      <c r="AK313" s="170"/>
      <c r="AL313" s="170"/>
      <c r="AM313" s="170"/>
      <c r="AN313" s="170"/>
      <c r="AO313" s="170"/>
      <c r="AP313" s="170"/>
      <c r="AQ313" s="170"/>
      <c r="AR313" s="170"/>
      <c r="AS313" s="170"/>
    </row>
    <row r="314" spans="1:45" ht="15" x14ac:dyDescent="0.25">
      <c r="A314" s="170"/>
      <c r="B314" s="719"/>
      <c r="C314" s="170"/>
      <c r="D314" s="170"/>
      <c r="E314" s="170"/>
      <c r="F314" s="170"/>
      <c r="G314" s="721"/>
      <c r="H314" s="170"/>
      <c r="I314" s="170"/>
      <c r="J314" s="170"/>
      <c r="K314" s="170"/>
      <c r="L314" s="170"/>
      <c r="M314" s="730"/>
      <c r="N314" s="730"/>
      <c r="O314" s="730"/>
      <c r="P314" s="731"/>
      <c r="Q314" s="731"/>
      <c r="R314" s="730"/>
      <c r="S314" s="730"/>
      <c r="T314" s="723"/>
      <c r="U314" s="724"/>
      <c r="V314" s="725"/>
      <c r="W314" s="725"/>
      <c r="X314" s="723"/>
      <c r="Y314" s="723"/>
      <c r="Z314" s="723"/>
      <c r="AA314" s="726"/>
      <c r="AB314" s="726"/>
      <c r="AC314" s="170"/>
      <c r="AD314" s="586"/>
      <c r="AE314" s="586"/>
      <c r="AF314" s="170"/>
      <c r="AG314" s="170"/>
      <c r="AH314" s="170"/>
      <c r="AI314" s="170"/>
      <c r="AJ314" s="170"/>
      <c r="AK314" s="170"/>
      <c r="AL314" s="170"/>
      <c r="AM314" s="170"/>
      <c r="AN314" s="170"/>
      <c r="AO314" s="170"/>
      <c r="AP314" s="170"/>
      <c r="AQ314" s="170"/>
      <c r="AR314" s="170"/>
      <c r="AS314" s="170"/>
    </row>
    <row r="315" spans="1:45" ht="15" x14ac:dyDescent="0.25">
      <c r="A315" s="170"/>
      <c r="B315" s="719"/>
      <c r="C315" s="170"/>
      <c r="D315" s="170"/>
      <c r="E315" s="170"/>
      <c r="F315" s="170"/>
      <c r="G315" s="721"/>
      <c r="H315" s="170"/>
      <c r="I315" s="170"/>
      <c r="J315" s="170"/>
      <c r="K315" s="170"/>
      <c r="L315" s="170"/>
      <c r="M315" s="730"/>
      <c r="N315" s="730"/>
      <c r="O315" s="730"/>
      <c r="P315" s="731"/>
      <c r="Q315" s="731"/>
      <c r="R315" s="730"/>
      <c r="S315" s="730"/>
      <c r="T315" s="723"/>
      <c r="U315" s="724"/>
      <c r="V315" s="725"/>
      <c r="W315" s="725"/>
      <c r="X315" s="723"/>
      <c r="Y315" s="723"/>
      <c r="Z315" s="723"/>
      <c r="AA315" s="726"/>
      <c r="AB315" s="726"/>
      <c r="AC315" s="170"/>
      <c r="AD315" s="586"/>
      <c r="AE315" s="586"/>
      <c r="AF315" s="170"/>
      <c r="AG315" s="170"/>
      <c r="AH315" s="170"/>
      <c r="AI315" s="170"/>
      <c r="AJ315" s="170"/>
      <c r="AK315" s="170"/>
      <c r="AL315" s="170"/>
      <c r="AM315" s="170"/>
      <c r="AN315" s="170"/>
      <c r="AO315" s="170"/>
      <c r="AP315" s="170"/>
      <c r="AQ315" s="170"/>
      <c r="AR315" s="170"/>
      <c r="AS315" s="170"/>
    </row>
    <row r="316" spans="1:45" ht="15" x14ac:dyDescent="0.25">
      <c r="A316" s="170"/>
      <c r="B316" s="719"/>
      <c r="C316" s="170"/>
      <c r="D316" s="170"/>
      <c r="E316" s="170"/>
      <c r="F316" s="170"/>
      <c r="G316" s="721"/>
      <c r="H316" s="170"/>
      <c r="I316" s="170"/>
      <c r="J316" s="170"/>
      <c r="K316" s="170"/>
      <c r="L316" s="170"/>
      <c r="M316" s="730"/>
      <c r="N316" s="730"/>
      <c r="O316" s="730"/>
      <c r="P316" s="731"/>
      <c r="Q316" s="731"/>
      <c r="R316" s="730"/>
      <c r="S316" s="730"/>
      <c r="T316" s="723"/>
      <c r="U316" s="724"/>
      <c r="V316" s="725"/>
      <c r="W316" s="725"/>
      <c r="X316" s="723"/>
      <c r="Y316" s="723"/>
      <c r="Z316" s="723"/>
      <c r="AA316" s="726"/>
      <c r="AB316" s="726"/>
      <c r="AC316" s="170"/>
      <c r="AD316" s="586"/>
      <c r="AE316" s="586"/>
      <c r="AF316" s="170"/>
      <c r="AG316" s="170"/>
      <c r="AH316" s="170"/>
      <c r="AI316" s="170"/>
      <c r="AJ316" s="170"/>
      <c r="AK316" s="170"/>
      <c r="AL316" s="170"/>
      <c r="AM316" s="170"/>
      <c r="AN316" s="170"/>
      <c r="AO316" s="170"/>
      <c r="AP316" s="170"/>
      <c r="AQ316" s="170"/>
      <c r="AR316" s="170"/>
      <c r="AS316" s="170"/>
    </row>
    <row r="317" spans="1:45" ht="15" x14ac:dyDescent="0.25">
      <c r="A317" s="170"/>
      <c r="B317" s="719"/>
      <c r="C317" s="170"/>
      <c r="D317" s="170"/>
      <c r="E317" s="170"/>
      <c r="F317" s="170"/>
      <c r="G317" s="721"/>
      <c r="H317" s="170"/>
      <c r="I317" s="170"/>
      <c r="J317" s="170"/>
      <c r="K317" s="170"/>
      <c r="L317" s="170"/>
      <c r="M317" s="730"/>
      <c r="N317" s="730"/>
      <c r="O317" s="730"/>
      <c r="P317" s="731"/>
      <c r="Q317" s="731"/>
      <c r="R317" s="730"/>
      <c r="S317" s="730"/>
      <c r="T317" s="723"/>
      <c r="U317" s="724"/>
      <c r="V317" s="725"/>
      <c r="W317" s="725"/>
      <c r="X317" s="723"/>
      <c r="Y317" s="723"/>
      <c r="Z317" s="723"/>
      <c r="AA317" s="726"/>
      <c r="AB317" s="726"/>
      <c r="AC317" s="170"/>
      <c r="AD317" s="586"/>
      <c r="AE317" s="586"/>
      <c r="AF317" s="170"/>
      <c r="AG317" s="170"/>
      <c r="AH317" s="170"/>
      <c r="AI317" s="170"/>
      <c r="AJ317" s="170"/>
      <c r="AK317" s="170"/>
      <c r="AL317" s="170"/>
      <c r="AM317" s="170"/>
      <c r="AN317" s="170"/>
      <c r="AO317" s="170"/>
      <c r="AP317" s="170"/>
      <c r="AQ317" s="170"/>
      <c r="AR317" s="170"/>
      <c r="AS317" s="170"/>
    </row>
    <row r="318" spans="1:45" ht="15" x14ac:dyDescent="0.25">
      <c r="A318" s="170"/>
      <c r="B318" s="719"/>
      <c r="C318" s="170"/>
      <c r="D318" s="170"/>
      <c r="E318" s="170"/>
      <c r="F318" s="170"/>
      <c r="G318" s="721"/>
      <c r="H318" s="170"/>
      <c r="I318" s="170"/>
      <c r="J318" s="170"/>
      <c r="K318" s="170"/>
      <c r="L318" s="170"/>
      <c r="M318" s="730"/>
      <c r="N318" s="730"/>
      <c r="O318" s="730"/>
      <c r="P318" s="731"/>
      <c r="Q318" s="731"/>
      <c r="R318" s="730"/>
      <c r="S318" s="730"/>
      <c r="T318" s="723"/>
      <c r="U318" s="724"/>
      <c r="V318" s="725"/>
      <c r="W318" s="725"/>
      <c r="X318" s="723"/>
      <c r="Y318" s="723"/>
      <c r="Z318" s="723"/>
      <c r="AA318" s="726"/>
      <c r="AB318" s="726"/>
      <c r="AC318" s="170"/>
      <c r="AD318" s="586"/>
      <c r="AE318" s="586"/>
      <c r="AF318" s="170"/>
      <c r="AG318" s="170"/>
      <c r="AH318" s="170"/>
      <c r="AI318" s="170"/>
      <c r="AJ318" s="170"/>
      <c r="AK318" s="170"/>
      <c r="AL318" s="170"/>
      <c r="AM318" s="170"/>
      <c r="AN318" s="170"/>
      <c r="AO318" s="170"/>
      <c r="AP318" s="170"/>
      <c r="AQ318" s="170"/>
      <c r="AR318" s="170"/>
      <c r="AS318" s="170"/>
    </row>
    <row r="319" spans="1:45" ht="15" x14ac:dyDescent="0.25">
      <c r="A319" s="170"/>
      <c r="B319" s="719"/>
      <c r="C319" s="170"/>
      <c r="D319" s="170"/>
      <c r="E319" s="170"/>
      <c r="F319" s="170"/>
      <c r="G319" s="721"/>
      <c r="H319" s="170"/>
      <c r="I319" s="170"/>
      <c r="J319" s="170"/>
      <c r="K319" s="170"/>
      <c r="L319" s="170"/>
      <c r="M319" s="730"/>
      <c r="N319" s="730"/>
      <c r="O319" s="730"/>
      <c r="P319" s="731"/>
      <c r="Q319" s="731"/>
      <c r="R319" s="730"/>
      <c r="S319" s="730"/>
      <c r="T319" s="723"/>
      <c r="U319" s="724"/>
      <c r="V319" s="725"/>
      <c r="W319" s="725"/>
      <c r="X319" s="723"/>
      <c r="Y319" s="723"/>
      <c r="Z319" s="723"/>
      <c r="AA319" s="726"/>
      <c r="AB319" s="726"/>
      <c r="AC319" s="170"/>
      <c r="AD319" s="586"/>
      <c r="AE319" s="586"/>
      <c r="AF319" s="170"/>
      <c r="AG319" s="170"/>
      <c r="AH319" s="170"/>
      <c r="AI319" s="170"/>
      <c r="AJ319" s="170"/>
      <c r="AK319" s="170"/>
      <c r="AL319" s="170"/>
      <c r="AM319" s="170"/>
      <c r="AN319" s="170"/>
      <c r="AO319" s="170"/>
      <c r="AP319" s="170"/>
      <c r="AQ319" s="170"/>
      <c r="AR319" s="170"/>
      <c r="AS319" s="170"/>
    </row>
    <row r="320" spans="1:45" ht="15" x14ac:dyDescent="0.25">
      <c r="A320" s="170"/>
      <c r="B320" s="719"/>
      <c r="C320" s="170"/>
      <c r="D320" s="170"/>
      <c r="E320" s="170"/>
      <c r="F320" s="170"/>
      <c r="G320" s="721"/>
      <c r="H320" s="170"/>
      <c r="I320" s="170"/>
      <c r="J320" s="170"/>
      <c r="K320" s="170"/>
      <c r="L320" s="170"/>
      <c r="M320" s="730"/>
      <c r="N320" s="730"/>
      <c r="O320" s="730"/>
      <c r="P320" s="731"/>
      <c r="Q320" s="731"/>
      <c r="R320" s="730"/>
      <c r="S320" s="730"/>
      <c r="T320" s="723"/>
      <c r="U320" s="724"/>
      <c r="V320" s="725"/>
      <c r="W320" s="725"/>
      <c r="X320" s="723"/>
      <c r="Y320" s="723"/>
      <c r="Z320" s="723"/>
      <c r="AA320" s="726"/>
      <c r="AB320" s="726"/>
      <c r="AC320" s="170"/>
      <c r="AD320" s="586"/>
      <c r="AE320" s="586"/>
      <c r="AF320" s="170"/>
      <c r="AG320" s="170"/>
      <c r="AH320" s="170"/>
      <c r="AI320" s="170"/>
      <c r="AJ320" s="170"/>
      <c r="AK320" s="170"/>
      <c r="AL320" s="170"/>
      <c r="AM320" s="170"/>
      <c r="AN320" s="170"/>
      <c r="AO320" s="170"/>
      <c r="AP320" s="170"/>
      <c r="AQ320" s="170"/>
      <c r="AR320" s="170"/>
      <c r="AS320" s="170"/>
    </row>
    <row r="321" spans="1:45" ht="15" x14ac:dyDescent="0.25">
      <c r="A321" s="170"/>
      <c r="B321" s="719"/>
      <c r="C321" s="170"/>
      <c r="D321" s="170"/>
      <c r="E321" s="170"/>
      <c r="F321" s="170"/>
      <c r="G321" s="721"/>
      <c r="H321" s="170"/>
      <c r="I321" s="170"/>
      <c r="J321" s="170"/>
      <c r="K321" s="170"/>
      <c r="L321" s="170"/>
      <c r="M321" s="730"/>
      <c r="N321" s="730"/>
      <c r="O321" s="730"/>
      <c r="P321" s="731"/>
      <c r="Q321" s="731"/>
      <c r="R321" s="730"/>
      <c r="S321" s="730"/>
      <c r="T321" s="723"/>
      <c r="U321" s="724"/>
      <c r="V321" s="725"/>
      <c r="W321" s="725"/>
      <c r="X321" s="723"/>
      <c r="Y321" s="723"/>
      <c r="Z321" s="723"/>
      <c r="AA321" s="726"/>
      <c r="AB321" s="726"/>
      <c r="AC321" s="170"/>
      <c r="AD321" s="586"/>
      <c r="AE321" s="586"/>
      <c r="AF321" s="170"/>
      <c r="AG321" s="170"/>
      <c r="AH321" s="170"/>
      <c r="AI321" s="170"/>
      <c r="AJ321" s="170"/>
      <c r="AK321" s="170"/>
      <c r="AL321" s="170"/>
      <c r="AM321" s="170"/>
      <c r="AN321" s="170"/>
      <c r="AO321" s="170"/>
      <c r="AP321" s="170"/>
      <c r="AQ321" s="170"/>
      <c r="AR321" s="170"/>
      <c r="AS321" s="170"/>
    </row>
    <row r="322" spans="1:45" ht="15" x14ac:dyDescent="0.25">
      <c r="A322" s="170"/>
      <c r="B322" s="719"/>
      <c r="C322" s="170"/>
      <c r="D322" s="170"/>
      <c r="E322" s="170"/>
      <c r="F322" s="170"/>
      <c r="G322" s="721"/>
      <c r="H322" s="170"/>
      <c r="I322" s="170"/>
      <c r="J322" s="170"/>
      <c r="K322" s="170"/>
      <c r="L322" s="170"/>
      <c r="M322" s="730"/>
      <c r="N322" s="730"/>
      <c r="O322" s="730"/>
      <c r="P322" s="731"/>
      <c r="Q322" s="731"/>
      <c r="R322" s="730"/>
      <c r="S322" s="730"/>
      <c r="T322" s="723"/>
      <c r="U322" s="724"/>
      <c r="V322" s="725"/>
      <c r="W322" s="725"/>
      <c r="X322" s="723"/>
      <c r="Y322" s="723"/>
      <c r="Z322" s="723"/>
      <c r="AA322" s="726"/>
      <c r="AB322" s="726"/>
      <c r="AC322" s="170"/>
      <c r="AD322" s="586"/>
      <c r="AE322" s="586"/>
      <c r="AF322" s="170"/>
      <c r="AG322" s="170"/>
      <c r="AH322" s="170"/>
      <c r="AI322" s="170"/>
      <c r="AJ322" s="170"/>
      <c r="AK322" s="170"/>
      <c r="AL322" s="170"/>
      <c r="AM322" s="170"/>
      <c r="AN322" s="170"/>
      <c r="AO322" s="170"/>
      <c r="AP322" s="170"/>
      <c r="AQ322" s="170"/>
      <c r="AR322" s="170"/>
      <c r="AS322" s="170"/>
    </row>
    <row r="323" spans="1:45" ht="15" x14ac:dyDescent="0.25">
      <c r="A323" s="170"/>
      <c r="B323" s="719"/>
      <c r="C323" s="170"/>
      <c r="D323" s="170"/>
      <c r="E323" s="170"/>
      <c r="F323" s="170"/>
      <c r="G323" s="721"/>
      <c r="H323" s="170"/>
      <c r="I323" s="170"/>
      <c r="J323" s="170"/>
      <c r="K323" s="170"/>
      <c r="L323" s="170"/>
      <c r="M323" s="730"/>
      <c r="N323" s="730"/>
      <c r="O323" s="730"/>
      <c r="P323" s="731"/>
      <c r="Q323" s="731"/>
      <c r="R323" s="730"/>
      <c r="S323" s="730"/>
      <c r="T323" s="723"/>
      <c r="U323" s="724"/>
      <c r="V323" s="725"/>
      <c r="W323" s="725"/>
      <c r="X323" s="723"/>
      <c r="Y323" s="723"/>
      <c r="Z323" s="723"/>
      <c r="AA323" s="726"/>
      <c r="AB323" s="726"/>
      <c r="AC323" s="170"/>
      <c r="AD323" s="586"/>
      <c r="AE323" s="586"/>
      <c r="AF323" s="170"/>
      <c r="AG323" s="170"/>
      <c r="AH323" s="170"/>
      <c r="AI323" s="170"/>
      <c r="AJ323" s="170"/>
      <c r="AK323" s="170"/>
      <c r="AL323" s="170"/>
      <c r="AM323" s="170"/>
      <c r="AN323" s="170"/>
      <c r="AO323" s="170"/>
      <c r="AP323" s="170"/>
      <c r="AQ323" s="170"/>
      <c r="AR323" s="170"/>
      <c r="AS323" s="170"/>
    </row>
    <row r="324" spans="1:45" ht="15" x14ac:dyDescent="0.25">
      <c r="A324" s="170"/>
      <c r="B324" s="719"/>
      <c r="C324" s="170"/>
      <c r="D324" s="170"/>
      <c r="E324" s="170"/>
      <c r="F324" s="170"/>
      <c r="G324" s="721"/>
      <c r="H324" s="170"/>
      <c r="I324" s="170"/>
      <c r="J324" s="170"/>
      <c r="K324" s="170"/>
      <c r="L324" s="170"/>
      <c r="M324" s="730"/>
      <c r="N324" s="730"/>
      <c r="O324" s="730"/>
      <c r="P324" s="731"/>
      <c r="Q324" s="731"/>
      <c r="R324" s="730"/>
      <c r="S324" s="730"/>
      <c r="T324" s="723"/>
      <c r="U324" s="724"/>
      <c r="V324" s="725"/>
      <c r="W324" s="725"/>
      <c r="X324" s="723"/>
      <c r="Y324" s="723"/>
      <c r="Z324" s="723"/>
      <c r="AA324" s="726"/>
      <c r="AB324" s="726"/>
      <c r="AC324" s="170"/>
      <c r="AD324" s="586"/>
      <c r="AE324" s="586"/>
      <c r="AF324" s="170"/>
      <c r="AG324" s="170"/>
      <c r="AH324" s="170"/>
      <c r="AI324" s="170"/>
      <c r="AJ324" s="170"/>
      <c r="AK324" s="170"/>
      <c r="AL324" s="170"/>
      <c r="AM324" s="170"/>
      <c r="AN324" s="170"/>
      <c r="AO324" s="170"/>
      <c r="AP324" s="170"/>
      <c r="AQ324" s="170"/>
      <c r="AR324" s="170"/>
      <c r="AS324" s="170"/>
    </row>
    <row r="325" spans="1:45" ht="15" x14ac:dyDescent="0.25">
      <c r="A325" s="170"/>
      <c r="B325" s="719"/>
      <c r="C325" s="170"/>
      <c r="D325" s="170"/>
      <c r="E325" s="170"/>
      <c r="F325" s="170"/>
      <c r="G325" s="721"/>
      <c r="H325" s="170"/>
      <c r="I325" s="170"/>
      <c r="J325" s="170"/>
      <c r="K325" s="170"/>
      <c r="L325" s="170"/>
      <c r="M325" s="730"/>
      <c r="N325" s="730"/>
      <c r="O325" s="730"/>
      <c r="P325" s="731"/>
      <c r="Q325" s="731"/>
      <c r="R325" s="730"/>
      <c r="S325" s="730"/>
      <c r="T325" s="723"/>
      <c r="U325" s="724"/>
      <c r="V325" s="725"/>
      <c r="W325" s="725"/>
      <c r="X325" s="723"/>
      <c r="Y325" s="723"/>
      <c r="Z325" s="723"/>
      <c r="AA325" s="726"/>
      <c r="AB325" s="726"/>
      <c r="AC325" s="170"/>
      <c r="AD325" s="586"/>
      <c r="AE325" s="586"/>
      <c r="AF325" s="170"/>
      <c r="AG325" s="170"/>
      <c r="AH325" s="170"/>
      <c r="AI325" s="170"/>
      <c r="AJ325" s="170"/>
      <c r="AK325" s="170"/>
      <c r="AL325" s="170"/>
      <c r="AM325" s="170"/>
      <c r="AN325" s="170"/>
      <c r="AO325" s="170"/>
      <c r="AP325" s="170"/>
      <c r="AQ325" s="170"/>
      <c r="AR325" s="170"/>
      <c r="AS325" s="170"/>
    </row>
    <row r="326" spans="1:45" ht="15" x14ac:dyDescent="0.25">
      <c r="A326" s="170"/>
      <c r="B326" s="719"/>
      <c r="C326" s="170"/>
      <c r="D326" s="170"/>
      <c r="E326" s="170"/>
      <c r="F326" s="170"/>
      <c r="G326" s="721"/>
      <c r="H326" s="170"/>
      <c r="I326" s="170"/>
      <c r="J326" s="170"/>
      <c r="K326" s="170"/>
      <c r="L326" s="170"/>
      <c r="M326" s="730"/>
      <c r="N326" s="730"/>
      <c r="O326" s="730"/>
      <c r="P326" s="731"/>
      <c r="Q326" s="731"/>
      <c r="R326" s="730"/>
      <c r="S326" s="730"/>
      <c r="T326" s="723"/>
      <c r="U326" s="724"/>
      <c r="V326" s="725"/>
      <c r="W326" s="725"/>
      <c r="X326" s="723"/>
      <c r="Y326" s="723"/>
      <c r="Z326" s="723"/>
      <c r="AA326" s="726"/>
      <c r="AB326" s="726"/>
      <c r="AC326" s="170"/>
      <c r="AD326" s="586"/>
      <c r="AE326" s="586"/>
      <c r="AF326" s="170"/>
      <c r="AG326" s="170"/>
      <c r="AH326" s="170"/>
      <c r="AI326" s="170"/>
      <c r="AJ326" s="170"/>
      <c r="AK326" s="170"/>
      <c r="AL326" s="170"/>
      <c r="AM326" s="170"/>
      <c r="AN326" s="170"/>
      <c r="AO326" s="170"/>
      <c r="AP326" s="170"/>
      <c r="AQ326" s="170"/>
      <c r="AR326" s="170"/>
      <c r="AS326" s="170"/>
    </row>
    <row r="327" spans="1:45" ht="15" x14ac:dyDescent="0.25">
      <c r="A327" s="170"/>
      <c r="B327" s="719"/>
      <c r="C327" s="170"/>
      <c r="D327" s="170"/>
      <c r="E327" s="170"/>
      <c r="F327" s="170"/>
      <c r="G327" s="721"/>
      <c r="H327" s="170"/>
      <c r="I327" s="170"/>
      <c r="J327" s="170"/>
      <c r="K327" s="170"/>
      <c r="L327" s="170"/>
      <c r="M327" s="730"/>
      <c r="N327" s="730"/>
      <c r="O327" s="730"/>
      <c r="P327" s="731"/>
      <c r="Q327" s="731"/>
      <c r="R327" s="730"/>
      <c r="S327" s="730"/>
      <c r="T327" s="723"/>
      <c r="U327" s="724"/>
      <c r="V327" s="725"/>
      <c r="W327" s="725"/>
      <c r="X327" s="723"/>
      <c r="Y327" s="723"/>
      <c r="Z327" s="723"/>
      <c r="AA327" s="726"/>
      <c r="AB327" s="726"/>
      <c r="AC327" s="170"/>
      <c r="AD327" s="586"/>
      <c r="AE327" s="586"/>
      <c r="AF327" s="170"/>
      <c r="AG327" s="170"/>
      <c r="AH327" s="170"/>
      <c r="AI327" s="170"/>
      <c r="AJ327" s="170"/>
      <c r="AK327" s="170"/>
      <c r="AL327" s="170"/>
      <c r="AM327" s="170"/>
      <c r="AN327" s="170"/>
      <c r="AO327" s="170"/>
      <c r="AP327" s="170"/>
      <c r="AQ327" s="170"/>
      <c r="AR327" s="170"/>
      <c r="AS327" s="170"/>
    </row>
    <row r="328" spans="1:45" ht="15" x14ac:dyDescent="0.25">
      <c r="A328" s="170"/>
      <c r="B328" s="719"/>
      <c r="C328" s="170"/>
      <c r="D328" s="170"/>
      <c r="E328" s="170"/>
      <c r="F328" s="170"/>
      <c r="G328" s="721"/>
      <c r="H328" s="170"/>
      <c r="I328" s="170"/>
      <c r="J328" s="170"/>
      <c r="K328" s="170"/>
      <c r="L328" s="170"/>
      <c r="M328" s="730"/>
      <c r="N328" s="730"/>
      <c r="O328" s="730"/>
      <c r="P328" s="731"/>
      <c r="Q328" s="731"/>
      <c r="R328" s="730"/>
      <c r="S328" s="730"/>
      <c r="T328" s="723"/>
      <c r="U328" s="724"/>
      <c r="V328" s="725"/>
      <c r="W328" s="725"/>
      <c r="X328" s="723"/>
      <c r="Y328" s="723"/>
      <c r="Z328" s="723"/>
      <c r="AA328" s="726"/>
      <c r="AB328" s="726"/>
      <c r="AC328" s="170"/>
      <c r="AD328" s="586"/>
      <c r="AE328" s="586"/>
      <c r="AF328" s="170"/>
      <c r="AG328" s="170"/>
      <c r="AH328" s="170"/>
      <c r="AI328" s="170"/>
      <c r="AJ328" s="170"/>
      <c r="AK328" s="170"/>
      <c r="AL328" s="170"/>
      <c r="AM328" s="170"/>
      <c r="AN328" s="170"/>
      <c r="AO328" s="170"/>
      <c r="AP328" s="170"/>
      <c r="AQ328" s="170"/>
      <c r="AR328" s="170"/>
      <c r="AS328" s="170"/>
    </row>
    <row r="329" spans="1:45" ht="15" x14ac:dyDescent="0.25">
      <c r="A329" s="170"/>
      <c r="B329" s="719"/>
      <c r="C329" s="170"/>
      <c r="D329" s="170"/>
      <c r="E329" s="170"/>
      <c r="F329" s="170"/>
      <c r="G329" s="721"/>
      <c r="H329" s="170"/>
      <c r="I329" s="170"/>
      <c r="J329" s="170"/>
      <c r="K329" s="170"/>
      <c r="L329" s="170"/>
      <c r="M329" s="730"/>
      <c r="N329" s="730"/>
      <c r="O329" s="730"/>
      <c r="P329" s="731"/>
      <c r="Q329" s="731"/>
      <c r="R329" s="730"/>
      <c r="S329" s="730"/>
      <c r="T329" s="723"/>
      <c r="U329" s="724"/>
      <c r="V329" s="725"/>
      <c r="W329" s="725"/>
      <c r="X329" s="723"/>
      <c r="Y329" s="723"/>
      <c r="Z329" s="723"/>
      <c r="AA329" s="726"/>
      <c r="AB329" s="726"/>
      <c r="AC329" s="170"/>
      <c r="AD329" s="586"/>
      <c r="AE329" s="586"/>
      <c r="AF329" s="170"/>
      <c r="AG329" s="170"/>
      <c r="AH329" s="170"/>
      <c r="AI329" s="170"/>
      <c r="AJ329" s="170"/>
      <c r="AK329" s="170"/>
      <c r="AL329" s="170"/>
      <c r="AM329" s="170"/>
      <c r="AN329" s="170"/>
      <c r="AO329" s="170"/>
      <c r="AP329" s="170"/>
      <c r="AQ329" s="170"/>
      <c r="AR329" s="170"/>
      <c r="AS329" s="170"/>
    </row>
    <row r="330" spans="1:45" ht="15" x14ac:dyDescent="0.25">
      <c r="A330" s="170"/>
      <c r="B330" s="719"/>
      <c r="C330" s="170"/>
      <c r="D330" s="170"/>
      <c r="E330" s="170"/>
      <c r="F330" s="170"/>
      <c r="G330" s="721"/>
      <c r="H330" s="170"/>
      <c r="I330" s="170"/>
      <c r="J330" s="170"/>
      <c r="K330" s="170"/>
      <c r="L330" s="170"/>
      <c r="M330" s="730"/>
      <c r="N330" s="730"/>
      <c r="O330" s="730"/>
      <c r="P330" s="731"/>
      <c r="Q330" s="731"/>
      <c r="R330" s="730"/>
      <c r="S330" s="730"/>
      <c r="T330" s="723"/>
      <c r="U330" s="724"/>
      <c r="V330" s="725"/>
      <c r="W330" s="725"/>
      <c r="X330" s="723"/>
      <c r="Y330" s="723"/>
      <c r="Z330" s="723"/>
      <c r="AA330" s="726"/>
      <c r="AB330" s="726"/>
      <c r="AC330" s="170"/>
      <c r="AD330" s="586"/>
      <c r="AE330" s="586"/>
      <c r="AF330" s="170"/>
      <c r="AG330" s="170"/>
      <c r="AH330" s="170"/>
      <c r="AI330" s="170"/>
      <c r="AJ330" s="170"/>
      <c r="AK330" s="170"/>
      <c r="AL330" s="170"/>
      <c r="AM330" s="170"/>
      <c r="AN330" s="170"/>
      <c r="AO330" s="170"/>
      <c r="AP330" s="170"/>
      <c r="AQ330" s="170"/>
      <c r="AR330" s="170"/>
      <c r="AS330" s="170"/>
    </row>
    <row r="331" spans="1:45" ht="15" x14ac:dyDescent="0.25">
      <c r="A331" s="170"/>
      <c r="B331" s="719"/>
      <c r="C331" s="170"/>
      <c r="D331" s="170"/>
      <c r="E331" s="170"/>
      <c r="F331" s="170"/>
      <c r="G331" s="721"/>
      <c r="H331" s="170"/>
      <c r="I331" s="170"/>
      <c r="J331" s="170"/>
      <c r="K331" s="170"/>
      <c r="L331" s="170"/>
      <c r="M331" s="730"/>
      <c r="N331" s="730"/>
      <c r="O331" s="730"/>
      <c r="P331" s="731"/>
      <c r="Q331" s="731"/>
      <c r="R331" s="730"/>
      <c r="S331" s="730"/>
      <c r="T331" s="723"/>
      <c r="U331" s="724"/>
      <c r="V331" s="725"/>
      <c r="W331" s="725"/>
      <c r="X331" s="723"/>
      <c r="Y331" s="723"/>
      <c r="Z331" s="723"/>
      <c r="AA331" s="726"/>
      <c r="AB331" s="726"/>
      <c r="AC331" s="170"/>
      <c r="AD331" s="586"/>
      <c r="AE331" s="586"/>
      <c r="AF331" s="170"/>
      <c r="AG331" s="170"/>
      <c r="AH331" s="170"/>
      <c r="AI331" s="170"/>
      <c r="AJ331" s="170"/>
      <c r="AK331" s="170"/>
      <c r="AL331" s="170"/>
      <c r="AM331" s="170"/>
      <c r="AN331" s="170"/>
      <c r="AO331" s="170"/>
      <c r="AP331" s="170"/>
      <c r="AQ331" s="170"/>
      <c r="AR331" s="170"/>
      <c r="AS331" s="170"/>
    </row>
    <row r="332" spans="1:45" ht="15" x14ac:dyDescent="0.25">
      <c r="A332" s="170"/>
      <c r="B332" s="719"/>
      <c r="C332" s="170"/>
      <c r="D332" s="170"/>
      <c r="E332" s="170"/>
      <c r="F332" s="170"/>
      <c r="G332" s="721"/>
      <c r="H332" s="170"/>
      <c r="I332" s="170"/>
      <c r="J332" s="170"/>
      <c r="K332" s="170"/>
      <c r="L332" s="170"/>
      <c r="M332" s="730"/>
      <c r="N332" s="730"/>
      <c r="O332" s="730"/>
      <c r="P332" s="731"/>
      <c r="Q332" s="731"/>
      <c r="R332" s="730"/>
      <c r="S332" s="730"/>
      <c r="T332" s="723"/>
      <c r="U332" s="724"/>
      <c r="V332" s="725"/>
      <c r="W332" s="725"/>
      <c r="X332" s="723"/>
      <c r="Y332" s="723"/>
      <c r="Z332" s="723"/>
      <c r="AA332" s="726"/>
      <c r="AB332" s="726"/>
      <c r="AC332" s="170"/>
      <c r="AD332" s="586"/>
      <c r="AE332" s="586"/>
      <c r="AF332" s="170"/>
      <c r="AG332" s="170"/>
      <c r="AH332" s="170"/>
      <c r="AI332" s="170"/>
      <c r="AJ332" s="170"/>
      <c r="AK332" s="170"/>
      <c r="AL332" s="170"/>
      <c r="AM332" s="170"/>
      <c r="AN332" s="170"/>
      <c r="AO332" s="170"/>
      <c r="AP332" s="170"/>
      <c r="AQ332" s="170"/>
      <c r="AR332" s="170"/>
      <c r="AS332" s="170"/>
    </row>
    <row r="333" spans="1:45" ht="15" x14ac:dyDescent="0.25">
      <c r="A333" s="170"/>
      <c r="B333" s="719"/>
      <c r="C333" s="170"/>
      <c r="D333" s="170"/>
      <c r="E333" s="170"/>
      <c r="F333" s="170"/>
      <c r="G333" s="721"/>
      <c r="H333" s="170"/>
      <c r="I333" s="170"/>
      <c r="J333" s="170"/>
      <c r="K333" s="170"/>
      <c r="L333" s="170"/>
      <c r="M333" s="730"/>
      <c r="N333" s="730"/>
      <c r="O333" s="730"/>
      <c r="P333" s="731"/>
      <c r="Q333" s="731"/>
      <c r="R333" s="730"/>
      <c r="S333" s="730"/>
      <c r="T333" s="723"/>
      <c r="U333" s="724"/>
      <c r="V333" s="725"/>
      <c r="W333" s="725"/>
      <c r="X333" s="723"/>
      <c r="Y333" s="723"/>
      <c r="Z333" s="723"/>
      <c r="AA333" s="726"/>
      <c r="AB333" s="726"/>
      <c r="AC333" s="170"/>
      <c r="AD333" s="586"/>
      <c r="AE333" s="586"/>
      <c r="AF333" s="170"/>
      <c r="AG333" s="170"/>
      <c r="AH333" s="170"/>
      <c r="AI333" s="170"/>
      <c r="AJ333" s="170"/>
      <c r="AK333" s="170"/>
      <c r="AL333" s="170"/>
      <c r="AM333" s="170"/>
      <c r="AN333" s="170"/>
      <c r="AO333" s="170"/>
      <c r="AP333" s="170"/>
      <c r="AQ333" s="170"/>
      <c r="AR333" s="170"/>
      <c r="AS333" s="170"/>
    </row>
    <row r="334" spans="1:45" ht="15" x14ac:dyDescent="0.25">
      <c r="A334" s="170"/>
      <c r="B334" s="719"/>
      <c r="C334" s="170"/>
      <c r="D334" s="170"/>
      <c r="E334" s="170"/>
      <c r="F334" s="170"/>
      <c r="G334" s="721"/>
      <c r="H334" s="170"/>
      <c r="I334" s="170"/>
      <c r="J334" s="170"/>
      <c r="K334" s="170"/>
      <c r="L334" s="170"/>
      <c r="M334" s="730"/>
      <c r="N334" s="730"/>
      <c r="O334" s="730"/>
      <c r="P334" s="731"/>
      <c r="Q334" s="731"/>
      <c r="R334" s="730"/>
      <c r="S334" s="730"/>
      <c r="T334" s="723"/>
      <c r="U334" s="724"/>
      <c r="V334" s="725"/>
      <c r="W334" s="725"/>
      <c r="X334" s="723"/>
      <c r="Y334" s="723"/>
      <c r="Z334" s="723"/>
      <c r="AA334" s="726"/>
      <c r="AB334" s="726"/>
      <c r="AC334" s="170"/>
      <c r="AD334" s="586"/>
      <c r="AE334" s="586"/>
      <c r="AF334" s="170"/>
      <c r="AG334" s="170"/>
      <c r="AH334" s="170"/>
      <c r="AI334" s="170"/>
      <c r="AJ334" s="170"/>
      <c r="AK334" s="170"/>
      <c r="AL334" s="170"/>
      <c r="AM334" s="170"/>
      <c r="AN334" s="170"/>
      <c r="AO334" s="170"/>
      <c r="AP334" s="170"/>
      <c r="AQ334" s="170"/>
      <c r="AR334" s="170"/>
      <c r="AS334" s="170"/>
    </row>
    <row r="335" spans="1:45" ht="15" x14ac:dyDescent="0.25">
      <c r="A335" s="170"/>
      <c r="B335" s="719"/>
      <c r="C335" s="170"/>
      <c r="D335" s="170"/>
      <c r="E335" s="170"/>
      <c r="F335" s="170"/>
      <c r="G335" s="721"/>
      <c r="H335" s="170"/>
      <c r="I335" s="170"/>
      <c r="J335" s="170"/>
      <c r="K335" s="170"/>
      <c r="L335" s="170"/>
      <c r="M335" s="730"/>
      <c r="N335" s="730"/>
      <c r="O335" s="730"/>
      <c r="P335" s="731"/>
      <c r="Q335" s="731"/>
      <c r="R335" s="730"/>
      <c r="S335" s="730"/>
      <c r="T335" s="723"/>
      <c r="U335" s="724"/>
      <c r="V335" s="725"/>
      <c r="W335" s="725"/>
      <c r="X335" s="723"/>
      <c r="Y335" s="723"/>
      <c r="Z335" s="723"/>
      <c r="AA335" s="726"/>
      <c r="AB335" s="726"/>
      <c r="AC335" s="170"/>
      <c r="AD335" s="586"/>
      <c r="AE335" s="586"/>
      <c r="AF335" s="170"/>
      <c r="AG335" s="170"/>
      <c r="AH335" s="170"/>
      <c r="AI335" s="170"/>
      <c r="AJ335" s="170"/>
      <c r="AK335" s="170"/>
      <c r="AL335" s="170"/>
      <c r="AM335" s="170"/>
      <c r="AN335" s="170"/>
      <c r="AO335" s="170"/>
      <c r="AP335" s="170"/>
      <c r="AQ335" s="170"/>
      <c r="AR335" s="170"/>
      <c r="AS335" s="170"/>
    </row>
    <row r="336" spans="1:45" ht="15" x14ac:dyDescent="0.25">
      <c r="A336" s="170"/>
      <c r="B336" s="719"/>
      <c r="C336" s="170"/>
      <c r="D336" s="170"/>
      <c r="E336" s="170"/>
      <c r="F336" s="170"/>
      <c r="G336" s="721"/>
      <c r="H336" s="170"/>
      <c r="I336" s="170"/>
      <c r="J336" s="170"/>
      <c r="K336" s="170"/>
      <c r="L336" s="170"/>
      <c r="M336" s="730"/>
      <c r="N336" s="730"/>
      <c r="O336" s="730"/>
      <c r="P336" s="731"/>
      <c r="Q336" s="731"/>
      <c r="R336" s="730"/>
      <c r="S336" s="730"/>
      <c r="T336" s="723"/>
      <c r="U336" s="724"/>
      <c r="V336" s="725"/>
      <c r="W336" s="725"/>
      <c r="X336" s="723"/>
      <c r="Y336" s="723"/>
      <c r="Z336" s="723"/>
      <c r="AA336" s="726"/>
      <c r="AB336" s="726"/>
      <c r="AC336" s="170"/>
      <c r="AD336" s="586"/>
      <c r="AE336" s="586"/>
      <c r="AF336" s="170"/>
      <c r="AG336" s="170"/>
      <c r="AH336" s="170"/>
      <c r="AI336" s="170"/>
      <c r="AJ336" s="170"/>
      <c r="AK336" s="170"/>
      <c r="AL336" s="170"/>
      <c r="AM336" s="170"/>
      <c r="AN336" s="170"/>
      <c r="AO336" s="170"/>
      <c r="AP336" s="170"/>
      <c r="AQ336" s="170"/>
      <c r="AR336" s="170"/>
      <c r="AS336" s="170"/>
    </row>
    <row r="337" spans="1:45" ht="15" x14ac:dyDescent="0.25">
      <c r="A337" s="170"/>
      <c r="B337" s="719"/>
      <c r="C337" s="170"/>
      <c r="D337" s="170"/>
      <c r="E337" s="170"/>
      <c r="F337" s="170"/>
      <c r="G337" s="721"/>
      <c r="H337" s="170"/>
      <c r="I337" s="170"/>
      <c r="J337" s="170"/>
      <c r="K337" s="170"/>
      <c r="L337" s="170"/>
      <c r="M337" s="730"/>
      <c r="N337" s="730"/>
      <c r="O337" s="730"/>
      <c r="P337" s="731"/>
      <c r="Q337" s="731"/>
      <c r="R337" s="730"/>
      <c r="S337" s="730"/>
      <c r="T337" s="723"/>
      <c r="U337" s="724"/>
      <c r="V337" s="725"/>
      <c r="W337" s="725"/>
      <c r="X337" s="723"/>
      <c r="Y337" s="723"/>
      <c r="Z337" s="723"/>
      <c r="AA337" s="726"/>
      <c r="AB337" s="726"/>
      <c r="AC337" s="170"/>
      <c r="AD337" s="586"/>
      <c r="AE337" s="586"/>
      <c r="AF337" s="170"/>
      <c r="AG337" s="170"/>
      <c r="AH337" s="170"/>
      <c r="AI337" s="170"/>
      <c r="AJ337" s="170"/>
      <c r="AK337" s="170"/>
      <c r="AL337" s="170"/>
      <c r="AM337" s="170"/>
      <c r="AN337" s="170"/>
      <c r="AO337" s="170"/>
      <c r="AP337" s="170"/>
      <c r="AQ337" s="170"/>
      <c r="AR337" s="170"/>
      <c r="AS337" s="170"/>
    </row>
    <row r="338" spans="1:45" ht="15" x14ac:dyDescent="0.25">
      <c r="A338" s="170"/>
      <c r="B338" s="719"/>
      <c r="C338" s="170"/>
      <c r="D338" s="170"/>
      <c r="E338" s="170"/>
      <c r="F338" s="170"/>
      <c r="G338" s="721"/>
      <c r="H338" s="170"/>
      <c r="I338" s="170"/>
      <c r="J338" s="170"/>
      <c r="K338" s="170"/>
      <c r="L338" s="170"/>
      <c r="M338" s="730"/>
      <c r="N338" s="730"/>
      <c r="O338" s="730"/>
      <c r="P338" s="731"/>
      <c r="Q338" s="731"/>
      <c r="R338" s="730"/>
      <c r="S338" s="730"/>
      <c r="T338" s="723"/>
      <c r="U338" s="724"/>
      <c r="V338" s="725"/>
      <c r="W338" s="725"/>
      <c r="X338" s="723"/>
      <c r="Y338" s="723"/>
      <c r="Z338" s="723"/>
      <c r="AA338" s="726"/>
      <c r="AB338" s="726"/>
      <c r="AC338" s="170"/>
      <c r="AD338" s="586"/>
      <c r="AE338" s="586"/>
      <c r="AF338" s="170"/>
      <c r="AG338" s="170"/>
      <c r="AH338" s="170"/>
      <c r="AI338" s="170"/>
      <c r="AJ338" s="170"/>
      <c r="AK338" s="170"/>
      <c r="AL338" s="170"/>
      <c r="AM338" s="170"/>
      <c r="AN338" s="170"/>
      <c r="AO338" s="170"/>
      <c r="AP338" s="170"/>
      <c r="AQ338" s="170"/>
      <c r="AR338" s="170"/>
      <c r="AS338" s="170"/>
    </row>
    <row r="339" spans="1:45" ht="15" x14ac:dyDescent="0.25">
      <c r="A339" s="170"/>
      <c r="B339" s="719"/>
      <c r="C339" s="170"/>
      <c r="D339" s="170"/>
      <c r="E339" s="170"/>
      <c r="F339" s="170"/>
      <c r="G339" s="721"/>
      <c r="H339" s="170"/>
      <c r="I339" s="170"/>
      <c r="J339" s="170"/>
      <c r="K339" s="170"/>
      <c r="L339" s="170"/>
      <c r="M339" s="730"/>
      <c r="N339" s="730"/>
      <c r="O339" s="730"/>
      <c r="P339" s="731"/>
      <c r="Q339" s="731"/>
      <c r="R339" s="730"/>
      <c r="S339" s="730"/>
      <c r="T339" s="723"/>
      <c r="U339" s="724"/>
      <c r="V339" s="725"/>
      <c r="W339" s="725"/>
      <c r="X339" s="723"/>
      <c r="Y339" s="723"/>
      <c r="Z339" s="723"/>
      <c r="AA339" s="726"/>
      <c r="AB339" s="726"/>
      <c r="AC339" s="170"/>
      <c r="AD339" s="586"/>
      <c r="AE339" s="586"/>
      <c r="AF339" s="170"/>
      <c r="AG339" s="170"/>
      <c r="AH339" s="170"/>
      <c r="AI339" s="170"/>
      <c r="AJ339" s="170"/>
      <c r="AK339" s="170"/>
      <c r="AL339" s="170"/>
      <c r="AM339" s="170"/>
      <c r="AN339" s="170"/>
      <c r="AO339" s="170"/>
      <c r="AP339" s="170"/>
      <c r="AQ339" s="170"/>
      <c r="AR339" s="170"/>
      <c r="AS339" s="170"/>
    </row>
    <row r="340" spans="1:45" ht="15" x14ac:dyDescent="0.25">
      <c r="A340" s="170"/>
      <c r="B340" s="719"/>
      <c r="C340" s="170"/>
      <c r="D340" s="170"/>
      <c r="E340" s="170"/>
      <c r="F340" s="170"/>
      <c r="G340" s="721"/>
      <c r="H340" s="170"/>
      <c r="I340" s="170"/>
      <c r="J340" s="170"/>
      <c r="K340" s="170"/>
      <c r="L340" s="170"/>
      <c r="M340" s="730"/>
      <c r="N340" s="730"/>
      <c r="O340" s="730"/>
      <c r="P340" s="731"/>
      <c r="Q340" s="731"/>
      <c r="R340" s="730"/>
      <c r="S340" s="730"/>
      <c r="T340" s="723"/>
      <c r="U340" s="724"/>
      <c r="V340" s="725"/>
      <c r="W340" s="725"/>
      <c r="X340" s="723"/>
      <c r="Y340" s="723"/>
      <c r="Z340" s="723"/>
      <c r="AA340" s="726"/>
      <c r="AB340" s="726"/>
      <c r="AC340" s="170"/>
      <c r="AD340" s="586"/>
      <c r="AE340" s="586"/>
      <c r="AF340" s="170"/>
      <c r="AG340" s="170"/>
      <c r="AH340" s="170"/>
      <c r="AI340" s="170"/>
      <c r="AJ340" s="170"/>
      <c r="AK340" s="170"/>
      <c r="AL340" s="170"/>
      <c r="AM340" s="170"/>
      <c r="AN340" s="170"/>
      <c r="AO340" s="170"/>
      <c r="AP340" s="170"/>
      <c r="AQ340" s="170"/>
      <c r="AR340" s="170"/>
      <c r="AS340" s="170"/>
    </row>
    <row r="341" spans="1:45" ht="15" x14ac:dyDescent="0.25">
      <c r="A341" s="170"/>
      <c r="B341" s="719"/>
      <c r="C341" s="170"/>
      <c r="D341" s="170"/>
      <c r="E341" s="170"/>
      <c r="F341" s="170"/>
      <c r="G341" s="721"/>
      <c r="H341" s="170"/>
      <c r="I341" s="170"/>
      <c r="J341" s="170"/>
      <c r="K341" s="170"/>
      <c r="L341" s="170"/>
      <c r="M341" s="730"/>
      <c r="N341" s="730"/>
      <c r="O341" s="730"/>
      <c r="P341" s="731"/>
      <c r="Q341" s="731"/>
      <c r="R341" s="730"/>
      <c r="S341" s="730"/>
      <c r="T341" s="723"/>
      <c r="U341" s="724"/>
      <c r="V341" s="725"/>
      <c r="W341" s="725"/>
      <c r="X341" s="723"/>
      <c r="Y341" s="723"/>
      <c r="Z341" s="723"/>
      <c r="AA341" s="726"/>
      <c r="AB341" s="726"/>
      <c r="AC341" s="170"/>
      <c r="AD341" s="586"/>
      <c r="AE341" s="586"/>
      <c r="AF341" s="170"/>
      <c r="AG341" s="170"/>
      <c r="AH341" s="170"/>
      <c r="AI341" s="170"/>
      <c r="AJ341" s="170"/>
      <c r="AK341" s="170"/>
      <c r="AL341" s="170"/>
      <c r="AM341" s="170"/>
      <c r="AN341" s="170"/>
      <c r="AO341" s="170"/>
      <c r="AP341" s="170"/>
      <c r="AQ341" s="170"/>
      <c r="AR341" s="170"/>
      <c r="AS341" s="170"/>
    </row>
    <row r="342" spans="1:45" ht="15" x14ac:dyDescent="0.25">
      <c r="A342" s="170"/>
      <c r="B342" s="719"/>
      <c r="C342" s="170"/>
      <c r="D342" s="170"/>
      <c r="E342" s="170"/>
      <c r="F342" s="170"/>
      <c r="G342" s="721"/>
      <c r="H342" s="170"/>
      <c r="I342" s="170"/>
      <c r="J342" s="170"/>
      <c r="K342" s="170"/>
      <c r="L342" s="170"/>
      <c r="M342" s="730"/>
      <c r="N342" s="730"/>
      <c r="O342" s="730"/>
      <c r="P342" s="731"/>
      <c r="Q342" s="731"/>
      <c r="R342" s="730"/>
      <c r="S342" s="730"/>
      <c r="T342" s="723"/>
      <c r="U342" s="724"/>
      <c r="V342" s="725"/>
      <c r="W342" s="725"/>
      <c r="X342" s="723"/>
      <c r="Y342" s="723"/>
      <c r="Z342" s="723"/>
      <c r="AA342" s="726"/>
      <c r="AB342" s="726"/>
      <c r="AC342" s="170"/>
      <c r="AD342" s="586"/>
      <c r="AE342" s="586"/>
      <c r="AF342" s="170"/>
      <c r="AG342" s="170"/>
      <c r="AH342" s="170"/>
      <c r="AI342" s="170"/>
      <c r="AJ342" s="170"/>
      <c r="AK342" s="170"/>
      <c r="AL342" s="170"/>
      <c r="AM342" s="170"/>
      <c r="AN342" s="170"/>
      <c r="AO342" s="170"/>
      <c r="AP342" s="170"/>
      <c r="AQ342" s="170"/>
      <c r="AR342" s="170"/>
      <c r="AS342" s="170"/>
    </row>
    <row r="343" spans="1:45" ht="15" x14ac:dyDescent="0.25">
      <c r="A343" s="170"/>
      <c r="B343" s="719"/>
      <c r="C343" s="170"/>
      <c r="D343" s="170"/>
      <c r="E343" s="170"/>
      <c r="F343" s="170"/>
      <c r="G343" s="721"/>
      <c r="H343" s="170"/>
      <c r="I343" s="170"/>
      <c r="J343" s="170"/>
      <c r="K343" s="170"/>
      <c r="L343" s="170"/>
      <c r="M343" s="730"/>
      <c r="N343" s="730"/>
      <c r="O343" s="730"/>
      <c r="P343" s="731"/>
      <c r="Q343" s="731"/>
      <c r="R343" s="730"/>
      <c r="S343" s="730"/>
      <c r="T343" s="723"/>
      <c r="U343" s="724"/>
      <c r="V343" s="725"/>
      <c r="W343" s="725"/>
      <c r="X343" s="723"/>
      <c r="Y343" s="723"/>
      <c r="Z343" s="723"/>
      <c r="AA343" s="726"/>
      <c r="AB343" s="726"/>
      <c r="AC343" s="170"/>
      <c r="AD343" s="586"/>
      <c r="AE343" s="586"/>
      <c r="AF343" s="170"/>
      <c r="AG343" s="170"/>
      <c r="AH343" s="170"/>
      <c r="AI343" s="170"/>
      <c r="AJ343" s="170"/>
      <c r="AK343" s="170"/>
      <c r="AL343" s="170"/>
      <c r="AM343" s="170"/>
      <c r="AN343" s="170"/>
      <c r="AO343" s="170"/>
      <c r="AP343" s="170"/>
      <c r="AQ343" s="170"/>
      <c r="AR343" s="170"/>
      <c r="AS343" s="170"/>
    </row>
    <row r="344" spans="1:45" ht="15" x14ac:dyDescent="0.25">
      <c r="A344" s="170"/>
      <c r="B344" s="719"/>
      <c r="C344" s="170"/>
      <c r="D344" s="170"/>
      <c r="E344" s="170"/>
      <c r="F344" s="170"/>
      <c r="G344" s="721"/>
      <c r="H344" s="170"/>
      <c r="I344" s="170"/>
      <c r="J344" s="170"/>
      <c r="K344" s="170"/>
      <c r="L344" s="170"/>
      <c r="M344" s="730"/>
      <c r="N344" s="730"/>
      <c r="O344" s="730"/>
      <c r="P344" s="731"/>
      <c r="Q344" s="731"/>
      <c r="R344" s="730"/>
      <c r="S344" s="730"/>
      <c r="T344" s="723"/>
      <c r="U344" s="724"/>
      <c r="V344" s="725"/>
      <c r="W344" s="725"/>
      <c r="X344" s="723"/>
      <c r="Y344" s="723"/>
      <c r="Z344" s="723"/>
      <c r="AA344" s="726"/>
      <c r="AB344" s="726"/>
      <c r="AC344" s="170"/>
      <c r="AD344" s="586"/>
      <c r="AE344" s="586"/>
      <c r="AF344" s="170"/>
      <c r="AG344" s="170"/>
      <c r="AH344" s="170"/>
      <c r="AI344" s="170"/>
      <c r="AJ344" s="170"/>
      <c r="AK344" s="170"/>
      <c r="AL344" s="170"/>
      <c r="AM344" s="170"/>
      <c r="AN344" s="170"/>
      <c r="AO344" s="170"/>
      <c r="AP344" s="170"/>
      <c r="AQ344" s="170"/>
      <c r="AR344" s="170"/>
      <c r="AS344" s="170"/>
    </row>
    <row r="345" spans="1:45" ht="15" x14ac:dyDescent="0.25">
      <c r="A345" s="170"/>
      <c r="B345" s="719"/>
      <c r="C345" s="170"/>
      <c r="D345" s="170"/>
      <c r="E345" s="170"/>
      <c r="F345" s="170"/>
      <c r="G345" s="721"/>
      <c r="H345" s="170"/>
      <c r="I345" s="170"/>
      <c r="J345" s="170"/>
      <c r="K345" s="170"/>
      <c r="L345" s="170"/>
      <c r="M345" s="730"/>
      <c r="N345" s="730"/>
      <c r="O345" s="730"/>
      <c r="P345" s="731"/>
      <c r="Q345" s="731"/>
      <c r="R345" s="730"/>
      <c r="S345" s="730"/>
      <c r="T345" s="723"/>
      <c r="U345" s="724"/>
      <c r="V345" s="725"/>
      <c r="W345" s="725"/>
      <c r="X345" s="723"/>
      <c r="Y345" s="723"/>
      <c r="Z345" s="723"/>
      <c r="AA345" s="726"/>
      <c r="AB345" s="726"/>
      <c r="AC345" s="170"/>
      <c r="AD345" s="586"/>
      <c r="AE345" s="586"/>
      <c r="AF345" s="170"/>
      <c r="AG345" s="170"/>
      <c r="AH345" s="170"/>
      <c r="AI345" s="170"/>
      <c r="AJ345" s="170"/>
      <c r="AK345" s="170"/>
      <c r="AL345" s="170"/>
      <c r="AM345" s="170"/>
      <c r="AN345" s="170"/>
      <c r="AO345" s="170"/>
      <c r="AP345" s="170"/>
      <c r="AQ345" s="170"/>
      <c r="AR345" s="170"/>
      <c r="AS345" s="170"/>
    </row>
    <row r="346" spans="1:45" ht="15" x14ac:dyDescent="0.25">
      <c r="A346" s="170"/>
      <c r="B346" s="719"/>
      <c r="C346" s="170"/>
      <c r="D346" s="170"/>
      <c r="E346" s="170"/>
      <c r="F346" s="170"/>
      <c r="G346" s="721"/>
      <c r="H346" s="170"/>
      <c r="I346" s="170"/>
      <c r="J346" s="170"/>
      <c r="K346" s="170"/>
      <c r="L346" s="170"/>
      <c r="M346" s="730"/>
      <c r="N346" s="730"/>
      <c r="O346" s="730"/>
      <c r="P346" s="731"/>
      <c r="Q346" s="731"/>
      <c r="R346" s="730"/>
      <c r="S346" s="730"/>
      <c r="T346" s="723"/>
      <c r="U346" s="724"/>
      <c r="V346" s="725"/>
      <c r="W346" s="725"/>
      <c r="X346" s="723"/>
      <c r="Y346" s="723"/>
      <c r="Z346" s="723"/>
      <c r="AA346" s="726"/>
      <c r="AB346" s="726"/>
      <c r="AC346" s="170"/>
      <c r="AD346" s="586"/>
      <c r="AE346" s="586"/>
      <c r="AF346" s="170"/>
      <c r="AG346" s="170"/>
      <c r="AH346" s="170"/>
      <c r="AI346" s="170"/>
      <c r="AJ346" s="170"/>
      <c r="AK346" s="170"/>
      <c r="AL346" s="170"/>
      <c r="AM346" s="170"/>
      <c r="AN346" s="170"/>
      <c r="AO346" s="170"/>
      <c r="AP346" s="170"/>
      <c r="AQ346" s="170"/>
      <c r="AR346" s="170"/>
      <c r="AS346" s="170"/>
    </row>
    <row r="347" spans="1:45" ht="15" x14ac:dyDescent="0.25">
      <c r="A347" s="170"/>
      <c r="B347" s="719"/>
      <c r="C347" s="170"/>
      <c r="D347" s="170"/>
      <c r="E347" s="170"/>
      <c r="F347" s="170"/>
      <c r="G347" s="721"/>
      <c r="H347" s="170"/>
      <c r="I347" s="170"/>
      <c r="J347" s="170"/>
      <c r="K347" s="170"/>
      <c r="L347" s="170"/>
      <c r="M347" s="730"/>
      <c r="N347" s="730"/>
      <c r="O347" s="730"/>
      <c r="P347" s="731"/>
      <c r="Q347" s="731"/>
      <c r="R347" s="730"/>
      <c r="S347" s="730"/>
      <c r="T347" s="723"/>
      <c r="U347" s="724"/>
      <c r="V347" s="725"/>
      <c r="W347" s="725"/>
      <c r="X347" s="723"/>
      <c r="Y347" s="723"/>
      <c r="Z347" s="723"/>
      <c r="AA347" s="726"/>
      <c r="AB347" s="726"/>
      <c r="AC347" s="170"/>
      <c r="AD347" s="586"/>
      <c r="AE347" s="586"/>
      <c r="AF347" s="170"/>
      <c r="AG347" s="170"/>
      <c r="AH347" s="170"/>
      <c r="AI347" s="170"/>
      <c r="AJ347" s="170"/>
      <c r="AK347" s="170"/>
      <c r="AL347" s="170"/>
      <c r="AM347" s="170"/>
      <c r="AN347" s="170"/>
      <c r="AO347" s="170"/>
      <c r="AP347" s="170"/>
      <c r="AQ347" s="170"/>
      <c r="AR347" s="170"/>
      <c r="AS347" s="170"/>
    </row>
    <row r="348" spans="1:45" ht="15" x14ac:dyDescent="0.25">
      <c r="A348" s="170"/>
      <c r="B348" s="719"/>
      <c r="C348" s="170"/>
      <c r="D348" s="170"/>
      <c r="E348" s="170"/>
      <c r="F348" s="170"/>
      <c r="G348" s="721"/>
      <c r="H348" s="170"/>
      <c r="I348" s="170"/>
      <c r="J348" s="170"/>
      <c r="K348" s="170"/>
      <c r="L348" s="170"/>
      <c r="M348" s="730"/>
      <c r="N348" s="730"/>
      <c r="O348" s="730"/>
      <c r="P348" s="731"/>
      <c r="Q348" s="731"/>
      <c r="R348" s="730"/>
      <c r="S348" s="730"/>
      <c r="T348" s="723"/>
      <c r="U348" s="724"/>
      <c r="V348" s="725"/>
      <c r="W348" s="725"/>
      <c r="X348" s="723"/>
      <c r="Y348" s="723"/>
      <c r="Z348" s="723"/>
      <c r="AA348" s="726"/>
      <c r="AB348" s="726"/>
      <c r="AC348" s="170"/>
      <c r="AD348" s="586"/>
      <c r="AE348" s="586"/>
      <c r="AF348" s="170"/>
      <c r="AG348" s="170"/>
      <c r="AH348" s="170"/>
      <c r="AI348" s="170"/>
      <c r="AJ348" s="170"/>
      <c r="AK348" s="170"/>
      <c r="AL348" s="170"/>
      <c r="AM348" s="170"/>
      <c r="AN348" s="170"/>
      <c r="AO348" s="170"/>
      <c r="AP348" s="170"/>
      <c r="AQ348" s="170"/>
      <c r="AR348" s="170"/>
      <c r="AS348" s="170"/>
    </row>
    <row r="349" spans="1:45" ht="15" x14ac:dyDescent="0.25">
      <c r="A349" s="170"/>
      <c r="B349" s="719"/>
      <c r="C349" s="170"/>
      <c r="D349" s="170"/>
      <c r="E349" s="170"/>
      <c r="F349" s="170"/>
      <c r="G349" s="721"/>
      <c r="H349" s="170"/>
      <c r="I349" s="170"/>
      <c r="J349" s="170"/>
      <c r="K349" s="170"/>
      <c r="L349" s="170"/>
      <c r="M349" s="730"/>
      <c r="N349" s="730"/>
      <c r="O349" s="730"/>
      <c r="P349" s="731"/>
      <c r="Q349" s="731"/>
      <c r="R349" s="730"/>
      <c r="S349" s="730"/>
      <c r="T349" s="723"/>
      <c r="U349" s="724"/>
      <c r="V349" s="725"/>
      <c r="W349" s="725"/>
      <c r="X349" s="723"/>
      <c r="Y349" s="723"/>
      <c r="Z349" s="723"/>
      <c r="AA349" s="726"/>
      <c r="AB349" s="726"/>
      <c r="AC349" s="170"/>
      <c r="AD349" s="586"/>
      <c r="AE349" s="586"/>
      <c r="AF349" s="170"/>
      <c r="AG349" s="170"/>
      <c r="AH349" s="170"/>
      <c r="AI349" s="170"/>
      <c r="AJ349" s="170"/>
      <c r="AK349" s="170"/>
      <c r="AL349" s="170"/>
      <c r="AM349" s="170"/>
      <c r="AN349" s="170"/>
      <c r="AO349" s="170"/>
      <c r="AP349" s="170"/>
      <c r="AQ349" s="170"/>
      <c r="AR349" s="170"/>
      <c r="AS349" s="170"/>
    </row>
    <row r="350" spans="1:45" ht="15" x14ac:dyDescent="0.25">
      <c r="A350" s="170"/>
      <c r="B350" s="719"/>
      <c r="C350" s="170"/>
      <c r="D350" s="170"/>
      <c r="E350" s="170"/>
      <c r="F350" s="170"/>
      <c r="G350" s="721"/>
      <c r="H350" s="170"/>
      <c r="I350" s="170"/>
      <c r="J350" s="170"/>
      <c r="K350" s="170"/>
      <c r="L350" s="170"/>
      <c r="M350" s="730"/>
      <c r="N350" s="730"/>
      <c r="O350" s="730"/>
      <c r="P350" s="731"/>
      <c r="Q350" s="731"/>
      <c r="R350" s="730"/>
      <c r="S350" s="730"/>
      <c r="T350" s="723"/>
      <c r="U350" s="724"/>
      <c r="V350" s="725"/>
      <c r="W350" s="725"/>
      <c r="X350" s="723"/>
      <c r="Y350" s="723"/>
      <c r="Z350" s="723"/>
      <c r="AA350" s="726"/>
      <c r="AB350" s="726"/>
      <c r="AC350" s="170"/>
      <c r="AD350" s="586"/>
      <c r="AE350" s="586"/>
      <c r="AF350" s="170"/>
      <c r="AG350" s="170"/>
      <c r="AH350" s="170"/>
      <c r="AI350" s="170"/>
      <c r="AJ350" s="170"/>
      <c r="AK350" s="170"/>
      <c r="AL350" s="170"/>
      <c r="AM350" s="170"/>
      <c r="AN350" s="170"/>
      <c r="AO350" s="170"/>
      <c r="AP350" s="170"/>
      <c r="AQ350" s="170"/>
      <c r="AR350" s="170"/>
      <c r="AS350" s="170"/>
    </row>
    <row r="351" spans="1:45" ht="15" x14ac:dyDescent="0.25">
      <c r="A351" s="170"/>
      <c r="B351" s="719"/>
      <c r="C351" s="170"/>
      <c r="D351" s="170"/>
      <c r="E351" s="170"/>
      <c r="F351" s="170"/>
      <c r="G351" s="721"/>
      <c r="H351" s="170"/>
      <c r="I351" s="170"/>
      <c r="J351" s="170"/>
      <c r="K351" s="170"/>
      <c r="L351" s="170"/>
      <c r="M351" s="730"/>
      <c r="N351" s="730"/>
      <c r="O351" s="730"/>
      <c r="P351" s="731"/>
      <c r="Q351" s="731"/>
      <c r="R351" s="730"/>
      <c r="S351" s="730"/>
      <c r="T351" s="723"/>
      <c r="U351" s="724"/>
      <c r="V351" s="725"/>
      <c r="W351" s="725"/>
      <c r="X351" s="723"/>
      <c r="Y351" s="723"/>
      <c r="Z351" s="723"/>
      <c r="AA351" s="726"/>
      <c r="AB351" s="726"/>
      <c r="AC351" s="170"/>
      <c r="AD351" s="586"/>
      <c r="AE351" s="586"/>
      <c r="AF351" s="170"/>
      <c r="AG351" s="170"/>
      <c r="AH351" s="170"/>
      <c r="AI351" s="170"/>
      <c r="AJ351" s="170"/>
      <c r="AK351" s="170"/>
      <c r="AL351" s="170"/>
      <c r="AM351" s="170"/>
      <c r="AN351" s="170"/>
      <c r="AO351" s="170"/>
      <c r="AP351" s="170"/>
      <c r="AQ351" s="170"/>
      <c r="AR351" s="170"/>
      <c r="AS351" s="170"/>
    </row>
    <row r="352" spans="1:45" ht="15" x14ac:dyDescent="0.25">
      <c r="A352" s="170"/>
      <c r="B352" s="719"/>
      <c r="C352" s="170"/>
      <c r="D352" s="170"/>
      <c r="E352" s="170"/>
      <c r="F352" s="170"/>
      <c r="G352" s="721"/>
      <c r="H352" s="170"/>
      <c r="I352" s="170"/>
      <c r="J352" s="170"/>
      <c r="K352" s="170"/>
      <c r="L352" s="170"/>
      <c r="M352" s="730"/>
      <c r="N352" s="730"/>
      <c r="O352" s="730"/>
      <c r="P352" s="731"/>
      <c r="Q352" s="731"/>
      <c r="R352" s="730"/>
      <c r="S352" s="730"/>
      <c r="T352" s="723"/>
      <c r="U352" s="724"/>
      <c r="V352" s="725"/>
      <c r="W352" s="725"/>
      <c r="X352" s="723"/>
      <c r="Y352" s="723"/>
      <c r="Z352" s="723"/>
      <c r="AA352" s="726"/>
      <c r="AB352" s="726"/>
      <c r="AC352" s="170"/>
      <c r="AD352" s="586"/>
      <c r="AE352" s="586"/>
      <c r="AF352" s="170"/>
      <c r="AG352" s="170"/>
      <c r="AH352" s="170"/>
      <c r="AI352" s="170"/>
      <c r="AJ352" s="170"/>
      <c r="AK352" s="170"/>
      <c r="AL352" s="170"/>
      <c r="AM352" s="170"/>
      <c r="AN352" s="170"/>
      <c r="AO352" s="170"/>
      <c r="AP352" s="170"/>
      <c r="AQ352" s="170"/>
      <c r="AR352" s="170"/>
      <c r="AS352" s="170"/>
    </row>
    <row r="353" spans="1:45" ht="15" x14ac:dyDescent="0.25">
      <c r="A353" s="170"/>
      <c r="B353" s="719"/>
      <c r="C353" s="170"/>
      <c r="D353" s="170"/>
      <c r="E353" s="170"/>
      <c r="F353" s="170"/>
      <c r="G353" s="721"/>
      <c r="H353" s="170"/>
      <c r="I353" s="170"/>
      <c r="J353" s="170"/>
      <c r="K353" s="170"/>
      <c r="L353" s="170"/>
      <c r="M353" s="730"/>
      <c r="N353" s="730"/>
      <c r="O353" s="730"/>
      <c r="P353" s="731"/>
      <c r="Q353" s="731"/>
      <c r="R353" s="730"/>
      <c r="S353" s="730"/>
      <c r="T353" s="723"/>
      <c r="U353" s="724"/>
      <c r="V353" s="725"/>
      <c r="W353" s="725"/>
      <c r="X353" s="723"/>
      <c r="Y353" s="723"/>
      <c r="Z353" s="723"/>
      <c r="AA353" s="726"/>
      <c r="AB353" s="726"/>
      <c r="AC353" s="170"/>
      <c r="AD353" s="586"/>
      <c r="AE353" s="586"/>
      <c r="AF353" s="170"/>
      <c r="AG353" s="170"/>
      <c r="AH353" s="170"/>
      <c r="AI353" s="170"/>
      <c r="AJ353" s="170"/>
      <c r="AK353" s="170"/>
      <c r="AL353" s="170"/>
      <c r="AM353" s="170"/>
      <c r="AN353" s="170"/>
      <c r="AO353" s="170"/>
      <c r="AP353" s="170"/>
      <c r="AQ353" s="170"/>
      <c r="AR353" s="170"/>
      <c r="AS353" s="170"/>
    </row>
    <row r="354" spans="1:45" ht="15" x14ac:dyDescent="0.25">
      <c r="A354" s="170"/>
      <c r="B354" s="719"/>
      <c r="C354" s="170"/>
      <c r="D354" s="170"/>
      <c r="E354" s="170"/>
      <c r="F354" s="170"/>
      <c r="G354" s="721"/>
      <c r="H354" s="170"/>
      <c r="I354" s="170"/>
      <c r="J354" s="170"/>
      <c r="K354" s="170"/>
      <c r="L354" s="170"/>
      <c r="M354" s="730"/>
      <c r="N354" s="730"/>
      <c r="O354" s="730"/>
      <c r="P354" s="731"/>
      <c r="Q354" s="731"/>
      <c r="R354" s="730"/>
      <c r="S354" s="730"/>
      <c r="T354" s="723"/>
      <c r="U354" s="724"/>
      <c r="V354" s="725"/>
      <c r="W354" s="725"/>
      <c r="X354" s="723"/>
      <c r="Y354" s="723"/>
      <c r="Z354" s="723"/>
      <c r="AA354" s="726"/>
      <c r="AB354" s="726"/>
      <c r="AC354" s="170"/>
      <c r="AD354" s="586"/>
      <c r="AE354" s="586"/>
      <c r="AF354" s="170"/>
      <c r="AG354" s="170"/>
      <c r="AH354" s="170"/>
      <c r="AI354" s="170"/>
      <c r="AJ354" s="170"/>
      <c r="AK354" s="170"/>
      <c r="AL354" s="170"/>
      <c r="AM354" s="170"/>
      <c r="AN354" s="170"/>
      <c r="AO354" s="170"/>
      <c r="AP354" s="170"/>
      <c r="AQ354" s="170"/>
      <c r="AR354" s="170"/>
      <c r="AS354" s="170"/>
    </row>
    <row r="355" spans="1:45" ht="15" x14ac:dyDescent="0.25">
      <c r="A355" s="170"/>
      <c r="B355" s="719"/>
      <c r="C355" s="170"/>
      <c r="D355" s="170"/>
      <c r="E355" s="170"/>
      <c r="F355" s="170"/>
      <c r="G355" s="721"/>
      <c r="H355" s="170"/>
      <c r="I355" s="170"/>
      <c r="J355" s="170"/>
      <c r="K355" s="170"/>
      <c r="L355" s="170"/>
      <c r="M355" s="730"/>
      <c r="N355" s="730"/>
      <c r="O355" s="730"/>
      <c r="P355" s="731"/>
      <c r="Q355" s="731"/>
      <c r="R355" s="730"/>
      <c r="S355" s="730"/>
      <c r="T355" s="723"/>
      <c r="U355" s="724"/>
      <c r="V355" s="725"/>
      <c r="W355" s="725"/>
      <c r="X355" s="723"/>
      <c r="Y355" s="723"/>
      <c r="Z355" s="723"/>
      <c r="AA355" s="726"/>
      <c r="AB355" s="726"/>
      <c r="AC355" s="170"/>
      <c r="AD355" s="586"/>
      <c r="AE355" s="586"/>
      <c r="AF355" s="170"/>
      <c r="AG355" s="170"/>
      <c r="AH355" s="170"/>
      <c r="AI355" s="170"/>
      <c r="AJ355" s="170"/>
      <c r="AK355" s="170"/>
      <c r="AL355" s="170"/>
      <c r="AM355" s="170"/>
      <c r="AN355" s="170"/>
      <c r="AO355" s="170"/>
      <c r="AP355" s="170"/>
      <c r="AQ355" s="170"/>
      <c r="AR355" s="170"/>
      <c r="AS355" s="170"/>
    </row>
    <row r="356" spans="1:45" ht="15" x14ac:dyDescent="0.25">
      <c r="A356" s="170"/>
      <c r="B356" s="719"/>
      <c r="C356" s="170"/>
      <c r="D356" s="170"/>
      <c r="E356" s="170"/>
      <c r="F356" s="170"/>
      <c r="G356" s="721"/>
      <c r="H356" s="170"/>
      <c r="I356" s="170"/>
      <c r="J356" s="170"/>
      <c r="K356" s="170"/>
      <c r="L356" s="170"/>
      <c r="M356" s="730"/>
      <c r="N356" s="730"/>
      <c r="O356" s="730"/>
      <c r="P356" s="731"/>
      <c r="Q356" s="731"/>
      <c r="R356" s="730"/>
      <c r="S356" s="730"/>
      <c r="T356" s="723"/>
      <c r="U356" s="724"/>
      <c r="V356" s="725"/>
      <c r="W356" s="725"/>
      <c r="X356" s="723"/>
      <c r="Y356" s="723"/>
      <c r="Z356" s="723"/>
      <c r="AA356" s="726"/>
      <c r="AB356" s="726"/>
      <c r="AC356" s="170"/>
      <c r="AD356" s="586"/>
      <c r="AE356" s="586"/>
      <c r="AF356" s="170"/>
      <c r="AG356" s="170"/>
      <c r="AH356" s="170"/>
      <c r="AI356" s="170"/>
      <c r="AJ356" s="170"/>
      <c r="AK356" s="170"/>
      <c r="AL356" s="170"/>
      <c r="AM356" s="170"/>
      <c r="AN356" s="170"/>
      <c r="AO356" s="170"/>
      <c r="AP356" s="170"/>
      <c r="AQ356" s="170"/>
      <c r="AR356" s="170"/>
      <c r="AS356" s="170"/>
    </row>
    <row r="357" spans="1:45" ht="15" x14ac:dyDescent="0.25">
      <c r="A357" s="170"/>
      <c r="B357" s="719"/>
      <c r="C357" s="170"/>
      <c r="D357" s="170"/>
      <c r="E357" s="170"/>
      <c r="F357" s="170"/>
      <c r="G357" s="721"/>
      <c r="H357" s="170"/>
      <c r="I357" s="170"/>
      <c r="J357" s="170"/>
      <c r="K357" s="170"/>
      <c r="L357" s="170"/>
      <c r="M357" s="730"/>
      <c r="N357" s="730"/>
      <c r="O357" s="730"/>
      <c r="P357" s="731"/>
      <c r="Q357" s="731"/>
      <c r="R357" s="730"/>
      <c r="S357" s="730"/>
      <c r="T357" s="723"/>
      <c r="U357" s="724"/>
      <c r="V357" s="725"/>
      <c r="W357" s="725"/>
      <c r="X357" s="723"/>
      <c r="Y357" s="723"/>
      <c r="Z357" s="723"/>
      <c r="AA357" s="726"/>
      <c r="AB357" s="726"/>
      <c r="AC357" s="170"/>
      <c r="AD357" s="586"/>
      <c r="AE357" s="586"/>
      <c r="AF357" s="170"/>
      <c r="AG357" s="170"/>
      <c r="AH357" s="170"/>
      <c r="AI357" s="170"/>
      <c r="AJ357" s="170"/>
      <c r="AK357" s="170"/>
      <c r="AL357" s="170"/>
      <c r="AM357" s="170"/>
      <c r="AN357" s="170"/>
      <c r="AO357" s="170"/>
      <c r="AP357" s="170"/>
      <c r="AQ357" s="170"/>
      <c r="AR357" s="170"/>
      <c r="AS357" s="170"/>
    </row>
    <row r="358" spans="1:45" ht="15" x14ac:dyDescent="0.25">
      <c r="A358" s="170"/>
      <c r="B358" s="719"/>
      <c r="C358" s="170"/>
      <c r="D358" s="170"/>
      <c r="E358" s="170"/>
      <c r="F358" s="170"/>
      <c r="G358" s="721"/>
      <c r="H358" s="170"/>
      <c r="I358" s="170"/>
      <c r="J358" s="170"/>
      <c r="K358" s="170"/>
      <c r="L358" s="170"/>
      <c r="M358" s="730"/>
      <c r="N358" s="730"/>
      <c r="O358" s="730"/>
      <c r="P358" s="731"/>
      <c r="Q358" s="731"/>
      <c r="R358" s="730"/>
      <c r="S358" s="730"/>
      <c r="T358" s="723"/>
      <c r="U358" s="724"/>
      <c r="V358" s="725"/>
      <c r="W358" s="725"/>
      <c r="X358" s="723"/>
      <c r="Y358" s="723"/>
      <c r="Z358" s="723"/>
      <c r="AA358" s="726"/>
      <c r="AB358" s="726"/>
      <c r="AC358" s="170"/>
      <c r="AD358" s="586"/>
      <c r="AE358" s="586"/>
      <c r="AF358" s="170"/>
      <c r="AG358" s="170"/>
      <c r="AH358" s="170"/>
      <c r="AI358" s="170"/>
      <c r="AJ358" s="170"/>
      <c r="AK358" s="170"/>
      <c r="AL358" s="170"/>
      <c r="AM358" s="170"/>
      <c r="AN358" s="170"/>
      <c r="AO358" s="170"/>
      <c r="AP358" s="170"/>
      <c r="AQ358" s="170"/>
      <c r="AR358" s="170"/>
      <c r="AS358" s="170"/>
    </row>
    <row r="359" spans="1:45" ht="15" x14ac:dyDescent="0.25">
      <c r="A359" s="170"/>
      <c r="B359" s="719"/>
      <c r="C359" s="170"/>
      <c r="D359" s="170"/>
      <c r="E359" s="170"/>
      <c r="F359" s="170"/>
      <c r="G359" s="721"/>
      <c r="H359" s="170"/>
      <c r="I359" s="170"/>
      <c r="J359" s="170"/>
      <c r="K359" s="170"/>
      <c r="L359" s="170"/>
      <c r="M359" s="730"/>
      <c r="N359" s="730"/>
      <c r="O359" s="730"/>
      <c r="P359" s="731"/>
      <c r="Q359" s="731"/>
      <c r="R359" s="730"/>
      <c r="S359" s="730"/>
      <c r="T359" s="723"/>
      <c r="U359" s="724"/>
      <c r="V359" s="725"/>
      <c r="W359" s="725"/>
      <c r="X359" s="723"/>
      <c r="Y359" s="723"/>
      <c r="Z359" s="723"/>
      <c r="AA359" s="726"/>
      <c r="AB359" s="726"/>
      <c r="AC359" s="170"/>
      <c r="AD359" s="586"/>
      <c r="AE359" s="586"/>
      <c r="AF359" s="170"/>
      <c r="AG359" s="170"/>
      <c r="AH359" s="170"/>
      <c r="AI359" s="170"/>
      <c r="AJ359" s="170"/>
      <c r="AK359" s="170"/>
      <c r="AL359" s="170"/>
      <c r="AM359" s="170"/>
      <c r="AN359" s="170"/>
      <c r="AO359" s="170"/>
      <c r="AP359" s="170"/>
      <c r="AQ359" s="170"/>
      <c r="AR359" s="170"/>
      <c r="AS359" s="170"/>
    </row>
    <row r="360" spans="1:45" ht="15" x14ac:dyDescent="0.25">
      <c r="A360" s="170"/>
      <c r="B360" s="719"/>
      <c r="C360" s="170"/>
      <c r="D360" s="170"/>
      <c r="E360" s="170"/>
      <c r="F360" s="170"/>
      <c r="G360" s="721"/>
      <c r="H360" s="170"/>
      <c r="I360" s="170"/>
      <c r="J360" s="170"/>
      <c r="K360" s="170"/>
      <c r="L360" s="170"/>
      <c r="M360" s="730"/>
      <c r="N360" s="730"/>
      <c r="O360" s="730"/>
      <c r="P360" s="731"/>
      <c r="Q360" s="731"/>
      <c r="R360" s="730"/>
      <c r="S360" s="730"/>
      <c r="T360" s="723"/>
      <c r="U360" s="724"/>
      <c r="V360" s="725"/>
      <c r="W360" s="725"/>
      <c r="X360" s="723"/>
      <c r="Y360" s="723"/>
      <c r="Z360" s="723"/>
      <c r="AA360" s="726"/>
      <c r="AB360" s="726"/>
      <c r="AC360" s="170"/>
      <c r="AD360" s="586"/>
      <c r="AE360" s="586"/>
      <c r="AF360" s="170"/>
      <c r="AG360" s="170"/>
      <c r="AH360" s="170"/>
      <c r="AI360" s="170"/>
      <c r="AJ360" s="170"/>
      <c r="AK360" s="170"/>
      <c r="AL360" s="170"/>
      <c r="AM360" s="170"/>
      <c r="AN360" s="170"/>
      <c r="AO360" s="170"/>
      <c r="AP360" s="170"/>
      <c r="AQ360" s="170"/>
      <c r="AR360" s="170"/>
      <c r="AS360" s="170"/>
    </row>
    <row r="361" spans="1:45" ht="15" x14ac:dyDescent="0.25">
      <c r="A361" s="170"/>
      <c r="B361" s="719"/>
      <c r="C361" s="170"/>
      <c r="D361" s="170"/>
      <c r="E361" s="170"/>
      <c r="F361" s="170"/>
      <c r="G361" s="721"/>
      <c r="H361" s="170"/>
      <c r="I361" s="170"/>
      <c r="J361" s="170"/>
      <c r="K361" s="170"/>
      <c r="L361" s="170"/>
      <c r="M361" s="730"/>
      <c r="N361" s="730"/>
      <c r="O361" s="730"/>
      <c r="P361" s="731"/>
      <c r="Q361" s="731"/>
      <c r="R361" s="730"/>
      <c r="S361" s="730"/>
      <c r="T361" s="723"/>
      <c r="U361" s="724"/>
      <c r="V361" s="725"/>
      <c r="W361" s="725"/>
      <c r="X361" s="723"/>
      <c r="Y361" s="723"/>
      <c r="Z361" s="723"/>
      <c r="AA361" s="726"/>
      <c r="AB361" s="726"/>
      <c r="AC361" s="170"/>
      <c r="AD361" s="586"/>
      <c r="AE361" s="586"/>
      <c r="AF361" s="170"/>
      <c r="AG361" s="170"/>
      <c r="AH361" s="170"/>
      <c r="AI361" s="170"/>
      <c r="AJ361" s="170"/>
      <c r="AK361" s="170"/>
      <c r="AL361" s="170"/>
      <c r="AM361" s="170"/>
      <c r="AN361" s="170"/>
      <c r="AO361" s="170"/>
      <c r="AP361" s="170"/>
      <c r="AQ361" s="170"/>
      <c r="AR361" s="170"/>
      <c r="AS361" s="170"/>
    </row>
    <row r="362" spans="1:45" ht="15" x14ac:dyDescent="0.25">
      <c r="A362" s="170"/>
      <c r="B362" s="719"/>
      <c r="C362" s="170"/>
      <c r="D362" s="170"/>
      <c r="E362" s="170"/>
      <c r="F362" s="170"/>
      <c r="G362" s="721"/>
      <c r="H362" s="170"/>
      <c r="I362" s="170"/>
      <c r="J362" s="170"/>
      <c r="K362" s="170"/>
      <c r="L362" s="170"/>
      <c r="M362" s="730"/>
      <c r="N362" s="730"/>
      <c r="O362" s="730"/>
      <c r="P362" s="731"/>
      <c r="Q362" s="731"/>
      <c r="R362" s="730"/>
      <c r="S362" s="730"/>
      <c r="T362" s="723"/>
      <c r="U362" s="724"/>
      <c r="V362" s="725"/>
      <c r="W362" s="725"/>
      <c r="X362" s="723"/>
      <c r="Y362" s="723"/>
      <c r="Z362" s="723"/>
      <c r="AA362" s="726"/>
      <c r="AB362" s="726"/>
      <c r="AC362" s="170"/>
      <c r="AD362" s="586"/>
      <c r="AE362" s="586"/>
      <c r="AF362" s="170"/>
      <c r="AG362" s="170"/>
      <c r="AH362" s="170"/>
      <c r="AI362" s="170"/>
      <c r="AJ362" s="170"/>
      <c r="AK362" s="170"/>
      <c r="AL362" s="170"/>
      <c r="AM362" s="170"/>
      <c r="AN362" s="170"/>
      <c r="AO362" s="170"/>
      <c r="AP362" s="170"/>
      <c r="AQ362" s="170"/>
      <c r="AR362" s="170"/>
      <c r="AS362" s="170"/>
    </row>
    <row r="363" spans="1:45" ht="15" x14ac:dyDescent="0.25">
      <c r="A363" s="170"/>
      <c r="B363" s="719"/>
      <c r="C363" s="170"/>
      <c r="D363" s="170"/>
      <c r="E363" s="170"/>
      <c r="F363" s="170"/>
      <c r="G363" s="721"/>
      <c r="H363" s="170"/>
      <c r="I363" s="170"/>
      <c r="J363" s="170"/>
      <c r="K363" s="170"/>
      <c r="L363" s="170"/>
      <c r="M363" s="730"/>
      <c r="N363" s="730"/>
      <c r="O363" s="730"/>
      <c r="P363" s="731"/>
      <c r="Q363" s="731"/>
      <c r="R363" s="730"/>
      <c r="S363" s="730"/>
      <c r="T363" s="723"/>
      <c r="U363" s="724"/>
      <c r="V363" s="725"/>
      <c r="W363" s="725"/>
      <c r="X363" s="723"/>
      <c r="Y363" s="723"/>
      <c r="Z363" s="723"/>
      <c r="AA363" s="726"/>
      <c r="AB363" s="726"/>
      <c r="AC363" s="170"/>
      <c r="AD363" s="586"/>
      <c r="AE363" s="586"/>
      <c r="AF363" s="170"/>
      <c r="AG363" s="170"/>
      <c r="AH363" s="170"/>
      <c r="AI363" s="170"/>
      <c r="AJ363" s="170"/>
      <c r="AK363" s="170"/>
      <c r="AL363" s="170"/>
      <c r="AM363" s="170"/>
      <c r="AN363" s="170"/>
      <c r="AO363" s="170"/>
      <c r="AP363" s="170"/>
      <c r="AQ363" s="170"/>
      <c r="AR363" s="170"/>
      <c r="AS363" s="170"/>
    </row>
    <row r="364" spans="1:45" ht="15" x14ac:dyDescent="0.25">
      <c r="A364" s="170"/>
      <c r="B364" s="719"/>
      <c r="C364" s="170"/>
      <c r="D364" s="170"/>
      <c r="E364" s="170"/>
      <c r="F364" s="170"/>
      <c r="G364" s="721"/>
      <c r="H364" s="170"/>
      <c r="I364" s="170"/>
      <c r="J364" s="170"/>
      <c r="K364" s="170"/>
      <c r="L364" s="170"/>
      <c r="M364" s="730"/>
      <c r="N364" s="730"/>
      <c r="O364" s="730"/>
      <c r="P364" s="731"/>
      <c r="Q364" s="731"/>
      <c r="R364" s="730"/>
      <c r="S364" s="730"/>
      <c r="T364" s="723"/>
      <c r="U364" s="724"/>
      <c r="V364" s="725"/>
      <c r="W364" s="725"/>
      <c r="X364" s="723"/>
      <c r="Y364" s="723"/>
      <c r="Z364" s="723"/>
      <c r="AA364" s="726"/>
      <c r="AB364" s="726"/>
      <c r="AC364" s="170"/>
      <c r="AD364" s="586"/>
      <c r="AE364" s="586"/>
      <c r="AF364" s="170"/>
      <c r="AG364" s="170"/>
      <c r="AH364" s="170"/>
      <c r="AI364" s="170"/>
      <c r="AJ364" s="170"/>
      <c r="AK364" s="170"/>
      <c r="AL364" s="170"/>
      <c r="AM364" s="170"/>
      <c r="AN364" s="170"/>
      <c r="AO364" s="170"/>
      <c r="AP364" s="170"/>
      <c r="AQ364" s="170"/>
      <c r="AR364" s="170"/>
      <c r="AS364" s="170"/>
    </row>
    <row r="365" spans="1:45" ht="15" x14ac:dyDescent="0.25">
      <c r="A365" s="170"/>
      <c r="B365" s="719"/>
      <c r="C365" s="170"/>
      <c r="D365" s="170"/>
      <c r="E365" s="170"/>
      <c r="F365" s="170"/>
      <c r="G365" s="721"/>
      <c r="H365" s="170"/>
      <c r="I365" s="170"/>
      <c r="J365" s="170"/>
      <c r="K365" s="170"/>
      <c r="L365" s="170"/>
      <c r="M365" s="730"/>
      <c r="N365" s="730"/>
      <c r="O365" s="730"/>
      <c r="P365" s="731"/>
      <c r="Q365" s="731"/>
      <c r="R365" s="730"/>
      <c r="S365" s="730"/>
      <c r="T365" s="723"/>
      <c r="U365" s="724"/>
      <c r="V365" s="725"/>
      <c r="W365" s="725"/>
      <c r="X365" s="723"/>
      <c r="Y365" s="723"/>
      <c r="Z365" s="723"/>
      <c r="AA365" s="726"/>
      <c r="AB365" s="726"/>
      <c r="AC365" s="170"/>
      <c r="AD365" s="586"/>
      <c r="AE365" s="586"/>
      <c r="AF365" s="170"/>
      <c r="AG365" s="170"/>
      <c r="AH365" s="170"/>
      <c r="AI365" s="170"/>
      <c r="AJ365" s="170"/>
      <c r="AK365" s="170"/>
      <c r="AL365" s="170"/>
      <c r="AM365" s="170"/>
      <c r="AN365" s="170"/>
      <c r="AO365" s="170"/>
      <c r="AP365" s="170"/>
      <c r="AQ365" s="170"/>
      <c r="AR365" s="170"/>
      <c r="AS365" s="170"/>
    </row>
    <row r="366" spans="1:45" ht="15" x14ac:dyDescent="0.25">
      <c r="A366" s="170"/>
      <c r="B366" s="719"/>
      <c r="C366" s="170"/>
      <c r="D366" s="170"/>
      <c r="E366" s="170"/>
      <c r="F366" s="170"/>
      <c r="G366" s="721"/>
      <c r="H366" s="170"/>
      <c r="I366" s="170"/>
      <c r="J366" s="170"/>
      <c r="K366" s="170"/>
      <c r="L366" s="170"/>
      <c r="M366" s="730"/>
      <c r="N366" s="730"/>
      <c r="O366" s="730"/>
      <c r="P366" s="731"/>
      <c r="Q366" s="731"/>
      <c r="R366" s="730"/>
      <c r="S366" s="730"/>
      <c r="T366" s="723"/>
      <c r="U366" s="724"/>
      <c r="V366" s="725"/>
      <c r="W366" s="725"/>
      <c r="X366" s="723"/>
      <c r="Y366" s="723"/>
      <c r="Z366" s="723"/>
      <c r="AA366" s="726"/>
      <c r="AB366" s="726"/>
      <c r="AC366" s="170"/>
      <c r="AD366" s="586"/>
      <c r="AE366" s="586"/>
      <c r="AF366" s="170"/>
      <c r="AG366" s="170"/>
      <c r="AH366" s="170"/>
      <c r="AI366" s="170"/>
      <c r="AJ366" s="170"/>
      <c r="AK366" s="170"/>
      <c r="AL366" s="170"/>
      <c r="AM366" s="170"/>
      <c r="AN366" s="170"/>
      <c r="AO366" s="170"/>
      <c r="AP366" s="170"/>
      <c r="AQ366" s="170"/>
      <c r="AR366" s="170"/>
      <c r="AS366" s="170"/>
    </row>
    <row r="367" spans="1:45" ht="15" x14ac:dyDescent="0.25">
      <c r="A367" s="170"/>
      <c r="B367" s="719"/>
      <c r="C367" s="170"/>
      <c r="D367" s="170"/>
      <c r="E367" s="170"/>
      <c r="F367" s="170"/>
      <c r="G367" s="721"/>
      <c r="H367" s="170"/>
      <c r="I367" s="170"/>
      <c r="J367" s="170"/>
      <c r="K367" s="170"/>
      <c r="L367" s="170"/>
      <c r="M367" s="730"/>
      <c r="N367" s="730"/>
      <c r="O367" s="730"/>
      <c r="P367" s="731"/>
      <c r="Q367" s="731"/>
      <c r="R367" s="730"/>
      <c r="S367" s="730"/>
      <c r="T367" s="723"/>
      <c r="U367" s="724"/>
      <c r="V367" s="725"/>
      <c r="W367" s="725"/>
      <c r="X367" s="723"/>
      <c r="Y367" s="723"/>
      <c r="Z367" s="723"/>
      <c r="AA367" s="726"/>
      <c r="AB367" s="726"/>
      <c r="AC367" s="170"/>
      <c r="AD367" s="586"/>
      <c r="AE367" s="586"/>
      <c r="AF367" s="170"/>
      <c r="AG367" s="170"/>
      <c r="AH367" s="170"/>
      <c r="AI367" s="170"/>
      <c r="AJ367" s="170"/>
      <c r="AK367" s="170"/>
      <c r="AL367" s="170"/>
      <c r="AM367" s="170"/>
      <c r="AN367" s="170"/>
      <c r="AO367" s="170"/>
      <c r="AP367" s="170"/>
      <c r="AQ367" s="170"/>
      <c r="AR367" s="170"/>
      <c r="AS367" s="170"/>
    </row>
    <row r="368" spans="1:45" ht="15" x14ac:dyDescent="0.25">
      <c r="A368" s="170"/>
      <c r="B368" s="719"/>
      <c r="C368" s="170"/>
      <c r="D368" s="170"/>
      <c r="E368" s="170"/>
      <c r="F368" s="170"/>
      <c r="G368" s="721"/>
      <c r="H368" s="170"/>
      <c r="I368" s="170"/>
      <c r="J368" s="170"/>
      <c r="K368" s="170"/>
      <c r="L368" s="170"/>
      <c r="M368" s="730"/>
      <c r="N368" s="730"/>
      <c r="O368" s="730"/>
      <c r="P368" s="731"/>
      <c r="Q368" s="731"/>
      <c r="R368" s="730"/>
      <c r="S368" s="730"/>
      <c r="T368" s="723"/>
      <c r="U368" s="724"/>
      <c r="V368" s="725"/>
      <c r="W368" s="725"/>
      <c r="X368" s="723"/>
      <c r="Y368" s="723"/>
      <c r="Z368" s="723"/>
      <c r="AA368" s="726"/>
      <c r="AB368" s="726"/>
      <c r="AC368" s="170"/>
      <c r="AD368" s="586"/>
      <c r="AE368" s="586"/>
      <c r="AF368" s="170"/>
      <c r="AG368" s="170"/>
      <c r="AH368" s="170"/>
      <c r="AI368" s="170"/>
      <c r="AJ368" s="170"/>
      <c r="AK368" s="170"/>
      <c r="AL368" s="170"/>
      <c r="AM368" s="170"/>
      <c r="AN368" s="170"/>
      <c r="AO368" s="170"/>
      <c r="AP368" s="170"/>
      <c r="AQ368" s="170"/>
      <c r="AR368" s="170"/>
      <c r="AS368" s="170"/>
    </row>
    <row r="369" spans="1:45" ht="15" x14ac:dyDescent="0.25">
      <c r="A369" s="170"/>
      <c r="B369" s="719"/>
      <c r="C369" s="170"/>
      <c r="D369" s="170"/>
      <c r="E369" s="170"/>
      <c r="F369" s="170"/>
      <c r="G369" s="721"/>
      <c r="H369" s="170"/>
      <c r="I369" s="170"/>
      <c r="J369" s="170"/>
      <c r="K369" s="170"/>
      <c r="L369" s="170"/>
      <c r="M369" s="730"/>
      <c r="N369" s="730"/>
      <c r="O369" s="730"/>
      <c r="P369" s="731"/>
      <c r="Q369" s="731"/>
      <c r="R369" s="730"/>
      <c r="S369" s="730"/>
      <c r="T369" s="723"/>
      <c r="U369" s="724"/>
      <c r="V369" s="725"/>
      <c r="W369" s="725"/>
      <c r="X369" s="723"/>
      <c r="Y369" s="723"/>
      <c r="Z369" s="723"/>
      <c r="AA369" s="726"/>
      <c r="AB369" s="726"/>
      <c r="AC369" s="170"/>
      <c r="AD369" s="586"/>
      <c r="AE369" s="586"/>
      <c r="AF369" s="170"/>
      <c r="AG369" s="170"/>
      <c r="AH369" s="170"/>
      <c r="AI369" s="170"/>
      <c r="AJ369" s="170"/>
      <c r="AK369" s="170"/>
      <c r="AL369" s="170"/>
      <c r="AM369" s="170"/>
      <c r="AN369" s="170"/>
      <c r="AO369" s="170"/>
      <c r="AP369" s="170"/>
      <c r="AQ369" s="170"/>
      <c r="AR369" s="170"/>
      <c r="AS369" s="170"/>
    </row>
    <row r="370" spans="1:45" ht="15" x14ac:dyDescent="0.25">
      <c r="A370" s="170"/>
      <c r="B370" s="719"/>
      <c r="C370" s="170"/>
      <c r="D370" s="170"/>
      <c r="E370" s="170"/>
      <c r="F370" s="170"/>
      <c r="G370" s="721"/>
      <c r="H370" s="170"/>
      <c r="I370" s="170"/>
      <c r="J370" s="170"/>
      <c r="K370" s="170"/>
      <c r="L370" s="170"/>
      <c r="M370" s="730"/>
      <c r="N370" s="730"/>
      <c r="O370" s="730"/>
      <c r="P370" s="731"/>
      <c r="Q370" s="731"/>
      <c r="R370" s="730"/>
      <c r="S370" s="730"/>
      <c r="T370" s="723"/>
      <c r="U370" s="724"/>
      <c r="V370" s="725"/>
      <c r="W370" s="725"/>
      <c r="X370" s="723"/>
      <c r="Y370" s="723"/>
      <c r="Z370" s="723"/>
      <c r="AA370" s="726"/>
      <c r="AB370" s="726"/>
      <c r="AC370" s="170"/>
      <c r="AD370" s="586"/>
      <c r="AE370" s="586"/>
      <c r="AF370" s="170"/>
      <c r="AG370" s="170"/>
      <c r="AH370" s="170"/>
      <c r="AI370" s="170"/>
      <c r="AJ370" s="170"/>
      <c r="AK370" s="170"/>
      <c r="AL370" s="170"/>
      <c r="AM370" s="170"/>
      <c r="AN370" s="170"/>
      <c r="AO370" s="170"/>
      <c r="AP370" s="170"/>
      <c r="AQ370" s="170"/>
      <c r="AR370" s="170"/>
      <c r="AS370" s="170"/>
    </row>
    <row r="371" spans="1:45" ht="15" x14ac:dyDescent="0.25">
      <c r="A371" s="170"/>
      <c r="B371" s="719"/>
      <c r="C371" s="170"/>
      <c r="D371" s="170"/>
      <c r="E371" s="170"/>
      <c r="F371" s="170"/>
      <c r="G371" s="721"/>
      <c r="H371" s="170"/>
      <c r="I371" s="170"/>
      <c r="J371" s="170"/>
      <c r="K371" s="170"/>
      <c r="L371" s="170"/>
      <c r="M371" s="730"/>
      <c r="N371" s="730"/>
      <c r="O371" s="730"/>
      <c r="P371" s="731"/>
      <c r="Q371" s="731"/>
      <c r="R371" s="730"/>
      <c r="S371" s="730"/>
      <c r="T371" s="723"/>
      <c r="U371" s="724"/>
      <c r="V371" s="725"/>
      <c r="W371" s="725"/>
      <c r="X371" s="723"/>
      <c r="Y371" s="723"/>
      <c r="Z371" s="723"/>
      <c r="AA371" s="726"/>
      <c r="AB371" s="726"/>
      <c r="AC371" s="170"/>
      <c r="AD371" s="586"/>
      <c r="AE371" s="586"/>
      <c r="AF371" s="170"/>
      <c r="AG371" s="170"/>
      <c r="AH371" s="170"/>
      <c r="AI371" s="170"/>
      <c r="AJ371" s="170"/>
      <c r="AK371" s="170"/>
      <c r="AL371" s="170"/>
      <c r="AM371" s="170"/>
      <c r="AN371" s="170"/>
      <c r="AO371" s="170"/>
      <c r="AP371" s="170"/>
      <c r="AQ371" s="170"/>
      <c r="AR371" s="170"/>
      <c r="AS371" s="170"/>
    </row>
    <row r="372" spans="1:45" ht="15" x14ac:dyDescent="0.25">
      <c r="A372" s="170"/>
      <c r="B372" s="719"/>
      <c r="C372" s="170"/>
      <c r="D372" s="170"/>
      <c r="E372" s="170"/>
      <c r="F372" s="170"/>
      <c r="G372" s="721"/>
      <c r="H372" s="170"/>
      <c r="I372" s="170"/>
      <c r="J372" s="170"/>
      <c r="K372" s="170"/>
      <c r="L372" s="170"/>
      <c r="M372" s="730"/>
      <c r="N372" s="730"/>
      <c r="O372" s="730"/>
      <c r="P372" s="731"/>
      <c r="Q372" s="731"/>
      <c r="R372" s="730"/>
      <c r="S372" s="730"/>
      <c r="T372" s="723"/>
      <c r="U372" s="724"/>
      <c r="V372" s="725"/>
      <c r="W372" s="725"/>
      <c r="X372" s="723"/>
      <c r="Y372" s="723"/>
      <c r="Z372" s="723"/>
      <c r="AA372" s="726"/>
      <c r="AB372" s="726"/>
      <c r="AC372" s="170"/>
      <c r="AD372" s="586"/>
      <c r="AE372" s="586"/>
      <c r="AF372" s="170"/>
      <c r="AG372" s="170"/>
      <c r="AH372" s="170"/>
      <c r="AI372" s="170"/>
      <c r="AJ372" s="170"/>
      <c r="AK372" s="170"/>
      <c r="AL372" s="170"/>
      <c r="AM372" s="170"/>
      <c r="AN372" s="170"/>
      <c r="AO372" s="170"/>
      <c r="AP372" s="170"/>
      <c r="AQ372" s="170"/>
      <c r="AR372" s="170"/>
      <c r="AS372" s="170"/>
    </row>
    <row r="373" spans="1:45" ht="15" x14ac:dyDescent="0.25">
      <c r="A373" s="170"/>
      <c r="B373" s="719"/>
      <c r="C373" s="170"/>
      <c r="D373" s="170"/>
      <c r="E373" s="170"/>
      <c r="F373" s="170"/>
      <c r="G373" s="721"/>
      <c r="H373" s="170"/>
      <c r="I373" s="170"/>
      <c r="J373" s="170"/>
      <c r="K373" s="170"/>
      <c r="L373" s="170"/>
      <c r="M373" s="730"/>
      <c r="N373" s="730"/>
      <c r="O373" s="730"/>
      <c r="P373" s="731"/>
      <c r="Q373" s="731"/>
      <c r="R373" s="730"/>
      <c r="S373" s="730"/>
      <c r="T373" s="723"/>
      <c r="U373" s="724"/>
      <c r="V373" s="725"/>
      <c r="W373" s="725"/>
      <c r="X373" s="723"/>
      <c r="Y373" s="723"/>
      <c r="Z373" s="723"/>
      <c r="AA373" s="726"/>
      <c r="AB373" s="726"/>
      <c r="AC373" s="170"/>
      <c r="AD373" s="586"/>
      <c r="AE373" s="586"/>
      <c r="AF373" s="170"/>
      <c r="AG373" s="170"/>
      <c r="AH373" s="170"/>
      <c r="AI373" s="170"/>
      <c r="AJ373" s="170"/>
      <c r="AK373" s="170"/>
      <c r="AL373" s="170"/>
      <c r="AM373" s="170"/>
      <c r="AN373" s="170"/>
      <c r="AO373" s="170"/>
      <c r="AP373" s="170"/>
      <c r="AQ373" s="170"/>
      <c r="AR373" s="170"/>
      <c r="AS373" s="170"/>
    </row>
    <row r="374" spans="1:45" ht="15" x14ac:dyDescent="0.25">
      <c r="A374" s="170"/>
      <c r="B374" s="719"/>
      <c r="C374" s="170"/>
      <c r="D374" s="170"/>
      <c r="E374" s="170"/>
      <c r="F374" s="170"/>
      <c r="G374" s="721"/>
      <c r="H374" s="170"/>
      <c r="I374" s="170"/>
      <c r="J374" s="170"/>
      <c r="K374" s="170"/>
      <c r="L374" s="170"/>
      <c r="M374" s="730"/>
      <c r="N374" s="730"/>
      <c r="O374" s="730"/>
      <c r="P374" s="731"/>
      <c r="Q374" s="731"/>
      <c r="R374" s="730"/>
      <c r="S374" s="730"/>
      <c r="T374" s="723"/>
      <c r="U374" s="724"/>
      <c r="V374" s="725"/>
      <c r="W374" s="725"/>
      <c r="X374" s="723"/>
      <c r="Y374" s="723"/>
      <c r="Z374" s="723"/>
      <c r="AA374" s="726"/>
      <c r="AB374" s="726"/>
      <c r="AC374" s="170"/>
      <c r="AD374" s="586"/>
      <c r="AE374" s="586"/>
      <c r="AF374" s="170"/>
      <c r="AG374" s="170"/>
      <c r="AH374" s="170"/>
      <c r="AI374" s="170"/>
      <c r="AJ374" s="170"/>
      <c r="AK374" s="170"/>
      <c r="AL374" s="170"/>
      <c r="AM374" s="170"/>
      <c r="AN374" s="170"/>
      <c r="AO374" s="170"/>
      <c r="AP374" s="170"/>
      <c r="AQ374" s="170"/>
      <c r="AR374" s="170"/>
      <c r="AS374" s="170"/>
    </row>
    <row r="375" spans="1:45" ht="15" x14ac:dyDescent="0.25">
      <c r="A375" s="170"/>
      <c r="B375" s="719"/>
      <c r="C375" s="170"/>
      <c r="D375" s="170"/>
      <c r="E375" s="170"/>
      <c r="F375" s="170"/>
      <c r="G375" s="721"/>
      <c r="H375" s="170"/>
      <c r="I375" s="170"/>
      <c r="J375" s="170"/>
      <c r="K375" s="170"/>
      <c r="L375" s="170"/>
      <c r="M375" s="730"/>
      <c r="N375" s="730"/>
      <c r="O375" s="730"/>
      <c r="P375" s="731"/>
      <c r="Q375" s="731"/>
      <c r="R375" s="730"/>
      <c r="S375" s="730"/>
      <c r="T375" s="723"/>
      <c r="U375" s="724"/>
      <c r="V375" s="725"/>
      <c r="W375" s="725"/>
      <c r="X375" s="723"/>
      <c r="Y375" s="723"/>
      <c r="Z375" s="723"/>
      <c r="AA375" s="726"/>
      <c r="AB375" s="726"/>
      <c r="AC375" s="170"/>
      <c r="AD375" s="586"/>
      <c r="AE375" s="586"/>
      <c r="AF375" s="170"/>
      <c r="AG375" s="170"/>
      <c r="AH375" s="170"/>
      <c r="AI375" s="170"/>
      <c r="AJ375" s="170"/>
      <c r="AK375" s="170"/>
      <c r="AL375" s="170"/>
      <c r="AM375" s="170"/>
      <c r="AN375" s="170"/>
      <c r="AO375" s="170"/>
      <c r="AP375" s="170"/>
      <c r="AQ375" s="170"/>
      <c r="AR375" s="170"/>
      <c r="AS375" s="170"/>
    </row>
    <row r="376" spans="1:45" ht="15" x14ac:dyDescent="0.25">
      <c r="A376" s="170"/>
      <c r="B376" s="719"/>
      <c r="C376" s="170"/>
      <c r="D376" s="170"/>
      <c r="E376" s="170"/>
      <c r="F376" s="170"/>
      <c r="G376" s="721"/>
      <c r="H376" s="170"/>
      <c r="I376" s="170"/>
      <c r="J376" s="170"/>
      <c r="K376" s="170"/>
      <c r="L376" s="170"/>
      <c r="M376" s="730"/>
      <c r="N376" s="730"/>
      <c r="O376" s="730"/>
      <c r="P376" s="731"/>
      <c r="Q376" s="731"/>
      <c r="R376" s="730"/>
      <c r="S376" s="730"/>
      <c r="T376" s="723"/>
      <c r="U376" s="724"/>
      <c r="V376" s="725"/>
      <c r="W376" s="725"/>
      <c r="X376" s="723"/>
      <c r="Y376" s="723"/>
      <c r="Z376" s="723"/>
      <c r="AA376" s="726"/>
      <c r="AB376" s="726"/>
      <c r="AC376" s="170"/>
      <c r="AD376" s="586"/>
      <c r="AE376" s="586"/>
      <c r="AF376" s="170"/>
      <c r="AG376" s="170"/>
      <c r="AH376" s="170"/>
      <c r="AI376" s="170"/>
      <c r="AJ376" s="170"/>
      <c r="AK376" s="170"/>
      <c r="AL376" s="170"/>
      <c r="AM376" s="170"/>
      <c r="AN376" s="170"/>
      <c r="AO376" s="170"/>
      <c r="AP376" s="170"/>
      <c r="AQ376" s="170"/>
      <c r="AR376" s="170"/>
      <c r="AS376" s="170"/>
    </row>
    <row r="377" spans="1:45" ht="15" x14ac:dyDescent="0.25">
      <c r="A377" s="170"/>
      <c r="B377" s="719"/>
      <c r="C377" s="170"/>
      <c r="D377" s="170"/>
      <c r="E377" s="170"/>
      <c r="F377" s="170"/>
      <c r="G377" s="721"/>
      <c r="H377" s="170"/>
      <c r="I377" s="170"/>
      <c r="J377" s="170"/>
      <c r="K377" s="170"/>
      <c r="L377" s="170"/>
      <c r="M377" s="730"/>
      <c r="N377" s="730"/>
      <c r="O377" s="730"/>
      <c r="P377" s="731"/>
      <c r="Q377" s="731"/>
      <c r="R377" s="730"/>
      <c r="S377" s="730"/>
      <c r="T377" s="723"/>
      <c r="U377" s="724"/>
      <c r="V377" s="725"/>
      <c r="W377" s="725"/>
      <c r="X377" s="723"/>
      <c r="Y377" s="723"/>
      <c r="Z377" s="723"/>
      <c r="AA377" s="726"/>
      <c r="AB377" s="726"/>
      <c r="AC377" s="170"/>
      <c r="AD377" s="586"/>
      <c r="AE377" s="586"/>
      <c r="AF377" s="170"/>
      <c r="AG377" s="170"/>
      <c r="AH377" s="170"/>
      <c r="AI377" s="170"/>
      <c r="AJ377" s="170"/>
      <c r="AK377" s="170"/>
      <c r="AL377" s="170"/>
      <c r="AM377" s="170"/>
      <c r="AN377" s="170"/>
      <c r="AO377" s="170"/>
      <c r="AP377" s="170"/>
      <c r="AQ377" s="170"/>
      <c r="AR377" s="170"/>
      <c r="AS377" s="170"/>
    </row>
    <row r="378" spans="1:45" ht="15" x14ac:dyDescent="0.25">
      <c r="A378" s="170"/>
      <c r="B378" s="719"/>
      <c r="C378" s="170"/>
      <c r="D378" s="170"/>
      <c r="E378" s="170"/>
      <c r="F378" s="170"/>
      <c r="G378" s="721"/>
      <c r="H378" s="170"/>
      <c r="I378" s="170"/>
      <c r="J378" s="170"/>
      <c r="K378" s="170"/>
      <c r="L378" s="170"/>
      <c r="M378" s="730"/>
      <c r="N378" s="730"/>
      <c r="O378" s="730"/>
      <c r="P378" s="731"/>
      <c r="Q378" s="731"/>
      <c r="R378" s="730"/>
      <c r="S378" s="730"/>
      <c r="T378" s="723"/>
      <c r="U378" s="724"/>
      <c r="V378" s="725"/>
      <c r="W378" s="725"/>
      <c r="X378" s="723"/>
      <c r="Y378" s="723"/>
      <c r="Z378" s="723"/>
      <c r="AA378" s="726"/>
      <c r="AB378" s="726"/>
      <c r="AC378" s="170"/>
      <c r="AD378" s="586"/>
      <c r="AE378" s="586"/>
      <c r="AF378" s="170"/>
      <c r="AG378" s="170"/>
      <c r="AH378" s="170"/>
      <c r="AI378" s="170"/>
      <c r="AJ378" s="170"/>
      <c r="AK378" s="170"/>
      <c r="AL378" s="170"/>
      <c r="AM378" s="170"/>
      <c r="AN378" s="170"/>
      <c r="AO378" s="170"/>
      <c r="AP378" s="170"/>
      <c r="AQ378" s="170"/>
      <c r="AR378" s="170"/>
      <c r="AS378" s="170"/>
    </row>
    <row r="379" spans="1:45" ht="15" x14ac:dyDescent="0.25">
      <c r="A379" s="170"/>
      <c r="B379" s="719"/>
      <c r="C379" s="170"/>
      <c r="D379" s="170"/>
      <c r="E379" s="170"/>
      <c r="F379" s="170"/>
      <c r="G379" s="721"/>
      <c r="H379" s="170"/>
      <c r="I379" s="170"/>
      <c r="J379" s="170"/>
      <c r="K379" s="170"/>
      <c r="L379" s="170"/>
      <c r="M379" s="730"/>
      <c r="N379" s="730"/>
      <c r="O379" s="730"/>
      <c r="P379" s="731"/>
      <c r="Q379" s="731"/>
      <c r="R379" s="730"/>
      <c r="S379" s="730"/>
      <c r="T379" s="723"/>
      <c r="U379" s="724"/>
      <c r="V379" s="725"/>
      <c r="W379" s="725"/>
      <c r="X379" s="723"/>
      <c r="Y379" s="723"/>
      <c r="Z379" s="723"/>
      <c r="AA379" s="726"/>
      <c r="AB379" s="726"/>
      <c r="AC379" s="170"/>
      <c r="AD379" s="586"/>
      <c r="AE379" s="586"/>
      <c r="AF379" s="170"/>
      <c r="AG379" s="170"/>
      <c r="AH379" s="170"/>
      <c r="AI379" s="170"/>
      <c r="AJ379" s="170"/>
      <c r="AK379" s="170"/>
      <c r="AL379" s="170"/>
      <c r="AM379" s="170"/>
      <c r="AN379" s="170"/>
      <c r="AO379" s="170"/>
      <c r="AP379" s="170"/>
      <c r="AQ379" s="170"/>
      <c r="AR379" s="170"/>
      <c r="AS379" s="170"/>
    </row>
    <row r="380" spans="1:45" ht="15" x14ac:dyDescent="0.25">
      <c r="A380" s="170"/>
      <c r="B380" s="719"/>
      <c r="C380" s="170"/>
      <c r="D380" s="170"/>
      <c r="E380" s="170"/>
      <c r="F380" s="170"/>
      <c r="G380" s="721"/>
      <c r="H380" s="170"/>
      <c r="I380" s="170"/>
      <c r="J380" s="170"/>
      <c r="K380" s="170"/>
      <c r="L380" s="170"/>
      <c r="M380" s="730"/>
      <c r="N380" s="730"/>
      <c r="O380" s="730"/>
      <c r="P380" s="731"/>
      <c r="Q380" s="731"/>
      <c r="R380" s="730"/>
      <c r="S380" s="730"/>
      <c r="T380" s="723"/>
      <c r="U380" s="724"/>
      <c r="V380" s="725"/>
      <c r="W380" s="725"/>
      <c r="X380" s="723"/>
      <c r="Y380" s="723"/>
      <c r="Z380" s="723"/>
      <c r="AA380" s="726"/>
      <c r="AB380" s="726"/>
      <c r="AC380" s="170"/>
      <c r="AD380" s="586"/>
      <c r="AE380" s="586"/>
      <c r="AF380" s="170"/>
      <c r="AG380" s="170"/>
      <c r="AH380" s="170"/>
      <c r="AI380" s="170"/>
      <c r="AJ380" s="170"/>
      <c r="AK380" s="170"/>
      <c r="AL380" s="170"/>
      <c r="AM380" s="170"/>
      <c r="AN380" s="170"/>
      <c r="AO380" s="170"/>
      <c r="AP380" s="170"/>
      <c r="AQ380" s="170"/>
      <c r="AR380" s="170"/>
      <c r="AS380" s="170"/>
    </row>
    <row r="381" spans="1:45" ht="15" x14ac:dyDescent="0.25">
      <c r="A381" s="170"/>
      <c r="B381" s="719"/>
      <c r="C381" s="170"/>
      <c r="D381" s="170"/>
      <c r="E381" s="170"/>
      <c r="F381" s="170"/>
      <c r="G381" s="721"/>
      <c r="H381" s="170"/>
      <c r="I381" s="170"/>
      <c r="J381" s="170"/>
      <c r="K381" s="170"/>
      <c r="L381" s="170"/>
      <c r="M381" s="730"/>
      <c r="N381" s="730"/>
      <c r="O381" s="730"/>
      <c r="P381" s="731"/>
      <c r="Q381" s="731"/>
      <c r="R381" s="730"/>
      <c r="S381" s="730"/>
      <c r="T381" s="723"/>
      <c r="U381" s="724"/>
      <c r="V381" s="725"/>
      <c r="W381" s="725"/>
      <c r="X381" s="723"/>
      <c r="Y381" s="723"/>
      <c r="Z381" s="723"/>
      <c r="AA381" s="726"/>
      <c r="AB381" s="726"/>
      <c r="AC381" s="170"/>
      <c r="AD381" s="586"/>
      <c r="AE381" s="586"/>
      <c r="AF381" s="170"/>
      <c r="AG381" s="170"/>
      <c r="AH381" s="170"/>
      <c r="AI381" s="170"/>
      <c r="AJ381" s="170"/>
      <c r="AK381" s="170"/>
      <c r="AL381" s="170"/>
      <c r="AM381" s="170"/>
      <c r="AN381" s="170"/>
      <c r="AO381" s="170"/>
      <c r="AP381" s="170"/>
      <c r="AQ381" s="170"/>
      <c r="AR381" s="170"/>
      <c r="AS381" s="170"/>
    </row>
    <row r="382" spans="1:45" ht="15" x14ac:dyDescent="0.25">
      <c r="A382" s="170"/>
      <c r="B382" s="719"/>
      <c r="C382" s="170"/>
      <c r="D382" s="170"/>
      <c r="E382" s="170"/>
      <c r="F382" s="170"/>
      <c r="G382" s="721"/>
      <c r="H382" s="170"/>
      <c r="I382" s="170"/>
      <c r="J382" s="170"/>
      <c r="K382" s="170"/>
      <c r="L382" s="170"/>
      <c r="M382" s="730"/>
      <c r="N382" s="730"/>
      <c r="O382" s="730"/>
      <c r="P382" s="731"/>
      <c r="Q382" s="731"/>
      <c r="R382" s="730"/>
      <c r="S382" s="730"/>
      <c r="T382" s="723"/>
      <c r="U382" s="724"/>
      <c r="V382" s="725"/>
      <c r="W382" s="725"/>
      <c r="X382" s="723"/>
      <c r="Y382" s="723"/>
      <c r="Z382" s="723"/>
      <c r="AA382" s="726"/>
      <c r="AB382" s="726"/>
      <c r="AC382" s="170"/>
      <c r="AD382" s="586"/>
      <c r="AE382" s="586"/>
      <c r="AF382" s="170"/>
      <c r="AG382" s="170"/>
      <c r="AH382" s="170"/>
      <c r="AI382" s="170"/>
      <c r="AJ382" s="170"/>
      <c r="AK382" s="170"/>
      <c r="AL382" s="170"/>
      <c r="AM382" s="170"/>
      <c r="AN382" s="170"/>
      <c r="AO382" s="170"/>
      <c r="AP382" s="170"/>
      <c r="AQ382" s="170"/>
      <c r="AR382" s="170"/>
      <c r="AS382" s="170"/>
    </row>
    <row r="383" spans="1:45" ht="15" x14ac:dyDescent="0.25">
      <c r="A383" s="170"/>
      <c r="B383" s="719"/>
      <c r="C383" s="170"/>
      <c r="D383" s="170"/>
      <c r="E383" s="170"/>
      <c r="F383" s="170"/>
      <c r="G383" s="721"/>
      <c r="H383" s="170"/>
      <c r="I383" s="170"/>
      <c r="J383" s="170"/>
      <c r="K383" s="170"/>
      <c r="L383" s="170"/>
      <c r="M383" s="730"/>
      <c r="N383" s="730"/>
      <c r="O383" s="730"/>
      <c r="P383" s="731"/>
      <c r="Q383" s="731"/>
      <c r="R383" s="730"/>
      <c r="S383" s="730"/>
      <c r="T383" s="723"/>
      <c r="U383" s="724"/>
      <c r="V383" s="725"/>
      <c r="W383" s="725"/>
      <c r="X383" s="723"/>
      <c r="Y383" s="723"/>
      <c r="Z383" s="723"/>
      <c r="AA383" s="726"/>
      <c r="AB383" s="726"/>
      <c r="AC383" s="170"/>
      <c r="AD383" s="586"/>
      <c r="AE383" s="586"/>
      <c r="AF383" s="170"/>
      <c r="AG383" s="170"/>
      <c r="AH383" s="170"/>
      <c r="AI383" s="170"/>
      <c r="AJ383" s="170"/>
      <c r="AK383" s="170"/>
      <c r="AL383" s="170"/>
      <c r="AM383" s="170"/>
      <c r="AN383" s="170"/>
      <c r="AO383" s="170"/>
      <c r="AP383" s="170"/>
      <c r="AQ383" s="170"/>
      <c r="AR383" s="170"/>
      <c r="AS383" s="170"/>
    </row>
    <row r="384" spans="1:45" ht="15" x14ac:dyDescent="0.25">
      <c r="A384" s="170"/>
      <c r="B384" s="719"/>
      <c r="C384" s="170"/>
      <c r="D384" s="170"/>
      <c r="E384" s="170"/>
      <c r="F384" s="170"/>
      <c r="G384" s="721"/>
      <c r="H384" s="170"/>
      <c r="I384" s="170"/>
      <c r="J384" s="170"/>
      <c r="K384" s="170"/>
      <c r="L384" s="170"/>
      <c r="M384" s="730"/>
      <c r="N384" s="730"/>
      <c r="O384" s="730"/>
      <c r="P384" s="731"/>
      <c r="Q384" s="731"/>
      <c r="R384" s="730"/>
      <c r="S384" s="730"/>
      <c r="T384" s="723"/>
      <c r="U384" s="724"/>
      <c r="V384" s="725"/>
      <c r="W384" s="725"/>
      <c r="X384" s="723"/>
      <c r="Y384" s="723"/>
      <c r="Z384" s="723"/>
      <c r="AA384" s="726"/>
      <c r="AB384" s="726"/>
      <c r="AC384" s="170"/>
      <c r="AD384" s="586"/>
      <c r="AE384" s="586"/>
      <c r="AF384" s="170"/>
      <c r="AG384" s="170"/>
      <c r="AH384" s="170"/>
      <c r="AI384" s="170"/>
      <c r="AJ384" s="170"/>
      <c r="AK384" s="170"/>
      <c r="AL384" s="170"/>
      <c r="AM384" s="170"/>
      <c r="AN384" s="170"/>
      <c r="AO384" s="170"/>
      <c r="AP384" s="170"/>
      <c r="AQ384" s="170"/>
      <c r="AR384" s="170"/>
      <c r="AS384" s="170"/>
    </row>
    <row r="385" spans="1:45" ht="15" x14ac:dyDescent="0.25">
      <c r="A385" s="170"/>
      <c r="B385" s="719"/>
      <c r="C385" s="170"/>
      <c r="D385" s="170"/>
      <c r="E385" s="170"/>
      <c r="F385" s="170"/>
      <c r="G385" s="721"/>
      <c r="H385" s="170"/>
      <c r="I385" s="170"/>
      <c r="J385" s="170"/>
      <c r="K385" s="170"/>
      <c r="L385" s="170"/>
      <c r="M385" s="730"/>
      <c r="N385" s="730"/>
      <c r="O385" s="730"/>
      <c r="P385" s="731"/>
      <c r="Q385" s="731"/>
      <c r="R385" s="730"/>
      <c r="S385" s="730"/>
      <c r="T385" s="723"/>
      <c r="U385" s="724"/>
      <c r="V385" s="725"/>
      <c r="W385" s="725"/>
      <c r="X385" s="723"/>
      <c r="Y385" s="723"/>
      <c r="Z385" s="723"/>
      <c r="AA385" s="726"/>
      <c r="AB385" s="726"/>
      <c r="AC385" s="170"/>
      <c r="AD385" s="586"/>
      <c r="AE385" s="586"/>
      <c r="AF385" s="170"/>
      <c r="AG385" s="170"/>
      <c r="AH385" s="170"/>
      <c r="AI385" s="170"/>
      <c r="AJ385" s="170"/>
      <c r="AK385" s="170"/>
      <c r="AL385" s="170"/>
      <c r="AM385" s="170"/>
      <c r="AN385" s="170"/>
      <c r="AO385" s="170"/>
      <c r="AP385" s="170"/>
      <c r="AQ385" s="170"/>
      <c r="AR385" s="170"/>
      <c r="AS385" s="170"/>
    </row>
    <row r="386" spans="1:45" ht="15" x14ac:dyDescent="0.25">
      <c r="A386" s="170"/>
      <c r="B386" s="719"/>
      <c r="C386" s="170"/>
      <c r="D386" s="170"/>
      <c r="E386" s="170"/>
      <c r="F386" s="170"/>
      <c r="G386" s="721"/>
      <c r="H386" s="170"/>
      <c r="I386" s="170"/>
      <c r="J386" s="170"/>
      <c r="K386" s="170"/>
      <c r="L386" s="170"/>
      <c r="M386" s="730"/>
      <c r="N386" s="730"/>
      <c r="O386" s="730"/>
      <c r="P386" s="731"/>
      <c r="Q386" s="731"/>
      <c r="R386" s="730"/>
      <c r="S386" s="730"/>
      <c r="T386" s="723"/>
      <c r="U386" s="724"/>
      <c r="V386" s="725"/>
      <c r="W386" s="725"/>
      <c r="X386" s="723"/>
      <c r="Y386" s="723"/>
      <c r="Z386" s="723"/>
      <c r="AA386" s="726"/>
      <c r="AB386" s="726"/>
      <c r="AC386" s="170"/>
      <c r="AD386" s="586"/>
      <c r="AE386" s="586"/>
      <c r="AF386" s="170"/>
      <c r="AG386" s="170"/>
      <c r="AH386" s="170"/>
      <c r="AI386" s="170"/>
      <c r="AJ386" s="170"/>
      <c r="AK386" s="170"/>
      <c r="AL386" s="170"/>
      <c r="AM386" s="170"/>
      <c r="AN386" s="170"/>
      <c r="AO386" s="170"/>
      <c r="AP386" s="170"/>
      <c r="AQ386" s="170"/>
      <c r="AR386" s="170"/>
      <c r="AS386" s="170"/>
    </row>
    <row r="387" spans="1:45" ht="15" x14ac:dyDescent="0.25">
      <c r="A387" s="170"/>
      <c r="B387" s="719"/>
      <c r="C387" s="170"/>
      <c r="D387" s="170"/>
      <c r="E387" s="170"/>
      <c r="F387" s="170"/>
      <c r="G387" s="721"/>
      <c r="H387" s="170"/>
      <c r="I387" s="170"/>
      <c r="J387" s="170"/>
      <c r="K387" s="170"/>
      <c r="L387" s="170"/>
      <c r="M387" s="730"/>
      <c r="N387" s="730"/>
      <c r="O387" s="730"/>
      <c r="P387" s="731"/>
      <c r="Q387" s="731"/>
      <c r="R387" s="730"/>
      <c r="S387" s="730"/>
      <c r="T387" s="723"/>
      <c r="U387" s="724"/>
      <c r="V387" s="725"/>
      <c r="W387" s="725"/>
      <c r="X387" s="723"/>
      <c r="Y387" s="723"/>
      <c r="Z387" s="723"/>
      <c r="AA387" s="726"/>
      <c r="AB387" s="726"/>
      <c r="AC387" s="170"/>
      <c r="AD387" s="586"/>
      <c r="AE387" s="586"/>
      <c r="AF387" s="170"/>
      <c r="AG387" s="170"/>
      <c r="AH387" s="170"/>
      <c r="AI387" s="170"/>
      <c r="AJ387" s="170"/>
      <c r="AK387" s="170"/>
      <c r="AL387" s="170"/>
      <c r="AM387" s="170"/>
      <c r="AN387" s="170"/>
      <c r="AO387" s="170"/>
      <c r="AP387" s="170"/>
      <c r="AQ387" s="170"/>
      <c r="AR387" s="170"/>
      <c r="AS387" s="170"/>
    </row>
    <row r="388" spans="1:45" ht="15" x14ac:dyDescent="0.25">
      <c r="A388" s="170"/>
      <c r="B388" s="719"/>
      <c r="C388" s="170"/>
      <c r="D388" s="170"/>
      <c r="E388" s="170"/>
      <c r="F388" s="170"/>
      <c r="G388" s="721"/>
      <c r="H388" s="170"/>
      <c r="I388" s="170"/>
      <c r="J388" s="170"/>
      <c r="K388" s="170"/>
      <c r="L388" s="170"/>
      <c r="M388" s="730"/>
      <c r="N388" s="730"/>
      <c r="O388" s="730"/>
      <c r="P388" s="731"/>
      <c r="Q388" s="731"/>
      <c r="R388" s="730"/>
      <c r="S388" s="730"/>
      <c r="T388" s="723"/>
      <c r="U388" s="724"/>
      <c r="V388" s="725"/>
      <c r="W388" s="725"/>
      <c r="X388" s="723"/>
      <c r="Y388" s="723"/>
      <c r="Z388" s="723"/>
      <c r="AA388" s="726"/>
      <c r="AB388" s="726"/>
      <c r="AC388" s="170"/>
      <c r="AD388" s="586"/>
      <c r="AE388" s="586"/>
      <c r="AF388" s="170"/>
      <c r="AG388" s="170"/>
      <c r="AH388" s="170"/>
      <c r="AI388" s="170"/>
      <c r="AJ388" s="170"/>
      <c r="AK388" s="170"/>
      <c r="AL388" s="170"/>
      <c r="AM388" s="170"/>
      <c r="AN388" s="170"/>
      <c r="AO388" s="170"/>
      <c r="AP388" s="170"/>
      <c r="AQ388" s="170"/>
      <c r="AR388" s="170"/>
      <c r="AS388" s="170"/>
    </row>
    <row r="389" spans="1:45" ht="15" x14ac:dyDescent="0.25">
      <c r="A389" s="170"/>
      <c r="B389" s="719"/>
      <c r="C389" s="170"/>
      <c r="D389" s="170"/>
      <c r="E389" s="170"/>
      <c r="F389" s="170"/>
      <c r="G389" s="721"/>
      <c r="H389" s="170"/>
      <c r="I389" s="170"/>
      <c r="J389" s="170"/>
      <c r="K389" s="170"/>
      <c r="L389" s="170"/>
      <c r="M389" s="730"/>
      <c r="N389" s="730"/>
      <c r="O389" s="730"/>
      <c r="P389" s="731"/>
      <c r="Q389" s="731"/>
      <c r="R389" s="730"/>
      <c r="S389" s="730"/>
      <c r="T389" s="723"/>
      <c r="U389" s="724"/>
      <c r="V389" s="725"/>
      <c r="W389" s="725"/>
      <c r="X389" s="723"/>
      <c r="Y389" s="723"/>
      <c r="Z389" s="723"/>
      <c r="AA389" s="726"/>
      <c r="AB389" s="726"/>
      <c r="AC389" s="170"/>
      <c r="AD389" s="586"/>
      <c r="AE389" s="586"/>
      <c r="AF389" s="170"/>
      <c r="AG389" s="170"/>
      <c r="AH389" s="170"/>
      <c r="AI389" s="170"/>
      <c r="AJ389" s="170"/>
      <c r="AK389" s="170"/>
      <c r="AL389" s="170"/>
      <c r="AM389" s="170"/>
      <c r="AN389" s="170"/>
      <c r="AO389" s="170"/>
      <c r="AP389" s="170"/>
      <c r="AQ389" s="170"/>
      <c r="AR389" s="170"/>
      <c r="AS389" s="170"/>
    </row>
    <row r="390" spans="1:45" ht="15" x14ac:dyDescent="0.25">
      <c r="A390" s="170"/>
      <c r="B390" s="719"/>
      <c r="C390" s="170"/>
      <c r="D390" s="170"/>
      <c r="E390" s="170"/>
      <c r="F390" s="170"/>
      <c r="G390" s="721"/>
      <c r="H390" s="170"/>
      <c r="I390" s="170"/>
      <c r="J390" s="170"/>
      <c r="K390" s="170"/>
      <c r="L390" s="170"/>
      <c r="M390" s="730"/>
      <c r="N390" s="730"/>
      <c r="O390" s="730"/>
      <c r="P390" s="731"/>
      <c r="Q390" s="731"/>
      <c r="R390" s="730"/>
      <c r="S390" s="730"/>
      <c r="T390" s="723"/>
      <c r="U390" s="724"/>
      <c r="V390" s="725"/>
      <c r="W390" s="725"/>
      <c r="X390" s="723"/>
      <c r="Y390" s="723"/>
      <c r="Z390" s="723"/>
      <c r="AA390" s="726"/>
      <c r="AB390" s="726"/>
      <c r="AC390" s="170"/>
      <c r="AD390" s="586"/>
      <c r="AE390" s="586"/>
      <c r="AF390" s="170"/>
      <c r="AG390" s="170"/>
      <c r="AH390" s="170"/>
      <c r="AI390" s="170"/>
      <c r="AJ390" s="170"/>
      <c r="AK390" s="170"/>
      <c r="AL390" s="170"/>
      <c r="AM390" s="170"/>
      <c r="AN390" s="170"/>
      <c r="AO390" s="170"/>
      <c r="AP390" s="170"/>
      <c r="AQ390" s="170"/>
      <c r="AR390" s="170"/>
      <c r="AS390" s="170"/>
    </row>
    <row r="391" spans="1:45" ht="15" x14ac:dyDescent="0.25">
      <c r="A391" s="170"/>
      <c r="B391" s="719"/>
      <c r="C391" s="170"/>
      <c r="D391" s="170"/>
      <c r="E391" s="170"/>
      <c r="F391" s="170"/>
      <c r="G391" s="721"/>
      <c r="H391" s="170"/>
      <c r="I391" s="170"/>
      <c r="J391" s="170"/>
      <c r="K391" s="170"/>
      <c r="L391" s="170"/>
      <c r="M391" s="730"/>
      <c r="N391" s="730"/>
      <c r="O391" s="730"/>
      <c r="P391" s="731"/>
      <c r="Q391" s="731"/>
      <c r="R391" s="730"/>
      <c r="S391" s="730"/>
      <c r="T391" s="723"/>
      <c r="U391" s="724"/>
      <c r="V391" s="725"/>
      <c r="W391" s="725"/>
      <c r="X391" s="723"/>
      <c r="Y391" s="723"/>
      <c r="Z391" s="723"/>
      <c r="AA391" s="726"/>
      <c r="AB391" s="726"/>
      <c r="AC391" s="170"/>
      <c r="AD391" s="586"/>
      <c r="AE391" s="586"/>
      <c r="AF391" s="170"/>
      <c r="AG391" s="170"/>
      <c r="AH391" s="170"/>
      <c r="AI391" s="170"/>
      <c r="AJ391" s="170"/>
      <c r="AK391" s="170"/>
      <c r="AL391" s="170"/>
      <c r="AM391" s="170"/>
      <c r="AN391" s="170"/>
      <c r="AO391" s="170"/>
      <c r="AP391" s="170"/>
      <c r="AQ391" s="170"/>
      <c r="AR391" s="170"/>
      <c r="AS391" s="170"/>
    </row>
    <row r="392" spans="1:45" ht="15" x14ac:dyDescent="0.25">
      <c r="A392" s="170"/>
      <c r="B392" s="719"/>
      <c r="C392" s="170"/>
      <c r="D392" s="170"/>
      <c r="E392" s="170"/>
      <c r="F392" s="170"/>
      <c r="G392" s="721"/>
      <c r="H392" s="170"/>
      <c r="I392" s="170"/>
      <c r="J392" s="170"/>
      <c r="K392" s="170"/>
      <c r="L392" s="170"/>
      <c r="M392" s="730"/>
      <c r="N392" s="730"/>
      <c r="O392" s="730"/>
      <c r="P392" s="731"/>
      <c r="Q392" s="731"/>
      <c r="R392" s="730"/>
      <c r="S392" s="730"/>
      <c r="T392" s="723"/>
      <c r="U392" s="724"/>
      <c r="V392" s="725"/>
      <c r="W392" s="725"/>
      <c r="X392" s="723"/>
      <c r="Y392" s="723"/>
      <c r="Z392" s="723"/>
      <c r="AA392" s="726"/>
      <c r="AB392" s="726"/>
      <c r="AC392" s="170"/>
      <c r="AD392" s="586"/>
      <c r="AE392" s="586"/>
      <c r="AF392" s="170"/>
      <c r="AG392" s="170"/>
      <c r="AH392" s="170"/>
      <c r="AI392" s="170"/>
      <c r="AJ392" s="170"/>
      <c r="AK392" s="170"/>
      <c r="AL392" s="170"/>
      <c r="AM392" s="170"/>
      <c r="AN392" s="170"/>
      <c r="AO392" s="170"/>
      <c r="AP392" s="170"/>
      <c r="AQ392" s="170"/>
      <c r="AR392" s="170"/>
      <c r="AS392" s="170"/>
    </row>
    <row r="393" spans="1:45" ht="15" x14ac:dyDescent="0.25">
      <c r="A393" s="170"/>
      <c r="B393" s="719"/>
      <c r="C393" s="170"/>
      <c r="D393" s="170"/>
      <c r="E393" s="170"/>
      <c r="F393" s="170"/>
      <c r="G393" s="721"/>
      <c r="H393" s="170"/>
      <c r="I393" s="170"/>
      <c r="J393" s="170"/>
      <c r="K393" s="170"/>
      <c r="L393" s="170"/>
      <c r="M393" s="730"/>
      <c r="N393" s="730"/>
      <c r="O393" s="730"/>
      <c r="P393" s="731"/>
      <c r="Q393" s="731"/>
      <c r="R393" s="730"/>
      <c r="S393" s="730"/>
      <c r="T393" s="723"/>
      <c r="U393" s="724"/>
      <c r="V393" s="725"/>
      <c r="W393" s="725"/>
      <c r="X393" s="723"/>
      <c r="Y393" s="723"/>
      <c r="Z393" s="723"/>
      <c r="AA393" s="726"/>
      <c r="AB393" s="726"/>
      <c r="AC393" s="170"/>
      <c r="AD393" s="586"/>
      <c r="AE393" s="586"/>
      <c r="AF393" s="170"/>
      <c r="AG393" s="170"/>
      <c r="AH393" s="170"/>
      <c r="AI393" s="170"/>
      <c r="AJ393" s="170"/>
      <c r="AK393" s="170"/>
      <c r="AL393" s="170"/>
      <c r="AM393" s="170"/>
      <c r="AN393" s="170"/>
      <c r="AO393" s="170"/>
      <c r="AP393" s="170"/>
      <c r="AQ393" s="170"/>
      <c r="AR393" s="170"/>
      <c r="AS393" s="170"/>
    </row>
    <row r="394" spans="1:45" ht="15" x14ac:dyDescent="0.25">
      <c r="A394" s="170"/>
      <c r="B394" s="719"/>
      <c r="C394" s="170"/>
      <c r="D394" s="170"/>
      <c r="E394" s="170"/>
      <c r="F394" s="170"/>
      <c r="G394" s="721"/>
      <c r="H394" s="170"/>
      <c r="I394" s="170"/>
      <c r="J394" s="170"/>
      <c r="K394" s="170"/>
      <c r="L394" s="170"/>
      <c r="M394" s="730"/>
      <c r="N394" s="730"/>
      <c r="O394" s="730"/>
      <c r="P394" s="731"/>
      <c r="Q394" s="731"/>
      <c r="R394" s="730"/>
      <c r="S394" s="730"/>
      <c r="T394" s="723"/>
      <c r="U394" s="724"/>
      <c r="V394" s="725"/>
      <c r="W394" s="725"/>
      <c r="X394" s="723"/>
      <c r="Y394" s="723"/>
      <c r="Z394" s="723"/>
      <c r="AA394" s="726"/>
      <c r="AB394" s="726"/>
      <c r="AC394" s="170"/>
      <c r="AD394" s="586"/>
      <c r="AE394" s="586"/>
      <c r="AF394" s="170"/>
      <c r="AG394" s="170"/>
      <c r="AH394" s="170"/>
      <c r="AI394" s="170"/>
      <c r="AJ394" s="170"/>
      <c r="AK394" s="170"/>
      <c r="AL394" s="170"/>
      <c r="AM394" s="170"/>
      <c r="AN394" s="170"/>
      <c r="AO394" s="170"/>
      <c r="AP394" s="170"/>
      <c r="AQ394" s="170"/>
      <c r="AR394" s="170"/>
      <c r="AS394" s="170"/>
    </row>
    <row r="395" spans="1:45" ht="15" x14ac:dyDescent="0.25">
      <c r="A395" s="170"/>
      <c r="B395" s="719"/>
      <c r="C395" s="170"/>
      <c r="D395" s="170"/>
      <c r="E395" s="170"/>
      <c r="F395" s="170"/>
      <c r="G395" s="721"/>
      <c r="H395" s="170"/>
      <c r="I395" s="170"/>
      <c r="J395" s="170"/>
      <c r="K395" s="170"/>
      <c r="L395" s="170"/>
      <c r="M395" s="730"/>
      <c r="N395" s="730"/>
      <c r="O395" s="730"/>
      <c r="P395" s="731"/>
      <c r="Q395" s="731"/>
      <c r="R395" s="730"/>
      <c r="S395" s="730"/>
      <c r="T395" s="723"/>
      <c r="U395" s="724"/>
      <c r="V395" s="725"/>
      <c r="W395" s="725"/>
      <c r="X395" s="723"/>
      <c r="Y395" s="723"/>
      <c r="Z395" s="723"/>
      <c r="AA395" s="726"/>
      <c r="AB395" s="726"/>
      <c r="AC395" s="170"/>
      <c r="AD395" s="586"/>
      <c r="AE395" s="586"/>
      <c r="AF395" s="170"/>
      <c r="AG395" s="170"/>
      <c r="AH395" s="170"/>
      <c r="AI395" s="170"/>
      <c r="AJ395" s="170"/>
      <c r="AK395" s="170"/>
      <c r="AL395" s="170"/>
      <c r="AM395" s="170"/>
      <c r="AN395" s="170"/>
      <c r="AO395" s="170"/>
      <c r="AP395" s="170"/>
      <c r="AQ395" s="170"/>
      <c r="AR395" s="170"/>
      <c r="AS395" s="170"/>
    </row>
    <row r="396" spans="1:45" ht="15" x14ac:dyDescent="0.25">
      <c r="A396" s="170"/>
      <c r="B396" s="719"/>
      <c r="C396" s="170"/>
      <c r="D396" s="170"/>
      <c r="E396" s="170"/>
      <c r="F396" s="170"/>
      <c r="G396" s="721"/>
      <c r="H396" s="170"/>
      <c r="I396" s="170"/>
      <c r="J396" s="170"/>
      <c r="K396" s="170"/>
      <c r="L396" s="170"/>
      <c r="M396" s="730"/>
      <c r="N396" s="730"/>
      <c r="O396" s="730"/>
      <c r="P396" s="731"/>
      <c r="Q396" s="731"/>
      <c r="R396" s="730"/>
      <c r="S396" s="730"/>
      <c r="T396" s="723"/>
      <c r="U396" s="724"/>
      <c r="V396" s="725"/>
      <c r="W396" s="725"/>
      <c r="X396" s="723"/>
      <c r="Y396" s="723"/>
      <c r="Z396" s="723"/>
      <c r="AA396" s="726"/>
      <c r="AB396" s="726"/>
      <c r="AC396" s="170"/>
      <c r="AD396" s="586"/>
      <c r="AE396" s="586"/>
      <c r="AF396" s="170"/>
      <c r="AG396" s="170"/>
      <c r="AH396" s="170"/>
      <c r="AI396" s="170"/>
      <c r="AJ396" s="170"/>
      <c r="AK396" s="170"/>
      <c r="AL396" s="170"/>
      <c r="AM396" s="170"/>
      <c r="AN396" s="170"/>
      <c r="AO396" s="170"/>
      <c r="AP396" s="170"/>
      <c r="AQ396" s="170"/>
      <c r="AR396" s="170"/>
      <c r="AS396" s="170"/>
    </row>
    <row r="397" spans="1:45" ht="15" x14ac:dyDescent="0.25">
      <c r="A397" s="170"/>
      <c r="B397" s="719"/>
      <c r="C397" s="170"/>
      <c r="D397" s="170"/>
      <c r="E397" s="170"/>
      <c r="F397" s="170"/>
      <c r="G397" s="721"/>
      <c r="H397" s="170"/>
      <c r="I397" s="170"/>
      <c r="J397" s="170"/>
      <c r="K397" s="170"/>
      <c r="L397" s="170"/>
      <c r="M397" s="730"/>
      <c r="N397" s="730"/>
      <c r="O397" s="730"/>
      <c r="P397" s="731"/>
      <c r="Q397" s="731"/>
      <c r="R397" s="730"/>
      <c r="S397" s="730"/>
      <c r="T397" s="723"/>
      <c r="U397" s="724"/>
      <c r="V397" s="725"/>
      <c r="W397" s="725"/>
      <c r="X397" s="723"/>
      <c r="Y397" s="723"/>
      <c r="Z397" s="723"/>
      <c r="AA397" s="726"/>
      <c r="AB397" s="726"/>
      <c r="AC397" s="170"/>
      <c r="AD397" s="586"/>
      <c r="AE397" s="586"/>
      <c r="AF397" s="170"/>
      <c r="AG397" s="170"/>
      <c r="AH397" s="170"/>
      <c r="AI397" s="170"/>
      <c r="AJ397" s="170"/>
      <c r="AK397" s="170"/>
      <c r="AL397" s="170"/>
      <c r="AM397" s="170"/>
      <c r="AN397" s="170"/>
      <c r="AO397" s="170"/>
      <c r="AP397" s="170"/>
      <c r="AQ397" s="170"/>
      <c r="AR397" s="170"/>
      <c r="AS397" s="170"/>
    </row>
    <row r="398" spans="1:45" ht="15" x14ac:dyDescent="0.25">
      <c r="A398" s="170"/>
      <c r="B398" s="719"/>
      <c r="C398" s="170"/>
      <c r="D398" s="170"/>
      <c r="E398" s="170"/>
      <c r="F398" s="170"/>
      <c r="G398" s="721"/>
      <c r="H398" s="170"/>
      <c r="I398" s="170"/>
      <c r="J398" s="170"/>
      <c r="K398" s="170"/>
      <c r="L398" s="170"/>
      <c r="M398" s="730"/>
      <c r="N398" s="730"/>
      <c r="O398" s="730"/>
      <c r="P398" s="731"/>
      <c r="Q398" s="731"/>
      <c r="R398" s="730"/>
      <c r="S398" s="730"/>
      <c r="T398" s="723"/>
      <c r="U398" s="724"/>
      <c r="V398" s="725"/>
      <c r="W398" s="725"/>
      <c r="X398" s="723"/>
      <c r="Y398" s="723"/>
      <c r="Z398" s="723"/>
      <c r="AA398" s="726"/>
      <c r="AB398" s="726"/>
      <c r="AC398" s="170"/>
      <c r="AD398" s="586"/>
      <c r="AE398" s="586"/>
      <c r="AF398" s="170"/>
      <c r="AG398" s="170"/>
      <c r="AH398" s="170"/>
      <c r="AI398" s="170"/>
      <c r="AJ398" s="170"/>
      <c r="AK398" s="170"/>
      <c r="AL398" s="170"/>
      <c r="AM398" s="170"/>
      <c r="AN398" s="170"/>
      <c r="AO398" s="170"/>
      <c r="AP398" s="170"/>
      <c r="AQ398" s="170"/>
      <c r="AR398" s="170"/>
      <c r="AS398" s="170"/>
    </row>
    <row r="399" spans="1:45" ht="15" x14ac:dyDescent="0.25">
      <c r="A399" s="170"/>
      <c r="B399" s="719"/>
      <c r="C399" s="170"/>
      <c r="D399" s="170"/>
      <c r="E399" s="170"/>
      <c r="F399" s="170"/>
      <c r="G399" s="721"/>
      <c r="H399" s="170"/>
      <c r="I399" s="170"/>
      <c r="J399" s="170"/>
      <c r="K399" s="170"/>
      <c r="L399" s="170"/>
      <c r="M399" s="730"/>
      <c r="N399" s="730"/>
      <c r="O399" s="730"/>
      <c r="P399" s="731"/>
      <c r="Q399" s="731"/>
      <c r="R399" s="730"/>
      <c r="S399" s="730"/>
      <c r="T399" s="723"/>
      <c r="U399" s="724"/>
      <c r="V399" s="725"/>
      <c r="W399" s="725"/>
      <c r="X399" s="723"/>
      <c r="Y399" s="723"/>
      <c r="Z399" s="723"/>
      <c r="AA399" s="726"/>
      <c r="AB399" s="726"/>
      <c r="AC399" s="170"/>
      <c r="AD399" s="586"/>
      <c r="AE399" s="586"/>
      <c r="AF399" s="170"/>
      <c r="AG399" s="170"/>
      <c r="AH399" s="170"/>
      <c r="AI399" s="170"/>
      <c r="AJ399" s="170"/>
      <c r="AK399" s="170"/>
      <c r="AL399" s="170"/>
      <c r="AM399" s="170"/>
      <c r="AN399" s="170"/>
      <c r="AO399" s="170"/>
      <c r="AP399" s="170"/>
      <c r="AQ399" s="170"/>
      <c r="AR399" s="170"/>
      <c r="AS399" s="170"/>
    </row>
    <row r="400" spans="1:45" ht="15" x14ac:dyDescent="0.25">
      <c r="A400" s="170"/>
      <c r="B400" s="719"/>
      <c r="C400" s="170"/>
      <c r="D400" s="170"/>
      <c r="E400" s="170"/>
      <c r="F400" s="170"/>
      <c r="G400" s="721"/>
      <c r="H400" s="170"/>
      <c r="I400" s="170"/>
      <c r="J400" s="170"/>
      <c r="K400" s="170"/>
      <c r="L400" s="170"/>
      <c r="M400" s="730"/>
      <c r="N400" s="730"/>
      <c r="O400" s="730"/>
      <c r="P400" s="731"/>
      <c r="Q400" s="731"/>
      <c r="R400" s="730"/>
      <c r="S400" s="730"/>
      <c r="T400" s="723"/>
      <c r="U400" s="724"/>
      <c r="V400" s="725"/>
      <c r="W400" s="725"/>
      <c r="X400" s="723"/>
      <c r="Y400" s="723"/>
      <c r="Z400" s="723"/>
      <c r="AA400" s="726"/>
      <c r="AB400" s="726"/>
      <c r="AC400" s="170"/>
      <c r="AD400" s="586"/>
      <c r="AE400" s="586"/>
      <c r="AF400" s="170"/>
      <c r="AG400" s="170"/>
      <c r="AH400" s="170"/>
      <c r="AI400" s="170"/>
      <c r="AJ400" s="170"/>
      <c r="AK400" s="170"/>
      <c r="AL400" s="170"/>
      <c r="AM400" s="170"/>
      <c r="AN400" s="170"/>
      <c r="AO400" s="170"/>
      <c r="AP400" s="170"/>
      <c r="AQ400" s="170"/>
      <c r="AR400" s="170"/>
      <c r="AS400" s="170"/>
    </row>
    <row r="401" spans="1:45" ht="15" x14ac:dyDescent="0.25">
      <c r="A401" s="170"/>
      <c r="B401" s="719"/>
      <c r="C401" s="170"/>
      <c r="D401" s="170"/>
      <c r="E401" s="170"/>
      <c r="F401" s="170"/>
      <c r="G401" s="721"/>
      <c r="H401" s="170"/>
      <c r="I401" s="170"/>
      <c r="J401" s="170"/>
      <c r="K401" s="170"/>
      <c r="L401" s="170"/>
      <c r="M401" s="730"/>
      <c r="N401" s="730"/>
      <c r="O401" s="730"/>
      <c r="P401" s="731"/>
      <c r="Q401" s="731"/>
      <c r="R401" s="730"/>
      <c r="S401" s="730"/>
      <c r="T401" s="723"/>
      <c r="U401" s="724"/>
      <c r="V401" s="725"/>
      <c r="W401" s="725"/>
      <c r="X401" s="723"/>
      <c r="Y401" s="723"/>
      <c r="Z401" s="723"/>
      <c r="AA401" s="726"/>
      <c r="AB401" s="726"/>
      <c r="AC401" s="170"/>
      <c r="AD401" s="586"/>
      <c r="AE401" s="586"/>
      <c r="AF401" s="170"/>
      <c r="AG401" s="170"/>
      <c r="AH401" s="170"/>
      <c r="AI401" s="170"/>
      <c r="AJ401" s="170"/>
      <c r="AK401" s="170"/>
      <c r="AL401" s="170"/>
      <c r="AM401" s="170"/>
      <c r="AN401" s="170"/>
      <c r="AO401" s="170"/>
      <c r="AP401" s="170"/>
      <c r="AQ401" s="170"/>
      <c r="AR401" s="170"/>
      <c r="AS401" s="170"/>
    </row>
    <row r="402" spans="1:45" ht="15" x14ac:dyDescent="0.25">
      <c r="A402" s="170"/>
      <c r="B402" s="719"/>
      <c r="C402" s="170"/>
      <c r="D402" s="170"/>
      <c r="E402" s="170"/>
      <c r="F402" s="170"/>
      <c r="G402" s="721"/>
      <c r="H402" s="170"/>
      <c r="I402" s="170"/>
      <c r="J402" s="170"/>
      <c r="K402" s="170"/>
      <c r="L402" s="170"/>
      <c r="M402" s="730"/>
      <c r="N402" s="730"/>
      <c r="O402" s="730"/>
      <c r="P402" s="731"/>
      <c r="Q402" s="731"/>
      <c r="R402" s="730"/>
      <c r="S402" s="730"/>
      <c r="T402" s="723"/>
      <c r="U402" s="724"/>
      <c r="V402" s="725"/>
      <c r="W402" s="725"/>
      <c r="X402" s="723"/>
      <c r="Y402" s="723"/>
      <c r="Z402" s="723"/>
      <c r="AA402" s="726"/>
      <c r="AB402" s="726"/>
      <c r="AC402" s="170"/>
      <c r="AD402" s="586"/>
      <c r="AE402" s="586"/>
      <c r="AF402" s="170"/>
      <c r="AG402" s="170"/>
      <c r="AH402" s="170"/>
      <c r="AI402" s="170"/>
      <c r="AJ402" s="170"/>
      <c r="AK402" s="170"/>
      <c r="AL402" s="170"/>
      <c r="AM402" s="170"/>
      <c r="AN402" s="170"/>
      <c r="AO402" s="170"/>
      <c r="AP402" s="170"/>
      <c r="AQ402" s="170"/>
      <c r="AR402" s="170"/>
      <c r="AS402" s="170"/>
    </row>
    <row r="403" spans="1:45" ht="15" x14ac:dyDescent="0.25">
      <c r="A403" s="170"/>
      <c r="B403" s="719"/>
      <c r="C403" s="170"/>
      <c r="D403" s="170"/>
      <c r="E403" s="170"/>
      <c r="F403" s="170"/>
      <c r="G403" s="721"/>
      <c r="H403" s="170"/>
      <c r="I403" s="170"/>
      <c r="J403" s="170"/>
      <c r="K403" s="170"/>
      <c r="L403" s="170"/>
      <c r="M403" s="730"/>
      <c r="N403" s="730"/>
      <c r="O403" s="730"/>
      <c r="P403" s="731"/>
      <c r="Q403" s="731"/>
      <c r="R403" s="730"/>
      <c r="S403" s="730"/>
      <c r="T403" s="723"/>
      <c r="U403" s="724"/>
      <c r="V403" s="725"/>
      <c r="W403" s="725"/>
      <c r="X403" s="723"/>
      <c r="Y403" s="723"/>
      <c r="Z403" s="723"/>
      <c r="AA403" s="726"/>
      <c r="AB403" s="726"/>
      <c r="AC403" s="170"/>
      <c r="AD403" s="586"/>
      <c r="AE403" s="586"/>
      <c r="AF403" s="170"/>
      <c r="AG403" s="170"/>
      <c r="AH403" s="170"/>
      <c r="AI403" s="170"/>
      <c r="AJ403" s="170"/>
      <c r="AK403" s="170"/>
      <c r="AL403" s="170"/>
      <c r="AM403" s="170"/>
      <c r="AN403" s="170"/>
      <c r="AO403" s="170"/>
      <c r="AP403" s="170"/>
      <c r="AQ403" s="170"/>
      <c r="AR403" s="170"/>
      <c r="AS403" s="170"/>
    </row>
    <row r="404" spans="1:45" ht="15" x14ac:dyDescent="0.25">
      <c r="A404" s="170"/>
      <c r="B404" s="719"/>
      <c r="C404" s="170"/>
      <c r="D404" s="170"/>
      <c r="E404" s="170"/>
      <c r="F404" s="170"/>
      <c r="G404" s="721"/>
      <c r="H404" s="170"/>
      <c r="I404" s="170"/>
      <c r="J404" s="170"/>
      <c r="K404" s="170"/>
      <c r="L404" s="170"/>
      <c r="M404" s="730"/>
      <c r="N404" s="730"/>
      <c r="O404" s="730"/>
      <c r="P404" s="731"/>
      <c r="Q404" s="731"/>
      <c r="R404" s="730"/>
      <c r="S404" s="730"/>
      <c r="T404" s="723"/>
      <c r="U404" s="724"/>
      <c r="V404" s="725"/>
      <c r="W404" s="725"/>
      <c r="X404" s="723"/>
      <c r="Y404" s="723"/>
      <c r="Z404" s="723"/>
      <c r="AA404" s="726"/>
      <c r="AB404" s="726"/>
      <c r="AC404" s="170"/>
      <c r="AD404" s="586"/>
      <c r="AE404" s="586"/>
      <c r="AF404" s="170"/>
      <c r="AG404" s="170"/>
      <c r="AH404" s="170"/>
      <c r="AI404" s="170"/>
      <c r="AJ404" s="170"/>
      <c r="AK404" s="170"/>
      <c r="AL404" s="170"/>
      <c r="AM404" s="170"/>
      <c r="AN404" s="170"/>
      <c r="AO404" s="170"/>
      <c r="AP404" s="170"/>
      <c r="AQ404" s="170"/>
      <c r="AR404" s="170"/>
      <c r="AS404" s="170"/>
    </row>
    <row r="405" spans="1:45" ht="15" x14ac:dyDescent="0.25">
      <c r="A405" s="170"/>
      <c r="B405" s="719"/>
      <c r="C405" s="170"/>
      <c r="D405" s="170"/>
      <c r="E405" s="170"/>
      <c r="F405" s="170"/>
      <c r="G405" s="721"/>
      <c r="H405" s="170"/>
      <c r="I405" s="170"/>
      <c r="J405" s="170"/>
      <c r="K405" s="170"/>
      <c r="L405" s="170"/>
      <c r="M405" s="730"/>
      <c r="N405" s="730"/>
      <c r="O405" s="730"/>
      <c r="P405" s="731"/>
      <c r="Q405" s="731"/>
      <c r="R405" s="730"/>
      <c r="S405" s="730"/>
      <c r="T405" s="723"/>
      <c r="U405" s="724"/>
      <c r="V405" s="725"/>
      <c r="W405" s="725"/>
      <c r="X405" s="723"/>
      <c r="Y405" s="723"/>
      <c r="Z405" s="723"/>
      <c r="AA405" s="726"/>
      <c r="AB405" s="726"/>
      <c r="AC405" s="170"/>
      <c r="AD405" s="586"/>
      <c r="AE405" s="586"/>
      <c r="AF405" s="170"/>
      <c r="AG405" s="170"/>
      <c r="AH405" s="170"/>
      <c r="AI405" s="170"/>
      <c r="AJ405" s="170"/>
      <c r="AK405" s="170"/>
      <c r="AL405" s="170"/>
      <c r="AM405" s="170"/>
      <c r="AN405" s="170"/>
      <c r="AO405" s="170"/>
      <c r="AP405" s="170"/>
      <c r="AQ405" s="170"/>
      <c r="AR405" s="170"/>
      <c r="AS405" s="170"/>
    </row>
    <row r="406" spans="1:45" ht="15" x14ac:dyDescent="0.25">
      <c r="A406" s="170"/>
      <c r="B406" s="719"/>
      <c r="C406" s="170"/>
      <c r="D406" s="170"/>
      <c r="E406" s="170"/>
      <c r="F406" s="170"/>
      <c r="G406" s="721"/>
      <c r="H406" s="170"/>
      <c r="I406" s="170"/>
      <c r="J406" s="170"/>
      <c r="K406" s="170"/>
      <c r="L406" s="170"/>
      <c r="M406" s="730"/>
      <c r="N406" s="730"/>
      <c r="O406" s="730"/>
      <c r="P406" s="731"/>
      <c r="Q406" s="731"/>
      <c r="R406" s="730"/>
      <c r="S406" s="730"/>
      <c r="T406" s="723"/>
      <c r="U406" s="724"/>
      <c r="V406" s="725"/>
      <c r="W406" s="725"/>
      <c r="X406" s="723"/>
      <c r="Y406" s="723"/>
      <c r="Z406" s="723"/>
      <c r="AA406" s="726"/>
      <c r="AB406" s="726"/>
      <c r="AC406" s="170"/>
      <c r="AD406" s="586"/>
      <c r="AE406" s="586"/>
      <c r="AF406" s="170"/>
      <c r="AG406" s="170"/>
      <c r="AH406" s="170"/>
      <c r="AI406" s="170"/>
      <c r="AJ406" s="170"/>
      <c r="AK406" s="170"/>
      <c r="AL406" s="170"/>
      <c r="AM406" s="170"/>
      <c r="AN406" s="170"/>
      <c r="AO406" s="170"/>
      <c r="AP406" s="170"/>
      <c r="AQ406" s="170"/>
      <c r="AR406" s="170"/>
      <c r="AS406" s="170"/>
    </row>
    <row r="407" spans="1:45" ht="15" x14ac:dyDescent="0.25">
      <c r="A407" s="170"/>
      <c r="B407" s="719"/>
      <c r="C407" s="170"/>
      <c r="D407" s="170"/>
      <c r="E407" s="170"/>
      <c r="F407" s="170"/>
      <c r="G407" s="721"/>
      <c r="H407" s="170"/>
      <c r="I407" s="170"/>
      <c r="J407" s="170"/>
      <c r="K407" s="170"/>
      <c r="L407" s="170"/>
      <c r="M407" s="730"/>
      <c r="N407" s="730"/>
      <c r="O407" s="730"/>
      <c r="P407" s="731"/>
      <c r="Q407" s="731"/>
      <c r="R407" s="730"/>
      <c r="S407" s="730"/>
      <c r="T407" s="723"/>
      <c r="U407" s="724"/>
      <c r="V407" s="725"/>
      <c r="W407" s="725"/>
      <c r="X407" s="723"/>
      <c r="Y407" s="723"/>
      <c r="Z407" s="723"/>
      <c r="AA407" s="726"/>
      <c r="AB407" s="726"/>
      <c r="AC407" s="170"/>
      <c r="AD407" s="586"/>
      <c r="AE407" s="586"/>
      <c r="AF407" s="170"/>
      <c r="AG407" s="170"/>
      <c r="AH407" s="170"/>
      <c r="AI407" s="170"/>
      <c r="AJ407" s="170"/>
      <c r="AK407" s="170"/>
      <c r="AL407" s="170"/>
      <c r="AM407" s="170"/>
      <c r="AN407" s="170"/>
      <c r="AO407" s="170"/>
      <c r="AP407" s="170"/>
      <c r="AQ407" s="170"/>
      <c r="AR407" s="170"/>
      <c r="AS407" s="170"/>
    </row>
    <row r="408" spans="1:45" ht="15" x14ac:dyDescent="0.25">
      <c r="A408" s="170"/>
      <c r="B408" s="719"/>
      <c r="C408" s="170"/>
      <c r="D408" s="170"/>
      <c r="E408" s="170"/>
      <c r="F408" s="170"/>
      <c r="G408" s="721"/>
      <c r="H408" s="170"/>
      <c r="I408" s="170"/>
      <c r="J408" s="170"/>
      <c r="K408" s="170"/>
      <c r="L408" s="170"/>
      <c r="M408" s="730"/>
      <c r="N408" s="730"/>
      <c r="O408" s="730"/>
      <c r="P408" s="731"/>
      <c r="Q408" s="731"/>
      <c r="R408" s="730"/>
      <c r="S408" s="730"/>
      <c r="T408" s="723"/>
      <c r="U408" s="724"/>
      <c r="V408" s="725"/>
      <c r="W408" s="725"/>
      <c r="X408" s="723"/>
      <c r="Y408" s="723"/>
      <c r="Z408" s="723"/>
      <c r="AA408" s="726"/>
      <c r="AB408" s="726"/>
      <c r="AC408" s="170"/>
      <c r="AD408" s="586"/>
      <c r="AE408" s="586"/>
      <c r="AF408" s="170"/>
      <c r="AG408" s="170"/>
      <c r="AH408" s="170"/>
      <c r="AI408" s="170"/>
      <c r="AJ408" s="170"/>
      <c r="AK408" s="170"/>
      <c r="AL408" s="170"/>
      <c r="AM408" s="170"/>
      <c r="AN408" s="170"/>
      <c r="AO408" s="170"/>
      <c r="AP408" s="170"/>
      <c r="AQ408" s="170"/>
      <c r="AR408" s="170"/>
      <c r="AS408" s="170"/>
    </row>
    <row r="409" spans="1:45" ht="15" x14ac:dyDescent="0.25">
      <c r="A409" s="170"/>
      <c r="B409" s="719"/>
      <c r="C409" s="170"/>
      <c r="D409" s="170"/>
      <c r="E409" s="170"/>
      <c r="F409" s="170"/>
      <c r="G409" s="721"/>
      <c r="H409" s="170"/>
      <c r="I409" s="170"/>
      <c r="J409" s="170"/>
      <c r="K409" s="170"/>
      <c r="L409" s="170"/>
      <c r="M409" s="730"/>
      <c r="N409" s="730"/>
      <c r="O409" s="730"/>
      <c r="P409" s="731"/>
      <c r="Q409" s="731"/>
      <c r="R409" s="730"/>
      <c r="S409" s="730"/>
      <c r="T409" s="723"/>
      <c r="U409" s="724"/>
      <c r="V409" s="725"/>
      <c r="W409" s="725"/>
      <c r="X409" s="723"/>
      <c r="Y409" s="723"/>
      <c r="Z409" s="723"/>
      <c r="AA409" s="726"/>
      <c r="AB409" s="726"/>
      <c r="AC409" s="170"/>
      <c r="AD409" s="586"/>
      <c r="AE409" s="586"/>
      <c r="AF409" s="170"/>
      <c r="AG409" s="170"/>
      <c r="AH409" s="170"/>
      <c r="AI409" s="170"/>
      <c r="AJ409" s="170"/>
      <c r="AK409" s="170"/>
      <c r="AL409" s="170"/>
      <c r="AM409" s="170"/>
      <c r="AN409" s="170"/>
      <c r="AO409" s="170"/>
      <c r="AP409" s="170"/>
      <c r="AQ409" s="170"/>
      <c r="AR409" s="170"/>
      <c r="AS409" s="170"/>
    </row>
    <row r="410" spans="1:45" ht="15" x14ac:dyDescent="0.25">
      <c r="A410" s="170"/>
      <c r="B410" s="719"/>
      <c r="C410" s="170"/>
      <c r="D410" s="170"/>
      <c r="E410" s="170"/>
      <c r="F410" s="170"/>
      <c r="G410" s="721"/>
      <c r="H410" s="170"/>
      <c r="I410" s="170"/>
      <c r="J410" s="170"/>
      <c r="K410" s="170"/>
      <c r="L410" s="170"/>
      <c r="M410" s="730"/>
      <c r="N410" s="730"/>
      <c r="O410" s="730"/>
      <c r="P410" s="731"/>
      <c r="Q410" s="731"/>
      <c r="R410" s="730"/>
      <c r="S410" s="730"/>
      <c r="T410" s="723"/>
      <c r="U410" s="724"/>
      <c r="V410" s="725"/>
      <c r="W410" s="725"/>
      <c r="X410" s="723"/>
      <c r="Y410" s="723"/>
      <c r="Z410" s="723"/>
      <c r="AA410" s="726"/>
      <c r="AB410" s="726"/>
      <c r="AC410" s="170"/>
      <c r="AD410" s="586"/>
      <c r="AE410" s="586"/>
      <c r="AF410" s="170"/>
      <c r="AG410" s="170"/>
      <c r="AH410" s="170"/>
      <c r="AI410" s="170"/>
      <c r="AJ410" s="170"/>
      <c r="AK410" s="170"/>
      <c r="AL410" s="170"/>
      <c r="AM410" s="170"/>
      <c r="AN410" s="170"/>
      <c r="AO410" s="170"/>
      <c r="AP410" s="170"/>
      <c r="AQ410" s="170"/>
      <c r="AR410" s="170"/>
      <c r="AS410" s="170"/>
    </row>
    <row r="411" spans="1:45" ht="15" x14ac:dyDescent="0.25">
      <c r="A411" s="170"/>
      <c r="B411" s="719"/>
      <c r="C411" s="170"/>
      <c r="D411" s="170"/>
      <c r="E411" s="170"/>
      <c r="F411" s="170"/>
      <c r="G411" s="721"/>
      <c r="H411" s="170"/>
      <c r="I411" s="170"/>
      <c r="J411" s="170"/>
      <c r="K411" s="170"/>
      <c r="L411" s="170"/>
      <c r="M411" s="730"/>
      <c r="N411" s="730"/>
      <c r="O411" s="730"/>
      <c r="P411" s="731"/>
      <c r="Q411" s="731"/>
      <c r="R411" s="730"/>
      <c r="S411" s="730"/>
      <c r="T411" s="723"/>
      <c r="U411" s="724"/>
      <c r="V411" s="725"/>
      <c r="W411" s="725"/>
      <c r="X411" s="723"/>
      <c r="Y411" s="723"/>
      <c r="Z411" s="723"/>
      <c r="AA411" s="726"/>
      <c r="AB411" s="726"/>
      <c r="AC411" s="170"/>
      <c r="AD411" s="586"/>
      <c r="AE411" s="586"/>
      <c r="AF411" s="170"/>
      <c r="AG411" s="170"/>
      <c r="AH411" s="170"/>
      <c r="AI411" s="170"/>
      <c r="AJ411" s="170"/>
      <c r="AK411" s="170"/>
      <c r="AL411" s="170"/>
      <c r="AM411" s="170"/>
      <c r="AN411" s="170"/>
      <c r="AO411" s="170"/>
      <c r="AP411" s="170"/>
      <c r="AQ411" s="170"/>
      <c r="AR411" s="170"/>
      <c r="AS411" s="170"/>
    </row>
    <row r="412" spans="1:45" ht="15" x14ac:dyDescent="0.25">
      <c r="A412" s="170"/>
      <c r="B412" s="719"/>
      <c r="C412" s="170"/>
      <c r="D412" s="170"/>
      <c r="E412" s="170"/>
      <c r="F412" s="170"/>
      <c r="G412" s="721"/>
      <c r="H412" s="170"/>
      <c r="I412" s="170"/>
      <c r="J412" s="170"/>
      <c r="K412" s="170"/>
      <c r="L412" s="170"/>
      <c r="M412" s="730"/>
      <c r="N412" s="730"/>
      <c r="O412" s="730"/>
      <c r="P412" s="731"/>
      <c r="Q412" s="731"/>
      <c r="R412" s="730"/>
      <c r="S412" s="730"/>
      <c r="T412" s="723"/>
      <c r="U412" s="724"/>
      <c r="V412" s="725"/>
      <c r="W412" s="725"/>
      <c r="X412" s="723"/>
      <c r="Y412" s="723"/>
      <c r="Z412" s="723"/>
      <c r="AA412" s="726"/>
      <c r="AB412" s="726"/>
      <c r="AC412" s="170"/>
      <c r="AD412" s="586"/>
      <c r="AE412" s="586"/>
      <c r="AF412" s="170"/>
      <c r="AG412" s="170"/>
      <c r="AH412" s="170"/>
      <c r="AI412" s="170"/>
      <c r="AJ412" s="170"/>
      <c r="AK412" s="170"/>
      <c r="AL412" s="170"/>
      <c r="AM412" s="170"/>
      <c r="AN412" s="170"/>
      <c r="AO412" s="170"/>
      <c r="AP412" s="170"/>
      <c r="AQ412" s="170"/>
      <c r="AR412" s="170"/>
      <c r="AS412" s="170"/>
    </row>
    <row r="413" spans="1:45" ht="15" x14ac:dyDescent="0.25">
      <c r="A413" s="170"/>
      <c r="B413" s="719"/>
      <c r="C413" s="170"/>
      <c r="D413" s="170"/>
      <c r="E413" s="170"/>
      <c r="F413" s="170"/>
      <c r="G413" s="721"/>
      <c r="H413" s="170"/>
      <c r="I413" s="170"/>
      <c r="J413" s="170"/>
      <c r="K413" s="170"/>
      <c r="L413" s="170"/>
      <c r="M413" s="730"/>
      <c r="N413" s="730"/>
      <c r="O413" s="730"/>
      <c r="P413" s="731"/>
      <c r="Q413" s="731"/>
      <c r="R413" s="730"/>
      <c r="S413" s="730"/>
      <c r="T413" s="723"/>
      <c r="U413" s="724"/>
      <c r="V413" s="725"/>
      <c r="W413" s="725"/>
      <c r="X413" s="723"/>
      <c r="Y413" s="723"/>
      <c r="Z413" s="723"/>
      <c r="AA413" s="726"/>
      <c r="AB413" s="726"/>
      <c r="AC413" s="170"/>
      <c r="AD413" s="586"/>
      <c r="AE413" s="586"/>
      <c r="AF413" s="170"/>
      <c r="AG413" s="170"/>
      <c r="AH413" s="170"/>
      <c r="AI413" s="170"/>
      <c r="AJ413" s="170"/>
      <c r="AK413" s="170"/>
      <c r="AL413" s="170"/>
      <c r="AM413" s="170"/>
      <c r="AN413" s="170"/>
      <c r="AO413" s="170"/>
      <c r="AP413" s="170"/>
      <c r="AQ413" s="170"/>
      <c r="AR413" s="170"/>
      <c r="AS413" s="170"/>
    </row>
    <row r="414" spans="1:45" ht="15" x14ac:dyDescent="0.25">
      <c r="A414" s="170"/>
      <c r="B414" s="719"/>
      <c r="C414" s="170"/>
      <c r="D414" s="170"/>
      <c r="E414" s="170"/>
      <c r="F414" s="170"/>
      <c r="G414" s="721"/>
      <c r="H414" s="170"/>
      <c r="I414" s="170"/>
      <c r="J414" s="170"/>
      <c r="K414" s="170"/>
      <c r="L414" s="170"/>
      <c r="M414" s="730"/>
      <c r="N414" s="730"/>
      <c r="O414" s="730"/>
      <c r="P414" s="731"/>
      <c r="Q414" s="731"/>
      <c r="R414" s="730"/>
      <c r="S414" s="730"/>
      <c r="T414" s="723"/>
      <c r="U414" s="724"/>
      <c r="V414" s="725"/>
      <c r="W414" s="725"/>
      <c r="X414" s="723"/>
      <c r="Y414" s="723"/>
      <c r="Z414" s="723"/>
      <c r="AA414" s="726"/>
      <c r="AB414" s="726"/>
      <c r="AC414" s="170"/>
      <c r="AD414" s="586"/>
      <c r="AE414" s="586"/>
      <c r="AF414" s="170"/>
      <c r="AG414" s="170"/>
      <c r="AH414" s="170"/>
      <c r="AI414" s="170"/>
      <c r="AJ414" s="170"/>
      <c r="AK414" s="170"/>
      <c r="AL414" s="170"/>
      <c r="AM414" s="170"/>
      <c r="AN414" s="170"/>
      <c r="AO414" s="170"/>
      <c r="AP414" s="170"/>
      <c r="AQ414" s="170"/>
      <c r="AR414" s="170"/>
      <c r="AS414" s="170"/>
    </row>
    <row r="415" spans="1:45" ht="15" x14ac:dyDescent="0.25">
      <c r="A415" s="170"/>
      <c r="B415" s="719"/>
      <c r="C415" s="170"/>
      <c r="D415" s="170"/>
      <c r="E415" s="170"/>
      <c r="F415" s="170"/>
      <c r="G415" s="721"/>
      <c r="H415" s="170"/>
      <c r="I415" s="170"/>
      <c r="J415" s="170"/>
      <c r="K415" s="170"/>
      <c r="L415" s="170"/>
      <c r="M415" s="730"/>
      <c r="N415" s="730"/>
      <c r="O415" s="730"/>
      <c r="P415" s="731"/>
      <c r="Q415" s="731"/>
      <c r="R415" s="730"/>
      <c r="S415" s="730"/>
      <c r="T415" s="723"/>
      <c r="U415" s="724"/>
      <c r="V415" s="725"/>
      <c r="W415" s="725"/>
      <c r="X415" s="723"/>
      <c r="Y415" s="723"/>
      <c r="Z415" s="723"/>
      <c r="AA415" s="726"/>
      <c r="AB415" s="726"/>
      <c r="AC415" s="170"/>
      <c r="AD415" s="586"/>
      <c r="AE415" s="586"/>
      <c r="AF415" s="170"/>
      <c r="AG415" s="170"/>
      <c r="AH415" s="170"/>
      <c r="AI415" s="170"/>
      <c r="AJ415" s="170"/>
      <c r="AK415" s="170"/>
      <c r="AL415" s="170"/>
      <c r="AM415" s="170"/>
      <c r="AN415" s="170"/>
      <c r="AO415" s="170"/>
      <c r="AP415" s="170"/>
      <c r="AQ415" s="170"/>
      <c r="AR415" s="170"/>
      <c r="AS415" s="170"/>
    </row>
    <row r="416" spans="1:45" ht="15" x14ac:dyDescent="0.25">
      <c r="A416" s="170"/>
      <c r="B416" s="719"/>
      <c r="C416" s="170"/>
      <c r="D416" s="170"/>
      <c r="E416" s="170"/>
      <c r="F416" s="170"/>
      <c r="G416" s="721"/>
      <c r="H416" s="170"/>
      <c r="I416" s="170"/>
      <c r="J416" s="170"/>
      <c r="K416" s="170"/>
      <c r="L416" s="170"/>
      <c r="M416" s="730"/>
      <c r="N416" s="730"/>
      <c r="O416" s="730"/>
      <c r="P416" s="731"/>
      <c r="Q416" s="731"/>
      <c r="R416" s="730"/>
      <c r="S416" s="730"/>
      <c r="T416" s="723"/>
      <c r="U416" s="724"/>
      <c r="V416" s="725"/>
      <c r="W416" s="725"/>
      <c r="X416" s="723"/>
      <c r="Y416" s="723"/>
      <c r="Z416" s="723"/>
      <c r="AA416" s="726"/>
      <c r="AB416" s="726"/>
      <c r="AC416" s="170"/>
      <c r="AD416" s="586"/>
      <c r="AE416" s="586"/>
      <c r="AF416" s="170"/>
      <c r="AG416" s="170"/>
      <c r="AH416" s="170"/>
      <c r="AI416" s="170"/>
      <c r="AJ416" s="170"/>
      <c r="AK416" s="170"/>
      <c r="AL416" s="170"/>
      <c r="AM416" s="170"/>
      <c r="AN416" s="170"/>
      <c r="AO416" s="170"/>
      <c r="AP416" s="170"/>
      <c r="AQ416" s="170"/>
      <c r="AR416" s="170"/>
      <c r="AS416" s="170"/>
    </row>
    <row r="417" spans="1:45" ht="15" x14ac:dyDescent="0.25">
      <c r="A417" s="170"/>
      <c r="B417" s="719"/>
      <c r="C417" s="170"/>
      <c r="D417" s="170"/>
      <c r="E417" s="170"/>
      <c r="F417" s="170"/>
      <c r="G417" s="721"/>
      <c r="H417" s="170"/>
      <c r="I417" s="170"/>
      <c r="J417" s="170"/>
      <c r="K417" s="170"/>
      <c r="L417" s="170"/>
      <c r="M417" s="730"/>
      <c r="N417" s="730"/>
      <c r="O417" s="730"/>
      <c r="P417" s="731"/>
      <c r="Q417" s="731"/>
      <c r="R417" s="730"/>
      <c r="S417" s="730"/>
      <c r="T417" s="723"/>
      <c r="U417" s="724"/>
      <c r="V417" s="725"/>
      <c r="W417" s="725"/>
      <c r="X417" s="723"/>
      <c r="Y417" s="723"/>
      <c r="Z417" s="723"/>
      <c r="AA417" s="726"/>
      <c r="AB417" s="726"/>
      <c r="AC417" s="170"/>
      <c r="AD417" s="586"/>
      <c r="AE417" s="586"/>
      <c r="AF417" s="170"/>
      <c r="AG417" s="170"/>
      <c r="AH417" s="170"/>
      <c r="AI417" s="170"/>
      <c r="AJ417" s="170"/>
      <c r="AK417" s="170"/>
      <c r="AL417" s="170"/>
      <c r="AM417" s="170"/>
      <c r="AN417" s="170"/>
      <c r="AO417" s="170"/>
      <c r="AP417" s="170"/>
      <c r="AQ417" s="170"/>
      <c r="AR417" s="170"/>
      <c r="AS417" s="170"/>
    </row>
    <row r="418" spans="1:45" ht="15" x14ac:dyDescent="0.25">
      <c r="A418" s="170"/>
      <c r="B418" s="719"/>
      <c r="C418" s="170"/>
      <c r="D418" s="170"/>
      <c r="E418" s="170"/>
      <c r="F418" s="170"/>
      <c r="G418" s="721"/>
      <c r="H418" s="170"/>
      <c r="I418" s="170"/>
      <c r="J418" s="170"/>
      <c r="K418" s="170"/>
      <c r="L418" s="170"/>
      <c r="M418" s="730"/>
      <c r="N418" s="730"/>
      <c r="O418" s="730"/>
      <c r="P418" s="731"/>
      <c r="Q418" s="731"/>
      <c r="R418" s="730"/>
      <c r="S418" s="730"/>
      <c r="T418" s="723"/>
      <c r="U418" s="724"/>
      <c r="V418" s="725"/>
      <c r="W418" s="725"/>
      <c r="X418" s="723"/>
      <c r="Y418" s="723"/>
      <c r="Z418" s="723"/>
      <c r="AA418" s="726"/>
      <c r="AB418" s="726"/>
      <c r="AC418" s="170"/>
      <c r="AD418" s="586"/>
      <c r="AE418" s="586"/>
      <c r="AF418" s="170"/>
      <c r="AG418" s="170"/>
      <c r="AH418" s="170"/>
      <c r="AI418" s="170"/>
      <c r="AJ418" s="170"/>
      <c r="AK418" s="170"/>
      <c r="AL418" s="170"/>
      <c r="AM418" s="170"/>
      <c r="AN418" s="170"/>
      <c r="AO418" s="170"/>
      <c r="AP418" s="170"/>
      <c r="AQ418" s="170"/>
      <c r="AR418" s="170"/>
      <c r="AS418" s="170"/>
    </row>
    <row r="419" spans="1:45" ht="15" x14ac:dyDescent="0.25">
      <c r="A419" s="170"/>
      <c r="B419" s="719"/>
      <c r="C419" s="170"/>
      <c r="D419" s="170"/>
      <c r="E419" s="170"/>
      <c r="F419" s="170"/>
      <c r="G419" s="721"/>
      <c r="H419" s="170"/>
      <c r="I419" s="170"/>
      <c r="J419" s="170"/>
      <c r="K419" s="170"/>
      <c r="L419" s="170"/>
      <c r="M419" s="730"/>
      <c r="N419" s="730"/>
      <c r="O419" s="730"/>
      <c r="P419" s="731"/>
      <c r="Q419" s="731"/>
      <c r="R419" s="730"/>
      <c r="S419" s="730"/>
      <c r="T419" s="723"/>
      <c r="U419" s="724"/>
      <c r="V419" s="725"/>
      <c r="W419" s="725"/>
      <c r="X419" s="723"/>
      <c r="Y419" s="723"/>
      <c r="Z419" s="723"/>
      <c r="AA419" s="726"/>
      <c r="AB419" s="726"/>
      <c r="AC419" s="170"/>
      <c r="AD419" s="586"/>
      <c r="AE419" s="586"/>
      <c r="AF419" s="170"/>
      <c r="AG419" s="170"/>
      <c r="AH419" s="170"/>
      <c r="AI419" s="170"/>
      <c r="AJ419" s="170"/>
      <c r="AK419" s="170"/>
      <c r="AL419" s="170"/>
      <c r="AM419" s="170"/>
      <c r="AN419" s="170"/>
      <c r="AO419" s="170"/>
      <c r="AP419" s="170"/>
      <c r="AQ419" s="170"/>
      <c r="AR419" s="170"/>
      <c r="AS419" s="170"/>
    </row>
    <row r="420" spans="1:45" ht="15" x14ac:dyDescent="0.25">
      <c r="A420" s="170"/>
      <c r="B420" s="719"/>
      <c r="C420" s="170"/>
      <c r="D420" s="170"/>
      <c r="E420" s="170"/>
      <c r="F420" s="170"/>
      <c r="G420" s="721"/>
      <c r="H420" s="170"/>
      <c r="I420" s="170"/>
      <c r="J420" s="170"/>
      <c r="K420" s="170"/>
      <c r="L420" s="170"/>
      <c r="M420" s="730"/>
      <c r="N420" s="730"/>
      <c r="O420" s="730"/>
      <c r="P420" s="731"/>
      <c r="Q420" s="731"/>
      <c r="R420" s="730"/>
      <c r="S420" s="730"/>
      <c r="T420" s="723"/>
      <c r="U420" s="724"/>
      <c r="V420" s="725"/>
      <c r="W420" s="725"/>
      <c r="X420" s="723"/>
      <c r="Y420" s="723"/>
      <c r="Z420" s="723"/>
      <c r="AA420" s="726"/>
      <c r="AB420" s="726"/>
      <c r="AC420" s="170"/>
      <c r="AD420" s="586"/>
      <c r="AE420" s="586"/>
      <c r="AF420" s="170"/>
      <c r="AG420" s="170"/>
      <c r="AH420" s="170"/>
      <c r="AI420" s="170"/>
      <c r="AJ420" s="170"/>
      <c r="AK420" s="170"/>
      <c r="AL420" s="170"/>
      <c r="AM420" s="170"/>
      <c r="AN420" s="170"/>
      <c r="AO420" s="170"/>
      <c r="AP420" s="170"/>
      <c r="AQ420" s="170"/>
      <c r="AR420" s="170"/>
      <c r="AS420" s="170"/>
    </row>
    <row r="421" spans="1:45" ht="15" x14ac:dyDescent="0.25">
      <c r="A421" s="170"/>
      <c r="B421" s="719"/>
      <c r="C421" s="170"/>
      <c r="D421" s="170"/>
      <c r="E421" s="170"/>
      <c r="F421" s="170"/>
      <c r="G421" s="721"/>
      <c r="H421" s="170"/>
      <c r="I421" s="170"/>
      <c r="J421" s="170"/>
      <c r="K421" s="170"/>
      <c r="L421" s="170"/>
      <c r="M421" s="730"/>
      <c r="N421" s="730"/>
      <c r="O421" s="730"/>
      <c r="P421" s="731"/>
      <c r="Q421" s="731"/>
      <c r="R421" s="730"/>
      <c r="S421" s="730"/>
      <c r="T421" s="723"/>
      <c r="U421" s="724"/>
      <c r="V421" s="725"/>
      <c r="W421" s="725"/>
      <c r="X421" s="723"/>
      <c r="Y421" s="723"/>
      <c r="Z421" s="723"/>
      <c r="AA421" s="726"/>
      <c r="AB421" s="726"/>
      <c r="AC421" s="170"/>
      <c r="AD421" s="586"/>
      <c r="AE421" s="586"/>
      <c r="AF421" s="170"/>
      <c r="AG421" s="170"/>
      <c r="AH421" s="170"/>
      <c r="AI421" s="170"/>
      <c r="AJ421" s="170"/>
      <c r="AK421" s="170"/>
      <c r="AL421" s="170"/>
      <c r="AM421" s="170"/>
      <c r="AN421" s="170"/>
      <c r="AO421" s="170"/>
      <c r="AP421" s="170"/>
      <c r="AQ421" s="170"/>
      <c r="AR421" s="170"/>
      <c r="AS421" s="170"/>
    </row>
    <row r="422" spans="1:45" ht="15" x14ac:dyDescent="0.25">
      <c r="A422" s="170"/>
      <c r="B422" s="719"/>
      <c r="C422" s="170"/>
      <c r="D422" s="170"/>
      <c r="E422" s="170"/>
      <c r="F422" s="170"/>
      <c r="G422" s="721"/>
      <c r="H422" s="170"/>
      <c r="I422" s="170"/>
      <c r="J422" s="170"/>
      <c r="K422" s="170"/>
      <c r="L422" s="170"/>
      <c r="M422" s="730"/>
      <c r="N422" s="730"/>
      <c r="O422" s="730"/>
      <c r="P422" s="731"/>
      <c r="Q422" s="731"/>
      <c r="R422" s="730"/>
      <c r="S422" s="730"/>
      <c r="T422" s="723"/>
      <c r="U422" s="724"/>
      <c r="V422" s="725"/>
      <c r="W422" s="725"/>
      <c r="X422" s="723"/>
      <c r="Y422" s="723"/>
      <c r="Z422" s="723"/>
      <c r="AA422" s="726"/>
      <c r="AB422" s="726"/>
      <c r="AC422" s="170"/>
      <c r="AD422" s="586"/>
      <c r="AE422" s="586"/>
      <c r="AF422" s="170"/>
      <c r="AG422" s="170"/>
      <c r="AH422" s="170"/>
      <c r="AI422" s="170"/>
      <c r="AJ422" s="170"/>
      <c r="AK422" s="170"/>
      <c r="AL422" s="170"/>
      <c r="AM422" s="170"/>
      <c r="AN422" s="170"/>
      <c r="AO422" s="170"/>
      <c r="AP422" s="170"/>
      <c r="AQ422" s="170"/>
      <c r="AR422" s="170"/>
      <c r="AS422" s="170"/>
    </row>
    <row r="423" spans="1:45" ht="15" x14ac:dyDescent="0.25">
      <c r="A423" s="170"/>
      <c r="B423" s="719"/>
      <c r="C423" s="170"/>
      <c r="D423" s="170"/>
      <c r="E423" s="170"/>
      <c r="F423" s="170"/>
      <c r="G423" s="721"/>
      <c r="H423" s="170"/>
      <c r="I423" s="170"/>
      <c r="J423" s="170"/>
      <c r="K423" s="170"/>
      <c r="L423" s="170"/>
      <c r="M423" s="730"/>
      <c r="N423" s="730"/>
      <c r="O423" s="730"/>
      <c r="P423" s="731"/>
      <c r="Q423" s="731"/>
      <c r="R423" s="730"/>
      <c r="S423" s="730"/>
      <c r="T423" s="723"/>
      <c r="U423" s="724"/>
      <c r="V423" s="725"/>
      <c r="W423" s="725"/>
      <c r="X423" s="723"/>
      <c r="Y423" s="723"/>
      <c r="Z423" s="723"/>
      <c r="AA423" s="726"/>
      <c r="AB423" s="726"/>
      <c r="AC423" s="170"/>
      <c r="AD423" s="586"/>
      <c r="AE423" s="586"/>
      <c r="AF423" s="170"/>
      <c r="AG423" s="170"/>
      <c r="AH423" s="170"/>
      <c r="AI423" s="170"/>
      <c r="AJ423" s="170"/>
      <c r="AK423" s="170"/>
      <c r="AL423" s="170"/>
      <c r="AM423" s="170"/>
      <c r="AN423" s="170"/>
      <c r="AO423" s="170"/>
      <c r="AP423" s="170"/>
      <c r="AQ423" s="170"/>
      <c r="AR423" s="170"/>
      <c r="AS423" s="170"/>
    </row>
    <row r="424" spans="1:45" ht="15" x14ac:dyDescent="0.25">
      <c r="A424" s="170"/>
      <c r="B424" s="719"/>
      <c r="C424" s="170"/>
      <c r="D424" s="170"/>
      <c r="E424" s="170"/>
      <c r="F424" s="170"/>
      <c r="G424" s="721"/>
      <c r="H424" s="170"/>
      <c r="I424" s="170"/>
      <c r="J424" s="170"/>
      <c r="K424" s="170"/>
      <c r="L424" s="170"/>
      <c r="M424" s="730"/>
      <c r="N424" s="730"/>
      <c r="O424" s="730"/>
      <c r="P424" s="731"/>
      <c r="Q424" s="731"/>
      <c r="R424" s="730"/>
      <c r="S424" s="730"/>
      <c r="T424" s="723"/>
      <c r="U424" s="724"/>
      <c r="V424" s="725"/>
      <c r="W424" s="725"/>
      <c r="X424" s="723"/>
      <c r="Y424" s="723"/>
      <c r="Z424" s="723"/>
      <c r="AA424" s="726"/>
      <c r="AB424" s="726"/>
      <c r="AC424" s="170"/>
      <c r="AD424" s="586"/>
      <c r="AE424" s="586"/>
      <c r="AF424" s="170"/>
      <c r="AG424" s="170"/>
      <c r="AH424" s="170"/>
      <c r="AI424" s="170"/>
      <c r="AJ424" s="170"/>
      <c r="AK424" s="170"/>
      <c r="AL424" s="170"/>
      <c r="AM424" s="170"/>
      <c r="AN424" s="170"/>
      <c r="AO424" s="170"/>
      <c r="AP424" s="170"/>
      <c r="AQ424" s="170"/>
      <c r="AR424" s="170"/>
      <c r="AS424" s="170"/>
    </row>
    <row r="425" spans="1:45" ht="15" x14ac:dyDescent="0.25">
      <c r="A425" s="170"/>
      <c r="B425" s="719"/>
      <c r="C425" s="170"/>
      <c r="D425" s="170"/>
      <c r="E425" s="170"/>
      <c r="F425" s="170"/>
      <c r="G425" s="721"/>
      <c r="H425" s="170"/>
      <c r="I425" s="170"/>
      <c r="J425" s="170"/>
      <c r="K425" s="170"/>
      <c r="L425" s="170"/>
      <c r="M425" s="730"/>
      <c r="N425" s="730"/>
      <c r="O425" s="730"/>
      <c r="P425" s="731"/>
      <c r="Q425" s="731"/>
      <c r="R425" s="730"/>
      <c r="S425" s="730"/>
      <c r="T425" s="723"/>
      <c r="U425" s="724"/>
      <c r="V425" s="725"/>
      <c r="W425" s="725"/>
      <c r="X425" s="723"/>
      <c r="Y425" s="723"/>
      <c r="Z425" s="723"/>
      <c r="AA425" s="726"/>
      <c r="AB425" s="726"/>
      <c r="AC425" s="170"/>
      <c r="AD425" s="586"/>
      <c r="AE425" s="586"/>
      <c r="AF425" s="170"/>
      <c r="AG425" s="170"/>
      <c r="AH425" s="170"/>
      <c r="AI425" s="170"/>
      <c r="AJ425" s="170"/>
      <c r="AK425" s="170"/>
      <c r="AL425" s="170"/>
      <c r="AM425" s="170"/>
      <c r="AN425" s="170"/>
      <c r="AO425" s="170"/>
      <c r="AP425" s="170"/>
      <c r="AQ425" s="170"/>
      <c r="AR425" s="170"/>
      <c r="AS425" s="170"/>
    </row>
    <row r="426" spans="1:45" ht="15" x14ac:dyDescent="0.25">
      <c r="A426" s="170"/>
      <c r="B426" s="719"/>
      <c r="C426" s="170"/>
      <c r="D426" s="170"/>
      <c r="E426" s="170"/>
      <c r="F426" s="170"/>
      <c r="G426" s="721"/>
      <c r="H426" s="170"/>
      <c r="I426" s="170"/>
      <c r="J426" s="170"/>
      <c r="K426" s="170"/>
      <c r="L426" s="170"/>
      <c r="M426" s="730"/>
      <c r="N426" s="730"/>
      <c r="O426" s="730"/>
      <c r="P426" s="731"/>
      <c r="Q426" s="731"/>
      <c r="R426" s="730"/>
      <c r="S426" s="730"/>
      <c r="T426" s="723"/>
      <c r="U426" s="724"/>
      <c r="V426" s="725"/>
      <c r="W426" s="725"/>
      <c r="X426" s="723"/>
      <c r="Y426" s="723"/>
      <c r="Z426" s="723"/>
      <c r="AA426" s="726"/>
      <c r="AB426" s="726"/>
      <c r="AC426" s="170"/>
      <c r="AD426" s="586"/>
      <c r="AE426" s="586"/>
      <c r="AF426" s="170"/>
      <c r="AG426" s="170"/>
      <c r="AH426" s="170"/>
      <c r="AI426" s="170"/>
      <c r="AJ426" s="170"/>
      <c r="AK426" s="170"/>
      <c r="AL426" s="170"/>
      <c r="AM426" s="170"/>
      <c r="AN426" s="170"/>
      <c r="AO426" s="170"/>
      <c r="AP426" s="170"/>
      <c r="AQ426" s="170"/>
      <c r="AR426" s="170"/>
      <c r="AS426" s="170"/>
    </row>
    <row r="427" spans="1:45" ht="15" x14ac:dyDescent="0.25">
      <c r="A427" s="170"/>
      <c r="B427" s="719"/>
      <c r="C427" s="170"/>
      <c r="D427" s="170"/>
      <c r="E427" s="170"/>
      <c r="F427" s="170"/>
      <c r="G427" s="721"/>
      <c r="H427" s="170"/>
      <c r="I427" s="170"/>
      <c r="J427" s="170"/>
      <c r="K427" s="170"/>
      <c r="L427" s="170"/>
      <c r="M427" s="730"/>
      <c r="N427" s="730"/>
      <c r="O427" s="730"/>
      <c r="P427" s="731"/>
      <c r="Q427" s="731"/>
      <c r="R427" s="730"/>
      <c r="S427" s="730"/>
      <c r="T427" s="723"/>
      <c r="U427" s="724"/>
      <c r="V427" s="725"/>
      <c r="W427" s="725"/>
      <c r="X427" s="723"/>
      <c r="Y427" s="723"/>
      <c r="Z427" s="723"/>
      <c r="AA427" s="726"/>
      <c r="AB427" s="726"/>
      <c r="AC427" s="170"/>
      <c r="AD427" s="586"/>
      <c r="AE427" s="586"/>
      <c r="AF427" s="170"/>
      <c r="AG427" s="170"/>
      <c r="AH427" s="170"/>
      <c r="AI427" s="170"/>
      <c r="AJ427" s="170"/>
      <c r="AK427" s="170"/>
      <c r="AL427" s="170"/>
      <c r="AM427" s="170"/>
      <c r="AN427" s="170"/>
      <c r="AO427" s="170"/>
      <c r="AP427" s="170"/>
      <c r="AQ427" s="170"/>
      <c r="AR427" s="170"/>
      <c r="AS427" s="170"/>
    </row>
    <row r="428" spans="1:45" ht="15" x14ac:dyDescent="0.25">
      <c r="A428" s="170"/>
      <c r="B428" s="719"/>
      <c r="C428" s="170"/>
      <c r="D428" s="170"/>
      <c r="E428" s="170"/>
      <c r="F428" s="170"/>
      <c r="G428" s="721"/>
      <c r="H428" s="170"/>
      <c r="I428" s="170"/>
      <c r="J428" s="170"/>
      <c r="K428" s="170"/>
      <c r="L428" s="170"/>
      <c r="M428" s="730"/>
      <c r="N428" s="730"/>
      <c r="O428" s="730"/>
      <c r="P428" s="731"/>
      <c r="Q428" s="731"/>
      <c r="R428" s="730"/>
      <c r="S428" s="730"/>
      <c r="T428" s="723"/>
      <c r="U428" s="724"/>
      <c r="V428" s="725"/>
      <c r="W428" s="725"/>
      <c r="X428" s="723"/>
      <c r="Y428" s="723"/>
      <c r="Z428" s="723"/>
      <c r="AA428" s="726"/>
      <c r="AB428" s="726"/>
      <c r="AC428" s="170"/>
      <c r="AD428" s="586"/>
      <c r="AE428" s="586"/>
      <c r="AF428" s="170"/>
      <c r="AG428" s="170"/>
      <c r="AH428" s="170"/>
      <c r="AI428" s="170"/>
      <c r="AJ428" s="170"/>
      <c r="AK428" s="170"/>
      <c r="AL428" s="170"/>
      <c r="AM428" s="170"/>
      <c r="AN428" s="170"/>
      <c r="AO428" s="170"/>
      <c r="AP428" s="170"/>
      <c r="AQ428" s="170"/>
      <c r="AR428" s="170"/>
      <c r="AS428" s="170"/>
    </row>
    <row r="429" spans="1:45" ht="15" x14ac:dyDescent="0.25">
      <c r="A429" s="170"/>
      <c r="B429" s="719"/>
      <c r="C429" s="170"/>
      <c r="D429" s="170"/>
      <c r="E429" s="170"/>
      <c r="F429" s="170"/>
      <c r="G429" s="721"/>
      <c r="H429" s="170"/>
      <c r="I429" s="170"/>
      <c r="J429" s="170"/>
      <c r="K429" s="170"/>
      <c r="L429" s="170"/>
      <c r="M429" s="730"/>
      <c r="N429" s="730"/>
      <c r="O429" s="730"/>
      <c r="P429" s="731"/>
      <c r="Q429" s="731"/>
      <c r="R429" s="730"/>
      <c r="S429" s="730"/>
      <c r="T429" s="723"/>
      <c r="U429" s="724"/>
      <c r="V429" s="725"/>
      <c r="W429" s="725"/>
      <c r="X429" s="723"/>
      <c r="Y429" s="723"/>
      <c r="Z429" s="723"/>
      <c r="AA429" s="726"/>
      <c r="AB429" s="726"/>
      <c r="AC429" s="170"/>
      <c r="AD429" s="586"/>
      <c r="AE429" s="586"/>
      <c r="AF429" s="170"/>
      <c r="AG429" s="170"/>
      <c r="AH429" s="170"/>
      <c r="AI429" s="170"/>
      <c r="AJ429" s="170"/>
      <c r="AK429" s="170"/>
      <c r="AL429" s="170"/>
      <c r="AM429" s="170"/>
      <c r="AN429" s="170"/>
      <c r="AO429" s="170"/>
      <c r="AP429" s="170"/>
      <c r="AQ429" s="170"/>
      <c r="AR429" s="170"/>
      <c r="AS429" s="170"/>
    </row>
    <row r="430" spans="1:45" ht="15" x14ac:dyDescent="0.25">
      <c r="A430" s="170"/>
      <c r="B430" s="719"/>
      <c r="C430" s="170"/>
      <c r="D430" s="170"/>
      <c r="E430" s="170"/>
      <c r="F430" s="170"/>
      <c r="G430" s="721"/>
      <c r="H430" s="170"/>
      <c r="I430" s="170"/>
      <c r="J430" s="170"/>
      <c r="K430" s="170"/>
      <c r="L430" s="170"/>
      <c r="M430" s="730"/>
      <c r="N430" s="730"/>
      <c r="O430" s="730"/>
      <c r="P430" s="731"/>
      <c r="Q430" s="731"/>
      <c r="R430" s="730"/>
      <c r="S430" s="730"/>
      <c r="T430" s="723"/>
      <c r="U430" s="724"/>
      <c r="V430" s="725"/>
      <c r="W430" s="725"/>
      <c r="X430" s="723"/>
      <c r="Y430" s="723"/>
      <c r="Z430" s="723"/>
      <c r="AA430" s="726"/>
      <c r="AB430" s="726"/>
      <c r="AC430" s="170"/>
      <c r="AD430" s="586"/>
      <c r="AE430" s="586"/>
      <c r="AF430" s="170"/>
      <c r="AG430" s="170"/>
      <c r="AH430" s="170"/>
      <c r="AI430" s="170"/>
      <c r="AJ430" s="170"/>
      <c r="AK430" s="170"/>
      <c r="AL430" s="170"/>
      <c r="AM430" s="170"/>
      <c r="AN430" s="170"/>
      <c r="AO430" s="170"/>
      <c r="AP430" s="170"/>
      <c r="AQ430" s="170"/>
      <c r="AR430" s="170"/>
      <c r="AS430" s="170"/>
    </row>
    <row r="431" spans="1:45" ht="15" x14ac:dyDescent="0.25">
      <c r="A431" s="170"/>
      <c r="B431" s="719"/>
      <c r="C431" s="170"/>
      <c r="D431" s="170"/>
      <c r="E431" s="170"/>
      <c r="F431" s="170"/>
      <c r="G431" s="721"/>
      <c r="H431" s="170"/>
      <c r="I431" s="170"/>
      <c r="J431" s="170"/>
      <c r="K431" s="170"/>
      <c r="L431" s="170"/>
      <c r="M431" s="730"/>
      <c r="N431" s="730"/>
      <c r="O431" s="730"/>
      <c r="P431" s="731"/>
      <c r="Q431" s="731"/>
      <c r="R431" s="730"/>
      <c r="S431" s="730"/>
      <c r="T431" s="723"/>
      <c r="U431" s="724"/>
      <c r="V431" s="725"/>
      <c r="W431" s="725"/>
      <c r="X431" s="723"/>
      <c r="Y431" s="723"/>
      <c r="Z431" s="723"/>
      <c r="AA431" s="726"/>
      <c r="AB431" s="726"/>
      <c r="AC431" s="170"/>
      <c r="AD431" s="586"/>
      <c r="AE431" s="586"/>
      <c r="AF431" s="170"/>
      <c r="AG431" s="170"/>
      <c r="AH431" s="170"/>
      <c r="AI431" s="170"/>
      <c r="AJ431" s="170"/>
      <c r="AK431" s="170"/>
      <c r="AL431" s="170"/>
      <c r="AM431" s="170"/>
      <c r="AN431" s="170"/>
      <c r="AO431" s="170"/>
      <c r="AP431" s="170"/>
      <c r="AQ431" s="170"/>
      <c r="AR431" s="170"/>
      <c r="AS431" s="170"/>
    </row>
    <row r="432" spans="1:45" ht="15" x14ac:dyDescent="0.25">
      <c r="A432" s="170"/>
      <c r="B432" s="719"/>
      <c r="C432" s="170"/>
      <c r="D432" s="170"/>
      <c r="E432" s="170"/>
      <c r="F432" s="170"/>
      <c r="G432" s="721"/>
      <c r="H432" s="170"/>
      <c r="I432" s="170"/>
      <c r="J432" s="170"/>
      <c r="K432" s="170"/>
      <c r="L432" s="170"/>
      <c r="M432" s="730"/>
      <c r="N432" s="730"/>
      <c r="O432" s="730"/>
      <c r="P432" s="731"/>
      <c r="Q432" s="731"/>
      <c r="R432" s="730"/>
      <c r="S432" s="730"/>
      <c r="T432" s="723"/>
      <c r="U432" s="724"/>
      <c r="V432" s="725"/>
      <c r="W432" s="725"/>
      <c r="X432" s="723"/>
      <c r="Y432" s="723"/>
      <c r="Z432" s="723"/>
      <c r="AA432" s="726"/>
      <c r="AB432" s="726"/>
      <c r="AC432" s="170"/>
      <c r="AD432" s="586"/>
      <c r="AE432" s="586"/>
      <c r="AF432" s="170"/>
      <c r="AG432" s="170"/>
      <c r="AH432" s="170"/>
      <c r="AI432" s="170"/>
      <c r="AJ432" s="170"/>
      <c r="AK432" s="170"/>
      <c r="AL432" s="170"/>
      <c r="AM432" s="170"/>
      <c r="AN432" s="170"/>
      <c r="AO432" s="170"/>
      <c r="AP432" s="170"/>
      <c r="AQ432" s="170"/>
      <c r="AR432" s="170"/>
      <c r="AS432" s="170"/>
    </row>
    <row r="433" spans="1:45" ht="15" x14ac:dyDescent="0.25">
      <c r="A433" s="170"/>
      <c r="B433" s="719"/>
      <c r="C433" s="170"/>
      <c r="D433" s="170"/>
      <c r="E433" s="170"/>
      <c r="F433" s="170"/>
      <c r="G433" s="721"/>
      <c r="H433" s="170"/>
      <c r="I433" s="170"/>
      <c r="J433" s="170"/>
      <c r="K433" s="170"/>
      <c r="L433" s="170"/>
      <c r="M433" s="730"/>
      <c r="N433" s="730"/>
      <c r="O433" s="730"/>
      <c r="P433" s="731"/>
      <c r="Q433" s="731"/>
      <c r="R433" s="730"/>
      <c r="S433" s="730"/>
      <c r="T433" s="723"/>
      <c r="U433" s="724"/>
      <c r="V433" s="725"/>
      <c r="W433" s="725"/>
      <c r="X433" s="723"/>
      <c r="Y433" s="723"/>
      <c r="Z433" s="723"/>
      <c r="AA433" s="726"/>
      <c r="AB433" s="726"/>
      <c r="AC433" s="170"/>
      <c r="AD433" s="586"/>
      <c r="AE433" s="586"/>
      <c r="AF433" s="170"/>
      <c r="AG433" s="170"/>
      <c r="AH433" s="170"/>
      <c r="AI433" s="170"/>
      <c r="AJ433" s="170"/>
      <c r="AK433" s="170"/>
      <c r="AL433" s="170"/>
      <c r="AM433" s="170"/>
      <c r="AN433" s="170"/>
      <c r="AO433" s="170"/>
      <c r="AP433" s="170"/>
      <c r="AQ433" s="170"/>
      <c r="AR433" s="170"/>
      <c r="AS433" s="170"/>
    </row>
    <row r="434" spans="1:45" ht="15" x14ac:dyDescent="0.25">
      <c r="A434" s="170"/>
      <c r="B434" s="719"/>
      <c r="C434" s="170"/>
      <c r="D434" s="170"/>
      <c r="E434" s="170"/>
      <c r="F434" s="170"/>
      <c r="G434" s="721"/>
      <c r="H434" s="170"/>
      <c r="I434" s="170"/>
      <c r="J434" s="170"/>
      <c r="K434" s="170"/>
      <c r="L434" s="170"/>
      <c r="M434" s="730"/>
      <c r="N434" s="730"/>
      <c r="O434" s="730"/>
      <c r="P434" s="731"/>
      <c r="Q434" s="731"/>
      <c r="R434" s="730"/>
      <c r="S434" s="730"/>
      <c r="T434" s="723"/>
      <c r="U434" s="724"/>
      <c r="V434" s="725"/>
      <c r="W434" s="725"/>
      <c r="X434" s="723"/>
      <c r="Y434" s="723"/>
      <c r="Z434" s="723"/>
      <c r="AA434" s="726"/>
      <c r="AB434" s="726"/>
      <c r="AC434" s="170"/>
      <c r="AD434" s="586"/>
      <c r="AE434" s="586"/>
      <c r="AF434" s="170"/>
      <c r="AG434" s="170"/>
      <c r="AH434" s="170"/>
      <c r="AI434" s="170"/>
      <c r="AJ434" s="170"/>
      <c r="AK434" s="170"/>
      <c r="AL434" s="170"/>
      <c r="AM434" s="170"/>
      <c r="AN434" s="170"/>
      <c r="AO434" s="170"/>
      <c r="AP434" s="170"/>
      <c r="AQ434" s="170"/>
      <c r="AR434" s="170"/>
      <c r="AS434" s="170"/>
    </row>
    <row r="435" spans="1:45" ht="15" x14ac:dyDescent="0.25">
      <c r="A435" s="170"/>
      <c r="B435" s="719"/>
      <c r="C435" s="170"/>
      <c r="D435" s="170"/>
      <c r="E435" s="170"/>
      <c r="F435" s="170"/>
      <c r="G435" s="721"/>
      <c r="H435" s="170"/>
      <c r="I435" s="170"/>
      <c r="J435" s="170"/>
      <c r="K435" s="170"/>
      <c r="L435" s="170"/>
      <c r="M435" s="730"/>
      <c r="N435" s="730"/>
      <c r="O435" s="730"/>
      <c r="P435" s="731"/>
      <c r="Q435" s="731"/>
      <c r="R435" s="730"/>
      <c r="S435" s="730"/>
      <c r="T435" s="723"/>
      <c r="U435" s="724"/>
      <c r="V435" s="725"/>
      <c r="W435" s="725"/>
      <c r="X435" s="723"/>
      <c r="Y435" s="723"/>
      <c r="Z435" s="723"/>
      <c r="AA435" s="726"/>
      <c r="AB435" s="726"/>
      <c r="AC435" s="170"/>
      <c r="AD435" s="586"/>
      <c r="AE435" s="586"/>
      <c r="AF435" s="170"/>
      <c r="AG435" s="170"/>
      <c r="AH435" s="170"/>
      <c r="AI435" s="170"/>
      <c r="AJ435" s="170"/>
      <c r="AK435" s="170"/>
      <c r="AL435" s="170"/>
      <c r="AM435" s="170"/>
      <c r="AN435" s="170"/>
      <c r="AO435" s="170"/>
      <c r="AP435" s="170"/>
      <c r="AQ435" s="170"/>
      <c r="AR435" s="170"/>
      <c r="AS435" s="170"/>
    </row>
    <row r="436" spans="1:45" ht="15" x14ac:dyDescent="0.25">
      <c r="A436" s="170"/>
      <c r="B436" s="719"/>
      <c r="C436" s="170"/>
      <c r="D436" s="170"/>
      <c r="E436" s="170"/>
      <c r="F436" s="170"/>
      <c r="G436" s="721"/>
      <c r="H436" s="170"/>
      <c r="I436" s="170"/>
      <c r="J436" s="170"/>
      <c r="K436" s="170"/>
      <c r="L436" s="170"/>
      <c r="M436" s="730"/>
      <c r="N436" s="730"/>
      <c r="O436" s="730"/>
      <c r="P436" s="731"/>
      <c r="Q436" s="731"/>
      <c r="R436" s="730"/>
      <c r="S436" s="730"/>
      <c r="T436" s="723"/>
      <c r="U436" s="724"/>
      <c r="V436" s="725"/>
      <c r="W436" s="725"/>
      <c r="X436" s="723"/>
      <c r="Y436" s="723"/>
      <c r="Z436" s="723"/>
      <c r="AA436" s="726"/>
      <c r="AB436" s="726"/>
      <c r="AC436" s="170"/>
      <c r="AD436" s="586"/>
      <c r="AE436" s="586"/>
      <c r="AF436" s="170"/>
      <c r="AG436" s="170"/>
      <c r="AH436" s="170"/>
      <c r="AI436" s="170"/>
      <c r="AJ436" s="170"/>
      <c r="AK436" s="170"/>
      <c r="AL436" s="170"/>
      <c r="AM436" s="170"/>
      <c r="AN436" s="170"/>
      <c r="AO436" s="170"/>
      <c r="AP436" s="170"/>
      <c r="AQ436" s="170"/>
      <c r="AR436" s="170"/>
      <c r="AS436" s="170"/>
    </row>
    <row r="437" spans="1:45" ht="15" x14ac:dyDescent="0.25">
      <c r="A437" s="170"/>
      <c r="B437" s="719"/>
      <c r="C437" s="170"/>
      <c r="D437" s="170"/>
      <c r="E437" s="170"/>
      <c r="F437" s="170"/>
      <c r="G437" s="721"/>
      <c r="H437" s="170"/>
      <c r="I437" s="170"/>
      <c r="J437" s="170"/>
      <c r="K437" s="170"/>
      <c r="L437" s="170"/>
      <c r="M437" s="730"/>
      <c r="N437" s="730"/>
      <c r="O437" s="730"/>
      <c r="P437" s="731"/>
      <c r="Q437" s="731"/>
      <c r="R437" s="730"/>
      <c r="S437" s="730"/>
      <c r="T437" s="723"/>
      <c r="U437" s="724"/>
      <c r="V437" s="725"/>
      <c r="W437" s="725"/>
      <c r="X437" s="723"/>
      <c r="Y437" s="723"/>
      <c r="Z437" s="723"/>
      <c r="AA437" s="726"/>
      <c r="AB437" s="726"/>
      <c r="AC437" s="170"/>
      <c r="AD437" s="586"/>
      <c r="AE437" s="586"/>
      <c r="AF437" s="170"/>
      <c r="AG437" s="170"/>
      <c r="AH437" s="170"/>
      <c r="AI437" s="170"/>
      <c r="AJ437" s="170"/>
      <c r="AK437" s="170"/>
      <c r="AL437" s="170"/>
      <c r="AM437" s="170"/>
      <c r="AN437" s="170"/>
      <c r="AO437" s="170"/>
      <c r="AP437" s="170"/>
      <c r="AQ437" s="170"/>
      <c r="AR437" s="170"/>
      <c r="AS437" s="170"/>
    </row>
    <row r="438" spans="1:45" ht="15" x14ac:dyDescent="0.25">
      <c r="A438" s="170"/>
      <c r="B438" s="719"/>
      <c r="C438" s="170"/>
      <c r="D438" s="170"/>
      <c r="E438" s="170"/>
      <c r="F438" s="170"/>
      <c r="G438" s="721"/>
      <c r="H438" s="170"/>
      <c r="I438" s="170"/>
      <c r="J438" s="170"/>
      <c r="K438" s="170"/>
      <c r="L438" s="170"/>
      <c r="M438" s="730"/>
      <c r="N438" s="730"/>
      <c r="O438" s="730"/>
      <c r="P438" s="731"/>
      <c r="Q438" s="731"/>
      <c r="R438" s="730"/>
      <c r="S438" s="730"/>
      <c r="T438" s="723"/>
      <c r="U438" s="724"/>
      <c r="V438" s="725"/>
      <c r="W438" s="725"/>
      <c r="X438" s="723"/>
      <c r="Y438" s="723"/>
      <c r="Z438" s="723"/>
      <c r="AA438" s="726"/>
      <c r="AB438" s="726"/>
      <c r="AC438" s="170"/>
      <c r="AD438" s="586"/>
      <c r="AE438" s="586"/>
      <c r="AF438" s="170"/>
      <c r="AG438" s="170"/>
      <c r="AH438" s="170"/>
      <c r="AI438" s="170"/>
      <c r="AJ438" s="170"/>
      <c r="AK438" s="170"/>
      <c r="AL438" s="170"/>
      <c r="AM438" s="170"/>
      <c r="AN438" s="170"/>
      <c r="AO438" s="170"/>
      <c r="AP438" s="170"/>
      <c r="AQ438" s="170"/>
      <c r="AR438" s="170"/>
      <c r="AS438" s="170"/>
    </row>
    <row r="439" spans="1:45" ht="15" x14ac:dyDescent="0.25">
      <c r="A439" s="170"/>
      <c r="B439" s="719"/>
      <c r="C439" s="170"/>
      <c r="D439" s="170"/>
      <c r="E439" s="170"/>
      <c r="F439" s="170"/>
      <c r="G439" s="721"/>
      <c r="H439" s="170"/>
      <c r="I439" s="170"/>
      <c r="J439" s="170"/>
      <c r="K439" s="170"/>
      <c r="L439" s="170"/>
      <c r="M439" s="730"/>
      <c r="N439" s="730"/>
      <c r="O439" s="730"/>
      <c r="P439" s="731"/>
      <c r="Q439" s="731"/>
      <c r="R439" s="730"/>
      <c r="S439" s="730"/>
      <c r="T439" s="723"/>
      <c r="U439" s="724"/>
      <c r="V439" s="725"/>
      <c r="W439" s="725"/>
      <c r="X439" s="723"/>
      <c r="Y439" s="723"/>
      <c r="Z439" s="723"/>
      <c r="AA439" s="726"/>
      <c r="AB439" s="726"/>
      <c r="AC439" s="170"/>
      <c r="AD439" s="586"/>
      <c r="AE439" s="586"/>
      <c r="AF439" s="170"/>
      <c r="AG439" s="170"/>
      <c r="AH439" s="170"/>
      <c r="AI439" s="170"/>
      <c r="AJ439" s="170"/>
      <c r="AK439" s="170"/>
      <c r="AL439" s="170"/>
      <c r="AM439" s="170"/>
      <c r="AN439" s="170"/>
      <c r="AO439" s="170"/>
      <c r="AP439" s="170"/>
      <c r="AQ439" s="170"/>
      <c r="AR439" s="170"/>
      <c r="AS439" s="170"/>
    </row>
    <row r="440" spans="1:45" ht="15" x14ac:dyDescent="0.25">
      <c r="A440" s="170"/>
      <c r="B440" s="719"/>
      <c r="C440" s="170"/>
      <c r="D440" s="170"/>
      <c r="E440" s="170"/>
      <c r="F440" s="170"/>
      <c r="G440" s="721"/>
      <c r="H440" s="170"/>
      <c r="I440" s="170"/>
      <c r="J440" s="170"/>
      <c r="K440" s="170"/>
      <c r="L440" s="170"/>
      <c r="M440" s="730"/>
      <c r="N440" s="730"/>
      <c r="O440" s="730"/>
      <c r="P440" s="731"/>
      <c r="Q440" s="731"/>
      <c r="R440" s="730"/>
      <c r="S440" s="730"/>
      <c r="T440" s="723"/>
      <c r="U440" s="724"/>
      <c r="V440" s="725"/>
      <c r="W440" s="725"/>
      <c r="X440" s="723"/>
      <c r="Y440" s="723"/>
      <c r="Z440" s="723"/>
      <c r="AA440" s="726"/>
      <c r="AB440" s="726"/>
      <c r="AC440" s="170"/>
      <c r="AD440" s="586"/>
      <c r="AE440" s="586"/>
      <c r="AF440" s="170"/>
      <c r="AG440" s="170"/>
      <c r="AH440" s="170"/>
      <c r="AI440" s="170"/>
      <c r="AJ440" s="170"/>
      <c r="AK440" s="170"/>
      <c r="AL440" s="170"/>
      <c r="AM440" s="170"/>
      <c r="AN440" s="170"/>
      <c r="AO440" s="170"/>
      <c r="AP440" s="170"/>
      <c r="AQ440" s="170"/>
      <c r="AR440" s="170"/>
      <c r="AS440" s="170"/>
    </row>
    <row r="441" spans="1:45" ht="15" x14ac:dyDescent="0.25">
      <c r="A441" s="170"/>
      <c r="B441" s="719"/>
      <c r="C441" s="170"/>
      <c r="D441" s="170"/>
      <c r="E441" s="170"/>
      <c r="F441" s="170"/>
      <c r="G441" s="721"/>
      <c r="H441" s="170"/>
      <c r="I441" s="170"/>
      <c r="J441" s="170"/>
      <c r="K441" s="170"/>
      <c r="L441" s="170"/>
      <c r="M441" s="730"/>
      <c r="N441" s="730"/>
      <c r="O441" s="730"/>
      <c r="P441" s="731"/>
      <c r="Q441" s="731"/>
      <c r="R441" s="730"/>
      <c r="S441" s="730"/>
      <c r="T441" s="723"/>
      <c r="U441" s="724"/>
      <c r="V441" s="725"/>
      <c r="W441" s="725"/>
      <c r="X441" s="723"/>
      <c r="Y441" s="723"/>
      <c r="Z441" s="723"/>
      <c r="AA441" s="726"/>
      <c r="AB441" s="726"/>
      <c r="AC441" s="170"/>
      <c r="AD441" s="586"/>
      <c r="AE441" s="586"/>
      <c r="AF441" s="170"/>
      <c r="AG441" s="170"/>
      <c r="AH441" s="170"/>
      <c r="AI441" s="170"/>
      <c r="AJ441" s="170"/>
      <c r="AK441" s="170"/>
      <c r="AL441" s="170"/>
      <c r="AM441" s="170"/>
      <c r="AN441" s="170"/>
      <c r="AO441" s="170"/>
      <c r="AP441" s="170"/>
      <c r="AQ441" s="170"/>
      <c r="AR441" s="170"/>
      <c r="AS441" s="170"/>
    </row>
    <row r="442" spans="1:45" ht="15" x14ac:dyDescent="0.25">
      <c r="A442" s="170"/>
      <c r="B442" s="719"/>
      <c r="C442" s="170"/>
      <c r="D442" s="170"/>
      <c r="E442" s="170"/>
      <c r="F442" s="170"/>
      <c r="G442" s="721"/>
      <c r="H442" s="170"/>
      <c r="I442" s="170"/>
      <c r="J442" s="170"/>
      <c r="K442" s="170"/>
      <c r="L442" s="170"/>
      <c r="M442" s="730"/>
      <c r="N442" s="730"/>
      <c r="O442" s="730"/>
      <c r="P442" s="731"/>
      <c r="Q442" s="731"/>
      <c r="R442" s="730"/>
      <c r="S442" s="730"/>
      <c r="T442" s="723"/>
      <c r="U442" s="724"/>
      <c r="V442" s="725"/>
      <c r="W442" s="725"/>
      <c r="X442" s="723"/>
      <c r="Y442" s="723"/>
      <c r="Z442" s="723"/>
      <c r="AA442" s="726"/>
      <c r="AB442" s="726"/>
      <c r="AC442" s="170"/>
      <c r="AD442" s="586"/>
      <c r="AE442" s="586"/>
      <c r="AF442" s="170"/>
      <c r="AG442" s="170"/>
      <c r="AH442" s="170"/>
      <c r="AI442" s="170"/>
      <c r="AJ442" s="170"/>
      <c r="AK442" s="170"/>
      <c r="AL442" s="170"/>
      <c r="AM442" s="170"/>
      <c r="AN442" s="170"/>
      <c r="AO442" s="170"/>
      <c r="AP442" s="170"/>
      <c r="AQ442" s="170"/>
      <c r="AR442" s="170"/>
      <c r="AS442" s="170"/>
    </row>
    <row r="443" spans="1:45" ht="15" x14ac:dyDescent="0.25">
      <c r="A443" s="170"/>
      <c r="B443" s="719"/>
      <c r="C443" s="170"/>
      <c r="D443" s="170"/>
      <c r="E443" s="170"/>
      <c r="F443" s="170"/>
      <c r="G443" s="721"/>
      <c r="H443" s="170"/>
      <c r="I443" s="170"/>
      <c r="J443" s="170"/>
      <c r="K443" s="170"/>
      <c r="L443" s="170"/>
      <c r="M443" s="730"/>
      <c r="N443" s="730"/>
      <c r="O443" s="730"/>
      <c r="P443" s="731"/>
      <c r="Q443" s="731"/>
      <c r="R443" s="730"/>
      <c r="S443" s="730"/>
      <c r="T443" s="723"/>
      <c r="U443" s="724"/>
      <c r="V443" s="725"/>
      <c r="W443" s="725"/>
      <c r="X443" s="723"/>
      <c r="Y443" s="723"/>
      <c r="Z443" s="723"/>
      <c r="AA443" s="726"/>
      <c r="AB443" s="726"/>
      <c r="AC443" s="170"/>
      <c r="AD443" s="586"/>
      <c r="AE443" s="586"/>
      <c r="AF443" s="170"/>
      <c r="AG443" s="170"/>
      <c r="AH443" s="170"/>
      <c r="AI443" s="170"/>
      <c r="AJ443" s="170"/>
      <c r="AK443" s="170"/>
      <c r="AL443" s="170"/>
      <c r="AM443" s="170"/>
      <c r="AN443" s="170"/>
      <c r="AO443" s="170"/>
      <c r="AP443" s="170"/>
      <c r="AQ443" s="170"/>
      <c r="AR443" s="170"/>
      <c r="AS443" s="170"/>
    </row>
    <row r="444" spans="1:45" ht="15" x14ac:dyDescent="0.25">
      <c r="A444" s="170"/>
      <c r="B444" s="719"/>
      <c r="C444" s="170"/>
      <c r="D444" s="170"/>
      <c r="E444" s="170"/>
      <c r="F444" s="170"/>
      <c r="G444" s="721"/>
      <c r="H444" s="170"/>
      <c r="I444" s="170"/>
      <c r="J444" s="170"/>
      <c r="K444" s="170"/>
      <c r="L444" s="170"/>
      <c r="M444" s="730"/>
      <c r="N444" s="730"/>
      <c r="O444" s="730"/>
      <c r="P444" s="731"/>
      <c r="Q444" s="731"/>
      <c r="R444" s="730"/>
      <c r="S444" s="730"/>
      <c r="T444" s="723"/>
      <c r="U444" s="724"/>
      <c r="V444" s="725"/>
      <c r="W444" s="725"/>
      <c r="X444" s="723"/>
      <c r="Y444" s="723"/>
      <c r="Z444" s="723"/>
      <c r="AA444" s="726"/>
      <c r="AB444" s="726"/>
      <c r="AC444" s="170"/>
      <c r="AD444" s="586"/>
      <c r="AE444" s="586"/>
      <c r="AF444" s="170"/>
      <c r="AG444" s="170"/>
      <c r="AH444" s="170"/>
      <c r="AI444" s="170"/>
      <c r="AJ444" s="170"/>
      <c r="AK444" s="170"/>
      <c r="AL444" s="170"/>
      <c r="AM444" s="170"/>
      <c r="AN444" s="170"/>
      <c r="AO444" s="170"/>
      <c r="AP444" s="170"/>
      <c r="AQ444" s="170"/>
      <c r="AR444" s="170"/>
      <c r="AS444" s="170"/>
    </row>
    <row r="445" spans="1:45" ht="15" x14ac:dyDescent="0.25">
      <c r="A445" s="170"/>
      <c r="B445" s="719"/>
      <c r="C445" s="170"/>
      <c r="D445" s="170"/>
      <c r="E445" s="170"/>
      <c r="F445" s="170"/>
      <c r="G445" s="721"/>
      <c r="H445" s="170"/>
      <c r="I445" s="170"/>
      <c r="J445" s="170"/>
      <c r="K445" s="170"/>
      <c r="L445" s="170"/>
      <c r="M445" s="730"/>
      <c r="N445" s="730"/>
      <c r="O445" s="730"/>
      <c r="P445" s="731"/>
      <c r="Q445" s="731"/>
      <c r="R445" s="730"/>
      <c r="S445" s="730"/>
      <c r="T445" s="723"/>
      <c r="U445" s="724"/>
      <c r="V445" s="725"/>
      <c r="W445" s="725"/>
      <c r="X445" s="723"/>
      <c r="Y445" s="723"/>
      <c r="Z445" s="723"/>
      <c r="AA445" s="726"/>
      <c r="AB445" s="726"/>
      <c r="AC445" s="170"/>
      <c r="AD445" s="586"/>
      <c r="AE445" s="586"/>
      <c r="AF445" s="170"/>
      <c r="AG445" s="170"/>
      <c r="AH445" s="170"/>
      <c r="AI445" s="170"/>
      <c r="AJ445" s="170"/>
      <c r="AK445" s="170"/>
      <c r="AL445" s="170"/>
      <c r="AM445" s="170"/>
      <c r="AN445" s="170"/>
      <c r="AO445" s="170"/>
      <c r="AP445" s="170"/>
      <c r="AQ445" s="170"/>
      <c r="AR445" s="170"/>
      <c r="AS445" s="170"/>
    </row>
    <row r="446" spans="1:45" ht="15" x14ac:dyDescent="0.25">
      <c r="A446" s="170"/>
      <c r="B446" s="719"/>
      <c r="C446" s="170"/>
      <c r="D446" s="170"/>
      <c r="E446" s="170"/>
      <c r="F446" s="170"/>
      <c r="G446" s="721"/>
      <c r="H446" s="170"/>
      <c r="I446" s="170"/>
      <c r="J446" s="170"/>
      <c r="K446" s="170"/>
      <c r="L446" s="170"/>
      <c r="M446" s="730"/>
      <c r="N446" s="730"/>
      <c r="O446" s="730"/>
      <c r="P446" s="731"/>
      <c r="Q446" s="731"/>
      <c r="R446" s="730"/>
      <c r="S446" s="730"/>
      <c r="T446" s="723"/>
      <c r="U446" s="724"/>
      <c r="V446" s="725"/>
      <c r="W446" s="725"/>
      <c r="X446" s="723"/>
      <c r="Y446" s="723"/>
      <c r="Z446" s="723"/>
      <c r="AA446" s="726"/>
      <c r="AB446" s="726"/>
      <c r="AC446" s="170"/>
      <c r="AD446" s="586"/>
      <c r="AE446" s="586"/>
      <c r="AF446" s="170"/>
      <c r="AG446" s="170"/>
      <c r="AH446" s="170"/>
      <c r="AI446" s="170"/>
      <c r="AJ446" s="170"/>
      <c r="AK446" s="170"/>
      <c r="AL446" s="170"/>
      <c r="AM446" s="170"/>
      <c r="AN446" s="170"/>
      <c r="AO446" s="170"/>
      <c r="AP446" s="170"/>
      <c r="AQ446" s="170"/>
      <c r="AR446" s="170"/>
      <c r="AS446" s="170"/>
    </row>
    <row r="447" spans="1:45" ht="15" x14ac:dyDescent="0.25">
      <c r="A447" s="170"/>
      <c r="B447" s="719"/>
      <c r="C447" s="170"/>
      <c r="D447" s="170"/>
      <c r="E447" s="170"/>
      <c r="F447" s="170"/>
      <c r="G447" s="721"/>
      <c r="H447" s="170"/>
      <c r="I447" s="170"/>
      <c r="J447" s="170"/>
      <c r="K447" s="170"/>
      <c r="L447" s="170"/>
      <c r="M447" s="730"/>
      <c r="N447" s="730"/>
      <c r="O447" s="730"/>
      <c r="P447" s="731"/>
      <c r="Q447" s="731"/>
      <c r="R447" s="730"/>
      <c r="S447" s="730"/>
      <c r="T447" s="723"/>
      <c r="U447" s="724"/>
      <c r="V447" s="725"/>
      <c r="W447" s="725"/>
      <c r="X447" s="723"/>
      <c r="Y447" s="723"/>
      <c r="Z447" s="723"/>
      <c r="AA447" s="726"/>
      <c r="AB447" s="726"/>
      <c r="AC447" s="170"/>
      <c r="AD447" s="586"/>
      <c r="AE447" s="586"/>
      <c r="AF447" s="170"/>
      <c r="AG447" s="170"/>
      <c r="AH447" s="170"/>
      <c r="AI447" s="170"/>
      <c r="AJ447" s="170"/>
      <c r="AK447" s="170"/>
      <c r="AL447" s="170"/>
      <c r="AM447" s="170"/>
      <c r="AN447" s="170"/>
      <c r="AO447" s="170"/>
      <c r="AP447" s="170"/>
      <c r="AQ447" s="170"/>
      <c r="AR447" s="170"/>
      <c r="AS447" s="170"/>
    </row>
    <row r="448" spans="1:45" ht="15" x14ac:dyDescent="0.25">
      <c r="A448" s="170"/>
      <c r="B448" s="719"/>
      <c r="C448" s="170"/>
      <c r="D448" s="170"/>
      <c r="E448" s="170"/>
      <c r="F448" s="170"/>
      <c r="G448" s="721"/>
      <c r="H448" s="170"/>
      <c r="I448" s="170"/>
      <c r="J448" s="170"/>
      <c r="K448" s="170"/>
      <c r="L448" s="170"/>
      <c r="M448" s="730"/>
      <c r="N448" s="730"/>
      <c r="O448" s="730"/>
      <c r="P448" s="731"/>
      <c r="Q448" s="731"/>
      <c r="R448" s="730"/>
      <c r="S448" s="730"/>
      <c r="T448" s="723"/>
      <c r="U448" s="724"/>
      <c r="V448" s="725"/>
      <c r="W448" s="725"/>
      <c r="X448" s="723"/>
      <c r="Y448" s="723"/>
      <c r="Z448" s="723"/>
      <c r="AA448" s="726"/>
      <c r="AB448" s="726"/>
      <c r="AC448" s="170"/>
      <c r="AD448" s="586"/>
      <c r="AE448" s="586"/>
      <c r="AF448" s="170"/>
      <c r="AG448" s="170"/>
      <c r="AH448" s="170"/>
      <c r="AI448" s="170"/>
      <c r="AJ448" s="170"/>
      <c r="AK448" s="170"/>
      <c r="AL448" s="170"/>
      <c r="AM448" s="170"/>
      <c r="AN448" s="170"/>
      <c r="AO448" s="170"/>
      <c r="AP448" s="170"/>
      <c r="AQ448" s="170"/>
      <c r="AR448" s="170"/>
      <c r="AS448" s="170"/>
    </row>
    <row r="449" spans="1:45" ht="15" x14ac:dyDescent="0.25">
      <c r="A449" s="170"/>
      <c r="B449" s="719"/>
      <c r="C449" s="170"/>
      <c r="D449" s="170"/>
      <c r="E449" s="170"/>
      <c r="F449" s="170"/>
      <c r="G449" s="721"/>
      <c r="H449" s="170"/>
      <c r="I449" s="170"/>
      <c r="J449" s="170"/>
      <c r="K449" s="170"/>
      <c r="L449" s="170"/>
      <c r="M449" s="730"/>
      <c r="N449" s="730"/>
      <c r="O449" s="730"/>
      <c r="P449" s="731"/>
      <c r="Q449" s="731"/>
      <c r="R449" s="730"/>
      <c r="S449" s="730"/>
      <c r="T449" s="723"/>
      <c r="U449" s="724"/>
      <c r="V449" s="725"/>
      <c r="W449" s="725"/>
      <c r="X449" s="723"/>
      <c r="Y449" s="723"/>
      <c r="Z449" s="723"/>
      <c r="AA449" s="726"/>
      <c r="AB449" s="726"/>
      <c r="AC449" s="170"/>
      <c r="AD449" s="586"/>
      <c r="AE449" s="586"/>
      <c r="AF449" s="170"/>
      <c r="AG449" s="170"/>
      <c r="AH449" s="170"/>
      <c r="AI449" s="170"/>
      <c r="AJ449" s="170"/>
      <c r="AK449" s="170"/>
      <c r="AL449" s="170"/>
      <c r="AM449" s="170"/>
      <c r="AN449" s="170"/>
      <c r="AO449" s="170"/>
      <c r="AP449" s="170"/>
      <c r="AQ449" s="170"/>
      <c r="AR449" s="170"/>
      <c r="AS449" s="170"/>
    </row>
    <row r="450" spans="1:45" ht="15" x14ac:dyDescent="0.25">
      <c r="A450" s="170"/>
      <c r="B450" s="719"/>
      <c r="C450" s="170"/>
      <c r="D450" s="170"/>
      <c r="E450" s="170"/>
      <c r="F450" s="170"/>
      <c r="G450" s="721"/>
      <c r="H450" s="170"/>
      <c r="I450" s="170"/>
      <c r="J450" s="170"/>
      <c r="K450" s="170"/>
      <c r="L450" s="170"/>
      <c r="M450" s="730"/>
      <c r="N450" s="730"/>
      <c r="O450" s="730"/>
      <c r="P450" s="731"/>
      <c r="Q450" s="731"/>
      <c r="R450" s="730"/>
      <c r="S450" s="730"/>
      <c r="T450" s="723"/>
      <c r="U450" s="724"/>
      <c r="V450" s="725"/>
      <c r="W450" s="725"/>
      <c r="X450" s="723"/>
      <c r="Y450" s="723"/>
      <c r="Z450" s="723"/>
      <c r="AA450" s="726"/>
      <c r="AB450" s="726"/>
      <c r="AC450" s="170"/>
      <c r="AD450" s="586"/>
      <c r="AE450" s="586"/>
      <c r="AF450" s="170"/>
      <c r="AG450" s="170"/>
      <c r="AH450" s="170"/>
      <c r="AI450" s="170"/>
      <c r="AJ450" s="170"/>
      <c r="AK450" s="170"/>
      <c r="AL450" s="170"/>
      <c r="AM450" s="170"/>
      <c r="AN450" s="170"/>
      <c r="AO450" s="170"/>
      <c r="AP450" s="170"/>
      <c r="AQ450" s="170"/>
      <c r="AR450" s="170"/>
      <c r="AS450" s="170"/>
    </row>
    <row r="451" spans="1:45" ht="15" x14ac:dyDescent="0.25">
      <c r="A451" s="170"/>
      <c r="B451" s="719"/>
      <c r="C451" s="170"/>
      <c r="D451" s="170"/>
      <c r="E451" s="170"/>
      <c r="F451" s="170"/>
      <c r="G451" s="721"/>
      <c r="H451" s="170"/>
      <c r="I451" s="170"/>
      <c r="J451" s="170"/>
      <c r="K451" s="170"/>
      <c r="L451" s="170"/>
      <c r="M451" s="730"/>
      <c r="N451" s="730"/>
      <c r="O451" s="730"/>
      <c r="P451" s="731"/>
      <c r="Q451" s="731"/>
      <c r="R451" s="730"/>
      <c r="S451" s="730"/>
      <c r="T451" s="723"/>
      <c r="U451" s="724"/>
      <c r="V451" s="725"/>
      <c r="W451" s="725"/>
      <c r="X451" s="723"/>
      <c r="Y451" s="723"/>
      <c r="Z451" s="723"/>
      <c r="AA451" s="726"/>
      <c r="AB451" s="726"/>
      <c r="AC451" s="170"/>
      <c r="AD451" s="586"/>
      <c r="AE451" s="586"/>
      <c r="AF451" s="170"/>
      <c r="AG451" s="170"/>
      <c r="AH451" s="170"/>
      <c r="AI451" s="170"/>
      <c r="AJ451" s="170"/>
      <c r="AK451" s="170"/>
      <c r="AL451" s="170"/>
      <c r="AM451" s="170"/>
      <c r="AN451" s="170"/>
      <c r="AO451" s="170"/>
      <c r="AP451" s="170"/>
      <c r="AQ451" s="170"/>
      <c r="AR451" s="170"/>
      <c r="AS451" s="170"/>
    </row>
    <row r="452" spans="1:45" ht="15" x14ac:dyDescent="0.25">
      <c r="A452" s="170"/>
      <c r="B452" s="719"/>
      <c r="C452" s="170"/>
      <c r="D452" s="170"/>
      <c r="E452" s="170"/>
      <c r="F452" s="170"/>
      <c r="G452" s="721"/>
      <c r="H452" s="170"/>
      <c r="I452" s="170"/>
      <c r="J452" s="170"/>
      <c r="K452" s="170"/>
      <c r="L452" s="170"/>
      <c r="M452" s="730"/>
      <c r="N452" s="730"/>
      <c r="O452" s="730"/>
      <c r="P452" s="731"/>
      <c r="Q452" s="731"/>
      <c r="R452" s="730"/>
      <c r="S452" s="730"/>
      <c r="T452" s="723"/>
      <c r="U452" s="724"/>
      <c r="V452" s="725"/>
      <c r="W452" s="725"/>
      <c r="X452" s="723"/>
      <c r="Y452" s="723"/>
      <c r="Z452" s="723"/>
      <c r="AA452" s="726"/>
      <c r="AB452" s="726"/>
      <c r="AC452" s="170"/>
      <c r="AD452" s="586"/>
      <c r="AE452" s="586"/>
      <c r="AF452" s="170"/>
      <c r="AG452" s="170"/>
      <c r="AH452" s="170"/>
      <c r="AI452" s="170"/>
      <c r="AJ452" s="170"/>
      <c r="AK452" s="170"/>
      <c r="AL452" s="170"/>
      <c r="AM452" s="170"/>
      <c r="AN452" s="170"/>
      <c r="AO452" s="170"/>
      <c r="AP452" s="170"/>
      <c r="AQ452" s="170"/>
      <c r="AR452" s="170"/>
      <c r="AS452" s="170"/>
    </row>
    <row r="453" spans="1:45" ht="15" x14ac:dyDescent="0.25">
      <c r="A453" s="170"/>
      <c r="B453" s="719"/>
      <c r="C453" s="170"/>
      <c r="D453" s="170"/>
      <c r="E453" s="170"/>
      <c r="F453" s="170"/>
      <c r="G453" s="721"/>
      <c r="H453" s="170"/>
      <c r="I453" s="170"/>
      <c r="J453" s="170"/>
      <c r="K453" s="170"/>
      <c r="L453" s="170"/>
      <c r="M453" s="730"/>
      <c r="N453" s="730"/>
      <c r="O453" s="730"/>
      <c r="P453" s="731"/>
      <c r="Q453" s="731"/>
      <c r="R453" s="730"/>
      <c r="S453" s="730"/>
      <c r="T453" s="723"/>
      <c r="U453" s="724"/>
      <c r="V453" s="725"/>
      <c r="W453" s="725"/>
      <c r="X453" s="723"/>
      <c r="Y453" s="723"/>
      <c r="Z453" s="723"/>
      <c r="AA453" s="726"/>
      <c r="AB453" s="726"/>
      <c r="AC453" s="170"/>
      <c r="AD453" s="586"/>
      <c r="AE453" s="586"/>
      <c r="AF453" s="170"/>
      <c r="AG453" s="170"/>
      <c r="AH453" s="170"/>
      <c r="AI453" s="170"/>
      <c r="AJ453" s="170"/>
      <c r="AK453" s="170"/>
      <c r="AL453" s="170"/>
      <c r="AM453" s="170"/>
      <c r="AN453" s="170"/>
      <c r="AO453" s="170"/>
      <c r="AP453" s="170"/>
      <c r="AQ453" s="170"/>
      <c r="AR453" s="170"/>
      <c r="AS453" s="170"/>
    </row>
    <row r="454" spans="1:45" ht="15" x14ac:dyDescent="0.25">
      <c r="A454" s="170"/>
      <c r="B454" s="719"/>
      <c r="C454" s="170"/>
      <c r="D454" s="170"/>
      <c r="E454" s="170"/>
      <c r="F454" s="170"/>
      <c r="G454" s="721"/>
      <c r="H454" s="170"/>
      <c r="I454" s="170"/>
      <c r="J454" s="170"/>
      <c r="K454" s="170"/>
      <c r="L454" s="170"/>
      <c r="M454" s="730"/>
      <c r="N454" s="730"/>
      <c r="O454" s="730"/>
      <c r="P454" s="731"/>
      <c r="Q454" s="731"/>
      <c r="R454" s="730"/>
      <c r="S454" s="730"/>
      <c r="T454" s="723"/>
      <c r="U454" s="724"/>
      <c r="V454" s="725"/>
      <c r="W454" s="725"/>
      <c r="X454" s="723"/>
      <c r="Y454" s="723"/>
      <c r="Z454" s="723"/>
      <c r="AA454" s="726"/>
      <c r="AB454" s="726"/>
      <c r="AC454" s="170"/>
      <c r="AD454" s="586"/>
      <c r="AE454" s="586"/>
      <c r="AF454" s="170"/>
      <c r="AG454" s="170"/>
      <c r="AH454" s="170"/>
      <c r="AI454" s="170"/>
      <c r="AJ454" s="170"/>
      <c r="AK454" s="170"/>
      <c r="AL454" s="170"/>
      <c r="AM454" s="170"/>
      <c r="AN454" s="170"/>
      <c r="AO454" s="170"/>
      <c r="AP454" s="170"/>
      <c r="AQ454" s="170"/>
      <c r="AR454" s="170"/>
      <c r="AS454" s="170"/>
    </row>
    <row r="455" spans="1:45" ht="15" x14ac:dyDescent="0.25">
      <c r="A455" s="170"/>
      <c r="B455" s="719"/>
      <c r="C455" s="170"/>
      <c r="D455" s="170"/>
      <c r="E455" s="170"/>
      <c r="F455" s="170"/>
      <c r="G455" s="721"/>
      <c r="H455" s="170"/>
      <c r="I455" s="170"/>
      <c r="J455" s="170"/>
      <c r="K455" s="170"/>
      <c r="L455" s="170"/>
      <c r="M455" s="730"/>
      <c r="N455" s="730"/>
      <c r="O455" s="730"/>
      <c r="P455" s="731"/>
      <c r="Q455" s="731"/>
      <c r="R455" s="730"/>
      <c r="S455" s="730"/>
      <c r="T455" s="723"/>
      <c r="U455" s="724"/>
      <c r="V455" s="725"/>
      <c r="W455" s="725"/>
      <c r="X455" s="723"/>
      <c r="Y455" s="723"/>
      <c r="Z455" s="723"/>
      <c r="AA455" s="726"/>
      <c r="AB455" s="726"/>
      <c r="AC455" s="170"/>
      <c r="AD455" s="586"/>
      <c r="AE455" s="586"/>
      <c r="AF455" s="170"/>
      <c r="AG455" s="170"/>
      <c r="AH455" s="170"/>
      <c r="AI455" s="170"/>
      <c r="AJ455" s="170"/>
      <c r="AK455" s="170"/>
      <c r="AL455" s="170"/>
      <c r="AM455" s="170"/>
      <c r="AN455" s="170"/>
      <c r="AO455" s="170"/>
      <c r="AP455" s="170"/>
      <c r="AQ455" s="170"/>
      <c r="AR455" s="170"/>
      <c r="AS455" s="170"/>
    </row>
    <row r="456" spans="1:45" ht="15" x14ac:dyDescent="0.25">
      <c r="A456" s="170"/>
      <c r="B456" s="719"/>
      <c r="C456" s="170"/>
      <c r="D456" s="170"/>
      <c r="E456" s="170"/>
      <c r="F456" s="170"/>
      <c r="G456" s="721"/>
      <c r="H456" s="170"/>
      <c r="I456" s="170"/>
      <c r="J456" s="170"/>
      <c r="K456" s="170"/>
      <c r="L456" s="170"/>
      <c r="M456" s="730"/>
      <c r="N456" s="730"/>
      <c r="O456" s="730"/>
      <c r="P456" s="731"/>
      <c r="Q456" s="731"/>
      <c r="R456" s="730"/>
      <c r="S456" s="730"/>
      <c r="T456" s="723"/>
      <c r="U456" s="724"/>
      <c r="V456" s="725"/>
      <c r="W456" s="725"/>
      <c r="X456" s="723"/>
      <c r="Y456" s="723"/>
      <c r="Z456" s="723"/>
      <c r="AA456" s="726"/>
      <c r="AB456" s="726"/>
      <c r="AC456" s="170"/>
      <c r="AD456" s="586"/>
      <c r="AE456" s="586"/>
      <c r="AF456" s="170"/>
      <c r="AG456" s="170"/>
      <c r="AH456" s="170"/>
      <c r="AI456" s="170"/>
      <c r="AJ456" s="170"/>
      <c r="AK456" s="170"/>
      <c r="AL456" s="170"/>
      <c r="AM456" s="170"/>
      <c r="AN456" s="170"/>
      <c r="AO456" s="170"/>
      <c r="AP456" s="170"/>
      <c r="AQ456" s="170"/>
      <c r="AR456" s="170"/>
      <c r="AS456" s="170"/>
    </row>
    <row r="457" spans="1:45" ht="15" x14ac:dyDescent="0.25">
      <c r="A457" s="170"/>
      <c r="B457" s="719"/>
      <c r="C457" s="170"/>
      <c r="D457" s="170"/>
      <c r="E457" s="170"/>
      <c r="F457" s="170"/>
      <c r="G457" s="721"/>
      <c r="H457" s="170"/>
      <c r="I457" s="170"/>
      <c r="J457" s="170"/>
      <c r="K457" s="170"/>
      <c r="L457" s="170"/>
      <c r="M457" s="730"/>
      <c r="N457" s="730"/>
      <c r="O457" s="730"/>
      <c r="P457" s="731"/>
      <c r="Q457" s="731"/>
      <c r="R457" s="730"/>
      <c r="S457" s="730"/>
      <c r="T457" s="723"/>
      <c r="U457" s="724"/>
      <c r="V457" s="725"/>
      <c r="W457" s="725"/>
      <c r="X457" s="723"/>
      <c r="Y457" s="723"/>
      <c r="Z457" s="723"/>
      <c r="AA457" s="726"/>
      <c r="AB457" s="726"/>
      <c r="AC457" s="170"/>
      <c r="AD457" s="586"/>
      <c r="AE457" s="586"/>
      <c r="AF457" s="170"/>
      <c r="AG457" s="170"/>
      <c r="AH457" s="170"/>
      <c r="AI457" s="170"/>
      <c r="AJ457" s="170"/>
      <c r="AK457" s="170"/>
      <c r="AL457" s="170"/>
      <c r="AM457" s="170"/>
      <c r="AN457" s="170"/>
      <c r="AO457" s="170"/>
      <c r="AP457" s="170"/>
      <c r="AQ457" s="170"/>
      <c r="AR457" s="170"/>
      <c r="AS457" s="170"/>
    </row>
    <row r="458" spans="1:45" ht="15" x14ac:dyDescent="0.25">
      <c r="A458" s="170"/>
      <c r="B458" s="719"/>
      <c r="C458" s="170"/>
      <c r="D458" s="170"/>
      <c r="E458" s="170"/>
      <c r="F458" s="170"/>
      <c r="G458" s="721"/>
      <c r="H458" s="170"/>
      <c r="I458" s="170"/>
      <c r="J458" s="170"/>
      <c r="K458" s="170"/>
      <c r="L458" s="170"/>
      <c r="M458" s="730"/>
      <c r="N458" s="730"/>
      <c r="O458" s="730"/>
      <c r="P458" s="731"/>
      <c r="Q458" s="731"/>
      <c r="R458" s="730"/>
      <c r="S458" s="730"/>
      <c r="T458" s="723"/>
      <c r="U458" s="724"/>
      <c r="V458" s="725"/>
      <c r="W458" s="725"/>
      <c r="X458" s="723"/>
      <c r="Y458" s="723"/>
      <c r="Z458" s="723"/>
      <c r="AA458" s="726"/>
      <c r="AB458" s="726"/>
      <c r="AC458" s="170"/>
      <c r="AD458" s="586"/>
      <c r="AE458" s="586"/>
      <c r="AF458" s="170"/>
      <c r="AG458" s="170"/>
      <c r="AH458" s="170"/>
      <c r="AI458" s="170"/>
      <c r="AJ458" s="170"/>
      <c r="AK458" s="170"/>
      <c r="AL458" s="170"/>
      <c r="AM458" s="170"/>
      <c r="AN458" s="170"/>
      <c r="AO458" s="170"/>
      <c r="AP458" s="170"/>
      <c r="AQ458" s="170"/>
      <c r="AR458" s="170"/>
      <c r="AS458" s="170"/>
    </row>
    <row r="459" spans="1:45" ht="15" x14ac:dyDescent="0.25">
      <c r="A459" s="170"/>
      <c r="B459" s="719"/>
      <c r="C459" s="170"/>
      <c r="D459" s="170"/>
      <c r="E459" s="170"/>
      <c r="F459" s="170"/>
      <c r="G459" s="721"/>
      <c r="H459" s="170"/>
      <c r="I459" s="170"/>
      <c r="J459" s="170"/>
      <c r="K459" s="170"/>
      <c r="L459" s="170"/>
      <c r="M459" s="730"/>
      <c r="N459" s="730"/>
      <c r="O459" s="730"/>
      <c r="P459" s="731"/>
      <c r="Q459" s="731"/>
      <c r="R459" s="730"/>
      <c r="S459" s="730"/>
      <c r="T459" s="723"/>
      <c r="U459" s="724"/>
      <c r="V459" s="725"/>
      <c r="W459" s="725"/>
      <c r="X459" s="723"/>
      <c r="Y459" s="723"/>
      <c r="Z459" s="723"/>
      <c r="AA459" s="726"/>
      <c r="AB459" s="726"/>
      <c r="AC459" s="170"/>
      <c r="AD459" s="586"/>
      <c r="AE459" s="586"/>
      <c r="AF459" s="170"/>
      <c r="AG459" s="170"/>
      <c r="AH459" s="170"/>
      <c r="AI459" s="170"/>
      <c r="AJ459" s="170"/>
      <c r="AK459" s="170"/>
      <c r="AL459" s="170"/>
      <c r="AM459" s="170"/>
      <c r="AN459" s="170"/>
      <c r="AO459" s="170"/>
      <c r="AP459" s="170"/>
      <c r="AQ459" s="170"/>
      <c r="AR459" s="170"/>
      <c r="AS459" s="170"/>
    </row>
    <row r="460" spans="1:45" ht="15" x14ac:dyDescent="0.25">
      <c r="A460" s="170"/>
      <c r="B460" s="719"/>
      <c r="C460" s="170"/>
      <c r="D460" s="170"/>
      <c r="E460" s="170"/>
      <c r="F460" s="170"/>
      <c r="G460" s="721"/>
      <c r="H460" s="170"/>
      <c r="I460" s="170"/>
      <c r="J460" s="170"/>
      <c r="K460" s="170"/>
      <c r="L460" s="170"/>
      <c r="M460" s="730"/>
      <c r="N460" s="730"/>
      <c r="O460" s="730"/>
      <c r="P460" s="731"/>
      <c r="Q460" s="731"/>
      <c r="R460" s="730"/>
      <c r="S460" s="730"/>
      <c r="T460" s="723"/>
      <c r="U460" s="724"/>
      <c r="V460" s="725"/>
      <c r="W460" s="725"/>
      <c r="X460" s="723"/>
      <c r="Y460" s="723"/>
      <c r="Z460" s="723"/>
      <c r="AA460" s="726"/>
      <c r="AB460" s="726"/>
      <c r="AC460" s="170"/>
      <c r="AD460" s="586"/>
      <c r="AE460" s="586"/>
      <c r="AF460" s="170"/>
      <c r="AG460" s="170"/>
      <c r="AH460" s="170"/>
      <c r="AI460" s="170"/>
      <c r="AJ460" s="170"/>
      <c r="AK460" s="170"/>
      <c r="AL460" s="170"/>
      <c r="AM460" s="170"/>
      <c r="AN460" s="170"/>
      <c r="AO460" s="170"/>
      <c r="AP460" s="170"/>
      <c r="AQ460" s="170"/>
      <c r="AR460" s="170"/>
      <c r="AS460" s="170"/>
    </row>
    <row r="461" spans="1:45" ht="15" x14ac:dyDescent="0.25">
      <c r="A461" s="170"/>
      <c r="B461" s="719"/>
      <c r="C461" s="170"/>
      <c r="D461" s="170"/>
      <c r="E461" s="170"/>
      <c r="F461" s="170"/>
      <c r="G461" s="721"/>
      <c r="H461" s="170"/>
      <c r="I461" s="170"/>
      <c r="J461" s="170"/>
      <c r="K461" s="170"/>
      <c r="L461" s="170"/>
      <c r="M461" s="730"/>
      <c r="N461" s="730"/>
      <c r="O461" s="730"/>
      <c r="P461" s="731"/>
      <c r="Q461" s="731"/>
      <c r="R461" s="730"/>
      <c r="S461" s="730"/>
      <c r="T461" s="723"/>
      <c r="U461" s="724"/>
      <c r="V461" s="725"/>
      <c r="W461" s="725"/>
      <c r="X461" s="723"/>
      <c r="Y461" s="723"/>
      <c r="Z461" s="723"/>
      <c r="AA461" s="726"/>
      <c r="AB461" s="726"/>
      <c r="AC461" s="170"/>
      <c r="AD461" s="586"/>
      <c r="AE461" s="586"/>
      <c r="AF461" s="170"/>
      <c r="AG461" s="170"/>
      <c r="AH461" s="170"/>
      <c r="AI461" s="170"/>
      <c r="AJ461" s="170"/>
      <c r="AK461" s="170"/>
      <c r="AL461" s="170"/>
      <c r="AM461" s="170"/>
      <c r="AN461" s="170"/>
      <c r="AO461" s="170"/>
      <c r="AP461" s="170"/>
      <c r="AQ461" s="170"/>
      <c r="AR461" s="170"/>
      <c r="AS461" s="170"/>
    </row>
    <row r="462" spans="1:45" ht="15" x14ac:dyDescent="0.25">
      <c r="A462" s="170"/>
      <c r="B462" s="719"/>
      <c r="C462" s="170"/>
      <c r="D462" s="170"/>
      <c r="E462" s="170"/>
      <c r="F462" s="170"/>
      <c r="G462" s="721"/>
      <c r="H462" s="170"/>
      <c r="I462" s="170"/>
      <c r="J462" s="170"/>
      <c r="K462" s="170"/>
      <c r="L462" s="170"/>
      <c r="M462" s="730"/>
      <c r="N462" s="730"/>
      <c r="O462" s="730"/>
      <c r="P462" s="731"/>
      <c r="Q462" s="731"/>
      <c r="R462" s="730"/>
      <c r="S462" s="730"/>
      <c r="T462" s="723"/>
      <c r="U462" s="724"/>
      <c r="V462" s="725"/>
      <c r="W462" s="725"/>
      <c r="X462" s="723"/>
      <c r="Y462" s="723"/>
      <c r="Z462" s="723"/>
      <c r="AA462" s="726"/>
      <c r="AB462" s="726"/>
      <c r="AC462" s="170"/>
      <c r="AD462" s="586"/>
      <c r="AE462" s="586"/>
      <c r="AF462" s="170"/>
      <c r="AG462" s="170"/>
      <c r="AH462" s="170"/>
      <c r="AI462" s="170"/>
      <c r="AJ462" s="170"/>
      <c r="AK462" s="170"/>
      <c r="AL462" s="170"/>
      <c r="AM462" s="170"/>
      <c r="AN462" s="170"/>
      <c r="AO462" s="170"/>
      <c r="AP462" s="170"/>
      <c r="AQ462" s="170"/>
      <c r="AR462" s="170"/>
      <c r="AS462" s="170"/>
    </row>
    <row r="463" spans="1:45" ht="15" x14ac:dyDescent="0.25">
      <c r="A463" s="170"/>
      <c r="B463" s="719"/>
      <c r="C463" s="170"/>
      <c r="D463" s="170"/>
      <c r="E463" s="170"/>
      <c r="F463" s="170"/>
      <c r="G463" s="721"/>
      <c r="H463" s="170"/>
      <c r="I463" s="170"/>
      <c r="J463" s="170"/>
      <c r="K463" s="170"/>
      <c r="L463" s="170"/>
      <c r="M463" s="730"/>
      <c r="N463" s="730"/>
      <c r="O463" s="730"/>
      <c r="P463" s="731"/>
      <c r="Q463" s="731"/>
      <c r="R463" s="730"/>
      <c r="S463" s="730"/>
      <c r="T463" s="723"/>
      <c r="U463" s="724"/>
      <c r="V463" s="725"/>
      <c r="W463" s="725"/>
      <c r="X463" s="723"/>
      <c r="Y463" s="723"/>
      <c r="Z463" s="723"/>
      <c r="AA463" s="726"/>
      <c r="AB463" s="726"/>
      <c r="AC463" s="170"/>
      <c r="AD463" s="586"/>
      <c r="AE463" s="586"/>
      <c r="AF463" s="170"/>
      <c r="AG463" s="170"/>
      <c r="AH463" s="170"/>
      <c r="AI463" s="170"/>
      <c r="AJ463" s="170"/>
      <c r="AK463" s="170"/>
      <c r="AL463" s="170"/>
      <c r="AM463" s="170"/>
      <c r="AN463" s="170"/>
      <c r="AO463" s="170"/>
      <c r="AP463" s="170"/>
      <c r="AQ463" s="170"/>
      <c r="AR463" s="170"/>
      <c r="AS463" s="170"/>
    </row>
    <row r="464" spans="1:45" ht="15" x14ac:dyDescent="0.25">
      <c r="A464" s="170"/>
      <c r="B464" s="719"/>
      <c r="C464" s="170"/>
      <c r="D464" s="170"/>
      <c r="E464" s="170"/>
      <c r="F464" s="170"/>
      <c r="G464" s="721"/>
      <c r="H464" s="170"/>
      <c r="I464" s="170"/>
      <c r="J464" s="170"/>
      <c r="K464" s="170"/>
      <c r="L464" s="170"/>
      <c r="M464" s="730"/>
      <c r="N464" s="730"/>
      <c r="O464" s="730"/>
      <c r="P464" s="731"/>
      <c r="Q464" s="731"/>
      <c r="R464" s="730"/>
      <c r="S464" s="730"/>
      <c r="T464" s="723"/>
      <c r="U464" s="724"/>
      <c r="V464" s="725"/>
      <c r="W464" s="725"/>
      <c r="X464" s="723"/>
      <c r="Y464" s="723"/>
      <c r="Z464" s="723"/>
      <c r="AA464" s="726"/>
      <c r="AB464" s="726"/>
      <c r="AC464" s="170"/>
      <c r="AD464" s="586"/>
      <c r="AE464" s="586"/>
      <c r="AF464" s="170"/>
      <c r="AG464" s="170"/>
      <c r="AH464" s="170"/>
      <c r="AI464" s="170"/>
      <c r="AJ464" s="170"/>
      <c r="AK464" s="170"/>
      <c r="AL464" s="170"/>
      <c r="AM464" s="170"/>
      <c r="AN464" s="170"/>
      <c r="AO464" s="170"/>
      <c r="AP464" s="170"/>
      <c r="AQ464" s="170"/>
      <c r="AR464" s="170"/>
      <c r="AS464" s="170"/>
    </row>
    <row r="465" spans="1:45" ht="15" x14ac:dyDescent="0.25">
      <c r="A465" s="170"/>
      <c r="B465" s="719"/>
      <c r="C465" s="170"/>
      <c r="D465" s="170"/>
      <c r="E465" s="170"/>
      <c r="F465" s="170"/>
      <c r="G465" s="721"/>
      <c r="H465" s="170"/>
      <c r="I465" s="170"/>
      <c r="J465" s="170"/>
      <c r="K465" s="170"/>
      <c r="L465" s="170"/>
      <c r="M465" s="730"/>
      <c r="N465" s="730"/>
      <c r="O465" s="730"/>
      <c r="P465" s="731"/>
      <c r="Q465" s="731"/>
      <c r="R465" s="730"/>
      <c r="S465" s="730"/>
      <c r="T465" s="723"/>
      <c r="U465" s="724"/>
      <c r="V465" s="725"/>
      <c r="W465" s="725"/>
      <c r="X465" s="723"/>
      <c r="Y465" s="723"/>
      <c r="Z465" s="723"/>
      <c r="AA465" s="726"/>
      <c r="AB465" s="726"/>
      <c r="AC465" s="170"/>
      <c r="AD465" s="586"/>
      <c r="AE465" s="586"/>
      <c r="AF465" s="170"/>
      <c r="AG465" s="170"/>
      <c r="AH465" s="170"/>
      <c r="AI465" s="170"/>
      <c r="AJ465" s="170"/>
      <c r="AK465" s="170"/>
      <c r="AL465" s="170"/>
      <c r="AM465" s="170"/>
      <c r="AN465" s="170"/>
      <c r="AO465" s="170"/>
      <c r="AP465" s="170"/>
      <c r="AQ465" s="170"/>
      <c r="AR465" s="170"/>
      <c r="AS465" s="170"/>
    </row>
    <row r="466" spans="1:45" ht="15" x14ac:dyDescent="0.25">
      <c r="A466" s="170"/>
      <c r="B466" s="719"/>
      <c r="C466" s="170"/>
      <c r="D466" s="170"/>
      <c r="E466" s="170"/>
      <c r="F466" s="170"/>
      <c r="G466" s="721"/>
      <c r="H466" s="170"/>
      <c r="I466" s="170"/>
      <c r="J466" s="170"/>
      <c r="K466" s="170"/>
      <c r="L466" s="170"/>
      <c r="M466" s="730"/>
      <c r="N466" s="730"/>
      <c r="O466" s="730"/>
      <c r="P466" s="731"/>
      <c r="Q466" s="731"/>
      <c r="R466" s="730"/>
      <c r="S466" s="730"/>
      <c r="T466" s="723"/>
      <c r="U466" s="724"/>
      <c r="V466" s="725"/>
      <c r="W466" s="725"/>
      <c r="X466" s="723"/>
      <c r="Y466" s="723"/>
      <c r="Z466" s="723"/>
      <c r="AA466" s="726"/>
      <c r="AB466" s="726"/>
      <c r="AC466" s="170"/>
      <c r="AD466" s="586"/>
      <c r="AE466" s="586"/>
      <c r="AF466" s="170"/>
      <c r="AG466" s="170"/>
      <c r="AH466" s="170"/>
      <c r="AI466" s="170"/>
      <c r="AJ466" s="170"/>
      <c r="AK466" s="170"/>
      <c r="AL466" s="170"/>
      <c r="AM466" s="170"/>
      <c r="AN466" s="170"/>
      <c r="AO466" s="170"/>
      <c r="AP466" s="170"/>
      <c r="AQ466" s="170"/>
      <c r="AR466" s="170"/>
      <c r="AS466" s="170"/>
    </row>
    <row r="467" spans="1:45" ht="15" x14ac:dyDescent="0.25">
      <c r="A467" s="170"/>
      <c r="B467" s="719"/>
      <c r="C467" s="170"/>
      <c r="D467" s="170"/>
      <c r="E467" s="170"/>
      <c r="F467" s="170"/>
      <c r="G467" s="721"/>
      <c r="H467" s="170"/>
      <c r="I467" s="170"/>
      <c r="J467" s="170"/>
      <c r="K467" s="170"/>
      <c r="L467" s="170"/>
      <c r="M467" s="730"/>
      <c r="N467" s="730"/>
      <c r="O467" s="730"/>
      <c r="P467" s="731"/>
      <c r="Q467" s="731"/>
      <c r="R467" s="730"/>
      <c r="S467" s="730"/>
      <c r="T467" s="723"/>
      <c r="U467" s="724"/>
      <c r="V467" s="725"/>
      <c r="W467" s="725"/>
      <c r="X467" s="723"/>
      <c r="Y467" s="723"/>
      <c r="Z467" s="723"/>
      <c r="AA467" s="726"/>
      <c r="AB467" s="726"/>
      <c r="AC467" s="170"/>
      <c r="AD467" s="586"/>
      <c r="AE467" s="586"/>
      <c r="AF467" s="170"/>
      <c r="AG467" s="170"/>
      <c r="AH467" s="170"/>
      <c r="AI467" s="170"/>
      <c r="AJ467" s="170"/>
      <c r="AK467" s="170"/>
      <c r="AL467" s="170"/>
      <c r="AM467" s="170"/>
      <c r="AN467" s="170"/>
      <c r="AO467" s="170"/>
      <c r="AP467" s="170"/>
      <c r="AQ467" s="170"/>
      <c r="AR467" s="170"/>
      <c r="AS467" s="170"/>
    </row>
    <row r="468" spans="1:45" ht="15" x14ac:dyDescent="0.25">
      <c r="A468" s="170"/>
      <c r="B468" s="719"/>
      <c r="C468" s="170"/>
      <c r="D468" s="170"/>
      <c r="E468" s="170"/>
      <c r="F468" s="170"/>
      <c r="G468" s="721"/>
      <c r="H468" s="170"/>
      <c r="I468" s="170"/>
      <c r="J468" s="170"/>
      <c r="K468" s="170"/>
      <c r="L468" s="170"/>
      <c r="M468" s="730"/>
      <c r="N468" s="730"/>
      <c r="O468" s="730"/>
      <c r="P468" s="731"/>
      <c r="Q468" s="731"/>
      <c r="R468" s="730"/>
      <c r="S468" s="730"/>
      <c r="T468" s="723"/>
      <c r="U468" s="724"/>
      <c r="V468" s="725"/>
      <c r="W468" s="725"/>
      <c r="X468" s="723"/>
      <c r="Y468" s="723"/>
      <c r="Z468" s="723"/>
      <c r="AA468" s="726"/>
      <c r="AB468" s="726"/>
      <c r="AC468" s="170"/>
      <c r="AD468" s="586"/>
      <c r="AE468" s="586"/>
      <c r="AF468" s="170"/>
      <c r="AG468" s="170"/>
      <c r="AH468" s="170"/>
      <c r="AI468" s="170"/>
      <c r="AJ468" s="170"/>
      <c r="AK468" s="170"/>
      <c r="AL468" s="170"/>
      <c r="AM468" s="170"/>
      <c r="AN468" s="170"/>
      <c r="AO468" s="170"/>
      <c r="AP468" s="170"/>
      <c r="AQ468" s="170"/>
      <c r="AR468" s="170"/>
      <c r="AS468" s="170"/>
    </row>
    <row r="469" spans="1:45" ht="15" x14ac:dyDescent="0.25">
      <c r="A469" s="170"/>
      <c r="B469" s="719"/>
      <c r="C469" s="170"/>
      <c r="D469" s="170"/>
      <c r="E469" s="170"/>
      <c r="F469" s="170"/>
      <c r="G469" s="721"/>
      <c r="H469" s="170"/>
      <c r="I469" s="170"/>
      <c r="J469" s="170"/>
      <c r="K469" s="170"/>
      <c r="L469" s="170"/>
      <c r="M469" s="730"/>
      <c r="N469" s="730"/>
      <c r="O469" s="730"/>
      <c r="P469" s="731"/>
      <c r="Q469" s="731"/>
      <c r="R469" s="730"/>
      <c r="S469" s="730"/>
      <c r="T469" s="723"/>
      <c r="U469" s="724"/>
      <c r="V469" s="725"/>
      <c r="W469" s="725"/>
      <c r="X469" s="723"/>
      <c r="Y469" s="723"/>
      <c r="Z469" s="723"/>
      <c r="AA469" s="726"/>
      <c r="AB469" s="726"/>
      <c r="AC469" s="170"/>
      <c r="AD469" s="586"/>
      <c r="AE469" s="586"/>
      <c r="AF469" s="170"/>
      <c r="AG469" s="170"/>
      <c r="AH469" s="170"/>
      <c r="AI469" s="170"/>
      <c r="AJ469" s="170"/>
      <c r="AK469" s="170"/>
      <c r="AL469" s="170"/>
      <c r="AM469" s="170"/>
      <c r="AN469" s="170"/>
      <c r="AO469" s="170"/>
      <c r="AP469" s="170"/>
      <c r="AQ469" s="170"/>
      <c r="AR469" s="170"/>
      <c r="AS469" s="170"/>
    </row>
    <row r="470" spans="1:45" ht="15" x14ac:dyDescent="0.25">
      <c r="A470" s="170"/>
      <c r="B470" s="719"/>
      <c r="C470" s="170"/>
      <c r="D470" s="170"/>
      <c r="E470" s="170"/>
      <c r="F470" s="170"/>
      <c r="G470" s="721"/>
      <c r="H470" s="170"/>
      <c r="I470" s="170"/>
      <c r="J470" s="170"/>
      <c r="K470" s="170"/>
      <c r="L470" s="170"/>
      <c r="M470" s="730"/>
      <c r="N470" s="730"/>
      <c r="O470" s="730"/>
      <c r="P470" s="731"/>
      <c r="Q470" s="731"/>
      <c r="R470" s="730"/>
      <c r="S470" s="730"/>
      <c r="T470" s="723"/>
      <c r="U470" s="724"/>
      <c r="V470" s="725"/>
      <c r="W470" s="725"/>
      <c r="X470" s="723"/>
      <c r="Y470" s="723"/>
      <c r="Z470" s="723"/>
      <c r="AA470" s="726"/>
      <c r="AB470" s="726"/>
      <c r="AC470" s="170"/>
      <c r="AD470" s="586"/>
      <c r="AE470" s="586"/>
      <c r="AF470" s="170"/>
      <c r="AG470" s="170"/>
      <c r="AH470" s="170"/>
      <c r="AI470" s="170"/>
      <c r="AJ470" s="170"/>
      <c r="AK470" s="170"/>
      <c r="AL470" s="170"/>
      <c r="AM470" s="170"/>
      <c r="AN470" s="170"/>
      <c r="AO470" s="170"/>
      <c r="AP470" s="170"/>
      <c r="AQ470" s="170"/>
      <c r="AR470" s="170"/>
      <c r="AS470" s="170"/>
    </row>
    <row r="471" spans="1:45" ht="15" x14ac:dyDescent="0.25">
      <c r="A471" s="170"/>
      <c r="B471" s="719"/>
      <c r="C471" s="170"/>
      <c r="D471" s="170"/>
      <c r="E471" s="170"/>
      <c r="F471" s="170"/>
      <c r="G471" s="721"/>
      <c r="H471" s="170"/>
      <c r="I471" s="170"/>
      <c r="J471" s="170"/>
      <c r="K471" s="170"/>
      <c r="L471" s="170"/>
      <c r="M471" s="730"/>
      <c r="N471" s="730"/>
      <c r="O471" s="730"/>
      <c r="P471" s="731"/>
      <c r="Q471" s="731"/>
      <c r="R471" s="730"/>
      <c r="S471" s="730"/>
      <c r="T471" s="723"/>
      <c r="U471" s="724"/>
      <c r="V471" s="725"/>
      <c r="W471" s="725"/>
      <c r="X471" s="723"/>
      <c r="Y471" s="723"/>
      <c r="Z471" s="723"/>
      <c r="AA471" s="726"/>
      <c r="AB471" s="726"/>
      <c r="AC471" s="170"/>
      <c r="AD471" s="586"/>
      <c r="AE471" s="586"/>
      <c r="AF471" s="170"/>
      <c r="AG471" s="170"/>
      <c r="AH471" s="170"/>
      <c r="AI471" s="170"/>
      <c r="AJ471" s="170"/>
      <c r="AK471" s="170"/>
      <c r="AL471" s="170"/>
      <c r="AM471" s="170"/>
      <c r="AN471" s="170"/>
      <c r="AO471" s="170"/>
      <c r="AP471" s="170"/>
      <c r="AQ471" s="170"/>
      <c r="AR471" s="170"/>
      <c r="AS471" s="170"/>
    </row>
    <row r="472" spans="1:45" ht="15" x14ac:dyDescent="0.25">
      <c r="A472" s="170"/>
      <c r="B472" s="719"/>
      <c r="C472" s="170"/>
      <c r="D472" s="170"/>
      <c r="E472" s="170"/>
      <c r="F472" s="170"/>
      <c r="G472" s="721"/>
      <c r="H472" s="170"/>
      <c r="I472" s="170"/>
      <c r="J472" s="170"/>
      <c r="K472" s="170"/>
      <c r="L472" s="170"/>
      <c r="M472" s="730"/>
      <c r="N472" s="730"/>
      <c r="O472" s="730"/>
      <c r="P472" s="731"/>
      <c r="Q472" s="731"/>
      <c r="R472" s="730"/>
      <c r="S472" s="730"/>
      <c r="T472" s="723"/>
      <c r="U472" s="724"/>
      <c r="V472" s="725"/>
      <c r="W472" s="725"/>
      <c r="X472" s="723"/>
      <c r="Y472" s="723"/>
      <c r="Z472" s="723"/>
      <c r="AA472" s="726"/>
      <c r="AB472" s="726"/>
      <c r="AC472" s="170"/>
      <c r="AD472" s="586"/>
      <c r="AE472" s="586"/>
      <c r="AF472" s="170"/>
      <c r="AG472" s="170"/>
      <c r="AH472" s="170"/>
      <c r="AI472" s="170"/>
      <c r="AJ472" s="170"/>
      <c r="AK472" s="170"/>
      <c r="AL472" s="170"/>
      <c r="AM472" s="170"/>
      <c r="AN472" s="170"/>
      <c r="AO472" s="170"/>
      <c r="AP472" s="170"/>
      <c r="AQ472" s="170"/>
      <c r="AR472" s="170"/>
      <c r="AS472" s="170"/>
    </row>
    <row r="473" spans="1:45" ht="15" x14ac:dyDescent="0.25">
      <c r="A473" s="170"/>
      <c r="B473" s="719"/>
      <c r="C473" s="170"/>
      <c r="D473" s="170"/>
      <c r="E473" s="170"/>
      <c r="F473" s="170"/>
      <c r="G473" s="721"/>
      <c r="H473" s="170"/>
      <c r="I473" s="170"/>
      <c r="J473" s="170"/>
      <c r="K473" s="170"/>
      <c r="L473" s="170"/>
      <c r="M473" s="730"/>
      <c r="N473" s="730"/>
      <c r="O473" s="730"/>
      <c r="P473" s="731"/>
      <c r="Q473" s="731"/>
      <c r="R473" s="730"/>
      <c r="S473" s="730"/>
      <c r="T473" s="723"/>
      <c r="U473" s="724"/>
      <c r="V473" s="725"/>
      <c r="W473" s="725"/>
      <c r="X473" s="723"/>
      <c r="Y473" s="723"/>
      <c r="Z473" s="723"/>
      <c r="AA473" s="726"/>
      <c r="AB473" s="726"/>
      <c r="AC473" s="170"/>
      <c r="AD473" s="586"/>
      <c r="AE473" s="586"/>
      <c r="AF473" s="170"/>
      <c r="AG473" s="170"/>
      <c r="AH473" s="170"/>
      <c r="AI473" s="170"/>
      <c r="AJ473" s="170"/>
      <c r="AK473" s="170"/>
      <c r="AL473" s="170"/>
      <c r="AM473" s="170"/>
      <c r="AN473" s="170"/>
      <c r="AO473" s="170"/>
      <c r="AP473" s="170"/>
      <c r="AQ473" s="170"/>
      <c r="AR473" s="170"/>
      <c r="AS473" s="170"/>
    </row>
    <row r="474" spans="1:45" ht="15" x14ac:dyDescent="0.25">
      <c r="A474" s="170"/>
      <c r="B474" s="719"/>
      <c r="C474" s="170"/>
      <c r="D474" s="170"/>
      <c r="E474" s="170"/>
      <c r="F474" s="170"/>
      <c r="G474" s="721"/>
      <c r="H474" s="170"/>
      <c r="I474" s="170"/>
      <c r="J474" s="170"/>
      <c r="K474" s="170"/>
      <c r="L474" s="170"/>
      <c r="M474" s="730"/>
      <c r="N474" s="730"/>
      <c r="O474" s="730"/>
      <c r="P474" s="731"/>
      <c r="Q474" s="731"/>
      <c r="R474" s="730"/>
      <c r="S474" s="730"/>
      <c r="T474" s="723"/>
      <c r="U474" s="724"/>
      <c r="V474" s="725"/>
      <c r="W474" s="725"/>
      <c r="X474" s="723"/>
      <c r="Y474" s="723"/>
      <c r="Z474" s="723"/>
      <c r="AA474" s="726"/>
      <c r="AB474" s="726"/>
      <c r="AC474" s="170"/>
      <c r="AD474" s="586"/>
      <c r="AE474" s="586"/>
      <c r="AF474" s="170"/>
      <c r="AG474" s="170"/>
      <c r="AH474" s="170"/>
      <c r="AI474" s="170"/>
      <c r="AJ474" s="170"/>
      <c r="AK474" s="170"/>
      <c r="AL474" s="170"/>
      <c r="AM474" s="170"/>
      <c r="AN474" s="170"/>
      <c r="AO474" s="170"/>
      <c r="AP474" s="170"/>
      <c r="AQ474" s="170"/>
      <c r="AR474" s="170"/>
      <c r="AS474" s="170"/>
    </row>
    <row r="475" spans="1:45" ht="15" x14ac:dyDescent="0.25">
      <c r="A475" s="170"/>
      <c r="B475" s="719"/>
      <c r="C475" s="170"/>
      <c r="D475" s="170"/>
      <c r="E475" s="170"/>
      <c r="F475" s="170"/>
      <c r="G475" s="721"/>
      <c r="H475" s="170"/>
      <c r="I475" s="170"/>
      <c r="J475" s="170"/>
      <c r="K475" s="170"/>
      <c r="L475" s="170"/>
      <c r="M475" s="730"/>
      <c r="N475" s="730"/>
      <c r="O475" s="730"/>
      <c r="P475" s="731"/>
      <c r="Q475" s="731"/>
      <c r="R475" s="730"/>
      <c r="S475" s="730"/>
      <c r="T475" s="723"/>
      <c r="U475" s="724"/>
      <c r="V475" s="725"/>
      <c r="W475" s="725"/>
      <c r="X475" s="723"/>
      <c r="Y475" s="723"/>
      <c r="Z475" s="723"/>
      <c r="AA475" s="726"/>
      <c r="AB475" s="726"/>
      <c r="AC475" s="170"/>
      <c r="AD475" s="586"/>
      <c r="AE475" s="586"/>
      <c r="AF475" s="170"/>
      <c r="AG475" s="170"/>
      <c r="AH475" s="170"/>
      <c r="AI475" s="170"/>
      <c r="AJ475" s="170"/>
      <c r="AK475" s="170"/>
      <c r="AL475" s="170"/>
      <c r="AM475" s="170"/>
      <c r="AN475" s="170"/>
      <c r="AO475" s="170"/>
      <c r="AP475" s="170"/>
      <c r="AQ475" s="170"/>
      <c r="AR475" s="170"/>
      <c r="AS475" s="170"/>
    </row>
    <row r="476" spans="1:45" ht="15" x14ac:dyDescent="0.25">
      <c r="A476" s="170"/>
      <c r="B476" s="719"/>
      <c r="C476" s="170"/>
      <c r="D476" s="170"/>
      <c r="E476" s="170"/>
      <c r="F476" s="170"/>
      <c r="G476" s="721"/>
      <c r="H476" s="170"/>
      <c r="I476" s="170"/>
      <c r="J476" s="170"/>
      <c r="K476" s="170"/>
      <c r="L476" s="170"/>
      <c r="M476" s="730"/>
      <c r="N476" s="730"/>
      <c r="O476" s="730"/>
      <c r="P476" s="731"/>
      <c r="Q476" s="731"/>
      <c r="R476" s="730"/>
      <c r="S476" s="730"/>
      <c r="T476" s="723"/>
      <c r="U476" s="724"/>
      <c r="V476" s="725"/>
      <c r="W476" s="725"/>
      <c r="X476" s="723"/>
      <c r="Y476" s="723"/>
      <c r="Z476" s="723"/>
      <c r="AA476" s="726"/>
      <c r="AB476" s="726"/>
      <c r="AC476" s="170"/>
      <c r="AD476" s="586"/>
      <c r="AE476" s="586"/>
      <c r="AF476" s="170"/>
      <c r="AG476" s="170"/>
      <c r="AH476" s="170"/>
      <c r="AI476" s="170"/>
      <c r="AJ476" s="170"/>
      <c r="AK476" s="170"/>
      <c r="AL476" s="170"/>
      <c r="AM476" s="170"/>
      <c r="AN476" s="170"/>
      <c r="AO476" s="170"/>
      <c r="AP476" s="170"/>
      <c r="AQ476" s="170"/>
      <c r="AR476" s="170"/>
      <c r="AS476" s="170"/>
    </row>
    <row r="477" spans="1:45" ht="15" x14ac:dyDescent="0.25">
      <c r="A477" s="170"/>
      <c r="B477" s="719"/>
      <c r="C477" s="170"/>
      <c r="D477" s="170"/>
      <c r="E477" s="170"/>
      <c r="F477" s="170"/>
      <c r="G477" s="721"/>
      <c r="H477" s="170"/>
      <c r="I477" s="170"/>
      <c r="J477" s="170"/>
      <c r="K477" s="170"/>
      <c r="L477" s="170"/>
      <c r="M477" s="730"/>
      <c r="N477" s="730"/>
      <c r="O477" s="730"/>
      <c r="P477" s="731"/>
      <c r="Q477" s="731"/>
      <c r="R477" s="730"/>
      <c r="S477" s="730"/>
      <c r="T477" s="723"/>
      <c r="U477" s="724"/>
      <c r="V477" s="725"/>
      <c r="W477" s="725"/>
      <c r="X477" s="723"/>
      <c r="Y477" s="723"/>
      <c r="Z477" s="723"/>
      <c r="AA477" s="726"/>
      <c r="AB477" s="726"/>
      <c r="AC477" s="170"/>
      <c r="AD477" s="586"/>
      <c r="AE477" s="586"/>
      <c r="AF477" s="170"/>
      <c r="AG477" s="170"/>
      <c r="AH477" s="170"/>
      <c r="AI477" s="170"/>
      <c r="AJ477" s="170"/>
      <c r="AK477" s="170"/>
      <c r="AL477" s="170"/>
      <c r="AM477" s="170"/>
      <c r="AN477" s="170"/>
      <c r="AO477" s="170"/>
      <c r="AP477" s="170"/>
      <c r="AQ477" s="170"/>
      <c r="AR477" s="170"/>
      <c r="AS477" s="170"/>
    </row>
    <row r="478" spans="1:45" ht="15" x14ac:dyDescent="0.25">
      <c r="A478" s="170"/>
      <c r="B478" s="719"/>
      <c r="C478" s="170"/>
      <c r="D478" s="170"/>
      <c r="E478" s="170"/>
      <c r="F478" s="170"/>
      <c r="G478" s="721"/>
      <c r="H478" s="170"/>
      <c r="I478" s="170"/>
      <c r="J478" s="170"/>
      <c r="K478" s="170"/>
      <c r="L478" s="170"/>
      <c r="M478" s="730"/>
      <c r="N478" s="730"/>
      <c r="O478" s="730"/>
      <c r="P478" s="731"/>
      <c r="Q478" s="731"/>
      <c r="R478" s="730"/>
      <c r="S478" s="730"/>
      <c r="T478" s="723"/>
      <c r="U478" s="724"/>
      <c r="V478" s="725"/>
      <c r="W478" s="725"/>
      <c r="X478" s="723"/>
      <c r="Y478" s="723"/>
      <c r="Z478" s="723"/>
      <c r="AA478" s="726"/>
      <c r="AB478" s="726"/>
      <c r="AC478" s="170"/>
      <c r="AD478" s="586"/>
      <c r="AE478" s="586"/>
      <c r="AF478" s="170"/>
      <c r="AG478" s="170"/>
      <c r="AH478" s="170"/>
      <c r="AI478" s="170"/>
      <c r="AJ478" s="170"/>
      <c r="AK478" s="170"/>
      <c r="AL478" s="170"/>
      <c r="AM478" s="170"/>
      <c r="AN478" s="170"/>
      <c r="AO478" s="170"/>
      <c r="AP478" s="170"/>
      <c r="AQ478" s="170"/>
      <c r="AR478" s="170"/>
      <c r="AS478" s="170"/>
    </row>
    <row r="479" spans="1:45" ht="15" x14ac:dyDescent="0.25">
      <c r="A479" s="170"/>
      <c r="B479" s="719"/>
      <c r="C479" s="170"/>
      <c r="D479" s="170"/>
      <c r="E479" s="170"/>
      <c r="F479" s="170"/>
      <c r="G479" s="721"/>
      <c r="H479" s="170"/>
      <c r="I479" s="170"/>
      <c r="J479" s="170"/>
      <c r="K479" s="170"/>
      <c r="L479" s="170"/>
      <c r="M479" s="730"/>
      <c r="N479" s="730"/>
      <c r="O479" s="730"/>
      <c r="P479" s="731"/>
      <c r="Q479" s="731"/>
      <c r="R479" s="730"/>
      <c r="S479" s="730"/>
      <c r="T479" s="723"/>
      <c r="U479" s="724"/>
      <c r="V479" s="725"/>
      <c r="W479" s="725"/>
      <c r="X479" s="723"/>
      <c r="Y479" s="723"/>
      <c r="Z479" s="723"/>
      <c r="AA479" s="726"/>
      <c r="AB479" s="726"/>
      <c r="AC479" s="170"/>
      <c r="AD479" s="586"/>
      <c r="AE479" s="586"/>
      <c r="AF479" s="170"/>
      <c r="AG479" s="170"/>
      <c r="AH479" s="170"/>
      <c r="AI479" s="170"/>
      <c r="AJ479" s="170"/>
      <c r="AK479" s="170"/>
      <c r="AL479" s="170"/>
      <c r="AM479" s="170"/>
      <c r="AN479" s="170"/>
      <c r="AO479" s="170"/>
      <c r="AP479" s="170"/>
      <c r="AQ479" s="170"/>
      <c r="AR479" s="170"/>
      <c r="AS479" s="170"/>
    </row>
    <row r="480" spans="1:45" ht="15" x14ac:dyDescent="0.25">
      <c r="A480" s="170"/>
      <c r="B480" s="719"/>
      <c r="C480" s="170"/>
      <c r="D480" s="170"/>
      <c r="E480" s="170"/>
      <c r="F480" s="170"/>
      <c r="G480" s="721"/>
      <c r="H480" s="170"/>
      <c r="I480" s="170"/>
      <c r="J480" s="170"/>
      <c r="K480" s="170"/>
      <c r="L480" s="170"/>
      <c r="M480" s="730"/>
      <c r="N480" s="730"/>
      <c r="O480" s="730"/>
      <c r="P480" s="731"/>
      <c r="Q480" s="731"/>
      <c r="R480" s="730"/>
      <c r="S480" s="730"/>
      <c r="T480" s="723"/>
      <c r="U480" s="724"/>
      <c r="V480" s="725"/>
      <c r="W480" s="725"/>
      <c r="X480" s="723"/>
      <c r="Y480" s="723"/>
      <c r="Z480" s="723"/>
      <c r="AA480" s="726"/>
      <c r="AB480" s="726"/>
      <c r="AC480" s="170"/>
      <c r="AD480" s="586"/>
      <c r="AE480" s="586"/>
      <c r="AF480" s="170"/>
      <c r="AG480" s="170"/>
      <c r="AH480" s="170"/>
      <c r="AI480" s="170"/>
      <c r="AJ480" s="170"/>
      <c r="AK480" s="170"/>
      <c r="AL480" s="170"/>
      <c r="AM480" s="170"/>
      <c r="AN480" s="170"/>
      <c r="AO480" s="170"/>
      <c r="AP480" s="170"/>
      <c r="AQ480" s="170"/>
      <c r="AR480" s="170"/>
      <c r="AS480" s="170"/>
    </row>
    <row r="481" spans="1:45" ht="15" x14ac:dyDescent="0.25">
      <c r="A481" s="170"/>
      <c r="B481" s="719"/>
      <c r="C481" s="170"/>
      <c r="D481" s="170"/>
      <c r="E481" s="170"/>
      <c r="F481" s="170"/>
      <c r="G481" s="721"/>
      <c r="H481" s="170"/>
      <c r="I481" s="170"/>
      <c r="J481" s="170"/>
      <c r="K481" s="170"/>
      <c r="L481" s="170"/>
      <c r="M481" s="730"/>
      <c r="N481" s="730"/>
      <c r="O481" s="730"/>
      <c r="P481" s="731"/>
      <c r="Q481" s="731"/>
      <c r="R481" s="730"/>
      <c r="S481" s="730"/>
      <c r="T481" s="723"/>
      <c r="U481" s="724"/>
      <c r="V481" s="725"/>
      <c r="W481" s="725"/>
      <c r="X481" s="723"/>
      <c r="Y481" s="723"/>
      <c r="Z481" s="723"/>
      <c r="AA481" s="726"/>
      <c r="AB481" s="726"/>
      <c r="AC481" s="170"/>
      <c r="AD481" s="586"/>
      <c r="AE481" s="586"/>
      <c r="AF481" s="170"/>
      <c r="AG481" s="170"/>
      <c r="AH481" s="170"/>
      <c r="AI481" s="170"/>
      <c r="AJ481" s="170"/>
      <c r="AK481" s="170"/>
      <c r="AL481" s="170"/>
      <c r="AM481" s="170"/>
      <c r="AN481" s="170"/>
      <c r="AO481" s="170"/>
      <c r="AP481" s="170"/>
      <c r="AQ481" s="170"/>
      <c r="AR481" s="170"/>
      <c r="AS481" s="170"/>
    </row>
    <row r="482" spans="1:45" ht="15" x14ac:dyDescent="0.25">
      <c r="A482" s="170"/>
      <c r="B482" s="719"/>
      <c r="C482" s="170"/>
      <c r="D482" s="170"/>
      <c r="E482" s="170"/>
      <c r="F482" s="170"/>
      <c r="G482" s="721"/>
      <c r="H482" s="170"/>
      <c r="I482" s="170"/>
      <c r="J482" s="170"/>
      <c r="K482" s="170"/>
      <c r="L482" s="170"/>
      <c r="M482" s="730"/>
      <c r="N482" s="730"/>
      <c r="O482" s="730"/>
      <c r="P482" s="731"/>
      <c r="Q482" s="731"/>
      <c r="R482" s="730"/>
      <c r="S482" s="730"/>
      <c r="T482" s="723"/>
      <c r="U482" s="724"/>
      <c r="V482" s="725"/>
      <c r="W482" s="725"/>
      <c r="X482" s="723"/>
      <c r="Y482" s="723"/>
      <c r="Z482" s="723"/>
      <c r="AA482" s="726"/>
      <c r="AB482" s="726"/>
      <c r="AC482" s="170"/>
      <c r="AD482" s="586"/>
      <c r="AE482" s="586"/>
      <c r="AF482" s="170"/>
      <c r="AG482" s="170"/>
      <c r="AH482" s="170"/>
      <c r="AI482" s="170"/>
      <c r="AJ482" s="170"/>
      <c r="AK482" s="170"/>
      <c r="AL482" s="170"/>
      <c r="AM482" s="170"/>
      <c r="AN482" s="170"/>
      <c r="AO482" s="170"/>
      <c r="AP482" s="170"/>
      <c r="AQ482" s="170"/>
      <c r="AR482" s="170"/>
      <c r="AS482" s="170"/>
    </row>
    <row r="483" spans="1:45" ht="15" x14ac:dyDescent="0.25">
      <c r="A483" s="170"/>
      <c r="B483" s="719"/>
      <c r="C483" s="170"/>
      <c r="D483" s="170"/>
      <c r="E483" s="170"/>
      <c r="F483" s="170"/>
      <c r="G483" s="721"/>
      <c r="H483" s="170"/>
      <c r="I483" s="170"/>
      <c r="J483" s="170"/>
      <c r="K483" s="170"/>
      <c r="L483" s="170"/>
      <c r="M483" s="730"/>
      <c r="N483" s="730"/>
      <c r="O483" s="730"/>
      <c r="P483" s="731"/>
      <c r="Q483" s="731"/>
      <c r="R483" s="730"/>
      <c r="S483" s="730"/>
      <c r="T483" s="723"/>
      <c r="U483" s="724"/>
      <c r="V483" s="725"/>
      <c r="W483" s="725"/>
      <c r="X483" s="723"/>
      <c r="Y483" s="723"/>
      <c r="Z483" s="723"/>
      <c r="AA483" s="726"/>
      <c r="AB483" s="726"/>
      <c r="AC483" s="170"/>
      <c r="AD483" s="586"/>
      <c r="AE483" s="586"/>
      <c r="AF483" s="170"/>
      <c r="AG483" s="170"/>
      <c r="AH483" s="170"/>
      <c r="AI483" s="170"/>
      <c r="AJ483" s="170"/>
      <c r="AK483" s="170"/>
      <c r="AL483" s="170"/>
      <c r="AM483" s="170"/>
      <c r="AN483" s="170"/>
      <c r="AO483" s="170"/>
      <c r="AP483" s="170"/>
      <c r="AQ483" s="170"/>
      <c r="AR483" s="170"/>
      <c r="AS483" s="170"/>
    </row>
    <row r="484" spans="1:45" ht="15" x14ac:dyDescent="0.25">
      <c r="A484" s="170"/>
      <c r="B484" s="719"/>
      <c r="C484" s="170"/>
      <c r="D484" s="170"/>
      <c r="E484" s="170"/>
      <c r="F484" s="170"/>
      <c r="G484" s="721"/>
      <c r="H484" s="170"/>
      <c r="I484" s="170"/>
      <c r="J484" s="170"/>
      <c r="K484" s="170"/>
      <c r="L484" s="170"/>
      <c r="M484" s="730"/>
      <c r="N484" s="730"/>
      <c r="O484" s="730"/>
      <c r="P484" s="731"/>
      <c r="Q484" s="731"/>
      <c r="R484" s="730"/>
      <c r="S484" s="730"/>
      <c r="T484" s="723"/>
      <c r="U484" s="724"/>
      <c r="V484" s="725"/>
      <c r="W484" s="725"/>
      <c r="X484" s="723"/>
      <c r="Y484" s="723"/>
      <c r="Z484" s="723"/>
      <c r="AA484" s="726"/>
      <c r="AB484" s="726"/>
      <c r="AC484" s="170"/>
      <c r="AD484" s="586"/>
      <c r="AE484" s="586"/>
      <c r="AF484" s="170"/>
      <c r="AG484" s="170"/>
      <c r="AH484" s="170"/>
      <c r="AI484" s="170"/>
      <c r="AJ484" s="170"/>
      <c r="AK484" s="170"/>
      <c r="AL484" s="170"/>
      <c r="AM484" s="170"/>
      <c r="AN484" s="170"/>
      <c r="AO484" s="170"/>
      <c r="AP484" s="170"/>
      <c r="AQ484" s="170"/>
      <c r="AR484" s="170"/>
      <c r="AS484" s="170"/>
    </row>
    <row r="485" spans="1:45" ht="15" x14ac:dyDescent="0.25">
      <c r="A485" s="170"/>
      <c r="B485" s="719"/>
      <c r="C485" s="170"/>
      <c r="D485" s="170"/>
      <c r="E485" s="170"/>
      <c r="F485" s="170"/>
      <c r="G485" s="721"/>
      <c r="H485" s="170"/>
      <c r="I485" s="170"/>
      <c r="J485" s="170"/>
      <c r="K485" s="170"/>
      <c r="L485" s="170"/>
      <c r="M485" s="730"/>
      <c r="N485" s="730"/>
      <c r="O485" s="730"/>
      <c r="P485" s="731"/>
      <c r="Q485" s="731"/>
      <c r="R485" s="730"/>
      <c r="S485" s="730"/>
      <c r="T485" s="723"/>
      <c r="U485" s="724"/>
      <c r="V485" s="725"/>
      <c r="W485" s="725"/>
      <c r="X485" s="723"/>
      <c r="Y485" s="723"/>
      <c r="Z485" s="723"/>
      <c r="AA485" s="726"/>
      <c r="AB485" s="726"/>
      <c r="AC485" s="170"/>
      <c r="AD485" s="586"/>
      <c r="AE485" s="586"/>
      <c r="AF485" s="170"/>
      <c r="AG485" s="170"/>
      <c r="AH485" s="170"/>
      <c r="AI485" s="170"/>
      <c r="AJ485" s="170"/>
      <c r="AK485" s="170"/>
      <c r="AL485" s="170"/>
      <c r="AM485" s="170"/>
      <c r="AN485" s="170"/>
      <c r="AO485" s="170"/>
      <c r="AP485" s="170"/>
      <c r="AQ485" s="170"/>
      <c r="AR485" s="170"/>
      <c r="AS485" s="170"/>
    </row>
    <row r="486" spans="1:45" ht="15" x14ac:dyDescent="0.25">
      <c r="A486" s="170"/>
      <c r="B486" s="719"/>
      <c r="C486" s="170"/>
      <c r="D486" s="170"/>
      <c r="E486" s="170"/>
      <c r="F486" s="170"/>
      <c r="G486" s="721"/>
      <c r="H486" s="170"/>
      <c r="I486" s="170"/>
      <c r="J486" s="170"/>
      <c r="K486" s="170"/>
      <c r="L486" s="170"/>
      <c r="M486" s="730"/>
      <c r="N486" s="730"/>
      <c r="O486" s="730"/>
      <c r="P486" s="731"/>
      <c r="Q486" s="731"/>
      <c r="R486" s="730"/>
      <c r="S486" s="730"/>
      <c r="T486" s="723"/>
      <c r="U486" s="724"/>
      <c r="V486" s="725"/>
      <c r="W486" s="725"/>
      <c r="X486" s="723"/>
      <c r="Y486" s="723"/>
      <c r="Z486" s="723"/>
      <c r="AA486" s="726"/>
      <c r="AB486" s="726"/>
      <c r="AC486" s="170"/>
      <c r="AD486" s="586"/>
      <c r="AE486" s="586"/>
      <c r="AF486" s="170"/>
      <c r="AG486" s="170"/>
      <c r="AH486" s="170"/>
      <c r="AI486" s="170"/>
      <c r="AJ486" s="170"/>
      <c r="AK486" s="170"/>
      <c r="AL486" s="170"/>
      <c r="AM486" s="170"/>
      <c r="AN486" s="170"/>
      <c r="AO486" s="170"/>
      <c r="AP486" s="170"/>
      <c r="AQ486" s="170"/>
      <c r="AR486" s="170"/>
      <c r="AS486" s="170"/>
    </row>
    <row r="487" spans="1:45" ht="15" x14ac:dyDescent="0.25">
      <c r="A487" s="170"/>
      <c r="B487" s="719"/>
      <c r="C487" s="170"/>
      <c r="D487" s="170"/>
      <c r="E487" s="170"/>
      <c r="F487" s="170"/>
      <c r="G487" s="721"/>
      <c r="H487" s="170"/>
      <c r="I487" s="170"/>
      <c r="J487" s="170"/>
      <c r="K487" s="170"/>
      <c r="L487" s="170"/>
      <c r="M487" s="730"/>
      <c r="N487" s="730"/>
      <c r="O487" s="730"/>
      <c r="P487" s="731"/>
      <c r="Q487" s="731"/>
      <c r="R487" s="730"/>
      <c r="S487" s="730"/>
      <c r="T487" s="723"/>
      <c r="U487" s="724"/>
      <c r="V487" s="725"/>
      <c r="W487" s="725"/>
      <c r="X487" s="723"/>
      <c r="Y487" s="723"/>
      <c r="Z487" s="723"/>
      <c r="AA487" s="726"/>
      <c r="AB487" s="726"/>
      <c r="AC487" s="170"/>
      <c r="AD487" s="586"/>
      <c r="AE487" s="586"/>
      <c r="AF487" s="170"/>
      <c r="AG487" s="170"/>
      <c r="AH487" s="170"/>
      <c r="AI487" s="170"/>
      <c r="AJ487" s="170"/>
      <c r="AK487" s="170"/>
      <c r="AL487" s="170"/>
      <c r="AM487" s="170"/>
      <c r="AN487" s="170"/>
      <c r="AO487" s="170"/>
      <c r="AP487" s="170"/>
      <c r="AQ487" s="170"/>
      <c r="AR487" s="170"/>
      <c r="AS487" s="170"/>
    </row>
    <row r="488" spans="1:45" ht="15" x14ac:dyDescent="0.25">
      <c r="A488" s="170"/>
      <c r="B488" s="719"/>
      <c r="C488" s="170"/>
      <c r="D488" s="170"/>
      <c r="E488" s="170"/>
      <c r="F488" s="170"/>
      <c r="G488" s="721"/>
      <c r="H488" s="170"/>
      <c r="I488" s="170"/>
      <c r="J488" s="170"/>
      <c r="K488" s="170"/>
      <c r="L488" s="170"/>
      <c r="M488" s="730"/>
      <c r="N488" s="730"/>
      <c r="O488" s="730"/>
      <c r="P488" s="731"/>
      <c r="Q488" s="731"/>
      <c r="R488" s="730"/>
      <c r="S488" s="730"/>
      <c r="T488" s="723"/>
      <c r="U488" s="724"/>
      <c r="V488" s="725"/>
      <c r="W488" s="725"/>
      <c r="X488" s="723"/>
      <c r="Y488" s="723"/>
      <c r="Z488" s="723"/>
      <c r="AA488" s="726"/>
      <c r="AB488" s="726"/>
      <c r="AC488" s="170"/>
      <c r="AD488" s="586"/>
      <c r="AE488" s="586"/>
      <c r="AF488" s="170"/>
      <c r="AG488" s="170"/>
      <c r="AH488" s="170"/>
      <c r="AI488" s="170"/>
      <c r="AJ488" s="170"/>
      <c r="AK488" s="170"/>
      <c r="AL488" s="170"/>
      <c r="AM488" s="170"/>
      <c r="AN488" s="170"/>
      <c r="AO488" s="170"/>
      <c r="AP488" s="170"/>
      <c r="AQ488" s="170"/>
      <c r="AR488" s="170"/>
      <c r="AS488" s="170"/>
    </row>
    <row r="489" spans="1:45" ht="15" x14ac:dyDescent="0.25">
      <c r="A489" s="170"/>
      <c r="B489" s="719"/>
      <c r="C489" s="170"/>
      <c r="D489" s="170"/>
      <c r="E489" s="170"/>
      <c r="F489" s="170"/>
      <c r="G489" s="721"/>
      <c r="H489" s="170"/>
      <c r="I489" s="170"/>
      <c r="J489" s="170"/>
      <c r="K489" s="170"/>
      <c r="L489" s="170"/>
      <c r="M489" s="730"/>
      <c r="N489" s="730"/>
      <c r="O489" s="730"/>
      <c r="P489" s="731"/>
      <c r="Q489" s="731"/>
      <c r="R489" s="730"/>
      <c r="S489" s="730"/>
      <c r="T489" s="723"/>
      <c r="U489" s="724"/>
      <c r="V489" s="725"/>
      <c r="W489" s="725"/>
      <c r="X489" s="723"/>
      <c r="Y489" s="723"/>
      <c r="Z489" s="723"/>
      <c r="AA489" s="726"/>
      <c r="AB489" s="726"/>
      <c r="AC489" s="170"/>
      <c r="AD489" s="586"/>
      <c r="AE489" s="586"/>
      <c r="AF489" s="170"/>
      <c r="AG489" s="170"/>
      <c r="AH489" s="170"/>
      <c r="AI489" s="170"/>
      <c r="AJ489" s="170"/>
      <c r="AK489" s="170"/>
      <c r="AL489" s="170"/>
      <c r="AM489" s="170"/>
      <c r="AN489" s="170"/>
      <c r="AO489" s="170"/>
      <c r="AP489" s="170"/>
      <c r="AQ489" s="170"/>
      <c r="AR489" s="170"/>
      <c r="AS489" s="170"/>
    </row>
    <row r="490" spans="1:45" ht="15" x14ac:dyDescent="0.25">
      <c r="A490" s="170"/>
      <c r="B490" s="719"/>
      <c r="C490" s="170"/>
      <c r="D490" s="170"/>
      <c r="E490" s="170"/>
      <c r="F490" s="170"/>
      <c r="G490" s="721"/>
      <c r="H490" s="170"/>
      <c r="I490" s="170"/>
      <c r="J490" s="170"/>
      <c r="K490" s="170"/>
      <c r="L490" s="170"/>
      <c r="M490" s="730"/>
      <c r="N490" s="730"/>
      <c r="O490" s="730"/>
      <c r="P490" s="731"/>
      <c r="Q490" s="731"/>
      <c r="R490" s="730"/>
      <c r="S490" s="730"/>
      <c r="T490" s="723"/>
      <c r="U490" s="724"/>
      <c r="V490" s="725"/>
      <c r="W490" s="725"/>
      <c r="X490" s="723"/>
      <c r="Y490" s="723"/>
      <c r="Z490" s="723"/>
      <c r="AA490" s="726"/>
      <c r="AB490" s="726"/>
      <c r="AC490" s="170"/>
      <c r="AD490" s="586"/>
      <c r="AE490" s="586"/>
      <c r="AF490" s="170"/>
      <c r="AG490" s="170"/>
      <c r="AH490" s="170"/>
      <c r="AI490" s="170"/>
      <c r="AJ490" s="170"/>
      <c r="AK490" s="170"/>
      <c r="AL490" s="170"/>
      <c r="AM490" s="170"/>
      <c r="AN490" s="170"/>
      <c r="AO490" s="170"/>
      <c r="AP490" s="170"/>
      <c r="AQ490" s="170"/>
      <c r="AR490" s="170"/>
      <c r="AS490" s="170"/>
    </row>
    <row r="491" spans="1:45" ht="15" x14ac:dyDescent="0.25">
      <c r="A491" s="170"/>
      <c r="B491" s="719"/>
      <c r="C491" s="170"/>
      <c r="D491" s="170"/>
      <c r="E491" s="170"/>
      <c r="F491" s="170"/>
      <c r="G491" s="721"/>
      <c r="H491" s="170"/>
      <c r="I491" s="170"/>
      <c r="J491" s="170"/>
      <c r="K491" s="170"/>
      <c r="L491" s="170"/>
      <c r="M491" s="730"/>
      <c r="N491" s="730"/>
      <c r="O491" s="730"/>
      <c r="P491" s="731"/>
      <c r="Q491" s="731"/>
      <c r="R491" s="730"/>
      <c r="S491" s="730"/>
      <c r="T491" s="723"/>
      <c r="U491" s="724"/>
      <c r="V491" s="725"/>
      <c r="W491" s="725"/>
      <c r="X491" s="723"/>
      <c r="Y491" s="723"/>
      <c r="Z491" s="723"/>
      <c r="AA491" s="726"/>
      <c r="AB491" s="726"/>
      <c r="AC491" s="170"/>
      <c r="AD491" s="586"/>
      <c r="AE491" s="586"/>
      <c r="AF491" s="170"/>
      <c r="AG491" s="170"/>
      <c r="AH491" s="170"/>
      <c r="AI491" s="170"/>
      <c r="AJ491" s="170"/>
      <c r="AK491" s="170"/>
      <c r="AL491" s="170"/>
      <c r="AM491" s="170"/>
      <c r="AN491" s="170"/>
      <c r="AO491" s="170"/>
      <c r="AP491" s="170"/>
      <c r="AQ491" s="170"/>
      <c r="AR491" s="170"/>
      <c r="AS491" s="170"/>
    </row>
    <row r="492" spans="1:45" ht="15" x14ac:dyDescent="0.25">
      <c r="A492" s="170"/>
      <c r="B492" s="719"/>
      <c r="C492" s="170"/>
      <c r="D492" s="170"/>
      <c r="E492" s="170"/>
      <c r="F492" s="170"/>
      <c r="G492" s="721"/>
      <c r="H492" s="170"/>
      <c r="I492" s="170"/>
      <c r="J492" s="170"/>
      <c r="K492" s="170"/>
      <c r="L492" s="170"/>
      <c r="M492" s="730"/>
      <c r="N492" s="730"/>
      <c r="O492" s="730"/>
      <c r="P492" s="731"/>
      <c r="Q492" s="731"/>
      <c r="R492" s="730"/>
      <c r="S492" s="730"/>
      <c r="T492" s="723"/>
      <c r="U492" s="724"/>
      <c r="V492" s="725"/>
      <c r="W492" s="725"/>
      <c r="X492" s="723"/>
      <c r="Y492" s="723"/>
      <c r="Z492" s="723"/>
      <c r="AA492" s="726"/>
      <c r="AB492" s="726"/>
      <c r="AC492" s="170"/>
      <c r="AD492" s="586"/>
      <c r="AE492" s="586"/>
      <c r="AF492" s="170"/>
      <c r="AG492" s="170"/>
      <c r="AH492" s="170"/>
      <c r="AI492" s="170"/>
      <c r="AJ492" s="170"/>
      <c r="AK492" s="170"/>
      <c r="AL492" s="170"/>
      <c r="AM492" s="170"/>
      <c r="AN492" s="170"/>
      <c r="AO492" s="170"/>
      <c r="AP492" s="170"/>
      <c r="AQ492" s="170"/>
      <c r="AR492" s="170"/>
      <c r="AS492" s="170"/>
    </row>
    <row r="493" spans="1:45" ht="15" x14ac:dyDescent="0.25">
      <c r="A493" s="170"/>
      <c r="B493" s="719"/>
      <c r="C493" s="170"/>
      <c r="D493" s="170"/>
      <c r="E493" s="170"/>
      <c r="F493" s="170"/>
      <c r="G493" s="721"/>
      <c r="H493" s="170"/>
      <c r="I493" s="170"/>
      <c r="J493" s="170"/>
      <c r="K493" s="170"/>
      <c r="L493" s="170"/>
      <c r="M493" s="730"/>
      <c r="N493" s="730"/>
      <c r="O493" s="730"/>
      <c r="P493" s="731"/>
      <c r="Q493" s="731"/>
      <c r="R493" s="730"/>
      <c r="S493" s="730"/>
      <c r="T493" s="723"/>
      <c r="U493" s="724"/>
      <c r="V493" s="725"/>
      <c r="W493" s="725"/>
      <c r="X493" s="723"/>
      <c r="Y493" s="723"/>
      <c r="Z493" s="723"/>
      <c r="AA493" s="726"/>
      <c r="AB493" s="726"/>
      <c r="AC493" s="170"/>
      <c r="AD493" s="586"/>
      <c r="AE493" s="586"/>
      <c r="AF493" s="170"/>
      <c r="AG493" s="170"/>
      <c r="AH493" s="170"/>
      <c r="AI493" s="170"/>
      <c r="AJ493" s="170"/>
      <c r="AK493" s="170"/>
      <c r="AL493" s="170"/>
      <c r="AM493" s="170"/>
      <c r="AN493" s="170"/>
      <c r="AO493" s="170"/>
      <c r="AP493" s="170"/>
      <c r="AQ493" s="170"/>
      <c r="AR493" s="170"/>
      <c r="AS493" s="170"/>
    </row>
    <row r="494" spans="1:45" ht="15" x14ac:dyDescent="0.25">
      <c r="A494" s="170"/>
      <c r="B494" s="719"/>
      <c r="C494" s="170"/>
      <c r="D494" s="170"/>
      <c r="E494" s="170"/>
      <c r="F494" s="170"/>
      <c r="G494" s="721"/>
      <c r="H494" s="170"/>
      <c r="I494" s="170"/>
      <c r="J494" s="170"/>
      <c r="K494" s="170"/>
      <c r="L494" s="170"/>
      <c r="M494" s="730"/>
      <c r="N494" s="730"/>
      <c r="O494" s="730"/>
      <c r="P494" s="731"/>
      <c r="Q494" s="731"/>
      <c r="R494" s="730"/>
      <c r="S494" s="730"/>
      <c r="T494" s="723"/>
      <c r="U494" s="724"/>
      <c r="V494" s="725"/>
      <c r="W494" s="725"/>
      <c r="X494" s="723"/>
      <c r="Y494" s="723"/>
      <c r="Z494" s="723"/>
      <c r="AA494" s="726"/>
      <c r="AB494" s="726"/>
      <c r="AC494" s="170"/>
      <c r="AD494" s="586"/>
      <c r="AE494" s="586"/>
      <c r="AF494" s="170"/>
      <c r="AG494" s="170"/>
      <c r="AH494" s="170"/>
      <c r="AI494" s="170"/>
      <c r="AJ494" s="170"/>
      <c r="AK494" s="170"/>
      <c r="AL494" s="170"/>
      <c r="AM494" s="170"/>
      <c r="AN494" s="170"/>
      <c r="AO494" s="170"/>
      <c r="AP494" s="170"/>
      <c r="AQ494" s="170"/>
      <c r="AR494" s="170"/>
      <c r="AS494" s="170"/>
    </row>
    <row r="495" spans="1:45" ht="15" x14ac:dyDescent="0.25">
      <c r="A495" s="170"/>
      <c r="B495" s="719"/>
      <c r="C495" s="170"/>
      <c r="D495" s="170"/>
      <c r="E495" s="170"/>
      <c r="F495" s="170"/>
      <c r="G495" s="721"/>
      <c r="H495" s="170"/>
      <c r="I495" s="170"/>
      <c r="J495" s="170"/>
      <c r="K495" s="170"/>
      <c r="L495" s="170"/>
      <c r="M495" s="730"/>
      <c r="N495" s="730"/>
      <c r="O495" s="730"/>
      <c r="P495" s="731"/>
      <c r="Q495" s="731"/>
      <c r="R495" s="730"/>
      <c r="S495" s="730"/>
      <c r="T495" s="723"/>
      <c r="U495" s="724"/>
      <c r="V495" s="725"/>
      <c r="W495" s="725"/>
      <c r="X495" s="723"/>
      <c r="Y495" s="723"/>
      <c r="Z495" s="723"/>
      <c r="AA495" s="726"/>
      <c r="AB495" s="726"/>
      <c r="AC495" s="170"/>
      <c r="AD495" s="586"/>
      <c r="AE495" s="586"/>
      <c r="AF495" s="170"/>
      <c r="AG495" s="170"/>
      <c r="AH495" s="170"/>
      <c r="AI495" s="170"/>
      <c r="AJ495" s="170"/>
      <c r="AK495" s="170"/>
      <c r="AL495" s="170"/>
      <c r="AM495" s="170"/>
      <c r="AN495" s="170"/>
      <c r="AO495" s="170"/>
      <c r="AP495" s="170"/>
      <c r="AQ495" s="170"/>
      <c r="AR495" s="170"/>
      <c r="AS495" s="170"/>
    </row>
    <row r="496" spans="1:45" ht="15" x14ac:dyDescent="0.25">
      <c r="A496" s="170"/>
      <c r="B496" s="719"/>
      <c r="C496" s="170"/>
      <c r="D496" s="170"/>
      <c r="E496" s="170"/>
      <c r="F496" s="170"/>
      <c r="G496" s="721"/>
      <c r="H496" s="170"/>
      <c r="I496" s="170"/>
      <c r="J496" s="170"/>
      <c r="K496" s="170"/>
      <c r="L496" s="170"/>
      <c r="M496" s="730"/>
      <c r="N496" s="730"/>
      <c r="O496" s="730"/>
      <c r="P496" s="731"/>
      <c r="Q496" s="731"/>
      <c r="R496" s="730"/>
      <c r="S496" s="730"/>
      <c r="T496" s="723"/>
      <c r="U496" s="724"/>
      <c r="V496" s="725"/>
      <c r="W496" s="725"/>
      <c r="X496" s="723"/>
      <c r="Y496" s="723"/>
      <c r="Z496" s="723"/>
      <c r="AA496" s="726"/>
      <c r="AB496" s="726"/>
      <c r="AC496" s="170"/>
      <c r="AD496" s="586"/>
      <c r="AE496" s="586"/>
      <c r="AF496" s="170"/>
      <c r="AG496" s="170"/>
      <c r="AH496" s="170"/>
      <c r="AI496" s="170"/>
      <c r="AJ496" s="170"/>
      <c r="AK496" s="170"/>
      <c r="AL496" s="170"/>
      <c r="AM496" s="170"/>
      <c r="AN496" s="170"/>
      <c r="AO496" s="170"/>
      <c r="AP496" s="170"/>
      <c r="AQ496" s="170"/>
      <c r="AR496" s="170"/>
      <c r="AS496" s="170"/>
    </row>
    <row r="497" spans="1:45" ht="15" x14ac:dyDescent="0.25">
      <c r="A497" s="170"/>
      <c r="B497" s="719"/>
      <c r="C497" s="170"/>
      <c r="D497" s="170"/>
      <c r="E497" s="170"/>
      <c r="F497" s="170"/>
      <c r="G497" s="721"/>
      <c r="H497" s="170"/>
      <c r="I497" s="170"/>
      <c r="J497" s="170"/>
      <c r="K497" s="170"/>
      <c r="L497" s="170"/>
      <c r="M497" s="730"/>
      <c r="N497" s="730"/>
      <c r="O497" s="730"/>
      <c r="P497" s="731"/>
      <c r="Q497" s="731"/>
      <c r="R497" s="730"/>
      <c r="S497" s="730"/>
      <c r="T497" s="723"/>
      <c r="U497" s="724"/>
      <c r="V497" s="725"/>
      <c r="W497" s="725"/>
      <c r="X497" s="723"/>
      <c r="Y497" s="723"/>
      <c r="Z497" s="723"/>
      <c r="AA497" s="726"/>
      <c r="AB497" s="726"/>
      <c r="AC497" s="170"/>
      <c r="AD497" s="586"/>
      <c r="AE497" s="586"/>
      <c r="AF497" s="170"/>
      <c r="AG497" s="170"/>
      <c r="AH497" s="170"/>
      <c r="AI497" s="170"/>
      <c r="AJ497" s="170"/>
      <c r="AK497" s="170"/>
      <c r="AL497" s="170"/>
      <c r="AM497" s="170"/>
      <c r="AN497" s="170"/>
      <c r="AO497" s="170"/>
      <c r="AP497" s="170"/>
      <c r="AQ497" s="170"/>
      <c r="AR497" s="170"/>
      <c r="AS497" s="170"/>
    </row>
    <row r="498" spans="1:45" ht="15" x14ac:dyDescent="0.25">
      <c r="A498" s="170"/>
      <c r="B498" s="719"/>
      <c r="C498" s="170"/>
      <c r="D498" s="170"/>
      <c r="E498" s="170"/>
      <c r="F498" s="170"/>
      <c r="G498" s="721"/>
      <c r="H498" s="170"/>
      <c r="I498" s="170"/>
      <c r="J498" s="170"/>
      <c r="K498" s="170"/>
      <c r="L498" s="170"/>
      <c r="M498" s="730"/>
      <c r="N498" s="730"/>
      <c r="O498" s="730"/>
      <c r="P498" s="731"/>
      <c r="Q498" s="731"/>
      <c r="R498" s="730"/>
      <c r="S498" s="730"/>
      <c r="T498" s="723"/>
      <c r="U498" s="724"/>
      <c r="V498" s="725"/>
      <c r="W498" s="725"/>
      <c r="X498" s="723"/>
      <c r="Y498" s="723"/>
      <c r="Z498" s="723"/>
      <c r="AA498" s="726"/>
      <c r="AB498" s="726"/>
      <c r="AC498" s="170"/>
      <c r="AD498" s="586"/>
      <c r="AE498" s="586"/>
      <c r="AF498" s="170"/>
      <c r="AG498" s="170"/>
      <c r="AH498" s="170"/>
      <c r="AI498" s="170"/>
      <c r="AJ498" s="170"/>
      <c r="AK498" s="170"/>
      <c r="AL498" s="170"/>
      <c r="AM498" s="170"/>
      <c r="AN498" s="170"/>
      <c r="AO498" s="170"/>
      <c r="AP498" s="170"/>
      <c r="AQ498" s="170"/>
      <c r="AR498" s="170"/>
      <c r="AS498" s="170"/>
    </row>
    <row r="499" spans="1:45" ht="15" x14ac:dyDescent="0.25">
      <c r="A499" s="170"/>
      <c r="B499" s="719"/>
      <c r="C499" s="170"/>
      <c r="D499" s="170"/>
      <c r="E499" s="170"/>
      <c r="F499" s="170"/>
      <c r="G499" s="721"/>
      <c r="H499" s="170"/>
      <c r="I499" s="170"/>
      <c r="J499" s="170"/>
      <c r="K499" s="170"/>
      <c r="L499" s="170"/>
      <c r="M499" s="730"/>
      <c r="N499" s="730"/>
      <c r="O499" s="730"/>
      <c r="P499" s="731"/>
      <c r="Q499" s="731"/>
      <c r="R499" s="730"/>
      <c r="S499" s="730"/>
      <c r="T499" s="723"/>
      <c r="U499" s="724"/>
      <c r="V499" s="725"/>
      <c r="W499" s="725"/>
      <c r="X499" s="723"/>
      <c r="Y499" s="723"/>
      <c r="Z499" s="723"/>
      <c r="AA499" s="726"/>
      <c r="AB499" s="726"/>
      <c r="AC499" s="170"/>
      <c r="AD499" s="586"/>
      <c r="AE499" s="586"/>
      <c r="AF499" s="170"/>
      <c r="AG499" s="170"/>
      <c r="AH499" s="170"/>
      <c r="AI499" s="170"/>
      <c r="AJ499" s="170"/>
      <c r="AK499" s="170"/>
      <c r="AL499" s="170"/>
      <c r="AM499" s="170"/>
      <c r="AN499" s="170"/>
      <c r="AO499" s="170"/>
      <c r="AP499" s="170"/>
      <c r="AQ499" s="170"/>
      <c r="AR499" s="170"/>
      <c r="AS499" s="170"/>
    </row>
    <row r="500" spans="1:45" ht="15" x14ac:dyDescent="0.25">
      <c r="A500" s="170"/>
      <c r="B500" s="719"/>
      <c r="C500" s="170"/>
      <c r="D500" s="170"/>
      <c r="E500" s="170"/>
      <c r="F500" s="170"/>
      <c r="G500" s="721"/>
      <c r="H500" s="170"/>
      <c r="I500" s="170"/>
      <c r="J500" s="170"/>
      <c r="K500" s="170"/>
      <c r="L500" s="170"/>
      <c r="M500" s="730"/>
      <c r="N500" s="730"/>
      <c r="O500" s="730"/>
      <c r="P500" s="731"/>
      <c r="Q500" s="731"/>
      <c r="R500" s="730"/>
      <c r="S500" s="730"/>
      <c r="T500" s="723"/>
      <c r="U500" s="724"/>
      <c r="V500" s="725"/>
      <c r="W500" s="725"/>
      <c r="X500" s="723"/>
      <c r="Y500" s="723"/>
      <c r="Z500" s="723"/>
      <c r="AA500" s="726"/>
      <c r="AB500" s="726"/>
      <c r="AC500" s="170"/>
      <c r="AD500" s="586"/>
      <c r="AE500" s="586"/>
      <c r="AF500" s="170"/>
      <c r="AG500" s="170"/>
      <c r="AH500" s="170"/>
      <c r="AI500" s="170"/>
      <c r="AJ500" s="170"/>
      <c r="AK500" s="170"/>
      <c r="AL500" s="170"/>
      <c r="AM500" s="170"/>
      <c r="AN500" s="170"/>
      <c r="AO500" s="170"/>
      <c r="AP500" s="170"/>
      <c r="AQ500" s="170"/>
      <c r="AR500" s="170"/>
      <c r="AS500" s="170"/>
    </row>
    <row r="501" spans="1:45" ht="15" x14ac:dyDescent="0.25">
      <c r="A501" s="170"/>
      <c r="B501" s="719"/>
      <c r="C501" s="170"/>
      <c r="D501" s="170"/>
      <c r="E501" s="170"/>
      <c r="F501" s="170"/>
      <c r="G501" s="721"/>
      <c r="H501" s="170"/>
      <c r="I501" s="170"/>
      <c r="J501" s="170"/>
      <c r="K501" s="170"/>
      <c r="L501" s="170"/>
      <c r="M501" s="730"/>
      <c r="N501" s="730"/>
      <c r="O501" s="730"/>
      <c r="P501" s="731"/>
      <c r="Q501" s="731"/>
      <c r="R501" s="730"/>
      <c r="S501" s="730"/>
      <c r="T501" s="723"/>
      <c r="U501" s="724"/>
      <c r="V501" s="725"/>
      <c r="W501" s="725"/>
      <c r="X501" s="723"/>
      <c r="Y501" s="723"/>
      <c r="Z501" s="723"/>
      <c r="AA501" s="726"/>
      <c r="AB501" s="726"/>
      <c r="AC501" s="170"/>
      <c r="AD501" s="586"/>
      <c r="AE501" s="586"/>
      <c r="AF501" s="170"/>
      <c r="AG501" s="170"/>
      <c r="AH501" s="170"/>
      <c r="AI501" s="170"/>
      <c r="AJ501" s="170"/>
      <c r="AK501" s="170"/>
      <c r="AL501" s="170"/>
      <c r="AM501" s="170"/>
      <c r="AN501" s="170"/>
      <c r="AO501" s="170"/>
      <c r="AP501" s="170"/>
      <c r="AQ501" s="170"/>
      <c r="AR501" s="170"/>
      <c r="AS501" s="170"/>
    </row>
    <row r="502" spans="1:45" ht="15" x14ac:dyDescent="0.25">
      <c r="A502" s="170"/>
      <c r="B502" s="719"/>
      <c r="C502" s="170"/>
      <c r="D502" s="170"/>
      <c r="E502" s="170"/>
      <c r="F502" s="170"/>
      <c r="G502" s="721"/>
      <c r="H502" s="170"/>
      <c r="I502" s="170"/>
      <c r="J502" s="170"/>
      <c r="K502" s="170"/>
      <c r="L502" s="170"/>
      <c r="M502" s="730"/>
      <c r="N502" s="730"/>
      <c r="O502" s="730"/>
      <c r="P502" s="731"/>
      <c r="Q502" s="731"/>
      <c r="R502" s="730"/>
      <c r="S502" s="730"/>
      <c r="T502" s="723"/>
      <c r="U502" s="724"/>
      <c r="V502" s="725"/>
      <c r="W502" s="725"/>
      <c r="X502" s="723"/>
      <c r="Y502" s="723"/>
      <c r="Z502" s="723"/>
      <c r="AA502" s="726"/>
      <c r="AB502" s="726"/>
      <c r="AC502" s="170"/>
      <c r="AD502" s="586"/>
      <c r="AE502" s="586"/>
      <c r="AF502" s="170"/>
      <c r="AG502" s="170"/>
      <c r="AH502" s="170"/>
      <c r="AI502" s="170"/>
      <c r="AJ502" s="170"/>
      <c r="AK502" s="170"/>
      <c r="AL502" s="170"/>
      <c r="AM502" s="170"/>
      <c r="AN502" s="170"/>
      <c r="AO502" s="170"/>
      <c r="AP502" s="170"/>
      <c r="AQ502" s="170"/>
      <c r="AR502" s="170"/>
      <c r="AS502" s="170"/>
    </row>
    <row r="503" spans="1:45" ht="15" x14ac:dyDescent="0.25">
      <c r="A503" s="170"/>
      <c r="B503" s="719"/>
      <c r="C503" s="170"/>
      <c r="D503" s="170"/>
      <c r="E503" s="170"/>
      <c r="F503" s="170"/>
      <c r="G503" s="721"/>
      <c r="H503" s="170"/>
      <c r="I503" s="170"/>
      <c r="J503" s="170"/>
      <c r="K503" s="170"/>
      <c r="L503" s="170"/>
      <c r="M503" s="730"/>
      <c r="N503" s="730"/>
      <c r="O503" s="730"/>
      <c r="P503" s="731"/>
      <c r="Q503" s="731"/>
      <c r="R503" s="730"/>
      <c r="S503" s="730"/>
      <c r="T503" s="723"/>
      <c r="U503" s="724"/>
      <c r="V503" s="725"/>
      <c r="W503" s="725"/>
      <c r="X503" s="723"/>
      <c r="Y503" s="723"/>
      <c r="Z503" s="723"/>
      <c r="AA503" s="726"/>
      <c r="AB503" s="726"/>
      <c r="AC503" s="170"/>
      <c r="AD503" s="586"/>
      <c r="AE503" s="586"/>
      <c r="AF503" s="170"/>
      <c r="AG503" s="170"/>
      <c r="AH503" s="170"/>
      <c r="AI503" s="170"/>
      <c r="AJ503" s="170"/>
      <c r="AK503" s="170"/>
      <c r="AL503" s="170"/>
      <c r="AM503" s="170"/>
      <c r="AN503" s="170"/>
      <c r="AO503" s="170"/>
      <c r="AP503" s="170"/>
      <c r="AQ503" s="170"/>
      <c r="AR503" s="170"/>
      <c r="AS503" s="170"/>
    </row>
    <row r="504" spans="1:45" ht="15" x14ac:dyDescent="0.25">
      <c r="A504" s="170"/>
      <c r="B504" s="719"/>
      <c r="C504" s="170"/>
      <c r="D504" s="170"/>
      <c r="E504" s="170"/>
      <c r="F504" s="170"/>
      <c r="G504" s="721"/>
      <c r="H504" s="170"/>
      <c r="I504" s="170"/>
      <c r="J504" s="170"/>
      <c r="K504" s="170"/>
      <c r="L504" s="170"/>
      <c r="M504" s="730"/>
      <c r="N504" s="730"/>
      <c r="O504" s="730"/>
      <c r="P504" s="731"/>
      <c r="Q504" s="731"/>
      <c r="R504" s="730"/>
      <c r="S504" s="730"/>
      <c r="T504" s="723"/>
      <c r="U504" s="724"/>
      <c r="V504" s="725"/>
      <c r="W504" s="725"/>
      <c r="X504" s="723"/>
      <c r="Y504" s="723"/>
      <c r="Z504" s="723"/>
      <c r="AA504" s="726"/>
      <c r="AB504" s="726"/>
      <c r="AC504" s="170"/>
      <c r="AD504" s="586"/>
      <c r="AE504" s="586"/>
      <c r="AF504" s="170"/>
      <c r="AG504" s="170"/>
      <c r="AH504" s="170"/>
      <c r="AI504" s="170"/>
      <c r="AJ504" s="170"/>
      <c r="AK504" s="170"/>
      <c r="AL504" s="170"/>
      <c r="AM504" s="170"/>
      <c r="AN504" s="170"/>
      <c r="AO504" s="170"/>
      <c r="AP504" s="170"/>
      <c r="AQ504" s="170"/>
      <c r="AR504" s="170"/>
      <c r="AS504" s="170"/>
    </row>
    <row r="505" spans="1:45" ht="15" x14ac:dyDescent="0.25">
      <c r="A505" s="170"/>
      <c r="B505" s="719"/>
      <c r="C505" s="170"/>
      <c r="D505" s="170"/>
      <c r="E505" s="170"/>
      <c r="F505" s="170"/>
      <c r="G505" s="721"/>
      <c r="H505" s="170"/>
      <c r="I505" s="170"/>
      <c r="J505" s="170"/>
      <c r="K505" s="170"/>
      <c r="L505" s="170"/>
      <c r="M505" s="730"/>
      <c r="N505" s="730"/>
      <c r="O505" s="730"/>
      <c r="P505" s="731"/>
      <c r="Q505" s="731"/>
      <c r="R505" s="730"/>
      <c r="S505" s="730"/>
      <c r="T505" s="723"/>
      <c r="U505" s="724"/>
      <c r="V505" s="725"/>
      <c r="W505" s="725"/>
      <c r="X505" s="723"/>
      <c r="Y505" s="723"/>
      <c r="Z505" s="723"/>
      <c r="AA505" s="726"/>
      <c r="AB505" s="726"/>
      <c r="AC505" s="170"/>
      <c r="AD505" s="586"/>
      <c r="AE505" s="586"/>
      <c r="AF505" s="170"/>
      <c r="AG505" s="170"/>
      <c r="AH505" s="170"/>
      <c r="AI505" s="170"/>
      <c r="AJ505" s="170"/>
      <c r="AK505" s="170"/>
      <c r="AL505" s="170"/>
      <c r="AM505" s="170"/>
      <c r="AN505" s="170"/>
      <c r="AO505" s="170"/>
      <c r="AP505" s="170"/>
      <c r="AQ505" s="170"/>
      <c r="AR505" s="170"/>
      <c r="AS505" s="170"/>
    </row>
    <row r="506" spans="1:45" ht="15" x14ac:dyDescent="0.25">
      <c r="A506" s="170"/>
      <c r="B506" s="719"/>
      <c r="C506" s="170"/>
      <c r="D506" s="170"/>
      <c r="E506" s="170"/>
      <c r="F506" s="170"/>
      <c r="G506" s="721"/>
      <c r="H506" s="170"/>
      <c r="I506" s="170"/>
      <c r="J506" s="170"/>
      <c r="K506" s="170"/>
      <c r="L506" s="170"/>
      <c r="M506" s="730"/>
      <c r="N506" s="730"/>
      <c r="O506" s="730"/>
      <c r="P506" s="731"/>
      <c r="Q506" s="731"/>
      <c r="R506" s="730"/>
      <c r="S506" s="730"/>
      <c r="T506" s="723"/>
      <c r="U506" s="724"/>
      <c r="V506" s="725"/>
      <c r="W506" s="725"/>
      <c r="X506" s="723"/>
      <c r="Y506" s="723"/>
      <c r="Z506" s="723"/>
      <c r="AA506" s="726"/>
      <c r="AB506" s="726"/>
      <c r="AC506" s="170"/>
      <c r="AD506" s="586"/>
      <c r="AE506" s="586"/>
      <c r="AF506" s="170"/>
      <c r="AG506" s="170"/>
      <c r="AH506" s="170"/>
      <c r="AI506" s="170"/>
      <c r="AJ506" s="170"/>
      <c r="AK506" s="170"/>
      <c r="AL506" s="170"/>
      <c r="AM506" s="170"/>
      <c r="AN506" s="170"/>
      <c r="AO506" s="170"/>
      <c r="AP506" s="170"/>
      <c r="AQ506" s="170"/>
      <c r="AR506" s="170"/>
      <c r="AS506" s="170"/>
    </row>
    <row r="507" spans="1:45" ht="15" x14ac:dyDescent="0.25">
      <c r="A507" s="170"/>
      <c r="B507" s="719"/>
      <c r="C507" s="170"/>
      <c r="D507" s="170"/>
      <c r="E507" s="170"/>
      <c r="F507" s="170"/>
      <c r="G507" s="721"/>
      <c r="H507" s="170"/>
      <c r="I507" s="170"/>
      <c r="J507" s="170"/>
      <c r="K507" s="170"/>
      <c r="L507" s="170"/>
      <c r="M507" s="730"/>
      <c r="N507" s="730"/>
      <c r="O507" s="730"/>
      <c r="P507" s="731"/>
      <c r="Q507" s="731"/>
      <c r="R507" s="730"/>
      <c r="S507" s="730"/>
      <c r="T507" s="723"/>
      <c r="U507" s="724"/>
      <c r="V507" s="725"/>
      <c r="W507" s="725"/>
      <c r="X507" s="723"/>
      <c r="Y507" s="723"/>
      <c r="Z507" s="723"/>
      <c r="AA507" s="726"/>
      <c r="AB507" s="726"/>
      <c r="AC507" s="170"/>
      <c r="AD507" s="586"/>
      <c r="AE507" s="586"/>
      <c r="AF507" s="170"/>
      <c r="AG507" s="170"/>
      <c r="AH507" s="170"/>
      <c r="AI507" s="170"/>
      <c r="AJ507" s="170"/>
      <c r="AK507" s="170"/>
      <c r="AL507" s="170"/>
      <c r="AM507" s="170"/>
      <c r="AN507" s="170"/>
      <c r="AO507" s="170"/>
      <c r="AP507" s="170"/>
      <c r="AQ507" s="170"/>
      <c r="AR507" s="170"/>
      <c r="AS507" s="170"/>
    </row>
    <row r="508" spans="1:45" ht="15" x14ac:dyDescent="0.25">
      <c r="A508" s="170"/>
      <c r="B508" s="719"/>
      <c r="C508" s="170"/>
      <c r="D508" s="170"/>
      <c r="E508" s="170"/>
      <c r="F508" s="170"/>
      <c r="G508" s="721"/>
      <c r="H508" s="170"/>
      <c r="I508" s="170"/>
      <c r="J508" s="170"/>
      <c r="K508" s="170"/>
      <c r="L508" s="170"/>
      <c r="M508" s="730"/>
      <c r="N508" s="730"/>
      <c r="O508" s="730"/>
      <c r="P508" s="731"/>
      <c r="Q508" s="731"/>
      <c r="R508" s="730"/>
      <c r="S508" s="730"/>
      <c r="T508" s="723"/>
      <c r="U508" s="724"/>
      <c r="V508" s="725"/>
      <c r="W508" s="725"/>
      <c r="X508" s="723"/>
      <c r="Y508" s="723"/>
      <c r="Z508" s="723"/>
      <c r="AA508" s="726"/>
      <c r="AB508" s="726"/>
      <c r="AC508" s="170"/>
      <c r="AD508" s="586"/>
      <c r="AE508" s="586"/>
      <c r="AF508" s="170"/>
      <c r="AG508" s="170"/>
      <c r="AH508" s="170"/>
      <c r="AI508" s="170"/>
      <c r="AJ508" s="170"/>
      <c r="AK508" s="170"/>
      <c r="AL508" s="170"/>
      <c r="AM508" s="170"/>
      <c r="AN508" s="170"/>
      <c r="AO508" s="170"/>
      <c r="AP508" s="170"/>
      <c r="AQ508" s="170"/>
      <c r="AR508" s="170"/>
      <c r="AS508" s="170"/>
    </row>
    <row r="509" spans="1:45" ht="15" x14ac:dyDescent="0.25">
      <c r="A509" s="170"/>
      <c r="B509" s="719"/>
      <c r="C509" s="170"/>
      <c r="D509" s="170"/>
      <c r="E509" s="170"/>
      <c r="F509" s="170"/>
      <c r="G509" s="721"/>
      <c r="H509" s="170"/>
      <c r="I509" s="170"/>
      <c r="J509" s="170"/>
      <c r="K509" s="170"/>
      <c r="L509" s="170"/>
      <c r="M509" s="730"/>
      <c r="N509" s="730"/>
      <c r="O509" s="730"/>
      <c r="P509" s="731"/>
      <c r="Q509" s="731"/>
      <c r="R509" s="730"/>
      <c r="S509" s="730"/>
      <c r="T509" s="723"/>
      <c r="U509" s="724"/>
      <c r="V509" s="725"/>
      <c r="W509" s="725"/>
      <c r="X509" s="723"/>
      <c r="Y509" s="723"/>
      <c r="Z509" s="723"/>
      <c r="AA509" s="726"/>
      <c r="AB509" s="726"/>
      <c r="AC509" s="170"/>
      <c r="AD509" s="586"/>
      <c r="AE509" s="586"/>
      <c r="AF509" s="170"/>
      <c r="AG509" s="170"/>
      <c r="AH509" s="170"/>
      <c r="AI509" s="170"/>
      <c r="AJ509" s="170"/>
      <c r="AK509" s="170"/>
      <c r="AL509" s="170"/>
      <c r="AM509" s="170"/>
      <c r="AN509" s="170"/>
      <c r="AO509" s="170"/>
      <c r="AP509" s="170"/>
      <c r="AQ509" s="170"/>
      <c r="AR509" s="170"/>
      <c r="AS509" s="170"/>
    </row>
    <row r="510" spans="1:45" ht="15" x14ac:dyDescent="0.25">
      <c r="A510" s="170"/>
      <c r="B510" s="719"/>
      <c r="C510" s="170"/>
      <c r="D510" s="170"/>
      <c r="E510" s="170"/>
      <c r="F510" s="170"/>
      <c r="G510" s="721"/>
      <c r="H510" s="170"/>
      <c r="I510" s="170"/>
      <c r="J510" s="170"/>
      <c r="K510" s="170"/>
      <c r="L510" s="170"/>
      <c r="M510" s="730"/>
      <c r="N510" s="730"/>
      <c r="O510" s="730"/>
      <c r="P510" s="731"/>
      <c r="Q510" s="731"/>
      <c r="R510" s="730"/>
      <c r="S510" s="730"/>
      <c r="T510" s="723"/>
      <c r="U510" s="724"/>
      <c r="V510" s="725"/>
      <c r="W510" s="725"/>
      <c r="X510" s="723"/>
      <c r="Y510" s="723"/>
      <c r="Z510" s="723"/>
      <c r="AA510" s="726"/>
      <c r="AB510" s="726"/>
      <c r="AC510" s="170"/>
      <c r="AD510" s="586"/>
      <c r="AE510" s="586"/>
      <c r="AF510" s="170"/>
      <c r="AG510" s="170"/>
      <c r="AH510" s="170"/>
      <c r="AI510" s="170"/>
      <c r="AJ510" s="170"/>
      <c r="AK510" s="170"/>
      <c r="AL510" s="170"/>
      <c r="AM510" s="170"/>
      <c r="AN510" s="170"/>
      <c r="AO510" s="170"/>
      <c r="AP510" s="170"/>
      <c r="AQ510" s="170"/>
      <c r="AR510" s="170"/>
      <c r="AS510" s="170"/>
    </row>
    <row r="511" spans="1:45" ht="15" x14ac:dyDescent="0.25">
      <c r="A511" s="170"/>
      <c r="B511" s="719"/>
      <c r="C511" s="170"/>
      <c r="D511" s="170"/>
      <c r="E511" s="170"/>
      <c r="F511" s="170"/>
      <c r="G511" s="721"/>
      <c r="H511" s="170"/>
      <c r="I511" s="170"/>
      <c r="J511" s="170"/>
      <c r="K511" s="170"/>
      <c r="L511" s="170"/>
      <c r="M511" s="730"/>
      <c r="N511" s="730"/>
      <c r="O511" s="730"/>
      <c r="P511" s="731"/>
      <c r="Q511" s="731"/>
      <c r="R511" s="730"/>
      <c r="S511" s="730"/>
      <c r="T511" s="723"/>
      <c r="U511" s="724"/>
      <c r="V511" s="725"/>
      <c r="W511" s="725"/>
      <c r="X511" s="723"/>
      <c r="Y511" s="723"/>
      <c r="Z511" s="723"/>
      <c r="AA511" s="726"/>
      <c r="AB511" s="726"/>
      <c r="AC511" s="170"/>
      <c r="AD511" s="586"/>
      <c r="AE511" s="586"/>
      <c r="AF511" s="170"/>
      <c r="AG511" s="170"/>
      <c r="AH511" s="170"/>
      <c r="AI511" s="170"/>
      <c r="AJ511" s="170"/>
      <c r="AK511" s="170"/>
      <c r="AL511" s="170"/>
      <c r="AM511" s="170"/>
      <c r="AN511" s="170"/>
      <c r="AO511" s="170"/>
      <c r="AP511" s="170"/>
      <c r="AQ511" s="170"/>
      <c r="AR511" s="170"/>
      <c r="AS511" s="170"/>
    </row>
    <row r="512" spans="1:45" ht="15" x14ac:dyDescent="0.25">
      <c r="A512" s="170"/>
      <c r="B512" s="719"/>
      <c r="C512" s="170"/>
      <c r="D512" s="170"/>
      <c r="E512" s="170"/>
      <c r="F512" s="170"/>
      <c r="G512" s="721"/>
      <c r="H512" s="170"/>
      <c r="I512" s="170"/>
      <c r="J512" s="170"/>
      <c r="K512" s="170"/>
      <c r="L512" s="170"/>
      <c r="M512" s="730"/>
      <c r="N512" s="730"/>
      <c r="O512" s="730"/>
      <c r="P512" s="731"/>
      <c r="Q512" s="731"/>
      <c r="R512" s="730"/>
      <c r="S512" s="730"/>
      <c r="T512" s="723"/>
      <c r="U512" s="724"/>
      <c r="V512" s="725"/>
      <c r="W512" s="725"/>
      <c r="X512" s="723"/>
      <c r="Y512" s="723"/>
      <c r="Z512" s="723"/>
      <c r="AA512" s="726"/>
      <c r="AB512" s="726"/>
      <c r="AC512" s="170"/>
      <c r="AD512" s="586"/>
      <c r="AE512" s="586"/>
      <c r="AF512" s="170"/>
      <c r="AG512" s="170"/>
      <c r="AH512" s="170"/>
      <c r="AI512" s="170"/>
      <c r="AJ512" s="170"/>
      <c r="AK512" s="170"/>
      <c r="AL512" s="170"/>
      <c r="AM512" s="170"/>
      <c r="AN512" s="170"/>
      <c r="AO512" s="170"/>
      <c r="AP512" s="170"/>
      <c r="AQ512" s="170"/>
      <c r="AR512" s="170"/>
      <c r="AS512" s="170"/>
    </row>
    <row r="513" spans="1:45" ht="15" x14ac:dyDescent="0.25">
      <c r="A513" s="170"/>
      <c r="B513" s="719"/>
      <c r="C513" s="170"/>
      <c r="D513" s="170"/>
      <c r="E513" s="170"/>
      <c r="F513" s="170"/>
      <c r="G513" s="721"/>
      <c r="H513" s="170"/>
      <c r="I513" s="170"/>
      <c r="J513" s="170"/>
      <c r="K513" s="170"/>
      <c r="L513" s="170"/>
      <c r="M513" s="730"/>
      <c r="N513" s="730"/>
      <c r="O513" s="730"/>
      <c r="P513" s="731"/>
      <c r="Q513" s="731"/>
      <c r="R513" s="730"/>
      <c r="S513" s="730"/>
      <c r="T513" s="723"/>
      <c r="U513" s="724"/>
      <c r="V513" s="725"/>
      <c r="W513" s="725"/>
      <c r="X513" s="723"/>
      <c r="Y513" s="723"/>
      <c r="Z513" s="723"/>
      <c r="AA513" s="726"/>
      <c r="AB513" s="726"/>
      <c r="AC513" s="170"/>
      <c r="AD513" s="586"/>
      <c r="AE513" s="586"/>
      <c r="AF513" s="170"/>
      <c r="AG513" s="170"/>
      <c r="AH513" s="170"/>
      <c r="AI513" s="170"/>
      <c r="AJ513" s="170"/>
      <c r="AK513" s="170"/>
      <c r="AL513" s="170"/>
      <c r="AM513" s="170"/>
      <c r="AN513" s="170"/>
      <c r="AO513" s="170"/>
      <c r="AP513" s="170"/>
      <c r="AQ513" s="170"/>
      <c r="AR513" s="170"/>
      <c r="AS513" s="170"/>
    </row>
    <row r="514" spans="1:45" ht="15" x14ac:dyDescent="0.25">
      <c r="A514" s="170"/>
      <c r="B514" s="719"/>
      <c r="C514" s="170"/>
      <c r="D514" s="170"/>
      <c r="E514" s="170"/>
      <c r="F514" s="170"/>
      <c r="G514" s="721"/>
      <c r="H514" s="170"/>
      <c r="I514" s="170"/>
      <c r="J514" s="170"/>
      <c r="K514" s="170"/>
      <c r="L514" s="170"/>
      <c r="M514" s="730"/>
      <c r="N514" s="730"/>
      <c r="O514" s="730"/>
      <c r="P514" s="731"/>
      <c r="Q514" s="731"/>
      <c r="R514" s="730"/>
      <c r="S514" s="730"/>
      <c r="T514" s="723"/>
      <c r="U514" s="724"/>
      <c r="V514" s="725"/>
      <c r="W514" s="725"/>
      <c r="X514" s="723"/>
      <c r="Y514" s="723"/>
      <c r="Z514" s="723"/>
      <c r="AA514" s="726"/>
      <c r="AB514" s="726"/>
      <c r="AC514" s="170"/>
      <c r="AD514" s="586"/>
      <c r="AE514" s="586"/>
      <c r="AF514" s="170"/>
      <c r="AG514" s="170"/>
      <c r="AH514" s="170"/>
      <c r="AI514" s="170"/>
      <c r="AJ514" s="170"/>
      <c r="AK514" s="170"/>
      <c r="AL514" s="170"/>
      <c r="AM514" s="170"/>
      <c r="AN514" s="170"/>
      <c r="AO514" s="170"/>
      <c r="AP514" s="170"/>
      <c r="AQ514" s="170"/>
      <c r="AR514" s="170"/>
      <c r="AS514" s="170"/>
    </row>
    <row r="515" spans="1:45" ht="15" x14ac:dyDescent="0.25">
      <c r="A515" s="170"/>
      <c r="B515" s="719"/>
      <c r="C515" s="170"/>
      <c r="D515" s="170"/>
      <c r="E515" s="170"/>
      <c r="F515" s="170"/>
      <c r="G515" s="721"/>
      <c r="H515" s="170"/>
      <c r="I515" s="170"/>
      <c r="J515" s="170"/>
      <c r="K515" s="170"/>
      <c r="L515" s="170"/>
      <c r="M515" s="730"/>
      <c r="N515" s="730"/>
      <c r="O515" s="730"/>
      <c r="P515" s="731"/>
      <c r="Q515" s="731"/>
      <c r="R515" s="730"/>
      <c r="S515" s="730"/>
      <c r="T515" s="723"/>
      <c r="U515" s="724"/>
      <c r="V515" s="725"/>
      <c r="W515" s="725"/>
      <c r="X515" s="723"/>
      <c r="Y515" s="723"/>
      <c r="Z515" s="723"/>
      <c r="AA515" s="726"/>
      <c r="AB515" s="726"/>
      <c r="AC515" s="170"/>
      <c r="AD515" s="586"/>
      <c r="AE515" s="586"/>
      <c r="AF515" s="170"/>
      <c r="AG515" s="170"/>
      <c r="AH515" s="170"/>
      <c r="AI515" s="170"/>
      <c r="AJ515" s="170"/>
      <c r="AK515" s="170"/>
      <c r="AL515" s="170"/>
      <c r="AM515" s="170"/>
      <c r="AN515" s="170"/>
      <c r="AO515" s="170"/>
      <c r="AP515" s="170"/>
      <c r="AQ515" s="170"/>
      <c r="AR515" s="170"/>
      <c r="AS515" s="170"/>
    </row>
    <row r="516" spans="1:45" ht="15" x14ac:dyDescent="0.25">
      <c r="A516" s="170"/>
      <c r="B516" s="719"/>
      <c r="C516" s="170"/>
      <c r="D516" s="170"/>
      <c r="E516" s="170"/>
      <c r="F516" s="170"/>
      <c r="G516" s="721"/>
      <c r="H516" s="170"/>
      <c r="I516" s="170"/>
      <c r="J516" s="170"/>
      <c r="K516" s="170"/>
      <c r="L516" s="170"/>
      <c r="M516" s="730"/>
      <c r="N516" s="730"/>
      <c r="O516" s="730"/>
      <c r="P516" s="731"/>
      <c r="Q516" s="731"/>
      <c r="R516" s="730"/>
      <c r="S516" s="730"/>
      <c r="T516" s="723"/>
      <c r="U516" s="724"/>
      <c r="V516" s="725"/>
      <c r="W516" s="725"/>
      <c r="X516" s="723"/>
      <c r="Y516" s="723"/>
      <c r="Z516" s="723"/>
      <c r="AA516" s="726"/>
      <c r="AB516" s="726"/>
      <c r="AC516" s="170"/>
      <c r="AD516" s="586"/>
      <c r="AE516" s="586"/>
      <c r="AF516" s="170"/>
      <c r="AG516" s="170"/>
      <c r="AH516" s="170"/>
      <c r="AI516" s="170"/>
      <c r="AJ516" s="170"/>
      <c r="AK516" s="170"/>
      <c r="AL516" s="170"/>
      <c r="AM516" s="170"/>
      <c r="AN516" s="170"/>
      <c r="AO516" s="170"/>
      <c r="AP516" s="170"/>
      <c r="AQ516" s="170"/>
      <c r="AR516" s="170"/>
      <c r="AS516" s="170"/>
    </row>
    <row r="517" spans="1:45" ht="15" x14ac:dyDescent="0.25">
      <c r="A517" s="170"/>
      <c r="B517" s="719"/>
      <c r="C517" s="170"/>
      <c r="D517" s="170"/>
      <c r="E517" s="170"/>
      <c r="F517" s="170"/>
      <c r="G517" s="721"/>
      <c r="H517" s="170"/>
      <c r="I517" s="170"/>
      <c r="J517" s="170"/>
      <c r="K517" s="170"/>
      <c r="L517" s="170"/>
      <c r="M517" s="730"/>
      <c r="N517" s="730"/>
      <c r="O517" s="730"/>
      <c r="P517" s="731"/>
      <c r="Q517" s="731"/>
      <c r="R517" s="730"/>
      <c r="S517" s="730"/>
      <c r="T517" s="723"/>
      <c r="U517" s="724"/>
      <c r="V517" s="725"/>
      <c r="W517" s="725"/>
      <c r="X517" s="723"/>
      <c r="Y517" s="723"/>
      <c r="Z517" s="723"/>
      <c r="AA517" s="726"/>
      <c r="AB517" s="726"/>
      <c r="AC517" s="170"/>
      <c r="AD517" s="586"/>
      <c r="AE517" s="586"/>
      <c r="AF517" s="170"/>
      <c r="AG517" s="170"/>
      <c r="AH517" s="170"/>
      <c r="AI517" s="170"/>
      <c r="AJ517" s="170"/>
      <c r="AK517" s="170"/>
      <c r="AL517" s="170"/>
      <c r="AM517" s="170"/>
      <c r="AN517" s="170"/>
      <c r="AO517" s="170"/>
      <c r="AP517" s="170"/>
      <c r="AQ517" s="170"/>
      <c r="AR517" s="170"/>
      <c r="AS517" s="170"/>
    </row>
    <row r="518" spans="1:45" ht="15" x14ac:dyDescent="0.25">
      <c r="A518" s="170"/>
      <c r="B518" s="719"/>
      <c r="C518" s="170"/>
      <c r="D518" s="170"/>
      <c r="E518" s="170"/>
      <c r="F518" s="170"/>
      <c r="G518" s="721"/>
      <c r="H518" s="170"/>
      <c r="I518" s="170"/>
      <c r="J518" s="170"/>
      <c r="K518" s="170"/>
      <c r="L518" s="170"/>
      <c r="M518" s="730"/>
      <c r="N518" s="730"/>
      <c r="O518" s="730"/>
      <c r="P518" s="731"/>
      <c r="Q518" s="731"/>
      <c r="R518" s="730"/>
      <c r="S518" s="730"/>
      <c r="T518" s="723"/>
      <c r="U518" s="724"/>
      <c r="V518" s="725"/>
      <c r="W518" s="725"/>
      <c r="X518" s="723"/>
      <c r="Y518" s="723"/>
      <c r="Z518" s="723"/>
      <c r="AA518" s="726"/>
      <c r="AB518" s="726"/>
      <c r="AC518" s="170"/>
      <c r="AD518" s="586"/>
      <c r="AE518" s="586"/>
      <c r="AF518" s="170"/>
      <c r="AG518" s="170"/>
      <c r="AH518" s="170"/>
      <c r="AI518" s="170"/>
      <c r="AJ518" s="170"/>
      <c r="AK518" s="170"/>
      <c r="AL518" s="170"/>
      <c r="AM518" s="170"/>
      <c r="AN518" s="170"/>
      <c r="AO518" s="170"/>
      <c r="AP518" s="170"/>
      <c r="AQ518" s="170"/>
      <c r="AR518" s="170"/>
      <c r="AS518" s="170"/>
    </row>
    <row r="519" spans="1:45" ht="15" x14ac:dyDescent="0.25">
      <c r="A519" s="170"/>
      <c r="B519" s="719"/>
      <c r="C519" s="170"/>
      <c r="D519" s="170"/>
      <c r="E519" s="170"/>
      <c r="F519" s="170"/>
      <c r="G519" s="721"/>
      <c r="H519" s="170"/>
      <c r="I519" s="170"/>
      <c r="J519" s="170"/>
      <c r="K519" s="170"/>
      <c r="L519" s="170"/>
      <c r="M519" s="730"/>
      <c r="N519" s="730"/>
      <c r="O519" s="730"/>
      <c r="P519" s="731"/>
      <c r="Q519" s="731"/>
      <c r="R519" s="730"/>
      <c r="S519" s="730"/>
      <c r="T519" s="723"/>
      <c r="U519" s="724"/>
      <c r="V519" s="725"/>
      <c r="W519" s="725"/>
      <c r="X519" s="723"/>
      <c r="Y519" s="723"/>
      <c r="Z519" s="723"/>
      <c r="AA519" s="726"/>
      <c r="AB519" s="726"/>
      <c r="AC519" s="170"/>
      <c r="AD519" s="586"/>
      <c r="AE519" s="586"/>
      <c r="AF519" s="170"/>
      <c r="AG519" s="170"/>
      <c r="AH519" s="170"/>
      <c r="AI519" s="170"/>
      <c r="AJ519" s="170"/>
      <c r="AK519" s="170"/>
      <c r="AL519" s="170"/>
      <c r="AM519" s="170"/>
      <c r="AN519" s="170"/>
      <c r="AO519" s="170"/>
      <c r="AP519" s="170"/>
      <c r="AQ519" s="170"/>
      <c r="AR519" s="170"/>
      <c r="AS519" s="170"/>
    </row>
    <row r="520" spans="1:45" ht="15" x14ac:dyDescent="0.25">
      <c r="A520" s="170"/>
      <c r="B520" s="719"/>
      <c r="C520" s="170"/>
      <c r="D520" s="170"/>
      <c r="E520" s="170"/>
      <c r="F520" s="170"/>
      <c r="G520" s="721"/>
      <c r="H520" s="170"/>
      <c r="I520" s="170"/>
      <c r="J520" s="170"/>
      <c r="K520" s="170"/>
      <c r="L520" s="170"/>
      <c r="M520" s="730"/>
      <c r="N520" s="730"/>
      <c r="O520" s="730"/>
      <c r="P520" s="731"/>
      <c r="Q520" s="731"/>
      <c r="R520" s="730"/>
      <c r="S520" s="730"/>
      <c r="T520" s="723"/>
      <c r="U520" s="724"/>
      <c r="V520" s="725"/>
      <c r="W520" s="725"/>
      <c r="X520" s="723"/>
      <c r="Y520" s="723"/>
      <c r="Z520" s="723"/>
      <c r="AA520" s="726"/>
      <c r="AB520" s="726"/>
      <c r="AC520" s="170"/>
      <c r="AD520" s="586"/>
      <c r="AE520" s="586"/>
      <c r="AF520" s="170"/>
      <c r="AG520" s="170"/>
      <c r="AH520" s="170"/>
      <c r="AI520" s="170"/>
      <c r="AJ520" s="170"/>
      <c r="AK520" s="170"/>
      <c r="AL520" s="170"/>
      <c r="AM520" s="170"/>
      <c r="AN520" s="170"/>
      <c r="AO520" s="170"/>
      <c r="AP520" s="170"/>
      <c r="AQ520" s="170"/>
      <c r="AR520" s="170"/>
      <c r="AS520" s="170"/>
    </row>
    <row r="521" spans="1:45" ht="15" x14ac:dyDescent="0.25">
      <c r="A521" s="170"/>
      <c r="B521" s="719"/>
      <c r="C521" s="170"/>
      <c r="D521" s="170"/>
      <c r="E521" s="170"/>
      <c r="F521" s="170"/>
      <c r="G521" s="721"/>
      <c r="H521" s="170"/>
      <c r="I521" s="170"/>
      <c r="J521" s="170"/>
      <c r="K521" s="170"/>
      <c r="L521" s="170"/>
      <c r="M521" s="730"/>
      <c r="N521" s="730"/>
      <c r="O521" s="730"/>
      <c r="P521" s="731"/>
      <c r="Q521" s="731"/>
      <c r="R521" s="730"/>
      <c r="S521" s="730"/>
      <c r="T521" s="723"/>
      <c r="U521" s="724"/>
      <c r="V521" s="725"/>
      <c r="W521" s="725"/>
      <c r="X521" s="723"/>
      <c r="Y521" s="723"/>
      <c r="Z521" s="723"/>
      <c r="AA521" s="726"/>
      <c r="AB521" s="726"/>
      <c r="AC521" s="170"/>
      <c r="AD521" s="586"/>
      <c r="AE521" s="586"/>
      <c r="AF521" s="170"/>
      <c r="AG521" s="170"/>
      <c r="AH521" s="170"/>
      <c r="AI521" s="170"/>
      <c r="AJ521" s="170"/>
      <c r="AK521" s="170"/>
      <c r="AL521" s="170"/>
      <c r="AM521" s="170"/>
      <c r="AN521" s="170"/>
      <c r="AO521" s="170"/>
      <c r="AP521" s="170"/>
      <c r="AQ521" s="170"/>
      <c r="AR521" s="170"/>
      <c r="AS521" s="170"/>
    </row>
    <row r="522" spans="1:45" ht="15" x14ac:dyDescent="0.25">
      <c r="A522" s="170"/>
      <c r="B522" s="719"/>
      <c r="C522" s="170"/>
      <c r="D522" s="170"/>
      <c r="E522" s="170"/>
      <c r="F522" s="170"/>
      <c r="G522" s="721"/>
      <c r="H522" s="170"/>
      <c r="I522" s="170"/>
      <c r="J522" s="170"/>
      <c r="K522" s="170"/>
      <c r="L522" s="170"/>
      <c r="M522" s="730"/>
      <c r="N522" s="730"/>
      <c r="O522" s="730"/>
      <c r="P522" s="731"/>
      <c r="Q522" s="731"/>
      <c r="R522" s="730"/>
      <c r="S522" s="730"/>
      <c r="T522" s="723"/>
      <c r="U522" s="724"/>
      <c r="V522" s="725"/>
      <c r="W522" s="725"/>
      <c r="X522" s="723"/>
      <c r="Y522" s="723"/>
      <c r="Z522" s="723"/>
      <c r="AA522" s="726"/>
      <c r="AB522" s="726"/>
      <c r="AC522" s="170"/>
      <c r="AD522" s="586"/>
      <c r="AE522" s="586"/>
      <c r="AF522" s="170"/>
      <c r="AG522" s="170"/>
      <c r="AH522" s="170"/>
      <c r="AI522" s="170"/>
      <c r="AJ522" s="170"/>
      <c r="AK522" s="170"/>
      <c r="AL522" s="170"/>
      <c r="AM522" s="170"/>
      <c r="AN522" s="170"/>
      <c r="AO522" s="170"/>
      <c r="AP522" s="170"/>
      <c r="AQ522" s="170"/>
      <c r="AR522" s="170"/>
      <c r="AS522" s="170"/>
    </row>
    <row r="523" spans="1:45" ht="15" x14ac:dyDescent="0.25">
      <c r="A523" s="170"/>
      <c r="B523" s="719"/>
      <c r="C523" s="170"/>
      <c r="D523" s="170"/>
      <c r="E523" s="170"/>
      <c r="F523" s="170"/>
      <c r="G523" s="721"/>
      <c r="H523" s="170"/>
      <c r="I523" s="170"/>
      <c r="J523" s="170"/>
      <c r="K523" s="170"/>
      <c r="L523" s="170"/>
      <c r="M523" s="730"/>
      <c r="N523" s="730"/>
      <c r="O523" s="730"/>
      <c r="P523" s="731"/>
      <c r="Q523" s="731"/>
      <c r="R523" s="730"/>
      <c r="S523" s="730"/>
      <c r="T523" s="723"/>
      <c r="U523" s="724"/>
      <c r="V523" s="725"/>
      <c r="W523" s="725"/>
      <c r="X523" s="723"/>
      <c r="Y523" s="723"/>
      <c r="Z523" s="723"/>
      <c r="AA523" s="726"/>
      <c r="AB523" s="726"/>
      <c r="AC523" s="170"/>
      <c r="AD523" s="586"/>
      <c r="AE523" s="586"/>
      <c r="AF523" s="170"/>
      <c r="AG523" s="170"/>
      <c r="AH523" s="170"/>
      <c r="AI523" s="170"/>
      <c r="AJ523" s="170"/>
      <c r="AK523" s="170"/>
      <c r="AL523" s="170"/>
      <c r="AM523" s="170"/>
      <c r="AN523" s="170"/>
      <c r="AO523" s="170"/>
      <c r="AP523" s="170"/>
      <c r="AQ523" s="170"/>
      <c r="AR523" s="170"/>
      <c r="AS523" s="170"/>
    </row>
    <row r="524" spans="1:45" ht="15" x14ac:dyDescent="0.25">
      <c r="A524" s="170"/>
      <c r="B524" s="719"/>
      <c r="C524" s="170"/>
      <c r="D524" s="170"/>
      <c r="E524" s="170"/>
      <c r="F524" s="170"/>
      <c r="G524" s="721"/>
      <c r="H524" s="170"/>
      <c r="I524" s="170"/>
      <c r="J524" s="170"/>
      <c r="K524" s="170"/>
      <c r="L524" s="170"/>
      <c r="M524" s="730"/>
      <c r="N524" s="730"/>
      <c r="O524" s="730"/>
      <c r="P524" s="731"/>
      <c r="Q524" s="731"/>
      <c r="R524" s="730"/>
      <c r="S524" s="730"/>
      <c r="T524" s="723"/>
      <c r="U524" s="724"/>
      <c r="V524" s="725"/>
      <c r="W524" s="725"/>
      <c r="X524" s="723"/>
      <c r="Y524" s="723"/>
      <c r="Z524" s="723"/>
      <c r="AA524" s="726"/>
      <c r="AB524" s="726"/>
      <c r="AC524" s="170"/>
      <c r="AD524" s="586"/>
      <c r="AE524" s="586"/>
      <c r="AF524" s="170"/>
      <c r="AG524" s="170"/>
      <c r="AH524" s="170"/>
      <c r="AI524" s="170"/>
      <c r="AJ524" s="170"/>
      <c r="AK524" s="170"/>
      <c r="AL524" s="170"/>
      <c r="AM524" s="170"/>
      <c r="AN524" s="170"/>
      <c r="AO524" s="170"/>
      <c r="AP524" s="170"/>
      <c r="AQ524" s="170"/>
      <c r="AR524" s="170"/>
      <c r="AS524" s="170"/>
    </row>
    <row r="525" spans="1:45" ht="15" x14ac:dyDescent="0.25">
      <c r="A525" s="170"/>
      <c r="B525" s="719"/>
      <c r="C525" s="170"/>
      <c r="D525" s="170"/>
      <c r="E525" s="170"/>
      <c r="F525" s="170"/>
      <c r="G525" s="721"/>
      <c r="H525" s="170"/>
      <c r="I525" s="170"/>
      <c r="J525" s="170"/>
      <c r="K525" s="170"/>
      <c r="L525" s="170"/>
      <c r="M525" s="730"/>
      <c r="N525" s="730"/>
      <c r="O525" s="730"/>
      <c r="P525" s="731"/>
      <c r="Q525" s="731"/>
      <c r="R525" s="730"/>
      <c r="S525" s="730"/>
      <c r="T525" s="723"/>
      <c r="U525" s="724"/>
      <c r="V525" s="725"/>
      <c r="W525" s="725"/>
      <c r="X525" s="723"/>
      <c r="Y525" s="723"/>
      <c r="Z525" s="723"/>
      <c r="AA525" s="726"/>
      <c r="AB525" s="726"/>
      <c r="AC525" s="170"/>
      <c r="AD525" s="586"/>
      <c r="AE525" s="586"/>
      <c r="AF525" s="170"/>
      <c r="AG525" s="170"/>
      <c r="AH525" s="170"/>
      <c r="AI525" s="170"/>
      <c r="AJ525" s="170"/>
      <c r="AK525" s="170"/>
      <c r="AL525" s="170"/>
      <c r="AM525" s="170"/>
      <c r="AN525" s="170"/>
      <c r="AO525" s="170"/>
      <c r="AP525" s="170"/>
      <c r="AQ525" s="170"/>
      <c r="AR525" s="170"/>
      <c r="AS525" s="170"/>
    </row>
    <row r="526" spans="1:45" ht="15" x14ac:dyDescent="0.25">
      <c r="A526" s="170"/>
      <c r="B526" s="719"/>
      <c r="C526" s="170"/>
      <c r="D526" s="170"/>
      <c r="E526" s="170"/>
      <c r="F526" s="170"/>
      <c r="G526" s="721"/>
      <c r="H526" s="170"/>
      <c r="I526" s="170"/>
      <c r="J526" s="170"/>
      <c r="K526" s="170"/>
      <c r="L526" s="170"/>
      <c r="M526" s="730"/>
      <c r="N526" s="730"/>
      <c r="O526" s="730"/>
      <c r="P526" s="731"/>
      <c r="Q526" s="731"/>
      <c r="R526" s="730"/>
      <c r="S526" s="730"/>
      <c r="T526" s="723"/>
      <c r="U526" s="724"/>
      <c r="V526" s="725"/>
      <c r="W526" s="725"/>
      <c r="X526" s="723"/>
      <c r="Y526" s="723"/>
      <c r="Z526" s="723"/>
      <c r="AA526" s="726"/>
      <c r="AB526" s="726"/>
      <c r="AC526" s="170"/>
      <c r="AD526" s="586"/>
      <c r="AE526" s="586"/>
      <c r="AF526" s="170"/>
      <c r="AG526" s="170"/>
      <c r="AH526" s="170"/>
      <c r="AI526" s="170"/>
      <c r="AJ526" s="170"/>
      <c r="AK526" s="170"/>
      <c r="AL526" s="170"/>
      <c r="AM526" s="170"/>
      <c r="AN526" s="170"/>
      <c r="AO526" s="170"/>
      <c r="AP526" s="170"/>
      <c r="AQ526" s="170"/>
      <c r="AR526" s="170"/>
      <c r="AS526" s="170"/>
    </row>
    <row r="527" spans="1:45" ht="15" x14ac:dyDescent="0.25">
      <c r="A527" s="170"/>
      <c r="B527" s="719"/>
      <c r="C527" s="170"/>
      <c r="D527" s="170"/>
      <c r="E527" s="170"/>
      <c r="F527" s="170"/>
      <c r="G527" s="721"/>
      <c r="H527" s="170"/>
      <c r="I527" s="170"/>
      <c r="J527" s="170"/>
      <c r="K527" s="170"/>
      <c r="L527" s="170"/>
      <c r="M527" s="730"/>
      <c r="N527" s="730"/>
      <c r="O527" s="730"/>
      <c r="P527" s="731"/>
      <c r="Q527" s="731"/>
      <c r="R527" s="730"/>
      <c r="S527" s="730"/>
      <c r="T527" s="723"/>
      <c r="U527" s="724"/>
      <c r="V527" s="725"/>
      <c r="W527" s="725"/>
      <c r="X527" s="723"/>
      <c r="Y527" s="723"/>
      <c r="Z527" s="723"/>
      <c r="AA527" s="726"/>
      <c r="AB527" s="726"/>
      <c r="AC527" s="170"/>
      <c r="AD527" s="586"/>
      <c r="AE527" s="586"/>
      <c r="AF527" s="170"/>
      <c r="AG527" s="170"/>
      <c r="AH527" s="170"/>
      <c r="AI527" s="170"/>
      <c r="AJ527" s="170"/>
      <c r="AK527" s="170"/>
      <c r="AL527" s="170"/>
      <c r="AM527" s="170"/>
      <c r="AN527" s="170"/>
      <c r="AO527" s="170"/>
      <c r="AP527" s="170"/>
      <c r="AQ527" s="170"/>
      <c r="AR527" s="170"/>
      <c r="AS527" s="170"/>
    </row>
    <row r="528" spans="1:45" ht="15" x14ac:dyDescent="0.25">
      <c r="A528" s="170"/>
      <c r="B528" s="719"/>
      <c r="C528" s="170"/>
      <c r="D528" s="170"/>
      <c r="E528" s="170"/>
      <c r="F528" s="170"/>
      <c r="G528" s="721"/>
      <c r="H528" s="170"/>
      <c r="I528" s="170"/>
      <c r="J528" s="170"/>
      <c r="K528" s="170"/>
      <c r="L528" s="170"/>
      <c r="M528" s="730"/>
      <c r="N528" s="730"/>
      <c r="O528" s="730"/>
      <c r="P528" s="731"/>
      <c r="Q528" s="731"/>
      <c r="R528" s="730"/>
      <c r="S528" s="730"/>
      <c r="T528" s="723"/>
      <c r="U528" s="724"/>
      <c r="V528" s="725"/>
      <c r="W528" s="725"/>
      <c r="X528" s="723"/>
      <c r="Y528" s="723"/>
      <c r="Z528" s="723"/>
      <c r="AA528" s="726"/>
      <c r="AB528" s="726"/>
      <c r="AC528" s="170"/>
      <c r="AD528" s="586"/>
      <c r="AE528" s="586"/>
      <c r="AF528" s="170"/>
      <c r="AG528" s="170"/>
      <c r="AH528" s="170"/>
      <c r="AI528" s="170"/>
      <c r="AJ528" s="170"/>
      <c r="AK528" s="170"/>
      <c r="AL528" s="170"/>
      <c r="AM528" s="170"/>
      <c r="AN528" s="170"/>
      <c r="AO528" s="170"/>
      <c r="AP528" s="170"/>
      <c r="AQ528" s="170"/>
      <c r="AR528" s="170"/>
      <c r="AS528" s="170"/>
    </row>
    <row r="529" spans="1:45" ht="15" x14ac:dyDescent="0.25">
      <c r="A529" s="170"/>
      <c r="B529" s="719"/>
      <c r="C529" s="170"/>
      <c r="D529" s="170"/>
      <c r="E529" s="170"/>
      <c r="F529" s="170"/>
      <c r="G529" s="721"/>
      <c r="H529" s="170"/>
      <c r="I529" s="170"/>
      <c r="J529" s="170"/>
      <c r="K529" s="170"/>
      <c r="L529" s="170"/>
      <c r="M529" s="730"/>
      <c r="N529" s="730"/>
      <c r="O529" s="730"/>
      <c r="P529" s="731"/>
      <c r="Q529" s="731"/>
      <c r="R529" s="730"/>
      <c r="S529" s="730"/>
      <c r="T529" s="723"/>
      <c r="U529" s="724"/>
      <c r="V529" s="725"/>
      <c r="W529" s="725"/>
      <c r="X529" s="723"/>
      <c r="Y529" s="723"/>
      <c r="Z529" s="723"/>
      <c r="AA529" s="726"/>
      <c r="AB529" s="726"/>
      <c r="AC529" s="170"/>
      <c r="AD529" s="586"/>
      <c r="AE529" s="586"/>
      <c r="AF529" s="170"/>
      <c r="AG529" s="170"/>
      <c r="AH529" s="170"/>
      <c r="AI529" s="170"/>
      <c r="AJ529" s="170"/>
      <c r="AK529" s="170"/>
      <c r="AL529" s="170"/>
      <c r="AM529" s="170"/>
      <c r="AN529" s="170"/>
      <c r="AO529" s="170"/>
      <c r="AP529" s="170"/>
      <c r="AQ529" s="170"/>
      <c r="AR529" s="170"/>
      <c r="AS529" s="170"/>
    </row>
    <row r="530" spans="1:45" ht="15" x14ac:dyDescent="0.25">
      <c r="A530" s="170"/>
      <c r="B530" s="719"/>
      <c r="C530" s="170"/>
      <c r="D530" s="170"/>
      <c r="E530" s="170"/>
      <c r="F530" s="170"/>
      <c r="G530" s="721"/>
      <c r="H530" s="170"/>
      <c r="I530" s="170"/>
      <c r="J530" s="170"/>
      <c r="K530" s="170"/>
      <c r="L530" s="170"/>
      <c r="M530" s="730"/>
      <c r="N530" s="730"/>
      <c r="O530" s="730"/>
      <c r="P530" s="731"/>
      <c r="Q530" s="731"/>
      <c r="R530" s="730"/>
      <c r="S530" s="730"/>
      <c r="T530" s="723"/>
      <c r="U530" s="724"/>
      <c r="V530" s="725"/>
      <c r="W530" s="725"/>
      <c r="X530" s="723"/>
      <c r="Y530" s="723"/>
      <c r="Z530" s="723"/>
      <c r="AA530" s="726"/>
      <c r="AB530" s="726"/>
      <c r="AC530" s="170"/>
      <c r="AD530" s="586"/>
      <c r="AE530" s="586"/>
      <c r="AF530" s="170"/>
      <c r="AG530" s="170"/>
      <c r="AH530" s="170"/>
      <c r="AI530" s="170"/>
      <c r="AJ530" s="170"/>
      <c r="AK530" s="170"/>
      <c r="AL530" s="170"/>
      <c r="AM530" s="170"/>
      <c r="AN530" s="170"/>
      <c r="AO530" s="170"/>
      <c r="AP530" s="170"/>
      <c r="AQ530" s="170"/>
      <c r="AR530" s="170"/>
      <c r="AS530" s="170"/>
    </row>
    <row r="531" spans="1:45" ht="15" x14ac:dyDescent="0.25">
      <c r="A531" s="170"/>
      <c r="B531" s="719"/>
      <c r="C531" s="170"/>
      <c r="D531" s="170"/>
      <c r="E531" s="170"/>
      <c r="F531" s="170"/>
      <c r="G531" s="721"/>
      <c r="H531" s="170"/>
      <c r="I531" s="170"/>
      <c r="J531" s="170"/>
      <c r="K531" s="170"/>
      <c r="L531" s="170"/>
      <c r="M531" s="730"/>
      <c r="N531" s="730"/>
      <c r="O531" s="730"/>
      <c r="P531" s="731"/>
      <c r="Q531" s="731"/>
      <c r="R531" s="730"/>
      <c r="S531" s="730"/>
      <c r="T531" s="723"/>
      <c r="U531" s="724"/>
      <c r="V531" s="725"/>
      <c r="W531" s="725"/>
      <c r="X531" s="723"/>
      <c r="Y531" s="723"/>
      <c r="Z531" s="723"/>
      <c r="AA531" s="726"/>
      <c r="AB531" s="726"/>
      <c r="AC531" s="170"/>
      <c r="AD531" s="586"/>
      <c r="AE531" s="586"/>
      <c r="AF531" s="170"/>
      <c r="AG531" s="170"/>
      <c r="AH531" s="170"/>
      <c r="AI531" s="170"/>
      <c r="AJ531" s="170"/>
      <c r="AK531" s="170"/>
      <c r="AL531" s="170"/>
      <c r="AM531" s="170"/>
      <c r="AN531" s="170"/>
      <c r="AO531" s="170"/>
      <c r="AP531" s="170"/>
      <c r="AQ531" s="170"/>
      <c r="AR531" s="170"/>
      <c r="AS531" s="170"/>
    </row>
    <row r="532" spans="1:45" ht="15" x14ac:dyDescent="0.25">
      <c r="A532" s="170"/>
      <c r="B532" s="719"/>
      <c r="C532" s="170"/>
      <c r="D532" s="170"/>
      <c r="E532" s="170"/>
      <c r="F532" s="170"/>
      <c r="G532" s="721"/>
      <c r="H532" s="170"/>
      <c r="I532" s="170"/>
      <c r="J532" s="170"/>
      <c r="K532" s="170"/>
      <c r="L532" s="170"/>
      <c r="M532" s="730"/>
      <c r="N532" s="730"/>
      <c r="O532" s="730"/>
      <c r="P532" s="731"/>
      <c r="Q532" s="731"/>
      <c r="R532" s="730"/>
      <c r="S532" s="730"/>
      <c r="T532" s="723"/>
      <c r="U532" s="724"/>
      <c r="V532" s="725"/>
      <c r="W532" s="725"/>
      <c r="X532" s="723"/>
      <c r="Y532" s="723"/>
      <c r="Z532" s="723"/>
      <c r="AA532" s="726"/>
      <c r="AB532" s="726"/>
      <c r="AC532" s="170"/>
      <c r="AD532" s="586"/>
      <c r="AE532" s="586"/>
      <c r="AF532" s="170"/>
      <c r="AG532" s="170"/>
      <c r="AH532" s="170"/>
      <c r="AI532" s="170"/>
      <c r="AJ532" s="170"/>
      <c r="AK532" s="170"/>
      <c r="AL532" s="170"/>
      <c r="AM532" s="170"/>
      <c r="AN532" s="170"/>
      <c r="AO532" s="170"/>
      <c r="AP532" s="170"/>
      <c r="AQ532" s="170"/>
      <c r="AR532" s="170"/>
      <c r="AS532" s="170"/>
    </row>
    <row r="533" spans="1:45" ht="15" x14ac:dyDescent="0.25">
      <c r="A533" s="170"/>
      <c r="B533" s="719"/>
      <c r="C533" s="170"/>
      <c r="D533" s="170"/>
      <c r="E533" s="170"/>
      <c r="F533" s="170"/>
      <c r="G533" s="721"/>
      <c r="H533" s="170"/>
      <c r="I533" s="170"/>
      <c r="J533" s="170"/>
      <c r="K533" s="170"/>
      <c r="L533" s="170"/>
      <c r="M533" s="730"/>
      <c r="N533" s="730"/>
      <c r="O533" s="730"/>
      <c r="P533" s="731"/>
      <c r="Q533" s="731"/>
      <c r="R533" s="730"/>
      <c r="S533" s="730"/>
      <c r="T533" s="723"/>
      <c r="U533" s="724"/>
      <c r="V533" s="725"/>
      <c r="W533" s="725"/>
      <c r="X533" s="723"/>
      <c r="Y533" s="723"/>
      <c r="Z533" s="723"/>
      <c r="AA533" s="726"/>
      <c r="AB533" s="726"/>
      <c r="AC533" s="170"/>
      <c r="AD533" s="586"/>
      <c r="AE533" s="586"/>
      <c r="AF533" s="170"/>
      <c r="AG533" s="170"/>
      <c r="AH533" s="170"/>
      <c r="AI533" s="170"/>
      <c r="AJ533" s="170"/>
      <c r="AK533" s="170"/>
      <c r="AL533" s="170"/>
      <c r="AM533" s="170"/>
      <c r="AN533" s="170"/>
      <c r="AO533" s="170"/>
      <c r="AP533" s="170"/>
      <c r="AQ533" s="170"/>
      <c r="AR533" s="170"/>
      <c r="AS533" s="170"/>
    </row>
    <row r="534" spans="1:45" ht="15" x14ac:dyDescent="0.25">
      <c r="A534" s="170"/>
      <c r="B534" s="719"/>
      <c r="C534" s="170"/>
      <c r="D534" s="170"/>
      <c r="E534" s="170"/>
      <c r="F534" s="170"/>
      <c r="G534" s="721"/>
      <c r="H534" s="170"/>
      <c r="I534" s="170"/>
      <c r="J534" s="170"/>
      <c r="K534" s="170"/>
      <c r="L534" s="170"/>
      <c r="M534" s="730"/>
      <c r="N534" s="730"/>
      <c r="O534" s="730"/>
      <c r="P534" s="731"/>
      <c r="Q534" s="731"/>
      <c r="R534" s="730"/>
      <c r="S534" s="730"/>
      <c r="T534" s="723"/>
      <c r="U534" s="724"/>
      <c r="V534" s="725"/>
      <c r="W534" s="725"/>
      <c r="X534" s="723"/>
      <c r="Y534" s="723"/>
      <c r="Z534" s="723"/>
      <c r="AA534" s="726"/>
      <c r="AB534" s="726"/>
      <c r="AC534" s="170"/>
      <c r="AD534" s="586"/>
      <c r="AE534" s="586"/>
      <c r="AF534" s="170"/>
      <c r="AG534" s="170"/>
      <c r="AH534" s="170"/>
      <c r="AI534" s="170"/>
      <c r="AJ534" s="170"/>
      <c r="AK534" s="170"/>
      <c r="AL534" s="170"/>
      <c r="AM534" s="170"/>
      <c r="AN534" s="170"/>
      <c r="AO534" s="170"/>
      <c r="AP534" s="170"/>
      <c r="AQ534" s="170"/>
      <c r="AR534" s="170"/>
      <c r="AS534" s="170"/>
    </row>
    <row r="535" spans="1:45" ht="15" x14ac:dyDescent="0.25">
      <c r="A535" s="170"/>
      <c r="B535" s="719"/>
      <c r="C535" s="170"/>
      <c r="D535" s="170"/>
      <c r="E535" s="170"/>
      <c r="F535" s="170"/>
      <c r="G535" s="721"/>
      <c r="H535" s="170"/>
      <c r="I535" s="170"/>
      <c r="J535" s="170"/>
      <c r="K535" s="170"/>
      <c r="L535" s="170"/>
      <c r="M535" s="730"/>
      <c r="N535" s="730"/>
      <c r="O535" s="730"/>
      <c r="P535" s="731"/>
      <c r="Q535" s="731"/>
      <c r="R535" s="730"/>
      <c r="S535" s="730"/>
      <c r="T535" s="723"/>
      <c r="U535" s="724"/>
      <c r="V535" s="725"/>
      <c r="W535" s="725"/>
      <c r="X535" s="723"/>
      <c r="Y535" s="723"/>
      <c r="Z535" s="723"/>
      <c r="AA535" s="726"/>
      <c r="AB535" s="726"/>
      <c r="AC535" s="170"/>
      <c r="AD535" s="586"/>
      <c r="AE535" s="586"/>
      <c r="AF535" s="170"/>
      <c r="AG535" s="170"/>
      <c r="AH535" s="170"/>
      <c r="AI535" s="170"/>
      <c r="AJ535" s="170"/>
      <c r="AK535" s="170"/>
      <c r="AL535" s="170"/>
      <c r="AM535" s="170"/>
      <c r="AN535" s="170"/>
      <c r="AO535" s="170"/>
      <c r="AP535" s="170"/>
      <c r="AQ535" s="170"/>
      <c r="AR535" s="170"/>
      <c r="AS535" s="170"/>
    </row>
    <row r="536" spans="1:45" ht="15" x14ac:dyDescent="0.25">
      <c r="A536" s="170"/>
      <c r="B536" s="719"/>
      <c r="C536" s="170"/>
      <c r="D536" s="170"/>
      <c r="E536" s="170"/>
      <c r="F536" s="170"/>
      <c r="G536" s="721"/>
      <c r="H536" s="170"/>
      <c r="I536" s="170"/>
      <c r="J536" s="170"/>
      <c r="K536" s="170"/>
      <c r="L536" s="170"/>
      <c r="M536" s="730"/>
      <c r="N536" s="730"/>
      <c r="O536" s="730"/>
      <c r="P536" s="731"/>
      <c r="Q536" s="731"/>
      <c r="R536" s="730"/>
      <c r="S536" s="730"/>
      <c r="T536" s="723"/>
      <c r="U536" s="724"/>
      <c r="V536" s="725"/>
      <c r="W536" s="725"/>
      <c r="X536" s="723"/>
      <c r="Y536" s="723"/>
      <c r="Z536" s="723"/>
      <c r="AA536" s="726"/>
      <c r="AB536" s="726"/>
      <c r="AC536" s="170"/>
      <c r="AD536" s="586"/>
      <c r="AE536" s="586"/>
      <c r="AF536" s="170"/>
      <c r="AG536" s="170"/>
      <c r="AH536" s="170"/>
      <c r="AI536" s="170"/>
      <c r="AJ536" s="170"/>
      <c r="AK536" s="170"/>
      <c r="AL536" s="170"/>
      <c r="AM536" s="170"/>
      <c r="AN536" s="170"/>
      <c r="AO536" s="170"/>
      <c r="AP536" s="170"/>
      <c r="AQ536" s="170"/>
      <c r="AR536" s="170"/>
      <c r="AS536" s="170"/>
    </row>
    <row r="537" spans="1:45" ht="15" x14ac:dyDescent="0.25">
      <c r="A537" s="170"/>
      <c r="B537" s="719"/>
      <c r="C537" s="170"/>
      <c r="D537" s="170"/>
      <c r="E537" s="170"/>
      <c r="F537" s="170"/>
      <c r="G537" s="721"/>
      <c r="H537" s="170"/>
      <c r="I537" s="170"/>
      <c r="J537" s="170"/>
      <c r="K537" s="170"/>
      <c r="L537" s="170"/>
      <c r="M537" s="730"/>
      <c r="N537" s="730"/>
      <c r="O537" s="730"/>
      <c r="P537" s="731"/>
      <c r="Q537" s="731"/>
      <c r="R537" s="730"/>
      <c r="S537" s="730"/>
      <c r="T537" s="723"/>
      <c r="U537" s="724"/>
      <c r="V537" s="725"/>
      <c r="W537" s="725"/>
      <c r="X537" s="723"/>
      <c r="Y537" s="723"/>
      <c r="Z537" s="723"/>
      <c r="AA537" s="726"/>
      <c r="AB537" s="726"/>
      <c r="AC537" s="170"/>
      <c r="AD537" s="586"/>
      <c r="AE537" s="586"/>
      <c r="AF537" s="170"/>
      <c r="AG537" s="170"/>
      <c r="AH537" s="170"/>
      <c r="AI537" s="170"/>
      <c r="AJ537" s="170"/>
      <c r="AK537" s="170"/>
      <c r="AL537" s="170"/>
      <c r="AM537" s="170"/>
      <c r="AN537" s="170"/>
      <c r="AO537" s="170"/>
      <c r="AP537" s="170"/>
      <c r="AQ537" s="170"/>
      <c r="AR537" s="170"/>
      <c r="AS537" s="170"/>
    </row>
    <row r="538" spans="1:45" ht="15" x14ac:dyDescent="0.25">
      <c r="A538" s="170"/>
      <c r="B538" s="719"/>
      <c r="C538" s="170"/>
      <c r="D538" s="170"/>
      <c r="E538" s="170"/>
      <c r="F538" s="170"/>
      <c r="G538" s="721"/>
      <c r="H538" s="170"/>
      <c r="I538" s="170"/>
      <c r="J538" s="170"/>
      <c r="K538" s="170"/>
      <c r="L538" s="170"/>
      <c r="M538" s="730"/>
      <c r="N538" s="730"/>
      <c r="O538" s="730"/>
      <c r="P538" s="731"/>
      <c r="Q538" s="731"/>
      <c r="R538" s="730"/>
      <c r="S538" s="730"/>
      <c r="T538" s="723"/>
      <c r="U538" s="724"/>
      <c r="V538" s="725"/>
      <c r="W538" s="725"/>
      <c r="X538" s="723"/>
      <c r="Y538" s="723"/>
      <c r="Z538" s="723"/>
      <c r="AA538" s="726"/>
      <c r="AB538" s="726"/>
      <c r="AC538" s="170"/>
      <c r="AD538" s="586"/>
      <c r="AE538" s="586"/>
      <c r="AF538" s="170"/>
      <c r="AG538" s="170"/>
      <c r="AH538" s="170"/>
      <c r="AI538" s="170"/>
      <c r="AJ538" s="170"/>
      <c r="AK538" s="170"/>
      <c r="AL538" s="170"/>
      <c r="AM538" s="170"/>
      <c r="AN538" s="170"/>
      <c r="AO538" s="170"/>
      <c r="AP538" s="170"/>
      <c r="AQ538" s="170"/>
      <c r="AR538" s="170"/>
      <c r="AS538" s="170"/>
    </row>
    <row r="539" spans="1:45" ht="15" x14ac:dyDescent="0.25">
      <c r="A539" s="170"/>
      <c r="B539" s="719"/>
      <c r="C539" s="170"/>
      <c r="D539" s="170"/>
      <c r="E539" s="170"/>
      <c r="F539" s="170"/>
      <c r="G539" s="721"/>
      <c r="H539" s="170"/>
      <c r="I539" s="170"/>
      <c r="J539" s="170"/>
      <c r="K539" s="170"/>
      <c r="L539" s="170"/>
      <c r="M539" s="730"/>
      <c r="N539" s="730"/>
      <c r="O539" s="730"/>
      <c r="P539" s="731"/>
      <c r="Q539" s="731"/>
      <c r="R539" s="730"/>
      <c r="S539" s="730"/>
      <c r="T539" s="723"/>
      <c r="U539" s="724"/>
      <c r="V539" s="725"/>
      <c r="W539" s="725"/>
      <c r="X539" s="723"/>
      <c r="Y539" s="723"/>
      <c r="Z539" s="723"/>
      <c r="AA539" s="726"/>
      <c r="AB539" s="726"/>
      <c r="AC539" s="170"/>
      <c r="AD539" s="586"/>
      <c r="AE539" s="586"/>
      <c r="AF539" s="170"/>
      <c r="AG539" s="170"/>
      <c r="AH539" s="170"/>
      <c r="AI539" s="170"/>
      <c r="AJ539" s="170"/>
      <c r="AK539" s="170"/>
      <c r="AL539" s="170"/>
      <c r="AM539" s="170"/>
      <c r="AN539" s="170"/>
      <c r="AO539" s="170"/>
      <c r="AP539" s="170"/>
      <c r="AQ539" s="170"/>
      <c r="AR539" s="170"/>
      <c r="AS539" s="170"/>
    </row>
    <row r="540" spans="1:45" ht="15" x14ac:dyDescent="0.25">
      <c r="A540" s="170"/>
      <c r="B540" s="719"/>
      <c r="C540" s="170"/>
      <c r="D540" s="170"/>
      <c r="E540" s="170"/>
      <c r="F540" s="170"/>
      <c r="G540" s="721"/>
      <c r="H540" s="170"/>
      <c r="I540" s="170"/>
      <c r="J540" s="170"/>
      <c r="K540" s="170"/>
      <c r="L540" s="170"/>
      <c r="M540" s="730"/>
      <c r="N540" s="730"/>
      <c r="O540" s="730"/>
      <c r="P540" s="731"/>
      <c r="Q540" s="731"/>
      <c r="R540" s="730"/>
      <c r="S540" s="730"/>
      <c r="T540" s="723"/>
      <c r="U540" s="724"/>
      <c r="V540" s="725"/>
      <c r="W540" s="725"/>
      <c r="X540" s="723"/>
      <c r="Y540" s="723"/>
      <c r="Z540" s="723"/>
      <c r="AA540" s="726"/>
      <c r="AB540" s="726"/>
      <c r="AC540" s="170"/>
      <c r="AD540" s="586"/>
      <c r="AE540" s="586"/>
      <c r="AF540" s="170"/>
      <c r="AG540" s="170"/>
      <c r="AH540" s="170"/>
      <c r="AI540" s="170"/>
      <c r="AJ540" s="170"/>
      <c r="AK540" s="170"/>
      <c r="AL540" s="170"/>
      <c r="AM540" s="170"/>
      <c r="AN540" s="170"/>
      <c r="AO540" s="170"/>
      <c r="AP540" s="170"/>
      <c r="AQ540" s="170"/>
      <c r="AR540" s="170"/>
      <c r="AS540" s="170"/>
    </row>
    <row r="541" spans="1:45" ht="15" x14ac:dyDescent="0.25">
      <c r="A541" s="170"/>
      <c r="B541" s="719"/>
      <c r="C541" s="170"/>
      <c r="D541" s="170"/>
      <c r="E541" s="170"/>
      <c r="F541" s="170"/>
      <c r="G541" s="721"/>
      <c r="H541" s="170"/>
      <c r="I541" s="170"/>
      <c r="J541" s="170"/>
      <c r="K541" s="170"/>
      <c r="L541" s="170"/>
      <c r="M541" s="730"/>
      <c r="N541" s="730"/>
      <c r="O541" s="730"/>
      <c r="P541" s="731"/>
      <c r="Q541" s="731"/>
      <c r="R541" s="730"/>
      <c r="S541" s="730"/>
      <c r="T541" s="723"/>
      <c r="U541" s="724"/>
      <c r="V541" s="725"/>
      <c r="W541" s="725"/>
      <c r="X541" s="723"/>
      <c r="Y541" s="723"/>
      <c r="Z541" s="723"/>
      <c r="AA541" s="726"/>
      <c r="AB541" s="726"/>
      <c r="AC541" s="170"/>
      <c r="AD541" s="586"/>
      <c r="AE541" s="586"/>
      <c r="AF541" s="170"/>
      <c r="AG541" s="170"/>
      <c r="AH541" s="170"/>
      <c r="AI541" s="170"/>
      <c r="AJ541" s="170"/>
      <c r="AK541" s="170"/>
      <c r="AL541" s="170"/>
      <c r="AM541" s="170"/>
      <c r="AN541" s="170"/>
      <c r="AO541" s="170"/>
      <c r="AP541" s="170"/>
      <c r="AQ541" s="170"/>
      <c r="AR541" s="170"/>
      <c r="AS541" s="170"/>
    </row>
    <row r="542" spans="1:45" ht="15" x14ac:dyDescent="0.25">
      <c r="A542" s="170"/>
      <c r="B542" s="719"/>
      <c r="C542" s="170"/>
      <c r="D542" s="170"/>
      <c r="E542" s="170"/>
      <c r="F542" s="170"/>
      <c r="G542" s="721"/>
      <c r="H542" s="170"/>
      <c r="I542" s="170"/>
      <c r="J542" s="170"/>
      <c r="K542" s="170"/>
      <c r="L542" s="170"/>
      <c r="M542" s="730"/>
      <c r="N542" s="730"/>
      <c r="O542" s="730"/>
      <c r="P542" s="731"/>
      <c r="Q542" s="731"/>
      <c r="R542" s="730"/>
      <c r="S542" s="730"/>
      <c r="T542" s="723"/>
      <c r="U542" s="724"/>
      <c r="V542" s="725"/>
      <c r="W542" s="725"/>
      <c r="X542" s="723"/>
      <c r="Y542" s="723"/>
      <c r="Z542" s="723"/>
      <c r="AA542" s="726"/>
      <c r="AB542" s="726"/>
      <c r="AC542" s="170"/>
      <c r="AD542" s="586"/>
      <c r="AE542" s="586"/>
      <c r="AF542" s="170"/>
      <c r="AG542" s="170"/>
      <c r="AH542" s="170"/>
      <c r="AI542" s="170"/>
      <c r="AJ542" s="170"/>
      <c r="AK542" s="170"/>
      <c r="AL542" s="170"/>
      <c r="AM542" s="170"/>
      <c r="AN542" s="170"/>
      <c r="AO542" s="170"/>
      <c r="AP542" s="170"/>
      <c r="AQ542" s="170"/>
      <c r="AR542" s="170"/>
      <c r="AS542" s="170"/>
    </row>
    <row r="543" spans="1:45" ht="15" x14ac:dyDescent="0.25">
      <c r="A543" s="170"/>
      <c r="B543" s="719"/>
      <c r="C543" s="170"/>
      <c r="D543" s="170"/>
      <c r="E543" s="170"/>
      <c r="F543" s="170"/>
      <c r="G543" s="721"/>
      <c r="H543" s="170"/>
      <c r="I543" s="170"/>
      <c r="J543" s="170"/>
      <c r="K543" s="170"/>
      <c r="L543" s="170"/>
      <c r="M543" s="730"/>
      <c r="N543" s="730"/>
      <c r="O543" s="730"/>
      <c r="P543" s="731"/>
      <c r="Q543" s="731"/>
      <c r="R543" s="730"/>
      <c r="S543" s="730"/>
      <c r="T543" s="723"/>
      <c r="U543" s="724"/>
      <c r="V543" s="725"/>
      <c r="W543" s="725"/>
      <c r="X543" s="723"/>
      <c r="Y543" s="723"/>
      <c r="Z543" s="723"/>
      <c r="AA543" s="726"/>
      <c r="AB543" s="726"/>
      <c r="AC543" s="170"/>
      <c r="AD543" s="586"/>
      <c r="AE543" s="586"/>
      <c r="AF543" s="170"/>
      <c r="AG543" s="170"/>
      <c r="AH543" s="170"/>
      <c r="AI543" s="170"/>
      <c r="AJ543" s="170"/>
      <c r="AK543" s="170"/>
      <c r="AL543" s="170"/>
      <c r="AM543" s="170"/>
      <c r="AN543" s="170"/>
      <c r="AO543" s="170"/>
      <c r="AP543" s="170"/>
      <c r="AQ543" s="170"/>
      <c r="AR543" s="170"/>
      <c r="AS543" s="170"/>
    </row>
    <row r="544" spans="1:45" ht="15" x14ac:dyDescent="0.25">
      <c r="A544" s="170"/>
      <c r="B544" s="719"/>
      <c r="C544" s="170"/>
      <c r="D544" s="170"/>
      <c r="E544" s="170"/>
      <c r="F544" s="170"/>
      <c r="G544" s="721"/>
      <c r="H544" s="170"/>
      <c r="I544" s="170"/>
      <c r="J544" s="170"/>
      <c r="K544" s="170"/>
      <c r="L544" s="170"/>
      <c r="M544" s="730"/>
      <c r="N544" s="730"/>
      <c r="O544" s="730"/>
      <c r="P544" s="731"/>
      <c r="Q544" s="731"/>
      <c r="R544" s="730"/>
      <c r="S544" s="730"/>
      <c r="T544" s="723"/>
      <c r="U544" s="724"/>
      <c r="V544" s="725"/>
      <c r="W544" s="725"/>
      <c r="X544" s="723"/>
      <c r="Y544" s="723"/>
      <c r="Z544" s="723"/>
      <c r="AA544" s="726"/>
      <c r="AB544" s="726"/>
      <c r="AC544" s="170"/>
      <c r="AD544" s="586"/>
      <c r="AE544" s="586"/>
      <c r="AF544" s="170"/>
      <c r="AG544" s="170"/>
      <c r="AH544" s="170"/>
      <c r="AI544" s="170"/>
      <c r="AJ544" s="170"/>
      <c r="AK544" s="170"/>
      <c r="AL544" s="170"/>
      <c r="AM544" s="170"/>
      <c r="AN544" s="170"/>
      <c r="AO544" s="170"/>
      <c r="AP544" s="170"/>
      <c r="AQ544" s="170"/>
      <c r="AR544" s="170"/>
      <c r="AS544" s="170"/>
    </row>
    <row r="545" spans="1:45" ht="15" x14ac:dyDescent="0.25">
      <c r="A545" s="170"/>
      <c r="B545" s="719"/>
      <c r="C545" s="170"/>
      <c r="D545" s="170"/>
      <c r="E545" s="170"/>
      <c r="F545" s="170"/>
      <c r="G545" s="721"/>
      <c r="H545" s="170"/>
      <c r="I545" s="170"/>
      <c r="J545" s="170"/>
      <c r="K545" s="170"/>
      <c r="L545" s="170"/>
      <c r="M545" s="730"/>
      <c r="N545" s="730"/>
      <c r="O545" s="730"/>
      <c r="P545" s="731"/>
      <c r="Q545" s="731"/>
      <c r="R545" s="730"/>
      <c r="S545" s="730"/>
      <c r="T545" s="723"/>
      <c r="U545" s="724"/>
      <c r="V545" s="725"/>
      <c r="W545" s="725"/>
      <c r="X545" s="723"/>
      <c r="Y545" s="723"/>
      <c r="Z545" s="723"/>
      <c r="AA545" s="726"/>
      <c r="AB545" s="726"/>
      <c r="AC545" s="170"/>
      <c r="AD545" s="586"/>
      <c r="AE545" s="586"/>
      <c r="AF545" s="170"/>
      <c r="AG545" s="170"/>
      <c r="AH545" s="170"/>
      <c r="AI545" s="170"/>
      <c r="AJ545" s="170"/>
      <c r="AK545" s="170"/>
      <c r="AL545" s="170"/>
      <c r="AM545" s="170"/>
      <c r="AN545" s="170"/>
      <c r="AO545" s="170"/>
      <c r="AP545" s="170"/>
      <c r="AQ545" s="170"/>
      <c r="AR545" s="170"/>
      <c r="AS545" s="170"/>
    </row>
    <row r="546" spans="1:45" ht="15" x14ac:dyDescent="0.25">
      <c r="A546" s="170"/>
      <c r="B546" s="719"/>
      <c r="C546" s="170"/>
      <c r="D546" s="170"/>
      <c r="E546" s="170"/>
      <c r="F546" s="170"/>
      <c r="G546" s="721"/>
      <c r="H546" s="170"/>
      <c r="I546" s="170"/>
      <c r="J546" s="170"/>
      <c r="K546" s="170"/>
      <c r="L546" s="170"/>
      <c r="M546" s="730"/>
      <c r="N546" s="730"/>
      <c r="O546" s="730"/>
      <c r="P546" s="731"/>
      <c r="Q546" s="731"/>
      <c r="R546" s="730"/>
      <c r="S546" s="730"/>
      <c r="T546" s="723"/>
      <c r="U546" s="724"/>
      <c r="V546" s="725"/>
      <c r="W546" s="725"/>
      <c r="X546" s="723"/>
      <c r="Y546" s="723"/>
      <c r="Z546" s="723"/>
      <c r="AA546" s="726"/>
      <c r="AB546" s="726"/>
      <c r="AC546" s="170"/>
      <c r="AD546" s="586"/>
      <c r="AE546" s="586"/>
      <c r="AF546" s="170"/>
      <c r="AG546" s="170"/>
      <c r="AH546" s="170"/>
      <c r="AI546" s="170"/>
      <c r="AJ546" s="170"/>
      <c r="AK546" s="170"/>
      <c r="AL546" s="170"/>
      <c r="AM546" s="170"/>
      <c r="AN546" s="170"/>
      <c r="AO546" s="170"/>
      <c r="AP546" s="170"/>
      <c r="AQ546" s="170"/>
      <c r="AR546" s="170"/>
      <c r="AS546" s="170"/>
    </row>
    <row r="547" spans="1:45" ht="15" x14ac:dyDescent="0.25">
      <c r="A547" s="170"/>
      <c r="B547" s="719"/>
      <c r="C547" s="170"/>
      <c r="D547" s="170"/>
      <c r="E547" s="170"/>
      <c r="F547" s="170"/>
      <c r="G547" s="721"/>
      <c r="H547" s="170"/>
      <c r="I547" s="170"/>
      <c r="J547" s="170"/>
      <c r="K547" s="170"/>
      <c r="L547" s="170"/>
      <c r="M547" s="730"/>
      <c r="N547" s="730"/>
      <c r="O547" s="730"/>
      <c r="P547" s="731"/>
      <c r="Q547" s="731"/>
      <c r="R547" s="730"/>
      <c r="S547" s="730"/>
      <c r="T547" s="723"/>
      <c r="U547" s="724"/>
      <c r="V547" s="725"/>
      <c r="W547" s="725"/>
      <c r="X547" s="723"/>
      <c r="Y547" s="723"/>
      <c r="Z547" s="723"/>
      <c r="AA547" s="726"/>
      <c r="AB547" s="726"/>
      <c r="AC547" s="170"/>
      <c r="AD547" s="586"/>
      <c r="AE547" s="586"/>
      <c r="AF547" s="170"/>
      <c r="AG547" s="170"/>
      <c r="AH547" s="170"/>
      <c r="AI547" s="170"/>
      <c r="AJ547" s="170"/>
      <c r="AK547" s="170"/>
      <c r="AL547" s="170"/>
      <c r="AM547" s="170"/>
      <c r="AN547" s="170"/>
      <c r="AO547" s="170"/>
      <c r="AP547" s="170"/>
      <c r="AQ547" s="170"/>
      <c r="AR547" s="170"/>
      <c r="AS547" s="170"/>
    </row>
    <row r="548" spans="1:45" ht="15" x14ac:dyDescent="0.25">
      <c r="A548" s="170"/>
      <c r="B548" s="719"/>
      <c r="C548" s="170"/>
      <c r="D548" s="170"/>
      <c r="E548" s="170"/>
      <c r="F548" s="170"/>
      <c r="G548" s="721"/>
      <c r="H548" s="170"/>
      <c r="I548" s="170"/>
      <c r="J548" s="170"/>
      <c r="K548" s="170"/>
      <c r="L548" s="170"/>
      <c r="M548" s="730"/>
      <c r="N548" s="730"/>
      <c r="O548" s="730"/>
      <c r="P548" s="731"/>
      <c r="Q548" s="731"/>
      <c r="R548" s="730"/>
      <c r="S548" s="730"/>
      <c r="T548" s="723"/>
      <c r="U548" s="724"/>
      <c r="V548" s="725"/>
      <c r="W548" s="725"/>
      <c r="X548" s="723"/>
      <c r="Y548" s="723"/>
      <c r="Z548" s="723"/>
      <c r="AA548" s="726"/>
      <c r="AB548" s="726"/>
      <c r="AC548" s="170"/>
      <c r="AD548" s="586"/>
      <c r="AE548" s="586"/>
      <c r="AF548" s="170"/>
      <c r="AG548" s="170"/>
      <c r="AH548" s="170"/>
      <c r="AI548" s="170"/>
      <c r="AJ548" s="170"/>
      <c r="AK548" s="170"/>
      <c r="AL548" s="170"/>
      <c r="AM548" s="170"/>
      <c r="AN548" s="170"/>
      <c r="AO548" s="170"/>
      <c r="AP548" s="170"/>
      <c r="AQ548" s="170"/>
      <c r="AR548" s="170"/>
      <c r="AS548" s="170"/>
    </row>
    <row r="549" spans="1:45" ht="15" x14ac:dyDescent="0.25">
      <c r="A549" s="170"/>
      <c r="B549" s="719"/>
      <c r="C549" s="170"/>
      <c r="D549" s="170"/>
      <c r="E549" s="170"/>
      <c r="F549" s="170"/>
      <c r="G549" s="721"/>
      <c r="H549" s="170"/>
      <c r="I549" s="170"/>
      <c r="J549" s="170"/>
      <c r="K549" s="170"/>
      <c r="L549" s="170"/>
      <c r="M549" s="730"/>
      <c r="N549" s="730"/>
      <c r="O549" s="730"/>
      <c r="P549" s="731"/>
      <c r="Q549" s="731"/>
      <c r="R549" s="730"/>
      <c r="S549" s="730"/>
      <c r="T549" s="723"/>
      <c r="U549" s="724"/>
      <c r="V549" s="725"/>
      <c r="W549" s="725"/>
      <c r="X549" s="723"/>
      <c r="Y549" s="723"/>
      <c r="Z549" s="723"/>
      <c r="AA549" s="726"/>
      <c r="AB549" s="726"/>
      <c r="AC549" s="170"/>
      <c r="AD549" s="586"/>
      <c r="AE549" s="586"/>
      <c r="AF549" s="170"/>
      <c r="AG549" s="170"/>
      <c r="AH549" s="170"/>
      <c r="AI549" s="170"/>
      <c r="AJ549" s="170"/>
      <c r="AK549" s="170"/>
      <c r="AL549" s="170"/>
      <c r="AM549" s="170"/>
      <c r="AN549" s="170"/>
      <c r="AO549" s="170"/>
      <c r="AP549" s="170"/>
      <c r="AQ549" s="170"/>
      <c r="AR549" s="170"/>
      <c r="AS549" s="170"/>
    </row>
    <row r="550" spans="1:45" ht="15" x14ac:dyDescent="0.25">
      <c r="A550" s="170"/>
      <c r="B550" s="719"/>
      <c r="C550" s="170"/>
      <c r="D550" s="170"/>
      <c r="E550" s="170"/>
      <c r="F550" s="170"/>
      <c r="G550" s="721"/>
      <c r="H550" s="170"/>
      <c r="I550" s="170"/>
      <c r="J550" s="170"/>
      <c r="K550" s="170"/>
      <c r="L550" s="170"/>
      <c r="M550" s="730"/>
      <c r="N550" s="730"/>
      <c r="O550" s="730"/>
      <c r="P550" s="731"/>
      <c r="Q550" s="731"/>
      <c r="R550" s="730"/>
      <c r="S550" s="730"/>
      <c r="T550" s="723"/>
      <c r="U550" s="724"/>
      <c r="V550" s="725"/>
      <c r="W550" s="725"/>
      <c r="X550" s="723"/>
      <c r="Y550" s="723"/>
      <c r="Z550" s="723"/>
      <c r="AA550" s="726"/>
      <c r="AB550" s="726"/>
      <c r="AC550" s="170"/>
      <c r="AD550" s="586"/>
      <c r="AE550" s="586"/>
      <c r="AF550" s="170"/>
      <c r="AG550" s="170"/>
      <c r="AH550" s="170"/>
      <c r="AI550" s="170"/>
      <c r="AJ550" s="170"/>
      <c r="AK550" s="170"/>
      <c r="AL550" s="170"/>
      <c r="AM550" s="170"/>
      <c r="AN550" s="170"/>
      <c r="AO550" s="170"/>
      <c r="AP550" s="170"/>
      <c r="AQ550" s="170"/>
      <c r="AR550" s="170"/>
      <c r="AS550" s="170"/>
    </row>
    <row r="551" spans="1:45" ht="15" x14ac:dyDescent="0.25">
      <c r="A551" s="170"/>
      <c r="B551" s="719"/>
      <c r="C551" s="170"/>
      <c r="D551" s="170"/>
      <c r="E551" s="170"/>
      <c r="F551" s="170"/>
      <c r="G551" s="721"/>
      <c r="H551" s="170"/>
      <c r="I551" s="170"/>
      <c r="J551" s="170"/>
      <c r="K551" s="170"/>
      <c r="L551" s="170"/>
      <c r="M551" s="730"/>
      <c r="N551" s="730"/>
      <c r="O551" s="730"/>
      <c r="P551" s="731"/>
      <c r="Q551" s="731"/>
      <c r="R551" s="730"/>
      <c r="S551" s="730"/>
      <c r="T551" s="723"/>
      <c r="U551" s="724"/>
      <c r="V551" s="725"/>
      <c r="W551" s="725"/>
      <c r="X551" s="723"/>
      <c r="Y551" s="723"/>
      <c r="Z551" s="723"/>
      <c r="AA551" s="726"/>
      <c r="AB551" s="726"/>
      <c r="AC551" s="170"/>
      <c r="AD551" s="586"/>
      <c r="AE551" s="586"/>
      <c r="AF551" s="170"/>
      <c r="AG551" s="170"/>
      <c r="AH551" s="170"/>
      <c r="AI551" s="170"/>
      <c r="AJ551" s="170"/>
      <c r="AK551" s="170"/>
      <c r="AL551" s="170"/>
      <c r="AM551" s="170"/>
      <c r="AN551" s="170"/>
      <c r="AO551" s="170"/>
      <c r="AP551" s="170"/>
      <c r="AQ551" s="170"/>
      <c r="AR551" s="170"/>
      <c r="AS551" s="170"/>
    </row>
    <row r="552" spans="1:45" ht="15" x14ac:dyDescent="0.25">
      <c r="A552" s="170"/>
      <c r="B552" s="719"/>
      <c r="C552" s="170"/>
      <c r="D552" s="170"/>
      <c r="E552" s="170"/>
      <c r="F552" s="170"/>
      <c r="G552" s="721"/>
      <c r="H552" s="170"/>
      <c r="I552" s="170"/>
      <c r="J552" s="170"/>
      <c r="K552" s="170"/>
      <c r="L552" s="170"/>
      <c r="M552" s="730"/>
      <c r="N552" s="730"/>
      <c r="O552" s="730"/>
      <c r="P552" s="731"/>
      <c r="Q552" s="731"/>
      <c r="R552" s="730"/>
      <c r="S552" s="730"/>
      <c r="T552" s="723"/>
      <c r="U552" s="724"/>
      <c r="V552" s="725"/>
      <c r="W552" s="725"/>
      <c r="X552" s="723"/>
      <c r="Y552" s="723"/>
      <c r="Z552" s="723"/>
      <c r="AA552" s="726"/>
      <c r="AB552" s="726"/>
      <c r="AC552" s="170"/>
      <c r="AD552" s="586"/>
      <c r="AE552" s="586"/>
      <c r="AF552" s="170"/>
      <c r="AG552" s="170"/>
      <c r="AH552" s="170"/>
      <c r="AI552" s="170"/>
      <c r="AJ552" s="170"/>
      <c r="AK552" s="170"/>
      <c r="AL552" s="170"/>
      <c r="AM552" s="170"/>
      <c r="AN552" s="170"/>
      <c r="AO552" s="170"/>
      <c r="AP552" s="170"/>
      <c r="AQ552" s="170"/>
      <c r="AR552" s="170"/>
      <c r="AS552" s="170"/>
    </row>
    <row r="553" spans="1:45" ht="15" x14ac:dyDescent="0.25">
      <c r="A553" s="170"/>
      <c r="B553" s="719"/>
      <c r="C553" s="170"/>
      <c r="D553" s="170"/>
      <c r="E553" s="170"/>
      <c r="F553" s="170"/>
      <c r="G553" s="721"/>
      <c r="H553" s="170"/>
      <c r="I553" s="170"/>
      <c r="J553" s="170"/>
      <c r="K553" s="170"/>
      <c r="L553" s="170"/>
      <c r="M553" s="730"/>
      <c r="N553" s="730"/>
      <c r="O553" s="730"/>
      <c r="P553" s="731"/>
      <c r="Q553" s="731"/>
      <c r="R553" s="730"/>
      <c r="S553" s="730"/>
      <c r="T553" s="723"/>
      <c r="U553" s="724"/>
      <c r="V553" s="725"/>
      <c r="W553" s="725"/>
      <c r="X553" s="723"/>
      <c r="Y553" s="723"/>
      <c r="Z553" s="723"/>
      <c r="AA553" s="726"/>
      <c r="AB553" s="726"/>
      <c r="AC553" s="170"/>
      <c r="AD553" s="586"/>
      <c r="AE553" s="586"/>
      <c r="AF553" s="170"/>
      <c r="AG553" s="170"/>
      <c r="AH553" s="170"/>
      <c r="AI553" s="170"/>
      <c r="AJ553" s="170"/>
      <c r="AK553" s="170"/>
      <c r="AL553" s="170"/>
      <c r="AM553" s="170"/>
      <c r="AN553" s="170"/>
      <c r="AO553" s="170"/>
      <c r="AP553" s="170"/>
      <c r="AQ553" s="170"/>
      <c r="AR553" s="170"/>
      <c r="AS553" s="170"/>
    </row>
    <row r="554" spans="1:45" ht="15" x14ac:dyDescent="0.25">
      <c r="A554" s="170"/>
      <c r="B554" s="719"/>
      <c r="C554" s="170"/>
      <c r="D554" s="170"/>
      <c r="E554" s="170"/>
      <c r="F554" s="170"/>
      <c r="G554" s="721"/>
      <c r="H554" s="170"/>
      <c r="I554" s="170"/>
      <c r="J554" s="170"/>
      <c r="K554" s="170"/>
      <c r="L554" s="170"/>
      <c r="M554" s="730"/>
      <c r="N554" s="730"/>
      <c r="O554" s="730"/>
      <c r="P554" s="731"/>
      <c r="Q554" s="731"/>
      <c r="R554" s="730"/>
      <c r="S554" s="730"/>
      <c r="T554" s="723"/>
      <c r="U554" s="724"/>
      <c r="V554" s="725"/>
      <c r="W554" s="725"/>
      <c r="X554" s="723"/>
      <c r="Y554" s="723"/>
      <c r="Z554" s="723"/>
      <c r="AA554" s="726"/>
      <c r="AB554" s="726"/>
      <c r="AC554" s="170"/>
      <c r="AD554" s="586"/>
      <c r="AE554" s="586"/>
      <c r="AF554" s="170"/>
      <c r="AG554" s="170"/>
      <c r="AH554" s="170"/>
      <c r="AI554" s="170"/>
      <c r="AJ554" s="170"/>
      <c r="AK554" s="170"/>
      <c r="AL554" s="170"/>
      <c r="AM554" s="170"/>
      <c r="AN554" s="170"/>
      <c r="AO554" s="170"/>
      <c r="AP554" s="170"/>
      <c r="AQ554" s="170"/>
      <c r="AR554" s="170"/>
      <c r="AS554" s="170"/>
    </row>
    <row r="555" spans="1:45" ht="15" x14ac:dyDescent="0.25">
      <c r="A555" s="170"/>
      <c r="B555" s="719"/>
      <c r="C555" s="170"/>
      <c r="D555" s="170"/>
      <c r="E555" s="170"/>
      <c r="F555" s="170"/>
      <c r="G555" s="721"/>
      <c r="H555" s="170"/>
      <c r="I555" s="170"/>
      <c r="J555" s="170"/>
      <c r="K555" s="170"/>
      <c r="L555" s="170"/>
      <c r="M555" s="730"/>
      <c r="N555" s="730"/>
      <c r="O555" s="730"/>
      <c r="P555" s="731"/>
      <c r="Q555" s="731"/>
      <c r="R555" s="730"/>
      <c r="S555" s="730"/>
      <c r="T555" s="723"/>
      <c r="U555" s="724"/>
      <c r="V555" s="725"/>
      <c r="W555" s="725"/>
      <c r="X555" s="723"/>
      <c r="Y555" s="723"/>
      <c r="Z555" s="723"/>
      <c r="AA555" s="726"/>
      <c r="AB555" s="726"/>
      <c r="AC555" s="170"/>
      <c r="AD555" s="586"/>
      <c r="AE555" s="586"/>
      <c r="AF555" s="170"/>
      <c r="AG555" s="170"/>
      <c r="AH555" s="170"/>
      <c r="AI555" s="170"/>
      <c r="AJ555" s="170"/>
      <c r="AK555" s="170"/>
      <c r="AL555" s="170"/>
      <c r="AM555" s="170"/>
      <c r="AN555" s="170"/>
      <c r="AO555" s="170"/>
      <c r="AP555" s="170"/>
      <c r="AQ555" s="170"/>
      <c r="AR555" s="170"/>
      <c r="AS555" s="170"/>
    </row>
    <row r="556" spans="1:45" ht="15" x14ac:dyDescent="0.25">
      <c r="A556" s="170"/>
      <c r="B556" s="719"/>
      <c r="C556" s="170"/>
      <c r="D556" s="170"/>
      <c r="E556" s="170"/>
      <c r="F556" s="170"/>
      <c r="G556" s="721"/>
      <c r="H556" s="170"/>
      <c r="I556" s="170"/>
      <c r="J556" s="170"/>
      <c r="K556" s="170"/>
      <c r="L556" s="170"/>
      <c r="M556" s="730"/>
      <c r="N556" s="730"/>
      <c r="O556" s="730"/>
      <c r="P556" s="731"/>
      <c r="Q556" s="731"/>
      <c r="R556" s="730"/>
      <c r="S556" s="730"/>
      <c r="T556" s="723"/>
      <c r="U556" s="724"/>
      <c r="V556" s="725"/>
      <c r="W556" s="725"/>
      <c r="X556" s="723"/>
      <c r="Y556" s="723"/>
      <c r="Z556" s="723"/>
      <c r="AA556" s="726"/>
      <c r="AB556" s="726"/>
      <c r="AC556" s="170"/>
      <c r="AD556" s="586"/>
      <c r="AE556" s="586"/>
      <c r="AF556" s="170"/>
      <c r="AG556" s="170"/>
      <c r="AH556" s="170"/>
      <c r="AI556" s="170"/>
      <c r="AJ556" s="170"/>
      <c r="AK556" s="170"/>
      <c r="AL556" s="170"/>
      <c r="AM556" s="170"/>
      <c r="AN556" s="170"/>
      <c r="AO556" s="170"/>
      <c r="AP556" s="170"/>
      <c r="AQ556" s="170"/>
      <c r="AR556" s="170"/>
      <c r="AS556" s="170"/>
    </row>
    <row r="557" spans="1:45" ht="15" x14ac:dyDescent="0.25">
      <c r="A557" s="170"/>
      <c r="B557" s="719"/>
      <c r="C557" s="170"/>
      <c r="D557" s="170"/>
      <c r="E557" s="170"/>
      <c r="F557" s="170"/>
      <c r="G557" s="721"/>
      <c r="H557" s="170"/>
      <c r="I557" s="170"/>
      <c r="J557" s="170"/>
      <c r="K557" s="170"/>
      <c r="L557" s="170"/>
      <c r="M557" s="730"/>
      <c r="N557" s="730"/>
      <c r="O557" s="730"/>
      <c r="P557" s="731"/>
      <c r="Q557" s="731"/>
      <c r="R557" s="730"/>
      <c r="S557" s="730"/>
      <c r="T557" s="723"/>
      <c r="U557" s="724"/>
      <c r="V557" s="725"/>
      <c r="W557" s="725"/>
      <c r="X557" s="723"/>
      <c r="Y557" s="723"/>
      <c r="Z557" s="723"/>
      <c r="AA557" s="726"/>
      <c r="AB557" s="726"/>
      <c r="AC557" s="170"/>
      <c r="AD557" s="586"/>
      <c r="AE557" s="586"/>
      <c r="AF557" s="170"/>
      <c r="AG557" s="170"/>
      <c r="AH557" s="170"/>
      <c r="AI557" s="170"/>
      <c r="AJ557" s="170"/>
      <c r="AK557" s="170"/>
      <c r="AL557" s="170"/>
      <c r="AM557" s="170"/>
      <c r="AN557" s="170"/>
      <c r="AO557" s="170"/>
      <c r="AP557" s="170"/>
      <c r="AQ557" s="170"/>
      <c r="AR557" s="170"/>
      <c r="AS557" s="170"/>
    </row>
    <row r="558" spans="1:45" ht="15" x14ac:dyDescent="0.25">
      <c r="A558" s="170"/>
      <c r="B558" s="719"/>
      <c r="C558" s="170"/>
      <c r="D558" s="170"/>
      <c r="E558" s="170"/>
      <c r="F558" s="170"/>
      <c r="G558" s="721"/>
      <c r="H558" s="170"/>
      <c r="I558" s="170"/>
      <c r="J558" s="170"/>
      <c r="K558" s="170"/>
      <c r="L558" s="170"/>
      <c r="M558" s="730"/>
      <c r="N558" s="730"/>
      <c r="O558" s="730"/>
      <c r="P558" s="731"/>
      <c r="Q558" s="731"/>
      <c r="R558" s="730"/>
      <c r="S558" s="730"/>
      <c r="T558" s="723"/>
      <c r="U558" s="724"/>
      <c r="V558" s="725"/>
      <c r="W558" s="725"/>
      <c r="X558" s="723"/>
      <c r="Y558" s="723"/>
      <c r="Z558" s="723"/>
      <c r="AA558" s="726"/>
      <c r="AB558" s="726"/>
      <c r="AC558" s="170"/>
      <c r="AD558" s="586"/>
      <c r="AE558" s="586"/>
      <c r="AF558" s="170"/>
      <c r="AG558" s="170"/>
      <c r="AH558" s="170"/>
      <c r="AI558" s="170"/>
      <c r="AJ558" s="170"/>
      <c r="AK558" s="170"/>
      <c r="AL558" s="170"/>
      <c r="AM558" s="170"/>
      <c r="AN558" s="170"/>
      <c r="AO558" s="170"/>
      <c r="AP558" s="170"/>
      <c r="AQ558" s="170"/>
      <c r="AR558" s="170"/>
      <c r="AS558" s="170"/>
    </row>
    <row r="559" spans="1:45" ht="15" x14ac:dyDescent="0.25">
      <c r="A559" s="170"/>
      <c r="B559" s="719"/>
      <c r="C559" s="170"/>
      <c r="D559" s="170"/>
      <c r="E559" s="170"/>
      <c r="F559" s="170"/>
      <c r="G559" s="721"/>
      <c r="H559" s="170"/>
      <c r="I559" s="170"/>
      <c r="J559" s="170"/>
      <c r="K559" s="170"/>
      <c r="L559" s="170"/>
      <c r="M559" s="730"/>
      <c r="N559" s="730"/>
      <c r="O559" s="730"/>
      <c r="P559" s="731"/>
      <c r="Q559" s="731"/>
      <c r="R559" s="730"/>
      <c r="S559" s="730"/>
      <c r="T559" s="723"/>
      <c r="U559" s="724"/>
      <c r="V559" s="725"/>
      <c r="W559" s="725"/>
      <c r="X559" s="723"/>
      <c r="Y559" s="723"/>
      <c r="Z559" s="723"/>
      <c r="AA559" s="726"/>
      <c r="AB559" s="726"/>
      <c r="AC559" s="170"/>
      <c r="AD559" s="586"/>
      <c r="AE559" s="586"/>
      <c r="AF559" s="170"/>
      <c r="AG559" s="170"/>
      <c r="AH559" s="170"/>
      <c r="AI559" s="170"/>
      <c r="AJ559" s="170"/>
      <c r="AK559" s="170"/>
      <c r="AL559" s="170"/>
      <c r="AM559" s="170"/>
      <c r="AN559" s="170"/>
      <c r="AO559" s="170"/>
      <c r="AP559" s="170"/>
      <c r="AQ559" s="170"/>
      <c r="AR559" s="170"/>
      <c r="AS559" s="170"/>
    </row>
    <row r="560" spans="1:45" ht="15" x14ac:dyDescent="0.25">
      <c r="A560" s="170"/>
      <c r="B560" s="719"/>
      <c r="C560" s="170"/>
      <c r="D560" s="170"/>
      <c r="E560" s="170"/>
      <c r="F560" s="170"/>
      <c r="G560" s="721"/>
      <c r="H560" s="170"/>
      <c r="I560" s="170"/>
      <c r="J560" s="170"/>
      <c r="K560" s="170"/>
      <c r="L560" s="170"/>
      <c r="M560" s="730"/>
      <c r="N560" s="730"/>
      <c r="O560" s="730"/>
      <c r="P560" s="731"/>
      <c r="Q560" s="731"/>
      <c r="R560" s="730"/>
      <c r="S560" s="730"/>
      <c r="T560" s="723"/>
      <c r="U560" s="724"/>
      <c r="V560" s="725"/>
      <c r="W560" s="725"/>
      <c r="X560" s="723"/>
      <c r="Y560" s="723"/>
      <c r="Z560" s="723"/>
      <c r="AA560" s="726"/>
      <c r="AB560" s="726"/>
      <c r="AC560" s="170"/>
      <c r="AD560" s="586"/>
      <c r="AE560" s="586"/>
      <c r="AF560" s="170"/>
      <c r="AG560" s="170"/>
      <c r="AH560" s="170"/>
      <c r="AI560" s="170"/>
      <c r="AJ560" s="170"/>
      <c r="AK560" s="170"/>
      <c r="AL560" s="170"/>
      <c r="AM560" s="170"/>
      <c r="AN560" s="170"/>
      <c r="AO560" s="170"/>
      <c r="AP560" s="170"/>
      <c r="AQ560" s="170"/>
      <c r="AR560" s="170"/>
      <c r="AS560" s="170"/>
    </row>
    <row r="561" spans="1:45" ht="15" x14ac:dyDescent="0.25">
      <c r="A561" s="170"/>
      <c r="B561" s="719"/>
      <c r="C561" s="170"/>
      <c r="D561" s="170"/>
      <c r="E561" s="170"/>
      <c r="F561" s="170"/>
      <c r="G561" s="721"/>
      <c r="H561" s="170"/>
      <c r="I561" s="170"/>
      <c r="J561" s="170"/>
      <c r="K561" s="170"/>
      <c r="L561" s="170"/>
      <c r="M561" s="730"/>
      <c r="N561" s="730"/>
      <c r="O561" s="730"/>
      <c r="P561" s="731"/>
      <c r="Q561" s="731"/>
      <c r="R561" s="730"/>
      <c r="S561" s="730"/>
      <c r="T561" s="723"/>
      <c r="U561" s="724"/>
      <c r="V561" s="725"/>
      <c r="W561" s="725"/>
      <c r="X561" s="723"/>
      <c r="Y561" s="723"/>
      <c r="Z561" s="723"/>
      <c r="AA561" s="726"/>
      <c r="AB561" s="726"/>
      <c r="AC561" s="170"/>
      <c r="AD561" s="586"/>
      <c r="AE561" s="586"/>
      <c r="AF561" s="170"/>
      <c r="AG561" s="170"/>
      <c r="AH561" s="170"/>
      <c r="AI561" s="170"/>
      <c r="AJ561" s="170"/>
      <c r="AK561" s="170"/>
      <c r="AL561" s="170"/>
      <c r="AM561" s="170"/>
      <c r="AN561" s="170"/>
      <c r="AO561" s="170"/>
      <c r="AP561" s="170"/>
      <c r="AQ561" s="170"/>
      <c r="AR561" s="170"/>
      <c r="AS561" s="170"/>
    </row>
    <row r="562" spans="1:45" ht="15" x14ac:dyDescent="0.25">
      <c r="A562" s="170"/>
      <c r="B562" s="719"/>
      <c r="C562" s="170"/>
      <c r="D562" s="170"/>
      <c r="E562" s="170"/>
      <c r="F562" s="170"/>
      <c r="G562" s="721"/>
      <c r="H562" s="170"/>
      <c r="I562" s="170"/>
      <c r="J562" s="170"/>
      <c r="K562" s="170"/>
      <c r="L562" s="170"/>
      <c r="M562" s="730"/>
      <c r="N562" s="730"/>
      <c r="O562" s="730"/>
      <c r="P562" s="731"/>
      <c r="Q562" s="731"/>
      <c r="R562" s="730"/>
      <c r="S562" s="730"/>
      <c r="T562" s="723"/>
      <c r="U562" s="724"/>
      <c r="V562" s="725"/>
      <c r="W562" s="725"/>
      <c r="X562" s="723"/>
      <c r="Y562" s="723"/>
      <c r="Z562" s="723"/>
      <c r="AA562" s="726"/>
      <c r="AB562" s="726"/>
      <c r="AC562" s="170"/>
      <c r="AD562" s="586"/>
      <c r="AE562" s="586"/>
      <c r="AF562" s="170"/>
      <c r="AG562" s="170"/>
      <c r="AH562" s="170"/>
      <c r="AI562" s="170"/>
      <c r="AJ562" s="170"/>
      <c r="AK562" s="170"/>
      <c r="AL562" s="170"/>
      <c r="AM562" s="170"/>
      <c r="AN562" s="170"/>
      <c r="AO562" s="170"/>
      <c r="AP562" s="170"/>
      <c r="AQ562" s="170"/>
      <c r="AR562" s="170"/>
      <c r="AS562" s="170"/>
    </row>
    <row r="563" spans="1:45" ht="15" x14ac:dyDescent="0.25">
      <c r="A563" s="170"/>
      <c r="B563" s="719"/>
      <c r="C563" s="170"/>
      <c r="D563" s="170"/>
      <c r="E563" s="170"/>
      <c r="F563" s="170"/>
      <c r="G563" s="721"/>
      <c r="H563" s="170"/>
      <c r="I563" s="170"/>
      <c r="J563" s="170"/>
      <c r="K563" s="170"/>
      <c r="L563" s="170"/>
      <c r="M563" s="730"/>
      <c r="N563" s="730"/>
      <c r="O563" s="730"/>
      <c r="P563" s="731"/>
      <c r="Q563" s="731"/>
      <c r="R563" s="730"/>
      <c r="S563" s="730"/>
      <c r="T563" s="723"/>
      <c r="U563" s="724"/>
      <c r="V563" s="725"/>
      <c r="W563" s="725"/>
      <c r="X563" s="723"/>
      <c r="Y563" s="723"/>
      <c r="Z563" s="723"/>
      <c r="AA563" s="726"/>
      <c r="AB563" s="726"/>
      <c r="AC563" s="170"/>
      <c r="AD563" s="586"/>
      <c r="AE563" s="586"/>
      <c r="AF563" s="170"/>
      <c r="AG563" s="170"/>
      <c r="AH563" s="170"/>
      <c r="AI563" s="170"/>
      <c r="AJ563" s="170"/>
      <c r="AK563" s="170"/>
      <c r="AL563" s="170"/>
      <c r="AM563" s="170"/>
      <c r="AN563" s="170"/>
      <c r="AO563" s="170"/>
      <c r="AP563" s="170"/>
      <c r="AQ563" s="170"/>
      <c r="AR563" s="170"/>
      <c r="AS563" s="170"/>
    </row>
    <row r="564" spans="1:45" ht="15" x14ac:dyDescent="0.25">
      <c r="A564" s="170"/>
      <c r="B564" s="719"/>
      <c r="C564" s="170"/>
      <c r="D564" s="170"/>
      <c r="E564" s="170"/>
      <c r="F564" s="170"/>
      <c r="G564" s="721"/>
      <c r="H564" s="170"/>
      <c r="I564" s="170"/>
      <c r="J564" s="170"/>
      <c r="K564" s="170"/>
      <c r="L564" s="170"/>
      <c r="M564" s="730"/>
      <c r="N564" s="730"/>
      <c r="O564" s="730"/>
      <c r="P564" s="731"/>
      <c r="Q564" s="731"/>
      <c r="R564" s="730"/>
      <c r="S564" s="730"/>
      <c r="T564" s="723"/>
      <c r="U564" s="724"/>
      <c r="V564" s="725"/>
      <c r="W564" s="725"/>
      <c r="X564" s="723"/>
      <c r="Y564" s="723"/>
      <c r="Z564" s="723"/>
      <c r="AA564" s="726"/>
      <c r="AB564" s="726"/>
      <c r="AC564" s="170"/>
      <c r="AD564" s="586"/>
      <c r="AE564" s="586"/>
      <c r="AF564" s="170"/>
      <c r="AG564" s="170"/>
      <c r="AH564" s="170"/>
      <c r="AI564" s="170"/>
      <c r="AJ564" s="170"/>
      <c r="AK564" s="170"/>
      <c r="AL564" s="170"/>
      <c r="AM564" s="170"/>
      <c r="AN564" s="170"/>
      <c r="AO564" s="170"/>
      <c r="AP564" s="170"/>
      <c r="AQ564" s="170"/>
      <c r="AR564" s="170"/>
      <c r="AS564" s="170"/>
    </row>
    <row r="565" spans="1:45" ht="15" x14ac:dyDescent="0.25">
      <c r="A565" s="170"/>
      <c r="B565" s="719"/>
      <c r="C565" s="170"/>
      <c r="D565" s="170"/>
      <c r="E565" s="170"/>
      <c r="F565" s="170"/>
      <c r="G565" s="721"/>
      <c r="H565" s="170"/>
      <c r="I565" s="170"/>
      <c r="J565" s="170"/>
      <c r="K565" s="170"/>
      <c r="L565" s="170"/>
      <c r="M565" s="730"/>
      <c r="N565" s="730"/>
      <c r="O565" s="730"/>
      <c r="P565" s="731"/>
      <c r="Q565" s="731"/>
      <c r="R565" s="730"/>
      <c r="S565" s="730"/>
      <c r="T565" s="723"/>
      <c r="U565" s="724"/>
      <c r="V565" s="725"/>
      <c r="W565" s="725"/>
      <c r="X565" s="723"/>
      <c r="Y565" s="723"/>
      <c r="Z565" s="723"/>
      <c r="AA565" s="726"/>
      <c r="AB565" s="726"/>
      <c r="AC565" s="170"/>
      <c r="AD565" s="586"/>
      <c r="AE565" s="586"/>
      <c r="AF565" s="170"/>
      <c r="AG565" s="170"/>
      <c r="AH565" s="170"/>
      <c r="AI565" s="170"/>
      <c r="AJ565" s="170"/>
      <c r="AK565" s="170"/>
      <c r="AL565" s="170"/>
      <c r="AM565" s="170"/>
      <c r="AN565" s="170"/>
      <c r="AO565" s="170"/>
      <c r="AP565" s="170"/>
      <c r="AQ565" s="170"/>
      <c r="AR565" s="170"/>
      <c r="AS565" s="170"/>
    </row>
    <row r="566" spans="1:45" ht="15" x14ac:dyDescent="0.25">
      <c r="A566" s="170"/>
      <c r="B566" s="719"/>
      <c r="C566" s="170"/>
      <c r="D566" s="170"/>
      <c r="E566" s="170"/>
      <c r="F566" s="170"/>
      <c r="G566" s="721"/>
      <c r="H566" s="170"/>
      <c r="I566" s="170"/>
      <c r="J566" s="170"/>
      <c r="K566" s="170"/>
      <c r="L566" s="170"/>
      <c r="M566" s="730"/>
      <c r="N566" s="730"/>
      <c r="O566" s="730"/>
      <c r="P566" s="731"/>
      <c r="Q566" s="731"/>
      <c r="R566" s="730"/>
      <c r="S566" s="730"/>
      <c r="T566" s="723"/>
      <c r="U566" s="724"/>
      <c r="V566" s="725"/>
      <c r="W566" s="725"/>
      <c r="X566" s="723"/>
      <c r="Y566" s="723"/>
      <c r="Z566" s="723"/>
      <c r="AA566" s="726"/>
      <c r="AB566" s="726"/>
      <c r="AC566" s="170"/>
      <c r="AD566" s="586"/>
      <c r="AE566" s="586"/>
      <c r="AF566" s="170"/>
      <c r="AG566" s="170"/>
      <c r="AH566" s="170"/>
      <c r="AI566" s="170"/>
      <c r="AJ566" s="170"/>
      <c r="AK566" s="170"/>
      <c r="AL566" s="170"/>
      <c r="AM566" s="170"/>
      <c r="AN566" s="170"/>
      <c r="AO566" s="170"/>
      <c r="AP566" s="170"/>
      <c r="AQ566" s="170"/>
      <c r="AR566" s="170"/>
      <c r="AS566" s="170"/>
    </row>
    <row r="567" spans="1:45" ht="15" x14ac:dyDescent="0.25">
      <c r="A567" s="170"/>
      <c r="B567" s="719"/>
      <c r="C567" s="170"/>
      <c r="D567" s="170"/>
      <c r="E567" s="170"/>
      <c r="F567" s="170"/>
      <c r="G567" s="721"/>
      <c r="H567" s="170"/>
      <c r="I567" s="170"/>
      <c r="J567" s="170"/>
      <c r="K567" s="170"/>
      <c r="L567" s="170"/>
      <c r="M567" s="730"/>
      <c r="N567" s="730"/>
      <c r="O567" s="730"/>
      <c r="P567" s="731"/>
      <c r="Q567" s="731"/>
      <c r="R567" s="730"/>
      <c r="S567" s="730"/>
      <c r="T567" s="723"/>
      <c r="U567" s="724"/>
      <c r="V567" s="725"/>
      <c r="W567" s="725"/>
      <c r="X567" s="723"/>
      <c r="Y567" s="723"/>
      <c r="Z567" s="723"/>
      <c r="AA567" s="726"/>
      <c r="AB567" s="726"/>
      <c r="AC567" s="170"/>
      <c r="AD567" s="586"/>
      <c r="AE567" s="586"/>
      <c r="AF567" s="170"/>
      <c r="AG567" s="170"/>
      <c r="AH567" s="170"/>
      <c r="AI567" s="170"/>
      <c r="AJ567" s="170"/>
      <c r="AK567" s="170"/>
      <c r="AL567" s="170"/>
      <c r="AM567" s="170"/>
      <c r="AN567" s="170"/>
      <c r="AO567" s="170"/>
      <c r="AP567" s="170"/>
      <c r="AQ567" s="170"/>
      <c r="AR567" s="170"/>
      <c r="AS567" s="170"/>
    </row>
    <row r="568" spans="1:45" ht="15" x14ac:dyDescent="0.25">
      <c r="A568" s="170"/>
      <c r="B568" s="719"/>
      <c r="C568" s="170"/>
      <c r="D568" s="170"/>
      <c r="E568" s="170"/>
      <c r="F568" s="170"/>
      <c r="G568" s="721"/>
      <c r="H568" s="170"/>
      <c r="I568" s="170"/>
      <c r="J568" s="170"/>
      <c r="K568" s="170"/>
      <c r="L568" s="170"/>
      <c r="M568" s="730"/>
      <c r="N568" s="730"/>
      <c r="O568" s="730"/>
      <c r="P568" s="731"/>
      <c r="Q568" s="731"/>
      <c r="R568" s="730"/>
      <c r="S568" s="730"/>
      <c r="T568" s="723"/>
      <c r="U568" s="724"/>
      <c r="V568" s="725"/>
      <c r="W568" s="725"/>
      <c r="X568" s="723"/>
      <c r="Y568" s="723"/>
      <c r="Z568" s="723"/>
      <c r="AA568" s="726"/>
      <c r="AB568" s="726"/>
      <c r="AC568" s="170"/>
      <c r="AD568" s="586"/>
      <c r="AE568" s="586"/>
      <c r="AF568" s="170"/>
      <c r="AG568" s="170"/>
      <c r="AH568" s="170"/>
      <c r="AI568" s="170"/>
      <c r="AJ568" s="170"/>
      <c r="AK568" s="170"/>
      <c r="AL568" s="170"/>
      <c r="AM568" s="170"/>
      <c r="AN568" s="170"/>
      <c r="AO568" s="170"/>
      <c r="AP568" s="170"/>
      <c r="AQ568" s="170"/>
      <c r="AR568" s="170"/>
      <c r="AS568" s="170"/>
    </row>
    <row r="569" spans="1:45" ht="15" x14ac:dyDescent="0.25">
      <c r="A569" s="170"/>
      <c r="B569" s="719"/>
      <c r="C569" s="170"/>
      <c r="D569" s="170"/>
      <c r="E569" s="170"/>
      <c r="F569" s="170"/>
      <c r="G569" s="721"/>
      <c r="H569" s="170"/>
      <c r="I569" s="170"/>
      <c r="J569" s="170"/>
      <c r="K569" s="170"/>
      <c r="L569" s="170"/>
      <c r="M569" s="730"/>
      <c r="N569" s="730"/>
      <c r="O569" s="730"/>
      <c r="P569" s="731"/>
      <c r="Q569" s="731"/>
      <c r="R569" s="730"/>
      <c r="S569" s="730"/>
      <c r="T569" s="723"/>
      <c r="U569" s="724"/>
      <c r="V569" s="725"/>
      <c r="W569" s="725"/>
      <c r="X569" s="723"/>
      <c r="Y569" s="723"/>
      <c r="Z569" s="723"/>
      <c r="AA569" s="726"/>
      <c r="AB569" s="726"/>
      <c r="AC569" s="170"/>
      <c r="AD569" s="586"/>
      <c r="AE569" s="586"/>
      <c r="AF569" s="170"/>
      <c r="AG569" s="170"/>
      <c r="AH569" s="170"/>
      <c r="AI569" s="170"/>
      <c r="AJ569" s="170"/>
      <c r="AK569" s="170"/>
      <c r="AL569" s="170"/>
      <c r="AM569" s="170"/>
      <c r="AN569" s="170"/>
      <c r="AO569" s="170"/>
      <c r="AP569" s="170"/>
      <c r="AQ569" s="170"/>
      <c r="AR569" s="170"/>
      <c r="AS569" s="170"/>
    </row>
    <row r="570" spans="1:45" ht="15" x14ac:dyDescent="0.25">
      <c r="A570" s="170"/>
      <c r="B570" s="719"/>
      <c r="C570" s="170"/>
      <c r="D570" s="170"/>
      <c r="E570" s="170"/>
      <c r="F570" s="170"/>
      <c r="G570" s="721"/>
      <c r="H570" s="170"/>
      <c r="I570" s="170"/>
      <c r="J570" s="170"/>
      <c r="K570" s="170"/>
      <c r="L570" s="170"/>
      <c r="M570" s="730"/>
      <c r="N570" s="730"/>
      <c r="O570" s="730"/>
      <c r="P570" s="731"/>
      <c r="Q570" s="731"/>
      <c r="R570" s="730"/>
      <c r="S570" s="730"/>
      <c r="T570" s="723"/>
      <c r="U570" s="724"/>
      <c r="V570" s="725"/>
      <c r="W570" s="725"/>
      <c r="X570" s="723"/>
      <c r="Y570" s="723"/>
      <c r="Z570" s="723"/>
      <c r="AA570" s="726"/>
      <c r="AB570" s="726"/>
      <c r="AC570" s="170"/>
      <c r="AD570" s="586"/>
      <c r="AE570" s="586"/>
      <c r="AF570" s="170"/>
      <c r="AG570" s="170"/>
      <c r="AH570" s="170"/>
      <c r="AI570" s="170"/>
      <c r="AJ570" s="170"/>
      <c r="AK570" s="170"/>
      <c r="AL570" s="170"/>
      <c r="AM570" s="170"/>
      <c r="AN570" s="170"/>
      <c r="AO570" s="170"/>
      <c r="AP570" s="170"/>
      <c r="AQ570" s="170"/>
      <c r="AR570" s="170"/>
      <c r="AS570" s="170"/>
    </row>
    <row r="571" spans="1:45" ht="15" x14ac:dyDescent="0.25">
      <c r="A571" s="170"/>
      <c r="B571" s="719"/>
      <c r="C571" s="170"/>
      <c r="D571" s="170"/>
      <c r="E571" s="170"/>
      <c r="F571" s="170"/>
      <c r="G571" s="721"/>
      <c r="H571" s="170"/>
      <c r="I571" s="170"/>
      <c r="J571" s="170"/>
      <c r="K571" s="170"/>
      <c r="L571" s="170"/>
      <c r="M571" s="730"/>
      <c r="N571" s="730"/>
      <c r="O571" s="730"/>
      <c r="P571" s="731"/>
      <c r="Q571" s="731"/>
      <c r="R571" s="730"/>
      <c r="S571" s="730"/>
      <c r="T571" s="723"/>
      <c r="U571" s="724"/>
      <c r="V571" s="725"/>
      <c r="W571" s="725"/>
      <c r="X571" s="723"/>
      <c r="Y571" s="723"/>
      <c r="Z571" s="723"/>
      <c r="AA571" s="726"/>
      <c r="AB571" s="726"/>
      <c r="AC571" s="170"/>
      <c r="AD571" s="586"/>
      <c r="AE571" s="586"/>
      <c r="AF571" s="170"/>
      <c r="AG571" s="170"/>
      <c r="AH571" s="170"/>
      <c r="AI571" s="170"/>
      <c r="AJ571" s="170"/>
      <c r="AK571" s="170"/>
      <c r="AL571" s="170"/>
      <c r="AM571" s="170"/>
      <c r="AN571" s="170"/>
      <c r="AO571" s="170"/>
      <c r="AP571" s="170"/>
      <c r="AQ571" s="170"/>
      <c r="AR571" s="170"/>
      <c r="AS571" s="170"/>
    </row>
    <row r="572" spans="1:45" ht="15" x14ac:dyDescent="0.25">
      <c r="A572" s="170"/>
      <c r="B572" s="719"/>
      <c r="C572" s="170"/>
      <c r="D572" s="170"/>
      <c r="E572" s="170"/>
      <c r="F572" s="170"/>
      <c r="G572" s="721"/>
      <c r="H572" s="170"/>
      <c r="I572" s="170"/>
      <c r="J572" s="170"/>
      <c r="K572" s="170"/>
      <c r="L572" s="170"/>
      <c r="M572" s="730"/>
      <c r="N572" s="730"/>
      <c r="O572" s="730"/>
      <c r="P572" s="731"/>
      <c r="Q572" s="731"/>
      <c r="R572" s="730"/>
      <c r="S572" s="730"/>
      <c r="T572" s="723"/>
      <c r="U572" s="724"/>
      <c r="V572" s="725"/>
      <c r="W572" s="725"/>
      <c r="X572" s="723"/>
      <c r="Y572" s="723"/>
      <c r="Z572" s="723"/>
      <c r="AA572" s="726"/>
      <c r="AB572" s="726"/>
      <c r="AC572" s="170"/>
      <c r="AD572" s="586"/>
      <c r="AE572" s="586"/>
      <c r="AF572" s="170"/>
      <c r="AG572" s="170"/>
      <c r="AH572" s="170"/>
      <c r="AI572" s="170"/>
      <c r="AJ572" s="170"/>
      <c r="AK572" s="170"/>
      <c r="AL572" s="170"/>
      <c r="AM572" s="170"/>
      <c r="AN572" s="170"/>
      <c r="AO572" s="170"/>
      <c r="AP572" s="170"/>
      <c r="AQ572" s="170"/>
      <c r="AR572" s="170"/>
      <c r="AS572" s="170"/>
    </row>
    <row r="573" spans="1:45" ht="15" x14ac:dyDescent="0.25">
      <c r="A573" s="170"/>
      <c r="B573" s="719"/>
      <c r="C573" s="170"/>
      <c r="D573" s="170"/>
      <c r="E573" s="170"/>
      <c r="F573" s="170"/>
      <c r="G573" s="721"/>
      <c r="H573" s="170"/>
      <c r="I573" s="170"/>
      <c r="J573" s="170"/>
      <c r="K573" s="170"/>
      <c r="L573" s="170"/>
      <c r="M573" s="730"/>
      <c r="N573" s="730"/>
      <c r="O573" s="730"/>
      <c r="P573" s="731"/>
      <c r="Q573" s="731"/>
      <c r="R573" s="730"/>
      <c r="S573" s="730"/>
      <c r="T573" s="723"/>
      <c r="U573" s="724"/>
      <c r="V573" s="725"/>
      <c r="W573" s="725"/>
      <c r="X573" s="723"/>
      <c r="Y573" s="723"/>
      <c r="Z573" s="723"/>
      <c r="AA573" s="726"/>
      <c r="AB573" s="726"/>
      <c r="AC573" s="170"/>
      <c r="AD573" s="586"/>
      <c r="AE573" s="586"/>
      <c r="AF573" s="170"/>
      <c r="AG573" s="170"/>
      <c r="AH573" s="170"/>
      <c r="AI573" s="170"/>
      <c r="AJ573" s="170"/>
      <c r="AK573" s="170"/>
      <c r="AL573" s="170"/>
      <c r="AM573" s="170"/>
      <c r="AN573" s="170"/>
      <c r="AO573" s="170"/>
      <c r="AP573" s="170"/>
      <c r="AQ573" s="170"/>
      <c r="AR573" s="170"/>
      <c r="AS573" s="170"/>
    </row>
    <row r="574" spans="1:45" ht="15" x14ac:dyDescent="0.25">
      <c r="A574" s="170"/>
      <c r="B574" s="719"/>
      <c r="C574" s="170"/>
      <c r="D574" s="170"/>
      <c r="E574" s="170"/>
      <c r="F574" s="170"/>
      <c r="G574" s="721"/>
      <c r="H574" s="170"/>
      <c r="I574" s="170"/>
      <c r="J574" s="170"/>
      <c r="K574" s="170"/>
      <c r="L574" s="170"/>
      <c r="M574" s="730"/>
      <c r="N574" s="730"/>
      <c r="O574" s="730"/>
      <c r="P574" s="731"/>
      <c r="Q574" s="731"/>
      <c r="R574" s="730"/>
      <c r="S574" s="730"/>
      <c r="T574" s="723"/>
      <c r="U574" s="724"/>
      <c r="V574" s="725"/>
      <c r="W574" s="725"/>
      <c r="X574" s="723"/>
      <c r="Y574" s="723"/>
      <c r="Z574" s="723"/>
      <c r="AA574" s="726"/>
      <c r="AB574" s="726"/>
      <c r="AC574" s="170"/>
      <c r="AD574" s="586"/>
      <c r="AE574" s="586"/>
      <c r="AF574" s="170"/>
      <c r="AG574" s="170"/>
      <c r="AH574" s="170"/>
      <c r="AI574" s="170"/>
      <c r="AJ574" s="170"/>
      <c r="AK574" s="170"/>
      <c r="AL574" s="170"/>
      <c r="AM574" s="170"/>
      <c r="AN574" s="170"/>
      <c r="AO574" s="170"/>
      <c r="AP574" s="170"/>
      <c r="AQ574" s="170"/>
      <c r="AR574" s="170"/>
      <c r="AS574" s="170"/>
    </row>
    <row r="575" spans="1:45" ht="15" x14ac:dyDescent="0.25">
      <c r="A575" s="170"/>
      <c r="B575" s="719"/>
      <c r="C575" s="170"/>
      <c r="D575" s="170"/>
      <c r="E575" s="170"/>
      <c r="F575" s="170"/>
      <c r="G575" s="721"/>
      <c r="H575" s="170"/>
      <c r="I575" s="170"/>
      <c r="J575" s="170"/>
      <c r="K575" s="170"/>
      <c r="L575" s="170"/>
      <c r="M575" s="730"/>
      <c r="N575" s="730"/>
      <c r="O575" s="730"/>
      <c r="P575" s="731"/>
      <c r="Q575" s="731"/>
      <c r="R575" s="730"/>
      <c r="S575" s="730"/>
      <c r="T575" s="723"/>
      <c r="U575" s="724"/>
      <c r="V575" s="725"/>
      <c r="W575" s="725"/>
      <c r="X575" s="723"/>
      <c r="Y575" s="723"/>
      <c r="Z575" s="723"/>
      <c r="AA575" s="726"/>
      <c r="AB575" s="726"/>
      <c r="AC575" s="170"/>
      <c r="AD575" s="586"/>
      <c r="AE575" s="586"/>
      <c r="AF575" s="170"/>
      <c r="AG575" s="170"/>
      <c r="AH575" s="170"/>
      <c r="AI575" s="170"/>
      <c r="AJ575" s="170"/>
      <c r="AK575" s="170"/>
      <c r="AL575" s="170"/>
      <c r="AM575" s="170"/>
      <c r="AN575" s="170"/>
      <c r="AO575" s="170"/>
      <c r="AP575" s="170"/>
      <c r="AQ575" s="170"/>
      <c r="AR575" s="170"/>
      <c r="AS575" s="170"/>
    </row>
    <row r="576" spans="1:45" ht="15" x14ac:dyDescent="0.25">
      <c r="A576" s="170"/>
      <c r="B576" s="719"/>
      <c r="C576" s="170"/>
      <c r="D576" s="170"/>
      <c r="E576" s="170"/>
      <c r="F576" s="170"/>
      <c r="G576" s="721"/>
      <c r="H576" s="170"/>
      <c r="I576" s="170"/>
      <c r="J576" s="170"/>
      <c r="K576" s="170"/>
      <c r="L576" s="170"/>
      <c r="M576" s="730"/>
      <c r="N576" s="730"/>
      <c r="O576" s="730"/>
      <c r="P576" s="731"/>
      <c r="Q576" s="731"/>
      <c r="R576" s="730"/>
      <c r="S576" s="730"/>
      <c r="T576" s="723"/>
      <c r="U576" s="724"/>
      <c r="V576" s="725"/>
      <c r="W576" s="725"/>
      <c r="X576" s="723"/>
      <c r="Y576" s="723"/>
      <c r="Z576" s="723"/>
      <c r="AA576" s="726"/>
      <c r="AB576" s="726"/>
      <c r="AC576" s="170"/>
      <c r="AD576" s="586"/>
      <c r="AE576" s="586"/>
      <c r="AF576" s="170"/>
      <c r="AG576" s="170"/>
      <c r="AH576" s="170"/>
      <c r="AI576" s="170"/>
      <c r="AJ576" s="170"/>
      <c r="AK576" s="170"/>
      <c r="AL576" s="170"/>
      <c r="AM576" s="170"/>
      <c r="AN576" s="170"/>
      <c r="AO576" s="170"/>
      <c r="AP576" s="170"/>
      <c r="AQ576" s="170"/>
      <c r="AR576" s="170"/>
      <c r="AS576" s="170"/>
    </row>
    <row r="577" spans="1:45" ht="15" x14ac:dyDescent="0.25">
      <c r="A577" s="170"/>
      <c r="B577" s="719"/>
      <c r="C577" s="170"/>
      <c r="D577" s="170"/>
      <c r="E577" s="170"/>
      <c r="F577" s="170"/>
      <c r="G577" s="721"/>
      <c r="H577" s="170"/>
      <c r="I577" s="170"/>
      <c r="J577" s="170"/>
      <c r="K577" s="170"/>
      <c r="L577" s="170"/>
      <c r="M577" s="730"/>
      <c r="N577" s="730"/>
      <c r="O577" s="730"/>
      <c r="P577" s="731"/>
      <c r="Q577" s="731"/>
      <c r="R577" s="730"/>
      <c r="S577" s="730"/>
      <c r="T577" s="723"/>
      <c r="U577" s="724"/>
      <c r="V577" s="725"/>
      <c r="W577" s="725"/>
      <c r="X577" s="723"/>
      <c r="Y577" s="723"/>
      <c r="Z577" s="723"/>
      <c r="AA577" s="726"/>
      <c r="AB577" s="726"/>
      <c r="AC577" s="170"/>
      <c r="AD577" s="586"/>
      <c r="AE577" s="586"/>
      <c r="AF577" s="170"/>
      <c r="AG577" s="170"/>
      <c r="AH577" s="170"/>
      <c r="AI577" s="170"/>
      <c r="AJ577" s="170"/>
      <c r="AK577" s="170"/>
      <c r="AL577" s="170"/>
      <c r="AM577" s="170"/>
      <c r="AN577" s="170"/>
      <c r="AO577" s="170"/>
      <c r="AP577" s="170"/>
      <c r="AQ577" s="170"/>
      <c r="AR577" s="170"/>
      <c r="AS577" s="170"/>
    </row>
    <row r="578" spans="1:45" ht="15" x14ac:dyDescent="0.25">
      <c r="A578" s="170"/>
      <c r="B578" s="719"/>
      <c r="C578" s="170"/>
      <c r="D578" s="170"/>
      <c r="E578" s="170"/>
      <c r="F578" s="170"/>
      <c r="G578" s="721"/>
      <c r="H578" s="170"/>
      <c r="I578" s="170"/>
      <c r="J578" s="170"/>
      <c r="K578" s="170"/>
      <c r="L578" s="170"/>
      <c r="M578" s="730"/>
      <c r="N578" s="730"/>
      <c r="O578" s="730"/>
      <c r="P578" s="731"/>
      <c r="Q578" s="731"/>
      <c r="R578" s="730"/>
      <c r="S578" s="730"/>
      <c r="T578" s="723"/>
      <c r="U578" s="724"/>
      <c r="V578" s="725"/>
      <c r="W578" s="725"/>
      <c r="X578" s="723"/>
      <c r="Y578" s="723"/>
      <c r="Z578" s="723"/>
      <c r="AA578" s="726"/>
      <c r="AB578" s="726"/>
      <c r="AC578" s="170"/>
      <c r="AD578" s="586"/>
      <c r="AE578" s="586"/>
      <c r="AF578" s="170"/>
      <c r="AG578" s="170"/>
      <c r="AH578" s="170"/>
      <c r="AI578" s="170"/>
      <c r="AJ578" s="170"/>
      <c r="AK578" s="170"/>
      <c r="AL578" s="170"/>
      <c r="AM578" s="170"/>
      <c r="AN578" s="170"/>
      <c r="AO578" s="170"/>
      <c r="AP578" s="170"/>
      <c r="AQ578" s="170"/>
      <c r="AR578" s="170"/>
      <c r="AS578" s="170"/>
    </row>
    <row r="579" spans="1:45" ht="15" x14ac:dyDescent="0.25">
      <c r="A579" s="170"/>
      <c r="B579" s="719"/>
      <c r="C579" s="170"/>
      <c r="D579" s="170"/>
      <c r="E579" s="170"/>
      <c r="F579" s="170"/>
      <c r="G579" s="721"/>
      <c r="H579" s="170"/>
      <c r="I579" s="170"/>
      <c r="J579" s="170"/>
      <c r="K579" s="170"/>
      <c r="L579" s="170"/>
      <c r="M579" s="730"/>
      <c r="N579" s="730"/>
      <c r="O579" s="730"/>
      <c r="P579" s="731"/>
      <c r="Q579" s="731"/>
      <c r="R579" s="730"/>
      <c r="S579" s="730"/>
      <c r="T579" s="723"/>
      <c r="U579" s="724"/>
      <c r="V579" s="725"/>
      <c r="W579" s="725"/>
      <c r="X579" s="723"/>
      <c r="Y579" s="723"/>
      <c r="Z579" s="723"/>
      <c r="AA579" s="726"/>
      <c r="AB579" s="726"/>
      <c r="AC579" s="170"/>
      <c r="AD579" s="586"/>
      <c r="AE579" s="586"/>
      <c r="AF579" s="170"/>
      <c r="AG579" s="170"/>
      <c r="AH579" s="170"/>
      <c r="AI579" s="170"/>
      <c r="AJ579" s="170"/>
      <c r="AK579" s="170"/>
      <c r="AL579" s="170"/>
      <c r="AM579" s="170"/>
      <c r="AN579" s="170"/>
      <c r="AO579" s="170"/>
      <c r="AP579" s="170"/>
      <c r="AQ579" s="170"/>
      <c r="AR579" s="170"/>
      <c r="AS579" s="170"/>
    </row>
    <row r="580" spans="1:45" ht="15" x14ac:dyDescent="0.25">
      <c r="A580" s="170"/>
      <c r="B580" s="719"/>
      <c r="C580" s="170"/>
      <c r="D580" s="170"/>
      <c r="E580" s="170"/>
      <c r="F580" s="170"/>
      <c r="G580" s="721"/>
      <c r="H580" s="170"/>
      <c r="I580" s="170"/>
      <c r="J580" s="170"/>
      <c r="K580" s="170"/>
      <c r="L580" s="170"/>
      <c r="M580" s="730"/>
      <c r="N580" s="730"/>
      <c r="O580" s="730"/>
      <c r="P580" s="731"/>
      <c r="Q580" s="731"/>
      <c r="R580" s="730"/>
      <c r="S580" s="730"/>
      <c r="T580" s="723"/>
      <c r="U580" s="724"/>
      <c r="V580" s="725"/>
      <c r="W580" s="725"/>
      <c r="X580" s="723"/>
      <c r="Y580" s="723"/>
      <c r="Z580" s="723"/>
      <c r="AA580" s="726"/>
      <c r="AB580" s="726"/>
      <c r="AC580" s="170"/>
      <c r="AD580" s="586"/>
      <c r="AE580" s="586"/>
      <c r="AF580" s="170"/>
      <c r="AG580" s="170"/>
      <c r="AH580" s="170"/>
      <c r="AI580" s="170"/>
      <c r="AJ580" s="170"/>
      <c r="AK580" s="170"/>
      <c r="AL580" s="170"/>
      <c r="AM580" s="170"/>
      <c r="AN580" s="170"/>
      <c r="AO580" s="170"/>
      <c r="AP580" s="170"/>
      <c r="AQ580" s="170"/>
      <c r="AR580" s="170"/>
      <c r="AS580" s="170"/>
    </row>
    <row r="581" spans="1:45" ht="15" x14ac:dyDescent="0.25">
      <c r="A581" s="170"/>
      <c r="B581" s="719"/>
      <c r="C581" s="170"/>
      <c r="D581" s="170"/>
      <c r="E581" s="170"/>
      <c r="F581" s="170"/>
      <c r="G581" s="721"/>
      <c r="H581" s="170"/>
      <c r="I581" s="170"/>
      <c r="J581" s="170"/>
      <c r="K581" s="170"/>
      <c r="L581" s="170"/>
      <c r="M581" s="730"/>
      <c r="N581" s="730"/>
      <c r="O581" s="730"/>
      <c r="P581" s="731"/>
      <c r="Q581" s="731"/>
      <c r="R581" s="730"/>
      <c r="S581" s="730"/>
      <c r="T581" s="723"/>
      <c r="U581" s="724"/>
      <c r="V581" s="725"/>
      <c r="W581" s="725"/>
      <c r="X581" s="723"/>
      <c r="Y581" s="723"/>
      <c r="Z581" s="723"/>
      <c r="AA581" s="726"/>
      <c r="AB581" s="726"/>
      <c r="AC581" s="170"/>
      <c r="AD581" s="586"/>
      <c r="AE581" s="586"/>
      <c r="AF581" s="170"/>
      <c r="AG581" s="170"/>
      <c r="AH581" s="170"/>
      <c r="AI581" s="170"/>
      <c r="AJ581" s="170"/>
      <c r="AK581" s="170"/>
      <c r="AL581" s="170"/>
      <c r="AM581" s="170"/>
      <c r="AN581" s="170"/>
      <c r="AO581" s="170"/>
      <c r="AP581" s="170"/>
      <c r="AQ581" s="170"/>
      <c r="AR581" s="170"/>
      <c r="AS581" s="170"/>
    </row>
    <row r="582" spans="1:45" ht="15" x14ac:dyDescent="0.25">
      <c r="A582" s="170"/>
      <c r="B582" s="719"/>
      <c r="C582" s="170"/>
      <c r="D582" s="170"/>
      <c r="E582" s="170"/>
      <c r="F582" s="170"/>
      <c r="G582" s="721"/>
      <c r="H582" s="170"/>
      <c r="I582" s="170"/>
      <c r="J582" s="170"/>
      <c r="K582" s="170"/>
      <c r="L582" s="170"/>
      <c r="M582" s="730"/>
      <c r="N582" s="730"/>
      <c r="O582" s="730"/>
      <c r="P582" s="731"/>
      <c r="Q582" s="731"/>
      <c r="R582" s="730"/>
      <c r="S582" s="730"/>
      <c r="T582" s="723"/>
      <c r="U582" s="724"/>
      <c r="V582" s="725"/>
      <c r="W582" s="725"/>
      <c r="X582" s="723"/>
      <c r="Y582" s="723"/>
      <c r="Z582" s="723"/>
      <c r="AA582" s="726"/>
      <c r="AB582" s="726"/>
      <c r="AC582" s="170"/>
      <c r="AD582" s="586"/>
      <c r="AE582" s="586"/>
      <c r="AF582" s="170"/>
      <c r="AG582" s="170"/>
      <c r="AH582" s="170"/>
      <c r="AI582" s="170"/>
      <c r="AJ582" s="170"/>
      <c r="AK582" s="170"/>
      <c r="AL582" s="170"/>
      <c r="AM582" s="170"/>
      <c r="AN582" s="170"/>
      <c r="AO582" s="170"/>
      <c r="AP582" s="170"/>
      <c r="AQ582" s="170"/>
      <c r="AR582" s="170"/>
      <c r="AS582" s="170"/>
    </row>
    <row r="583" spans="1:45" ht="15" x14ac:dyDescent="0.25">
      <c r="A583" s="170"/>
      <c r="B583" s="719"/>
      <c r="C583" s="170"/>
      <c r="D583" s="170"/>
      <c r="E583" s="170"/>
      <c r="F583" s="170"/>
      <c r="G583" s="721"/>
      <c r="H583" s="170"/>
      <c r="I583" s="170"/>
      <c r="J583" s="170"/>
      <c r="K583" s="170"/>
      <c r="L583" s="170"/>
      <c r="M583" s="730"/>
      <c r="N583" s="730"/>
      <c r="O583" s="730"/>
      <c r="P583" s="731"/>
      <c r="Q583" s="731"/>
      <c r="R583" s="730"/>
      <c r="S583" s="730"/>
      <c r="T583" s="723"/>
      <c r="U583" s="724"/>
      <c r="V583" s="725"/>
      <c r="W583" s="725"/>
      <c r="X583" s="723"/>
      <c r="Y583" s="723"/>
      <c r="Z583" s="723"/>
      <c r="AA583" s="726"/>
      <c r="AB583" s="726"/>
      <c r="AC583" s="170"/>
      <c r="AD583" s="586"/>
      <c r="AE583" s="586"/>
      <c r="AF583" s="170"/>
      <c r="AG583" s="170"/>
      <c r="AH583" s="170"/>
      <c r="AI583" s="170"/>
      <c r="AJ583" s="170"/>
      <c r="AK583" s="170"/>
      <c r="AL583" s="170"/>
      <c r="AM583" s="170"/>
      <c r="AN583" s="170"/>
      <c r="AO583" s="170"/>
      <c r="AP583" s="170"/>
      <c r="AQ583" s="170"/>
      <c r="AR583" s="170"/>
      <c r="AS583" s="170"/>
    </row>
    <row r="584" spans="1:45" ht="15" x14ac:dyDescent="0.25">
      <c r="A584" s="170"/>
      <c r="B584" s="719"/>
      <c r="C584" s="170"/>
      <c r="D584" s="170"/>
      <c r="E584" s="170"/>
      <c r="F584" s="170"/>
      <c r="G584" s="721"/>
      <c r="H584" s="170"/>
      <c r="I584" s="170"/>
      <c r="J584" s="170"/>
      <c r="K584" s="170"/>
      <c r="L584" s="170"/>
      <c r="M584" s="730"/>
      <c r="N584" s="730"/>
      <c r="O584" s="730"/>
      <c r="P584" s="731"/>
      <c r="Q584" s="731"/>
      <c r="R584" s="730"/>
      <c r="S584" s="730"/>
      <c r="T584" s="723"/>
      <c r="U584" s="724"/>
      <c r="V584" s="725"/>
      <c r="W584" s="725"/>
      <c r="X584" s="723"/>
      <c r="Y584" s="723"/>
      <c r="Z584" s="723"/>
      <c r="AA584" s="726"/>
      <c r="AB584" s="726"/>
      <c r="AC584" s="170"/>
      <c r="AD584" s="586"/>
      <c r="AE584" s="586"/>
      <c r="AF584" s="170"/>
      <c r="AG584" s="170"/>
      <c r="AH584" s="170"/>
      <c r="AI584" s="170"/>
      <c r="AJ584" s="170"/>
      <c r="AK584" s="170"/>
      <c r="AL584" s="170"/>
      <c r="AM584" s="170"/>
      <c r="AN584" s="170"/>
      <c r="AO584" s="170"/>
      <c r="AP584" s="170"/>
      <c r="AQ584" s="170"/>
      <c r="AR584" s="170"/>
      <c r="AS584" s="170"/>
    </row>
    <row r="585" spans="1:45" ht="15" x14ac:dyDescent="0.25">
      <c r="A585" s="170"/>
      <c r="B585" s="719"/>
      <c r="C585" s="170"/>
      <c r="D585" s="170"/>
      <c r="E585" s="170"/>
      <c r="F585" s="170"/>
      <c r="G585" s="721"/>
      <c r="H585" s="170"/>
      <c r="I585" s="170"/>
      <c r="J585" s="170"/>
      <c r="K585" s="170"/>
      <c r="L585" s="170"/>
      <c r="M585" s="730"/>
      <c r="N585" s="730"/>
      <c r="O585" s="730"/>
      <c r="P585" s="731"/>
      <c r="Q585" s="731"/>
      <c r="R585" s="730"/>
      <c r="S585" s="730"/>
      <c r="T585" s="723"/>
      <c r="U585" s="724"/>
      <c r="V585" s="725"/>
      <c r="W585" s="725"/>
      <c r="X585" s="723"/>
      <c r="Y585" s="723"/>
      <c r="Z585" s="723"/>
      <c r="AA585" s="726"/>
      <c r="AB585" s="726"/>
      <c r="AC585" s="170"/>
      <c r="AD585" s="586"/>
      <c r="AE585" s="586"/>
      <c r="AF585" s="170"/>
      <c r="AG585" s="170"/>
      <c r="AH585" s="170"/>
      <c r="AI585" s="170"/>
      <c r="AJ585" s="170"/>
      <c r="AK585" s="170"/>
      <c r="AL585" s="170"/>
      <c r="AM585" s="170"/>
      <c r="AN585" s="170"/>
      <c r="AO585" s="170"/>
      <c r="AP585" s="170"/>
      <c r="AQ585" s="170"/>
      <c r="AR585" s="170"/>
      <c r="AS585" s="170"/>
    </row>
    <row r="586" spans="1:45" ht="15" x14ac:dyDescent="0.25">
      <c r="A586" s="170"/>
      <c r="B586" s="719"/>
      <c r="C586" s="170"/>
      <c r="D586" s="170"/>
      <c r="E586" s="170"/>
      <c r="F586" s="170"/>
      <c r="G586" s="721"/>
      <c r="H586" s="170"/>
      <c r="I586" s="170"/>
      <c r="J586" s="170"/>
      <c r="K586" s="170"/>
      <c r="L586" s="170"/>
      <c r="M586" s="730"/>
      <c r="N586" s="730"/>
      <c r="O586" s="730"/>
      <c r="P586" s="731"/>
      <c r="Q586" s="731"/>
      <c r="R586" s="730"/>
      <c r="S586" s="730"/>
      <c r="T586" s="723"/>
      <c r="U586" s="724"/>
      <c r="V586" s="725"/>
      <c r="W586" s="725"/>
      <c r="X586" s="723"/>
      <c r="Y586" s="723"/>
      <c r="Z586" s="723"/>
      <c r="AA586" s="726"/>
      <c r="AB586" s="726"/>
      <c r="AC586" s="170"/>
      <c r="AD586" s="586"/>
      <c r="AE586" s="586"/>
      <c r="AF586" s="170"/>
      <c r="AG586" s="170"/>
      <c r="AH586" s="170"/>
      <c r="AI586" s="170"/>
      <c r="AJ586" s="170"/>
      <c r="AK586" s="170"/>
      <c r="AL586" s="170"/>
      <c r="AM586" s="170"/>
      <c r="AN586" s="170"/>
      <c r="AO586" s="170"/>
      <c r="AP586" s="170"/>
      <c r="AQ586" s="170"/>
      <c r="AR586" s="170"/>
      <c r="AS586" s="170"/>
    </row>
    <row r="587" spans="1:45" ht="15" x14ac:dyDescent="0.25">
      <c r="A587" s="170"/>
      <c r="B587" s="719"/>
      <c r="C587" s="170"/>
      <c r="D587" s="170"/>
      <c r="E587" s="170"/>
      <c r="F587" s="170"/>
      <c r="G587" s="721"/>
      <c r="H587" s="170"/>
      <c r="I587" s="170"/>
      <c r="J587" s="170"/>
      <c r="K587" s="170"/>
      <c r="L587" s="170"/>
      <c r="M587" s="730"/>
      <c r="N587" s="730"/>
      <c r="O587" s="730"/>
      <c r="P587" s="731"/>
      <c r="Q587" s="731"/>
      <c r="R587" s="730"/>
      <c r="S587" s="730"/>
      <c r="T587" s="723"/>
      <c r="U587" s="724"/>
      <c r="V587" s="725"/>
      <c r="W587" s="725"/>
      <c r="X587" s="723"/>
      <c r="Y587" s="723"/>
      <c r="Z587" s="723"/>
      <c r="AA587" s="726"/>
      <c r="AB587" s="726"/>
      <c r="AC587" s="170"/>
      <c r="AD587" s="586"/>
      <c r="AE587" s="586"/>
      <c r="AF587" s="170"/>
      <c r="AG587" s="170"/>
      <c r="AH587" s="170"/>
      <c r="AI587" s="170"/>
      <c r="AJ587" s="170"/>
      <c r="AK587" s="170"/>
      <c r="AL587" s="170"/>
      <c r="AM587" s="170"/>
      <c r="AN587" s="170"/>
      <c r="AO587" s="170"/>
      <c r="AP587" s="170"/>
      <c r="AQ587" s="170"/>
      <c r="AR587" s="170"/>
      <c r="AS587" s="170"/>
    </row>
    <row r="588" spans="1:45" ht="15" x14ac:dyDescent="0.25">
      <c r="A588" s="170"/>
      <c r="B588" s="719"/>
      <c r="C588" s="170"/>
      <c r="D588" s="170"/>
      <c r="E588" s="170"/>
      <c r="F588" s="170"/>
      <c r="G588" s="721"/>
      <c r="H588" s="170"/>
      <c r="I588" s="170"/>
      <c r="J588" s="170"/>
      <c r="K588" s="170"/>
      <c r="L588" s="170"/>
      <c r="M588" s="730"/>
      <c r="N588" s="730"/>
      <c r="O588" s="730"/>
      <c r="P588" s="731"/>
      <c r="Q588" s="731"/>
      <c r="R588" s="730"/>
      <c r="S588" s="730"/>
      <c r="T588" s="723"/>
      <c r="U588" s="724"/>
      <c r="V588" s="725"/>
      <c r="W588" s="725"/>
      <c r="X588" s="723"/>
      <c r="Y588" s="723"/>
      <c r="Z588" s="723"/>
      <c r="AA588" s="726"/>
      <c r="AB588" s="726"/>
      <c r="AC588" s="170"/>
      <c r="AD588" s="586"/>
      <c r="AE588" s="586"/>
      <c r="AF588" s="170"/>
      <c r="AG588" s="170"/>
      <c r="AH588" s="170"/>
      <c r="AI588" s="170"/>
      <c r="AJ588" s="170"/>
      <c r="AK588" s="170"/>
      <c r="AL588" s="170"/>
      <c r="AM588" s="170"/>
      <c r="AN588" s="170"/>
      <c r="AO588" s="170"/>
      <c r="AP588" s="170"/>
      <c r="AQ588" s="170"/>
      <c r="AR588" s="170"/>
      <c r="AS588" s="170"/>
    </row>
    <row r="589" spans="1:45" ht="15" x14ac:dyDescent="0.25">
      <c r="A589" s="170"/>
      <c r="B589" s="719"/>
      <c r="C589" s="170"/>
      <c r="D589" s="170"/>
      <c r="E589" s="170"/>
      <c r="F589" s="170"/>
      <c r="G589" s="721"/>
      <c r="H589" s="170"/>
      <c r="I589" s="170"/>
      <c r="J589" s="170"/>
      <c r="K589" s="170"/>
      <c r="L589" s="170"/>
      <c r="M589" s="730"/>
      <c r="N589" s="730"/>
      <c r="O589" s="730"/>
      <c r="P589" s="731"/>
      <c r="Q589" s="731"/>
      <c r="R589" s="730"/>
      <c r="S589" s="730"/>
      <c r="T589" s="723"/>
      <c r="U589" s="724"/>
      <c r="V589" s="725"/>
      <c r="W589" s="725"/>
      <c r="X589" s="723"/>
      <c r="Y589" s="723"/>
      <c r="Z589" s="723"/>
      <c r="AA589" s="726"/>
      <c r="AB589" s="726"/>
      <c r="AC589" s="170"/>
      <c r="AD589" s="586"/>
      <c r="AE589" s="586"/>
      <c r="AF589" s="170"/>
      <c r="AG589" s="170"/>
      <c r="AH589" s="170"/>
      <c r="AI589" s="170"/>
      <c r="AJ589" s="170"/>
      <c r="AK589" s="170"/>
      <c r="AL589" s="170"/>
      <c r="AM589" s="170"/>
      <c r="AN589" s="170"/>
      <c r="AO589" s="170"/>
      <c r="AP589" s="170"/>
      <c r="AQ589" s="170"/>
      <c r="AR589" s="170"/>
      <c r="AS589" s="170"/>
    </row>
    <row r="590" spans="1:45" ht="15" x14ac:dyDescent="0.25">
      <c r="A590" s="170"/>
      <c r="B590" s="719"/>
      <c r="C590" s="170"/>
      <c r="D590" s="170"/>
      <c r="E590" s="170"/>
      <c r="F590" s="170"/>
      <c r="G590" s="721"/>
      <c r="H590" s="170"/>
      <c r="I590" s="170"/>
      <c r="J590" s="170"/>
      <c r="K590" s="170"/>
      <c r="L590" s="170"/>
      <c r="M590" s="730"/>
      <c r="N590" s="730"/>
      <c r="O590" s="730"/>
      <c r="P590" s="731"/>
      <c r="Q590" s="731"/>
      <c r="R590" s="730"/>
      <c r="S590" s="730"/>
      <c r="T590" s="723"/>
      <c r="U590" s="724"/>
      <c r="V590" s="725"/>
      <c r="W590" s="725"/>
      <c r="X590" s="723"/>
      <c r="Y590" s="723"/>
      <c r="Z590" s="723"/>
      <c r="AA590" s="726"/>
      <c r="AB590" s="726"/>
      <c r="AC590" s="170"/>
      <c r="AD590" s="586"/>
      <c r="AE590" s="586"/>
      <c r="AF590" s="170"/>
      <c r="AG590" s="170"/>
      <c r="AH590" s="170"/>
      <c r="AI590" s="170"/>
      <c r="AJ590" s="170"/>
      <c r="AK590" s="170"/>
      <c r="AL590" s="170"/>
      <c r="AM590" s="170"/>
      <c r="AN590" s="170"/>
      <c r="AO590" s="170"/>
      <c r="AP590" s="170"/>
      <c r="AQ590" s="170"/>
      <c r="AR590" s="170"/>
      <c r="AS590" s="170"/>
    </row>
    <row r="591" spans="1:45" ht="15" x14ac:dyDescent="0.25">
      <c r="A591" s="170"/>
      <c r="B591" s="719"/>
      <c r="C591" s="170"/>
      <c r="D591" s="170"/>
      <c r="E591" s="170"/>
      <c r="F591" s="170"/>
      <c r="G591" s="721"/>
      <c r="H591" s="170"/>
      <c r="I591" s="170"/>
      <c r="J591" s="170"/>
      <c r="K591" s="170"/>
      <c r="L591" s="170"/>
      <c r="M591" s="730"/>
      <c r="N591" s="730"/>
      <c r="O591" s="730"/>
      <c r="P591" s="731"/>
      <c r="Q591" s="731"/>
      <c r="R591" s="730"/>
      <c r="S591" s="730"/>
      <c r="T591" s="723"/>
      <c r="U591" s="724"/>
      <c r="V591" s="725"/>
      <c r="W591" s="725"/>
      <c r="X591" s="723"/>
      <c r="Y591" s="723"/>
      <c r="Z591" s="723"/>
      <c r="AA591" s="726"/>
      <c r="AB591" s="726"/>
      <c r="AC591" s="170"/>
      <c r="AD591" s="586"/>
      <c r="AE591" s="586"/>
      <c r="AF591" s="170"/>
      <c r="AG591" s="170"/>
      <c r="AH591" s="170"/>
      <c r="AI591" s="170"/>
      <c r="AJ591" s="170"/>
      <c r="AK591" s="170"/>
      <c r="AL591" s="170"/>
      <c r="AM591" s="170"/>
      <c r="AN591" s="170"/>
      <c r="AO591" s="170"/>
      <c r="AP591" s="170"/>
      <c r="AQ591" s="170"/>
      <c r="AR591" s="170"/>
      <c r="AS591" s="170"/>
    </row>
    <row r="592" spans="1:45" ht="15" x14ac:dyDescent="0.25">
      <c r="A592" s="170"/>
      <c r="B592" s="719"/>
      <c r="C592" s="170"/>
      <c r="D592" s="170"/>
      <c r="E592" s="170"/>
      <c r="F592" s="170"/>
      <c r="G592" s="721"/>
      <c r="H592" s="170"/>
      <c r="I592" s="170"/>
      <c r="J592" s="170"/>
      <c r="K592" s="170"/>
      <c r="L592" s="170"/>
      <c r="M592" s="730"/>
      <c r="N592" s="730"/>
      <c r="O592" s="730"/>
      <c r="P592" s="731"/>
      <c r="Q592" s="731"/>
      <c r="R592" s="730"/>
      <c r="S592" s="730"/>
      <c r="T592" s="723"/>
      <c r="U592" s="724"/>
      <c r="V592" s="725"/>
      <c r="W592" s="725"/>
      <c r="X592" s="723"/>
      <c r="Y592" s="723"/>
      <c r="Z592" s="723"/>
      <c r="AA592" s="726"/>
      <c r="AB592" s="726"/>
      <c r="AC592" s="170"/>
      <c r="AD592" s="586"/>
      <c r="AE592" s="586"/>
      <c r="AF592" s="170"/>
      <c r="AG592" s="170"/>
      <c r="AH592" s="170"/>
      <c r="AI592" s="170"/>
      <c r="AJ592" s="170"/>
      <c r="AK592" s="170"/>
      <c r="AL592" s="170"/>
      <c r="AM592" s="170"/>
      <c r="AN592" s="170"/>
      <c r="AO592" s="170"/>
      <c r="AP592" s="170"/>
      <c r="AQ592" s="170"/>
      <c r="AR592" s="170"/>
      <c r="AS592" s="170"/>
    </row>
    <row r="593" spans="1:45" ht="15" x14ac:dyDescent="0.25">
      <c r="A593" s="170"/>
      <c r="B593" s="719"/>
      <c r="C593" s="170"/>
      <c r="D593" s="170"/>
      <c r="E593" s="170"/>
      <c r="F593" s="170"/>
      <c r="G593" s="721"/>
      <c r="H593" s="170"/>
      <c r="I593" s="170"/>
      <c r="J593" s="170"/>
      <c r="K593" s="170"/>
      <c r="L593" s="170"/>
      <c r="M593" s="730"/>
      <c r="N593" s="730"/>
      <c r="O593" s="730"/>
      <c r="P593" s="731"/>
      <c r="Q593" s="731"/>
      <c r="R593" s="730"/>
      <c r="S593" s="730"/>
      <c r="T593" s="723"/>
      <c r="U593" s="724"/>
      <c r="V593" s="725"/>
      <c r="W593" s="725"/>
      <c r="X593" s="723"/>
      <c r="Y593" s="723"/>
      <c r="Z593" s="723"/>
      <c r="AA593" s="726"/>
      <c r="AB593" s="726"/>
      <c r="AC593" s="170"/>
      <c r="AD593" s="586"/>
      <c r="AE593" s="586"/>
      <c r="AF593" s="170"/>
      <c r="AG593" s="170"/>
      <c r="AH593" s="170"/>
      <c r="AI593" s="170"/>
      <c r="AJ593" s="170"/>
      <c r="AK593" s="170"/>
      <c r="AL593" s="170"/>
      <c r="AM593" s="170"/>
      <c r="AN593" s="170"/>
      <c r="AO593" s="170"/>
      <c r="AP593" s="170"/>
      <c r="AQ593" s="170"/>
      <c r="AR593" s="170"/>
      <c r="AS593" s="170"/>
    </row>
    <row r="594" spans="1:45" ht="15" x14ac:dyDescent="0.25">
      <c r="A594" s="170"/>
      <c r="B594" s="719"/>
      <c r="C594" s="170"/>
      <c r="D594" s="170"/>
      <c r="E594" s="170"/>
      <c r="F594" s="170"/>
      <c r="G594" s="721"/>
      <c r="H594" s="170"/>
      <c r="I594" s="170"/>
      <c r="J594" s="170"/>
      <c r="K594" s="170"/>
      <c r="L594" s="170"/>
      <c r="M594" s="730"/>
      <c r="N594" s="730"/>
      <c r="O594" s="730"/>
      <c r="P594" s="731"/>
      <c r="Q594" s="731"/>
      <c r="R594" s="730"/>
      <c r="S594" s="730"/>
      <c r="T594" s="723"/>
      <c r="U594" s="724"/>
      <c r="V594" s="725"/>
      <c r="W594" s="725"/>
      <c r="X594" s="723"/>
      <c r="Y594" s="723"/>
      <c r="Z594" s="723"/>
      <c r="AA594" s="726"/>
      <c r="AB594" s="726"/>
      <c r="AC594" s="170"/>
      <c r="AD594" s="586"/>
      <c r="AE594" s="586"/>
      <c r="AF594" s="170"/>
      <c r="AG594" s="170"/>
      <c r="AH594" s="170"/>
      <c r="AI594" s="170"/>
      <c r="AJ594" s="170"/>
      <c r="AK594" s="170"/>
      <c r="AL594" s="170"/>
      <c r="AM594" s="170"/>
      <c r="AN594" s="170"/>
      <c r="AO594" s="170"/>
      <c r="AP594" s="170"/>
      <c r="AQ594" s="170"/>
      <c r="AR594" s="170"/>
      <c r="AS594" s="170"/>
    </row>
    <row r="595" spans="1:45" ht="15" x14ac:dyDescent="0.25">
      <c r="A595" s="170"/>
      <c r="B595" s="719"/>
      <c r="C595" s="170"/>
      <c r="D595" s="170"/>
      <c r="E595" s="170"/>
      <c r="F595" s="170"/>
      <c r="G595" s="721"/>
      <c r="H595" s="170"/>
      <c r="I595" s="170"/>
      <c r="J595" s="170"/>
      <c r="K595" s="170"/>
      <c r="L595" s="170"/>
      <c r="M595" s="730"/>
      <c r="N595" s="730"/>
      <c r="O595" s="730"/>
      <c r="P595" s="731"/>
      <c r="Q595" s="731"/>
      <c r="R595" s="730"/>
      <c r="S595" s="730"/>
      <c r="T595" s="723"/>
      <c r="U595" s="724"/>
      <c r="V595" s="725"/>
      <c r="W595" s="725"/>
      <c r="X595" s="723"/>
      <c r="Y595" s="723"/>
      <c r="Z595" s="723"/>
      <c r="AA595" s="726"/>
      <c r="AB595" s="726"/>
      <c r="AC595" s="170"/>
      <c r="AD595" s="586"/>
      <c r="AE595" s="586"/>
      <c r="AF595" s="170"/>
      <c r="AG595" s="170"/>
      <c r="AH595" s="170"/>
      <c r="AI595" s="170"/>
      <c r="AJ595" s="170"/>
      <c r="AK595" s="170"/>
      <c r="AL595" s="170"/>
      <c r="AM595" s="170"/>
      <c r="AN595" s="170"/>
      <c r="AO595" s="170"/>
      <c r="AP595" s="170"/>
      <c r="AQ595" s="170"/>
      <c r="AR595" s="170"/>
      <c r="AS595" s="170"/>
    </row>
    <row r="596" spans="1:45" ht="15" x14ac:dyDescent="0.25">
      <c r="A596" s="170"/>
      <c r="B596" s="719"/>
      <c r="C596" s="170"/>
      <c r="D596" s="170"/>
      <c r="E596" s="170"/>
      <c r="F596" s="170"/>
      <c r="G596" s="721"/>
      <c r="H596" s="170"/>
      <c r="I596" s="170"/>
      <c r="J596" s="170"/>
      <c r="K596" s="170"/>
      <c r="L596" s="170"/>
      <c r="M596" s="730"/>
      <c r="N596" s="730"/>
      <c r="O596" s="730"/>
      <c r="P596" s="731"/>
      <c r="Q596" s="731"/>
      <c r="R596" s="730"/>
      <c r="S596" s="730"/>
      <c r="T596" s="723"/>
      <c r="U596" s="724"/>
      <c r="V596" s="725"/>
      <c r="W596" s="725"/>
      <c r="X596" s="723"/>
      <c r="Y596" s="723"/>
      <c r="Z596" s="723"/>
      <c r="AA596" s="726"/>
      <c r="AB596" s="726"/>
      <c r="AC596" s="170"/>
      <c r="AD596" s="586"/>
      <c r="AE596" s="586"/>
      <c r="AF596" s="170"/>
      <c r="AG596" s="170"/>
      <c r="AH596" s="170"/>
      <c r="AI596" s="170"/>
      <c r="AJ596" s="170"/>
      <c r="AK596" s="170"/>
      <c r="AL596" s="170"/>
      <c r="AM596" s="170"/>
      <c r="AN596" s="170"/>
      <c r="AO596" s="170"/>
      <c r="AP596" s="170"/>
      <c r="AQ596" s="170"/>
      <c r="AR596" s="170"/>
      <c r="AS596" s="170"/>
    </row>
    <row r="597" spans="1:45" ht="15" x14ac:dyDescent="0.25">
      <c r="A597" s="170"/>
      <c r="B597" s="719"/>
      <c r="C597" s="170"/>
      <c r="D597" s="170"/>
      <c r="E597" s="170"/>
      <c r="F597" s="170"/>
      <c r="G597" s="721"/>
      <c r="H597" s="170"/>
      <c r="I597" s="170"/>
      <c r="J597" s="170"/>
      <c r="K597" s="170"/>
      <c r="L597" s="170"/>
      <c r="M597" s="730"/>
      <c r="N597" s="730"/>
      <c r="O597" s="730"/>
      <c r="P597" s="731"/>
      <c r="Q597" s="731"/>
      <c r="R597" s="730"/>
      <c r="S597" s="730"/>
      <c r="T597" s="723"/>
      <c r="U597" s="724"/>
      <c r="V597" s="725"/>
      <c r="W597" s="725"/>
      <c r="X597" s="723"/>
      <c r="Y597" s="723"/>
      <c r="Z597" s="723"/>
      <c r="AA597" s="726"/>
      <c r="AB597" s="726"/>
      <c r="AC597" s="170"/>
      <c r="AD597" s="586"/>
      <c r="AE597" s="586"/>
      <c r="AF597" s="170"/>
      <c r="AG597" s="170"/>
      <c r="AH597" s="170"/>
      <c r="AI597" s="170"/>
      <c r="AJ597" s="170"/>
      <c r="AK597" s="170"/>
      <c r="AL597" s="170"/>
      <c r="AM597" s="170"/>
      <c r="AN597" s="170"/>
      <c r="AO597" s="170"/>
      <c r="AP597" s="170"/>
      <c r="AQ597" s="170"/>
      <c r="AR597" s="170"/>
      <c r="AS597" s="170"/>
    </row>
    <row r="598" spans="1:45" ht="15" x14ac:dyDescent="0.25">
      <c r="A598" s="170"/>
      <c r="B598" s="719"/>
      <c r="C598" s="170"/>
      <c r="D598" s="170"/>
      <c r="E598" s="170"/>
      <c r="F598" s="170"/>
      <c r="G598" s="721"/>
      <c r="H598" s="170"/>
      <c r="I598" s="170"/>
      <c r="J598" s="170"/>
      <c r="K598" s="170"/>
      <c r="L598" s="170"/>
      <c r="M598" s="730"/>
      <c r="N598" s="730"/>
      <c r="O598" s="730"/>
      <c r="P598" s="731"/>
      <c r="Q598" s="731"/>
      <c r="R598" s="730"/>
      <c r="S598" s="730"/>
      <c r="T598" s="723"/>
      <c r="U598" s="724"/>
      <c r="V598" s="725"/>
      <c r="W598" s="725"/>
      <c r="X598" s="723"/>
      <c r="Y598" s="723"/>
      <c r="Z598" s="723"/>
      <c r="AA598" s="726"/>
      <c r="AB598" s="726"/>
      <c r="AC598" s="170"/>
      <c r="AD598" s="586"/>
      <c r="AE598" s="586"/>
      <c r="AF598" s="170"/>
      <c r="AG598" s="170"/>
      <c r="AH598" s="170"/>
      <c r="AI598" s="170"/>
      <c r="AJ598" s="170"/>
      <c r="AK598" s="170"/>
      <c r="AL598" s="170"/>
      <c r="AM598" s="170"/>
      <c r="AN598" s="170"/>
      <c r="AO598" s="170"/>
      <c r="AP598" s="170"/>
      <c r="AQ598" s="170"/>
      <c r="AR598" s="170"/>
      <c r="AS598" s="170"/>
    </row>
    <row r="599" spans="1:45" ht="15" x14ac:dyDescent="0.25">
      <c r="A599" s="170"/>
      <c r="B599" s="719"/>
      <c r="C599" s="170"/>
      <c r="D599" s="170"/>
      <c r="E599" s="170"/>
      <c r="F599" s="170"/>
      <c r="G599" s="721"/>
      <c r="H599" s="170"/>
      <c r="I599" s="170"/>
      <c r="J599" s="170"/>
      <c r="K599" s="170"/>
      <c r="L599" s="170"/>
      <c r="M599" s="730"/>
      <c r="N599" s="730"/>
      <c r="O599" s="730"/>
      <c r="P599" s="731"/>
      <c r="Q599" s="731"/>
      <c r="R599" s="730"/>
      <c r="S599" s="730"/>
      <c r="T599" s="723"/>
      <c r="U599" s="724"/>
      <c r="V599" s="725"/>
      <c r="W599" s="725"/>
      <c r="X599" s="723"/>
      <c r="Y599" s="723"/>
      <c r="Z599" s="723"/>
      <c r="AA599" s="726"/>
      <c r="AB599" s="726"/>
      <c r="AC599" s="170"/>
      <c r="AD599" s="586"/>
      <c r="AE599" s="586"/>
      <c r="AF599" s="170"/>
      <c r="AG599" s="170"/>
      <c r="AH599" s="170"/>
      <c r="AI599" s="170"/>
      <c r="AJ599" s="170"/>
      <c r="AK599" s="170"/>
      <c r="AL599" s="170"/>
      <c r="AM599" s="170"/>
      <c r="AN599" s="170"/>
      <c r="AO599" s="170"/>
      <c r="AP599" s="170"/>
      <c r="AQ599" s="170"/>
      <c r="AR599" s="170"/>
      <c r="AS599" s="170"/>
    </row>
    <row r="600" spans="1:45" ht="15" x14ac:dyDescent="0.25">
      <c r="A600" s="170"/>
      <c r="B600" s="719"/>
      <c r="C600" s="170"/>
      <c r="D600" s="170"/>
      <c r="E600" s="170"/>
      <c r="F600" s="170"/>
      <c r="G600" s="721"/>
      <c r="H600" s="170"/>
      <c r="I600" s="170"/>
      <c r="J600" s="170"/>
      <c r="K600" s="170"/>
      <c r="L600" s="170"/>
      <c r="M600" s="730"/>
      <c r="N600" s="730"/>
      <c r="O600" s="730"/>
      <c r="P600" s="731"/>
      <c r="Q600" s="731"/>
      <c r="R600" s="730"/>
      <c r="S600" s="730"/>
      <c r="T600" s="723"/>
      <c r="U600" s="724"/>
      <c r="V600" s="725"/>
      <c r="W600" s="725"/>
      <c r="X600" s="723"/>
      <c r="Y600" s="723"/>
      <c r="Z600" s="723"/>
      <c r="AA600" s="726"/>
      <c r="AB600" s="726"/>
      <c r="AC600" s="170"/>
      <c r="AD600" s="586"/>
      <c r="AE600" s="586"/>
      <c r="AF600" s="170"/>
      <c r="AG600" s="170"/>
      <c r="AH600" s="170"/>
      <c r="AI600" s="170"/>
      <c r="AJ600" s="170"/>
      <c r="AK600" s="170"/>
      <c r="AL600" s="170"/>
      <c r="AM600" s="170"/>
      <c r="AN600" s="170"/>
      <c r="AO600" s="170"/>
      <c r="AP600" s="170"/>
      <c r="AQ600" s="170"/>
      <c r="AR600" s="170"/>
      <c r="AS600" s="170"/>
    </row>
    <row r="601" spans="1:45" ht="15" x14ac:dyDescent="0.25">
      <c r="A601" s="170"/>
      <c r="B601" s="719"/>
      <c r="C601" s="170"/>
      <c r="D601" s="170"/>
      <c r="E601" s="170"/>
      <c r="F601" s="170"/>
      <c r="G601" s="721"/>
      <c r="H601" s="170"/>
      <c r="I601" s="170"/>
      <c r="J601" s="170"/>
      <c r="K601" s="170"/>
      <c r="L601" s="170"/>
      <c r="M601" s="730"/>
      <c r="N601" s="730"/>
      <c r="O601" s="730"/>
      <c r="P601" s="731"/>
      <c r="Q601" s="731"/>
      <c r="R601" s="730"/>
      <c r="S601" s="730"/>
      <c r="T601" s="723"/>
      <c r="U601" s="724"/>
      <c r="V601" s="725"/>
      <c r="W601" s="725"/>
      <c r="X601" s="723"/>
      <c r="Y601" s="723"/>
      <c r="Z601" s="723"/>
      <c r="AA601" s="726"/>
      <c r="AB601" s="726"/>
      <c r="AC601" s="170"/>
      <c r="AD601" s="586"/>
      <c r="AE601" s="586"/>
      <c r="AF601" s="170"/>
      <c r="AG601" s="170"/>
      <c r="AH601" s="170"/>
      <c r="AI601" s="170"/>
      <c r="AJ601" s="170"/>
      <c r="AK601" s="170"/>
      <c r="AL601" s="170"/>
      <c r="AM601" s="170"/>
      <c r="AN601" s="170"/>
      <c r="AO601" s="170"/>
      <c r="AP601" s="170"/>
      <c r="AQ601" s="170"/>
      <c r="AR601" s="170"/>
      <c r="AS601" s="170"/>
    </row>
    <row r="602" spans="1:45" ht="15" x14ac:dyDescent="0.25">
      <c r="A602" s="170"/>
      <c r="B602" s="719"/>
      <c r="C602" s="170"/>
      <c r="D602" s="170"/>
      <c r="E602" s="170"/>
      <c r="F602" s="170"/>
      <c r="G602" s="721"/>
      <c r="H602" s="170"/>
      <c r="I602" s="170"/>
      <c r="J602" s="170"/>
      <c r="K602" s="170"/>
      <c r="L602" s="170"/>
      <c r="M602" s="730"/>
      <c r="N602" s="730"/>
      <c r="O602" s="730"/>
      <c r="P602" s="731"/>
      <c r="Q602" s="731"/>
      <c r="R602" s="730"/>
      <c r="S602" s="730"/>
      <c r="T602" s="723"/>
      <c r="U602" s="724"/>
      <c r="V602" s="725"/>
      <c r="W602" s="725"/>
      <c r="X602" s="723"/>
      <c r="Y602" s="723"/>
      <c r="Z602" s="723"/>
      <c r="AA602" s="726"/>
      <c r="AB602" s="726"/>
      <c r="AC602" s="170"/>
      <c r="AD602" s="586"/>
      <c r="AE602" s="586"/>
      <c r="AF602" s="170"/>
      <c r="AG602" s="170"/>
      <c r="AH602" s="170"/>
      <c r="AI602" s="170"/>
      <c r="AJ602" s="170"/>
      <c r="AK602" s="170"/>
      <c r="AL602" s="170"/>
      <c r="AM602" s="170"/>
      <c r="AN602" s="170"/>
      <c r="AO602" s="170"/>
      <c r="AP602" s="170"/>
      <c r="AQ602" s="170"/>
      <c r="AR602" s="170"/>
      <c r="AS602" s="170"/>
    </row>
    <row r="603" spans="1:45" ht="15" x14ac:dyDescent="0.25">
      <c r="A603" s="170"/>
      <c r="B603" s="719"/>
      <c r="C603" s="170"/>
      <c r="D603" s="170"/>
      <c r="E603" s="170"/>
      <c r="F603" s="170"/>
      <c r="G603" s="721"/>
      <c r="H603" s="170"/>
      <c r="I603" s="170"/>
      <c r="J603" s="170"/>
      <c r="K603" s="170"/>
      <c r="L603" s="170"/>
      <c r="M603" s="730"/>
      <c r="N603" s="730"/>
      <c r="O603" s="730"/>
      <c r="P603" s="731"/>
      <c r="Q603" s="731"/>
      <c r="R603" s="730"/>
      <c r="S603" s="730"/>
      <c r="T603" s="723"/>
      <c r="U603" s="724"/>
      <c r="V603" s="725"/>
      <c r="W603" s="725"/>
      <c r="X603" s="723"/>
      <c r="Y603" s="723"/>
      <c r="Z603" s="723"/>
      <c r="AA603" s="726"/>
      <c r="AB603" s="726"/>
      <c r="AC603" s="170"/>
      <c r="AD603" s="586"/>
      <c r="AE603" s="586"/>
      <c r="AF603" s="170"/>
      <c r="AG603" s="170"/>
      <c r="AH603" s="170"/>
      <c r="AI603" s="170"/>
      <c r="AJ603" s="170"/>
      <c r="AK603" s="170"/>
      <c r="AL603" s="170"/>
      <c r="AM603" s="170"/>
      <c r="AN603" s="170"/>
      <c r="AO603" s="170"/>
      <c r="AP603" s="170"/>
      <c r="AQ603" s="170"/>
      <c r="AR603" s="170"/>
      <c r="AS603" s="170"/>
    </row>
    <row r="604" spans="1:45" ht="15" x14ac:dyDescent="0.25">
      <c r="A604" s="170"/>
      <c r="B604" s="719"/>
      <c r="C604" s="170"/>
      <c r="D604" s="170"/>
      <c r="E604" s="170"/>
      <c r="F604" s="170"/>
      <c r="G604" s="721"/>
      <c r="H604" s="170"/>
      <c r="I604" s="170"/>
      <c r="J604" s="170"/>
      <c r="K604" s="170"/>
      <c r="L604" s="170"/>
      <c r="M604" s="730"/>
      <c r="N604" s="730"/>
      <c r="O604" s="730"/>
      <c r="P604" s="731"/>
      <c r="Q604" s="731"/>
      <c r="R604" s="730"/>
      <c r="S604" s="730"/>
      <c r="T604" s="723"/>
      <c r="U604" s="724"/>
      <c r="V604" s="725"/>
      <c r="W604" s="725"/>
      <c r="X604" s="723"/>
      <c r="Y604" s="723"/>
      <c r="Z604" s="723"/>
      <c r="AA604" s="726"/>
      <c r="AB604" s="726"/>
      <c r="AC604" s="170"/>
      <c r="AD604" s="586"/>
      <c r="AE604" s="586"/>
      <c r="AF604" s="170"/>
      <c r="AG604" s="170"/>
      <c r="AH604" s="170"/>
      <c r="AI604" s="170"/>
      <c r="AJ604" s="170"/>
      <c r="AK604" s="170"/>
      <c r="AL604" s="170"/>
      <c r="AM604" s="170"/>
      <c r="AN604" s="170"/>
      <c r="AO604" s="170"/>
      <c r="AP604" s="170"/>
      <c r="AQ604" s="170"/>
      <c r="AR604" s="170"/>
      <c r="AS604" s="170"/>
    </row>
    <row r="605" spans="1:45" ht="15" x14ac:dyDescent="0.25">
      <c r="A605" s="170"/>
      <c r="B605" s="719"/>
      <c r="C605" s="170"/>
      <c r="D605" s="170"/>
      <c r="E605" s="170"/>
      <c r="F605" s="170"/>
      <c r="G605" s="721"/>
      <c r="H605" s="170"/>
      <c r="I605" s="170"/>
      <c r="J605" s="170"/>
      <c r="K605" s="170"/>
      <c r="L605" s="170"/>
      <c r="M605" s="730"/>
      <c r="N605" s="730"/>
      <c r="O605" s="730"/>
      <c r="P605" s="731"/>
      <c r="Q605" s="731"/>
      <c r="R605" s="730"/>
      <c r="S605" s="730"/>
      <c r="T605" s="723"/>
      <c r="U605" s="724"/>
      <c r="V605" s="725"/>
      <c r="W605" s="725"/>
      <c r="X605" s="723"/>
      <c r="Y605" s="723"/>
      <c r="Z605" s="723"/>
      <c r="AA605" s="726"/>
      <c r="AB605" s="726"/>
      <c r="AC605" s="170"/>
      <c r="AD605" s="586"/>
      <c r="AE605" s="586"/>
      <c r="AF605" s="170"/>
      <c r="AG605" s="170"/>
      <c r="AH605" s="170"/>
      <c r="AI605" s="170"/>
      <c r="AJ605" s="170"/>
      <c r="AK605" s="170"/>
      <c r="AL605" s="170"/>
      <c r="AM605" s="170"/>
      <c r="AN605" s="170"/>
      <c r="AO605" s="170"/>
      <c r="AP605" s="170"/>
      <c r="AQ605" s="170"/>
      <c r="AR605" s="170"/>
      <c r="AS605" s="170"/>
    </row>
    <row r="606" spans="1:45" ht="15" x14ac:dyDescent="0.25">
      <c r="A606" s="170"/>
      <c r="B606" s="719"/>
      <c r="C606" s="170"/>
      <c r="D606" s="170"/>
      <c r="E606" s="170"/>
      <c r="F606" s="170"/>
      <c r="G606" s="721"/>
      <c r="H606" s="170"/>
      <c r="I606" s="170"/>
      <c r="J606" s="170"/>
      <c r="K606" s="170"/>
      <c r="L606" s="170"/>
      <c r="M606" s="730"/>
      <c r="N606" s="730"/>
      <c r="O606" s="730"/>
      <c r="P606" s="731"/>
      <c r="Q606" s="731"/>
      <c r="R606" s="730"/>
      <c r="S606" s="730"/>
      <c r="T606" s="723"/>
      <c r="U606" s="724"/>
      <c r="V606" s="725"/>
      <c r="W606" s="725"/>
      <c r="X606" s="723"/>
      <c r="Y606" s="723"/>
      <c r="Z606" s="723"/>
      <c r="AA606" s="726"/>
      <c r="AB606" s="726"/>
      <c r="AC606" s="170"/>
      <c r="AD606" s="586"/>
      <c r="AE606" s="586"/>
      <c r="AF606" s="170"/>
      <c r="AG606" s="170"/>
      <c r="AH606" s="170"/>
      <c r="AI606" s="170"/>
      <c r="AJ606" s="170"/>
      <c r="AK606" s="170"/>
      <c r="AL606" s="170"/>
      <c r="AM606" s="170"/>
      <c r="AN606" s="170"/>
      <c r="AO606" s="170"/>
      <c r="AP606" s="170"/>
      <c r="AQ606" s="170"/>
      <c r="AR606" s="170"/>
      <c r="AS606" s="170"/>
    </row>
    <row r="607" spans="1:45" ht="15" x14ac:dyDescent="0.25">
      <c r="A607" s="170"/>
      <c r="B607" s="719"/>
      <c r="C607" s="170"/>
      <c r="D607" s="170"/>
      <c r="E607" s="170"/>
      <c r="F607" s="170"/>
      <c r="G607" s="721"/>
      <c r="H607" s="170"/>
      <c r="I607" s="170"/>
      <c r="J607" s="170"/>
      <c r="K607" s="170"/>
      <c r="L607" s="170"/>
      <c r="M607" s="730"/>
      <c r="N607" s="730"/>
      <c r="O607" s="730"/>
      <c r="P607" s="731"/>
      <c r="Q607" s="731"/>
      <c r="R607" s="730"/>
      <c r="S607" s="730"/>
      <c r="T607" s="723"/>
      <c r="U607" s="724"/>
      <c r="V607" s="725"/>
      <c r="W607" s="725"/>
      <c r="X607" s="723"/>
      <c r="Y607" s="723"/>
      <c r="Z607" s="723"/>
      <c r="AA607" s="726"/>
      <c r="AB607" s="726"/>
      <c r="AC607" s="170"/>
      <c r="AD607" s="586"/>
      <c r="AE607" s="586"/>
      <c r="AF607" s="170"/>
      <c r="AG607" s="170"/>
      <c r="AH607" s="170"/>
      <c r="AI607" s="170"/>
      <c r="AJ607" s="170"/>
      <c r="AK607" s="170"/>
      <c r="AL607" s="170"/>
      <c r="AM607" s="170"/>
      <c r="AN607" s="170"/>
      <c r="AO607" s="170"/>
      <c r="AP607" s="170"/>
      <c r="AQ607" s="170"/>
      <c r="AR607" s="170"/>
      <c r="AS607" s="170"/>
    </row>
    <row r="608" spans="1:45" ht="15" x14ac:dyDescent="0.25">
      <c r="A608" s="170"/>
      <c r="B608" s="719">
        <v>692</v>
      </c>
      <c r="C608" s="170"/>
      <c r="D608" s="170"/>
      <c r="E608" s="170"/>
      <c r="F608" s="170"/>
      <c r="G608" s="721"/>
      <c r="H608" s="170"/>
      <c r="I608" s="170"/>
      <c r="J608" s="170"/>
      <c r="K608" s="170"/>
      <c r="L608" s="170"/>
      <c r="M608" s="730"/>
      <c r="N608" s="730"/>
      <c r="O608" s="730"/>
      <c r="P608" s="731"/>
      <c r="Q608" s="731"/>
      <c r="R608" s="730"/>
      <c r="S608" s="730"/>
      <c r="T608" s="723"/>
      <c r="U608" s="724"/>
      <c r="V608" s="725"/>
      <c r="W608" s="725"/>
      <c r="X608" s="723"/>
      <c r="Y608" s="723"/>
      <c r="Z608" s="723"/>
      <c r="AA608" s="726"/>
      <c r="AB608" s="726"/>
      <c r="AC608" s="170"/>
      <c r="AD608" s="586"/>
      <c r="AE608" s="586"/>
      <c r="AF608" s="170"/>
      <c r="AG608" s="170"/>
      <c r="AH608" s="170"/>
      <c r="AI608" s="170"/>
      <c r="AJ608" s="170"/>
      <c r="AK608" s="170"/>
      <c r="AL608" s="170"/>
      <c r="AM608" s="170"/>
      <c r="AN608" s="170"/>
      <c r="AO608" s="170"/>
      <c r="AP608" s="170"/>
      <c r="AQ608" s="170"/>
      <c r="AR608" s="170"/>
      <c r="AS608" s="170"/>
    </row>
    <row r="609" spans="1:45" ht="15" x14ac:dyDescent="0.25">
      <c r="A609" s="170"/>
      <c r="B609" s="719">
        <v>693</v>
      </c>
      <c r="C609" s="170"/>
      <c r="D609" s="170"/>
      <c r="E609" s="170"/>
      <c r="F609" s="170"/>
      <c r="G609" s="721"/>
      <c r="H609" s="170"/>
      <c r="I609" s="170"/>
      <c r="J609" s="170"/>
      <c r="K609" s="170"/>
      <c r="L609" s="170"/>
      <c r="M609" s="730"/>
      <c r="N609" s="730"/>
      <c r="O609" s="730"/>
      <c r="P609" s="731"/>
      <c r="Q609" s="731"/>
      <c r="R609" s="730"/>
      <c r="S609" s="730"/>
      <c r="T609" s="723"/>
      <c r="U609" s="724"/>
      <c r="V609" s="725"/>
      <c r="W609" s="725"/>
      <c r="X609" s="723"/>
      <c r="Y609" s="723"/>
      <c r="Z609" s="723"/>
      <c r="AA609" s="726"/>
      <c r="AB609" s="726"/>
      <c r="AC609" s="170"/>
      <c r="AD609" s="586"/>
      <c r="AE609" s="586"/>
      <c r="AF609" s="170"/>
      <c r="AG609" s="170"/>
      <c r="AH609" s="170"/>
      <c r="AI609" s="170"/>
      <c r="AJ609" s="170"/>
      <c r="AK609" s="170"/>
      <c r="AL609" s="170"/>
      <c r="AM609" s="170"/>
      <c r="AN609" s="170"/>
      <c r="AO609" s="170"/>
      <c r="AP609" s="170"/>
      <c r="AQ609" s="170"/>
      <c r="AR609" s="170"/>
      <c r="AS609" s="170"/>
    </row>
    <row r="610" spans="1:45" ht="15" x14ac:dyDescent="0.25">
      <c r="A610" s="170"/>
      <c r="B610" s="719">
        <v>694</v>
      </c>
      <c r="C610" s="170"/>
      <c r="D610" s="170"/>
      <c r="E610" s="170"/>
      <c r="F610" s="170"/>
      <c r="G610" s="721"/>
      <c r="H610" s="170"/>
      <c r="I610" s="170"/>
      <c r="J610" s="170"/>
      <c r="K610" s="170"/>
      <c r="L610" s="170"/>
      <c r="M610" s="730"/>
      <c r="N610" s="730"/>
      <c r="O610" s="730"/>
      <c r="P610" s="731"/>
      <c r="Q610" s="731"/>
      <c r="R610" s="730"/>
      <c r="S610" s="730"/>
      <c r="T610" s="723"/>
      <c r="U610" s="724"/>
      <c r="V610" s="725"/>
      <c r="W610" s="725"/>
      <c r="X610" s="723"/>
      <c r="Y610" s="723"/>
      <c r="Z610" s="723"/>
      <c r="AA610" s="726"/>
      <c r="AB610" s="726"/>
      <c r="AC610" s="170"/>
      <c r="AD610" s="586"/>
      <c r="AE610" s="586"/>
      <c r="AF610" s="170"/>
      <c r="AG610" s="170"/>
      <c r="AH610" s="170"/>
      <c r="AI610" s="170"/>
      <c r="AJ610" s="170"/>
      <c r="AK610" s="170"/>
      <c r="AL610" s="170"/>
      <c r="AM610" s="170"/>
      <c r="AN610" s="170"/>
      <c r="AO610" s="170"/>
      <c r="AP610" s="170"/>
      <c r="AQ610" s="170"/>
      <c r="AR610" s="170"/>
      <c r="AS610" s="170"/>
    </row>
    <row r="611" spans="1:45" ht="15" x14ac:dyDescent="0.25">
      <c r="A611" s="170"/>
      <c r="B611" s="719">
        <v>695</v>
      </c>
      <c r="C611" s="170"/>
      <c r="D611" s="170"/>
      <c r="E611" s="170"/>
      <c r="F611" s="170"/>
      <c r="G611" s="721"/>
      <c r="H611" s="170"/>
      <c r="I611" s="170"/>
      <c r="J611" s="170"/>
      <c r="K611" s="170"/>
      <c r="L611" s="170"/>
      <c r="M611" s="730"/>
      <c r="N611" s="730"/>
      <c r="O611" s="730"/>
      <c r="P611" s="731"/>
      <c r="Q611" s="731"/>
      <c r="R611" s="730"/>
      <c r="S611" s="730"/>
      <c r="T611" s="723"/>
      <c r="U611" s="724"/>
      <c r="V611" s="725"/>
      <c r="W611" s="725"/>
      <c r="X611" s="723"/>
      <c r="Y611" s="723"/>
      <c r="Z611" s="723"/>
      <c r="AA611" s="726"/>
      <c r="AB611" s="726"/>
      <c r="AC611" s="170"/>
      <c r="AD611" s="586"/>
      <c r="AE611" s="586"/>
      <c r="AF611" s="170"/>
      <c r="AG611" s="170"/>
      <c r="AH611" s="170"/>
      <c r="AI611" s="170"/>
      <c r="AJ611" s="170"/>
      <c r="AK611" s="170"/>
      <c r="AL611" s="170"/>
      <c r="AM611" s="170"/>
      <c r="AN611" s="170"/>
      <c r="AO611" s="170"/>
      <c r="AP611" s="170"/>
      <c r="AQ611" s="170"/>
      <c r="AR611" s="170"/>
      <c r="AS611" s="170"/>
    </row>
    <row r="612" spans="1:45" ht="15" x14ac:dyDescent="0.25">
      <c r="A612" s="170"/>
      <c r="B612" s="719">
        <v>696</v>
      </c>
      <c r="C612" s="170"/>
      <c r="D612" s="170"/>
      <c r="E612" s="170"/>
      <c r="F612" s="170"/>
      <c r="G612" s="721"/>
      <c r="H612" s="170"/>
      <c r="I612" s="170"/>
      <c r="J612" s="170"/>
      <c r="K612" s="170"/>
      <c r="L612" s="170"/>
      <c r="M612" s="730"/>
      <c r="N612" s="730"/>
      <c r="O612" s="730"/>
      <c r="P612" s="731"/>
      <c r="Q612" s="731"/>
      <c r="R612" s="730"/>
      <c r="S612" s="730"/>
      <c r="T612" s="723"/>
      <c r="U612" s="724"/>
      <c r="V612" s="725"/>
      <c r="W612" s="725"/>
      <c r="X612" s="723"/>
      <c r="Y612" s="723"/>
      <c r="Z612" s="723"/>
      <c r="AA612" s="726"/>
      <c r="AB612" s="726"/>
      <c r="AC612" s="170"/>
      <c r="AD612" s="586"/>
      <c r="AE612" s="586"/>
      <c r="AF612" s="170"/>
      <c r="AG612" s="170"/>
      <c r="AH612" s="170"/>
      <c r="AI612" s="170"/>
      <c r="AJ612" s="170"/>
      <c r="AK612" s="170"/>
      <c r="AL612" s="170"/>
      <c r="AM612" s="170"/>
      <c r="AN612" s="170"/>
      <c r="AO612" s="170"/>
      <c r="AP612" s="170"/>
      <c r="AQ612" s="170"/>
      <c r="AR612" s="170"/>
      <c r="AS612" s="170"/>
    </row>
    <row r="613" spans="1:45" ht="15" x14ac:dyDescent="0.25">
      <c r="A613" s="170"/>
      <c r="B613" s="719">
        <v>697</v>
      </c>
      <c r="C613" s="170"/>
      <c r="D613" s="170"/>
      <c r="E613" s="170"/>
      <c r="F613" s="170"/>
      <c r="G613" s="721"/>
      <c r="H613" s="170"/>
      <c r="I613" s="170"/>
      <c r="J613" s="170"/>
      <c r="K613" s="170"/>
      <c r="L613" s="170"/>
      <c r="M613" s="730"/>
      <c r="N613" s="730"/>
      <c r="O613" s="730"/>
      <c r="P613" s="731"/>
      <c r="Q613" s="731"/>
      <c r="R613" s="730"/>
      <c r="S613" s="730"/>
      <c r="T613" s="723"/>
      <c r="U613" s="724"/>
      <c r="V613" s="725"/>
      <c r="W613" s="725"/>
      <c r="X613" s="723"/>
      <c r="Y613" s="723"/>
      <c r="Z613" s="723"/>
      <c r="AA613" s="726"/>
      <c r="AB613" s="726"/>
      <c r="AC613" s="170"/>
      <c r="AD613" s="586"/>
      <c r="AE613" s="586"/>
      <c r="AF613" s="170"/>
      <c r="AG613" s="170"/>
      <c r="AH613" s="170"/>
      <c r="AI613" s="170"/>
      <c r="AJ613" s="170"/>
      <c r="AK613" s="170"/>
      <c r="AL613" s="170"/>
      <c r="AM613" s="170"/>
      <c r="AN613" s="170"/>
      <c r="AO613" s="170"/>
      <c r="AP613" s="170"/>
      <c r="AQ613" s="170"/>
      <c r="AR613" s="170"/>
      <c r="AS613" s="170"/>
    </row>
    <row r="614" spans="1:45" ht="15" x14ac:dyDescent="0.25">
      <c r="A614" s="170"/>
      <c r="B614" s="719">
        <v>698</v>
      </c>
      <c r="C614" s="170"/>
      <c r="D614" s="170"/>
      <c r="E614" s="170"/>
      <c r="F614" s="170"/>
      <c r="G614" s="721"/>
      <c r="H614" s="170"/>
      <c r="I614" s="170"/>
      <c r="J614" s="170"/>
      <c r="K614" s="170"/>
      <c r="L614" s="170"/>
      <c r="M614" s="730"/>
      <c r="N614" s="730"/>
      <c r="O614" s="730"/>
      <c r="P614" s="731"/>
      <c r="Q614" s="731"/>
      <c r="R614" s="730"/>
      <c r="S614" s="730"/>
      <c r="T614" s="723"/>
      <c r="U614" s="724"/>
      <c r="V614" s="725"/>
      <c r="W614" s="725"/>
      <c r="X614" s="723"/>
      <c r="Y614" s="723"/>
      <c r="Z614" s="723"/>
      <c r="AA614" s="726"/>
      <c r="AB614" s="726"/>
      <c r="AC614" s="170"/>
      <c r="AD614" s="586"/>
      <c r="AE614" s="586"/>
      <c r="AF614" s="170"/>
      <c r="AG614" s="170"/>
      <c r="AH614" s="170"/>
      <c r="AI614" s="170"/>
      <c r="AJ614" s="170"/>
      <c r="AK614" s="170"/>
      <c r="AL614" s="170"/>
      <c r="AM614" s="170"/>
      <c r="AN614" s="170"/>
      <c r="AO614" s="170"/>
      <c r="AP614" s="170"/>
      <c r="AQ614" s="170"/>
      <c r="AR614" s="170"/>
      <c r="AS614" s="170"/>
    </row>
    <row r="615" spans="1:45" ht="15" x14ac:dyDescent="0.25">
      <c r="A615" s="170"/>
      <c r="B615" s="719">
        <v>699</v>
      </c>
      <c r="C615" s="170"/>
      <c r="D615" s="170"/>
      <c r="E615" s="170"/>
      <c r="F615" s="170"/>
      <c r="G615" s="721"/>
      <c r="H615" s="170"/>
      <c r="I615" s="170"/>
      <c r="J615" s="170"/>
      <c r="K615" s="170"/>
      <c r="L615" s="170"/>
      <c r="M615" s="730"/>
      <c r="N615" s="730"/>
      <c r="O615" s="730"/>
      <c r="P615" s="731"/>
      <c r="Q615" s="731"/>
      <c r="R615" s="730"/>
      <c r="S615" s="730"/>
      <c r="T615" s="723"/>
      <c r="U615" s="724"/>
      <c r="V615" s="725"/>
      <c r="W615" s="725"/>
      <c r="X615" s="723"/>
      <c r="Y615" s="723"/>
      <c r="Z615" s="723"/>
      <c r="AA615" s="726"/>
      <c r="AB615" s="726"/>
      <c r="AC615" s="170"/>
      <c r="AD615" s="586"/>
      <c r="AE615" s="586"/>
      <c r="AF615" s="170"/>
      <c r="AG615" s="170"/>
      <c r="AH615" s="170"/>
      <c r="AI615" s="170"/>
      <c r="AJ615" s="170"/>
      <c r="AK615" s="170"/>
      <c r="AL615" s="170"/>
      <c r="AM615" s="170"/>
      <c r="AN615" s="170"/>
      <c r="AO615" s="170"/>
      <c r="AP615" s="170"/>
      <c r="AQ615" s="170"/>
      <c r="AR615" s="170"/>
      <c r="AS615" s="170"/>
    </row>
    <row r="616" spans="1:45" ht="15" x14ac:dyDescent="0.25">
      <c r="A616" s="170"/>
      <c r="B616" s="719">
        <v>700</v>
      </c>
      <c r="C616" s="170"/>
      <c r="D616" s="170"/>
      <c r="E616" s="170"/>
      <c r="F616" s="170"/>
      <c r="G616" s="721"/>
      <c r="H616" s="170"/>
      <c r="I616" s="170"/>
      <c r="J616" s="170"/>
      <c r="K616" s="170"/>
      <c r="L616" s="170"/>
      <c r="M616" s="730"/>
      <c r="N616" s="730"/>
      <c r="O616" s="730"/>
      <c r="P616" s="731"/>
      <c r="Q616" s="731"/>
      <c r="R616" s="730"/>
      <c r="S616" s="730"/>
      <c r="T616" s="723"/>
      <c r="U616" s="724"/>
      <c r="V616" s="725"/>
      <c r="W616" s="725"/>
      <c r="X616" s="723"/>
      <c r="Y616" s="723"/>
      <c r="Z616" s="723"/>
      <c r="AA616" s="726"/>
      <c r="AB616" s="726"/>
      <c r="AC616" s="170"/>
      <c r="AD616" s="586"/>
      <c r="AE616" s="586"/>
      <c r="AF616" s="170"/>
      <c r="AG616" s="170"/>
      <c r="AH616" s="170"/>
      <c r="AI616" s="170"/>
      <c r="AJ616" s="170"/>
      <c r="AK616" s="170"/>
      <c r="AL616" s="170"/>
      <c r="AM616" s="170"/>
      <c r="AN616" s="170"/>
      <c r="AO616" s="170"/>
      <c r="AP616" s="170"/>
      <c r="AQ616" s="170"/>
      <c r="AR616" s="170"/>
      <c r="AS616" s="170"/>
    </row>
    <row r="617" spans="1:45" ht="15" x14ac:dyDescent="0.25">
      <c r="A617" s="170"/>
      <c r="B617" s="719">
        <v>701</v>
      </c>
      <c r="C617" s="170"/>
      <c r="D617" s="170"/>
      <c r="E617" s="170"/>
      <c r="F617" s="170"/>
      <c r="G617" s="721"/>
      <c r="H617" s="170"/>
      <c r="I617" s="170"/>
      <c r="J617" s="170"/>
      <c r="K617" s="170"/>
      <c r="L617" s="170"/>
      <c r="M617" s="730"/>
      <c r="N617" s="730"/>
      <c r="O617" s="730"/>
      <c r="P617" s="731"/>
      <c r="Q617" s="731"/>
      <c r="R617" s="730"/>
      <c r="S617" s="730"/>
      <c r="T617" s="723"/>
      <c r="U617" s="724"/>
      <c r="V617" s="725"/>
      <c r="W617" s="725"/>
      <c r="X617" s="723"/>
      <c r="Y617" s="723"/>
      <c r="Z617" s="723"/>
      <c r="AA617" s="726"/>
      <c r="AB617" s="726"/>
      <c r="AC617" s="170"/>
      <c r="AD617" s="586"/>
      <c r="AE617" s="586"/>
      <c r="AF617" s="170"/>
      <c r="AG617" s="170"/>
      <c r="AH617" s="170"/>
      <c r="AI617" s="170"/>
      <c r="AJ617" s="170"/>
      <c r="AK617" s="170"/>
      <c r="AL617" s="170"/>
      <c r="AM617" s="170"/>
      <c r="AN617" s="170"/>
      <c r="AO617" s="170"/>
      <c r="AP617" s="170"/>
      <c r="AQ617" s="170"/>
      <c r="AR617" s="170"/>
      <c r="AS617" s="170"/>
    </row>
    <row r="618" spans="1:45" ht="15" x14ac:dyDescent="0.25">
      <c r="A618" s="170"/>
      <c r="B618" s="719">
        <v>702</v>
      </c>
      <c r="C618" s="170"/>
      <c r="D618" s="170"/>
      <c r="E618" s="170"/>
      <c r="F618" s="170"/>
      <c r="G618" s="721"/>
      <c r="H618" s="170"/>
      <c r="I618" s="170"/>
      <c r="J618" s="170"/>
      <c r="K618" s="170"/>
      <c r="L618" s="170"/>
      <c r="M618" s="730"/>
      <c r="N618" s="730"/>
      <c r="O618" s="730"/>
      <c r="P618" s="731"/>
      <c r="Q618" s="731"/>
      <c r="R618" s="730"/>
      <c r="S618" s="730"/>
      <c r="T618" s="723"/>
      <c r="U618" s="724"/>
      <c r="V618" s="725"/>
      <c r="W618" s="725"/>
      <c r="X618" s="723"/>
      <c r="Y618" s="723"/>
      <c r="Z618" s="723"/>
      <c r="AA618" s="726"/>
      <c r="AB618" s="726"/>
      <c r="AC618" s="170"/>
      <c r="AD618" s="586"/>
      <c r="AE618" s="586"/>
      <c r="AF618" s="170"/>
      <c r="AG618" s="170"/>
      <c r="AH618" s="170"/>
      <c r="AI618" s="170"/>
      <c r="AJ618" s="170"/>
      <c r="AK618" s="170"/>
      <c r="AL618" s="170"/>
      <c r="AM618" s="170"/>
      <c r="AN618" s="170"/>
      <c r="AO618" s="170"/>
      <c r="AP618" s="170"/>
      <c r="AQ618" s="170"/>
      <c r="AR618" s="170"/>
      <c r="AS618" s="170"/>
    </row>
    <row r="619" spans="1:45" ht="15" x14ac:dyDescent="0.25">
      <c r="A619" s="170"/>
      <c r="B619" s="719">
        <v>703</v>
      </c>
      <c r="C619" s="170"/>
      <c r="D619" s="170"/>
      <c r="E619" s="170"/>
      <c r="F619" s="170"/>
      <c r="G619" s="721"/>
      <c r="H619" s="170"/>
      <c r="I619" s="170"/>
      <c r="J619" s="170"/>
      <c r="K619" s="170"/>
      <c r="L619" s="170"/>
      <c r="M619" s="730"/>
      <c r="N619" s="730"/>
      <c r="O619" s="730"/>
      <c r="P619" s="731"/>
      <c r="Q619" s="731"/>
      <c r="R619" s="730"/>
      <c r="S619" s="730"/>
      <c r="T619" s="723"/>
      <c r="U619" s="724"/>
      <c r="V619" s="725"/>
      <c r="W619" s="725"/>
      <c r="X619" s="723"/>
      <c r="Y619" s="723"/>
      <c r="Z619" s="723"/>
      <c r="AA619" s="726"/>
      <c r="AB619" s="726"/>
      <c r="AC619" s="170"/>
      <c r="AD619" s="586"/>
      <c r="AE619" s="586"/>
      <c r="AF619" s="170"/>
      <c r="AG619" s="170"/>
      <c r="AH619" s="170"/>
      <c r="AI619" s="170"/>
      <c r="AJ619" s="170"/>
      <c r="AK619" s="170"/>
      <c r="AL619" s="170"/>
      <c r="AM619" s="170"/>
      <c r="AN619" s="170"/>
      <c r="AO619" s="170"/>
      <c r="AP619" s="170"/>
      <c r="AQ619" s="170"/>
      <c r="AR619" s="170"/>
      <c r="AS619" s="170"/>
    </row>
    <row r="620" spans="1:45" ht="15" x14ac:dyDescent="0.25">
      <c r="A620" s="170"/>
      <c r="B620" s="719">
        <v>704</v>
      </c>
      <c r="C620" s="170"/>
      <c r="D620" s="170"/>
      <c r="E620" s="170"/>
      <c r="F620" s="170"/>
      <c r="G620" s="721"/>
      <c r="H620" s="170"/>
      <c r="I620" s="170"/>
      <c r="J620" s="170"/>
      <c r="K620" s="170"/>
      <c r="L620" s="170"/>
      <c r="M620" s="730"/>
      <c r="N620" s="730"/>
      <c r="O620" s="730"/>
      <c r="P620" s="731"/>
      <c r="Q620" s="731"/>
      <c r="R620" s="730"/>
      <c r="S620" s="730"/>
      <c r="T620" s="723"/>
      <c r="U620" s="724"/>
      <c r="V620" s="725"/>
      <c r="W620" s="725"/>
      <c r="X620" s="723"/>
      <c r="Y620" s="723"/>
      <c r="Z620" s="723"/>
      <c r="AA620" s="726"/>
      <c r="AB620" s="726"/>
      <c r="AC620" s="170"/>
      <c r="AD620" s="586"/>
      <c r="AE620" s="586"/>
      <c r="AF620" s="170"/>
      <c r="AG620" s="170"/>
      <c r="AH620" s="170"/>
      <c r="AI620" s="170"/>
      <c r="AJ620" s="170"/>
      <c r="AK620" s="170"/>
      <c r="AL620" s="170"/>
      <c r="AM620" s="170"/>
      <c r="AN620" s="170"/>
      <c r="AO620" s="170"/>
      <c r="AP620" s="170"/>
      <c r="AQ620" s="170"/>
      <c r="AR620" s="170"/>
      <c r="AS620" s="170"/>
    </row>
    <row r="621" spans="1:45" ht="15" x14ac:dyDescent="0.25">
      <c r="A621" s="170"/>
      <c r="B621" s="719">
        <v>705</v>
      </c>
      <c r="C621" s="170"/>
      <c r="D621" s="170"/>
      <c r="E621" s="170"/>
      <c r="F621" s="170"/>
      <c r="G621" s="721"/>
      <c r="H621" s="170"/>
      <c r="I621" s="170"/>
      <c r="J621" s="170"/>
      <c r="K621" s="170"/>
      <c r="L621" s="170"/>
      <c r="M621" s="730"/>
      <c r="N621" s="730"/>
      <c r="O621" s="730"/>
      <c r="P621" s="731"/>
      <c r="Q621" s="731"/>
      <c r="R621" s="730"/>
      <c r="S621" s="730"/>
      <c r="T621" s="723"/>
      <c r="U621" s="724"/>
      <c r="V621" s="725"/>
      <c r="W621" s="725"/>
      <c r="X621" s="723"/>
      <c r="Y621" s="723"/>
      <c r="Z621" s="723"/>
      <c r="AA621" s="726"/>
      <c r="AB621" s="726"/>
      <c r="AC621" s="170"/>
      <c r="AD621" s="586"/>
      <c r="AE621" s="586"/>
      <c r="AF621" s="170"/>
      <c r="AG621" s="170"/>
      <c r="AH621" s="170"/>
      <c r="AI621" s="170"/>
      <c r="AJ621" s="170"/>
      <c r="AK621" s="170"/>
      <c r="AL621" s="170"/>
      <c r="AM621" s="170"/>
      <c r="AN621" s="170"/>
      <c r="AO621" s="170"/>
      <c r="AP621" s="170"/>
      <c r="AQ621" s="170"/>
      <c r="AR621" s="170"/>
      <c r="AS621" s="170"/>
    </row>
    <row r="622" spans="1:45" ht="15" x14ac:dyDescent="0.25">
      <c r="A622" s="170"/>
      <c r="B622" s="719">
        <v>706</v>
      </c>
      <c r="C622" s="170"/>
      <c r="D622" s="170"/>
      <c r="E622" s="170"/>
      <c r="F622" s="170"/>
      <c r="G622" s="721"/>
      <c r="H622" s="170"/>
      <c r="I622" s="170"/>
      <c r="J622" s="170"/>
      <c r="K622" s="170"/>
      <c r="L622" s="170"/>
      <c r="M622" s="730"/>
      <c r="N622" s="730"/>
      <c r="O622" s="730"/>
      <c r="P622" s="731"/>
      <c r="Q622" s="731"/>
      <c r="R622" s="730"/>
      <c r="S622" s="730"/>
      <c r="T622" s="723"/>
      <c r="U622" s="724"/>
      <c r="V622" s="725"/>
      <c r="W622" s="725"/>
      <c r="X622" s="723"/>
      <c r="Y622" s="723"/>
      <c r="Z622" s="723"/>
      <c r="AA622" s="726"/>
      <c r="AB622" s="726"/>
      <c r="AC622" s="170"/>
      <c r="AD622" s="586"/>
      <c r="AE622" s="586"/>
      <c r="AF622" s="170"/>
      <c r="AG622" s="170"/>
      <c r="AH622" s="170"/>
      <c r="AI622" s="170"/>
      <c r="AJ622" s="170"/>
      <c r="AK622" s="170"/>
      <c r="AL622" s="170"/>
      <c r="AM622" s="170"/>
      <c r="AN622" s="170"/>
      <c r="AO622" s="170"/>
      <c r="AP622" s="170"/>
      <c r="AQ622" s="170"/>
      <c r="AR622" s="170"/>
      <c r="AS622" s="170"/>
    </row>
    <row r="623" spans="1:45" ht="15" x14ac:dyDescent="0.25">
      <c r="A623" s="170"/>
      <c r="B623" s="719">
        <v>707</v>
      </c>
      <c r="C623" s="170"/>
      <c r="D623" s="170"/>
      <c r="E623" s="170"/>
      <c r="F623" s="170"/>
      <c r="G623" s="721"/>
      <c r="H623" s="170"/>
      <c r="I623" s="170"/>
      <c r="J623" s="170"/>
      <c r="K623" s="170"/>
      <c r="L623" s="170"/>
      <c r="M623" s="730"/>
      <c r="N623" s="730"/>
      <c r="O623" s="730"/>
      <c r="P623" s="731"/>
      <c r="Q623" s="731"/>
      <c r="R623" s="730"/>
      <c r="S623" s="730"/>
      <c r="T623" s="723"/>
      <c r="U623" s="724"/>
      <c r="V623" s="725"/>
      <c r="W623" s="725"/>
      <c r="X623" s="723"/>
      <c r="Y623" s="723"/>
      <c r="Z623" s="723"/>
      <c r="AA623" s="726"/>
      <c r="AB623" s="726"/>
      <c r="AC623" s="170"/>
      <c r="AD623" s="586"/>
      <c r="AE623" s="586"/>
      <c r="AF623" s="170"/>
      <c r="AG623" s="170"/>
      <c r="AH623" s="170"/>
      <c r="AI623" s="170"/>
      <c r="AJ623" s="170"/>
      <c r="AK623" s="170"/>
      <c r="AL623" s="170"/>
      <c r="AM623" s="170"/>
      <c r="AN623" s="170"/>
      <c r="AO623" s="170"/>
      <c r="AP623" s="170"/>
      <c r="AQ623" s="170"/>
      <c r="AR623" s="170"/>
      <c r="AS623" s="170"/>
    </row>
    <row r="624" spans="1:45" ht="15" x14ac:dyDescent="0.25">
      <c r="A624" s="170"/>
      <c r="B624" s="719">
        <v>708</v>
      </c>
      <c r="C624" s="170"/>
      <c r="D624" s="170"/>
      <c r="E624" s="170"/>
      <c r="F624" s="170"/>
      <c r="G624" s="721"/>
      <c r="H624" s="170"/>
      <c r="I624" s="170"/>
      <c r="J624" s="170"/>
      <c r="K624" s="170"/>
      <c r="L624" s="170"/>
      <c r="M624" s="730"/>
      <c r="N624" s="730"/>
      <c r="O624" s="730"/>
      <c r="P624" s="731"/>
      <c r="Q624" s="731"/>
      <c r="R624" s="730"/>
      <c r="S624" s="730"/>
      <c r="T624" s="723"/>
      <c r="U624" s="724"/>
      <c r="V624" s="725"/>
      <c r="W624" s="725"/>
      <c r="X624" s="723"/>
      <c r="Y624" s="723"/>
      <c r="Z624" s="723"/>
      <c r="AA624" s="726"/>
      <c r="AB624" s="726"/>
      <c r="AC624" s="170"/>
      <c r="AD624" s="586"/>
      <c r="AE624" s="586"/>
      <c r="AF624" s="170"/>
      <c r="AG624" s="170"/>
      <c r="AH624" s="170"/>
      <c r="AI624" s="170"/>
      <c r="AJ624" s="170"/>
      <c r="AK624" s="170"/>
      <c r="AL624" s="170"/>
      <c r="AM624" s="170"/>
      <c r="AN624" s="170"/>
      <c r="AO624" s="170"/>
      <c r="AP624" s="170"/>
      <c r="AQ624" s="170"/>
      <c r="AR624" s="170"/>
      <c r="AS624" s="170"/>
    </row>
    <row r="625" spans="1:45" ht="15" x14ac:dyDescent="0.25">
      <c r="A625" s="170"/>
      <c r="B625" s="719">
        <v>709</v>
      </c>
      <c r="C625" s="170"/>
      <c r="D625" s="170"/>
      <c r="E625" s="170"/>
      <c r="F625" s="170"/>
      <c r="G625" s="721"/>
      <c r="H625" s="170"/>
      <c r="I625" s="170"/>
      <c r="J625" s="170"/>
      <c r="K625" s="170"/>
      <c r="L625" s="170"/>
      <c r="M625" s="730"/>
      <c r="N625" s="730"/>
      <c r="O625" s="730"/>
      <c r="P625" s="731"/>
      <c r="Q625" s="731"/>
      <c r="R625" s="730"/>
      <c r="S625" s="730"/>
      <c r="T625" s="723"/>
      <c r="U625" s="724"/>
      <c r="V625" s="725"/>
      <c r="W625" s="725"/>
      <c r="X625" s="723"/>
      <c r="Y625" s="723"/>
      <c r="Z625" s="723"/>
      <c r="AA625" s="726"/>
      <c r="AB625" s="726"/>
      <c r="AC625" s="170"/>
      <c r="AD625" s="586"/>
      <c r="AE625" s="586"/>
      <c r="AF625" s="170"/>
      <c r="AG625" s="170"/>
      <c r="AH625" s="170"/>
      <c r="AI625" s="170"/>
      <c r="AJ625" s="170"/>
      <c r="AK625" s="170"/>
      <c r="AL625" s="170"/>
      <c r="AM625" s="170"/>
      <c r="AN625" s="170"/>
      <c r="AO625" s="170"/>
      <c r="AP625" s="170"/>
      <c r="AQ625" s="170"/>
      <c r="AR625" s="170"/>
      <c r="AS625" s="170"/>
    </row>
    <row r="626" spans="1:45" ht="15" x14ac:dyDescent="0.25">
      <c r="A626" s="170"/>
      <c r="B626" s="719">
        <v>710</v>
      </c>
      <c r="C626" s="170"/>
      <c r="D626" s="170"/>
      <c r="E626" s="170"/>
      <c r="F626" s="170"/>
      <c r="G626" s="721"/>
      <c r="H626" s="170"/>
      <c r="I626" s="170"/>
      <c r="J626" s="170"/>
      <c r="K626" s="170"/>
      <c r="L626" s="170"/>
      <c r="M626" s="730"/>
      <c r="N626" s="730"/>
      <c r="O626" s="730"/>
      <c r="P626" s="731"/>
      <c r="Q626" s="731"/>
      <c r="R626" s="730"/>
      <c r="S626" s="730"/>
      <c r="T626" s="723"/>
      <c r="U626" s="724"/>
      <c r="V626" s="725"/>
      <c r="W626" s="725"/>
      <c r="X626" s="723"/>
      <c r="Y626" s="723"/>
      <c r="Z626" s="723"/>
      <c r="AA626" s="726"/>
      <c r="AB626" s="726"/>
      <c r="AC626" s="170"/>
      <c r="AD626" s="586"/>
      <c r="AE626" s="586"/>
      <c r="AF626" s="170"/>
      <c r="AG626" s="170"/>
      <c r="AH626" s="170"/>
      <c r="AI626" s="170"/>
      <c r="AJ626" s="170"/>
      <c r="AK626" s="170"/>
      <c r="AL626" s="170"/>
      <c r="AM626" s="170"/>
      <c r="AN626" s="170"/>
      <c r="AO626" s="170"/>
      <c r="AP626" s="170"/>
      <c r="AQ626" s="170"/>
      <c r="AR626" s="170"/>
      <c r="AS626" s="170"/>
    </row>
    <row r="627" spans="1:45" ht="15" x14ac:dyDescent="0.25">
      <c r="A627" s="170"/>
      <c r="B627" s="719">
        <v>711</v>
      </c>
      <c r="C627" s="170"/>
      <c r="D627" s="170"/>
      <c r="E627" s="170"/>
      <c r="F627" s="170"/>
      <c r="G627" s="721"/>
      <c r="H627" s="170"/>
      <c r="I627" s="170"/>
      <c r="J627" s="170"/>
      <c r="K627" s="170"/>
      <c r="L627" s="170"/>
      <c r="M627" s="730"/>
      <c r="N627" s="730"/>
      <c r="O627" s="730"/>
      <c r="P627" s="731"/>
      <c r="Q627" s="731"/>
      <c r="R627" s="730"/>
      <c r="S627" s="730"/>
      <c r="T627" s="723"/>
      <c r="U627" s="724"/>
      <c r="V627" s="725"/>
      <c r="W627" s="725"/>
      <c r="X627" s="723"/>
      <c r="Y627" s="723"/>
      <c r="Z627" s="723"/>
      <c r="AA627" s="726"/>
      <c r="AB627" s="726"/>
      <c r="AC627" s="170"/>
      <c r="AD627" s="586"/>
      <c r="AE627" s="586"/>
      <c r="AF627" s="170"/>
      <c r="AG627" s="170"/>
      <c r="AH627" s="170"/>
      <c r="AI627" s="170"/>
      <c r="AJ627" s="170"/>
      <c r="AK627" s="170"/>
      <c r="AL627" s="170"/>
      <c r="AM627" s="170"/>
      <c r="AN627" s="170"/>
      <c r="AO627" s="170"/>
      <c r="AP627" s="170"/>
      <c r="AQ627" s="170"/>
      <c r="AR627" s="170"/>
      <c r="AS627" s="170"/>
    </row>
    <row r="628" spans="1:45" ht="15" x14ac:dyDescent="0.25">
      <c r="A628" s="170"/>
      <c r="B628" s="719">
        <v>712</v>
      </c>
      <c r="C628" s="170"/>
      <c r="D628" s="170"/>
      <c r="E628" s="170"/>
      <c r="F628" s="170"/>
      <c r="G628" s="721"/>
      <c r="H628" s="170"/>
      <c r="I628" s="170"/>
      <c r="J628" s="170"/>
      <c r="K628" s="170"/>
      <c r="L628" s="170"/>
      <c r="M628" s="730"/>
      <c r="N628" s="730"/>
      <c r="O628" s="730"/>
      <c r="P628" s="731"/>
      <c r="Q628" s="731"/>
      <c r="R628" s="730"/>
      <c r="S628" s="730"/>
      <c r="T628" s="723"/>
      <c r="U628" s="724"/>
      <c r="V628" s="725"/>
      <c r="W628" s="725"/>
      <c r="X628" s="723"/>
      <c r="Y628" s="723"/>
      <c r="Z628" s="723"/>
      <c r="AA628" s="726"/>
      <c r="AB628" s="726"/>
      <c r="AC628" s="170"/>
      <c r="AD628" s="586"/>
      <c r="AE628" s="586"/>
      <c r="AF628" s="170"/>
      <c r="AG628" s="170"/>
      <c r="AH628" s="170"/>
      <c r="AI628" s="170"/>
      <c r="AJ628" s="170"/>
      <c r="AK628" s="170"/>
      <c r="AL628" s="170"/>
      <c r="AM628" s="170"/>
      <c r="AN628" s="170"/>
      <c r="AO628" s="170"/>
      <c r="AP628" s="170"/>
      <c r="AQ628" s="170"/>
      <c r="AR628" s="170"/>
      <c r="AS628" s="170"/>
    </row>
    <row r="629" spans="1:45" ht="15" x14ac:dyDescent="0.25">
      <c r="A629" s="170"/>
      <c r="B629" s="719">
        <v>713</v>
      </c>
      <c r="C629" s="170"/>
      <c r="D629" s="170"/>
      <c r="E629" s="170"/>
      <c r="F629" s="170"/>
      <c r="G629" s="721"/>
      <c r="H629" s="170"/>
      <c r="I629" s="170"/>
      <c r="J629" s="170"/>
      <c r="K629" s="170"/>
      <c r="L629" s="170"/>
      <c r="M629" s="730"/>
      <c r="N629" s="730"/>
      <c r="O629" s="730"/>
      <c r="P629" s="731"/>
      <c r="Q629" s="731"/>
      <c r="R629" s="730"/>
      <c r="S629" s="730"/>
      <c r="T629" s="723"/>
      <c r="U629" s="724"/>
      <c r="V629" s="725"/>
      <c r="W629" s="725"/>
      <c r="X629" s="723"/>
      <c r="Y629" s="723"/>
      <c r="Z629" s="723"/>
      <c r="AA629" s="726"/>
      <c r="AB629" s="726"/>
      <c r="AC629" s="170"/>
      <c r="AD629" s="586"/>
      <c r="AE629" s="586"/>
      <c r="AF629" s="170"/>
      <c r="AG629" s="170"/>
      <c r="AH629" s="170"/>
      <c r="AI629" s="170"/>
      <c r="AJ629" s="170"/>
      <c r="AK629" s="170"/>
      <c r="AL629" s="170"/>
      <c r="AM629" s="170"/>
      <c r="AN629" s="170"/>
      <c r="AO629" s="170"/>
      <c r="AP629" s="170"/>
      <c r="AQ629" s="170"/>
      <c r="AR629" s="170"/>
      <c r="AS629" s="170"/>
    </row>
    <row r="630" spans="1:45" ht="15" x14ac:dyDescent="0.25">
      <c r="A630" s="170"/>
      <c r="B630" s="719">
        <v>714</v>
      </c>
      <c r="C630" s="170"/>
      <c r="D630" s="170"/>
      <c r="E630" s="170"/>
      <c r="F630" s="170"/>
      <c r="G630" s="721"/>
      <c r="H630" s="170"/>
      <c r="I630" s="170"/>
      <c r="J630" s="170"/>
      <c r="K630" s="170"/>
      <c r="L630" s="170"/>
      <c r="M630" s="730"/>
      <c r="N630" s="730"/>
      <c r="O630" s="730"/>
      <c r="P630" s="731"/>
      <c r="Q630" s="731"/>
      <c r="R630" s="730"/>
      <c r="S630" s="730"/>
      <c r="T630" s="723"/>
      <c r="U630" s="724"/>
      <c r="V630" s="725"/>
      <c r="W630" s="725"/>
      <c r="X630" s="723"/>
      <c r="Y630" s="723"/>
      <c r="Z630" s="723"/>
      <c r="AA630" s="726"/>
      <c r="AB630" s="726"/>
      <c r="AC630" s="170"/>
      <c r="AD630" s="586"/>
      <c r="AE630" s="586"/>
      <c r="AF630" s="170"/>
      <c r="AG630" s="170"/>
      <c r="AH630" s="170"/>
      <c r="AI630" s="170"/>
      <c r="AJ630" s="170"/>
      <c r="AK630" s="170"/>
      <c r="AL630" s="170"/>
      <c r="AM630" s="170"/>
      <c r="AN630" s="170"/>
      <c r="AO630" s="170"/>
      <c r="AP630" s="170"/>
      <c r="AQ630" s="170"/>
      <c r="AR630" s="170"/>
      <c r="AS630" s="170"/>
    </row>
    <row r="631" spans="1:45" ht="15" x14ac:dyDescent="0.25">
      <c r="A631" s="170"/>
      <c r="B631" s="719">
        <v>715</v>
      </c>
      <c r="C631" s="170"/>
      <c r="D631" s="170"/>
      <c r="E631" s="170"/>
      <c r="F631" s="170"/>
      <c r="G631" s="721"/>
      <c r="H631" s="170"/>
      <c r="I631" s="170"/>
      <c r="J631" s="170"/>
      <c r="K631" s="170"/>
      <c r="L631" s="170"/>
      <c r="M631" s="730"/>
      <c r="N631" s="730"/>
      <c r="O631" s="730"/>
      <c r="P631" s="731"/>
      <c r="Q631" s="731"/>
      <c r="R631" s="730"/>
      <c r="S631" s="730"/>
      <c r="T631" s="723"/>
      <c r="U631" s="724"/>
      <c r="V631" s="725"/>
      <c r="W631" s="725"/>
      <c r="X631" s="723"/>
      <c r="Y631" s="723"/>
      <c r="Z631" s="723"/>
      <c r="AA631" s="726"/>
      <c r="AB631" s="726"/>
      <c r="AC631" s="170"/>
      <c r="AD631" s="586"/>
      <c r="AE631" s="586"/>
      <c r="AF631" s="170"/>
      <c r="AG631" s="170"/>
      <c r="AH631" s="170"/>
      <c r="AI631" s="170"/>
      <c r="AJ631" s="170"/>
      <c r="AK631" s="170"/>
      <c r="AL631" s="170"/>
      <c r="AM631" s="170"/>
      <c r="AN631" s="170"/>
      <c r="AO631" s="170"/>
      <c r="AP631" s="170"/>
      <c r="AQ631" s="170"/>
      <c r="AR631" s="170"/>
      <c r="AS631" s="170"/>
    </row>
    <row r="632" spans="1:45" ht="15" x14ac:dyDescent="0.25">
      <c r="A632" s="170"/>
      <c r="B632" s="719">
        <v>716</v>
      </c>
      <c r="C632" s="170"/>
      <c r="D632" s="170"/>
      <c r="E632" s="170"/>
      <c r="F632" s="170"/>
      <c r="G632" s="721"/>
      <c r="H632" s="170"/>
      <c r="I632" s="170"/>
      <c r="J632" s="170"/>
      <c r="K632" s="170"/>
      <c r="L632" s="170"/>
      <c r="M632" s="730"/>
      <c r="N632" s="730"/>
      <c r="O632" s="730"/>
      <c r="P632" s="731"/>
      <c r="Q632" s="731"/>
      <c r="R632" s="730"/>
      <c r="S632" s="730"/>
      <c r="T632" s="723"/>
      <c r="U632" s="724"/>
      <c r="V632" s="725"/>
      <c r="W632" s="725"/>
      <c r="X632" s="723"/>
      <c r="Y632" s="723"/>
      <c r="Z632" s="723"/>
      <c r="AA632" s="726"/>
      <c r="AB632" s="726"/>
      <c r="AC632" s="170"/>
      <c r="AD632" s="586"/>
      <c r="AE632" s="586"/>
      <c r="AF632" s="170"/>
      <c r="AG632" s="170"/>
      <c r="AH632" s="170"/>
      <c r="AI632" s="170"/>
      <c r="AJ632" s="170"/>
      <c r="AK632" s="170"/>
      <c r="AL632" s="170"/>
      <c r="AM632" s="170"/>
      <c r="AN632" s="170"/>
      <c r="AO632" s="170"/>
      <c r="AP632" s="170"/>
      <c r="AQ632" s="170"/>
      <c r="AR632" s="170"/>
      <c r="AS632" s="170"/>
    </row>
    <row r="633" spans="1:45" ht="15" x14ac:dyDescent="0.25">
      <c r="A633" s="170"/>
      <c r="B633" s="719">
        <v>717</v>
      </c>
      <c r="C633" s="170"/>
      <c r="D633" s="170"/>
      <c r="E633" s="170"/>
      <c r="F633" s="170"/>
      <c r="G633" s="721"/>
      <c r="H633" s="170"/>
      <c r="I633" s="170"/>
      <c r="J633" s="170"/>
      <c r="K633" s="170"/>
      <c r="L633" s="170"/>
      <c r="M633" s="730"/>
      <c r="N633" s="730"/>
      <c r="O633" s="730"/>
      <c r="P633" s="731"/>
      <c r="Q633" s="731"/>
      <c r="R633" s="730"/>
      <c r="S633" s="730"/>
      <c r="T633" s="723"/>
      <c r="U633" s="724"/>
      <c r="V633" s="725"/>
      <c r="W633" s="725"/>
      <c r="X633" s="723"/>
      <c r="Y633" s="723"/>
      <c r="Z633" s="723"/>
      <c r="AA633" s="726"/>
      <c r="AB633" s="726"/>
      <c r="AC633" s="170"/>
      <c r="AD633" s="586"/>
      <c r="AE633" s="586"/>
      <c r="AF633" s="170"/>
      <c r="AG633" s="170"/>
      <c r="AH633" s="170"/>
      <c r="AI633" s="170"/>
      <c r="AJ633" s="170"/>
      <c r="AK633" s="170"/>
      <c r="AL633" s="170"/>
      <c r="AM633" s="170"/>
      <c r="AN633" s="170"/>
      <c r="AO633" s="170"/>
      <c r="AP633" s="170"/>
      <c r="AQ633" s="170"/>
      <c r="AR633" s="170"/>
      <c r="AS633" s="170"/>
    </row>
    <row r="634" spans="1:45" ht="15" x14ac:dyDescent="0.25">
      <c r="A634" s="170"/>
      <c r="B634" s="719">
        <v>718</v>
      </c>
      <c r="C634" s="170"/>
      <c r="D634" s="170"/>
      <c r="E634" s="170"/>
      <c r="F634" s="170"/>
      <c r="G634" s="721"/>
      <c r="H634" s="170"/>
      <c r="I634" s="170"/>
      <c r="J634" s="170"/>
      <c r="K634" s="170"/>
      <c r="L634" s="170"/>
      <c r="M634" s="730"/>
      <c r="N634" s="730"/>
      <c r="O634" s="730"/>
      <c r="P634" s="731"/>
      <c r="Q634" s="731"/>
      <c r="R634" s="730"/>
      <c r="S634" s="730"/>
      <c r="T634" s="723"/>
      <c r="U634" s="724"/>
      <c r="V634" s="725"/>
      <c r="W634" s="725"/>
      <c r="X634" s="723"/>
      <c r="Y634" s="723"/>
      <c r="Z634" s="723"/>
      <c r="AA634" s="726"/>
      <c r="AB634" s="726"/>
      <c r="AC634" s="170"/>
      <c r="AD634" s="586"/>
      <c r="AE634" s="586"/>
      <c r="AF634" s="170"/>
      <c r="AG634" s="170"/>
      <c r="AH634" s="170"/>
      <c r="AI634" s="170"/>
      <c r="AJ634" s="170"/>
      <c r="AK634" s="170"/>
      <c r="AL634" s="170"/>
      <c r="AM634" s="170"/>
      <c r="AN634" s="170"/>
      <c r="AO634" s="170"/>
      <c r="AP634" s="170"/>
      <c r="AQ634" s="170"/>
      <c r="AR634" s="170"/>
      <c r="AS634" s="170"/>
    </row>
    <row r="635" spans="1:45" ht="15" x14ac:dyDescent="0.25">
      <c r="A635" s="170"/>
      <c r="B635" s="719">
        <v>719</v>
      </c>
      <c r="C635" s="170"/>
      <c r="D635" s="170"/>
      <c r="E635" s="170"/>
      <c r="F635" s="170"/>
      <c r="G635" s="721"/>
      <c r="H635" s="170"/>
      <c r="I635" s="170"/>
      <c r="J635" s="170"/>
      <c r="K635" s="170"/>
      <c r="L635" s="170"/>
      <c r="M635" s="730"/>
      <c r="N635" s="730"/>
      <c r="O635" s="730"/>
      <c r="P635" s="731"/>
      <c r="Q635" s="731"/>
      <c r="R635" s="730"/>
      <c r="S635" s="730"/>
      <c r="T635" s="723"/>
      <c r="U635" s="724"/>
      <c r="V635" s="725"/>
      <c r="W635" s="725"/>
      <c r="X635" s="723"/>
      <c r="Y635" s="723"/>
      <c r="Z635" s="723"/>
      <c r="AA635" s="726"/>
      <c r="AB635" s="726"/>
      <c r="AC635" s="170"/>
      <c r="AD635" s="586"/>
      <c r="AE635" s="586"/>
      <c r="AF635" s="170"/>
      <c r="AG635" s="170"/>
      <c r="AH635" s="170"/>
      <c r="AI635" s="170"/>
      <c r="AJ635" s="170"/>
      <c r="AK635" s="170"/>
      <c r="AL635" s="170"/>
      <c r="AM635" s="170"/>
      <c r="AN635" s="170"/>
      <c r="AO635" s="170"/>
      <c r="AP635" s="170"/>
      <c r="AQ635" s="170"/>
      <c r="AR635" s="170"/>
      <c r="AS635" s="170"/>
    </row>
    <row r="636" spans="1:45" ht="15" x14ac:dyDescent="0.25">
      <c r="A636" s="170"/>
      <c r="B636" s="719">
        <v>720</v>
      </c>
      <c r="C636" s="170"/>
      <c r="D636" s="170"/>
      <c r="E636" s="170"/>
      <c r="F636" s="170"/>
      <c r="G636" s="721"/>
      <c r="H636" s="170"/>
      <c r="I636" s="170"/>
      <c r="J636" s="170"/>
      <c r="K636" s="170"/>
      <c r="L636" s="170"/>
      <c r="M636" s="730"/>
      <c r="N636" s="730"/>
      <c r="O636" s="730"/>
      <c r="P636" s="731"/>
      <c r="Q636" s="731"/>
      <c r="R636" s="730"/>
      <c r="S636" s="730"/>
      <c r="T636" s="723"/>
      <c r="U636" s="724"/>
      <c r="V636" s="725"/>
      <c r="W636" s="725"/>
      <c r="X636" s="723"/>
      <c r="Y636" s="723"/>
      <c r="Z636" s="723"/>
      <c r="AA636" s="726"/>
      <c r="AB636" s="726"/>
      <c r="AC636" s="170"/>
      <c r="AD636" s="586"/>
      <c r="AE636" s="586"/>
      <c r="AF636" s="170"/>
      <c r="AG636" s="170"/>
      <c r="AH636" s="170"/>
      <c r="AI636" s="170"/>
      <c r="AJ636" s="170"/>
      <c r="AK636" s="170"/>
      <c r="AL636" s="170"/>
      <c r="AM636" s="170"/>
      <c r="AN636" s="170"/>
      <c r="AO636" s="170"/>
      <c r="AP636" s="170"/>
      <c r="AQ636" s="170"/>
      <c r="AR636" s="170"/>
      <c r="AS636" s="170"/>
    </row>
    <row r="637" spans="1:45" ht="15" x14ac:dyDescent="0.25">
      <c r="A637" s="170"/>
      <c r="B637" s="719">
        <v>721</v>
      </c>
      <c r="C637" s="170"/>
      <c r="D637" s="170"/>
      <c r="E637" s="170"/>
      <c r="F637" s="170"/>
      <c r="G637" s="721"/>
      <c r="H637" s="170"/>
      <c r="I637" s="170"/>
      <c r="J637" s="170"/>
      <c r="K637" s="170"/>
      <c r="L637" s="170"/>
      <c r="M637" s="730"/>
      <c r="N637" s="730"/>
      <c r="O637" s="730"/>
      <c r="P637" s="731"/>
      <c r="Q637" s="731"/>
      <c r="R637" s="730"/>
      <c r="S637" s="730"/>
      <c r="T637" s="723"/>
      <c r="U637" s="724"/>
      <c r="V637" s="725"/>
      <c r="W637" s="725"/>
      <c r="X637" s="723"/>
      <c r="Y637" s="723"/>
      <c r="Z637" s="723"/>
      <c r="AA637" s="726"/>
      <c r="AB637" s="726"/>
      <c r="AC637" s="170"/>
      <c r="AD637" s="586"/>
      <c r="AE637" s="586"/>
      <c r="AF637" s="170"/>
      <c r="AG637" s="170"/>
      <c r="AH637" s="170"/>
      <c r="AI637" s="170"/>
      <c r="AJ637" s="170"/>
      <c r="AK637" s="170"/>
      <c r="AL637" s="170"/>
      <c r="AM637" s="170"/>
      <c r="AN637" s="170"/>
      <c r="AO637" s="170"/>
      <c r="AP637" s="170"/>
      <c r="AQ637" s="170"/>
      <c r="AR637" s="170"/>
      <c r="AS637" s="170"/>
    </row>
    <row r="638" spans="1:45" ht="15" x14ac:dyDescent="0.25">
      <c r="A638" s="170"/>
      <c r="B638" s="719">
        <v>722</v>
      </c>
      <c r="C638" s="170"/>
      <c r="D638" s="170"/>
      <c r="E638" s="170"/>
      <c r="F638" s="170"/>
      <c r="G638" s="721"/>
      <c r="H638" s="170"/>
      <c r="I638" s="170"/>
      <c r="J638" s="170"/>
      <c r="K638" s="170"/>
      <c r="L638" s="170"/>
      <c r="M638" s="730"/>
      <c r="N638" s="730"/>
      <c r="O638" s="730"/>
      <c r="P638" s="731"/>
      <c r="Q638" s="731"/>
      <c r="R638" s="730"/>
      <c r="S638" s="730"/>
      <c r="T638" s="723"/>
      <c r="U638" s="724"/>
      <c r="V638" s="725"/>
      <c r="W638" s="725"/>
      <c r="X638" s="723"/>
      <c r="Y638" s="723"/>
      <c r="Z638" s="723"/>
      <c r="AA638" s="726"/>
      <c r="AB638" s="726"/>
      <c r="AC638" s="170"/>
      <c r="AD638" s="586"/>
      <c r="AE638" s="586"/>
      <c r="AF638" s="170"/>
      <c r="AG638" s="170"/>
      <c r="AH638" s="170"/>
      <c r="AI638" s="170"/>
      <c r="AJ638" s="170"/>
      <c r="AK638" s="170"/>
      <c r="AL638" s="170"/>
      <c r="AM638" s="170"/>
      <c r="AN638" s="170"/>
      <c r="AO638" s="170"/>
      <c r="AP638" s="170"/>
      <c r="AQ638" s="170"/>
      <c r="AR638" s="170"/>
      <c r="AS638" s="170"/>
    </row>
    <row r="639" spans="1:45" ht="15" x14ac:dyDescent="0.25">
      <c r="A639" s="170"/>
      <c r="B639" s="719">
        <v>723</v>
      </c>
      <c r="C639" s="170"/>
      <c r="D639" s="170"/>
      <c r="E639" s="170"/>
      <c r="F639" s="170"/>
      <c r="G639" s="721"/>
      <c r="H639" s="170"/>
      <c r="I639" s="170"/>
      <c r="J639" s="170"/>
      <c r="K639" s="170"/>
      <c r="L639" s="170"/>
      <c r="M639" s="730"/>
      <c r="N639" s="730"/>
      <c r="O639" s="730"/>
      <c r="P639" s="731"/>
      <c r="Q639" s="731"/>
      <c r="R639" s="730"/>
      <c r="S639" s="730"/>
      <c r="T639" s="723"/>
      <c r="U639" s="724"/>
      <c r="V639" s="725"/>
      <c r="W639" s="725"/>
      <c r="X639" s="723"/>
      <c r="Y639" s="723"/>
      <c r="Z639" s="723"/>
      <c r="AA639" s="726"/>
      <c r="AB639" s="726"/>
      <c r="AC639" s="170"/>
      <c r="AD639" s="586"/>
      <c r="AE639" s="586"/>
      <c r="AF639" s="170"/>
      <c r="AG639" s="170"/>
      <c r="AH639" s="170"/>
      <c r="AI639" s="170"/>
      <c r="AJ639" s="170"/>
      <c r="AK639" s="170"/>
      <c r="AL639" s="170"/>
      <c r="AM639" s="170"/>
      <c r="AN639" s="170"/>
      <c r="AO639" s="170"/>
      <c r="AP639" s="170"/>
      <c r="AQ639" s="170"/>
      <c r="AR639" s="170"/>
      <c r="AS639" s="170"/>
    </row>
    <row r="640" spans="1:45" ht="15" x14ac:dyDescent="0.25">
      <c r="A640" s="170"/>
      <c r="B640" s="719">
        <v>724</v>
      </c>
      <c r="C640" s="170"/>
      <c r="D640" s="170"/>
      <c r="E640" s="170"/>
      <c r="F640" s="170"/>
      <c r="G640" s="721"/>
      <c r="H640" s="170"/>
      <c r="I640" s="170"/>
      <c r="J640" s="170"/>
      <c r="K640" s="170"/>
      <c r="L640" s="170"/>
      <c r="M640" s="730"/>
      <c r="N640" s="730"/>
      <c r="O640" s="730"/>
      <c r="P640" s="731"/>
      <c r="Q640" s="731"/>
      <c r="R640" s="730"/>
      <c r="S640" s="730"/>
      <c r="T640" s="723"/>
      <c r="U640" s="724"/>
      <c r="V640" s="725"/>
      <c r="W640" s="725"/>
      <c r="X640" s="723"/>
      <c r="Y640" s="723"/>
      <c r="Z640" s="723"/>
      <c r="AA640" s="726"/>
      <c r="AB640" s="726"/>
      <c r="AC640" s="170"/>
      <c r="AD640" s="586"/>
      <c r="AE640" s="586"/>
      <c r="AF640" s="170"/>
      <c r="AG640" s="170"/>
      <c r="AH640" s="170"/>
      <c r="AI640" s="170"/>
      <c r="AJ640" s="170"/>
      <c r="AK640" s="170"/>
      <c r="AL640" s="170"/>
      <c r="AM640" s="170"/>
      <c r="AN640" s="170"/>
      <c r="AO640" s="170"/>
      <c r="AP640" s="170"/>
      <c r="AQ640" s="170"/>
      <c r="AR640" s="170"/>
      <c r="AS640" s="170"/>
    </row>
    <row r="641" spans="1:45" ht="15" x14ac:dyDescent="0.25">
      <c r="A641" s="170"/>
      <c r="B641" s="719">
        <v>725</v>
      </c>
      <c r="C641" s="170"/>
      <c r="D641" s="170"/>
      <c r="E641" s="170"/>
      <c r="F641" s="170"/>
      <c r="G641" s="721"/>
      <c r="H641" s="170"/>
      <c r="I641" s="170"/>
      <c r="J641" s="170"/>
      <c r="K641" s="170"/>
      <c r="L641" s="170"/>
      <c r="M641" s="730"/>
      <c r="N641" s="730"/>
      <c r="O641" s="730"/>
      <c r="P641" s="731"/>
      <c r="Q641" s="731"/>
      <c r="R641" s="730"/>
      <c r="S641" s="730"/>
      <c r="T641" s="723"/>
      <c r="U641" s="724"/>
      <c r="V641" s="725"/>
      <c r="W641" s="725"/>
      <c r="X641" s="723"/>
      <c r="Y641" s="723"/>
      <c r="Z641" s="723"/>
      <c r="AA641" s="726"/>
      <c r="AB641" s="726"/>
      <c r="AC641" s="170"/>
      <c r="AD641" s="586"/>
      <c r="AE641" s="586"/>
      <c r="AF641" s="170"/>
      <c r="AG641" s="170"/>
      <c r="AH641" s="170"/>
      <c r="AI641" s="170"/>
      <c r="AJ641" s="170"/>
      <c r="AK641" s="170"/>
      <c r="AL641" s="170"/>
      <c r="AM641" s="170"/>
      <c r="AN641" s="170"/>
      <c r="AO641" s="170"/>
      <c r="AP641" s="170"/>
      <c r="AQ641" s="170"/>
      <c r="AR641" s="170"/>
      <c r="AS641" s="170"/>
    </row>
    <row r="642" spans="1:45" ht="15" x14ac:dyDescent="0.25">
      <c r="A642" s="170"/>
      <c r="B642" s="719">
        <v>726</v>
      </c>
      <c r="C642" s="170"/>
      <c r="D642" s="170"/>
      <c r="E642" s="170"/>
      <c r="F642" s="170"/>
      <c r="G642" s="721"/>
      <c r="H642" s="170"/>
      <c r="I642" s="170"/>
      <c r="J642" s="170"/>
      <c r="K642" s="170"/>
      <c r="L642" s="170"/>
      <c r="M642" s="730"/>
      <c r="N642" s="730"/>
      <c r="O642" s="730"/>
      <c r="P642" s="731"/>
      <c r="Q642" s="731"/>
      <c r="R642" s="730"/>
      <c r="S642" s="730"/>
      <c r="T642" s="723"/>
      <c r="U642" s="724"/>
      <c r="V642" s="725"/>
      <c r="W642" s="725"/>
      <c r="X642" s="723"/>
      <c r="Y642" s="723"/>
      <c r="Z642" s="723"/>
      <c r="AA642" s="726"/>
      <c r="AB642" s="726"/>
      <c r="AC642" s="170"/>
      <c r="AD642" s="586"/>
      <c r="AE642" s="586"/>
      <c r="AF642" s="170"/>
      <c r="AG642" s="170"/>
      <c r="AH642" s="170"/>
      <c r="AI642" s="170"/>
      <c r="AJ642" s="170"/>
      <c r="AK642" s="170"/>
      <c r="AL642" s="170"/>
      <c r="AM642" s="170"/>
      <c r="AN642" s="170"/>
      <c r="AO642" s="170"/>
      <c r="AP642" s="170"/>
      <c r="AQ642" s="170"/>
      <c r="AR642" s="170"/>
      <c r="AS642" s="170"/>
    </row>
    <row r="643" spans="1:45" ht="15" x14ac:dyDescent="0.25">
      <c r="A643" s="170"/>
      <c r="B643" s="719">
        <v>727</v>
      </c>
      <c r="C643" s="170"/>
      <c r="D643" s="170"/>
      <c r="E643" s="170"/>
      <c r="F643" s="170"/>
      <c r="G643" s="721"/>
      <c r="H643" s="170"/>
      <c r="I643" s="170"/>
      <c r="J643" s="170"/>
      <c r="K643" s="170"/>
      <c r="L643" s="170"/>
      <c r="M643" s="730"/>
      <c r="N643" s="730"/>
      <c r="O643" s="730"/>
      <c r="P643" s="731"/>
      <c r="Q643" s="731"/>
      <c r="R643" s="730"/>
      <c r="S643" s="730"/>
      <c r="T643" s="723"/>
      <c r="U643" s="724"/>
      <c r="V643" s="725"/>
      <c r="W643" s="725"/>
      <c r="X643" s="723"/>
      <c r="Y643" s="723"/>
      <c r="Z643" s="723"/>
      <c r="AA643" s="726"/>
      <c r="AB643" s="726"/>
      <c r="AC643" s="170"/>
      <c r="AD643" s="586"/>
      <c r="AE643" s="586"/>
      <c r="AF643" s="170"/>
      <c r="AG643" s="170"/>
      <c r="AH643" s="170"/>
      <c r="AI643" s="170"/>
      <c r="AJ643" s="170"/>
      <c r="AK643" s="170"/>
      <c r="AL643" s="170"/>
      <c r="AM643" s="170"/>
      <c r="AN643" s="170"/>
      <c r="AO643" s="170"/>
      <c r="AP643" s="170"/>
      <c r="AQ643" s="170"/>
      <c r="AR643" s="170"/>
      <c r="AS643" s="170"/>
    </row>
    <row r="644" spans="1:45" ht="15" x14ac:dyDescent="0.25">
      <c r="A644" s="170"/>
      <c r="B644" s="719">
        <v>728</v>
      </c>
      <c r="C644" s="170"/>
      <c r="D644" s="170"/>
      <c r="E644" s="170"/>
      <c r="F644" s="170"/>
      <c r="G644" s="721"/>
      <c r="H644" s="170"/>
      <c r="I644" s="170"/>
      <c r="J644" s="170"/>
      <c r="K644" s="170"/>
      <c r="L644" s="170"/>
      <c r="M644" s="730"/>
      <c r="N644" s="730"/>
      <c r="O644" s="730"/>
      <c r="P644" s="731"/>
      <c r="Q644" s="731"/>
      <c r="R644" s="730"/>
      <c r="S644" s="730"/>
      <c r="T644" s="723"/>
      <c r="U644" s="724"/>
      <c r="V644" s="725"/>
      <c r="W644" s="725"/>
      <c r="X644" s="723"/>
      <c r="Y644" s="723"/>
      <c r="Z644" s="723"/>
      <c r="AA644" s="726"/>
      <c r="AB644" s="726"/>
      <c r="AC644" s="170"/>
      <c r="AD644" s="586"/>
      <c r="AE644" s="586"/>
      <c r="AF644" s="170"/>
      <c r="AG644" s="170"/>
      <c r="AH644" s="170"/>
      <c r="AI644" s="170"/>
      <c r="AJ644" s="170"/>
      <c r="AK644" s="170"/>
      <c r="AL644" s="170"/>
      <c r="AM644" s="170"/>
      <c r="AN644" s="170"/>
      <c r="AO644" s="170"/>
      <c r="AP644" s="170"/>
      <c r="AQ644" s="170"/>
      <c r="AR644" s="170"/>
      <c r="AS644" s="170"/>
    </row>
    <row r="645" spans="1:45" ht="15" x14ac:dyDescent="0.25">
      <c r="A645" s="170"/>
      <c r="B645" s="719">
        <v>729</v>
      </c>
      <c r="C645" s="170"/>
      <c r="D645" s="170"/>
      <c r="E645" s="170"/>
      <c r="F645" s="170"/>
      <c r="G645" s="721"/>
      <c r="H645" s="170"/>
      <c r="I645" s="170"/>
      <c r="J645" s="170"/>
      <c r="K645" s="170"/>
      <c r="L645" s="170"/>
      <c r="M645" s="730"/>
      <c r="N645" s="730"/>
      <c r="O645" s="730"/>
      <c r="P645" s="731"/>
      <c r="Q645" s="731"/>
      <c r="R645" s="730"/>
      <c r="S645" s="730"/>
      <c r="T645" s="723"/>
      <c r="U645" s="724"/>
      <c r="V645" s="725"/>
      <c r="W645" s="725"/>
      <c r="X645" s="723"/>
      <c r="Y645" s="723"/>
      <c r="Z645" s="723"/>
      <c r="AA645" s="726"/>
      <c r="AB645" s="726"/>
      <c r="AC645" s="170"/>
      <c r="AD645" s="586"/>
      <c r="AE645" s="586"/>
      <c r="AF645" s="170"/>
      <c r="AG645" s="170"/>
      <c r="AH645" s="170"/>
      <c r="AI645" s="170"/>
      <c r="AJ645" s="170"/>
      <c r="AK645" s="170"/>
      <c r="AL645" s="170"/>
      <c r="AM645" s="170"/>
      <c r="AN645" s="170"/>
      <c r="AO645" s="170"/>
      <c r="AP645" s="170"/>
      <c r="AQ645" s="170"/>
      <c r="AR645" s="170"/>
      <c r="AS645" s="170"/>
    </row>
    <row r="646" spans="1:45" ht="15" x14ac:dyDescent="0.25">
      <c r="A646" s="170"/>
      <c r="B646" s="719">
        <v>730</v>
      </c>
      <c r="C646" s="170"/>
      <c r="D646" s="170"/>
      <c r="E646" s="170"/>
      <c r="F646" s="170"/>
      <c r="G646" s="721"/>
      <c r="H646" s="170"/>
      <c r="I646" s="170"/>
      <c r="J646" s="170"/>
      <c r="K646" s="170"/>
      <c r="L646" s="170"/>
      <c r="M646" s="730"/>
      <c r="N646" s="730"/>
      <c r="O646" s="730"/>
      <c r="P646" s="731"/>
      <c r="Q646" s="731"/>
      <c r="R646" s="730"/>
      <c r="S646" s="730"/>
      <c r="T646" s="723"/>
      <c r="U646" s="724"/>
      <c r="V646" s="725"/>
      <c r="W646" s="725"/>
      <c r="X646" s="723"/>
      <c r="Y646" s="723"/>
      <c r="Z646" s="723"/>
      <c r="AA646" s="726"/>
      <c r="AB646" s="726"/>
      <c r="AC646" s="170"/>
      <c r="AD646" s="586"/>
      <c r="AE646" s="586"/>
      <c r="AF646" s="170"/>
      <c r="AG646" s="170"/>
      <c r="AH646" s="170"/>
      <c r="AI646" s="170"/>
      <c r="AJ646" s="170"/>
      <c r="AK646" s="170"/>
      <c r="AL646" s="170"/>
      <c r="AM646" s="170"/>
      <c r="AN646" s="170"/>
      <c r="AO646" s="170"/>
      <c r="AP646" s="170"/>
      <c r="AQ646" s="170"/>
      <c r="AR646" s="170"/>
      <c r="AS646" s="170"/>
    </row>
    <row r="647" spans="1:45" ht="15" x14ac:dyDescent="0.25">
      <c r="A647" s="170"/>
      <c r="B647" s="719">
        <v>731</v>
      </c>
      <c r="C647" s="170"/>
      <c r="D647" s="170"/>
      <c r="E647" s="170"/>
      <c r="F647" s="170"/>
      <c r="G647" s="721"/>
      <c r="H647" s="170"/>
      <c r="I647" s="170"/>
      <c r="J647" s="170"/>
      <c r="K647" s="170"/>
      <c r="L647" s="170"/>
      <c r="M647" s="730"/>
      <c r="N647" s="730"/>
      <c r="O647" s="730"/>
      <c r="P647" s="731"/>
      <c r="Q647" s="731"/>
      <c r="R647" s="730"/>
      <c r="S647" s="730"/>
      <c r="T647" s="723"/>
      <c r="U647" s="724"/>
      <c r="V647" s="725"/>
      <c r="W647" s="725"/>
      <c r="X647" s="723"/>
      <c r="Y647" s="723"/>
      <c r="Z647" s="723"/>
      <c r="AA647" s="726"/>
      <c r="AB647" s="726"/>
      <c r="AC647" s="170"/>
      <c r="AD647" s="586"/>
      <c r="AE647" s="586"/>
      <c r="AF647" s="170"/>
      <c r="AG647" s="170"/>
      <c r="AH647" s="170"/>
      <c r="AI647" s="170"/>
      <c r="AJ647" s="170"/>
      <c r="AK647" s="170"/>
      <c r="AL647" s="170"/>
      <c r="AM647" s="170"/>
      <c r="AN647" s="170"/>
      <c r="AO647" s="170"/>
      <c r="AP647" s="170"/>
      <c r="AQ647" s="170"/>
      <c r="AR647" s="170"/>
      <c r="AS647" s="170"/>
    </row>
    <row r="648" spans="1:45" ht="15" x14ac:dyDescent="0.25">
      <c r="A648" s="170"/>
      <c r="B648" s="719">
        <v>732</v>
      </c>
      <c r="C648" s="170"/>
      <c r="D648" s="170"/>
      <c r="E648" s="170"/>
      <c r="F648" s="170"/>
      <c r="G648" s="721"/>
      <c r="H648" s="170"/>
      <c r="I648" s="170"/>
      <c r="J648" s="170"/>
      <c r="K648" s="170"/>
      <c r="L648" s="170"/>
      <c r="M648" s="730"/>
      <c r="N648" s="730"/>
      <c r="O648" s="730"/>
      <c r="P648" s="731"/>
      <c r="Q648" s="731"/>
      <c r="R648" s="730"/>
      <c r="S648" s="730"/>
      <c r="T648" s="723"/>
      <c r="U648" s="724"/>
      <c r="V648" s="725"/>
      <c r="W648" s="725"/>
      <c r="X648" s="723"/>
      <c r="Y648" s="723"/>
      <c r="Z648" s="723"/>
      <c r="AA648" s="726"/>
      <c r="AB648" s="726"/>
      <c r="AC648" s="170"/>
      <c r="AD648" s="586"/>
      <c r="AE648" s="586"/>
      <c r="AF648" s="170"/>
      <c r="AG648" s="170"/>
      <c r="AH648" s="170"/>
      <c r="AI648" s="170"/>
      <c r="AJ648" s="170"/>
      <c r="AK648" s="170"/>
      <c r="AL648" s="170"/>
      <c r="AM648" s="170"/>
      <c r="AN648" s="170"/>
      <c r="AO648" s="170"/>
      <c r="AP648" s="170"/>
      <c r="AQ648" s="170"/>
      <c r="AR648" s="170"/>
      <c r="AS648" s="170"/>
    </row>
    <row r="649" spans="1:45" ht="15" x14ac:dyDescent="0.25">
      <c r="A649" s="170"/>
      <c r="B649" s="719">
        <v>733</v>
      </c>
      <c r="C649" s="170"/>
      <c r="D649" s="170"/>
      <c r="E649" s="170"/>
      <c r="F649" s="170"/>
      <c r="G649" s="721"/>
      <c r="H649" s="170"/>
      <c r="I649" s="170"/>
      <c r="J649" s="170"/>
      <c r="K649" s="170"/>
      <c r="L649" s="170"/>
      <c r="M649" s="730"/>
      <c r="N649" s="730"/>
      <c r="O649" s="730"/>
      <c r="P649" s="731"/>
      <c r="Q649" s="731"/>
      <c r="R649" s="730"/>
      <c r="S649" s="730"/>
      <c r="T649" s="723"/>
      <c r="U649" s="724"/>
      <c r="V649" s="725"/>
      <c r="W649" s="725"/>
      <c r="X649" s="723"/>
      <c r="Y649" s="723"/>
      <c r="Z649" s="723"/>
      <c r="AA649" s="726"/>
      <c r="AB649" s="726"/>
      <c r="AC649" s="170"/>
      <c r="AD649" s="586"/>
      <c r="AE649" s="586"/>
      <c r="AF649" s="170"/>
      <c r="AG649" s="170"/>
      <c r="AH649" s="170"/>
      <c r="AI649" s="170"/>
      <c r="AJ649" s="170"/>
      <c r="AK649" s="170"/>
      <c r="AL649" s="170"/>
      <c r="AM649" s="170"/>
      <c r="AN649" s="170"/>
      <c r="AO649" s="170"/>
      <c r="AP649" s="170"/>
      <c r="AQ649" s="170"/>
      <c r="AR649" s="170"/>
      <c r="AS649" s="170"/>
    </row>
    <row r="650" spans="1:45" ht="15" x14ac:dyDescent="0.25">
      <c r="A650" s="170"/>
      <c r="B650" s="719">
        <v>734</v>
      </c>
      <c r="C650" s="170"/>
      <c r="D650" s="170"/>
      <c r="E650" s="170"/>
      <c r="F650" s="170"/>
      <c r="G650" s="721"/>
      <c r="H650" s="170"/>
      <c r="I650" s="170"/>
      <c r="J650" s="170"/>
      <c r="K650" s="170"/>
      <c r="L650" s="170"/>
      <c r="M650" s="730"/>
      <c r="N650" s="730"/>
      <c r="O650" s="730"/>
      <c r="P650" s="731"/>
      <c r="Q650" s="731"/>
      <c r="R650" s="730"/>
      <c r="S650" s="730"/>
      <c r="T650" s="723"/>
      <c r="U650" s="724"/>
      <c r="V650" s="725"/>
      <c r="W650" s="725"/>
      <c r="X650" s="723"/>
      <c r="Y650" s="723"/>
      <c r="Z650" s="723"/>
      <c r="AA650" s="726"/>
      <c r="AB650" s="726"/>
      <c r="AC650" s="170"/>
      <c r="AD650" s="586"/>
      <c r="AE650" s="586"/>
      <c r="AF650" s="170"/>
      <c r="AG650" s="170"/>
      <c r="AH650" s="170"/>
      <c r="AI650" s="170"/>
      <c r="AJ650" s="170"/>
      <c r="AK650" s="170"/>
      <c r="AL650" s="170"/>
      <c r="AM650" s="170"/>
      <c r="AN650" s="170"/>
      <c r="AO650" s="170"/>
      <c r="AP650" s="170"/>
      <c r="AQ650" s="170"/>
      <c r="AR650" s="170"/>
      <c r="AS650" s="170"/>
    </row>
    <row r="651" spans="1:45" ht="15" x14ac:dyDescent="0.25">
      <c r="A651" s="170"/>
      <c r="B651" s="719">
        <v>735</v>
      </c>
      <c r="C651" s="170"/>
      <c r="D651" s="170"/>
      <c r="E651" s="170"/>
      <c r="F651" s="170"/>
      <c r="G651" s="721"/>
      <c r="H651" s="170"/>
      <c r="I651" s="170"/>
      <c r="J651" s="170"/>
      <c r="K651" s="170"/>
      <c r="L651" s="170"/>
      <c r="M651" s="730"/>
      <c r="N651" s="730"/>
      <c r="O651" s="730"/>
      <c r="P651" s="731"/>
      <c r="Q651" s="731"/>
      <c r="R651" s="730"/>
      <c r="S651" s="730"/>
      <c r="T651" s="723"/>
      <c r="U651" s="724"/>
      <c r="V651" s="725"/>
      <c r="W651" s="725"/>
      <c r="X651" s="723"/>
      <c r="Y651" s="723"/>
      <c r="Z651" s="723"/>
      <c r="AA651" s="726"/>
      <c r="AB651" s="726"/>
      <c r="AC651" s="170"/>
      <c r="AD651" s="586"/>
      <c r="AE651" s="586"/>
      <c r="AF651" s="170"/>
      <c r="AG651" s="170"/>
      <c r="AH651" s="170"/>
      <c r="AI651" s="170"/>
      <c r="AJ651" s="170"/>
      <c r="AK651" s="170"/>
      <c r="AL651" s="170"/>
      <c r="AM651" s="170"/>
      <c r="AN651" s="170"/>
      <c r="AO651" s="170"/>
      <c r="AP651" s="170"/>
      <c r="AQ651" s="170"/>
      <c r="AR651" s="170"/>
      <c r="AS651" s="170"/>
    </row>
    <row r="652" spans="1:45" ht="15" x14ac:dyDescent="0.25">
      <c r="A652" s="170"/>
      <c r="B652" s="719">
        <v>736</v>
      </c>
      <c r="C652" s="170"/>
      <c r="D652" s="170"/>
      <c r="E652" s="170"/>
      <c r="F652" s="170"/>
      <c r="G652" s="721"/>
      <c r="H652" s="170"/>
      <c r="I652" s="170"/>
      <c r="J652" s="170"/>
      <c r="K652" s="170"/>
      <c r="L652" s="170"/>
      <c r="M652" s="730"/>
      <c r="N652" s="730"/>
      <c r="O652" s="730"/>
      <c r="P652" s="731"/>
      <c r="Q652" s="731"/>
      <c r="R652" s="730"/>
      <c r="S652" s="730"/>
      <c r="T652" s="723"/>
      <c r="U652" s="724"/>
      <c r="V652" s="725"/>
      <c r="W652" s="725"/>
      <c r="X652" s="723"/>
      <c r="Y652" s="723"/>
      <c r="Z652" s="723"/>
      <c r="AA652" s="726"/>
      <c r="AB652" s="726"/>
      <c r="AC652" s="170"/>
      <c r="AD652" s="586"/>
      <c r="AE652" s="586"/>
      <c r="AF652" s="170"/>
      <c r="AG652" s="170"/>
      <c r="AH652" s="170"/>
      <c r="AI652" s="170"/>
      <c r="AJ652" s="170"/>
      <c r="AK652" s="170"/>
      <c r="AL652" s="170"/>
      <c r="AM652" s="170"/>
      <c r="AN652" s="170"/>
      <c r="AO652" s="170"/>
      <c r="AP652" s="170"/>
      <c r="AQ652" s="170"/>
      <c r="AR652" s="170"/>
      <c r="AS652" s="170"/>
    </row>
    <row r="653" spans="1:45" ht="15" x14ac:dyDescent="0.25">
      <c r="A653" s="170"/>
      <c r="B653" s="719">
        <v>737</v>
      </c>
      <c r="C653" s="170"/>
      <c r="D653" s="170"/>
      <c r="E653" s="170"/>
      <c r="F653" s="170"/>
      <c r="G653" s="721"/>
      <c r="H653" s="170"/>
      <c r="I653" s="170"/>
      <c r="J653" s="170"/>
      <c r="K653" s="170"/>
      <c r="L653" s="170"/>
      <c r="M653" s="730"/>
      <c r="N653" s="730"/>
      <c r="O653" s="730"/>
      <c r="P653" s="731"/>
      <c r="Q653" s="731"/>
      <c r="R653" s="730"/>
      <c r="S653" s="730"/>
      <c r="T653" s="723"/>
      <c r="U653" s="724"/>
      <c r="V653" s="725"/>
      <c r="W653" s="725"/>
      <c r="X653" s="723"/>
      <c r="Y653" s="723"/>
      <c r="Z653" s="723"/>
      <c r="AA653" s="726"/>
      <c r="AB653" s="726"/>
      <c r="AC653" s="170"/>
      <c r="AD653" s="586"/>
      <c r="AE653" s="586"/>
      <c r="AF653" s="170"/>
      <c r="AG653" s="170"/>
      <c r="AH653" s="170"/>
      <c r="AI653" s="170"/>
      <c r="AJ653" s="170"/>
      <c r="AK653" s="170"/>
      <c r="AL653" s="170"/>
      <c r="AM653" s="170"/>
      <c r="AN653" s="170"/>
      <c r="AO653" s="170"/>
      <c r="AP653" s="170"/>
      <c r="AQ653" s="170"/>
      <c r="AR653" s="170"/>
      <c r="AS653" s="170"/>
    </row>
    <row r="654" spans="1:45" ht="15" x14ac:dyDescent="0.25">
      <c r="A654" s="170"/>
      <c r="B654" s="719">
        <v>738</v>
      </c>
      <c r="C654" s="170"/>
      <c r="D654" s="170"/>
      <c r="E654" s="170"/>
      <c r="F654" s="170"/>
      <c r="G654" s="721"/>
      <c r="H654" s="170"/>
      <c r="I654" s="170"/>
      <c r="J654" s="170"/>
      <c r="K654" s="170"/>
      <c r="L654" s="170"/>
      <c r="M654" s="730"/>
      <c r="N654" s="730"/>
      <c r="O654" s="730"/>
      <c r="P654" s="731"/>
      <c r="Q654" s="731"/>
      <c r="R654" s="730"/>
      <c r="S654" s="730"/>
      <c r="T654" s="723"/>
      <c r="U654" s="724"/>
      <c r="V654" s="725"/>
      <c r="W654" s="725"/>
      <c r="X654" s="723"/>
      <c r="Y654" s="723"/>
      <c r="Z654" s="723"/>
      <c r="AA654" s="726"/>
      <c r="AB654" s="726"/>
      <c r="AC654" s="170"/>
      <c r="AD654" s="586"/>
      <c r="AE654" s="586"/>
      <c r="AF654" s="170"/>
      <c r="AG654" s="170"/>
      <c r="AH654" s="170"/>
      <c r="AI654" s="170"/>
      <c r="AJ654" s="170"/>
      <c r="AK654" s="170"/>
      <c r="AL654" s="170"/>
      <c r="AM654" s="170"/>
      <c r="AN654" s="170"/>
      <c r="AO654" s="170"/>
      <c r="AP654" s="170"/>
      <c r="AQ654" s="170"/>
      <c r="AR654" s="170"/>
      <c r="AS654" s="170"/>
    </row>
    <row r="655" spans="1:45" ht="15" x14ac:dyDescent="0.25">
      <c r="A655" s="170"/>
      <c r="B655" s="719">
        <v>739</v>
      </c>
      <c r="C655" s="170"/>
      <c r="D655" s="170"/>
      <c r="E655" s="170"/>
      <c r="F655" s="170"/>
      <c r="G655" s="721"/>
      <c r="H655" s="170"/>
      <c r="I655" s="170"/>
      <c r="J655" s="170"/>
      <c r="K655" s="170"/>
      <c r="L655" s="170"/>
      <c r="M655" s="730"/>
      <c r="N655" s="730"/>
      <c r="O655" s="730"/>
      <c r="P655" s="731"/>
      <c r="Q655" s="731"/>
      <c r="R655" s="730"/>
      <c r="S655" s="730"/>
      <c r="T655" s="723"/>
      <c r="U655" s="724"/>
      <c r="V655" s="725"/>
      <c r="W655" s="725"/>
      <c r="X655" s="723"/>
      <c r="Y655" s="723"/>
      <c r="Z655" s="723"/>
      <c r="AA655" s="726"/>
      <c r="AB655" s="726"/>
      <c r="AC655" s="170"/>
      <c r="AD655" s="586"/>
      <c r="AE655" s="586"/>
      <c r="AF655" s="170"/>
      <c r="AG655" s="170"/>
      <c r="AH655" s="170"/>
      <c r="AI655" s="170"/>
      <c r="AJ655" s="170"/>
      <c r="AK655" s="170"/>
      <c r="AL655" s="170"/>
      <c r="AM655" s="170"/>
      <c r="AN655" s="170"/>
      <c r="AO655" s="170"/>
      <c r="AP655" s="170"/>
      <c r="AQ655" s="170"/>
      <c r="AR655" s="170"/>
      <c r="AS655" s="170"/>
    </row>
    <row r="656" spans="1:45" ht="15" x14ac:dyDescent="0.25">
      <c r="A656" s="170"/>
      <c r="B656" s="719">
        <v>740</v>
      </c>
      <c r="C656" s="170"/>
      <c r="D656" s="170"/>
      <c r="E656" s="170"/>
      <c r="F656" s="170"/>
      <c r="G656" s="721"/>
      <c r="H656" s="170"/>
      <c r="I656" s="170"/>
      <c r="J656" s="170"/>
      <c r="K656" s="170"/>
      <c r="L656" s="170"/>
      <c r="M656" s="730"/>
      <c r="N656" s="730"/>
      <c r="O656" s="730"/>
      <c r="P656" s="731"/>
      <c r="Q656" s="731"/>
      <c r="R656" s="730"/>
      <c r="S656" s="730"/>
      <c r="T656" s="723"/>
      <c r="U656" s="724"/>
      <c r="V656" s="725"/>
      <c r="W656" s="725"/>
      <c r="X656" s="723"/>
      <c r="Y656" s="723"/>
      <c r="Z656" s="723"/>
      <c r="AA656" s="726"/>
      <c r="AB656" s="726"/>
      <c r="AC656" s="170"/>
      <c r="AD656" s="586"/>
      <c r="AE656" s="586"/>
      <c r="AF656" s="170"/>
      <c r="AG656" s="170"/>
      <c r="AH656" s="170"/>
      <c r="AI656" s="170"/>
      <c r="AJ656" s="170"/>
      <c r="AK656" s="170"/>
      <c r="AL656" s="170"/>
      <c r="AM656" s="170"/>
      <c r="AN656" s="170"/>
      <c r="AO656" s="170"/>
      <c r="AP656" s="170"/>
      <c r="AQ656" s="170"/>
      <c r="AR656" s="170"/>
      <c r="AS656" s="170"/>
    </row>
    <row r="657" spans="1:45" ht="15" x14ac:dyDescent="0.25">
      <c r="A657" s="170"/>
      <c r="B657" s="719">
        <v>741</v>
      </c>
      <c r="C657" s="170"/>
      <c r="D657" s="170"/>
      <c r="E657" s="170"/>
      <c r="F657" s="170"/>
      <c r="G657" s="721"/>
      <c r="H657" s="170"/>
      <c r="I657" s="170"/>
      <c r="J657" s="170"/>
      <c r="K657" s="170"/>
      <c r="L657" s="170"/>
      <c r="M657" s="730"/>
      <c r="N657" s="730"/>
      <c r="O657" s="730"/>
      <c r="P657" s="731"/>
      <c r="Q657" s="731"/>
      <c r="R657" s="730"/>
      <c r="S657" s="730"/>
      <c r="T657" s="723"/>
      <c r="U657" s="724"/>
      <c r="V657" s="725"/>
      <c r="W657" s="725"/>
      <c r="X657" s="723"/>
      <c r="Y657" s="723"/>
      <c r="Z657" s="723"/>
      <c r="AA657" s="726"/>
      <c r="AB657" s="726"/>
      <c r="AC657" s="170"/>
      <c r="AD657" s="586"/>
      <c r="AE657" s="586"/>
      <c r="AF657" s="170"/>
      <c r="AG657" s="170"/>
      <c r="AH657" s="170"/>
      <c r="AI657" s="170"/>
      <c r="AJ657" s="170"/>
      <c r="AK657" s="170"/>
      <c r="AL657" s="170"/>
      <c r="AM657" s="170"/>
      <c r="AN657" s="170"/>
      <c r="AO657" s="170"/>
      <c r="AP657" s="170"/>
      <c r="AQ657" s="170"/>
      <c r="AR657" s="170"/>
      <c r="AS657" s="170"/>
    </row>
    <row r="658" spans="1:45" ht="15" x14ac:dyDescent="0.25">
      <c r="A658" s="170"/>
      <c r="B658" s="719">
        <v>742</v>
      </c>
      <c r="C658" s="170"/>
      <c r="D658" s="170"/>
      <c r="E658" s="170"/>
      <c r="F658" s="170"/>
      <c r="G658" s="721"/>
      <c r="H658" s="170"/>
      <c r="I658" s="170"/>
      <c r="J658" s="170"/>
      <c r="K658" s="170"/>
      <c r="L658" s="170"/>
      <c r="M658" s="730"/>
      <c r="N658" s="730"/>
      <c r="O658" s="730"/>
      <c r="P658" s="731"/>
      <c r="Q658" s="731"/>
      <c r="R658" s="730"/>
      <c r="S658" s="730"/>
      <c r="T658" s="723"/>
      <c r="U658" s="724"/>
      <c r="V658" s="725"/>
      <c r="W658" s="725"/>
      <c r="X658" s="723"/>
      <c r="Y658" s="723"/>
      <c r="Z658" s="723"/>
      <c r="AA658" s="726"/>
      <c r="AB658" s="726"/>
      <c r="AC658" s="170"/>
      <c r="AD658" s="586"/>
      <c r="AE658" s="586"/>
      <c r="AF658" s="170"/>
      <c r="AG658" s="170"/>
      <c r="AH658" s="170"/>
      <c r="AI658" s="170"/>
      <c r="AJ658" s="170"/>
      <c r="AK658" s="170"/>
      <c r="AL658" s="170"/>
      <c r="AM658" s="170"/>
      <c r="AN658" s="170"/>
      <c r="AO658" s="170"/>
      <c r="AP658" s="170"/>
      <c r="AQ658" s="170"/>
      <c r="AR658" s="170"/>
      <c r="AS658" s="170"/>
    </row>
    <row r="659" spans="1:45" ht="15" x14ac:dyDescent="0.25">
      <c r="A659" s="170"/>
      <c r="B659" s="719">
        <v>743</v>
      </c>
      <c r="C659" s="170"/>
      <c r="D659" s="170"/>
      <c r="E659" s="170"/>
      <c r="F659" s="170"/>
      <c r="G659" s="721"/>
      <c r="H659" s="170"/>
      <c r="I659" s="170"/>
      <c r="J659" s="170"/>
      <c r="K659" s="170"/>
      <c r="L659" s="170"/>
      <c r="M659" s="730"/>
      <c r="N659" s="730"/>
      <c r="O659" s="730"/>
      <c r="P659" s="731"/>
      <c r="Q659" s="731"/>
      <c r="R659" s="730"/>
      <c r="S659" s="730"/>
      <c r="T659" s="723"/>
      <c r="U659" s="724"/>
      <c r="V659" s="725"/>
      <c r="W659" s="725"/>
      <c r="X659" s="723"/>
      <c r="Y659" s="723"/>
      <c r="Z659" s="723"/>
      <c r="AA659" s="726"/>
      <c r="AB659" s="726"/>
      <c r="AC659" s="170"/>
      <c r="AD659" s="586"/>
      <c r="AE659" s="586"/>
      <c r="AF659" s="170"/>
      <c r="AG659" s="170"/>
      <c r="AH659" s="170"/>
      <c r="AI659" s="170"/>
      <c r="AJ659" s="170"/>
      <c r="AK659" s="170"/>
      <c r="AL659" s="170"/>
      <c r="AM659" s="170"/>
      <c r="AN659" s="170"/>
      <c r="AO659" s="170"/>
      <c r="AP659" s="170"/>
      <c r="AQ659" s="170"/>
      <c r="AR659" s="170"/>
      <c r="AS659" s="170"/>
    </row>
    <row r="660" spans="1:45" ht="15" x14ac:dyDescent="0.25">
      <c r="A660" s="170"/>
      <c r="B660" s="719">
        <v>744</v>
      </c>
      <c r="C660" s="170"/>
      <c r="D660" s="170"/>
      <c r="E660" s="170"/>
      <c r="F660" s="170"/>
      <c r="G660" s="721"/>
      <c r="H660" s="170"/>
      <c r="I660" s="170"/>
      <c r="J660" s="170"/>
      <c r="K660" s="170"/>
      <c r="L660" s="170"/>
      <c r="M660" s="730"/>
      <c r="N660" s="730"/>
      <c r="O660" s="730"/>
      <c r="P660" s="731"/>
      <c r="Q660" s="731"/>
      <c r="R660" s="730"/>
      <c r="S660" s="730"/>
      <c r="T660" s="723"/>
      <c r="U660" s="724"/>
      <c r="V660" s="725"/>
      <c r="W660" s="725"/>
      <c r="X660" s="723"/>
      <c r="Y660" s="723"/>
      <c r="Z660" s="723"/>
      <c r="AA660" s="726"/>
      <c r="AB660" s="726"/>
      <c r="AC660" s="170"/>
      <c r="AD660" s="586"/>
      <c r="AE660" s="586"/>
      <c r="AF660" s="170"/>
      <c r="AG660" s="170"/>
      <c r="AH660" s="170"/>
      <c r="AI660" s="170"/>
      <c r="AJ660" s="170"/>
      <c r="AK660" s="170"/>
      <c r="AL660" s="170"/>
      <c r="AM660" s="170"/>
      <c r="AN660" s="170"/>
      <c r="AO660" s="170"/>
      <c r="AP660" s="170"/>
      <c r="AQ660" s="170"/>
      <c r="AR660" s="170"/>
      <c r="AS660" s="170"/>
    </row>
    <row r="661" spans="1:45" ht="15" x14ac:dyDescent="0.25">
      <c r="A661" s="170"/>
      <c r="B661" s="719">
        <v>745</v>
      </c>
      <c r="C661" s="170"/>
      <c r="D661" s="170"/>
      <c r="E661" s="170"/>
      <c r="F661" s="170"/>
      <c r="G661" s="721"/>
      <c r="H661" s="170"/>
      <c r="I661" s="170"/>
      <c r="J661" s="170"/>
      <c r="K661" s="170"/>
      <c r="L661" s="170"/>
      <c r="M661" s="730"/>
      <c r="N661" s="730"/>
      <c r="O661" s="730"/>
      <c r="P661" s="731"/>
      <c r="Q661" s="731"/>
      <c r="R661" s="730"/>
      <c r="S661" s="730"/>
      <c r="T661" s="723"/>
      <c r="U661" s="724"/>
      <c r="V661" s="725"/>
      <c r="W661" s="725"/>
      <c r="X661" s="723"/>
      <c r="Y661" s="723"/>
      <c r="Z661" s="723"/>
      <c r="AA661" s="726"/>
      <c r="AB661" s="726"/>
      <c r="AC661" s="170"/>
      <c r="AD661" s="586"/>
      <c r="AE661" s="586"/>
      <c r="AF661" s="170"/>
      <c r="AG661" s="170"/>
      <c r="AH661" s="170"/>
      <c r="AI661" s="170"/>
      <c r="AJ661" s="170"/>
      <c r="AK661" s="170"/>
      <c r="AL661" s="170"/>
      <c r="AM661" s="170"/>
      <c r="AN661" s="170"/>
      <c r="AO661" s="170"/>
      <c r="AP661" s="170"/>
      <c r="AQ661" s="170"/>
      <c r="AR661" s="170"/>
      <c r="AS661" s="170"/>
    </row>
    <row r="662" spans="1:45" ht="15" x14ac:dyDescent="0.25">
      <c r="A662" s="170"/>
      <c r="B662" s="719">
        <v>746</v>
      </c>
      <c r="C662" s="170"/>
      <c r="D662" s="170"/>
      <c r="E662" s="170"/>
      <c r="F662" s="170"/>
      <c r="G662" s="721"/>
      <c r="H662" s="170"/>
      <c r="I662" s="170"/>
      <c r="J662" s="170"/>
      <c r="K662" s="170"/>
      <c r="L662" s="170"/>
      <c r="M662" s="730"/>
      <c r="N662" s="730"/>
      <c r="O662" s="730"/>
      <c r="P662" s="731"/>
      <c r="Q662" s="731"/>
      <c r="R662" s="730"/>
      <c r="S662" s="730"/>
      <c r="T662" s="723"/>
      <c r="U662" s="724"/>
      <c r="V662" s="725"/>
      <c r="W662" s="725"/>
      <c r="X662" s="723"/>
      <c r="Y662" s="723"/>
      <c r="Z662" s="723"/>
      <c r="AA662" s="726"/>
      <c r="AB662" s="726"/>
      <c r="AC662" s="170"/>
      <c r="AD662" s="586"/>
      <c r="AE662" s="586"/>
      <c r="AF662" s="170"/>
      <c r="AG662" s="170"/>
      <c r="AH662" s="170"/>
      <c r="AI662" s="170"/>
      <c r="AJ662" s="170"/>
      <c r="AK662" s="170"/>
      <c r="AL662" s="170"/>
      <c r="AM662" s="170"/>
      <c r="AN662" s="170"/>
      <c r="AO662" s="170"/>
      <c r="AP662" s="170"/>
      <c r="AQ662" s="170"/>
      <c r="AR662" s="170"/>
      <c r="AS662" s="170"/>
    </row>
    <row r="663" spans="1:45" ht="15" x14ac:dyDescent="0.25">
      <c r="A663" s="170"/>
      <c r="B663" s="719">
        <v>747</v>
      </c>
      <c r="C663" s="170"/>
      <c r="D663" s="170"/>
      <c r="E663" s="170"/>
      <c r="F663" s="170"/>
      <c r="G663" s="721"/>
      <c r="H663" s="170"/>
      <c r="I663" s="170"/>
      <c r="J663" s="170"/>
      <c r="K663" s="170"/>
      <c r="L663" s="170"/>
      <c r="M663" s="730"/>
      <c r="N663" s="730"/>
      <c r="O663" s="730"/>
      <c r="P663" s="731"/>
      <c r="Q663" s="731"/>
      <c r="R663" s="730"/>
      <c r="S663" s="730"/>
      <c r="T663" s="723"/>
      <c r="U663" s="724"/>
      <c r="V663" s="725"/>
      <c r="W663" s="725"/>
      <c r="X663" s="723"/>
      <c r="Y663" s="723"/>
      <c r="Z663" s="723"/>
      <c r="AA663" s="726"/>
      <c r="AB663" s="726"/>
      <c r="AC663" s="170"/>
      <c r="AD663" s="586"/>
      <c r="AE663" s="586"/>
      <c r="AF663" s="170"/>
      <c r="AG663" s="170"/>
      <c r="AH663" s="170"/>
      <c r="AI663" s="170"/>
      <c r="AJ663" s="170"/>
      <c r="AK663" s="170"/>
      <c r="AL663" s="170"/>
      <c r="AM663" s="170"/>
      <c r="AN663" s="170"/>
      <c r="AO663" s="170"/>
      <c r="AP663" s="170"/>
      <c r="AQ663" s="170"/>
      <c r="AR663" s="170"/>
      <c r="AS663" s="170"/>
    </row>
    <row r="664" spans="1:45" ht="15" x14ac:dyDescent="0.25">
      <c r="A664" s="170"/>
      <c r="B664" s="719">
        <v>748</v>
      </c>
      <c r="C664" s="170"/>
      <c r="D664" s="170"/>
      <c r="E664" s="170"/>
      <c r="F664" s="170"/>
      <c r="G664" s="721"/>
      <c r="H664" s="170"/>
      <c r="I664" s="170"/>
      <c r="J664" s="170"/>
      <c r="K664" s="170"/>
      <c r="L664" s="170"/>
      <c r="M664" s="730"/>
      <c r="N664" s="730"/>
      <c r="O664" s="730"/>
      <c r="P664" s="731"/>
      <c r="Q664" s="731"/>
      <c r="R664" s="730"/>
      <c r="S664" s="730"/>
      <c r="T664" s="723"/>
      <c r="U664" s="724"/>
      <c r="V664" s="725"/>
      <c r="W664" s="725"/>
      <c r="X664" s="723"/>
      <c r="Y664" s="723"/>
      <c r="Z664" s="723"/>
      <c r="AA664" s="726"/>
      <c r="AB664" s="726"/>
      <c r="AC664" s="170"/>
      <c r="AD664" s="586"/>
      <c r="AE664" s="586"/>
      <c r="AF664" s="170"/>
      <c r="AG664" s="170"/>
      <c r="AH664" s="170"/>
      <c r="AI664" s="170"/>
      <c r="AJ664" s="170"/>
      <c r="AK664" s="170"/>
      <c r="AL664" s="170"/>
      <c r="AM664" s="170"/>
      <c r="AN664" s="170"/>
      <c r="AO664" s="170"/>
      <c r="AP664" s="170"/>
      <c r="AQ664" s="170"/>
      <c r="AR664" s="170"/>
      <c r="AS664" s="170"/>
    </row>
    <row r="665" spans="1:45" ht="15" x14ac:dyDescent="0.25">
      <c r="A665" s="170"/>
      <c r="B665" s="719">
        <v>749</v>
      </c>
      <c r="C665" s="170"/>
      <c r="D665" s="170"/>
      <c r="E665" s="170"/>
      <c r="F665" s="170"/>
      <c r="G665" s="721"/>
      <c r="H665" s="170"/>
      <c r="I665" s="170"/>
      <c r="J665" s="170"/>
      <c r="K665" s="170"/>
      <c r="L665" s="170"/>
      <c r="M665" s="730"/>
      <c r="N665" s="730"/>
      <c r="O665" s="730"/>
      <c r="P665" s="731"/>
      <c r="Q665" s="731"/>
      <c r="R665" s="730"/>
      <c r="S665" s="730"/>
      <c r="T665" s="723"/>
      <c r="U665" s="724"/>
      <c r="V665" s="725"/>
      <c r="W665" s="725"/>
      <c r="X665" s="723"/>
      <c r="Y665" s="723"/>
      <c r="Z665" s="723"/>
      <c r="AA665" s="726"/>
      <c r="AB665" s="726"/>
      <c r="AC665" s="170"/>
      <c r="AD665" s="586"/>
      <c r="AE665" s="586"/>
      <c r="AF665" s="170"/>
      <c r="AG665" s="170"/>
      <c r="AH665" s="170"/>
      <c r="AI665" s="170"/>
      <c r="AJ665" s="170"/>
      <c r="AK665" s="170"/>
      <c r="AL665" s="170"/>
      <c r="AM665" s="170"/>
      <c r="AN665" s="170"/>
      <c r="AO665" s="170"/>
      <c r="AP665" s="170"/>
      <c r="AQ665" s="170"/>
      <c r="AR665" s="170"/>
      <c r="AS665" s="170"/>
    </row>
    <row r="666" spans="1:45" ht="15" x14ac:dyDescent="0.25">
      <c r="A666" s="170"/>
      <c r="B666" s="719">
        <v>750</v>
      </c>
      <c r="C666" s="170"/>
      <c r="D666" s="170"/>
      <c r="E666" s="170"/>
      <c r="F666" s="170"/>
      <c r="G666" s="721"/>
      <c r="H666" s="170"/>
      <c r="I666" s="170"/>
      <c r="J666" s="170"/>
      <c r="K666" s="170"/>
      <c r="L666" s="170"/>
      <c r="M666" s="730"/>
      <c r="N666" s="730"/>
      <c r="O666" s="730"/>
      <c r="P666" s="731"/>
      <c r="Q666" s="731"/>
      <c r="R666" s="730"/>
      <c r="S666" s="730"/>
      <c r="T666" s="723"/>
      <c r="U666" s="724"/>
      <c r="V666" s="725"/>
      <c r="W666" s="725"/>
      <c r="X666" s="723"/>
      <c r="Y666" s="723"/>
      <c r="Z666" s="723"/>
      <c r="AA666" s="726"/>
      <c r="AB666" s="726"/>
      <c r="AC666" s="170"/>
      <c r="AD666" s="586"/>
      <c r="AE666" s="586"/>
      <c r="AF666" s="170"/>
      <c r="AG666" s="170"/>
      <c r="AH666" s="170"/>
      <c r="AI666" s="170"/>
      <c r="AJ666" s="170"/>
      <c r="AK666" s="170"/>
      <c r="AL666" s="170"/>
      <c r="AM666" s="170"/>
      <c r="AN666" s="170"/>
      <c r="AO666" s="170"/>
      <c r="AP666" s="170"/>
      <c r="AQ666" s="170"/>
      <c r="AR666" s="170"/>
      <c r="AS666" s="170"/>
    </row>
    <row r="667" spans="1:45" ht="15" x14ac:dyDescent="0.25">
      <c r="A667" s="170"/>
      <c r="B667" s="719">
        <v>751</v>
      </c>
      <c r="C667" s="170"/>
      <c r="D667" s="170"/>
      <c r="E667" s="170"/>
      <c r="F667" s="170"/>
      <c r="G667" s="721"/>
      <c r="H667" s="170"/>
      <c r="I667" s="170"/>
      <c r="J667" s="170"/>
      <c r="K667" s="170"/>
      <c r="L667" s="170"/>
      <c r="M667" s="730"/>
      <c r="N667" s="730"/>
      <c r="O667" s="730"/>
      <c r="P667" s="731"/>
      <c r="Q667" s="731"/>
      <c r="R667" s="730"/>
      <c r="S667" s="730"/>
      <c r="T667" s="723"/>
      <c r="U667" s="724"/>
      <c r="V667" s="725"/>
      <c r="W667" s="725"/>
      <c r="X667" s="723"/>
      <c r="Y667" s="723"/>
      <c r="Z667" s="723"/>
      <c r="AA667" s="726"/>
      <c r="AB667" s="726"/>
      <c r="AC667" s="170"/>
      <c r="AD667" s="586"/>
      <c r="AE667" s="586"/>
      <c r="AF667" s="170"/>
      <c r="AG667" s="170"/>
      <c r="AH667" s="170"/>
      <c r="AI667" s="170"/>
      <c r="AJ667" s="170"/>
      <c r="AK667" s="170"/>
      <c r="AL667" s="170"/>
      <c r="AM667" s="170"/>
      <c r="AN667" s="170"/>
      <c r="AO667" s="170"/>
      <c r="AP667" s="170"/>
      <c r="AQ667" s="170"/>
      <c r="AR667" s="170"/>
      <c r="AS667" s="170"/>
    </row>
    <row r="668" spans="1:45" ht="15" x14ac:dyDescent="0.25">
      <c r="A668" s="170"/>
      <c r="B668" s="719">
        <v>752</v>
      </c>
      <c r="C668" s="170"/>
      <c r="D668" s="170"/>
      <c r="E668" s="170"/>
      <c r="F668" s="170"/>
      <c r="G668" s="721"/>
      <c r="H668" s="170"/>
      <c r="I668" s="170"/>
      <c r="J668" s="170"/>
      <c r="K668" s="170"/>
      <c r="L668" s="170"/>
      <c r="M668" s="730"/>
      <c r="N668" s="730"/>
      <c r="O668" s="730"/>
      <c r="P668" s="731"/>
      <c r="Q668" s="731"/>
      <c r="R668" s="730"/>
      <c r="S668" s="730"/>
      <c r="T668" s="723"/>
      <c r="U668" s="724"/>
      <c r="V668" s="725"/>
      <c r="W668" s="725"/>
      <c r="X668" s="723"/>
      <c r="Y668" s="723"/>
      <c r="Z668" s="723"/>
      <c r="AA668" s="726"/>
      <c r="AB668" s="726"/>
      <c r="AC668" s="170"/>
      <c r="AD668" s="586"/>
      <c r="AE668" s="586"/>
      <c r="AF668" s="170"/>
      <c r="AG668" s="170"/>
      <c r="AH668" s="170"/>
      <c r="AI668" s="170"/>
      <c r="AJ668" s="170"/>
      <c r="AK668" s="170"/>
      <c r="AL668" s="170"/>
      <c r="AM668" s="170"/>
      <c r="AN668" s="170"/>
      <c r="AO668" s="170"/>
      <c r="AP668" s="170"/>
      <c r="AQ668" s="170"/>
      <c r="AR668" s="170"/>
      <c r="AS668" s="170"/>
    </row>
    <row r="669" spans="1:45" ht="15" x14ac:dyDescent="0.25">
      <c r="A669" s="170"/>
      <c r="B669" s="719">
        <v>753</v>
      </c>
      <c r="C669" s="170"/>
      <c r="D669" s="170"/>
      <c r="E669" s="170"/>
      <c r="F669" s="170"/>
      <c r="G669" s="721"/>
      <c r="H669" s="170"/>
      <c r="I669" s="170"/>
      <c r="J669" s="170"/>
      <c r="K669" s="170"/>
      <c r="L669" s="170"/>
      <c r="M669" s="730"/>
      <c r="N669" s="730"/>
      <c r="O669" s="730"/>
      <c r="P669" s="731"/>
      <c r="Q669" s="731"/>
      <c r="R669" s="730"/>
      <c r="S669" s="730"/>
      <c r="T669" s="723"/>
      <c r="U669" s="724"/>
      <c r="V669" s="725"/>
      <c r="W669" s="725"/>
      <c r="X669" s="723"/>
      <c r="Y669" s="723"/>
      <c r="Z669" s="723"/>
      <c r="AA669" s="726"/>
      <c r="AB669" s="726"/>
      <c r="AC669" s="170"/>
      <c r="AD669" s="586"/>
      <c r="AE669" s="586"/>
      <c r="AF669" s="170"/>
      <c r="AG669" s="170"/>
      <c r="AH669" s="170"/>
      <c r="AI669" s="170"/>
      <c r="AJ669" s="170"/>
      <c r="AK669" s="170"/>
      <c r="AL669" s="170"/>
      <c r="AM669" s="170"/>
      <c r="AN669" s="170"/>
      <c r="AO669" s="170"/>
      <c r="AP669" s="170"/>
      <c r="AQ669" s="170"/>
      <c r="AR669" s="170"/>
      <c r="AS669" s="170"/>
    </row>
    <row r="670" spans="1:45" ht="15" x14ac:dyDescent="0.25">
      <c r="A670" s="170"/>
      <c r="B670" s="719">
        <v>754</v>
      </c>
      <c r="C670" s="170"/>
      <c r="D670" s="170"/>
      <c r="E670" s="170"/>
      <c r="F670" s="170"/>
      <c r="G670" s="721"/>
      <c r="H670" s="170"/>
      <c r="I670" s="170"/>
      <c r="J670" s="170"/>
      <c r="K670" s="170"/>
      <c r="L670" s="170"/>
      <c r="M670" s="730"/>
      <c r="N670" s="730"/>
      <c r="O670" s="730"/>
      <c r="P670" s="731"/>
      <c r="Q670" s="731"/>
      <c r="R670" s="730"/>
      <c r="S670" s="730"/>
      <c r="T670" s="723"/>
      <c r="U670" s="724"/>
      <c r="V670" s="725"/>
      <c r="W670" s="725"/>
      <c r="X670" s="723"/>
      <c r="Y670" s="723"/>
      <c r="Z670" s="723"/>
      <c r="AA670" s="726"/>
      <c r="AB670" s="726"/>
      <c r="AC670" s="170"/>
      <c r="AD670" s="586"/>
      <c r="AE670" s="586"/>
      <c r="AF670" s="170"/>
      <c r="AG670" s="170"/>
      <c r="AH670" s="170"/>
      <c r="AI670" s="170"/>
      <c r="AJ670" s="170"/>
      <c r="AK670" s="170"/>
      <c r="AL670" s="170"/>
      <c r="AM670" s="170"/>
      <c r="AN670" s="170"/>
      <c r="AO670" s="170"/>
      <c r="AP670" s="170"/>
      <c r="AQ670" s="170"/>
      <c r="AR670" s="170"/>
      <c r="AS670" s="170"/>
    </row>
    <row r="671" spans="1:45" ht="15" x14ac:dyDescent="0.25">
      <c r="A671" s="170"/>
      <c r="B671" s="719">
        <v>755</v>
      </c>
      <c r="C671" s="170"/>
      <c r="D671" s="170"/>
      <c r="E671" s="170"/>
      <c r="F671" s="170"/>
      <c r="G671" s="721"/>
      <c r="H671" s="170"/>
      <c r="I671" s="170"/>
      <c r="J671" s="170"/>
      <c r="K671" s="170"/>
      <c r="L671" s="170"/>
      <c r="M671" s="730"/>
      <c r="N671" s="730"/>
      <c r="O671" s="730"/>
      <c r="P671" s="731"/>
      <c r="Q671" s="731"/>
      <c r="R671" s="730"/>
      <c r="S671" s="730"/>
      <c r="T671" s="723"/>
      <c r="U671" s="724"/>
      <c r="V671" s="725"/>
      <c r="W671" s="725"/>
      <c r="X671" s="723"/>
      <c r="Y671" s="723"/>
      <c r="Z671" s="723"/>
      <c r="AA671" s="726"/>
      <c r="AB671" s="726"/>
      <c r="AC671" s="170"/>
      <c r="AD671" s="586"/>
      <c r="AE671" s="586"/>
      <c r="AF671" s="170"/>
      <c r="AG671" s="170"/>
      <c r="AH671" s="170"/>
      <c r="AI671" s="170"/>
      <c r="AJ671" s="170"/>
      <c r="AK671" s="170"/>
      <c r="AL671" s="170"/>
      <c r="AM671" s="170"/>
      <c r="AN671" s="170"/>
      <c r="AO671" s="170"/>
      <c r="AP671" s="170"/>
      <c r="AQ671" s="170"/>
      <c r="AR671" s="170"/>
      <c r="AS671" s="170"/>
    </row>
    <row r="672" spans="1:45" ht="15" x14ac:dyDescent="0.25">
      <c r="A672" s="170"/>
      <c r="B672" s="719">
        <v>756</v>
      </c>
      <c r="C672" s="170"/>
      <c r="D672" s="170"/>
      <c r="E672" s="170"/>
      <c r="F672" s="170"/>
      <c r="G672" s="721"/>
      <c r="H672" s="170"/>
      <c r="I672" s="170"/>
      <c r="J672" s="170"/>
      <c r="K672" s="170"/>
      <c r="L672" s="170"/>
      <c r="M672" s="730"/>
      <c r="N672" s="730"/>
      <c r="O672" s="730"/>
      <c r="P672" s="731"/>
      <c r="Q672" s="731"/>
      <c r="R672" s="730"/>
      <c r="S672" s="730"/>
      <c r="T672" s="723"/>
      <c r="U672" s="724"/>
      <c r="V672" s="725"/>
      <c r="W672" s="725"/>
      <c r="X672" s="723"/>
      <c r="Y672" s="723"/>
      <c r="Z672" s="723"/>
      <c r="AA672" s="726"/>
      <c r="AB672" s="726"/>
      <c r="AC672" s="170"/>
      <c r="AD672" s="586"/>
      <c r="AE672" s="586"/>
      <c r="AF672" s="170"/>
      <c r="AG672" s="170"/>
      <c r="AH672" s="170"/>
      <c r="AI672" s="170"/>
      <c r="AJ672" s="170"/>
      <c r="AK672" s="170"/>
      <c r="AL672" s="170"/>
      <c r="AM672" s="170"/>
      <c r="AN672" s="170"/>
      <c r="AO672" s="170"/>
      <c r="AP672" s="170"/>
      <c r="AQ672" s="170"/>
      <c r="AR672" s="170"/>
      <c r="AS672" s="170"/>
    </row>
    <row r="673" spans="1:45" ht="15" x14ac:dyDescent="0.25">
      <c r="A673" s="170"/>
      <c r="B673" s="719">
        <v>757</v>
      </c>
      <c r="C673" s="170"/>
      <c r="D673" s="170"/>
      <c r="E673" s="170"/>
      <c r="F673" s="170"/>
      <c r="G673" s="721"/>
      <c r="H673" s="170"/>
      <c r="I673" s="170"/>
      <c r="J673" s="170"/>
      <c r="K673" s="170"/>
      <c r="L673" s="170"/>
      <c r="M673" s="730"/>
      <c r="N673" s="730"/>
      <c r="O673" s="730"/>
      <c r="P673" s="731"/>
      <c r="Q673" s="731"/>
      <c r="R673" s="730"/>
      <c r="S673" s="730"/>
      <c r="T673" s="723"/>
      <c r="U673" s="724"/>
      <c r="V673" s="725"/>
      <c r="W673" s="725"/>
      <c r="X673" s="723"/>
      <c r="Y673" s="723"/>
      <c r="Z673" s="723"/>
      <c r="AA673" s="726"/>
      <c r="AB673" s="726"/>
      <c r="AC673" s="170"/>
      <c r="AD673" s="586"/>
      <c r="AE673" s="586"/>
      <c r="AF673" s="170"/>
      <c r="AG673" s="170"/>
      <c r="AH673" s="170"/>
      <c r="AI673" s="170"/>
      <c r="AJ673" s="170"/>
      <c r="AK673" s="170"/>
      <c r="AL673" s="170"/>
      <c r="AM673" s="170"/>
      <c r="AN673" s="170"/>
      <c r="AO673" s="170"/>
      <c r="AP673" s="170"/>
      <c r="AQ673" s="170"/>
      <c r="AR673" s="170"/>
      <c r="AS673" s="170"/>
    </row>
    <row r="674" spans="1:45" ht="15" x14ac:dyDescent="0.25">
      <c r="A674" s="170"/>
      <c r="B674" s="719">
        <v>758</v>
      </c>
      <c r="C674" s="170"/>
      <c r="D674" s="170"/>
      <c r="E674" s="170"/>
      <c r="F674" s="170"/>
      <c r="G674" s="721"/>
      <c r="H674" s="170"/>
      <c r="I674" s="170"/>
      <c r="J674" s="170"/>
      <c r="K674" s="170"/>
      <c r="L674" s="170"/>
      <c r="M674" s="730"/>
      <c r="N674" s="730"/>
      <c r="O674" s="730"/>
      <c r="P674" s="731"/>
      <c r="Q674" s="731"/>
      <c r="R674" s="730"/>
      <c r="S674" s="730"/>
      <c r="T674" s="723"/>
      <c r="U674" s="724"/>
      <c r="V674" s="725"/>
      <c r="W674" s="725"/>
      <c r="X674" s="723"/>
      <c r="Y674" s="723"/>
      <c r="Z674" s="723"/>
      <c r="AA674" s="726"/>
      <c r="AB674" s="726"/>
      <c r="AC674" s="170"/>
      <c r="AD674" s="586"/>
      <c r="AE674" s="586"/>
      <c r="AF674" s="170"/>
      <c r="AG674" s="170"/>
      <c r="AH674" s="170"/>
      <c r="AI674" s="170"/>
      <c r="AJ674" s="170"/>
      <c r="AK674" s="170"/>
      <c r="AL674" s="170"/>
      <c r="AM674" s="170"/>
      <c r="AN674" s="170"/>
      <c r="AO674" s="170"/>
      <c r="AP674" s="170"/>
      <c r="AQ674" s="170"/>
      <c r="AR674" s="170"/>
      <c r="AS674" s="170"/>
    </row>
    <row r="675" spans="1:45" ht="15" x14ac:dyDescent="0.25">
      <c r="A675" s="170"/>
      <c r="B675" s="719">
        <v>759</v>
      </c>
      <c r="C675" s="170"/>
      <c r="D675" s="170"/>
      <c r="E675" s="170"/>
      <c r="F675" s="170"/>
      <c r="G675" s="721"/>
      <c r="H675" s="170"/>
      <c r="I675" s="170"/>
      <c r="J675" s="170"/>
      <c r="K675" s="170"/>
      <c r="L675" s="170"/>
      <c r="M675" s="730"/>
      <c r="N675" s="730"/>
      <c r="O675" s="730"/>
      <c r="P675" s="731"/>
      <c r="Q675" s="731"/>
      <c r="R675" s="730"/>
      <c r="S675" s="730"/>
      <c r="T675" s="723"/>
      <c r="U675" s="724"/>
      <c r="V675" s="725"/>
      <c r="W675" s="725"/>
      <c r="X675" s="723"/>
      <c r="Y675" s="723"/>
      <c r="Z675" s="723"/>
      <c r="AA675" s="726"/>
      <c r="AB675" s="726"/>
      <c r="AC675" s="170"/>
      <c r="AD675" s="586"/>
      <c r="AE675" s="586"/>
      <c r="AF675" s="170"/>
      <c r="AG675" s="170"/>
      <c r="AH675" s="170"/>
      <c r="AI675" s="170"/>
      <c r="AJ675" s="170"/>
      <c r="AK675" s="170"/>
      <c r="AL675" s="170"/>
      <c r="AM675" s="170"/>
      <c r="AN675" s="170"/>
      <c r="AO675" s="170"/>
      <c r="AP675" s="170"/>
      <c r="AQ675" s="170"/>
      <c r="AR675" s="170"/>
      <c r="AS675" s="170"/>
    </row>
    <row r="676" spans="1:45" ht="15" x14ac:dyDescent="0.25">
      <c r="A676" s="170"/>
      <c r="B676" s="719">
        <v>760</v>
      </c>
      <c r="C676" s="170"/>
      <c r="D676" s="170"/>
      <c r="E676" s="170"/>
      <c r="F676" s="170"/>
      <c r="G676" s="721"/>
      <c r="H676" s="170"/>
      <c r="I676" s="170"/>
      <c r="J676" s="170"/>
      <c r="K676" s="170"/>
      <c r="L676" s="170"/>
      <c r="M676" s="730"/>
      <c r="N676" s="730"/>
      <c r="O676" s="730"/>
      <c r="P676" s="731"/>
      <c r="Q676" s="731"/>
      <c r="R676" s="730"/>
      <c r="S676" s="730"/>
      <c r="T676" s="723"/>
      <c r="U676" s="724"/>
      <c r="V676" s="725"/>
      <c r="W676" s="725"/>
      <c r="X676" s="723"/>
      <c r="Y676" s="723"/>
      <c r="Z676" s="723"/>
      <c r="AA676" s="726"/>
      <c r="AB676" s="726"/>
      <c r="AC676" s="170"/>
      <c r="AD676" s="586"/>
      <c r="AE676" s="586"/>
      <c r="AF676" s="170"/>
      <c r="AG676" s="170"/>
      <c r="AH676" s="170"/>
      <c r="AI676" s="170"/>
      <c r="AJ676" s="170"/>
      <c r="AK676" s="170"/>
      <c r="AL676" s="170"/>
      <c r="AM676" s="170"/>
      <c r="AN676" s="170"/>
      <c r="AO676" s="170"/>
      <c r="AP676" s="170"/>
      <c r="AQ676" s="170"/>
      <c r="AR676" s="170"/>
      <c r="AS676" s="170"/>
    </row>
    <row r="677" spans="1:45" ht="15" x14ac:dyDescent="0.25">
      <c r="A677" s="170"/>
      <c r="B677" s="719">
        <v>761</v>
      </c>
      <c r="C677" s="170"/>
      <c r="D677" s="170"/>
      <c r="E677" s="170"/>
      <c r="F677" s="170"/>
      <c r="G677" s="721"/>
      <c r="H677" s="170"/>
      <c r="I677" s="170"/>
      <c r="J677" s="170"/>
      <c r="K677" s="170"/>
      <c r="L677" s="170"/>
      <c r="M677" s="730"/>
      <c r="N677" s="730"/>
      <c r="O677" s="730"/>
      <c r="P677" s="731"/>
      <c r="Q677" s="731"/>
      <c r="R677" s="730"/>
      <c r="S677" s="730"/>
      <c r="T677" s="723"/>
      <c r="U677" s="724"/>
      <c r="V677" s="725"/>
      <c r="W677" s="725"/>
      <c r="X677" s="723"/>
      <c r="Y677" s="723"/>
      <c r="Z677" s="723"/>
      <c r="AA677" s="726"/>
      <c r="AB677" s="726"/>
      <c r="AC677" s="170"/>
      <c r="AD677" s="586"/>
      <c r="AE677" s="586"/>
      <c r="AF677" s="170"/>
      <c r="AG677" s="170"/>
      <c r="AH677" s="170"/>
      <c r="AI677" s="170"/>
      <c r="AJ677" s="170"/>
      <c r="AK677" s="170"/>
      <c r="AL677" s="170"/>
      <c r="AM677" s="170"/>
      <c r="AN677" s="170"/>
      <c r="AO677" s="170"/>
      <c r="AP677" s="170"/>
      <c r="AQ677" s="170"/>
      <c r="AR677" s="170"/>
      <c r="AS677" s="170"/>
    </row>
    <row r="678" spans="1:45" ht="15" x14ac:dyDescent="0.25">
      <c r="A678" s="170"/>
      <c r="B678" s="719">
        <v>762</v>
      </c>
      <c r="C678" s="170"/>
      <c r="D678" s="170"/>
      <c r="E678" s="170"/>
      <c r="F678" s="170"/>
      <c r="G678" s="721"/>
      <c r="H678" s="170"/>
      <c r="I678" s="170"/>
      <c r="J678" s="170"/>
      <c r="K678" s="170"/>
      <c r="L678" s="170"/>
      <c r="M678" s="730"/>
      <c r="N678" s="730"/>
      <c r="O678" s="730"/>
      <c r="P678" s="731"/>
      <c r="Q678" s="731"/>
      <c r="R678" s="730"/>
      <c r="S678" s="730"/>
      <c r="T678" s="723"/>
      <c r="U678" s="724"/>
      <c r="V678" s="725"/>
      <c r="W678" s="725"/>
      <c r="X678" s="723"/>
      <c r="Y678" s="723"/>
      <c r="Z678" s="723"/>
      <c r="AA678" s="726"/>
      <c r="AB678" s="726"/>
      <c r="AC678" s="170"/>
      <c r="AD678" s="586"/>
      <c r="AE678" s="586"/>
      <c r="AF678" s="170"/>
      <c r="AG678" s="170"/>
      <c r="AH678" s="170"/>
      <c r="AI678" s="170"/>
      <c r="AJ678" s="170"/>
      <c r="AK678" s="170"/>
      <c r="AL678" s="170"/>
      <c r="AM678" s="170"/>
      <c r="AN678" s="170"/>
      <c r="AO678" s="170"/>
      <c r="AP678" s="170"/>
      <c r="AQ678" s="170"/>
      <c r="AR678" s="170"/>
      <c r="AS678" s="170"/>
    </row>
    <row r="679" spans="1:45" ht="15" x14ac:dyDescent="0.25">
      <c r="A679" s="170"/>
      <c r="B679" s="719">
        <v>763</v>
      </c>
      <c r="C679" s="170"/>
      <c r="D679" s="170"/>
      <c r="E679" s="170"/>
      <c r="F679" s="170"/>
      <c r="G679" s="721"/>
      <c r="H679" s="170"/>
      <c r="I679" s="170"/>
      <c r="J679" s="170"/>
      <c r="K679" s="170"/>
      <c r="L679" s="170"/>
      <c r="M679" s="730"/>
      <c r="N679" s="730"/>
      <c r="O679" s="730"/>
      <c r="P679" s="731"/>
      <c r="Q679" s="731"/>
      <c r="R679" s="730"/>
      <c r="S679" s="730"/>
      <c r="T679" s="723"/>
      <c r="U679" s="724"/>
      <c r="V679" s="725"/>
      <c r="W679" s="725"/>
      <c r="X679" s="723"/>
      <c r="Y679" s="723"/>
      <c r="Z679" s="723"/>
      <c r="AA679" s="726"/>
      <c r="AB679" s="726"/>
      <c r="AC679" s="170"/>
      <c r="AD679" s="586"/>
      <c r="AE679" s="586"/>
      <c r="AF679" s="170"/>
      <c r="AG679" s="170"/>
      <c r="AH679" s="170"/>
      <c r="AI679" s="170"/>
      <c r="AJ679" s="170"/>
      <c r="AK679" s="170"/>
      <c r="AL679" s="170"/>
      <c r="AM679" s="170"/>
      <c r="AN679" s="170"/>
      <c r="AO679" s="170"/>
      <c r="AP679" s="170"/>
      <c r="AQ679" s="170"/>
      <c r="AR679" s="170"/>
      <c r="AS679" s="170"/>
    </row>
    <row r="680" spans="1:45" ht="15" x14ac:dyDescent="0.25">
      <c r="A680" s="170"/>
      <c r="B680" s="719">
        <v>764</v>
      </c>
      <c r="C680" s="170"/>
      <c r="D680" s="170"/>
      <c r="E680" s="170"/>
      <c r="F680" s="170"/>
      <c r="G680" s="721"/>
      <c r="H680" s="170"/>
      <c r="I680" s="170"/>
      <c r="J680" s="170"/>
      <c r="K680" s="170"/>
      <c r="L680" s="170"/>
      <c r="M680" s="730"/>
      <c r="N680" s="730"/>
      <c r="O680" s="730"/>
      <c r="P680" s="731"/>
      <c r="Q680" s="731"/>
      <c r="R680" s="730"/>
      <c r="S680" s="730"/>
      <c r="T680" s="723"/>
      <c r="U680" s="724"/>
      <c r="V680" s="725"/>
      <c r="W680" s="725"/>
      <c r="X680" s="723"/>
      <c r="Y680" s="723"/>
      <c r="Z680" s="723"/>
      <c r="AA680" s="726"/>
      <c r="AB680" s="726"/>
      <c r="AC680" s="170"/>
      <c r="AD680" s="586"/>
      <c r="AE680" s="586"/>
      <c r="AF680" s="170"/>
      <c r="AG680" s="170"/>
      <c r="AH680" s="170"/>
      <c r="AI680" s="170"/>
      <c r="AJ680" s="170"/>
      <c r="AK680" s="170"/>
      <c r="AL680" s="170"/>
      <c r="AM680" s="170"/>
      <c r="AN680" s="170"/>
      <c r="AO680" s="170"/>
      <c r="AP680" s="170"/>
      <c r="AQ680" s="170"/>
      <c r="AR680" s="170"/>
      <c r="AS680" s="170"/>
    </row>
    <row r="681" spans="1:45" ht="15" x14ac:dyDescent="0.25">
      <c r="A681" s="170"/>
      <c r="B681" s="719">
        <v>765</v>
      </c>
      <c r="C681" s="170"/>
      <c r="D681" s="170"/>
      <c r="E681" s="170"/>
      <c r="F681" s="170"/>
      <c r="G681" s="721"/>
      <c r="H681" s="170"/>
      <c r="I681" s="170"/>
      <c r="J681" s="170"/>
      <c r="K681" s="170"/>
      <c r="L681" s="170"/>
      <c r="M681" s="730"/>
      <c r="N681" s="730"/>
      <c r="O681" s="730"/>
      <c r="P681" s="731"/>
      <c r="Q681" s="731"/>
      <c r="R681" s="730"/>
      <c r="S681" s="730"/>
      <c r="T681" s="723"/>
      <c r="U681" s="724"/>
      <c r="V681" s="725"/>
      <c r="W681" s="725"/>
      <c r="X681" s="723"/>
      <c r="Y681" s="723"/>
      <c r="Z681" s="723"/>
      <c r="AA681" s="726"/>
      <c r="AB681" s="726"/>
      <c r="AC681" s="170"/>
      <c r="AD681" s="586"/>
      <c r="AE681" s="586"/>
      <c r="AF681" s="170"/>
      <c r="AG681" s="170"/>
      <c r="AH681" s="170"/>
      <c r="AI681" s="170"/>
      <c r="AJ681" s="170"/>
      <c r="AK681" s="170"/>
      <c r="AL681" s="170"/>
      <c r="AM681" s="170"/>
      <c r="AN681" s="170"/>
      <c r="AO681" s="170"/>
      <c r="AP681" s="170"/>
      <c r="AQ681" s="170"/>
      <c r="AR681" s="170"/>
      <c r="AS681" s="170"/>
    </row>
    <row r="682" spans="1:45" ht="15" x14ac:dyDescent="0.25">
      <c r="A682" s="170"/>
      <c r="B682" s="719">
        <v>766</v>
      </c>
      <c r="C682" s="170"/>
      <c r="D682" s="170"/>
      <c r="E682" s="170"/>
      <c r="F682" s="170"/>
      <c r="G682" s="721"/>
      <c r="H682" s="170"/>
      <c r="I682" s="170"/>
      <c r="J682" s="170"/>
      <c r="K682" s="170"/>
      <c r="L682" s="170"/>
      <c r="M682" s="730"/>
      <c r="N682" s="730"/>
      <c r="O682" s="730"/>
      <c r="P682" s="731"/>
      <c r="Q682" s="731"/>
      <c r="R682" s="730"/>
      <c r="S682" s="730"/>
      <c r="T682" s="723"/>
      <c r="U682" s="724"/>
      <c r="V682" s="725"/>
      <c r="W682" s="725"/>
      <c r="X682" s="723"/>
      <c r="Y682" s="723"/>
      <c r="Z682" s="723"/>
      <c r="AA682" s="726"/>
      <c r="AB682" s="726"/>
      <c r="AC682" s="170"/>
      <c r="AD682" s="586"/>
      <c r="AE682" s="586"/>
      <c r="AF682" s="170"/>
      <c r="AG682" s="170"/>
      <c r="AH682" s="170"/>
      <c r="AI682" s="170"/>
      <c r="AJ682" s="170"/>
      <c r="AK682" s="170"/>
      <c r="AL682" s="170"/>
      <c r="AM682" s="170"/>
      <c r="AN682" s="170"/>
      <c r="AO682" s="170"/>
      <c r="AP682" s="170"/>
      <c r="AQ682" s="170"/>
      <c r="AR682" s="170"/>
      <c r="AS682" s="170"/>
    </row>
    <row r="683" spans="1:45" ht="15" x14ac:dyDescent="0.25">
      <c r="A683" s="170"/>
      <c r="B683" s="719">
        <v>767</v>
      </c>
      <c r="C683" s="170"/>
      <c r="D683" s="170"/>
      <c r="E683" s="170"/>
      <c r="F683" s="170"/>
      <c r="G683" s="721"/>
      <c r="H683" s="170"/>
      <c r="I683" s="170"/>
      <c r="J683" s="170"/>
      <c r="K683" s="170"/>
      <c r="L683" s="170"/>
      <c r="M683" s="730"/>
      <c r="N683" s="730"/>
      <c r="O683" s="730"/>
      <c r="P683" s="731"/>
      <c r="Q683" s="731"/>
      <c r="R683" s="730"/>
      <c r="S683" s="730"/>
      <c r="T683" s="723"/>
      <c r="U683" s="724"/>
      <c r="V683" s="725"/>
      <c r="W683" s="725"/>
      <c r="X683" s="723"/>
      <c r="Y683" s="723"/>
      <c r="Z683" s="723"/>
      <c r="AA683" s="726"/>
      <c r="AB683" s="726"/>
      <c r="AC683" s="170"/>
      <c r="AD683" s="586"/>
      <c r="AE683" s="586"/>
      <c r="AF683" s="170"/>
      <c r="AG683" s="170"/>
      <c r="AH683" s="170"/>
      <c r="AI683" s="170"/>
      <c r="AJ683" s="170"/>
      <c r="AK683" s="170"/>
      <c r="AL683" s="170"/>
      <c r="AM683" s="170"/>
      <c r="AN683" s="170"/>
      <c r="AO683" s="170"/>
      <c r="AP683" s="170"/>
      <c r="AQ683" s="170"/>
      <c r="AR683" s="170"/>
      <c r="AS683" s="170"/>
    </row>
    <row r="684" spans="1:45" ht="15" x14ac:dyDescent="0.25">
      <c r="A684" s="170"/>
      <c r="B684" s="719">
        <v>768</v>
      </c>
      <c r="C684" s="170"/>
      <c r="D684" s="170"/>
      <c r="E684" s="170"/>
      <c r="F684" s="170"/>
      <c r="G684" s="721"/>
      <c r="H684" s="170"/>
      <c r="I684" s="170"/>
      <c r="J684" s="170"/>
      <c r="K684" s="170"/>
      <c r="L684" s="170"/>
      <c r="M684" s="730"/>
      <c r="N684" s="730"/>
      <c r="O684" s="730"/>
      <c r="P684" s="731"/>
      <c r="Q684" s="731"/>
      <c r="R684" s="730"/>
      <c r="S684" s="730"/>
      <c r="T684" s="723"/>
      <c r="U684" s="724"/>
      <c r="V684" s="725"/>
      <c r="W684" s="725"/>
      <c r="X684" s="723"/>
      <c r="Y684" s="723"/>
      <c r="Z684" s="723"/>
      <c r="AA684" s="726"/>
      <c r="AB684" s="726"/>
      <c r="AC684" s="170"/>
      <c r="AD684" s="586"/>
      <c r="AE684" s="586"/>
      <c r="AF684" s="170"/>
      <c r="AG684" s="170"/>
      <c r="AH684" s="170"/>
      <c r="AI684" s="170"/>
      <c r="AJ684" s="170"/>
      <c r="AK684" s="170"/>
      <c r="AL684" s="170"/>
      <c r="AM684" s="170"/>
      <c r="AN684" s="170"/>
      <c r="AO684" s="170"/>
      <c r="AP684" s="170"/>
      <c r="AQ684" s="170"/>
      <c r="AR684" s="170"/>
      <c r="AS684" s="170"/>
    </row>
    <row r="685" spans="1:45" ht="15" x14ac:dyDescent="0.25">
      <c r="A685" s="170"/>
      <c r="B685" s="719">
        <v>769</v>
      </c>
      <c r="C685" s="170"/>
      <c r="D685" s="170"/>
      <c r="E685" s="170"/>
      <c r="F685" s="170"/>
      <c r="G685" s="721"/>
      <c r="H685" s="170"/>
      <c r="I685" s="170"/>
      <c r="J685" s="170"/>
      <c r="K685" s="170"/>
      <c r="L685" s="170"/>
      <c r="M685" s="730"/>
      <c r="N685" s="730"/>
      <c r="O685" s="730"/>
      <c r="P685" s="731"/>
      <c r="Q685" s="731"/>
      <c r="R685" s="730"/>
      <c r="S685" s="730"/>
      <c r="T685" s="723"/>
      <c r="U685" s="724"/>
      <c r="V685" s="725"/>
      <c r="W685" s="725"/>
      <c r="X685" s="723"/>
      <c r="Y685" s="723"/>
      <c r="Z685" s="723"/>
      <c r="AA685" s="726"/>
      <c r="AB685" s="726"/>
      <c r="AC685" s="170"/>
      <c r="AD685" s="586"/>
      <c r="AE685" s="586"/>
      <c r="AF685" s="170"/>
      <c r="AG685" s="170"/>
      <c r="AH685" s="170"/>
      <c r="AI685" s="170"/>
      <c r="AJ685" s="170"/>
      <c r="AK685" s="170"/>
      <c r="AL685" s="170"/>
      <c r="AM685" s="170"/>
      <c r="AN685" s="170"/>
      <c r="AO685" s="170"/>
      <c r="AP685" s="170"/>
      <c r="AQ685" s="170"/>
      <c r="AR685" s="170"/>
      <c r="AS685" s="170"/>
    </row>
    <row r="686" spans="1:45" ht="15" x14ac:dyDescent="0.25">
      <c r="A686" s="170"/>
      <c r="B686" s="719">
        <v>770</v>
      </c>
      <c r="C686" s="170"/>
      <c r="D686" s="170"/>
      <c r="E686" s="170"/>
      <c r="F686" s="170"/>
      <c r="G686" s="721"/>
      <c r="H686" s="170"/>
      <c r="I686" s="170"/>
      <c r="J686" s="170"/>
      <c r="K686" s="170"/>
      <c r="L686" s="170"/>
      <c r="M686" s="730"/>
      <c r="N686" s="730"/>
      <c r="O686" s="730"/>
      <c r="P686" s="731"/>
      <c r="Q686" s="731"/>
      <c r="R686" s="730"/>
      <c r="S686" s="730"/>
      <c r="T686" s="723"/>
      <c r="U686" s="724"/>
      <c r="V686" s="725"/>
      <c r="W686" s="725"/>
      <c r="X686" s="723"/>
      <c r="Y686" s="723"/>
      <c r="Z686" s="723"/>
      <c r="AA686" s="726"/>
      <c r="AB686" s="726"/>
      <c r="AC686" s="170"/>
      <c r="AD686" s="586"/>
      <c r="AE686" s="586"/>
      <c r="AF686" s="170"/>
      <c r="AG686" s="170"/>
      <c r="AH686" s="170"/>
      <c r="AI686" s="170"/>
      <c r="AJ686" s="170"/>
      <c r="AK686" s="170"/>
      <c r="AL686" s="170"/>
      <c r="AM686" s="170"/>
      <c r="AN686" s="170"/>
      <c r="AO686" s="170"/>
      <c r="AP686" s="170"/>
      <c r="AQ686" s="170"/>
      <c r="AR686" s="170"/>
      <c r="AS686" s="170"/>
    </row>
    <row r="687" spans="1:45" ht="15" x14ac:dyDescent="0.25">
      <c r="A687" s="170"/>
      <c r="B687" s="719">
        <v>771</v>
      </c>
      <c r="C687" s="170"/>
      <c r="D687" s="170"/>
      <c r="E687" s="170"/>
      <c r="F687" s="170"/>
      <c r="G687" s="721"/>
      <c r="H687" s="170"/>
      <c r="I687" s="170"/>
      <c r="J687" s="170"/>
      <c r="K687" s="170"/>
      <c r="L687" s="170"/>
      <c r="M687" s="730"/>
      <c r="N687" s="730"/>
      <c r="O687" s="730"/>
      <c r="P687" s="731"/>
      <c r="Q687" s="731"/>
      <c r="R687" s="730"/>
      <c r="S687" s="730"/>
      <c r="T687" s="723"/>
      <c r="U687" s="724"/>
      <c r="V687" s="725"/>
      <c r="W687" s="725"/>
      <c r="X687" s="723"/>
      <c r="Y687" s="723"/>
      <c r="Z687" s="723"/>
      <c r="AA687" s="726"/>
      <c r="AB687" s="726"/>
      <c r="AC687" s="170"/>
      <c r="AD687" s="586"/>
      <c r="AE687" s="586"/>
      <c r="AF687" s="170"/>
      <c r="AG687" s="170"/>
      <c r="AH687" s="170"/>
      <c r="AI687" s="170"/>
      <c r="AJ687" s="170"/>
      <c r="AK687" s="170"/>
      <c r="AL687" s="170"/>
      <c r="AM687" s="170"/>
      <c r="AN687" s="170"/>
      <c r="AO687" s="170"/>
      <c r="AP687" s="170"/>
      <c r="AQ687" s="170"/>
      <c r="AR687" s="170"/>
      <c r="AS687" s="170"/>
    </row>
    <row r="688" spans="1:45" ht="15" x14ac:dyDescent="0.25">
      <c r="A688" s="170"/>
      <c r="B688" s="719">
        <v>772</v>
      </c>
      <c r="C688" s="170"/>
      <c r="D688" s="170"/>
      <c r="E688" s="170"/>
      <c r="F688" s="170"/>
      <c r="G688" s="721"/>
      <c r="H688" s="170"/>
      <c r="I688" s="170"/>
      <c r="J688" s="170"/>
      <c r="K688" s="170"/>
      <c r="L688" s="170"/>
      <c r="M688" s="730"/>
      <c r="N688" s="730"/>
      <c r="O688" s="730"/>
      <c r="P688" s="731"/>
      <c r="Q688" s="731"/>
      <c r="R688" s="730"/>
      <c r="S688" s="730"/>
      <c r="T688" s="723"/>
      <c r="U688" s="724"/>
      <c r="V688" s="725"/>
      <c r="W688" s="725"/>
      <c r="X688" s="723"/>
      <c r="Y688" s="723"/>
      <c r="Z688" s="723"/>
      <c r="AA688" s="726"/>
      <c r="AB688" s="726"/>
      <c r="AC688" s="170"/>
      <c r="AD688" s="586"/>
      <c r="AE688" s="586"/>
      <c r="AF688" s="170"/>
      <c r="AG688" s="170"/>
      <c r="AH688" s="170"/>
      <c r="AI688" s="170"/>
      <c r="AJ688" s="170"/>
      <c r="AK688" s="170"/>
      <c r="AL688" s="170"/>
      <c r="AM688" s="170"/>
      <c r="AN688" s="170"/>
      <c r="AO688" s="170"/>
      <c r="AP688" s="170"/>
      <c r="AQ688" s="170"/>
      <c r="AR688" s="170"/>
      <c r="AS688" s="170"/>
    </row>
    <row r="689" spans="1:45" ht="15" x14ac:dyDescent="0.25">
      <c r="A689" s="170"/>
      <c r="B689" s="719">
        <v>773</v>
      </c>
      <c r="C689" s="170"/>
      <c r="D689" s="170"/>
      <c r="E689" s="170"/>
      <c r="F689" s="170"/>
      <c r="G689" s="721"/>
      <c r="H689" s="170"/>
      <c r="I689" s="170"/>
      <c r="J689" s="170"/>
      <c r="K689" s="170"/>
      <c r="L689" s="170"/>
      <c r="M689" s="730"/>
      <c r="N689" s="730"/>
      <c r="O689" s="730"/>
      <c r="P689" s="731"/>
      <c r="Q689" s="731"/>
      <c r="R689" s="730"/>
      <c r="S689" s="730"/>
      <c r="T689" s="723"/>
      <c r="U689" s="724"/>
      <c r="V689" s="725"/>
      <c r="W689" s="725"/>
      <c r="X689" s="723"/>
      <c r="Y689" s="723"/>
      <c r="Z689" s="723"/>
      <c r="AA689" s="726"/>
      <c r="AB689" s="726"/>
      <c r="AC689" s="170"/>
      <c r="AD689" s="586"/>
      <c r="AE689" s="586"/>
      <c r="AF689" s="170"/>
      <c r="AG689" s="170"/>
      <c r="AH689" s="170"/>
      <c r="AI689" s="170"/>
      <c r="AJ689" s="170"/>
      <c r="AK689" s="170"/>
      <c r="AL689" s="170"/>
      <c r="AM689" s="170"/>
      <c r="AN689" s="170"/>
      <c r="AO689" s="170"/>
      <c r="AP689" s="170"/>
      <c r="AQ689" s="170"/>
      <c r="AR689" s="170"/>
      <c r="AS689" s="170"/>
    </row>
    <row r="690" spans="1:45" ht="15" x14ac:dyDescent="0.25">
      <c r="A690" s="170"/>
      <c r="B690" s="719">
        <v>774</v>
      </c>
      <c r="C690" s="170"/>
      <c r="D690" s="170"/>
      <c r="E690" s="170"/>
      <c r="F690" s="170"/>
      <c r="G690" s="721"/>
      <c r="H690" s="170"/>
      <c r="I690" s="170"/>
      <c r="J690" s="170"/>
      <c r="K690" s="170"/>
      <c r="L690" s="170"/>
      <c r="M690" s="730"/>
      <c r="N690" s="730"/>
      <c r="O690" s="730"/>
      <c r="P690" s="731"/>
      <c r="Q690" s="731"/>
      <c r="R690" s="730"/>
      <c r="S690" s="730"/>
      <c r="T690" s="723"/>
      <c r="U690" s="724"/>
      <c r="V690" s="725"/>
      <c r="W690" s="725"/>
      <c r="X690" s="723"/>
      <c r="Y690" s="723"/>
      <c r="Z690" s="723"/>
      <c r="AA690" s="726"/>
      <c r="AB690" s="726"/>
      <c r="AC690" s="170"/>
      <c r="AD690" s="586"/>
      <c r="AE690" s="586"/>
      <c r="AF690" s="170"/>
      <c r="AG690" s="170"/>
      <c r="AH690" s="170"/>
      <c r="AI690" s="170"/>
      <c r="AJ690" s="170"/>
      <c r="AK690" s="170"/>
      <c r="AL690" s="170"/>
      <c r="AM690" s="170"/>
      <c r="AN690" s="170"/>
      <c r="AO690" s="170"/>
      <c r="AP690" s="170"/>
      <c r="AQ690" s="170"/>
      <c r="AR690" s="170"/>
      <c r="AS690" s="170"/>
    </row>
    <row r="691" spans="1:45" ht="15" x14ac:dyDescent="0.25">
      <c r="A691" s="170"/>
      <c r="B691" s="719">
        <v>775</v>
      </c>
      <c r="C691" s="170"/>
      <c r="D691" s="170"/>
      <c r="E691" s="170"/>
      <c r="F691" s="170"/>
      <c r="G691" s="721"/>
      <c r="H691" s="170"/>
      <c r="I691" s="170"/>
      <c r="J691" s="170"/>
      <c r="K691" s="170"/>
      <c r="L691" s="170"/>
      <c r="M691" s="730"/>
      <c r="N691" s="730"/>
      <c r="O691" s="730"/>
      <c r="P691" s="731"/>
      <c r="Q691" s="731"/>
      <c r="R691" s="730"/>
      <c r="S691" s="730"/>
      <c r="T691" s="723"/>
      <c r="U691" s="724"/>
      <c r="V691" s="725"/>
      <c r="W691" s="725"/>
      <c r="X691" s="723"/>
      <c r="Y691" s="723"/>
      <c r="Z691" s="723"/>
      <c r="AA691" s="726"/>
      <c r="AB691" s="726"/>
      <c r="AC691" s="170"/>
      <c r="AD691" s="586"/>
      <c r="AE691" s="586"/>
      <c r="AF691" s="170"/>
      <c r="AG691" s="170"/>
      <c r="AH691" s="170"/>
      <c r="AI691" s="170"/>
      <c r="AJ691" s="170"/>
      <c r="AK691" s="170"/>
      <c r="AL691" s="170"/>
      <c r="AM691" s="170"/>
      <c r="AN691" s="170"/>
      <c r="AO691" s="170"/>
      <c r="AP691" s="170"/>
      <c r="AQ691" s="170"/>
      <c r="AR691" s="170"/>
      <c r="AS691" s="170"/>
    </row>
    <row r="692" spans="1:45" ht="15" x14ac:dyDescent="0.25">
      <c r="A692" s="170"/>
      <c r="B692" s="719">
        <v>776</v>
      </c>
      <c r="C692" s="170"/>
      <c r="D692" s="170"/>
      <c r="E692" s="170"/>
      <c r="F692" s="170"/>
      <c r="G692" s="721"/>
      <c r="H692" s="170"/>
      <c r="I692" s="170"/>
      <c r="J692" s="170"/>
      <c r="K692" s="170"/>
      <c r="L692" s="170"/>
      <c r="M692" s="730"/>
      <c r="N692" s="730"/>
      <c r="O692" s="730"/>
      <c r="P692" s="731"/>
      <c r="Q692" s="731"/>
      <c r="R692" s="730"/>
      <c r="S692" s="730"/>
      <c r="T692" s="723"/>
      <c r="U692" s="724"/>
      <c r="V692" s="725"/>
      <c r="W692" s="725"/>
      <c r="X692" s="723"/>
      <c r="Y692" s="723"/>
      <c r="Z692" s="723"/>
      <c r="AA692" s="726"/>
      <c r="AB692" s="726"/>
      <c r="AC692" s="170"/>
      <c r="AD692" s="586"/>
      <c r="AE692" s="586"/>
      <c r="AF692" s="170"/>
      <c r="AG692" s="170"/>
      <c r="AH692" s="170"/>
      <c r="AI692" s="170"/>
      <c r="AJ692" s="170"/>
      <c r="AK692" s="170"/>
      <c r="AL692" s="170"/>
      <c r="AM692" s="170"/>
      <c r="AN692" s="170"/>
      <c r="AO692" s="170"/>
      <c r="AP692" s="170"/>
      <c r="AQ692" s="170"/>
      <c r="AR692" s="170"/>
      <c r="AS692" s="170"/>
    </row>
    <row r="693" spans="1:45" ht="15" x14ac:dyDescent="0.25">
      <c r="A693" s="170"/>
      <c r="B693" s="719">
        <v>777</v>
      </c>
      <c r="C693" s="170"/>
      <c r="D693" s="170"/>
      <c r="E693" s="170"/>
      <c r="F693" s="170"/>
      <c r="G693" s="721"/>
      <c r="H693" s="170"/>
      <c r="I693" s="170"/>
      <c r="J693" s="170"/>
      <c r="K693" s="170"/>
      <c r="L693" s="170"/>
      <c r="M693" s="730"/>
      <c r="N693" s="730"/>
      <c r="O693" s="730"/>
      <c r="P693" s="731"/>
      <c r="Q693" s="731"/>
      <c r="R693" s="730"/>
      <c r="S693" s="730"/>
      <c r="T693" s="723"/>
      <c r="U693" s="724"/>
      <c r="V693" s="725"/>
      <c r="W693" s="725"/>
      <c r="X693" s="723"/>
      <c r="Y693" s="723"/>
      <c r="Z693" s="723"/>
      <c r="AA693" s="726"/>
      <c r="AB693" s="726"/>
      <c r="AC693" s="170"/>
      <c r="AD693" s="586"/>
      <c r="AE693" s="586"/>
      <c r="AF693" s="170"/>
      <c r="AG693" s="170"/>
      <c r="AH693" s="170"/>
      <c r="AI693" s="170"/>
      <c r="AJ693" s="170"/>
      <c r="AK693" s="170"/>
      <c r="AL693" s="170"/>
      <c r="AM693" s="170"/>
      <c r="AN693" s="170"/>
      <c r="AO693" s="170"/>
      <c r="AP693" s="170"/>
      <c r="AQ693" s="170"/>
      <c r="AR693" s="170"/>
      <c r="AS693" s="170"/>
    </row>
    <row r="694" spans="1:45" ht="15" x14ac:dyDescent="0.25">
      <c r="A694" s="170"/>
      <c r="B694" s="719">
        <v>778</v>
      </c>
      <c r="C694" s="170"/>
      <c r="D694" s="170"/>
      <c r="E694" s="170"/>
      <c r="F694" s="170"/>
      <c r="G694" s="721"/>
      <c r="H694" s="170"/>
      <c r="I694" s="170"/>
      <c r="J694" s="170"/>
      <c r="K694" s="170"/>
      <c r="L694" s="170"/>
      <c r="M694" s="730"/>
      <c r="N694" s="730"/>
      <c r="O694" s="730"/>
      <c r="P694" s="731"/>
      <c r="Q694" s="731"/>
      <c r="R694" s="730"/>
      <c r="S694" s="730"/>
      <c r="T694" s="723"/>
      <c r="U694" s="724"/>
      <c r="V694" s="725"/>
      <c r="W694" s="725"/>
      <c r="X694" s="723"/>
      <c r="Y694" s="723"/>
      <c r="Z694" s="723"/>
      <c r="AA694" s="726"/>
      <c r="AB694" s="726"/>
      <c r="AC694" s="170"/>
      <c r="AD694" s="586"/>
      <c r="AE694" s="586"/>
      <c r="AF694" s="170"/>
      <c r="AG694" s="170"/>
      <c r="AH694" s="170"/>
      <c r="AI694" s="170"/>
      <c r="AJ694" s="170"/>
      <c r="AK694" s="170"/>
      <c r="AL694" s="170"/>
      <c r="AM694" s="170"/>
      <c r="AN694" s="170"/>
      <c r="AO694" s="170"/>
      <c r="AP694" s="170"/>
      <c r="AQ694" s="170"/>
      <c r="AR694" s="170"/>
      <c r="AS694" s="170"/>
    </row>
    <row r="695" spans="1:45" ht="15" x14ac:dyDescent="0.25">
      <c r="A695" s="170"/>
      <c r="B695" s="719">
        <v>779</v>
      </c>
      <c r="C695" s="170"/>
      <c r="D695" s="170"/>
      <c r="E695" s="170"/>
      <c r="F695" s="170"/>
      <c r="G695" s="721"/>
      <c r="H695" s="170"/>
      <c r="I695" s="170"/>
      <c r="J695" s="170"/>
      <c r="K695" s="170"/>
      <c r="L695" s="170"/>
      <c r="M695" s="730"/>
      <c r="N695" s="730"/>
      <c r="O695" s="730"/>
      <c r="P695" s="731"/>
      <c r="Q695" s="731"/>
      <c r="R695" s="730"/>
      <c r="S695" s="730"/>
      <c r="T695" s="723"/>
      <c r="U695" s="724"/>
      <c r="V695" s="725"/>
      <c r="W695" s="725"/>
      <c r="X695" s="723"/>
      <c r="Y695" s="723"/>
      <c r="Z695" s="723"/>
      <c r="AA695" s="726"/>
      <c r="AB695" s="726"/>
      <c r="AC695" s="170"/>
      <c r="AD695" s="586"/>
      <c r="AE695" s="586"/>
      <c r="AF695" s="170"/>
      <c r="AG695" s="170"/>
      <c r="AH695" s="170"/>
      <c r="AI695" s="170"/>
      <c r="AJ695" s="170"/>
      <c r="AK695" s="170"/>
      <c r="AL695" s="170"/>
      <c r="AM695" s="170"/>
      <c r="AN695" s="170"/>
      <c r="AO695" s="170"/>
      <c r="AP695" s="170"/>
      <c r="AQ695" s="170"/>
      <c r="AR695" s="170"/>
      <c r="AS695" s="170"/>
    </row>
    <row r="696" spans="1:45" ht="15" x14ac:dyDescent="0.25">
      <c r="A696" s="170"/>
      <c r="B696" s="719">
        <v>780</v>
      </c>
      <c r="C696" s="170"/>
      <c r="D696" s="170"/>
      <c r="E696" s="170"/>
      <c r="F696" s="170"/>
      <c r="G696" s="721"/>
      <c r="H696" s="170"/>
      <c r="I696" s="170"/>
      <c r="J696" s="170"/>
      <c r="K696" s="170"/>
      <c r="L696" s="170"/>
      <c r="M696" s="730"/>
      <c r="N696" s="730"/>
      <c r="O696" s="730"/>
      <c r="P696" s="731"/>
      <c r="Q696" s="731"/>
      <c r="R696" s="730"/>
      <c r="S696" s="730"/>
      <c r="T696" s="723"/>
      <c r="U696" s="724"/>
      <c r="V696" s="725"/>
      <c r="W696" s="725"/>
      <c r="X696" s="723"/>
      <c r="Y696" s="723"/>
      <c r="Z696" s="723"/>
      <c r="AA696" s="726"/>
      <c r="AB696" s="726"/>
      <c r="AC696" s="170"/>
      <c r="AD696" s="586"/>
      <c r="AE696" s="586"/>
      <c r="AF696" s="170"/>
      <c r="AG696" s="170"/>
      <c r="AH696" s="170"/>
      <c r="AI696" s="170"/>
      <c r="AJ696" s="170"/>
      <c r="AK696" s="170"/>
      <c r="AL696" s="170"/>
      <c r="AM696" s="170"/>
      <c r="AN696" s="170"/>
      <c r="AO696" s="170"/>
      <c r="AP696" s="170"/>
      <c r="AQ696" s="170"/>
      <c r="AR696" s="170"/>
      <c r="AS696" s="170"/>
    </row>
    <row r="697" spans="1:45" ht="15" x14ac:dyDescent="0.25">
      <c r="A697" s="170"/>
      <c r="B697" s="719">
        <v>781</v>
      </c>
      <c r="C697" s="170"/>
      <c r="D697" s="170"/>
      <c r="E697" s="170"/>
      <c r="F697" s="170"/>
      <c r="G697" s="721"/>
      <c r="H697" s="170"/>
      <c r="I697" s="170"/>
      <c r="J697" s="170"/>
      <c r="K697" s="170"/>
      <c r="L697" s="170"/>
      <c r="M697" s="730"/>
      <c r="N697" s="730"/>
      <c r="O697" s="730"/>
      <c r="P697" s="731"/>
      <c r="Q697" s="731"/>
      <c r="R697" s="730"/>
      <c r="S697" s="730"/>
      <c r="T697" s="723"/>
      <c r="U697" s="724"/>
      <c r="V697" s="725"/>
      <c r="W697" s="725"/>
      <c r="X697" s="723"/>
      <c r="Y697" s="723"/>
      <c r="Z697" s="723"/>
      <c r="AA697" s="726"/>
      <c r="AB697" s="726"/>
      <c r="AC697" s="170"/>
      <c r="AD697" s="586"/>
      <c r="AE697" s="586"/>
      <c r="AF697" s="170"/>
      <c r="AG697" s="170"/>
      <c r="AH697" s="170"/>
      <c r="AI697" s="170"/>
      <c r="AJ697" s="170"/>
      <c r="AK697" s="170"/>
      <c r="AL697" s="170"/>
      <c r="AM697" s="170"/>
      <c r="AN697" s="170"/>
      <c r="AO697" s="170"/>
      <c r="AP697" s="170"/>
      <c r="AQ697" s="170"/>
      <c r="AR697" s="170"/>
      <c r="AS697" s="170"/>
    </row>
    <row r="698" spans="1:45" ht="15" x14ac:dyDescent="0.25">
      <c r="A698" s="170"/>
      <c r="B698" s="719">
        <v>782</v>
      </c>
      <c r="C698" s="170"/>
      <c r="D698" s="170"/>
      <c r="E698" s="170"/>
      <c r="F698" s="170"/>
      <c r="G698" s="721"/>
      <c r="H698" s="170"/>
      <c r="I698" s="170"/>
      <c r="J698" s="170"/>
      <c r="K698" s="170"/>
      <c r="L698" s="170"/>
      <c r="M698" s="730"/>
      <c r="N698" s="730"/>
      <c r="O698" s="730"/>
      <c r="P698" s="731"/>
      <c r="Q698" s="731"/>
      <c r="R698" s="730"/>
      <c r="S698" s="730"/>
      <c r="T698" s="723"/>
      <c r="U698" s="724"/>
      <c r="V698" s="725"/>
      <c r="W698" s="725"/>
      <c r="X698" s="723"/>
      <c r="Y698" s="723"/>
      <c r="Z698" s="723"/>
      <c r="AA698" s="726"/>
      <c r="AB698" s="726"/>
      <c r="AC698" s="170"/>
      <c r="AD698" s="586"/>
      <c r="AE698" s="586"/>
      <c r="AF698" s="170"/>
      <c r="AG698" s="170"/>
      <c r="AH698" s="170"/>
      <c r="AI698" s="170"/>
      <c r="AJ698" s="170"/>
      <c r="AK698" s="170"/>
      <c r="AL698" s="170"/>
      <c r="AM698" s="170"/>
      <c r="AN698" s="170"/>
      <c r="AO698" s="170"/>
      <c r="AP698" s="170"/>
      <c r="AQ698" s="170"/>
      <c r="AR698" s="170"/>
      <c r="AS698" s="170"/>
    </row>
    <row r="699" spans="1:45" ht="15" x14ac:dyDescent="0.25">
      <c r="A699" s="170"/>
      <c r="B699" s="719">
        <v>783</v>
      </c>
      <c r="C699" s="170"/>
      <c r="D699" s="170"/>
      <c r="E699" s="170"/>
      <c r="F699" s="170"/>
      <c r="G699" s="721"/>
      <c r="H699" s="170"/>
      <c r="I699" s="170"/>
      <c r="J699" s="170"/>
      <c r="K699" s="170"/>
      <c r="L699" s="170"/>
      <c r="M699" s="730"/>
      <c r="N699" s="730"/>
      <c r="O699" s="730"/>
      <c r="P699" s="731"/>
      <c r="Q699" s="731"/>
      <c r="R699" s="730"/>
      <c r="S699" s="730"/>
      <c r="T699" s="723"/>
      <c r="U699" s="724"/>
      <c r="V699" s="725"/>
      <c r="W699" s="725"/>
      <c r="X699" s="723"/>
      <c r="Y699" s="723"/>
      <c r="Z699" s="723"/>
      <c r="AA699" s="726"/>
      <c r="AB699" s="726"/>
      <c r="AC699" s="170"/>
      <c r="AD699" s="586"/>
      <c r="AE699" s="586"/>
      <c r="AF699" s="170"/>
      <c r="AG699" s="170"/>
      <c r="AH699" s="170"/>
      <c r="AI699" s="170"/>
      <c r="AJ699" s="170"/>
      <c r="AK699" s="170"/>
      <c r="AL699" s="170"/>
      <c r="AM699" s="170"/>
      <c r="AN699" s="170"/>
      <c r="AO699" s="170"/>
      <c r="AP699" s="170"/>
      <c r="AQ699" s="170"/>
      <c r="AR699" s="170"/>
      <c r="AS699" s="170"/>
    </row>
    <row r="700" spans="1:45" ht="15" x14ac:dyDescent="0.25">
      <c r="A700" s="170"/>
      <c r="B700" s="719">
        <v>784</v>
      </c>
      <c r="C700" s="170"/>
      <c r="D700" s="170"/>
      <c r="E700" s="170"/>
      <c r="F700" s="170"/>
      <c r="G700" s="721"/>
      <c r="H700" s="170"/>
      <c r="I700" s="170"/>
      <c r="J700" s="170"/>
      <c r="K700" s="170"/>
      <c r="L700" s="170"/>
      <c r="M700" s="730"/>
      <c r="N700" s="730"/>
      <c r="O700" s="730"/>
      <c r="P700" s="731"/>
      <c r="Q700" s="731"/>
      <c r="R700" s="730"/>
      <c r="S700" s="730"/>
      <c r="T700" s="723"/>
      <c r="U700" s="724"/>
      <c r="V700" s="725"/>
      <c r="W700" s="725"/>
      <c r="X700" s="723"/>
      <c r="Y700" s="723"/>
      <c r="Z700" s="723"/>
      <c r="AA700" s="726"/>
      <c r="AB700" s="726"/>
      <c r="AC700" s="170"/>
      <c r="AD700" s="586"/>
      <c r="AE700" s="586"/>
      <c r="AF700" s="170"/>
      <c r="AG700" s="170"/>
      <c r="AH700" s="170"/>
      <c r="AI700" s="170"/>
      <c r="AJ700" s="170"/>
      <c r="AK700" s="170"/>
      <c r="AL700" s="170"/>
      <c r="AM700" s="170"/>
      <c r="AN700" s="170"/>
      <c r="AO700" s="170"/>
      <c r="AP700" s="170"/>
      <c r="AQ700" s="170"/>
      <c r="AR700" s="170"/>
      <c r="AS700" s="170"/>
    </row>
    <row r="701" spans="1:45" ht="15" x14ac:dyDescent="0.25">
      <c r="A701" s="170"/>
      <c r="B701" s="719">
        <v>785</v>
      </c>
      <c r="C701" s="170"/>
      <c r="D701" s="170"/>
      <c r="E701" s="170"/>
      <c r="F701" s="170"/>
      <c r="G701" s="721"/>
      <c r="H701" s="170"/>
      <c r="I701" s="170"/>
      <c r="J701" s="170"/>
      <c r="K701" s="170"/>
      <c r="L701" s="170"/>
      <c r="M701" s="730"/>
      <c r="N701" s="730"/>
      <c r="O701" s="730"/>
      <c r="P701" s="731"/>
      <c r="Q701" s="731"/>
      <c r="R701" s="730"/>
      <c r="S701" s="730"/>
      <c r="T701" s="723"/>
      <c r="U701" s="724"/>
      <c r="V701" s="725"/>
      <c r="W701" s="725"/>
      <c r="X701" s="723"/>
      <c r="Y701" s="723"/>
      <c r="Z701" s="723"/>
      <c r="AA701" s="726"/>
      <c r="AB701" s="726"/>
      <c r="AC701" s="170"/>
      <c r="AD701" s="586"/>
      <c r="AE701" s="586"/>
      <c r="AF701" s="170"/>
      <c r="AG701" s="170"/>
      <c r="AH701" s="170"/>
      <c r="AI701" s="170"/>
      <c r="AJ701" s="170"/>
      <c r="AK701" s="170"/>
      <c r="AL701" s="170"/>
      <c r="AM701" s="170"/>
      <c r="AN701" s="170"/>
      <c r="AO701" s="170"/>
      <c r="AP701" s="170"/>
      <c r="AQ701" s="170"/>
      <c r="AR701" s="170"/>
      <c r="AS701" s="170"/>
    </row>
    <row r="702" spans="1:45" ht="15" x14ac:dyDescent="0.25">
      <c r="A702" s="170"/>
      <c r="B702" s="719">
        <v>786</v>
      </c>
      <c r="C702" s="170"/>
      <c r="D702" s="170"/>
      <c r="E702" s="170"/>
      <c r="F702" s="170"/>
      <c r="G702" s="721"/>
      <c r="H702" s="170"/>
      <c r="I702" s="170"/>
      <c r="J702" s="170"/>
      <c r="K702" s="170"/>
      <c r="L702" s="170"/>
      <c r="M702" s="730"/>
      <c r="N702" s="730"/>
      <c r="O702" s="730"/>
      <c r="P702" s="731"/>
      <c r="Q702" s="731"/>
      <c r="R702" s="730"/>
      <c r="S702" s="730"/>
      <c r="T702" s="723"/>
      <c r="U702" s="724"/>
      <c r="V702" s="725"/>
      <c r="W702" s="725"/>
      <c r="X702" s="723"/>
      <c r="Y702" s="723"/>
      <c r="Z702" s="723"/>
      <c r="AA702" s="726"/>
      <c r="AB702" s="726"/>
      <c r="AC702" s="170"/>
      <c r="AD702" s="586"/>
      <c r="AE702" s="586"/>
      <c r="AF702" s="170"/>
      <c r="AG702" s="170"/>
      <c r="AH702" s="170"/>
      <c r="AI702" s="170"/>
      <c r="AJ702" s="170"/>
      <c r="AK702" s="170"/>
      <c r="AL702" s="170"/>
      <c r="AM702" s="170"/>
      <c r="AN702" s="170"/>
      <c r="AO702" s="170"/>
      <c r="AP702" s="170"/>
      <c r="AQ702" s="170"/>
      <c r="AR702" s="170"/>
      <c r="AS702" s="170"/>
    </row>
    <row r="703" spans="1:45" ht="15" x14ac:dyDescent="0.25">
      <c r="A703" s="170"/>
      <c r="B703" s="719">
        <v>787</v>
      </c>
      <c r="C703" s="170"/>
      <c r="D703" s="170"/>
      <c r="E703" s="170"/>
      <c r="F703" s="170"/>
      <c r="G703" s="721"/>
      <c r="H703" s="170"/>
      <c r="I703" s="170"/>
      <c r="J703" s="170"/>
      <c r="K703" s="170"/>
      <c r="L703" s="170"/>
      <c r="M703" s="730"/>
      <c r="N703" s="730"/>
      <c r="O703" s="730"/>
      <c r="P703" s="731"/>
      <c r="Q703" s="731"/>
      <c r="R703" s="730"/>
      <c r="S703" s="730"/>
      <c r="T703" s="723"/>
      <c r="U703" s="724"/>
      <c r="V703" s="725"/>
      <c r="W703" s="725"/>
      <c r="X703" s="723"/>
      <c r="Y703" s="723"/>
      <c r="Z703" s="723"/>
      <c r="AA703" s="726"/>
      <c r="AB703" s="726"/>
      <c r="AC703" s="170"/>
      <c r="AD703" s="586"/>
      <c r="AE703" s="586"/>
      <c r="AF703" s="170"/>
      <c r="AG703" s="170"/>
      <c r="AH703" s="170"/>
      <c r="AI703" s="170"/>
      <c r="AJ703" s="170"/>
      <c r="AK703" s="170"/>
      <c r="AL703" s="170"/>
      <c r="AM703" s="170"/>
      <c r="AN703" s="170"/>
      <c r="AO703" s="170"/>
      <c r="AP703" s="170"/>
      <c r="AQ703" s="170"/>
      <c r="AR703" s="170"/>
      <c r="AS703" s="170"/>
    </row>
    <row r="704" spans="1:45" ht="15" x14ac:dyDescent="0.25">
      <c r="A704" s="170"/>
      <c r="B704" s="719">
        <v>788</v>
      </c>
      <c r="C704" s="170"/>
      <c r="D704" s="170"/>
      <c r="E704" s="170"/>
      <c r="F704" s="170"/>
      <c r="G704" s="721"/>
      <c r="H704" s="170"/>
      <c r="I704" s="170"/>
      <c r="J704" s="170"/>
      <c r="K704" s="170"/>
      <c r="L704" s="170"/>
      <c r="M704" s="730"/>
      <c r="N704" s="730"/>
      <c r="O704" s="730"/>
      <c r="P704" s="731"/>
      <c r="Q704" s="731"/>
      <c r="R704" s="730"/>
      <c r="S704" s="730"/>
      <c r="T704" s="723"/>
      <c r="U704" s="724"/>
      <c r="V704" s="725"/>
      <c r="W704" s="725"/>
      <c r="X704" s="723"/>
      <c r="Y704" s="723"/>
      <c r="Z704" s="723"/>
      <c r="AA704" s="726"/>
      <c r="AB704" s="726"/>
      <c r="AC704" s="170"/>
      <c r="AD704" s="586"/>
      <c r="AE704" s="586"/>
      <c r="AF704" s="170"/>
      <c r="AG704" s="170"/>
      <c r="AH704" s="170"/>
      <c r="AI704" s="170"/>
      <c r="AJ704" s="170"/>
      <c r="AK704" s="170"/>
      <c r="AL704" s="170"/>
      <c r="AM704" s="170"/>
      <c r="AN704" s="170"/>
      <c r="AO704" s="170"/>
      <c r="AP704" s="170"/>
      <c r="AQ704" s="170"/>
      <c r="AR704" s="170"/>
      <c r="AS704" s="170"/>
    </row>
    <row r="705" spans="1:45" ht="15" x14ac:dyDescent="0.25">
      <c r="A705" s="170"/>
      <c r="B705" s="719">
        <v>789</v>
      </c>
      <c r="C705" s="170"/>
      <c r="D705" s="170"/>
      <c r="E705" s="170"/>
      <c r="F705" s="170"/>
      <c r="G705" s="721"/>
      <c r="H705" s="170"/>
      <c r="I705" s="170"/>
      <c r="J705" s="170"/>
      <c r="K705" s="170"/>
      <c r="L705" s="170"/>
      <c r="M705" s="730"/>
      <c r="N705" s="730"/>
      <c r="O705" s="730"/>
      <c r="P705" s="731"/>
      <c r="Q705" s="731"/>
      <c r="R705" s="730"/>
      <c r="S705" s="730"/>
      <c r="T705" s="723"/>
      <c r="U705" s="724"/>
      <c r="V705" s="725"/>
      <c r="W705" s="725"/>
      <c r="X705" s="723"/>
      <c r="Y705" s="723"/>
      <c r="Z705" s="723"/>
      <c r="AA705" s="726"/>
      <c r="AB705" s="726"/>
      <c r="AC705" s="170"/>
      <c r="AD705" s="586"/>
      <c r="AE705" s="586"/>
      <c r="AF705" s="170"/>
      <c r="AG705" s="170"/>
      <c r="AH705" s="170"/>
      <c r="AI705" s="170"/>
      <c r="AJ705" s="170"/>
      <c r="AK705" s="170"/>
      <c r="AL705" s="170"/>
      <c r="AM705" s="170"/>
      <c r="AN705" s="170"/>
      <c r="AO705" s="170"/>
      <c r="AP705" s="170"/>
      <c r="AQ705" s="170"/>
      <c r="AR705" s="170"/>
      <c r="AS705" s="170"/>
    </row>
    <row r="706" spans="1:45" ht="15" x14ac:dyDescent="0.25">
      <c r="A706" s="170"/>
      <c r="B706" s="719">
        <v>790</v>
      </c>
      <c r="C706" s="170"/>
      <c r="D706" s="170"/>
      <c r="E706" s="170"/>
      <c r="F706" s="170"/>
      <c r="G706" s="721"/>
      <c r="H706" s="170"/>
      <c r="I706" s="170"/>
      <c r="J706" s="170"/>
      <c r="K706" s="170"/>
      <c r="L706" s="170"/>
      <c r="M706" s="730"/>
      <c r="N706" s="730"/>
      <c r="O706" s="730"/>
      <c r="P706" s="731"/>
      <c r="Q706" s="731"/>
      <c r="R706" s="730"/>
      <c r="S706" s="730"/>
      <c r="T706" s="723"/>
      <c r="U706" s="724"/>
      <c r="V706" s="725"/>
      <c r="W706" s="725"/>
      <c r="X706" s="723"/>
      <c r="Y706" s="723"/>
      <c r="Z706" s="723"/>
      <c r="AA706" s="726"/>
      <c r="AB706" s="726"/>
      <c r="AC706" s="170"/>
      <c r="AD706" s="586"/>
      <c r="AE706" s="586"/>
      <c r="AF706" s="170"/>
      <c r="AG706" s="170"/>
      <c r="AH706" s="170"/>
      <c r="AI706" s="170"/>
      <c r="AJ706" s="170"/>
      <c r="AK706" s="170"/>
      <c r="AL706" s="170"/>
      <c r="AM706" s="170"/>
      <c r="AN706" s="170"/>
      <c r="AO706" s="170"/>
      <c r="AP706" s="170"/>
      <c r="AQ706" s="170"/>
      <c r="AR706" s="170"/>
      <c r="AS706" s="170"/>
    </row>
    <row r="707" spans="1:45" ht="15" x14ac:dyDescent="0.25">
      <c r="A707" s="170"/>
      <c r="B707" s="719">
        <v>791</v>
      </c>
      <c r="C707" s="170"/>
      <c r="D707" s="170"/>
      <c r="E707" s="170"/>
      <c r="F707" s="170"/>
      <c r="G707" s="721"/>
      <c r="H707" s="170"/>
      <c r="I707" s="170"/>
      <c r="J707" s="170"/>
      <c r="K707" s="170"/>
      <c r="L707" s="170"/>
      <c r="M707" s="730"/>
      <c r="N707" s="730"/>
      <c r="O707" s="730"/>
      <c r="P707" s="731"/>
      <c r="Q707" s="731"/>
      <c r="R707" s="730"/>
      <c r="S707" s="730"/>
      <c r="T707" s="723"/>
      <c r="U707" s="724"/>
      <c r="V707" s="725"/>
      <c r="W707" s="725"/>
      <c r="X707" s="723"/>
      <c r="Y707" s="723"/>
      <c r="Z707" s="723"/>
      <c r="AA707" s="726"/>
      <c r="AB707" s="726"/>
      <c r="AC707" s="170"/>
      <c r="AD707" s="586"/>
      <c r="AE707" s="586"/>
      <c r="AF707" s="170"/>
      <c r="AG707" s="170"/>
      <c r="AH707" s="170"/>
      <c r="AI707" s="170"/>
      <c r="AJ707" s="170"/>
      <c r="AK707" s="170"/>
      <c r="AL707" s="170"/>
      <c r="AM707" s="170"/>
      <c r="AN707" s="170"/>
      <c r="AO707" s="170"/>
      <c r="AP707" s="170"/>
      <c r="AQ707" s="170"/>
      <c r="AR707" s="170"/>
      <c r="AS707" s="170"/>
    </row>
    <row r="708" spans="1:45" ht="15" x14ac:dyDescent="0.25">
      <c r="A708" s="170"/>
      <c r="B708" s="719">
        <v>792</v>
      </c>
      <c r="C708" s="170"/>
      <c r="D708" s="170"/>
      <c r="E708" s="170"/>
      <c r="F708" s="170"/>
      <c r="G708" s="721"/>
      <c r="H708" s="170"/>
      <c r="I708" s="170"/>
      <c r="J708" s="170"/>
      <c r="K708" s="170"/>
      <c r="L708" s="170"/>
      <c r="M708" s="730"/>
      <c r="N708" s="730"/>
      <c r="O708" s="730"/>
      <c r="P708" s="731"/>
      <c r="Q708" s="731"/>
      <c r="R708" s="730"/>
      <c r="S708" s="730"/>
      <c r="T708" s="723"/>
      <c r="U708" s="724"/>
      <c r="V708" s="725"/>
      <c r="W708" s="725"/>
      <c r="X708" s="723"/>
      <c r="Y708" s="723"/>
      <c r="Z708" s="723"/>
      <c r="AA708" s="726"/>
      <c r="AB708" s="726"/>
      <c r="AC708" s="170"/>
      <c r="AD708" s="586"/>
      <c r="AE708" s="586"/>
      <c r="AF708" s="170"/>
      <c r="AG708" s="170"/>
      <c r="AH708" s="170"/>
      <c r="AI708" s="170"/>
      <c r="AJ708" s="170"/>
      <c r="AK708" s="170"/>
      <c r="AL708" s="170"/>
      <c r="AM708" s="170"/>
      <c r="AN708" s="170"/>
      <c r="AO708" s="170"/>
      <c r="AP708" s="170"/>
      <c r="AQ708" s="170"/>
      <c r="AR708" s="170"/>
      <c r="AS708" s="170"/>
    </row>
    <row r="709" spans="1:45" ht="15" x14ac:dyDescent="0.25">
      <c r="A709" s="170"/>
      <c r="B709" s="719">
        <v>793</v>
      </c>
      <c r="C709" s="170"/>
      <c r="D709" s="170"/>
      <c r="E709" s="170"/>
      <c r="F709" s="170"/>
      <c r="G709" s="721"/>
      <c r="H709" s="170"/>
      <c r="I709" s="170"/>
      <c r="J709" s="170"/>
      <c r="K709" s="170"/>
      <c r="L709" s="170"/>
      <c r="M709" s="730"/>
      <c r="N709" s="730"/>
      <c r="O709" s="730"/>
      <c r="P709" s="731"/>
      <c r="Q709" s="731"/>
      <c r="R709" s="730"/>
      <c r="S709" s="730"/>
      <c r="T709" s="723"/>
      <c r="U709" s="724"/>
      <c r="V709" s="725"/>
      <c r="W709" s="725"/>
      <c r="X709" s="723"/>
      <c r="Y709" s="723"/>
      <c r="Z709" s="723"/>
      <c r="AA709" s="726"/>
      <c r="AB709" s="726"/>
      <c r="AC709" s="170"/>
      <c r="AD709" s="586"/>
      <c r="AE709" s="586"/>
      <c r="AF709" s="170"/>
      <c r="AG709" s="170"/>
      <c r="AH709" s="170"/>
      <c r="AI709" s="170"/>
      <c r="AJ709" s="170"/>
      <c r="AK709" s="170"/>
      <c r="AL709" s="170"/>
      <c r="AM709" s="170"/>
      <c r="AN709" s="170"/>
      <c r="AO709" s="170"/>
      <c r="AP709" s="170"/>
      <c r="AQ709" s="170"/>
      <c r="AR709" s="170"/>
      <c r="AS709" s="170"/>
    </row>
    <row r="710" spans="1:45" ht="15" x14ac:dyDescent="0.25">
      <c r="A710" s="170"/>
      <c r="B710" s="719">
        <v>794</v>
      </c>
      <c r="C710" s="170"/>
      <c r="D710" s="170"/>
      <c r="E710" s="170"/>
      <c r="F710" s="170"/>
      <c r="G710" s="721"/>
      <c r="H710" s="170"/>
      <c r="I710" s="170"/>
      <c r="J710" s="170"/>
      <c r="K710" s="170"/>
      <c r="L710" s="170"/>
      <c r="M710" s="730"/>
      <c r="N710" s="730"/>
      <c r="O710" s="730"/>
      <c r="P710" s="731"/>
      <c r="Q710" s="731"/>
      <c r="R710" s="730"/>
      <c r="S710" s="730"/>
      <c r="T710" s="723"/>
      <c r="U710" s="724"/>
      <c r="V710" s="725"/>
      <c r="W710" s="725"/>
      <c r="X710" s="723"/>
      <c r="Y710" s="723"/>
      <c r="Z710" s="723"/>
      <c r="AA710" s="726"/>
      <c r="AB710" s="726"/>
      <c r="AC710" s="170"/>
      <c r="AD710" s="586"/>
      <c r="AE710" s="586"/>
      <c r="AF710" s="170"/>
      <c r="AG710" s="170"/>
      <c r="AH710" s="170"/>
      <c r="AI710" s="170"/>
      <c r="AJ710" s="170"/>
      <c r="AK710" s="170"/>
      <c r="AL710" s="170"/>
      <c r="AM710" s="170"/>
      <c r="AN710" s="170"/>
      <c r="AO710" s="170"/>
      <c r="AP710" s="170"/>
      <c r="AQ710" s="170"/>
      <c r="AR710" s="170"/>
      <c r="AS710" s="170"/>
    </row>
    <row r="711" spans="1:45" ht="15" x14ac:dyDescent="0.25">
      <c r="A711" s="170"/>
      <c r="B711" s="719">
        <v>795</v>
      </c>
      <c r="C711" s="170"/>
      <c r="D711" s="170"/>
      <c r="E711" s="170"/>
      <c r="F711" s="170"/>
      <c r="G711" s="721"/>
      <c r="H711" s="170"/>
      <c r="I711" s="170"/>
      <c r="J711" s="170"/>
      <c r="K711" s="170"/>
      <c r="L711" s="170"/>
      <c r="M711" s="730"/>
      <c r="N711" s="730"/>
      <c r="O711" s="730"/>
      <c r="P711" s="731"/>
      <c r="Q711" s="731"/>
      <c r="R711" s="730"/>
      <c r="S711" s="730"/>
      <c r="T711" s="723"/>
      <c r="U711" s="724"/>
      <c r="V711" s="725"/>
      <c r="W711" s="725"/>
      <c r="X711" s="723"/>
      <c r="Y711" s="723"/>
      <c r="Z711" s="723"/>
      <c r="AA711" s="726"/>
      <c r="AB711" s="726"/>
      <c r="AC711" s="170"/>
      <c r="AD711" s="586"/>
      <c r="AE711" s="586"/>
      <c r="AF711" s="170"/>
      <c r="AG711" s="170"/>
      <c r="AH711" s="170"/>
      <c r="AI711" s="170"/>
      <c r="AJ711" s="170"/>
      <c r="AK711" s="170"/>
      <c r="AL711" s="170"/>
      <c r="AM711" s="170"/>
      <c r="AN711" s="170"/>
      <c r="AO711" s="170"/>
      <c r="AP711" s="170"/>
      <c r="AQ711" s="170"/>
      <c r="AR711" s="170"/>
      <c r="AS711" s="170"/>
    </row>
    <row r="712" spans="1:45" ht="15" x14ac:dyDescent="0.25">
      <c r="A712" s="170"/>
      <c r="B712" s="719">
        <v>796</v>
      </c>
      <c r="C712" s="170"/>
      <c r="D712" s="170"/>
      <c r="E712" s="170"/>
      <c r="F712" s="170"/>
      <c r="G712" s="721"/>
      <c r="H712" s="170"/>
      <c r="I712" s="170"/>
      <c r="J712" s="170"/>
      <c r="K712" s="170"/>
      <c r="L712" s="170"/>
      <c r="M712" s="730"/>
      <c r="N712" s="730"/>
      <c r="O712" s="730"/>
      <c r="P712" s="731"/>
      <c r="Q712" s="731"/>
      <c r="R712" s="730"/>
      <c r="S712" s="730"/>
      <c r="T712" s="723"/>
      <c r="U712" s="724"/>
      <c r="V712" s="725"/>
      <c r="W712" s="725"/>
      <c r="X712" s="723"/>
      <c r="Y712" s="723"/>
      <c r="Z712" s="723"/>
      <c r="AA712" s="726"/>
      <c r="AB712" s="726"/>
      <c r="AC712" s="170"/>
      <c r="AD712" s="586"/>
      <c r="AE712" s="586"/>
      <c r="AF712" s="170"/>
      <c r="AG712" s="170"/>
      <c r="AH712" s="170"/>
      <c r="AI712" s="170"/>
      <c r="AJ712" s="170"/>
      <c r="AK712" s="170"/>
      <c r="AL712" s="170"/>
      <c r="AM712" s="170"/>
      <c r="AN712" s="170"/>
      <c r="AO712" s="170"/>
      <c r="AP712" s="170"/>
      <c r="AQ712" s="170"/>
      <c r="AR712" s="170"/>
      <c r="AS712" s="170"/>
    </row>
    <row r="713" spans="1:45" ht="15" x14ac:dyDescent="0.25">
      <c r="A713" s="170"/>
      <c r="B713" s="719">
        <v>797</v>
      </c>
      <c r="C713" s="170"/>
      <c r="D713" s="170"/>
      <c r="E713" s="170"/>
      <c r="F713" s="170"/>
      <c r="G713" s="721"/>
      <c r="H713" s="170"/>
      <c r="I713" s="170"/>
      <c r="J713" s="170"/>
      <c r="K713" s="170"/>
      <c r="L713" s="170"/>
      <c r="M713" s="730"/>
      <c r="N713" s="730"/>
      <c r="O713" s="730"/>
      <c r="P713" s="731"/>
      <c r="Q713" s="731"/>
      <c r="R713" s="730"/>
      <c r="S713" s="730"/>
      <c r="T713" s="723"/>
      <c r="U713" s="724"/>
      <c r="V713" s="725"/>
      <c r="W713" s="725"/>
      <c r="X713" s="723"/>
      <c r="Y713" s="723"/>
      <c r="Z713" s="723"/>
      <c r="AA713" s="726"/>
      <c r="AB713" s="726"/>
      <c r="AC713" s="170"/>
      <c r="AD713" s="586"/>
      <c r="AE713" s="586"/>
      <c r="AF713" s="170"/>
      <c r="AG713" s="170"/>
      <c r="AH713" s="170"/>
      <c r="AI713" s="170"/>
      <c r="AJ713" s="170"/>
      <c r="AK713" s="170"/>
      <c r="AL713" s="170"/>
      <c r="AM713" s="170"/>
      <c r="AN713" s="170"/>
      <c r="AO713" s="170"/>
      <c r="AP713" s="170"/>
      <c r="AQ713" s="170"/>
      <c r="AR713" s="170"/>
      <c r="AS713" s="170"/>
    </row>
    <row r="714" spans="1:45" ht="15" x14ac:dyDescent="0.25">
      <c r="A714" s="170"/>
      <c r="B714" s="719">
        <v>798</v>
      </c>
      <c r="C714" s="170"/>
      <c r="D714" s="170"/>
      <c r="E714" s="170"/>
      <c r="F714" s="170"/>
      <c r="G714" s="721"/>
      <c r="H714" s="170"/>
      <c r="I714" s="170"/>
      <c r="J714" s="170"/>
      <c r="K714" s="170"/>
      <c r="L714" s="170"/>
      <c r="M714" s="730"/>
      <c r="N714" s="730"/>
      <c r="O714" s="730"/>
      <c r="P714" s="731"/>
      <c r="Q714" s="731"/>
      <c r="R714" s="730"/>
      <c r="S714" s="730"/>
      <c r="T714" s="723"/>
      <c r="U714" s="724"/>
      <c r="V714" s="725"/>
      <c r="W714" s="725"/>
      <c r="X714" s="723"/>
      <c r="Y714" s="723"/>
      <c r="Z714" s="723"/>
      <c r="AA714" s="726"/>
      <c r="AB714" s="726"/>
      <c r="AC714" s="170"/>
      <c r="AD714" s="586"/>
      <c r="AE714" s="586"/>
      <c r="AF714" s="170"/>
      <c r="AG714" s="170"/>
      <c r="AH714" s="170"/>
      <c r="AI714" s="170"/>
      <c r="AJ714" s="170"/>
      <c r="AK714" s="170"/>
      <c r="AL714" s="170"/>
      <c r="AM714" s="170"/>
      <c r="AN714" s="170"/>
      <c r="AO714" s="170"/>
      <c r="AP714" s="170"/>
      <c r="AQ714" s="170"/>
      <c r="AR714" s="170"/>
      <c r="AS714" s="170"/>
    </row>
    <row r="715" spans="1:45" ht="15" x14ac:dyDescent="0.25">
      <c r="A715" s="170"/>
      <c r="B715" s="719">
        <v>799</v>
      </c>
      <c r="C715" s="170"/>
      <c r="D715" s="170"/>
      <c r="E715" s="170"/>
      <c r="F715" s="170"/>
      <c r="G715" s="721"/>
      <c r="H715" s="170"/>
      <c r="I715" s="170"/>
      <c r="J715" s="170"/>
      <c r="K715" s="170"/>
      <c r="L715" s="170"/>
      <c r="M715" s="730"/>
      <c r="N715" s="730"/>
      <c r="O715" s="730"/>
      <c r="P715" s="731"/>
      <c r="Q715" s="731"/>
      <c r="R715" s="730"/>
      <c r="S715" s="730"/>
      <c r="T715" s="723"/>
      <c r="U715" s="724"/>
      <c r="V715" s="725"/>
      <c r="W715" s="725"/>
      <c r="X715" s="723"/>
      <c r="Y715" s="723"/>
      <c r="Z715" s="723"/>
      <c r="AA715" s="726"/>
      <c r="AB715" s="726"/>
      <c r="AC715" s="170"/>
      <c r="AD715" s="586"/>
      <c r="AE715" s="586"/>
      <c r="AF715" s="170"/>
      <c r="AG715" s="170"/>
      <c r="AH715" s="170"/>
      <c r="AI715" s="170"/>
      <c r="AJ715" s="170"/>
      <c r="AK715" s="170"/>
      <c r="AL715" s="170"/>
      <c r="AM715" s="170"/>
      <c r="AN715" s="170"/>
      <c r="AO715" s="170"/>
      <c r="AP715" s="170"/>
      <c r="AQ715" s="170"/>
      <c r="AR715" s="170"/>
      <c r="AS715" s="170"/>
    </row>
    <row r="716" spans="1:45" ht="15" x14ac:dyDescent="0.25">
      <c r="A716" s="170"/>
      <c r="B716" s="719">
        <v>800</v>
      </c>
      <c r="C716" s="170"/>
      <c r="D716" s="170"/>
      <c r="E716" s="170"/>
      <c r="F716" s="170"/>
      <c r="G716" s="721"/>
      <c r="H716" s="170"/>
      <c r="I716" s="170"/>
      <c r="J716" s="170"/>
      <c r="K716" s="170"/>
      <c r="L716" s="170"/>
      <c r="M716" s="730"/>
      <c r="N716" s="730"/>
      <c r="O716" s="730"/>
      <c r="P716" s="731"/>
      <c r="Q716" s="731"/>
      <c r="R716" s="730"/>
      <c r="S716" s="730"/>
      <c r="T716" s="723"/>
      <c r="U716" s="724"/>
      <c r="V716" s="725"/>
      <c r="W716" s="725"/>
      <c r="X716" s="723"/>
      <c r="Y716" s="723"/>
      <c r="Z716" s="723"/>
      <c r="AA716" s="726"/>
      <c r="AB716" s="726"/>
      <c r="AC716" s="170"/>
      <c r="AD716" s="586"/>
      <c r="AE716" s="586"/>
      <c r="AF716" s="170"/>
      <c r="AG716" s="170"/>
      <c r="AH716" s="170"/>
      <c r="AI716" s="170"/>
      <c r="AJ716" s="170"/>
      <c r="AK716" s="170"/>
      <c r="AL716" s="170"/>
      <c r="AM716" s="170"/>
      <c r="AN716" s="170"/>
      <c r="AO716" s="170"/>
      <c r="AP716" s="170"/>
      <c r="AQ716" s="170"/>
      <c r="AR716" s="170"/>
      <c r="AS716" s="170"/>
    </row>
    <row r="717" spans="1:45" ht="15" x14ac:dyDescent="0.25">
      <c r="A717" s="170"/>
      <c r="B717" s="719">
        <v>801</v>
      </c>
      <c r="C717" s="170"/>
      <c r="D717" s="170"/>
      <c r="E717" s="170"/>
      <c r="F717" s="170"/>
      <c r="G717" s="721"/>
      <c r="H717" s="170"/>
      <c r="I717" s="170"/>
      <c r="J717" s="170"/>
      <c r="K717" s="170"/>
      <c r="L717" s="170"/>
      <c r="M717" s="730"/>
      <c r="N717" s="730"/>
      <c r="O717" s="730"/>
      <c r="P717" s="731"/>
      <c r="Q717" s="731"/>
      <c r="R717" s="730"/>
      <c r="S717" s="730"/>
      <c r="T717" s="723"/>
      <c r="U717" s="724"/>
      <c r="V717" s="725"/>
      <c r="W717" s="725"/>
      <c r="X717" s="723"/>
      <c r="Y717" s="723"/>
      <c r="Z717" s="723"/>
      <c r="AA717" s="726"/>
      <c r="AB717" s="726"/>
      <c r="AC717" s="170"/>
      <c r="AD717" s="586"/>
      <c r="AE717" s="586"/>
      <c r="AF717" s="170"/>
      <c r="AG717" s="170"/>
      <c r="AH717" s="170"/>
      <c r="AI717" s="170"/>
      <c r="AJ717" s="170"/>
      <c r="AK717" s="170"/>
      <c r="AL717" s="170"/>
      <c r="AM717" s="170"/>
      <c r="AN717" s="170"/>
      <c r="AO717" s="170"/>
      <c r="AP717" s="170"/>
      <c r="AQ717" s="170"/>
      <c r="AR717" s="170"/>
      <c r="AS717" s="170"/>
    </row>
    <row r="718" spans="1:45" ht="15" x14ac:dyDescent="0.25">
      <c r="A718" s="170"/>
      <c r="B718" s="719">
        <v>802</v>
      </c>
      <c r="C718" s="170"/>
      <c r="D718" s="170"/>
      <c r="E718" s="170"/>
      <c r="F718" s="170"/>
      <c r="G718" s="721"/>
      <c r="H718" s="170"/>
      <c r="I718" s="170"/>
      <c r="J718" s="170"/>
      <c r="K718" s="170"/>
      <c r="L718" s="170"/>
      <c r="M718" s="730"/>
      <c r="N718" s="730"/>
      <c r="O718" s="730"/>
      <c r="P718" s="731"/>
      <c r="Q718" s="731"/>
      <c r="R718" s="730"/>
      <c r="S718" s="730"/>
      <c r="T718" s="723"/>
      <c r="U718" s="724"/>
      <c r="V718" s="725"/>
      <c r="W718" s="725"/>
      <c r="X718" s="723"/>
      <c r="Y718" s="723"/>
      <c r="Z718" s="723"/>
      <c r="AA718" s="726"/>
      <c r="AB718" s="726"/>
      <c r="AC718" s="170"/>
      <c r="AD718" s="586"/>
      <c r="AE718" s="586"/>
      <c r="AF718" s="170"/>
      <c r="AG718" s="170"/>
      <c r="AH718" s="170"/>
      <c r="AI718" s="170"/>
      <c r="AJ718" s="170"/>
      <c r="AK718" s="170"/>
      <c r="AL718" s="170"/>
      <c r="AM718" s="170"/>
      <c r="AN718" s="170"/>
      <c r="AO718" s="170"/>
      <c r="AP718" s="170"/>
      <c r="AQ718" s="170"/>
      <c r="AR718" s="170"/>
      <c r="AS718" s="170"/>
    </row>
    <row r="719" spans="1:45" ht="15" x14ac:dyDescent="0.25">
      <c r="A719" s="170"/>
      <c r="B719" s="719">
        <v>803</v>
      </c>
      <c r="C719" s="170"/>
      <c r="D719" s="170"/>
      <c r="E719" s="170"/>
      <c r="F719" s="170"/>
      <c r="G719" s="721"/>
      <c r="H719" s="170"/>
      <c r="I719" s="170"/>
      <c r="J719" s="170"/>
      <c r="K719" s="170"/>
      <c r="L719" s="170"/>
      <c r="M719" s="730"/>
      <c r="N719" s="730"/>
      <c r="O719" s="730"/>
      <c r="P719" s="731"/>
      <c r="Q719" s="731"/>
      <c r="R719" s="730"/>
      <c r="S719" s="730"/>
      <c r="T719" s="723"/>
      <c r="U719" s="724"/>
      <c r="V719" s="725"/>
      <c r="W719" s="725"/>
      <c r="X719" s="723"/>
      <c r="Y719" s="723"/>
      <c r="Z719" s="723"/>
      <c r="AA719" s="726"/>
      <c r="AB719" s="726"/>
      <c r="AC719" s="170"/>
      <c r="AD719" s="586"/>
      <c r="AE719" s="586"/>
      <c r="AF719" s="170"/>
      <c r="AG719" s="170"/>
      <c r="AH719" s="170"/>
      <c r="AI719" s="170"/>
      <c r="AJ719" s="170"/>
      <c r="AK719" s="170"/>
      <c r="AL719" s="170"/>
      <c r="AM719" s="170"/>
      <c r="AN719" s="170"/>
      <c r="AO719" s="170"/>
      <c r="AP719" s="170"/>
      <c r="AQ719" s="170"/>
      <c r="AR719" s="170"/>
      <c r="AS719" s="170"/>
    </row>
    <row r="720" spans="1:45" ht="15" x14ac:dyDescent="0.25">
      <c r="A720" s="170"/>
      <c r="B720" s="719">
        <v>804</v>
      </c>
      <c r="C720" s="170"/>
      <c r="D720" s="170"/>
      <c r="E720" s="170"/>
      <c r="F720" s="170"/>
      <c r="G720" s="721"/>
      <c r="H720" s="170"/>
      <c r="I720" s="170"/>
      <c r="J720" s="170"/>
      <c r="K720" s="170"/>
      <c r="L720" s="170"/>
      <c r="M720" s="730"/>
      <c r="N720" s="730"/>
      <c r="O720" s="730"/>
      <c r="P720" s="731"/>
      <c r="Q720" s="731"/>
      <c r="R720" s="730"/>
      <c r="S720" s="730"/>
      <c r="T720" s="723"/>
      <c r="U720" s="724"/>
      <c r="V720" s="725"/>
      <c r="W720" s="725"/>
      <c r="X720" s="723"/>
      <c r="Y720" s="723"/>
      <c r="Z720" s="723"/>
      <c r="AA720" s="726"/>
      <c r="AB720" s="726"/>
      <c r="AC720" s="170"/>
      <c r="AD720" s="586"/>
      <c r="AE720" s="586"/>
      <c r="AF720" s="170"/>
      <c r="AG720" s="170"/>
      <c r="AH720" s="170"/>
      <c r="AI720" s="170"/>
      <c r="AJ720" s="170"/>
      <c r="AK720" s="170"/>
      <c r="AL720" s="170"/>
      <c r="AM720" s="170"/>
      <c r="AN720" s="170"/>
      <c r="AO720" s="170"/>
      <c r="AP720" s="170"/>
      <c r="AQ720" s="170"/>
      <c r="AR720" s="170"/>
      <c r="AS720" s="170"/>
    </row>
    <row r="721" spans="1:45" ht="15" x14ac:dyDescent="0.25">
      <c r="A721" s="170"/>
      <c r="B721" s="719">
        <v>805</v>
      </c>
      <c r="C721" s="170"/>
      <c r="D721" s="170"/>
      <c r="E721" s="170"/>
      <c r="F721" s="170"/>
      <c r="G721" s="721"/>
      <c r="H721" s="170"/>
      <c r="I721" s="170"/>
      <c r="J721" s="170"/>
      <c r="K721" s="170"/>
      <c r="L721" s="170"/>
      <c r="M721" s="730"/>
      <c r="N721" s="730"/>
      <c r="O721" s="730"/>
      <c r="P721" s="731"/>
      <c r="Q721" s="731"/>
      <c r="R721" s="730"/>
      <c r="S721" s="730"/>
      <c r="T721" s="723"/>
      <c r="U721" s="724"/>
      <c r="V721" s="725"/>
      <c r="W721" s="725"/>
      <c r="X721" s="723"/>
      <c r="Y721" s="723"/>
      <c r="Z721" s="723"/>
      <c r="AA721" s="726"/>
      <c r="AB721" s="726"/>
      <c r="AC721" s="170"/>
      <c r="AD721" s="586"/>
      <c r="AE721" s="586"/>
      <c r="AF721" s="170"/>
      <c r="AG721" s="170"/>
      <c r="AH721" s="170"/>
      <c r="AI721" s="170"/>
      <c r="AJ721" s="170"/>
      <c r="AK721" s="170"/>
      <c r="AL721" s="170"/>
      <c r="AM721" s="170"/>
      <c r="AN721" s="170"/>
      <c r="AO721" s="170"/>
      <c r="AP721" s="170"/>
      <c r="AQ721" s="170"/>
      <c r="AR721" s="170"/>
      <c r="AS721" s="170"/>
    </row>
    <row r="722" spans="1:45" ht="15" x14ac:dyDescent="0.25">
      <c r="A722" s="170"/>
      <c r="B722" s="719">
        <v>806</v>
      </c>
      <c r="C722" s="170"/>
      <c r="D722" s="170"/>
      <c r="E722" s="170"/>
      <c r="F722" s="170"/>
      <c r="G722" s="721"/>
      <c r="H722" s="170"/>
      <c r="I722" s="170"/>
      <c r="J722" s="170"/>
      <c r="K722" s="170"/>
      <c r="L722" s="170"/>
      <c r="M722" s="730"/>
      <c r="N722" s="730"/>
      <c r="O722" s="730"/>
      <c r="P722" s="731"/>
      <c r="Q722" s="731"/>
      <c r="R722" s="730"/>
      <c r="S722" s="730"/>
      <c r="T722" s="723"/>
      <c r="U722" s="724"/>
      <c r="V722" s="725"/>
      <c r="W722" s="725"/>
      <c r="X722" s="723"/>
      <c r="Y722" s="723"/>
      <c r="Z722" s="723"/>
      <c r="AA722" s="726"/>
      <c r="AB722" s="726"/>
      <c r="AC722" s="170"/>
      <c r="AD722" s="586"/>
      <c r="AE722" s="586"/>
      <c r="AF722" s="170"/>
      <c r="AG722" s="170"/>
      <c r="AH722" s="170"/>
      <c r="AI722" s="170"/>
      <c r="AJ722" s="170"/>
      <c r="AK722" s="170"/>
      <c r="AL722" s="170"/>
      <c r="AM722" s="170"/>
      <c r="AN722" s="170"/>
      <c r="AO722" s="170"/>
      <c r="AP722" s="170"/>
      <c r="AQ722" s="170"/>
      <c r="AR722" s="170"/>
      <c r="AS722" s="170"/>
    </row>
    <row r="723" spans="1:45" ht="15" x14ac:dyDescent="0.25">
      <c r="A723" s="170"/>
      <c r="B723" s="719">
        <v>807</v>
      </c>
      <c r="C723" s="170"/>
      <c r="D723" s="170"/>
      <c r="E723" s="170"/>
      <c r="F723" s="170"/>
      <c r="G723" s="721"/>
      <c r="H723" s="170"/>
      <c r="I723" s="170"/>
      <c r="J723" s="170"/>
      <c r="K723" s="170"/>
      <c r="L723" s="170"/>
      <c r="M723" s="730"/>
      <c r="N723" s="730"/>
      <c r="O723" s="730"/>
      <c r="P723" s="731"/>
      <c r="Q723" s="731"/>
      <c r="R723" s="730"/>
      <c r="S723" s="730"/>
      <c r="T723" s="723"/>
      <c r="U723" s="724"/>
      <c r="V723" s="725"/>
      <c r="W723" s="725"/>
      <c r="X723" s="723"/>
      <c r="Y723" s="723"/>
      <c r="Z723" s="723"/>
      <c r="AA723" s="726"/>
      <c r="AB723" s="726"/>
      <c r="AC723" s="170"/>
      <c r="AD723" s="586"/>
      <c r="AE723" s="586"/>
      <c r="AF723" s="170"/>
      <c r="AG723" s="170"/>
      <c r="AH723" s="170"/>
      <c r="AI723" s="170"/>
      <c r="AJ723" s="170"/>
      <c r="AK723" s="170"/>
      <c r="AL723" s="170"/>
      <c r="AM723" s="170"/>
      <c r="AN723" s="170"/>
      <c r="AO723" s="170"/>
      <c r="AP723" s="170"/>
      <c r="AQ723" s="170"/>
      <c r="AR723" s="170"/>
      <c r="AS723" s="170"/>
    </row>
    <row r="724" spans="1:45" ht="15" x14ac:dyDescent="0.25">
      <c r="A724" s="170"/>
      <c r="B724" s="719">
        <v>808</v>
      </c>
      <c r="C724" s="170"/>
      <c r="D724" s="170"/>
      <c r="E724" s="170"/>
      <c r="F724" s="170"/>
      <c r="G724" s="721"/>
      <c r="H724" s="170"/>
      <c r="I724" s="170"/>
      <c r="J724" s="170"/>
      <c r="K724" s="170"/>
      <c r="L724" s="170"/>
      <c r="M724" s="730"/>
      <c r="N724" s="730"/>
      <c r="O724" s="730"/>
      <c r="P724" s="731"/>
      <c r="Q724" s="731"/>
      <c r="R724" s="730"/>
      <c r="S724" s="730"/>
      <c r="T724" s="723"/>
      <c r="U724" s="724"/>
      <c r="V724" s="725"/>
      <c r="W724" s="725"/>
      <c r="X724" s="723"/>
      <c r="Y724" s="723"/>
      <c r="Z724" s="723"/>
      <c r="AA724" s="726"/>
      <c r="AB724" s="726"/>
      <c r="AC724" s="170"/>
      <c r="AD724" s="586"/>
      <c r="AE724" s="586"/>
      <c r="AF724" s="170"/>
      <c r="AG724" s="170"/>
      <c r="AH724" s="170"/>
      <c r="AI724" s="170"/>
      <c r="AJ724" s="170"/>
      <c r="AK724" s="170"/>
      <c r="AL724" s="170"/>
      <c r="AM724" s="170"/>
      <c r="AN724" s="170"/>
      <c r="AO724" s="170"/>
      <c r="AP724" s="170"/>
      <c r="AQ724" s="170"/>
      <c r="AR724" s="170"/>
      <c r="AS724" s="170"/>
    </row>
    <row r="725" spans="1:45" ht="15" x14ac:dyDescent="0.25">
      <c r="A725" s="170"/>
      <c r="B725" s="719">
        <v>809</v>
      </c>
      <c r="C725" s="170"/>
      <c r="D725" s="170"/>
      <c r="E725" s="170"/>
      <c r="F725" s="170"/>
      <c r="G725" s="721"/>
      <c r="H725" s="170"/>
      <c r="I725" s="170"/>
      <c r="J725" s="170"/>
      <c r="K725" s="170"/>
      <c r="L725" s="170"/>
      <c r="M725" s="730"/>
      <c r="N725" s="730"/>
      <c r="O725" s="730"/>
      <c r="P725" s="731"/>
      <c r="Q725" s="731"/>
      <c r="R725" s="730"/>
      <c r="S725" s="730"/>
      <c r="T725" s="723"/>
      <c r="U725" s="724"/>
      <c r="V725" s="725"/>
      <c r="W725" s="725"/>
      <c r="X725" s="723"/>
      <c r="Y725" s="723"/>
      <c r="Z725" s="723"/>
      <c r="AA725" s="726"/>
      <c r="AB725" s="726"/>
      <c r="AC725" s="170"/>
      <c r="AD725" s="586"/>
      <c r="AE725" s="586"/>
      <c r="AF725" s="170"/>
      <c r="AG725" s="170"/>
      <c r="AH725" s="170"/>
      <c r="AI725" s="170"/>
      <c r="AJ725" s="170"/>
      <c r="AK725" s="170"/>
      <c r="AL725" s="170"/>
      <c r="AM725" s="170"/>
      <c r="AN725" s="170"/>
      <c r="AO725" s="170"/>
      <c r="AP725" s="170"/>
      <c r="AQ725" s="170"/>
      <c r="AR725" s="170"/>
      <c r="AS725" s="170"/>
    </row>
    <row r="726" spans="1:45" ht="15" x14ac:dyDescent="0.25">
      <c r="A726" s="170"/>
      <c r="B726" s="719">
        <v>810</v>
      </c>
      <c r="C726" s="170"/>
      <c r="D726" s="170"/>
      <c r="E726" s="170"/>
      <c r="F726" s="170"/>
      <c r="G726" s="721"/>
      <c r="H726" s="170"/>
      <c r="I726" s="170"/>
      <c r="J726" s="170"/>
      <c r="K726" s="170"/>
      <c r="L726" s="170"/>
      <c r="M726" s="730"/>
      <c r="N726" s="730"/>
      <c r="O726" s="730"/>
      <c r="P726" s="731"/>
      <c r="Q726" s="731"/>
      <c r="R726" s="730"/>
      <c r="S726" s="730"/>
      <c r="T726" s="723"/>
      <c r="U726" s="724"/>
      <c r="V726" s="725"/>
      <c r="W726" s="725"/>
      <c r="X726" s="723"/>
      <c r="Y726" s="723"/>
      <c r="Z726" s="723"/>
      <c r="AA726" s="726"/>
      <c r="AB726" s="726"/>
      <c r="AC726" s="170"/>
      <c r="AD726" s="586"/>
      <c r="AE726" s="586"/>
      <c r="AF726" s="170"/>
      <c r="AG726" s="170"/>
      <c r="AH726" s="170"/>
      <c r="AI726" s="170"/>
      <c r="AJ726" s="170"/>
      <c r="AK726" s="170"/>
      <c r="AL726" s="170"/>
      <c r="AM726" s="170"/>
      <c r="AN726" s="170"/>
      <c r="AO726" s="170"/>
      <c r="AP726" s="170"/>
      <c r="AQ726" s="170"/>
      <c r="AR726" s="170"/>
      <c r="AS726" s="170"/>
    </row>
    <row r="727" spans="1:45" ht="15" x14ac:dyDescent="0.25">
      <c r="A727" s="170"/>
      <c r="B727" s="719">
        <v>811</v>
      </c>
      <c r="C727" s="170"/>
      <c r="D727" s="170"/>
      <c r="E727" s="170"/>
      <c r="F727" s="170"/>
      <c r="G727" s="721"/>
      <c r="H727" s="170"/>
      <c r="I727" s="170"/>
      <c r="J727" s="170"/>
      <c r="K727" s="170"/>
      <c r="L727" s="170"/>
      <c r="M727" s="730"/>
      <c r="N727" s="730"/>
      <c r="O727" s="730"/>
      <c r="P727" s="731"/>
      <c r="Q727" s="731"/>
      <c r="R727" s="730"/>
      <c r="S727" s="730"/>
      <c r="T727" s="723"/>
      <c r="U727" s="724"/>
      <c r="V727" s="725"/>
      <c r="W727" s="725"/>
      <c r="X727" s="723"/>
      <c r="Y727" s="723"/>
      <c r="Z727" s="723"/>
      <c r="AA727" s="726"/>
      <c r="AB727" s="726"/>
      <c r="AC727" s="170"/>
      <c r="AD727" s="586"/>
      <c r="AE727" s="586"/>
      <c r="AF727" s="170"/>
      <c r="AG727" s="170"/>
      <c r="AH727" s="170"/>
      <c r="AI727" s="170"/>
      <c r="AJ727" s="170"/>
      <c r="AK727" s="170"/>
      <c r="AL727" s="170"/>
      <c r="AM727" s="170"/>
      <c r="AN727" s="170"/>
      <c r="AO727" s="170"/>
      <c r="AP727" s="170"/>
      <c r="AQ727" s="170"/>
      <c r="AR727" s="170"/>
      <c r="AS727" s="170"/>
    </row>
    <row r="728" spans="1:45" ht="15" x14ac:dyDescent="0.25">
      <c r="A728" s="170"/>
      <c r="B728" s="719">
        <v>812</v>
      </c>
      <c r="C728" s="170"/>
      <c r="D728" s="170"/>
      <c r="E728" s="170"/>
      <c r="F728" s="170"/>
      <c r="G728" s="721"/>
      <c r="H728" s="170"/>
      <c r="I728" s="170"/>
      <c r="J728" s="170"/>
      <c r="K728" s="170"/>
      <c r="L728" s="170"/>
      <c r="M728" s="730"/>
      <c r="N728" s="730"/>
      <c r="O728" s="730"/>
      <c r="P728" s="731"/>
      <c r="Q728" s="731"/>
      <c r="R728" s="730"/>
      <c r="S728" s="730"/>
      <c r="T728" s="723"/>
      <c r="U728" s="724"/>
      <c r="V728" s="725"/>
      <c r="W728" s="725"/>
      <c r="X728" s="723"/>
      <c r="Y728" s="723"/>
      <c r="Z728" s="723"/>
      <c r="AA728" s="726"/>
      <c r="AB728" s="726"/>
      <c r="AC728" s="170"/>
      <c r="AD728" s="586"/>
      <c r="AE728" s="586"/>
      <c r="AF728" s="170"/>
      <c r="AG728" s="170"/>
      <c r="AH728" s="170"/>
      <c r="AI728" s="170"/>
      <c r="AJ728" s="170"/>
      <c r="AK728" s="170"/>
      <c r="AL728" s="170"/>
      <c r="AM728" s="170"/>
      <c r="AN728" s="170"/>
      <c r="AO728" s="170"/>
      <c r="AP728" s="170"/>
      <c r="AQ728" s="170"/>
      <c r="AR728" s="170"/>
      <c r="AS728" s="170"/>
    </row>
    <row r="729" spans="1:45" ht="15" x14ac:dyDescent="0.25">
      <c r="A729" s="170"/>
      <c r="B729" s="719">
        <v>813</v>
      </c>
      <c r="C729" s="170"/>
      <c r="D729" s="170"/>
      <c r="E729" s="170"/>
      <c r="F729" s="170"/>
      <c r="G729" s="721"/>
      <c r="H729" s="170"/>
      <c r="I729" s="170"/>
      <c r="J729" s="170"/>
      <c r="K729" s="170"/>
      <c r="L729" s="170"/>
      <c r="M729" s="730"/>
      <c r="N729" s="730"/>
      <c r="O729" s="730"/>
      <c r="P729" s="731"/>
      <c r="Q729" s="731"/>
      <c r="R729" s="730"/>
      <c r="S729" s="730"/>
      <c r="T729" s="723"/>
      <c r="U729" s="724"/>
      <c r="V729" s="725"/>
      <c r="W729" s="725"/>
      <c r="X729" s="723"/>
      <c r="Y729" s="723"/>
      <c r="Z729" s="723"/>
      <c r="AA729" s="726"/>
      <c r="AB729" s="726"/>
      <c r="AC729" s="170"/>
      <c r="AD729" s="586"/>
      <c r="AE729" s="586"/>
      <c r="AF729" s="170"/>
      <c r="AG729" s="170"/>
      <c r="AH729" s="170"/>
      <c r="AI729" s="170"/>
      <c r="AJ729" s="170"/>
      <c r="AK729" s="170"/>
      <c r="AL729" s="170"/>
      <c r="AM729" s="170"/>
      <c r="AN729" s="170"/>
      <c r="AO729" s="170"/>
      <c r="AP729" s="170"/>
      <c r="AQ729" s="170"/>
      <c r="AR729" s="170"/>
      <c r="AS729" s="170"/>
    </row>
    <row r="730" spans="1:45" ht="15" x14ac:dyDescent="0.25">
      <c r="A730" s="170"/>
      <c r="B730" s="719">
        <v>814</v>
      </c>
      <c r="C730" s="170"/>
      <c r="D730" s="170"/>
      <c r="E730" s="170"/>
      <c r="F730" s="170"/>
      <c r="G730" s="721"/>
      <c r="H730" s="170"/>
      <c r="I730" s="170"/>
      <c r="J730" s="170"/>
      <c r="K730" s="170"/>
      <c r="L730" s="170"/>
      <c r="M730" s="730"/>
      <c r="N730" s="730"/>
      <c r="O730" s="730"/>
      <c r="P730" s="731"/>
      <c r="Q730" s="731"/>
      <c r="R730" s="730"/>
      <c r="S730" s="730"/>
      <c r="T730" s="723"/>
      <c r="U730" s="724"/>
      <c r="V730" s="725"/>
      <c r="W730" s="725"/>
      <c r="X730" s="723"/>
      <c r="Y730" s="723"/>
      <c r="Z730" s="723"/>
      <c r="AA730" s="726"/>
      <c r="AB730" s="726"/>
      <c r="AC730" s="170"/>
      <c r="AD730" s="586"/>
      <c r="AE730" s="586"/>
      <c r="AF730" s="170"/>
      <c r="AG730" s="170"/>
      <c r="AH730" s="170"/>
      <c r="AI730" s="170"/>
      <c r="AJ730" s="170"/>
      <c r="AK730" s="170"/>
      <c r="AL730" s="170"/>
      <c r="AM730" s="170"/>
      <c r="AN730" s="170"/>
      <c r="AO730" s="170"/>
      <c r="AP730" s="170"/>
      <c r="AQ730" s="170"/>
      <c r="AR730" s="170"/>
      <c r="AS730" s="170"/>
    </row>
    <row r="731" spans="1:45" ht="15" x14ac:dyDescent="0.25">
      <c r="A731" s="170"/>
      <c r="B731" s="719">
        <v>815</v>
      </c>
      <c r="C731" s="170"/>
      <c r="D731" s="170"/>
      <c r="E731" s="170"/>
      <c r="F731" s="170"/>
      <c r="G731" s="721"/>
      <c r="H731" s="170"/>
      <c r="I731" s="170"/>
      <c r="J731" s="170"/>
      <c r="K731" s="170"/>
      <c r="L731" s="170"/>
      <c r="M731" s="730"/>
      <c r="N731" s="730"/>
      <c r="O731" s="730"/>
      <c r="P731" s="731"/>
      <c r="Q731" s="731"/>
      <c r="R731" s="730"/>
      <c r="S731" s="730"/>
      <c r="T731" s="723"/>
      <c r="U731" s="724"/>
      <c r="V731" s="725"/>
      <c r="W731" s="725"/>
      <c r="X731" s="723"/>
      <c r="Y731" s="723"/>
      <c r="Z731" s="723"/>
      <c r="AA731" s="726"/>
      <c r="AB731" s="726"/>
      <c r="AC731" s="170"/>
      <c r="AD731" s="586"/>
      <c r="AE731" s="586"/>
      <c r="AF731" s="170"/>
      <c r="AG731" s="170"/>
      <c r="AH731" s="170"/>
      <c r="AI731" s="170"/>
      <c r="AJ731" s="170"/>
      <c r="AK731" s="170"/>
      <c r="AL731" s="170"/>
      <c r="AM731" s="170"/>
      <c r="AN731" s="170"/>
      <c r="AO731" s="170"/>
      <c r="AP731" s="170"/>
      <c r="AQ731" s="170"/>
      <c r="AR731" s="170"/>
      <c r="AS731" s="170"/>
    </row>
    <row r="732" spans="1:45" ht="15" x14ac:dyDescent="0.25">
      <c r="A732" s="170"/>
      <c r="B732" s="719">
        <v>816</v>
      </c>
      <c r="C732" s="170"/>
      <c r="D732" s="170"/>
      <c r="E732" s="170"/>
      <c r="F732" s="170"/>
      <c r="G732" s="721"/>
      <c r="H732" s="170"/>
      <c r="I732" s="170"/>
      <c r="J732" s="170"/>
      <c r="K732" s="170"/>
      <c r="L732" s="170"/>
      <c r="M732" s="730"/>
      <c r="N732" s="730"/>
      <c r="O732" s="730"/>
      <c r="P732" s="731"/>
      <c r="Q732" s="731"/>
      <c r="R732" s="730"/>
      <c r="S732" s="730"/>
      <c r="T732" s="723"/>
      <c r="U732" s="724"/>
      <c r="V732" s="725"/>
      <c r="W732" s="725"/>
      <c r="X732" s="723"/>
      <c r="Y732" s="723"/>
      <c r="Z732" s="723"/>
      <c r="AA732" s="726"/>
      <c r="AB732" s="726"/>
      <c r="AC732" s="170"/>
      <c r="AD732" s="586"/>
      <c r="AE732" s="586"/>
      <c r="AF732" s="170"/>
      <c r="AG732" s="170"/>
      <c r="AH732" s="170"/>
      <c r="AI732" s="170"/>
      <c r="AJ732" s="170"/>
      <c r="AK732" s="170"/>
      <c r="AL732" s="170"/>
      <c r="AM732" s="170"/>
      <c r="AN732" s="170"/>
      <c r="AO732" s="170"/>
      <c r="AP732" s="170"/>
      <c r="AQ732" s="170"/>
      <c r="AR732" s="170"/>
      <c r="AS732" s="170"/>
    </row>
    <row r="733" spans="1:45" ht="15" x14ac:dyDescent="0.25">
      <c r="A733" s="170"/>
      <c r="B733" s="719">
        <v>817</v>
      </c>
      <c r="C733" s="170"/>
      <c r="D733" s="170"/>
      <c r="E733" s="170"/>
      <c r="F733" s="170"/>
      <c r="G733" s="721"/>
      <c r="H733" s="170"/>
      <c r="I733" s="170"/>
      <c r="J733" s="170"/>
      <c r="K733" s="170"/>
      <c r="L733" s="170"/>
      <c r="M733" s="730"/>
      <c r="N733" s="730"/>
      <c r="O733" s="730"/>
      <c r="P733" s="731"/>
      <c r="Q733" s="731"/>
      <c r="R733" s="730"/>
      <c r="S733" s="730"/>
      <c r="T733" s="723"/>
      <c r="U733" s="724"/>
      <c r="V733" s="725"/>
      <c r="W733" s="725"/>
      <c r="X733" s="723"/>
      <c r="Y733" s="723"/>
      <c r="Z733" s="723"/>
      <c r="AA733" s="726"/>
      <c r="AB733" s="726"/>
      <c r="AC733" s="170"/>
      <c r="AD733" s="586"/>
      <c r="AE733" s="586"/>
      <c r="AF733" s="170"/>
      <c r="AG733" s="170"/>
      <c r="AH733" s="170"/>
      <c r="AI733" s="170"/>
      <c r="AJ733" s="170"/>
      <c r="AK733" s="170"/>
      <c r="AL733" s="170"/>
      <c r="AM733" s="170"/>
      <c r="AN733" s="170"/>
      <c r="AO733" s="170"/>
      <c r="AP733" s="170"/>
      <c r="AQ733" s="170"/>
      <c r="AR733" s="170"/>
      <c r="AS733" s="170"/>
    </row>
    <row r="734" spans="1:45" ht="15" x14ac:dyDescent="0.25">
      <c r="A734" s="170"/>
      <c r="B734" s="719">
        <v>818</v>
      </c>
      <c r="C734" s="170"/>
      <c r="D734" s="170"/>
      <c r="E734" s="170"/>
      <c r="F734" s="170"/>
      <c r="G734" s="721"/>
      <c r="H734" s="170"/>
      <c r="I734" s="170"/>
      <c r="J734" s="170"/>
      <c r="K734" s="170"/>
      <c r="L734" s="170"/>
      <c r="M734" s="730"/>
      <c r="N734" s="730"/>
      <c r="O734" s="730"/>
      <c r="P734" s="731"/>
      <c r="Q734" s="731"/>
      <c r="R734" s="730"/>
      <c r="S734" s="730"/>
      <c r="T734" s="723"/>
      <c r="U734" s="724"/>
      <c r="V734" s="725"/>
      <c r="W734" s="725"/>
      <c r="X734" s="723"/>
      <c r="Y734" s="723"/>
      <c r="Z734" s="723"/>
      <c r="AA734" s="726"/>
      <c r="AB734" s="726"/>
      <c r="AC734" s="170"/>
      <c r="AD734" s="586"/>
      <c r="AE734" s="586"/>
      <c r="AF734" s="170"/>
      <c r="AG734" s="170"/>
      <c r="AH734" s="170"/>
      <c r="AI734" s="170"/>
      <c r="AJ734" s="170"/>
      <c r="AK734" s="170"/>
      <c r="AL734" s="170"/>
      <c r="AM734" s="170"/>
      <c r="AN734" s="170"/>
      <c r="AO734" s="170"/>
      <c r="AP734" s="170"/>
      <c r="AQ734" s="170"/>
      <c r="AR734" s="170"/>
      <c r="AS734" s="170"/>
    </row>
    <row r="735" spans="1:45" ht="15" x14ac:dyDescent="0.25">
      <c r="A735" s="170"/>
      <c r="B735" s="719">
        <v>819</v>
      </c>
      <c r="C735" s="170"/>
      <c r="D735" s="170"/>
      <c r="E735" s="170"/>
      <c r="F735" s="170"/>
      <c r="G735" s="721"/>
      <c r="H735" s="170"/>
      <c r="I735" s="170"/>
      <c r="J735" s="170"/>
      <c r="K735" s="170"/>
      <c r="L735" s="170"/>
      <c r="M735" s="730"/>
      <c r="N735" s="730"/>
      <c r="O735" s="730"/>
      <c r="P735" s="731"/>
      <c r="Q735" s="731"/>
      <c r="R735" s="730"/>
      <c r="S735" s="730"/>
      <c r="T735" s="723"/>
      <c r="U735" s="724"/>
      <c r="V735" s="725"/>
      <c r="W735" s="725"/>
      <c r="X735" s="723"/>
      <c r="Y735" s="723"/>
      <c r="Z735" s="723"/>
      <c r="AA735" s="726"/>
      <c r="AB735" s="726"/>
      <c r="AC735" s="170"/>
      <c r="AD735" s="586"/>
      <c r="AE735" s="586"/>
      <c r="AF735" s="170"/>
      <c r="AG735" s="170"/>
      <c r="AH735" s="170"/>
      <c r="AI735" s="170"/>
      <c r="AJ735" s="170"/>
      <c r="AK735" s="170"/>
      <c r="AL735" s="170"/>
      <c r="AM735" s="170"/>
      <c r="AN735" s="170"/>
      <c r="AO735" s="170"/>
      <c r="AP735" s="170"/>
      <c r="AQ735" s="170"/>
      <c r="AR735" s="170"/>
      <c r="AS735" s="170"/>
    </row>
    <row r="736" spans="1:45" ht="15" x14ac:dyDescent="0.25">
      <c r="A736" s="170"/>
      <c r="B736" s="719">
        <v>820</v>
      </c>
      <c r="C736" s="170"/>
      <c r="D736" s="170"/>
      <c r="E736" s="170"/>
      <c r="F736" s="170"/>
      <c r="G736" s="721"/>
      <c r="H736" s="170"/>
      <c r="I736" s="170"/>
      <c r="J736" s="170"/>
      <c r="K736" s="170"/>
      <c r="L736" s="170"/>
      <c r="M736" s="730"/>
      <c r="N736" s="730"/>
      <c r="O736" s="730"/>
      <c r="P736" s="731"/>
      <c r="Q736" s="731"/>
      <c r="R736" s="730"/>
      <c r="S736" s="730"/>
      <c r="T736" s="723"/>
      <c r="U736" s="724"/>
      <c r="V736" s="725"/>
      <c r="W736" s="725"/>
      <c r="X736" s="723"/>
      <c r="Y736" s="723"/>
      <c r="Z736" s="723"/>
      <c r="AA736" s="726"/>
      <c r="AB736" s="726"/>
      <c r="AC736" s="170"/>
      <c r="AD736" s="586"/>
      <c r="AE736" s="586"/>
      <c r="AF736" s="170"/>
      <c r="AG736" s="170"/>
      <c r="AH736" s="170"/>
      <c r="AI736" s="170"/>
      <c r="AJ736" s="170"/>
      <c r="AK736" s="170"/>
      <c r="AL736" s="170"/>
      <c r="AM736" s="170"/>
      <c r="AN736" s="170"/>
      <c r="AO736" s="170"/>
      <c r="AP736" s="170"/>
      <c r="AQ736" s="170"/>
      <c r="AR736" s="170"/>
      <c r="AS736" s="170"/>
    </row>
    <row r="737" spans="1:45" ht="15" x14ac:dyDescent="0.25">
      <c r="A737" s="170"/>
      <c r="B737" s="719">
        <v>821</v>
      </c>
      <c r="C737" s="170"/>
      <c r="D737" s="170"/>
      <c r="E737" s="170"/>
      <c r="F737" s="170"/>
      <c r="G737" s="721"/>
      <c r="H737" s="170"/>
      <c r="I737" s="170"/>
      <c r="J737" s="170"/>
      <c r="K737" s="170"/>
      <c r="L737" s="170"/>
      <c r="M737" s="730"/>
      <c r="N737" s="730"/>
      <c r="O737" s="730"/>
      <c r="P737" s="731"/>
      <c r="Q737" s="731"/>
      <c r="R737" s="730"/>
      <c r="S737" s="730"/>
      <c r="T737" s="723"/>
      <c r="U737" s="724"/>
      <c r="V737" s="725"/>
      <c r="W737" s="725"/>
      <c r="X737" s="723"/>
      <c r="Y737" s="723"/>
      <c r="Z737" s="723"/>
      <c r="AA737" s="726"/>
      <c r="AB737" s="726"/>
      <c r="AC737" s="170"/>
      <c r="AD737" s="586"/>
      <c r="AE737" s="586"/>
      <c r="AF737" s="170"/>
      <c r="AG737" s="170"/>
      <c r="AH737" s="170"/>
      <c r="AI737" s="170"/>
      <c r="AJ737" s="170"/>
      <c r="AK737" s="170"/>
      <c r="AL737" s="170"/>
      <c r="AM737" s="170"/>
      <c r="AN737" s="170"/>
      <c r="AO737" s="170"/>
      <c r="AP737" s="170"/>
      <c r="AQ737" s="170"/>
      <c r="AR737" s="170"/>
      <c r="AS737" s="170"/>
    </row>
    <row r="738" spans="1:45" ht="15" x14ac:dyDescent="0.25">
      <c r="A738" s="170"/>
      <c r="B738" s="719">
        <v>822</v>
      </c>
      <c r="C738" s="170"/>
      <c r="D738" s="170"/>
      <c r="E738" s="170"/>
      <c r="F738" s="170"/>
      <c r="G738" s="721"/>
      <c r="H738" s="170"/>
      <c r="I738" s="170"/>
      <c r="J738" s="170"/>
      <c r="K738" s="170"/>
      <c r="L738" s="170"/>
      <c r="M738" s="730"/>
      <c r="N738" s="730"/>
      <c r="O738" s="730"/>
      <c r="P738" s="731"/>
      <c r="Q738" s="731"/>
      <c r="R738" s="730"/>
      <c r="S738" s="730"/>
      <c r="T738" s="723"/>
      <c r="U738" s="724"/>
      <c r="V738" s="725"/>
      <c r="W738" s="725"/>
      <c r="X738" s="723"/>
      <c r="Y738" s="723"/>
      <c r="Z738" s="723"/>
      <c r="AA738" s="726"/>
      <c r="AB738" s="726"/>
      <c r="AC738" s="170"/>
      <c r="AD738" s="586"/>
      <c r="AE738" s="586"/>
      <c r="AF738" s="170"/>
      <c r="AG738" s="170"/>
      <c r="AH738" s="170"/>
      <c r="AI738" s="170"/>
      <c r="AJ738" s="170"/>
      <c r="AK738" s="170"/>
      <c r="AL738" s="170"/>
      <c r="AM738" s="170"/>
      <c r="AN738" s="170"/>
      <c r="AO738" s="170"/>
      <c r="AP738" s="170"/>
      <c r="AQ738" s="170"/>
      <c r="AR738" s="170"/>
      <c r="AS738" s="170"/>
    </row>
    <row r="739" spans="1:45" ht="15" x14ac:dyDescent="0.25">
      <c r="A739" s="170"/>
      <c r="B739" s="719">
        <v>823</v>
      </c>
      <c r="C739" s="170"/>
      <c r="D739" s="170"/>
      <c r="E739" s="170"/>
      <c r="F739" s="170"/>
      <c r="G739" s="721"/>
      <c r="H739" s="170"/>
      <c r="I739" s="170"/>
      <c r="J739" s="170"/>
      <c r="K739" s="170"/>
      <c r="L739" s="170"/>
      <c r="M739" s="730"/>
      <c r="N739" s="730"/>
      <c r="O739" s="730"/>
      <c r="P739" s="731"/>
      <c r="Q739" s="731"/>
      <c r="R739" s="730"/>
      <c r="S739" s="730"/>
      <c r="T739" s="723"/>
      <c r="U739" s="724"/>
      <c r="V739" s="725"/>
      <c r="W739" s="725"/>
      <c r="X739" s="723"/>
      <c r="Y739" s="723"/>
      <c r="Z739" s="723"/>
      <c r="AA739" s="726"/>
      <c r="AB739" s="726"/>
      <c r="AC739" s="170"/>
      <c r="AD739" s="586"/>
      <c r="AE739" s="586"/>
      <c r="AF739" s="170"/>
      <c r="AG739" s="170"/>
      <c r="AH739" s="170"/>
      <c r="AI739" s="170"/>
      <c r="AJ739" s="170"/>
      <c r="AK739" s="170"/>
      <c r="AL739" s="170"/>
      <c r="AM739" s="170"/>
      <c r="AN739" s="170"/>
      <c r="AO739" s="170"/>
      <c r="AP739" s="170"/>
      <c r="AQ739" s="170"/>
      <c r="AR739" s="170"/>
      <c r="AS739" s="170"/>
    </row>
    <row r="740" spans="1:45" ht="15" x14ac:dyDescent="0.25">
      <c r="A740" s="170"/>
      <c r="B740" s="719">
        <v>824</v>
      </c>
      <c r="C740" s="170"/>
      <c r="D740" s="170"/>
      <c r="E740" s="170"/>
      <c r="F740" s="170"/>
      <c r="G740" s="721"/>
      <c r="H740" s="170"/>
      <c r="I740" s="170"/>
      <c r="J740" s="170"/>
      <c r="K740" s="170"/>
      <c r="L740" s="170"/>
      <c r="M740" s="730"/>
      <c r="N740" s="730"/>
      <c r="O740" s="730"/>
      <c r="P740" s="731"/>
      <c r="Q740" s="731"/>
      <c r="R740" s="730"/>
      <c r="S740" s="730"/>
      <c r="T740" s="723"/>
      <c r="U740" s="724"/>
      <c r="V740" s="725"/>
      <c r="W740" s="725"/>
      <c r="X740" s="723"/>
      <c r="Y740" s="723"/>
      <c r="Z740" s="723"/>
      <c r="AA740" s="726"/>
      <c r="AB740" s="726"/>
      <c r="AC740" s="170"/>
      <c r="AD740" s="586"/>
      <c r="AE740" s="586"/>
      <c r="AF740" s="170"/>
      <c r="AG740" s="170"/>
      <c r="AH740" s="170"/>
      <c r="AI740" s="170"/>
      <c r="AJ740" s="170"/>
      <c r="AK740" s="170"/>
      <c r="AL740" s="170"/>
      <c r="AM740" s="170"/>
      <c r="AN740" s="170"/>
      <c r="AO740" s="170"/>
      <c r="AP740" s="170"/>
      <c r="AQ740" s="170"/>
      <c r="AR740" s="170"/>
      <c r="AS740" s="170"/>
    </row>
    <row r="741" spans="1:45" ht="15" x14ac:dyDescent="0.25">
      <c r="A741" s="170"/>
      <c r="B741" s="719">
        <v>825</v>
      </c>
      <c r="C741" s="170"/>
      <c r="D741" s="170"/>
      <c r="E741" s="170"/>
      <c r="F741" s="170"/>
      <c r="G741" s="721"/>
      <c r="H741" s="170"/>
      <c r="I741" s="170"/>
      <c r="J741" s="170"/>
      <c r="K741" s="170"/>
      <c r="L741" s="170"/>
      <c r="M741" s="730"/>
      <c r="N741" s="730"/>
      <c r="O741" s="730"/>
      <c r="P741" s="731"/>
      <c r="Q741" s="731"/>
      <c r="R741" s="730"/>
      <c r="S741" s="730"/>
      <c r="T741" s="723"/>
      <c r="U741" s="724"/>
      <c r="V741" s="725"/>
      <c r="W741" s="725"/>
      <c r="X741" s="723"/>
      <c r="Y741" s="723"/>
      <c r="Z741" s="723"/>
      <c r="AA741" s="726"/>
      <c r="AB741" s="726"/>
      <c r="AC741" s="170"/>
      <c r="AD741" s="586"/>
      <c r="AE741" s="586"/>
      <c r="AF741" s="170"/>
      <c r="AG741" s="170"/>
      <c r="AH741" s="170"/>
      <c r="AI741" s="170"/>
      <c r="AJ741" s="170"/>
      <c r="AK741" s="170"/>
      <c r="AL741" s="170"/>
      <c r="AM741" s="170"/>
      <c r="AN741" s="170"/>
      <c r="AO741" s="170"/>
      <c r="AP741" s="170"/>
      <c r="AQ741" s="170"/>
      <c r="AR741" s="170"/>
      <c r="AS741" s="170"/>
    </row>
    <row r="742" spans="1:45" ht="15" x14ac:dyDescent="0.25">
      <c r="A742" s="170"/>
      <c r="B742" s="719">
        <v>826</v>
      </c>
      <c r="C742" s="170"/>
      <c r="D742" s="170"/>
      <c r="E742" s="170"/>
      <c r="F742" s="170"/>
      <c r="G742" s="721"/>
      <c r="H742" s="170"/>
      <c r="I742" s="170"/>
      <c r="J742" s="170"/>
      <c r="K742" s="170"/>
      <c r="L742" s="170"/>
      <c r="M742" s="730"/>
      <c r="N742" s="730"/>
      <c r="O742" s="730"/>
      <c r="P742" s="731"/>
      <c r="Q742" s="731"/>
      <c r="R742" s="730"/>
      <c r="S742" s="730"/>
      <c r="T742" s="723"/>
      <c r="U742" s="724"/>
      <c r="V742" s="725"/>
      <c r="W742" s="725"/>
      <c r="X742" s="723"/>
      <c r="Y742" s="723"/>
      <c r="Z742" s="723"/>
      <c r="AA742" s="726"/>
      <c r="AB742" s="726"/>
      <c r="AC742" s="170"/>
      <c r="AD742" s="586"/>
      <c r="AE742" s="586"/>
      <c r="AF742" s="170"/>
      <c r="AG742" s="170"/>
      <c r="AH742" s="170"/>
      <c r="AI742" s="170"/>
      <c r="AJ742" s="170"/>
      <c r="AK742" s="170"/>
      <c r="AL742" s="170"/>
      <c r="AM742" s="170"/>
      <c r="AN742" s="170"/>
      <c r="AO742" s="170"/>
      <c r="AP742" s="170"/>
      <c r="AQ742" s="170"/>
      <c r="AR742" s="170"/>
      <c r="AS742" s="170"/>
    </row>
    <row r="743" spans="1:45" ht="15" x14ac:dyDescent="0.25">
      <c r="A743" s="170"/>
      <c r="B743" s="719">
        <v>827</v>
      </c>
      <c r="C743" s="170"/>
      <c r="D743" s="170"/>
      <c r="E743" s="170"/>
      <c r="F743" s="170"/>
      <c r="G743" s="721"/>
      <c r="H743" s="170"/>
      <c r="I743" s="170"/>
      <c r="J743" s="170"/>
      <c r="K743" s="170"/>
      <c r="L743" s="170"/>
      <c r="M743" s="730"/>
      <c r="N743" s="730"/>
      <c r="O743" s="730"/>
      <c r="P743" s="731"/>
      <c r="Q743" s="731"/>
      <c r="R743" s="730"/>
      <c r="S743" s="730"/>
      <c r="T743" s="723"/>
      <c r="U743" s="724"/>
      <c r="V743" s="725"/>
      <c r="W743" s="725"/>
      <c r="X743" s="723"/>
      <c r="Y743" s="723"/>
      <c r="Z743" s="723"/>
      <c r="AA743" s="726"/>
      <c r="AB743" s="726"/>
      <c r="AC743" s="170"/>
      <c r="AD743" s="586"/>
      <c r="AE743" s="586"/>
      <c r="AF743" s="170"/>
      <c r="AG743" s="170"/>
      <c r="AH743" s="170"/>
      <c r="AI743" s="170"/>
      <c r="AJ743" s="170"/>
      <c r="AK743" s="170"/>
      <c r="AL743" s="170"/>
      <c r="AM743" s="170"/>
      <c r="AN743" s="170"/>
      <c r="AO743" s="170"/>
      <c r="AP743" s="170"/>
      <c r="AQ743" s="170"/>
      <c r="AR743" s="170"/>
      <c r="AS743" s="170"/>
    </row>
    <row r="744" spans="1:45" ht="15" x14ac:dyDescent="0.25">
      <c r="A744" s="170"/>
      <c r="B744" s="719">
        <v>828</v>
      </c>
      <c r="C744" s="170"/>
      <c r="D744" s="170"/>
      <c r="E744" s="170"/>
      <c r="F744" s="170"/>
      <c r="G744" s="721"/>
      <c r="H744" s="170"/>
      <c r="I744" s="170"/>
      <c r="J744" s="170"/>
      <c r="K744" s="170"/>
      <c r="L744" s="170"/>
      <c r="M744" s="730"/>
      <c r="N744" s="730"/>
      <c r="O744" s="730"/>
      <c r="P744" s="731"/>
      <c r="Q744" s="731"/>
      <c r="R744" s="730"/>
      <c r="S744" s="730"/>
      <c r="T744" s="723"/>
      <c r="U744" s="724"/>
      <c r="V744" s="725"/>
      <c r="W744" s="725"/>
      <c r="X744" s="723"/>
      <c r="Y744" s="723"/>
      <c r="Z744" s="723"/>
      <c r="AA744" s="726"/>
      <c r="AB744" s="726"/>
      <c r="AC744" s="170"/>
      <c r="AD744" s="586"/>
      <c r="AE744" s="586"/>
      <c r="AF744" s="170"/>
      <c r="AG744" s="170"/>
      <c r="AH744" s="170"/>
      <c r="AI744" s="170"/>
      <c r="AJ744" s="170"/>
      <c r="AK744" s="170"/>
      <c r="AL744" s="170"/>
      <c r="AM744" s="170"/>
      <c r="AN744" s="170"/>
      <c r="AO744" s="170"/>
      <c r="AP744" s="170"/>
      <c r="AQ744" s="170"/>
      <c r="AR744" s="170"/>
      <c r="AS744" s="170"/>
    </row>
    <row r="745" spans="1:45" ht="15" x14ac:dyDescent="0.25">
      <c r="A745" s="170"/>
      <c r="B745" s="719">
        <v>829</v>
      </c>
      <c r="C745" s="170"/>
      <c r="D745" s="170"/>
      <c r="E745" s="170"/>
      <c r="F745" s="170"/>
      <c r="G745" s="721"/>
      <c r="H745" s="170"/>
      <c r="I745" s="170"/>
      <c r="J745" s="170"/>
      <c r="K745" s="170"/>
      <c r="L745" s="170"/>
      <c r="M745" s="730"/>
      <c r="N745" s="730"/>
      <c r="O745" s="730"/>
      <c r="P745" s="731"/>
      <c r="Q745" s="731"/>
      <c r="R745" s="730"/>
      <c r="S745" s="730"/>
      <c r="T745" s="723"/>
      <c r="U745" s="724"/>
      <c r="V745" s="725"/>
      <c r="W745" s="725"/>
      <c r="X745" s="723"/>
      <c r="Y745" s="723"/>
      <c r="Z745" s="723"/>
      <c r="AA745" s="726"/>
      <c r="AB745" s="726"/>
      <c r="AC745" s="170"/>
      <c r="AD745" s="586"/>
      <c r="AE745" s="586"/>
      <c r="AF745" s="170"/>
      <c r="AG745" s="170"/>
      <c r="AH745" s="170"/>
      <c r="AI745" s="170"/>
      <c r="AJ745" s="170"/>
      <c r="AK745" s="170"/>
      <c r="AL745" s="170"/>
      <c r="AM745" s="170"/>
      <c r="AN745" s="170"/>
      <c r="AO745" s="170"/>
      <c r="AP745" s="170"/>
      <c r="AQ745" s="170"/>
      <c r="AR745" s="170"/>
      <c r="AS745" s="170"/>
    </row>
    <row r="746" spans="1:45" ht="15" x14ac:dyDescent="0.25">
      <c r="A746" s="170"/>
      <c r="B746" s="719">
        <v>830</v>
      </c>
      <c r="C746" s="170"/>
      <c r="D746" s="170"/>
      <c r="E746" s="170"/>
      <c r="F746" s="170"/>
      <c r="G746" s="721"/>
      <c r="H746" s="170"/>
      <c r="I746" s="170"/>
      <c r="J746" s="170"/>
      <c r="K746" s="170"/>
      <c r="L746" s="170"/>
      <c r="M746" s="730"/>
      <c r="N746" s="730"/>
      <c r="O746" s="730"/>
      <c r="P746" s="731"/>
      <c r="Q746" s="731"/>
      <c r="R746" s="730"/>
      <c r="S746" s="730"/>
      <c r="T746" s="723"/>
      <c r="U746" s="724"/>
      <c r="V746" s="725"/>
      <c r="W746" s="725"/>
      <c r="X746" s="723"/>
      <c r="Y746" s="723"/>
      <c r="Z746" s="723"/>
      <c r="AA746" s="726"/>
      <c r="AB746" s="726"/>
      <c r="AC746" s="170"/>
      <c r="AD746" s="586"/>
      <c r="AE746" s="586"/>
      <c r="AF746" s="170"/>
      <c r="AG746" s="170"/>
      <c r="AH746" s="170"/>
      <c r="AI746" s="170"/>
      <c r="AJ746" s="170"/>
      <c r="AK746" s="170"/>
      <c r="AL746" s="170"/>
      <c r="AM746" s="170"/>
      <c r="AN746" s="170"/>
      <c r="AO746" s="170"/>
      <c r="AP746" s="170"/>
      <c r="AQ746" s="170"/>
      <c r="AR746" s="170"/>
      <c r="AS746" s="170"/>
    </row>
    <row r="747" spans="1:45" ht="15" x14ac:dyDescent="0.25">
      <c r="A747" s="170"/>
      <c r="B747" s="719">
        <v>831</v>
      </c>
      <c r="C747" s="170"/>
      <c r="D747" s="170"/>
      <c r="E747" s="170"/>
      <c r="F747" s="170"/>
      <c r="G747" s="721"/>
      <c r="H747" s="170"/>
      <c r="I747" s="170"/>
      <c r="J747" s="170"/>
      <c r="K747" s="170"/>
      <c r="L747" s="170"/>
      <c r="M747" s="730"/>
      <c r="N747" s="730"/>
      <c r="O747" s="730"/>
      <c r="P747" s="731"/>
      <c r="Q747" s="731"/>
      <c r="R747" s="730"/>
      <c r="S747" s="730"/>
      <c r="T747" s="723"/>
      <c r="U747" s="724"/>
      <c r="V747" s="725"/>
      <c r="W747" s="725"/>
      <c r="X747" s="723"/>
      <c r="Y747" s="723"/>
      <c r="Z747" s="723"/>
      <c r="AA747" s="726"/>
      <c r="AB747" s="726"/>
      <c r="AC747" s="170"/>
      <c r="AD747" s="586"/>
      <c r="AE747" s="586"/>
      <c r="AF747" s="170"/>
      <c r="AG747" s="170"/>
      <c r="AH747" s="170"/>
      <c r="AI747" s="170"/>
      <c r="AJ747" s="170"/>
      <c r="AK747" s="170"/>
      <c r="AL747" s="170"/>
      <c r="AM747" s="170"/>
      <c r="AN747" s="170"/>
      <c r="AO747" s="170"/>
      <c r="AP747" s="170"/>
      <c r="AQ747" s="170"/>
      <c r="AR747" s="170"/>
      <c r="AS747" s="170"/>
    </row>
    <row r="748" spans="1:45" ht="15" x14ac:dyDescent="0.25">
      <c r="A748" s="170"/>
      <c r="B748" s="719">
        <v>832</v>
      </c>
      <c r="C748" s="170"/>
      <c r="D748" s="170"/>
      <c r="E748" s="170"/>
      <c r="F748" s="170"/>
      <c r="G748" s="721"/>
      <c r="H748" s="170"/>
      <c r="I748" s="170"/>
      <c r="J748" s="170"/>
      <c r="K748" s="170"/>
      <c r="L748" s="170"/>
      <c r="M748" s="730"/>
      <c r="N748" s="730"/>
      <c r="O748" s="730"/>
      <c r="P748" s="731"/>
      <c r="Q748" s="731"/>
      <c r="R748" s="730"/>
      <c r="S748" s="730"/>
      <c r="T748" s="723"/>
      <c r="U748" s="724"/>
      <c r="V748" s="725"/>
      <c r="W748" s="725"/>
      <c r="X748" s="723"/>
      <c r="Y748" s="723"/>
      <c r="Z748" s="723"/>
      <c r="AA748" s="726"/>
      <c r="AB748" s="726"/>
      <c r="AC748" s="170"/>
      <c r="AD748" s="586"/>
      <c r="AE748" s="586"/>
      <c r="AF748" s="170"/>
      <c r="AG748" s="170"/>
      <c r="AH748" s="170"/>
      <c r="AI748" s="170"/>
      <c r="AJ748" s="170"/>
      <c r="AK748" s="170"/>
      <c r="AL748" s="170"/>
      <c r="AM748" s="170"/>
      <c r="AN748" s="170"/>
      <c r="AO748" s="170"/>
      <c r="AP748" s="170"/>
      <c r="AQ748" s="170"/>
      <c r="AR748" s="170"/>
      <c r="AS748" s="170"/>
    </row>
    <row r="749" spans="1:45" ht="15" x14ac:dyDescent="0.25">
      <c r="A749" s="170"/>
      <c r="B749" s="719">
        <v>833</v>
      </c>
      <c r="C749" s="170"/>
      <c r="D749" s="170"/>
      <c r="E749" s="170"/>
      <c r="F749" s="170"/>
      <c r="G749" s="721"/>
      <c r="H749" s="170"/>
      <c r="I749" s="170"/>
      <c r="J749" s="170"/>
      <c r="K749" s="170"/>
      <c r="L749" s="170"/>
      <c r="M749" s="730"/>
      <c r="N749" s="730"/>
      <c r="O749" s="730"/>
      <c r="P749" s="731"/>
      <c r="Q749" s="731"/>
      <c r="R749" s="730"/>
      <c r="S749" s="730"/>
      <c r="T749" s="723"/>
      <c r="U749" s="724"/>
      <c r="V749" s="725"/>
      <c r="W749" s="725"/>
      <c r="X749" s="723"/>
      <c r="Y749" s="723"/>
      <c r="Z749" s="723"/>
      <c r="AA749" s="726"/>
      <c r="AB749" s="726"/>
      <c r="AC749" s="170"/>
      <c r="AD749" s="586"/>
      <c r="AE749" s="586"/>
      <c r="AF749" s="170"/>
      <c r="AG749" s="170"/>
      <c r="AH749" s="170"/>
      <c r="AI749" s="170"/>
      <c r="AJ749" s="170"/>
      <c r="AK749" s="170"/>
      <c r="AL749" s="170"/>
      <c r="AM749" s="170"/>
      <c r="AN749" s="170"/>
      <c r="AO749" s="170"/>
      <c r="AP749" s="170"/>
      <c r="AQ749" s="170"/>
      <c r="AR749" s="170"/>
      <c r="AS749" s="170"/>
    </row>
    <row r="750" spans="1:45" ht="15" x14ac:dyDescent="0.25">
      <c r="A750" s="170"/>
      <c r="B750" s="719">
        <v>834</v>
      </c>
      <c r="C750" s="170"/>
      <c r="D750" s="170"/>
      <c r="E750" s="170"/>
      <c r="F750" s="170"/>
      <c r="G750" s="721"/>
      <c r="H750" s="170"/>
      <c r="I750" s="170"/>
      <c r="J750" s="170"/>
      <c r="K750" s="170"/>
      <c r="L750" s="170"/>
      <c r="M750" s="730"/>
      <c r="N750" s="730"/>
      <c r="O750" s="730"/>
      <c r="P750" s="731"/>
      <c r="Q750" s="731"/>
      <c r="R750" s="730"/>
      <c r="S750" s="730"/>
      <c r="T750" s="723"/>
      <c r="U750" s="724"/>
      <c r="V750" s="725"/>
      <c r="W750" s="725"/>
      <c r="X750" s="723"/>
      <c r="Y750" s="723"/>
      <c r="Z750" s="723"/>
      <c r="AA750" s="726"/>
      <c r="AB750" s="726"/>
      <c r="AC750" s="170"/>
      <c r="AD750" s="586"/>
      <c r="AE750" s="586"/>
      <c r="AF750" s="170"/>
      <c r="AG750" s="170"/>
      <c r="AH750" s="170"/>
      <c r="AI750" s="170"/>
      <c r="AJ750" s="170"/>
      <c r="AK750" s="170"/>
      <c r="AL750" s="170"/>
      <c r="AM750" s="170"/>
      <c r="AN750" s="170"/>
      <c r="AO750" s="170"/>
      <c r="AP750" s="170"/>
      <c r="AQ750" s="170"/>
      <c r="AR750" s="170"/>
      <c r="AS750" s="170"/>
    </row>
    <row r="751" spans="1:45" ht="15" x14ac:dyDescent="0.25">
      <c r="A751" s="170"/>
      <c r="B751" s="719">
        <v>835</v>
      </c>
      <c r="C751" s="170"/>
      <c r="D751" s="170"/>
      <c r="E751" s="170"/>
      <c r="F751" s="170"/>
      <c r="G751" s="721"/>
      <c r="H751" s="170"/>
      <c r="I751" s="170"/>
      <c r="J751" s="170"/>
      <c r="K751" s="170"/>
      <c r="L751" s="170"/>
      <c r="M751" s="730"/>
      <c r="N751" s="730"/>
      <c r="O751" s="730"/>
      <c r="P751" s="731"/>
      <c r="Q751" s="731"/>
      <c r="R751" s="730"/>
      <c r="S751" s="730"/>
      <c r="T751" s="723"/>
      <c r="U751" s="724"/>
      <c r="V751" s="725"/>
      <c r="W751" s="725"/>
      <c r="X751" s="723"/>
      <c r="Y751" s="723"/>
      <c r="Z751" s="723"/>
      <c r="AA751" s="726"/>
      <c r="AB751" s="726"/>
      <c r="AC751" s="170"/>
      <c r="AD751" s="586"/>
      <c r="AE751" s="586"/>
      <c r="AF751" s="170"/>
      <c r="AG751" s="170"/>
      <c r="AH751" s="170"/>
      <c r="AI751" s="170"/>
      <c r="AJ751" s="170"/>
      <c r="AK751" s="170"/>
      <c r="AL751" s="170"/>
      <c r="AM751" s="170"/>
      <c r="AN751" s="170"/>
      <c r="AO751" s="170"/>
      <c r="AP751" s="170"/>
      <c r="AQ751" s="170"/>
      <c r="AR751" s="170"/>
      <c r="AS751" s="170"/>
    </row>
  </sheetData>
  <sheetProtection algorithmName="SHA-512" hashValue="C7hW8sePOqodcVx0pDvxm6pIjDN5tLYKUcufz1wK1AbJWG/LaWjNlEcm+Pj05PvxWhca0Zz8OGvUn8URMxIXhQ==" saltValue="sjXxT+9ik8e4KQwKAUGRMw==" spinCount="100000" sheet="1" formatCells="0" formatColumns="0" formatRows="0" autoFilter="0"/>
  <autoFilter ref="D8:AS153" xr:uid="{E3CF2093-1F36-42FF-9374-9C3DB1F85EF3}"/>
  <dataValidations count="1">
    <dataValidation type="list" allowBlank="1" showInputMessage="1" showErrorMessage="1" sqref="P80:Q107 P9:Q9 P137:Q145 P112:Q131 P23:Q32 P35:Q42 P45:Q66 P71:Q77 P12:Q17" xr:uid="{91D92F33-1DA5-4A17-BDF0-F9BEBEC98ACF}">
      <formula1>"E, Other"</formula1>
    </dataValidation>
  </dataValidations>
  <printOptions horizontalCentered="1"/>
  <pageMargins left="0.7" right="0.21" top="0.5" bottom="0.34" header="0.16" footer="0.16"/>
  <pageSetup scale="63" fitToHeight="0" orientation="landscape"/>
  <headerFooter alignWithMargins="0">
    <oddFooter>&amp;Cpage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EB96770C-1AE6-41BA-B96E-1F5D520714ED}">
          <x14:formula1>
            <xm:f>'Data Input sheet'!$B$118:$B$179</xm:f>
          </x14:formula1>
          <xm:sqref>R9:R145</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3A0A4-D257-41B8-8514-1D113B43D05E}">
  <sheetPr codeName="Sheet34">
    <tabColor rgb="FFFFC000"/>
    <pageSetUpPr autoPageBreaks="0" fitToPage="1"/>
  </sheetPr>
  <dimension ref="A1:AX665"/>
  <sheetViews>
    <sheetView showZeros="0" topLeftCell="C1" zoomScale="92" zoomScaleNormal="92" workbookViewId="0">
      <pane xSplit="5" ySplit="9" topLeftCell="W31" activePane="bottomRight" state="frozen"/>
      <selection activeCell="H10" sqref="H10"/>
      <selection pane="topRight" activeCell="H10" sqref="H10"/>
      <selection pane="bottomLeft" activeCell="H10" sqref="H10"/>
      <selection pane="bottomRight" activeCell="AS162" sqref="AS162"/>
    </sheetView>
  </sheetViews>
  <sheetFormatPr defaultColWidth="8.5703125" defaultRowHeight="13.35" customHeight="1" outlineLevelCol="1" x14ac:dyDescent="0.25"/>
  <cols>
    <col min="1" max="1" width="2.5703125" customWidth="1"/>
    <col min="2" max="2" width="6.42578125" customWidth="1"/>
    <col min="3" max="3" width="3.42578125" customWidth="1"/>
    <col min="4" max="6" width="3.42578125" customWidth="1" outlineLevel="1"/>
    <col min="7" max="7" width="39.5703125" customWidth="1"/>
    <col min="8" max="11" width="8.42578125" customWidth="1"/>
    <col min="12" max="12" width="6.5703125" customWidth="1" outlineLevel="1"/>
    <col min="13" max="16" width="8.42578125" customWidth="1" outlineLevel="1"/>
    <col min="17" max="17" width="9.42578125" customWidth="1" outlineLevel="1"/>
    <col min="18" max="19" width="8.42578125" customWidth="1" outlineLevel="1"/>
    <col min="20" max="20" width="14" customWidth="1" outlineLevel="1"/>
    <col min="21" max="21" width="13.42578125" customWidth="1" outlineLevel="1"/>
    <col min="22" max="22" width="12.5703125" customWidth="1" outlineLevel="1"/>
    <col min="23" max="23" width="13.42578125" customWidth="1" outlineLevel="1"/>
    <col min="24" max="24" width="13" customWidth="1" outlineLevel="1"/>
    <col min="25" max="25" width="13.42578125" customWidth="1" outlineLevel="1"/>
    <col min="26" max="26" width="13.5703125" customWidth="1"/>
    <col min="27" max="27" width="47.42578125" customWidth="1"/>
    <col min="28" max="28" width="47.42578125" customWidth="1" outlineLevel="1"/>
    <col min="29" max="29" width="4"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3.5703125" customWidth="1"/>
    <col min="49" max="49" width="16.5703125" customWidth="1"/>
    <col min="50" max="50" width="108.42578125" customWidth="1"/>
    <col min="56" max="56" width="8.5703125" customWidth="1"/>
  </cols>
  <sheetData>
    <row r="1" spans="1:50" ht="15" x14ac:dyDescent="0.25">
      <c r="A1" s="170"/>
      <c r="B1" s="719"/>
      <c r="C1" s="170"/>
      <c r="D1" s="170"/>
      <c r="E1" s="170"/>
      <c r="F1" s="170"/>
      <c r="G1" s="2295" t="str">
        <f>+Cover!C5</f>
        <v>Project Title: Battery Storage - Hyde Park</v>
      </c>
      <c r="H1" s="170"/>
      <c r="I1" s="170"/>
      <c r="J1" s="170"/>
      <c r="K1" s="170"/>
      <c r="L1" s="170"/>
      <c r="M1" s="720"/>
      <c r="N1" s="720"/>
      <c r="O1" s="720"/>
      <c r="P1" s="722"/>
      <c r="Q1" s="722"/>
      <c r="R1" s="720"/>
      <c r="S1" s="720"/>
      <c r="T1" s="723"/>
      <c r="U1" s="724"/>
      <c r="V1" s="725"/>
      <c r="W1" s="725"/>
      <c r="X1" s="723"/>
      <c r="Y1" s="723"/>
      <c r="Z1" s="723"/>
      <c r="AA1" s="726"/>
      <c r="AB1" s="726"/>
      <c r="AC1" s="170"/>
      <c r="AD1" s="586"/>
      <c r="AE1" s="586"/>
      <c r="AF1" s="727"/>
      <c r="AG1" s="727"/>
      <c r="AH1" s="727"/>
      <c r="AI1" s="170"/>
      <c r="AJ1" s="170"/>
      <c r="AK1" s="170"/>
      <c r="AL1" s="170"/>
      <c r="AM1" s="170"/>
      <c r="AN1" s="170"/>
      <c r="AO1" s="170"/>
      <c r="AP1" s="170"/>
      <c r="AQ1" s="170"/>
      <c r="AR1" s="170"/>
      <c r="AS1" s="170"/>
      <c r="AT1" s="170"/>
      <c r="AU1" s="170"/>
      <c r="AV1" s="170"/>
      <c r="AW1" s="828"/>
      <c r="AX1" s="726"/>
    </row>
    <row r="2" spans="1:50" ht="15" x14ac:dyDescent="0.25">
      <c r="A2" s="170"/>
      <c r="B2" s="719"/>
      <c r="C2" s="170"/>
      <c r="D2" s="170"/>
      <c r="E2" s="170"/>
      <c r="F2" s="170"/>
      <c r="G2" s="2295" t="str">
        <f>+Cover!C8</f>
        <v>Project Number: 21334</v>
      </c>
      <c r="H2" s="170"/>
      <c r="I2" s="170"/>
      <c r="J2" s="170"/>
      <c r="K2" s="170"/>
      <c r="L2" s="170"/>
      <c r="M2" s="720"/>
      <c r="N2" s="720"/>
      <c r="O2" s="720"/>
      <c r="P2" s="722"/>
      <c r="Q2" s="722"/>
      <c r="R2" s="720"/>
      <c r="S2" s="720"/>
      <c r="T2" s="723"/>
      <c r="U2" s="720"/>
      <c r="V2" s="728"/>
      <c r="W2" s="728"/>
      <c r="X2" s="729"/>
      <c r="Y2" s="729"/>
      <c r="Z2" s="723"/>
      <c r="AA2" s="726"/>
      <c r="AB2" s="726"/>
      <c r="AC2" s="170"/>
      <c r="AD2" s="586"/>
      <c r="AE2" s="586"/>
      <c r="AF2" s="170"/>
      <c r="AG2" s="170"/>
      <c r="AH2" s="170"/>
      <c r="AI2" s="170"/>
      <c r="AJ2" s="170"/>
      <c r="AK2" s="170"/>
      <c r="AL2" s="170"/>
      <c r="AM2" s="170"/>
      <c r="AN2" s="170"/>
      <c r="AO2" s="170"/>
      <c r="AP2" s="170"/>
      <c r="AQ2" s="170"/>
      <c r="AR2" s="170"/>
      <c r="AS2" s="735" t="str" cm="1">
        <f t="array" ref="AS2:AT2">+Cover!R8:S8</f>
        <v>Estimate done by: PAG</v>
      </c>
      <c r="AT2" s="170">
        <v>0</v>
      </c>
      <c r="AU2" s="170"/>
      <c r="AV2" s="170"/>
      <c r="AW2" s="828"/>
      <c r="AX2" s="726"/>
    </row>
    <row r="3" spans="1:50" ht="15" x14ac:dyDescent="0.25">
      <c r="A3" s="170"/>
      <c r="B3" s="719"/>
      <c r="C3" s="170"/>
      <c r="D3" s="170"/>
      <c r="E3" s="170"/>
      <c r="F3" s="170"/>
      <c r="G3" s="2295" t="str">
        <f>+Cover!C9</f>
        <v>WO &amp; Task #: 80089926</v>
      </c>
      <c r="H3" s="170"/>
      <c r="I3" s="170"/>
      <c r="J3" s="170"/>
      <c r="K3" s="170"/>
      <c r="L3" s="170"/>
      <c r="M3" s="730"/>
      <c r="N3" s="730"/>
      <c r="O3" s="730"/>
      <c r="P3" s="731"/>
      <c r="Q3" s="731"/>
      <c r="R3" s="720"/>
      <c r="S3" s="720"/>
      <c r="T3" s="723"/>
      <c r="U3" s="720"/>
      <c r="V3" s="732"/>
      <c r="W3" s="723"/>
      <c r="X3" s="733" t="s">
        <v>552</v>
      </c>
      <c r="Y3" s="734">
        <f>'Data Input sheet'!D185</f>
        <v>2.5375000000000001</v>
      </c>
      <c r="Z3" s="723"/>
      <c r="AA3" s="726"/>
      <c r="AB3" s="726"/>
      <c r="AC3" s="170"/>
      <c r="AD3" s="586"/>
      <c r="AE3" s="586"/>
      <c r="AF3" s="170"/>
      <c r="AG3" s="170"/>
      <c r="AH3" s="170"/>
      <c r="AI3" s="170"/>
      <c r="AJ3" s="170"/>
      <c r="AK3" s="170"/>
      <c r="AL3" s="170"/>
      <c r="AM3" s="170"/>
      <c r="AN3" s="170"/>
      <c r="AO3" s="170"/>
      <c r="AP3" s="170"/>
      <c r="AQ3" s="170"/>
      <c r="AR3" s="170"/>
      <c r="AS3" s="735" t="str">
        <f>+Cover!R6</f>
        <v>Date of Estimate:12/08/2023</v>
      </c>
      <c r="AT3" s="170"/>
      <c r="AU3" s="170"/>
      <c r="AV3" s="170"/>
      <c r="AW3" s="828"/>
      <c r="AX3" s="726"/>
    </row>
    <row r="4" spans="1:50" ht="15.75" thickBot="1" x14ac:dyDescent="0.3">
      <c r="A4" s="170"/>
      <c r="B4" s="719"/>
      <c r="C4" s="170"/>
      <c r="D4" s="170"/>
      <c r="E4" s="170"/>
      <c r="F4" s="170"/>
      <c r="G4" s="2295" t="str">
        <f>+Cover!R5</f>
        <v>Estimate #: E-23-373</v>
      </c>
      <c r="H4" s="170"/>
      <c r="I4" s="170"/>
      <c r="J4" s="170"/>
      <c r="K4" s="170"/>
      <c r="L4" s="170"/>
      <c r="M4" s="730"/>
      <c r="N4" s="730"/>
      <c r="O4" s="730"/>
      <c r="P4" s="731"/>
      <c r="Q4" s="731"/>
      <c r="R4" s="720"/>
      <c r="S4" s="720"/>
      <c r="T4" s="723"/>
      <c r="U4" s="720"/>
      <c r="V4" s="728"/>
      <c r="W4" s="728"/>
      <c r="X4" s="723"/>
      <c r="Y4" s="723"/>
      <c r="Z4" s="729"/>
      <c r="AA4" s="726"/>
      <c r="AB4" s="726"/>
      <c r="AC4" s="170"/>
      <c r="AD4" s="586"/>
      <c r="AE4" s="586"/>
      <c r="AF4" s="170"/>
      <c r="AG4" s="170"/>
      <c r="AH4" s="170"/>
      <c r="AI4" s="170"/>
      <c r="AJ4" s="170"/>
      <c r="AK4" s="170"/>
      <c r="AL4" s="170"/>
      <c r="AM4" s="170"/>
      <c r="AN4" s="170"/>
      <c r="AO4" s="170"/>
      <c r="AP4" s="170"/>
      <c r="AQ4" s="170"/>
      <c r="AR4" s="170"/>
      <c r="AS4" s="735" t="str">
        <f>+Cover!C10</f>
        <v>Estimate revision #: 00</v>
      </c>
      <c r="AT4" s="170"/>
      <c r="AU4" s="170"/>
      <c r="AV4" s="170"/>
      <c r="AW4" s="828" t="s">
        <v>628</v>
      </c>
      <c r="AX4" s="726"/>
    </row>
    <row r="5" spans="1:50" ht="16.5" thickTop="1" thickBot="1" x14ac:dyDescent="0.3">
      <c r="A5" s="170"/>
      <c r="B5" s="719"/>
      <c r="C5" s="170"/>
      <c r="D5" s="736" t="s">
        <v>553</v>
      </c>
      <c r="E5" s="548"/>
      <c r="F5" s="548"/>
      <c r="G5" s="737"/>
      <c r="H5" s="548"/>
      <c r="I5" s="548"/>
      <c r="J5" s="548"/>
      <c r="K5" s="548"/>
      <c r="L5" s="548"/>
      <c r="M5" s="738"/>
      <c r="N5" s="738"/>
      <c r="O5" s="738"/>
      <c r="P5" s="739"/>
      <c r="Q5" s="739"/>
      <c r="R5" s="740"/>
      <c r="S5" s="740"/>
      <c r="T5" s="741"/>
      <c r="U5" s="742"/>
      <c r="V5" s="743"/>
      <c r="W5" s="743"/>
      <c r="X5" s="741"/>
      <c r="Y5" s="741"/>
      <c r="Z5" s="744"/>
      <c r="AA5" s="745"/>
      <c r="AB5" s="745"/>
      <c r="AC5" s="548"/>
      <c r="AD5" s="746"/>
      <c r="AE5" s="746"/>
      <c r="AF5" s="548"/>
      <c r="AG5" s="548"/>
      <c r="AH5" s="548"/>
      <c r="AI5" s="548"/>
      <c r="AJ5" s="548"/>
      <c r="AK5" s="548"/>
      <c r="AL5" s="548"/>
      <c r="AM5" s="548"/>
      <c r="AN5" s="548"/>
      <c r="AO5" s="548"/>
      <c r="AP5" s="548"/>
      <c r="AQ5" s="548"/>
      <c r="AR5" s="548"/>
      <c r="AS5" s="548"/>
      <c r="AT5" s="747"/>
      <c r="AU5" s="170"/>
      <c r="AV5" s="170"/>
      <c r="AW5" s="829"/>
      <c r="AX5" s="745"/>
    </row>
    <row r="6" spans="1:50" ht="16.5" thickBot="1" x14ac:dyDescent="0.3">
      <c r="A6" s="170"/>
      <c r="B6" s="719"/>
      <c r="C6" s="170"/>
      <c r="D6" s="748"/>
      <c r="E6" s="748"/>
      <c r="F6" s="748"/>
      <c r="G6" s="748" t="s">
        <v>554</v>
      </c>
      <c r="H6" s="749"/>
      <c r="I6" s="749"/>
      <c r="J6" s="749"/>
      <c r="K6" s="749"/>
      <c r="L6" s="750"/>
      <c r="M6" s="750"/>
      <c r="N6" s="750"/>
      <c r="O6" s="750"/>
      <c r="P6" s="751"/>
      <c r="Q6" s="751"/>
      <c r="R6" s="750"/>
      <c r="S6" s="750"/>
      <c r="T6" s="750"/>
      <c r="U6" s="750"/>
      <c r="V6" s="750"/>
      <c r="W6" s="750"/>
      <c r="X6" s="750"/>
      <c r="Y6" s="752"/>
      <c r="Z6" s="752"/>
      <c r="AA6" s="753"/>
      <c r="AB6" s="754"/>
      <c r="AC6" s="170"/>
      <c r="AD6" s="755" t="s">
        <v>555</v>
      </c>
      <c r="AE6" s="756"/>
      <c r="AF6" s="757"/>
      <c r="AG6" s="757"/>
      <c r="AH6" s="757"/>
      <c r="AI6" s="757"/>
      <c r="AJ6" s="757"/>
      <c r="AK6" s="757"/>
      <c r="AL6" s="757"/>
      <c r="AM6" s="757"/>
      <c r="AN6" s="757"/>
      <c r="AO6" s="757"/>
      <c r="AP6" s="757"/>
      <c r="AQ6" s="757"/>
      <c r="AR6" s="757"/>
      <c r="AS6" s="758"/>
      <c r="AT6" s="759"/>
      <c r="AU6" s="170"/>
      <c r="AV6" s="170"/>
      <c r="AW6" s="754"/>
      <c r="AX6" s="754"/>
    </row>
    <row r="7" spans="1:50" ht="15.75" thickBot="1" x14ac:dyDescent="0.3">
      <c r="A7" s="170"/>
      <c r="B7" s="719"/>
      <c r="C7" s="170"/>
      <c r="D7" s="557"/>
      <c r="E7" s="170"/>
      <c r="F7" s="170"/>
      <c r="G7" s="721"/>
      <c r="H7" s="170"/>
      <c r="I7" s="170"/>
      <c r="J7" s="170"/>
      <c r="K7" s="170"/>
      <c r="L7" s="170"/>
      <c r="M7" s="730"/>
      <c r="N7" s="730"/>
      <c r="O7" s="730"/>
      <c r="P7" s="731"/>
      <c r="Q7" s="731"/>
      <c r="R7" s="730"/>
      <c r="S7" s="730"/>
      <c r="T7" s="723"/>
      <c r="U7" s="760"/>
      <c r="V7" s="761"/>
      <c r="W7" s="761"/>
      <c r="X7" s="723"/>
      <c r="Y7" s="723"/>
      <c r="Z7" s="723"/>
      <c r="AA7" s="726"/>
      <c r="AB7" s="726"/>
      <c r="AC7" s="170"/>
      <c r="AD7" s="584"/>
      <c r="AE7" s="584"/>
      <c r="AF7" s="376"/>
      <c r="AG7" s="376"/>
      <c r="AH7" s="376"/>
      <c r="AI7" s="376"/>
      <c r="AJ7" s="376"/>
      <c r="AK7" s="376"/>
      <c r="AL7" s="762"/>
      <c r="AM7" s="762"/>
      <c r="AN7" s="762"/>
      <c r="AO7" s="762"/>
      <c r="AP7" s="762"/>
      <c r="AQ7" s="762"/>
      <c r="AR7" s="762"/>
      <c r="AS7" s="762"/>
      <c r="AT7" s="759"/>
      <c r="AU7" s="170"/>
      <c r="AV7" s="170"/>
      <c r="AW7" s="828"/>
      <c r="AX7" s="726"/>
    </row>
    <row r="8" spans="1:50" ht="64.5" thickBot="1" x14ac:dyDescent="0.3">
      <c r="A8" s="170"/>
      <c r="B8" s="719"/>
      <c r="C8" s="170"/>
      <c r="D8" s="830" t="s">
        <v>630</v>
      </c>
      <c r="E8" s="830" t="s">
        <v>631</v>
      </c>
      <c r="F8" s="830" t="s">
        <v>632</v>
      </c>
      <c r="G8" s="748" t="s">
        <v>206</v>
      </c>
      <c r="H8" s="1769" t="s">
        <v>557</v>
      </c>
      <c r="I8" s="1769" t="s">
        <v>556</v>
      </c>
      <c r="J8" s="748" t="s">
        <v>560</v>
      </c>
      <c r="K8" s="748" t="s">
        <v>559</v>
      </c>
      <c r="L8" s="763" t="s">
        <v>561</v>
      </c>
      <c r="M8" s="763" t="s">
        <v>562</v>
      </c>
      <c r="N8" s="763" t="s">
        <v>563</v>
      </c>
      <c r="O8" s="763" t="s">
        <v>564</v>
      </c>
      <c r="P8" s="763" t="s">
        <v>565</v>
      </c>
      <c r="Q8" s="763" t="s">
        <v>566</v>
      </c>
      <c r="R8" s="763" t="s">
        <v>567</v>
      </c>
      <c r="S8" s="763" t="s">
        <v>568</v>
      </c>
      <c r="T8" s="763" t="s">
        <v>569</v>
      </c>
      <c r="U8" s="763" t="s">
        <v>1740</v>
      </c>
      <c r="V8" s="763" t="s">
        <v>571</v>
      </c>
      <c r="W8" s="763" t="s">
        <v>572</v>
      </c>
      <c r="X8" s="763" t="s">
        <v>573</v>
      </c>
      <c r="Y8" s="763" t="s">
        <v>574</v>
      </c>
      <c r="Z8" s="763" t="s">
        <v>575</v>
      </c>
      <c r="AA8" s="763" t="s">
        <v>1</v>
      </c>
      <c r="AB8" s="764" t="s">
        <v>633</v>
      </c>
      <c r="AC8" s="170"/>
      <c r="AD8" s="766" t="s">
        <v>577</v>
      </c>
      <c r="AE8" s="766" t="s">
        <v>578</v>
      </c>
      <c r="AF8" s="766" t="s">
        <v>558</v>
      </c>
      <c r="AG8" s="766" t="s">
        <v>579</v>
      </c>
      <c r="AH8" s="766" t="s">
        <v>580</v>
      </c>
      <c r="AI8" s="766" t="s">
        <v>581</v>
      </c>
      <c r="AJ8" s="766" t="s">
        <v>582</v>
      </c>
      <c r="AK8" s="766" t="s">
        <v>583</v>
      </c>
      <c r="AL8" s="766" t="s">
        <v>584</v>
      </c>
      <c r="AM8" s="766" t="s">
        <v>585</v>
      </c>
      <c r="AN8" s="766" t="s">
        <v>586</v>
      </c>
      <c r="AO8" s="766" t="s">
        <v>587</v>
      </c>
      <c r="AP8" s="766" t="s">
        <v>588</v>
      </c>
      <c r="AQ8" s="766" t="s">
        <v>589</v>
      </c>
      <c r="AR8" s="766" t="s">
        <v>590</v>
      </c>
      <c r="AS8" s="767" t="s">
        <v>591</v>
      </c>
      <c r="AT8" s="759"/>
      <c r="AU8" s="170"/>
      <c r="AV8" s="170"/>
      <c r="AW8" s="831" t="s">
        <v>634</v>
      </c>
      <c r="AX8" s="764" t="s">
        <v>635</v>
      </c>
    </row>
    <row r="9" spans="1:50" ht="15.75" thickBot="1" x14ac:dyDescent="0.3">
      <c r="A9" s="784"/>
      <c r="B9" s="719">
        <v>1</v>
      </c>
      <c r="C9" s="170"/>
      <c r="D9" s="557"/>
      <c r="E9" s="170"/>
      <c r="F9" s="557"/>
      <c r="G9" s="935" t="s">
        <v>864</v>
      </c>
      <c r="H9" s="784"/>
      <c r="I9" s="784"/>
      <c r="J9" s="784"/>
      <c r="K9" s="784"/>
      <c r="L9" s="170"/>
      <c r="M9" s="773"/>
      <c r="N9" s="773"/>
      <c r="O9" s="773"/>
      <c r="P9" s="788"/>
      <c r="Q9" s="788"/>
      <c r="R9" s="773"/>
      <c r="S9" s="773"/>
      <c r="T9" s="779"/>
      <c r="U9" s="789"/>
      <c r="V9" s="778"/>
      <c r="W9" s="778"/>
      <c r="X9" s="779"/>
      <c r="Y9" s="779"/>
      <c r="Z9" s="780"/>
      <c r="AA9" s="785"/>
      <c r="AB9" s="785"/>
      <c r="AC9" s="170"/>
      <c r="AD9" s="781">
        <f t="shared" ref="AD9:AD16" si="0">IF(P9="E",+ROUND(H9*O9,0),0)</f>
        <v>0</v>
      </c>
      <c r="AE9" s="781">
        <f t="shared" ref="AE9:AE16" si="1">+AF9-AD9</f>
        <v>0</v>
      </c>
      <c r="AF9" s="781">
        <f t="shared" ref="AF9:AF16" si="2">+H9*O9</f>
        <v>0</v>
      </c>
      <c r="AG9" s="781">
        <f t="shared" ref="AG9:AG16" si="3">IF(P9="E",+ROUND(T9*H9,0),0)</f>
        <v>0</v>
      </c>
      <c r="AH9" s="781">
        <f t="shared" ref="AH9:AH16" si="4">+AI9-AG9</f>
        <v>0</v>
      </c>
      <c r="AI9" s="782">
        <f t="shared" ref="AI9:AI16" si="5">+H9*T9</f>
        <v>0</v>
      </c>
      <c r="AJ9" s="781">
        <f t="shared" ref="AJ9:AJ14" si="6">IF(P9="E",+ROUND(V9*H9,0),0)</f>
        <v>0</v>
      </c>
      <c r="AK9" s="781">
        <f t="shared" ref="AK9:AK16" si="7">+AL9-AJ9</f>
        <v>0</v>
      </c>
      <c r="AL9" s="781">
        <f t="shared" ref="AL9:AL14" si="8">ROUND(V9*H9,0)</f>
        <v>0</v>
      </c>
      <c r="AM9" s="781">
        <f t="shared" ref="AM9:AM16" si="9">IF(Q9="E",+ROUND(W9*H9,0),0)</f>
        <v>0</v>
      </c>
      <c r="AN9" s="781">
        <f t="shared" ref="AN9:AN16" si="10">+AO9-AM9</f>
        <v>0</v>
      </c>
      <c r="AO9" s="781">
        <f t="shared" ref="AO9:AO16" si="11">ROUND(W9*H9,0)</f>
        <v>0</v>
      </c>
      <c r="AP9" s="781">
        <f t="shared" ref="AP9:AP16" si="12">IF(P9="E",+ROUND(Y9*H9,0),0)</f>
        <v>0</v>
      </c>
      <c r="AQ9" s="781">
        <f t="shared" ref="AQ9:AQ16" si="13">+AR9-AP9</f>
        <v>0</v>
      </c>
      <c r="AR9" s="781">
        <f t="shared" ref="AR9:AR16" si="14">ROUND(Y9*H9,0)</f>
        <v>0</v>
      </c>
      <c r="AS9" s="783">
        <f t="shared" ref="AS9:AS16" si="15">+AR9+AO9+AL9+AI9</f>
        <v>0</v>
      </c>
      <c r="AT9" s="790"/>
      <c r="AU9" s="170"/>
      <c r="AV9" s="170"/>
      <c r="AW9" s="837"/>
      <c r="AX9" s="838"/>
    </row>
    <row r="10" spans="1:50" ht="89.25" x14ac:dyDescent="0.25">
      <c r="A10" s="784"/>
      <c r="B10" s="719">
        <f>B9+1</f>
        <v>2</v>
      </c>
      <c r="C10" s="170"/>
      <c r="D10" s="557"/>
      <c r="E10" s="170"/>
      <c r="F10" s="557">
        <v>1</v>
      </c>
      <c r="G10" s="936" t="s">
        <v>865</v>
      </c>
      <c r="H10" s="2048"/>
      <c r="I10" s="768" t="s">
        <v>712</v>
      </c>
      <c r="J10" s="768"/>
      <c r="K10" s="768"/>
      <c r="L10" s="170"/>
      <c r="M10" s="845">
        <v>0</v>
      </c>
      <c r="N10" s="846">
        <v>1</v>
      </c>
      <c r="O10" s="773">
        <f t="shared" ref="O10:O15" si="16">+M10*N10</f>
        <v>0</v>
      </c>
      <c r="P10" s="768" t="s">
        <v>39</v>
      </c>
      <c r="Q10" s="768" t="s">
        <v>39</v>
      </c>
      <c r="R10" s="774" t="s">
        <v>2498</v>
      </c>
      <c r="S10" s="775">
        <f>SUMIF('Data Input sheet'!$B$118:$B$180,R10,'Data Input sheet'!$D$118:$D$180)</f>
        <v>57</v>
      </c>
      <c r="T10" s="776">
        <f>IF($G$10=$K$73,M73,IF($G$10=$K$74,M74,IF($G$10=$K$75,M75,0)))</f>
        <v>14400</v>
      </c>
      <c r="U10" s="1992"/>
      <c r="V10" s="778">
        <f>ROUND(U10*O10,0)</f>
        <v>0</v>
      </c>
      <c r="W10" s="776">
        <f>IF($G$10=$K$73,N73,IF($G$10=$K$74,N74,IF($G$10=$K$75,N75,0)))</f>
        <v>3600</v>
      </c>
      <c r="X10" s="779"/>
      <c r="Y10" s="776">
        <v>0</v>
      </c>
      <c r="Z10" s="780">
        <f>T10+V10+W10+Y10</f>
        <v>18000</v>
      </c>
      <c r="AA10" s="769" t="s">
        <v>866</v>
      </c>
      <c r="AB10" s="785"/>
      <c r="AC10" s="170"/>
      <c r="AD10" s="781">
        <f t="shared" si="0"/>
        <v>0</v>
      </c>
      <c r="AE10" s="781">
        <f t="shared" si="1"/>
        <v>0</v>
      </c>
      <c r="AF10" s="781">
        <f t="shared" si="2"/>
        <v>0</v>
      </c>
      <c r="AG10" s="781">
        <f t="shared" si="3"/>
        <v>0</v>
      </c>
      <c r="AH10" s="781">
        <f t="shared" si="4"/>
        <v>0</v>
      </c>
      <c r="AI10" s="782">
        <f t="shared" si="5"/>
        <v>0</v>
      </c>
      <c r="AJ10" s="781">
        <f t="shared" si="6"/>
        <v>0</v>
      </c>
      <c r="AK10" s="781">
        <f t="shared" si="7"/>
        <v>0</v>
      </c>
      <c r="AL10" s="781">
        <f t="shared" si="8"/>
        <v>0</v>
      </c>
      <c r="AM10" s="781">
        <f t="shared" si="9"/>
        <v>0</v>
      </c>
      <c r="AN10" s="781">
        <f t="shared" si="10"/>
        <v>0</v>
      </c>
      <c r="AO10" s="781">
        <f t="shared" si="11"/>
        <v>0</v>
      </c>
      <c r="AP10" s="781">
        <f t="shared" si="12"/>
        <v>0</v>
      </c>
      <c r="AQ10" s="781">
        <f t="shared" si="13"/>
        <v>0</v>
      </c>
      <c r="AR10" s="781">
        <f t="shared" si="14"/>
        <v>0</v>
      </c>
      <c r="AS10" s="783">
        <f t="shared" si="15"/>
        <v>0</v>
      </c>
      <c r="AT10" s="790"/>
      <c r="AU10" s="170"/>
      <c r="AV10" s="170"/>
      <c r="AW10" s="837"/>
      <c r="AX10" s="833" t="s">
        <v>867</v>
      </c>
    </row>
    <row r="11" spans="1:50" ht="30" x14ac:dyDescent="0.25">
      <c r="A11" s="784"/>
      <c r="B11" s="719">
        <f t="shared" ref="B11:B70" si="17">B10+1</f>
        <v>3</v>
      </c>
      <c r="C11" s="170"/>
      <c r="D11" s="557"/>
      <c r="E11" s="170"/>
      <c r="F11" s="557">
        <v>1</v>
      </c>
      <c r="G11" s="936" t="s">
        <v>868</v>
      </c>
      <c r="H11" s="847">
        <f>$H$10</f>
        <v>0</v>
      </c>
      <c r="I11" s="768" t="s">
        <v>712</v>
      </c>
      <c r="J11" s="768"/>
      <c r="K11" s="768"/>
      <c r="L11" s="170"/>
      <c r="M11" s="845">
        <v>0</v>
      </c>
      <c r="N11" s="846">
        <v>1</v>
      </c>
      <c r="O11" s="773">
        <f t="shared" si="16"/>
        <v>0</v>
      </c>
      <c r="P11" s="768" t="s">
        <v>39</v>
      </c>
      <c r="Q11" s="768" t="s">
        <v>39</v>
      </c>
      <c r="R11" s="774" t="s">
        <v>2498</v>
      </c>
      <c r="S11" s="775">
        <f>SUMIF('Data Input sheet'!$B$118:$B$180,R11,'Data Input sheet'!$D$118:$D$180)</f>
        <v>57</v>
      </c>
      <c r="T11" s="776">
        <v>12000</v>
      </c>
      <c r="U11" s="1992"/>
      <c r="V11" s="778">
        <f t="shared" ref="V11:V63" si="18">ROUND(U11*O11,0)</f>
        <v>0</v>
      </c>
      <c r="W11" s="772"/>
      <c r="X11" s="779"/>
      <c r="Y11" s="776">
        <v>0</v>
      </c>
      <c r="Z11" s="780">
        <f>T11+V11+W11+Y11</f>
        <v>12000</v>
      </c>
      <c r="AA11" s="785" t="s">
        <v>869</v>
      </c>
      <c r="AB11" s="785"/>
      <c r="AC11" s="170"/>
      <c r="AD11" s="781">
        <f t="shared" si="0"/>
        <v>0</v>
      </c>
      <c r="AE11" s="781">
        <f t="shared" si="1"/>
        <v>0</v>
      </c>
      <c r="AF11" s="781">
        <f t="shared" si="2"/>
        <v>0</v>
      </c>
      <c r="AG11" s="781">
        <f t="shared" si="3"/>
        <v>0</v>
      </c>
      <c r="AH11" s="781">
        <f t="shared" si="4"/>
        <v>0</v>
      </c>
      <c r="AI11" s="782">
        <f t="shared" si="5"/>
        <v>0</v>
      </c>
      <c r="AJ11" s="781">
        <f t="shared" si="6"/>
        <v>0</v>
      </c>
      <c r="AK11" s="781">
        <f t="shared" si="7"/>
        <v>0</v>
      </c>
      <c r="AL11" s="781">
        <f t="shared" si="8"/>
        <v>0</v>
      </c>
      <c r="AM11" s="781">
        <f t="shared" si="9"/>
        <v>0</v>
      </c>
      <c r="AN11" s="781">
        <f t="shared" si="10"/>
        <v>0</v>
      </c>
      <c r="AO11" s="781">
        <f t="shared" si="11"/>
        <v>0</v>
      </c>
      <c r="AP11" s="781">
        <f t="shared" si="12"/>
        <v>0</v>
      </c>
      <c r="AQ11" s="781">
        <f t="shared" si="13"/>
        <v>0</v>
      </c>
      <c r="AR11" s="781">
        <f t="shared" si="14"/>
        <v>0</v>
      </c>
      <c r="AS11" s="783">
        <f t="shared" si="15"/>
        <v>0</v>
      </c>
      <c r="AT11" s="790"/>
      <c r="AU11" s="170"/>
      <c r="AV11" s="170"/>
      <c r="AW11" s="837"/>
      <c r="AX11" s="833" t="s">
        <v>870</v>
      </c>
    </row>
    <row r="12" spans="1:50" ht="63.75" x14ac:dyDescent="0.25">
      <c r="A12" s="784"/>
      <c r="B12" s="719">
        <f t="shared" si="17"/>
        <v>4</v>
      </c>
      <c r="C12" s="170"/>
      <c r="D12" s="557"/>
      <c r="E12" s="170"/>
      <c r="F12" s="557">
        <v>1</v>
      </c>
      <c r="G12" s="936" t="s">
        <v>871</v>
      </c>
      <c r="H12" s="847">
        <f>$H$10</f>
        <v>0</v>
      </c>
      <c r="I12" s="768" t="s">
        <v>712</v>
      </c>
      <c r="J12" s="768"/>
      <c r="K12" s="768"/>
      <c r="L12" s="170"/>
      <c r="M12" s="845">
        <v>0</v>
      </c>
      <c r="N12" s="846">
        <v>1</v>
      </c>
      <c r="O12" s="773">
        <f t="shared" si="16"/>
        <v>0</v>
      </c>
      <c r="P12" s="768" t="s">
        <v>39</v>
      </c>
      <c r="Q12" s="768" t="s">
        <v>39</v>
      </c>
      <c r="R12" s="774" t="s">
        <v>2498</v>
      </c>
      <c r="S12" s="775">
        <f>SUMIF('Data Input sheet'!$B$118:$B$180,R12,'Data Input sheet'!$D$118:$D$180)</f>
        <v>57</v>
      </c>
      <c r="T12" s="776">
        <v>1500</v>
      </c>
      <c r="U12" s="1992"/>
      <c r="V12" s="778">
        <f t="shared" si="18"/>
        <v>0</v>
      </c>
      <c r="W12" s="772">
        <v>0</v>
      </c>
      <c r="X12" s="779"/>
      <c r="Y12" s="776">
        <v>0</v>
      </c>
      <c r="Z12" s="780">
        <f>T12+V12+W12+Y12</f>
        <v>1500</v>
      </c>
      <c r="AA12" s="769" t="s">
        <v>872</v>
      </c>
      <c r="AB12" s="785"/>
      <c r="AC12" s="170"/>
      <c r="AD12" s="781">
        <f t="shared" si="0"/>
        <v>0</v>
      </c>
      <c r="AE12" s="781">
        <f t="shared" si="1"/>
        <v>0</v>
      </c>
      <c r="AF12" s="781">
        <f t="shared" si="2"/>
        <v>0</v>
      </c>
      <c r="AG12" s="781">
        <f t="shared" si="3"/>
        <v>0</v>
      </c>
      <c r="AH12" s="781">
        <f t="shared" si="4"/>
        <v>0</v>
      </c>
      <c r="AI12" s="782">
        <f t="shared" si="5"/>
        <v>0</v>
      </c>
      <c r="AJ12" s="781">
        <f t="shared" si="6"/>
        <v>0</v>
      </c>
      <c r="AK12" s="781">
        <f t="shared" si="7"/>
        <v>0</v>
      </c>
      <c r="AL12" s="781">
        <f t="shared" si="8"/>
        <v>0</v>
      </c>
      <c r="AM12" s="781">
        <f t="shared" si="9"/>
        <v>0</v>
      </c>
      <c r="AN12" s="781">
        <f t="shared" si="10"/>
        <v>0</v>
      </c>
      <c r="AO12" s="781">
        <f t="shared" si="11"/>
        <v>0</v>
      </c>
      <c r="AP12" s="781">
        <f t="shared" si="12"/>
        <v>0</v>
      </c>
      <c r="AQ12" s="781">
        <f t="shared" si="13"/>
        <v>0</v>
      </c>
      <c r="AR12" s="781">
        <f t="shared" si="14"/>
        <v>0</v>
      </c>
      <c r="AS12" s="783">
        <f t="shared" si="15"/>
        <v>0</v>
      </c>
      <c r="AT12" s="790"/>
      <c r="AU12" s="170"/>
      <c r="AV12" s="170"/>
      <c r="AW12" s="837"/>
      <c r="AX12" s="833" t="s">
        <v>870</v>
      </c>
    </row>
    <row r="13" spans="1:50" ht="75" x14ac:dyDescent="0.25">
      <c r="A13" s="784"/>
      <c r="B13" s="719">
        <f t="shared" si="17"/>
        <v>5</v>
      </c>
      <c r="C13" s="170"/>
      <c r="D13" s="557"/>
      <c r="E13" s="170"/>
      <c r="F13" s="557">
        <v>1</v>
      </c>
      <c r="G13" s="936" t="s">
        <v>873</v>
      </c>
      <c r="H13" s="847">
        <f>$H$10</f>
        <v>0</v>
      </c>
      <c r="I13" s="768" t="s">
        <v>712</v>
      </c>
      <c r="J13" s="768"/>
      <c r="K13" s="768"/>
      <c r="L13" s="170"/>
      <c r="M13" s="845">
        <v>0</v>
      </c>
      <c r="N13" s="846">
        <v>1</v>
      </c>
      <c r="O13" s="773">
        <f t="shared" si="16"/>
        <v>0</v>
      </c>
      <c r="P13" s="768" t="s">
        <v>39</v>
      </c>
      <c r="Q13" s="768" t="s">
        <v>39</v>
      </c>
      <c r="R13" s="774" t="s">
        <v>2498</v>
      </c>
      <c r="S13" s="775">
        <f>SUMIF('Data Input sheet'!$B$118:$B$180,R13,'Data Input sheet'!$D$118:$D$180)</f>
        <v>57</v>
      </c>
      <c r="T13" s="776">
        <v>1250</v>
      </c>
      <c r="U13" s="1992"/>
      <c r="V13" s="778">
        <f t="shared" si="18"/>
        <v>0</v>
      </c>
      <c r="W13" s="772">
        <v>0</v>
      </c>
      <c r="X13" s="779"/>
      <c r="Y13" s="776">
        <v>0</v>
      </c>
      <c r="Z13" s="780">
        <f>T13+V13+W13+Y13</f>
        <v>1250</v>
      </c>
      <c r="AA13" s="785" t="s">
        <v>874</v>
      </c>
      <c r="AB13" s="785"/>
      <c r="AC13" s="170"/>
      <c r="AD13" s="781">
        <f t="shared" si="0"/>
        <v>0</v>
      </c>
      <c r="AE13" s="781">
        <f t="shared" si="1"/>
        <v>0</v>
      </c>
      <c r="AF13" s="781">
        <f t="shared" si="2"/>
        <v>0</v>
      </c>
      <c r="AG13" s="781">
        <f t="shared" si="3"/>
        <v>0</v>
      </c>
      <c r="AH13" s="781">
        <f t="shared" si="4"/>
        <v>0</v>
      </c>
      <c r="AI13" s="782">
        <f t="shared" si="5"/>
        <v>0</v>
      </c>
      <c r="AJ13" s="781">
        <f t="shared" si="6"/>
        <v>0</v>
      </c>
      <c r="AK13" s="781">
        <f t="shared" si="7"/>
        <v>0</v>
      </c>
      <c r="AL13" s="781">
        <f t="shared" si="8"/>
        <v>0</v>
      </c>
      <c r="AM13" s="781">
        <f t="shared" si="9"/>
        <v>0</v>
      </c>
      <c r="AN13" s="781">
        <f t="shared" si="10"/>
        <v>0</v>
      </c>
      <c r="AO13" s="781">
        <f t="shared" si="11"/>
        <v>0</v>
      </c>
      <c r="AP13" s="781">
        <f t="shared" si="12"/>
        <v>0</v>
      </c>
      <c r="AQ13" s="781">
        <f t="shared" si="13"/>
        <v>0</v>
      </c>
      <c r="AR13" s="781">
        <f t="shared" si="14"/>
        <v>0</v>
      </c>
      <c r="AS13" s="783">
        <f t="shared" si="15"/>
        <v>0</v>
      </c>
      <c r="AT13" s="790"/>
      <c r="AU13" s="170"/>
      <c r="AV13" s="170"/>
      <c r="AW13" s="837"/>
      <c r="AX13" s="833" t="s">
        <v>870</v>
      </c>
    </row>
    <row r="14" spans="1:50" ht="75" x14ac:dyDescent="0.25">
      <c r="A14" s="784"/>
      <c r="B14" s="719">
        <f t="shared" si="17"/>
        <v>6</v>
      </c>
      <c r="C14" s="170"/>
      <c r="D14" s="557"/>
      <c r="E14" s="170"/>
      <c r="F14" s="557">
        <v>1</v>
      </c>
      <c r="G14" s="936" t="s">
        <v>875</v>
      </c>
      <c r="H14" s="847">
        <f>$H$10</f>
        <v>0</v>
      </c>
      <c r="I14" s="768" t="s">
        <v>732</v>
      </c>
      <c r="J14" s="768"/>
      <c r="K14" s="768"/>
      <c r="L14" s="170"/>
      <c r="M14" s="845">
        <v>0</v>
      </c>
      <c r="N14" s="846">
        <v>1</v>
      </c>
      <c r="O14" s="773">
        <f t="shared" si="16"/>
        <v>0</v>
      </c>
      <c r="P14" s="768" t="str">
        <f>$P$10</f>
        <v>Other</v>
      </c>
      <c r="Q14" s="768" t="s">
        <v>39</v>
      </c>
      <c r="R14" s="774" t="s">
        <v>2498</v>
      </c>
      <c r="S14" s="775">
        <f>SUMIF('Data Input sheet'!$B$118:$B$180,R14,'Data Input sheet'!$D$118:$D$180)</f>
        <v>57</v>
      </c>
      <c r="T14" s="776">
        <v>600</v>
      </c>
      <c r="U14" s="1992"/>
      <c r="V14" s="778">
        <f t="shared" si="18"/>
        <v>0</v>
      </c>
      <c r="W14" s="772">
        <v>0</v>
      </c>
      <c r="X14" s="779"/>
      <c r="Y14" s="776">
        <v>0</v>
      </c>
      <c r="Z14" s="780">
        <f>T14+V14+W14+Y14</f>
        <v>600</v>
      </c>
      <c r="AA14" s="785" t="s">
        <v>874</v>
      </c>
      <c r="AB14" s="785"/>
      <c r="AC14" s="170"/>
      <c r="AD14" s="781">
        <f t="shared" si="0"/>
        <v>0</v>
      </c>
      <c r="AE14" s="781">
        <f t="shared" si="1"/>
        <v>0</v>
      </c>
      <c r="AF14" s="781">
        <f t="shared" si="2"/>
        <v>0</v>
      </c>
      <c r="AG14" s="781">
        <f t="shared" si="3"/>
        <v>0</v>
      </c>
      <c r="AH14" s="781">
        <f t="shared" si="4"/>
        <v>0</v>
      </c>
      <c r="AI14" s="782">
        <f t="shared" si="5"/>
        <v>0</v>
      </c>
      <c r="AJ14" s="781">
        <f t="shared" si="6"/>
        <v>0</v>
      </c>
      <c r="AK14" s="781">
        <f t="shared" si="7"/>
        <v>0</v>
      </c>
      <c r="AL14" s="781">
        <f t="shared" si="8"/>
        <v>0</v>
      </c>
      <c r="AM14" s="781">
        <f t="shared" si="9"/>
        <v>0</v>
      </c>
      <c r="AN14" s="781">
        <f t="shared" si="10"/>
        <v>0</v>
      </c>
      <c r="AO14" s="781">
        <f t="shared" si="11"/>
        <v>0</v>
      </c>
      <c r="AP14" s="781">
        <f t="shared" si="12"/>
        <v>0</v>
      </c>
      <c r="AQ14" s="781">
        <f t="shared" si="13"/>
        <v>0</v>
      </c>
      <c r="AR14" s="781">
        <f t="shared" si="14"/>
        <v>0</v>
      </c>
      <c r="AS14" s="783">
        <f t="shared" si="15"/>
        <v>0</v>
      </c>
      <c r="AT14" s="790"/>
      <c r="AU14" s="170"/>
      <c r="AV14" s="170"/>
      <c r="AW14" s="837"/>
      <c r="AX14" s="833" t="s">
        <v>870</v>
      </c>
    </row>
    <row r="15" spans="1:50" ht="15" x14ac:dyDescent="0.25">
      <c r="A15" s="784"/>
      <c r="B15" s="719">
        <f t="shared" si="17"/>
        <v>7</v>
      </c>
      <c r="C15" s="170"/>
      <c r="D15" s="557"/>
      <c r="E15" s="170"/>
      <c r="F15" s="557">
        <v>1</v>
      </c>
      <c r="G15" s="936"/>
      <c r="H15" s="768"/>
      <c r="I15" s="768"/>
      <c r="J15" s="768"/>
      <c r="K15" s="768"/>
      <c r="L15" s="170"/>
      <c r="M15" s="845">
        <v>0</v>
      </c>
      <c r="N15" s="846">
        <v>1</v>
      </c>
      <c r="O15" s="773">
        <f t="shared" si="16"/>
        <v>0</v>
      </c>
      <c r="P15" s="768" t="s">
        <v>39</v>
      </c>
      <c r="Q15" s="768" t="s">
        <v>39</v>
      </c>
      <c r="R15" s="774" t="s">
        <v>2498</v>
      </c>
      <c r="S15" s="775">
        <f>SUMIF('Data Input sheet'!$B$118:$B$180,R15,'Data Input sheet'!$D$118:$D$180)</f>
        <v>57</v>
      </c>
      <c r="T15" s="776">
        <f>+O15*S15</f>
        <v>0</v>
      </c>
      <c r="U15" s="1992">
        <v>0</v>
      </c>
      <c r="V15" s="778">
        <f t="shared" si="18"/>
        <v>0</v>
      </c>
      <c r="W15" s="772">
        <v>0</v>
      </c>
      <c r="X15" s="779"/>
      <c r="Y15" s="776">
        <v>0</v>
      </c>
      <c r="Z15" s="780">
        <f>T15+U15+W15+Y15</f>
        <v>0</v>
      </c>
      <c r="AA15" s="785"/>
      <c r="AB15" s="785"/>
      <c r="AC15" s="170"/>
      <c r="AD15" s="781">
        <f t="shared" si="0"/>
        <v>0</v>
      </c>
      <c r="AE15" s="781">
        <f t="shared" si="1"/>
        <v>0</v>
      </c>
      <c r="AF15" s="781">
        <f t="shared" si="2"/>
        <v>0</v>
      </c>
      <c r="AG15" s="781">
        <f t="shared" si="3"/>
        <v>0</v>
      </c>
      <c r="AH15" s="781">
        <f t="shared" si="4"/>
        <v>0</v>
      </c>
      <c r="AI15" s="782">
        <f t="shared" si="5"/>
        <v>0</v>
      </c>
      <c r="AJ15" s="781">
        <f>IF(P15="E",+ROUND(U15*H15,0),0)</f>
        <v>0</v>
      </c>
      <c r="AK15" s="781">
        <f t="shared" si="7"/>
        <v>0</v>
      </c>
      <c r="AL15" s="781">
        <f>ROUND(U15*H15,0)</f>
        <v>0</v>
      </c>
      <c r="AM15" s="781">
        <f t="shared" si="9"/>
        <v>0</v>
      </c>
      <c r="AN15" s="781">
        <f t="shared" si="10"/>
        <v>0</v>
      </c>
      <c r="AO15" s="781">
        <f t="shared" si="11"/>
        <v>0</v>
      </c>
      <c r="AP15" s="781">
        <f t="shared" si="12"/>
        <v>0</v>
      </c>
      <c r="AQ15" s="781">
        <f t="shared" si="13"/>
        <v>0</v>
      </c>
      <c r="AR15" s="781">
        <f t="shared" si="14"/>
        <v>0</v>
      </c>
      <c r="AS15" s="783">
        <f t="shared" si="15"/>
        <v>0</v>
      </c>
      <c r="AT15" s="790"/>
      <c r="AU15" s="170"/>
      <c r="AV15" s="170"/>
      <c r="AW15" s="837"/>
      <c r="AX15" s="838"/>
    </row>
    <row r="16" spans="1:50" ht="15" x14ac:dyDescent="0.25">
      <c r="A16" s="784"/>
      <c r="B16" s="719">
        <f t="shared" si="17"/>
        <v>8</v>
      </c>
      <c r="C16" s="170"/>
      <c r="D16" s="557"/>
      <c r="E16" s="170"/>
      <c r="F16" s="557"/>
      <c r="G16" s="937"/>
      <c r="H16" s="784"/>
      <c r="I16" s="784"/>
      <c r="J16" s="784"/>
      <c r="K16" s="784"/>
      <c r="L16" s="170"/>
      <c r="M16" s="773"/>
      <c r="N16" s="773"/>
      <c r="O16" s="773"/>
      <c r="P16" s="788"/>
      <c r="Q16" s="788"/>
      <c r="R16" s="773"/>
      <c r="S16" s="773"/>
      <c r="T16" s="779"/>
      <c r="U16" s="1993"/>
      <c r="V16" s="778">
        <f t="shared" si="18"/>
        <v>0</v>
      </c>
      <c r="W16" s="778"/>
      <c r="X16" s="779"/>
      <c r="Y16" s="779"/>
      <c r="Z16" s="780"/>
      <c r="AA16" s="785"/>
      <c r="AB16" s="785"/>
      <c r="AC16" s="170"/>
      <c r="AD16" s="781">
        <f t="shared" si="0"/>
        <v>0</v>
      </c>
      <c r="AE16" s="781">
        <f t="shared" si="1"/>
        <v>0</v>
      </c>
      <c r="AF16" s="781">
        <f t="shared" si="2"/>
        <v>0</v>
      </c>
      <c r="AG16" s="781">
        <f t="shared" si="3"/>
        <v>0</v>
      </c>
      <c r="AH16" s="781">
        <f t="shared" si="4"/>
        <v>0</v>
      </c>
      <c r="AI16" s="782">
        <f t="shared" si="5"/>
        <v>0</v>
      </c>
      <c r="AJ16" s="781">
        <f>IF(P16="E",+ROUND(V16*H16,0),0)</f>
        <v>0</v>
      </c>
      <c r="AK16" s="781">
        <f t="shared" si="7"/>
        <v>0</v>
      </c>
      <c r="AL16" s="781">
        <f>ROUND(V16*H16,0)</f>
        <v>0</v>
      </c>
      <c r="AM16" s="781">
        <f t="shared" si="9"/>
        <v>0</v>
      </c>
      <c r="AN16" s="781">
        <f t="shared" si="10"/>
        <v>0</v>
      </c>
      <c r="AO16" s="781">
        <f t="shared" si="11"/>
        <v>0</v>
      </c>
      <c r="AP16" s="781">
        <f t="shared" si="12"/>
        <v>0</v>
      </c>
      <c r="AQ16" s="781">
        <f t="shared" si="13"/>
        <v>0</v>
      </c>
      <c r="AR16" s="781">
        <f t="shared" si="14"/>
        <v>0</v>
      </c>
      <c r="AS16" s="783">
        <f t="shared" si="15"/>
        <v>0</v>
      </c>
      <c r="AT16" s="790"/>
      <c r="AU16" s="170"/>
      <c r="AV16" s="170"/>
      <c r="AW16" s="837"/>
      <c r="AX16" s="838"/>
    </row>
    <row r="17" spans="1:50" ht="15.75" thickBot="1" x14ac:dyDescent="0.3">
      <c r="A17" s="784"/>
      <c r="B17" s="719">
        <f t="shared" si="17"/>
        <v>9</v>
      </c>
      <c r="C17" s="170"/>
      <c r="D17" s="557"/>
      <c r="E17" s="170"/>
      <c r="F17" s="557"/>
      <c r="G17" s="937"/>
      <c r="H17" s="784"/>
      <c r="I17" s="784"/>
      <c r="J17" s="784"/>
      <c r="K17" s="784"/>
      <c r="L17" s="170"/>
      <c r="M17" s="773"/>
      <c r="N17" s="773"/>
      <c r="O17" s="773"/>
      <c r="P17" s="788"/>
      <c r="Q17" s="788"/>
      <c r="R17" s="773"/>
      <c r="S17" s="773"/>
      <c r="T17" s="779"/>
      <c r="U17" s="1993"/>
      <c r="V17" s="778">
        <f t="shared" si="18"/>
        <v>0</v>
      </c>
      <c r="W17" s="778"/>
      <c r="X17" s="779"/>
      <c r="Y17" s="779"/>
      <c r="Z17" s="780"/>
      <c r="AA17" s="785"/>
      <c r="AB17" s="785"/>
      <c r="AC17" s="170"/>
      <c r="AD17" s="781"/>
      <c r="AE17" s="781"/>
      <c r="AF17" s="781"/>
      <c r="AG17" s="781"/>
      <c r="AH17" s="781"/>
      <c r="AI17" s="782"/>
      <c r="AJ17" s="781"/>
      <c r="AK17" s="781"/>
      <c r="AL17" s="781"/>
      <c r="AM17" s="781"/>
      <c r="AN17" s="781"/>
      <c r="AO17" s="781"/>
      <c r="AP17" s="781"/>
      <c r="AQ17" s="781"/>
      <c r="AR17" s="781"/>
      <c r="AS17" s="783"/>
      <c r="AT17" s="790"/>
      <c r="AU17" s="170"/>
      <c r="AV17" s="170"/>
      <c r="AW17" s="837"/>
      <c r="AX17" s="838"/>
    </row>
    <row r="18" spans="1:50" ht="15.75" thickBot="1" x14ac:dyDescent="0.3">
      <c r="A18" s="784"/>
      <c r="B18" s="719">
        <f t="shared" si="17"/>
        <v>10</v>
      </c>
      <c r="C18" s="170"/>
      <c r="D18" s="557"/>
      <c r="E18" s="170"/>
      <c r="F18" s="557"/>
      <c r="G18" s="935" t="s">
        <v>342</v>
      </c>
      <c r="H18" s="784"/>
      <c r="I18" s="784"/>
      <c r="J18" s="784"/>
      <c r="K18" s="784"/>
      <c r="L18" s="170"/>
      <c r="M18" s="773"/>
      <c r="N18" s="773"/>
      <c r="O18" s="773"/>
      <c r="P18" s="788"/>
      <c r="Q18" s="788"/>
      <c r="R18" s="773"/>
      <c r="S18" s="773"/>
      <c r="T18" s="779"/>
      <c r="U18" s="1993"/>
      <c r="V18" s="778">
        <f t="shared" si="18"/>
        <v>0</v>
      </c>
      <c r="W18" s="778"/>
      <c r="X18" s="779"/>
      <c r="Y18" s="779"/>
      <c r="Z18" s="780"/>
      <c r="AA18" s="785"/>
      <c r="AB18" s="785"/>
      <c r="AC18" s="170"/>
      <c r="AD18" s="781"/>
      <c r="AE18" s="781"/>
      <c r="AF18" s="781"/>
      <c r="AG18" s="781"/>
      <c r="AH18" s="781"/>
      <c r="AI18" s="782"/>
      <c r="AJ18" s="781"/>
      <c r="AK18" s="781"/>
      <c r="AL18" s="781"/>
      <c r="AM18" s="781"/>
      <c r="AN18" s="781"/>
      <c r="AO18" s="781"/>
      <c r="AP18" s="781"/>
      <c r="AQ18" s="781"/>
      <c r="AR18" s="781"/>
      <c r="AS18" s="783"/>
      <c r="AT18" s="790"/>
      <c r="AU18" s="170"/>
      <c r="AV18" s="170"/>
      <c r="AW18" s="837"/>
      <c r="AX18" s="838"/>
    </row>
    <row r="19" spans="1:50" ht="90" x14ac:dyDescent="0.25">
      <c r="A19" s="784"/>
      <c r="B19" s="719">
        <f t="shared" si="17"/>
        <v>11</v>
      </c>
      <c r="C19" s="170"/>
      <c r="D19" s="557"/>
      <c r="E19" s="170"/>
      <c r="F19" s="557">
        <v>90</v>
      </c>
      <c r="G19" s="936" t="s">
        <v>1944</v>
      </c>
      <c r="H19" s="847">
        <v>1</v>
      </c>
      <c r="I19" s="768" t="s">
        <v>732</v>
      </c>
      <c r="J19" s="768"/>
      <c r="K19" s="768"/>
      <c r="L19" s="170"/>
      <c r="M19" s="845"/>
      <c r="N19" s="846">
        <v>1</v>
      </c>
      <c r="O19" s="773">
        <f t="shared" ref="O19:O22" si="19">+M19*N19</f>
        <v>0</v>
      </c>
      <c r="P19" s="768" t="s">
        <v>604</v>
      </c>
      <c r="Q19" s="768" t="s">
        <v>604</v>
      </c>
      <c r="R19" s="2011" t="s">
        <v>2499</v>
      </c>
      <c r="S19" s="775">
        <f>SUMIF('Data Input sheet'!$B$118:$B$180,R19,'Data Input sheet'!$D$118:$D$180)</f>
        <v>57</v>
      </c>
      <c r="T19" s="776">
        <f t="shared" ref="T19:T22" si="20">+O19*S19</f>
        <v>0</v>
      </c>
      <c r="U19" s="1992"/>
      <c r="V19" s="778">
        <f t="shared" si="18"/>
        <v>0</v>
      </c>
      <c r="W19" s="772">
        <v>0</v>
      </c>
      <c r="X19" s="779"/>
      <c r="Y19" s="776">
        <v>0</v>
      </c>
      <c r="Z19" s="780">
        <f t="shared" ref="Z19:Z22" si="21">T19+V19+W19+Y19</f>
        <v>0</v>
      </c>
      <c r="AA19" s="785" t="s">
        <v>1943</v>
      </c>
      <c r="AB19" s="785"/>
      <c r="AC19" s="170"/>
      <c r="AD19" s="781">
        <f t="shared" ref="AD19:AD50" si="22">IF(P19="E",+ROUND(H19*O19,0),0)</f>
        <v>0</v>
      </c>
      <c r="AE19" s="781">
        <f t="shared" ref="AE19:AE63" si="23">+AF19-AD19</f>
        <v>0</v>
      </c>
      <c r="AF19" s="781">
        <f t="shared" ref="AF19:AF50" si="24">+H19*O19</f>
        <v>0</v>
      </c>
      <c r="AG19" s="781">
        <f t="shared" ref="AG19:AG50" si="25">IF(P19="E",+ROUND(T19*H19,0),0)</f>
        <v>0</v>
      </c>
      <c r="AH19" s="781">
        <f t="shared" ref="AH19:AH63" si="26">+AI19-AG19</f>
        <v>0</v>
      </c>
      <c r="AI19" s="782">
        <f t="shared" ref="AI19:AI50" si="27">+H19*T19</f>
        <v>0</v>
      </c>
      <c r="AJ19" s="781">
        <f t="shared" ref="AJ19:AJ50" si="28">IF(P19="E",+ROUND(V19*H19,0),0)</f>
        <v>0</v>
      </c>
      <c r="AK19" s="781">
        <f t="shared" ref="AK19:AK63" si="29">+AL19-AJ19</f>
        <v>0</v>
      </c>
      <c r="AL19" s="781">
        <f t="shared" ref="AL19:AL50" si="30">ROUND(V19*H19,0)</f>
        <v>0</v>
      </c>
      <c r="AM19" s="781">
        <f t="shared" ref="AM19:AM50" si="31">IF(Q19="E",+ROUND(W19*H19,0),0)</f>
        <v>0</v>
      </c>
      <c r="AN19" s="781">
        <f t="shared" ref="AN19:AN63" si="32">+AO19-AM19</f>
        <v>0</v>
      </c>
      <c r="AO19" s="781">
        <f t="shared" ref="AO19:AO50" si="33">ROUND(W19*H19,0)</f>
        <v>0</v>
      </c>
      <c r="AP19" s="781">
        <f t="shared" ref="AP19:AP50" si="34">IF(P19="E",+ROUND(Y19*H19,0),0)</f>
        <v>0</v>
      </c>
      <c r="AQ19" s="781">
        <f t="shared" ref="AQ19:AQ63" si="35">+AR19-AP19</f>
        <v>0</v>
      </c>
      <c r="AR19" s="781">
        <f t="shared" ref="AR19:AR50" si="36">ROUND(Y19*H19,0)</f>
        <v>0</v>
      </c>
      <c r="AS19" s="783">
        <f t="shared" ref="AS19:AS54" si="37">+AR19+AO19+AL19+AI19</f>
        <v>0</v>
      </c>
      <c r="AT19" s="790"/>
      <c r="AU19" s="170"/>
      <c r="AV19" s="170"/>
      <c r="AW19" s="837"/>
      <c r="AX19" s="838"/>
    </row>
    <row r="20" spans="1:50" ht="90" x14ac:dyDescent="0.25">
      <c r="A20" s="784"/>
      <c r="B20" s="719">
        <f t="shared" si="17"/>
        <v>12</v>
      </c>
      <c r="C20" s="170"/>
      <c r="D20" s="557"/>
      <c r="E20" s="170"/>
      <c r="F20" s="557">
        <v>90</v>
      </c>
      <c r="G20" s="939" t="s">
        <v>1946</v>
      </c>
      <c r="H20" s="847">
        <v>0</v>
      </c>
      <c r="I20" s="768" t="s">
        <v>732</v>
      </c>
      <c r="J20" s="768"/>
      <c r="K20" s="768"/>
      <c r="L20" s="170"/>
      <c r="M20" s="845"/>
      <c r="N20" s="846">
        <v>1</v>
      </c>
      <c r="O20" s="773">
        <f t="shared" si="19"/>
        <v>0</v>
      </c>
      <c r="P20" s="768" t="s">
        <v>604</v>
      </c>
      <c r="Q20" s="768" t="s">
        <v>604</v>
      </c>
      <c r="R20" s="2011" t="s">
        <v>2498</v>
      </c>
      <c r="S20" s="775">
        <f>SUMIF('Data Input sheet'!$B$118:$B$180,R20,'Data Input sheet'!$D$118:$D$180)</f>
        <v>57</v>
      </c>
      <c r="T20" s="776">
        <f t="shared" si="20"/>
        <v>0</v>
      </c>
      <c r="U20" s="1992"/>
      <c r="V20" s="778">
        <f t="shared" si="18"/>
        <v>0</v>
      </c>
      <c r="W20" s="772">
        <v>0</v>
      </c>
      <c r="X20" s="779"/>
      <c r="Y20" s="776">
        <v>0</v>
      </c>
      <c r="Z20" s="780">
        <f t="shared" si="21"/>
        <v>0</v>
      </c>
      <c r="AA20" s="785" t="s">
        <v>1945</v>
      </c>
      <c r="AB20" s="785"/>
      <c r="AC20" s="170"/>
      <c r="AD20" s="781">
        <f t="shared" si="22"/>
        <v>0</v>
      </c>
      <c r="AE20" s="781">
        <f t="shared" si="23"/>
        <v>0</v>
      </c>
      <c r="AF20" s="781">
        <f t="shared" si="24"/>
        <v>0</v>
      </c>
      <c r="AG20" s="781">
        <f t="shared" si="25"/>
        <v>0</v>
      </c>
      <c r="AH20" s="781">
        <f t="shared" si="26"/>
        <v>0</v>
      </c>
      <c r="AI20" s="782">
        <f t="shared" si="27"/>
        <v>0</v>
      </c>
      <c r="AJ20" s="781">
        <f t="shared" si="28"/>
        <v>0</v>
      </c>
      <c r="AK20" s="781">
        <f t="shared" si="29"/>
        <v>0</v>
      </c>
      <c r="AL20" s="781">
        <f t="shared" si="30"/>
        <v>0</v>
      </c>
      <c r="AM20" s="781">
        <f t="shared" si="31"/>
        <v>0</v>
      </c>
      <c r="AN20" s="781">
        <f t="shared" si="32"/>
        <v>0</v>
      </c>
      <c r="AO20" s="781">
        <f t="shared" si="33"/>
        <v>0</v>
      </c>
      <c r="AP20" s="781">
        <f t="shared" si="34"/>
        <v>0</v>
      </c>
      <c r="AQ20" s="781">
        <f t="shared" si="35"/>
        <v>0</v>
      </c>
      <c r="AR20" s="781">
        <f t="shared" si="36"/>
        <v>0</v>
      </c>
      <c r="AS20" s="783">
        <f t="shared" si="37"/>
        <v>0</v>
      </c>
      <c r="AT20" s="790"/>
      <c r="AU20" s="170"/>
      <c r="AV20" s="170"/>
      <c r="AW20" s="837"/>
      <c r="AX20" s="838"/>
    </row>
    <row r="21" spans="1:50" ht="45" x14ac:dyDescent="0.25">
      <c r="A21" s="784"/>
      <c r="B21" s="719">
        <f t="shared" si="17"/>
        <v>13</v>
      </c>
      <c r="C21" s="170"/>
      <c r="D21" s="557"/>
      <c r="E21" s="170"/>
      <c r="F21" s="557">
        <v>90</v>
      </c>
      <c r="G21" s="936" t="s">
        <v>1947</v>
      </c>
      <c r="H21" s="847">
        <v>0</v>
      </c>
      <c r="I21" s="768" t="s">
        <v>732</v>
      </c>
      <c r="J21" s="768"/>
      <c r="K21" s="768"/>
      <c r="L21" s="170"/>
      <c r="M21" s="845"/>
      <c r="N21" s="846">
        <v>1</v>
      </c>
      <c r="O21" s="773">
        <f t="shared" si="19"/>
        <v>0</v>
      </c>
      <c r="P21" s="768" t="s">
        <v>604</v>
      </c>
      <c r="Q21" s="768" t="s">
        <v>604</v>
      </c>
      <c r="R21" s="2011" t="s">
        <v>2498</v>
      </c>
      <c r="S21" s="775">
        <f>SUMIF('Data Input sheet'!$B$118:$B$180,R21,'Data Input sheet'!$D$118:$D$180)</f>
        <v>57</v>
      </c>
      <c r="T21" s="776">
        <f t="shared" si="20"/>
        <v>0</v>
      </c>
      <c r="U21" s="1992"/>
      <c r="V21" s="778">
        <f t="shared" si="18"/>
        <v>0</v>
      </c>
      <c r="W21" s="772">
        <v>0</v>
      </c>
      <c r="X21" s="779"/>
      <c r="Y21" s="776">
        <v>0</v>
      </c>
      <c r="Z21" s="780">
        <f t="shared" si="21"/>
        <v>0</v>
      </c>
      <c r="AA21" s="785" t="s">
        <v>1948</v>
      </c>
      <c r="AB21" s="785"/>
      <c r="AC21" s="170"/>
      <c r="AD21" s="781">
        <f t="shared" si="22"/>
        <v>0</v>
      </c>
      <c r="AE21" s="781">
        <f t="shared" si="23"/>
        <v>0</v>
      </c>
      <c r="AF21" s="781">
        <f t="shared" si="24"/>
        <v>0</v>
      </c>
      <c r="AG21" s="781">
        <f t="shared" si="25"/>
        <v>0</v>
      </c>
      <c r="AH21" s="781">
        <f t="shared" si="26"/>
        <v>0</v>
      </c>
      <c r="AI21" s="782">
        <f t="shared" si="27"/>
        <v>0</v>
      </c>
      <c r="AJ21" s="781">
        <f t="shared" si="28"/>
        <v>0</v>
      </c>
      <c r="AK21" s="781">
        <f t="shared" si="29"/>
        <v>0</v>
      </c>
      <c r="AL21" s="781">
        <f t="shared" si="30"/>
        <v>0</v>
      </c>
      <c r="AM21" s="781">
        <f t="shared" si="31"/>
        <v>0</v>
      </c>
      <c r="AN21" s="781">
        <f t="shared" si="32"/>
        <v>0</v>
      </c>
      <c r="AO21" s="781">
        <f t="shared" si="33"/>
        <v>0</v>
      </c>
      <c r="AP21" s="781">
        <f t="shared" si="34"/>
        <v>0</v>
      </c>
      <c r="AQ21" s="781">
        <f t="shared" si="35"/>
        <v>0</v>
      </c>
      <c r="AR21" s="781">
        <f t="shared" si="36"/>
        <v>0</v>
      </c>
      <c r="AS21" s="783">
        <f t="shared" si="37"/>
        <v>0</v>
      </c>
      <c r="AT21" s="790"/>
      <c r="AU21" s="170"/>
      <c r="AV21" s="170"/>
      <c r="AW21" s="837"/>
      <c r="AX21" s="838"/>
    </row>
    <row r="22" spans="1:50" ht="15" x14ac:dyDescent="0.25">
      <c r="A22" s="784"/>
      <c r="B22" s="719">
        <f t="shared" si="17"/>
        <v>14</v>
      </c>
      <c r="C22" s="170"/>
      <c r="D22" s="557"/>
      <c r="E22" s="170"/>
      <c r="F22" s="557">
        <v>90</v>
      </c>
      <c r="G22" s="936" t="s">
        <v>1170</v>
      </c>
      <c r="H22" s="847">
        <v>1</v>
      </c>
      <c r="I22" s="768" t="s">
        <v>732</v>
      </c>
      <c r="J22" s="768"/>
      <c r="K22" s="768"/>
      <c r="L22" s="170"/>
      <c r="M22" s="845">
        <v>24</v>
      </c>
      <c r="N22" s="846">
        <v>1</v>
      </c>
      <c r="O22" s="773">
        <f t="shared" si="19"/>
        <v>24</v>
      </c>
      <c r="P22" s="768" t="s">
        <v>604</v>
      </c>
      <c r="Q22" s="768" t="s">
        <v>604</v>
      </c>
      <c r="R22" s="2011" t="s">
        <v>2499</v>
      </c>
      <c r="S22" s="775">
        <f>SUMIF('Data Input sheet'!$B$118:$B$180,R22,'Data Input sheet'!$D$118:$D$180)</f>
        <v>57</v>
      </c>
      <c r="T22" s="776">
        <f t="shared" si="20"/>
        <v>1368</v>
      </c>
      <c r="U22" s="1992"/>
      <c r="V22" s="778">
        <f t="shared" si="18"/>
        <v>0</v>
      </c>
      <c r="W22" s="772">
        <v>0</v>
      </c>
      <c r="X22" s="779"/>
      <c r="Y22" s="776">
        <v>0</v>
      </c>
      <c r="Z22" s="780">
        <f t="shared" si="21"/>
        <v>1368</v>
      </c>
      <c r="AA22" s="785"/>
      <c r="AB22" s="785"/>
      <c r="AC22" s="170"/>
      <c r="AD22" s="781">
        <f t="shared" si="22"/>
        <v>24</v>
      </c>
      <c r="AE22" s="781">
        <f t="shared" si="23"/>
        <v>0</v>
      </c>
      <c r="AF22" s="781">
        <f t="shared" si="24"/>
        <v>24</v>
      </c>
      <c r="AG22" s="781">
        <f t="shared" si="25"/>
        <v>1368</v>
      </c>
      <c r="AH22" s="781">
        <f t="shared" si="26"/>
        <v>0</v>
      </c>
      <c r="AI22" s="782">
        <f t="shared" si="27"/>
        <v>1368</v>
      </c>
      <c r="AJ22" s="781">
        <f t="shared" si="28"/>
        <v>0</v>
      </c>
      <c r="AK22" s="781">
        <f t="shared" si="29"/>
        <v>0</v>
      </c>
      <c r="AL22" s="781">
        <f t="shared" si="30"/>
        <v>0</v>
      </c>
      <c r="AM22" s="781">
        <f t="shared" si="31"/>
        <v>0</v>
      </c>
      <c r="AN22" s="781">
        <f t="shared" si="32"/>
        <v>0</v>
      </c>
      <c r="AO22" s="781">
        <f t="shared" si="33"/>
        <v>0</v>
      </c>
      <c r="AP22" s="781">
        <f t="shared" si="34"/>
        <v>0</v>
      </c>
      <c r="AQ22" s="781">
        <f t="shared" si="35"/>
        <v>0</v>
      </c>
      <c r="AR22" s="781">
        <f t="shared" si="36"/>
        <v>0</v>
      </c>
      <c r="AS22" s="783">
        <f t="shared" si="37"/>
        <v>1368</v>
      </c>
      <c r="AT22" s="790"/>
      <c r="AU22" s="170"/>
      <c r="AV22" s="170"/>
      <c r="AW22" s="837"/>
      <c r="AX22" s="838"/>
    </row>
    <row r="23" spans="1:50" ht="60" x14ac:dyDescent="0.25">
      <c r="A23" s="784"/>
      <c r="B23" s="719">
        <f t="shared" si="17"/>
        <v>15</v>
      </c>
      <c r="C23" s="170"/>
      <c r="D23" s="557"/>
      <c r="E23" s="170"/>
      <c r="F23" s="557">
        <v>90</v>
      </c>
      <c r="G23" s="936" t="s">
        <v>1949</v>
      </c>
      <c r="H23" s="847">
        <v>1</v>
      </c>
      <c r="I23" s="768" t="s">
        <v>732</v>
      </c>
      <c r="J23" s="768"/>
      <c r="K23" s="768"/>
      <c r="L23" s="170"/>
      <c r="M23" s="845">
        <v>24</v>
      </c>
      <c r="N23" s="846">
        <v>1</v>
      </c>
      <c r="O23" s="773">
        <f t="shared" ref="O23:O54" si="38">+M23*N23</f>
        <v>24</v>
      </c>
      <c r="P23" s="768" t="s">
        <v>604</v>
      </c>
      <c r="Q23" s="768" t="s">
        <v>604</v>
      </c>
      <c r="R23" s="2011" t="s">
        <v>2499</v>
      </c>
      <c r="S23" s="775">
        <f>SUMIF('Data Input sheet'!$B$118:$B$180,R23,'Data Input sheet'!$D$118:$D$180)</f>
        <v>57</v>
      </c>
      <c r="T23" s="776">
        <f t="shared" ref="T23:T54" si="39">+O23*S23</f>
        <v>1368</v>
      </c>
      <c r="U23" s="1992"/>
      <c r="V23" s="778">
        <f t="shared" si="18"/>
        <v>0</v>
      </c>
      <c r="W23" s="772">
        <v>0</v>
      </c>
      <c r="X23" s="779"/>
      <c r="Y23" s="776">
        <v>0</v>
      </c>
      <c r="Z23" s="780">
        <f t="shared" ref="Z23:Z63" si="40">T23+V23+W23+Y23</f>
        <v>1368</v>
      </c>
      <c r="AA23" s="785" t="s">
        <v>1950</v>
      </c>
      <c r="AB23" s="785"/>
      <c r="AC23" s="170"/>
      <c r="AD23" s="781">
        <f t="shared" si="22"/>
        <v>24</v>
      </c>
      <c r="AE23" s="781">
        <f t="shared" si="23"/>
        <v>0</v>
      </c>
      <c r="AF23" s="781">
        <f t="shared" si="24"/>
        <v>24</v>
      </c>
      <c r="AG23" s="781">
        <f t="shared" si="25"/>
        <v>1368</v>
      </c>
      <c r="AH23" s="781">
        <f t="shared" si="26"/>
        <v>0</v>
      </c>
      <c r="AI23" s="782">
        <f t="shared" si="27"/>
        <v>1368</v>
      </c>
      <c r="AJ23" s="781">
        <f t="shared" si="28"/>
        <v>0</v>
      </c>
      <c r="AK23" s="781">
        <f t="shared" si="29"/>
        <v>0</v>
      </c>
      <c r="AL23" s="781">
        <f t="shared" si="30"/>
        <v>0</v>
      </c>
      <c r="AM23" s="781">
        <f t="shared" si="31"/>
        <v>0</v>
      </c>
      <c r="AN23" s="781">
        <f t="shared" si="32"/>
        <v>0</v>
      </c>
      <c r="AO23" s="781">
        <f t="shared" si="33"/>
        <v>0</v>
      </c>
      <c r="AP23" s="781">
        <f t="shared" si="34"/>
        <v>0</v>
      </c>
      <c r="AQ23" s="781">
        <f t="shared" si="35"/>
        <v>0</v>
      </c>
      <c r="AR23" s="781">
        <f t="shared" si="36"/>
        <v>0</v>
      </c>
      <c r="AS23" s="783">
        <f t="shared" si="37"/>
        <v>1368</v>
      </c>
      <c r="AT23" s="790"/>
      <c r="AU23" s="170"/>
      <c r="AV23" s="170"/>
      <c r="AW23" s="837"/>
      <c r="AX23" s="838"/>
    </row>
    <row r="24" spans="1:50" ht="90" x14ac:dyDescent="0.25">
      <c r="A24" s="784"/>
      <c r="B24" s="719">
        <f t="shared" si="17"/>
        <v>16</v>
      </c>
      <c r="C24" s="170"/>
      <c r="D24" s="557"/>
      <c r="E24" s="170"/>
      <c r="F24" s="557">
        <v>90</v>
      </c>
      <c r="G24" s="936" t="s">
        <v>1951</v>
      </c>
      <c r="H24" s="847">
        <v>1</v>
      </c>
      <c r="I24" s="768" t="s">
        <v>732</v>
      </c>
      <c r="J24" s="768"/>
      <c r="K24" s="768"/>
      <c r="L24" s="170"/>
      <c r="M24" s="845">
        <v>0</v>
      </c>
      <c r="N24" s="846">
        <v>1</v>
      </c>
      <c r="O24" s="773">
        <f t="shared" si="38"/>
        <v>0</v>
      </c>
      <c r="P24" s="768" t="s">
        <v>604</v>
      </c>
      <c r="Q24" s="768" t="s">
        <v>604</v>
      </c>
      <c r="R24" s="2011" t="s">
        <v>2499</v>
      </c>
      <c r="S24" s="775">
        <f>SUMIF('Data Input sheet'!$B$118:$B$180,R24,'Data Input sheet'!$D$118:$D$180)</f>
        <v>57</v>
      </c>
      <c r="T24" s="776">
        <f t="shared" si="39"/>
        <v>0</v>
      </c>
      <c r="U24" s="1992"/>
      <c r="V24" s="778">
        <f t="shared" si="18"/>
        <v>0</v>
      </c>
      <c r="W24" s="772">
        <v>0</v>
      </c>
      <c r="X24" s="779"/>
      <c r="Y24" s="776">
        <v>5000</v>
      </c>
      <c r="Z24" s="780">
        <f t="shared" si="40"/>
        <v>5000</v>
      </c>
      <c r="AA24" s="785" t="s">
        <v>1952</v>
      </c>
      <c r="AB24" s="2791" t="s">
        <v>3743</v>
      </c>
      <c r="AC24" s="170"/>
      <c r="AD24" s="781">
        <f t="shared" si="22"/>
        <v>0</v>
      </c>
      <c r="AE24" s="781">
        <f t="shared" si="23"/>
        <v>0</v>
      </c>
      <c r="AF24" s="781">
        <f t="shared" si="24"/>
        <v>0</v>
      </c>
      <c r="AG24" s="781">
        <f t="shared" si="25"/>
        <v>0</v>
      </c>
      <c r="AH24" s="781">
        <f t="shared" si="26"/>
        <v>0</v>
      </c>
      <c r="AI24" s="782">
        <f t="shared" si="27"/>
        <v>0</v>
      </c>
      <c r="AJ24" s="781">
        <f t="shared" si="28"/>
        <v>0</v>
      </c>
      <c r="AK24" s="781">
        <f t="shared" si="29"/>
        <v>0</v>
      </c>
      <c r="AL24" s="781">
        <f t="shared" si="30"/>
        <v>0</v>
      </c>
      <c r="AM24" s="781">
        <f t="shared" si="31"/>
        <v>0</v>
      </c>
      <c r="AN24" s="781">
        <f t="shared" si="32"/>
        <v>0</v>
      </c>
      <c r="AO24" s="781">
        <f t="shared" si="33"/>
        <v>0</v>
      </c>
      <c r="AP24" s="781">
        <f t="shared" si="34"/>
        <v>5000</v>
      </c>
      <c r="AQ24" s="781">
        <f t="shared" si="35"/>
        <v>0</v>
      </c>
      <c r="AR24" s="781">
        <f t="shared" si="36"/>
        <v>5000</v>
      </c>
      <c r="AS24" s="783">
        <f t="shared" si="37"/>
        <v>5000</v>
      </c>
      <c r="AT24" s="790"/>
      <c r="AU24" s="170"/>
      <c r="AV24" s="170"/>
      <c r="AW24" s="837"/>
      <c r="AX24" s="838"/>
    </row>
    <row r="25" spans="1:50" ht="45" x14ac:dyDescent="0.25">
      <c r="A25" s="784"/>
      <c r="B25" s="719">
        <f t="shared" si="17"/>
        <v>17</v>
      </c>
      <c r="C25" s="170"/>
      <c r="D25" s="557"/>
      <c r="E25" s="170"/>
      <c r="F25" s="557">
        <v>90</v>
      </c>
      <c r="G25" s="936" t="s">
        <v>1953</v>
      </c>
      <c r="H25" s="847">
        <v>1</v>
      </c>
      <c r="I25" s="768" t="s">
        <v>732</v>
      </c>
      <c r="J25" s="768"/>
      <c r="K25" s="768"/>
      <c r="L25" s="170"/>
      <c r="M25" s="845">
        <v>40</v>
      </c>
      <c r="N25" s="846">
        <v>1</v>
      </c>
      <c r="O25" s="773">
        <f t="shared" si="38"/>
        <v>40</v>
      </c>
      <c r="P25" s="768" t="s">
        <v>604</v>
      </c>
      <c r="Q25" s="768" t="s">
        <v>604</v>
      </c>
      <c r="R25" s="2011" t="s">
        <v>2499</v>
      </c>
      <c r="S25" s="775">
        <f>SUMIF('Data Input sheet'!$B$118:$B$180,R25,'Data Input sheet'!$D$118:$D$180)</f>
        <v>57</v>
      </c>
      <c r="T25" s="776">
        <f t="shared" si="39"/>
        <v>2280</v>
      </c>
      <c r="U25" s="1992"/>
      <c r="V25" s="778">
        <f t="shared" si="18"/>
        <v>0</v>
      </c>
      <c r="W25" s="772">
        <v>0</v>
      </c>
      <c r="X25" s="779"/>
      <c r="Y25" s="776">
        <v>0</v>
      </c>
      <c r="Z25" s="780">
        <f t="shared" si="40"/>
        <v>2280</v>
      </c>
      <c r="AA25" s="785" t="s">
        <v>1954</v>
      </c>
      <c r="AB25" s="785"/>
      <c r="AC25" s="170"/>
      <c r="AD25" s="781">
        <f t="shared" si="22"/>
        <v>40</v>
      </c>
      <c r="AE25" s="781">
        <f t="shared" si="23"/>
        <v>0</v>
      </c>
      <c r="AF25" s="781">
        <f t="shared" si="24"/>
        <v>40</v>
      </c>
      <c r="AG25" s="781">
        <f t="shared" si="25"/>
        <v>2280</v>
      </c>
      <c r="AH25" s="781">
        <f t="shared" si="26"/>
        <v>0</v>
      </c>
      <c r="AI25" s="782">
        <f t="shared" si="27"/>
        <v>2280</v>
      </c>
      <c r="AJ25" s="781">
        <f t="shared" si="28"/>
        <v>0</v>
      </c>
      <c r="AK25" s="781">
        <f t="shared" si="29"/>
        <v>0</v>
      </c>
      <c r="AL25" s="781">
        <f t="shared" si="30"/>
        <v>0</v>
      </c>
      <c r="AM25" s="781">
        <f t="shared" si="31"/>
        <v>0</v>
      </c>
      <c r="AN25" s="781">
        <f t="shared" si="32"/>
        <v>0</v>
      </c>
      <c r="AO25" s="781">
        <f t="shared" si="33"/>
        <v>0</v>
      </c>
      <c r="AP25" s="781">
        <f t="shared" si="34"/>
        <v>0</v>
      </c>
      <c r="AQ25" s="781">
        <f t="shared" si="35"/>
        <v>0</v>
      </c>
      <c r="AR25" s="781">
        <f t="shared" si="36"/>
        <v>0</v>
      </c>
      <c r="AS25" s="783">
        <f t="shared" si="37"/>
        <v>2280</v>
      </c>
      <c r="AT25" s="790"/>
      <c r="AU25" s="170"/>
      <c r="AV25" s="170"/>
      <c r="AW25" s="837"/>
      <c r="AX25" s="838"/>
    </row>
    <row r="26" spans="1:50" ht="90" x14ac:dyDescent="0.25">
      <c r="A26" s="784"/>
      <c r="B26" s="719">
        <f t="shared" si="17"/>
        <v>18</v>
      </c>
      <c r="C26" s="170"/>
      <c r="D26" s="557"/>
      <c r="E26" s="170"/>
      <c r="F26" s="557">
        <v>90</v>
      </c>
      <c r="G26" s="936" t="s">
        <v>1955</v>
      </c>
      <c r="H26" s="847">
        <v>1</v>
      </c>
      <c r="I26" s="768" t="s">
        <v>732</v>
      </c>
      <c r="J26" s="768"/>
      <c r="K26" s="768"/>
      <c r="L26" s="170"/>
      <c r="M26" s="845">
        <v>40</v>
      </c>
      <c r="N26" s="846">
        <v>1</v>
      </c>
      <c r="O26" s="773">
        <f t="shared" si="38"/>
        <v>40</v>
      </c>
      <c r="P26" s="768" t="s">
        <v>604</v>
      </c>
      <c r="Q26" s="768" t="s">
        <v>604</v>
      </c>
      <c r="R26" s="2011" t="s">
        <v>2499</v>
      </c>
      <c r="S26" s="775">
        <f>SUMIF('Data Input sheet'!$B$118:$B$180,R26,'Data Input sheet'!$D$118:$D$180)</f>
        <v>57</v>
      </c>
      <c r="T26" s="776">
        <f t="shared" si="39"/>
        <v>2280</v>
      </c>
      <c r="U26" s="1992"/>
      <c r="V26" s="778">
        <f t="shared" si="18"/>
        <v>0</v>
      </c>
      <c r="W26" s="772">
        <v>0</v>
      </c>
      <c r="X26" s="779"/>
      <c r="Y26" s="776">
        <v>60000</v>
      </c>
      <c r="Z26" s="780">
        <f t="shared" si="40"/>
        <v>62280</v>
      </c>
      <c r="AA26" s="785" t="s">
        <v>1956</v>
      </c>
      <c r="AB26" s="2791" t="s">
        <v>3744</v>
      </c>
      <c r="AC26" s="170"/>
      <c r="AD26" s="781">
        <f t="shared" si="22"/>
        <v>40</v>
      </c>
      <c r="AE26" s="781">
        <f t="shared" si="23"/>
        <v>0</v>
      </c>
      <c r="AF26" s="781">
        <f t="shared" si="24"/>
        <v>40</v>
      </c>
      <c r="AG26" s="781">
        <f t="shared" si="25"/>
        <v>2280</v>
      </c>
      <c r="AH26" s="781">
        <f t="shared" si="26"/>
        <v>0</v>
      </c>
      <c r="AI26" s="782">
        <f t="shared" si="27"/>
        <v>2280</v>
      </c>
      <c r="AJ26" s="781">
        <f t="shared" si="28"/>
        <v>0</v>
      </c>
      <c r="AK26" s="781">
        <f t="shared" si="29"/>
        <v>0</v>
      </c>
      <c r="AL26" s="781">
        <f t="shared" si="30"/>
        <v>0</v>
      </c>
      <c r="AM26" s="781">
        <f t="shared" si="31"/>
        <v>0</v>
      </c>
      <c r="AN26" s="781">
        <f t="shared" si="32"/>
        <v>0</v>
      </c>
      <c r="AO26" s="781">
        <f t="shared" si="33"/>
        <v>0</v>
      </c>
      <c r="AP26" s="781">
        <f t="shared" si="34"/>
        <v>60000</v>
      </c>
      <c r="AQ26" s="781">
        <f t="shared" si="35"/>
        <v>0</v>
      </c>
      <c r="AR26" s="781">
        <f t="shared" si="36"/>
        <v>60000</v>
      </c>
      <c r="AS26" s="783">
        <f t="shared" si="37"/>
        <v>62280</v>
      </c>
      <c r="AT26" s="790"/>
      <c r="AU26" s="170"/>
      <c r="AV26" s="170"/>
      <c r="AW26" s="837"/>
      <c r="AX26" s="838"/>
    </row>
    <row r="27" spans="1:50" ht="60" x14ac:dyDescent="0.25">
      <c r="A27" s="784"/>
      <c r="B27" s="719">
        <f t="shared" si="17"/>
        <v>19</v>
      </c>
      <c r="C27" s="170"/>
      <c r="D27" s="557"/>
      <c r="E27" s="170"/>
      <c r="F27" s="557">
        <v>90</v>
      </c>
      <c r="G27" s="936" t="s">
        <v>1957</v>
      </c>
      <c r="H27" s="847">
        <v>1</v>
      </c>
      <c r="I27" s="768" t="s">
        <v>732</v>
      </c>
      <c r="J27" s="768"/>
      <c r="K27" s="768"/>
      <c r="L27" s="170"/>
      <c r="M27" s="845">
        <v>112</v>
      </c>
      <c r="N27" s="846">
        <v>1</v>
      </c>
      <c r="O27" s="773">
        <f t="shared" si="38"/>
        <v>112</v>
      </c>
      <c r="P27" s="768" t="s">
        <v>604</v>
      </c>
      <c r="Q27" s="768" t="s">
        <v>604</v>
      </c>
      <c r="R27" s="2011" t="s">
        <v>2499</v>
      </c>
      <c r="S27" s="775">
        <f>SUMIF('Data Input sheet'!$B$118:$B$180,R27,'Data Input sheet'!$D$118:$D$180)</f>
        <v>57</v>
      </c>
      <c r="T27" s="776">
        <f t="shared" si="39"/>
        <v>6384</v>
      </c>
      <c r="U27" s="1992"/>
      <c r="V27" s="778">
        <f t="shared" si="18"/>
        <v>0</v>
      </c>
      <c r="W27" s="772">
        <v>0</v>
      </c>
      <c r="X27" s="779"/>
      <c r="Y27" s="776">
        <v>94000</v>
      </c>
      <c r="Z27" s="780">
        <f t="shared" si="40"/>
        <v>100384</v>
      </c>
      <c r="AA27" s="785" t="s">
        <v>1958</v>
      </c>
      <c r="AB27" s="2791" t="s">
        <v>3745</v>
      </c>
      <c r="AC27" s="170"/>
      <c r="AD27" s="781">
        <f t="shared" si="22"/>
        <v>112</v>
      </c>
      <c r="AE27" s="781">
        <f t="shared" si="23"/>
        <v>0</v>
      </c>
      <c r="AF27" s="781">
        <f t="shared" si="24"/>
        <v>112</v>
      </c>
      <c r="AG27" s="781">
        <f t="shared" si="25"/>
        <v>6384</v>
      </c>
      <c r="AH27" s="781">
        <f t="shared" si="26"/>
        <v>0</v>
      </c>
      <c r="AI27" s="782">
        <f t="shared" si="27"/>
        <v>6384</v>
      </c>
      <c r="AJ27" s="781">
        <f t="shared" si="28"/>
        <v>0</v>
      </c>
      <c r="AK27" s="781">
        <f t="shared" si="29"/>
        <v>0</v>
      </c>
      <c r="AL27" s="781">
        <f t="shared" si="30"/>
        <v>0</v>
      </c>
      <c r="AM27" s="781">
        <f t="shared" si="31"/>
        <v>0</v>
      </c>
      <c r="AN27" s="781">
        <f t="shared" si="32"/>
        <v>0</v>
      </c>
      <c r="AO27" s="781">
        <f t="shared" si="33"/>
        <v>0</v>
      </c>
      <c r="AP27" s="781">
        <f t="shared" si="34"/>
        <v>94000</v>
      </c>
      <c r="AQ27" s="781">
        <f t="shared" si="35"/>
        <v>0</v>
      </c>
      <c r="AR27" s="781">
        <f t="shared" si="36"/>
        <v>94000</v>
      </c>
      <c r="AS27" s="783">
        <f t="shared" si="37"/>
        <v>100384</v>
      </c>
      <c r="AT27" s="790"/>
      <c r="AU27" s="170"/>
      <c r="AV27" s="170"/>
      <c r="AW27" s="837"/>
      <c r="AX27" s="838"/>
    </row>
    <row r="28" spans="1:50" ht="15" x14ac:dyDescent="0.25">
      <c r="A28" s="784"/>
      <c r="B28" s="719">
        <f t="shared" si="17"/>
        <v>20</v>
      </c>
      <c r="C28" s="170"/>
      <c r="D28" s="557"/>
      <c r="E28" s="170"/>
      <c r="F28" s="557">
        <v>90</v>
      </c>
      <c r="G28" s="936" t="s">
        <v>1171</v>
      </c>
      <c r="H28" s="847">
        <v>0</v>
      </c>
      <c r="I28" s="768" t="s">
        <v>732</v>
      </c>
      <c r="J28" s="768"/>
      <c r="K28" s="768"/>
      <c r="L28" s="170"/>
      <c r="M28" s="845">
        <v>0</v>
      </c>
      <c r="N28" s="846">
        <v>1</v>
      </c>
      <c r="O28" s="773">
        <f t="shared" si="38"/>
        <v>0</v>
      </c>
      <c r="P28" s="768" t="s">
        <v>604</v>
      </c>
      <c r="Q28" s="768" t="s">
        <v>604</v>
      </c>
      <c r="R28" s="2011" t="s">
        <v>2498</v>
      </c>
      <c r="S28" s="775">
        <f>SUMIF('Data Input sheet'!$B$118:$B$180,R28,'Data Input sheet'!$D$118:$D$180)</f>
        <v>57</v>
      </c>
      <c r="T28" s="776">
        <f t="shared" si="39"/>
        <v>0</v>
      </c>
      <c r="U28" s="1992"/>
      <c r="V28" s="778">
        <f t="shared" si="18"/>
        <v>0</v>
      </c>
      <c r="W28" s="772">
        <v>0</v>
      </c>
      <c r="X28" s="779"/>
      <c r="Y28" s="776">
        <v>3</v>
      </c>
      <c r="Z28" s="780">
        <f t="shared" si="40"/>
        <v>3</v>
      </c>
      <c r="AA28" s="785"/>
      <c r="AB28" s="785"/>
      <c r="AC28" s="170"/>
      <c r="AD28" s="781">
        <f t="shared" si="22"/>
        <v>0</v>
      </c>
      <c r="AE28" s="781">
        <f t="shared" si="23"/>
        <v>0</v>
      </c>
      <c r="AF28" s="781">
        <f t="shared" si="24"/>
        <v>0</v>
      </c>
      <c r="AG28" s="781">
        <f t="shared" si="25"/>
        <v>0</v>
      </c>
      <c r="AH28" s="781">
        <f t="shared" si="26"/>
        <v>0</v>
      </c>
      <c r="AI28" s="782">
        <f t="shared" si="27"/>
        <v>0</v>
      </c>
      <c r="AJ28" s="781">
        <f t="shared" si="28"/>
        <v>0</v>
      </c>
      <c r="AK28" s="781">
        <f t="shared" si="29"/>
        <v>0</v>
      </c>
      <c r="AL28" s="781">
        <f t="shared" si="30"/>
        <v>0</v>
      </c>
      <c r="AM28" s="781">
        <f t="shared" si="31"/>
        <v>0</v>
      </c>
      <c r="AN28" s="781">
        <f t="shared" si="32"/>
        <v>0</v>
      </c>
      <c r="AO28" s="781">
        <f t="shared" si="33"/>
        <v>0</v>
      </c>
      <c r="AP28" s="781">
        <f t="shared" si="34"/>
        <v>0</v>
      </c>
      <c r="AQ28" s="781">
        <f t="shared" si="35"/>
        <v>0</v>
      </c>
      <c r="AR28" s="781">
        <f t="shared" si="36"/>
        <v>0</v>
      </c>
      <c r="AS28" s="783">
        <f t="shared" si="37"/>
        <v>0</v>
      </c>
      <c r="AT28" s="790"/>
      <c r="AU28" s="170"/>
      <c r="AV28" s="170"/>
      <c r="AW28" s="837"/>
      <c r="AX28" s="838"/>
    </row>
    <row r="29" spans="1:50" ht="15" x14ac:dyDescent="0.25">
      <c r="A29" s="784"/>
      <c r="B29" s="719">
        <f t="shared" si="17"/>
        <v>21</v>
      </c>
      <c r="C29" s="170"/>
      <c r="D29" s="557"/>
      <c r="E29" s="170"/>
      <c r="F29" s="557">
        <v>90</v>
      </c>
      <c r="G29" s="936" t="s">
        <v>1172</v>
      </c>
      <c r="H29" s="847">
        <v>0</v>
      </c>
      <c r="I29" s="768" t="s">
        <v>732</v>
      </c>
      <c r="J29" s="768"/>
      <c r="K29" s="768"/>
      <c r="L29" s="170"/>
      <c r="M29" s="845">
        <v>0</v>
      </c>
      <c r="N29" s="846">
        <v>1</v>
      </c>
      <c r="O29" s="773">
        <f t="shared" si="38"/>
        <v>0</v>
      </c>
      <c r="P29" s="768" t="s">
        <v>604</v>
      </c>
      <c r="Q29" s="768" t="s">
        <v>604</v>
      </c>
      <c r="R29" s="2011" t="s">
        <v>2498</v>
      </c>
      <c r="S29" s="775">
        <f>SUMIF('Data Input sheet'!$B$118:$B$180,R29,'Data Input sheet'!$D$118:$D$180)</f>
        <v>57</v>
      </c>
      <c r="T29" s="776">
        <f t="shared" si="39"/>
        <v>0</v>
      </c>
      <c r="U29" s="1992"/>
      <c r="V29" s="778">
        <f t="shared" si="18"/>
        <v>0</v>
      </c>
      <c r="W29" s="772">
        <v>0</v>
      </c>
      <c r="X29" s="779"/>
      <c r="Y29" s="776">
        <v>0</v>
      </c>
      <c r="Z29" s="780">
        <f t="shared" si="40"/>
        <v>0</v>
      </c>
      <c r="AA29" s="785"/>
      <c r="AB29" s="785"/>
      <c r="AC29" s="170"/>
      <c r="AD29" s="781">
        <f t="shared" si="22"/>
        <v>0</v>
      </c>
      <c r="AE29" s="781">
        <f t="shared" si="23"/>
        <v>0</v>
      </c>
      <c r="AF29" s="781">
        <f t="shared" si="24"/>
        <v>0</v>
      </c>
      <c r="AG29" s="781">
        <f t="shared" si="25"/>
        <v>0</v>
      </c>
      <c r="AH29" s="781">
        <f t="shared" si="26"/>
        <v>0</v>
      </c>
      <c r="AI29" s="782">
        <f t="shared" si="27"/>
        <v>0</v>
      </c>
      <c r="AJ29" s="781">
        <f t="shared" si="28"/>
        <v>0</v>
      </c>
      <c r="AK29" s="781">
        <f t="shared" si="29"/>
        <v>0</v>
      </c>
      <c r="AL29" s="781">
        <f t="shared" si="30"/>
        <v>0</v>
      </c>
      <c r="AM29" s="781">
        <f t="shared" si="31"/>
        <v>0</v>
      </c>
      <c r="AN29" s="781">
        <f t="shared" si="32"/>
        <v>0</v>
      </c>
      <c r="AO29" s="781">
        <f t="shared" si="33"/>
        <v>0</v>
      </c>
      <c r="AP29" s="781">
        <f t="shared" si="34"/>
        <v>0</v>
      </c>
      <c r="AQ29" s="781">
        <f t="shared" si="35"/>
        <v>0</v>
      </c>
      <c r="AR29" s="781">
        <f t="shared" si="36"/>
        <v>0</v>
      </c>
      <c r="AS29" s="783">
        <f t="shared" si="37"/>
        <v>0</v>
      </c>
      <c r="AT29" s="790"/>
      <c r="AU29" s="170"/>
      <c r="AV29" s="170"/>
      <c r="AW29" s="837"/>
      <c r="AX29" s="838"/>
    </row>
    <row r="30" spans="1:50" ht="15" x14ac:dyDescent="0.25">
      <c r="A30" s="784"/>
      <c r="B30" s="719">
        <f t="shared" si="17"/>
        <v>22</v>
      </c>
      <c r="C30" s="170"/>
      <c r="D30" s="557"/>
      <c r="E30" s="170"/>
      <c r="F30" s="557">
        <v>90</v>
      </c>
      <c r="G30" s="936" t="s">
        <v>1173</v>
      </c>
      <c r="H30" s="847">
        <v>0</v>
      </c>
      <c r="I30" s="768" t="s">
        <v>732</v>
      </c>
      <c r="J30" s="768"/>
      <c r="K30" s="768"/>
      <c r="L30" s="170"/>
      <c r="M30" s="845">
        <v>0</v>
      </c>
      <c r="N30" s="846">
        <v>1</v>
      </c>
      <c r="O30" s="773">
        <f t="shared" si="38"/>
        <v>0</v>
      </c>
      <c r="P30" s="768" t="s">
        <v>604</v>
      </c>
      <c r="Q30" s="768" t="s">
        <v>604</v>
      </c>
      <c r="R30" s="2011" t="s">
        <v>2498</v>
      </c>
      <c r="S30" s="775">
        <f>SUMIF('Data Input sheet'!$B$118:$B$180,R30,'Data Input sheet'!$D$118:$D$180)</f>
        <v>57</v>
      </c>
      <c r="T30" s="776">
        <f t="shared" si="39"/>
        <v>0</v>
      </c>
      <c r="U30" s="1992"/>
      <c r="V30" s="778">
        <f t="shared" si="18"/>
        <v>0</v>
      </c>
      <c r="W30" s="772">
        <v>0</v>
      </c>
      <c r="X30" s="779"/>
      <c r="Y30" s="776">
        <v>0</v>
      </c>
      <c r="Z30" s="780">
        <f t="shared" si="40"/>
        <v>0</v>
      </c>
      <c r="AA30" s="785"/>
      <c r="AB30" s="785"/>
      <c r="AC30" s="170"/>
      <c r="AD30" s="781">
        <f t="shared" si="22"/>
        <v>0</v>
      </c>
      <c r="AE30" s="781">
        <f t="shared" si="23"/>
        <v>0</v>
      </c>
      <c r="AF30" s="781">
        <f t="shared" si="24"/>
        <v>0</v>
      </c>
      <c r="AG30" s="781">
        <f t="shared" si="25"/>
        <v>0</v>
      </c>
      <c r="AH30" s="781">
        <f t="shared" si="26"/>
        <v>0</v>
      </c>
      <c r="AI30" s="782">
        <f t="shared" si="27"/>
        <v>0</v>
      </c>
      <c r="AJ30" s="781">
        <f t="shared" si="28"/>
        <v>0</v>
      </c>
      <c r="AK30" s="781">
        <f t="shared" si="29"/>
        <v>0</v>
      </c>
      <c r="AL30" s="781">
        <f t="shared" si="30"/>
        <v>0</v>
      </c>
      <c r="AM30" s="781">
        <f t="shared" si="31"/>
        <v>0</v>
      </c>
      <c r="AN30" s="781">
        <f t="shared" si="32"/>
        <v>0</v>
      </c>
      <c r="AO30" s="781">
        <f t="shared" si="33"/>
        <v>0</v>
      </c>
      <c r="AP30" s="781">
        <f t="shared" si="34"/>
        <v>0</v>
      </c>
      <c r="AQ30" s="781">
        <f t="shared" si="35"/>
        <v>0</v>
      </c>
      <c r="AR30" s="781">
        <f t="shared" si="36"/>
        <v>0</v>
      </c>
      <c r="AS30" s="783">
        <f t="shared" si="37"/>
        <v>0</v>
      </c>
      <c r="AT30" s="790"/>
      <c r="AU30" s="170"/>
      <c r="AV30" s="170"/>
      <c r="AW30" s="837"/>
      <c r="AX30" s="838"/>
    </row>
    <row r="31" spans="1:50" ht="30" x14ac:dyDescent="0.25">
      <c r="A31" s="784"/>
      <c r="B31" s="719">
        <f t="shared" si="17"/>
        <v>23</v>
      </c>
      <c r="C31" s="170"/>
      <c r="D31" s="557"/>
      <c r="E31" s="170"/>
      <c r="F31" s="557">
        <v>90</v>
      </c>
      <c r="G31" s="936" t="s">
        <v>1174</v>
      </c>
      <c r="H31" s="847">
        <v>1</v>
      </c>
      <c r="I31" s="768" t="s">
        <v>732</v>
      </c>
      <c r="J31" s="768"/>
      <c r="K31" s="768"/>
      <c r="L31" s="170"/>
      <c r="M31" s="845">
        <v>40</v>
      </c>
      <c r="N31" s="846">
        <v>1</v>
      </c>
      <c r="O31" s="773">
        <f t="shared" si="38"/>
        <v>40</v>
      </c>
      <c r="P31" s="768" t="s">
        <v>604</v>
      </c>
      <c r="Q31" s="768" t="s">
        <v>604</v>
      </c>
      <c r="R31" s="2011" t="s">
        <v>2499</v>
      </c>
      <c r="S31" s="775">
        <f>SUMIF('Data Input sheet'!$B$118:$B$180,R31,'Data Input sheet'!$D$118:$D$180)</f>
        <v>57</v>
      </c>
      <c r="T31" s="776">
        <f t="shared" si="39"/>
        <v>2280</v>
      </c>
      <c r="U31" s="1992"/>
      <c r="V31" s="778">
        <f t="shared" si="18"/>
        <v>0</v>
      </c>
      <c r="W31" s="772">
        <v>0</v>
      </c>
      <c r="X31" s="779"/>
      <c r="Y31" s="776">
        <v>48000</v>
      </c>
      <c r="Z31" s="780">
        <f t="shared" si="40"/>
        <v>50280</v>
      </c>
      <c r="AA31" s="2791" t="s">
        <v>3741</v>
      </c>
      <c r="AB31" s="785"/>
      <c r="AC31" s="170"/>
      <c r="AD31" s="781">
        <f t="shared" si="22"/>
        <v>40</v>
      </c>
      <c r="AE31" s="781">
        <f t="shared" si="23"/>
        <v>0</v>
      </c>
      <c r="AF31" s="781">
        <f t="shared" si="24"/>
        <v>40</v>
      </c>
      <c r="AG31" s="781">
        <f t="shared" si="25"/>
        <v>2280</v>
      </c>
      <c r="AH31" s="781">
        <f t="shared" si="26"/>
        <v>0</v>
      </c>
      <c r="AI31" s="782">
        <f t="shared" si="27"/>
        <v>2280</v>
      </c>
      <c r="AJ31" s="781">
        <f t="shared" si="28"/>
        <v>0</v>
      </c>
      <c r="AK31" s="781">
        <f t="shared" si="29"/>
        <v>0</v>
      </c>
      <c r="AL31" s="781">
        <f t="shared" si="30"/>
        <v>0</v>
      </c>
      <c r="AM31" s="781">
        <f t="shared" si="31"/>
        <v>0</v>
      </c>
      <c r="AN31" s="781">
        <f t="shared" si="32"/>
        <v>0</v>
      </c>
      <c r="AO31" s="781">
        <f t="shared" si="33"/>
        <v>0</v>
      </c>
      <c r="AP31" s="781">
        <f t="shared" si="34"/>
        <v>48000</v>
      </c>
      <c r="AQ31" s="781">
        <f t="shared" si="35"/>
        <v>0</v>
      </c>
      <c r="AR31" s="781">
        <f t="shared" si="36"/>
        <v>48000</v>
      </c>
      <c r="AS31" s="783">
        <f t="shared" si="37"/>
        <v>50280</v>
      </c>
      <c r="AT31" s="790"/>
      <c r="AU31" s="170"/>
      <c r="AV31" s="170"/>
      <c r="AW31" s="837"/>
      <c r="AX31" s="838"/>
    </row>
    <row r="32" spans="1:50" ht="15" x14ac:dyDescent="0.25">
      <c r="A32" s="784"/>
      <c r="B32" s="719">
        <f>B41+1</f>
        <v>25</v>
      </c>
      <c r="C32" s="170"/>
      <c r="D32" s="557"/>
      <c r="E32" s="170"/>
      <c r="F32" s="557">
        <v>90</v>
      </c>
      <c r="G32" s="936" t="s">
        <v>1176</v>
      </c>
      <c r="H32" s="847">
        <v>0</v>
      </c>
      <c r="I32" s="768" t="s">
        <v>732</v>
      </c>
      <c r="J32" s="768"/>
      <c r="K32" s="768"/>
      <c r="L32" s="170"/>
      <c r="M32" s="845">
        <v>0</v>
      </c>
      <c r="N32" s="846">
        <v>1</v>
      </c>
      <c r="O32" s="773">
        <f t="shared" si="38"/>
        <v>0</v>
      </c>
      <c r="P32" s="768" t="s">
        <v>604</v>
      </c>
      <c r="Q32" s="768" t="s">
        <v>604</v>
      </c>
      <c r="R32" s="2011" t="s">
        <v>2498</v>
      </c>
      <c r="S32" s="775">
        <f>SUMIF('Data Input sheet'!$B$118:$B$180,R32,'Data Input sheet'!$D$118:$D$180)</f>
        <v>57</v>
      </c>
      <c r="T32" s="776">
        <f t="shared" si="39"/>
        <v>0</v>
      </c>
      <c r="U32" s="1992"/>
      <c r="V32" s="778">
        <f t="shared" si="18"/>
        <v>0</v>
      </c>
      <c r="W32" s="772">
        <v>0</v>
      </c>
      <c r="X32" s="779"/>
      <c r="Y32" s="776">
        <v>0</v>
      </c>
      <c r="Z32" s="780">
        <f t="shared" si="40"/>
        <v>0</v>
      </c>
      <c r="AA32" s="785"/>
      <c r="AB32" s="785"/>
      <c r="AC32" s="170"/>
      <c r="AD32" s="781">
        <f t="shared" si="22"/>
        <v>0</v>
      </c>
      <c r="AE32" s="781">
        <f t="shared" si="23"/>
        <v>0</v>
      </c>
      <c r="AF32" s="781">
        <f t="shared" si="24"/>
        <v>0</v>
      </c>
      <c r="AG32" s="781">
        <f t="shared" si="25"/>
        <v>0</v>
      </c>
      <c r="AH32" s="781">
        <f t="shared" si="26"/>
        <v>0</v>
      </c>
      <c r="AI32" s="782">
        <f t="shared" si="27"/>
        <v>0</v>
      </c>
      <c r="AJ32" s="781">
        <f t="shared" si="28"/>
        <v>0</v>
      </c>
      <c r="AK32" s="781">
        <f t="shared" si="29"/>
        <v>0</v>
      </c>
      <c r="AL32" s="781">
        <f t="shared" si="30"/>
        <v>0</v>
      </c>
      <c r="AM32" s="781">
        <f t="shared" si="31"/>
        <v>0</v>
      </c>
      <c r="AN32" s="781">
        <f t="shared" si="32"/>
        <v>0</v>
      </c>
      <c r="AO32" s="781">
        <f t="shared" si="33"/>
        <v>0</v>
      </c>
      <c r="AP32" s="781">
        <f t="shared" si="34"/>
        <v>0</v>
      </c>
      <c r="AQ32" s="781">
        <f t="shared" si="35"/>
        <v>0</v>
      </c>
      <c r="AR32" s="781">
        <f t="shared" si="36"/>
        <v>0</v>
      </c>
      <c r="AS32" s="783">
        <f t="shared" si="37"/>
        <v>0</v>
      </c>
      <c r="AT32" s="790"/>
      <c r="AU32" s="170"/>
      <c r="AV32" s="170"/>
      <c r="AW32" s="837"/>
      <c r="AX32" s="838"/>
    </row>
    <row r="33" spans="1:50" ht="45" x14ac:dyDescent="0.25">
      <c r="A33" s="784"/>
      <c r="B33" s="719">
        <f t="shared" si="17"/>
        <v>26</v>
      </c>
      <c r="C33" s="170"/>
      <c r="D33" s="557"/>
      <c r="E33" s="170"/>
      <c r="F33" s="557">
        <v>90</v>
      </c>
      <c r="G33" s="936" t="s">
        <v>1960</v>
      </c>
      <c r="H33" s="847">
        <v>0</v>
      </c>
      <c r="I33" s="768" t="s">
        <v>732</v>
      </c>
      <c r="J33" s="768"/>
      <c r="K33" s="768"/>
      <c r="L33" s="170"/>
      <c r="M33" s="845">
        <v>4</v>
      </c>
      <c r="N33" s="846">
        <v>1</v>
      </c>
      <c r="O33" s="773">
        <f t="shared" si="38"/>
        <v>4</v>
      </c>
      <c r="P33" s="768" t="s">
        <v>604</v>
      </c>
      <c r="Q33" s="768" t="s">
        <v>604</v>
      </c>
      <c r="R33" s="2011" t="s">
        <v>2498</v>
      </c>
      <c r="S33" s="775">
        <f>SUMIF('Data Input sheet'!$B$118:$B$180,R33,'Data Input sheet'!$D$118:$D$180)</f>
        <v>57</v>
      </c>
      <c r="T33" s="776">
        <f t="shared" si="39"/>
        <v>228</v>
      </c>
      <c r="U33" s="1992"/>
      <c r="V33" s="778">
        <f t="shared" si="18"/>
        <v>0</v>
      </c>
      <c r="W33" s="772">
        <v>0</v>
      </c>
      <c r="X33" s="779"/>
      <c r="Y33" s="776">
        <v>0</v>
      </c>
      <c r="Z33" s="780">
        <f t="shared" si="40"/>
        <v>228</v>
      </c>
      <c r="AA33" s="785" t="s">
        <v>1959</v>
      </c>
      <c r="AB33" s="785"/>
      <c r="AC33" s="170"/>
      <c r="AD33" s="781">
        <f t="shared" si="22"/>
        <v>0</v>
      </c>
      <c r="AE33" s="781">
        <f t="shared" si="23"/>
        <v>0</v>
      </c>
      <c r="AF33" s="781">
        <f t="shared" si="24"/>
        <v>0</v>
      </c>
      <c r="AG33" s="781">
        <f t="shared" si="25"/>
        <v>0</v>
      </c>
      <c r="AH33" s="781">
        <f t="shared" si="26"/>
        <v>0</v>
      </c>
      <c r="AI33" s="782">
        <f t="shared" si="27"/>
        <v>0</v>
      </c>
      <c r="AJ33" s="781">
        <f t="shared" si="28"/>
        <v>0</v>
      </c>
      <c r="AK33" s="781">
        <f t="shared" si="29"/>
        <v>0</v>
      </c>
      <c r="AL33" s="781">
        <f t="shared" si="30"/>
        <v>0</v>
      </c>
      <c r="AM33" s="781">
        <f t="shared" si="31"/>
        <v>0</v>
      </c>
      <c r="AN33" s="781">
        <f t="shared" si="32"/>
        <v>0</v>
      </c>
      <c r="AO33" s="781">
        <f t="shared" si="33"/>
        <v>0</v>
      </c>
      <c r="AP33" s="781">
        <f t="shared" si="34"/>
        <v>0</v>
      </c>
      <c r="AQ33" s="781">
        <f t="shared" si="35"/>
        <v>0</v>
      </c>
      <c r="AR33" s="781">
        <f t="shared" si="36"/>
        <v>0</v>
      </c>
      <c r="AS33" s="783">
        <f t="shared" si="37"/>
        <v>0</v>
      </c>
      <c r="AT33" s="790"/>
      <c r="AU33" s="170"/>
      <c r="AV33" s="170"/>
      <c r="AW33" s="837"/>
      <c r="AX33" s="838"/>
    </row>
    <row r="34" spans="1:50" ht="15" x14ac:dyDescent="0.25">
      <c r="A34" s="784"/>
      <c r="B34" s="719">
        <f t="shared" si="17"/>
        <v>27</v>
      </c>
      <c r="C34" s="170"/>
      <c r="D34" s="557"/>
      <c r="E34" s="170"/>
      <c r="F34" s="557">
        <v>90</v>
      </c>
      <c r="G34" s="936" t="s">
        <v>1177</v>
      </c>
      <c r="H34" s="847">
        <v>0</v>
      </c>
      <c r="I34" s="768" t="s">
        <v>732</v>
      </c>
      <c r="J34" s="768"/>
      <c r="K34" s="768"/>
      <c r="L34" s="170"/>
      <c r="M34" s="845">
        <v>0</v>
      </c>
      <c r="N34" s="846">
        <v>1</v>
      </c>
      <c r="O34" s="773">
        <f t="shared" si="38"/>
        <v>0</v>
      </c>
      <c r="P34" s="768" t="s">
        <v>604</v>
      </c>
      <c r="Q34" s="768" t="s">
        <v>604</v>
      </c>
      <c r="R34" s="2011" t="s">
        <v>2498</v>
      </c>
      <c r="S34" s="775">
        <f>SUMIF('Data Input sheet'!$B$118:$B$180,R34,'Data Input sheet'!$D$118:$D$180)</f>
        <v>57</v>
      </c>
      <c r="T34" s="776">
        <f t="shared" si="39"/>
        <v>0</v>
      </c>
      <c r="U34" s="1992"/>
      <c r="V34" s="778">
        <f t="shared" si="18"/>
        <v>0</v>
      </c>
      <c r="W34" s="772">
        <v>0</v>
      </c>
      <c r="X34" s="779"/>
      <c r="Y34" s="776">
        <v>0</v>
      </c>
      <c r="Z34" s="780">
        <f t="shared" si="40"/>
        <v>0</v>
      </c>
      <c r="AA34" s="785"/>
      <c r="AB34" s="785"/>
      <c r="AC34" s="170"/>
      <c r="AD34" s="781">
        <f t="shared" si="22"/>
        <v>0</v>
      </c>
      <c r="AE34" s="781">
        <f t="shared" si="23"/>
        <v>0</v>
      </c>
      <c r="AF34" s="781">
        <f t="shared" si="24"/>
        <v>0</v>
      </c>
      <c r="AG34" s="781">
        <f t="shared" si="25"/>
        <v>0</v>
      </c>
      <c r="AH34" s="781">
        <f t="shared" si="26"/>
        <v>0</v>
      </c>
      <c r="AI34" s="782">
        <f t="shared" si="27"/>
        <v>0</v>
      </c>
      <c r="AJ34" s="781">
        <f t="shared" si="28"/>
        <v>0</v>
      </c>
      <c r="AK34" s="781">
        <f t="shared" si="29"/>
        <v>0</v>
      </c>
      <c r="AL34" s="781">
        <f t="shared" si="30"/>
        <v>0</v>
      </c>
      <c r="AM34" s="781">
        <f t="shared" si="31"/>
        <v>0</v>
      </c>
      <c r="AN34" s="781">
        <f t="shared" si="32"/>
        <v>0</v>
      </c>
      <c r="AO34" s="781">
        <f t="shared" si="33"/>
        <v>0</v>
      </c>
      <c r="AP34" s="781">
        <f t="shared" si="34"/>
        <v>0</v>
      </c>
      <c r="AQ34" s="781">
        <f t="shared" si="35"/>
        <v>0</v>
      </c>
      <c r="AR34" s="781">
        <f t="shared" si="36"/>
        <v>0</v>
      </c>
      <c r="AS34" s="783">
        <f t="shared" si="37"/>
        <v>0</v>
      </c>
      <c r="AT34" s="790"/>
      <c r="AU34" s="170"/>
      <c r="AV34" s="170"/>
      <c r="AW34" s="837"/>
      <c r="AX34" s="838"/>
    </row>
    <row r="35" spans="1:50" ht="15" x14ac:dyDescent="0.25">
      <c r="A35" s="784"/>
      <c r="B35" s="719">
        <f t="shared" si="17"/>
        <v>28</v>
      </c>
      <c r="C35" s="170"/>
      <c r="D35" s="557"/>
      <c r="E35" s="170"/>
      <c r="F35" s="557">
        <v>90</v>
      </c>
      <c r="G35" s="936" t="s">
        <v>1178</v>
      </c>
      <c r="H35" s="847">
        <v>0</v>
      </c>
      <c r="I35" s="768" t="s">
        <v>732</v>
      </c>
      <c r="J35" s="768"/>
      <c r="K35" s="768"/>
      <c r="L35" s="170"/>
      <c r="M35" s="845">
        <v>0</v>
      </c>
      <c r="N35" s="846">
        <v>1</v>
      </c>
      <c r="O35" s="773">
        <f t="shared" si="38"/>
        <v>0</v>
      </c>
      <c r="P35" s="768" t="s">
        <v>604</v>
      </c>
      <c r="Q35" s="768" t="s">
        <v>604</v>
      </c>
      <c r="R35" s="2011" t="s">
        <v>2498</v>
      </c>
      <c r="S35" s="775">
        <f>SUMIF('Data Input sheet'!$B$118:$B$180,R35,'Data Input sheet'!$D$118:$D$180)</f>
        <v>57</v>
      </c>
      <c r="T35" s="776">
        <f t="shared" si="39"/>
        <v>0</v>
      </c>
      <c r="U35" s="1992"/>
      <c r="V35" s="778">
        <f t="shared" si="18"/>
        <v>0</v>
      </c>
      <c r="W35" s="772">
        <v>0</v>
      </c>
      <c r="X35" s="779"/>
      <c r="Y35" s="776">
        <v>0</v>
      </c>
      <c r="Z35" s="780">
        <f t="shared" si="40"/>
        <v>0</v>
      </c>
      <c r="AA35" s="785"/>
      <c r="AB35" s="785"/>
      <c r="AC35" s="170"/>
      <c r="AD35" s="781">
        <f t="shared" si="22"/>
        <v>0</v>
      </c>
      <c r="AE35" s="781">
        <f t="shared" si="23"/>
        <v>0</v>
      </c>
      <c r="AF35" s="781">
        <f t="shared" si="24"/>
        <v>0</v>
      </c>
      <c r="AG35" s="781">
        <f t="shared" si="25"/>
        <v>0</v>
      </c>
      <c r="AH35" s="781">
        <f t="shared" si="26"/>
        <v>0</v>
      </c>
      <c r="AI35" s="782">
        <f t="shared" si="27"/>
        <v>0</v>
      </c>
      <c r="AJ35" s="781">
        <f t="shared" si="28"/>
        <v>0</v>
      </c>
      <c r="AK35" s="781">
        <f t="shared" si="29"/>
        <v>0</v>
      </c>
      <c r="AL35" s="781">
        <f t="shared" si="30"/>
        <v>0</v>
      </c>
      <c r="AM35" s="781">
        <f t="shared" si="31"/>
        <v>0</v>
      </c>
      <c r="AN35" s="781">
        <f t="shared" si="32"/>
        <v>0</v>
      </c>
      <c r="AO35" s="781">
        <f t="shared" si="33"/>
        <v>0</v>
      </c>
      <c r="AP35" s="781">
        <f t="shared" si="34"/>
        <v>0</v>
      </c>
      <c r="AQ35" s="781">
        <f t="shared" si="35"/>
        <v>0</v>
      </c>
      <c r="AR35" s="781">
        <f t="shared" si="36"/>
        <v>0</v>
      </c>
      <c r="AS35" s="783">
        <f t="shared" si="37"/>
        <v>0</v>
      </c>
      <c r="AT35" s="790"/>
      <c r="AU35" s="170"/>
      <c r="AV35" s="170"/>
      <c r="AW35" s="837"/>
      <c r="AX35" s="838"/>
    </row>
    <row r="36" spans="1:50" ht="15" x14ac:dyDescent="0.25">
      <c r="A36" s="784"/>
      <c r="B36" s="719">
        <f t="shared" si="17"/>
        <v>29</v>
      </c>
      <c r="C36" s="170"/>
      <c r="D36" s="557"/>
      <c r="E36" s="170"/>
      <c r="F36" s="557"/>
      <c r="G36" s="936"/>
      <c r="H36" s="847"/>
      <c r="I36" s="768"/>
      <c r="J36" s="768"/>
      <c r="K36" s="768"/>
      <c r="L36" s="170"/>
      <c r="M36" s="845">
        <v>0</v>
      </c>
      <c r="N36" s="846">
        <v>1</v>
      </c>
      <c r="O36" s="773">
        <f t="shared" si="38"/>
        <v>0</v>
      </c>
      <c r="P36" s="768" t="s">
        <v>39</v>
      </c>
      <c r="Q36" s="768" t="s">
        <v>39</v>
      </c>
      <c r="R36" s="2011" t="s">
        <v>75</v>
      </c>
      <c r="S36" s="775">
        <f>SUMIF('Data Input sheet'!$B$118:$B$180,R36,'Data Input sheet'!$D$118:$D$180)</f>
        <v>152</v>
      </c>
      <c r="T36" s="776">
        <f t="shared" si="39"/>
        <v>0</v>
      </c>
      <c r="U36" s="1992">
        <v>15.2</v>
      </c>
      <c r="V36" s="778">
        <f t="shared" si="18"/>
        <v>0</v>
      </c>
      <c r="W36" s="772">
        <v>0</v>
      </c>
      <c r="X36" s="779"/>
      <c r="Y36" s="776">
        <v>0</v>
      </c>
      <c r="Z36" s="780">
        <f t="shared" si="40"/>
        <v>0</v>
      </c>
      <c r="AA36" s="785"/>
      <c r="AB36" s="785"/>
      <c r="AC36" s="170"/>
      <c r="AD36" s="781">
        <f t="shared" si="22"/>
        <v>0</v>
      </c>
      <c r="AE36" s="781">
        <f t="shared" si="23"/>
        <v>0</v>
      </c>
      <c r="AF36" s="781">
        <f t="shared" si="24"/>
        <v>0</v>
      </c>
      <c r="AG36" s="781">
        <f t="shared" si="25"/>
        <v>0</v>
      </c>
      <c r="AH36" s="781">
        <f t="shared" si="26"/>
        <v>0</v>
      </c>
      <c r="AI36" s="782">
        <f t="shared" si="27"/>
        <v>0</v>
      </c>
      <c r="AJ36" s="781">
        <f t="shared" si="28"/>
        <v>0</v>
      </c>
      <c r="AK36" s="781">
        <f t="shared" si="29"/>
        <v>0</v>
      </c>
      <c r="AL36" s="781">
        <f t="shared" si="30"/>
        <v>0</v>
      </c>
      <c r="AM36" s="781">
        <f t="shared" si="31"/>
        <v>0</v>
      </c>
      <c r="AN36" s="781">
        <f t="shared" si="32"/>
        <v>0</v>
      </c>
      <c r="AO36" s="781">
        <f t="shared" si="33"/>
        <v>0</v>
      </c>
      <c r="AP36" s="781">
        <f t="shared" si="34"/>
        <v>0</v>
      </c>
      <c r="AQ36" s="781">
        <f t="shared" si="35"/>
        <v>0</v>
      </c>
      <c r="AR36" s="781">
        <f t="shared" si="36"/>
        <v>0</v>
      </c>
      <c r="AS36" s="783">
        <f t="shared" si="37"/>
        <v>0</v>
      </c>
      <c r="AT36" s="790"/>
      <c r="AU36" s="170"/>
      <c r="AV36" s="170"/>
      <c r="AW36" s="837"/>
      <c r="AX36" s="838"/>
    </row>
    <row r="37" spans="1:50" ht="15" x14ac:dyDescent="0.25">
      <c r="A37" s="784"/>
      <c r="B37" s="719">
        <f t="shared" si="17"/>
        <v>30</v>
      </c>
      <c r="C37" s="170"/>
      <c r="D37" s="557"/>
      <c r="E37" s="170"/>
      <c r="F37" s="557">
        <v>90</v>
      </c>
      <c r="G37" s="938" t="s">
        <v>1179</v>
      </c>
      <c r="H37" s="847">
        <v>1</v>
      </c>
      <c r="I37" s="768" t="s">
        <v>732</v>
      </c>
      <c r="J37" s="768"/>
      <c r="K37" s="768"/>
      <c r="L37" s="170"/>
      <c r="M37" s="845">
        <v>120</v>
      </c>
      <c r="N37" s="846">
        <v>1</v>
      </c>
      <c r="O37" s="773">
        <f t="shared" si="38"/>
        <v>120</v>
      </c>
      <c r="P37" s="768" t="s">
        <v>39</v>
      </c>
      <c r="Q37" s="768" t="s">
        <v>39</v>
      </c>
      <c r="R37" s="2011" t="s">
        <v>75</v>
      </c>
      <c r="S37" s="775">
        <f>SUMIF('Data Input sheet'!$B$118:$B$180,R37,'Data Input sheet'!$D$118:$D$180)</f>
        <v>152</v>
      </c>
      <c r="T37" s="776">
        <f t="shared" si="39"/>
        <v>18240</v>
      </c>
      <c r="U37" s="1992">
        <v>15.2</v>
      </c>
      <c r="V37" s="778">
        <f t="shared" si="18"/>
        <v>1824</v>
      </c>
      <c r="W37" s="772">
        <v>500</v>
      </c>
      <c r="X37" s="779"/>
      <c r="Y37" s="776">
        <v>0</v>
      </c>
      <c r="Z37" s="780">
        <f t="shared" si="40"/>
        <v>20564</v>
      </c>
      <c r="AA37" s="785"/>
      <c r="AB37" s="785"/>
      <c r="AC37" s="170"/>
      <c r="AD37" s="781">
        <f t="shared" si="22"/>
        <v>0</v>
      </c>
      <c r="AE37" s="781">
        <f t="shared" si="23"/>
        <v>120</v>
      </c>
      <c r="AF37" s="781">
        <f t="shared" si="24"/>
        <v>120</v>
      </c>
      <c r="AG37" s="781">
        <f t="shared" si="25"/>
        <v>0</v>
      </c>
      <c r="AH37" s="781">
        <f t="shared" si="26"/>
        <v>18240</v>
      </c>
      <c r="AI37" s="782">
        <f t="shared" si="27"/>
        <v>18240</v>
      </c>
      <c r="AJ37" s="781">
        <f t="shared" si="28"/>
        <v>0</v>
      </c>
      <c r="AK37" s="781">
        <f t="shared" si="29"/>
        <v>1824</v>
      </c>
      <c r="AL37" s="781">
        <f t="shared" si="30"/>
        <v>1824</v>
      </c>
      <c r="AM37" s="781">
        <f t="shared" si="31"/>
        <v>0</v>
      </c>
      <c r="AN37" s="781">
        <f t="shared" si="32"/>
        <v>500</v>
      </c>
      <c r="AO37" s="781">
        <f t="shared" si="33"/>
        <v>500</v>
      </c>
      <c r="AP37" s="781">
        <f t="shared" si="34"/>
        <v>0</v>
      </c>
      <c r="AQ37" s="781">
        <f t="shared" si="35"/>
        <v>0</v>
      </c>
      <c r="AR37" s="781">
        <f t="shared" si="36"/>
        <v>0</v>
      </c>
      <c r="AS37" s="783">
        <f t="shared" si="37"/>
        <v>20564</v>
      </c>
      <c r="AT37" s="790"/>
      <c r="AU37" s="170"/>
      <c r="AV37" s="170"/>
      <c r="AW37" s="837"/>
      <c r="AX37" s="838"/>
    </row>
    <row r="38" spans="1:50" ht="15" x14ac:dyDescent="0.25">
      <c r="A38" s="784"/>
      <c r="B38" s="719">
        <f t="shared" si="17"/>
        <v>31</v>
      </c>
      <c r="C38" s="170"/>
      <c r="D38" s="557"/>
      <c r="E38" s="170"/>
      <c r="F38" s="557">
        <v>90</v>
      </c>
      <c r="G38" s="938" t="s">
        <v>1180</v>
      </c>
      <c r="H38" s="847">
        <v>1</v>
      </c>
      <c r="I38" s="768" t="s">
        <v>732</v>
      </c>
      <c r="J38" s="768"/>
      <c r="K38" s="768"/>
      <c r="L38" s="170"/>
      <c r="M38" s="845">
        <v>80</v>
      </c>
      <c r="N38" s="846">
        <v>1</v>
      </c>
      <c r="O38" s="773">
        <f t="shared" si="38"/>
        <v>80</v>
      </c>
      <c r="P38" s="768" t="s">
        <v>39</v>
      </c>
      <c r="Q38" s="768" t="s">
        <v>39</v>
      </c>
      <c r="R38" s="2011" t="s">
        <v>75</v>
      </c>
      <c r="S38" s="775">
        <f>SUMIF('Data Input sheet'!$B$118:$B$180,R38,'Data Input sheet'!$D$118:$D$180)</f>
        <v>152</v>
      </c>
      <c r="T38" s="776">
        <f t="shared" si="39"/>
        <v>12160</v>
      </c>
      <c r="U38" s="1992">
        <v>15.2</v>
      </c>
      <c r="V38" s="778">
        <f t="shared" si="18"/>
        <v>1216</v>
      </c>
      <c r="W38" s="772">
        <v>500</v>
      </c>
      <c r="X38" s="779"/>
      <c r="Y38" s="776">
        <v>0</v>
      </c>
      <c r="Z38" s="780">
        <f t="shared" si="40"/>
        <v>13876</v>
      </c>
      <c r="AA38" s="785"/>
      <c r="AB38" s="785"/>
      <c r="AC38" s="170"/>
      <c r="AD38" s="781">
        <f t="shared" si="22"/>
        <v>0</v>
      </c>
      <c r="AE38" s="781">
        <f t="shared" si="23"/>
        <v>80</v>
      </c>
      <c r="AF38" s="781">
        <f t="shared" si="24"/>
        <v>80</v>
      </c>
      <c r="AG38" s="781">
        <f t="shared" si="25"/>
        <v>0</v>
      </c>
      <c r="AH38" s="781">
        <f t="shared" si="26"/>
        <v>12160</v>
      </c>
      <c r="AI38" s="782">
        <f t="shared" si="27"/>
        <v>12160</v>
      </c>
      <c r="AJ38" s="781">
        <f t="shared" si="28"/>
        <v>0</v>
      </c>
      <c r="AK38" s="781">
        <f t="shared" si="29"/>
        <v>1216</v>
      </c>
      <c r="AL38" s="781">
        <f t="shared" si="30"/>
        <v>1216</v>
      </c>
      <c r="AM38" s="781">
        <f t="shared" si="31"/>
        <v>0</v>
      </c>
      <c r="AN38" s="781">
        <f t="shared" si="32"/>
        <v>500</v>
      </c>
      <c r="AO38" s="781">
        <f t="shared" si="33"/>
        <v>500</v>
      </c>
      <c r="AP38" s="781">
        <f t="shared" si="34"/>
        <v>0</v>
      </c>
      <c r="AQ38" s="781">
        <f t="shared" si="35"/>
        <v>0</v>
      </c>
      <c r="AR38" s="781">
        <f t="shared" si="36"/>
        <v>0</v>
      </c>
      <c r="AS38" s="783">
        <f t="shared" si="37"/>
        <v>13876</v>
      </c>
      <c r="AT38" s="790"/>
      <c r="AU38" s="170"/>
      <c r="AV38" s="170"/>
      <c r="AW38" s="837"/>
      <c r="AX38" s="838"/>
    </row>
    <row r="39" spans="1:50" ht="15" x14ac:dyDescent="0.25">
      <c r="A39" s="784"/>
      <c r="B39" s="719">
        <f t="shared" si="17"/>
        <v>32</v>
      </c>
      <c r="C39" s="170"/>
      <c r="D39" s="557"/>
      <c r="E39" s="170"/>
      <c r="F39" s="557">
        <v>90</v>
      </c>
      <c r="G39" s="938" t="s">
        <v>1181</v>
      </c>
      <c r="H39" s="847">
        <v>1</v>
      </c>
      <c r="I39" s="768" t="s">
        <v>732</v>
      </c>
      <c r="J39" s="768"/>
      <c r="K39" s="768"/>
      <c r="L39" s="170"/>
      <c r="M39" s="845">
        <v>24</v>
      </c>
      <c r="N39" s="846">
        <v>1</v>
      </c>
      <c r="O39" s="773">
        <f t="shared" si="38"/>
        <v>24</v>
      </c>
      <c r="P39" s="768" t="s">
        <v>39</v>
      </c>
      <c r="Q39" s="768" t="s">
        <v>39</v>
      </c>
      <c r="R39" s="2011" t="s">
        <v>75</v>
      </c>
      <c r="S39" s="775">
        <f>SUMIF('Data Input sheet'!$B$118:$B$180,R39,'Data Input sheet'!$D$118:$D$180)</f>
        <v>152</v>
      </c>
      <c r="T39" s="776">
        <f t="shared" si="39"/>
        <v>3648</v>
      </c>
      <c r="U39" s="1992">
        <v>15.2</v>
      </c>
      <c r="V39" s="778">
        <f t="shared" si="18"/>
        <v>365</v>
      </c>
      <c r="W39" s="772">
        <v>500</v>
      </c>
      <c r="X39" s="779"/>
      <c r="Y39" s="776">
        <v>0</v>
      </c>
      <c r="Z39" s="780">
        <f t="shared" si="40"/>
        <v>4513</v>
      </c>
      <c r="AA39" s="785"/>
      <c r="AB39" s="785"/>
      <c r="AC39" s="170"/>
      <c r="AD39" s="781">
        <f t="shared" si="22"/>
        <v>0</v>
      </c>
      <c r="AE39" s="781">
        <f t="shared" si="23"/>
        <v>24</v>
      </c>
      <c r="AF39" s="781">
        <f t="shared" si="24"/>
        <v>24</v>
      </c>
      <c r="AG39" s="781">
        <f t="shared" si="25"/>
        <v>0</v>
      </c>
      <c r="AH39" s="781">
        <f t="shared" si="26"/>
        <v>3648</v>
      </c>
      <c r="AI39" s="782">
        <f t="shared" si="27"/>
        <v>3648</v>
      </c>
      <c r="AJ39" s="781">
        <f t="shared" si="28"/>
        <v>0</v>
      </c>
      <c r="AK39" s="781">
        <f t="shared" si="29"/>
        <v>365</v>
      </c>
      <c r="AL39" s="781">
        <f t="shared" si="30"/>
        <v>365</v>
      </c>
      <c r="AM39" s="781">
        <f t="shared" si="31"/>
        <v>0</v>
      </c>
      <c r="AN39" s="781">
        <f t="shared" si="32"/>
        <v>500</v>
      </c>
      <c r="AO39" s="781">
        <f t="shared" si="33"/>
        <v>500</v>
      </c>
      <c r="AP39" s="781">
        <f t="shared" si="34"/>
        <v>0</v>
      </c>
      <c r="AQ39" s="781">
        <f t="shared" si="35"/>
        <v>0</v>
      </c>
      <c r="AR39" s="781">
        <f t="shared" si="36"/>
        <v>0</v>
      </c>
      <c r="AS39" s="783">
        <f t="shared" si="37"/>
        <v>4513</v>
      </c>
      <c r="AT39" s="790"/>
      <c r="AU39" s="170"/>
      <c r="AV39" s="170"/>
      <c r="AW39" s="837"/>
      <c r="AX39" s="838"/>
    </row>
    <row r="40" spans="1:50" ht="15" x14ac:dyDescent="0.25">
      <c r="A40" s="784"/>
      <c r="B40" s="719">
        <f>B39+1</f>
        <v>33</v>
      </c>
      <c r="C40" s="170"/>
      <c r="D40" s="557"/>
      <c r="E40" s="170"/>
      <c r="F40" s="557"/>
      <c r="G40" s="938" t="s">
        <v>3739</v>
      </c>
      <c r="H40" s="847">
        <v>1</v>
      </c>
      <c r="I40" s="768"/>
      <c r="J40" s="768"/>
      <c r="K40" s="768"/>
      <c r="L40" s="170"/>
      <c r="M40" s="845">
        <v>80</v>
      </c>
      <c r="N40" s="846">
        <v>1</v>
      </c>
      <c r="O40" s="773">
        <f t="shared" si="38"/>
        <v>80</v>
      </c>
      <c r="P40" s="768" t="s">
        <v>604</v>
      </c>
      <c r="Q40" s="768" t="s">
        <v>604</v>
      </c>
      <c r="R40" s="2011" t="s">
        <v>2499</v>
      </c>
      <c r="S40" s="775">
        <f>SUMIF('Data Input sheet'!$B$118:$B$180,R40,'Data Input sheet'!$D$118:$D$180)</f>
        <v>57</v>
      </c>
      <c r="T40" s="776">
        <f t="shared" si="39"/>
        <v>4560</v>
      </c>
      <c r="U40" s="1992"/>
      <c r="V40" s="778">
        <f t="shared" si="18"/>
        <v>0</v>
      </c>
      <c r="W40" s="772">
        <v>0</v>
      </c>
      <c r="X40" s="779"/>
      <c r="Y40" s="776">
        <v>0</v>
      </c>
      <c r="Z40" s="780">
        <f t="shared" si="40"/>
        <v>4560</v>
      </c>
      <c r="AA40" s="785"/>
      <c r="AB40" s="785"/>
      <c r="AC40" s="170"/>
      <c r="AD40" s="781">
        <f t="shared" si="22"/>
        <v>80</v>
      </c>
      <c r="AE40" s="781">
        <f t="shared" si="23"/>
        <v>0</v>
      </c>
      <c r="AF40" s="781">
        <f t="shared" si="24"/>
        <v>80</v>
      </c>
      <c r="AG40" s="781">
        <f t="shared" si="25"/>
        <v>4560</v>
      </c>
      <c r="AH40" s="781">
        <f t="shared" si="26"/>
        <v>0</v>
      </c>
      <c r="AI40" s="782">
        <f t="shared" si="27"/>
        <v>4560</v>
      </c>
      <c r="AJ40" s="781">
        <f t="shared" si="28"/>
        <v>0</v>
      </c>
      <c r="AK40" s="781">
        <f t="shared" si="29"/>
        <v>0</v>
      </c>
      <c r="AL40" s="781">
        <f t="shared" si="30"/>
        <v>0</v>
      </c>
      <c r="AM40" s="781">
        <f t="shared" si="31"/>
        <v>0</v>
      </c>
      <c r="AN40" s="781">
        <f t="shared" si="32"/>
        <v>0</v>
      </c>
      <c r="AO40" s="781">
        <f t="shared" si="33"/>
        <v>0</v>
      </c>
      <c r="AP40" s="781">
        <f t="shared" si="34"/>
        <v>0</v>
      </c>
      <c r="AQ40" s="781">
        <f t="shared" si="35"/>
        <v>0</v>
      </c>
      <c r="AR40" s="781">
        <f t="shared" si="36"/>
        <v>0</v>
      </c>
      <c r="AS40" s="783">
        <f t="shared" si="37"/>
        <v>4560</v>
      </c>
      <c r="AT40" s="790"/>
      <c r="AU40" s="170"/>
      <c r="AV40" s="170"/>
      <c r="AW40" s="837"/>
      <c r="AX40" s="838"/>
    </row>
    <row r="41" spans="1:50" ht="15" x14ac:dyDescent="0.25">
      <c r="A41" s="784"/>
      <c r="B41" s="719">
        <f>B31+1</f>
        <v>24</v>
      </c>
      <c r="C41" s="170"/>
      <c r="D41" s="557"/>
      <c r="E41" s="170"/>
      <c r="F41" s="557">
        <v>90</v>
      </c>
      <c r="G41" s="936" t="s">
        <v>1175</v>
      </c>
      <c r="H41" s="847">
        <v>0</v>
      </c>
      <c r="I41" s="768" t="s">
        <v>732</v>
      </c>
      <c r="J41" s="768"/>
      <c r="K41" s="768"/>
      <c r="L41" s="170"/>
      <c r="M41" s="845">
        <v>0</v>
      </c>
      <c r="N41" s="846">
        <v>1</v>
      </c>
      <c r="O41" s="773">
        <f>+M41*N41</f>
        <v>0</v>
      </c>
      <c r="P41" s="768" t="s">
        <v>604</v>
      </c>
      <c r="Q41" s="768" t="s">
        <v>604</v>
      </c>
      <c r="R41" s="2011" t="s">
        <v>2498</v>
      </c>
      <c r="S41" s="775">
        <f>SUMIF('Data Input sheet'!$B$118:$B$180,R41,'Data Input sheet'!$D$118:$D$180)</f>
        <v>57</v>
      </c>
      <c r="T41" s="776">
        <f>+O41*S41</f>
        <v>0</v>
      </c>
      <c r="U41" s="1992"/>
      <c r="V41" s="778">
        <f>ROUND(U41*O41,0)</f>
        <v>0</v>
      </c>
      <c r="W41" s="772">
        <v>0</v>
      </c>
      <c r="X41" s="779"/>
      <c r="Y41" s="776">
        <v>0</v>
      </c>
      <c r="Z41" s="780">
        <f>T41+V41+W41+Y41</f>
        <v>0</v>
      </c>
      <c r="AA41" s="785"/>
      <c r="AB41" s="785"/>
      <c r="AC41" s="170"/>
      <c r="AD41" s="781">
        <f>IF(P41="E",+ROUND(H41*O41,0),0)</f>
        <v>0</v>
      </c>
      <c r="AE41" s="781">
        <f>+AF41-AD41</f>
        <v>0</v>
      </c>
      <c r="AF41" s="781">
        <f>+H41*O41</f>
        <v>0</v>
      </c>
      <c r="AG41" s="781">
        <f>IF(P41="E",+ROUND(T41*H41,0),0)</f>
        <v>0</v>
      </c>
      <c r="AH41" s="781">
        <f>+AI41-AG41</f>
        <v>0</v>
      </c>
      <c r="AI41" s="782">
        <f>+H41*T41</f>
        <v>0</v>
      </c>
      <c r="AJ41" s="781">
        <f>IF(P41="E",+ROUND(V41*H41,0),0)</f>
        <v>0</v>
      </c>
      <c r="AK41" s="781">
        <f>+AL41-AJ41</f>
        <v>0</v>
      </c>
      <c r="AL41" s="781">
        <f>ROUND(V41*H41,0)</f>
        <v>0</v>
      </c>
      <c r="AM41" s="781">
        <f>IF(Q41="E",+ROUND(W41*H41,0),0)</f>
        <v>0</v>
      </c>
      <c r="AN41" s="781">
        <f>+AO41-AM41</f>
        <v>0</v>
      </c>
      <c r="AO41" s="781">
        <f>ROUND(W41*H41,0)</f>
        <v>0</v>
      </c>
      <c r="AP41" s="781">
        <f>IF(P41="E",+ROUND(Y41*H41,0),0)</f>
        <v>0</v>
      </c>
      <c r="AQ41" s="781">
        <f>+AR41-AP41</f>
        <v>0</v>
      </c>
      <c r="AR41" s="781">
        <f>ROUND(Y41*H41,0)</f>
        <v>0</v>
      </c>
      <c r="AS41" s="783">
        <f>+AR41+AO41+AL41+AI41</f>
        <v>0</v>
      </c>
      <c r="AT41" s="790"/>
      <c r="AU41" s="170"/>
      <c r="AV41" s="170"/>
      <c r="AW41" s="837"/>
      <c r="AX41" s="838"/>
    </row>
    <row r="42" spans="1:50" ht="60" x14ac:dyDescent="0.25">
      <c r="A42" s="784"/>
      <c r="B42" s="719">
        <f>B40+1</f>
        <v>34</v>
      </c>
      <c r="C42" s="170"/>
      <c r="D42" s="557"/>
      <c r="E42" s="170"/>
      <c r="F42" s="557">
        <v>90</v>
      </c>
      <c r="G42" s="936" t="s">
        <v>2033</v>
      </c>
      <c r="H42" s="847"/>
      <c r="I42" s="768" t="s">
        <v>732</v>
      </c>
      <c r="J42" s="768"/>
      <c r="K42" s="768"/>
      <c r="L42" s="170"/>
      <c r="M42" s="845">
        <v>5</v>
      </c>
      <c r="N42" s="846">
        <v>2</v>
      </c>
      <c r="O42" s="773">
        <f t="shared" si="38"/>
        <v>10</v>
      </c>
      <c r="P42" s="768" t="s">
        <v>604</v>
      </c>
      <c r="Q42" s="768" t="s">
        <v>39</v>
      </c>
      <c r="R42" s="2011" t="s">
        <v>2498</v>
      </c>
      <c r="S42" s="775">
        <f>SUMIF('Data Input sheet'!$B$118:$B$180,R42,'Data Input sheet'!$D$118:$D$180)</f>
        <v>57</v>
      </c>
      <c r="T42" s="776">
        <f t="shared" si="39"/>
        <v>570</v>
      </c>
      <c r="U42" s="1992"/>
      <c r="V42" s="778">
        <f t="shared" si="18"/>
        <v>0</v>
      </c>
      <c r="W42" s="772">
        <v>0</v>
      </c>
      <c r="X42" s="779"/>
      <c r="Y42" s="776">
        <v>13</v>
      </c>
      <c r="Z42" s="780">
        <f t="shared" si="40"/>
        <v>583</v>
      </c>
      <c r="AA42" s="785" t="s">
        <v>2035</v>
      </c>
      <c r="AB42" s="785"/>
      <c r="AC42" s="170"/>
      <c r="AD42" s="781">
        <f t="shared" si="22"/>
        <v>0</v>
      </c>
      <c r="AE42" s="781">
        <f t="shared" si="23"/>
        <v>0</v>
      </c>
      <c r="AF42" s="781">
        <f t="shared" si="24"/>
        <v>0</v>
      </c>
      <c r="AG42" s="781">
        <f t="shared" si="25"/>
        <v>0</v>
      </c>
      <c r="AH42" s="781">
        <f t="shared" si="26"/>
        <v>0</v>
      </c>
      <c r="AI42" s="782">
        <f t="shared" si="27"/>
        <v>0</v>
      </c>
      <c r="AJ42" s="781">
        <f t="shared" si="28"/>
        <v>0</v>
      </c>
      <c r="AK42" s="781">
        <f t="shared" si="29"/>
        <v>0</v>
      </c>
      <c r="AL42" s="781">
        <f t="shared" si="30"/>
        <v>0</v>
      </c>
      <c r="AM42" s="781">
        <f t="shared" si="31"/>
        <v>0</v>
      </c>
      <c r="AN42" s="781">
        <f t="shared" si="32"/>
        <v>0</v>
      </c>
      <c r="AO42" s="781">
        <f t="shared" si="33"/>
        <v>0</v>
      </c>
      <c r="AP42" s="781">
        <f t="shared" si="34"/>
        <v>0</v>
      </c>
      <c r="AQ42" s="781">
        <f t="shared" si="35"/>
        <v>0</v>
      </c>
      <c r="AR42" s="781">
        <f t="shared" si="36"/>
        <v>0</v>
      </c>
      <c r="AS42" s="783">
        <f t="shared" si="37"/>
        <v>0</v>
      </c>
      <c r="AT42" s="790"/>
      <c r="AU42" s="170"/>
      <c r="AV42" s="170"/>
      <c r="AW42" s="837"/>
      <c r="AX42" s="838"/>
    </row>
    <row r="43" spans="1:50" ht="30" x14ac:dyDescent="0.25">
      <c r="A43" s="784"/>
      <c r="B43" s="719">
        <f t="shared" si="17"/>
        <v>35</v>
      </c>
      <c r="C43" s="170"/>
      <c r="D43" s="557"/>
      <c r="E43" s="170"/>
      <c r="F43" s="557"/>
      <c r="G43" s="938" t="s">
        <v>2031</v>
      </c>
      <c r="H43" s="847"/>
      <c r="I43" s="768" t="s">
        <v>732</v>
      </c>
      <c r="J43" s="768"/>
      <c r="K43" s="768"/>
      <c r="L43" s="170"/>
      <c r="M43" s="845">
        <v>1</v>
      </c>
      <c r="N43" s="846">
        <v>1</v>
      </c>
      <c r="O43" s="773">
        <f t="shared" si="38"/>
        <v>1</v>
      </c>
      <c r="P43" s="768" t="s">
        <v>604</v>
      </c>
      <c r="Q43" s="768" t="s">
        <v>39</v>
      </c>
      <c r="R43" s="2011" t="s">
        <v>2498</v>
      </c>
      <c r="S43" s="775">
        <f>SUMIF('Data Input sheet'!$B$118:$B$180,R43,'Data Input sheet'!$D$118:$D$180)</f>
        <v>57</v>
      </c>
      <c r="T43" s="776">
        <f t="shared" si="39"/>
        <v>57</v>
      </c>
      <c r="U43" s="1992"/>
      <c r="V43" s="778">
        <f t="shared" si="18"/>
        <v>0</v>
      </c>
      <c r="W43" s="772">
        <v>0</v>
      </c>
      <c r="X43" s="779"/>
      <c r="Y43" s="776">
        <v>0</v>
      </c>
      <c r="Z43" s="780">
        <f t="shared" si="40"/>
        <v>57</v>
      </c>
      <c r="AA43" s="785" t="s">
        <v>2032</v>
      </c>
      <c r="AB43" s="785"/>
      <c r="AC43" s="170"/>
      <c r="AD43" s="781">
        <f t="shared" si="22"/>
        <v>0</v>
      </c>
      <c r="AE43" s="781">
        <f t="shared" si="23"/>
        <v>0</v>
      </c>
      <c r="AF43" s="781">
        <f t="shared" si="24"/>
        <v>0</v>
      </c>
      <c r="AG43" s="781">
        <f t="shared" si="25"/>
        <v>0</v>
      </c>
      <c r="AH43" s="781">
        <f t="shared" si="26"/>
        <v>0</v>
      </c>
      <c r="AI43" s="782">
        <f t="shared" si="27"/>
        <v>0</v>
      </c>
      <c r="AJ43" s="781">
        <f t="shared" si="28"/>
        <v>0</v>
      </c>
      <c r="AK43" s="781">
        <f t="shared" si="29"/>
        <v>0</v>
      </c>
      <c r="AL43" s="781">
        <f t="shared" si="30"/>
        <v>0</v>
      </c>
      <c r="AM43" s="781">
        <f t="shared" si="31"/>
        <v>0</v>
      </c>
      <c r="AN43" s="781">
        <f t="shared" si="32"/>
        <v>0</v>
      </c>
      <c r="AO43" s="781">
        <f t="shared" si="33"/>
        <v>0</v>
      </c>
      <c r="AP43" s="781">
        <f t="shared" si="34"/>
        <v>0</v>
      </c>
      <c r="AQ43" s="781">
        <f t="shared" si="35"/>
        <v>0</v>
      </c>
      <c r="AR43" s="781">
        <f t="shared" si="36"/>
        <v>0</v>
      </c>
      <c r="AS43" s="783">
        <f t="shared" si="37"/>
        <v>0</v>
      </c>
      <c r="AT43" s="790"/>
      <c r="AU43" s="170"/>
      <c r="AV43" s="170"/>
      <c r="AW43" s="837"/>
      <c r="AX43" s="838"/>
    </row>
    <row r="44" spans="1:50" ht="30" x14ac:dyDescent="0.25">
      <c r="A44" s="784"/>
      <c r="B44" s="719">
        <f t="shared" si="17"/>
        <v>36</v>
      </c>
      <c r="C44" s="170"/>
      <c r="D44" s="557"/>
      <c r="E44" s="170"/>
      <c r="F44" s="557"/>
      <c r="G44" s="938" t="s">
        <v>2034</v>
      </c>
      <c r="H44" s="847"/>
      <c r="I44" s="768" t="s">
        <v>732</v>
      </c>
      <c r="J44" s="768"/>
      <c r="K44" s="768"/>
      <c r="L44" s="170"/>
      <c r="M44" s="845"/>
      <c r="N44" s="846">
        <v>1</v>
      </c>
      <c r="O44" s="773">
        <f t="shared" si="38"/>
        <v>0</v>
      </c>
      <c r="P44" s="768" t="s">
        <v>604</v>
      </c>
      <c r="Q44" s="768" t="s">
        <v>604</v>
      </c>
      <c r="R44" s="2011" t="s">
        <v>2498</v>
      </c>
      <c r="S44" s="775">
        <f>SUMIF('Data Input sheet'!$B$118:$B$180,R44,'Data Input sheet'!$D$118:$D$180)</f>
        <v>57</v>
      </c>
      <c r="T44" s="776">
        <f t="shared" si="39"/>
        <v>0</v>
      </c>
      <c r="U44" s="1992"/>
      <c r="V44" s="778">
        <f t="shared" si="18"/>
        <v>0</v>
      </c>
      <c r="W44" s="772">
        <v>0</v>
      </c>
      <c r="X44" s="779"/>
      <c r="Y44" s="776">
        <v>27</v>
      </c>
      <c r="Z44" s="780">
        <f t="shared" si="40"/>
        <v>27</v>
      </c>
      <c r="AA44" s="785" t="s">
        <v>2036</v>
      </c>
      <c r="AB44" s="785"/>
      <c r="AC44" s="170"/>
      <c r="AD44" s="781">
        <f t="shared" si="22"/>
        <v>0</v>
      </c>
      <c r="AE44" s="781">
        <f t="shared" si="23"/>
        <v>0</v>
      </c>
      <c r="AF44" s="781">
        <f t="shared" si="24"/>
        <v>0</v>
      </c>
      <c r="AG44" s="781">
        <f t="shared" si="25"/>
        <v>0</v>
      </c>
      <c r="AH44" s="781">
        <f t="shared" si="26"/>
        <v>0</v>
      </c>
      <c r="AI44" s="782">
        <f t="shared" si="27"/>
        <v>0</v>
      </c>
      <c r="AJ44" s="781">
        <f t="shared" si="28"/>
        <v>0</v>
      </c>
      <c r="AK44" s="781">
        <f t="shared" si="29"/>
        <v>0</v>
      </c>
      <c r="AL44" s="781">
        <f t="shared" si="30"/>
        <v>0</v>
      </c>
      <c r="AM44" s="781">
        <f t="shared" si="31"/>
        <v>0</v>
      </c>
      <c r="AN44" s="781">
        <f t="shared" si="32"/>
        <v>0</v>
      </c>
      <c r="AO44" s="781">
        <f t="shared" si="33"/>
        <v>0</v>
      </c>
      <c r="AP44" s="781">
        <f t="shared" si="34"/>
        <v>0</v>
      </c>
      <c r="AQ44" s="781">
        <f t="shared" si="35"/>
        <v>0</v>
      </c>
      <c r="AR44" s="781">
        <f t="shared" si="36"/>
        <v>0</v>
      </c>
      <c r="AS44" s="783">
        <f t="shared" si="37"/>
        <v>0</v>
      </c>
      <c r="AT44" s="790"/>
      <c r="AU44" s="170"/>
      <c r="AV44" s="170"/>
      <c r="AW44" s="837"/>
      <c r="AX44" s="838"/>
    </row>
    <row r="45" spans="1:50" ht="45" x14ac:dyDescent="0.25">
      <c r="A45" s="784"/>
      <c r="B45" s="719">
        <f t="shared" si="17"/>
        <v>37</v>
      </c>
      <c r="C45" s="170"/>
      <c r="D45" s="557"/>
      <c r="E45" s="170"/>
      <c r="F45" s="557">
        <v>90</v>
      </c>
      <c r="G45" s="938" t="s">
        <v>3740</v>
      </c>
      <c r="H45" s="847">
        <v>1</v>
      </c>
      <c r="I45" s="768" t="s">
        <v>640</v>
      </c>
      <c r="J45" s="768"/>
      <c r="K45" s="768"/>
      <c r="L45" s="170"/>
      <c r="M45" s="845">
        <v>40</v>
      </c>
      <c r="N45" s="846">
        <v>1</v>
      </c>
      <c r="O45" s="773">
        <f t="shared" si="38"/>
        <v>40</v>
      </c>
      <c r="P45" s="768" t="s">
        <v>604</v>
      </c>
      <c r="Q45" s="768" t="s">
        <v>604</v>
      </c>
      <c r="R45" s="2011" t="s">
        <v>2499</v>
      </c>
      <c r="S45" s="775">
        <f>SUMIF('Data Input sheet'!$B$118:$B$180,R45,'Data Input sheet'!$D$118:$D$180)</f>
        <v>57</v>
      </c>
      <c r="T45" s="776">
        <f t="shared" si="39"/>
        <v>2280</v>
      </c>
      <c r="U45" s="1992"/>
      <c r="V45" s="778">
        <f t="shared" si="18"/>
        <v>0</v>
      </c>
      <c r="W45" s="772">
        <v>0</v>
      </c>
      <c r="X45" s="779"/>
      <c r="Y45" s="776">
        <v>22000</v>
      </c>
      <c r="Z45" s="780">
        <f t="shared" si="40"/>
        <v>24280</v>
      </c>
      <c r="AA45" s="2791" t="s">
        <v>3742</v>
      </c>
      <c r="AB45" s="785"/>
      <c r="AC45" s="170"/>
      <c r="AD45" s="781">
        <f t="shared" si="22"/>
        <v>40</v>
      </c>
      <c r="AE45" s="781">
        <f t="shared" si="23"/>
        <v>0</v>
      </c>
      <c r="AF45" s="781">
        <f t="shared" si="24"/>
        <v>40</v>
      </c>
      <c r="AG45" s="781">
        <f t="shared" si="25"/>
        <v>2280</v>
      </c>
      <c r="AH45" s="781">
        <f t="shared" si="26"/>
        <v>0</v>
      </c>
      <c r="AI45" s="782">
        <f t="shared" si="27"/>
        <v>2280</v>
      </c>
      <c r="AJ45" s="781">
        <f t="shared" si="28"/>
        <v>0</v>
      </c>
      <c r="AK45" s="781">
        <f t="shared" si="29"/>
        <v>0</v>
      </c>
      <c r="AL45" s="781">
        <f t="shared" si="30"/>
        <v>0</v>
      </c>
      <c r="AM45" s="781">
        <f t="shared" si="31"/>
        <v>0</v>
      </c>
      <c r="AN45" s="781">
        <f t="shared" si="32"/>
        <v>0</v>
      </c>
      <c r="AO45" s="781">
        <f t="shared" si="33"/>
        <v>0</v>
      </c>
      <c r="AP45" s="781">
        <f t="shared" si="34"/>
        <v>22000</v>
      </c>
      <c r="AQ45" s="781">
        <f t="shared" si="35"/>
        <v>0</v>
      </c>
      <c r="AR45" s="781">
        <f t="shared" si="36"/>
        <v>22000</v>
      </c>
      <c r="AS45" s="783">
        <f t="shared" si="37"/>
        <v>24280</v>
      </c>
      <c r="AT45" s="790"/>
      <c r="AU45" s="170"/>
      <c r="AV45" s="170"/>
      <c r="AW45" s="837"/>
      <c r="AX45" s="838"/>
    </row>
    <row r="46" spans="1:50" ht="30" x14ac:dyDescent="0.25">
      <c r="A46" s="784"/>
      <c r="B46" s="719">
        <f t="shared" si="17"/>
        <v>38</v>
      </c>
      <c r="C46" s="170"/>
      <c r="D46" s="557"/>
      <c r="E46" s="170"/>
      <c r="F46" s="557"/>
      <c r="G46" s="938" t="s">
        <v>3746</v>
      </c>
      <c r="H46" s="847">
        <v>1</v>
      </c>
      <c r="I46" s="768" t="s">
        <v>640</v>
      </c>
      <c r="J46" s="768"/>
      <c r="K46" s="768"/>
      <c r="L46" s="170"/>
      <c r="M46" s="845">
        <v>200</v>
      </c>
      <c r="N46" s="846">
        <v>1</v>
      </c>
      <c r="O46" s="773">
        <f t="shared" si="38"/>
        <v>200</v>
      </c>
      <c r="P46" s="768" t="s">
        <v>604</v>
      </c>
      <c r="Q46" s="768" t="s">
        <v>604</v>
      </c>
      <c r="R46" s="2011" t="s">
        <v>2499</v>
      </c>
      <c r="S46" s="775">
        <f>SUMIF('Data Input sheet'!$B$118:$B$180,R46,'Data Input sheet'!$D$118:$D$180)</f>
        <v>57</v>
      </c>
      <c r="T46" s="776">
        <f t="shared" si="39"/>
        <v>11400</v>
      </c>
      <c r="U46" s="1992"/>
      <c r="V46" s="778">
        <f t="shared" si="18"/>
        <v>0</v>
      </c>
      <c r="W46" s="772">
        <v>0</v>
      </c>
      <c r="X46" s="779"/>
      <c r="Y46" s="776">
        <v>0</v>
      </c>
      <c r="Z46" s="780">
        <f t="shared" si="40"/>
        <v>11400</v>
      </c>
      <c r="AA46" s="2791" t="s">
        <v>3747</v>
      </c>
      <c r="AB46" s="785"/>
      <c r="AC46" s="170"/>
      <c r="AD46" s="781">
        <f t="shared" si="22"/>
        <v>200</v>
      </c>
      <c r="AE46" s="781">
        <f t="shared" si="23"/>
        <v>0</v>
      </c>
      <c r="AF46" s="781">
        <f t="shared" si="24"/>
        <v>200</v>
      </c>
      <c r="AG46" s="781">
        <f t="shared" si="25"/>
        <v>11400</v>
      </c>
      <c r="AH46" s="781">
        <f t="shared" si="26"/>
        <v>0</v>
      </c>
      <c r="AI46" s="782">
        <f t="shared" si="27"/>
        <v>11400</v>
      </c>
      <c r="AJ46" s="781">
        <f t="shared" si="28"/>
        <v>0</v>
      </c>
      <c r="AK46" s="781">
        <f t="shared" si="29"/>
        <v>0</v>
      </c>
      <c r="AL46" s="781">
        <f t="shared" si="30"/>
        <v>0</v>
      </c>
      <c r="AM46" s="781">
        <f t="shared" si="31"/>
        <v>0</v>
      </c>
      <c r="AN46" s="781">
        <f t="shared" si="32"/>
        <v>0</v>
      </c>
      <c r="AO46" s="781">
        <f t="shared" si="33"/>
        <v>0</v>
      </c>
      <c r="AP46" s="781">
        <f t="shared" si="34"/>
        <v>0</v>
      </c>
      <c r="AQ46" s="781">
        <f t="shared" si="35"/>
        <v>0</v>
      </c>
      <c r="AR46" s="781">
        <f t="shared" si="36"/>
        <v>0</v>
      </c>
      <c r="AS46" s="783">
        <f t="shared" si="37"/>
        <v>11400</v>
      </c>
      <c r="AT46" s="790"/>
      <c r="AU46" s="170"/>
      <c r="AV46" s="170"/>
      <c r="AW46" s="837"/>
      <c r="AX46" s="838"/>
    </row>
    <row r="47" spans="1:50" ht="15" x14ac:dyDescent="0.25">
      <c r="A47" s="784"/>
      <c r="B47" s="719">
        <f t="shared" si="17"/>
        <v>39</v>
      </c>
      <c r="C47" s="170"/>
      <c r="D47" s="557"/>
      <c r="E47" s="170"/>
      <c r="F47" s="557"/>
      <c r="G47" s="938"/>
      <c r="H47" s="847"/>
      <c r="I47" s="768"/>
      <c r="J47" s="768"/>
      <c r="K47" s="768"/>
      <c r="L47" s="170"/>
      <c r="M47" s="845">
        <v>0</v>
      </c>
      <c r="N47" s="846">
        <v>1</v>
      </c>
      <c r="O47" s="773">
        <f t="shared" si="38"/>
        <v>0</v>
      </c>
      <c r="P47" s="768" t="s">
        <v>604</v>
      </c>
      <c r="Q47" s="768" t="s">
        <v>604</v>
      </c>
      <c r="R47" s="2011" t="s">
        <v>2498</v>
      </c>
      <c r="S47" s="775">
        <f>SUMIF('Data Input sheet'!$B$118:$B$180,R47,'Data Input sheet'!$D$118:$D$180)</f>
        <v>57</v>
      </c>
      <c r="T47" s="776">
        <f t="shared" si="39"/>
        <v>0</v>
      </c>
      <c r="U47" s="1992"/>
      <c r="V47" s="778">
        <f t="shared" si="18"/>
        <v>0</v>
      </c>
      <c r="W47" s="772">
        <v>0</v>
      </c>
      <c r="X47" s="779"/>
      <c r="Y47" s="776">
        <v>0</v>
      </c>
      <c r="Z47" s="780">
        <f t="shared" si="40"/>
        <v>0</v>
      </c>
      <c r="AA47" s="785"/>
      <c r="AB47" s="785"/>
      <c r="AC47" s="170"/>
      <c r="AD47" s="781">
        <f t="shared" si="22"/>
        <v>0</v>
      </c>
      <c r="AE47" s="781">
        <f t="shared" si="23"/>
        <v>0</v>
      </c>
      <c r="AF47" s="781">
        <f t="shared" si="24"/>
        <v>0</v>
      </c>
      <c r="AG47" s="781">
        <f t="shared" si="25"/>
        <v>0</v>
      </c>
      <c r="AH47" s="781">
        <f t="shared" si="26"/>
        <v>0</v>
      </c>
      <c r="AI47" s="782">
        <f t="shared" si="27"/>
        <v>0</v>
      </c>
      <c r="AJ47" s="781">
        <f t="shared" si="28"/>
        <v>0</v>
      </c>
      <c r="AK47" s="781">
        <f t="shared" si="29"/>
        <v>0</v>
      </c>
      <c r="AL47" s="781">
        <f t="shared" si="30"/>
        <v>0</v>
      </c>
      <c r="AM47" s="781">
        <f t="shared" si="31"/>
        <v>0</v>
      </c>
      <c r="AN47" s="781">
        <f t="shared" si="32"/>
        <v>0</v>
      </c>
      <c r="AO47" s="781">
        <f t="shared" si="33"/>
        <v>0</v>
      </c>
      <c r="AP47" s="781">
        <f t="shared" si="34"/>
        <v>0</v>
      </c>
      <c r="AQ47" s="781">
        <f t="shared" si="35"/>
        <v>0</v>
      </c>
      <c r="AR47" s="781">
        <f t="shared" si="36"/>
        <v>0</v>
      </c>
      <c r="AS47" s="783">
        <f t="shared" si="37"/>
        <v>0</v>
      </c>
      <c r="AT47" s="790"/>
      <c r="AU47" s="170"/>
      <c r="AV47" s="170"/>
      <c r="AW47" s="837"/>
      <c r="AX47" s="838"/>
    </row>
    <row r="48" spans="1:50" ht="15" x14ac:dyDescent="0.25">
      <c r="A48" s="784"/>
      <c r="B48" s="719">
        <f t="shared" si="17"/>
        <v>40</v>
      </c>
      <c r="C48" s="170"/>
      <c r="D48" s="557"/>
      <c r="E48" s="170"/>
      <c r="F48" s="557"/>
      <c r="G48" s="938"/>
      <c r="H48" s="847"/>
      <c r="I48" s="768"/>
      <c r="J48" s="768"/>
      <c r="K48" s="768"/>
      <c r="L48" s="170"/>
      <c r="M48" s="845">
        <v>0</v>
      </c>
      <c r="N48" s="846">
        <v>1</v>
      </c>
      <c r="O48" s="773">
        <f t="shared" si="38"/>
        <v>0</v>
      </c>
      <c r="P48" s="768" t="s">
        <v>604</v>
      </c>
      <c r="Q48" s="768" t="s">
        <v>604</v>
      </c>
      <c r="R48" s="2011" t="s">
        <v>2498</v>
      </c>
      <c r="S48" s="775">
        <f>SUMIF('Data Input sheet'!$B$118:$B$180,R48,'Data Input sheet'!$D$118:$D$180)</f>
        <v>57</v>
      </c>
      <c r="T48" s="776">
        <f t="shared" si="39"/>
        <v>0</v>
      </c>
      <c r="U48" s="1992"/>
      <c r="V48" s="778">
        <f t="shared" si="18"/>
        <v>0</v>
      </c>
      <c r="W48" s="772">
        <v>0</v>
      </c>
      <c r="X48" s="779"/>
      <c r="Y48" s="776">
        <v>0</v>
      </c>
      <c r="Z48" s="780">
        <f t="shared" si="40"/>
        <v>0</v>
      </c>
      <c r="AA48" s="785"/>
      <c r="AB48" s="785"/>
      <c r="AC48" s="170"/>
      <c r="AD48" s="781">
        <f t="shared" si="22"/>
        <v>0</v>
      </c>
      <c r="AE48" s="781">
        <f t="shared" si="23"/>
        <v>0</v>
      </c>
      <c r="AF48" s="781">
        <f t="shared" si="24"/>
        <v>0</v>
      </c>
      <c r="AG48" s="781">
        <f t="shared" si="25"/>
        <v>0</v>
      </c>
      <c r="AH48" s="781">
        <f t="shared" si="26"/>
        <v>0</v>
      </c>
      <c r="AI48" s="782">
        <f t="shared" si="27"/>
        <v>0</v>
      </c>
      <c r="AJ48" s="781">
        <f t="shared" si="28"/>
        <v>0</v>
      </c>
      <c r="AK48" s="781">
        <f t="shared" si="29"/>
        <v>0</v>
      </c>
      <c r="AL48" s="781">
        <f t="shared" si="30"/>
        <v>0</v>
      </c>
      <c r="AM48" s="781">
        <f t="shared" si="31"/>
        <v>0</v>
      </c>
      <c r="AN48" s="781">
        <f t="shared" si="32"/>
        <v>0</v>
      </c>
      <c r="AO48" s="781">
        <f t="shared" si="33"/>
        <v>0</v>
      </c>
      <c r="AP48" s="781">
        <f t="shared" si="34"/>
        <v>0</v>
      </c>
      <c r="AQ48" s="781">
        <f t="shared" si="35"/>
        <v>0</v>
      </c>
      <c r="AR48" s="781">
        <f t="shared" si="36"/>
        <v>0</v>
      </c>
      <c r="AS48" s="783">
        <f t="shared" si="37"/>
        <v>0</v>
      </c>
      <c r="AT48" s="790"/>
      <c r="AU48" s="170"/>
      <c r="AV48" s="170"/>
      <c r="AW48" s="837"/>
      <c r="AX48" s="838"/>
    </row>
    <row r="49" spans="1:50" ht="15.75" thickBot="1" x14ac:dyDescent="0.3">
      <c r="A49" s="784"/>
      <c r="B49" s="719">
        <f t="shared" si="17"/>
        <v>41</v>
      </c>
      <c r="C49" s="170"/>
      <c r="D49" s="557"/>
      <c r="E49" s="170"/>
      <c r="F49" s="557"/>
      <c r="G49" s="938"/>
      <c r="H49" s="847"/>
      <c r="I49" s="768"/>
      <c r="J49" s="768"/>
      <c r="K49" s="768"/>
      <c r="L49" s="170"/>
      <c r="M49" s="845">
        <v>0</v>
      </c>
      <c r="N49" s="846">
        <v>1</v>
      </c>
      <c r="O49" s="773">
        <f t="shared" si="38"/>
        <v>0</v>
      </c>
      <c r="P49" s="768" t="s">
        <v>604</v>
      </c>
      <c r="Q49" s="768" t="s">
        <v>604</v>
      </c>
      <c r="R49" s="2011" t="s">
        <v>2498</v>
      </c>
      <c r="S49" s="775">
        <f>SUMIF('Data Input sheet'!$B$118:$B$180,R49,'Data Input sheet'!$D$118:$D$180)</f>
        <v>57</v>
      </c>
      <c r="T49" s="776">
        <f t="shared" si="39"/>
        <v>0</v>
      </c>
      <c r="U49" s="1992"/>
      <c r="V49" s="778">
        <f t="shared" si="18"/>
        <v>0</v>
      </c>
      <c r="W49" s="772">
        <v>0</v>
      </c>
      <c r="X49" s="779"/>
      <c r="Y49" s="776">
        <v>0</v>
      </c>
      <c r="Z49" s="780">
        <f t="shared" si="40"/>
        <v>0</v>
      </c>
      <c r="AA49" s="785"/>
      <c r="AB49" s="785"/>
      <c r="AC49" s="170"/>
      <c r="AD49" s="781">
        <f t="shared" si="22"/>
        <v>0</v>
      </c>
      <c r="AE49" s="781">
        <f t="shared" si="23"/>
        <v>0</v>
      </c>
      <c r="AF49" s="781">
        <f t="shared" si="24"/>
        <v>0</v>
      </c>
      <c r="AG49" s="781">
        <f t="shared" si="25"/>
        <v>0</v>
      </c>
      <c r="AH49" s="781">
        <f t="shared" si="26"/>
        <v>0</v>
      </c>
      <c r="AI49" s="782">
        <f t="shared" si="27"/>
        <v>0</v>
      </c>
      <c r="AJ49" s="781">
        <f t="shared" si="28"/>
        <v>0</v>
      </c>
      <c r="AK49" s="781">
        <f t="shared" si="29"/>
        <v>0</v>
      </c>
      <c r="AL49" s="781">
        <f t="shared" si="30"/>
        <v>0</v>
      </c>
      <c r="AM49" s="781">
        <f t="shared" si="31"/>
        <v>0</v>
      </c>
      <c r="AN49" s="781">
        <f t="shared" si="32"/>
        <v>0</v>
      </c>
      <c r="AO49" s="781">
        <f t="shared" si="33"/>
        <v>0</v>
      </c>
      <c r="AP49" s="781">
        <f t="shared" si="34"/>
        <v>0</v>
      </c>
      <c r="AQ49" s="781">
        <f t="shared" si="35"/>
        <v>0</v>
      </c>
      <c r="AR49" s="781">
        <f t="shared" si="36"/>
        <v>0</v>
      </c>
      <c r="AS49" s="783">
        <f t="shared" si="37"/>
        <v>0</v>
      </c>
      <c r="AT49" s="790"/>
      <c r="AU49" s="170"/>
      <c r="AV49" s="170"/>
      <c r="AW49" s="837"/>
      <c r="AX49" s="838"/>
    </row>
    <row r="50" spans="1:50" ht="15.75" thickBot="1" x14ac:dyDescent="0.3">
      <c r="A50" s="784"/>
      <c r="B50" s="719">
        <f t="shared" si="17"/>
        <v>42</v>
      </c>
      <c r="C50" s="170"/>
      <c r="D50" s="557"/>
      <c r="E50" s="170"/>
      <c r="F50" s="557"/>
      <c r="G50" s="935"/>
      <c r="H50" s="847"/>
      <c r="I50" s="768"/>
      <c r="J50" s="768"/>
      <c r="K50" s="768"/>
      <c r="L50" s="170"/>
      <c r="M50" s="845">
        <v>0</v>
      </c>
      <c r="N50" s="846">
        <v>1</v>
      </c>
      <c r="O50" s="773">
        <f t="shared" si="38"/>
        <v>0</v>
      </c>
      <c r="P50" s="768" t="s">
        <v>604</v>
      </c>
      <c r="Q50" s="768" t="s">
        <v>604</v>
      </c>
      <c r="R50" s="2011" t="s">
        <v>2498</v>
      </c>
      <c r="S50" s="775">
        <f>SUMIF('Data Input sheet'!$B$118:$B$180,R50,'Data Input sheet'!$D$118:$D$180)</f>
        <v>57</v>
      </c>
      <c r="T50" s="776">
        <f t="shared" si="39"/>
        <v>0</v>
      </c>
      <c r="U50" s="1992"/>
      <c r="V50" s="778">
        <f t="shared" si="18"/>
        <v>0</v>
      </c>
      <c r="W50" s="772">
        <v>0</v>
      </c>
      <c r="X50" s="779"/>
      <c r="Y50" s="776">
        <v>0</v>
      </c>
      <c r="Z50" s="780">
        <f t="shared" si="40"/>
        <v>0</v>
      </c>
      <c r="AA50" s="785"/>
      <c r="AB50" s="785"/>
      <c r="AC50" s="170"/>
      <c r="AD50" s="781">
        <f t="shared" si="22"/>
        <v>0</v>
      </c>
      <c r="AE50" s="781">
        <f t="shared" si="23"/>
        <v>0</v>
      </c>
      <c r="AF50" s="781">
        <f t="shared" si="24"/>
        <v>0</v>
      </c>
      <c r="AG50" s="781">
        <f t="shared" si="25"/>
        <v>0</v>
      </c>
      <c r="AH50" s="781">
        <f t="shared" si="26"/>
        <v>0</v>
      </c>
      <c r="AI50" s="782">
        <f t="shared" si="27"/>
        <v>0</v>
      </c>
      <c r="AJ50" s="781">
        <f t="shared" si="28"/>
        <v>0</v>
      </c>
      <c r="AK50" s="781">
        <f t="shared" si="29"/>
        <v>0</v>
      </c>
      <c r="AL50" s="781">
        <f t="shared" si="30"/>
        <v>0</v>
      </c>
      <c r="AM50" s="781">
        <f t="shared" si="31"/>
        <v>0</v>
      </c>
      <c r="AN50" s="781">
        <f t="shared" si="32"/>
        <v>0</v>
      </c>
      <c r="AO50" s="781">
        <f t="shared" si="33"/>
        <v>0</v>
      </c>
      <c r="AP50" s="781">
        <f t="shared" si="34"/>
        <v>0</v>
      </c>
      <c r="AQ50" s="781">
        <f t="shared" si="35"/>
        <v>0</v>
      </c>
      <c r="AR50" s="781">
        <f t="shared" si="36"/>
        <v>0</v>
      </c>
      <c r="AS50" s="783">
        <f t="shared" si="37"/>
        <v>0</v>
      </c>
      <c r="AT50" s="790"/>
      <c r="AU50" s="170"/>
      <c r="AV50" s="170"/>
      <c r="AW50" s="837"/>
      <c r="AX50" s="838"/>
    </row>
    <row r="51" spans="1:50" ht="15" x14ac:dyDescent="0.25">
      <c r="A51" s="784"/>
      <c r="B51" s="719">
        <f t="shared" si="17"/>
        <v>43</v>
      </c>
      <c r="C51" s="170"/>
      <c r="D51" s="557"/>
      <c r="E51" s="170"/>
      <c r="F51" s="557"/>
      <c r="G51" s="938"/>
      <c r="H51" s="847"/>
      <c r="I51" s="768"/>
      <c r="J51" s="768"/>
      <c r="K51" s="768"/>
      <c r="L51" s="170"/>
      <c r="M51" s="845">
        <v>0</v>
      </c>
      <c r="N51" s="846">
        <v>1</v>
      </c>
      <c r="O51" s="773">
        <f t="shared" si="38"/>
        <v>0</v>
      </c>
      <c r="P51" s="768" t="s">
        <v>604</v>
      </c>
      <c r="Q51" s="768" t="s">
        <v>604</v>
      </c>
      <c r="R51" s="2011" t="s">
        <v>2498</v>
      </c>
      <c r="S51" s="775">
        <f>SUMIF('Data Input sheet'!$B$118:$B$180,R51,'Data Input sheet'!$D$118:$D$180)</f>
        <v>57</v>
      </c>
      <c r="T51" s="776">
        <f t="shared" si="39"/>
        <v>0</v>
      </c>
      <c r="U51" s="1992"/>
      <c r="V51" s="778">
        <f t="shared" si="18"/>
        <v>0</v>
      </c>
      <c r="W51" s="772">
        <v>0</v>
      </c>
      <c r="X51" s="779"/>
      <c r="Y51" s="776">
        <v>0</v>
      </c>
      <c r="Z51" s="780">
        <f t="shared" si="40"/>
        <v>0</v>
      </c>
      <c r="AA51" s="785"/>
      <c r="AB51" s="785"/>
      <c r="AC51" s="170"/>
      <c r="AD51" s="781">
        <f t="shared" ref="AD51:AD68" si="41">IF(P51="E",+ROUND(H51*O51,0),0)</f>
        <v>0</v>
      </c>
      <c r="AE51" s="781">
        <f t="shared" si="23"/>
        <v>0</v>
      </c>
      <c r="AF51" s="781">
        <f t="shared" ref="AF51:AF68" si="42">+H51*O51</f>
        <v>0</v>
      </c>
      <c r="AG51" s="781">
        <f t="shared" ref="AG51:AG68" si="43">IF(P51="E",+ROUND(T51*H51,0),0)</f>
        <v>0</v>
      </c>
      <c r="AH51" s="781">
        <f t="shared" si="26"/>
        <v>0</v>
      </c>
      <c r="AI51" s="782">
        <f t="shared" ref="AI51:AI68" si="44">+H51*T51</f>
        <v>0</v>
      </c>
      <c r="AJ51" s="781">
        <f t="shared" ref="AJ51:AJ68" si="45">IF(P51="E",+ROUND(V51*H51,0),0)</f>
        <v>0</v>
      </c>
      <c r="AK51" s="781">
        <f t="shared" si="29"/>
        <v>0</v>
      </c>
      <c r="AL51" s="781">
        <f t="shared" ref="AL51:AL68" si="46">ROUND(V51*H51,0)</f>
        <v>0</v>
      </c>
      <c r="AM51" s="781">
        <f t="shared" ref="AM51:AM68" si="47">IF(Q51="E",+ROUND(W51*H51,0),0)</f>
        <v>0</v>
      </c>
      <c r="AN51" s="781">
        <f t="shared" si="32"/>
        <v>0</v>
      </c>
      <c r="AO51" s="781">
        <f t="shared" ref="AO51:AO68" si="48">ROUND(W51*H51,0)</f>
        <v>0</v>
      </c>
      <c r="AP51" s="781">
        <f t="shared" ref="AP51:AP68" si="49">IF(P51="E",+ROUND(Y51*H51,0),0)</f>
        <v>0</v>
      </c>
      <c r="AQ51" s="781">
        <f t="shared" si="35"/>
        <v>0</v>
      </c>
      <c r="AR51" s="781">
        <f t="shared" ref="AR51:AR68" si="50">ROUND(Y51*H51,0)</f>
        <v>0</v>
      </c>
      <c r="AS51" s="783">
        <f t="shared" si="37"/>
        <v>0</v>
      </c>
      <c r="AT51" s="790"/>
      <c r="AU51" s="170"/>
      <c r="AV51" s="170"/>
      <c r="AW51" s="837"/>
      <c r="AX51" s="838"/>
    </row>
    <row r="52" spans="1:50" ht="15" x14ac:dyDescent="0.25">
      <c r="A52" s="784"/>
      <c r="B52" s="719">
        <f t="shared" si="17"/>
        <v>44</v>
      </c>
      <c r="C52" s="170"/>
      <c r="D52" s="557"/>
      <c r="E52" s="170"/>
      <c r="F52" s="557"/>
      <c r="G52" s="938"/>
      <c r="H52" s="847"/>
      <c r="I52" s="768"/>
      <c r="J52" s="768"/>
      <c r="K52" s="768"/>
      <c r="L52" s="170"/>
      <c r="M52" s="845">
        <v>0</v>
      </c>
      <c r="N52" s="846">
        <v>1</v>
      </c>
      <c r="O52" s="773">
        <f t="shared" si="38"/>
        <v>0</v>
      </c>
      <c r="P52" s="768" t="s">
        <v>604</v>
      </c>
      <c r="Q52" s="768" t="s">
        <v>604</v>
      </c>
      <c r="R52" s="2011" t="s">
        <v>2498</v>
      </c>
      <c r="S52" s="775">
        <f>SUMIF('Data Input sheet'!$B$118:$B$180,R52,'Data Input sheet'!$D$118:$D$180)</f>
        <v>57</v>
      </c>
      <c r="T52" s="776">
        <f t="shared" si="39"/>
        <v>0</v>
      </c>
      <c r="U52" s="1992"/>
      <c r="V52" s="778">
        <f t="shared" si="18"/>
        <v>0</v>
      </c>
      <c r="W52" s="772">
        <v>0</v>
      </c>
      <c r="X52" s="779"/>
      <c r="Y52" s="776">
        <v>0</v>
      </c>
      <c r="Z52" s="780">
        <f t="shared" si="40"/>
        <v>0</v>
      </c>
      <c r="AA52" s="785"/>
      <c r="AB52" s="785"/>
      <c r="AC52" s="170"/>
      <c r="AD52" s="781">
        <f t="shared" si="41"/>
        <v>0</v>
      </c>
      <c r="AE52" s="781">
        <f t="shared" si="23"/>
        <v>0</v>
      </c>
      <c r="AF52" s="781">
        <f t="shared" si="42"/>
        <v>0</v>
      </c>
      <c r="AG52" s="781">
        <f t="shared" si="43"/>
        <v>0</v>
      </c>
      <c r="AH52" s="781">
        <f t="shared" si="26"/>
        <v>0</v>
      </c>
      <c r="AI52" s="782">
        <f t="shared" si="44"/>
        <v>0</v>
      </c>
      <c r="AJ52" s="781">
        <f t="shared" si="45"/>
        <v>0</v>
      </c>
      <c r="AK52" s="781">
        <f t="shared" si="29"/>
        <v>0</v>
      </c>
      <c r="AL52" s="781">
        <f t="shared" si="46"/>
        <v>0</v>
      </c>
      <c r="AM52" s="781">
        <f t="shared" si="47"/>
        <v>0</v>
      </c>
      <c r="AN52" s="781">
        <f t="shared" si="32"/>
        <v>0</v>
      </c>
      <c r="AO52" s="781">
        <f t="shared" si="48"/>
        <v>0</v>
      </c>
      <c r="AP52" s="781">
        <f t="shared" si="49"/>
        <v>0</v>
      </c>
      <c r="AQ52" s="781">
        <f t="shared" si="35"/>
        <v>0</v>
      </c>
      <c r="AR52" s="781">
        <f t="shared" si="50"/>
        <v>0</v>
      </c>
      <c r="AS52" s="783">
        <f t="shared" si="37"/>
        <v>0</v>
      </c>
      <c r="AT52" s="790"/>
      <c r="AU52" s="170"/>
      <c r="AV52" s="170"/>
      <c r="AW52" s="837"/>
      <c r="AX52" s="838"/>
    </row>
    <row r="53" spans="1:50" ht="15" x14ac:dyDescent="0.25">
      <c r="A53" s="784"/>
      <c r="B53" s="719">
        <f t="shared" si="17"/>
        <v>45</v>
      </c>
      <c r="C53" s="170"/>
      <c r="D53" s="557"/>
      <c r="E53" s="170"/>
      <c r="F53" s="557"/>
      <c r="G53" s="938"/>
      <c r="H53" s="847"/>
      <c r="I53" s="768"/>
      <c r="J53" s="768"/>
      <c r="K53" s="768"/>
      <c r="L53" s="170"/>
      <c r="M53" s="845">
        <v>0</v>
      </c>
      <c r="N53" s="846">
        <v>1</v>
      </c>
      <c r="O53" s="773">
        <f t="shared" si="38"/>
        <v>0</v>
      </c>
      <c r="P53" s="768" t="s">
        <v>604</v>
      </c>
      <c r="Q53" s="768" t="s">
        <v>604</v>
      </c>
      <c r="R53" s="2011" t="s">
        <v>2498</v>
      </c>
      <c r="S53" s="775">
        <f>SUMIF('Data Input sheet'!$B$118:$B$180,R53,'Data Input sheet'!$D$118:$D$180)</f>
        <v>57</v>
      </c>
      <c r="T53" s="776">
        <f t="shared" si="39"/>
        <v>0</v>
      </c>
      <c r="U53" s="1992"/>
      <c r="V53" s="778">
        <f t="shared" si="18"/>
        <v>0</v>
      </c>
      <c r="W53" s="772">
        <v>0</v>
      </c>
      <c r="X53" s="779"/>
      <c r="Y53" s="776">
        <v>0</v>
      </c>
      <c r="Z53" s="780">
        <f t="shared" si="40"/>
        <v>0</v>
      </c>
      <c r="AA53" s="785"/>
      <c r="AB53" s="785"/>
      <c r="AC53" s="170"/>
      <c r="AD53" s="781">
        <f t="shared" si="41"/>
        <v>0</v>
      </c>
      <c r="AE53" s="781">
        <f t="shared" si="23"/>
        <v>0</v>
      </c>
      <c r="AF53" s="781">
        <f t="shared" si="42"/>
        <v>0</v>
      </c>
      <c r="AG53" s="781">
        <f t="shared" si="43"/>
        <v>0</v>
      </c>
      <c r="AH53" s="781">
        <f t="shared" si="26"/>
        <v>0</v>
      </c>
      <c r="AI53" s="782">
        <f t="shared" si="44"/>
        <v>0</v>
      </c>
      <c r="AJ53" s="781">
        <f t="shared" si="45"/>
        <v>0</v>
      </c>
      <c r="AK53" s="781">
        <f t="shared" si="29"/>
        <v>0</v>
      </c>
      <c r="AL53" s="781">
        <f t="shared" si="46"/>
        <v>0</v>
      </c>
      <c r="AM53" s="781">
        <f t="shared" si="47"/>
        <v>0</v>
      </c>
      <c r="AN53" s="781">
        <f t="shared" si="32"/>
        <v>0</v>
      </c>
      <c r="AO53" s="781">
        <f t="shared" si="48"/>
        <v>0</v>
      </c>
      <c r="AP53" s="781">
        <f t="shared" si="49"/>
        <v>0</v>
      </c>
      <c r="AQ53" s="781">
        <f t="shared" si="35"/>
        <v>0</v>
      </c>
      <c r="AR53" s="781">
        <f t="shared" si="50"/>
        <v>0</v>
      </c>
      <c r="AS53" s="783">
        <f t="shared" si="37"/>
        <v>0</v>
      </c>
      <c r="AT53" s="790"/>
      <c r="AU53" s="170"/>
      <c r="AV53" s="170"/>
      <c r="AW53" s="837"/>
      <c r="AX53" s="838"/>
    </row>
    <row r="54" spans="1:50" ht="15" x14ac:dyDescent="0.25">
      <c r="A54" s="784"/>
      <c r="B54" s="719">
        <f t="shared" si="17"/>
        <v>46</v>
      </c>
      <c r="C54" s="170"/>
      <c r="D54" s="557"/>
      <c r="E54" s="170"/>
      <c r="F54" s="557"/>
      <c r="G54" s="938"/>
      <c r="H54" s="847"/>
      <c r="I54" s="768"/>
      <c r="J54" s="768"/>
      <c r="K54" s="768"/>
      <c r="L54" s="170"/>
      <c r="M54" s="845">
        <v>0</v>
      </c>
      <c r="N54" s="846">
        <v>1</v>
      </c>
      <c r="O54" s="773">
        <f t="shared" si="38"/>
        <v>0</v>
      </c>
      <c r="P54" s="768" t="s">
        <v>604</v>
      </c>
      <c r="Q54" s="768" t="s">
        <v>604</v>
      </c>
      <c r="R54" s="2011" t="s">
        <v>2498</v>
      </c>
      <c r="S54" s="775">
        <f>SUMIF('Data Input sheet'!$B$118:$B$180,R54,'Data Input sheet'!$D$118:$D$180)</f>
        <v>57</v>
      </c>
      <c r="T54" s="776">
        <f t="shared" si="39"/>
        <v>0</v>
      </c>
      <c r="U54" s="1992"/>
      <c r="V54" s="778">
        <f t="shared" si="18"/>
        <v>0</v>
      </c>
      <c r="W54" s="772">
        <v>0</v>
      </c>
      <c r="X54" s="779"/>
      <c r="Y54" s="776">
        <v>0</v>
      </c>
      <c r="Z54" s="780">
        <f t="shared" si="40"/>
        <v>0</v>
      </c>
      <c r="AA54" s="785"/>
      <c r="AB54" s="785"/>
      <c r="AC54" s="170"/>
      <c r="AD54" s="781">
        <f t="shared" si="41"/>
        <v>0</v>
      </c>
      <c r="AE54" s="781">
        <f t="shared" si="23"/>
        <v>0</v>
      </c>
      <c r="AF54" s="781">
        <f t="shared" si="42"/>
        <v>0</v>
      </c>
      <c r="AG54" s="781">
        <f t="shared" si="43"/>
        <v>0</v>
      </c>
      <c r="AH54" s="781">
        <f t="shared" si="26"/>
        <v>0</v>
      </c>
      <c r="AI54" s="782">
        <f t="shared" si="44"/>
        <v>0</v>
      </c>
      <c r="AJ54" s="781">
        <f t="shared" si="45"/>
        <v>0</v>
      </c>
      <c r="AK54" s="781">
        <f t="shared" si="29"/>
        <v>0</v>
      </c>
      <c r="AL54" s="781">
        <f t="shared" si="46"/>
        <v>0</v>
      </c>
      <c r="AM54" s="781">
        <f t="shared" si="47"/>
        <v>0</v>
      </c>
      <c r="AN54" s="781">
        <f t="shared" si="32"/>
        <v>0</v>
      </c>
      <c r="AO54" s="781">
        <f t="shared" si="48"/>
        <v>0</v>
      </c>
      <c r="AP54" s="781">
        <f t="shared" si="49"/>
        <v>0</v>
      </c>
      <c r="AQ54" s="781">
        <f t="shared" si="35"/>
        <v>0</v>
      </c>
      <c r="AR54" s="781">
        <f t="shared" si="50"/>
        <v>0</v>
      </c>
      <c r="AS54" s="783">
        <f t="shared" si="37"/>
        <v>0</v>
      </c>
      <c r="AT54" s="790"/>
      <c r="AU54" s="170"/>
      <c r="AV54" s="170"/>
      <c r="AW54" s="837"/>
      <c r="AX54" s="838"/>
    </row>
    <row r="55" spans="1:50" ht="15" x14ac:dyDescent="0.25">
      <c r="A55" s="784"/>
      <c r="B55" s="719">
        <f t="shared" si="17"/>
        <v>47</v>
      </c>
      <c r="C55" s="170"/>
      <c r="D55" s="557"/>
      <c r="E55" s="170"/>
      <c r="F55" s="557"/>
      <c r="G55" s="938"/>
      <c r="H55" s="847"/>
      <c r="I55" s="768"/>
      <c r="J55" s="768"/>
      <c r="K55" s="768"/>
      <c r="L55" s="170"/>
      <c r="M55" s="845">
        <v>0</v>
      </c>
      <c r="N55" s="846">
        <v>1</v>
      </c>
      <c r="O55" s="773">
        <f t="shared" ref="O55:O63" si="51">+M55*N55</f>
        <v>0</v>
      </c>
      <c r="P55" s="768" t="s">
        <v>604</v>
      </c>
      <c r="Q55" s="768" t="s">
        <v>604</v>
      </c>
      <c r="R55" s="2011" t="s">
        <v>2498</v>
      </c>
      <c r="S55" s="775">
        <f>SUMIF('Data Input sheet'!$B$118:$B$180,R55,'Data Input sheet'!$D$118:$D$180)</f>
        <v>57</v>
      </c>
      <c r="T55" s="776">
        <f t="shared" ref="T55:T63" si="52">+O55*S55</f>
        <v>0</v>
      </c>
      <c r="U55" s="1992"/>
      <c r="V55" s="778">
        <f t="shared" si="18"/>
        <v>0</v>
      </c>
      <c r="W55" s="772">
        <v>0</v>
      </c>
      <c r="X55" s="779"/>
      <c r="Y55" s="776">
        <v>0</v>
      </c>
      <c r="Z55" s="780">
        <f t="shared" ref="Z55:Z62" si="53">T55+V55+W55+Y55</f>
        <v>0</v>
      </c>
      <c r="AA55" s="785"/>
      <c r="AB55" s="785"/>
      <c r="AC55" s="170"/>
      <c r="AD55" s="781">
        <f t="shared" si="41"/>
        <v>0</v>
      </c>
      <c r="AE55" s="781">
        <f t="shared" ref="AE55:AE62" si="54">+AF55-AD55</f>
        <v>0</v>
      </c>
      <c r="AF55" s="781">
        <f t="shared" si="42"/>
        <v>0</v>
      </c>
      <c r="AG55" s="781">
        <f t="shared" si="43"/>
        <v>0</v>
      </c>
      <c r="AH55" s="781">
        <f t="shared" ref="AH55:AH62" si="55">+AI55-AG55</f>
        <v>0</v>
      </c>
      <c r="AI55" s="782">
        <f t="shared" si="44"/>
        <v>0</v>
      </c>
      <c r="AJ55" s="781">
        <f t="shared" si="45"/>
        <v>0</v>
      </c>
      <c r="AK55" s="781">
        <f t="shared" ref="AK55:AK62" si="56">+AL55-AJ55</f>
        <v>0</v>
      </c>
      <c r="AL55" s="781">
        <f t="shared" si="46"/>
        <v>0</v>
      </c>
      <c r="AM55" s="781">
        <f t="shared" si="47"/>
        <v>0</v>
      </c>
      <c r="AN55" s="781">
        <f t="shared" ref="AN55:AN62" si="57">+AO55-AM55</f>
        <v>0</v>
      </c>
      <c r="AO55" s="781">
        <f t="shared" si="48"/>
        <v>0</v>
      </c>
      <c r="AP55" s="781">
        <f t="shared" si="49"/>
        <v>0</v>
      </c>
      <c r="AQ55" s="781">
        <f t="shared" ref="AQ55:AQ62" si="58">+AR55-AP55</f>
        <v>0</v>
      </c>
      <c r="AR55" s="781">
        <f t="shared" si="50"/>
        <v>0</v>
      </c>
      <c r="AS55" s="783">
        <f t="shared" ref="AS55:AS68" si="59">+AR55+AO55+AL55+AI55</f>
        <v>0</v>
      </c>
      <c r="AT55" s="790"/>
      <c r="AU55" s="170"/>
      <c r="AV55" s="170"/>
      <c r="AW55" s="837"/>
      <c r="AX55" s="838"/>
    </row>
    <row r="56" spans="1:50" ht="15.75" thickBot="1" x14ac:dyDescent="0.3">
      <c r="A56" s="784"/>
      <c r="B56" s="719">
        <f t="shared" si="17"/>
        <v>48</v>
      </c>
      <c r="C56" s="170"/>
      <c r="D56" s="557"/>
      <c r="E56" s="170"/>
      <c r="F56" s="557"/>
      <c r="G56" s="938"/>
      <c r="H56" s="847"/>
      <c r="I56" s="768"/>
      <c r="J56" s="768"/>
      <c r="K56" s="768"/>
      <c r="L56" s="170"/>
      <c r="M56" s="845">
        <v>0</v>
      </c>
      <c r="N56" s="846">
        <v>1</v>
      </c>
      <c r="O56" s="773">
        <f t="shared" si="51"/>
        <v>0</v>
      </c>
      <c r="P56" s="768" t="s">
        <v>604</v>
      </c>
      <c r="Q56" s="768" t="s">
        <v>604</v>
      </c>
      <c r="R56" s="2011" t="s">
        <v>2498</v>
      </c>
      <c r="S56" s="775">
        <f>SUMIF('Data Input sheet'!$B$118:$B$180,R56,'Data Input sheet'!$D$118:$D$180)</f>
        <v>57</v>
      </c>
      <c r="T56" s="776">
        <f t="shared" si="52"/>
        <v>0</v>
      </c>
      <c r="U56" s="1992"/>
      <c r="V56" s="778">
        <f t="shared" si="18"/>
        <v>0</v>
      </c>
      <c r="W56" s="772">
        <v>0</v>
      </c>
      <c r="X56" s="779"/>
      <c r="Y56" s="776">
        <v>0</v>
      </c>
      <c r="Z56" s="780">
        <f t="shared" si="53"/>
        <v>0</v>
      </c>
      <c r="AA56" s="785"/>
      <c r="AB56" s="785"/>
      <c r="AC56" s="170"/>
      <c r="AD56" s="781">
        <f t="shared" si="41"/>
        <v>0</v>
      </c>
      <c r="AE56" s="781">
        <f t="shared" si="54"/>
        <v>0</v>
      </c>
      <c r="AF56" s="781">
        <f t="shared" si="42"/>
        <v>0</v>
      </c>
      <c r="AG56" s="781">
        <f t="shared" si="43"/>
        <v>0</v>
      </c>
      <c r="AH56" s="781">
        <f t="shared" si="55"/>
        <v>0</v>
      </c>
      <c r="AI56" s="782">
        <f t="shared" si="44"/>
        <v>0</v>
      </c>
      <c r="AJ56" s="781">
        <f t="shared" si="45"/>
        <v>0</v>
      </c>
      <c r="AK56" s="781">
        <f t="shared" si="56"/>
        <v>0</v>
      </c>
      <c r="AL56" s="781">
        <f t="shared" si="46"/>
        <v>0</v>
      </c>
      <c r="AM56" s="781">
        <f t="shared" si="47"/>
        <v>0</v>
      </c>
      <c r="AN56" s="781">
        <f t="shared" si="57"/>
        <v>0</v>
      </c>
      <c r="AO56" s="781">
        <f t="shared" si="48"/>
        <v>0</v>
      </c>
      <c r="AP56" s="781">
        <f t="shared" si="49"/>
        <v>0</v>
      </c>
      <c r="AQ56" s="781">
        <f t="shared" si="58"/>
        <v>0</v>
      </c>
      <c r="AR56" s="781">
        <f t="shared" si="50"/>
        <v>0</v>
      </c>
      <c r="AS56" s="783">
        <f t="shared" si="59"/>
        <v>0</v>
      </c>
      <c r="AT56" s="790"/>
      <c r="AU56" s="170"/>
      <c r="AV56" s="170"/>
      <c r="AW56" s="837"/>
      <c r="AX56" s="838"/>
    </row>
    <row r="57" spans="1:50" ht="15.75" thickBot="1" x14ac:dyDescent="0.3">
      <c r="A57" s="784"/>
      <c r="B57" s="719">
        <f t="shared" si="17"/>
        <v>49</v>
      </c>
      <c r="C57" s="170"/>
      <c r="D57" s="557"/>
      <c r="E57" s="170"/>
      <c r="F57" s="557"/>
      <c r="G57" s="935"/>
      <c r="H57" s="847"/>
      <c r="I57" s="768"/>
      <c r="J57" s="768"/>
      <c r="K57" s="768"/>
      <c r="L57" s="170"/>
      <c r="M57" s="845">
        <v>0</v>
      </c>
      <c r="N57" s="846">
        <v>1</v>
      </c>
      <c r="O57" s="773">
        <f t="shared" si="51"/>
        <v>0</v>
      </c>
      <c r="P57" s="768" t="s">
        <v>604</v>
      </c>
      <c r="Q57" s="768" t="s">
        <v>604</v>
      </c>
      <c r="R57" s="2011" t="s">
        <v>2498</v>
      </c>
      <c r="S57" s="775">
        <f>SUMIF('Data Input sheet'!$B$118:$B$180,R57,'Data Input sheet'!$D$118:$D$180)</f>
        <v>57</v>
      </c>
      <c r="T57" s="776">
        <f t="shared" si="52"/>
        <v>0</v>
      </c>
      <c r="U57" s="1992"/>
      <c r="V57" s="778">
        <f t="shared" si="18"/>
        <v>0</v>
      </c>
      <c r="W57" s="772">
        <v>0</v>
      </c>
      <c r="X57" s="779"/>
      <c r="Y57" s="776">
        <v>0</v>
      </c>
      <c r="Z57" s="780">
        <f t="shared" si="53"/>
        <v>0</v>
      </c>
      <c r="AA57" s="785"/>
      <c r="AB57" s="785"/>
      <c r="AC57" s="170"/>
      <c r="AD57" s="781">
        <f t="shared" si="41"/>
        <v>0</v>
      </c>
      <c r="AE57" s="781">
        <f t="shared" si="54"/>
        <v>0</v>
      </c>
      <c r="AF57" s="781">
        <f t="shared" si="42"/>
        <v>0</v>
      </c>
      <c r="AG57" s="781">
        <f t="shared" si="43"/>
        <v>0</v>
      </c>
      <c r="AH57" s="781">
        <f t="shared" si="55"/>
        <v>0</v>
      </c>
      <c r="AI57" s="782">
        <f t="shared" si="44"/>
        <v>0</v>
      </c>
      <c r="AJ57" s="781">
        <f t="shared" si="45"/>
        <v>0</v>
      </c>
      <c r="AK57" s="781">
        <f t="shared" si="56"/>
        <v>0</v>
      </c>
      <c r="AL57" s="781">
        <f t="shared" si="46"/>
        <v>0</v>
      </c>
      <c r="AM57" s="781">
        <f t="shared" si="47"/>
        <v>0</v>
      </c>
      <c r="AN57" s="781">
        <f t="shared" si="57"/>
        <v>0</v>
      </c>
      <c r="AO57" s="781">
        <f t="shared" si="48"/>
        <v>0</v>
      </c>
      <c r="AP57" s="781">
        <f t="shared" si="49"/>
        <v>0</v>
      </c>
      <c r="AQ57" s="781">
        <f t="shared" si="58"/>
        <v>0</v>
      </c>
      <c r="AR57" s="781">
        <f t="shared" si="50"/>
        <v>0</v>
      </c>
      <c r="AS57" s="783">
        <f t="shared" si="59"/>
        <v>0</v>
      </c>
      <c r="AT57" s="790"/>
      <c r="AU57" s="170"/>
      <c r="AV57" s="170"/>
      <c r="AW57" s="837"/>
      <c r="AX57" s="838"/>
    </row>
    <row r="58" spans="1:50" ht="15" x14ac:dyDescent="0.25">
      <c r="A58" s="784"/>
      <c r="B58" s="719">
        <f t="shared" si="17"/>
        <v>50</v>
      </c>
      <c r="C58" s="170"/>
      <c r="D58" s="557"/>
      <c r="E58" s="170"/>
      <c r="F58" s="557"/>
      <c r="G58" s="938"/>
      <c r="H58" s="847"/>
      <c r="I58" s="768"/>
      <c r="J58" s="768"/>
      <c r="K58" s="768"/>
      <c r="L58" s="170"/>
      <c r="M58" s="845">
        <v>0</v>
      </c>
      <c r="N58" s="846">
        <v>1</v>
      </c>
      <c r="O58" s="773">
        <f t="shared" si="51"/>
        <v>0</v>
      </c>
      <c r="P58" s="768" t="s">
        <v>604</v>
      </c>
      <c r="Q58" s="768" t="s">
        <v>604</v>
      </c>
      <c r="R58" s="2011" t="s">
        <v>2498</v>
      </c>
      <c r="S58" s="775">
        <f>SUMIF('Data Input sheet'!$B$118:$B$180,R58,'Data Input sheet'!$D$118:$D$180)</f>
        <v>57</v>
      </c>
      <c r="T58" s="776">
        <f t="shared" si="52"/>
        <v>0</v>
      </c>
      <c r="U58" s="1992"/>
      <c r="V58" s="778">
        <f t="shared" si="18"/>
        <v>0</v>
      </c>
      <c r="W58" s="772">
        <v>0</v>
      </c>
      <c r="X58" s="779"/>
      <c r="Y58" s="776">
        <v>0</v>
      </c>
      <c r="Z58" s="780">
        <f t="shared" si="53"/>
        <v>0</v>
      </c>
      <c r="AA58" s="785"/>
      <c r="AB58" s="785"/>
      <c r="AC58" s="170"/>
      <c r="AD58" s="781">
        <f t="shared" si="41"/>
        <v>0</v>
      </c>
      <c r="AE58" s="781">
        <f t="shared" si="54"/>
        <v>0</v>
      </c>
      <c r="AF58" s="781">
        <f t="shared" si="42"/>
        <v>0</v>
      </c>
      <c r="AG58" s="781">
        <f t="shared" si="43"/>
        <v>0</v>
      </c>
      <c r="AH58" s="781">
        <f t="shared" si="55"/>
        <v>0</v>
      </c>
      <c r="AI58" s="782">
        <f t="shared" si="44"/>
        <v>0</v>
      </c>
      <c r="AJ58" s="781">
        <f t="shared" si="45"/>
        <v>0</v>
      </c>
      <c r="AK58" s="781">
        <f t="shared" si="56"/>
        <v>0</v>
      </c>
      <c r="AL58" s="781">
        <f t="shared" si="46"/>
        <v>0</v>
      </c>
      <c r="AM58" s="781">
        <f t="shared" si="47"/>
        <v>0</v>
      </c>
      <c r="AN58" s="781">
        <f t="shared" si="57"/>
        <v>0</v>
      </c>
      <c r="AO58" s="781">
        <f t="shared" si="48"/>
        <v>0</v>
      </c>
      <c r="AP58" s="781">
        <f t="shared" si="49"/>
        <v>0</v>
      </c>
      <c r="AQ58" s="781">
        <f t="shared" si="58"/>
        <v>0</v>
      </c>
      <c r="AR58" s="781">
        <f t="shared" si="50"/>
        <v>0</v>
      </c>
      <c r="AS58" s="783">
        <f t="shared" si="59"/>
        <v>0</v>
      </c>
      <c r="AT58" s="790"/>
      <c r="AU58" s="170"/>
      <c r="AV58" s="170"/>
      <c r="AW58" s="837"/>
      <c r="AX58" s="838"/>
    </row>
    <row r="59" spans="1:50" ht="15" x14ac:dyDescent="0.25">
      <c r="A59" s="784"/>
      <c r="B59" s="719">
        <f t="shared" si="17"/>
        <v>51</v>
      </c>
      <c r="C59" s="170"/>
      <c r="D59" s="557"/>
      <c r="E59" s="170"/>
      <c r="F59" s="557"/>
      <c r="G59" s="938"/>
      <c r="H59" s="847"/>
      <c r="I59" s="768"/>
      <c r="J59" s="768"/>
      <c r="K59" s="768"/>
      <c r="L59" s="170"/>
      <c r="M59" s="845">
        <v>0</v>
      </c>
      <c r="N59" s="846">
        <v>1</v>
      </c>
      <c r="O59" s="773">
        <f t="shared" si="51"/>
        <v>0</v>
      </c>
      <c r="P59" s="768" t="s">
        <v>604</v>
      </c>
      <c r="Q59" s="768" t="s">
        <v>604</v>
      </c>
      <c r="R59" s="2011" t="s">
        <v>2498</v>
      </c>
      <c r="S59" s="775">
        <f>SUMIF('Data Input sheet'!$B$118:$B$180,R59,'Data Input sheet'!$D$118:$D$180)</f>
        <v>57</v>
      </c>
      <c r="T59" s="776">
        <f t="shared" si="52"/>
        <v>0</v>
      </c>
      <c r="U59" s="1992"/>
      <c r="V59" s="778">
        <f t="shared" si="18"/>
        <v>0</v>
      </c>
      <c r="W59" s="772">
        <v>0</v>
      </c>
      <c r="X59" s="779"/>
      <c r="Y59" s="776">
        <v>0</v>
      </c>
      <c r="Z59" s="780">
        <f t="shared" si="53"/>
        <v>0</v>
      </c>
      <c r="AA59" s="785"/>
      <c r="AB59" s="785"/>
      <c r="AC59" s="170"/>
      <c r="AD59" s="781">
        <f t="shared" si="41"/>
        <v>0</v>
      </c>
      <c r="AE59" s="781">
        <f t="shared" si="54"/>
        <v>0</v>
      </c>
      <c r="AF59" s="781">
        <f t="shared" si="42"/>
        <v>0</v>
      </c>
      <c r="AG59" s="781">
        <f t="shared" si="43"/>
        <v>0</v>
      </c>
      <c r="AH59" s="781">
        <f t="shared" si="55"/>
        <v>0</v>
      </c>
      <c r="AI59" s="782">
        <f t="shared" si="44"/>
        <v>0</v>
      </c>
      <c r="AJ59" s="781">
        <f t="shared" si="45"/>
        <v>0</v>
      </c>
      <c r="AK59" s="781">
        <f t="shared" si="56"/>
        <v>0</v>
      </c>
      <c r="AL59" s="781">
        <f t="shared" si="46"/>
        <v>0</v>
      </c>
      <c r="AM59" s="781">
        <f t="shared" si="47"/>
        <v>0</v>
      </c>
      <c r="AN59" s="781">
        <f t="shared" si="57"/>
        <v>0</v>
      </c>
      <c r="AO59" s="781">
        <f t="shared" si="48"/>
        <v>0</v>
      </c>
      <c r="AP59" s="781">
        <f t="shared" si="49"/>
        <v>0</v>
      </c>
      <c r="AQ59" s="781">
        <f t="shared" si="58"/>
        <v>0</v>
      </c>
      <c r="AR59" s="781">
        <f t="shared" si="50"/>
        <v>0</v>
      </c>
      <c r="AS59" s="783">
        <f t="shared" si="59"/>
        <v>0</v>
      </c>
      <c r="AT59" s="790"/>
      <c r="AU59" s="170"/>
      <c r="AV59" s="170"/>
      <c r="AW59" s="837"/>
      <c r="AX59" s="838"/>
    </row>
    <row r="60" spans="1:50" ht="15" x14ac:dyDescent="0.25">
      <c r="A60" s="784"/>
      <c r="B60" s="719">
        <f t="shared" si="17"/>
        <v>52</v>
      </c>
      <c r="C60" s="170"/>
      <c r="D60" s="557"/>
      <c r="E60" s="170"/>
      <c r="F60" s="557"/>
      <c r="G60" s="938"/>
      <c r="H60" s="847"/>
      <c r="I60" s="768"/>
      <c r="J60" s="768"/>
      <c r="K60" s="768"/>
      <c r="L60" s="170"/>
      <c r="M60" s="845">
        <v>0</v>
      </c>
      <c r="N60" s="846">
        <v>1</v>
      </c>
      <c r="O60" s="773">
        <f t="shared" si="51"/>
        <v>0</v>
      </c>
      <c r="P60" s="768" t="s">
        <v>604</v>
      </c>
      <c r="Q60" s="768" t="s">
        <v>604</v>
      </c>
      <c r="R60" s="2011" t="s">
        <v>2498</v>
      </c>
      <c r="S60" s="775">
        <f>SUMIF('Data Input sheet'!$B$118:$B$180,R60,'Data Input sheet'!$D$118:$D$180)</f>
        <v>57</v>
      </c>
      <c r="T60" s="776">
        <f t="shared" si="52"/>
        <v>0</v>
      </c>
      <c r="U60" s="1992"/>
      <c r="V60" s="778">
        <f t="shared" si="18"/>
        <v>0</v>
      </c>
      <c r="W60" s="772">
        <v>0</v>
      </c>
      <c r="X60" s="779"/>
      <c r="Y60" s="776">
        <v>0</v>
      </c>
      <c r="Z60" s="780">
        <f t="shared" si="53"/>
        <v>0</v>
      </c>
      <c r="AA60" s="785"/>
      <c r="AB60" s="785"/>
      <c r="AC60" s="170"/>
      <c r="AD60" s="781">
        <f t="shared" si="41"/>
        <v>0</v>
      </c>
      <c r="AE60" s="781">
        <f t="shared" si="54"/>
        <v>0</v>
      </c>
      <c r="AF60" s="781">
        <f t="shared" si="42"/>
        <v>0</v>
      </c>
      <c r="AG60" s="781">
        <f t="shared" si="43"/>
        <v>0</v>
      </c>
      <c r="AH60" s="781">
        <f t="shared" si="55"/>
        <v>0</v>
      </c>
      <c r="AI60" s="782">
        <f t="shared" si="44"/>
        <v>0</v>
      </c>
      <c r="AJ60" s="781">
        <f t="shared" si="45"/>
        <v>0</v>
      </c>
      <c r="AK60" s="781">
        <f t="shared" si="56"/>
        <v>0</v>
      </c>
      <c r="AL60" s="781">
        <f t="shared" si="46"/>
        <v>0</v>
      </c>
      <c r="AM60" s="781">
        <f t="shared" si="47"/>
        <v>0</v>
      </c>
      <c r="AN60" s="781">
        <f t="shared" si="57"/>
        <v>0</v>
      </c>
      <c r="AO60" s="781">
        <f t="shared" si="48"/>
        <v>0</v>
      </c>
      <c r="AP60" s="781">
        <f t="shared" si="49"/>
        <v>0</v>
      </c>
      <c r="AQ60" s="781">
        <f t="shared" si="58"/>
        <v>0</v>
      </c>
      <c r="AR60" s="781">
        <f t="shared" si="50"/>
        <v>0</v>
      </c>
      <c r="AS60" s="783">
        <f t="shared" si="59"/>
        <v>0</v>
      </c>
      <c r="AT60" s="790"/>
      <c r="AU60" s="170"/>
      <c r="AV60" s="170"/>
      <c r="AW60" s="837"/>
      <c r="AX60" s="838"/>
    </row>
    <row r="61" spans="1:50" ht="15" x14ac:dyDescent="0.25">
      <c r="A61" s="784"/>
      <c r="B61" s="719">
        <f t="shared" si="17"/>
        <v>53</v>
      </c>
      <c r="C61" s="170"/>
      <c r="D61" s="557"/>
      <c r="E61" s="170"/>
      <c r="F61" s="557"/>
      <c r="G61" s="938"/>
      <c r="H61" s="847"/>
      <c r="I61" s="768"/>
      <c r="J61" s="768"/>
      <c r="K61" s="768"/>
      <c r="L61" s="170"/>
      <c r="M61" s="845">
        <v>0</v>
      </c>
      <c r="N61" s="846">
        <v>1</v>
      </c>
      <c r="O61" s="773">
        <f t="shared" si="51"/>
        <v>0</v>
      </c>
      <c r="P61" s="768" t="s">
        <v>604</v>
      </c>
      <c r="Q61" s="768" t="s">
        <v>604</v>
      </c>
      <c r="R61" s="2011" t="s">
        <v>2498</v>
      </c>
      <c r="S61" s="775">
        <f>SUMIF('Data Input sheet'!$B$118:$B$180,R61,'Data Input sheet'!$D$118:$D$180)</f>
        <v>57</v>
      </c>
      <c r="T61" s="776">
        <f t="shared" si="52"/>
        <v>0</v>
      </c>
      <c r="U61" s="1992"/>
      <c r="V61" s="778">
        <f t="shared" si="18"/>
        <v>0</v>
      </c>
      <c r="W61" s="772">
        <v>0</v>
      </c>
      <c r="X61" s="779"/>
      <c r="Y61" s="776">
        <v>0</v>
      </c>
      <c r="Z61" s="780">
        <f t="shared" si="53"/>
        <v>0</v>
      </c>
      <c r="AA61" s="785"/>
      <c r="AB61" s="785"/>
      <c r="AC61" s="170"/>
      <c r="AD61" s="781">
        <f t="shared" si="41"/>
        <v>0</v>
      </c>
      <c r="AE61" s="781">
        <f t="shared" si="54"/>
        <v>0</v>
      </c>
      <c r="AF61" s="781">
        <f t="shared" si="42"/>
        <v>0</v>
      </c>
      <c r="AG61" s="781">
        <f t="shared" si="43"/>
        <v>0</v>
      </c>
      <c r="AH61" s="781">
        <f t="shared" si="55"/>
        <v>0</v>
      </c>
      <c r="AI61" s="782">
        <f t="shared" si="44"/>
        <v>0</v>
      </c>
      <c r="AJ61" s="781">
        <f t="shared" si="45"/>
        <v>0</v>
      </c>
      <c r="AK61" s="781">
        <f t="shared" si="56"/>
        <v>0</v>
      </c>
      <c r="AL61" s="781">
        <f t="shared" si="46"/>
        <v>0</v>
      </c>
      <c r="AM61" s="781">
        <f t="shared" si="47"/>
        <v>0</v>
      </c>
      <c r="AN61" s="781">
        <f t="shared" si="57"/>
        <v>0</v>
      </c>
      <c r="AO61" s="781">
        <f t="shared" si="48"/>
        <v>0</v>
      </c>
      <c r="AP61" s="781">
        <f t="shared" si="49"/>
        <v>0</v>
      </c>
      <c r="AQ61" s="781">
        <f t="shared" si="58"/>
        <v>0</v>
      </c>
      <c r="AR61" s="781">
        <f t="shared" si="50"/>
        <v>0</v>
      </c>
      <c r="AS61" s="783">
        <f t="shared" si="59"/>
        <v>0</v>
      </c>
      <c r="AT61" s="790"/>
      <c r="AU61" s="170"/>
      <c r="AV61" s="170"/>
      <c r="AW61" s="837"/>
      <c r="AX61" s="838"/>
    </row>
    <row r="62" spans="1:50" ht="15" x14ac:dyDescent="0.25">
      <c r="A62" s="784"/>
      <c r="B62" s="719">
        <f t="shared" si="17"/>
        <v>54</v>
      </c>
      <c r="C62" s="170"/>
      <c r="D62" s="557"/>
      <c r="E62" s="170"/>
      <c r="F62" s="557"/>
      <c r="G62" s="938"/>
      <c r="H62" s="847"/>
      <c r="I62" s="768"/>
      <c r="J62" s="768"/>
      <c r="K62" s="768"/>
      <c r="L62" s="170"/>
      <c r="M62" s="845">
        <v>0</v>
      </c>
      <c r="N62" s="846">
        <v>1</v>
      </c>
      <c r="O62" s="773">
        <f t="shared" si="51"/>
        <v>0</v>
      </c>
      <c r="P62" s="768" t="s">
        <v>604</v>
      </c>
      <c r="Q62" s="768" t="s">
        <v>604</v>
      </c>
      <c r="R62" s="2011" t="s">
        <v>2498</v>
      </c>
      <c r="S62" s="775">
        <f>SUMIF('Data Input sheet'!$B$118:$B$180,R62,'Data Input sheet'!$D$118:$D$180)</f>
        <v>57</v>
      </c>
      <c r="T62" s="776">
        <f t="shared" si="52"/>
        <v>0</v>
      </c>
      <c r="U62" s="1992"/>
      <c r="V62" s="778">
        <f t="shared" si="18"/>
        <v>0</v>
      </c>
      <c r="W62" s="772">
        <v>0</v>
      </c>
      <c r="X62" s="779"/>
      <c r="Y62" s="776">
        <v>0</v>
      </c>
      <c r="Z62" s="780">
        <f t="shared" si="53"/>
        <v>0</v>
      </c>
      <c r="AA62" s="785"/>
      <c r="AB62" s="785"/>
      <c r="AC62" s="170"/>
      <c r="AD62" s="781">
        <f t="shared" si="41"/>
        <v>0</v>
      </c>
      <c r="AE62" s="781">
        <f t="shared" si="54"/>
        <v>0</v>
      </c>
      <c r="AF62" s="781">
        <f t="shared" si="42"/>
        <v>0</v>
      </c>
      <c r="AG62" s="781">
        <f t="shared" si="43"/>
        <v>0</v>
      </c>
      <c r="AH62" s="781">
        <f t="shared" si="55"/>
        <v>0</v>
      </c>
      <c r="AI62" s="782">
        <f t="shared" si="44"/>
        <v>0</v>
      </c>
      <c r="AJ62" s="781">
        <f t="shared" si="45"/>
        <v>0</v>
      </c>
      <c r="AK62" s="781">
        <f t="shared" si="56"/>
        <v>0</v>
      </c>
      <c r="AL62" s="781">
        <f t="shared" si="46"/>
        <v>0</v>
      </c>
      <c r="AM62" s="781">
        <f t="shared" si="47"/>
        <v>0</v>
      </c>
      <c r="AN62" s="781">
        <f t="shared" si="57"/>
        <v>0</v>
      </c>
      <c r="AO62" s="781">
        <f t="shared" si="48"/>
        <v>0</v>
      </c>
      <c r="AP62" s="781">
        <f t="shared" si="49"/>
        <v>0</v>
      </c>
      <c r="AQ62" s="781">
        <f t="shared" si="58"/>
        <v>0</v>
      </c>
      <c r="AR62" s="781">
        <f t="shared" si="50"/>
        <v>0</v>
      </c>
      <c r="AS62" s="783">
        <f t="shared" si="59"/>
        <v>0</v>
      </c>
      <c r="AT62" s="790"/>
      <c r="AU62" s="170"/>
      <c r="AV62" s="170"/>
      <c r="AW62" s="837"/>
      <c r="AX62" s="838"/>
    </row>
    <row r="63" spans="1:50" ht="15" x14ac:dyDescent="0.25">
      <c r="A63" s="784"/>
      <c r="B63" s="719">
        <f>B54+1</f>
        <v>47</v>
      </c>
      <c r="C63" s="170"/>
      <c r="D63" s="557"/>
      <c r="E63" s="170"/>
      <c r="F63" s="557"/>
      <c r="G63" s="938"/>
      <c r="H63" s="847"/>
      <c r="I63" s="768"/>
      <c r="J63" s="768"/>
      <c r="K63" s="768"/>
      <c r="L63" s="170"/>
      <c r="M63" s="845">
        <v>0</v>
      </c>
      <c r="N63" s="846">
        <v>1</v>
      </c>
      <c r="O63" s="773">
        <f t="shared" si="51"/>
        <v>0</v>
      </c>
      <c r="P63" s="768" t="s">
        <v>604</v>
      </c>
      <c r="Q63" s="768" t="s">
        <v>604</v>
      </c>
      <c r="R63" s="2011" t="s">
        <v>2498</v>
      </c>
      <c r="S63" s="775">
        <f>SUMIF('Data Input sheet'!$B$118:$B$180,R63,'Data Input sheet'!$D$118:$D$180)</f>
        <v>57</v>
      </c>
      <c r="T63" s="776">
        <f t="shared" si="52"/>
        <v>0</v>
      </c>
      <c r="U63" s="1992"/>
      <c r="V63" s="778">
        <f t="shared" si="18"/>
        <v>0</v>
      </c>
      <c r="W63" s="772">
        <v>0</v>
      </c>
      <c r="X63" s="779"/>
      <c r="Y63" s="776">
        <v>0</v>
      </c>
      <c r="Z63" s="780">
        <f t="shared" si="40"/>
        <v>0</v>
      </c>
      <c r="AA63" s="785"/>
      <c r="AB63" s="785"/>
      <c r="AC63" s="170"/>
      <c r="AD63" s="781">
        <f t="shared" si="41"/>
        <v>0</v>
      </c>
      <c r="AE63" s="781">
        <f t="shared" si="23"/>
        <v>0</v>
      </c>
      <c r="AF63" s="781">
        <f t="shared" si="42"/>
        <v>0</v>
      </c>
      <c r="AG63" s="781">
        <f t="shared" si="43"/>
        <v>0</v>
      </c>
      <c r="AH63" s="781">
        <f t="shared" si="26"/>
        <v>0</v>
      </c>
      <c r="AI63" s="782">
        <f t="shared" si="44"/>
        <v>0</v>
      </c>
      <c r="AJ63" s="781">
        <f t="shared" si="45"/>
        <v>0</v>
      </c>
      <c r="AK63" s="781">
        <f t="shared" si="29"/>
        <v>0</v>
      </c>
      <c r="AL63" s="781">
        <f t="shared" si="46"/>
        <v>0</v>
      </c>
      <c r="AM63" s="781">
        <f t="shared" si="47"/>
        <v>0</v>
      </c>
      <c r="AN63" s="781">
        <f t="shared" si="32"/>
        <v>0</v>
      </c>
      <c r="AO63" s="781">
        <f t="shared" si="48"/>
        <v>0</v>
      </c>
      <c r="AP63" s="781">
        <f t="shared" si="49"/>
        <v>0</v>
      </c>
      <c r="AQ63" s="781">
        <f t="shared" si="35"/>
        <v>0</v>
      </c>
      <c r="AR63" s="781">
        <f t="shared" si="50"/>
        <v>0</v>
      </c>
      <c r="AS63" s="783">
        <f t="shared" si="59"/>
        <v>0</v>
      </c>
      <c r="AT63" s="790"/>
      <c r="AU63" s="170"/>
      <c r="AV63" s="170"/>
      <c r="AW63" s="837"/>
      <c r="AX63" s="838"/>
    </row>
    <row r="64" spans="1:50" ht="15" x14ac:dyDescent="0.25">
      <c r="A64" s="784"/>
      <c r="B64" s="719">
        <f t="shared" si="17"/>
        <v>48</v>
      </c>
      <c r="C64" s="170"/>
      <c r="D64" s="557"/>
      <c r="E64" s="170"/>
      <c r="F64" s="557"/>
      <c r="G64" s="937"/>
      <c r="H64" s="784"/>
      <c r="I64" s="784"/>
      <c r="J64" s="784"/>
      <c r="K64" s="784"/>
      <c r="L64" s="170"/>
      <c r="M64" s="773"/>
      <c r="N64" s="773"/>
      <c r="O64" s="773"/>
      <c r="P64" s="788"/>
      <c r="Q64" s="788"/>
      <c r="R64" s="773"/>
      <c r="S64" s="773"/>
      <c r="T64" s="779"/>
      <c r="U64" s="789"/>
      <c r="V64" s="778"/>
      <c r="W64" s="778"/>
      <c r="X64" s="779"/>
      <c r="Y64" s="779"/>
      <c r="Z64" s="780"/>
      <c r="AA64" s="787"/>
      <c r="AB64" s="787"/>
      <c r="AC64" s="170"/>
      <c r="AD64" s="781">
        <f t="shared" si="41"/>
        <v>0</v>
      </c>
      <c r="AE64" s="781">
        <f>+AF64-AD64</f>
        <v>0</v>
      </c>
      <c r="AF64" s="781">
        <f t="shared" si="42"/>
        <v>0</v>
      </c>
      <c r="AG64" s="781">
        <f t="shared" si="43"/>
        <v>0</v>
      </c>
      <c r="AH64" s="781">
        <f>+AI64-AG64</f>
        <v>0</v>
      </c>
      <c r="AI64" s="782">
        <f t="shared" si="44"/>
        <v>0</v>
      </c>
      <c r="AJ64" s="781">
        <f t="shared" si="45"/>
        <v>0</v>
      </c>
      <c r="AK64" s="781">
        <f>+AL64-AJ64</f>
        <v>0</v>
      </c>
      <c r="AL64" s="781">
        <f t="shared" si="46"/>
        <v>0</v>
      </c>
      <c r="AM64" s="781">
        <f t="shared" si="47"/>
        <v>0</v>
      </c>
      <c r="AN64" s="781">
        <f>+AO64-AM64</f>
        <v>0</v>
      </c>
      <c r="AO64" s="781">
        <f t="shared" si="48"/>
        <v>0</v>
      </c>
      <c r="AP64" s="781">
        <f t="shared" si="49"/>
        <v>0</v>
      </c>
      <c r="AQ64" s="781">
        <f>+AR64-AP64</f>
        <v>0</v>
      </c>
      <c r="AR64" s="781">
        <f t="shared" si="50"/>
        <v>0</v>
      </c>
      <c r="AS64" s="783">
        <f t="shared" si="59"/>
        <v>0</v>
      </c>
      <c r="AT64" s="790"/>
      <c r="AU64" s="170"/>
      <c r="AV64" s="170"/>
      <c r="AW64" s="837"/>
      <c r="AX64" s="838"/>
    </row>
    <row r="65" spans="1:50" ht="15" x14ac:dyDescent="0.25">
      <c r="A65" s="784"/>
      <c r="B65" s="719">
        <f t="shared" si="17"/>
        <v>49</v>
      </c>
      <c r="C65" s="170"/>
      <c r="D65" s="557"/>
      <c r="E65" s="170"/>
      <c r="F65" s="557"/>
      <c r="G65" s="937"/>
      <c r="H65" s="784"/>
      <c r="I65" s="784"/>
      <c r="J65" s="784"/>
      <c r="K65" s="784"/>
      <c r="L65" s="170"/>
      <c r="M65" s="773"/>
      <c r="N65" s="773"/>
      <c r="O65" s="773"/>
      <c r="P65" s="788"/>
      <c r="Q65" s="788"/>
      <c r="R65" s="773"/>
      <c r="S65" s="773"/>
      <c r="T65" s="779"/>
      <c r="U65" s="789"/>
      <c r="V65" s="778"/>
      <c r="W65" s="778"/>
      <c r="X65" s="779"/>
      <c r="Y65" s="779"/>
      <c r="Z65" s="780"/>
      <c r="AA65" s="787"/>
      <c r="AB65" s="787"/>
      <c r="AC65" s="170"/>
      <c r="AD65" s="781">
        <f t="shared" si="41"/>
        <v>0</v>
      </c>
      <c r="AE65" s="781">
        <f>+AF65-AD65</f>
        <v>0</v>
      </c>
      <c r="AF65" s="781">
        <f t="shared" si="42"/>
        <v>0</v>
      </c>
      <c r="AG65" s="781">
        <f t="shared" si="43"/>
        <v>0</v>
      </c>
      <c r="AH65" s="781">
        <f>+AI65-AG65</f>
        <v>0</v>
      </c>
      <c r="AI65" s="782">
        <f t="shared" si="44"/>
        <v>0</v>
      </c>
      <c r="AJ65" s="781">
        <f t="shared" si="45"/>
        <v>0</v>
      </c>
      <c r="AK65" s="781">
        <f>+AL65-AJ65</f>
        <v>0</v>
      </c>
      <c r="AL65" s="781">
        <f t="shared" si="46"/>
        <v>0</v>
      </c>
      <c r="AM65" s="781">
        <f t="shared" si="47"/>
        <v>0</v>
      </c>
      <c r="AN65" s="781">
        <f>+AO65-AM65</f>
        <v>0</v>
      </c>
      <c r="AO65" s="781">
        <f t="shared" si="48"/>
        <v>0</v>
      </c>
      <c r="AP65" s="781">
        <f t="shared" si="49"/>
        <v>0</v>
      </c>
      <c r="AQ65" s="781">
        <f>+AR65-AP65</f>
        <v>0</v>
      </c>
      <c r="AR65" s="781">
        <f t="shared" si="50"/>
        <v>0</v>
      </c>
      <c r="AS65" s="783">
        <f t="shared" si="59"/>
        <v>0</v>
      </c>
      <c r="AT65" s="790"/>
      <c r="AU65" s="170"/>
      <c r="AV65" s="170"/>
      <c r="AW65" s="837"/>
      <c r="AX65" s="838"/>
    </row>
    <row r="66" spans="1:50" ht="15" x14ac:dyDescent="0.25">
      <c r="A66" s="784"/>
      <c r="B66" s="719">
        <f t="shared" si="17"/>
        <v>50</v>
      </c>
      <c r="C66" s="170"/>
      <c r="D66" s="557"/>
      <c r="E66" s="170"/>
      <c r="F66" s="557"/>
      <c r="G66" s="939"/>
      <c r="H66" s="784"/>
      <c r="I66" s="784"/>
      <c r="J66" s="784"/>
      <c r="K66" s="784"/>
      <c r="L66" s="170"/>
      <c r="M66" s="773"/>
      <c r="N66" s="773"/>
      <c r="O66" s="773"/>
      <c r="P66" s="788"/>
      <c r="Q66" s="788"/>
      <c r="R66" s="773"/>
      <c r="S66" s="773"/>
      <c r="T66" s="779"/>
      <c r="U66" s="789"/>
      <c r="V66" s="778"/>
      <c r="W66" s="778"/>
      <c r="X66" s="779"/>
      <c r="Y66" s="779"/>
      <c r="Z66" s="780"/>
      <c r="AA66" s="787"/>
      <c r="AB66" s="787"/>
      <c r="AC66" s="170"/>
      <c r="AD66" s="781">
        <f t="shared" si="41"/>
        <v>0</v>
      </c>
      <c r="AE66" s="781">
        <f>+AF66-AD66</f>
        <v>0</v>
      </c>
      <c r="AF66" s="781">
        <f t="shared" si="42"/>
        <v>0</v>
      </c>
      <c r="AG66" s="781">
        <f t="shared" si="43"/>
        <v>0</v>
      </c>
      <c r="AH66" s="781">
        <f>+AI66-AG66</f>
        <v>0</v>
      </c>
      <c r="AI66" s="782">
        <f t="shared" si="44"/>
        <v>0</v>
      </c>
      <c r="AJ66" s="781">
        <f t="shared" si="45"/>
        <v>0</v>
      </c>
      <c r="AK66" s="781">
        <f>+AL66-AJ66</f>
        <v>0</v>
      </c>
      <c r="AL66" s="781">
        <f t="shared" si="46"/>
        <v>0</v>
      </c>
      <c r="AM66" s="781">
        <f t="shared" si="47"/>
        <v>0</v>
      </c>
      <c r="AN66" s="781">
        <f>+AO66-AM66</f>
        <v>0</v>
      </c>
      <c r="AO66" s="781">
        <f t="shared" si="48"/>
        <v>0</v>
      </c>
      <c r="AP66" s="781">
        <f t="shared" si="49"/>
        <v>0</v>
      </c>
      <c r="AQ66" s="781">
        <f>+AR66-AP66</f>
        <v>0</v>
      </c>
      <c r="AR66" s="781">
        <f t="shared" si="50"/>
        <v>0</v>
      </c>
      <c r="AS66" s="783">
        <f t="shared" si="59"/>
        <v>0</v>
      </c>
      <c r="AT66" s="790"/>
      <c r="AU66" s="170"/>
      <c r="AV66" s="170"/>
      <c r="AW66" s="837"/>
      <c r="AX66" s="838"/>
    </row>
    <row r="67" spans="1:50" ht="15" x14ac:dyDescent="0.25">
      <c r="A67" s="784"/>
      <c r="B67" s="719">
        <f t="shared" si="17"/>
        <v>51</v>
      </c>
      <c r="C67" s="170"/>
      <c r="D67" s="557"/>
      <c r="E67" s="170"/>
      <c r="F67" s="557"/>
      <c r="G67" s="937"/>
      <c r="H67" s="784"/>
      <c r="I67" s="784"/>
      <c r="J67" s="784"/>
      <c r="K67" s="784"/>
      <c r="L67" s="170"/>
      <c r="M67" s="773"/>
      <c r="N67" s="773"/>
      <c r="O67" s="773"/>
      <c r="P67" s="788"/>
      <c r="Q67" s="788"/>
      <c r="R67" s="773"/>
      <c r="S67" s="773"/>
      <c r="T67" s="779"/>
      <c r="U67" s="789"/>
      <c r="V67" s="778"/>
      <c r="W67" s="778"/>
      <c r="X67" s="779"/>
      <c r="Y67" s="779"/>
      <c r="Z67" s="780"/>
      <c r="AA67" s="787"/>
      <c r="AB67" s="787"/>
      <c r="AC67" s="170"/>
      <c r="AD67" s="781">
        <f t="shared" si="41"/>
        <v>0</v>
      </c>
      <c r="AE67" s="781">
        <f>+AF67-AD67</f>
        <v>0</v>
      </c>
      <c r="AF67" s="781">
        <f t="shared" si="42"/>
        <v>0</v>
      </c>
      <c r="AG67" s="781">
        <f t="shared" si="43"/>
        <v>0</v>
      </c>
      <c r="AH67" s="781">
        <f>+AI67-AG67</f>
        <v>0</v>
      </c>
      <c r="AI67" s="782">
        <f t="shared" si="44"/>
        <v>0</v>
      </c>
      <c r="AJ67" s="781">
        <f t="shared" si="45"/>
        <v>0</v>
      </c>
      <c r="AK67" s="781">
        <f>+AL67-AJ67</f>
        <v>0</v>
      </c>
      <c r="AL67" s="781">
        <f t="shared" si="46"/>
        <v>0</v>
      </c>
      <c r="AM67" s="781">
        <f t="shared" si="47"/>
        <v>0</v>
      </c>
      <c r="AN67" s="781">
        <f>+AO67-AM67</f>
        <v>0</v>
      </c>
      <c r="AO67" s="781">
        <f t="shared" si="48"/>
        <v>0</v>
      </c>
      <c r="AP67" s="781">
        <f t="shared" si="49"/>
        <v>0</v>
      </c>
      <c r="AQ67" s="781">
        <f>+AR67-AP67</f>
        <v>0</v>
      </c>
      <c r="AR67" s="781">
        <f t="shared" si="50"/>
        <v>0</v>
      </c>
      <c r="AS67" s="783">
        <f t="shared" si="59"/>
        <v>0</v>
      </c>
      <c r="AT67" s="790"/>
      <c r="AU67" s="170"/>
      <c r="AV67" s="170"/>
      <c r="AW67" s="837"/>
      <c r="AX67" s="838"/>
    </row>
    <row r="68" spans="1:50" ht="15" x14ac:dyDescent="0.25">
      <c r="A68" s="784"/>
      <c r="B68" s="719">
        <f t="shared" si="17"/>
        <v>52</v>
      </c>
      <c r="C68" s="170"/>
      <c r="D68" s="557"/>
      <c r="E68" s="170"/>
      <c r="F68" s="557"/>
      <c r="G68" s="937"/>
      <c r="H68" s="784"/>
      <c r="I68" s="784"/>
      <c r="J68" s="784"/>
      <c r="K68" s="784"/>
      <c r="L68" s="170"/>
      <c r="M68" s="773"/>
      <c r="N68" s="773"/>
      <c r="O68" s="773"/>
      <c r="P68" s="788"/>
      <c r="Q68" s="788"/>
      <c r="R68" s="773"/>
      <c r="S68" s="773"/>
      <c r="T68" s="779"/>
      <c r="U68" s="789"/>
      <c r="V68" s="778"/>
      <c r="W68" s="778"/>
      <c r="X68" s="779"/>
      <c r="Y68" s="779"/>
      <c r="Z68" s="780"/>
      <c r="AA68" s="787"/>
      <c r="AB68" s="787"/>
      <c r="AC68" s="170"/>
      <c r="AD68" s="781">
        <f t="shared" si="41"/>
        <v>0</v>
      </c>
      <c r="AE68" s="781">
        <f>+AF68-AD68</f>
        <v>0</v>
      </c>
      <c r="AF68" s="781">
        <f t="shared" si="42"/>
        <v>0</v>
      </c>
      <c r="AG68" s="781">
        <f t="shared" si="43"/>
        <v>0</v>
      </c>
      <c r="AH68" s="781">
        <f>+AI68-AG68</f>
        <v>0</v>
      </c>
      <c r="AI68" s="782">
        <f t="shared" si="44"/>
        <v>0</v>
      </c>
      <c r="AJ68" s="781">
        <f t="shared" si="45"/>
        <v>0</v>
      </c>
      <c r="AK68" s="781">
        <f>+AL68-AJ68</f>
        <v>0</v>
      </c>
      <c r="AL68" s="781">
        <f t="shared" si="46"/>
        <v>0</v>
      </c>
      <c r="AM68" s="781">
        <f t="shared" si="47"/>
        <v>0</v>
      </c>
      <c r="AN68" s="781">
        <f>+AO68-AM68</f>
        <v>0</v>
      </c>
      <c r="AO68" s="781">
        <f t="shared" si="48"/>
        <v>0</v>
      </c>
      <c r="AP68" s="781">
        <f t="shared" si="49"/>
        <v>0</v>
      </c>
      <c r="AQ68" s="781">
        <f>+AR68-AP68</f>
        <v>0</v>
      </c>
      <c r="AR68" s="781">
        <f t="shared" si="50"/>
        <v>0</v>
      </c>
      <c r="AS68" s="783">
        <f t="shared" si="59"/>
        <v>0</v>
      </c>
      <c r="AT68" s="790"/>
      <c r="AU68" s="170"/>
      <c r="AV68" s="170"/>
      <c r="AW68" s="837"/>
      <c r="AX68" s="838"/>
    </row>
    <row r="69" spans="1:50" ht="15" x14ac:dyDescent="0.25">
      <c r="A69" s="784"/>
      <c r="B69" s="719">
        <f t="shared" si="17"/>
        <v>53</v>
      </c>
      <c r="C69" s="170"/>
      <c r="D69" s="557"/>
      <c r="E69" s="170"/>
      <c r="F69" s="557"/>
      <c r="G69" s="792" t="s">
        <v>592</v>
      </c>
      <c r="H69" s="784"/>
      <c r="I69" s="784"/>
      <c r="J69" s="784"/>
      <c r="K69" s="784"/>
      <c r="L69" s="170"/>
      <c r="M69" s="773"/>
      <c r="N69" s="773"/>
      <c r="O69" s="773"/>
      <c r="P69" s="793"/>
      <c r="Q69" s="793"/>
      <c r="R69" s="773"/>
      <c r="S69" s="773"/>
      <c r="T69" s="779"/>
      <c r="U69" s="789"/>
      <c r="V69" s="778"/>
      <c r="W69" s="778"/>
      <c r="X69" s="779"/>
      <c r="Y69" s="779"/>
      <c r="Z69" s="780"/>
      <c r="AA69" s="787"/>
      <c r="AB69" s="787"/>
      <c r="AC69" s="170"/>
      <c r="AD69" s="1816">
        <f t="shared" ref="AD69:AS69" si="60">SUM(AD9:AD68)</f>
        <v>600</v>
      </c>
      <c r="AE69" s="1816">
        <f t="shared" si="60"/>
        <v>224</v>
      </c>
      <c r="AF69" s="1816">
        <f t="shared" si="60"/>
        <v>824</v>
      </c>
      <c r="AG69" s="1816">
        <f t="shared" si="60"/>
        <v>34200</v>
      </c>
      <c r="AH69" s="1816">
        <f t="shared" si="60"/>
        <v>34048</v>
      </c>
      <c r="AI69" s="1816">
        <f t="shared" si="60"/>
        <v>68248</v>
      </c>
      <c r="AJ69" s="1816">
        <f t="shared" si="60"/>
        <v>0</v>
      </c>
      <c r="AK69" s="1816">
        <f t="shared" si="60"/>
        <v>3405</v>
      </c>
      <c r="AL69" s="1816">
        <f t="shared" si="60"/>
        <v>3405</v>
      </c>
      <c r="AM69" s="1816">
        <f t="shared" si="60"/>
        <v>0</v>
      </c>
      <c r="AN69" s="1816">
        <f t="shared" si="60"/>
        <v>1500</v>
      </c>
      <c r="AO69" s="1816">
        <f t="shared" si="60"/>
        <v>1500</v>
      </c>
      <c r="AP69" s="1816">
        <f t="shared" si="60"/>
        <v>229000</v>
      </c>
      <c r="AQ69" s="1816">
        <f t="shared" si="60"/>
        <v>0</v>
      </c>
      <c r="AR69" s="1816">
        <f t="shared" si="60"/>
        <v>229000</v>
      </c>
      <c r="AS69" s="1816">
        <f t="shared" si="60"/>
        <v>302153</v>
      </c>
      <c r="AT69" s="795"/>
      <c r="AU69" s="170"/>
      <c r="AV69" s="170"/>
      <c r="AW69" s="836"/>
      <c r="AX69" s="787"/>
    </row>
    <row r="70" spans="1:50" ht="15.75" thickBot="1" x14ac:dyDescent="0.3">
      <c r="A70" s="784"/>
      <c r="B70" s="719">
        <f t="shared" si="17"/>
        <v>54</v>
      </c>
      <c r="C70" s="170"/>
      <c r="D70" s="574"/>
      <c r="E70" s="576"/>
      <c r="F70" s="574"/>
      <c r="G70" s="796"/>
      <c r="H70" s="797"/>
      <c r="I70" s="797"/>
      <c r="J70" s="797"/>
      <c r="K70" s="797"/>
      <c r="L70" s="576"/>
      <c r="M70" s="798"/>
      <c r="N70" s="798"/>
      <c r="O70" s="798"/>
      <c r="P70" s="799"/>
      <c r="Q70" s="799"/>
      <c r="R70" s="798"/>
      <c r="S70" s="798"/>
      <c r="T70" s="800"/>
      <c r="U70" s="801"/>
      <c r="V70" s="802"/>
      <c r="W70" s="802"/>
      <c r="X70" s="800"/>
      <c r="Y70" s="800"/>
      <c r="Z70" s="803"/>
      <c r="AA70" s="796"/>
      <c r="AB70" s="796"/>
      <c r="AC70" s="576"/>
      <c r="AD70" s="805"/>
      <c r="AE70" s="805"/>
      <c r="AF70" s="576"/>
      <c r="AG70" s="576"/>
      <c r="AH70" s="576"/>
      <c r="AI70" s="806"/>
      <c r="AJ70" s="806"/>
      <c r="AK70" s="806"/>
      <c r="AL70" s="806"/>
      <c r="AM70" s="806"/>
      <c r="AN70" s="806"/>
      <c r="AO70" s="806"/>
      <c r="AP70" s="806"/>
      <c r="AQ70" s="806"/>
      <c r="AR70" s="806"/>
      <c r="AS70" s="806"/>
      <c r="AT70" s="587"/>
      <c r="AU70" s="170"/>
      <c r="AV70" s="170"/>
      <c r="AW70" s="843"/>
      <c r="AX70" s="796"/>
    </row>
    <row r="71" spans="1:50" ht="15.75" thickTop="1" x14ac:dyDescent="0.25">
      <c r="A71" s="170"/>
      <c r="B71" s="719"/>
      <c r="C71" s="170"/>
      <c r="D71" s="170"/>
      <c r="E71" s="170"/>
      <c r="F71" s="170"/>
      <c r="G71" s="170"/>
      <c r="H71" s="170"/>
      <c r="I71" s="170"/>
      <c r="J71" s="170"/>
      <c r="K71" s="170"/>
      <c r="L71" s="170"/>
      <c r="M71" s="170"/>
      <c r="N71" s="170"/>
      <c r="O71" s="170"/>
      <c r="P71" s="170"/>
      <c r="Q71" s="170"/>
      <c r="R71" s="170"/>
      <c r="S71" s="170"/>
      <c r="T71" s="170"/>
      <c r="U71" s="170"/>
      <c r="V71" s="170"/>
      <c r="W71" s="170"/>
      <c r="X71" s="170"/>
      <c r="Y71" s="170"/>
      <c r="Z71" s="170"/>
      <c r="AA71" s="170"/>
      <c r="AB71" s="170"/>
      <c r="AC71" s="170"/>
      <c r="AD71" s="170"/>
      <c r="AE71" s="170"/>
      <c r="AF71" s="170"/>
      <c r="AG71" s="170"/>
      <c r="AH71" s="170"/>
      <c r="AI71" s="170"/>
      <c r="AJ71" s="170"/>
      <c r="AK71" s="170"/>
      <c r="AL71" s="170"/>
      <c r="AM71" s="170"/>
      <c r="AN71" s="170"/>
      <c r="AO71" s="170"/>
      <c r="AP71" s="170"/>
      <c r="AQ71" s="170"/>
      <c r="AR71" s="170"/>
      <c r="AS71" s="170"/>
      <c r="AT71" s="170"/>
      <c r="AU71" s="170"/>
      <c r="AV71" s="170"/>
      <c r="AW71" s="376"/>
      <c r="AX71" s="170"/>
    </row>
    <row r="72" spans="1:50" ht="15" x14ac:dyDescent="0.25">
      <c r="A72" s="170"/>
      <c r="B72" s="719"/>
      <c r="C72" s="170"/>
      <c r="D72" s="168" t="s">
        <v>742</v>
      </c>
      <c r="E72" s="170"/>
      <c r="F72" s="170"/>
      <c r="G72" s="721"/>
      <c r="H72" s="170"/>
      <c r="I72" s="170"/>
      <c r="J72" s="170"/>
      <c r="K72" s="168" t="s">
        <v>876</v>
      </c>
      <c r="L72" s="170"/>
      <c r="M72" s="848" t="s">
        <v>877</v>
      </c>
      <c r="N72" s="848" t="s">
        <v>878</v>
      </c>
      <c r="O72" s="848" t="s">
        <v>879</v>
      </c>
      <c r="P72" s="731"/>
      <c r="Q72" s="731"/>
      <c r="R72" s="730"/>
      <c r="S72" s="730"/>
      <c r="T72" s="723"/>
      <c r="U72" s="724"/>
      <c r="V72" s="725"/>
      <c r="W72" s="725"/>
      <c r="X72" s="723"/>
      <c r="Y72" s="723"/>
      <c r="Z72" s="723"/>
      <c r="AA72" s="726"/>
      <c r="AB72" s="726"/>
      <c r="AC72" s="170"/>
      <c r="AD72" s="586"/>
      <c r="AE72" s="586"/>
      <c r="AF72" s="170"/>
      <c r="AG72" s="170"/>
      <c r="AH72" s="170"/>
      <c r="AI72" s="170"/>
      <c r="AJ72" s="170"/>
      <c r="AK72" s="170"/>
      <c r="AL72" s="170"/>
      <c r="AM72" s="170"/>
      <c r="AN72" s="170"/>
      <c r="AO72" s="170"/>
      <c r="AP72" s="170"/>
      <c r="AQ72" s="170"/>
      <c r="AR72" s="170"/>
      <c r="AS72" s="170"/>
      <c r="AT72" s="170"/>
      <c r="AU72" s="170"/>
      <c r="AV72" s="170"/>
      <c r="AW72" s="828"/>
      <c r="AX72" s="726"/>
    </row>
    <row r="73" spans="1:50" ht="15" x14ac:dyDescent="0.25">
      <c r="A73" s="170"/>
      <c r="B73" s="719"/>
      <c r="C73" s="170"/>
      <c r="D73" s="170"/>
      <c r="E73" s="170"/>
      <c r="F73" s="170">
        <f>+Parameters!D4</f>
        <v>1</v>
      </c>
      <c r="G73" s="170" t="str">
        <f>+Parameters!E4</f>
        <v>General mob / demob</v>
      </c>
      <c r="H73" s="586"/>
      <c r="I73" s="170" t="str">
        <f>+Parameters!F4</f>
        <v>ls</v>
      </c>
      <c r="J73" s="170"/>
      <c r="K73" s="170" t="s">
        <v>880</v>
      </c>
      <c r="L73" s="170"/>
      <c r="M73" s="730">
        <f>0.8*3500</f>
        <v>2800</v>
      </c>
      <c r="N73" s="730">
        <f>0.2*3500</f>
        <v>700</v>
      </c>
      <c r="O73" s="730">
        <f>SUM(M73:N73)</f>
        <v>3500</v>
      </c>
      <c r="P73" s="731"/>
      <c r="Q73" s="731"/>
      <c r="R73" s="730"/>
      <c r="S73" s="730"/>
      <c r="T73" s="723"/>
      <c r="U73" s="724"/>
      <c r="V73" s="725"/>
      <c r="W73" s="725"/>
      <c r="X73" s="723"/>
      <c r="Y73" s="723"/>
      <c r="Z73" s="723"/>
      <c r="AA73" s="726"/>
      <c r="AB73" s="726"/>
      <c r="AC73" s="170"/>
      <c r="AD73" s="586">
        <f t="shared" ref="AD73:AS82" si="61">SUMIF($F$9:$F$70,$F73,AD$9:AD$70)</f>
        <v>0</v>
      </c>
      <c r="AE73" s="586">
        <f t="shared" si="61"/>
        <v>0</v>
      </c>
      <c r="AF73" s="586">
        <f t="shared" si="61"/>
        <v>0</v>
      </c>
      <c r="AG73" s="586">
        <f t="shared" si="61"/>
        <v>0</v>
      </c>
      <c r="AH73" s="586">
        <f t="shared" si="61"/>
        <v>0</v>
      </c>
      <c r="AI73" s="586">
        <f t="shared" si="61"/>
        <v>0</v>
      </c>
      <c r="AJ73" s="586">
        <f t="shared" si="61"/>
        <v>0</v>
      </c>
      <c r="AK73" s="586">
        <f t="shared" si="61"/>
        <v>0</v>
      </c>
      <c r="AL73" s="586">
        <f t="shared" si="61"/>
        <v>0</v>
      </c>
      <c r="AM73" s="586">
        <f t="shared" si="61"/>
        <v>0</v>
      </c>
      <c r="AN73" s="586">
        <f t="shared" si="61"/>
        <v>0</v>
      </c>
      <c r="AO73" s="586">
        <f t="shared" si="61"/>
        <v>0</v>
      </c>
      <c r="AP73" s="586">
        <f t="shared" si="61"/>
        <v>0</v>
      </c>
      <c r="AQ73" s="586">
        <f t="shared" si="61"/>
        <v>0</v>
      </c>
      <c r="AR73" s="586">
        <f t="shared" si="61"/>
        <v>0</v>
      </c>
      <c r="AS73" s="586">
        <f t="shared" si="61"/>
        <v>0</v>
      </c>
      <c r="AT73" s="170"/>
      <c r="AU73" s="170"/>
      <c r="AV73" s="170"/>
      <c r="AW73" s="828"/>
      <c r="AX73" s="726"/>
    </row>
    <row r="74" spans="1:50" ht="15" x14ac:dyDescent="0.25">
      <c r="A74" s="170"/>
      <c r="B74" s="719"/>
      <c r="C74" s="170"/>
      <c r="D74" s="170"/>
      <c r="E74" s="170"/>
      <c r="F74" s="170">
        <f>+Parameters!D5</f>
        <v>2</v>
      </c>
      <c r="G74" s="170" t="str">
        <f>+Parameters!E5</f>
        <v>General site work - general inc roads/paving</v>
      </c>
      <c r="H74" s="844"/>
      <c r="I74" s="170">
        <f>+Parameters!F5</f>
        <v>0</v>
      </c>
      <c r="J74" s="170"/>
      <c r="K74" s="170" t="s">
        <v>881</v>
      </c>
      <c r="L74" s="170"/>
      <c r="M74" s="730">
        <f>0.8*7000</f>
        <v>5600</v>
      </c>
      <c r="N74" s="730">
        <f>0.2*7000</f>
        <v>1400</v>
      </c>
      <c r="O74" s="730">
        <f>SUM(M74:N74)</f>
        <v>7000</v>
      </c>
      <c r="P74" s="731"/>
      <c r="Q74" s="731"/>
      <c r="R74" s="730"/>
      <c r="S74" s="730"/>
      <c r="T74" s="723"/>
      <c r="U74" s="724"/>
      <c r="V74" s="725"/>
      <c r="W74" s="725"/>
      <c r="X74" s="723"/>
      <c r="Y74" s="723"/>
      <c r="Z74" s="723"/>
      <c r="AA74" s="726"/>
      <c r="AB74" s="726"/>
      <c r="AC74" s="170"/>
      <c r="AD74" s="586">
        <f t="shared" si="61"/>
        <v>0</v>
      </c>
      <c r="AE74" s="586">
        <f t="shared" si="61"/>
        <v>0</v>
      </c>
      <c r="AF74" s="586">
        <f t="shared" si="61"/>
        <v>0</v>
      </c>
      <c r="AG74" s="586">
        <f t="shared" si="61"/>
        <v>0</v>
      </c>
      <c r="AH74" s="586">
        <f t="shared" si="61"/>
        <v>0</v>
      </c>
      <c r="AI74" s="586">
        <f t="shared" si="61"/>
        <v>0</v>
      </c>
      <c r="AJ74" s="586">
        <f t="shared" si="61"/>
        <v>0</v>
      </c>
      <c r="AK74" s="586">
        <f t="shared" si="61"/>
        <v>0</v>
      </c>
      <c r="AL74" s="586">
        <f t="shared" si="61"/>
        <v>0</v>
      </c>
      <c r="AM74" s="586">
        <f t="shared" si="61"/>
        <v>0</v>
      </c>
      <c r="AN74" s="586">
        <f t="shared" si="61"/>
        <v>0</v>
      </c>
      <c r="AO74" s="586">
        <f t="shared" si="61"/>
        <v>0</v>
      </c>
      <c r="AP74" s="586">
        <f t="shared" si="61"/>
        <v>0</v>
      </c>
      <c r="AQ74" s="586">
        <f t="shared" si="61"/>
        <v>0</v>
      </c>
      <c r="AR74" s="586">
        <f t="shared" si="61"/>
        <v>0</v>
      </c>
      <c r="AS74" s="586">
        <f t="shared" si="61"/>
        <v>0</v>
      </c>
      <c r="AT74" s="170"/>
      <c r="AU74" s="170"/>
      <c r="AV74" s="170"/>
      <c r="AW74" s="828"/>
      <c r="AX74" s="726"/>
    </row>
    <row r="75" spans="1:50" ht="15" x14ac:dyDescent="0.25">
      <c r="A75" s="170"/>
      <c r="B75" s="719"/>
      <c r="C75" s="170"/>
      <c r="D75" s="170"/>
      <c r="E75" s="170"/>
      <c r="F75" s="170">
        <f>+Parameters!D6</f>
        <v>3</v>
      </c>
      <c r="G75" s="170" t="str">
        <f>+Parameters!E6</f>
        <v>foundations - Poles - direct embed</v>
      </c>
      <c r="H75" s="586"/>
      <c r="I75" s="170" t="str">
        <f>+Parameters!F6</f>
        <v>ea</v>
      </c>
      <c r="J75" s="170"/>
      <c r="K75" s="170" t="s">
        <v>865</v>
      </c>
      <c r="L75" s="170"/>
      <c r="M75" s="730">
        <f>0.8*18000</f>
        <v>14400</v>
      </c>
      <c r="N75" s="730">
        <f>0.2*18000</f>
        <v>3600</v>
      </c>
      <c r="O75" s="730">
        <f>SUM(M75:N75)</f>
        <v>18000</v>
      </c>
      <c r="P75" s="731"/>
      <c r="Q75" s="731"/>
      <c r="R75" s="730"/>
      <c r="S75" s="730"/>
      <c r="T75" s="723"/>
      <c r="U75" s="724"/>
      <c r="V75" s="725"/>
      <c r="W75" s="725"/>
      <c r="X75" s="723"/>
      <c r="Y75" s="723"/>
      <c r="Z75" s="723"/>
      <c r="AA75" s="726"/>
      <c r="AB75" s="726"/>
      <c r="AC75" s="170"/>
      <c r="AD75" s="586">
        <f t="shared" si="61"/>
        <v>0</v>
      </c>
      <c r="AE75" s="586">
        <f t="shared" si="61"/>
        <v>0</v>
      </c>
      <c r="AF75" s="586">
        <f t="shared" si="61"/>
        <v>0</v>
      </c>
      <c r="AG75" s="586">
        <f t="shared" si="61"/>
        <v>0</v>
      </c>
      <c r="AH75" s="586">
        <f t="shared" si="61"/>
        <v>0</v>
      </c>
      <c r="AI75" s="586">
        <f t="shared" si="61"/>
        <v>0</v>
      </c>
      <c r="AJ75" s="586">
        <f t="shared" si="61"/>
        <v>0</v>
      </c>
      <c r="AK75" s="586">
        <f t="shared" si="61"/>
        <v>0</v>
      </c>
      <c r="AL75" s="586">
        <f t="shared" si="61"/>
        <v>0</v>
      </c>
      <c r="AM75" s="586">
        <f t="shared" si="61"/>
        <v>0</v>
      </c>
      <c r="AN75" s="586">
        <f t="shared" si="61"/>
        <v>0</v>
      </c>
      <c r="AO75" s="586">
        <f t="shared" si="61"/>
        <v>0</v>
      </c>
      <c r="AP75" s="586">
        <f t="shared" si="61"/>
        <v>0</v>
      </c>
      <c r="AQ75" s="586">
        <f t="shared" si="61"/>
        <v>0</v>
      </c>
      <c r="AR75" s="586">
        <f t="shared" si="61"/>
        <v>0</v>
      </c>
      <c r="AS75" s="586">
        <f t="shared" si="61"/>
        <v>0</v>
      </c>
      <c r="AT75" s="170"/>
      <c r="AU75" s="170"/>
      <c r="AV75" s="170"/>
      <c r="AW75" s="828"/>
      <c r="AX75" s="726"/>
    </row>
    <row r="76" spans="1:50" ht="15" x14ac:dyDescent="0.25">
      <c r="A76" s="170"/>
      <c r="B76" s="719"/>
      <c r="C76" s="170"/>
      <c r="D76" s="170"/>
      <c r="E76" s="170"/>
      <c r="F76" s="170">
        <f>+Parameters!D7</f>
        <v>4</v>
      </c>
      <c r="G76" s="170" t="str">
        <f>+Parameters!E7</f>
        <v>foundations - Poles - formed conc.</v>
      </c>
      <c r="H76" s="170"/>
      <c r="I76" s="170">
        <f>+Parameters!F7</f>
        <v>0</v>
      </c>
      <c r="J76" s="170"/>
      <c r="K76" s="170"/>
      <c r="L76" s="170"/>
      <c r="M76" s="730"/>
      <c r="N76" s="730"/>
      <c r="O76" s="730"/>
      <c r="P76" s="731"/>
      <c r="Q76" s="731"/>
      <c r="R76" s="730"/>
      <c r="S76" s="730"/>
      <c r="T76" s="723"/>
      <c r="U76" s="724"/>
      <c r="V76" s="725"/>
      <c r="W76" s="725"/>
      <c r="X76" s="723"/>
      <c r="Y76" s="723"/>
      <c r="Z76" s="723"/>
      <c r="AA76" s="726"/>
      <c r="AB76" s="726"/>
      <c r="AC76" s="170"/>
      <c r="AD76" s="586">
        <f t="shared" si="61"/>
        <v>0</v>
      </c>
      <c r="AE76" s="586">
        <f t="shared" si="61"/>
        <v>0</v>
      </c>
      <c r="AF76" s="586">
        <f t="shared" si="61"/>
        <v>0</v>
      </c>
      <c r="AG76" s="586">
        <f t="shared" si="61"/>
        <v>0</v>
      </c>
      <c r="AH76" s="586">
        <f t="shared" si="61"/>
        <v>0</v>
      </c>
      <c r="AI76" s="586">
        <f t="shared" si="61"/>
        <v>0</v>
      </c>
      <c r="AJ76" s="586">
        <f t="shared" si="61"/>
        <v>0</v>
      </c>
      <c r="AK76" s="586">
        <f t="shared" si="61"/>
        <v>0</v>
      </c>
      <c r="AL76" s="586">
        <f t="shared" si="61"/>
        <v>0</v>
      </c>
      <c r="AM76" s="586">
        <f t="shared" si="61"/>
        <v>0</v>
      </c>
      <c r="AN76" s="586">
        <f t="shared" si="61"/>
        <v>0</v>
      </c>
      <c r="AO76" s="586">
        <f t="shared" si="61"/>
        <v>0</v>
      </c>
      <c r="AP76" s="586">
        <f t="shared" si="61"/>
        <v>0</v>
      </c>
      <c r="AQ76" s="586">
        <f t="shared" si="61"/>
        <v>0</v>
      </c>
      <c r="AR76" s="586">
        <f t="shared" si="61"/>
        <v>0</v>
      </c>
      <c r="AS76" s="586">
        <f t="shared" si="61"/>
        <v>0</v>
      </c>
      <c r="AT76" s="170"/>
      <c r="AU76" s="170"/>
      <c r="AV76" s="170"/>
      <c r="AW76" s="828"/>
      <c r="AX76" s="726"/>
    </row>
    <row r="77" spans="1:50" ht="15" x14ac:dyDescent="0.25">
      <c r="A77" s="170"/>
      <c r="B77" s="719"/>
      <c r="C77" s="170"/>
      <c r="D77" s="170"/>
      <c r="E77" s="170"/>
      <c r="F77" s="170">
        <f>+Parameters!D8</f>
        <v>5</v>
      </c>
      <c r="G77" s="170" t="str">
        <f>+Parameters!E8</f>
        <v>foundations - station</v>
      </c>
      <c r="H77" s="170"/>
      <c r="I77" s="170" t="str">
        <f>+Parameters!F8</f>
        <v>cy</v>
      </c>
      <c r="J77" s="170"/>
      <c r="K77" s="170"/>
      <c r="L77" s="170"/>
      <c r="M77" s="730"/>
      <c r="N77" s="730"/>
      <c r="O77" s="730"/>
      <c r="P77" s="731"/>
      <c r="Q77" s="731"/>
      <c r="R77" s="730"/>
      <c r="S77" s="730"/>
      <c r="T77" s="723"/>
      <c r="U77" s="724"/>
      <c r="V77" s="725"/>
      <c r="W77" s="725"/>
      <c r="X77" s="723"/>
      <c r="Y77" s="723"/>
      <c r="Z77" s="723"/>
      <c r="AA77" s="726"/>
      <c r="AB77" s="726"/>
      <c r="AC77" s="170"/>
      <c r="AD77" s="586">
        <f t="shared" si="61"/>
        <v>0</v>
      </c>
      <c r="AE77" s="586">
        <f t="shared" si="61"/>
        <v>0</v>
      </c>
      <c r="AF77" s="586">
        <f t="shared" si="61"/>
        <v>0</v>
      </c>
      <c r="AG77" s="586">
        <f t="shared" si="61"/>
        <v>0</v>
      </c>
      <c r="AH77" s="586">
        <f t="shared" si="61"/>
        <v>0</v>
      </c>
      <c r="AI77" s="586">
        <f t="shared" si="61"/>
        <v>0</v>
      </c>
      <c r="AJ77" s="586">
        <f t="shared" si="61"/>
        <v>0</v>
      </c>
      <c r="AK77" s="586">
        <f t="shared" si="61"/>
        <v>0</v>
      </c>
      <c r="AL77" s="586">
        <f t="shared" si="61"/>
        <v>0</v>
      </c>
      <c r="AM77" s="586">
        <f t="shared" si="61"/>
        <v>0</v>
      </c>
      <c r="AN77" s="586">
        <f t="shared" si="61"/>
        <v>0</v>
      </c>
      <c r="AO77" s="586">
        <f t="shared" si="61"/>
        <v>0</v>
      </c>
      <c r="AP77" s="586">
        <f t="shared" si="61"/>
        <v>0</v>
      </c>
      <c r="AQ77" s="586">
        <f t="shared" si="61"/>
        <v>0</v>
      </c>
      <c r="AR77" s="586">
        <f t="shared" si="61"/>
        <v>0</v>
      </c>
      <c r="AS77" s="586">
        <f t="shared" si="61"/>
        <v>0</v>
      </c>
      <c r="AT77" s="170"/>
      <c r="AU77" s="170"/>
      <c r="AV77" s="170"/>
      <c r="AW77" s="828"/>
      <c r="AX77" s="726"/>
    </row>
    <row r="78" spans="1:50" ht="15" x14ac:dyDescent="0.25">
      <c r="A78" s="170"/>
      <c r="B78" s="719"/>
      <c r="C78" s="170"/>
      <c r="D78" s="170"/>
      <c r="E78" s="170"/>
      <c r="F78" s="170">
        <f>+Parameters!D9</f>
        <v>6</v>
      </c>
      <c r="G78" s="170" t="str">
        <f>+Parameters!E9</f>
        <v>foundations - buildings</v>
      </c>
      <c r="H78" s="170"/>
      <c r="I78" s="170" t="str">
        <f>+Parameters!F9</f>
        <v>cy</v>
      </c>
      <c r="J78" s="170"/>
      <c r="K78" s="170"/>
      <c r="L78" s="170"/>
      <c r="M78" s="730"/>
      <c r="N78" s="730"/>
      <c r="O78" s="730"/>
      <c r="P78" s="731"/>
      <c r="Q78" s="731"/>
      <c r="R78" s="730"/>
      <c r="S78" s="730"/>
      <c r="T78" s="723"/>
      <c r="U78" s="724"/>
      <c r="V78" s="725"/>
      <c r="W78" s="725"/>
      <c r="X78" s="723"/>
      <c r="Y78" s="723"/>
      <c r="Z78" s="723"/>
      <c r="AA78" s="726"/>
      <c r="AB78" s="726"/>
      <c r="AC78" s="170"/>
      <c r="AD78" s="586">
        <f t="shared" si="61"/>
        <v>0</v>
      </c>
      <c r="AE78" s="586">
        <f t="shared" si="61"/>
        <v>0</v>
      </c>
      <c r="AF78" s="586">
        <f t="shared" si="61"/>
        <v>0</v>
      </c>
      <c r="AG78" s="586">
        <f t="shared" si="61"/>
        <v>0</v>
      </c>
      <c r="AH78" s="586">
        <f t="shared" si="61"/>
        <v>0</v>
      </c>
      <c r="AI78" s="586">
        <f t="shared" si="61"/>
        <v>0</v>
      </c>
      <c r="AJ78" s="586">
        <f t="shared" si="61"/>
        <v>0</v>
      </c>
      <c r="AK78" s="586">
        <f t="shared" si="61"/>
        <v>0</v>
      </c>
      <c r="AL78" s="586">
        <f t="shared" si="61"/>
        <v>0</v>
      </c>
      <c r="AM78" s="586">
        <f t="shared" si="61"/>
        <v>0</v>
      </c>
      <c r="AN78" s="586">
        <f t="shared" si="61"/>
        <v>0</v>
      </c>
      <c r="AO78" s="586">
        <f t="shared" si="61"/>
        <v>0</v>
      </c>
      <c r="AP78" s="586">
        <f t="shared" si="61"/>
        <v>0</v>
      </c>
      <c r="AQ78" s="586">
        <f t="shared" si="61"/>
        <v>0</v>
      </c>
      <c r="AR78" s="586">
        <f t="shared" si="61"/>
        <v>0</v>
      </c>
      <c r="AS78" s="586">
        <f t="shared" si="61"/>
        <v>0</v>
      </c>
      <c r="AT78" s="170"/>
      <c r="AU78" s="170"/>
      <c r="AV78" s="170"/>
      <c r="AW78" s="828"/>
      <c r="AX78" s="726"/>
    </row>
    <row r="79" spans="1:50" ht="15" x14ac:dyDescent="0.25">
      <c r="A79" s="170"/>
      <c r="B79" s="719"/>
      <c r="C79" s="170"/>
      <c r="D79" s="170"/>
      <c r="E79" s="170"/>
      <c r="F79" s="170">
        <f>+Parameters!D10</f>
        <v>7</v>
      </c>
      <c r="G79" s="170" t="str">
        <f>+Parameters!E10</f>
        <v>Piling / Caissons</v>
      </c>
      <c r="H79" s="170"/>
      <c r="I79" s="170">
        <f>+Parameters!F10</f>
        <v>0</v>
      </c>
      <c r="J79" s="170"/>
      <c r="K79" s="170"/>
      <c r="L79" s="170"/>
      <c r="M79" s="730"/>
      <c r="N79" s="730"/>
      <c r="O79" s="730"/>
      <c r="P79" s="731"/>
      <c r="Q79" s="731"/>
      <c r="R79" s="730"/>
      <c r="S79" s="730"/>
      <c r="T79" s="723"/>
      <c r="U79" s="724"/>
      <c r="V79" s="725"/>
      <c r="W79" s="725"/>
      <c r="X79" s="723"/>
      <c r="Y79" s="723"/>
      <c r="Z79" s="723"/>
      <c r="AA79" s="726"/>
      <c r="AB79" s="726"/>
      <c r="AC79" s="170"/>
      <c r="AD79" s="586">
        <f t="shared" si="61"/>
        <v>0</v>
      </c>
      <c r="AE79" s="586">
        <f t="shared" si="61"/>
        <v>0</v>
      </c>
      <c r="AF79" s="586">
        <f t="shared" si="61"/>
        <v>0</v>
      </c>
      <c r="AG79" s="586">
        <f t="shared" si="61"/>
        <v>0</v>
      </c>
      <c r="AH79" s="586">
        <f t="shared" si="61"/>
        <v>0</v>
      </c>
      <c r="AI79" s="586">
        <f t="shared" si="61"/>
        <v>0</v>
      </c>
      <c r="AJ79" s="586">
        <f t="shared" si="61"/>
        <v>0</v>
      </c>
      <c r="AK79" s="586">
        <f t="shared" si="61"/>
        <v>0</v>
      </c>
      <c r="AL79" s="586">
        <f t="shared" si="61"/>
        <v>0</v>
      </c>
      <c r="AM79" s="586">
        <f t="shared" si="61"/>
        <v>0</v>
      </c>
      <c r="AN79" s="586">
        <f t="shared" si="61"/>
        <v>0</v>
      </c>
      <c r="AO79" s="586">
        <f t="shared" si="61"/>
        <v>0</v>
      </c>
      <c r="AP79" s="586">
        <f t="shared" si="61"/>
        <v>0</v>
      </c>
      <c r="AQ79" s="586">
        <f t="shared" si="61"/>
        <v>0</v>
      </c>
      <c r="AR79" s="586">
        <f t="shared" si="61"/>
        <v>0</v>
      </c>
      <c r="AS79" s="586">
        <f t="shared" si="61"/>
        <v>0</v>
      </c>
      <c r="AT79" s="170"/>
      <c r="AU79" s="170"/>
      <c r="AV79" s="170"/>
      <c r="AW79" s="828"/>
      <c r="AX79" s="726"/>
    </row>
    <row r="80" spans="1:50" ht="15" x14ac:dyDescent="0.25">
      <c r="A80" s="170"/>
      <c r="B80" s="719"/>
      <c r="C80" s="170"/>
      <c r="D80" s="170"/>
      <c r="E80" s="170"/>
      <c r="F80" s="170">
        <f>+Parameters!D11</f>
        <v>8</v>
      </c>
      <c r="G80" s="170" t="str">
        <f>+Parameters!E11</f>
        <v>ROW work ( clearing/ Grubbing/ access roads)</v>
      </c>
      <c r="H80" s="170"/>
      <c r="I80" s="170">
        <f>+Parameters!F11</f>
        <v>0</v>
      </c>
      <c r="J80" s="170"/>
      <c r="K80" s="170"/>
      <c r="L80" s="170"/>
      <c r="M80" s="730"/>
      <c r="N80" s="730"/>
      <c r="O80" s="730"/>
      <c r="P80" s="731"/>
      <c r="Q80" s="731"/>
      <c r="R80" s="730"/>
      <c r="S80" s="730"/>
      <c r="T80" s="723"/>
      <c r="U80" s="724"/>
      <c r="V80" s="725"/>
      <c r="W80" s="725"/>
      <c r="X80" s="723"/>
      <c r="Y80" s="723"/>
      <c r="Z80" s="723"/>
      <c r="AA80" s="726"/>
      <c r="AB80" s="726"/>
      <c r="AC80" s="170"/>
      <c r="AD80" s="586">
        <f t="shared" si="61"/>
        <v>0</v>
      </c>
      <c r="AE80" s="586">
        <f t="shared" si="61"/>
        <v>0</v>
      </c>
      <c r="AF80" s="586">
        <f t="shared" si="61"/>
        <v>0</v>
      </c>
      <c r="AG80" s="586">
        <f t="shared" si="61"/>
        <v>0</v>
      </c>
      <c r="AH80" s="586">
        <f t="shared" si="61"/>
        <v>0</v>
      </c>
      <c r="AI80" s="586">
        <f t="shared" si="61"/>
        <v>0</v>
      </c>
      <c r="AJ80" s="586">
        <f t="shared" si="61"/>
        <v>0</v>
      </c>
      <c r="AK80" s="586">
        <f t="shared" si="61"/>
        <v>0</v>
      </c>
      <c r="AL80" s="586">
        <f t="shared" si="61"/>
        <v>0</v>
      </c>
      <c r="AM80" s="586">
        <f t="shared" si="61"/>
        <v>0</v>
      </c>
      <c r="AN80" s="586">
        <f t="shared" si="61"/>
        <v>0</v>
      </c>
      <c r="AO80" s="586">
        <f t="shared" si="61"/>
        <v>0</v>
      </c>
      <c r="AP80" s="586">
        <f t="shared" si="61"/>
        <v>0</v>
      </c>
      <c r="AQ80" s="586">
        <f t="shared" si="61"/>
        <v>0</v>
      </c>
      <c r="AR80" s="586">
        <f t="shared" si="61"/>
        <v>0</v>
      </c>
      <c r="AS80" s="586">
        <f t="shared" si="61"/>
        <v>0</v>
      </c>
      <c r="AT80" s="170"/>
      <c r="AU80" s="170"/>
      <c r="AV80" s="170"/>
      <c r="AW80" s="828"/>
      <c r="AX80" s="726"/>
    </row>
    <row r="81" spans="1:50" ht="15" x14ac:dyDescent="0.25">
      <c r="A81" s="170"/>
      <c r="B81" s="719"/>
      <c r="C81" s="170"/>
      <c r="D81" s="170"/>
      <c r="E81" s="170"/>
      <c r="F81" s="170">
        <f>+Parameters!D12</f>
        <v>9</v>
      </c>
      <c r="G81" s="170" t="str">
        <f>+Parameters!E12</f>
        <v>Mats</v>
      </c>
      <c r="H81" s="170"/>
      <c r="I81" s="170">
        <f>+Parameters!F12</f>
        <v>0</v>
      </c>
      <c r="J81" s="170"/>
      <c r="K81" s="170"/>
      <c r="L81" s="170"/>
      <c r="M81" s="730"/>
      <c r="N81" s="730"/>
      <c r="O81" s="730"/>
      <c r="P81" s="731"/>
      <c r="Q81" s="731"/>
      <c r="R81" s="730"/>
      <c r="S81" s="730"/>
      <c r="T81" s="723"/>
      <c r="U81" s="724"/>
      <c r="V81" s="725"/>
      <c r="W81" s="725"/>
      <c r="X81" s="723"/>
      <c r="Y81" s="723"/>
      <c r="Z81" s="723"/>
      <c r="AA81" s="726"/>
      <c r="AB81" s="726"/>
      <c r="AC81" s="170"/>
      <c r="AD81" s="586">
        <f t="shared" si="61"/>
        <v>0</v>
      </c>
      <c r="AE81" s="586">
        <f t="shared" si="61"/>
        <v>0</v>
      </c>
      <c r="AF81" s="586">
        <f t="shared" si="61"/>
        <v>0</v>
      </c>
      <c r="AG81" s="586">
        <f t="shared" si="61"/>
        <v>0</v>
      </c>
      <c r="AH81" s="586">
        <f t="shared" si="61"/>
        <v>0</v>
      </c>
      <c r="AI81" s="586">
        <f t="shared" si="61"/>
        <v>0</v>
      </c>
      <c r="AJ81" s="586">
        <f t="shared" si="61"/>
        <v>0</v>
      </c>
      <c r="AK81" s="586">
        <f t="shared" si="61"/>
        <v>0</v>
      </c>
      <c r="AL81" s="586">
        <f t="shared" si="61"/>
        <v>0</v>
      </c>
      <c r="AM81" s="586">
        <f t="shared" si="61"/>
        <v>0</v>
      </c>
      <c r="AN81" s="586">
        <f t="shared" si="61"/>
        <v>0</v>
      </c>
      <c r="AO81" s="586">
        <f t="shared" si="61"/>
        <v>0</v>
      </c>
      <c r="AP81" s="586">
        <f t="shared" si="61"/>
        <v>0</v>
      </c>
      <c r="AQ81" s="586">
        <f t="shared" si="61"/>
        <v>0</v>
      </c>
      <c r="AR81" s="586">
        <f t="shared" si="61"/>
        <v>0</v>
      </c>
      <c r="AS81" s="586">
        <f t="shared" si="61"/>
        <v>0</v>
      </c>
      <c r="AT81" s="170"/>
      <c r="AU81" s="170"/>
      <c r="AV81" s="170"/>
      <c r="AW81" s="828"/>
      <c r="AX81" s="726"/>
    </row>
    <row r="82" spans="1:50" ht="15" x14ac:dyDescent="0.25">
      <c r="A82" s="170"/>
      <c r="B82" s="719"/>
      <c r="C82" s="170"/>
      <c r="D82" s="170"/>
      <c r="E82" s="170"/>
      <c r="F82" s="170">
        <f>+Parameters!D13</f>
        <v>10</v>
      </c>
      <c r="G82" s="170" t="str">
        <f>+Parameters!E13</f>
        <v>Crane pads</v>
      </c>
      <c r="H82" s="170"/>
      <c r="I82" s="170">
        <f>+Parameters!F13</f>
        <v>0</v>
      </c>
      <c r="J82" s="170"/>
      <c r="K82" s="170"/>
      <c r="L82" s="170"/>
      <c r="M82" s="730"/>
      <c r="N82" s="730"/>
      <c r="O82" s="730"/>
      <c r="P82" s="731"/>
      <c r="Q82" s="731"/>
      <c r="R82" s="730"/>
      <c r="S82" s="730"/>
      <c r="T82" s="723"/>
      <c r="U82" s="724"/>
      <c r="V82" s="725"/>
      <c r="W82" s="725"/>
      <c r="X82" s="723"/>
      <c r="Y82" s="723"/>
      <c r="Z82" s="723"/>
      <c r="AA82" s="726"/>
      <c r="AB82" s="726"/>
      <c r="AC82" s="170"/>
      <c r="AD82" s="586">
        <f t="shared" si="61"/>
        <v>0</v>
      </c>
      <c r="AE82" s="586">
        <f t="shared" si="61"/>
        <v>0</v>
      </c>
      <c r="AF82" s="586">
        <f t="shared" si="61"/>
        <v>0</v>
      </c>
      <c r="AG82" s="586">
        <f t="shared" si="61"/>
        <v>0</v>
      </c>
      <c r="AH82" s="586">
        <f t="shared" si="61"/>
        <v>0</v>
      </c>
      <c r="AI82" s="586">
        <f t="shared" si="61"/>
        <v>0</v>
      </c>
      <c r="AJ82" s="586">
        <f t="shared" si="61"/>
        <v>0</v>
      </c>
      <c r="AK82" s="586">
        <f t="shared" si="61"/>
        <v>0</v>
      </c>
      <c r="AL82" s="586">
        <f t="shared" si="61"/>
        <v>0</v>
      </c>
      <c r="AM82" s="586">
        <f t="shared" si="61"/>
        <v>0</v>
      </c>
      <c r="AN82" s="586">
        <f t="shared" si="61"/>
        <v>0</v>
      </c>
      <c r="AO82" s="586">
        <f t="shared" si="61"/>
        <v>0</v>
      </c>
      <c r="AP82" s="586">
        <f t="shared" si="61"/>
        <v>0</v>
      </c>
      <c r="AQ82" s="586">
        <f t="shared" si="61"/>
        <v>0</v>
      </c>
      <c r="AR82" s="586">
        <f t="shared" si="61"/>
        <v>0</v>
      </c>
      <c r="AS82" s="586">
        <f t="shared" si="61"/>
        <v>0</v>
      </c>
      <c r="AT82" s="170"/>
      <c r="AU82" s="170"/>
      <c r="AV82" s="170"/>
      <c r="AW82" s="828"/>
      <c r="AX82" s="726"/>
    </row>
    <row r="83" spans="1:50" ht="15" x14ac:dyDescent="0.25">
      <c r="A83" s="170"/>
      <c r="B83" s="719"/>
      <c r="C83" s="170"/>
      <c r="D83" s="170"/>
      <c r="E83" s="170"/>
      <c r="F83" s="170">
        <f>+Parameters!D14</f>
        <v>11</v>
      </c>
      <c r="G83" s="170" t="str">
        <f>+Parameters!E14</f>
        <v>Excavation ( incl machine / hand / trench)</v>
      </c>
      <c r="H83" s="170"/>
      <c r="I83" s="170" t="str">
        <f>+Parameters!F14</f>
        <v>cy</v>
      </c>
      <c r="J83" s="170"/>
      <c r="K83" s="170"/>
      <c r="L83" s="170"/>
      <c r="M83" s="730"/>
      <c r="N83" s="730"/>
      <c r="O83" s="730"/>
      <c r="P83" s="731"/>
      <c r="Q83" s="731"/>
      <c r="R83" s="730"/>
      <c r="S83" s="730"/>
      <c r="T83" s="723"/>
      <c r="U83" s="724"/>
      <c r="V83" s="725"/>
      <c r="W83" s="725"/>
      <c r="X83" s="723"/>
      <c r="Y83" s="723"/>
      <c r="Z83" s="723"/>
      <c r="AA83" s="726"/>
      <c r="AB83" s="726"/>
      <c r="AC83" s="170"/>
      <c r="AD83" s="586">
        <f t="shared" ref="AD83:AS92" si="62">SUMIF($F$9:$F$70,$F83,AD$9:AD$70)</f>
        <v>0</v>
      </c>
      <c r="AE83" s="586">
        <f t="shared" si="62"/>
        <v>0</v>
      </c>
      <c r="AF83" s="586">
        <f t="shared" si="62"/>
        <v>0</v>
      </c>
      <c r="AG83" s="586">
        <f t="shared" si="62"/>
        <v>0</v>
      </c>
      <c r="AH83" s="586">
        <f t="shared" si="62"/>
        <v>0</v>
      </c>
      <c r="AI83" s="586">
        <f t="shared" si="62"/>
        <v>0</v>
      </c>
      <c r="AJ83" s="586">
        <f t="shared" si="62"/>
        <v>0</v>
      </c>
      <c r="AK83" s="586">
        <f t="shared" si="62"/>
        <v>0</v>
      </c>
      <c r="AL83" s="586">
        <f t="shared" si="62"/>
        <v>0</v>
      </c>
      <c r="AM83" s="586">
        <f t="shared" si="62"/>
        <v>0</v>
      </c>
      <c r="AN83" s="586">
        <f t="shared" si="62"/>
        <v>0</v>
      </c>
      <c r="AO83" s="586">
        <f t="shared" si="62"/>
        <v>0</v>
      </c>
      <c r="AP83" s="586">
        <f t="shared" si="62"/>
        <v>0</v>
      </c>
      <c r="AQ83" s="586">
        <f t="shared" si="62"/>
        <v>0</v>
      </c>
      <c r="AR83" s="586">
        <f t="shared" si="62"/>
        <v>0</v>
      </c>
      <c r="AS83" s="586">
        <f t="shared" si="62"/>
        <v>0</v>
      </c>
      <c r="AT83" s="170"/>
      <c r="AU83" s="170"/>
      <c r="AV83" s="170"/>
      <c r="AW83" s="828"/>
      <c r="AX83" s="726"/>
    </row>
    <row r="84" spans="1:50" ht="15" x14ac:dyDescent="0.25">
      <c r="A84" s="170"/>
      <c r="B84" s="719"/>
      <c r="C84" s="170"/>
      <c r="D84" s="170"/>
      <c r="E84" s="170"/>
      <c r="F84" s="170">
        <f>+Parameters!D15</f>
        <v>12</v>
      </c>
      <c r="G84" s="170" t="str">
        <f>+Parameters!E15</f>
        <v>Rock Excavation</v>
      </c>
      <c r="H84" s="170"/>
      <c r="I84" s="170" t="str">
        <f>+Parameters!F15</f>
        <v>cy</v>
      </c>
      <c r="J84" s="170"/>
      <c r="K84" s="170"/>
      <c r="L84" s="170"/>
      <c r="M84" s="730"/>
      <c r="N84" s="730"/>
      <c r="O84" s="730"/>
      <c r="P84" s="731"/>
      <c r="Q84" s="731"/>
      <c r="R84" s="730"/>
      <c r="S84" s="730"/>
      <c r="T84" s="723"/>
      <c r="U84" s="724"/>
      <c r="V84" s="725"/>
      <c r="W84" s="725"/>
      <c r="X84" s="723"/>
      <c r="Y84" s="723"/>
      <c r="Z84" s="723"/>
      <c r="AA84" s="726"/>
      <c r="AB84" s="726"/>
      <c r="AC84" s="170"/>
      <c r="AD84" s="586">
        <f t="shared" si="62"/>
        <v>0</v>
      </c>
      <c r="AE84" s="586">
        <f t="shared" si="62"/>
        <v>0</v>
      </c>
      <c r="AF84" s="586">
        <f t="shared" si="62"/>
        <v>0</v>
      </c>
      <c r="AG84" s="586">
        <f t="shared" si="62"/>
        <v>0</v>
      </c>
      <c r="AH84" s="586">
        <f t="shared" si="62"/>
        <v>0</v>
      </c>
      <c r="AI84" s="586">
        <f t="shared" si="62"/>
        <v>0</v>
      </c>
      <c r="AJ84" s="586">
        <f t="shared" si="62"/>
        <v>0</v>
      </c>
      <c r="AK84" s="586">
        <f t="shared" si="62"/>
        <v>0</v>
      </c>
      <c r="AL84" s="586">
        <f t="shared" si="62"/>
        <v>0</v>
      </c>
      <c r="AM84" s="586">
        <f t="shared" si="62"/>
        <v>0</v>
      </c>
      <c r="AN84" s="586">
        <f t="shared" si="62"/>
        <v>0</v>
      </c>
      <c r="AO84" s="586">
        <f t="shared" si="62"/>
        <v>0</v>
      </c>
      <c r="AP84" s="586">
        <f t="shared" si="62"/>
        <v>0</v>
      </c>
      <c r="AQ84" s="586">
        <f t="shared" si="62"/>
        <v>0</v>
      </c>
      <c r="AR84" s="586">
        <f t="shared" si="62"/>
        <v>0</v>
      </c>
      <c r="AS84" s="586">
        <f t="shared" si="62"/>
        <v>0</v>
      </c>
      <c r="AT84" s="170"/>
      <c r="AU84" s="170"/>
      <c r="AV84" s="170"/>
      <c r="AW84" s="828"/>
      <c r="AX84" s="726"/>
    </row>
    <row r="85" spans="1:50" ht="15" x14ac:dyDescent="0.25">
      <c r="A85" s="170"/>
      <c r="B85" s="719"/>
      <c r="C85" s="170"/>
      <c r="D85" s="170"/>
      <c r="E85" s="170"/>
      <c r="F85" s="170">
        <f>+Parameters!D16</f>
        <v>13</v>
      </c>
      <c r="G85" s="170" t="str">
        <f>+Parameters!E16</f>
        <v>Soil disposal</v>
      </c>
      <c r="H85" s="170"/>
      <c r="I85" s="170" t="str">
        <f>+Parameters!F16</f>
        <v>cy</v>
      </c>
      <c r="J85" s="170"/>
      <c r="K85" s="170"/>
      <c r="L85" s="170"/>
      <c r="M85" s="730"/>
      <c r="N85" s="730"/>
      <c r="O85" s="730"/>
      <c r="P85" s="731"/>
      <c r="Q85" s="731"/>
      <c r="R85" s="730"/>
      <c r="S85" s="730"/>
      <c r="T85" s="723"/>
      <c r="U85" s="724"/>
      <c r="V85" s="725"/>
      <c r="W85" s="725"/>
      <c r="X85" s="723"/>
      <c r="Y85" s="723"/>
      <c r="Z85" s="723"/>
      <c r="AA85" s="726"/>
      <c r="AB85" s="726"/>
      <c r="AC85" s="170"/>
      <c r="AD85" s="586">
        <f t="shared" si="62"/>
        <v>0</v>
      </c>
      <c r="AE85" s="586">
        <f t="shared" si="62"/>
        <v>0</v>
      </c>
      <c r="AF85" s="586">
        <f t="shared" si="62"/>
        <v>0</v>
      </c>
      <c r="AG85" s="586">
        <f t="shared" si="62"/>
        <v>0</v>
      </c>
      <c r="AH85" s="586">
        <f t="shared" si="62"/>
        <v>0</v>
      </c>
      <c r="AI85" s="586">
        <f t="shared" si="62"/>
        <v>0</v>
      </c>
      <c r="AJ85" s="586">
        <f t="shared" si="62"/>
        <v>0</v>
      </c>
      <c r="AK85" s="586">
        <f t="shared" si="62"/>
        <v>0</v>
      </c>
      <c r="AL85" s="586">
        <f t="shared" si="62"/>
        <v>0</v>
      </c>
      <c r="AM85" s="586">
        <f t="shared" si="62"/>
        <v>0</v>
      </c>
      <c r="AN85" s="586">
        <f t="shared" si="62"/>
        <v>0</v>
      </c>
      <c r="AO85" s="586">
        <f t="shared" si="62"/>
        <v>0</v>
      </c>
      <c r="AP85" s="586">
        <f t="shared" si="62"/>
        <v>0</v>
      </c>
      <c r="AQ85" s="586">
        <f t="shared" si="62"/>
        <v>0</v>
      </c>
      <c r="AR85" s="586">
        <f t="shared" si="62"/>
        <v>0</v>
      </c>
      <c r="AS85" s="586">
        <f t="shared" si="62"/>
        <v>0</v>
      </c>
      <c r="AT85" s="170"/>
      <c r="AU85" s="170"/>
      <c r="AV85" s="170"/>
      <c r="AW85" s="828"/>
      <c r="AX85" s="726"/>
    </row>
    <row r="86" spans="1:50" ht="15" x14ac:dyDescent="0.25">
      <c r="A86" s="170"/>
      <c r="B86" s="719"/>
      <c r="C86" s="170"/>
      <c r="D86" s="170"/>
      <c r="E86" s="170"/>
      <c r="F86" s="170">
        <f>+Parameters!D17</f>
        <v>14</v>
      </c>
      <c r="G86" s="170" t="str">
        <f>+Parameters!E17</f>
        <v>Backfill - earth</v>
      </c>
      <c r="H86" s="170"/>
      <c r="I86" s="170" t="str">
        <f>+Parameters!F17</f>
        <v>cy</v>
      </c>
      <c r="J86" s="170"/>
      <c r="K86" s="170"/>
      <c r="L86" s="170"/>
      <c r="M86" s="730"/>
      <c r="N86" s="730"/>
      <c r="O86" s="730"/>
      <c r="P86" s="731"/>
      <c r="Q86" s="731"/>
      <c r="R86" s="730"/>
      <c r="S86" s="730"/>
      <c r="T86" s="723"/>
      <c r="U86" s="724"/>
      <c r="V86" s="725"/>
      <c r="W86" s="725"/>
      <c r="X86" s="723"/>
      <c r="Y86" s="723"/>
      <c r="Z86" s="723"/>
      <c r="AA86" s="726"/>
      <c r="AB86" s="726"/>
      <c r="AC86" s="170"/>
      <c r="AD86" s="586">
        <f t="shared" si="62"/>
        <v>0</v>
      </c>
      <c r="AE86" s="586">
        <f t="shared" si="62"/>
        <v>0</v>
      </c>
      <c r="AF86" s="586">
        <f t="shared" si="62"/>
        <v>0</v>
      </c>
      <c r="AG86" s="586">
        <f t="shared" si="62"/>
        <v>0</v>
      </c>
      <c r="AH86" s="586">
        <f t="shared" si="62"/>
        <v>0</v>
      </c>
      <c r="AI86" s="586">
        <f t="shared" si="62"/>
        <v>0</v>
      </c>
      <c r="AJ86" s="586">
        <f t="shared" si="62"/>
        <v>0</v>
      </c>
      <c r="AK86" s="586">
        <f t="shared" si="62"/>
        <v>0</v>
      </c>
      <c r="AL86" s="586">
        <f t="shared" si="62"/>
        <v>0</v>
      </c>
      <c r="AM86" s="586">
        <f t="shared" si="62"/>
        <v>0</v>
      </c>
      <c r="AN86" s="586">
        <f t="shared" si="62"/>
        <v>0</v>
      </c>
      <c r="AO86" s="586">
        <f t="shared" si="62"/>
        <v>0</v>
      </c>
      <c r="AP86" s="586">
        <f t="shared" si="62"/>
        <v>0</v>
      </c>
      <c r="AQ86" s="586">
        <f t="shared" si="62"/>
        <v>0</v>
      </c>
      <c r="AR86" s="586">
        <f t="shared" si="62"/>
        <v>0</v>
      </c>
      <c r="AS86" s="586">
        <f t="shared" si="62"/>
        <v>0</v>
      </c>
      <c r="AT86" s="170"/>
      <c r="AU86" s="170"/>
      <c r="AV86" s="170"/>
      <c r="AW86" s="828"/>
      <c r="AX86" s="726"/>
    </row>
    <row r="87" spans="1:50" ht="15" x14ac:dyDescent="0.25">
      <c r="A87" s="170"/>
      <c r="B87" s="719"/>
      <c r="C87" s="170"/>
      <c r="D87" s="170"/>
      <c r="E87" s="170"/>
      <c r="F87" s="170">
        <f>+Parameters!D18</f>
        <v>15</v>
      </c>
      <c r="G87" s="170" t="str">
        <f>+Parameters!E18</f>
        <v>Backfill- stone ( incl trap rock and surfacing)</v>
      </c>
      <c r="H87" s="170"/>
      <c r="I87" s="170" t="str">
        <f>+Parameters!F18</f>
        <v>cy</v>
      </c>
      <c r="J87" s="170"/>
      <c r="K87" s="170"/>
      <c r="L87" s="170"/>
      <c r="M87" s="730"/>
      <c r="N87" s="730"/>
      <c r="O87" s="730"/>
      <c r="P87" s="731"/>
      <c r="Q87" s="731"/>
      <c r="R87" s="730"/>
      <c r="S87" s="730"/>
      <c r="T87" s="723"/>
      <c r="U87" s="724"/>
      <c r="V87" s="725"/>
      <c r="W87" s="725"/>
      <c r="X87" s="723"/>
      <c r="Y87" s="723"/>
      <c r="Z87" s="723"/>
      <c r="AA87" s="726"/>
      <c r="AB87" s="726"/>
      <c r="AC87" s="170"/>
      <c r="AD87" s="586">
        <f t="shared" si="62"/>
        <v>0</v>
      </c>
      <c r="AE87" s="586">
        <f t="shared" si="62"/>
        <v>0</v>
      </c>
      <c r="AF87" s="586">
        <f t="shared" si="62"/>
        <v>0</v>
      </c>
      <c r="AG87" s="586">
        <f t="shared" si="62"/>
        <v>0</v>
      </c>
      <c r="AH87" s="586">
        <f t="shared" si="62"/>
        <v>0</v>
      </c>
      <c r="AI87" s="586">
        <f t="shared" si="62"/>
        <v>0</v>
      </c>
      <c r="AJ87" s="586">
        <f t="shared" si="62"/>
        <v>0</v>
      </c>
      <c r="AK87" s="586">
        <f t="shared" si="62"/>
        <v>0</v>
      </c>
      <c r="AL87" s="586">
        <f t="shared" si="62"/>
        <v>0</v>
      </c>
      <c r="AM87" s="586">
        <f t="shared" si="62"/>
        <v>0</v>
      </c>
      <c r="AN87" s="586">
        <f t="shared" si="62"/>
        <v>0</v>
      </c>
      <c r="AO87" s="586">
        <f t="shared" si="62"/>
        <v>0</v>
      </c>
      <c r="AP87" s="586">
        <f t="shared" si="62"/>
        <v>0</v>
      </c>
      <c r="AQ87" s="586">
        <f t="shared" si="62"/>
        <v>0</v>
      </c>
      <c r="AR87" s="586">
        <f t="shared" si="62"/>
        <v>0</v>
      </c>
      <c r="AS87" s="586">
        <f t="shared" si="62"/>
        <v>0</v>
      </c>
      <c r="AT87" s="170"/>
      <c r="AU87" s="170"/>
      <c r="AV87" s="170"/>
      <c r="AW87" s="828"/>
      <c r="AX87" s="726"/>
    </row>
    <row r="88" spans="1:50" ht="15" x14ac:dyDescent="0.25">
      <c r="A88" s="170"/>
      <c r="B88" s="719"/>
      <c r="C88" s="170"/>
      <c r="D88" s="170"/>
      <c r="E88" s="170"/>
      <c r="F88" s="170">
        <f>+Parameters!D19</f>
        <v>16</v>
      </c>
      <c r="G88" s="170" t="str">
        <f>+Parameters!E19</f>
        <v>Fence / Gates</v>
      </c>
      <c r="H88" s="170"/>
      <c r="I88" s="170" t="str">
        <f>+Parameters!F19</f>
        <v>lf</v>
      </c>
      <c r="J88" s="170"/>
      <c r="K88" s="170"/>
      <c r="L88" s="170"/>
      <c r="M88" s="730"/>
      <c r="N88" s="730"/>
      <c r="O88" s="730"/>
      <c r="P88" s="731"/>
      <c r="Q88" s="731"/>
      <c r="R88" s="730"/>
      <c r="S88" s="730"/>
      <c r="T88" s="723"/>
      <c r="U88" s="724"/>
      <c r="V88" s="725"/>
      <c r="W88" s="725"/>
      <c r="X88" s="723"/>
      <c r="Y88" s="723"/>
      <c r="Z88" s="723"/>
      <c r="AA88" s="726"/>
      <c r="AB88" s="726"/>
      <c r="AC88" s="170"/>
      <c r="AD88" s="586">
        <f t="shared" si="62"/>
        <v>0</v>
      </c>
      <c r="AE88" s="586">
        <f t="shared" si="62"/>
        <v>0</v>
      </c>
      <c r="AF88" s="586">
        <f t="shared" si="62"/>
        <v>0</v>
      </c>
      <c r="AG88" s="586">
        <f t="shared" si="62"/>
        <v>0</v>
      </c>
      <c r="AH88" s="586">
        <f t="shared" si="62"/>
        <v>0</v>
      </c>
      <c r="AI88" s="586">
        <f t="shared" si="62"/>
        <v>0</v>
      </c>
      <c r="AJ88" s="586">
        <f t="shared" si="62"/>
        <v>0</v>
      </c>
      <c r="AK88" s="586">
        <f t="shared" si="62"/>
        <v>0</v>
      </c>
      <c r="AL88" s="586">
        <f t="shared" si="62"/>
        <v>0</v>
      </c>
      <c r="AM88" s="586">
        <f t="shared" si="62"/>
        <v>0</v>
      </c>
      <c r="AN88" s="586">
        <f t="shared" si="62"/>
        <v>0</v>
      </c>
      <c r="AO88" s="586">
        <f t="shared" si="62"/>
        <v>0</v>
      </c>
      <c r="AP88" s="586">
        <f t="shared" si="62"/>
        <v>0</v>
      </c>
      <c r="AQ88" s="586">
        <f t="shared" si="62"/>
        <v>0</v>
      </c>
      <c r="AR88" s="586">
        <f t="shared" si="62"/>
        <v>0</v>
      </c>
      <c r="AS88" s="586">
        <f t="shared" si="62"/>
        <v>0</v>
      </c>
      <c r="AT88" s="170"/>
      <c r="AU88" s="170"/>
      <c r="AV88" s="170"/>
      <c r="AW88" s="828"/>
      <c r="AX88" s="726"/>
    </row>
    <row r="89" spans="1:50" ht="15" x14ac:dyDescent="0.25">
      <c r="A89" s="170"/>
      <c r="B89" s="719"/>
      <c r="C89" s="170"/>
      <c r="D89" s="170"/>
      <c r="E89" s="170"/>
      <c r="F89" s="170">
        <f>+Parameters!D20</f>
        <v>17</v>
      </c>
      <c r="G89" s="170" t="str">
        <f>+Parameters!E20</f>
        <v>CIP Fence, Gates, Balistic protection</v>
      </c>
      <c r="H89" s="170"/>
      <c r="I89" s="170" t="str">
        <f>+Parameters!F20</f>
        <v>lf</v>
      </c>
      <c r="J89" s="170"/>
      <c r="K89" s="170"/>
      <c r="L89" s="170"/>
      <c r="M89" s="730"/>
      <c r="N89" s="730"/>
      <c r="O89" s="730"/>
      <c r="P89" s="731"/>
      <c r="Q89" s="731"/>
      <c r="R89" s="730"/>
      <c r="S89" s="730"/>
      <c r="T89" s="723"/>
      <c r="U89" s="724"/>
      <c r="V89" s="725"/>
      <c r="W89" s="725"/>
      <c r="X89" s="723"/>
      <c r="Y89" s="723"/>
      <c r="Z89" s="723"/>
      <c r="AA89" s="726"/>
      <c r="AB89" s="726"/>
      <c r="AC89" s="170"/>
      <c r="AD89" s="586">
        <f t="shared" si="62"/>
        <v>0</v>
      </c>
      <c r="AE89" s="586">
        <f t="shared" si="62"/>
        <v>0</v>
      </c>
      <c r="AF89" s="586">
        <f t="shared" si="62"/>
        <v>0</v>
      </c>
      <c r="AG89" s="586">
        <f t="shared" si="62"/>
        <v>0</v>
      </c>
      <c r="AH89" s="586">
        <f t="shared" si="62"/>
        <v>0</v>
      </c>
      <c r="AI89" s="586">
        <f t="shared" si="62"/>
        <v>0</v>
      </c>
      <c r="AJ89" s="586">
        <f t="shared" si="62"/>
        <v>0</v>
      </c>
      <c r="AK89" s="586">
        <f t="shared" si="62"/>
        <v>0</v>
      </c>
      <c r="AL89" s="586">
        <f t="shared" si="62"/>
        <v>0</v>
      </c>
      <c r="AM89" s="586">
        <f t="shared" si="62"/>
        <v>0</v>
      </c>
      <c r="AN89" s="586">
        <f t="shared" si="62"/>
        <v>0</v>
      </c>
      <c r="AO89" s="586">
        <f t="shared" si="62"/>
        <v>0</v>
      </c>
      <c r="AP89" s="586">
        <f t="shared" si="62"/>
        <v>0</v>
      </c>
      <c r="AQ89" s="586">
        <f t="shared" si="62"/>
        <v>0</v>
      </c>
      <c r="AR89" s="586">
        <f t="shared" si="62"/>
        <v>0</v>
      </c>
      <c r="AS89" s="586">
        <f t="shared" si="62"/>
        <v>0</v>
      </c>
      <c r="AT89" s="170"/>
      <c r="AU89" s="170"/>
      <c r="AV89" s="170"/>
      <c r="AW89" s="828"/>
      <c r="AX89" s="726"/>
    </row>
    <row r="90" spans="1:50" ht="15" x14ac:dyDescent="0.25">
      <c r="A90" s="170"/>
      <c r="B90" s="719"/>
      <c r="C90" s="170"/>
      <c r="D90" s="170"/>
      <c r="E90" s="170"/>
      <c r="F90" s="170">
        <f>+Parameters!D21</f>
        <v>18</v>
      </c>
      <c r="G90" s="170" t="str">
        <f>+Parameters!E21</f>
        <v>Sound walls/ retaining walls</v>
      </c>
      <c r="H90" s="170"/>
      <c r="I90" s="170">
        <f>+Parameters!F21</f>
        <v>0</v>
      </c>
      <c r="J90" s="170"/>
      <c r="K90" s="170"/>
      <c r="L90" s="170"/>
      <c r="M90" s="730"/>
      <c r="N90" s="730"/>
      <c r="O90" s="730"/>
      <c r="P90" s="731"/>
      <c r="Q90" s="731"/>
      <c r="R90" s="730"/>
      <c r="S90" s="730"/>
      <c r="T90" s="723"/>
      <c r="U90" s="724"/>
      <c r="V90" s="725"/>
      <c r="W90" s="725"/>
      <c r="X90" s="723"/>
      <c r="Y90" s="723"/>
      <c r="Z90" s="723"/>
      <c r="AA90" s="726"/>
      <c r="AB90" s="726"/>
      <c r="AC90" s="170"/>
      <c r="AD90" s="586">
        <f t="shared" si="62"/>
        <v>0</v>
      </c>
      <c r="AE90" s="586">
        <f t="shared" si="62"/>
        <v>0</v>
      </c>
      <c r="AF90" s="586">
        <f t="shared" si="62"/>
        <v>0</v>
      </c>
      <c r="AG90" s="586">
        <f t="shared" si="62"/>
        <v>0</v>
      </c>
      <c r="AH90" s="586">
        <f t="shared" si="62"/>
        <v>0</v>
      </c>
      <c r="AI90" s="586">
        <f t="shared" si="62"/>
        <v>0</v>
      </c>
      <c r="AJ90" s="586">
        <f t="shared" si="62"/>
        <v>0</v>
      </c>
      <c r="AK90" s="586">
        <f t="shared" si="62"/>
        <v>0</v>
      </c>
      <c r="AL90" s="586">
        <f t="shared" si="62"/>
        <v>0</v>
      </c>
      <c r="AM90" s="586">
        <f t="shared" si="62"/>
        <v>0</v>
      </c>
      <c r="AN90" s="586">
        <f t="shared" si="62"/>
        <v>0</v>
      </c>
      <c r="AO90" s="586">
        <f t="shared" si="62"/>
        <v>0</v>
      </c>
      <c r="AP90" s="586">
        <f t="shared" si="62"/>
        <v>0</v>
      </c>
      <c r="AQ90" s="586">
        <f t="shared" si="62"/>
        <v>0</v>
      </c>
      <c r="AR90" s="586">
        <f t="shared" si="62"/>
        <v>0</v>
      </c>
      <c r="AS90" s="586">
        <f t="shared" si="62"/>
        <v>0</v>
      </c>
      <c r="AT90" s="170"/>
      <c r="AU90" s="170"/>
      <c r="AV90" s="170"/>
      <c r="AW90" s="828"/>
      <c r="AX90" s="726"/>
    </row>
    <row r="91" spans="1:50" ht="15" x14ac:dyDescent="0.25">
      <c r="A91" s="170"/>
      <c r="B91" s="719"/>
      <c r="C91" s="170"/>
      <c r="D91" s="170"/>
      <c r="E91" s="170"/>
      <c r="F91" s="170">
        <f>+Parameters!D22</f>
        <v>19</v>
      </c>
      <c r="G91" s="170" t="str">
        <f>+Parameters!E22</f>
        <v>Other</v>
      </c>
      <c r="H91" s="170"/>
      <c r="I91" s="170">
        <f>+Parameters!F22</f>
        <v>0</v>
      </c>
      <c r="J91" s="170"/>
      <c r="K91" s="170"/>
      <c r="L91" s="170"/>
      <c r="M91" s="730"/>
      <c r="N91" s="730"/>
      <c r="O91" s="730"/>
      <c r="P91" s="731"/>
      <c r="Q91" s="731"/>
      <c r="R91" s="730"/>
      <c r="S91" s="730"/>
      <c r="T91" s="723"/>
      <c r="U91" s="724"/>
      <c r="V91" s="725"/>
      <c r="W91" s="725"/>
      <c r="X91" s="723"/>
      <c r="Y91" s="723"/>
      <c r="Z91" s="723"/>
      <c r="AA91" s="726"/>
      <c r="AB91" s="726"/>
      <c r="AC91" s="170"/>
      <c r="AD91" s="586">
        <f t="shared" si="62"/>
        <v>0</v>
      </c>
      <c r="AE91" s="586">
        <f t="shared" si="62"/>
        <v>0</v>
      </c>
      <c r="AF91" s="586">
        <f t="shared" si="62"/>
        <v>0</v>
      </c>
      <c r="AG91" s="586">
        <f t="shared" si="62"/>
        <v>0</v>
      </c>
      <c r="AH91" s="586">
        <f t="shared" si="62"/>
        <v>0</v>
      </c>
      <c r="AI91" s="586">
        <f t="shared" si="62"/>
        <v>0</v>
      </c>
      <c r="AJ91" s="586">
        <f t="shared" si="62"/>
        <v>0</v>
      </c>
      <c r="AK91" s="586">
        <f t="shared" si="62"/>
        <v>0</v>
      </c>
      <c r="AL91" s="586">
        <f t="shared" si="62"/>
        <v>0</v>
      </c>
      <c r="AM91" s="586">
        <f t="shared" si="62"/>
        <v>0</v>
      </c>
      <c r="AN91" s="586">
        <f t="shared" si="62"/>
        <v>0</v>
      </c>
      <c r="AO91" s="586">
        <f t="shared" si="62"/>
        <v>0</v>
      </c>
      <c r="AP91" s="586">
        <f t="shared" si="62"/>
        <v>0</v>
      </c>
      <c r="AQ91" s="586">
        <f t="shared" si="62"/>
        <v>0</v>
      </c>
      <c r="AR91" s="586">
        <f t="shared" si="62"/>
        <v>0</v>
      </c>
      <c r="AS91" s="586">
        <f t="shared" si="62"/>
        <v>0</v>
      </c>
      <c r="AT91" s="170"/>
      <c r="AU91" s="170"/>
      <c r="AV91" s="170"/>
      <c r="AW91" s="828"/>
      <c r="AX91" s="726"/>
    </row>
    <row r="92" spans="1:50" ht="15" x14ac:dyDescent="0.25">
      <c r="A92" s="170"/>
      <c r="B92" s="719"/>
      <c r="C92" s="170"/>
      <c r="D92" s="170"/>
      <c r="E92" s="170"/>
      <c r="F92" s="170">
        <f>+Parameters!D23</f>
        <v>20</v>
      </c>
      <c r="G92" s="170" t="str">
        <f>+Parameters!E23</f>
        <v>Trench (Trenwa type)</v>
      </c>
      <c r="H92" s="170"/>
      <c r="I92" s="170">
        <f>+Parameters!F23</f>
        <v>0</v>
      </c>
      <c r="J92" s="170"/>
      <c r="K92" s="170"/>
      <c r="L92" s="170"/>
      <c r="M92" s="730"/>
      <c r="N92" s="730"/>
      <c r="O92" s="730"/>
      <c r="P92" s="731"/>
      <c r="Q92" s="731"/>
      <c r="R92" s="730"/>
      <c r="S92" s="730"/>
      <c r="T92" s="723"/>
      <c r="U92" s="724"/>
      <c r="V92" s="725"/>
      <c r="W92" s="725"/>
      <c r="X92" s="723"/>
      <c r="Y92" s="723"/>
      <c r="Z92" s="723"/>
      <c r="AA92" s="726"/>
      <c r="AB92" s="726"/>
      <c r="AC92" s="170"/>
      <c r="AD92" s="586">
        <f t="shared" si="62"/>
        <v>0</v>
      </c>
      <c r="AE92" s="586">
        <f t="shared" si="62"/>
        <v>0</v>
      </c>
      <c r="AF92" s="586">
        <f t="shared" si="62"/>
        <v>0</v>
      </c>
      <c r="AG92" s="586">
        <f t="shared" si="62"/>
        <v>0</v>
      </c>
      <c r="AH92" s="586">
        <f t="shared" si="62"/>
        <v>0</v>
      </c>
      <c r="AI92" s="586">
        <f t="shared" si="62"/>
        <v>0</v>
      </c>
      <c r="AJ92" s="586">
        <f t="shared" si="62"/>
        <v>0</v>
      </c>
      <c r="AK92" s="586">
        <f t="shared" si="62"/>
        <v>0</v>
      </c>
      <c r="AL92" s="586">
        <f t="shared" si="62"/>
        <v>0</v>
      </c>
      <c r="AM92" s="586">
        <f t="shared" si="62"/>
        <v>0</v>
      </c>
      <c r="AN92" s="586">
        <f t="shared" si="62"/>
        <v>0</v>
      </c>
      <c r="AO92" s="586">
        <f t="shared" si="62"/>
        <v>0</v>
      </c>
      <c r="AP92" s="586">
        <f t="shared" si="62"/>
        <v>0</v>
      </c>
      <c r="AQ92" s="586">
        <f t="shared" si="62"/>
        <v>0</v>
      </c>
      <c r="AR92" s="586">
        <f t="shared" si="62"/>
        <v>0</v>
      </c>
      <c r="AS92" s="586">
        <f t="shared" si="62"/>
        <v>0</v>
      </c>
      <c r="AT92" s="170"/>
      <c r="AU92" s="170"/>
      <c r="AV92" s="170"/>
      <c r="AW92" s="828"/>
      <c r="AX92" s="726"/>
    </row>
    <row r="93" spans="1:50" ht="15" x14ac:dyDescent="0.25">
      <c r="A93" s="170"/>
      <c r="B93" s="719"/>
      <c r="C93" s="170"/>
      <c r="D93" s="170"/>
      <c r="E93" s="170"/>
      <c r="F93" s="170">
        <f>+Parameters!D24</f>
        <v>21</v>
      </c>
      <c r="G93" s="170" t="str">
        <f>+Parameters!E24</f>
        <v>Ductbank ( incl conduit)</v>
      </c>
      <c r="H93" s="170"/>
      <c r="I93" s="170" t="str">
        <f>+Parameters!F24</f>
        <v>lf</v>
      </c>
      <c r="J93" s="170"/>
      <c r="K93" s="170"/>
      <c r="L93" s="170"/>
      <c r="M93" s="730"/>
      <c r="N93" s="730"/>
      <c r="O93" s="730"/>
      <c r="P93" s="731"/>
      <c r="Q93" s="731"/>
      <c r="R93" s="730"/>
      <c r="S93" s="730"/>
      <c r="T93" s="723"/>
      <c r="U93" s="724"/>
      <c r="V93" s="725"/>
      <c r="W93" s="725"/>
      <c r="X93" s="723"/>
      <c r="Y93" s="723"/>
      <c r="Z93" s="723"/>
      <c r="AA93" s="726"/>
      <c r="AB93" s="726"/>
      <c r="AC93" s="170"/>
      <c r="AD93" s="586">
        <f t="shared" ref="AD93:AS102" si="63">SUMIF($F$9:$F$70,$F93,AD$9:AD$70)</f>
        <v>0</v>
      </c>
      <c r="AE93" s="586">
        <f t="shared" si="63"/>
        <v>0</v>
      </c>
      <c r="AF93" s="586">
        <f t="shared" si="63"/>
        <v>0</v>
      </c>
      <c r="AG93" s="586">
        <f t="shared" si="63"/>
        <v>0</v>
      </c>
      <c r="AH93" s="586">
        <f t="shared" si="63"/>
        <v>0</v>
      </c>
      <c r="AI93" s="586">
        <f t="shared" si="63"/>
        <v>0</v>
      </c>
      <c r="AJ93" s="586">
        <f t="shared" si="63"/>
        <v>0</v>
      </c>
      <c r="AK93" s="586">
        <f t="shared" si="63"/>
        <v>0</v>
      </c>
      <c r="AL93" s="586">
        <f t="shared" si="63"/>
        <v>0</v>
      </c>
      <c r="AM93" s="586">
        <f t="shared" si="63"/>
        <v>0</v>
      </c>
      <c r="AN93" s="586">
        <f t="shared" si="63"/>
        <v>0</v>
      </c>
      <c r="AO93" s="586">
        <f t="shared" si="63"/>
        <v>0</v>
      </c>
      <c r="AP93" s="586">
        <f t="shared" si="63"/>
        <v>0</v>
      </c>
      <c r="AQ93" s="586">
        <f t="shared" si="63"/>
        <v>0</v>
      </c>
      <c r="AR93" s="586">
        <f t="shared" si="63"/>
        <v>0</v>
      </c>
      <c r="AS93" s="586">
        <f t="shared" si="63"/>
        <v>0</v>
      </c>
      <c r="AT93" s="170"/>
      <c r="AU93" s="170"/>
      <c r="AV93" s="170"/>
      <c r="AW93" s="828"/>
      <c r="AX93" s="726"/>
    </row>
    <row r="94" spans="1:50" ht="15" x14ac:dyDescent="0.25">
      <c r="A94" s="170"/>
      <c r="B94" s="719"/>
      <c r="C94" s="170"/>
      <c r="D94" s="170"/>
      <c r="E94" s="170"/>
      <c r="F94" s="170">
        <f>+Parameters!D25</f>
        <v>22</v>
      </c>
      <c r="G94" s="170" t="str">
        <f>+Parameters!E25</f>
        <v>Conduit - AG</v>
      </c>
      <c r="H94" s="170"/>
      <c r="I94" s="170" t="str">
        <f>+Parameters!F25</f>
        <v>lf</v>
      </c>
      <c r="J94" s="170"/>
      <c r="K94" s="170"/>
      <c r="L94" s="170"/>
      <c r="M94" s="730"/>
      <c r="N94" s="730"/>
      <c r="O94" s="730"/>
      <c r="P94" s="731"/>
      <c r="Q94" s="731"/>
      <c r="R94" s="730"/>
      <c r="S94" s="730"/>
      <c r="T94" s="723"/>
      <c r="U94" s="724"/>
      <c r="V94" s="725"/>
      <c r="W94" s="725"/>
      <c r="X94" s="723"/>
      <c r="Y94" s="723"/>
      <c r="Z94" s="723"/>
      <c r="AA94" s="726"/>
      <c r="AB94" s="726"/>
      <c r="AC94" s="170"/>
      <c r="AD94" s="586">
        <f t="shared" si="63"/>
        <v>0</v>
      </c>
      <c r="AE94" s="586">
        <f t="shared" si="63"/>
        <v>0</v>
      </c>
      <c r="AF94" s="586">
        <f t="shared" si="63"/>
        <v>0</v>
      </c>
      <c r="AG94" s="586">
        <f t="shared" si="63"/>
        <v>0</v>
      </c>
      <c r="AH94" s="586">
        <f t="shared" si="63"/>
        <v>0</v>
      </c>
      <c r="AI94" s="586">
        <f t="shared" si="63"/>
        <v>0</v>
      </c>
      <c r="AJ94" s="586">
        <f t="shared" si="63"/>
        <v>0</v>
      </c>
      <c r="AK94" s="586">
        <f t="shared" si="63"/>
        <v>0</v>
      </c>
      <c r="AL94" s="586">
        <f t="shared" si="63"/>
        <v>0</v>
      </c>
      <c r="AM94" s="586">
        <f t="shared" si="63"/>
        <v>0</v>
      </c>
      <c r="AN94" s="586">
        <f t="shared" si="63"/>
        <v>0</v>
      </c>
      <c r="AO94" s="586">
        <f t="shared" si="63"/>
        <v>0</v>
      </c>
      <c r="AP94" s="586">
        <f t="shared" si="63"/>
        <v>0</v>
      </c>
      <c r="AQ94" s="586">
        <f t="shared" si="63"/>
        <v>0</v>
      </c>
      <c r="AR94" s="586">
        <f t="shared" si="63"/>
        <v>0</v>
      </c>
      <c r="AS94" s="586">
        <f t="shared" si="63"/>
        <v>0</v>
      </c>
      <c r="AT94" s="170"/>
      <c r="AU94" s="170"/>
      <c r="AV94" s="170"/>
      <c r="AW94" s="828"/>
      <c r="AX94" s="726"/>
    </row>
    <row r="95" spans="1:50" ht="15" x14ac:dyDescent="0.25">
      <c r="A95" s="170"/>
      <c r="B95" s="719"/>
      <c r="C95" s="170"/>
      <c r="D95" s="170"/>
      <c r="E95" s="170"/>
      <c r="F95" s="170">
        <f>+Parameters!D26</f>
        <v>23</v>
      </c>
      <c r="G95" s="170" t="str">
        <f>+Parameters!E26</f>
        <v>Conduit - UG ( excl ductbank)</v>
      </c>
      <c r="H95" s="170"/>
      <c r="I95" s="170" t="str">
        <f>+Parameters!F26</f>
        <v>lf</v>
      </c>
      <c r="J95" s="170"/>
      <c r="K95" s="170"/>
      <c r="L95" s="170"/>
      <c r="M95" s="730"/>
      <c r="N95" s="730"/>
      <c r="O95" s="730"/>
      <c r="P95" s="731"/>
      <c r="Q95" s="731"/>
      <c r="R95" s="730"/>
      <c r="S95" s="730"/>
      <c r="T95" s="723"/>
      <c r="U95" s="724"/>
      <c r="V95" s="725"/>
      <c r="W95" s="725"/>
      <c r="X95" s="723"/>
      <c r="Y95" s="723"/>
      <c r="Z95" s="723"/>
      <c r="AA95" s="726"/>
      <c r="AB95" s="726"/>
      <c r="AC95" s="170"/>
      <c r="AD95" s="586">
        <f t="shared" si="63"/>
        <v>0</v>
      </c>
      <c r="AE95" s="586">
        <f t="shared" si="63"/>
        <v>0</v>
      </c>
      <c r="AF95" s="586">
        <f t="shared" si="63"/>
        <v>0</v>
      </c>
      <c r="AG95" s="586">
        <f t="shared" si="63"/>
        <v>0</v>
      </c>
      <c r="AH95" s="586">
        <f t="shared" si="63"/>
        <v>0</v>
      </c>
      <c r="AI95" s="586">
        <f t="shared" si="63"/>
        <v>0</v>
      </c>
      <c r="AJ95" s="586">
        <f t="shared" si="63"/>
        <v>0</v>
      </c>
      <c r="AK95" s="586">
        <f t="shared" si="63"/>
        <v>0</v>
      </c>
      <c r="AL95" s="586">
        <f t="shared" si="63"/>
        <v>0</v>
      </c>
      <c r="AM95" s="586">
        <f t="shared" si="63"/>
        <v>0</v>
      </c>
      <c r="AN95" s="586">
        <f t="shared" si="63"/>
        <v>0</v>
      </c>
      <c r="AO95" s="586">
        <f t="shared" si="63"/>
        <v>0</v>
      </c>
      <c r="AP95" s="586">
        <f t="shared" si="63"/>
        <v>0</v>
      </c>
      <c r="AQ95" s="586">
        <f t="shared" si="63"/>
        <v>0</v>
      </c>
      <c r="AR95" s="586">
        <f t="shared" si="63"/>
        <v>0</v>
      </c>
      <c r="AS95" s="586">
        <f t="shared" si="63"/>
        <v>0</v>
      </c>
      <c r="AT95" s="170"/>
      <c r="AU95" s="170"/>
      <c r="AV95" s="170"/>
      <c r="AW95" s="828"/>
      <c r="AX95" s="726"/>
    </row>
    <row r="96" spans="1:50" ht="15" x14ac:dyDescent="0.25">
      <c r="A96" s="170"/>
      <c r="B96" s="719"/>
      <c r="C96" s="170"/>
      <c r="D96" s="170"/>
      <c r="E96" s="170"/>
      <c r="F96" s="170">
        <f>+Parameters!D27</f>
        <v>24</v>
      </c>
      <c r="G96" s="170" t="str">
        <f>+Parameters!E27</f>
        <v>Cable tray</v>
      </c>
      <c r="H96" s="170"/>
      <c r="I96" s="170" t="str">
        <f>+Parameters!F27</f>
        <v>lf</v>
      </c>
      <c r="J96" s="170"/>
      <c r="K96" s="170"/>
      <c r="L96" s="170"/>
      <c r="M96" s="730"/>
      <c r="N96" s="730"/>
      <c r="O96" s="730"/>
      <c r="P96" s="731"/>
      <c r="Q96" s="731"/>
      <c r="R96" s="730"/>
      <c r="S96" s="730"/>
      <c r="T96" s="723"/>
      <c r="U96" s="724"/>
      <c r="V96" s="725"/>
      <c r="W96" s="725"/>
      <c r="X96" s="723"/>
      <c r="Y96" s="723"/>
      <c r="Z96" s="723"/>
      <c r="AA96" s="726"/>
      <c r="AB96" s="726"/>
      <c r="AC96" s="170"/>
      <c r="AD96" s="586">
        <f t="shared" si="63"/>
        <v>0</v>
      </c>
      <c r="AE96" s="586">
        <f t="shared" si="63"/>
        <v>0</v>
      </c>
      <c r="AF96" s="586">
        <f t="shared" si="63"/>
        <v>0</v>
      </c>
      <c r="AG96" s="586">
        <f t="shared" si="63"/>
        <v>0</v>
      </c>
      <c r="AH96" s="586">
        <f t="shared" si="63"/>
        <v>0</v>
      </c>
      <c r="AI96" s="586">
        <f t="shared" si="63"/>
        <v>0</v>
      </c>
      <c r="AJ96" s="586">
        <f t="shared" si="63"/>
        <v>0</v>
      </c>
      <c r="AK96" s="586">
        <f t="shared" si="63"/>
        <v>0</v>
      </c>
      <c r="AL96" s="586">
        <f t="shared" si="63"/>
        <v>0</v>
      </c>
      <c r="AM96" s="586">
        <f t="shared" si="63"/>
        <v>0</v>
      </c>
      <c r="AN96" s="586">
        <f t="shared" si="63"/>
        <v>0</v>
      </c>
      <c r="AO96" s="586">
        <f t="shared" si="63"/>
        <v>0</v>
      </c>
      <c r="AP96" s="586">
        <f t="shared" si="63"/>
        <v>0</v>
      </c>
      <c r="AQ96" s="586">
        <f t="shared" si="63"/>
        <v>0</v>
      </c>
      <c r="AR96" s="586">
        <f t="shared" si="63"/>
        <v>0</v>
      </c>
      <c r="AS96" s="586">
        <f t="shared" si="63"/>
        <v>0</v>
      </c>
      <c r="AT96" s="170"/>
      <c r="AU96" s="170"/>
      <c r="AV96" s="170"/>
      <c r="AW96" s="828"/>
      <c r="AX96" s="726"/>
    </row>
    <row r="97" spans="1:50" ht="15" x14ac:dyDescent="0.25">
      <c r="A97" s="170"/>
      <c r="B97" s="719"/>
      <c r="C97" s="170"/>
      <c r="D97" s="170"/>
      <c r="E97" s="170"/>
      <c r="F97" s="170">
        <f>+Parameters!D28</f>
        <v>25</v>
      </c>
      <c r="G97" s="170" t="str">
        <f>+Parameters!E28</f>
        <v>Grounding</v>
      </c>
      <c r="H97" s="170"/>
      <c r="I97" s="170" t="str">
        <f>+Parameters!F28</f>
        <v>lf</v>
      </c>
      <c r="J97" s="170"/>
      <c r="K97" s="170"/>
      <c r="L97" s="170"/>
      <c r="M97" s="730"/>
      <c r="N97" s="730"/>
      <c r="O97" s="730"/>
      <c r="P97" s="731"/>
      <c r="Q97" s="731"/>
      <c r="R97" s="730"/>
      <c r="S97" s="730"/>
      <c r="T97" s="723"/>
      <c r="U97" s="724"/>
      <c r="V97" s="725"/>
      <c r="W97" s="725"/>
      <c r="X97" s="723"/>
      <c r="Y97" s="723"/>
      <c r="Z97" s="723"/>
      <c r="AA97" s="726"/>
      <c r="AB97" s="726"/>
      <c r="AC97" s="170"/>
      <c r="AD97" s="586">
        <f t="shared" si="63"/>
        <v>0</v>
      </c>
      <c r="AE97" s="586">
        <f t="shared" si="63"/>
        <v>0</v>
      </c>
      <c r="AF97" s="586">
        <f t="shared" si="63"/>
        <v>0</v>
      </c>
      <c r="AG97" s="586">
        <f t="shared" si="63"/>
        <v>0</v>
      </c>
      <c r="AH97" s="586">
        <f t="shared" si="63"/>
        <v>0</v>
      </c>
      <c r="AI97" s="586">
        <f t="shared" si="63"/>
        <v>0</v>
      </c>
      <c r="AJ97" s="586">
        <f t="shared" si="63"/>
        <v>0</v>
      </c>
      <c r="AK97" s="586">
        <f t="shared" si="63"/>
        <v>0</v>
      </c>
      <c r="AL97" s="586">
        <f t="shared" si="63"/>
        <v>0</v>
      </c>
      <c r="AM97" s="586">
        <f t="shared" si="63"/>
        <v>0</v>
      </c>
      <c r="AN97" s="586">
        <f t="shared" si="63"/>
        <v>0</v>
      </c>
      <c r="AO97" s="586">
        <f t="shared" si="63"/>
        <v>0</v>
      </c>
      <c r="AP97" s="586">
        <f t="shared" si="63"/>
        <v>0</v>
      </c>
      <c r="AQ97" s="586">
        <f t="shared" si="63"/>
        <v>0</v>
      </c>
      <c r="AR97" s="586">
        <f t="shared" si="63"/>
        <v>0</v>
      </c>
      <c r="AS97" s="586">
        <f t="shared" si="63"/>
        <v>0</v>
      </c>
      <c r="AT97" s="170"/>
      <c r="AU97" s="170"/>
      <c r="AV97" s="170"/>
      <c r="AW97" s="828"/>
      <c r="AX97" s="726"/>
    </row>
    <row r="98" spans="1:50" ht="15" x14ac:dyDescent="0.25">
      <c r="A98" s="170"/>
      <c r="B98" s="719"/>
      <c r="C98" s="170"/>
      <c r="D98" s="170"/>
      <c r="E98" s="170"/>
      <c r="F98" s="170">
        <f>+Parameters!D29</f>
        <v>26</v>
      </c>
      <c r="G98" s="170" t="str">
        <f>+Parameters!E29</f>
        <v>Lighting</v>
      </c>
      <c r="H98" s="170"/>
      <c r="I98" s="170">
        <f>+Parameters!F29</f>
        <v>0</v>
      </c>
      <c r="J98" s="170"/>
      <c r="K98" s="170"/>
      <c r="L98" s="170"/>
      <c r="M98" s="730"/>
      <c r="N98" s="730"/>
      <c r="O98" s="730"/>
      <c r="P98" s="731"/>
      <c r="Q98" s="731"/>
      <c r="R98" s="730"/>
      <c r="S98" s="730"/>
      <c r="T98" s="723"/>
      <c r="U98" s="724"/>
      <c r="V98" s="725"/>
      <c r="W98" s="725"/>
      <c r="X98" s="723"/>
      <c r="Y98" s="723"/>
      <c r="Z98" s="723"/>
      <c r="AA98" s="726"/>
      <c r="AB98" s="726"/>
      <c r="AC98" s="170"/>
      <c r="AD98" s="586">
        <f t="shared" si="63"/>
        <v>0</v>
      </c>
      <c r="AE98" s="586">
        <f t="shared" si="63"/>
        <v>0</v>
      </c>
      <c r="AF98" s="586">
        <f t="shared" si="63"/>
        <v>0</v>
      </c>
      <c r="AG98" s="586">
        <f t="shared" si="63"/>
        <v>0</v>
      </c>
      <c r="AH98" s="586">
        <f t="shared" si="63"/>
        <v>0</v>
      </c>
      <c r="AI98" s="586">
        <f t="shared" si="63"/>
        <v>0</v>
      </c>
      <c r="AJ98" s="586">
        <f t="shared" si="63"/>
        <v>0</v>
      </c>
      <c r="AK98" s="586">
        <f t="shared" si="63"/>
        <v>0</v>
      </c>
      <c r="AL98" s="586">
        <f t="shared" si="63"/>
        <v>0</v>
      </c>
      <c r="AM98" s="586">
        <f t="shared" si="63"/>
        <v>0</v>
      </c>
      <c r="AN98" s="586">
        <f t="shared" si="63"/>
        <v>0</v>
      </c>
      <c r="AO98" s="586">
        <f t="shared" si="63"/>
        <v>0</v>
      </c>
      <c r="AP98" s="586">
        <f t="shared" si="63"/>
        <v>0</v>
      </c>
      <c r="AQ98" s="586">
        <f t="shared" si="63"/>
        <v>0</v>
      </c>
      <c r="AR98" s="586">
        <f t="shared" si="63"/>
        <v>0</v>
      </c>
      <c r="AS98" s="586">
        <f t="shared" si="63"/>
        <v>0</v>
      </c>
      <c r="AT98" s="170"/>
      <c r="AU98" s="170"/>
      <c r="AV98" s="170"/>
      <c r="AW98" s="828"/>
      <c r="AX98" s="726"/>
    </row>
    <row r="99" spans="1:50" ht="15" x14ac:dyDescent="0.25">
      <c r="A99" s="170"/>
      <c r="B99" s="719"/>
      <c r="C99" s="170"/>
      <c r="D99" s="170"/>
      <c r="E99" s="170"/>
      <c r="F99" s="170">
        <f>+Parameters!D30</f>
        <v>27</v>
      </c>
      <c r="G99" s="170">
        <f>+Parameters!E30</f>
        <v>0</v>
      </c>
      <c r="H99" s="170"/>
      <c r="I99" s="170">
        <f>+Parameters!F30</f>
        <v>0</v>
      </c>
      <c r="J99" s="170"/>
      <c r="K99" s="170"/>
      <c r="L99" s="170"/>
      <c r="M99" s="730"/>
      <c r="N99" s="730"/>
      <c r="O99" s="730"/>
      <c r="P99" s="731"/>
      <c r="Q99" s="731"/>
      <c r="R99" s="730"/>
      <c r="S99" s="730"/>
      <c r="T99" s="723"/>
      <c r="U99" s="724"/>
      <c r="V99" s="725"/>
      <c r="W99" s="725"/>
      <c r="X99" s="723"/>
      <c r="Y99" s="723"/>
      <c r="Z99" s="723"/>
      <c r="AA99" s="726"/>
      <c r="AB99" s="726"/>
      <c r="AC99" s="170"/>
      <c r="AD99" s="586">
        <f t="shared" si="63"/>
        <v>0</v>
      </c>
      <c r="AE99" s="586">
        <f t="shared" si="63"/>
        <v>0</v>
      </c>
      <c r="AF99" s="586">
        <f t="shared" si="63"/>
        <v>0</v>
      </c>
      <c r="AG99" s="586">
        <f t="shared" si="63"/>
        <v>0</v>
      </c>
      <c r="AH99" s="586">
        <f t="shared" si="63"/>
        <v>0</v>
      </c>
      <c r="AI99" s="586">
        <f t="shared" si="63"/>
        <v>0</v>
      </c>
      <c r="AJ99" s="586">
        <f t="shared" si="63"/>
        <v>0</v>
      </c>
      <c r="AK99" s="586">
        <f t="shared" si="63"/>
        <v>0</v>
      </c>
      <c r="AL99" s="586">
        <f t="shared" si="63"/>
        <v>0</v>
      </c>
      <c r="AM99" s="586">
        <f t="shared" si="63"/>
        <v>0</v>
      </c>
      <c r="AN99" s="586">
        <f t="shared" si="63"/>
        <v>0</v>
      </c>
      <c r="AO99" s="586">
        <f t="shared" si="63"/>
        <v>0</v>
      </c>
      <c r="AP99" s="586">
        <f t="shared" si="63"/>
        <v>0</v>
      </c>
      <c r="AQ99" s="586">
        <f t="shared" si="63"/>
        <v>0</v>
      </c>
      <c r="AR99" s="586">
        <f t="shared" si="63"/>
        <v>0</v>
      </c>
      <c r="AS99" s="586">
        <f t="shared" si="63"/>
        <v>0</v>
      </c>
      <c r="AT99" s="170"/>
      <c r="AU99" s="170"/>
      <c r="AV99" s="170"/>
      <c r="AW99" s="828"/>
      <c r="AX99" s="726"/>
    </row>
    <row r="100" spans="1:50" ht="15" x14ac:dyDescent="0.25">
      <c r="A100" s="170"/>
      <c r="B100" s="719"/>
      <c r="C100" s="170"/>
      <c r="D100" s="170"/>
      <c r="E100" s="170"/>
      <c r="F100" s="170">
        <f>+Parameters!D31</f>
        <v>28</v>
      </c>
      <c r="G100" s="170">
        <f>+Parameters!E31</f>
        <v>0</v>
      </c>
      <c r="H100" s="170"/>
      <c r="I100" s="170">
        <f>+Parameters!F31</f>
        <v>0</v>
      </c>
      <c r="J100" s="170"/>
      <c r="K100" s="170"/>
      <c r="L100" s="170"/>
      <c r="M100" s="730"/>
      <c r="N100" s="730"/>
      <c r="O100" s="730"/>
      <c r="P100" s="731"/>
      <c r="Q100" s="731"/>
      <c r="R100" s="730"/>
      <c r="S100" s="730"/>
      <c r="T100" s="723"/>
      <c r="U100" s="724"/>
      <c r="V100" s="725"/>
      <c r="W100" s="725"/>
      <c r="X100" s="723"/>
      <c r="Y100" s="723"/>
      <c r="Z100" s="723"/>
      <c r="AA100" s="726"/>
      <c r="AB100" s="726"/>
      <c r="AC100" s="170"/>
      <c r="AD100" s="586">
        <f t="shared" si="63"/>
        <v>0</v>
      </c>
      <c r="AE100" s="586">
        <f t="shared" si="63"/>
        <v>0</v>
      </c>
      <c r="AF100" s="586">
        <f t="shared" si="63"/>
        <v>0</v>
      </c>
      <c r="AG100" s="586">
        <f t="shared" si="63"/>
        <v>0</v>
      </c>
      <c r="AH100" s="586">
        <f t="shared" si="63"/>
        <v>0</v>
      </c>
      <c r="AI100" s="586">
        <f t="shared" si="63"/>
        <v>0</v>
      </c>
      <c r="AJ100" s="586">
        <f t="shared" si="63"/>
        <v>0</v>
      </c>
      <c r="AK100" s="586">
        <f t="shared" si="63"/>
        <v>0</v>
      </c>
      <c r="AL100" s="586">
        <f t="shared" si="63"/>
        <v>0</v>
      </c>
      <c r="AM100" s="586">
        <f t="shared" si="63"/>
        <v>0</v>
      </c>
      <c r="AN100" s="586">
        <f t="shared" si="63"/>
        <v>0</v>
      </c>
      <c r="AO100" s="586">
        <f t="shared" si="63"/>
        <v>0</v>
      </c>
      <c r="AP100" s="586">
        <f t="shared" si="63"/>
        <v>0</v>
      </c>
      <c r="AQ100" s="586">
        <f t="shared" si="63"/>
        <v>0</v>
      </c>
      <c r="AR100" s="586">
        <f t="shared" si="63"/>
        <v>0</v>
      </c>
      <c r="AS100" s="586">
        <f t="shared" si="63"/>
        <v>0</v>
      </c>
      <c r="AT100" s="170"/>
      <c r="AU100" s="170"/>
      <c r="AV100" s="170"/>
      <c r="AW100" s="828"/>
      <c r="AX100" s="726"/>
    </row>
    <row r="101" spans="1:50" ht="15" x14ac:dyDescent="0.25">
      <c r="A101" s="170"/>
      <c r="B101" s="719"/>
      <c r="C101" s="170"/>
      <c r="D101" s="170"/>
      <c r="E101" s="170"/>
      <c r="F101" s="170">
        <f>+Parameters!D32</f>
        <v>29</v>
      </c>
      <c r="G101" s="170">
        <f>+Parameters!E32</f>
        <v>0</v>
      </c>
      <c r="H101" s="170"/>
      <c r="I101" s="170">
        <f>+Parameters!F32</f>
        <v>0</v>
      </c>
      <c r="J101" s="170"/>
      <c r="K101" s="170"/>
      <c r="L101" s="170"/>
      <c r="M101" s="730"/>
      <c r="N101" s="730"/>
      <c r="O101" s="730"/>
      <c r="P101" s="731"/>
      <c r="Q101" s="731"/>
      <c r="R101" s="730"/>
      <c r="S101" s="730"/>
      <c r="T101" s="723"/>
      <c r="U101" s="724"/>
      <c r="V101" s="725"/>
      <c r="W101" s="725"/>
      <c r="X101" s="723"/>
      <c r="Y101" s="723"/>
      <c r="Z101" s="723"/>
      <c r="AA101" s="726"/>
      <c r="AB101" s="726"/>
      <c r="AC101" s="170"/>
      <c r="AD101" s="586">
        <f t="shared" si="63"/>
        <v>0</v>
      </c>
      <c r="AE101" s="586">
        <f t="shared" si="63"/>
        <v>0</v>
      </c>
      <c r="AF101" s="586">
        <f t="shared" si="63"/>
        <v>0</v>
      </c>
      <c r="AG101" s="586">
        <f t="shared" si="63"/>
        <v>0</v>
      </c>
      <c r="AH101" s="586">
        <f t="shared" si="63"/>
        <v>0</v>
      </c>
      <c r="AI101" s="586">
        <f t="shared" si="63"/>
        <v>0</v>
      </c>
      <c r="AJ101" s="586">
        <f t="shared" si="63"/>
        <v>0</v>
      </c>
      <c r="AK101" s="586">
        <f t="shared" si="63"/>
        <v>0</v>
      </c>
      <c r="AL101" s="586">
        <f t="shared" si="63"/>
        <v>0</v>
      </c>
      <c r="AM101" s="586">
        <f t="shared" si="63"/>
        <v>0</v>
      </c>
      <c r="AN101" s="586">
        <f t="shared" si="63"/>
        <v>0</v>
      </c>
      <c r="AO101" s="586">
        <f t="shared" si="63"/>
        <v>0</v>
      </c>
      <c r="AP101" s="586">
        <f t="shared" si="63"/>
        <v>0</v>
      </c>
      <c r="AQ101" s="586">
        <f t="shared" si="63"/>
        <v>0</v>
      </c>
      <c r="AR101" s="586">
        <f t="shared" si="63"/>
        <v>0</v>
      </c>
      <c r="AS101" s="586">
        <f t="shared" si="63"/>
        <v>0</v>
      </c>
      <c r="AT101" s="170"/>
      <c r="AU101" s="170"/>
      <c r="AV101" s="170"/>
      <c r="AW101" s="828"/>
      <c r="AX101" s="726"/>
    </row>
    <row r="102" spans="1:50" ht="15" x14ac:dyDescent="0.25">
      <c r="A102" s="170"/>
      <c r="B102" s="719"/>
      <c r="C102" s="170"/>
      <c r="D102" s="170"/>
      <c r="E102" s="170"/>
      <c r="F102" s="170">
        <f>+Parameters!D33</f>
        <v>30</v>
      </c>
      <c r="G102" s="170" t="str">
        <f>+Parameters!E33</f>
        <v>Cable - UG - HPFF ( incl terms)</v>
      </c>
      <c r="H102" s="170"/>
      <c r="I102" s="170" t="str">
        <f>+Parameters!F33</f>
        <v>lf</v>
      </c>
      <c r="J102" s="170"/>
      <c r="K102" s="170"/>
      <c r="L102" s="170"/>
      <c r="M102" s="730"/>
      <c r="N102" s="730"/>
      <c r="O102" s="730"/>
      <c r="P102" s="731"/>
      <c r="Q102" s="731"/>
      <c r="R102" s="730"/>
      <c r="S102" s="730"/>
      <c r="T102" s="723"/>
      <c r="U102" s="724"/>
      <c r="V102" s="725"/>
      <c r="W102" s="725"/>
      <c r="X102" s="723"/>
      <c r="Y102" s="723"/>
      <c r="Z102" s="723"/>
      <c r="AA102" s="726"/>
      <c r="AB102" s="726"/>
      <c r="AC102" s="170"/>
      <c r="AD102" s="586">
        <f t="shared" si="63"/>
        <v>0</v>
      </c>
      <c r="AE102" s="586">
        <f t="shared" si="63"/>
        <v>0</v>
      </c>
      <c r="AF102" s="586">
        <f t="shared" si="63"/>
        <v>0</v>
      </c>
      <c r="AG102" s="586">
        <f t="shared" si="63"/>
        <v>0</v>
      </c>
      <c r="AH102" s="586">
        <f t="shared" si="63"/>
        <v>0</v>
      </c>
      <c r="AI102" s="586">
        <f t="shared" si="63"/>
        <v>0</v>
      </c>
      <c r="AJ102" s="586">
        <f t="shared" si="63"/>
        <v>0</v>
      </c>
      <c r="AK102" s="586">
        <f t="shared" si="63"/>
        <v>0</v>
      </c>
      <c r="AL102" s="586">
        <f t="shared" si="63"/>
        <v>0</v>
      </c>
      <c r="AM102" s="586">
        <f t="shared" si="63"/>
        <v>0</v>
      </c>
      <c r="AN102" s="586">
        <f t="shared" si="63"/>
        <v>0</v>
      </c>
      <c r="AO102" s="586">
        <f t="shared" si="63"/>
        <v>0</v>
      </c>
      <c r="AP102" s="586">
        <f t="shared" si="63"/>
        <v>0</v>
      </c>
      <c r="AQ102" s="586">
        <f t="shared" si="63"/>
        <v>0</v>
      </c>
      <c r="AR102" s="586">
        <f t="shared" si="63"/>
        <v>0</v>
      </c>
      <c r="AS102" s="586">
        <f t="shared" si="63"/>
        <v>0</v>
      </c>
      <c r="AT102" s="170"/>
      <c r="AU102" s="170"/>
      <c r="AV102" s="170"/>
      <c r="AW102" s="828"/>
      <c r="AX102" s="726"/>
    </row>
    <row r="103" spans="1:50" ht="15" x14ac:dyDescent="0.25">
      <c r="A103" s="170"/>
      <c r="B103" s="719"/>
      <c r="C103" s="170"/>
      <c r="D103" s="170"/>
      <c r="E103" s="170"/>
      <c r="F103" s="170">
        <f>+Parameters!D34</f>
        <v>31</v>
      </c>
      <c r="G103" s="170" t="str">
        <f>+Parameters!E34</f>
        <v>Cable - UG - XLPE ( incl terms)</v>
      </c>
      <c r="H103" s="170"/>
      <c r="I103" s="170" t="str">
        <f>+Parameters!F34</f>
        <v>lf</v>
      </c>
      <c r="J103" s="170"/>
      <c r="K103" s="170"/>
      <c r="L103" s="170"/>
      <c r="M103" s="730"/>
      <c r="N103" s="730"/>
      <c r="O103" s="730"/>
      <c r="P103" s="731"/>
      <c r="Q103" s="731"/>
      <c r="R103" s="730"/>
      <c r="S103" s="730"/>
      <c r="T103" s="723"/>
      <c r="U103" s="724"/>
      <c r="V103" s="725"/>
      <c r="W103" s="725"/>
      <c r="X103" s="723"/>
      <c r="Y103" s="723"/>
      <c r="Z103" s="723"/>
      <c r="AA103" s="726"/>
      <c r="AB103" s="726"/>
      <c r="AC103" s="170"/>
      <c r="AD103" s="586">
        <f t="shared" ref="AD103:AS112" si="64">SUMIF($F$9:$F$70,$F103,AD$9:AD$70)</f>
        <v>0</v>
      </c>
      <c r="AE103" s="586">
        <f t="shared" si="64"/>
        <v>0</v>
      </c>
      <c r="AF103" s="586">
        <f t="shared" si="64"/>
        <v>0</v>
      </c>
      <c r="AG103" s="586">
        <f t="shared" si="64"/>
        <v>0</v>
      </c>
      <c r="AH103" s="586">
        <f t="shared" si="64"/>
        <v>0</v>
      </c>
      <c r="AI103" s="586">
        <f t="shared" si="64"/>
        <v>0</v>
      </c>
      <c r="AJ103" s="586">
        <f t="shared" si="64"/>
        <v>0</v>
      </c>
      <c r="AK103" s="586">
        <f t="shared" si="64"/>
        <v>0</v>
      </c>
      <c r="AL103" s="586">
        <f t="shared" si="64"/>
        <v>0</v>
      </c>
      <c r="AM103" s="586">
        <f t="shared" si="64"/>
        <v>0</v>
      </c>
      <c r="AN103" s="586">
        <f t="shared" si="64"/>
        <v>0</v>
      </c>
      <c r="AO103" s="586">
        <f t="shared" si="64"/>
        <v>0</v>
      </c>
      <c r="AP103" s="586">
        <f t="shared" si="64"/>
        <v>0</v>
      </c>
      <c r="AQ103" s="586">
        <f t="shared" si="64"/>
        <v>0</v>
      </c>
      <c r="AR103" s="586">
        <f t="shared" si="64"/>
        <v>0</v>
      </c>
      <c r="AS103" s="586">
        <f t="shared" si="64"/>
        <v>0</v>
      </c>
      <c r="AT103" s="170"/>
      <c r="AU103" s="170"/>
      <c r="AV103" s="170"/>
      <c r="AW103" s="828"/>
      <c r="AX103" s="726"/>
    </row>
    <row r="104" spans="1:50" ht="15" x14ac:dyDescent="0.25">
      <c r="A104" s="170"/>
      <c r="B104" s="719"/>
      <c r="C104" s="170"/>
      <c r="D104" s="170"/>
      <c r="E104" s="170"/>
      <c r="F104" s="170">
        <f>+Parameters!D35</f>
        <v>32</v>
      </c>
      <c r="G104" s="170" t="str">
        <f>+Parameters!E35</f>
        <v>Cable - AG under 115kv ( incl terms)</v>
      </c>
      <c r="H104" s="170"/>
      <c r="I104" s="170" t="str">
        <f>+Parameters!F35</f>
        <v>lf</v>
      </c>
      <c r="J104" s="170"/>
      <c r="K104" s="170"/>
      <c r="L104" s="170"/>
      <c r="M104" s="730"/>
      <c r="N104" s="730"/>
      <c r="O104" s="730"/>
      <c r="P104" s="731"/>
      <c r="Q104" s="731"/>
      <c r="R104" s="730"/>
      <c r="S104" s="730"/>
      <c r="T104" s="723"/>
      <c r="U104" s="724"/>
      <c r="V104" s="725"/>
      <c r="W104" s="725"/>
      <c r="X104" s="723"/>
      <c r="Y104" s="723"/>
      <c r="Z104" s="723"/>
      <c r="AA104" s="726"/>
      <c r="AB104" s="726"/>
      <c r="AC104" s="170"/>
      <c r="AD104" s="586">
        <f t="shared" si="64"/>
        <v>0</v>
      </c>
      <c r="AE104" s="586">
        <f t="shared" si="64"/>
        <v>0</v>
      </c>
      <c r="AF104" s="586">
        <f t="shared" si="64"/>
        <v>0</v>
      </c>
      <c r="AG104" s="586">
        <f t="shared" si="64"/>
        <v>0</v>
      </c>
      <c r="AH104" s="586">
        <f t="shared" si="64"/>
        <v>0</v>
      </c>
      <c r="AI104" s="586">
        <f t="shared" si="64"/>
        <v>0</v>
      </c>
      <c r="AJ104" s="586">
        <f t="shared" si="64"/>
        <v>0</v>
      </c>
      <c r="AK104" s="586">
        <f t="shared" si="64"/>
        <v>0</v>
      </c>
      <c r="AL104" s="586">
        <f t="shared" si="64"/>
        <v>0</v>
      </c>
      <c r="AM104" s="586">
        <f t="shared" si="64"/>
        <v>0</v>
      </c>
      <c r="AN104" s="586">
        <f t="shared" si="64"/>
        <v>0</v>
      </c>
      <c r="AO104" s="586">
        <f t="shared" si="64"/>
        <v>0</v>
      </c>
      <c r="AP104" s="586">
        <f t="shared" si="64"/>
        <v>0</v>
      </c>
      <c r="AQ104" s="586">
        <f t="shared" si="64"/>
        <v>0</v>
      </c>
      <c r="AR104" s="586">
        <f t="shared" si="64"/>
        <v>0</v>
      </c>
      <c r="AS104" s="586">
        <f t="shared" si="64"/>
        <v>0</v>
      </c>
      <c r="AT104" s="170"/>
      <c r="AU104" s="170"/>
      <c r="AV104" s="170"/>
      <c r="AW104" s="828"/>
      <c r="AX104" s="726"/>
    </row>
    <row r="105" spans="1:50" ht="15" x14ac:dyDescent="0.25">
      <c r="A105" s="170"/>
      <c r="B105" s="719"/>
      <c r="C105" s="170"/>
      <c r="D105" s="170"/>
      <c r="E105" s="170"/>
      <c r="F105" s="170">
        <f>+Parameters!D36</f>
        <v>33</v>
      </c>
      <c r="G105" s="170" t="str">
        <f>+Parameters!E36</f>
        <v>Cable - AG 115 kv ( incl terms)</v>
      </c>
      <c r="H105" s="170"/>
      <c r="I105" s="170" t="str">
        <f>+Parameters!F36</f>
        <v>lf</v>
      </c>
      <c r="J105" s="170"/>
      <c r="K105" s="170"/>
      <c r="L105" s="170"/>
      <c r="M105" s="730"/>
      <c r="N105" s="730"/>
      <c r="O105" s="730"/>
      <c r="P105" s="731"/>
      <c r="Q105" s="731"/>
      <c r="R105" s="730"/>
      <c r="S105" s="730"/>
      <c r="T105" s="723"/>
      <c r="U105" s="724"/>
      <c r="V105" s="725"/>
      <c r="W105" s="725"/>
      <c r="X105" s="723"/>
      <c r="Y105" s="723"/>
      <c r="Z105" s="723"/>
      <c r="AA105" s="726"/>
      <c r="AB105" s="726"/>
      <c r="AC105" s="170"/>
      <c r="AD105" s="586">
        <f t="shared" si="64"/>
        <v>0</v>
      </c>
      <c r="AE105" s="586">
        <f t="shared" si="64"/>
        <v>0</v>
      </c>
      <c r="AF105" s="586">
        <f t="shared" si="64"/>
        <v>0</v>
      </c>
      <c r="AG105" s="586">
        <f t="shared" si="64"/>
        <v>0</v>
      </c>
      <c r="AH105" s="586">
        <f t="shared" si="64"/>
        <v>0</v>
      </c>
      <c r="AI105" s="586">
        <f t="shared" si="64"/>
        <v>0</v>
      </c>
      <c r="AJ105" s="586">
        <f t="shared" si="64"/>
        <v>0</v>
      </c>
      <c r="AK105" s="586">
        <f t="shared" si="64"/>
        <v>0</v>
      </c>
      <c r="AL105" s="586">
        <f t="shared" si="64"/>
        <v>0</v>
      </c>
      <c r="AM105" s="586">
        <f t="shared" si="64"/>
        <v>0</v>
      </c>
      <c r="AN105" s="586">
        <f t="shared" si="64"/>
        <v>0</v>
      </c>
      <c r="AO105" s="586">
        <f t="shared" si="64"/>
        <v>0</v>
      </c>
      <c r="AP105" s="586">
        <f t="shared" si="64"/>
        <v>0</v>
      </c>
      <c r="AQ105" s="586">
        <f t="shared" si="64"/>
        <v>0</v>
      </c>
      <c r="AR105" s="586">
        <f t="shared" si="64"/>
        <v>0</v>
      </c>
      <c r="AS105" s="586">
        <f t="shared" si="64"/>
        <v>0</v>
      </c>
      <c r="AT105" s="170"/>
      <c r="AU105" s="170"/>
      <c r="AV105" s="170"/>
      <c r="AW105" s="828"/>
      <c r="AX105" s="726"/>
    </row>
    <row r="106" spans="1:50" ht="15" x14ac:dyDescent="0.25">
      <c r="A106" s="170"/>
      <c r="B106" s="719"/>
      <c r="C106" s="170"/>
      <c r="D106" s="170"/>
      <c r="E106" s="170"/>
      <c r="F106" s="170">
        <f>+Parameters!D37</f>
        <v>34</v>
      </c>
      <c r="G106" s="170" t="str">
        <f>+Parameters!E37</f>
        <v>Cable - AG 345 kv ( incl terms)</v>
      </c>
      <c r="H106" s="170"/>
      <c r="I106" s="170" t="str">
        <f>+Parameters!F37</f>
        <v>lf</v>
      </c>
      <c r="J106" s="170"/>
      <c r="K106" s="170"/>
      <c r="L106" s="170"/>
      <c r="M106" s="730"/>
      <c r="N106" s="730"/>
      <c r="O106" s="730"/>
      <c r="P106" s="731"/>
      <c r="Q106" s="731"/>
      <c r="R106" s="730"/>
      <c r="S106" s="730"/>
      <c r="T106" s="723"/>
      <c r="U106" s="724"/>
      <c r="V106" s="725"/>
      <c r="W106" s="725"/>
      <c r="X106" s="723"/>
      <c r="Y106" s="723"/>
      <c r="Z106" s="723"/>
      <c r="AA106" s="726"/>
      <c r="AB106" s="726"/>
      <c r="AC106" s="170"/>
      <c r="AD106" s="586">
        <f t="shared" si="64"/>
        <v>0</v>
      </c>
      <c r="AE106" s="586">
        <f t="shared" si="64"/>
        <v>0</v>
      </c>
      <c r="AF106" s="586">
        <f t="shared" si="64"/>
        <v>0</v>
      </c>
      <c r="AG106" s="586">
        <f t="shared" si="64"/>
        <v>0</v>
      </c>
      <c r="AH106" s="586">
        <f t="shared" si="64"/>
        <v>0</v>
      </c>
      <c r="AI106" s="586">
        <f t="shared" si="64"/>
        <v>0</v>
      </c>
      <c r="AJ106" s="586">
        <f t="shared" si="64"/>
        <v>0</v>
      </c>
      <c r="AK106" s="586">
        <f t="shared" si="64"/>
        <v>0</v>
      </c>
      <c r="AL106" s="586">
        <f t="shared" si="64"/>
        <v>0</v>
      </c>
      <c r="AM106" s="586">
        <f t="shared" si="64"/>
        <v>0</v>
      </c>
      <c r="AN106" s="586">
        <f t="shared" si="64"/>
        <v>0</v>
      </c>
      <c r="AO106" s="586">
        <f t="shared" si="64"/>
        <v>0</v>
      </c>
      <c r="AP106" s="586">
        <f t="shared" si="64"/>
        <v>0</v>
      </c>
      <c r="AQ106" s="586">
        <f t="shared" si="64"/>
        <v>0</v>
      </c>
      <c r="AR106" s="586">
        <f t="shared" si="64"/>
        <v>0</v>
      </c>
      <c r="AS106" s="586">
        <f t="shared" si="64"/>
        <v>0</v>
      </c>
      <c r="AT106" s="170"/>
      <c r="AU106" s="170"/>
      <c r="AV106" s="170"/>
      <c r="AW106" s="828"/>
      <c r="AX106" s="726"/>
    </row>
    <row r="107" spans="1:50" ht="15" x14ac:dyDescent="0.25">
      <c r="A107" s="170"/>
      <c r="B107" s="719"/>
      <c r="C107" s="170"/>
      <c r="D107" s="170"/>
      <c r="E107" s="170"/>
      <c r="F107" s="170">
        <f>+Parameters!D38</f>
        <v>35</v>
      </c>
      <c r="G107" s="170" t="str">
        <f>+Parameters!E38</f>
        <v>Cable - OPGW / Shield ( incl terms)</v>
      </c>
      <c r="H107" s="170"/>
      <c r="I107" s="170" t="str">
        <f>+Parameters!F38</f>
        <v>lf</v>
      </c>
      <c r="J107" s="170"/>
      <c r="K107" s="170"/>
      <c r="L107" s="170"/>
      <c r="M107" s="730"/>
      <c r="N107" s="730"/>
      <c r="O107" s="730"/>
      <c r="P107" s="731"/>
      <c r="Q107" s="731"/>
      <c r="R107" s="730"/>
      <c r="S107" s="730"/>
      <c r="T107" s="723"/>
      <c r="U107" s="724"/>
      <c r="V107" s="725"/>
      <c r="W107" s="725"/>
      <c r="X107" s="723"/>
      <c r="Y107" s="723"/>
      <c r="Z107" s="723"/>
      <c r="AA107" s="726"/>
      <c r="AB107" s="726"/>
      <c r="AC107" s="170"/>
      <c r="AD107" s="586">
        <f t="shared" si="64"/>
        <v>0</v>
      </c>
      <c r="AE107" s="586">
        <f t="shared" si="64"/>
        <v>0</v>
      </c>
      <c r="AF107" s="586">
        <f t="shared" si="64"/>
        <v>0</v>
      </c>
      <c r="AG107" s="586">
        <f t="shared" si="64"/>
        <v>0</v>
      </c>
      <c r="AH107" s="586">
        <f t="shared" si="64"/>
        <v>0</v>
      </c>
      <c r="AI107" s="586">
        <f t="shared" si="64"/>
        <v>0</v>
      </c>
      <c r="AJ107" s="586">
        <f t="shared" si="64"/>
        <v>0</v>
      </c>
      <c r="AK107" s="586">
        <f t="shared" si="64"/>
        <v>0</v>
      </c>
      <c r="AL107" s="586">
        <f t="shared" si="64"/>
        <v>0</v>
      </c>
      <c r="AM107" s="586">
        <f t="shared" si="64"/>
        <v>0</v>
      </c>
      <c r="AN107" s="586">
        <f t="shared" si="64"/>
        <v>0</v>
      </c>
      <c r="AO107" s="586">
        <f t="shared" si="64"/>
        <v>0</v>
      </c>
      <c r="AP107" s="586">
        <f t="shared" si="64"/>
        <v>0</v>
      </c>
      <c r="AQ107" s="586">
        <f t="shared" si="64"/>
        <v>0</v>
      </c>
      <c r="AR107" s="586">
        <f t="shared" si="64"/>
        <v>0</v>
      </c>
      <c r="AS107" s="586">
        <f t="shared" si="64"/>
        <v>0</v>
      </c>
      <c r="AT107" s="170"/>
      <c r="AU107" s="170"/>
      <c r="AV107" s="170"/>
      <c r="AW107" s="828"/>
      <c r="AX107" s="726"/>
    </row>
    <row r="108" spans="1:50" ht="15" x14ac:dyDescent="0.25">
      <c r="A108" s="170"/>
      <c r="B108" s="719"/>
      <c r="C108" s="170"/>
      <c r="D108" s="170"/>
      <c r="E108" s="170"/>
      <c r="F108" s="170">
        <f>+Parameters!D39</f>
        <v>36</v>
      </c>
      <c r="G108" s="170" t="str">
        <f>+Parameters!E39</f>
        <v>Cable - Control ( incl terms)</v>
      </c>
      <c r="H108" s="170"/>
      <c r="I108" s="170" t="str">
        <f>+Parameters!F39</f>
        <v>lf</v>
      </c>
      <c r="J108" s="170"/>
      <c r="K108" s="170"/>
      <c r="L108" s="170"/>
      <c r="M108" s="730"/>
      <c r="N108" s="730"/>
      <c r="O108" s="730"/>
      <c r="P108" s="731"/>
      <c r="Q108" s="731"/>
      <c r="R108" s="730"/>
      <c r="S108" s="730"/>
      <c r="T108" s="723"/>
      <c r="U108" s="724"/>
      <c r="V108" s="725"/>
      <c r="W108" s="725"/>
      <c r="X108" s="723"/>
      <c r="Y108" s="723"/>
      <c r="Z108" s="723"/>
      <c r="AA108" s="726"/>
      <c r="AB108" s="726"/>
      <c r="AC108" s="170"/>
      <c r="AD108" s="586">
        <f t="shared" si="64"/>
        <v>0</v>
      </c>
      <c r="AE108" s="586">
        <f t="shared" si="64"/>
        <v>0</v>
      </c>
      <c r="AF108" s="586">
        <f t="shared" si="64"/>
        <v>0</v>
      </c>
      <c r="AG108" s="586">
        <f t="shared" si="64"/>
        <v>0</v>
      </c>
      <c r="AH108" s="586">
        <f t="shared" si="64"/>
        <v>0</v>
      </c>
      <c r="AI108" s="586">
        <f t="shared" si="64"/>
        <v>0</v>
      </c>
      <c r="AJ108" s="586">
        <f t="shared" si="64"/>
        <v>0</v>
      </c>
      <c r="AK108" s="586">
        <f t="shared" si="64"/>
        <v>0</v>
      </c>
      <c r="AL108" s="586">
        <f t="shared" si="64"/>
        <v>0</v>
      </c>
      <c r="AM108" s="586">
        <f t="shared" si="64"/>
        <v>0</v>
      </c>
      <c r="AN108" s="586">
        <f t="shared" si="64"/>
        <v>0</v>
      </c>
      <c r="AO108" s="586">
        <f t="shared" si="64"/>
        <v>0</v>
      </c>
      <c r="AP108" s="586">
        <f t="shared" si="64"/>
        <v>0</v>
      </c>
      <c r="AQ108" s="586">
        <f t="shared" si="64"/>
        <v>0</v>
      </c>
      <c r="AR108" s="586">
        <f t="shared" si="64"/>
        <v>0</v>
      </c>
      <c r="AS108" s="586">
        <f t="shared" si="64"/>
        <v>0</v>
      </c>
      <c r="AT108" s="170"/>
      <c r="AU108" s="170"/>
      <c r="AV108" s="170"/>
      <c r="AW108" s="828"/>
      <c r="AX108" s="726"/>
    </row>
    <row r="109" spans="1:50" ht="15" x14ac:dyDescent="0.25">
      <c r="A109" s="170"/>
      <c r="B109" s="719"/>
      <c r="C109" s="170"/>
      <c r="D109" s="170"/>
      <c r="E109" s="170"/>
      <c r="F109" s="170">
        <f>+Parameters!D40</f>
        <v>37</v>
      </c>
      <c r="G109" s="170" t="str">
        <f>+Parameters!E40</f>
        <v>Cable - Communication / Oher ( incl terms)</v>
      </c>
      <c r="H109" s="170"/>
      <c r="I109" s="170" t="str">
        <f>+Parameters!F40</f>
        <v>lf</v>
      </c>
      <c r="J109" s="170"/>
      <c r="K109" s="170"/>
      <c r="L109" s="170"/>
      <c r="M109" s="730"/>
      <c r="N109" s="730"/>
      <c r="O109" s="730"/>
      <c r="P109" s="731"/>
      <c r="Q109" s="731"/>
      <c r="R109" s="730"/>
      <c r="S109" s="730"/>
      <c r="T109" s="723"/>
      <c r="U109" s="724"/>
      <c r="V109" s="725"/>
      <c r="W109" s="725"/>
      <c r="X109" s="723"/>
      <c r="Y109" s="723"/>
      <c r="Z109" s="723"/>
      <c r="AA109" s="726"/>
      <c r="AB109" s="726"/>
      <c r="AC109" s="170"/>
      <c r="AD109" s="586">
        <f t="shared" si="64"/>
        <v>0</v>
      </c>
      <c r="AE109" s="586">
        <f t="shared" si="64"/>
        <v>0</v>
      </c>
      <c r="AF109" s="586">
        <f t="shared" si="64"/>
        <v>0</v>
      </c>
      <c r="AG109" s="586">
        <f t="shared" si="64"/>
        <v>0</v>
      </c>
      <c r="AH109" s="586">
        <f t="shared" si="64"/>
        <v>0</v>
      </c>
      <c r="AI109" s="586">
        <f t="shared" si="64"/>
        <v>0</v>
      </c>
      <c r="AJ109" s="586">
        <f t="shared" si="64"/>
        <v>0</v>
      </c>
      <c r="AK109" s="586">
        <f t="shared" si="64"/>
        <v>0</v>
      </c>
      <c r="AL109" s="586">
        <f t="shared" si="64"/>
        <v>0</v>
      </c>
      <c r="AM109" s="586">
        <f t="shared" si="64"/>
        <v>0</v>
      </c>
      <c r="AN109" s="586">
        <f t="shared" si="64"/>
        <v>0</v>
      </c>
      <c r="AO109" s="586">
        <f t="shared" si="64"/>
        <v>0</v>
      </c>
      <c r="AP109" s="586">
        <f t="shared" si="64"/>
        <v>0</v>
      </c>
      <c r="AQ109" s="586">
        <f t="shared" si="64"/>
        <v>0</v>
      </c>
      <c r="AR109" s="586">
        <f t="shared" si="64"/>
        <v>0</v>
      </c>
      <c r="AS109" s="586">
        <f t="shared" si="64"/>
        <v>0</v>
      </c>
      <c r="AT109" s="170"/>
      <c r="AU109" s="170"/>
      <c r="AV109" s="170"/>
      <c r="AW109" s="828"/>
      <c r="AX109" s="726"/>
    </row>
    <row r="110" spans="1:50" ht="15" x14ac:dyDescent="0.25">
      <c r="A110" s="170"/>
      <c r="B110" s="719"/>
      <c r="C110" s="170"/>
      <c r="D110" s="170"/>
      <c r="E110" s="170"/>
      <c r="F110" s="170">
        <f>+Parameters!D41</f>
        <v>38</v>
      </c>
      <c r="G110" s="170" t="str">
        <f>+Parameters!E41</f>
        <v>Cable - Power ( incl terms)</v>
      </c>
      <c r="H110" s="170"/>
      <c r="I110" s="170" t="str">
        <f>+Parameters!F41</f>
        <v>lf</v>
      </c>
      <c r="J110" s="170"/>
      <c r="K110" s="170"/>
      <c r="L110" s="170"/>
      <c r="M110" s="730"/>
      <c r="N110" s="730"/>
      <c r="O110" s="730"/>
      <c r="P110" s="731"/>
      <c r="Q110" s="731"/>
      <c r="R110" s="730"/>
      <c r="S110" s="730"/>
      <c r="T110" s="723"/>
      <c r="U110" s="724"/>
      <c r="V110" s="725"/>
      <c r="W110" s="725"/>
      <c r="X110" s="723"/>
      <c r="Y110" s="723"/>
      <c r="Z110" s="723"/>
      <c r="AA110" s="726"/>
      <c r="AB110" s="726"/>
      <c r="AC110" s="170"/>
      <c r="AD110" s="586">
        <f t="shared" si="64"/>
        <v>0</v>
      </c>
      <c r="AE110" s="586">
        <f t="shared" si="64"/>
        <v>0</v>
      </c>
      <c r="AF110" s="586">
        <f t="shared" si="64"/>
        <v>0</v>
      </c>
      <c r="AG110" s="586">
        <f t="shared" si="64"/>
        <v>0</v>
      </c>
      <c r="AH110" s="586">
        <f t="shared" si="64"/>
        <v>0</v>
      </c>
      <c r="AI110" s="586">
        <f t="shared" si="64"/>
        <v>0</v>
      </c>
      <c r="AJ110" s="586">
        <f t="shared" si="64"/>
        <v>0</v>
      </c>
      <c r="AK110" s="586">
        <f t="shared" si="64"/>
        <v>0</v>
      </c>
      <c r="AL110" s="586">
        <f t="shared" si="64"/>
        <v>0</v>
      </c>
      <c r="AM110" s="586">
        <f t="shared" si="64"/>
        <v>0</v>
      </c>
      <c r="AN110" s="586">
        <f t="shared" si="64"/>
        <v>0</v>
      </c>
      <c r="AO110" s="586">
        <f t="shared" si="64"/>
        <v>0</v>
      </c>
      <c r="AP110" s="586">
        <f t="shared" si="64"/>
        <v>0</v>
      </c>
      <c r="AQ110" s="586">
        <f t="shared" si="64"/>
        <v>0</v>
      </c>
      <c r="AR110" s="586">
        <f t="shared" si="64"/>
        <v>0</v>
      </c>
      <c r="AS110" s="586">
        <f t="shared" si="64"/>
        <v>0</v>
      </c>
      <c r="AT110" s="170"/>
      <c r="AU110" s="170"/>
      <c r="AV110" s="170"/>
      <c r="AW110" s="828"/>
      <c r="AX110" s="726"/>
    </row>
    <row r="111" spans="1:50" ht="15" x14ac:dyDescent="0.25">
      <c r="A111" s="170"/>
      <c r="B111" s="719"/>
      <c r="C111" s="170"/>
      <c r="D111" s="170"/>
      <c r="E111" s="170"/>
      <c r="F111" s="170">
        <f>+Parameters!D42</f>
        <v>39</v>
      </c>
      <c r="G111" s="170" t="str">
        <f>+Parameters!E42</f>
        <v>Cable - Other</v>
      </c>
      <c r="H111" s="170"/>
      <c r="I111" s="170" t="str">
        <f>+Parameters!F42</f>
        <v>lf</v>
      </c>
      <c r="J111" s="170"/>
      <c r="K111" s="170"/>
      <c r="L111" s="170"/>
      <c r="M111" s="730"/>
      <c r="N111" s="730"/>
      <c r="O111" s="730"/>
      <c r="P111" s="731"/>
      <c r="Q111" s="731"/>
      <c r="R111" s="730"/>
      <c r="S111" s="730"/>
      <c r="T111" s="723"/>
      <c r="U111" s="724"/>
      <c r="V111" s="725"/>
      <c r="W111" s="725"/>
      <c r="X111" s="723"/>
      <c r="Y111" s="723"/>
      <c r="Z111" s="723"/>
      <c r="AA111" s="726"/>
      <c r="AB111" s="726"/>
      <c r="AC111" s="170"/>
      <c r="AD111" s="586">
        <f t="shared" si="64"/>
        <v>0</v>
      </c>
      <c r="AE111" s="586">
        <f t="shared" si="64"/>
        <v>0</v>
      </c>
      <c r="AF111" s="586">
        <f t="shared" si="64"/>
        <v>0</v>
      </c>
      <c r="AG111" s="586">
        <f t="shared" si="64"/>
        <v>0</v>
      </c>
      <c r="AH111" s="586">
        <f t="shared" si="64"/>
        <v>0</v>
      </c>
      <c r="AI111" s="586">
        <f t="shared" si="64"/>
        <v>0</v>
      </c>
      <c r="AJ111" s="586">
        <f t="shared" si="64"/>
        <v>0</v>
      </c>
      <c r="AK111" s="586">
        <f t="shared" si="64"/>
        <v>0</v>
      </c>
      <c r="AL111" s="586">
        <f t="shared" si="64"/>
        <v>0</v>
      </c>
      <c r="AM111" s="586">
        <f t="shared" si="64"/>
        <v>0</v>
      </c>
      <c r="AN111" s="586">
        <f t="shared" si="64"/>
        <v>0</v>
      </c>
      <c r="AO111" s="586">
        <f t="shared" si="64"/>
        <v>0</v>
      </c>
      <c r="AP111" s="586">
        <f t="shared" si="64"/>
        <v>0</v>
      </c>
      <c r="AQ111" s="586">
        <f t="shared" si="64"/>
        <v>0</v>
      </c>
      <c r="AR111" s="586">
        <f t="shared" si="64"/>
        <v>0</v>
      </c>
      <c r="AS111" s="586">
        <f t="shared" si="64"/>
        <v>0</v>
      </c>
      <c r="AT111" s="170"/>
      <c r="AU111" s="170"/>
      <c r="AV111" s="170"/>
      <c r="AW111" s="828"/>
      <c r="AX111" s="726"/>
    </row>
    <row r="112" spans="1:50" ht="15" x14ac:dyDescent="0.25">
      <c r="A112" s="170"/>
      <c r="B112" s="719"/>
      <c r="C112" s="170"/>
      <c r="D112" s="170"/>
      <c r="E112" s="170"/>
      <c r="F112" s="170">
        <f>+Parameters!D43</f>
        <v>40</v>
      </c>
      <c r="G112" s="170" t="str">
        <f>+Parameters!E43</f>
        <v>Structures - buildings</v>
      </c>
      <c r="H112" s="170"/>
      <c r="I112" s="170">
        <f>+Parameters!F43</f>
        <v>0</v>
      </c>
      <c r="J112" s="170"/>
      <c r="K112" s="170"/>
      <c r="L112" s="170"/>
      <c r="M112" s="730"/>
      <c r="N112" s="730"/>
      <c r="O112" s="730"/>
      <c r="P112" s="731"/>
      <c r="Q112" s="731"/>
      <c r="R112" s="730"/>
      <c r="S112" s="730"/>
      <c r="T112" s="723"/>
      <c r="U112" s="724"/>
      <c r="V112" s="725"/>
      <c r="W112" s="725"/>
      <c r="X112" s="723"/>
      <c r="Y112" s="723"/>
      <c r="Z112" s="723"/>
      <c r="AA112" s="726"/>
      <c r="AB112" s="726"/>
      <c r="AC112" s="170"/>
      <c r="AD112" s="586">
        <f t="shared" si="64"/>
        <v>0</v>
      </c>
      <c r="AE112" s="586">
        <f t="shared" si="64"/>
        <v>0</v>
      </c>
      <c r="AF112" s="586">
        <f t="shared" si="64"/>
        <v>0</v>
      </c>
      <c r="AG112" s="586">
        <f t="shared" si="64"/>
        <v>0</v>
      </c>
      <c r="AH112" s="586">
        <f t="shared" si="64"/>
        <v>0</v>
      </c>
      <c r="AI112" s="586">
        <f t="shared" si="64"/>
        <v>0</v>
      </c>
      <c r="AJ112" s="586">
        <f t="shared" si="64"/>
        <v>0</v>
      </c>
      <c r="AK112" s="586">
        <f t="shared" si="64"/>
        <v>0</v>
      </c>
      <c r="AL112" s="586">
        <f t="shared" si="64"/>
        <v>0</v>
      </c>
      <c r="AM112" s="586">
        <f t="shared" si="64"/>
        <v>0</v>
      </c>
      <c r="AN112" s="586">
        <f t="shared" si="64"/>
        <v>0</v>
      </c>
      <c r="AO112" s="586">
        <f t="shared" si="64"/>
        <v>0</v>
      </c>
      <c r="AP112" s="586">
        <f t="shared" si="64"/>
        <v>0</v>
      </c>
      <c r="AQ112" s="586">
        <f t="shared" si="64"/>
        <v>0</v>
      </c>
      <c r="AR112" s="586">
        <f t="shared" si="64"/>
        <v>0</v>
      </c>
      <c r="AS112" s="586">
        <f t="shared" si="64"/>
        <v>0</v>
      </c>
      <c r="AT112" s="170"/>
      <c r="AU112" s="170"/>
      <c r="AV112" s="170"/>
      <c r="AW112" s="828"/>
      <c r="AX112" s="726"/>
    </row>
    <row r="113" spans="1:50" ht="15" x14ac:dyDescent="0.25">
      <c r="A113" s="170"/>
      <c r="B113" s="719"/>
      <c r="C113" s="170"/>
      <c r="D113" s="170"/>
      <c r="E113" s="170"/>
      <c r="F113" s="170">
        <f>+Parameters!D44</f>
        <v>41</v>
      </c>
      <c r="G113" s="170" t="str">
        <f>+Parameters!E44</f>
        <v>Structures - Poles - monopoles</v>
      </c>
      <c r="H113" s="586">
        <f>SUMIF($F$9:$F$70,$F113,H$9:H$70)</f>
        <v>0</v>
      </c>
      <c r="I113" s="170" t="str">
        <f>+Parameters!F44</f>
        <v>ea</v>
      </c>
      <c r="J113" s="170"/>
      <c r="K113" s="170"/>
      <c r="L113" s="170"/>
      <c r="M113" s="730"/>
      <c r="N113" s="730"/>
      <c r="O113" s="730"/>
      <c r="P113" s="731"/>
      <c r="Q113" s="731"/>
      <c r="R113" s="730"/>
      <c r="S113" s="730"/>
      <c r="T113" s="723"/>
      <c r="U113" s="724"/>
      <c r="V113" s="725"/>
      <c r="W113" s="725"/>
      <c r="X113" s="723"/>
      <c r="Y113" s="723"/>
      <c r="Z113" s="723"/>
      <c r="AA113" s="726"/>
      <c r="AB113" s="726"/>
      <c r="AC113" s="170"/>
      <c r="AD113" s="586">
        <f t="shared" ref="AD113:AS122" si="65">SUMIF($F$9:$F$70,$F113,AD$9:AD$70)</f>
        <v>0</v>
      </c>
      <c r="AE113" s="586">
        <f t="shared" si="65"/>
        <v>0</v>
      </c>
      <c r="AF113" s="586">
        <f t="shared" si="65"/>
        <v>0</v>
      </c>
      <c r="AG113" s="586">
        <f t="shared" si="65"/>
        <v>0</v>
      </c>
      <c r="AH113" s="586">
        <f t="shared" si="65"/>
        <v>0</v>
      </c>
      <c r="AI113" s="586">
        <f t="shared" si="65"/>
        <v>0</v>
      </c>
      <c r="AJ113" s="586">
        <f t="shared" si="65"/>
        <v>0</v>
      </c>
      <c r="AK113" s="586">
        <f t="shared" si="65"/>
        <v>0</v>
      </c>
      <c r="AL113" s="586">
        <f t="shared" si="65"/>
        <v>0</v>
      </c>
      <c r="AM113" s="586">
        <f t="shared" si="65"/>
        <v>0</v>
      </c>
      <c r="AN113" s="586">
        <f t="shared" si="65"/>
        <v>0</v>
      </c>
      <c r="AO113" s="586">
        <f t="shared" si="65"/>
        <v>0</v>
      </c>
      <c r="AP113" s="586">
        <f t="shared" si="65"/>
        <v>0</v>
      </c>
      <c r="AQ113" s="586">
        <f t="shared" si="65"/>
        <v>0</v>
      </c>
      <c r="AR113" s="586">
        <f t="shared" si="65"/>
        <v>0</v>
      </c>
      <c r="AS113" s="586">
        <f t="shared" si="65"/>
        <v>0</v>
      </c>
      <c r="AT113" s="170"/>
      <c r="AU113" s="170"/>
      <c r="AV113" s="170"/>
      <c r="AW113" s="828"/>
      <c r="AX113" s="726"/>
    </row>
    <row r="114" spans="1:50" ht="15" x14ac:dyDescent="0.25">
      <c r="A114" s="170"/>
      <c r="B114" s="719"/>
      <c r="C114" s="170"/>
      <c r="D114" s="170"/>
      <c r="E114" s="170"/>
      <c r="F114" s="170">
        <f>+Parameters!D45</f>
        <v>42</v>
      </c>
      <c r="G114" s="170" t="str">
        <f>+Parameters!E45</f>
        <v>Structures - Poles - frame</v>
      </c>
      <c r="H114" s="170"/>
      <c r="I114" s="170" t="str">
        <f>+Parameters!F45</f>
        <v>ea</v>
      </c>
      <c r="J114" s="170"/>
      <c r="K114" s="170"/>
      <c r="L114" s="170"/>
      <c r="M114" s="730"/>
      <c r="N114" s="730"/>
      <c r="O114" s="730"/>
      <c r="P114" s="731"/>
      <c r="Q114" s="731"/>
      <c r="R114" s="730"/>
      <c r="S114" s="730"/>
      <c r="T114" s="723"/>
      <c r="U114" s="724"/>
      <c r="V114" s="725"/>
      <c r="W114" s="725"/>
      <c r="X114" s="723"/>
      <c r="Y114" s="723"/>
      <c r="Z114" s="723"/>
      <c r="AA114" s="726"/>
      <c r="AB114" s="726"/>
      <c r="AC114" s="170"/>
      <c r="AD114" s="586">
        <f t="shared" si="65"/>
        <v>0</v>
      </c>
      <c r="AE114" s="586">
        <f t="shared" si="65"/>
        <v>0</v>
      </c>
      <c r="AF114" s="586">
        <f t="shared" si="65"/>
        <v>0</v>
      </c>
      <c r="AG114" s="586">
        <f t="shared" si="65"/>
        <v>0</v>
      </c>
      <c r="AH114" s="586">
        <f t="shared" si="65"/>
        <v>0</v>
      </c>
      <c r="AI114" s="586">
        <f t="shared" si="65"/>
        <v>0</v>
      </c>
      <c r="AJ114" s="586">
        <f t="shared" si="65"/>
        <v>0</v>
      </c>
      <c r="AK114" s="586">
        <f t="shared" si="65"/>
        <v>0</v>
      </c>
      <c r="AL114" s="586">
        <f t="shared" si="65"/>
        <v>0</v>
      </c>
      <c r="AM114" s="586">
        <f t="shared" si="65"/>
        <v>0</v>
      </c>
      <c r="AN114" s="586">
        <f t="shared" si="65"/>
        <v>0</v>
      </c>
      <c r="AO114" s="586">
        <f t="shared" si="65"/>
        <v>0</v>
      </c>
      <c r="AP114" s="586">
        <f t="shared" si="65"/>
        <v>0</v>
      </c>
      <c r="AQ114" s="586">
        <f t="shared" si="65"/>
        <v>0</v>
      </c>
      <c r="AR114" s="586">
        <f t="shared" si="65"/>
        <v>0</v>
      </c>
      <c r="AS114" s="586">
        <f t="shared" si="65"/>
        <v>0</v>
      </c>
      <c r="AT114" s="170"/>
      <c r="AU114" s="170"/>
      <c r="AV114" s="170"/>
      <c r="AW114" s="828"/>
      <c r="AX114" s="726"/>
    </row>
    <row r="115" spans="1:50" ht="15" x14ac:dyDescent="0.25">
      <c r="A115" s="170"/>
      <c r="B115" s="719"/>
      <c r="C115" s="170"/>
      <c r="D115" s="170"/>
      <c r="E115" s="170"/>
      <c r="F115" s="170">
        <f>+Parameters!D46</f>
        <v>43</v>
      </c>
      <c r="G115" s="170" t="str">
        <f>+Parameters!E46</f>
        <v>Structures - Poles - Guys</v>
      </c>
      <c r="H115" s="170"/>
      <c r="I115" s="170" t="str">
        <f>+Parameters!F46</f>
        <v>ea</v>
      </c>
      <c r="J115" s="170"/>
      <c r="K115" s="170"/>
      <c r="L115" s="170"/>
      <c r="M115" s="730"/>
      <c r="N115" s="730"/>
      <c r="O115" s="730"/>
      <c r="P115" s="731"/>
      <c r="Q115" s="731"/>
      <c r="R115" s="730"/>
      <c r="S115" s="730"/>
      <c r="T115" s="723"/>
      <c r="U115" s="724"/>
      <c r="V115" s="725"/>
      <c r="W115" s="725"/>
      <c r="X115" s="723"/>
      <c r="Y115" s="723"/>
      <c r="Z115" s="723"/>
      <c r="AA115" s="726"/>
      <c r="AB115" s="726"/>
      <c r="AC115" s="170"/>
      <c r="AD115" s="586">
        <f t="shared" si="65"/>
        <v>0</v>
      </c>
      <c r="AE115" s="586">
        <f t="shared" si="65"/>
        <v>0</v>
      </c>
      <c r="AF115" s="586">
        <f t="shared" si="65"/>
        <v>0</v>
      </c>
      <c r="AG115" s="586">
        <f t="shared" si="65"/>
        <v>0</v>
      </c>
      <c r="AH115" s="586">
        <f t="shared" si="65"/>
        <v>0</v>
      </c>
      <c r="AI115" s="586">
        <f t="shared" si="65"/>
        <v>0</v>
      </c>
      <c r="AJ115" s="586">
        <f t="shared" si="65"/>
        <v>0</v>
      </c>
      <c r="AK115" s="586">
        <f t="shared" si="65"/>
        <v>0</v>
      </c>
      <c r="AL115" s="586">
        <f t="shared" si="65"/>
        <v>0</v>
      </c>
      <c r="AM115" s="586">
        <f t="shared" si="65"/>
        <v>0</v>
      </c>
      <c r="AN115" s="586">
        <f t="shared" si="65"/>
        <v>0</v>
      </c>
      <c r="AO115" s="586">
        <f t="shared" si="65"/>
        <v>0</v>
      </c>
      <c r="AP115" s="586">
        <f t="shared" si="65"/>
        <v>0</v>
      </c>
      <c r="AQ115" s="586">
        <f t="shared" si="65"/>
        <v>0</v>
      </c>
      <c r="AR115" s="586">
        <f t="shared" si="65"/>
        <v>0</v>
      </c>
      <c r="AS115" s="586">
        <f t="shared" si="65"/>
        <v>0</v>
      </c>
      <c r="AT115" s="170"/>
      <c r="AU115" s="170"/>
      <c r="AV115" s="170"/>
      <c r="AW115" s="828"/>
      <c r="AX115" s="726"/>
    </row>
    <row r="116" spans="1:50" ht="15" x14ac:dyDescent="0.25">
      <c r="A116" s="170"/>
      <c r="B116" s="719"/>
      <c r="C116" s="170"/>
      <c r="D116" s="170"/>
      <c r="E116" s="170"/>
      <c r="F116" s="170">
        <f>+Parameters!D47</f>
        <v>44</v>
      </c>
      <c r="G116" s="170">
        <f>+Parameters!E47</f>
        <v>0</v>
      </c>
      <c r="H116" s="170"/>
      <c r="I116" s="170">
        <f>+Parameters!F47</f>
        <v>0</v>
      </c>
      <c r="J116" s="170"/>
      <c r="K116" s="170"/>
      <c r="L116" s="170"/>
      <c r="M116" s="730"/>
      <c r="N116" s="730"/>
      <c r="O116" s="730"/>
      <c r="P116" s="731"/>
      <c r="Q116" s="731"/>
      <c r="R116" s="730"/>
      <c r="S116" s="730"/>
      <c r="T116" s="723"/>
      <c r="U116" s="724"/>
      <c r="V116" s="725"/>
      <c r="W116" s="725"/>
      <c r="X116" s="723"/>
      <c r="Y116" s="723"/>
      <c r="Z116" s="723"/>
      <c r="AA116" s="726"/>
      <c r="AB116" s="726"/>
      <c r="AC116" s="170"/>
      <c r="AD116" s="586">
        <f t="shared" si="65"/>
        <v>0</v>
      </c>
      <c r="AE116" s="586">
        <f t="shared" si="65"/>
        <v>0</v>
      </c>
      <c r="AF116" s="586">
        <f t="shared" si="65"/>
        <v>0</v>
      </c>
      <c r="AG116" s="586">
        <f t="shared" si="65"/>
        <v>0</v>
      </c>
      <c r="AH116" s="586">
        <f t="shared" si="65"/>
        <v>0</v>
      </c>
      <c r="AI116" s="586">
        <f t="shared" si="65"/>
        <v>0</v>
      </c>
      <c r="AJ116" s="586">
        <f t="shared" si="65"/>
        <v>0</v>
      </c>
      <c r="AK116" s="586">
        <f t="shared" si="65"/>
        <v>0</v>
      </c>
      <c r="AL116" s="586">
        <f t="shared" si="65"/>
        <v>0</v>
      </c>
      <c r="AM116" s="586">
        <f t="shared" si="65"/>
        <v>0</v>
      </c>
      <c r="AN116" s="586">
        <f t="shared" si="65"/>
        <v>0</v>
      </c>
      <c r="AO116" s="586">
        <f t="shared" si="65"/>
        <v>0</v>
      </c>
      <c r="AP116" s="586">
        <f t="shared" si="65"/>
        <v>0</v>
      </c>
      <c r="AQ116" s="586">
        <f t="shared" si="65"/>
        <v>0</v>
      </c>
      <c r="AR116" s="586">
        <f t="shared" si="65"/>
        <v>0</v>
      </c>
      <c r="AS116" s="586">
        <f t="shared" si="65"/>
        <v>0</v>
      </c>
      <c r="AT116" s="170"/>
      <c r="AU116" s="170"/>
      <c r="AV116" s="170"/>
      <c r="AW116" s="828"/>
      <c r="AX116" s="726"/>
    </row>
    <row r="117" spans="1:50" ht="15" x14ac:dyDescent="0.25">
      <c r="A117" s="170"/>
      <c r="B117" s="719"/>
      <c r="C117" s="170"/>
      <c r="D117" s="170"/>
      <c r="E117" s="170"/>
      <c r="F117" s="170">
        <f>+Parameters!D48</f>
        <v>45</v>
      </c>
      <c r="G117" s="170" t="str">
        <f>+Parameters!E48</f>
        <v>Structures - S.S.</v>
      </c>
      <c r="H117" s="170"/>
      <c r="I117" s="170" t="str">
        <f>+Parameters!F48</f>
        <v>tn</v>
      </c>
      <c r="J117" s="170"/>
      <c r="K117" s="170"/>
      <c r="L117" s="170"/>
      <c r="M117" s="730"/>
      <c r="N117" s="730"/>
      <c r="O117" s="730"/>
      <c r="P117" s="731"/>
      <c r="Q117" s="731"/>
      <c r="R117" s="730"/>
      <c r="S117" s="730"/>
      <c r="T117" s="723"/>
      <c r="U117" s="724"/>
      <c r="V117" s="725"/>
      <c r="W117" s="725"/>
      <c r="X117" s="723"/>
      <c r="Y117" s="723"/>
      <c r="Z117" s="723"/>
      <c r="AA117" s="726"/>
      <c r="AB117" s="726"/>
      <c r="AC117" s="170"/>
      <c r="AD117" s="586">
        <f t="shared" si="65"/>
        <v>0</v>
      </c>
      <c r="AE117" s="586">
        <f t="shared" si="65"/>
        <v>0</v>
      </c>
      <c r="AF117" s="586">
        <f t="shared" si="65"/>
        <v>0</v>
      </c>
      <c r="AG117" s="586">
        <f t="shared" si="65"/>
        <v>0</v>
      </c>
      <c r="AH117" s="586">
        <f t="shared" si="65"/>
        <v>0</v>
      </c>
      <c r="AI117" s="586">
        <f t="shared" si="65"/>
        <v>0</v>
      </c>
      <c r="AJ117" s="586">
        <f t="shared" si="65"/>
        <v>0</v>
      </c>
      <c r="AK117" s="586">
        <f t="shared" si="65"/>
        <v>0</v>
      </c>
      <c r="AL117" s="586">
        <f t="shared" si="65"/>
        <v>0</v>
      </c>
      <c r="AM117" s="586">
        <f t="shared" si="65"/>
        <v>0</v>
      </c>
      <c r="AN117" s="586">
        <f t="shared" si="65"/>
        <v>0</v>
      </c>
      <c r="AO117" s="586">
        <f t="shared" si="65"/>
        <v>0</v>
      </c>
      <c r="AP117" s="586">
        <f t="shared" si="65"/>
        <v>0</v>
      </c>
      <c r="AQ117" s="586">
        <f t="shared" si="65"/>
        <v>0</v>
      </c>
      <c r="AR117" s="586">
        <f t="shared" si="65"/>
        <v>0</v>
      </c>
      <c r="AS117" s="586">
        <f t="shared" si="65"/>
        <v>0</v>
      </c>
      <c r="AT117" s="170"/>
      <c r="AU117" s="170"/>
      <c r="AV117" s="170"/>
      <c r="AW117" s="828"/>
      <c r="AX117" s="726"/>
    </row>
    <row r="118" spans="1:50" ht="15" x14ac:dyDescent="0.25">
      <c r="A118" s="170"/>
      <c r="B118" s="719"/>
      <c r="C118" s="170"/>
      <c r="D118" s="170"/>
      <c r="E118" s="170"/>
      <c r="F118" s="170">
        <f>+Parameters!D49</f>
        <v>46</v>
      </c>
      <c r="G118" s="170" t="str">
        <f>+Parameters!E49</f>
        <v>Structures - Platforms</v>
      </c>
      <c r="H118" s="170"/>
      <c r="I118" s="170" t="str">
        <f>+Parameters!F49</f>
        <v>tn</v>
      </c>
      <c r="J118" s="170"/>
      <c r="K118" s="170"/>
      <c r="L118" s="170"/>
      <c r="M118" s="730"/>
      <c r="N118" s="730"/>
      <c r="O118" s="730"/>
      <c r="P118" s="731"/>
      <c r="Q118" s="731"/>
      <c r="R118" s="730"/>
      <c r="S118" s="730"/>
      <c r="T118" s="723"/>
      <c r="U118" s="724"/>
      <c r="V118" s="725"/>
      <c r="W118" s="725"/>
      <c r="X118" s="723"/>
      <c r="Y118" s="723"/>
      <c r="Z118" s="723"/>
      <c r="AA118" s="726"/>
      <c r="AB118" s="726"/>
      <c r="AC118" s="170"/>
      <c r="AD118" s="586">
        <f t="shared" si="65"/>
        <v>0</v>
      </c>
      <c r="AE118" s="586">
        <f t="shared" si="65"/>
        <v>0</v>
      </c>
      <c r="AF118" s="586">
        <f t="shared" si="65"/>
        <v>0</v>
      </c>
      <c r="AG118" s="586">
        <f t="shared" si="65"/>
        <v>0</v>
      </c>
      <c r="AH118" s="586">
        <f t="shared" si="65"/>
        <v>0</v>
      </c>
      <c r="AI118" s="586">
        <f t="shared" si="65"/>
        <v>0</v>
      </c>
      <c r="AJ118" s="586">
        <f t="shared" si="65"/>
        <v>0</v>
      </c>
      <c r="AK118" s="586">
        <f t="shared" si="65"/>
        <v>0</v>
      </c>
      <c r="AL118" s="586">
        <f t="shared" si="65"/>
        <v>0</v>
      </c>
      <c r="AM118" s="586">
        <f t="shared" si="65"/>
        <v>0</v>
      </c>
      <c r="AN118" s="586">
        <f t="shared" si="65"/>
        <v>0</v>
      </c>
      <c r="AO118" s="586">
        <f t="shared" si="65"/>
        <v>0</v>
      </c>
      <c r="AP118" s="586">
        <f t="shared" si="65"/>
        <v>0</v>
      </c>
      <c r="AQ118" s="586">
        <f t="shared" si="65"/>
        <v>0</v>
      </c>
      <c r="AR118" s="586">
        <f t="shared" si="65"/>
        <v>0</v>
      </c>
      <c r="AS118" s="586">
        <f t="shared" si="65"/>
        <v>0</v>
      </c>
      <c r="AT118" s="170"/>
      <c r="AU118" s="170"/>
      <c r="AV118" s="170"/>
      <c r="AW118" s="828"/>
      <c r="AX118" s="726"/>
    </row>
    <row r="119" spans="1:50" ht="15" x14ac:dyDescent="0.25">
      <c r="A119" s="170"/>
      <c r="B119" s="719"/>
      <c r="C119" s="170"/>
      <c r="D119" s="170"/>
      <c r="E119" s="170"/>
      <c r="F119" s="170">
        <f>+Parameters!D50</f>
        <v>47</v>
      </c>
      <c r="G119" s="170">
        <f>+Parameters!E50</f>
        <v>0</v>
      </c>
      <c r="H119" s="170"/>
      <c r="I119" s="170">
        <f>+Parameters!F50</f>
        <v>0</v>
      </c>
      <c r="J119" s="170"/>
      <c r="K119" s="170"/>
      <c r="L119" s="170"/>
      <c r="M119" s="730"/>
      <c r="N119" s="730"/>
      <c r="O119" s="730"/>
      <c r="P119" s="731"/>
      <c r="Q119" s="731"/>
      <c r="R119" s="730"/>
      <c r="S119" s="730"/>
      <c r="T119" s="723"/>
      <c r="U119" s="724"/>
      <c r="V119" s="725"/>
      <c r="W119" s="725"/>
      <c r="X119" s="723"/>
      <c r="Y119" s="723"/>
      <c r="Z119" s="723"/>
      <c r="AA119" s="726"/>
      <c r="AB119" s="726"/>
      <c r="AC119" s="170"/>
      <c r="AD119" s="586">
        <f t="shared" si="65"/>
        <v>0</v>
      </c>
      <c r="AE119" s="586">
        <f t="shared" si="65"/>
        <v>0</v>
      </c>
      <c r="AF119" s="586">
        <f t="shared" si="65"/>
        <v>0</v>
      </c>
      <c r="AG119" s="586">
        <f t="shared" si="65"/>
        <v>0</v>
      </c>
      <c r="AH119" s="586">
        <f t="shared" si="65"/>
        <v>0</v>
      </c>
      <c r="AI119" s="586">
        <f t="shared" si="65"/>
        <v>0</v>
      </c>
      <c r="AJ119" s="586">
        <f t="shared" si="65"/>
        <v>0</v>
      </c>
      <c r="AK119" s="586">
        <f t="shared" si="65"/>
        <v>0</v>
      </c>
      <c r="AL119" s="586">
        <f t="shared" si="65"/>
        <v>0</v>
      </c>
      <c r="AM119" s="586">
        <f t="shared" si="65"/>
        <v>0</v>
      </c>
      <c r="AN119" s="586">
        <f t="shared" si="65"/>
        <v>0</v>
      </c>
      <c r="AO119" s="586">
        <f t="shared" si="65"/>
        <v>0</v>
      </c>
      <c r="AP119" s="586">
        <f t="shared" si="65"/>
        <v>0</v>
      </c>
      <c r="AQ119" s="586">
        <f t="shared" si="65"/>
        <v>0</v>
      </c>
      <c r="AR119" s="586">
        <f t="shared" si="65"/>
        <v>0</v>
      </c>
      <c r="AS119" s="586">
        <f t="shared" si="65"/>
        <v>0</v>
      </c>
      <c r="AT119" s="170"/>
      <c r="AU119" s="170"/>
      <c r="AV119" s="170"/>
      <c r="AW119" s="828"/>
      <c r="AX119" s="726"/>
    </row>
    <row r="120" spans="1:50" ht="15" x14ac:dyDescent="0.25">
      <c r="A120" s="170"/>
      <c r="B120" s="719"/>
      <c r="C120" s="170"/>
      <c r="D120" s="170"/>
      <c r="E120" s="170"/>
      <c r="F120" s="170">
        <f>+Parameters!D51</f>
        <v>48</v>
      </c>
      <c r="G120" s="170">
        <f>+Parameters!E51</f>
        <v>0</v>
      </c>
      <c r="H120" s="170"/>
      <c r="I120" s="170">
        <f>+Parameters!F51</f>
        <v>0</v>
      </c>
      <c r="J120" s="170"/>
      <c r="K120" s="170"/>
      <c r="L120" s="170"/>
      <c r="M120" s="730"/>
      <c r="N120" s="730"/>
      <c r="O120" s="730"/>
      <c r="P120" s="731"/>
      <c r="Q120" s="731"/>
      <c r="R120" s="730"/>
      <c r="S120" s="730"/>
      <c r="T120" s="723"/>
      <c r="U120" s="724"/>
      <c r="V120" s="725"/>
      <c r="W120" s="725"/>
      <c r="X120" s="723"/>
      <c r="Y120" s="723"/>
      <c r="Z120" s="723"/>
      <c r="AA120" s="726"/>
      <c r="AB120" s="726"/>
      <c r="AC120" s="170"/>
      <c r="AD120" s="586">
        <f t="shared" si="65"/>
        <v>0</v>
      </c>
      <c r="AE120" s="586">
        <f t="shared" si="65"/>
        <v>0</v>
      </c>
      <c r="AF120" s="586">
        <f t="shared" si="65"/>
        <v>0</v>
      </c>
      <c r="AG120" s="586">
        <f t="shared" si="65"/>
        <v>0</v>
      </c>
      <c r="AH120" s="586">
        <f t="shared" si="65"/>
        <v>0</v>
      </c>
      <c r="AI120" s="586">
        <f t="shared" si="65"/>
        <v>0</v>
      </c>
      <c r="AJ120" s="586">
        <f t="shared" si="65"/>
        <v>0</v>
      </c>
      <c r="AK120" s="586">
        <f t="shared" si="65"/>
        <v>0</v>
      </c>
      <c r="AL120" s="586">
        <f t="shared" si="65"/>
        <v>0</v>
      </c>
      <c r="AM120" s="586">
        <f t="shared" si="65"/>
        <v>0</v>
      </c>
      <c r="AN120" s="586">
        <f t="shared" si="65"/>
        <v>0</v>
      </c>
      <c r="AO120" s="586">
        <f t="shared" si="65"/>
        <v>0</v>
      </c>
      <c r="AP120" s="586">
        <f t="shared" si="65"/>
        <v>0</v>
      </c>
      <c r="AQ120" s="586">
        <f t="shared" si="65"/>
        <v>0</v>
      </c>
      <c r="AR120" s="586">
        <f t="shared" si="65"/>
        <v>0</v>
      </c>
      <c r="AS120" s="586">
        <f t="shared" si="65"/>
        <v>0</v>
      </c>
      <c r="AT120" s="170"/>
      <c r="AU120" s="170"/>
      <c r="AV120" s="170"/>
      <c r="AW120" s="828"/>
      <c r="AX120" s="726"/>
    </row>
    <row r="121" spans="1:50" ht="15" x14ac:dyDescent="0.25">
      <c r="A121" s="170"/>
      <c r="B121" s="719"/>
      <c r="C121" s="170"/>
      <c r="D121" s="170"/>
      <c r="E121" s="170"/>
      <c r="F121" s="170">
        <f>+Parameters!D52</f>
        <v>49</v>
      </c>
      <c r="G121" s="170" t="str">
        <f>+Parameters!E52</f>
        <v>Structures - Others</v>
      </c>
      <c r="H121" s="170"/>
      <c r="I121" s="170" t="str">
        <f>+Parameters!F52</f>
        <v>tn</v>
      </c>
      <c r="J121" s="170"/>
      <c r="K121" s="170"/>
      <c r="L121" s="170"/>
      <c r="M121" s="730"/>
      <c r="N121" s="730"/>
      <c r="O121" s="730"/>
      <c r="P121" s="731"/>
      <c r="Q121" s="731"/>
      <c r="R121" s="730"/>
      <c r="S121" s="730"/>
      <c r="T121" s="723"/>
      <c r="U121" s="724"/>
      <c r="V121" s="725"/>
      <c r="W121" s="725"/>
      <c r="X121" s="723"/>
      <c r="Y121" s="723"/>
      <c r="Z121" s="723"/>
      <c r="AA121" s="726"/>
      <c r="AB121" s="726"/>
      <c r="AC121" s="170"/>
      <c r="AD121" s="586">
        <f t="shared" si="65"/>
        <v>0</v>
      </c>
      <c r="AE121" s="586">
        <f t="shared" si="65"/>
        <v>0</v>
      </c>
      <c r="AF121" s="586">
        <f t="shared" si="65"/>
        <v>0</v>
      </c>
      <c r="AG121" s="586">
        <f t="shared" si="65"/>
        <v>0</v>
      </c>
      <c r="AH121" s="586">
        <f t="shared" si="65"/>
        <v>0</v>
      </c>
      <c r="AI121" s="586">
        <f t="shared" si="65"/>
        <v>0</v>
      </c>
      <c r="AJ121" s="586">
        <f t="shared" si="65"/>
        <v>0</v>
      </c>
      <c r="AK121" s="586">
        <f t="shared" si="65"/>
        <v>0</v>
      </c>
      <c r="AL121" s="586">
        <f t="shared" si="65"/>
        <v>0</v>
      </c>
      <c r="AM121" s="586">
        <f t="shared" si="65"/>
        <v>0</v>
      </c>
      <c r="AN121" s="586">
        <f t="shared" si="65"/>
        <v>0</v>
      </c>
      <c r="AO121" s="586">
        <f t="shared" si="65"/>
        <v>0</v>
      </c>
      <c r="AP121" s="586">
        <f t="shared" si="65"/>
        <v>0</v>
      </c>
      <c r="AQ121" s="586">
        <f t="shared" si="65"/>
        <v>0</v>
      </c>
      <c r="AR121" s="586">
        <f t="shared" si="65"/>
        <v>0</v>
      </c>
      <c r="AS121" s="586">
        <f t="shared" si="65"/>
        <v>0</v>
      </c>
      <c r="AT121" s="170"/>
      <c r="AU121" s="170"/>
      <c r="AV121" s="170"/>
      <c r="AW121" s="828"/>
      <c r="AX121" s="726"/>
    </row>
    <row r="122" spans="1:50" ht="15" x14ac:dyDescent="0.25">
      <c r="A122" s="170"/>
      <c r="B122" s="719"/>
      <c r="C122" s="170"/>
      <c r="D122" s="170"/>
      <c r="E122" s="170"/>
      <c r="F122" s="170">
        <f>+Parameters!D53</f>
        <v>50</v>
      </c>
      <c r="G122" s="170" t="str">
        <f>+Parameters!E53</f>
        <v>Major Eqt - Circuit Breakers</v>
      </c>
      <c r="H122" s="170"/>
      <c r="I122" s="170" t="str">
        <f>+Parameters!F53</f>
        <v>ea</v>
      </c>
      <c r="J122" s="170"/>
      <c r="K122" s="170"/>
      <c r="L122" s="170"/>
      <c r="M122" s="730"/>
      <c r="N122" s="730"/>
      <c r="O122" s="730"/>
      <c r="P122" s="731"/>
      <c r="Q122" s="731"/>
      <c r="R122" s="730"/>
      <c r="S122" s="730"/>
      <c r="T122" s="723"/>
      <c r="U122" s="724"/>
      <c r="V122" s="725"/>
      <c r="W122" s="725"/>
      <c r="X122" s="723"/>
      <c r="Y122" s="723"/>
      <c r="Z122" s="723"/>
      <c r="AA122" s="726"/>
      <c r="AB122" s="726"/>
      <c r="AC122" s="170"/>
      <c r="AD122" s="586">
        <f t="shared" si="65"/>
        <v>0</v>
      </c>
      <c r="AE122" s="586">
        <f t="shared" si="65"/>
        <v>0</v>
      </c>
      <c r="AF122" s="586">
        <f t="shared" si="65"/>
        <v>0</v>
      </c>
      <c r="AG122" s="586">
        <f t="shared" si="65"/>
        <v>0</v>
      </c>
      <c r="AH122" s="586">
        <f t="shared" si="65"/>
        <v>0</v>
      </c>
      <c r="AI122" s="586">
        <f t="shared" si="65"/>
        <v>0</v>
      </c>
      <c r="AJ122" s="586">
        <f t="shared" si="65"/>
        <v>0</v>
      </c>
      <c r="AK122" s="586">
        <f t="shared" si="65"/>
        <v>0</v>
      </c>
      <c r="AL122" s="586">
        <f t="shared" si="65"/>
        <v>0</v>
      </c>
      <c r="AM122" s="586">
        <f t="shared" si="65"/>
        <v>0</v>
      </c>
      <c r="AN122" s="586">
        <f t="shared" si="65"/>
        <v>0</v>
      </c>
      <c r="AO122" s="586">
        <f t="shared" si="65"/>
        <v>0</v>
      </c>
      <c r="AP122" s="586">
        <f t="shared" si="65"/>
        <v>0</v>
      </c>
      <c r="AQ122" s="586">
        <f t="shared" si="65"/>
        <v>0</v>
      </c>
      <c r="AR122" s="586">
        <f t="shared" si="65"/>
        <v>0</v>
      </c>
      <c r="AS122" s="586">
        <f t="shared" si="65"/>
        <v>0</v>
      </c>
      <c r="AT122" s="170"/>
      <c r="AU122" s="170"/>
      <c r="AV122" s="170"/>
      <c r="AW122" s="828"/>
      <c r="AX122" s="726"/>
    </row>
    <row r="123" spans="1:50" ht="15" x14ac:dyDescent="0.25">
      <c r="A123" s="170"/>
      <c r="B123" s="719"/>
      <c r="C123" s="170"/>
      <c r="D123" s="170"/>
      <c r="E123" s="170"/>
      <c r="F123" s="170">
        <f>+Parameters!D54</f>
        <v>51</v>
      </c>
      <c r="G123" s="170" t="str">
        <f>+Parameters!E54</f>
        <v>Major Eqt - Transformers</v>
      </c>
      <c r="H123" s="170"/>
      <c r="I123" s="170" t="str">
        <f>+Parameters!F54</f>
        <v>ea</v>
      </c>
      <c r="J123" s="170"/>
      <c r="K123" s="170"/>
      <c r="L123" s="170"/>
      <c r="M123" s="730"/>
      <c r="N123" s="730"/>
      <c r="O123" s="730"/>
      <c r="P123" s="731"/>
      <c r="Q123" s="731"/>
      <c r="R123" s="730"/>
      <c r="S123" s="730"/>
      <c r="T123" s="723"/>
      <c r="U123" s="724"/>
      <c r="V123" s="725"/>
      <c r="W123" s="725"/>
      <c r="X123" s="723"/>
      <c r="Y123" s="723"/>
      <c r="Z123" s="723"/>
      <c r="AA123" s="726"/>
      <c r="AB123" s="726"/>
      <c r="AC123" s="170"/>
      <c r="AD123" s="586">
        <f t="shared" ref="AD123:AS132" si="66">SUMIF($F$9:$F$70,$F123,AD$9:AD$70)</f>
        <v>0</v>
      </c>
      <c r="AE123" s="586">
        <f t="shared" si="66"/>
        <v>0</v>
      </c>
      <c r="AF123" s="586">
        <f t="shared" si="66"/>
        <v>0</v>
      </c>
      <c r="AG123" s="586">
        <f t="shared" si="66"/>
        <v>0</v>
      </c>
      <c r="AH123" s="586">
        <f t="shared" si="66"/>
        <v>0</v>
      </c>
      <c r="AI123" s="586">
        <f t="shared" si="66"/>
        <v>0</v>
      </c>
      <c r="AJ123" s="586">
        <f t="shared" si="66"/>
        <v>0</v>
      </c>
      <c r="AK123" s="586">
        <f t="shared" si="66"/>
        <v>0</v>
      </c>
      <c r="AL123" s="586">
        <f t="shared" si="66"/>
        <v>0</v>
      </c>
      <c r="AM123" s="586">
        <f t="shared" si="66"/>
        <v>0</v>
      </c>
      <c r="AN123" s="586">
        <f t="shared" si="66"/>
        <v>0</v>
      </c>
      <c r="AO123" s="586">
        <f t="shared" si="66"/>
        <v>0</v>
      </c>
      <c r="AP123" s="586">
        <f t="shared" si="66"/>
        <v>0</v>
      </c>
      <c r="AQ123" s="586">
        <f t="shared" si="66"/>
        <v>0</v>
      </c>
      <c r="AR123" s="586">
        <f t="shared" si="66"/>
        <v>0</v>
      </c>
      <c r="AS123" s="586">
        <f t="shared" si="66"/>
        <v>0</v>
      </c>
      <c r="AT123" s="170"/>
      <c r="AU123" s="170"/>
      <c r="AV123" s="170"/>
      <c r="AW123" s="828"/>
      <c r="AX123" s="726"/>
    </row>
    <row r="124" spans="1:50" ht="15" x14ac:dyDescent="0.25">
      <c r="A124" s="170"/>
      <c r="B124" s="719"/>
      <c r="C124" s="170"/>
      <c r="D124" s="170"/>
      <c r="E124" s="170"/>
      <c r="F124" s="170">
        <f>+Parameters!D55</f>
        <v>52</v>
      </c>
      <c r="G124" s="170" t="str">
        <f>+Parameters!E55</f>
        <v>Major Eqt - Circuit Switchers</v>
      </c>
      <c r="H124" s="170"/>
      <c r="I124" s="170" t="str">
        <f>+Parameters!F55</f>
        <v>ea</v>
      </c>
      <c r="J124" s="170"/>
      <c r="K124" s="170"/>
      <c r="L124" s="170"/>
      <c r="M124" s="730"/>
      <c r="N124" s="730"/>
      <c r="O124" s="730"/>
      <c r="P124" s="731"/>
      <c r="Q124" s="731"/>
      <c r="R124" s="730"/>
      <c r="S124" s="730"/>
      <c r="T124" s="723"/>
      <c r="U124" s="724"/>
      <c r="V124" s="725"/>
      <c r="W124" s="725"/>
      <c r="X124" s="723"/>
      <c r="Y124" s="723"/>
      <c r="Z124" s="723"/>
      <c r="AA124" s="726"/>
      <c r="AB124" s="726"/>
      <c r="AC124" s="170"/>
      <c r="AD124" s="586">
        <f t="shared" si="66"/>
        <v>0</v>
      </c>
      <c r="AE124" s="586">
        <f t="shared" si="66"/>
        <v>0</v>
      </c>
      <c r="AF124" s="586">
        <f t="shared" si="66"/>
        <v>0</v>
      </c>
      <c r="AG124" s="586">
        <f t="shared" si="66"/>
        <v>0</v>
      </c>
      <c r="AH124" s="586">
        <f t="shared" si="66"/>
        <v>0</v>
      </c>
      <c r="AI124" s="586">
        <f t="shared" si="66"/>
        <v>0</v>
      </c>
      <c r="AJ124" s="586">
        <f t="shared" si="66"/>
        <v>0</v>
      </c>
      <c r="AK124" s="586">
        <f t="shared" si="66"/>
        <v>0</v>
      </c>
      <c r="AL124" s="586">
        <f t="shared" si="66"/>
        <v>0</v>
      </c>
      <c r="AM124" s="586">
        <f t="shared" si="66"/>
        <v>0</v>
      </c>
      <c r="AN124" s="586">
        <f t="shared" si="66"/>
        <v>0</v>
      </c>
      <c r="AO124" s="586">
        <f t="shared" si="66"/>
        <v>0</v>
      </c>
      <c r="AP124" s="586">
        <f t="shared" si="66"/>
        <v>0</v>
      </c>
      <c r="AQ124" s="586">
        <f t="shared" si="66"/>
        <v>0</v>
      </c>
      <c r="AR124" s="586">
        <f t="shared" si="66"/>
        <v>0</v>
      </c>
      <c r="AS124" s="586">
        <f t="shared" si="66"/>
        <v>0</v>
      </c>
      <c r="AT124" s="170"/>
      <c r="AU124" s="170"/>
      <c r="AV124" s="170"/>
      <c r="AW124" s="828"/>
      <c r="AX124" s="726"/>
    </row>
    <row r="125" spans="1:50" ht="15" x14ac:dyDescent="0.25">
      <c r="A125" s="170"/>
      <c r="B125" s="719"/>
      <c r="C125" s="170"/>
      <c r="D125" s="170"/>
      <c r="E125" s="170"/>
      <c r="F125" s="170">
        <f>+Parameters!D56</f>
        <v>53</v>
      </c>
      <c r="G125" s="170" t="str">
        <f>+Parameters!E56</f>
        <v>Major Eqt - Disconect Switches</v>
      </c>
      <c r="H125" s="170"/>
      <c r="I125" s="170" t="str">
        <f>+Parameters!F56</f>
        <v>ea</v>
      </c>
      <c r="J125" s="170"/>
      <c r="K125" s="170"/>
      <c r="L125" s="170"/>
      <c r="M125" s="730"/>
      <c r="N125" s="730"/>
      <c r="O125" s="730"/>
      <c r="P125" s="731"/>
      <c r="Q125" s="731"/>
      <c r="R125" s="730"/>
      <c r="S125" s="730"/>
      <c r="T125" s="723"/>
      <c r="U125" s="724"/>
      <c r="V125" s="725"/>
      <c r="W125" s="725"/>
      <c r="X125" s="723"/>
      <c r="Y125" s="723"/>
      <c r="Z125" s="723"/>
      <c r="AA125" s="726"/>
      <c r="AB125" s="726"/>
      <c r="AC125" s="170"/>
      <c r="AD125" s="586">
        <f t="shared" si="66"/>
        <v>0</v>
      </c>
      <c r="AE125" s="586">
        <f t="shared" si="66"/>
        <v>0</v>
      </c>
      <c r="AF125" s="586">
        <f t="shared" si="66"/>
        <v>0</v>
      </c>
      <c r="AG125" s="586">
        <f t="shared" si="66"/>
        <v>0</v>
      </c>
      <c r="AH125" s="586">
        <f t="shared" si="66"/>
        <v>0</v>
      </c>
      <c r="AI125" s="586">
        <f t="shared" si="66"/>
        <v>0</v>
      </c>
      <c r="AJ125" s="586">
        <f t="shared" si="66"/>
        <v>0</v>
      </c>
      <c r="AK125" s="586">
        <f t="shared" si="66"/>
        <v>0</v>
      </c>
      <c r="AL125" s="586">
        <f t="shared" si="66"/>
        <v>0</v>
      </c>
      <c r="AM125" s="586">
        <f t="shared" si="66"/>
        <v>0</v>
      </c>
      <c r="AN125" s="586">
        <f t="shared" si="66"/>
        <v>0</v>
      </c>
      <c r="AO125" s="586">
        <f t="shared" si="66"/>
        <v>0</v>
      </c>
      <c r="AP125" s="586">
        <f t="shared" si="66"/>
        <v>0</v>
      </c>
      <c r="AQ125" s="586">
        <f t="shared" si="66"/>
        <v>0</v>
      </c>
      <c r="AR125" s="586">
        <f t="shared" si="66"/>
        <v>0</v>
      </c>
      <c r="AS125" s="586">
        <f t="shared" si="66"/>
        <v>0</v>
      </c>
      <c r="AT125" s="170"/>
      <c r="AU125" s="170"/>
      <c r="AV125" s="170"/>
      <c r="AW125" s="828"/>
      <c r="AX125" s="726"/>
    </row>
    <row r="126" spans="1:50" ht="15" x14ac:dyDescent="0.25">
      <c r="A126" s="170"/>
      <c r="B126" s="719"/>
      <c r="C126" s="170"/>
      <c r="D126" s="170"/>
      <c r="E126" s="170"/>
      <c r="F126" s="170">
        <f>+Parameters!D57</f>
        <v>54</v>
      </c>
      <c r="G126" s="170" t="str">
        <f>+Parameters!E57</f>
        <v>Major Eqt - Cap Banks</v>
      </c>
      <c r="H126" s="170"/>
      <c r="I126" s="170" t="str">
        <f>+Parameters!F57</f>
        <v>ea</v>
      </c>
      <c r="J126" s="170"/>
      <c r="K126" s="170"/>
      <c r="L126" s="170"/>
      <c r="M126" s="730"/>
      <c r="N126" s="730"/>
      <c r="O126" s="730"/>
      <c r="P126" s="731"/>
      <c r="Q126" s="731"/>
      <c r="R126" s="730"/>
      <c r="S126" s="730"/>
      <c r="T126" s="723"/>
      <c r="U126" s="724"/>
      <c r="V126" s="725"/>
      <c r="W126" s="725"/>
      <c r="X126" s="723"/>
      <c r="Y126" s="723"/>
      <c r="Z126" s="723"/>
      <c r="AA126" s="726"/>
      <c r="AB126" s="726"/>
      <c r="AC126" s="170"/>
      <c r="AD126" s="586">
        <f t="shared" si="66"/>
        <v>0</v>
      </c>
      <c r="AE126" s="586">
        <f t="shared" si="66"/>
        <v>0</v>
      </c>
      <c r="AF126" s="586">
        <f t="shared" si="66"/>
        <v>0</v>
      </c>
      <c r="AG126" s="586">
        <f t="shared" si="66"/>
        <v>0</v>
      </c>
      <c r="AH126" s="586">
        <f t="shared" si="66"/>
        <v>0</v>
      </c>
      <c r="AI126" s="586">
        <f t="shared" si="66"/>
        <v>0</v>
      </c>
      <c r="AJ126" s="586">
        <f t="shared" si="66"/>
        <v>0</v>
      </c>
      <c r="AK126" s="586">
        <f t="shared" si="66"/>
        <v>0</v>
      </c>
      <c r="AL126" s="586">
        <f t="shared" si="66"/>
        <v>0</v>
      </c>
      <c r="AM126" s="586">
        <f t="shared" si="66"/>
        <v>0</v>
      </c>
      <c r="AN126" s="586">
        <f t="shared" si="66"/>
        <v>0</v>
      </c>
      <c r="AO126" s="586">
        <f t="shared" si="66"/>
        <v>0</v>
      </c>
      <c r="AP126" s="586">
        <f t="shared" si="66"/>
        <v>0</v>
      </c>
      <c r="AQ126" s="586">
        <f t="shared" si="66"/>
        <v>0</v>
      </c>
      <c r="AR126" s="586">
        <f t="shared" si="66"/>
        <v>0</v>
      </c>
      <c r="AS126" s="586">
        <f t="shared" si="66"/>
        <v>0</v>
      </c>
      <c r="AT126" s="170"/>
      <c r="AU126" s="170"/>
      <c r="AV126" s="170"/>
      <c r="AW126" s="828"/>
      <c r="AX126" s="726"/>
    </row>
    <row r="127" spans="1:50" ht="15" x14ac:dyDescent="0.25">
      <c r="A127" s="170"/>
      <c r="B127" s="719"/>
      <c r="C127" s="170"/>
      <c r="D127" s="170"/>
      <c r="E127" s="170"/>
      <c r="F127" s="170">
        <f>+Parameters!D58</f>
        <v>55</v>
      </c>
      <c r="G127" s="170" t="str">
        <f>+Parameters!E58</f>
        <v>Major Eqt - Reactors</v>
      </c>
      <c r="H127" s="170"/>
      <c r="I127" s="170" t="str">
        <f>+Parameters!F58</f>
        <v>ea</v>
      </c>
      <c r="J127" s="170"/>
      <c r="K127" s="170"/>
      <c r="L127" s="170"/>
      <c r="M127" s="730"/>
      <c r="N127" s="730"/>
      <c r="O127" s="730"/>
      <c r="P127" s="731"/>
      <c r="Q127" s="731"/>
      <c r="R127" s="730"/>
      <c r="S127" s="730"/>
      <c r="T127" s="723"/>
      <c r="U127" s="724"/>
      <c r="V127" s="725"/>
      <c r="W127" s="725"/>
      <c r="X127" s="723"/>
      <c r="Y127" s="723"/>
      <c r="Z127" s="723"/>
      <c r="AA127" s="726"/>
      <c r="AB127" s="726"/>
      <c r="AC127" s="170"/>
      <c r="AD127" s="586">
        <f t="shared" si="66"/>
        <v>0</v>
      </c>
      <c r="AE127" s="586">
        <f t="shared" si="66"/>
        <v>0</v>
      </c>
      <c r="AF127" s="586">
        <f t="shared" si="66"/>
        <v>0</v>
      </c>
      <c r="AG127" s="586">
        <f t="shared" si="66"/>
        <v>0</v>
      </c>
      <c r="AH127" s="586">
        <f t="shared" si="66"/>
        <v>0</v>
      </c>
      <c r="AI127" s="586">
        <f t="shared" si="66"/>
        <v>0</v>
      </c>
      <c r="AJ127" s="586">
        <f t="shared" si="66"/>
        <v>0</v>
      </c>
      <c r="AK127" s="586">
        <f t="shared" si="66"/>
        <v>0</v>
      </c>
      <c r="AL127" s="586">
        <f t="shared" si="66"/>
        <v>0</v>
      </c>
      <c r="AM127" s="586">
        <f t="shared" si="66"/>
        <v>0</v>
      </c>
      <c r="AN127" s="586">
        <f t="shared" si="66"/>
        <v>0</v>
      </c>
      <c r="AO127" s="586">
        <f t="shared" si="66"/>
        <v>0</v>
      </c>
      <c r="AP127" s="586">
        <f t="shared" si="66"/>
        <v>0</v>
      </c>
      <c r="AQ127" s="586">
        <f t="shared" si="66"/>
        <v>0</v>
      </c>
      <c r="AR127" s="586">
        <f t="shared" si="66"/>
        <v>0</v>
      </c>
      <c r="AS127" s="586">
        <f t="shared" si="66"/>
        <v>0</v>
      </c>
      <c r="AT127" s="170"/>
      <c r="AU127" s="170"/>
      <c r="AV127" s="170"/>
      <c r="AW127" s="828"/>
      <c r="AX127" s="726"/>
    </row>
    <row r="128" spans="1:50" ht="15" x14ac:dyDescent="0.25">
      <c r="A128" s="170"/>
      <c r="B128" s="719"/>
      <c r="C128" s="170"/>
      <c r="D128" s="170"/>
      <c r="E128" s="170"/>
      <c r="F128" s="170">
        <f>+Parameters!D59</f>
        <v>56</v>
      </c>
      <c r="G128" s="170" t="str">
        <f>+Parameters!E59</f>
        <v>Major Eqt - GIS</v>
      </c>
      <c r="H128" s="170"/>
      <c r="I128" s="170" t="str">
        <f>+Parameters!F59</f>
        <v>ea</v>
      </c>
      <c r="J128" s="170"/>
      <c r="K128" s="170"/>
      <c r="L128" s="170"/>
      <c r="M128" s="730"/>
      <c r="N128" s="730"/>
      <c r="O128" s="730"/>
      <c r="P128" s="731"/>
      <c r="Q128" s="731"/>
      <c r="R128" s="730"/>
      <c r="S128" s="730"/>
      <c r="T128" s="723"/>
      <c r="U128" s="724"/>
      <c r="V128" s="725"/>
      <c r="W128" s="725"/>
      <c r="X128" s="723"/>
      <c r="Y128" s="723"/>
      <c r="Z128" s="723"/>
      <c r="AA128" s="726"/>
      <c r="AB128" s="726"/>
      <c r="AC128" s="170"/>
      <c r="AD128" s="586">
        <f t="shared" si="66"/>
        <v>0</v>
      </c>
      <c r="AE128" s="586">
        <f t="shared" si="66"/>
        <v>0</v>
      </c>
      <c r="AF128" s="586">
        <f t="shared" si="66"/>
        <v>0</v>
      </c>
      <c r="AG128" s="586">
        <f t="shared" si="66"/>
        <v>0</v>
      </c>
      <c r="AH128" s="586">
        <f t="shared" si="66"/>
        <v>0</v>
      </c>
      <c r="AI128" s="586">
        <f t="shared" si="66"/>
        <v>0</v>
      </c>
      <c r="AJ128" s="586">
        <f t="shared" si="66"/>
        <v>0</v>
      </c>
      <c r="AK128" s="586">
        <f t="shared" si="66"/>
        <v>0</v>
      </c>
      <c r="AL128" s="586">
        <f t="shared" si="66"/>
        <v>0</v>
      </c>
      <c r="AM128" s="586">
        <f t="shared" si="66"/>
        <v>0</v>
      </c>
      <c r="AN128" s="586">
        <f t="shared" si="66"/>
        <v>0</v>
      </c>
      <c r="AO128" s="586">
        <f t="shared" si="66"/>
        <v>0</v>
      </c>
      <c r="AP128" s="586">
        <f t="shared" si="66"/>
        <v>0</v>
      </c>
      <c r="AQ128" s="586">
        <f t="shared" si="66"/>
        <v>0</v>
      </c>
      <c r="AR128" s="586">
        <f t="shared" si="66"/>
        <v>0</v>
      </c>
      <c r="AS128" s="586">
        <f t="shared" si="66"/>
        <v>0</v>
      </c>
      <c r="AT128" s="170"/>
      <c r="AU128" s="170"/>
      <c r="AV128" s="170"/>
      <c r="AW128" s="828"/>
      <c r="AX128" s="726"/>
    </row>
    <row r="129" spans="1:50" ht="15" x14ac:dyDescent="0.25">
      <c r="A129" s="170"/>
      <c r="B129" s="719"/>
      <c r="C129" s="170"/>
      <c r="D129" s="170"/>
      <c r="E129" s="170"/>
      <c r="F129" s="170">
        <f>+Parameters!D60</f>
        <v>57</v>
      </c>
      <c r="G129" s="170" t="str">
        <f>+Parameters!E60</f>
        <v>Major Eqt - Switchgear</v>
      </c>
      <c r="H129" s="170"/>
      <c r="I129" s="170" t="str">
        <f>+Parameters!F60</f>
        <v>ea</v>
      </c>
      <c r="J129" s="170"/>
      <c r="K129" s="170"/>
      <c r="L129" s="170"/>
      <c r="M129" s="730"/>
      <c r="N129" s="730"/>
      <c r="O129" s="730"/>
      <c r="P129" s="731"/>
      <c r="Q129" s="731"/>
      <c r="R129" s="730"/>
      <c r="S129" s="730"/>
      <c r="T129" s="723"/>
      <c r="U129" s="724"/>
      <c r="V129" s="725"/>
      <c r="W129" s="725"/>
      <c r="X129" s="723"/>
      <c r="Y129" s="723"/>
      <c r="Z129" s="723"/>
      <c r="AA129" s="726"/>
      <c r="AB129" s="726"/>
      <c r="AC129" s="170"/>
      <c r="AD129" s="586">
        <f t="shared" si="66"/>
        <v>0</v>
      </c>
      <c r="AE129" s="586">
        <f t="shared" si="66"/>
        <v>0</v>
      </c>
      <c r="AF129" s="586">
        <f t="shared" si="66"/>
        <v>0</v>
      </c>
      <c r="AG129" s="586">
        <f t="shared" si="66"/>
        <v>0</v>
      </c>
      <c r="AH129" s="586">
        <f t="shared" si="66"/>
        <v>0</v>
      </c>
      <c r="AI129" s="586">
        <f t="shared" si="66"/>
        <v>0</v>
      </c>
      <c r="AJ129" s="586">
        <f t="shared" si="66"/>
        <v>0</v>
      </c>
      <c r="AK129" s="586">
        <f t="shared" si="66"/>
        <v>0</v>
      </c>
      <c r="AL129" s="586">
        <f t="shared" si="66"/>
        <v>0</v>
      </c>
      <c r="AM129" s="586">
        <f t="shared" si="66"/>
        <v>0</v>
      </c>
      <c r="AN129" s="586">
        <f t="shared" si="66"/>
        <v>0</v>
      </c>
      <c r="AO129" s="586">
        <f t="shared" si="66"/>
        <v>0</v>
      </c>
      <c r="AP129" s="586">
        <f t="shared" si="66"/>
        <v>0</v>
      </c>
      <c r="AQ129" s="586">
        <f t="shared" si="66"/>
        <v>0</v>
      </c>
      <c r="AR129" s="586">
        <f t="shared" si="66"/>
        <v>0</v>
      </c>
      <c r="AS129" s="586">
        <f t="shared" si="66"/>
        <v>0</v>
      </c>
      <c r="AT129" s="170"/>
      <c r="AU129" s="170"/>
      <c r="AV129" s="170"/>
      <c r="AW129" s="828"/>
      <c r="AX129" s="726"/>
    </row>
    <row r="130" spans="1:50" ht="15" x14ac:dyDescent="0.25">
      <c r="A130" s="170"/>
      <c r="B130" s="719"/>
      <c r="C130" s="170"/>
      <c r="D130" s="170"/>
      <c r="E130" s="170"/>
      <c r="F130" s="170">
        <f>+Parameters!D61</f>
        <v>58</v>
      </c>
      <c r="G130" s="170">
        <f>+Parameters!E61</f>
        <v>0</v>
      </c>
      <c r="H130" s="170"/>
      <c r="I130" s="170">
        <f>+Parameters!F61</f>
        <v>0</v>
      </c>
      <c r="J130" s="170"/>
      <c r="K130" s="170"/>
      <c r="L130" s="170"/>
      <c r="M130" s="730"/>
      <c r="N130" s="730"/>
      <c r="O130" s="730"/>
      <c r="P130" s="731"/>
      <c r="Q130" s="731"/>
      <c r="R130" s="730"/>
      <c r="S130" s="730"/>
      <c r="T130" s="723"/>
      <c r="U130" s="724"/>
      <c r="V130" s="725"/>
      <c r="W130" s="725"/>
      <c r="X130" s="723"/>
      <c r="Y130" s="723"/>
      <c r="Z130" s="723"/>
      <c r="AA130" s="726"/>
      <c r="AB130" s="726"/>
      <c r="AC130" s="170"/>
      <c r="AD130" s="586">
        <f t="shared" si="66"/>
        <v>0</v>
      </c>
      <c r="AE130" s="586">
        <f t="shared" si="66"/>
        <v>0</v>
      </c>
      <c r="AF130" s="586">
        <f t="shared" si="66"/>
        <v>0</v>
      </c>
      <c r="AG130" s="586">
        <f t="shared" si="66"/>
        <v>0</v>
      </c>
      <c r="AH130" s="586">
        <f t="shared" si="66"/>
        <v>0</v>
      </c>
      <c r="AI130" s="586">
        <f t="shared" si="66"/>
        <v>0</v>
      </c>
      <c r="AJ130" s="586">
        <f t="shared" si="66"/>
        <v>0</v>
      </c>
      <c r="AK130" s="586">
        <f t="shared" si="66"/>
        <v>0</v>
      </c>
      <c r="AL130" s="586">
        <f t="shared" si="66"/>
        <v>0</v>
      </c>
      <c r="AM130" s="586">
        <f t="shared" si="66"/>
        <v>0</v>
      </c>
      <c r="AN130" s="586">
        <f t="shared" si="66"/>
        <v>0</v>
      </c>
      <c r="AO130" s="586">
        <f t="shared" si="66"/>
        <v>0</v>
      </c>
      <c r="AP130" s="586">
        <f t="shared" si="66"/>
        <v>0</v>
      </c>
      <c r="AQ130" s="586">
        <f t="shared" si="66"/>
        <v>0</v>
      </c>
      <c r="AR130" s="586">
        <f t="shared" si="66"/>
        <v>0</v>
      </c>
      <c r="AS130" s="586">
        <f t="shared" si="66"/>
        <v>0</v>
      </c>
      <c r="AT130" s="170"/>
      <c r="AU130" s="170"/>
      <c r="AV130" s="170"/>
      <c r="AW130" s="828"/>
      <c r="AX130" s="726"/>
    </row>
    <row r="131" spans="1:50" ht="15" x14ac:dyDescent="0.25">
      <c r="A131" s="170"/>
      <c r="B131" s="719"/>
      <c r="C131" s="170"/>
      <c r="D131" s="170"/>
      <c r="E131" s="170"/>
      <c r="F131" s="170">
        <f>+Parameters!D62</f>
        <v>59</v>
      </c>
      <c r="G131" s="170" t="str">
        <f>+Parameters!E62</f>
        <v>Major Eqt - Other</v>
      </c>
      <c r="H131" s="170"/>
      <c r="I131" s="170" t="str">
        <f>+Parameters!F62</f>
        <v>ea</v>
      </c>
      <c r="J131" s="170"/>
      <c r="K131" s="170"/>
      <c r="L131" s="170"/>
      <c r="M131" s="730"/>
      <c r="N131" s="730"/>
      <c r="O131" s="730"/>
      <c r="P131" s="731"/>
      <c r="Q131" s="731"/>
      <c r="R131" s="730"/>
      <c r="S131" s="730"/>
      <c r="T131" s="723"/>
      <c r="U131" s="724"/>
      <c r="V131" s="725"/>
      <c r="W131" s="725"/>
      <c r="X131" s="723"/>
      <c r="Y131" s="723"/>
      <c r="Z131" s="723"/>
      <c r="AA131" s="726"/>
      <c r="AB131" s="726"/>
      <c r="AC131" s="170"/>
      <c r="AD131" s="586">
        <f t="shared" si="66"/>
        <v>0</v>
      </c>
      <c r="AE131" s="586">
        <f t="shared" si="66"/>
        <v>0</v>
      </c>
      <c r="AF131" s="586">
        <f t="shared" si="66"/>
        <v>0</v>
      </c>
      <c r="AG131" s="586">
        <f t="shared" si="66"/>
        <v>0</v>
      </c>
      <c r="AH131" s="586">
        <f t="shared" si="66"/>
        <v>0</v>
      </c>
      <c r="AI131" s="586">
        <f t="shared" si="66"/>
        <v>0</v>
      </c>
      <c r="AJ131" s="586">
        <f t="shared" si="66"/>
        <v>0</v>
      </c>
      <c r="AK131" s="586">
        <f t="shared" si="66"/>
        <v>0</v>
      </c>
      <c r="AL131" s="586">
        <f t="shared" si="66"/>
        <v>0</v>
      </c>
      <c r="AM131" s="586">
        <f t="shared" si="66"/>
        <v>0</v>
      </c>
      <c r="AN131" s="586">
        <f t="shared" si="66"/>
        <v>0</v>
      </c>
      <c r="AO131" s="586">
        <f t="shared" si="66"/>
        <v>0</v>
      </c>
      <c r="AP131" s="586">
        <f t="shared" si="66"/>
        <v>0</v>
      </c>
      <c r="AQ131" s="586">
        <f t="shared" si="66"/>
        <v>0</v>
      </c>
      <c r="AR131" s="586">
        <f t="shared" si="66"/>
        <v>0</v>
      </c>
      <c r="AS131" s="586">
        <f t="shared" si="66"/>
        <v>0</v>
      </c>
      <c r="AT131" s="170"/>
      <c r="AU131" s="170"/>
      <c r="AV131" s="170"/>
      <c r="AW131" s="828"/>
      <c r="AX131" s="726"/>
    </row>
    <row r="132" spans="1:50" ht="15" x14ac:dyDescent="0.25">
      <c r="A132" s="170"/>
      <c r="B132" s="719"/>
      <c r="C132" s="170"/>
      <c r="D132" s="170"/>
      <c r="E132" s="170"/>
      <c r="F132" s="170">
        <f>+Parameters!D63</f>
        <v>60</v>
      </c>
      <c r="G132" s="170">
        <f>+Parameters!E63</f>
        <v>0</v>
      </c>
      <c r="H132" s="170"/>
      <c r="I132" s="170">
        <f>+Parameters!F63</f>
        <v>0</v>
      </c>
      <c r="J132" s="170"/>
      <c r="K132" s="170"/>
      <c r="L132" s="170"/>
      <c r="M132" s="730"/>
      <c r="N132" s="730"/>
      <c r="O132" s="730"/>
      <c r="P132" s="731"/>
      <c r="Q132" s="731"/>
      <c r="R132" s="730"/>
      <c r="S132" s="730"/>
      <c r="T132" s="723"/>
      <c r="U132" s="724"/>
      <c r="V132" s="725"/>
      <c r="W132" s="725"/>
      <c r="X132" s="723"/>
      <c r="Y132" s="723"/>
      <c r="Z132" s="723"/>
      <c r="AA132" s="726"/>
      <c r="AB132" s="726"/>
      <c r="AC132" s="170"/>
      <c r="AD132" s="586">
        <f t="shared" si="66"/>
        <v>0</v>
      </c>
      <c r="AE132" s="586">
        <f t="shared" si="66"/>
        <v>0</v>
      </c>
      <c r="AF132" s="586">
        <f t="shared" si="66"/>
        <v>0</v>
      </c>
      <c r="AG132" s="586">
        <f t="shared" si="66"/>
        <v>0</v>
      </c>
      <c r="AH132" s="586">
        <f t="shared" si="66"/>
        <v>0</v>
      </c>
      <c r="AI132" s="586">
        <f t="shared" si="66"/>
        <v>0</v>
      </c>
      <c r="AJ132" s="586">
        <f t="shared" si="66"/>
        <v>0</v>
      </c>
      <c r="AK132" s="586">
        <f t="shared" si="66"/>
        <v>0</v>
      </c>
      <c r="AL132" s="586">
        <f t="shared" si="66"/>
        <v>0</v>
      </c>
      <c r="AM132" s="586">
        <f t="shared" si="66"/>
        <v>0</v>
      </c>
      <c r="AN132" s="586">
        <f t="shared" si="66"/>
        <v>0</v>
      </c>
      <c r="AO132" s="586">
        <f t="shared" si="66"/>
        <v>0</v>
      </c>
      <c r="AP132" s="586">
        <f t="shared" si="66"/>
        <v>0</v>
      </c>
      <c r="AQ132" s="586">
        <f t="shared" si="66"/>
        <v>0</v>
      </c>
      <c r="AR132" s="586">
        <f t="shared" si="66"/>
        <v>0</v>
      </c>
      <c r="AS132" s="586">
        <f t="shared" si="66"/>
        <v>0</v>
      </c>
      <c r="AT132" s="170"/>
      <c r="AU132" s="170"/>
      <c r="AV132" s="170"/>
      <c r="AW132" s="828"/>
      <c r="AX132" s="726"/>
    </row>
    <row r="133" spans="1:50" ht="15" x14ac:dyDescent="0.25">
      <c r="A133" s="170"/>
      <c r="B133" s="719"/>
      <c r="C133" s="170"/>
      <c r="D133" s="170"/>
      <c r="E133" s="170"/>
      <c r="F133" s="170">
        <f>+Parameters!D64</f>
        <v>61</v>
      </c>
      <c r="G133" s="170">
        <f>+Parameters!E64</f>
        <v>0</v>
      </c>
      <c r="H133" s="170"/>
      <c r="I133" s="170">
        <f>+Parameters!F64</f>
        <v>0</v>
      </c>
      <c r="J133" s="170"/>
      <c r="K133" s="170"/>
      <c r="L133" s="170"/>
      <c r="M133" s="730"/>
      <c r="N133" s="730"/>
      <c r="O133" s="730"/>
      <c r="P133" s="731"/>
      <c r="Q133" s="731"/>
      <c r="R133" s="730"/>
      <c r="S133" s="730"/>
      <c r="T133" s="723"/>
      <c r="U133" s="724"/>
      <c r="V133" s="725"/>
      <c r="W133" s="725"/>
      <c r="X133" s="723"/>
      <c r="Y133" s="723"/>
      <c r="Z133" s="723"/>
      <c r="AA133" s="726"/>
      <c r="AB133" s="726"/>
      <c r="AC133" s="170"/>
      <c r="AD133" s="586">
        <f t="shared" ref="AD133:AS142" si="67">SUMIF($F$9:$F$70,$F133,AD$9:AD$70)</f>
        <v>0</v>
      </c>
      <c r="AE133" s="586">
        <f t="shared" si="67"/>
        <v>0</v>
      </c>
      <c r="AF133" s="586">
        <f t="shared" si="67"/>
        <v>0</v>
      </c>
      <c r="AG133" s="586">
        <f t="shared" si="67"/>
        <v>0</v>
      </c>
      <c r="AH133" s="586">
        <f t="shared" si="67"/>
        <v>0</v>
      </c>
      <c r="AI133" s="586">
        <f t="shared" si="67"/>
        <v>0</v>
      </c>
      <c r="AJ133" s="586">
        <f t="shared" si="67"/>
        <v>0</v>
      </c>
      <c r="AK133" s="586">
        <f t="shared" si="67"/>
        <v>0</v>
      </c>
      <c r="AL133" s="586">
        <f t="shared" si="67"/>
        <v>0</v>
      </c>
      <c r="AM133" s="586">
        <f t="shared" si="67"/>
        <v>0</v>
      </c>
      <c r="AN133" s="586">
        <f t="shared" si="67"/>
        <v>0</v>
      </c>
      <c r="AO133" s="586">
        <f t="shared" si="67"/>
        <v>0</v>
      </c>
      <c r="AP133" s="586">
        <f t="shared" si="67"/>
        <v>0</v>
      </c>
      <c r="AQ133" s="586">
        <f t="shared" si="67"/>
        <v>0</v>
      </c>
      <c r="AR133" s="586">
        <f t="shared" si="67"/>
        <v>0</v>
      </c>
      <c r="AS133" s="586">
        <f t="shared" si="67"/>
        <v>0</v>
      </c>
      <c r="AT133" s="170"/>
      <c r="AU133" s="170"/>
      <c r="AV133" s="170"/>
      <c r="AW133" s="828"/>
      <c r="AX133" s="726"/>
    </row>
    <row r="134" spans="1:50" ht="15" x14ac:dyDescent="0.25">
      <c r="A134" s="170"/>
      <c r="B134" s="719"/>
      <c r="C134" s="170"/>
      <c r="D134" s="170"/>
      <c r="E134" s="170"/>
      <c r="F134" s="170">
        <f>+Parameters!D65</f>
        <v>62</v>
      </c>
      <c r="G134" s="170">
        <f>+Parameters!E65</f>
        <v>0</v>
      </c>
      <c r="H134" s="170"/>
      <c r="I134" s="170">
        <f>+Parameters!F65</f>
        <v>0</v>
      </c>
      <c r="J134" s="170"/>
      <c r="K134" s="170"/>
      <c r="L134" s="170"/>
      <c r="M134" s="730"/>
      <c r="N134" s="730"/>
      <c r="O134" s="730"/>
      <c r="P134" s="731"/>
      <c r="Q134" s="731"/>
      <c r="R134" s="730"/>
      <c r="S134" s="730"/>
      <c r="T134" s="723"/>
      <c r="U134" s="724"/>
      <c r="V134" s="725"/>
      <c r="W134" s="725"/>
      <c r="X134" s="723"/>
      <c r="Y134" s="723"/>
      <c r="Z134" s="723"/>
      <c r="AA134" s="726"/>
      <c r="AB134" s="726"/>
      <c r="AC134" s="170"/>
      <c r="AD134" s="586">
        <f t="shared" si="67"/>
        <v>0</v>
      </c>
      <c r="AE134" s="586">
        <f t="shared" si="67"/>
        <v>0</v>
      </c>
      <c r="AF134" s="586">
        <f t="shared" si="67"/>
        <v>0</v>
      </c>
      <c r="AG134" s="586">
        <f t="shared" si="67"/>
        <v>0</v>
      </c>
      <c r="AH134" s="586">
        <f t="shared" si="67"/>
        <v>0</v>
      </c>
      <c r="AI134" s="586">
        <f t="shared" si="67"/>
        <v>0</v>
      </c>
      <c r="AJ134" s="586">
        <f t="shared" si="67"/>
        <v>0</v>
      </c>
      <c r="AK134" s="586">
        <f t="shared" si="67"/>
        <v>0</v>
      </c>
      <c r="AL134" s="586">
        <f t="shared" si="67"/>
        <v>0</v>
      </c>
      <c r="AM134" s="586">
        <f t="shared" si="67"/>
        <v>0</v>
      </c>
      <c r="AN134" s="586">
        <f t="shared" si="67"/>
        <v>0</v>
      </c>
      <c r="AO134" s="586">
        <f t="shared" si="67"/>
        <v>0</v>
      </c>
      <c r="AP134" s="586">
        <f t="shared" si="67"/>
        <v>0</v>
      </c>
      <c r="AQ134" s="586">
        <f t="shared" si="67"/>
        <v>0</v>
      </c>
      <c r="AR134" s="586">
        <f t="shared" si="67"/>
        <v>0</v>
      </c>
      <c r="AS134" s="586">
        <f t="shared" si="67"/>
        <v>0</v>
      </c>
      <c r="AT134" s="170"/>
      <c r="AU134" s="170"/>
      <c r="AV134" s="170"/>
      <c r="AW134" s="828"/>
      <c r="AX134" s="726"/>
    </row>
    <row r="135" spans="1:50" ht="15" x14ac:dyDescent="0.25">
      <c r="A135" s="170"/>
      <c r="B135" s="719"/>
      <c r="C135" s="170"/>
      <c r="D135" s="170"/>
      <c r="E135" s="170"/>
      <c r="F135" s="170">
        <f>+Parameters!D66</f>
        <v>63</v>
      </c>
      <c r="G135" s="170" t="str">
        <f>+Parameters!E66</f>
        <v>Misc. Eqt - Bus</v>
      </c>
      <c r="H135" s="170"/>
      <c r="I135" s="170" t="str">
        <f>+Parameters!F66</f>
        <v>lf</v>
      </c>
      <c r="J135" s="170"/>
      <c r="K135" s="170"/>
      <c r="L135" s="170"/>
      <c r="M135" s="730"/>
      <c r="N135" s="730"/>
      <c r="O135" s="730"/>
      <c r="P135" s="731"/>
      <c r="Q135" s="731"/>
      <c r="R135" s="730"/>
      <c r="S135" s="730"/>
      <c r="T135" s="723"/>
      <c r="U135" s="724"/>
      <c r="V135" s="725"/>
      <c r="W135" s="725"/>
      <c r="X135" s="723"/>
      <c r="Y135" s="723"/>
      <c r="Z135" s="723"/>
      <c r="AA135" s="726"/>
      <c r="AB135" s="726"/>
      <c r="AC135" s="170"/>
      <c r="AD135" s="586">
        <f t="shared" si="67"/>
        <v>0</v>
      </c>
      <c r="AE135" s="586">
        <f t="shared" si="67"/>
        <v>0</v>
      </c>
      <c r="AF135" s="586">
        <f t="shared" si="67"/>
        <v>0</v>
      </c>
      <c r="AG135" s="586">
        <f t="shared" si="67"/>
        <v>0</v>
      </c>
      <c r="AH135" s="586">
        <f t="shared" si="67"/>
        <v>0</v>
      </c>
      <c r="AI135" s="586">
        <f t="shared" si="67"/>
        <v>0</v>
      </c>
      <c r="AJ135" s="586">
        <f t="shared" si="67"/>
        <v>0</v>
      </c>
      <c r="AK135" s="586">
        <f t="shared" si="67"/>
        <v>0</v>
      </c>
      <c r="AL135" s="586">
        <f t="shared" si="67"/>
        <v>0</v>
      </c>
      <c r="AM135" s="586">
        <f t="shared" si="67"/>
        <v>0</v>
      </c>
      <c r="AN135" s="586">
        <f t="shared" si="67"/>
        <v>0</v>
      </c>
      <c r="AO135" s="586">
        <f t="shared" si="67"/>
        <v>0</v>
      </c>
      <c r="AP135" s="586">
        <f t="shared" si="67"/>
        <v>0</v>
      </c>
      <c r="AQ135" s="586">
        <f t="shared" si="67"/>
        <v>0</v>
      </c>
      <c r="AR135" s="586">
        <f t="shared" si="67"/>
        <v>0</v>
      </c>
      <c r="AS135" s="586">
        <f t="shared" si="67"/>
        <v>0</v>
      </c>
      <c r="AT135" s="170"/>
      <c r="AU135" s="170"/>
      <c r="AV135" s="170"/>
      <c r="AW135" s="828"/>
      <c r="AX135" s="726"/>
    </row>
    <row r="136" spans="1:50" ht="15" x14ac:dyDescent="0.25">
      <c r="A136" s="170"/>
      <c r="B136" s="719"/>
      <c r="C136" s="170"/>
      <c r="D136" s="170"/>
      <c r="E136" s="170"/>
      <c r="F136" s="170">
        <f>+Parameters!D67</f>
        <v>64</v>
      </c>
      <c r="G136" s="170" t="str">
        <f>+Parameters!E67</f>
        <v>Misc. Eqt - Conduit / Tray</v>
      </c>
      <c r="H136" s="170"/>
      <c r="I136" s="170" t="str">
        <f>+Parameters!F67</f>
        <v>lf</v>
      </c>
      <c r="J136" s="170"/>
      <c r="K136" s="170"/>
      <c r="L136" s="170"/>
      <c r="M136" s="730"/>
      <c r="N136" s="730"/>
      <c r="O136" s="730"/>
      <c r="P136" s="731"/>
      <c r="Q136" s="731"/>
      <c r="R136" s="730"/>
      <c r="S136" s="730"/>
      <c r="T136" s="723"/>
      <c r="U136" s="724"/>
      <c r="V136" s="725"/>
      <c r="W136" s="725"/>
      <c r="X136" s="723"/>
      <c r="Y136" s="723"/>
      <c r="Z136" s="723"/>
      <c r="AA136" s="726"/>
      <c r="AB136" s="726"/>
      <c r="AC136" s="170"/>
      <c r="AD136" s="586">
        <f t="shared" si="67"/>
        <v>0</v>
      </c>
      <c r="AE136" s="586">
        <f t="shared" si="67"/>
        <v>0</v>
      </c>
      <c r="AF136" s="586">
        <f t="shared" si="67"/>
        <v>0</v>
      </c>
      <c r="AG136" s="586">
        <f t="shared" si="67"/>
        <v>0</v>
      </c>
      <c r="AH136" s="586">
        <f t="shared" si="67"/>
        <v>0</v>
      </c>
      <c r="AI136" s="586">
        <f t="shared" si="67"/>
        <v>0</v>
      </c>
      <c r="AJ136" s="586">
        <f t="shared" si="67"/>
        <v>0</v>
      </c>
      <c r="AK136" s="586">
        <f t="shared" si="67"/>
        <v>0</v>
      </c>
      <c r="AL136" s="586">
        <f t="shared" si="67"/>
        <v>0</v>
      </c>
      <c r="AM136" s="586">
        <f t="shared" si="67"/>
        <v>0</v>
      </c>
      <c r="AN136" s="586">
        <f t="shared" si="67"/>
        <v>0</v>
      </c>
      <c r="AO136" s="586">
        <f t="shared" si="67"/>
        <v>0</v>
      </c>
      <c r="AP136" s="586">
        <f t="shared" si="67"/>
        <v>0</v>
      </c>
      <c r="AQ136" s="586">
        <f t="shared" si="67"/>
        <v>0</v>
      </c>
      <c r="AR136" s="586">
        <f t="shared" si="67"/>
        <v>0</v>
      </c>
      <c r="AS136" s="586">
        <f t="shared" si="67"/>
        <v>0</v>
      </c>
      <c r="AT136" s="170"/>
      <c r="AU136" s="170"/>
      <c r="AV136" s="170"/>
      <c r="AW136" s="828"/>
      <c r="AX136" s="726"/>
    </row>
    <row r="137" spans="1:50" ht="15" x14ac:dyDescent="0.25">
      <c r="A137" s="170"/>
      <c r="B137" s="719"/>
      <c r="C137" s="170"/>
      <c r="D137" s="170"/>
      <c r="E137" s="170"/>
      <c r="F137" s="170">
        <f>+Parameters!D68</f>
        <v>65</v>
      </c>
      <c r="G137" s="170" t="str">
        <f>+Parameters!E68</f>
        <v>Misc. Eqt - Insulators</v>
      </c>
      <c r="H137" s="170"/>
      <c r="I137" s="170" t="str">
        <f>+Parameters!F68</f>
        <v>ea</v>
      </c>
      <c r="J137" s="170"/>
      <c r="K137" s="170"/>
      <c r="L137" s="170"/>
      <c r="M137" s="730"/>
      <c r="N137" s="730"/>
      <c r="O137" s="730"/>
      <c r="P137" s="731"/>
      <c r="Q137" s="731"/>
      <c r="R137" s="730"/>
      <c r="S137" s="730"/>
      <c r="T137" s="723"/>
      <c r="U137" s="724"/>
      <c r="V137" s="725"/>
      <c r="W137" s="725"/>
      <c r="X137" s="723"/>
      <c r="Y137" s="723"/>
      <c r="Z137" s="723"/>
      <c r="AA137" s="726"/>
      <c r="AB137" s="726"/>
      <c r="AC137" s="170"/>
      <c r="AD137" s="586">
        <f t="shared" si="67"/>
        <v>0</v>
      </c>
      <c r="AE137" s="586">
        <f t="shared" si="67"/>
        <v>0</v>
      </c>
      <c r="AF137" s="586">
        <f t="shared" si="67"/>
        <v>0</v>
      </c>
      <c r="AG137" s="586">
        <f t="shared" si="67"/>
        <v>0</v>
      </c>
      <c r="AH137" s="586">
        <f t="shared" si="67"/>
        <v>0</v>
      </c>
      <c r="AI137" s="586">
        <f t="shared" si="67"/>
        <v>0</v>
      </c>
      <c r="AJ137" s="586">
        <f t="shared" si="67"/>
        <v>0</v>
      </c>
      <c r="AK137" s="586">
        <f t="shared" si="67"/>
        <v>0</v>
      </c>
      <c r="AL137" s="586">
        <f t="shared" si="67"/>
        <v>0</v>
      </c>
      <c r="AM137" s="586">
        <f t="shared" si="67"/>
        <v>0</v>
      </c>
      <c r="AN137" s="586">
        <f t="shared" si="67"/>
        <v>0</v>
      </c>
      <c r="AO137" s="586">
        <f t="shared" si="67"/>
        <v>0</v>
      </c>
      <c r="AP137" s="586">
        <f t="shared" si="67"/>
        <v>0</v>
      </c>
      <c r="AQ137" s="586">
        <f t="shared" si="67"/>
        <v>0</v>
      </c>
      <c r="AR137" s="586">
        <f t="shared" si="67"/>
        <v>0</v>
      </c>
      <c r="AS137" s="586">
        <f t="shared" si="67"/>
        <v>0</v>
      </c>
      <c r="AT137" s="170"/>
      <c r="AU137" s="170"/>
      <c r="AV137" s="170"/>
      <c r="AW137" s="828"/>
      <c r="AX137" s="726"/>
    </row>
    <row r="138" spans="1:50" ht="15" x14ac:dyDescent="0.25">
      <c r="A138" s="170"/>
      <c r="B138" s="719"/>
      <c r="C138" s="170"/>
      <c r="D138" s="170"/>
      <c r="E138" s="170"/>
      <c r="F138" s="170">
        <f>+Parameters!D69</f>
        <v>66</v>
      </c>
      <c r="G138" s="170" t="str">
        <f>+Parameters!E69</f>
        <v>Misc. Eqt - LA's</v>
      </c>
      <c r="H138" s="170"/>
      <c r="I138" s="170" t="str">
        <f>+Parameters!F69</f>
        <v>ea</v>
      </c>
      <c r="J138" s="170"/>
      <c r="K138" s="170"/>
      <c r="L138" s="170"/>
      <c r="M138" s="730"/>
      <c r="N138" s="730"/>
      <c r="O138" s="730"/>
      <c r="P138" s="731"/>
      <c r="Q138" s="731"/>
      <c r="R138" s="730"/>
      <c r="S138" s="730"/>
      <c r="T138" s="723"/>
      <c r="U138" s="724"/>
      <c r="V138" s="725"/>
      <c r="W138" s="725"/>
      <c r="X138" s="723"/>
      <c r="Y138" s="723"/>
      <c r="Z138" s="723"/>
      <c r="AA138" s="726"/>
      <c r="AB138" s="726"/>
      <c r="AC138" s="170"/>
      <c r="AD138" s="586">
        <f t="shared" si="67"/>
        <v>0</v>
      </c>
      <c r="AE138" s="586">
        <f t="shared" si="67"/>
        <v>0</v>
      </c>
      <c r="AF138" s="586">
        <f t="shared" si="67"/>
        <v>0</v>
      </c>
      <c r="AG138" s="586">
        <f t="shared" si="67"/>
        <v>0</v>
      </c>
      <c r="AH138" s="586">
        <f t="shared" si="67"/>
        <v>0</v>
      </c>
      <c r="AI138" s="586">
        <f t="shared" si="67"/>
        <v>0</v>
      </c>
      <c r="AJ138" s="586">
        <f t="shared" si="67"/>
        <v>0</v>
      </c>
      <c r="AK138" s="586">
        <f t="shared" si="67"/>
        <v>0</v>
      </c>
      <c r="AL138" s="586">
        <f t="shared" si="67"/>
        <v>0</v>
      </c>
      <c r="AM138" s="586">
        <f t="shared" si="67"/>
        <v>0</v>
      </c>
      <c r="AN138" s="586">
        <f t="shared" si="67"/>
        <v>0</v>
      </c>
      <c r="AO138" s="586">
        <f t="shared" si="67"/>
        <v>0</v>
      </c>
      <c r="AP138" s="586">
        <f t="shared" si="67"/>
        <v>0</v>
      </c>
      <c r="AQ138" s="586">
        <f t="shared" si="67"/>
        <v>0</v>
      </c>
      <c r="AR138" s="586">
        <f t="shared" si="67"/>
        <v>0</v>
      </c>
      <c r="AS138" s="586">
        <f t="shared" si="67"/>
        <v>0</v>
      </c>
      <c r="AT138" s="170"/>
      <c r="AU138" s="170"/>
      <c r="AV138" s="170"/>
      <c r="AW138" s="828"/>
      <c r="AX138" s="726"/>
    </row>
    <row r="139" spans="1:50" ht="15" x14ac:dyDescent="0.25">
      <c r="A139" s="170"/>
      <c r="B139" s="719"/>
      <c r="C139" s="170"/>
      <c r="D139" s="170"/>
      <c r="E139" s="170"/>
      <c r="F139" s="170">
        <f>+Parameters!D70</f>
        <v>67</v>
      </c>
      <c r="G139" s="170" t="str">
        <f>+Parameters!E70</f>
        <v>Misc. Eqt - CCVT</v>
      </c>
      <c r="H139" s="170"/>
      <c r="I139" s="170" t="str">
        <f>+Parameters!F70</f>
        <v>ea</v>
      </c>
      <c r="J139" s="170"/>
      <c r="K139" s="170"/>
      <c r="L139" s="170"/>
      <c r="M139" s="730"/>
      <c r="N139" s="730"/>
      <c r="O139" s="730"/>
      <c r="P139" s="731"/>
      <c r="Q139" s="731"/>
      <c r="R139" s="730"/>
      <c r="S139" s="730"/>
      <c r="T139" s="723"/>
      <c r="U139" s="724"/>
      <c r="V139" s="725"/>
      <c r="W139" s="725"/>
      <c r="X139" s="723"/>
      <c r="Y139" s="723"/>
      <c r="Z139" s="723"/>
      <c r="AA139" s="726"/>
      <c r="AB139" s="726"/>
      <c r="AC139" s="170"/>
      <c r="AD139" s="586">
        <f t="shared" si="67"/>
        <v>0</v>
      </c>
      <c r="AE139" s="586">
        <f t="shared" si="67"/>
        <v>0</v>
      </c>
      <c r="AF139" s="586">
        <f t="shared" si="67"/>
        <v>0</v>
      </c>
      <c r="AG139" s="586">
        <f t="shared" si="67"/>
        <v>0</v>
      </c>
      <c r="AH139" s="586">
        <f t="shared" si="67"/>
        <v>0</v>
      </c>
      <c r="AI139" s="586">
        <f t="shared" si="67"/>
        <v>0</v>
      </c>
      <c r="AJ139" s="586">
        <f t="shared" si="67"/>
        <v>0</v>
      </c>
      <c r="AK139" s="586">
        <f t="shared" si="67"/>
        <v>0</v>
      </c>
      <c r="AL139" s="586">
        <f t="shared" si="67"/>
        <v>0</v>
      </c>
      <c r="AM139" s="586">
        <f t="shared" si="67"/>
        <v>0</v>
      </c>
      <c r="AN139" s="586">
        <f t="shared" si="67"/>
        <v>0</v>
      </c>
      <c r="AO139" s="586">
        <f t="shared" si="67"/>
        <v>0</v>
      </c>
      <c r="AP139" s="586">
        <f t="shared" si="67"/>
        <v>0</v>
      </c>
      <c r="AQ139" s="586">
        <f t="shared" si="67"/>
        <v>0</v>
      </c>
      <c r="AR139" s="586">
        <f t="shared" si="67"/>
        <v>0</v>
      </c>
      <c r="AS139" s="586">
        <f t="shared" si="67"/>
        <v>0</v>
      </c>
      <c r="AT139" s="170"/>
      <c r="AU139" s="170"/>
      <c r="AV139" s="170"/>
      <c r="AW139" s="828"/>
      <c r="AX139" s="726"/>
    </row>
    <row r="140" spans="1:50" ht="15" x14ac:dyDescent="0.25">
      <c r="A140" s="170"/>
      <c r="B140" s="719"/>
      <c r="C140" s="170"/>
      <c r="D140" s="170"/>
      <c r="E140" s="170"/>
      <c r="F140" s="170">
        <f>+Parameters!D71</f>
        <v>68</v>
      </c>
      <c r="G140" s="170">
        <f>+Parameters!E71</f>
        <v>0</v>
      </c>
      <c r="H140" s="170"/>
      <c r="I140" s="170">
        <f>+Parameters!F71</f>
        <v>0</v>
      </c>
      <c r="J140" s="170"/>
      <c r="K140" s="170"/>
      <c r="L140" s="170"/>
      <c r="M140" s="730"/>
      <c r="N140" s="730"/>
      <c r="O140" s="730"/>
      <c r="P140" s="731"/>
      <c r="Q140" s="731"/>
      <c r="R140" s="730"/>
      <c r="S140" s="730"/>
      <c r="T140" s="723"/>
      <c r="U140" s="724"/>
      <c r="V140" s="725"/>
      <c r="W140" s="725"/>
      <c r="X140" s="723"/>
      <c r="Y140" s="723"/>
      <c r="Z140" s="723"/>
      <c r="AA140" s="726"/>
      <c r="AB140" s="726"/>
      <c r="AC140" s="170"/>
      <c r="AD140" s="586">
        <f t="shared" si="67"/>
        <v>0</v>
      </c>
      <c r="AE140" s="586">
        <f t="shared" si="67"/>
        <v>0</v>
      </c>
      <c r="AF140" s="586">
        <f t="shared" si="67"/>
        <v>0</v>
      </c>
      <c r="AG140" s="586">
        <f t="shared" si="67"/>
        <v>0</v>
      </c>
      <c r="AH140" s="586">
        <f t="shared" si="67"/>
        <v>0</v>
      </c>
      <c r="AI140" s="586">
        <f t="shared" si="67"/>
        <v>0</v>
      </c>
      <c r="AJ140" s="586">
        <f t="shared" si="67"/>
        <v>0</v>
      </c>
      <c r="AK140" s="586">
        <f t="shared" si="67"/>
        <v>0</v>
      </c>
      <c r="AL140" s="586">
        <f t="shared" si="67"/>
        <v>0</v>
      </c>
      <c r="AM140" s="586">
        <f t="shared" si="67"/>
        <v>0</v>
      </c>
      <c r="AN140" s="586">
        <f t="shared" si="67"/>
        <v>0</v>
      </c>
      <c r="AO140" s="586">
        <f t="shared" si="67"/>
        <v>0</v>
      </c>
      <c r="AP140" s="586">
        <f t="shared" si="67"/>
        <v>0</v>
      </c>
      <c r="AQ140" s="586">
        <f t="shared" si="67"/>
        <v>0</v>
      </c>
      <c r="AR140" s="586">
        <f t="shared" si="67"/>
        <v>0</v>
      </c>
      <c r="AS140" s="586">
        <f t="shared" si="67"/>
        <v>0</v>
      </c>
      <c r="AT140" s="170"/>
      <c r="AU140" s="170"/>
      <c r="AV140" s="170"/>
      <c r="AW140" s="828"/>
      <c r="AX140" s="726"/>
    </row>
    <row r="141" spans="1:50" ht="15" x14ac:dyDescent="0.25">
      <c r="A141" s="170"/>
      <c r="B141" s="719"/>
      <c r="C141" s="170"/>
      <c r="D141" s="170"/>
      <c r="E141" s="170"/>
      <c r="F141" s="170">
        <f>+Parameters!D72</f>
        <v>69</v>
      </c>
      <c r="G141" s="170" t="str">
        <f>+Parameters!E72</f>
        <v>Misc. Eqt - Other</v>
      </c>
      <c r="H141" s="170"/>
      <c r="I141" s="170" t="str">
        <f>+Parameters!F72</f>
        <v>ea</v>
      </c>
      <c r="J141" s="170"/>
      <c r="K141" s="170"/>
      <c r="L141" s="170"/>
      <c r="M141" s="730"/>
      <c r="N141" s="730"/>
      <c r="O141" s="730"/>
      <c r="P141" s="731"/>
      <c r="Q141" s="731"/>
      <c r="R141" s="730"/>
      <c r="S141" s="730"/>
      <c r="T141" s="723"/>
      <c r="U141" s="724"/>
      <c r="V141" s="725"/>
      <c r="W141" s="725"/>
      <c r="X141" s="723"/>
      <c r="Y141" s="723"/>
      <c r="Z141" s="723"/>
      <c r="AA141" s="726"/>
      <c r="AB141" s="726"/>
      <c r="AC141" s="170"/>
      <c r="AD141" s="586">
        <f t="shared" si="67"/>
        <v>0</v>
      </c>
      <c r="AE141" s="586">
        <f t="shared" si="67"/>
        <v>0</v>
      </c>
      <c r="AF141" s="586">
        <f t="shared" si="67"/>
        <v>0</v>
      </c>
      <c r="AG141" s="586">
        <f t="shared" si="67"/>
        <v>0</v>
      </c>
      <c r="AH141" s="586">
        <f t="shared" si="67"/>
        <v>0</v>
      </c>
      <c r="AI141" s="586">
        <f t="shared" si="67"/>
        <v>0</v>
      </c>
      <c r="AJ141" s="586">
        <f t="shared" si="67"/>
        <v>0</v>
      </c>
      <c r="AK141" s="586">
        <f t="shared" si="67"/>
        <v>0</v>
      </c>
      <c r="AL141" s="586">
        <f t="shared" si="67"/>
        <v>0</v>
      </c>
      <c r="AM141" s="586">
        <f t="shared" si="67"/>
        <v>0</v>
      </c>
      <c r="AN141" s="586">
        <f t="shared" si="67"/>
        <v>0</v>
      </c>
      <c r="AO141" s="586">
        <f t="shared" si="67"/>
        <v>0</v>
      </c>
      <c r="AP141" s="586">
        <f t="shared" si="67"/>
        <v>0</v>
      </c>
      <c r="AQ141" s="586">
        <f t="shared" si="67"/>
        <v>0</v>
      </c>
      <c r="AR141" s="586">
        <f t="shared" si="67"/>
        <v>0</v>
      </c>
      <c r="AS141" s="586">
        <f t="shared" si="67"/>
        <v>0</v>
      </c>
      <c r="AT141" s="170"/>
      <c r="AU141" s="170"/>
      <c r="AV141" s="170"/>
      <c r="AW141" s="828"/>
      <c r="AX141" s="726"/>
    </row>
    <row r="142" spans="1:50" ht="15" x14ac:dyDescent="0.25">
      <c r="A142" s="170"/>
      <c r="B142" s="719"/>
      <c r="C142" s="170"/>
      <c r="D142" s="170"/>
      <c r="E142" s="170"/>
      <c r="F142" s="170">
        <f>+Parameters!D73</f>
        <v>70</v>
      </c>
      <c r="G142" s="170" t="str">
        <f>+Parameters!E73</f>
        <v>Control house Buidling</v>
      </c>
      <c r="H142" s="170"/>
      <c r="I142" s="170">
        <f>+Parameters!F73</f>
        <v>0</v>
      </c>
      <c r="J142" s="170"/>
      <c r="K142" s="170"/>
      <c r="L142" s="170"/>
      <c r="M142" s="730"/>
      <c r="N142" s="730"/>
      <c r="O142" s="730"/>
      <c r="P142" s="731"/>
      <c r="Q142" s="731"/>
      <c r="R142" s="730"/>
      <c r="S142" s="730"/>
      <c r="T142" s="723"/>
      <c r="U142" s="724"/>
      <c r="V142" s="725"/>
      <c r="W142" s="725"/>
      <c r="X142" s="723"/>
      <c r="Y142" s="723"/>
      <c r="Z142" s="723"/>
      <c r="AA142" s="726"/>
      <c r="AB142" s="726"/>
      <c r="AC142" s="170"/>
      <c r="AD142" s="586">
        <f t="shared" si="67"/>
        <v>0</v>
      </c>
      <c r="AE142" s="586">
        <f t="shared" si="67"/>
        <v>0</v>
      </c>
      <c r="AF142" s="586">
        <f t="shared" si="67"/>
        <v>0</v>
      </c>
      <c r="AG142" s="586">
        <f t="shared" si="67"/>
        <v>0</v>
      </c>
      <c r="AH142" s="586">
        <f t="shared" si="67"/>
        <v>0</v>
      </c>
      <c r="AI142" s="586">
        <f t="shared" si="67"/>
        <v>0</v>
      </c>
      <c r="AJ142" s="586">
        <f t="shared" si="67"/>
        <v>0</v>
      </c>
      <c r="AK142" s="586">
        <f t="shared" si="67"/>
        <v>0</v>
      </c>
      <c r="AL142" s="586">
        <f t="shared" si="67"/>
        <v>0</v>
      </c>
      <c r="AM142" s="586">
        <f t="shared" si="67"/>
        <v>0</v>
      </c>
      <c r="AN142" s="586">
        <f t="shared" si="67"/>
        <v>0</v>
      </c>
      <c r="AO142" s="586">
        <f t="shared" si="67"/>
        <v>0</v>
      </c>
      <c r="AP142" s="586">
        <f t="shared" si="67"/>
        <v>0</v>
      </c>
      <c r="AQ142" s="586">
        <f t="shared" si="67"/>
        <v>0</v>
      </c>
      <c r="AR142" s="586">
        <f t="shared" si="67"/>
        <v>0</v>
      </c>
      <c r="AS142" s="586">
        <f t="shared" si="67"/>
        <v>0</v>
      </c>
      <c r="AT142" s="170"/>
      <c r="AU142" s="170"/>
      <c r="AV142" s="170"/>
      <c r="AW142" s="828"/>
      <c r="AX142" s="726"/>
    </row>
    <row r="143" spans="1:50" ht="15" x14ac:dyDescent="0.25">
      <c r="A143" s="170"/>
      <c r="B143" s="719"/>
      <c r="C143" s="170"/>
      <c r="D143" s="170"/>
      <c r="E143" s="170"/>
      <c r="F143" s="170">
        <f>+Parameters!D74</f>
        <v>71</v>
      </c>
      <c r="G143" s="170" t="str">
        <f>+Parameters!E74</f>
        <v>Pre-Eng Building</v>
      </c>
      <c r="H143" s="170"/>
      <c r="I143" s="170">
        <f>+Parameters!F74</f>
        <v>0</v>
      </c>
      <c r="J143" s="170"/>
      <c r="K143" s="170"/>
      <c r="L143" s="170"/>
      <c r="M143" s="730"/>
      <c r="N143" s="730"/>
      <c r="O143" s="730"/>
      <c r="P143" s="731"/>
      <c r="Q143" s="731"/>
      <c r="R143" s="730"/>
      <c r="S143" s="730"/>
      <c r="T143" s="723"/>
      <c r="U143" s="724"/>
      <c r="V143" s="725"/>
      <c r="W143" s="725"/>
      <c r="X143" s="723"/>
      <c r="Y143" s="723"/>
      <c r="Z143" s="723"/>
      <c r="AA143" s="726"/>
      <c r="AB143" s="726"/>
      <c r="AC143" s="170"/>
      <c r="AD143" s="586">
        <f t="shared" ref="AD143:AS152" si="68">SUMIF($F$9:$F$70,$F143,AD$9:AD$70)</f>
        <v>0</v>
      </c>
      <c r="AE143" s="586">
        <f t="shared" si="68"/>
        <v>0</v>
      </c>
      <c r="AF143" s="586">
        <f t="shared" si="68"/>
        <v>0</v>
      </c>
      <c r="AG143" s="586">
        <f t="shared" si="68"/>
        <v>0</v>
      </c>
      <c r="AH143" s="586">
        <f t="shared" si="68"/>
        <v>0</v>
      </c>
      <c r="AI143" s="586">
        <f t="shared" si="68"/>
        <v>0</v>
      </c>
      <c r="AJ143" s="586">
        <f t="shared" si="68"/>
        <v>0</v>
      </c>
      <c r="AK143" s="586">
        <f t="shared" si="68"/>
        <v>0</v>
      </c>
      <c r="AL143" s="586">
        <f t="shared" si="68"/>
        <v>0</v>
      </c>
      <c r="AM143" s="586">
        <f t="shared" si="68"/>
        <v>0</v>
      </c>
      <c r="AN143" s="586">
        <f t="shared" si="68"/>
        <v>0</v>
      </c>
      <c r="AO143" s="586">
        <f t="shared" si="68"/>
        <v>0</v>
      </c>
      <c r="AP143" s="586">
        <f t="shared" si="68"/>
        <v>0</v>
      </c>
      <c r="AQ143" s="586">
        <f t="shared" si="68"/>
        <v>0</v>
      </c>
      <c r="AR143" s="586">
        <f t="shared" si="68"/>
        <v>0</v>
      </c>
      <c r="AS143" s="586">
        <f t="shared" si="68"/>
        <v>0</v>
      </c>
      <c r="AT143" s="170"/>
      <c r="AU143" s="170"/>
      <c r="AV143" s="170"/>
      <c r="AW143" s="828"/>
      <c r="AX143" s="726"/>
    </row>
    <row r="144" spans="1:50" ht="15" x14ac:dyDescent="0.25">
      <c r="A144" s="170"/>
      <c r="B144" s="719"/>
      <c r="C144" s="170"/>
      <c r="D144" s="170"/>
      <c r="E144" s="170"/>
      <c r="F144" s="170">
        <f>+Parameters!D75</f>
        <v>72</v>
      </c>
      <c r="G144" s="170">
        <f>+Parameters!E75</f>
        <v>0</v>
      </c>
      <c r="H144" s="170"/>
      <c r="I144" s="170">
        <f>+Parameters!F75</f>
        <v>0</v>
      </c>
      <c r="J144" s="170"/>
      <c r="K144" s="170"/>
      <c r="L144" s="170"/>
      <c r="M144" s="730"/>
      <c r="N144" s="730"/>
      <c r="O144" s="730"/>
      <c r="P144" s="731"/>
      <c r="Q144" s="731"/>
      <c r="R144" s="730"/>
      <c r="S144" s="730"/>
      <c r="T144" s="723"/>
      <c r="U144" s="724"/>
      <c r="V144" s="725"/>
      <c r="W144" s="725"/>
      <c r="X144" s="723"/>
      <c r="Y144" s="723"/>
      <c r="Z144" s="723"/>
      <c r="AA144" s="726"/>
      <c r="AB144" s="726"/>
      <c r="AC144" s="170"/>
      <c r="AD144" s="586">
        <f t="shared" si="68"/>
        <v>0</v>
      </c>
      <c r="AE144" s="586">
        <f t="shared" si="68"/>
        <v>0</v>
      </c>
      <c r="AF144" s="586">
        <f t="shared" si="68"/>
        <v>0</v>
      </c>
      <c r="AG144" s="586">
        <f t="shared" si="68"/>
        <v>0</v>
      </c>
      <c r="AH144" s="586">
        <f t="shared" si="68"/>
        <v>0</v>
      </c>
      <c r="AI144" s="586">
        <f t="shared" si="68"/>
        <v>0</v>
      </c>
      <c r="AJ144" s="586">
        <f t="shared" si="68"/>
        <v>0</v>
      </c>
      <c r="AK144" s="586">
        <f t="shared" si="68"/>
        <v>0</v>
      </c>
      <c r="AL144" s="586">
        <f t="shared" si="68"/>
        <v>0</v>
      </c>
      <c r="AM144" s="586">
        <f t="shared" si="68"/>
        <v>0</v>
      </c>
      <c r="AN144" s="586">
        <f t="shared" si="68"/>
        <v>0</v>
      </c>
      <c r="AO144" s="586">
        <f t="shared" si="68"/>
        <v>0</v>
      </c>
      <c r="AP144" s="586">
        <f t="shared" si="68"/>
        <v>0</v>
      </c>
      <c r="AQ144" s="586">
        <f t="shared" si="68"/>
        <v>0</v>
      </c>
      <c r="AR144" s="586">
        <f t="shared" si="68"/>
        <v>0</v>
      </c>
      <c r="AS144" s="586">
        <f t="shared" si="68"/>
        <v>0</v>
      </c>
      <c r="AT144" s="170"/>
      <c r="AU144" s="170"/>
      <c r="AV144" s="170"/>
      <c r="AW144" s="828"/>
      <c r="AX144" s="726"/>
    </row>
    <row r="145" spans="1:50" ht="15" x14ac:dyDescent="0.25">
      <c r="A145" s="170"/>
      <c r="B145" s="719"/>
      <c r="C145" s="170"/>
      <c r="D145" s="170"/>
      <c r="E145" s="170"/>
      <c r="F145" s="170">
        <f>+Parameters!D76</f>
        <v>73</v>
      </c>
      <c r="G145" s="170">
        <f>+Parameters!E76</f>
        <v>0</v>
      </c>
      <c r="H145" s="170"/>
      <c r="I145" s="170">
        <f>+Parameters!F76</f>
        <v>0</v>
      </c>
      <c r="J145" s="170"/>
      <c r="K145" s="170"/>
      <c r="L145" s="170"/>
      <c r="M145" s="730"/>
      <c r="N145" s="730"/>
      <c r="O145" s="730"/>
      <c r="P145" s="731"/>
      <c r="Q145" s="731"/>
      <c r="R145" s="730"/>
      <c r="S145" s="730"/>
      <c r="T145" s="723"/>
      <c r="U145" s="724"/>
      <c r="V145" s="725"/>
      <c r="W145" s="725"/>
      <c r="X145" s="723"/>
      <c r="Y145" s="723"/>
      <c r="Z145" s="723"/>
      <c r="AA145" s="726"/>
      <c r="AB145" s="726"/>
      <c r="AC145" s="170"/>
      <c r="AD145" s="586">
        <f t="shared" si="68"/>
        <v>0</v>
      </c>
      <c r="AE145" s="586">
        <f t="shared" si="68"/>
        <v>0</v>
      </c>
      <c r="AF145" s="586">
        <f t="shared" si="68"/>
        <v>0</v>
      </c>
      <c r="AG145" s="586">
        <f t="shared" si="68"/>
        <v>0</v>
      </c>
      <c r="AH145" s="586">
        <f t="shared" si="68"/>
        <v>0</v>
      </c>
      <c r="AI145" s="586">
        <f t="shared" si="68"/>
        <v>0</v>
      </c>
      <c r="AJ145" s="586">
        <f t="shared" si="68"/>
        <v>0</v>
      </c>
      <c r="AK145" s="586">
        <f t="shared" si="68"/>
        <v>0</v>
      </c>
      <c r="AL145" s="586">
        <f t="shared" si="68"/>
        <v>0</v>
      </c>
      <c r="AM145" s="586">
        <f t="shared" si="68"/>
        <v>0</v>
      </c>
      <c r="AN145" s="586">
        <f t="shared" si="68"/>
        <v>0</v>
      </c>
      <c r="AO145" s="586">
        <f t="shared" si="68"/>
        <v>0</v>
      </c>
      <c r="AP145" s="586">
        <f t="shared" si="68"/>
        <v>0</v>
      </c>
      <c r="AQ145" s="586">
        <f t="shared" si="68"/>
        <v>0</v>
      </c>
      <c r="AR145" s="586">
        <f t="shared" si="68"/>
        <v>0</v>
      </c>
      <c r="AS145" s="586">
        <f t="shared" si="68"/>
        <v>0</v>
      </c>
      <c r="AT145" s="170"/>
      <c r="AU145" s="170"/>
      <c r="AV145" s="170"/>
      <c r="AW145" s="828"/>
      <c r="AX145" s="726"/>
    </row>
    <row r="146" spans="1:50" ht="15" x14ac:dyDescent="0.25">
      <c r="A146" s="170"/>
      <c r="B146" s="719"/>
      <c r="C146" s="170"/>
      <c r="D146" s="170"/>
      <c r="E146" s="170"/>
      <c r="F146" s="170">
        <f>+Parameters!D77</f>
        <v>74</v>
      </c>
      <c r="G146" s="170">
        <f>+Parameters!E77</f>
        <v>0</v>
      </c>
      <c r="H146" s="170"/>
      <c r="I146" s="170">
        <f>+Parameters!F77</f>
        <v>0</v>
      </c>
      <c r="J146" s="170"/>
      <c r="K146" s="170"/>
      <c r="L146" s="170"/>
      <c r="M146" s="730"/>
      <c r="N146" s="730"/>
      <c r="O146" s="730"/>
      <c r="P146" s="731"/>
      <c r="Q146" s="731"/>
      <c r="R146" s="730"/>
      <c r="S146" s="730"/>
      <c r="T146" s="723"/>
      <c r="U146" s="724"/>
      <c r="V146" s="725"/>
      <c r="W146" s="725"/>
      <c r="X146" s="723"/>
      <c r="Y146" s="723"/>
      <c r="Z146" s="723"/>
      <c r="AA146" s="726"/>
      <c r="AB146" s="726"/>
      <c r="AC146" s="170"/>
      <c r="AD146" s="586">
        <f t="shared" si="68"/>
        <v>0</v>
      </c>
      <c r="AE146" s="586">
        <f t="shared" si="68"/>
        <v>0</v>
      </c>
      <c r="AF146" s="586">
        <f t="shared" si="68"/>
        <v>0</v>
      </c>
      <c r="AG146" s="586">
        <f t="shared" si="68"/>
        <v>0</v>
      </c>
      <c r="AH146" s="586">
        <f t="shared" si="68"/>
        <v>0</v>
      </c>
      <c r="AI146" s="586">
        <f t="shared" si="68"/>
        <v>0</v>
      </c>
      <c r="AJ146" s="586">
        <f t="shared" si="68"/>
        <v>0</v>
      </c>
      <c r="AK146" s="586">
        <f t="shared" si="68"/>
        <v>0</v>
      </c>
      <c r="AL146" s="586">
        <f t="shared" si="68"/>
        <v>0</v>
      </c>
      <c r="AM146" s="586">
        <f t="shared" si="68"/>
        <v>0</v>
      </c>
      <c r="AN146" s="586">
        <f t="shared" si="68"/>
        <v>0</v>
      </c>
      <c r="AO146" s="586">
        <f t="shared" si="68"/>
        <v>0</v>
      </c>
      <c r="AP146" s="586">
        <f t="shared" si="68"/>
        <v>0</v>
      </c>
      <c r="AQ146" s="586">
        <f t="shared" si="68"/>
        <v>0</v>
      </c>
      <c r="AR146" s="586">
        <f t="shared" si="68"/>
        <v>0</v>
      </c>
      <c r="AS146" s="586">
        <f t="shared" si="68"/>
        <v>0</v>
      </c>
      <c r="AT146" s="170"/>
      <c r="AU146" s="170"/>
      <c r="AV146" s="170"/>
      <c r="AW146" s="828"/>
      <c r="AX146" s="726"/>
    </row>
    <row r="147" spans="1:50" ht="15" x14ac:dyDescent="0.25">
      <c r="A147" s="170"/>
      <c r="B147" s="719"/>
      <c r="C147" s="170"/>
      <c r="D147" s="170"/>
      <c r="E147" s="170"/>
      <c r="F147" s="170">
        <f>+Parameters!D78</f>
        <v>75</v>
      </c>
      <c r="G147" s="170">
        <f>+Parameters!E78</f>
        <v>0</v>
      </c>
      <c r="H147" s="170"/>
      <c r="I147" s="170">
        <f>+Parameters!F78</f>
        <v>0</v>
      </c>
      <c r="J147" s="170"/>
      <c r="K147" s="170"/>
      <c r="L147" s="170"/>
      <c r="M147" s="730"/>
      <c r="N147" s="730"/>
      <c r="O147" s="730"/>
      <c r="P147" s="731"/>
      <c r="Q147" s="731"/>
      <c r="R147" s="730"/>
      <c r="S147" s="730"/>
      <c r="T147" s="723"/>
      <c r="U147" s="724"/>
      <c r="V147" s="725"/>
      <c r="W147" s="725"/>
      <c r="X147" s="723"/>
      <c r="Y147" s="723"/>
      <c r="Z147" s="723"/>
      <c r="AA147" s="726"/>
      <c r="AB147" s="726"/>
      <c r="AC147" s="170"/>
      <c r="AD147" s="586">
        <f t="shared" si="68"/>
        <v>0</v>
      </c>
      <c r="AE147" s="586">
        <f t="shared" si="68"/>
        <v>0</v>
      </c>
      <c r="AF147" s="586">
        <f t="shared" si="68"/>
        <v>0</v>
      </c>
      <c r="AG147" s="586">
        <f t="shared" si="68"/>
        <v>0</v>
      </c>
      <c r="AH147" s="586">
        <f t="shared" si="68"/>
        <v>0</v>
      </c>
      <c r="AI147" s="586">
        <f t="shared" si="68"/>
        <v>0</v>
      </c>
      <c r="AJ147" s="586">
        <f t="shared" si="68"/>
        <v>0</v>
      </c>
      <c r="AK147" s="586">
        <f t="shared" si="68"/>
        <v>0</v>
      </c>
      <c r="AL147" s="586">
        <f t="shared" si="68"/>
        <v>0</v>
      </c>
      <c r="AM147" s="586">
        <f t="shared" si="68"/>
        <v>0</v>
      </c>
      <c r="AN147" s="586">
        <f t="shared" si="68"/>
        <v>0</v>
      </c>
      <c r="AO147" s="586">
        <f t="shared" si="68"/>
        <v>0</v>
      </c>
      <c r="AP147" s="586">
        <f t="shared" si="68"/>
        <v>0</v>
      </c>
      <c r="AQ147" s="586">
        <f t="shared" si="68"/>
        <v>0</v>
      </c>
      <c r="AR147" s="586">
        <f t="shared" si="68"/>
        <v>0</v>
      </c>
      <c r="AS147" s="586">
        <f t="shared" si="68"/>
        <v>0</v>
      </c>
      <c r="AT147" s="170"/>
      <c r="AU147" s="170"/>
      <c r="AV147" s="170"/>
      <c r="AW147" s="828"/>
      <c r="AX147" s="726"/>
    </row>
    <row r="148" spans="1:50" ht="15" x14ac:dyDescent="0.25">
      <c r="A148" s="170"/>
      <c r="B148" s="719"/>
      <c r="C148" s="170"/>
      <c r="D148" s="170"/>
      <c r="E148" s="170"/>
      <c r="F148" s="170">
        <f>+Parameters!D79</f>
        <v>76</v>
      </c>
      <c r="G148" s="170">
        <f>+Parameters!E79</f>
        <v>0</v>
      </c>
      <c r="H148" s="170"/>
      <c r="I148" s="170">
        <f>+Parameters!F79</f>
        <v>0</v>
      </c>
      <c r="J148" s="170"/>
      <c r="K148" s="170"/>
      <c r="L148" s="170"/>
      <c r="M148" s="730"/>
      <c r="N148" s="730"/>
      <c r="O148" s="730"/>
      <c r="P148" s="731"/>
      <c r="Q148" s="731"/>
      <c r="R148" s="730"/>
      <c r="S148" s="730"/>
      <c r="T148" s="723"/>
      <c r="U148" s="724"/>
      <c r="V148" s="725"/>
      <c r="W148" s="725"/>
      <c r="X148" s="723"/>
      <c r="Y148" s="723"/>
      <c r="Z148" s="723"/>
      <c r="AA148" s="726"/>
      <c r="AB148" s="726"/>
      <c r="AC148" s="170"/>
      <c r="AD148" s="586">
        <f t="shared" si="68"/>
        <v>0</v>
      </c>
      <c r="AE148" s="586">
        <f t="shared" si="68"/>
        <v>0</v>
      </c>
      <c r="AF148" s="586">
        <f t="shared" si="68"/>
        <v>0</v>
      </c>
      <c r="AG148" s="586">
        <f t="shared" si="68"/>
        <v>0</v>
      </c>
      <c r="AH148" s="586">
        <f t="shared" si="68"/>
        <v>0</v>
      </c>
      <c r="AI148" s="586">
        <f t="shared" si="68"/>
        <v>0</v>
      </c>
      <c r="AJ148" s="586">
        <f t="shared" si="68"/>
        <v>0</v>
      </c>
      <c r="AK148" s="586">
        <f t="shared" si="68"/>
        <v>0</v>
      </c>
      <c r="AL148" s="586">
        <f t="shared" si="68"/>
        <v>0</v>
      </c>
      <c r="AM148" s="586">
        <f t="shared" si="68"/>
        <v>0</v>
      </c>
      <c r="AN148" s="586">
        <f t="shared" si="68"/>
        <v>0</v>
      </c>
      <c r="AO148" s="586">
        <f t="shared" si="68"/>
        <v>0</v>
      </c>
      <c r="AP148" s="586">
        <f t="shared" si="68"/>
        <v>0</v>
      </c>
      <c r="AQ148" s="586">
        <f t="shared" si="68"/>
        <v>0</v>
      </c>
      <c r="AR148" s="586">
        <f t="shared" si="68"/>
        <v>0</v>
      </c>
      <c r="AS148" s="586">
        <f t="shared" si="68"/>
        <v>0</v>
      </c>
      <c r="AT148" s="170"/>
      <c r="AU148" s="170"/>
      <c r="AV148" s="170"/>
      <c r="AW148" s="828"/>
      <c r="AX148" s="726"/>
    </row>
    <row r="149" spans="1:50" ht="15" x14ac:dyDescent="0.25">
      <c r="A149" s="170"/>
      <c r="B149" s="719"/>
      <c r="C149" s="170"/>
      <c r="D149" s="170"/>
      <c r="E149" s="170"/>
      <c r="F149" s="170">
        <f>+Parameters!D80</f>
        <v>77</v>
      </c>
      <c r="G149" s="170">
        <f>+Parameters!E80</f>
        <v>0</v>
      </c>
      <c r="H149" s="170"/>
      <c r="I149" s="170">
        <f>+Parameters!F80</f>
        <v>0</v>
      </c>
      <c r="J149" s="170"/>
      <c r="K149" s="170"/>
      <c r="L149" s="170"/>
      <c r="M149" s="730"/>
      <c r="N149" s="730"/>
      <c r="O149" s="730"/>
      <c r="P149" s="731"/>
      <c r="Q149" s="731"/>
      <c r="R149" s="730"/>
      <c r="S149" s="730"/>
      <c r="T149" s="723"/>
      <c r="U149" s="724"/>
      <c r="V149" s="725"/>
      <c r="W149" s="725"/>
      <c r="X149" s="723"/>
      <c r="Y149" s="723"/>
      <c r="Z149" s="723"/>
      <c r="AA149" s="726"/>
      <c r="AB149" s="726"/>
      <c r="AC149" s="170"/>
      <c r="AD149" s="586">
        <f t="shared" si="68"/>
        <v>0</v>
      </c>
      <c r="AE149" s="586">
        <f t="shared" si="68"/>
        <v>0</v>
      </c>
      <c r="AF149" s="586">
        <f t="shared" si="68"/>
        <v>0</v>
      </c>
      <c r="AG149" s="586">
        <f t="shared" si="68"/>
        <v>0</v>
      </c>
      <c r="AH149" s="586">
        <f t="shared" si="68"/>
        <v>0</v>
      </c>
      <c r="AI149" s="586">
        <f t="shared" si="68"/>
        <v>0</v>
      </c>
      <c r="AJ149" s="586">
        <f t="shared" si="68"/>
        <v>0</v>
      </c>
      <c r="AK149" s="586">
        <f t="shared" si="68"/>
        <v>0</v>
      </c>
      <c r="AL149" s="586">
        <f t="shared" si="68"/>
        <v>0</v>
      </c>
      <c r="AM149" s="586">
        <f t="shared" si="68"/>
        <v>0</v>
      </c>
      <c r="AN149" s="586">
        <f t="shared" si="68"/>
        <v>0</v>
      </c>
      <c r="AO149" s="586">
        <f t="shared" si="68"/>
        <v>0</v>
      </c>
      <c r="AP149" s="586">
        <f t="shared" si="68"/>
        <v>0</v>
      </c>
      <c r="AQ149" s="586">
        <f t="shared" si="68"/>
        <v>0</v>
      </c>
      <c r="AR149" s="586">
        <f t="shared" si="68"/>
        <v>0</v>
      </c>
      <c r="AS149" s="586">
        <f t="shared" si="68"/>
        <v>0</v>
      </c>
      <c r="AT149" s="170"/>
      <c r="AU149" s="170"/>
      <c r="AV149" s="170"/>
      <c r="AW149" s="828"/>
      <c r="AX149" s="726"/>
    </row>
    <row r="150" spans="1:50" ht="15" x14ac:dyDescent="0.25">
      <c r="A150" s="170"/>
      <c r="B150" s="719"/>
      <c r="C150" s="170"/>
      <c r="D150" s="170"/>
      <c r="E150" s="170"/>
      <c r="F150" s="170">
        <f>+Parameters!D81</f>
        <v>78</v>
      </c>
      <c r="G150" s="170">
        <f>+Parameters!E81</f>
        <v>0</v>
      </c>
      <c r="H150" s="170"/>
      <c r="I150" s="170">
        <f>+Parameters!F81</f>
        <v>0</v>
      </c>
      <c r="J150" s="170"/>
      <c r="K150" s="170"/>
      <c r="L150" s="170"/>
      <c r="M150" s="730"/>
      <c r="N150" s="730"/>
      <c r="O150" s="730"/>
      <c r="P150" s="731"/>
      <c r="Q150" s="731"/>
      <c r="R150" s="730"/>
      <c r="S150" s="730"/>
      <c r="T150" s="723"/>
      <c r="U150" s="724"/>
      <c r="V150" s="725"/>
      <c r="W150" s="725"/>
      <c r="X150" s="723"/>
      <c r="Y150" s="723"/>
      <c r="Z150" s="723"/>
      <c r="AA150" s="726"/>
      <c r="AB150" s="726"/>
      <c r="AC150" s="170"/>
      <c r="AD150" s="586">
        <f t="shared" si="68"/>
        <v>0</v>
      </c>
      <c r="AE150" s="586">
        <f t="shared" si="68"/>
        <v>0</v>
      </c>
      <c r="AF150" s="586">
        <f t="shared" si="68"/>
        <v>0</v>
      </c>
      <c r="AG150" s="586">
        <f t="shared" si="68"/>
        <v>0</v>
      </c>
      <c r="AH150" s="586">
        <f t="shared" si="68"/>
        <v>0</v>
      </c>
      <c r="AI150" s="586">
        <f t="shared" si="68"/>
        <v>0</v>
      </c>
      <c r="AJ150" s="586">
        <f t="shared" si="68"/>
        <v>0</v>
      </c>
      <c r="AK150" s="586">
        <f t="shared" si="68"/>
        <v>0</v>
      </c>
      <c r="AL150" s="586">
        <f t="shared" si="68"/>
        <v>0</v>
      </c>
      <c r="AM150" s="586">
        <f t="shared" si="68"/>
        <v>0</v>
      </c>
      <c r="AN150" s="586">
        <f t="shared" si="68"/>
        <v>0</v>
      </c>
      <c r="AO150" s="586">
        <f t="shared" si="68"/>
        <v>0</v>
      </c>
      <c r="AP150" s="586">
        <f t="shared" si="68"/>
        <v>0</v>
      </c>
      <c r="AQ150" s="586">
        <f t="shared" si="68"/>
        <v>0</v>
      </c>
      <c r="AR150" s="586">
        <f t="shared" si="68"/>
        <v>0</v>
      </c>
      <c r="AS150" s="586">
        <f t="shared" si="68"/>
        <v>0</v>
      </c>
      <c r="AT150" s="170"/>
      <c r="AU150" s="170"/>
      <c r="AV150" s="170"/>
      <c r="AW150" s="828"/>
      <c r="AX150" s="726"/>
    </row>
    <row r="151" spans="1:50" ht="15" x14ac:dyDescent="0.25">
      <c r="A151" s="170"/>
      <c r="B151" s="719"/>
      <c r="C151" s="170"/>
      <c r="D151" s="170"/>
      <c r="E151" s="170"/>
      <c r="F151" s="170">
        <f>+Parameters!D82</f>
        <v>79</v>
      </c>
      <c r="G151" s="170">
        <f>+Parameters!E82</f>
        <v>0</v>
      </c>
      <c r="H151" s="170"/>
      <c r="I151" s="170">
        <f>+Parameters!F82</f>
        <v>0</v>
      </c>
      <c r="J151" s="170"/>
      <c r="K151" s="170"/>
      <c r="L151" s="170"/>
      <c r="M151" s="730"/>
      <c r="N151" s="730"/>
      <c r="O151" s="730"/>
      <c r="P151" s="731"/>
      <c r="Q151" s="731"/>
      <c r="R151" s="730"/>
      <c r="S151" s="730"/>
      <c r="T151" s="723"/>
      <c r="U151" s="724"/>
      <c r="V151" s="725"/>
      <c r="W151" s="725"/>
      <c r="X151" s="723"/>
      <c r="Y151" s="723"/>
      <c r="Z151" s="723"/>
      <c r="AA151" s="726"/>
      <c r="AB151" s="726"/>
      <c r="AC151" s="170"/>
      <c r="AD151" s="586">
        <f t="shared" si="68"/>
        <v>0</v>
      </c>
      <c r="AE151" s="586">
        <f t="shared" si="68"/>
        <v>0</v>
      </c>
      <c r="AF151" s="586">
        <f t="shared" si="68"/>
        <v>0</v>
      </c>
      <c r="AG151" s="586">
        <f t="shared" si="68"/>
        <v>0</v>
      </c>
      <c r="AH151" s="586">
        <f t="shared" si="68"/>
        <v>0</v>
      </c>
      <c r="AI151" s="586">
        <f t="shared" si="68"/>
        <v>0</v>
      </c>
      <c r="AJ151" s="586">
        <f t="shared" si="68"/>
        <v>0</v>
      </c>
      <c r="AK151" s="586">
        <f t="shared" si="68"/>
        <v>0</v>
      </c>
      <c r="AL151" s="586">
        <f t="shared" si="68"/>
        <v>0</v>
      </c>
      <c r="AM151" s="586">
        <f t="shared" si="68"/>
        <v>0</v>
      </c>
      <c r="AN151" s="586">
        <f t="shared" si="68"/>
        <v>0</v>
      </c>
      <c r="AO151" s="586">
        <f t="shared" si="68"/>
        <v>0</v>
      </c>
      <c r="AP151" s="586">
        <f t="shared" si="68"/>
        <v>0</v>
      </c>
      <c r="AQ151" s="586">
        <f t="shared" si="68"/>
        <v>0</v>
      </c>
      <c r="AR151" s="586">
        <f t="shared" si="68"/>
        <v>0</v>
      </c>
      <c r="AS151" s="586">
        <f t="shared" si="68"/>
        <v>0</v>
      </c>
      <c r="AT151" s="170"/>
      <c r="AU151" s="170"/>
      <c r="AV151" s="170"/>
      <c r="AW151" s="828"/>
      <c r="AX151" s="726"/>
    </row>
    <row r="152" spans="1:50" ht="15" x14ac:dyDescent="0.25">
      <c r="A152" s="170"/>
      <c r="B152" s="719"/>
      <c r="C152" s="170"/>
      <c r="D152" s="170"/>
      <c r="E152" s="170"/>
      <c r="F152" s="170">
        <f>+Parameters!D83</f>
        <v>80</v>
      </c>
      <c r="G152" s="170" t="str">
        <f>+Parameters!E83</f>
        <v>Protection and Controls</v>
      </c>
      <c r="H152" s="170"/>
      <c r="I152" s="170">
        <f>+Parameters!F83</f>
        <v>0</v>
      </c>
      <c r="J152" s="170"/>
      <c r="K152" s="170"/>
      <c r="L152" s="170"/>
      <c r="M152" s="730"/>
      <c r="N152" s="730"/>
      <c r="O152" s="730"/>
      <c r="P152" s="731"/>
      <c r="Q152" s="731"/>
      <c r="R152" s="730"/>
      <c r="S152" s="730"/>
      <c r="T152" s="723"/>
      <c r="U152" s="724"/>
      <c r="V152" s="725"/>
      <c r="W152" s="725"/>
      <c r="X152" s="723"/>
      <c r="Y152" s="723"/>
      <c r="Z152" s="723"/>
      <c r="AA152" s="726"/>
      <c r="AB152" s="726"/>
      <c r="AC152" s="170"/>
      <c r="AD152" s="586">
        <f t="shared" si="68"/>
        <v>0</v>
      </c>
      <c r="AE152" s="586">
        <f t="shared" si="68"/>
        <v>0</v>
      </c>
      <c r="AF152" s="586">
        <f t="shared" si="68"/>
        <v>0</v>
      </c>
      <c r="AG152" s="586">
        <f t="shared" si="68"/>
        <v>0</v>
      </c>
      <c r="AH152" s="586">
        <f t="shared" si="68"/>
        <v>0</v>
      </c>
      <c r="AI152" s="586">
        <f t="shared" si="68"/>
        <v>0</v>
      </c>
      <c r="AJ152" s="586">
        <f t="shared" si="68"/>
        <v>0</v>
      </c>
      <c r="AK152" s="586">
        <f t="shared" si="68"/>
        <v>0</v>
      </c>
      <c r="AL152" s="586">
        <f t="shared" si="68"/>
        <v>0</v>
      </c>
      <c r="AM152" s="586">
        <f t="shared" si="68"/>
        <v>0</v>
      </c>
      <c r="AN152" s="586">
        <f t="shared" si="68"/>
        <v>0</v>
      </c>
      <c r="AO152" s="586">
        <f t="shared" si="68"/>
        <v>0</v>
      </c>
      <c r="AP152" s="586">
        <f t="shared" si="68"/>
        <v>0</v>
      </c>
      <c r="AQ152" s="586">
        <f t="shared" si="68"/>
        <v>0</v>
      </c>
      <c r="AR152" s="586">
        <f t="shared" si="68"/>
        <v>0</v>
      </c>
      <c r="AS152" s="586">
        <f t="shared" si="68"/>
        <v>0</v>
      </c>
      <c r="AT152" s="170"/>
      <c r="AU152" s="170"/>
      <c r="AV152" s="170"/>
      <c r="AW152" s="828"/>
      <c r="AX152" s="726"/>
    </row>
    <row r="153" spans="1:50" ht="15" x14ac:dyDescent="0.25">
      <c r="A153" s="170"/>
      <c r="B153" s="719"/>
      <c r="C153" s="170"/>
      <c r="D153" s="170"/>
      <c r="E153" s="170"/>
      <c r="F153" s="170">
        <f>+Parameters!D84</f>
        <v>81</v>
      </c>
      <c r="G153" s="170" t="str">
        <f>+Parameters!E84</f>
        <v>Relays</v>
      </c>
      <c r="H153" s="170"/>
      <c r="I153" s="170" t="str">
        <f>+Parameters!F84</f>
        <v>ea</v>
      </c>
      <c r="J153" s="170"/>
      <c r="K153" s="170"/>
      <c r="L153" s="170"/>
      <c r="M153" s="730"/>
      <c r="N153" s="730"/>
      <c r="O153" s="730"/>
      <c r="P153" s="731"/>
      <c r="Q153" s="731"/>
      <c r="R153" s="730"/>
      <c r="S153" s="730"/>
      <c r="T153" s="723"/>
      <c r="U153" s="724"/>
      <c r="V153" s="725"/>
      <c r="W153" s="725"/>
      <c r="X153" s="723"/>
      <c r="Y153" s="723"/>
      <c r="Z153" s="723"/>
      <c r="AA153" s="726"/>
      <c r="AB153" s="726"/>
      <c r="AC153" s="170"/>
      <c r="AD153" s="586">
        <f t="shared" ref="AD153:AS162" si="69">SUMIF($F$9:$F$70,$F153,AD$9:AD$70)</f>
        <v>0</v>
      </c>
      <c r="AE153" s="586">
        <f t="shared" si="69"/>
        <v>0</v>
      </c>
      <c r="AF153" s="586">
        <f t="shared" si="69"/>
        <v>0</v>
      </c>
      <c r="AG153" s="586">
        <f t="shared" si="69"/>
        <v>0</v>
      </c>
      <c r="AH153" s="586">
        <f t="shared" si="69"/>
        <v>0</v>
      </c>
      <c r="AI153" s="586">
        <f t="shared" si="69"/>
        <v>0</v>
      </c>
      <c r="AJ153" s="586">
        <f t="shared" si="69"/>
        <v>0</v>
      </c>
      <c r="AK153" s="586">
        <f t="shared" si="69"/>
        <v>0</v>
      </c>
      <c r="AL153" s="586">
        <f t="shared" si="69"/>
        <v>0</v>
      </c>
      <c r="AM153" s="586">
        <f t="shared" si="69"/>
        <v>0</v>
      </c>
      <c r="AN153" s="586">
        <f t="shared" si="69"/>
        <v>0</v>
      </c>
      <c r="AO153" s="586">
        <f t="shared" si="69"/>
        <v>0</v>
      </c>
      <c r="AP153" s="586">
        <f t="shared" si="69"/>
        <v>0</v>
      </c>
      <c r="AQ153" s="586">
        <f t="shared" si="69"/>
        <v>0</v>
      </c>
      <c r="AR153" s="586">
        <f t="shared" si="69"/>
        <v>0</v>
      </c>
      <c r="AS153" s="586">
        <f t="shared" si="69"/>
        <v>0</v>
      </c>
      <c r="AT153" s="170"/>
      <c r="AU153" s="170"/>
      <c r="AV153" s="170"/>
      <c r="AW153" s="828"/>
      <c r="AX153" s="726"/>
    </row>
    <row r="154" spans="1:50" ht="15" x14ac:dyDescent="0.25">
      <c r="A154" s="170"/>
      <c r="B154" s="719"/>
      <c r="C154" s="170"/>
      <c r="D154" s="170"/>
      <c r="E154" s="170"/>
      <c r="F154" s="170">
        <f>+Parameters!D85</f>
        <v>82</v>
      </c>
      <c r="G154" s="170" t="str">
        <f>+Parameters!E85</f>
        <v>Cabinets</v>
      </c>
      <c r="H154" s="170"/>
      <c r="I154" s="170" t="str">
        <f>+Parameters!F85</f>
        <v>ea</v>
      </c>
      <c r="J154" s="170"/>
      <c r="K154" s="170"/>
      <c r="L154" s="170"/>
      <c r="M154" s="730"/>
      <c r="N154" s="730"/>
      <c r="O154" s="730"/>
      <c r="P154" s="731"/>
      <c r="Q154" s="731"/>
      <c r="R154" s="730"/>
      <c r="S154" s="730"/>
      <c r="T154" s="723"/>
      <c r="U154" s="724"/>
      <c r="V154" s="725"/>
      <c r="W154" s="725"/>
      <c r="X154" s="723"/>
      <c r="Y154" s="723"/>
      <c r="Z154" s="723"/>
      <c r="AA154" s="726"/>
      <c r="AB154" s="726"/>
      <c r="AC154" s="170"/>
      <c r="AD154" s="586">
        <f t="shared" si="69"/>
        <v>0</v>
      </c>
      <c r="AE154" s="586">
        <f t="shared" si="69"/>
        <v>0</v>
      </c>
      <c r="AF154" s="586">
        <f t="shared" si="69"/>
        <v>0</v>
      </c>
      <c r="AG154" s="586">
        <f t="shared" si="69"/>
        <v>0</v>
      </c>
      <c r="AH154" s="586">
        <f t="shared" si="69"/>
        <v>0</v>
      </c>
      <c r="AI154" s="586">
        <f t="shared" si="69"/>
        <v>0</v>
      </c>
      <c r="AJ154" s="586">
        <f t="shared" si="69"/>
        <v>0</v>
      </c>
      <c r="AK154" s="586">
        <f t="shared" si="69"/>
        <v>0</v>
      </c>
      <c r="AL154" s="586">
        <f t="shared" si="69"/>
        <v>0</v>
      </c>
      <c r="AM154" s="586">
        <f t="shared" si="69"/>
        <v>0</v>
      </c>
      <c r="AN154" s="586">
        <f t="shared" si="69"/>
        <v>0</v>
      </c>
      <c r="AO154" s="586">
        <f t="shared" si="69"/>
        <v>0</v>
      </c>
      <c r="AP154" s="586">
        <f t="shared" si="69"/>
        <v>0</v>
      </c>
      <c r="AQ154" s="586">
        <f t="shared" si="69"/>
        <v>0</v>
      </c>
      <c r="AR154" s="586">
        <f t="shared" si="69"/>
        <v>0</v>
      </c>
      <c r="AS154" s="586">
        <f t="shared" si="69"/>
        <v>0</v>
      </c>
      <c r="AT154" s="170"/>
      <c r="AU154" s="170"/>
      <c r="AV154" s="170"/>
      <c r="AW154" s="828"/>
      <c r="AX154" s="726"/>
    </row>
    <row r="155" spans="1:50" ht="15" x14ac:dyDescent="0.25">
      <c r="A155" s="170"/>
      <c r="B155" s="719"/>
      <c r="C155" s="170"/>
      <c r="D155" s="170"/>
      <c r="E155" s="170"/>
      <c r="F155" s="170">
        <f>+Parameters!D86</f>
        <v>83</v>
      </c>
      <c r="G155" s="170" t="str">
        <f>+Parameters!E86</f>
        <v>Comm. Eqt</v>
      </c>
      <c r="H155" s="170"/>
      <c r="I155" s="170" t="str">
        <f>+Parameters!F86</f>
        <v>ea</v>
      </c>
      <c r="J155" s="170"/>
      <c r="K155" s="170"/>
      <c r="L155" s="170"/>
      <c r="M155" s="730"/>
      <c r="N155" s="730"/>
      <c r="O155" s="730"/>
      <c r="P155" s="731"/>
      <c r="Q155" s="731"/>
      <c r="R155" s="730"/>
      <c r="S155" s="730"/>
      <c r="T155" s="723"/>
      <c r="U155" s="724"/>
      <c r="V155" s="725"/>
      <c r="W155" s="725"/>
      <c r="X155" s="723"/>
      <c r="Y155" s="723"/>
      <c r="Z155" s="723"/>
      <c r="AA155" s="726"/>
      <c r="AB155" s="726"/>
      <c r="AC155" s="170"/>
      <c r="AD155" s="586">
        <f t="shared" si="69"/>
        <v>0</v>
      </c>
      <c r="AE155" s="586">
        <f t="shared" si="69"/>
        <v>0</v>
      </c>
      <c r="AF155" s="586">
        <f t="shared" si="69"/>
        <v>0</v>
      </c>
      <c r="AG155" s="586">
        <f t="shared" si="69"/>
        <v>0</v>
      </c>
      <c r="AH155" s="586">
        <f t="shared" si="69"/>
        <v>0</v>
      </c>
      <c r="AI155" s="586">
        <f t="shared" si="69"/>
        <v>0</v>
      </c>
      <c r="AJ155" s="586">
        <f t="shared" si="69"/>
        <v>0</v>
      </c>
      <c r="AK155" s="586">
        <f t="shared" si="69"/>
        <v>0</v>
      </c>
      <c r="AL155" s="586">
        <f t="shared" si="69"/>
        <v>0</v>
      </c>
      <c r="AM155" s="586">
        <f t="shared" si="69"/>
        <v>0</v>
      </c>
      <c r="AN155" s="586">
        <f t="shared" si="69"/>
        <v>0</v>
      </c>
      <c r="AO155" s="586">
        <f t="shared" si="69"/>
        <v>0</v>
      </c>
      <c r="AP155" s="586">
        <f t="shared" si="69"/>
        <v>0</v>
      </c>
      <c r="AQ155" s="586">
        <f t="shared" si="69"/>
        <v>0</v>
      </c>
      <c r="AR155" s="586">
        <f t="shared" si="69"/>
        <v>0</v>
      </c>
      <c r="AS155" s="586">
        <f t="shared" si="69"/>
        <v>0</v>
      </c>
      <c r="AT155" s="170"/>
      <c r="AU155" s="170"/>
      <c r="AV155" s="170"/>
      <c r="AW155" s="828"/>
      <c r="AX155" s="726"/>
    </row>
    <row r="156" spans="1:50" ht="15" x14ac:dyDescent="0.25">
      <c r="A156" s="170"/>
      <c r="B156" s="719"/>
      <c r="C156" s="170"/>
      <c r="D156" s="170"/>
      <c r="E156" s="170"/>
      <c r="F156" s="170">
        <f>+Parameters!D87</f>
        <v>84</v>
      </c>
      <c r="G156" s="170" t="str">
        <f>+Parameters!E87</f>
        <v>SCADA</v>
      </c>
      <c r="H156" s="170"/>
      <c r="I156" s="170" t="str">
        <f>+Parameters!F87</f>
        <v>ea</v>
      </c>
      <c r="J156" s="170"/>
      <c r="K156" s="170"/>
      <c r="L156" s="170"/>
      <c r="M156" s="730"/>
      <c r="N156" s="730"/>
      <c r="O156" s="730"/>
      <c r="P156" s="731"/>
      <c r="Q156" s="731"/>
      <c r="R156" s="730"/>
      <c r="S156" s="730"/>
      <c r="T156" s="723"/>
      <c r="U156" s="724"/>
      <c r="V156" s="725"/>
      <c r="W156" s="725"/>
      <c r="X156" s="723"/>
      <c r="Y156" s="723"/>
      <c r="Z156" s="723"/>
      <c r="AA156" s="726"/>
      <c r="AB156" s="726"/>
      <c r="AC156" s="170"/>
      <c r="AD156" s="586">
        <f t="shared" si="69"/>
        <v>0</v>
      </c>
      <c r="AE156" s="586">
        <f t="shared" si="69"/>
        <v>0</v>
      </c>
      <c r="AF156" s="586">
        <f t="shared" si="69"/>
        <v>0</v>
      </c>
      <c r="AG156" s="586">
        <f t="shared" si="69"/>
        <v>0</v>
      </c>
      <c r="AH156" s="586">
        <f t="shared" si="69"/>
        <v>0</v>
      </c>
      <c r="AI156" s="586">
        <f t="shared" si="69"/>
        <v>0</v>
      </c>
      <c r="AJ156" s="586">
        <f t="shared" si="69"/>
        <v>0</v>
      </c>
      <c r="AK156" s="586">
        <f t="shared" si="69"/>
        <v>0</v>
      </c>
      <c r="AL156" s="586">
        <f t="shared" si="69"/>
        <v>0</v>
      </c>
      <c r="AM156" s="586">
        <f t="shared" si="69"/>
        <v>0</v>
      </c>
      <c r="AN156" s="586">
        <f t="shared" si="69"/>
        <v>0</v>
      </c>
      <c r="AO156" s="586">
        <f t="shared" si="69"/>
        <v>0</v>
      </c>
      <c r="AP156" s="586">
        <f t="shared" si="69"/>
        <v>0</v>
      </c>
      <c r="AQ156" s="586">
        <f t="shared" si="69"/>
        <v>0</v>
      </c>
      <c r="AR156" s="586">
        <f t="shared" si="69"/>
        <v>0</v>
      </c>
      <c r="AS156" s="586">
        <f t="shared" si="69"/>
        <v>0</v>
      </c>
      <c r="AT156" s="170"/>
      <c r="AU156" s="170"/>
      <c r="AV156" s="170"/>
      <c r="AW156" s="828"/>
      <c r="AX156" s="726"/>
    </row>
    <row r="157" spans="1:50" ht="15" x14ac:dyDescent="0.25">
      <c r="A157" s="170"/>
      <c r="B157" s="719"/>
      <c r="C157" s="170"/>
      <c r="D157" s="170"/>
      <c r="E157" s="170"/>
      <c r="F157" s="170">
        <f>+Parameters!D88</f>
        <v>85</v>
      </c>
      <c r="G157" s="170" t="str">
        <f>+Parameters!E88</f>
        <v>Batteries</v>
      </c>
      <c r="H157" s="170"/>
      <c r="I157" s="170" t="str">
        <f>+Parameters!F88</f>
        <v>ea</v>
      </c>
      <c r="J157" s="170"/>
      <c r="K157" s="170"/>
      <c r="L157" s="170"/>
      <c r="M157" s="730"/>
      <c r="N157" s="730"/>
      <c r="O157" s="730"/>
      <c r="P157" s="731"/>
      <c r="Q157" s="731"/>
      <c r="R157" s="730"/>
      <c r="S157" s="730"/>
      <c r="T157" s="723"/>
      <c r="U157" s="724"/>
      <c r="V157" s="725"/>
      <c r="W157" s="725"/>
      <c r="X157" s="723"/>
      <c r="Y157" s="723"/>
      <c r="Z157" s="723"/>
      <c r="AA157" s="726"/>
      <c r="AB157" s="726"/>
      <c r="AC157" s="170"/>
      <c r="AD157" s="586">
        <f t="shared" si="69"/>
        <v>0</v>
      </c>
      <c r="AE157" s="586">
        <f t="shared" si="69"/>
        <v>0</v>
      </c>
      <c r="AF157" s="586">
        <f t="shared" si="69"/>
        <v>0</v>
      </c>
      <c r="AG157" s="586">
        <f t="shared" si="69"/>
        <v>0</v>
      </c>
      <c r="AH157" s="586">
        <f t="shared" si="69"/>
        <v>0</v>
      </c>
      <c r="AI157" s="586">
        <f t="shared" si="69"/>
        <v>0</v>
      </c>
      <c r="AJ157" s="586">
        <f t="shared" si="69"/>
        <v>0</v>
      </c>
      <c r="AK157" s="586">
        <f t="shared" si="69"/>
        <v>0</v>
      </c>
      <c r="AL157" s="586">
        <f t="shared" si="69"/>
        <v>0</v>
      </c>
      <c r="AM157" s="586">
        <f t="shared" si="69"/>
        <v>0</v>
      </c>
      <c r="AN157" s="586">
        <f t="shared" si="69"/>
        <v>0</v>
      </c>
      <c r="AO157" s="586">
        <f t="shared" si="69"/>
        <v>0</v>
      </c>
      <c r="AP157" s="586">
        <f t="shared" si="69"/>
        <v>0</v>
      </c>
      <c r="AQ157" s="586">
        <f t="shared" si="69"/>
        <v>0</v>
      </c>
      <c r="AR157" s="586">
        <f t="shared" si="69"/>
        <v>0</v>
      </c>
      <c r="AS157" s="586">
        <f t="shared" si="69"/>
        <v>0</v>
      </c>
      <c r="AT157" s="170"/>
      <c r="AU157" s="170"/>
      <c r="AV157" s="170"/>
      <c r="AW157" s="828"/>
      <c r="AX157" s="726"/>
    </row>
    <row r="158" spans="1:50" ht="15" x14ac:dyDescent="0.25">
      <c r="A158" s="170"/>
      <c r="B158" s="719"/>
      <c r="C158" s="170"/>
      <c r="D158" s="170"/>
      <c r="E158" s="170"/>
      <c r="F158" s="170">
        <f>+Parameters!D89</f>
        <v>86</v>
      </c>
      <c r="G158" s="170">
        <f>+Parameters!E89</f>
        <v>0</v>
      </c>
      <c r="H158" s="170"/>
      <c r="I158" s="170">
        <f>+Parameters!F89</f>
        <v>0</v>
      </c>
      <c r="J158" s="170"/>
      <c r="K158" s="170"/>
      <c r="L158" s="170"/>
      <c r="M158" s="730"/>
      <c r="N158" s="730"/>
      <c r="O158" s="730"/>
      <c r="P158" s="731"/>
      <c r="Q158" s="731"/>
      <c r="R158" s="730"/>
      <c r="S158" s="730"/>
      <c r="T158" s="723"/>
      <c r="U158" s="724"/>
      <c r="V158" s="725"/>
      <c r="W158" s="725"/>
      <c r="X158" s="723"/>
      <c r="Y158" s="723"/>
      <c r="Z158" s="723"/>
      <c r="AA158" s="726"/>
      <c r="AB158" s="726"/>
      <c r="AC158" s="170"/>
      <c r="AD158" s="586">
        <f t="shared" si="69"/>
        <v>0</v>
      </c>
      <c r="AE158" s="586">
        <f t="shared" si="69"/>
        <v>0</v>
      </c>
      <c r="AF158" s="586">
        <f t="shared" si="69"/>
        <v>0</v>
      </c>
      <c r="AG158" s="586">
        <f t="shared" si="69"/>
        <v>0</v>
      </c>
      <c r="AH158" s="586">
        <f t="shared" si="69"/>
        <v>0</v>
      </c>
      <c r="AI158" s="586">
        <f t="shared" si="69"/>
        <v>0</v>
      </c>
      <c r="AJ158" s="586">
        <f t="shared" si="69"/>
        <v>0</v>
      </c>
      <c r="AK158" s="586">
        <f t="shared" si="69"/>
        <v>0</v>
      </c>
      <c r="AL158" s="586">
        <f t="shared" si="69"/>
        <v>0</v>
      </c>
      <c r="AM158" s="586">
        <f t="shared" si="69"/>
        <v>0</v>
      </c>
      <c r="AN158" s="586">
        <f t="shared" si="69"/>
        <v>0</v>
      </c>
      <c r="AO158" s="586">
        <f t="shared" si="69"/>
        <v>0</v>
      </c>
      <c r="AP158" s="586">
        <f t="shared" si="69"/>
        <v>0</v>
      </c>
      <c r="AQ158" s="586">
        <f t="shared" si="69"/>
        <v>0</v>
      </c>
      <c r="AR158" s="586">
        <f t="shared" si="69"/>
        <v>0</v>
      </c>
      <c r="AS158" s="586">
        <f t="shared" si="69"/>
        <v>0</v>
      </c>
      <c r="AT158" s="170"/>
      <c r="AU158" s="170"/>
      <c r="AV158" s="170"/>
      <c r="AW158" s="828"/>
      <c r="AX158" s="726"/>
    </row>
    <row r="159" spans="1:50" ht="15" x14ac:dyDescent="0.25">
      <c r="A159" s="170"/>
      <c r="B159" s="719"/>
      <c r="C159" s="170"/>
      <c r="D159" s="170"/>
      <c r="E159" s="170"/>
      <c r="F159" s="170">
        <f>+Parameters!D90</f>
        <v>87</v>
      </c>
      <c r="G159" s="170">
        <f>+Parameters!E90</f>
        <v>0</v>
      </c>
      <c r="H159" s="170"/>
      <c r="I159" s="170">
        <f>+Parameters!F90</f>
        <v>0</v>
      </c>
      <c r="J159" s="170"/>
      <c r="K159" s="170"/>
      <c r="L159" s="170"/>
      <c r="M159" s="730"/>
      <c r="N159" s="730"/>
      <c r="O159" s="730"/>
      <c r="P159" s="731"/>
      <c r="Q159" s="731"/>
      <c r="R159" s="730"/>
      <c r="S159" s="730"/>
      <c r="T159" s="723"/>
      <c r="U159" s="724"/>
      <c r="V159" s="725"/>
      <c r="W159" s="725"/>
      <c r="X159" s="723"/>
      <c r="Y159" s="723"/>
      <c r="Z159" s="723"/>
      <c r="AA159" s="726"/>
      <c r="AB159" s="726"/>
      <c r="AC159" s="170"/>
      <c r="AD159" s="586">
        <f t="shared" si="69"/>
        <v>0</v>
      </c>
      <c r="AE159" s="586">
        <f t="shared" si="69"/>
        <v>0</v>
      </c>
      <c r="AF159" s="586">
        <f t="shared" si="69"/>
        <v>0</v>
      </c>
      <c r="AG159" s="586">
        <f t="shared" si="69"/>
        <v>0</v>
      </c>
      <c r="AH159" s="586">
        <f t="shared" si="69"/>
        <v>0</v>
      </c>
      <c r="AI159" s="586">
        <f t="shared" si="69"/>
        <v>0</v>
      </c>
      <c r="AJ159" s="586">
        <f t="shared" si="69"/>
        <v>0</v>
      </c>
      <c r="AK159" s="586">
        <f t="shared" si="69"/>
        <v>0</v>
      </c>
      <c r="AL159" s="586">
        <f t="shared" si="69"/>
        <v>0</v>
      </c>
      <c r="AM159" s="586">
        <f t="shared" si="69"/>
        <v>0</v>
      </c>
      <c r="AN159" s="586">
        <f t="shared" si="69"/>
        <v>0</v>
      </c>
      <c r="AO159" s="586">
        <f t="shared" si="69"/>
        <v>0</v>
      </c>
      <c r="AP159" s="586">
        <f t="shared" si="69"/>
        <v>0</v>
      </c>
      <c r="AQ159" s="586">
        <f t="shared" si="69"/>
        <v>0</v>
      </c>
      <c r="AR159" s="586">
        <f t="shared" si="69"/>
        <v>0</v>
      </c>
      <c r="AS159" s="586">
        <f t="shared" si="69"/>
        <v>0</v>
      </c>
      <c r="AT159" s="170"/>
      <c r="AU159" s="170"/>
      <c r="AV159" s="170"/>
      <c r="AW159" s="828"/>
      <c r="AX159" s="726"/>
    </row>
    <row r="160" spans="1:50" ht="15" x14ac:dyDescent="0.25">
      <c r="A160" s="170"/>
      <c r="B160" s="719"/>
      <c r="C160" s="170"/>
      <c r="D160" s="170"/>
      <c r="E160" s="170"/>
      <c r="F160" s="170">
        <f>+Parameters!D91</f>
        <v>88</v>
      </c>
      <c r="G160" s="170">
        <f>+Parameters!E91</f>
        <v>0</v>
      </c>
      <c r="H160" s="170"/>
      <c r="I160" s="170">
        <f>+Parameters!F91</f>
        <v>0</v>
      </c>
      <c r="J160" s="170"/>
      <c r="K160" s="170"/>
      <c r="L160" s="170"/>
      <c r="M160" s="730"/>
      <c r="N160" s="730"/>
      <c r="O160" s="730"/>
      <c r="P160" s="731"/>
      <c r="Q160" s="731"/>
      <c r="R160" s="730"/>
      <c r="S160" s="730"/>
      <c r="T160" s="723"/>
      <c r="U160" s="724"/>
      <c r="V160" s="725"/>
      <c r="W160" s="725"/>
      <c r="X160" s="723"/>
      <c r="Y160" s="723"/>
      <c r="Z160" s="723"/>
      <c r="AA160" s="726"/>
      <c r="AB160" s="726"/>
      <c r="AC160" s="170"/>
      <c r="AD160" s="586">
        <f t="shared" si="69"/>
        <v>0</v>
      </c>
      <c r="AE160" s="586">
        <f t="shared" si="69"/>
        <v>0</v>
      </c>
      <c r="AF160" s="586">
        <f t="shared" si="69"/>
        <v>0</v>
      </c>
      <c r="AG160" s="586">
        <f t="shared" si="69"/>
        <v>0</v>
      </c>
      <c r="AH160" s="586">
        <f t="shared" si="69"/>
        <v>0</v>
      </c>
      <c r="AI160" s="586">
        <f t="shared" si="69"/>
        <v>0</v>
      </c>
      <c r="AJ160" s="586">
        <f t="shared" si="69"/>
        <v>0</v>
      </c>
      <c r="AK160" s="586">
        <f t="shared" si="69"/>
        <v>0</v>
      </c>
      <c r="AL160" s="586">
        <f t="shared" si="69"/>
        <v>0</v>
      </c>
      <c r="AM160" s="586">
        <f t="shared" si="69"/>
        <v>0</v>
      </c>
      <c r="AN160" s="586">
        <f t="shared" si="69"/>
        <v>0</v>
      </c>
      <c r="AO160" s="586">
        <f t="shared" si="69"/>
        <v>0</v>
      </c>
      <c r="AP160" s="586">
        <f t="shared" si="69"/>
        <v>0</v>
      </c>
      <c r="AQ160" s="586">
        <f t="shared" si="69"/>
        <v>0</v>
      </c>
      <c r="AR160" s="586">
        <f t="shared" si="69"/>
        <v>0</v>
      </c>
      <c r="AS160" s="586">
        <f t="shared" si="69"/>
        <v>0</v>
      </c>
      <c r="AT160" s="170"/>
      <c r="AU160" s="170"/>
      <c r="AV160" s="170"/>
      <c r="AW160" s="828"/>
      <c r="AX160" s="726"/>
    </row>
    <row r="161" spans="1:50" ht="15" x14ac:dyDescent="0.25">
      <c r="A161" s="170"/>
      <c r="B161" s="719"/>
      <c r="C161" s="170"/>
      <c r="D161" s="170"/>
      <c r="E161" s="170"/>
      <c r="F161" s="170">
        <f>+Parameters!D92</f>
        <v>89</v>
      </c>
      <c r="G161" s="170" t="str">
        <f>+Parameters!E92</f>
        <v>Misc. Protection and controls Eqt.</v>
      </c>
      <c r="H161" s="170"/>
      <c r="I161" s="170" t="str">
        <f>+Parameters!F92</f>
        <v>ea</v>
      </c>
      <c r="J161" s="170"/>
      <c r="K161" s="170"/>
      <c r="L161" s="170"/>
      <c r="M161" s="730"/>
      <c r="N161" s="730"/>
      <c r="O161" s="730"/>
      <c r="P161" s="731"/>
      <c r="Q161" s="731"/>
      <c r="R161" s="730"/>
      <c r="S161" s="730"/>
      <c r="T161" s="723"/>
      <c r="U161" s="724"/>
      <c r="V161" s="725"/>
      <c r="W161" s="725"/>
      <c r="X161" s="723"/>
      <c r="Y161" s="723"/>
      <c r="Z161" s="723"/>
      <c r="AA161" s="726"/>
      <c r="AB161" s="726"/>
      <c r="AC161" s="170"/>
      <c r="AD161" s="586">
        <f t="shared" si="69"/>
        <v>0</v>
      </c>
      <c r="AE161" s="586">
        <f t="shared" si="69"/>
        <v>0</v>
      </c>
      <c r="AF161" s="586">
        <f t="shared" si="69"/>
        <v>0</v>
      </c>
      <c r="AG161" s="586">
        <f t="shared" si="69"/>
        <v>0</v>
      </c>
      <c r="AH161" s="586">
        <f t="shared" si="69"/>
        <v>0</v>
      </c>
      <c r="AI161" s="586">
        <f t="shared" si="69"/>
        <v>0</v>
      </c>
      <c r="AJ161" s="586">
        <f t="shared" si="69"/>
        <v>0</v>
      </c>
      <c r="AK161" s="586">
        <f t="shared" si="69"/>
        <v>0</v>
      </c>
      <c r="AL161" s="586">
        <f t="shared" si="69"/>
        <v>0</v>
      </c>
      <c r="AM161" s="586">
        <f t="shared" si="69"/>
        <v>0</v>
      </c>
      <c r="AN161" s="586">
        <f t="shared" si="69"/>
        <v>0</v>
      </c>
      <c r="AO161" s="586">
        <f t="shared" si="69"/>
        <v>0</v>
      </c>
      <c r="AP161" s="586">
        <f t="shared" si="69"/>
        <v>0</v>
      </c>
      <c r="AQ161" s="586">
        <f t="shared" si="69"/>
        <v>0</v>
      </c>
      <c r="AR161" s="586">
        <f t="shared" si="69"/>
        <v>0</v>
      </c>
      <c r="AS161" s="586">
        <f t="shared" si="69"/>
        <v>0</v>
      </c>
      <c r="AT161" s="170"/>
      <c r="AU161" s="170"/>
      <c r="AV161" s="170"/>
      <c r="AW161" s="828"/>
      <c r="AX161" s="726"/>
    </row>
    <row r="162" spans="1:50" ht="15" x14ac:dyDescent="0.25">
      <c r="A162" s="170"/>
      <c r="B162" s="719"/>
      <c r="C162" s="170"/>
      <c r="D162" s="170"/>
      <c r="E162" s="170"/>
      <c r="F162" s="170">
        <f>+Parameters!D93</f>
        <v>90</v>
      </c>
      <c r="G162" s="170" t="str">
        <f>+Parameters!E93</f>
        <v>Environmental</v>
      </c>
      <c r="H162" s="170"/>
      <c r="I162" s="170">
        <f>+Parameters!F93</f>
        <v>0</v>
      </c>
      <c r="J162" s="170"/>
      <c r="K162" s="170"/>
      <c r="L162" s="170"/>
      <c r="M162" s="730"/>
      <c r="N162" s="730"/>
      <c r="O162" s="730"/>
      <c r="P162" s="731"/>
      <c r="Q162" s="731"/>
      <c r="R162" s="730"/>
      <c r="S162" s="730"/>
      <c r="T162" s="723"/>
      <c r="U162" s="724"/>
      <c r="V162" s="725"/>
      <c r="W162" s="725"/>
      <c r="X162" s="723"/>
      <c r="Y162" s="723"/>
      <c r="Z162" s="723"/>
      <c r="AA162" s="726"/>
      <c r="AB162" s="726"/>
      <c r="AC162" s="170"/>
      <c r="AD162" s="586">
        <f t="shared" si="69"/>
        <v>320</v>
      </c>
      <c r="AE162" s="586">
        <f t="shared" si="69"/>
        <v>224</v>
      </c>
      <c r="AF162" s="586">
        <f t="shared" si="69"/>
        <v>544</v>
      </c>
      <c r="AG162" s="586">
        <f t="shared" si="69"/>
        <v>18240</v>
      </c>
      <c r="AH162" s="586">
        <f t="shared" si="69"/>
        <v>34048</v>
      </c>
      <c r="AI162" s="586">
        <f t="shared" si="69"/>
        <v>52288</v>
      </c>
      <c r="AJ162" s="586">
        <f t="shared" si="69"/>
        <v>0</v>
      </c>
      <c r="AK162" s="586">
        <f t="shared" si="69"/>
        <v>3405</v>
      </c>
      <c r="AL162" s="586">
        <f t="shared" si="69"/>
        <v>3405</v>
      </c>
      <c r="AM162" s="586">
        <f t="shared" si="69"/>
        <v>0</v>
      </c>
      <c r="AN162" s="586">
        <f t="shared" si="69"/>
        <v>1500</v>
      </c>
      <c r="AO162" s="586">
        <f t="shared" si="69"/>
        <v>1500</v>
      </c>
      <c r="AP162" s="586">
        <f t="shared" si="69"/>
        <v>229000</v>
      </c>
      <c r="AQ162" s="586">
        <f t="shared" si="69"/>
        <v>0</v>
      </c>
      <c r="AR162" s="586">
        <f t="shared" si="69"/>
        <v>229000</v>
      </c>
      <c r="AS162" s="586">
        <f t="shared" si="69"/>
        <v>286193</v>
      </c>
      <c r="AT162" s="170"/>
      <c r="AU162" s="170"/>
      <c r="AV162" s="170"/>
      <c r="AW162" s="828"/>
      <c r="AX162" s="726"/>
    </row>
    <row r="163" spans="1:50" ht="15" x14ac:dyDescent="0.25">
      <c r="A163" s="170"/>
      <c r="B163" s="719"/>
      <c r="C163" s="170"/>
      <c r="D163" s="170"/>
      <c r="E163" s="170"/>
      <c r="F163" s="170">
        <f>+Parameters!D94</f>
        <v>91</v>
      </c>
      <c r="G163" s="170">
        <f>+Parameters!E94</f>
        <v>0</v>
      </c>
      <c r="H163" s="170"/>
      <c r="I163" s="170">
        <f>+Parameters!F94</f>
        <v>0</v>
      </c>
      <c r="J163" s="170"/>
      <c r="K163" s="170"/>
      <c r="L163" s="170"/>
      <c r="M163" s="730"/>
      <c r="N163" s="730"/>
      <c r="O163" s="730"/>
      <c r="P163" s="731"/>
      <c r="Q163" s="731"/>
      <c r="R163" s="730"/>
      <c r="S163" s="730"/>
      <c r="T163" s="723"/>
      <c r="U163" s="724"/>
      <c r="V163" s="725"/>
      <c r="W163" s="725"/>
      <c r="X163" s="723"/>
      <c r="Y163" s="723"/>
      <c r="Z163" s="723"/>
      <c r="AA163" s="726"/>
      <c r="AB163" s="726"/>
      <c r="AC163" s="170"/>
      <c r="AD163" s="586">
        <f t="shared" ref="AD163:AS172" si="70">SUMIF($F$9:$F$70,$F163,AD$9:AD$70)</f>
        <v>0</v>
      </c>
      <c r="AE163" s="586">
        <f t="shared" si="70"/>
        <v>0</v>
      </c>
      <c r="AF163" s="586">
        <f t="shared" si="70"/>
        <v>0</v>
      </c>
      <c r="AG163" s="586">
        <f t="shared" si="70"/>
        <v>0</v>
      </c>
      <c r="AH163" s="586">
        <f t="shared" si="70"/>
        <v>0</v>
      </c>
      <c r="AI163" s="586">
        <f t="shared" si="70"/>
        <v>0</v>
      </c>
      <c r="AJ163" s="586">
        <f t="shared" si="70"/>
        <v>0</v>
      </c>
      <c r="AK163" s="586">
        <f t="shared" si="70"/>
        <v>0</v>
      </c>
      <c r="AL163" s="586">
        <f t="shared" si="70"/>
        <v>0</v>
      </c>
      <c r="AM163" s="586">
        <f t="shared" si="70"/>
        <v>0</v>
      </c>
      <c r="AN163" s="586">
        <f t="shared" si="70"/>
        <v>0</v>
      </c>
      <c r="AO163" s="586">
        <f t="shared" si="70"/>
        <v>0</v>
      </c>
      <c r="AP163" s="586">
        <f t="shared" si="70"/>
        <v>0</v>
      </c>
      <c r="AQ163" s="586">
        <f t="shared" si="70"/>
        <v>0</v>
      </c>
      <c r="AR163" s="586">
        <f t="shared" si="70"/>
        <v>0</v>
      </c>
      <c r="AS163" s="586">
        <f t="shared" si="70"/>
        <v>0</v>
      </c>
      <c r="AT163" s="170"/>
      <c r="AU163" s="170"/>
      <c r="AV163" s="170"/>
      <c r="AW163" s="828"/>
      <c r="AX163" s="726"/>
    </row>
    <row r="164" spans="1:50" ht="15" x14ac:dyDescent="0.25">
      <c r="A164" s="170"/>
      <c r="B164" s="719"/>
      <c r="C164" s="170"/>
      <c r="D164" s="170"/>
      <c r="E164" s="170"/>
      <c r="F164" s="170">
        <f>+Parameters!D95</f>
        <v>92</v>
      </c>
      <c r="G164" s="170">
        <f>+Parameters!E95</f>
        <v>0</v>
      </c>
      <c r="H164" s="170"/>
      <c r="I164" s="170">
        <f>+Parameters!F95</f>
        <v>0</v>
      </c>
      <c r="J164" s="170"/>
      <c r="K164" s="170"/>
      <c r="L164" s="170"/>
      <c r="M164" s="730"/>
      <c r="N164" s="730"/>
      <c r="O164" s="730"/>
      <c r="P164" s="731"/>
      <c r="Q164" s="731"/>
      <c r="R164" s="730"/>
      <c r="S164" s="730"/>
      <c r="T164" s="723"/>
      <c r="U164" s="724"/>
      <c r="V164" s="725"/>
      <c r="W164" s="725"/>
      <c r="X164" s="723"/>
      <c r="Y164" s="723"/>
      <c r="Z164" s="723"/>
      <c r="AA164" s="726"/>
      <c r="AB164" s="726"/>
      <c r="AC164" s="170"/>
      <c r="AD164" s="586">
        <f t="shared" si="70"/>
        <v>0</v>
      </c>
      <c r="AE164" s="586">
        <f t="shared" si="70"/>
        <v>0</v>
      </c>
      <c r="AF164" s="586">
        <f t="shared" si="70"/>
        <v>0</v>
      </c>
      <c r="AG164" s="586">
        <f t="shared" si="70"/>
        <v>0</v>
      </c>
      <c r="AH164" s="586">
        <f t="shared" si="70"/>
        <v>0</v>
      </c>
      <c r="AI164" s="586">
        <f t="shared" si="70"/>
        <v>0</v>
      </c>
      <c r="AJ164" s="586">
        <f t="shared" si="70"/>
        <v>0</v>
      </c>
      <c r="AK164" s="586">
        <f t="shared" si="70"/>
        <v>0</v>
      </c>
      <c r="AL164" s="586">
        <f t="shared" si="70"/>
        <v>0</v>
      </c>
      <c r="AM164" s="586">
        <f t="shared" si="70"/>
        <v>0</v>
      </c>
      <c r="AN164" s="586">
        <f t="shared" si="70"/>
        <v>0</v>
      </c>
      <c r="AO164" s="586">
        <f t="shared" si="70"/>
        <v>0</v>
      </c>
      <c r="AP164" s="586">
        <f t="shared" si="70"/>
        <v>0</v>
      </c>
      <c r="AQ164" s="586">
        <f t="shared" si="70"/>
        <v>0</v>
      </c>
      <c r="AR164" s="586">
        <f t="shared" si="70"/>
        <v>0</v>
      </c>
      <c r="AS164" s="586">
        <f t="shared" si="70"/>
        <v>0</v>
      </c>
      <c r="AT164" s="170"/>
      <c r="AU164" s="170"/>
      <c r="AV164" s="170"/>
      <c r="AW164" s="828"/>
      <c r="AX164" s="726"/>
    </row>
    <row r="165" spans="1:50" ht="15" x14ac:dyDescent="0.25">
      <c r="A165" s="170"/>
      <c r="B165" s="719"/>
      <c r="C165" s="170"/>
      <c r="D165" s="170"/>
      <c r="E165" s="170"/>
      <c r="F165" s="170">
        <f>+Parameters!D96</f>
        <v>93</v>
      </c>
      <c r="G165" s="170">
        <f>+Parameters!E96</f>
        <v>0</v>
      </c>
      <c r="H165" s="170"/>
      <c r="I165" s="170">
        <f>+Parameters!F96</f>
        <v>0</v>
      </c>
      <c r="J165" s="170"/>
      <c r="K165" s="170"/>
      <c r="L165" s="170"/>
      <c r="M165" s="730"/>
      <c r="N165" s="730"/>
      <c r="O165" s="730"/>
      <c r="P165" s="731"/>
      <c r="Q165" s="731"/>
      <c r="R165" s="730"/>
      <c r="S165" s="730"/>
      <c r="T165" s="723"/>
      <c r="U165" s="724"/>
      <c r="V165" s="725"/>
      <c r="W165" s="725"/>
      <c r="X165" s="723"/>
      <c r="Y165" s="723"/>
      <c r="Z165" s="723"/>
      <c r="AA165" s="726"/>
      <c r="AB165" s="726"/>
      <c r="AC165" s="170"/>
      <c r="AD165" s="586">
        <f t="shared" si="70"/>
        <v>0</v>
      </c>
      <c r="AE165" s="586">
        <f t="shared" si="70"/>
        <v>0</v>
      </c>
      <c r="AF165" s="586">
        <f t="shared" si="70"/>
        <v>0</v>
      </c>
      <c r="AG165" s="586">
        <f t="shared" si="70"/>
        <v>0</v>
      </c>
      <c r="AH165" s="586">
        <f t="shared" si="70"/>
        <v>0</v>
      </c>
      <c r="AI165" s="586">
        <f t="shared" si="70"/>
        <v>0</v>
      </c>
      <c r="AJ165" s="586">
        <f t="shared" si="70"/>
        <v>0</v>
      </c>
      <c r="AK165" s="586">
        <f t="shared" si="70"/>
        <v>0</v>
      </c>
      <c r="AL165" s="586">
        <f t="shared" si="70"/>
        <v>0</v>
      </c>
      <c r="AM165" s="586">
        <f t="shared" si="70"/>
        <v>0</v>
      </c>
      <c r="AN165" s="586">
        <f t="shared" si="70"/>
        <v>0</v>
      </c>
      <c r="AO165" s="586">
        <f t="shared" si="70"/>
        <v>0</v>
      </c>
      <c r="AP165" s="586">
        <f t="shared" si="70"/>
        <v>0</v>
      </c>
      <c r="AQ165" s="586">
        <f t="shared" si="70"/>
        <v>0</v>
      </c>
      <c r="AR165" s="586">
        <f t="shared" si="70"/>
        <v>0</v>
      </c>
      <c r="AS165" s="586">
        <f t="shared" si="70"/>
        <v>0</v>
      </c>
      <c r="AT165" s="170"/>
      <c r="AU165" s="170"/>
      <c r="AV165" s="170"/>
      <c r="AW165" s="828"/>
      <c r="AX165" s="726"/>
    </row>
    <row r="166" spans="1:50" ht="15" x14ac:dyDescent="0.25">
      <c r="A166" s="170"/>
      <c r="B166" s="719"/>
      <c r="C166" s="170"/>
      <c r="D166" s="170"/>
      <c r="E166" s="170"/>
      <c r="F166" s="170">
        <f>+Parameters!D97</f>
        <v>94</v>
      </c>
      <c r="G166" s="170">
        <f>+Parameters!E97</f>
        <v>0</v>
      </c>
      <c r="H166" s="170"/>
      <c r="I166" s="170">
        <f>+Parameters!F97</f>
        <v>0</v>
      </c>
      <c r="J166" s="170"/>
      <c r="K166" s="170"/>
      <c r="L166" s="170"/>
      <c r="M166" s="730"/>
      <c r="N166" s="730"/>
      <c r="O166" s="730"/>
      <c r="P166" s="731"/>
      <c r="Q166" s="731"/>
      <c r="R166" s="730"/>
      <c r="S166" s="730"/>
      <c r="T166" s="723"/>
      <c r="U166" s="724"/>
      <c r="V166" s="725"/>
      <c r="W166" s="725"/>
      <c r="X166" s="723"/>
      <c r="Y166" s="723"/>
      <c r="Z166" s="723"/>
      <c r="AA166" s="726"/>
      <c r="AB166" s="726"/>
      <c r="AC166" s="170"/>
      <c r="AD166" s="586">
        <f t="shared" si="70"/>
        <v>0</v>
      </c>
      <c r="AE166" s="586">
        <f t="shared" si="70"/>
        <v>0</v>
      </c>
      <c r="AF166" s="586">
        <f t="shared" si="70"/>
        <v>0</v>
      </c>
      <c r="AG166" s="586">
        <f t="shared" si="70"/>
        <v>0</v>
      </c>
      <c r="AH166" s="586">
        <f t="shared" si="70"/>
        <v>0</v>
      </c>
      <c r="AI166" s="586">
        <f t="shared" si="70"/>
        <v>0</v>
      </c>
      <c r="AJ166" s="586">
        <f t="shared" si="70"/>
        <v>0</v>
      </c>
      <c r="AK166" s="586">
        <f t="shared" si="70"/>
        <v>0</v>
      </c>
      <c r="AL166" s="586">
        <f t="shared" si="70"/>
        <v>0</v>
      </c>
      <c r="AM166" s="586">
        <f t="shared" si="70"/>
        <v>0</v>
      </c>
      <c r="AN166" s="586">
        <f t="shared" si="70"/>
        <v>0</v>
      </c>
      <c r="AO166" s="586">
        <f t="shared" si="70"/>
        <v>0</v>
      </c>
      <c r="AP166" s="586">
        <f t="shared" si="70"/>
        <v>0</v>
      </c>
      <c r="AQ166" s="586">
        <f t="shared" si="70"/>
        <v>0</v>
      </c>
      <c r="AR166" s="586">
        <f t="shared" si="70"/>
        <v>0</v>
      </c>
      <c r="AS166" s="586">
        <f t="shared" si="70"/>
        <v>0</v>
      </c>
      <c r="AT166" s="170"/>
      <c r="AU166" s="170"/>
      <c r="AV166" s="170"/>
      <c r="AW166" s="828"/>
      <c r="AX166" s="726"/>
    </row>
    <row r="167" spans="1:50" ht="15" x14ac:dyDescent="0.25">
      <c r="A167" s="170"/>
      <c r="B167" s="719"/>
      <c r="C167" s="170"/>
      <c r="D167" s="170"/>
      <c r="E167" s="170"/>
      <c r="F167" s="170">
        <f>+Parameters!D98</f>
        <v>95</v>
      </c>
      <c r="G167" s="170">
        <f>+Parameters!E98</f>
        <v>0</v>
      </c>
      <c r="H167" s="170"/>
      <c r="I167" s="170">
        <f>+Parameters!F98</f>
        <v>0</v>
      </c>
      <c r="J167" s="170"/>
      <c r="K167" s="170"/>
      <c r="L167" s="170"/>
      <c r="M167" s="730"/>
      <c r="N167" s="730"/>
      <c r="O167" s="730"/>
      <c r="P167" s="731"/>
      <c r="Q167" s="731"/>
      <c r="R167" s="730"/>
      <c r="S167" s="730"/>
      <c r="T167" s="723"/>
      <c r="U167" s="724"/>
      <c r="V167" s="725"/>
      <c r="W167" s="725"/>
      <c r="X167" s="723"/>
      <c r="Y167" s="723"/>
      <c r="Z167" s="723"/>
      <c r="AA167" s="726"/>
      <c r="AB167" s="726"/>
      <c r="AC167" s="170"/>
      <c r="AD167" s="586">
        <f t="shared" si="70"/>
        <v>0</v>
      </c>
      <c r="AE167" s="586">
        <f t="shared" si="70"/>
        <v>0</v>
      </c>
      <c r="AF167" s="586">
        <f t="shared" si="70"/>
        <v>0</v>
      </c>
      <c r="AG167" s="586">
        <f t="shared" si="70"/>
        <v>0</v>
      </c>
      <c r="AH167" s="586">
        <f t="shared" si="70"/>
        <v>0</v>
      </c>
      <c r="AI167" s="586">
        <f t="shared" si="70"/>
        <v>0</v>
      </c>
      <c r="AJ167" s="586">
        <f t="shared" si="70"/>
        <v>0</v>
      </c>
      <c r="AK167" s="586">
        <f t="shared" si="70"/>
        <v>0</v>
      </c>
      <c r="AL167" s="586">
        <f t="shared" si="70"/>
        <v>0</v>
      </c>
      <c r="AM167" s="586">
        <f t="shared" si="70"/>
        <v>0</v>
      </c>
      <c r="AN167" s="586">
        <f t="shared" si="70"/>
        <v>0</v>
      </c>
      <c r="AO167" s="586">
        <f t="shared" si="70"/>
        <v>0</v>
      </c>
      <c r="AP167" s="586">
        <f t="shared" si="70"/>
        <v>0</v>
      </c>
      <c r="AQ167" s="586">
        <f t="shared" si="70"/>
        <v>0</v>
      </c>
      <c r="AR167" s="586">
        <f t="shared" si="70"/>
        <v>0</v>
      </c>
      <c r="AS167" s="586">
        <f t="shared" si="70"/>
        <v>0</v>
      </c>
      <c r="AT167" s="170"/>
      <c r="AU167" s="170"/>
      <c r="AV167" s="170"/>
      <c r="AW167" s="828"/>
      <c r="AX167" s="726"/>
    </row>
    <row r="168" spans="1:50" ht="15" x14ac:dyDescent="0.25">
      <c r="A168" s="170"/>
      <c r="B168" s="719"/>
      <c r="C168" s="170"/>
      <c r="D168" s="170"/>
      <c r="E168" s="170"/>
      <c r="F168" s="170">
        <f>+Parameters!D99</f>
        <v>96</v>
      </c>
      <c r="G168" s="170">
        <f>+Parameters!E99</f>
        <v>0</v>
      </c>
      <c r="H168" s="170"/>
      <c r="I168" s="170">
        <f>+Parameters!F99</f>
        <v>0</v>
      </c>
      <c r="J168" s="170"/>
      <c r="K168" s="170"/>
      <c r="L168" s="170"/>
      <c r="M168" s="730"/>
      <c r="N168" s="730"/>
      <c r="O168" s="730"/>
      <c r="P168" s="731"/>
      <c r="Q168" s="731"/>
      <c r="R168" s="730"/>
      <c r="S168" s="730"/>
      <c r="T168" s="723"/>
      <c r="U168" s="724"/>
      <c r="V168" s="725"/>
      <c r="W168" s="725"/>
      <c r="X168" s="723"/>
      <c r="Y168" s="723"/>
      <c r="Z168" s="723"/>
      <c r="AA168" s="726"/>
      <c r="AB168" s="726"/>
      <c r="AC168" s="170"/>
      <c r="AD168" s="586">
        <f t="shared" si="70"/>
        <v>0</v>
      </c>
      <c r="AE168" s="586">
        <f t="shared" si="70"/>
        <v>0</v>
      </c>
      <c r="AF168" s="586">
        <f t="shared" si="70"/>
        <v>0</v>
      </c>
      <c r="AG168" s="586">
        <f t="shared" si="70"/>
        <v>0</v>
      </c>
      <c r="AH168" s="586">
        <f t="shared" si="70"/>
        <v>0</v>
      </c>
      <c r="AI168" s="586">
        <f t="shared" si="70"/>
        <v>0</v>
      </c>
      <c r="AJ168" s="586">
        <f t="shared" si="70"/>
        <v>0</v>
      </c>
      <c r="AK168" s="586">
        <f t="shared" si="70"/>
        <v>0</v>
      </c>
      <c r="AL168" s="586">
        <f t="shared" si="70"/>
        <v>0</v>
      </c>
      <c r="AM168" s="586">
        <f t="shared" si="70"/>
        <v>0</v>
      </c>
      <c r="AN168" s="586">
        <f t="shared" si="70"/>
        <v>0</v>
      </c>
      <c r="AO168" s="586">
        <f t="shared" si="70"/>
        <v>0</v>
      </c>
      <c r="AP168" s="586">
        <f t="shared" si="70"/>
        <v>0</v>
      </c>
      <c r="AQ168" s="586">
        <f t="shared" si="70"/>
        <v>0</v>
      </c>
      <c r="AR168" s="586">
        <f t="shared" si="70"/>
        <v>0</v>
      </c>
      <c r="AS168" s="586">
        <f t="shared" si="70"/>
        <v>0</v>
      </c>
      <c r="AT168" s="170"/>
      <c r="AU168" s="170"/>
      <c r="AV168" s="170"/>
      <c r="AW168" s="828"/>
      <c r="AX168" s="726"/>
    </row>
    <row r="169" spans="1:50" ht="15" x14ac:dyDescent="0.25">
      <c r="A169" s="170"/>
      <c r="B169" s="719"/>
      <c r="C169" s="170"/>
      <c r="D169" s="170"/>
      <c r="E169" s="170"/>
      <c r="F169" s="170">
        <f>+Parameters!D100</f>
        <v>97</v>
      </c>
      <c r="G169" s="170">
        <f>+Parameters!E100</f>
        <v>0</v>
      </c>
      <c r="H169" s="170"/>
      <c r="I169" s="170">
        <f>+Parameters!F100</f>
        <v>0</v>
      </c>
      <c r="J169" s="170"/>
      <c r="K169" s="170"/>
      <c r="L169" s="170"/>
      <c r="M169" s="730"/>
      <c r="N169" s="730"/>
      <c r="O169" s="730"/>
      <c r="P169" s="731"/>
      <c r="Q169" s="731"/>
      <c r="R169" s="730"/>
      <c r="S169" s="730"/>
      <c r="T169" s="723"/>
      <c r="U169" s="724"/>
      <c r="V169" s="725"/>
      <c r="W169" s="725"/>
      <c r="X169" s="723"/>
      <c r="Y169" s="723"/>
      <c r="Z169" s="723"/>
      <c r="AA169" s="726"/>
      <c r="AB169" s="726"/>
      <c r="AC169" s="170"/>
      <c r="AD169" s="586">
        <f t="shared" si="70"/>
        <v>0</v>
      </c>
      <c r="AE169" s="586">
        <f t="shared" si="70"/>
        <v>0</v>
      </c>
      <c r="AF169" s="586">
        <f t="shared" si="70"/>
        <v>0</v>
      </c>
      <c r="AG169" s="586">
        <f t="shared" si="70"/>
        <v>0</v>
      </c>
      <c r="AH169" s="586">
        <f t="shared" si="70"/>
        <v>0</v>
      </c>
      <c r="AI169" s="586">
        <f t="shared" si="70"/>
        <v>0</v>
      </c>
      <c r="AJ169" s="586">
        <f t="shared" si="70"/>
        <v>0</v>
      </c>
      <c r="AK169" s="586">
        <f t="shared" si="70"/>
        <v>0</v>
      </c>
      <c r="AL169" s="586">
        <f t="shared" si="70"/>
        <v>0</v>
      </c>
      <c r="AM169" s="586">
        <f t="shared" si="70"/>
        <v>0</v>
      </c>
      <c r="AN169" s="586">
        <f t="shared" si="70"/>
        <v>0</v>
      </c>
      <c r="AO169" s="586">
        <f t="shared" si="70"/>
        <v>0</v>
      </c>
      <c r="AP169" s="586">
        <f t="shared" si="70"/>
        <v>0</v>
      </c>
      <c r="AQ169" s="586">
        <f t="shared" si="70"/>
        <v>0</v>
      </c>
      <c r="AR169" s="586">
        <f t="shared" si="70"/>
        <v>0</v>
      </c>
      <c r="AS169" s="586">
        <f t="shared" si="70"/>
        <v>0</v>
      </c>
      <c r="AT169" s="170"/>
      <c r="AU169" s="170"/>
      <c r="AV169" s="170"/>
      <c r="AW169" s="828"/>
      <c r="AX169" s="726"/>
    </row>
    <row r="170" spans="1:50" ht="15" x14ac:dyDescent="0.25">
      <c r="A170" s="170"/>
      <c r="B170" s="719"/>
      <c r="C170" s="170"/>
      <c r="D170" s="170"/>
      <c r="E170" s="170"/>
      <c r="F170" s="170">
        <f>+Parameters!D101</f>
        <v>98</v>
      </c>
      <c r="G170" s="170">
        <f>+Parameters!E101</f>
        <v>0</v>
      </c>
      <c r="H170" s="170"/>
      <c r="I170" s="170">
        <f>+Parameters!F101</f>
        <v>0</v>
      </c>
      <c r="J170" s="170"/>
      <c r="K170" s="170"/>
      <c r="L170" s="170"/>
      <c r="M170" s="730"/>
      <c r="N170" s="730"/>
      <c r="O170" s="730"/>
      <c r="P170" s="731"/>
      <c r="Q170" s="731"/>
      <c r="R170" s="730"/>
      <c r="S170" s="730"/>
      <c r="T170" s="723"/>
      <c r="U170" s="724"/>
      <c r="V170" s="725"/>
      <c r="W170" s="725"/>
      <c r="X170" s="723"/>
      <c r="Y170" s="723"/>
      <c r="Z170" s="723"/>
      <c r="AA170" s="726"/>
      <c r="AB170" s="726"/>
      <c r="AC170" s="170"/>
      <c r="AD170" s="586">
        <f t="shared" si="70"/>
        <v>0</v>
      </c>
      <c r="AE170" s="586">
        <f t="shared" si="70"/>
        <v>0</v>
      </c>
      <c r="AF170" s="586">
        <f t="shared" si="70"/>
        <v>0</v>
      </c>
      <c r="AG170" s="586">
        <f t="shared" si="70"/>
        <v>0</v>
      </c>
      <c r="AH170" s="586">
        <f t="shared" si="70"/>
        <v>0</v>
      </c>
      <c r="AI170" s="586">
        <f t="shared" si="70"/>
        <v>0</v>
      </c>
      <c r="AJ170" s="586">
        <f t="shared" si="70"/>
        <v>0</v>
      </c>
      <c r="AK170" s="586">
        <f t="shared" si="70"/>
        <v>0</v>
      </c>
      <c r="AL170" s="586">
        <f t="shared" si="70"/>
        <v>0</v>
      </c>
      <c r="AM170" s="586">
        <f t="shared" si="70"/>
        <v>0</v>
      </c>
      <c r="AN170" s="586">
        <f t="shared" si="70"/>
        <v>0</v>
      </c>
      <c r="AO170" s="586">
        <f t="shared" si="70"/>
        <v>0</v>
      </c>
      <c r="AP170" s="586">
        <f t="shared" si="70"/>
        <v>0</v>
      </c>
      <c r="AQ170" s="586">
        <f t="shared" si="70"/>
        <v>0</v>
      </c>
      <c r="AR170" s="586">
        <f t="shared" si="70"/>
        <v>0</v>
      </c>
      <c r="AS170" s="586">
        <f t="shared" si="70"/>
        <v>0</v>
      </c>
      <c r="AT170" s="170"/>
      <c r="AU170" s="170"/>
      <c r="AV170" s="170"/>
      <c r="AW170" s="828"/>
      <c r="AX170" s="726"/>
    </row>
    <row r="171" spans="1:50" ht="15" x14ac:dyDescent="0.25">
      <c r="A171" s="170"/>
      <c r="B171" s="719"/>
      <c r="C171" s="170"/>
      <c r="D171" s="170"/>
      <c r="E171" s="170"/>
      <c r="F171" s="170">
        <f>+Parameters!D102</f>
        <v>99</v>
      </c>
      <c r="G171" s="170" t="str">
        <f>+Parameters!E102</f>
        <v>REMOVALS</v>
      </c>
      <c r="H171" s="170"/>
      <c r="I171" s="170">
        <f>+Parameters!F102</f>
        <v>0</v>
      </c>
      <c r="J171" s="170"/>
      <c r="K171" s="170"/>
      <c r="L171" s="170"/>
      <c r="M171" s="730"/>
      <c r="N171" s="730"/>
      <c r="O171" s="730"/>
      <c r="P171" s="731"/>
      <c r="Q171" s="731"/>
      <c r="R171" s="730"/>
      <c r="S171" s="730"/>
      <c r="T171" s="723"/>
      <c r="U171" s="724"/>
      <c r="V171" s="725"/>
      <c r="W171" s="725"/>
      <c r="X171" s="723"/>
      <c r="Y171" s="723"/>
      <c r="Z171" s="723"/>
      <c r="AA171" s="726"/>
      <c r="AB171" s="726"/>
      <c r="AC171" s="170"/>
      <c r="AD171" s="586">
        <f t="shared" si="70"/>
        <v>0</v>
      </c>
      <c r="AE171" s="586">
        <f t="shared" si="70"/>
        <v>0</v>
      </c>
      <c r="AF171" s="586">
        <f t="shared" si="70"/>
        <v>0</v>
      </c>
      <c r="AG171" s="586">
        <f t="shared" si="70"/>
        <v>0</v>
      </c>
      <c r="AH171" s="586">
        <f t="shared" si="70"/>
        <v>0</v>
      </c>
      <c r="AI171" s="586">
        <f t="shared" si="70"/>
        <v>0</v>
      </c>
      <c r="AJ171" s="586">
        <f t="shared" si="70"/>
        <v>0</v>
      </c>
      <c r="AK171" s="586">
        <f t="shared" si="70"/>
        <v>0</v>
      </c>
      <c r="AL171" s="586">
        <f t="shared" si="70"/>
        <v>0</v>
      </c>
      <c r="AM171" s="586">
        <f t="shared" si="70"/>
        <v>0</v>
      </c>
      <c r="AN171" s="586">
        <f t="shared" si="70"/>
        <v>0</v>
      </c>
      <c r="AO171" s="586">
        <f t="shared" si="70"/>
        <v>0</v>
      </c>
      <c r="AP171" s="586">
        <f t="shared" si="70"/>
        <v>0</v>
      </c>
      <c r="AQ171" s="586">
        <f t="shared" si="70"/>
        <v>0</v>
      </c>
      <c r="AR171" s="586">
        <f t="shared" si="70"/>
        <v>0</v>
      </c>
      <c r="AS171" s="586">
        <f t="shared" si="70"/>
        <v>0</v>
      </c>
      <c r="AT171" s="170"/>
      <c r="AU171" s="170"/>
      <c r="AV171" s="170"/>
      <c r="AW171" s="828"/>
      <c r="AX171" s="726"/>
    </row>
    <row r="172" spans="1:50" ht="15" x14ac:dyDescent="0.25">
      <c r="A172" s="170"/>
      <c r="B172" s="719"/>
      <c r="C172" s="170"/>
      <c r="D172" s="170"/>
      <c r="E172" s="170"/>
      <c r="F172" s="170">
        <f>+Parameters!D103</f>
        <v>0</v>
      </c>
      <c r="G172" s="170" t="str">
        <f>+Parameters!E103</f>
        <v>Uncoded amounts ( fix the coding before continuing)</v>
      </c>
      <c r="H172" s="170"/>
      <c r="I172" s="170">
        <f>+Parameters!F103</f>
        <v>0</v>
      </c>
      <c r="J172" s="170"/>
      <c r="K172" s="170"/>
      <c r="L172" s="170"/>
      <c r="M172" s="730"/>
      <c r="N172" s="730"/>
      <c r="O172" s="730"/>
      <c r="P172" s="731"/>
      <c r="Q172" s="731"/>
      <c r="R172" s="730"/>
      <c r="S172" s="730"/>
      <c r="T172" s="723"/>
      <c r="U172" s="724"/>
      <c r="V172" s="725"/>
      <c r="W172" s="725"/>
      <c r="X172" s="723"/>
      <c r="Y172" s="723"/>
      <c r="Z172" s="723"/>
      <c r="AA172" s="726"/>
      <c r="AB172" s="726"/>
      <c r="AC172" s="170"/>
      <c r="AD172" s="586">
        <f t="shared" si="70"/>
        <v>0</v>
      </c>
      <c r="AE172" s="586">
        <f t="shared" si="70"/>
        <v>0</v>
      </c>
      <c r="AF172" s="586">
        <f t="shared" si="70"/>
        <v>0</v>
      </c>
      <c r="AG172" s="586">
        <f t="shared" si="70"/>
        <v>0</v>
      </c>
      <c r="AH172" s="586">
        <f t="shared" si="70"/>
        <v>0</v>
      </c>
      <c r="AI172" s="586">
        <f t="shared" si="70"/>
        <v>0</v>
      </c>
      <c r="AJ172" s="586">
        <f t="shared" si="70"/>
        <v>0</v>
      </c>
      <c r="AK172" s="586">
        <f t="shared" si="70"/>
        <v>0</v>
      </c>
      <c r="AL172" s="586">
        <f t="shared" si="70"/>
        <v>0</v>
      </c>
      <c r="AM172" s="586">
        <f t="shared" si="70"/>
        <v>0</v>
      </c>
      <c r="AN172" s="586">
        <f t="shared" si="70"/>
        <v>0</v>
      </c>
      <c r="AO172" s="586">
        <f t="shared" si="70"/>
        <v>0</v>
      </c>
      <c r="AP172" s="586">
        <f t="shared" si="70"/>
        <v>0</v>
      </c>
      <c r="AQ172" s="586">
        <f t="shared" si="70"/>
        <v>0</v>
      </c>
      <c r="AR172" s="586">
        <f t="shared" si="70"/>
        <v>0</v>
      </c>
      <c r="AS172" s="586">
        <f t="shared" si="70"/>
        <v>0</v>
      </c>
      <c r="AT172" s="170"/>
      <c r="AU172" s="170"/>
      <c r="AV172" s="170"/>
      <c r="AW172" s="828"/>
      <c r="AX172" s="726"/>
    </row>
    <row r="173" spans="1:50" ht="15" x14ac:dyDescent="0.25">
      <c r="A173" s="170"/>
      <c r="B173" s="719"/>
      <c r="C173" s="170"/>
      <c r="D173" s="170"/>
      <c r="E173" s="170"/>
      <c r="F173" s="170">
        <f>+Parameters!D104</f>
        <v>0</v>
      </c>
      <c r="G173" s="170">
        <f>+Parameters!E104</f>
        <v>0</v>
      </c>
      <c r="H173" s="170"/>
      <c r="I173" s="170">
        <f>+Parameters!F104</f>
        <v>0</v>
      </c>
      <c r="J173" s="170"/>
      <c r="K173" s="170"/>
      <c r="L173" s="170"/>
      <c r="M173" s="730"/>
      <c r="N173" s="730"/>
      <c r="O173" s="730"/>
      <c r="P173" s="731"/>
      <c r="Q173" s="731"/>
      <c r="R173" s="730"/>
      <c r="S173" s="730"/>
      <c r="T173" s="723"/>
      <c r="U173" s="724"/>
      <c r="V173" s="725"/>
      <c r="W173" s="725"/>
      <c r="X173" s="723"/>
      <c r="Y173" s="723"/>
      <c r="Z173" s="723"/>
      <c r="AA173" s="726"/>
      <c r="AB173" s="726"/>
      <c r="AC173" s="170"/>
      <c r="AD173" s="586"/>
      <c r="AE173" s="586"/>
      <c r="AF173" s="586"/>
      <c r="AG173" s="586"/>
      <c r="AH173" s="586"/>
      <c r="AI173" s="586"/>
      <c r="AJ173" s="586"/>
      <c r="AK173" s="586"/>
      <c r="AL173" s="586"/>
      <c r="AM173" s="586"/>
      <c r="AN173" s="586"/>
      <c r="AO173" s="586"/>
      <c r="AP173" s="586"/>
      <c r="AQ173" s="586"/>
      <c r="AR173" s="586"/>
      <c r="AS173" s="586"/>
      <c r="AT173" s="170"/>
      <c r="AU173" s="170"/>
      <c r="AV173" s="170"/>
      <c r="AW173" s="828"/>
      <c r="AX173" s="726"/>
    </row>
    <row r="174" spans="1:50" ht="15" x14ac:dyDescent="0.25">
      <c r="A174" s="170"/>
      <c r="B174" s="719"/>
      <c r="C174" s="170"/>
      <c r="D174" s="170"/>
      <c r="E174" s="170"/>
      <c r="F174" s="170"/>
      <c r="G174" s="721"/>
      <c r="H174" s="170"/>
      <c r="I174" s="170"/>
      <c r="J174" s="170"/>
      <c r="K174" s="170"/>
      <c r="L174" s="170"/>
      <c r="M174" s="730"/>
      <c r="N174" s="730"/>
      <c r="O174" s="730"/>
      <c r="P174" s="731"/>
      <c r="Q174" s="731"/>
      <c r="R174" s="730"/>
      <c r="S174" s="730"/>
      <c r="T174" s="723"/>
      <c r="U174" s="724"/>
      <c r="V174" s="725"/>
      <c r="W174" s="725"/>
      <c r="X174" s="723"/>
      <c r="Y174" s="723"/>
      <c r="Z174" s="723"/>
      <c r="AA174" s="726"/>
      <c r="AB174" s="726"/>
      <c r="AC174" s="170"/>
      <c r="AD174" s="586"/>
      <c r="AE174" s="586"/>
      <c r="AF174" s="586"/>
      <c r="AG174" s="586"/>
      <c r="AH174" s="586"/>
      <c r="AI174" s="586"/>
      <c r="AJ174" s="586"/>
      <c r="AK174" s="586"/>
      <c r="AL174" s="586"/>
      <c r="AM174" s="586"/>
      <c r="AN174" s="586"/>
      <c r="AO174" s="586"/>
      <c r="AP174" s="586"/>
      <c r="AQ174" s="586"/>
      <c r="AR174" s="586"/>
      <c r="AS174" s="586"/>
      <c r="AT174" s="170"/>
      <c r="AU174" s="170"/>
      <c r="AV174" s="170"/>
      <c r="AW174" s="828"/>
      <c r="AX174" s="726"/>
    </row>
    <row r="175" spans="1:50" ht="15" x14ac:dyDescent="0.25">
      <c r="A175" s="170"/>
      <c r="B175" s="719"/>
      <c r="C175" s="170"/>
      <c r="D175" s="170"/>
      <c r="E175" s="170"/>
      <c r="F175" s="170"/>
      <c r="G175" s="721" t="s">
        <v>223</v>
      </c>
      <c r="H175" s="170"/>
      <c r="I175" s="170"/>
      <c r="J175" s="170"/>
      <c r="K175" s="170"/>
      <c r="L175" s="170"/>
      <c r="M175" s="730"/>
      <c r="N175" s="730"/>
      <c r="O175" s="730"/>
      <c r="P175" s="731"/>
      <c r="Q175" s="731"/>
      <c r="R175" s="730"/>
      <c r="S175" s="730"/>
      <c r="T175" s="723"/>
      <c r="U175" s="724"/>
      <c r="V175" s="725"/>
      <c r="W175" s="725"/>
      <c r="X175" s="723"/>
      <c r="Y175" s="723"/>
      <c r="Z175" s="723"/>
      <c r="AA175" s="726"/>
      <c r="AB175" s="726"/>
      <c r="AC175" s="170"/>
      <c r="AD175" s="586">
        <f t="shared" ref="AD175:AS175" si="71">SUM(AD73:AD174)</f>
        <v>320</v>
      </c>
      <c r="AE175" s="586">
        <f t="shared" si="71"/>
        <v>224</v>
      </c>
      <c r="AF175" s="586">
        <f t="shared" si="71"/>
        <v>544</v>
      </c>
      <c r="AG175" s="586">
        <f t="shared" si="71"/>
        <v>18240</v>
      </c>
      <c r="AH175" s="586">
        <f t="shared" si="71"/>
        <v>34048</v>
      </c>
      <c r="AI175" s="586">
        <f t="shared" si="71"/>
        <v>52288</v>
      </c>
      <c r="AJ175" s="586">
        <f t="shared" si="71"/>
        <v>0</v>
      </c>
      <c r="AK175" s="586">
        <f t="shared" si="71"/>
        <v>3405</v>
      </c>
      <c r="AL175" s="586">
        <f t="shared" si="71"/>
        <v>3405</v>
      </c>
      <c r="AM175" s="586">
        <f t="shared" si="71"/>
        <v>0</v>
      </c>
      <c r="AN175" s="586">
        <f t="shared" si="71"/>
        <v>1500</v>
      </c>
      <c r="AO175" s="586">
        <f t="shared" si="71"/>
        <v>1500</v>
      </c>
      <c r="AP175" s="586">
        <f t="shared" si="71"/>
        <v>229000</v>
      </c>
      <c r="AQ175" s="586">
        <f t="shared" si="71"/>
        <v>0</v>
      </c>
      <c r="AR175" s="586">
        <f t="shared" si="71"/>
        <v>229000</v>
      </c>
      <c r="AS175" s="586">
        <f t="shared" si="71"/>
        <v>286193</v>
      </c>
      <c r="AT175" s="170" t="s">
        <v>395</v>
      </c>
      <c r="AU175" s="170"/>
      <c r="AV175" s="170"/>
      <c r="AW175" s="828"/>
      <c r="AX175" s="726"/>
    </row>
    <row r="176" spans="1:50" ht="15" x14ac:dyDescent="0.25">
      <c r="A176" s="170"/>
      <c r="B176" s="719"/>
      <c r="C176" s="170"/>
      <c r="D176" s="170"/>
      <c r="E176" s="170"/>
      <c r="F176" s="170"/>
      <c r="G176" s="721"/>
      <c r="H176" s="170"/>
      <c r="I176" s="170"/>
      <c r="J176" s="170"/>
      <c r="K176" s="170"/>
      <c r="L176" s="170"/>
      <c r="M176" s="730"/>
      <c r="N176" s="730"/>
      <c r="O176" s="730"/>
      <c r="P176" s="731"/>
      <c r="Q176" s="731"/>
      <c r="R176" s="730"/>
      <c r="S176" s="730"/>
      <c r="T176" s="723"/>
      <c r="U176" s="724"/>
      <c r="V176" s="725"/>
      <c r="W176" s="725"/>
      <c r="X176" s="723"/>
      <c r="Y176" s="723"/>
      <c r="Z176" s="723"/>
      <c r="AA176" s="726"/>
      <c r="AB176" s="726"/>
      <c r="AC176" s="170"/>
      <c r="AD176" s="586"/>
      <c r="AE176" s="586"/>
      <c r="AF176" s="170"/>
      <c r="AG176" s="170"/>
      <c r="AH176" s="170"/>
      <c r="AI176" s="170"/>
      <c r="AJ176" s="170"/>
      <c r="AK176" s="170"/>
      <c r="AL176" s="170"/>
      <c r="AM176" s="170"/>
      <c r="AN176" s="170"/>
      <c r="AO176" s="170"/>
      <c r="AP176" s="170"/>
      <c r="AQ176" s="170"/>
      <c r="AR176" s="170"/>
      <c r="AS176" s="170"/>
      <c r="AT176" s="170"/>
      <c r="AU176" s="170"/>
      <c r="AV176" s="170"/>
      <c r="AW176" s="828"/>
      <c r="AX176" s="726"/>
    </row>
    <row r="177" spans="1:50" ht="15" x14ac:dyDescent="0.25">
      <c r="A177" s="170"/>
      <c r="B177" s="719"/>
      <c r="C177" s="170"/>
      <c r="D177" s="170"/>
      <c r="E177" s="170"/>
      <c r="F177" s="170"/>
      <c r="G177" s="721"/>
      <c r="H177" s="170"/>
      <c r="I177" s="170"/>
      <c r="J177" s="170"/>
      <c r="K177" s="170"/>
      <c r="L177" s="170"/>
      <c r="M177" s="730"/>
      <c r="N177" s="730"/>
      <c r="O177" s="730"/>
      <c r="P177" s="731"/>
      <c r="Q177" s="731"/>
      <c r="R177" s="730"/>
      <c r="S177" s="730"/>
      <c r="T177" s="723"/>
      <c r="U177" s="724"/>
      <c r="V177" s="725"/>
      <c r="W177" s="725"/>
      <c r="X177" s="723"/>
      <c r="Y177" s="723"/>
      <c r="Z177" s="723"/>
      <c r="AA177" s="726"/>
      <c r="AB177" s="726"/>
      <c r="AC177" s="170"/>
      <c r="AD177" s="586"/>
      <c r="AE177" s="586"/>
      <c r="AF177" s="170"/>
      <c r="AG177" s="170"/>
      <c r="AH177" s="170"/>
      <c r="AI177" s="170"/>
      <c r="AJ177" s="170"/>
      <c r="AK177" s="170"/>
      <c r="AL177" s="170"/>
      <c r="AM177" s="170"/>
      <c r="AN177" s="170"/>
      <c r="AO177" s="170"/>
      <c r="AP177" s="170"/>
      <c r="AQ177" s="170"/>
      <c r="AR177" s="170"/>
      <c r="AS177" s="170"/>
      <c r="AT177" s="170"/>
      <c r="AU177" s="170"/>
      <c r="AV177" s="170"/>
      <c r="AW177" s="828"/>
      <c r="AX177" s="726"/>
    </row>
    <row r="178" spans="1:50" ht="15" x14ac:dyDescent="0.25">
      <c r="A178" s="170"/>
      <c r="B178" s="719"/>
      <c r="C178" s="170"/>
      <c r="D178" s="170"/>
      <c r="E178" s="170"/>
      <c r="F178" s="170"/>
      <c r="G178" s="721"/>
      <c r="H178" s="170"/>
      <c r="I178" s="170"/>
      <c r="J178" s="170"/>
      <c r="K178" s="170"/>
      <c r="L178" s="170"/>
      <c r="M178" s="730"/>
      <c r="N178" s="730"/>
      <c r="O178" s="730"/>
      <c r="P178" s="731"/>
      <c r="Q178" s="731"/>
      <c r="R178" s="730"/>
      <c r="S178" s="730"/>
      <c r="T178" s="723"/>
      <c r="U178" s="724"/>
      <c r="V178" s="725"/>
      <c r="W178" s="725"/>
      <c r="X178" s="723"/>
      <c r="Y178" s="723"/>
      <c r="Z178" s="723"/>
      <c r="AA178" s="726"/>
      <c r="AB178" s="726"/>
      <c r="AC178" s="170"/>
      <c r="AD178" s="586"/>
      <c r="AE178" s="586"/>
      <c r="AF178" s="170"/>
      <c r="AG178" s="170"/>
      <c r="AH178" s="170"/>
      <c r="AI178" s="170"/>
      <c r="AJ178" s="170"/>
      <c r="AK178" s="170"/>
      <c r="AL178" s="170"/>
      <c r="AM178" s="170"/>
      <c r="AN178" s="170"/>
      <c r="AO178" s="170"/>
      <c r="AP178" s="170"/>
      <c r="AQ178" s="170"/>
      <c r="AR178" s="170"/>
      <c r="AS178" s="170"/>
      <c r="AT178" s="170"/>
      <c r="AU178" s="170"/>
      <c r="AV178" s="170"/>
      <c r="AW178" s="828"/>
      <c r="AX178" s="726"/>
    </row>
    <row r="179" spans="1:50" ht="15" x14ac:dyDescent="0.25">
      <c r="A179" s="170"/>
      <c r="B179" s="719"/>
      <c r="C179" s="170"/>
      <c r="D179" s="170"/>
      <c r="E179" s="170"/>
      <c r="F179" s="170"/>
      <c r="G179" s="721"/>
      <c r="H179" s="170"/>
      <c r="I179" s="170"/>
      <c r="J179" s="170"/>
      <c r="K179" s="170"/>
      <c r="L179" s="170"/>
      <c r="M179" s="730"/>
      <c r="N179" s="730"/>
      <c r="O179" s="730"/>
      <c r="P179" s="731"/>
      <c r="Q179" s="731"/>
      <c r="R179" s="730"/>
      <c r="S179" s="730"/>
      <c r="T179" s="723"/>
      <c r="U179" s="724"/>
      <c r="V179" s="725"/>
      <c r="W179" s="725"/>
      <c r="X179" s="723"/>
      <c r="Y179" s="723"/>
      <c r="Z179" s="723"/>
      <c r="AA179" s="726"/>
      <c r="AB179" s="726"/>
      <c r="AC179" s="170"/>
      <c r="AD179" s="586"/>
      <c r="AE179" s="586"/>
      <c r="AF179" s="170"/>
      <c r="AG179" s="170"/>
      <c r="AH179" s="170"/>
      <c r="AI179" s="170"/>
      <c r="AJ179" s="170"/>
      <c r="AK179" s="170"/>
      <c r="AL179" s="170"/>
      <c r="AM179" s="170"/>
      <c r="AN179" s="170"/>
      <c r="AO179" s="170"/>
      <c r="AP179" s="170"/>
      <c r="AQ179" s="170"/>
      <c r="AR179" s="170"/>
      <c r="AS179" s="170"/>
      <c r="AT179" s="170"/>
      <c r="AU179" s="170"/>
      <c r="AV179" s="170"/>
      <c r="AW179" s="828"/>
      <c r="AX179" s="726"/>
    </row>
    <row r="180" spans="1:50" ht="15" x14ac:dyDescent="0.25">
      <c r="A180" s="170"/>
      <c r="B180" s="719"/>
      <c r="C180" s="170"/>
      <c r="D180" s="170"/>
      <c r="E180" s="170"/>
      <c r="F180" s="170"/>
      <c r="G180" s="721"/>
      <c r="H180" s="170"/>
      <c r="I180" s="170"/>
      <c r="J180" s="170"/>
      <c r="K180" s="170"/>
      <c r="L180" s="170"/>
      <c r="M180" s="730"/>
      <c r="N180" s="730"/>
      <c r="O180" s="730"/>
      <c r="P180" s="731"/>
      <c r="Q180" s="731"/>
      <c r="R180" s="730"/>
      <c r="S180" s="730"/>
      <c r="T180" s="723"/>
      <c r="U180" s="724"/>
      <c r="V180" s="725"/>
      <c r="W180" s="725"/>
      <c r="X180" s="723"/>
      <c r="Y180" s="723"/>
      <c r="Z180" s="723"/>
      <c r="AA180" s="726"/>
      <c r="AB180" s="726"/>
      <c r="AC180" s="170"/>
      <c r="AD180" s="586"/>
      <c r="AE180" s="586"/>
      <c r="AF180" s="170"/>
      <c r="AG180" s="170"/>
      <c r="AH180" s="170"/>
      <c r="AI180" s="170"/>
      <c r="AJ180" s="170"/>
      <c r="AK180" s="170"/>
      <c r="AL180" s="170"/>
      <c r="AM180" s="170"/>
      <c r="AN180" s="170"/>
      <c r="AO180" s="170"/>
      <c r="AP180" s="170"/>
      <c r="AQ180" s="170"/>
      <c r="AR180" s="170"/>
      <c r="AS180" s="170"/>
      <c r="AT180" s="170"/>
      <c r="AU180" s="170"/>
      <c r="AV180" s="170"/>
      <c r="AW180" s="828"/>
      <c r="AX180" s="726"/>
    </row>
    <row r="181" spans="1:50" ht="15" x14ac:dyDescent="0.25">
      <c r="A181" s="170"/>
      <c r="B181" s="719"/>
      <c r="C181" s="170"/>
      <c r="D181" s="170"/>
      <c r="E181" s="170"/>
      <c r="F181" s="170"/>
      <c r="G181" s="721"/>
      <c r="H181" s="170"/>
      <c r="I181" s="170"/>
      <c r="J181" s="170"/>
      <c r="K181" s="170"/>
      <c r="L181" s="170"/>
      <c r="M181" s="730"/>
      <c r="N181" s="730"/>
      <c r="O181" s="730"/>
      <c r="P181" s="731"/>
      <c r="Q181" s="731"/>
      <c r="R181" s="730"/>
      <c r="S181" s="730"/>
      <c r="T181" s="723"/>
      <c r="U181" s="724"/>
      <c r="V181" s="725"/>
      <c r="W181" s="725"/>
      <c r="X181" s="723"/>
      <c r="Y181" s="723"/>
      <c r="Z181" s="723"/>
      <c r="AA181" s="726"/>
      <c r="AB181" s="726"/>
      <c r="AC181" s="170"/>
      <c r="AD181" s="586"/>
      <c r="AE181" s="586"/>
      <c r="AF181" s="170"/>
      <c r="AG181" s="170"/>
      <c r="AH181" s="170"/>
      <c r="AI181" s="170"/>
      <c r="AJ181" s="170"/>
      <c r="AK181" s="170"/>
      <c r="AL181" s="170"/>
      <c r="AM181" s="170"/>
      <c r="AN181" s="170"/>
      <c r="AO181" s="170"/>
      <c r="AP181" s="170"/>
      <c r="AQ181" s="170"/>
      <c r="AR181" s="170"/>
      <c r="AS181" s="170"/>
      <c r="AT181" s="170"/>
      <c r="AU181" s="170"/>
      <c r="AV181" s="170"/>
      <c r="AW181" s="828"/>
      <c r="AX181" s="726"/>
    </row>
    <row r="182" spans="1:50" ht="15" x14ac:dyDescent="0.25">
      <c r="A182" s="170"/>
      <c r="B182" s="719"/>
      <c r="C182" s="170"/>
      <c r="D182" s="170"/>
      <c r="E182" s="170"/>
      <c r="F182" s="170"/>
      <c r="G182" s="721"/>
      <c r="H182" s="170"/>
      <c r="I182" s="170"/>
      <c r="J182" s="170"/>
      <c r="K182" s="170"/>
      <c r="L182" s="170"/>
      <c r="M182" s="730"/>
      <c r="N182" s="730"/>
      <c r="O182" s="730"/>
      <c r="P182" s="731"/>
      <c r="Q182" s="731"/>
      <c r="R182" s="730"/>
      <c r="S182" s="730"/>
      <c r="T182" s="723"/>
      <c r="U182" s="724"/>
      <c r="V182" s="725"/>
      <c r="W182" s="725"/>
      <c r="X182" s="723"/>
      <c r="Y182" s="723"/>
      <c r="Z182" s="723"/>
      <c r="AA182" s="726"/>
      <c r="AB182" s="726"/>
      <c r="AC182" s="170"/>
      <c r="AD182" s="586"/>
      <c r="AE182" s="586"/>
      <c r="AF182" s="170"/>
      <c r="AG182" s="170"/>
      <c r="AH182" s="170"/>
      <c r="AI182" s="170"/>
      <c r="AJ182" s="170"/>
      <c r="AK182" s="170"/>
      <c r="AL182" s="170"/>
      <c r="AM182" s="170"/>
      <c r="AN182" s="170"/>
      <c r="AO182" s="170"/>
      <c r="AP182" s="170"/>
      <c r="AQ182" s="170"/>
      <c r="AR182" s="170"/>
      <c r="AS182" s="170"/>
      <c r="AT182" s="170"/>
      <c r="AU182" s="170"/>
      <c r="AV182" s="170"/>
      <c r="AW182" s="828"/>
      <c r="AX182" s="726"/>
    </row>
    <row r="183" spans="1:50" ht="15" x14ac:dyDescent="0.25">
      <c r="A183" s="170"/>
      <c r="B183" s="719"/>
      <c r="C183" s="170"/>
      <c r="D183" s="170"/>
      <c r="E183" s="170"/>
      <c r="F183" s="170"/>
      <c r="G183" s="721"/>
      <c r="H183" s="170"/>
      <c r="I183" s="170"/>
      <c r="J183" s="170"/>
      <c r="K183" s="170"/>
      <c r="L183" s="170"/>
      <c r="M183" s="730"/>
      <c r="N183" s="730"/>
      <c r="O183" s="730"/>
      <c r="P183" s="731"/>
      <c r="Q183" s="731"/>
      <c r="R183" s="730"/>
      <c r="S183" s="730"/>
      <c r="T183" s="723"/>
      <c r="U183" s="724"/>
      <c r="V183" s="725"/>
      <c r="W183" s="725"/>
      <c r="X183" s="723"/>
      <c r="Y183" s="723"/>
      <c r="Z183" s="723"/>
      <c r="AA183" s="726"/>
      <c r="AB183" s="726"/>
      <c r="AC183" s="170"/>
      <c r="AD183" s="586"/>
      <c r="AE183" s="586"/>
      <c r="AF183" s="170"/>
      <c r="AG183" s="170"/>
      <c r="AH183" s="170"/>
      <c r="AI183" s="170"/>
      <c r="AJ183" s="170"/>
      <c r="AK183" s="170"/>
      <c r="AL183" s="170"/>
      <c r="AM183" s="170"/>
      <c r="AN183" s="170"/>
      <c r="AO183" s="170"/>
      <c r="AP183" s="170"/>
      <c r="AQ183" s="170"/>
      <c r="AR183" s="170"/>
      <c r="AS183" s="170"/>
      <c r="AT183" s="170"/>
      <c r="AU183" s="170"/>
      <c r="AV183" s="170"/>
      <c r="AW183" s="828"/>
      <c r="AX183" s="726"/>
    </row>
    <row r="184" spans="1:50" ht="15" x14ac:dyDescent="0.25">
      <c r="A184" s="170"/>
      <c r="B184" s="719"/>
      <c r="C184" s="170"/>
      <c r="D184" s="170"/>
      <c r="E184" s="170"/>
      <c r="F184" s="170"/>
      <c r="G184" s="721"/>
      <c r="H184" s="170"/>
      <c r="I184" s="170"/>
      <c r="J184" s="170"/>
      <c r="K184" s="170"/>
      <c r="L184" s="170"/>
      <c r="M184" s="730"/>
      <c r="N184" s="730"/>
      <c r="O184" s="730"/>
      <c r="P184" s="731"/>
      <c r="Q184" s="731"/>
      <c r="R184" s="730"/>
      <c r="S184" s="730"/>
      <c r="T184" s="723"/>
      <c r="U184" s="724"/>
      <c r="V184" s="725"/>
      <c r="W184" s="725"/>
      <c r="X184" s="723"/>
      <c r="Y184" s="723"/>
      <c r="Z184" s="723"/>
      <c r="AA184" s="726"/>
      <c r="AB184" s="726"/>
      <c r="AC184" s="170"/>
      <c r="AD184" s="586"/>
      <c r="AE184" s="586"/>
      <c r="AF184" s="170"/>
      <c r="AG184" s="170"/>
      <c r="AH184" s="170"/>
      <c r="AI184" s="170"/>
      <c r="AJ184" s="170"/>
      <c r="AK184" s="170"/>
      <c r="AL184" s="170"/>
      <c r="AM184" s="170"/>
      <c r="AN184" s="170"/>
      <c r="AO184" s="170"/>
      <c r="AP184" s="170"/>
      <c r="AQ184" s="170"/>
      <c r="AR184" s="170"/>
      <c r="AS184" s="170"/>
      <c r="AT184" s="170"/>
      <c r="AU184" s="170"/>
      <c r="AV184" s="170"/>
      <c r="AW184" s="828"/>
      <c r="AX184" s="726"/>
    </row>
    <row r="185" spans="1:50" ht="15" x14ac:dyDescent="0.25">
      <c r="A185" s="170"/>
      <c r="B185" s="719"/>
      <c r="C185" s="170"/>
      <c r="D185" s="170"/>
      <c r="E185" s="170"/>
      <c r="F185" s="170"/>
      <c r="G185" s="721"/>
      <c r="H185" s="170"/>
      <c r="I185" s="170"/>
      <c r="J185" s="170"/>
      <c r="K185" s="170"/>
      <c r="L185" s="170"/>
      <c r="M185" s="730"/>
      <c r="N185" s="730"/>
      <c r="O185" s="730"/>
      <c r="P185" s="731"/>
      <c r="Q185" s="731"/>
      <c r="R185" s="730"/>
      <c r="S185" s="730"/>
      <c r="T185" s="723"/>
      <c r="U185" s="724"/>
      <c r="V185" s="725"/>
      <c r="W185" s="725"/>
      <c r="X185" s="723"/>
      <c r="Y185" s="723"/>
      <c r="Z185" s="723"/>
      <c r="AA185" s="726"/>
      <c r="AB185" s="726"/>
      <c r="AC185" s="170"/>
      <c r="AD185" s="586"/>
      <c r="AE185" s="586"/>
      <c r="AF185" s="170"/>
      <c r="AG185" s="170"/>
      <c r="AH185" s="170"/>
      <c r="AI185" s="170"/>
      <c r="AJ185" s="170"/>
      <c r="AK185" s="170"/>
      <c r="AL185" s="170"/>
      <c r="AM185" s="170"/>
      <c r="AN185" s="170"/>
      <c r="AO185" s="170"/>
      <c r="AP185" s="170"/>
      <c r="AQ185" s="170"/>
      <c r="AR185" s="170"/>
      <c r="AS185" s="170"/>
      <c r="AT185" s="170"/>
      <c r="AU185" s="170"/>
      <c r="AV185" s="170"/>
      <c r="AW185" s="828"/>
      <c r="AX185" s="726"/>
    </row>
    <row r="186" spans="1:50" ht="15" x14ac:dyDescent="0.25">
      <c r="A186" s="170"/>
      <c r="B186" s="719"/>
      <c r="C186" s="170"/>
      <c r="D186" s="170"/>
      <c r="E186" s="170"/>
      <c r="F186" s="170"/>
      <c r="G186" s="721"/>
      <c r="H186" s="170"/>
      <c r="I186" s="170"/>
      <c r="J186" s="170"/>
      <c r="K186" s="170"/>
      <c r="L186" s="170"/>
      <c r="M186" s="730"/>
      <c r="N186" s="730"/>
      <c r="O186" s="730"/>
      <c r="P186" s="731"/>
      <c r="Q186" s="731"/>
      <c r="R186" s="730"/>
      <c r="S186" s="730"/>
      <c r="T186" s="723"/>
      <c r="U186" s="724"/>
      <c r="V186" s="725"/>
      <c r="W186" s="725"/>
      <c r="X186" s="723"/>
      <c r="Y186" s="723"/>
      <c r="Z186" s="723"/>
      <c r="AA186" s="726"/>
      <c r="AB186" s="726"/>
      <c r="AC186" s="170"/>
      <c r="AD186" s="586"/>
      <c r="AE186" s="586"/>
      <c r="AF186" s="170"/>
      <c r="AG186" s="170"/>
      <c r="AH186" s="170"/>
      <c r="AI186" s="170"/>
      <c r="AJ186" s="170"/>
      <c r="AK186" s="170"/>
      <c r="AL186" s="170"/>
      <c r="AM186" s="170"/>
      <c r="AN186" s="170"/>
      <c r="AO186" s="170"/>
      <c r="AP186" s="170"/>
      <c r="AQ186" s="170"/>
      <c r="AR186" s="170"/>
      <c r="AS186" s="170"/>
      <c r="AT186" s="170"/>
      <c r="AU186" s="170"/>
      <c r="AV186" s="170"/>
      <c r="AW186" s="828"/>
      <c r="AX186" s="726"/>
    </row>
    <row r="187" spans="1:50" ht="15" x14ac:dyDescent="0.25">
      <c r="A187" s="170"/>
      <c r="B187" s="719"/>
      <c r="C187" s="170"/>
      <c r="D187" s="170"/>
      <c r="E187" s="170"/>
      <c r="F187" s="170"/>
      <c r="G187" s="721"/>
      <c r="H187" s="170"/>
      <c r="I187" s="170"/>
      <c r="J187" s="170"/>
      <c r="K187" s="170"/>
      <c r="L187" s="170"/>
      <c r="M187" s="730"/>
      <c r="N187" s="730"/>
      <c r="O187" s="730"/>
      <c r="P187" s="731"/>
      <c r="Q187" s="731"/>
      <c r="R187" s="730"/>
      <c r="S187" s="730"/>
      <c r="T187" s="723"/>
      <c r="U187" s="724"/>
      <c r="V187" s="725"/>
      <c r="W187" s="725"/>
      <c r="X187" s="723"/>
      <c r="Y187" s="723"/>
      <c r="Z187" s="723"/>
      <c r="AA187" s="726"/>
      <c r="AB187" s="726"/>
      <c r="AC187" s="170"/>
      <c r="AD187" s="586"/>
      <c r="AE187" s="586"/>
      <c r="AF187" s="170"/>
      <c r="AG187" s="170"/>
      <c r="AH187" s="170"/>
      <c r="AI187" s="170"/>
      <c r="AJ187" s="170"/>
      <c r="AK187" s="170"/>
      <c r="AL187" s="170"/>
      <c r="AM187" s="170"/>
      <c r="AN187" s="170"/>
      <c r="AO187" s="170"/>
      <c r="AP187" s="170"/>
      <c r="AQ187" s="170"/>
      <c r="AR187" s="170"/>
      <c r="AS187" s="170"/>
      <c r="AT187" s="170"/>
      <c r="AU187" s="170"/>
      <c r="AV187" s="170"/>
      <c r="AW187" s="828"/>
      <c r="AX187" s="726"/>
    </row>
    <row r="188" spans="1:50" ht="15" x14ac:dyDescent="0.25">
      <c r="A188" s="170"/>
      <c r="B188" s="719"/>
      <c r="C188" s="170"/>
      <c r="D188" s="170"/>
      <c r="E188" s="170"/>
      <c r="F188" s="170"/>
      <c r="G188" s="721"/>
      <c r="H188" s="170"/>
      <c r="I188" s="170"/>
      <c r="J188" s="170"/>
      <c r="K188" s="170"/>
      <c r="L188" s="170"/>
      <c r="M188" s="730"/>
      <c r="N188" s="730"/>
      <c r="O188" s="730"/>
      <c r="P188" s="731"/>
      <c r="Q188" s="731"/>
      <c r="R188" s="730"/>
      <c r="S188" s="730"/>
      <c r="T188" s="723"/>
      <c r="U188" s="724"/>
      <c r="V188" s="725"/>
      <c r="W188" s="725"/>
      <c r="X188" s="723"/>
      <c r="Y188" s="723"/>
      <c r="Z188" s="723"/>
      <c r="AA188" s="726"/>
      <c r="AB188" s="726"/>
      <c r="AC188" s="170"/>
      <c r="AD188" s="586"/>
      <c r="AE188" s="586"/>
      <c r="AF188" s="170"/>
      <c r="AG188" s="170"/>
      <c r="AH188" s="170"/>
      <c r="AI188" s="170"/>
      <c r="AJ188" s="170"/>
      <c r="AK188" s="170"/>
      <c r="AL188" s="170"/>
      <c r="AM188" s="170"/>
      <c r="AN188" s="170"/>
      <c r="AO188" s="170"/>
      <c r="AP188" s="170"/>
      <c r="AQ188" s="170"/>
      <c r="AR188" s="170"/>
      <c r="AS188" s="170"/>
      <c r="AT188" s="170"/>
      <c r="AU188" s="170"/>
      <c r="AV188" s="170"/>
      <c r="AW188" s="828"/>
      <c r="AX188" s="726"/>
    </row>
    <row r="189" spans="1:50" ht="15" x14ac:dyDescent="0.25">
      <c r="A189" s="170"/>
      <c r="B189" s="719"/>
      <c r="C189" s="170"/>
      <c r="D189" s="170"/>
      <c r="E189" s="170"/>
      <c r="F189" s="170"/>
      <c r="G189" s="721"/>
      <c r="H189" s="170"/>
      <c r="I189" s="170"/>
      <c r="J189" s="170"/>
      <c r="K189" s="170"/>
      <c r="L189" s="170"/>
      <c r="M189" s="730"/>
      <c r="N189" s="730"/>
      <c r="O189" s="730"/>
      <c r="P189" s="731"/>
      <c r="Q189" s="731"/>
      <c r="R189" s="730"/>
      <c r="S189" s="730"/>
      <c r="T189" s="723"/>
      <c r="U189" s="724"/>
      <c r="V189" s="725"/>
      <c r="W189" s="725"/>
      <c r="X189" s="723"/>
      <c r="Y189" s="723"/>
      <c r="Z189" s="723"/>
      <c r="AA189" s="726"/>
      <c r="AB189" s="726"/>
      <c r="AC189" s="170"/>
      <c r="AD189" s="586"/>
      <c r="AE189" s="586"/>
      <c r="AF189" s="170"/>
      <c r="AG189" s="170"/>
      <c r="AH189" s="170"/>
      <c r="AI189" s="170"/>
      <c r="AJ189" s="170"/>
      <c r="AK189" s="170"/>
      <c r="AL189" s="170"/>
      <c r="AM189" s="170"/>
      <c r="AN189" s="170"/>
      <c r="AO189" s="170"/>
      <c r="AP189" s="170"/>
      <c r="AQ189" s="170"/>
      <c r="AR189" s="170"/>
      <c r="AS189" s="170"/>
      <c r="AT189" s="170"/>
      <c r="AU189" s="170"/>
      <c r="AV189" s="170"/>
      <c r="AW189" s="828"/>
      <c r="AX189" s="726"/>
    </row>
    <row r="190" spans="1:50" ht="15" x14ac:dyDescent="0.25">
      <c r="A190" s="170"/>
      <c r="B190" s="719"/>
      <c r="C190" s="170"/>
      <c r="D190" s="170"/>
      <c r="E190" s="170"/>
      <c r="F190" s="170"/>
      <c r="G190" s="721"/>
      <c r="H190" s="170"/>
      <c r="I190" s="170"/>
      <c r="J190" s="170"/>
      <c r="K190" s="170"/>
      <c r="L190" s="170"/>
      <c r="M190" s="730"/>
      <c r="N190" s="730"/>
      <c r="O190" s="730"/>
      <c r="P190" s="731"/>
      <c r="Q190" s="731"/>
      <c r="R190" s="730"/>
      <c r="S190" s="730"/>
      <c r="T190" s="723"/>
      <c r="U190" s="724"/>
      <c r="V190" s="725"/>
      <c r="W190" s="725"/>
      <c r="X190" s="723"/>
      <c r="Y190" s="723"/>
      <c r="Z190" s="723"/>
      <c r="AA190" s="726"/>
      <c r="AB190" s="726"/>
      <c r="AC190" s="170"/>
      <c r="AD190" s="586"/>
      <c r="AE190" s="586"/>
      <c r="AF190" s="170"/>
      <c r="AG190" s="170"/>
      <c r="AH190" s="170"/>
      <c r="AI190" s="170"/>
      <c r="AJ190" s="170"/>
      <c r="AK190" s="170"/>
      <c r="AL190" s="170"/>
      <c r="AM190" s="170"/>
      <c r="AN190" s="170"/>
      <c r="AO190" s="170"/>
      <c r="AP190" s="170"/>
      <c r="AQ190" s="170"/>
      <c r="AR190" s="170"/>
      <c r="AS190" s="170"/>
      <c r="AT190" s="170"/>
      <c r="AU190" s="170"/>
      <c r="AV190" s="170"/>
      <c r="AW190" s="828"/>
      <c r="AX190" s="726"/>
    </row>
    <row r="191" spans="1:50" ht="15" x14ac:dyDescent="0.25">
      <c r="A191" s="170"/>
      <c r="B191" s="719"/>
      <c r="C191" s="170"/>
      <c r="D191" s="170"/>
      <c r="E191" s="170"/>
      <c r="F191" s="170"/>
      <c r="G191" s="721"/>
      <c r="H191" s="170"/>
      <c r="I191" s="170"/>
      <c r="J191" s="170"/>
      <c r="K191" s="170"/>
      <c r="L191" s="170"/>
      <c r="M191" s="730"/>
      <c r="N191" s="730"/>
      <c r="O191" s="730"/>
      <c r="P191" s="731"/>
      <c r="Q191" s="731"/>
      <c r="R191" s="730"/>
      <c r="S191" s="730"/>
      <c r="T191" s="723"/>
      <c r="U191" s="724"/>
      <c r="V191" s="725"/>
      <c r="W191" s="725"/>
      <c r="X191" s="723"/>
      <c r="Y191" s="723"/>
      <c r="Z191" s="723"/>
      <c r="AA191" s="726"/>
      <c r="AB191" s="726"/>
      <c r="AC191" s="170"/>
      <c r="AD191" s="586"/>
      <c r="AE191" s="586"/>
      <c r="AF191" s="170"/>
      <c r="AG191" s="170"/>
      <c r="AH191" s="170"/>
      <c r="AI191" s="170"/>
      <c r="AJ191" s="170"/>
      <c r="AK191" s="170"/>
      <c r="AL191" s="170"/>
      <c r="AM191" s="170"/>
      <c r="AN191" s="170"/>
      <c r="AO191" s="170"/>
      <c r="AP191" s="170"/>
      <c r="AQ191" s="170"/>
      <c r="AR191" s="170"/>
      <c r="AS191" s="170"/>
      <c r="AT191" s="170"/>
      <c r="AU191" s="170"/>
      <c r="AV191" s="170"/>
      <c r="AW191" s="828"/>
      <c r="AX191" s="726"/>
    </row>
    <row r="192" spans="1:50" ht="15" x14ac:dyDescent="0.25">
      <c r="A192" s="170"/>
      <c r="B192" s="719"/>
      <c r="C192" s="170"/>
      <c r="D192" s="170"/>
      <c r="E192" s="170"/>
      <c r="F192" s="170"/>
      <c r="G192" s="721"/>
      <c r="H192" s="170"/>
      <c r="I192" s="170"/>
      <c r="J192" s="170"/>
      <c r="K192" s="170"/>
      <c r="L192" s="170"/>
      <c r="M192" s="730"/>
      <c r="N192" s="730"/>
      <c r="O192" s="730"/>
      <c r="P192" s="731"/>
      <c r="Q192" s="731"/>
      <c r="R192" s="730"/>
      <c r="S192" s="730"/>
      <c r="T192" s="723"/>
      <c r="U192" s="724"/>
      <c r="V192" s="725"/>
      <c r="W192" s="725"/>
      <c r="X192" s="723"/>
      <c r="Y192" s="723"/>
      <c r="Z192" s="723"/>
      <c r="AA192" s="726"/>
      <c r="AB192" s="726"/>
      <c r="AC192" s="170"/>
      <c r="AD192" s="586"/>
      <c r="AE192" s="586"/>
      <c r="AF192" s="170"/>
      <c r="AG192" s="170"/>
      <c r="AH192" s="170"/>
      <c r="AI192" s="170"/>
      <c r="AJ192" s="170"/>
      <c r="AK192" s="170"/>
      <c r="AL192" s="170"/>
      <c r="AM192" s="170"/>
      <c r="AN192" s="170"/>
      <c r="AO192" s="170"/>
      <c r="AP192" s="170"/>
      <c r="AQ192" s="170"/>
      <c r="AR192" s="170"/>
      <c r="AS192" s="170"/>
      <c r="AT192" s="170"/>
      <c r="AU192" s="170"/>
      <c r="AV192" s="170"/>
      <c r="AW192" s="828"/>
      <c r="AX192" s="726"/>
    </row>
    <row r="193" spans="1:50" ht="15" x14ac:dyDescent="0.25">
      <c r="A193" s="170"/>
      <c r="B193" s="719"/>
      <c r="C193" s="170"/>
      <c r="D193" s="170"/>
      <c r="E193" s="170"/>
      <c r="F193" s="170"/>
      <c r="G193" s="721"/>
      <c r="H193" s="170"/>
      <c r="I193" s="170"/>
      <c r="J193" s="170"/>
      <c r="K193" s="170"/>
      <c r="L193" s="170"/>
      <c r="M193" s="730"/>
      <c r="N193" s="730"/>
      <c r="O193" s="730"/>
      <c r="P193" s="731"/>
      <c r="Q193" s="731"/>
      <c r="R193" s="730"/>
      <c r="S193" s="730"/>
      <c r="T193" s="723"/>
      <c r="U193" s="724"/>
      <c r="V193" s="725"/>
      <c r="W193" s="725"/>
      <c r="X193" s="723"/>
      <c r="Y193" s="723"/>
      <c r="Z193" s="723"/>
      <c r="AA193" s="726"/>
      <c r="AB193" s="726"/>
      <c r="AC193" s="170"/>
      <c r="AD193" s="586"/>
      <c r="AE193" s="586"/>
      <c r="AF193" s="170"/>
      <c r="AG193" s="170"/>
      <c r="AH193" s="170"/>
      <c r="AI193" s="170"/>
      <c r="AJ193" s="170"/>
      <c r="AK193" s="170"/>
      <c r="AL193" s="170"/>
      <c r="AM193" s="170"/>
      <c r="AN193" s="170"/>
      <c r="AO193" s="170"/>
      <c r="AP193" s="170"/>
      <c r="AQ193" s="170"/>
      <c r="AR193" s="170"/>
      <c r="AS193" s="170"/>
      <c r="AT193" s="170"/>
      <c r="AU193" s="170"/>
      <c r="AV193" s="170"/>
      <c r="AW193" s="828"/>
      <c r="AX193" s="726"/>
    </row>
    <row r="194" spans="1:50" ht="15" x14ac:dyDescent="0.25">
      <c r="A194" s="170"/>
      <c r="B194" s="719"/>
      <c r="C194" s="170"/>
      <c r="D194" s="170"/>
      <c r="E194" s="170"/>
      <c r="F194" s="170"/>
      <c r="G194" s="721"/>
      <c r="H194" s="170"/>
      <c r="I194" s="170"/>
      <c r="J194" s="170"/>
      <c r="K194" s="170"/>
      <c r="L194" s="170"/>
      <c r="M194" s="730"/>
      <c r="N194" s="730"/>
      <c r="O194" s="730"/>
      <c r="P194" s="731"/>
      <c r="Q194" s="731"/>
      <c r="R194" s="730"/>
      <c r="S194" s="730"/>
      <c r="T194" s="723"/>
      <c r="U194" s="724"/>
      <c r="V194" s="725"/>
      <c r="W194" s="725"/>
      <c r="X194" s="723"/>
      <c r="Y194" s="723"/>
      <c r="Z194" s="723"/>
      <c r="AA194" s="726"/>
      <c r="AB194" s="726"/>
      <c r="AC194" s="170"/>
      <c r="AD194" s="586"/>
      <c r="AE194" s="586"/>
      <c r="AF194" s="170"/>
      <c r="AG194" s="170"/>
      <c r="AH194" s="170"/>
      <c r="AI194" s="170"/>
      <c r="AJ194" s="170"/>
      <c r="AK194" s="170"/>
      <c r="AL194" s="170"/>
      <c r="AM194" s="170"/>
      <c r="AN194" s="170"/>
      <c r="AO194" s="170"/>
      <c r="AP194" s="170"/>
      <c r="AQ194" s="170"/>
      <c r="AR194" s="170"/>
      <c r="AS194" s="170"/>
      <c r="AT194" s="170"/>
      <c r="AU194" s="170"/>
      <c r="AV194" s="170"/>
      <c r="AW194" s="828"/>
      <c r="AX194" s="726"/>
    </row>
    <row r="195" spans="1:50" ht="15" x14ac:dyDescent="0.25">
      <c r="A195" s="170"/>
      <c r="B195" s="719"/>
      <c r="C195" s="170"/>
      <c r="D195" s="170"/>
      <c r="E195" s="170"/>
      <c r="F195" s="170"/>
      <c r="G195" s="721"/>
      <c r="H195" s="170"/>
      <c r="I195" s="170"/>
      <c r="J195" s="170"/>
      <c r="K195" s="170"/>
      <c r="L195" s="170"/>
      <c r="M195" s="730"/>
      <c r="N195" s="730"/>
      <c r="O195" s="730"/>
      <c r="P195" s="731"/>
      <c r="Q195" s="731"/>
      <c r="R195" s="730"/>
      <c r="S195" s="730"/>
      <c r="T195" s="723"/>
      <c r="U195" s="724"/>
      <c r="V195" s="725"/>
      <c r="W195" s="725"/>
      <c r="X195" s="723"/>
      <c r="Y195" s="723"/>
      <c r="Z195" s="723"/>
      <c r="AA195" s="726"/>
      <c r="AB195" s="726"/>
      <c r="AC195" s="170"/>
      <c r="AD195" s="586"/>
      <c r="AE195" s="586"/>
      <c r="AF195" s="170"/>
      <c r="AG195" s="170"/>
      <c r="AH195" s="170"/>
      <c r="AI195" s="170"/>
      <c r="AJ195" s="170"/>
      <c r="AK195" s="170"/>
      <c r="AL195" s="170"/>
      <c r="AM195" s="170"/>
      <c r="AN195" s="170"/>
      <c r="AO195" s="170"/>
      <c r="AP195" s="170"/>
      <c r="AQ195" s="170"/>
      <c r="AR195" s="170"/>
      <c r="AS195" s="170"/>
      <c r="AT195" s="170"/>
      <c r="AU195" s="170"/>
      <c r="AV195" s="170"/>
      <c r="AW195" s="828"/>
      <c r="AX195" s="726"/>
    </row>
    <row r="196" spans="1:50" ht="15" x14ac:dyDescent="0.25">
      <c r="A196" s="170"/>
      <c r="B196" s="719"/>
      <c r="C196" s="170"/>
      <c r="D196" s="170"/>
      <c r="E196" s="170"/>
      <c r="F196" s="170"/>
      <c r="G196" s="721"/>
      <c r="H196" s="170"/>
      <c r="I196" s="170"/>
      <c r="J196" s="170"/>
      <c r="K196" s="170"/>
      <c r="L196" s="170"/>
      <c r="M196" s="730"/>
      <c r="N196" s="730"/>
      <c r="O196" s="730"/>
      <c r="P196" s="731"/>
      <c r="Q196" s="731"/>
      <c r="R196" s="730"/>
      <c r="S196" s="730"/>
      <c r="T196" s="723"/>
      <c r="U196" s="724"/>
      <c r="V196" s="725"/>
      <c r="W196" s="725"/>
      <c r="X196" s="723"/>
      <c r="Y196" s="723"/>
      <c r="Z196" s="723"/>
      <c r="AA196" s="726"/>
      <c r="AB196" s="726"/>
      <c r="AC196" s="170"/>
      <c r="AD196" s="586"/>
      <c r="AE196" s="586"/>
      <c r="AF196" s="170"/>
      <c r="AG196" s="170"/>
      <c r="AH196" s="170"/>
      <c r="AI196" s="170"/>
      <c r="AJ196" s="170"/>
      <c r="AK196" s="170"/>
      <c r="AL196" s="170"/>
      <c r="AM196" s="170"/>
      <c r="AN196" s="170"/>
      <c r="AO196" s="170"/>
      <c r="AP196" s="170"/>
      <c r="AQ196" s="170"/>
      <c r="AR196" s="170"/>
      <c r="AS196" s="170"/>
      <c r="AT196" s="170"/>
      <c r="AU196" s="170"/>
      <c r="AV196" s="170"/>
      <c r="AW196" s="828"/>
      <c r="AX196" s="726"/>
    </row>
    <row r="197" spans="1:50" ht="15" x14ac:dyDescent="0.25">
      <c r="A197" s="170"/>
      <c r="B197" s="719"/>
      <c r="C197" s="170"/>
      <c r="D197" s="170"/>
      <c r="E197" s="170"/>
      <c r="F197" s="170"/>
      <c r="G197" s="721"/>
      <c r="H197" s="170"/>
      <c r="I197" s="170"/>
      <c r="J197" s="170"/>
      <c r="K197" s="170"/>
      <c r="L197" s="170"/>
      <c r="M197" s="730"/>
      <c r="N197" s="730"/>
      <c r="O197" s="730"/>
      <c r="P197" s="731"/>
      <c r="Q197" s="731"/>
      <c r="R197" s="730"/>
      <c r="S197" s="730"/>
      <c r="T197" s="723"/>
      <c r="U197" s="724"/>
      <c r="V197" s="725"/>
      <c r="W197" s="725"/>
      <c r="X197" s="723"/>
      <c r="Y197" s="723"/>
      <c r="Z197" s="723"/>
      <c r="AA197" s="726"/>
      <c r="AB197" s="726"/>
      <c r="AC197" s="170"/>
      <c r="AD197" s="586"/>
      <c r="AE197" s="586"/>
      <c r="AF197" s="170"/>
      <c r="AG197" s="170"/>
      <c r="AH197" s="170"/>
      <c r="AI197" s="170"/>
      <c r="AJ197" s="170"/>
      <c r="AK197" s="170"/>
      <c r="AL197" s="170"/>
      <c r="AM197" s="170"/>
      <c r="AN197" s="170"/>
      <c r="AO197" s="170"/>
      <c r="AP197" s="170"/>
      <c r="AQ197" s="170"/>
      <c r="AR197" s="170"/>
      <c r="AS197" s="170"/>
      <c r="AT197" s="170"/>
      <c r="AU197" s="170"/>
      <c r="AV197" s="170"/>
      <c r="AW197" s="828"/>
      <c r="AX197" s="726"/>
    </row>
    <row r="198" spans="1:50" ht="15" x14ac:dyDescent="0.25">
      <c r="A198" s="170"/>
      <c r="B198" s="719"/>
      <c r="C198" s="170"/>
      <c r="D198" s="170"/>
      <c r="E198" s="170"/>
      <c r="F198" s="170"/>
      <c r="G198" s="721"/>
      <c r="H198" s="170"/>
      <c r="I198" s="170"/>
      <c r="J198" s="170"/>
      <c r="K198" s="170"/>
      <c r="L198" s="170"/>
      <c r="M198" s="730"/>
      <c r="N198" s="730"/>
      <c r="O198" s="730"/>
      <c r="P198" s="731"/>
      <c r="Q198" s="731"/>
      <c r="R198" s="730"/>
      <c r="S198" s="730"/>
      <c r="T198" s="723"/>
      <c r="U198" s="724"/>
      <c r="V198" s="725"/>
      <c r="W198" s="725"/>
      <c r="X198" s="723"/>
      <c r="Y198" s="723"/>
      <c r="Z198" s="723"/>
      <c r="AA198" s="726"/>
      <c r="AB198" s="726"/>
      <c r="AC198" s="170"/>
      <c r="AD198" s="586"/>
      <c r="AE198" s="586"/>
      <c r="AF198" s="170"/>
      <c r="AG198" s="170"/>
      <c r="AH198" s="170"/>
      <c r="AI198" s="170"/>
      <c r="AJ198" s="170"/>
      <c r="AK198" s="170"/>
      <c r="AL198" s="170"/>
      <c r="AM198" s="170"/>
      <c r="AN198" s="170"/>
      <c r="AO198" s="170"/>
      <c r="AP198" s="170"/>
      <c r="AQ198" s="170"/>
      <c r="AR198" s="170"/>
      <c r="AS198" s="170"/>
      <c r="AT198" s="170"/>
      <c r="AU198" s="170"/>
      <c r="AV198" s="170"/>
      <c r="AW198" s="828"/>
      <c r="AX198" s="726"/>
    </row>
    <row r="199" spans="1:50" ht="15" x14ac:dyDescent="0.25">
      <c r="A199" s="170"/>
      <c r="B199" s="719"/>
      <c r="C199" s="170"/>
      <c r="D199" s="170"/>
      <c r="E199" s="170"/>
      <c r="F199" s="170"/>
      <c r="G199" s="721"/>
      <c r="H199" s="170"/>
      <c r="I199" s="170"/>
      <c r="J199" s="170"/>
      <c r="K199" s="170"/>
      <c r="L199" s="170"/>
      <c r="M199" s="730"/>
      <c r="N199" s="730"/>
      <c r="O199" s="730"/>
      <c r="P199" s="731"/>
      <c r="Q199" s="731"/>
      <c r="R199" s="730"/>
      <c r="S199" s="730"/>
      <c r="T199" s="723"/>
      <c r="U199" s="724"/>
      <c r="V199" s="725"/>
      <c r="W199" s="725"/>
      <c r="X199" s="723"/>
      <c r="Y199" s="723"/>
      <c r="Z199" s="723"/>
      <c r="AA199" s="726"/>
      <c r="AB199" s="726"/>
      <c r="AC199" s="170"/>
      <c r="AD199" s="586"/>
      <c r="AE199" s="586"/>
      <c r="AF199" s="170"/>
      <c r="AG199" s="170"/>
      <c r="AH199" s="170"/>
      <c r="AI199" s="170"/>
      <c r="AJ199" s="170"/>
      <c r="AK199" s="170"/>
      <c r="AL199" s="170"/>
      <c r="AM199" s="170"/>
      <c r="AN199" s="170"/>
      <c r="AO199" s="170"/>
      <c r="AP199" s="170"/>
      <c r="AQ199" s="170"/>
      <c r="AR199" s="170"/>
      <c r="AS199" s="170"/>
      <c r="AT199" s="170"/>
      <c r="AU199" s="170"/>
      <c r="AV199" s="170"/>
      <c r="AW199" s="828"/>
      <c r="AX199" s="726"/>
    </row>
    <row r="200" spans="1:50" ht="15" x14ac:dyDescent="0.25">
      <c r="A200" s="170"/>
      <c r="B200" s="719"/>
      <c r="C200" s="170"/>
      <c r="D200" s="170"/>
      <c r="E200" s="170"/>
      <c r="F200" s="170"/>
      <c r="G200" s="721"/>
      <c r="H200" s="170"/>
      <c r="I200" s="170"/>
      <c r="J200" s="170"/>
      <c r="K200" s="170"/>
      <c r="L200" s="170"/>
      <c r="M200" s="730"/>
      <c r="N200" s="730"/>
      <c r="O200" s="730"/>
      <c r="P200" s="731"/>
      <c r="Q200" s="731"/>
      <c r="R200" s="730"/>
      <c r="S200" s="730"/>
      <c r="T200" s="723"/>
      <c r="U200" s="724"/>
      <c r="V200" s="725"/>
      <c r="W200" s="725"/>
      <c r="X200" s="723"/>
      <c r="Y200" s="723"/>
      <c r="Z200" s="723"/>
      <c r="AA200" s="726"/>
      <c r="AB200" s="726"/>
      <c r="AC200" s="170"/>
      <c r="AD200" s="586"/>
      <c r="AE200" s="586"/>
      <c r="AF200" s="170"/>
      <c r="AG200" s="170"/>
      <c r="AH200" s="170"/>
      <c r="AI200" s="170"/>
      <c r="AJ200" s="170"/>
      <c r="AK200" s="170"/>
      <c r="AL200" s="170"/>
      <c r="AM200" s="170"/>
      <c r="AN200" s="170"/>
      <c r="AO200" s="170"/>
      <c r="AP200" s="170"/>
      <c r="AQ200" s="170"/>
      <c r="AR200" s="170"/>
      <c r="AS200" s="170"/>
      <c r="AT200" s="170"/>
      <c r="AU200" s="170"/>
      <c r="AV200" s="170"/>
      <c r="AW200" s="828"/>
      <c r="AX200" s="726"/>
    </row>
    <row r="201" spans="1:50" ht="15" x14ac:dyDescent="0.25">
      <c r="A201" s="170"/>
      <c r="B201" s="719"/>
      <c r="C201" s="170"/>
      <c r="D201" s="170"/>
      <c r="E201" s="170"/>
      <c r="F201" s="170"/>
      <c r="G201" s="721"/>
      <c r="H201" s="170"/>
      <c r="I201" s="170"/>
      <c r="J201" s="170"/>
      <c r="K201" s="170"/>
      <c r="L201" s="170"/>
      <c r="M201" s="730"/>
      <c r="N201" s="730"/>
      <c r="O201" s="730"/>
      <c r="P201" s="731"/>
      <c r="Q201" s="731"/>
      <c r="R201" s="730"/>
      <c r="S201" s="730"/>
      <c r="T201" s="723"/>
      <c r="U201" s="724"/>
      <c r="V201" s="725"/>
      <c r="W201" s="725"/>
      <c r="X201" s="723"/>
      <c r="Y201" s="723"/>
      <c r="Z201" s="723"/>
      <c r="AA201" s="726"/>
      <c r="AB201" s="726"/>
      <c r="AC201" s="170"/>
      <c r="AD201" s="586"/>
      <c r="AE201" s="586"/>
      <c r="AF201" s="170"/>
      <c r="AG201" s="170"/>
      <c r="AH201" s="170"/>
      <c r="AI201" s="170"/>
      <c r="AJ201" s="170"/>
      <c r="AK201" s="170"/>
      <c r="AL201" s="170"/>
      <c r="AM201" s="170"/>
      <c r="AN201" s="170"/>
      <c r="AO201" s="170"/>
      <c r="AP201" s="170"/>
      <c r="AQ201" s="170"/>
      <c r="AR201" s="170"/>
      <c r="AS201" s="170"/>
      <c r="AT201" s="170"/>
      <c r="AU201" s="170"/>
      <c r="AV201" s="170"/>
      <c r="AW201" s="828"/>
      <c r="AX201" s="726"/>
    </row>
    <row r="202" spans="1:50" ht="15" x14ac:dyDescent="0.25">
      <c r="A202" s="170"/>
      <c r="B202" s="719"/>
      <c r="C202" s="170"/>
      <c r="D202" s="170"/>
      <c r="E202" s="170"/>
      <c r="F202" s="170"/>
      <c r="G202" s="721"/>
      <c r="H202" s="170"/>
      <c r="I202" s="170"/>
      <c r="J202" s="170"/>
      <c r="K202" s="170"/>
      <c r="L202" s="170"/>
      <c r="M202" s="730"/>
      <c r="N202" s="730"/>
      <c r="O202" s="730"/>
      <c r="P202" s="731"/>
      <c r="Q202" s="731"/>
      <c r="R202" s="730"/>
      <c r="S202" s="730"/>
      <c r="T202" s="723"/>
      <c r="U202" s="724"/>
      <c r="V202" s="725"/>
      <c r="W202" s="725"/>
      <c r="X202" s="723"/>
      <c r="Y202" s="723"/>
      <c r="Z202" s="723"/>
      <c r="AA202" s="726"/>
      <c r="AB202" s="726"/>
      <c r="AC202" s="170"/>
      <c r="AD202" s="586"/>
      <c r="AE202" s="586"/>
      <c r="AF202" s="170"/>
      <c r="AG202" s="170"/>
      <c r="AH202" s="170"/>
      <c r="AI202" s="170"/>
      <c r="AJ202" s="170"/>
      <c r="AK202" s="170"/>
      <c r="AL202" s="170"/>
      <c r="AM202" s="170"/>
      <c r="AN202" s="170"/>
      <c r="AO202" s="170"/>
      <c r="AP202" s="170"/>
      <c r="AQ202" s="170"/>
      <c r="AR202" s="170"/>
      <c r="AS202" s="170"/>
      <c r="AT202" s="170"/>
      <c r="AU202" s="170"/>
      <c r="AV202" s="170"/>
      <c r="AW202" s="828"/>
      <c r="AX202" s="726"/>
    </row>
    <row r="203" spans="1:50" ht="15" x14ac:dyDescent="0.25">
      <c r="A203" s="170"/>
      <c r="B203" s="719"/>
      <c r="C203" s="170"/>
      <c r="D203" s="170"/>
      <c r="E203" s="170"/>
      <c r="F203" s="170"/>
      <c r="G203" s="721"/>
      <c r="H203" s="170"/>
      <c r="I203" s="170"/>
      <c r="J203" s="170"/>
      <c r="K203" s="170"/>
      <c r="L203" s="170"/>
      <c r="M203" s="730"/>
      <c r="N203" s="730"/>
      <c r="O203" s="730"/>
      <c r="P203" s="731"/>
      <c r="Q203" s="731"/>
      <c r="R203" s="730"/>
      <c r="S203" s="730"/>
      <c r="T203" s="723"/>
      <c r="U203" s="724"/>
      <c r="V203" s="725"/>
      <c r="W203" s="725"/>
      <c r="X203" s="723"/>
      <c r="Y203" s="723"/>
      <c r="Z203" s="723"/>
      <c r="AA203" s="726"/>
      <c r="AB203" s="726"/>
      <c r="AC203" s="170"/>
      <c r="AD203" s="586"/>
      <c r="AE203" s="586"/>
      <c r="AF203" s="170"/>
      <c r="AG203" s="170"/>
      <c r="AH203" s="170"/>
      <c r="AI203" s="170"/>
      <c r="AJ203" s="170"/>
      <c r="AK203" s="170"/>
      <c r="AL203" s="170"/>
      <c r="AM203" s="170"/>
      <c r="AN203" s="170"/>
      <c r="AO203" s="170"/>
      <c r="AP203" s="170"/>
      <c r="AQ203" s="170"/>
      <c r="AR203" s="170"/>
      <c r="AS203" s="170"/>
      <c r="AT203" s="170"/>
      <c r="AU203" s="170"/>
      <c r="AV203" s="170"/>
      <c r="AW203" s="828"/>
      <c r="AX203" s="726"/>
    </row>
    <row r="204" spans="1:50" ht="15" x14ac:dyDescent="0.25">
      <c r="A204" s="170"/>
      <c r="B204" s="719"/>
      <c r="C204" s="170"/>
      <c r="D204" s="170"/>
      <c r="E204" s="170"/>
      <c r="F204" s="170"/>
      <c r="G204" s="721"/>
      <c r="H204" s="170"/>
      <c r="I204" s="170"/>
      <c r="J204" s="170"/>
      <c r="K204" s="170"/>
      <c r="L204" s="170"/>
      <c r="M204" s="730"/>
      <c r="N204" s="730"/>
      <c r="O204" s="730"/>
      <c r="P204" s="731"/>
      <c r="Q204" s="731"/>
      <c r="R204" s="730"/>
      <c r="S204" s="730"/>
      <c r="T204" s="723"/>
      <c r="U204" s="724"/>
      <c r="V204" s="725"/>
      <c r="W204" s="725"/>
      <c r="X204" s="723"/>
      <c r="Y204" s="723"/>
      <c r="Z204" s="723"/>
      <c r="AA204" s="726"/>
      <c r="AB204" s="726"/>
      <c r="AC204" s="170"/>
      <c r="AD204" s="586"/>
      <c r="AE204" s="586"/>
      <c r="AF204" s="170"/>
      <c r="AG204" s="170"/>
      <c r="AH204" s="170"/>
      <c r="AI204" s="170"/>
      <c r="AJ204" s="170"/>
      <c r="AK204" s="170"/>
      <c r="AL204" s="170"/>
      <c r="AM204" s="170"/>
      <c r="AN204" s="170"/>
      <c r="AO204" s="170"/>
      <c r="AP204" s="170"/>
      <c r="AQ204" s="170"/>
      <c r="AR204" s="170"/>
      <c r="AS204" s="170"/>
      <c r="AT204" s="170"/>
      <c r="AU204" s="170"/>
      <c r="AV204" s="170"/>
      <c r="AW204" s="828"/>
      <c r="AX204" s="726"/>
    </row>
    <row r="205" spans="1:50" ht="15" x14ac:dyDescent="0.25">
      <c r="A205" s="170"/>
      <c r="B205" s="719"/>
      <c r="C205" s="170"/>
      <c r="D205" s="170"/>
      <c r="E205" s="170"/>
      <c r="F205" s="170"/>
      <c r="G205" s="721"/>
      <c r="H205" s="170"/>
      <c r="I205" s="170"/>
      <c r="J205" s="170"/>
      <c r="K205" s="170"/>
      <c r="L205" s="170"/>
      <c r="M205" s="730"/>
      <c r="N205" s="730"/>
      <c r="O205" s="730"/>
      <c r="P205" s="731"/>
      <c r="Q205" s="731"/>
      <c r="R205" s="730"/>
      <c r="S205" s="730"/>
      <c r="T205" s="723"/>
      <c r="U205" s="724"/>
      <c r="V205" s="725"/>
      <c r="W205" s="725"/>
      <c r="X205" s="723"/>
      <c r="Y205" s="723"/>
      <c r="Z205" s="723"/>
      <c r="AA205" s="726"/>
      <c r="AB205" s="726"/>
      <c r="AC205" s="170"/>
      <c r="AD205" s="586"/>
      <c r="AE205" s="586"/>
      <c r="AF205" s="170"/>
      <c r="AG205" s="170"/>
      <c r="AH205" s="170"/>
      <c r="AI205" s="170"/>
      <c r="AJ205" s="170"/>
      <c r="AK205" s="170"/>
      <c r="AL205" s="170"/>
      <c r="AM205" s="170"/>
      <c r="AN205" s="170"/>
      <c r="AO205" s="170"/>
      <c r="AP205" s="170"/>
      <c r="AQ205" s="170"/>
      <c r="AR205" s="170"/>
      <c r="AS205" s="170"/>
      <c r="AT205" s="170"/>
      <c r="AU205" s="170"/>
      <c r="AV205" s="170"/>
      <c r="AW205" s="828"/>
      <c r="AX205" s="726"/>
    </row>
    <row r="206" spans="1:50" ht="15" x14ac:dyDescent="0.25">
      <c r="A206" s="170"/>
      <c r="B206" s="719"/>
      <c r="C206" s="170"/>
      <c r="D206" s="170"/>
      <c r="E206" s="170"/>
      <c r="F206" s="170"/>
      <c r="G206" s="721"/>
      <c r="H206" s="170"/>
      <c r="I206" s="170"/>
      <c r="J206" s="170"/>
      <c r="K206" s="170"/>
      <c r="L206" s="170"/>
      <c r="M206" s="730"/>
      <c r="N206" s="730"/>
      <c r="O206" s="730"/>
      <c r="P206" s="731"/>
      <c r="Q206" s="731"/>
      <c r="R206" s="730"/>
      <c r="S206" s="730"/>
      <c r="T206" s="723"/>
      <c r="U206" s="724"/>
      <c r="V206" s="725"/>
      <c r="W206" s="725"/>
      <c r="X206" s="723"/>
      <c r="Y206" s="723"/>
      <c r="Z206" s="723"/>
      <c r="AA206" s="726"/>
      <c r="AB206" s="726"/>
      <c r="AC206" s="170"/>
      <c r="AD206" s="586"/>
      <c r="AE206" s="586"/>
      <c r="AF206" s="170"/>
      <c r="AG206" s="170"/>
      <c r="AH206" s="170"/>
      <c r="AI206" s="170"/>
      <c r="AJ206" s="170"/>
      <c r="AK206" s="170"/>
      <c r="AL206" s="170"/>
      <c r="AM206" s="170"/>
      <c r="AN206" s="170"/>
      <c r="AO206" s="170"/>
      <c r="AP206" s="170"/>
      <c r="AQ206" s="170"/>
      <c r="AR206" s="170"/>
      <c r="AS206" s="170"/>
      <c r="AT206" s="170"/>
      <c r="AU206" s="170"/>
      <c r="AV206" s="170"/>
      <c r="AW206" s="828"/>
      <c r="AX206" s="726"/>
    </row>
    <row r="207" spans="1:50" ht="15" x14ac:dyDescent="0.25">
      <c r="A207" s="170"/>
      <c r="B207" s="719"/>
      <c r="C207" s="170"/>
      <c r="D207" s="170"/>
      <c r="E207" s="170"/>
      <c r="F207" s="170"/>
      <c r="G207" s="721"/>
      <c r="H207" s="170"/>
      <c r="I207" s="170"/>
      <c r="J207" s="170"/>
      <c r="K207" s="170"/>
      <c r="L207" s="170"/>
      <c r="M207" s="730"/>
      <c r="N207" s="730"/>
      <c r="O207" s="730"/>
      <c r="P207" s="731"/>
      <c r="Q207" s="731"/>
      <c r="R207" s="730"/>
      <c r="S207" s="730"/>
      <c r="T207" s="723"/>
      <c r="U207" s="724"/>
      <c r="V207" s="725"/>
      <c r="W207" s="725"/>
      <c r="X207" s="723"/>
      <c r="Y207" s="723"/>
      <c r="Z207" s="723"/>
      <c r="AA207" s="726"/>
      <c r="AB207" s="726"/>
      <c r="AC207" s="170"/>
      <c r="AD207" s="586"/>
      <c r="AE207" s="586"/>
      <c r="AF207" s="170"/>
      <c r="AG207" s="170"/>
      <c r="AH207" s="170"/>
      <c r="AI207" s="170"/>
      <c r="AJ207" s="170"/>
      <c r="AK207" s="170"/>
      <c r="AL207" s="170"/>
      <c r="AM207" s="170"/>
      <c r="AN207" s="170"/>
      <c r="AO207" s="170"/>
      <c r="AP207" s="170"/>
      <c r="AQ207" s="170"/>
      <c r="AR207" s="170"/>
      <c r="AS207" s="170"/>
      <c r="AT207" s="170"/>
      <c r="AU207" s="170"/>
      <c r="AV207" s="170"/>
      <c r="AW207" s="828"/>
      <c r="AX207" s="726"/>
    </row>
    <row r="208" spans="1:50" ht="15" x14ac:dyDescent="0.25">
      <c r="A208" s="170"/>
      <c r="B208" s="719"/>
      <c r="C208" s="170"/>
      <c r="D208" s="170"/>
      <c r="E208" s="170"/>
      <c r="F208" s="170"/>
      <c r="G208" s="721"/>
      <c r="H208" s="170"/>
      <c r="I208" s="170"/>
      <c r="J208" s="170"/>
      <c r="K208" s="170"/>
      <c r="L208" s="170"/>
      <c r="M208" s="730"/>
      <c r="N208" s="730"/>
      <c r="O208" s="730"/>
      <c r="P208" s="731"/>
      <c r="Q208" s="731"/>
      <c r="R208" s="730"/>
      <c r="S208" s="730"/>
      <c r="T208" s="723"/>
      <c r="U208" s="724"/>
      <c r="V208" s="725"/>
      <c r="W208" s="725"/>
      <c r="X208" s="723"/>
      <c r="Y208" s="723"/>
      <c r="Z208" s="723"/>
      <c r="AA208" s="726"/>
      <c r="AB208" s="726"/>
      <c r="AC208" s="170"/>
      <c r="AD208" s="586"/>
      <c r="AE208" s="586"/>
      <c r="AF208" s="170"/>
      <c r="AG208" s="170"/>
      <c r="AH208" s="170"/>
      <c r="AI208" s="170"/>
      <c r="AJ208" s="170"/>
      <c r="AK208" s="170"/>
      <c r="AL208" s="170"/>
      <c r="AM208" s="170"/>
      <c r="AN208" s="170"/>
      <c r="AO208" s="170"/>
      <c r="AP208" s="170"/>
      <c r="AQ208" s="170"/>
      <c r="AR208" s="170"/>
      <c r="AS208" s="170"/>
      <c r="AT208" s="170"/>
      <c r="AU208" s="170"/>
      <c r="AV208" s="170"/>
      <c r="AW208" s="828"/>
      <c r="AX208" s="726"/>
    </row>
    <row r="209" spans="1:50" ht="15" x14ac:dyDescent="0.25">
      <c r="A209" s="170"/>
      <c r="B209" s="719"/>
      <c r="C209" s="170"/>
      <c r="D209" s="170"/>
      <c r="E209" s="170"/>
      <c r="F209" s="170"/>
      <c r="G209" s="721"/>
      <c r="H209" s="170"/>
      <c r="I209" s="170"/>
      <c r="J209" s="170"/>
      <c r="K209" s="170"/>
      <c r="L209" s="170"/>
      <c r="M209" s="730"/>
      <c r="N209" s="730"/>
      <c r="O209" s="730"/>
      <c r="P209" s="731"/>
      <c r="Q209" s="731"/>
      <c r="R209" s="730"/>
      <c r="S209" s="730"/>
      <c r="T209" s="723"/>
      <c r="U209" s="724"/>
      <c r="V209" s="725"/>
      <c r="W209" s="725"/>
      <c r="X209" s="723"/>
      <c r="Y209" s="723"/>
      <c r="Z209" s="723"/>
      <c r="AA209" s="726"/>
      <c r="AB209" s="726"/>
      <c r="AC209" s="170"/>
      <c r="AD209" s="586"/>
      <c r="AE209" s="586"/>
      <c r="AF209" s="170"/>
      <c r="AG209" s="170"/>
      <c r="AH209" s="170"/>
      <c r="AI209" s="170"/>
      <c r="AJ209" s="170"/>
      <c r="AK209" s="170"/>
      <c r="AL209" s="170"/>
      <c r="AM209" s="170"/>
      <c r="AN209" s="170"/>
      <c r="AO209" s="170"/>
      <c r="AP209" s="170"/>
      <c r="AQ209" s="170"/>
      <c r="AR209" s="170"/>
      <c r="AS209" s="170"/>
      <c r="AT209" s="170"/>
      <c r="AU209" s="170"/>
      <c r="AV209" s="170"/>
      <c r="AW209" s="828"/>
      <c r="AX209" s="726"/>
    </row>
    <row r="210" spans="1:50" ht="15" x14ac:dyDescent="0.25">
      <c r="A210" s="170"/>
      <c r="B210" s="719"/>
      <c r="C210" s="170"/>
      <c r="D210" s="170"/>
      <c r="E210" s="170"/>
      <c r="F210" s="170"/>
      <c r="G210" s="721"/>
      <c r="H210" s="170"/>
      <c r="I210" s="170"/>
      <c r="J210" s="170"/>
      <c r="K210" s="170"/>
      <c r="L210" s="170"/>
      <c r="M210" s="730"/>
      <c r="N210" s="730"/>
      <c r="O210" s="730"/>
      <c r="P210" s="731"/>
      <c r="Q210" s="731"/>
      <c r="R210" s="730"/>
      <c r="S210" s="730"/>
      <c r="T210" s="723"/>
      <c r="U210" s="724"/>
      <c r="V210" s="725"/>
      <c r="W210" s="725"/>
      <c r="X210" s="723"/>
      <c r="Y210" s="723"/>
      <c r="Z210" s="723"/>
      <c r="AA210" s="726"/>
      <c r="AB210" s="726"/>
      <c r="AC210" s="170"/>
      <c r="AD210" s="586"/>
      <c r="AE210" s="586"/>
      <c r="AF210" s="170"/>
      <c r="AG210" s="170"/>
      <c r="AH210" s="170"/>
      <c r="AI210" s="170"/>
      <c r="AJ210" s="170"/>
      <c r="AK210" s="170"/>
      <c r="AL210" s="170"/>
      <c r="AM210" s="170"/>
      <c r="AN210" s="170"/>
      <c r="AO210" s="170"/>
      <c r="AP210" s="170"/>
      <c r="AQ210" s="170"/>
      <c r="AR210" s="170"/>
      <c r="AS210" s="170"/>
      <c r="AT210" s="170"/>
      <c r="AU210" s="170"/>
      <c r="AV210" s="170"/>
      <c r="AW210" s="828"/>
      <c r="AX210" s="726"/>
    </row>
    <row r="211" spans="1:50" ht="15" x14ac:dyDescent="0.25">
      <c r="A211" s="170"/>
      <c r="B211" s="719"/>
      <c r="C211" s="170"/>
      <c r="D211" s="170"/>
      <c r="E211" s="170"/>
      <c r="F211" s="170"/>
      <c r="G211" s="721"/>
      <c r="H211" s="170"/>
      <c r="I211" s="170"/>
      <c r="J211" s="170"/>
      <c r="K211" s="170"/>
      <c r="L211" s="170"/>
      <c r="M211" s="730"/>
      <c r="N211" s="730"/>
      <c r="O211" s="730"/>
      <c r="P211" s="731"/>
      <c r="Q211" s="731"/>
      <c r="R211" s="730"/>
      <c r="S211" s="730"/>
      <c r="T211" s="723"/>
      <c r="U211" s="724"/>
      <c r="V211" s="725"/>
      <c r="W211" s="725"/>
      <c r="X211" s="723"/>
      <c r="Y211" s="723"/>
      <c r="Z211" s="723"/>
      <c r="AA211" s="726"/>
      <c r="AB211" s="726"/>
      <c r="AC211" s="170"/>
      <c r="AD211" s="586"/>
      <c r="AE211" s="586"/>
      <c r="AF211" s="170"/>
      <c r="AG211" s="170"/>
      <c r="AH211" s="170"/>
      <c r="AI211" s="170"/>
      <c r="AJ211" s="170"/>
      <c r="AK211" s="170"/>
      <c r="AL211" s="170"/>
      <c r="AM211" s="170"/>
      <c r="AN211" s="170"/>
      <c r="AO211" s="170"/>
      <c r="AP211" s="170"/>
      <c r="AQ211" s="170"/>
      <c r="AR211" s="170"/>
      <c r="AS211" s="170"/>
      <c r="AT211" s="170"/>
      <c r="AU211" s="170"/>
      <c r="AV211" s="170"/>
      <c r="AW211" s="828"/>
      <c r="AX211" s="726"/>
    </row>
    <row r="212" spans="1:50" ht="15" x14ac:dyDescent="0.25">
      <c r="A212" s="170"/>
      <c r="B212" s="719"/>
      <c r="C212" s="170"/>
      <c r="D212" s="170"/>
      <c r="E212" s="170"/>
      <c r="F212" s="170"/>
      <c r="G212" s="721"/>
      <c r="H212" s="170"/>
      <c r="I212" s="170"/>
      <c r="J212" s="170"/>
      <c r="K212" s="170"/>
      <c r="L212" s="170"/>
      <c r="M212" s="730"/>
      <c r="N212" s="730"/>
      <c r="O212" s="730"/>
      <c r="P212" s="731"/>
      <c r="Q212" s="731"/>
      <c r="R212" s="730"/>
      <c r="S212" s="730"/>
      <c r="T212" s="723"/>
      <c r="U212" s="724"/>
      <c r="V212" s="725"/>
      <c r="W212" s="725"/>
      <c r="X212" s="723"/>
      <c r="Y212" s="723"/>
      <c r="Z212" s="723"/>
      <c r="AA212" s="726"/>
      <c r="AB212" s="726"/>
      <c r="AC212" s="170"/>
      <c r="AD212" s="586"/>
      <c r="AE212" s="586"/>
      <c r="AF212" s="170"/>
      <c r="AG212" s="170"/>
      <c r="AH212" s="170"/>
      <c r="AI212" s="170"/>
      <c r="AJ212" s="170"/>
      <c r="AK212" s="170"/>
      <c r="AL212" s="170"/>
      <c r="AM212" s="170"/>
      <c r="AN212" s="170"/>
      <c r="AO212" s="170"/>
      <c r="AP212" s="170"/>
      <c r="AQ212" s="170"/>
      <c r="AR212" s="170"/>
      <c r="AS212" s="170"/>
      <c r="AT212" s="170"/>
      <c r="AU212" s="170"/>
      <c r="AV212" s="170"/>
      <c r="AW212" s="828"/>
      <c r="AX212" s="726"/>
    </row>
    <row r="213" spans="1:50" ht="15" x14ac:dyDescent="0.25">
      <c r="A213" s="170"/>
      <c r="B213" s="719"/>
      <c r="C213" s="170"/>
      <c r="D213" s="170"/>
      <c r="E213" s="170"/>
      <c r="F213" s="170"/>
      <c r="G213" s="721"/>
      <c r="H213" s="170"/>
      <c r="I213" s="170"/>
      <c r="J213" s="170"/>
      <c r="K213" s="170"/>
      <c r="L213" s="170"/>
      <c r="M213" s="730"/>
      <c r="N213" s="730"/>
      <c r="O213" s="730"/>
      <c r="P213" s="731"/>
      <c r="Q213" s="731"/>
      <c r="R213" s="730"/>
      <c r="S213" s="730"/>
      <c r="T213" s="723"/>
      <c r="U213" s="724"/>
      <c r="V213" s="725"/>
      <c r="W213" s="725"/>
      <c r="X213" s="723"/>
      <c r="Y213" s="723"/>
      <c r="Z213" s="723"/>
      <c r="AA213" s="726"/>
      <c r="AB213" s="726"/>
      <c r="AC213" s="170"/>
      <c r="AD213" s="586"/>
      <c r="AE213" s="586"/>
      <c r="AF213" s="170"/>
      <c r="AG213" s="170"/>
      <c r="AH213" s="170"/>
      <c r="AI213" s="170"/>
      <c r="AJ213" s="170"/>
      <c r="AK213" s="170"/>
      <c r="AL213" s="170"/>
      <c r="AM213" s="170"/>
      <c r="AN213" s="170"/>
      <c r="AO213" s="170"/>
      <c r="AP213" s="170"/>
      <c r="AQ213" s="170"/>
      <c r="AR213" s="170"/>
      <c r="AS213" s="170"/>
      <c r="AT213" s="170"/>
      <c r="AU213" s="170"/>
      <c r="AV213" s="170"/>
      <c r="AW213" s="828"/>
      <c r="AX213" s="726"/>
    </row>
    <row r="214" spans="1:50" ht="15" x14ac:dyDescent="0.25">
      <c r="A214" s="170"/>
      <c r="B214" s="719"/>
      <c r="C214" s="170"/>
      <c r="D214" s="170"/>
      <c r="E214" s="170"/>
      <c r="F214" s="170"/>
      <c r="G214" s="721"/>
      <c r="H214" s="170"/>
      <c r="I214" s="170"/>
      <c r="J214" s="170"/>
      <c r="K214" s="170"/>
      <c r="L214" s="170"/>
      <c r="M214" s="730"/>
      <c r="N214" s="730"/>
      <c r="O214" s="730"/>
      <c r="P214" s="731"/>
      <c r="Q214" s="731"/>
      <c r="R214" s="730"/>
      <c r="S214" s="730"/>
      <c r="T214" s="723"/>
      <c r="U214" s="724"/>
      <c r="V214" s="725"/>
      <c r="W214" s="725"/>
      <c r="X214" s="723"/>
      <c r="Y214" s="723"/>
      <c r="Z214" s="723"/>
      <c r="AA214" s="726"/>
      <c r="AB214" s="726"/>
      <c r="AC214" s="170"/>
      <c r="AD214" s="586"/>
      <c r="AE214" s="586"/>
      <c r="AF214" s="170"/>
      <c r="AG214" s="170"/>
      <c r="AH214" s="170"/>
      <c r="AI214" s="170"/>
      <c r="AJ214" s="170"/>
      <c r="AK214" s="170"/>
      <c r="AL214" s="170"/>
      <c r="AM214" s="170"/>
      <c r="AN214" s="170"/>
      <c r="AO214" s="170"/>
      <c r="AP214" s="170"/>
      <c r="AQ214" s="170"/>
      <c r="AR214" s="170"/>
      <c r="AS214" s="170"/>
      <c r="AT214" s="170"/>
      <c r="AU214" s="170"/>
      <c r="AV214" s="170"/>
      <c r="AW214" s="828"/>
      <c r="AX214" s="726"/>
    </row>
    <row r="215" spans="1:50" ht="15" x14ac:dyDescent="0.25">
      <c r="A215" s="170"/>
      <c r="B215" s="719"/>
      <c r="C215" s="170"/>
      <c r="D215" s="170"/>
      <c r="E215" s="170"/>
      <c r="F215" s="170"/>
      <c r="G215" s="721"/>
      <c r="H215" s="170"/>
      <c r="I215" s="170"/>
      <c r="J215" s="170"/>
      <c r="K215" s="170"/>
      <c r="L215" s="170"/>
      <c r="M215" s="730"/>
      <c r="N215" s="730"/>
      <c r="O215" s="730"/>
      <c r="P215" s="731"/>
      <c r="Q215" s="731"/>
      <c r="R215" s="730"/>
      <c r="S215" s="730"/>
      <c r="T215" s="723"/>
      <c r="U215" s="724"/>
      <c r="V215" s="725"/>
      <c r="W215" s="725"/>
      <c r="X215" s="723"/>
      <c r="Y215" s="723"/>
      <c r="Z215" s="723"/>
      <c r="AA215" s="726"/>
      <c r="AB215" s="726"/>
      <c r="AC215" s="170"/>
      <c r="AD215" s="586"/>
      <c r="AE215" s="586"/>
      <c r="AF215" s="170"/>
      <c r="AG215" s="170"/>
      <c r="AH215" s="170"/>
      <c r="AI215" s="170"/>
      <c r="AJ215" s="170"/>
      <c r="AK215" s="170"/>
      <c r="AL215" s="170"/>
      <c r="AM215" s="170"/>
      <c r="AN215" s="170"/>
      <c r="AO215" s="170"/>
      <c r="AP215" s="170"/>
      <c r="AQ215" s="170"/>
      <c r="AR215" s="170"/>
      <c r="AS215" s="170"/>
      <c r="AT215" s="170"/>
      <c r="AU215" s="170"/>
      <c r="AV215" s="170"/>
      <c r="AW215" s="828"/>
      <c r="AX215" s="726"/>
    </row>
    <row r="216" spans="1:50" ht="15" x14ac:dyDescent="0.25">
      <c r="A216" s="170"/>
      <c r="B216" s="719"/>
      <c r="C216" s="170"/>
      <c r="D216" s="170"/>
      <c r="E216" s="170"/>
      <c r="F216" s="170"/>
      <c r="G216" s="721"/>
      <c r="H216" s="170"/>
      <c r="I216" s="170"/>
      <c r="J216" s="170"/>
      <c r="K216" s="170"/>
      <c r="L216" s="170"/>
      <c r="M216" s="730"/>
      <c r="N216" s="730"/>
      <c r="O216" s="730"/>
      <c r="P216" s="731"/>
      <c r="Q216" s="731"/>
      <c r="R216" s="730"/>
      <c r="S216" s="730"/>
      <c r="T216" s="723"/>
      <c r="U216" s="724"/>
      <c r="V216" s="725"/>
      <c r="W216" s="725"/>
      <c r="X216" s="723"/>
      <c r="Y216" s="723"/>
      <c r="Z216" s="723"/>
      <c r="AA216" s="726"/>
      <c r="AB216" s="726"/>
      <c r="AC216" s="170"/>
      <c r="AD216" s="586"/>
      <c r="AE216" s="586"/>
      <c r="AF216" s="170"/>
      <c r="AG216" s="170"/>
      <c r="AH216" s="170"/>
      <c r="AI216" s="170"/>
      <c r="AJ216" s="170"/>
      <c r="AK216" s="170"/>
      <c r="AL216" s="170"/>
      <c r="AM216" s="170"/>
      <c r="AN216" s="170"/>
      <c r="AO216" s="170"/>
      <c r="AP216" s="170"/>
      <c r="AQ216" s="170"/>
      <c r="AR216" s="170"/>
      <c r="AS216" s="170"/>
      <c r="AT216" s="170"/>
      <c r="AU216" s="170"/>
      <c r="AV216" s="170"/>
      <c r="AW216" s="828"/>
      <c r="AX216" s="726"/>
    </row>
    <row r="217" spans="1:50" ht="15" x14ac:dyDescent="0.25">
      <c r="A217" s="170"/>
      <c r="B217" s="719"/>
      <c r="C217" s="170"/>
      <c r="D217" s="170"/>
      <c r="E217" s="170"/>
      <c r="F217" s="170"/>
      <c r="G217" s="721"/>
      <c r="H217" s="170"/>
      <c r="I217" s="170"/>
      <c r="J217" s="170"/>
      <c r="K217" s="170"/>
      <c r="L217" s="170"/>
      <c r="M217" s="730"/>
      <c r="N217" s="730"/>
      <c r="O217" s="730"/>
      <c r="P217" s="731"/>
      <c r="Q217" s="731"/>
      <c r="R217" s="730"/>
      <c r="S217" s="730"/>
      <c r="T217" s="723"/>
      <c r="U217" s="724"/>
      <c r="V217" s="725"/>
      <c r="W217" s="725"/>
      <c r="X217" s="723"/>
      <c r="Y217" s="723"/>
      <c r="Z217" s="723"/>
      <c r="AA217" s="726"/>
      <c r="AB217" s="726"/>
      <c r="AC217" s="170"/>
      <c r="AD217" s="586"/>
      <c r="AE217" s="586"/>
      <c r="AF217" s="170"/>
      <c r="AG217" s="170"/>
      <c r="AH217" s="170"/>
      <c r="AI217" s="170"/>
      <c r="AJ217" s="170"/>
      <c r="AK217" s="170"/>
      <c r="AL217" s="170"/>
      <c r="AM217" s="170"/>
      <c r="AN217" s="170"/>
      <c r="AO217" s="170"/>
      <c r="AP217" s="170"/>
      <c r="AQ217" s="170"/>
      <c r="AR217" s="170"/>
      <c r="AS217" s="170"/>
      <c r="AT217" s="170"/>
      <c r="AU217" s="170"/>
      <c r="AV217" s="170"/>
      <c r="AW217" s="828"/>
      <c r="AX217" s="726"/>
    </row>
    <row r="218" spans="1:50" ht="15" x14ac:dyDescent="0.25">
      <c r="A218" s="170"/>
      <c r="B218" s="719"/>
      <c r="C218" s="170"/>
      <c r="D218" s="170"/>
      <c r="E218" s="170"/>
      <c r="F218" s="170"/>
      <c r="G218" s="721"/>
      <c r="H218" s="170"/>
      <c r="I218" s="170"/>
      <c r="J218" s="170"/>
      <c r="K218" s="170"/>
      <c r="L218" s="170"/>
      <c r="M218" s="730"/>
      <c r="N218" s="730"/>
      <c r="O218" s="730"/>
      <c r="P218" s="731"/>
      <c r="Q218" s="731"/>
      <c r="R218" s="730"/>
      <c r="S218" s="730"/>
      <c r="T218" s="723"/>
      <c r="U218" s="724"/>
      <c r="V218" s="725"/>
      <c r="W218" s="725"/>
      <c r="X218" s="723"/>
      <c r="Y218" s="723"/>
      <c r="Z218" s="723"/>
      <c r="AA218" s="726"/>
      <c r="AB218" s="726"/>
      <c r="AC218" s="170"/>
      <c r="AD218" s="586"/>
      <c r="AE218" s="586"/>
      <c r="AF218" s="170"/>
      <c r="AG218" s="170"/>
      <c r="AH218" s="170"/>
      <c r="AI218" s="170"/>
      <c r="AJ218" s="170"/>
      <c r="AK218" s="170"/>
      <c r="AL218" s="170"/>
      <c r="AM218" s="170"/>
      <c r="AN218" s="170"/>
      <c r="AO218" s="170"/>
      <c r="AP218" s="170"/>
      <c r="AQ218" s="170"/>
      <c r="AR218" s="170"/>
      <c r="AS218" s="170"/>
      <c r="AT218" s="170"/>
      <c r="AU218" s="170"/>
      <c r="AV218" s="170"/>
      <c r="AW218" s="828"/>
      <c r="AX218" s="726"/>
    </row>
    <row r="219" spans="1:50" ht="15" x14ac:dyDescent="0.25">
      <c r="A219" s="170"/>
      <c r="B219" s="719"/>
      <c r="C219" s="170"/>
      <c r="D219" s="170"/>
      <c r="E219" s="170"/>
      <c r="F219" s="170"/>
      <c r="G219" s="721"/>
      <c r="H219" s="170"/>
      <c r="I219" s="170"/>
      <c r="J219" s="170"/>
      <c r="K219" s="170"/>
      <c r="L219" s="170"/>
      <c r="M219" s="730"/>
      <c r="N219" s="730"/>
      <c r="O219" s="730"/>
      <c r="P219" s="731"/>
      <c r="Q219" s="731"/>
      <c r="R219" s="730"/>
      <c r="S219" s="730"/>
      <c r="T219" s="723"/>
      <c r="U219" s="724"/>
      <c r="V219" s="725"/>
      <c r="W219" s="725"/>
      <c r="X219" s="723"/>
      <c r="Y219" s="723"/>
      <c r="Z219" s="723"/>
      <c r="AA219" s="726"/>
      <c r="AB219" s="726"/>
      <c r="AC219" s="170"/>
      <c r="AD219" s="586"/>
      <c r="AE219" s="586"/>
      <c r="AF219" s="170"/>
      <c r="AG219" s="170"/>
      <c r="AH219" s="170"/>
      <c r="AI219" s="170"/>
      <c r="AJ219" s="170"/>
      <c r="AK219" s="170"/>
      <c r="AL219" s="170"/>
      <c r="AM219" s="170"/>
      <c r="AN219" s="170"/>
      <c r="AO219" s="170"/>
      <c r="AP219" s="170"/>
      <c r="AQ219" s="170"/>
      <c r="AR219" s="170"/>
      <c r="AS219" s="170"/>
      <c r="AT219" s="170"/>
      <c r="AU219" s="170"/>
      <c r="AV219" s="170"/>
      <c r="AW219" s="828"/>
      <c r="AX219" s="726"/>
    </row>
    <row r="220" spans="1:50" ht="15" x14ac:dyDescent="0.25">
      <c r="A220" s="170"/>
      <c r="B220" s="719"/>
      <c r="C220" s="170"/>
      <c r="D220" s="170"/>
      <c r="E220" s="170"/>
      <c r="F220" s="170"/>
      <c r="G220" s="721"/>
      <c r="H220" s="170"/>
      <c r="I220" s="170"/>
      <c r="J220" s="170"/>
      <c r="K220" s="170"/>
      <c r="L220" s="170"/>
      <c r="M220" s="730"/>
      <c r="N220" s="730"/>
      <c r="O220" s="730"/>
      <c r="P220" s="731"/>
      <c r="Q220" s="731"/>
      <c r="R220" s="730"/>
      <c r="S220" s="730"/>
      <c r="T220" s="723"/>
      <c r="U220" s="724"/>
      <c r="V220" s="725"/>
      <c r="W220" s="725"/>
      <c r="X220" s="723"/>
      <c r="Y220" s="723"/>
      <c r="Z220" s="723"/>
      <c r="AA220" s="726"/>
      <c r="AB220" s="726"/>
      <c r="AC220" s="170"/>
      <c r="AD220" s="586"/>
      <c r="AE220" s="586"/>
      <c r="AF220" s="170"/>
      <c r="AG220" s="170"/>
      <c r="AH220" s="170"/>
      <c r="AI220" s="170"/>
      <c r="AJ220" s="170"/>
      <c r="AK220" s="170"/>
      <c r="AL220" s="170"/>
      <c r="AM220" s="170"/>
      <c r="AN220" s="170"/>
      <c r="AO220" s="170"/>
      <c r="AP220" s="170"/>
      <c r="AQ220" s="170"/>
      <c r="AR220" s="170"/>
      <c r="AS220" s="170"/>
      <c r="AT220" s="170"/>
      <c r="AU220" s="170"/>
      <c r="AV220" s="170"/>
      <c r="AW220" s="828"/>
      <c r="AX220" s="726"/>
    </row>
    <row r="221" spans="1:50" ht="15" x14ac:dyDescent="0.25">
      <c r="A221" s="170"/>
      <c r="B221" s="719"/>
      <c r="C221" s="170"/>
      <c r="D221" s="170"/>
      <c r="E221" s="170"/>
      <c r="F221" s="170"/>
      <c r="G221" s="721"/>
      <c r="H221" s="170"/>
      <c r="I221" s="170"/>
      <c r="J221" s="170"/>
      <c r="K221" s="170"/>
      <c r="L221" s="170"/>
      <c r="M221" s="730"/>
      <c r="N221" s="730"/>
      <c r="O221" s="730"/>
      <c r="P221" s="731"/>
      <c r="Q221" s="731"/>
      <c r="R221" s="730"/>
      <c r="S221" s="730"/>
      <c r="T221" s="723"/>
      <c r="U221" s="724"/>
      <c r="V221" s="725"/>
      <c r="W221" s="725"/>
      <c r="X221" s="723"/>
      <c r="Y221" s="723"/>
      <c r="Z221" s="723"/>
      <c r="AA221" s="726"/>
      <c r="AB221" s="726"/>
      <c r="AC221" s="170"/>
      <c r="AD221" s="586"/>
      <c r="AE221" s="586"/>
      <c r="AF221" s="170"/>
      <c r="AG221" s="170"/>
      <c r="AH221" s="170"/>
      <c r="AI221" s="170"/>
      <c r="AJ221" s="170"/>
      <c r="AK221" s="170"/>
      <c r="AL221" s="170"/>
      <c r="AM221" s="170"/>
      <c r="AN221" s="170"/>
      <c r="AO221" s="170"/>
      <c r="AP221" s="170"/>
      <c r="AQ221" s="170"/>
      <c r="AR221" s="170"/>
      <c r="AS221" s="170"/>
      <c r="AT221" s="170"/>
      <c r="AU221" s="170"/>
      <c r="AV221" s="170"/>
      <c r="AW221" s="828"/>
      <c r="AX221" s="726"/>
    </row>
    <row r="222" spans="1:50" ht="15" x14ac:dyDescent="0.25">
      <c r="A222" s="170"/>
      <c r="B222" s="719"/>
      <c r="C222" s="170"/>
      <c r="D222" s="170"/>
      <c r="E222" s="170"/>
      <c r="F222" s="170"/>
      <c r="G222" s="721"/>
      <c r="H222" s="170"/>
      <c r="I222" s="170"/>
      <c r="J222" s="170"/>
      <c r="K222" s="170"/>
      <c r="L222" s="170"/>
      <c r="M222" s="730"/>
      <c r="N222" s="730"/>
      <c r="O222" s="730"/>
      <c r="P222" s="731"/>
      <c r="Q222" s="731"/>
      <c r="R222" s="730"/>
      <c r="S222" s="730"/>
      <c r="T222" s="723"/>
      <c r="U222" s="724"/>
      <c r="V222" s="725"/>
      <c r="W222" s="725"/>
      <c r="X222" s="723"/>
      <c r="Y222" s="723"/>
      <c r="Z222" s="723"/>
      <c r="AA222" s="726"/>
      <c r="AB222" s="726"/>
      <c r="AC222" s="170"/>
      <c r="AD222" s="586"/>
      <c r="AE222" s="586"/>
      <c r="AF222" s="170"/>
      <c r="AG222" s="170"/>
      <c r="AH222" s="170"/>
      <c r="AI222" s="170"/>
      <c r="AJ222" s="170"/>
      <c r="AK222" s="170"/>
      <c r="AL222" s="170"/>
      <c r="AM222" s="170"/>
      <c r="AN222" s="170"/>
      <c r="AO222" s="170"/>
      <c r="AP222" s="170"/>
      <c r="AQ222" s="170"/>
      <c r="AR222" s="170"/>
      <c r="AS222" s="170"/>
      <c r="AT222" s="170"/>
      <c r="AU222" s="170"/>
      <c r="AV222" s="170"/>
      <c r="AW222" s="828"/>
      <c r="AX222" s="726"/>
    </row>
    <row r="223" spans="1:50" ht="15" x14ac:dyDescent="0.25">
      <c r="A223" s="170"/>
      <c r="B223" s="719"/>
      <c r="C223" s="170"/>
      <c r="D223" s="170"/>
      <c r="E223" s="170"/>
      <c r="F223" s="170"/>
      <c r="G223" s="721"/>
      <c r="H223" s="170"/>
      <c r="I223" s="170"/>
      <c r="J223" s="170"/>
      <c r="K223" s="170"/>
      <c r="L223" s="170"/>
      <c r="M223" s="730"/>
      <c r="N223" s="730"/>
      <c r="O223" s="730"/>
      <c r="P223" s="731"/>
      <c r="Q223" s="731"/>
      <c r="R223" s="730"/>
      <c r="S223" s="730"/>
      <c r="T223" s="723"/>
      <c r="U223" s="724"/>
      <c r="V223" s="725"/>
      <c r="W223" s="725"/>
      <c r="X223" s="723"/>
      <c r="Y223" s="723"/>
      <c r="Z223" s="723"/>
      <c r="AA223" s="726"/>
      <c r="AB223" s="726"/>
      <c r="AC223" s="170"/>
      <c r="AD223" s="586"/>
      <c r="AE223" s="586"/>
      <c r="AF223" s="170"/>
      <c r="AG223" s="170"/>
      <c r="AH223" s="170"/>
      <c r="AI223" s="170"/>
      <c r="AJ223" s="170"/>
      <c r="AK223" s="170"/>
      <c r="AL223" s="170"/>
      <c r="AM223" s="170"/>
      <c r="AN223" s="170"/>
      <c r="AO223" s="170"/>
      <c r="AP223" s="170"/>
      <c r="AQ223" s="170"/>
      <c r="AR223" s="170"/>
      <c r="AS223" s="170"/>
      <c r="AT223" s="170"/>
      <c r="AU223" s="170"/>
      <c r="AV223" s="170"/>
      <c r="AW223" s="828"/>
      <c r="AX223" s="726"/>
    </row>
    <row r="224" spans="1:50" ht="15" x14ac:dyDescent="0.25">
      <c r="A224" s="170"/>
      <c r="B224" s="719"/>
      <c r="C224" s="170"/>
      <c r="D224" s="170"/>
      <c r="E224" s="170"/>
      <c r="F224" s="170"/>
      <c r="G224" s="721"/>
      <c r="H224" s="170"/>
      <c r="I224" s="170"/>
      <c r="J224" s="170"/>
      <c r="K224" s="170"/>
      <c r="L224" s="170"/>
      <c r="M224" s="730"/>
      <c r="N224" s="730"/>
      <c r="O224" s="730"/>
      <c r="P224" s="731"/>
      <c r="Q224" s="731"/>
      <c r="R224" s="730"/>
      <c r="S224" s="730"/>
      <c r="T224" s="723"/>
      <c r="U224" s="724"/>
      <c r="V224" s="725"/>
      <c r="W224" s="725"/>
      <c r="X224" s="723"/>
      <c r="Y224" s="723"/>
      <c r="Z224" s="723"/>
      <c r="AA224" s="726"/>
      <c r="AB224" s="726"/>
      <c r="AC224" s="170"/>
      <c r="AD224" s="586"/>
      <c r="AE224" s="586"/>
      <c r="AF224" s="170"/>
      <c r="AG224" s="170"/>
      <c r="AH224" s="170"/>
      <c r="AI224" s="170"/>
      <c r="AJ224" s="170"/>
      <c r="AK224" s="170"/>
      <c r="AL224" s="170"/>
      <c r="AM224" s="170"/>
      <c r="AN224" s="170"/>
      <c r="AO224" s="170"/>
      <c r="AP224" s="170"/>
      <c r="AQ224" s="170"/>
      <c r="AR224" s="170"/>
      <c r="AS224" s="170"/>
      <c r="AT224" s="170"/>
      <c r="AU224" s="170"/>
      <c r="AV224" s="170"/>
      <c r="AW224" s="828"/>
      <c r="AX224" s="726"/>
    </row>
    <row r="225" spans="1:50" ht="15" x14ac:dyDescent="0.25">
      <c r="A225" s="170"/>
      <c r="B225" s="719"/>
      <c r="C225" s="170"/>
      <c r="D225" s="170"/>
      <c r="E225" s="170"/>
      <c r="F225" s="170"/>
      <c r="G225" s="721"/>
      <c r="H225" s="170"/>
      <c r="I225" s="170"/>
      <c r="J225" s="170"/>
      <c r="K225" s="170"/>
      <c r="L225" s="170"/>
      <c r="M225" s="730"/>
      <c r="N225" s="730"/>
      <c r="O225" s="730"/>
      <c r="P225" s="731"/>
      <c r="Q225" s="731"/>
      <c r="R225" s="730"/>
      <c r="S225" s="730"/>
      <c r="T225" s="723"/>
      <c r="U225" s="724"/>
      <c r="V225" s="725"/>
      <c r="W225" s="725"/>
      <c r="X225" s="723"/>
      <c r="Y225" s="723"/>
      <c r="Z225" s="723"/>
      <c r="AA225" s="726"/>
      <c r="AB225" s="726"/>
      <c r="AC225" s="170"/>
      <c r="AD225" s="586"/>
      <c r="AE225" s="586"/>
      <c r="AF225" s="170"/>
      <c r="AG225" s="170"/>
      <c r="AH225" s="170"/>
      <c r="AI225" s="170"/>
      <c r="AJ225" s="170"/>
      <c r="AK225" s="170"/>
      <c r="AL225" s="170"/>
      <c r="AM225" s="170"/>
      <c r="AN225" s="170"/>
      <c r="AO225" s="170"/>
      <c r="AP225" s="170"/>
      <c r="AQ225" s="170"/>
      <c r="AR225" s="170"/>
      <c r="AS225" s="170"/>
      <c r="AT225" s="170"/>
      <c r="AU225" s="170"/>
      <c r="AV225" s="170"/>
      <c r="AW225" s="828"/>
      <c r="AX225" s="726"/>
    </row>
    <row r="226" spans="1:50" ht="15" x14ac:dyDescent="0.25">
      <c r="A226" s="170"/>
      <c r="B226" s="719"/>
      <c r="C226" s="170"/>
      <c r="D226" s="170"/>
      <c r="E226" s="170"/>
      <c r="F226" s="170"/>
      <c r="G226" s="721"/>
      <c r="H226" s="170"/>
      <c r="I226" s="170"/>
      <c r="J226" s="170"/>
      <c r="K226" s="170"/>
      <c r="L226" s="170"/>
      <c r="M226" s="730"/>
      <c r="N226" s="730"/>
      <c r="O226" s="730"/>
      <c r="P226" s="731"/>
      <c r="Q226" s="731"/>
      <c r="R226" s="730"/>
      <c r="S226" s="730"/>
      <c r="T226" s="723"/>
      <c r="U226" s="724"/>
      <c r="V226" s="725"/>
      <c r="W226" s="725"/>
      <c r="X226" s="723"/>
      <c r="Y226" s="723"/>
      <c r="Z226" s="723"/>
      <c r="AA226" s="726"/>
      <c r="AB226" s="726"/>
      <c r="AC226" s="170"/>
      <c r="AD226" s="586"/>
      <c r="AE226" s="586"/>
      <c r="AF226" s="170"/>
      <c r="AG226" s="170"/>
      <c r="AH226" s="170"/>
      <c r="AI226" s="170"/>
      <c r="AJ226" s="170"/>
      <c r="AK226" s="170"/>
      <c r="AL226" s="170"/>
      <c r="AM226" s="170"/>
      <c r="AN226" s="170"/>
      <c r="AO226" s="170"/>
      <c r="AP226" s="170"/>
      <c r="AQ226" s="170"/>
      <c r="AR226" s="170"/>
      <c r="AS226" s="170"/>
      <c r="AT226" s="170"/>
      <c r="AU226" s="170"/>
      <c r="AV226" s="170"/>
      <c r="AW226" s="828"/>
      <c r="AX226" s="726"/>
    </row>
    <row r="227" spans="1:50" ht="15" x14ac:dyDescent="0.25">
      <c r="A227" s="170"/>
      <c r="B227" s="719"/>
      <c r="C227" s="170"/>
      <c r="D227" s="170"/>
      <c r="E227" s="170"/>
      <c r="F227" s="170"/>
      <c r="G227" s="721"/>
      <c r="H227" s="170"/>
      <c r="I227" s="170"/>
      <c r="J227" s="170"/>
      <c r="K227" s="170"/>
      <c r="L227" s="170"/>
      <c r="M227" s="730"/>
      <c r="N227" s="730"/>
      <c r="O227" s="730"/>
      <c r="P227" s="731"/>
      <c r="Q227" s="731"/>
      <c r="R227" s="730"/>
      <c r="S227" s="730"/>
      <c r="T227" s="723"/>
      <c r="U227" s="724"/>
      <c r="V227" s="725"/>
      <c r="W227" s="725"/>
      <c r="X227" s="723"/>
      <c r="Y227" s="723"/>
      <c r="Z227" s="723"/>
      <c r="AA227" s="726"/>
      <c r="AB227" s="726"/>
      <c r="AC227" s="170"/>
      <c r="AD227" s="586"/>
      <c r="AE227" s="586"/>
      <c r="AF227" s="170"/>
      <c r="AG227" s="170"/>
      <c r="AH227" s="170"/>
      <c r="AI227" s="170"/>
      <c r="AJ227" s="170"/>
      <c r="AK227" s="170"/>
      <c r="AL227" s="170"/>
      <c r="AM227" s="170"/>
      <c r="AN227" s="170"/>
      <c r="AO227" s="170"/>
      <c r="AP227" s="170"/>
      <c r="AQ227" s="170"/>
      <c r="AR227" s="170"/>
      <c r="AS227" s="170"/>
      <c r="AT227" s="170"/>
      <c r="AU227" s="170"/>
      <c r="AV227" s="170"/>
      <c r="AW227" s="828"/>
      <c r="AX227" s="726"/>
    </row>
    <row r="228" spans="1:50" ht="15" x14ac:dyDescent="0.25">
      <c r="A228" s="170"/>
      <c r="B228" s="719"/>
      <c r="C228" s="170"/>
      <c r="D228" s="170"/>
      <c r="E228" s="170"/>
      <c r="F228" s="170"/>
      <c r="G228" s="721"/>
      <c r="H228" s="170"/>
      <c r="I228" s="170"/>
      <c r="J228" s="170"/>
      <c r="K228" s="170"/>
      <c r="L228" s="170"/>
      <c r="M228" s="730"/>
      <c r="N228" s="730"/>
      <c r="O228" s="730"/>
      <c r="P228" s="731"/>
      <c r="Q228" s="731"/>
      <c r="R228" s="730"/>
      <c r="S228" s="730"/>
      <c r="T228" s="723"/>
      <c r="U228" s="724"/>
      <c r="V228" s="725"/>
      <c r="W228" s="725"/>
      <c r="X228" s="723"/>
      <c r="Y228" s="723"/>
      <c r="Z228" s="723"/>
      <c r="AA228" s="726"/>
      <c r="AB228" s="726"/>
      <c r="AC228" s="170"/>
      <c r="AD228" s="586"/>
      <c r="AE228" s="586"/>
      <c r="AF228" s="170"/>
      <c r="AG228" s="170"/>
      <c r="AH228" s="170"/>
      <c r="AI228" s="170"/>
      <c r="AJ228" s="170"/>
      <c r="AK228" s="170"/>
      <c r="AL228" s="170"/>
      <c r="AM228" s="170"/>
      <c r="AN228" s="170"/>
      <c r="AO228" s="170"/>
      <c r="AP228" s="170"/>
      <c r="AQ228" s="170"/>
      <c r="AR228" s="170"/>
      <c r="AS228" s="170"/>
      <c r="AT228" s="170"/>
      <c r="AU228" s="170"/>
      <c r="AV228" s="170"/>
      <c r="AW228" s="828"/>
      <c r="AX228" s="726"/>
    </row>
    <row r="229" spans="1:50" ht="15" x14ac:dyDescent="0.25">
      <c r="A229" s="170"/>
      <c r="B229" s="719"/>
      <c r="C229" s="170"/>
      <c r="D229" s="170"/>
      <c r="E229" s="170"/>
      <c r="F229" s="170"/>
      <c r="G229" s="721"/>
      <c r="H229" s="170"/>
      <c r="I229" s="170"/>
      <c r="J229" s="170"/>
      <c r="K229" s="170"/>
      <c r="L229" s="170"/>
      <c r="M229" s="730"/>
      <c r="N229" s="730"/>
      <c r="O229" s="730"/>
      <c r="P229" s="731"/>
      <c r="Q229" s="731"/>
      <c r="R229" s="730"/>
      <c r="S229" s="730"/>
      <c r="T229" s="723"/>
      <c r="U229" s="724"/>
      <c r="V229" s="725"/>
      <c r="W229" s="725"/>
      <c r="X229" s="723"/>
      <c r="Y229" s="723"/>
      <c r="Z229" s="723"/>
      <c r="AA229" s="726"/>
      <c r="AB229" s="726"/>
      <c r="AC229" s="170"/>
      <c r="AD229" s="586"/>
      <c r="AE229" s="586"/>
      <c r="AF229" s="170"/>
      <c r="AG229" s="170"/>
      <c r="AH229" s="170"/>
      <c r="AI229" s="170"/>
      <c r="AJ229" s="170"/>
      <c r="AK229" s="170"/>
      <c r="AL229" s="170"/>
      <c r="AM229" s="170"/>
      <c r="AN229" s="170"/>
      <c r="AO229" s="170"/>
      <c r="AP229" s="170"/>
      <c r="AQ229" s="170"/>
      <c r="AR229" s="170"/>
      <c r="AS229" s="170"/>
      <c r="AT229" s="170"/>
      <c r="AU229" s="170"/>
      <c r="AV229" s="170"/>
      <c r="AW229" s="828"/>
      <c r="AX229" s="726"/>
    </row>
    <row r="230" spans="1:50" ht="15" x14ac:dyDescent="0.25">
      <c r="A230" s="170"/>
      <c r="B230" s="719"/>
      <c r="C230" s="170"/>
      <c r="D230" s="170"/>
      <c r="E230" s="170"/>
      <c r="F230" s="170"/>
      <c r="G230" s="721"/>
      <c r="H230" s="170"/>
      <c r="I230" s="170"/>
      <c r="J230" s="170"/>
      <c r="K230" s="170"/>
      <c r="L230" s="170"/>
      <c r="M230" s="730"/>
      <c r="N230" s="730"/>
      <c r="O230" s="730"/>
      <c r="P230" s="731"/>
      <c r="Q230" s="731"/>
      <c r="R230" s="730"/>
      <c r="S230" s="730"/>
      <c r="T230" s="723"/>
      <c r="U230" s="724"/>
      <c r="V230" s="725"/>
      <c r="W230" s="725"/>
      <c r="X230" s="723"/>
      <c r="Y230" s="723"/>
      <c r="Z230" s="723"/>
      <c r="AA230" s="726"/>
      <c r="AB230" s="726"/>
      <c r="AC230" s="170"/>
      <c r="AD230" s="586"/>
      <c r="AE230" s="586"/>
      <c r="AF230" s="170"/>
      <c r="AG230" s="170"/>
      <c r="AH230" s="170"/>
      <c r="AI230" s="170"/>
      <c r="AJ230" s="170"/>
      <c r="AK230" s="170"/>
      <c r="AL230" s="170"/>
      <c r="AM230" s="170"/>
      <c r="AN230" s="170"/>
      <c r="AO230" s="170"/>
      <c r="AP230" s="170"/>
      <c r="AQ230" s="170"/>
      <c r="AR230" s="170"/>
      <c r="AS230" s="170"/>
      <c r="AT230" s="170"/>
      <c r="AU230" s="170"/>
      <c r="AV230" s="170"/>
      <c r="AW230" s="828"/>
      <c r="AX230" s="726"/>
    </row>
    <row r="231" spans="1:50" ht="15" x14ac:dyDescent="0.25">
      <c r="A231" s="170"/>
      <c r="B231" s="719"/>
      <c r="C231" s="170"/>
      <c r="D231" s="170"/>
      <c r="E231" s="170"/>
      <c r="F231" s="170"/>
      <c r="G231" s="721"/>
      <c r="H231" s="170"/>
      <c r="I231" s="170"/>
      <c r="J231" s="170"/>
      <c r="K231" s="170"/>
      <c r="L231" s="170"/>
      <c r="M231" s="730"/>
      <c r="N231" s="730"/>
      <c r="O231" s="730"/>
      <c r="P231" s="731"/>
      <c r="Q231" s="731"/>
      <c r="R231" s="730"/>
      <c r="S231" s="730"/>
      <c r="T231" s="723"/>
      <c r="U231" s="724"/>
      <c r="V231" s="725"/>
      <c r="W231" s="725"/>
      <c r="X231" s="723"/>
      <c r="Y231" s="723"/>
      <c r="Z231" s="723"/>
      <c r="AA231" s="726"/>
      <c r="AB231" s="726"/>
      <c r="AC231" s="170"/>
      <c r="AD231" s="586"/>
      <c r="AE231" s="586"/>
      <c r="AF231" s="170"/>
      <c r="AG231" s="170"/>
      <c r="AH231" s="170"/>
      <c r="AI231" s="170"/>
      <c r="AJ231" s="170"/>
      <c r="AK231" s="170"/>
      <c r="AL231" s="170"/>
      <c r="AM231" s="170"/>
      <c r="AN231" s="170"/>
      <c r="AO231" s="170"/>
      <c r="AP231" s="170"/>
      <c r="AQ231" s="170"/>
      <c r="AR231" s="170"/>
      <c r="AS231" s="170"/>
      <c r="AT231" s="170"/>
      <c r="AU231" s="170"/>
      <c r="AV231" s="170"/>
      <c r="AW231" s="828"/>
      <c r="AX231" s="726"/>
    </row>
    <row r="232" spans="1:50" ht="15" x14ac:dyDescent="0.25">
      <c r="A232" s="170"/>
      <c r="B232" s="719"/>
      <c r="C232" s="170"/>
      <c r="D232" s="170"/>
      <c r="E232" s="170"/>
      <c r="F232" s="170"/>
      <c r="G232" s="721"/>
      <c r="H232" s="170"/>
      <c r="I232" s="170"/>
      <c r="J232" s="170"/>
      <c r="K232" s="170"/>
      <c r="L232" s="170"/>
      <c r="M232" s="730"/>
      <c r="N232" s="730"/>
      <c r="O232" s="730"/>
      <c r="P232" s="731"/>
      <c r="Q232" s="731"/>
      <c r="R232" s="730"/>
      <c r="S232" s="730"/>
      <c r="T232" s="723"/>
      <c r="U232" s="724"/>
      <c r="V232" s="725"/>
      <c r="W232" s="725"/>
      <c r="X232" s="723"/>
      <c r="Y232" s="723"/>
      <c r="Z232" s="723"/>
      <c r="AA232" s="726"/>
      <c r="AB232" s="726"/>
      <c r="AC232" s="170"/>
      <c r="AD232" s="586"/>
      <c r="AE232" s="586"/>
      <c r="AF232" s="170"/>
      <c r="AG232" s="170"/>
      <c r="AH232" s="170"/>
      <c r="AI232" s="170"/>
      <c r="AJ232" s="170"/>
      <c r="AK232" s="170"/>
      <c r="AL232" s="170"/>
      <c r="AM232" s="170"/>
      <c r="AN232" s="170"/>
      <c r="AO232" s="170"/>
      <c r="AP232" s="170"/>
      <c r="AQ232" s="170"/>
      <c r="AR232" s="170"/>
      <c r="AS232" s="170"/>
      <c r="AT232" s="170"/>
      <c r="AU232" s="170"/>
      <c r="AV232" s="170"/>
      <c r="AW232" s="828"/>
      <c r="AX232" s="726"/>
    </row>
    <row r="233" spans="1:50" ht="15" x14ac:dyDescent="0.25">
      <c r="A233" s="170"/>
      <c r="B233" s="719"/>
      <c r="C233" s="170"/>
      <c r="D233" s="170"/>
      <c r="E233" s="170"/>
      <c r="F233" s="170"/>
      <c r="G233" s="721"/>
      <c r="H233" s="170"/>
      <c r="I233" s="170"/>
      <c r="J233" s="170"/>
      <c r="K233" s="170"/>
      <c r="L233" s="170"/>
      <c r="M233" s="730"/>
      <c r="N233" s="730"/>
      <c r="O233" s="730"/>
      <c r="P233" s="731"/>
      <c r="Q233" s="731"/>
      <c r="R233" s="730"/>
      <c r="S233" s="730"/>
      <c r="T233" s="723"/>
      <c r="U233" s="724"/>
      <c r="V233" s="725"/>
      <c r="W233" s="725"/>
      <c r="X233" s="723"/>
      <c r="Y233" s="723"/>
      <c r="Z233" s="723"/>
      <c r="AA233" s="726"/>
      <c r="AB233" s="726"/>
      <c r="AC233" s="170"/>
      <c r="AD233" s="586"/>
      <c r="AE233" s="586"/>
      <c r="AF233" s="170"/>
      <c r="AG233" s="170"/>
      <c r="AH233" s="170"/>
      <c r="AI233" s="170"/>
      <c r="AJ233" s="170"/>
      <c r="AK233" s="170"/>
      <c r="AL233" s="170"/>
      <c r="AM233" s="170"/>
      <c r="AN233" s="170"/>
      <c r="AO233" s="170"/>
      <c r="AP233" s="170"/>
      <c r="AQ233" s="170"/>
      <c r="AR233" s="170"/>
      <c r="AS233" s="170"/>
      <c r="AT233" s="170"/>
      <c r="AU233" s="170"/>
      <c r="AV233" s="170"/>
      <c r="AW233" s="828"/>
      <c r="AX233" s="726"/>
    </row>
    <row r="234" spans="1:50" ht="15" x14ac:dyDescent="0.25">
      <c r="A234" s="170"/>
      <c r="B234" s="719"/>
      <c r="C234" s="170"/>
      <c r="D234" s="170"/>
      <c r="E234" s="170"/>
      <c r="F234" s="170"/>
      <c r="G234" s="721"/>
      <c r="H234" s="170"/>
      <c r="I234" s="170"/>
      <c r="J234" s="170"/>
      <c r="K234" s="170"/>
      <c r="L234" s="170"/>
      <c r="M234" s="730"/>
      <c r="N234" s="730"/>
      <c r="O234" s="730"/>
      <c r="P234" s="731"/>
      <c r="Q234" s="731"/>
      <c r="R234" s="730"/>
      <c r="S234" s="730"/>
      <c r="T234" s="723"/>
      <c r="U234" s="724"/>
      <c r="V234" s="725"/>
      <c r="W234" s="725"/>
      <c r="X234" s="723"/>
      <c r="Y234" s="723"/>
      <c r="Z234" s="723"/>
      <c r="AA234" s="726"/>
      <c r="AB234" s="726"/>
      <c r="AC234" s="170"/>
      <c r="AD234" s="586"/>
      <c r="AE234" s="586"/>
      <c r="AF234" s="170"/>
      <c r="AG234" s="170"/>
      <c r="AH234" s="170"/>
      <c r="AI234" s="170"/>
      <c r="AJ234" s="170"/>
      <c r="AK234" s="170"/>
      <c r="AL234" s="170"/>
      <c r="AM234" s="170"/>
      <c r="AN234" s="170"/>
      <c r="AO234" s="170"/>
      <c r="AP234" s="170"/>
      <c r="AQ234" s="170"/>
      <c r="AR234" s="170"/>
      <c r="AS234" s="170"/>
      <c r="AT234" s="170"/>
      <c r="AU234" s="170"/>
      <c r="AV234" s="170"/>
      <c r="AW234" s="828"/>
      <c r="AX234" s="726"/>
    </row>
    <row r="235" spans="1:50" ht="15" x14ac:dyDescent="0.25">
      <c r="A235" s="170"/>
      <c r="B235" s="719"/>
      <c r="C235" s="170"/>
      <c r="D235" s="170"/>
      <c r="E235" s="170"/>
      <c r="F235" s="170"/>
      <c r="G235" s="721"/>
      <c r="H235" s="170"/>
      <c r="I235" s="170"/>
      <c r="J235" s="170"/>
      <c r="K235" s="170"/>
      <c r="L235" s="170"/>
      <c r="M235" s="730"/>
      <c r="N235" s="730"/>
      <c r="O235" s="730"/>
      <c r="P235" s="731"/>
      <c r="Q235" s="731"/>
      <c r="R235" s="730"/>
      <c r="S235" s="730"/>
      <c r="T235" s="723"/>
      <c r="U235" s="724"/>
      <c r="V235" s="725"/>
      <c r="W235" s="725"/>
      <c r="X235" s="723"/>
      <c r="Y235" s="723"/>
      <c r="Z235" s="723"/>
      <c r="AA235" s="726"/>
      <c r="AB235" s="726"/>
      <c r="AC235" s="170"/>
      <c r="AD235" s="586"/>
      <c r="AE235" s="586"/>
      <c r="AF235" s="170"/>
      <c r="AG235" s="170"/>
      <c r="AH235" s="170"/>
      <c r="AI235" s="170"/>
      <c r="AJ235" s="170"/>
      <c r="AK235" s="170"/>
      <c r="AL235" s="170"/>
      <c r="AM235" s="170"/>
      <c r="AN235" s="170"/>
      <c r="AO235" s="170"/>
      <c r="AP235" s="170"/>
      <c r="AQ235" s="170"/>
      <c r="AR235" s="170"/>
      <c r="AS235" s="170"/>
      <c r="AT235" s="170"/>
      <c r="AU235" s="170"/>
      <c r="AV235" s="170"/>
      <c r="AW235" s="828"/>
      <c r="AX235" s="726"/>
    </row>
    <row r="236" spans="1:50" ht="15" x14ac:dyDescent="0.25">
      <c r="A236" s="170"/>
      <c r="B236" s="719"/>
      <c r="C236" s="170"/>
      <c r="D236" s="170"/>
      <c r="E236" s="170"/>
      <c r="F236" s="170"/>
      <c r="G236" s="721"/>
      <c r="H236" s="170"/>
      <c r="I236" s="170"/>
      <c r="J236" s="170"/>
      <c r="K236" s="170"/>
      <c r="L236" s="170"/>
      <c r="M236" s="730"/>
      <c r="N236" s="730"/>
      <c r="O236" s="730"/>
      <c r="P236" s="731"/>
      <c r="Q236" s="731"/>
      <c r="R236" s="730"/>
      <c r="S236" s="730"/>
      <c r="T236" s="723"/>
      <c r="U236" s="724"/>
      <c r="V236" s="725"/>
      <c r="W236" s="725"/>
      <c r="X236" s="723"/>
      <c r="Y236" s="723"/>
      <c r="Z236" s="723"/>
      <c r="AA236" s="726"/>
      <c r="AB236" s="726"/>
      <c r="AC236" s="170"/>
      <c r="AD236" s="586"/>
      <c r="AE236" s="586"/>
      <c r="AF236" s="170"/>
      <c r="AG236" s="170"/>
      <c r="AH236" s="170"/>
      <c r="AI236" s="170"/>
      <c r="AJ236" s="170"/>
      <c r="AK236" s="170"/>
      <c r="AL236" s="170"/>
      <c r="AM236" s="170"/>
      <c r="AN236" s="170"/>
      <c r="AO236" s="170"/>
      <c r="AP236" s="170"/>
      <c r="AQ236" s="170"/>
      <c r="AR236" s="170"/>
      <c r="AS236" s="170"/>
      <c r="AT236" s="170"/>
      <c r="AU236" s="170"/>
      <c r="AV236" s="170"/>
      <c r="AW236" s="828"/>
      <c r="AX236" s="726"/>
    </row>
    <row r="237" spans="1:50" ht="15" x14ac:dyDescent="0.25">
      <c r="A237" s="170"/>
      <c r="B237" s="719"/>
      <c r="C237" s="170"/>
      <c r="D237" s="170"/>
      <c r="E237" s="170"/>
      <c r="F237" s="170"/>
      <c r="G237" s="721"/>
      <c r="H237" s="170"/>
      <c r="I237" s="170"/>
      <c r="J237" s="170"/>
      <c r="K237" s="170"/>
      <c r="L237" s="170"/>
      <c r="M237" s="730"/>
      <c r="N237" s="730"/>
      <c r="O237" s="730"/>
      <c r="P237" s="731"/>
      <c r="Q237" s="731"/>
      <c r="R237" s="730"/>
      <c r="S237" s="730"/>
      <c r="T237" s="723"/>
      <c r="U237" s="724"/>
      <c r="V237" s="725"/>
      <c r="W237" s="725"/>
      <c r="X237" s="723"/>
      <c r="Y237" s="723"/>
      <c r="Z237" s="723"/>
      <c r="AA237" s="726"/>
      <c r="AB237" s="726"/>
      <c r="AC237" s="170"/>
      <c r="AD237" s="586"/>
      <c r="AE237" s="586"/>
      <c r="AF237" s="170"/>
      <c r="AG237" s="170"/>
      <c r="AH237" s="170"/>
      <c r="AI237" s="170"/>
      <c r="AJ237" s="170"/>
      <c r="AK237" s="170"/>
      <c r="AL237" s="170"/>
      <c r="AM237" s="170"/>
      <c r="AN237" s="170"/>
      <c r="AO237" s="170"/>
      <c r="AP237" s="170"/>
      <c r="AQ237" s="170"/>
      <c r="AR237" s="170"/>
      <c r="AS237" s="170"/>
      <c r="AT237" s="170"/>
      <c r="AU237" s="170"/>
      <c r="AV237" s="170"/>
      <c r="AW237" s="828"/>
      <c r="AX237" s="726"/>
    </row>
    <row r="238" spans="1:50" ht="15" x14ac:dyDescent="0.25">
      <c r="A238" s="170"/>
      <c r="B238" s="719"/>
      <c r="C238" s="170"/>
      <c r="D238" s="170"/>
      <c r="E238" s="170"/>
      <c r="F238" s="170"/>
      <c r="G238" s="721"/>
      <c r="H238" s="170"/>
      <c r="I238" s="170"/>
      <c r="J238" s="170"/>
      <c r="K238" s="170"/>
      <c r="L238" s="170"/>
      <c r="M238" s="730"/>
      <c r="N238" s="730"/>
      <c r="O238" s="730"/>
      <c r="P238" s="731"/>
      <c r="Q238" s="731"/>
      <c r="R238" s="730"/>
      <c r="S238" s="730"/>
      <c r="T238" s="723"/>
      <c r="U238" s="724"/>
      <c r="V238" s="725"/>
      <c r="W238" s="725"/>
      <c r="X238" s="723"/>
      <c r="Y238" s="723"/>
      <c r="Z238" s="723"/>
      <c r="AA238" s="726"/>
      <c r="AB238" s="726"/>
      <c r="AC238" s="170"/>
      <c r="AD238" s="586"/>
      <c r="AE238" s="586"/>
      <c r="AF238" s="170"/>
      <c r="AG238" s="170"/>
      <c r="AH238" s="170"/>
      <c r="AI238" s="170"/>
      <c r="AJ238" s="170"/>
      <c r="AK238" s="170"/>
      <c r="AL238" s="170"/>
      <c r="AM238" s="170"/>
      <c r="AN238" s="170"/>
      <c r="AO238" s="170"/>
      <c r="AP238" s="170"/>
      <c r="AQ238" s="170"/>
      <c r="AR238" s="170"/>
      <c r="AS238" s="170"/>
      <c r="AT238" s="170"/>
      <c r="AU238" s="170"/>
      <c r="AV238" s="170"/>
      <c r="AW238" s="828"/>
      <c r="AX238" s="726"/>
    </row>
    <row r="239" spans="1:50" ht="15" x14ac:dyDescent="0.25">
      <c r="A239" s="170"/>
      <c r="B239" s="719"/>
      <c r="C239" s="170"/>
      <c r="D239" s="170"/>
      <c r="E239" s="170"/>
      <c r="F239" s="170"/>
      <c r="G239" s="721"/>
      <c r="H239" s="170"/>
      <c r="I239" s="170"/>
      <c r="J239" s="170"/>
      <c r="K239" s="170"/>
      <c r="L239" s="170"/>
      <c r="M239" s="730"/>
      <c r="N239" s="730"/>
      <c r="O239" s="730"/>
      <c r="P239" s="731"/>
      <c r="Q239" s="731"/>
      <c r="R239" s="730"/>
      <c r="S239" s="730"/>
      <c r="T239" s="723"/>
      <c r="U239" s="724"/>
      <c r="V239" s="725"/>
      <c r="W239" s="725"/>
      <c r="X239" s="723"/>
      <c r="Y239" s="723"/>
      <c r="Z239" s="723"/>
      <c r="AA239" s="726"/>
      <c r="AB239" s="726"/>
      <c r="AC239" s="170"/>
      <c r="AD239" s="586"/>
      <c r="AE239" s="586"/>
      <c r="AF239" s="170"/>
      <c r="AG239" s="170"/>
      <c r="AH239" s="170"/>
      <c r="AI239" s="170"/>
      <c r="AJ239" s="170"/>
      <c r="AK239" s="170"/>
      <c r="AL239" s="170"/>
      <c r="AM239" s="170"/>
      <c r="AN239" s="170"/>
      <c r="AO239" s="170"/>
      <c r="AP239" s="170"/>
      <c r="AQ239" s="170"/>
      <c r="AR239" s="170"/>
      <c r="AS239" s="170"/>
      <c r="AT239" s="170"/>
      <c r="AU239" s="170"/>
      <c r="AV239" s="170"/>
      <c r="AW239" s="828"/>
      <c r="AX239" s="726"/>
    </row>
    <row r="240" spans="1:50" ht="15" x14ac:dyDescent="0.25">
      <c r="A240" s="170"/>
      <c r="B240" s="719"/>
      <c r="C240" s="170"/>
      <c r="D240" s="170"/>
      <c r="E240" s="170"/>
      <c r="F240" s="170"/>
      <c r="G240" s="721"/>
      <c r="H240" s="170"/>
      <c r="I240" s="170"/>
      <c r="J240" s="170"/>
      <c r="K240" s="170"/>
      <c r="L240" s="170"/>
      <c r="M240" s="730"/>
      <c r="N240" s="730"/>
      <c r="O240" s="730"/>
      <c r="P240" s="731"/>
      <c r="Q240" s="731"/>
      <c r="R240" s="730"/>
      <c r="S240" s="730"/>
      <c r="T240" s="723"/>
      <c r="U240" s="724"/>
      <c r="V240" s="725"/>
      <c r="W240" s="725"/>
      <c r="X240" s="723"/>
      <c r="Y240" s="723"/>
      <c r="Z240" s="723"/>
      <c r="AA240" s="726"/>
      <c r="AB240" s="726"/>
      <c r="AC240" s="170"/>
      <c r="AD240" s="586"/>
      <c r="AE240" s="586"/>
      <c r="AF240" s="170"/>
      <c r="AG240" s="170"/>
      <c r="AH240" s="170"/>
      <c r="AI240" s="170"/>
      <c r="AJ240" s="170"/>
      <c r="AK240" s="170"/>
      <c r="AL240" s="170"/>
      <c r="AM240" s="170"/>
      <c r="AN240" s="170"/>
      <c r="AO240" s="170"/>
      <c r="AP240" s="170"/>
      <c r="AQ240" s="170"/>
      <c r="AR240" s="170"/>
      <c r="AS240" s="170"/>
      <c r="AT240" s="170"/>
      <c r="AU240" s="170"/>
      <c r="AV240" s="170"/>
      <c r="AW240" s="828"/>
      <c r="AX240" s="726"/>
    </row>
    <row r="241" spans="1:50" ht="15" x14ac:dyDescent="0.25">
      <c r="A241" s="170"/>
      <c r="B241" s="719"/>
      <c r="C241" s="170"/>
      <c r="D241" s="170"/>
      <c r="E241" s="170"/>
      <c r="F241" s="170"/>
      <c r="G241" s="721"/>
      <c r="H241" s="170"/>
      <c r="I241" s="170"/>
      <c r="J241" s="170"/>
      <c r="K241" s="170"/>
      <c r="L241" s="170"/>
      <c r="M241" s="730"/>
      <c r="N241" s="730"/>
      <c r="O241" s="730"/>
      <c r="P241" s="731"/>
      <c r="Q241" s="731"/>
      <c r="R241" s="730"/>
      <c r="S241" s="730"/>
      <c r="T241" s="723"/>
      <c r="U241" s="724"/>
      <c r="V241" s="725"/>
      <c r="W241" s="725"/>
      <c r="X241" s="723"/>
      <c r="Y241" s="723"/>
      <c r="Z241" s="723"/>
      <c r="AA241" s="726"/>
      <c r="AB241" s="726"/>
      <c r="AC241" s="170"/>
      <c r="AD241" s="586"/>
      <c r="AE241" s="586"/>
      <c r="AF241" s="170"/>
      <c r="AG241" s="170"/>
      <c r="AH241" s="170"/>
      <c r="AI241" s="170"/>
      <c r="AJ241" s="170"/>
      <c r="AK241" s="170"/>
      <c r="AL241" s="170"/>
      <c r="AM241" s="170"/>
      <c r="AN241" s="170"/>
      <c r="AO241" s="170"/>
      <c r="AP241" s="170"/>
      <c r="AQ241" s="170"/>
      <c r="AR241" s="170"/>
      <c r="AS241" s="170"/>
      <c r="AT241" s="170"/>
      <c r="AU241" s="170"/>
      <c r="AV241" s="170"/>
      <c r="AW241" s="828"/>
      <c r="AX241" s="726"/>
    </row>
    <row r="242" spans="1:50" ht="15" x14ac:dyDescent="0.25">
      <c r="A242" s="170"/>
      <c r="B242" s="719"/>
      <c r="C242" s="170"/>
      <c r="D242" s="170"/>
      <c r="E242" s="170"/>
      <c r="F242" s="170"/>
      <c r="G242" s="721"/>
      <c r="H242" s="170"/>
      <c r="I242" s="170"/>
      <c r="J242" s="170"/>
      <c r="K242" s="170"/>
      <c r="L242" s="170"/>
      <c r="M242" s="730"/>
      <c r="N242" s="730"/>
      <c r="O242" s="730"/>
      <c r="P242" s="731"/>
      <c r="Q242" s="731"/>
      <c r="R242" s="730"/>
      <c r="S242" s="730"/>
      <c r="T242" s="723"/>
      <c r="U242" s="724"/>
      <c r="V242" s="725"/>
      <c r="W242" s="725"/>
      <c r="X242" s="723"/>
      <c r="Y242" s="723"/>
      <c r="Z242" s="723"/>
      <c r="AA242" s="726"/>
      <c r="AB242" s="726"/>
      <c r="AC242" s="170"/>
      <c r="AD242" s="586"/>
      <c r="AE242" s="586"/>
      <c r="AF242" s="170"/>
      <c r="AG242" s="170"/>
      <c r="AH242" s="170"/>
      <c r="AI242" s="170"/>
      <c r="AJ242" s="170"/>
      <c r="AK242" s="170"/>
      <c r="AL242" s="170"/>
      <c r="AM242" s="170"/>
      <c r="AN242" s="170"/>
      <c r="AO242" s="170"/>
      <c r="AP242" s="170"/>
      <c r="AQ242" s="170"/>
      <c r="AR242" s="170"/>
      <c r="AS242" s="170"/>
      <c r="AT242" s="170"/>
      <c r="AU242" s="170"/>
      <c r="AV242" s="170"/>
      <c r="AW242" s="828"/>
      <c r="AX242" s="726"/>
    </row>
    <row r="243" spans="1:50" ht="15" x14ac:dyDescent="0.25">
      <c r="A243" s="170"/>
      <c r="B243" s="719"/>
      <c r="C243" s="170"/>
      <c r="D243" s="170"/>
      <c r="E243" s="170"/>
      <c r="F243" s="170"/>
      <c r="G243" s="721"/>
      <c r="H243" s="170"/>
      <c r="I243" s="170"/>
      <c r="J243" s="170"/>
      <c r="K243" s="170"/>
      <c r="L243" s="170"/>
      <c r="M243" s="730"/>
      <c r="N243" s="730"/>
      <c r="O243" s="730"/>
      <c r="P243" s="731"/>
      <c r="Q243" s="731"/>
      <c r="R243" s="730"/>
      <c r="S243" s="730"/>
      <c r="T243" s="723"/>
      <c r="U243" s="724"/>
      <c r="V243" s="725"/>
      <c r="W243" s="725"/>
      <c r="X243" s="723"/>
      <c r="Y243" s="723"/>
      <c r="Z243" s="723"/>
      <c r="AA243" s="726"/>
      <c r="AB243" s="726"/>
      <c r="AC243" s="170"/>
      <c r="AD243" s="586"/>
      <c r="AE243" s="586"/>
      <c r="AF243" s="170"/>
      <c r="AG243" s="170"/>
      <c r="AH243" s="170"/>
      <c r="AI243" s="170"/>
      <c r="AJ243" s="170"/>
      <c r="AK243" s="170"/>
      <c r="AL243" s="170"/>
      <c r="AM243" s="170"/>
      <c r="AN243" s="170"/>
      <c r="AO243" s="170"/>
      <c r="AP243" s="170"/>
      <c r="AQ243" s="170"/>
      <c r="AR243" s="170"/>
      <c r="AS243" s="170"/>
      <c r="AT243" s="170"/>
      <c r="AU243" s="170"/>
      <c r="AV243" s="170"/>
      <c r="AW243" s="828"/>
      <c r="AX243" s="726"/>
    </row>
    <row r="244" spans="1:50" ht="15" x14ac:dyDescent="0.25">
      <c r="A244" s="170"/>
      <c r="B244" s="719"/>
      <c r="C244" s="170"/>
      <c r="D244" s="170"/>
      <c r="E244" s="170"/>
      <c r="F244" s="170"/>
      <c r="G244" s="721"/>
      <c r="H244" s="170"/>
      <c r="I244" s="170"/>
      <c r="J244" s="170"/>
      <c r="K244" s="170"/>
      <c r="L244" s="170"/>
      <c r="M244" s="730"/>
      <c r="N244" s="730"/>
      <c r="O244" s="730"/>
      <c r="P244" s="731"/>
      <c r="Q244" s="731"/>
      <c r="R244" s="730"/>
      <c r="S244" s="730"/>
      <c r="T244" s="723"/>
      <c r="U244" s="724"/>
      <c r="V244" s="725"/>
      <c r="W244" s="725"/>
      <c r="X244" s="723"/>
      <c r="Y244" s="723"/>
      <c r="Z244" s="723"/>
      <c r="AA244" s="726"/>
      <c r="AB244" s="726"/>
      <c r="AC244" s="170"/>
      <c r="AD244" s="586"/>
      <c r="AE244" s="586"/>
      <c r="AF244" s="170"/>
      <c r="AG244" s="170"/>
      <c r="AH244" s="170"/>
      <c r="AI244" s="170"/>
      <c r="AJ244" s="170"/>
      <c r="AK244" s="170"/>
      <c r="AL244" s="170"/>
      <c r="AM244" s="170"/>
      <c r="AN244" s="170"/>
      <c r="AO244" s="170"/>
      <c r="AP244" s="170"/>
      <c r="AQ244" s="170"/>
      <c r="AR244" s="170"/>
      <c r="AS244" s="170"/>
      <c r="AT244" s="170"/>
      <c r="AU244" s="170"/>
      <c r="AV244" s="170"/>
      <c r="AW244" s="828"/>
      <c r="AX244" s="726"/>
    </row>
    <row r="245" spans="1:50" ht="15" x14ac:dyDescent="0.25">
      <c r="A245" s="170"/>
      <c r="B245" s="719"/>
      <c r="C245" s="170"/>
      <c r="D245" s="170"/>
      <c r="E245" s="170"/>
      <c r="F245" s="170"/>
      <c r="G245" s="721"/>
      <c r="H245" s="170"/>
      <c r="I245" s="170"/>
      <c r="J245" s="170"/>
      <c r="K245" s="170"/>
      <c r="L245" s="170"/>
      <c r="M245" s="730"/>
      <c r="N245" s="730"/>
      <c r="O245" s="730"/>
      <c r="P245" s="731"/>
      <c r="Q245" s="731"/>
      <c r="R245" s="730"/>
      <c r="S245" s="730"/>
      <c r="T245" s="723"/>
      <c r="U245" s="724"/>
      <c r="V245" s="725"/>
      <c r="W245" s="725"/>
      <c r="X245" s="723"/>
      <c r="Y245" s="723"/>
      <c r="Z245" s="723"/>
      <c r="AA245" s="726"/>
      <c r="AB245" s="726"/>
      <c r="AC245" s="170"/>
      <c r="AD245" s="586"/>
      <c r="AE245" s="586"/>
      <c r="AF245" s="170"/>
      <c r="AG245" s="170"/>
      <c r="AH245" s="170"/>
      <c r="AI245" s="170"/>
      <c r="AJ245" s="170"/>
      <c r="AK245" s="170"/>
      <c r="AL245" s="170"/>
      <c r="AM245" s="170"/>
      <c r="AN245" s="170"/>
      <c r="AO245" s="170"/>
      <c r="AP245" s="170"/>
      <c r="AQ245" s="170"/>
      <c r="AR245" s="170"/>
      <c r="AS245" s="170"/>
      <c r="AT245" s="170"/>
      <c r="AU245" s="170"/>
      <c r="AV245" s="170"/>
      <c r="AW245" s="828"/>
      <c r="AX245" s="726"/>
    </row>
    <row r="246" spans="1:50" ht="15" x14ac:dyDescent="0.25">
      <c r="A246" s="170"/>
      <c r="B246" s="719"/>
      <c r="C246" s="170"/>
      <c r="D246" s="170"/>
      <c r="E246" s="170"/>
      <c r="F246" s="170"/>
      <c r="G246" s="721"/>
      <c r="H246" s="170"/>
      <c r="I246" s="170"/>
      <c r="J246" s="170"/>
      <c r="K246" s="170"/>
      <c r="L246" s="170"/>
      <c r="M246" s="730"/>
      <c r="N246" s="730"/>
      <c r="O246" s="730"/>
      <c r="P246" s="731"/>
      <c r="Q246" s="731"/>
      <c r="R246" s="730"/>
      <c r="S246" s="730"/>
      <c r="T246" s="723"/>
      <c r="U246" s="724"/>
      <c r="V246" s="725"/>
      <c r="W246" s="725"/>
      <c r="X246" s="723"/>
      <c r="Y246" s="723"/>
      <c r="Z246" s="723"/>
      <c r="AA246" s="726"/>
      <c r="AB246" s="726"/>
      <c r="AC246" s="170"/>
      <c r="AD246" s="586"/>
      <c r="AE246" s="586"/>
      <c r="AF246" s="170"/>
      <c r="AG246" s="170"/>
      <c r="AH246" s="170"/>
      <c r="AI246" s="170"/>
      <c r="AJ246" s="170"/>
      <c r="AK246" s="170"/>
      <c r="AL246" s="170"/>
      <c r="AM246" s="170"/>
      <c r="AN246" s="170"/>
      <c r="AO246" s="170"/>
      <c r="AP246" s="170"/>
      <c r="AQ246" s="170"/>
      <c r="AR246" s="170"/>
      <c r="AS246" s="170"/>
      <c r="AT246" s="170"/>
      <c r="AU246" s="170"/>
      <c r="AV246" s="170"/>
      <c r="AW246" s="828"/>
      <c r="AX246" s="726"/>
    </row>
    <row r="247" spans="1:50" ht="15" x14ac:dyDescent="0.25">
      <c r="A247" s="170"/>
      <c r="B247" s="719"/>
      <c r="C247" s="170"/>
      <c r="D247" s="170"/>
      <c r="E247" s="170"/>
      <c r="F247" s="170"/>
      <c r="G247" s="721"/>
      <c r="H247" s="170"/>
      <c r="I247" s="170"/>
      <c r="J247" s="170"/>
      <c r="K247" s="170"/>
      <c r="L247" s="170"/>
      <c r="M247" s="730"/>
      <c r="N247" s="730"/>
      <c r="O247" s="730"/>
      <c r="P247" s="731"/>
      <c r="Q247" s="731"/>
      <c r="R247" s="730"/>
      <c r="S247" s="730"/>
      <c r="T247" s="723"/>
      <c r="U247" s="724"/>
      <c r="V247" s="725"/>
      <c r="W247" s="725"/>
      <c r="X247" s="723"/>
      <c r="Y247" s="723"/>
      <c r="Z247" s="723"/>
      <c r="AA247" s="726"/>
      <c r="AB247" s="726"/>
      <c r="AC247" s="170"/>
      <c r="AD247" s="586"/>
      <c r="AE247" s="586"/>
      <c r="AF247" s="170"/>
      <c r="AG247" s="170"/>
      <c r="AH247" s="170"/>
      <c r="AI247" s="170"/>
      <c r="AJ247" s="170"/>
      <c r="AK247" s="170"/>
      <c r="AL247" s="170"/>
      <c r="AM247" s="170"/>
      <c r="AN247" s="170"/>
      <c r="AO247" s="170"/>
      <c r="AP247" s="170"/>
      <c r="AQ247" s="170"/>
      <c r="AR247" s="170"/>
      <c r="AS247" s="170"/>
      <c r="AT247" s="170"/>
      <c r="AU247" s="170"/>
      <c r="AV247" s="170"/>
      <c r="AW247" s="828"/>
      <c r="AX247" s="726"/>
    </row>
    <row r="248" spans="1:50" ht="15" x14ac:dyDescent="0.25">
      <c r="A248" s="170"/>
      <c r="B248" s="719"/>
      <c r="C248" s="170"/>
      <c r="D248" s="170"/>
      <c r="E248" s="170"/>
      <c r="F248" s="170"/>
      <c r="G248" s="721"/>
      <c r="H248" s="170"/>
      <c r="I248" s="170"/>
      <c r="J248" s="170"/>
      <c r="K248" s="170"/>
      <c r="L248" s="170"/>
      <c r="M248" s="730"/>
      <c r="N248" s="730"/>
      <c r="O248" s="730"/>
      <c r="P248" s="731"/>
      <c r="Q248" s="731"/>
      <c r="R248" s="730"/>
      <c r="S248" s="730"/>
      <c r="T248" s="723"/>
      <c r="U248" s="724"/>
      <c r="V248" s="725"/>
      <c r="W248" s="725"/>
      <c r="X248" s="723"/>
      <c r="Y248" s="723"/>
      <c r="Z248" s="723"/>
      <c r="AA248" s="726"/>
      <c r="AB248" s="726"/>
      <c r="AC248" s="170"/>
      <c r="AD248" s="586"/>
      <c r="AE248" s="586"/>
      <c r="AF248" s="170"/>
      <c r="AG248" s="170"/>
      <c r="AH248" s="170"/>
      <c r="AI248" s="170"/>
      <c r="AJ248" s="170"/>
      <c r="AK248" s="170"/>
      <c r="AL248" s="170"/>
      <c r="AM248" s="170"/>
      <c r="AN248" s="170"/>
      <c r="AO248" s="170"/>
      <c r="AP248" s="170"/>
      <c r="AQ248" s="170"/>
      <c r="AR248" s="170"/>
      <c r="AS248" s="170"/>
      <c r="AT248" s="170"/>
      <c r="AU248" s="170"/>
      <c r="AV248" s="170"/>
      <c r="AW248" s="828"/>
      <c r="AX248" s="726"/>
    </row>
    <row r="249" spans="1:50" ht="15" x14ac:dyDescent="0.25">
      <c r="A249" s="170"/>
      <c r="B249" s="719"/>
      <c r="C249" s="170"/>
      <c r="D249" s="170"/>
      <c r="E249" s="170"/>
      <c r="F249" s="170"/>
      <c r="G249" s="721"/>
      <c r="H249" s="170"/>
      <c r="I249" s="170"/>
      <c r="J249" s="170"/>
      <c r="K249" s="170"/>
      <c r="L249" s="170"/>
      <c r="M249" s="730"/>
      <c r="N249" s="730"/>
      <c r="O249" s="730"/>
      <c r="P249" s="731"/>
      <c r="Q249" s="731"/>
      <c r="R249" s="730"/>
      <c r="S249" s="730"/>
      <c r="T249" s="723"/>
      <c r="U249" s="724"/>
      <c r="V249" s="725"/>
      <c r="W249" s="725"/>
      <c r="X249" s="723"/>
      <c r="Y249" s="723"/>
      <c r="Z249" s="723"/>
      <c r="AA249" s="726"/>
      <c r="AB249" s="726"/>
      <c r="AC249" s="170"/>
      <c r="AD249" s="586"/>
      <c r="AE249" s="586"/>
      <c r="AF249" s="170"/>
      <c r="AG249" s="170"/>
      <c r="AH249" s="170"/>
      <c r="AI249" s="170"/>
      <c r="AJ249" s="170"/>
      <c r="AK249" s="170"/>
      <c r="AL249" s="170"/>
      <c r="AM249" s="170"/>
      <c r="AN249" s="170"/>
      <c r="AO249" s="170"/>
      <c r="AP249" s="170"/>
      <c r="AQ249" s="170"/>
      <c r="AR249" s="170"/>
      <c r="AS249" s="170"/>
      <c r="AT249" s="170"/>
      <c r="AU249" s="170"/>
      <c r="AV249" s="170"/>
      <c r="AW249" s="828"/>
      <c r="AX249" s="726"/>
    </row>
    <row r="250" spans="1:50" ht="15" x14ac:dyDescent="0.25">
      <c r="A250" s="170"/>
      <c r="B250" s="719"/>
      <c r="C250" s="170"/>
      <c r="D250" s="170"/>
      <c r="E250" s="170"/>
      <c r="F250" s="170"/>
      <c r="G250" s="721"/>
      <c r="H250" s="170"/>
      <c r="I250" s="170"/>
      <c r="J250" s="170"/>
      <c r="K250" s="170"/>
      <c r="L250" s="170"/>
      <c r="M250" s="730"/>
      <c r="N250" s="730"/>
      <c r="O250" s="730"/>
      <c r="P250" s="731"/>
      <c r="Q250" s="731"/>
      <c r="R250" s="730"/>
      <c r="S250" s="730"/>
      <c r="T250" s="723"/>
      <c r="U250" s="724"/>
      <c r="V250" s="725"/>
      <c r="W250" s="725"/>
      <c r="X250" s="723"/>
      <c r="Y250" s="723"/>
      <c r="Z250" s="723"/>
      <c r="AA250" s="726"/>
      <c r="AB250" s="726"/>
      <c r="AC250" s="170"/>
      <c r="AD250" s="586"/>
      <c r="AE250" s="586"/>
      <c r="AF250" s="170"/>
      <c r="AG250" s="170"/>
      <c r="AH250" s="170"/>
      <c r="AI250" s="170"/>
      <c r="AJ250" s="170"/>
      <c r="AK250" s="170"/>
      <c r="AL250" s="170"/>
      <c r="AM250" s="170"/>
      <c r="AN250" s="170"/>
      <c r="AO250" s="170"/>
      <c r="AP250" s="170"/>
      <c r="AQ250" s="170"/>
      <c r="AR250" s="170"/>
      <c r="AS250" s="170"/>
      <c r="AT250" s="170"/>
      <c r="AU250" s="170"/>
      <c r="AV250" s="170"/>
      <c r="AW250" s="828"/>
      <c r="AX250" s="726"/>
    </row>
    <row r="251" spans="1:50" ht="15" x14ac:dyDescent="0.25">
      <c r="A251" s="170"/>
      <c r="B251" s="719"/>
      <c r="C251" s="170"/>
      <c r="D251" s="170"/>
      <c r="E251" s="170"/>
      <c r="F251" s="170"/>
      <c r="G251" s="721"/>
      <c r="H251" s="170"/>
      <c r="I251" s="170"/>
      <c r="J251" s="170"/>
      <c r="K251" s="170"/>
      <c r="L251" s="170"/>
      <c r="M251" s="730"/>
      <c r="N251" s="730"/>
      <c r="O251" s="730"/>
      <c r="P251" s="731"/>
      <c r="Q251" s="731"/>
      <c r="R251" s="730"/>
      <c r="S251" s="730"/>
      <c r="T251" s="723"/>
      <c r="U251" s="724"/>
      <c r="V251" s="725"/>
      <c r="W251" s="725"/>
      <c r="X251" s="723"/>
      <c r="Y251" s="723"/>
      <c r="Z251" s="723"/>
      <c r="AA251" s="726"/>
      <c r="AB251" s="726"/>
      <c r="AC251" s="170"/>
      <c r="AD251" s="586"/>
      <c r="AE251" s="586"/>
      <c r="AF251" s="170"/>
      <c r="AG251" s="170"/>
      <c r="AH251" s="170"/>
      <c r="AI251" s="170"/>
      <c r="AJ251" s="170"/>
      <c r="AK251" s="170"/>
      <c r="AL251" s="170"/>
      <c r="AM251" s="170"/>
      <c r="AN251" s="170"/>
      <c r="AO251" s="170"/>
      <c r="AP251" s="170"/>
      <c r="AQ251" s="170"/>
      <c r="AR251" s="170"/>
      <c r="AS251" s="170"/>
      <c r="AT251" s="170"/>
      <c r="AU251" s="170"/>
      <c r="AV251" s="170"/>
      <c r="AW251" s="828"/>
      <c r="AX251" s="726"/>
    </row>
    <row r="252" spans="1:50" ht="15" x14ac:dyDescent="0.25">
      <c r="A252" s="170"/>
      <c r="B252" s="719"/>
      <c r="C252" s="170"/>
      <c r="D252" s="170"/>
      <c r="E252" s="170"/>
      <c r="F252" s="170"/>
      <c r="G252" s="721"/>
      <c r="H252" s="170"/>
      <c r="I252" s="170"/>
      <c r="J252" s="170"/>
      <c r="K252" s="170"/>
      <c r="L252" s="170"/>
      <c r="M252" s="730"/>
      <c r="N252" s="730"/>
      <c r="O252" s="730"/>
      <c r="P252" s="731"/>
      <c r="Q252" s="731"/>
      <c r="R252" s="730"/>
      <c r="S252" s="730"/>
      <c r="T252" s="723"/>
      <c r="U252" s="724"/>
      <c r="V252" s="725"/>
      <c r="W252" s="725"/>
      <c r="X252" s="723"/>
      <c r="Y252" s="723"/>
      <c r="Z252" s="723"/>
      <c r="AA252" s="726"/>
      <c r="AB252" s="726"/>
      <c r="AC252" s="170"/>
      <c r="AD252" s="586"/>
      <c r="AE252" s="586"/>
      <c r="AF252" s="170"/>
      <c r="AG252" s="170"/>
      <c r="AH252" s="170"/>
      <c r="AI252" s="170"/>
      <c r="AJ252" s="170"/>
      <c r="AK252" s="170"/>
      <c r="AL252" s="170"/>
      <c r="AM252" s="170"/>
      <c r="AN252" s="170"/>
      <c r="AO252" s="170"/>
      <c r="AP252" s="170"/>
      <c r="AQ252" s="170"/>
      <c r="AR252" s="170"/>
      <c r="AS252" s="170"/>
      <c r="AT252" s="170"/>
      <c r="AU252" s="170"/>
      <c r="AV252" s="170"/>
      <c r="AW252" s="828"/>
      <c r="AX252" s="726"/>
    </row>
    <row r="253" spans="1:50" ht="15" x14ac:dyDescent="0.25">
      <c r="A253" s="170"/>
      <c r="B253" s="719"/>
      <c r="C253" s="170"/>
      <c r="D253" s="170"/>
      <c r="E253" s="170"/>
      <c r="F253" s="170"/>
      <c r="G253" s="721"/>
      <c r="H253" s="170"/>
      <c r="I253" s="170"/>
      <c r="J253" s="170"/>
      <c r="K253" s="170"/>
      <c r="L253" s="170"/>
      <c r="M253" s="730"/>
      <c r="N253" s="730"/>
      <c r="O253" s="730"/>
      <c r="P253" s="731"/>
      <c r="Q253" s="731"/>
      <c r="R253" s="730"/>
      <c r="S253" s="730"/>
      <c r="T253" s="723"/>
      <c r="U253" s="724"/>
      <c r="V253" s="725"/>
      <c r="W253" s="725"/>
      <c r="X253" s="723"/>
      <c r="Y253" s="723"/>
      <c r="Z253" s="723"/>
      <c r="AA253" s="726"/>
      <c r="AB253" s="726"/>
      <c r="AC253" s="170"/>
      <c r="AD253" s="586"/>
      <c r="AE253" s="586"/>
      <c r="AF253" s="170"/>
      <c r="AG253" s="170"/>
      <c r="AH253" s="170"/>
      <c r="AI253" s="170"/>
      <c r="AJ253" s="170"/>
      <c r="AK253" s="170"/>
      <c r="AL253" s="170"/>
      <c r="AM253" s="170"/>
      <c r="AN253" s="170"/>
      <c r="AO253" s="170"/>
      <c r="AP253" s="170"/>
      <c r="AQ253" s="170"/>
      <c r="AR253" s="170"/>
      <c r="AS253" s="170"/>
      <c r="AT253" s="170"/>
      <c r="AU253" s="170"/>
      <c r="AV253" s="170"/>
      <c r="AW253" s="828"/>
      <c r="AX253" s="726"/>
    </row>
    <row r="254" spans="1:50" ht="15" x14ac:dyDescent="0.25">
      <c r="A254" s="170"/>
      <c r="B254" s="719"/>
      <c r="C254" s="170"/>
      <c r="D254" s="170"/>
      <c r="E254" s="170"/>
      <c r="F254" s="170"/>
      <c r="G254" s="721"/>
      <c r="H254" s="170"/>
      <c r="I254" s="170"/>
      <c r="J254" s="170"/>
      <c r="K254" s="170"/>
      <c r="L254" s="170"/>
      <c r="M254" s="730"/>
      <c r="N254" s="730"/>
      <c r="O254" s="730"/>
      <c r="P254" s="731"/>
      <c r="Q254" s="731"/>
      <c r="R254" s="730"/>
      <c r="S254" s="730"/>
      <c r="T254" s="723"/>
      <c r="U254" s="724"/>
      <c r="V254" s="725"/>
      <c r="W254" s="725"/>
      <c r="X254" s="723"/>
      <c r="Y254" s="723"/>
      <c r="Z254" s="723"/>
      <c r="AA254" s="726"/>
      <c r="AB254" s="726"/>
      <c r="AC254" s="170"/>
      <c r="AD254" s="586"/>
      <c r="AE254" s="586"/>
      <c r="AF254" s="170"/>
      <c r="AG254" s="170"/>
      <c r="AH254" s="170"/>
      <c r="AI254" s="170"/>
      <c r="AJ254" s="170"/>
      <c r="AK254" s="170"/>
      <c r="AL254" s="170"/>
      <c r="AM254" s="170"/>
      <c r="AN254" s="170"/>
      <c r="AO254" s="170"/>
      <c r="AP254" s="170"/>
      <c r="AQ254" s="170"/>
      <c r="AR254" s="170"/>
      <c r="AS254" s="170"/>
      <c r="AT254" s="170"/>
      <c r="AU254" s="170"/>
      <c r="AV254" s="170"/>
      <c r="AW254" s="828"/>
      <c r="AX254" s="726"/>
    </row>
    <row r="255" spans="1:50" ht="15" x14ac:dyDescent="0.25">
      <c r="A255" s="170"/>
      <c r="B255" s="719"/>
      <c r="C255" s="170"/>
      <c r="D255" s="170"/>
      <c r="E255" s="170"/>
      <c r="F255" s="170"/>
      <c r="G255" s="721"/>
      <c r="H255" s="170"/>
      <c r="I255" s="170"/>
      <c r="J255" s="170"/>
      <c r="K255" s="170"/>
      <c r="L255" s="170"/>
      <c r="M255" s="730"/>
      <c r="N255" s="730"/>
      <c r="O255" s="730"/>
      <c r="P255" s="731"/>
      <c r="Q255" s="731"/>
      <c r="R255" s="730"/>
      <c r="S255" s="730"/>
      <c r="T255" s="723"/>
      <c r="U255" s="724"/>
      <c r="V255" s="725"/>
      <c r="W255" s="725"/>
      <c r="X255" s="723"/>
      <c r="Y255" s="723"/>
      <c r="Z255" s="723"/>
      <c r="AA255" s="726"/>
      <c r="AB255" s="726"/>
      <c r="AC255" s="170"/>
      <c r="AD255" s="586"/>
      <c r="AE255" s="586"/>
      <c r="AF255" s="170"/>
      <c r="AG255" s="170"/>
      <c r="AH255" s="170"/>
      <c r="AI255" s="170"/>
      <c r="AJ255" s="170"/>
      <c r="AK255" s="170"/>
      <c r="AL255" s="170"/>
      <c r="AM255" s="170"/>
      <c r="AN255" s="170"/>
      <c r="AO255" s="170"/>
      <c r="AP255" s="170"/>
      <c r="AQ255" s="170"/>
      <c r="AR255" s="170"/>
      <c r="AS255" s="170"/>
      <c r="AT255" s="170"/>
      <c r="AU255" s="170"/>
      <c r="AV255" s="170"/>
      <c r="AW255" s="828"/>
      <c r="AX255" s="726"/>
    </row>
    <row r="256" spans="1:50" ht="15" x14ac:dyDescent="0.25">
      <c r="A256" s="170"/>
      <c r="B256" s="719"/>
      <c r="C256" s="170"/>
      <c r="D256" s="170"/>
      <c r="E256" s="170"/>
      <c r="F256" s="170"/>
      <c r="G256" s="721"/>
      <c r="H256" s="170"/>
      <c r="I256" s="170"/>
      <c r="J256" s="170"/>
      <c r="K256" s="170"/>
      <c r="L256" s="170"/>
      <c r="M256" s="730"/>
      <c r="N256" s="730"/>
      <c r="O256" s="730"/>
      <c r="P256" s="731"/>
      <c r="Q256" s="731"/>
      <c r="R256" s="730"/>
      <c r="S256" s="730"/>
      <c r="T256" s="723"/>
      <c r="U256" s="724"/>
      <c r="V256" s="725"/>
      <c r="W256" s="725"/>
      <c r="X256" s="723"/>
      <c r="Y256" s="723"/>
      <c r="Z256" s="723"/>
      <c r="AA256" s="726"/>
      <c r="AB256" s="726"/>
      <c r="AC256" s="170"/>
      <c r="AD256" s="586"/>
      <c r="AE256" s="586"/>
      <c r="AF256" s="170"/>
      <c r="AG256" s="170"/>
      <c r="AH256" s="170"/>
      <c r="AI256" s="170"/>
      <c r="AJ256" s="170"/>
      <c r="AK256" s="170"/>
      <c r="AL256" s="170"/>
      <c r="AM256" s="170"/>
      <c r="AN256" s="170"/>
      <c r="AO256" s="170"/>
      <c r="AP256" s="170"/>
      <c r="AQ256" s="170"/>
      <c r="AR256" s="170"/>
      <c r="AS256" s="170"/>
      <c r="AT256" s="170"/>
      <c r="AU256" s="170"/>
      <c r="AV256" s="170"/>
      <c r="AW256" s="828"/>
      <c r="AX256" s="726"/>
    </row>
    <row r="257" spans="1:50" ht="15" x14ac:dyDescent="0.25">
      <c r="A257" s="170"/>
      <c r="B257" s="719"/>
      <c r="C257" s="170"/>
      <c r="D257" s="170"/>
      <c r="E257" s="170"/>
      <c r="F257" s="170"/>
      <c r="G257" s="721"/>
      <c r="H257" s="170"/>
      <c r="I257" s="170"/>
      <c r="J257" s="170"/>
      <c r="K257" s="170"/>
      <c r="L257" s="170"/>
      <c r="M257" s="730"/>
      <c r="N257" s="730"/>
      <c r="O257" s="730"/>
      <c r="P257" s="731"/>
      <c r="Q257" s="731"/>
      <c r="R257" s="730"/>
      <c r="S257" s="730"/>
      <c r="T257" s="723"/>
      <c r="U257" s="724"/>
      <c r="V257" s="725"/>
      <c r="W257" s="725"/>
      <c r="X257" s="723"/>
      <c r="Y257" s="723"/>
      <c r="Z257" s="723"/>
      <c r="AA257" s="726"/>
      <c r="AB257" s="726"/>
      <c r="AC257" s="170"/>
      <c r="AD257" s="586"/>
      <c r="AE257" s="586"/>
      <c r="AF257" s="170"/>
      <c r="AG257" s="170"/>
      <c r="AH257" s="170"/>
      <c r="AI257" s="170"/>
      <c r="AJ257" s="170"/>
      <c r="AK257" s="170"/>
      <c r="AL257" s="170"/>
      <c r="AM257" s="170"/>
      <c r="AN257" s="170"/>
      <c r="AO257" s="170"/>
      <c r="AP257" s="170"/>
      <c r="AQ257" s="170"/>
      <c r="AR257" s="170"/>
      <c r="AS257" s="170"/>
      <c r="AT257" s="170"/>
      <c r="AU257" s="170"/>
      <c r="AV257" s="170"/>
      <c r="AW257" s="828"/>
      <c r="AX257" s="726"/>
    </row>
    <row r="258" spans="1:50" ht="15" x14ac:dyDescent="0.25">
      <c r="A258" s="170"/>
      <c r="B258" s="719"/>
      <c r="C258" s="170"/>
      <c r="D258" s="170"/>
      <c r="E258" s="170"/>
      <c r="F258" s="170"/>
      <c r="G258" s="721"/>
      <c r="H258" s="170"/>
      <c r="I258" s="170"/>
      <c r="J258" s="170"/>
      <c r="K258" s="170"/>
      <c r="L258" s="170"/>
      <c r="M258" s="730"/>
      <c r="N258" s="730"/>
      <c r="O258" s="730"/>
      <c r="P258" s="731"/>
      <c r="Q258" s="731"/>
      <c r="R258" s="730"/>
      <c r="S258" s="730"/>
      <c r="T258" s="723"/>
      <c r="U258" s="724"/>
      <c r="V258" s="725"/>
      <c r="W258" s="725"/>
      <c r="X258" s="723"/>
      <c r="Y258" s="723"/>
      <c r="Z258" s="723"/>
      <c r="AA258" s="726"/>
      <c r="AB258" s="726"/>
      <c r="AC258" s="170"/>
      <c r="AD258" s="586"/>
      <c r="AE258" s="586"/>
      <c r="AF258" s="170"/>
      <c r="AG258" s="170"/>
      <c r="AH258" s="170"/>
      <c r="AI258" s="170"/>
      <c r="AJ258" s="170"/>
      <c r="AK258" s="170"/>
      <c r="AL258" s="170"/>
      <c r="AM258" s="170"/>
      <c r="AN258" s="170"/>
      <c r="AO258" s="170"/>
      <c r="AP258" s="170"/>
      <c r="AQ258" s="170"/>
      <c r="AR258" s="170"/>
      <c r="AS258" s="170"/>
      <c r="AT258" s="170"/>
      <c r="AU258" s="170"/>
      <c r="AV258" s="170"/>
      <c r="AW258" s="828"/>
      <c r="AX258" s="726"/>
    </row>
    <row r="259" spans="1:50" ht="15" x14ac:dyDescent="0.25">
      <c r="A259" s="170"/>
      <c r="B259" s="719"/>
      <c r="C259" s="170"/>
      <c r="D259" s="170"/>
      <c r="E259" s="170"/>
      <c r="F259" s="170"/>
      <c r="G259" s="721"/>
      <c r="H259" s="170"/>
      <c r="I259" s="170"/>
      <c r="J259" s="170"/>
      <c r="K259" s="170"/>
      <c r="L259" s="170"/>
      <c r="M259" s="730"/>
      <c r="N259" s="730"/>
      <c r="O259" s="730"/>
      <c r="P259" s="731"/>
      <c r="Q259" s="731"/>
      <c r="R259" s="730"/>
      <c r="S259" s="730"/>
      <c r="T259" s="723"/>
      <c r="U259" s="724"/>
      <c r="V259" s="725"/>
      <c r="W259" s="725"/>
      <c r="X259" s="723"/>
      <c r="Y259" s="723"/>
      <c r="Z259" s="723"/>
      <c r="AA259" s="726"/>
      <c r="AB259" s="726"/>
      <c r="AC259" s="170"/>
      <c r="AD259" s="586"/>
      <c r="AE259" s="586"/>
      <c r="AF259" s="170"/>
      <c r="AG259" s="170"/>
      <c r="AH259" s="170"/>
      <c r="AI259" s="170"/>
      <c r="AJ259" s="170"/>
      <c r="AK259" s="170"/>
      <c r="AL259" s="170"/>
      <c r="AM259" s="170"/>
      <c r="AN259" s="170"/>
      <c r="AO259" s="170"/>
      <c r="AP259" s="170"/>
      <c r="AQ259" s="170"/>
      <c r="AR259" s="170"/>
      <c r="AS259" s="170"/>
      <c r="AT259" s="170"/>
      <c r="AU259" s="170"/>
      <c r="AV259" s="170"/>
      <c r="AW259" s="828"/>
      <c r="AX259" s="726"/>
    </row>
    <row r="260" spans="1:50" ht="15" x14ac:dyDescent="0.25">
      <c r="A260" s="170"/>
      <c r="B260" s="719"/>
      <c r="C260" s="170"/>
      <c r="D260" s="170"/>
      <c r="E260" s="170"/>
      <c r="F260" s="170"/>
      <c r="G260" s="721"/>
      <c r="H260" s="170"/>
      <c r="I260" s="170"/>
      <c r="J260" s="170"/>
      <c r="K260" s="170"/>
      <c r="L260" s="170"/>
      <c r="M260" s="730"/>
      <c r="N260" s="730"/>
      <c r="O260" s="730"/>
      <c r="P260" s="731"/>
      <c r="Q260" s="731"/>
      <c r="R260" s="730"/>
      <c r="S260" s="730"/>
      <c r="T260" s="723"/>
      <c r="U260" s="724"/>
      <c r="V260" s="725"/>
      <c r="W260" s="725"/>
      <c r="X260" s="723"/>
      <c r="Y260" s="723"/>
      <c r="Z260" s="723"/>
      <c r="AA260" s="726"/>
      <c r="AB260" s="726"/>
      <c r="AC260" s="170"/>
      <c r="AD260" s="586"/>
      <c r="AE260" s="586"/>
      <c r="AF260" s="170"/>
      <c r="AG260" s="170"/>
      <c r="AH260" s="170"/>
      <c r="AI260" s="170"/>
      <c r="AJ260" s="170"/>
      <c r="AK260" s="170"/>
      <c r="AL260" s="170"/>
      <c r="AM260" s="170"/>
      <c r="AN260" s="170"/>
      <c r="AO260" s="170"/>
      <c r="AP260" s="170"/>
      <c r="AQ260" s="170"/>
      <c r="AR260" s="170"/>
      <c r="AS260" s="170"/>
      <c r="AT260" s="170"/>
      <c r="AU260" s="170"/>
      <c r="AV260" s="170"/>
      <c r="AW260" s="828"/>
      <c r="AX260" s="726"/>
    </row>
    <row r="261" spans="1:50" ht="15" x14ac:dyDescent="0.25">
      <c r="A261" s="170"/>
      <c r="B261" s="719"/>
      <c r="C261" s="170"/>
      <c r="D261" s="170"/>
      <c r="E261" s="170"/>
      <c r="F261" s="170"/>
      <c r="G261" s="721"/>
      <c r="H261" s="170"/>
      <c r="I261" s="170"/>
      <c r="J261" s="170"/>
      <c r="K261" s="170"/>
      <c r="L261" s="170"/>
      <c r="M261" s="730"/>
      <c r="N261" s="730"/>
      <c r="O261" s="730"/>
      <c r="P261" s="731"/>
      <c r="Q261" s="731"/>
      <c r="R261" s="730"/>
      <c r="S261" s="730"/>
      <c r="T261" s="723"/>
      <c r="U261" s="724"/>
      <c r="V261" s="725"/>
      <c r="W261" s="725"/>
      <c r="X261" s="723"/>
      <c r="Y261" s="723"/>
      <c r="Z261" s="723"/>
      <c r="AA261" s="726"/>
      <c r="AB261" s="726"/>
      <c r="AC261" s="170"/>
      <c r="AD261" s="586"/>
      <c r="AE261" s="586"/>
      <c r="AF261" s="170"/>
      <c r="AG261" s="170"/>
      <c r="AH261" s="170"/>
      <c r="AI261" s="170"/>
      <c r="AJ261" s="170"/>
      <c r="AK261" s="170"/>
      <c r="AL261" s="170"/>
      <c r="AM261" s="170"/>
      <c r="AN261" s="170"/>
      <c r="AO261" s="170"/>
      <c r="AP261" s="170"/>
      <c r="AQ261" s="170"/>
      <c r="AR261" s="170"/>
      <c r="AS261" s="170"/>
      <c r="AT261" s="170"/>
      <c r="AU261" s="170"/>
      <c r="AV261" s="170"/>
      <c r="AW261" s="828"/>
      <c r="AX261" s="726"/>
    </row>
    <row r="262" spans="1:50" ht="15" x14ac:dyDescent="0.25">
      <c r="A262" s="170"/>
      <c r="B262" s="719"/>
      <c r="C262" s="170"/>
      <c r="D262" s="170"/>
      <c r="E262" s="170"/>
      <c r="F262" s="170"/>
      <c r="G262" s="721"/>
      <c r="H262" s="170"/>
      <c r="I262" s="170"/>
      <c r="J262" s="170"/>
      <c r="K262" s="170"/>
      <c r="L262" s="170"/>
      <c r="M262" s="730"/>
      <c r="N262" s="730"/>
      <c r="O262" s="730"/>
      <c r="P262" s="731"/>
      <c r="Q262" s="731"/>
      <c r="R262" s="730"/>
      <c r="S262" s="730"/>
      <c r="T262" s="723"/>
      <c r="U262" s="724"/>
      <c r="V262" s="725"/>
      <c r="W262" s="725"/>
      <c r="X262" s="723"/>
      <c r="Y262" s="723"/>
      <c r="Z262" s="723"/>
      <c r="AA262" s="726"/>
      <c r="AB262" s="726"/>
      <c r="AC262" s="170"/>
      <c r="AD262" s="586"/>
      <c r="AE262" s="586"/>
      <c r="AF262" s="170"/>
      <c r="AG262" s="170"/>
      <c r="AH262" s="170"/>
      <c r="AI262" s="170"/>
      <c r="AJ262" s="170"/>
      <c r="AK262" s="170"/>
      <c r="AL262" s="170"/>
      <c r="AM262" s="170"/>
      <c r="AN262" s="170"/>
      <c r="AO262" s="170"/>
      <c r="AP262" s="170"/>
      <c r="AQ262" s="170"/>
      <c r="AR262" s="170"/>
      <c r="AS262" s="170"/>
      <c r="AT262" s="170"/>
      <c r="AU262" s="170"/>
      <c r="AV262" s="170"/>
      <c r="AW262" s="828"/>
      <c r="AX262" s="726"/>
    </row>
    <row r="263" spans="1:50" ht="15" x14ac:dyDescent="0.25">
      <c r="A263" s="170"/>
      <c r="B263" s="719"/>
      <c r="C263" s="170"/>
      <c r="D263" s="170"/>
      <c r="E263" s="170"/>
      <c r="F263" s="170"/>
      <c r="G263" s="721"/>
      <c r="H263" s="170"/>
      <c r="I263" s="170"/>
      <c r="J263" s="170"/>
      <c r="K263" s="170"/>
      <c r="L263" s="170"/>
      <c r="M263" s="730"/>
      <c r="N263" s="730"/>
      <c r="O263" s="730"/>
      <c r="P263" s="731"/>
      <c r="Q263" s="731"/>
      <c r="R263" s="730"/>
      <c r="S263" s="730"/>
      <c r="T263" s="723"/>
      <c r="U263" s="724"/>
      <c r="V263" s="725"/>
      <c r="W263" s="725"/>
      <c r="X263" s="723"/>
      <c r="Y263" s="723"/>
      <c r="Z263" s="723"/>
      <c r="AA263" s="726"/>
      <c r="AB263" s="726"/>
      <c r="AC263" s="170"/>
      <c r="AD263" s="586"/>
      <c r="AE263" s="586"/>
      <c r="AF263" s="170"/>
      <c r="AG263" s="170"/>
      <c r="AH263" s="170"/>
      <c r="AI263" s="170"/>
      <c r="AJ263" s="170"/>
      <c r="AK263" s="170"/>
      <c r="AL263" s="170"/>
      <c r="AM263" s="170"/>
      <c r="AN263" s="170"/>
      <c r="AO263" s="170"/>
      <c r="AP263" s="170"/>
      <c r="AQ263" s="170"/>
      <c r="AR263" s="170"/>
      <c r="AS263" s="170"/>
      <c r="AT263" s="170"/>
      <c r="AU263" s="170"/>
      <c r="AV263" s="170"/>
      <c r="AW263" s="828"/>
      <c r="AX263" s="726"/>
    </row>
    <row r="264" spans="1:50" ht="15" x14ac:dyDescent="0.25">
      <c r="A264" s="170"/>
      <c r="B264" s="719"/>
      <c r="C264" s="170"/>
      <c r="D264" s="170"/>
      <c r="E264" s="170"/>
      <c r="F264" s="170"/>
      <c r="G264" s="721"/>
      <c r="H264" s="170"/>
      <c r="I264" s="170"/>
      <c r="J264" s="170"/>
      <c r="K264" s="170"/>
      <c r="L264" s="170"/>
      <c r="M264" s="730"/>
      <c r="N264" s="730"/>
      <c r="O264" s="730"/>
      <c r="P264" s="731"/>
      <c r="Q264" s="731"/>
      <c r="R264" s="730"/>
      <c r="S264" s="730"/>
      <c r="T264" s="723"/>
      <c r="U264" s="724"/>
      <c r="V264" s="725"/>
      <c r="W264" s="725"/>
      <c r="X264" s="723"/>
      <c r="Y264" s="723"/>
      <c r="Z264" s="723"/>
      <c r="AA264" s="726"/>
      <c r="AB264" s="726"/>
      <c r="AC264" s="170"/>
      <c r="AD264" s="586"/>
      <c r="AE264" s="586"/>
      <c r="AF264" s="170"/>
      <c r="AG264" s="170"/>
      <c r="AH264" s="170"/>
      <c r="AI264" s="170"/>
      <c r="AJ264" s="170"/>
      <c r="AK264" s="170"/>
      <c r="AL264" s="170"/>
      <c r="AM264" s="170"/>
      <c r="AN264" s="170"/>
      <c r="AO264" s="170"/>
      <c r="AP264" s="170"/>
      <c r="AQ264" s="170"/>
      <c r="AR264" s="170"/>
      <c r="AS264" s="170"/>
      <c r="AT264" s="170"/>
      <c r="AU264" s="170"/>
      <c r="AV264" s="170"/>
      <c r="AW264" s="828"/>
      <c r="AX264" s="726"/>
    </row>
    <row r="265" spans="1:50" ht="15" x14ac:dyDescent="0.25">
      <c r="A265" s="170"/>
      <c r="B265" s="719"/>
      <c r="C265" s="170"/>
      <c r="D265" s="170"/>
      <c r="E265" s="170"/>
      <c r="F265" s="170"/>
      <c r="G265" s="721"/>
      <c r="H265" s="170"/>
      <c r="I265" s="170"/>
      <c r="J265" s="170"/>
      <c r="K265" s="170"/>
      <c r="L265" s="170"/>
      <c r="M265" s="730"/>
      <c r="N265" s="730"/>
      <c r="O265" s="730"/>
      <c r="P265" s="731"/>
      <c r="Q265" s="731"/>
      <c r="R265" s="730"/>
      <c r="S265" s="730"/>
      <c r="T265" s="723"/>
      <c r="U265" s="724"/>
      <c r="V265" s="725"/>
      <c r="W265" s="725"/>
      <c r="X265" s="723"/>
      <c r="Y265" s="723"/>
      <c r="Z265" s="723"/>
      <c r="AA265" s="726"/>
      <c r="AB265" s="726"/>
      <c r="AC265" s="170"/>
      <c r="AD265" s="586"/>
      <c r="AE265" s="586"/>
      <c r="AF265" s="170"/>
      <c r="AG265" s="170"/>
      <c r="AH265" s="170"/>
      <c r="AI265" s="170"/>
      <c r="AJ265" s="170"/>
      <c r="AK265" s="170"/>
      <c r="AL265" s="170"/>
      <c r="AM265" s="170"/>
      <c r="AN265" s="170"/>
      <c r="AO265" s="170"/>
      <c r="AP265" s="170"/>
      <c r="AQ265" s="170"/>
      <c r="AR265" s="170"/>
      <c r="AS265" s="170"/>
      <c r="AT265" s="170"/>
      <c r="AU265" s="170"/>
      <c r="AV265" s="170"/>
      <c r="AW265" s="828"/>
      <c r="AX265" s="726"/>
    </row>
    <row r="266" spans="1:50" ht="15" x14ac:dyDescent="0.25">
      <c r="A266" s="170"/>
      <c r="B266" s="719"/>
      <c r="C266" s="170"/>
      <c r="D266" s="170"/>
      <c r="E266" s="170"/>
      <c r="F266" s="170"/>
      <c r="G266" s="721"/>
      <c r="H266" s="170"/>
      <c r="I266" s="170"/>
      <c r="J266" s="170"/>
      <c r="K266" s="170"/>
      <c r="L266" s="170"/>
      <c r="M266" s="730"/>
      <c r="N266" s="730"/>
      <c r="O266" s="730"/>
      <c r="P266" s="731"/>
      <c r="Q266" s="731"/>
      <c r="R266" s="730"/>
      <c r="S266" s="730"/>
      <c r="T266" s="723"/>
      <c r="U266" s="724"/>
      <c r="V266" s="725"/>
      <c r="W266" s="725"/>
      <c r="X266" s="723"/>
      <c r="Y266" s="723"/>
      <c r="Z266" s="723"/>
      <c r="AA266" s="726"/>
      <c r="AB266" s="726"/>
      <c r="AC266" s="170"/>
      <c r="AD266" s="586"/>
      <c r="AE266" s="586"/>
      <c r="AF266" s="170"/>
      <c r="AG266" s="170"/>
      <c r="AH266" s="170"/>
      <c r="AI266" s="170"/>
      <c r="AJ266" s="170"/>
      <c r="AK266" s="170"/>
      <c r="AL266" s="170"/>
      <c r="AM266" s="170"/>
      <c r="AN266" s="170"/>
      <c r="AO266" s="170"/>
      <c r="AP266" s="170"/>
      <c r="AQ266" s="170"/>
      <c r="AR266" s="170"/>
      <c r="AS266" s="170"/>
      <c r="AT266" s="170"/>
      <c r="AU266" s="170"/>
      <c r="AV266" s="170"/>
      <c r="AW266" s="828"/>
      <c r="AX266" s="726"/>
    </row>
    <row r="267" spans="1:50" ht="15" x14ac:dyDescent="0.25">
      <c r="A267" s="170"/>
      <c r="B267" s="719"/>
      <c r="C267" s="170"/>
      <c r="D267" s="170"/>
      <c r="E267" s="170"/>
      <c r="F267" s="170"/>
      <c r="G267" s="721"/>
      <c r="H267" s="170"/>
      <c r="I267" s="170"/>
      <c r="J267" s="170"/>
      <c r="K267" s="170"/>
      <c r="L267" s="170"/>
      <c r="M267" s="730"/>
      <c r="N267" s="730"/>
      <c r="O267" s="730"/>
      <c r="P267" s="731"/>
      <c r="Q267" s="731"/>
      <c r="R267" s="730"/>
      <c r="S267" s="730"/>
      <c r="T267" s="723"/>
      <c r="U267" s="724"/>
      <c r="V267" s="725"/>
      <c r="W267" s="725"/>
      <c r="X267" s="723"/>
      <c r="Y267" s="723"/>
      <c r="Z267" s="723"/>
      <c r="AA267" s="726"/>
      <c r="AB267" s="726"/>
      <c r="AC267" s="170"/>
      <c r="AD267" s="586"/>
      <c r="AE267" s="586"/>
      <c r="AF267" s="170"/>
      <c r="AG267" s="170"/>
      <c r="AH267" s="170"/>
      <c r="AI267" s="170"/>
      <c r="AJ267" s="170"/>
      <c r="AK267" s="170"/>
      <c r="AL267" s="170"/>
      <c r="AM267" s="170"/>
      <c r="AN267" s="170"/>
      <c r="AO267" s="170"/>
      <c r="AP267" s="170"/>
      <c r="AQ267" s="170"/>
      <c r="AR267" s="170"/>
      <c r="AS267" s="170"/>
      <c r="AT267" s="170"/>
      <c r="AU267" s="170"/>
      <c r="AV267" s="170"/>
      <c r="AW267" s="828"/>
      <c r="AX267" s="726"/>
    </row>
    <row r="268" spans="1:50" ht="15" x14ac:dyDescent="0.25">
      <c r="A268" s="170"/>
      <c r="B268" s="719"/>
      <c r="C268" s="170"/>
      <c r="D268" s="170"/>
      <c r="E268" s="170"/>
      <c r="F268" s="170"/>
      <c r="G268" s="721"/>
      <c r="H268" s="170"/>
      <c r="I268" s="170"/>
      <c r="J268" s="170"/>
      <c r="K268" s="170"/>
      <c r="L268" s="170"/>
      <c r="M268" s="730"/>
      <c r="N268" s="730"/>
      <c r="O268" s="730"/>
      <c r="P268" s="731"/>
      <c r="Q268" s="731"/>
      <c r="R268" s="730"/>
      <c r="S268" s="730"/>
      <c r="T268" s="723"/>
      <c r="U268" s="724"/>
      <c r="V268" s="725"/>
      <c r="W268" s="725"/>
      <c r="X268" s="723"/>
      <c r="Y268" s="723"/>
      <c r="Z268" s="723"/>
      <c r="AA268" s="726"/>
      <c r="AB268" s="726"/>
      <c r="AC268" s="170"/>
      <c r="AD268" s="586"/>
      <c r="AE268" s="586"/>
      <c r="AF268" s="170"/>
      <c r="AG268" s="170"/>
      <c r="AH268" s="170"/>
      <c r="AI268" s="170"/>
      <c r="AJ268" s="170"/>
      <c r="AK268" s="170"/>
      <c r="AL268" s="170"/>
      <c r="AM268" s="170"/>
      <c r="AN268" s="170"/>
      <c r="AO268" s="170"/>
      <c r="AP268" s="170"/>
      <c r="AQ268" s="170"/>
      <c r="AR268" s="170"/>
      <c r="AS268" s="170"/>
      <c r="AT268" s="170"/>
      <c r="AU268" s="170"/>
      <c r="AV268" s="170"/>
      <c r="AW268" s="828"/>
      <c r="AX268" s="726"/>
    </row>
    <row r="269" spans="1:50" ht="15" x14ac:dyDescent="0.25">
      <c r="A269" s="170"/>
      <c r="B269" s="719"/>
      <c r="C269" s="170"/>
      <c r="D269" s="170"/>
      <c r="E269" s="170"/>
      <c r="F269" s="170"/>
      <c r="G269" s="721"/>
      <c r="H269" s="170"/>
      <c r="I269" s="170"/>
      <c r="J269" s="170"/>
      <c r="K269" s="170"/>
      <c r="L269" s="170"/>
      <c r="M269" s="730"/>
      <c r="N269" s="730"/>
      <c r="O269" s="730"/>
      <c r="P269" s="731"/>
      <c r="Q269" s="731"/>
      <c r="R269" s="730"/>
      <c r="S269" s="730"/>
      <c r="T269" s="723"/>
      <c r="U269" s="724"/>
      <c r="V269" s="725"/>
      <c r="W269" s="725"/>
      <c r="X269" s="723"/>
      <c r="Y269" s="723"/>
      <c r="Z269" s="723"/>
      <c r="AA269" s="726"/>
      <c r="AB269" s="726"/>
      <c r="AC269" s="170"/>
      <c r="AD269" s="586"/>
      <c r="AE269" s="586"/>
      <c r="AF269" s="170"/>
      <c r="AG269" s="170"/>
      <c r="AH269" s="170"/>
      <c r="AI269" s="170"/>
      <c r="AJ269" s="170"/>
      <c r="AK269" s="170"/>
      <c r="AL269" s="170"/>
      <c r="AM269" s="170"/>
      <c r="AN269" s="170"/>
      <c r="AO269" s="170"/>
      <c r="AP269" s="170"/>
      <c r="AQ269" s="170"/>
      <c r="AR269" s="170"/>
      <c r="AS269" s="170"/>
      <c r="AT269" s="170"/>
      <c r="AU269" s="170"/>
      <c r="AV269" s="170"/>
      <c r="AW269" s="828"/>
      <c r="AX269" s="726"/>
    </row>
    <row r="270" spans="1:50" ht="15" x14ac:dyDescent="0.25">
      <c r="A270" s="170"/>
      <c r="B270" s="719"/>
      <c r="C270" s="170"/>
      <c r="D270" s="170"/>
      <c r="E270" s="170"/>
      <c r="F270" s="170"/>
      <c r="G270" s="721"/>
      <c r="H270" s="170"/>
      <c r="I270" s="170"/>
      <c r="J270" s="170"/>
      <c r="K270" s="170"/>
      <c r="L270" s="170"/>
      <c r="M270" s="730"/>
      <c r="N270" s="730"/>
      <c r="O270" s="730"/>
      <c r="P270" s="731"/>
      <c r="Q270" s="731"/>
      <c r="R270" s="730"/>
      <c r="S270" s="730"/>
      <c r="T270" s="723"/>
      <c r="U270" s="724"/>
      <c r="V270" s="725"/>
      <c r="W270" s="725"/>
      <c r="X270" s="723"/>
      <c r="Y270" s="723"/>
      <c r="Z270" s="723"/>
      <c r="AA270" s="726"/>
      <c r="AB270" s="726"/>
      <c r="AC270" s="170"/>
      <c r="AD270" s="586"/>
      <c r="AE270" s="586"/>
      <c r="AF270" s="170"/>
      <c r="AG270" s="170"/>
      <c r="AH270" s="170"/>
      <c r="AI270" s="170"/>
      <c r="AJ270" s="170"/>
      <c r="AK270" s="170"/>
      <c r="AL270" s="170"/>
      <c r="AM270" s="170"/>
      <c r="AN270" s="170"/>
      <c r="AO270" s="170"/>
      <c r="AP270" s="170"/>
      <c r="AQ270" s="170"/>
      <c r="AR270" s="170"/>
      <c r="AS270" s="170"/>
      <c r="AT270" s="170"/>
      <c r="AU270" s="170"/>
      <c r="AV270" s="170"/>
      <c r="AW270" s="828"/>
      <c r="AX270" s="726"/>
    </row>
    <row r="271" spans="1:50" ht="15" x14ac:dyDescent="0.25">
      <c r="A271" s="170"/>
      <c r="B271" s="719"/>
      <c r="C271" s="170"/>
      <c r="D271" s="170"/>
      <c r="E271" s="170"/>
      <c r="F271" s="170"/>
      <c r="G271" s="721"/>
      <c r="H271" s="170"/>
      <c r="I271" s="170"/>
      <c r="J271" s="170"/>
      <c r="K271" s="170"/>
      <c r="L271" s="170"/>
      <c r="M271" s="730"/>
      <c r="N271" s="730"/>
      <c r="O271" s="730"/>
      <c r="P271" s="731"/>
      <c r="Q271" s="731"/>
      <c r="R271" s="730"/>
      <c r="S271" s="730"/>
      <c r="T271" s="723"/>
      <c r="U271" s="724"/>
      <c r="V271" s="725"/>
      <c r="W271" s="725"/>
      <c r="X271" s="723"/>
      <c r="Y271" s="723"/>
      <c r="Z271" s="723"/>
      <c r="AA271" s="726"/>
      <c r="AB271" s="726"/>
      <c r="AC271" s="170"/>
      <c r="AD271" s="586"/>
      <c r="AE271" s="586"/>
      <c r="AF271" s="170"/>
      <c r="AG271" s="170"/>
      <c r="AH271" s="170"/>
      <c r="AI271" s="170"/>
      <c r="AJ271" s="170"/>
      <c r="AK271" s="170"/>
      <c r="AL271" s="170"/>
      <c r="AM271" s="170"/>
      <c r="AN271" s="170"/>
      <c r="AO271" s="170"/>
      <c r="AP271" s="170"/>
      <c r="AQ271" s="170"/>
      <c r="AR271" s="170"/>
      <c r="AS271" s="170"/>
      <c r="AT271" s="170"/>
      <c r="AU271" s="170"/>
      <c r="AV271" s="170"/>
      <c r="AW271" s="828"/>
      <c r="AX271" s="726"/>
    </row>
    <row r="272" spans="1:50" ht="15" x14ac:dyDescent="0.25">
      <c r="A272" s="170"/>
      <c r="B272" s="719"/>
      <c r="C272" s="170"/>
      <c r="D272" s="170"/>
      <c r="E272" s="170"/>
      <c r="F272" s="170"/>
      <c r="G272" s="721"/>
      <c r="H272" s="170"/>
      <c r="I272" s="170"/>
      <c r="J272" s="170"/>
      <c r="K272" s="170"/>
      <c r="L272" s="170"/>
      <c r="M272" s="730"/>
      <c r="N272" s="730"/>
      <c r="O272" s="730"/>
      <c r="P272" s="731"/>
      <c r="Q272" s="731"/>
      <c r="R272" s="730"/>
      <c r="S272" s="730"/>
      <c r="T272" s="723"/>
      <c r="U272" s="724"/>
      <c r="V272" s="725"/>
      <c r="W272" s="725"/>
      <c r="X272" s="723"/>
      <c r="Y272" s="723"/>
      <c r="Z272" s="723"/>
      <c r="AA272" s="726"/>
      <c r="AB272" s="726"/>
      <c r="AC272" s="170"/>
      <c r="AD272" s="586"/>
      <c r="AE272" s="586"/>
      <c r="AF272" s="170"/>
      <c r="AG272" s="170"/>
      <c r="AH272" s="170"/>
      <c r="AI272" s="170"/>
      <c r="AJ272" s="170"/>
      <c r="AK272" s="170"/>
      <c r="AL272" s="170"/>
      <c r="AM272" s="170"/>
      <c r="AN272" s="170"/>
      <c r="AO272" s="170"/>
      <c r="AP272" s="170"/>
      <c r="AQ272" s="170"/>
      <c r="AR272" s="170"/>
      <c r="AS272" s="170"/>
      <c r="AT272" s="170"/>
      <c r="AU272" s="170"/>
      <c r="AV272" s="170"/>
      <c r="AW272" s="828"/>
      <c r="AX272" s="726"/>
    </row>
    <row r="273" spans="1:50" ht="15" x14ac:dyDescent="0.25">
      <c r="A273" s="170"/>
      <c r="B273" s="719"/>
      <c r="C273" s="170"/>
      <c r="D273" s="170"/>
      <c r="E273" s="170"/>
      <c r="F273" s="170"/>
      <c r="G273" s="721"/>
      <c r="H273" s="170"/>
      <c r="I273" s="170"/>
      <c r="J273" s="170"/>
      <c r="K273" s="170"/>
      <c r="L273" s="170"/>
      <c r="M273" s="730"/>
      <c r="N273" s="730"/>
      <c r="O273" s="730"/>
      <c r="P273" s="731"/>
      <c r="Q273" s="731"/>
      <c r="R273" s="730"/>
      <c r="S273" s="730"/>
      <c r="T273" s="723"/>
      <c r="U273" s="724"/>
      <c r="V273" s="725"/>
      <c r="W273" s="725"/>
      <c r="X273" s="723"/>
      <c r="Y273" s="723"/>
      <c r="Z273" s="723"/>
      <c r="AA273" s="726"/>
      <c r="AB273" s="726"/>
      <c r="AC273" s="170"/>
      <c r="AD273" s="586"/>
      <c r="AE273" s="586"/>
      <c r="AF273" s="170"/>
      <c r="AG273" s="170"/>
      <c r="AH273" s="170"/>
      <c r="AI273" s="170"/>
      <c r="AJ273" s="170"/>
      <c r="AK273" s="170"/>
      <c r="AL273" s="170"/>
      <c r="AM273" s="170"/>
      <c r="AN273" s="170"/>
      <c r="AO273" s="170"/>
      <c r="AP273" s="170"/>
      <c r="AQ273" s="170"/>
      <c r="AR273" s="170"/>
      <c r="AS273" s="170"/>
      <c r="AT273" s="170"/>
      <c r="AU273" s="170"/>
      <c r="AV273" s="170"/>
      <c r="AW273" s="828"/>
      <c r="AX273" s="726"/>
    </row>
    <row r="274" spans="1:50" ht="15" x14ac:dyDescent="0.25">
      <c r="A274" s="170"/>
      <c r="B274" s="719"/>
      <c r="C274" s="170"/>
      <c r="D274" s="170"/>
      <c r="E274" s="170"/>
      <c r="F274" s="170"/>
      <c r="G274" s="721"/>
      <c r="H274" s="170"/>
      <c r="I274" s="170"/>
      <c r="J274" s="170"/>
      <c r="K274" s="170"/>
      <c r="L274" s="170"/>
      <c r="M274" s="730"/>
      <c r="N274" s="730"/>
      <c r="O274" s="730"/>
      <c r="P274" s="731"/>
      <c r="Q274" s="731"/>
      <c r="R274" s="730"/>
      <c r="S274" s="730"/>
      <c r="T274" s="723"/>
      <c r="U274" s="724"/>
      <c r="V274" s="725"/>
      <c r="W274" s="725"/>
      <c r="X274" s="723"/>
      <c r="Y274" s="723"/>
      <c r="Z274" s="723"/>
      <c r="AA274" s="726"/>
      <c r="AB274" s="726"/>
      <c r="AC274" s="170"/>
      <c r="AD274" s="586"/>
      <c r="AE274" s="586"/>
      <c r="AF274" s="170"/>
      <c r="AG274" s="170"/>
      <c r="AH274" s="170"/>
      <c r="AI274" s="170"/>
      <c r="AJ274" s="170"/>
      <c r="AK274" s="170"/>
      <c r="AL274" s="170"/>
      <c r="AM274" s="170"/>
      <c r="AN274" s="170"/>
      <c r="AO274" s="170"/>
      <c r="AP274" s="170"/>
      <c r="AQ274" s="170"/>
      <c r="AR274" s="170"/>
      <c r="AS274" s="170"/>
      <c r="AT274" s="170"/>
      <c r="AU274" s="170"/>
      <c r="AV274" s="170"/>
      <c r="AW274" s="828"/>
      <c r="AX274" s="726"/>
    </row>
    <row r="275" spans="1:50" ht="15" x14ac:dyDescent="0.25">
      <c r="A275" s="170"/>
      <c r="B275" s="719"/>
      <c r="C275" s="170"/>
      <c r="D275" s="170"/>
      <c r="E275" s="170"/>
      <c r="F275" s="170"/>
      <c r="G275" s="721"/>
      <c r="H275" s="170"/>
      <c r="I275" s="170"/>
      <c r="J275" s="170"/>
      <c r="K275" s="170"/>
      <c r="L275" s="170"/>
      <c r="M275" s="730"/>
      <c r="N275" s="730"/>
      <c r="O275" s="730"/>
      <c r="P275" s="731"/>
      <c r="Q275" s="731"/>
      <c r="R275" s="730"/>
      <c r="S275" s="730"/>
      <c r="T275" s="723"/>
      <c r="U275" s="724"/>
      <c r="V275" s="725"/>
      <c r="W275" s="725"/>
      <c r="X275" s="723"/>
      <c r="Y275" s="723"/>
      <c r="Z275" s="723"/>
      <c r="AA275" s="726"/>
      <c r="AB275" s="726"/>
      <c r="AC275" s="170"/>
      <c r="AD275" s="586"/>
      <c r="AE275" s="586"/>
      <c r="AF275" s="170"/>
      <c r="AG275" s="170"/>
      <c r="AH275" s="170"/>
      <c r="AI275" s="170"/>
      <c r="AJ275" s="170"/>
      <c r="AK275" s="170"/>
      <c r="AL275" s="170"/>
      <c r="AM275" s="170"/>
      <c r="AN275" s="170"/>
      <c r="AO275" s="170"/>
      <c r="AP275" s="170"/>
      <c r="AQ275" s="170"/>
      <c r="AR275" s="170"/>
      <c r="AS275" s="170"/>
      <c r="AT275" s="170"/>
      <c r="AU275" s="170"/>
      <c r="AV275" s="170"/>
      <c r="AW275" s="828"/>
      <c r="AX275" s="726"/>
    </row>
    <row r="276" spans="1:50" ht="15" x14ac:dyDescent="0.25">
      <c r="A276" s="170"/>
      <c r="B276" s="719"/>
      <c r="C276" s="170"/>
      <c r="D276" s="170"/>
      <c r="E276" s="170"/>
      <c r="F276" s="170"/>
      <c r="G276" s="721"/>
      <c r="H276" s="170"/>
      <c r="I276" s="170"/>
      <c r="J276" s="170"/>
      <c r="K276" s="170"/>
      <c r="L276" s="170"/>
      <c r="M276" s="730"/>
      <c r="N276" s="730"/>
      <c r="O276" s="730"/>
      <c r="P276" s="731"/>
      <c r="Q276" s="731"/>
      <c r="R276" s="730"/>
      <c r="S276" s="730"/>
      <c r="T276" s="723"/>
      <c r="U276" s="724"/>
      <c r="V276" s="725"/>
      <c r="W276" s="725"/>
      <c r="X276" s="723"/>
      <c r="Y276" s="723"/>
      <c r="Z276" s="723"/>
      <c r="AA276" s="726"/>
      <c r="AB276" s="726"/>
      <c r="AC276" s="170"/>
      <c r="AD276" s="586"/>
      <c r="AE276" s="586"/>
      <c r="AF276" s="170"/>
      <c r="AG276" s="170"/>
      <c r="AH276" s="170"/>
      <c r="AI276" s="170"/>
      <c r="AJ276" s="170"/>
      <c r="AK276" s="170"/>
      <c r="AL276" s="170"/>
      <c r="AM276" s="170"/>
      <c r="AN276" s="170"/>
      <c r="AO276" s="170"/>
      <c r="AP276" s="170"/>
      <c r="AQ276" s="170"/>
      <c r="AR276" s="170"/>
      <c r="AS276" s="170"/>
      <c r="AT276" s="170"/>
      <c r="AU276" s="170"/>
      <c r="AV276" s="170"/>
      <c r="AW276" s="828"/>
      <c r="AX276" s="726"/>
    </row>
    <row r="277" spans="1:50" ht="15" x14ac:dyDescent="0.25">
      <c r="A277" s="170"/>
      <c r="B277" s="719"/>
      <c r="C277" s="170"/>
      <c r="D277" s="170"/>
      <c r="E277" s="170"/>
      <c r="F277" s="170"/>
      <c r="G277" s="721"/>
      <c r="H277" s="170"/>
      <c r="I277" s="170"/>
      <c r="J277" s="170"/>
      <c r="K277" s="170"/>
      <c r="L277" s="170"/>
      <c r="M277" s="730"/>
      <c r="N277" s="730"/>
      <c r="O277" s="730"/>
      <c r="P277" s="731"/>
      <c r="Q277" s="731"/>
      <c r="R277" s="730"/>
      <c r="S277" s="730"/>
      <c r="T277" s="723"/>
      <c r="U277" s="724"/>
      <c r="V277" s="725"/>
      <c r="W277" s="725"/>
      <c r="X277" s="723"/>
      <c r="Y277" s="723"/>
      <c r="Z277" s="723"/>
      <c r="AA277" s="726"/>
      <c r="AB277" s="726"/>
      <c r="AC277" s="170"/>
      <c r="AD277" s="586"/>
      <c r="AE277" s="586"/>
      <c r="AF277" s="170"/>
      <c r="AG277" s="170"/>
      <c r="AH277" s="170"/>
      <c r="AI277" s="170"/>
      <c r="AJ277" s="170"/>
      <c r="AK277" s="170"/>
      <c r="AL277" s="170"/>
      <c r="AM277" s="170"/>
      <c r="AN277" s="170"/>
      <c r="AO277" s="170"/>
      <c r="AP277" s="170"/>
      <c r="AQ277" s="170"/>
      <c r="AR277" s="170"/>
      <c r="AS277" s="170"/>
      <c r="AT277" s="170"/>
      <c r="AU277" s="170"/>
      <c r="AV277" s="170"/>
      <c r="AW277" s="828"/>
      <c r="AX277" s="726"/>
    </row>
    <row r="278" spans="1:50" ht="15" x14ac:dyDescent="0.25">
      <c r="A278" s="170"/>
      <c r="B278" s="719"/>
      <c r="C278" s="170"/>
      <c r="D278" s="170"/>
      <c r="E278" s="170"/>
      <c r="F278" s="170"/>
      <c r="G278" s="721"/>
      <c r="H278" s="170"/>
      <c r="I278" s="170"/>
      <c r="J278" s="170"/>
      <c r="K278" s="170"/>
      <c r="L278" s="170"/>
      <c r="M278" s="730"/>
      <c r="N278" s="730"/>
      <c r="O278" s="730"/>
      <c r="P278" s="731"/>
      <c r="Q278" s="731"/>
      <c r="R278" s="730"/>
      <c r="S278" s="730"/>
      <c r="T278" s="723"/>
      <c r="U278" s="724"/>
      <c r="V278" s="725"/>
      <c r="W278" s="725"/>
      <c r="X278" s="723"/>
      <c r="Y278" s="723"/>
      <c r="Z278" s="723"/>
      <c r="AA278" s="726"/>
      <c r="AB278" s="726"/>
      <c r="AC278" s="170"/>
      <c r="AD278" s="586"/>
      <c r="AE278" s="586"/>
      <c r="AF278" s="170"/>
      <c r="AG278" s="170"/>
      <c r="AH278" s="170"/>
      <c r="AI278" s="170"/>
      <c r="AJ278" s="170"/>
      <c r="AK278" s="170"/>
      <c r="AL278" s="170"/>
      <c r="AM278" s="170"/>
      <c r="AN278" s="170"/>
      <c r="AO278" s="170"/>
      <c r="AP278" s="170"/>
      <c r="AQ278" s="170"/>
      <c r="AR278" s="170"/>
      <c r="AS278" s="170"/>
      <c r="AT278" s="170"/>
      <c r="AU278" s="170"/>
      <c r="AV278" s="170"/>
      <c r="AW278" s="828"/>
      <c r="AX278" s="726"/>
    </row>
    <row r="279" spans="1:50" ht="15" x14ac:dyDescent="0.25">
      <c r="A279" s="170"/>
      <c r="B279" s="719"/>
      <c r="C279" s="170"/>
      <c r="D279" s="170"/>
      <c r="E279" s="170"/>
      <c r="F279" s="170"/>
      <c r="G279" s="721"/>
      <c r="H279" s="170"/>
      <c r="I279" s="170"/>
      <c r="J279" s="170"/>
      <c r="K279" s="170"/>
      <c r="L279" s="170"/>
      <c r="M279" s="730"/>
      <c r="N279" s="730"/>
      <c r="O279" s="730"/>
      <c r="P279" s="731"/>
      <c r="Q279" s="731"/>
      <c r="R279" s="730"/>
      <c r="S279" s="730"/>
      <c r="T279" s="723"/>
      <c r="U279" s="724"/>
      <c r="V279" s="725"/>
      <c r="W279" s="725"/>
      <c r="X279" s="723"/>
      <c r="Y279" s="723"/>
      <c r="Z279" s="723"/>
      <c r="AA279" s="726"/>
      <c r="AB279" s="726"/>
      <c r="AC279" s="170"/>
      <c r="AD279" s="586"/>
      <c r="AE279" s="586"/>
      <c r="AF279" s="170"/>
      <c r="AG279" s="170"/>
      <c r="AH279" s="170"/>
      <c r="AI279" s="170"/>
      <c r="AJ279" s="170"/>
      <c r="AK279" s="170"/>
      <c r="AL279" s="170"/>
      <c r="AM279" s="170"/>
      <c r="AN279" s="170"/>
      <c r="AO279" s="170"/>
      <c r="AP279" s="170"/>
      <c r="AQ279" s="170"/>
      <c r="AR279" s="170"/>
      <c r="AS279" s="170"/>
      <c r="AT279" s="170"/>
      <c r="AU279" s="170"/>
      <c r="AV279" s="170"/>
      <c r="AW279" s="828"/>
      <c r="AX279" s="726"/>
    </row>
    <row r="280" spans="1:50" ht="15" x14ac:dyDescent="0.25">
      <c r="A280" s="170"/>
      <c r="B280" s="719"/>
      <c r="C280" s="170"/>
      <c r="D280" s="170"/>
      <c r="E280" s="170"/>
      <c r="F280" s="170"/>
      <c r="G280" s="721"/>
      <c r="H280" s="170"/>
      <c r="I280" s="170"/>
      <c r="J280" s="170"/>
      <c r="K280" s="170"/>
      <c r="L280" s="170"/>
      <c r="M280" s="730"/>
      <c r="N280" s="730"/>
      <c r="O280" s="730"/>
      <c r="P280" s="731"/>
      <c r="Q280" s="731"/>
      <c r="R280" s="730"/>
      <c r="S280" s="730"/>
      <c r="T280" s="723"/>
      <c r="U280" s="724"/>
      <c r="V280" s="725"/>
      <c r="W280" s="725"/>
      <c r="X280" s="723"/>
      <c r="Y280" s="723"/>
      <c r="Z280" s="723"/>
      <c r="AA280" s="726"/>
      <c r="AB280" s="726"/>
      <c r="AC280" s="170"/>
      <c r="AD280" s="586"/>
      <c r="AE280" s="586"/>
      <c r="AF280" s="170"/>
      <c r="AG280" s="170"/>
      <c r="AH280" s="170"/>
      <c r="AI280" s="170"/>
      <c r="AJ280" s="170"/>
      <c r="AK280" s="170"/>
      <c r="AL280" s="170"/>
      <c r="AM280" s="170"/>
      <c r="AN280" s="170"/>
      <c r="AO280" s="170"/>
      <c r="AP280" s="170"/>
      <c r="AQ280" s="170"/>
      <c r="AR280" s="170"/>
      <c r="AS280" s="170"/>
      <c r="AT280" s="170"/>
      <c r="AU280" s="170"/>
      <c r="AV280" s="170"/>
      <c r="AW280" s="828"/>
      <c r="AX280" s="726"/>
    </row>
    <row r="281" spans="1:50" ht="15" x14ac:dyDescent="0.25">
      <c r="A281" s="170"/>
      <c r="B281" s="719"/>
      <c r="C281" s="170"/>
      <c r="D281" s="170"/>
      <c r="E281" s="170"/>
      <c r="F281" s="170"/>
      <c r="G281" s="721"/>
      <c r="H281" s="170"/>
      <c r="I281" s="170"/>
      <c r="J281" s="170"/>
      <c r="K281" s="170"/>
      <c r="L281" s="170"/>
      <c r="M281" s="730"/>
      <c r="N281" s="730"/>
      <c r="O281" s="730"/>
      <c r="P281" s="731"/>
      <c r="Q281" s="731"/>
      <c r="R281" s="730"/>
      <c r="S281" s="730"/>
      <c r="T281" s="723"/>
      <c r="U281" s="724"/>
      <c r="V281" s="725"/>
      <c r="W281" s="725"/>
      <c r="X281" s="723"/>
      <c r="Y281" s="723"/>
      <c r="Z281" s="723"/>
      <c r="AA281" s="726"/>
      <c r="AB281" s="726"/>
      <c r="AC281" s="170"/>
      <c r="AD281" s="586"/>
      <c r="AE281" s="586"/>
      <c r="AF281" s="170"/>
      <c r="AG281" s="170"/>
      <c r="AH281" s="170"/>
      <c r="AI281" s="170"/>
      <c r="AJ281" s="170"/>
      <c r="AK281" s="170"/>
      <c r="AL281" s="170"/>
      <c r="AM281" s="170"/>
      <c r="AN281" s="170"/>
      <c r="AO281" s="170"/>
      <c r="AP281" s="170"/>
      <c r="AQ281" s="170"/>
      <c r="AR281" s="170"/>
      <c r="AS281" s="170"/>
      <c r="AT281" s="170"/>
      <c r="AU281" s="170"/>
      <c r="AV281" s="170"/>
      <c r="AW281" s="828"/>
      <c r="AX281" s="726"/>
    </row>
    <row r="282" spans="1:50" ht="15" x14ac:dyDescent="0.25">
      <c r="A282" s="170"/>
      <c r="B282" s="719"/>
      <c r="C282" s="170"/>
      <c r="D282" s="170"/>
      <c r="E282" s="170"/>
      <c r="F282" s="170"/>
      <c r="G282" s="721"/>
      <c r="H282" s="170"/>
      <c r="I282" s="170"/>
      <c r="J282" s="170"/>
      <c r="K282" s="170"/>
      <c r="L282" s="170"/>
      <c r="M282" s="730"/>
      <c r="N282" s="730"/>
      <c r="O282" s="730"/>
      <c r="P282" s="731"/>
      <c r="Q282" s="731"/>
      <c r="R282" s="730"/>
      <c r="S282" s="730"/>
      <c r="T282" s="723"/>
      <c r="U282" s="724"/>
      <c r="V282" s="725"/>
      <c r="W282" s="725"/>
      <c r="X282" s="723"/>
      <c r="Y282" s="723"/>
      <c r="Z282" s="723"/>
      <c r="AA282" s="726"/>
      <c r="AB282" s="726"/>
      <c r="AC282" s="170"/>
      <c r="AD282" s="586"/>
      <c r="AE282" s="586"/>
      <c r="AF282" s="170"/>
      <c r="AG282" s="170"/>
      <c r="AH282" s="170"/>
      <c r="AI282" s="170"/>
      <c r="AJ282" s="170"/>
      <c r="AK282" s="170"/>
      <c r="AL282" s="170"/>
      <c r="AM282" s="170"/>
      <c r="AN282" s="170"/>
      <c r="AO282" s="170"/>
      <c r="AP282" s="170"/>
      <c r="AQ282" s="170"/>
      <c r="AR282" s="170"/>
      <c r="AS282" s="170"/>
      <c r="AT282" s="170"/>
      <c r="AU282" s="170"/>
      <c r="AV282" s="170"/>
      <c r="AW282" s="828"/>
      <c r="AX282" s="726"/>
    </row>
    <row r="283" spans="1:50" ht="15" x14ac:dyDescent="0.25">
      <c r="A283" s="170"/>
      <c r="B283" s="719"/>
      <c r="C283" s="170"/>
      <c r="D283" s="170"/>
      <c r="E283" s="170"/>
      <c r="F283" s="170"/>
      <c r="G283" s="721"/>
      <c r="H283" s="170"/>
      <c r="I283" s="170"/>
      <c r="J283" s="170"/>
      <c r="K283" s="170"/>
      <c r="L283" s="170"/>
      <c r="M283" s="730"/>
      <c r="N283" s="730"/>
      <c r="O283" s="730"/>
      <c r="P283" s="731"/>
      <c r="Q283" s="731"/>
      <c r="R283" s="730"/>
      <c r="S283" s="730"/>
      <c r="T283" s="723"/>
      <c r="U283" s="724"/>
      <c r="V283" s="725"/>
      <c r="W283" s="725"/>
      <c r="X283" s="723"/>
      <c r="Y283" s="723"/>
      <c r="Z283" s="723"/>
      <c r="AA283" s="726"/>
      <c r="AB283" s="726"/>
      <c r="AC283" s="170"/>
      <c r="AD283" s="586"/>
      <c r="AE283" s="586"/>
      <c r="AF283" s="170"/>
      <c r="AG283" s="170"/>
      <c r="AH283" s="170"/>
      <c r="AI283" s="170"/>
      <c r="AJ283" s="170"/>
      <c r="AK283" s="170"/>
      <c r="AL283" s="170"/>
      <c r="AM283" s="170"/>
      <c r="AN283" s="170"/>
      <c r="AO283" s="170"/>
      <c r="AP283" s="170"/>
      <c r="AQ283" s="170"/>
      <c r="AR283" s="170"/>
      <c r="AS283" s="170"/>
      <c r="AT283" s="170"/>
      <c r="AU283" s="170"/>
      <c r="AV283" s="170"/>
      <c r="AW283" s="828"/>
      <c r="AX283" s="726"/>
    </row>
    <row r="284" spans="1:50" ht="15" x14ac:dyDescent="0.25">
      <c r="A284" s="170"/>
      <c r="B284" s="719"/>
      <c r="C284" s="170"/>
      <c r="D284" s="170"/>
      <c r="E284" s="170"/>
      <c r="F284" s="170"/>
      <c r="G284" s="721"/>
      <c r="H284" s="170"/>
      <c r="I284" s="170"/>
      <c r="J284" s="170"/>
      <c r="K284" s="170"/>
      <c r="L284" s="170"/>
      <c r="M284" s="730"/>
      <c r="N284" s="730"/>
      <c r="O284" s="730"/>
      <c r="P284" s="731"/>
      <c r="Q284" s="731"/>
      <c r="R284" s="730"/>
      <c r="S284" s="730"/>
      <c r="T284" s="723"/>
      <c r="U284" s="724"/>
      <c r="V284" s="725"/>
      <c r="W284" s="725"/>
      <c r="X284" s="723"/>
      <c r="Y284" s="723"/>
      <c r="Z284" s="723"/>
      <c r="AA284" s="726"/>
      <c r="AB284" s="726"/>
      <c r="AC284" s="170"/>
      <c r="AD284" s="586"/>
      <c r="AE284" s="586"/>
      <c r="AF284" s="170"/>
      <c r="AG284" s="170"/>
      <c r="AH284" s="170"/>
      <c r="AI284" s="170"/>
      <c r="AJ284" s="170"/>
      <c r="AK284" s="170"/>
      <c r="AL284" s="170"/>
      <c r="AM284" s="170"/>
      <c r="AN284" s="170"/>
      <c r="AO284" s="170"/>
      <c r="AP284" s="170"/>
      <c r="AQ284" s="170"/>
      <c r="AR284" s="170"/>
      <c r="AS284" s="170"/>
      <c r="AT284" s="170"/>
      <c r="AU284" s="170"/>
      <c r="AV284" s="170"/>
      <c r="AW284" s="828"/>
      <c r="AX284" s="726"/>
    </row>
    <row r="285" spans="1:50" ht="15" x14ac:dyDescent="0.25">
      <c r="A285" s="170"/>
      <c r="B285" s="719"/>
      <c r="C285" s="170"/>
      <c r="D285" s="170"/>
      <c r="E285" s="170"/>
      <c r="F285" s="170"/>
      <c r="G285" s="721"/>
      <c r="H285" s="170"/>
      <c r="I285" s="170"/>
      <c r="J285" s="170"/>
      <c r="K285" s="170"/>
      <c r="L285" s="170"/>
      <c r="M285" s="730"/>
      <c r="N285" s="730"/>
      <c r="O285" s="730"/>
      <c r="P285" s="731"/>
      <c r="Q285" s="731"/>
      <c r="R285" s="730"/>
      <c r="S285" s="730"/>
      <c r="T285" s="723"/>
      <c r="U285" s="724"/>
      <c r="V285" s="725"/>
      <c r="W285" s="725"/>
      <c r="X285" s="723"/>
      <c r="Y285" s="723"/>
      <c r="Z285" s="723"/>
      <c r="AA285" s="726"/>
      <c r="AB285" s="726"/>
      <c r="AC285" s="170"/>
      <c r="AD285" s="586"/>
      <c r="AE285" s="586"/>
      <c r="AF285" s="170"/>
      <c r="AG285" s="170"/>
      <c r="AH285" s="170"/>
      <c r="AI285" s="170"/>
      <c r="AJ285" s="170"/>
      <c r="AK285" s="170"/>
      <c r="AL285" s="170"/>
      <c r="AM285" s="170"/>
      <c r="AN285" s="170"/>
      <c r="AO285" s="170"/>
      <c r="AP285" s="170"/>
      <c r="AQ285" s="170"/>
      <c r="AR285" s="170"/>
      <c r="AS285" s="170"/>
      <c r="AT285" s="170"/>
      <c r="AU285" s="170"/>
      <c r="AV285" s="170"/>
      <c r="AW285" s="828"/>
      <c r="AX285" s="726"/>
    </row>
    <row r="286" spans="1:50" ht="15" x14ac:dyDescent="0.25">
      <c r="A286" s="170"/>
      <c r="B286" s="719"/>
      <c r="C286" s="170"/>
      <c r="D286" s="170"/>
      <c r="E286" s="170"/>
      <c r="F286" s="170"/>
      <c r="G286" s="721"/>
      <c r="H286" s="170"/>
      <c r="I286" s="170"/>
      <c r="J286" s="170"/>
      <c r="K286" s="170"/>
      <c r="L286" s="170"/>
      <c r="M286" s="730"/>
      <c r="N286" s="730"/>
      <c r="O286" s="730"/>
      <c r="P286" s="731"/>
      <c r="Q286" s="731"/>
      <c r="R286" s="730"/>
      <c r="S286" s="730"/>
      <c r="T286" s="723"/>
      <c r="U286" s="724"/>
      <c r="V286" s="725"/>
      <c r="W286" s="725"/>
      <c r="X286" s="723"/>
      <c r="Y286" s="723"/>
      <c r="Z286" s="723"/>
      <c r="AA286" s="726"/>
      <c r="AB286" s="726"/>
      <c r="AC286" s="170"/>
      <c r="AD286" s="586"/>
      <c r="AE286" s="586"/>
      <c r="AF286" s="170"/>
      <c r="AG286" s="170"/>
      <c r="AH286" s="170"/>
      <c r="AI286" s="170"/>
      <c r="AJ286" s="170"/>
      <c r="AK286" s="170"/>
      <c r="AL286" s="170"/>
      <c r="AM286" s="170"/>
      <c r="AN286" s="170"/>
      <c r="AO286" s="170"/>
      <c r="AP286" s="170"/>
      <c r="AQ286" s="170"/>
      <c r="AR286" s="170"/>
      <c r="AS286" s="170"/>
      <c r="AT286" s="170"/>
      <c r="AU286" s="170"/>
      <c r="AV286" s="170"/>
      <c r="AW286" s="828"/>
      <c r="AX286" s="726"/>
    </row>
    <row r="287" spans="1:50" ht="15" x14ac:dyDescent="0.25">
      <c r="A287" s="170"/>
      <c r="B287" s="719"/>
      <c r="C287" s="170"/>
      <c r="D287" s="170"/>
      <c r="E287" s="170"/>
      <c r="F287" s="170"/>
      <c r="G287" s="721"/>
      <c r="H287" s="170"/>
      <c r="I287" s="170"/>
      <c r="J287" s="170"/>
      <c r="K287" s="170"/>
      <c r="L287" s="170"/>
      <c r="M287" s="730"/>
      <c r="N287" s="730"/>
      <c r="O287" s="730"/>
      <c r="P287" s="731"/>
      <c r="Q287" s="731"/>
      <c r="R287" s="730"/>
      <c r="S287" s="730"/>
      <c r="T287" s="723"/>
      <c r="U287" s="724"/>
      <c r="V287" s="725"/>
      <c r="W287" s="725"/>
      <c r="X287" s="723"/>
      <c r="Y287" s="723"/>
      <c r="Z287" s="723"/>
      <c r="AA287" s="726"/>
      <c r="AB287" s="726"/>
      <c r="AC287" s="170"/>
      <c r="AD287" s="586"/>
      <c r="AE287" s="586"/>
      <c r="AF287" s="170"/>
      <c r="AG287" s="170"/>
      <c r="AH287" s="170"/>
      <c r="AI287" s="170"/>
      <c r="AJ287" s="170"/>
      <c r="AK287" s="170"/>
      <c r="AL287" s="170"/>
      <c r="AM287" s="170"/>
      <c r="AN287" s="170"/>
      <c r="AO287" s="170"/>
      <c r="AP287" s="170"/>
      <c r="AQ287" s="170"/>
      <c r="AR287" s="170"/>
      <c r="AS287" s="170"/>
      <c r="AT287" s="170"/>
      <c r="AU287" s="170"/>
      <c r="AV287" s="170"/>
      <c r="AW287" s="828"/>
      <c r="AX287" s="726"/>
    </row>
    <row r="288" spans="1:50" ht="15" x14ac:dyDescent="0.25">
      <c r="A288" s="170"/>
      <c r="B288" s="719"/>
      <c r="C288" s="170"/>
      <c r="D288" s="170"/>
      <c r="E288" s="170"/>
      <c r="F288" s="170"/>
      <c r="G288" s="721"/>
      <c r="H288" s="170"/>
      <c r="I288" s="170"/>
      <c r="J288" s="170"/>
      <c r="K288" s="170"/>
      <c r="L288" s="170"/>
      <c r="M288" s="730"/>
      <c r="N288" s="730"/>
      <c r="O288" s="730"/>
      <c r="P288" s="731"/>
      <c r="Q288" s="731"/>
      <c r="R288" s="730"/>
      <c r="S288" s="730"/>
      <c r="T288" s="723"/>
      <c r="U288" s="724"/>
      <c r="V288" s="725"/>
      <c r="W288" s="725"/>
      <c r="X288" s="723"/>
      <c r="Y288" s="723"/>
      <c r="Z288" s="723"/>
      <c r="AA288" s="726"/>
      <c r="AB288" s="726"/>
      <c r="AC288" s="170"/>
      <c r="AD288" s="586"/>
      <c r="AE288" s="586"/>
      <c r="AF288" s="170"/>
      <c r="AG288" s="170"/>
      <c r="AH288" s="170"/>
      <c r="AI288" s="170"/>
      <c r="AJ288" s="170"/>
      <c r="AK288" s="170"/>
      <c r="AL288" s="170"/>
      <c r="AM288" s="170"/>
      <c r="AN288" s="170"/>
      <c r="AO288" s="170"/>
      <c r="AP288" s="170"/>
      <c r="AQ288" s="170"/>
      <c r="AR288" s="170"/>
      <c r="AS288" s="170"/>
      <c r="AT288" s="170"/>
      <c r="AU288" s="170"/>
      <c r="AV288" s="170"/>
      <c r="AW288" s="828"/>
      <c r="AX288" s="726"/>
    </row>
    <row r="289" spans="1:50" ht="15" x14ac:dyDescent="0.25">
      <c r="A289" s="170"/>
      <c r="B289" s="719"/>
      <c r="C289" s="170"/>
      <c r="D289" s="170"/>
      <c r="E289" s="170"/>
      <c r="F289" s="170"/>
      <c r="G289" s="721"/>
      <c r="H289" s="170"/>
      <c r="I289" s="170"/>
      <c r="J289" s="170"/>
      <c r="K289" s="170"/>
      <c r="L289" s="170"/>
      <c r="M289" s="730"/>
      <c r="N289" s="730"/>
      <c r="O289" s="730"/>
      <c r="P289" s="731"/>
      <c r="Q289" s="731"/>
      <c r="R289" s="730"/>
      <c r="S289" s="730"/>
      <c r="T289" s="723"/>
      <c r="U289" s="724"/>
      <c r="V289" s="725"/>
      <c r="W289" s="725"/>
      <c r="X289" s="723"/>
      <c r="Y289" s="723"/>
      <c r="Z289" s="723"/>
      <c r="AA289" s="726"/>
      <c r="AB289" s="726"/>
      <c r="AC289" s="170"/>
      <c r="AD289" s="586"/>
      <c r="AE289" s="586"/>
      <c r="AF289" s="170"/>
      <c r="AG289" s="170"/>
      <c r="AH289" s="170"/>
      <c r="AI289" s="170"/>
      <c r="AJ289" s="170"/>
      <c r="AK289" s="170"/>
      <c r="AL289" s="170"/>
      <c r="AM289" s="170"/>
      <c r="AN289" s="170"/>
      <c r="AO289" s="170"/>
      <c r="AP289" s="170"/>
      <c r="AQ289" s="170"/>
      <c r="AR289" s="170"/>
      <c r="AS289" s="170"/>
      <c r="AT289" s="170"/>
      <c r="AU289" s="170"/>
      <c r="AV289" s="170"/>
      <c r="AW289" s="828"/>
      <c r="AX289" s="726"/>
    </row>
    <row r="290" spans="1:50" ht="15" x14ac:dyDescent="0.25">
      <c r="A290" s="170"/>
      <c r="B290" s="719"/>
      <c r="C290" s="170"/>
      <c r="D290" s="170"/>
      <c r="E290" s="170"/>
      <c r="F290" s="170"/>
      <c r="G290" s="721"/>
      <c r="H290" s="170"/>
      <c r="I290" s="170"/>
      <c r="J290" s="170"/>
      <c r="K290" s="170"/>
      <c r="L290" s="170"/>
      <c r="M290" s="730"/>
      <c r="N290" s="730"/>
      <c r="O290" s="730"/>
      <c r="P290" s="731"/>
      <c r="Q290" s="731"/>
      <c r="R290" s="730"/>
      <c r="S290" s="730"/>
      <c r="T290" s="723"/>
      <c r="U290" s="724"/>
      <c r="V290" s="725"/>
      <c r="W290" s="725"/>
      <c r="X290" s="723"/>
      <c r="Y290" s="723"/>
      <c r="Z290" s="723"/>
      <c r="AA290" s="726"/>
      <c r="AB290" s="726"/>
      <c r="AC290" s="170"/>
      <c r="AD290" s="586"/>
      <c r="AE290" s="586"/>
      <c r="AF290" s="170"/>
      <c r="AG290" s="170"/>
      <c r="AH290" s="170"/>
      <c r="AI290" s="170"/>
      <c r="AJ290" s="170"/>
      <c r="AK290" s="170"/>
      <c r="AL290" s="170"/>
      <c r="AM290" s="170"/>
      <c r="AN290" s="170"/>
      <c r="AO290" s="170"/>
      <c r="AP290" s="170"/>
      <c r="AQ290" s="170"/>
      <c r="AR290" s="170"/>
      <c r="AS290" s="170"/>
      <c r="AT290" s="170"/>
      <c r="AU290" s="170"/>
      <c r="AV290" s="170"/>
      <c r="AW290" s="828"/>
      <c r="AX290" s="726"/>
    </row>
    <row r="291" spans="1:50" ht="15" x14ac:dyDescent="0.25">
      <c r="A291" s="170"/>
      <c r="B291" s="719"/>
      <c r="C291" s="170"/>
      <c r="D291" s="170"/>
      <c r="E291" s="170"/>
      <c r="F291" s="170"/>
      <c r="G291" s="721"/>
      <c r="H291" s="170"/>
      <c r="I291" s="170"/>
      <c r="J291" s="170"/>
      <c r="K291" s="170"/>
      <c r="L291" s="170"/>
      <c r="M291" s="730"/>
      <c r="N291" s="730"/>
      <c r="O291" s="730"/>
      <c r="P291" s="731"/>
      <c r="Q291" s="731"/>
      <c r="R291" s="730"/>
      <c r="S291" s="730"/>
      <c r="T291" s="723"/>
      <c r="U291" s="724"/>
      <c r="V291" s="725"/>
      <c r="W291" s="725"/>
      <c r="X291" s="723"/>
      <c r="Y291" s="723"/>
      <c r="Z291" s="723"/>
      <c r="AA291" s="726"/>
      <c r="AB291" s="726"/>
      <c r="AC291" s="170"/>
      <c r="AD291" s="586"/>
      <c r="AE291" s="586"/>
      <c r="AF291" s="170"/>
      <c r="AG291" s="170"/>
      <c r="AH291" s="170"/>
      <c r="AI291" s="170"/>
      <c r="AJ291" s="170"/>
      <c r="AK291" s="170"/>
      <c r="AL291" s="170"/>
      <c r="AM291" s="170"/>
      <c r="AN291" s="170"/>
      <c r="AO291" s="170"/>
      <c r="AP291" s="170"/>
      <c r="AQ291" s="170"/>
      <c r="AR291" s="170"/>
      <c r="AS291" s="170"/>
      <c r="AT291" s="170"/>
      <c r="AU291" s="170"/>
      <c r="AV291" s="170"/>
      <c r="AW291" s="828"/>
      <c r="AX291" s="726"/>
    </row>
    <row r="292" spans="1:50" ht="15" x14ac:dyDescent="0.25">
      <c r="A292" s="170"/>
      <c r="B292" s="719"/>
      <c r="C292" s="170"/>
      <c r="D292" s="170"/>
      <c r="E292" s="170"/>
      <c r="F292" s="170"/>
      <c r="G292" s="721"/>
      <c r="H292" s="170"/>
      <c r="I292" s="170"/>
      <c r="J292" s="170"/>
      <c r="K292" s="170"/>
      <c r="L292" s="170"/>
      <c r="M292" s="730"/>
      <c r="N292" s="730"/>
      <c r="O292" s="730"/>
      <c r="P292" s="731"/>
      <c r="Q292" s="731"/>
      <c r="R292" s="730"/>
      <c r="S292" s="730"/>
      <c r="T292" s="723"/>
      <c r="U292" s="724"/>
      <c r="V292" s="725"/>
      <c r="W292" s="725"/>
      <c r="X292" s="723"/>
      <c r="Y292" s="723"/>
      <c r="Z292" s="723"/>
      <c r="AA292" s="726"/>
      <c r="AB292" s="726"/>
      <c r="AC292" s="170"/>
      <c r="AD292" s="586"/>
      <c r="AE292" s="586"/>
      <c r="AF292" s="170"/>
      <c r="AG292" s="170"/>
      <c r="AH292" s="170"/>
      <c r="AI292" s="170"/>
      <c r="AJ292" s="170"/>
      <c r="AK292" s="170"/>
      <c r="AL292" s="170"/>
      <c r="AM292" s="170"/>
      <c r="AN292" s="170"/>
      <c r="AO292" s="170"/>
      <c r="AP292" s="170"/>
      <c r="AQ292" s="170"/>
      <c r="AR292" s="170"/>
      <c r="AS292" s="170"/>
      <c r="AT292" s="170"/>
      <c r="AU292" s="170"/>
      <c r="AV292" s="170"/>
      <c r="AW292" s="828"/>
      <c r="AX292" s="726"/>
    </row>
    <row r="293" spans="1:50" ht="15" x14ac:dyDescent="0.25">
      <c r="A293" s="170"/>
      <c r="B293" s="719"/>
      <c r="C293" s="170"/>
      <c r="D293" s="170"/>
      <c r="E293" s="170"/>
      <c r="F293" s="170"/>
      <c r="G293" s="721"/>
      <c r="H293" s="170"/>
      <c r="I293" s="170"/>
      <c r="J293" s="170"/>
      <c r="K293" s="170"/>
      <c r="L293" s="170"/>
      <c r="M293" s="730"/>
      <c r="N293" s="730"/>
      <c r="O293" s="730"/>
      <c r="P293" s="731"/>
      <c r="Q293" s="731"/>
      <c r="R293" s="730"/>
      <c r="S293" s="730"/>
      <c r="T293" s="723"/>
      <c r="U293" s="724"/>
      <c r="V293" s="725"/>
      <c r="W293" s="725"/>
      <c r="X293" s="723"/>
      <c r="Y293" s="723"/>
      <c r="Z293" s="723"/>
      <c r="AA293" s="726"/>
      <c r="AB293" s="726"/>
      <c r="AC293" s="170"/>
      <c r="AD293" s="586"/>
      <c r="AE293" s="586"/>
      <c r="AF293" s="170"/>
      <c r="AG293" s="170"/>
      <c r="AH293" s="170"/>
      <c r="AI293" s="170"/>
      <c r="AJ293" s="170"/>
      <c r="AK293" s="170"/>
      <c r="AL293" s="170"/>
      <c r="AM293" s="170"/>
      <c r="AN293" s="170"/>
      <c r="AO293" s="170"/>
      <c r="AP293" s="170"/>
      <c r="AQ293" s="170"/>
      <c r="AR293" s="170"/>
      <c r="AS293" s="170"/>
      <c r="AT293" s="170"/>
      <c r="AU293" s="170"/>
      <c r="AV293" s="170"/>
      <c r="AW293" s="828"/>
      <c r="AX293" s="726"/>
    </row>
    <row r="294" spans="1:50" ht="15" x14ac:dyDescent="0.25">
      <c r="A294" s="170"/>
      <c r="B294" s="719"/>
      <c r="C294" s="170"/>
      <c r="D294" s="170"/>
      <c r="E294" s="170"/>
      <c r="F294" s="170"/>
      <c r="G294" s="721"/>
      <c r="H294" s="170"/>
      <c r="I294" s="170"/>
      <c r="J294" s="170"/>
      <c r="K294" s="170"/>
      <c r="L294" s="170"/>
      <c r="M294" s="730"/>
      <c r="N294" s="730"/>
      <c r="O294" s="730"/>
      <c r="P294" s="731"/>
      <c r="Q294" s="731"/>
      <c r="R294" s="730"/>
      <c r="S294" s="730"/>
      <c r="T294" s="723"/>
      <c r="U294" s="724"/>
      <c r="V294" s="725"/>
      <c r="W294" s="725"/>
      <c r="X294" s="723"/>
      <c r="Y294" s="723"/>
      <c r="Z294" s="723"/>
      <c r="AA294" s="726"/>
      <c r="AB294" s="726"/>
      <c r="AC294" s="170"/>
      <c r="AD294" s="586"/>
      <c r="AE294" s="586"/>
      <c r="AF294" s="170"/>
      <c r="AG294" s="170"/>
      <c r="AH294" s="170"/>
      <c r="AI294" s="170"/>
      <c r="AJ294" s="170"/>
      <c r="AK294" s="170"/>
      <c r="AL294" s="170"/>
      <c r="AM294" s="170"/>
      <c r="AN294" s="170"/>
      <c r="AO294" s="170"/>
      <c r="AP294" s="170"/>
      <c r="AQ294" s="170"/>
      <c r="AR294" s="170"/>
      <c r="AS294" s="170"/>
      <c r="AT294" s="170"/>
      <c r="AU294" s="170"/>
      <c r="AV294" s="170"/>
      <c r="AW294" s="828"/>
      <c r="AX294" s="726"/>
    </row>
    <row r="295" spans="1:50" ht="15" x14ac:dyDescent="0.25">
      <c r="A295" s="170"/>
      <c r="B295" s="719"/>
      <c r="C295" s="170"/>
      <c r="D295" s="170"/>
      <c r="E295" s="170"/>
      <c r="F295" s="170"/>
      <c r="G295" s="721"/>
      <c r="H295" s="170"/>
      <c r="I295" s="170"/>
      <c r="J295" s="170"/>
      <c r="K295" s="170"/>
      <c r="L295" s="170"/>
      <c r="M295" s="730"/>
      <c r="N295" s="730"/>
      <c r="O295" s="730"/>
      <c r="P295" s="731"/>
      <c r="Q295" s="731"/>
      <c r="R295" s="730"/>
      <c r="S295" s="730"/>
      <c r="T295" s="723"/>
      <c r="U295" s="724"/>
      <c r="V295" s="725"/>
      <c r="W295" s="725"/>
      <c r="X295" s="723"/>
      <c r="Y295" s="723"/>
      <c r="Z295" s="723"/>
      <c r="AA295" s="726"/>
      <c r="AB295" s="726"/>
      <c r="AC295" s="170"/>
      <c r="AD295" s="586"/>
      <c r="AE295" s="586"/>
      <c r="AF295" s="170"/>
      <c r="AG295" s="170"/>
      <c r="AH295" s="170"/>
      <c r="AI295" s="170"/>
      <c r="AJ295" s="170"/>
      <c r="AK295" s="170"/>
      <c r="AL295" s="170"/>
      <c r="AM295" s="170"/>
      <c r="AN295" s="170"/>
      <c r="AO295" s="170"/>
      <c r="AP295" s="170"/>
      <c r="AQ295" s="170"/>
      <c r="AR295" s="170"/>
      <c r="AS295" s="170"/>
      <c r="AT295" s="170"/>
      <c r="AU295" s="170"/>
      <c r="AV295" s="170"/>
      <c r="AW295" s="828"/>
      <c r="AX295" s="726"/>
    </row>
    <row r="296" spans="1:50" ht="15" x14ac:dyDescent="0.25">
      <c r="A296" s="170"/>
      <c r="B296" s="719"/>
      <c r="C296" s="170"/>
      <c r="D296" s="170"/>
      <c r="E296" s="170"/>
      <c r="F296" s="170"/>
      <c r="G296" s="721"/>
      <c r="H296" s="170"/>
      <c r="I296" s="170"/>
      <c r="J296" s="170"/>
      <c r="K296" s="170"/>
      <c r="L296" s="170"/>
      <c r="M296" s="730"/>
      <c r="N296" s="730"/>
      <c r="O296" s="730"/>
      <c r="P296" s="731"/>
      <c r="Q296" s="731"/>
      <c r="R296" s="730"/>
      <c r="S296" s="730"/>
      <c r="T296" s="723"/>
      <c r="U296" s="724"/>
      <c r="V296" s="725"/>
      <c r="W296" s="725"/>
      <c r="X296" s="723"/>
      <c r="Y296" s="723"/>
      <c r="Z296" s="723"/>
      <c r="AA296" s="726"/>
      <c r="AB296" s="726"/>
      <c r="AC296" s="170"/>
      <c r="AD296" s="586"/>
      <c r="AE296" s="586"/>
      <c r="AF296" s="170"/>
      <c r="AG296" s="170"/>
      <c r="AH296" s="170"/>
      <c r="AI296" s="170"/>
      <c r="AJ296" s="170"/>
      <c r="AK296" s="170"/>
      <c r="AL296" s="170"/>
      <c r="AM296" s="170"/>
      <c r="AN296" s="170"/>
      <c r="AO296" s="170"/>
      <c r="AP296" s="170"/>
      <c r="AQ296" s="170"/>
      <c r="AR296" s="170"/>
      <c r="AS296" s="170"/>
      <c r="AT296" s="170"/>
      <c r="AU296" s="170"/>
      <c r="AV296" s="170"/>
      <c r="AW296" s="828"/>
      <c r="AX296" s="726"/>
    </row>
    <row r="297" spans="1:50" ht="15" x14ac:dyDescent="0.25">
      <c r="A297" s="170"/>
      <c r="B297" s="719"/>
      <c r="C297" s="170"/>
      <c r="D297" s="170"/>
      <c r="E297" s="170"/>
      <c r="F297" s="170"/>
      <c r="G297" s="721"/>
      <c r="H297" s="170"/>
      <c r="I297" s="170"/>
      <c r="J297" s="170"/>
      <c r="K297" s="170"/>
      <c r="L297" s="170"/>
      <c r="M297" s="730"/>
      <c r="N297" s="730"/>
      <c r="O297" s="730"/>
      <c r="P297" s="731"/>
      <c r="Q297" s="731"/>
      <c r="R297" s="730"/>
      <c r="S297" s="730"/>
      <c r="T297" s="723"/>
      <c r="U297" s="724"/>
      <c r="V297" s="725"/>
      <c r="W297" s="725"/>
      <c r="X297" s="723"/>
      <c r="Y297" s="723"/>
      <c r="Z297" s="723"/>
      <c r="AA297" s="726"/>
      <c r="AB297" s="726"/>
      <c r="AC297" s="170"/>
      <c r="AD297" s="586"/>
      <c r="AE297" s="586"/>
      <c r="AF297" s="170"/>
      <c r="AG297" s="170"/>
      <c r="AH297" s="170"/>
      <c r="AI297" s="170"/>
      <c r="AJ297" s="170"/>
      <c r="AK297" s="170"/>
      <c r="AL297" s="170"/>
      <c r="AM297" s="170"/>
      <c r="AN297" s="170"/>
      <c r="AO297" s="170"/>
      <c r="AP297" s="170"/>
      <c r="AQ297" s="170"/>
      <c r="AR297" s="170"/>
      <c r="AS297" s="170"/>
      <c r="AT297" s="170"/>
      <c r="AU297" s="170"/>
      <c r="AV297" s="170"/>
      <c r="AW297" s="828"/>
      <c r="AX297" s="726"/>
    </row>
    <row r="298" spans="1:50" ht="15" x14ac:dyDescent="0.25">
      <c r="A298" s="170"/>
      <c r="B298" s="719"/>
      <c r="C298" s="170"/>
      <c r="D298" s="170"/>
      <c r="E298" s="170"/>
      <c r="F298" s="170"/>
      <c r="G298" s="721"/>
      <c r="H298" s="170"/>
      <c r="I298" s="170"/>
      <c r="J298" s="170"/>
      <c r="K298" s="170"/>
      <c r="L298" s="170"/>
      <c r="M298" s="730"/>
      <c r="N298" s="730"/>
      <c r="O298" s="730"/>
      <c r="P298" s="731"/>
      <c r="Q298" s="731"/>
      <c r="R298" s="730"/>
      <c r="S298" s="730"/>
      <c r="T298" s="723"/>
      <c r="U298" s="724"/>
      <c r="V298" s="725"/>
      <c r="W298" s="725"/>
      <c r="X298" s="723"/>
      <c r="Y298" s="723"/>
      <c r="Z298" s="723"/>
      <c r="AA298" s="726"/>
      <c r="AB298" s="726"/>
      <c r="AC298" s="170"/>
      <c r="AD298" s="586"/>
      <c r="AE298" s="586"/>
      <c r="AF298" s="170"/>
      <c r="AG298" s="170"/>
      <c r="AH298" s="170"/>
      <c r="AI298" s="170"/>
      <c r="AJ298" s="170"/>
      <c r="AK298" s="170"/>
      <c r="AL298" s="170"/>
      <c r="AM298" s="170"/>
      <c r="AN298" s="170"/>
      <c r="AO298" s="170"/>
      <c r="AP298" s="170"/>
      <c r="AQ298" s="170"/>
      <c r="AR298" s="170"/>
      <c r="AS298" s="170"/>
      <c r="AT298" s="170"/>
      <c r="AU298" s="170"/>
      <c r="AV298" s="170"/>
      <c r="AW298" s="828"/>
      <c r="AX298" s="726"/>
    </row>
    <row r="299" spans="1:50" ht="15" x14ac:dyDescent="0.25">
      <c r="A299" s="170"/>
      <c r="B299" s="719"/>
      <c r="C299" s="170"/>
      <c r="D299" s="170"/>
      <c r="E299" s="170"/>
      <c r="F299" s="170"/>
      <c r="G299" s="721"/>
      <c r="H299" s="170"/>
      <c r="I299" s="170"/>
      <c r="J299" s="170"/>
      <c r="K299" s="170"/>
      <c r="L299" s="170"/>
      <c r="M299" s="730"/>
      <c r="N299" s="730"/>
      <c r="O299" s="730"/>
      <c r="P299" s="731"/>
      <c r="Q299" s="731"/>
      <c r="R299" s="730"/>
      <c r="S299" s="730"/>
      <c r="T299" s="723"/>
      <c r="U299" s="724"/>
      <c r="V299" s="725"/>
      <c r="W299" s="725"/>
      <c r="X299" s="723"/>
      <c r="Y299" s="723"/>
      <c r="Z299" s="723"/>
      <c r="AA299" s="726"/>
      <c r="AB299" s="726"/>
      <c r="AC299" s="170"/>
      <c r="AD299" s="586"/>
      <c r="AE299" s="586"/>
      <c r="AF299" s="170"/>
      <c r="AG299" s="170"/>
      <c r="AH299" s="170"/>
      <c r="AI299" s="170"/>
      <c r="AJ299" s="170"/>
      <c r="AK299" s="170"/>
      <c r="AL299" s="170"/>
      <c r="AM299" s="170"/>
      <c r="AN299" s="170"/>
      <c r="AO299" s="170"/>
      <c r="AP299" s="170"/>
      <c r="AQ299" s="170"/>
      <c r="AR299" s="170"/>
      <c r="AS299" s="170"/>
      <c r="AT299" s="170"/>
      <c r="AU299" s="170"/>
      <c r="AV299" s="170"/>
      <c r="AW299" s="828"/>
      <c r="AX299" s="726"/>
    </row>
    <row r="300" spans="1:50" ht="15" x14ac:dyDescent="0.25">
      <c r="A300" s="170"/>
      <c r="B300" s="719"/>
      <c r="C300" s="170"/>
      <c r="D300" s="170"/>
      <c r="E300" s="170"/>
      <c r="F300" s="170"/>
      <c r="G300" s="721"/>
      <c r="H300" s="170"/>
      <c r="I300" s="170"/>
      <c r="J300" s="170"/>
      <c r="K300" s="170"/>
      <c r="L300" s="170"/>
      <c r="M300" s="730"/>
      <c r="N300" s="730"/>
      <c r="O300" s="730"/>
      <c r="P300" s="731"/>
      <c r="Q300" s="731"/>
      <c r="R300" s="730"/>
      <c r="S300" s="730"/>
      <c r="T300" s="723"/>
      <c r="U300" s="724"/>
      <c r="V300" s="725"/>
      <c r="W300" s="725"/>
      <c r="X300" s="723"/>
      <c r="Y300" s="723"/>
      <c r="Z300" s="723"/>
      <c r="AA300" s="726"/>
      <c r="AB300" s="726"/>
      <c r="AC300" s="170"/>
      <c r="AD300" s="586"/>
      <c r="AE300" s="586"/>
      <c r="AF300" s="170"/>
      <c r="AG300" s="170"/>
      <c r="AH300" s="170"/>
      <c r="AI300" s="170"/>
      <c r="AJ300" s="170"/>
      <c r="AK300" s="170"/>
      <c r="AL300" s="170"/>
      <c r="AM300" s="170"/>
      <c r="AN300" s="170"/>
      <c r="AO300" s="170"/>
      <c r="AP300" s="170"/>
      <c r="AQ300" s="170"/>
      <c r="AR300" s="170"/>
      <c r="AS300" s="170"/>
      <c r="AT300" s="170"/>
      <c r="AU300" s="170"/>
      <c r="AV300" s="170"/>
      <c r="AW300" s="828"/>
      <c r="AX300" s="726"/>
    </row>
    <row r="301" spans="1:50" ht="15" x14ac:dyDescent="0.25">
      <c r="A301" s="170"/>
      <c r="B301" s="719"/>
      <c r="C301" s="170"/>
      <c r="D301" s="170"/>
      <c r="E301" s="170"/>
      <c r="F301" s="170"/>
      <c r="G301" s="721"/>
      <c r="H301" s="170"/>
      <c r="I301" s="170"/>
      <c r="J301" s="170"/>
      <c r="K301" s="170"/>
      <c r="L301" s="170"/>
      <c r="M301" s="730"/>
      <c r="N301" s="730"/>
      <c r="O301" s="730"/>
      <c r="P301" s="731"/>
      <c r="Q301" s="731"/>
      <c r="R301" s="730"/>
      <c r="S301" s="730"/>
      <c r="T301" s="723"/>
      <c r="U301" s="724"/>
      <c r="V301" s="725"/>
      <c r="W301" s="725"/>
      <c r="X301" s="723"/>
      <c r="Y301" s="723"/>
      <c r="Z301" s="723"/>
      <c r="AA301" s="726"/>
      <c r="AB301" s="726"/>
      <c r="AC301" s="170"/>
      <c r="AD301" s="586"/>
      <c r="AE301" s="586"/>
      <c r="AF301" s="170"/>
      <c r="AG301" s="170"/>
      <c r="AH301" s="170"/>
      <c r="AI301" s="170"/>
      <c r="AJ301" s="170"/>
      <c r="AK301" s="170"/>
      <c r="AL301" s="170"/>
      <c r="AM301" s="170"/>
      <c r="AN301" s="170"/>
      <c r="AO301" s="170"/>
      <c r="AP301" s="170"/>
      <c r="AQ301" s="170"/>
      <c r="AR301" s="170"/>
      <c r="AS301" s="170"/>
      <c r="AT301" s="170"/>
      <c r="AU301" s="170"/>
      <c r="AV301" s="170"/>
      <c r="AW301" s="828"/>
      <c r="AX301" s="726"/>
    </row>
    <row r="302" spans="1:50" ht="15" x14ac:dyDescent="0.25">
      <c r="A302" s="170"/>
      <c r="B302" s="719"/>
      <c r="C302" s="170"/>
      <c r="D302" s="170"/>
      <c r="E302" s="170"/>
      <c r="F302" s="170"/>
      <c r="G302" s="721"/>
      <c r="H302" s="170"/>
      <c r="I302" s="170"/>
      <c r="J302" s="170"/>
      <c r="K302" s="170"/>
      <c r="L302" s="170"/>
      <c r="M302" s="730"/>
      <c r="N302" s="730"/>
      <c r="O302" s="730"/>
      <c r="P302" s="731"/>
      <c r="Q302" s="731"/>
      <c r="R302" s="730"/>
      <c r="S302" s="730"/>
      <c r="T302" s="723"/>
      <c r="U302" s="724"/>
      <c r="V302" s="725"/>
      <c r="W302" s="725"/>
      <c r="X302" s="723"/>
      <c r="Y302" s="723"/>
      <c r="Z302" s="723"/>
      <c r="AA302" s="726"/>
      <c r="AB302" s="726"/>
      <c r="AC302" s="170"/>
      <c r="AD302" s="586"/>
      <c r="AE302" s="586"/>
      <c r="AF302" s="170"/>
      <c r="AG302" s="170"/>
      <c r="AH302" s="170"/>
      <c r="AI302" s="170"/>
      <c r="AJ302" s="170"/>
      <c r="AK302" s="170"/>
      <c r="AL302" s="170"/>
      <c r="AM302" s="170"/>
      <c r="AN302" s="170"/>
      <c r="AO302" s="170"/>
      <c r="AP302" s="170"/>
      <c r="AQ302" s="170"/>
      <c r="AR302" s="170"/>
      <c r="AS302" s="170"/>
      <c r="AT302" s="170"/>
      <c r="AU302" s="170"/>
      <c r="AV302" s="170"/>
      <c r="AW302" s="828"/>
      <c r="AX302" s="726"/>
    </row>
    <row r="303" spans="1:50" ht="15" x14ac:dyDescent="0.25">
      <c r="A303" s="170"/>
      <c r="B303" s="719"/>
      <c r="C303" s="170"/>
      <c r="D303" s="170"/>
      <c r="E303" s="170"/>
      <c r="F303" s="170"/>
      <c r="G303" s="721"/>
      <c r="H303" s="170"/>
      <c r="I303" s="170"/>
      <c r="J303" s="170"/>
      <c r="K303" s="170"/>
      <c r="L303" s="170"/>
      <c r="M303" s="730"/>
      <c r="N303" s="730"/>
      <c r="O303" s="730"/>
      <c r="P303" s="731"/>
      <c r="Q303" s="731"/>
      <c r="R303" s="730"/>
      <c r="S303" s="730"/>
      <c r="T303" s="723"/>
      <c r="U303" s="724"/>
      <c r="V303" s="725"/>
      <c r="W303" s="725"/>
      <c r="X303" s="723"/>
      <c r="Y303" s="723"/>
      <c r="Z303" s="723"/>
      <c r="AA303" s="726"/>
      <c r="AB303" s="726"/>
      <c r="AC303" s="170"/>
      <c r="AD303" s="586"/>
      <c r="AE303" s="586"/>
      <c r="AF303" s="170"/>
      <c r="AG303" s="170"/>
      <c r="AH303" s="170"/>
      <c r="AI303" s="170"/>
      <c r="AJ303" s="170"/>
      <c r="AK303" s="170"/>
      <c r="AL303" s="170"/>
      <c r="AM303" s="170"/>
      <c r="AN303" s="170"/>
      <c r="AO303" s="170"/>
      <c r="AP303" s="170"/>
      <c r="AQ303" s="170"/>
      <c r="AR303" s="170"/>
      <c r="AS303" s="170"/>
      <c r="AT303" s="170"/>
      <c r="AU303" s="170"/>
      <c r="AV303" s="170"/>
      <c r="AW303" s="828"/>
      <c r="AX303" s="726"/>
    </row>
    <row r="304" spans="1:50" ht="15" x14ac:dyDescent="0.25">
      <c r="A304" s="170"/>
      <c r="B304" s="719"/>
      <c r="C304" s="170"/>
      <c r="D304" s="170"/>
      <c r="E304" s="170"/>
      <c r="F304" s="170"/>
      <c r="G304" s="721"/>
      <c r="H304" s="170"/>
      <c r="I304" s="170"/>
      <c r="J304" s="170"/>
      <c r="K304" s="170"/>
      <c r="L304" s="170"/>
      <c r="M304" s="730"/>
      <c r="N304" s="730"/>
      <c r="O304" s="730"/>
      <c r="P304" s="731"/>
      <c r="Q304" s="731"/>
      <c r="R304" s="730"/>
      <c r="S304" s="730"/>
      <c r="T304" s="723"/>
      <c r="U304" s="724"/>
      <c r="V304" s="725"/>
      <c r="W304" s="725"/>
      <c r="X304" s="723"/>
      <c r="Y304" s="723"/>
      <c r="Z304" s="723"/>
      <c r="AA304" s="726"/>
      <c r="AB304" s="726"/>
      <c r="AC304" s="170"/>
      <c r="AD304" s="586"/>
      <c r="AE304" s="586"/>
      <c r="AF304" s="170"/>
      <c r="AG304" s="170"/>
      <c r="AH304" s="170"/>
      <c r="AI304" s="170"/>
      <c r="AJ304" s="170"/>
      <c r="AK304" s="170"/>
      <c r="AL304" s="170"/>
      <c r="AM304" s="170"/>
      <c r="AN304" s="170"/>
      <c r="AO304" s="170"/>
      <c r="AP304" s="170"/>
      <c r="AQ304" s="170"/>
      <c r="AR304" s="170"/>
      <c r="AS304" s="170"/>
      <c r="AT304" s="170"/>
      <c r="AU304" s="170"/>
      <c r="AV304" s="170"/>
      <c r="AW304" s="828"/>
      <c r="AX304" s="726"/>
    </row>
    <row r="305" spans="1:50" ht="15" x14ac:dyDescent="0.25">
      <c r="A305" s="170"/>
      <c r="B305" s="719"/>
      <c r="C305" s="170"/>
      <c r="D305" s="170"/>
      <c r="E305" s="170"/>
      <c r="F305" s="170"/>
      <c r="G305" s="721"/>
      <c r="H305" s="170"/>
      <c r="I305" s="170"/>
      <c r="J305" s="170"/>
      <c r="K305" s="170"/>
      <c r="L305" s="170"/>
      <c r="M305" s="730"/>
      <c r="N305" s="730"/>
      <c r="O305" s="730"/>
      <c r="P305" s="731"/>
      <c r="Q305" s="731"/>
      <c r="R305" s="730"/>
      <c r="S305" s="730"/>
      <c r="T305" s="723"/>
      <c r="U305" s="724"/>
      <c r="V305" s="725"/>
      <c r="W305" s="725"/>
      <c r="X305" s="723"/>
      <c r="Y305" s="723"/>
      <c r="Z305" s="723"/>
      <c r="AA305" s="726"/>
      <c r="AB305" s="726"/>
      <c r="AC305" s="170"/>
      <c r="AD305" s="586"/>
      <c r="AE305" s="586"/>
      <c r="AF305" s="170"/>
      <c r="AG305" s="170"/>
      <c r="AH305" s="170"/>
      <c r="AI305" s="170"/>
      <c r="AJ305" s="170"/>
      <c r="AK305" s="170"/>
      <c r="AL305" s="170"/>
      <c r="AM305" s="170"/>
      <c r="AN305" s="170"/>
      <c r="AO305" s="170"/>
      <c r="AP305" s="170"/>
      <c r="AQ305" s="170"/>
      <c r="AR305" s="170"/>
      <c r="AS305" s="170"/>
      <c r="AT305" s="170"/>
      <c r="AU305" s="170"/>
      <c r="AV305" s="170"/>
      <c r="AW305" s="828"/>
      <c r="AX305" s="726"/>
    </row>
    <row r="306" spans="1:50" ht="15" x14ac:dyDescent="0.25">
      <c r="A306" s="170"/>
      <c r="B306" s="719"/>
      <c r="C306" s="170"/>
      <c r="D306" s="170"/>
      <c r="E306" s="170"/>
      <c r="F306" s="170"/>
      <c r="G306" s="721"/>
      <c r="H306" s="170"/>
      <c r="I306" s="170"/>
      <c r="J306" s="170"/>
      <c r="K306" s="170"/>
      <c r="L306" s="170"/>
      <c r="M306" s="730"/>
      <c r="N306" s="730"/>
      <c r="O306" s="730"/>
      <c r="P306" s="731"/>
      <c r="Q306" s="731"/>
      <c r="R306" s="730"/>
      <c r="S306" s="730"/>
      <c r="T306" s="723"/>
      <c r="U306" s="724"/>
      <c r="V306" s="725"/>
      <c r="W306" s="725"/>
      <c r="X306" s="723"/>
      <c r="Y306" s="723"/>
      <c r="Z306" s="723"/>
      <c r="AA306" s="726"/>
      <c r="AB306" s="726"/>
      <c r="AC306" s="170"/>
      <c r="AD306" s="586"/>
      <c r="AE306" s="586"/>
      <c r="AF306" s="170"/>
      <c r="AG306" s="170"/>
      <c r="AH306" s="170"/>
      <c r="AI306" s="170"/>
      <c r="AJ306" s="170"/>
      <c r="AK306" s="170"/>
      <c r="AL306" s="170"/>
      <c r="AM306" s="170"/>
      <c r="AN306" s="170"/>
      <c r="AO306" s="170"/>
      <c r="AP306" s="170"/>
      <c r="AQ306" s="170"/>
      <c r="AR306" s="170"/>
      <c r="AS306" s="170"/>
      <c r="AT306" s="170"/>
      <c r="AU306" s="170"/>
      <c r="AV306" s="170"/>
      <c r="AW306" s="828"/>
      <c r="AX306" s="726"/>
    </row>
    <row r="307" spans="1:50" ht="15" x14ac:dyDescent="0.25">
      <c r="A307" s="170"/>
      <c r="B307" s="719"/>
      <c r="C307" s="170"/>
      <c r="D307" s="170"/>
      <c r="E307" s="170"/>
      <c r="F307" s="170"/>
      <c r="G307" s="721"/>
      <c r="H307" s="170"/>
      <c r="I307" s="170"/>
      <c r="J307" s="170"/>
      <c r="K307" s="170"/>
      <c r="L307" s="170"/>
      <c r="M307" s="730"/>
      <c r="N307" s="730"/>
      <c r="O307" s="730"/>
      <c r="P307" s="731"/>
      <c r="Q307" s="731"/>
      <c r="R307" s="730"/>
      <c r="S307" s="730"/>
      <c r="T307" s="723"/>
      <c r="U307" s="724"/>
      <c r="V307" s="725"/>
      <c r="W307" s="725"/>
      <c r="X307" s="723"/>
      <c r="Y307" s="723"/>
      <c r="Z307" s="723"/>
      <c r="AA307" s="726"/>
      <c r="AB307" s="726"/>
      <c r="AC307" s="170"/>
      <c r="AD307" s="586"/>
      <c r="AE307" s="586"/>
      <c r="AF307" s="170"/>
      <c r="AG307" s="170"/>
      <c r="AH307" s="170"/>
      <c r="AI307" s="170"/>
      <c r="AJ307" s="170"/>
      <c r="AK307" s="170"/>
      <c r="AL307" s="170"/>
      <c r="AM307" s="170"/>
      <c r="AN307" s="170"/>
      <c r="AO307" s="170"/>
      <c r="AP307" s="170"/>
      <c r="AQ307" s="170"/>
      <c r="AR307" s="170"/>
      <c r="AS307" s="170"/>
      <c r="AT307" s="170"/>
      <c r="AU307" s="170"/>
      <c r="AV307" s="170"/>
      <c r="AW307" s="828"/>
      <c r="AX307" s="726"/>
    </row>
    <row r="308" spans="1:50" ht="15" x14ac:dyDescent="0.25">
      <c r="A308" s="170"/>
      <c r="B308" s="719"/>
      <c r="C308" s="170"/>
      <c r="D308" s="170"/>
      <c r="E308" s="170"/>
      <c r="F308" s="170"/>
      <c r="G308" s="721"/>
      <c r="H308" s="170"/>
      <c r="I308" s="170"/>
      <c r="J308" s="170"/>
      <c r="K308" s="170"/>
      <c r="L308" s="170"/>
      <c r="M308" s="730"/>
      <c r="N308" s="730"/>
      <c r="O308" s="730"/>
      <c r="P308" s="731"/>
      <c r="Q308" s="731"/>
      <c r="R308" s="730"/>
      <c r="S308" s="730"/>
      <c r="T308" s="723"/>
      <c r="U308" s="724"/>
      <c r="V308" s="725"/>
      <c r="W308" s="725"/>
      <c r="X308" s="723"/>
      <c r="Y308" s="723"/>
      <c r="Z308" s="723"/>
      <c r="AA308" s="726"/>
      <c r="AB308" s="726"/>
      <c r="AC308" s="170"/>
      <c r="AD308" s="586"/>
      <c r="AE308" s="586"/>
      <c r="AF308" s="170"/>
      <c r="AG308" s="170"/>
      <c r="AH308" s="170"/>
      <c r="AI308" s="170"/>
      <c r="AJ308" s="170"/>
      <c r="AK308" s="170"/>
      <c r="AL308" s="170"/>
      <c r="AM308" s="170"/>
      <c r="AN308" s="170"/>
      <c r="AO308" s="170"/>
      <c r="AP308" s="170"/>
      <c r="AQ308" s="170"/>
      <c r="AR308" s="170"/>
      <c r="AS308" s="170"/>
      <c r="AT308" s="170"/>
      <c r="AU308" s="170"/>
      <c r="AV308" s="170"/>
      <c r="AW308" s="828"/>
      <c r="AX308" s="726"/>
    </row>
    <row r="309" spans="1:50" ht="15" x14ac:dyDescent="0.25">
      <c r="A309" s="170"/>
      <c r="B309" s="719"/>
      <c r="C309" s="170"/>
      <c r="D309" s="170"/>
      <c r="E309" s="170"/>
      <c r="F309" s="170"/>
      <c r="G309" s="721"/>
      <c r="H309" s="170"/>
      <c r="I309" s="170"/>
      <c r="J309" s="170"/>
      <c r="K309" s="170"/>
      <c r="L309" s="170"/>
      <c r="M309" s="730"/>
      <c r="N309" s="730"/>
      <c r="O309" s="730"/>
      <c r="P309" s="731"/>
      <c r="Q309" s="731"/>
      <c r="R309" s="730"/>
      <c r="S309" s="730"/>
      <c r="T309" s="723"/>
      <c r="U309" s="724"/>
      <c r="V309" s="725"/>
      <c r="W309" s="725"/>
      <c r="X309" s="723"/>
      <c r="Y309" s="723"/>
      <c r="Z309" s="723"/>
      <c r="AA309" s="726"/>
      <c r="AB309" s="726"/>
      <c r="AC309" s="170"/>
      <c r="AD309" s="586"/>
      <c r="AE309" s="586"/>
      <c r="AF309" s="170"/>
      <c r="AG309" s="170"/>
      <c r="AH309" s="170"/>
      <c r="AI309" s="170"/>
      <c r="AJ309" s="170"/>
      <c r="AK309" s="170"/>
      <c r="AL309" s="170"/>
      <c r="AM309" s="170"/>
      <c r="AN309" s="170"/>
      <c r="AO309" s="170"/>
      <c r="AP309" s="170"/>
      <c r="AQ309" s="170"/>
      <c r="AR309" s="170"/>
      <c r="AS309" s="170"/>
      <c r="AT309" s="170"/>
      <c r="AU309" s="170"/>
      <c r="AV309" s="170"/>
      <c r="AW309" s="828"/>
      <c r="AX309" s="726"/>
    </row>
    <row r="310" spans="1:50" ht="15" x14ac:dyDescent="0.25">
      <c r="A310" s="170"/>
      <c r="B310" s="719"/>
      <c r="C310" s="170"/>
      <c r="D310" s="170"/>
      <c r="E310" s="170"/>
      <c r="F310" s="170"/>
      <c r="G310" s="721"/>
      <c r="H310" s="170"/>
      <c r="I310" s="170"/>
      <c r="J310" s="170"/>
      <c r="K310" s="170"/>
      <c r="L310" s="170"/>
      <c r="M310" s="730"/>
      <c r="N310" s="730"/>
      <c r="O310" s="730"/>
      <c r="P310" s="731"/>
      <c r="Q310" s="731"/>
      <c r="R310" s="730"/>
      <c r="S310" s="730"/>
      <c r="T310" s="723"/>
      <c r="U310" s="724"/>
      <c r="V310" s="725"/>
      <c r="W310" s="725"/>
      <c r="X310" s="723"/>
      <c r="Y310" s="723"/>
      <c r="Z310" s="723"/>
      <c r="AA310" s="726"/>
      <c r="AB310" s="726"/>
      <c r="AC310" s="170"/>
      <c r="AD310" s="586"/>
      <c r="AE310" s="586"/>
      <c r="AF310" s="170"/>
      <c r="AG310" s="170"/>
      <c r="AH310" s="170"/>
      <c r="AI310" s="170"/>
      <c r="AJ310" s="170"/>
      <c r="AK310" s="170"/>
      <c r="AL310" s="170"/>
      <c r="AM310" s="170"/>
      <c r="AN310" s="170"/>
      <c r="AO310" s="170"/>
      <c r="AP310" s="170"/>
      <c r="AQ310" s="170"/>
      <c r="AR310" s="170"/>
      <c r="AS310" s="170"/>
      <c r="AT310" s="170"/>
      <c r="AU310" s="170"/>
      <c r="AV310" s="170"/>
      <c r="AW310" s="828"/>
      <c r="AX310" s="726"/>
    </row>
    <row r="311" spans="1:50" ht="15" x14ac:dyDescent="0.25">
      <c r="A311" s="170"/>
      <c r="B311" s="719"/>
      <c r="C311" s="170"/>
      <c r="D311" s="170"/>
      <c r="E311" s="170"/>
      <c r="F311" s="170"/>
      <c r="G311" s="721"/>
      <c r="H311" s="170"/>
      <c r="I311" s="170"/>
      <c r="J311" s="170"/>
      <c r="K311" s="170"/>
      <c r="L311" s="170"/>
      <c r="M311" s="730"/>
      <c r="N311" s="730"/>
      <c r="O311" s="730"/>
      <c r="P311" s="731"/>
      <c r="Q311" s="731"/>
      <c r="R311" s="730"/>
      <c r="S311" s="730"/>
      <c r="T311" s="723"/>
      <c r="U311" s="724"/>
      <c r="V311" s="725"/>
      <c r="W311" s="725"/>
      <c r="X311" s="723"/>
      <c r="Y311" s="723"/>
      <c r="Z311" s="723"/>
      <c r="AA311" s="726"/>
      <c r="AB311" s="726"/>
      <c r="AC311" s="170"/>
      <c r="AD311" s="586"/>
      <c r="AE311" s="586"/>
      <c r="AF311" s="170"/>
      <c r="AG311" s="170"/>
      <c r="AH311" s="170"/>
      <c r="AI311" s="170"/>
      <c r="AJ311" s="170"/>
      <c r="AK311" s="170"/>
      <c r="AL311" s="170"/>
      <c r="AM311" s="170"/>
      <c r="AN311" s="170"/>
      <c r="AO311" s="170"/>
      <c r="AP311" s="170"/>
      <c r="AQ311" s="170"/>
      <c r="AR311" s="170"/>
      <c r="AS311" s="170"/>
      <c r="AT311" s="170"/>
      <c r="AU311" s="170"/>
      <c r="AV311" s="170"/>
      <c r="AW311" s="828"/>
      <c r="AX311" s="726"/>
    </row>
    <row r="312" spans="1:50" ht="15" x14ac:dyDescent="0.25">
      <c r="A312" s="170"/>
      <c r="B312" s="719"/>
      <c r="C312" s="170"/>
      <c r="D312" s="170"/>
      <c r="E312" s="170"/>
      <c r="F312" s="170"/>
      <c r="G312" s="721"/>
      <c r="H312" s="170"/>
      <c r="I312" s="170"/>
      <c r="J312" s="170"/>
      <c r="K312" s="170"/>
      <c r="L312" s="170"/>
      <c r="M312" s="730"/>
      <c r="N312" s="730"/>
      <c r="O312" s="730"/>
      <c r="P312" s="731"/>
      <c r="Q312" s="731"/>
      <c r="R312" s="730"/>
      <c r="S312" s="730"/>
      <c r="T312" s="723"/>
      <c r="U312" s="724"/>
      <c r="V312" s="725"/>
      <c r="W312" s="725"/>
      <c r="X312" s="723"/>
      <c r="Y312" s="723"/>
      <c r="Z312" s="723"/>
      <c r="AA312" s="726"/>
      <c r="AB312" s="726"/>
      <c r="AC312" s="170"/>
      <c r="AD312" s="586"/>
      <c r="AE312" s="586"/>
      <c r="AF312" s="170"/>
      <c r="AG312" s="170"/>
      <c r="AH312" s="170"/>
      <c r="AI312" s="170"/>
      <c r="AJ312" s="170"/>
      <c r="AK312" s="170"/>
      <c r="AL312" s="170"/>
      <c r="AM312" s="170"/>
      <c r="AN312" s="170"/>
      <c r="AO312" s="170"/>
      <c r="AP312" s="170"/>
      <c r="AQ312" s="170"/>
      <c r="AR312" s="170"/>
      <c r="AS312" s="170"/>
      <c r="AT312" s="170"/>
      <c r="AU312" s="170"/>
      <c r="AV312" s="170"/>
      <c r="AW312" s="828"/>
      <c r="AX312" s="726"/>
    </row>
    <row r="313" spans="1:50" ht="15" x14ac:dyDescent="0.25">
      <c r="A313" s="170"/>
      <c r="B313" s="719"/>
      <c r="C313" s="170"/>
      <c r="D313" s="170"/>
      <c r="E313" s="170"/>
      <c r="F313" s="170"/>
      <c r="G313" s="721"/>
      <c r="H313" s="170"/>
      <c r="I313" s="170"/>
      <c r="J313" s="170"/>
      <c r="K313" s="170"/>
      <c r="L313" s="170"/>
      <c r="M313" s="730"/>
      <c r="N313" s="730"/>
      <c r="O313" s="730"/>
      <c r="P313" s="731"/>
      <c r="Q313" s="731"/>
      <c r="R313" s="730"/>
      <c r="S313" s="730"/>
      <c r="T313" s="723"/>
      <c r="U313" s="724"/>
      <c r="V313" s="725"/>
      <c r="W313" s="725"/>
      <c r="X313" s="723"/>
      <c r="Y313" s="723"/>
      <c r="Z313" s="723"/>
      <c r="AA313" s="726"/>
      <c r="AB313" s="726"/>
      <c r="AC313" s="170"/>
      <c r="AD313" s="586"/>
      <c r="AE313" s="586"/>
      <c r="AF313" s="170"/>
      <c r="AG313" s="170"/>
      <c r="AH313" s="170"/>
      <c r="AI313" s="170"/>
      <c r="AJ313" s="170"/>
      <c r="AK313" s="170"/>
      <c r="AL313" s="170"/>
      <c r="AM313" s="170"/>
      <c r="AN313" s="170"/>
      <c r="AO313" s="170"/>
      <c r="AP313" s="170"/>
      <c r="AQ313" s="170"/>
      <c r="AR313" s="170"/>
      <c r="AS313" s="170"/>
      <c r="AT313" s="170"/>
      <c r="AU313" s="170"/>
      <c r="AV313" s="170"/>
      <c r="AW313" s="828"/>
      <c r="AX313" s="726"/>
    </row>
    <row r="314" spans="1:50" ht="15" x14ac:dyDescent="0.25">
      <c r="A314" s="170"/>
      <c r="B314" s="719"/>
      <c r="C314" s="170"/>
      <c r="D314" s="170"/>
      <c r="E314" s="170"/>
      <c r="F314" s="170"/>
      <c r="G314" s="721"/>
      <c r="H314" s="170"/>
      <c r="I314" s="170"/>
      <c r="J314" s="170"/>
      <c r="K314" s="170"/>
      <c r="L314" s="170"/>
      <c r="M314" s="730"/>
      <c r="N314" s="730"/>
      <c r="O314" s="730"/>
      <c r="P314" s="731"/>
      <c r="Q314" s="731"/>
      <c r="R314" s="730"/>
      <c r="S314" s="730"/>
      <c r="T314" s="723"/>
      <c r="U314" s="724"/>
      <c r="V314" s="725"/>
      <c r="W314" s="725"/>
      <c r="X314" s="723"/>
      <c r="Y314" s="723"/>
      <c r="Z314" s="723"/>
      <c r="AA314" s="726"/>
      <c r="AB314" s="726"/>
      <c r="AC314" s="170"/>
      <c r="AD314" s="586"/>
      <c r="AE314" s="586"/>
      <c r="AF314" s="170"/>
      <c r="AG314" s="170"/>
      <c r="AH314" s="170"/>
      <c r="AI314" s="170"/>
      <c r="AJ314" s="170"/>
      <c r="AK314" s="170"/>
      <c r="AL314" s="170"/>
      <c r="AM314" s="170"/>
      <c r="AN314" s="170"/>
      <c r="AO314" s="170"/>
      <c r="AP314" s="170"/>
      <c r="AQ314" s="170"/>
      <c r="AR314" s="170"/>
      <c r="AS314" s="170"/>
      <c r="AT314" s="170"/>
      <c r="AU314" s="170"/>
      <c r="AV314" s="170"/>
      <c r="AW314" s="828"/>
      <c r="AX314" s="726"/>
    </row>
    <row r="315" spans="1:50" ht="15" x14ac:dyDescent="0.25">
      <c r="A315" s="170"/>
      <c r="B315" s="719"/>
      <c r="C315" s="170"/>
      <c r="D315" s="170"/>
      <c r="E315" s="170"/>
      <c r="F315" s="170"/>
      <c r="G315" s="721"/>
      <c r="H315" s="170"/>
      <c r="I315" s="170"/>
      <c r="J315" s="170"/>
      <c r="K315" s="170"/>
      <c r="L315" s="170"/>
      <c r="M315" s="730"/>
      <c r="N315" s="730"/>
      <c r="O315" s="730"/>
      <c r="P315" s="731"/>
      <c r="Q315" s="731"/>
      <c r="R315" s="730"/>
      <c r="S315" s="730"/>
      <c r="T315" s="723"/>
      <c r="U315" s="724"/>
      <c r="V315" s="725"/>
      <c r="W315" s="725"/>
      <c r="X315" s="723"/>
      <c r="Y315" s="723"/>
      <c r="Z315" s="723"/>
      <c r="AA315" s="726"/>
      <c r="AB315" s="726"/>
      <c r="AC315" s="170"/>
      <c r="AD315" s="586"/>
      <c r="AE315" s="586"/>
      <c r="AF315" s="170"/>
      <c r="AG315" s="170"/>
      <c r="AH315" s="170"/>
      <c r="AI315" s="170"/>
      <c r="AJ315" s="170"/>
      <c r="AK315" s="170"/>
      <c r="AL315" s="170"/>
      <c r="AM315" s="170"/>
      <c r="AN315" s="170"/>
      <c r="AO315" s="170"/>
      <c r="AP315" s="170"/>
      <c r="AQ315" s="170"/>
      <c r="AR315" s="170"/>
      <c r="AS315" s="170"/>
      <c r="AT315" s="170"/>
      <c r="AU315" s="170"/>
      <c r="AV315" s="170"/>
      <c r="AW315" s="828"/>
      <c r="AX315" s="726"/>
    </row>
    <row r="316" spans="1:50" ht="15" x14ac:dyDescent="0.25">
      <c r="A316" s="170"/>
      <c r="B316" s="719"/>
      <c r="C316" s="170"/>
      <c r="D316" s="170"/>
      <c r="E316" s="170"/>
      <c r="F316" s="170"/>
      <c r="G316" s="721"/>
      <c r="H316" s="170"/>
      <c r="I316" s="170"/>
      <c r="J316" s="170"/>
      <c r="K316" s="170"/>
      <c r="L316" s="170"/>
      <c r="M316" s="730"/>
      <c r="N316" s="730"/>
      <c r="O316" s="730"/>
      <c r="P316" s="731"/>
      <c r="Q316" s="731"/>
      <c r="R316" s="730"/>
      <c r="S316" s="730"/>
      <c r="T316" s="723"/>
      <c r="U316" s="724"/>
      <c r="V316" s="725"/>
      <c r="W316" s="725"/>
      <c r="X316" s="723"/>
      <c r="Y316" s="723"/>
      <c r="Z316" s="723"/>
      <c r="AA316" s="726"/>
      <c r="AB316" s="726"/>
      <c r="AC316" s="170"/>
      <c r="AD316" s="586"/>
      <c r="AE316" s="586"/>
      <c r="AF316" s="170"/>
      <c r="AG316" s="170"/>
      <c r="AH316" s="170"/>
      <c r="AI316" s="170"/>
      <c r="AJ316" s="170"/>
      <c r="AK316" s="170"/>
      <c r="AL316" s="170"/>
      <c r="AM316" s="170"/>
      <c r="AN316" s="170"/>
      <c r="AO316" s="170"/>
      <c r="AP316" s="170"/>
      <c r="AQ316" s="170"/>
      <c r="AR316" s="170"/>
      <c r="AS316" s="170"/>
      <c r="AT316" s="170"/>
      <c r="AU316" s="170"/>
      <c r="AV316" s="170"/>
      <c r="AW316" s="828"/>
      <c r="AX316" s="726"/>
    </row>
    <row r="317" spans="1:50" ht="15" x14ac:dyDescent="0.25">
      <c r="A317" s="170"/>
      <c r="B317" s="719"/>
      <c r="C317" s="170"/>
      <c r="D317" s="170"/>
      <c r="E317" s="170"/>
      <c r="F317" s="170"/>
      <c r="G317" s="721"/>
      <c r="H317" s="170"/>
      <c r="I317" s="170"/>
      <c r="J317" s="170"/>
      <c r="K317" s="170"/>
      <c r="L317" s="170"/>
      <c r="M317" s="730"/>
      <c r="N317" s="730"/>
      <c r="O317" s="730"/>
      <c r="P317" s="731"/>
      <c r="Q317" s="731"/>
      <c r="R317" s="730"/>
      <c r="S317" s="730"/>
      <c r="T317" s="723"/>
      <c r="U317" s="724"/>
      <c r="V317" s="725"/>
      <c r="W317" s="725"/>
      <c r="X317" s="723"/>
      <c r="Y317" s="723"/>
      <c r="Z317" s="723"/>
      <c r="AA317" s="726"/>
      <c r="AB317" s="726"/>
      <c r="AC317" s="170"/>
      <c r="AD317" s="586"/>
      <c r="AE317" s="586"/>
      <c r="AF317" s="170"/>
      <c r="AG317" s="170"/>
      <c r="AH317" s="170"/>
      <c r="AI317" s="170"/>
      <c r="AJ317" s="170"/>
      <c r="AK317" s="170"/>
      <c r="AL317" s="170"/>
      <c r="AM317" s="170"/>
      <c r="AN317" s="170"/>
      <c r="AO317" s="170"/>
      <c r="AP317" s="170"/>
      <c r="AQ317" s="170"/>
      <c r="AR317" s="170"/>
      <c r="AS317" s="170"/>
      <c r="AT317" s="170"/>
      <c r="AU317" s="170"/>
      <c r="AV317" s="170"/>
      <c r="AW317" s="828"/>
      <c r="AX317" s="726"/>
    </row>
    <row r="318" spans="1:50" ht="15" x14ac:dyDescent="0.25">
      <c r="A318" s="170"/>
      <c r="B318" s="719"/>
      <c r="C318" s="170"/>
      <c r="D318" s="170"/>
      <c r="E318" s="170"/>
      <c r="F318" s="170"/>
      <c r="G318" s="721"/>
      <c r="H318" s="170"/>
      <c r="I318" s="170"/>
      <c r="J318" s="170"/>
      <c r="K318" s="170"/>
      <c r="L318" s="170"/>
      <c r="M318" s="730"/>
      <c r="N318" s="730"/>
      <c r="O318" s="730"/>
      <c r="P318" s="731"/>
      <c r="Q318" s="731"/>
      <c r="R318" s="730"/>
      <c r="S318" s="730"/>
      <c r="T318" s="723"/>
      <c r="U318" s="724"/>
      <c r="V318" s="725"/>
      <c r="W318" s="725"/>
      <c r="X318" s="723"/>
      <c r="Y318" s="723"/>
      <c r="Z318" s="723"/>
      <c r="AA318" s="726"/>
      <c r="AB318" s="726"/>
      <c r="AC318" s="170"/>
      <c r="AD318" s="586"/>
      <c r="AE318" s="586"/>
      <c r="AF318" s="170"/>
      <c r="AG318" s="170"/>
      <c r="AH318" s="170"/>
      <c r="AI318" s="170"/>
      <c r="AJ318" s="170"/>
      <c r="AK318" s="170"/>
      <c r="AL318" s="170"/>
      <c r="AM318" s="170"/>
      <c r="AN318" s="170"/>
      <c r="AO318" s="170"/>
      <c r="AP318" s="170"/>
      <c r="AQ318" s="170"/>
      <c r="AR318" s="170"/>
      <c r="AS318" s="170"/>
      <c r="AT318" s="170"/>
      <c r="AU318" s="170"/>
      <c r="AV318" s="170"/>
      <c r="AW318" s="828"/>
      <c r="AX318" s="726"/>
    </row>
    <row r="319" spans="1:50" ht="15" x14ac:dyDescent="0.25">
      <c r="A319" s="170"/>
      <c r="B319" s="719"/>
      <c r="C319" s="170"/>
      <c r="D319" s="170"/>
      <c r="E319" s="170"/>
      <c r="F319" s="170"/>
      <c r="G319" s="721"/>
      <c r="H319" s="170"/>
      <c r="I319" s="170"/>
      <c r="J319" s="170"/>
      <c r="K319" s="170"/>
      <c r="L319" s="170"/>
      <c r="M319" s="730"/>
      <c r="N319" s="730"/>
      <c r="O319" s="730"/>
      <c r="P319" s="731"/>
      <c r="Q319" s="731"/>
      <c r="R319" s="730"/>
      <c r="S319" s="730"/>
      <c r="T319" s="723"/>
      <c r="U319" s="724"/>
      <c r="V319" s="725"/>
      <c r="W319" s="725"/>
      <c r="X319" s="723"/>
      <c r="Y319" s="723"/>
      <c r="Z319" s="723"/>
      <c r="AA319" s="726"/>
      <c r="AB319" s="726"/>
      <c r="AC319" s="170"/>
      <c r="AD319" s="586"/>
      <c r="AE319" s="586"/>
      <c r="AF319" s="170"/>
      <c r="AG319" s="170"/>
      <c r="AH319" s="170"/>
      <c r="AI319" s="170"/>
      <c r="AJ319" s="170"/>
      <c r="AK319" s="170"/>
      <c r="AL319" s="170"/>
      <c r="AM319" s="170"/>
      <c r="AN319" s="170"/>
      <c r="AO319" s="170"/>
      <c r="AP319" s="170"/>
      <c r="AQ319" s="170"/>
      <c r="AR319" s="170"/>
      <c r="AS319" s="170"/>
      <c r="AT319" s="170"/>
      <c r="AU319" s="170"/>
      <c r="AV319" s="170"/>
      <c r="AW319" s="828"/>
      <c r="AX319" s="726"/>
    </row>
    <row r="320" spans="1:50" ht="15" x14ac:dyDescent="0.25">
      <c r="A320" s="170"/>
      <c r="B320" s="719"/>
      <c r="C320" s="170"/>
      <c r="D320" s="170"/>
      <c r="E320" s="170"/>
      <c r="F320" s="170"/>
      <c r="G320" s="721"/>
      <c r="H320" s="170"/>
      <c r="I320" s="170"/>
      <c r="J320" s="170"/>
      <c r="K320" s="170"/>
      <c r="L320" s="170"/>
      <c r="M320" s="730"/>
      <c r="N320" s="730"/>
      <c r="O320" s="730"/>
      <c r="P320" s="731"/>
      <c r="Q320" s="731"/>
      <c r="R320" s="730"/>
      <c r="S320" s="730"/>
      <c r="T320" s="723"/>
      <c r="U320" s="724"/>
      <c r="V320" s="725"/>
      <c r="W320" s="725"/>
      <c r="X320" s="723"/>
      <c r="Y320" s="723"/>
      <c r="Z320" s="723"/>
      <c r="AA320" s="726"/>
      <c r="AB320" s="726"/>
      <c r="AC320" s="170"/>
      <c r="AD320" s="586"/>
      <c r="AE320" s="586"/>
      <c r="AF320" s="170"/>
      <c r="AG320" s="170"/>
      <c r="AH320" s="170"/>
      <c r="AI320" s="170"/>
      <c r="AJ320" s="170"/>
      <c r="AK320" s="170"/>
      <c r="AL320" s="170"/>
      <c r="AM320" s="170"/>
      <c r="AN320" s="170"/>
      <c r="AO320" s="170"/>
      <c r="AP320" s="170"/>
      <c r="AQ320" s="170"/>
      <c r="AR320" s="170"/>
      <c r="AS320" s="170"/>
      <c r="AT320" s="170"/>
      <c r="AU320" s="170"/>
      <c r="AV320" s="170"/>
      <c r="AW320" s="828"/>
      <c r="AX320" s="726"/>
    </row>
    <row r="321" spans="1:50" ht="15" x14ac:dyDescent="0.25">
      <c r="A321" s="170"/>
      <c r="B321" s="719"/>
      <c r="C321" s="170"/>
      <c r="D321" s="170"/>
      <c r="E321" s="170"/>
      <c r="F321" s="170"/>
      <c r="G321" s="721"/>
      <c r="H321" s="170"/>
      <c r="I321" s="170"/>
      <c r="J321" s="170"/>
      <c r="K321" s="170"/>
      <c r="L321" s="170"/>
      <c r="M321" s="730"/>
      <c r="N321" s="730"/>
      <c r="O321" s="730"/>
      <c r="P321" s="731"/>
      <c r="Q321" s="731"/>
      <c r="R321" s="730"/>
      <c r="S321" s="730"/>
      <c r="T321" s="723"/>
      <c r="U321" s="724"/>
      <c r="V321" s="725"/>
      <c r="W321" s="725"/>
      <c r="X321" s="723"/>
      <c r="Y321" s="723"/>
      <c r="Z321" s="723"/>
      <c r="AA321" s="726"/>
      <c r="AB321" s="726"/>
      <c r="AC321" s="170"/>
      <c r="AD321" s="586"/>
      <c r="AE321" s="586"/>
      <c r="AF321" s="170"/>
      <c r="AG321" s="170"/>
      <c r="AH321" s="170"/>
      <c r="AI321" s="170"/>
      <c r="AJ321" s="170"/>
      <c r="AK321" s="170"/>
      <c r="AL321" s="170"/>
      <c r="AM321" s="170"/>
      <c r="AN321" s="170"/>
      <c r="AO321" s="170"/>
      <c r="AP321" s="170"/>
      <c r="AQ321" s="170"/>
      <c r="AR321" s="170"/>
      <c r="AS321" s="170"/>
      <c r="AT321" s="170"/>
      <c r="AU321" s="170"/>
      <c r="AV321" s="170"/>
      <c r="AW321" s="828"/>
      <c r="AX321" s="726"/>
    </row>
    <row r="322" spans="1:50" ht="15" x14ac:dyDescent="0.25">
      <c r="A322" s="170"/>
      <c r="B322" s="719"/>
      <c r="C322" s="170"/>
      <c r="D322" s="170"/>
      <c r="E322" s="170"/>
      <c r="F322" s="170"/>
      <c r="G322" s="721"/>
      <c r="H322" s="170"/>
      <c r="I322" s="170"/>
      <c r="J322" s="170"/>
      <c r="K322" s="170"/>
      <c r="L322" s="170"/>
      <c r="M322" s="730"/>
      <c r="N322" s="730"/>
      <c r="O322" s="730"/>
      <c r="P322" s="731"/>
      <c r="Q322" s="731"/>
      <c r="R322" s="730"/>
      <c r="S322" s="730"/>
      <c r="T322" s="723"/>
      <c r="U322" s="724"/>
      <c r="V322" s="725"/>
      <c r="W322" s="725"/>
      <c r="X322" s="723"/>
      <c r="Y322" s="723"/>
      <c r="Z322" s="723"/>
      <c r="AA322" s="726"/>
      <c r="AB322" s="726"/>
      <c r="AC322" s="170"/>
      <c r="AD322" s="586"/>
      <c r="AE322" s="586"/>
      <c r="AF322" s="170"/>
      <c r="AG322" s="170"/>
      <c r="AH322" s="170"/>
      <c r="AI322" s="170"/>
      <c r="AJ322" s="170"/>
      <c r="AK322" s="170"/>
      <c r="AL322" s="170"/>
      <c r="AM322" s="170"/>
      <c r="AN322" s="170"/>
      <c r="AO322" s="170"/>
      <c r="AP322" s="170"/>
      <c r="AQ322" s="170"/>
      <c r="AR322" s="170"/>
      <c r="AS322" s="170"/>
      <c r="AT322" s="170"/>
      <c r="AU322" s="170"/>
      <c r="AV322" s="170"/>
      <c r="AW322" s="828"/>
      <c r="AX322" s="726"/>
    </row>
    <row r="323" spans="1:50" ht="15" x14ac:dyDescent="0.25">
      <c r="A323" s="170"/>
      <c r="B323" s="719"/>
      <c r="C323" s="170"/>
      <c r="D323" s="170"/>
      <c r="E323" s="170"/>
      <c r="F323" s="170"/>
      <c r="G323" s="721"/>
      <c r="H323" s="170"/>
      <c r="I323" s="170"/>
      <c r="J323" s="170"/>
      <c r="K323" s="170"/>
      <c r="L323" s="170"/>
      <c r="M323" s="730"/>
      <c r="N323" s="730"/>
      <c r="O323" s="730"/>
      <c r="P323" s="731"/>
      <c r="Q323" s="731"/>
      <c r="R323" s="730"/>
      <c r="S323" s="730"/>
      <c r="T323" s="723"/>
      <c r="U323" s="724"/>
      <c r="V323" s="725"/>
      <c r="W323" s="725"/>
      <c r="X323" s="723"/>
      <c r="Y323" s="723"/>
      <c r="Z323" s="723"/>
      <c r="AA323" s="726"/>
      <c r="AB323" s="726"/>
      <c r="AC323" s="170"/>
      <c r="AD323" s="586"/>
      <c r="AE323" s="586"/>
      <c r="AF323" s="170"/>
      <c r="AG323" s="170"/>
      <c r="AH323" s="170"/>
      <c r="AI323" s="170"/>
      <c r="AJ323" s="170"/>
      <c r="AK323" s="170"/>
      <c r="AL323" s="170"/>
      <c r="AM323" s="170"/>
      <c r="AN323" s="170"/>
      <c r="AO323" s="170"/>
      <c r="AP323" s="170"/>
      <c r="AQ323" s="170"/>
      <c r="AR323" s="170"/>
      <c r="AS323" s="170"/>
      <c r="AT323" s="170"/>
      <c r="AU323" s="170"/>
      <c r="AV323" s="170"/>
      <c r="AW323" s="828"/>
      <c r="AX323" s="726"/>
    </row>
    <row r="324" spans="1:50" ht="15" x14ac:dyDescent="0.25">
      <c r="A324" s="170"/>
      <c r="B324" s="719"/>
      <c r="C324" s="170"/>
      <c r="D324" s="170"/>
      <c r="E324" s="170"/>
      <c r="F324" s="170"/>
      <c r="G324" s="721"/>
      <c r="H324" s="170"/>
      <c r="I324" s="170"/>
      <c r="J324" s="170"/>
      <c r="K324" s="170"/>
      <c r="L324" s="170"/>
      <c r="M324" s="730"/>
      <c r="N324" s="730"/>
      <c r="O324" s="730"/>
      <c r="P324" s="731"/>
      <c r="Q324" s="731"/>
      <c r="R324" s="730"/>
      <c r="S324" s="730"/>
      <c r="T324" s="723"/>
      <c r="U324" s="724"/>
      <c r="V324" s="725"/>
      <c r="W324" s="725"/>
      <c r="X324" s="723"/>
      <c r="Y324" s="723"/>
      <c r="Z324" s="723"/>
      <c r="AA324" s="726"/>
      <c r="AB324" s="726"/>
      <c r="AC324" s="170"/>
      <c r="AD324" s="586"/>
      <c r="AE324" s="586"/>
      <c r="AF324" s="170"/>
      <c r="AG324" s="170"/>
      <c r="AH324" s="170"/>
      <c r="AI324" s="170"/>
      <c r="AJ324" s="170"/>
      <c r="AK324" s="170"/>
      <c r="AL324" s="170"/>
      <c r="AM324" s="170"/>
      <c r="AN324" s="170"/>
      <c r="AO324" s="170"/>
      <c r="AP324" s="170"/>
      <c r="AQ324" s="170"/>
      <c r="AR324" s="170"/>
      <c r="AS324" s="170"/>
      <c r="AT324" s="170"/>
      <c r="AU324" s="170"/>
      <c r="AV324" s="170"/>
      <c r="AW324" s="828"/>
      <c r="AX324" s="726"/>
    </row>
    <row r="325" spans="1:50" ht="15" x14ac:dyDescent="0.25">
      <c r="A325" s="170"/>
      <c r="B325" s="719"/>
      <c r="C325" s="170"/>
      <c r="D325" s="170"/>
      <c r="E325" s="170"/>
      <c r="F325" s="170"/>
      <c r="G325" s="721"/>
      <c r="H325" s="170"/>
      <c r="I325" s="170"/>
      <c r="J325" s="170"/>
      <c r="K325" s="170"/>
      <c r="L325" s="170"/>
      <c r="M325" s="730"/>
      <c r="N325" s="730"/>
      <c r="O325" s="730"/>
      <c r="P325" s="731"/>
      <c r="Q325" s="731"/>
      <c r="R325" s="730"/>
      <c r="S325" s="730"/>
      <c r="T325" s="723"/>
      <c r="U325" s="724"/>
      <c r="V325" s="725"/>
      <c r="W325" s="725"/>
      <c r="X325" s="723"/>
      <c r="Y325" s="723"/>
      <c r="Z325" s="723"/>
      <c r="AA325" s="726"/>
      <c r="AB325" s="726"/>
      <c r="AC325" s="170"/>
      <c r="AD325" s="586"/>
      <c r="AE325" s="586"/>
      <c r="AF325" s="170"/>
      <c r="AG325" s="170"/>
      <c r="AH325" s="170"/>
      <c r="AI325" s="170"/>
      <c r="AJ325" s="170"/>
      <c r="AK325" s="170"/>
      <c r="AL325" s="170"/>
      <c r="AM325" s="170"/>
      <c r="AN325" s="170"/>
      <c r="AO325" s="170"/>
      <c r="AP325" s="170"/>
      <c r="AQ325" s="170"/>
      <c r="AR325" s="170"/>
      <c r="AS325" s="170"/>
      <c r="AT325" s="170"/>
      <c r="AU325" s="170"/>
      <c r="AV325" s="170"/>
      <c r="AW325" s="828"/>
      <c r="AX325" s="726"/>
    </row>
    <row r="326" spans="1:50" ht="15" x14ac:dyDescent="0.25">
      <c r="A326" s="170"/>
      <c r="B326" s="719"/>
      <c r="C326" s="170"/>
      <c r="D326" s="170"/>
      <c r="E326" s="170"/>
      <c r="F326" s="170"/>
      <c r="G326" s="721"/>
      <c r="H326" s="170"/>
      <c r="I326" s="170"/>
      <c r="J326" s="170"/>
      <c r="K326" s="170"/>
      <c r="L326" s="170"/>
      <c r="M326" s="730"/>
      <c r="N326" s="730"/>
      <c r="O326" s="730"/>
      <c r="P326" s="731"/>
      <c r="Q326" s="731"/>
      <c r="R326" s="730"/>
      <c r="S326" s="730"/>
      <c r="T326" s="723"/>
      <c r="U326" s="724"/>
      <c r="V326" s="725"/>
      <c r="W326" s="725"/>
      <c r="X326" s="723"/>
      <c r="Y326" s="723"/>
      <c r="Z326" s="723"/>
      <c r="AA326" s="726"/>
      <c r="AB326" s="726"/>
      <c r="AC326" s="170"/>
      <c r="AD326" s="586"/>
      <c r="AE326" s="586"/>
      <c r="AF326" s="170"/>
      <c r="AG326" s="170"/>
      <c r="AH326" s="170"/>
      <c r="AI326" s="170"/>
      <c r="AJ326" s="170"/>
      <c r="AK326" s="170"/>
      <c r="AL326" s="170"/>
      <c r="AM326" s="170"/>
      <c r="AN326" s="170"/>
      <c r="AO326" s="170"/>
      <c r="AP326" s="170"/>
      <c r="AQ326" s="170"/>
      <c r="AR326" s="170"/>
      <c r="AS326" s="170"/>
      <c r="AT326" s="170"/>
      <c r="AU326" s="170"/>
      <c r="AV326" s="170"/>
      <c r="AW326" s="828"/>
      <c r="AX326" s="726"/>
    </row>
    <row r="327" spans="1:50" ht="15" x14ac:dyDescent="0.25">
      <c r="A327" s="170"/>
      <c r="B327" s="719"/>
      <c r="C327" s="170"/>
      <c r="D327" s="170"/>
      <c r="E327" s="170"/>
      <c r="F327" s="170"/>
      <c r="G327" s="721"/>
      <c r="H327" s="170"/>
      <c r="I327" s="170"/>
      <c r="J327" s="170"/>
      <c r="K327" s="170"/>
      <c r="L327" s="170"/>
      <c r="M327" s="730"/>
      <c r="N327" s="730"/>
      <c r="O327" s="730"/>
      <c r="P327" s="731"/>
      <c r="Q327" s="731"/>
      <c r="R327" s="730"/>
      <c r="S327" s="730"/>
      <c r="T327" s="723"/>
      <c r="U327" s="724"/>
      <c r="V327" s="725"/>
      <c r="W327" s="725"/>
      <c r="X327" s="723"/>
      <c r="Y327" s="723"/>
      <c r="Z327" s="723"/>
      <c r="AA327" s="726"/>
      <c r="AB327" s="726"/>
      <c r="AC327" s="170"/>
      <c r="AD327" s="586"/>
      <c r="AE327" s="586"/>
      <c r="AF327" s="170"/>
      <c r="AG327" s="170"/>
      <c r="AH327" s="170"/>
      <c r="AI327" s="170"/>
      <c r="AJ327" s="170"/>
      <c r="AK327" s="170"/>
      <c r="AL327" s="170"/>
      <c r="AM327" s="170"/>
      <c r="AN327" s="170"/>
      <c r="AO327" s="170"/>
      <c r="AP327" s="170"/>
      <c r="AQ327" s="170"/>
      <c r="AR327" s="170"/>
      <c r="AS327" s="170"/>
      <c r="AT327" s="170"/>
      <c r="AU327" s="170"/>
      <c r="AV327" s="170"/>
      <c r="AW327" s="828"/>
      <c r="AX327" s="726"/>
    </row>
    <row r="328" spans="1:50" ht="15" x14ac:dyDescent="0.25">
      <c r="A328" s="170"/>
      <c r="B328" s="719"/>
      <c r="C328" s="170"/>
      <c r="D328" s="170"/>
      <c r="E328" s="170"/>
      <c r="F328" s="170"/>
      <c r="G328" s="721"/>
      <c r="H328" s="170"/>
      <c r="I328" s="170"/>
      <c r="J328" s="170"/>
      <c r="K328" s="170"/>
      <c r="L328" s="170"/>
      <c r="M328" s="730"/>
      <c r="N328" s="730"/>
      <c r="O328" s="730"/>
      <c r="P328" s="731"/>
      <c r="Q328" s="731"/>
      <c r="R328" s="730"/>
      <c r="S328" s="730"/>
      <c r="T328" s="723"/>
      <c r="U328" s="724"/>
      <c r="V328" s="725"/>
      <c r="W328" s="725"/>
      <c r="X328" s="723"/>
      <c r="Y328" s="723"/>
      <c r="Z328" s="723"/>
      <c r="AA328" s="726"/>
      <c r="AB328" s="726"/>
      <c r="AC328" s="170"/>
      <c r="AD328" s="586"/>
      <c r="AE328" s="586"/>
      <c r="AF328" s="170"/>
      <c r="AG328" s="170"/>
      <c r="AH328" s="170"/>
      <c r="AI328" s="170"/>
      <c r="AJ328" s="170"/>
      <c r="AK328" s="170"/>
      <c r="AL328" s="170"/>
      <c r="AM328" s="170"/>
      <c r="AN328" s="170"/>
      <c r="AO328" s="170"/>
      <c r="AP328" s="170"/>
      <c r="AQ328" s="170"/>
      <c r="AR328" s="170"/>
      <c r="AS328" s="170"/>
      <c r="AT328" s="170"/>
      <c r="AU328" s="170"/>
      <c r="AV328" s="170"/>
      <c r="AW328" s="828"/>
      <c r="AX328" s="726"/>
    </row>
    <row r="329" spans="1:50" ht="15" x14ac:dyDescent="0.25">
      <c r="A329" s="170"/>
      <c r="B329" s="719"/>
      <c r="C329" s="170"/>
      <c r="D329" s="170"/>
      <c r="E329" s="170"/>
      <c r="F329" s="170"/>
      <c r="G329" s="721"/>
      <c r="H329" s="170"/>
      <c r="I329" s="170"/>
      <c r="J329" s="170"/>
      <c r="K329" s="170"/>
      <c r="L329" s="170"/>
      <c r="M329" s="730"/>
      <c r="N329" s="730"/>
      <c r="O329" s="730"/>
      <c r="P329" s="731"/>
      <c r="Q329" s="731"/>
      <c r="R329" s="730"/>
      <c r="S329" s="730"/>
      <c r="T329" s="723"/>
      <c r="U329" s="724"/>
      <c r="V329" s="725"/>
      <c r="W329" s="725"/>
      <c r="X329" s="723"/>
      <c r="Y329" s="723"/>
      <c r="Z329" s="723"/>
      <c r="AA329" s="726"/>
      <c r="AB329" s="726"/>
      <c r="AC329" s="170"/>
      <c r="AD329" s="586"/>
      <c r="AE329" s="586"/>
      <c r="AF329" s="170"/>
      <c r="AG329" s="170"/>
      <c r="AH329" s="170"/>
      <c r="AI329" s="170"/>
      <c r="AJ329" s="170"/>
      <c r="AK329" s="170"/>
      <c r="AL329" s="170"/>
      <c r="AM329" s="170"/>
      <c r="AN329" s="170"/>
      <c r="AO329" s="170"/>
      <c r="AP329" s="170"/>
      <c r="AQ329" s="170"/>
      <c r="AR329" s="170"/>
      <c r="AS329" s="170"/>
      <c r="AT329" s="170"/>
      <c r="AU329" s="170"/>
      <c r="AV329" s="170"/>
      <c r="AW329" s="828"/>
      <c r="AX329" s="726"/>
    </row>
    <row r="330" spans="1:50" ht="15" x14ac:dyDescent="0.25">
      <c r="A330" s="170"/>
      <c r="B330" s="719"/>
      <c r="C330" s="170"/>
      <c r="D330" s="170"/>
      <c r="E330" s="170"/>
      <c r="F330" s="170"/>
      <c r="G330" s="721"/>
      <c r="H330" s="170"/>
      <c r="I330" s="170"/>
      <c r="J330" s="170"/>
      <c r="K330" s="170"/>
      <c r="L330" s="170"/>
      <c r="M330" s="730"/>
      <c r="N330" s="730"/>
      <c r="O330" s="730"/>
      <c r="P330" s="731"/>
      <c r="Q330" s="731"/>
      <c r="R330" s="730"/>
      <c r="S330" s="730"/>
      <c r="T330" s="723"/>
      <c r="U330" s="724"/>
      <c r="V330" s="725"/>
      <c r="W330" s="725"/>
      <c r="X330" s="723"/>
      <c r="Y330" s="723"/>
      <c r="Z330" s="723"/>
      <c r="AA330" s="726"/>
      <c r="AB330" s="726"/>
      <c r="AC330" s="170"/>
      <c r="AD330" s="586"/>
      <c r="AE330" s="586"/>
      <c r="AF330" s="170"/>
      <c r="AG330" s="170"/>
      <c r="AH330" s="170"/>
      <c r="AI330" s="170"/>
      <c r="AJ330" s="170"/>
      <c r="AK330" s="170"/>
      <c r="AL330" s="170"/>
      <c r="AM330" s="170"/>
      <c r="AN330" s="170"/>
      <c r="AO330" s="170"/>
      <c r="AP330" s="170"/>
      <c r="AQ330" s="170"/>
      <c r="AR330" s="170"/>
      <c r="AS330" s="170"/>
      <c r="AT330" s="170"/>
      <c r="AU330" s="170"/>
      <c r="AV330" s="170"/>
      <c r="AW330" s="828"/>
      <c r="AX330" s="726"/>
    </row>
    <row r="331" spans="1:50" ht="15" x14ac:dyDescent="0.25">
      <c r="A331" s="170"/>
      <c r="B331" s="719"/>
      <c r="C331" s="170"/>
      <c r="D331" s="170"/>
      <c r="E331" s="170"/>
      <c r="F331" s="170"/>
      <c r="G331" s="721"/>
      <c r="H331" s="170"/>
      <c r="I331" s="170"/>
      <c r="J331" s="170"/>
      <c r="K331" s="170"/>
      <c r="L331" s="170"/>
      <c r="M331" s="730"/>
      <c r="N331" s="730"/>
      <c r="O331" s="730"/>
      <c r="P331" s="731"/>
      <c r="Q331" s="731"/>
      <c r="R331" s="730"/>
      <c r="S331" s="730"/>
      <c r="T331" s="723"/>
      <c r="U331" s="724"/>
      <c r="V331" s="725"/>
      <c r="W331" s="725"/>
      <c r="X331" s="723"/>
      <c r="Y331" s="723"/>
      <c r="Z331" s="723"/>
      <c r="AA331" s="726"/>
      <c r="AB331" s="726"/>
      <c r="AC331" s="170"/>
      <c r="AD331" s="586"/>
      <c r="AE331" s="586"/>
      <c r="AF331" s="170"/>
      <c r="AG331" s="170"/>
      <c r="AH331" s="170"/>
      <c r="AI331" s="170"/>
      <c r="AJ331" s="170"/>
      <c r="AK331" s="170"/>
      <c r="AL331" s="170"/>
      <c r="AM331" s="170"/>
      <c r="AN331" s="170"/>
      <c r="AO331" s="170"/>
      <c r="AP331" s="170"/>
      <c r="AQ331" s="170"/>
      <c r="AR331" s="170"/>
      <c r="AS331" s="170"/>
      <c r="AT331" s="170"/>
      <c r="AU331" s="170"/>
      <c r="AV331" s="170"/>
      <c r="AW331" s="828"/>
      <c r="AX331" s="726"/>
    </row>
    <row r="332" spans="1:50" ht="15" x14ac:dyDescent="0.25">
      <c r="A332" s="170"/>
      <c r="B332" s="719"/>
      <c r="C332" s="170"/>
      <c r="D332" s="170"/>
      <c r="E332" s="170"/>
      <c r="F332" s="170"/>
      <c r="G332" s="721"/>
      <c r="H332" s="170"/>
      <c r="I332" s="170"/>
      <c r="J332" s="170"/>
      <c r="K332" s="170"/>
      <c r="L332" s="170"/>
      <c r="M332" s="730"/>
      <c r="N332" s="730"/>
      <c r="O332" s="730"/>
      <c r="P332" s="731"/>
      <c r="Q332" s="731"/>
      <c r="R332" s="730"/>
      <c r="S332" s="730"/>
      <c r="T332" s="723"/>
      <c r="U332" s="724"/>
      <c r="V332" s="725"/>
      <c r="W332" s="725"/>
      <c r="X332" s="723"/>
      <c r="Y332" s="723"/>
      <c r="Z332" s="723"/>
      <c r="AA332" s="726"/>
      <c r="AB332" s="726"/>
      <c r="AC332" s="170"/>
      <c r="AD332" s="586"/>
      <c r="AE332" s="586"/>
      <c r="AF332" s="170"/>
      <c r="AG332" s="170"/>
      <c r="AH332" s="170"/>
      <c r="AI332" s="170"/>
      <c r="AJ332" s="170"/>
      <c r="AK332" s="170"/>
      <c r="AL332" s="170"/>
      <c r="AM332" s="170"/>
      <c r="AN332" s="170"/>
      <c r="AO332" s="170"/>
      <c r="AP332" s="170"/>
      <c r="AQ332" s="170"/>
      <c r="AR332" s="170"/>
      <c r="AS332" s="170"/>
      <c r="AT332" s="170"/>
      <c r="AU332" s="170"/>
      <c r="AV332" s="170"/>
      <c r="AW332" s="828"/>
      <c r="AX332" s="726"/>
    </row>
    <row r="333" spans="1:50" ht="15" x14ac:dyDescent="0.25">
      <c r="A333" s="170"/>
      <c r="B333" s="719"/>
      <c r="C333" s="170"/>
      <c r="D333" s="170"/>
      <c r="E333" s="170"/>
      <c r="F333" s="170"/>
      <c r="G333" s="721"/>
      <c r="H333" s="170"/>
      <c r="I333" s="170"/>
      <c r="J333" s="170"/>
      <c r="K333" s="170"/>
      <c r="L333" s="170"/>
      <c r="M333" s="730"/>
      <c r="N333" s="730"/>
      <c r="O333" s="730"/>
      <c r="P333" s="731"/>
      <c r="Q333" s="731"/>
      <c r="R333" s="730"/>
      <c r="S333" s="730"/>
      <c r="T333" s="723"/>
      <c r="U333" s="724"/>
      <c r="V333" s="725"/>
      <c r="W333" s="725"/>
      <c r="X333" s="723"/>
      <c r="Y333" s="723"/>
      <c r="Z333" s="723"/>
      <c r="AA333" s="726"/>
      <c r="AB333" s="726"/>
      <c r="AC333" s="170"/>
      <c r="AD333" s="586"/>
      <c r="AE333" s="586"/>
      <c r="AF333" s="170"/>
      <c r="AG333" s="170"/>
      <c r="AH333" s="170"/>
      <c r="AI333" s="170"/>
      <c r="AJ333" s="170"/>
      <c r="AK333" s="170"/>
      <c r="AL333" s="170"/>
      <c r="AM333" s="170"/>
      <c r="AN333" s="170"/>
      <c r="AO333" s="170"/>
      <c r="AP333" s="170"/>
      <c r="AQ333" s="170"/>
      <c r="AR333" s="170"/>
      <c r="AS333" s="170"/>
      <c r="AT333" s="170"/>
      <c r="AU333" s="170"/>
      <c r="AV333" s="170"/>
      <c r="AW333" s="828"/>
      <c r="AX333" s="726"/>
    </row>
    <row r="334" spans="1:50" ht="15" x14ac:dyDescent="0.25">
      <c r="A334" s="170"/>
      <c r="B334" s="719"/>
      <c r="C334" s="170"/>
      <c r="D334" s="170"/>
      <c r="E334" s="170"/>
      <c r="F334" s="170"/>
      <c r="G334" s="721"/>
      <c r="H334" s="170"/>
      <c r="I334" s="170"/>
      <c r="J334" s="170"/>
      <c r="K334" s="170"/>
      <c r="L334" s="170"/>
      <c r="M334" s="730"/>
      <c r="N334" s="730"/>
      <c r="O334" s="730"/>
      <c r="P334" s="731"/>
      <c r="Q334" s="731"/>
      <c r="R334" s="730"/>
      <c r="S334" s="730"/>
      <c r="T334" s="723"/>
      <c r="U334" s="724"/>
      <c r="V334" s="725"/>
      <c r="W334" s="725"/>
      <c r="X334" s="723"/>
      <c r="Y334" s="723"/>
      <c r="Z334" s="723"/>
      <c r="AA334" s="726"/>
      <c r="AB334" s="726"/>
      <c r="AC334" s="170"/>
      <c r="AD334" s="586"/>
      <c r="AE334" s="586"/>
      <c r="AF334" s="170"/>
      <c r="AG334" s="170"/>
      <c r="AH334" s="170"/>
      <c r="AI334" s="170"/>
      <c r="AJ334" s="170"/>
      <c r="AK334" s="170"/>
      <c r="AL334" s="170"/>
      <c r="AM334" s="170"/>
      <c r="AN334" s="170"/>
      <c r="AO334" s="170"/>
      <c r="AP334" s="170"/>
      <c r="AQ334" s="170"/>
      <c r="AR334" s="170"/>
      <c r="AS334" s="170"/>
      <c r="AT334" s="170"/>
      <c r="AU334" s="170"/>
      <c r="AV334" s="170"/>
      <c r="AW334" s="828"/>
      <c r="AX334" s="726"/>
    </row>
    <row r="335" spans="1:50" ht="15" x14ac:dyDescent="0.25">
      <c r="A335" s="170"/>
      <c r="B335" s="719"/>
      <c r="C335" s="170"/>
      <c r="D335" s="170"/>
      <c r="E335" s="170"/>
      <c r="F335" s="170"/>
      <c r="G335" s="721"/>
      <c r="H335" s="170"/>
      <c r="I335" s="170"/>
      <c r="J335" s="170"/>
      <c r="K335" s="170"/>
      <c r="L335" s="170"/>
      <c r="M335" s="730"/>
      <c r="N335" s="730"/>
      <c r="O335" s="730"/>
      <c r="P335" s="731"/>
      <c r="Q335" s="731"/>
      <c r="R335" s="730"/>
      <c r="S335" s="730"/>
      <c r="T335" s="723"/>
      <c r="U335" s="724"/>
      <c r="V335" s="725"/>
      <c r="W335" s="725"/>
      <c r="X335" s="723"/>
      <c r="Y335" s="723"/>
      <c r="Z335" s="723"/>
      <c r="AA335" s="726"/>
      <c r="AB335" s="726"/>
      <c r="AC335" s="170"/>
      <c r="AD335" s="586"/>
      <c r="AE335" s="586"/>
      <c r="AF335" s="170"/>
      <c r="AG335" s="170"/>
      <c r="AH335" s="170"/>
      <c r="AI335" s="170"/>
      <c r="AJ335" s="170"/>
      <c r="AK335" s="170"/>
      <c r="AL335" s="170"/>
      <c r="AM335" s="170"/>
      <c r="AN335" s="170"/>
      <c r="AO335" s="170"/>
      <c r="AP335" s="170"/>
      <c r="AQ335" s="170"/>
      <c r="AR335" s="170"/>
      <c r="AS335" s="170"/>
      <c r="AT335" s="170"/>
      <c r="AU335" s="170"/>
      <c r="AV335" s="170"/>
      <c r="AW335" s="828"/>
      <c r="AX335" s="726"/>
    </row>
    <row r="336" spans="1:50" ht="15" x14ac:dyDescent="0.25">
      <c r="A336" s="170"/>
      <c r="B336" s="719"/>
      <c r="C336" s="170"/>
      <c r="D336" s="170"/>
      <c r="E336" s="170"/>
      <c r="F336" s="170"/>
      <c r="G336" s="721"/>
      <c r="H336" s="170"/>
      <c r="I336" s="170"/>
      <c r="J336" s="170"/>
      <c r="K336" s="170"/>
      <c r="L336" s="170"/>
      <c r="M336" s="730"/>
      <c r="N336" s="730"/>
      <c r="O336" s="730"/>
      <c r="P336" s="731"/>
      <c r="Q336" s="731"/>
      <c r="R336" s="730"/>
      <c r="S336" s="730"/>
      <c r="T336" s="723"/>
      <c r="U336" s="724"/>
      <c r="V336" s="725"/>
      <c r="W336" s="725"/>
      <c r="X336" s="723"/>
      <c r="Y336" s="723"/>
      <c r="Z336" s="723"/>
      <c r="AA336" s="726"/>
      <c r="AB336" s="726"/>
      <c r="AC336" s="170"/>
      <c r="AD336" s="586"/>
      <c r="AE336" s="586"/>
      <c r="AF336" s="170"/>
      <c r="AG336" s="170"/>
      <c r="AH336" s="170"/>
      <c r="AI336" s="170"/>
      <c r="AJ336" s="170"/>
      <c r="AK336" s="170"/>
      <c r="AL336" s="170"/>
      <c r="AM336" s="170"/>
      <c r="AN336" s="170"/>
      <c r="AO336" s="170"/>
      <c r="AP336" s="170"/>
      <c r="AQ336" s="170"/>
      <c r="AR336" s="170"/>
      <c r="AS336" s="170"/>
      <c r="AT336" s="170"/>
      <c r="AU336" s="170"/>
      <c r="AV336" s="170"/>
      <c r="AW336" s="828"/>
      <c r="AX336" s="726"/>
    </row>
    <row r="337" spans="1:50" ht="15" x14ac:dyDescent="0.25">
      <c r="A337" s="170"/>
      <c r="B337" s="719"/>
      <c r="C337" s="170"/>
      <c r="D337" s="170"/>
      <c r="E337" s="170"/>
      <c r="F337" s="170"/>
      <c r="G337" s="721"/>
      <c r="H337" s="170"/>
      <c r="I337" s="170"/>
      <c r="J337" s="170"/>
      <c r="K337" s="170"/>
      <c r="L337" s="170"/>
      <c r="M337" s="730"/>
      <c r="N337" s="730"/>
      <c r="O337" s="730"/>
      <c r="P337" s="731"/>
      <c r="Q337" s="731"/>
      <c r="R337" s="730"/>
      <c r="S337" s="730"/>
      <c r="T337" s="723"/>
      <c r="U337" s="724"/>
      <c r="V337" s="725"/>
      <c r="W337" s="725"/>
      <c r="X337" s="723"/>
      <c r="Y337" s="723"/>
      <c r="Z337" s="723"/>
      <c r="AA337" s="726"/>
      <c r="AB337" s="726"/>
      <c r="AC337" s="170"/>
      <c r="AD337" s="586"/>
      <c r="AE337" s="586"/>
      <c r="AF337" s="170"/>
      <c r="AG337" s="170"/>
      <c r="AH337" s="170"/>
      <c r="AI337" s="170"/>
      <c r="AJ337" s="170"/>
      <c r="AK337" s="170"/>
      <c r="AL337" s="170"/>
      <c r="AM337" s="170"/>
      <c r="AN337" s="170"/>
      <c r="AO337" s="170"/>
      <c r="AP337" s="170"/>
      <c r="AQ337" s="170"/>
      <c r="AR337" s="170"/>
      <c r="AS337" s="170"/>
      <c r="AT337" s="170"/>
      <c r="AU337" s="170"/>
      <c r="AV337" s="170"/>
      <c r="AW337" s="828"/>
      <c r="AX337" s="726"/>
    </row>
    <row r="338" spans="1:50" ht="15" x14ac:dyDescent="0.25">
      <c r="A338" s="170"/>
      <c r="B338" s="719"/>
      <c r="C338" s="170"/>
      <c r="D338" s="170"/>
      <c r="E338" s="170"/>
      <c r="F338" s="170"/>
      <c r="G338" s="721"/>
      <c r="H338" s="170"/>
      <c r="I338" s="170"/>
      <c r="J338" s="170"/>
      <c r="K338" s="170"/>
      <c r="L338" s="170"/>
      <c r="M338" s="730"/>
      <c r="N338" s="730"/>
      <c r="O338" s="730"/>
      <c r="P338" s="731"/>
      <c r="Q338" s="731"/>
      <c r="R338" s="730"/>
      <c r="S338" s="730"/>
      <c r="T338" s="723"/>
      <c r="U338" s="724"/>
      <c r="V338" s="725"/>
      <c r="W338" s="725"/>
      <c r="X338" s="723"/>
      <c r="Y338" s="723"/>
      <c r="Z338" s="723"/>
      <c r="AA338" s="726"/>
      <c r="AB338" s="726"/>
      <c r="AC338" s="170"/>
      <c r="AD338" s="586"/>
      <c r="AE338" s="586"/>
      <c r="AF338" s="170"/>
      <c r="AG338" s="170"/>
      <c r="AH338" s="170"/>
      <c r="AI338" s="170"/>
      <c r="AJ338" s="170"/>
      <c r="AK338" s="170"/>
      <c r="AL338" s="170"/>
      <c r="AM338" s="170"/>
      <c r="AN338" s="170"/>
      <c r="AO338" s="170"/>
      <c r="AP338" s="170"/>
      <c r="AQ338" s="170"/>
      <c r="AR338" s="170"/>
      <c r="AS338" s="170"/>
      <c r="AT338" s="170"/>
      <c r="AU338" s="170"/>
      <c r="AV338" s="170"/>
      <c r="AW338" s="828"/>
      <c r="AX338" s="726"/>
    </row>
    <row r="339" spans="1:50" ht="15" x14ac:dyDescent="0.25">
      <c r="A339" s="170"/>
      <c r="B339" s="719"/>
      <c r="C339" s="170"/>
      <c r="D339" s="170"/>
      <c r="E339" s="170"/>
      <c r="F339" s="170"/>
      <c r="G339" s="721"/>
      <c r="H339" s="170"/>
      <c r="I339" s="170"/>
      <c r="J339" s="170"/>
      <c r="K339" s="170"/>
      <c r="L339" s="170"/>
      <c r="M339" s="730"/>
      <c r="N339" s="730"/>
      <c r="O339" s="730"/>
      <c r="P339" s="731"/>
      <c r="Q339" s="731"/>
      <c r="R339" s="730"/>
      <c r="S339" s="730"/>
      <c r="T339" s="723"/>
      <c r="U339" s="724"/>
      <c r="V339" s="725"/>
      <c r="W339" s="725"/>
      <c r="X339" s="723"/>
      <c r="Y339" s="723"/>
      <c r="Z339" s="723"/>
      <c r="AA339" s="726"/>
      <c r="AB339" s="726"/>
      <c r="AC339" s="170"/>
      <c r="AD339" s="586"/>
      <c r="AE339" s="586"/>
      <c r="AF339" s="170"/>
      <c r="AG339" s="170"/>
      <c r="AH339" s="170"/>
      <c r="AI339" s="170"/>
      <c r="AJ339" s="170"/>
      <c r="AK339" s="170"/>
      <c r="AL339" s="170"/>
      <c r="AM339" s="170"/>
      <c r="AN339" s="170"/>
      <c r="AO339" s="170"/>
      <c r="AP339" s="170"/>
      <c r="AQ339" s="170"/>
      <c r="AR339" s="170"/>
      <c r="AS339" s="170"/>
      <c r="AT339" s="170"/>
      <c r="AU339" s="170"/>
      <c r="AV339" s="170"/>
      <c r="AW339" s="828"/>
      <c r="AX339" s="726"/>
    </row>
    <row r="340" spans="1:50" ht="15" x14ac:dyDescent="0.25">
      <c r="A340" s="170"/>
      <c r="B340" s="719"/>
      <c r="C340" s="170"/>
      <c r="D340" s="170"/>
      <c r="E340" s="170"/>
      <c r="F340" s="170"/>
      <c r="G340" s="721"/>
      <c r="H340" s="170"/>
      <c r="I340" s="170"/>
      <c r="J340" s="170"/>
      <c r="K340" s="170"/>
      <c r="L340" s="170"/>
      <c r="M340" s="730"/>
      <c r="N340" s="730"/>
      <c r="O340" s="730"/>
      <c r="P340" s="731"/>
      <c r="Q340" s="731"/>
      <c r="R340" s="730"/>
      <c r="S340" s="730"/>
      <c r="T340" s="723"/>
      <c r="U340" s="724"/>
      <c r="V340" s="725"/>
      <c r="W340" s="725"/>
      <c r="X340" s="723"/>
      <c r="Y340" s="723"/>
      <c r="Z340" s="723"/>
      <c r="AA340" s="726"/>
      <c r="AB340" s="726"/>
      <c r="AC340" s="170"/>
      <c r="AD340" s="586"/>
      <c r="AE340" s="586"/>
      <c r="AF340" s="170"/>
      <c r="AG340" s="170"/>
      <c r="AH340" s="170"/>
      <c r="AI340" s="170"/>
      <c r="AJ340" s="170"/>
      <c r="AK340" s="170"/>
      <c r="AL340" s="170"/>
      <c r="AM340" s="170"/>
      <c r="AN340" s="170"/>
      <c r="AO340" s="170"/>
      <c r="AP340" s="170"/>
      <c r="AQ340" s="170"/>
      <c r="AR340" s="170"/>
      <c r="AS340" s="170"/>
      <c r="AT340" s="170"/>
      <c r="AU340" s="170"/>
      <c r="AV340" s="170"/>
      <c r="AW340" s="828"/>
      <c r="AX340" s="726"/>
    </row>
    <row r="341" spans="1:50" ht="15" x14ac:dyDescent="0.25">
      <c r="A341" s="170"/>
      <c r="B341" s="719"/>
      <c r="C341" s="170"/>
      <c r="D341" s="170"/>
      <c r="E341" s="170"/>
      <c r="F341" s="170"/>
      <c r="G341" s="721"/>
      <c r="H341" s="170"/>
      <c r="I341" s="170"/>
      <c r="J341" s="170"/>
      <c r="K341" s="170"/>
      <c r="L341" s="170"/>
      <c r="M341" s="730"/>
      <c r="N341" s="730"/>
      <c r="O341" s="730"/>
      <c r="P341" s="731"/>
      <c r="Q341" s="731"/>
      <c r="R341" s="730"/>
      <c r="S341" s="730"/>
      <c r="T341" s="723"/>
      <c r="U341" s="724"/>
      <c r="V341" s="725"/>
      <c r="W341" s="725"/>
      <c r="X341" s="723"/>
      <c r="Y341" s="723"/>
      <c r="Z341" s="723"/>
      <c r="AA341" s="726"/>
      <c r="AB341" s="726"/>
      <c r="AC341" s="170"/>
      <c r="AD341" s="586"/>
      <c r="AE341" s="586"/>
      <c r="AF341" s="170"/>
      <c r="AG341" s="170"/>
      <c r="AH341" s="170"/>
      <c r="AI341" s="170"/>
      <c r="AJ341" s="170"/>
      <c r="AK341" s="170"/>
      <c r="AL341" s="170"/>
      <c r="AM341" s="170"/>
      <c r="AN341" s="170"/>
      <c r="AO341" s="170"/>
      <c r="AP341" s="170"/>
      <c r="AQ341" s="170"/>
      <c r="AR341" s="170"/>
      <c r="AS341" s="170"/>
      <c r="AT341" s="170"/>
      <c r="AU341" s="170"/>
      <c r="AV341" s="170"/>
      <c r="AW341" s="828"/>
      <c r="AX341" s="726"/>
    </row>
    <row r="342" spans="1:50" ht="15" x14ac:dyDescent="0.25">
      <c r="A342" s="170"/>
      <c r="B342" s="719"/>
      <c r="C342" s="170"/>
      <c r="D342" s="170"/>
      <c r="E342" s="170"/>
      <c r="F342" s="170"/>
      <c r="G342" s="721"/>
      <c r="H342" s="170"/>
      <c r="I342" s="170"/>
      <c r="J342" s="170"/>
      <c r="K342" s="170"/>
      <c r="L342" s="170"/>
      <c r="M342" s="730"/>
      <c r="N342" s="730"/>
      <c r="O342" s="730"/>
      <c r="P342" s="731"/>
      <c r="Q342" s="731"/>
      <c r="R342" s="730"/>
      <c r="S342" s="730"/>
      <c r="T342" s="723"/>
      <c r="U342" s="724"/>
      <c r="V342" s="725"/>
      <c r="W342" s="725"/>
      <c r="X342" s="723"/>
      <c r="Y342" s="723"/>
      <c r="Z342" s="723"/>
      <c r="AA342" s="726"/>
      <c r="AB342" s="726"/>
      <c r="AC342" s="170"/>
      <c r="AD342" s="586"/>
      <c r="AE342" s="586"/>
      <c r="AF342" s="170"/>
      <c r="AG342" s="170"/>
      <c r="AH342" s="170"/>
      <c r="AI342" s="170"/>
      <c r="AJ342" s="170"/>
      <c r="AK342" s="170"/>
      <c r="AL342" s="170"/>
      <c r="AM342" s="170"/>
      <c r="AN342" s="170"/>
      <c r="AO342" s="170"/>
      <c r="AP342" s="170"/>
      <c r="AQ342" s="170"/>
      <c r="AR342" s="170"/>
      <c r="AS342" s="170"/>
      <c r="AT342" s="170"/>
      <c r="AU342" s="170"/>
      <c r="AV342" s="170"/>
      <c r="AW342" s="828"/>
      <c r="AX342" s="726"/>
    </row>
    <row r="343" spans="1:50" ht="15" x14ac:dyDescent="0.25">
      <c r="A343" s="170"/>
      <c r="B343" s="719"/>
      <c r="C343" s="170"/>
      <c r="D343" s="170"/>
      <c r="E343" s="170"/>
      <c r="F343" s="170"/>
      <c r="G343" s="721"/>
      <c r="H343" s="170"/>
      <c r="I343" s="170"/>
      <c r="J343" s="170"/>
      <c r="K343" s="170"/>
      <c r="L343" s="170"/>
      <c r="M343" s="730"/>
      <c r="N343" s="730"/>
      <c r="O343" s="730"/>
      <c r="P343" s="731"/>
      <c r="Q343" s="731"/>
      <c r="R343" s="730"/>
      <c r="S343" s="730"/>
      <c r="T343" s="723"/>
      <c r="U343" s="724"/>
      <c r="V343" s="725"/>
      <c r="W343" s="725"/>
      <c r="X343" s="723"/>
      <c r="Y343" s="723"/>
      <c r="Z343" s="723"/>
      <c r="AA343" s="726"/>
      <c r="AB343" s="726"/>
      <c r="AC343" s="170"/>
      <c r="AD343" s="586"/>
      <c r="AE343" s="586"/>
      <c r="AF343" s="170"/>
      <c r="AG343" s="170"/>
      <c r="AH343" s="170"/>
      <c r="AI343" s="170"/>
      <c r="AJ343" s="170"/>
      <c r="AK343" s="170"/>
      <c r="AL343" s="170"/>
      <c r="AM343" s="170"/>
      <c r="AN343" s="170"/>
      <c r="AO343" s="170"/>
      <c r="AP343" s="170"/>
      <c r="AQ343" s="170"/>
      <c r="AR343" s="170"/>
      <c r="AS343" s="170"/>
      <c r="AT343" s="170"/>
      <c r="AU343" s="170"/>
      <c r="AV343" s="170"/>
      <c r="AW343" s="828"/>
      <c r="AX343" s="726"/>
    </row>
    <row r="344" spans="1:50" ht="15" x14ac:dyDescent="0.25">
      <c r="A344" s="170"/>
      <c r="B344" s="719"/>
      <c r="C344" s="170"/>
      <c r="D344" s="170"/>
      <c r="E344" s="170"/>
      <c r="F344" s="170"/>
      <c r="G344" s="721"/>
      <c r="H344" s="170"/>
      <c r="I344" s="170"/>
      <c r="J344" s="170"/>
      <c r="K344" s="170"/>
      <c r="L344" s="170"/>
      <c r="M344" s="730"/>
      <c r="N344" s="730"/>
      <c r="O344" s="730"/>
      <c r="P344" s="731"/>
      <c r="Q344" s="731"/>
      <c r="R344" s="730"/>
      <c r="S344" s="730"/>
      <c r="T344" s="723"/>
      <c r="U344" s="724"/>
      <c r="V344" s="725"/>
      <c r="W344" s="725"/>
      <c r="X344" s="723"/>
      <c r="Y344" s="723"/>
      <c r="Z344" s="723"/>
      <c r="AA344" s="726"/>
      <c r="AB344" s="726"/>
      <c r="AC344" s="170"/>
      <c r="AD344" s="586"/>
      <c r="AE344" s="586"/>
      <c r="AF344" s="170"/>
      <c r="AG344" s="170"/>
      <c r="AH344" s="170"/>
      <c r="AI344" s="170"/>
      <c r="AJ344" s="170"/>
      <c r="AK344" s="170"/>
      <c r="AL344" s="170"/>
      <c r="AM344" s="170"/>
      <c r="AN344" s="170"/>
      <c r="AO344" s="170"/>
      <c r="AP344" s="170"/>
      <c r="AQ344" s="170"/>
      <c r="AR344" s="170"/>
      <c r="AS344" s="170"/>
      <c r="AT344" s="170"/>
      <c r="AU344" s="170"/>
      <c r="AV344" s="170"/>
      <c r="AW344" s="828"/>
      <c r="AX344" s="726"/>
    </row>
    <row r="345" spans="1:50" ht="15" x14ac:dyDescent="0.25">
      <c r="A345" s="170"/>
      <c r="B345" s="719"/>
      <c r="C345" s="170"/>
      <c r="D345" s="170"/>
      <c r="E345" s="170"/>
      <c r="F345" s="170"/>
      <c r="G345" s="721"/>
      <c r="H345" s="170"/>
      <c r="I345" s="170"/>
      <c r="J345" s="170"/>
      <c r="K345" s="170"/>
      <c r="L345" s="170"/>
      <c r="M345" s="730"/>
      <c r="N345" s="730"/>
      <c r="O345" s="730"/>
      <c r="P345" s="731"/>
      <c r="Q345" s="731"/>
      <c r="R345" s="730"/>
      <c r="S345" s="730"/>
      <c r="T345" s="723"/>
      <c r="U345" s="724"/>
      <c r="V345" s="725"/>
      <c r="W345" s="725"/>
      <c r="X345" s="723"/>
      <c r="Y345" s="723"/>
      <c r="Z345" s="723"/>
      <c r="AA345" s="726"/>
      <c r="AB345" s="726"/>
      <c r="AC345" s="170"/>
      <c r="AD345" s="586"/>
      <c r="AE345" s="586"/>
      <c r="AF345" s="170"/>
      <c r="AG345" s="170"/>
      <c r="AH345" s="170"/>
      <c r="AI345" s="170"/>
      <c r="AJ345" s="170"/>
      <c r="AK345" s="170"/>
      <c r="AL345" s="170"/>
      <c r="AM345" s="170"/>
      <c r="AN345" s="170"/>
      <c r="AO345" s="170"/>
      <c r="AP345" s="170"/>
      <c r="AQ345" s="170"/>
      <c r="AR345" s="170"/>
      <c r="AS345" s="170"/>
      <c r="AT345" s="170"/>
      <c r="AU345" s="170"/>
      <c r="AV345" s="170"/>
      <c r="AW345" s="828"/>
      <c r="AX345" s="726"/>
    </row>
    <row r="346" spans="1:50" ht="15" x14ac:dyDescent="0.25">
      <c r="A346" s="170"/>
      <c r="B346" s="719"/>
      <c r="C346" s="170"/>
      <c r="D346" s="170"/>
      <c r="E346" s="170"/>
      <c r="F346" s="170"/>
      <c r="G346" s="721"/>
      <c r="H346" s="170"/>
      <c r="I346" s="170"/>
      <c r="J346" s="170"/>
      <c r="K346" s="170"/>
      <c r="L346" s="170"/>
      <c r="M346" s="730"/>
      <c r="N346" s="730"/>
      <c r="O346" s="730"/>
      <c r="P346" s="731"/>
      <c r="Q346" s="731"/>
      <c r="R346" s="730"/>
      <c r="S346" s="730"/>
      <c r="T346" s="723"/>
      <c r="U346" s="724"/>
      <c r="V346" s="725"/>
      <c r="W346" s="725"/>
      <c r="X346" s="723"/>
      <c r="Y346" s="723"/>
      <c r="Z346" s="723"/>
      <c r="AA346" s="726"/>
      <c r="AB346" s="726"/>
      <c r="AC346" s="170"/>
      <c r="AD346" s="586"/>
      <c r="AE346" s="586"/>
      <c r="AF346" s="170"/>
      <c r="AG346" s="170"/>
      <c r="AH346" s="170"/>
      <c r="AI346" s="170"/>
      <c r="AJ346" s="170"/>
      <c r="AK346" s="170"/>
      <c r="AL346" s="170"/>
      <c r="AM346" s="170"/>
      <c r="AN346" s="170"/>
      <c r="AO346" s="170"/>
      <c r="AP346" s="170"/>
      <c r="AQ346" s="170"/>
      <c r="AR346" s="170"/>
      <c r="AS346" s="170"/>
      <c r="AT346" s="170"/>
      <c r="AU346" s="170"/>
      <c r="AV346" s="170"/>
      <c r="AW346" s="828"/>
      <c r="AX346" s="726"/>
    </row>
    <row r="347" spans="1:50" ht="15" x14ac:dyDescent="0.25">
      <c r="A347" s="170"/>
      <c r="B347" s="719"/>
      <c r="C347" s="170"/>
      <c r="D347" s="170"/>
      <c r="E347" s="170"/>
      <c r="F347" s="170"/>
      <c r="G347" s="721"/>
      <c r="H347" s="170"/>
      <c r="I347" s="170"/>
      <c r="J347" s="170"/>
      <c r="K347" s="170"/>
      <c r="L347" s="170"/>
      <c r="M347" s="730"/>
      <c r="N347" s="730"/>
      <c r="O347" s="730"/>
      <c r="P347" s="731"/>
      <c r="Q347" s="731"/>
      <c r="R347" s="730"/>
      <c r="S347" s="730"/>
      <c r="T347" s="723"/>
      <c r="U347" s="724"/>
      <c r="V347" s="725"/>
      <c r="W347" s="725"/>
      <c r="X347" s="723"/>
      <c r="Y347" s="723"/>
      <c r="Z347" s="723"/>
      <c r="AA347" s="726"/>
      <c r="AB347" s="726"/>
      <c r="AC347" s="170"/>
      <c r="AD347" s="586"/>
      <c r="AE347" s="586"/>
      <c r="AF347" s="170"/>
      <c r="AG347" s="170"/>
      <c r="AH347" s="170"/>
      <c r="AI347" s="170"/>
      <c r="AJ347" s="170"/>
      <c r="AK347" s="170"/>
      <c r="AL347" s="170"/>
      <c r="AM347" s="170"/>
      <c r="AN347" s="170"/>
      <c r="AO347" s="170"/>
      <c r="AP347" s="170"/>
      <c r="AQ347" s="170"/>
      <c r="AR347" s="170"/>
      <c r="AS347" s="170"/>
      <c r="AT347" s="170"/>
      <c r="AU347" s="170"/>
      <c r="AV347" s="170"/>
      <c r="AW347" s="828"/>
      <c r="AX347" s="726"/>
    </row>
    <row r="348" spans="1:50" ht="15" x14ac:dyDescent="0.25">
      <c r="A348" s="170"/>
      <c r="B348" s="719"/>
      <c r="C348" s="170"/>
      <c r="D348" s="170"/>
      <c r="E348" s="170"/>
      <c r="F348" s="170"/>
      <c r="G348" s="721"/>
      <c r="H348" s="170"/>
      <c r="I348" s="170"/>
      <c r="J348" s="170"/>
      <c r="K348" s="170"/>
      <c r="L348" s="170"/>
      <c r="M348" s="730"/>
      <c r="N348" s="730"/>
      <c r="O348" s="730"/>
      <c r="P348" s="731"/>
      <c r="Q348" s="731"/>
      <c r="R348" s="730"/>
      <c r="S348" s="730"/>
      <c r="T348" s="723"/>
      <c r="U348" s="724"/>
      <c r="V348" s="725"/>
      <c r="W348" s="725"/>
      <c r="X348" s="723"/>
      <c r="Y348" s="723"/>
      <c r="Z348" s="723"/>
      <c r="AA348" s="726"/>
      <c r="AB348" s="726"/>
      <c r="AC348" s="170"/>
      <c r="AD348" s="586"/>
      <c r="AE348" s="586"/>
      <c r="AF348" s="170"/>
      <c r="AG348" s="170"/>
      <c r="AH348" s="170"/>
      <c r="AI348" s="170"/>
      <c r="AJ348" s="170"/>
      <c r="AK348" s="170"/>
      <c r="AL348" s="170"/>
      <c r="AM348" s="170"/>
      <c r="AN348" s="170"/>
      <c r="AO348" s="170"/>
      <c r="AP348" s="170"/>
      <c r="AQ348" s="170"/>
      <c r="AR348" s="170"/>
      <c r="AS348" s="170"/>
      <c r="AT348" s="170"/>
      <c r="AU348" s="170"/>
      <c r="AV348" s="170"/>
      <c r="AW348" s="828"/>
      <c r="AX348" s="726"/>
    </row>
    <row r="349" spans="1:50" ht="15" x14ac:dyDescent="0.25">
      <c r="A349" s="170"/>
      <c r="B349" s="719"/>
      <c r="C349" s="170"/>
      <c r="D349" s="170"/>
      <c r="E349" s="170"/>
      <c r="F349" s="170"/>
      <c r="G349" s="721"/>
      <c r="H349" s="170"/>
      <c r="I349" s="170"/>
      <c r="J349" s="170"/>
      <c r="K349" s="170"/>
      <c r="L349" s="170"/>
      <c r="M349" s="730"/>
      <c r="N349" s="730"/>
      <c r="O349" s="730"/>
      <c r="P349" s="731"/>
      <c r="Q349" s="731"/>
      <c r="R349" s="730"/>
      <c r="S349" s="730"/>
      <c r="T349" s="723"/>
      <c r="U349" s="724"/>
      <c r="V349" s="725"/>
      <c r="W349" s="725"/>
      <c r="X349" s="723"/>
      <c r="Y349" s="723"/>
      <c r="Z349" s="723"/>
      <c r="AA349" s="726"/>
      <c r="AB349" s="726"/>
      <c r="AC349" s="170"/>
      <c r="AD349" s="586"/>
      <c r="AE349" s="586"/>
      <c r="AF349" s="170"/>
      <c r="AG349" s="170"/>
      <c r="AH349" s="170"/>
      <c r="AI349" s="170"/>
      <c r="AJ349" s="170"/>
      <c r="AK349" s="170"/>
      <c r="AL349" s="170"/>
      <c r="AM349" s="170"/>
      <c r="AN349" s="170"/>
      <c r="AO349" s="170"/>
      <c r="AP349" s="170"/>
      <c r="AQ349" s="170"/>
      <c r="AR349" s="170"/>
      <c r="AS349" s="170"/>
      <c r="AT349" s="170"/>
      <c r="AU349" s="170"/>
      <c r="AV349" s="170"/>
      <c r="AW349" s="828"/>
      <c r="AX349" s="726"/>
    </row>
    <row r="350" spans="1:50" ht="15" x14ac:dyDescent="0.25">
      <c r="A350" s="170"/>
      <c r="B350" s="719"/>
      <c r="C350" s="170"/>
      <c r="D350" s="170"/>
      <c r="E350" s="170"/>
      <c r="F350" s="170"/>
      <c r="G350" s="721"/>
      <c r="H350" s="170"/>
      <c r="I350" s="170"/>
      <c r="J350" s="170"/>
      <c r="K350" s="170"/>
      <c r="L350" s="170"/>
      <c r="M350" s="730"/>
      <c r="N350" s="730"/>
      <c r="O350" s="730"/>
      <c r="P350" s="731"/>
      <c r="Q350" s="731"/>
      <c r="R350" s="730"/>
      <c r="S350" s="730"/>
      <c r="T350" s="723"/>
      <c r="U350" s="724"/>
      <c r="V350" s="725"/>
      <c r="W350" s="725"/>
      <c r="X350" s="723"/>
      <c r="Y350" s="723"/>
      <c r="Z350" s="723"/>
      <c r="AA350" s="726"/>
      <c r="AB350" s="726"/>
      <c r="AC350" s="170"/>
      <c r="AD350" s="586"/>
      <c r="AE350" s="586"/>
      <c r="AF350" s="170"/>
      <c r="AG350" s="170"/>
      <c r="AH350" s="170"/>
      <c r="AI350" s="170"/>
      <c r="AJ350" s="170"/>
      <c r="AK350" s="170"/>
      <c r="AL350" s="170"/>
      <c r="AM350" s="170"/>
      <c r="AN350" s="170"/>
      <c r="AO350" s="170"/>
      <c r="AP350" s="170"/>
      <c r="AQ350" s="170"/>
      <c r="AR350" s="170"/>
      <c r="AS350" s="170"/>
      <c r="AT350" s="170"/>
      <c r="AU350" s="170"/>
      <c r="AV350" s="170"/>
      <c r="AW350" s="828"/>
      <c r="AX350" s="726"/>
    </row>
    <row r="351" spans="1:50" ht="15" x14ac:dyDescent="0.25">
      <c r="A351" s="170"/>
      <c r="B351" s="719"/>
      <c r="C351" s="170"/>
      <c r="D351" s="170"/>
      <c r="E351" s="170"/>
      <c r="F351" s="170"/>
      <c r="G351" s="721"/>
      <c r="H351" s="170"/>
      <c r="I351" s="170"/>
      <c r="J351" s="170"/>
      <c r="K351" s="170"/>
      <c r="L351" s="170"/>
      <c r="M351" s="730"/>
      <c r="N351" s="730"/>
      <c r="O351" s="730"/>
      <c r="P351" s="731"/>
      <c r="Q351" s="731"/>
      <c r="R351" s="730"/>
      <c r="S351" s="730"/>
      <c r="T351" s="723"/>
      <c r="U351" s="724"/>
      <c r="V351" s="725"/>
      <c r="W351" s="725"/>
      <c r="X351" s="723"/>
      <c r="Y351" s="723"/>
      <c r="Z351" s="723"/>
      <c r="AA351" s="726"/>
      <c r="AB351" s="726"/>
      <c r="AC351" s="170"/>
      <c r="AD351" s="586"/>
      <c r="AE351" s="586"/>
      <c r="AF351" s="170"/>
      <c r="AG351" s="170"/>
      <c r="AH351" s="170"/>
      <c r="AI351" s="170"/>
      <c r="AJ351" s="170"/>
      <c r="AK351" s="170"/>
      <c r="AL351" s="170"/>
      <c r="AM351" s="170"/>
      <c r="AN351" s="170"/>
      <c r="AO351" s="170"/>
      <c r="AP351" s="170"/>
      <c r="AQ351" s="170"/>
      <c r="AR351" s="170"/>
      <c r="AS351" s="170"/>
      <c r="AT351" s="170"/>
      <c r="AU351" s="170"/>
      <c r="AV351" s="170"/>
      <c r="AW351" s="828"/>
      <c r="AX351" s="726"/>
    </row>
    <row r="352" spans="1:50" ht="15" x14ac:dyDescent="0.25">
      <c r="A352" s="170"/>
      <c r="B352" s="719"/>
      <c r="C352" s="170"/>
      <c r="D352" s="170"/>
      <c r="E352" s="170"/>
      <c r="F352" s="170"/>
      <c r="G352" s="721"/>
      <c r="H352" s="170"/>
      <c r="I352" s="170"/>
      <c r="J352" s="170"/>
      <c r="K352" s="170"/>
      <c r="L352" s="170"/>
      <c r="M352" s="730"/>
      <c r="N352" s="730"/>
      <c r="O352" s="730"/>
      <c r="P352" s="731"/>
      <c r="Q352" s="731"/>
      <c r="R352" s="730"/>
      <c r="S352" s="730"/>
      <c r="T352" s="723"/>
      <c r="U352" s="724"/>
      <c r="V352" s="725"/>
      <c r="W352" s="725"/>
      <c r="X352" s="723"/>
      <c r="Y352" s="723"/>
      <c r="Z352" s="723"/>
      <c r="AA352" s="726"/>
      <c r="AB352" s="726"/>
      <c r="AC352" s="170"/>
      <c r="AD352" s="586"/>
      <c r="AE352" s="586"/>
      <c r="AF352" s="170"/>
      <c r="AG352" s="170"/>
      <c r="AH352" s="170"/>
      <c r="AI352" s="170"/>
      <c r="AJ352" s="170"/>
      <c r="AK352" s="170"/>
      <c r="AL352" s="170"/>
      <c r="AM352" s="170"/>
      <c r="AN352" s="170"/>
      <c r="AO352" s="170"/>
      <c r="AP352" s="170"/>
      <c r="AQ352" s="170"/>
      <c r="AR352" s="170"/>
      <c r="AS352" s="170"/>
      <c r="AT352" s="170"/>
      <c r="AU352" s="170"/>
      <c r="AV352" s="170"/>
      <c r="AW352" s="828"/>
      <c r="AX352" s="726"/>
    </row>
    <row r="353" spans="1:50" ht="15" x14ac:dyDescent="0.25">
      <c r="A353" s="170"/>
      <c r="B353" s="719"/>
      <c r="C353" s="170"/>
      <c r="D353" s="170"/>
      <c r="E353" s="170"/>
      <c r="F353" s="170"/>
      <c r="G353" s="721"/>
      <c r="H353" s="170"/>
      <c r="I353" s="170"/>
      <c r="J353" s="170"/>
      <c r="K353" s="170"/>
      <c r="L353" s="170"/>
      <c r="M353" s="730"/>
      <c r="N353" s="730"/>
      <c r="O353" s="730"/>
      <c r="P353" s="731"/>
      <c r="Q353" s="731"/>
      <c r="R353" s="730"/>
      <c r="S353" s="730"/>
      <c r="T353" s="723"/>
      <c r="U353" s="724"/>
      <c r="V353" s="725"/>
      <c r="W353" s="725"/>
      <c r="X353" s="723"/>
      <c r="Y353" s="723"/>
      <c r="Z353" s="723"/>
      <c r="AA353" s="726"/>
      <c r="AB353" s="726"/>
      <c r="AC353" s="170"/>
      <c r="AD353" s="586"/>
      <c r="AE353" s="586"/>
      <c r="AF353" s="170"/>
      <c r="AG353" s="170"/>
      <c r="AH353" s="170"/>
      <c r="AI353" s="170"/>
      <c r="AJ353" s="170"/>
      <c r="AK353" s="170"/>
      <c r="AL353" s="170"/>
      <c r="AM353" s="170"/>
      <c r="AN353" s="170"/>
      <c r="AO353" s="170"/>
      <c r="AP353" s="170"/>
      <c r="AQ353" s="170"/>
      <c r="AR353" s="170"/>
      <c r="AS353" s="170"/>
      <c r="AT353" s="170"/>
      <c r="AU353" s="170"/>
      <c r="AV353" s="170"/>
      <c r="AW353" s="828"/>
      <c r="AX353" s="726"/>
    </row>
    <row r="354" spans="1:50" ht="15" x14ac:dyDescent="0.25">
      <c r="A354" s="170"/>
      <c r="B354" s="719"/>
      <c r="C354" s="170"/>
      <c r="D354" s="170"/>
      <c r="E354" s="170"/>
      <c r="F354" s="170"/>
      <c r="G354" s="721"/>
      <c r="H354" s="170"/>
      <c r="I354" s="170"/>
      <c r="J354" s="170"/>
      <c r="K354" s="170"/>
      <c r="L354" s="170"/>
      <c r="M354" s="730"/>
      <c r="N354" s="730"/>
      <c r="O354" s="730"/>
      <c r="P354" s="731"/>
      <c r="Q354" s="731"/>
      <c r="R354" s="730"/>
      <c r="S354" s="730"/>
      <c r="T354" s="723"/>
      <c r="U354" s="724"/>
      <c r="V354" s="725"/>
      <c r="W354" s="725"/>
      <c r="X354" s="723"/>
      <c r="Y354" s="723"/>
      <c r="Z354" s="723"/>
      <c r="AA354" s="726"/>
      <c r="AB354" s="726"/>
      <c r="AC354" s="170"/>
      <c r="AD354" s="586"/>
      <c r="AE354" s="586"/>
      <c r="AF354" s="170"/>
      <c r="AG354" s="170"/>
      <c r="AH354" s="170"/>
      <c r="AI354" s="170"/>
      <c r="AJ354" s="170"/>
      <c r="AK354" s="170"/>
      <c r="AL354" s="170"/>
      <c r="AM354" s="170"/>
      <c r="AN354" s="170"/>
      <c r="AO354" s="170"/>
      <c r="AP354" s="170"/>
      <c r="AQ354" s="170"/>
      <c r="AR354" s="170"/>
      <c r="AS354" s="170"/>
      <c r="AT354" s="170"/>
      <c r="AU354" s="170"/>
      <c r="AV354" s="170"/>
      <c r="AW354" s="828"/>
      <c r="AX354" s="726"/>
    </row>
    <row r="355" spans="1:50" ht="15" x14ac:dyDescent="0.25">
      <c r="A355" s="170"/>
      <c r="B355" s="719"/>
      <c r="C355" s="170"/>
      <c r="D355" s="170"/>
      <c r="E355" s="170"/>
      <c r="F355" s="170"/>
      <c r="G355" s="721"/>
      <c r="H355" s="170"/>
      <c r="I355" s="170"/>
      <c r="J355" s="170"/>
      <c r="K355" s="170"/>
      <c r="L355" s="170"/>
      <c r="M355" s="730"/>
      <c r="N355" s="730"/>
      <c r="O355" s="730"/>
      <c r="P355" s="731"/>
      <c r="Q355" s="731"/>
      <c r="R355" s="730"/>
      <c r="S355" s="730"/>
      <c r="T355" s="723"/>
      <c r="U355" s="724"/>
      <c r="V355" s="725"/>
      <c r="W355" s="725"/>
      <c r="X355" s="723"/>
      <c r="Y355" s="723"/>
      <c r="Z355" s="723"/>
      <c r="AA355" s="726"/>
      <c r="AB355" s="726"/>
      <c r="AC355" s="170"/>
      <c r="AD355" s="586"/>
      <c r="AE355" s="586"/>
      <c r="AF355" s="170"/>
      <c r="AG355" s="170"/>
      <c r="AH355" s="170"/>
      <c r="AI355" s="170"/>
      <c r="AJ355" s="170"/>
      <c r="AK355" s="170"/>
      <c r="AL355" s="170"/>
      <c r="AM355" s="170"/>
      <c r="AN355" s="170"/>
      <c r="AO355" s="170"/>
      <c r="AP355" s="170"/>
      <c r="AQ355" s="170"/>
      <c r="AR355" s="170"/>
      <c r="AS355" s="170"/>
      <c r="AT355" s="170"/>
      <c r="AU355" s="170"/>
      <c r="AV355" s="170"/>
      <c r="AW355" s="828"/>
      <c r="AX355" s="726"/>
    </row>
    <row r="356" spans="1:50" ht="15" x14ac:dyDescent="0.25">
      <c r="A356" s="170"/>
      <c r="B356" s="719"/>
      <c r="C356" s="170"/>
      <c r="D356" s="170"/>
      <c r="E356" s="170"/>
      <c r="F356" s="170"/>
      <c r="G356" s="721"/>
      <c r="H356" s="170"/>
      <c r="I356" s="170"/>
      <c r="J356" s="170"/>
      <c r="K356" s="170"/>
      <c r="L356" s="170"/>
      <c r="M356" s="730"/>
      <c r="N356" s="730"/>
      <c r="O356" s="730"/>
      <c r="P356" s="731"/>
      <c r="Q356" s="731"/>
      <c r="R356" s="730"/>
      <c r="S356" s="730"/>
      <c r="T356" s="723"/>
      <c r="U356" s="724"/>
      <c r="V356" s="725"/>
      <c r="W356" s="725"/>
      <c r="X356" s="723"/>
      <c r="Y356" s="723"/>
      <c r="Z356" s="723"/>
      <c r="AA356" s="726"/>
      <c r="AB356" s="726"/>
      <c r="AC356" s="170"/>
      <c r="AD356" s="586"/>
      <c r="AE356" s="586"/>
      <c r="AF356" s="170"/>
      <c r="AG356" s="170"/>
      <c r="AH356" s="170"/>
      <c r="AI356" s="170"/>
      <c r="AJ356" s="170"/>
      <c r="AK356" s="170"/>
      <c r="AL356" s="170"/>
      <c r="AM356" s="170"/>
      <c r="AN356" s="170"/>
      <c r="AO356" s="170"/>
      <c r="AP356" s="170"/>
      <c r="AQ356" s="170"/>
      <c r="AR356" s="170"/>
      <c r="AS356" s="170"/>
      <c r="AT356" s="170"/>
      <c r="AU356" s="170"/>
      <c r="AV356" s="170"/>
      <c r="AW356" s="828"/>
      <c r="AX356" s="726"/>
    </row>
    <row r="357" spans="1:50" ht="15" x14ac:dyDescent="0.25">
      <c r="A357" s="170"/>
      <c r="B357" s="719"/>
      <c r="C357" s="170"/>
      <c r="D357" s="170"/>
      <c r="E357" s="170"/>
      <c r="F357" s="170"/>
      <c r="G357" s="721"/>
      <c r="H357" s="170"/>
      <c r="I357" s="170"/>
      <c r="J357" s="170"/>
      <c r="K357" s="170"/>
      <c r="L357" s="170"/>
      <c r="M357" s="730"/>
      <c r="N357" s="730"/>
      <c r="O357" s="730"/>
      <c r="P357" s="731"/>
      <c r="Q357" s="731"/>
      <c r="R357" s="730"/>
      <c r="S357" s="730"/>
      <c r="T357" s="723"/>
      <c r="U357" s="724"/>
      <c r="V357" s="725"/>
      <c r="W357" s="725"/>
      <c r="X357" s="723"/>
      <c r="Y357" s="723"/>
      <c r="Z357" s="723"/>
      <c r="AA357" s="726"/>
      <c r="AB357" s="726"/>
      <c r="AC357" s="170"/>
      <c r="AD357" s="586"/>
      <c r="AE357" s="586"/>
      <c r="AF357" s="170"/>
      <c r="AG357" s="170"/>
      <c r="AH357" s="170"/>
      <c r="AI357" s="170"/>
      <c r="AJ357" s="170"/>
      <c r="AK357" s="170"/>
      <c r="AL357" s="170"/>
      <c r="AM357" s="170"/>
      <c r="AN357" s="170"/>
      <c r="AO357" s="170"/>
      <c r="AP357" s="170"/>
      <c r="AQ357" s="170"/>
      <c r="AR357" s="170"/>
      <c r="AS357" s="170"/>
      <c r="AT357" s="170"/>
      <c r="AU357" s="170"/>
      <c r="AV357" s="170"/>
      <c r="AW357" s="828"/>
      <c r="AX357" s="726"/>
    </row>
    <row r="358" spans="1:50" ht="15" x14ac:dyDescent="0.25">
      <c r="A358" s="170"/>
      <c r="B358" s="719"/>
      <c r="C358" s="170"/>
      <c r="D358" s="170"/>
      <c r="E358" s="170"/>
      <c r="F358" s="170"/>
      <c r="G358" s="721"/>
      <c r="H358" s="170"/>
      <c r="I358" s="170"/>
      <c r="J358" s="170"/>
      <c r="K358" s="170"/>
      <c r="L358" s="170"/>
      <c r="M358" s="730"/>
      <c r="N358" s="730"/>
      <c r="O358" s="730"/>
      <c r="P358" s="731"/>
      <c r="Q358" s="731"/>
      <c r="R358" s="730"/>
      <c r="S358" s="730"/>
      <c r="T358" s="723"/>
      <c r="U358" s="724"/>
      <c r="V358" s="725"/>
      <c r="W358" s="725"/>
      <c r="X358" s="723"/>
      <c r="Y358" s="723"/>
      <c r="Z358" s="723"/>
      <c r="AA358" s="726"/>
      <c r="AB358" s="726"/>
      <c r="AC358" s="170"/>
      <c r="AD358" s="586"/>
      <c r="AE358" s="586"/>
      <c r="AF358" s="170"/>
      <c r="AG358" s="170"/>
      <c r="AH358" s="170"/>
      <c r="AI358" s="170"/>
      <c r="AJ358" s="170"/>
      <c r="AK358" s="170"/>
      <c r="AL358" s="170"/>
      <c r="AM358" s="170"/>
      <c r="AN358" s="170"/>
      <c r="AO358" s="170"/>
      <c r="AP358" s="170"/>
      <c r="AQ358" s="170"/>
      <c r="AR358" s="170"/>
      <c r="AS358" s="170"/>
      <c r="AT358" s="170"/>
      <c r="AU358" s="170"/>
      <c r="AV358" s="170"/>
      <c r="AW358" s="828"/>
      <c r="AX358" s="726"/>
    </row>
    <row r="359" spans="1:50" ht="15" x14ac:dyDescent="0.25">
      <c r="A359" s="170"/>
      <c r="B359" s="719"/>
      <c r="C359" s="170"/>
      <c r="D359" s="170"/>
      <c r="E359" s="170"/>
      <c r="F359" s="170"/>
      <c r="G359" s="721"/>
      <c r="H359" s="170"/>
      <c r="I359" s="170"/>
      <c r="J359" s="170"/>
      <c r="K359" s="170"/>
      <c r="L359" s="170"/>
      <c r="M359" s="730"/>
      <c r="N359" s="730"/>
      <c r="O359" s="730"/>
      <c r="P359" s="731"/>
      <c r="Q359" s="731"/>
      <c r="R359" s="730"/>
      <c r="S359" s="730"/>
      <c r="T359" s="723"/>
      <c r="U359" s="724"/>
      <c r="V359" s="725"/>
      <c r="W359" s="725"/>
      <c r="X359" s="723"/>
      <c r="Y359" s="723"/>
      <c r="Z359" s="723"/>
      <c r="AA359" s="726"/>
      <c r="AB359" s="726"/>
      <c r="AC359" s="170"/>
      <c r="AD359" s="586"/>
      <c r="AE359" s="586"/>
      <c r="AF359" s="170"/>
      <c r="AG359" s="170"/>
      <c r="AH359" s="170"/>
      <c r="AI359" s="170"/>
      <c r="AJ359" s="170"/>
      <c r="AK359" s="170"/>
      <c r="AL359" s="170"/>
      <c r="AM359" s="170"/>
      <c r="AN359" s="170"/>
      <c r="AO359" s="170"/>
      <c r="AP359" s="170"/>
      <c r="AQ359" s="170"/>
      <c r="AR359" s="170"/>
      <c r="AS359" s="170"/>
      <c r="AT359" s="170"/>
      <c r="AU359" s="170"/>
      <c r="AV359" s="170"/>
      <c r="AW359" s="828"/>
      <c r="AX359" s="726"/>
    </row>
    <row r="360" spans="1:50" ht="15" x14ac:dyDescent="0.25">
      <c r="A360" s="170"/>
      <c r="B360" s="719"/>
      <c r="C360" s="170"/>
      <c r="D360" s="170"/>
      <c r="E360" s="170"/>
      <c r="F360" s="170"/>
      <c r="G360" s="721"/>
      <c r="H360" s="170"/>
      <c r="I360" s="170"/>
      <c r="J360" s="170"/>
      <c r="K360" s="170"/>
      <c r="L360" s="170"/>
      <c r="M360" s="730"/>
      <c r="N360" s="730"/>
      <c r="O360" s="730"/>
      <c r="P360" s="731"/>
      <c r="Q360" s="731"/>
      <c r="R360" s="730"/>
      <c r="S360" s="730"/>
      <c r="T360" s="723"/>
      <c r="U360" s="724"/>
      <c r="V360" s="725"/>
      <c r="W360" s="725"/>
      <c r="X360" s="723"/>
      <c r="Y360" s="723"/>
      <c r="Z360" s="723"/>
      <c r="AA360" s="726"/>
      <c r="AB360" s="726"/>
      <c r="AC360" s="170"/>
      <c r="AD360" s="586"/>
      <c r="AE360" s="586"/>
      <c r="AF360" s="170"/>
      <c r="AG360" s="170"/>
      <c r="AH360" s="170"/>
      <c r="AI360" s="170"/>
      <c r="AJ360" s="170"/>
      <c r="AK360" s="170"/>
      <c r="AL360" s="170"/>
      <c r="AM360" s="170"/>
      <c r="AN360" s="170"/>
      <c r="AO360" s="170"/>
      <c r="AP360" s="170"/>
      <c r="AQ360" s="170"/>
      <c r="AR360" s="170"/>
      <c r="AS360" s="170"/>
      <c r="AT360" s="170"/>
      <c r="AU360" s="170"/>
      <c r="AV360" s="170"/>
      <c r="AW360" s="828"/>
      <c r="AX360" s="726"/>
    </row>
    <row r="361" spans="1:50" ht="15" x14ac:dyDescent="0.25">
      <c r="A361" s="170"/>
      <c r="B361" s="719"/>
      <c r="C361" s="170"/>
      <c r="D361" s="170"/>
      <c r="E361" s="170"/>
      <c r="F361" s="170"/>
      <c r="G361" s="721"/>
      <c r="H361" s="170"/>
      <c r="I361" s="170"/>
      <c r="J361" s="170"/>
      <c r="K361" s="170"/>
      <c r="L361" s="170"/>
      <c r="M361" s="730"/>
      <c r="N361" s="730"/>
      <c r="O361" s="730"/>
      <c r="P361" s="731"/>
      <c r="Q361" s="731"/>
      <c r="R361" s="730"/>
      <c r="S361" s="730"/>
      <c r="T361" s="723"/>
      <c r="U361" s="724"/>
      <c r="V361" s="725"/>
      <c r="W361" s="725"/>
      <c r="X361" s="723"/>
      <c r="Y361" s="723"/>
      <c r="Z361" s="723"/>
      <c r="AA361" s="726"/>
      <c r="AB361" s="726"/>
      <c r="AC361" s="170"/>
      <c r="AD361" s="586"/>
      <c r="AE361" s="586"/>
      <c r="AF361" s="170"/>
      <c r="AG361" s="170"/>
      <c r="AH361" s="170"/>
      <c r="AI361" s="170"/>
      <c r="AJ361" s="170"/>
      <c r="AK361" s="170"/>
      <c r="AL361" s="170"/>
      <c r="AM361" s="170"/>
      <c r="AN361" s="170"/>
      <c r="AO361" s="170"/>
      <c r="AP361" s="170"/>
      <c r="AQ361" s="170"/>
      <c r="AR361" s="170"/>
      <c r="AS361" s="170"/>
      <c r="AT361" s="170"/>
      <c r="AU361" s="170"/>
      <c r="AV361" s="170"/>
      <c r="AW361" s="828"/>
      <c r="AX361" s="726"/>
    </row>
    <row r="362" spans="1:50" ht="15" x14ac:dyDescent="0.25">
      <c r="A362" s="170"/>
      <c r="B362" s="719"/>
      <c r="C362" s="170"/>
      <c r="D362" s="170"/>
      <c r="E362" s="170"/>
      <c r="F362" s="170"/>
      <c r="G362" s="721"/>
      <c r="H362" s="170"/>
      <c r="I362" s="170"/>
      <c r="J362" s="170"/>
      <c r="K362" s="170"/>
      <c r="L362" s="170"/>
      <c r="M362" s="730"/>
      <c r="N362" s="730"/>
      <c r="O362" s="730"/>
      <c r="P362" s="731"/>
      <c r="Q362" s="731"/>
      <c r="R362" s="730"/>
      <c r="S362" s="730"/>
      <c r="T362" s="723"/>
      <c r="U362" s="724"/>
      <c r="V362" s="725"/>
      <c r="W362" s="725"/>
      <c r="X362" s="723"/>
      <c r="Y362" s="723"/>
      <c r="Z362" s="723"/>
      <c r="AA362" s="726"/>
      <c r="AB362" s="726"/>
      <c r="AC362" s="170"/>
      <c r="AD362" s="586"/>
      <c r="AE362" s="586"/>
      <c r="AF362" s="170"/>
      <c r="AG362" s="170"/>
      <c r="AH362" s="170"/>
      <c r="AI362" s="170"/>
      <c r="AJ362" s="170"/>
      <c r="AK362" s="170"/>
      <c r="AL362" s="170"/>
      <c r="AM362" s="170"/>
      <c r="AN362" s="170"/>
      <c r="AO362" s="170"/>
      <c r="AP362" s="170"/>
      <c r="AQ362" s="170"/>
      <c r="AR362" s="170"/>
      <c r="AS362" s="170"/>
      <c r="AT362" s="170"/>
      <c r="AU362" s="170"/>
      <c r="AV362" s="170"/>
      <c r="AW362" s="828"/>
      <c r="AX362" s="726"/>
    </row>
    <row r="363" spans="1:50" ht="15" x14ac:dyDescent="0.25">
      <c r="A363" s="170"/>
      <c r="B363" s="719"/>
      <c r="C363" s="170"/>
      <c r="D363" s="170"/>
      <c r="E363" s="170"/>
      <c r="F363" s="170"/>
      <c r="G363" s="721"/>
      <c r="H363" s="170"/>
      <c r="I363" s="170"/>
      <c r="J363" s="170"/>
      <c r="K363" s="170"/>
      <c r="L363" s="170"/>
      <c r="M363" s="730"/>
      <c r="N363" s="730"/>
      <c r="O363" s="730"/>
      <c r="P363" s="731"/>
      <c r="Q363" s="731"/>
      <c r="R363" s="730"/>
      <c r="S363" s="730"/>
      <c r="T363" s="723"/>
      <c r="U363" s="724"/>
      <c r="V363" s="725"/>
      <c r="W363" s="725"/>
      <c r="X363" s="723"/>
      <c r="Y363" s="723"/>
      <c r="Z363" s="723"/>
      <c r="AA363" s="726"/>
      <c r="AB363" s="726"/>
      <c r="AC363" s="170"/>
      <c r="AD363" s="586"/>
      <c r="AE363" s="586"/>
      <c r="AF363" s="170"/>
      <c r="AG363" s="170"/>
      <c r="AH363" s="170"/>
      <c r="AI363" s="170"/>
      <c r="AJ363" s="170"/>
      <c r="AK363" s="170"/>
      <c r="AL363" s="170"/>
      <c r="AM363" s="170"/>
      <c r="AN363" s="170"/>
      <c r="AO363" s="170"/>
      <c r="AP363" s="170"/>
      <c r="AQ363" s="170"/>
      <c r="AR363" s="170"/>
      <c r="AS363" s="170"/>
      <c r="AT363" s="170"/>
      <c r="AU363" s="170"/>
      <c r="AV363" s="170"/>
      <c r="AW363" s="828"/>
      <c r="AX363" s="726"/>
    </row>
    <row r="364" spans="1:50" ht="15" x14ac:dyDescent="0.25">
      <c r="A364" s="170"/>
      <c r="B364" s="719"/>
      <c r="C364" s="170"/>
      <c r="D364" s="170"/>
      <c r="E364" s="170"/>
      <c r="F364" s="170"/>
      <c r="G364" s="721"/>
      <c r="H364" s="170"/>
      <c r="I364" s="170"/>
      <c r="J364" s="170"/>
      <c r="K364" s="170"/>
      <c r="L364" s="170"/>
      <c r="M364" s="730"/>
      <c r="N364" s="730"/>
      <c r="O364" s="730"/>
      <c r="P364" s="731"/>
      <c r="Q364" s="731"/>
      <c r="R364" s="730"/>
      <c r="S364" s="730"/>
      <c r="T364" s="723"/>
      <c r="U364" s="724"/>
      <c r="V364" s="725"/>
      <c r="W364" s="725"/>
      <c r="X364" s="723"/>
      <c r="Y364" s="723"/>
      <c r="Z364" s="723"/>
      <c r="AA364" s="726"/>
      <c r="AB364" s="726"/>
      <c r="AC364" s="170"/>
      <c r="AD364" s="586"/>
      <c r="AE364" s="586"/>
      <c r="AF364" s="170"/>
      <c r="AG364" s="170"/>
      <c r="AH364" s="170"/>
      <c r="AI364" s="170"/>
      <c r="AJ364" s="170"/>
      <c r="AK364" s="170"/>
      <c r="AL364" s="170"/>
      <c r="AM364" s="170"/>
      <c r="AN364" s="170"/>
      <c r="AO364" s="170"/>
      <c r="AP364" s="170"/>
      <c r="AQ364" s="170"/>
      <c r="AR364" s="170"/>
      <c r="AS364" s="170"/>
      <c r="AT364" s="170"/>
      <c r="AU364" s="170"/>
      <c r="AV364" s="170"/>
      <c r="AW364" s="828"/>
      <c r="AX364" s="726"/>
    </row>
    <row r="365" spans="1:50" ht="15" x14ac:dyDescent="0.25">
      <c r="A365" s="170"/>
      <c r="B365" s="719"/>
      <c r="C365" s="170"/>
      <c r="D365" s="170"/>
      <c r="E365" s="170"/>
      <c r="F365" s="170"/>
      <c r="G365" s="721"/>
      <c r="H365" s="170"/>
      <c r="I365" s="170"/>
      <c r="J365" s="170"/>
      <c r="K365" s="170"/>
      <c r="L365" s="170"/>
      <c r="M365" s="730"/>
      <c r="N365" s="730"/>
      <c r="O365" s="730"/>
      <c r="P365" s="731"/>
      <c r="Q365" s="731"/>
      <c r="R365" s="730"/>
      <c r="S365" s="730"/>
      <c r="T365" s="723"/>
      <c r="U365" s="724"/>
      <c r="V365" s="725"/>
      <c r="W365" s="725"/>
      <c r="X365" s="723"/>
      <c r="Y365" s="723"/>
      <c r="Z365" s="723"/>
      <c r="AA365" s="726"/>
      <c r="AB365" s="726"/>
      <c r="AC365" s="170"/>
      <c r="AD365" s="586"/>
      <c r="AE365" s="586"/>
      <c r="AF365" s="170"/>
      <c r="AG365" s="170"/>
      <c r="AH365" s="170"/>
      <c r="AI365" s="170"/>
      <c r="AJ365" s="170"/>
      <c r="AK365" s="170"/>
      <c r="AL365" s="170"/>
      <c r="AM365" s="170"/>
      <c r="AN365" s="170"/>
      <c r="AO365" s="170"/>
      <c r="AP365" s="170"/>
      <c r="AQ365" s="170"/>
      <c r="AR365" s="170"/>
      <c r="AS365" s="170"/>
      <c r="AT365" s="170"/>
      <c r="AU365" s="170"/>
      <c r="AV365" s="170"/>
      <c r="AW365" s="828"/>
      <c r="AX365" s="726"/>
    </row>
    <row r="366" spans="1:50" ht="15" x14ac:dyDescent="0.25">
      <c r="A366" s="170"/>
      <c r="B366" s="719"/>
      <c r="C366" s="170"/>
      <c r="D366" s="170"/>
      <c r="E366" s="170"/>
      <c r="F366" s="170"/>
      <c r="G366" s="721"/>
      <c r="H366" s="170"/>
      <c r="I366" s="170"/>
      <c r="J366" s="170"/>
      <c r="K366" s="170"/>
      <c r="L366" s="170"/>
      <c r="M366" s="730"/>
      <c r="N366" s="730"/>
      <c r="O366" s="730"/>
      <c r="P366" s="731"/>
      <c r="Q366" s="731"/>
      <c r="R366" s="730"/>
      <c r="S366" s="730"/>
      <c r="T366" s="723"/>
      <c r="U366" s="724"/>
      <c r="V366" s="725"/>
      <c r="W366" s="725"/>
      <c r="X366" s="723"/>
      <c r="Y366" s="723"/>
      <c r="Z366" s="723"/>
      <c r="AA366" s="726"/>
      <c r="AB366" s="726"/>
      <c r="AC366" s="170"/>
      <c r="AD366" s="586"/>
      <c r="AE366" s="586"/>
      <c r="AF366" s="170"/>
      <c r="AG366" s="170"/>
      <c r="AH366" s="170"/>
      <c r="AI366" s="170"/>
      <c r="AJ366" s="170"/>
      <c r="AK366" s="170"/>
      <c r="AL366" s="170"/>
      <c r="AM366" s="170"/>
      <c r="AN366" s="170"/>
      <c r="AO366" s="170"/>
      <c r="AP366" s="170"/>
      <c r="AQ366" s="170"/>
      <c r="AR366" s="170"/>
      <c r="AS366" s="170"/>
      <c r="AT366" s="170"/>
      <c r="AU366" s="170"/>
      <c r="AV366" s="170"/>
      <c r="AW366" s="828"/>
      <c r="AX366" s="726"/>
    </row>
    <row r="367" spans="1:50" ht="15" x14ac:dyDescent="0.25">
      <c r="A367" s="170"/>
      <c r="B367" s="719"/>
      <c r="C367" s="170"/>
      <c r="D367" s="170"/>
      <c r="E367" s="170"/>
      <c r="F367" s="170"/>
      <c r="G367" s="721"/>
      <c r="H367" s="170"/>
      <c r="I367" s="170"/>
      <c r="J367" s="170"/>
      <c r="K367" s="170"/>
      <c r="L367" s="170"/>
      <c r="M367" s="730"/>
      <c r="N367" s="730"/>
      <c r="O367" s="730"/>
      <c r="P367" s="731"/>
      <c r="Q367" s="731"/>
      <c r="R367" s="730"/>
      <c r="S367" s="730"/>
      <c r="T367" s="723"/>
      <c r="U367" s="724"/>
      <c r="V367" s="725"/>
      <c r="W367" s="725"/>
      <c r="X367" s="723"/>
      <c r="Y367" s="723"/>
      <c r="Z367" s="723"/>
      <c r="AA367" s="726"/>
      <c r="AB367" s="726"/>
      <c r="AC367" s="170"/>
      <c r="AD367" s="586"/>
      <c r="AE367" s="586"/>
      <c r="AF367" s="170"/>
      <c r="AG367" s="170"/>
      <c r="AH367" s="170"/>
      <c r="AI367" s="170"/>
      <c r="AJ367" s="170"/>
      <c r="AK367" s="170"/>
      <c r="AL367" s="170"/>
      <c r="AM367" s="170"/>
      <c r="AN367" s="170"/>
      <c r="AO367" s="170"/>
      <c r="AP367" s="170"/>
      <c r="AQ367" s="170"/>
      <c r="AR367" s="170"/>
      <c r="AS367" s="170"/>
      <c r="AT367" s="170"/>
      <c r="AU367" s="170"/>
      <c r="AV367" s="170"/>
      <c r="AW367" s="828"/>
      <c r="AX367" s="726"/>
    </row>
    <row r="368" spans="1:50" ht="15" x14ac:dyDescent="0.25">
      <c r="A368" s="170"/>
      <c r="B368" s="719"/>
      <c r="C368" s="170"/>
      <c r="D368" s="170"/>
      <c r="E368" s="170"/>
      <c r="F368" s="170"/>
      <c r="G368" s="721"/>
      <c r="H368" s="170"/>
      <c r="I368" s="170"/>
      <c r="J368" s="170"/>
      <c r="K368" s="170"/>
      <c r="L368" s="170"/>
      <c r="M368" s="730"/>
      <c r="N368" s="730"/>
      <c r="O368" s="730"/>
      <c r="P368" s="731"/>
      <c r="Q368" s="731"/>
      <c r="R368" s="730"/>
      <c r="S368" s="730"/>
      <c r="T368" s="723"/>
      <c r="U368" s="724"/>
      <c r="V368" s="725"/>
      <c r="W368" s="725"/>
      <c r="X368" s="723"/>
      <c r="Y368" s="723"/>
      <c r="Z368" s="723"/>
      <c r="AA368" s="726"/>
      <c r="AB368" s="726"/>
      <c r="AC368" s="170"/>
      <c r="AD368" s="586"/>
      <c r="AE368" s="586"/>
      <c r="AF368" s="170"/>
      <c r="AG368" s="170"/>
      <c r="AH368" s="170"/>
      <c r="AI368" s="170"/>
      <c r="AJ368" s="170"/>
      <c r="AK368" s="170"/>
      <c r="AL368" s="170"/>
      <c r="AM368" s="170"/>
      <c r="AN368" s="170"/>
      <c r="AO368" s="170"/>
      <c r="AP368" s="170"/>
      <c r="AQ368" s="170"/>
      <c r="AR368" s="170"/>
      <c r="AS368" s="170"/>
      <c r="AT368" s="170"/>
      <c r="AU368" s="170"/>
      <c r="AV368" s="170"/>
      <c r="AW368" s="828"/>
      <c r="AX368" s="726"/>
    </row>
    <row r="369" spans="1:50" ht="15" x14ac:dyDescent="0.25">
      <c r="A369" s="170"/>
      <c r="B369" s="719"/>
      <c r="C369" s="170"/>
      <c r="D369" s="170"/>
      <c r="E369" s="170"/>
      <c r="F369" s="170"/>
      <c r="G369" s="721"/>
      <c r="H369" s="170"/>
      <c r="I369" s="170"/>
      <c r="J369" s="170"/>
      <c r="K369" s="170"/>
      <c r="L369" s="170"/>
      <c r="M369" s="730"/>
      <c r="N369" s="730"/>
      <c r="O369" s="730"/>
      <c r="P369" s="731"/>
      <c r="Q369" s="731"/>
      <c r="R369" s="730"/>
      <c r="S369" s="730"/>
      <c r="T369" s="723"/>
      <c r="U369" s="724"/>
      <c r="V369" s="725"/>
      <c r="W369" s="725"/>
      <c r="X369" s="723"/>
      <c r="Y369" s="723"/>
      <c r="Z369" s="723"/>
      <c r="AA369" s="726"/>
      <c r="AB369" s="726"/>
      <c r="AC369" s="170"/>
      <c r="AD369" s="586"/>
      <c r="AE369" s="586"/>
      <c r="AF369" s="170"/>
      <c r="AG369" s="170"/>
      <c r="AH369" s="170"/>
      <c r="AI369" s="170"/>
      <c r="AJ369" s="170"/>
      <c r="AK369" s="170"/>
      <c r="AL369" s="170"/>
      <c r="AM369" s="170"/>
      <c r="AN369" s="170"/>
      <c r="AO369" s="170"/>
      <c r="AP369" s="170"/>
      <c r="AQ369" s="170"/>
      <c r="AR369" s="170"/>
      <c r="AS369" s="170"/>
      <c r="AT369" s="170"/>
      <c r="AU369" s="170"/>
      <c r="AV369" s="170"/>
      <c r="AW369" s="828"/>
      <c r="AX369" s="726"/>
    </row>
    <row r="370" spans="1:50" ht="15" x14ac:dyDescent="0.25">
      <c r="A370" s="170"/>
      <c r="B370" s="719"/>
      <c r="C370" s="170"/>
      <c r="D370" s="170"/>
      <c r="E370" s="170"/>
      <c r="F370" s="170"/>
      <c r="G370" s="721"/>
      <c r="H370" s="170"/>
      <c r="I370" s="170"/>
      <c r="J370" s="170"/>
      <c r="K370" s="170"/>
      <c r="L370" s="170"/>
      <c r="M370" s="730"/>
      <c r="N370" s="730"/>
      <c r="O370" s="730"/>
      <c r="P370" s="731"/>
      <c r="Q370" s="731"/>
      <c r="R370" s="730"/>
      <c r="S370" s="730"/>
      <c r="T370" s="723"/>
      <c r="U370" s="724"/>
      <c r="V370" s="725"/>
      <c r="W370" s="725"/>
      <c r="X370" s="723"/>
      <c r="Y370" s="723"/>
      <c r="Z370" s="723"/>
      <c r="AA370" s="726"/>
      <c r="AB370" s="726"/>
      <c r="AC370" s="170"/>
      <c r="AD370" s="586"/>
      <c r="AE370" s="586"/>
      <c r="AF370" s="170"/>
      <c r="AG370" s="170"/>
      <c r="AH370" s="170"/>
      <c r="AI370" s="170"/>
      <c r="AJ370" s="170"/>
      <c r="AK370" s="170"/>
      <c r="AL370" s="170"/>
      <c r="AM370" s="170"/>
      <c r="AN370" s="170"/>
      <c r="AO370" s="170"/>
      <c r="AP370" s="170"/>
      <c r="AQ370" s="170"/>
      <c r="AR370" s="170"/>
      <c r="AS370" s="170"/>
      <c r="AT370" s="170"/>
      <c r="AU370" s="170"/>
      <c r="AV370" s="170"/>
      <c r="AW370" s="828"/>
      <c r="AX370" s="726"/>
    </row>
    <row r="371" spans="1:50" ht="15" x14ac:dyDescent="0.25">
      <c r="A371" s="170"/>
      <c r="B371" s="719"/>
      <c r="C371" s="170"/>
      <c r="D371" s="170"/>
      <c r="E371" s="170"/>
      <c r="F371" s="170"/>
      <c r="G371" s="721"/>
      <c r="H371" s="170"/>
      <c r="I371" s="170"/>
      <c r="J371" s="170"/>
      <c r="K371" s="170"/>
      <c r="L371" s="170"/>
      <c r="M371" s="730"/>
      <c r="N371" s="730"/>
      <c r="O371" s="730"/>
      <c r="P371" s="731"/>
      <c r="Q371" s="731"/>
      <c r="R371" s="730"/>
      <c r="S371" s="730"/>
      <c r="T371" s="723"/>
      <c r="U371" s="724"/>
      <c r="V371" s="725"/>
      <c r="W371" s="725"/>
      <c r="X371" s="723"/>
      <c r="Y371" s="723"/>
      <c r="Z371" s="723"/>
      <c r="AA371" s="726"/>
      <c r="AB371" s="726"/>
      <c r="AC371" s="170"/>
      <c r="AD371" s="586"/>
      <c r="AE371" s="586"/>
      <c r="AF371" s="170"/>
      <c r="AG371" s="170"/>
      <c r="AH371" s="170"/>
      <c r="AI371" s="170"/>
      <c r="AJ371" s="170"/>
      <c r="AK371" s="170"/>
      <c r="AL371" s="170"/>
      <c r="AM371" s="170"/>
      <c r="AN371" s="170"/>
      <c r="AO371" s="170"/>
      <c r="AP371" s="170"/>
      <c r="AQ371" s="170"/>
      <c r="AR371" s="170"/>
      <c r="AS371" s="170"/>
      <c r="AT371" s="170"/>
      <c r="AU371" s="170"/>
      <c r="AV371" s="170"/>
      <c r="AW371" s="828"/>
      <c r="AX371" s="726"/>
    </row>
    <row r="372" spans="1:50" ht="15" x14ac:dyDescent="0.25">
      <c r="A372" s="170"/>
      <c r="B372" s="719"/>
      <c r="C372" s="170"/>
      <c r="D372" s="170"/>
      <c r="E372" s="170"/>
      <c r="F372" s="170"/>
      <c r="G372" s="721"/>
      <c r="H372" s="170"/>
      <c r="I372" s="170"/>
      <c r="J372" s="170"/>
      <c r="K372" s="170"/>
      <c r="L372" s="170"/>
      <c r="M372" s="730"/>
      <c r="N372" s="730"/>
      <c r="O372" s="730"/>
      <c r="P372" s="731"/>
      <c r="Q372" s="731"/>
      <c r="R372" s="730"/>
      <c r="S372" s="730"/>
      <c r="T372" s="723"/>
      <c r="U372" s="724"/>
      <c r="V372" s="725"/>
      <c r="W372" s="725"/>
      <c r="X372" s="723"/>
      <c r="Y372" s="723"/>
      <c r="Z372" s="723"/>
      <c r="AA372" s="726"/>
      <c r="AB372" s="726"/>
      <c r="AC372" s="170"/>
      <c r="AD372" s="586"/>
      <c r="AE372" s="586"/>
      <c r="AF372" s="170"/>
      <c r="AG372" s="170"/>
      <c r="AH372" s="170"/>
      <c r="AI372" s="170"/>
      <c r="AJ372" s="170"/>
      <c r="AK372" s="170"/>
      <c r="AL372" s="170"/>
      <c r="AM372" s="170"/>
      <c r="AN372" s="170"/>
      <c r="AO372" s="170"/>
      <c r="AP372" s="170"/>
      <c r="AQ372" s="170"/>
      <c r="AR372" s="170"/>
      <c r="AS372" s="170"/>
      <c r="AT372" s="170"/>
      <c r="AU372" s="170"/>
      <c r="AV372" s="170"/>
      <c r="AW372" s="828"/>
      <c r="AX372" s="726"/>
    </row>
    <row r="373" spans="1:50" ht="15" x14ac:dyDescent="0.25">
      <c r="A373" s="170"/>
      <c r="B373" s="719"/>
      <c r="C373" s="170"/>
      <c r="D373" s="170"/>
      <c r="E373" s="170"/>
      <c r="F373" s="170"/>
      <c r="G373" s="721"/>
      <c r="H373" s="170"/>
      <c r="I373" s="170"/>
      <c r="J373" s="170"/>
      <c r="K373" s="170"/>
      <c r="L373" s="170"/>
      <c r="M373" s="730"/>
      <c r="N373" s="730"/>
      <c r="O373" s="730"/>
      <c r="P373" s="731"/>
      <c r="Q373" s="731"/>
      <c r="R373" s="730"/>
      <c r="S373" s="730"/>
      <c r="T373" s="723"/>
      <c r="U373" s="724"/>
      <c r="V373" s="725"/>
      <c r="W373" s="725"/>
      <c r="X373" s="723"/>
      <c r="Y373" s="723"/>
      <c r="Z373" s="723"/>
      <c r="AA373" s="726"/>
      <c r="AB373" s="726"/>
      <c r="AC373" s="170"/>
      <c r="AD373" s="586"/>
      <c r="AE373" s="586"/>
      <c r="AF373" s="170"/>
      <c r="AG373" s="170"/>
      <c r="AH373" s="170"/>
      <c r="AI373" s="170"/>
      <c r="AJ373" s="170"/>
      <c r="AK373" s="170"/>
      <c r="AL373" s="170"/>
      <c r="AM373" s="170"/>
      <c r="AN373" s="170"/>
      <c r="AO373" s="170"/>
      <c r="AP373" s="170"/>
      <c r="AQ373" s="170"/>
      <c r="AR373" s="170"/>
      <c r="AS373" s="170"/>
      <c r="AT373" s="170"/>
      <c r="AU373" s="170"/>
      <c r="AV373" s="170"/>
      <c r="AW373" s="828"/>
      <c r="AX373" s="726"/>
    </row>
    <row r="374" spans="1:50" ht="15" x14ac:dyDescent="0.25">
      <c r="A374" s="170"/>
      <c r="B374" s="719"/>
      <c r="C374" s="170"/>
      <c r="D374" s="170"/>
      <c r="E374" s="170"/>
      <c r="F374" s="170"/>
      <c r="G374" s="721"/>
      <c r="H374" s="170"/>
      <c r="I374" s="170"/>
      <c r="J374" s="170"/>
      <c r="K374" s="170"/>
      <c r="L374" s="170"/>
      <c r="M374" s="730"/>
      <c r="N374" s="730"/>
      <c r="O374" s="730"/>
      <c r="P374" s="731"/>
      <c r="Q374" s="731"/>
      <c r="R374" s="730"/>
      <c r="S374" s="730"/>
      <c r="T374" s="723"/>
      <c r="U374" s="724"/>
      <c r="V374" s="725"/>
      <c r="W374" s="725"/>
      <c r="X374" s="723"/>
      <c r="Y374" s="723"/>
      <c r="Z374" s="723"/>
      <c r="AA374" s="726"/>
      <c r="AB374" s="726"/>
      <c r="AC374" s="170"/>
      <c r="AD374" s="586"/>
      <c r="AE374" s="586"/>
      <c r="AF374" s="170"/>
      <c r="AG374" s="170"/>
      <c r="AH374" s="170"/>
      <c r="AI374" s="170"/>
      <c r="AJ374" s="170"/>
      <c r="AK374" s="170"/>
      <c r="AL374" s="170"/>
      <c r="AM374" s="170"/>
      <c r="AN374" s="170"/>
      <c r="AO374" s="170"/>
      <c r="AP374" s="170"/>
      <c r="AQ374" s="170"/>
      <c r="AR374" s="170"/>
      <c r="AS374" s="170"/>
      <c r="AT374" s="170"/>
      <c r="AU374" s="170"/>
      <c r="AV374" s="170"/>
      <c r="AW374" s="828"/>
      <c r="AX374" s="726"/>
    </row>
    <row r="375" spans="1:50" ht="15" x14ac:dyDescent="0.25">
      <c r="A375" s="170"/>
      <c r="B375" s="719"/>
      <c r="C375" s="170"/>
      <c r="D375" s="170"/>
      <c r="E375" s="170"/>
      <c r="F375" s="170"/>
      <c r="G375" s="721"/>
      <c r="H375" s="170"/>
      <c r="I375" s="170"/>
      <c r="J375" s="170"/>
      <c r="K375" s="170"/>
      <c r="L375" s="170"/>
      <c r="M375" s="730"/>
      <c r="N375" s="730"/>
      <c r="O375" s="730"/>
      <c r="P375" s="731"/>
      <c r="Q375" s="731"/>
      <c r="R375" s="730"/>
      <c r="S375" s="730"/>
      <c r="T375" s="723"/>
      <c r="U375" s="724"/>
      <c r="V375" s="725"/>
      <c r="W375" s="725"/>
      <c r="X375" s="723"/>
      <c r="Y375" s="723"/>
      <c r="Z375" s="723"/>
      <c r="AA375" s="726"/>
      <c r="AB375" s="726"/>
      <c r="AC375" s="170"/>
      <c r="AD375" s="586"/>
      <c r="AE375" s="586"/>
      <c r="AF375" s="170"/>
      <c r="AG375" s="170"/>
      <c r="AH375" s="170"/>
      <c r="AI375" s="170"/>
      <c r="AJ375" s="170"/>
      <c r="AK375" s="170"/>
      <c r="AL375" s="170"/>
      <c r="AM375" s="170"/>
      <c r="AN375" s="170"/>
      <c r="AO375" s="170"/>
      <c r="AP375" s="170"/>
      <c r="AQ375" s="170"/>
      <c r="AR375" s="170"/>
      <c r="AS375" s="170"/>
      <c r="AT375" s="170"/>
      <c r="AU375" s="170"/>
      <c r="AV375" s="170"/>
      <c r="AW375" s="828"/>
      <c r="AX375" s="726"/>
    </row>
    <row r="376" spans="1:50" ht="15" x14ac:dyDescent="0.25">
      <c r="A376" s="170"/>
      <c r="B376" s="719"/>
      <c r="C376" s="170"/>
      <c r="D376" s="170"/>
      <c r="E376" s="170"/>
      <c r="F376" s="170"/>
      <c r="G376" s="721"/>
      <c r="H376" s="170"/>
      <c r="I376" s="170"/>
      <c r="J376" s="170"/>
      <c r="K376" s="170"/>
      <c r="L376" s="170"/>
      <c r="M376" s="730"/>
      <c r="N376" s="730"/>
      <c r="O376" s="730"/>
      <c r="P376" s="731"/>
      <c r="Q376" s="731"/>
      <c r="R376" s="730"/>
      <c r="S376" s="730"/>
      <c r="T376" s="723"/>
      <c r="U376" s="724"/>
      <c r="V376" s="725"/>
      <c r="W376" s="725"/>
      <c r="X376" s="723"/>
      <c r="Y376" s="723"/>
      <c r="Z376" s="723"/>
      <c r="AA376" s="726"/>
      <c r="AB376" s="726"/>
      <c r="AC376" s="170"/>
      <c r="AD376" s="586"/>
      <c r="AE376" s="586"/>
      <c r="AF376" s="170"/>
      <c r="AG376" s="170"/>
      <c r="AH376" s="170"/>
      <c r="AI376" s="170"/>
      <c r="AJ376" s="170"/>
      <c r="AK376" s="170"/>
      <c r="AL376" s="170"/>
      <c r="AM376" s="170"/>
      <c r="AN376" s="170"/>
      <c r="AO376" s="170"/>
      <c r="AP376" s="170"/>
      <c r="AQ376" s="170"/>
      <c r="AR376" s="170"/>
      <c r="AS376" s="170"/>
      <c r="AT376" s="170"/>
      <c r="AU376" s="170"/>
      <c r="AV376" s="170"/>
      <c r="AW376" s="828"/>
      <c r="AX376" s="726"/>
    </row>
    <row r="377" spans="1:50" ht="15" x14ac:dyDescent="0.25">
      <c r="A377" s="170"/>
      <c r="B377" s="719"/>
      <c r="C377" s="170"/>
      <c r="D377" s="170"/>
      <c r="E377" s="170"/>
      <c r="F377" s="170"/>
      <c r="G377" s="721"/>
      <c r="H377" s="170"/>
      <c r="I377" s="170"/>
      <c r="J377" s="170"/>
      <c r="K377" s="170"/>
      <c r="L377" s="170"/>
      <c r="M377" s="730"/>
      <c r="N377" s="730"/>
      <c r="O377" s="730"/>
      <c r="P377" s="731"/>
      <c r="Q377" s="731"/>
      <c r="R377" s="730"/>
      <c r="S377" s="730"/>
      <c r="T377" s="723"/>
      <c r="U377" s="724"/>
      <c r="V377" s="725"/>
      <c r="W377" s="725"/>
      <c r="X377" s="723"/>
      <c r="Y377" s="723"/>
      <c r="Z377" s="723"/>
      <c r="AA377" s="726"/>
      <c r="AB377" s="726"/>
      <c r="AC377" s="170"/>
      <c r="AD377" s="586"/>
      <c r="AE377" s="586"/>
      <c r="AF377" s="170"/>
      <c r="AG377" s="170"/>
      <c r="AH377" s="170"/>
      <c r="AI377" s="170"/>
      <c r="AJ377" s="170"/>
      <c r="AK377" s="170"/>
      <c r="AL377" s="170"/>
      <c r="AM377" s="170"/>
      <c r="AN377" s="170"/>
      <c r="AO377" s="170"/>
      <c r="AP377" s="170"/>
      <c r="AQ377" s="170"/>
      <c r="AR377" s="170"/>
      <c r="AS377" s="170"/>
      <c r="AT377" s="170"/>
      <c r="AU377" s="170"/>
      <c r="AV377" s="170"/>
      <c r="AW377" s="828"/>
      <c r="AX377" s="726"/>
    </row>
    <row r="378" spans="1:50" ht="15" x14ac:dyDescent="0.25">
      <c r="A378" s="170"/>
      <c r="B378" s="719"/>
      <c r="C378" s="170"/>
      <c r="D378" s="170"/>
      <c r="E378" s="170"/>
      <c r="F378" s="170"/>
      <c r="G378" s="721"/>
      <c r="H378" s="170"/>
      <c r="I378" s="170"/>
      <c r="J378" s="170"/>
      <c r="K378" s="170"/>
      <c r="L378" s="170"/>
      <c r="M378" s="730"/>
      <c r="N378" s="730"/>
      <c r="O378" s="730"/>
      <c r="P378" s="731"/>
      <c r="Q378" s="731"/>
      <c r="R378" s="730"/>
      <c r="S378" s="730"/>
      <c r="T378" s="723"/>
      <c r="U378" s="724"/>
      <c r="V378" s="725"/>
      <c r="W378" s="725"/>
      <c r="X378" s="723"/>
      <c r="Y378" s="723"/>
      <c r="Z378" s="723"/>
      <c r="AA378" s="726"/>
      <c r="AB378" s="726"/>
      <c r="AC378" s="170"/>
      <c r="AD378" s="586"/>
      <c r="AE378" s="586"/>
      <c r="AF378" s="170"/>
      <c r="AG378" s="170"/>
      <c r="AH378" s="170"/>
      <c r="AI378" s="170"/>
      <c r="AJ378" s="170"/>
      <c r="AK378" s="170"/>
      <c r="AL378" s="170"/>
      <c r="AM378" s="170"/>
      <c r="AN378" s="170"/>
      <c r="AO378" s="170"/>
      <c r="AP378" s="170"/>
      <c r="AQ378" s="170"/>
      <c r="AR378" s="170"/>
      <c r="AS378" s="170"/>
      <c r="AT378" s="170"/>
      <c r="AU378" s="170"/>
      <c r="AV378" s="170"/>
      <c r="AW378" s="828"/>
      <c r="AX378" s="726"/>
    </row>
    <row r="379" spans="1:50" ht="15" x14ac:dyDescent="0.25">
      <c r="A379" s="170"/>
      <c r="B379" s="719"/>
      <c r="C379" s="170"/>
      <c r="D379" s="170"/>
      <c r="E379" s="170"/>
      <c r="F379" s="170"/>
      <c r="G379" s="721"/>
      <c r="H379" s="170"/>
      <c r="I379" s="170"/>
      <c r="J379" s="170"/>
      <c r="K379" s="170"/>
      <c r="L379" s="170"/>
      <c r="M379" s="730"/>
      <c r="N379" s="730"/>
      <c r="O379" s="730"/>
      <c r="P379" s="731"/>
      <c r="Q379" s="731"/>
      <c r="R379" s="730"/>
      <c r="S379" s="730"/>
      <c r="T379" s="723"/>
      <c r="U379" s="724"/>
      <c r="V379" s="725"/>
      <c r="W379" s="725"/>
      <c r="X379" s="723"/>
      <c r="Y379" s="723"/>
      <c r="Z379" s="723"/>
      <c r="AA379" s="726"/>
      <c r="AB379" s="726"/>
      <c r="AC379" s="170"/>
      <c r="AD379" s="586"/>
      <c r="AE379" s="586"/>
      <c r="AF379" s="170"/>
      <c r="AG379" s="170"/>
      <c r="AH379" s="170"/>
      <c r="AI379" s="170"/>
      <c r="AJ379" s="170"/>
      <c r="AK379" s="170"/>
      <c r="AL379" s="170"/>
      <c r="AM379" s="170"/>
      <c r="AN379" s="170"/>
      <c r="AO379" s="170"/>
      <c r="AP379" s="170"/>
      <c r="AQ379" s="170"/>
      <c r="AR379" s="170"/>
      <c r="AS379" s="170"/>
      <c r="AT379" s="170"/>
      <c r="AU379" s="170"/>
      <c r="AV379" s="170"/>
      <c r="AW379" s="828"/>
      <c r="AX379" s="726"/>
    </row>
    <row r="380" spans="1:50" ht="15" x14ac:dyDescent="0.25">
      <c r="A380" s="170"/>
      <c r="B380" s="719"/>
      <c r="C380" s="170"/>
      <c r="D380" s="170"/>
      <c r="E380" s="170"/>
      <c r="F380" s="170"/>
      <c r="G380" s="721"/>
      <c r="H380" s="170"/>
      <c r="I380" s="170"/>
      <c r="J380" s="170"/>
      <c r="K380" s="170"/>
      <c r="L380" s="170"/>
      <c r="M380" s="730"/>
      <c r="N380" s="730"/>
      <c r="O380" s="730"/>
      <c r="P380" s="731"/>
      <c r="Q380" s="731"/>
      <c r="R380" s="730"/>
      <c r="S380" s="730"/>
      <c r="T380" s="723"/>
      <c r="U380" s="724"/>
      <c r="V380" s="725"/>
      <c r="W380" s="725"/>
      <c r="X380" s="723"/>
      <c r="Y380" s="723"/>
      <c r="Z380" s="723"/>
      <c r="AA380" s="726"/>
      <c r="AB380" s="726"/>
      <c r="AC380" s="170"/>
      <c r="AD380" s="586"/>
      <c r="AE380" s="586"/>
      <c r="AF380" s="170"/>
      <c r="AG380" s="170"/>
      <c r="AH380" s="170"/>
      <c r="AI380" s="170"/>
      <c r="AJ380" s="170"/>
      <c r="AK380" s="170"/>
      <c r="AL380" s="170"/>
      <c r="AM380" s="170"/>
      <c r="AN380" s="170"/>
      <c r="AO380" s="170"/>
      <c r="AP380" s="170"/>
      <c r="AQ380" s="170"/>
      <c r="AR380" s="170"/>
      <c r="AS380" s="170"/>
      <c r="AT380" s="170"/>
      <c r="AU380" s="170"/>
      <c r="AV380" s="170"/>
      <c r="AW380" s="828"/>
      <c r="AX380" s="726"/>
    </row>
    <row r="381" spans="1:50" ht="15" x14ac:dyDescent="0.25">
      <c r="A381" s="170"/>
      <c r="B381" s="719"/>
      <c r="C381" s="170"/>
      <c r="D381" s="170"/>
      <c r="E381" s="170"/>
      <c r="F381" s="170"/>
      <c r="G381" s="721"/>
      <c r="H381" s="170"/>
      <c r="I381" s="170"/>
      <c r="J381" s="170"/>
      <c r="K381" s="170"/>
      <c r="L381" s="170"/>
      <c r="M381" s="730"/>
      <c r="N381" s="730"/>
      <c r="O381" s="730"/>
      <c r="P381" s="731"/>
      <c r="Q381" s="731"/>
      <c r="R381" s="730"/>
      <c r="S381" s="730"/>
      <c r="T381" s="723"/>
      <c r="U381" s="724"/>
      <c r="V381" s="725"/>
      <c r="W381" s="725"/>
      <c r="X381" s="723"/>
      <c r="Y381" s="723"/>
      <c r="Z381" s="723"/>
      <c r="AA381" s="726"/>
      <c r="AB381" s="726"/>
      <c r="AC381" s="170"/>
      <c r="AD381" s="586"/>
      <c r="AE381" s="586"/>
      <c r="AF381" s="170"/>
      <c r="AG381" s="170"/>
      <c r="AH381" s="170"/>
      <c r="AI381" s="170"/>
      <c r="AJ381" s="170"/>
      <c r="AK381" s="170"/>
      <c r="AL381" s="170"/>
      <c r="AM381" s="170"/>
      <c r="AN381" s="170"/>
      <c r="AO381" s="170"/>
      <c r="AP381" s="170"/>
      <c r="AQ381" s="170"/>
      <c r="AR381" s="170"/>
      <c r="AS381" s="170"/>
      <c r="AT381" s="170"/>
      <c r="AU381" s="170"/>
      <c r="AV381" s="170"/>
      <c r="AW381" s="828"/>
      <c r="AX381" s="726"/>
    </row>
    <row r="382" spans="1:50" ht="15" x14ac:dyDescent="0.25">
      <c r="A382" s="170"/>
      <c r="B382" s="719"/>
      <c r="C382" s="170"/>
      <c r="D382" s="170"/>
      <c r="E382" s="170"/>
      <c r="F382" s="170"/>
      <c r="G382" s="721"/>
      <c r="H382" s="170"/>
      <c r="I382" s="170"/>
      <c r="J382" s="170"/>
      <c r="K382" s="170"/>
      <c r="L382" s="170"/>
      <c r="M382" s="730"/>
      <c r="N382" s="730"/>
      <c r="O382" s="730"/>
      <c r="P382" s="731"/>
      <c r="Q382" s="731"/>
      <c r="R382" s="730"/>
      <c r="S382" s="730"/>
      <c r="T382" s="723"/>
      <c r="U382" s="724"/>
      <c r="V382" s="725"/>
      <c r="W382" s="725"/>
      <c r="X382" s="723"/>
      <c r="Y382" s="723"/>
      <c r="Z382" s="723"/>
      <c r="AA382" s="726"/>
      <c r="AB382" s="726"/>
      <c r="AC382" s="170"/>
      <c r="AD382" s="586"/>
      <c r="AE382" s="586"/>
      <c r="AF382" s="170"/>
      <c r="AG382" s="170"/>
      <c r="AH382" s="170"/>
      <c r="AI382" s="170"/>
      <c r="AJ382" s="170"/>
      <c r="AK382" s="170"/>
      <c r="AL382" s="170"/>
      <c r="AM382" s="170"/>
      <c r="AN382" s="170"/>
      <c r="AO382" s="170"/>
      <c r="AP382" s="170"/>
      <c r="AQ382" s="170"/>
      <c r="AR382" s="170"/>
      <c r="AS382" s="170"/>
      <c r="AT382" s="170"/>
      <c r="AU382" s="170"/>
      <c r="AV382" s="170"/>
      <c r="AW382" s="828"/>
      <c r="AX382" s="726"/>
    </row>
    <row r="383" spans="1:50" ht="15" x14ac:dyDescent="0.25">
      <c r="A383" s="170"/>
      <c r="B383" s="719"/>
      <c r="C383" s="170"/>
      <c r="D383" s="170"/>
      <c r="E383" s="170"/>
      <c r="F383" s="170"/>
      <c r="G383" s="721"/>
      <c r="H383" s="170"/>
      <c r="I383" s="170"/>
      <c r="J383" s="170"/>
      <c r="K383" s="170"/>
      <c r="L383" s="170"/>
      <c r="M383" s="730"/>
      <c r="N383" s="730"/>
      <c r="O383" s="730"/>
      <c r="P383" s="731"/>
      <c r="Q383" s="731"/>
      <c r="R383" s="730"/>
      <c r="S383" s="730"/>
      <c r="T383" s="723"/>
      <c r="U383" s="724"/>
      <c r="V383" s="725"/>
      <c r="W383" s="725"/>
      <c r="X383" s="723"/>
      <c r="Y383" s="723"/>
      <c r="Z383" s="723"/>
      <c r="AA383" s="726"/>
      <c r="AB383" s="726"/>
      <c r="AC383" s="170"/>
      <c r="AD383" s="586"/>
      <c r="AE383" s="586"/>
      <c r="AF383" s="170"/>
      <c r="AG383" s="170"/>
      <c r="AH383" s="170"/>
      <c r="AI383" s="170"/>
      <c r="AJ383" s="170"/>
      <c r="AK383" s="170"/>
      <c r="AL383" s="170"/>
      <c r="AM383" s="170"/>
      <c r="AN383" s="170"/>
      <c r="AO383" s="170"/>
      <c r="AP383" s="170"/>
      <c r="AQ383" s="170"/>
      <c r="AR383" s="170"/>
      <c r="AS383" s="170"/>
      <c r="AT383" s="170"/>
      <c r="AU383" s="170"/>
      <c r="AV383" s="170"/>
      <c r="AW383" s="828"/>
      <c r="AX383" s="726"/>
    </row>
    <row r="384" spans="1:50" ht="15" x14ac:dyDescent="0.25">
      <c r="A384" s="170"/>
      <c r="B384" s="719"/>
      <c r="C384" s="170"/>
      <c r="D384" s="170"/>
      <c r="E384" s="170"/>
      <c r="F384" s="170"/>
      <c r="G384" s="721"/>
      <c r="H384" s="170"/>
      <c r="I384" s="170"/>
      <c r="J384" s="170"/>
      <c r="K384" s="170"/>
      <c r="L384" s="170"/>
      <c r="M384" s="730"/>
      <c r="N384" s="730"/>
      <c r="O384" s="730"/>
      <c r="P384" s="731"/>
      <c r="Q384" s="731"/>
      <c r="R384" s="730"/>
      <c r="S384" s="730"/>
      <c r="T384" s="723"/>
      <c r="U384" s="724"/>
      <c r="V384" s="725"/>
      <c r="W384" s="725"/>
      <c r="X384" s="723"/>
      <c r="Y384" s="723"/>
      <c r="Z384" s="723"/>
      <c r="AA384" s="726"/>
      <c r="AB384" s="726"/>
      <c r="AC384" s="170"/>
      <c r="AD384" s="586"/>
      <c r="AE384" s="586"/>
      <c r="AF384" s="170"/>
      <c r="AG384" s="170"/>
      <c r="AH384" s="170"/>
      <c r="AI384" s="170"/>
      <c r="AJ384" s="170"/>
      <c r="AK384" s="170"/>
      <c r="AL384" s="170"/>
      <c r="AM384" s="170"/>
      <c r="AN384" s="170"/>
      <c r="AO384" s="170"/>
      <c r="AP384" s="170"/>
      <c r="AQ384" s="170"/>
      <c r="AR384" s="170"/>
      <c r="AS384" s="170"/>
      <c r="AT384" s="170"/>
      <c r="AU384" s="170"/>
      <c r="AV384" s="170"/>
      <c r="AW384" s="828"/>
      <c r="AX384" s="726"/>
    </row>
    <row r="385" spans="1:50" ht="15" x14ac:dyDescent="0.25">
      <c r="A385" s="170"/>
      <c r="B385" s="719"/>
      <c r="C385" s="170"/>
      <c r="D385" s="170"/>
      <c r="E385" s="170"/>
      <c r="F385" s="170"/>
      <c r="G385" s="721"/>
      <c r="H385" s="170"/>
      <c r="I385" s="170"/>
      <c r="J385" s="170"/>
      <c r="K385" s="170"/>
      <c r="L385" s="170"/>
      <c r="M385" s="730"/>
      <c r="N385" s="730"/>
      <c r="O385" s="730"/>
      <c r="P385" s="731"/>
      <c r="Q385" s="731"/>
      <c r="R385" s="730"/>
      <c r="S385" s="730"/>
      <c r="T385" s="723"/>
      <c r="U385" s="724"/>
      <c r="V385" s="725"/>
      <c r="W385" s="725"/>
      <c r="X385" s="723"/>
      <c r="Y385" s="723"/>
      <c r="Z385" s="723"/>
      <c r="AA385" s="726"/>
      <c r="AB385" s="726"/>
      <c r="AC385" s="170"/>
      <c r="AD385" s="586"/>
      <c r="AE385" s="586"/>
      <c r="AF385" s="170"/>
      <c r="AG385" s="170"/>
      <c r="AH385" s="170"/>
      <c r="AI385" s="170"/>
      <c r="AJ385" s="170"/>
      <c r="AK385" s="170"/>
      <c r="AL385" s="170"/>
      <c r="AM385" s="170"/>
      <c r="AN385" s="170"/>
      <c r="AO385" s="170"/>
      <c r="AP385" s="170"/>
      <c r="AQ385" s="170"/>
      <c r="AR385" s="170"/>
      <c r="AS385" s="170"/>
      <c r="AT385" s="170"/>
      <c r="AU385" s="170"/>
      <c r="AV385" s="170"/>
      <c r="AW385" s="828"/>
      <c r="AX385" s="726"/>
    </row>
    <row r="386" spans="1:50" ht="15" x14ac:dyDescent="0.25">
      <c r="A386" s="170"/>
      <c r="B386" s="719"/>
      <c r="C386" s="170"/>
      <c r="D386" s="170"/>
      <c r="E386" s="170"/>
      <c r="F386" s="170"/>
      <c r="G386" s="721"/>
      <c r="H386" s="170"/>
      <c r="I386" s="170"/>
      <c r="J386" s="170"/>
      <c r="K386" s="170"/>
      <c r="L386" s="170"/>
      <c r="M386" s="730"/>
      <c r="N386" s="730"/>
      <c r="O386" s="730"/>
      <c r="P386" s="731"/>
      <c r="Q386" s="731"/>
      <c r="R386" s="730"/>
      <c r="S386" s="730"/>
      <c r="T386" s="723"/>
      <c r="U386" s="724"/>
      <c r="V386" s="725"/>
      <c r="W386" s="725"/>
      <c r="X386" s="723"/>
      <c r="Y386" s="723"/>
      <c r="Z386" s="723"/>
      <c r="AA386" s="726"/>
      <c r="AB386" s="726"/>
      <c r="AC386" s="170"/>
      <c r="AD386" s="586"/>
      <c r="AE386" s="586"/>
      <c r="AF386" s="170"/>
      <c r="AG386" s="170"/>
      <c r="AH386" s="170"/>
      <c r="AI386" s="170"/>
      <c r="AJ386" s="170"/>
      <c r="AK386" s="170"/>
      <c r="AL386" s="170"/>
      <c r="AM386" s="170"/>
      <c r="AN386" s="170"/>
      <c r="AO386" s="170"/>
      <c r="AP386" s="170"/>
      <c r="AQ386" s="170"/>
      <c r="AR386" s="170"/>
      <c r="AS386" s="170"/>
      <c r="AT386" s="170"/>
      <c r="AU386" s="170"/>
      <c r="AV386" s="170"/>
      <c r="AW386" s="828"/>
      <c r="AX386" s="726"/>
    </row>
    <row r="387" spans="1:50" ht="15" x14ac:dyDescent="0.25">
      <c r="A387" s="170"/>
      <c r="B387" s="719"/>
      <c r="C387" s="170"/>
      <c r="D387" s="170"/>
      <c r="E387" s="170"/>
      <c r="F387" s="170"/>
      <c r="G387" s="721"/>
      <c r="H387" s="170"/>
      <c r="I387" s="170"/>
      <c r="J387" s="170"/>
      <c r="K387" s="170"/>
      <c r="L387" s="170"/>
      <c r="M387" s="730"/>
      <c r="N387" s="730"/>
      <c r="O387" s="730"/>
      <c r="P387" s="731"/>
      <c r="Q387" s="731"/>
      <c r="R387" s="730"/>
      <c r="S387" s="730"/>
      <c r="T387" s="723"/>
      <c r="U387" s="724"/>
      <c r="V387" s="725"/>
      <c r="W387" s="725"/>
      <c r="X387" s="723"/>
      <c r="Y387" s="723"/>
      <c r="Z387" s="723"/>
      <c r="AA387" s="726"/>
      <c r="AB387" s="726"/>
      <c r="AC387" s="170"/>
      <c r="AD387" s="586"/>
      <c r="AE387" s="586"/>
      <c r="AF387" s="170"/>
      <c r="AG387" s="170"/>
      <c r="AH387" s="170"/>
      <c r="AI387" s="170"/>
      <c r="AJ387" s="170"/>
      <c r="AK387" s="170"/>
      <c r="AL387" s="170"/>
      <c r="AM387" s="170"/>
      <c r="AN387" s="170"/>
      <c r="AO387" s="170"/>
      <c r="AP387" s="170"/>
      <c r="AQ387" s="170"/>
      <c r="AR387" s="170"/>
      <c r="AS387" s="170"/>
      <c r="AT387" s="170"/>
      <c r="AU387" s="170"/>
      <c r="AV387" s="170"/>
      <c r="AW387" s="828"/>
      <c r="AX387" s="726"/>
    </row>
    <row r="388" spans="1:50" ht="15" x14ac:dyDescent="0.25">
      <c r="A388" s="170"/>
      <c r="B388" s="719"/>
      <c r="C388" s="170"/>
      <c r="D388" s="170"/>
      <c r="E388" s="170"/>
      <c r="F388" s="170"/>
      <c r="G388" s="721"/>
      <c r="H388" s="170"/>
      <c r="I388" s="170"/>
      <c r="J388" s="170"/>
      <c r="K388" s="170"/>
      <c r="L388" s="170"/>
      <c r="M388" s="730"/>
      <c r="N388" s="730"/>
      <c r="O388" s="730"/>
      <c r="P388" s="731"/>
      <c r="Q388" s="731"/>
      <c r="R388" s="730"/>
      <c r="S388" s="730"/>
      <c r="T388" s="723"/>
      <c r="U388" s="724"/>
      <c r="V388" s="725"/>
      <c r="W388" s="725"/>
      <c r="X388" s="723"/>
      <c r="Y388" s="723"/>
      <c r="Z388" s="723"/>
      <c r="AA388" s="726"/>
      <c r="AB388" s="726"/>
      <c r="AC388" s="170"/>
      <c r="AD388" s="586"/>
      <c r="AE388" s="586"/>
      <c r="AF388" s="170"/>
      <c r="AG388" s="170"/>
      <c r="AH388" s="170"/>
      <c r="AI388" s="170"/>
      <c r="AJ388" s="170"/>
      <c r="AK388" s="170"/>
      <c r="AL388" s="170"/>
      <c r="AM388" s="170"/>
      <c r="AN388" s="170"/>
      <c r="AO388" s="170"/>
      <c r="AP388" s="170"/>
      <c r="AQ388" s="170"/>
      <c r="AR388" s="170"/>
      <c r="AS388" s="170"/>
      <c r="AT388" s="170"/>
      <c r="AU388" s="170"/>
      <c r="AV388" s="170"/>
      <c r="AW388" s="828"/>
      <c r="AX388" s="726"/>
    </row>
    <row r="389" spans="1:50" ht="15" x14ac:dyDescent="0.25">
      <c r="A389" s="170"/>
      <c r="B389" s="719"/>
      <c r="C389" s="170"/>
      <c r="D389" s="170"/>
      <c r="E389" s="170"/>
      <c r="F389" s="170"/>
      <c r="G389" s="721"/>
      <c r="H389" s="170"/>
      <c r="I389" s="170"/>
      <c r="J389" s="170"/>
      <c r="K389" s="170"/>
      <c r="L389" s="170"/>
      <c r="M389" s="730"/>
      <c r="N389" s="730"/>
      <c r="O389" s="730"/>
      <c r="P389" s="731"/>
      <c r="Q389" s="731"/>
      <c r="R389" s="730"/>
      <c r="S389" s="730"/>
      <c r="T389" s="723"/>
      <c r="U389" s="724"/>
      <c r="V389" s="725"/>
      <c r="W389" s="725"/>
      <c r="X389" s="723"/>
      <c r="Y389" s="723"/>
      <c r="Z389" s="723"/>
      <c r="AA389" s="726"/>
      <c r="AB389" s="726"/>
      <c r="AC389" s="170"/>
      <c r="AD389" s="586"/>
      <c r="AE389" s="586"/>
      <c r="AF389" s="170"/>
      <c r="AG389" s="170"/>
      <c r="AH389" s="170"/>
      <c r="AI389" s="170"/>
      <c r="AJ389" s="170"/>
      <c r="AK389" s="170"/>
      <c r="AL389" s="170"/>
      <c r="AM389" s="170"/>
      <c r="AN389" s="170"/>
      <c r="AO389" s="170"/>
      <c r="AP389" s="170"/>
      <c r="AQ389" s="170"/>
      <c r="AR389" s="170"/>
      <c r="AS389" s="170"/>
      <c r="AT389" s="170"/>
      <c r="AU389" s="170"/>
      <c r="AV389" s="170"/>
      <c r="AW389" s="828"/>
      <c r="AX389" s="726"/>
    </row>
    <row r="390" spans="1:50" ht="15" x14ac:dyDescent="0.25">
      <c r="A390" s="170"/>
      <c r="B390" s="719"/>
      <c r="C390" s="170"/>
      <c r="D390" s="170"/>
      <c r="E390" s="170"/>
      <c r="F390" s="170"/>
      <c r="G390" s="721"/>
      <c r="H390" s="170"/>
      <c r="I390" s="170"/>
      <c r="J390" s="170"/>
      <c r="K390" s="170"/>
      <c r="L390" s="170"/>
      <c r="M390" s="730"/>
      <c r="N390" s="730"/>
      <c r="O390" s="730"/>
      <c r="P390" s="731"/>
      <c r="Q390" s="731"/>
      <c r="R390" s="730"/>
      <c r="S390" s="730"/>
      <c r="T390" s="723"/>
      <c r="U390" s="724"/>
      <c r="V390" s="725"/>
      <c r="W390" s="725"/>
      <c r="X390" s="723"/>
      <c r="Y390" s="723"/>
      <c r="Z390" s="723"/>
      <c r="AA390" s="726"/>
      <c r="AB390" s="726"/>
      <c r="AC390" s="170"/>
      <c r="AD390" s="586"/>
      <c r="AE390" s="586"/>
      <c r="AF390" s="170"/>
      <c r="AG390" s="170"/>
      <c r="AH390" s="170"/>
      <c r="AI390" s="170"/>
      <c r="AJ390" s="170"/>
      <c r="AK390" s="170"/>
      <c r="AL390" s="170"/>
      <c r="AM390" s="170"/>
      <c r="AN390" s="170"/>
      <c r="AO390" s="170"/>
      <c r="AP390" s="170"/>
      <c r="AQ390" s="170"/>
      <c r="AR390" s="170"/>
      <c r="AS390" s="170"/>
      <c r="AT390" s="170"/>
      <c r="AU390" s="170"/>
      <c r="AV390" s="170"/>
      <c r="AW390" s="828"/>
      <c r="AX390" s="726"/>
    </row>
    <row r="391" spans="1:50" ht="15" x14ac:dyDescent="0.25">
      <c r="A391" s="170"/>
      <c r="B391" s="719"/>
      <c r="C391" s="170"/>
      <c r="D391" s="170"/>
      <c r="E391" s="170"/>
      <c r="F391" s="170"/>
      <c r="G391" s="721"/>
      <c r="H391" s="170"/>
      <c r="I391" s="170"/>
      <c r="J391" s="170"/>
      <c r="K391" s="170"/>
      <c r="L391" s="170"/>
      <c r="M391" s="730"/>
      <c r="N391" s="730"/>
      <c r="O391" s="730"/>
      <c r="P391" s="731"/>
      <c r="Q391" s="731"/>
      <c r="R391" s="730"/>
      <c r="S391" s="730"/>
      <c r="T391" s="723"/>
      <c r="U391" s="724"/>
      <c r="V391" s="725"/>
      <c r="W391" s="725"/>
      <c r="X391" s="723"/>
      <c r="Y391" s="723"/>
      <c r="Z391" s="723"/>
      <c r="AA391" s="726"/>
      <c r="AB391" s="726"/>
      <c r="AC391" s="170"/>
      <c r="AD391" s="586"/>
      <c r="AE391" s="586"/>
      <c r="AF391" s="170"/>
      <c r="AG391" s="170"/>
      <c r="AH391" s="170"/>
      <c r="AI391" s="170"/>
      <c r="AJ391" s="170"/>
      <c r="AK391" s="170"/>
      <c r="AL391" s="170"/>
      <c r="AM391" s="170"/>
      <c r="AN391" s="170"/>
      <c r="AO391" s="170"/>
      <c r="AP391" s="170"/>
      <c r="AQ391" s="170"/>
      <c r="AR391" s="170"/>
      <c r="AS391" s="170"/>
      <c r="AT391" s="170"/>
      <c r="AU391" s="170"/>
      <c r="AV391" s="170"/>
      <c r="AW391" s="828"/>
      <c r="AX391" s="726"/>
    </row>
    <row r="392" spans="1:50" ht="15" x14ac:dyDescent="0.25">
      <c r="A392" s="170"/>
      <c r="B392" s="719"/>
      <c r="C392" s="170"/>
      <c r="D392" s="170"/>
      <c r="E392" s="170"/>
      <c r="F392" s="170"/>
      <c r="G392" s="721"/>
      <c r="H392" s="170"/>
      <c r="I392" s="170"/>
      <c r="J392" s="170"/>
      <c r="K392" s="170"/>
      <c r="L392" s="170"/>
      <c r="M392" s="730"/>
      <c r="N392" s="730"/>
      <c r="O392" s="730"/>
      <c r="P392" s="731"/>
      <c r="Q392" s="731"/>
      <c r="R392" s="730"/>
      <c r="S392" s="730"/>
      <c r="T392" s="723"/>
      <c r="U392" s="724"/>
      <c r="V392" s="725"/>
      <c r="W392" s="725"/>
      <c r="X392" s="723"/>
      <c r="Y392" s="723"/>
      <c r="Z392" s="723"/>
      <c r="AA392" s="726"/>
      <c r="AB392" s="726"/>
      <c r="AC392" s="170"/>
      <c r="AD392" s="586"/>
      <c r="AE392" s="586"/>
      <c r="AF392" s="170"/>
      <c r="AG392" s="170"/>
      <c r="AH392" s="170"/>
      <c r="AI392" s="170"/>
      <c r="AJ392" s="170"/>
      <c r="AK392" s="170"/>
      <c r="AL392" s="170"/>
      <c r="AM392" s="170"/>
      <c r="AN392" s="170"/>
      <c r="AO392" s="170"/>
      <c r="AP392" s="170"/>
      <c r="AQ392" s="170"/>
      <c r="AR392" s="170"/>
      <c r="AS392" s="170"/>
      <c r="AT392" s="170"/>
      <c r="AU392" s="170"/>
      <c r="AV392" s="170"/>
      <c r="AW392" s="828"/>
      <c r="AX392" s="726"/>
    </row>
    <row r="393" spans="1:50" ht="15" x14ac:dyDescent="0.25">
      <c r="A393" s="170"/>
      <c r="B393" s="719"/>
      <c r="C393" s="170"/>
      <c r="D393" s="170"/>
      <c r="E393" s="170"/>
      <c r="F393" s="170"/>
      <c r="G393" s="721"/>
      <c r="H393" s="170"/>
      <c r="I393" s="170"/>
      <c r="J393" s="170"/>
      <c r="K393" s="170"/>
      <c r="L393" s="170"/>
      <c r="M393" s="730"/>
      <c r="N393" s="730"/>
      <c r="O393" s="730"/>
      <c r="P393" s="731"/>
      <c r="Q393" s="731"/>
      <c r="R393" s="730"/>
      <c r="S393" s="730"/>
      <c r="T393" s="723"/>
      <c r="U393" s="724"/>
      <c r="V393" s="725"/>
      <c r="W393" s="725"/>
      <c r="X393" s="723"/>
      <c r="Y393" s="723"/>
      <c r="Z393" s="723"/>
      <c r="AA393" s="726"/>
      <c r="AB393" s="726"/>
      <c r="AC393" s="170"/>
      <c r="AD393" s="586"/>
      <c r="AE393" s="586"/>
      <c r="AF393" s="170"/>
      <c r="AG393" s="170"/>
      <c r="AH393" s="170"/>
      <c r="AI393" s="170"/>
      <c r="AJ393" s="170"/>
      <c r="AK393" s="170"/>
      <c r="AL393" s="170"/>
      <c r="AM393" s="170"/>
      <c r="AN393" s="170"/>
      <c r="AO393" s="170"/>
      <c r="AP393" s="170"/>
      <c r="AQ393" s="170"/>
      <c r="AR393" s="170"/>
      <c r="AS393" s="170"/>
      <c r="AT393" s="170"/>
      <c r="AU393" s="170"/>
      <c r="AV393" s="170"/>
      <c r="AW393" s="828"/>
      <c r="AX393" s="726"/>
    </row>
    <row r="394" spans="1:50" ht="15" x14ac:dyDescent="0.25">
      <c r="A394" s="170"/>
      <c r="B394" s="719"/>
      <c r="C394" s="170"/>
      <c r="D394" s="170"/>
      <c r="E394" s="170"/>
      <c r="F394" s="170"/>
      <c r="G394" s="721"/>
      <c r="H394" s="170"/>
      <c r="I394" s="170"/>
      <c r="J394" s="170"/>
      <c r="K394" s="170"/>
      <c r="L394" s="170"/>
      <c r="M394" s="730"/>
      <c r="N394" s="730"/>
      <c r="O394" s="730"/>
      <c r="P394" s="731"/>
      <c r="Q394" s="731"/>
      <c r="R394" s="730"/>
      <c r="S394" s="730"/>
      <c r="T394" s="723"/>
      <c r="U394" s="724"/>
      <c r="V394" s="725"/>
      <c r="W394" s="725"/>
      <c r="X394" s="723"/>
      <c r="Y394" s="723"/>
      <c r="Z394" s="723"/>
      <c r="AA394" s="726"/>
      <c r="AB394" s="726"/>
      <c r="AC394" s="170"/>
      <c r="AD394" s="586"/>
      <c r="AE394" s="586"/>
      <c r="AF394" s="170"/>
      <c r="AG394" s="170"/>
      <c r="AH394" s="170"/>
      <c r="AI394" s="170"/>
      <c r="AJ394" s="170"/>
      <c r="AK394" s="170"/>
      <c r="AL394" s="170"/>
      <c r="AM394" s="170"/>
      <c r="AN394" s="170"/>
      <c r="AO394" s="170"/>
      <c r="AP394" s="170"/>
      <c r="AQ394" s="170"/>
      <c r="AR394" s="170"/>
      <c r="AS394" s="170"/>
      <c r="AT394" s="170"/>
      <c r="AU394" s="170"/>
      <c r="AV394" s="170"/>
      <c r="AW394" s="828"/>
      <c r="AX394" s="726"/>
    </row>
    <row r="395" spans="1:50" ht="15" x14ac:dyDescent="0.25">
      <c r="A395" s="170"/>
      <c r="B395" s="719"/>
      <c r="C395" s="170"/>
      <c r="D395" s="170"/>
      <c r="E395" s="170"/>
      <c r="F395" s="170"/>
      <c r="G395" s="721"/>
      <c r="H395" s="170"/>
      <c r="I395" s="170"/>
      <c r="J395" s="170"/>
      <c r="K395" s="170"/>
      <c r="L395" s="170"/>
      <c r="M395" s="730"/>
      <c r="N395" s="730"/>
      <c r="O395" s="730"/>
      <c r="P395" s="731"/>
      <c r="Q395" s="731"/>
      <c r="R395" s="730"/>
      <c r="S395" s="730"/>
      <c r="T395" s="723"/>
      <c r="U395" s="724"/>
      <c r="V395" s="725"/>
      <c r="W395" s="725"/>
      <c r="X395" s="723"/>
      <c r="Y395" s="723"/>
      <c r="Z395" s="723"/>
      <c r="AA395" s="726"/>
      <c r="AB395" s="726"/>
      <c r="AC395" s="170"/>
      <c r="AD395" s="586"/>
      <c r="AE395" s="586"/>
      <c r="AF395" s="170"/>
      <c r="AG395" s="170"/>
      <c r="AH395" s="170"/>
      <c r="AI395" s="170"/>
      <c r="AJ395" s="170"/>
      <c r="AK395" s="170"/>
      <c r="AL395" s="170"/>
      <c r="AM395" s="170"/>
      <c r="AN395" s="170"/>
      <c r="AO395" s="170"/>
      <c r="AP395" s="170"/>
      <c r="AQ395" s="170"/>
      <c r="AR395" s="170"/>
      <c r="AS395" s="170"/>
      <c r="AT395" s="170"/>
      <c r="AU395" s="170"/>
      <c r="AV395" s="170"/>
      <c r="AW395" s="828"/>
      <c r="AX395" s="726"/>
    </row>
    <row r="396" spans="1:50" ht="15" x14ac:dyDescent="0.25">
      <c r="A396" s="170"/>
      <c r="B396" s="719"/>
      <c r="C396" s="170"/>
      <c r="D396" s="170"/>
      <c r="E396" s="170"/>
      <c r="F396" s="170"/>
      <c r="G396" s="721"/>
      <c r="H396" s="170"/>
      <c r="I396" s="170"/>
      <c r="J396" s="170"/>
      <c r="K396" s="170"/>
      <c r="L396" s="170"/>
      <c r="M396" s="730"/>
      <c r="N396" s="730"/>
      <c r="O396" s="730"/>
      <c r="P396" s="731"/>
      <c r="Q396" s="731"/>
      <c r="R396" s="730"/>
      <c r="S396" s="730"/>
      <c r="T396" s="723"/>
      <c r="U396" s="724"/>
      <c r="V396" s="725"/>
      <c r="W396" s="725"/>
      <c r="X396" s="723"/>
      <c r="Y396" s="723"/>
      <c r="Z396" s="723"/>
      <c r="AA396" s="726"/>
      <c r="AB396" s="726"/>
      <c r="AC396" s="170"/>
      <c r="AD396" s="586"/>
      <c r="AE396" s="586"/>
      <c r="AF396" s="170"/>
      <c r="AG396" s="170"/>
      <c r="AH396" s="170"/>
      <c r="AI396" s="170"/>
      <c r="AJ396" s="170"/>
      <c r="AK396" s="170"/>
      <c r="AL396" s="170"/>
      <c r="AM396" s="170"/>
      <c r="AN396" s="170"/>
      <c r="AO396" s="170"/>
      <c r="AP396" s="170"/>
      <c r="AQ396" s="170"/>
      <c r="AR396" s="170"/>
      <c r="AS396" s="170"/>
      <c r="AT396" s="170"/>
      <c r="AU396" s="170"/>
      <c r="AV396" s="170"/>
      <c r="AW396" s="828"/>
      <c r="AX396" s="726"/>
    </row>
    <row r="397" spans="1:50" ht="15" x14ac:dyDescent="0.25">
      <c r="A397" s="170"/>
      <c r="B397" s="719"/>
      <c r="C397" s="170"/>
      <c r="D397" s="170"/>
      <c r="E397" s="170"/>
      <c r="F397" s="170"/>
      <c r="G397" s="721"/>
      <c r="H397" s="170"/>
      <c r="I397" s="170"/>
      <c r="J397" s="170"/>
      <c r="K397" s="170"/>
      <c r="L397" s="170"/>
      <c r="M397" s="730"/>
      <c r="N397" s="730"/>
      <c r="O397" s="730"/>
      <c r="P397" s="731"/>
      <c r="Q397" s="731"/>
      <c r="R397" s="730"/>
      <c r="S397" s="730"/>
      <c r="T397" s="723"/>
      <c r="U397" s="724"/>
      <c r="V397" s="725"/>
      <c r="W397" s="725"/>
      <c r="X397" s="723"/>
      <c r="Y397" s="723"/>
      <c r="Z397" s="723"/>
      <c r="AA397" s="726"/>
      <c r="AB397" s="726"/>
      <c r="AC397" s="170"/>
      <c r="AD397" s="586"/>
      <c r="AE397" s="586"/>
      <c r="AF397" s="170"/>
      <c r="AG397" s="170"/>
      <c r="AH397" s="170"/>
      <c r="AI397" s="170"/>
      <c r="AJ397" s="170"/>
      <c r="AK397" s="170"/>
      <c r="AL397" s="170"/>
      <c r="AM397" s="170"/>
      <c r="AN397" s="170"/>
      <c r="AO397" s="170"/>
      <c r="AP397" s="170"/>
      <c r="AQ397" s="170"/>
      <c r="AR397" s="170"/>
      <c r="AS397" s="170"/>
      <c r="AT397" s="170"/>
      <c r="AU397" s="170"/>
      <c r="AV397" s="170"/>
      <c r="AW397" s="828"/>
      <c r="AX397" s="726"/>
    </row>
    <row r="398" spans="1:50" ht="15" x14ac:dyDescent="0.25">
      <c r="A398" s="170"/>
      <c r="B398" s="719"/>
      <c r="C398" s="170"/>
      <c r="D398" s="170"/>
      <c r="E398" s="170"/>
      <c r="F398" s="170"/>
      <c r="G398" s="721"/>
      <c r="H398" s="170"/>
      <c r="I398" s="170"/>
      <c r="J398" s="170"/>
      <c r="K398" s="170"/>
      <c r="L398" s="170"/>
      <c r="M398" s="730"/>
      <c r="N398" s="730"/>
      <c r="O398" s="730"/>
      <c r="P398" s="731"/>
      <c r="Q398" s="731"/>
      <c r="R398" s="730"/>
      <c r="S398" s="730"/>
      <c r="T398" s="723"/>
      <c r="U398" s="724"/>
      <c r="V398" s="725"/>
      <c r="W398" s="725"/>
      <c r="X398" s="723"/>
      <c r="Y398" s="723"/>
      <c r="Z398" s="723"/>
      <c r="AA398" s="726"/>
      <c r="AB398" s="726"/>
      <c r="AC398" s="170"/>
      <c r="AD398" s="586"/>
      <c r="AE398" s="586"/>
      <c r="AF398" s="170"/>
      <c r="AG398" s="170"/>
      <c r="AH398" s="170"/>
      <c r="AI398" s="170"/>
      <c r="AJ398" s="170"/>
      <c r="AK398" s="170"/>
      <c r="AL398" s="170"/>
      <c r="AM398" s="170"/>
      <c r="AN398" s="170"/>
      <c r="AO398" s="170"/>
      <c r="AP398" s="170"/>
      <c r="AQ398" s="170"/>
      <c r="AR398" s="170"/>
      <c r="AS398" s="170"/>
      <c r="AT398" s="170"/>
      <c r="AU398" s="170"/>
      <c r="AV398" s="170"/>
      <c r="AW398" s="828"/>
      <c r="AX398" s="726"/>
    </row>
    <row r="399" spans="1:50" ht="15" x14ac:dyDescent="0.25">
      <c r="A399" s="170"/>
      <c r="B399" s="719"/>
      <c r="C399" s="170"/>
      <c r="D399" s="170"/>
      <c r="E399" s="170"/>
      <c r="F399" s="170"/>
      <c r="G399" s="721"/>
      <c r="H399" s="170"/>
      <c r="I399" s="170"/>
      <c r="J399" s="170"/>
      <c r="K399" s="170"/>
      <c r="L399" s="170"/>
      <c r="M399" s="730"/>
      <c r="N399" s="730"/>
      <c r="O399" s="730"/>
      <c r="P399" s="731"/>
      <c r="Q399" s="731"/>
      <c r="R399" s="730"/>
      <c r="S399" s="730"/>
      <c r="T399" s="723"/>
      <c r="U399" s="724"/>
      <c r="V399" s="725"/>
      <c r="W399" s="725"/>
      <c r="X399" s="723"/>
      <c r="Y399" s="723"/>
      <c r="Z399" s="723"/>
      <c r="AA399" s="726"/>
      <c r="AB399" s="726"/>
      <c r="AC399" s="170"/>
      <c r="AD399" s="586"/>
      <c r="AE399" s="586"/>
      <c r="AF399" s="170"/>
      <c r="AG399" s="170"/>
      <c r="AH399" s="170"/>
      <c r="AI399" s="170"/>
      <c r="AJ399" s="170"/>
      <c r="AK399" s="170"/>
      <c r="AL399" s="170"/>
      <c r="AM399" s="170"/>
      <c r="AN399" s="170"/>
      <c r="AO399" s="170"/>
      <c r="AP399" s="170"/>
      <c r="AQ399" s="170"/>
      <c r="AR399" s="170"/>
      <c r="AS399" s="170"/>
      <c r="AT399" s="170"/>
      <c r="AU399" s="170"/>
      <c r="AV399" s="170"/>
      <c r="AW399" s="828"/>
      <c r="AX399" s="726"/>
    </row>
    <row r="400" spans="1:50" ht="15" x14ac:dyDescent="0.25">
      <c r="A400" s="170"/>
      <c r="B400" s="719"/>
      <c r="C400" s="170"/>
      <c r="D400" s="170"/>
      <c r="E400" s="170"/>
      <c r="F400" s="170"/>
      <c r="G400" s="721"/>
      <c r="H400" s="170"/>
      <c r="I400" s="170"/>
      <c r="J400" s="170"/>
      <c r="K400" s="170"/>
      <c r="L400" s="170"/>
      <c r="M400" s="730"/>
      <c r="N400" s="730"/>
      <c r="O400" s="730"/>
      <c r="P400" s="731"/>
      <c r="Q400" s="731"/>
      <c r="R400" s="730"/>
      <c r="S400" s="730"/>
      <c r="T400" s="723"/>
      <c r="U400" s="724"/>
      <c r="V400" s="725"/>
      <c r="W400" s="725"/>
      <c r="X400" s="723"/>
      <c r="Y400" s="723"/>
      <c r="Z400" s="723"/>
      <c r="AA400" s="726"/>
      <c r="AB400" s="726"/>
      <c r="AC400" s="170"/>
      <c r="AD400" s="586"/>
      <c r="AE400" s="586"/>
      <c r="AF400" s="170"/>
      <c r="AG400" s="170"/>
      <c r="AH400" s="170"/>
      <c r="AI400" s="170"/>
      <c r="AJ400" s="170"/>
      <c r="AK400" s="170"/>
      <c r="AL400" s="170"/>
      <c r="AM400" s="170"/>
      <c r="AN400" s="170"/>
      <c r="AO400" s="170"/>
      <c r="AP400" s="170"/>
      <c r="AQ400" s="170"/>
      <c r="AR400" s="170"/>
      <c r="AS400" s="170"/>
      <c r="AT400" s="170"/>
      <c r="AU400" s="170"/>
      <c r="AV400" s="170"/>
      <c r="AW400" s="828"/>
      <c r="AX400" s="726"/>
    </row>
    <row r="401" spans="1:50" ht="15" x14ac:dyDescent="0.25">
      <c r="A401" s="170"/>
      <c r="B401" s="719"/>
      <c r="C401" s="170"/>
      <c r="D401" s="170"/>
      <c r="E401" s="170"/>
      <c r="F401" s="170"/>
      <c r="G401" s="721"/>
      <c r="H401" s="170"/>
      <c r="I401" s="170"/>
      <c r="J401" s="170"/>
      <c r="K401" s="170"/>
      <c r="L401" s="170"/>
      <c r="M401" s="730"/>
      <c r="N401" s="730"/>
      <c r="O401" s="730"/>
      <c r="P401" s="731"/>
      <c r="Q401" s="731"/>
      <c r="R401" s="730"/>
      <c r="S401" s="730"/>
      <c r="T401" s="723"/>
      <c r="U401" s="724"/>
      <c r="V401" s="725"/>
      <c r="W401" s="725"/>
      <c r="X401" s="723"/>
      <c r="Y401" s="723"/>
      <c r="Z401" s="723"/>
      <c r="AA401" s="726"/>
      <c r="AB401" s="726"/>
      <c r="AC401" s="170"/>
      <c r="AD401" s="586"/>
      <c r="AE401" s="586"/>
      <c r="AF401" s="170"/>
      <c r="AG401" s="170"/>
      <c r="AH401" s="170"/>
      <c r="AI401" s="170"/>
      <c r="AJ401" s="170"/>
      <c r="AK401" s="170"/>
      <c r="AL401" s="170"/>
      <c r="AM401" s="170"/>
      <c r="AN401" s="170"/>
      <c r="AO401" s="170"/>
      <c r="AP401" s="170"/>
      <c r="AQ401" s="170"/>
      <c r="AR401" s="170"/>
      <c r="AS401" s="170"/>
      <c r="AT401" s="170"/>
      <c r="AU401" s="170"/>
      <c r="AV401" s="170"/>
      <c r="AW401" s="828"/>
      <c r="AX401" s="726"/>
    </row>
    <row r="402" spans="1:50" ht="15" x14ac:dyDescent="0.25">
      <c r="A402" s="170"/>
      <c r="B402" s="719"/>
      <c r="C402" s="170"/>
      <c r="D402" s="170"/>
      <c r="E402" s="170"/>
      <c r="F402" s="170"/>
      <c r="G402" s="721"/>
      <c r="H402" s="170"/>
      <c r="I402" s="170"/>
      <c r="J402" s="170"/>
      <c r="K402" s="170"/>
      <c r="L402" s="170"/>
      <c r="M402" s="730"/>
      <c r="N402" s="730"/>
      <c r="O402" s="730"/>
      <c r="P402" s="731"/>
      <c r="Q402" s="731"/>
      <c r="R402" s="730"/>
      <c r="S402" s="730"/>
      <c r="T402" s="723"/>
      <c r="U402" s="724"/>
      <c r="V402" s="725"/>
      <c r="W402" s="725"/>
      <c r="X402" s="723"/>
      <c r="Y402" s="723"/>
      <c r="Z402" s="723"/>
      <c r="AA402" s="726"/>
      <c r="AB402" s="726"/>
      <c r="AC402" s="170"/>
      <c r="AD402" s="586"/>
      <c r="AE402" s="586"/>
      <c r="AF402" s="170"/>
      <c r="AG402" s="170"/>
      <c r="AH402" s="170"/>
      <c r="AI402" s="170"/>
      <c r="AJ402" s="170"/>
      <c r="AK402" s="170"/>
      <c r="AL402" s="170"/>
      <c r="AM402" s="170"/>
      <c r="AN402" s="170"/>
      <c r="AO402" s="170"/>
      <c r="AP402" s="170"/>
      <c r="AQ402" s="170"/>
      <c r="AR402" s="170"/>
      <c r="AS402" s="170"/>
      <c r="AT402" s="170"/>
      <c r="AU402" s="170"/>
      <c r="AV402" s="170"/>
      <c r="AW402" s="828"/>
      <c r="AX402" s="726"/>
    </row>
    <row r="403" spans="1:50" ht="15" x14ac:dyDescent="0.25">
      <c r="A403" s="170"/>
      <c r="B403" s="719"/>
      <c r="C403" s="170"/>
      <c r="D403" s="170"/>
      <c r="E403" s="170"/>
      <c r="F403" s="170"/>
      <c r="G403" s="721"/>
      <c r="H403" s="170"/>
      <c r="I403" s="170"/>
      <c r="J403" s="170"/>
      <c r="K403" s="170"/>
      <c r="L403" s="170"/>
      <c r="M403" s="730"/>
      <c r="N403" s="730"/>
      <c r="O403" s="730"/>
      <c r="P403" s="731"/>
      <c r="Q403" s="731"/>
      <c r="R403" s="730"/>
      <c r="S403" s="730"/>
      <c r="T403" s="723"/>
      <c r="U403" s="724"/>
      <c r="V403" s="725"/>
      <c r="W403" s="725"/>
      <c r="X403" s="723"/>
      <c r="Y403" s="723"/>
      <c r="Z403" s="723"/>
      <c r="AA403" s="726"/>
      <c r="AB403" s="726"/>
      <c r="AC403" s="170"/>
      <c r="AD403" s="586"/>
      <c r="AE403" s="586"/>
      <c r="AF403" s="170"/>
      <c r="AG403" s="170"/>
      <c r="AH403" s="170"/>
      <c r="AI403" s="170"/>
      <c r="AJ403" s="170"/>
      <c r="AK403" s="170"/>
      <c r="AL403" s="170"/>
      <c r="AM403" s="170"/>
      <c r="AN403" s="170"/>
      <c r="AO403" s="170"/>
      <c r="AP403" s="170"/>
      <c r="AQ403" s="170"/>
      <c r="AR403" s="170"/>
      <c r="AS403" s="170"/>
      <c r="AT403" s="170"/>
      <c r="AU403" s="170"/>
      <c r="AV403" s="170"/>
      <c r="AW403" s="828"/>
      <c r="AX403" s="726"/>
    </row>
    <row r="404" spans="1:50" ht="15" x14ac:dyDescent="0.25">
      <c r="A404" s="170"/>
      <c r="B404" s="719"/>
      <c r="C404" s="170"/>
      <c r="D404" s="170"/>
      <c r="E404" s="170"/>
      <c r="F404" s="170"/>
      <c r="G404" s="721"/>
      <c r="H404" s="170"/>
      <c r="I404" s="170"/>
      <c r="J404" s="170"/>
      <c r="K404" s="170"/>
      <c r="L404" s="170"/>
      <c r="M404" s="730"/>
      <c r="N404" s="730"/>
      <c r="O404" s="730"/>
      <c r="P404" s="731"/>
      <c r="Q404" s="731"/>
      <c r="R404" s="730"/>
      <c r="S404" s="730"/>
      <c r="T404" s="723"/>
      <c r="U404" s="724"/>
      <c r="V404" s="725"/>
      <c r="W404" s="725"/>
      <c r="X404" s="723"/>
      <c r="Y404" s="723"/>
      <c r="Z404" s="723"/>
      <c r="AA404" s="726"/>
      <c r="AB404" s="726"/>
      <c r="AC404" s="170"/>
      <c r="AD404" s="586"/>
      <c r="AE404" s="586"/>
      <c r="AF404" s="170"/>
      <c r="AG404" s="170"/>
      <c r="AH404" s="170"/>
      <c r="AI404" s="170"/>
      <c r="AJ404" s="170"/>
      <c r="AK404" s="170"/>
      <c r="AL404" s="170"/>
      <c r="AM404" s="170"/>
      <c r="AN404" s="170"/>
      <c r="AO404" s="170"/>
      <c r="AP404" s="170"/>
      <c r="AQ404" s="170"/>
      <c r="AR404" s="170"/>
      <c r="AS404" s="170"/>
      <c r="AT404" s="170"/>
      <c r="AU404" s="170"/>
      <c r="AV404" s="170"/>
      <c r="AW404" s="828"/>
      <c r="AX404" s="726"/>
    </row>
    <row r="405" spans="1:50" ht="15" x14ac:dyDescent="0.25">
      <c r="A405" s="170"/>
      <c r="B405" s="719"/>
      <c r="C405" s="170"/>
      <c r="D405" s="170"/>
      <c r="E405" s="170"/>
      <c r="F405" s="170"/>
      <c r="G405" s="721"/>
      <c r="H405" s="170"/>
      <c r="I405" s="170"/>
      <c r="J405" s="170"/>
      <c r="K405" s="170"/>
      <c r="L405" s="170"/>
      <c r="M405" s="730"/>
      <c r="N405" s="730"/>
      <c r="O405" s="730"/>
      <c r="P405" s="731"/>
      <c r="Q405" s="731"/>
      <c r="R405" s="730"/>
      <c r="S405" s="730"/>
      <c r="T405" s="723"/>
      <c r="U405" s="724"/>
      <c r="V405" s="725"/>
      <c r="W405" s="725"/>
      <c r="X405" s="723"/>
      <c r="Y405" s="723"/>
      <c r="Z405" s="723"/>
      <c r="AA405" s="726"/>
      <c r="AB405" s="726"/>
      <c r="AC405" s="170"/>
      <c r="AD405" s="586"/>
      <c r="AE405" s="586"/>
      <c r="AF405" s="170"/>
      <c r="AG405" s="170"/>
      <c r="AH405" s="170"/>
      <c r="AI405" s="170"/>
      <c r="AJ405" s="170"/>
      <c r="AK405" s="170"/>
      <c r="AL405" s="170"/>
      <c r="AM405" s="170"/>
      <c r="AN405" s="170"/>
      <c r="AO405" s="170"/>
      <c r="AP405" s="170"/>
      <c r="AQ405" s="170"/>
      <c r="AR405" s="170"/>
      <c r="AS405" s="170"/>
      <c r="AT405" s="170"/>
      <c r="AU405" s="170"/>
      <c r="AV405" s="170"/>
      <c r="AW405" s="828"/>
      <c r="AX405" s="726"/>
    </row>
    <row r="406" spans="1:50" ht="15" x14ac:dyDescent="0.25">
      <c r="A406" s="170"/>
      <c r="B406" s="719"/>
      <c r="C406" s="170"/>
      <c r="D406" s="170"/>
      <c r="E406" s="170"/>
      <c r="F406" s="170"/>
      <c r="G406" s="721"/>
      <c r="H406" s="170"/>
      <c r="I406" s="170"/>
      <c r="J406" s="170"/>
      <c r="K406" s="170"/>
      <c r="L406" s="170"/>
      <c r="M406" s="730"/>
      <c r="N406" s="730"/>
      <c r="O406" s="730"/>
      <c r="P406" s="731"/>
      <c r="Q406" s="731"/>
      <c r="R406" s="730"/>
      <c r="S406" s="730"/>
      <c r="T406" s="723"/>
      <c r="U406" s="724"/>
      <c r="V406" s="725"/>
      <c r="W406" s="725"/>
      <c r="X406" s="723"/>
      <c r="Y406" s="723"/>
      <c r="Z406" s="723"/>
      <c r="AA406" s="726"/>
      <c r="AB406" s="726"/>
      <c r="AC406" s="170"/>
      <c r="AD406" s="586"/>
      <c r="AE406" s="586"/>
      <c r="AF406" s="170"/>
      <c r="AG406" s="170"/>
      <c r="AH406" s="170"/>
      <c r="AI406" s="170"/>
      <c r="AJ406" s="170"/>
      <c r="AK406" s="170"/>
      <c r="AL406" s="170"/>
      <c r="AM406" s="170"/>
      <c r="AN406" s="170"/>
      <c r="AO406" s="170"/>
      <c r="AP406" s="170"/>
      <c r="AQ406" s="170"/>
      <c r="AR406" s="170"/>
      <c r="AS406" s="170"/>
      <c r="AT406" s="170"/>
      <c r="AU406" s="170"/>
      <c r="AV406" s="170"/>
      <c r="AW406" s="828"/>
      <c r="AX406" s="726"/>
    </row>
    <row r="407" spans="1:50" ht="15" x14ac:dyDescent="0.25">
      <c r="A407" s="170"/>
      <c r="B407" s="719"/>
      <c r="C407" s="170"/>
      <c r="D407" s="170"/>
      <c r="E407" s="170"/>
      <c r="F407" s="170"/>
      <c r="G407" s="721"/>
      <c r="H407" s="170"/>
      <c r="I407" s="170"/>
      <c r="J407" s="170"/>
      <c r="K407" s="170"/>
      <c r="L407" s="170"/>
      <c r="M407" s="730"/>
      <c r="N407" s="730"/>
      <c r="O407" s="730"/>
      <c r="P407" s="731"/>
      <c r="Q407" s="731"/>
      <c r="R407" s="730"/>
      <c r="S407" s="730"/>
      <c r="T407" s="723"/>
      <c r="U407" s="724"/>
      <c r="V407" s="725"/>
      <c r="W407" s="725"/>
      <c r="X407" s="723"/>
      <c r="Y407" s="723"/>
      <c r="Z407" s="723"/>
      <c r="AA407" s="726"/>
      <c r="AB407" s="726"/>
      <c r="AC407" s="170"/>
      <c r="AD407" s="586"/>
      <c r="AE407" s="586"/>
      <c r="AF407" s="170"/>
      <c r="AG407" s="170"/>
      <c r="AH407" s="170"/>
      <c r="AI407" s="170"/>
      <c r="AJ407" s="170"/>
      <c r="AK407" s="170"/>
      <c r="AL407" s="170"/>
      <c r="AM407" s="170"/>
      <c r="AN407" s="170"/>
      <c r="AO407" s="170"/>
      <c r="AP407" s="170"/>
      <c r="AQ407" s="170"/>
      <c r="AR407" s="170"/>
      <c r="AS407" s="170"/>
      <c r="AT407" s="170"/>
      <c r="AU407" s="170"/>
      <c r="AV407" s="170"/>
      <c r="AW407" s="828"/>
      <c r="AX407" s="726"/>
    </row>
    <row r="408" spans="1:50" ht="15" x14ac:dyDescent="0.25">
      <c r="A408" s="170"/>
      <c r="B408" s="719"/>
      <c r="C408" s="170"/>
      <c r="D408" s="170"/>
      <c r="E408" s="170"/>
      <c r="F408" s="170"/>
      <c r="G408" s="721"/>
      <c r="H408" s="170"/>
      <c r="I408" s="170"/>
      <c r="J408" s="170"/>
      <c r="K408" s="170"/>
      <c r="L408" s="170"/>
      <c r="M408" s="730"/>
      <c r="N408" s="730"/>
      <c r="O408" s="730"/>
      <c r="P408" s="731"/>
      <c r="Q408" s="731"/>
      <c r="R408" s="730"/>
      <c r="S408" s="730"/>
      <c r="T408" s="723"/>
      <c r="U408" s="724"/>
      <c r="V408" s="725"/>
      <c r="W408" s="725"/>
      <c r="X408" s="723"/>
      <c r="Y408" s="723"/>
      <c r="Z408" s="723"/>
      <c r="AA408" s="726"/>
      <c r="AB408" s="726"/>
      <c r="AC408" s="170"/>
      <c r="AD408" s="586"/>
      <c r="AE408" s="586"/>
      <c r="AF408" s="170"/>
      <c r="AG408" s="170"/>
      <c r="AH408" s="170"/>
      <c r="AI408" s="170"/>
      <c r="AJ408" s="170"/>
      <c r="AK408" s="170"/>
      <c r="AL408" s="170"/>
      <c r="AM408" s="170"/>
      <c r="AN408" s="170"/>
      <c r="AO408" s="170"/>
      <c r="AP408" s="170"/>
      <c r="AQ408" s="170"/>
      <c r="AR408" s="170"/>
      <c r="AS408" s="170"/>
      <c r="AT408" s="170"/>
      <c r="AU408" s="170"/>
      <c r="AV408" s="170"/>
      <c r="AW408" s="828"/>
      <c r="AX408" s="726"/>
    </row>
    <row r="409" spans="1:50" ht="15" x14ac:dyDescent="0.25">
      <c r="A409" s="170"/>
      <c r="B409" s="719"/>
      <c r="C409" s="170"/>
      <c r="D409" s="170"/>
      <c r="E409" s="170"/>
      <c r="F409" s="170"/>
      <c r="G409" s="721"/>
      <c r="H409" s="170"/>
      <c r="I409" s="170"/>
      <c r="J409" s="170"/>
      <c r="K409" s="170"/>
      <c r="L409" s="170"/>
      <c r="M409" s="730"/>
      <c r="N409" s="730"/>
      <c r="O409" s="730"/>
      <c r="P409" s="731"/>
      <c r="Q409" s="731"/>
      <c r="R409" s="730"/>
      <c r="S409" s="730"/>
      <c r="T409" s="723"/>
      <c r="U409" s="724"/>
      <c r="V409" s="725"/>
      <c r="W409" s="725"/>
      <c r="X409" s="723"/>
      <c r="Y409" s="723"/>
      <c r="Z409" s="723"/>
      <c r="AA409" s="726"/>
      <c r="AB409" s="726"/>
      <c r="AC409" s="170"/>
      <c r="AD409" s="586"/>
      <c r="AE409" s="586"/>
      <c r="AF409" s="170"/>
      <c r="AG409" s="170"/>
      <c r="AH409" s="170"/>
      <c r="AI409" s="170"/>
      <c r="AJ409" s="170"/>
      <c r="AK409" s="170"/>
      <c r="AL409" s="170"/>
      <c r="AM409" s="170"/>
      <c r="AN409" s="170"/>
      <c r="AO409" s="170"/>
      <c r="AP409" s="170"/>
      <c r="AQ409" s="170"/>
      <c r="AR409" s="170"/>
      <c r="AS409" s="170"/>
      <c r="AT409" s="170"/>
      <c r="AU409" s="170"/>
      <c r="AV409" s="170"/>
      <c r="AW409" s="828"/>
      <c r="AX409" s="726"/>
    </row>
    <row r="410" spans="1:50" ht="15" x14ac:dyDescent="0.25">
      <c r="A410" s="170"/>
      <c r="B410" s="719"/>
      <c r="C410" s="170"/>
      <c r="D410" s="170"/>
      <c r="E410" s="170"/>
      <c r="F410" s="170"/>
      <c r="G410" s="721"/>
      <c r="H410" s="170"/>
      <c r="I410" s="170"/>
      <c r="J410" s="170"/>
      <c r="K410" s="170"/>
      <c r="L410" s="170"/>
      <c r="M410" s="730"/>
      <c r="N410" s="730"/>
      <c r="O410" s="730"/>
      <c r="P410" s="731"/>
      <c r="Q410" s="731"/>
      <c r="R410" s="730"/>
      <c r="S410" s="730"/>
      <c r="T410" s="723"/>
      <c r="U410" s="724"/>
      <c r="V410" s="725"/>
      <c r="W410" s="725"/>
      <c r="X410" s="723"/>
      <c r="Y410" s="723"/>
      <c r="Z410" s="723"/>
      <c r="AA410" s="726"/>
      <c r="AB410" s="726"/>
      <c r="AC410" s="170"/>
      <c r="AD410" s="586"/>
      <c r="AE410" s="586"/>
      <c r="AF410" s="170"/>
      <c r="AG410" s="170"/>
      <c r="AH410" s="170"/>
      <c r="AI410" s="170"/>
      <c r="AJ410" s="170"/>
      <c r="AK410" s="170"/>
      <c r="AL410" s="170"/>
      <c r="AM410" s="170"/>
      <c r="AN410" s="170"/>
      <c r="AO410" s="170"/>
      <c r="AP410" s="170"/>
      <c r="AQ410" s="170"/>
      <c r="AR410" s="170"/>
      <c r="AS410" s="170"/>
      <c r="AT410" s="170"/>
      <c r="AU410" s="170"/>
      <c r="AV410" s="170"/>
      <c r="AW410" s="828"/>
      <c r="AX410" s="726"/>
    </row>
    <row r="411" spans="1:50" ht="15" x14ac:dyDescent="0.25">
      <c r="A411" s="170"/>
      <c r="B411" s="719"/>
      <c r="C411" s="170"/>
      <c r="D411" s="170"/>
      <c r="E411" s="170"/>
      <c r="F411" s="170"/>
      <c r="G411" s="721"/>
      <c r="H411" s="170"/>
      <c r="I411" s="170"/>
      <c r="J411" s="170"/>
      <c r="K411" s="170"/>
      <c r="L411" s="170"/>
      <c r="M411" s="730"/>
      <c r="N411" s="730"/>
      <c r="O411" s="730"/>
      <c r="P411" s="731"/>
      <c r="Q411" s="731"/>
      <c r="R411" s="730"/>
      <c r="S411" s="730"/>
      <c r="T411" s="723"/>
      <c r="U411" s="724"/>
      <c r="V411" s="725"/>
      <c r="W411" s="725"/>
      <c r="X411" s="723"/>
      <c r="Y411" s="723"/>
      <c r="Z411" s="723"/>
      <c r="AA411" s="726"/>
      <c r="AB411" s="726"/>
      <c r="AC411" s="170"/>
      <c r="AD411" s="586"/>
      <c r="AE411" s="586"/>
      <c r="AF411" s="170"/>
      <c r="AG411" s="170"/>
      <c r="AH411" s="170"/>
      <c r="AI411" s="170"/>
      <c r="AJ411" s="170"/>
      <c r="AK411" s="170"/>
      <c r="AL411" s="170"/>
      <c r="AM411" s="170"/>
      <c r="AN411" s="170"/>
      <c r="AO411" s="170"/>
      <c r="AP411" s="170"/>
      <c r="AQ411" s="170"/>
      <c r="AR411" s="170"/>
      <c r="AS411" s="170"/>
      <c r="AT411" s="170"/>
      <c r="AU411" s="170"/>
      <c r="AV411" s="170"/>
      <c r="AW411" s="828"/>
      <c r="AX411" s="726"/>
    </row>
    <row r="412" spans="1:50" ht="15" x14ac:dyDescent="0.25">
      <c r="A412" s="170"/>
      <c r="B412" s="719"/>
      <c r="C412" s="170"/>
      <c r="D412" s="170"/>
      <c r="E412" s="170"/>
      <c r="F412" s="170"/>
      <c r="G412" s="721"/>
      <c r="H412" s="170"/>
      <c r="I412" s="170"/>
      <c r="J412" s="170"/>
      <c r="K412" s="170"/>
      <c r="L412" s="170"/>
      <c r="M412" s="730"/>
      <c r="N412" s="730"/>
      <c r="O412" s="730"/>
      <c r="P412" s="731"/>
      <c r="Q412" s="731"/>
      <c r="R412" s="730"/>
      <c r="S412" s="730"/>
      <c r="T412" s="723"/>
      <c r="U412" s="724"/>
      <c r="V412" s="725"/>
      <c r="W412" s="725"/>
      <c r="X412" s="723"/>
      <c r="Y412" s="723"/>
      <c r="Z412" s="723"/>
      <c r="AA412" s="726"/>
      <c r="AB412" s="726"/>
      <c r="AC412" s="170"/>
      <c r="AD412" s="586"/>
      <c r="AE412" s="586"/>
      <c r="AF412" s="170"/>
      <c r="AG412" s="170"/>
      <c r="AH412" s="170"/>
      <c r="AI412" s="170"/>
      <c r="AJ412" s="170"/>
      <c r="AK412" s="170"/>
      <c r="AL412" s="170"/>
      <c r="AM412" s="170"/>
      <c r="AN412" s="170"/>
      <c r="AO412" s="170"/>
      <c r="AP412" s="170"/>
      <c r="AQ412" s="170"/>
      <c r="AR412" s="170"/>
      <c r="AS412" s="170"/>
      <c r="AT412" s="170"/>
      <c r="AU412" s="170"/>
      <c r="AV412" s="170"/>
      <c r="AW412" s="828"/>
      <c r="AX412" s="726"/>
    </row>
    <row r="413" spans="1:50" ht="15" x14ac:dyDescent="0.25">
      <c r="A413" s="170"/>
      <c r="B413" s="719"/>
      <c r="C413" s="170"/>
      <c r="D413" s="170"/>
      <c r="E413" s="170"/>
      <c r="F413" s="170"/>
      <c r="G413" s="721"/>
      <c r="H413" s="170"/>
      <c r="I413" s="170"/>
      <c r="J413" s="170"/>
      <c r="K413" s="170"/>
      <c r="L413" s="170"/>
      <c r="M413" s="730"/>
      <c r="N413" s="730"/>
      <c r="O413" s="730"/>
      <c r="P413" s="731"/>
      <c r="Q413" s="731"/>
      <c r="R413" s="730"/>
      <c r="S413" s="730"/>
      <c r="T413" s="723"/>
      <c r="U413" s="724"/>
      <c r="V413" s="725"/>
      <c r="W413" s="725"/>
      <c r="X413" s="723"/>
      <c r="Y413" s="723"/>
      <c r="Z413" s="723"/>
      <c r="AA413" s="726"/>
      <c r="AB413" s="726"/>
      <c r="AC413" s="170"/>
      <c r="AD413" s="586"/>
      <c r="AE413" s="586"/>
      <c r="AF413" s="170"/>
      <c r="AG413" s="170"/>
      <c r="AH413" s="170"/>
      <c r="AI413" s="170"/>
      <c r="AJ413" s="170"/>
      <c r="AK413" s="170"/>
      <c r="AL413" s="170"/>
      <c r="AM413" s="170"/>
      <c r="AN413" s="170"/>
      <c r="AO413" s="170"/>
      <c r="AP413" s="170"/>
      <c r="AQ413" s="170"/>
      <c r="AR413" s="170"/>
      <c r="AS413" s="170"/>
      <c r="AT413" s="170"/>
      <c r="AU413" s="170"/>
      <c r="AV413" s="170"/>
      <c r="AW413" s="828"/>
      <c r="AX413" s="726"/>
    </row>
    <row r="414" spans="1:50" ht="15" x14ac:dyDescent="0.25">
      <c r="A414" s="170"/>
      <c r="B414" s="719"/>
      <c r="C414" s="170"/>
      <c r="D414" s="170"/>
      <c r="E414" s="170"/>
      <c r="F414" s="170"/>
      <c r="G414" s="721"/>
      <c r="H414" s="170"/>
      <c r="I414" s="170"/>
      <c r="J414" s="170"/>
      <c r="K414" s="170"/>
      <c r="L414" s="170"/>
      <c r="M414" s="730"/>
      <c r="N414" s="730"/>
      <c r="O414" s="730"/>
      <c r="P414" s="731"/>
      <c r="Q414" s="731"/>
      <c r="R414" s="730"/>
      <c r="S414" s="730"/>
      <c r="T414" s="723"/>
      <c r="U414" s="724"/>
      <c r="V414" s="725"/>
      <c r="W414" s="725"/>
      <c r="X414" s="723"/>
      <c r="Y414" s="723"/>
      <c r="Z414" s="723"/>
      <c r="AA414" s="726"/>
      <c r="AB414" s="726"/>
      <c r="AC414" s="170"/>
      <c r="AD414" s="586"/>
      <c r="AE414" s="586"/>
      <c r="AF414" s="170"/>
      <c r="AG414" s="170"/>
      <c r="AH414" s="170"/>
      <c r="AI414" s="170"/>
      <c r="AJ414" s="170"/>
      <c r="AK414" s="170"/>
      <c r="AL414" s="170"/>
      <c r="AM414" s="170"/>
      <c r="AN414" s="170"/>
      <c r="AO414" s="170"/>
      <c r="AP414" s="170"/>
      <c r="AQ414" s="170"/>
      <c r="AR414" s="170"/>
      <c r="AS414" s="170"/>
      <c r="AT414" s="170"/>
      <c r="AU414" s="170"/>
      <c r="AV414" s="170"/>
      <c r="AW414" s="828"/>
      <c r="AX414" s="726"/>
    </row>
    <row r="415" spans="1:50" ht="15" x14ac:dyDescent="0.25">
      <c r="A415" s="170"/>
      <c r="B415" s="719"/>
      <c r="C415" s="170"/>
      <c r="D415" s="170"/>
      <c r="E415" s="170"/>
      <c r="F415" s="170"/>
      <c r="G415" s="721"/>
      <c r="H415" s="170"/>
      <c r="I415" s="170"/>
      <c r="J415" s="170"/>
      <c r="K415" s="170"/>
      <c r="L415" s="170"/>
      <c r="M415" s="730"/>
      <c r="N415" s="730"/>
      <c r="O415" s="730"/>
      <c r="P415" s="731"/>
      <c r="Q415" s="731"/>
      <c r="R415" s="730"/>
      <c r="S415" s="730"/>
      <c r="T415" s="723"/>
      <c r="U415" s="724"/>
      <c r="V415" s="725"/>
      <c r="W415" s="725"/>
      <c r="X415" s="723"/>
      <c r="Y415" s="723"/>
      <c r="Z415" s="723"/>
      <c r="AA415" s="726"/>
      <c r="AB415" s="726"/>
      <c r="AC415" s="170"/>
      <c r="AD415" s="586"/>
      <c r="AE415" s="586"/>
      <c r="AF415" s="170"/>
      <c r="AG415" s="170"/>
      <c r="AH415" s="170"/>
      <c r="AI415" s="170"/>
      <c r="AJ415" s="170"/>
      <c r="AK415" s="170"/>
      <c r="AL415" s="170"/>
      <c r="AM415" s="170"/>
      <c r="AN415" s="170"/>
      <c r="AO415" s="170"/>
      <c r="AP415" s="170"/>
      <c r="AQ415" s="170"/>
      <c r="AR415" s="170"/>
      <c r="AS415" s="170"/>
      <c r="AT415" s="170"/>
      <c r="AU415" s="170"/>
      <c r="AV415" s="170"/>
      <c r="AW415" s="828"/>
      <c r="AX415" s="726"/>
    </row>
    <row r="416" spans="1:50" ht="15" x14ac:dyDescent="0.25">
      <c r="A416" s="170"/>
      <c r="B416" s="719"/>
      <c r="C416" s="170"/>
      <c r="D416" s="170"/>
      <c r="E416" s="170"/>
      <c r="F416" s="170"/>
      <c r="G416" s="721"/>
      <c r="H416" s="170"/>
      <c r="I416" s="170"/>
      <c r="J416" s="170"/>
      <c r="K416" s="170"/>
      <c r="L416" s="170"/>
      <c r="M416" s="730"/>
      <c r="N416" s="730"/>
      <c r="O416" s="730"/>
      <c r="P416" s="731"/>
      <c r="Q416" s="731"/>
      <c r="R416" s="730"/>
      <c r="S416" s="730"/>
      <c r="T416" s="723"/>
      <c r="U416" s="724"/>
      <c r="V416" s="725"/>
      <c r="W416" s="725"/>
      <c r="X416" s="723"/>
      <c r="Y416" s="723"/>
      <c r="Z416" s="723"/>
      <c r="AA416" s="726"/>
      <c r="AB416" s="726"/>
      <c r="AC416" s="170"/>
      <c r="AD416" s="586"/>
      <c r="AE416" s="586"/>
      <c r="AF416" s="170"/>
      <c r="AG416" s="170"/>
      <c r="AH416" s="170"/>
      <c r="AI416" s="170"/>
      <c r="AJ416" s="170"/>
      <c r="AK416" s="170"/>
      <c r="AL416" s="170"/>
      <c r="AM416" s="170"/>
      <c r="AN416" s="170"/>
      <c r="AO416" s="170"/>
      <c r="AP416" s="170"/>
      <c r="AQ416" s="170"/>
      <c r="AR416" s="170"/>
      <c r="AS416" s="170"/>
      <c r="AT416" s="170"/>
      <c r="AU416" s="170"/>
      <c r="AV416" s="170"/>
      <c r="AW416" s="828"/>
      <c r="AX416" s="726"/>
    </row>
    <row r="417" spans="1:50" ht="15" x14ac:dyDescent="0.25">
      <c r="A417" s="170"/>
      <c r="B417" s="719"/>
      <c r="C417" s="170"/>
      <c r="D417" s="170"/>
      <c r="E417" s="170"/>
      <c r="F417" s="170"/>
      <c r="G417" s="721"/>
      <c r="H417" s="170"/>
      <c r="I417" s="170"/>
      <c r="J417" s="170"/>
      <c r="K417" s="170"/>
      <c r="L417" s="170"/>
      <c r="M417" s="730"/>
      <c r="N417" s="730"/>
      <c r="O417" s="730"/>
      <c r="P417" s="731"/>
      <c r="Q417" s="731"/>
      <c r="R417" s="730"/>
      <c r="S417" s="730"/>
      <c r="T417" s="723"/>
      <c r="U417" s="724"/>
      <c r="V417" s="725"/>
      <c r="W417" s="725"/>
      <c r="X417" s="723"/>
      <c r="Y417" s="723"/>
      <c r="Z417" s="723"/>
      <c r="AA417" s="726"/>
      <c r="AB417" s="726"/>
      <c r="AC417" s="170"/>
      <c r="AD417" s="586"/>
      <c r="AE417" s="586"/>
      <c r="AF417" s="170"/>
      <c r="AG417" s="170"/>
      <c r="AH417" s="170"/>
      <c r="AI417" s="170"/>
      <c r="AJ417" s="170"/>
      <c r="AK417" s="170"/>
      <c r="AL417" s="170"/>
      <c r="AM417" s="170"/>
      <c r="AN417" s="170"/>
      <c r="AO417" s="170"/>
      <c r="AP417" s="170"/>
      <c r="AQ417" s="170"/>
      <c r="AR417" s="170"/>
      <c r="AS417" s="170"/>
      <c r="AT417" s="170"/>
      <c r="AU417" s="170"/>
      <c r="AV417" s="170"/>
      <c r="AW417" s="828"/>
      <c r="AX417" s="726"/>
    </row>
    <row r="418" spans="1:50" ht="15" x14ac:dyDescent="0.25">
      <c r="A418" s="170"/>
      <c r="B418" s="719"/>
      <c r="C418" s="170"/>
      <c r="D418" s="170"/>
      <c r="E418" s="170"/>
      <c r="F418" s="170"/>
      <c r="G418" s="721"/>
      <c r="H418" s="170"/>
      <c r="I418" s="170"/>
      <c r="J418" s="170"/>
      <c r="K418" s="170"/>
      <c r="L418" s="170"/>
      <c r="M418" s="730"/>
      <c r="N418" s="730"/>
      <c r="O418" s="730"/>
      <c r="P418" s="731"/>
      <c r="Q418" s="731"/>
      <c r="R418" s="730"/>
      <c r="S418" s="730"/>
      <c r="T418" s="723"/>
      <c r="U418" s="724"/>
      <c r="V418" s="725"/>
      <c r="W418" s="725"/>
      <c r="X418" s="723"/>
      <c r="Y418" s="723"/>
      <c r="Z418" s="723"/>
      <c r="AA418" s="726"/>
      <c r="AB418" s="726"/>
      <c r="AC418" s="170"/>
      <c r="AD418" s="586"/>
      <c r="AE418" s="586"/>
      <c r="AF418" s="170"/>
      <c r="AG418" s="170"/>
      <c r="AH418" s="170"/>
      <c r="AI418" s="170"/>
      <c r="AJ418" s="170"/>
      <c r="AK418" s="170"/>
      <c r="AL418" s="170"/>
      <c r="AM418" s="170"/>
      <c r="AN418" s="170"/>
      <c r="AO418" s="170"/>
      <c r="AP418" s="170"/>
      <c r="AQ418" s="170"/>
      <c r="AR418" s="170"/>
      <c r="AS418" s="170"/>
      <c r="AT418" s="170"/>
      <c r="AU418" s="170"/>
      <c r="AV418" s="170"/>
      <c r="AW418" s="828"/>
      <c r="AX418" s="726"/>
    </row>
    <row r="419" spans="1:50" ht="15" x14ac:dyDescent="0.25">
      <c r="A419" s="170"/>
      <c r="B419" s="719"/>
      <c r="C419" s="170"/>
      <c r="D419" s="170"/>
      <c r="E419" s="170"/>
      <c r="F419" s="170"/>
      <c r="G419" s="721"/>
      <c r="H419" s="170"/>
      <c r="I419" s="170"/>
      <c r="J419" s="170"/>
      <c r="K419" s="170"/>
      <c r="L419" s="170"/>
      <c r="M419" s="730"/>
      <c r="N419" s="730"/>
      <c r="O419" s="730"/>
      <c r="P419" s="731"/>
      <c r="Q419" s="731"/>
      <c r="R419" s="730"/>
      <c r="S419" s="730"/>
      <c r="T419" s="723"/>
      <c r="U419" s="724"/>
      <c r="V419" s="725"/>
      <c r="W419" s="725"/>
      <c r="X419" s="723"/>
      <c r="Y419" s="723"/>
      <c r="Z419" s="723"/>
      <c r="AA419" s="726"/>
      <c r="AB419" s="726"/>
      <c r="AC419" s="170"/>
      <c r="AD419" s="586"/>
      <c r="AE419" s="586"/>
      <c r="AF419" s="170"/>
      <c r="AG419" s="170"/>
      <c r="AH419" s="170"/>
      <c r="AI419" s="170"/>
      <c r="AJ419" s="170"/>
      <c r="AK419" s="170"/>
      <c r="AL419" s="170"/>
      <c r="AM419" s="170"/>
      <c r="AN419" s="170"/>
      <c r="AO419" s="170"/>
      <c r="AP419" s="170"/>
      <c r="AQ419" s="170"/>
      <c r="AR419" s="170"/>
      <c r="AS419" s="170"/>
      <c r="AT419" s="170"/>
      <c r="AU419" s="170"/>
      <c r="AV419" s="170"/>
      <c r="AW419" s="828"/>
      <c r="AX419" s="726"/>
    </row>
    <row r="420" spans="1:50" ht="15" x14ac:dyDescent="0.25">
      <c r="A420" s="170"/>
      <c r="B420" s="719"/>
      <c r="C420" s="170"/>
      <c r="D420" s="170"/>
      <c r="E420" s="170"/>
      <c r="F420" s="170"/>
      <c r="G420" s="721"/>
      <c r="H420" s="170"/>
      <c r="I420" s="170"/>
      <c r="J420" s="170"/>
      <c r="K420" s="170"/>
      <c r="L420" s="170"/>
      <c r="M420" s="730"/>
      <c r="N420" s="730"/>
      <c r="O420" s="730"/>
      <c r="P420" s="731"/>
      <c r="Q420" s="731"/>
      <c r="R420" s="730"/>
      <c r="S420" s="730"/>
      <c r="T420" s="723"/>
      <c r="U420" s="724"/>
      <c r="V420" s="725"/>
      <c r="W420" s="725"/>
      <c r="X420" s="723"/>
      <c r="Y420" s="723"/>
      <c r="Z420" s="723"/>
      <c r="AA420" s="726"/>
      <c r="AB420" s="726"/>
      <c r="AC420" s="170"/>
      <c r="AD420" s="586"/>
      <c r="AE420" s="586"/>
      <c r="AF420" s="170"/>
      <c r="AG420" s="170"/>
      <c r="AH420" s="170"/>
      <c r="AI420" s="170"/>
      <c r="AJ420" s="170"/>
      <c r="AK420" s="170"/>
      <c r="AL420" s="170"/>
      <c r="AM420" s="170"/>
      <c r="AN420" s="170"/>
      <c r="AO420" s="170"/>
      <c r="AP420" s="170"/>
      <c r="AQ420" s="170"/>
      <c r="AR420" s="170"/>
      <c r="AS420" s="170"/>
      <c r="AT420" s="170"/>
      <c r="AU420" s="170"/>
      <c r="AV420" s="170"/>
      <c r="AW420" s="828"/>
      <c r="AX420" s="726"/>
    </row>
    <row r="421" spans="1:50" ht="15" x14ac:dyDescent="0.25">
      <c r="A421" s="170"/>
      <c r="B421" s="719"/>
      <c r="C421" s="170"/>
      <c r="D421" s="170"/>
      <c r="E421" s="170"/>
      <c r="F421" s="170"/>
      <c r="G421" s="721"/>
      <c r="H421" s="170"/>
      <c r="I421" s="170"/>
      <c r="J421" s="170"/>
      <c r="K421" s="170"/>
      <c r="L421" s="170"/>
      <c r="M421" s="730"/>
      <c r="N421" s="730"/>
      <c r="O421" s="730"/>
      <c r="P421" s="731"/>
      <c r="Q421" s="731"/>
      <c r="R421" s="730"/>
      <c r="S421" s="730"/>
      <c r="T421" s="723"/>
      <c r="U421" s="724"/>
      <c r="V421" s="725"/>
      <c r="W421" s="725"/>
      <c r="X421" s="723"/>
      <c r="Y421" s="723"/>
      <c r="Z421" s="723"/>
      <c r="AA421" s="726"/>
      <c r="AB421" s="726"/>
      <c r="AC421" s="170"/>
      <c r="AD421" s="586"/>
      <c r="AE421" s="586"/>
      <c r="AF421" s="170"/>
      <c r="AG421" s="170"/>
      <c r="AH421" s="170"/>
      <c r="AI421" s="170"/>
      <c r="AJ421" s="170"/>
      <c r="AK421" s="170"/>
      <c r="AL421" s="170"/>
      <c r="AM421" s="170"/>
      <c r="AN421" s="170"/>
      <c r="AO421" s="170"/>
      <c r="AP421" s="170"/>
      <c r="AQ421" s="170"/>
      <c r="AR421" s="170"/>
      <c r="AS421" s="170"/>
      <c r="AT421" s="170"/>
      <c r="AU421" s="170"/>
      <c r="AV421" s="170"/>
      <c r="AW421" s="828"/>
      <c r="AX421" s="726"/>
    </row>
    <row r="422" spans="1:50" ht="15" x14ac:dyDescent="0.25">
      <c r="A422" s="170"/>
      <c r="B422" s="719"/>
      <c r="C422" s="170"/>
      <c r="D422" s="170"/>
      <c r="E422" s="170"/>
      <c r="F422" s="170"/>
      <c r="G422" s="721"/>
      <c r="H422" s="170"/>
      <c r="I422" s="170"/>
      <c r="J422" s="170"/>
      <c r="K422" s="170"/>
      <c r="L422" s="170"/>
      <c r="M422" s="730"/>
      <c r="N422" s="730"/>
      <c r="O422" s="730"/>
      <c r="P422" s="731"/>
      <c r="Q422" s="731"/>
      <c r="R422" s="730"/>
      <c r="S422" s="730"/>
      <c r="T422" s="723"/>
      <c r="U422" s="724"/>
      <c r="V422" s="725"/>
      <c r="W422" s="725"/>
      <c r="X422" s="723"/>
      <c r="Y422" s="723"/>
      <c r="Z422" s="723"/>
      <c r="AA422" s="726"/>
      <c r="AB422" s="726"/>
      <c r="AC422" s="170"/>
      <c r="AD422" s="586"/>
      <c r="AE422" s="586"/>
      <c r="AF422" s="170"/>
      <c r="AG422" s="170"/>
      <c r="AH422" s="170"/>
      <c r="AI422" s="170"/>
      <c r="AJ422" s="170"/>
      <c r="AK422" s="170"/>
      <c r="AL422" s="170"/>
      <c r="AM422" s="170"/>
      <c r="AN422" s="170"/>
      <c r="AO422" s="170"/>
      <c r="AP422" s="170"/>
      <c r="AQ422" s="170"/>
      <c r="AR422" s="170"/>
      <c r="AS422" s="170"/>
      <c r="AT422" s="170"/>
      <c r="AU422" s="170"/>
      <c r="AV422" s="170"/>
      <c r="AW422" s="828"/>
      <c r="AX422" s="726"/>
    </row>
    <row r="423" spans="1:50" ht="15" x14ac:dyDescent="0.25">
      <c r="A423" s="170"/>
      <c r="B423" s="719"/>
      <c r="C423" s="170"/>
      <c r="D423" s="170"/>
      <c r="E423" s="170"/>
      <c r="F423" s="170"/>
      <c r="G423" s="721"/>
      <c r="H423" s="170"/>
      <c r="I423" s="170"/>
      <c r="J423" s="170"/>
      <c r="K423" s="170"/>
      <c r="L423" s="170"/>
      <c r="M423" s="730"/>
      <c r="N423" s="730"/>
      <c r="O423" s="730"/>
      <c r="P423" s="731"/>
      <c r="Q423" s="731"/>
      <c r="R423" s="730"/>
      <c r="S423" s="730"/>
      <c r="T423" s="723"/>
      <c r="U423" s="724"/>
      <c r="V423" s="725"/>
      <c r="W423" s="725"/>
      <c r="X423" s="723"/>
      <c r="Y423" s="723"/>
      <c r="Z423" s="723"/>
      <c r="AA423" s="726"/>
      <c r="AB423" s="726"/>
      <c r="AC423" s="170"/>
      <c r="AD423" s="586"/>
      <c r="AE423" s="586"/>
      <c r="AF423" s="170"/>
      <c r="AG423" s="170"/>
      <c r="AH423" s="170"/>
      <c r="AI423" s="170"/>
      <c r="AJ423" s="170"/>
      <c r="AK423" s="170"/>
      <c r="AL423" s="170"/>
      <c r="AM423" s="170"/>
      <c r="AN423" s="170"/>
      <c r="AO423" s="170"/>
      <c r="AP423" s="170"/>
      <c r="AQ423" s="170"/>
      <c r="AR423" s="170"/>
      <c r="AS423" s="170"/>
      <c r="AT423" s="170"/>
      <c r="AU423" s="170"/>
      <c r="AV423" s="170"/>
      <c r="AW423" s="828"/>
      <c r="AX423" s="726"/>
    </row>
    <row r="424" spans="1:50" ht="15" x14ac:dyDescent="0.25">
      <c r="A424" s="170"/>
      <c r="B424" s="719"/>
      <c r="C424" s="170"/>
      <c r="D424" s="170"/>
      <c r="E424" s="170"/>
      <c r="F424" s="170"/>
      <c r="G424" s="721"/>
      <c r="H424" s="170"/>
      <c r="I424" s="170"/>
      <c r="J424" s="170"/>
      <c r="K424" s="170"/>
      <c r="L424" s="170"/>
      <c r="M424" s="730"/>
      <c r="N424" s="730"/>
      <c r="O424" s="730"/>
      <c r="P424" s="731"/>
      <c r="Q424" s="731"/>
      <c r="R424" s="730"/>
      <c r="S424" s="730"/>
      <c r="T424" s="723"/>
      <c r="U424" s="724"/>
      <c r="V424" s="725"/>
      <c r="W424" s="725"/>
      <c r="X424" s="723"/>
      <c r="Y424" s="723"/>
      <c r="Z424" s="723"/>
      <c r="AA424" s="726"/>
      <c r="AB424" s="726"/>
      <c r="AC424" s="170"/>
      <c r="AD424" s="586"/>
      <c r="AE424" s="586"/>
      <c r="AF424" s="170"/>
      <c r="AG424" s="170"/>
      <c r="AH424" s="170"/>
      <c r="AI424" s="170"/>
      <c r="AJ424" s="170"/>
      <c r="AK424" s="170"/>
      <c r="AL424" s="170"/>
      <c r="AM424" s="170"/>
      <c r="AN424" s="170"/>
      <c r="AO424" s="170"/>
      <c r="AP424" s="170"/>
      <c r="AQ424" s="170"/>
      <c r="AR424" s="170"/>
      <c r="AS424" s="170"/>
      <c r="AT424" s="170"/>
      <c r="AU424" s="170"/>
      <c r="AV424" s="170"/>
      <c r="AW424" s="828"/>
      <c r="AX424" s="726"/>
    </row>
    <row r="425" spans="1:50" ht="15" x14ac:dyDescent="0.25">
      <c r="A425" s="170"/>
      <c r="B425" s="719"/>
      <c r="C425" s="170"/>
      <c r="D425" s="170"/>
      <c r="E425" s="170"/>
      <c r="F425" s="170"/>
      <c r="G425" s="721"/>
      <c r="H425" s="170"/>
      <c r="I425" s="170"/>
      <c r="J425" s="170"/>
      <c r="K425" s="170"/>
      <c r="L425" s="170"/>
      <c r="M425" s="730"/>
      <c r="N425" s="730"/>
      <c r="O425" s="730"/>
      <c r="P425" s="731"/>
      <c r="Q425" s="731"/>
      <c r="R425" s="730"/>
      <c r="S425" s="730"/>
      <c r="T425" s="723"/>
      <c r="U425" s="724"/>
      <c r="V425" s="725"/>
      <c r="W425" s="725"/>
      <c r="X425" s="723"/>
      <c r="Y425" s="723"/>
      <c r="Z425" s="723"/>
      <c r="AA425" s="726"/>
      <c r="AB425" s="726"/>
      <c r="AC425" s="170"/>
      <c r="AD425" s="586"/>
      <c r="AE425" s="586"/>
      <c r="AF425" s="170"/>
      <c r="AG425" s="170"/>
      <c r="AH425" s="170"/>
      <c r="AI425" s="170"/>
      <c r="AJ425" s="170"/>
      <c r="AK425" s="170"/>
      <c r="AL425" s="170"/>
      <c r="AM425" s="170"/>
      <c r="AN425" s="170"/>
      <c r="AO425" s="170"/>
      <c r="AP425" s="170"/>
      <c r="AQ425" s="170"/>
      <c r="AR425" s="170"/>
      <c r="AS425" s="170"/>
      <c r="AT425" s="170"/>
      <c r="AU425" s="170"/>
      <c r="AV425" s="170"/>
      <c r="AW425" s="828"/>
      <c r="AX425" s="726"/>
    </row>
    <row r="426" spans="1:50" ht="15" x14ac:dyDescent="0.25">
      <c r="A426" s="170"/>
      <c r="B426" s="719"/>
      <c r="C426" s="170"/>
      <c r="D426" s="170"/>
      <c r="E426" s="170"/>
      <c r="F426" s="170"/>
      <c r="G426" s="721"/>
      <c r="H426" s="170"/>
      <c r="I426" s="170"/>
      <c r="J426" s="170"/>
      <c r="K426" s="170"/>
      <c r="L426" s="170"/>
      <c r="M426" s="730"/>
      <c r="N426" s="730"/>
      <c r="O426" s="730"/>
      <c r="P426" s="731"/>
      <c r="Q426" s="731"/>
      <c r="R426" s="730"/>
      <c r="S426" s="730"/>
      <c r="T426" s="723"/>
      <c r="U426" s="724"/>
      <c r="V426" s="725"/>
      <c r="W426" s="725"/>
      <c r="X426" s="723"/>
      <c r="Y426" s="723"/>
      <c r="Z426" s="723"/>
      <c r="AA426" s="726"/>
      <c r="AB426" s="726"/>
      <c r="AC426" s="170"/>
      <c r="AD426" s="586"/>
      <c r="AE426" s="586"/>
      <c r="AF426" s="170"/>
      <c r="AG426" s="170"/>
      <c r="AH426" s="170"/>
      <c r="AI426" s="170"/>
      <c r="AJ426" s="170"/>
      <c r="AK426" s="170"/>
      <c r="AL426" s="170"/>
      <c r="AM426" s="170"/>
      <c r="AN426" s="170"/>
      <c r="AO426" s="170"/>
      <c r="AP426" s="170"/>
      <c r="AQ426" s="170"/>
      <c r="AR426" s="170"/>
      <c r="AS426" s="170"/>
      <c r="AT426" s="170"/>
      <c r="AU426" s="170"/>
      <c r="AV426" s="170"/>
      <c r="AW426" s="828"/>
      <c r="AX426" s="726"/>
    </row>
    <row r="427" spans="1:50" ht="15" x14ac:dyDescent="0.25">
      <c r="A427" s="170"/>
      <c r="B427" s="719"/>
      <c r="C427" s="170"/>
      <c r="D427" s="170"/>
      <c r="E427" s="170"/>
      <c r="F427" s="170"/>
      <c r="G427" s="721"/>
      <c r="H427" s="170"/>
      <c r="I427" s="170"/>
      <c r="J427" s="170"/>
      <c r="K427" s="170"/>
      <c r="L427" s="170"/>
      <c r="M427" s="730"/>
      <c r="N427" s="730"/>
      <c r="O427" s="730"/>
      <c r="P427" s="731"/>
      <c r="Q427" s="731"/>
      <c r="R427" s="730"/>
      <c r="S427" s="730"/>
      <c r="T427" s="723"/>
      <c r="U427" s="724"/>
      <c r="V427" s="725"/>
      <c r="W427" s="725"/>
      <c r="X427" s="723"/>
      <c r="Y427" s="723"/>
      <c r="Z427" s="723"/>
      <c r="AA427" s="726"/>
      <c r="AB427" s="726"/>
      <c r="AC427" s="170"/>
      <c r="AD427" s="586"/>
      <c r="AE427" s="586"/>
      <c r="AF427" s="170"/>
      <c r="AG427" s="170"/>
      <c r="AH427" s="170"/>
      <c r="AI427" s="170"/>
      <c r="AJ427" s="170"/>
      <c r="AK427" s="170"/>
      <c r="AL427" s="170"/>
      <c r="AM427" s="170"/>
      <c r="AN427" s="170"/>
      <c r="AO427" s="170"/>
      <c r="AP427" s="170"/>
      <c r="AQ427" s="170"/>
      <c r="AR427" s="170"/>
      <c r="AS427" s="170"/>
      <c r="AT427" s="170"/>
      <c r="AU427" s="170"/>
      <c r="AV427" s="170"/>
      <c r="AW427" s="828"/>
      <c r="AX427" s="726"/>
    </row>
    <row r="428" spans="1:50" ht="15" x14ac:dyDescent="0.25">
      <c r="A428" s="170"/>
      <c r="B428" s="719"/>
      <c r="C428" s="170"/>
      <c r="D428" s="170"/>
      <c r="E428" s="170"/>
      <c r="F428" s="170"/>
      <c r="G428" s="721"/>
      <c r="H428" s="170"/>
      <c r="I428" s="170"/>
      <c r="J428" s="170"/>
      <c r="K428" s="170"/>
      <c r="L428" s="170"/>
      <c r="M428" s="730"/>
      <c r="N428" s="730"/>
      <c r="O428" s="730"/>
      <c r="P428" s="731"/>
      <c r="Q428" s="731"/>
      <c r="R428" s="730"/>
      <c r="S428" s="730"/>
      <c r="T428" s="723"/>
      <c r="U428" s="724"/>
      <c r="V428" s="725"/>
      <c r="W428" s="725"/>
      <c r="X428" s="723"/>
      <c r="Y428" s="723"/>
      <c r="Z428" s="723"/>
      <c r="AA428" s="726"/>
      <c r="AB428" s="726"/>
      <c r="AC428" s="170"/>
      <c r="AD428" s="586"/>
      <c r="AE428" s="586"/>
      <c r="AF428" s="170"/>
      <c r="AG428" s="170"/>
      <c r="AH428" s="170"/>
      <c r="AI428" s="170"/>
      <c r="AJ428" s="170"/>
      <c r="AK428" s="170"/>
      <c r="AL428" s="170"/>
      <c r="AM428" s="170"/>
      <c r="AN428" s="170"/>
      <c r="AO428" s="170"/>
      <c r="AP428" s="170"/>
      <c r="AQ428" s="170"/>
      <c r="AR428" s="170"/>
      <c r="AS428" s="170"/>
      <c r="AT428" s="170"/>
      <c r="AU428" s="170"/>
      <c r="AV428" s="170"/>
      <c r="AW428" s="828"/>
      <c r="AX428" s="726"/>
    </row>
    <row r="429" spans="1:50" ht="15" x14ac:dyDescent="0.25">
      <c r="A429" s="170"/>
      <c r="B429" s="719"/>
      <c r="C429" s="170"/>
      <c r="D429" s="170"/>
      <c r="E429" s="170"/>
      <c r="F429" s="170"/>
      <c r="G429" s="721"/>
      <c r="H429" s="170"/>
      <c r="I429" s="170"/>
      <c r="J429" s="170"/>
      <c r="K429" s="170"/>
      <c r="L429" s="170"/>
      <c r="M429" s="730"/>
      <c r="N429" s="730"/>
      <c r="O429" s="730"/>
      <c r="P429" s="731"/>
      <c r="Q429" s="731"/>
      <c r="R429" s="730"/>
      <c r="S429" s="730"/>
      <c r="T429" s="723"/>
      <c r="U429" s="724"/>
      <c r="V429" s="725"/>
      <c r="W429" s="725"/>
      <c r="X429" s="723"/>
      <c r="Y429" s="723"/>
      <c r="Z429" s="723"/>
      <c r="AA429" s="726"/>
      <c r="AB429" s="726"/>
      <c r="AC429" s="170"/>
      <c r="AD429" s="586"/>
      <c r="AE429" s="586"/>
      <c r="AF429" s="170"/>
      <c r="AG429" s="170"/>
      <c r="AH429" s="170"/>
      <c r="AI429" s="170"/>
      <c r="AJ429" s="170"/>
      <c r="AK429" s="170"/>
      <c r="AL429" s="170"/>
      <c r="AM429" s="170"/>
      <c r="AN429" s="170"/>
      <c r="AO429" s="170"/>
      <c r="AP429" s="170"/>
      <c r="AQ429" s="170"/>
      <c r="AR429" s="170"/>
      <c r="AS429" s="170"/>
      <c r="AT429" s="170"/>
      <c r="AU429" s="170"/>
      <c r="AV429" s="170"/>
      <c r="AW429" s="828"/>
      <c r="AX429" s="726"/>
    </row>
    <row r="430" spans="1:50" ht="15" x14ac:dyDescent="0.25">
      <c r="A430" s="170"/>
      <c r="B430" s="719"/>
      <c r="C430" s="170"/>
      <c r="D430" s="170"/>
      <c r="E430" s="170"/>
      <c r="F430" s="170"/>
      <c r="G430" s="721"/>
      <c r="H430" s="170"/>
      <c r="I430" s="170"/>
      <c r="J430" s="170"/>
      <c r="K430" s="170"/>
      <c r="L430" s="170"/>
      <c r="M430" s="730"/>
      <c r="N430" s="730"/>
      <c r="O430" s="730"/>
      <c r="P430" s="731"/>
      <c r="Q430" s="731"/>
      <c r="R430" s="730"/>
      <c r="S430" s="730"/>
      <c r="T430" s="723"/>
      <c r="U430" s="724"/>
      <c r="V430" s="725"/>
      <c r="W430" s="725"/>
      <c r="X430" s="723"/>
      <c r="Y430" s="723"/>
      <c r="Z430" s="723"/>
      <c r="AA430" s="726"/>
      <c r="AB430" s="726"/>
      <c r="AC430" s="170"/>
      <c r="AD430" s="586"/>
      <c r="AE430" s="586"/>
      <c r="AF430" s="170"/>
      <c r="AG430" s="170"/>
      <c r="AH430" s="170"/>
      <c r="AI430" s="170"/>
      <c r="AJ430" s="170"/>
      <c r="AK430" s="170"/>
      <c r="AL430" s="170"/>
      <c r="AM430" s="170"/>
      <c r="AN430" s="170"/>
      <c r="AO430" s="170"/>
      <c r="AP430" s="170"/>
      <c r="AQ430" s="170"/>
      <c r="AR430" s="170"/>
      <c r="AS430" s="170"/>
      <c r="AT430" s="170"/>
      <c r="AU430" s="170"/>
      <c r="AV430" s="170"/>
      <c r="AW430" s="828"/>
      <c r="AX430" s="726"/>
    </row>
    <row r="431" spans="1:50" ht="15" x14ac:dyDescent="0.25">
      <c r="A431" s="170"/>
      <c r="B431" s="719"/>
      <c r="C431" s="170"/>
      <c r="D431" s="170"/>
      <c r="E431" s="170"/>
      <c r="F431" s="170"/>
      <c r="G431" s="721"/>
      <c r="H431" s="170"/>
      <c r="I431" s="170"/>
      <c r="J431" s="170"/>
      <c r="K431" s="170"/>
      <c r="L431" s="170"/>
      <c r="M431" s="730"/>
      <c r="N431" s="730"/>
      <c r="O431" s="730"/>
      <c r="P431" s="731"/>
      <c r="Q431" s="731"/>
      <c r="R431" s="730"/>
      <c r="S431" s="730"/>
      <c r="T431" s="723"/>
      <c r="U431" s="724"/>
      <c r="V431" s="725"/>
      <c r="W431" s="725"/>
      <c r="X431" s="723"/>
      <c r="Y431" s="723"/>
      <c r="Z431" s="723"/>
      <c r="AA431" s="726"/>
      <c r="AB431" s="726"/>
      <c r="AC431" s="170"/>
      <c r="AD431" s="586"/>
      <c r="AE431" s="586"/>
      <c r="AF431" s="170"/>
      <c r="AG431" s="170"/>
      <c r="AH431" s="170"/>
      <c r="AI431" s="170"/>
      <c r="AJ431" s="170"/>
      <c r="AK431" s="170"/>
      <c r="AL431" s="170"/>
      <c r="AM431" s="170"/>
      <c r="AN431" s="170"/>
      <c r="AO431" s="170"/>
      <c r="AP431" s="170"/>
      <c r="AQ431" s="170"/>
      <c r="AR431" s="170"/>
      <c r="AS431" s="170"/>
      <c r="AT431" s="170"/>
      <c r="AU431" s="170"/>
      <c r="AV431" s="170"/>
      <c r="AW431" s="828"/>
      <c r="AX431" s="726"/>
    </row>
    <row r="432" spans="1:50" ht="15" x14ac:dyDescent="0.25">
      <c r="A432" s="170"/>
      <c r="B432" s="719"/>
      <c r="C432" s="170"/>
      <c r="D432" s="170"/>
      <c r="E432" s="170"/>
      <c r="F432" s="170"/>
      <c r="G432" s="721"/>
      <c r="H432" s="170"/>
      <c r="I432" s="170"/>
      <c r="J432" s="170"/>
      <c r="K432" s="170"/>
      <c r="L432" s="170"/>
      <c r="M432" s="730"/>
      <c r="N432" s="730"/>
      <c r="O432" s="730"/>
      <c r="P432" s="731"/>
      <c r="Q432" s="731"/>
      <c r="R432" s="730"/>
      <c r="S432" s="730"/>
      <c r="T432" s="723"/>
      <c r="U432" s="724"/>
      <c r="V432" s="725"/>
      <c r="W432" s="725"/>
      <c r="X432" s="723"/>
      <c r="Y432" s="723"/>
      <c r="Z432" s="723"/>
      <c r="AA432" s="726"/>
      <c r="AB432" s="726"/>
      <c r="AC432" s="170"/>
      <c r="AD432" s="586"/>
      <c r="AE432" s="586"/>
      <c r="AF432" s="170"/>
      <c r="AG432" s="170"/>
      <c r="AH432" s="170"/>
      <c r="AI432" s="170"/>
      <c r="AJ432" s="170"/>
      <c r="AK432" s="170"/>
      <c r="AL432" s="170"/>
      <c r="AM432" s="170"/>
      <c r="AN432" s="170"/>
      <c r="AO432" s="170"/>
      <c r="AP432" s="170"/>
      <c r="AQ432" s="170"/>
      <c r="AR432" s="170"/>
      <c r="AS432" s="170"/>
      <c r="AT432" s="170"/>
      <c r="AU432" s="170"/>
      <c r="AV432" s="170"/>
      <c r="AW432" s="828"/>
      <c r="AX432" s="726"/>
    </row>
    <row r="433" spans="1:50" ht="15" x14ac:dyDescent="0.25">
      <c r="A433" s="170"/>
      <c r="B433" s="719"/>
      <c r="C433" s="170"/>
      <c r="D433" s="170"/>
      <c r="E433" s="170"/>
      <c r="F433" s="170"/>
      <c r="G433" s="721"/>
      <c r="H433" s="170"/>
      <c r="I433" s="170"/>
      <c r="J433" s="170"/>
      <c r="K433" s="170"/>
      <c r="L433" s="170"/>
      <c r="M433" s="730"/>
      <c r="N433" s="730"/>
      <c r="O433" s="730"/>
      <c r="P433" s="731"/>
      <c r="Q433" s="731"/>
      <c r="R433" s="730"/>
      <c r="S433" s="730"/>
      <c r="T433" s="723"/>
      <c r="U433" s="724"/>
      <c r="V433" s="725"/>
      <c r="W433" s="725"/>
      <c r="X433" s="723"/>
      <c r="Y433" s="723"/>
      <c r="Z433" s="723"/>
      <c r="AA433" s="726"/>
      <c r="AB433" s="726"/>
      <c r="AC433" s="170"/>
      <c r="AD433" s="586"/>
      <c r="AE433" s="586"/>
      <c r="AF433" s="170"/>
      <c r="AG433" s="170"/>
      <c r="AH433" s="170"/>
      <c r="AI433" s="170"/>
      <c r="AJ433" s="170"/>
      <c r="AK433" s="170"/>
      <c r="AL433" s="170"/>
      <c r="AM433" s="170"/>
      <c r="AN433" s="170"/>
      <c r="AO433" s="170"/>
      <c r="AP433" s="170"/>
      <c r="AQ433" s="170"/>
      <c r="AR433" s="170"/>
      <c r="AS433" s="170"/>
      <c r="AT433" s="170"/>
      <c r="AU433" s="170"/>
      <c r="AV433" s="170"/>
      <c r="AW433" s="828"/>
      <c r="AX433" s="726"/>
    </row>
    <row r="434" spans="1:50" ht="15" x14ac:dyDescent="0.25">
      <c r="A434" s="170"/>
      <c r="B434" s="719"/>
      <c r="C434" s="170"/>
      <c r="D434" s="170"/>
      <c r="E434" s="170"/>
      <c r="F434" s="170"/>
      <c r="G434" s="721"/>
      <c r="H434" s="170"/>
      <c r="I434" s="170"/>
      <c r="J434" s="170"/>
      <c r="K434" s="170"/>
      <c r="L434" s="170"/>
      <c r="M434" s="730"/>
      <c r="N434" s="730"/>
      <c r="O434" s="730"/>
      <c r="P434" s="731"/>
      <c r="Q434" s="731"/>
      <c r="R434" s="730"/>
      <c r="S434" s="730"/>
      <c r="T434" s="723"/>
      <c r="U434" s="724"/>
      <c r="V434" s="725"/>
      <c r="W434" s="725"/>
      <c r="X434" s="723"/>
      <c r="Y434" s="723"/>
      <c r="Z434" s="723"/>
      <c r="AA434" s="726"/>
      <c r="AB434" s="726"/>
      <c r="AC434" s="170"/>
      <c r="AD434" s="586"/>
      <c r="AE434" s="586"/>
      <c r="AF434" s="170"/>
      <c r="AG434" s="170"/>
      <c r="AH434" s="170"/>
      <c r="AI434" s="170"/>
      <c r="AJ434" s="170"/>
      <c r="AK434" s="170"/>
      <c r="AL434" s="170"/>
      <c r="AM434" s="170"/>
      <c r="AN434" s="170"/>
      <c r="AO434" s="170"/>
      <c r="AP434" s="170"/>
      <c r="AQ434" s="170"/>
      <c r="AR434" s="170"/>
      <c r="AS434" s="170"/>
      <c r="AT434" s="170"/>
      <c r="AU434" s="170"/>
      <c r="AV434" s="170"/>
      <c r="AW434" s="828"/>
      <c r="AX434" s="726"/>
    </row>
    <row r="435" spans="1:50" ht="15" x14ac:dyDescent="0.25">
      <c r="A435" s="170"/>
      <c r="B435" s="719"/>
      <c r="C435" s="170"/>
      <c r="D435" s="170"/>
      <c r="E435" s="170"/>
      <c r="F435" s="170"/>
      <c r="G435" s="721"/>
      <c r="H435" s="170"/>
      <c r="I435" s="170"/>
      <c r="J435" s="170"/>
      <c r="K435" s="170"/>
      <c r="L435" s="170"/>
      <c r="M435" s="730"/>
      <c r="N435" s="730"/>
      <c r="O435" s="730"/>
      <c r="P435" s="731"/>
      <c r="Q435" s="731"/>
      <c r="R435" s="730"/>
      <c r="S435" s="730"/>
      <c r="T435" s="723"/>
      <c r="U435" s="724"/>
      <c r="V435" s="725"/>
      <c r="W435" s="725"/>
      <c r="X435" s="723"/>
      <c r="Y435" s="723"/>
      <c r="Z435" s="723"/>
      <c r="AA435" s="726"/>
      <c r="AB435" s="726"/>
      <c r="AC435" s="170"/>
      <c r="AD435" s="586"/>
      <c r="AE435" s="586"/>
      <c r="AF435" s="170"/>
      <c r="AG435" s="170"/>
      <c r="AH435" s="170"/>
      <c r="AI435" s="170"/>
      <c r="AJ435" s="170"/>
      <c r="AK435" s="170"/>
      <c r="AL435" s="170"/>
      <c r="AM435" s="170"/>
      <c r="AN435" s="170"/>
      <c r="AO435" s="170"/>
      <c r="AP435" s="170"/>
      <c r="AQ435" s="170"/>
      <c r="AR435" s="170"/>
      <c r="AS435" s="170"/>
      <c r="AT435" s="170"/>
      <c r="AU435" s="170"/>
      <c r="AV435" s="170"/>
      <c r="AW435" s="828"/>
      <c r="AX435" s="726"/>
    </row>
    <row r="436" spans="1:50" ht="15" x14ac:dyDescent="0.25">
      <c r="A436" s="170"/>
      <c r="B436" s="719"/>
      <c r="C436" s="170"/>
      <c r="D436" s="170"/>
      <c r="E436" s="170"/>
      <c r="F436" s="170"/>
      <c r="G436" s="721"/>
      <c r="H436" s="170"/>
      <c r="I436" s="170"/>
      <c r="J436" s="170"/>
      <c r="K436" s="170"/>
      <c r="L436" s="170"/>
      <c r="M436" s="730"/>
      <c r="N436" s="730"/>
      <c r="O436" s="730"/>
      <c r="P436" s="731"/>
      <c r="Q436" s="731"/>
      <c r="R436" s="730"/>
      <c r="S436" s="730"/>
      <c r="T436" s="723"/>
      <c r="U436" s="724"/>
      <c r="V436" s="725"/>
      <c r="W436" s="725"/>
      <c r="X436" s="723"/>
      <c r="Y436" s="723"/>
      <c r="Z436" s="723"/>
      <c r="AA436" s="726"/>
      <c r="AB436" s="726"/>
      <c r="AC436" s="170"/>
      <c r="AD436" s="586"/>
      <c r="AE436" s="586"/>
      <c r="AF436" s="170"/>
      <c r="AG436" s="170"/>
      <c r="AH436" s="170"/>
      <c r="AI436" s="170"/>
      <c r="AJ436" s="170"/>
      <c r="AK436" s="170"/>
      <c r="AL436" s="170"/>
      <c r="AM436" s="170"/>
      <c r="AN436" s="170"/>
      <c r="AO436" s="170"/>
      <c r="AP436" s="170"/>
      <c r="AQ436" s="170"/>
      <c r="AR436" s="170"/>
      <c r="AS436" s="170"/>
      <c r="AT436" s="170"/>
      <c r="AU436" s="170"/>
      <c r="AV436" s="170"/>
      <c r="AW436" s="828"/>
      <c r="AX436" s="726"/>
    </row>
    <row r="437" spans="1:50" ht="15" x14ac:dyDescent="0.25">
      <c r="A437" s="170"/>
      <c r="B437" s="719"/>
      <c r="C437" s="170"/>
      <c r="D437" s="170"/>
      <c r="E437" s="170"/>
      <c r="F437" s="170"/>
      <c r="G437" s="721"/>
      <c r="H437" s="170"/>
      <c r="I437" s="170"/>
      <c r="J437" s="170"/>
      <c r="K437" s="170"/>
      <c r="L437" s="170"/>
      <c r="M437" s="730"/>
      <c r="N437" s="730"/>
      <c r="O437" s="730"/>
      <c r="P437" s="731"/>
      <c r="Q437" s="731"/>
      <c r="R437" s="730"/>
      <c r="S437" s="730"/>
      <c r="T437" s="723"/>
      <c r="U437" s="724"/>
      <c r="V437" s="725"/>
      <c r="W437" s="725"/>
      <c r="X437" s="723"/>
      <c r="Y437" s="723"/>
      <c r="Z437" s="723"/>
      <c r="AA437" s="726"/>
      <c r="AB437" s="726"/>
      <c r="AC437" s="170"/>
      <c r="AD437" s="586"/>
      <c r="AE437" s="586"/>
      <c r="AF437" s="170"/>
      <c r="AG437" s="170"/>
      <c r="AH437" s="170"/>
      <c r="AI437" s="170"/>
      <c r="AJ437" s="170"/>
      <c r="AK437" s="170"/>
      <c r="AL437" s="170"/>
      <c r="AM437" s="170"/>
      <c r="AN437" s="170"/>
      <c r="AO437" s="170"/>
      <c r="AP437" s="170"/>
      <c r="AQ437" s="170"/>
      <c r="AR437" s="170"/>
      <c r="AS437" s="170"/>
      <c r="AT437" s="170"/>
      <c r="AU437" s="170"/>
      <c r="AV437" s="170"/>
      <c r="AW437" s="828"/>
      <c r="AX437" s="726"/>
    </row>
    <row r="438" spans="1:50" ht="15" x14ac:dyDescent="0.25">
      <c r="A438" s="170"/>
      <c r="B438" s="719"/>
      <c r="C438" s="170"/>
      <c r="D438" s="170"/>
      <c r="E438" s="170"/>
      <c r="F438" s="170"/>
      <c r="G438" s="721"/>
      <c r="H438" s="170"/>
      <c r="I438" s="170"/>
      <c r="J438" s="170"/>
      <c r="K438" s="170"/>
      <c r="L438" s="170"/>
      <c r="M438" s="730"/>
      <c r="N438" s="730"/>
      <c r="O438" s="730"/>
      <c r="P438" s="731"/>
      <c r="Q438" s="731"/>
      <c r="R438" s="730"/>
      <c r="S438" s="730"/>
      <c r="T438" s="723"/>
      <c r="U438" s="724"/>
      <c r="V438" s="725"/>
      <c r="W438" s="725"/>
      <c r="X438" s="723"/>
      <c r="Y438" s="723"/>
      <c r="Z438" s="723"/>
      <c r="AA438" s="726"/>
      <c r="AB438" s="726"/>
      <c r="AC438" s="170"/>
      <c r="AD438" s="586"/>
      <c r="AE438" s="586"/>
      <c r="AF438" s="170"/>
      <c r="AG438" s="170"/>
      <c r="AH438" s="170"/>
      <c r="AI438" s="170"/>
      <c r="AJ438" s="170"/>
      <c r="AK438" s="170"/>
      <c r="AL438" s="170"/>
      <c r="AM438" s="170"/>
      <c r="AN438" s="170"/>
      <c r="AO438" s="170"/>
      <c r="AP438" s="170"/>
      <c r="AQ438" s="170"/>
      <c r="AR438" s="170"/>
      <c r="AS438" s="170"/>
      <c r="AT438" s="170"/>
      <c r="AU438" s="170"/>
      <c r="AV438" s="170"/>
      <c r="AW438" s="828"/>
      <c r="AX438" s="726"/>
    </row>
    <row r="439" spans="1:50" ht="15" x14ac:dyDescent="0.25">
      <c r="A439" s="170"/>
      <c r="B439" s="719"/>
      <c r="C439" s="170"/>
      <c r="D439" s="170"/>
      <c r="E439" s="170"/>
      <c r="F439" s="170"/>
      <c r="G439" s="721"/>
      <c r="H439" s="170"/>
      <c r="I439" s="170"/>
      <c r="J439" s="170"/>
      <c r="K439" s="170"/>
      <c r="L439" s="170"/>
      <c r="M439" s="730"/>
      <c r="N439" s="730"/>
      <c r="O439" s="730"/>
      <c r="P439" s="731"/>
      <c r="Q439" s="731"/>
      <c r="R439" s="730"/>
      <c r="S439" s="730"/>
      <c r="T439" s="723"/>
      <c r="U439" s="724"/>
      <c r="V439" s="725"/>
      <c r="W439" s="725"/>
      <c r="X439" s="723"/>
      <c r="Y439" s="723"/>
      <c r="Z439" s="723"/>
      <c r="AA439" s="726"/>
      <c r="AB439" s="726"/>
      <c r="AC439" s="170"/>
      <c r="AD439" s="586"/>
      <c r="AE439" s="586"/>
      <c r="AF439" s="170"/>
      <c r="AG439" s="170"/>
      <c r="AH439" s="170"/>
      <c r="AI439" s="170"/>
      <c r="AJ439" s="170"/>
      <c r="AK439" s="170"/>
      <c r="AL439" s="170"/>
      <c r="AM439" s="170"/>
      <c r="AN439" s="170"/>
      <c r="AO439" s="170"/>
      <c r="AP439" s="170"/>
      <c r="AQ439" s="170"/>
      <c r="AR439" s="170"/>
      <c r="AS439" s="170"/>
      <c r="AT439" s="170"/>
      <c r="AU439" s="170"/>
      <c r="AV439" s="170"/>
      <c r="AW439" s="828"/>
      <c r="AX439" s="726"/>
    </row>
    <row r="440" spans="1:50" ht="15" x14ac:dyDescent="0.25">
      <c r="A440" s="170"/>
      <c r="B440" s="719"/>
      <c r="C440" s="170"/>
      <c r="D440" s="170"/>
      <c r="E440" s="170"/>
      <c r="F440" s="170"/>
      <c r="G440" s="721"/>
      <c r="H440" s="170"/>
      <c r="I440" s="170"/>
      <c r="J440" s="170"/>
      <c r="K440" s="170"/>
      <c r="L440" s="170"/>
      <c r="M440" s="730"/>
      <c r="N440" s="730"/>
      <c r="O440" s="730"/>
      <c r="P440" s="731"/>
      <c r="Q440" s="731"/>
      <c r="R440" s="730"/>
      <c r="S440" s="730"/>
      <c r="T440" s="723"/>
      <c r="U440" s="724"/>
      <c r="V440" s="725"/>
      <c r="W440" s="725"/>
      <c r="X440" s="723"/>
      <c r="Y440" s="723"/>
      <c r="Z440" s="723"/>
      <c r="AA440" s="726"/>
      <c r="AB440" s="726"/>
      <c r="AC440" s="170"/>
      <c r="AD440" s="586"/>
      <c r="AE440" s="586"/>
      <c r="AF440" s="170"/>
      <c r="AG440" s="170"/>
      <c r="AH440" s="170"/>
      <c r="AI440" s="170"/>
      <c r="AJ440" s="170"/>
      <c r="AK440" s="170"/>
      <c r="AL440" s="170"/>
      <c r="AM440" s="170"/>
      <c r="AN440" s="170"/>
      <c r="AO440" s="170"/>
      <c r="AP440" s="170"/>
      <c r="AQ440" s="170"/>
      <c r="AR440" s="170"/>
      <c r="AS440" s="170"/>
      <c r="AT440" s="170"/>
      <c r="AU440" s="170"/>
      <c r="AV440" s="170"/>
      <c r="AW440" s="828"/>
      <c r="AX440" s="726"/>
    </row>
    <row r="441" spans="1:50" ht="15" x14ac:dyDescent="0.25">
      <c r="A441" s="170"/>
      <c r="B441" s="719"/>
      <c r="C441" s="170"/>
      <c r="D441" s="170"/>
      <c r="E441" s="170"/>
      <c r="F441" s="170"/>
      <c r="G441" s="721"/>
      <c r="H441" s="170"/>
      <c r="I441" s="170"/>
      <c r="J441" s="170"/>
      <c r="K441" s="170"/>
      <c r="L441" s="170"/>
      <c r="M441" s="730"/>
      <c r="N441" s="730"/>
      <c r="O441" s="730"/>
      <c r="P441" s="731"/>
      <c r="Q441" s="731"/>
      <c r="R441" s="730"/>
      <c r="S441" s="730"/>
      <c r="T441" s="723"/>
      <c r="U441" s="724"/>
      <c r="V441" s="725"/>
      <c r="W441" s="725"/>
      <c r="X441" s="723"/>
      <c r="Y441" s="723"/>
      <c r="Z441" s="723"/>
      <c r="AA441" s="726"/>
      <c r="AB441" s="726"/>
      <c r="AC441" s="170"/>
      <c r="AD441" s="586"/>
      <c r="AE441" s="586"/>
      <c r="AF441" s="170"/>
      <c r="AG441" s="170"/>
      <c r="AH441" s="170"/>
      <c r="AI441" s="170"/>
      <c r="AJ441" s="170"/>
      <c r="AK441" s="170"/>
      <c r="AL441" s="170"/>
      <c r="AM441" s="170"/>
      <c r="AN441" s="170"/>
      <c r="AO441" s="170"/>
      <c r="AP441" s="170"/>
      <c r="AQ441" s="170"/>
      <c r="AR441" s="170"/>
      <c r="AS441" s="170"/>
      <c r="AT441" s="170"/>
      <c r="AU441" s="170"/>
      <c r="AV441" s="170"/>
      <c r="AW441" s="828"/>
      <c r="AX441" s="726"/>
    </row>
    <row r="442" spans="1:50" ht="15" x14ac:dyDescent="0.25">
      <c r="A442" s="170"/>
      <c r="B442" s="719"/>
      <c r="C442" s="170"/>
      <c r="D442" s="170"/>
      <c r="E442" s="170"/>
      <c r="F442" s="170"/>
      <c r="G442" s="721"/>
      <c r="H442" s="170"/>
      <c r="I442" s="170"/>
      <c r="J442" s="170"/>
      <c r="K442" s="170"/>
      <c r="L442" s="170"/>
      <c r="M442" s="730"/>
      <c r="N442" s="730"/>
      <c r="O442" s="730"/>
      <c r="P442" s="731"/>
      <c r="Q442" s="731"/>
      <c r="R442" s="730"/>
      <c r="S442" s="730"/>
      <c r="T442" s="723"/>
      <c r="U442" s="724"/>
      <c r="V442" s="725"/>
      <c r="W442" s="725"/>
      <c r="X442" s="723"/>
      <c r="Y442" s="723"/>
      <c r="Z442" s="723"/>
      <c r="AA442" s="726"/>
      <c r="AB442" s="726"/>
      <c r="AC442" s="170"/>
      <c r="AD442" s="586"/>
      <c r="AE442" s="586"/>
      <c r="AF442" s="170"/>
      <c r="AG442" s="170"/>
      <c r="AH442" s="170"/>
      <c r="AI442" s="170"/>
      <c r="AJ442" s="170"/>
      <c r="AK442" s="170"/>
      <c r="AL442" s="170"/>
      <c r="AM442" s="170"/>
      <c r="AN442" s="170"/>
      <c r="AO442" s="170"/>
      <c r="AP442" s="170"/>
      <c r="AQ442" s="170"/>
      <c r="AR442" s="170"/>
      <c r="AS442" s="170"/>
      <c r="AT442" s="170"/>
      <c r="AU442" s="170"/>
      <c r="AV442" s="170"/>
      <c r="AW442" s="828"/>
      <c r="AX442" s="726"/>
    </row>
    <row r="443" spans="1:50" ht="15" x14ac:dyDescent="0.25">
      <c r="A443" s="170"/>
      <c r="B443" s="719"/>
      <c r="C443" s="170"/>
      <c r="D443" s="170"/>
      <c r="E443" s="170"/>
      <c r="F443" s="170"/>
      <c r="G443" s="721"/>
      <c r="H443" s="170"/>
      <c r="I443" s="170"/>
      <c r="J443" s="170"/>
      <c r="K443" s="170"/>
      <c r="L443" s="170"/>
      <c r="M443" s="730"/>
      <c r="N443" s="730"/>
      <c r="O443" s="730"/>
      <c r="P443" s="731"/>
      <c r="Q443" s="731"/>
      <c r="R443" s="730"/>
      <c r="S443" s="730"/>
      <c r="T443" s="723"/>
      <c r="U443" s="724"/>
      <c r="V443" s="725"/>
      <c r="W443" s="725"/>
      <c r="X443" s="723"/>
      <c r="Y443" s="723"/>
      <c r="Z443" s="723"/>
      <c r="AA443" s="726"/>
      <c r="AB443" s="726"/>
      <c r="AC443" s="170"/>
      <c r="AD443" s="586"/>
      <c r="AE443" s="586"/>
      <c r="AF443" s="170"/>
      <c r="AG443" s="170"/>
      <c r="AH443" s="170"/>
      <c r="AI443" s="170"/>
      <c r="AJ443" s="170"/>
      <c r="AK443" s="170"/>
      <c r="AL443" s="170"/>
      <c r="AM443" s="170"/>
      <c r="AN443" s="170"/>
      <c r="AO443" s="170"/>
      <c r="AP443" s="170"/>
      <c r="AQ443" s="170"/>
      <c r="AR443" s="170"/>
      <c r="AS443" s="170"/>
      <c r="AT443" s="170"/>
      <c r="AU443" s="170"/>
      <c r="AV443" s="170"/>
      <c r="AW443" s="828"/>
      <c r="AX443" s="726"/>
    </row>
    <row r="444" spans="1:50" ht="15" x14ac:dyDescent="0.25">
      <c r="A444" s="170"/>
      <c r="B444" s="719"/>
      <c r="C444" s="170"/>
      <c r="D444" s="170"/>
      <c r="E444" s="170"/>
      <c r="F444" s="170"/>
      <c r="G444" s="721"/>
      <c r="H444" s="170"/>
      <c r="I444" s="170"/>
      <c r="J444" s="170"/>
      <c r="K444" s="170"/>
      <c r="L444" s="170"/>
      <c r="M444" s="730"/>
      <c r="N444" s="730"/>
      <c r="O444" s="730"/>
      <c r="P444" s="731"/>
      <c r="Q444" s="731"/>
      <c r="R444" s="730"/>
      <c r="S444" s="730"/>
      <c r="T444" s="723"/>
      <c r="U444" s="724"/>
      <c r="V444" s="725"/>
      <c r="W444" s="725"/>
      <c r="X444" s="723"/>
      <c r="Y444" s="723"/>
      <c r="Z444" s="723"/>
      <c r="AA444" s="726"/>
      <c r="AB444" s="726"/>
      <c r="AC444" s="170"/>
      <c r="AD444" s="586"/>
      <c r="AE444" s="586"/>
      <c r="AF444" s="170"/>
      <c r="AG444" s="170"/>
      <c r="AH444" s="170"/>
      <c r="AI444" s="170"/>
      <c r="AJ444" s="170"/>
      <c r="AK444" s="170"/>
      <c r="AL444" s="170"/>
      <c r="AM444" s="170"/>
      <c r="AN444" s="170"/>
      <c r="AO444" s="170"/>
      <c r="AP444" s="170"/>
      <c r="AQ444" s="170"/>
      <c r="AR444" s="170"/>
      <c r="AS444" s="170"/>
      <c r="AT444" s="170"/>
      <c r="AU444" s="170"/>
      <c r="AV444" s="170"/>
      <c r="AW444" s="828"/>
      <c r="AX444" s="726"/>
    </row>
    <row r="445" spans="1:50" ht="15" x14ac:dyDescent="0.25">
      <c r="A445" s="170"/>
      <c r="B445" s="719"/>
      <c r="C445" s="170"/>
      <c r="D445" s="170"/>
      <c r="E445" s="170"/>
      <c r="F445" s="170"/>
      <c r="G445" s="721"/>
      <c r="H445" s="170"/>
      <c r="I445" s="170"/>
      <c r="J445" s="170"/>
      <c r="K445" s="170"/>
      <c r="L445" s="170"/>
      <c r="M445" s="730"/>
      <c r="N445" s="730"/>
      <c r="O445" s="730"/>
      <c r="P445" s="731"/>
      <c r="Q445" s="731"/>
      <c r="R445" s="730"/>
      <c r="S445" s="730"/>
      <c r="T445" s="723"/>
      <c r="U445" s="724"/>
      <c r="V445" s="725"/>
      <c r="W445" s="725"/>
      <c r="X445" s="723"/>
      <c r="Y445" s="723"/>
      <c r="Z445" s="723"/>
      <c r="AA445" s="726"/>
      <c r="AB445" s="726"/>
      <c r="AC445" s="170"/>
      <c r="AD445" s="586"/>
      <c r="AE445" s="586"/>
      <c r="AF445" s="170"/>
      <c r="AG445" s="170"/>
      <c r="AH445" s="170"/>
      <c r="AI445" s="170"/>
      <c r="AJ445" s="170"/>
      <c r="AK445" s="170"/>
      <c r="AL445" s="170"/>
      <c r="AM445" s="170"/>
      <c r="AN445" s="170"/>
      <c r="AO445" s="170"/>
      <c r="AP445" s="170"/>
      <c r="AQ445" s="170"/>
      <c r="AR445" s="170"/>
      <c r="AS445" s="170"/>
      <c r="AT445" s="170"/>
      <c r="AU445" s="170"/>
      <c r="AV445" s="170"/>
      <c r="AW445" s="828"/>
      <c r="AX445" s="726"/>
    </row>
    <row r="446" spans="1:50" ht="15" x14ac:dyDescent="0.25">
      <c r="A446" s="170"/>
      <c r="B446" s="719"/>
      <c r="C446" s="170"/>
      <c r="D446" s="170"/>
      <c r="E446" s="170"/>
      <c r="F446" s="170"/>
      <c r="G446" s="721"/>
      <c r="H446" s="170"/>
      <c r="I446" s="170"/>
      <c r="J446" s="170"/>
      <c r="K446" s="170"/>
      <c r="L446" s="170"/>
      <c r="M446" s="730"/>
      <c r="N446" s="730"/>
      <c r="O446" s="730"/>
      <c r="P446" s="731"/>
      <c r="Q446" s="731"/>
      <c r="R446" s="730"/>
      <c r="S446" s="730"/>
      <c r="T446" s="723"/>
      <c r="U446" s="724"/>
      <c r="V446" s="725"/>
      <c r="W446" s="725"/>
      <c r="X446" s="723"/>
      <c r="Y446" s="723"/>
      <c r="Z446" s="723"/>
      <c r="AA446" s="726"/>
      <c r="AB446" s="726"/>
      <c r="AC446" s="170"/>
      <c r="AD446" s="586"/>
      <c r="AE446" s="586"/>
      <c r="AF446" s="170"/>
      <c r="AG446" s="170"/>
      <c r="AH446" s="170"/>
      <c r="AI446" s="170"/>
      <c r="AJ446" s="170"/>
      <c r="AK446" s="170"/>
      <c r="AL446" s="170"/>
      <c r="AM446" s="170"/>
      <c r="AN446" s="170"/>
      <c r="AO446" s="170"/>
      <c r="AP446" s="170"/>
      <c r="AQ446" s="170"/>
      <c r="AR446" s="170"/>
      <c r="AS446" s="170"/>
      <c r="AT446" s="170"/>
      <c r="AU446" s="170"/>
      <c r="AV446" s="170"/>
      <c r="AW446" s="828"/>
      <c r="AX446" s="726"/>
    </row>
    <row r="447" spans="1:50" ht="15" x14ac:dyDescent="0.25">
      <c r="A447" s="170"/>
      <c r="B447" s="719"/>
      <c r="C447" s="170"/>
      <c r="D447" s="170"/>
      <c r="E447" s="170"/>
      <c r="F447" s="170"/>
      <c r="G447" s="721"/>
      <c r="H447" s="170"/>
      <c r="I447" s="170"/>
      <c r="J447" s="170"/>
      <c r="K447" s="170"/>
      <c r="L447" s="170"/>
      <c r="M447" s="730"/>
      <c r="N447" s="730"/>
      <c r="O447" s="730"/>
      <c r="P447" s="731"/>
      <c r="Q447" s="731"/>
      <c r="R447" s="730"/>
      <c r="S447" s="730"/>
      <c r="T447" s="723"/>
      <c r="U447" s="724"/>
      <c r="V447" s="725"/>
      <c r="W447" s="725"/>
      <c r="X447" s="723"/>
      <c r="Y447" s="723"/>
      <c r="Z447" s="723"/>
      <c r="AA447" s="726"/>
      <c r="AB447" s="726"/>
      <c r="AC447" s="170"/>
      <c r="AD447" s="586"/>
      <c r="AE447" s="586"/>
      <c r="AF447" s="170"/>
      <c r="AG447" s="170"/>
      <c r="AH447" s="170"/>
      <c r="AI447" s="170"/>
      <c r="AJ447" s="170"/>
      <c r="AK447" s="170"/>
      <c r="AL447" s="170"/>
      <c r="AM447" s="170"/>
      <c r="AN447" s="170"/>
      <c r="AO447" s="170"/>
      <c r="AP447" s="170"/>
      <c r="AQ447" s="170"/>
      <c r="AR447" s="170"/>
      <c r="AS447" s="170"/>
      <c r="AT447" s="170"/>
      <c r="AU447" s="170"/>
      <c r="AV447" s="170"/>
      <c r="AW447" s="828"/>
      <c r="AX447" s="726"/>
    </row>
    <row r="448" spans="1:50" ht="15" x14ac:dyDescent="0.25">
      <c r="A448" s="170"/>
      <c r="B448" s="719"/>
      <c r="C448" s="170"/>
      <c r="D448" s="170"/>
      <c r="E448" s="170"/>
      <c r="F448" s="170"/>
      <c r="G448" s="721"/>
      <c r="H448" s="170"/>
      <c r="I448" s="170"/>
      <c r="J448" s="170"/>
      <c r="K448" s="170"/>
      <c r="L448" s="170"/>
      <c r="M448" s="730"/>
      <c r="N448" s="730"/>
      <c r="O448" s="730"/>
      <c r="P448" s="731"/>
      <c r="Q448" s="731"/>
      <c r="R448" s="730"/>
      <c r="S448" s="730"/>
      <c r="T448" s="723"/>
      <c r="U448" s="724"/>
      <c r="V448" s="725"/>
      <c r="W448" s="725"/>
      <c r="X448" s="723"/>
      <c r="Y448" s="723"/>
      <c r="Z448" s="723"/>
      <c r="AA448" s="726"/>
      <c r="AB448" s="726"/>
      <c r="AC448" s="170"/>
      <c r="AD448" s="586"/>
      <c r="AE448" s="586"/>
      <c r="AF448" s="170"/>
      <c r="AG448" s="170"/>
      <c r="AH448" s="170"/>
      <c r="AI448" s="170"/>
      <c r="AJ448" s="170"/>
      <c r="AK448" s="170"/>
      <c r="AL448" s="170"/>
      <c r="AM448" s="170"/>
      <c r="AN448" s="170"/>
      <c r="AO448" s="170"/>
      <c r="AP448" s="170"/>
      <c r="AQ448" s="170"/>
      <c r="AR448" s="170"/>
      <c r="AS448" s="170"/>
      <c r="AT448" s="170"/>
      <c r="AU448" s="170"/>
      <c r="AV448" s="170"/>
      <c r="AW448" s="828"/>
      <c r="AX448" s="726"/>
    </row>
    <row r="449" spans="1:50" ht="15" x14ac:dyDescent="0.25">
      <c r="A449" s="170"/>
      <c r="B449" s="719"/>
      <c r="C449" s="170"/>
      <c r="D449" s="170"/>
      <c r="E449" s="170"/>
      <c r="F449" s="170"/>
      <c r="G449" s="721"/>
      <c r="H449" s="170"/>
      <c r="I449" s="170"/>
      <c r="J449" s="170"/>
      <c r="K449" s="170"/>
      <c r="L449" s="170"/>
      <c r="M449" s="730"/>
      <c r="N449" s="730"/>
      <c r="O449" s="730"/>
      <c r="P449" s="731"/>
      <c r="Q449" s="731"/>
      <c r="R449" s="730"/>
      <c r="S449" s="730"/>
      <c r="T449" s="723"/>
      <c r="U449" s="724"/>
      <c r="V449" s="725"/>
      <c r="W449" s="725"/>
      <c r="X449" s="723"/>
      <c r="Y449" s="723"/>
      <c r="Z449" s="723"/>
      <c r="AA449" s="726"/>
      <c r="AB449" s="726"/>
      <c r="AC449" s="170"/>
      <c r="AD449" s="586"/>
      <c r="AE449" s="586"/>
      <c r="AF449" s="170"/>
      <c r="AG449" s="170"/>
      <c r="AH449" s="170"/>
      <c r="AI449" s="170"/>
      <c r="AJ449" s="170"/>
      <c r="AK449" s="170"/>
      <c r="AL449" s="170"/>
      <c r="AM449" s="170"/>
      <c r="AN449" s="170"/>
      <c r="AO449" s="170"/>
      <c r="AP449" s="170"/>
      <c r="AQ449" s="170"/>
      <c r="AR449" s="170"/>
      <c r="AS449" s="170"/>
      <c r="AT449" s="170"/>
      <c r="AU449" s="170"/>
      <c r="AV449" s="170"/>
      <c r="AW449" s="828"/>
      <c r="AX449" s="726"/>
    </row>
    <row r="450" spans="1:50" ht="15" x14ac:dyDescent="0.25">
      <c r="A450" s="170"/>
      <c r="B450" s="719"/>
      <c r="C450" s="170"/>
      <c r="D450" s="170"/>
      <c r="E450" s="170"/>
      <c r="F450" s="170"/>
      <c r="G450" s="721"/>
      <c r="H450" s="170"/>
      <c r="I450" s="170"/>
      <c r="J450" s="170"/>
      <c r="K450" s="170"/>
      <c r="L450" s="170"/>
      <c r="M450" s="730"/>
      <c r="N450" s="730"/>
      <c r="O450" s="730"/>
      <c r="P450" s="731"/>
      <c r="Q450" s="731"/>
      <c r="R450" s="730"/>
      <c r="S450" s="730"/>
      <c r="T450" s="723"/>
      <c r="U450" s="724"/>
      <c r="V450" s="725"/>
      <c r="W450" s="725"/>
      <c r="X450" s="723"/>
      <c r="Y450" s="723"/>
      <c r="Z450" s="723"/>
      <c r="AA450" s="726"/>
      <c r="AB450" s="726"/>
      <c r="AC450" s="170"/>
      <c r="AD450" s="586"/>
      <c r="AE450" s="586"/>
      <c r="AF450" s="170"/>
      <c r="AG450" s="170"/>
      <c r="AH450" s="170"/>
      <c r="AI450" s="170"/>
      <c r="AJ450" s="170"/>
      <c r="AK450" s="170"/>
      <c r="AL450" s="170"/>
      <c r="AM450" s="170"/>
      <c r="AN450" s="170"/>
      <c r="AO450" s="170"/>
      <c r="AP450" s="170"/>
      <c r="AQ450" s="170"/>
      <c r="AR450" s="170"/>
      <c r="AS450" s="170"/>
      <c r="AT450" s="170"/>
      <c r="AU450" s="170"/>
      <c r="AV450" s="170"/>
      <c r="AW450" s="828"/>
      <c r="AX450" s="726"/>
    </row>
    <row r="451" spans="1:50" ht="15" x14ac:dyDescent="0.25">
      <c r="A451" s="170"/>
      <c r="B451" s="719"/>
      <c r="C451" s="170"/>
      <c r="D451" s="170"/>
      <c r="E451" s="170"/>
      <c r="F451" s="170"/>
      <c r="G451" s="721"/>
      <c r="H451" s="170"/>
      <c r="I451" s="170"/>
      <c r="J451" s="170"/>
      <c r="K451" s="170"/>
      <c r="L451" s="170"/>
      <c r="M451" s="730"/>
      <c r="N451" s="730"/>
      <c r="O451" s="730"/>
      <c r="P451" s="731"/>
      <c r="Q451" s="731"/>
      <c r="R451" s="730"/>
      <c r="S451" s="730"/>
      <c r="T451" s="723"/>
      <c r="U451" s="724"/>
      <c r="V451" s="725"/>
      <c r="W451" s="725"/>
      <c r="X451" s="723"/>
      <c r="Y451" s="723"/>
      <c r="Z451" s="723"/>
      <c r="AA451" s="726"/>
      <c r="AB451" s="726"/>
      <c r="AC451" s="170"/>
      <c r="AD451" s="586"/>
      <c r="AE451" s="586"/>
      <c r="AF451" s="170"/>
      <c r="AG451" s="170"/>
      <c r="AH451" s="170"/>
      <c r="AI451" s="170"/>
      <c r="AJ451" s="170"/>
      <c r="AK451" s="170"/>
      <c r="AL451" s="170"/>
      <c r="AM451" s="170"/>
      <c r="AN451" s="170"/>
      <c r="AO451" s="170"/>
      <c r="AP451" s="170"/>
      <c r="AQ451" s="170"/>
      <c r="AR451" s="170"/>
      <c r="AS451" s="170"/>
      <c r="AT451" s="170"/>
      <c r="AU451" s="170"/>
      <c r="AV451" s="170"/>
      <c r="AW451" s="828"/>
      <c r="AX451" s="726"/>
    </row>
    <row r="452" spans="1:50" ht="15" x14ac:dyDescent="0.25">
      <c r="A452" s="170"/>
      <c r="B452" s="719"/>
      <c r="C452" s="170"/>
      <c r="D452" s="170"/>
      <c r="E452" s="170"/>
      <c r="F452" s="170"/>
      <c r="G452" s="721"/>
      <c r="H452" s="170"/>
      <c r="I452" s="170"/>
      <c r="J452" s="170"/>
      <c r="K452" s="170"/>
      <c r="L452" s="170"/>
      <c r="M452" s="730"/>
      <c r="N452" s="730"/>
      <c r="O452" s="730"/>
      <c r="P452" s="731"/>
      <c r="Q452" s="731"/>
      <c r="R452" s="730"/>
      <c r="S452" s="730"/>
      <c r="T452" s="723"/>
      <c r="U452" s="724"/>
      <c r="V452" s="725"/>
      <c r="W452" s="725"/>
      <c r="X452" s="723"/>
      <c r="Y452" s="723"/>
      <c r="Z452" s="723"/>
      <c r="AA452" s="726"/>
      <c r="AB452" s="726"/>
      <c r="AC452" s="170"/>
      <c r="AD452" s="586"/>
      <c r="AE452" s="586"/>
      <c r="AF452" s="170"/>
      <c r="AG452" s="170"/>
      <c r="AH452" s="170"/>
      <c r="AI452" s="170"/>
      <c r="AJ452" s="170"/>
      <c r="AK452" s="170"/>
      <c r="AL452" s="170"/>
      <c r="AM452" s="170"/>
      <c r="AN452" s="170"/>
      <c r="AO452" s="170"/>
      <c r="AP452" s="170"/>
      <c r="AQ452" s="170"/>
      <c r="AR452" s="170"/>
      <c r="AS452" s="170"/>
      <c r="AT452" s="170"/>
      <c r="AU452" s="170"/>
      <c r="AV452" s="170"/>
      <c r="AW452" s="828"/>
      <c r="AX452" s="726"/>
    </row>
    <row r="453" spans="1:50" ht="15" x14ac:dyDescent="0.25">
      <c r="A453" s="170"/>
      <c r="B453" s="719"/>
      <c r="C453" s="170"/>
      <c r="D453" s="170"/>
      <c r="E453" s="170"/>
      <c r="F453" s="170"/>
      <c r="G453" s="721"/>
      <c r="H453" s="170"/>
      <c r="I453" s="170"/>
      <c r="J453" s="170"/>
      <c r="K453" s="170"/>
      <c r="L453" s="170"/>
      <c r="M453" s="730"/>
      <c r="N453" s="730"/>
      <c r="O453" s="730"/>
      <c r="P453" s="731"/>
      <c r="Q453" s="731"/>
      <c r="R453" s="730"/>
      <c r="S453" s="730"/>
      <c r="T453" s="723"/>
      <c r="U453" s="724"/>
      <c r="V453" s="725"/>
      <c r="W453" s="725"/>
      <c r="X453" s="723"/>
      <c r="Y453" s="723"/>
      <c r="Z453" s="723"/>
      <c r="AA453" s="726"/>
      <c r="AB453" s="726"/>
      <c r="AC453" s="170"/>
      <c r="AD453" s="586"/>
      <c r="AE453" s="586"/>
      <c r="AF453" s="170"/>
      <c r="AG453" s="170"/>
      <c r="AH453" s="170"/>
      <c r="AI453" s="170"/>
      <c r="AJ453" s="170"/>
      <c r="AK453" s="170"/>
      <c r="AL453" s="170"/>
      <c r="AM453" s="170"/>
      <c r="AN453" s="170"/>
      <c r="AO453" s="170"/>
      <c r="AP453" s="170"/>
      <c r="AQ453" s="170"/>
      <c r="AR453" s="170"/>
      <c r="AS453" s="170"/>
      <c r="AT453" s="170"/>
      <c r="AU453" s="170"/>
      <c r="AV453" s="170"/>
      <c r="AW453" s="828"/>
      <c r="AX453" s="726"/>
    </row>
    <row r="454" spans="1:50" ht="15" x14ac:dyDescent="0.25">
      <c r="A454" s="170"/>
      <c r="B454" s="719"/>
      <c r="C454" s="170"/>
      <c r="D454" s="170"/>
      <c r="E454" s="170"/>
      <c r="F454" s="170"/>
      <c r="G454" s="721"/>
      <c r="H454" s="170"/>
      <c r="I454" s="170"/>
      <c r="J454" s="170"/>
      <c r="K454" s="170"/>
      <c r="L454" s="170"/>
      <c r="M454" s="730"/>
      <c r="N454" s="730"/>
      <c r="O454" s="730"/>
      <c r="P454" s="731"/>
      <c r="Q454" s="731"/>
      <c r="R454" s="730"/>
      <c r="S454" s="730"/>
      <c r="T454" s="723"/>
      <c r="U454" s="724"/>
      <c r="V454" s="725"/>
      <c r="W454" s="725"/>
      <c r="X454" s="723"/>
      <c r="Y454" s="723"/>
      <c r="Z454" s="723"/>
      <c r="AA454" s="726"/>
      <c r="AB454" s="726"/>
      <c r="AC454" s="170"/>
      <c r="AD454" s="586"/>
      <c r="AE454" s="586"/>
      <c r="AF454" s="170"/>
      <c r="AG454" s="170"/>
      <c r="AH454" s="170"/>
      <c r="AI454" s="170"/>
      <c r="AJ454" s="170"/>
      <c r="AK454" s="170"/>
      <c r="AL454" s="170"/>
      <c r="AM454" s="170"/>
      <c r="AN454" s="170"/>
      <c r="AO454" s="170"/>
      <c r="AP454" s="170"/>
      <c r="AQ454" s="170"/>
      <c r="AR454" s="170"/>
      <c r="AS454" s="170"/>
      <c r="AT454" s="170"/>
      <c r="AU454" s="170"/>
      <c r="AV454" s="170"/>
      <c r="AW454" s="828"/>
      <c r="AX454" s="726"/>
    </row>
    <row r="455" spans="1:50" ht="15" x14ac:dyDescent="0.25">
      <c r="A455" s="170"/>
      <c r="B455" s="719"/>
      <c r="C455" s="170"/>
      <c r="D455" s="170"/>
      <c r="E455" s="170"/>
      <c r="F455" s="170"/>
      <c r="G455" s="721"/>
      <c r="H455" s="170"/>
      <c r="I455" s="170"/>
      <c r="J455" s="170"/>
      <c r="K455" s="170"/>
      <c r="L455" s="170"/>
      <c r="M455" s="730"/>
      <c r="N455" s="730"/>
      <c r="O455" s="730"/>
      <c r="P455" s="731"/>
      <c r="Q455" s="731"/>
      <c r="R455" s="730"/>
      <c r="S455" s="730"/>
      <c r="T455" s="723"/>
      <c r="U455" s="724"/>
      <c r="V455" s="725"/>
      <c r="W455" s="725"/>
      <c r="X455" s="723"/>
      <c r="Y455" s="723"/>
      <c r="Z455" s="723"/>
      <c r="AA455" s="726"/>
      <c r="AB455" s="726"/>
      <c r="AC455" s="170"/>
      <c r="AD455" s="586"/>
      <c r="AE455" s="586"/>
      <c r="AF455" s="170"/>
      <c r="AG455" s="170"/>
      <c r="AH455" s="170"/>
      <c r="AI455" s="170"/>
      <c r="AJ455" s="170"/>
      <c r="AK455" s="170"/>
      <c r="AL455" s="170"/>
      <c r="AM455" s="170"/>
      <c r="AN455" s="170"/>
      <c r="AO455" s="170"/>
      <c r="AP455" s="170"/>
      <c r="AQ455" s="170"/>
      <c r="AR455" s="170"/>
      <c r="AS455" s="170"/>
      <c r="AT455" s="170"/>
      <c r="AU455" s="170"/>
      <c r="AV455" s="170"/>
      <c r="AW455" s="828"/>
      <c r="AX455" s="726"/>
    </row>
    <row r="456" spans="1:50" ht="15" x14ac:dyDescent="0.25">
      <c r="A456" s="170"/>
      <c r="B456" s="719"/>
      <c r="C456" s="170"/>
      <c r="D456" s="170"/>
      <c r="E456" s="170"/>
      <c r="F456" s="170"/>
      <c r="G456" s="721"/>
      <c r="H456" s="170"/>
      <c r="I456" s="170"/>
      <c r="J456" s="170"/>
      <c r="K456" s="170"/>
      <c r="L456" s="170"/>
      <c r="M456" s="730"/>
      <c r="N456" s="730"/>
      <c r="O456" s="730"/>
      <c r="P456" s="731"/>
      <c r="Q456" s="731"/>
      <c r="R456" s="730"/>
      <c r="S456" s="730"/>
      <c r="T456" s="723"/>
      <c r="U456" s="724"/>
      <c r="V456" s="725"/>
      <c r="W456" s="725"/>
      <c r="X456" s="723"/>
      <c r="Y456" s="723"/>
      <c r="Z456" s="723"/>
      <c r="AA456" s="726"/>
      <c r="AB456" s="726"/>
      <c r="AC456" s="170"/>
      <c r="AD456" s="586"/>
      <c r="AE456" s="586"/>
      <c r="AF456" s="170"/>
      <c r="AG456" s="170"/>
      <c r="AH456" s="170"/>
      <c r="AI456" s="170"/>
      <c r="AJ456" s="170"/>
      <c r="AK456" s="170"/>
      <c r="AL456" s="170"/>
      <c r="AM456" s="170"/>
      <c r="AN456" s="170"/>
      <c r="AO456" s="170"/>
      <c r="AP456" s="170"/>
      <c r="AQ456" s="170"/>
      <c r="AR456" s="170"/>
      <c r="AS456" s="170"/>
      <c r="AT456" s="170"/>
      <c r="AU456" s="170"/>
      <c r="AV456" s="170"/>
      <c r="AW456" s="828"/>
      <c r="AX456" s="726"/>
    </row>
    <row r="457" spans="1:50" ht="15" x14ac:dyDescent="0.25">
      <c r="A457" s="170"/>
      <c r="B457" s="719"/>
      <c r="C457" s="170"/>
      <c r="D457" s="170"/>
      <c r="E457" s="170"/>
      <c r="F457" s="170"/>
      <c r="G457" s="721"/>
      <c r="H457" s="170"/>
      <c r="I457" s="170"/>
      <c r="J457" s="170"/>
      <c r="K457" s="170"/>
      <c r="L457" s="170"/>
      <c r="M457" s="730"/>
      <c r="N457" s="730"/>
      <c r="O457" s="730"/>
      <c r="P457" s="731"/>
      <c r="Q457" s="731"/>
      <c r="R457" s="730"/>
      <c r="S457" s="730"/>
      <c r="T457" s="723"/>
      <c r="U457" s="724"/>
      <c r="V457" s="725"/>
      <c r="W457" s="725"/>
      <c r="X457" s="723"/>
      <c r="Y457" s="723"/>
      <c r="Z457" s="723"/>
      <c r="AA457" s="726"/>
      <c r="AB457" s="726"/>
      <c r="AC457" s="170"/>
      <c r="AD457" s="586"/>
      <c r="AE457" s="586"/>
      <c r="AF457" s="170"/>
      <c r="AG457" s="170"/>
      <c r="AH457" s="170"/>
      <c r="AI457" s="170"/>
      <c r="AJ457" s="170"/>
      <c r="AK457" s="170"/>
      <c r="AL457" s="170"/>
      <c r="AM457" s="170"/>
      <c r="AN457" s="170"/>
      <c r="AO457" s="170"/>
      <c r="AP457" s="170"/>
      <c r="AQ457" s="170"/>
      <c r="AR457" s="170"/>
      <c r="AS457" s="170"/>
      <c r="AT457" s="170"/>
      <c r="AU457" s="170"/>
      <c r="AV457" s="170"/>
      <c r="AW457" s="828"/>
      <c r="AX457" s="726"/>
    </row>
    <row r="458" spans="1:50" ht="15" x14ac:dyDescent="0.25">
      <c r="A458" s="170"/>
      <c r="B458" s="719"/>
      <c r="C458" s="170"/>
      <c r="D458" s="170"/>
      <c r="E458" s="170"/>
      <c r="F458" s="170"/>
      <c r="G458" s="721"/>
      <c r="H458" s="170"/>
      <c r="I458" s="170"/>
      <c r="J458" s="170"/>
      <c r="K458" s="170"/>
      <c r="L458" s="170"/>
      <c r="M458" s="730"/>
      <c r="N458" s="730"/>
      <c r="O458" s="730"/>
      <c r="P458" s="731"/>
      <c r="Q458" s="731"/>
      <c r="R458" s="730"/>
      <c r="S458" s="730"/>
      <c r="T458" s="723"/>
      <c r="U458" s="724"/>
      <c r="V458" s="725"/>
      <c r="W458" s="725"/>
      <c r="X458" s="723"/>
      <c r="Y458" s="723"/>
      <c r="Z458" s="723"/>
      <c r="AA458" s="726"/>
      <c r="AB458" s="726"/>
      <c r="AC458" s="170"/>
      <c r="AD458" s="586"/>
      <c r="AE458" s="586"/>
      <c r="AF458" s="170"/>
      <c r="AG458" s="170"/>
      <c r="AH458" s="170"/>
      <c r="AI458" s="170"/>
      <c r="AJ458" s="170"/>
      <c r="AK458" s="170"/>
      <c r="AL458" s="170"/>
      <c r="AM458" s="170"/>
      <c r="AN458" s="170"/>
      <c r="AO458" s="170"/>
      <c r="AP458" s="170"/>
      <c r="AQ458" s="170"/>
      <c r="AR458" s="170"/>
      <c r="AS458" s="170"/>
      <c r="AT458" s="170"/>
      <c r="AU458" s="170"/>
      <c r="AV458" s="170"/>
      <c r="AW458" s="828"/>
      <c r="AX458" s="726"/>
    </row>
    <row r="459" spans="1:50" ht="15" x14ac:dyDescent="0.25">
      <c r="A459" s="170"/>
      <c r="B459" s="719"/>
      <c r="C459" s="170"/>
      <c r="D459" s="170"/>
      <c r="E459" s="170"/>
      <c r="F459" s="170"/>
      <c r="G459" s="721"/>
      <c r="H459" s="170"/>
      <c r="I459" s="170"/>
      <c r="J459" s="170"/>
      <c r="K459" s="170"/>
      <c r="L459" s="170"/>
      <c r="M459" s="730"/>
      <c r="N459" s="730"/>
      <c r="O459" s="730"/>
      <c r="P459" s="731"/>
      <c r="Q459" s="731"/>
      <c r="R459" s="730"/>
      <c r="S459" s="730"/>
      <c r="T459" s="723"/>
      <c r="U459" s="724"/>
      <c r="V459" s="725"/>
      <c r="W459" s="725"/>
      <c r="X459" s="723"/>
      <c r="Y459" s="723"/>
      <c r="Z459" s="723"/>
      <c r="AA459" s="726"/>
      <c r="AB459" s="726"/>
      <c r="AC459" s="170"/>
      <c r="AD459" s="586"/>
      <c r="AE459" s="586"/>
      <c r="AF459" s="170"/>
      <c r="AG459" s="170"/>
      <c r="AH459" s="170"/>
      <c r="AI459" s="170"/>
      <c r="AJ459" s="170"/>
      <c r="AK459" s="170"/>
      <c r="AL459" s="170"/>
      <c r="AM459" s="170"/>
      <c r="AN459" s="170"/>
      <c r="AO459" s="170"/>
      <c r="AP459" s="170"/>
      <c r="AQ459" s="170"/>
      <c r="AR459" s="170"/>
      <c r="AS459" s="170"/>
      <c r="AT459" s="170"/>
      <c r="AU459" s="170"/>
      <c r="AV459" s="170"/>
      <c r="AW459" s="828"/>
      <c r="AX459" s="726"/>
    </row>
    <row r="460" spans="1:50" ht="15" x14ac:dyDescent="0.25">
      <c r="A460" s="170"/>
      <c r="B460" s="719"/>
      <c r="C460" s="170"/>
      <c r="D460" s="170"/>
      <c r="E460" s="170"/>
      <c r="F460" s="170"/>
      <c r="G460" s="721"/>
      <c r="H460" s="170"/>
      <c r="I460" s="170"/>
      <c r="J460" s="170"/>
      <c r="K460" s="170"/>
      <c r="L460" s="170"/>
      <c r="M460" s="730"/>
      <c r="N460" s="730"/>
      <c r="O460" s="730"/>
      <c r="P460" s="731"/>
      <c r="Q460" s="731"/>
      <c r="R460" s="730"/>
      <c r="S460" s="730"/>
      <c r="T460" s="723"/>
      <c r="U460" s="724"/>
      <c r="V460" s="725"/>
      <c r="W460" s="725"/>
      <c r="X460" s="723"/>
      <c r="Y460" s="723"/>
      <c r="Z460" s="723"/>
      <c r="AA460" s="726"/>
      <c r="AB460" s="726"/>
      <c r="AC460" s="170"/>
      <c r="AD460" s="586"/>
      <c r="AE460" s="586"/>
      <c r="AF460" s="170"/>
      <c r="AG460" s="170"/>
      <c r="AH460" s="170"/>
      <c r="AI460" s="170"/>
      <c r="AJ460" s="170"/>
      <c r="AK460" s="170"/>
      <c r="AL460" s="170"/>
      <c r="AM460" s="170"/>
      <c r="AN460" s="170"/>
      <c r="AO460" s="170"/>
      <c r="AP460" s="170"/>
      <c r="AQ460" s="170"/>
      <c r="AR460" s="170"/>
      <c r="AS460" s="170"/>
      <c r="AT460" s="170"/>
      <c r="AU460" s="170"/>
      <c r="AV460" s="170"/>
      <c r="AW460" s="828"/>
      <c r="AX460" s="726"/>
    </row>
    <row r="461" spans="1:50" ht="15" x14ac:dyDescent="0.25">
      <c r="A461" s="170"/>
      <c r="B461" s="719"/>
      <c r="C461" s="170"/>
      <c r="D461" s="170"/>
      <c r="E461" s="170"/>
      <c r="F461" s="170"/>
      <c r="G461" s="721"/>
      <c r="H461" s="170"/>
      <c r="I461" s="170"/>
      <c r="J461" s="170"/>
      <c r="K461" s="170"/>
      <c r="L461" s="170"/>
      <c r="M461" s="730"/>
      <c r="N461" s="730"/>
      <c r="O461" s="730"/>
      <c r="P461" s="731"/>
      <c r="Q461" s="731"/>
      <c r="R461" s="730"/>
      <c r="S461" s="730"/>
      <c r="T461" s="723"/>
      <c r="U461" s="724"/>
      <c r="V461" s="725"/>
      <c r="W461" s="725"/>
      <c r="X461" s="723"/>
      <c r="Y461" s="723"/>
      <c r="Z461" s="723"/>
      <c r="AA461" s="726"/>
      <c r="AB461" s="726"/>
      <c r="AC461" s="170"/>
      <c r="AD461" s="586"/>
      <c r="AE461" s="586"/>
      <c r="AF461" s="170"/>
      <c r="AG461" s="170"/>
      <c r="AH461" s="170"/>
      <c r="AI461" s="170"/>
      <c r="AJ461" s="170"/>
      <c r="AK461" s="170"/>
      <c r="AL461" s="170"/>
      <c r="AM461" s="170"/>
      <c r="AN461" s="170"/>
      <c r="AO461" s="170"/>
      <c r="AP461" s="170"/>
      <c r="AQ461" s="170"/>
      <c r="AR461" s="170"/>
      <c r="AS461" s="170"/>
      <c r="AT461" s="170"/>
      <c r="AU461" s="170"/>
      <c r="AV461" s="170"/>
      <c r="AW461" s="828"/>
      <c r="AX461" s="726"/>
    </row>
    <row r="462" spans="1:50" ht="15" x14ac:dyDescent="0.25">
      <c r="A462" s="170"/>
      <c r="B462" s="719"/>
      <c r="C462" s="170"/>
      <c r="D462" s="170"/>
      <c r="E462" s="170"/>
      <c r="F462" s="170"/>
      <c r="G462" s="721"/>
      <c r="H462" s="170"/>
      <c r="I462" s="170"/>
      <c r="J462" s="170"/>
      <c r="K462" s="170"/>
      <c r="L462" s="170"/>
      <c r="M462" s="730"/>
      <c r="N462" s="730"/>
      <c r="O462" s="730"/>
      <c r="P462" s="731"/>
      <c r="Q462" s="731"/>
      <c r="R462" s="730"/>
      <c r="S462" s="730"/>
      <c r="T462" s="723"/>
      <c r="U462" s="724"/>
      <c r="V462" s="725"/>
      <c r="W462" s="725"/>
      <c r="X462" s="723"/>
      <c r="Y462" s="723"/>
      <c r="Z462" s="723"/>
      <c r="AA462" s="726"/>
      <c r="AB462" s="726"/>
      <c r="AC462" s="170"/>
      <c r="AD462" s="586"/>
      <c r="AE462" s="586"/>
      <c r="AF462" s="170"/>
      <c r="AG462" s="170"/>
      <c r="AH462" s="170"/>
      <c r="AI462" s="170"/>
      <c r="AJ462" s="170"/>
      <c r="AK462" s="170"/>
      <c r="AL462" s="170"/>
      <c r="AM462" s="170"/>
      <c r="AN462" s="170"/>
      <c r="AO462" s="170"/>
      <c r="AP462" s="170"/>
      <c r="AQ462" s="170"/>
      <c r="AR462" s="170"/>
      <c r="AS462" s="170"/>
      <c r="AT462" s="170"/>
      <c r="AU462" s="170"/>
      <c r="AV462" s="170"/>
      <c r="AW462" s="828"/>
      <c r="AX462" s="726"/>
    </row>
    <row r="463" spans="1:50" ht="15" x14ac:dyDescent="0.25">
      <c r="A463" s="170"/>
      <c r="B463" s="719"/>
      <c r="C463" s="170"/>
      <c r="D463" s="170"/>
      <c r="E463" s="170"/>
      <c r="F463" s="170"/>
      <c r="G463" s="721"/>
      <c r="H463" s="170"/>
      <c r="I463" s="170"/>
      <c r="J463" s="170"/>
      <c r="K463" s="170"/>
      <c r="L463" s="170"/>
      <c r="M463" s="730"/>
      <c r="N463" s="730"/>
      <c r="O463" s="730"/>
      <c r="P463" s="731"/>
      <c r="Q463" s="731"/>
      <c r="R463" s="730"/>
      <c r="S463" s="730"/>
      <c r="T463" s="723"/>
      <c r="U463" s="724"/>
      <c r="V463" s="725"/>
      <c r="W463" s="725"/>
      <c r="X463" s="723"/>
      <c r="Y463" s="723"/>
      <c r="Z463" s="723"/>
      <c r="AA463" s="726"/>
      <c r="AB463" s="726"/>
      <c r="AC463" s="170"/>
      <c r="AD463" s="586"/>
      <c r="AE463" s="586"/>
      <c r="AF463" s="170"/>
      <c r="AG463" s="170"/>
      <c r="AH463" s="170"/>
      <c r="AI463" s="170"/>
      <c r="AJ463" s="170"/>
      <c r="AK463" s="170"/>
      <c r="AL463" s="170"/>
      <c r="AM463" s="170"/>
      <c r="AN463" s="170"/>
      <c r="AO463" s="170"/>
      <c r="AP463" s="170"/>
      <c r="AQ463" s="170"/>
      <c r="AR463" s="170"/>
      <c r="AS463" s="170"/>
      <c r="AT463" s="170"/>
      <c r="AU463" s="170"/>
      <c r="AV463" s="170"/>
      <c r="AW463" s="828"/>
      <c r="AX463" s="726"/>
    </row>
    <row r="464" spans="1:50" ht="15" x14ac:dyDescent="0.25">
      <c r="A464" s="170"/>
      <c r="B464" s="719"/>
      <c r="C464" s="170"/>
      <c r="D464" s="170"/>
      <c r="E464" s="170"/>
      <c r="F464" s="170"/>
      <c r="G464" s="721"/>
      <c r="H464" s="170"/>
      <c r="I464" s="170"/>
      <c r="J464" s="170"/>
      <c r="K464" s="170"/>
      <c r="L464" s="170"/>
      <c r="M464" s="730"/>
      <c r="N464" s="730"/>
      <c r="O464" s="730"/>
      <c r="P464" s="731"/>
      <c r="Q464" s="731"/>
      <c r="R464" s="730"/>
      <c r="S464" s="730"/>
      <c r="T464" s="723"/>
      <c r="U464" s="724"/>
      <c r="V464" s="725"/>
      <c r="W464" s="725"/>
      <c r="X464" s="723"/>
      <c r="Y464" s="723"/>
      <c r="Z464" s="723"/>
      <c r="AA464" s="726"/>
      <c r="AB464" s="726"/>
      <c r="AC464" s="170"/>
      <c r="AD464" s="586"/>
      <c r="AE464" s="586"/>
      <c r="AF464" s="170"/>
      <c r="AG464" s="170"/>
      <c r="AH464" s="170"/>
      <c r="AI464" s="170"/>
      <c r="AJ464" s="170"/>
      <c r="AK464" s="170"/>
      <c r="AL464" s="170"/>
      <c r="AM464" s="170"/>
      <c r="AN464" s="170"/>
      <c r="AO464" s="170"/>
      <c r="AP464" s="170"/>
      <c r="AQ464" s="170"/>
      <c r="AR464" s="170"/>
      <c r="AS464" s="170"/>
      <c r="AT464" s="170"/>
      <c r="AU464" s="170"/>
      <c r="AV464" s="170"/>
      <c r="AW464" s="828"/>
      <c r="AX464" s="726"/>
    </row>
    <row r="465" spans="1:50" ht="15" x14ac:dyDescent="0.25">
      <c r="A465" s="170"/>
      <c r="B465" s="719"/>
      <c r="C465" s="170"/>
      <c r="D465" s="170"/>
      <c r="E465" s="170"/>
      <c r="F465" s="170"/>
      <c r="G465" s="721"/>
      <c r="H465" s="170"/>
      <c r="I465" s="170"/>
      <c r="J465" s="170"/>
      <c r="K465" s="170"/>
      <c r="L465" s="170"/>
      <c r="M465" s="730"/>
      <c r="N465" s="730"/>
      <c r="O465" s="730"/>
      <c r="P465" s="731"/>
      <c r="Q465" s="731"/>
      <c r="R465" s="730"/>
      <c r="S465" s="730"/>
      <c r="T465" s="723"/>
      <c r="U465" s="724"/>
      <c r="V465" s="725"/>
      <c r="W465" s="725"/>
      <c r="X465" s="723"/>
      <c r="Y465" s="723"/>
      <c r="Z465" s="723"/>
      <c r="AA465" s="726"/>
      <c r="AB465" s="726"/>
      <c r="AC465" s="170"/>
      <c r="AD465" s="586"/>
      <c r="AE465" s="586"/>
      <c r="AF465" s="170"/>
      <c r="AG465" s="170"/>
      <c r="AH465" s="170"/>
      <c r="AI465" s="170"/>
      <c r="AJ465" s="170"/>
      <c r="AK465" s="170"/>
      <c r="AL465" s="170"/>
      <c r="AM465" s="170"/>
      <c r="AN465" s="170"/>
      <c r="AO465" s="170"/>
      <c r="AP465" s="170"/>
      <c r="AQ465" s="170"/>
      <c r="AR465" s="170"/>
      <c r="AS465" s="170"/>
      <c r="AT465" s="170"/>
      <c r="AU465" s="170"/>
      <c r="AV465" s="170"/>
      <c r="AW465" s="828"/>
      <c r="AX465" s="726"/>
    </row>
    <row r="466" spans="1:50" ht="15" x14ac:dyDescent="0.25">
      <c r="A466" s="170"/>
      <c r="B466" s="719"/>
      <c r="C466" s="170"/>
      <c r="D466" s="170"/>
      <c r="E466" s="170"/>
      <c r="F466" s="170"/>
      <c r="G466" s="721"/>
      <c r="H466" s="170"/>
      <c r="I466" s="170"/>
      <c r="J466" s="170"/>
      <c r="K466" s="170"/>
      <c r="L466" s="170"/>
      <c r="M466" s="730"/>
      <c r="N466" s="730"/>
      <c r="O466" s="730"/>
      <c r="P466" s="731"/>
      <c r="Q466" s="731"/>
      <c r="R466" s="730"/>
      <c r="S466" s="730"/>
      <c r="T466" s="723"/>
      <c r="U466" s="724"/>
      <c r="V466" s="725"/>
      <c r="W466" s="725"/>
      <c r="X466" s="723"/>
      <c r="Y466" s="723"/>
      <c r="Z466" s="723"/>
      <c r="AA466" s="726"/>
      <c r="AB466" s="726"/>
      <c r="AC466" s="170"/>
      <c r="AD466" s="586"/>
      <c r="AE466" s="586"/>
      <c r="AF466" s="170"/>
      <c r="AG466" s="170"/>
      <c r="AH466" s="170"/>
      <c r="AI466" s="170"/>
      <c r="AJ466" s="170"/>
      <c r="AK466" s="170"/>
      <c r="AL466" s="170"/>
      <c r="AM466" s="170"/>
      <c r="AN466" s="170"/>
      <c r="AO466" s="170"/>
      <c r="AP466" s="170"/>
      <c r="AQ466" s="170"/>
      <c r="AR466" s="170"/>
      <c r="AS466" s="170"/>
      <c r="AT466" s="170"/>
      <c r="AU466" s="170"/>
      <c r="AV466" s="170"/>
      <c r="AW466" s="828"/>
      <c r="AX466" s="726"/>
    </row>
    <row r="467" spans="1:50" ht="15" x14ac:dyDescent="0.25">
      <c r="A467" s="170"/>
      <c r="B467" s="719"/>
      <c r="C467" s="170"/>
      <c r="D467" s="170"/>
      <c r="E467" s="170"/>
      <c r="F467" s="170"/>
      <c r="G467" s="721"/>
      <c r="H467" s="170"/>
      <c r="I467" s="170"/>
      <c r="J467" s="170"/>
      <c r="K467" s="170"/>
      <c r="L467" s="170"/>
      <c r="M467" s="730"/>
      <c r="N467" s="730"/>
      <c r="O467" s="730"/>
      <c r="P467" s="731"/>
      <c r="Q467" s="731"/>
      <c r="R467" s="730"/>
      <c r="S467" s="730"/>
      <c r="T467" s="723"/>
      <c r="U467" s="724"/>
      <c r="V467" s="725"/>
      <c r="W467" s="725"/>
      <c r="X467" s="723"/>
      <c r="Y467" s="723"/>
      <c r="Z467" s="723"/>
      <c r="AA467" s="726"/>
      <c r="AB467" s="726"/>
      <c r="AC467" s="170"/>
      <c r="AD467" s="586"/>
      <c r="AE467" s="586"/>
      <c r="AF467" s="170"/>
      <c r="AG467" s="170"/>
      <c r="AH467" s="170"/>
      <c r="AI467" s="170"/>
      <c r="AJ467" s="170"/>
      <c r="AK467" s="170"/>
      <c r="AL467" s="170"/>
      <c r="AM467" s="170"/>
      <c r="AN467" s="170"/>
      <c r="AO467" s="170"/>
      <c r="AP467" s="170"/>
      <c r="AQ467" s="170"/>
      <c r="AR467" s="170"/>
      <c r="AS467" s="170"/>
      <c r="AT467" s="170"/>
      <c r="AU467" s="170"/>
      <c r="AV467" s="170"/>
      <c r="AW467" s="828"/>
      <c r="AX467" s="726"/>
    </row>
    <row r="468" spans="1:50" ht="15" x14ac:dyDescent="0.25">
      <c r="A468" s="170"/>
      <c r="B468" s="719"/>
      <c r="C468" s="170"/>
      <c r="D468" s="170"/>
      <c r="E468" s="170"/>
      <c r="F468" s="170"/>
      <c r="G468" s="721"/>
      <c r="H468" s="170"/>
      <c r="I468" s="170"/>
      <c r="J468" s="170"/>
      <c r="K468" s="170"/>
      <c r="L468" s="170"/>
      <c r="M468" s="730"/>
      <c r="N468" s="730"/>
      <c r="O468" s="730"/>
      <c r="P468" s="731"/>
      <c r="Q468" s="731"/>
      <c r="R468" s="730"/>
      <c r="S468" s="730"/>
      <c r="T468" s="723"/>
      <c r="U468" s="724"/>
      <c r="V468" s="725"/>
      <c r="W468" s="725"/>
      <c r="X468" s="723"/>
      <c r="Y468" s="723"/>
      <c r="Z468" s="723"/>
      <c r="AA468" s="726"/>
      <c r="AB468" s="726"/>
      <c r="AC468" s="170"/>
      <c r="AD468" s="586"/>
      <c r="AE468" s="586"/>
      <c r="AF468" s="170"/>
      <c r="AG468" s="170"/>
      <c r="AH468" s="170"/>
      <c r="AI468" s="170"/>
      <c r="AJ468" s="170"/>
      <c r="AK468" s="170"/>
      <c r="AL468" s="170"/>
      <c r="AM468" s="170"/>
      <c r="AN468" s="170"/>
      <c r="AO468" s="170"/>
      <c r="AP468" s="170"/>
      <c r="AQ468" s="170"/>
      <c r="AR468" s="170"/>
      <c r="AS468" s="170"/>
      <c r="AT468" s="170"/>
      <c r="AU468" s="170"/>
      <c r="AV468" s="170"/>
      <c r="AW468" s="828"/>
      <c r="AX468" s="726"/>
    </row>
    <row r="469" spans="1:50" ht="15" x14ac:dyDescent="0.25">
      <c r="A469" s="170"/>
      <c r="B469" s="719"/>
      <c r="C469" s="170"/>
      <c r="D469" s="170"/>
      <c r="E469" s="170"/>
      <c r="F469" s="170"/>
      <c r="G469" s="721"/>
      <c r="H469" s="170"/>
      <c r="I469" s="170"/>
      <c r="J469" s="170"/>
      <c r="K469" s="170"/>
      <c r="L469" s="170"/>
      <c r="M469" s="730"/>
      <c r="N469" s="730"/>
      <c r="O469" s="730"/>
      <c r="P469" s="731"/>
      <c r="Q469" s="731"/>
      <c r="R469" s="730"/>
      <c r="S469" s="730"/>
      <c r="T469" s="723"/>
      <c r="U469" s="724"/>
      <c r="V469" s="725"/>
      <c r="W469" s="725"/>
      <c r="X469" s="723"/>
      <c r="Y469" s="723"/>
      <c r="Z469" s="723"/>
      <c r="AA469" s="726"/>
      <c r="AB469" s="726"/>
      <c r="AC469" s="170"/>
      <c r="AD469" s="586"/>
      <c r="AE469" s="586"/>
      <c r="AF469" s="170"/>
      <c r="AG469" s="170"/>
      <c r="AH469" s="170"/>
      <c r="AI469" s="170"/>
      <c r="AJ469" s="170"/>
      <c r="AK469" s="170"/>
      <c r="AL469" s="170"/>
      <c r="AM469" s="170"/>
      <c r="AN469" s="170"/>
      <c r="AO469" s="170"/>
      <c r="AP469" s="170"/>
      <c r="AQ469" s="170"/>
      <c r="AR469" s="170"/>
      <c r="AS469" s="170"/>
      <c r="AT469" s="170"/>
      <c r="AU469" s="170"/>
      <c r="AV469" s="170"/>
      <c r="AW469" s="828"/>
      <c r="AX469" s="726"/>
    </row>
    <row r="470" spans="1:50" ht="15" x14ac:dyDescent="0.25">
      <c r="A470" s="170"/>
      <c r="B470" s="719"/>
      <c r="C470" s="170"/>
      <c r="D470" s="170"/>
      <c r="E470" s="170"/>
      <c r="F470" s="170"/>
      <c r="G470" s="721"/>
      <c r="H470" s="170"/>
      <c r="I470" s="170"/>
      <c r="J470" s="170"/>
      <c r="K470" s="170"/>
      <c r="L470" s="170"/>
      <c r="M470" s="730"/>
      <c r="N470" s="730"/>
      <c r="O470" s="730"/>
      <c r="P470" s="731"/>
      <c r="Q470" s="731"/>
      <c r="R470" s="730"/>
      <c r="S470" s="730"/>
      <c r="T470" s="723"/>
      <c r="U470" s="724"/>
      <c r="V470" s="725"/>
      <c r="W470" s="725"/>
      <c r="X470" s="723"/>
      <c r="Y470" s="723"/>
      <c r="Z470" s="723"/>
      <c r="AA470" s="726"/>
      <c r="AB470" s="726"/>
      <c r="AC470" s="170"/>
      <c r="AD470" s="586"/>
      <c r="AE470" s="586"/>
      <c r="AF470" s="170"/>
      <c r="AG470" s="170"/>
      <c r="AH470" s="170"/>
      <c r="AI470" s="170"/>
      <c r="AJ470" s="170"/>
      <c r="AK470" s="170"/>
      <c r="AL470" s="170"/>
      <c r="AM470" s="170"/>
      <c r="AN470" s="170"/>
      <c r="AO470" s="170"/>
      <c r="AP470" s="170"/>
      <c r="AQ470" s="170"/>
      <c r="AR470" s="170"/>
      <c r="AS470" s="170"/>
      <c r="AT470" s="170"/>
      <c r="AU470" s="170"/>
      <c r="AV470" s="170"/>
      <c r="AW470" s="828"/>
      <c r="AX470" s="726"/>
    </row>
    <row r="471" spans="1:50" ht="15" x14ac:dyDescent="0.25">
      <c r="A471" s="170"/>
      <c r="B471" s="719"/>
      <c r="C471" s="170"/>
      <c r="D471" s="170"/>
      <c r="E471" s="170"/>
      <c r="F471" s="170"/>
      <c r="G471" s="721"/>
      <c r="H471" s="170"/>
      <c r="I471" s="170"/>
      <c r="J471" s="170"/>
      <c r="K471" s="170"/>
      <c r="L471" s="170"/>
      <c r="M471" s="730"/>
      <c r="N471" s="730"/>
      <c r="O471" s="730"/>
      <c r="P471" s="731"/>
      <c r="Q471" s="731"/>
      <c r="R471" s="730"/>
      <c r="S471" s="730"/>
      <c r="T471" s="723"/>
      <c r="U471" s="724"/>
      <c r="V471" s="725"/>
      <c r="W471" s="725"/>
      <c r="X471" s="723"/>
      <c r="Y471" s="723"/>
      <c r="Z471" s="723"/>
      <c r="AA471" s="726"/>
      <c r="AB471" s="726"/>
      <c r="AC471" s="170"/>
      <c r="AD471" s="586"/>
      <c r="AE471" s="586"/>
      <c r="AF471" s="170"/>
      <c r="AG471" s="170"/>
      <c r="AH471" s="170"/>
      <c r="AI471" s="170"/>
      <c r="AJ471" s="170"/>
      <c r="AK471" s="170"/>
      <c r="AL471" s="170"/>
      <c r="AM471" s="170"/>
      <c r="AN471" s="170"/>
      <c r="AO471" s="170"/>
      <c r="AP471" s="170"/>
      <c r="AQ471" s="170"/>
      <c r="AR471" s="170"/>
      <c r="AS471" s="170"/>
      <c r="AT471" s="170"/>
      <c r="AU471" s="170"/>
      <c r="AV471" s="170"/>
      <c r="AW471" s="828"/>
      <c r="AX471" s="726"/>
    </row>
    <row r="472" spans="1:50" ht="15" x14ac:dyDescent="0.25">
      <c r="A472" s="170"/>
      <c r="B472" s="719"/>
      <c r="C472" s="170"/>
      <c r="D472" s="170"/>
      <c r="E472" s="170"/>
      <c r="F472" s="170"/>
      <c r="G472" s="721"/>
      <c r="H472" s="170"/>
      <c r="I472" s="170"/>
      <c r="J472" s="170"/>
      <c r="K472" s="170"/>
      <c r="L472" s="170"/>
      <c r="M472" s="730"/>
      <c r="N472" s="730"/>
      <c r="O472" s="730"/>
      <c r="P472" s="731"/>
      <c r="Q472" s="731"/>
      <c r="R472" s="730"/>
      <c r="S472" s="730"/>
      <c r="T472" s="723"/>
      <c r="U472" s="724"/>
      <c r="V472" s="725"/>
      <c r="W472" s="725"/>
      <c r="X472" s="723"/>
      <c r="Y472" s="723"/>
      <c r="Z472" s="723"/>
      <c r="AA472" s="726"/>
      <c r="AB472" s="726"/>
      <c r="AC472" s="170"/>
      <c r="AD472" s="586"/>
      <c r="AE472" s="586"/>
      <c r="AF472" s="170"/>
      <c r="AG472" s="170"/>
      <c r="AH472" s="170"/>
      <c r="AI472" s="170"/>
      <c r="AJ472" s="170"/>
      <c r="AK472" s="170"/>
      <c r="AL472" s="170"/>
      <c r="AM472" s="170"/>
      <c r="AN472" s="170"/>
      <c r="AO472" s="170"/>
      <c r="AP472" s="170"/>
      <c r="AQ472" s="170"/>
      <c r="AR472" s="170"/>
      <c r="AS472" s="170"/>
      <c r="AT472" s="170"/>
      <c r="AU472" s="170"/>
      <c r="AV472" s="170"/>
      <c r="AW472" s="828"/>
      <c r="AX472" s="726"/>
    </row>
    <row r="473" spans="1:50" ht="15" x14ac:dyDescent="0.25">
      <c r="A473" s="170"/>
      <c r="B473" s="719"/>
      <c r="C473" s="170"/>
      <c r="D473" s="170"/>
      <c r="E473" s="170"/>
      <c r="F473" s="170"/>
      <c r="G473" s="721"/>
      <c r="H473" s="170"/>
      <c r="I473" s="170"/>
      <c r="J473" s="170"/>
      <c r="K473" s="170"/>
      <c r="L473" s="170"/>
      <c r="M473" s="730"/>
      <c r="N473" s="730"/>
      <c r="O473" s="730"/>
      <c r="P473" s="731"/>
      <c r="Q473" s="731"/>
      <c r="R473" s="730"/>
      <c r="S473" s="730"/>
      <c r="T473" s="723"/>
      <c r="U473" s="724"/>
      <c r="V473" s="725"/>
      <c r="W473" s="725"/>
      <c r="X473" s="723"/>
      <c r="Y473" s="723"/>
      <c r="Z473" s="723"/>
      <c r="AA473" s="726"/>
      <c r="AB473" s="726"/>
      <c r="AC473" s="170"/>
      <c r="AD473" s="586"/>
      <c r="AE473" s="586"/>
      <c r="AF473" s="170"/>
      <c r="AG473" s="170"/>
      <c r="AH473" s="170"/>
      <c r="AI473" s="170"/>
      <c r="AJ473" s="170"/>
      <c r="AK473" s="170"/>
      <c r="AL473" s="170"/>
      <c r="AM473" s="170"/>
      <c r="AN473" s="170"/>
      <c r="AO473" s="170"/>
      <c r="AP473" s="170"/>
      <c r="AQ473" s="170"/>
      <c r="AR473" s="170"/>
      <c r="AS473" s="170"/>
      <c r="AT473" s="170"/>
      <c r="AU473" s="170"/>
      <c r="AV473" s="170"/>
      <c r="AW473" s="828"/>
      <c r="AX473" s="726"/>
    </row>
    <row r="474" spans="1:50" ht="15" x14ac:dyDescent="0.25">
      <c r="A474" s="170"/>
      <c r="B474" s="719"/>
      <c r="C474" s="170"/>
      <c r="D474" s="170"/>
      <c r="E474" s="170"/>
      <c r="F474" s="170"/>
      <c r="G474" s="721"/>
      <c r="H474" s="170"/>
      <c r="I474" s="170"/>
      <c r="J474" s="170"/>
      <c r="K474" s="170"/>
      <c r="L474" s="170"/>
      <c r="M474" s="730"/>
      <c r="N474" s="730"/>
      <c r="O474" s="730"/>
      <c r="P474" s="731"/>
      <c r="Q474" s="731"/>
      <c r="R474" s="730"/>
      <c r="S474" s="730"/>
      <c r="T474" s="723"/>
      <c r="U474" s="724"/>
      <c r="V474" s="725"/>
      <c r="W474" s="725"/>
      <c r="X474" s="723"/>
      <c r="Y474" s="723"/>
      <c r="Z474" s="723"/>
      <c r="AA474" s="726"/>
      <c r="AB474" s="726"/>
      <c r="AC474" s="170"/>
      <c r="AD474" s="586"/>
      <c r="AE474" s="586"/>
      <c r="AF474" s="170"/>
      <c r="AG474" s="170"/>
      <c r="AH474" s="170"/>
      <c r="AI474" s="170"/>
      <c r="AJ474" s="170"/>
      <c r="AK474" s="170"/>
      <c r="AL474" s="170"/>
      <c r="AM474" s="170"/>
      <c r="AN474" s="170"/>
      <c r="AO474" s="170"/>
      <c r="AP474" s="170"/>
      <c r="AQ474" s="170"/>
      <c r="AR474" s="170"/>
      <c r="AS474" s="170"/>
      <c r="AT474" s="170"/>
      <c r="AU474" s="170"/>
      <c r="AV474" s="170"/>
      <c r="AW474" s="828"/>
      <c r="AX474" s="726"/>
    </row>
    <row r="475" spans="1:50" ht="15" x14ac:dyDescent="0.25">
      <c r="A475" s="170"/>
      <c r="B475" s="719"/>
      <c r="C475" s="170"/>
      <c r="D475" s="170"/>
      <c r="E475" s="170"/>
      <c r="F475" s="170"/>
      <c r="G475" s="721"/>
      <c r="H475" s="170"/>
      <c r="I475" s="170"/>
      <c r="J475" s="170"/>
      <c r="K475" s="170"/>
      <c r="L475" s="170"/>
      <c r="M475" s="730"/>
      <c r="N475" s="730"/>
      <c r="O475" s="730"/>
      <c r="P475" s="731"/>
      <c r="Q475" s="731"/>
      <c r="R475" s="730"/>
      <c r="S475" s="730"/>
      <c r="T475" s="723"/>
      <c r="U475" s="724"/>
      <c r="V475" s="725"/>
      <c r="W475" s="725"/>
      <c r="X475" s="723"/>
      <c r="Y475" s="723"/>
      <c r="Z475" s="723"/>
      <c r="AA475" s="726"/>
      <c r="AB475" s="726"/>
      <c r="AC475" s="170"/>
      <c r="AD475" s="586"/>
      <c r="AE475" s="586"/>
      <c r="AF475" s="170"/>
      <c r="AG475" s="170"/>
      <c r="AH475" s="170"/>
      <c r="AI475" s="170"/>
      <c r="AJ475" s="170"/>
      <c r="AK475" s="170"/>
      <c r="AL475" s="170"/>
      <c r="AM475" s="170"/>
      <c r="AN475" s="170"/>
      <c r="AO475" s="170"/>
      <c r="AP475" s="170"/>
      <c r="AQ475" s="170"/>
      <c r="AR475" s="170"/>
      <c r="AS475" s="170"/>
      <c r="AT475" s="170"/>
      <c r="AU475" s="170"/>
      <c r="AV475" s="170"/>
      <c r="AW475" s="828"/>
      <c r="AX475" s="726"/>
    </row>
    <row r="476" spans="1:50" ht="15" x14ac:dyDescent="0.25">
      <c r="A476" s="170"/>
      <c r="B476" s="719"/>
      <c r="C476" s="170"/>
      <c r="D476" s="170"/>
      <c r="E476" s="170"/>
      <c r="F476" s="170"/>
      <c r="G476" s="721"/>
      <c r="H476" s="170"/>
      <c r="I476" s="170"/>
      <c r="J476" s="170"/>
      <c r="K476" s="170"/>
      <c r="L476" s="170"/>
      <c r="M476" s="730"/>
      <c r="N476" s="730"/>
      <c r="O476" s="730"/>
      <c r="P476" s="731"/>
      <c r="Q476" s="731"/>
      <c r="R476" s="730"/>
      <c r="S476" s="730"/>
      <c r="T476" s="723"/>
      <c r="U476" s="724"/>
      <c r="V476" s="725"/>
      <c r="W476" s="725"/>
      <c r="X476" s="723"/>
      <c r="Y476" s="723"/>
      <c r="Z476" s="723"/>
      <c r="AA476" s="726"/>
      <c r="AB476" s="726"/>
      <c r="AC476" s="170"/>
      <c r="AD476" s="586"/>
      <c r="AE476" s="586"/>
      <c r="AF476" s="170"/>
      <c r="AG476" s="170"/>
      <c r="AH476" s="170"/>
      <c r="AI476" s="170"/>
      <c r="AJ476" s="170"/>
      <c r="AK476" s="170"/>
      <c r="AL476" s="170"/>
      <c r="AM476" s="170"/>
      <c r="AN476" s="170"/>
      <c r="AO476" s="170"/>
      <c r="AP476" s="170"/>
      <c r="AQ476" s="170"/>
      <c r="AR476" s="170"/>
      <c r="AS476" s="170"/>
      <c r="AT476" s="170"/>
      <c r="AU476" s="170"/>
      <c r="AV476" s="170"/>
      <c r="AW476" s="828"/>
      <c r="AX476" s="726"/>
    </row>
    <row r="477" spans="1:50" ht="15" x14ac:dyDescent="0.25">
      <c r="A477" s="170"/>
      <c r="B477" s="719"/>
      <c r="C477" s="170"/>
      <c r="D477" s="170"/>
      <c r="E477" s="170"/>
      <c r="F477" s="170"/>
      <c r="G477" s="721"/>
      <c r="H477" s="170"/>
      <c r="I477" s="170"/>
      <c r="J477" s="170"/>
      <c r="K477" s="170"/>
      <c r="L477" s="170"/>
      <c r="M477" s="730"/>
      <c r="N477" s="730"/>
      <c r="O477" s="730"/>
      <c r="P477" s="731"/>
      <c r="Q477" s="731"/>
      <c r="R477" s="730"/>
      <c r="S477" s="730"/>
      <c r="T477" s="723"/>
      <c r="U477" s="724"/>
      <c r="V477" s="725"/>
      <c r="W477" s="725"/>
      <c r="X477" s="723"/>
      <c r="Y477" s="723"/>
      <c r="Z477" s="723"/>
      <c r="AA477" s="726"/>
      <c r="AB477" s="726"/>
      <c r="AC477" s="170"/>
      <c r="AD477" s="586"/>
      <c r="AE477" s="586"/>
      <c r="AF477" s="170"/>
      <c r="AG477" s="170"/>
      <c r="AH477" s="170"/>
      <c r="AI477" s="170"/>
      <c r="AJ477" s="170"/>
      <c r="AK477" s="170"/>
      <c r="AL477" s="170"/>
      <c r="AM477" s="170"/>
      <c r="AN477" s="170"/>
      <c r="AO477" s="170"/>
      <c r="AP477" s="170"/>
      <c r="AQ477" s="170"/>
      <c r="AR477" s="170"/>
      <c r="AS477" s="170"/>
      <c r="AT477" s="170"/>
      <c r="AU477" s="170"/>
      <c r="AV477" s="170"/>
      <c r="AW477" s="828"/>
      <c r="AX477" s="726"/>
    </row>
    <row r="478" spans="1:50" ht="15" x14ac:dyDescent="0.25">
      <c r="A478" s="170"/>
      <c r="B478" s="719"/>
      <c r="C478" s="170"/>
      <c r="D478" s="170"/>
      <c r="E478" s="170"/>
      <c r="F478" s="170"/>
      <c r="G478" s="721"/>
      <c r="H478" s="170"/>
      <c r="I478" s="170"/>
      <c r="J478" s="170"/>
      <c r="K478" s="170"/>
      <c r="L478" s="170"/>
      <c r="M478" s="730"/>
      <c r="N478" s="730"/>
      <c r="O478" s="730"/>
      <c r="P478" s="731"/>
      <c r="Q478" s="731"/>
      <c r="R478" s="730"/>
      <c r="S478" s="730"/>
      <c r="T478" s="723"/>
      <c r="U478" s="724"/>
      <c r="V478" s="725"/>
      <c r="W478" s="725"/>
      <c r="X478" s="723"/>
      <c r="Y478" s="723"/>
      <c r="Z478" s="723"/>
      <c r="AA478" s="726"/>
      <c r="AB478" s="726"/>
      <c r="AC478" s="170"/>
      <c r="AD478" s="586"/>
      <c r="AE478" s="586"/>
      <c r="AF478" s="170"/>
      <c r="AG478" s="170"/>
      <c r="AH478" s="170"/>
      <c r="AI478" s="170"/>
      <c r="AJ478" s="170"/>
      <c r="AK478" s="170"/>
      <c r="AL478" s="170"/>
      <c r="AM478" s="170"/>
      <c r="AN478" s="170"/>
      <c r="AO478" s="170"/>
      <c r="AP478" s="170"/>
      <c r="AQ478" s="170"/>
      <c r="AR478" s="170"/>
      <c r="AS478" s="170"/>
      <c r="AT478" s="170"/>
      <c r="AU478" s="170"/>
      <c r="AV478" s="170"/>
      <c r="AW478" s="828"/>
      <c r="AX478" s="726"/>
    </row>
    <row r="479" spans="1:50" ht="15" x14ac:dyDescent="0.25">
      <c r="A479" s="170"/>
      <c r="B479" s="719"/>
      <c r="C479" s="170"/>
      <c r="D479" s="170"/>
      <c r="E479" s="170"/>
      <c r="F479" s="170"/>
      <c r="G479" s="721"/>
      <c r="H479" s="170"/>
      <c r="I479" s="170"/>
      <c r="J479" s="170"/>
      <c r="K479" s="170"/>
      <c r="L479" s="170"/>
      <c r="M479" s="730"/>
      <c r="N479" s="730"/>
      <c r="O479" s="730"/>
      <c r="P479" s="731"/>
      <c r="Q479" s="731"/>
      <c r="R479" s="730"/>
      <c r="S479" s="730"/>
      <c r="T479" s="723"/>
      <c r="U479" s="724"/>
      <c r="V479" s="725"/>
      <c r="W479" s="725"/>
      <c r="X479" s="723"/>
      <c r="Y479" s="723"/>
      <c r="Z479" s="723"/>
      <c r="AA479" s="726"/>
      <c r="AB479" s="726"/>
      <c r="AC479" s="170"/>
      <c r="AD479" s="586"/>
      <c r="AE479" s="586"/>
      <c r="AF479" s="170"/>
      <c r="AG479" s="170"/>
      <c r="AH479" s="170"/>
      <c r="AI479" s="170"/>
      <c r="AJ479" s="170"/>
      <c r="AK479" s="170"/>
      <c r="AL479" s="170"/>
      <c r="AM479" s="170"/>
      <c r="AN479" s="170"/>
      <c r="AO479" s="170"/>
      <c r="AP479" s="170"/>
      <c r="AQ479" s="170"/>
      <c r="AR479" s="170"/>
      <c r="AS479" s="170"/>
      <c r="AT479" s="170"/>
      <c r="AU479" s="170"/>
      <c r="AV479" s="170"/>
      <c r="AW479" s="828"/>
      <c r="AX479" s="726"/>
    </row>
    <row r="480" spans="1:50" ht="15" x14ac:dyDescent="0.25">
      <c r="A480" s="170"/>
      <c r="B480" s="719"/>
      <c r="C480" s="170"/>
      <c r="D480" s="170"/>
      <c r="E480" s="170"/>
      <c r="F480" s="170"/>
      <c r="G480" s="721"/>
      <c r="H480" s="170"/>
      <c r="I480" s="170"/>
      <c r="J480" s="170"/>
      <c r="K480" s="170"/>
      <c r="L480" s="170"/>
      <c r="M480" s="730"/>
      <c r="N480" s="730"/>
      <c r="O480" s="730"/>
      <c r="P480" s="731"/>
      <c r="Q480" s="731"/>
      <c r="R480" s="730"/>
      <c r="S480" s="730"/>
      <c r="T480" s="723"/>
      <c r="U480" s="724"/>
      <c r="V480" s="725"/>
      <c r="W480" s="725"/>
      <c r="X480" s="723"/>
      <c r="Y480" s="723"/>
      <c r="Z480" s="723"/>
      <c r="AA480" s="726"/>
      <c r="AB480" s="726"/>
      <c r="AC480" s="170"/>
      <c r="AD480" s="586"/>
      <c r="AE480" s="586"/>
      <c r="AF480" s="170"/>
      <c r="AG480" s="170"/>
      <c r="AH480" s="170"/>
      <c r="AI480" s="170"/>
      <c r="AJ480" s="170"/>
      <c r="AK480" s="170"/>
      <c r="AL480" s="170"/>
      <c r="AM480" s="170"/>
      <c r="AN480" s="170"/>
      <c r="AO480" s="170"/>
      <c r="AP480" s="170"/>
      <c r="AQ480" s="170"/>
      <c r="AR480" s="170"/>
      <c r="AS480" s="170"/>
      <c r="AT480" s="170"/>
      <c r="AU480" s="170"/>
      <c r="AV480" s="170"/>
      <c r="AW480" s="828"/>
      <c r="AX480" s="726"/>
    </row>
    <row r="481" spans="1:50" ht="15" x14ac:dyDescent="0.25">
      <c r="A481" s="170"/>
      <c r="B481" s="719"/>
      <c r="C481" s="170"/>
      <c r="D481" s="170"/>
      <c r="E481" s="170"/>
      <c r="F481" s="170"/>
      <c r="G481" s="721"/>
      <c r="H481" s="170"/>
      <c r="I481" s="170"/>
      <c r="J481" s="170"/>
      <c r="K481" s="170"/>
      <c r="L481" s="170"/>
      <c r="M481" s="730"/>
      <c r="N481" s="730"/>
      <c r="O481" s="730"/>
      <c r="P481" s="731"/>
      <c r="Q481" s="731"/>
      <c r="R481" s="730"/>
      <c r="S481" s="730"/>
      <c r="T481" s="723"/>
      <c r="U481" s="724"/>
      <c r="V481" s="725"/>
      <c r="W481" s="725"/>
      <c r="X481" s="723"/>
      <c r="Y481" s="723"/>
      <c r="Z481" s="723"/>
      <c r="AA481" s="726"/>
      <c r="AB481" s="726"/>
      <c r="AC481" s="170"/>
      <c r="AD481" s="586"/>
      <c r="AE481" s="586"/>
      <c r="AF481" s="170"/>
      <c r="AG481" s="170"/>
      <c r="AH481" s="170"/>
      <c r="AI481" s="170"/>
      <c r="AJ481" s="170"/>
      <c r="AK481" s="170"/>
      <c r="AL481" s="170"/>
      <c r="AM481" s="170"/>
      <c r="AN481" s="170"/>
      <c r="AO481" s="170"/>
      <c r="AP481" s="170"/>
      <c r="AQ481" s="170"/>
      <c r="AR481" s="170"/>
      <c r="AS481" s="170"/>
      <c r="AT481" s="170"/>
      <c r="AU481" s="170"/>
      <c r="AV481" s="170"/>
      <c r="AW481" s="828"/>
      <c r="AX481" s="726"/>
    </row>
    <row r="482" spans="1:50" ht="15" x14ac:dyDescent="0.25">
      <c r="A482" s="170"/>
      <c r="B482" s="719"/>
      <c r="C482" s="170"/>
      <c r="D482" s="170"/>
      <c r="E482" s="170"/>
      <c r="F482" s="170"/>
      <c r="G482" s="721"/>
      <c r="H482" s="170"/>
      <c r="I482" s="170"/>
      <c r="J482" s="170"/>
      <c r="K482" s="170"/>
      <c r="L482" s="170"/>
      <c r="M482" s="730"/>
      <c r="N482" s="730"/>
      <c r="O482" s="730"/>
      <c r="P482" s="731"/>
      <c r="Q482" s="731"/>
      <c r="R482" s="730"/>
      <c r="S482" s="730"/>
      <c r="T482" s="723"/>
      <c r="U482" s="724"/>
      <c r="V482" s="725"/>
      <c r="W482" s="725"/>
      <c r="X482" s="723"/>
      <c r="Y482" s="723"/>
      <c r="Z482" s="723"/>
      <c r="AA482" s="726"/>
      <c r="AB482" s="726"/>
      <c r="AC482" s="170"/>
      <c r="AD482" s="586"/>
      <c r="AE482" s="586"/>
      <c r="AF482" s="170"/>
      <c r="AG482" s="170"/>
      <c r="AH482" s="170"/>
      <c r="AI482" s="170"/>
      <c r="AJ482" s="170"/>
      <c r="AK482" s="170"/>
      <c r="AL482" s="170"/>
      <c r="AM482" s="170"/>
      <c r="AN482" s="170"/>
      <c r="AO482" s="170"/>
      <c r="AP482" s="170"/>
      <c r="AQ482" s="170"/>
      <c r="AR482" s="170"/>
      <c r="AS482" s="170"/>
      <c r="AT482" s="170"/>
      <c r="AU482" s="170"/>
      <c r="AV482" s="170"/>
      <c r="AW482" s="828"/>
      <c r="AX482" s="726"/>
    </row>
    <row r="483" spans="1:50" ht="15" x14ac:dyDescent="0.25">
      <c r="A483" s="170"/>
      <c r="B483" s="719"/>
      <c r="C483" s="170"/>
      <c r="D483" s="170"/>
      <c r="E483" s="170"/>
      <c r="F483" s="170"/>
      <c r="G483" s="721"/>
      <c r="H483" s="170"/>
      <c r="I483" s="170"/>
      <c r="J483" s="170"/>
      <c r="K483" s="170"/>
      <c r="L483" s="170"/>
      <c r="M483" s="730"/>
      <c r="N483" s="730"/>
      <c r="O483" s="730"/>
      <c r="P483" s="731"/>
      <c r="Q483" s="731"/>
      <c r="R483" s="730"/>
      <c r="S483" s="730"/>
      <c r="T483" s="723"/>
      <c r="U483" s="724"/>
      <c r="V483" s="725"/>
      <c r="W483" s="725"/>
      <c r="X483" s="723"/>
      <c r="Y483" s="723"/>
      <c r="Z483" s="723"/>
      <c r="AA483" s="726"/>
      <c r="AB483" s="726"/>
      <c r="AC483" s="170"/>
      <c r="AD483" s="586"/>
      <c r="AE483" s="586"/>
      <c r="AF483" s="170"/>
      <c r="AG483" s="170"/>
      <c r="AH483" s="170"/>
      <c r="AI483" s="170"/>
      <c r="AJ483" s="170"/>
      <c r="AK483" s="170"/>
      <c r="AL483" s="170"/>
      <c r="AM483" s="170"/>
      <c r="AN483" s="170"/>
      <c r="AO483" s="170"/>
      <c r="AP483" s="170"/>
      <c r="AQ483" s="170"/>
      <c r="AR483" s="170"/>
      <c r="AS483" s="170"/>
      <c r="AT483" s="170"/>
      <c r="AU483" s="170"/>
      <c r="AV483" s="170"/>
      <c r="AW483" s="828"/>
      <c r="AX483" s="726"/>
    </row>
    <row r="484" spans="1:50" ht="15" x14ac:dyDescent="0.25">
      <c r="A484" s="170"/>
      <c r="B484" s="719"/>
      <c r="C484" s="170"/>
      <c r="D484" s="170"/>
      <c r="E484" s="170"/>
      <c r="F484" s="170"/>
      <c r="G484" s="721"/>
      <c r="H484" s="170"/>
      <c r="I484" s="170"/>
      <c r="J484" s="170"/>
      <c r="K484" s="170"/>
      <c r="L484" s="170"/>
      <c r="M484" s="730"/>
      <c r="N484" s="730"/>
      <c r="O484" s="730"/>
      <c r="P484" s="731"/>
      <c r="Q484" s="731"/>
      <c r="R484" s="730"/>
      <c r="S484" s="730"/>
      <c r="T484" s="723"/>
      <c r="U484" s="724"/>
      <c r="V484" s="725"/>
      <c r="W484" s="725"/>
      <c r="X484" s="723"/>
      <c r="Y484" s="723"/>
      <c r="Z484" s="723"/>
      <c r="AA484" s="726"/>
      <c r="AB484" s="726"/>
      <c r="AC484" s="170"/>
      <c r="AD484" s="586"/>
      <c r="AE484" s="586"/>
      <c r="AF484" s="170"/>
      <c r="AG484" s="170"/>
      <c r="AH484" s="170"/>
      <c r="AI484" s="170"/>
      <c r="AJ484" s="170"/>
      <c r="AK484" s="170"/>
      <c r="AL484" s="170"/>
      <c r="AM484" s="170"/>
      <c r="AN484" s="170"/>
      <c r="AO484" s="170"/>
      <c r="AP484" s="170"/>
      <c r="AQ484" s="170"/>
      <c r="AR484" s="170"/>
      <c r="AS484" s="170"/>
      <c r="AT484" s="170"/>
      <c r="AU484" s="170"/>
      <c r="AV484" s="170"/>
      <c r="AW484" s="828"/>
      <c r="AX484" s="726"/>
    </row>
    <row r="485" spans="1:50" ht="15" x14ac:dyDescent="0.25">
      <c r="A485" s="170"/>
      <c r="B485" s="719"/>
      <c r="C485" s="170"/>
      <c r="D485" s="170"/>
      <c r="E485" s="170"/>
      <c r="F485" s="170"/>
      <c r="G485" s="721"/>
      <c r="H485" s="170"/>
      <c r="I485" s="170"/>
      <c r="J485" s="170"/>
      <c r="K485" s="170"/>
      <c r="L485" s="170"/>
      <c r="M485" s="730"/>
      <c r="N485" s="730"/>
      <c r="O485" s="730"/>
      <c r="P485" s="731"/>
      <c r="Q485" s="731"/>
      <c r="R485" s="730"/>
      <c r="S485" s="730"/>
      <c r="T485" s="723"/>
      <c r="U485" s="724"/>
      <c r="V485" s="725"/>
      <c r="W485" s="725"/>
      <c r="X485" s="723"/>
      <c r="Y485" s="723"/>
      <c r="Z485" s="723"/>
      <c r="AA485" s="726"/>
      <c r="AB485" s="726"/>
      <c r="AC485" s="170"/>
      <c r="AD485" s="586"/>
      <c r="AE485" s="586"/>
      <c r="AF485" s="170"/>
      <c r="AG485" s="170"/>
      <c r="AH485" s="170"/>
      <c r="AI485" s="170"/>
      <c r="AJ485" s="170"/>
      <c r="AK485" s="170"/>
      <c r="AL485" s="170"/>
      <c r="AM485" s="170"/>
      <c r="AN485" s="170"/>
      <c r="AO485" s="170"/>
      <c r="AP485" s="170"/>
      <c r="AQ485" s="170"/>
      <c r="AR485" s="170"/>
      <c r="AS485" s="170"/>
      <c r="AT485" s="170"/>
      <c r="AU485" s="170"/>
      <c r="AV485" s="170"/>
      <c r="AW485" s="828"/>
      <c r="AX485" s="726"/>
    </row>
    <row r="486" spans="1:50" ht="15" x14ac:dyDescent="0.25">
      <c r="A486" s="170"/>
      <c r="B486" s="719"/>
      <c r="C486" s="170"/>
      <c r="D486" s="170"/>
      <c r="E486" s="170"/>
      <c r="F486" s="170"/>
      <c r="G486" s="721"/>
      <c r="H486" s="170"/>
      <c r="I486" s="170"/>
      <c r="J486" s="170"/>
      <c r="K486" s="170"/>
      <c r="L486" s="170"/>
      <c r="M486" s="730"/>
      <c r="N486" s="730"/>
      <c r="O486" s="730"/>
      <c r="P486" s="731"/>
      <c r="Q486" s="731"/>
      <c r="R486" s="730"/>
      <c r="S486" s="730"/>
      <c r="T486" s="723"/>
      <c r="U486" s="724"/>
      <c r="V486" s="725"/>
      <c r="W486" s="725"/>
      <c r="X486" s="723"/>
      <c r="Y486" s="723"/>
      <c r="Z486" s="723"/>
      <c r="AA486" s="726"/>
      <c r="AB486" s="726"/>
      <c r="AC486" s="170"/>
      <c r="AD486" s="586"/>
      <c r="AE486" s="586"/>
      <c r="AF486" s="170"/>
      <c r="AG486" s="170"/>
      <c r="AH486" s="170"/>
      <c r="AI486" s="170"/>
      <c r="AJ486" s="170"/>
      <c r="AK486" s="170"/>
      <c r="AL486" s="170"/>
      <c r="AM486" s="170"/>
      <c r="AN486" s="170"/>
      <c r="AO486" s="170"/>
      <c r="AP486" s="170"/>
      <c r="AQ486" s="170"/>
      <c r="AR486" s="170"/>
      <c r="AS486" s="170"/>
      <c r="AT486" s="170"/>
      <c r="AU486" s="170"/>
      <c r="AV486" s="170"/>
      <c r="AW486" s="828"/>
      <c r="AX486" s="726"/>
    </row>
    <row r="487" spans="1:50" ht="15" x14ac:dyDescent="0.25">
      <c r="A487" s="170"/>
      <c r="B487" s="719"/>
      <c r="C487" s="170"/>
      <c r="D487" s="170"/>
      <c r="E487" s="170"/>
      <c r="F487" s="170"/>
      <c r="G487" s="721"/>
      <c r="H487" s="170"/>
      <c r="I487" s="170"/>
      <c r="J487" s="170"/>
      <c r="K487" s="170"/>
      <c r="L487" s="170"/>
      <c r="M487" s="730"/>
      <c r="N487" s="730"/>
      <c r="O487" s="730"/>
      <c r="P487" s="731"/>
      <c r="Q487" s="731"/>
      <c r="R487" s="730"/>
      <c r="S487" s="730"/>
      <c r="T487" s="723"/>
      <c r="U487" s="724"/>
      <c r="V487" s="725"/>
      <c r="W487" s="725"/>
      <c r="X487" s="723"/>
      <c r="Y487" s="723"/>
      <c r="Z487" s="723"/>
      <c r="AA487" s="726"/>
      <c r="AB487" s="726"/>
      <c r="AC487" s="170"/>
      <c r="AD487" s="586"/>
      <c r="AE487" s="586"/>
      <c r="AF487" s="170"/>
      <c r="AG487" s="170"/>
      <c r="AH487" s="170"/>
      <c r="AI487" s="170"/>
      <c r="AJ487" s="170"/>
      <c r="AK487" s="170"/>
      <c r="AL487" s="170"/>
      <c r="AM487" s="170"/>
      <c r="AN487" s="170"/>
      <c r="AO487" s="170"/>
      <c r="AP487" s="170"/>
      <c r="AQ487" s="170"/>
      <c r="AR487" s="170"/>
      <c r="AS487" s="170"/>
      <c r="AT487" s="170"/>
      <c r="AU487" s="170"/>
      <c r="AV487" s="170"/>
      <c r="AW487" s="828"/>
      <c r="AX487" s="726"/>
    </row>
    <row r="488" spans="1:50" ht="15" x14ac:dyDescent="0.25">
      <c r="A488" s="170"/>
      <c r="B488" s="719"/>
      <c r="C488" s="170"/>
      <c r="D488" s="170"/>
      <c r="E488" s="170"/>
      <c r="F488" s="170"/>
      <c r="G488" s="721"/>
      <c r="H488" s="170"/>
      <c r="I488" s="170"/>
      <c r="J488" s="170"/>
      <c r="K488" s="170"/>
      <c r="L488" s="170"/>
      <c r="M488" s="730"/>
      <c r="N488" s="730"/>
      <c r="O488" s="730"/>
      <c r="P488" s="731"/>
      <c r="Q488" s="731"/>
      <c r="R488" s="730"/>
      <c r="S488" s="730"/>
      <c r="T488" s="723"/>
      <c r="U488" s="724"/>
      <c r="V488" s="725"/>
      <c r="W488" s="725"/>
      <c r="X488" s="723"/>
      <c r="Y488" s="723"/>
      <c r="Z488" s="723"/>
      <c r="AA488" s="726"/>
      <c r="AB488" s="726"/>
      <c r="AC488" s="170"/>
      <c r="AD488" s="586"/>
      <c r="AE488" s="586"/>
      <c r="AF488" s="170"/>
      <c r="AG488" s="170"/>
      <c r="AH488" s="170"/>
      <c r="AI488" s="170"/>
      <c r="AJ488" s="170"/>
      <c r="AK488" s="170"/>
      <c r="AL488" s="170"/>
      <c r="AM488" s="170"/>
      <c r="AN488" s="170"/>
      <c r="AO488" s="170"/>
      <c r="AP488" s="170"/>
      <c r="AQ488" s="170"/>
      <c r="AR488" s="170"/>
      <c r="AS488" s="170"/>
      <c r="AT488" s="170"/>
      <c r="AU488" s="170"/>
      <c r="AV488" s="170"/>
      <c r="AW488" s="828"/>
      <c r="AX488" s="726"/>
    </row>
    <row r="489" spans="1:50" ht="15" x14ac:dyDescent="0.25">
      <c r="A489" s="170"/>
      <c r="B489" s="719"/>
      <c r="C489" s="170"/>
      <c r="D489" s="170"/>
      <c r="E489" s="170"/>
      <c r="F489" s="170"/>
      <c r="G489" s="721"/>
      <c r="H489" s="170"/>
      <c r="I489" s="170"/>
      <c r="J489" s="170"/>
      <c r="K489" s="170"/>
      <c r="L489" s="170"/>
      <c r="M489" s="730"/>
      <c r="N489" s="730"/>
      <c r="O489" s="730"/>
      <c r="P489" s="731"/>
      <c r="Q489" s="731"/>
      <c r="R489" s="730"/>
      <c r="S489" s="730"/>
      <c r="T489" s="723"/>
      <c r="U489" s="724"/>
      <c r="V489" s="725"/>
      <c r="W489" s="725"/>
      <c r="X489" s="723"/>
      <c r="Y489" s="723"/>
      <c r="Z489" s="723"/>
      <c r="AA489" s="726"/>
      <c r="AB489" s="726"/>
      <c r="AC489" s="170"/>
      <c r="AD489" s="586"/>
      <c r="AE489" s="586"/>
      <c r="AF489" s="170"/>
      <c r="AG489" s="170"/>
      <c r="AH489" s="170"/>
      <c r="AI489" s="170"/>
      <c r="AJ489" s="170"/>
      <c r="AK489" s="170"/>
      <c r="AL489" s="170"/>
      <c r="AM489" s="170"/>
      <c r="AN489" s="170"/>
      <c r="AO489" s="170"/>
      <c r="AP489" s="170"/>
      <c r="AQ489" s="170"/>
      <c r="AR489" s="170"/>
      <c r="AS489" s="170"/>
      <c r="AT489" s="170"/>
      <c r="AU489" s="170"/>
      <c r="AV489" s="170"/>
      <c r="AW489" s="828"/>
      <c r="AX489" s="726"/>
    </row>
    <row r="490" spans="1:50" ht="15" x14ac:dyDescent="0.25">
      <c r="A490" s="170"/>
      <c r="B490" s="719"/>
      <c r="C490" s="170"/>
      <c r="D490" s="170"/>
      <c r="E490" s="170"/>
      <c r="F490" s="170"/>
      <c r="G490" s="721"/>
      <c r="H490" s="170"/>
      <c r="I490" s="170"/>
      <c r="J490" s="170"/>
      <c r="K490" s="170"/>
      <c r="L490" s="170"/>
      <c r="M490" s="730"/>
      <c r="N490" s="730"/>
      <c r="O490" s="730"/>
      <c r="P490" s="731"/>
      <c r="Q490" s="731"/>
      <c r="R490" s="730"/>
      <c r="S490" s="730"/>
      <c r="T490" s="723"/>
      <c r="U490" s="724"/>
      <c r="V490" s="725"/>
      <c r="W490" s="725"/>
      <c r="X490" s="723"/>
      <c r="Y490" s="723"/>
      <c r="Z490" s="723"/>
      <c r="AA490" s="726"/>
      <c r="AB490" s="726"/>
      <c r="AC490" s="170"/>
      <c r="AD490" s="586"/>
      <c r="AE490" s="586"/>
      <c r="AF490" s="170"/>
      <c r="AG490" s="170"/>
      <c r="AH490" s="170"/>
      <c r="AI490" s="170"/>
      <c r="AJ490" s="170"/>
      <c r="AK490" s="170"/>
      <c r="AL490" s="170"/>
      <c r="AM490" s="170"/>
      <c r="AN490" s="170"/>
      <c r="AO490" s="170"/>
      <c r="AP490" s="170"/>
      <c r="AQ490" s="170"/>
      <c r="AR490" s="170"/>
      <c r="AS490" s="170"/>
      <c r="AT490" s="170"/>
      <c r="AU490" s="170"/>
      <c r="AV490" s="170"/>
      <c r="AW490" s="828"/>
      <c r="AX490" s="726"/>
    </row>
    <row r="491" spans="1:50" ht="15" x14ac:dyDescent="0.25">
      <c r="A491" s="170"/>
      <c r="B491" s="719"/>
      <c r="C491" s="170"/>
      <c r="D491" s="170"/>
      <c r="E491" s="170"/>
      <c r="F491" s="170"/>
      <c r="G491" s="721"/>
      <c r="H491" s="170"/>
      <c r="I491" s="170"/>
      <c r="J491" s="170"/>
      <c r="K491" s="170"/>
      <c r="L491" s="170"/>
      <c r="M491" s="730"/>
      <c r="N491" s="730"/>
      <c r="O491" s="730"/>
      <c r="P491" s="731"/>
      <c r="Q491" s="731"/>
      <c r="R491" s="730"/>
      <c r="S491" s="730"/>
      <c r="T491" s="723"/>
      <c r="U491" s="724"/>
      <c r="V491" s="725"/>
      <c r="W491" s="725"/>
      <c r="X491" s="723"/>
      <c r="Y491" s="723"/>
      <c r="Z491" s="723"/>
      <c r="AA491" s="726"/>
      <c r="AB491" s="726"/>
      <c r="AC491" s="170"/>
      <c r="AD491" s="586"/>
      <c r="AE491" s="586"/>
      <c r="AF491" s="170"/>
      <c r="AG491" s="170"/>
      <c r="AH491" s="170"/>
      <c r="AI491" s="170"/>
      <c r="AJ491" s="170"/>
      <c r="AK491" s="170"/>
      <c r="AL491" s="170"/>
      <c r="AM491" s="170"/>
      <c r="AN491" s="170"/>
      <c r="AO491" s="170"/>
      <c r="AP491" s="170"/>
      <c r="AQ491" s="170"/>
      <c r="AR491" s="170"/>
      <c r="AS491" s="170"/>
      <c r="AT491" s="170"/>
      <c r="AU491" s="170"/>
      <c r="AV491" s="170"/>
      <c r="AW491" s="828"/>
      <c r="AX491" s="726"/>
    </row>
    <row r="492" spans="1:50" ht="15" x14ac:dyDescent="0.25">
      <c r="A492" s="170"/>
      <c r="B492" s="719"/>
      <c r="C492" s="170"/>
      <c r="D492" s="170"/>
      <c r="E492" s="170"/>
      <c r="F492" s="170"/>
      <c r="G492" s="721"/>
      <c r="H492" s="170"/>
      <c r="I492" s="170"/>
      <c r="J492" s="170"/>
      <c r="K492" s="170"/>
      <c r="L492" s="170"/>
      <c r="M492" s="730"/>
      <c r="N492" s="730"/>
      <c r="O492" s="730"/>
      <c r="P492" s="731"/>
      <c r="Q492" s="731"/>
      <c r="R492" s="730"/>
      <c r="S492" s="730"/>
      <c r="T492" s="723"/>
      <c r="U492" s="724"/>
      <c r="V492" s="725"/>
      <c r="W492" s="725"/>
      <c r="X492" s="723"/>
      <c r="Y492" s="723"/>
      <c r="Z492" s="723"/>
      <c r="AA492" s="726"/>
      <c r="AB492" s="726"/>
      <c r="AC492" s="170"/>
      <c r="AD492" s="586"/>
      <c r="AE492" s="586"/>
      <c r="AF492" s="170"/>
      <c r="AG492" s="170"/>
      <c r="AH492" s="170"/>
      <c r="AI492" s="170"/>
      <c r="AJ492" s="170"/>
      <c r="AK492" s="170"/>
      <c r="AL492" s="170"/>
      <c r="AM492" s="170"/>
      <c r="AN492" s="170"/>
      <c r="AO492" s="170"/>
      <c r="AP492" s="170"/>
      <c r="AQ492" s="170"/>
      <c r="AR492" s="170"/>
      <c r="AS492" s="170"/>
      <c r="AT492" s="170"/>
      <c r="AU492" s="170"/>
      <c r="AV492" s="170"/>
      <c r="AW492" s="828"/>
      <c r="AX492" s="726"/>
    </row>
    <row r="493" spans="1:50" ht="15" x14ac:dyDescent="0.25">
      <c r="A493" s="170"/>
      <c r="B493" s="719"/>
      <c r="C493" s="170"/>
      <c r="D493" s="170"/>
      <c r="E493" s="170"/>
      <c r="F493" s="170"/>
      <c r="G493" s="721"/>
      <c r="H493" s="170"/>
      <c r="I493" s="170"/>
      <c r="J493" s="170"/>
      <c r="K493" s="170"/>
      <c r="L493" s="170"/>
      <c r="M493" s="730"/>
      <c r="N493" s="730"/>
      <c r="O493" s="730"/>
      <c r="P493" s="731"/>
      <c r="Q493" s="731"/>
      <c r="R493" s="730"/>
      <c r="S493" s="730"/>
      <c r="T493" s="723"/>
      <c r="U493" s="724"/>
      <c r="V493" s="725"/>
      <c r="W493" s="725"/>
      <c r="X493" s="723"/>
      <c r="Y493" s="723"/>
      <c r="Z493" s="723"/>
      <c r="AA493" s="726"/>
      <c r="AB493" s="726"/>
      <c r="AC493" s="170"/>
      <c r="AD493" s="586"/>
      <c r="AE493" s="586"/>
      <c r="AF493" s="170"/>
      <c r="AG493" s="170"/>
      <c r="AH493" s="170"/>
      <c r="AI493" s="170"/>
      <c r="AJ493" s="170"/>
      <c r="AK493" s="170"/>
      <c r="AL493" s="170"/>
      <c r="AM493" s="170"/>
      <c r="AN493" s="170"/>
      <c r="AO493" s="170"/>
      <c r="AP493" s="170"/>
      <c r="AQ493" s="170"/>
      <c r="AR493" s="170"/>
      <c r="AS493" s="170"/>
      <c r="AT493" s="170"/>
      <c r="AU493" s="170"/>
      <c r="AV493" s="170"/>
      <c r="AW493" s="828"/>
      <c r="AX493" s="726"/>
    </row>
    <row r="494" spans="1:50" ht="15" x14ac:dyDescent="0.25">
      <c r="A494" s="170"/>
      <c r="B494" s="719"/>
      <c r="C494" s="170"/>
      <c r="D494" s="170"/>
      <c r="E494" s="170"/>
      <c r="F494" s="170"/>
      <c r="G494" s="721"/>
      <c r="H494" s="170"/>
      <c r="I494" s="170"/>
      <c r="J494" s="170"/>
      <c r="K494" s="170"/>
      <c r="L494" s="170"/>
      <c r="M494" s="730"/>
      <c r="N494" s="730"/>
      <c r="O494" s="730"/>
      <c r="P494" s="731"/>
      <c r="Q494" s="731"/>
      <c r="R494" s="730"/>
      <c r="S494" s="730"/>
      <c r="T494" s="723"/>
      <c r="U494" s="724"/>
      <c r="V494" s="725"/>
      <c r="W494" s="725"/>
      <c r="X494" s="723"/>
      <c r="Y494" s="723"/>
      <c r="Z494" s="723"/>
      <c r="AA494" s="726"/>
      <c r="AB494" s="726"/>
      <c r="AC494" s="170"/>
      <c r="AD494" s="586"/>
      <c r="AE494" s="586"/>
      <c r="AF494" s="170"/>
      <c r="AG494" s="170"/>
      <c r="AH494" s="170"/>
      <c r="AI494" s="170"/>
      <c r="AJ494" s="170"/>
      <c r="AK494" s="170"/>
      <c r="AL494" s="170"/>
      <c r="AM494" s="170"/>
      <c r="AN494" s="170"/>
      <c r="AO494" s="170"/>
      <c r="AP494" s="170"/>
      <c r="AQ494" s="170"/>
      <c r="AR494" s="170"/>
      <c r="AS494" s="170"/>
      <c r="AT494" s="170"/>
      <c r="AU494" s="170"/>
      <c r="AV494" s="170"/>
      <c r="AW494" s="828"/>
      <c r="AX494" s="726"/>
    </row>
    <row r="495" spans="1:50" ht="15" x14ac:dyDescent="0.25">
      <c r="A495" s="170"/>
      <c r="B495" s="719"/>
      <c r="C495" s="170"/>
      <c r="D495" s="170"/>
      <c r="E495" s="170"/>
      <c r="F495" s="170"/>
      <c r="G495" s="721"/>
      <c r="H495" s="170"/>
      <c r="I495" s="170"/>
      <c r="J495" s="170"/>
      <c r="K495" s="170"/>
      <c r="L495" s="170"/>
      <c r="M495" s="730"/>
      <c r="N495" s="730"/>
      <c r="O495" s="730"/>
      <c r="P495" s="731"/>
      <c r="Q495" s="731"/>
      <c r="R495" s="730"/>
      <c r="S495" s="730"/>
      <c r="T495" s="723"/>
      <c r="U495" s="724"/>
      <c r="V495" s="725"/>
      <c r="W495" s="725"/>
      <c r="X495" s="723"/>
      <c r="Y495" s="723"/>
      <c r="Z495" s="723"/>
      <c r="AA495" s="726"/>
      <c r="AB495" s="726"/>
      <c r="AC495" s="170"/>
      <c r="AD495" s="586"/>
      <c r="AE495" s="586"/>
      <c r="AF495" s="170"/>
      <c r="AG495" s="170"/>
      <c r="AH495" s="170"/>
      <c r="AI495" s="170"/>
      <c r="AJ495" s="170"/>
      <c r="AK495" s="170"/>
      <c r="AL495" s="170"/>
      <c r="AM495" s="170"/>
      <c r="AN495" s="170"/>
      <c r="AO495" s="170"/>
      <c r="AP495" s="170"/>
      <c r="AQ495" s="170"/>
      <c r="AR495" s="170"/>
      <c r="AS495" s="170"/>
      <c r="AT495" s="170"/>
      <c r="AU495" s="170"/>
      <c r="AV495" s="170"/>
      <c r="AW495" s="828"/>
      <c r="AX495" s="726"/>
    </row>
    <row r="496" spans="1:50" ht="15" x14ac:dyDescent="0.25">
      <c r="A496" s="170"/>
      <c r="B496" s="719"/>
      <c r="C496" s="170"/>
      <c r="D496" s="170"/>
      <c r="E496" s="170"/>
      <c r="F496" s="170"/>
      <c r="G496" s="721"/>
      <c r="H496" s="170"/>
      <c r="I496" s="170"/>
      <c r="J496" s="170"/>
      <c r="K496" s="170"/>
      <c r="L496" s="170"/>
      <c r="M496" s="730"/>
      <c r="N496" s="730"/>
      <c r="O496" s="730"/>
      <c r="P496" s="731"/>
      <c r="Q496" s="731"/>
      <c r="R496" s="730"/>
      <c r="S496" s="730"/>
      <c r="T496" s="723"/>
      <c r="U496" s="724"/>
      <c r="V496" s="725"/>
      <c r="W496" s="725"/>
      <c r="X496" s="723"/>
      <c r="Y496" s="723"/>
      <c r="Z496" s="723"/>
      <c r="AA496" s="726"/>
      <c r="AB496" s="726"/>
      <c r="AC496" s="170"/>
      <c r="AD496" s="586"/>
      <c r="AE496" s="586"/>
      <c r="AF496" s="170"/>
      <c r="AG496" s="170"/>
      <c r="AH496" s="170"/>
      <c r="AI496" s="170"/>
      <c r="AJ496" s="170"/>
      <c r="AK496" s="170"/>
      <c r="AL496" s="170"/>
      <c r="AM496" s="170"/>
      <c r="AN496" s="170"/>
      <c r="AO496" s="170"/>
      <c r="AP496" s="170"/>
      <c r="AQ496" s="170"/>
      <c r="AR496" s="170"/>
      <c r="AS496" s="170"/>
      <c r="AT496" s="170"/>
      <c r="AU496" s="170"/>
      <c r="AV496" s="170"/>
      <c r="AW496" s="828"/>
      <c r="AX496" s="726"/>
    </row>
    <row r="497" spans="1:50" ht="15" x14ac:dyDescent="0.25">
      <c r="A497" s="170"/>
      <c r="B497" s="719"/>
      <c r="C497" s="170"/>
      <c r="D497" s="170"/>
      <c r="E497" s="170"/>
      <c r="F497" s="170"/>
      <c r="G497" s="721"/>
      <c r="H497" s="170"/>
      <c r="I497" s="170"/>
      <c r="J497" s="170"/>
      <c r="K497" s="170"/>
      <c r="L497" s="170"/>
      <c r="M497" s="730"/>
      <c r="N497" s="730"/>
      <c r="O497" s="730"/>
      <c r="P497" s="731"/>
      <c r="Q497" s="731"/>
      <c r="R497" s="730"/>
      <c r="S497" s="730"/>
      <c r="T497" s="723"/>
      <c r="U497" s="724"/>
      <c r="V497" s="725"/>
      <c r="W497" s="725"/>
      <c r="X497" s="723"/>
      <c r="Y497" s="723"/>
      <c r="Z497" s="723"/>
      <c r="AA497" s="726"/>
      <c r="AB497" s="726"/>
      <c r="AC497" s="170"/>
      <c r="AD497" s="586"/>
      <c r="AE497" s="586"/>
      <c r="AF497" s="170"/>
      <c r="AG497" s="170"/>
      <c r="AH497" s="170"/>
      <c r="AI497" s="170"/>
      <c r="AJ497" s="170"/>
      <c r="AK497" s="170"/>
      <c r="AL497" s="170"/>
      <c r="AM497" s="170"/>
      <c r="AN497" s="170"/>
      <c r="AO497" s="170"/>
      <c r="AP497" s="170"/>
      <c r="AQ497" s="170"/>
      <c r="AR497" s="170"/>
      <c r="AS497" s="170"/>
      <c r="AT497" s="170"/>
      <c r="AU497" s="170"/>
      <c r="AV497" s="170"/>
      <c r="AW497" s="828"/>
      <c r="AX497" s="726"/>
    </row>
    <row r="498" spans="1:50" ht="15" x14ac:dyDescent="0.25">
      <c r="A498" s="170"/>
      <c r="B498" s="719"/>
      <c r="C498" s="170"/>
      <c r="D498" s="170"/>
      <c r="E498" s="170"/>
      <c r="F498" s="170"/>
      <c r="G498" s="721"/>
      <c r="H498" s="170"/>
      <c r="I498" s="170"/>
      <c r="J498" s="170"/>
      <c r="K498" s="170"/>
      <c r="L498" s="170"/>
      <c r="M498" s="730"/>
      <c r="N498" s="730"/>
      <c r="O498" s="730"/>
      <c r="P498" s="731"/>
      <c r="Q498" s="731"/>
      <c r="R498" s="730"/>
      <c r="S498" s="730"/>
      <c r="T498" s="723"/>
      <c r="U498" s="724"/>
      <c r="V498" s="725"/>
      <c r="W498" s="725"/>
      <c r="X498" s="723"/>
      <c r="Y498" s="723"/>
      <c r="Z498" s="723"/>
      <c r="AA498" s="726"/>
      <c r="AB498" s="726"/>
      <c r="AC498" s="170"/>
      <c r="AD498" s="586"/>
      <c r="AE498" s="586"/>
      <c r="AF498" s="170"/>
      <c r="AG498" s="170"/>
      <c r="AH498" s="170"/>
      <c r="AI498" s="170"/>
      <c r="AJ498" s="170"/>
      <c r="AK498" s="170"/>
      <c r="AL498" s="170"/>
      <c r="AM498" s="170"/>
      <c r="AN498" s="170"/>
      <c r="AO498" s="170"/>
      <c r="AP498" s="170"/>
      <c r="AQ498" s="170"/>
      <c r="AR498" s="170"/>
      <c r="AS498" s="170"/>
      <c r="AT498" s="170"/>
      <c r="AU498" s="170"/>
      <c r="AV498" s="170"/>
      <c r="AW498" s="828"/>
      <c r="AX498" s="726"/>
    </row>
    <row r="499" spans="1:50" ht="15" x14ac:dyDescent="0.25">
      <c r="A499" s="170"/>
      <c r="B499" s="719"/>
      <c r="C499" s="170"/>
      <c r="D499" s="170"/>
      <c r="E499" s="170"/>
      <c r="F499" s="170"/>
      <c r="G499" s="721"/>
      <c r="H499" s="170"/>
      <c r="I499" s="170"/>
      <c r="J499" s="170"/>
      <c r="K499" s="170"/>
      <c r="L499" s="170"/>
      <c r="M499" s="730"/>
      <c r="N499" s="730"/>
      <c r="O499" s="730"/>
      <c r="P499" s="731"/>
      <c r="Q499" s="731"/>
      <c r="R499" s="730"/>
      <c r="S499" s="730"/>
      <c r="T499" s="723"/>
      <c r="U499" s="724"/>
      <c r="V499" s="725"/>
      <c r="W499" s="725"/>
      <c r="X499" s="723"/>
      <c r="Y499" s="723"/>
      <c r="Z499" s="723"/>
      <c r="AA499" s="726"/>
      <c r="AB499" s="726"/>
      <c r="AC499" s="170"/>
      <c r="AD499" s="586"/>
      <c r="AE499" s="586"/>
      <c r="AF499" s="170"/>
      <c r="AG499" s="170"/>
      <c r="AH499" s="170"/>
      <c r="AI499" s="170"/>
      <c r="AJ499" s="170"/>
      <c r="AK499" s="170"/>
      <c r="AL499" s="170"/>
      <c r="AM499" s="170"/>
      <c r="AN499" s="170"/>
      <c r="AO499" s="170"/>
      <c r="AP499" s="170"/>
      <c r="AQ499" s="170"/>
      <c r="AR499" s="170"/>
      <c r="AS499" s="170"/>
      <c r="AT499" s="170"/>
      <c r="AU499" s="170"/>
      <c r="AV499" s="170"/>
      <c r="AW499" s="828"/>
      <c r="AX499" s="726"/>
    </row>
    <row r="500" spans="1:50" ht="15" x14ac:dyDescent="0.25">
      <c r="A500" s="170"/>
      <c r="B500" s="719"/>
      <c r="C500" s="170"/>
      <c r="D500" s="170"/>
      <c r="E500" s="170"/>
      <c r="F500" s="170"/>
      <c r="G500" s="721"/>
      <c r="H500" s="170"/>
      <c r="I500" s="170"/>
      <c r="J500" s="170"/>
      <c r="K500" s="170"/>
      <c r="L500" s="170"/>
      <c r="M500" s="730"/>
      <c r="N500" s="730"/>
      <c r="O500" s="730"/>
      <c r="P500" s="731"/>
      <c r="Q500" s="731"/>
      <c r="R500" s="730"/>
      <c r="S500" s="730"/>
      <c r="T500" s="723"/>
      <c r="U500" s="724"/>
      <c r="V500" s="725"/>
      <c r="W500" s="725"/>
      <c r="X500" s="723"/>
      <c r="Y500" s="723"/>
      <c r="Z500" s="723"/>
      <c r="AA500" s="726"/>
      <c r="AB500" s="726"/>
      <c r="AC500" s="170"/>
      <c r="AD500" s="586"/>
      <c r="AE500" s="586"/>
      <c r="AF500" s="170"/>
      <c r="AG500" s="170"/>
      <c r="AH500" s="170"/>
      <c r="AI500" s="170"/>
      <c r="AJ500" s="170"/>
      <c r="AK500" s="170"/>
      <c r="AL500" s="170"/>
      <c r="AM500" s="170"/>
      <c r="AN500" s="170"/>
      <c r="AO500" s="170"/>
      <c r="AP500" s="170"/>
      <c r="AQ500" s="170"/>
      <c r="AR500" s="170"/>
      <c r="AS500" s="170"/>
      <c r="AT500" s="170"/>
      <c r="AU500" s="170"/>
      <c r="AV500" s="170"/>
      <c r="AW500" s="828"/>
      <c r="AX500" s="726"/>
    </row>
    <row r="501" spans="1:50" ht="15" x14ac:dyDescent="0.25">
      <c r="A501" s="170"/>
      <c r="B501" s="719"/>
      <c r="C501" s="170"/>
      <c r="D501" s="170"/>
      <c r="E501" s="170"/>
      <c r="F501" s="170"/>
      <c r="G501" s="721"/>
      <c r="H501" s="170"/>
      <c r="I501" s="170"/>
      <c r="J501" s="170"/>
      <c r="K501" s="170"/>
      <c r="L501" s="170"/>
      <c r="M501" s="730"/>
      <c r="N501" s="730"/>
      <c r="O501" s="730"/>
      <c r="P501" s="731"/>
      <c r="Q501" s="731"/>
      <c r="R501" s="730"/>
      <c r="S501" s="730"/>
      <c r="T501" s="723"/>
      <c r="U501" s="724"/>
      <c r="V501" s="725"/>
      <c r="W501" s="725"/>
      <c r="X501" s="723"/>
      <c r="Y501" s="723"/>
      <c r="Z501" s="723"/>
      <c r="AA501" s="726"/>
      <c r="AB501" s="726"/>
      <c r="AC501" s="170"/>
      <c r="AD501" s="586"/>
      <c r="AE501" s="586"/>
      <c r="AF501" s="170"/>
      <c r="AG501" s="170"/>
      <c r="AH501" s="170"/>
      <c r="AI501" s="170"/>
      <c r="AJ501" s="170"/>
      <c r="AK501" s="170"/>
      <c r="AL501" s="170"/>
      <c r="AM501" s="170"/>
      <c r="AN501" s="170"/>
      <c r="AO501" s="170"/>
      <c r="AP501" s="170"/>
      <c r="AQ501" s="170"/>
      <c r="AR501" s="170"/>
      <c r="AS501" s="170"/>
      <c r="AT501" s="170"/>
      <c r="AU501" s="170"/>
      <c r="AV501" s="170"/>
      <c r="AW501" s="828"/>
      <c r="AX501" s="726"/>
    </row>
    <row r="502" spans="1:50" ht="15" x14ac:dyDescent="0.25">
      <c r="A502" s="170"/>
      <c r="B502" s="719"/>
      <c r="C502" s="170"/>
      <c r="D502" s="170"/>
      <c r="E502" s="170"/>
      <c r="F502" s="170"/>
      <c r="G502" s="721"/>
      <c r="H502" s="170"/>
      <c r="I502" s="170"/>
      <c r="J502" s="170"/>
      <c r="K502" s="170"/>
      <c r="L502" s="170"/>
      <c r="M502" s="730"/>
      <c r="N502" s="730"/>
      <c r="O502" s="730"/>
      <c r="P502" s="731"/>
      <c r="Q502" s="731"/>
      <c r="R502" s="730"/>
      <c r="S502" s="730"/>
      <c r="T502" s="723"/>
      <c r="U502" s="724"/>
      <c r="V502" s="725"/>
      <c r="W502" s="725"/>
      <c r="X502" s="723"/>
      <c r="Y502" s="723"/>
      <c r="Z502" s="723"/>
      <c r="AA502" s="726"/>
      <c r="AB502" s="726"/>
      <c r="AC502" s="170"/>
      <c r="AD502" s="586"/>
      <c r="AE502" s="586"/>
      <c r="AF502" s="170"/>
      <c r="AG502" s="170"/>
      <c r="AH502" s="170"/>
      <c r="AI502" s="170"/>
      <c r="AJ502" s="170"/>
      <c r="AK502" s="170"/>
      <c r="AL502" s="170"/>
      <c r="AM502" s="170"/>
      <c r="AN502" s="170"/>
      <c r="AO502" s="170"/>
      <c r="AP502" s="170"/>
      <c r="AQ502" s="170"/>
      <c r="AR502" s="170"/>
      <c r="AS502" s="170"/>
      <c r="AT502" s="170"/>
      <c r="AU502" s="170"/>
      <c r="AV502" s="170"/>
      <c r="AW502" s="828"/>
      <c r="AX502" s="726"/>
    </row>
    <row r="503" spans="1:50" ht="15" x14ac:dyDescent="0.25">
      <c r="A503" s="170"/>
      <c r="B503" s="719"/>
      <c r="C503" s="170"/>
      <c r="D503" s="170"/>
      <c r="E503" s="170"/>
      <c r="F503" s="170"/>
      <c r="G503" s="721"/>
      <c r="H503" s="170"/>
      <c r="I503" s="170"/>
      <c r="J503" s="170"/>
      <c r="K503" s="170"/>
      <c r="L503" s="170"/>
      <c r="M503" s="730"/>
      <c r="N503" s="730"/>
      <c r="O503" s="730"/>
      <c r="P503" s="731"/>
      <c r="Q503" s="731"/>
      <c r="R503" s="730"/>
      <c r="S503" s="730"/>
      <c r="T503" s="723"/>
      <c r="U503" s="724"/>
      <c r="V503" s="725"/>
      <c r="W503" s="725"/>
      <c r="X503" s="723"/>
      <c r="Y503" s="723"/>
      <c r="Z503" s="723"/>
      <c r="AA503" s="726"/>
      <c r="AB503" s="726"/>
      <c r="AC503" s="170"/>
      <c r="AD503" s="586"/>
      <c r="AE503" s="586"/>
      <c r="AF503" s="170"/>
      <c r="AG503" s="170"/>
      <c r="AH503" s="170"/>
      <c r="AI503" s="170"/>
      <c r="AJ503" s="170"/>
      <c r="AK503" s="170"/>
      <c r="AL503" s="170"/>
      <c r="AM503" s="170"/>
      <c r="AN503" s="170"/>
      <c r="AO503" s="170"/>
      <c r="AP503" s="170"/>
      <c r="AQ503" s="170"/>
      <c r="AR503" s="170"/>
      <c r="AS503" s="170"/>
      <c r="AT503" s="170"/>
      <c r="AU503" s="170"/>
      <c r="AV503" s="170"/>
      <c r="AW503" s="828"/>
      <c r="AX503" s="726"/>
    </row>
    <row r="504" spans="1:50" ht="15" x14ac:dyDescent="0.25">
      <c r="A504" s="170"/>
      <c r="B504" s="719"/>
      <c r="C504" s="170"/>
      <c r="D504" s="170"/>
      <c r="E504" s="170"/>
      <c r="F504" s="170"/>
      <c r="G504" s="721"/>
      <c r="H504" s="170"/>
      <c r="I504" s="170"/>
      <c r="J504" s="170"/>
      <c r="K504" s="170"/>
      <c r="L504" s="170"/>
      <c r="M504" s="730"/>
      <c r="N504" s="730"/>
      <c r="O504" s="730"/>
      <c r="P504" s="731"/>
      <c r="Q504" s="731"/>
      <c r="R504" s="730"/>
      <c r="S504" s="730"/>
      <c r="T504" s="723"/>
      <c r="U504" s="724"/>
      <c r="V504" s="725"/>
      <c r="W504" s="725"/>
      <c r="X504" s="723"/>
      <c r="Y504" s="723"/>
      <c r="Z504" s="723"/>
      <c r="AA504" s="726"/>
      <c r="AB504" s="726"/>
      <c r="AC504" s="170"/>
      <c r="AD504" s="586"/>
      <c r="AE504" s="586"/>
      <c r="AF504" s="170"/>
      <c r="AG504" s="170"/>
      <c r="AH504" s="170"/>
      <c r="AI504" s="170"/>
      <c r="AJ504" s="170"/>
      <c r="AK504" s="170"/>
      <c r="AL504" s="170"/>
      <c r="AM504" s="170"/>
      <c r="AN504" s="170"/>
      <c r="AO504" s="170"/>
      <c r="AP504" s="170"/>
      <c r="AQ504" s="170"/>
      <c r="AR504" s="170"/>
      <c r="AS504" s="170"/>
      <c r="AT504" s="170"/>
      <c r="AU504" s="170"/>
      <c r="AV504" s="170"/>
      <c r="AW504" s="828"/>
      <c r="AX504" s="726"/>
    </row>
    <row r="505" spans="1:50" ht="15" x14ac:dyDescent="0.25">
      <c r="A505" s="170"/>
      <c r="B505" s="719"/>
      <c r="C505" s="170"/>
      <c r="D505" s="170"/>
      <c r="E505" s="170"/>
      <c r="F505" s="170"/>
      <c r="G505" s="721"/>
      <c r="H505" s="170"/>
      <c r="I505" s="170"/>
      <c r="J505" s="170"/>
      <c r="K505" s="170"/>
      <c r="L505" s="170"/>
      <c r="M505" s="730"/>
      <c r="N505" s="730"/>
      <c r="O505" s="730"/>
      <c r="P505" s="731"/>
      <c r="Q505" s="731"/>
      <c r="R505" s="730"/>
      <c r="S505" s="730"/>
      <c r="T505" s="723"/>
      <c r="U505" s="724"/>
      <c r="V505" s="725"/>
      <c r="W505" s="725"/>
      <c r="X505" s="723"/>
      <c r="Y505" s="723"/>
      <c r="Z505" s="723"/>
      <c r="AA505" s="726"/>
      <c r="AB505" s="726"/>
      <c r="AC505" s="170"/>
      <c r="AD505" s="586"/>
      <c r="AE505" s="586"/>
      <c r="AF505" s="170"/>
      <c r="AG505" s="170"/>
      <c r="AH505" s="170"/>
      <c r="AI505" s="170"/>
      <c r="AJ505" s="170"/>
      <c r="AK505" s="170"/>
      <c r="AL505" s="170"/>
      <c r="AM505" s="170"/>
      <c r="AN505" s="170"/>
      <c r="AO505" s="170"/>
      <c r="AP505" s="170"/>
      <c r="AQ505" s="170"/>
      <c r="AR505" s="170"/>
      <c r="AS505" s="170"/>
      <c r="AT505" s="170"/>
      <c r="AU505" s="170"/>
      <c r="AV505" s="170"/>
      <c r="AW505" s="828"/>
      <c r="AX505" s="726"/>
    </row>
    <row r="506" spans="1:50" ht="15" x14ac:dyDescent="0.25">
      <c r="A506" s="170"/>
      <c r="B506" s="719"/>
      <c r="C506" s="170"/>
      <c r="D506" s="170"/>
      <c r="E506" s="170"/>
      <c r="F506" s="170"/>
      <c r="G506" s="721"/>
      <c r="H506" s="170"/>
      <c r="I506" s="170"/>
      <c r="J506" s="170"/>
      <c r="K506" s="170"/>
      <c r="L506" s="170"/>
      <c r="M506" s="730"/>
      <c r="N506" s="730"/>
      <c r="O506" s="730"/>
      <c r="P506" s="731"/>
      <c r="Q506" s="731"/>
      <c r="R506" s="730"/>
      <c r="S506" s="730"/>
      <c r="T506" s="723"/>
      <c r="U506" s="724"/>
      <c r="V506" s="725"/>
      <c r="W506" s="725"/>
      <c r="X506" s="723"/>
      <c r="Y506" s="723"/>
      <c r="Z506" s="723"/>
      <c r="AA506" s="726"/>
      <c r="AB506" s="726"/>
      <c r="AC506" s="170"/>
      <c r="AD506" s="586"/>
      <c r="AE506" s="586"/>
      <c r="AF506" s="170"/>
      <c r="AG506" s="170"/>
      <c r="AH506" s="170"/>
      <c r="AI506" s="170"/>
      <c r="AJ506" s="170"/>
      <c r="AK506" s="170"/>
      <c r="AL506" s="170"/>
      <c r="AM506" s="170"/>
      <c r="AN506" s="170"/>
      <c r="AO506" s="170"/>
      <c r="AP506" s="170"/>
      <c r="AQ506" s="170"/>
      <c r="AR506" s="170"/>
      <c r="AS506" s="170"/>
      <c r="AT506" s="170"/>
      <c r="AU506" s="170"/>
      <c r="AV506" s="170"/>
      <c r="AW506" s="828"/>
      <c r="AX506" s="726"/>
    </row>
    <row r="507" spans="1:50" ht="15" x14ac:dyDescent="0.25">
      <c r="A507" s="170"/>
      <c r="B507" s="719"/>
      <c r="C507" s="170"/>
      <c r="D507" s="170"/>
      <c r="E507" s="170"/>
      <c r="F507" s="170"/>
      <c r="G507" s="721"/>
      <c r="H507" s="170"/>
      <c r="I507" s="170"/>
      <c r="J507" s="170"/>
      <c r="K507" s="170"/>
      <c r="L507" s="170"/>
      <c r="M507" s="730"/>
      <c r="N507" s="730"/>
      <c r="O507" s="730"/>
      <c r="P507" s="731"/>
      <c r="Q507" s="731"/>
      <c r="R507" s="730"/>
      <c r="S507" s="730"/>
      <c r="T507" s="723"/>
      <c r="U507" s="724"/>
      <c r="V507" s="725"/>
      <c r="W507" s="725"/>
      <c r="X507" s="723"/>
      <c r="Y507" s="723"/>
      <c r="Z507" s="723"/>
      <c r="AA507" s="726"/>
      <c r="AB507" s="726"/>
      <c r="AC507" s="170"/>
      <c r="AD507" s="586"/>
      <c r="AE507" s="586"/>
      <c r="AF507" s="170"/>
      <c r="AG507" s="170"/>
      <c r="AH507" s="170"/>
      <c r="AI507" s="170"/>
      <c r="AJ507" s="170"/>
      <c r="AK507" s="170"/>
      <c r="AL507" s="170"/>
      <c r="AM507" s="170"/>
      <c r="AN507" s="170"/>
      <c r="AO507" s="170"/>
      <c r="AP507" s="170"/>
      <c r="AQ507" s="170"/>
      <c r="AR507" s="170"/>
      <c r="AS507" s="170"/>
      <c r="AT507" s="170"/>
      <c r="AU507" s="170"/>
      <c r="AV507" s="170"/>
      <c r="AW507" s="828"/>
      <c r="AX507" s="726"/>
    </row>
    <row r="508" spans="1:50" ht="15" x14ac:dyDescent="0.25">
      <c r="A508" s="170"/>
      <c r="B508" s="719"/>
      <c r="C508" s="170"/>
      <c r="D508" s="170"/>
      <c r="E508" s="170"/>
      <c r="F508" s="170"/>
      <c r="G508" s="721"/>
      <c r="H508" s="170"/>
      <c r="I508" s="170"/>
      <c r="J508" s="170"/>
      <c r="K508" s="170"/>
      <c r="L508" s="170"/>
      <c r="M508" s="730"/>
      <c r="N508" s="730"/>
      <c r="O508" s="730"/>
      <c r="P508" s="731"/>
      <c r="Q508" s="731"/>
      <c r="R508" s="730"/>
      <c r="S508" s="730"/>
      <c r="T508" s="723"/>
      <c r="U508" s="724"/>
      <c r="V508" s="725"/>
      <c r="W508" s="725"/>
      <c r="X508" s="723"/>
      <c r="Y508" s="723"/>
      <c r="Z508" s="723"/>
      <c r="AA508" s="726"/>
      <c r="AB508" s="726"/>
      <c r="AC508" s="170"/>
      <c r="AD508" s="586"/>
      <c r="AE508" s="586"/>
      <c r="AF508" s="170"/>
      <c r="AG508" s="170"/>
      <c r="AH508" s="170"/>
      <c r="AI508" s="170"/>
      <c r="AJ508" s="170"/>
      <c r="AK508" s="170"/>
      <c r="AL508" s="170"/>
      <c r="AM508" s="170"/>
      <c r="AN508" s="170"/>
      <c r="AO508" s="170"/>
      <c r="AP508" s="170"/>
      <c r="AQ508" s="170"/>
      <c r="AR508" s="170"/>
      <c r="AS508" s="170"/>
      <c r="AT508" s="170"/>
      <c r="AU508" s="170"/>
      <c r="AV508" s="170"/>
      <c r="AW508" s="828"/>
      <c r="AX508" s="726"/>
    </row>
    <row r="509" spans="1:50" ht="15" x14ac:dyDescent="0.25">
      <c r="A509" s="170"/>
      <c r="B509" s="719"/>
      <c r="C509" s="170"/>
      <c r="D509" s="170"/>
      <c r="E509" s="170"/>
      <c r="F509" s="170"/>
      <c r="G509" s="721"/>
      <c r="H509" s="170"/>
      <c r="I509" s="170"/>
      <c r="J509" s="170"/>
      <c r="K509" s="170"/>
      <c r="L509" s="170"/>
      <c r="M509" s="730"/>
      <c r="N509" s="730"/>
      <c r="O509" s="730"/>
      <c r="P509" s="731"/>
      <c r="Q509" s="731"/>
      <c r="R509" s="730"/>
      <c r="S509" s="730"/>
      <c r="T509" s="723"/>
      <c r="U509" s="724"/>
      <c r="V509" s="725"/>
      <c r="W509" s="725"/>
      <c r="X509" s="723"/>
      <c r="Y509" s="723"/>
      <c r="Z509" s="723"/>
      <c r="AA509" s="726"/>
      <c r="AB509" s="726"/>
      <c r="AC509" s="170"/>
      <c r="AD509" s="586"/>
      <c r="AE509" s="586"/>
      <c r="AF509" s="170"/>
      <c r="AG509" s="170"/>
      <c r="AH509" s="170"/>
      <c r="AI509" s="170"/>
      <c r="AJ509" s="170"/>
      <c r="AK509" s="170"/>
      <c r="AL509" s="170"/>
      <c r="AM509" s="170"/>
      <c r="AN509" s="170"/>
      <c r="AO509" s="170"/>
      <c r="AP509" s="170"/>
      <c r="AQ509" s="170"/>
      <c r="AR509" s="170"/>
      <c r="AS509" s="170"/>
      <c r="AT509" s="170"/>
      <c r="AU509" s="170"/>
      <c r="AV509" s="170"/>
      <c r="AW509" s="828"/>
      <c r="AX509" s="726"/>
    </row>
    <row r="510" spans="1:50" ht="15" x14ac:dyDescent="0.25">
      <c r="A510" s="170"/>
      <c r="B510" s="719"/>
      <c r="C510" s="170"/>
      <c r="D510" s="170"/>
      <c r="E510" s="170"/>
      <c r="F510" s="170"/>
      <c r="G510" s="721"/>
      <c r="H510" s="170"/>
      <c r="I510" s="170"/>
      <c r="J510" s="170"/>
      <c r="K510" s="170"/>
      <c r="L510" s="170"/>
      <c r="M510" s="730"/>
      <c r="N510" s="730"/>
      <c r="O510" s="730"/>
      <c r="P510" s="731"/>
      <c r="Q510" s="731"/>
      <c r="R510" s="730"/>
      <c r="S510" s="730"/>
      <c r="T510" s="723"/>
      <c r="U510" s="724"/>
      <c r="V510" s="725"/>
      <c r="W510" s="725"/>
      <c r="X510" s="723"/>
      <c r="Y510" s="723"/>
      <c r="Z510" s="723"/>
      <c r="AA510" s="726"/>
      <c r="AB510" s="726"/>
      <c r="AC510" s="170"/>
      <c r="AD510" s="586"/>
      <c r="AE510" s="586"/>
      <c r="AF510" s="170"/>
      <c r="AG510" s="170"/>
      <c r="AH510" s="170"/>
      <c r="AI510" s="170"/>
      <c r="AJ510" s="170"/>
      <c r="AK510" s="170"/>
      <c r="AL510" s="170"/>
      <c r="AM510" s="170"/>
      <c r="AN510" s="170"/>
      <c r="AO510" s="170"/>
      <c r="AP510" s="170"/>
      <c r="AQ510" s="170"/>
      <c r="AR510" s="170"/>
      <c r="AS510" s="170"/>
      <c r="AT510" s="170"/>
      <c r="AU510" s="170"/>
      <c r="AV510" s="170"/>
      <c r="AW510" s="828"/>
      <c r="AX510" s="726"/>
    </row>
    <row r="511" spans="1:50" ht="15" x14ac:dyDescent="0.25">
      <c r="A511" s="170"/>
      <c r="B511" s="719"/>
      <c r="C511" s="170"/>
      <c r="D511" s="170"/>
      <c r="E511" s="170"/>
      <c r="F511" s="170"/>
      <c r="G511" s="721"/>
      <c r="H511" s="170"/>
      <c r="I511" s="170"/>
      <c r="J511" s="170"/>
      <c r="K511" s="170"/>
      <c r="L511" s="170"/>
      <c r="M511" s="730"/>
      <c r="N511" s="730"/>
      <c r="O511" s="730"/>
      <c r="P511" s="731"/>
      <c r="Q511" s="731"/>
      <c r="R511" s="730"/>
      <c r="S511" s="730"/>
      <c r="T511" s="723"/>
      <c r="U511" s="724"/>
      <c r="V511" s="725"/>
      <c r="W511" s="725"/>
      <c r="X511" s="723"/>
      <c r="Y511" s="723"/>
      <c r="Z511" s="723"/>
      <c r="AA511" s="726"/>
      <c r="AB511" s="726"/>
      <c r="AC511" s="170"/>
      <c r="AD511" s="586"/>
      <c r="AE511" s="586"/>
      <c r="AF511" s="170"/>
      <c r="AG511" s="170"/>
      <c r="AH511" s="170"/>
      <c r="AI511" s="170"/>
      <c r="AJ511" s="170"/>
      <c r="AK511" s="170"/>
      <c r="AL511" s="170"/>
      <c r="AM511" s="170"/>
      <c r="AN511" s="170"/>
      <c r="AO511" s="170"/>
      <c r="AP511" s="170"/>
      <c r="AQ511" s="170"/>
      <c r="AR511" s="170"/>
      <c r="AS511" s="170"/>
      <c r="AT511" s="170"/>
      <c r="AU511" s="170"/>
      <c r="AV511" s="170"/>
      <c r="AW511" s="828"/>
      <c r="AX511" s="726"/>
    </row>
    <row r="512" spans="1:50" ht="15" x14ac:dyDescent="0.25">
      <c r="A512" s="170"/>
      <c r="B512" s="719"/>
      <c r="C512" s="170"/>
      <c r="D512" s="170"/>
      <c r="E512" s="170"/>
      <c r="F512" s="170"/>
      <c r="G512" s="721"/>
      <c r="H512" s="170"/>
      <c r="I512" s="170"/>
      <c r="J512" s="170"/>
      <c r="K512" s="170"/>
      <c r="L512" s="170"/>
      <c r="M512" s="730"/>
      <c r="N512" s="730"/>
      <c r="O512" s="730"/>
      <c r="P512" s="731"/>
      <c r="Q512" s="731"/>
      <c r="R512" s="730"/>
      <c r="S512" s="730"/>
      <c r="T512" s="723"/>
      <c r="U512" s="724"/>
      <c r="V512" s="725"/>
      <c r="W512" s="725"/>
      <c r="X512" s="723"/>
      <c r="Y512" s="723"/>
      <c r="Z512" s="723"/>
      <c r="AA512" s="726"/>
      <c r="AB512" s="726"/>
      <c r="AC512" s="170"/>
      <c r="AD512" s="586"/>
      <c r="AE512" s="586"/>
      <c r="AF512" s="170"/>
      <c r="AG512" s="170"/>
      <c r="AH512" s="170"/>
      <c r="AI512" s="170"/>
      <c r="AJ512" s="170"/>
      <c r="AK512" s="170"/>
      <c r="AL512" s="170"/>
      <c r="AM512" s="170"/>
      <c r="AN512" s="170"/>
      <c r="AO512" s="170"/>
      <c r="AP512" s="170"/>
      <c r="AQ512" s="170"/>
      <c r="AR512" s="170"/>
      <c r="AS512" s="170"/>
      <c r="AT512" s="170"/>
      <c r="AU512" s="170"/>
      <c r="AV512" s="170"/>
      <c r="AW512" s="828"/>
      <c r="AX512" s="726"/>
    </row>
    <row r="513" spans="1:50" ht="15" x14ac:dyDescent="0.25">
      <c r="A513" s="170"/>
      <c r="B513" s="719"/>
      <c r="C513" s="170"/>
      <c r="D513" s="170"/>
      <c r="E513" s="170"/>
      <c r="F513" s="170"/>
      <c r="G513" s="721"/>
      <c r="H513" s="170"/>
      <c r="I513" s="170"/>
      <c r="J513" s="170"/>
      <c r="K513" s="170"/>
      <c r="L513" s="170"/>
      <c r="M513" s="730"/>
      <c r="N513" s="730"/>
      <c r="O513" s="730"/>
      <c r="P513" s="731"/>
      <c r="Q513" s="731"/>
      <c r="R513" s="730"/>
      <c r="S513" s="730"/>
      <c r="T513" s="723"/>
      <c r="U513" s="724"/>
      <c r="V513" s="725"/>
      <c r="W513" s="725"/>
      <c r="X513" s="723"/>
      <c r="Y513" s="723"/>
      <c r="Z513" s="723"/>
      <c r="AA513" s="726"/>
      <c r="AB513" s="726"/>
      <c r="AC513" s="170"/>
      <c r="AD513" s="586"/>
      <c r="AE513" s="586"/>
      <c r="AF513" s="170"/>
      <c r="AG513" s="170"/>
      <c r="AH513" s="170"/>
      <c r="AI513" s="170"/>
      <c r="AJ513" s="170"/>
      <c r="AK513" s="170"/>
      <c r="AL513" s="170"/>
      <c r="AM513" s="170"/>
      <c r="AN513" s="170"/>
      <c r="AO513" s="170"/>
      <c r="AP513" s="170"/>
      <c r="AQ513" s="170"/>
      <c r="AR513" s="170"/>
      <c r="AS513" s="170"/>
      <c r="AT513" s="170"/>
      <c r="AU513" s="170"/>
      <c r="AV513" s="170"/>
      <c r="AW513" s="828"/>
      <c r="AX513" s="726"/>
    </row>
    <row r="514" spans="1:50" ht="15" x14ac:dyDescent="0.25">
      <c r="A514" s="170"/>
      <c r="B514" s="719"/>
      <c r="C514" s="170"/>
      <c r="D514" s="170"/>
      <c r="E514" s="170"/>
      <c r="F514" s="170"/>
      <c r="G514" s="721"/>
      <c r="H514" s="170"/>
      <c r="I514" s="170"/>
      <c r="J514" s="170"/>
      <c r="K514" s="170"/>
      <c r="L514" s="170"/>
      <c r="M514" s="730"/>
      <c r="N514" s="730"/>
      <c r="O514" s="730"/>
      <c r="P514" s="731"/>
      <c r="Q514" s="731"/>
      <c r="R514" s="730"/>
      <c r="S514" s="730"/>
      <c r="T514" s="723"/>
      <c r="U514" s="724"/>
      <c r="V514" s="725"/>
      <c r="W514" s="725"/>
      <c r="X514" s="723"/>
      <c r="Y514" s="723"/>
      <c r="Z514" s="723"/>
      <c r="AA514" s="726"/>
      <c r="AB514" s="726"/>
      <c r="AC514" s="170"/>
      <c r="AD514" s="586"/>
      <c r="AE514" s="586"/>
      <c r="AF514" s="170"/>
      <c r="AG514" s="170"/>
      <c r="AH514" s="170"/>
      <c r="AI514" s="170"/>
      <c r="AJ514" s="170"/>
      <c r="AK514" s="170"/>
      <c r="AL514" s="170"/>
      <c r="AM514" s="170"/>
      <c r="AN514" s="170"/>
      <c r="AO514" s="170"/>
      <c r="AP514" s="170"/>
      <c r="AQ514" s="170"/>
      <c r="AR514" s="170"/>
      <c r="AS514" s="170"/>
      <c r="AT514" s="170"/>
      <c r="AU514" s="170"/>
      <c r="AV514" s="170"/>
      <c r="AW514" s="828"/>
      <c r="AX514" s="726"/>
    </row>
    <row r="515" spans="1:50" ht="15" x14ac:dyDescent="0.25">
      <c r="A515" s="170"/>
      <c r="B515" s="719"/>
      <c r="C515" s="170"/>
      <c r="D515" s="170"/>
      <c r="E515" s="170"/>
      <c r="F515" s="170"/>
      <c r="G515" s="721"/>
      <c r="H515" s="170"/>
      <c r="I515" s="170"/>
      <c r="J515" s="170"/>
      <c r="K515" s="170"/>
      <c r="L515" s="170"/>
      <c r="M515" s="730"/>
      <c r="N515" s="730"/>
      <c r="O515" s="730"/>
      <c r="P515" s="731"/>
      <c r="Q515" s="731"/>
      <c r="R515" s="730"/>
      <c r="S515" s="730"/>
      <c r="T515" s="723"/>
      <c r="U515" s="724"/>
      <c r="V515" s="725"/>
      <c r="W515" s="725"/>
      <c r="X515" s="723"/>
      <c r="Y515" s="723"/>
      <c r="Z515" s="723"/>
      <c r="AA515" s="726"/>
      <c r="AB515" s="726"/>
      <c r="AC515" s="170"/>
      <c r="AD515" s="586"/>
      <c r="AE515" s="586"/>
      <c r="AF515" s="170"/>
      <c r="AG515" s="170"/>
      <c r="AH515" s="170"/>
      <c r="AI515" s="170"/>
      <c r="AJ515" s="170"/>
      <c r="AK515" s="170"/>
      <c r="AL515" s="170"/>
      <c r="AM515" s="170"/>
      <c r="AN515" s="170"/>
      <c r="AO515" s="170"/>
      <c r="AP515" s="170"/>
      <c r="AQ515" s="170"/>
      <c r="AR515" s="170"/>
      <c r="AS515" s="170"/>
      <c r="AT515" s="170"/>
      <c r="AU515" s="170"/>
      <c r="AV515" s="170"/>
      <c r="AW515" s="828"/>
      <c r="AX515" s="726"/>
    </row>
    <row r="516" spans="1:50" ht="15" x14ac:dyDescent="0.25">
      <c r="A516" s="170"/>
      <c r="B516" s="719"/>
      <c r="C516" s="170"/>
      <c r="D516" s="170"/>
      <c r="E516" s="170"/>
      <c r="F516" s="170"/>
      <c r="G516" s="721"/>
      <c r="H516" s="170"/>
      <c r="I516" s="170"/>
      <c r="J516" s="170"/>
      <c r="K516" s="170"/>
      <c r="L516" s="170"/>
      <c r="M516" s="730"/>
      <c r="N516" s="730"/>
      <c r="O516" s="730"/>
      <c r="P516" s="731"/>
      <c r="Q516" s="731"/>
      <c r="R516" s="730"/>
      <c r="S516" s="730"/>
      <c r="T516" s="723"/>
      <c r="U516" s="724"/>
      <c r="V516" s="725"/>
      <c r="W516" s="725"/>
      <c r="X516" s="723"/>
      <c r="Y516" s="723"/>
      <c r="Z516" s="723"/>
      <c r="AA516" s="726"/>
      <c r="AB516" s="726"/>
      <c r="AC516" s="170"/>
      <c r="AD516" s="586"/>
      <c r="AE516" s="586"/>
      <c r="AF516" s="170"/>
      <c r="AG516" s="170"/>
      <c r="AH516" s="170"/>
      <c r="AI516" s="170"/>
      <c r="AJ516" s="170"/>
      <c r="AK516" s="170"/>
      <c r="AL516" s="170"/>
      <c r="AM516" s="170"/>
      <c r="AN516" s="170"/>
      <c r="AO516" s="170"/>
      <c r="AP516" s="170"/>
      <c r="AQ516" s="170"/>
      <c r="AR516" s="170"/>
      <c r="AS516" s="170"/>
      <c r="AT516" s="170"/>
      <c r="AU516" s="170"/>
      <c r="AV516" s="170"/>
      <c r="AW516" s="828"/>
      <c r="AX516" s="726"/>
    </row>
    <row r="517" spans="1:50" ht="15" x14ac:dyDescent="0.25">
      <c r="A517" s="170"/>
      <c r="B517" s="719"/>
      <c r="C517" s="170"/>
      <c r="D517" s="170"/>
      <c r="E517" s="170"/>
      <c r="F517" s="170"/>
      <c r="G517" s="721"/>
      <c r="H517" s="170"/>
      <c r="I517" s="170"/>
      <c r="J517" s="170"/>
      <c r="K517" s="170"/>
      <c r="L517" s="170"/>
      <c r="M517" s="730"/>
      <c r="N517" s="730"/>
      <c r="O517" s="730"/>
      <c r="P517" s="731"/>
      <c r="Q517" s="731"/>
      <c r="R517" s="730"/>
      <c r="S517" s="730"/>
      <c r="T517" s="723"/>
      <c r="U517" s="724"/>
      <c r="V517" s="725"/>
      <c r="W517" s="725"/>
      <c r="X517" s="723"/>
      <c r="Y517" s="723"/>
      <c r="Z517" s="723"/>
      <c r="AA517" s="726"/>
      <c r="AB517" s="726"/>
      <c r="AC517" s="170"/>
      <c r="AD517" s="586"/>
      <c r="AE517" s="586"/>
      <c r="AF517" s="170"/>
      <c r="AG517" s="170"/>
      <c r="AH517" s="170"/>
      <c r="AI517" s="170"/>
      <c r="AJ517" s="170"/>
      <c r="AK517" s="170"/>
      <c r="AL517" s="170"/>
      <c r="AM517" s="170"/>
      <c r="AN517" s="170"/>
      <c r="AO517" s="170"/>
      <c r="AP517" s="170"/>
      <c r="AQ517" s="170"/>
      <c r="AR517" s="170"/>
      <c r="AS517" s="170"/>
      <c r="AT517" s="170"/>
      <c r="AU517" s="170"/>
      <c r="AV517" s="170"/>
      <c r="AW517" s="828"/>
      <c r="AX517" s="726"/>
    </row>
    <row r="518" spans="1:50" ht="15" x14ac:dyDescent="0.25">
      <c r="A518" s="170"/>
      <c r="B518" s="719"/>
      <c r="C518" s="170"/>
      <c r="D518" s="170"/>
      <c r="E518" s="170"/>
      <c r="F518" s="170"/>
      <c r="G518" s="721"/>
      <c r="H518" s="170"/>
      <c r="I518" s="170"/>
      <c r="J518" s="170"/>
      <c r="K518" s="170"/>
      <c r="L518" s="170"/>
      <c r="M518" s="730"/>
      <c r="N518" s="730"/>
      <c r="O518" s="730"/>
      <c r="P518" s="731"/>
      <c r="Q518" s="731"/>
      <c r="R518" s="730"/>
      <c r="S518" s="730"/>
      <c r="T518" s="723"/>
      <c r="U518" s="724"/>
      <c r="V518" s="725"/>
      <c r="W518" s="725"/>
      <c r="X518" s="723"/>
      <c r="Y518" s="723"/>
      <c r="Z518" s="723"/>
      <c r="AA518" s="726"/>
      <c r="AB518" s="726"/>
      <c r="AC518" s="170"/>
      <c r="AD518" s="586"/>
      <c r="AE518" s="586"/>
      <c r="AF518" s="170"/>
      <c r="AG518" s="170"/>
      <c r="AH518" s="170"/>
      <c r="AI518" s="170"/>
      <c r="AJ518" s="170"/>
      <c r="AK518" s="170"/>
      <c r="AL518" s="170"/>
      <c r="AM518" s="170"/>
      <c r="AN518" s="170"/>
      <c r="AO518" s="170"/>
      <c r="AP518" s="170"/>
      <c r="AQ518" s="170"/>
      <c r="AR518" s="170"/>
      <c r="AS518" s="170"/>
      <c r="AT518" s="170"/>
      <c r="AU518" s="170"/>
      <c r="AV518" s="170"/>
      <c r="AW518" s="828"/>
      <c r="AX518" s="726"/>
    </row>
    <row r="519" spans="1:50" ht="15" x14ac:dyDescent="0.25">
      <c r="A519" s="170"/>
      <c r="B519" s="719"/>
      <c r="C519" s="170"/>
      <c r="D519" s="170"/>
      <c r="E519" s="170"/>
      <c r="F519" s="170"/>
      <c r="G519" s="721"/>
      <c r="H519" s="170"/>
      <c r="I519" s="170"/>
      <c r="J519" s="170"/>
      <c r="K519" s="170"/>
      <c r="L519" s="170"/>
      <c r="M519" s="730"/>
      <c r="N519" s="730"/>
      <c r="O519" s="730"/>
      <c r="P519" s="731"/>
      <c r="Q519" s="731"/>
      <c r="R519" s="730"/>
      <c r="S519" s="730"/>
      <c r="T519" s="723"/>
      <c r="U519" s="724"/>
      <c r="V519" s="725"/>
      <c r="W519" s="725"/>
      <c r="X519" s="723"/>
      <c r="Y519" s="723"/>
      <c r="Z519" s="723"/>
      <c r="AA519" s="726"/>
      <c r="AB519" s="726"/>
      <c r="AC519" s="170"/>
      <c r="AD519" s="586"/>
      <c r="AE519" s="586"/>
      <c r="AF519" s="170"/>
      <c r="AG519" s="170"/>
      <c r="AH519" s="170"/>
      <c r="AI519" s="170"/>
      <c r="AJ519" s="170"/>
      <c r="AK519" s="170"/>
      <c r="AL519" s="170"/>
      <c r="AM519" s="170"/>
      <c r="AN519" s="170"/>
      <c r="AO519" s="170"/>
      <c r="AP519" s="170"/>
      <c r="AQ519" s="170"/>
      <c r="AR519" s="170"/>
      <c r="AS519" s="170"/>
      <c r="AT519" s="170"/>
      <c r="AU519" s="170"/>
      <c r="AV519" s="170"/>
      <c r="AW519" s="828"/>
      <c r="AX519" s="726"/>
    </row>
    <row r="520" spans="1:50" ht="15" x14ac:dyDescent="0.25">
      <c r="A520" s="170"/>
      <c r="B520" s="719"/>
      <c r="C520" s="170"/>
      <c r="D520" s="170"/>
      <c r="E520" s="170"/>
      <c r="F520" s="170"/>
      <c r="G520" s="721"/>
      <c r="H520" s="170"/>
      <c r="I520" s="170"/>
      <c r="J520" s="170"/>
      <c r="K520" s="170"/>
      <c r="L520" s="170"/>
      <c r="M520" s="730"/>
      <c r="N520" s="730"/>
      <c r="O520" s="730"/>
      <c r="P520" s="731"/>
      <c r="Q520" s="731"/>
      <c r="R520" s="730"/>
      <c r="S520" s="730"/>
      <c r="T520" s="723"/>
      <c r="U520" s="724"/>
      <c r="V520" s="725"/>
      <c r="W520" s="725"/>
      <c r="X520" s="723"/>
      <c r="Y520" s="723"/>
      <c r="Z520" s="723"/>
      <c r="AA520" s="726"/>
      <c r="AB520" s="726"/>
      <c r="AC520" s="170"/>
      <c r="AD520" s="586"/>
      <c r="AE520" s="586"/>
      <c r="AF520" s="170"/>
      <c r="AG520" s="170"/>
      <c r="AH520" s="170"/>
      <c r="AI520" s="170"/>
      <c r="AJ520" s="170"/>
      <c r="AK520" s="170"/>
      <c r="AL520" s="170"/>
      <c r="AM520" s="170"/>
      <c r="AN520" s="170"/>
      <c r="AO520" s="170"/>
      <c r="AP520" s="170"/>
      <c r="AQ520" s="170"/>
      <c r="AR520" s="170"/>
      <c r="AS520" s="170"/>
      <c r="AT520" s="170"/>
      <c r="AU520" s="170"/>
      <c r="AV520" s="170"/>
      <c r="AW520" s="828"/>
      <c r="AX520" s="726"/>
    </row>
    <row r="521" spans="1:50" ht="15" x14ac:dyDescent="0.25">
      <c r="A521" s="170"/>
      <c r="B521" s="719"/>
      <c r="C521" s="170"/>
      <c r="D521" s="170"/>
      <c r="E521" s="170"/>
      <c r="F521" s="170"/>
      <c r="G521" s="721"/>
      <c r="H521" s="170"/>
      <c r="I521" s="170"/>
      <c r="J521" s="170"/>
      <c r="K521" s="170"/>
      <c r="L521" s="170"/>
      <c r="M521" s="730"/>
      <c r="N521" s="730"/>
      <c r="O521" s="730"/>
      <c r="P521" s="731"/>
      <c r="Q521" s="731"/>
      <c r="R521" s="730"/>
      <c r="S521" s="730"/>
      <c r="T521" s="723"/>
      <c r="U521" s="724"/>
      <c r="V521" s="725"/>
      <c r="W521" s="725"/>
      <c r="X521" s="723"/>
      <c r="Y521" s="723"/>
      <c r="Z521" s="723"/>
      <c r="AA521" s="726"/>
      <c r="AB521" s="726"/>
      <c r="AC521" s="170"/>
      <c r="AD521" s="586"/>
      <c r="AE521" s="586"/>
      <c r="AF521" s="170"/>
      <c r="AG521" s="170"/>
      <c r="AH521" s="170"/>
      <c r="AI521" s="170"/>
      <c r="AJ521" s="170"/>
      <c r="AK521" s="170"/>
      <c r="AL521" s="170"/>
      <c r="AM521" s="170"/>
      <c r="AN521" s="170"/>
      <c r="AO521" s="170"/>
      <c r="AP521" s="170"/>
      <c r="AQ521" s="170"/>
      <c r="AR521" s="170"/>
      <c r="AS521" s="170"/>
      <c r="AT521" s="170"/>
      <c r="AU521" s="170"/>
      <c r="AV521" s="170"/>
      <c r="AW521" s="828"/>
      <c r="AX521" s="726"/>
    </row>
    <row r="522" spans="1:50" ht="15" x14ac:dyDescent="0.25">
      <c r="A522" s="170"/>
      <c r="B522" s="719">
        <v>692</v>
      </c>
      <c r="C522" s="170"/>
      <c r="D522" s="170"/>
      <c r="E522" s="170"/>
      <c r="F522" s="170"/>
      <c r="G522" s="721"/>
      <c r="H522" s="170"/>
      <c r="I522" s="170"/>
      <c r="J522" s="170"/>
      <c r="K522" s="170"/>
      <c r="L522" s="170"/>
      <c r="M522" s="730"/>
      <c r="N522" s="730"/>
      <c r="O522" s="730"/>
      <c r="P522" s="731"/>
      <c r="Q522" s="731"/>
      <c r="R522" s="730"/>
      <c r="S522" s="730"/>
      <c r="T522" s="723"/>
      <c r="U522" s="724"/>
      <c r="V522" s="725"/>
      <c r="W522" s="725"/>
      <c r="X522" s="723"/>
      <c r="Y522" s="723"/>
      <c r="Z522" s="723"/>
      <c r="AA522" s="726"/>
      <c r="AB522" s="726"/>
      <c r="AC522" s="170"/>
      <c r="AD522" s="586"/>
      <c r="AE522" s="586"/>
      <c r="AF522" s="170"/>
      <c r="AG522" s="170"/>
      <c r="AH522" s="170"/>
      <c r="AI522" s="170"/>
      <c r="AJ522" s="170"/>
      <c r="AK522" s="170"/>
      <c r="AL522" s="170"/>
      <c r="AM522" s="170"/>
      <c r="AN522" s="170"/>
      <c r="AO522" s="170"/>
      <c r="AP522" s="170"/>
      <c r="AQ522" s="170"/>
      <c r="AR522" s="170"/>
      <c r="AS522" s="170"/>
      <c r="AT522" s="170"/>
      <c r="AU522" s="170"/>
      <c r="AV522" s="170"/>
      <c r="AW522" s="828"/>
      <c r="AX522" s="726"/>
    </row>
    <row r="523" spans="1:50" ht="15" x14ac:dyDescent="0.25">
      <c r="A523" s="170"/>
      <c r="B523" s="719">
        <v>693</v>
      </c>
      <c r="C523" s="170"/>
      <c r="D523" s="170"/>
      <c r="E523" s="170"/>
      <c r="F523" s="170"/>
      <c r="G523" s="721"/>
      <c r="H523" s="170"/>
      <c r="I523" s="170"/>
      <c r="J523" s="170"/>
      <c r="K523" s="170"/>
      <c r="L523" s="170"/>
      <c r="M523" s="730"/>
      <c r="N523" s="730"/>
      <c r="O523" s="730"/>
      <c r="P523" s="731"/>
      <c r="Q523" s="731"/>
      <c r="R523" s="730"/>
      <c r="S523" s="730"/>
      <c r="T523" s="723"/>
      <c r="U523" s="724"/>
      <c r="V523" s="725"/>
      <c r="W523" s="725"/>
      <c r="X523" s="723"/>
      <c r="Y523" s="723"/>
      <c r="Z523" s="723"/>
      <c r="AA523" s="726"/>
      <c r="AB523" s="726"/>
      <c r="AC523" s="170"/>
      <c r="AD523" s="586"/>
      <c r="AE523" s="586"/>
      <c r="AF523" s="170"/>
      <c r="AG523" s="170"/>
      <c r="AH523" s="170"/>
      <c r="AI523" s="170"/>
      <c r="AJ523" s="170"/>
      <c r="AK523" s="170"/>
      <c r="AL523" s="170"/>
      <c r="AM523" s="170"/>
      <c r="AN523" s="170"/>
      <c r="AO523" s="170"/>
      <c r="AP523" s="170"/>
      <c r="AQ523" s="170"/>
      <c r="AR523" s="170"/>
      <c r="AS523" s="170"/>
      <c r="AT523" s="170"/>
      <c r="AU523" s="170"/>
      <c r="AV523" s="170"/>
      <c r="AW523" s="828"/>
      <c r="AX523" s="726"/>
    </row>
    <row r="524" spans="1:50" ht="15" x14ac:dyDescent="0.25">
      <c r="A524" s="170"/>
      <c r="B524" s="719">
        <v>694</v>
      </c>
      <c r="C524" s="170"/>
      <c r="D524" s="170"/>
      <c r="E524" s="170"/>
      <c r="F524" s="170"/>
      <c r="G524" s="721"/>
      <c r="H524" s="170"/>
      <c r="I524" s="170"/>
      <c r="J524" s="170"/>
      <c r="K524" s="170"/>
      <c r="L524" s="170"/>
      <c r="M524" s="730"/>
      <c r="N524" s="730"/>
      <c r="O524" s="730"/>
      <c r="P524" s="731"/>
      <c r="Q524" s="731"/>
      <c r="R524" s="730"/>
      <c r="S524" s="730"/>
      <c r="T524" s="723"/>
      <c r="U524" s="724"/>
      <c r="V524" s="725"/>
      <c r="W524" s="725"/>
      <c r="X524" s="723"/>
      <c r="Y524" s="723"/>
      <c r="Z524" s="723"/>
      <c r="AA524" s="726"/>
      <c r="AB524" s="726"/>
      <c r="AC524" s="170"/>
      <c r="AD524" s="586"/>
      <c r="AE524" s="586"/>
      <c r="AF524" s="170"/>
      <c r="AG524" s="170"/>
      <c r="AH524" s="170"/>
      <c r="AI524" s="170"/>
      <c r="AJ524" s="170"/>
      <c r="AK524" s="170"/>
      <c r="AL524" s="170"/>
      <c r="AM524" s="170"/>
      <c r="AN524" s="170"/>
      <c r="AO524" s="170"/>
      <c r="AP524" s="170"/>
      <c r="AQ524" s="170"/>
      <c r="AR524" s="170"/>
      <c r="AS524" s="170"/>
      <c r="AT524" s="170"/>
      <c r="AU524" s="170"/>
      <c r="AV524" s="170"/>
      <c r="AW524" s="828"/>
      <c r="AX524" s="726"/>
    </row>
    <row r="525" spans="1:50" ht="15" x14ac:dyDescent="0.25">
      <c r="A525" s="170"/>
      <c r="B525" s="719">
        <v>695</v>
      </c>
      <c r="C525" s="170"/>
      <c r="D525" s="170"/>
      <c r="E525" s="170"/>
      <c r="F525" s="170"/>
      <c r="G525" s="721"/>
      <c r="H525" s="170"/>
      <c r="I525" s="170"/>
      <c r="J525" s="170"/>
      <c r="K525" s="170"/>
      <c r="L525" s="170"/>
      <c r="M525" s="730"/>
      <c r="N525" s="730"/>
      <c r="O525" s="730"/>
      <c r="P525" s="731"/>
      <c r="Q525" s="731"/>
      <c r="R525" s="730"/>
      <c r="S525" s="730"/>
      <c r="T525" s="723"/>
      <c r="U525" s="724"/>
      <c r="V525" s="725"/>
      <c r="W525" s="725"/>
      <c r="X525" s="723"/>
      <c r="Y525" s="723"/>
      <c r="Z525" s="723"/>
      <c r="AA525" s="726"/>
      <c r="AB525" s="726"/>
      <c r="AC525" s="170"/>
      <c r="AD525" s="586"/>
      <c r="AE525" s="586"/>
      <c r="AF525" s="170"/>
      <c r="AG525" s="170"/>
      <c r="AH525" s="170"/>
      <c r="AI525" s="170"/>
      <c r="AJ525" s="170"/>
      <c r="AK525" s="170"/>
      <c r="AL525" s="170"/>
      <c r="AM525" s="170"/>
      <c r="AN525" s="170"/>
      <c r="AO525" s="170"/>
      <c r="AP525" s="170"/>
      <c r="AQ525" s="170"/>
      <c r="AR525" s="170"/>
      <c r="AS525" s="170"/>
      <c r="AT525" s="170"/>
      <c r="AU525" s="170"/>
      <c r="AV525" s="170"/>
      <c r="AW525" s="828"/>
      <c r="AX525" s="726"/>
    </row>
    <row r="526" spans="1:50" ht="15" x14ac:dyDescent="0.25">
      <c r="A526" s="170"/>
      <c r="B526" s="719">
        <v>696</v>
      </c>
      <c r="C526" s="170"/>
      <c r="D526" s="170"/>
      <c r="E526" s="170"/>
      <c r="F526" s="170"/>
      <c r="G526" s="721"/>
      <c r="H526" s="170"/>
      <c r="I526" s="170"/>
      <c r="J526" s="170"/>
      <c r="K526" s="170"/>
      <c r="L526" s="170"/>
      <c r="M526" s="730"/>
      <c r="N526" s="730"/>
      <c r="O526" s="730"/>
      <c r="P526" s="731"/>
      <c r="Q526" s="731"/>
      <c r="R526" s="730"/>
      <c r="S526" s="730"/>
      <c r="T526" s="723"/>
      <c r="U526" s="724"/>
      <c r="V526" s="725"/>
      <c r="W526" s="725"/>
      <c r="X526" s="723"/>
      <c r="Y526" s="723"/>
      <c r="Z526" s="723"/>
      <c r="AA526" s="726"/>
      <c r="AB526" s="726"/>
      <c r="AC526" s="170"/>
      <c r="AD526" s="586"/>
      <c r="AE526" s="586"/>
      <c r="AF526" s="170"/>
      <c r="AG526" s="170"/>
      <c r="AH526" s="170"/>
      <c r="AI526" s="170"/>
      <c r="AJ526" s="170"/>
      <c r="AK526" s="170"/>
      <c r="AL526" s="170"/>
      <c r="AM526" s="170"/>
      <c r="AN526" s="170"/>
      <c r="AO526" s="170"/>
      <c r="AP526" s="170"/>
      <c r="AQ526" s="170"/>
      <c r="AR526" s="170"/>
      <c r="AS526" s="170"/>
      <c r="AT526" s="170"/>
      <c r="AU526" s="170"/>
      <c r="AV526" s="170"/>
      <c r="AW526" s="828"/>
      <c r="AX526" s="726"/>
    </row>
    <row r="527" spans="1:50" ht="15" x14ac:dyDescent="0.25">
      <c r="A527" s="170"/>
      <c r="B527" s="719">
        <v>697</v>
      </c>
      <c r="C527" s="170"/>
      <c r="D527" s="170"/>
      <c r="E527" s="170"/>
      <c r="F527" s="170"/>
      <c r="G527" s="721"/>
      <c r="H527" s="170"/>
      <c r="I527" s="170"/>
      <c r="J527" s="170"/>
      <c r="K527" s="170"/>
      <c r="L527" s="170"/>
      <c r="M527" s="730"/>
      <c r="N527" s="730"/>
      <c r="O527" s="730"/>
      <c r="P527" s="731"/>
      <c r="Q527" s="731"/>
      <c r="R527" s="730"/>
      <c r="S527" s="730"/>
      <c r="T527" s="723"/>
      <c r="U527" s="724"/>
      <c r="V527" s="725"/>
      <c r="W527" s="725"/>
      <c r="X527" s="723"/>
      <c r="Y527" s="723"/>
      <c r="Z527" s="723"/>
      <c r="AA527" s="726"/>
      <c r="AB527" s="726"/>
      <c r="AC527" s="170"/>
      <c r="AD527" s="586"/>
      <c r="AE527" s="586"/>
      <c r="AF527" s="170"/>
      <c r="AG527" s="170"/>
      <c r="AH527" s="170"/>
      <c r="AI527" s="170"/>
      <c r="AJ527" s="170"/>
      <c r="AK527" s="170"/>
      <c r="AL527" s="170"/>
      <c r="AM527" s="170"/>
      <c r="AN527" s="170"/>
      <c r="AO527" s="170"/>
      <c r="AP527" s="170"/>
      <c r="AQ527" s="170"/>
      <c r="AR527" s="170"/>
      <c r="AS527" s="170"/>
      <c r="AT527" s="170"/>
      <c r="AU527" s="170"/>
      <c r="AV527" s="170"/>
      <c r="AW527" s="828"/>
      <c r="AX527" s="726"/>
    </row>
    <row r="528" spans="1:50" ht="15" x14ac:dyDescent="0.25">
      <c r="A528" s="170"/>
      <c r="B528" s="719">
        <v>698</v>
      </c>
      <c r="C528" s="170"/>
      <c r="D528" s="170"/>
      <c r="E528" s="170"/>
      <c r="F528" s="170"/>
      <c r="G528" s="721"/>
      <c r="H528" s="170"/>
      <c r="I528" s="170"/>
      <c r="J528" s="170"/>
      <c r="K528" s="170"/>
      <c r="L528" s="170"/>
      <c r="M528" s="730"/>
      <c r="N528" s="730"/>
      <c r="O528" s="730"/>
      <c r="P528" s="731"/>
      <c r="Q528" s="731"/>
      <c r="R528" s="730"/>
      <c r="S528" s="730"/>
      <c r="T528" s="723"/>
      <c r="U528" s="724"/>
      <c r="V528" s="725"/>
      <c r="W528" s="725"/>
      <c r="X528" s="723"/>
      <c r="Y528" s="723"/>
      <c r="Z528" s="723"/>
      <c r="AA528" s="726"/>
      <c r="AB528" s="726"/>
      <c r="AC528" s="170"/>
      <c r="AD528" s="586"/>
      <c r="AE528" s="586"/>
      <c r="AF528" s="170"/>
      <c r="AG528" s="170"/>
      <c r="AH528" s="170"/>
      <c r="AI528" s="170"/>
      <c r="AJ528" s="170"/>
      <c r="AK528" s="170"/>
      <c r="AL528" s="170"/>
      <c r="AM528" s="170"/>
      <c r="AN528" s="170"/>
      <c r="AO528" s="170"/>
      <c r="AP528" s="170"/>
      <c r="AQ528" s="170"/>
      <c r="AR528" s="170"/>
      <c r="AS528" s="170"/>
      <c r="AT528" s="170"/>
      <c r="AU528" s="170"/>
      <c r="AV528" s="170"/>
      <c r="AW528" s="828"/>
      <c r="AX528" s="726"/>
    </row>
    <row r="529" spans="1:50" ht="15" x14ac:dyDescent="0.25">
      <c r="A529" s="170"/>
      <c r="B529" s="719">
        <v>699</v>
      </c>
      <c r="C529" s="170"/>
      <c r="D529" s="170"/>
      <c r="E529" s="170"/>
      <c r="F529" s="170"/>
      <c r="G529" s="721"/>
      <c r="H529" s="170"/>
      <c r="I529" s="170"/>
      <c r="J529" s="170"/>
      <c r="K529" s="170"/>
      <c r="L529" s="170"/>
      <c r="M529" s="730"/>
      <c r="N529" s="730"/>
      <c r="O529" s="730"/>
      <c r="P529" s="731"/>
      <c r="Q529" s="731"/>
      <c r="R529" s="730"/>
      <c r="S529" s="730"/>
      <c r="T529" s="723"/>
      <c r="U529" s="724"/>
      <c r="V529" s="725"/>
      <c r="W529" s="725"/>
      <c r="X529" s="723"/>
      <c r="Y529" s="723"/>
      <c r="Z529" s="723"/>
      <c r="AA529" s="726"/>
      <c r="AB529" s="726"/>
      <c r="AC529" s="170"/>
      <c r="AD529" s="586"/>
      <c r="AE529" s="586"/>
      <c r="AF529" s="170"/>
      <c r="AG529" s="170"/>
      <c r="AH529" s="170"/>
      <c r="AI529" s="170"/>
      <c r="AJ529" s="170"/>
      <c r="AK529" s="170"/>
      <c r="AL529" s="170"/>
      <c r="AM529" s="170"/>
      <c r="AN529" s="170"/>
      <c r="AO529" s="170"/>
      <c r="AP529" s="170"/>
      <c r="AQ529" s="170"/>
      <c r="AR529" s="170"/>
      <c r="AS529" s="170"/>
      <c r="AT529" s="170"/>
      <c r="AU529" s="170"/>
      <c r="AV529" s="170"/>
      <c r="AW529" s="828"/>
      <c r="AX529" s="726"/>
    </row>
    <row r="530" spans="1:50" ht="15" x14ac:dyDescent="0.25">
      <c r="A530" s="170"/>
      <c r="B530" s="719">
        <v>700</v>
      </c>
      <c r="C530" s="170"/>
      <c r="D530" s="170"/>
      <c r="E530" s="170"/>
      <c r="F530" s="170"/>
      <c r="G530" s="721"/>
      <c r="H530" s="170"/>
      <c r="I530" s="170"/>
      <c r="J530" s="170"/>
      <c r="K530" s="170"/>
      <c r="L530" s="170"/>
      <c r="M530" s="730"/>
      <c r="N530" s="730"/>
      <c r="O530" s="730"/>
      <c r="P530" s="731"/>
      <c r="Q530" s="731"/>
      <c r="R530" s="730"/>
      <c r="S530" s="730"/>
      <c r="T530" s="723"/>
      <c r="U530" s="724"/>
      <c r="V530" s="725"/>
      <c r="W530" s="725"/>
      <c r="X530" s="723"/>
      <c r="Y530" s="723"/>
      <c r="Z530" s="723"/>
      <c r="AA530" s="726"/>
      <c r="AB530" s="726"/>
      <c r="AC530" s="170"/>
      <c r="AD530" s="586"/>
      <c r="AE530" s="586"/>
      <c r="AF530" s="170"/>
      <c r="AG530" s="170"/>
      <c r="AH530" s="170"/>
      <c r="AI530" s="170"/>
      <c r="AJ530" s="170"/>
      <c r="AK530" s="170"/>
      <c r="AL530" s="170"/>
      <c r="AM530" s="170"/>
      <c r="AN530" s="170"/>
      <c r="AO530" s="170"/>
      <c r="AP530" s="170"/>
      <c r="AQ530" s="170"/>
      <c r="AR530" s="170"/>
      <c r="AS530" s="170"/>
      <c r="AT530" s="170"/>
      <c r="AU530" s="170"/>
      <c r="AV530" s="170"/>
      <c r="AW530" s="828"/>
      <c r="AX530" s="726"/>
    </row>
    <row r="531" spans="1:50" ht="15" x14ac:dyDescent="0.25">
      <c r="A531" s="170"/>
      <c r="B531" s="719">
        <v>701</v>
      </c>
      <c r="C531" s="170"/>
      <c r="D531" s="170"/>
      <c r="E531" s="170"/>
      <c r="F531" s="170"/>
      <c r="G531" s="721"/>
      <c r="H531" s="170"/>
      <c r="I531" s="170"/>
      <c r="J531" s="170"/>
      <c r="K531" s="170"/>
      <c r="L531" s="170"/>
      <c r="M531" s="730"/>
      <c r="N531" s="730"/>
      <c r="O531" s="730"/>
      <c r="P531" s="731"/>
      <c r="Q531" s="731"/>
      <c r="R531" s="730"/>
      <c r="S531" s="730"/>
      <c r="T531" s="723"/>
      <c r="U531" s="724"/>
      <c r="V531" s="725"/>
      <c r="W531" s="725"/>
      <c r="X531" s="723"/>
      <c r="Y531" s="723"/>
      <c r="Z531" s="723"/>
      <c r="AA531" s="726"/>
      <c r="AB531" s="726"/>
      <c r="AC531" s="170"/>
      <c r="AD531" s="586"/>
      <c r="AE531" s="586"/>
      <c r="AF531" s="170"/>
      <c r="AG531" s="170"/>
      <c r="AH531" s="170"/>
      <c r="AI531" s="170"/>
      <c r="AJ531" s="170"/>
      <c r="AK531" s="170"/>
      <c r="AL531" s="170"/>
      <c r="AM531" s="170"/>
      <c r="AN531" s="170"/>
      <c r="AO531" s="170"/>
      <c r="AP531" s="170"/>
      <c r="AQ531" s="170"/>
      <c r="AR531" s="170"/>
      <c r="AS531" s="170"/>
      <c r="AT531" s="170"/>
      <c r="AU531" s="170"/>
      <c r="AV531" s="170"/>
      <c r="AW531" s="828"/>
      <c r="AX531" s="726"/>
    </row>
    <row r="532" spans="1:50" ht="15" x14ac:dyDescent="0.25">
      <c r="A532" s="170"/>
      <c r="B532" s="719">
        <v>702</v>
      </c>
      <c r="C532" s="170"/>
      <c r="D532" s="170"/>
      <c r="E532" s="170"/>
      <c r="F532" s="170"/>
      <c r="G532" s="721"/>
      <c r="H532" s="170"/>
      <c r="I532" s="170"/>
      <c r="J532" s="170"/>
      <c r="K532" s="170"/>
      <c r="L532" s="170"/>
      <c r="M532" s="730"/>
      <c r="N532" s="730"/>
      <c r="O532" s="730"/>
      <c r="P532" s="731"/>
      <c r="Q532" s="731"/>
      <c r="R532" s="730"/>
      <c r="S532" s="730"/>
      <c r="T532" s="723"/>
      <c r="U532" s="724"/>
      <c r="V532" s="725"/>
      <c r="W532" s="725"/>
      <c r="X532" s="723"/>
      <c r="Y532" s="723"/>
      <c r="Z532" s="723"/>
      <c r="AA532" s="726"/>
      <c r="AB532" s="726"/>
      <c r="AC532" s="170"/>
      <c r="AD532" s="586"/>
      <c r="AE532" s="586"/>
      <c r="AF532" s="170"/>
      <c r="AG532" s="170"/>
      <c r="AH532" s="170"/>
      <c r="AI532" s="170"/>
      <c r="AJ532" s="170"/>
      <c r="AK532" s="170"/>
      <c r="AL532" s="170"/>
      <c r="AM532" s="170"/>
      <c r="AN532" s="170"/>
      <c r="AO532" s="170"/>
      <c r="AP532" s="170"/>
      <c r="AQ532" s="170"/>
      <c r="AR532" s="170"/>
      <c r="AS532" s="170"/>
      <c r="AT532" s="170"/>
      <c r="AU532" s="170"/>
      <c r="AV532" s="170"/>
      <c r="AW532" s="828"/>
      <c r="AX532" s="726"/>
    </row>
    <row r="533" spans="1:50" ht="15" x14ac:dyDescent="0.25">
      <c r="A533" s="170"/>
      <c r="B533" s="719">
        <v>703</v>
      </c>
      <c r="C533" s="170"/>
      <c r="D533" s="170"/>
      <c r="E533" s="170"/>
      <c r="F533" s="170"/>
      <c r="G533" s="721"/>
      <c r="H533" s="170"/>
      <c r="I533" s="170"/>
      <c r="J533" s="170"/>
      <c r="K533" s="170"/>
      <c r="L533" s="170"/>
      <c r="M533" s="730"/>
      <c r="N533" s="730"/>
      <c r="O533" s="730"/>
      <c r="P533" s="731"/>
      <c r="Q533" s="731"/>
      <c r="R533" s="730"/>
      <c r="S533" s="730"/>
      <c r="T533" s="723"/>
      <c r="U533" s="724"/>
      <c r="V533" s="725"/>
      <c r="W533" s="725"/>
      <c r="X533" s="723"/>
      <c r="Y533" s="723"/>
      <c r="Z533" s="723"/>
      <c r="AA533" s="726"/>
      <c r="AB533" s="726"/>
      <c r="AC533" s="170"/>
      <c r="AD533" s="586"/>
      <c r="AE533" s="586"/>
      <c r="AF533" s="170"/>
      <c r="AG533" s="170"/>
      <c r="AH533" s="170"/>
      <c r="AI533" s="170"/>
      <c r="AJ533" s="170"/>
      <c r="AK533" s="170"/>
      <c r="AL533" s="170"/>
      <c r="AM533" s="170"/>
      <c r="AN533" s="170"/>
      <c r="AO533" s="170"/>
      <c r="AP533" s="170"/>
      <c r="AQ533" s="170"/>
      <c r="AR533" s="170"/>
      <c r="AS533" s="170"/>
      <c r="AT533" s="170"/>
      <c r="AU533" s="170"/>
      <c r="AV533" s="170"/>
      <c r="AW533" s="828"/>
      <c r="AX533" s="726"/>
    </row>
    <row r="534" spans="1:50" ht="15" x14ac:dyDescent="0.25">
      <c r="A534" s="170"/>
      <c r="B534" s="719">
        <v>704</v>
      </c>
      <c r="C534" s="170"/>
      <c r="D534" s="170"/>
      <c r="E534" s="170"/>
      <c r="F534" s="170"/>
      <c r="G534" s="721"/>
      <c r="H534" s="170"/>
      <c r="I534" s="170"/>
      <c r="J534" s="170"/>
      <c r="K534" s="170"/>
      <c r="L534" s="170"/>
      <c r="M534" s="730"/>
      <c r="N534" s="730"/>
      <c r="O534" s="730"/>
      <c r="P534" s="731"/>
      <c r="Q534" s="731"/>
      <c r="R534" s="730"/>
      <c r="S534" s="730"/>
      <c r="T534" s="723"/>
      <c r="U534" s="724"/>
      <c r="V534" s="725"/>
      <c r="W534" s="725"/>
      <c r="X534" s="723"/>
      <c r="Y534" s="723"/>
      <c r="Z534" s="723"/>
      <c r="AA534" s="726"/>
      <c r="AB534" s="726"/>
      <c r="AC534" s="170"/>
      <c r="AD534" s="586"/>
      <c r="AE534" s="586"/>
      <c r="AF534" s="170"/>
      <c r="AG534" s="170"/>
      <c r="AH534" s="170"/>
      <c r="AI534" s="170"/>
      <c r="AJ534" s="170"/>
      <c r="AK534" s="170"/>
      <c r="AL534" s="170"/>
      <c r="AM534" s="170"/>
      <c r="AN534" s="170"/>
      <c r="AO534" s="170"/>
      <c r="AP534" s="170"/>
      <c r="AQ534" s="170"/>
      <c r="AR534" s="170"/>
      <c r="AS534" s="170"/>
      <c r="AT534" s="170"/>
      <c r="AU534" s="170"/>
      <c r="AV534" s="170"/>
      <c r="AW534" s="828"/>
      <c r="AX534" s="726"/>
    </row>
    <row r="535" spans="1:50" ht="15" x14ac:dyDescent="0.25">
      <c r="A535" s="170"/>
      <c r="B535" s="719">
        <v>705</v>
      </c>
      <c r="C535" s="170"/>
      <c r="D535" s="170"/>
      <c r="E535" s="170"/>
      <c r="F535" s="170"/>
      <c r="G535" s="721"/>
      <c r="H535" s="170"/>
      <c r="I535" s="170"/>
      <c r="J535" s="170"/>
      <c r="K535" s="170"/>
      <c r="L535" s="170"/>
      <c r="M535" s="730"/>
      <c r="N535" s="730"/>
      <c r="O535" s="730"/>
      <c r="P535" s="731"/>
      <c r="Q535" s="731"/>
      <c r="R535" s="730"/>
      <c r="S535" s="730"/>
      <c r="T535" s="723"/>
      <c r="U535" s="724"/>
      <c r="V535" s="725"/>
      <c r="W535" s="725"/>
      <c r="X535" s="723"/>
      <c r="Y535" s="723"/>
      <c r="Z535" s="723"/>
      <c r="AA535" s="726"/>
      <c r="AB535" s="726"/>
      <c r="AC535" s="170"/>
      <c r="AD535" s="586"/>
      <c r="AE535" s="586"/>
      <c r="AF535" s="170"/>
      <c r="AG535" s="170"/>
      <c r="AH535" s="170"/>
      <c r="AI535" s="170"/>
      <c r="AJ535" s="170"/>
      <c r="AK535" s="170"/>
      <c r="AL535" s="170"/>
      <c r="AM535" s="170"/>
      <c r="AN535" s="170"/>
      <c r="AO535" s="170"/>
      <c r="AP535" s="170"/>
      <c r="AQ535" s="170"/>
      <c r="AR535" s="170"/>
      <c r="AS535" s="170"/>
      <c r="AT535" s="170"/>
      <c r="AU535" s="170"/>
      <c r="AV535" s="170"/>
      <c r="AW535" s="828"/>
      <c r="AX535" s="726"/>
    </row>
    <row r="536" spans="1:50" ht="15" x14ac:dyDescent="0.25">
      <c r="A536" s="170"/>
      <c r="B536" s="719">
        <v>706</v>
      </c>
      <c r="C536" s="170"/>
      <c r="D536" s="170"/>
      <c r="E536" s="170"/>
      <c r="F536" s="170"/>
      <c r="G536" s="721"/>
      <c r="H536" s="170"/>
      <c r="I536" s="170"/>
      <c r="J536" s="170"/>
      <c r="K536" s="170"/>
      <c r="L536" s="170"/>
      <c r="M536" s="730"/>
      <c r="N536" s="730"/>
      <c r="O536" s="730"/>
      <c r="P536" s="731"/>
      <c r="Q536" s="731"/>
      <c r="R536" s="730"/>
      <c r="S536" s="730"/>
      <c r="T536" s="723"/>
      <c r="U536" s="724"/>
      <c r="V536" s="725"/>
      <c r="W536" s="725"/>
      <c r="X536" s="723"/>
      <c r="Y536" s="723"/>
      <c r="Z536" s="723"/>
      <c r="AA536" s="726"/>
      <c r="AB536" s="726"/>
      <c r="AC536" s="170"/>
      <c r="AD536" s="586"/>
      <c r="AE536" s="586"/>
      <c r="AF536" s="170"/>
      <c r="AG536" s="170"/>
      <c r="AH536" s="170"/>
      <c r="AI536" s="170"/>
      <c r="AJ536" s="170"/>
      <c r="AK536" s="170"/>
      <c r="AL536" s="170"/>
      <c r="AM536" s="170"/>
      <c r="AN536" s="170"/>
      <c r="AO536" s="170"/>
      <c r="AP536" s="170"/>
      <c r="AQ536" s="170"/>
      <c r="AR536" s="170"/>
      <c r="AS536" s="170"/>
      <c r="AT536" s="170"/>
      <c r="AU536" s="170"/>
      <c r="AV536" s="170"/>
      <c r="AW536" s="828"/>
      <c r="AX536" s="726"/>
    </row>
    <row r="537" spans="1:50" ht="15" x14ac:dyDescent="0.25">
      <c r="A537" s="170"/>
      <c r="B537" s="719">
        <v>707</v>
      </c>
      <c r="C537" s="170"/>
      <c r="D537" s="170"/>
      <c r="E537" s="170"/>
      <c r="F537" s="170"/>
      <c r="G537" s="721"/>
      <c r="H537" s="170"/>
      <c r="I537" s="170"/>
      <c r="J537" s="170"/>
      <c r="K537" s="170"/>
      <c r="L537" s="170"/>
      <c r="M537" s="730"/>
      <c r="N537" s="730"/>
      <c r="O537" s="730"/>
      <c r="P537" s="731"/>
      <c r="Q537" s="731"/>
      <c r="R537" s="730"/>
      <c r="S537" s="730"/>
      <c r="T537" s="723"/>
      <c r="U537" s="724"/>
      <c r="V537" s="725"/>
      <c r="W537" s="725"/>
      <c r="X537" s="723"/>
      <c r="Y537" s="723"/>
      <c r="Z537" s="723"/>
      <c r="AA537" s="726"/>
      <c r="AB537" s="726"/>
      <c r="AC537" s="170"/>
      <c r="AD537" s="586"/>
      <c r="AE537" s="586"/>
      <c r="AF537" s="170"/>
      <c r="AG537" s="170"/>
      <c r="AH537" s="170"/>
      <c r="AI537" s="170"/>
      <c r="AJ537" s="170"/>
      <c r="AK537" s="170"/>
      <c r="AL537" s="170"/>
      <c r="AM537" s="170"/>
      <c r="AN537" s="170"/>
      <c r="AO537" s="170"/>
      <c r="AP537" s="170"/>
      <c r="AQ537" s="170"/>
      <c r="AR537" s="170"/>
      <c r="AS537" s="170"/>
      <c r="AT537" s="170"/>
      <c r="AU537" s="170"/>
      <c r="AV537" s="170"/>
      <c r="AW537" s="828"/>
      <c r="AX537" s="726"/>
    </row>
    <row r="538" spans="1:50" ht="15" x14ac:dyDescent="0.25">
      <c r="A538" s="170"/>
      <c r="B538" s="719">
        <v>708</v>
      </c>
      <c r="C538" s="170"/>
      <c r="D538" s="170"/>
      <c r="E538" s="170"/>
      <c r="F538" s="170"/>
      <c r="G538" s="721"/>
      <c r="H538" s="170"/>
      <c r="I538" s="170"/>
      <c r="J538" s="170"/>
      <c r="K538" s="170"/>
      <c r="L538" s="170"/>
      <c r="M538" s="730"/>
      <c r="N538" s="730"/>
      <c r="O538" s="730"/>
      <c r="P538" s="731"/>
      <c r="Q538" s="731"/>
      <c r="R538" s="730"/>
      <c r="S538" s="730"/>
      <c r="T538" s="723"/>
      <c r="U538" s="724"/>
      <c r="V538" s="725"/>
      <c r="W538" s="725"/>
      <c r="X538" s="723"/>
      <c r="Y538" s="723"/>
      <c r="Z538" s="723"/>
      <c r="AA538" s="726"/>
      <c r="AB538" s="726"/>
      <c r="AC538" s="170"/>
      <c r="AD538" s="586"/>
      <c r="AE538" s="586"/>
      <c r="AF538" s="170"/>
      <c r="AG538" s="170"/>
      <c r="AH538" s="170"/>
      <c r="AI538" s="170"/>
      <c r="AJ538" s="170"/>
      <c r="AK538" s="170"/>
      <c r="AL538" s="170"/>
      <c r="AM538" s="170"/>
      <c r="AN538" s="170"/>
      <c r="AO538" s="170"/>
      <c r="AP538" s="170"/>
      <c r="AQ538" s="170"/>
      <c r="AR538" s="170"/>
      <c r="AS538" s="170"/>
      <c r="AT538" s="170"/>
      <c r="AU538" s="170"/>
      <c r="AV538" s="170"/>
      <c r="AW538" s="828"/>
      <c r="AX538" s="726"/>
    </row>
    <row r="539" spans="1:50" ht="15" x14ac:dyDescent="0.25">
      <c r="A539" s="170"/>
      <c r="B539" s="719">
        <v>709</v>
      </c>
      <c r="C539" s="170"/>
      <c r="D539" s="170"/>
      <c r="E539" s="170"/>
      <c r="F539" s="170"/>
      <c r="G539" s="721"/>
      <c r="H539" s="170"/>
      <c r="I539" s="170"/>
      <c r="J539" s="170"/>
      <c r="K539" s="170"/>
      <c r="L539" s="170"/>
      <c r="M539" s="730"/>
      <c r="N539" s="730"/>
      <c r="O539" s="730"/>
      <c r="P539" s="731"/>
      <c r="Q539" s="731"/>
      <c r="R539" s="730"/>
      <c r="S539" s="730"/>
      <c r="T539" s="723"/>
      <c r="U539" s="724"/>
      <c r="V539" s="725"/>
      <c r="W539" s="725"/>
      <c r="X539" s="723"/>
      <c r="Y539" s="723"/>
      <c r="Z539" s="723"/>
      <c r="AA539" s="726"/>
      <c r="AB539" s="726"/>
      <c r="AC539" s="170"/>
      <c r="AD539" s="586"/>
      <c r="AE539" s="586"/>
      <c r="AF539" s="170"/>
      <c r="AG539" s="170"/>
      <c r="AH539" s="170"/>
      <c r="AI539" s="170"/>
      <c r="AJ539" s="170"/>
      <c r="AK539" s="170"/>
      <c r="AL539" s="170"/>
      <c r="AM539" s="170"/>
      <c r="AN539" s="170"/>
      <c r="AO539" s="170"/>
      <c r="AP539" s="170"/>
      <c r="AQ539" s="170"/>
      <c r="AR539" s="170"/>
      <c r="AS539" s="170"/>
      <c r="AT539" s="170"/>
      <c r="AU539" s="170"/>
      <c r="AV539" s="170"/>
      <c r="AW539" s="828"/>
      <c r="AX539" s="726"/>
    </row>
    <row r="540" spans="1:50" ht="15" x14ac:dyDescent="0.25">
      <c r="A540" s="170"/>
      <c r="B540" s="719">
        <v>710</v>
      </c>
      <c r="C540" s="170"/>
      <c r="D540" s="170"/>
      <c r="E540" s="170"/>
      <c r="F540" s="170"/>
      <c r="G540" s="721"/>
      <c r="H540" s="170"/>
      <c r="I540" s="170"/>
      <c r="J540" s="170"/>
      <c r="K540" s="170"/>
      <c r="L540" s="170"/>
      <c r="M540" s="730"/>
      <c r="N540" s="730"/>
      <c r="O540" s="730"/>
      <c r="P540" s="731"/>
      <c r="Q540" s="731"/>
      <c r="R540" s="730"/>
      <c r="S540" s="730"/>
      <c r="T540" s="723"/>
      <c r="U540" s="724"/>
      <c r="V540" s="725"/>
      <c r="W540" s="725"/>
      <c r="X540" s="723"/>
      <c r="Y540" s="723"/>
      <c r="Z540" s="723"/>
      <c r="AA540" s="726"/>
      <c r="AB540" s="726"/>
      <c r="AC540" s="170"/>
      <c r="AD540" s="586"/>
      <c r="AE540" s="586"/>
      <c r="AF540" s="170"/>
      <c r="AG540" s="170"/>
      <c r="AH540" s="170"/>
      <c r="AI540" s="170"/>
      <c r="AJ540" s="170"/>
      <c r="AK540" s="170"/>
      <c r="AL540" s="170"/>
      <c r="AM540" s="170"/>
      <c r="AN540" s="170"/>
      <c r="AO540" s="170"/>
      <c r="AP540" s="170"/>
      <c r="AQ540" s="170"/>
      <c r="AR540" s="170"/>
      <c r="AS540" s="170"/>
      <c r="AT540" s="170"/>
      <c r="AU540" s="170"/>
      <c r="AV540" s="170"/>
      <c r="AW540" s="828"/>
      <c r="AX540" s="726"/>
    </row>
    <row r="541" spans="1:50" ht="15" x14ac:dyDescent="0.25">
      <c r="A541" s="170"/>
      <c r="B541" s="719">
        <v>711</v>
      </c>
      <c r="C541" s="170"/>
      <c r="D541" s="170"/>
      <c r="E541" s="170"/>
      <c r="F541" s="170"/>
      <c r="G541" s="721"/>
      <c r="H541" s="170"/>
      <c r="I541" s="170"/>
      <c r="J541" s="170"/>
      <c r="K541" s="170"/>
      <c r="L541" s="170"/>
      <c r="M541" s="730"/>
      <c r="N541" s="730"/>
      <c r="O541" s="730"/>
      <c r="P541" s="731"/>
      <c r="Q541" s="731"/>
      <c r="R541" s="730"/>
      <c r="S541" s="730"/>
      <c r="T541" s="723"/>
      <c r="U541" s="724"/>
      <c r="V541" s="725"/>
      <c r="W541" s="725"/>
      <c r="X541" s="723"/>
      <c r="Y541" s="723"/>
      <c r="Z541" s="723"/>
      <c r="AA541" s="726"/>
      <c r="AB541" s="726"/>
      <c r="AC541" s="170"/>
      <c r="AD541" s="586"/>
      <c r="AE541" s="586"/>
      <c r="AF541" s="170"/>
      <c r="AG541" s="170"/>
      <c r="AH541" s="170"/>
      <c r="AI541" s="170"/>
      <c r="AJ541" s="170"/>
      <c r="AK541" s="170"/>
      <c r="AL541" s="170"/>
      <c r="AM541" s="170"/>
      <c r="AN541" s="170"/>
      <c r="AO541" s="170"/>
      <c r="AP541" s="170"/>
      <c r="AQ541" s="170"/>
      <c r="AR541" s="170"/>
      <c r="AS541" s="170"/>
      <c r="AT541" s="170"/>
      <c r="AU541" s="170"/>
      <c r="AV541" s="170"/>
      <c r="AW541" s="828"/>
      <c r="AX541" s="726"/>
    </row>
    <row r="542" spans="1:50" ht="15" x14ac:dyDescent="0.25">
      <c r="A542" s="170"/>
      <c r="B542" s="719">
        <v>712</v>
      </c>
      <c r="C542" s="170"/>
      <c r="D542" s="170"/>
      <c r="E542" s="170"/>
      <c r="F542" s="170"/>
      <c r="G542" s="721"/>
      <c r="H542" s="170"/>
      <c r="I542" s="170"/>
      <c r="J542" s="170"/>
      <c r="K542" s="170"/>
      <c r="L542" s="170"/>
      <c r="M542" s="730"/>
      <c r="N542" s="730"/>
      <c r="O542" s="730"/>
      <c r="P542" s="731"/>
      <c r="Q542" s="731"/>
      <c r="R542" s="730"/>
      <c r="S542" s="730"/>
      <c r="T542" s="723"/>
      <c r="U542" s="724"/>
      <c r="V542" s="725"/>
      <c r="W542" s="725"/>
      <c r="X542" s="723"/>
      <c r="Y542" s="723"/>
      <c r="Z542" s="723"/>
      <c r="AA542" s="726"/>
      <c r="AB542" s="726"/>
      <c r="AC542" s="170"/>
      <c r="AD542" s="586"/>
      <c r="AE542" s="586"/>
      <c r="AF542" s="170"/>
      <c r="AG542" s="170"/>
      <c r="AH542" s="170"/>
      <c r="AI542" s="170"/>
      <c r="AJ542" s="170"/>
      <c r="AK542" s="170"/>
      <c r="AL542" s="170"/>
      <c r="AM542" s="170"/>
      <c r="AN542" s="170"/>
      <c r="AO542" s="170"/>
      <c r="AP542" s="170"/>
      <c r="AQ542" s="170"/>
      <c r="AR542" s="170"/>
      <c r="AS542" s="170"/>
      <c r="AT542" s="170"/>
      <c r="AU542" s="170"/>
      <c r="AV542" s="170"/>
      <c r="AW542" s="828"/>
      <c r="AX542" s="726"/>
    </row>
    <row r="543" spans="1:50" ht="15" x14ac:dyDescent="0.25">
      <c r="A543" s="170"/>
      <c r="B543" s="719">
        <v>713</v>
      </c>
      <c r="C543" s="170"/>
      <c r="D543" s="170"/>
      <c r="E543" s="170"/>
      <c r="F543" s="170"/>
      <c r="G543" s="721"/>
      <c r="H543" s="170"/>
      <c r="I543" s="170"/>
      <c r="J543" s="170"/>
      <c r="K543" s="170"/>
      <c r="L543" s="170"/>
      <c r="M543" s="730"/>
      <c r="N543" s="730"/>
      <c r="O543" s="730"/>
      <c r="P543" s="731"/>
      <c r="Q543" s="731"/>
      <c r="R543" s="730"/>
      <c r="S543" s="730"/>
      <c r="T543" s="723"/>
      <c r="U543" s="724"/>
      <c r="V543" s="725"/>
      <c r="W543" s="725"/>
      <c r="X543" s="723"/>
      <c r="Y543" s="723"/>
      <c r="Z543" s="723"/>
      <c r="AA543" s="726"/>
      <c r="AB543" s="726"/>
      <c r="AC543" s="170"/>
      <c r="AD543" s="586"/>
      <c r="AE543" s="586"/>
      <c r="AF543" s="170"/>
      <c r="AG543" s="170"/>
      <c r="AH543" s="170"/>
      <c r="AI543" s="170"/>
      <c r="AJ543" s="170"/>
      <c r="AK543" s="170"/>
      <c r="AL543" s="170"/>
      <c r="AM543" s="170"/>
      <c r="AN543" s="170"/>
      <c r="AO543" s="170"/>
      <c r="AP543" s="170"/>
      <c r="AQ543" s="170"/>
      <c r="AR543" s="170"/>
      <c r="AS543" s="170"/>
      <c r="AT543" s="170"/>
      <c r="AU543" s="170"/>
      <c r="AV543" s="170"/>
      <c r="AW543" s="828"/>
      <c r="AX543" s="726"/>
    </row>
    <row r="544" spans="1:50" ht="15" x14ac:dyDescent="0.25">
      <c r="A544" s="170"/>
      <c r="B544" s="719">
        <v>714</v>
      </c>
      <c r="C544" s="170"/>
      <c r="D544" s="170"/>
      <c r="E544" s="170"/>
      <c r="F544" s="170"/>
      <c r="G544" s="721"/>
      <c r="H544" s="170"/>
      <c r="I544" s="170"/>
      <c r="J544" s="170"/>
      <c r="K544" s="170"/>
      <c r="L544" s="170"/>
      <c r="M544" s="730"/>
      <c r="N544" s="730"/>
      <c r="O544" s="730"/>
      <c r="P544" s="731"/>
      <c r="Q544" s="731"/>
      <c r="R544" s="730"/>
      <c r="S544" s="730"/>
      <c r="T544" s="723"/>
      <c r="U544" s="724"/>
      <c r="V544" s="725"/>
      <c r="W544" s="725"/>
      <c r="X544" s="723"/>
      <c r="Y544" s="723"/>
      <c r="Z544" s="723"/>
      <c r="AA544" s="726"/>
      <c r="AB544" s="726"/>
      <c r="AC544" s="170"/>
      <c r="AD544" s="586"/>
      <c r="AE544" s="586"/>
      <c r="AF544" s="170"/>
      <c r="AG544" s="170"/>
      <c r="AH544" s="170"/>
      <c r="AI544" s="170"/>
      <c r="AJ544" s="170"/>
      <c r="AK544" s="170"/>
      <c r="AL544" s="170"/>
      <c r="AM544" s="170"/>
      <c r="AN544" s="170"/>
      <c r="AO544" s="170"/>
      <c r="AP544" s="170"/>
      <c r="AQ544" s="170"/>
      <c r="AR544" s="170"/>
      <c r="AS544" s="170"/>
      <c r="AT544" s="170"/>
      <c r="AU544" s="170"/>
      <c r="AV544" s="170"/>
      <c r="AW544" s="828"/>
      <c r="AX544" s="726"/>
    </row>
    <row r="545" spans="1:50" ht="15" x14ac:dyDescent="0.25">
      <c r="A545" s="170"/>
      <c r="B545" s="719">
        <v>715</v>
      </c>
      <c r="C545" s="170"/>
      <c r="D545" s="170"/>
      <c r="E545" s="170"/>
      <c r="F545" s="170"/>
      <c r="G545" s="721"/>
      <c r="H545" s="170"/>
      <c r="I545" s="170"/>
      <c r="J545" s="170"/>
      <c r="K545" s="170"/>
      <c r="L545" s="170"/>
      <c r="M545" s="730"/>
      <c r="N545" s="730"/>
      <c r="O545" s="730"/>
      <c r="P545" s="731"/>
      <c r="Q545" s="731"/>
      <c r="R545" s="730"/>
      <c r="S545" s="730"/>
      <c r="T545" s="723"/>
      <c r="U545" s="724"/>
      <c r="V545" s="725"/>
      <c r="W545" s="725"/>
      <c r="X545" s="723"/>
      <c r="Y545" s="723"/>
      <c r="Z545" s="723"/>
      <c r="AA545" s="726"/>
      <c r="AB545" s="726"/>
      <c r="AC545" s="170"/>
      <c r="AD545" s="586"/>
      <c r="AE545" s="586"/>
      <c r="AF545" s="170"/>
      <c r="AG545" s="170"/>
      <c r="AH545" s="170"/>
      <c r="AI545" s="170"/>
      <c r="AJ545" s="170"/>
      <c r="AK545" s="170"/>
      <c r="AL545" s="170"/>
      <c r="AM545" s="170"/>
      <c r="AN545" s="170"/>
      <c r="AO545" s="170"/>
      <c r="AP545" s="170"/>
      <c r="AQ545" s="170"/>
      <c r="AR545" s="170"/>
      <c r="AS545" s="170"/>
      <c r="AT545" s="170"/>
      <c r="AU545" s="170"/>
      <c r="AV545" s="170"/>
      <c r="AW545" s="828"/>
      <c r="AX545" s="726"/>
    </row>
    <row r="546" spans="1:50" ht="15" x14ac:dyDescent="0.25">
      <c r="A546" s="170"/>
      <c r="B546" s="719">
        <v>716</v>
      </c>
      <c r="C546" s="170"/>
      <c r="D546" s="170"/>
      <c r="E546" s="170"/>
      <c r="F546" s="170"/>
      <c r="G546" s="721"/>
      <c r="H546" s="170"/>
      <c r="I546" s="170"/>
      <c r="J546" s="170"/>
      <c r="K546" s="170"/>
      <c r="L546" s="170"/>
      <c r="M546" s="730"/>
      <c r="N546" s="730"/>
      <c r="O546" s="730"/>
      <c r="P546" s="731"/>
      <c r="Q546" s="731"/>
      <c r="R546" s="730"/>
      <c r="S546" s="730"/>
      <c r="T546" s="723"/>
      <c r="U546" s="724"/>
      <c r="V546" s="725"/>
      <c r="W546" s="725"/>
      <c r="X546" s="723"/>
      <c r="Y546" s="723"/>
      <c r="Z546" s="723"/>
      <c r="AA546" s="726"/>
      <c r="AB546" s="726"/>
      <c r="AC546" s="170"/>
      <c r="AD546" s="586"/>
      <c r="AE546" s="586"/>
      <c r="AF546" s="170"/>
      <c r="AG546" s="170"/>
      <c r="AH546" s="170"/>
      <c r="AI546" s="170"/>
      <c r="AJ546" s="170"/>
      <c r="AK546" s="170"/>
      <c r="AL546" s="170"/>
      <c r="AM546" s="170"/>
      <c r="AN546" s="170"/>
      <c r="AO546" s="170"/>
      <c r="AP546" s="170"/>
      <c r="AQ546" s="170"/>
      <c r="AR546" s="170"/>
      <c r="AS546" s="170"/>
      <c r="AT546" s="170"/>
      <c r="AU546" s="170"/>
      <c r="AV546" s="170"/>
      <c r="AW546" s="828"/>
      <c r="AX546" s="726"/>
    </row>
    <row r="547" spans="1:50" ht="15" x14ac:dyDescent="0.25">
      <c r="A547" s="170"/>
      <c r="B547" s="719">
        <v>717</v>
      </c>
      <c r="C547" s="170"/>
      <c r="D547" s="170"/>
      <c r="E547" s="170"/>
      <c r="F547" s="170"/>
      <c r="G547" s="721"/>
      <c r="H547" s="170"/>
      <c r="I547" s="170"/>
      <c r="J547" s="170"/>
      <c r="K547" s="170"/>
      <c r="L547" s="170"/>
      <c r="M547" s="730"/>
      <c r="N547" s="730"/>
      <c r="O547" s="730"/>
      <c r="P547" s="731"/>
      <c r="Q547" s="731"/>
      <c r="R547" s="730"/>
      <c r="S547" s="730"/>
      <c r="T547" s="723"/>
      <c r="U547" s="724"/>
      <c r="V547" s="725"/>
      <c r="W547" s="725"/>
      <c r="X547" s="723"/>
      <c r="Y547" s="723"/>
      <c r="Z547" s="723"/>
      <c r="AA547" s="726"/>
      <c r="AB547" s="726"/>
      <c r="AC547" s="170"/>
      <c r="AD547" s="586"/>
      <c r="AE547" s="586"/>
      <c r="AF547" s="170"/>
      <c r="AG547" s="170"/>
      <c r="AH547" s="170"/>
      <c r="AI547" s="170"/>
      <c r="AJ547" s="170"/>
      <c r="AK547" s="170"/>
      <c r="AL547" s="170"/>
      <c r="AM547" s="170"/>
      <c r="AN547" s="170"/>
      <c r="AO547" s="170"/>
      <c r="AP547" s="170"/>
      <c r="AQ547" s="170"/>
      <c r="AR547" s="170"/>
      <c r="AS547" s="170"/>
      <c r="AT547" s="170"/>
      <c r="AU547" s="170"/>
      <c r="AV547" s="170"/>
      <c r="AW547" s="828"/>
      <c r="AX547" s="726"/>
    </row>
    <row r="548" spans="1:50" ht="15" x14ac:dyDescent="0.25">
      <c r="A548" s="170"/>
      <c r="B548" s="719">
        <v>718</v>
      </c>
      <c r="C548" s="170"/>
      <c r="D548" s="170"/>
      <c r="E548" s="170"/>
      <c r="F548" s="170"/>
      <c r="G548" s="721"/>
      <c r="H548" s="170"/>
      <c r="I548" s="170"/>
      <c r="J548" s="170"/>
      <c r="K548" s="170"/>
      <c r="L548" s="170"/>
      <c r="M548" s="730"/>
      <c r="N548" s="730"/>
      <c r="O548" s="730"/>
      <c r="P548" s="731"/>
      <c r="Q548" s="731"/>
      <c r="R548" s="730"/>
      <c r="S548" s="730"/>
      <c r="T548" s="723"/>
      <c r="U548" s="724"/>
      <c r="V548" s="725"/>
      <c r="W548" s="725"/>
      <c r="X548" s="723"/>
      <c r="Y548" s="723"/>
      <c r="Z548" s="723"/>
      <c r="AA548" s="726"/>
      <c r="AB548" s="726"/>
      <c r="AC548" s="170"/>
      <c r="AD548" s="586"/>
      <c r="AE548" s="586"/>
      <c r="AF548" s="170"/>
      <c r="AG548" s="170"/>
      <c r="AH548" s="170"/>
      <c r="AI548" s="170"/>
      <c r="AJ548" s="170"/>
      <c r="AK548" s="170"/>
      <c r="AL548" s="170"/>
      <c r="AM548" s="170"/>
      <c r="AN548" s="170"/>
      <c r="AO548" s="170"/>
      <c r="AP548" s="170"/>
      <c r="AQ548" s="170"/>
      <c r="AR548" s="170"/>
      <c r="AS548" s="170"/>
      <c r="AT548" s="170"/>
      <c r="AU548" s="170"/>
      <c r="AV548" s="170"/>
      <c r="AW548" s="828"/>
      <c r="AX548" s="726"/>
    </row>
    <row r="549" spans="1:50" ht="15" x14ac:dyDescent="0.25">
      <c r="A549" s="170"/>
      <c r="B549" s="719">
        <v>719</v>
      </c>
      <c r="C549" s="170"/>
      <c r="D549" s="170"/>
      <c r="E549" s="170"/>
      <c r="F549" s="170"/>
      <c r="G549" s="721"/>
      <c r="H549" s="170"/>
      <c r="I549" s="170"/>
      <c r="J549" s="170"/>
      <c r="K549" s="170"/>
      <c r="L549" s="170"/>
      <c r="M549" s="730"/>
      <c r="N549" s="730"/>
      <c r="O549" s="730"/>
      <c r="P549" s="731"/>
      <c r="Q549" s="731"/>
      <c r="R549" s="730"/>
      <c r="S549" s="730"/>
      <c r="T549" s="723"/>
      <c r="U549" s="724"/>
      <c r="V549" s="725"/>
      <c r="W549" s="725"/>
      <c r="X549" s="723"/>
      <c r="Y549" s="723"/>
      <c r="Z549" s="723"/>
      <c r="AA549" s="726"/>
      <c r="AB549" s="726"/>
      <c r="AC549" s="170"/>
      <c r="AD549" s="586"/>
      <c r="AE549" s="586"/>
      <c r="AF549" s="170"/>
      <c r="AG549" s="170"/>
      <c r="AH549" s="170"/>
      <c r="AI549" s="170"/>
      <c r="AJ549" s="170"/>
      <c r="AK549" s="170"/>
      <c r="AL549" s="170"/>
      <c r="AM549" s="170"/>
      <c r="AN549" s="170"/>
      <c r="AO549" s="170"/>
      <c r="AP549" s="170"/>
      <c r="AQ549" s="170"/>
      <c r="AR549" s="170"/>
      <c r="AS549" s="170"/>
      <c r="AT549" s="170"/>
      <c r="AU549" s="170"/>
      <c r="AV549" s="170"/>
      <c r="AW549" s="828"/>
      <c r="AX549" s="726"/>
    </row>
    <row r="550" spans="1:50" ht="15" x14ac:dyDescent="0.25">
      <c r="A550" s="170"/>
      <c r="B550" s="719">
        <v>720</v>
      </c>
      <c r="C550" s="170"/>
      <c r="D550" s="170"/>
      <c r="E550" s="170"/>
      <c r="F550" s="170"/>
      <c r="G550" s="721"/>
      <c r="H550" s="170"/>
      <c r="I550" s="170"/>
      <c r="J550" s="170"/>
      <c r="K550" s="170"/>
      <c r="L550" s="170"/>
      <c r="M550" s="730"/>
      <c r="N550" s="730"/>
      <c r="O550" s="730"/>
      <c r="P550" s="731"/>
      <c r="Q550" s="731"/>
      <c r="R550" s="730"/>
      <c r="S550" s="730"/>
      <c r="T550" s="723"/>
      <c r="U550" s="724"/>
      <c r="V550" s="725"/>
      <c r="W550" s="725"/>
      <c r="X550" s="723"/>
      <c r="Y550" s="723"/>
      <c r="Z550" s="723"/>
      <c r="AA550" s="726"/>
      <c r="AB550" s="726"/>
      <c r="AC550" s="170"/>
      <c r="AD550" s="586"/>
      <c r="AE550" s="586"/>
      <c r="AF550" s="170"/>
      <c r="AG550" s="170"/>
      <c r="AH550" s="170"/>
      <c r="AI550" s="170"/>
      <c r="AJ550" s="170"/>
      <c r="AK550" s="170"/>
      <c r="AL550" s="170"/>
      <c r="AM550" s="170"/>
      <c r="AN550" s="170"/>
      <c r="AO550" s="170"/>
      <c r="AP550" s="170"/>
      <c r="AQ550" s="170"/>
      <c r="AR550" s="170"/>
      <c r="AS550" s="170"/>
      <c r="AT550" s="170"/>
      <c r="AU550" s="170"/>
      <c r="AV550" s="170"/>
      <c r="AW550" s="828"/>
      <c r="AX550" s="726"/>
    </row>
    <row r="551" spans="1:50" ht="15" x14ac:dyDescent="0.25">
      <c r="A551" s="170"/>
      <c r="B551" s="719">
        <v>721</v>
      </c>
      <c r="C551" s="170"/>
      <c r="D551" s="170"/>
      <c r="E551" s="170"/>
      <c r="F551" s="170"/>
      <c r="G551" s="721"/>
      <c r="H551" s="170"/>
      <c r="I551" s="170"/>
      <c r="J551" s="170"/>
      <c r="K551" s="170"/>
      <c r="L551" s="170"/>
      <c r="M551" s="730"/>
      <c r="N551" s="730"/>
      <c r="O551" s="730"/>
      <c r="P551" s="731"/>
      <c r="Q551" s="731"/>
      <c r="R551" s="730"/>
      <c r="S551" s="730"/>
      <c r="T551" s="723"/>
      <c r="U551" s="724"/>
      <c r="V551" s="725"/>
      <c r="W551" s="725"/>
      <c r="X551" s="723"/>
      <c r="Y551" s="723"/>
      <c r="Z551" s="723"/>
      <c r="AA551" s="726"/>
      <c r="AB551" s="726"/>
      <c r="AC551" s="170"/>
      <c r="AD551" s="586"/>
      <c r="AE551" s="586"/>
      <c r="AF551" s="170"/>
      <c r="AG551" s="170"/>
      <c r="AH551" s="170"/>
      <c r="AI551" s="170"/>
      <c r="AJ551" s="170"/>
      <c r="AK551" s="170"/>
      <c r="AL551" s="170"/>
      <c r="AM551" s="170"/>
      <c r="AN551" s="170"/>
      <c r="AO551" s="170"/>
      <c r="AP551" s="170"/>
      <c r="AQ551" s="170"/>
      <c r="AR551" s="170"/>
      <c r="AS551" s="170"/>
      <c r="AT551" s="170"/>
      <c r="AU551" s="170"/>
      <c r="AV551" s="170"/>
      <c r="AW551" s="828"/>
      <c r="AX551" s="726"/>
    </row>
    <row r="552" spans="1:50" ht="15" x14ac:dyDescent="0.25">
      <c r="A552" s="170"/>
      <c r="B552" s="719">
        <v>722</v>
      </c>
      <c r="C552" s="170"/>
      <c r="D552" s="170"/>
      <c r="E552" s="170"/>
      <c r="F552" s="170"/>
      <c r="G552" s="721"/>
      <c r="H552" s="170"/>
      <c r="I552" s="170"/>
      <c r="J552" s="170"/>
      <c r="K552" s="170"/>
      <c r="L552" s="170"/>
      <c r="M552" s="730"/>
      <c r="N552" s="730"/>
      <c r="O552" s="730"/>
      <c r="P552" s="731"/>
      <c r="Q552" s="731"/>
      <c r="R552" s="730"/>
      <c r="S552" s="730"/>
      <c r="T552" s="723"/>
      <c r="U552" s="724"/>
      <c r="V552" s="725"/>
      <c r="W552" s="725"/>
      <c r="X552" s="723"/>
      <c r="Y552" s="723"/>
      <c r="Z552" s="723"/>
      <c r="AA552" s="726"/>
      <c r="AB552" s="726"/>
      <c r="AC552" s="170"/>
      <c r="AD552" s="586"/>
      <c r="AE552" s="586"/>
      <c r="AF552" s="170"/>
      <c r="AG552" s="170"/>
      <c r="AH552" s="170"/>
      <c r="AI552" s="170"/>
      <c r="AJ552" s="170"/>
      <c r="AK552" s="170"/>
      <c r="AL552" s="170"/>
      <c r="AM552" s="170"/>
      <c r="AN552" s="170"/>
      <c r="AO552" s="170"/>
      <c r="AP552" s="170"/>
      <c r="AQ552" s="170"/>
      <c r="AR552" s="170"/>
      <c r="AS552" s="170"/>
      <c r="AT552" s="170"/>
      <c r="AU552" s="170"/>
      <c r="AV552" s="170"/>
      <c r="AW552" s="828"/>
      <c r="AX552" s="726"/>
    </row>
    <row r="553" spans="1:50" ht="15" x14ac:dyDescent="0.25">
      <c r="A553" s="170"/>
      <c r="B553" s="719">
        <v>723</v>
      </c>
      <c r="C553" s="170"/>
      <c r="D553" s="170"/>
      <c r="E553" s="170"/>
      <c r="F553" s="170"/>
      <c r="G553" s="721"/>
      <c r="H553" s="170"/>
      <c r="I553" s="170"/>
      <c r="J553" s="170"/>
      <c r="K553" s="170"/>
      <c r="L553" s="170"/>
      <c r="M553" s="730"/>
      <c r="N553" s="730"/>
      <c r="O553" s="730"/>
      <c r="P553" s="731"/>
      <c r="Q553" s="731"/>
      <c r="R553" s="730"/>
      <c r="S553" s="730"/>
      <c r="T553" s="723"/>
      <c r="U553" s="724"/>
      <c r="V553" s="725"/>
      <c r="W553" s="725"/>
      <c r="X553" s="723"/>
      <c r="Y553" s="723"/>
      <c r="Z553" s="723"/>
      <c r="AA553" s="726"/>
      <c r="AB553" s="726"/>
      <c r="AC553" s="170"/>
      <c r="AD553" s="586"/>
      <c r="AE553" s="586"/>
      <c r="AF553" s="170"/>
      <c r="AG553" s="170"/>
      <c r="AH553" s="170"/>
      <c r="AI553" s="170"/>
      <c r="AJ553" s="170"/>
      <c r="AK553" s="170"/>
      <c r="AL553" s="170"/>
      <c r="AM553" s="170"/>
      <c r="AN553" s="170"/>
      <c r="AO553" s="170"/>
      <c r="AP553" s="170"/>
      <c r="AQ553" s="170"/>
      <c r="AR553" s="170"/>
      <c r="AS553" s="170"/>
      <c r="AT553" s="170"/>
      <c r="AU553" s="170"/>
      <c r="AV553" s="170"/>
      <c r="AW553" s="828"/>
      <c r="AX553" s="726"/>
    </row>
    <row r="554" spans="1:50" ht="15" x14ac:dyDescent="0.25">
      <c r="A554" s="170"/>
      <c r="B554" s="719">
        <v>724</v>
      </c>
      <c r="C554" s="170"/>
      <c r="D554" s="170"/>
      <c r="E554" s="170"/>
      <c r="F554" s="170"/>
      <c r="G554" s="721"/>
      <c r="H554" s="170"/>
      <c r="I554" s="170"/>
      <c r="J554" s="170"/>
      <c r="K554" s="170"/>
      <c r="L554" s="170"/>
      <c r="M554" s="730"/>
      <c r="N554" s="730"/>
      <c r="O554" s="730"/>
      <c r="P554" s="731"/>
      <c r="Q554" s="731"/>
      <c r="R554" s="730"/>
      <c r="S554" s="730"/>
      <c r="T554" s="723"/>
      <c r="U554" s="724"/>
      <c r="V554" s="725"/>
      <c r="W554" s="725"/>
      <c r="X554" s="723"/>
      <c r="Y554" s="723"/>
      <c r="Z554" s="723"/>
      <c r="AA554" s="726"/>
      <c r="AB554" s="726"/>
      <c r="AC554" s="170"/>
      <c r="AD554" s="586"/>
      <c r="AE554" s="586"/>
      <c r="AF554" s="170"/>
      <c r="AG554" s="170"/>
      <c r="AH554" s="170"/>
      <c r="AI554" s="170"/>
      <c r="AJ554" s="170"/>
      <c r="AK554" s="170"/>
      <c r="AL554" s="170"/>
      <c r="AM554" s="170"/>
      <c r="AN554" s="170"/>
      <c r="AO554" s="170"/>
      <c r="AP554" s="170"/>
      <c r="AQ554" s="170"/>
      <c r="AR554" s="170"/>
      <c r="AS554" s="170"/>
      <c r="AT554" s="170"/>
      <c r="AU554" s="170"/>
      <c r="AV554" s="170"/>
      <c r="AW554" s="828"/>
      <c r="AX554" s="726"/>
    </row>
    <row r="555" spans="1:50" ht="15" x14ac:dyDescent="0.25">
      <c r="A555" s="170"/>
      <c r="B555" s="719">
        <v>725</v>
      </c>
      <c r="C555" s="170"/>
      <c r="D555" s="170"/>
      <c r="E555" s="170"/>
      <c r="F555" s="170"/>
      <c r="G555" s="721"/>
      <c r="H555" s="170"/>
      <c r="I555" s="170"/>
      <c r="J555" s="170"/>
      <c r="K555" s="170"/>
      <c r="L555" s="170"/>
      <c r="M555" s="730"/>
      <c r="N555" s="730"/>
      <c r="O555" s="730"/>
      <c r="P555" s="731"/>
      <c r="Q555" s="731"/>
      <c r="R555" s="730"/>
      <c r="S555" s="730"/>
      <c r="T555" s="723"/>
      <c r="U555" s="724"/>
      <c r="V555" s="725"/>
      <c r="W555" s="725"/>
      <c r="X555" s="723"/>
      <c r="Y555" s="723"/>
      <c r="Z555" s="723"/>
      <c r="AA555" s="726"/>
      <c r="AB555" s="726"/>
      <c r="AC555" s="170"/>
      <c r="AD555" s="586"/>
      <c r="AE555" s="586"/>
      <c r="AF555" s="170"/>
      <c r="AG555" s="170"/>
      <c r="AH555" s="170"/>
      <c r="AI555" s="170"/>
      <c r="AJ555" s="170"/>
      <c r="AK555" s="170"/>
      <c r="AL555" s="170"/>
      <c r="AM555" s="170"/>
      <c r="AN555" s="170"/>
      <c r="AO555" s="170"/>
      <c r="AP555" s="170"/>
      <c r="AQ555" s="170"/>
      <c r="AR555" s="170"/>
      <c r="AS555" s="170"/>
      <c r="AT555" s="170"/>
      <c r="AU555" s="170"/>
      <c r="AV555" s="170"/>
      <c r="AW555" s="828"/>
      <c r="AX555" s="726"/>
    </row>
    <row r="556" spans="1:50" ht="15" x14ac:dyDescent="0.25">
      <c r="A556" s="170"/>
      <c r="B556" s="719">
        <v>726</v>
      </c>
      <c r="C556" s="170"/>
      <c r="D556" s="170"/>
      <c r="E556" s="170"/>
      <c r="F556" s="170"/>
      <c r="G556" s="721"/>
      <c r="H556" s="170"/>
      <c r="I556" s="170"/>
      <c r="J556" s="170"/>
      <c r="K556" s="170"/>
      <c r="L556" s="170"/>
      <c r="M556" s="730"/>
      <c r="N556" s="730"/>
      <c r="O556" s="730"/>
      <c r="P556" s="731"/>
      <c r="Q556" s="731"/>
      <c r="R556" s="730"/>
      <c r="S556" s="730"/>
      <c r="T556" s="723"/>
      <c r="U556" s="724"/>
      <c r="V556" s="725"/>
      <c r="W556" s="725"/>
      <c r="X556" s="723"/>
      <c r="Y556" s="723"/>
      <c r="Z556" s="723"/>
      <c r="AA556" s="726"/>
      <c r="AB556" s="726"/>
      <c r="AC556" s="170"/>
      <c r="AD556" s="586"/>
      <c r="AE556" s="586"/>
      <c r="AF556" s="170"/>
      <c r="AG556" s="170"/>
      <c r="AH556" s="170"/>
      <c r="AI556" s="170"/>
      <c r="AJ556" s="170"/>
      <c r="AK556" s="170"/>
      <c r="AL556" s="170"/>
      <c r="AM556" s="170"/>
      <c r="AN556" s="170"/>
      <c r="AO556" s="170"/>
      <c r="AP556" s="170"/>
      <c r="AQ556" s="170"/>
      <c r="AR556" s="170"/>
      <c r="AS556" s="170"/>
      <c r="AT556" s="170"/>
      <c r="AU556" s="170"/>
      <c r="AV556" s="170"/>
      <c r="AW556" s="828"/>
      <c r="AX556" s="726"/>
    </row>
    <row r="557" spans="1:50" ht="15" x14ac:dyDescent="0.25">
      <c r="A557" s="170"/>
      <c r="B557" s="719">
        <v>727</v>
      </c>
      <c r="C557" s="170"/>
      <c r="D557" s="170"/>
      <c r="E557" s="170"/>
      <c r="F557" s="170"/>
      <c r="G557" s="721"/>
      <c r="H557" s="170"/>
      <c r="I557" s="170"/>
      <c r="J557" s="170"/>
      <c r="K557" s="170"/>
      <c r="L557" s="170"/>
      <c r="M557" s="730"/>
      <c r="N557" s="730"/>
      <c r="O557" s="730"/>
      <c r="P557" s="731"/>
      <c r="Q557" s="731"/>
      <c r="R557" s="730"/>
      <c r="S557" s="730"/>
      <c r="T557" s="723"/>
      <c r="U557" s="724"/>
      <c r="V557" s="725"/>
      <c r="W557" s="725"/>
      <c r="X557" s="723"/>
      <c r="Y557" s="723"/>
      <c r="Z557" s="723"/>
      <c r="AA557" s="726"/>
      <c r="AB557" s="726"/>
      <c r="AC557" s="170"/>
      <c r="AD557" s="586"/>
      <c r="AE557" s="586"/>
      <c r="AF557" s="170"/>
      <c r="AG557" s="170"/>
      <c r="AH557" s="170"/>
      <c r="AI557" s="170"/>
      <c r="AJ557" s="170"/>
      <c r="AK557" s="170"/>
      <c r="AL557" s="170"/>
      <c r="AM557" s="170"/>
      <c r="AN557" s="170"/>
      <c r="AO557" s="170"/>
      <c r="AP557" s="170"/>
      <c r="AQ557" s="170"/>
      <c r="AR557" s="170"/>
      <c r="AS557" s="170"/>
      <c r="AT557" s="170"/>
      <c r="AU557" s="170"/>
      <c r="AV557" s="170"/>
      <c r="AW557" s="828"/>
      <c r="AX557" s="726"/>
    </row>
    <row r="558" spans="1:50" ht="15" x14ac:dyDescent="0.25">
      <c r="A558" s="170"/>
      <c r="B558" s="719">
        <v>728</v>
      </c>
      <c r="C558" s="170"/>
      <c r="D558" s="170"/>
      <c r="E558" s="170"/>
      <c r="F558" s="170"/>
      <c r="G558" s="721"/>
      <c r="H558" s="170"/>
      <c r="I558" s="170"/>
      <c r="J558" s="170"/>
      <c r="K558" s="170"/>
      <c r="L558" s="170"/>
      <c r="M558" s="730"/>
      <c r="N558" s="730"/>
      <c r="O558" s="730"/>
      <c r="P558" s="731"/>
      <c r="Q558" s="731"/>
      <c r="R558" s="730"/>
      <c r="S558" s="730"/>
      <c r="T558" s="723"/>
      <c r="U558" s="724"/>
      <c r="V558" s="725"/>
      <c r="W558" s="725"/>
      <c r="X558" s="723"/>
      <c r="Y558" s="723"/>
      <c r="Z558" s="723"/>
      <c r="AA558" s="726"/>
      <c r="AB558" s="726"/>
      <c r="AC558" s="170"/>
      <c r="AD558" s="586"/>
      <c r="AE558" s="586"/>
      <c r="AF558" s="170"/>
      <c r="AG558" s="170"/>
      <c r="AH558" s="170"/>
      <c r="AI558" s="170"/>
      <c r="AJ558" s="170"/>
      <c r="AK558" s="170"/>
      <c r="AL558" s="170"/>
      <c r="AM558" s="170"/>
      <c r="AN558" s="170"/>
      <c r="AO558" s="170"/>
      <c r="AP558" s="170"/>
      <c r="AQ558" s="170"/>
      <c r="AR558" s="170"/>
      <c r="AS558" s="170"/>
      <c r="AT558" s="170"/>
      <c r="AU558" s="170"/>
      <c r="AV558" s="170"/>
      <c r="AW558" s="828"/>
      <c r="AX558" s="726"/>
    </row>
    <row r="559" spans="1:50" ht="15" x14ac:dyDescent="0.25">
      <c r="A559" s="170"/>
      <c r="B559" s="719">
        <v>729</v>
      </c>
      <c r="C559" s="170"/>
      <c r="D559" s="170"/>
      <c r="E559" s="170"/>
      <c r="F559" s="170"/>
      <c r="G559" s="721"/>
      <c r="H559" s="170"/>
      <c r="I559" s="170"/>
      <c r="J559" s="170"/>
      <c r="K559" s="170"/>
      <c r="L559" s="170"/>
      <c r="M559" s="730"/>
      <c r="N559" s="730"/>
      <c r="O559" s="730"/>
      <c r="P559" s="731"/>
      <c r="Q559" s="731"/>
      <c r="R559" s="730"/>
      <c r="S559" s="730"/>
      <c r="T559" s="723"/>
      <c r="U559" s="724"/>
      <c r="V559" s="725"/>
      <c r="W559" s="725"/>
      <c r="X559" s="723"/>
      <c r="Y559" s="723"/>
      <c r="Z559" s="723"/>
      <c r="AA559" s="726"/>
      <c r="AB559" s="726"/>
      <c r="AC559" s="170"/>
      <c r="AD559" s="586"/>
      <c r="AE559" s="586"/>
      <c r="AF559" s="170"/>
      <c r="AG559" s="170"/>
      <c r="AH559" s="170"/>
      <c r="AI559" s="170"/>
      <c r="AJ559" s="170"/>
      <c r="AK559" s="170"/>
      <c r="AL559" s="170"/>
      <c r="AM559" s="170"/>
      <c r="AN559" s="170"/>
      <c r="AO559" s="170"/>
      <c r="AP559" s="170"/>
      <c r="AQ559" s="170"/>
      <c r="AR559" s="170"/>
      <c r="AS559" s="170"/>
      <c r="AT559" s="170"/>
      <c r="AU559" s="170"/>
      <c r="AV559" s="170"/>
      <c r="AW559" s="828"/>
      <c r="AX559" s="726"/>
    </row>
    <row r="560" spans="1:50" ht="15" x14ac:dyDescent="0.25">
      <c r="A560" s="170"/>
      <c r="B560" s="719">
        <v>730</v>
      </c>
      <c r="C560" s="170"/>
      <c r="D560" s="170"/>
      <c r="E560" s="170"/>
      <c r="F560" s="170"/>
      <c r="G560" s="721"/>
      <c r="H560" s="170"/>
      <c r="I560" s="170"/>
      <c r="J560" s="170"/>
      <c r="K560" s="170"/>
      <c r="L560" s="170"/>
      <c r="M560" s="730"/>
      <c r="N560" s="730"/>
      <c r="O560" s="730"/>
      <c r="P560" s="731"/>
      <c r="Q560" s="731"/>
      <c r="R560" s="730"/>
      <c r="S560" s="730"/>
      <c r="T560" s="723"/>
      <c r="U560" s="724"/>
      <c r="V560" s="725"/>
      <c r="W560" s="725"/>
      <c r="X560" s="723"/>
      <c r="Y560" s="723"/>
      <c r="Z560" s="723"/>
      <c r="AA560" s="726"/>
      <c r="AB560" s="726"/>
      <c r="AC560" s="170"/>
      <c r="AD560" s="586"/>
      <c r="AE560" s="586"/>
      <c r="AF560" s="170"/>
      <c r="AG560" s="170"/>
      <c r="AH560" s="170"/>
      <c r="AI560" s="170"/>
      <c r="AJ560" s="170"/>
      <c r="AK560" s="170"/>
      <c r="AL560" s="170"/>
      <c r="AM560" s="170"/>
      <c r="AN560" s="170"/>
      <c r="AO560" s="170"/>
      <c r="AP560" s="170"/>
      <c r="AQ560" s="170"/>
      <c r="AR560" s="170"/>
      <c r="AS560" s="170"/>
      <c r="AT560" s="170"/>
      <c r="AU560" s="170"/>
      <c r="AV560" s="170"/>
      <c r="AW560" s="828"/>
      <c r="AX560" s="726"/>
    </row>
    <row r="561" spans="1:50" ht="15" x14ac:dyDescent="0.25">
      <c r="A561" s="170"/>
      <c r="B561" s="719">
        <v>731</v>
      </c>
      <c r="C561" s="170"/>
      <c r="D561" s="170"/>
      <c r="E561" s="170"/>
      <c r="F561" s="170"/>
      <c r="G561" s="721"/>
      <c r="H561" s="170"/>
      <c r="I561" s="170"/>
      <c r="J561" s="170"/>
      <c r="K561" s="170"/>
      <c r="L561" s="170"/>
      <c r="M561" s="730"/>
      <c r="N561" s="730"/>
      <c r="O561" s="730"/>
      <c r="P561" s="731"/>
      <c r="Q561" s="731"/>
      <c r="R561" s="730"/>
      <c r="S561" s="730"/>
      <c r="T561" s="723"/>
      <c r="U561" s="724"/>
      <c r="V561" s="725"/>
      <c r="W561" s="725"/>
      <c r="X561" s="723"/>
      <c r="Y561" s="723"/>
      <c r="Z561" s="723"/>
      <c r="AA561" s="726"/>
      <c r="AB561" s="726"/>
      <c r="AC561" s="170"/>
      <c r="AD561" s="586"/>
      <c r="AE561" s="586"/>
      <c r="AF561" s="170"/>
      <c r="AG561" s="170"/>
      <c r="AH561" s="170"/>
      <c r="AI561" s="170"/>
      <c r="AJ561" s="170"/>
      <c r="AK561" s="170"/>
      <c r="AL561" s="170"/>
      <c r="AM561" s="170"/>
      <c r="AN561" s="170"/>
      <c r="AO561" s="170"/>
      <c r="AP561" s="170"/>
      <c r="AQ561" s="170"/>
      <c r="AR561" s="170"/>
      <c r="AS561" s="170"/>
      <c r="AT561" s="170"/>
      <c r="AU561" s="170"/>
      <c r="AV561" s="170"/>
      <c r="AW561" s="828"/>
      <c r="AX561" s="726"/>
    </row>
    <row r="562" spans="1:50" ht="15" x14ac:dyDescent="0.25">
      <c r="A562" s="170"/>
      <c r="B562" s="719">
        <v>732</v>
      </c>
      <c r="C562" s="170"/>
      <c r="D562" s="170"/>
      <c r="E562" s="170"/>
      <c r="F562" s="170"/>
      <c r="G562" s="721"/>
      <c r="H562" s="170"/>
      <c r="I562" s="170"/>
      <c r="J562" s="170"/>
      <c r="K562" s="170"/>
      <c r="L562" s="170"/>
      <c r="M562" s="730"/>
      <c r="N562" s="730"/>
      <c r="O562" s="730"/>
      <c r="P562" s="731"/>
      <c r="Q562" s="731"/>
      <c r="R562" s="730"/>
      <c r="S562" s="730"/>
      <c r="T562" s="723"/>
      <c r="U562" s="724"/>
      <c r="V562" s="725"/>
      <c r="W562" s="725"/>
      <c r="X562" s="723"/>
      <c r="Y562" s="723"/>
      <c r="Z562" s="723"/>
      <c r="AA562" s="726"/>
      <c r="AB562" s="726"/>
      <c r="AC562" s="170"/>
      <c r="AD562" s="586"/>
      <c r="AE562" s="586"/>
      <c r="AF562" s="170"/>
      <c r="AG562" s="170"/>
      <c r="AH562" s="170"/>
      <c r="AI562" s="170"/>
      <c r="AJ562" s="170"/>
      <c r="AK562" s="170"/>
      <c r="AL562" s="170"/>
      <c r="AM562" s="170"/>
      <c r="AN562" s="170"/>
      <c r="AO562" s="170"/>
      <c r="AP562" s="170"/>
      <c r="AQ562" s="170"/>
      <c r="AR562" s="170"/>
      <c r="AS562" s="170"/>
      <c r="AT562" s="170"/>
      <c r="AU562" s="170"/>
      <c r="AV562" s="170"/>
      <c r="AW562" s="828"/>
      <c r="AX562" s="726"/>
    </row>
    <row r="563" spans="1:50" ht="15" x14ac:dyDescent="0.25">
      <c r="A563" s="170"/>
      <c r="B563" s="719">
        <v>733</v>
      </c>
      <c r="C563" s="170"/>
      <c r="D563" s="170"/>
      <c r="E563" s="170"/>
      <c r="F563" s="170"/>
      <c r="G563" s="721"/>
      <c r="H563" s="170"/>
      <c r="I563" s="170"/>
      <c r="J563" s="170"/>
      <c r="K563" s="170"/>
      <c r="L563" s="170"/>
      <c r="M563" s="730"/>
      <c r="N563" s="730"/>
      <c r="O563" s="730"/>
      <c r="P563" s="731"/>
      <c r="Q563" s="731"/>
      <c r="R563" s="730"/>
      <c r="S563" s="730"/>
      <c r="T563" s="723"/>
      <c r="U563" s="724"/>
      <c r="V563" s="725"/>
      <c r="W563" s="725"/>
      <c r="X563" s="723"/>
      <c r="Y563" s="723"/>
      <c r="Z563" s="723"/>
      <c r="AA563" s="726"/>
      <c r="AB563" s="726"/>
      <c r="AC563" s="170"/>
      <c r="AD563" s="586"/>
      <c r="AE563" s="586"/>
      <c r="AF563" s="170"/>
      <c r="AG563" s="170"/>
      <c r="AH563" s="170"/>
      <c r="AI563" s="170"/>
      <c r="AJ563" s="170"/>
      <c r="AK563" s="170"/>
      <c r="AL563" s="170"/>
      <c r="AM563" s="170"/>
      <c r="AN563" s="170"/>
      <c r="AO563" s="170"/>
      <c r="AP563" s="170"/>
      <c r="AQ563" s="170"/>
      <c r="AR563" s="170"/>
      <c r="AS563" s="170"/>
      <c r="AT563" s="170"/>
      <c r="AU563" s="170"/>
      <c r="AV563" s="170"/>
      <c r="AW563" s="828"/>
      <c r="AX563" s="726"/>
    </row>
    <row r="564" spans="1:50" ht="15" x14ac:dyDescent="0.25">
      <c r="A564" s="170"/>
      <c r="B564" s="719">
        <v>734</v>
      </c>
      <c r="C564" s="170"/>
      <c r="D564" s="170"/>
      <c r="E564" s="170"/>
      <c r="F564" s="170"/>
      <c r="G564" s="721"/>
      <c r="H564" s="170"/>
      <c r="I564" s="170"/>
      <c r="J564" s="170"/>
      <c r="K564" s="170"/>
      <c r="L564" s="170"/>
      <c r="M564" s="730"/>
      <c r="N564" s="730"/>
      <c r="O564" s="730"/>
      <c r="P564" s="731"/>
      <c r="Q564" s="731"/>
      <c r="R564" s="730"/>
      <c r="S564" s="730"/>
      <c r="T564" s="723"/>
      <c r="U564" s="724"/>
      <c r="V564" s="725"/>
      <c r="W564" s="725"/>
      <c r="X564" s="723"/>
      <c r="Y564" s="723"/>
      <c r="Z564" s="723"/>
      <c r="AA564" s="726"/>
      <c r="AB564" s="726"/>
      <c r="AC564" s="170"/>
      <c r="AD564" s="586"/>
      <c r="AE564" s="586"/>
      <c r="AF564" s="170"/>
      <c r="AG564" s="170"/>
      <c r="AH564" s="170"/>
      <c r="AI564" s="170"/>
      <c r="AJ564" s="170"/>
      <c r="AK564" s="170"/>
      <c r="AL564" s="170"/>
      <c r="AM564" s="170"/>
      <c r="AN564" s="170"/>
      <c r="AO564" s="170"/>
      <c r="AP564" s="170"/>
      <c r="AQ564" s="170"/>
      <c r="AR564" s="170"/>
      <c r="AS564" s="170"/>
      <c r="AT564" s="170"/>
      <c r="AU564" s="170"/>
      <c r="AV564" s="170"/>
      <c r="AW564" s="828"/>
      <c r="AX564" s="726"/>
    </row>
    <row r="565" spans="1:50" ht="15" x14ac:dyDescent="0.25">
      <c r="A565" s="170"/>
      <c r="B565" s="719">
        <v>735</v>
      </c>
      <c r="C565" s="170"/>
      <c r="D565" s="170"/>
      <c r="E565" s="170"/>
      <c r="F565" s="170"/>
      <c r="G565" s="721"/>
      <c r="H565" s="170"/>
      <c r="I565" s="170"/>
      <c r="J565" s="170"/>
      <c r="K565" s="170"/>
      <c r="L565" s="170"/>
      <c r="M565" s="730"/>
      <c r="N565" s="730"/>
      <c r="O565" s="730"/>
      <c r="P565" s="731"/>
      <c r="Q565" s="731"/>
      <c r="R565" s="730"/>
      <c r="S565" s="730"/>
      <c r="T565" s="723"/>
      <c r="U565" s="724"/>
      <c r="V565" s="725"/>
      <c r="W565" s="725"/>
      <c r="X565" s="723"/>
      <c r="Y565" s="723"/>
      <c r="Z565" s="723"/>
      <c r="AA565" s="726"/>
      <c r="AB565" s="726"/>
      <c r="AC565" s="170"/>
      <c r="AD565" s="586"/>
      <c r="AE565" s="586"/>
      <c r="AF565" s="170"/>
      <c r="AG565" s="170"/>
      <c r="AH565" s="170"/>
      <c r="AI565" s="170"/>
      <c r="AJ565" s="170"/>
      <c r="AK565" s="170"/>
      <c r="AL565" s="170"/>
      <c r="AM565" s="170"/>
      <c r="AN565" s="170"/>
      <c r="AO565" s="170"/>
      <c r="AP565" s="170"/>
      <c r="AQ565" s="170"/>
      <c r="AR565" s="170"/>
      <c r="AS565" s="170"/>
      <c r="AT565" s="170"/>
      <c r="AU565" s="170"/>
      <c r="AV565" s="170"/>
      <c r="AW565" s="828"/>
      <c r="AX565" s="726"/>
    </row>
    <row r="566" spans="1:50" ht="15" x14ac:dyDescent="0.25">
      <c r="A566" s="170"/>
      <c r="B566" s="719">
        <v>736</v>
      </c>
      <c r="C566" s="170"/>
      <c r="D566" s="170"/>
      <c r="E566" s="170"/>
      <c r="F566" s="170"/>
      <c r="G566" s="721"/>
      <c r="H566" s="170"/>
      <c r="I566" s="170"/>
      <c r="J566" s="170"/>
      <c r="K566" s="170"/>
      <c r="L566" s="170"/>
      <c r="M566" s="730"/>
      <c r="N566" s="730"/>
      <c r="O566" s="730"/>
      <c r="P566" s="731"/>
      <c r="Q566" s="731"/>
      <c r="R566" s="730"/>
      <c r="S566" s="730"/>
      <c r="T566" s="723"/>
      <c r="U566" s="724"/>
      <c r="V566" s="725"/>
      <c r="W566" s="725"/>
      <c r="X566" s="723"/>
      <c r="Y566" s="723"/>
      <c r="Z566" s="723"/>
      <c r="AA566" s="726"/>
      <c r="AB566" s="726"/>
      <c r="AC566" s="170"/>
      <c r="AD566" s="586"/>
      <c r="AE566" s="586"/>
      <c r="AF566" s="170"/>
      <c r="AG566" s="170"/>
      <c r="AH566" s="170"/>
      <c r="AI566" s="170"/>
      <c r="AJ566" s="170"/>
      <c r="AK566" s="170"/>
      <c r="AL566" s="170"/>
      <c r="AM566" s="170"/>
      <c r="AN566" s="170"/>
      <c r="AO566" s="170"/>
      <c r="AP566" s="170"/>
      <c r="AQ566" s="170"/>
      <c r="AR566" s="170"/>
      <c r="AS566" s="170"/>
      <c r="AT566" s="170"/>
      <c r="AU566" s="170"/>
      <c r="AV566" s="170"/>
      <c r="AW566" s="828"/>
      <c r="AX566" s="726"/>
    </row>
    <row r="567" spans="1:50" ht="15" x14ac:dyDescent="0.25">
      <c r="A567" s="170"/>
      <c r="B567" s="719">
        <v>737</v>
      </c>
      <c r="C567" s="170"/>
      <c r="D567" s="170"/>
      <c r="E567" s="170"/>
      <c r="F567" s="170"/>
      <c r="G567" s="721"/>
      <c r="H567" s="170"/>
      <c r="I567" s="170"/>
      <c r="J567" s="170"/>
      <c r="K567" s="170"/>
      <c r="L567" s="170"/>
      <c r="M567" s="730"/>
      <c r="N567" s="730"/>
      <c r="O567" s="730"/>
      <c r="P567" s="731"/>
      <c r="Q567" s="731"/>
      <c r="R567" s="730"/>
      <c r="S567" s="730"/>
      <c r="T567" s="723"/>
      <c r="U567" s="724"/>
      <c r="V567" s="725"/>
      <c r="W567" s="725"/>
      <c r="X567" s="723"/>
      <c r="Y567" s="723"/>
      <c r="Z567" s="723"/>
      <c r="AA567" s="726"/>
      <c r="AB567" s="726"/>
      <c r="AC567" s="170"/>
      <c r="AD567" s="586"/>
      <c r="AE567" s="586"/>
      <c r="AF567" s="170"/>
      <c r="AG567" s="170"/>
      <c r="AH567" s="170"/>
      <c r="AI567" s="170"/>
      <c r="AJ567" s="170"/>
      <c r="AK567" s="170"/>
      <c r="AL567" s="170"/>
      <c r="AM567" s="170"/>
      <c r="AN567" s="170"/>
      <c r="AO567" s="170"/>
      <c r="AP567" s="170"/>
      <c r="AQ567" s="170"/>
      <c r="AR567" s="170"/>
      <c r="AS567" s="170"/>
      <c r="AT567" s="170"/>
      <c r="AU567" s="170"/>
      <c r="AV567" s="170"/>
      <c r="AW567" s="828"/>
      <c r="AX567" s="726"/>
    </row>
    <row r="568" spans="1:50" ht="15" x14ac:dyDescent="0.25">
      <c r="A568" s="170"/>
      <c r="B568" s="719">
        <v>738</v>
      </c>
      <c r="C568" s="170"/>
      <c r="D568" s="170"/>
      <c r="E568" s="170"/>
      <c r="F568" s="170"/>
      <c r="G568" s="721"/>
      <c r="H568" s="170"/>
      <c r="I568" s="170"/>
      <c r="J568" s="170"/>
      <c r="K568" s="170"/>
      <c r="L568" s="170"/>
      <c r="M568" s="730"/>
      <c r="N568" s="730"/>
      <c r="O568" s="730"/>
      <c r="P568" s="731"/>
      <c r="Q568" s="731"/>
      <c r="R568" s="730"/>
      <c r="S568" s="730"/>
      <c r="T568" s="723"/>
      <c r="U568" s="724"/>
      <c r="V568" s="725"/>
      <c r="W568" s="725"/>
      <c r="X568" s="723"/>
      <c r="Y568" s="723"/>
      <c r="Z568" s="723"/>
      <c r="AA568" s="726"/>
      <c r="AB568" s="726"/>
      <c r="AC568" s="170"/>
      <c r="AD568" s="586"/>
      <c r="AE568" s="586"/>
      <c r="AF568" s="170"/>
      <c r="AG568" s="170"/>
      <c r="AH568" s="170"/>
      <c r="AI568" s="170"/>
      <c r="AJ568" s="170"/>
      <c r="AK568" s="170"/>
      <c r="AL568" s="170"/>
      <c r="AM568" s="170"/>
      <c r="AN568" s="170"/>
      <c r="AO568" s="170"/>
      <c r="AP568" s="170"/>
      <c r="AQ568" s="170"/>
      <c r="AR568" s="170"/>
      <c r="AS568" s="170"/>
      <c r="AT568" s="170"/>
      <c r="AU568" s="170"/>
      <c r="AV568" s="170"/>
      <c r="AW568" s="828"/>
      <c r="AX568" s="726"/>
    </row>
    <row r="569" spans="1:50" ht="15" x14ac:dyDescent="0.25">
      <c r="A569" s="170"/>
      <c r="B569" s="719">
        <v>739</v>
      </c>
      <c r="C569" s="170"/>
      <c r="D569" s="170"/>
      <c r="E569" s="170"/>
      <c r="F569" s="170"/>
      <c r="G569" s="721"/>
      <c r="H569" s="170"/>
      <c r="I569" s="170"/>
      <c r="J569" s="170"/>
      <c r="K569" s="170"/>
      <c r="L569" s="170"/>
      <c r="M569" s="730"/>
      <c r="N569" s="730"/>
      <c r="O569" s="730"/>
      <c r="P569" s="731"/>
      <c r="Q569" s="731"/>
      <c r="R569" s="730"/>
      <c r="S569" s="730"/>
      <c r="T569" s="723"/>
      <c r="U569" s="724"/>
      <c r="V569" s="725"/>
      <c r="W569" s="725"/>
      <c r="X569" s="723"/>
      <c r="Y569" s="723"/>
      <c r="Z569" s="723"/>
      <c r="AA569" s="726"/>
      <c r="AB569" s="726"/>
      <c r="AC569" s="170"/>
      <c r="AD569" s="586"/>
      <c r="AE569" s="586"/>
      <c r="AF569" s="170"/>
      <c r="AG569" s="170"/>
      <c r="AH569" s="170"/>
      <c r="AI569" s="170"/>
      <c r="AJ569" s="170"/>
      <c r="AK569" s="170"/>
      <c r="AL569" s="170"/>
      <c r="AM569" s="170"/>
      <c r="AN569" s="170"/>
      <c r="AO569" s="170"/>
      <c r="AP569" s="170"/>
      <c r="AQ569" s="170"/>
      <c r="AR569" s="170"/>
      <c r="AS569" s="170"/>
      <c r="AT569" s="170"/>
      <c r="AU569" s="170"/>
      <c r="AV569" s="170"/>
      <c r="AW569" s="828"/>
      <c r="AX569" s="726"/>
    </row>
    <row r="570" spans="1:50" ht="15" x14ac:dyDescent="0.25">
      <c r="A570" s="170"/>
      <c r="B570" s="719">
        <v>740</v>
      </c>
      <c r="C570" s="170"/>
      <c r="D570" s="170"/>
      <c r="E570" s="170"/>
      <c r="F570" s="170"/>
      <c r="G570" s="721"/>
      <c r="H570" s="170"/>
      <c r="I570" s="170"/>
      <c r="J570" s="170"/>
      <c r="K570" s="170"/>
      <c r="L570" s="170"/>
      <c r="M570" s="730"/>
      <c r="N570" s="730"/>
      <c r="O570" s="730"/>
      <c r="P570" s="731"/>
      <c r="Q570" s="731"/>
      <c r="R570" s="730"/>
      <c r="S570" s="730"/>
      <c r="T570" s="723"/>
      <c r="U570" s="724"/>
      <c r="V570" s="725"/>
      <c r="W570" s="725"/>
      <c r="X570" s="723"/>
      <c r="Y570" s="723"/>
      <c r="Z570" s="723"/>
      <c r="AA570" s="726"/>
      <c r="AB570" s="726"/>
      <c r="AC570" s="170"/>
      <c r="AD570" s="586"/>
      <c r="AE570" s="586"/>
      <c r="AF570" s="170"/>
      <c r="AG570" s="170"/>
      <c r="AH570" s="170"/>
      <c r="AI570" s="170"/>
      <c r="AJ570" s="170"/>
      <c r="AK570" s="170"/>
      <c r="AL570" s="170"/>
      <c r="AM570" s="170"/>
      <c r="AN570" s="170"/>
      <c r="AO570" s="170"/>
      <c r="AP570" s="170"/>
      <c r="AQ570" s="170"/>
      <c r="AR570" s="170"/>
      <c r="AS570" s="170"/>
      <c r="AT570" s="170"/>
      <c r="AU570" s="170"/>
      <c r="AV570" s="170"/>
      <c r="AW570" s="828"/>
      <c r="AX570" s="726"/>
    </row>
    <row r="571" spans="1:50" ht="15" x14ac:dyDescent="0.25">
      <c r="A571" s="170"/>
      <c r="B571" s="719">
        <v>741</v>
      </c>
      <c r="C571" s="170"/>
      <c r="D571" s="170"/>
      <c r="E571" s="170"/>
      <c r="F571" s="170"/>
      <c r="G571" s="721"/>
      <c r="H571" s="170"/>
      <c r="I571" s="170"/>
      <c r="J571" s="170"/>
      <c r="K571" s="170"/>
      <c r="L571" s="170"/>
      <c r="M571" s="730"/>
      <c r="N571" s="730"/>
      <c r="O571" s="730"/>
      <c r="P571" s="731"/>
      <c r="Q571" s="731"/>
      <c r="R571" s="730"/>
      <c r="S571" s="730"/>
      <c r="T571" s="723"/>
      <c r="U571" s="724"/>
      <c r="V571" s="725"/>
      <c r="W571" s="725"/>
      <c r="X571" s="723"/>
      <c r="Y571" s="723"/>
      <c r="Z571" s="723"/>
      <c r="AA571" s="726"/>
      <c r="AB571" s="726"/>
      <c r="AC571" s="170"/>
      <c r="AD571" s="586"/>
      <c r="AE571" s="586"/>
      <c r="AF571" s="170"/>
      <c r="AG571" s="170"/>
      <c r="AH571" s="170"/>
      <c r="AI571" s="170"/>
      <c r="AJ571" s="170"/>
      <c r="AK571" s="170"/>
      <c r="AL571" s="170"/>
      <c r="AM571" s="170"/>
      <c r="AN571" s="170"/>
      <c r="AO571" s="170"/>
      <c r="AP571" s="170"/>
      <c r="AQ571" s="170"/>
      <c r="AR571" s="170"/>
      <c r="AS571" s="170"/>
      <c r="AT571" s="170"/>
      <c r="AU571" s="170"/>
      <c r="AV571" s="170"/>
      <c r="AW571" s="828"/>
      <c r="AX571" s="726"/>
    </row>
    <row r="572" spans="1:50" ht="15" x14ac:dyDescent="0.25">
      <c r="A572" s="170"/>
      <c r="B572" s="719">
        <v>742</v>
      </c>
      <c r="C572" s="170"/>
      <c r="D572" s="170"/>
      <c r="E572" s="170"/>
      <c r="F572" s="170"/>
      <c r="G572" s="721"/>
      <c r="H572" s="170"/>
      <c r="I572" s="170"/>
      <c r="J572" s="170"/>
      <c r="K572" s="170"/>
      <c r="L572" s="170"/>
      <c r="M572" s="730"/>
      <c r="N572" s="730"/>
      <c r="O572" s="730"/>
      <c r="P572" s="731"/>
      <c r="Q572" s="731"/>
      <c r="R572" s="730"/>
      <c r="S572" s="730"/>
      <c r="T572" s="723"/>
      <c r="U572" s="724"/>
      <c r="V572" s="725"/>
      <c r="W572" s="725"/>
      <c r="X572" s="723"/>
      <c r="Y572" s="723"/>
      <c r="Z572" s="723"/>
      <c r="AA572" s="726"/>
      <c r="AB572" s="726"/>
      <c r="AC572" s="170"/>
      <c r="AD572" s="586"/>
      <c r="AE572" s="586"/>
      <c r="AF572" s="170"/>
      <c r="AG572" s="170"/>
      <c r="AH572" s="170"/>
      <c r="AI572" s="170"/>
      <c r="AJ572" s="170"/>
      <c r="AK572" s="170"/>
      <c r="AL572" s="170"/>
      <c r="AM572" s="170"/>
      <c r="AN572" s="170"/>
      <c r="AO572" s="170"/>
      <c r="AP572" s="170"/>
      <c r="AQ572" s="170"/>
      <c r="AR572" s="170"/>
      <c r="AS572" s="170"/>
      <c r="AT572" s="170"/>
      <c r="AU572" s="170"/>
      <c r="AV572" s="170"/>
      <c r="AW572" s="828"/>
      <c r="AX572" s="726"/>
    </row>
    <row r="573" spans="1:50" ht="15" x14ac:dyDescent="0.25">
      <c r="A573" s="170"/>
      <c r="B573" s="719">
        <v>743</v>
      </c>
      <c r="C573" s="170"/>
      <c r="D573" s="170"/>
      <c r="E573" s="170"/>
      <c r="F573" s="170"/>
      <c r="G573" s="721"/>
      <c r="H573" s="170"/>
      <c r="I573" s="170"/>
      <c r="J573" s="170"/>
      <c r="K573" s="170"/>
      <c r="L573" s="170"/>
      <c r="M573" s="730"/>
      <c r="N573" s="730"/>
      <c r="O573" s="730"/>
      <c r="P573" s="731"/>
      <c r="Q573" s="731"/>
      <c r="R573" s="730"/>
      <c r="S573" s="730"/>
      <c r="T573" s="723"/>
      <c r="U573" s="724"/>
      <c r="V573" s="725"/>
      <c r="W573" s="725"/>
      <c r="X573" s="723"/>
      <c r="Y573" s="723"/>
      <c r="Z573" s="723"/>
      <c r="AA573" s="726"/>
      <c r="AB573" s="726"/>
      <c r="AC573" s="170"/>
      <c r="AD573" s="586"/>
      <c r="AE573" s="586"/>
      <c r="AF573" s="170"/>
      <c r="AG573" s="170"/>
      <c r="AH573" s="170"/>
      <c r="AI573" s="170"/>
      <c r="AJ573" s="170"/>
      <c r="AK573" s="170"/>
      <c r="AL573" s="170"/>
      <c r="AM573" s="170"/>
      <c r="AN573" s="170"/>
      <c r="AO573" s="170"/>
      <c r="AP573" s="170"/>
      <c r="AQ573" s="170"/>
      <c r="AR573" s="170"/>
      <c r="AS573" s="170"/>
      <c r="AT573" s="170"/>
      <c r="AU573" s="170"/>
      <c r="AV573" s="170"/>
      <c r="AW573" s="828"/>
      <c r="AX573" s="726"/>
    </row>
    <row r="574" spans="1:50" ht="15" x14ac:dyDescent="0.25">
      <c r="A574" s="170"/>
      <c r="B574" s="719">
        <v>744</v>
      </c>
      <c r="C574" s="170"/>
      <c r="D574" s="170"/>
      <c r="E574" s="170"/>
      <c r="F574" s="170"/>
      <c r="G574" s="721"/>
      <c r="H574" s="170"/>
      <c r="I574" s="170"/>
      <c r="J574" s="170"/>
      <c r="K574" s="170"/>
      <c r="L574" s="170"/>
      <c r="M574" s="730"/>
      <c r="N574" s="730"/>
      <c r="O574" s="730"/>
      <c r="P574" s="731"/>
      <c r="Q574" s="731"/>
      <c r="R574" s="730"/>
      <c r="S574" s="730"/>
      <c r="T574" s="723"/>
      <c r="U574" s="724"/>
      <c r="V574" s="725"/>
      <c r="W574" s="725"/>
      <c r="X574" s="723"/>
      <c r="Y574" s="723"/>
      <c r="Z574" s="723"/>
      <c r="AA574" s="726"/>
      <c r="AB574" s="726"/>
      <c r="AC574" s="170"/>
      <c r="AD574" s="586"/>
      <c r="AE574" s="586"/>
      <c r="AF574" s="170"/>
      <c r="AG574" s="170"/>
      <c r="AH574" s="170"/>
      <c r="AI574" s="170"/>
      <c r="AJ574" s="170"/>
      <c r="AK574" s="170"/>
      <c r="AL574" s="170"/>
      <c r="AM574" s="170"/>
      <c r="AN574" s="170"/>
      <c r="AO574" s="170"/>
      <c r="AP574" s="170"/>
      <c r="AQ574" s="170"/>
      <c r="AR574" s="170"/>
      <c r="AS574" s="170"/>
      <c r="AT574" s="170"/>
      <c r="AU574" s="170"/>
      <c r="AV574" s="170"/>
      <c r="AW574" s="828"/>
      <c r="AX574" s="726"/>
    </row>
    <row r="575" spans="1:50" ht="15" x14ac:dyDescent="0.25">
      <c r="A575" s="170"/>
      <c r="B575" s="719">
        <v>745</v>
      </c>
      <c r="C575" s="170"/>
      <c r="D575" s="170"/>
      <c r="E575" s="170"/>
      <c r="F575" s="170"/>
      <c r="G575" s="721"/>
      <c r="H575" s="170"/>
      <c r="I575" s="170"/>
      <c r="J575" s="170"/>
      <c r="K575" s="170"/>
      <c r="L575" s="170"/>
      <c r="M575" s="730"/>
      <c r="N575" s="730"/>
      <c r="O575" s="730"/>
      <c r="P575" s="731"/>
      <c r="Q575" s="731"/>
      <c r="R575" s="730"/>
      <c r="S575" s="730"/>
      <c r="T575" s="723"/>
      <c r="U575" s="724"/>
      <c r="V575" s="725"/>
      <c r="W575" s="725"/>
      <c r="X575" s="723"/>
      <c r="Y575" s="723"/>
      <c r="Z575" s="723"/>
      <c r="AA575" s="726"/>
      <c r="AB575" s="726"/>
      <c r="AC575" s="170"/>
      <c r="AD575" s="586"/>
      <c r="AE575" s="586"/>
      <c r="AF575" s="170"/>
      <c r="AG575" s="170"/>
      <c r="AH575" s="170"/>
      <c r="AI575" s="170"/>
      <c r="AJ575" s="170"/>
      <c r="AK575" s="170"/>
      <c r="AL575" s="170"/>
      <c r="AM575" s="170"/>
      <c r="AN575" s="170"/>
      <c r="AO575" s="170"/>
      <c r="AP575" s="170"/>
      <c r="AQ575" s="170"/>
      <c r="AR575" s="170"/>
      <c r="AS575" s="170"/>
      <c r="AT575" s="170"/>
      <c r="AU575" s="170"/>
      <c r="AV575" s="170"/>
      <c r="AW575" s="828"/>
      <c r="AX575" s="726"/>
    </row>
    <row r="576" spans="1:50" ht="15" x14ac:dyDescent="0.25">
      <c r="A576" s="170"/>
      <c r="B576" s="719">
        <v>746</v>
      </c>
      <c r="C576" s="170"/>
      <c r="D576" s="170"/>
      <c r="E576" s="170"/>
      <c r="F576" s="170"/>
      <c r="G576" s="721"/>
      <c r="H576" s="170"/>
      <c r="I576" s="170"/>
      <c r="J576" s="170"/>
      <c r="K576" s="170"/>
      <c r="L576" s="170"/>
      <c r="M576" s="730"/>
      <c r="N576" s="730"/>
      <c r="O576" s="730"/>
      <c r="P576" s="731"/>
      <c r="Q576" s="731"/>
      <c r="R576" s="730"/>
      <c r="S576" s="730"/>
      <c r="T576" s="723"/>
      <c r="U576" s="724"/>
      <c r="V576" s="725"/>
      <c r="W576" s="725"/>
      <c r="X576" s="723"/>
      <c r="Y576" s="723"/>
      <c r="Z576" s="723"/>
      <c r="AA576" s="726"/>
      <c r="AB576" s="726"/>
      <c r="AC576" s="170"/>
      <c r="AD576" s="586"/>
      <c r="AE576" s="586"/>
      <c r="AF576" s="170"/>
      <c r="AG576" s="170"/>
      <c r="AH576" s="170"/>
      <c r="AI576" s="170"/>
      <c r="AJ576" s="170"/>
      <c r="AK576" s="170"/>
      <c r="AL576" s="170"/>
      <c r="AM576" s="170"/>
      <c r="AN576" s="170"/>
      <c r="AO576" s="170"/>
      <c r="AP576" s="170"/>
      <c r="AQ576" s="170"/>
      <c r="AR576" s="170"/>
      <c r="AS576" s="170"/>
      <c r="AT576" s="170"/>
      <c r="AU576" s="170"/>
      <c r="AV576" s="170"/>
      <c r="AW576" s="828"/>
      <c r="AX576" s="726"/>
    </row>
    <row r="577" spans="1:50" ht="15" x14ac:dyDescent="0.25">
      <c r="A577" s="170"/>
      <c r="B577" s="719">
        <v>747</v>
      </c>
      <c r="C577" s="170"/>
      <c r="D577" s="170"/>
      <c r="E577" s="170"/>
      <c r="F577" s="170"/>
      <c r="G577" s="721"/>
      <c r="H577" s="170"/>
      <c r="I577" s="170"/>
      <c r="J577" s="170"/>
      <c r="K577" s="170"/>
      <c r="L577" s="170"/>
      <c r="M577" s="730"/>
      <c r="N577" s="730"/>
      <c r="O577" s="730"/>
      <c r="P577" s="731"/>
      <c r="Q577" s="731"/>
      <c r="R577" s="730"/>
      <c r="S577" s="730"/>
      <c r="T577" s="723"/>
      <c r="U577" s="724"/>
      <c r="V577" s="725"/>
      <c r="W577" s="725"/>
      <c r="X577" s="723"/>
      <c r="Y577" s="723"/>
      <c r="Z577" s="723"/>
      <c r="AA577" s="726"/>
      <c r="AB577" s="726"/>
      <c r="AC577" s="170"/>
      <c r="AD577" s="586"/>
      <c r="AE577" s="586"/>
      <c r="AF577" s="170"/>
      <c r="AG577" s="170"/>
      <c r="AH577" s="170"/>
      <c r="AI577" s="170"/>
      <c r="AJ577" s="170"/>
      <c r="AK577" s="170"/>
      <c r="AL577" s="170"/>
      <c r="AM577" s="170"/>
      <c r="AN577" s="170"/>
      <c r="AO577" s="170"/>
      <c r="AP577" s="170"/>
      <c r="AQ577" s="170"/>
      <c r="AR577" s="170"/>
      <c r="AS577" s="170"/>
      <c r="AT577" s="170"/>
      <c r="AU577" s="170"/>
      <c r="AV577" s="170"/>
      <c r="AW577" s="828"/>
      <c r="AX577" s="726"/>
    </row>
    <row r="578" spans="1:50" ht="15" x14ac:dyDescent="0.25">
      <c r="A578" s="170"/>
      <c r="B578" s="719">
        <v>748</v>
      </c>
      <c r="C578" s="170"/>
      <c r="D578" s="170"/>
      <c r="E578" s="170"/>
      <c r="F578" s="170"/>
      <c r="G578" s="721"/>
      <c r="H578" s="170"/>
      <c r="I578" s="170"/>
      <c r="J578" s="170"/>
      <c r="K578" s="170"/>
      <c r="L578" s="170"/>
      <c r="M578" s="730"/>
      <c r="N578" s="730"/>
      <c r="O578" s="730"/>
      <c r="P578" s="731"/>
      <c r="Q578" s="731"/>
      <c r="R578" s="730"/>
      <c r="S578" s="730"/>
      <c r="T578" s="723"/>
      <c r="U578" s="724"/>
      <c r="V578" s="725"/>
      <c r="W578" s="725"/>
      <c r="X578" s="723"/>
      <c r="Y578" s="723"/>
      <c r="Z578" s="723"/>
      <c r="AA578" s="726"/>
      <c r="AB578" s="726"/>
      <c r="AC578" s="170"/>
      <c r="AD578" s="586"/>
      <c r="AE578" s="586"/>
      <c r="AF578" s="170"/>
      <c r="AG578" s="170"/>
      <c r="AH578" s="170"/>
      <c r="AI578" s="170"/>
      <c r="AJ578" s="170"/>
      <c r="AK578" s="170"/>
      <c r="AL578" s="170"/>
      <c r="AM578" s="170"/>
      <c r="AN578" s="170"/>
      <c r="AO578" s="170"/>
      <c r="AP578" s="170"/>
      <c r="AQ578" s="170"/>
      <c r="AR578" s="170"/>
      <c r="AS578" s="170"/>
      <c r="AT578" s="170"/>
      <c r="AU578" s="170"/>
      <c r="AV578" s="170"/>
      <c r="AW578" s="828"/>
      <c r="AX578" s="726"/>
    </row>
    <row r="579" spans="1:50" ht="15" x14ac:dyDescent="0.25">
      <c r="A579" s="170"/>
      <c r="B579" s="719">
        <v>749</v>
      </c>
      <c r="C579" s="170"/>
      <c r="D579" s="170"/>
      <c r="E579" s="170"/>
      <c r="F579" s="170"/>
      <c r="G579" s="721"/>
      <c r="H579" s="170"/>
      <c r="I579" s="170"/>
      <c r="J579" s="170"/>
      <c r="K579" s="170"/>
      <c r="L579" s="170"/>
      <c r="M579" s="730"/>
      <c r="N579" s="730"/>
      <c r="O579" s="730"/>
      <c r="P579" s="731"/>
      <c r="Q579" s="731"/>
      <c r="R579" s="730"/>
      <c r="S579" s="730"/>
      <c r="T579" s="723"/>
      <c r="U579" s="724"/>
      <c r="V579" s="725"/>
      <c r="W579" s="725"/>
      <c r="X579" s="723"/>
      <c r="Y579" s="723"/>
      <c r="Z579" s="723"/>
      <c r="AA579" s="726"/>
      <c r="AB579" s="726"/>
      <c r="AC579" s="170"/>
      <c r="AD579" s="586"/>
      <c r="AE579" s="586"/>
      <c r="AF579" s="170"/>
      <c r="AG579" s="170"/>
      <c r="AH579" s="170"/>
      <c r="AI579" s="170"/>
      <c r="AJ579" s="170"/>
      <c r="AK579" s="170"/>
      <c r="AL579" s="170"/>
      <c r="AM579" s="170"/>
      <c r="AN579" s="170"/>
      <c r="AO579" s="170"/>
      <c r="AP579" s="170"/>
      <c r="AQ579" s="170"/>
      <c r="AR579" s="170"/>
      <c r="AS579" s="170"/>
      <c r="AT579" s="170"/>
      <c r="AU579" s="170"/>
      <c r="AV579" s="170"/>
      <c r="AW579" s="828"/>
      <c r="AX579" s="726"/>
    </row>
    <row r="580" spans="1:50" ht="15" x14ac:dyDescent="0.25">
      <c r="A580" s="170"/>
      <c r="B580" s="719">
        <v>750</v>
      </c>
      <c r="C580" s="170"/>
      <c r="D580" s="170"/>
      <c r="E580" s="170"/>
      <c r="F580" s="170"/>
      <c r="G580" s="721"/>
      <c r="H580" s="170"/>
      <c r="I580" s="170"/>
      <c r="J580" s="170"/>
      <c r="K580" s="170"/>
      <c r="L580" s="170"/>
      <c r="M580" s="730"/>
      <c r="N580" s="730"/>
      <c r="O580" s="730"/>
      <c r="P580" s="731"/>
      <c r="Q580" s="731"/>
      <c r="R580" s="730"/>
      <c r="S580" s="730"/>
      <c r="T580" s="723"/>
      <c r="U580" s="724"/>
      <c r="V580" s="725"/>
      <c r="W580" s="725"/>
      <c r="X580" s="723"/>
      <c r="Y580" s="723"/>
      <c r="Z580" s="723"/>
      <c r="AA580" s="726"/>
      <c r="AB580" s="726"/>
      <c r="AC580" s="170"/>
      <c r="AD580" s="586"/>
      <c r="AE580" s="586"/>
      <c r="AF580" s="170"/>
      <c r="AG580" s="170"/>
      <c r="AH580" s="170"/>
      <c r="AI580" s="170"/>
      <c r="AJ580" s="170"/>
      <c r="AK580" s="170"/>
      <c r="AL580" s="170"/>
      <c r="AM580" s="170"/>
      <c r="AN580" s="170"/>
      <c r="AO580" s="170"/>
      <c r="AP580" s="170"/>
      <c r="AQ580" s="170"/>
      <c r="AR580" s="170"/>
      <c r="AS580" s="170"/>
      <c r="AT580" s="170"/>
      <c r="AU580" s="170"/>
      <c r="AV580" s="170"/>
      <c r="AW580" s="828"/>
      <c r="AX580" s="726"/>
    </row>
    <row r="581" spans="1:50" ht="15" x14ac:dyDescent="0.25">
      <c r="A581" s="170"/>
      <c r="B581" s="719">
        <v>751</v>
      </c>
      <c r="C581" s="170"/>
      <c r="D581" s="170"/>
      <c r="E581" s="170"/>
      <c r="F581" s="170"/>
      <c r="G581" s="721"/>
      <c r="H581" s="170"/>
      <c r="I581" s="170"/>
      <c r="J581" s="170"/>
      <c r="K581" s="170"/>
      <c r="L581" s="170"/>
      <c r="M581" s="730"/>
      <c r="N581" s="730"/>
      <c r="O581" s="730"/>
      <c r="P581" s="731"/>
      <c r="Q581" s="731"/>
      <c r="R581" s="730"/>
      <c r="S581" s="730"/>
      <c r="T581" s="723"/>
      <c r="U581" s="724"/>
      <c r="V581" s="725"/>
      <c r="W581" s="725"/>
      <c r="X581" s="723"/>
      <c r="Y581" s="723"/>
      <c r="Z581" s="723"/>
      <c r="AA581" s="726"/>
      <c r="AB581" s="726"/>
      <c r="AC581" s="170"/>
      <c r="AD581" s="586"/>
      <c r="AE581" s="586"/>
      <c r="AF581" s="170"/>
      <c r="AG581" s="170"/>
      <c r="AH581" s="170"/>
      <c r="AI581" s="170"/>
      <c r="AJ581" s="170"/>
      <c r="AK581" s="170"/>
      <c r="AL581" s="170"/>
      <c r="AM581" s="170"/>
      <c r="AN581" s="170"/>
      <c r="AO581" s="170"/>
      <c r="AP581" s="170"/>
      <c r="AQ581" s="170"/>
      <c r="AR581" s="170"/>
      <c r="AS581" s="170"/>
      <c r="AT581" s="170"/>
      <c r="AU581" s="170"/>
      <c r="AV581" s="170"/>
      <c r="AW581" s="828"/>
      <c r="AX581" s="726"/>
    </row>
    <row r="582" spans="1:50" ht="15" x14ac:dyDescent="0.25">
      <c r="A582" s="170"/>
      <c r="B582" s="719">
        <v>752</v>
      </c>
      <c r="C582" s="170"/>
      <c r="D582" s="170"/>
      <c r="E582" s="170"/>
      <c r="F582" s="170"/>
      <c r="G582" s="721"/>
      <c r="H582" s="170"/>
      <c r="I582" s="170"/>
      <c r="J582" s="170"/>
      <c r="K582" s="170"/>
      <c r="L582" s="170"/>
      <c r="M582" s="730"/>
      <c r="N582" s="730"/>
      <c r="O582" s="730"/>
      <c r="P582" s="731"/>
      <c r="Q582" s="731"/>
      <c r="R582" s="730"/>
      <c r="S582" s="730"/>
      <c r="T582" s="723"/>
      <c r="U582" s="724"/>
      <c r="V582" s="725"/>
      <c r="W582" s="725"/>
      <c r="X582" s="723"/>
      <c r="Y582" s="723"/>
      <c r="Z582" s="723"/>
      <c r="AA582" s="726"/>
      <c r="AB582" s="726"/>
      <c r="AC582" s="170"/>
      <c r="AD582" s="586"/>
      <c r="AE582" s="586"/>
      <c r="AF582" s="170"/>
      <c r="AG582" s="170"/>
      <c r="AH582" s="170"/>
      <c r="AI582" s="170"/>
      <c r="AJ582" s="170"/>
      <c r="AK582" s="170"/>
      <c r="AL582" s="170"/>
      <c r="AM582" s="170"/>
      <c r="AN582" s="170"/>
      <c r="AO582" s="170"/>
      <c r="AP582" s="170"/>
      <c r="AQ582" s="170"/>
      <c r="AR582" s="170"/>
      <c r="AS582" s="170"/>
      <c r="AT582" s="170"/>
      <c r="AU582" s="170"/>
      <c r="AV582" s="170"/>
      <c r="AW582" s="828"/>
      <c r="AX582" s="726"/>
    </row>
    <row r="583" spans="1:50" ht="15" x14ac:dyDescent="0.25">
      <c r="A583" s="170"/>
      <c r="B583" s="719">
        <v>753</v>
      </c>
      <c r="C583" s="170"/>
      <c r="D583" s="170"/>
      <c r="E583" s="170"/>
      <c r="F583" s="170"/>
      <c r="G583" s="721"/>
      <c r="H583" s="170"/>
      <c r="I583" s="170"/>
      <c r="J583" s="170"/>
      <c r="K583" s="170"/>
      <c r="L583" s="170"/>
      <c r="M583" s="730"/>
      <c r="N583" s="730"/>
      <c r="O583" s="730"/>
      <c r="P583" s="731"/>
      <c r="Q583" s="731"/>
      <c r="R583" s="730"/>
      <c r="S583" s="730"/>
      <c r="T583" s="723"/>
      <c r="U583" s="724"/>
      <c r="V583" s="725"/>
      <c r="W583" s="725"/>
      <c r="X583" s="723"/>
      <c r="Y583" s="723"/>
      <c r="Z583" s="723"/>
      <c r="AA583" s="726"/>
      <c r="AB583" s="726"/>
      <c r="AC583" s="170"/>
      <c r="AD583" s="586"/>
      <c r="AE583" s="586"/>
      <c r="AF583" s="170"/>
      <c r="AG583" s="170"/>
      <c r="AH583" s="170"/>
      <c r="AI583" s="170"/>
      <c r="AJ583" s="170"/>
      <c r="AK583" s="170"/>
      <c r="AL583" s="170"/>
      <c r="AM583" s="170"/>
      <c r="AN583" s="170"/>
      <c r="AO583" s="170"/>
      <c r="AP583" s="170"/>
      <c r="AQ583" s="170"/>
      <c r="AR583" s="170"/>
      <c r="AS583" s="170"/>
      <c r="AT583" s="170"/>
      <c r="AU583" s="170"/>
      <c r="AV583" s="170"/>
      <c r="AW583" s="828"/>
      <c r="AX583" s="726"/>
    </row>
    <row r="584" spans="1:50" ht="15" x14ac:dyDescent="0.25">
      <c r="A584" s="170"/>
      <c r="B584" s="719">
        <v>754</v>
      </c>
      <c r="C584" s="170"/>
      <c r="D584" s="170"/>
      <c r="E584" s="170"/>
      <c r="F584" s="170"/>
      <c r="G584" s="721"/>
      <c r="H584" s="170"/>
      <c r="I584" s="170"/>
      <c r="J584" s="170"/>
      <c r="K584" s="170"/>
      <c r="L584" s="170"/>
      <c r="M584" s="730"/>
      <c r="N584" s="730"/>
      <c r="O584" s="730"/>
      <c r="P584" s="731"/>
      <c r="Q584" s="731"/>
      <c r="R584" s="730"/>
      <c r="S584" s="730"/>
      <c r="T584" s="723"/>
      <c r="U584" s="724"/>
      <c r="V584" s="725"/>
      <c r="W584" s="725"/>
      <c r="X584" s="723"/>
      <c r="Y584" s="723"/>
      <c r="Z584" s="723"/>
      <c r="AA584" s="726"/>
      <c r="AB584" s="726"/>
      <c r="AC584" s="170"/>
      <c r="AD584" s="586"/>
      <c r="AE584" s="586"/>
      <c r="AF584" s="170"/>
      <c r="AG584" s="170"/>
      <c r="AH584" s="170"/>
      <c r="AI584" s="170"/>
      <c r="AJ584" s="170"/>
      <c r="AK584" s="170"/>
      <c r="AL584" s="170"/>
      <c r="AM584" s="170"/>
      <c r="AN584" s="170"/>
      <c r="AO584" s="170"/>
      <c r="AP584" s="170"/>
      <c r="AQ584" s="170"/>
      <c r="AR584" s="170"/>
      <c r="AS584" s="170"/>
      <c r="AT584" s="170"/>
      <c r="AU584" s="170"/>
      <c r="AV584" s="170"/>
      <c r="AW584" s="828"/>
      <c r="AX584" s="726"/>
    </row>
    <row r="585" spans="1:50" ht="15" x14ac:dyDescent="0.25">
      <c r="A585" s="170"/>
      <c r="B585" s="719">
        <v>755</v>
      </c>
      <c r="C585" s="170"/>
      <c r="D585" s="170"/>
      <c r="E585" s="170"/>
      <c r="F585" s="170"/>
      <c r="G585" s="721"/>
      <c r="H585" s="170"/>
      <c r="I585" s="170"/>
      <c r="J585" s="170"/>
      <c r="K585" s="170"/>
      <c r="L585" s="170"/>
      <c r="M585" s="730"/>
      <c r="N585" s="730"/>
      <c r="O585" s="730"/>
      <c r="P585" s="731"/>
      <c r="Q585" s="731"/>
      <c r="R585" s="730"/>
      <c r="S585" s="730"/>
      <c r="T585" s="723"/>
      <c r="U585" s="724"/>
      <c r="V585" s="725"/>
      <c r="W585" s="725"/>
      <c r="X585" s="723"/>
      <c r="Y585" s="723"/>
      <c r="Z585" s="723"/>
      <c r="AA585" s="726"/>
      <c r="AB585" s="726"/>
      <c r="AC585" s="170"/>
      <c r="AD585" s="586"/>
      <c r="AE585" s="586"/>
      <c r="AF585" s="170"/>
      <c r="AG585" s="170"/>
      <c r="AH585" s="170"/>
      <c r="AI585" s="170"/>
      <c r="AJ585" s="170"/>
      <c r="AK585" s="170"/>
      <c r="AL585" s="170"/>
      <c r="AM585" s="170"/>
      <c r="AN585" s="170"/>
      <c r="AO585" s="170"/>
      <c r="AP585" s="170"/>
      <c r="AQ585" s="170"/>
      <c r="AR585" s="170"/>
      <c r="AS585" s="170"/>
      <c r="AT585" s="170"/>
      <c r="AU585" s="170"/>
      <c r="AV585" s="170"/>
      <c r="AW585" s="828"/>
      <c r="AX585" s="726"/>
    </row>
    <row r="586" spans="1:50" ht="15" x14ac:dyDescent="0.25">
      <c r="A586" s="170"/>
      <c r="B586" s="719">
        <v>756</v>
      </c>
      <c r="C586" s="170"/>
      <c r="D586" s="170"/>
      <c r="E586" s="170"/>
      <c r="F586" s="170"/>
      <c r="G586" s="721"/>
      <c r="H586" s="170"/>
      <c r="I586" s="170"/>
      <c r="J586" s="170"/>
      <c r="K586" s="170"/>
      <c r="L586" s="170"/>
      <c r="M586" s="730"/>
      <c r="N586" s="730"/>
      <c r="O586" s="730"/>
      <c r="P586" s="731"/>
      <c r="Q586" s="731"/>
      <c r="R586" s="730"/>
      <c r="S586" s="730"/>
      <c r="T586" s="723"/>
      <c r="U586" s="724"/>
      <c r="V586" s="725"/>
      <c r="W586" s="725"/>
      <c r="X586" s="723"/>
      <c r="Y586" s="723"/>
      <c r="Z586" s="723"/>
      <c r="AA586" s="726"/>
      <c r="AB586" s="726"/>
      <c r="AC586" s="170"/>
      <c r="AD586" s="586"/>
      <c r="AE586" s="586"/>
      <c r="AF586" s="170"/>
      <c r="AG586" s="170"/>
      <c r="AH586" s="170"/>
      <c r="AI586" s="170"/>
      <c r="AJ586" s="170"/>
      <c r="AK586" s="170"/>
      <c r="AL586" s="170"/>
      <c r="AM586" s="170"/>
      <c r="AN586" s="170"/>
      <c r="AO586" s="170"/>
      <c r="AP586" s="170"/>
      <c r="AQ586" s="170"/>
      <c r="AR586" s="170"/>
      <c r="AS586" s="170"/>
      <c r="AT586" s="170"/>
      <c r="AU586" s="170"/>
      <c r="AV586" s="170"/>
      <c r="AW586" s="828"/>
      <c r="AX586" s="726"/>
    </row>
    <row r="587" spans="1:50" ht="15" x14ac:dyDescent="0.25">
      <c r="A587" s="170"/>
      <c r="B587" s="719">
        <v>757</v>
      </c>
      <c r="C587" s="170"/>
      <c r="D587" s="170"/>
      <c r="E587" s="170"/>
      <c r="F587" s="170"/>
      <c r="G587" s="721"/>
      <c r="H587" s="170"/>
      <c r="I587" s="170"/>
      <c r="J587" s="170"/>
      <c r="K587" s="170"/>
      <c r="L587" s="170"/>
      <c r="M587" s="730"/>
      <c r="N587" s="730"/>
      <c r="O587" s="730"/>
      <c r="P587" s="731"/>
      <c r="Q587" s="731"/>
      <c r="R587" s="730"/>
      <c r="S587" s="730"/>
      <c r="T587" s="723"/>
      <c r="U587" s="724"/>
      <c r="V587" s="725"/>
      <c r="W587" s="725"/>
      <c r="X587" s="723"/>
      <c r="Y587" s="723"/>
      <c r="Z587" s="723"/>
      <c r="AA587" s="726"/>
      <c r="AB587" s="726"/>
      <c r="AC587" s="170"/>
      <c r="AD587" s="586"/>
      <c r="AE587" s="586"/>
      <c r="AF587" s="170"/>
      <c r="AG587" s="170"/>
      <c r="AH587" s="170"/>
      <c r="AI587" s="170"/>
      <c r="AJ587" s="170"/>
      <c r="AK587" s="170"/>
      <c r="AL587" s="170"/>
      <c r="AM587" s="170"/>
      <c r="AN587" s="170"/>
      <c r="AO587" s="170"/>
      <c r="AP587" s="170"/>
      <c r="AQ587" s="170"/>
      <c r="AR587" s="170"/>
      <c r="AS587" s="170"/>
      <c r="AT587" s="170"/>
      <c r="AU587" s="170"/>
      <c r="AV587" s="170"/>
      <c r="AW587" s="828"/>
      <c r="AX587" s="726"/>
    </row>
    <row r="588" spans="1:50" ht="15" x14ac:dyDescent="0.25">
      <c r="A588" s="170"/>
      <c r="B588" s="719">
        <v>758</v>
      </c>
      <c r="C588" s="170"/>
      <c r="D588" s="170"/>
      <c r="E588" s="170"/>
      <c r="F588" s="170"/>
      <c r="G588" s="721"/>
      <c r="H588" s="170"/>
      <c r="I588" s="170"/>
      <c r="J588" s="170"/>
      <c r="K588" s="170"/>
      <c r="L588" s="170"/>
      <c r="M588" s="730"/>
      <c r="N588" s="730"/>
      <c r="O588" s="730"/>
      <c r="P588" s="731"/>
      <c r="Q588" s="731"/>
      <c r="R588" s="730"/>
      <c r="S588" s="730"/>
      <c r="T588" s="723"/>
      <c r="U588" s="724"/>
      <c r="V588" s="725"/>
      <c r="W588" s="725"/>
      <c r="X588" s="723"/>
      <c r="Y588" s="723"/>
      <c r="Z588" s="723"/>
      <c r="AA588" s="726"/>
      <c r="AB588" s="726"/>
      <c r="AC588" s="170"/>
      <c r="AD588" s="586"/>
      <c r="AE588" s="586"/>
      <c r="AF588" s="170"/>
      <c r="AG588" s="170"/>
      <c r="AH588" s="170"/>
      <c r="AI588" s="170"/>
      <c r="AJ588" s="170"/>
      <c r="AK588" s="170"/>
      <c r="AL588" s="170"/>
      <c r="AM588" s="170"/>
      <c r="AN588" s="170"/>
      <c r="AO588" s="170"/>
      <c r="AP588" s="170"/>
      <c r="AQ588" s="170"/>
      <c r="AR588" s="170"/>
      <c r="AS588" s="170"/>
      <c r="AT588" s="170"/>
      <c r="AU588" s="170"/>
      <c r="AV588" s="170"/>
      <c r="AW588" s="828"/>
      <c r="AX588" s="726"/>
    </row>
    <row r="589" spans="1:50" ht="15" x14ac:dyDescent="0.25">
      <c r="A589" s="170"/>
      <c r="B589" s="719">
        <v>759</v>
      </c>
      <c r="C589" s="170"/>
      <c r="D589" s="170"/>
      <c r="E589" s="170"/>
      <c r="F589" s="170"/>
      <c r="G589" s="721"/>
      <c r="H589" s="170"/>
      <c r="I589" s="170"/>
      <c r="J589" s="170"/>
      <c r="K589" s="170"/>
      <c r="L589" s="170"/>
      <c r="M589" s="730"/>
      <c r="N589" s="730"/>
      <c r="O589" s="730"/>
      <c r="P589" s="731"/>
      <c r="Q589" s="731"/>
      <c r="R589" s="730"/>
      <c r="S589" s="730"/>
      <c r="T589" s="723"/>
      <c r="U589" s="724"/>
      <c r="V589" s="725"/>
      <c r="W589" s="725"/>
      <c r="X589" s="723"/>
      <c r="Y589" s="723"/>
      <c r="Z589" s="723"/>
      <c r="AA589" s="726"/>
      <c r="AB589" s="726"/>
      <c r="AC589" s="170"/>
      <c r="AD589" s="586"/>
      <c r="AE589" s="586"/>
      <c r="AF589" s="170"/>
      <c r="AG589" s="170"/>
      <c r="AH589" s="170"/>
      <c r="AI589" s="170"/>
      <c r="AJ589" s="170"/>
      <c r="AK589" s="170"/>
      <c r="AL589" s="170"/>
      <c r="AM589" s="170"/>
      <c r="AN589" s="170"/>
      <c r="AO589" s="170"/>
      <c r="AP589" s="170"/>
      <c r="AQ589" s="170"/>
      <c r="AR589" s="170"/>
      <c r="AS589" s="170"/>
      <c r="AT589" s="170"/>
      <c r="AU589" s="170"/>
      <c r="AV589" s="170"/>
      <c r="AW589" s="828"/>
      <c r="AX589" s="726"/>
    </row>
    <row r="590" spans="1:50" ht="15" x14ac:dyDescent="0.25">
      <c r="A590" s="170"/>
      <c r="B590" s="719">
        <v>760</v>
      </c>
      <c r="C590" s="170"/>
      <c r="D590" s="170"/>
      <c r="E590" s="170"/>
      <c r="F590" s="170"/>
      <c r="G590" s="721"/>
      <c r="H590" s="170"/>
      <c r="I590" s="170"/>
      <c r="J590" s="170"/>
      <c r="K590" s="170"/>
      <c r="L590" s="170"/>
      <c r="M590" s="730"/>
      <c r="N590" s="730"/>
      <c r="O590" s="730"/>
      <c r="P590" s="731"/>
      <c r="Q590" s="731"/>
      <c r="R590" s="730"/>
      <c r="S590" s="730"/>
      <c r="T590" s="723"/>
      <c r="U590" s="724"/>
      <c r="V590" s="725"/>
      <c r="W590" s="725"/>
      <c r="X590" s="723"/>
      <c r="Y590" s="723"/>
      <c r="Z590" s="723"/>
      <c r="AA590" s="726"/>
      <c r="AB590" s="726"/>
      <c r="AC590" s="170"/>
      <c r="AD590" s="586"/>
      <c r="AE590" s="586"/>
      <c r="AF590" s="170"/>
      <c r="AG590" s="170"/>
      <c r="AH590" s="170"/>
      <c r="AI590" s="170"/>
      <c r="AJ590" s="170"/>
      <c r="AK590" s="170"/>
      <c r="AL590" s="170"/>
      <c r="AM590" s="170"/>
      <c r="AN590" s="170"/>
      <c r="AO590" s="170"/>
      <c r="AP590" s="170"/>
      <c r="AQ590" s="170"/>
      <c r="AR590" s="170"/>
      <c r="AS590" s="170"/>
      <c r="AT590" s="170"/>
      <c r="AU590" s="170"/>
      <c r="AV590" s="170"/>
      <c r="AW590" s="828"/>
      <c r="AX590" s="726"/>
    </row>
    <row r="591" spans="1:50" ht="15" x14ac:dyDescent="0.25">
      <c r="A591" s="170"/>
      <c r="B591" s="719">
        <v>761</v>
      </c>
      <c r="C591" s="170"/>
      <c r="D591" s="170"/>
      <c r="E591" s="170"/>
      <c r="F591" s="170"/>
      <c r="G591" s="721"/>
      <c r="H591" s="170"/>
      <c r="I591" s="170"/>
      <c r="J591" s="170"/>
      <c r="K591" s="170"/>
      <c r="L591" s="170"/>
      <c r="M591" s="730"/>
      <c r="N591" s="730"/>
      <c r="O591" s="730"/>
      <c r="P591" s="731"/>
      <c r="Q591" s="731"/>
      <c r="R591" s="730"/>
      <c r="S591" s="730"/>
      <c r="T591" s="723"/>
      <c r="U591" s="724"/>
      <c r="V591" s="725"/>
      <c r="W591" s="725"/>
      <c r="X591" s="723"/>
      <c r="Y591" s="723"/>
      <c r="Z591" s="723"/>
      <c r="AA591" s="726"/>
      <c r="AB591" s="726"/>
      <c r="AC591" s="170"/>
      <c r="AD591" s="586"/>
      <c r="AE591" s="586"/>
      <c r="AF591" s="170"/>
      <c r="AG591" s="170"/>
      <c r="AH591" s="170"/>
      <c r="AI591" s="170"/>
      <c r="AJ591" s="170"/>
      <c r="AK591" s="170"/>
      <c r="AL591" s="170"/>
      <c r="AM591" s="170"/>
      <c r="AN591" s="170"/>
      <c r="AO591" s="170"/>
      <c r="AP591" s="170"/>
      <c r="AQ591" s="170"/>
      <c r="AR591" s="170"/>
      <c r="AS591" s="170"/>
      <c r="AT591" s="170"/>
      <c r="AU591" s="170"/>
      <c r="AV591" s="170"/>
      <c r="AW591" s="828"/>
      <c r="AX591" s="726"/>
    </row>
    <row r="592" spans="1:50" ht="15" x14ac:dyDescent="0.25">
      <c r="A592" s="170"/>
      <c r="B592" s="719">
        <v>762</v>
      </c>
      <c r="C592" s="170"/>
      <c r="D592" s="170"/>
      <c r="E592" s="170"/>
      <c r="F592" s="170"/>
      <c r="G592" s="721"/>
      <c r="H592" s="170"/>
      <c r="I592" s="170"/>
      <c r="J592" s="170"/>
      <c r="K592" s="170"/>
      <c r="L592" s="170"/>
      <c r="M592" s="730"/>
      <c r="N592" s="730"/>
      <c r="O592" s="730"/>
      <c r="P592" s="731"/>
      <c r="Q592" s="731"/>
      <c r="R592" s="730"/>
      <c r="S592" s="730"/>
      <c r="T592" s="723"/>
      <c r="U592" s="724"/>
      <c r="V592" s="725"/>
      <c r="W592" s="725"/>
      <c r="X592" s="723"/>
      <c r="Y592" s="723"/>
      <c r="Z592" s="723"/>
      <c r="AA592" s="726"/>
      <c r="AB592" s="726"/>
      <c r="AC592" s="170"/>
      <c r="AD592" s="586"/>
      <c r="AE592" s="586"/>
      <c r="AF592" s="170"/>
      <c r="AG592" s="170"/>
      <c r="AH592" s="170"/>
      <c r="AI592" s="170"/>
      <c r="AJ592" s="170"/>
      <c r="AK592" s="170"/>
      <c r="AL592" s="170"/>
      <c r="AM592" s="170"/>
      <c r="AN592" s="170"/>
      <c r="AO592" s="170"/>
      <c r="AP592" s="170"/>
      <c r="AQ592" s="170"/>
      <c r="AR592" s="170"/>
      <c r="AS592" s="170"/>
      <c r="AT592" s="170"/>
      <c r="AU592" s="170"/>
      <c r="AV592" s="170"/>
      <c r="AW592" s="828"/>
      <c r="AX592" s="726"/>
    </row>
    <row r="593" spans="1:50" ht="15" x14ac:dyDescent="0.25">
      <c r="A593" s="170"/>
      <c r="B593" s="719">
        <v>763</v>
      </c>
      <c r="C593" s="170"/>
      <c r="D593" s="170"/>
      <c r="E593" s="170"/>
      <c r="F593" s="170"/>
      <c r="G593" s="721"/>
      <c r="H593" s="170"/>
      <c r="I593" s="170"/>
      <c r="J593" s="170"/>
      <c r="K593" s="170"/>
      <c r="L593" s="170"/>
      <c r="M593" s="730"/>
      <c r="N593" s="730"/>
      <c r="O593" s="730"/>
      <c r="P593" s="731"/>
      <c r="Q593" s="731"/>
      <c r="R593" s="730"/>
      <c r="S593" s="730"/>
      <c r="T593" s="723"/>
      <c r="U593" s="724"/>
      <c r="V593" s="725"/>
      <c r="W593" s="725"/>
      <c r="X593" s="723"/>
      <c r="Y593" s="723"/>
      <c r="Z593" s="723"/>
      <c r="AA593" s="726"/>
      <c r="AB593" s="726"/>
      <c r="AC593" s="170"/>
      <c r="AD593" s="586"/>
      <c r="AE593" s="586"/>
      <c r="AF593" s="170"/>
      <c r="AG593" s="170"/>
      <c r="AH593" s="170"/>
      <c r="AI593" s="170"/>
      <c r="AJ593" s="170"/>
      <c r="AK593" s="170"/>
      <c r="AL593" s="170"/>
      <c r="AM593" s="170"/>
      <c r="AN593" s="170"/>
      <c r="AO593" s="170"/>
      <c r="AP593" s="170"/>
      <c r="AQ593" s="170"/>
      <c r="AR593" s="170"/>
      <c r="AS593" s="170"/>
      <c r="AT593" s="170"/>
      <c r="AU593" s="170"/>
      <c r="AV593" s="170"/>
      <c r="AW593" s="828"/>
      <c r="AX593" s="726"/>
    </row>
    <row r="594" spans="1:50" ht="15" x14ac:dyDescent="0.25">
      <c r="A594" s="170"/>
      <c r="B594" s="719">
        <v>764</v>
      </c>
      <c r="C594" s="170"/>
      <c r="D594" s="170"/>
      <c r="E594" s="170"/>
      <c r="F594" s="170"/>
      <c r="G594" s="721"/>
      <c r="H594" s="170"/>
      <c r="I594" s="170"/>
      <c r="J594" s="170"/>
      <c r="K594" s="170"/>
      <c r="L594" s="170"/>
      <c r="M594" s="730"/>
      <c r="N594" s="730"/>
      <c r="O594" s="730"/>
      <c r="P594" s="731"/>
      <c r="Q594" s="731"/>
      <c r="R594" s="730"/>
      <c r="S594" s="730"/>
      <c r="T594" s="723"/>
      <c r="U594" s="724"/>
      <c r="V594" s="725"/>
      <c r="W594" s="725"/>
      <c r="X594" s="723"/>
      <c r="Y594" s="723"/>
      <c r="Z594" s="723"/>
      <c r="AA594" s="726"/>
      <c r="AB594" s="726"/>
      <c r="AC594" s="170"/>
      <c r="AD594" s="586"/>
      <c r="AE594" s="586"/>
      <c r="AF594" s="170"/>
      <c r="AG594" s="170"/>
      <c r="AH594" s="170"/>
      <c r="AI594" s="170"/>
      <c r="AJ594" s="170"/>
      <c r="AK594" s="170"/>
      <c r="AL594" s="170"/>
      <c r="AM594" s="170"/>
      <c r="AN594" s="170"/>
      <c r="AO594" s="170"/>
      <c r="AP594" s="170"/>
      <c r="AQ594" s="170"/>
      <c r="AR594" s="170"/>
      <c r="AS594" s="170"/>
      <c r="AT594" s="170"/>
      <c r="AU594" s="170"/>
      <c r="AV594" s="170"/>
      <c r="AW594" s="828"/>
      <c r="AX594" s="726"/>
    </row>
    <row r="595" spans="1:50" ht="15" x14ac:dyDescent="0.25">
      <c r="A595" s="170"/>
      <c r="B595" s="719">
        <v>765</v>
      </c>
      <c r="C595" s="170"/>
      <c r="D595" s="170"/>
      <c r="E595" s="170"/>
      <c r="F595" s="170"/>
      <c r="G595" s="721"/>
      <c r="H595" s="170"/>
      <c r="I595" s="170"/>
      <c r="J595" s="170"/>
      <c r="K595" s="170"/>
      <c r="L595" s="170"/>
      <c r="M595" s="730"/>
      <c r="N595" s="730"/>
      <c r="O595" s="730"/>
      <c r="P595" s="731"/>
      <c r="Q595" s="731"/>
      <c r="R595" s="730"/>
      <c r="S595" s="730"/>
      <c r="T595" s="723"/>
      <c r="U595" s="724"/>
      <c r="V595" s="725"/>
      <c r="W595" s="725"/>
      <c r="X595" s="723"/>
      <c r="Y595" s="723"/>
      <c r="Z595" s="723"/>
      <c r="AA595" s="726"/>
      <c r="AB595" s="726"/>
      <c r="AC595" s="170"/>
      <c r="AD595" s="586"/>
      <c r="AE595" s="586"/>
      <c r="AF595" s="170"/>
      <c r="AG595" s="170"/>
      <c r="AH595" s="170"/>
      <c r="AI595" s="170"/>
      <c r="AJ595" s="170"/>
      <c r="AK595" s="170"/>
      <c r="AL595" s="170"/>
      <c r="AM595" s="170"/>
      <c r="AN595" s="170"/>
      <c r="AO595" s="170"/>
      <c r="AP595" s="170"/>
      <c r="AQ595" s="170"/>
      <c r="AR595" s="170"/>
      <c r="AS595" s="170"/>
      <c r="AT595" s="170"/>
      <c r="AU595" s="170"/>
      <c r="AV595" s="170"/>
      <c r="AW595" s="828"/>
      <c r="AX595" s="726"/>
    </row>
    <row r="596" spans="1:50" ht="15" x14ac:dyDescent="0.25">
      <c r="A596" s="170"/>
      <c r="B596" s="719">
        <v>766</v>
      </c>
      <c r="C596" s="170"/>
      <c r="D596" s="170"/>
      <c r="E596" s="170"/>
      <c r="F596" s="170"/>
      <c r="G596" s="721"/>
      <c r="H596" s="170"/>
      <c r="I596" s="170"/>
      <c r="J596" s="170"/>
      <c r="K596" s="170"/>
      <c r="L596" s="170"/>
      <c r="M596" s="730"/>
      <c r="N596" s="730"/>
      <c r="O596" s="730"/>
      <c r="P596" s="731"/>
      <c r="Q596" s="731"/>
      <c r="R596" s="730"/>
      <c r="S596" s="730"/>
      <c r="T596" s="723"/>
      <c r="U596" s="724"/>
      <c r="V596" s="725"/>
      <c r="W596" s="725"/>
      <c r="X596" s="723"/>
      <c r="Y596" s="723"/>
      <c r="Z596" s="723"/>
      <c r="AA596" s="726"/>
      <c r="AB596" s="726"/>
      <c r="AC596" s="170"/>
      <c r="AD596" s="586"/>
      <c r="AE596" s="586"/>
      <c r="AF596" s="170"/>
      <c r="AG596" s="170"/>
      <c r="AH596" s="170"/>
      <c r="AI596" s="170"/>
      <c r="AJ596" s="170"/>
      <c r="AK596" s="170"/>
      <c r="AL596" s="170"/>
      <c r="AM596" s="170"/>
      <c r="AN596" s="170"/>
      <c r="AO596" s="170"/>
      <c r="AP596" s="170"/>
      <c r="AQ596" s="170"/>
      <c r="AR596" s="170"/>
      <c r="AS596" s="170"/>
      <c r="AT596" s="170"/>
      <c r="AU596" s="170"/>
      <c r="AV596" s="170"/>
      <c r="AW596" s="828"/>
      <c r="AX596" s="726"/>
    </row>
    <row r="597" spans="1:50" ht="15" x14ac:dyDescent="0.25">
      <c r="A597" s="170"/>
      <c r="B597" s="719">
        <v>767</v>
      </c>
      <c r="C597" s="170"/>
      <c r="D597" s="170"/>
      <c r="E597" s="170"/>
      <c r="F597" s="170"/>
      <c r="G597" s="721"/>
      <c r="H597" s="170"/>
      <c r="I597" s="170"/>
      <c r="J597" s="170"/>
      <c r="K597" s="170"/>
      <c r="L597" s="170"/>
      <c r="M597" s="730"/>
      <c r="N597" s="730"/>
      <c r="O597" s="730"/>
      <c r="P597" s="731"/>
      <c r="Q597" s="731"/>
      <c r="R597" s="730"/>
      <c r="S597" s="730"/>
      <c r="T597" s="723"/>
      <c r="U597" s="724"/>
      <c r="V597" s="725"/>
      <c r="W597" s="725"/>
      <c r="X597" s="723"/>
      <c r="Y597" s="723"/>
      <c r="Z597" s="723"/>
      <c r="AA597" s="726"/>
      <c r="AB597" s="726"/>
      <c r="AC597" s="170"/>
      <c r="AD597" s="586"/>
      <c r="AE597" s="586"/>
      <c r="AF597" s="170"/>
      <c r="AG597" s="170"/>
      <c r="AH597" s="170"/>
      <c r="AI597" s="170"/>
      <c r="AJ597" s="170"/>
      <c r="AK597" s="170"/>
      <c r="AL597" s="170"/>
      <c r="AM597" s="170"/>
      <c r="AN597" s="170"/>
      <c r="AO597" s="170"/>
      <c r="AP597" s="170"/>
      <c r="AQ597" s="170"/>
      <c r="AR597" s="170"/>
      <c r="AS597" s="170"/>
      <c r="AT597" s="170"/>
      <c r="AU597" s="170"/>
      <c r="AV597" s="170"/>
      <c r="AW597" s="828"/>
      <c r="AX597" s="726"/>
    </row>
    <row r="598" spans="1:50" ht="15" x14ac:dyDescent="0.25">
      <c r="A598" s="170"/>
      <c r="B598" s="719">
        <v>768</v>
      </c>
      <c r="C598" s="170"/>
      <c r="D598" s="170"/>
      <c r="E598" s="170"/>
      <c r="F598" s="170"/>
      <c r="G598" s="721"/>
      <c r="H598" s="170"/>
      <c r="I598" s="170"/>
      <c r="J598" s="170"/>
      <c r="K598" s="170"/>
      <c r="L598" s="170"/>
      <c r="M598" s="730"/>
      <c r="N598" s="730"/>
      <c r="O598" s="730"/>
      <c r="P598" s="731"/>
      <c r="Q598" s="731"/>
      <c r="R598" s="730"/>
      <c r="S598" s="730"/>
      <c r="T598" s="723"/>
      <c r="U598" s="724"/>
      <c r="V598" s="725"/>
      <c r="W598" s="725"/>
      <c r="X598" s="723"/>
      <c r="Y598" s="723"/>
      <c r="Z598" s="723"/>
      <c r="AA598" s="726"/>
      <c r="AB598" s="726"/>
      <c r="AC598" s="170"/>
      <c r="AD598" s="586"/>
      <c r="AE598" s="586"/>
      <c r="AF598" s="170"/>
      <c r="AG598" s="170"/>
      <c r="AH598" s="170"/>
      <c r="AI598" s="170"/>
      <c r="AJ598" s="170"/>
      <c r="AK598" s="170"/>
      <c r="AL598" s="170"/>
      <c r="AM598" s="170"/>
      <c r="AN598" s="170"/>
      <c r="AO598" s="170"/>
      <c r="AP598" s="170"/>
      <c r="AQ598" s="170"/>
      <c r="AR598" s="170"/>
      <c r="AS598" s="170"/>
      <c r="AT598" s="170"/>
      <c r="AU598" s="170"/>
      <c r="AV598" s="170"/>
      <c r="AW598" s="828"/>
      <c r="AX598" s="726"/>
    </row>
    <row r="599" spans="1:50" ht="15" x14ac:dyDescent="0.25">
      <c r="A599" s="170"/>
      <c r="B599" s="719">
        <v>769</v>
      </c>
      <c r="C599" s="170"/>
      <c r="D599" s="170"/>
      <c r="E599" s="170"/>
      <c r="F599" s="170"/>
      <c r="G599" s="721"/>
      <c r="H599" s="170"/>
      <c r="I599" s="170"/>
      <c r="J599" s="170"/>
      <c r="K599" s="170"/>
      <c r="L599" s="170"/>
      <c r="M599" s="730"/>
      <c r="N599" s="730"/>
      <c r="O599" s="730"/>
      <c r="P599" s="731"/>
      <c r="Q599" s="731"/>
      <c r="R599" s="730"/>
      <c r="S599" s="730"/>
      <c r="T599" s="723"/>
      <c r="U599" s="724"/>
      <c r="V599" s="725"/>
      <c r="W599" s="725"/>
      <c r="X599" s="723"/>
      <c r="Y599" s="723"/>
      <c r="Z599" s="723"/>
      <c r="AA599" s="726"/>
      <c r="AB599" s="726"/>
      <c r="AC599" s="170"/>
      <c r="AD599" s="586"/>
      <c r="AE599" s="586"/>
      <c r="AF599" s="170"/>
      <c r="AG599" s="170"/>
      <c r="AH599" s="170"/>
      <c r="AI599" s="170"/>
      <c r="AJ599" s="170"/>
      <c r="AK599" s="170"/>
      <c r="AL599" s="170"/>
      <c r="AM599" s="170"/>
      <c r="AN599" s="170"/>
      <c r="AO599" s="170"/>
      <c r="AP599" s="170"/>
      <c r="AQ599" s="170"/>
      <c r="AR599" s="170"/>
      <c r="AS599" s="170"/>
      <c r="AT599" s="170"/>
      <c r="AU599" s="170"/>
      <c r="AV599" s="170"/>
      <c r="AW599" s="828"/>
      <c r="AX599" s="726"/>
    </row>
    <row r="600" spans="1:50" ht="15" x14ac:dyDescent="0.25">
      <c r="A600" s="170"/>
      <c r="B600" s="719">
        <v>770</v>
      </c>
      <c r="C600" s="170"/>
      <c r="D600" s="170"/>
      <c r="E600" s="170"/>
      <c r="F600" s="170"/>
      <c r="G600" s="721"/>
      <c r="H600" s="170"/>
      <c r="I600" s="170"/>
      <c r="J600" s="170"/>
      <c r="K600" s="170"/>
      <c r="L600" s="170"/>
      <c r="M600" s="730"/>
      <c r="N600" s="730"/>
      <c r="O600" s="730"/>
      <c r="P600" s="731"/>
      <c r="Q600" s="731"/>
      <c r="R600" s="730"/>
      <c r="S600" s="730"/>
      <c r="T600" s="723"/>
      <c r="U600" s="724"/>
      <c r="V600" s="725"/>
      <c r="W600" s="725"/>
      <c r="X600" s="723"/>
      <c r="Y600" s="723"/>
      <c r="Z600" s="723"/>
      <c r="AA600" s="726"/>
      <c r="AB600" s="726"/>
      <c r="AC600" s="170"/>
      <c r="AD600" s="586"/>
      <c r="AE600" s="586"/>
      <c r="AF600" s="170"/>
      <c r="AG600" s="170"/>
      <c r="AH600" s="170"/>
      <c r="AI600" s="170"/>
      <c r="AJ600" s="170"/>
      <c r="AK600" s="170"/>
      <c r="AL600" s="170"/>
      <c r="AM600" s="170"/>
      <c r="AN600" s="170"/>
      <c r="AO600" s="170"/>
      <c r="AP600" s="170"/>
      <c r="AQ600" s="170"/>
      <c r="AR600" s="170"/>
      <c r="AS600" s="170"/>
      <c r="AT600" s="170"/>
      <c r="AU600" s="170"/>
      <c r="AV600" s="170"/>
      <c r="AW600" s="828"/>
      <c r="AX600" s="726"/>
    </row>
    <row r="601" spans="1:50" ht="15" x14ac:dyDescent="0.25">
      <c r="A601" s="170"/>
      <c r="B601" s="719">
        <v>771</v>
      </c>
      <c r="C601" s="170"/>
      <c r="D601" s="170"/>
      <c r="E601" s="170"/>
      <c r="F601" s="170"/>
      <c r="G601" s="721"/>
      <c r="H601" s="170"/>
      <c r="I601" s="170"/>
      <c r="J601" s="170"/>
      <c r="K601" s="170"/>
      <c r="L601" s="170"/>
      <c r="M601" s="730"/>
      <c r="N601" s="730"/>
      <c r="O601" s="730"/>
      <c r="P601" s="731"/>
      <c r="Q601" s="731"/>
      <c r="R601" s="730"/>
      <c r="S601" s="730"/>
      <c r="T601" s="723"/>
      <c r="U601" s="724"/>
      <c r="V601" s="725"/>
      <c r="W601" s="725"/>
      <c r="X601" s="723"/>
      <c r="Y601" s="723"/>
      <c r="Z601" s="723"/>
      <c r="AA601" s="726"/>
      <c r="AB601" s="726"/>
      <c r="AC601" s="170"/>
      <c r="AD601" s="586"/>
      <c r="AE601" s="586"/>
      <c r="AF601" s="170"/>
      <c r="AG601" s="170"/>
      <c r="AH601" s="170"/>
      <c r="AI601" s="170"/>
      <c r="AJ601" s="170"/>
      <c r="AK601" s="170"/>
      <c r="AL601" s="170"/>
      <c r="AM601" s="170"/>
      <c r="AN601" s="170"/>
      <c r="AO601" s="170"/>
      <c r="AP601" s="170"/>
      <c r="AQ601" s="170"/>
      <c r="AR601" s="170"/>
      <c r="AS601" s="170"/>
      <c r="AT601" s="170"/>
      <c r="AU601" s="170"/>
      <c r="AV601" s="170"/>
      <c r="AW601" s="828"/>
      <c r="AX601" s="726"/>
    </row>
    <row r="602" spans="1:50" ht="15" x14ac:dyDescent="0.25">
      <c r="A602" s="170"/>
      <c r="B602" s="719">
        <v>772</v>
      </c>
      <c r="C602" s="170"/>
      <c r="D602" s="170"/>
      <c r="E602" s="170"/>
      <c r="F602" s="170"/>
      <c r="G602" s="721"/>
      <c r="H602" s="170"/>
      <c r="I602" s="170"/>
      <c r="J602" s="170"/>
      <c r="K602" s="170"/>
      <c r="L602" s="170"/>
      <c r="M602" s="730"/>
      <c r="N602" s="730"/>
      <c r="O602" s="730"/>
      <c r="P602" s="731"/>
      <c r="Q602" s="731"/>
      <c r="R602" s="730"/>
      <c r="S602" s="730"/>
      <c r="T602" s="723"/>
      <c r="U602" s="724"/>
      <c r="V602" s="725"/>
      <c r="W602" s="725"/>
      <c r="X602" s="723"/>
      <c r="Y602" s="723"/>
      <c r="Z602" s="723"/>
      <c r="AA602" s="726"/>
      <c r="AB602" s="726"/>
      <c r="AC602" s="170"/>
      <c r="AD602" s="586"/>
      <c r="AE602" s="586"/>
      <c r="AF602" s="170"/>
      <c r="AG602" s="170"/>
      <c r="AH602" s="170"/>
      <c r="AI602" s="170"/>
      <c r="AJ602" s="170"/>
      <c r="AK602" s="170"/>
      <c r="AL602" s="170"/>
      <c r="AM602" s="170"/>
      <c r="AN602" s="170"/>
      <c r="AO602" s="170"/>
      <c r="AP602" s="170"/>
      <c r="AQ602" s="170"/>
      <c r="AR602" s="170"/>
      <c r="AS602" s="170"/>
      <c r="AT602" s="170"/>
      <c r="AU602" s="170"/>
      <c r="AV602" s="170"/>
      <c r="AW602" s="828"/>
      <c r="AX602" s="726"/>
    </row>
    <row r="603" spans="1:50" ht="15" x14ac:dyDescent="0.25">
      <c r="A603" s="170"/>
      <c r="B603" s="719">
        <v>773</v>
      </c>
      <c r="C603" s="170"/>
      <c r="D603" s="170"/>
      <c r="E603" s="170"/>
      <c r="F603" s="170"/>
      <c r="G603" s="721"/>
      <c r="H603" s="170"/>
      <c r="I603" s="170"/>
      <c r="J603" s="170"/>
      <c r="K603" s="170"/>
      <c r="L603" s="170"/>
      <c r="M603" s="730"/>
      <c r="N603" s="730"/>
      <c r="O603" s="730"/>
      <c r="P603" s="731"/>
      <c r="Q603" s="731"/>
      <c r="R603" s="730"/>
      <c r="S603" s="730"/>
      <c r="T603" s="723"/>
      <c r="U603" s="724"/>
      <c r="V603" s="725"/>
      <c r="W603" s="725"/>
      <c r="X603" s="723"/>
      <c r="Y603" s="723"/>
      <c r="Z603" s="723"/>
      <c r="AA603" s="726"/>
      <c r="AB603" s="726"/>
      <c r="AC603" s="170"/>
      <c r="AD603" s="586"/>
      <c r="AE603" s="586"/>
      <c r="AF603" s="170"/>
      <c r="AG603" s="170"/>
      <c r="AH603" s="170"/>
      <c r="AI603" s="170"/>
      <c r="AJ603" s="170"/>
      <c r="AK603" s="170"/>
      <c r="AL603" s="170"/>
      <c r="AM603" s="170"/>
      <c r="AN603" s="170"/>
      <c r="AO603" s="170"/>
      <c r="AP603" s="170"/>
      <c r="AQ603" s="170"/>
      <c r="AR603" s="170"/>
      <c r="AS603" s="170"/>
      <c r="AT603" s="170"/>
      <c r="AU603" s="170"/>
      <c r="AV603" s="170"/>
      <c r="AW603" s="828"/>
      <c r="AX603" s="726"/>
    </row>
    <row r="604" spans="1:50" ht="15" x14ac:dyDescent="0.25">
      <c r="A604" s="170"/>
      <c r="B604" s="719">
        <v>774</v>
      </c>
      <c r="C604" s="170"/>
      <c r="D604" s="170"/>
      <c r="E604" s="170"/>
      <c r="F604" s="170"/>
      <c r="G604" s="721"/>
      <c r="H604" s="170"/>
      <c r="I604" s="170"/>
      <c r="J604" s="170"/>
      <c r="K604" s="170"/>
      <c r="L604" s="170"/>
      <c r="M604" s="730"/>
      <c r="N604" s="730"/>
      <c r="O604" s="730"/>
      <c r="P604" s="731"/>
      <c r="Q604" s="731"/>
      <c r="R604" s="730"/>
      <c r="S604" s="730"/>
      <c r="T604" s="723"/>
      <c r="U604" s="724"/>
      <c r="V604" s="725"/>
      <c r="W604" s="725"/>
      <c r="X604" s="723"/>
      <c r="Y604" s="723"/>
      <c r="Z604" s="723"/>
      <c r="AA604" s="726"/>
      <c r="AB604" s="726"/>
      <c r="AC604" s="170"/>
      <c r="AD604" s="586"/>
      <c r="AE604" s="586"/>
      <c r="AF604" s="170"/>
      <c r="AG604" s="170"/>
      <c r="AH604" s="170"/>
      <c r="AI604" s="170"/>
      <c r="AJ604" s="170"/>
      <c r="AK604" s="170"/>
      <c r="AL604" s="170"/>
      <c r="AM604" s="170"/>
      <c r="AN604" s="170"/>
      <c r="AO604" s="170"/>
      <c r="AP604" s="170"/>
      <c r="AQ604" s="170"/>
      <c r="AR604" s="170"/>
      <c r="AS604" s="170"/>
      <c r="AT604" s="170"/>
      <c r="AU604" s="170"/>
      <c r="AV604" s="170"/>
      <c r="AW604" s="828"/>
      <c r="AX604" s="726"/>
    </row>
    <row r="605" spans="1:50" ht="15" x14ac:dyDescent="0.25">
      <c r="A605" s="170"/>
      <c r="B605" s="719">
        <v>775</v>
      </c>
      <c r="C605" s="170"/>
      <c r="D605" s="170"/>
      <c r="E605" s="170"/>
      <c r="F605" s="170"/>
      <c r="G605" s="721"/>
      <c r="H605" s="170"/>
      <c r="I605" s="170"/>
      <c r="J605" s="170"/>
      <c r="K605" s="170"/>
      <c r="L605" s="170"/>
      <c r="M605" s="730"/>
      <c r="N605" s="730"/>
      <c r="O605" s="730"/>
      <c r="P605" s="731"/>
      <c r="Q605" s="731"/>
      <c r="R605" s="730"/>
      <c r="S605" s="730"/>
      <c r="T605" s="723"/>
      <c r="U605" s="724"/>
      <c r="V605" s="725"/>
      <c r="W605" s="725"/>
      <c r="X605" s="723"/>
      <c r="Y605" s="723"/>
      <c r="Z605" s="723"/>
      <c r="AA605" s="726"/>
      <c r="AB605" s="726"/>
      <c r="AC605" s="170"/>
      <c r="AD605" s="586"/>
      <c r="AE605" s="586"/>
      <c r="AF605" s="170"/>
      <c r="AG605" s="170"/>
      <c r="AH605" s="170"/>
      <c r="AI605" s="170"/>
      <c r="AJ605" s="170"/>
      <c r="AK605" s="170"/>
      <c r="AL605" s="170"/>
      <c r="AM605" s="170"/>
      <c r="AN605" s="170"/>
      <c r="AO605" s="170"/>
      <c r="AP605" s="170"/>
      <c r="AQ605" s="170"/>
      <c r="AR605" s="170"/>
      <c r="AS605" s="170"/>
      <c r="AT605" s="170"/>
      <c r="AU605" s="170"/>
      <c r="AV605" s="170"/>
      <c r="AW605" s="828"/>
      <c r="AX605" s="726"/>
    </row>
    <row r="606" spans="1:50" ht="15" x14ac:dyDescent="0.25">
      <c r="A606" s="170"/>
      <c r="B606" s="719">
        <v>776</v>
      </c>
      <c r="C606" s="170"/>
      <c r="D606" s="170"/>
      <c r="E606" s="170"/>
      <c r="F606" s="170"/>
      <c r="G606" s="721"/>
      <c r="H606" s="170"/>
      <c r="I606" s="170"/>
      <c r="J606" s="170"/>
      <c r="K606" s="170"/>
      <c r="L606" s="170"/>
      <c r="M606" s="730"/>
      <c r="N606" s="730"/>
      <c r="O606" s="730"/>
      <c r="P606" s="731"/>
      <c r="Q606" s="731"/>
      <c r="R606" s="730"/>
      <c r="S606" s="730"/>
      <c r="T606" s="723"/>
      <c r="U606" s="724"/>
      <c r="V606" s="725"/>
      <c r="W606" s="725"/>
      <c r="X606" s="723"/>
      <c r="Y606" s="723"/>
      <c r="Z606" s="723"/>
      <c r="AA606" s="726"/>
      <c r="AB606" s="726"/>
      <c r="AC606" s="170"/>
      <c r="AD606" s="586"/>
      <c r="AE606" s="586"/>
      <c r="AF606" s="170"/>
      <c r="AG606" s="170"/>
      <c r="AH606" s="170"/>
      <c r="AI606" s="170"/>
      <c r="AJ606" s="170"/>
      <c r="AK606" s="170"/>
      <c r="AL606" s="170"/>
      <c r="AM606" s="170"/>
      <c r="AN606" s="170"/>
      <c r="AO606" s="170"/>
      <c r="AP606" s="170"/>
      <c r="AQ606" s="170"/>
      <c r="AR606" s="170"/>
      <c r="AS606" s="170"/>
      <c r="AT606" s="170"/>
      <c r="AU606" s="170"/>
      <c r="AV606" s="170"/>
      <c r="AW606" s="828"/>
      <c r="AX606" s="726"/>
    </row>
    <row r="607" spans="1:50" ht="15" x14ac:dyDescent="0.25">
      <c r="A607" s="170"/>
      <c r="B607" s="719">
        <v>777</v>
      </c>
      <c r="C607" s="170"/>
      <c r="D607" s="170"/>
      <c r="E607" s="170"/>
      <c r="F607" s="170"/>
      <c r="G607" s="721"/>
      <c r="H607" s="170"/>
      <c r="I607" s="170"/>
      <c r="J607" s="170"/>
      <c r="K607" s="170"/>
      <c r="L607" s="170"/>
      <c r="M607" s="730"/>
      <c r="N607" s="730"/>
      <c r="O607" s="730"/>
      <c r="P607" s="731"/>
      <c r="Q607" s="731"/>
      <c r="R607" s="730"/>
      <c r="S607" s="730"/>
      <c r="T607" s="723"/>
      <c r="U607" s="724"/>
      <c r="V607" s="725"/>
      <c r="W607" s="725"/>
      <c r="X607" s="723"/>
      <c r="Y607" s="723"/>
      <c r="Z607" s="723"/>
      <c r="AA607" s="726"/>
      <c r="AB607" s="726"/>
      <c r="AC607" s="170"/>
      <c r="AD607" s="586"/>
      <c r="AE607" s="586"/>
      <c r="AF607" s="170"/>
      <c r="AG607" s="170"/>
      <c r="AH607" s="170"/>
      <c r="AI607" s="170"/>
      <c r="AJ607" s="170"/>
      <c r="AK607" s="170"/>
      <c r="AL607" s="170"/>
      <c r="AM607" s="170"/>
      <c r="AN607" s="170"/>
      <c r="AO607" s="170"/>
      <c r="AP607" s="170"/>
      <c r="AQ607" s="170"/>
      <c r="AR607" s="170"/>
      <c r="AS607" s="170"/>
      <c r="AT607" s="170"/>
      <c r="AU607" s="170"/>
      <c r="AV607" s="170"/>
      <c r="AW607" s="828"/>
      <c r="AX607" s="726"/>
    </row>
    <row r="608" spans="1:50" ht="15" x14ac:dyDescent="0.25">
      <c r="A608" s="170"/>
      <c r="B608" s="719">
        <v>778</v>
      </c>
      <c r="C608" s="170"/>
      <c r="D608" s="170"/>
      <c r="E608" s="170"/>
      <c r="F608" s="170"/>
      <c r="G608" s="721"/>
      <c r="H608" s="170"/>
      <c r="I608" s="170"/>
      <c r="J608" s="170"/>
      <c r="K608" s="170"/>
      <c r="L608" s="170"/>
      <c r="M608" s="730"/>
      <c r="N608" s="730"/>
      <c r="O608" s="730"/>
      <c r="P608" s="731"/>
      <c r="Q608" s="731"/>
      <c r="R608" s="730"/>
      <c r="S608" s="730"/>
      <c r="T608" s="723"/>
      <c r="U608" s="724"/>
      <c r="V608" s="725"/>
      <c r="W608" s="725"/>
      <c r="X608" s="723"/>
      <c r="Y608" s="723"/>
      <c r="Z608" s="723"/>
      <c r="AA608" s="726"/>
      <c r="AB608" s="726"/>
      <c r="AC608" s="170"/>
      <c r="AD608" s="586"/>
      <c r="AE608" s="586"/>
      <c r="AF608" s="170"/>
      <c r="AG608" s="170"/>
      <c r="AH608" s="170"/>
      <c r="AI608" s="170"/>
      <c r="AJ608" s="170"/>
      <c r="AK608" s="170"/>
      <c r="AL608" s="170"/>
      <c r="AM608" s="170"/>
      <c r="AN608" s="170"/>
      <c r="AO608" s="170"/>
      <c r="AP608" s="170"/>
      <c r="AQ608" s="170"/>
      <c r="AR608" s="170"/>
      <c r="AS608" s="170"/>
      <c r="AT608" s="170"/>
      <c r="AU608" s="170"/>
      <c r="AV608" s="170"/>
      <c r="AW608" s="828"/>
      <c r="AX608" s="726"/>
    </row>
    <row r="609" spans="1:50" ht="15" x14ac:dyDescent="0.25">
      <c r="A609" s="170"/>
      <c r="B609" s="719">
        <v>779</v>
      </c>
      <c r="C609" s="170"/>
      <c r="D609" s="170"/>
      <c r="E609" s="170"/>
      <c r="F609" s="170"/>
      <c r="G609" s="721"/>
      <c r="H609" s="170"/>
      <c r="I609" s="170"/>
      <c r="J609" s="170"/>
      <c r="K609" s="170"/>
      <c r="L609" s="170"/>
      <c r="M609" s="730"/>
      <c r="N609" s="730"/>
      <c r="O609" s="730"/>
      <c r="P609" s="731"/>
      <c r="Q609" s="731"/>
      <c r="R609" s="730"/>
      <c r="S609" s="730"/>
      <c r="T609" s="723"/>
      <c r="U609" s="724"/>
      <c r="V609" s="725"/>
      <c r="W609" s="725"/>
      <c r="X609" s="723"/>
      <c r="Y609" s="723"/>
      <c r="Z609" s="723"/>
      <c r="AA609" s="726"/>
      <c r="AB609" s="726"/>
      <c r="AC609" s="170"/>
      <c r="AD609" s="586"/>
      <c r="AE609" s="586"/>
      <c r="AF609" s="170"/>
      <c r="AG609" s="170"/>
      <c r="AH609" s="170"/>
      <c r="AI609" s="170"/>
      <c r="AJ609" s="170"/>
      <c r="AK609" s="170"/>
      <c r="AL609" s="170"/>
      <c r="AM609" s="170"/>
      <c r="AN609" s="170"/>
      <c r="AO609" s="170"/>
      <c r="AP609" s="170"/>
      <c r="AQ609" s="170"/>
      <c r="AR609" s="170"/>
      <c r="AS609" s="170"/>
      <c r="AT609" s="170"/>
      <c r="AU609" s="170"/>
      <c r="AV609" s="170"/>
      <c r="AW609" s="828"/>
      <c r="AX609" s="726"/>
    </row>
    <row r="610" spans="1:50" ht="15" x14ac:dyDescent="0.25">
      <c r="A610" s="170"/>
      <c r="B610" s="719">
        <v>780</v>
      </c>
      <c r="C610" s="170"/>
      <c r="D610" s="170"/>
      <c r="E610" s="170"/>
      <c r="F610" s="170"/>
      <c r="G610" s="721"/>
      <c r="H610" s="170"/>
      <c r="I610" s="170"/>
      <c r="J610" s="170"/>
      <c r="K610" s="170"/>
      <c r="L610" s="170"/>
      <c r="M610" s="730"/>
      <c r="N610" s="730"/>
      <c r="O610" s="730"/>
      <c r="P610" s="731"/>
      <c r="Q610" s="731"/>
      <c r="R610" s="730"/>
      <c r="S610" s="730"/>
      <c r="T610" s="723"/>
      <c r="U610" s="724"/>
      <c r="V610" s="725"/>
      <c r="W610" s="725"/>
      <c r="X610" s="723"/>
      <c r="Y610" s="723"/>
      <c r="Z610" s="723"/>
      <c r="AA610" s="726"/>
      <c r="AB610" s="726"/>
      <c r="AC610" s="170"/>
      <c r="AD610" s="586"/>
      <c r="AE610" s="586"/>
      <c r="AF610" s="170"/>
      <c r="AG610" s="170"/>
      <c r="AH610" s="170"/>
      <c r="AI610" s="170"/>
      <c r="AJ610" s="170"/>
      <c r="AK610" s="170"/>
      <c r="AL610" s="170"/>
      <c r="AM610" s="170"/>
      <c r="AN610" s="170"/>
      <c r="AO610" s="170"/>
      <c r="AP610" s="170"/>
      <c r="AQ610" s="170"/>
      <c r="AR610" s="170"/>
      <c r="AS610" s="170"/>
      <c r="AT610" s="170"/>
      <c r="AU610" s="170"/>
      <c r="AV610" s="170"/>
      <c r="AW610" s="828"/>
      <c r="AX610" s="726"/>
    </row>
    <row r="611" spans="1:50" ht="15" x14ac:dyDescent="0.25">
      <c r="A611" s="170"/>
      <c r="B611" s="719">
        <v>781</v>
      </c>
      <c r="C611" s="170"/>
      <c r="D611" s="170"/>
      <c r="E611" s="170"/>
      <c r="F611" s="170"/>
      <c r="G611" s="721"/>
      <c r="H611" s="170"/>
      <c r="I611" s="170"/>
      <c r="J611" s="170"/>
      <c r="K611" s="170"/>
      <c r="L611" s="170"/>
      <c r="M611" s="730"/>
      <c r="N611" s="730"/>
      <c r="O611" s="730"/>
      <c r="P611" s="731"/>
      <c r="Q611" s="731"/>
      <c r="R611" s="730"/>
      <c r="S611" s="730"/>
      <c r="T611" s="723"/>
      <c r="U611" s="724"/>
      <c r="V611" s="725"/>
      <c r="W611" s="725"/>
      <c r="X611" s="723"/>
      <c r="Y611" s="723"/>
      <c r="Z611" s="723"/>
      <c r="AA611" s="726"/>
      <c r="AB611" s="726"/>
      <c r="AC611" s="170"/>
      <c r="AD611" s="586"/>
      <c r="AE611" s="586"/>
      <c r="AF611" s="170"/>
      <c r="AG611" s="170"/>
      <c r="AH611" s="170"/>
      <c r="AI611" s="170"/>
      <c r="AJ611" s="170"/>
      <c r="AK611" s="170"/>
      <c r="AL611" s="170"/>
      <c r="AM611" s="170"/>
      <c r="AN611" s="170"/>
      <c r="AO611" s="170"/>
      <c r="AP611" s="170"/>
      <c r="AQ611" s="170"/>
      <c r="AR611" s="170"/>
      <c r="AS611" s="170"/>
      <c r="AT611" s="170"/>
      <c r="AU611" s="170"/>
      <c r="AV611" s="170"/>
      <c r="AW611" s="828"/>
      <c r="AX611" s="726"/>
    </row>
    <row r="612" spans="1:50" ht="15" x14ac:dyDescent="0.25">
      <c r="A612" s="170"/>
      <c r="B612" s="719">
        <v>782</v>
      </c>
      <c r="C612" s="170"/>
      <c r="D612" s="170"/>
      <c r="E612" s="170"/>
      <c r="F612" s="170"/>
      <c r="G612" s="721"/>
      <c r="H612" s="170"/>
      <c r="I612" s="170"/>
      <c r="J612" s="170"/>
      <c r="K612" s="170"/>
      <c r="L612" s="170"/>
      <c r="M612" s="730"/>
      <c r="N612" s="730"/>
      <c r="O612" s="730"/>
      <c r="P612" s="731"/>
      <c r="Q612" s="731"/>
      <c r="R612" s="730"/>
      <c r="S612" s="730"/>
      <c r="T612" s="723"/>
      <c r="U612" s="724"/>
      <c r="V612" s="725"/>
      <c r="W612" s="725"/>
      <c r="X612" s="723"/>
      <c r="Y612" s="723"/>
      <c r="Z612" s="723"/>
      <c r="AA612" s="726"/>
      <c r="AB612" s="726"/>
      <c r="AC612" s="170"/>
      <c r="AD612" s="586"/>
      <c r="AE612" s="586"/>
      <c r="AF612" s="170"/>
      <c r="AG612" s="170"/>
      <c r="AH612" s="170"/>
      <c r="AI612" s="170"/>
      <c r="AJ612" s="170"/>
      <c r="AK612" s="170"/>
      <c r="AL612" s="170"/>
      <c r="AM612" s="170"/>
      <c r="AN612" s="170"/>
      <c r="AO612" s="170"/>
      <c r="AP612" s="170"/>
      <c r="AQ612" s="170"/>
      <c r="AR612" s="170"/>
      <c r="AS612" s="170"/>
      <c r="AT612" s="170"/>
      <c r="AU612" s="170"/>
      <c r="AV612" s="170"/>
      <c r="AW612" s="828"/>
      <c r="AX612" s="726"/>
    </row>
    <row r="613" spans="1:50" ht="15" x14ac:dyDescent="0.25">
      <c r="A613" s="170"/>
      <c r="B613" s="719">
        <v>783</v>
      </c>
      <c r="C613" s="170"/>
      <c r="D613" s="170"/>
      <c r="E613" s="170"/>
      <c r="F613" s="170"/>
      <c r="G613" s="721"/>
      <c r="H613" s="170"/>
      <c r="I613" s="170"/>
      <c r="J613" s="170"/>
      <c r="K613" s="170"/>
      <c r="L613" s="170"/>
      <c r="M613" s="730"/>
      <c r="N613" s="730"/>
      <c r="O613" s="730"/>
      <c r="P613" s="731"/>
      <c r="Q613" s="731"/>
      <c r="R613" s="730"/>
      <c r="S613" s="730"/>
      <c r="T613" s="723"/>
      <c r="U613" s="724"/>
      <c r="V613" s="725"/>
      <c r="W613" s="725"/>
      <c r="X613" s="723"/>
      <c r="Y613" s="723"/>
      <c r="Z613" s="723"/>
      <c r="AA613" s="726"/>
      <c r="AB613" s="726"/>
      <c r="AC613" s="170"/>
      <c r="AD613" s="586"/>
      <c r="AE613" s="586"/>
      <c r="AF613" s="170"/>
      <c r="AG613" s="170"/>
      <c r="AH613" s="170"/>
      <c r="AI613" s="170"/>
      <c r="AJ613" s="170"/>
      <c r="AK613" s="170"/>
      <c r="AL613" s="170"/>
      <c r="AM613" s="170"/>
      <c r="AN613" s="170"/>
      <c r="AO613" s="170"/>
      <c r="AP613" s="170"/>
      <c r="AQ613" s="170"/>
      <c r="AR613" s="170"/>
      <c r="AS613" s="170"/>
      <c r="AT613" s="170"/>
      <c r="AU613" s="170"/>
      <c r="AV613" s="170"/>
      <c r="AW613" s="828"/>
      <c r="AX613" s="726"/>
    </row>
    <row r="614" spans="1:50" ht="15" x14ac:dyDescent="0.25">
      <c r="A614" s="170"/>
      <c r="B614" s="719">
        <v>784</v>
      </c>
      <c r="C614" s="170"/>
      <c r="D614" s="170"/>
      <c r="E614" s="170"/>
      <c r="F614" s="170"/>
      <c r="G614" s="721"/>
      <c r="H614" s="170"/>
      <c r="I614" s="170"/>
      <c r="J614" s="170"/>
      <c r="K614" s="170"/>
      <c r="L614" s="170"/>
      <c r="M614" s="730"/>
      <c r="N614" s="730"/>
      <c r="O614" s="730"/>
      <c r="P614" s="731"/>
      <c r="Q614" s="731"/>
      <c r="R614" s="730"/>
      <c r="S614" s="730"/>
      <c r="T614" s="723"/>
      <c r="U614" s="724"/>
      <c r="V614" s="725"/>
      <c r="W614" s="725"/>
      <c r="X614" s="723"/>
      <c r="Y614" s="723"/>
      <c r="Z614" s="723"/>
      <c r="AA614" s="726"/>
      <c r="AB614" s="726"/>
      <c r="AC614" s="170"/>
      <c r="AD614" s="586"/>
      <c r="AE614" s="586"/>
      <c r="AF614" s="170"/>
      <c r="AG614" s="170"/>
      <c r="AH614" s="170"/>
      <c r="AI614" s="170"/>
      <c r="AJ614" s="170"/>
      <c r="AK614" s="170"/>
      <c r="AL614" s="170"/>
      <c r="AM614" s="170"/>
      <c r="AN614" s="170"/>
      <c r="AO614" s="170"/>
      <c r="AP614" s="170"/>
      <c r="AQ614" s="170"/>
      <c r="AR614" s="170"/>
      <c r="AS614" s="170"/>
      <c r="AT614" s="170"/>
      <c r="AU614" s="170"/>
      <c r="AV614" s="170"/>
      <c r="AW614" s="828"/>
      <c r="AX614" s="726"/>
    </row>
    <row r="615" spans="1:50" ht="15" x14ac:dyDescent="0.25">
      <c r="A615" s="170"/>
      <c r="B615" s="719">
        <v>785</v>
      </c>
      <c r="C615" s="170"/>
      <c r="D615" s="170"/>
      <c r="E615" s="170"/>
      <c r="F615" s="170"/>
      <c r="G615" s="721"/>
      <c r="H615" s="170"/>
      <c r="I615" s="170"/>
      <c r="J615" s="170"/>
      <c r="K615" s="170"/>
      <c r="L615" s="170"/>
      <c r="M615" s="730"/>
      <c r="N615" s="730"/>
      <c r="O615" s="730"/>
      <c r="P615" s="731"/>
      <c r="Q615" s="731"/>
      <c r="R615" s="730"/>
      <c r="S615" s="730"/>
      <c r="T615" s="723"/>
      <c r="U615" s="724"/>
      <c r="V615" s="725"/>
      <c r="W615" s="725"/>
      <c r="X615" s="723"/>
      <c r="Y615" s="723"/>
      <c r="Z615" s="723"/>
      <c r="AA615" s="726"/>
      <c r="AB615" s="726"/>
      <c r="AC615" s="170"/>
      <c r="AD615" s="586"/>
      <c r="AE615" s="586"/>
      <c r="AF615" s="170"/>
      <c r="AG615" s="170"/>
      <c r="AH615" s="170"/>
      <c r="AI615" s="170"/>
      <c r="AJ615" s="170"/>
      <c r="AK615" s="170"/>
      <c r="AL615" s="170"/>
      <c r="AM615" s="170"/>
      <c r="AN615" s="170"/>
      <c r="AO615" s="170"/>
      <c r="AP615" s="170"/>
      <c r="AQ615" s="170"/>
      <c r="AR615" s="170"/>
      <c r="AS615" s="170"/>
      <c r="AT615" s="170"/>
      <c r="AU615" s="170"/>
      <c r="AV615" s="170"/>
      <c r="AW615" s="828"/>
      <c r="AX615" s="726"/>
    </row>
    <row r="616" spans="1:50" ht="15" x14ac:dyDescent="0.25">
      <c r="A616" s="170"/>
      <c r="B616" s="719">
        <v>786</v>
      </c>
      <c r="C616" s="170"/>
      <c r="D616" s="170"/>
      <c r="E616" s="170"/>
      <c r="F616" s="170"/>
      <c r="G616" s="721"/>
      <c r="H616" s="170"/>
      <c r="I616" s="170"/>
      <c r="J616" s="170"/>
      <c r="K616" s="170"/>
      <c r="L616" s="170"/>
      <c r="M616" s="730"/>
      <c r="N616" s="730"/>
      <c r="O616" s="730"/>
      <c r="P616" s="731"/>
      <c r="Q616" s="731"/>
      <c r="R616" s="730"/>
      <c r="S616" s="730"/>
      <c r="T616" s="723"/>
      <c r="U616" s="724"/>
      <c r="V616" s="725"/>
      <c r="W616" s="725"/>
      <c r="X616" s="723"/>
      <c r="Y616" s="723"/>
      <c r="Z616" s="723"/>
      <c r="AA616" s="726"/>
      <c r="AB616" s="726"/>
      <c r="AC616" s="170"/>
      <c r="AD616" s="586"/>
      <c r="AE616" s="586"/>
      <c r="AF616" s="170"/>
      <c r="AG616" s="170"/>
      <c r="AH616" s="170"/>
      <c r="AI616" s="170"/>
      <c r="AJ616" s="170"/>
      <c r="AK616" s="170"/>
      <c r="AL616" s="170"/>
      <c r="AM616" s="170"/>
      <c r="AN616" s="170"/>
      <c r="AO616" s="170"/>
      <c r="AP616" s="170"/>
      <c r="AQ616" s="170"/>
      <c r="AR616" s="170"/>
      <c r="AS616" s="170"/>
      <c r="AT616" s="170"/>
      <c r="AU616" s="170"/>
      <c r="AV616" s="170"/>
      <c r="AW616" s="828"/>
      <c r="AX616" s="726"/>
    </row>
    <row r="617" spans="1:50" ht="15" x14ac:dyDescent="0.25">
      <c r="A617" s="170"/>
      <c r="B617" s="719">
        <v>787</v>
      </c>
      <c r="C617" s="170"/>
      <c r="D617" s="170"/>
      <c r="E617" s="170"/>
      <c r="F617" s="170"/>
      <c r="G617" s="721"/>
      <c r="H617" s="170"/>
      <c r="I617" s="170"/>
      <c r="J617" s="170"/>
      <c r="K617" s="170"/>
      <c r="L617" s="170"/>
      <c r="M617" s="730"/>
      <c r="N617" s="730"/>
      <c r="O617" s="730"/>
      <c r="P617" s="731"/>
      <c r="Q617" s="731"/>
      <c r="R617" s="730"/>
      <c r="S617" s="730"/>
      <c r="T617" s="723"/>
      <c r="U617" s="724"/>
      <c r="V617" s="725"/>
      <c r="W617" s="725"/>
      <c r="X617" s="723"/>
      <c r="Y617" s="723"/>
      <c r="Z617" s="723"/>
      <c r="AA617" s="726"/>
      <c r="AB617" s="726"/>
      <c r="AC617" s="170"/>
      <c r="AD617" s="586"/>
      <c r="AE617" s="586"/>
      <c r="AF617" s="170"/>
      <c r="AG617" s="170"/>
      <c r="AH617" s="170"/>
      <c r="AI617" s="170"/>
      <c r="AJ617" s="170"/>
      <c r="AK617" s="170"/>
      <c r="AL617" s="170"/>
      <c r="AM617" s="170"/>
      <c r="AN617" s="170"/>
      <c r="AO617" s="170"/>
      <c r="AP617" s="170"/>
      <c r="AQ617" s="170"/>
      <c r="AR617" s="170"/>
      <c r="AS617" s="170"/>
      <c r="AT617" s="170"/>
      <c r="AU617" s="170"/>
      <c r="AV617" s="170"/>
      <c r="AW617" s="828"/>
      <c r="AX617" s="726"/>
    </row>
    <row r="618" spans="1:50" ht="15" x14ac:dyDescent="0.25">
      <c r="A618" s="170"/>
      <c r="B618" s="719">
        <v>788</v>
      </c>
      <c r="C618" s="170"/>
      <c r="D618" s="170"/>
      <c r="E618" s="170"/>
      <c r="F618" s="170"/>
      <c r="G618" s="721"/>
      <c r="H618" s="170"/>
      <c r="I618" s="170"/>
      <c r="J618" s="170"/>
      <c r="K618" s="170"/>
      <c r="L618" s="170"/>
      <c r="M618" s="730"/>
      <c r="N618" s="730"/>
      <c r="O618" s="730"/>
      <c r="P618" s="731"/>
      <c r="Q618" s="731"/>
      <c r="R618" s="730"/>
      <c r="S618" s="730"/>
      <c r="T618" s="723"/>
      <c r="U618" s="724"/>
      <c r="V618" s="725"/>
      <c r="W618" s="725"/>
      <c r="X618" s="723"/>
      <c r="Y618" s="723"/>
      <c r="Z618" s="723"/>
      <c r="AA618" s="726"/>
      <c r="AB618" s="726"/>
      <c r="AC618" s="170"/>
      <c r="AD618" s="586"/>
      <c r="AE618" s="586"/>
      <c r="AF618" s="170"/>
      <c r="AG618" s="170"/>
      <c r="AH618" s="170"/>
      <c r="AI618" s="170"/>
      <c r="AJ618" s="170"/>
      <c r="AK618" s="170"/>
      <c r="AL618" s="170"/>
      <c r="AM618" s="170"/>
      <c r="AN618" s="170"/>
      <c r="AO618" s="170"/>
      <c r="AP618" s="170"/>
      <c r="AQ618" s="170"/>
      <c r="AR618" s="170"/>
      <c r="AS618" s="170"/>
      <c r="AT618" s="170"/>
      <c r="AU618" s="170"/>
      <c r="AV618" s="170"/>
      <c r="AW618" s="828"/>
      <c r="AX618" s="726"/>
    </row>
    <row r="619" spans="1:50" ht="15" x14ac:dyDescent="0.25">
      <c r="A619" s="170"/>
      <c r="B619" s="719">
        <v>789</v>
      </c>
      <c r="C619" s="170"/>
      <c r="D619" s="170"/>
      <c r="E619" s="170"/>
      <c r="F619" s="170"/>
      <c r="G619" s="721"/>
      <c r="H619" s="170"/>
      <c r="I619" s="170"/>
      <c r="J619" s="170"/>
      <c r="K619" s="170"/>
      <c r="L619" s="170"/>
      <c r="M619" s="730"/>
      <c r="N619" s="730"/>
      <c r="O619" s="730"/>
      <c r="P619" s="731"/>
      <c r="Q619" s="731"/>
      <c r="R619" s="730"/>
      <c r="S619" s="730"/>
      <c r="T619" s="723"/>
      <c r="U619" s="724"/>
      <c r="V619" s="725"/>
      <c r="W619" s="725"/>
      <c r="X619" s="723"/>
      <c r="Y619" s="723"/>
      <c r="Z619" s="723"/>
      <c r="AA619" s="726"/>
      <c r="AB619" s="726"/>
      <c r="AC619" s="170"/>
      <c r="AD619" s="586"/>
      <c r="AE619" s="586"/>
      <c r="AF619" s="170"/>
      <c r="AG619" s="170"/>
      <c r="AH619" s="170"/>
      <c r="AI619" s="170"/>
      <c r="AJ619" s="170"/>
      <c r="AK619" s="170"/>
      <c r="AL619" s="170"/>
      <c r="AM619" s="170"/>
      <c r="AN619" s="170"/>
      <c r="AO619" s="170"/>
      <c r="AP619" s="170"/>
      <c r="AQ619" s="170"/>
      <c r="AR619" s="170"/>
      <c r="AS619" s="170"/>
      <c r="AT619" s="170"/>
      <c r="AU619" s="170"/>
      <c r="AV619" s="170"/>
      <c r="AW619" s="828"/>
      <c r="AX619" s="726"/>
    </row>
    <row r="620" spans="1:50" ht="15" x14ac:dyDescent="0.25">
      <c r="A620" s="170"/>
      <c r="B620" s="719">
        <v>790</v>
      </c>
      <c r="C620" s="170"/>
      <c r="D620" s="170"/>
      <c r="E620" s="170"/>
      <c r="F620" s="170"/>
      <c r="G620" s="721"/>
      <c r="H620" s="170"/>
      <c r="I620" s="170"/>
      <c r="J620" s="170"/>
      <c r="K620" s="170"/>
      <c r="L620" s="170"/>
      <c r="M620" s="730"/>
      <c r="N620" s="730"/>
      <c r="O620" s="730"/>
      <c r="P620" s="731"/>
      <c r="Q620" s="731"/>
      <c r="R620" s="730"/>
      <c r="S620" s="730"/>
      <c r="T620" s="723"/>
      <c r="U620" s="724"/>
      <c r="V620" s="725"/>
      <c r="W620" s="725"/>
      <c r="X620" s="723"/>
      <c r="Y620" s="723"/>
      <c r="Z620" s="723"/>
      <c r="AA620" s="726"/>
      <c r="AB620" s="726"/>
      <c r="AC620" s="170"/>
      <c r="AD620" s="586"/>
      <c r="AE620" s="586"/>
      <c r="AF620" s="170"/>
      <c r="AG620" s="170"/>
      <c r="AH620" s="170"/>
      <c r="AI620" s="170"/>
      <c r="AJ620" s="170"/>
      <c r="AK620" s="170"/>
      <c r="AL620" s="170"/>
      <c r="AM620" s="170"/>
      <c r="AN620" s="170"/>
      <c r="AO620" s="170"/>
      <c r="AP620" s="170"/>
      <c r="AQ620" s="170"/>
      <c r="AR620" s="170"/>
      <c r="AS620" s="170"/>
      <c r="AT620" s="170"/>
      <c r="AU620" s="170"/>
      <c r="AV620" s="170"/>
      <c r="AW620" s="828"/>
      <c r="AX620" s="726"/>
    </row>
    <row r="621" spans="1:50" ht="15" x14ac:dyDescent="0.25">
      <c r="A621" s="170"/>
      <c r="B621" s="719">
        <v>791</v>
      </c>
      <c r="C621" s="170"/>
      <c r="D621" s="170"/>
      <c r="E621" s="170"/>
      <c r="F621" s="170"/>
      <c r="G621" s="721"/>
      <c r="H621" s="170"/>
      <c r="I621" s="170"/>
      <c r="J621" s="170"/>
      <c r="K621" s="170"/>
      <c r="L621" s="170"/>
      <c r="M621" s="730"/>
      <c r="N621" s="730"/>
      <c r="O621" s="730"/>
      <c r="P621" s="731"/>
      <c r="Q621" s="731"/>
      <c r="R621" s="730"/>
      <c r="S621" s="730"/>
      <c r="T621" s="723"/>
      <c r="U621" s="724"/>
      <c r="V621" s="725"/>
      <c r="W621" s="725"/>
      <c r="X621" s="723"/>
      <c r="Y621" s="723"/>
      <c r="Z621" s="723"/>
      <c r="AA621" s="726"/>
      <c r="AB621" s="726"/>
      <c r="AC621" s="170"/>
      <c r="AD621" s="586"/>
      <c r="AE621" s="586"/>
      <c r="AF621" s="170"/>
      <c r="AG621" s="170"/>
      <c r="AH621" s="170"/>
      <c r="AI621" s="170"/>
      <c r="AJ621" s="170"/>
      <c r="AK621" s="170"/>
      <c r="AL621" s="170"/>
      <c r="AM621" s="170"/>
      <c r="AN621" s="170"/>
      <c r="AO621" s="170"/>
      <c r="AP621" s="170"/>
      <c r="AQ621" s="170"/>
      <c r="AR621" s="170"/>
      <c r="AS621" s="170"/>
      <c r="AT621" s="170"/>
      <c r="AU621" s="170"/>
      <c r="AV621" s="170"/>
      <c r="AW621" s="828"/>
      <c r="AX621" s="726"/>
    </row>
    <row r="622" spans="1:50" ht="15" x14ac:dyDescent="0.25">
      <c r="A622" s="170"/>
      <c r="B622" s="719">
        <v>792</v>
      </c>
      <c r="C622" s="170"/>
      <c r="D622" s="170"/>
      <c r="E622" s="170"/>
      <c r="F622" s="170"/>
      <c r="G622" s="721"/>
      <c r="H622" s="170"/>
      <c r="I622" s="170"/>
      <c r="J622" s="170"/>
      <c r="K622" s="170"/>
      <c r="L622" s="170"/>
      <c r="M622" s="730"/>
      <c r="N622" s="730"/>
      <c r="O622" s="730"/>
      <c r="P622" s="731"/>
      <c r="Q622" s="731"/>
      <c r="R622" s="730"/>
      <c r="S622" s="730"/>
      <c r="T622" s="723"/>
      <c r="U622" s="724"/>
      <c r="V622" s="725"/>
      <c r="W622" s="725"/>
      <c r="X622" s="723"/>
      <c r="Y622" s="723"/>
      <c r="Z622" s="723"/>
      <c r="AA622" s="726"/>
      <c r="AB622" s="726"/>
      <c r="AC622" s="170"/>
      <c r="AD622" s="586"/>
      <c r="AE622" s="586"/>
      <c r="AF622" s="170"/>
      <c r="AG622" s="170"/>
      <c r="AH622" s="170"/>
      <c r="AI622" s="170"/>
      <c r="AJ622" s="170"/>
      <c r="AK622" s="170"/>
      <c r="AL622" s="170"/>
      <c r="AM622" s="170"/>
      <c r="AN622" s="170"/>
      <c r="AO622" s="170"/>
      <c r="AP622" s="170"/>
      <c r="AQ622" s="170"/>
      <c r="AR622" s="170"/>
      <c r="AS622" s="170"/>
      <c r="AT622" s="170"/>
      <c r="AU622" s="170"/>
      <c r="AV622" s="170"/>
      <c r="AW622" s="828"/>
      <c r="AX622" s="726"/>
    </row>
    <row r="623" spans="1:50" ht="15" x14ac:dyDescent="0.25">
      <c r="A623" s="170"/>
      <c r="B623" s="719">
        <v>793</v>
      </c>
      <c r="C623" s="170"/>
      <c r="D623" s="170"/>
      <c r="E623" s="170"/>
      <c r="F623" s="170"/>
      <c r="G623" s="721"/>
      <c r="H623" s="170"/>
      <c r="I623" s="170"/>
      <c r="J623" s="170"/>
      <c r="K623" s="170"/>
      <c r="L623" s="170"/>
      <c r="M623" s="730"/>
      <c r="N623" s="730"/>
      <c r="O623" s="730"/>
      <c r="P623" s="731"/>
      <c r="Q623" s="731"/>
      <c r="R623" s="730"/>
      <c r="S623" s="730"/>
      <c r="T623" s="723"/>
      <c r="U623" s="724"/>
      <c r="V623" s="725"/>
      <c r="W623" s="725"/>
      <c r="X623" s="723"/>
      <c r="Y623" s="723"/>
      <c r="Z623" s="723"/>
      <c r="AA623" s="726"/>
      <c r="AB623" s="726"/>
      <c r="AC623" s="170"/>
      <c r="AD623" s="586"/>
      <c r="AE623" s="586"/>
      <c r="AF623" s="170"/>
      <c r="AG623" s="170"/>
      <c r="AH623" s="170"/>
      <c r="AI623" s="170"/>
      <c r="AJ623" s="170"/>
      <c r="AK623" s="170"/>
      <c r="AL623" s="170"/>
      <c r="AM623" s="170"/>
      <c r="AN623" s="170"/>
      <c r="AO623" s="170"/>
      <c r="AP623" s="170"/>
      <c r="AQ623" s="170"/>
      <c r="AR623" s="170"/>
      <c r="AS623" s="170"/>
      <c r="AT623" s="170"/>
      <c r="AU623" s="170"/>
      <c r="AV623" s="170"/>
      <c r="AW623" s="828"/>
      <c r="AX623" s="726"/>
    </row>
    <row r="624" spans="1:50" ht="15" x14ac:dyDescent="0.25">
      <c r="A624" s="170"/>
      <c r="B624" s="719">
        <v>794</v>
      </c>
      <c r="C624" s="170"/>
      <c r="D624" s="170"/>
      <c r="E624" s="170"/>
      <c r="F624" s="170"/>
      <c r="G624" s="721"/>
      <c r="H624" s="170"/>
      <c r="I624" s="170"/>
      <c r="J624" s="170"/>
      <c r="K624" s="170"/>
      <c r="L624" s="170"/>
      <c r="M624" s="730"/>
      <c r="N624" s="730"/>
      <c r="O624" s="730"/>
      <c r="P624" s="731"/>
      <c r="Q624" s="731"/>
      <c r="R624" s="730"/>
      <c r="S624" s="730"/>
      <c r="T624" s="723"/>
      <c r="U624" s="724"/>
      <c r="V624" s="725"/>
      <c r="W624" s="725"/>
      <c r="X624" s="723"/>
      <c r="Y624" s="723"/>
      <c r="Z624" s="723"/>
      <c r="AA624" s="726"/>
      <c r="AB624" s="726"/>
      <c r="AC624" s="170"/>
      <c r="AD624" s="586"/>
      <c r="AE624" s="586"/>
      <c r="AF624" s="170"/>
      <c r="AG624" s="170"/>
      <c r="AH624" s="170"/>
      <c r="AI624" s="170"/>
      <c r="AJ624" s="170"/>
      <c r="AK624" s="170"/>
      <c r="AL624" s="170"/>
      <c r="AM624" s="170"/>
      <c r="AN624" s="170"/>
      <c r="AO624" s="170"/>
      <c r="AP624" s="170"/>
      <c r="AQ624" s="170"/>
      <c r="AR624" s="170"/>
      <c r="AS624" s="170"/>
      <c r="AT624" s="170"/>
      <c r="AU624" s="170"/>
      <c r="AV624" s="170"/>
      <c r="AW624" s="828"/>
      <c r="AX624" s="726"/>
    </row>
    <row r="625" spans="1:50" ht="15" x14ac:dyDescent="0.25">
      <c r="A625" s="170"/>
      <c r="B625" s="719">
        <v>795</v>
      </c>
      <c r="C625" s="170"/>
      <c r="D625" s="170"/>
      <c r="E625" s="170"/>
      <c r="F625" s="170"/>
      <c r="G625" s="721"/>
      <c r="H625" s="170"/>
      <c r="I625" s="170"/>
      <c r="J625" s="170"/>
      <c r="K625" s="170"/>
      <c r="L625" s="170"/>
      <c r="M625" s="730"/>
      <c r="N625" s="730"/>
      <c r="O625" s="730"/>
      <c r="P625" s="731"/>
      <c r="Q625" s="731"/>
      <c r="R625" s="730"/>
      <c r="S625" s="730"/>
      <c r="T625" s="723"/>
      <c r="U625" s="724"/>
      <c r="V625" s="725"/>
      <c r="W625" s="725"/>
      <c r="X625" s="723"/>
      <c r="Y625" s="723"/>
      <c r="Z625" s="723"/>
      <c r="AA625" s="726"/>
      <c r="AB625" s="726"/>
      <c r="AC625" s="170"/>
      <c r="AD625" s="586"/>
      <c r="AE625" s="586"/>
      <c r="AF625" s="170"/>
      <c r="AG625" s="170"/>
      <c r="AH625" s="170"/>
      <c r="AI625" s="170"/>
      <c r="AJ625" s="170"/>
      <c r="AK625" s="170"/>
      <c r="AL625" s="170"/>
      <c r="AM625" s="170"/>
      <c r="AN625" s="170"/>
      <c r="AO625" s="170"/>
      <c r="AP625" s="170"/>
      <c r="AQ625" s="170"/>
      <c r="AR625" s="170"/>
      <c r="AS625" s="170"/>
      <c r="AT625" s="170"/>
      <c r="AU625" s="170"/>
      <c r="AV625" s="170"/>
      <c r="AW625" s="828"/>
      <c r="AX625" s="726"/>
    </row>
    <row r="626" spans="1:50" ht="15" x14ac:dyDescent="0.25">
      <c r="A626" s="170"/>
      <c r="B626" s="719">
        <v>796</v>
      </c>
      <c r="C626" s="170"/>
      <c r="D626" s="170"/>
      <c r="E626" s="170"/>
      <c r="F626" s="170"/>
      <c r="G626" s="721"/>
      <c r="H626" s="170"/>
      <c r="I626" s="170"/>
      <c r="J626" s="170"/>
      <c r="K626" s="170"/>
      <c r="L626" s="170"/>
      <c r="M626" s="730"/>
      <c r="N626" s="730"/>
      <c r="O626" s="730"/>
      <c r="P626" s="731"/>
      <c r="Q626" s="731"/>
      <c r="R626" s="730"/>
      <c r="S626" s="730"/>
      <c r="T626" s="723"/>
      <c r="U626" s="724"/>
      <c r="V626" s="725"/>
      <c r="W626" s="725"/>
      <c r="X626" s="723"/>
      <c r="Y626" s="723"/>
      <c r="Z626" s="723"/>
      <c r="AA626" s="726"/>
      <c r="AB626" s="726"/>
      <c r="AC626" s="170"/>
      <c r="AD626" s="586"/>
      <c r="AE626" s="586"/>
      <c r="AF626" s="170"/>
      <c r="AG626" s="170"/>
      <c r="AH626" s="170"/>
      <c r="AI626" s="170"/>
      <c r="AJ626" s="170"/>
      <c r="AK626" s="170"/>
      <c r="AL626" s="170"/>
      <c r="AM626" s="170"/>
      <c r="AN626" s="170"/>
      <c r="AO626" s="170"/>
      <c r="AP626" s="170"/>
      <c r="AQ626" s="170"/>
      <c r="AR626" s="170"/>
      <c r="AS626" s="170"/>
      <c r="AT626" s="170"/>
      <c r="AU626" s="170"/>
      <c r="AV626" s="170"/>
      <c r="AW626" s="828"/>
      <c r="AX626" s="726"/>
    </row>
    <row r="627" spans="1:50" ht="15" x14ac:dyDescent="0.25">
      <c r="A627" s="170"/>
      <c r="B627" s="719">
        <v>797</v>
      </c>
      <c r="C627" s="170"/>
      <c r="D627" s="170"/>
      <c r="E627" s="170"/>
      <c r="F627" s="170"/>
      <c r="G627" s="721"/>
      <c r="H627" s="170"/>
      <c r="I627" s="170"/>
      <c r="J627" s="170"/>
      <c r="K627" s="170"/>
      <c r="L627" s="170"/>
      <c r="M627" s="730"/>
      <c r="N627" s="730"/>
      <c r="O627" s="730"/>
      <c r="P627" s="731"/>
      <c r="Q627" s="731"/>
      <c r="R627" s="730"/>
      <c r="S627" s="730"/>
      <c r="T627" s="723"/>
      <c r="U627" s="724"/>
      <c r="V627" s="725"/>
      <c r="W627" s="725"/>
      <c r="X627" s="723"/>
      <c r="Y627" s="723"/>
      <c r="Z627" s="723"/>
      <c r="AA627" s="726"/>
      <c r="AB627" s="726"/>
      <c r="AC627" s="170"/>
      <c r="AD627" s="586"/>
      <c r="AE627" s="586"/>
      <c r="AF627" s="170"/>
      <c r="AG627" s="170"/>
      <c r="AH627" s="170"/>
      <c r="AI627" s="170"/>
      <c r="AJ627" s="170"/>
      <c r="AK627" s="170"/>
      <c r="AL627" s="170"/>
      <c r="AM627" s="170"/>
      <c r="AN627" s="170"/>
      <c r="AO627" s="170"/>
      <c r="AP627" s="170"/>
      <c r="AQ627" s="170"/>
      <c r="AR627" s="170"/>
      <c r="AS627" s="170"/>
      <c r="AT627" s="170"/>
      <c r="AU627" s="170"/>
      <c r="AV627" s="170"/>
      <c r="AW627" s="828"/>
      <c r="AX627" s="726"/>
    </row>
    <row r="628" spans="1:50" ht="15" x14ac:dyDescent="0.25">
      <c r="A628" s="170"/>
      <c r="B628" s="719">
        <v>798</v>
      </c>
      <c r="C628" s="170"/>
      <c r="D628" s="170"/>
      <c r="E628" s="170"/>
      <c r="F628" s="170"/>
      <c r="G628" s="721"/>
      <c r="H628" s="170"/>
      <c r="I628" s="170"/>
      <c r="J628" s="170"/>
      <c r="K628" s="170"/>
      <c r="L628" s="170"/>
      <c r="M628" s="730"/>
      <c r="N628" s="730"/>
      <c r="O628" s="730"/>
      <c r="P628" s="731"/>
      <c r="Q628" s="731"/>
      <c r="R628" s="730"/>
      <c r="S628" s="730"/>
      <c r="T628" s="723"/>
      <c r="U628" s="724"/>
      <c r="V628" s="725"/>
      <c r="W628" s="725"/>
      <c r="X628" s="723"/>
      <c r="Y628" s="723"/>
      <c r="Z628" s="723"/>
      <c r="AA628" s="726"/>
      <c r="AB628" s="726"/>
      <c r="AC628" s="170"/>
      <c r="AD628" s="586"/>
      <c r="AE628" s="586"/>
      <c r="AF628" s="170"/>
      <c r="AG628" s="170"/>
      <c r="AH628" s="170"/>
      <c r="AI628" s="170"/>
      <c r="AJ628" s="170"/>
      <c r="AK628" s="170"/>
      <c r="AL628" s="170"/>
      <c r="AM628" s="170"/>
      <c r="AN628" s="170"/>
      <c r="AO628" s="170"/>
      <c r="AP628" s="170"/>
      <c r="AQ628" s="170"/>
      <c r="AR628" s="170"/>
      <c r="AS628" s="170"/>
      <c r="AT628" s="170"/>
      <c r="AU628" s="170"/>
      <c r="AV628" s="170"/>
      <c r="AW628" s="828"/>
      <c r="AX628" s="726"/>
    </row>
    <row r="629" spans="1:50" ht="15" x14ac:dyDescent="0.25">
      <c r="A629" s="170"/>
      <c r="B629" s="719">
        <v>799</v>
      </c>
      <c r="C629" s="170"/>
      <c r="D629" s="170"/>
      <c r="E629" s="170"/>
      <c r="F629" s="170"/>
      <c r="G629" s="721"/>
      <c r="H629" s="170"/>
      <c r="I629" s="170"/>
      <c r="J629" s="170"/>
      <c r="K629" s="170"/>
      <c r="L629" s="170"/>
      <c r="M629" s="730"/>
      <c r="N629" s="730"/>
      <c r="O629" s="730"/>
      <c r="P629" s="731"/>
      <c r="Q629" s="731"/>
      <c r="R629" s="730"/>
      <c r="S629" s="730"/>
      <c r="T629" s="723"/>
      <c r="U629" s="724"/>
      <c r="V629" s="725"/>
      <c r="W629" s="725"/>
      <c r="X629" s="723"/>
      <c r="Y629" s="723"/>
      <c r="Z629" s="723"/>
      <c r="AA629" s="726"/>
      <c r="AB629" s="726"/>
      <c r="AC629" s="170"/>
      <c r="AD629" s="586"/>
      <c r="AE629" s="586"/>
      <c r="AF629" s="170"/>
      <c r="AG629" s="170"/>
      <c r="AH629" s="170"/>
      <c r="AI629" s="170"/>
      <c r="AJ629" s="170"/>
      <c r="AK629" s="170"/>
      <c r="AL629" s="170"/>
      <c r="AM629" s="170"/>
      <c r="AN629" s="170"/>
      <c r="AO629" s="170"/>
      <c r="AP629" s="170"/>
      <c r="AQ629" s="170"/>
      <c r="AR629" s="170"/>
      <c r="AS629" s="170"/>
      <c r="AT629" s="170"/>
      <c r="AU629" s="170"/>
      <c r="AV629" s="170"/>
      <c r="AW629" s="828"/>
      <c r="AX629" s="726"/>
    </row>
    <row r="630" spans="1:50" ht="15" x14ac:dyDescent="0.25">
      <c r="A630" s="170"/>
      <c r="B630" s="719">
        <v>800</v>
      </c>
      <c r="C630" s="170"/>
      <c r="D630" s="170"/>
      <c r="E630" s="170"/>
      <c r="F630" s="170"/>
      <c r="G630" s="721"/>
      <c r="H630" s="170"/>
      <c r="I630" s="170"/>
      <c r="J630" s="170"/>
      <c r="K630" s="170"/>
      <c r="L630" s="170"/>
      <c r="M630" s="730"/>
      <c r="N630" s="730"/>
      <c r="O630" s="730"/>
      <c r="P630" s="731"/>
      <c r="Q630" s="731"/>
      <c r="R630" s="730"/>
      <c r="S630" s="730"/>
      <c r="T630" s="723"/>
      <c r="U630" s="724"/>
      <c r="V630" s="725"/>
      <c r="W630" s="725"/>
      <c r="X630" s="723"/>
      <c r="Y630" s="723"/>
      <c r="Z630" s="723"/>
      <c r="AA630" s="726"/>
      <c r="AB630" s="726"/>
      <c r="AC630" s="170"/>
      <c r="AD630" s="586"/>
      <c r="AE630" s="586"/>
      <c r="AF630" s="170"/>
      <c r="AG630" s="170"/>
      <c r="AH630" s="170"/>
      <c r="AI630" s="170"/>
      <c r="AJ630" s="170"/>
      <c r="AK630" s="170"/>
      <c r="AL630" s="170"/>
      <c r="AM630" s="170"/>
      <c r="AN630" s="170"/>
      <c r="AO630" s="170"/>
      <c r="AP630" s="170"/>
      <c r="AQ630" s="170"/>
      <c r="AR630" s="170"/>
      <c r="AS630" s="170"/>
      <c r="AT630" s="170"/>
      <c r="AU630" s="170"/>
      <c r="AV630" s="170"/>
      <c r="AW630" s="828"/>
      <c r="AX630" s="726"/>
    </row>
    <row r="631" spans="1:50" ht="15" x14ac:dyDescent="0.25">
      <c r="A631" s="170"/>
      <c r="B631" s="719">
        <v>801</v>
      </c>
      <c r="C631" s="170"/>
      <c r="D631" s="170"/>
      <c r="E631" s="170"/>
      <c r="F631" s="170"/>
      <c r="G631" s="721"/>
      <c r="H631" s="170"/>
      <c r="I631" s="170"/>
      <c r="J631" s="170"/>
      <c r="K631" s="170"/>
      <c r="L631" s="170"/>
      <c r="M631" s="730"/>
      <c r="N631" s="730"/>
      <c r="O631" s="730"/>
      <c r="P631" s="731"/>
      <c r="Q631" s="731"/>
      <c r="R631" s="730"/>
      <c r="S631" s="730"/>
      <c r="T631" s="723"/>
      <c r="U631" s="724"/>
      <c r="V631" s="725"/>
      <c r="W631" s="725"/>
      <c r="X631" s="723"/>
      <c r="Y631" s="723"/>
      <c r="Z631" s="723"/>
      <c r="AA631" s="726"/>
      <c r="AB631" s="726"/>
      <c r="AC631" s="170"/>
      <c r="AD631" s="586"/>
      <c r="AE631" s="586"/>
      <c r="AF631" s="170"/>
      <c r="AG631" s="170"/>
      <c r="AH631" s="170"/>
      <c r="AI631" s="170"/>
      <c r="AJ631" s="170"/>
      <c r="AK631" s="170"/>
      <c r="AL631" s="170"/>
      <c r="AM631" s="170"/>
      <c r="AN631" s="170"/>
      <c r="AO631" s="170"/>
      <c r="AP631" s="170"/>
      <c r="AQ631" s="170"/>
      <c r="AR631" s="170"/>
      <c r="AS631" s="170"/>
      <c r="AT631" s="170"/>
      <c r="AU631" s="170"/>
      <c r="AV631" s="170"/>
      <c r="AW631" s="828"/>
      <c r="AX631" s="726"/>
    </row>
    <row r="632" spans="1:50" ht="15" x14ac:dyDescent="0.25">
      <c r="A632" s="170"/>
      <c r="B632" s="719">
        <v>802</v>
      </c>
      <c r="C632" s="170"/>
      <c r="D632" s="170"/>
      <c r="E632" s="170"/>
      <c r="F632" s="170"/>
      <c r="G632" s="721"/>
      <c r="H632" s="170"/>
      <c r="I632" s="170"/>
      <c r="J632" s="170"/>
      <c r="K632" s="170"/>
      <c r="L632" s="170"/>
      <c r="M632" s="730"/>
      <c r="N632" s="730"/>
      <c r="O632" s="730"/>
      <c r="P632" s="731"/>
      <c r="Q632" s="731"/>
      <c r="R632" s="730"/>
      <c r="S632" s="730"/>
      <c r="T632" s="723"/>
      <c r="U632" s="724"/>
      <c r="V632" s="725"/>
      <c r="W632" s="725"/>
      <c r="X632" s="723"/>
      <c r="Y632" s="723"/>
      <c r="Z632" s="723"/>
      <c r="AA632" s="726"/>
      <c r="AB632" s="726"/>
      <c r="AC632" s="170"/>
      <c r="AD632" s="586"/>
      <c r="AE632" s="586"/>
      <c r="AF632" s="170"/>
      <c r="AG632" s="170"/>
      <c r="AH632" s="170"/>
      <c r="AI632" s="170"/>
      <c r="AJ632" s="170"/>
      <c r="AK632" s="170"/>
      <c r="AL632" s="170"/>
      <c r="AM632" s="170"/>
      <c r="AN632" s="170"/>
      <c r="AO632" s="170"/>
      <c r="AP632" s="170"/>
      <c r="AQ632" s="170"/>
      <c r="AR632" s="170"/>
      <c r="AS632" s="170"/>
      <c r="AT632" s="170"/>
      <c r="AU632" s="170"/>
      <c r="AV632" s="170"/>
      <c r="AW632" s="828"/>
      <c r="AX632" s="726"/>
    </row>
    <row r="633" spans="1:50" ht="15" x14ac:dyDescent="0.25">
      <c r="A633" s="170"/>
      <c r="B633" s="719">
        <v>803</v>
      </c>
      <c r="C633" s="170"/>
      <c r="D633" s="170"/>
      <c r="E633" s="170"/>
      <c r="F633" s="170"/>
      <c r="G633" s="721"/>
      <c r="H633" s="170"/>
      <c r="I633" s="170"/>
      <c r="J633" s="170"/>
      <c r="K633" s="170"/>
      <c r="L633" s="170"/>
      <c r="M633" s="730"/>
      <c r="N633" s="730"/>
      <c r="O633" s="730"/>
      <c r="P633" s="731"/>
      <c r="Q633" s="731"/>
      <c r="R633" s="730"/>
      <c r="S633" s="730"/>
      <c r="T633" s="723"/>
      <c r="U633" s="724"/>
      <c r="V633" s="725"/>
      <c r="W633" s="725"/>
      <c r="X633" s="723"/>
      <c r="Y633" s="723"/>
      <c r="Z633" s="723"/>
      <c r="AA633" s="726"/>
      <c r="AB633" s="726"/>
      <c r="AC633" s="170"/>
      <c r="AD633" s="586"/>
      <c r="AE633" s="586"/>
      <c r="AF633" s="170"/>
      <c r="AG633" s="170"/>
      <c r="AH633" s="170"/>
      <c r="AI633" s="170"/>
      <c r="AJ633" s="170"/>
      <c r="AK633" s="170"/>
      <c r="AL633" s="170"/>
      <c r="AM633" s="170"/>
      <c r="AN633" s="170"/>
      <c r="AO633" s="170"/>
      <c r="AP633" s="170"/>
      <c r="AQ633" s="170"/>
      <c r="AR633" s="170"/>
      <c r="AS633" s="170"/>
      <c r="AT633" s="170"/>
      <c r="AU633" s="170"/>
      <c r="AV633" s="170"/>
      <c r="AW633" s="828"/>
      <c r="AX633" s="726"/>
    </row>
    <row r="634" spans="1:50" ht="15" x14ac:dyDescent="0.25">
      <c r="A634" s="170"/>
      <c r="B634" s="719">
        <v>804</v>
      </c>
      <c r="C634" s="170"/>
      <c r="D634" s="170"/>
      <c r="E634" s="170"/>
      <c r="F634" s="170"/>
      <c r="G634" s="721"/>
      <c r="H634" s="170"/>
      <c r="I634" s="170"/>
      <c r="J634" s="170"/>
      <c r="K634" s="170"/>
      <c r="L634" s="170"/>
      <c r="M634" s="730"/>
      <c r="N634" s="730"/>
      <c r="O634" s="730"/>
      <c r="P634" s="731"/>
      <c r="Q634" s="731"/>
      <c r="R634" s="730"/>
      <c r="S634" s="730"/>
      <c r="T634" s="723"/>
      <c r="U634" s="724"/>
      <c r="V634" s="725"/>
      <c r="W634" s="725"/>
      <c r="X634" s="723"/>
      <c r="Y634" s="723"/>
      <c r="Z634" s="723"/>
      <c r="AA634" s="726"/>
      <c r="AB634" s="726"/>
      <c r="AC634" s="170"/>
      <c r="AD634" s="586"/>
      <c r="AE634" s="586"/>
      <c r="AF634" s="170"/>
      <c r="AG634" s="170"/>
      <c r="AH634" s="170"/>
      <c r="AI634" s="170"/>
      <c r="AJ634" s="170"/>
      <c r="AK634" s="170"/>
      <c r="AL634" s="170"/>
      <c r="AM634" s="170"/>
      <c r="AN634" s="170"/>
      <c r="AO634" s="170"/>
      <c r="AP634" s="170"/>
      <c r="AQ634" s="170"/>
      <c r="AR634" s="170"/>
      <c r="AS634" s="170"/>
      <c r="AT634" s="170"/>
      <c r="AU634" s="170"/>
      <c r="AV634" s="170"/>
      <c r="AW634" s="828"/>
      <c r="AX634" s="726"/>
    </row>
    <row r="635" spans="1:50" ht="15" x14ac:dyDescent="0.25">
      <c r="A635" s="170"/>
      <c r="B635" s="719">
        <v>805</v>
      </c>
      <c r="C635" s="170"/>
      <c r="D635" s="170"/>
      <c r="E635" s="170"/>
      <c r="F635" s="170"/>
      <c r="G635" s="721"/>
      <c r="H635" s="170"/>
      <c r="I635" s="170"/>
      <c r="J635" s="170"/>
      <c r="K635" s="170"/>
      <c r="L635" s="170"/>
      <c r="M635" s="730"/>
      <c r="N635" s="730"/>
      <c r="O635" s="730"/>
      <c r="P635" s="731"/>
      <c r="Q635" s="731"/>
      <c r="R635" s="730"/>
      <c r="S635" s="730"/>
      <c r="T635" s="723"/>
      <c r="U635" s="724"/>
      <c r="V635" s="725"/>
      <c r="W635" s="725"/>
      <c r="X635" s="723"/>
      <c r="Y635" s="723"/>
      <c r="Z635" s="723"/>
      <c r="AA635" s="726"/>
      <c r="AB635" s="726"/>
      <c r="AC635" s="170"/>
      <c r="AD635" s="586"/>
      <c r="AE635" s="586"/>
      <c r="AF635" s="170"/>
      <c r="AG635" s="170"/>
      <c r="AH635" s="170"/>
      <c r="AI635" s="170"/>
      <c r="AJ635" s="170"/>
      <c r="AK635" s="170"/>
      <c r="AL635" s="170"/>
      <c r="AM635" s="170"/>
      <c r="AN635" s="170"/>
      <c r="AO635" s="170"/>
      <c r="AP635" s="170"/>
      <c r="AQ635" s="170"/>
      <c r="AR635" s="170"/>
      <c r="AS635" s="170"/>
      <c r="AT635" s="170"/>
      <c r="AU635" s="170"/>
      <c r="AV635" s="170"/>
      <c r="AW635" s="828"/>
      <c r="AX635" s="726"/>
    </row>
    <row r="636" spans="1:50" ht="15" x14ac:dyDescent="0.25">
      <c r="A636" s="170"/>
      <c r="B636" s="719">
        <v>806</v>
      </c>
      <c r="C636" s="170"/>
      <c r="D636" s="170"/>
      <c r="E636" s="170"/>
      <c r="F636" s="170"/>
      <c r="G636" s="721"/>
      <c r="H636" s="170"/>
      <c r="I636" s="170"/>
      <c r="J636" s="170"/>
      <c r="K636" s="170"/>
      <c r="L636" s="170"/>
      <c r="M636" s="730"/>
      <c r="N636" s="730"/>
      <c r="O636" s="730"/>
      <c r="P636" s="731"/>
      <c r="Q636" s="731"/>
      <c r="R636" s="730"/>
      <c r="S636" s="730"/>
      <c r="T636" s="723"/>
      <c r="U636" s="724"/>
      <c r="V636" s="725"/>
      <c r="W636" s="725"/>
      <c r="X636" s="723"/>
      <c r="Y636" s="723"/>
      <c r="Z636" s="723"/>
      <c r="AA636" s="726"/>
      <c r="AB636" s="726"/>
      <c r="AC636" s="170"/>
      <c r="AD636" s="586"/>
      <c r="AE636" s="586"/>
      <c r="AF636" s="170"/>
      <c r="AG636" s="170"/>
      <c r="AH636" s="170"/>
      <c r="AI636" s="170"/>
      <c r="AJ636" s="170"/>
      <c r="AK636" s="170"/>
      <c r="AL636" s="170"/>
      <c r="AM636" s="170"/>
      <c r="AN636" s="170"/>
      <c r="AO636" s="170"/>
      <c r="AP636" s="170"/>
      <c r="AQ636" s="170"/>
      <c r="AR636" s="170"/>
      <c r="AS636" s="170"/>
      <c r="AT636" s="170"/>
      <c r="AU636" s="170"/>
      <c r="AV636" s="170"/>
      <c r="AW636" s="828"/>
      <c r="AX636" s="726"/>
    </row>
    <row r="637" spans="1:50" ht="15" x14ac:dyDescent="0.25">
      <c r="A637" s="170"/>
      <c r="B637" s="719">
        <v>807</v>
      </c>
      <c r="C637" s="170"/>
      <c r="D637" s="170"/>
      <c r="E637" s="170"/>
      <c r="F637" s="170"/>
      <c r="G637" s="721"/>
      <c r="H637" s="170"/>
      <c r="I637" s="170"/>
      <c r="J637" s="170"/>
      <c r="K637" s="170"/>
      <c r="L637" s="170"/>
      <c r="M637" s="730"/>
      <c r="N637" s="730"/>
      <c r="O637" s="730"/>
      <c r="P637" s="731"/>
      <c r="Q637" s="731"/>
      <c r="R637" s="730"/>
      <c r="S637" s="730"/>
      <c r="T637" s="723"/>
      <c r="U637" s="724"/>
      <c r="V637" s="725"/>
      <c r="W637" s="725"/>
      <c r="X637" s="723"/>
      <c r="Y637" s="723"/>
      <c r="Z637" s="723"/>
      <c r="AA637" s="726"/>
      <c r="AB637" s="726"/>
      <c r="AC637" s="170"/>
      <c r="AD637" s="586"/>
      <c r="AE637" s="586"/>
      <c r="AF637" s="170"/>
      <c r="AG637" s="170"/>
      <c r="AH637" s="170"/>
      <c r="AI637" s="170"/>
      <c r="AJ637" s="170"/>
      <c r="AK637" s="170"/>
      <c r="AL637" s="170"/>
      <c r="AM637" s="170"/>
      <c r="AN637" s="170"/>
      <c r="AO637" s="170"/>
      <c r="AP637" s="170"/>
      <c r="AQ637" s="170"/>
      <c r="AR637" s="170"/>
      <c r="AS637" s="170"/>
      <c r="AT637" s="170"/>
      <c r="AU637" s="170"/>
      <c r="AV637" s="170"/>
      <c r="AW637" s="828"/>
      <c r="AX637" s="726"/>
    </row>
    <row r="638" spans="1:50" ht="15" x14ac:dyDescent="0.25">
      <c r="A638" s="170"/>
      <c r="B638" s="719">
        <v>808</v>
      </c>
      <c r="C638" s="170"/>
      <c r="D638" s="170"/>
      <c r="E638" s="170"/>
      <c r="F638" s="170"/>
      <c r="G638" s="721"/>
      <c r="H638" s="170"/>
      <c r="I638" s="170"/>
      <c r="J638" s="170"/>
      <c r="K638" s="170"/>
      <c r="L638" s="170"/>
      <c r="M638" s="730"/>
      <c r="N638" s="730"/>
      <c r="O638" s="730"/>
      <c r="P638" s="731"/>
      <c r="Q638" s="731"/>
      <c r="R638" s="730"/>
      <c r="S638" s="730"/>
      <c r="T638" s="723"/>
      <c r="U638" s="724"/>
      <c r="V638" s="725"/>
      <c r="W638" s="725"/>
      <c r="X638" s="723"/>
      <c r="Y638" s="723"/>
      <c r="Z638" s="723"/>
      <c r="AA638" s="726"/>
      <c r="AB638" s="726"/>
      <c r="AC638" s="170"/>
      <c r="AD638" s="586"/>
      <c r="AE638" s="586"/>
      <c r="AF638" s="170"/>
      <c r="AG638" s="170"/>
      <c r="AH638" s="170"/>
      <c r="AI638" s="170"/>
      <c r="AJ638" s="170"/>
      <c r="AK638" s="170"/>
      <c r="AL638" s="170"/>
      <c r="AM638" s="170"/>
      <c r="AN638" s="170"/>
      <c r="AO638" s="170"/>
      <c r="AP638" s="170"/>
      <c r="AQ638" s="170"/>
      <c r="AR638" s="170"/>
      <c r="AS638" s="170"/>
      <c r="AT638" s="170"/>
      <c r="AU638" s="170"/>
      <c r="AV638" s="170"/>
      <c r="AW638" s="828"/>
      <c r="AX638" s="726"/>
    </row>
    <row r="639" spans="1:50" ht="15" x14ac:dyDescent="0.25">
      <c r="A639" s="170"/>
      <c r="B639" s="719">
        <v>809</v>
      </c>
      <c r="C639" s="170"/>
      <c r="D639" s="170"/>
      <c r="E639" s="170"/>
      <c r="F639" s="170"/>
      <c r="G639" s="721"/>
      <c r="H639" s="170"/>
      <c r="I639" s="170"/>
      <c r="J639" s="170"/>
      <c r="K639" s="170"/>
      <c r="L639" s="170"/>
      <c r="M639" s="730"/>
      <c r="N639" s="730"/>
      <c r="O639" s="730"/>
      <c r="P639" s="731"/>
      <c r="Q639" s="731"/>
      <c r="R639" s="730"/>
      <c r="S639" s="730"/>
      <c r="T639" s="723"/>
      <c r="U639" s="724"/>
      <c r="V639" s="725"/>
      <c r="W639" s="725"/>
      <c r="X639" s="723"/>
      <c r="Y639" s="723"/>
      <c r="Z639" s="723"/>
      <c r="AA639" s="726"/>
      <c r="AB639" s="726"/>
      <c r="AC639" s="170"/>
      <c r="AD639" s="586"/>
      <c r="AE639" s="586"/>
      <c r="AF639" s="170"/>
      <c r="AG639" s="170"/>
      <c r="AH639" s="170"/>
      <c r="AI639" s="170"/>
      <c r="AJ639" s="170"/>
      <c r="AK639" s="170"/>
      <c r="AL639" s="170"/>
      <c r="AM639" s="170"/>
      <c r="AN639" s="170"/>
      <c r="AO639" s="170"/>
      <c r="AP639" s="170"/>
      <c r="AQ639" s="170"/>
      <c r="AR639" s="170"/>
      <c r="AS639" s="170"/>
      <c r="AT639" s="170"/>
      <c r="AU639" s="170"/>
      <c r="AV639" s="170"/>
      <c r="AW639" s="828"/>
      <c r="AX639" s="726"/>
    </row>
    <row r="640" spans="1:50" ht="15" x14ac:dyDescent="0.25">
      <c r="A640" s="170"/>
      <c r="B640" s="719">
        <v>810</v>
      </c>
      <c r="C640" s="170"/>
      <c r="D640" s="170"/>
      <c r="E640" s="170"/>
      <c r="F640" s="170"/>
      <c r="G640" s="721"/>
      <c r="H640" s="170"/>
      <c r="I640" s="170"/>
      <c r="J640" s="170"/>
      <c r="K640" s="170"/>
      <c r="L640" s="170"/>
      <c r="M640" s="730"/>
      <c r="N640" s="730"/>
      <c r="O640" s="730"/>
      <c r="P640" s="731"/>
      <c r="Q640" s="731"/>
      <c r="R640" s="730"/>
      <c r="S640" s="730"/>
      <c r="T640" s="723"/>
      <c r="U640" s="724"/>
      <c r="V640" s="725"/>
      <c r="W640" s="725"/>
      <c r="X640" s="723"/>
      <c r="Y640" s="723"/>
      <c r="Z640" s="723"/>
      <c r="AA640" s="726"/>
      <c r="AB640" s="726"/>
      <c r="AC640" s="170"/>
      <c r="AD640" s="586"/>
      <c r="AE640" s="586"/>
      <c r="AF640" s="170"/>
      <c r="AG640" s="170"/>
      <c r="AH640" s="170"/>
      <c r="AI640" s="170"/>
      <c r="AJ640" s="170"/>
      <c r="AK640" s="170"/>
      <c r="AL640" s="170"/>
      <c r="AM640" s="170"/>
      <c r="AN640" s="170"/>
      <c r="AO640" s="170"/>
      <c r="AP640" s="170"/>
      <c r="AQ640" s="170"/>
      <c r="AR640" s="170"/>
      <c r="AS640" s="170"/>
      <c r="AT640" s="170"/>
      <c r="AU640" s="170"/>
      <c r="AV640" s="170"/>
      <c r="AW640" s="828"/>
      <c r="AX640" s="726"/>
    </row>
    <row r="641" spans="1:50" ht="15" x14ac:dyDescent="0.25">
      <c r="A641" s="170"/>
      <c r="B641" s="719">
        <v>811</v>
      </c>
      <c r="C641" s="170"/>
      <c r="D641" s="170"/>
      <c r="E641" s="170"/>
      <c r="F641" s="170"/>
      <c r="G641" s="721"/>
      <c r="H641" s="170"/>
      <c r="I641" s="170"/>
      <c r="J641" s="170"/>
      <c r="K641" s="170"/>
      <c r="L641" s="170"/>
      <c r="M641" s="730"/>
      <c r="N641" s="730"/>
      <c r="O641" s="730"/>
      <c r="P641" s="731"/>
      <c r="Q641" s="731"/>
      <c r="R641" s="730"/>
      <c r="S641" s="730"/>
      <c r="T641" s="723"/>
      <c r="U641" s="724"/>
      <c r="V641" s="725"/>
      <c r="W641" s="725"/>
      <c r="X641" s="723"/>
      <c r="Y641" s="723"/>
      <c r="Z641" s="723"/>
      <c r="AA641" s="726"/>
      <c r="AB641" s="726"/>
      <c r="AC641" s="170"/>
      <c r="AD641" s="586"/>
      <c r="AE641" s="586"/>
      <c r="AF641" s="170"/>
      <c r="AG641" s="170"/>
      <c r="AH641" s="170"/>
      <c r="AI641" s="170"/>
      <c r="AJ641" s="170"/>
      <c r="AK641" s="170"/>
      <c r="AL641" s="170"/>
      <c r="AM641" s="170"/>
      <c r="AN641" s="170"/>
      <c r="AO641" s="170"/>
      <c r="AP641" s="170"/>
      <c r="AQ641" s="170"/>
      <c r="AR641" s="170"/>
      <c r="AS641" s="170"/>
      <c r="AT641" s="170"/>
      <c r="AU641" s="170"/>
      <c r="AV641" s="170"/>
      <c r="AW641" s="828"/>
      <c r="AX641" s="726"/>
    </row>
    <row r="642" spans="1:50" ht="15" x14ac:dyDescent="0.25">
      <c r="A642" s="170"/>
      <c r="B642" s="719">
        <v>812</v>
      </c>
      <c r="C642" s="170"/>
      <c r="D642" s="170"/>
      <c r="E642" s="170"/>
      <c r="F642" s="170"/>
      <c r="G642" s="721"/>
      <c r="H642" s="170"/>
      <c r="I642" s="170"/>
      <c r="J642" s="170"/>
      <c r="K642" s="170"/>
      <c r="L642" s="170"/>
      <c r="M642" s="730"/>
      <c r="N642" s="730"/>
      <c r="O642" s="730"/>
      <c r="P642" s="731"/>
      <c r="Q642" s="731"/>
      <c r="R642" s="730"/>
      <c r="S642" s="730"/>
      <c r="T642" s="723"/>
      <c r="U642" s="724"/>
      <c r="V642" s="725"/>
      <c r="W642" s="725"/>
      <c r="X642" s="723"/>
      <c r="Y642" s="723"/>
      <c r="Z642" s="723"/>
      <c r="AA642" s="726"/>
      <c r="AB642" s="726"/>
      <c r="AC642" s="170"/>
      <c r="AD642" s="586"/>
      <c r="AE642" s="586"/>
      <c r="AF642" s="170"/>
      <c r="AG642" s="170"/>
      <c r="AH642" s="170"/>
      <c r="AI642" s="170"/>
      <c r="AJ642" s="170"/>
      <c r="AK642" s="170"/>
      <c r="AL642" s="170"/>
      <c r="AM642" s="170"/>
      <c r="AN642" s="170"/>
      <c r="AO642" s="170"/>
      <c r="AP642" s="170"/>
      <c r="AQ642" s="170"/>
      <c r="AR642" s="170"/>
      <c r="AS642" s="170"/>
      <c r="AT642" s="170"/>
      <c r="AU642" s="170"/>
      <c r="AV642" s="170"/>
      <c r="AW642" s="828"/>
      <c r="AX642" s="726"/>
    </row>
    <row r="643" spans="1:50" ht="15" x14ac:dyDescent="0.25">
      <c r="A643" s="170"/>
      <c r="B643" s="719">
        <v>813</v>
      </c>
      <c r="C643" s="170"/>
      <c r="D643" s="170"/>
      <c r="E643" s="170"/>
      <c r="F643" s="170"/>
      <c r="G643" s="721"/>
      <c r="H643" s="170"/>
      <c r="I643" s="170"/>
      <c r="J643" s="170"/>
      <c r="K643" s="170"/>
      <c r="L643" s="170"/>
      <c r="M643" s="730"/>
      <c r="N643" s="730"/>
      <c r="O643" s="730"/>
      <c r="P643" s="731"/>
      <c r="Q643" s="731"/>
      <c r="R643" s="730"/>
      <c r="S643" s="730"/>
      <c r="T643" s="723"/>
      <c r="U643" s="724"/>
      <c r="V643" s="725"/>
      <c r="W643" s="725"/>
      <c r="X643" s="723"/>
      <c r="Y643" s="723"/>
      <c r="Z643" s="723"/>
      <c r="AA643" s="726"/>
      <c r="AB643" s="726"/>
      <c r="AC643" s="170"/>
      <c r="AD643" s="586"/>
      <c r="AE643" s="586"/>
      <c r="AF643" s="170"/>
      <c r="AG643" s="170"/>
      <c r="AH643" s="170"/>
      <c r="AI643" s="170"/>
      <c r="AJ643" s="170"/>
      <c r="AK643" s="170"/>
      <c r="AL643" s="170"/>
      <c r="AM643" s="170"/>
      <c r="AN643" s="170"/>
      <c r="AO643" s="170"/>
      <c r="AP643" s="170"/>
      <c r="AQ643" s="170"/>
      <c r="AR643" s="170"/>
      <c r="AS643" s="170"/>
      <c r="AT643" s="170"/>
      <c r="AU643" s="170"/>
      <c r="AV643" s="170"/>
      <c r="AW643" s="828"/>
      <c r="AX643" s="726"/>
    </row>
    <row r="644" spans="1:50" ht="15" x14ac:dyDescent="0.25">
      <c r="A644" s="170"/>
      <c r="B644" s="719">
        <v>814</v>
      </c>
      <c r="C644" s="170"/>
      <c r="D644" s="170"/>
      <c r="E644" s="170"/>
      <c r="F644" s="170"/>
      <c r="G644" s="721"/>
      <c r="H644" s="170"/>
      <c r="I644" s="170"/>
      <c r="J644" s="170"/>
      <c r="K644" s="170"/>
      <c r="L644" s="170"/>
      <c r="M644" s="730"/>
      <c r="N644" s="730"/>
      <c r="O644" s="730"/>
      <c r="P644" s="731"/>
      <c r="Q644" s="731"/>
      <c r="R644" s="730"/>
      <c r="S644" s="730"/>
      <c r="T644" s="723"/>
      <c r="U644" s="724"/>
      <c r="V644" s="725"/>
      <c r="W644" s="725"/>
      <c r="X644" s="723"/>
      <c r="Y644" s="723"/>
      <c r="Z644" s="723"/>
      <c r="AA644" s="726"/>
      <c r="AB644" s="726"/>
      <c r="AC644" s="170"/>
      <c r="AD644" s="586"/>
      <c r="AE644" s="586"/>
      <c r="AF644" s="170"/>
      <c r="AG644" s="170"/>
      <c r="AH644" s="170"/>
      <c r="AI644" s="170"/>
      <c r="AJ644" s="170"/>
      <c r="AK644" s="170"/>
      <c r="AL644" s="170"/>
      <c r="AM644" s="170"/>
      <c r="AN644" s="170"/>
      <c r="AO644" s="170"/>
      <c r="AP644" s="170"/>
      <c r="AQ644" s="170"/>
      <c r="AR644" s="170"/>
      <c r="AS644" s="170"/>
      <c r="AT644" s="170"/>
      <c r="AU644" s="170"/>
      <c r="AV644" s="170"/>
      <c r="AW644" s="828"/>
      <c r="AX644" s="726"/>
    </row>
    <row r="645" spans="1:50" ht="15" x14ac:dyDescent="0.25">
      <c r="A645" s="170"/>
      <c r="B645" s="719">
        <v>815</v>
      </c>
      <c r="C645" s="170"/>
      <c r="D645" s="170"/>
      <c r="E645" s="170"/>
      <c r="F645" s="170"/>
      <c r="G645" s="721"/>
      <c r="H645" s="170"/>
      <c r="I645" s="170"/>
      <c r="J645" s="170"/>
      <c r="K645" s="170"/>
      <c r="L645" s="170"/>
      <c r="M645" s="730"/>
      <c r="N645" s="730"/>
      <c r="O645" s="730"/>
      <c r="P645" s="731"/>
      <c r="Q645" s="731"/>
      <c r="R645" s="730"/>
      <c r="S645" s="730"/>
      <c r="T645" s="723"/>
      <c r="U645" s="724"/>
      <c r="V645" s="725"/>
      <c r="W645" s="725"/>
      <c r="X645" s="723"/>
      <c r="Y645" s="723"/>
      <c r="Z645" s="723"/>
      <c r="AA645" s="726"/>
      <c r="AB645" s="726"/>
      <c r="AC645" s="170"/>
      <c r="AD645" s="586"/>
      <c r="AE645" s="586"/>
      <c r="AF645" s="170"/>
      <c r="AG645" s="170"/>
      <c r="AH645" s="170"/>
      <c r="AI645" s="170"/>
      <c r="AJ645" s="170"/>
      <c r="AK645" s="170"/>
      <c r="AL645" s="170"/>
      <c r="AM645" s="170"/>
      <c r="AN645" s="170"/>
      <c r="AO645" s="170"/>
      <c r="AP645" s="170"/>
      <c r="AQ645" s="170"/>
      <c r="AR645" s="170"/>
      <c r="AS645" s="170"/>
      <c r="AT645" s="170"/>
      <c r="AU645" s="170"/>
      <c r="AV645" s="170"/>
      <c r="AW645" s="828"/>
      <c r="AX645" s="726"/>
    </row>
    <row r="646" spans="1:50" ht="15" x14ac:dyDescent="0.25">
      <c r="A646" s="170"/>
      <c r="B646" s="719">
        <v>816</v>
      </c>
      <c r="C646" s="170"/>
      <c r="D646" s="170"/>
      <c r="E646" s="170"/>
      <c r="F646" s="170"/>
      <c r="G646" s="721"/>
      <c r="H646" s="170"/>
      <c r="I646" s="170"/>
      <c r="J646" s="170"/>
      <c r="K646" s="170"/>
      <c r="L646" s="170"/>
      <c r="M646" s="730"/>
      <c r="N646" s="730"/>
      <c r="O646" s="730"/>
      <c r="P646" s="731"/>
      <c r="Q646" s="731"/>
      <c r="R646" s="730"/>
      <c r="S646" s="730"/>
      <c r="T646" s="723"/>
      <c r="U646" s="724"/>
      <c r="V646" s="725"/>
      <c r="W646" s="725"/>
      <c r="X646" s="723"/>
      <c r="Y646" s="723"/>
      <c r="Z646" s="723"/>
      <c r="AA646" s="726"/>
      <c r="AB646" s="726"/>
      <c r="AC646" s="170"/>
      <c r="AD646" s="586"/>
      <c r="AE646" s="586"/>
      <c r="AF646" s="170"/>
      <c r="AG646" s="170"/>
      <c r="AH646" s="170"/>
      <c r="AI646" s="170"/>
      <c r="AJ646" s="170"/>
      <c r="AK646" s="170"/>
      <c r="AL646" s="170"/>
      <c r="AM646" s="170"/>
      <c r="AN646" s="170"/>
      <c r="AO646" s="170"/>
      <c r="AP646" s="170"/>
      <c r="AQ646" s="170"/>
      <c r="AR646" s="170"/>
      <c r="AS646" s="170"/>
      <c r="AT646" s="170"/>
      <c r="AU646" s="170"/>
      <c r="AV646" s="170"/>
      <c r="AW646" s="828"/>
      <c r="AX646" s="726"/>
    </row>
    <row r="647" spans="1:50" ht="15" x14ac:dyDescent="0.25">
      <c r="A647" s="170"/>
      <c r="B647" s="719">
        <v>817</v>
      </c>
      <c r="C647" s="170"/>
      <c r="D647" s="170"/>
      <c r="E647" s="170"/>
      <c r="F647" s="170"/>
      <c r="G647" s="721"/>
      <c r="H647" s="170"/>
      <c r="I647" s="170"/>
      <c r="J647" s="170"/>
      <c r="K647" s="170"/>
      <c r="L647" s="170"/>
      <c r="M647" s="730"/>
      <c r="N647" s="730"/>
      <c r="O647" s="730"/>
      <c r="P647" s="731"/>
      <c r="Q647" s="731"/>
      <c r="R647" s="730"/>
      <c r="S647" s="730"/>
      <c r="T647" s="723"/>
      <c r="U647" s="724"/>
      <c r="V647" s="725"/>
      <c r="W647" s="725"/>
      <c r="X647" s="723"/>
      <c r="Y647" s="723"/>
      <c r="Z647" s="723"/>
      <c r="AA647" s="726"/>
      <c r="AB647" s="726"/>
      <c r="AC647" s="170"/>
      <c r="AD647" s="586"/>
      <c r="AE647" s="586"/>
      <c r="AF647" s="170"/>
      <c r="AG647" s="170"/>
      <c r="AH647" s="170"/>
      <c r="AI647" s="170"/>
      <c r="AJ647" s="170"/>
      <c r="AK647" s="170"/>
      <c r="AL647" s="170"/>
      <c r="AM647" s="170"/>
      <c r="AN647" s="170"/>
      <c r="AO647" s="170"/>
      <c r="AP647" s="170"/>
      <c r="AQ647" s="170"/>
      <c r="AR647" s="170"/>
      <c r="AS647" s="170"/>
      <c r="AT647" s="170"/>
      <c r="AU647" s="170"/>
      <c r="AV647" s="170"/>
      <c r="AW647" s="828"/>
      <c r="AX647" s="726"/>
    </row>
    <row r="648" spans="1:50" ht="15" x14ac:dyDescent="0.25">
      <c r="A648" s="170"/>
      <c r="B648" s="719">
        <v>818</v>
      </c>
      <c r="C648" s="170"/>
      <c r="D648" s="170"/>
      <c r="E648" s="170"/>
      <c r="F648" s="170"/>
      <c r="G648" s="721"/>
      <c r="H648" s="170"/>
      <c r="I648" s="170"/>
      <c r="J648" s="170"/>
      <c r="K648" s="170"/>
      <c r="L648" s="170"/>
      <c r="M648" s="730"/>
      <c r="N648" s="730"/>
      <c r="O648" s="730"/>
      <c r="P648" s="731"/>
      <c r="Q648" s="731"/>
      <c r="R648" s="730"/>
      <c r="S648" s="730"/>
      <c r="T648" s="723"/>
      <c r="U648" s="724"/>
      <c r="V648" s="725"/>
      <c r="W648" s="725"/>
      <c r="X648" s="723"/>
      <c r="Y648" s="723"/>
      <c r="Z648" s="723"/>
      <c r="AA648" s="726"/>
      <c r="AB648" s="726"/>
      <c r="AC648" s="170"/>
      <c r="AD648" s="586"/>
      <c r="AE648" s="586"/>
      <c r="AF648" s="170"/>
      <c r="AG648" s="170"/>
      <c r="AH648" s="170"/>
      <c r="AI648" s="170"/>
      <c r="AJ648" s="170"/>
      <c r="AK648" s="170"/>
      <c r="AL648" s="170"/>
      <c r="AM648" s="170"/>
      <c r="AN648" s="170"/>
      <c r="AO648" s="170"/>
      <c r="AP648" s="170"/>
      <c r="AQ648" s="170"/>
      <c r="AR648" s="170"/>
      <c r="AS648" s="170"/>
      <c r="AT648" s="170"/>
      <c r="AU648" s="170"/>
      <c r="AV648" s="170"/>
      <c r="AW648" s="828"/>
      <c r="AX648" s="726"/>
    </row>
    <row r="649" spans="1:50" ht="15" x14ac:dyDescent="0.25">
      <c r="A649" s="170"/>
      <c r="B649" s="719">
        <v>819</v>
      </c>
      <c r="C649" s="170"/>
      <c r="D649" s="170"/>
      <c r="E649" s="170"/>
      <c r="F649" s="170"/>
      <c r="G649" s="721"/>
      <c r="H649" s="170"/>
      <c r="I649" s="170"/>
      <c r="J649" s="170"/>
      <c r="K649" s="170"/>
      <c r="L649" s="170"/>
      <c r="M649" s="730"/>
      <c r="N649" s="730"/>
      <c r="O649" s="730"/>
      <c r="P649" s="731"/>
      <c r="Q649" s="731"/>
      <c r="R649" s="730"/>
      <c r="S649" s="730"/>
      <c r="T649" s="723"/>
      <c r="U649" s="724"/>
      <c r="V649" s="725"/>
      <c r="W649" s="725"/>
      <c r="X649" s="723"/>
      <c r="Y649" s="723"/>
      <c r="Z649" s="723"/>
      <c r="AA649" s="726"/>
      <c r="AB649" s="726"/>
      <c r="AC649" s="170"/>
      <c r="AD649" s="586"/>
      <c r="AE649" s="586"/>
      <c r="AF649" s="170"/>
      <c r="AG649" s="170"/>
      <c r="AH649" s="170"/>
      <c r="AI649" s="170"/>
      <c r="AJ649" s="170"/>
      <c r="AK649" s="170"/>
      <c r="AL649" s="170"/>
      <c r="AM649" s="170"/>
      <c r="AN649" s="170"/>
      <c r="AO649" s="170"/>
      <c r="AP649" s="170"/>
      <c r="AQ649" s="170"/>
      <c r="AR649" s="170"/>
      <c r="AS649" s="170"/>
      <c r="AT649" s="170"/>
      <c r="AU649" s="170"/>
      <c r="AV649" s="170"/>
      <c r="AW649" s="828"/>
      <c r="AX649" s="726"/>
    </row>
    <row r="650" spans="1:50" ht="15" x14ac:dyDescent="0.25">
      <c r="A650" s="170"/>
      <c r="B650" s="719">
        <v>820</v>
      </c>
      <c r="C650" s="170"/>
      <c r="D650" s="170"/>
      <c r="E650" s="170"/>
      <c r="F650" s="170"/>
      <c r="G650" s="721"/>
      <c r="H650" s="170"/>
      <c r="I650" s="170"/>
      <c r="J650" s="170"/>
      <c r="K650" s="170"/>
      <c r="L650" s="170"/>
      <c r="M650" s="730"/>
      <c r="N650" s="730"/>
      <c r="O650" s="730"/>
      <c r="P650" s="731"/>
      <c r="Q650" s="731"/>
      <c r="R650" s="730"/>
      <c r="S650" s="730"/>
      <c r="T650" s="723"/>
      <c r="U650" s="724"/>
      <c r="V650" s="725"/>
      <c r="W650" s="725"/>
      <c r="X650" s="723"/>
      <c r="Y650" s="723"/>
      <c r="Z650" s="723"/>
      <c r="AA650" s="726"/>
      <c r="AB650" s="726"/>
      <c r="AC650" s="170"/>
      <c r="AD650" s="586"/>
      <c r="AE650" s="586"/>
      <c r="AF650" s="170"/>
      <c r="AG650" s="170"/>
      <c r="AH650" s="170"/>
      <c r="AI650" s="170"/>
      <c r="AJ650" s="170"/>
      <c r="AK650" s="170"/>
      <c r="AL650" s="170"/>
      <c r="AM650" s="170"/>
      <c r="AN650" s="170"/>
      <c r="AO650" s="170"/>
      <c r="AP650" s="170"/>
      <c r="AQ650" s="170"/>
      <c r="AR650" s="170"/>
      <c r="AS650" s="170"/>
      <c r="AT650" s="170"/>
      <c r="AU650" s="170"/>
      <c r="AV650" s="170"/>
      <c r="AW650" s="828"/>
      <c r="AX650" s="726"/>
    </row>
    <row r="651" spans="1:50" ht="15" x14ac:dyDescent="0.25">
      <c r="A651" s="170"/>
      <c r="B651" s="719">
        <v>821</v>
      </c>
      <c r="C651" s="170"/>
      <c r="D651" s="170"/>
      <c r="E651" s="170"/>
      <c r="F651" s="170"/>
      <c r="G651" s="721"/>
      <c r="H651" s="170"/>
      <c r="I651" s="170"/>
      <c r="J651" s="170"/>
      <c r="K651" s="170"/>
      <c r="L651" s="170"/>
      <c r="M651" s="730"/>
      <c r="N651" s="730"/>
      <c r="O651" s="730"/>
      <c r="P651" s="731"/>
      <c r="Q651" s="731"/>
      <c r="R651" s="730"/>
      <c r="S651" s="730"/>
      <c r="T651" s="723"/>
      <c r="U651" s="724"/>
      <c r="V651" s="725"/>
      <c r="W651" s="725"/>
      <c r="X651" s="723"/>
      <c r="Y651" s="723"/>
      <c r="Z651" s="723"/>
      <c r="AA651" s="726"/>
      <c r="AB651" s="726"/>
      <c r="AC651" s="170"/>
      <c r="AD651" s="586"/>
      <c r="AE651" s="586"/>
      <c r="AF651" s="170"/>
      <c r="AG651" s="170"/>
      <c r="AH651" s="170"/>
      <c r="AI651" s="170"/>
      <c r="AJ651" s="170"/>
      <c r="AK651" s="170"/>
      <c r="AL651" s="170"/>
      <c r="AM651" s="170"/>
      <c r="AN651" s="170"/>
      <c r="AO651" s="170"/>
      <c r="AP651" s="170"/>
      <c r="AQ651" s="170"/>
      <c r="AR651" s="170"/>
      <c r="AS651" s="170"/>
      <c r="AT651" s="170"/>
      <c r="AU651" s="170"/>
      <c r="AV651" s="170"/>
      <c r="AW651" s="828"/>
      <c r="AX651" s="726"/>
    </row>
    <row r="652" spans="1:50" ht="15" x14ac:dyDescent="0.25">
      <c r="A652" s="170"/>
      <c r="B652" s="719">
        <v>822</v>
      </c>
      <c r="C652" s="170"/>
      <c r="D652" s="170"/>
      <c r="E652" s="170"/>
      <c r="F652" s="170"/>
      <c r="G652" s="721"/>
      <c r="H652" s="170"/>
      <c r="I652" s="170"/>
      <c r="J652" s="170"/>
      <c r="K652" s="170"/>
      <c r="L652" s="170"/>
      <c r="M652" s="730"/>
      <c r="N652" s="730"/>
      <c r="O652" s="730"/>
      <c r="P652" s="731"/>
      <c r="Q652" s="731"/>
      <c r="R652" s="730"/>
      <c r="S652" s="730"/>
      <c r="T652" s="723"/>
      <c r="U652" s="724"/>
      <c r="V652" s="725"/>
      <c r="W652" s="725"/>
      <c r="X652" s="723"/>
      <c r="Y652" s="723"/>
      <c r="Z652" s="723"/>
      <c r="AA652" s="726"/>
      <c r="AB652" s="726"/>
      <c r="AC652" s="170"/>
      <c r="AD652" s="586"/>
      <c r="AE652" s="586"/>
      <c r="AF652" s="170"/>
      <c r="AG652" s="170"/>
      <c r="AH652" s="170"/>
      <c r="AI652" s="170"/>
      <c r="AJ652" s="170"/>
      <c r="AK652" s="170"/>
      <c r="AL652" s="170"/>
      <c r="AM652" s="170"/>
      <c r="AN652" s="170"/>
      <c r="AO652" s="170"/>
      <c r="AP652" s="170"/>
      <c r="AQ652" s="170"/>
      <c r="AR652" s="170"/>
      <c r="AS652" s="170"/>
      <c r="AT652" s="170"/>
      <c r="AU652" s="170"/>
      <c r="AV652" s="170"/>
      <c r="AW652" s="828"/>
      <c r="AX652" s="726"/>
    </row>
    <row r="653" spans="1:50" ht="15" x14ac:dyDescent="0.25">
      <c r="A653" s="170"/>
      <c r="B653" s="719">
        <v>823</v>
      </c>
      <c r="C653" s="170"/>
      <c r="D653" s="170"/>
      <c r="E653" s="170"/>
      <c r="F653" s="170"/>
      <c r="G653" s="721"/>
      <c r="H653" s="170"/>
      <c r="I653" s="170"/>
      <c r="J653" s="170"/>
      <c r="K653" s="170"/>
      <c r="L653" s="170"/>
      <c r="M653" s="730"/>
      <c r="N653" s="730"/>
      <c r="O653" s="730"/>
      <c r="P653" s="731"/>
      <c r="Q653" s="731"/>
      <c r="R653" s="730"/>
      <c r="S653" s="730"/>
      <c r="T653" s="723"/>
      <c r="U653" s="724"/>
      <c r="V653" s="725"/>
      <c r="W653" s="725"/>
      <c r="X653" s="723"/>
      <c r="Y653" s="723"/>
      <c r="Z653" s="723"/>
      <c r="AA653" s="726"/>
      <c r="AB653" s="726"/>
      <c r="AC653" s="170"/>
      <c r="AD653" s="586"/>
      <c r="AE653" s="586"/>
      <c r="AF653" s="170"/>
      <c r="AG653" s="170"/>
      <c r="AH653" s="170"/>
      <c r="AI653" s="170"/>
      <c r="AJ653" s="170"/>
      <c r="AK653" s="170"/>
      <c r="AL653" s="170"/>
      <c r="AM653" s="170"/>
      <c r="AN653" s="170"/>
      <c r="AO653" s="170"/>
      <c r="AP653" s="170"/>
      <c r="AQ653" s="170"/>
      <c r="AR653" s="170"/>
      <c r="AS653" s="170"/>
      <c r="AT653" s="170"/>
      <c r="AU653" s="170"/>
      <c r="AV653" s="170"/>
      <c r="AW653" s="828"/>
      <c r="AX653" s="726"/>
    </row>
    <row r="654" spans="1:50" ht="15" x14ac:dyDescent="0.25">
      <c r="A654" s="170"/>
      <c r="B654" s="719">
        <v>824</v>
      </c>
      <c r="C654" s="170"/>
      <c r="D654" s="170"/>
      <c r="E654" s="170"/>
      <c r="F654" s="170"/>
      <c r="G654" s="721"/>
      <c r="H654" s="170"/>
      <c r="I654" s="170"/>
      <c r="J654" s="170"/>
      <c r="K654" s="170"/>
      <c r="L654" s="170"/>
      <c r="M654" s="730"/>
      <c r="N654" s="730"/>
      <c r="O654" s="730"/>
      <c r="P654" s="731"/>
      <c r="Q654" s="731"/>
      <c r="R654" s="730"/>
      <c r="S654" s="730"/>
      <c r="T654" s="723"/>
      <c r="U654" s="724"/>
      <c r="V654" s="725"/>
      <c r="W654" s="725"/>
      <c r="X654" s="723"/>
      <c r="Y654" s="723"/>
      <c r="Z654" s="723"/>
      <c r="AA654" s="726"/>
      <c r="AB654" s="726"/>
      <c r="AC654" s="170"/>
      <c r="AD654" s="586"/>
      <c r="AE654" s="586"/>
      <c r="AF654" s="170"/>
      <c r="AG654" s="170"/>
      <c r="AH654" s="170"/>
      <c r="AI654" s="170"/>
      <c r="AJ654" s="170"/>
      <c r="AK654" s="170"/>
      <c r="AL654" s="170"/>
      <c r="AM654" s="170"/>
      <c r="AN654" s="170"/>
      <c r="AO654" s="170"/>
      <c r="AP654" s="170"/>
      <c r="AQ654" s="170"/>
      <c r="AR654" s="170"/>
      <c r="AS654" s="170"/>
      <c r="AT654" s="170"/>
      <c r="AU654" s="170"/>
      <c r="AV654" s="170"/>
      <c r="AW654" s="828"/>
      <c r="AX654" s="726"/>
    </row>
    <row r="655" spans="1:50" ht="15" x14ac:dyDescent="0.25">
      <c r="A655" s="170"/>
      <c r="B655" s="719">
        <v>825</v>
      </c>
      <c r="C655" s="170"/>
      <c r="D655" s="170"/>
      <c r="E655" s="170"/>
      <c r="F655" s="170"/>
      <c r="G655" s="721"/>
      <c r="H655" s="170"/>
      <c r="I655" s="170"/>
      <c r="J655" s="170"/>
      <c r="K655" s="170"/>
      <c r="L655" s="170"/>
      <c r="M655" s="730"/>
      <c r="N655" s="730"/>
      <c r="O655" s="730"/>
      <c r="P655" s="731"/>
      <c r="Q655" s="731"/>
      <c r="R655" s="730"/>
      <c r="S655" s="730"/>
      <c r="T655" s="723"/>
      <c r="U655" s="724"/>
      <c r="V655" s="725"/>
      <c r="W655" s="725"/>
      <c r="X655" s="723"/>
      <c r="Y655" s="723"/>
      <c r="Z655" s="723"/>
      <c r="AA655" s="726"/>
      <c r="AB655" s="726"/>
      <c r="AC655" s="170"/>
      <c r="AD655" s="586"/>
      <c r="AE655" s="586"/>
      <c r="AF655" s="170"/>
      <c r="AG655" s="170"/>
      <c r="AH655" s="170"/>
      <c r="AI655" s="170"/>
      <c r="AJ655" s="170"/>
      <c r="AK655" s="170"/>
      <c r="AL655" s="170"/>
      <c r="AM655" s="170"/>
      <c r="AN655" s="170"/>
      <c r="AO655" s="170"/>
      <c r="AP655" s="170"/>
      <c r="AQ655" s="170"/>
      <c r="AR655" s="170"/>
      <c r="AS655" s="170"/>
      <c r="AT655" s="170"/>
      <c r="AU655" s="170"/>
      <c r="AV655" s="170"/>
      <c r="AW655" s="828"/>
      <c r="AX655" s="726"/>
    </row>
    <row r="656" spans="1:50" ht="15" x14ac:dyDescent="0.25">
      <c r="A656" s="170"/>
      <c r="B656" s="719">
        <v>826</v>
      </c>
      <c r="C656" s="170"/>
      <c r="D656" s="170"/>
      <c r="E656" s="170"/>
      <c r="F656" s="170"/>
      <c r="G656" s="721"/>
      <c r="H656" s="170"/>
      <c r="I656" s="170"/>
      <c r="J656" s="170"/>
      <c r="K656" s="170"/>
      <c r="L656" s="170"/>
      <c r="M656" s="730"/>
      <c r="N656" s="730"/>
      <c r="O656" s="730"/>
      <c r="P656" s="731"/>
      <c r="Q656" s="731"/>
      <c r="R656" s="730"/>
      <c r="S656" s="730"/>
      <c r="T656" s="723"/>
      <c r="U656" s="724"/>
      <c r="V656" s="725"/>
      <c r="W656" s="725"/>
      <c r="X656" s="723"/>
      <c r="Y656" s="723"/>
      <c r="Z656" s="723"/>
      <c r="AA656" s="726"/>
      <c r="AB656" s="726"/>
      <c r="AC656" s="170"/>
      <c r="AD656" s="586"/>
      <c r="AE656" s="586"/>
      <c r="AF656" s="170"/>
      <c r="AG656" s="170"/>
      <c r="AH656" s="170"/>
      <c r="AI656" s="170"/>
      <c r="AJ656" s="170"/>
      <c r="AK656" s="170"/>
      <c r="AL656" s="170"/>
      <c r="AM656" s="170"/>
      <c r="AN656" s="170"/>
      <c r="AO656" s="170"/>
      <c r="AP656" s="170"/>
      <c r="AQ656" s="170"/>
      <c r="AR656" s="170"/>
      <c r="AS656" s="170"/>
      <c r="AT656" s="170"/>
      <c r="AU656" s="170"/>
      <c r="AV656" s="170"/>
      <c r="AW656" s="828"/>
      <c r="AX656" s="726"/>
    </row>
    <row r="657" spans="1:50" ht="15" x14ac:dyDescent="0.25">
      <c r="A657" s="170"/>
      <c r="B657" s="719">
        <v>827</v>
      </c>
      <c r="C657" s="170"/>
      <c r="D657" s="170"/>
      <c r="E657" s="170"/>
      <c r="F657" s="170"/>
      <c r="G657" s="721"/>
      <c r="H657" s="170"/>
      <c r="I657" s="170"/>
      <c r="J657" s="170"/>
      <c r="K657" s="170"/>
      <c r="L657" s="170"/>
      <c r="M657" s="730"/>
      <c r="N657" s="730"/>
      <c r="O657" s="730"/>
      <c r="P657" s="731"/>
      <c r="Q657" s="731"/>
      <c r="R657" s="730"/>
      <c r="S657" s="730"/>
      <c r="T657" s="723"/>
      <c r="U657" s="724"/>
      <c r="V657" s="725"/>
      <c r="W657" s="725"/>
      <c r="X657" s="723"/>
      <c r="Y657" s="723"/>
      <c r="Z657" s="723"/>
      <c r="AA657" s="726"/>
      <c r="AB657" s="726"/>
      <c r="AC657" s="170"/>
      <c r="AD657" s="586"/>
      <c r="AE657" s="586"/>
      <c r="AF657" s="170"/>
      <c r="AG657" s="170"/>
      <c r="AH657" s="170"/>
      <c r="AI657" s="170"/>
      <c r="AJ657" s="170"/>
      <c r="AK657" s="170"/>
      <c r="AL657" s="170"/>
      <c r="AM657" s="170"/>
      <c r="AN657" s="170"/>
      <c r="AO657" s="170"/>
      <c r="AP657" s="170"/>
      <c r="AQ657" s="170"/>
      <c r="AR657" s="170"/>
      <c r="AS657" s="170"/>
      <c r="AT657" s="170"/>
      <c r="AU657" s="170"/>
      <c r="AV657" s="170"/>
      <c r="AW657" s="828"/>
      <c r="AX657" s="726"/>
    </row>
    <row r="658" spans="1:50" ht="15" x14ac:dyDescent="0.25">
      <c r="A658" s="170"/>
      <c r="B658" s="719">
        <v>828</v>
      </c>
      <c r="C658" s="170"/>
      <c r="D658" s="170"/>
      <c r="E658" s="170"/>
      <c r="F658" s="170"/>
      <c r="G658" s="721"/>
      <c r="H658" s="170"/>
      <c r="I658" s="170"/>
      <c r="J658" s="170"/>
      <c r="K658" s="170"/>
      <c r="L658" s="170"/>
      <c r="M658" s="730"/>
      <c r="N658" s="730"/>
      <c r="O658" s="730"/>
      <c r="P658" s="731"/>
      <c r="Q658" s="731"/>
      <c r="R658" s="730"/>
      <c r="S658" s="730"/>
      <c r="T658" s="723"/>
      <c r="U658" s="724"/>
      <c r="V658" s="725"/>
      <c r="W658" s="725"/>
      <c r="X658" s="723"/>
      <c r="Y658" s="723"/>
      <c r="Z658" s="723"/>
      <c r="AA658" s="726"/>
      <c r="AB658" s="726"/>
      <c r="AC658" s="170"/>
      <c r="AD658" s="586"/>
      <c r="AE658" s="586"/>
      <c r="AF658" s="170"/>
      <c r="AG658" s="170"/>
      <c r="AH658" s="170"/>
      <c r="AI658" s="170"/>
      <c r="AJ658" s="170"/>
      <c r="AK658" s="170"/>
      <c r="AL658" s="170"/>
      <c r="AM658" s="170"/>
      <c r="AN658" s="170"/>
      <c r="AO658" s="170"/>
      <c r="AP658" s="170"/>
      <c r="AQ658" s="170"/>
      <c r="AR658" s="170"/>
      <c r="AS658" s="170"/>
      <c r="AT658" s="170"/>
      <c r="AU658" s="170"/>
      <c r="AV658" s="170"/>
      <c r="AW658" s="828"/>
      <c r="AX658" s="726"/>
    </row>
    <row r="659" spans="1:50" ht="15" x14ac:dyDescent="0.25">
      <c r="A659" s="170"/>
      <c r="B659" s="719">
        <v>829</v>
      </c>
      <c r="C659" s="170"/>
      <c r="D659" s="170"/>
      <c r="E659" s="170"/>
      <c r="F659" s="170"/>
      <c r="G659" s="721"/>
      <c r="H659" s="170"/>
      <c r="I659" s="170"/>
      <c r="J659" s="170"/>
      <c r="K659" s="170"/>
      <c r="L659" s="170"/>
      <c r="M659" s="730"/>
      <c r="N659" s="730"/>
      <c r="O659" s="730"/>
      <c r="P659" s="731"/>
      <c r="Q659" s="731"/>
      <c r="R659" s="730"/>
      <c r="S659" s="730"/>
      <c r="T659" s="723"/>
      <c r="U659" s="724"/>
      <c r="V659" s="725"/>
      <c r="W659" s="725"/>
      <c r="X659" s="723"/>
      <c r="Y659" s="723"/>
      <c r="Z659" s="723"/>
      <c r="AA659" s="726"/>
      <c r="AB659" s="726"/>
      <c r="AC659" s="170"/>
      <c r="AD659" s="586"/>
      <c r="AE659" s="586"/>
      <c r="AF659" s="170"/>
      <c r="AG659" s="170"/>
      <c r="AH659" s="170"/>
      <c r="AI659" s="170"/>
      <c r="AJ659" s="170"/>
      <c r="AK659" s="170"/>
      <c r="AL659" s="170"/>
      <c r="AM659" s="170"/>
      <c r="AN659" s="170"/>
      <c r="AO659" s="170"/>
      <c r="AP659" s="170"/>
      <c r="AQ659" s="170"/>
      <c r="AR659" s="170"/>
      <c r="AS659" s="170"/>
      <c r="AT659" s="170"/>
      <c r="AU659" s="170"/>
      <c r="AV659" s="170"/>
      <c r="AW659" s="828"/>
      <c r="AX659" s="726"/>
    </row>
    <row r="660" spans="1:50" ht="15" x14ac:dyDescent="0.25">
      <c r="A660" s="170"/>
      <c r="B660" s="719">
        <v>830</v>
      </c>
      <c r="C660" s="170"/>
      <c r="D660" s="170"/>
      <c r="E660" s="170"/>
      <c r="F660" s="170"/>
      <c r="G660" s="721"/>
      <c r="H660" s="170"/>
      <c r="I660" s="170"/>
      <c r="J660" s="170"/>
      <c r="K660" s="170"/>
      <c r="L660" s="170"/>
      <c r="M660" s="730"/>
      <c r="N660" s="730"/>
      <c r="O660" s="730"/>
      <c r="P660" s="731"/>
      <c r="Q660" s="731"/>
      <c r="R660" s="730"/>
      <c r="S660" s="730"/>
      <c r="T660" s="723"/>
      <c r="U660" s="724"/>
      <c r="V660" s="725"/>
      <c r="W660" s="725"/>
      <c r="X660" s="723"/>
      <c r="Y660" s="723"/>
      <c r="Z660" s="723"/>
      <c r="AA660" s="726"/>
      <c r="AB660" s="726"/>
      <c r="AC660" s="170"/>
      <c r="AD660" s="586"/>
      <c r="AE660" s="586"/>
      <c r="AF660" s="170"/>
      <c r="AG660" s="170"/>
      <c r="AH660" s="170"/>
      <c r="AI660" s="170"/>
      <c r="AJ660" s="170"/>
      <c r="AK660" s="170"/>
      <c r="AL660" s="170"/>
      <c r="AM660" s="170"/>
      <c r="AN660" s="170"/>
      <c r="AO660" s="170"/>
      <c r="AP660" s="170"/>
      <c r="AQ660" s="170"/>
      <c r="AR660" s="170"/>
      <c r="AS660" s="170"/>
      <c r="AT660" s="170"/>
      <c r="AU660" s="170"/>
      <c r="AV660" s="170"/>
      <c r="AW660" s="828"/>
      <c r="AX660" s="726"/>
    </row>
    <row r="661" spans="1:50" ht="15" x14ac:dyDescent="0.25">
      <c r="A661" s="170"/>
      <c r="B661" s="719">
        <v>831</v>
      </c>
      <c r="C661" s="170"/>
      <c r="D661" s="170"/>
      <c r="E661" s="170"/>
      <c r="F661" s="170"/>
      <c r="G661" s="721"/>
      <c r="H661" s="170"/>
      <c r="I661" s="170"/>
      <c r="J661" s="170"/>
      <c r="K661" s="170"/>
      <c r="L661" s="170"/>
      <c r="M661" s="730"/>
      <c r="N661" s="730"/>
      <c r="O661" s="730"/>
      <c r="P661" s="731"/>
      <c r="Q661" s="731"/>
      <c r="R661" s="730"/>
      <c r="S661" s="730"/>
      <c r="T661" s="723"/>
      <c r="U661" s="724"/>
      <c r="V661" s="725"/>
      <c r="W661" s="725"/>
      <c r="X661" s="723"/>
      <c r="Y661" s="723"/>
      <c r="Z661" s="723"/>
      <c r="AA661" s="726"/>
      <c r="AB661" s="726"/>
      <c r="AC661" s="170"/>
      <c r="AD661" s="586"/>
      <c r="AE661" s="586"/>
      <c r="AF661" s="170"/>
      <c r="AG661" s="170"/>
      <c r="AH661" s="170"/>
      <c r="AI661" s="170"/>
      <c r="AJ661" s="170"/>
      <c r="AK661" s="170"/>
      <c r="AL661" s="170"/>
      <c r="AM661" s="170"/>
      <c r="AN661" s="170"/>
      <c r="AO661" s="170"/>
      <c r="AP661" s="170"/>
      <c r="AQ661" s="170"/>
      <c r="AR661" s="170"/>
      <c r="AS661" s="170"/>
      <c r="AT661" s="170"/>
      <c r="AU661" s="170"/>
      <c r="AV661" s="170"/>
      <c r="AW661" s="828"/>
      <c r="AX661" s="726"/>
    </row>
    <row r="662" spans="1:50" ht="15" x14ac:dyDescent="0.25">
      <c r="A662" s="170"/>
      <c r="B662" s="719">
        <v>832</v>
      </c>
      <c r="C662" s="170"/>
      <c r="D662" s="170"/>
      <c r="E662" s="170"/>
      <c r="F662" s="170"/>
      <c r="G662" s="721"/>
      <c r="H662" s="170"/>
      <c r="I662" s="170"/>
      <c r="J662" s="170"/>
      <c r="K662" s="170"/>
      <c r="L662" s="170"/>
      <c r="M662" s="730"/>
      <c r="N662" s="730"/>
      <c r="O662" s="730"/>
      <c r="P662" s="731"/>
      <c r="Q662" s="731"/>
      <c r="R662" s="730"/>
      <c r="S662" s="730"/>
      <c r="T662" s="723"/>
      <c r="U662" s="724"/>
      <c r="V662" s="725"/>
      <c r="W662" s="725"/>
      <c r="X662" s="723"/>
      <c r="Y662" s="723"/>
      <c r="Z662" s="723"/>
      <c r="AA662" s="726"/>
      <c r="AB662" s="726"/>
      <c r="AC662" s="170"/>
      <c r="AD662" s="586"/>
      <c r="AE662" s="586"/>
      <c r="AF662" s="170"/>
      <c r="AG662" s="170"/>
      <c r="AH662" s="170"/>
      <c r="AI662" s="170"/>
      <c r="AJ662" s="170"/>
      <c r="AK662" s="170"/>
      <c r="AL662" s="170"/>
      <c r="AM662" s="170"/>
      <c r="AN662" s="170"/>
      <c r="AO662" s="170"/>
      <c r="AP662" s="170"/>
      <c r="AQ662" s="170"/>
      <c r="AR662" s="170"/>
      <c r="AS662" s="170"/>
      <c r="AT662" s="170"/>
      <c r="AU662" s="170"/>
      <c r="AV662" s="170"/>
      <c r="AW662" s="828"/>
      <c r="AX662" s="726"/>
    </row>
    <row r="663" spans="1:50" ht="15" x14ac:dyDescent="0.25">
      <c r="A663" s="170"/>
      <c r="B663" s="719">
        <v>833</v>
      </c>
      <c r="C663" s="170"/>
      <c r="D663" s="170"/>
      <c r="E663" s="170"/>
      <c r="F663" s="170"/>
      <c r="G663" s="721"/>
      <c r="H663" s="170"/>
      <c r="I663" s="170"/>
      <c r="J663" s="170"/>
      <c r="K663" s="170"/>
      <c r="L663" s="170"/>
      <c r="M663" s="730"/>
      <c r="N663" s="730"/>
      <c r="O663" s="730"/>
      <c r="P663" s="731"/>
      <c r="Q663" s="731"/>
      <c r="R663" s="730"/>
      <c r="S663" s="730"/>
      <c r="T663" s="723"/>
      <c r="U663" s="724"/>
      <c r="V663" s="725"/>
      <c r="W663" s="725"/>
      <c r="X663" s="723"/>
      <c r="Y663" s="723"/>
      <c r="Z663" s="723"/>
      <c r="AA663" s="726"/>
      <c r="AB663" s="726"/>
      <c r="AC663" s="170"/>
      <c r="AD663" s="586"/>
      <c r="AE663" s="586"/>
      <c r="AF663" s="170"/>
      <c r="AG663" s="170"/>
      <c r="AH663" s="170"/>
      <c r="AI663" s="170"/>
      <c r="AJ663" s="170"/>
      <c r="AK663" s="170"/>
      <c r="AL663" s="170"/>
      <c r="AM663" s="170"/>
      <c r="AN663" s="170"/>
      <c r="AO663" s="170"/>
      <c r="AP663" s="170"/>
      <c r="AQ663" s="170"/>
      <c r="AR663" s="170"/>
      <c r="AS663" s="170"/>
      <c r="AT663" s="170"/>
      <c r="AU663" s="170"/>
      <c r="AV663" s="170"/>
      <c r="AW663" s="828"/>
      <c r="AX663" s="726"/>
    </row>
    <row r="664" spans="1:50" ht="15" x14ac:dyDescent="0.25">
      <c r="A664" s="170"/>
      <c r="B664" s="719">
        <v>834</v>
      </c>
      <c r="C664" s="170"/>
      <c r="D664" s="170"/>
      <c r="E664" s="170"/>
      <c r="F664" s="170"/>
      <c r="G664" s="721"/>
      <c r="H664" s="170"/>
      <c r="I664" s="170"/>
      <c r="J664" s="170"/>
      <c r="K664" s="170"/>
      <c r="L664" s="170"/>
      <c r="M664" s="730"/>
      <c r="N664" s="730"/>
      <c r="O664" s="730"/>
      <c r="P664" s="731"/>
      <c r="Q664" s="731"/>
      <c r="R664" s="730"/>
      <c r="S664" s="730"/>
      <c r="T664" s="723"/>
      <c r="U664" s="724"/>
      <c r="V664" s="725"/>
      <c r="W664" s="725"/>
      <c r="X664" s="723"/>
      <c r="Y664" s="723"/>
      <c r="Z664" s="723"/>
      <c r="AA664" s="726"/>
      <c r="AB664" s="726"/>
      <c r="AC664" s="170"/>
      <c r="AD664" s="586"/>
      <c r="AE664" s="586"/>
      <c r="AF664" s="170"/>
      <c r="AG664" s="170"/>
      <c r="AH664" s="170"/>
      <c r="AI664" s="170"/>
      <c r="AJ664" s="170"/>
      <c r="AK664" s="170"/>
      <c r="AL664" s="170"/>
      <c r="AM664" s="170"/>
      <c r="AN664" s="170"/>
      <c r="AO664" s="170"/>
      <c r="AP664" s="170"/>
      <c r="AQ664" s="170"/>
      <c r="AR664" s="170"/>
      <c r="AS664" s="170"/>
      <c r="AT664" s="170"/>
      <c r="AU664" s="170"/>
      <c r="AV664" s="170"/>
      <c r="AW664" s="828"/>
      <c r="AX664" s="726"/>
    </row>
    <row r="665" spans="1:50" ht="15" x14ac:dyDescent="0.25">
      <c r="A665" s="170"/>
      <c r="B665" s="719">
        <v>835</v>
      </c>
      <c r="C665" s="170"/>
      <c r="D665" s="170"/>
      <c r="E665" s="170"/>
      <c r="F665" s="170"/>
      <c r="G665" s="721"/>
      <c r="H665" s="170"/>
      <c r="I665" s="170"/>
      <c r="J665" s="170"/>
      <c r="K665" s="170"/>
      <c r="L665" s="170"/>
      <c r="M665" s="730"/>
      <c r="N665" s="730"/>
      <c r="O665" s="730"/>
      <c r="P665" s="731"/>
      <c r="Q665" s="731"/>
      <c r="R665" s="730"/>
      <c r="S665" s="730"/>
      <c r="T665" s="723"/>
      <c r="U665" s="724"/>
      <c r="V665" s="725"/>
      <c r="W665" s="725"/>
      <c r="X665" s="723"/>
      <c r="Y665" s="723"/>
      <c r="Z665" s="723"/>
      <c r="AA665" s="726"/>
      <c r="AB665" s="726"/>
      <c r="AC665" s="170"/>
      <c r="AD665" s="586"/>
      <c r="AE665" s="586"/>
      <c r="AF665" s="170"/>
      <c r="AG665" s="170"/>
      <c r="AH665" s="170"/>
      <c r="AI665" s="170"/>
      <c r="AJ665" s="170"/>
      <c r="AK665" s="170"/>
      <c r="AL665" s="170"/>
      <c r="AM665" s="170"/>
      <c r="AN665" s="170"/>
      <c r="AO665" s="170"/>
      <c r="AP665" s="170"/>
      <c r="AQ665" s="170"/>
      <c r="AR665" s="170"/>
      <c r="AS665" s="170"/>
      <c r="AT665" s="170"/>
      <c r="AU665" s="170"/>
      <c r="AV665" s="170"/>
      <c r="AW665" s="828"/>
      <c r="AX665" s="726"/>
    </row>
  </sheetData>
  <sheetProtection formatCells="0" formatColumns="0" formatRows="0" autoFilter="0"/>
  <phoneticPr fontId="135" type="noConversion"/>
  <dataValidations count="2">
    <dataValidation type="list" allowBlank="1" showInputMessage="1" showErrorMessage="1" sqref="P10:Q15 P19:Q63" xr:uid="{5D3FAE47-0065-47BB-9781-EC397C157E7A}">
      <formula1>"E, Other"</formula1>
    </dataValidation>
    <dataValidation type="list" allowBlank="1" showInputMessage="1" showErrorMessage="1" sqref="G10" xr:uid="{89AC3D0E-56AA-4275-8504-C8CE9B9F1310}">
      <formula1>$K$73:$K$75</formula1>
    </dataValidation>
  </dataValidations>
  <pageMargins left="0.7" right="0.21" top="0.25" bottom="0.34" header="0.16" footer="0.16"/>
  <pageSetup scale="74" fitToHeight="0" orientation="portrait"/>
  <headerFooter alignWithMargins="0">
    <oddFooter>&amp;Cpage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E042B567-9F4E-4931-B26E-19C886AB8000}">
          <x14:formula1>
            <xm:f>'Data Input sheet'!$B$118:$B$179</xm:f>
          </x14:formula1>
          <xm:sqref>R10:R15 R19:R63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7EF66-7D8E-4C74-A6E9-85EAD0ECF8B3}">
  <sheetPr codeName="Sheet45">
    <tabColor theme="9" tint="0.59999389629810485"/>
  </sheetPr>
  <dimension ref="A1:X44"/>
  <sheetViews>
    <sheetView topLeftCell="B16" zoomScale="115" zoomScaleNormal="115" workbookViewId="0">
      <selection activeCell="F9" sqref="F9"/>
    </sheetView>
  </sheetViews>
  <sheetFormatPr defaultRowHeight="15" x14ac:dyDescent="0.25"/>
  <cols>
    <col min="1" max="1" width="62.42578125" customWidth="1"/>
    <col min="8" max="8" width="13.42578125" customWidth="1"/>
  </cols>
  <sheetData>
    <row r="1" spans="1:24" x14ac:dyDescent="0.25">
      <c r="B1">
        <v>2023</v>
      </c>
      <c r="C1">
        <v>2023</v>
      </c>
      <c r="D1">
        <v>2023</v>
      </c>
      <c r="E1">
        <v>2023</v>
      </c>
      <c r="F1">
        <v>2023</v>
      </c>
      <c r="H1" s="2455">
        <v>0.03</v>
      </c>
      <c r="I1" t="s">
        <v>2769</v>
      </c>
      <c r="N1">
        <v>2022</v>
      </c>
      <c r="O1">
        <v>2022</v>
      </c>
      <c r="P1">
        <v>2022</v>
      </c>
      <c r="Q1">
        <v>2022</v>
      </c>
      <c r="R1">
        <v>2022</v>
      </c>
      <c r="T1">
        <v>2021</v>
      </c>
      <c r="U1">
        <v>2021</v>
      </c>
      <c r="V1">
        <v>2021</v>
      </c>
      <c r="W1">
        <v>2021</v>
      </c>
      <c r="X1">
        <v>2021</v>
      </c>
    </row>
    <row r="2" spans="1:24" ht="15.75" thickBot="1" x14ac:dyDescent="0.3"/>
    <row r="3" spans="1:24" ht="61.5" thickTop="1" thickBot="1" x14ac:dyDescent="0.3">
      <c r="A3" s="2446" t="s">
        <v>202</v>
      </c>
      <c r="B3" s="1496" t="s">
        <v>2740</v>
      </c>
      <c r="C3" s="1496" t="s">
        <v>2766</v>
      </c>
      <c r="D3" s="1496" t="s">
        <v>2741</v>
      </c>
      <c r="E3" s="1496" t="s">
        <v>2742</v>
      </c>
      <c r="F3" s="2447" t="s">
        <v>2743</v>
      </c>
      <c r="H3" s="2453" t="s">
        <v>2768</v>
      </c>
      <c r="J3" s="2458" t="str">
        <f>+Company</f>
        <v>21D - EMA</v>
      </c>
      <c r="K3" s="2459" t="str">
        <f>TRIM(RIGHT(J3,3))</f>
        <v>EMA</v>
      </c>
      <c r="L3" s="2460" t="s">
        <v>2770</v>
      </c>
      <c r="N3" s="1496" t="s">
        <v>2740</v>
      </c>
      <c r="O3" s="1496" t="s">
        <v>2766</v>
      </c>
      <c r="P3" s="1496" t="s">
        <v>2741</v>
      </c>
      <c r="Q3" s="1496" t="s">
        <v>2742</v>
      </c>
      <c r="R3" s="2447" t="s">
        <v>2743</v>
      </c>
      <c r="T3" s="1496" t="s">
        <v>2740</v>
      </c>
      <c r="U3" s="1496" t="s">
        <v>2766</v>
      </c>
      <c r="V3" s="1496" t="s">
        <v>2741</v>
      </c>
      <c r="W3" s="1496" t="s">
        <v>2742</v>
      </c>
      <c r="X3" s="2447" t="s">
        <v>2743</v>
      </c>
    </row>
    <row r="4" spans="1:24" ht="15.75" thickTop="1" x14ac:dyDescent="0.25">
      <c r="A4" t="s">
        <v>2744</v>
      </c>
      <c r="B4" s="2456">
        <f t="shared" ref="B4:E9" si="0">ROUND(+N4*(1+$H$1),1)</f>
        <v>57.3</v>
      </c>
      <c r="C4" s="2456">
        <f t="shared" si="0"/>
        <v>56.2</v>
      </c>
      <c r="D4" s="2456">
        <f t="shared" si="0"/>
        <v>53</v>
      </c>
      <c r="E4" s="2456">
        <f t="shared" si="0"/>
        <v>57.3</v>
      </c>
      <c r="F4" s="2457">
        <f t="shared" ref="F4:F44" si="1">IFERROR(ROUND(AVERAGEIF(B4:E4,"&lt;&gt;0"),1),0)</f>
        <v>56</v>
      </c>
      <c r="H4" s="2452">
        <f ca="1">IF(SUMIF($B$3:$E$44,$K$3,$B4:$E4)=0,+F4,SUMIF($B$3:$E$44,$K$3,$B4:$E4))</f>
        <v>57.3</v>
      </c>
      <c r="N4" s="2">
        <v>55.6</v>
      </c>
      <c r="O4" s="2">
        <v>54.6</v>
      </c>
      <c r="P4" s="2">
        <v>51.5</v>
      </c>
      <c r="Q4" s="2">
        <v>55.6</v>
      </c>
      <c r="R4" s="2457">
        <v>54.3</v>
      </c>
      <c r="T4" s="2">
        <v>54</v>
      </c>
      <c r="U4" s="2">
        <v>53</v>
      </c>
      <c r="V4" s="2">
        <v>50</v>
      </c>
      <c r="W4" s="2">
        <v>54</v>
      </c>
      <c r="X4" s="2457">
        <f t="shared" ref="X4:X44" si="2">IFERROR(ROUND(AVERAGEIF(T4:W4,"&lt;&gt;0"),1),0)</f>
        <v>52.8</v>
      </c>
    </row>
    <row r="5" spans="1:24" x14ac:dyDescent="0.25">
      <c r="A5" t="s">
        <v>2745</v>
      </c>
      <c r="B5" s="2456">
        <f t="shared" si="0"/>
        <v>48.8</v>
      </c>
      <c r="C5" s="2456">
        <f t="shared" si="0"/>
        <v>48.8</v>
      </c>
      <c r="D5" s="2456">
        <f t="shared" si="0"/>
        <v>47.8</v>
      </c>
      <c r="E5" s="2456">
        <f t="shared" si="0"/>
        <v>46.7</v>
      </c>
      <c r="F5" s="2457">
        <f t="shared" si="1"/>
        <v>48</v>
      </c>
      <c r="H5" s="2452">
        <f t="shared" ref="H5:H33" ca="1" si="3">IF(SUMIF($B$3:$E$44,$K$3,$B5:$E5)=0,+F5,SUMIF($B$3:$E$44,$K$3,$B5:$E5))</f>
        <v>46.7</v>
      </c>
      <c r="N5" s="2">
        <v>47.4</v>
      </c>
      <c r="O5" s="2">
        <v>47.4</v>
      </c>
      <c r="P5" s="2">
        <v>46.4</v>
      </c>
      <c r="Q5" s="2">
        <v>45.3</v>
      </c>
      <c r="R5" s="2457">
        <v>46.6</v>
      </c>
      <c r="T5" s="2">
        <v>46</v>
      </c>
      <c r="U5" s="2">
        <v>46</v>
      </c>
      <c r="V5" s="2">
        <v>45</v>
      </c>
      <c r="W5" s="2">
        <v>44</v>
      </c>
      <c r="X5" s="2457">
        <f t="shared" si="2"/>
        <v>45.3</v>
      </c>
    </row>
    <row r="6" spans="1:24" x14ac:dyDescent="0.25">
      <c r="A6" t="s">
        <v>2746</v>
      </c>
      <c r="B6" s="2456">
        <f t="shared" si="0"/>
        <v>54.1</v>
      </c>
      <c r="C6" s="2456">
        <f t="shared" si="0"/>
        <v>55.2</v>
      </c>
      <c r="D6" s="2456">
        <f t="shared" si="0"/>
        <v>56.2</v>
      </c>
      <c r="E6" s="2456">
        <f t="shared" si="0"/>
        <v>62.6</v>
      </c>
      <c r="F6" s="2457">
        <f t="shared" si="1"/>
        <v>57</v>
      </c>
      <c r="H6" s="2452">
        <f t="shared" ca="1" si="3"/>
        <v>62.6</v>
      </c>
      <c r="N6" s="2">
        <v>52.5</v>
      </c>
      <c r="O6" s="2">
        <v>53.6</v>
      </c>
      <c r="P6" s="2">
        <v>54.6</v>
      </c>
      <c r="Q6" s="2">
        <v>60.8</v>
      </c>
      <c r="R6" s="2457">
        <v>55.4</v>
      </c>
      <c r="T6" s="2">
        <v>51</v>
      </c>
      <c r="U6" s="2">
        <v>52</v>
      </c>
      <c r="V6" s="2">
        <v>53</v>
      </c>
      <c r="W6" s="2">
        <v>59</v>
      </c>
      <c r="X6" s="2457">
        <f t="shared" si="2"/>
        <v>53.8</v>
      </c>
    </row>
    <row r="7" spans="1:24" x14ac:dyDescent="0.25">
      <c r="A7" t="s">
        <v>2747</v>
      </c>
      <c r="B7" s="2456">
        <f t="shared" si="0"/>
        <v>50.9</v>
      </c>
      <c r="C7" s="2456">
        <f t="shared" si="0"/>
        <v>53</v>
      </c>
      <c r="D7" s="2456">
        <f t="shared" si="0"/>
        <v>0</v>
      </c>
      <c r="E7" s="2456">
        <f t="shared" si="0"/>
        <v>0</v>
      </c>
      <c r="F7" s="2457">
        <f t="shared" si="1"/>
        <v>52</v>
      </c>
      <c r="H7" s="2452">
        <f t="shared" ca="1" si="3"/>
        <v>52</v>
      </c>
      <c r="N7" s="2">
        <v>49.4</v>
      </c>
      <c r="O7" s="2">
        <v>51.5</v>
      </c>
      <c r="P7" s="2448">
        <v>0</v>
      </c>
      <c r="Q7" s="2448">
        <v>0</v>
      </c>
      <c r="R7" s="2457">
        <v>50.5</v>
      </c>
      <c r="T7" s="2">
        <v>48</v>
      </c>
      <c r="U7" s="2">
        <v>50</v>
      </c>
      <c r="V7" s="2448">
        <v>0</v>
      </c>
      <c r="W7" s="2448">
        <v>0</v>
      </c>
      <c r="X7" s="2457">
        <f t="shared" si="2"/>
        <v>49</v>
      </c>
    </row>
    <row r="8" spans="1:24" x14ac:dyDescent="0.25">
      <c r="A8" t="s">
        <v>2748</v>
      </c>
      <c r="B8" s="2456">
        <f t="shared" si="0"/>
        <v>54.1</v>
      </c>
      <c r="C8" s="2456">
        <f t="shared" si="0"/>
        <v>54.1</v>
      </c>
      <c r="D8" s="2456">
        <f t="shared" si="0"/>
        <v>57.3</v>
      </c>
      <c r="E8" s="2456">
        <f t="shared" si="0"/>
        <v>59.4</v>
      </c>
      <c r="F8" s="2457">
        <f t="shared" si="1"/>
        <v>56.2</v>
      </c>
      <c r="H8" s="2452">
        <f t="shared" ca="1" si="3"/>
        <v>59.4</v>
      </c>
      <c r="N8" s="2">
        <v>52.5</v>
      </c>
      <c r="O8" s="2">
        <v>52.5</v>
      </c>
      <c r="P8" s="2">
        <v>55.6</v>
      </c>
      <c r="Q8" s="2">
        <v>57.7</v>
      </c>
      <c r="R8" s="2457">
        <v>54.6</v>
      </c>
      <c r="T8" s="2">
        <v>51</v>
      </c>
      <c r="U8" s="2">
        <v>51</v>
      </c>
      <c r="V8" s="2">
        <v>54</v>
      </c>
      <c r="W8" s="2">
        <v>56</v>
      </c>
      <c r="X8" s="2457">
        <f t="shared" si="2"/>
        <v>53</v>
      </c>
    </row>
    <row r="9" spans="1:24" x14ac:dyDescent="0.25">
      <c r="A9" t="s">
        <v>2749</v>
      </c>
      <c r="B9" s="2456">
        <f t="shared" si="0"/>
        <v>0</v>
      </c>
      <c r="C9" s="2456">
        <f t="shared" si="0"/>
        <v>0</v>
      </c>
      <c r="D9" s="2456">
        <f t="shared" si="0"/>
        <v>0</v>
      </c>
      <c r="E9" s="2456">
        <f t="shared" si="0"/>
        <v>0</v>
      </c>
      <c r="F9" s="2457">
        <f t="shared" si="1"/>
        <v>0</v>
      </c>
      <c r="H9" s="2454">
        <f ca="1">+H4*1.1</f>
        <v>63.03</v>
      </c>
      <c r="I9" t="s">
        <v>2767</v>
      </c>
      <c r="N9" s="2449">
        <v>0</v>
      </c>
      <c r="O9" s="2449">
        <v>0</v>
      </c>
      <c r="P9" s="2449">
        <v>0</v>
      </c>
      <c r="Q9" s="2449">
        <v>0</v>
      </c>
      <c r="R9" s="2457">
        <v>0</v>
      </c>
      <c r="T9" s="2449">
        <v>0</v>
      </c>
      <c r="U9" s="2449">
        <v>0</v>
      </c>
      <c r="V9" s="2449">
        <v>0</v>
      </c>
      <c r="W9" s="2449">
        <v>0</v>
      </c>
      <c r="X9" s="2457">
        <f t="shared" si="2"/>
        <v>0</v>
      </c>
    </row>
    <row r="10" spans="1:24" x14ac:dyDescent="0.25">
      <c r="A10" t="s">
        <v>296</v>
      </c>
      <c r="B10" s="2"/>
      <c r="C10" s="2"/>
      <c r="D10" s="2"/>
      <c r="E10" s="2"/>
      <c r="F10" s="2457">
        <f t="shared" si="1"/>
        <v>0</v>
      </c>
      <c r="H10" s="2452">
        <f t="shared" ca="1" si="3"/>
        <v>0</v>
      </c>
      <c r="N10" s="2"/>
      <c r="O10" s="2"/>
      <c r="P10" s="2"/>
      <c r="Q10" s="2"/>
      <c r="R10" s="2457">
        <v>0</v>
      </c>
      <c r="T10" s="2"/>
      <c r="U10" s="2"/>
      <c r="V10" s="2"/>
      <c r="W10" s="2"/>
      <c r="X10" s="2457">
        <f t="shared" si="2"/>
        <v>0</v>
      </c>
    </row>
    <row r="11" spans="1:24" x14ac:dyDescent="0.25">
      <c r="A11" t="s">
        <v>296</v>
      </c>
      <c r="B11" s="2"/>
      <c r="C11" s="2"/>
      <c r="D11" s="2"/>
      <c r="E11" s="2"/>
      <c r="F11" s="2457">
        <f t="shared" si="1"/>
        <v>0</v>
      </c>
      <c r="H11" s="2452">
        <f t="shared" ca="1" si="3"/>
        <v>0</v>
      </c>
      <c r="N11" s="2"/>
      <c r="O11" s="2"/>
      <c r="P11" s="2"/>
      <c r="Q11" s="2"/>
      <c r="R11" s="2457">
        <v>0</v>
      </c>
      <c r="T11" s="2"/>
      <c r="U11" s="2"/>
      <c r="V11" s="2"/>
      <c r="W11" s="2"/>
      <c r="X11" s="2457">
        <f t="shared" si="2"/>
        <v>0</v>
      </c>
    </row>
    <row r="12" spans="1:24" x14ac:dyDescent="0.25">
      <c r="A12" t="s">
        <v>296</v>
      </c>
      <c r="B12" s="2"/>
      <c r="C12" s="2"/>
      <c r="D12" s="2"/>
      <c r="E12" s="2"/>
      <c r="F12" s="2457">
        <f t="shared" si="1"/>
        <v>0</v>
      </c>
      <c r="H12" s="2452">
        <f t="shared" ca="1" si="3"/>
        <v>0</v>
      </c>
      <c r="N12" s="2"/>
      <c r="O12" s="2"/>
      <c r="P12" s="2"/>
      <c r="Q12" s="2"/>
      <c r="R12" s="2457">
        <v>0</v>
      </c>
      <c r="T12" s="2"/>
      <c r="U12" s="2"/>
      <c r="V12" s="2"/>
      <c r="W12" s="2"/>
      <c r="X12" s="2457">
        <f t="shared" si="2"/>
        <v>0</v>
      </c>
    </row>
    <row r="13" spans="1:24" x14ac:dyDescent="0.25">
      <c r="A13" s="2446" t="s">
        <v>312</v>
      </c>
      <c r="B13" s="2"/>
      <c r="C13" s="2"/>
      <c r="D13" s="2"/>
      <c r="E13" s="2"/>
      <c r="F13" s="2457">
        <f t="shared" si="1"/>
        <v>0</v>
      </c>
      <c r="H13" s="2452">
        <f t="shared" ca="1" si="3"/>
        <v>0</v>
      </c>
      <c r="N13" s="2"/>
      <c r="O13" s="2"/>
      <c r="P13" s="2"/>
      <c r="Q13" s="2"/>
      <c r="R13" s="2457">
        <v>0</v>
      </c>
      <c r="T13" s="2"/>
      <c r="U13" s="2"/>
      <c r="V13" s="2"/>
      <c r="W13" s="2"/>
      <c r="X13" s="2457">
        <f t="shared" si="2"/>
        <v>0</v>
      </c>
    </row>
    <row r="14" spans="1:24" x14ac:dyDescent="0.25">
      <c r="A14" t="s">
        <v>313</v>
      </c>
      <c r="B14" s="2456">
        <f t="shared" ref="B14:B22" si="4">ROUND(+N14*(1+$H$1),1)</f>
        <v>49.9</v>
      </c>
      <c r="C14" s="2456">
        <f t="shared" ref="C14:C22" si="5">ROUND(+O14*(1+$H$1),1)</f>
        <v>49.9</v>
      </c>
      <c r="D14" s="2456">
        <f t="shared" ref="D14:D22" si="6">ROUND(+P14*(1+$H$1),1)</f>
        <v>49.9</v>
      </c>
      <c r="E14" s="2456">
        <f t="shared" ref="E14:E22" si="7">ROUND(+Q14*(1+$H$1),1)</f>
        <v>63.7</v>
      </c>
      <c r="F14" s="2457">
        <f t="shared" si="1"/>
        <v>53.4</v>
      </c>
      <c r="H14" s="2452">
        <f t="shared" ca="1" si="3"/>
        <v>63.7</v>
      </c>
      <c r="N14" s="2450">
        <v>48.4</v>
      </c>
      <c r="O14" s="2450">
        <v>48.4</v>
      </c>
      <c r="P14" s="2450">
        <v>48.4</v>
      </c>
      <c r="Q14" s="2450">
        <v>61.8</v>
      </c>
      <c r="R14" s="2457">
        <v>51.8</v>
      </c>
      <c r="T14" s="2450">
        <v>47</v>
      </c>
      <c r="U14" s="2450">
        <v>47</v>
      </c>
      <c r="V14" s="2450">
        <v>47</v>
      </c>
      <c r="W14" s="2450">
        <v>60</v>
      </c>
      <c r="X14" s="2457">
        <f t="shared" si="2"/>
        <v>50.3</v>
      </c>
    </row>
    <row r="15" spans="1:24" x14ac:dyDescent="0.25">
      <c r="A15" t="s">
        <v>1770</v>
      </c>
      <c r="B15" s="2456">
        <f t="shared" si="4"/>
        <v>49.9</v>
      </c>
      <c r="C15" s="2456">
        <f t="shared" si="5"/>
        <v>49.9</v>
      </c>
      <c r="D15" s="2456">
        <f t="shared" si="6"/>
        <v>49.9</v>
      </c>
      <c r="E15" s="2456">
        <f t="shared" si="7"/>
        <v>63.7</v>
      </c>
      <c r="F15" s="2457">
        <f t="shared" si="1"/>
        <v>53.4</v>
      </c>
      <c r="H15" s="2452">
        <f t="shared" ca="1" si="3"/>
        <v>63.7</v>
      </c>
      <c r="N15" s="2">
        <v>48.4</v>
      </c>
      <c r="O15" s="2">
        <v>48.4</v>
      </c>
      <c r="P15" s="2">
        <v>48.4</v>
      </c>
      <c r="Q15" s="2">
        <v>61.8</v>
      </c>
      <c r="R15" s="2457">
        <v>51.8</v>
      </c>
      <c r="T15" s="2">
        <v>47</v>
      </c>
      <c r="U15" s="2">
        <v>47</v>
      </c>
      <c r="V15" s="2">
        <v>47</v>
      </c>
      <c r="W15" s="2">
        <v>60</v>
      </c>
      <c r="X15" s="2457">
        <f t="shared" si="2"/>
        <v>50.3</v>
      </c>
    </row>
    <row r="16" spans="1:24" x14ac:dyDescent="0.25">
      <c r="A16" t="s">
        <v>1771</v>
      </c>
      <c r="B16" s="2456">
        <f t="shared" si="4"/>
        <v>49.9</v>
      </c>
      <c r="C16" s="2456">
        <f t="shared" si="5"/>
        <v>49.9</v>
      </c>
      <c r="D16" s="2456">
        <f t="shared" si="6"/>
        <v>49.9</v>
      </c>
      <c r="E16" s="2456">
        <f t="shared" si="7"/>
        <v>63.7</v>
      </c>
      <c r="F16" s="2457">
        <f t="shared" si="1"/>
        <v>53.4</v>
      </c>
      <c r="H16" s="2452">
        <f t="shared" ca="1" si="3"/>
        <v>63.7</v>
      </c>
      <c r="N16" s="2">
        <v>48.4</v>
      </c>
      <c r="O16" s="2">
        <v>48.4</v>
      </c>
      <c r="P16" s="2">
        <v>48.4</v>
      </c>
      <c r="Q16" s="2">
        <v>61.8</v>
      </c>
      <c r="R16" s="2457">
        <v>51.8</v>
      </c>
      <c r="T16" s="2">
        <v>47</v>
      </c>
      <c r="U16" s="2">
        <v>47</v>
      </c>
      <c r="V16" s="2">
        <v>47</v>
      </c>
      <c r="W16" s="2">
        <v>60</v>
      </c>
      <c r="X16" s="2457">
        <f t="shared" si="2"/>
        <v>50.3</v>
      </c>
    </row>
    <row r="17" spans="1:24" x14ac:dyDescent="0.25">
      <c r="A17" t="s">
        <v>314</v>
      </c>
      <c r="B17" s="2456">
        <f t="shared" si="4"/>
        <v>49.9</v>
      </c>
      <c r="C17" s="2456">
        <f t="shared" si="5"/>
        <v>49.9</v>
      </c>
      <c r="D17" s="2456">
        <f t="shared" si="6"/>
        <v>49.9</v>
      </c>
      <c r="E17" s="2456">
        <f t="shared" si="7"/>
        <v>63.7</v>
      </c>
      <c r="F17" s="2457">
        <f t="shared" si="1"/>
        <v>53.4</v>
      </c>
      <c r="H17" s="2452">
        <f t="shared" ca="1" si="3"/>
        <v>63.7</v>
      </c>
      <c r="N17" s="2">
        <v>48.4</v>
      </c>
      <c r="O17" s="2">
        <v>48.4</v>
      </c>
      <c r="P17" s="2">
        <v>48.4</v>
      </c>
      <c r="Q17" s="2">
        <v>61.8</v>
      </c>
      <c r="R17" s="2457">
        <v>51.8</v>
      </c>
      <c r="T17" s="2">
        <v>47</v>
      </c>
      <c r="U17" s="2">
        <v>47</v>
      </c>
      <c r="V17" s="2">
        <v>47</v>
      </c>
      <c r="W17" s="2">
        <v>60</v>
      </c>
      <c r="X17" s="2457">
        <f t="shared" si="2"/>
        <v>50.3</v>
      </c>
    </row>
    <row r="18" spans="1:24" x14ac:dyDescent="0.25">
      <c r="A18" t="s">
        <v>2750</v>
      </c>
      <c r="B18" s="2456">
        <f t="shared" si="4"/>
        <v>54.1</v>
      </c>
      <c r="C18" s="2456">
        <f t="shared" si="5"/>
        <v>54.1</v>
      </c>
      <c r="D18" s="2456">
        <f t="shared" si="6"/>
        <v>54.1</v>
      </c>
      <c r="E18" s="2456">
        <f t="shared" si="7"/>
        <v>61.5</v>
      </c>
      <c r="F18" s="2457">
        <f t="shared" si="1"/>
        <v>56</v>
      </c>
      <c r="H18" s="2452">
        <f t="shared" ca="1" si="3"/>
        <v>61.5</v>
      </c>
      <c r="N18" s="2">
        <v>52.5</v>
      </c>
      <c r="O18" s="2">
        <v>52.5</v>
      </c>
      <c r="P18" s="2">
        <v>52.5</v>
      </c>
      <c r="Q18" s="2">
        <v>59.7</v>
      </c>
      <c r="R18" s="2457">
        <v>54.3</v>
      </c>
      <c r="T18" s="2">
        <v>51</v>
      </c>
      <c r="U18" s="2">
        <v>51</v>
      </c>
      <c r="V18" s="2">
        <v>51</v>
      </c>
      <c r="W18" s="2">
        <v>58</v>
      </c>
      <c r="X18" s="2457">
        <f t="shared" si="2"/>
        <v>52.8</v>
      </c>
    </row>
    <row r="19" spans="1:24" x14ac:dyDescent="0.25">
      <c r="A19" t="s">
        <v>315</v>
      </c>
      <c r="B19" s="2456">
        <f t="shared" si="4"/>
        <v>58.4</v>
      </c>
      <c r="C19" s="2456">
        <f t="shared" si="5"/>
        <v>57.3</v>
      </c>
      <c r="D19" s="2456">
        <f t="shared" si="6"/>
        <v>53</v>
      </c>
      <c r="E19" s="2456">
        <f t="shared" si="7"/>
        <v>61.5</v>
      </c>
      <c r="F19" s="2457">
        <f t="shared" si="1"/>
        <v>57.6</v>
      </c>
      <c r="H19" s="2452">
        <f t="shared" ca="1" si="3"/>
        <v>61.5</v>
      </c>
      <c r="N19" s="2">
        <v>56.7</v>
      </c>
      <c r="O19" s="2">
        <v>55.6</v>
      </c>
      <c r="P19" s="2">
        <v>51.5</v>
      </c>
      <c r="Q19" s="2">
        <v>59.7</v>
      </c>
      <c r="R19" s="2457">
        <v>55.9</v>
      </c>
      <c r="T19" s="2">
        <v>55</v>
      </c>
      <c r="U19" s="2">
        <v>54</v>
      </c>
      <c r="V19" s="2">
        <v>50</v>
      </c>
      <c r="W19" s="2">
        <v>58</v>
      </c>
      <c r="X19" s="2457">
        <f t="shared" si="2"/>
        <v>54.3</v>
      </c>
    </row>
    <row r="20" spans="1:24" x14ac:dyDescent="0.25">
      <c r="A20" t="s">
        <v>316</v>
      </c>
      <c r="B20" s="2456">
        <f t="shared" si="4"/>
        <v>50.9</v>
      </c>
      <c r="C20" s="2456">
        <f t="shared" si="5"/>
        <v>59.4</v>
      </c>
      <c r="D20" s="2456">
        <f t="shared" si="6"/>
        <v>45.6</v>
      </c>
      <c r="E20" s="2456">
        <f t="shared" si="7"/>
        <v>55.2</v>
      </c>
      <c r="F20" s="2457">
        <f t="shared" si="1"/>
        <v>52.8</v>
      </c>
      <c r="H20" s="2452">
        <f t="shared" ca="1" si="3"/>
        <v>55.2</v>
      </c>
      <c r="N20" s="2">
        <v>49.4</v>
      </c>
      <c r="O20" s="2">
        <v>57.7</v>
      </c>
      <c r="P20" s="2">
        <v>44.3</v>
      </c>
      <c r="Q20" s="2">
        <v>53.6</v>
      </c>
      <c r="R20" s="2457">
        <v>51.3</v>
      </c>
      <c r="T20" s="2">
        <v>48</v>
      </c>
      <c r="U20" s="2">
        <v>56</v>
      </c>
      <c r="V20" s="2">
        <v>43</v>
      </c>
      <c r="W20" s="2">
        <v>52</v>
      </c>
      <c r="X20" s="2457">
        <f t="shared" si="2"/>
        <v>49.8</v>
      </c>
    </row>
    <row r="21" spans="1:24" x14ac:dyDescent="0.25">
      <c r="A21" t="s">
        <v>1776</v>
      </c>
      <c r="B21" s="2456">
        <f t="shared" si="4"/>
        <v>57.3</v>
      </c>
      <c r="C21" s="2456">
        <f t="shared" si="5"/>
        <v>50.9</v>
      </c>
      <c r="D21" s="2456">
        <f t="shared" si="6"/>
        <v>49.9</v>
      </c>
      <c r="E21" s="2456">
        <f t="shared" si="7"/>
        <v>65.8</v>
      </c>
      <c r="F21" s="2457">
        <f t="shared" si="1"/>
        <v>56</v>
      </c>
      <c r="H21" s="2452">
        <f t="shared" ca="1" si="3"/>
        <v>65.8</v>
      </c>
      <c r="N21" s="2">
        <v>55.6</v>
      </c>
      <c r="O21" s="2">
        <v>49.4</v>
      </c>
      <c r="P21" s="2">
        <v>48.4</v>
      </c>
      <c r="Q21" s="2">
        <v>63.9</v>
      </c>
      <c r="R21" s="2457">
        <v>54.3</v>
      </c>
      <c r="T21" s="2">
        <v>54</v>
      </c>
      <c r="U21" s="2">
        <v>48</v>
      </c>
      <c r="V21" s="2">
        <v>47</v>
      </c>
      <c r="W21" s="2">
        <v>62</v>
      </c>
      <c r="X21" s="2457">
        <f t="shared" si="2"/>
        <v>52.8</v>
      </c>
    </row>
    <row r="22" spans="1:24" x14ac:dyDescent="0.25">
      <c r="A22" t="s">
        <v>317</v>
      </c>
      <c r="B22" s="2456">
        <f t="shared" si="4"/>
        <v>57.3</v>
      </c>
      <c r="C22" s="2456">
        <f t="shared" si="5"/>
        <v>50.9</v>
      </c>
      <c r="D22" s="2456">
        <f t="shared" si="6"/>
        <v>49.9</v>
      </c>
      <c r="E22" s="2456">
        <f t="shared" si="7"/>
        <v>65.8</v>
      </c>
      <c r="F22" s="2457">
        <f t="shared" si="1"/>
        <v>56</v>
      </c>
      <c r="H22" s="2452">
        <f t="shared" ca="1" si="3"/>
        <v>65.8</v>
      </c>
      <c r="N22" s="2">
        <v>55.6</v>
      </c>
      <c r="O22" s="2">
        <v>49.4</v>
      </c>
      <c r="P22" s="2">
        <v>48.4</v>
      </c>
      <c r="Q22" s="2">
        <v>63.9</v>
      </c>
      <c r="R22" s="2457">
        <v>54.3</v>
      </c>
      <c r="T22" s="2">
        <v>54</v>
      </c>
      <c r="U22" s="2">
        <v>48</v>
      </c>
      <c r="V22" s="2">
        <v>47</v>
      </c>
      <c r="W22" s="2">
        <v>62</v>
      </c>
      <c r="X22" s="2457">
        <f t="shared" si="2"/>
        <v>52.8</v>
      </c>
    </row>
    <row r="23" spans="1:24" x14ac:dyDescent="0.25">
      <c r="A23" t="s">
        <v>1779</v>
      </c>
      <c r="B23" s="2"/>
      <c r="C23" s="2"/>
      <c r="D23" s="2"/>
      <c r="E23" s="2"/>
      <c r="F23" s="2457">
        <f t="shared" si="1"/>
        <v>0</v>
      </c>
      <c r="H23" s="2452">
        <f t="shared" ca="1" si="3"/>
        <v>0</v>
      </c>
      <c r="N23" s="2"/>
      <c r="O23" s="2"/>
      <c r="P23" s="2"/>
      <c r="Q23" s="2"/>
      <c r="R23" s="2457">
        <v>0</v>
      </c>
      <c r="T23" s="2"/>
      <c r="U23" s="2"/>
      <c r="V23" s="2"/>
      <c r="W23" s="2"/>
      <c r="X23" s="2457">
        <f t="shared" si="2"/>
        <v>0</v>
      </c>
    </row>
    <row r="24" spans="1:24" x14ac:dyDescent="0.25">
      <c r="A24" t="s">
        <v>1779</v>
      </c>
      <c r="B24" s="2"/>
      <c r="C24" s="2"/>
      <c r="D24" s="2"/>
      <c r="E24" s="2"/>
      <c r="F24" s="2457">
        <f t="shared" si="1"/>
        <v>0</v>
      </c>
      <c r="H24" s="2452">
        <f t="shared" ca="1" si="3"/>
        <v>0</v>
      </c>
      <c r="N24" s="2"/>
      <c r="O24" s="2"/>
      <c r="P24" s="2"/>
      <c r="Q24" s="2"/>
      <c r="R24" s="2457">
        <v>0</v>
      </c>
      <c r="T24" s="2"/>
      <c r="U24" s="2"/>
      <c r="V24" s="2"/>
      <c r="W24" s="2"/>
      <c r="X24" s="2457">
        <f t="shared" si="2"/>
        <v>0</v>
      </c>
    </row>
    <row r="25" spans="1:24" x14ac:dyDescent="0.25">
      <c r="A25" s="2446" t="s">
        <v>325</v>
      </c>
      <c r="B25" s="2"/>
      <c r="C25" s="2"/>
      <c r="D25" s="2"/>
      <c r="E25" s="2"/>
      <c r="F25" s="2457">
        <f t="shared" si="1"/>
        <v>0</v>
      </c>
      <c r="H25" s="2452">
        <f t="shared" ca="1" si="3"/>
        <v>0</v>
      </c>
      <c r="N25" s="2"/>
      <c r="O25" s="2"/>
      <c r="P25" s="2"/>
      <c r="Q25" s="2"/>
      <c r="R25" s="2457">
        <v>0</v>
      </c>
      <c r="T25" s="2"/>
      <c r="U25" s="2"/>
      <c r="V25" s="2"/>
      <c r="W25" s="2"/>
      <c r="X25" s="2457">
        <f t="shared" si="2"/>
        <v>0</v>
      </c>
    </row>
    <row r="26" spans="1:24" x14ac:dyDescent="0.25">
      <c r="A26" t="s">
        <v>326</v>
      </c>
      <c r="B26" s="2456">
        <f>ROUND(+N26*(1+$H$1),1)</f>
        <v>0</v>
      </c>
      <c r="C26" s="2456">
        <f>ROUND(+O26*(1+$H$1),1)</f>
        <v>57.3</v>
      </c>
      <c r="D26" s="2456">
        <f>ROUND(+P26*(1+$H$1),1)</f>
        <v>53.4</v>
      </c>
      <c r="E26" s="2456">
        <f>ROUND(+Q26*(1+$H$1),1)</f>
        <v>64.7</v>
      </c>
      <c r="F26" s="2457">
        <f t="shared" si="1"/>
        <v>58.5</v>
      </c>
      <c r="H26" s="2452">
        <f t="shared" ca="1" si="3"/>
        <v>64.7</v>
      </c>
      <c r="I26" t="s">
        <v>2764</v>
      </c>
      <c r="N26" s="2448">
        <v>0</v>
      </c>
      <c r="O26" s="2">
        <v>55.6</v>
      </c>
      <c r="P26" s="2451">
        <v>51.8</v>
      </c>
      <c r="Q26" s="2">
        <v>62.8</v>
      </c>
      <c r="R26" s="2457">
        <v>56.7</v>
      </c>
      <c r="T26" s="2448">
        <v>0</v>
      </c>
      <c r="U26" s="2">
        <v>54</v>
      </c>
      <c r="V26" s="2451">
        <v>50.3</v>
      </c>
      <c r="W26" s="2">
        <v>61</v>
      </c>
      <c r="X26" s="2457">
        <f t="shared" si="2"/>
        <v>55.1</v>
      </c>
    </row>
    <row r="27" spans="1:24" x14ac:dyDescent="0.25">
      <c r="A27" s="2446" t="s">
        <v>337</v>
      </c>
      <c r="B27" s="2"/>
      <c r="C27" s="2"/>
      <c r="D27" s="2"/>
      <c r="E27" s="2"/>
      <c r="F27" s="2457">
        <f t="shared" si="1"/>
        <v>0</v>
      </c>
      <c r="H27" s="2452">
        <f t="shared" ca="1" si="3"/>
        <v>0</v>
      </c>
      <c r="N27" s="2"/>
      <c r="O27" s="2"/>
      <c r="P27" s="2"/>
      <c r="Q27" s="2"/>
      <c r="R27" s="2457">
        <v>0</v>
      </c>
      <c r="T27" s="2"/>
      <c r="U27" s="2"/>
      <c r="V27" s="2"/>
      <c r="W27" s="2"/>
      <c r="X27" s="2457">
        <f t="shared" si="2"/>
        <v>0</v>
      </c>
    </row>
    <row r="28" spans="1:24" x14ac:dyDescent="0.25">
      <c r="A28" t="s">
        <v>2751</v>
      </c>
      <c r="B28" s="2456">
        <f t="shared" ref="B28:B38" si="8">ROUND(+N28*(1+$H$1),1)</f>
        <v>56.2</v>
      </c>
      <c r="C28" s="2456">
        <f t="shared" ref="C28:C38" si="9">ROUND(+O28*(1+$H$1),1)</f>
        <v>57.3</v>
      </c>
      <c r="D28" s="2456">
        <f t="shared" ref="D28:D38" si="10">ROUND(+P28*(1+$H$1),1)</f>
        <v>56.2</v>
      </c>
      <c r="E28" s="2456">
        <f t="shared" ref="E28:E38" si="11">ROUND(+Q28*(1+$H$1),1)</f>
        <v>63.7</v>
      </c>
      <c r="F28" s="2457">
        <f t="shared" si="1"/>
        <v>58.4</v>
      </c>
      <c r="H28" s="2452">
        <f t="shared" ca="1" si="3"/>
        <v>63.7</v>
      </c>
      <c r="N28" s="2">
        <v>54.6</v>
      </c>
      <c r="O28" s="2">
        <v>55.6</v>
      </c>
      <c r="P28" s="2">
        <v>54.6</v>
      </c>
      <c r="Q28" s="2">
        <v>61.8</v>
      </c>
      <c r="R28" s="2457">
        <v>56.7</v>
      </c>
      <c r="T28" s="2">
        <v>53</v>
      </c>
      <c r="U28" s="2">
        <v>54</v>
      </c>
      <c r="V28" s="2">
        <v>53</v>
      </c>
      <c r="W28" s="2">
        <v>60</v>
      </c>
      <c r="X28" s="2457">
        <f t="shared" si="2"/>
        <v>55</v>
      </c>
    </row>
    <row r="29" spans="1:24" x14ac:dyDescent="0.25">
      <c r="A29" t="s">
        <v>2752</v>
      </c>
      <c r="B29" s="2456">
        <f t="shared" si="8"/>
        <v>50.9</v>
      </c>
      <c r="C29" s="2456">
        <f t="shared" si="9"/>
        <v>42.4</v>
      </c>
      <c r="D29" s="2456">
        <f t="shared" si="10"/>
        <v>0</v>
      </c>
      <c r="E29" s="2456">
        <f t="shared" si="11"/>
        <v>0</v>
      </c>
      <c r="F29" s="2457">
        <f>IFERROR(ROUND(AVERAGEIF(B29:E29,"&lt;&gt;0"),1),0)</f>
        <v>46.7</v>
      </c>
      <c r="H29" s="2452">
        <f t="shared" ca="1" si="3"/>
        <v>46.7</v>
      </c>
      <c r="N29" s="2">
        <v>49.4</v>
      </c>
      <c r="O29" s="2">
        <v>41.2</v>
      </c>
      <c r="P29" s="2448">
        <v>0</v>
      </c>
      <c r="Q29" s="2448">
        <v>0</v>
      </c>
      <c r="R29" s="2457">
        <v>45.3</v>
      </c>
      <c r="T29" s="2">
        <v>48</v>
      </c>
      <c r="U29" s="2">
        <v>40</v>
      </c>
      <c r="V29" s="2448">
        <v>0</v>
      </c>
      <c r="W29" s="2448">
        <v>0</v>
      </c>
      <c r="X29" s="2457">
        <f t="shared" si="2"/>
        <v>44</v>
      </c>
    </row>
    <row r="30" spans="1:24" x14ac:dyDescent="0.25">
      <c r="A30" t="s">
        <v>340</v>
      </c>
      <c r="B30" s="2456">
        <f t="shared" si="8"/>
        <v>55.2</v>
      </c>
      <c r="C30" s="2456">
        <f t="shared" si="9"/>
        <v>0</v>
      </c>
      <c r="D30" s="2456">
        <f t="shared" si="10"/>
        <v>0</v>
      </c>
      <c r="E30" s="2456">
        <f t="shared" si="11"/>
        <v>65.8</v>
      </c>
      <c r="F30" s="2457">
        <f t="shared" si="1"/>
        <v>60.5</v>
      </c>
      <c r="H30" s="2452">
        <f t="shared" ca="1" si="3"/>
        <v>65.8</v>
      </c>
      <c r="N30" s="2">
        <v>53.6</v>
      </c>
      <c r="O30" s="2448">
        <v>0</v>
      </c>
      <c r="P30" s="2448">
        <v>0</v>
      </c>
      <c r="Q30" s="2">
        <v>63.9</v>
      </c>
      <c r="R30" s="2457">
        <v>58.8</v>
      </c>
      <c r="T30" s="2">
        <v>52</v>
      </c>
      <c r="U30" s="2448">
        <v>0</v>
      </c>
      <c r="V30" s="2448">
        <v>0</v>
      </c>
      <c r="W30" s="2">
        <v>62</v>
      </c>
      <c r="X30" s="2457">
        <f t="shared" si="2"/>
        <v>57</v>
      </c>
    </row>
    <row r="31" spans="1:24" x14ac:dyDescent="0.25">
      <c r="A31" t="s">
        <v>341</v>
      </c>
      <c r="B31" s="2456">
        <f t="shared" si="8"/>
        <v>73.2</v>
      </c>
      <c r="C31" s="2456">
        <f t="shared" si="9"/>
        <v>62.6</v>
      </c>
      <c r="D31" s="2456">
        <f t="shared" si="10"/>
        <v>58.4</v>
      </c>
      <c r="E31" s="2456">
        <f t="shared" si="11"/>
        <v>70</v>
      </c>
      <c r="F31" s="2457">
        <f t="shared" si="1"/>
        <v>66.099999999999994</v>
      </c>
      <c r="H31" s="2452">
        <f t="shared" ca="1" si="3"/>
        <v>70</v>
      </c>
      <c r="N31" s="2">
        <v>71.099999999999994</v>
      </c>
      <c r="O31" s="2">
        <v>60.8</v>
      </c>
      <c r="P31" s="2">
        <v>56.7</v>
      </c>
      <c r="Q31" s="2">
        <v>68</v>
      </c>
      <c r="R31" s="2457">
        <v>64.2</v>
      </c>
      <c r="T31" s="2">
        <v>69</v>
      </c>
      <c r="U31" s="2">
        <v>59</v>
      </c>
      <c r="V31" s="2">
        <v>55</v>
      </c>
      <c r="W31" s="2">
        <v>66</v>
      </c>
      <c r="X31" s="2457">
        <f t="shared" si="2"/>
        <v>62.3</v>
      </c>
    </row>
    <row r="32" spans="1:24" x14ac:dyDescent="0.25">
      <c r="A32" t="s">
        <v>342</v>
      </c>
      <c r="B32" s="2456">
        <f t="shared" si="8"/>
        <v>53</v>
      </c>
      <c r="C32" s="2456">
        <f t="shared" si="9"/>
        <v>50.9</v>
      </c>
      <c r="D32" s="2456">
        <f t="shared" si="10"/>
        <v>52</v>
      </c>
      <c r="E32" s="2456">
        <f t="shared" si="11"/>
        <v>55.2</v>
      </c>
      <c r="F32" s="2457">
        <f t="shared" si="1"/>
        <v>52.8</v>
      </c>
      <c r="H32" s="2452">
        <f t="shared" ca="1" si="3"/>
        <v>55.2</v>
      </c>
      <c r="N32" s="2">
        <v>51.5</v>
      </c>
      <c r="O32" s="2">
        <v>49.4</v>
      </c>
      <c r="P32" s="2">
        <v>50.5</v>
      </c>
      <c r="Q32" s="2">
        <v>53.6</v>
      </c>
      <c r="R32" s="2457">
        <v>51.3</v>
      </c>
      <c r="T32" s="2">
        <v>50</v>
      </c>
      <c r="U32" s="2">
        <v>48</v>
      </c>
      <c r="V32" s="2">
        <v>49</v>
      </c>
      <c r="W32" s="2">
        <v>52</v>
      </c>
      <c r="X32" s="2457">
        <f t="shared" si="2"/>
        <v>49.8</v>
      </c>
    </row>
    <row r="33" spans="1:24" x14ac:dyDescent="0.25">
      <c r="A33" t="s">
        <v>2753</v>
      </c>
      <c r="B33" s="2456">
        <f t="shared" si="8"/>
        <v>55.2</v>
      </c>
      <c r="C33" s="2456">
        <f t="shared" si="9"/>
        <v>55.2</v>
      </c>
      <c r="D33" s="2456">
        <f t="shared" si="10"/>
        <v>48.8</v>
      </c>
      <c r="E33" s="2456">
        <f t="shared" si="11"/>
        <v>55.2</v>
      </c>
      <c r="F33" s="2457">
        <f t="shared" si="1"/>
        <v>53.6</v>
      </c>
      <c r="H33" s="2452">
        <f t="shared" ca="1" si="3"/>
        <v>55.2</v>
      </c>
      <c r="N33" s="2">
        <v>53.6</v>
      </c>
      <c r="O33" s="2">
        <v>53.6</v>
      </c>
      <c r="P33" s="2">
        <v>47.4</v>
      </c>
      <c r="Q33" s="2">
        <v>53.6</v>
      </c>
      <c r="R33" s="2457">
        <v>52.1</v>
      </c>
      <c r="T33" s="2">
        <v>52</v>
      </c>
      <c r="U33" s="2">
        <v>52</v>
      </c>
      <c r="V33" s="2">
        <v>46</v>
      </c>
      <c r="W33" s="2">
        <v>52</v>
      </c>
      <c r="X33" s="2457">
        <f t="shared" si="2"/>
        <v>50.5</v>
      </c>
    </row>
    <row r="34" spans="1:24" x14ac:dyDescent="0.25">
      <c r="A34" t="s">
        <v>343</v>
      </c>
      <c r="B34" s="2456">
        <f t="shared" si="8"/>
        <v>102.9</v>
      </c>
      <c r="C34" s="2456">
        <f t="shared" si="9"/>
        <v>98.7</v>
      </c>
      <c r="D34" s="2456">
        <f t="shared" si="10"/>
        <v>89.1</v>
      </c>
      <c r="E34" s="2456">
        <f t="shared" si="11"/>
        <v>103.9</v>
      </c>
      <c r="F34" s="2457">
        <f t="shared" si="1"/>
        <v>98.7</v>
      </c>
      <c r="H34" s="2454">
        <f>+F34</f>
        <v>98.7</v>
      </c>
      <c r="I34" t="s">
        <v>2764</v>
      </c>
      <c r="N34" s="2">
        <v>99.9</v>
      </c>
      <c r="O34" s="2">
        <v>95.8</v>
      </c>
      <c r="P34" s="2">
        <v>86.5</v>
      </c>
      <c r="Q34" s="2">
        <v>100.9</v>
      </c>
      <c r="R34" s="2457">
        <v>95.8</v>
      </c>
      <c r="T34" s="2">
        <v>97</v>
      </c>
      <c r="U34" s="2">
        <v>93</v>
      </c>
      <c r="V34" s="2">
        <v>84</v>
      </c>
      <c r="W34" s="2">
        <v>98</v>
      </c>
      <c r="X34" s="2457">
        <f t="shared" si="2"/>
        <v>93</v>
      </c>
    </row>
    <row r="35" spans="1:24" x14ac:dyDescent="0.25">
      <c r="A35" t="s">
        <v>344</v>
      </c>
      <c r="B35" s="2456">
        <f t="shared" si="8"/>
        <v>60.5</v>
      </c>
      <c r="C35" s="2456">
        <f t="shared" si="9"/>
        <v>57.3</v>
      </c>
      <c r="D35" s="2456">
        <f t="shared" si="10"/>
        <v>60.5</v>
      </c>
      <c r="E35" s="2456">
        <f t="shared" si="11"/>
        <v>65.8</v>
      </c>
      <c r="F35" s="2457">
        <f t="shared" si="1"/>
        <v>61</v>
      </c>
      <c r="H35" s="2454">
        <f>+F35</f>
        <v>61</v>
      </c>
      <c r="I35" t="s">
        <v>2764</v>
      </c>
      <c r="N35" s="2">
        <v>58.7</v>
      </c>
      <c r="O35" s="2">
        <v>55.6</v>
      </c>
      <c r="P35" s="2">
        <v>58.7</v>
      </c>
      <c r="Q35" s="2">
        <v>63.9</v>
      </c>
      <c r="R35" s="2457">
        <v>59.2</v>
      </c>
      <c r="T35" s="2">
        <v>57</v>
      </c>
      <c r="U35" s="2">
        <v>54</v>
      </c>
      <c r="V35" s="2">
        <v>57</v>
      </c>
      <c r="W35" s="2">
        <v>62</v>
      </c>
      <c r="X35" s="2457">
        <f t="shared" si="2"/>
        <v>57.5</v>
      </c>
    </row>
    <row r="36" spans="1:24" x14ac:dyDescent="0.25">
      <c r="A36" t="s">
        <v>2754</v>
      </c>
      <c r="B36" s="2456">
        <f t="shared" si="8"/>
        <v>54.1</v>
      </c>
      <c r="C36" s="2456">
        <f t="shared" si="9"/>
        <v>56.2</v>
      </c>
      <c r="D36" s="2456">
        <f t="shared" si="10"/>
        <v>55.2</v>
      </c>
      <c r="E36" s="2456">
        <f t="shared" si="11"/>
        <v>58.4</v>
      </c>
      <c r="F36" s="2457">
        <f t="shared" si="1"/>
        <v>56</v>
      </c>
      <c r="H36" s="2452">
        <f t="shared" ref="H36:H38" ca="1" si="12">IF(SUMIF($B$3:$E$44,$K$3,$B36:$E36)=0,+F36,SUMIF($B$3:$E$44,$K$3,$B36:$E36))</f>
        <v>58.4</v>
      </c>
      <c r="N36" s="2">
        <v>52.5</v>
      </c>
      <c r="O36" s="2">
        <v>54.6</v>
      </c>
      <c r="P36" s="2">
        <v>53.6</v>
      </c>
      <c r="Q36" s="2">
        <v>56.7</v>
      </c>
      <c r="R36" s="2457">
        <v>54.4</v>
      </c>
      <c r="T36" s="2">
        <v>51</v>
      </c>
      <c r="U36" s="2">
        <v>53</v>
      </c>
      <c r="V36" s="2">
        <v>52</v>
      </c>
      <c r="W36" s="2">
        <v>55</v>
      </c>
      <c r="X36" s="2457">
        <f t="shared" si="2"/>
        <v>52.8</v>
      </c>
    </row>
    <row r="37" spans="1:24" x14ac:dyDescent="0.25">
      <c r="A37" t="s">
        <v>2755</v>
      </c>
      <c r="B37" s="2456">
        <f t="shared" si="8"/>
        <v>58.4</v>
      </c>
      <c r="C37" s="2456">
        <f t="shared" si="9"/>
        <v>0</v>
      </c>
      <c r="D37" s="2456">
        <f t="shared" si="10"/>
        <v>54.1</v>
      </c>
      <c r="E37" s="2456">
        <f t="shared" si="11"/>
        <v>57.3</v>
      </c>
      <c r="F37" s="2457">
        <f t="shared" si="1"/>
        <v>56.6</v>
      </c>
      <c r="H37" s="2452">
        <f t="shared" ca="1" si="12"/>
        <v>57.3</v>
      </c>
      <c r="N37" s="2">
        <v>56.7</v>
      </c>
      <c r="O37" s="2448">
        <v>0</v>
      </c>
      <c r="P37" s="2">
        <v>52.5</v>
      </c>
      <c r="Q37" s="2">
        <v>55.6</v>
      </c>
      <c r="R37" s="2457">
        <v>54.9</v>
      </c>
      <c r="T37" s="2">
        <v>55</v>
      </c>
      <c r="U37" s="2448">
        <v>0</v>
      </c>
      <c r="V37" s="2">
        <v>51</v>
      </c>
      <c r="W37" s="2">
        <v>54</v>
      </c>
      <c r="X37" s="2457">
        <f t="shared" si="2"/>
        <v>53.3</v>
      </c>
    </row>
    <row r="38" spans="1:24" x14ac:dyDescent="0.25">
      <c r="A38" s="853" t="s">
        <v>2756</v>
      </c>
      <c r="B38" s="2456">
        <f t="shared" si="8"/>
        <v>59.4</v>
      </c>
      <c r="C38" s="2456">
        <f t="shared" si="9"/>
        <v>46.7</v>
      </c>
      <c r="D38" s="2456">
        <f t="shared" si="10"/>
        <v>63.7</v>
      </c>
      <c r="E38" s="2456">
        <f t="shared" si="11"/>
        <v>61.5</v>
      </c>
      <c r="F38" s="2457">
        <f t="shared" si="1"/>
        <v>57.8</v>
      </c>
      <c r="H38" s="2452">
        <f t="shared" ca="1" si="12"/>
        <v>61.5</v>
      </c>
      <c r="N38" s="2450">
        <v>57.7</v>
      </c>
      <c r="O38" s="2450">
        <v>45.3</v>
      </c>
      <c r="P38" s="2450">
        <v>61.8</v>
      </c>
      <c r="Q38" s="2450">
        <v>59.7</v>
      </c>
      <c r="R38" s="2457">
        <v>56.1</v>
      </c>
      <c r="T38" s="2450">
        <v>56</v>
      </c>
      <c r="U38" s="2450">
        <v>44</v>
      </c>
      <c r="V38" s="2450">
        <v>60</v>
      </c>
      <c r="W38" s="2450">
        <v>58</v>
      </c>
      <c r="X38" s="2457">
        <f t="shared" si="2"/>
        <v>54.5</v>
      </c>
    </row>
    <row r="39" spans="1:24" x14ac:dyDescent="0.25">
      <c r="A39" t="s">
        <v>345</v>
      </c>
      <c r="B39" s="2"/>
      <c r="C39" s="2"/>
      <c r="D39" s="2"/>
      <c r="E39" s="2"/>
      <c r="F39" s="2457">
        <f t="shared" si="1"/>
        <v>0</v>
      </c>
      <c r="N39" s="2"/>
      <c r="O39" s="2"/>
      <c r="P39" s="2"/>
      <c r="Q39" s="2"/>
      <c r="R39" s="2457">
        <v>0</v>
      </c>
      <c r="T39" s="2"/>
      <c r="U39" s="2"/>
      <c r="V39" s="2"/>
      <c r="W39" s="2"/>
      <c r="X39" s="2457">
        <f t="shared" si="2"/>
        <v>0</v>
      </c>
    </row>
    <row r="40" spans="1:24" x14ac:dyDescent="0.25">
      <c r="A40" t="s">
        <v>345</v>
      </c>
      <c r="B40" s="2"/>
      <c r="C40" s="2"/>
      <c r="D40" s="2"/>
      <c r="E40" s="2"/>
      <c r="F40" s="2457">
        <f t="shared" si="1"/>
        <v>0</v>
      </c>
      <c r="N40" s="2"/>
      <c r="O40" s="2"/>
      <c r="P40" s="2"/>
      <c r="Q40" s="2"/>
      <c r="R40" s="2457">
        <v>0</v>
      </c>
      <c r="T40" s="2"/>
      <c r="U40" s="2"/>
      <c r="V40" s="2"/>
      <c r="W40" s="2"/>
      <c r="X40" s="2457">
        <f t="shared" si="2"/>
        <v>0</v>
      </c>
    </row>
    <row r="41" spans="1:24" x14ac:dyDescent="0.25">
      <c r="A41" t="s">
        <v>345</v>
      </c>
      <c r="B41" s="2"/>
      <c r="C41" s="2"/>
      <c r="D41" s="2"/>
      <c r="E41" s="2"/>
      <c r="F41" s="2457">
        <f t="shared" si="1"/>
        <v>0</v>
      </c>
      <c r="N41" s="2"/>
      <c r="O41" s="2"/>
      <c r="P41" s="2"/>
      <c r="Q41" s="2"/>
      <c r="R41" s="2457">
        <v>0</v>
      </c>
      <c r="T41" s="2"/>
      <c r="U41" s="2"/>
      <c r="V41" s="2"/>
      <c r="W41" s="2"/>
      <c r="X41" s="2457">
        <f t="shared" si="2"/>
        <v>0</v>
      </c>
    </row>
    <row r="42" spans="1:24" x14ac:dyDescent="0.25">
      <c r="A42" s="2446" t="s">
        <v>364</v>
      </c>
      <c r="B42" s="2"/>
      <c r="C42" s="2"/>
      <c r="D42" s="2"/>
      <c r="E42" s="2"/>
      <c r="F42" s="2457">
        <f t="shared" si="1"/>
        <v>0</v>
      </c>
      <c r="N42" s="2"/>
      <c r="O42" s="2"/>
      <c r="P42" s="2"/>
      <c r="Q42" s="2"/>
      <c r="R42" s="2457">
        <v>0</v>
      </c>
      <c r="T42" s="2"/>
      <c r="U42" s="2"/>
      <c r="V42" s="2"/>
      <c r="W42" s="2"/>
      <c r="X42" s="2457">
        <f t="shared" si="2"/>
        <v>0</v>
      </c>
    </row>
    <row r="43" spans="1:24" x14ac:dyDescent="0.25">
      <c r="A43" t="s">
        <v>2757</v>
      </c>
      <c r="B43" s="2456">
        <f t="shared" ref="B43:E44" si="13">ROUND(+N43*(1+$H$1),1)</f>
        <v>59.4</v>
      </c>
      <c r="C43" s="2456">
        <f t="shared" si="13"/>
        <v>48.8</v>
      </c>
      <c r="D43" s="2456">
        <f t="shared" si="13"/>
        <v>54.6</v>
      </c>
      <c r="E43" s="2456">
        <f t="shared" si="13"/>
        <v>62.6</v>
      </c>
      <c r="F43" s="2457">
        <f t="shared" si="1"/>
        <v>56.4</v>
      </c>
      <c r="H43" s="2454">
        <v>64</v>
      </c>
      <c r="I43" t="s">
        <v>2765</v>
      </c>
      <c r="N43" s="2">
        <v>57.7</v>
      </c>
      <c r="O43" s="2">
        <v>47.4</v>
      </c>
      <c r="P43" s="2451">
        <v>53</v>
      </c>
      <c r="Q43" s="2">
        <v>60.8</v>
      </c>
      <c r="R43" s="2457">
        <v>54.7</v>
      </c>
      <c r="T43" s="2">
        <v>56</v>
      </c>
      <c r="U43" s="2">
        <v>46</v>
      </c>
      <c r="V43" s="2451">
        <v>51.483586789554522</v>
      </c>
      <c r="W43" s="2">
        <v>59</v>
      </c>
      <c r="X43" s="2457">
        <f t="shared" si="2"/>
        <v>53.1</v>
      </c>
    </row>
    <row r="44" spans="1:24" x14ac:dyDescent="0.25">
      <c r="A44" t="s">
        <v>2758</v>
      </c>
      <c r="B44" s="2456">
        <f t="shared" si="13"/>
        <v>66.8</v>
      </c>
      <c r="C44" s="2456">
        <f t="shared" si="13"/>
        <v>64.7</v>
      </c>
      <c r="D44" s="2456">
        <f t="shared" si="13"/>
        <v>0</v>
      </c>
      <c r="E44" s="2456">
        <f t="shared" si="13"/>
        <v>69</v>
      </c>
      <c r="F44" s="2457">
        <f t="shared" si="1"/>
        <v>66.8</v>
      </c>
      <c r="H44" s="2454">
        <v>64</v>
      </c>
      <c r="N44" s="2">
        <v>64.900000000000006</v>
      </c>
      <c r="O44" s="2">
        <v>62.8</v>
      </c>
      <c r="P44" s="2448">
        <v>0</v>
      </c>
      <c r="Q44" s="2">
        <v>67</v>
      </c>
      <c r="R44" s="2457">
        <v>64.900000000000006</v>
      </c>
      <c r="T44" s="2">
        <v>63</v>
      </c>
      <c r="U44" s="2">
        <v>61</v>
      </c>
      <c r="V44" s="2448">
        <v>0</v>
      </c>
      <c r="W44" s="2">
        <v>65</v>
      </c>
      <c r="X44" s="2457">
        <f t="shared" si="2"/>
        <v>63</v>
      </c>
    </row>
  </sheetData>
  <sheetProtection algorithmName="SHA-512" hashValue="tR18I2BrZEtMXiAqUpVfb664tSvYvy4XCSey3LPMVfMzjRDZE8Yat+H/D5s2LWYqIrOvSAFTSXbM9KxqwLaFMQ==" saltValue="CrmjZfgj7lt6NlrNDmnb2Q==" spinCount="100000" sheet="1" formatCells="0" formatColumns="0" formatRows="0" autoFilter="0"/>
  <pageMargins left="0.7" right="0.7" top="0.75" bottom="0.75" header="0.3" footer="0.3"/>
  <pageSetup orientation="portrai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729EC-E8C4-4078-AD0D-C009E7BAE18C}">
  <sheetPr codeName="Sheet15">
    <tabColor theme="9" tint="0.59999389629810485"/>
  </sheetPr>
  <dimension ref="A1:K98"/>
  <sheetViews>
    <sheetView showZeros="0" topLeftCell="A47" workbookViewId="0">
      <selection activeCell="F66" sqref="F66"/>
    </sheetView>
  </sheetViews>
  <sheetFormatPr defaultColWidth="8.5703125" defaultRowHeight="12.6" customHeight="1" x14ac:dyDescent="0.25"/>
  <cols>
    <col min="1" max="1" width="29.5703125" customWidth="1"/>
    <col min="2" max="2" width="24.5703125" customWidth="1"/>
    <col min="3" max="3" width="35.5703125" customWidth="1"/>
    <col min="4" max="6" width="10.5703125" customWidth="1"/>
    <col min="7" max="7" width="6.5703125" customWidth="1"/>
    <col min="8" max="8" width="24.5703125" customWidth="1"/>
    <col min="9" max="9" width="20.5703125" customWidth="1"/>
    <col min="10" max="10" width="10.5703125" customWidth="1"/>
  </cols>
  <sheetData>
    <row r="1" spans="1:11" ht="15" x14ac:dyDescent="0.25">
      <c r="A1" s="673"/>
      <c r="B1" s="674" t="s">
        <v>501</v>
      </c>
      <c r="C1" s="674"/>
      <c r="D1" s="2110">
        <v>44957</v>
      </c>
      <c r="E1" s="675"/>
      <c r="F1" s="1459"/>
      <c r="G1" s="673"/>
      <c r="H1" s="673"/>
      <c r="I1" s="673"/>
      <c r="J1" s="673"/>
      <c r="K1" s="673"/>
    </row>
    <row r="2" spans="1:11" ht="30" x14ac:dyDescent="0.25">
      <c r="A2" s="676" t="s">
        <v>502</v>
      </c>
      <c r="B2" s="673" t="s">
        <v>503</v>
      </c>
      <c r="C2" s="673" t="s">
        <v>504</v>
      </c>
      <c r="D2" s="2049" t="s">
        <v>1880</v>
      </c>
      <c r="E2" s="2049" t="s">
        <v>1881</v>
      </c>
      <c r="F2" s="2050" t="s">
        <v>1882</v>
      </c>
      <c r="G2" s="673"/>
      <c r="H2" s="673"/>
      <c r="I2" s="677" t="s">
        <v>507</v>
      </c>
      <c r="J2" s="673"/>
      <c r="K2" s="673"/>
    </row>
    <row r="3" spans="1:11" ht="15" x14ac:dyDescent="0.25">
      <c r="A3" s="678" t="str">
        <f t="shared" ref="A3:A12" si="0">+$B$3&amp;" "&amp;C3</f>
        <v>1T - CT AS &amp; E Basis</v>
      </c>
      <c r="B3" s="679" t="str">
        <f>+I3</f>
        <v>1T - CT</v>
      </c>
      <c r="C3" s="680" t="s">
        <v>508</v>
      </c>
      <c r="D3" s="2434">
        <v>6.0000000000000001E-3</v>
      </c>
      <c r="E3" s="1105"/>
      <c r="F3" s="2434">
        <v>1.2E-2</v>
      </c>
      <c r="G3" s="673"/>
      <c r="H3" s="673"/>
      <c r="I3" s="1106" t="s">
        <v>16</v>
      </c>
      <c r="J3" s="673"/>
      <c r="K3" s="673"/>
    </row>
    <row r="4" spans="1:11" ht="15" x14ac:dyDescent="0.25">
      <c r="A4" s="678" t="str">
        <f t="shared" si="0"/>
        <v>1T - CT E&amp;S Lines Work</v>
      </c>
      <c r="B4" s="679"/>
      <c r="C4" s="680" t="s">
        <v>509</v>
      </c>
      <c r="D4" s="2434">
        <v>0.15</v>
      </c>
      <c r="E4" s="1105"/>
      <c r="F4" s="2435">
        <v>0.4</v>
      </c>
      <c r="G4" s="673"/>
      <c r="H4" s="2704" t="s">
        <v>3530</v>
      </c>
      <c r="I4" s="1106" t="s">
        <v>25</v>
      </c>
      <c r="J4" s="673"/>
      <c r="K4" s="673"/>
    </row>
    <row r="5" spans="1:11" ht="15" x14ac:dyDescent="0.25">
      <c r="A5" s="678" t="str">
        <f t="shared" si="0"/>
        <v>1T - CT E&amp;S Station Basis</v>
      </c>
      <c r="B5" s="679"/>
      <c r="C5" s="680" t="s">
        <v>510</v>
      </c>
      <c r="D5" s="2072">
        <v>0.25</v>
      </c>
      <c r="E5" s="1105"/>
      <c r="F5" s="2677">
        <v>0.4</v>
      </c>
      <c r="G5" s="673"/>
      <c r="H5" s="2704" t="s">
        <v>3530</v>
      </c>
      <c r="I5" s="1106" t="s">
        <v>27</v>
      </c>
      <c r="J5" s="673"/>
      <c r="K5" s="673"/>
    </row>
    <row r="6" spans="1:11" ht="15" x14ac:dyDescent="0.25">
      <c r="A6" s="678" t="str">
        <f t="shared" si="0"/>
        <v>1T - CT Gen Svc Co OH Basis</v>
      </c>
      <c r="B6" s="679"/>
      <c r="C6" s="680" t="s">
        <v>511</v>
      </c>
      <c r="D6" s="2434">
        <v>0.57989999999999997</v>
      </c>
      <c r="E6" s="1105"/>
      <c r="F6" s="2435">
        <v>0.75</v>
      </c>
      <c r="G6" s="673"/>
      <c r="H6" s="673"/>
      <c r="I6" s="1106" t="s">
        <v>28</v>
      </c>
      <c r="J6" s="673"/>
      <c r="K6" s="673"/>
    </row>
    <row r="7" spans="1:11" ht="15" x14ac:dyDescent="0.25">
      <c r="A7" s="678" t="str">
        <f t="shared" si="0"/>
        <v>1T - CT Lobby Stock Basis</v>
      </c>
      <c r="B7" s="679"/>
      <c r="C7" s="680" t="s">
        <v>513</v>
      </c>
      <c r="D7" s="2434" t="s">
        <v>512</v>
      </c>
      <c r="E7" s="1105"/>
      <c r="F7" s="2435" t="s">
        <v>512</v>
      </c>
      <c r="G7" s="673"/>
      <c r="H7" s="673"/>
      <c r="I7" s="1106" t="s">
        <v>30</v>
      </c>
      <c r="J7" s="673"/>
      <c r="K7" s="673"/>
    </row>
    <row r="8" spans="1:11" ht="15" x14ac:dyDescent="0.25">
      <c r="A8" s="678" t="str">
        <f t="shared" si="0"/>
        <v>1T - CT MDEC Basis</v>
      </c>
      <c r="B8" s="679"/>
      <c r="C8" s="680" t="s">
        <v>514</v>
      </c>
      <c r="D8" s="2434" t="s">
        <v>512</v>
      </c>
      <c r="E8" s="1105"/>
      <c r="F8" s="2435" t="s">
        <v>512</v>
      </c>
      <c r="G8" s="673"/>
      <c r="H8" s="673"/>
      <c r="I8" s="1106" t="s">
        <v>31</v>
      </c>
      <c r="J8" s="673"/>
      <c r="K8" s="673"/>
    </row>
    <row r="9" spans="1:11" ht="15" x14ac:dyDescent="0.25">
      <c r="A9" s="678" t="str">
        <f t="shared" si="0"/>
        <v>1T - CT Non-Productive Basis</v>
      </c>
      <c r="B9" s="679"/>
      <c r="C9" s="680" t="s">
        <v>515</v>
      </c>
      <c r="D9" s="2434">
        <v>0.16719999999999999</v>
      </c>
      <c r="E9" s="1105"/>
      <c r="F9" s="2435">
        <v>0.17</v>
      </c>
      <c r="G9" s="673"/>
      <c r="H9" s="673"/>
      <c r="I9" s="1106" t="s">
        <v>32</v>
      </c>
      <c r="J9" s="673"/>
      <c r="K9" s="673"/>
    </row>
    <row r="10" spans="1:11" ht="15" x14ac:dyDescent="0.25">
      <c r="A10" s="678" t="str">
        <f t="shared" si="0"/>
        <v>1T - CT Payroll Benefit Basis</v>
      </c>
      <c r="B10" s="679"/>
      <c r="C10" s="680" t="s">
        <v>516</v>
      </c>
      <c r="D10" s="2434">
        <v>6.2799999999999995E-2</v>
      </c>
      <c r="E10" s="1105"/>
      <c r="F10" s="2435">
        <v>0.3</v>
      </c>
      <c r="G10" s="673"/>
      <c r="H10" s="673"/>
      <c r="I10" s="1107" t="s">
        <v>33</v>
      </c>
      <c r="J10" s="673"/>
      <c r="K10" s="673"/>
    </row>
    <row r="11" spans="1:11" ht="15" x14ac:dyDescent="0.25">
      <c r="A11" s="678" t="str">
        <f t="shared" si="0"/>
        <v>1T - CT Stores Expense Basis</v>
      </c>
      <c r="B11" s="679"/>
      <c r="C11" s="680" t="s">
        <v>517</v>
      </c>
      <c r="D11" s="2434">
        <v>0.16</v>
      </c>
      <c r="E11" s="1105">
        <v>0.5</v>
      </c>
      <c r="F11" s="2435">
        <v>0.08</v>
      </c>
      <c r="G11" s="673"/>
      <c r="H11" s="673"/>
      <c r="I11" s="1107"/>
      <c r="J11" s="673"/>
      <c r="K11" s="673"/>
    </row>
    <row r="12" spans="1:11" ht="15" x14ac:dyDescent="0.25">
      <c r="A12" s="678" t="str">
        <f t="shared" si="0"/>
        <v>1T - CT Vehicles OH Basis</v>
      </c>
      <c r="B12" s="679"/>
      <c r="C12" s="680" t="s">
        <v>518</v>
      </c>
      <c r="D12" s="2434">
        <v>0</v>
      </c>
      <c r="E12" s="1105"/>
      <c r="F12" s="2435">
        <v>7.4999999999999997E-2</v>
      </c>
      <c r="G12" s="673"/>
      <c r="H12" s="673"/>
      <c r="I12" s="673"/>
      <c r="J12" s="673"/>
      <c r="K12" s="673"/>
    </row>
    <row r="13" spans="1:11" ht="15" x14ac:dyDescent="0.25">
      <c r="A13" s="678"/>
      <c r="B13" s="673"/>
      <c r="C13" s="673"/>
      <c r="D13" s="2539"/>
      <c r="E13" s="681"/>
      <c r="F13" s="2539"/>
      <c r="G13" s="673"/>
      <c r="H13" s="673"/>
      <c r="I13" s="673"/>
      <c r="J13" s="673"/>
      <c r="K13" s="673"/>
    </row>
    <row r="14" spans="1:11" ht="15" x14ac:dyDescent="0.25">
      <c r="A14" s="678" t="str">
        <f t="shared" ref="A14:A23" si="1">+$B$14&amp;" "&amp;C14</f>
        <v>21 - EMA AS &amp; E Basis</v>
      </c>
      <c r="B14" s="679" t="str">
        <f>+I4</f>
        <v>21 - EMA</v>
      </c>
      <c r="C14" s="680" t="s">
        <v>508</v>
      </c>
      <c r="D14" s="2434">
        <v>0.01</v>
      </c>
      <c r="E14" s="1105"/>
      <c r="F14" s="2435">
        <v>0.8</v>
      </c>
      <c r="G14" s="673"/>
      <c r="H14" s="673"/>
      <c r="I14" s="677" t="s">
        <v>519</v>
      </c>
      <c r="J14" s="673"/>
      <c r="K14" s="673"/>
    </row>
    <row r="15" spans="1:11" ht="15" x14ac:dyDescent="0.25">
      <c r="A15" s="678" t="str">
        <f t="shared" si="1"/>
        <v>21 - EMA E&amp;S Lines Work</v>
      </c>
      <c r="B15" s="679"/>
      <c r="C15" s="680" t="s">
        <v>509</v>
      </c>
      <c r="D15" s="2434">
        <v>0.08</v>
      </c>
      <c r="E15" s="1105"/>
      <c r="F15" s="2677">
        <v>0.15</v>
      </c>
      <c r="G15" s="673"/>
      <c r="H15" s="673"/>
      <c r="I15" s="1106" t="s">
        <v>18</v>
      </c>
      <c r="J15" s="673"/>
      <c r="K15" s="673"/>
    </row>
    <row r="16" spans="1:11" ht="15" x14ac:dyDescent="0.25">
      <c r="A16" s="678" t="str">
        <f t="shared" si="1"/>
        <v>21 - EMA E&amp;S Station Basis</v>
      </c>
      <c r="B16" s="679"/>
      <c r="C16" s="680" t="s">
        <v>510</v>
      </c>
      <c r="D16" s="2434">
        <v>0.1</v>
      </c>
      <c r="E16" s="1105"/>
      <c r="F16" s="2677">
        <v>0.15</v>
      </c>
      <c r="G16" s="673"/>
      <c r="H16" s="673"/>
      <c r="I16" s="1106" t="s">
        <v>520</v>
      </c>
      <c r="J16" s="673"/>
      <c r="K16" s="673"/>
    </row>
    <row r="17" spans="1:11" ht="15" x14ac:dyDescent="0.25">
      <c r="A17" s="678" t="str">
        <f t="shared" si="1"/>
        <v>21 - EMA Gen Svc Co OH Basis</v>
      </c>
      <c r="B17" s="679"/>
      <c r="C17" s="680" t="s">
        <v>511</v>
      </c>
      <c r="D17" s="2434">
        <f>D6</f>
        <v>0.57989999999999997</v>
      </c>
      <c r="E17" s="1105"/>
      <c r="F17" s="2435">
        <v>0.7</v>
      </c>
      <c r="G17" s="673"/>
      <c r="H17" s="673"/>
      <c r="I17" s="1106"/>
      <c r="J17" s="673"/>
      <c r="K17" s="673"/>
    </row>
    <row r="18" spans="1:11" ht="15" x14ac:dyDescent="0.25">
      <c r="A18" s="678" t="str">
        <f t="shared" si="1"/>
        <v>21 - EMA Lobby Stock Basis</v>
      </c>
      <c r="B18" s="679"/>
      <c r="C18" s="680" t="s">
        <v>513</v>
      </c>
      <c r="D18" s="2434" t="s">
        <v>512</v>
      </c>
      <c r="E18" s="1105"/>
      <c r="F18" s="2435" t="s">
        <v>512</v>
      </c>
      <c r="G18" s="673"/>
      <c r="H18" s="673"/>
      <c r="I18" s="1106"/>
      <c r="J18" s="673"/>
      <c r="K18" s="673"/>
    </row>
    <row r="19" spans="1:11" ht="15" x14ac:dyDescent="0.25">
      <c r="A19" s="678" t="str">
        <f t="shared" si="1"/>
        <v>21 - EMA MDEC Basis</v>
      </c>
      <c r="B19" s="679"/>
      <c r="C19" s="680" t="s">
        <v>514</v>
      </c>
      <c r="D19" s="2434" t="s">
        <v>512</v>
      </c>
      <c r="E19" s="1105"/>
      <c r="F19" s="2435" t="s">
        <v>512</v>
      </c>
      <c r="G19" s="673"/>
      <c r="H19" s="673"/>
      <c r="I19" s="1106"/>
      <c r="J19" s="673"/>
      <c r="K19" s="673"/>
    </row>
    <row r="20" spans="1:11" ht="15" x14ac:dyDescent="0.25">
      <c r="A20" s="678" t="str">
        <f t="shared" si="1"/>
        <v>21 - EMA Non-Productive Basis</v>
      </c>
      <c r="B20" s="679"/>
      <c r="C20" s="680" t="s">
        <v>515</v>
      </c>
      <c r="D20" s="2434">
        <v>0.1943</v>
      </c>
      <c r="E20" s="1105"/>
      <c r="F20" s="2435">
        <v>0.19</v>
      </c>
      <c r="G20" s="673"/>
      <c r="H20" s="673"/>
      <c r="I20" s="1106"/>
      <c r="J20" s="673"/>
      <c r="K20" s="673"/>
    </row>
    <row r="21" spans="1:11" ht="15" x14ac:dyDescent="0.25">
      <c r="A21" s="678" t="str">
        <f t="shared" si="1"/>
        <v>21 - EMA Payroll Benefit Basis</v>
      </c>
      <c r="B21" s="679"/>
      <c r="C21" s="680" t="s">
        <v>516</v>
      </c>
      <c r="D21" s="2434">
        <v>-6.7799999999999999E-2</v>
      </c>
      <c r="E21" s="1105"/>
      <c r="F21" s="2435">
        <v>0.08</v>
      </c>
      <c r="G21" s="673"/>
      <c r="H21" s="673"/>
      <c r="I21" s="1106"/>
      <c r="J21" s="673"/>
      <c r="K21" s="673"/>
    </row>
    <row r="22" spans="1:11" ht="15" x14ac:dyDescent="0.25">
      <c r="A22" s="678" t="str">
        <f t="shared" si="1"/>
        <v>21 - EMA Stores Expense Basis</v>
      </c>
      <c r="B22" s="679"/>
      <c r="C22" s="680" t="s">
        <v>517</v>
      </c>
      <c r="D22" s="2434">
        <v>0.1</v>
      </c>
      <c r="E22" s="1105">
        <v>0.5</v>
      </c>
      <c r="F22" s="2435">
        <v>0.05</v>
      </c>
      <c r="G22" s="673"/>
      <c r="H22" s="673"/>
      <c r="I22" s="1107"/>
      <c r="J22" s="673"/>
      <c r="K22" s="673"/>
    </row>
    <row r="23" spans="1:11" ht="15" x14ac:dyDescent="0.25">
      <c r="A23" s="678" t="str">
        <f t="shared" si="1"/>
        <v>21 - EMA Vehicles OH Basis</v>
      </c>
      <c r="B23" s="679"/>
      <c r="C23" s="680" t="s">
        <v>518</v>
      </c>
      <c r="D23" s="2434">
        <v>0</v>
      </c>
      <c r="E23" s="1105"/>
      <c r="F23" s="2435">
        <v>7.4999999999999997E-2</v>
      </c>
      <c r="G23" s="673"/>
      <c r="H23" s="673"/>
      <c r="I23" s="673"/>
      <c r="J23" s="673"/>
      <c r="K23" s="673"/>
    </row>
    <row r="24" spans="1:11" ht="15" x14ac:dyDescent="0.25">
      <c r="A24" s="678"/>
      <c r="B24" s="673"/>
      <c r="C24" s="673"/>
      <c r="D24" s="2539"/>
      <c r="E24" s="681"/>
      <c r="F24" s="2539"/>
      <c r="G24" s="673"/>
      <c r="H24" s="673"/>
      <c r="I24" s="673"/>
      <c r="J24" s="673"/>
      <c r="K24" s="673"/>
    </row>
    <row r="25" spans="1:11" ht="15" x14ac:dyDescent="0.25">
      <c r="A25" s="678" t="str">
        <f t="shared" ref="A25:A34" si="2">+$B$25&amp;" "&amp;C25</f>
        <v>4T - WMA AS &amp; E Basis</v>
      </c>
      <c r="B25" s="679" t="str">
        <f>+I5</f>
        <v>4T - WMA</v>
      </c>
      <c r="C25" s="680" t="s">
        <v>508</v>
      </c>
      <c r="D25" s="2434">
        <v>3.0000000000000001E-3</v>
      </c>
      <c r="E25" s="1105"/>
      <c r="F25" s="2435">
        <v>0.01</v>
      </c>
      <c r="G25" s="673"/>
      <c r="H25" s="673"/>
      <c r="I25" s="677" t="s">
        <v>521</v>
      </c>
      <c r="J25" s="673" t="s">
        <v>522</v>
      </c>
      <c r="K25" s="673" t="s">
        <v>523</v>
      </c>
    </row>
    <row r="26" spans="1:11" ht="15" x14ac:dyDescent="0.25">
      <c r="A26" s="678" t="str">
        <f t="shared" si="2"/>
        <v>4T - WMA E&amp;S Lines Work</v>
      </c>
      <c r="B26" s="682"/>
      <c r="C26" s="680" t="s">
        <v>509</v>
      </c>
      <c r="D26" s="2072">
        <v>0.13</v>
      </c>
      <c r="E26" s="1105"/>
      <c r="F26" s="2677">
        <v>0.15</v>
      </c>
      <c r="G26" s="673"/>
      <c r="H26" s="673"/>
      <c r="I26" s="1106" t="s">
        <v>524</v>
      </c>
      <c r="J26" s="1108">
        <v>0.25</v>
      </c>
      <c r="K26" s="1108">
        <v>0.5</v>
      </c>
    </row>
    <row r="27" spans="1:11" ht="15" x14ac:dyDescent="0.25">
      <c r="A27" s="678" t="str">
        <f t="shared" si="2"/>
        <v>4T - WMA E&amp;S Station Basis</v>
      </c>
      <c r="B27" s="682"/>
      <c r="C27" s="680" t="s">
        <v>510</v>
      </c>
      <c r="D27" s="2072">
        <v>0.25</v>
      </c>
      <c r="E27" s="1105"/>
      <c r="F27" s="2677">
        <v>0.5</v>
      </c>
      <c r="G27" s="673"/>
      <c r="H27" s="673"/>
      <c r="I27" s="1106" t="s">
        <v>93</v>
      </c>
      <c r="J27" s="1108">
        <v>0.1</v>
      </c>
      <c r="K27" s="1108">
        <v>0.1</v>
      </c>
    </row>
    <row r="28" spans="1:11" ht="15" x14ac:dyDescent="0.25">
      <c r="A28" s="678" t="str">
        <f t="shared" si="2"/>
        <v>4T - WMA Gen Svc Co OH Basis</v>
      </c>
      <c r="B28" s="682"/>
      <c r="C28" s="680" t="s">
        <v>511</v>
      </c>
      <c r="D28" s="2434">
        <f>D6</f>
        <v>0.57989999999999997</v>
      </c>
      <c r="E28" s="1105"/>
      <c r="F28" s="2435">
        <v>0.7</v>
      </c>
      <c r="G28" s="673"/>
      <c r="H28" s="673"/>
      <c r="I28" s="1106" t="s">
        <v>391</v>
      </c>
      <c r="J28" s="1108">
        <v>0.1</v>
      </c>
      <c r="K28" s="1108">
        <v>0.1</v>
      </c>
    </row>
    <row r="29" spans="1:11" ht="15" x14ac:dyDescent="0.25">
      <c r="A29" s="678" t="str">
        <f t="shared" si="2"/>
        <v>4T - WMA Lobby Stock Basis</v>
      </c>
      <c r="B29" s="682"/>
      <c r="C29" s="680" t="s">
        <v>513</v>
      </c>
      <c r="D29" s="2434" t="s">
        <v>512</v>
      </c>
      <c r="E29" s="1105"/>
      <c r="F29" s="2435" t="s">
        <v>512</v>
      </c>
      <c r="G29" s="673"/>
      <c r="H29" s="673"/>
      <c r="I29" s="1106" t="s">
        <v>525</v>
      </c>
      <c r="J29" s="1108">
        <v>0.5</v>
      </c>
      <c r="K29" s="1108">
        <v>2</v>
      </c>
    </row>
    <row r="30" spans="1:11" ht="15" x14ac:dyDescent="0.25">
      <c r="A30" s="678" t="str">
        <f t="shared" si="2"/>
        <v>4T - WMA MDEC Basis</v>
      </c>
      <c r="B30" s="682"/>
      <c r="C30" s="680" t="s">
        <v>514</v>
      </c>
      <c r="D30" s="2434" t="s">
        <v>512</v>
      </c>
      <c r="E30" s="1105"/>
      <c r="F30" s="2435" t="s">
        <v>512</v>
      </c>
      <c r="G30" s="673"/>
      <c r="H30" s="673"/>
      <c r="I30" s="1106" t="s">
        <v>9</v>
      </c>
      <c r="J30" s="1108">
        <v>0.25</v>
      </c>
      <c r="K30" s="1108">
        <v>0.25</v>
      </c>
    </row>
    <row r="31" spans="1:11" ht="15" x14ac:dyDescent="0.25">
      <c r="A31" s="678" t="str">
        <f t="shared" si="2"/>
        <v>4T - WMA Non-Productive Basis</v>
      </c>
      <c r="B31" s="682"/>
      <c r="C31" s="680" t="s">
        <v>515</v>
      </c>
      <c r="D31" s="2434">
        <v>0.1943</v>
      </c>
      <c r="E31" s="1105"/>
      <c r="F31" s="2435">
        <v>0.19</v>
      </c>
      <c r="G31" s="673"/>
      <c r="H31" s="673"/>
      <c r="I31" s="2104" t="s">
        <v>1939</v>
      </c>
      <c r="J31" s="1109"/>
      <c r="K31" s="1109"/>
    </row>
    <row r="32" spans="1:11" ht="15" x14ac:dyDescent="0.25">
      <c r="A32" s="678" t="str">
        <f t="shared" si="2"/>
        <v>4T - WMA Payroll Benefit Basis</v>
      </c>
      <c r="B32" s="682"/>
      <c r="C32" s="680" t="s">
        <v>516</v>
      </c>
      <c r="D32" s="2434">
        <v>-6.7799999999999999E-2</v>
      </c>
      <c r="E32" s="1105"/>
      <c r="F32" s="2435">
        <v>0.08</v>
      </c>
      <c r="G32" s="673"/>
      <c r="H32" s="673"/>
      <c r="I32" s="1106"/>
      <c r="J32" s="1109"/>
      <c r="K32" s="1109"/>
    </row>
    <row r="33" spans="1:11" ht="15" x14ac:dyDescent="0.25">
      <c r="A33" s="678" t="str">
        <f t="shared" si="2"/>
        <v>4T - WMA Stores Expense Basis</v>
      </c>
      <c r="B33" s="682"/>
      <c r="C33" s="680" t="s">
        <v>517</v>
      </c>
      <c r="D33" s="2434">
        <v>0.19</v>
      </c>
      <c r="E33" s="1105">
        <v>0.5</v>
      </c>
      <c r="F33" s="2435">
        <v>9.5000000000000001E-2</v>
      </c>
      <c r="G33" s="673"/>
      <c r="H33" s="673"/>
      <c r="I33" s="1107"/>
      <c r="J33" s="1110"/>
      <c r="K33" s="1110"/>
    </row>
    <row r="34" spans="1:11" ht="15" x14ac:dyDescent="0.25">
      <c r="A34" s="678" t="str">
        <f t="shared" si="2"/>
        <v>4T - WMA Vehicles OH Basis</v>
      </c>
      <c r="B34" s="683"/>
      <c r="C34" s="680" t="s">
        <v>518</v>
      </c>
      <c r="D34" s="2434"/>
      <c r="E34" s="1105"/>
      <c r="F34" s="2435">
        <v>7.4999999999999997E-2</v>
      </c>
      <c r="G34" s="673"/>
      <c r="H34" s="673"/>
      <c r="I34" s="673"/>
      <c r="J34" s="673"/>
      <c r="K34" s="673"/>
    </row>
    <row r="35" spans="1:11" ht="15" x14ac:dyDescent="0.25">
      <c r="A35" s="678"/>
      <c r="B35" s="673"/>
      <c r="C35" s="673"/>
      <c r="D35" s="2539"/>
      <c r="E35" s="681"/>
      <c r="F35" s="2539"/>
      <c r="G35" s="673"/>
      <c r="H35" s="673"/>
      <c r="I35" s="673"/>
      <c r="J35" s="673"/>
      <c r="K35" s="673"/>
    </row>
    <row r="36" spans="1:11" ht="15" x14ac:dyDescent="0.25">
      <c r="A36" s="678" t="str">
        <f t="shared" ref="A36:A45" si="3">+$B$36&amp;" "&amp;C36</f>
        <v>6T - NH AS &amp; E Basis</v>
      </c>
      <c r="B36" s="679" t="str">
        <f>+I6</f>
        <v>6T - NH</v>
      </c>
      <c r="C36" s="680" t="s">
        <v>508</v>
      </c>
      <c r="D36" s="2434">
        <v>3.0000000000000001E-3</v>
      </c>
      <c r="E36" s="1105"/>
      <c r="F36" s="2435">
        <v>6.0000000000000001E-3</v>
      </c>
      <c r="G36" s="673"/>
      <c r="H36" s="673"/>
      <c r="I36" s="673"/>
      <c r="J36" s="673"/>
      <c r="K36" s="673"/>
    </row>
    <row r="37" spans="1:11" ht="15" x14ac:dyDescent="0.25">
      <c r="A37" s="678" t="str">
        <f t="shared" si="3"/>
        <v>6T - NH E&amp;S Lines Work</v>
      </c>
      <c r="B37" s="682"/>
      <c r="C37" s="680" t="s">
        <v>509</v>
      </c>
      <c r="D37" s="2072">
        <v>0.17</v>
      </c>
      <c r="E37" s="1105"/>
      <c r="F37" s="2435">
        <v>0.2</v>
      </c>
      <c r="G37" s="673"/>
      <c r="H37" s="673"/>
      <c r="I37" s="673"/>
      <c r="J37" s="673"/>
      <c r="K37" s="673"/>
    </row>
    <row r="38" spans="1:11" ht="15" x14ac:dyDescent="0.25">
      <c r="A38" s="678" t="str">
        <f t="shared" si="3"/>
        <v>6T - NH E&amp;S Station Basis</v>
      </c>
      <c r="B38" s="682"/>
      <c r="C38" s="680" t="s">
        <v>510</v>
      </c>
      <c r="D38" s="2434">
        <v>0.25</v>
      </c>
      <c r="E38" s="1105"/>
      <c r="F38" s="2678">
        <v>0.35</v>
      </c>
      <c r="G38" s="673"/>
      <c r="H38" s="673"/>
      <c r="I38" s="673"/>
      <c r="J38" s="673"/>
      <c r="K38" s="673"/>
    </row>
    <row r="39" spans="1:11" ht="15" x14ac:dyDescent="0.25">
      <c r="A39" s="678" t="str">
        <f t="shared" si="3"/>
        <v>6T - NH Gen Svc Co OH Basis</v>
      </c>
      <c r="B39" s="682"/>
      <c r="C39" s="680" t="s">
        <v>511</v>
      </c>
      <c r="D39" s="2434">
        <f>D6</f>
        <v>0.57989999999999997</v>
      </c>
      <c r="E39" s="1105"/>
      <c r="F39" s="2435">
        <v>0.7</v>
      </c>
      <c r="G39" s="673"/>
      <c r="H39" s="673"/>
      <c r="I39" s="673"/>
      <c r="J39" s="673"/>
      <c r="K39" s="673"/>
    </row>
    <row r="40" spans="1:11" ht="15" x14ac:dyDescent="0.25">
      <c r="A40" s="678" t="str">
        <f t="shared" si="3"/>
        <v>6T - NH Lobby Stock Basis</v>
      </c>
      <c r="B40" s="682"/>
      <c r="C40" s="680" t="s">
        <v>513</v>
      </c>
      <c r="D40" s="2540" t="s">
        <v>512</v>
      </c>
      <c r="E40" s="1105"/>
      <c r="F40" s="2435" t="s">
        <v>512</v>
      </c>
      <c r="G40" s="673"/>
      <c r="H40" s="673"/>
      <c r="I40" s="673"/>
      <c r="J40" s="673"/>
      <c r="K40" s="673"/>
    </row>
    <row r="41" spans="1:11" ht="15" x14ac:dyDescent="0.25">
      <c r="A41" s="678" t="str">
        <f t="shared" si="3"/>
        <v>6T - NH MDEC Basis</v>
      </c>
      <c r="B41" s="682"/>
      <c r="C41" s="680" t="s">
        <v>514</v>
      </c>
      <c r="D41" s="2540" t="s">
        <v>512</v>
      </c>
      <c r="E41" s="1105"/>
      <c r="F41" s="2435" t="s">
        <v>512</v>
      </c>
      <c r="G41" s="673"/>
      <c r="H41" s="673"/>
      <c r="I41" s="673"/>
      <c r="J41" s="673"/>
      <c r="K41" s="673"/>
    </row>
    <row r="42" spans="1:11" ht="15" x14ac:dyDescent="0.25">
      <c r="A42" s="678" t="str">
        <f t="shared" si="3"/>
        <v>6T - NH Non-Productive Basis</v>
      </c>
      <c r="B42" s="682"/>
      <c r="C42" s="680" t="s">
        <v>515</v>
      </c>
      <c r="D42" s="2434">
        <v>0.15029999999999999</v>
      </c>
      <c r="E42" s="1105"/>
      <c r="F42" s="2435">
        <v>0.15</v>
      </c>
      <c r="G42" s="673"/>
      <c r="H42" s="673"/>
      <c r="I42" s="673"/>
      <c r="J42" s="673"/>
      <c r="K42" s="673"/>
    </row>
    <row r="43" spans="1:11" ht="15" x14ac:dyDescent="0.25">
      <c r="A43" s="678" t="str">
        <f t="shared" si="3"/>
        <v>6T - NH Payroll Benefit Basis</v>
      </c>
      <c r="B43" s="682"/>
      <c r="C43" s="680" t="s">
        <v>516</v>
      </c>
      <c r="D43" s="2434">
        <v>2.7699999999999999E-2</v>
      </c>
      <c r="E43" s="1105"/>
      <c r="F43" s="2435">
        <v>0.25</v>
      </c>
      <c r="G43" s="673"/>
      <c r="H43" s="673"/>
      <c r="I43" s="673"/>
      <c r="J43" s="673"/>
      <c r="K43" s="673"/>
    </row>
    <row r="44" spans="1:11" ht="15" x14ac:dyDescent="0.25">
      <c r="A44" s="678" t="str">
        <f t="shared" si="3"/>
        <v>6T - NH Stores Expense Basis</v>
      </c>
      <c r="B44" s="682"/>
      <c r="C44" s="680" t="s">
        <v>517</v>
      </c>
      <c r="D44" s="2434">
        <v>0.12</v>
      </c>
      <c r="E44" s="1105">
        <v>0.5</v>
      </c>
      <c r="F44" s="2435">
        <v>0.06</v>
      </c>
      <c r="G44" s="673"/>
      <c r="H44" s="673"/>
      <c r="I44" s="673"/>
      <c r="J44" s="673"/>
      <c r="K44" s="673"/>
    </row>
    <row r="45" spans="1:11" ht="15" x14ac:dyDescent="0.25">
      <c r="A45" s="678" t="str">
        <f t="shared" si="3"/>
        <v>6T - NH Vehicles OH Basis</v>
      </c>
      <c r="B45" s="683"/>
      <c r="C45" s="680" t="s">
        <v>518</v>
      </c>
      <c r="D45" s="2434">
        <v>0</v>
      </c>
      <c r="E45" s="1105"/>
      <c r="F45" s="2435">
        <v>7.4999999999999997E-2</v>
      </c>
      <c r="G45" s="673"/>
      <c r="H45" s="673"/>
      <c r="I45" s="673"/>
      <c r="J45" s="673"/>
      <c r="K45" s="673"/>
    </row>
    <row r="46" spans="1:11" ht="15" x14ac:dyDescent="0.25">
      <c r="A46" s="678"/>
      <c r="B46" s="673"/>
      <c r="C46" s="673"/>
      <c r="D46" s="2539"/>
      <c r="E46" s="681"/>
      <c r="F46" s="2539"/>
      <c r="G46" s="673"/>
      <c r="H46" s="673"/>
      <c r="I46" s="673"/>
      <c r="J46" s="673"/>
      <c r="K46" s="681"/>
    </row>
    <row r="47" spans="1:11" ht="15" x14ac:dyDescent="0.25">
      <c r="A47" s="678"/>
      <c r="B47" s="673"/>
      <c r="C47" s="673"/>
      <c r="D47" s="2539"/>
      <c r="E47" s="681"/>
      <c r="F47" s="2539"/>
      <c r="G47" s="673"/>
      <c r="H47" s="673"/>
      <c r="I47" s="673"/>
      <c r="J47" s="673"/>
      <c r="K47" s="681"/>
    </row>
    <row r="48" spans="1:11" ht="15" x14ac:dyDescent="0.25">
      <c r="A48" s="678"/>
      <c r="B48" s="673"/>
      <c r="C48" s="673"/>
      <c r="D48" s="2539"/>
      <c r="E48" s="681"/>
      <c r="F48" s="2539"/>
      <c r="G48" s="673"/>
      <c r="H48" s="673"/>
      <c r="I48" s="673"/>
      <c r="J48" s="673"/>
      <c r="K48" s="681"/>
    </row>
    <row r="49" spans="1:11" ht="15" x14ac:dyDescent="0.25">
      <c r="A49" s="678"/>
      <c r="B49" s="673"/>
      <c r="C49" s="673"/>
      <c r="D49" s="2539"/>
      <c r="E49" s="681"/>
      <c r="F49" s="2539"/>
      <c r="G49" s="673"/>
      <c r="H49" s="673"/>
      <c r="I49" s="673"/>
      <c r="J49" s="673"/>
      <c r="K49" s="681"/>
    </row>
    <row r="50" spans="1:11" ht="15" x14ac:dyDescent="0.25">
      <c r="A50" s="678"/>
      <c r="B50" s="674" t="s">
        <v>526</v>
      </c>
      <c r="C50" s="674"/>
      <c r="D50" s="2541"/>
      <c r="E50" s="675"/>
      <c r="F50" s="2542"/>
      <c r="G50" s="673"/>
      <c r="H50" s="673"/>
      <c r="I50" s="673"/>
      <c r="J50" s="673"/>
      <c r="K50" s="681"/>
    </row>
    <row r="51" spans="1:11" ht="15" x14ac:dyDescent="0.25">
      <c r="A51" s="678"/>
      <c r="B51" s="673" t="s">
        <v>503</v>
      </c>
      <c r="C51" s="673" t="s">
        <v>504</v>
      </c>
      <c r="D51" s="2539"/>
      <c r="E51" s="681"/>
      <c r="F51" s="2543" t="s">
        <v>437</v>
      </c>
      <c r="G51" s="673"/>
      <c r="H51" s="673"/>
      <c r="I51" s="673"/>
      <c r="J51" s="673"/>
      <c r="K51" s="681"/>
    </row>
    <row r="52" spans="1:11" ht="15" x14ac:dyDescent="0.25">
      <c r="A52" s="678" t="str">
        <f t="shared" ref="A52:A62" si="4">+$B$52&amp;" "&amp;C52</f>
        <v>11 - CT AS &amp; E Basis</v>
      </c>
      <c r="B52" s="679" t="str">
        <f>+I7</f>
        <v>11 - CT</v>
      </c>
      <c r="C52" s="680" t="s">
        <v>508</v>
      </c>
      <c r="D52" s="2434">
        <v>0.01</v>
      </c>
      <c r="E52" s="1105"/>
      <c r="F52" s="2435">
        <v>1.4E-2</v>
      </c>
      <c r="G52" s="673"/>
      <c r="H52" s="673"/>
      <c r="I52" s="673"/>
      <c r="J52" s="673"/>
      <c r="K52" s="681"/>
    </row>
    <row r="53" spans="1:11" ht="15" x14ac:dyDescent="0.25">
      <c r="A53" s="678" t="str">
        <f t="shared" si="4"/>
        <v>11 - CT E&amp;S Lines Work</v>
      </c>
      <c r="B53" s="682"/>
      <c r="C53" s="680" t="s">
        <v>509</v>
      </c>
      <c r="D53" s="2072">
        <v>0.62</v>
      </c>
      <c r="E53" s="1105"/>
      <c r="F53" s="2677">
        <v>0.9</v>
      </c>
      <c r="G53" s="673"/>
      <c r="H53" s="673"/>
      <c r="I53" s="673"/>
      <c r="J53" s="673"/>
      <c r="K53" s="681"/>
    </row>
    <row r="54" spans="1:11" ht="15" x14ac:dyDescent="0.25">
      <c r="A54" s="678" t="str">
        <f t="shared" si="4"/>
        <v>11 - CT E&amp;S Station Basis</v>
      </c>
      <c r="B54" s="682"/>
      <c r="C54" s="680" t="s">
        <v>510</v>
      </c>
      <c r="D54" s="2072">
        <v>0.23</v>
      </c>
      <c r="E54" s="1105"/>
      <c r="F54" s="2678">
        <v>0.35</v>
      </c>
      <c r="G54" s="673"/>
      <c r="H54" s="673"/>
      <c r="I54" s="673"/>
      <c r="J54" s="673"/>
      <c r="K54" s="681"/>
    </row>
    <row r="55" spans="1:11" ht="15" x14ac:dyDescent="0.25">
      <c r="A55" s="678" t="str">
        <f t="shared" si="4"/>
        <v>11 - CT Gen Svc Co OH Basis</v>
      </c>
      <c r="B55" s="682"/>
      <c r="C55" s="680" t="s">
        <v>511</v>
      </c>
      <c r="D55" s="2434">
        <f>D6</f>
        <v>0.57989999999999997</v>
      </c>
      <c r="E55" s="1105"/>
      <c r="F55" s="2435">
        <v>0.7</v>
      </c>
      <c r="G55" s="673"/>
      <c r="H55" s="673"/>
      <c r="I55" s="673"/>
      <c r="J55" s="673"/>
      <c r="K55" s="681"/>
    </row>
    <row r="56" spans="1:11" ht="15" x14ac:dyDescent="0.25">
      <c r="A56" s="678" t="str">
        <f t="shared" si="4"/>
        <v>11 - CT Lobby Stock Transmission Basis</v>
      </c>
      <c r="B56" s="682"/>
      <c r="C56" s="680" t="s">
        <v>527</v>
      </c>
      <c r="D56" s="2434">
        <v>0.2</v>
      </c>
      <c r="E56" s="1105">
        <v>0</v>
      </c>
      <c r="F56" s="2435">
        <v>0</v>
      </c>
      <c r="G56" s="673"/>
      <c r="H56" s="673"/>
      <c r="I56" s="673"/>
      <c r="J56" s="673"/>
      <c r="K56" s="681"/>
    </row>
    <row r="57" spans="1:11" ht="15" x14ac:dyDescent="0.25">
      <c r="A57" s="678" t="str">
        <f t="shared" si="4"/>
        <v>11 - CT Lobby Stock Station Basis</v>
      </c>
      <c r="B57" s="682"/>
      <c r="C57" s="680" t="s">
        <v>528</v>
      </c>
      <c r="D57" s="2434" t="s">
        <v>512</v>
      </c>
      <c r="E57" s="1105"/>
      <c r="F57" s="2435"/>
      <c r="G57" s="673"/>
      <c r="H57" s="673"/>
      <c r="I57" s="673"/>
      <c r="J57" s="673"/>
      <c r="K57" s="681"/>
    </row>
    <row r="58" spans="1:11" ht="15" x14ac:dyDescent="0.25">
      <c r="A58" s="678" t="str">
        <f t="shared" si="4"/>
        <v>11 - CT MDEC Basis</v>
      </c>
      <c r="B58" s="682"/>
      <c r="C58" s="680" t="s">
        <v>514</v>
      </c>
      <c r="D58" s="2434">
        <v>0.05</v>
      </c>
      <c r="E58" s="1105"/>
      <c r="F58" s="2435">
        <v>0.06</v>
      </c>
      <c r="G58" s="673"/>
      <c r="H58" s="1826" t="s">
        <v>377</v>
      </c>
      <c r="I58" s="673"/>
      <c r="J58" s="673"/>
      <c r="K58" s="673"/>
    </row>
    <row r="59" spans="1:11" ht="15" x14ac:dyDescent="0.25">
      <c r="A59" s="678" t="str">
        <f t="shared" si="4"/>
        <v>11 - CT Non-Productive Basis</v>
      </c>
      <c r="B59" s="682"/>
      <c r="C59" s="680" t="s">
        <v>515</v>
      </c>
      <c r="D59" s="2434">
        <v>0.16719999999999999</v>
      </c>
      <c r="E59" s="1105"/>
      <c r="F59" s="2435">
        <v>0.17</v>
      </c>
      <c r="G59" s="673"/>
      <c r="H59" s="673"/>
      <c r="I59" s="673"/>
      <c r="J59" s="673"/>
      <c r="K59" s="673"/>
    </row>
    <row r="60" spans="1:11" ht="15" x14ac:dyDescent="0.25">
      <c r="A60" s="678" t="str">
        <f t="shared" si="4"/>
        <v>11 - CT Payroll Benefit Basis</v>
      </c>
      <c r="B60" s="682"/>
      <c r="C60" s="680" t="s">
        <v>516</v>
      </c>
      <c r="D60" s="2434">
        <v>6.2799999999999995E-2</v>
      </c>
      <c r="E60" s="1105"/>
      <c r="F60" s="2435">
        <v>0.3</v>
      </c>
      <c r="G60" s="673"/>
      <c r="H60" s="673"/>
      <c r="I60" s="673"/>
      <c r="J60" s="673"/>
      <c r="K60" s="673"/>
    </row>
    <row r="61" spans="1:11" ht="15" x14ac:dyDescent="0.25">
      <c r="A61" s="678" t="str">
        <f t="shared" si="4"/>
        <v>11 - CT Stores Expense Basis</v>
      </c>
      <c r="B61" s="682"/>
      <c r="C61" s="680" t="s">
        <v>517</v>
      </c>
      <c r="D61" s="2434">
        <v>0.16</v>
      </c>
      <c r="E61" s="1105">
        <v>0.5</v>
      </c>
      <c r="F61" s="2435">
        <v>0.08</v>
      </c>
      <c r="G61" s="673"/>
      <c r="H61" s="673"/>
      <c r="I61" s="673"/>
      <c r="J61" s="673"/>
      <c r="K61" s="673"/>
    </row>
    <row r="62" spans="1:11" ht="15" x14ac:dyDescent="0.25">
      <c r="A62" s="678" t="str">
        <f t="shared" si="4"/>
        <v>11 - CT Vehicles OH Basis</v>
      </c>
      <c r="B62" s="683"/>
      <c r="C62" s="680" t="s">
        <v>518</v>
      </c>
      <c r="D62" s="2434">
        <v>0.28000000000000003</v>
      </c>
      <c r="E62" s="1105"/>
      <c r="F62" s="2435">
        <v>0.28000000000000003</v>
      </c>
      <c r="G62" s="673"/>
      <c r="H62" s="673"/>
      <c r="I62" s="673"/>
      <c r="J62" s="673"/>
      <c r="K62" s="673"/>
    </row>
    <row r="63" spans="1:11" ht="15" x14ac:dyDescent="0.25">
      <c r="A63" s="678"/>
      <c r="B63" s="673"/>
      <c r="C63" s="673"/>
      <c r="D63" s="2539"/>
      <c r="E63" s="681"/>
      <c r="F63" s="2539"/>
      <c r="G63" s="673"/>
      <c r="H63" s="673"/>
      <c r="I63" s="673"/>
      <c r="J63" s="673"/>
      <c r="K63" s="673"/>
    </row>
    <row r="64" spans="1:11" ht="15" x14ac:dyDescent="0.25">
      <c r="A64" s="678" t="str">
        <f t="shared" ref="A64:A74" si="5">+$B$64&amp;" "&amp;C64</f>
        <v>21D - EMA AS &amp; E Basis</v>
      </c>
      <c r="B64" s="679" t="str">
        <f>+I8</f>
        <v>21D - EMA</v>
      </c>
      <c r="C64" s="680" t="s">
        <v>508</v>
      </c>
      <c r="D64" s="2434">
        <v>0.01</v>
      </c>
      <c r="E64" s="1105"/>
      <c r="F64" s="2435">
        <v>8.9999999999999993E-3</v>
      </c>
      <c r="G64" s="673"/>
      <c r="H64" s="673"/>
      <c r="I64" s="673"/>
      <c r="J64" s="673"/>
      <c r="K64" s="673"/>
    </row>
    <row r="65" spans="1:11" ht="15" x14ac:dyDescent="0.25">
      <c r="A65" s="678" t="str">
        <f t="shared" si="5"/>
        <v>21D - EMA E&amp;S Lines Work</v>
      </c>
      <c r="B65" s="682"/>
      <c r="C65" s="680" t="s">
        <v>509</v>
      </c>
      <c r="D65" s="2072">
        <v>0.75</v>
      </c>
      <c r="E65" s="1105"/>
      <c r="F65" s="2678">
        <v>0.85</v>
      </c>
      <c r="G65" s="673"/>
      <c r="H65" s="673"/>
      <c r="I65" s="673"/>
      <c r="J65" s="673"/>
      <c r="K65" s="673"/>
    </row>
    <row r="66" spans="1:11" ht="15" x14ac:dyDescent="0.25">
      <c r="A66" s="678" t="str">
        <f t="shared" si="5"/>
        <v>21D - EMA E&amp;S Station Basis</v>
      </c>
      <c r="B66" s="682"/>
      <c r="C66" s="680" t="s">
        <v>510</v>
      </c>
      <c r="D66" s="2072">
        <v>0.25</v>
      </c>
      <c r="E66" s="1105"/>
      <c r="F66" s="2678">
        <v>0.65</v>
      </c>
      <c r="G66" s="673"/>
      <c r="H66" s="673"/>
      <c r="I66" s="673"/>
      <c r="J66" s="673"/>
      <c r="K66" s="673"/>
    </row>
    <row r="67" spans="1:11" ht="15" x14ac:dyDescent="0.25">
      <c r="A67" s="678" t="str">
        <f t="shared" si="5"/>
        <v>21D - EMA Gen Svc Co OH Basis</v>
      </c>
      <c r="B67" s="682"/>
      <c r="C67" s="680" t="s">
        <v>511</v>
      </c>
      <c r="D67" s="2434">
        <f>D6</f>
        <v>0.57989999999999997</v>
      </c>
      <c r="E67" s="1105"/>
      <c r="F67" s="2435">
        <v>0.7</v>
      </c>
      <c r="G67" s="673"/>
      <c r="H67" s="673"/>
      <c r="I67" s="673"/>
      <c r="J67" s="673"/>
      <c r="K67" s="673"/>
    </row>
    <row r="68" spans="1:11" ht="15" x14ac:dyDescent="0.25">
      <c r="A68" s="678" t="str">
        <f t="shared" si="5"/>
        <v>21D - EMA Lobby Stock Transmission Basis</v>
      </c>
      <c r="B68" s="682"/>
      <c r="C68" s="680" t="s">
        <v>527</v>
      </c>
      <c r="D68" s="2434">
        <v>0.09</v>
      </c>
      <c r="E68" s="1105">
        <v>0</v>
      </c>
      <c r="F68" s="2435">
        <v>0</v>
      </c>
      <c r="G68" s="673"/>
      <c r="H68" s="673"/>
      <c r="I68" s="673"/>
      <c r="J68" s="673"/>
      <c r="K68" s="673"/>
    </row>
    <row r="69" spans="1:11" ht="15" x14ac:dyDescent="0.25">
      <c r="A69" s="678" t="str">
        <f t="shared" si="5"/>
        <v>21D - EMA Lobby Stock Station Basis</v>
      </c>
      <c r="B69" s="682"/>
      <c r="C69" s="680" t="s">
        <v>528</v>
      </c>
      <c r="D69" s="2434" t="s">
        <v>512</v>
      </c>
      <c r="E69" s="1105"/>
      <c r="F69" s="2435"/>
      <c r="G69" s="673"/>
      <c r="H69" s="673"/>
      <c r="I69" s="673"/>
      <c r="J69" s="673"/>
      <c r="K69" s="673"/>
    </row>
    <row r="70" spans="1:11" ht="15" x14ac:dyDescent="0.25">
      <c r="A70" s="678" t="str">
        <f t="shared" si="5"/>
        <v>21D - EMA MDEC Basis</v>
      </c>
      <c r="B70" s="682"/>
      <c r="C70" s="680" t="s">
        <v>514</v>
      </c>
      <c r="D70" s="2434">
        <v>0.06</v>
      </c>
      <c r="E70" s="1105"/>
      <c r="F70" s="2435">
        <v>7.0000000000000007E-2</v>
      </c>
      <c r="G70" s="673"/>
      <c r="H70" s="673"/>
      <c r="I70" s="673"/>
      <c r="J70" s="673"/>
      <c r="K70" s="673"/>
    </row>
    <row r="71" spans="1:11" ht="15" x14ac:dyDescent="0.25">
      <c r="A71" s="678" t="str">
        <f t="shared" si="5"/>
        <v>21D - EMA Non-Productive Basis</v>
      </c>
      <c r="B71" s="682"/>
      <c r="C71" s="680" t="s">
        <v>515</v>
      </c>
      <c r="D71" s="2434">
        <v>0.1943</v>
      </c>
      <c r="E71" s="1105"/>
      <c r="F71" s="2435">
        <v>0.19</v>
      </c>
      <c r="G71" s="673"/>
      <c r="H71" s="673"/>
      <c r="I71" s="673"/>
      <c r="J71" s="673"/>
      <c r="K71" s="673"/>
    </row>
    <row r="72" spans="1:11" ht="15" x14ac:dyDescent="0.25">
      <c r="A72" s="678" t="str">
        <f t="shared" si="5"/>
        <v>21D - EMA Payroll Benefit Basis</v>
      </c>
      <c r="B72" s="682"/>
      <c r="C72" s="680" t="s">
        <v>516</v>
      </c>
      <c r="D72" s="2434">
        <v>-6.7799999999999999E-2</v>
      </c>
      <c r="E72" s="1105"/>
      <c r="F72" s="2435">
        <v>0.08</v>
      </c>
      <c r="G72" s="673"/>
      <c r="H72" s="673"/>
      <c r="I72" s="673"/>
      <c r="J72" s="673"/>
      <c r="K72" s="673"/>
    </row>
    <row r="73" spans="1:11" ht="15" x14ac:dyDescent="0.25">
      <c r="A73" s="678" t="str">
        <f t="shared" si="5"/>
        <v>21D - EMA Stores Expense Basis</v>
      </c>
      <c r="B73" s="682"/>
      <c r="C73" s="680" t="s">
        <v>517</v>
      </c>
      <c r="D73" s="2434">
        <v>0.1</v>
      </c>
      <c r="E73" s="1105">
        <v>0.5</v>
      </c>
      <c r="F73" s="2435">
        <v>0.05</v>
      </c>
      <c r="G73" s="673"/>
      <c r="H73" s="673"/>
      <c r="I73" s="673"/>
      <c r="J73" s="673"/>
      <c r="K73" s="673"/>
    </row>
    <row r="74" spans="1:11" ht="15" x14ac:dyDescent="0.25">
      <c r="A74" s="678" t="str">
        <f t="shared" si="5"/>
        <v>21D - EMA Vehicles OH Basis</v>
      </c>
      <c r="B74" s="683"/>
      <c r="C74" s="680" t="s">
        <v>518</v>
      </c>
      <c r="D74" s="2434">
        <v>0.21179999999999999</v>
      </c>
      <c r="E74" s="1105"/>
      <c r="F74" s="2435">
        <v>0.21179999999999999</v>
      </c>
      <c r="G74" s="673"/>
      <c r="H74" s="673"/>
      <c r="I74" s="673"/>
      <c r="J74" s="673"/>
      <c r="K74" s="673"/>
    </row>
    <row r="75" spans="1:11" ht="15" x14ac:dyDescent="0.25">
      <c r="A75" s="678"/>
      <c r="B75" s="673"/>
      <c r="C75" s="673"/>
      <c r="D75" s="2539"/>
      <c r="E75" s="681"/>
      <c r="F75" s="2539"/>
      <c r="G75" s="673"/>
      <c r="H75" s="673"/>
      <c r="I75" s="673"/>
      <c r="J75" s="673"/>
      <c r="K75" s="673"/>
    </row>
    <row r="76" spans="1:11" ht="15" x14ac:dyDescent="0.25">
      <c r="A76" s="678" t="str">
        <f t="shared" ref="A76:A86" si="6">+$B$76&amp;" "&amp;C76</f>
        <v>41 - WMA AS &amp; E Basis</v>
      </c>
      <c r="B76" s="679" t="str">
        <f>+I9</f>
        <v>41 - WMA</v>
      </c>
      <c r="C76" s="680" t="s">
        <v>508</v>
      </c>
      <c r="D76" s="2434">
        <v>7.0000000000000001E-3</v>
      </c>
      <c r="E76" s="1105"/>
      <c r="F76" s="2435">
        <v>0.01</v>
      </c>
      <c r="G76" s="673"/>
      <c r="H76" s="673"/>
      <c r="I76" s="673"/>
      <c r="J76" s="673"/>
      <c r="K76" s="673"/>
    </row>
    <row r="77" spans="1:11" ht="15" x14ac:dyDescent="0.25">
      <c r="A77" s="678" t="str">
        <f t="shared" si="6"/>
        <v>41 - WMA E&amp;S Lines Work</v>
      </c>
      <c r="B77" s="682"/>
      <c r="C77" s="680" t="s">
        <v>509</v>
      </c>
      <c r="D77" s="2434">
        <v>0.39</v>
      </c>
      <c r="E77" s="1105"/>
      <c r="F77" s="2677">
        <v>0.45</v>
      </c>
      <c r="G77" s="673"/>
      <c r="H77" s="673"/>
      <c r="I77" s="673"/>
      <c r="J77" s="673"/>
      <c r="K77" s="673"/>
    </row>
    <row r="78" spans="1:11" ht="15" x14ac:dyDescent="0.25">
      <c r="A78" s="678" t="str">
        <f t="shared" si="6"/>
        <v>41 - WMA E&amp;S Station Basis</v>
      </c>
      <c r="B78" s="682"/>
      <c r="C78" s="680" t="s">
        <v>510</v>
      </c>
      <c r="D78" s="2072">
        <v>0.14000000000000001</v>
      </c>
      <c r="E78" s="1105"/>
      <c r="F78" s="2435">
        <v>0.25</v>
      </c>
      <c r="G78" s="673"/>
      <c r="H78" s="673"/>
      <c r="I78" s="673"/>
      <c r="J78" s="673"/>
      <c r="K78" s="673"/>
    </row>
    <row r="79" spans="1:11" ht="15" x14ac:dyDescent="0.25">
      <c r="A79" s="678" t="str">
        <f t="shared" si="6"/>
        <v>41 - WMA Gen Svc Co OH Basis</v>
      </c>
      <c r="B79" s="682"/>
      <c r="C79" s="680" t="s">
        <v>511</v>
      </c>
      <c r="D79" s="2434">
        <f>D6</f>
        <v>0.57989999999999997</v>
      </c>
      <c r="E79" s="1105"/>
      <c r="F79" s="2435">
        <v>0.7</v>
      </c>
      <c r="G79" s="673"/>
      <c r="H79" s="673"/>
      <c r="I79" s="673"/>
      <c r="J79" s="673"/>
      <c r="K79" s="673"/>
    </row>
    <row r="80" spans="1:11" ht="15" x14ac:dyDescent="0.25">
      <c r="A80" s="678" t="str">
        <f t="shared" si="6"/>
        <v>41 - WMA Lobby Stock Transmission Basis</v>
      </c>
      <c r="B80" s="682"/>
      <c r="C80" s="680" t="s">
        <v>527</v>
      </c>
      <c r="D80" s="2434">
        <v>0.23</v>
      </c>
      <c r="E80" s="1105">
        <v>0</v>
      </c>
      <c r="F80" s="2435">
        <v>0</v>
      </c>
      <c r="G80" s="673"/>
      <c r="H80" s="673"/>
      <c r="I80" s="673"/>
      <c r="J80" s="673"/>
      <c r="K80" s="673"/>
    </row>
    <row r="81" spans="1:11" ht="15" x14ac:dyDescent="0.25">
      <c r="A81" s="678" t="str">
        <f t="shared" si="6"/>
        <v>41 - WMA Lobby Stock Station Basis</v>
      </c>
      <c r="B81" s="682"/>
      <c r="C81" s="680" t="s">
        <v>528</v>
      </c>
      <c r="D81" s="2434" t="s">
        <v>512</v>
      </c>
      <c r="E81" s="1105"/>
      <c r="F81" s="2435"/>
      <c r="G81" s="673"/>
      <c r="H81" s="673"/>
      <c r="I81" s="673"/>
      <c r="J81" s="673"/>
      <c r="K81" s="673"/>
    </row>
    <row r="82" spans="1:11" ht="15" x14ac:dyDescent="0.25">
      <c r="A82" s="678" t="str">
        <f t="shared" si="6"/>
        <v>41 - WMA MDEC Basis</v>
      </c>
      <c r="B82" s="682"/>
      <c r="C82" s="680" t="s">
        <v>514</v>
      </c>
      <c r="D82" s="2434">
        <v>0.03</v>
      </c>
      <c r="E82" s="1105"/>
      <c r="F82" s="2435">
        <v>0.05</v>
      </c>
      <c r="G82" s="673"/>
      <c r="H82" s="673"/>
      <c r="I82" s="673"/>
      <c r="J82" s="673"/>
      <c r="K82" s="673"/>
    </row>
    <row r="83" spans="1:11" ht="15" x14ac:dyDescent="0.25">
      <c r="A83" s="678" t="str">
        <f t="shared" si="6"/>
        <v>41 - WMA Non-Productive Basis</v>
      </c>
      <c r="B83" s="682"/>
      <c r="C83" s="680" t="s">
        <v>515</v>
      </c>
      <c r="D83" s="2434">
        <v>0.1943</v>
      </c>
      <c r="E83" s="1105"/>
      <c r="F83" s="2435">
        <v>0.19</v>
      </c>
      <c r="G83" s="673"/>
      <c r="H83" s="673"/>
      <c r="I83" s="673"/>
      <c r="J83" s="673"/>
      <c r="K83" s="673"/>
    </row>
    <row r="84" spans="1:11" ht="15" x14ac:dyDescent="0.25">
      <c r="A84" s="678" t="str">
        <f t="shared" si="6"/>
        <v>41 - WMA Payroll Benefit Basis</v>
      </c>
      <c r="B84" s="682"/>
      <c r="C84" s="680" t="s">
        <v>516</v>
      </c>
      <c r="D84" s="2434">
        <v>-6.7799999999999999E-2</v>
      </c>
      <c r="E84" s="1105"/>
      <c r="F84" s="2435">
        <v>0.08</v>
      </c>
      <c r="G84" s="673"/>
      <c r="H84" s="673"/>
      <c r="I84" s="673"/>
      <c r="J84" s="673"/>
      <c r="K84" s="673"/>
    </row>
    <row r="85" spans="1:11" ht="15" x14ac:dyDescent="0.25">
      <c r="A85" s="678" t="str">
        <f t="shared" si="6"/>
        <v>41 - WMA Stores Expense Basis</v>
      </c>
      <c r="B85" s="682"/>
      <c r="C85" s="680" t="s">
        <v>517</v>
      </c>
      <c r="D85" s="2434">
        <v>0.19</v>
      </c>
      <c r="E85" s="1105">
        <v>0.5</v>
      </c>
      <c r="F85" s="2435">
        <v>9.5000000000000001E-2</v>
      </c>
      <c r="G85" s="673"/>
      <c r="H85" s="673"/>
      <c r="I85" s="673"/>
      <c r="J85" s="673"/>
      <c r="K85" s="673"/>
    </row>
    <row r="86" spans="1:11" ht="15" x14ac:dyDescent="0.25">
      <c r="A86" s="678" t="str">
        <f t="shared" si="6"/>
        <v>41 - WMA Vehicles OH Basis</v>
      </c>
      <c r="B86" s="683"/>
      <c r="C86" s="680" t="s">
        <v>518</v>
      </c>
      <c r="D86" s="2434">
        <v>0.2387</v>
      </c>
      <c r="E86" s="1105"/>
      <c r="F86" s="2435">
        <v>0.24</v>
      </c>
      <c r="G86" s="673"/>
      <c r="H86" s="673"/>
      <c r="I86" s="673"/>
      <c r="J86" s="673"/>
      <c r="K86" s="673"/>
    </row>
    <row r="87" spans="1:11" ht="15" x14ac:dyDescent="0.25">
      <c r="A87" s="678"/>
      <c r="B87" s="673"/>
      <c r="C87" s="673"/>
      <c r="D87" s="2539"/>
      <c r="E87" s="681"/>
      <c r="F87" s="2539"/>
      <c r="G87" s="673"/>
      <c r="H87" s="673"/>
      <c r="I87" s="673"/>
      <c r="J87" s="673"/>
      <c r="K87" s="673"/>
    </row>
    <row r="88" spans="1:11" ht="15" x14ac:dyDescent="0.25">
      <c r="A88" s="678" t="str">
        <f t="shared" ref="A88:A98" si="7">+$B$88&amp;" "&amp;C88</f>
        <v>6D - NH AS &amp; E Basis</v>
      </c>
      <c r="B88" s="679" t="str">
        <f>+I10</f>
        <v>6D - NH</v>
      </c>
      <c r="C88" s="680" t="s">
        <v>508</v>
      </c>
      <c r="D88" s="2434">
        <v>0.01</v>
      </c>
      <c r="E88" s="1105"/>
      <c r="F88" s="2435">
        <v>1.9E-2</v>
      </c>
      <c r="G88" s="673"/>
      <c r="H88" s="673"/>
      <c r="I88" s="673"/>
      <c r="J88" s="673"/>
      <c r="K88" s="673"/>
    </row>
    <row r="89" spans="1:11" ht="15" x14ac:dyDescent="0.25">
      <c r="A89" s="678" t="str">
        <f t="shared" si="7"/>
        <v>6D - NH E&amp;S Lines Work</v>
      </c>
      <c r="B89" s="682"/>
      <c r="C89" s="680" t="s">
        <v>509</v>
      </c>
      <c r="D89" s="2072">
        <v>0.8</v>
      </c>
      <c r="E89" s="1105"/>
      <c r="F89" s="2678">
        <v>1</v>
      </c>
      <c r="G89" s="673"/>
      <c r="H89" s="673"/>
      <c r="I89" s="673"/>
      <c r="J89" s="673"/>
      <c r="K89" s="673"/>
    </row>
    <row r="90" spans="1:11" ht="15" x14ac:dyDescent="0.25">
      <c r="A90" s="678" t="str">
        <f t="shared" si="7"/>
        <v>6D - NH E&amp;S Station Basis</v>
      </c>
      <c r="B90" s="682"/>
      <c r="C90" s="680" t="s">
        <v>510</v>
      </c>
      <c r="D90" s="2434">
        <v>0.5</v>
      </c>
      <c r="E90" s="1105"/>
      <c r="F90" s="2678">
        <v>0.65</v>
      </c>
      <c r="G90" s="673"/>
      <c r="H90" s="673"/>
      <c r="I90" s="673"/>
      <c r="J90" s="673"/>
      <c r="K90" s="673"/>
    </row>
    <row r="91" spans="1:11" ht="15" x14ac:dyDescent="0.25">
      <c r="A91" s="678" t="str">
        <f t="shared" si="7"/>
        <v>6D - NH Gen Svc Co OH Basis</v>
      </c>
      <c r="B91" s="682"/>
      <c r="C91" s="680" t="s">
        <v>511</v>
      </c>
      <c r="D91" s="2434">
        <f>D6</f>
        <v>0.57989999999999997</v>
      </c>
      <c r="E91" s="1105"/>
      <c r="F91" s="2435">
        <v>0.7</v>
      </c>
      <c r="G91" s="673"/>
      <c r="H91" s="673"/>
      <c r="I91" s="673"/>
      <c r="J91" s="673"/>
      <c r="K91" s="673"/>
    </row>
    <row r="92" spans="1:11" ht="15" x14ac:dyDescent="0.25">
      <c r="A92" s="678" t="str">
        <f t="shared" si="7"/>
        <v>6D - NH Lobby Stock Transmission Basis</v>
      </c>
      <c r="B92" s="682"/>
      <c r="C92" s="680" t="s">
        <v>527</v>
      </c>
      <c r="D92" s="2434">
        <v>0.2</v>
      </c>
      <c r="E92" s="1105">
        <v>0</v>
      </c>
      <c r="F92" s="2435">
        <v>0</v>
      </c>
      <c r="G92" s="673"/>
      <c r="H92" s="673"/>
      <c r="I92" s="673"/>
      <c r="J92" s="673"/>
      <c r="K92" s="673"/>
    </row>
    <row r="93" spans="1:11" ht="15" x14ac:dyDescent="0.25">
      <c r="A93" s="678" t="str">
        <f t="shared" si="7"/>
        <v>6D - NH Lobby Stock Station Basis</v>
      </c>
      <c r="B93" s="682"/>
      <c r="C93" s="680" t="s">
        <v>528</v>
      </c>
      <c r="D93" s="2434" t="s">
        <v>512</v>
      </c>
      <c r="E93" s="1105"/>
      <c r="F93" s="2435"/>
      <c r="G93" s="673"/>
      <c r="H93" s="673"/>
      <c r="I93" s="673"/>
      <c r="J93" s="673"/>
      <c r="K93" s="673"/>
    </row>
    <row r="94" spans="1:11" ht="15" x14ac:dyDescent="0.25">
      <c r="A94" s="678" t="str">
        <f t="shared" si="7"/>
        <v>6D - NH MDEC Basis</v>
      </c>
      <c r="B94" s="682"/>
      <c r="C94" s="680" t="s">
        <v>514</v>
      </c>
      <c r="D94" s="2434">
        <v>0.05</v>
      </c>
      <c r="E94" s="1105"/>
      <c r="F94" s="2435">
        <v>0.06</v>
      </c>
      <c r="G94" s="673"/>
      <c r="H94" s="673"/>
      <c r="I94" s="673"/>
      <c r="J94" s="673"/>
      <c r="K94" s="673"/>
    </row>
    <row r="95" spans="1:11" ht="15" x14ac:dyDescent="0.25">
      <c r="A95" s="678" t="str">
        <f t="shared" si="7"/>
        <v>6D - NH Non-Productive Basis</v>
      </c>
      <c r="B95" s="682"/>
      <c r="C95" s="680" t="s">
        <v>515</v>
      </c>
      <c r="D95" s="2434">
        <v>0.15029999999999999</v>
      </c>
      <c r="E95" s="1105"/>
      <c r="F95" s="2435">
        <v>0.15</v>
      </c>
      <c r="G95" s="673"/>
      <c r="H95" s="673"/>
      <c r="I95" s="673"/>
      <c r="J95" s="673"/>
      <c r="K95" s="673"/>
    </row>
    <row r="96" spans="1:11" ht="15" x14ac:dyDescent="0.25">
      <c r="A96" s="678" t="str">
        <f t="shared" si="7"/>
        <v>6D - NH Payroll Benefit Basis</v>
      </c>
      <c r="B96" s="682"/>
      <c r="C96" s="680" t="s">
        <v>516</v>
      </c>
      <c r="D96" s="2434">
        <v>2.7699999999999999E-2</v>
      </c>
      <c r="E96" s="1105"/>
      <c r="F96" s="2435">
        <v>0.25</v>
      </c>
      <c r="G96" s="673"/>
      <c r="H96" s="673"/>
      <c r="I96" s="673"/>
      <c r="J96" s="673"/>
      <c r="K96" s="673"/>
    </row>
    <row r="97" spans="1:11" ht="15" x14ac:dyDescent="0.25">
      <c r="A97" s="678" t="str">
        <f t="shared" si="7"/>
        <v>6D - NH Stores Expense Basis</v>
      </c>
      <c r="B97" s="682"/>
      <c r="C97" s="680" t="s">
        <v>517</v>
      </c>
      <c r="D97" s="2434">
        <v>0.12</v>
      </c>
      <c r="E97" s="1105">
        <v>0.5</v>
      </c>
      <c r="F97" s="2435">
        <v>0.06</v>
      </c>
      <c r="G97" s="673"/>
      <c r="H97" s="673"/>
      <c r="I97" s="673"/>
      <c r="J97" s="673"/>
      <c r="K97" s="673"/>
    </row>
    <row r="98" spans="1:11" ht="15" x14ac:dyDescent="0.25">
      <c r="A98" s="678" t="str">
        <f t="shared" si="7"/>
        <v>6D - NH Vehicles OH Basis</v>
      </c>
      <c r="B98" s="683"/>
      <c r="C98" s="680" t="s">
        <v>518</v>
      </c>
      <c r="D98" s="2071">
        <v>0.26719999999999999</v>
      </c>
      <c r="E98" s="1105"/>
      <c r="F98" s="2435">
        <v>0.26719999999999999</v>
      </c>
      <c r="G98" s="673"/>
      <c r="H98" s="673"/>
      <c r="I98" s="673"/>
      <c r="J98" s="673"/>
      <c r="K98" s="673"/>
    </row>
  </sheetData>
  <sheetProtection formatCells="0" formatColumns="0" formatRows="0" autoFilter="0"/>
  <pageMargins left="0.1" right="0.1" top="0.6" bottom="0.4" header="0.3" footer="0.3"/>
  <pageSetup orientation="portrait"/>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B6C0-CDC5-4ED2-9AAA-980F95CDF4A9}">
  <sheetPr codeName="Sheet16">
    <tabColor theme="9" tint="0.59999389629810485"/>
  </sheetPr>
  <dimension ref="A1:O30"/>
  <sheetViews>
    <sheetView showZeros="0" workbookViewId="0">
      <selection activeCell="V19" sqref="V19"/>
    </sheetView>
  </sheetViews>
  <sheetFormatPr defaultColWidth="8.5703125" defaultRowHeight="12.6" customHeight="1" x14ac:dyDescent="0.25"/>
  <cols>
    <col min="1" max="1" width="12.42578125" customWidth="1"/>
    <col min="2" max="3" width="15.5703125" customWidth="1"/>
    <col min="4" max="4" width="36.5703125" customWidth="1"/>
    <col min="5" max="6" width="11.42578125" customWidth="1"/>
    <col min="7" max="8" width="8.5703125" customWidth="1"/>
  </cols>
  <sheetData>
    <row r="1" spans="1:15" ht="15" x14ac:dyDescent="0.25">
      <c r="A1" s="673"/>
      <c r="B1" s="1484" t="s">
        <v>529</v>
      </c>
      <c r="C1" s="674"/>
      <c r="D1" s="674"/>
      <c r="E1" s="684"/>
      <c r="F1" s="673"/>
    </row>
    <row r="2" spans="1:15" ht="15" x14ac:dyDescent="0.25">
      <c r="A2" s="673" t="s">
        <v>502</v>
      </c>
      <c r="B2" s="676" t="s">
        <v>503</v>
      </c>
      <c r="C2" s="676"/>
      <c r="D2" s="673" t="s">
        <v>530</v>
      </c>
      <c r="E2" s="673"/>
      <c r="F2" s="1854">
        <f>+'Data Input sheet'!D100</f>
        <v>45292</v>
      </c>
      <c r="G2" s="1854">
        <f>+'Data Input sheet'!G100</f>
        <v>45658</v>
      </c>
      <c r="H2" s="1854">
        <f>+'Data Input sheet'!J100</f>
        <v>46023</v>
      </c>
      <c r="I2" s="1854">
        <f>+'Data Input sheet'!M100</f>
        <v>46388</v>
      </c>
      <c r="J2" s="1854">
        <f>+'Data Input sheet'!P100</f>
        <v>46753</v>
      </c>
      <c r="K2" s="1854">
        <f>+'Data Input sheet'!S100</f>
        <v>47119</v>
      </c>
      <c r="L2" s="1854">
        <f>+'Data Input sheet'!V100</f>
        <v>47484</v>
      </c>
      <c r="M2" s="1854">
        <f>+'Data Input sheet'!Y100</f>
        <v>47849</v>
      </c>
      <c r="N2" s="1854">
        <f>+'Data Input sheet'!AB100</f>
        <v>48214</v>
      </c>
      <c r="O2" s="1854">
        <f>+'Data Input sheet'!AE100</f>
        <v>48580</v>
      </c>
    </row>
    <row r="3" spans="1:15" ht="15" x14ac:dyDescent="0.25">
      <c r="A3" s="678" t="str">
        <f t="shared" ref="A3:A11" si="0">+B3&amp;" "&amp;C3</f>
        <v>21 - EMA A</v>
      </c>
      <c r="B3" s="685" t="str">
        <f>+'Indirect Rates'!I4</f>
        <v>21 - EMA</v>
      </c>
      <c r="C3" s="685" t="s">
        <v>46</v>
      </c>
      <c r="D3" s="686" t="s">
        <v>531</v>
      </c>
      <c r="E3" s="689"/>
      <c r="F3" s="2111">
        <v>0.08</v>
      </c>
      <c r="G3" s="2111">
        <v>0.08</v>
      </c>
      <c r="H3" s="2111">
        <v>0.08</v>
      </c>
      <c r="I3" s="2111">
        <v>0.08</v>
      </c>
      <c r="J3" s="2111">
        <v>0.08</v>
      </c>
      <c r="K3" s="2111">
        <v>0.08</v>
      </c>
      <c r="L3" s="2111">
        <v>0.08</v>
      </c>
      <c r="M3" s="2111">
        <v>0.08</v>
      </c>
      <c r="N3" s="2111">
        <v>0.08</v>
      </c>
      <c r="O3" s="2111">
        <v>0.08</v>
      </c>
    </row>
    <row r="4" spans="1:15" ht="15" x14ac:dyDescent="0.25">
      <c r="A4" s="678" t="str">
        <f t="shared" si="0"/>
        <v>21 - EMA C</v>
      </c>
      <c r="B4" s="687" t="str">
        <f>+B3</f>
        <v>21 - EMA</v>
      </c>
      <c r="C4" s="687" t="s">
        <v>49</v>
      </c>
      <c r="D4" s="686" t="s">
        <v>532</v>
      </c>
      <c r="E4" s="689"/>
      <c r="F4" s="2111">
        <v>0.08</v>
      </c>
      <c r="G4" s="2111">
        <v>0.08</v>
      </c>
      <c r="H4" s="2111">
        <v>0.08</v>
      </c>
      <c r="I4" s="2111">
        <v>0.08</v>
      </c>
      <c r="J4" s="2111">
        <v>0.08</v>
      </c>
      <c r="K4" s="2111">
        <v>0.08</v>
      </c>
      <c r="L4" s="2111">
        <v>0.08</v>
      </c>
      <c r="M4" s="2111">
        <v>0.08</v>
      </c>
      <c r="N4" s="2111">
        <v>0.08</v>
      </c>
      <c r="O4" s="2111">
        <v>0.08</v>
      </c>
    </row>
    <row r="5" spans="1:15" ht="15" x14ac:dyDescent="0.25">
      <c r="A5" s="678" t="str">
        <f t="shared" si="0"/>
        <v>1T - CT C</v>
      </c>
      <c r="B5" s="685" t="str">
        <f>+'Indirect Rates'!I3</f>
        <v>1T - CT</v>
      </c>
      <c r="C5" s="685" t="s">
        <v>49</v>
      </c>
      <c r="D5" s="686" t="s">
        <v>533</v>
      </c>
      <c r="E5" s="689"/>
      <c r="F5" s="2433">
        <v>0.08</v>
      </c>
      <c r="G5" s="2433">
        <v>0.08</v>
      </c>
      <c r="H5" s="2433">
        <v>0.08</v>
      </c>
      <c r="I5" s="2433">
        <v>0.08</v>
      </c>
      <c r="J5" s="2433">
        <v>0.08</v>
      </c>
      <c r="K5" s="2433">
        <v>0.08</v>
      </c>
      <c r="L5" s="2433">
        <v>0.08</v>
      </c>
      <c r="M5" s="2433">
        <v>0.08</v>
      </c>
      <c r="N5" s="2433">
        <v>0.08</v>
      </c>
      <c r="O5" s="2433">
        <v>0.08</v>
      </c>
    </row>
    <row r="6" spans="1:15" ht="15" x14ac:dyDescent="0.25">
      <c r="A6" s="678" t="str">
        <f t="shared" si="0"/>
        <v>1T - CT A</v>
      </c>
      <c r="B6" s="687" t="str">
        <f>+B5</f>
        <v>1T - CT</v>
      </c>
      <c r="C6" s="687" t="s">
        <v>46</v>
      </c>
      <c r="D6" s="686" t="s">
        <v>534</v>
      </c>
      <c r="E6" s="689"/>
      <c r="F6" s="2433">
        <v>0.08</v>
      </c>
      <c r="G6" s="2433">
        <v>0.08</v>
      </c>
      <c r="H6" s="2433">
        <v>0.08</v>
      </c>
      <c r="I6" s="2433">
        <v>0.08</v>
      </c>
      <c r="J6" s="2433">
        <v>0.08</v>
      </c>
      <c r="K6" s="2433">
        <v>0.08</v>
      </c>
      <c r="L6" s="2433">
        <v>0.08</v>
      </c>
      <c r="M6" s="2433">
        <v>0.08</v>
      </c>
      <c r="N6" s="2433">
        <v>0.08</v>
      </c>
      <c r="O6" s="2433">
        <v>0.08</v>
      </c>
    </row>
    <row r="7" spans="1:15" ht="15" x14ac:dyDescent="0.25">
      <c r="A7" s="678" t="str">
        <f t="shared" si="0"/>
        <v>4T - WMA C</v>
      </c>
      <c r="B7" s="685" t="str">
        <f>+'Indirect Rates'!I5</f>
        <v>4T - WMA</v>
      </c>
      <c r="C7" s="685" t="s">
        <v>49</v>
      </c>
      <c r="D7" s="686" t="s">
        <v>535</v>
      </c>
      <c r="E7" s="689"/>
      <c r="F7" s="2111">
        <v>0.04</v>
      </c>
      <c r="G7" s="2111">
        <v>0.04</v>
      </c>
      <c r="H7" s="2111">
        <v>0.04</v>
      </c>
      <c r="I7" s="2111">
        <v>0.04</v>
      </c>
      <c r="J7" s="2111">
        <v>0.04</v>
      </c>
      <c r="K7" s="2111">
        <v>0.04</v>
      </c>
      <c r="L7" s="2111">
        <v>0.04</v>
      </c>
      <c r="M7" s="2111">
        <v>0.04</v>
      </c>
      <c r="N7" s="2111">
        <v>0.04</v>
      </c>
      <c r="O7" s="2111">
        <v>0.04</v>
      </c>
    </row>
    <row r="8" spans="1:15" ht="15" x14ac:dyDescent="0.25">
      <c r="A8" s="678" t="str">
        <f t="shared" si="0"/>
        <v>4T - WMA A</v>
      </c>
      <c r="B8" s="687" t="str">
        <f>+B7</f>
        <v>4T - WMA</v>
      </c>
      <c r="C8" s="687" t="s">
        <v>46</v>
      </c>
      <c r="D8" s="686" t="s">
        <v>536</v>
      </c>
      <c r="E8" s="689"/>
      <c r="F8" s="2111">
        <v>0.04</v>
      </c>
      <c r="G8" s="2111">
        <v>0.04</v>
      </c>
      <c r="H8" s="2111">
        <v>0.04</v>
      </c>
      <c r="I8" s="2111">
        <v>0.04</v>
      </c>
      <c r="J8" s="2111">
        <v>0.04</v>
      </c>
      <c r="K8" s="2111">
        <v>0.04</v>
      </c>
      <c r="L8" s="2111">
        <v>0.04</v>
      </c>
      <c r="M8" s="2111">
        <v>0.04</v>
      </c>
      <c r="N8" s="2111">
        <v>0.04</v>
      </c>
      <c r="O8" s="2111">
        <v>0.04</v>
      </c>
    </row>
    <row r="9" spans="1:15" ht="15" x14ac:dyDescent="0.25">
      <c r="A9" s="678" t="str">
        <f t="shared" si="0"/>
        <v>6T - NH C</v>
      </c>
      <c r="B9" s="688" t="str">
        <f>+'Indirect Rates'!I6</f>
        <v>6T - NH</v>
      </c>
      <c r="C9" s="688" t="s">
        <v>49</v>
      </c>
      <c r="D9" s="686" t="s">
        <v>537</v>
      </c>
      <c r="E9" s="689"/>
      <c r="F9" s="2111">
        <v>0.06</v>
      </c>
      <c r="G9" s="2111">
        <v>0.06</v>
      </c>
      <c r="H9" s="2111">
        <v>0.06</v>
      </c>
      <c r="I9" s="2111">
        <v>0.06</v>
      </c>
      <c r="J9" s="2111">
        <v>0.06</v>
      </c>
      <c r="K9" s="2111">
        <v>0.06</v>
      </c>
      <c r="L9" s="2111">
        <v>0.06</v>
      </c>
      <c r="M9" s="2111">
        <v>0.06</v>
      </c>
      <c r="N9" s="2111">
        <v>0.06</v>
      </c>
      <c r="O9" s="2111">
        <v>0.06</v>
      </c>
    </row>
    <row r="10" spans="1:15" ht="15" x14ac:dyDescent="0.25">
      <c r="A10" s="678" t="str">
        <f t="shared" si="0"/>
        <v>6T - NH A</v>
      </c>
      <c r="B10" s="687" t="str">
        <f>+B9</f>
        <v>6T - NH</v>
      </c>
      <c r="C10" s="687" t="s">
        <v>46</v>
      </c>
      <c r="D10" s="686" t="s">
        <v>538</v>
      </c>
      <c r="E10" s="689"/>
      <c r="F10" s="2111">
        <v>0.06</v>
      </c>
      <c r="G10" s="2111">
        <v>0.06</v>
      </c>
      <c r="H10" s="2111">
        <v>0.06</v>
      </c>
      <c r="I10" s="2111">
        <v>0.06</v>
      </c>
      <c r="J10" s="2111">
        <v>0.06</v>
      </c>
      <c r="K10" s="2111">
        <v>0.06</v>
      </c>
      <c r="L10" s="2111">
        <v>0.06</v>
      </c>
      <c r="M10" s="2111">
        <v>0.06</v>
      </c>
      <c r="N10" s="2111">
        <v>0.06</v>
      </c>
      <c r="O10" s="2111">
        <v>0.06</v>
      </c>
    </row>
    <row r="11" spans="1:15" ht="15" x14ac:dyDescent="0.25">
      <c r="A11" s="678" t="str">
        <f t="shared" si="0"/>
        <v xml:space="preserve"> </v>
      </c>
      <c r="B11" s="687"/>
      <c r="C11" s="687"/>
      <c r="D11" s="686"/>
    </row>
    <row r="12" spans="1:15" ht="15" x14ac:dyDescent="0.25">
      <c r="A12" s="673"/>
      <c r="B12" s="674" t="s">
        <v>539</v>
      </c>
      <c r="C12" s="673"/>
      <c r="D12" s="673"/>
    </row>
    <row r="13" spans="1:15" ht="15" x14ac:dyDescent="0.25">
      <c r="A13" s="678" t="str">
        <f t="shared" ref="A13:A21" si="1">+B13&amp;" "&amp;C13</f>
        <v>21D - EMA A</v>
      </c>
      <c r="B13" s="685" t="str">
        <f>+'Indirect Rates'!B64</f>
        <v>21D - EMA</v>
      </c>
      <c r="C13" s="685" t="s">
        <v>46</v>
      </c>
      <c r="D13" s="686" t="s">
        <v>531</v>
      </c>
      <c r="E13" s="689"/>
      <c r="F13" s="2111">
        <v>7.0000000000000007E-2</v>
      </c>
      <c r="G13" s="2111">
        <v>7.0000000000000007E-2</v>
      </c>
      <c r="H13" s="2111">
        <v>7.0000000000000007E-2</v>
      </c>
      <c r="I13" s="2111">
        <v>7.0000000000000007E-2</v>
      </c>
      <c r="J13" s="2111">
        <v>7.0000000000000007E-2</v>
      </c>
      <c r="K13" s="2111">
        <v>7.0000000000000007E-2</v>
      </c>
      <c r="L13" s="2111">
        <v>7.0000000000000007E-2</v>
      </c>
      <c r="M13" s="2111">
        <v>7.0000000000000007E-2</v>
      </c>
      <c r="N13" s="2111">
        <v>7.0000000000000007E-2</v>
      </c>
      <c r="O13" s="2111">
        <v>7.0000000000000007E-2</v>
      </c>
    </row>
    <row r="14" spans="1:15" ht="15" x14ac:dyDescent="0.25">
      <c r="A14" s="678" t="str">
        <f t="shared" si="1"/>
        <v>21D - EMA C</v>
      </c>
      <c r="B14" s="687" t="str">
        <f>+B13</f>
        <v>21D - EMA</v>
      </c>
      <c r="C14" s="687" t="s">
        <v>49</v>
      </c>
      <c r="D14" s="686" t="s">
        <v>532</v>
      </c>
      <c r="E14" s="689"/>
    </row>
    <row r="15" spans="1:15" ht="15" x14ac:dyDescent="0.25">
      <c r="A15" s="678" t="str">
        <f t="shared" si="1"/>
        <v>11 - CT C</v>
      </c>
      <c r="B15" s="685" t="str">
        <f>+'Indirect Rates'!B52</f>
        <v>11 - CT</v>
      </c>
      <c r="C15" s="685" t="s">
        <v>49</v>
      </c>
      <c r="D15" s="686" t="s">
        <v>533</v>
      </c>
      <c r="E15" s="689"/>
    </row>
    <row r="16" spans="1:15" ht="15" x14ac:dyDescent="0.25">
      <c r="A16" s="678" t="str">
        <f t="shared" si="1"/>
        <v>11 - CT A</v>
      </c>
      <c r="B16" s="687" t="str">
        <f>+B15</f>
        <v>11 - CT</v>
      </c>
      <c r="C16" s="687" t="s">
        <v>46</v>
      </c>
      <c r="D16" s="686" t="s">
        <v>534</v>
      </c>
      <c r="E16" s="690"/>
      <c r="F16" s="2433">
        <v>7.0000000000000007E-2</v>
      </c>
      <c r="G16" s="2433">
        <v>7.0000000000000007E-2</v>
      </c>
      <c r="H16" s="2433">
        <v>7.0000000000000007E-2</v>
      </c>
      <c r="I16" s="2433">
        <v>7.0000000000000007E-2</v>
      </c>
      <c r="J16" s="2433">
        <v>7.0000000000000007E-2</v>
      </c>
      <c r="K16" s="2433">
        <v>7.0000000000000007E-2</v>
      </c>
      <c r="L16" s="2433">
        <v>7.0000000000000007E-2</v>
      </c>
      <c r="M16" s="2433">
        <v>7.0000000000000007E-2</v>
      </c>
      <c r="N16" s="2433">
        <v>7.0000000000000007E-2</v>
      </c>
      <c r="O16" s="2433">
        <v>7.0000000000000007E-2</v>
      </c>
    </row>
    <row r="17" spans="1:15" ht="15" x14ac:dyDescent="0.25">
      <c r="A17" s="678" t="str">
        <f t="shared" si="1"/>
        <v>41 - WMA C</v>
      </c>
      <c r="B17" s="685" t="str">
        <f>+'Indirect Rates'!B76:B76</f>
        <v>41 - WMA</v>
      </c>
      <c r="C17" s="685" t="s">
        <v>49</v>
      </c>
      <c r="D17" s="686" t="s">
        <v>535</v>
      </c>
      <c r="E17" s="689"/>
      <c r="F17" s="2111"/>
      <c r="G17" s="2111"/>
      <c r="H17" s="2111"/>
      <c r="I17" s="2111"/>
      <c r="J17" s="2111"/>
      <c r="K17" s="2111"/>
      <c r="L17" s="2111"/>
      <c r="M17" s="2111"/>
      <c r="N17" s="2111"/>
      <c r="O17" s="2111"/>
    </row>
    <row r="18" spans="1:15" ht="15" x14ac:dyDescent="0.25">
      <c r="A18" s="678" t="str">
        <f t="shared" si="1"/>
        <v>41 - WMA A</v>
      </c>
      <c r="B18" s="687" t="str">
        <f>+B17</f>
        <v>41 - WMA</v>
      </c>
      <c r="C18" s="687" t="s">
        <v>46</v>
      </c>
      <c r="D18" s="686" t="s">
        <v>536</v>
      </c>
      <c r="E18" s="689"/>
      <c r="F18" s="2111">
        <v>0.04</v>
      </c>
      <c r="G18" s="2111">
        <v>0.04</v>
      </c>
      <c r="H18" s="2111">
        <v>0.04</v>
      </c>
      <c r="I18" s="2111">
        <v>0.04</v>
      </c>
      <c r="J18" s="2111">
        <v>0.04</v>
      </c>
      <c r="K18" s="2111">
        <v>0.04</v>
      </c>
      <c r="L18" s="2111">
        <v>0.04</v>
      </c>
      <c r="M18" s="2111">
        <v>0.04</v>
      </c>
      <c r="N18" s="2111">
        <v>0.04</v>
      </c>
      <c r="O18" s="2111">
        <v>0.04</v>
      </c>
    </row>
    <row r="19" spans="1:15" ht="15" x14ac:dyDescent="0.25">
      <c r="A19" s="678" t="str">
        <f t="shared" si="1"/>
        <v>6D - NH C</v>
      </c>
      <c r="B19" s="688" t="str">
        <f>+'Indirect Rates'!B88</f>
        <v>6D - NH</v>
      </c>
      <c r="C19" s="688" t="s">
        <v>49</v>
      </c>
      <c r="D19" s="686" t="s">
        <v>537</v>
      </c>
      <c r="E19" s="689"/>
      <c r="F19" s="2111"/>
      <c r="G19" s="2111"/>
      <c r="H19" s="2111"/>
      <c r="I19" s="2111"/>
      <c r="J19" s="2111"/>
      <c r="K19" s="2111"/>
      <c r="L19" s="2111"/>
      <c r="M19" s="2111"/>
      <c r="N19" s="2111"/>
      <c r="O19" s="2111"/>
    </row>
    <row r="20" spans="1:15" ht="15" x14ac:dyDescent="0.25">
      <c r="A20" s="678" t="str">
        <f t="shared" si="1"/>
        <v>6D - NH A</v>
      </c>
      <c r="B20" s="687" t="str">
        <f>+B19</f>
        <v>6D - NH</v>
      </c>
      <c r="C20" s="687" t="s">
        <v>46</v>
      </c>
      <c r="D20" s="686" t="s">
        <v>538</v>
      </c>
      <c r="E20" s="689"/>
      <c r="F20" s="2111">
        <v>0.06</v>
      </c>
      <c r="G20" s="2111">
        <v>0.06</v>
      </c>
      <c r="H20" s="2111">
        <v>0.06</v>
      </c>
      <c r="I20" s="2111">
        <v>0.06</v>
      </c>
      <c r="J20" s="2111">
        <v>0.06</v>
      </c>
      <c r="K20" s="2111">
        <v>0.06</v>
      </c>
      <c r="L20" s="2111">
        <v>0.06</v>
      </c>
      <c r="M20" s="2111">
        <v>0.06</v>
      </c>
      <c r="N20" s="2111">
        <v>0.06</v>
      </c>
      <c r="O20" s="2111">
        <v>0.06</v>
      </c>
    </row>
    <row r="21" spans="1:15" ht="15" x14ac:dyDescent="0.25">
      <c r="A21" s="678" t="str">
        <f t="shared" si="1"/>
        <v xml:space="preserve"> </v>
      </c>
      <c r="B21" s="687"/>
      <c r="C21" s="687"/>
      <c r="D21" s="686"/>
      <c r="E21" s="1483"/>
      <c r="F21" s="673"/>
    </row>
    <row r="22" spans="1:15" ht="15" x14ac:dyDescent="0.25">
      <c r="A22" s="673"/>
      <c r="B22" s="691"/>
      <c r="C22" s="691"/>
      <c r="D22" s="673"/>
      <c r="E22" s="673"/>
      <c r="F22" s="673"/>
    </row>
    <row r="23" spans="1:15" ht="15" x14ac:dyDescent="0.25">
      <c r="A23" s="673"/>
      <c r="B23" s="691"/>
      <c r="C23" s="691"/>
      <c r="D23" s="686" t="s">
        <v>540</v>
      </c>
      <c r="E23" s="692" t="s">
        <v>404</v>
      </c>
      <c r="F23" s="673"/>
    </row>
    <row r="24" spans="1:15" ht="15" x14ac:dyDescent="0.25">
      <c r="A24" s="673"/>
      <c r="B24" s="691"/>
      <c r="C24" s="691"/>
      <c r="D24" s="686" t="s">
        <v>541</v>
      </c>
      <c r="E24" s="692" t="s">
        <v>405</v>
      </c>
      <c r="F24" s="673"/>
    </row>
    <row r="25" spans="1:15" ht="15" x14ac:dyDescent="0.25">
      <c r="A25" s="673"/>
      <c r="B25" s="691"/>
      <c r="C25" s="691"/>
      <c r="D25" s="673"/>
      <c r="E25" s="673"/>
      <c r="F25" s="673"/>
    </row>
    <row r="26" spans="1:15" ht="15" x14ac:dyDescent="0.25">
      <c r="A26" s="673"/>
      <c r="B26" s="691"/>
      <c r="C26" s="691"/>
      <c r="D26" s="673"/>
      <c r="E26" s="673"/>
      <c r="F26" s="673"/>
    </row>
    <row r="27" spans="1:15" ht="15" x14ac:dyDescent="0.25">
      <c r="A27" s="673"/>
      <c r="B27" s="691"/>
      <c r="C27" s="691"/>
      <c r="D27" s="673"/>
      <c r="E27" s="673"/>
      <c r="F27" s="673"/>
    </row>
    <row r="28" spans="1:15" ht="15" x14ac:dyDescent="0.25">
      <c r="A28" s="673"/>
      <c r="B28" s="691"/>
      <c r="C28" s="691"/>
      <c r="D28" s="673"/>
      <c r="E28" s="673"/>
      <c r="F28" s="673"/>
    </row>
    <row r="29" spans="1:15" ht="15" x14ac:dyDescent="0.25">
      <c r="A29" s="673"/>
      <c r="B29" s="691"/>
      <c r="C29" s="691"/>
      <c r="D29" s="673"/>
      <c r="E29" s="673"/>
      <c r="F29" s="673"/>
    </row>
    <row r="30" spans="1:15" ht="15" x14ac:dyDescent="0.25">
      <c r="A30" s="673"/>
      <c r="B30" s="691"/>
      <c r="C30" s="691"/>
      <c r="D30" s="673"/>
      <c r="E30" s="673"/>
      <c r="F30" s="673"/>
    </row>
  </sheetData>
  <sheetProtection formatCells="0" formatColumns="0" formatRows="0" autoFilter="0"/>
  <printOptions gridLines="1"/>
  <pageMargins left="0.2" right="0.2" top="0.75" bottom="0.75" header="0.3" footer="0.3"/>
  <pageSetup scale="95" orientation="portrait"/>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B91F5-2D8C-4A56-A2A7-CF88F584CD52}">
  <sheetPr codeName="Sheet32">
    <tabColor theme="9" tint="0.59999389629810485"/>
  </sheetPr>
  <dimension ref="C1:G29"/>
  <sheetViews>
    <sheetView showGridLines="0" topLeftCell="A13" workbookViewId="0">
      <selection activeCell="H10" sqref="H10"/>
    </sheetView>
  </sheetViews>
  <sheetFormatPr defaultRowHeight="13.35" customHeight="1" x14ac:dyDescent="0.25"/>
  <cols>
    <col min="3" max="3" width="30.5703125" customWidth="1"/>
    <col min="4" max="4" width="16.42578125" customWidth="1"/>
    <col min="5" max="5" width="8.42578125" customWidth="1"/>
  </cols>
  <sheetData>
    <row r="1" spans="3:7" ht="21" x14ac:dyDescent="0.35">
      <c r="C1" s="1487" t="s">
        <v>1427</v>
      </c>
      <c r="D1" s="1488"/>
      <c r="E1" s="1488"/>
      <c r="F1" s="1488"/>
      <c r="G1" s="1488"/>
    </row>
    <row r="4" spans="3:7" ht="21.75" thickBot="1" x14ac:dyDescent="0.4">
      <c r="C4" s="1489"/>
      <c r="D4" s="1489" t="s">
        <v>1428</v>
      </c>
      <c r="E4" s="15"/>
      <c r="F4" s="15"/>
      <c r="G4" s="15"/>
    </row>
    <row r="5" spans="3:7" ht="15" x14ac:dyDescent="0.25">
      <c r="C5" s="808"/>
      <c r="D5" s="320"/>
      <c r="E5" s="808"/>
      <c r="F5" s="320"/>
      <c r="G5" s="324"/>
    </row>
    <row r="6" spans="3:7" ht="15" x14ac:dyDescent="0.25">
      <c r="C6" s="617"/>
      <c r="E6" s="1490" t="s">
        <v>1429</v>
      </c>
      <c r="F6" s="1491"/>
      <c r="G6" s="1492"/>
    </row>
    <row r="7" spans="3:7" ht="30" x14ac:dyDescent="0.25">
      <c r="C7" s="1495" t="s">
        <v>1430</v>
      </c>
      <c r="D7" s="1494" t="s">
        <v>1431</v>
      </c>
      <c r="E7" s="1495" t="s">
        <v>1432</v>
      </c>
      <c r="F7" s="1496" t="s">
        <v>1433</v>
      </c>
      <c r="G7" s="1497" t="s">
        <v>216</v>
      </c>
    </row>
    <row r="8" spans="3:7" ht="15" x14ac:dyDescent="0.25">
      <c r="C8" s="1524" t="s">
        <v>1419</v>
      </c>
      <c r="D8" s="1500"/>
      <c r="E8" s="1501"/>
      <c r="F8" s="1501"/>
      <c r="G8" s="1502"/>
    </row>
    <row r="9" spans="3:7" ht="15" x14ac:dyDescent="0.25">
      <c r="C9" s="1524" t="s">
        <v>1420</v>
      </c>
      <c r="D9" s="1500">
        <v>1.2E-2</v>
      </c>
      <c r="E9" s="1501">
        <v>0.2</v>
      </c>
      <c r="F9" s="1501">
        <f>G9-E9</f>
        <v>0.8</v>
      </c>
      <c r="G9" s="1502">
        <v>1</v>
      </c>
    </row>
    <row r="10" spans="3:7" ht="15" x14ac:dyDescent="0.25">
      <c r="C10" s="1524" t="s">
        <v>1422</v>
      </c>
      <c r="D10" s="1500">
        <v>4.0000000000000001E-3</v>
      </c>
      <c r="E10" s="1501">
        <v>0.4</v>
      </c>
      <c r="F10" s="1501">
        <f>G10-E10</f>
        <v>0.6</v>
      </c>
      <c r="G10" s="1502">
        <v>1</v>
      </c>
    </row>
    <row r="11" spans="3:7" ht="15" x14ac:dyDescent="0.25">
      <c r="C11" s="1524" t="s">
        <v>1423</v>
      </c>
      <c r="D11" s="1500">
        <v>2E-3</v>
      </c>
      <c r="E11" s="1501">
        <v>0.05</v>
      </c>
      <c r="F11" s="1501">
        <f>G11-E11</f>
        <v>0.95</v>
      </c>
      <c r="G11" s="1502">
        <v>1</v>
      </c>
    </row>
    <row r="12" spans="3:7" ht="15.75" thickBot="1" x14ac:dyDescent="0.3">
      <c r="C12" s="1503"/>
      <c r="D12" s="1504"/>
      <c r="E12" s="1504"/>
      <c r="F12" s="1504"/>
      <c r="G12" s="1505"/>
    </row>
    <row r="15" spans="3:7" ht="21.75" thickBot="1" x14ac:dyDescent="0.4">
      <c r="D15" s="1487" t="s">
        <v>1434</v>
      </c>
      <c r="E15" s="15"/>
      <c r="F15" s="15"/>
      <c r="G15" s="15"/>
    </row>
    <row r="16" spans="3:7" ht="15" x14ac:dyDescent="0.25">
      <c r="C16" s="1518"/>
      <c r="D16" s="1517"/>
      <c r="E16" s="1510" t="s">
        <v>1429</v>
      </c>
      <c r="F16" s="1498"/>
      <c r="G16" s="1499"/>
    </row>
    <row r="17" spans="3:7" ht="27.75" customHeight="1" thickBot="1" x14ac:dyDescent="0.3">
      <c r="C17" s="1522" t="s">
        <v>1430</v>
      </c>
      <c r="D17" s="1494" t="s">
        <v>1435</v>
      </c>
      <c r="E17" s="166" t="s">
        <v>1432</v>
      </c>
      <c r="F17" s="166" t="s">
        <v>1433</v>
      </c>
      <c r="G17" s="1523" t="s">
        <v>216</v>
      </c>
    </row>
    <row r="18" spans="3:7" ht="15" x14ac:dyDescent="0.25">
      <c r="C18" s="1493" t="s">
        <v>1418</v>
      </c>
      <c r="D18" s="1519"/>
      <c r="E18" s="1520"/>
      <c r="F18" s="1519"/>
      <c r="G18" s="1521"/>
    </row>
    <row r="19" spans="3:7" ht="15" x14ac:dyDescent="0.25">
      <c r="C19" s="1515" t="s">
        <v>1424</v>
      </c>
      <c r="D19" s="1506">
        <v>5.0999999999999997E-2</v>
      </c>
      <c r="E19" s="1511">
        <v>0.1</v>
      </c>
      <c r="F19" s="1507">
        <f>G19-E19</f>
        <v>0.9</v>
      </c>
      <c r="G19" s="1502">
        <v>1</v>
      </c>
    </row>
    <row r="20" spans="3:7" ht="15" x14ac:dyDescent="0.25">
      <c r="C20" s="1515" t="s">
        <v>1436</v>
      </c>
      <c r="D20" s="1506">
        <v>2.1000000000000001E-2</v>
      </c>
      <c r="E20" s="1511">
        <v>0.1</v>
      </c>
      <c r="F20" s="1507">
        <f t="shared" ref="F20:F29" si="0">G20-E20</f>
        <v>0.9</v>
      </c>
      <c r="G20" s="1502">
        <v>1</v>
      </c>
    </row>
    <row r="21" spans="3:7" ht="15" x14ac:dyDescent="0.25">
      <c r="C21" s="1515" t="s">
        <v>1425</v>
      </c>
      <c r="D21" s="1506">
        <v>5.4999999999999997E-3</v>
      </c>
      <c r="E21" s="1511">
        <v>0.05</v>
      </c>
      <c r="F21" s="1507">
        <f t="shared" si="0"/>
        <v>0.95</v>
      </c>
      <c r="G21" s="1502">
        <v>1</v>
      </c>
    </row>
    <row r="22" spans="3:7" ht="15" x14ac:dyDescent="0.25">
      <c r="C22" s="1515" t="s">
        <v>1426</v>
      </c>
      <c r="D22" s="1506">
        <v>1.0500000000000001E-2</v>
      </c>
      <c r="E22" s="1511">
        <v>0.05</v>
      </c>
      <c r="F22" s="1507">
        <f t="shared" si="0"/>
        <v>0.95</v>
      </c>
      <c r="G22" s="1502">
        <v>1</v>
      </c>
    </row>
    <row r="23" spans="3:7" ht="15" x14ac:dyDescent="0.25">
      <c r="C23" s="1515" t="s">
        <v>1437</v>
      </c>
      <c r="D23" s="1506">
        <v>3.4500000000000003E-2</v>
      </c>
      <c r="E23" s="1511">
        <v>0.05</v>
      </c>
      <c r="F23" s="1507">
        <f t="shared" si="0"/>
        <v>0.95</v>
      </c>
      <c r="G23" s="1502">
        <v>1</v>
      </c>
    </row>
    <row r="24" spans="3:7" ht="15" x14ac:dyDescent="0.25">
      <c r="C24" s="1515" t="s">
        <v>1438</v>
      </c>
      <c r="D24" s="1506">
        <v>4.2999999999999997E-2</v>
      </c>
      <c r="E24" s="1511">
        <v>0.05</v>
      </c>
      <c r="F24" s="1507">
        <f t="shared" si="0"/>
        <v>0.95</v>
      </c>
      <c r="G24" s="1502">
        <v>1</v>
      </c>
    </row>
    <row r="25" spans="3:7" ht="15" x14ac:dyDescent="0.25">
      <c r="C25" s="1515" t="s">
        <v>1439</v>
      </c>
      <c r="D25" s="1506">
        <v>1.0999999999999999E-2</v>
      </c>
      <c r="E25" s="1511">
        <v>0.1</v>
      </c>
      <c r="F25" s="1507">
        <f t="shared" si="0"/>
        <v>0.9</v>
      </c>
      <c r="G25" s="1502">
        <v>1</v>
      </c>
    </row>
    <row r="26" spans="3:7" ht="15" x14ac:dyDescent="0.25">
      <c r="C26" s="1515" t="s">
        <v>1440</v>
      </c>
      <c r="D26" s="1506">
        <v>5.0000000000000001E-3</v>
      </c>
      <c r="E26" s="1511">
        <v>0.05</v>
      </c>
      <c r="F26" s="1507">
        <f t="shared" si="0"/>
        <v>0.95</v>
      </c>
      <c r="G26" s="1502">
        <v>1</v>
      </c>
    </row>
    <row r="27" spans="3:7" ht="15" x14ac:dyDescent="0.25">
      <c r="C27" s="1515" t="s">
        <v>1441</v>
      </c>
      <c r="D27" s="1506">
        <v>2.1000000000000001E-2</v>
      </c>
      <c r="E27" s="1512">
        <v>0.05</v>
      </c>
      <c r="F27" s="1507">
        <f t="shared" si="0"/>
        <v>0.95</v>
      </c>
      <c r="G27" s="1502">
        <v>1</v>
      </c>
    </row>
    <row r="28" spans="3:7" ht="15" x14ac:dyDescent="0.25">
      <c r="C28" s="1515" t="s">
        <v>1442</v>
      </c>
      <c r="D28" s="1506">
        <v>5.4999999999999997E-3</v>
      </c>
      <c r="E28" s="1512">
        <v>0.05</v>
      </c>
      <c r="F28" s="1507">
        <f t="shared" si="0"/>
        <v>0.95</v>
      </c>
      <c r="G28" s="1502">
        <v>1</v>
      </c>
    </row>
    <row r="29" spans="3:7" ht="15.75" thickBot="1" x14ac:dyDescent="0.3">
      <c r="C29" s="1516" t="s">
        <v>1443</v>
      </c>
      <c r="D29" s="1514">
        <v>8.2500000000000004E-2</v>
      </c>
      <c r="E29" s="1513">
        <v>0.05</v>
      </c>
      <c r="F29" s="1508">
        <f t="shared" si="0"/>
        <v>0.95</v>
      </c>
      <c r="G29" s="1509">
        <v>1</v>
      </c>
    </row>
  </sheetData>
  <sheetProtection algorithmName="SHA-512" hashValue="Es6DgwUJniOg1BPK4vBXPFw/QLXD4ac67Dy6xd/pz0phSPVS+dMKesjiH92zhiVweUJBpkIDwQXqsmto5JTfQQ==" saltValue="E1cuQpbGOHUlUVat2tCMtQ==" spinCount="100000" sheet="1" scenarios="1" formatCells="0" formatColumns="0" formatRows="0" autoFilter="0"/>
  <pageMargins left="0.7" right="0.7" top="0.75" bottom="0.75" header="0.3" footer="0.3"/>
  <pageSetup orientation="portrait" horizontalDpi="90" verticalDpi="9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1B6A3-5326-480B-9C81-C6A42C92BDB9}">
  <sheetPr codeName="Sheet29">
    <tabColor theme="1"/>
    <pageSetUpPr autoPageBreaks="0"/>
  </sheetPr>
  <dimension ref="A1:I363"/>
  <sheetViews>
    <sheetView topLeftCell="A82" zoomScale="120" zoomScaleNormal="120" workbookViewId="0">
      <selection activeCell="E73" sqref="E73"/>
    </sheetView>
  </sheetViews>
  <sheetFormatPr defaultRowHeight="12.6" customHeight="1" x14ac:dyDescent="0.25"/>
  <cols>
    <col min="3" max="3" width="12.42578125" customWidth="1"/>
    <col min="4" max="4" width="15.42578125" customWidth="1"/>
    <col min="5" max="5" width="35.5703125" customWidth="1"/>
    <col min="8" max="9" width="15.42578125" customWidth="1"/>
  </cols>
  <sheetData>
    <row r="1" spans="1:9" ht="15.75" thickBot="1" x14ac:dyDescent="0.3"/>
    <row r="2" spans="1:9" ht="16.5" thickTop="1" thickBot="1" x14ac:dyDescent="0.3">
      <c r="A2" s="849"/>
      <c r="B2" s="849" t="s">
        <v>742</v>
      </c>
      <c r="C2" s="849"/>
      <c r="D2" s="849"/>
      <c r="E2" s="849"/>
      <c r="F2" s="849"/>
      <c r="G2" s="849"/>
      <c r="H2" s="849"/>
      <c r="I2" s="849"/>
    </row>
    <row r="3" spans="1:9" ht="15.75" thickBot="1" x14ac:dyDescent="0.3">
      <c r="D3" s="850" t="s">
        <v>634</v>
      </c>
      <c r="E3" s="851" t="s">
        <v>206</v>
      </c>
      <c r="F3" s="852" t="s">
        <v>556</v>
      </c>
    </row>
    <row r="4" spans="1:9" ht="15" x14ac:dyDescent="0.25">
      <c r="D4" s="1391">
        <v>1</v>
      </c>
      <c r="E4" s="3" t="s">
        <v>1269</v>
      </c>
      <c r="F4" s="10" t="s">
        <v>3439</v>
      </c>
    </row>
    <row r="5" spans="1:9" ht="15" x14ac:dyDescent="0.25">
      <c r="D5" s="1391">
        <v>2</v>
      </c>
      <c r="E5" s="3" t="s">
        <v>1277</v>
      </c>
      <c r="F5" s="10"/>
    </row>
    <row r="6" spans="1:9" ht="15" x14ac:dyDescent="0.25">
      <c r="D6" s="1391">
        <v>3</v>
      </c>
      <c r="E6" s="10" t="s">
        <v>882</v>
      </c>
      <c r="F6" s="10" t="s">
        <v>3440</v>
      </c>
    </row>
    <row r="7" spans="1:9" ht="15" x14ac:dyDescent="0.25">
      <c r="D7" s="1391">
        <v>4</v>
      </c>
      <c r="E7" s="10" t="s">
        <v>883</v>
      </c>
      <c r="F7" s="10"/>
    </row>
    <row r="8" spans="1:9" ht="15" x14ac:dyDescent="0.25">
      <c r="D8" s="1391">
        <v>5</v>
      </c>
      <c r="E8" s="10" t="s">
        <v>884</v>
      </c>
      <c r="F8" s="10" t="s">
        <v>3441</v>
      </c>
    </row>
    <row r="9" spans="1:9" ht="15" x14ac:dyDescent="0.25">
      <c r="D9" s="1391">
        <v>6</v>
      </c>
      <c r="E9" s="10" t="s">
        <v>885</v>
      </c>
      <c r="F9" s="10" t="s">
        <v>3441</v>
      </c>
    </row>
    <row r="10" spans="1:9" ht="15" x14ac:dyDescent="0.25">
      <c r="D10" s="1391">
        <v>7</v>
      </c>
      <c r="E10" s="10" t="s">
        <v>1260</v>
      </c>
      <c r="F10" s="10"/>
    </row>
    <row r="11" spans="1:9" ht="15" x14ac:dyDescent="0.25">
      <c r="D11" s="1391">
        <v>8</v>
      </c>
      <c r="E11" s="10" t="s">
        <v>1278</v>
      </c>
      <c r="F11" s="10"/>
    </row>
    <row r="12" spans="1:9" ht="15" x14ac:dyDescent="0.25">
      <c r="D12" s="1391">
        <v>9</v>
      </c>
      <c r="E12" s="10" t="s">
        <v>886</v>
      </c>
      <c r="F12" s="10"/>
    </row>
    <row r="13" spans="1:9" ht="15" x14ac:dyDescent="0.25">
      <c r="D13" s="1391">
        <v>10</v>
      </c>
      <c r="E13" s="10" t="s">
        <v>1279</v>
      </c>
      <c r="F13" s="10"/>
    </row>
    <row r="14" spans="1:9" ht="15" x14ac:dyDescent="0.25">
      <c r="D14" s="1391">
        <v>11</v>
      </c>
      <c r="E14" s="10" t="s">
        <v>1282</v>
      </c>
      <c r="F14" s="10" t="s">
        <v>3441</v>
      </c>
    </row>
    <row r="15" spans="1:9" ht="15" x14ac:dyDescent="0.25">
      <c r="D15" s="1391">
        <v>12</v>
      </c>
      <c r="E15" s="10" t="s">
        <v>887</v>
      </c>
      <c r="F15" s="10" t="s">
        <v>3441</v>
      </c>
    </row>
    <row r="16" spans="1:9" ht="15" x14ac:dyDescent="0.25">
      <c r="D16" s="1391">
        <v>13</v>
      </c>
      <c r="E16" s="10" t="s">
        <v>888</v>
      </c>
      <c r="F16" s="10" t="s">
        <v>3441</v>
      </c>
    </row>
    <row r="17" spans="4:6" ht="15" x14ac:dyDescent="0.25">
      <c r="D17" s="1391">
        <v>14</v>
      </c>
      <c r="E17" s="10" t="s">
        <v>889</v>
      </c>
      <c r="F17" s="10" t="s">
        <v>3441</v>
      </c>
    </row>
    <row r="18" spans="4:6" ht="15" x14ac:dyDescent="0.25">
      <c r="D18" s="1391">
        <v>15</v>
      </c>
      <c r="E18" s="10" t="s">
        <v>1280</v>
      </c>
      <c r="F18" s="10" t="s">
        <v>3441</v>
      </c>
    </row>
    <row r="19" spans="4:6" ht="15" x14ac:dyDescent="0.25">
      <c r="D19" s="1391">
        <v>16</v>
      </c>
      <c r="E19" s="10" t="s">
        <v>1275</v>
      </c>
      <c r="F19" s="10" t="s">
        <v>2108</v>
      </c>
    </row>
    <row r="20" spans="4:6" ht="15" x14ac:dyDescent="0.25">
      <c r="D20" s="1391">
        <v>17</v>
      </c>
      <c r="E20" s="10" t="s">
        <v>1281</v>
      </c>
      <c r="F20" s="10" t="s">
        <v>2108</v>
      </c>
    </row>
    <row r="21" spans="4:6" ht="15" x14ac:dyDescent="0.25">
      <c r="D21" s="1391">
        <v>18</v>
      </c>
      <c r="E21" s="10" t="s">
        <v>1276</v>
      </c>
      <c r="F21" s="10"/>
    </row>
    <row r="22" spans="4:6" ht="15" x14ac:dyDescent="0.25">
      <c r="D22" s="1391">
        <v>19</v>
      </c>
      <c r="E22" s="3" t="s">
        <v>39</v>
      </c>
      <c r="F22" s="10"/>
    </row>
    <row r="23" spans="4:6" ht="15" x14ac:dyDescent="0.25">
      <c r="D23" s="2">
        <v>20</v>
      </c>
      <c r="E23" s="10" t="s">
        <v>1283</v>
      </c>
      <c r="F23" s="10"/>
    </row>
    <row r="24" spans="4:6" ht="15" x14ac:dyDescent="0.25">
      <c r="D24" s="2">
        <v>21</v>
      </c>
      <c r="E24" s="10" t="s">
        <v>890</v>
      </c>
      <c r="F24" s="10" t="s">
        <v>2108</v>
      </c>
    </row>
    <row r="25" spans="4:6" ht="15" x14ac:dyDescent="0.25">
      <c r="D25" s="2">
        <v>22</v>
      </c>
      <c r="E25" s="10" t="s">
        <v>891</v>
      </c>
      <c r="F25" s="10" t="s">
        <v>2108</v>
      </c>
    </row>
    <row r="26" spans="4:6" ht="15" x14ac:dyDescent="0.25">
      <c r="D26" s="2">
        <v>23</v>
      </c>
      <c r="E26" s="10" t="s">
        <v>892</v>
      </c>
      <c r="F26" s="10" t="s">
        <v>2108</v>
      </c>
    </row>
    <row r="27" spans="4:6" ht="15" x14ac:dyDescent="0.25">
      <c r="D27" s="2">
        <v>24</v>
      </c>
      <c r="E27" s="10" t="s">
        <v>893</v>
      </c>
      <c r="F27" s="10" t="s">
        <v>2108</v>
      </c>
    </row>
    <row r="28" spans="4:6" ht="15" x14ac:dyDescent="0.25">
      <c r="D28" s="2">
        <v>25</v>
      </c>
      <c r="E28" s="10" t="s">
        <v>855</v>
      </c>
      <c r="F28" s="10" t="s">
        <v>2108</v>
      </c>
    </row>
    <row r="29" spans="4:6" ht="15" x14ac:dyDescent="0.25">
      <c r="D29" s="2">
        <v>26</v>
      </c>
      <c r="E29" s="10" t="s">
        <v>1162</v>
      </c>
      <c r="F29" s="10"/>
    </row>
    <row r="30" spans="4:6" ht="15" x14ac:dyDescent="0.25">
      <c r="D30" s="2">
        <v>27</v>
      </c>
      <c r="E30" s="10"/>
      <c r="F30" s="10"/>
    </row>
    <row r="31" spans="4:6" ht="15" x14ac:dyDescent="0.25">
      <c r="D31" s="2">
        <v>28</v>
      </c>
      <c r="E31" s="10"/>
      <c r="F31" s="10"/>
    </row>
    <row r="32" spans="4:6" ht="15" x14ac:dyDescent="0.25">
      <c r="D32" s="2">
        <v>29</v>
      </c>
      <c r="E32" s="10"/>
      <c r="F32" s="10"/>
    </row>
    <row r="33" spans="4:6" ht="15" x14ac:dyDescent="0.25">
      <c r="D33">
        <v>30</v>
      </c>
      <c r="E33" s="10" t="s">
        <v>1284</v>
      </c>
      <c r="F33" s="10" t="s">
        <v>2108</v>
      </c>
    </row>
    <row r="34" spans="4:6" ht="15" x14ac:dyDescent="0.25">
      <c r="D34">
        <v>31</v>
      </c>
      <c r="E34" s="10" t="s">
        <v>1285</v>
      </c>
      <c r="F34" s="10" t="s">
        <v>2108</v>
      </c>
    </row>
    <row r="35" spans="4:6" ht="15" x14ac:dyDescent="0.25">
      <c r="D35">
        <v>32</v>
      </c>
      <c r="E35" s="10" t="s">
        <v>1286</v>
      </c>
      <c r="F35" s="10" t="s">
        <v>2108</v>
      </c>
    </row>
    <row r="36" spans="4:6" ht="15" x14ac:dyDescent="0.25">
      <c r="D36">
        <v>33</v>
      </c>
      <c r="E36" s="10" t="s">
        <v>1287</v>
      </c>
      <c r="F36" s="10" t="s">
        <v>2108</v>
      </c>
    </row>
    <row r="37" spans="4:6" ht="15" x14ac:dyDescent="0.25">
      <c r="D37">
        <v>34</v>
      </c>
      <c r="E37" s="10" t="s">
        <v>1288</v>
      </c>
      <c r="F37" s="10" t="s">
        <v>2108</v>
      </c>
    </row>
    <row r="38" spans="4:6" ht="15" x14ac:dyDescent="0.25">
      <c r="D38">
        <v>35</v>
      </c>
      <c r="E38" s="10" t="s">
        <v>1289</v>
      </c>
      <c r="F38" s="10" t="s">
        <v>2108</v>
      </c>
    </row>
    <row r="39" spans="4:6" ht="15" x14ac:dyDescent="0.25">
      <c r="D39">
        <v>36</v>
      </c>
      <c r="E39" s="10" t="s">
        <v>1290</v>
      </c>
      <c r="F39" s="10" t="s">
        <v>2108</v>
      </c>
    </row>
    <row r="40" spans="4:6" ht="15" x14ac:dyDescent="0.25">
      <c r="D40">
        <v>37</v>
      </c>
      <c r="E40" s="10" t="s">
        <v>1291</v>
      </c>
      <c r="F40" s="10" t="s">
        <v>2108</v>
      </c>
    </row>
    <row r="41" spans="4:6" ht="15" x14ac:dyDescent="0.25">
      <c r="D41">
        <v>38</v>
      </c>
      <c r="E41" s="10" t="s">
        <v>1292</v>
      </c>
      <c r="F41" s="10" t="s">
        <v>2108</v>
      </c>
    </row>
    <row r="42" spans="4:6" ht="15" x14ac:dyDescent="0.25">
      <c r="D42">
        <v>39</v>
      </c>
      <c r="E42" s="10" t="s">
        <v>1274</v>
      </c>
      <c r="F42" s="10" t="s">
        <v>2108</v>
      </c>
    </row>
    <row r="43" spans="4:6" ht="15" x14ac:dyDescent="0.25">
      <c r="D43" s="1391">
        <v>40</v>
      </c>
      <c r="E43" s="10" t="s">
        <v>894</v>
      </c>
      <c r="F43" s="10"/>
    </row>
    <row r="44" spans="4:6" ht="15" x14ac:dyDescent="0.25">
      <c r="D44" s="1391">
        <v>41</v>
      </c>
      <c r="E44" s="10" t="s">
        <v>895</v>
      </c>
      <c r="F44" s="10" t="s">
        <v>3440</v>
      </c>
    </row>
    <row r="45" spans="4:6" ht="15" x14ac:dyDescent="0.25">
      <c r="D45" s="1391">
        <v>42</v>
      </c>
      <c r="E45" s="10" t="s">
        <v>896</v>
      </c>
      <c r="F45" s="10" t="s">
        <v>3440</v>
      </c>
    </row>
    <row r="46" spans="4:6" ht="15" x14ac:dyDescent="0.25">
      <c r="D46" s="1391">
        <v>43</v>
      </c>
      <c r="E46" s="10" t="s">
        <v>1268</v>
      </c>
      <c r="F46" s="10" t="s">
        <v>3440</v>
      </c>
    </row>
    <row r="47" spans="4:6" ht="15" x14ac:dyDescent="0.25">
      <c r="D47" s="1391">
        <v>44</v>
      </c>
      <c r="E47" s="10"/>
      <c r="F47" s="10"/>
    </row>
    <row r="48" spans="4:6" ht="15" x14ac:dyDescent="0.25">
      <c r="D48" s="1391">
        <v>45</v>
      </c>
      <c r="E48" s="10" t="s">
        <v>897</v>
      </c>
      <c r="F48" s="10" t="s">
        <v>3442</v>
      </c>
    </row>
    <row r="49" spans="4:6" ht="15" x14ac:dyDescent="0.25">
      <c r="D49" s="1391">
        <v>46</v>
      </c>
      <c r="E49" s="10" t="s">
        <v>1267</v>
      </c>
      <c r="F49" s="10" t="s">
        <v>3442</v>
      </c>
    </row>
    <row r="50" spans="4:6" ht="15" x14ac:dyDescent="0.25">
      <c r="D50" s="1391">
        <v>47</v>
      </c>
      <c r="E50" s="10"/>
      <c r="F50" s="10"/>
    </row>
    <row r="51" spans="4:6" ht="15" x14ac:dyDescent="0.25">
      <c r="D51" s="1391">
        <v>48</v>
      </c>
      <c r="E51" s="10"/>
      <c r="F51" s="10"/>
    </row>
    <row r="52" spans="4:6" ht="15" x14ac:dyDescent="0.25">
      <c r="D52" s="1391">
        <v>49</v>
      </c>
      <c r="E52" s="10" t="s">
        <v>1273</v>
      </c>
      <c r="F52" s="10" t="s">
        <v>3442</v>
      </c>
    </row>
    <row r="53" spans="4:6" ht="15" x14ac:dyDescent="0.25">
      <c r="D53" s="2">
        <v>50</v>
      </c>
      <c r="E53" s="3" t="s">
        <v>1240</v>
      </c>
      <c r="F53" s="10" t="s">
        <v>3440</v>
      </c>
    </row>
    <row r="54" spans="4:6" ht="15" x14ac:dyDescent="0.25">
      <c r="D54" s="2">
        <v>51</v>
      </c>
      <c r="E54" s="3" t="s">
        <v>1239</v>
      </c>
      <c r="F54" s="10" t="s">
        <v>3440</v>
      </c>
    </row>
    <row r="55" spans="4:6" ht="15" x14ac:dyDescent="0.25">
      <c r="D55" s="2">
        <v>52</v>
      </c>
      <c r="E55" s="3" t="s">
        <v>1241</v>
      </c>
      <c r="F55" s="10" t="s">
        <v>3440</v>
      </c>
    </row>
    <row r="56" spans="4:6" ht="15" x14ac:dyDescent="0.25">
      <c r="D56" s="2">
        <v>53</v>
      </c>
      <c r="E56" s="3" t="s">
        <v>1244</v>
      </c>
      <c r="F56" s="10" t="s">
        <v>3440</v>
      </c>
    </row>
    <row r="57" spans="4:6" ht="15" x14ac:dyDescent="0.25">
      <c r="D57" s="2">
        <v>54</v>
      </c>
      <c r="E57" s="3" t="s">
        <v>1242</v>
      </c>
      <c r="F57" s="10" t="s">
        <v>3440</v>
      </c>
    </row>
    <row r="58" spans="4:6" ht="15" x14ac:dyDescent="0.25">
      <c r="D58" s="2">
        <v>55</v>
      </c>
      <c r="E58" s="3" t="s">
        <v>1243</v>
      </c>
      <c r="F58" s="10" t="s">
        <v>3440</v>
      </c>
    </row>
    <row r="59" spans="4:6" ht="15" x14ac:dyDescent="0.25">
      <c r="D59" s="2">
        <v>56</v>
      </c>
      <c r="E59" s="3" t="s">
        <v>1259</v>
      </c>
      <c r="F59" s="10" t="s">
        <v>3440</v>
      </c>
    </row>
    <row r="60" spans="4:6" ht="15" x14ac:dyDescent="0.25">
      <c r="D60" s="2">
        <v>57</v>
      </c>
      <c r="E60" s="3" t="s">
        <v>1270</v>
      </c>
      <c r="F60" s="10" t="s">
        <v>3440</v>
      </c>
    </row>
    <row r="61" spans="4:6" ht="15" x14ac:dyDescent="0.25">
      <c r="D61" s="2">
        <v>58</v>
      </c>
      <c r="E61" s="10"/>
      <c r="F61" s="10"/>
    </row>
    <row r="62" spans="4:6" ht="15" x14ac:dyDescent="0.25">
      <c r="D62" s="2">
        <v>59</v>
      </c>
      <c r="E62" s="3" t="s">
        <v>1266</v>
      </c>
      <c r="F62" s="10" t="s">
        <v>3440</v>
      </c>
    </row>
    <row r="63" spans="4:6" ht="15" x14ac:dyDescent="0.25">
      <c r="D63">
        <v>60</v>
      </c>
      <c r="E63" s="10"/>
      <c r="F63" s="10"/>
    </row>
    <row r="64" spans="4:6" ht="15" x14ac:dyDescent="0.25">
      <c r="D64">
        <v>61</v>
      </c>
      <c r="E64" s="10"/>
      <c r="F64" s="10"/>
    </row>
    <row r="65" spans="4:6" ht="15" x14ac:dyDescent="0.25">
      <c r="D65">
        <v>62</v>
      </c>
      <c r="E65" s="10"/>
      <c r="F65" s="10"/>
    </row>
    <row r="66" spans="4:6" ht="15" x14ac:dyDescent="0.25">
      <c r="D66">
        <v>63</v>
      </c>
      <c r="E66" s="3" t="s">
        <v>1245</v>
      </c>
      <c r="F66" s="10" t="s">
        <v>2108</v>
      </c>
    </row>
    <row r="67" spans="4:6" ht="15" x14ac:dyDescent="0.25">
      <c r="D67">
        <v>64</v>
      </c>
      <c r="E67" s="3" t="s">
        <v>1246</v>
      </c>
      <c r="F67" s="10" t="s">
        <v>2108</v>
      </c>
    </row>
    <row r="68" spans="4:6" ht="15" x14ac:dyDescent="0.25">
      <c r="D68">
        <v>65</v>
      </c>
      <c r="E68" s="3" t="s">
        <v>1257</v>
      </c>
      <c r="F68" s="10" t="s">
        <v>3440</v>
      </c>
    </row>
    <row r="69" spans="4:6" ht="15" x14ac:dyDescent="0.25">
      <c r="D69">
        <v>66</v>
      </c>
      <c r="E69" s="3" t="s">
        <v>1258</v>
      </c>
      <c r="F69" s="10" t="s">
        <v>3440</v>
      </c>
    </row>
    <row r="70" spans="4:6" ht="15" x14ac:dyDescent="0.25">
      <c r="D70">
        <v>67</v>
      </c>
      <c r="E70" s="3" t="s">
        <v>1264</v>
      </c>
      <c r="F70" s="10" t="s">
        <v>3440</v>
      </c>
    </row>
    <row r="71" spans="4:6" ht="15" x14ac:dyDescent="0.25">
      <c r="D71">
        <v>68</v>
      </c>
      <c r="E71" s="3"/>
      <c r="F71" s="10"/>
    </row>
    <row r="72" spans="4:6" ht="15" x14ac:dyDescent="0.25">
      <c r="D72">
        <v>69</v>
      </c>
      <c r="E72" s="3" t="s">
        <v>1265</v>
      </c>
      <c r="F72" s="10" t="s">
        <v>3440</v>
      </c>
    </row>
    <row r="73" spans="4:6" ht="15" x14ac:dyDescent="0.25">
      <c r="D73" s="1391">
        <v>70</v>
      </c>
      <c r="E73" s="10" t="s">
        <v>3642</v>
      </c>
      <c r="F73" s="10"/>
    </row>
    <row r="74" spans="4:6" ht="15" x14ac:dyDescent="0.25">
      <c r="D74" s="1391">
        <v>71</v>
      </c>
      <c r="E74" s="10" t="s">
        <v>898</v>
      </c>
      <c r="F74" s="10"/>
    </row>
    <row r="75" spans="4:6" ht="15" x14ac:dyDescent="0.25">
      <c r="D75" s="1391">
        <v>72</v>
      </c>
      <c r="E75" s="10"/>
      <c r="F75" s="10"/>
    </row>
    <row r="76" spans="4:6" ht="15" x14ac:dyDescent="0.25">
      <c r="D76" s="1391">
        <v>73</v>
      </c>
      <c r="E76" s="10"/>
      <c r="F76" s="10"/>
    </row>
    <row r="77" spans="4:6" ht="15" x14ac:dyDescent="0.25">
      <c r="D77" s="1391">
        <v>74</v>
      </c>
      <c r="E77" s="10"/>
      <c r="F77" s="10"/>
    </row>
    <row r="78" spans="4:6" ht="15" x14ac:dyDescent="0.25">
      <c r="D78" s="1391">
        <v>75</v>
      </c>
      <c r="E78" s="10"/>
      <c r="F78" s="10"/>
    </row>
    <row r="79" spans="4:6" ht="15" x14ac:dyDescent="0.25">
      <c r="D79" s="1391">
        <v>76</v>
      </c>
      <c r="E79" s="10"/>
      <c r="F79" s="10"/>
    </row>
    <row r="80" spans="4:6" ht="15" x14ac:dyDescent="0.25">
      <c r="D80" s="1391">
        <v>77</v>
      </c>
      <c r="E80" s="10"/>
      <c r="F80" s="10"/>
    </row>
    <row r="81" spans="4:6" ht="15" x14ac:dyDescent="0.25">
      <c r="D81" s="1391">
        <v>78</v>
      </c>
      <c r="E81" s="10"/>
      <c r="F81" s="10"/>
    </row>
    <row r="82" spans="4:6" ht="15" x14ac:dyDescent="0.25">
      <c r="D82" s="1391">
        <v>79</v>
      </c>
      <c r="E82" s="10"/>
      <c r="F82" s="10"/>
    </row>
    <row r="83" spans="4:6" ht="15" x14ac:dyDescent="0.25">
      <c r="D83">
        <v>80</v>
      </c>
      <c r="E83" s="10" t="s">
        <v>162</v>
      </c>
      <c r="F83" s="10"/>
    </row>
    <row r="84" spans="4:6" ht="15" x14ac:dyDescent="0.25">
      <c r="D84">
        <v>81</v>
      </c>
      <c r="E84" s="3" t="s">
        <v>1247</v>
      </c>
      <c r="F84" s="10" t="s">
        <v>3440</v>
      </c>
    </row>
    <row r="85" spans="4:6" ht="15" x14ac:dyDescent="0.25">
      <c r="D85">
        <v>82</v>
      </c>
      <c r="E85" s="10" t="s">
        <v>1271</v>
      </c>
      <c r="F85" s="10" t="s">
        <v>3440</v>
      </c>
    </row>
    <row r="86" spans="4:6" ht="15" x14ac:dyDescent="0.25">
      <c r="D86">
        <v>83</v>
      </c>
      <c r="E86" s="10" t="s">
        <v>1263</v>
      </c>
      <c r="F86" s="10" t="s">
        <v>3440</v>
      </c>
    </row>
    <row r="87" spans="4:6" ht="15" x14ac:dyDescent="0.25">
      <c r="D87">
        <v>84</v>
      </c>
      <c r="E87" s="10" t="s">
        <v>1261</v>
      </c>
      <c r="F87" s="10" t="s">
        <v>3440</v>
      </c>
    </row>
    <row r="88" spans="4:6" ht="15" x14ac:dyDescent="0.25">
      <c r="D88">
        <v>85</v>
      </c>
      <c r="E88" s="10" t="s">
        <v>1262</v>
      </c>
      <c r="F88" s="10" t="s">
        <v>3440</v>
      </c>
    </row>
    <row r="89" spans="4:6" ht="15" x14ac:dyDescent="0.25">
      <c r="D89">
        <v>86</v>
      </c>
      <c r="E89" s="10"/>
      <c r="F89" s="10"/>
    </row>
    <row r="90" spans="4:6" ht="15" x14ac:dyDescent="0.25">
      <c r="D90">
        <v>87</v>
      </c>
      <c r="E90" s="10"/>
      <c r="F90" s="10"/>
    </row>
    <row r="91" spans="4:6" ht="15" x14ac:dyDescent="0.25">
      <c r="D91">
        <v>88</v>
      </c>
      <c r="E91" s="10"/>
      <c r="F91" s="10"/>
    </row>
    <row r="92" spans="4:6" ht="15" x14ac:dyDescent="0.25">
      <c r="D92">
        <v>89</v>
      </c>
      <c r="E92" s="10" t="s">
        <v>1272</v>
      </c>
      <c r="F92" s="10" t="s">
        <v>3440</v>
      </c>
    </row>
    <row r="93" spans="4:6" ht="15" x14ac:dyDescent="0.25">
      <c r="D93" s="1391">
        <v>90</v>
      </c>
      <c r="E93" s="3" t="s">
        <v>342</v>
      </c>
      <c r="F93" s="10"/>
    </row>
    <row r="94" spans="4:6" ht="15" x14ac:dyDescent="0.25">
      <c r="D94" s="1391">
        <v>91</v>
      </c>
      <c r="E94" s="10"/>
      <c r="F94" s="10"/>
    </row>
    <row r="95" spans="4:6" ht="15" x14ac:dyDescent="0.25">
      <c r="D95" s="1391">
        <v>92</v>
      </c>
      <c r="E95" s="10"/>
      <c r="F95" s="10"/>
    </row>
    <row r="96" spans="4:6" ht="15" x14ac:dyDescent="0.25">
      <c r="D96" s="1391">
        <v>93</v>
      </c>
      <c r="E96" s="10"/>
      <c r="F96" s="10"/>
    </row>
    <row r="97" spans="1:9" ht="15" x14ac:dyDescent="0.25">
      <c r="D97" s="1391">
        <v>94</v>
      </c>
      <c r="E97" s="10"/>
      <c r="F97" s="10"/>
    </row>
    <row r="98" spans="1:9" ht="15" x14ac:dyDescent="0.25">
      <c r="D98" s="1391">
        <v>95</v>
      </c>
      <c r="E98" s="10"/>
      <c r="F98" s="10"/>
    </row>
    <row r="99" spans="1:9" ht="15" x14ac:dyDescent="0.25">
      <c r="D99" s="1391">
        <v>96</v>
      </c>
      <c r="E99" s="10"/>
      <c r="F99" s="10"/>
    </row>
    <row r="100" spans="1:9" ht="15" x14ac:dyDescent="0.25">
      <c r="D100" s="1391">
        <v>97</v>
      </c>
      <c r="E100" s="10"/>
      <c r="F100" s="10"/>
    </row>
    <row r="101" spans="1:9" ht="15" x14ac:dyDescent="0.25">
      <c r="D101" s="1391">
        <v>98</v>
      </c>
      <c r="E101" s="10"/>
      <c r="F101" s="10"/>
    </row>
    <row r="102" spans="1:9" ht="15" x14ac:dyDescent="0.25">
      <c r="D102">
        <v>99</v>
      </c>
      <c r="E102" s="10" t="s">
        <v>1256</v>
      </c>
      <c r="F102" s="10"/>
    </row>
    <row r="103" spans="1:9" ht="15" x14ac:dyDescent="0.25">
      <c r="D103" s="1391">
        <v>0</v>
      </c>
      <c r="E103" s="10" t="s">
        <v>1255</v>
      </c>
      <c r="F103" s="10"/>
    </row>
    <row r="104" spans="1:9" ht="12.6" customHeight="1" x14ac:dyDescent="0.25">
      <c r="D104" s="1391"/>
      <c r="E104" s="10"/>
      <c r="F104" s="10"/>
    </row>
    <row r="110" spans="1:9" ht="15.75" thickBot="1" x14ac:dyDescent="0.3"/>
    <row r="111" spans="1:9" ht="15.75" thickTop="1" x14ac:dyDescent="0.25">
      <c r="A111" s="849"/>
      <c r="B111" s="849" t="s">
        <v>11</v>
      </c>
      <c r="C111" s="849"/>
      <c r="D111" s="849"/>
      <c r="E111" s="849"/>
      <c r="F111" s="849"/>
      <c r="G111" s="849"/>
      <c r="H111" s="849"/>
      <c r="I111" s="849"/>
    </row>
    <row r="113" spans="3:9" ht="15" x14ac:dyDescent="0.25">
      <c r="F113" t="s">
        <v>899</v>
      </c>
      <c r="H113" t="s">
        <v>900</v>
      </c>
    </row>
    <row r="114" spans="3:9" ht="15" x14ac:dyDescent="0.25">
      <c r="C114" t="str">
        <f>+'Indirect Rates'!I30</f>
        <v>Planning</v>
      </c>
      <c r="D114" t="s">
        <v>901</v>
      </c>
      <c r="H114" s="23"/>
      <c r="I114" s="23"/>
    </row>
    <row r="115" spans="3:9" ht="15" x14ac:dyDescent="0.25">
      <c r="C115" s="23">
        <v>0</v>
      </c>
      <c r="D115" s="23">
        <v>100000</v>
      </c>
      <c r="F115">
        <v>-2</v>
      </c>
      <c r="H115" s="23">
        <v>59251</v>
      </c>
      <c r="I115" s="23">
        <f>ROUND(H115,F115)</f>
        <v>59300</v>
      </c>
    </row>
    <row r="116" spans="3:9" ht="15" x14ac:dyDescent="0.25">
      <c r="C116" s="23">
        <v>101000</v>
      </c>
      <c r="D116" s="23">
        <v>1000000</v>
      </c>
      <c r="F116">
        <v>-3</v>
      </c>
      <c r="H116" s="23">
        <v>592515</v>
      </c>
      <c r="I116" s="23">
        <f>ROUND(H116,F116)</f>
        <v>593000</v>
      </c>
    </row>
    <row r="117" spans="3:9" ht="15" x14ac:dyDescent="0.25">
      <c r="C117" s="23">
        <v>1000001</v>
      </c>
      <c r="D117" s="23">
        <v>10000000</v>
      </c>
      <c r="F117">
        <v>-4</v>
      </c>
      <c r="H117" s="23">
        <v>5925154</v>
      </c>
      <c r="I117" s="23">
        <f>ROUND(H117,F117)</f>
        <v>5930000</v>
      </c>
    </row>
    <row r="118" spans="3:9" ht="15" x14ac:dyDescent="0.25">
      <c r="C118" s="23">
        <v>10000001</v>
      </c>
      <c r="D118" s="23">
        <v>100000000</v>
      </c>
      <c r="F118">
        <v>-5</v>
      </c>
      <c r="H118" s="23">
        <v>59251543</v>
      </c>
      <c r="I118" s="23">
        <f>ROUND(H118,F118)</f>
        <v>59300000</v>
      </c>
    </row>
    <row r="119" spans="3:9" ht="15" x14ac:dyDescent="0.25">
      <c r="C119" s="23">
        <v>100000001</v>
      </c>
      <c r="D119" s="23">
        <v>10000000000</v>
      </c>
      <c r="F119">
        <v>-6</v>
      </c>
      <c r="H119" s="23">
        <v>592515431</v>
      </c>
      <c r="I119" s="23">
        <f>ROUND(H119,F119)</f>
        <v>593000000</v>
      </c>
    </row>
    <row r="120" spans="3:9" ht="15" x14ac:dyDescent="0.25">
      <c r="C120" s="23"/>
      <c r="D120" s="23"/>
    </row>
    <row r="121" spans="3:9" ht="15" x14ac:dyDescent="0.25">
      <c r="C121" s="23" t="str">
        <f>+'Indirect Rates'!I26</f>
        <v>Conceptual</v>
      </c>
      <c r="D121" s="23"/>
    </row>
    <row r="122" spans="3:9" ht="15" x14ac:dyDescent="0.25">
      <c r="C122" s="23">
        <v>0</v>
      </c>
      <c r="D122" s="23">
        <v>100000</v>
      </c>
      <c r="F122">
        <v>-2</v>
      </c>
      <c r="H122" s="23">
        <v>59251</v>
      </c>
      <c r="I122" s="23">
        <f>ROUND(H122,F122)</f>
        <v>59300</v>
      </c>
    </row>
    <row r="123" spans="3:9" ht="15" x14ac:dyDescent="0.25">
      <c r="C123" s="23">
        <v>101000</v>
      </c>
      <c r="D123" s="23">
        <v>1000000</v>
      </c>
      <c r="F123">
        <v>-3</v>
      </c>
      <c r="H123" s="23">
        <v>592515</v>
      </c>
      <c r="I123" s="23">
        <f>ROUND(H123,F123)</f>
        <v>593000</v>
      </c>
    </row>
    <row r="124" spans="3:9" ht="15" x14ac:dyDescent="0.25">
      <c r="C124" s="23">
        <v>1000001</v>
      </c>
      <c r="D124" s="23">
        <v>10000000</v>
      </c>
      <c r="F124">
        <v>-4</v>
      </c>
      <c r="H124" s="23">
        <v>5925154</v>
      </c>
      <c r="I124" s="23">
        <f>ROUND(H124,F124)</f>
        <v>5930000</v>
      </c>
    </row>
    <row r="125" spans="3:9" ht="15" x14ac:dyDescent="0.25">
      <c r="C125" s="23">
        <v>10000001</v>
      </c>
      <c r="D125" s="23">
        <v>100000000</v>
      </c>
      <c r="F125">
        <v>-5</v>
      </c>
      <c r="H125" s="23">
        <v>59251543</v>
      </c>
      <c r="I125" s="23">
        <f>ROUND(H125,F125)</f>
        <v>59300000</v>
      </c>
    </row>
    <row r="126" spans="3:9" ht="15" x14ac:dyDescent="0.25">
      <c r="C126" s="23">
        <v>100000001</v>
      </c>
      <c r="D126" s="23">
        <v>10000000000</v>
      </c>
      <c r="F126">
        <v>-6</v>
      </c>
      <c r="H126" s="23">
        <v>592515431</v>
      </c>
      <c r="I126" s="23">
        <f>ROUND(H126,F126)</f>
        <v>593000000</v>
      </c>
    </row>
    <row r="128" spans="3:9" ht="15" x14ac:dyDescent="0.25">
      <c r="C128" t="str">
        <f>+'Indirect Rates'!I29</f>
        <v>Order of Magnitude</v>
      </c>
    </row>
    <row r="129" spans="3:9" ht="15" x14ac:dyDescent="0.25">
      <c r="C129" s="23">
        <v>0</v>
      </c>
      <c r="D129" s="23">
        <v>100000</v>
      </c>
      <c r="F129">
        <v>-3</v>
      </c>
      <c r="H129" s="23">
        <v>59251</v>
      </c>
      <c r="I129" s="23">
        <f>ROUND(H129,F129)</f>
        <v>59000</v>
      </c>
    </row>
    <row r="130" spans="3:9" ht="15" x14ac:dyDescent="0.25">
      <c r="C130" s="23">
        <v>101000</v>
      </c>
      <c r="D130" s="23">
        <v>1000000</v>
      </c>
      <c r="F130">
        <v>-4</v>
      </c>
      <c r="H130" s="23">
        <v>592515</v>
      </c>
      <c r="I130" s="23">
        <f>ROUND(H130,F130)</f>
        <v>590000</v>
      </c>
    </row>
    <row r="131" spans="3:9" ht="15" x14ac:dyDescent="0.25">
      <c r="C131" s="23">
        <v>1000001</v>
      </c>
      <c r="D131" s="23">
        <v>10000000</v>
      </c>
      <c r="F131">
        <v>-5</v>
      </c>
      <c r="H131" s="23">
        <v>5925154</v>
      </c>
      <c r="I131" s="23">
        <f>ROUND(H131,F131)</f>
        <v>5900000</v>
      </c>
    </row>
    <row r="132" spans="3:9" ht="15" x14ac:dyDescent="0.25">
      <c r="C132" s="23">
        <v>10000001</v>
      </c>
      <c r="D132" s="23">
        <v>100000000</v>
      </c>
      <c r="F132">
        <v>-6</v>
      </c>
      <c r="H132" s="23">
        <v>59251543</v>
      </c>
      <c r="I132" s="23">
        <f>ROUND(H132,F132)</f>
        <v>59000000</v>
      </c>
    </row>
    <row r="133" spans="3:9" ht="15" x14ac:dyDescent="0.25">
      <c r="C133" s="23">
        <v>100000001</v>
      </c>
      <c r="D133" s="23">
        <v>10000000000</v>
      </c>
      <c r="F133">
        <v>-7</v>
      </c>
      <c r="H133" s="23">
        <v>592515431</v>
      </c>
      <c r="I133" s="23">
        <f>ROUND(H133,F133)</f>
        <v>590000000</v>
      </c>
    </row>
    <row r="135" spans="3:9" ht="15" x14ac:dyDescent="0.25">
      <c r="C135" t="str">
        <f>+'Indirect Rates'!I27</f>
        <v>Construction</v>
      </c>
    </row>
    <row r="136" spans="3:9" ht="15" x14ac:dyDescent="0.25">
      <c r="C136" s="23">
        <v>0</v>
      </c>
      <c r="D136" s="23">
        <v>100000</v>
      </c>
      <c r="F136">
        <v>-2</v>
      </c>
      <c r="H136" s="23">
        <v>59251</v>
      </c>
      <c r="I136" s="23">
        <f>ROUND(H136,F136)</f>
        <v>59300</v>
      </c>
    </row>
    <row r="137" spans="3:9" ht="15" x14ac:dyDescent="0.25">
      <c r="C137" s="23">
        <v>101000</v>
      </c>
      <c r="D137" s="23">
        <v>1000000</v>
      </c>
      <c r="F137">
        <v>-3</v>
      </c>
      <c r="H137" s="23">
        <v>592515</v>
      </c>
      <c r="I137" s="23">
        <f>ROUND(H137,F137)</f>
        <v>593000</v>
      </c>
    </row>
    <row r="138" spans="3:9" ht="15" x14ac:dyDescent="0.25">
      <c r="C138" s="23">
        <v>1000001</v>
      </c>
      <c r="D138" s="23">
        <v>10000000</v>
      </c>
      <c r="F138">
        <v>-4</v>
      </c>
      <c r="H138" s="23">
        <v>5925154</v>
      </c>
      <c r="I138" s="23">
        <f>ROUND(H138,F138)</f>
        <v>5930000</v>
      </c>
    </row>
    <row r="139" spans="3:9" ht="15" x14ac:dyDescent="0.25">
      <c r="C139" s="23">
        <v>10000001</v>
      </c>
      <c r="D139" s="23">
        <v>100000000</v>
      </c>
      <c r="F139">
        <v>-5</v>
      </c>
      <c r="H139" s="23">
        <v>59251543</v>
      </c>
      <c r="I139" s="23">
        <f>ROUND(H139,F139)</f>
        <v>59300000</v>
      </c>
    </row>
    <row r="140" spans="3:9" ht="15" x14ac:dyDescent="0.25">
      <c r="C140" s="23">
        <v>100000001</v>
      </c>
      <c r="D140" s="23">
        <v>10000000000</v>
      </c>
      <c r="F140">
        <v>-6</v>
      </c>
      <c r="H140" s="23">
        <v>592515431</v>
      </c>
      <c r="I140" s="23">
        <f>ROUND(H140,F140)</f>
        <v>593000000</v>
      </c>
    </row>
    <row r="142" spans="3:9" ht="15" x14ac:dyDescent="0.25">
      <c r="C142" t="str">
        <f>+'Indirect Rates'!I28</f>
        <v>Engineering</v>
      </c>
    </row>
    <row r="143" spans="3:9" ht="15" x14ac:dyDescent="0.25">
      <c r="C143" s="23">
        <v>0</v>
      </c>
      <c r="D143" s="23">
        <v>100000</v>
      </c>
      <c r="F143">
        <v>-2</v>
      </c>
      <c r="H143" s="23">
        <v>59251</v>
      </c>
      <c r="I143" s="23">
        <f>ROUND(H143,F143)</f>
        <v>59300</v>
      </c>
    </row>
    <row r="144" spans="3:9" ht="15" x14ac:dyDescent="0.25">
      <c r="C144" s="23">
        <v>101000</v>
      </c>
      <c r="D144" s="23">
        <v>1000000</v>
      </c>
      <c r="F144">
        <v>-3</v>
      </c>
      <c r="H144" s="23">
        <v>592515</v>
      </c>
      <c r="I144" s="23">
        <f>ROUND(H144,F144)</f>
        <v>593000</v>
      </c>
    </row>
    <row r="145" spans="1:9" ht="15" x14ac:dyDescent="0.25">
      <c r="C145" s="23">
        <v>1000001</v>
      </c>
      <c r="D145" s="23">
        <v>10000000</v>
      </c>
      <c r="F145">
        <v>-4</v>
      </c>
      <c r="H145" s="23">
        <v>5925154</v>
      </c>
      <c r="I145" s="23">
        <f>ROUND(H145,F145)</f>
        <v>5930000</v>
      </c>
    </row>
    <row r="146" spans="1:9" ht="15" x14ac:dyDescent="0.25">
      <c r="C146" s="23">
        <v>10000001</v>
      </c>
      <c r="D146" s="23">
        <v>100000000</v>
      </c>
      <c r="F146">
        <v>-5</v>
      </c>
      <c r="H146" s="23">
        <v>59251543</v>
      </c>
      <c r="I146" s="23">
        <f>ROUND(H146,F146)</f>
        <v>59300000</v>
      </c>
    </row>
    <row r="147" spans="1:9" ht="15" x14ac:dyDescent="0.25">
      <c r="C147" s="23">
        <v>100000001</v>
      </c>
      <c r="D147" s="23">
        <v>10000000000</v>
      </c>
      <c r="F147">
        <v>-6</v>
      </c>
      <c r="H147" s="23">
        <v>592515431</v>
      </c>
      <c r="I147" s="23">
        <f>ROUND(H147,F147)</f>
        <v>593000000</v>
      </c>
    </row>
    <row r="149" spans="1:9" ht="15" x14ac:dyDescent="0.25">
      <c r="C149" s="853" t="s">
        <v>34</v>
      </c>
    </row>
    <row r="150" spans="1:9" ht="15" x14ac:dyDescent="0.25">
      <c r="C150" s="23">
        <v>0</v>
      </c>
      <c r="D150" s="23">
        <v>100000</v>
      </c>
      <c r="F150">
        <v>-2</v>
      </c>
      <c r="H150" s="23">
        <v>59251</v>
      </c>
      <c r="I150" s="23">
        <f>ROUND(H150,F150)</f>
        <v>59300</v>
      </c>
    </row>
    <row r="151" spans="1:9" ht="15" x14ac:dyDescent="0.25">
      <c r="C151" s="23">
        <v>101000</v>
      </c>
      <c r="D151" s="23">
        <v>1000000</v>
      </c>
      <c r="F151">
        <v>-3</v>
      </c>
      <c r="H151" s="23">
        <v>592515</v>
      </c>
      <c r="I151" s="23">
        <f>ROUND(H151,F151)</f>
        <v>593000</v>
      </c>
    </row>
    <row r="152" spans="1:9" ht="15" x14ac:dyDescent="0.25">
      <c r="C152" s="23">
        <v>1000001</v>
      </c>
      <c r="D152" s="23">
        <v>10000000</v>
      </c>
      <c r="F152">
        <v>-4</v>
      </c>
      <c r="H152" s="23">
        <v>5925154</v>
      </c>
      <c r="I152" s="23">
        <f>ROUND(H152,F152)</f>
        <v>5930000</v>
      </c>
    </row>
    <row r="153" spans="1:9" ht="15" x14ac:dyDescent="0.25">
      <c r="C153" s="23">
        <v>10000001</v>
      </c>
      <c r="D153" s="23">
        <v>100000000</v>
      </c>
      <c r="F153">
        <v>-5</v>
      </c>
      <c r="H153" s="23">
        <v>59251543</v>
      </c>
      <c r="I153" s="23">
        <f>ROUND(H153,F153)</f>
        <v>59300000</v>
      </c>
    </row>
    <row r="154" spans="1:9" ht="15" x14ac:dyDescent="0.25">
      <c r="C154" s="23">
        <v>100000001</v>
      </c>
      <c r="D154" s="23">
        <v>10000000000</v>
      </c>
      <c r="F154">
        <v>-6</v>
      </c>
      <c r="H154" s="23">
        <v>592515431</v>
      </c>
      <c r="I154" s="23">
        <f>ROUND(H154,F154)</f>
        <v>593000000</v>
      </c>
    </row>
    <row r="156" spans="1:9" ht="15.75" thickBot="1" x14ac:dyDescent="0.3"/>
    <row r="157" spans="1:9" ht="15.75" thickTop="1" x14ac:dyDescent="0.25">
      <c r="A157" s="849"/>
      <c r="B157" s="854" t="s">
        <v>90</v>
      </c>
      <c r="C157" s="849"/>
      <c r="D157" s="849"/>
      <c r="E157" s="849"/>
      <c r="F157" s="849"/>
      <c r="G157" s="849"/>
      <c r="H157" s="849"/>
      <c r="I157" s="849"/>
    </row>
    <row r="158" spans="1:9" ht="12.6" customHeight="1" x14ac:dyDescent="0.25">
      <c r="D158" t="s">
        <v>1463</v>
      </c>
      <c r="H158" t="s">
        <v>1462</v>
      </c>
    </row>
    <row r="159" spans="1:9" ht="15" x14ac:dyDescent="0.25">
      <c r="D159" s="855">
        <v>1</v>
      </c>
      <c r="E159" s="856" t="s">
        <v>902</v>
      </c>
      <c r="H159">
        <v>1</v>
      </c>
      <c r="I159" t="s">
        <v>902</v>
      </c>
    </row>
    <row r="160" spans="1:9" ht="15" x14ac:dyDescent="0.25">
      <c r="D160" s="855">
        <v>2</v>
      </c>
      <c r="E160" s="857" t="s">
        <v>903</v>
      </c>
      <c r="H160">
        <v>2</v>
      </c>
      <c r="I160" t="s">
        <v>903</v>
      </c>
    </row>
    <row r="161" spans="4:9" ht="15" x14ac:dyDescent="0.25">
      <c r="D161" s="855">
        <v>3</v>
      </c>
      <c r="E161" s="857" t="s">
        <v>1464</v>
      </c>
      <c r="H161">
        <v>3</v>
      </c>
      <c r="I161" t="s">
        <v>904</v>
      </c>
    </row>
    <row r="162" spans="4:9" ht="15" x14ac:dyDescent="0.25">
      <c r="D162" s="855">
        <v>4</v>
      </c>
      <c r="E162" s="857" t="s">
        <v>904</v>
      </c>
      <c r="H162">
        <v>4</v>
      </c>
      <c r="I162" t="s">
        <v>94</v>
      </c>
    </row>
    <row r="163" spans="4:9" ht="15" x14ac:dyDescent="0.25">
      <c r="D163" s="855">
        <v>5</v>
      </c>
      <c r="E163" s="857" t="s">
        <v>94</v>
      </c>
      <c r="H163">
        <v>5</v>
      </c>
      <c r="I163" t="s">
        <v>1296</v>
      </c>
    </row>
    <row r="164" spans="4:9" ht="15" x14ac:dyDescent="0.25">
      <c r="D164" s="855">
        <v>6</v>
      </c>
      <c r="E164" s="856" t="s">
        <v>1296</v>
      </c>
      <c r="H164">
        <v>6</v>
      </c>
      <c r="I164" t="s">
        <v>905</v>
      </c>
    </row>
    <row r="165" spans="4:9" ht="15" x14ac:dyDescent="0.25">
      <c r="D165" s="855">
        <v>7</v>
      </c>
      <c r="E165" s="856" t="s">
        <v>3385</v>
      </c>
      <c r="H165">
        <v>7</v>
      </c>
      <c r="I165" t="s">
        <v>906</v>
      </c>
    </row>
    <row r="166" spans="4:9" ht="15" x14ac:dyDescent="0.25">
      <c r="D166" s="855">
        <v>8</v>
      </c>
      <c r="E166" s="857" t="s">
        <v>906</v>
      </c>
      <c r="H166">
        <v>8</v>
      </c>
      <c r="I166" t="s">
        <v>907</v>
      </c>
    </row>
    <row r="167" spans="4:9" ht="15" x14ac:dyDescent="0.25">
      <c r="D167" s="855">
        <v>9</v>
      </c>
      <c r="E167" s="856" t="s">
        <v>1465</v>
      </c>
      <c r="H167">
        <v>9</v>
      </c>
      <c r="I167" t="s">
        <v>1232</v>
      </c>
    </row>
    <row r="168" spans="4:9" ht="15" x14ac:dyDescent="0.25">
      <c r="D168" s="855">
        <v>10</v>
      </c>
      <c r="E168" s="856" t="s">
        <v>393</v>
      </c>
      <c r="H168">
        <v>10</v>
      </c>
      <c r="I168" t="s">
        <v>310</v>
      </c>
    </row>
    <row r="169" spans="4:9" ht="15" x14ac:dyDescent="0.25">
      <c r="D169" s="855">
        <v>11</v>
      </c>
      <c r="E169" s="857" t="s">
        <v>3482</v>
      </c>
      <c r="H169">
        <v>11</v>
      </c>
      <c r="I169" t="s">
        <v>1231</v>
      </c>
    </row>
    <row r="170" spans="4:9" ht="15" x14ac:dyDescent="0.25">
      <c r="D170" s="855">
        <v>12</v>
      </c>
      <c r="E170" s="856" t="s">
        <v>107</v>
      </c>
      <c r="H170">
        <v>12</v>
      </c>
      <c r="I170" t="s">
        <v>45</v>
      </c>
    </row>
    <row r="171" spans="4:9" ht="15" x14ac:dyDescent="0.25">
      <c r="D171" s="855">
        <v>13</v>
      </c>
      <c r="E171" s="857" t="s">
        <v>1231</v>
      </c>
      <c r="H171">
        <v>13</v>
      </c>
      <c r="I171" t="s">
        <v>1364</v>
      </c>
    </row>
    <row r="172" spans="4:9" ht="15" x14ac:dyDescent="0.25">
      <c r="D172" s="855">
        <v>14</v>
      </c>
      <c r="E172" s="856" t="s">
        <v>45</v>
      </c>
      <c r="H172">
        <v>14</v>
      </c>
      <c r="I172" t="s">
        <v>393</v>
      </c>
    </row>
    <row r="173" spans="4:9" ht="15" x14ac:dyDescent="0.25">
      <c r="D173" s="855">
        <v>15</v>
      </c>
      <c r="E173" s="857" t="s">
        <v>310</v>
      </c>
      <c r="H173">
        <v>15</v>
      </c>
      <c r="I173" t="s">
        <v>512</v>
      </c>
    </row>
    <row r="174" spans="4:9" ht="15" x14ac:dyDescent="0.25">
      <c r="D174" s="855">
        <v>16</v>
      </c>
      <c r="E174" s="856" t="s">
        <v>1364</v>
      </c>
    </row>
    <row r="175" spans="4:9" ht="15" x14ac:dyDescent="0.25">
      <c r="D175" s="855">
        <v>17</v>
      </c>
      <c r="E175" s="858" t="s">
        <v>512</v>
      </c>
    </row>
    <row r="176" spans="4:9" ht="15" x14ac:dyDescent="0.25">
      <c r="D176" s="855">
        <v>18</v>
      </c>
      <c r="E176" s="858" t="s">
        <v>512</v>
      </c>
    </row>
    <row r="177" spans="4:5" ht="15" x14ac:dyDescent="0.25">
      <c r="D177" s="855">
        <v>19</v>
      </c>
      <c r="E177" s="858" t="s">
        <v>512</v>
      </c>
    </row>
    <row r="178" spans="4:5" ht="15" x14ac:dyDescent="0.25">
      <c r="D178" s="855">
        <v>20</v>
      </c>
      <c r="E178" s="858" t="s">
        <v>512</v>
      </c>
    </row>
    <row r="179" spans="4:5" ht="15" x14ac:dyDescent="0.25">
      <c r="D179" s="855">
        <v>21</v>
      </c>
      <c r="E179" s="858" t="s">
        <v>512</v>
      </c>
    </row>
    <row r="180" spans="4:5" ht="15" x14ac:dyDescent="0.25">
      <c r="D180" s="855">
        <v>22</v>
      </c>
      <c r="E180" s="858" t="s">
        <v>512</v>
      </c>
    </row>
    <row r="181" spans="4:5" ht="15" x14ac:dyDescent="0.25">
      <c r="D181" s="855">
        <v>23</v>
      </c>
      <c r="E181" s="858" t="s">
        <v>512</v>
      </c>
    </row>
    <row r="182" spans="4:5" ht="15" x14ac:dyDescent="0.25">
      <c r="D182" s="855">
        <v>24</v>
      </c>
      <c r="E182" s="858" t="s">
        <v>512</v>
      </c>
    </row>
    <row r="183" spans="4:5" ht="15" x14ac:dyDescent="0.25">
      <c r="D183" s="855">
        <v>25</v>
      </c>
      <c r="E183" s="858" t="s">
        <v>1488</v>
      </c>
    </row>
    <row r="184" spans="4:5" ht="15" x14ac:dyDescent="0.25">
      <c r="D184" s="855">
        <v>26</v>
      </c>
      <c r="E184" s="858" t="s">
        <v>512</v>
      </c>
    </row>
    <row r="185" spans="4:5" ht="15" x14ac:dyDescent="0.25">
      <c r="D185" s="855">
        <v>27</v>
      </c>
      <c r="E185" s="858" t="s">
        <v>512</v>
      </c>
    </row>
    <row r="186" spans="4:5" ht="15" x14ac:dyDescent="0.25">
      <c r="D186" s="855">
        <v>28</v>
      </c>
      <c r="E186" s="858" t="s">
        <v>512</v>
      </c>
    </row>
    <row r="187" spans="4:5" ht="15" x14ac:dyDescent="0.25">
      <c r="D187" s="855">
        <v>29</v>
      </c>
      <c r="E187" s="858" t="s">
        <v>512</v>
      </c>
    </row>
    <row r="188" spans="4:5" ht="15" x14ac:dyDescent="0.25">
      <c r="D188" s="855">
        <v>30</v>
      </c>
      <c r="E188" s="858" t="s">
        <v>512</v>
      </c>
    </row>
    <row r="189" spans="4:5" ht="15" x14ac:dyDescent="0.25">
      <c r="D189" s="855">
        <v>31</v>
      </c>
      <c r="E189" s="858" t="s">
        <v>512</v>
      </c>
    </row>
    <row r="190" spans="4:5" ht="15" x14ac:dyDescent="0.25">
      <c r="D190" s="855">
        <v>32</v>
      </c>
      <c r="E190" s="858" t="s">
        <v>512</v>
      </c>
    </row>
    <row r="191" spans="4:5" ht="15" x14ac:dyDescent="0.25">
      <c r="D191" s="855">
        <v>33</v>
      </c>
      <c r="E191" s="858" t="s">
        <v>512</v>
      </c>
    </row>
    <row r="192" spans="4:5" ht="15" x14ac:dyDescent="0.25">
      <c r="D192" s="855">
        <v>34</v>
      </c>
      <c r="E192" s="858" t="s">
        <v>512</v>
      </c>
    </row>
    <row r="193" spans="4:5" ht="15" x14ac:dyDescent="0.25">
      <c r="D193" s="855">
        <v>35</v>
      </c>
      <c r="E193" s="858" t="s">
        <v>512</v>
      </c>
    </row>
    <row r="194" spans="4:5" ht="15" x14ac:dyDescent="0.25">
      <c r="D194" s="855">
        <v>36</v>
      </c>
      <c r="E194" s="858" t="s">
        <v>512</v>
      </c>
    </row>
    <row r="195" spans="4:5" ht="15" x14ac:dyDescent="0.25">
      <c r="D195" s="855">
        <v>37</v>
      </c>
      <c r="E195" s="858" t="s">
        <v>512</v>
      </c>
    </row>
    <row r="196" spans="4:5" ht="15" x14ac:dyDescent="0.25">
      <c r="D196" s="855">
        <v>38</v>
      </c>
      <c r="E196" s="858" t="s">
        <v>512</v>
      </c>
    </row>
    <row r="197" spans="4:5" ht="15" x14ac:dyDescent="0.25">
      <c r="D197" s="855">
        <v>39</v>
      </c>
      <c r="E197" s="858" t="s">
        <v>512</v>
      </c>
    </row>
    <row r="198" spans="4:5" ht="15" x14ac:dyDescent="0.25">
      <c r="D198" s="855">
        <v>40</v>
      </c>
      <c r="E198" s="858" t="s">
        <v>512</v>
      </c>
    </row>
    <row r="199" spans="4:5" ht="15" x14ac:dyDescent="0.25">
      <c r="D199" s="855">
        <v>41</v>
      </c>
      <c r="E199" s="858" t="s">
        <v>512</v>
      </c>
    </row>
    <row r="200" spans="4:5" ht="15" x14ac:dyDescent="0.25">
      <c r="D200" s="855">
        <v>42</v>
      </c>
      <c r="E200" s="858" t="s">
        <v>512</v>
      </c>
    </row>
    <row r="201" spans="4:5" ht="15" x14ac:dyDescent="0.25">
      <c r="D201" s="855">
        <v>43</v>
      </c>
      <c r="E201" s="858" t="s">
        <v>512</v>
      </c>
    </row>
    <row r="202" spans="4:5" ht="15" x14ac:dyDescent="0.25">
      <c r="D202" s="855">
        <v>44</v>
      </c>
      <c r="E202" s="858" t="s">
        <v>512</v>
      </c>
    </row>
    <row r="203" spans="4:5" ht="15" x14ac:dyDescent="0.25">
      <c r="D203" s="855">
        <v>45</v>
      </c>
      <c r="E203" s="858" t="s">
        <v>512</v>
      </c>
    </row>
    <row r="204" spans="4:5" ht="15" x14ac:dyDescent="0.25">
      <c r="D204" s="855">
        <v>46</v>
      </c>
      <c r="E204" s="858" t="s">
        <v>512</v>
      </c>
    </row>
    <row r="205" spans="4:5" ht="15" x14ac:dyDescent="0.25">
      <c r="D205" s="855">
        <v>47</v>
      </c>
      <c r="E205" s="858" t="s">
        <v>512</v>
      </c>
    </row>
    <row r="206" spans="4:5" ht="15" x14ac:dyDescent="0.25">
      <c r="D206" s="855">
        <v>48</v>
      </c>
      <c r="E206" s="858" t="s">
        <v>512</v>
      </c>
    </row>
    <row r="207" spans="4:5" ht="15" x14ac:dyDescent="0.25">
      <c r="D207" s="855">
        <v>49</v>
      </c>
      <c r="E207" s="858" t="s">
        <v>512</v>
      </c>
    </row>
    <row r="208" spans="4:5" ht="15" x14ac:dyDescent="0.25">
      <c r="D208" s="855">
        <v>50</v>
      </c>
      <c r="E208" s="858" t="s">
        <v>512</v>
      </c>
    </row>
    <row r="209" spans="4:5" ht="15" x14ac:dyDescent="0.25">
      <c r="D209" s="855">
        <v>51</v>
      </c>
      <c r="E209" s="858" t="s">
        <v>512</v>
      </c>
    </row>
    <row r="210" spans="4:5" ht="15" x14ac:dyDescent="0.25">
      <c r="D210" s="855">
        <v>52</v>
      </c>
      <c r="E210" s="858" t="s">
        <v>512</v>
      </c>
    </row>
    <row r="211" spans="4:5" ht="15" x14ac:dyDescent="0.25">
      <c r="D211" s="855">
        <v>53</v>
      </c>
      <c r="E211" s="858" t="s">
        <v>512</v>
      </c>
    </row>
    <row r="212" spans="4:5" ht="15" x14ac:dyDescent="0.25">
      <c r="D212" s="855">
        <v>54</v>
      </c>
      <c r="E212" s="858" t="s">
        <v>512</v>
      </c>
    </row>
    <row r="213" spans="4:5" ht="15" x14ac:dyDescent="0.25">
      <c r="D213" s="855">
        <v>55</v>
      </c>
      <c r="E213" s="858" t="s">
        <v>512</v>
      </c>
    </row>
    <row r="214" spans="4:5" ht="15" x14ac:dyDescent="0.25">
      <c r="D214" s="855">
        <v>56</v>
      </c>
      <c r="E214" s="858" t="s">
        <v>512</v>
      </c>
    </row>
    <row r="215" spans="4:5" ht="15" x14ac:dyDescent="0.25">
      <c r="D215" s="855">
        <v>57</v>
      </c>
      <c r="E215" s="858" t="s">
        <v>512</v>
      </c>
    </row>
    <row r="216" spans="4:5" ht="15" x14ac:dyDescent="0.25">
      <c r="D216" s="855">
        <v>58</v>
      </c>
      <c r="E216" s="858" t="s">
        <v>512</v>
      </c>
    </row>
    <row r="217" spans="4:5" ht="15" x14ac:dyDescent="0.25">
      <c r="D217" s="855">
        <v>59</v>
      </c>
      <c r="E217" s="858" t="s">
        <v>512</v>
      </c>
    </row>
    <row r="218" spans="4:5" ht="15" x14ac:dyDescent="0.25">
      <c r="D218" s="855">
        <v>60</v>
      </c>
      <c r="E218" s="858" t="s">
        <v>512</v>
      </c>
    </row>
    <row r="219" spans="4:5" ht="15" x14ac:dyDescent="0.25">
      <c r="D219" s="855">
        <v>61</v>
      </c>
      <c r="E219" s="858" t="s">
        <v>512</v>
      </c>
    </row>
    <row r="220" spans="4:5" ht="15" x14ac:dyDescent="0.25">
      <c r="D220" s="855">
        <v>62</v>
      </c>
      <c r="E220" s="858" t="s">
        <v>512</v>
      </c>
    </row>
    <row r="221" spans="4:5" ht="15" x14ac:dyDescent="0.25">
      <c r="D221" s="855">
        <v>63</v>
      </c>
      <c r="E221" s="858" t="s">
        <v>512</v>
      </c>
    </row>
    <row r="222" spans="4:5" ht="15" x14ac:dyDescent="0.25">
      <c r="D222" s="855">
        <v>64</v>
      </c>
      <c r="E222" s="858" t="s">
        <v>512</v>
      </c>
    </row>
    <row r="223" spans="4:5" ht="15" x14ac:dyDescent="0.25">
      <c r="D223" s="855">
        <v>65</v>
      </c>
      <c r="E223" s="858" t="s">
        <v>512</v>
      </c>
    </row>
    <row r="224" spans="4:5" ht="15" x14ac:dyDescent="0.25">
      <c r="D224" s="855">
        <v>66</v>
      </c>
      <c r="E224" s="858" t="s">
        <v>512</v>
      </c>
    </row>
    <row r="225" spans="4:5" ht="15" x14ac:dyDescent="0.25">
      <c r="D225" s="855">
        <v>67</v>
      </c>
      <c r="E225" s="858" t="s">
        <v>512</v>
      </c>
    </row>
    <row r="226" spans="4:5" ht="15" x14ac:dyDescent="0.25">
      <c r="D226" s="855">
        <v>68</v>
      </c>
      <c r="E226" s="858" t="s">
        <v>512</v>
      </c>
    </row>
    <row r="227" spans="4:5" ht="15" x14ac:dyDescent="0.25">
      <c r="D227" s="855">
        <v>69</v>
      </c>
      <c r="E227" s="858" t="s">
        <v>512</v>
      </c>
    </row>
    <row r="228" spans="4:5" ht="15" x14ac:dyDescent="0.25">
      <c r="D228" s="855">
        <v>70</v>
      </c>
      <c r="E228" s="858" t="s">
        <v>512</v>
      </c>
    </row>
    <row r="229" spans="4:5" ht="15" x14ac:dyDescent="0.25">
      <c r="D229" s="855">
        <v>71</v>
      </c>
      <c r="E229" s="858" t="s">
        <v>512</v>
      </c>
    </row>
    <row r="230" spans="4:5" ht="15" x14ac:dyDescent="0.25">
      <c r="D230" s="855">
        <v>72</v>
      </c>
      <c r="E230" s="858" t="s">
        <v>512</v>
      </c>
    </row>
    <row r="231" spans="4:5" ht="15" x14ac:dyDescent="0.25">
      <c r="D231" s="855">
        <v>73</v>
      </c>
      <c r="E231" s="858" t="s">
        <v>512</v>
      </c>
    </row>
    <row r="232" spans="4:5" ht="15" x14ac:dyDescent="0.25">
      <c r="D232" s="855">
        <v>74</v>
      </c>
      <c r="E232" s="858" t="s">
        <v>512</v>
      </c>
    </row>
    <row r="233" spans="4:5" ht="15" x14ac:dyDescent="0.25">
      <c r="D233" s="855">
        <v>75</v>
      </c>
      <c r="E233" s="858" t="s">
        <v>512</v>
      </c>
    </row>
    <row r="234" spans="4:5" ht="15" x14ac:dyDescent="0.25">
      <c r="D234" s="855">
        <v>76</v>
      </c>
      <c r="E234" s="858" t="s">
        <v>512</v>
      </c>
    </row>
    <row r="235" spans="4:5" ht="15" x14ac:dyDescent="0.25">
      <c r="D235" s="855">
        <v>77</v>
      </c>
      <c r="E235" s="858" t="s">
        <v>512</v>
      </c>
    </row>
    <row r="236" spans="4:5" ht="15" x14ac:dyDescent="0.25">
      <c r="D236" s="855">
        <v>78</v>
      </c>
      <c r="E236" s="858" t="s">
        <v>512</v>
      </c>
    </row>
    <row r="237" spans="4:5" ht="15" x14ac:dyDescent="0.25">
      <c r="D237" s="855">
        <v>79</v>
      </c>
      <c r="E237" s="858" t="s">
        <v>512</v>
      </c>
    </row>
    <row r="238" spans="4:5" ht="15" x14ac:dyDescent="0.25">
      <c r="D238" s="855">
        <v>80</v>
      </c>
      <c r="E238" s="858" t="s">
        <v>512</v>
      </c>
    </row>
    <row r="239" spans="4:5" ht="15" x14ac:dyDescent="0.25">
      <c r="D239" s="855">
        <v>81</v>
      </c>
      <c r="E239" s="858" t="s">
        <v>512</v>
      </c>
    </row>
    <row r="240" spans="4:5" ht="15" x14ac:dyDescent="0.25">
      <c r="D240" s="855">
        <v>82</v>
      </c>
      <c r="E240" s="858" t="s">
        <v>512</v>
      </c>
    </row>
    <row r="241" spans="4:5" ht="15" x14ac:dyDescent="0.25">
      <c r="D241" s="855">
        <v>83</v>
      </c>
      <c r="E241" s="858" t="s">
        <v>512</v>
      </c>
    </row>
    <row r="242" spans="4:5" ht="15" x14ac:dyDescent="0.25">
      <c r="D242" s="855">
        <v>84</v>
      </c>
      <c r="E242" s="858" t="s">
        <v>512</v>
      </c>
    </row>
    <row r="243" spans="4:5" ht="15" x14ac:dyDescent="0.25">
      <c r="D243" s="855">
        <v>85</v>
      </c>
      <c r="E243" s="858" t="s">
        <v>512</v>
      </c>
    </row>
    <row r="244" spans="4:5" ht="15" x14ac:dyDescent="0.25">
      <c r="D244" s="855">
        <v>86</v>
      </c>
      <c r="E244" s="858" t="s">
        <v>512</v>
      </c>
    </row>
    <row r="245" spans="4:5" ht="15" x14ac:dyDescent="0.25">
      <c r="D245" s="855">
        <v>87</v>
      </c>
      <c r="E245" s="858" t="s">
        <v>512</v>
      </c>
    </row>
    <row r="246" spans="4:5" ht="15" x14ac:dyDescent="0.25">
      <c r="D246" s="855">
        <v>88</v>
      </c>
      <c r="E246" s="858" t="s">
        <v>512</v>
      </c>
    </row>
    <row r="247" spans="4:5" ht="15" x14ac:dyDescent="0.25">
      <c r="D247" s="855">
        <v>89</v>
      </c>
      <c r="E247" s="858" t="s">
        <v>512</v>
      </c>
    </row>
    <row r="248" spans="4:5" ht="15" x14ac:dyDescent="0.25">
      <c r="D248" s="855">
        <v>90</v>
      </c>
      <c r="E248" s="858" t="s">
        <v>512</v>
      </c>
    </row>
    <row r="249" spans="4:5" ht="15" x14ac:dyDescent="0.25">
      <c r="D249" s="855">
        <v>91</v>
      </c>
      <c r="E249" s="858" t="s">
        <v>512</v>
      </c>
    </row>
    <row r="250" spans="4:5" ht="15" x14ac:dyDescent="0.25">
      <c r="D250" s="855">
        <v>92</v>
      </c>
      <c r="E250" s="858" t="s">
        <v>512</v>
      </c>
    </row>
    <row r="251" spans="4:5" ht="15" x14ac:dyDescent="0.25">
      <c r="D251" s="855">
        <v>93</v>
      </c>
      <c r="E251" s="858" t="s">
        <v>512</v>
      </c>
    </row>
    <row r="252" spans="4:5" ht="15" x14ac:dyDescent="0.25">
      <c r="D252" s="855">
        <v>94</v>
      </c>
      <c r="E252" s="858" t="s">
        <v>512</v>
      </c>
    </row>
    <row r="253" spans="4:5" ht="15" x14ac:dyDescent="0.25">
      <c r="D253" s="855">
        <v>95</v>
      </c>
      <c r="E253" s="858" t="s">
        <v>512</v>
      </c>
    </row>
    <row r="254" spans="4:5" ht="15" x14ac:dyDescent="0.25">
      <c r="D254" s="855">
        <v>96</v>
      </c>
      <c r="E254" s="858" t="s">
        <v>512</v>
      </c>
    </row>
    <row r="255" spans="4:5" ht="15" x14ac:dyDescent="0.25">
      <c r="D255" s="855">
        <v>97</v>
      </c>
      <c r="E255" s="858" t="s">
        <v>512</v>
      </c>
    </row>
    <row r="256" spans="4:5" ht="15" x14ac:dyDescent="0.25">
      <c r="D256" s="855">
        <v>98</v>
      </c>
      <c r="E256" s="858" t="s">
        <v>232</v>
      </c>
    </row>
    <row r="257" spans="4:5" ht="15" x14ac:dyDescent="0.25">
      <c r="D257" s="855">
        <v>99</v>
      </c>
      <c r="E257" s="857" t="s">
        <v>99</v>
      </c>
    </row>
    <row r="258" spans="4:5" ht="15" x14ac:dyDescent="0.25">
      <c r="D258" s="855">
        <v>100</v>
      </c>
      <c r="E258" s="858" t="s">
        <v>512</v>
      </c>
    </row>
    <row r="259" spans="4:5" ht="15" x14ac:dyDescent="0.25">
      <c r="D259" s="855">
        <v>101</v>
      </c>
      <c r="E259" s="858" t="s">
        <v>512</v>
      </c>
    </row>
    <row r="260" spans="4:5" ht="15" x14ac:dyDescent="0.25">
      <c r="D260" s="855">
        <v>102</v>
      </c>
      <c r="E260" s="858" t="s">
        <v>512</v>
      </c>
    </row>
    <row r="261" spans="4:5" ht="15" x14ac:dyDescent="0.25">
      <c r="D261" s="855">
        <v>103</v>
      </c>
      <c r="E261" s="858" t="s">
        <v>512</v>
      </c>
    </row>
    <row r="262" spans="4:5" ht="15" x14ac:dyDescent="0.25">
      <c r="D262" s="855">
        <v>104</v>
      </c>
      <c r="E262" s="858" t="s">
        <v>512</v>
      </c>
    </row>
    <row r="263" spans="4:5" ht="15" x14ac:dyDescent="0.25">
      <c r="D263" s="855">
        <v>105</v>
      </c>
      <c r="E263" s="858" t="s">
        <v>512</v>
      </c>
    </row>
    <row r="264" spans="4:5" ht="15" x14ac:dyDescent="0.25">
      <c r="D264" s="855">
        <v>106</v>
      </c>
      <c r="E264" s="858" t="s">
        <v>512</v>
      </c>
    </row>
    <row r="265" spans="4:5" ht="15" x14ac:dyDescent="0.25">
      <c r="D265" s="855">
        <v>107</v>
      </c>
      <c r="E265" s="858" t="s">
        <v>512</v>
      </c>
    </row>
    <row r="266" spans="4:5" ht="15" x14ac:dyDescent="0.25">
      <c r="D266" s="855">
        <v>108</v>
      </c>
      <c r="E266" s="858" t="s">
        <v>512</v>
      </c>
    </row>
    <row r="267" spans="4:5" ht="15" x14ac:dyDescent="0.25">
      <c r="D267" s="855">
        <v>109</v>
      </c>
      <c r="E267" s="858" t="s">
        <v>512</v>
      </c>
    </row>
    <row r="268" spans="4:5" ht="15" x14ac:dyDescent="0.25">
      <c r="D268" s="855">
        <v>110</v>
      </c>
      <c r="E268" s="858" t="s">
        <v>512</v>
      </c>
    </row>
    <row r="269" spans="4:5" ht="15" x14ac:dyDescent="0.25">
      <c r="D269" s="855">
        <v>111</v>
      </c>
      <c r="E269" s="858" t="s">
        <v>512</v>
      </c>
    </row>
    <row r="270" spans="4:5" ht="15" x14ac:dyDescent="0.25">
      <c r="D270" s="855">
        <v>112</v>
      </c>
      <c r="E270" s="858" t="s">
        <v>512</v>
      </c>
    </row>
    <row r="271" spans="4:5" ht="15" x14ac:dyDescent="0.25">
      <c r="D271" s="855">
        <v>113</v>
      </c>
      <c r="E271" s="858" t="s">
        <v>512</v>
      </c>
    </row>
    <row r="272" spans="4:5" ht="15" x14ac:dyDescent="0.25">
      <c r="D272" s="855">
        <v>114</v>
      </c>
      <c r="E272" s="858" t="s">
        <v>512</v>
      </c>
    </row>
    <row r="273" spans="4:5" ht="15" x14ac:dyDescent="0.25">
      <c r="D273" s="855">
        <v>115</v>
      </c>
      <c r="E273" s="858" t="s">
        <v>512</v>
      </c>
    </row>
    <row r="274" spans="4:5" ht="15" x14ac:dyDescent="0.25">
      <c r="D274" s="855">
        <v>116</v>
      </c>
      <c r="E274" s="858" t="s">
        <v>512</v>
      </c>
    </row>
    <row r="275" spans="4:5" ht="15" x14ac:dyDescent="0.25">
      <c r="D275" s="855">
        <v>117</v>
      </c>
      <c r="E275" s="858" t="s">
        <v>512</v>
      </c>
    </row>
    <row r="276" spans="4:5" ht="15" x14ac:dyDescent="0.25">
      <c r="D276" s="855">
        <v>118</v>
      </c>
      <c r="E276" s="858" t="s">
        <v>512</v>
      </c>
    </row>
    <row r="277" spans="4:5" ht="15" x14ac:dyDescent="0.25">
      <c r="D277" s="855">
        <v>119</v>
      </c>
      <c r="E277" s="858" t="s">
        <v>512</v>
      </c>
    </row>
    <row r="278" spans="4:5" ht="15" x14ac:dyDescent="0.25">
      <c r="D278" s="855">
        <v>120</v>
      </c>
      <c r="E278" s="858" t="s">
        <v>512</v>
      </c>
    </row>
    <row r="279" spans="4:5" ht="15" x14ac:dyDescent="0.25">
      <c r="D279" s="855">
        <v>121</v>
      </c>
      <c r="E279" s="858" t="s">
        <v>512</v>
      </c>
    </row>
    <row r="280" spans="4:5" ht="15" x14ac:dyDescent="0.25">
      <c r="D280" s="855">
        <v>122</v>
      </c>
      <c r="E280" s="858" t="s">
        <v>512</v>
      </c>
    </row>
    <row r="281" spans="4:5" ht="15" x14ac:dyDescent="0.25">
      <c r="D281" s="855">
        <v>123</v>
      </c>
      <c r="E281" s="858" t="s">
        <v>512</v>
      </c>
    </row>
    <row r="282" spans="4:5" ht="15" x14ac:dyDescent="0.25">
      <c r="D282" s="855">
        <v>124</v>
      </c>
      <c r="E282" s="858" t="s">
        <v>512</v>
      </c>
    </row>
    <row r="283" spans="4:5" ht="15" x14ac:dyDescent="0.25">
      <c r="D283" s="855">
        <v>125</v>
      </c>
      <c r="E283" s="858"/>
    </row>
    <row r="284" spans="4:5" ht="15" x14ac:dyDescent="0.25">
      <c r="D284" s="855">
        <v>126</v>
      </c>
      <c r="E284" s="858" t="s">
        <v>512</v>
      </c>
    </row>
    <row r="285" spans="4:5" ht="15" x14ac:dyDescent="0.25">
      <c r="D285" s="855">
        <v>127</v>
      </c>
      <c r="E285" s="858" t="s">
        <v>512</v>
      </c>
    </row>
    <row r="286" spans="4:5" ht="15" x14ac:dyDescent="0.25">
      <c r="D286" s="855">
        <v>128</v>
      </c>
      <c r="E286" s="858" t="s">
        <v>512</v>
      </c>
    </row>
    <row r="287" spans="4:5" ht="15" x14ac:dyDescent="0.25">
      <c r="D287" s="855">
        <v>129</v>
      </c>
      <c r="E287" s="858" t="s">
        <v>512</v>
      </c>
    </row>
    <row r="288" spans="4:5" ht="15" x14ac:dyDescent="0.25">
      <c r="D288" s="855">
        <v>130</v>
      </c>
      <c r="E288" s="858" t="s">
        <v>512</v>
      </c>
    </row>
    <row r="289" spans="4:5" ht="15" x14ac:dyDescent="0.25">
      <c r="D289" s="855">
        <v>131</v>
      </c>
      <c r="E289" s="858" t="s">
        <v>512</v>
      </c>
    </row>
    <row r="290" spans="4:5" ht="15" x14ac:dyDescent="0.25">
      <c r="D290" s="855">
        <v>132</v>
      </c>
      <c r="E290" s="858" t="s">
        <v>512</v>
      </c>
    </row>
    <row r="291" spans="4:5" ht="15" x14ac:dyDescent="0.25">
      <c r="D291" s="855">
        <v>133</v>
      </c>
      <c r="E291" s="858" t="s">
        <v>512</v>
      </c>
    </row>
    <row r="292" spans="4:5" ht="15" x14ac:dyDescent="0.25">
      <c r="D292" s="855">
        <v>134</v>
      </c>
      <c r="E292" s="858" t="s">
        <v>512</v>
      </c>
    </row>
    <row r="293" spans="4:5" ht="15" x14ac:dyDescent="0.25">
      <c r="D293" s="855">
        <v>135</v>
      </c>
      <c r="E293" s="858" t="s">
        <v>512</v>
      </c>
    </row>
    <row r="294" spans="4:5" ht="15" x14ac:dyDescent="0.25">
      <c r="D294" s="855">
        <v>136</v>
      </c>
      <c r="E294" s="858" t="s">
        <v>512</v>
      </c>
    </row>
    <row r="295" spans="4:5" ht="15" x14ac:dyDescent="0.25">
      <c r="D295" s="855">
        <v>137</v>
      </c>
      <c r="E295" s="858" t="s">
        <v>512</v>
      </c>
    </row>
    <row r="296" spans="4:5" ht="15" x14ac:dyDescent="0.25">
      <c r="D296" s="855">
        <v>138</v>
      </c>
      <c r="E296" s="858" t="s">
        <v>512</v>
      </c>
    </row>
    <row r="297" spans="4:5" ht="15" x14ac:dyDescent="0.25">
      <c r="D297" s="855">
        <v>139</v>
      </c>
      <c r="E297" s="858" t="s">
        <v>512</v>
      </c>
    </row>
    <row r="298" spans="4:5" ht="15" x14ac:dyDescent="0.25">
      <c r="D298" s="855">
        <v>140</v>
      </c>
      <c r="E298" s="858" t="s">
        <v>512</v>
      </c>
    </row>
    <row r="299" spans="4:5" ht="15" x14ac:dyDescent="0.25">
      <c r="D299" s="855">
        <v>141</v>
      </c>
      <c r="E299" s="858" t="s">
        <v>512</v>
      </c>
    </row>
    <row r="300" spans="4:5" ht="15" x14ac:dyDescent="0.25">
      <c r="D300" s="855">
        <v>142</v>
      </c>
      <c r="E300" s="858" t="s">
        <v>512</v>
      </c>
    </row>
    <row r="301" spans="4:5" ht="15" x14ac:dyDescent="0.25">
      <c r="D301" s="855">
        <v>143</v>
      </c>
      <c r="E301" s="858" t="s">
        <v>512</v>
      </c>
    </row>
    <row r="309" spans="1:9" ht="12.6" customHeight="1" thickBot="1" x14ac:dyDescent="0.3"/>
    <row r="310" spans="1:9" ht="12.6" customHeight="1" thickTop="1" x14ac:dyDescent="0.25">
      <c r="A310" s="849"/>
      <c r="B310" s="854" t="s">
        <v>556</v>
      </c>
      <c r="C310" s="849"/>
      <c r="D310" s="849"/>
      <c r="E310" s="849"/>
      <c r="F310" s="849"/>
      <c r="G310" s="849"/>
      <c r="H310" s="849"/>
      <c r="I310" s="849"/>
    </row>
    <row r="311" spans="1:9" ht="12.6" customHeight="1" x14ac:dyDescent="0.25">
      <c r="D311" s="1101" t="s">
        <v>1332</v>
      </c>
      <c r="E311" s="1101" t="s">
        <v>738</v>
      </c>
    </row>
    <row r="312" spans="1:9" ht="12.6" customHeight="1" x14ac:dyDescent="0.25">
      <c r="D312" s="1101" t="s">
        <v>1331</v>
      </c>
      <c r="E312" s="1101" t="s">
        <v>1339</v>
      </c>
    </row>
    <row r="313" spans="1:9" ht="12.6" customHeight="1" x14ac:dyDescent="0.25">
      <c r="D313" s="1101" t="s">
        <v>1330</v>
      </c>
      <c r="E313" s="1101" t="s">
        <v>1340</v>
      </c>
    </row>
    <row r="314" spans="1:9" ht="12.6" customHeight="1" x14ac:dyDescent="0.25">
      <c r="D314" s="1101" t="s">
        <v>671</v>
      </c>
      <c r="E314" s="1101" t="s">
        <v>1337</v>
      </c>
    </row>
    <row r="315" spans="1:9" ht="12.6" customHeight="1" x14ac:dyDescent="0.25">
      <c r="D315" s="1101" t="s">
        <v>639</v>
      </c>
      <c r="E315" s="1101" t="s">
        <v>639</v>
      </c>
    </row>
    <row r="316" spans="1:9" ht="12.6" customHeight="1" x14ac:dyDescent="0.25">
      <c r="D316" s="1101" t="s">
        <v>732</v>
      </c>
      <c r="E316" s="1101" t="s">
        <v>1335</v>
      </c>
    </row>
    <row r="317" spans="1:9" ht="12.6" customHeight="1" x14ac:dyDescent="0.25">
      <c r="D317" s="1458" t="s">
        <v>1342</v>
      </c>
      <c r="E317" s="1458" t="s">
        <v>1343</v>
      </c>
    </row>
    <row r="318" spans="1:9" ht="12.6" customHeight="1" x14ac:dyDescent="0.25">
      <c r="D318" s="1458" t="s">
        <v>2406</v>
      </c>
      <c r="E318" s="1458" t="s">
        <v>2407</v>
      </c>
    </row>
    <row r="319" spans="1:9" ht="12.6" customHeight="1" x14ac:dyDescent="0.25">
      <c r="D319" s="1101" t="s">
        <v>779</v>
      </c>
      <c r="E319" s="1101" t="s">
        <v>1341</v>
      </c>
    </row>
    <row r="320" spans="1:9" ht="12.6" customHeight="1" x14ac:dyDescent="0.25">
      <c r="D320" s="1101" t="s">
        <v>728</v>
      </c>
      <c r="E320" s="1101" t="s">
        <v>1336</v>
      </c>
    </row>
    <row r="321" spans="1:9" ht="12.6" customHeight="1" x14ac:dyDescent="0.25">
      <c r="D321" s="1101" t="s">
        <v>640</v>
      </c>
      <c r="E321" s="1101" t="s">
        <v>1334</v>
      </c>
    </row>
    <row r="322" spans="1:9" ht="12.6" customHeight="1" x14ac:dyDescent="0.25">
      <c r="D322" s="1101" t="s">
        <v>1329</v>
      </c>
      <c r="E322" s="1101" t="s">
        <v>1329</v>
      </c>
    </row>
    <row r="323" spans="1:9" ht="12.6" customHeight="1" x14ac:dyDescent="0.25">
      <c r="D323" s="1101" t="s">
        <v>740</v>
      </c>
      <c r="E323" s="1101" t="s">
        <v>1338</v>
      </c>
    </row>
    <row r="324" spans="1:9" ht="12.6" customHeight="1" x14ac:dyDescent="0.25">
      <c r="D324" s="1101" t="s">
        <v>739</v>
      </c>
      <c r="E324" s="1101" t="s">
        <v>1333</v>
      </c>
    </row>
    <row r="325" spans="1:9" ht="12.6" customHeight="1" x14ac:dyDescent="0.25">
      <c r="D325" s="1458" t="s">
        <v>1323</v>
      </c>
      <c r="E325" s="1458" t="s">
        <v>1344</v>
      </c>
    </row>
    <row r="326" spans="1:9" ht="12.6" customHeight="1" x14ac:dyDescent="0.25">
      <c r="D326" s="1101" t="s">
        <v>847</v>
      </c>
      <c r="E326" s="1101" t="s">
        <v>847</v>
      </c>
    </row>
    <row r="327" spans="1:9" ht="12.6" customHeight="1" x14ac:dyDescent="0.25">
      <c r="D327" s="1101" t="s">
        <v>859</v>
      </c>
      <c r="E327" s="1101" t="s">
        <v>859</v>
      </c>
    </row>
    <row r="330" spans="1:9" ht="12.6" customHeight="1" thickBot="1" x14ac:dyDescent="0.3"/>
    <row r="331" spans="1:9" ht="12.6" customHeight="1" thickTop="1" x14ac:dyDescent="0.25">
      <c r="A331" s="849"/>
      <c r="B331" s="854" t="s">
        <v>2050</v>
      </c>
      <c r="C331" s="849"/>
      <c r="D331" s="849" t="str">
        <f>+'Data Input sheet'!D25</f>
        <v>Station work</v>
      </c>
      <c r="E331" s="849" t="s">
        <v>2051</v>
      </c>
      <c r="F331" s="849"/>
      <c r="G331" s="849"/>
      <c r="H331" s="849"/>
      <c r="I331" s="849"/>
    </row>
    <row r="332" spans="1:9" ht="12.6" customHeight="1" x14ac:dyDescent="0.25">
      <c r="D332" s="1101" t="s">
        <v>2052</v>
      </c>
      <c r="E332" s="1101" t="s">
        <v>3396</v>
      </c>
    </row>
    <row r="333" spans="1:9" ht="12.6" customHeight="1" x14ac:dyDescent="0.25">
      <c r="D333" s="1101" t="s">
        <v>2052</v>
      </c>
      <c r="E333" s="1101" t="s">
        <v>2054</v>
      </c>
    </row>
    <row r="334" spans="1:9" ht="12.6" customHeight="1" x14ac:dyDescent="0.25">
      <c r="D334" s="1101" t="s">
        <v>2052</v>
      </c>
      <c r="E334" s="1101" t="s">
        <v>3397</v>
      </c>
    </row>
    <row r="335" spans="1:9" ht="12.6" customHeight="1" x14ac:dyDescent="0.25">
      <c r="D335" s="1101" t="s">
        <v>2052</v>
      </c>
      <c r="E335" s="1101" t="s">
        <v>3398</v>
      </c>
    </row>
    <row r="336" spans="1:9" ht="12.6" customHeight="1" x14ac:dyDescent="0.25">
      <c r="D336" s="1101" t="s">
        <v>2052</v>
      </c>
      <c r="E336" s="1101"/>
    </row>
    <row r="337" spans="4:5" ht="12.6" customHeight="1" x14ac:dyDescent="0.25">
      <c r="D337" s="1101"/>
      <c r="E337" s="1458"/>
    </row>
    <row r="338" spans="4:5" ht="12.6" customHeight="1" x14ac:dyDescent="0.25">
      <c r="D338" s="1101" t="s">
        <v>520</v>
      </c>
      <c r="E338" s="1458" t="s">
        <v>2056</v>
      </c>
    </row>
    <row r="339" spans="4:5" ht="12.6" customHeight="1" x14ac:dyDescent="0.25">
      <c r="D339" s="1101" t="s">
        <v>520</v>
      </c>
      <c r="E339" s="1101" t="s">
        <v>2053</v>
      </c>
    </row>
    <row r="340" spans="4:5" ht="12.6" customHeight="1" x14ac:dyDescent="0.25">
      <c r="D340" s="1101" t="s">
        <v>520</v>
      </c>
      <c r="E340" s="1101" t="s">
        <v>2055</v>
      </c>
    </row>
    <row r="341" spans="4:5" ht="12.6" customHeight="1" x14ac:dyDescent="0.25">
      <c r="D341" s="1101" t="s">
        <v>520</v>
      </c>
      <c r="E341" s="2125" t="s">
        <v>288</v>
      </c>
    </row>
    <row r="342" spans="4:5" ht="12.6" customHeight="1" x14ac:dyDescent="0.25">
      <c r="D342" s="1101" t="s">
        <v>520</v>
      </c>
      <c r="E342" s="2125" t="s">
        <v>288</v>
      </c>
    </row>
    <row r="343" spans="4:5" ht="12.6" customHeight="1" x14ac:dyDescent="0.25">
      <c r="D343" s="1101"/>
      <c r="E343" s="2125"/>
    </row>
    <row r="344" spans="4:5" ht="12.6" customHeight="1" x14ac:dyDescent="0.25">
      <c r="D344" s="1101" t="s">
        <v>39</v>
      </c>
      <c r="E344" s="2125" t="s">
        <v>2057</v>
      </c>
    </row>
    <row r="345" spans="4:5" ht="12.6" customHeight="1" x14ac:dyDescent="0.25">
      <c r="D345" s="1101" t="s">
        <v>39</v>
      </c>
      <c r="E345" s="1101" t="s">
        <v>2053</v>
      </c>
    </row>
    <row r="346" spans="4:5" ht="12.6" customHeight="1" x14ac:dyDescent="0.25">
      <c r="D346" s="1101" t="s">
        <v>39</v>
      </c>
      <c r="E346" s="1458" t="s">
        <v>2056</v>
      </c>
    </row>
    <row r="347" spans="4:5" ht="12.6" customHeight="1" x14ac:dyDescent="0.25">
      <c r="D347" s="1101" t="s">
        <v>39</v>
      </c>
      <c r="E347" s="1101" t="s">
        <v>2055</v>
      </c>
    </row>
    <row r="348" spans="4:5" ht="12.6" customHeight="1" x14ac:dyDescent="0.25">
      <c r="D348" s="1101" t="s">
        <v>39</v>
      </c>
      <c r="E348" s="2125" t="s">
        <v>288</v>
      </c>
    </row>
    <row r="349" spans="4:5" ht="12.6" customHeight="1" x14ac:dyDescent="0.25">
      <c r="D349" s="1101"/>
      <c r="E349" s="2125"/>
    </row>
    <row r="350" spans="4:5" ht="12.6" customHeight="1" x14ac:dyDescent="0.25">
      <c r="D350" s="1101"/>
      <c r="E350" s="2125"/>
    </row>
    <row r="351" spans="4:5" ht="12.6" customHeight="1" x14ac:dyDescent="0.25">
      <c r="D351" s="1101" t="s">
        <v>2058</v>
      </c>
      <c r="E351" s="1101" t="str">
        <f>IF(D338=$D$331,E338,E332)</f>
        <v>Niderno</v>
      </c>
    </row>
    <row r="352" spans="4:5" ht="12.6" customHeight="1" x14ac:dyDescent="0.25">
      <c r="D352" s="1101"/>
      <c r="E352" s="1101" t="str">
        <f>IF(D339=$D$331,E339,E333)</f>
        <v>Bassaragh</v>
      </c>
    </row>
    <row r="353" spans="1:9" ht="12.6" customHeight="1" x14ac:dyDescent="0.25">
      <c r="D353" s="1101"/>
      <c r="E353" s="1101" t="str">
        <f>IF(D340=$D$331,E340,E334)</f>
        <v>Thibodeau</v>
      </c>
    </row>
    <row r="354" spans="1:9" ht="12.6" customHeight="1" x14ac:dyDescent="0.25">
      <c r="D354" s="1458"/>
      <c r="E354" s="1101" t="str">
        <f>IF(D341=$D$331,E341,E335)</f>
        <v/>
      </c>
    </row>
    <row r="355" spans="1:9" ht="12.6" customHeight="1" x14ac:dyDescent="0.25">
      <c r="D355" s="1101"/>
      <c r="E355" s="1101" t="str">
        <f>IF(D342=$D$331,E342,E336)</f>
        <v/>
      </c>
    </row>
    <row r="356" spans="1:9" ht="12.6" customHeight="1" x14ac:dyDescent="0.25">
      <c r="D356" s="1101"/>
      <c r="E356" s="1101"/>
    </row>
    <row r="358" spans="1:9" ht="12.6" customHeight="1" thickBot="1" x14ac:dyDescent="0.3"/>
    <row r="359" spans="1:9" ht="12.6" customHeight="1" thickTop="1" x14ac:dyDescent="0.25">
      <c r="A359" s="849"/>
      <c r="B359" s="854" t="s">
        <v>2050</v>
      </c>
      <c r="C359" s="849"/>
      <c r="D359" s="849">
        <f>+'Data Input sheet'!D65</f>
        <v>45292</v>
      </c>
      <c r="E359" s="849" t="s">
        <v>2051</v>
      </c>
      <c r="F359" s="849"/>
      <c r="G359" s="849"/>
      <c r="H359" s="849"/>
      <c r="I359" s="849"/>
    </row>
    <row r="361" spans="1:9" ht="12.6" customHeight="1" x14ac:dyDescent="0.25">
      <c r="D361" s="2004" t="s">
        <v>56</v>
      </c>
    </row>
    <row r="362" spans="1:9" ht="12.6" customHeight="1" x14ac:dyDescent="0.25">
      <c r="D362" s="2005" t="s">
        <v>55</v>
      </c>
    </row>
    <row r="363" spans="1:9" ht="12.6" customHeight="1" x14ac:dyDescent="0.25">
      <c r="D363" s="2006" t="s">
        <v>57</v>
      </c>
    </row>
  </sheetData>
  <sheetProtection algorithmName="SHA-512" hashValue="1rd0FBsyqEEquKjbRuJwgG+4ih7waMrZYBVfqbKI79k78uN3dQsh9veE35t2XjxLnIcpW2Kke7TPaSX2gTVvlA==" saltValue="QuKExLdp4FuHBmF6THihuQ==" spinCount="100000" sheet="1" scenarios="1" formatCells="0" formatColumns="0" formatRows="0" autoFilter="0"/>
  <sortState xmlns:xlrd2="http://schemas.microsoft.com/office/spreadsheetml/2017/richdata2" ref="D312:E324">
    <sortCondition ref="D311"/>
  </sortState>
  <pageMargins left="0.7" right="0.7" top="0.75" bottom="0.75" header="0.3" footer="0.3"/>
  <pageSetup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1956-6CD7-45E4-9EEE-31A37CD412C9}">
  <sheetPr codeName="Sheet30">
    <tabColor theme="1"/>
    <pageSetUpPr autoPageBreaks="0"/>
  </sheetPr>
  <dimension ref="A1:F334"/>
  <sheetViews>
    <sheetView zoomScale="110" zoomScaleNormal="110" workbookViewId="0">
      <pane ySplit="5" topLeftCell="A298" activePane="bottomLeft" state="frozen"/>
      <selection activeCell="H10" sqref="H10"/>
      <selection pane="bottomLeft" activeCell="D316" sqref="D316"/>
    </sheetView>
  </sheetViews>
  <sheetFormatPr defaultRowHeight="15" x14ac:dyDescent="0.25"/>
  <cols>
    <col min="1" max="2" width="15.42578125" customWidth="1"/>
    <col min="3" max="3" width="72.42578125" bestFit="1" customWidth="1"/>
    <col min="4" max="4" width="39" customWidth="1"/>
    <col min="5" max="5" width="12" customWidth="1"/>
    <col min="6" max="6" width="49.5703125" customWidth="1"/>
  </cols>
  <sheetData>
    <row r="1" spans="1:6" ht="15.75" x14ac:dyDescent="0.25">
      <c r="A1" s="2934" t="s">
        <v>2591</v>
      </c>
      <c r="B1" s="2934"/>
      <c r="C1" s="2891"/>
      <c r="D1" s="2891"/>
      <c r="E1" s="2891"/>
      <c r="F1" s="2891"/>
    </row>
    <row r="2" spans="1:6" ht="2.25" customHeight="1" x14ac:dyDescent="0.25">
      <c r="A2" s="361"/>
      <c r="B2" s="361"/>
    </row>
    <row r="3" spans="1:6" ht="7.5" customHeight="1" x14ac:dyDescent="0.25">
      <c r="A3" s="361"/>
      <c r="B3" s="361"/>
    </row>
    <row r="4" spans="1:6" ht="2.25" customHeight="1" x14ac:dyDescent="0.25">
      <c r="A4" s="859"/>
      <c r="B4" s="859"/>
      <c r="C4" s="13"/>
      <c r="D4" s="13"/>
      <c r="E4" s="13"/>
      <c r="F4" s="13"/>
    </row>
    <row r="5" spans="1:6" ht="26.25" x14ac:dyDescent="0.25">
      <c r="A5" s="860" t="s">
        <v>909</v>
      </c>
      <c r="B5" s="860" t="s">
        <v>910</v>
      </c>
      <c r="C5" s="861" t="s">
        <v>911</v>
      </c>
      <c r="D5" s="861" t="s">
        <v>912</v>
      </c>
      <c r="E5" s="862" t="s">
        <v>913</v>
      </c>
      <c r="F5" s="863" t="s">
        <v>914</v>
      </c>
    </row>
    <row r="6" spans="1:6" x14ac:dyDescent="0.25">
      <c r="A6" s="860"/>
      <c r="B6" s="860"/>
      <c r="C6" s="861"/>
      <c r="D6" s="861"/>
      <c r="E6" s="861"/>
      <c r="F6" s="863"/>
    </row>
    <row r="7" spans="1:6" x14ac:dyDescent="0.25">
      <c r="A7" s="2935">
        <v>40371</v>
      </c>
      <c r="B7" s="864"/>
      <c r="C7" s="865" t="s">
        <v>915</v>
      </c>
      <c r="D7" s="865"/>
      <c r="E7" s="865"/>
      <c r="F7" s="2937" t="s">
        <v>916</v>
      </c>
    </row>
    <row r="8" spans="1:6" x14ac:dyDescent="0.25">
      <c r="A8" s="2936"/>
      <c r="B8" s="866"/>
      <c r="C8" s="865" t="s">
        <v>917</v>
      </c>
      <c r="D8" s="865"/>
      <c r="E8" s="865"/>
      <c r="F8" s="2938"/>
    </row>
    <row r="9" spans="1:6" x14ac:dyDescent="0.25">
      <c r="A9" s="2936"/>
      <c r="B9" s="866"/>
      <c r="C9" s="865" t="s">
        <v>918</v>
      </c>
      <c r="D9" s="865"/>
      <c r="E9" s="865"/>
      <c r="F9" s="2938"/>
    </row>
    <row r="10" spans="1:6" x14ac:dyDescent="0.25">
      <c r="A10" s="2936"/>
      <c r="B10" s="866"/>
      <c r="C10" s="865" t="s">
        <v>837</v>
      </c>
      <c r="D10" s="865"/>
      <c r="E10" s="865"/>
      <c r="F10" s="2938"/>
    </row>
    <row r="11" spans="1:6" x14ac:dyDescent="0.25">
      <c r="A11" s="2936"/>
      <c r="B11" s="866"/>
      <c r="C11" s="865" t="s">
        <v>838</v>
      </c>
      <c r="D11" s="865"/>
      <c r="E11" s="865"/>
      <c r="F11" s="2938"/>
    </row>
    <row r="12" spans="1:6" x14ac:dyDescent="0.25">
      <c r="A12" s="2936"/>
      <c r="B12" s="866"/>
      <c r="C12" s="865" t="s">
        <v>919</v>
      </c>
      <c r="D12" s="865"/>
      <c r="E12" s="865"/>
      <c r="F12" s="2938"/>
    </row>
    <row r="13" spans="1:6" x14ac:dyDescent="0.25">
      <c r="A13" s="2936"/>
      <c r="B13" s="866"/>
      <c r="C13" s="865" t="s">
        <v>920</v>
      </c>
      <c r="D13" s="865"/>
      <c r="E13" s="865"/>
      <c r="F13" s="2938"/>
    </row>
    <row r="14" spans="1:6" x14ac:dyDescent="0.25">
      <c r="A14" s="2936"/>
      <c r="B14" s="866"/>
      <c r="C14" s="865" t="s">
        <v>921</v>
      </c>
      <c r="D14" s="865"/>
      <c r="E14" s="865"/>
      <c r="F14" s="2938"/>
    </row>
    <row r="15" spans="1:6" x14ac:dyDescent="0.25">
      <c r="A15" s="2936"/>
      <c r="B15" s="866"/>
      <c r="C15" s="865" t="s">
        <v>922</v>
      </c>
      <c r="D15" s="865"/>
      <c r="E15" s="865"/>
      <c r="F15" s="2938"/>
    </row>
    <row r="16" spans="1:6" x14ac:dyDescent="0.25">
      <c r="A16" s="2936"/>
      <c r="B16" s="866"/>
      <c r="C16" s="865" t="s">
        <v>923</v>
      </c>
      <c r="D16" s="865"/>
      <c r="E16" s="865"/>
      <c r="F16" s="2939"/>
    </row>
    <row r="17" spans="1:6" x14ac:dyDescent="0.25">
      <c r="A17" s="2935">
        <v>40375</v>
      </c>
      <c r="B17" s="864"/>
      <c r="C17" s="865" t="s">
        <v>849</v>
      </c>
      <c r="D17" s="865"/>
      <c r="E17" s="865"/>
      <c r="F17" s="2940" t="s">
        <v>924</v>
      </c>
    </row>
    <row r="18" spans="1:6" x14ac:dyDescent="0.25">
      <c r="A18" s="2936"/>
      <c r="B18" s="866"/>
      <c r="C18" s="865" t="s">
        <v>850</v>
      </c>
      <c r="D18" s="865"/>
      <c r="E18" s="865"/>
      <c r="F18" s="2940"/>
    </row>
    <row r="19" spans="1:6" x14ac:dyDescent="0.25">
      <c r="A19" s="2936"/>
      <c r="B19" s="866"/>
      <c r="C19" s="865" t="s">
        <v>851</v>
      </c>
      <c r="D19" s="865"/>
      <c r="E19" s="865"/>
      <c r="F19" s="2940"/>
    </row>
    <row r="20" spans="1:6" x14ac:dyDescent="0.25">
      <c r="A20" s="864">
        <v>40394</v>
      </c>
      <c r="B20" s="864"/>
      <c r="C20" s="865" t="s">
        <v>925</v>
      </c>
      <c r="D20" s="865"/>
      <c r="E20" s="865"/>
      <c r="F20" s="867" t="s">
        <v>926</v>
      </c>
    </row>
    <row r="21" spans="1:6" ht="30" x14ac:dyDescent="0.25">
      <c r="A21" s="2941">
        <v>40407</v>
      </c>
      <c r="B21" s="868"/>
      <c r="C21" s="865" t="s">
        <v>927</v>
      </c>
      <c r="D21" s="865"/>
      <c r="E21" s="865"/>
      <c r="F21" s="867" t="s">
        <v>928</v>
      </c>
    </row>
    <row r="22" spans="1:6" x14ac:dyDescent="0.25">
      <c r="A22" s="2942"/>
      <c r="B22" s="869"/>
      <c r="C22" s="865" t="s">
        <v>929</v>
      </c>
      <c r="D22" s="865"/>
      <c r="E22" s="865"/>
      <c r="F22" s="2937" t="s">
        <v>930</v>
      </c>
    </row>
    <row r="23" spans="1:6" x14ac:dyDescent="0.25">
      <c r="A23" s="2942"/>
      <c r="B23" s="869"/>
      <c r="C23" s="865" t="s">
        <v>931</v>
      </c>
      <c r="D23" s="865"/>
      <c r="E23" s="865"/>
      <c r="F23" s="2938"/>
    </row>
    <row r="24" spans="1:6" x14ac:dyDescent="0.25">
      <c r="A24" s="2942"/>
      <c r="B24" s="869"/>
      <c r="C24" s="865" t="s">
        <v>932</v>
      </c>
      <c r="D24" s="865"/>
      <c r="E24" s="865"/>
      <c r="F24" s="2938"/>
    </row>
    <row r="25" spans="1:6" x14ac:dyDescent="0.25">
      <c r="A25" s="2943"/>
      <c r="B25" s="870"/>
      <c r="C25" s="865" t="s">
        <v>933</v>
      </c>
      <c r="D25" s="865"/>
      <c r="E25" s="865"/>
      <c r="F25" s="2939"/>
    </row>
    <row r="26" spans="1:6" x14ac:dyDescent="0.25">
      <c r="A26" s="2941">
        <v>40436</v>
      </c>
      <c r="B26" s="868"/>
      <c r="C26" s="865" t="s">
        <v>934</v>
      </c>
      <c r="D26" s="865"/>
      <c r="E26" s="865"/>
      <c r="F26" s="2937" t="s">
        <v>935</v>
      </c>
    </row>
    <row r="27" spans="1:6" x14ac:dyDescent="0.25">
      <c r="A27" s="2942"/>
      <c r="B27" s="869"/>
      <c r="C27" s="865" t="s">
        <v>936</v>
      </c>
      <c r="D27" s="865"/>
      <c r="E27" s="865"/>
      <c r="F27" s="2938"/>
    </row>
    <row r="28" spans="1:6" x14ac:dyDescent="0.25">
      <c r="A28" s="2942"/>
      <c r="B28" s="869"/>
      <c r="C28" s="865" t="s">
        <v>937</v>
      </c>
      <c r="D28" s="865"/>
      <c r="E28" s="865"/>
      <c r="F28" s="2938"/>
    </row>
    <row r="29" spans="1:6" x14ac:dyDescent="0.25">
      <c r="A29" s="2943"/>
      <c r="B29" s="870"/>
      <c r="C29" s="865" t="s">
        <v>938</v>
      </c>
      <c r="D29" s="865"/>
      <c r="E29" s="865"/>
      <c r="F29" s="2939"/>
    </row>
    <row r="30" spans="1:6" ht="45" x14ac:dyDescent="0.25">
      <c r="A30" s="871">
        <v>40456</v>
      </c>
      <c r="B30" s="871"/>
      <c r="C30" s="872"/>
      <c r="D30" s="872"/>
      <c r="E30" s="872"/>
      <c r="F30" s="867" t="s">
        <v>939</v>
      </c>
    </row>
    <row r="31" spans="1:6" ht="30" x14ac:dyDescent="0.25">
      <c r="A31" s="864">
        <v>40549</v>
      </c>
      <c r="B31" s="864"/>
      <c r="C31" s="865"/>
      <c r="D31" s="865"/>
      <c r="E31" s="865"/>
      <c r="F31" s="867" t="s">
        <v>940</v>
      </c>
    </row>
    <row r="32" spans="1:6" x14ac:dyDescent="0.25">
      <c r="A32" s="2926">
        <v>40700</v>
      </c>
      <c r="B32" s="873"/>
      <c r="C32" s="865" t="s">
        <v>941</v>
      </c>
      <c r="D32" s="865"/>
      <c r="E32" s="865"/>
      <c r="F32" s="2937" t="s">
        <v>942</v>
      </c>
    </row>
    <row r="33" spans="1:6" x14ac:dyDescent="0.25">
      <c r="A33" s="2933"/>
      <c r="B33" s="874"/>
      <c r="C33" s="865" t="s">
        <v>943</v>
      </c>
      <c r="D33" s="865"/>
      <c r="E33" s="865"/>
      <c r="F33" s="2939"/>
    </row>
    <row r="34" spans="1:6" ht="30" x14ac:dyDescent="0.25">
      <c r="A34" s="864">
        <v>40743</v>
      </c>
      <c r="B34" s="864"/>
      <c r="C34" s="865"/>
      <c r="D34" s="865"/>
      <c r="E34" s="865"/>
      <c r="F34" s="867" t="s">
        <v>944</v>
      </c>
    </row>
    <row r="35" spans="1:6" ht="30" x14ac:dyDescent="0.25">
      <c r="A35" s="2926">
        <v>40934</v>
      </c>
      <c r="B35" s="873"/>
      <c r="C35" s="865"/>
      <c r="D35" s="865"/>
      <c r="E35" s="865"/>
      <c r="F35" s="867" t="s">
        <v>940</v>
      </c>
    </row>
    <row r="36" spans="1:6" ht="30" x14ac:dyDescent="0.25">
      <c r="A36" s="2932"/>
      <c r="B36" s="875"/>
      <c r="C36" s="865" t="s">
        <v>945</v>
      </c>
      <c r="D36" s="865"/>
      <c r="E36" s="865"/>
      <c r="F36" s="867" t="s">
        <v>946</v>
      </c>
    </row>
    <row r="37" spans="1:6" x14ac:dyDescent="0.25">
      <c r="A37" s="2932"/>
      <c r="B37" s="875"/>
      <c r="C37" s="865" t="s">
        <v>947</v>
      </c>
      <c r="D37" s="865"/>
      <c r="E37" s="865"/>
      <c r="F37" s="876" t="s">
        <v>948</v>
      </c>
    </row>
    <row r="38" spans="1:6" x14ac:dyDescent="0.25">
      <c r="A38" s="2933"/>
      <c r="B38" s="874"/>
      <c r="C38" s="865" t="s">
        <v>949</v>
      </c>
      <c r="D38" s="865"/>
      <c r="E38" s="865"/>
      <c r="F38" s="876" t="s">
        <v>950</v>
      </c>
    </row>
    <row r="39" spans="1:6" ht="30" x14ac:dyDescent="0.25">
      <c r="A39" s="2926">
        <v>41052</v>
      </c>
      <c r="B39" s="873"/>
      <c r="C39" s="865" t="s">
        <v>845</v>
      </c>
      <c r="D39" s="865"/>
      <c r="E39" s="865"/>
      <c r="F39" s="867" t="s">
        <v>951</v>
      </c>
    </row>
    <row r="40" spans="1:6" ht="30" x14ac:dyDescent="0.25">
      <c r="A40" s="2932"/>
      <c r="B40" s="875"/>
      <c r="C40" s="865" t="s">
        <v>846</v>
      </c>
      <c r="D40" s="865"/>
      <c r="E40" s="865"/>
      <c r="F40" s="867" t="s">
        <v>952</v>
      </c>
    </row>
    <row r="41" spans="1:6" x14ac:dyDescent="0.25">
      <c r="A41" s="2932"/>
      <c r="B41" s="875"/>
      <c r="C41" s="865" t="s">
        <v>953</v>
      </c>
      <c r="D41" s="865"/>
      <c r="E41" s="865"/>
      <c r="F41" s="876" t="s">
        <v>954</v>
      </c>
    </row>
    <row r="42" spans="1:6" x14ac:dyDescent="0.25">
      <c r="A42" s="2932"/>
      <c r="B42" s="875"/>
      <c r="C42" s="877" t="s">
        <v>955</v>
      </c>
      <c r="D42" s="877"/>
      <c r="E42" s="877"/>
      <c r="F42" s="876" t="s">
        <v>954</v>
      </c>
    </row>
    <row r="43" spans="1:6" x14ac:dyDescent="0.25">
      <c r="A43" s="2932"/>
      <c r="B43" s="875"/>
      <c r="C43" s="865" t="s">
        <v>956</v>
      </c>
      <c r="D43" s="865"/>
      <c r="E43" s="865"/>
      <c r="F43" s="876" t="s">
        <v>954</v>
      </c>
    </row>
    <row r="44" spans="1:6" ht="30" x14ac:dyDescent="0.25">
      <c r="A44" s="2932"/>
      <c r="B44" s="875"/>
      <c r="C44" s="865"/>
      <c r="D44" s="865"/>
      <c r="E44" s="865"/>
      <c r="F44" s="867" t="s">
        <v>940</v>
      </c>
    </row>
    <row r="45" spans="1:6" ht="38.25" x14ac:dyDescent="0.25">
      <c r="A45" s="2933"/>
      <c r="B45" s="874"/>
      <c r="C45" s="877" t="s">
        <v>957</v>
      </c>
      <c r="D45" s="877"/>
      <c r="E45" s="877"/>
      <c r="F45" s="878" t="s">
        <v>958</v>
      </c>
    </row>
    <row r="46" spans="1:6" x14ac:dyDescent="0.25">
      <c r="A46" s="879">
        <v>41073</v>
      </c>
      <c r="B46" s="879"/>
      <c r="C46" s="877" t="s">
        <v>959</v>
      </c>
      <c r="D46" s="877"/>
      <c r="E46" s="877"/>
      <c r="F46" s="878" t="s">
        <v>960</v>
      </c>
    </row>
    <row r="47" spans="1:6" ht="25.5" x14ac:dyDescent="0.25">
      <c r="A47" s="2926">
        <v>41124</v>
      </c>
      <c r="B47" s="873"/>
      <c r="C47" s="877" t="s">
        <v>961</v>
      </c>
      <c r="D47" s="877"/>
      <c r="E47" s="877"/>
      <c r="F47" s="878" t="s">
        <v>962</v>
      </c>
    </row>
    <row r="48" spans="1:6" x14ac:dyDescent="0.25">
      <c r="A48" s="2927"/>
      <c r="B48" s="880"/>
      <c r="C48" s="877" t="s">
        <v>963</v>
      </c>
      <c r="D48" s="877"/>
      <c r="E48" s="877"/>
      <c r="F48" s="878" t="s">
        <v>964</v>
      </c>
    </row>
    <row r="49" spans="1:6" x14ac:dyDescent="0.25">
      <c r="A49" s="2927"/>
      <c r="B49" s="880"/>
      <c r="C49" s="877" t="s">
        <v>965</v>
      </c>
      <c r="D49" s="877"/>
      <c r="E49" s="877"/>
      <c r="F49" s="2929" t="s">
        <v>966</v>
      </c>
    </row>
    <row r="50" spans="1:6" x14ac:dyDescent="0.25">
      <c r="A50" s="2927"/>
      <c r="B50" s="880"/>
      <c r="C50" s="877" t="s">
        <v>643</v>
      </c>
      <c r="D50" s="877"/>
      <c r="E50" s="877"/>
      <c r="F50" s="2930"/>
    </row>
    <row r="51" spans="1:6" x14ac:dyDescent="0.25">
      <c r="A51" s="2927"/>
      <c r="B51" s="880"/>
      <c r="C51" s="877" t="s">
        <v>644</v>
      </c>
      <c r="D51" s="877"/>
      <c r="E51" s="877"/>
      <c r="F51" s="2930"/>
    </row>
    <row r="52" spans="1:6" x14ac:dyDescent="0.25">
      <c r="A52" s="2927"/>
      <c r="B52" s="880"/>
      <c r="C52" s="877" t="s">
        <v>645</v>
      </c>
      <c r="D52" s="877"/>
      <c r="E52" s="877"/>
      <c r="F52" s="2930"/>
    </row>
    <row r="53" spans="1:6" x14ac:dyDescent="0.25">
      <c r="A53" s="2927"/>
      <c r="B53" s="880"/>
      <c r="C53" s="877" t="s">
        <v>646</v>
      </c>
      <c r="D53" s="877"/>
      <c r="E53" s="877"/>
      <c r="F53" s="2930"/>
    </row>
    <row r="54" spans="1:6" x14ac:dyDescent="0.25">
      <c r="A54" s="2927"/>
      <c r="B54" s="880"/>
      <c r="C54" s="877" t="s">
        <v>647</v>
      </c>
      <c r="D54" s="877"/>
      <c r="E54" s="877"/>
      <c r="F54" s="2930"/>
    </row>
    <row r="55" spans="1:6" x14ac:dyDescent="0.25">
      <c r="A55" s="2927"/>
      <c r="B55" s="880"/>
      <c r="C55" s="877" t="s">
        <v>648</v>
      </c>
      <c r="D55" s="877"/>
      <c r="E55" s="877"/>
      <c r="F55" s="2930"/>
    </row>
    <row r="56" spans="1:6" x14ac:dyDescent="0.25">
      <c r="A56" s="2927"/>
      <c r="B56" s="880"/>
      <c r="C56" s="877" t="s">
        <v>649</v>
      </c>
      <c r="D56" s="877"/>
      <c r="E56" s="877"/>
      <c r="F56" s="2930"/>
    </row>
    <row r="57" spans="1:6" x14ac:dyDescent="0.25">
      <c r="A57" s="2927"/>
      <c r="B57" s="880"/>
      <c r="C57" s="877" t="s">
        <v>650</v>
      </c>
      <c r="D57" s="877"/>
      <c r="E57" s="877"/>
      <c r="F57" s="2930"/>
    </row>
    <row r="58" spans="1:6" x14ac:dyDescent="0.25">
      <c r="A58" s="2927"/>
      <c r="B58" s="880"/>
      <c r="C58" s="877" t="s">
        <v>651</v>
      </c>
      <c r="D58" s="877"/>
      <c r="E58" s="877"/>
      <c r="F58" s="2931"/>
    </row>
    <row r="59" spans="1:6" ht="30" x14ac:dyDescent="0.25">
      <c r="A59" s="2928"/>
      <c r="B59" s="879"/>
      <c r="C59" s="877"/>
      <c r="D59" s="877"/>
      <c r="E59" s="877"/>
      <c r="F59" s="867" t="s">
        <v>940</v>
      </c>
    </row>
    <row r="60" spans="1:6" x14ac:dyDescent="0.25">
      <c r="A60" s="879">
        <v>41177</v>
      </c>
      <c r="B60" s="879"/>
      <c r="C60" s="877"/>
      <c r="D60" s="877"/>
      <c r="E60" s="877"/>
      <c r="F60" s="878" t="s">
        <v>967</v>
      </c>
    </row>
    <row r="61" spans="1:6" ht="51" x14ac:dyDescent="0.25">
      <c r="A61" s="2926">
        <v>41290</v>
      </c>
      <c r="B61" s="873"/>
      <c r="C61" s="881" t="s">
        <v>968</v>
      </c>
      <c r="D61" s="881"/>
      <c r="E61" s="881"/>
      <c r="F61" s="878" t="s">
        <v>969</v>
      </c>
    </row>
    <row r="62" spans="1:6" ht="30" x14ac:dyDescent="0.25">
      <c r="A62" s="2928"/>
      <c r="B62" s="879"/>
      <c r="C62" s="877"/>
      <c r="D62" s="877"/>
      <c r="E62" s="877"/>
      <c r="F62" s="867" t="s">
        <v>940</v>
      </c>
    </row>
    <row r="63" spans="1:6" ht="25.5" x14ac:dyDescent="0.25">
      <c r="A63" s="2926">
        <v>41540</v>
      </c>
      <c r="B63" s="873"/>
      <c r="C63" s="882" t="s">
        <v>970</v>
      </c>
      <c r="D63" s="882"/>
      <c r="E63" s="882"/>
      <c r="F63" s="882" t="s">
        <v>971</v>
      </c>
    </row>
    <row r="64" spans="1:6" ht="25.5" x14ac:dyDescent="0.25">
      <c r="A64" s="2927"/>
      <c r="B64" s="880"/>
      <c r="C64" s="882" t="s">
        <v>972</v>
      </c>
      <c r="D64" s="882"/>
      <c r="E64" s="882"/>
      <c r="F64" s="882" t="s">
        <v>971</v>
      </c>
    </row>
    <row r="65" spans="1:6" x14ac:dyDescent="0.25">
      <c r="A65" s="2927"/>
      <c r="B65" s="880"/>
      <c r="C65" s="883" t="s">
        <v>973</v>
      </c>
      <c r="D65" s="883"/>
      <c r="E65" s="883"/>
      <c r="F65" s="882" t="s">
        <v>974</v>
      </c>
    </row>
    <row r="66" spans="1:6" ht="30" x14ac:dyDescent="0.25">
      <c r="A66" s="2928"/>
      <c r="B66" s="879"/>
      <c r="C66" s="883"/>
      <c r="D66" s="883"/>
      <c r="E66" s="883"/>
      <c r="F66" s="867" t="s">
        <v>940</v>
      </c>
    </row>
    <row r="67" spans="1:6" ht="25.5" x14ac:dyDescent="0.25">
      <c r="A67" s="2926">
        <v>41592</v>
      </c>
      <c r="B67" s="873"/>
      <c r="C67" s="882" t="s">
        <v>975</v>
      </c>
      <c r="D67" s="882"/>
      <c r="E67" s="882"/>
      <c r="F67" s="882" t="s">
        <v>976</v>
      </c>
    </row>
    <row r="68" spans="1:6" x14ac:dyDescent="0.25">
      <c r="A68" s="2927"/>
      <c r="B68" s="880"/>
      <c r="C68" s="883" t="s">
        <v>790</v>
      </c>
      <c r="D68" s="883"/>
      <c r="E68" s="883"/>
      <c r="F68" s="882" t="s">
        <v>977</v>
      </c>
    </row>
    <row r="69" spans="1:6" x14ac:dyDescent="0.25">
      <c r="A69" s="2927"/>
      <c r="B69" s="880"/>
      <c r="C69" s="883" t="s">
        <v>794</v>
      </c>
      <c r="D69" s="883"/>
      <c r="E69" s="883"/>
      <c r="F69" s="882" t="s">
        <v>977</v>
      </c>
    </row>
    <row r="70" spans="1:6" ht="25.5" x14ac:dyDescent="0.25">
      <c r="A70" s="2928"/>
      <c r="B70" s="879"/>
      <c r="C70" s="882" t="s">
        <v>978</v>
      </c>
      <c r="D70" s="882"/>
      <c r="E70" s="882"/>
      <c r="F70" s="882" t="s">
        <v>979</v>
      </c>
    </row>
    <row r="71" spans="1:6" ht="25.5" x14ac:dyDescent="0.25">
      <c r="A71" s="2926">
        <v>41677</v>
      </c>
      <c r="B71" s="873"/>
      <c r="C71" s="882"/>
      <c r="D71" s="882"/>
      <c r="E71" s="882"/>
      <c r="F71" s="882" t="s">
        <v>940</v>
      </c>
    </row>
    <row r="72" spans="1:6" x14ac:dyDescent="0.25">
      <c r="A72" s="2927"/>
      <c r="B72" s="880"/>
      <c r="C72" s="865" t="s">
        <v>652</v>
      </c>
      <c r="D72" s="865"/>
      <c r="E72" s="865"/>
      <c r="F72" s="2929" t="s">
        <v>980</v>
      </c>
    </row>
    <row r="73" spans="1:6" x14ac:dyDescent="0.25">
      <c r="A73" s="2927"/>
      <c r="B73" s="880"/>
      <c r="C73" s="877" t="s">
        <v>674</v>
      </c>
      <c r="D73" s="877"/>
      <c r="E73" s="877"/>
      <c r="F73" s="2930"/>
    </row>
    <row r="74" spans="1:6" x14ac:dyDescent="0.25">
      <c r="A74" s="2927"/>
      <c r="B74" s="880"/>
      <c r="C74" s="877" t="s">
        <v>677</v>
      </c>
      <c r="D74" s="877"/>
      <c r="E74" s="877"/>
      <c r="F74" s="2930"/>
    </row>
    <row r="75" spans="1:6" x14ac:dyDescent="0.25">
      <c r="A75" s="2927"/>
      <c r="B75" s="880"/>
      <c r="C75" s="877" t="s">
        <v>680</v>
      </c>
      <c r="D75" s="877"/>
      <c r="E75" s="877"/>
      <c r="F75" s="2930"/>
    </row>
    <row r="76" spans="1:6" x14ac:dyDescent="0.25">
      <c r="A76" s="2927"/>
      <c r="B76" s="880"/>
      <c r="C76" s="865" t="s">
        <v>653</v>
      </c>
      <c r="D76" s="865"/>
      <c r="E76" s="865"/>
      <c r="F76" s="2930"/>
    </row>
    <row r="77" spans="1:6" x14ac:dyDescent="0.25">
      <c r="A77" s="2927"/>
      <c r="B77" s="880"/>
      <c r="C77" s="865" t="s">
        <v>654</v>
      </c>
      <c r="D77" s="865"/>
      <c r="E77" s="865"/>
      <c r="F77" s="2930"/>
    </row>
    <row r="78" spans="1:6" x14ac:dyDescent="0.25">
      <c r="A78" s="2927"/>
      <c r="B78" s="880"/>
      <c r="C78" s="865" t="s">
        <v>655</v>
      </c>
      <c r="D78" s="865"/>
      <c r="E78" s="865"/>
      <c r="F78" s="2930"/>
    </row>
    <row r="79" spans="1:6" x14ac:dyDescent="0.25">
      <c r="A79" s="2927"/>
      <c r="B79" s="880"/>
      <c r="C79" s="865" t="s">
        <v>722</v>
      </c>
      <c r="D79" s="865"/>
      <c r="E79" s="865"/>
      <c r="F79" s="2930"/>
    </row>
    <row r="80" spans="1:6" x14ac:dyDescent="0.25">
      <c r="A80" s="2927"/>
      <c r="B80" s="880"/>
      <c r="C80" s="884" t="s">
        <v>700</v>
      </c>
      <c r="D80" s="884"/>
      <c r="E80" s="884"/>
      <c r="F80" s="2930"/>
    </row>
    <row r="81" spans="1:6" x14ac:dyDescent="0.25">
      <c r="A81" s="2927"/>
      <c r="B81" s="880"/>
      <c r="C81" s="884" t="s">
        <v>981</v>
      </c>
      <c r="D81" s="884"/>
      <c r="E81" s="884"/>
      <c r="F81" s="2930"/>
    </row>
    <row r="82" spans="1:6" x14ac:dyDescent="0.25">
      <c r="A82" s="2927"/>
      <c r="B82" s="880"/>
      <c r="C82" s="884" t="s">
        <v>982</v>
      </c>
      <c r="D82" s="884"/>
      <c r="E82" s="884"/>
      <c r="F82" s="2931"/>
    </row>
    <row r="83" spans="1:6" ht="25.5" x14ac:dyDescent="0.25">
      <c r="A83" s="2927"/>
      <c r="B83" s="880"/>
      <c r="C83" s="881" t="s">
        <v>858</v>
      </c>
      <c r="D83" s="881"/>
      <c r="E83" s="881"/>
      <c r="F83" s="882" t="s">
        <v>983</v>
      </c>
    </row>
    <row r="84" spans="1:6" ht="25.5" x14ac:dyDescent="0.25">
      <c r="A84" s="2927"/>
      <c r="B84" s="880"/>
      <c r="C84" s="881" t="s">
        <v>825</v>
      </c>
      <c r="D84" s="881"/>
      <c r="E84" s="881"/>
      <c r="F84" s="882" t="s">
        <v>984</v>
      </c>
    </row>
    <row r="85" spans="1:6" ht="25.5" x14ac:dyDescent="0.25">
      <c r="A85" s="2927"/>
      <c r="B85" s="880"/>
      <c r="C85" s="884" t="s">
        <v>985</v>
      </c>
      <c r="D85" s="884"/>
      <c r="E85" s="884"/>
      <c r="F85" s="882" t="s">
        <v>986</v>
      </c>
    </row>
    <row r="86" spans="1:6" ht="25.5" x14ac:dyDescent="0.25">
      <c r="A86" s="2927"/>
      <c r="B86" s="880"/>
      <c r="C86" s="882" t="s">
        <v>812</v>
      </c>
      <c r="D86" s="882"/>
      <c r="E86" s="882"/>
      <c r="F86" s="882" t="s">
        <v>986</v>
      </c>
    </row>
    <row r="87" spans="1:6" ht="25.5" x14ac:dyDescent="0.25">
      <c r="A87" s="2927"/>
      <c r="B87" s="880"/>
      <c r="C87" s="882" t="s">
        <v>987</v>
      </c>
      <c r="D87" s="882"/>
      <c r="E87" s="882"/>
      <c r="F87" s="882" t="s">
        <v>976</v>
      </c>
    </row>
    <row r="88" spans="1:6" ht="25.5" x14ac:dyDescent="0.25">
      <c r="A88" s="2927"/>
      <c r="B88" s="880"/>
      <c r="C88" s="882" t="s">
        <v>839</v>
      </c>
      <c r="D88" s="882"/>
      <c r="E88" s="882"/>
      <c r="F88" s="882" t="s">
        <v>976</v>
      </c>
    </row>
    <row r="89" spans="1:6" ht="25.5" x14ac:dyDescent="0.25">
      <c r="A89" s="2928"/>
      <c r="B89" s="879"/>
      <c r="C89" s="882" t="s">
        <v>857</v>
      </c>
      <c r="D89" s="882"/>
      <c r="E89" s="882"/>
      <c r="F89" s="882" t="s">
        <v>976</v>
      </c>
    </row>
    <row r="90" spans="1:6" ht="25.5" x14ac:dyDescent="0.25">
      <c r="A90" s="2926">
        <v>41997</v>
      </c>
      <c r="B90" s="873"/>
      <c r="C90" s="882" t="s">
        <v>988</v>
      </c>
      <c r="D90" s="882"/>
      <c r="E90" s="882"/>
      <c r="F90" s="882" t="s">
        <v>989</v>
      </c>
    </row>
    <row r="91" spans="1:6" ht="25.5" x14ac:dyDescent="0.25">
      <c r="A91" s="2927"/>
      <c r="B91" s="880"/>
      <c r="C91" s="882" t="s">
        <v>990</v>
      </c>
      <c r="D91" s="882"/>
      <c r="E91" s="882"/>
      <c r="F91" s="882" t="s">
        <v>991</v>
      </c>
    </row>
    <row r="92" spans="1:6" ht="25.5" x14ac:dyDescent="0.25">
      <c r="A92" s="2927"/>
      <c r="B92" s="880"/>
      <c r="C92" s="884" t="s">
        <v>992</v>
      </c>
      <c r="D92" s="884"/>
      <c r="E92" s="884"/>
      <c r="F92" s="882" t="s">
        <v>993</v>
      </c>
    </row>
    <row r="93" spans="1:6" ht="25.5" x14ac:dyDescent="0.25">
      <c r="A93" s="2927"/>
      <c r="B93" s="880"/>
      <c r="C93" s="882" t="s">
        <v>994</v>
      </c>
      <c r="D93" s="882"/>
      <c r="E93" s="882"/>
      <c r="F93" s="882" t="s">
        <v>995</v>
      </c>
    </row>
    <row r="94" spans="1:6" ht="25.5" x14ac:dyDescent="0.25">
      <c r="A94" s="2927"/>
      <c r="B94" s="880"/>
      <c r="C94" s="882" t="s">
        <v>802</v>
      </c>
      <c r="D94" s="882"/>
      <c r="E94" s="882"/>
      <c r="F94" s="882" t="s">
        <v>996</v>
      </c>
    </row>
    <row r="95" spans="1:6" x14ac:dyDescent="0.25">
      <c r="A95" s="2927"/>
      <c r="B95" s="880"/>
      <c r="C95" s="865" t="s">
        <v>997</v>
      </c>
      <c r="D95" s="865"/>
      <c r="E95" s="865"/>
      <c r="F95" s="865" t="s">
        <v>998</v>
      </c>
    </row>
    <row r="96" spans="1:6" x14ac:dyDescent="0.25">
      <c r="A96" s="2927"/>
      <c r="B96" s="880"/>
      <c r="C96" s="865" t="s">
        <v>999</v>
      </c>
      <c r="D96" s="865"/>
      <c r="E96" s="865"/>
      <c r="F96" s="865" t="s">
        <v>998</v>
      </c>
    </row>
    <row r="97" spans="1:6" ht="25.5" x14ac:dyDescent="0.25">
      <c r="A97" s="2928"/>
      <c r="B97" s="879"/>
      <c r="C97" s="882"/>
      <c r="D97" s="882"/>
      <c r="E97" s="882"/>
      <c r="F97" s="882" t="s">
        <v>940</v>
      </c>
    </row>
    <row r="98" spans="1:6" x14ac:dyDescent="0.25">
      <c r="A98" s="879">
        <v>42079</v>
      </c>
      <c r="B98" s="879"/>
      <c r="C98" s="882" t="s">
        <v>1000</v>
      </c>
      <c r="D98" s="882"/>
      <c r="E98" s="882"/>
      <c r="F98" s="882" t="s">
        <v>1001</v>
      </c>
    </row>
    <row r="99" spans="1:6" x14ac:dyDescent="0.25">
      <c r="A99" s="879"/>
      <c r="B99" s="879"/>
      <c r="C99" s="882"/>
      <c r="D99" s="882"/>
      <c r="E99" s="882"/>
      <c r="F99" s="882"/>
    </row>
    <row r="100" spans="1:6" ht="38.25" x14ac:dyDescent="0.25">
      <c r="A100" s="879">
        <v>42451</v>
      </c>
      <c r="B100" s="879"/>
      <c r="C100" s="882" t="s">
        <v>1002</v>
      </c>
      <c r="D100" s="882"/>
      <c r="E100" s="882"/>
      <c r="F100" s="882" t="s">
        <v>1003</v>
      </c>
    </row>
    <row r="101" spans="1:6" ht="38.25" x14ac:dyDescent="0.25">
      <c r="A101" s="879">
        <v>42565</v>
      </c>
      <c r="B101" s="879"/>
      <c r="C101" s="882" t="s">
        <v>1004</v>
      </c>
      <c r="D101" s="882"/>
      <c r="E101" s="882"/>
      <c r="F101" s="882" t="s">
        <v>1005</v>
      </c>
    </row>
    <row r="102" spans="1:6" ht="26.25" x14ac:dyDescent="0.25">
      <c r="A102" s="864">
        <v>42691</v>
      </c>
      <c r="B102" s="864"/>
      <c r="C102" s="883" t="s">
        <v>1006</v>
      </c>
      <c r="D102" s="883"/>
      <c r="E102" s="883"/>
      <c r="F102" s="865"/>
    </row>
    <row r="103" spans="1:6" ht="26.25" x14ac:dyDescent="0.25">
      <c r="A103" s="864">
        <v>42753</v>
      </c>
      <c r="B103" s="864"/>
      <c r="C103" s="883" t="s">
        <v>1007</v>
      </c>
      <c r="D103" s="883"/>
      <c r="E103" s="883"/>
      <c r="F103" s="865"/>
    </row>
    <row r="104" spans="1:6" x14ac:dyDescent="0.25">
      <c r="A104" s="864">
        <v>42760</v>
      </c>
      <c r="B104" s="864"/>
      <c r="C104" s="883" t="s">
        <v>1008</v>
      </c>
      <c r="D104" s="883"/>
      <c r="E104" s="883"/>
      <c r="F104" s="865"/>
    </row>
    <row r="105" spans="1:6" x14ac:dyDescent="0.25">
      <c r="A105" s="885">
        <v>42783</v>
      </c>
      <c r="B105" s="885"/>
      <c r="C105" s="712" t="s">
        <v>1009</v>
      </c>
      <c r="D105" s="712"/>
      <c r="E105" s="712"/>
      <c r="F105" s="886"/>
    </row>
    <row r="106" spans="1:6" x14ac:dyDescent="0.25">
      <c r="A106" s="885">
        <v>43209</v>
      </c>
      <c r="B106" s="885"/>
      <c r="C106" s="712" t="s">
        <v>1010</v>
      </c>
      <c r="D106" s="712"/>
      <c r="E106" s="712"/>
      <c r="F106" s="886"/>
    </row>
    <row r="107" spans="1:6" ht="39" x14ac:dyDescent="0.25">
      <c r="A107" s="887">
        <v>43266</v>
      </c>
      <c r="B107" s="887" t="s">
        <v>1011</v>
      </c>
      <c r="C107" s="888" t="s">
        <v>1012</v>
      </c>
      <c r="D107" s="888" t="s">
        <v>1013</v>
      </c>
      <c r="E107" s="888"/>
      <c r="F107" s="889" t="s">
        <v>1014</v>
      </c>
    </row>
    <row r="108" spans="1:6" ht="51.75" x14ac:dyDescent="0.25">
      <c r="A108" s="885">
        <v>43278</v>
      </c>
      <c r="B108" s="885" t="s">
        <v>1011</v>
      </c>
      <c r="C108" s="712" t="s">
        <v>1015</v>
      </c>
      <c r="D108" s="712" t="s">
        <v>1013</v>
      </c>
      <c r="E108" s="712"/>
      <c r="F108" s="890" t="s">
        <v>1016</v>
      </c>
    </row>
    <row r="109" spans="1:6" ht="51.75" x14ac:dyDescent="0.25">
      <c r="A109" s="885">
        <v>43279</v>
      </c>
      <c r="B109" s="885" t="s">
        <v>1011</v>
      </c>
      <c r="C109" s="891" t="s">
        <v>1017</v>
      </c>
      <c r="D109" s="712" t="s">
        <v>1018</v>
      </c>
      <c r="E109" s="712"/>
      <c r="F109" s="712" t="s">
        <v>1019</v>
      </c>
    </row>
    <row r="110" spans="1:6" ht="39" x14ac:dyDescent="0.25">
      <c r="A110" s="885">
        <v>43299</v>
      </c>
      <c r="B110" s="885" t="s">
        <v>1020</v>
      </c>
      <c r="C110" s="891" t="s">
        <v>1021</v>
      </c>
      <c r="D110" s="712" t="s">
        <v>1022</v>
      </c>
      <c r="E110" s="712"/>
      <c r="F110" s="712"/>
    </row>
    <row r="111" spans="1:6" ht="26.25" x14ac:dyDescent="0.25">
      <c r="A111" s="885">
        <v>43299</v>
      </c>
      <c r="B111" s="892" t="s">
        <v>1023</v>
      </c>
      <c r="C111" s="891" t="s">
        <v>1024</v>
      </c>
      <c r="D111" s="712" t="s">
        <v>1018</v>
      </c>
      <c r="E111" s="712"/>
      <c r="F111" s="712" t="s">
        <v>1025</v>
      </c>
    </row>
    <row r="112" spans="1:6" ht="26.25" x14ac:dyDescent="0.25">
      <c r="A112" s="885">
        <v>43300</v>
      </c>
      <c r="B112" s="892" t="s">
        <v>1026</v>
      </c>
      <c r="C112" s="891" t="s">
        <v>1027</v>
      </c>
      <c r="D112" s="712" t="s">
        <v>1028</v>
      </c>
      <c r="E112" s="712"/>
      <c r="F112" s="712" t="s">
        <v>1029</v>
      </c>
    </row>
    <row r="113" spans="1:6" x14ac:dyDescent="0.25">
      <c r="A113" s="885">
        <v>43306</v>
      </c>
      <c r="B113" s="892" t="s">
        <v>1030</v>
      </c>
      <c r="C113" s="891" t="s">
        <v>1031</v>
      </c>
      <c r="D113" s="712" t="s">
        <v>1032</v>
      </c>
      <c r="E113" s="712"/>
      <c r="F113" s="712" t="s">
        <v>1033</v>
      </c>
    </row>
    <row r="114" spans="1:6" ht="26.25" x14ac:dyDescent="0.25">
      <c r="A114" s="885">
        <v>43311</v>
      </c>
      <c r="B114" s="885" t="s">
        <v>1034</v>
      </c>
      <c r="C114" s="891" t="s">
        <v>1035</v>
      </c>
      <c r="D114" s="712" t="s">
        <v>1036</v>
      </c>
      <c r="E114" s="712" t="s">
        <v>1037</v>
      </c>
      <c r="F114" s="712"/>
    </row>
    <row r="115" spans="1:6" ht="39" x14ac:dyDescent="0.25">
      <c r="A115" s="885">
        <v>43313</v>
      </c>
      <c r="B115" s="885" t="s">
        <v>1038</v>
      </c>
      <c r="C115" s="891" t="s">
        <v>1039</v>
      </c>
      <c r="D115" s="712" t="s">
        <v>1040</v>
      </c>
      <c r="E115" s="712" t="s">
        <v>1037</v>
      </c>
      <c r="F115" s="712"/>
    </row>
    <row r="116" spans="1:6" ht="26.25" x14ac:dyDescent="0.25">
      <c r="A116" s="885">
        <v>43685</v>
      </c>
      <c r="B116" s="885" t="s">
        <v>1041</v>
      </c>
      <c r="C116" s="891" t="s">
        <v>1042</v>
      </c>
      <c r="D116" s="712" t="s">
        <v>1043</v>
      </c>
      <c r="E116" s="712" t="s">
        <v>1044</v>
      </c>
      <c r="F116" s="712" t="s">
        <v>1045</v>
      </c>
    </row>
    <row r="117" spans="1:6" ht="26.25" x14ac:dyDescent="0.25">
      <c r="A117" s="885">
        <v>43333</v>
      </c>
      <c r="B117" s="885" t="s">
        <v>1046</v>
      </c>
      <c r="C117" s="891" t="s">
        <v>1047</v>
      </c>
      <c r="D117" s="712" t="s">
        <v>1048</v>
      </c>
      <c r="E117" s="712" t="s">
        <v>1037</v>
      </c>
      <c r="F117" s="712"/>
    </row>
    <row r="118" spans="1:6" ht="51.75" x14ac:dyDescent="0.25">
      <c r="A118" s="885">
        <v>43341</v>
      </c>
      <c r="B118" s="885" t="s">
        <v>1046</v>
      </c>
      <c r="C118" s="891" t="s">
        <v>1049</v>
      </c>
      <c r="D118" s="712" t="s">
        <v>1050</v>
      </c>
      <c r="E118" s="712" t="s">
        <v>1037</v>
      </c>
      <c r="F118" s="712"/>
    </row>
    <row r="119" spans="1:6" ht="39" x14ac:dyDescent="0.25">
      <c r="A119" s="885">
        <v>43344</v>
      </c>
      <c r="B119" s="885" t="s">
        <v>1051</v>
      </c>
      <c r="C119" s="891" t="s">
        <v>1052</v>
      </c>
      <c r="D119" s="712" t="s">
        <v>1053</v>
      </c>
      <c r="E119" s="712" t="s">
        <v>1037</v>
      </c>
      <c r="F119" s="712"/>
    </row>
    <row r="120" spans="1:6" x14ac:dyDescent="0.25">
      <c r="A120" s="885">
        <v>43355</v>
      </c>
      <c r="B120" s="885" t="s">
        <v>1054</v>
      </c>
      <c r="C120" s="891" t="s">
        <v>1055</v>
      </c>
      <c r="D120" s="712" t="s">
        <v>1056</v>
      </c>
      <c r="E120" s="712" t="s">
        <v>1037</v>
      </c>
      <c r="F120" s="712"/>
    </row>
    <row r="121" spans="1:6" x14ac:dyDescent="0.25">
      <c r="A121" s="885">
        <v>43360</v>
      </c>
      <c r="B121" s="885" t="s">
        <v>1057</v>
      </c>
      <c r="C121" s="891" t="s">
        <v>1058</v>
      </c>
      <c r="D121" s="712"/>
      <c r="E121" s="712" t="s">
        <v>1037</v>
      </c>
      <c r="F121" s="712"/>
    </row>
    <row r="122" spans="1:6" ht="306.75" x14ac:dyDescent="0.25">
      <c r="A122" s="885"/>
      <c r="B122" s="885" t="s">
        <v>1059</v>
      </c>
      <c r="C122" s="891" t="s">
        <v>1060</v>
      </c>
      <c r="D122" s="712"/>
      <c r="E122" s="712" t="s">
        <v>1037</v>
      </c>
      <c r="F122" s="712"/>
    </row>
    <row r="123" spans="1:6" x14ac:dyDescent="0.25">
      <c r="A123" s="885">
        <v>43375</v>
      </c>
      <c r="B123" s="885" t="s">
        <v>1061</v>
      </c>
      <c r="C123" s="891" t="s">
        <v>1062</v>
      </c>
      <c r="D123" s="712" t="s">
        <v>1063</v>
      </c>
      <c r="E123" s="712" t="s">
        <v>1037</v>
      </c>
      <c r="F123" s="712"/>
    </row>
    <row r="124" spans="1:6" ht="77.25" x14ac:dyDescent="0.25">
      <c r="A124" s="885">
        <v>43411</v>
      </c>
      <c r="B124" s="885" t="s">
        <v>1064</v>
      </c>
      <c r="C124" s="891" t="s">
        <v>1065</v>
      </c>
      <c r="D124" s="712" t="s">
        <v>1066</v>
      </c>
      <c r="E124" s="712" t="s">
        <v>1037</v>
      </c>
      <c r="F124" s="712"/>
    </row>
    <row r="125" spans="1:6" ht="26.25" x14ac:dyDescent="0.25">
      <c r="A125" s="885">
        <v>43424</v>
      </c>
      <c r="B125" s="885" t="s">
        <v>1067</v>
      </c>
      <c r="C125" s="891" t="s">
        <v>1068</v>
      </c>
      <c r="D125" s="712" t="s">
        <v>1069</v>
      </c>
      <c r="E125" s="712" t="s">
        <v>1037</v>
      </c>
      <c r="F125" s="712"/>
    </row>
    <row r="126" spans="1:6" x14ac:dyDescent="0.25">
      <c r="A126" s="885">
        <v>43430</v>
      </c>
      <c r="B126" s="885" t="s">
        <v>1067</v>
      </c>
      <c r="C126" s="891" t="s">
        <v>1070</v>
      </c>
      <c r="D126" s="712" t="s">
        <v>1071</v>
      </c>
      <c r="E126" s="712" t="s">
        <v>1037</v>
      </c>
      <c r="F126" s="712"/>
    </row>
    <row r="127" spans="1:6" x14ac:dyDescent="0.25">
      <c r="A127" s="885">
        <v>43431</v>
      </c>
      <c r="B127" s="885" t="s">
        <v>1067</v>
      </c>
      <c r="C127" s="891" t="s">
        <v>1072</v>
      </c>
      <c r="D127" s="712" t="s">
        <v>1073</v>
      </c>
      <c r="E127" s="712" t="s">
        <v>1037</v>
      </c>
      <c r="F127" s="712"/>
    </row>
    <row r="128" spans="1:6" x14ac:dyDescent="0.25">
      <c r="A128" s="885">
        <v>43440</v>
      </c>
      <c r="B128" s="885" t="s">
        <v>1067</v>
      </c>
      <c r="C128" s="891" t="s">
        <v>1074</v>
      </c>
      <c r="D128" s="712" t="s">
        <v>1075</v>
      </c>
      <c r="E128" s="712" t="s">
        <v>1076</v>
      </c>
      <c r="F128" s="712"/>
    </row>
    <row r="129" spans="1:6" x14ac:dyDescent="0.25">
      <c r="A129" s="885">
        <v>43435</v>
      </c>
      <c r="B129" s="885" t="s">
        <v>1067</v>
      </c>
      <c r="C129" s="891" t="s">
        <v>1077</v>
      </c>
      <c r="D129" s="712" t="s">
        <v>1078</v>
      </c>
      <c r="E129" s="712" t="s">
        <v>1076</v>
      </c>
      <c r="F129" s="712"/>
    </row>
    <row r="130" spans="1:6" x14ac:dyDescent="0.25">
      <c r="A130" s="885"/>
      <c r="B130" s="885" t="s">
        <v>1079</v>
      </c>
      <c r="C130" s="891" t="s">
        <v>1080</v>
      </c>
      <c r="D130" s="712"/>
      <c r="E130" s="712" t="s">
        <v>1037</v>
      </c>
      <c r="F130" s="712"/>
    </row>
    <row r="131" spans="1:6" ht="51.75" x14ac:dyDescent="0.25">
      <c r="A131" s="885">
        <v>43473</v>
      </c>
      <c r="B131" s="885" t="s">
        <v>1081</v>
      </c>
      <c r="C131" s="891" t="s">
        <v>1082</v>
      </c>
      <c r="D131" s="712"/>
      <c r="E131" s="712" t="s">
        <v>1037</v>
      </c>
      <c r="F131" s="712"/>
    </row>
    <row r="132" spans="1:6" ht="26.25" x14ac:dyDescent="0.25">
      <c r="A132" s="885">
        <v>43476</v>
      </c>
      <c r="B132" s="885" t="s">
        <v>1081</v>
      </c>
      <c r="C132" s="891" t="s">
        <v>1083</v>
      </c>
      <c r="D132" s="712"/>
      <c r="E132" s="712" t="s">
        <v>1037</v>
      </c>
      <c r="F132" s="712"/>
    </row>
    <row r="133" spans="1:6" x14ac:dyDescent="0.25">
      <c r="A133" s="885">
        <v>43482</v>
      </c>
      <c r="B133" s="885" t="s">
        <v>1081</v>
      </c>
      <c r="C133" s="891" t="s">
        <v>1084</v>
      </c>
      <c r="D133" s="712" t="s">
        <v>1063</v>
      </c>
      <c r="E133" s="712" t="s">
        <v>1037</v>
      </c>
      <c r="F133" s="712"/>
    </row>
    <row r="134" spans="1:6" x14ac:dyDescent="0.25">
      <c r="A134" s="885">
        <v>43510</v>
      </c>
      <c r="B134" s="885" t="s">
        <v>1081</v>
      </c>
      <c r="C134" s="891" t="s">
        <v>1085</v>
      </c>
      <c r="D134" s="712" t="s">
        <v>1086</v>
      </c>
      <c r="E134" s="712" t="s">
        <v>1037</v>
      </c>
      <c r="F134" s="712"/>
    </row>
    <row r="135" spans="1:6" ht="39" x14ac:dyDescent="0.25">
      <c r="A135" s="885">
        <v>43517</v>
      </c>
      <c r="B135" s="885" t="s">
        <v>1087</v>
      </c>
      <c r="C135" s="891" t="s">
        <v>1088</v>
      </c>
      <c r="D135" s="712" t="s">
        <v>1089</v>
      </c>
      <c r="E135" s="712" t="s">
        <v>1037</v>
      </c>
      <c r="F135" s="712"/>
    </row>
    <row r="136" spans="1:6" ht="39" x14ac:dyDescent="0.25">
      <c r="A136" s="885">
        <v>43521</v>
      </c>
      <c r="B136" s="885" t="s">
        <v>1087</v>
      </c>
      <c r="C136" s="891" t="s">
        <v>1090</v>
      </c>
      <c r="D136" s="712" t="s">
        <v>1091</v>
      </c>
      <c r="E136" s="712" t="s">
        <v>1037</v>
      </c>
      <c r="F136" s="712"/>
    </row>
    <row r="137" spans="1:6" x14ac:dyDescent="0.25">
      <c r="A137" s="885">
        <v>43523</v>
      </c>
      <c r="B137" s="885" t="s">
        <v>1087</v>
      </c>
      <c r="C137" s="891" t="s">
        <v>1092</v>
      </c>
      <c r="D137" s="712" t="s">
        <v>1093</v>
      </c>
      <c r="E137" s="712" t="s">
        <v>1094</v>
      </c>
      <c r="F137" s="712"/>
    </row>
    <row r="138" spans="1:6" ht="26.25" x14ac:dyDescent="0.25">
      <c r="A138" s="885">
        <v>43524</v>
      </c>
      <c r="B138" s="885" t="s">
        <v>1087</v>
      </c>
      <c r="C138" s="891" t="s">
        <v>1095</v>
      </c>
      <c r="D138" s="712" t="s">
        <v>1096</v>
      </c>
      <c r="E138" s="712" t="s">
        <v>1037</v>
      </c>
      <c r="F138" s="712"/>
    </row>
    <row r="139" spans="1:6" x14ac:dyDescent="0.25">
      <c r="A139" s="885">
        <v>43543</v>
      </c>
      <c r="B139" s="892" t="s">
        <v>1087</v>
      </c>
      <c r="C139" s="891" t="s">
        <v>1097</v>
      </c>
      <c r="D139" s="712" t="s">
        <v>1093</v>
      </c>
      <c r="E139" s="712" t="s">
        <v>1094</v>
      </c>
      <c r="F139" s="712"/>
    </row>
    <row r="140" spans="1:6" ht="102.75" x14ac:dyDescent="0.25">
      <c r="A140" s="885">
        <v>43553</v>
      </c>
      <c r="B140" s="892" t="s">
        <v>1098</v>
      </c>
      <c r="C140" s="891" t="s">
        <v>1099</v>
      </c>
      <c r="D140" s="712"/>
      <c r="E140" s="712" t="s">
        <v>1037</v>
      </c>
      <c r="F140" s="712"/>
    </row>
    <row r="141" spans="1:6" ht="64.5" x14ac:dyDescent="0.25">
      <c r="A141" s="885">
        <v>43559</v>
      </c>
      <c r="B141" s="892" t="s">
        <v>1100</v>
      </c>
      <c r="C141" s="712" t="s">
        <v>1101</v>
      </c>
      <c r="D141" s="712"/>
      <c r="E141" s="712" t="s">
        <v>1037</v>
      </c>
      <c r="F141" s="712"/>
    </row>
    <row r="142" spans="1:6" ht="26.25" x14ac:dyDescent="0.25">
      <c r="A142" s="885">
        <v>43564</v>
      </c>
      <c r="B142" s="892" t="s">
        <v>1102</v>
      </c>
      <c r="C142" s="712" t="s">
        <v>1103</v>
      </c>
      <c r="D142" s="712"/>
      <c r="E142" s="712" t="s">
        <v>1037</v>
      </c>
      <c r="F142" s="712"/>
    </row>
    <row r="143" spans="1:6" ht="77.25" x14ac:dyDescent="0.25">
      <c r="A143" s="885">
        <v>43566</v>
      </c>
      <c r="B143" s="892" t="s">
        <v>1104</v>
      </c>
      <c r="C143" s="712" t="s">
        <v>1105</v>
      </c>
      <c r="D143" s="712"/>
      <c r="E143" s="712" t="s">
        <v>1037</v>
      </c>
      <c r="F143" s="712"/>
    </row>
    <row r="144" spans="1:6" ht="26.25" x14ac:dyDescent="0.25">
      <c r="A144" s="885">
        <v>43591</v>
      </c>
      <c r="B144" s="892" t="s">
        <v>1106</v>
      </c>
      <c r="C144" s="712" t="s">
        <v>1107</v>
      </c>
      <c r="D144" s="712"/>
      <c r="E144" s="712" t="s">
        <v>1037</v>
      </c>
      <c r="F144" s="712"/>
    </row>
    <row r="145" spans="1:6" ht="39" x14ac:dyDescent="0.25">
      <c r="A145" s="885">
        <v>43630</v>
      </c>
      <c r="B145" s="892" t="s">
        <v>1108</v>
      </c>
      <c r="C145" s="712" t="s">
        <v>1109</v>
      </c>
      <c r="D145" s="712"/>
      <c r="E145" s="712" t="s">
        <v>1037</v>
      </c>
      <c r="F145" s="712"/>
    </row>
    <row r="146" spans="1:6" x14ac:dyDescent="0.25">
      <c r="A146" s="885">
        <v>43633</v>
      </c>
      <c r="B146" s="892" t="s">
        <v>1108</v>
      </c>
      <c r="C146" s="712" t="s">
        <v>1110</v>
      </c>
      <c r="D146" s="712"/>
      <c r="E146" s="712" t="s">
        <v>1037</v>
      </c>
      <c r="F146" s="712"/>
    </row>
    <row r="147" spans="1:6" x14ac:dyDescent="0.25">
      <c r="A147" s="885">
        <v>43634</v>
      </c>
      <c r="B147" s="892" t="s">
        <v>1108</v>
      </c>
      <c r="C147" s="712" t="s">
        <v>1111</v>
      </c>
      <c r="D147" s="712"/>
      <c r="E147" s="712" t="s">
        <v>1037</v>
      </c>
      <c r="F147" s="712"/>
    </row>
    <row r="148" spans="1:6" ht="128.25" x14ac:dyDescent="0.25">
      <c r="A148" s="885">
        <v>43649</v>
      </c>
      <c r="B148" s="892" t="s">
        <v>1112</v>
      </c>
      <c r="C148" s="712" t="s">
        <v>1113</v>
      </c>
      <c r="D148" s="712"/>
      <c r="E148" s="712" t="s">
        <v>1114</v>
      </c>
      <c r="F148" s="712"/>
    </row>
    <row r="149" spans="1:6" ht="26.25" x14ac:dyDescent="0.25">
      <c r="A149" s="885">
        <v>43662</v>
      </c>
      <c r="B149" s="892" t="s">
        <v>1112</v>
      </c>
      <c r="C149" s="712" t="s">
        <v>1115</v>
      </c>
      <c r="D149" s="712"/>
      <c r="E149" s="712" t="s">
        <v>1116</v>
      </c>
      <c r="F149" s="712"/>
    </row>
    <row r="150" spans="1:6" ht="39" x14ac:dyDescent="0.25">
      <c r="A150" s="885">
        <v>43677</v>
      </c>
      <c r="B150" s="892" t="s">
        <v>1117</v>
      </c>
      <c r="C150" s="712" t="s">
        <v>1118</v>
      </c>
      <c r="D150" s="712"/>
      <c r="E150" s="712"/>
      <c r="F150" s="712"/>
    </row>
    <row r="151" spans="1:6" ht="153.75" x14ac:dyDescent="0.25">
      <c r="A151" s="885">
        <v>43682</v>
      </c>
      <c r="B151" s="892" t="s">
        <v>1119</v>
      </c>
      <c r="C151" s="712" t="s">
        <v>1120</v>
      </c>
      <c r="D151" s="712"/>
      <c r="E151" s="712" t="s">
        <v>1121</v>
      </c>
      <c r="F151" s="712"/>
    </row>
    <row r="152" spans="1:6" ht="51.75" x14ac:dyDescent="0.25">
      <c r="A152" s="885">
        <v>43706</v>
      </c>
      <c r="B152" s="892" t="s">
        <v>1122</v>
      </c>
      <c r="C152" s="712" t="s">
        <v>1126</v>
      </c>
      <c r="D152" s="712"/>
      <c r="E152" s="712" t="s">
        <v>1121</v>
      </c>
      <c r="F152" s="712"/>
    </row>
    <row r="153" spans="1:6" x14ac:dyDescent="0.25">
      <c r="A153" s="885">
        <v>43720</v>
      </c>
      <c r="B153" s="892" t="s">
        <v>1139</v>
      </c>
      <c r="C153" s="712" t="s">
        <v>1131</v>
      </c>
      <c r="D153" s="712" t="s">
        <v>288</v>
      </c>
      <c r="E153" s="712"/>
      <c r="F153" s="712"/>
    </row>
    <row r="154" spans="1:6" ht="39" x14ac:dyDescent="0.25">
      <c r="A154" s="885">
        <v>43721</v>
      </c>
      <c r="B154" s="892" t="s">
        <v>1138</v>
      </c>
      <c r="C154" s="712" t="s">
        <v>1136</v>
      </c>
      <c r="D154" s="712" t="s">
        <v>1137</v>
      </c>
      <c r="E154" s="712" t="s">
        <v>1121</v>
      </c>
      <c r="F154" s="712"/>
    </row>
    <row r="155" spans="1:6" ht="26.25" x14ac:dyDescent="0.25">
      <c r="A155" s="885">
        <v>43732</v>
      </c>
      <c r="B155" s="892" t="s">
        <v>1140</v>
      </c>
      <c r="C155" s="712" t="s">
        <v>1142</v>
      </c>
      <c r="D155" s="712" t="s">
        <v>1143</v>
      </c>
      <c r="E155" s="712" t="s">
        <v>1141</v>
      </c>
      <c r="F155" s="712"/>
    </row>
    <row r="156" spans="1:6" ht="217.5" x14ac:dyDescent="0.25">
      <c r="A156" s="885">
        <v>43742</v>
      </c>
      <c r="B156" s="892" t="s">
        <v>1184</v>
      </c>
      <c r="C156" s="712" t="s">
        <v>1189</v>
      </c>
      <c r="D156" s="712" t="s">
        <v>1185</v>
      </c>
      <c r="E156" s="712" t="s">
        <v>1121</v>
      </c>
      <c r="F156" s="712"/>
    </row>
    <row r="157" spans="1:6" ht="179.25" x14ac:dyDescent="0.25">
      <c r="A157" s="885"/>
      <c r="B157" s="892" t="s">
        <v>1252</v>
      </c>
      <c r="C157" s="712" t="s">
        <v>1315</v>
      </c>
      <c r="D157" s="712"/>
      <c r="E157" s="712"/>
      <c r="F157" s="712"/>
    </row>
    <row r="158" spans="1:6" ht="26.25" x14ac:dyDescent="0.25">
      <c r="A158" s="885"/>
      <c r="B158" s="892" t="s">
        <v>1361</v>
      </c>
      <c r="C158" s="712" t="s">
        <v>1362</v>
      </c>
      <c r="D158" s="712"/>
      <c r="E158" s="712" t="s">
        <v>1121</v>
      </c>
      <c r="F158" s="712"/>
    </row>
    <row r="159" spans="1:6" ht="64.5" x14ac:dyDescent="0.25">
      <c r="A159" s="885"/>
      <c r="B159" s="892" t="s">
        <v>1345</v>
      </c>
      <c r="C159" s="2515" t="s">
        <v>1363</v>
      </c>
      <c r="D159" s="712"/>
      <c r="E159" s="712"/>
      <c r="F159" s="712"/>
    </row>
    <row r="160" spans="1:6" ht="153.75" x14ac:dyDescent="0.25">
      <c r="A160" s="885"/>
      <c r="B160" s="892" t="s">
        <v>1366</v>
      </c>
      <c r="C160" s="2515" t="s">
        <v>1482</v>
      </c>
      <c r="D160" s="712"/>
      <c r="E160" s="712"/>
      <c r="F160" s="712"/>
    </row>
    <row r="161" spans="1:6" ht="39" x14ac:dyDescent="0.25">
      <c r="A161" s="885"/>
      <c r="B161" s="892" t="s">
        <v>1444</v>
      </c>
      <c r="C161" s="712" t="s">
        <v>1481</v>
      </c>
      <c r="D161" s="712"/>
      <c r="E161" s="712" t="s">
        <v>1445</v>
      </c>
      <c r="F161" s="712"/>
    </row>
    <row r="162" spans="1:6" ht="192" x14ac:dyDescent="0.25">
      <c r="A162" s="885"/>
      <c r="B162" s="892" t="s">
        <v>1468</v>
      </c>
      <c r="C162" s="712" t="s">
        <v>1870</v>
      </c>
      <c r="D162" s="712"/>
      <c r="E162" s="712"/>
      <c r="F162" s="712"/>
    </row>
    <row r="163" spans="1:6" x14ac:dyDescent="0.25">
      <c r="A163" s="885">
        <v>43969</v>
      </c>
      <c r="B163" s="892" t="s">
        <v>1468</v>
      </c>
      <c r="C163" s="712" t="s">
        <v>1883</v>
      </c>
      <c r="D163" s="712"/>
      <c r="E163" s="712"/>
      <c r="F163" s="712"/>
    </row>
    <row r="164" spans="1:6" x14ac:dyDescent="0.25">
      <c r="A164" s="885">
        <v>43978</v>
      </c>
      <c r="B164" s="892" t="s">
        <v>1468</v>
      </c>
      <c r="C164" s="712" t="s">
        <v>1891</v>
      </c>
      <c r="D164" s="712"/>
      <c r="E164" s="712"/>
      <c r="F164" s="712"/>
    </row>
    <row r="165" spans="1:6" x14ac:dyDescent="0.25">
      <c r="A165" s="885">
        <v>43987</v>
      </c>
      <c r="B165" s="892" t="s">
        <v>1468</v>
      </c>
      <c r="C165" s="712" t="s">
        <v>1893</v>
      </c>
      <c r="D165" s="712"/>
      <c r="E165" s="712"/>
      <c r="F165" s="712"/>
    </row>
    <row r="166" spans="1:6" x14ac:dyDescent="0.25">
      <c r="A166" s="885"/>
      <c r="B166" s="892"/>
      <c r="C166" s="712"/>
      <c r="D166" s="712"/>
      <c r="E166" s="712"/>
      <c r="F166" s="712"/>
    </row>
    <row r="167" spans="1:6" ht="39" x14ac:dyDescent="0.25">
      <c r="A167" s="885">
        <v>44071</v>
      </c>
      <c r="B167" s="892" t="s">
        <v>1897</v>
      </c>
      <c r="C167" s="712" t="s">
        <v>1898</v>
      </c>
      <c r="D167" s="712"/>
      <c r="E167" s="712"/>
      <c r="F167" s="712"/>
    </row>
    <row r="168" spans="1:6" x14ac:dyDescent="0.25">
      <c r="A168" s="885">
        <v>44001</v>
      </c>
      <c r="B168" s="892" t="s">
        <v>1468</v>
      </c>
      <c r="C168" s="712" t="s">
        <v>1894</v>
      </c>
      <c r="D168" s="712"/>
      <c r="E168" s="712"/>
      <c r="F168" s="712"/>
    </row>
    <row r="169" spans="1:6" ht="26.25" x14ac:dyDescent="0.25">
      <c r="A169" s="885" t="s">
        <v>1123</v>
      </c>
      <c r="B169" s="892"/>
      <c r="C169" s="712" t="s">
        <v>1124</v>
      </c>
      <c r="D169" s="712"/>
      <c r="E169" s="712"/>
      <c r="F169" s="712"/>
    </row>
    <row r="170" spans="1:6" x14ac:dyDescent="0.25">
      <c r="A170" s="885"/>
      <c r="B170" s="892"/>
      <c r="C170" s="712" t="s">
        <v>1125</v>
      </c>
      <c r="D170" s="712"/>
      <c r="E170" s="712"/>
      <c r="F170" s="712"/>
    </row>
    <row r="171" spans="1:6" x14ac:dyDescent="0.25">
      <c r="A171" s="885"/>
      <c r="B171" s="892"/>
      <c r="C171" s="712"/>
      <c r="D171" s="712"/>
      <c r="E171" s="712"/>
      <c r="F171" s="712"/>
    </row>
    <row r="172" spans="1:6" ht="26.25" x14ac:dyDescent="0.25">
      <c r="A172" s="885">
        <v>44109</v>
      </c>
      <c r="B172" s="892" t="s">
        <v>1899</v>
      </c>
      <c r="C172" s="712" t="s">
        <v>1900</v>
      </c>
      <c r="D172" s="712"/>
      <c r="E172" s="712"/>
      <c r="F172" s="712"/>
    </row>
    <row r="173" spans="1:6" x14ac:dyDescent="0.25">
      <c r="A173" s="885"/>
      <c r="B173" s="892"/>
      <c r="C173" s="712" t="s">
        <v>1902</v>
      </c>
      <c r="D173" s="712"/>
      <c r="E173" s="712"/>
      <c r="F173" s="712"/>
    </row>
    <row r="174" spans="1:6" x14ac:dyDescent="0.25">
      <c r="A174" s="885"/>
      <c r="B174" s="892"/>
      <c r="C174" s="712" t="s">
        <v>1904</v>
      </c>
      <c r="D174" s="712"/>
      <c r="E174" s="712"/>
      <c r="F174" s="712"/>
    </row>
    <row r="175" spans="1:6" x14ac:dyDescent="0.25">
      <c r="A175" s="885"/>
      <c r="B175" s="892"/>
      <c r="C175" s="712"/>
      <c r="D175" s="712"/>
      <c r="E175" s="712"/>
      <c r="F175" s="712"/>
    </row>
    <row r="176" spans="1:6" x14ac:dyDescent="0.25">
      <c r="A176" s="885">
        <v>44166</v>
      </c>
      <c r="B176" s="892" t="s">
        <v>1905</v>
      </c>
      <c r="C176" s="712" t="s">
        <v>1906</v>
      </c>
      <c r="D176" s="712"/>
      <c r="E176" s="712"/>
      <c r="F176" s="712"/>
    </row>
    <row r="177" spans="1:6" ht="26.25" x14ac:dyDescent="0.25">
      <c r="A177" s="885">
        <v>44181</v>
      </c>
      <c r="B177" s="892" t="s">
        <v>1913</v>
      </c>
      <c r="C177" s="893" t="s">
        <v>1914</v>
      </c>
      <c r="D177" s="712" t="s">
        <v>1915</v>
      </c>
      <c r="E177" s="712" t="s">
        <v>1121</v>
      </c>
      <c r="F177" s="712"/>
    </row>
    <row r="178" spans="1:6" x14ac:dyDescent="0.25">
      <c r="A178" s="885"/>
      <c r="B178" s="892"/>
      <c r="C178" s="712"/>
      <c r="D178" s="712"/>
      <c r="E178" s="712"/>
      <c r="F178" s="712"/>
    </row>
    <row r="179" spans="1:6" ht="26.25" x14ac:dyDescent="0.25">
      <c r="A179" s="885">
        <v>44200</v>
      </c>
      <c r="B179" s="2081">
        <v>1.5</v>
      </c>
      <c r="C179" s="712" t="s">
        <v>1917</v>
      </c>
      <c r="D179" s="712" t="s">
        <v>1916</v>
      </c>
      <c r="E179" s="712" t="s">
        <v>1037</v>
      </c>
      <c r="F179" s="712"/>
    </row>
    <row r="180" spans="1:6" x14ac:dyDescent="0.25">
      <c r="A180" s="885"/>
      <c r="B180" s="2081">
        <v>1.51</v>
      </c>
      <c r="C180" s="712"/>
      <c r="D180" s="712"/>
      <c r="E180" s="712"/>
      <c r="F180" s="712"/>
    </row>
    <row r="181" spans="1:6" x14ac:dyDescent="0.25">
      <c r="A181" s="885">
        <v>44222</v>
      </c>
      <c r="B181" s="2081">
        <v>1.52</v>
      </c>
      <c r="C181" s="712" t="s">
        <v>1942</v>
      </c>
      <c r="D181" s="712"/>
      <c r="E181" s="712" t="s">
        <v>1037</v>
      </c>
      <c r="F181" s="712"/>
    </row>
    <row r="182" spans="1:6" x14ac:dyDescent="0.25">
      <c r="A182" s="885">
        <v>44235</v>
      </c>
      <c r="B182" s="2081">
        <v>1.55</v>
      </c>
      <c r="C182" s="712" t="s">
        <v>1963</v>
      </c>
      <c r="D182" s="712" t="s">
        <v>1961</v>
      </c>
      <c r="E182" s="712" t="s">
        <v>1962</v>
      </c>
      <c r="F182" s="712" t="s">
        <v>1964</v>
      </c>
    </row>
    <row r="183" spans="1:6" x14ac:dyDescent="0.25">
      <c r="A183" s="885"/>
      <c r="B183" s="892"/>
      <c r="C183" s="712" t="s">
        <v>2020</v>
      </c>
      <c r="D183" s="712" t="s">
        <v>2021</v>
      </c>
      <c r="E183" s="712" t="s">
        <v>1037</v>
      </c>
      <c r="F183" s="712"/>
    </row>
    <row r="184" spans="1:6" x14ac:dyDescent="0.25">
      <c r="A184" s="885"/>
      <c r="B184" s="892"/>
      <c r="C184" s="712" t="s">
        <v>2022</v>
      </c>
      <c r="D184" s="712" t="s">
        <v>2023</v>
      </c>
      <c r="E184" s="712" t="s">
        <v>1037</v>
      </c>
      <c r="F184" s="712"/>
    </row>
    <row r="185" spans="1:6" ht="26.25" x14ac:dyDescent="0.25">
      <c r="A185" s="885">
        <v>44250</v>
      </c>
      <c r="B185" s="2081">
        <v>1.56</v>
      </c>
      <c r="C185" s="712" t="s">
        <v>2027</v>
      </c>
      <c r="D185" s="712" t="s">
        <v>2025</v>
      </c>
      <c r="E185" s="712" t="s">
        <v>1962</v>
      </c>
      <c r="F185" s="712" t="s">
        <v>2026</v>
      </c>
    </row>
    <row r="186" spans="1:6" x14ac:dyDescent="0.25">
      <c r="A186" s="885">
        <v>44256</v>
      </c>
      <c r="B186" s="2081">
        <v>1.56</v>
      </c>
      <c r="C186" s="712" t="s">
        <v>2030</v>
      </c>
      <c r="D186" s="712" t="s">
        <v>2028</v>
      </c>
      <c r="E186" s="712" t="s">
        <v>1094</v>
      </c>
      <c r="F186" s="712" t="s">
        <v>2029</v>
      </c>
    </row>
    <row r="187" spans="1:6" ht="26.25" x14ac:dyDescent="0.25">
      <c r="A187" s="885">
        <v>44258</v>
      </c>
      <c r="B187" s="2081">
        <v>1.56</v>
      </c>
      <c r="C187" s="712" t="s">
        <v>2037</v>
      </c>
      <c r="D187" s="2112" t="s">
        <v>2038</v>
      </c>
      <c r="E187" s="2112" t="s">
        <v>1962</v>
      </c>
      <c r="F187" s="712" t="s">
        <v>2039</v>
      </c>
    </row>
    <row r="188" spans="1:6" x14ac:dyDescent="0.25">
      <c r="A188" s="885"/>
      <c r="B188" s="892"/>
      <c r="C188" s="712"/>
      <c r="D188" s="712"/>
      <c r="E188" s="712"/>
      <c r="F188" s="712"/>
    </row>
    <row r="189" spans="1:6" ht="26.25" x14ac:dyDescent="0.25">
      <c r="A189" s="885">
        <v>44267</v>
      </c>
      <c r="B189" s="2081">
        <v>1.6</v>
      </c>
      <c r="C189" s="712" t="s">
        <v>2305</v>
      </c>
      <c r="D189" s="2112" t="s">
        <v>2038</v>
      </c>
      <c r="E189" s="2112" t="s">
        <v>1962</v>
      </c>
      <c r="F189" s="712" t="s">
        <v>2039</v>
      </c>
    </row>
    <row r="190" spans="1:6" x14ac:dyDescent="0.25">
      <c r="A190" s="885"/>
      <c r="B190" s="892"/>
      <c r="C190" s="712"/>
      <c r="D190" s="712"/>
      <c r="E190" s="712"/>
      <c r="F190" s="712"/>
    </row>
    <row r="191" spans="1:6" ht="39" x14ac:dyDescent="0.25">
      <c r="A191" s="885">
        <v>44281</v>
      </c>
      <c r="B191" s="2081">
        <v>1.61</v>
      </c>
      <c r="C191" s="712" t="s">
        <v>2306</v>
      </c>
      <c r="D191" s="2112" t="s">
        <v>2307</v>
      </c>
      <c r="E191" s="2112" t="s">
        <v>1037</v>
      </c>
      <c r="F191" s="712" t="s">
        <v>2308</v>
      </c>
    </row>
    <row r="192" spans="1:6" x14ac:dyDescent="0.25">
      <c r="A192" s="885"/>
      <c r="B192" s="892"/>
      <c r="C192" s="712" t="s">
        <v>2311</v>
      </c>
      <c r="D192" s="712"/>
      <c r="E192" s="2112" t="s">
        <v>1037</v>
      </c>
      <c r="F192" s="712"/>
    </row>
    <row r="193" spans="1:6" x14ac:dyDescent="0.25">
      <c r="A193" s="885"/>
      <c r="B193" s="892"/>
      <c r="C193" s="712" t="s">
        <v>2312</v>
      </c>
      <c r="D193" s="712" t="s">
        <v>2315</v>
      </c>
      <c r="E193" s="712" t="s">
        <v>1121</v>
      </c>
      <c r="F193" s="712"/>
    </row>
    <row r="194" spans="1:6" x14ac:dyDescent="0.25">
      <c r="A194" s="885"/>
      <c r="B194" s="892"/>
      <c r="C194" s="712" t="s">
        <v>2314</v>
      </c>
      <c r="D194" s="712" t="s">
        <v>2316</v>
      </c>
      <c r="E194" s="712" t="s">
        <v>1121</v>
      </c>
      <c r="F194" s="712"/>
    </row>
    <row r="195" spans="1:6" x14ac:dyDescent="0.25">
      <c r="A195" s="885"/>
      <c r="B195" s="892"/>
      <c r="C195" s="712" t="s">
        <v>2313</v>
      </c>
      <c r="D195" s="712" t="s">
        <v>2315</v>
      </c>
      <c r="E195" s="712" t="s">
        <v>1121</v>
      </c>
      <c r="F195" s="712"/>
    </row>
    <row r="196" spans="1:6" x14ac:dyDescent="0.25">
      <c r="A196" s="885"/>
      <c r="B196" s="892"/>
      <c r="C196" s="712" t="s">
        <v>2317</v>
      </c>
      <c r="D196" s="712" t="s">
        <v>2318</v>
      </c>
      <c r="E196" s="712" t="s">
        <v>1121</v>
      </c>
      <c r="F196" s="712"/>
    </row>
    <row r="197" spans="1:6" x14ac:dyDescent="0.25">
      <c r="A197" s="885"/>
      <c r="B197" s="892"/>
      <c r="C197" s="712" t="s">
        <v>2319</v>
      </c>
      <c r="D197" s="712" t="s">
        <v>2320</v>
      </c>
      <c r="E197" s="712" t="s">
        <v>1121</v>
      </c>
      <c r="F197" s="712" t="s">
        <v>2321</v>
      </c>
    </row>
    <row r="198" spans="1:6" x14ac:dyDescent="0.25">
      <c r="A198" s="885">
        <v>44314</v>
      </c>
      <c r="B198" s="2081">
        <v>1.62</v>
      </c>
      <c r="C198" s="712" t="s">
        <v>2354</v>
      </c>
      <c r="D198" s="712" t="s">
        <v>2355</v>
      </c>
      <c r="E198" s="712" t="s">
        <v>1037</v>
      </c>
      <c r="F198" s="712"/>
    </row>
    <row r="199" spans="1:6" x14ac:dyDescent="0.25">
      <c r="A199" s="885">
        <v>44314</v>
      </c>
      <c r="B199" s="892"/>
      <c r="C199" s="712" t="s">
        <v>2363</v>
      </c>
      <c r="D199" s="712"/>
      <c r="E199" s="712" t="s">
        <v>2364</v>
      </c>
      <c r="F199" s="712"/>
    </row>
    <row r="200" spans="1:6" x14ac:dyDescent="0.25">
      <c r="A200" s="885">
        <v>44315</v>
      </c>
      <c r="B200" s="2081">
        <v>1.63</v>
      </c>
      <c r="C200" s="712" t="s">
        <v>2365</v>
      </c>
      <c r="D200" s="712"/>
      <c r="E200" s="712" t="s">
        <v>1037</v>
      </c>
      <c r="F200" s="712"/>
    </row>
    <row r="201" spans="1:6" ht="39" x14ac:dyDescent="0.25">
      <c r="A201" s="885">
        <v>44316</v>
      </c>
      <c r="B201" s="2081">
        <v>1.64</v>
      </c>
      <c r="C201" s="712" t="s">
        <v>2367</v>
      </c>
      <c r="D201" s="712" t="s">
        <v>2368</v>
      </c>
      <c r="E201" s="712" t="s">
        <v>1037</v>
      </c>
      <c r="F201" s="712"/>
    </row>
    <row r="202" spans="1:6" ht="26.25" x14ac:dyDescent="0.25">
      <c r="A202" s="885"/>
      <c r="B202" s="2081"/>
      <c r="C202" s="712" t="s">
        <v>2369</v>
      </c>
      <c r="D202" s="712" t="s">
        <v>2368</v>
      </c>
      <c r="E202" s="712" t="s">
        <v>1037</v>
      </c>
      <c r="F202" s="712"/>
    </row>
    <row r="203" spans="1:6" x14ac:dyDescent="0.25">
      <c r="A203" s="885"/>
      <c r="B203" s="2081"/>
      <c r="C203" s="712" t="s">
        <v>2371</v>
      </c>
      <c r="D203" s="712" t="s">
        <v>2372</v>
      </c>
      <c r="E203" s="712" t="s">
        <v>1037</v>
      </c>
      <c r="F203" s="712"/>
    </row>
    <row r="204" spans="1:6" x14ac:dyDescent="0.25">
      <c r="A204" s="885">
        <v>44326</v>
      </c>
      <c r="B204" s="2081">
        <v>1.65</v>
      </c>
      <c r="C204" s="712" t="s">
        <v>2375</v>
      </c>
      <c r="D204" s="712" t="s">
        <v>2373</v>
      </c>
      <c r="E204" s="712" t="s">
        <v>1094</v>
      </c>
      <c r="F204" s="712" t="s">
        <v>2374</v>
      </c>
    </row>
    <row r="205" spans="1:6" x14ac:dyDescent="0.25">
      <c r="A205" s="885">
        <v>44326</v>
      </c>
      <c r="B205" s="2081">
        <v>1.65</v>
      </c>
      <c r="C205" s="712" t="s">
        <v>2376</v>
      </c>
      <c r="D205" s="712" t="s">
        <v>2378</v>
      </c>
      <c r="E205" s="712" t="s">
        <v>1094</v>
      </c>
      <c r="F205" s="712" t="s">
        <v>2377</v>
      </c>
    </row>
    <row r="206" spans="1:6" x14ac:dyDescent="0.25">
      <c r="A206" s="885">
        <v>44326</v>
      </c>
      <c r="B206" s="2081">
        <v>1.65</v>
      </c>
      <c r="C206" s="712" t="s">
        <v>2385</v>
      </c>
      <c r="D206" s="712" t="s">
        <v>2386</v>
      </c>
      <c r="E206" s="712" t="s">
        <v>1037</v>
      </c>
      <c r="F206" s="712"/>
    </row>
    <row r="207" spans="1:6" x14ac:dyDescent="0.25">
      <c r="A207" s="885">
        <v>44326</v>
      </c>
      <c r="B207" s="2081">
        <v>1.65</v>
      </c>
      <c r="C207" s="712" t="s">
        <v>2387</v>
      </c>
      <c r="D207" s="712" t="s">
        <v>2388</v>
      </c>
      <c r="E207" s="712" t="s">
        <v>1037</v>
      </c>
      <c r="F207" s="712"/>
    </row>
    <row r="208" spans="1:6" x14ac:dyDescent="0.25">
      <c r="A208" s="885">
        <v>44327</v>
      </c>
      <c r="B208" s="2081">
        <v>1.65</v>
      </c>
      <c r="C208" s="712" t="s">
        <v>2391</v>
      </c>
      <c r="D208" s="712" t="s">
        <v>2368</v>
      </c>
      <c r="E208" s="712" t="s">
        <v>2364</v>
      </c>
      <c r="F208" s="712"/>
    </row>
    <row r="209" spans="1:6" x14ac:dyDescent="0.25">
      <c r="A209" s="885"/>
      <c r="B209" s="2081" t="s">
        <v>2394</v>
      </c>
      <c r="C209" s="712" t="s">
        <v>2395</v>
      </c>
      <c r="D209" s="712"/>
      <c r="E209" s="712" t="s">
        <v>1037</v>
      </c>
      <c r="F209" s="712"/>
    </row>
    <row r="210" spans="1:6" x14ac:dyDescent="0.25">
      <c r="A210" s="885">
        <v>44376</v>
      </c>
      <c r="B210" s="2081" t="s">
        <v>2393</v>
      </c>
      <c r="C210" s="712" t="s">
        <v>2392</v>
      </c>
      <c r="D210" s="712"/>
      <c r="E210" s="712" t="s">
        <v>1037</v>
      </c>
      <c r="F210" s="712"/>
    </row>
    <row r="211" spans="1:6" ht="26.25" x14ac:dyDescent="0.25">
      <c r="A211" s="885">
        <v>44432</v>
      </c>
      <c r="B211" s="2081" t="s">
        <v>2398</v>
      </c>
      <c r="C211" s="712" t="s">
        <v>2415</v>
      </c>
      <c r="D211" s="712" t="s">
        <v>2399</v>
      </c>
      <c r="E211" s="712" t="s">
        <v>1037</v>
      </c>
      <c r="F211" s="712" t="s">
        <v>2509</v>
      </c>
    </row>
    <row r="212" spans="1:6" ht="26.25" x14ac:dyDescent="0.25">
      <c r="A212" s="885">
        <v>44432</v>
      </c>
      <c r="B212" s="2081" t="s">
        <v>2398</v>
      </c>
      <c r="C212" s="712" t="s">
        <v>2413</v>
      </c>
      <c r="D212" s="712" t="s">
        <v>2414</v>
      </c>
      <c r="E212" s="712" t="s">
        <v>1037</v>
      </c>
      <c r="F212" s="712" t="s">
        <v>2508</v>
      </c>
    </row>
    <row r="213" spans="1:6" ht="26.25" x14ac:dyDescent="0.25">
      <c r="A213" s="885">
        <v>44432</v>
      </c>
      <c r="B213" s="2081" t="s">
        <v>2398</v>
      </c>
      <c r="C213" s="712" t="s">
        <v>2506</v>
      </c>
      <c r="D213" s="712" t="s">
        <v>1086</v>
      </c>
      <c r="E213" s="712" t="s">
        <v>1037</v>
      </c>
      <c r="F213" s="712" t="s">
        <v>2507</v>
      </c>
    </row>
    <row r="214" spans="1:6" ht="39" x14ac:dyDescent="0.25">
      <c r="A214" s="885">
        <v>44432</v>
      </c>
      <c r="B214" s="2081" t="s">
        <v>2398</v>
      </c>
      <c r="C214" s="712" t="s">
        <v>2512</v>
      </c>
      <c r="D214" s="712" t="s">
        <v>2510</v>
      </c>
      <c r="E214" s="712" t="s">
        <v>1037</v>
      </c>
      <c r="F214" s="712" t="s">
        <v>2511</v>
      </c>
    </row>
    <row r="215" spans="1:6" x14ac:dyDescent="0.25">
      <c r="A215" s="885">
        <v>44432</v>
      </c>
      <c r="B215" s="2081" t="s">
        <v>2398</v>
      </c>
      <c r="C215" s="712" t="s">
        <v>2513</v>
      </c>
      <c r="D215" s="712"/>
      <c r="E215" s="712" t="s">
        <v>1037</v>
      </c>
      <c r="F215" s="712"/>
    </row>
    <row r="216" spans="1:6" ht="26.25" x14ac:dyDescent="0.25">
      <c r="A216" s="885">
        <v>44432</v>
      </c>
      <c r="B216" s="2081" t="s">
        <v>2398</v>
      </c>
      <c r="C216" s="712" t="s">
        <v>2515</v>
      </c>
      <c r="D216" s="712" t="s">
        <v>2516</v>
      </c>
      <c r="E216" s="712" t="s">
        <v>1037</v>
      </c>
      <c r="F216" s="712"/>
    </row>
    <row r="217" spans="1:6" x14ac:dyDescent="0.25">
      <c r="A217" s="885"/>
      <c r="B217" s="2081"/>
      <c r="C217" s="712"/>
      <c r="D217" s="712"/>
      <c r="E217" s="712"/>
      <c r="F217" s="712"/>
    </row>
    <row r="218" spans="1:6" ht="26.25" x14ac:dyDescent="0.25">
      <c r="A218" s="885">
        <v>44459</v>
      </c>
      <c r="B218" s="2081">
        <v>1.66</v>
      </c>
      <c r="C218" s="712" t="s">
        <v>2527</v>
      </c>
      <c r="D218" s="712" t="s">
        <v>2517</v>
      </c>
      <c r="E218" s="712" t="s">
        <v>1037</v>
      </c>
      <c r="F218" s="712" t="s">
        <v>2531</v>
      </c>
    </row>
    <row r="219" spans="1:6" ht="26.25" x14ac:dyDescent="0.25">
      <c r="A219" s="885">
        <v>44459</v>
      </c>
      <c r="B219" s="2081">
        <v>1.66</v>
      </c>
      <c r="C219" s="712" t="s">
        <v>2528</v>
      </c>
      <c r="D219" s="712" t="s">
        <v>2530</v>
      </c>
      <c r="E219" s="712" t="s">
        <v>1037</v>
      </c>
      <c r="F219" s="712" t="s">
        <v>2533</v>
      </c>
    </row>
    <row r="220" spans="1:6" ht="26.25" x14ac:dyDescent="0.25">
      <c r="A220" s="885">
        <v>44459</v>
      </c>
      <c r="B220" s="2081">
        <v>1.66</v>
      </c>
      <c r="C220" s="712" t="s">
        <v>2529</v>
      </c>
      <c r="D220" s="712" t="s">
        <v>2530</v>
      </c>
      <c r="E220" s="712" t="s">
        <v>1037</v>
      </c>
      <c r="F220" s="712" t="s">
        <v>2532</v>
      </c>
    </row>
    <row r="221" spans="1:6" x14ac:dyDescent="0.25">
      <c r="A221" s="885">
        <v>44459</v>
      </c>
      <c r="B221" s="2081">
        <v>1.66</v>
      </c>
      <c r="C221" s="712" t="s">
        <v>2536</v>
      </c>
      <c r="D221" s="712" t="s">
        <v>2535</v>
      </c>
      <c r="E221" s="712" t="s">
        <v>2534</v>
      </c>
      <c r="F221" s="712" t="s">
        <v>2537</v>
      </c>
    </row>
    <row r="222" spans="1:6" ht="26.25" x14ac:dyDescent="0.25">
      <c r="A222" s="885">
        <v>44459</v>
      </c>
      <c r="B222" s="2081">
        <v>1.66</v>
      </c>
      <c r="C222" s="712" t="s">
        <v>2552</v>
      </c>
      <c r="D222" s="712" t="s">
        <v>2553</v>
      </c>
      <c r="E222" s="712" t="s">
        <v>1037</v>
      </c>
      <c r="F222" s="712"/>
    </row>
    <row r="223" spans="1:6" ht="51.75" x14ac:dyDescent="0.25">
      <c r="A223" s="885">
        <v>44459</v>
      </c>
      <c r="B223" s="2081">
        <v>1.66</v>
      </c>
      <c r="C223" s="712" t="s">
        <v>2564</v>
      </c>
      <c r="D223" s="712" t="s">
        <v>2565</v>
      </c>
      <c r="E223" s="712" t="s">
        <v>1037</v>
      </c>
      <c r="F223" s="712" t="s">
        <v>2566</v>
      </c>
    </row>
    <row r="224" spans="1:6" ht="26.25" x14ac:dyDescent="0.25">
      <c r="A224" s="885">
        <v>44459</v>
      </c>
      <c r="B224" s="2081">
        <v>1.66</v>
      </c>
      <c r="C224" s="712" t="s">
        <v>2567</v>
      </c>
      <c r="D224" s="712" t="s">
        <v>2569</v>
      </c>
      <c r="E224" s="712" t="s">
        <v>2568</v>
      </c>
      <c r="F224" s="712"/>
    </row>
    <row r="225" spans="1:6" x14ac:dyDescent="0.25">
      <c r="A225" s="885">
        <v>44460</v>
      </c>
      <c r="B225" s="2081" t="s">
        <v>2578</v>
      </c>
      <c r="C225" s="712" t="s">
        <v>2579</v>
      </c>
      <c r="D225" s="712" t="s">
        <v>2580</v>
      </c>
      <c r="E225" s="712" t="s">
        <v>1121</v>
      </c>
      <c r="F225" s="712"/>
    </row>
    <row r="226" spans="1:6" x14ac:dyDescent="0.25">
      <c r="A226" s="885">
        <v>44460</v>
      </c>
      <c r="B226" s="892" t="s">
        <v>2575</v>
      </c>
      <c r="C226" s="712" t="s">
        <v>2577</v>
      </c>
      <c r="D226" s="712" t="s">
        <v>2535</v>
      </c>
      <c r="E226" s="712" t="s">
        <v>2534</v>
      </c>
      <c r="F226" s="712" t="s">
        <v>2576</v>
      </c>
    </row>
    <row r="227" spans="1:6" x14ac:dyDescent="0.25">
      <c r="A227" s="885">
        <v>44461</v>
      </c>
      <c r="B227" s="892" t="s">
        <v>2581</v>
      </c>
      <c r="C227" s="712" t="s">
        <v>2582</v>
      </c>
      <c r="D227" s="712" t="s">
        <v>2535</v>
      </c>
      <c r="E227" s="712" t="s">
        <v>1037</v>
      </c>
      <c r="F227" s="712" t="s">
        <v>2576</v>
      </c>
    </row>
    <row r="228" spans="1:6" x14ac:dyDescent="0.25">
      <c r="A228" s="2429"/>
      <c r="B228" s="2430"/>
      <c r="C228" s="2431"/>
      <c r="D228" s="2431"/>
      <c r="E228" s="2431"/>
      <c r="F228" s="2431"/>
    </row>
    <row r="229" spans="1:6" ht="26.25" x14ac:dyDescent="0.25">
      <c r="A229" s="885">
        <v>44509</v>
      </c>
      <c r="B229" s="892" t="s">
        <v>2583</v>
      </c>
      <c r="C229" s="712" t="s">
        <v>2584</v>
      </c>
      <c r="D229" s="712" t="s">
        <v>2587</v>
      </c>
      <c r="E229" s="712" t="s">
        <v>1037</v>
      </c>
      <c r="F229" s="712" t="s">
        <v>2589</v>
      </c>
    </row>
    <row r="230" spans="1:6" x14ac:dyDescent="0.25">
      <c r="A230" s="885">
        <v>44509</v>
      </c>
      <c r="B230" s="892" t="s">
        <v>2583</v>
      </c>
      <c r="C230" s="712" t="s">
        <v>2586</v>
      </c>
      <c r="D230" s="712" t="s">
        <v>2588</v>
      </c>
      <c r="E230" s="712" t="s">
        <v>1037</v>
      </c>
      <c r="F230" s="712" t="s">
        <v>2590</v>
      </c>
    </row>
    <row r="231" spans="1:6" x14ac:dyDescent="0.25">
      <c r="A231" s="885">
        <v>44515</v>
      </c>
      <c r="B231" s="892" t="s">
        <v>2583</v>
      </c>
      <c r="C231" s="712" t="s">
        <v>2605</v>
      </c>
      <c r="D231" s="712" t="s">
        <v>2587</v>
      </c>
      <c r="E231" s="712" t="s">
        <v>1962</v>
      </c>
      <c r="F231" s="712" t="s">
        <v>2596</v>
      </c>
    </row>
    <row r="232" spans="1:6" x14ac:dyDescent="0.25">
      <c r="A232" s="885">
        <v>44523</v>
      </c>
      <c r="B232" s="892" t="s">
        <v>2583</v>
      </c>
      <c r="C232" s="712" t="s">
        <v>2597</v>
      </c>
      <c r="D232" s="712" t="s">
        <v>2535</v>
      </c>
      <c r="E232" s="712" t="s">
        <v>1037</v>
      </c>
      <c r="F232" s="712" t="s">
        <v>2576</v>
      </c>
    </row>
    <row r="233" spans="1:6" x14ac:dyDescent="0.25">
      <c r="A233" s="885">
        <v>44536</v>
      </c>
      <c r="B233" s="892" t="s">
        <v>2583</v>
      </c>
      <c r="C233" s="712" t="s">
        <v>2599</v>
      </c>
      <c r="D233" s="712" t="s">
        <v>2600</v>
      </c>
      <c r="E233" s="712" t="s">
        <v>1094</v>
      </c>
      <c r="F233" s="712" t="s">
        <v>2601</v>
      </c>
    </row>
    <row r="234" spans="1:6" x14ac:dyDescent="0.25">
      <c r="A234" s="885">
        <v>44536</v>
      </c>
      <c r="B234" s="892" t="s">
        <v>2583</v>
      </c>
      <c r="C234" s="712" t="s">
        <v>2602</v>
      </c>
      <c r="D234" s="712" t="s">
        <v>2603</v>
      </c>
      <c r="E234" s="712" t="s">
        <v>1037</v>
      </c>
      <c r="F234" s="712" t="s">
        <v>2604</v>
      </c>
    </row>
    <row r="235" spans="1:6" x14ac:dyDescent="0.25">
      <c r="A235" s="2429"/>
      <c r="B235" s="2430"/>
      <c r="C235" s="2431"/>
      <c r="D235" s="2431"/>
      <c r="E235" s="2431"/>
      <c r="F235" s="2431"/>
    </row>
    <row r="236" spans="1:6" x14ac:dyDescent="0.25">
      <c r="A236" s="885">
        <v>44547</v>
      </c>
      <c r="B236" s="2081">
        <v>1.7</v>
      </c>
      <c r="C236" s="712" t="s">
        <v>2735</v>
      </c>
      <c r="D236" s="712" t="s">
        <v>0</v>
      </c>
      <c r="E236" s="712" t="s">
        <v>1121</v>
      </c>
      <c r="F236" s="712" t="s">
        <v>2734</v>
      </c>
    </row>
    <row r="237" spans="1:6" ht="64.5" x14ac:dyDescent="0.25">
      <c r="A237" s="885">
        <v>44550</v>
      </c>
      <c r="B237" s="2081">
        <v>1.7</v>
      </c>
      <c r="C237" s="712" t="s">
        <v>2737</v>
      </c>
      <c r="D237" s="712" t="s">
        <v>2738</v>
      </c>
      <c r="E237" s="712" t="s">
        <v>1037</v>
      </c>
      <c r="F237" s="712"/>
    </row>
    <row r="238" spans="1:6" ht="26.25" x14ac:dyDescent="0.25">
      <c r="A238" s="885">
        <v>44550</v>
      </c>
      <c r="B238" s="2081">
        <v>1.7</v>
      </c>
      <c r="C238" s="712" t="s">
        <v>2739</v>
      </c>
      <c r="D238" s="712" t="s">
        <v>2580</v>
      </c>
      <c r="E238" s="712" t="s">
        <v>1037</v>
      </c>
      <c r="F238" s="712"/>
    </row>
    <row r="239" spans="1:6" ht="26.25" x14ac:dyDescent="0.25">
      <c r="A239" s="885">
        <v>44554</v>
      </c>
      <c r="B239" s="2081">
        <v>1.7</v>
      </c>
      <c r="C239" s="712" t="s">
        <v>2775</v>
      </c>
      <c r="D239" s="712"/>
      <c r="E239" s="712" t="s">
        <v>1037</v>
      </c>
      <c r="F239" s="712"/>
    </row>
    <row r="240" spans="1:6" x14ac:dyDescent="0.25">
      <c r="A240" s="885">
        <v>44579</v>
      </c>
      <c r="B240" s="892" t="s">
        <v>2777</v>
      </c>
      <c r="C240" s="712" t="s">
        <v>2778</v>
      </c>
      <c r="D240" s="712"/>
      <c r="E240" s="712" t="s">
        <v>1037</v>
      </c>
      <c r="F240" s="712"/>
    </row>
    <row r="241" spans="1:6" x14ac:dyDescent="0.25">
      <c r="A241" s="885"/>
      <c r="B241" s="892"/>
      <c r="C241" s="712"/>
      <c r="D241" s="712"/>
      <c r="E241" s="712"/>
      <c r="F241" s="712"/>
    </row>
    <row r="242" spans="1:6" x14ac:dyDescent="0.25">
      <c r="A242" s="885">
        <v>44581</v>
      </c>
      <c r="B242" s="892" t="s">
        <v>2786</v>
      </c>
      <c r="C242" s="712" t="s">
        <v>2787</v>
      </c>
      <c r="D242" s="712"/>
      <c r="E242" s="712" t="s">
        <v>1037</v>
      </c>
      <c r="F242" s="712"/>
    </row>
    <row r="243" spans="1:6" x14ac:dyDescent="0.25">
      <c r="A243" s="885">
        <v>44581</v>
      </c>
      <c r="B243" s="892" t="s">
        <v>2786</v>
      </c>
      <c r="C243" s="712" t="s">
        <v>2788</v>
      </c>
      <c r="D243" s="712"/>
      <c r="E243" s="712" t="s">
        <v>1037</v>
      </c>
      <c r="F243" s="712"/>
    </row>
    <row r="244" spans="1:6" x14ac:dyDescent="0.25">
      <c r="A244" s="885">
        <v>44581</v>
      </c>
      <c r="B244" s="892" t="s">
        <v>2786</v>
      </c>
      <c r="C244" s="712" t="s">
        <v>2789</v>
      </c>
      <c r="D244" s="712"/>
      <c r="E244" s="712" t="s">
        <v>1037</v>
      </c>
      <c r="F244" s="712"/>
    </row>
    <row r="245" spans="1:6" x14ac:dyDescent="0.25">
      <c r="A245" s="885">
        <v>44599</v>
      </c>
      <c r="B245" s="892" t="s">
        <v>2786</v>
      </c>
      <c r="C245" s="712" t="s">
        <v>2794</v>
      </c>
      <c r="D245" s="712"/>
      <c r="E245" s="712" t="s">
        <v>2534</v>
      </c>
      <c r="F245" s="712"/>
    </row>
    <row r="246" spans="1:6" x14ac:dyDescent="0.25">
      <c r="A246" s="885">
        <v>44602</v>
      </c>
      <c r="B246" s="892" t="s">
        <v>2786</v>
      </c>
      <c r="C246" s="712" t="s">
        <v>2866</v>
      </c>
      <c r="D246" s="712"/>
      <c r="E246" s="712" t="s">
        <v>1037</v>
      </c>
      <c r="F246" s="712"/>
    </row>
    <row r="247" spans="1:6" ht="26.25" x14ac:dyDescent="0.25">
      <c r="A247" s="885">
        <v>44606</v>
      </c>
      <c r="B247" s="892" t="s">
        <v>2786</v>
      </c>
      <c r="C247" s="712" t="s">
        <v>2862</v>
      </c>
      <c r="D247" s="712" t="s">
        <v>2863</v>
      </c>
      <c r="E247" s="712" t="s">
        <v>1121</v>
      </c>
      <c r="F247" s="712" t="s">
        <v>2864</v>
      </c>
    </row>
    <row r="248" spans="1:6" x14ac:dyDescent="0.25">
      <c r="A248" s="885">
        <v>44609</v>
      </c>
      <c r="B248" s="892" t="s">
        <v>2786</v>
      </c>
      <c r="C248" s="712" t="s">
        <v>2869</v>
      </c>
      <c r="D248" s="712"/>
      <c r="E248" s="712" t="s">
        <v>1037</v>
      </c>
      <c r="F248" s="712"/>
    </row>
    <row r="249" spans="1:6" x14ac:dyDescent="0.25">
      <c r="A249" s="885">
        <v>44614</v>
      </c>
      <c r="B249" s="892" t="s">
        <v>2786</v>
      </c>
      <c r="C249" s="712" t="s">
        <v>2871</v>
      </c>
      <c r="D249" s="712" t="s">
        <v>2872</v>
      </c>
      <c r="E249" s="712" t="s">
        <v>1037</v>
      </c>
      <c r="F249" s="712"/>
    </row>
    <row r="250" spans="1:6" x14ac:dyDescent="0.25">
      <c r="A250" s="885">
        <v>44616</v>
      </c>
      <c r="B250" s="892" t="s">
        <v>2786</v>
      </c>
      <c r="C250" s="712" t="s">
        <v>2873</v>
      </c>
      <c r="D250" s="712" t="s">
        <v>260</v>
      </c>
      <c r="E250" s="712" t="s">
        <v>1037</v>
      </c>
      <c r="F250" s="712"/>
    </row>
    <row r="251" spans="1:6" x14ac:dyDescent="0.25">
      <c r="A251" s="885">
        <v>44634</v>
      </c>
      <c r="B251" s="892" t="s">
        <v>2786</v>
      </c>
      <c r="C251" s="712" t="s">
        <v>2877</v>
      </c>
      <c r="D251" s="712" t="s">
        <v>2878</v>
      </c>
      <c r="E251" s="712" t="s">
        <v>1037</v>
      </c>
      <c r="F251" s="712"/>
    </row>
    <row r="253" spans="1:6" ht="26.25" x14ac:dyDescent="0.25">
      <c r="A253" s="885" t="s">
        <v>2880</v>
      </c>
      <c r="B253" s="892" t="s">
        <v>2879</v>
      </c>
      <c r="C253" s="712" t="s">
        <v>3080</v>
      </c>
      <c r="D253" s="712" t="s">
        <v>310</v>
      </c>
      <c r="E253" s="712" t="s">
        <v>2885</v>
      </c>
      <c r="F253" s="712"/>
    </row>
    <row r="254" spans="1:6" x14ac:dyDescent="0.25">
      <c r="A254" s="885" t="s">
        <v>2880</v>
      </c>
      <c r="B254" s="892" t="s">
        <v>2879</v>
      </c>
      <c r="C254" s="712" t="s">
        <v>2881</v>
      </c>
      <c r="D254" s="712" t="s">
        <v>1313</v>
      </c>
      <c r="E254" s="712" t="s">
        <v>2882</v>
      </c>
      <c r="F254" s="712"/>
    </row>
    <row r="255" spans="1:6" x14ac:dyDescent="0.25">
      <c r="A255" s="885">
        <v>44672</v>
      </c>
      <c r="B255" s="892" t="s">
        <v>2879</v>
      </c>
      <c r="C255" s="712" t="s">
        <v>2883</v>
      </c>
      <c r="D255" s="712" t="s">
        <v>3081</v>
      </c>
      <c r="E255" s="712" t="s">
        <v>2884</v>
      </c>
      <c r="F255" s="712"/>
    </row>
    <row r="256" spans="1:6" x14ac:dyDescent="0.25">
      <c r="A256" s="885">
        <v>44651</v>
      </c>
      <c r="B256" s="892" t="s">
        <v>2879</v>
      </c>
      <c r="C256" s="712" t="s">
        <v>2888</v>
      </c>
      <c r="D256" s="712" t="s">
        <v>1073</v>
      </c>
      <c r="E256" s="712" t="s">
        <v>2885</v>
      </c>
      <c r="F256" s="712"/>
    </row>
    <row r="257" spans="1:6" x14ac:dyDescent="0.25">
      <c r="A257" s="885">
        <v>44651</v>
      </c>
      <c r="B257" s="892" t="s">
        <v>2879</v>
      </c>
      <c r="C257" s="712" t="s">
        <v>2897</v>
      </c>
      <c r="D257" s="712" t="s">
        <v>2898</v>
      </c>
      <c r="E257" s="712" t="s">
        <v>1121</v>
      </c>
      <c r="F257" s="712"/>
    </row>
    <row r="258" spans="1:6" ht="26.25" x14ac:dyDescent="0.25">
      <c r="A258" s="885">
        <v>44657</v>
      </c>
      <c r="B258" s="892" t="s">
        <v>2879</v>
      </c>
      <c r="C258" s="712" t="s">
        <v>2940</v>
      </c>
      <c r="D258" s="712" t="s">
        <v>2941</v>
      </c>
      <c r="E258" s="712" t="s">
        <v>1037</v>
      </c>
      <c r="F258" s="712" t="s">
        <v>2942</v>
      </c>
    </row>
    <row r="259" spans="1:6" ht="26.25" x14ac:dyDescent="0.25">
      <c r="A259" s="885">
        <v>44658</v>
      </c>
      <c r="B259" s="892" t="s">
        <v>2879</v>
      </c>
      <c r="C259" s="712" t="s">
        <v>2943</v>
      </c>
      <c r="D259" s="712" t="s">
        <v>2944</v>
      </c>
      <c r="E259" s="712" t="s">
        <v>1037</v>
      </c>
      <c r="F259" s="712"/>
    </row>
    <row r="260" spans="1:6" ht="26.25" x14ac:dyDescent="0.25">
      <c r="A260" s="885">
        <v>44659</v>
      </c>
      <c r="B260" s="892" t="s">
        <v>2879</v>
      </c>
      <c r="C260" s="712" t="s">
        <v>2945</v>
      </c>
      <c r="D260" s="712" t="s">
        <v>2947</v>
      </c>
      <c r="E260" s="712" t="s">
        <v>2946</v>
      </c>
      <c r="F260" s="712"/>
    </row>
    <row r="261" spans="1:6" ht="26.25" x14ac:dyDescent="0.25">
      <c r="A261" s="885">
        <v>44670</v>
      </c>
      <c r="B261" s="892" t="s">
        <v>2879</v>
      </c>
      <c r="C261" s="712" t="s">
        <v>2954</v>
      </c>
      <c r="D261" s="712" t="s">
        <v>2953</v>
      </c>
      <c r="E261" s="712" t="s">
        <v>1037</v>
      </c>
      <c r="F261" s="712"/>
    </row>
    <row r="262" spans="1:6" x14ac:dyDescent="0.25">
      <c r="A262" s="885">
        <v>44672</v>
      </c>
      <c r="B262" s="892" t="s">
        <v>2879</v>
      </c>
      <c r="C262" s="712" t="s">
        <v>3078</v>
      </c>
      <c r="D262" s="712" t="s">
        <v>3079</v>
      </c>
      <c r="E262" s="712" t="s">
        <v>1121</v>
      </c>
      <c r="F262" s="712"/>
    </row>
    <row r="263" spans="1:6" ht="77.25" x14ac:dyDescent="0.25">
      <c r="A263" s="885">
        <v>44684</v>
      </c>
      <c r="B263" s="892" t="s">
        <v>3089</v>
      </c>
      <c r="C263" s="712" t="s">
        <v>3090</v>
      </c>
      <c r="D263" s="712" t="s">
        <v>3091</v>
      </c>
      <c r="E263" s="712" t="s">
        <v>1037</v>
      </c>
      <c r="F263" s="712"/>
    </row>
    <row r="265" spans="1:6" x14ac:dyDescent="0.25">
      <c r="A265" s="885">
        <v>44679</v>
      </c>
      <c r="B265" s="2081">
        <v>1.8</v>
      </c>
      <c r="C265" s="712" t="s">
        <v>3100</v>
      </c>
      <c r="D265" s="712" t="s">
        <v>1313</v>
      </c>
      <c r="E265" s="712" t="s">
        <v>3083</v>
      </c>
      <c r="F265" s="712" t="s">
        <v>3084</v>
      </c>
    </row>
    <row r="266" spans="1:6" x14ac:dyDescent="0.25">
      <c r="A266" s="885">
        <v>44685</v>
      </c>
      <c r="B266" s="2081">
        <v>1.8</v>
      </c>
      <c r="C266" s="712" t="s">
        <v>3094</v>
      </c>
      <c r="D266" s="712" t="s">
        <v>3095</v>
      </c>
      <c r="E266" s="712" t="s">
        <v>1037</v>
      </c>
      <c r="F266" s="712"/>
    </row>
    <row r="267" spans="1:6" x14ac:dyDescent="0.25">
      <c r="A267" s="885">
        <v>44690</v>
      </c>
      <c r="B267" s="2081">
        <v>1.8</v>
      </c>
      <c r="C267" s="712" t="s">
        <v>3097</v>
      </c>
      <c r="D267" s="712" t="s">
        <v>3098</v>
      </c>
      <c r="E267" s="712" t="s">
        <v>1037</v>
      </c>
      <c r="F267" s="712"/>
    </row>
    <row r="268" spans="1:6" ht="26.25" x14ac:dyDescent="0.25">
      <c r="A268" s="885">
        <v>44712</v>
      </c>
      <c r="B268" s="2081">
        <v>1.8</v>
      </c>
      <c r="C268" s="712" t="s">
        <v>3103</v>
      </c>
      <c r="D268" s="712" t="s">
        <v>3104</v>
      </c>
      <c r="E268" s="712" t="s">
        <v>1037</v>
      </c>
      <c r="F268" s="712"/>
    </row>
    <row r="269" spans="1:6" x14ac:dyDescent="0.25">
      <c r="A269" s="885">
        <v>44715</v>
      </c>
      <c r="B269" s="2081">
        <v>1.8</v>
      </c>
      <c r="C269" s="712" t="s">
        <v>3105</v>
      </c>
      <c r="D269" s="712" t="s">
        <v>2388</v>
      </c>
      <c r="E269" s="712" t="s">
        <v>2946</v>
      </c>
      <c r="F269" s="712"/>
    </row>
    <row r="270" spans="1:6" x14ac:dyDescent="0.25">
      <c r="A270" s="885">
        <v>44740</v>
      </c>
      <c r="B270" s="2081">
        <v>1.8</v>
      </c>
      <c r="C270" s="712" t="s">
        <v>3108</v>
      </c>
      <c r="D270" s="712" t="s">
        <v>3109</v>
      </c>
      <c r="E270" s="712" t="s">
        <v>1037</v>
      </c>
      <c r="F270" s="712"/>
    </row>
    <row r="271" spans="1:6" ht="26.25" x14ac:dyDescent="0.25">
      <c r="A271" s="885">
        <v>44799</v>
      </c>
      <c r="B271" s="2081">
        <v>1.8</v>
      </c>
      <c r="C271" s="712" t="s">
        <v>3270</v>
      </c>
      <c r="D271" s="712" t="s">
        <v>3098</v>
      </c>
      <c r="E271" s="712" t="s">
        <v>1037</v>
      </c>
      <c r="F271" s="712"/>
    </row>
    <row r="272" spans="1:6" x14ac:dyDescent="0.25">
      <c r="A272" s="885">
        <v>44800</v>
      </c>
      <c r="B272" s="2081">
        <v>1.8</v>
      </c>
      <c r="C272" s="712" t="s">
        <v>3271</v>
      </c>
      <c r="D272" s="712" t="s">
        <v>2373</v>
      </c>
      <c r="E272" s="712" t="s">
        <v>1094</v>
      </c>
      <c r="F272" s="712"/>
    </row>
    <row r="273" spans="1:6" x14ac:dyDescent="0.25">
      <c r="A273" s="885">
        <v>44819</v>
      </c>
      <c r="B273" s="892">
        <v>1.8</v>
      </c>
      <c r="C273" s="712" t="s">
        <v>3278</v>
      </c>
      <c r="D273" s="712" t="s">
        <v>3279</v>
      </c>
      <c r="E273" s="712" t="s">
        <v>1121</v>
      </c>
      <c r="F273" s="712"/>
    </row>
    <row r="275" spans="1:6" x14ac:dyDescent="0.25">
      <c r="A275" s="2643" t="s">
        <v>3392</v>
      </c>
      <c r="B275" s="2642"/>
      <c r="C275" s="2642"/>
      <c r="D275" s="2642"/>
      <c r="E275" s="2642"/>
      <c r="F275" s="2642"/>
    </row>
    <row r="276" spans="1:6" x14ac:dyDescent="0.25">
      <c r="A276" s="885">
        <v>44901</v>
      </c>
      <c r="B276" s="2081">
        <v>1.9</v>
      </c>
      <c r="C276" s="712" t="s">
        <v>3403</v>
      </c>
      <c r="D276" s="712" t="s">
        <v>3386</v>
      </c>
      <c r="E276" s="712" t="s">
        <v>1037</v>
      </c>
      <c r="F276" s="712"/>
    </row>
    <row r="277" spans="1:6" x14ac:dyDescent="0.25">
      <c r="A277" s="885">
        <v>44901</v>
      </c>
      <c r="B277" s="2081">
        <v>1.9</v>
      </c>
      <c r="C277" s="712" t="s">
        <v>3387</v>
      </c>
      <c r="D277" s="712" t="s">
        <v>3388</v>
      </c>
      <c r="E277" s="712" t="s">
        <v>1037</v>
      </c>
      <c r="F277" s="712"/>
    </row>
    <row r="278" spans="1:6" x14ac:dyDescent="0.25">
      <c r="A278" s="885">
        <v>44901</v>
      </c>
      <c r="B278" s="2081">
        <v>1.9</v>
      </c>
      <c r="C278" s="712" t="s">
        <v>3394</v>
      </c>
      <c r="D278" s="712" t="s">
        <v>3390</v>
      </c>
      <c r="E278" s="712" t="s">
        <v>1037</v>
      </c>
      <c r="F278" s="712"/>
    </row>
    <row r="279" spans="1:6" x14ac:dyDescent="0.25">
      <c r="A279" s="885">
        <v>44901</v>
      </c>
      <c r="B279" s="2081">
        <v>1.9</v>
      </c>
      <c r="C279" s="712" t="s">
        <v>3404</v>
      </c>
      <c r="D279" s="712" t="s">
        <v>3391</v>
      </c>
      <c r="E279" s="712" t="s">
        <v>1037</v>
      </c>
      <c r="F279" s="712"/>
    </row>
    <row r="280" spans="1:6" ht="26.25" x14ac:dyDescent="0.25">
      <c r="A280" s="885">
        <v>44914</v>
      </c>
      <c r="B280" s="2081">
        <v>1.9</v>
      </c>
      <c r="C280" s="712" t="s">
        <v>3395</v>
      </c>
      <c r="D280" s="712" t="s">
        <v>3391</v>
      </c>
      <c r="E280" s="712" t="s">
        <v>1037</v>
      </c>
      <c r="F280" s="712"/>
    </row>
    <row r="281" spans="1:6" x14ac:dyDescent="0.25">
      <c r="A281" s="885">
        <v>44914</v>
      </c>
      <c r="B281" s="2081">
        <v>1.9</v>
      </c>
      <c r="C281" s="712" t="s">
        <v>3401</v>
      </c>
      <c r="D281" s="712" t="s">
        <v>3391</v>
      </c>
      <c r="E281" s="712" t="s">
        <v>3400</v>
      </c>
      <c r="F281" s="712"/>
    </row>
    <row r="282" spans="1:6" x14ac:dyDescent="0.25">
      <c r="A282" s="885">
        <v>44914</v>
      </c>
      <c r="B282" s="2081">
        <v>1.9</v>
      </c>
      <c r="C282" s="712" t="s">
        <v>3402</v>
      </c>
      <c r="D282" s="712" t="s">
        <v>3391</v>
      </c>
      <c r="E282" s="712" t="s">
        <v>3399</v>
      </c>
      <c r="F282" s="712"/>
    </row>
    <row r="283" spans="1:6" ht="51.75" x14ac:dyDescent="0.25">
      <c r="A283" s="885">
        <v>44938</v>
      </c>
      <c r="B283" s="2081" t="s">
        <v>3405</v>
      </c>
      <c r="C283" s="712" t="s">
        <v>3409</v>
      </c>
      <c r="D283" s="712" t="s">
        <v>3406</v>
      </c>
      <c r="E283" s="712" t="s">
        <v>3407</v>
      </c>
      <c r="F283" s="712"/>
    </row>
    <row r="284" spans="1:6" ht="90" x14ac:dyDescent="0.25">
      <c r="A284" s="885">
        <v>44957</v>
      </c>
      <c r="B284" s="2081" t="s">
        <v>3405</v>
      </c>
      <c r="C284" s="712" t="s">
        <v>3415</v>
      </c>
      <c r="D284" s="712" t="s">
        <v>1313</v>
      </c>
      <c r="E284" s="712" t="s">
        <v>1962</v>
      </c>
      <c r="F284" s="712" t="s">
        <v>3416</v>
      </c>
    </row>
    <row r="285" spans="1:6" ht="39" x14ac:dyDescent="0.25">
      <c r="A285" s="885">
        <v>44957</v>
      </c>
      <c r="B285" s="2081" t="s">
        <v>3405</v>
      </c>
      <c r="C285" s="712" t="s">
        <v>3418</v>
      </c>
      <c r="D285" s="712" t="s">
        <v>1313</v>
      </c>
      <c r="E285" s="712" t="s">
        <v>3417</v>
      </c>
      <c r="F285" s="712" t="s">
        <v>3419</v>
      </c>
    </row>
    <row r="286" spans="1:6" ht="26.25" x14ac:dyDescent="0.25">
      <c r="A286" s="885">
        <v>44957</v>
      </c>
      <c r="B286" s="2081" t="s">
        <v>3405</v>
      </c>
      <c r="C286" s="712" t="s">
        <v>3423</v>
      </c>
      <c r="D286" s="712" t="s">
        <v>1313</v>
      </c>
      <c r="E286" s="712" t="s">
        <v>3417</v>
      </c>
      <c r="F286" s="712" t="s">
        <v>3420</v>
      </c>
    </row>
    <row r="287" spans="1:6" ht="26.25" x14ac:dyDescent="0.25">
      <c r="A287" s="885">
        <v>44957</v>
      </c>
      <c r="B287" s="2081" t="s">
        <v>3405</v>
      </c>
      <c r="C287" s="712" t="s">
        <v>3421</v>
      </c>
      <c r="D287" s="712" t="s">
        <v>1313</v>
      </c>
      <c r="E287" s="712" t="s">
        <v>3417</v>
      </c>
      <c r="F287" s="712" t="s">
        <v>3422</v>
      </c>
    </row>
    <row r="289" spans="1:6" x14ac:dyDescent="0.25">
      <c r="B289" s="2081">
        <v>1.91</v>
      </c>
      <c r="C289" s="712" t="s">
        <v>3424</v>
      </c>
      <c r="D289" s="712" t="s">
        <v>3425</v>
      </c>
      <c r="E289" s="712" t="s">
        <v>2568</v>
      </c>
      <c r="F289" s="712"/>
    </row>
    <row r="291" spans="1:6" x14ac:dyDescent="0.25">
      <c r="A291" s="161">
        <v>45005</v>
      </c>
      <c r="B291" s="2081">
        <v>1.92</v>
      </c>
      <c r="C291" s="712" t="s">
        <v>3432</v>
      </c>
      <c r="D291" s="712" t="s">
        <v>3425</v>
      </c>
      <c r="E291" s="712" t="s">
        <v>1037</v>
      </c>
      <c r="F291" s="712"/>
    </row>
    <row r="292" spans="1:6" x14ac:dyDescent="0.25">
      <c r="A292" s="161">
        <v>45005</v>
      </c>
      <c r="B292" s="2081">
        <v>1.92</v>
      </c>
      <c r="C292" s="712" t="s">
        <v>3433</v>
      </c>
      <c r="D292" s="712" t="s">
        <v>3425</v>
      </c>
      <c r="E292" s="712" t="s">
        <v>1037</v>
      </c>
      <c r="F292" s="712"/>
    </row>
    <row r="293" spans="1:6" x14ac:dyDescent="0.25">
      <c r="A293" s="885">
        <v>45007</v>
      </c>
      <c r="B293" s="2081">
        <v>1.92</v>
      </c>
      <c r="C293" s="712" t="s">
        <v>3435</v>
      </c>
      <c r="D293" s="712" t="s">
        <v>1313</v>
      </c>
      <c r="E293" s="712" t="s">
        <v>1962</v>
      </c>
      <c r="F293" s="712"/>
    </row>
    <row r="294" spans="1:6" x14ac:dyDescent="0.25">
      <c r="A294" s="885">
        <v>45009</v>
      </c>
      <c r="B294" s="2081">
        <v>1.92</v>
      </c>
      <c r="C294" s="712" t="s">
        <v>3436</v>
      </c>
      <c r="D294" s="712" t="s">
        <v>1313</v>
      </c>
      <c r="E294" s="712" t="s">
        <v>1962</v>
      </c>
      <c r="F294" s="712"/>
    </row>
    <row r="295" spans="1:6" x14ac:dyDescent="0.25">
      <c r="A295" s="885">
        <v>45016</v>
      </c>
      <c r="B295" s="2081">
        <v>1.92</v>
      </c>
      <c r="C295" s="712" t="s">
        <v>3437</v>
      </c>
      <c r="D295" s="712" t="s">
        <v>1313</v>
      </c>
      <c r="E295" s="712" t="s">
        <v>3438</v>
      </c>
      <c r="F295" s="712"/>
    </row>
    <row r="296" spans="1:6" ht="26.25" x14ac:dyDescent="0.25">
      <c r="A296" s="885">
        <v>45016</v>
      </c>
      <c r="B296" s="2081">
        <v>1.92</v>
      </c>
      <c r="C296" s="712" t="s">
        <v>3443</v>
      </c>
      <c r="D296" s="712" t="s">
        <v>3444</v>
      </c>
      <c r="E296" s="712" t="s">
        <v>1037</v>
      </c>
      <c r="F296" s="712"/>
    </row>
    <row r="297" spans="1:6" ht="225" x14ac:dyDescent="0.25">
      <c r="A297" s="2694">
        <v>45019</v>
      </c>
      <c r="B297" s="2690">
        <v>1.92</v>
      </c>
      <c r="C297" s="2691" t="s">
        <v>3474</v>
      </c>
      <c r="D297" s="769" t="s">
        <v>1313</v>
      </c>
      <c r="E297" s="2692" t="s">
        <v>3417</v>
      </c>
      <c r="F297" s="2693" t="s">
        <v>3475</v>
      </c>
    </row>
    <row r="298" spans="1:6" ht="30" x14ac:dyDescent="0.25">
      <c r="A298" s="2694">
        <v>45020</v>
      </c>
      <c r="B298" s="2690">
        <v>1.92</v>
      </c>
      <c r="C298" s="2691" t="s">
        <v>3476</v>
      </c>
      <c r="D298" s="769" t="s">
        <v>1313</v>
      </c>
      <c r="E298" s="2692" t="s">
        <v>1037</v>
      </c>
      <c r="F298" s="2693"/>
    </row>
    <row r="299" spans="1:6" ht="30" x14ac:dyDescent="0.25">
      <c r="A299" s="2694">
        <v>45022</v>
      </c>
      <c r="B299" s="2690">
        <v>1.92</v>
      </c>
      <c r="C299" s="2691" t="s">
        <v>3490</v>
      </c>
      <c r="D299" s="769" t="s">
        <v>3480</v>
      </c>
      <c r="E299" s="2692" t="s">
        <v>1037</v>
      </c>
      <c r="F299" s="2693"/>
    </row>
    <row r="300" spans="1:6" ht="30" x14ac:dyDescent="0.25">
      <c r="A300" s="2694">
        <v>45023</v>
      </c>
      <c r="B300" s="2690">
        <v>1.92</v>
      </c>
      <c r="C300" s="2691" t="s">
        <v>3496</v>
      </c>
      <c r="D300" s="769" t="s">
        <v>3481</v>
      </c>
      <c r="E300" s="2692" t="s">
        <v>1037</v>
      </c>
      <c r="F300" s="2693"/>
    </row>
    <row r="301" spans="1:6" ht="30" x14ac:dyDescent="0.25">
      <c r="A301" s="2694">
        <v>45023</v>
      </c>
      <c r="B301" s="2690">
        <v>1.92</v>
      </c>
      <c r="C301" s="2691" t="s">
        <v>3485</v>
      </c>
      <c r="D301" s="769" t="s">
        <v>3488</v>
      </c>
      <c r="E301" s="2692" t="s">
        <v>1037</v>
      </c>
      <c r="F301" s="2693"/>
    </row>
    <row r="302" spans="1:6" ht="30" x14ac:dyDescent="0.25">
      <c r="A302" s="2694">
        <v>45023</v>
      </c>
      <c r="B302" s="2690">
        <v>1.92</v>
      </c>
      <c r="C302" s="2691" t="s">
        <v>3489</v>
      </c>
      <c r="D302" s="769" t="s">
        <v>3488</v>
      </c>
      <c r="E302" s="2692" t="s">
        <v>1037</v>
      </c>
      <c r="F302" s="2693"/>
    </row>
    <row r="303" spans="1:6" x14ac:dyDescent="0.25">
      <c r="A303" s="2694">
        <v>45033</v>
      </c>
      <c r="B303" s="2690">
        <v>1.92</v>
      </c>
      <c r="C303" s="2691" t="s">
        <v>3493</v>
      </c>
      <c r="D303" s="769" t="s">
        <v>3425</v>
      </c>
      <c r="E303" s="2692" t="s">
        <v>1037</v>
      </c>
      <c r="F303" s="2693"/>
    </row>
    <row r="304" spans="1:6" ht="26.25" x14ac:dyDescent="0.25">
      <c r="A304" s="2694">
        <v>45033</v>
      </c>
      <c r="B304" s="2081">
        <v>1.92</v>
      </c>
      <c r="C304" s="712" t="s">
        <v>3499</v>
      </c>
      <c r="D304" s="712" t="s">
        <v>423</v>
      </c>
      <c r="E304" s="712" t="s">
        <v>1962</v>
      </c>
      <c r="F304" s="712" t="s">
        <v>3500</v>
      </c>
    </row>
    <row r="306" spans="1:6" ht="25.5" x14ac:dyDescent="0.25">
      <c r="A306" s="885">
        <v>45055</v>
      </c>
      <c r="B306" s="2081" t="s">
        <v>3509</v>
      </c>
      <c r="C306" s="1953" t="s">
        <v>3510</v>
      </c>
      <c r="D306" s="1953" t="s">
        <v>3425</v>
      </c>
      <c r="E306" s="1953" t="s">
        <v>1962</v>
      </c>
      <c r="F306" s="1953" t="s">
        <v>3511</v>
      </c>
    </row>
    <row r="307" spans="1:6" ht="26.25" x14ac:dyDescent="0.25">
      <c r="A307" s="885">
        <v>45064</v>
      </c>
      <c r="B307" s="2081" t="s">
        <v>3509</v>
      </c>
      <c r="C307" s="712" t="s">
        <v>3513</v>
      </c>
      <c r="D307" s="712" t="s">
        <v>423</v>
      </c>
      <c r="E307" s="1953" t="s">
        <v>1962</v>
      </c>
      <c r="F307" s="1953" t="s">
        <v>3512</v>
      </c>
    </row>
    <row r="308" spans="1:6" ht="25.5" x14ac:dyDescent="0.25">
      <c r="A308" s="885">
        <v>45064</v>
      </c>
      <c r="B308" s="2081" t="s">
        <v>3509</v>
      </c>
      <c r="C308" s="712" t="s">
        <v>3514</v>
      </c>
      <c r="D308" s="712" t="s">
        <v>423</v>
      </c>
      <c r="E308" s="1953" t="s">
        <v>1962</v>
      </c>
      <c r="F308" s="1953" t="s">
        <v>3512</v>
      </c>
    </row>
    <row r="309" spans="1:6" ht="26.25" x14ac:dyDescent="0.25">
      <c r="A309" s="885">
        <v>45100</v>
      </c>
      <c r="B309" s="2081" t="s">
        <v>3509</v>
      </c>
      <c r="C309" s="712" t="s">
        <v>3517</v>
      </c>
      <c r="D309" s="712" t="s">
        <v>3516</v>
      </c>
      <c r="E309" s="1953" t="s">
        <v>1962</v>
      </c>
      <c r="F309" s="769" t="s">
        <v>3515</v>
      </c>
    </row>
    <row r="310" spans="1:6" x14ac:dyDescent="0.25">
      <c r="A310" s="885">
        <v>45103</v>
      </c>
      <c r="B310" s="2081" t="s">
        <v>3509</v>
      </c>
      <c r="C310" s="712" t="s">
        <v>3531</v>
      </c>
      <c r="D310" s="712" t="s">
        <v>3532</v>
      </c>
      <c r="E310" s="712" t="s">
        <v>1037</v>
      </c>
      <c r="F310" s="712"/>
    </row>
    <row r="311" spans="1:6" x14ac:dyDescent="0.25">
      <c r="A311" s="885">
        <v>45103</v>
      </c>
      <c r="B311" s="2081" t="s">
        <v>3509</v>
      </c>
      <c r="C311" s="712" t="s">
        <v>3533</v>
      </c>
      <c r="D311" s="712" t="s">
        <v>3534</v>
      </c>
      <c r="E311" s="712" t="s">
        <v>1037</v>
      </c>
      <c r="F311" s="712"/>
    </row>
    <row r="312" spans="1:6" ht="39" x14ac:dyDescent="0.25">
      <c r="A312" s="885">
        <v>45103</v>
      </c>
      <c r="B312" s="2081" t="s">
        <v>3509</v>
      </c>
      <c r="C312" s="712" t="s">
        <v>3550</v>
      </c>
      <c r="D312" s="712" t="s">
        <v>3551</v>
      </c>
      <c r="E312" s="712" t="s">
        <v>3552</v>
      </c>
      <c r="F312" s="712"/>
    </row>
    <row r="313" spans="1:6" x14ac:dyDescent="0.25">
      <c r="A313" s="885">
        <v>45104</v>
      </c>
      <c r="B313" s="2081" t="s">
        <v>3509</v>
      </c>
      <c r="C313" s="712" t="s">
        <v>3558</v>
      </c>
      <c r="D313" s="712" t="s">
        <v>3551</v>
      </c>
      <c r="E313" s="712" t="s">
        <v>3552</v>
      </c>
      <c r="F313" s="712"/>
    </row>
    <row r="314" spans="1:6" ht="26.25" x14ac:dyDescent="0.25">
      <c r="A314" s="885">
        <v>45107</v>
      </c>
      <c r="B314" s="2081" t="s">
        <v>3509</v>
      </c>
      <c r="C314" s="712" t="s">
        <v>3635</v>
      </c>
      <c r="D314" s="712" t="s">
        <v>3636</v>
      </c>
      <c r="E314" s="712" t="s">
        <v>3552</v>
      </c>
      <c r="F314" s="712" t="s">
        <v>3637</v>
      </c>
    </row>
    <row r="315" spans="1:6" x14ac:dyDescent="0.25">
      <c r="A315" s="885">
        <v>45107</v>
      </c>
      <c r="B315" s="2081" t="s">
        <v>3509</v>
      </c>
      <c r="C315" s="712" t="s">
        <v>3638</v>
      </c>
      <c r="D315" s="712" t="s">
        <v>3639</v>
      </c>
      <c r="E315" s="712" t="s">
        <v>3552</v>
      </c>
      <c r="F315" s="712"/>
    </row>
    <row r="316" spans="1:6" x14ac:dyDescent="0.25">
      <c r="A316" s="885"/>
      <c r="B316" s="2081"/>
      <c r="C316" s="712"/>
      <c r="D316" s="712"/>
      <c r="E316" s="712"/>
      <c r="F316" s="712"/>
    </row>
    <row r="334" spans="1:1" x14ac:dyDescent="0.25">
      <c r="A334" s="161"/>
    </row>
  </sheetData>
  <sheetProtection formatCells="0" formatColumns="0" formatRows="0" autoFilter="0"/>
  <mergeCells count="21">
    <mergeCell ref="A39:A45"/>
    <mergeCell ref="A1:F1"/>
    <mergeCell ref="A7:A16"/>
    <mergeCell ref="F7:F16"/>
    <mergeCell ref="A17:A19"/>
    <mergeCell ref="F17:F19"/>
    <mergeCell ref="A21:A25"/>
    <mergeCell ref="F22:F25"/>
    <mergeCell ref="A26:A29"/>
    <mergeCell ref="F26:F29"/>
    <mergeCell ref="A32:A33"/>
    <mergeCell ref="F32:F33"/>
    <mergeCell ref="A35:A38"/>
    <mergeCell ref="A71:A89"/>
    <mergeCell ref="F72:F82"/>
    <mergeCell ref="A90:A97"/>
    <mergeCell ref="A47:A59"/>
    <mergeCell ref="F49:F58"/>
    <mergeCell ref="A61:A62"/>
    <mergeCell ref="A63:A66"/>
    <mergeCell ref="A67:A70"/>
  </mergeCells>
  <phoneticPr fontId="104" type="noConversion"/>
  <pageMargins left="0.75" right="0.75" top="1" bottom="1" header="0.5" footer="0.5"/>
  <pageSetup scale="90" orientation="landscape"/>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0C879-1E51-49D8-B368-1511F84C1EB7}">
  <sheetPr codeName="Sheet46">
    <tabColor theme="1"/>
  </sheetPr>
  <dimension ref="B3:F25"/>
  <sheetViews>
    <sheetView workbookViewId="0">
      <selection activeCell="O20" sqref="O20"/>
    </sheetView>
  </sheetViews>
  <sheetFormatPr defaultRowHeight="15" x14ac:dyDescent="0.25"/>
  <cols>
    <col min="2" max="2" width="4.5703125" customWidth="1"/>
  </cols>
  <sheetData>
    <row r="3" spans="2:6" x14ac:dyDescent="0.25">
      <c r="B3" s="2469" t="s">
        <v>3179</v>
      </c>
    </row>
    <row r="5" spans="2:6" x14ac:dyDescent="0.25">
      <c r="B5" s="2469" t="s">
        <v>3202</v>
      </c>
    </row>
    <row r="6" spans="2:6" x14ac:dyDescent="0.25">
      <c r="B6" s="2469"/>
      <c r="C6" t="s">
        <v>3203</v>
      </c>
    </row>
    <row r="7" spans="2:6" x14ac:dyDescent="0.25">
      <c r="C7" t="s">
        <v>3200</v>
      </c>
    </row>
    <row r="8" spans="2:6" x14ac:dyDescent="0.25">
      <c r="C8" t="s">
        <v>3199</v>
      </c>
    </row>
    <row r="9" spans="2:6" x14ac:dyDescent="0.25">
      <c r="C9" t="s">
        <v>3193</v>
      </c>
    </row>
    <row r="11" spans="2:6" x14ac:dyDescent="0.25">
      <c r="C11" t="s">
        <v>3201</v>
      </c>
    </row>
    <row r="12" spans="2:6" x14ac:dyDescent="0.25">
      <c r="C12" t="s">
        <v>3194</v>
      </c>
    </row>
    <row r="13" spans="2:6" x14ac:dyDescent="0.25">
      <c r="C13" s="2516" t="s">
        <v>3195</v>
      </c>
    </row>
    <row r="15" spans="2:6" x14ac:dyDescent="0.25">
      <c r="C15" t="s">
        <v>3180</v>
      </c>
      <c r="F15" t="s">
        <v>3192</v>
      </c>
    </row>
    <row r="16" spans="2:6" x14ac:dyDescent="0.25">
      <c r="C16" t="s">
        <v>3181</v>
      </c>
      <c r="F16" t="s">
        <v>3274</v>
      </c>
    </row>
    <row r="17" spans="3:6" x14ac:dyDescent="0.25">
      <c r="C17" t="s">
        <v>3182</v>
      </c>
      <c r="F17" t="s">
        <v>3275</v>
      </c>
    </row>
    <row r="18" spans="3:6" x14ac:dyDescent="0.25">
      <c r="C18" t="s">
        <v>3183</v>
      </c>
      <c r="F18" t="s">
        <v>3276</v>
      </c>
    </row>
    <row r="20" spans="3:6" x14ac:dyDescent="0.25">
      <c r="C20" t="s">
        <v>3184</v>
      </c>
      <c r="F20" t="s">
        <v>3196</v>
      </c>
    </row>
    <row r="21" spans="3:6" x14ac:dyDescent="0.25">
      <c r="C21" t="s">
        <v>3185</v>
      </c>
      <c r="F21" t="s">
        <v>3197</v>
      </c>
    </row>
    <row r="23" spans="3:6" x14ac:dyDescent="0.25">
      <c r="C23" t="s">
        <v>2335</v>
      </c>
      <c r="F23" t="s">
        <v>3186</v>
      </c>
    </row>
    <row r="24" spans="3:6" x14ac:dyDescent="0.25">
      <c r="C24" t="s">
        <v>2336</v>
      </c>
      <c r="F24" t="s">
        <v>3198</v>
      </c>
    </row>
    <row r="25" spans="3:6" x14ac:dyDescent="0.25">
      <c r="C25" t="s">
        <v>2337</v>
      </c>
      <c r="F25" t="s">
        <v>3187</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46</vt:i4>
      </vt:variant>
    </vt:vector>
  </HeadingPairs>
  <TitlesOfParts>
    <vt:vector size="95" baseType="lpstr">
      <vt:lpstr>Data Input sheet</vt:lpstr>
      <vt:lpstr>RequestDetails</vt:lpstr>
      <vt:lpstr>Cover</vt:lpstr>
      <vt:lpstr>Cover (2)</vt:lpstr>
      <vt:lpstr>Delta</vt:lpstr>
      <vt:lpstr>DER customer summary</vt:lpstr>
      <vt:lpstr>DER Project Information</vt:lpstr>
      <vt:lpstr>PAF Summary (non WBS)</vt:lpstr>
      <vt:lpstr>PAF Summary</vt:lpstr>
      <vt:lpstr>PAF Summary (Full)</vt:lpstr>
      <vt:lpstr>ISO comparison table</vt:lpstr>
      <vt:lpstr>Cover (old)</vt:lpstr>
      <vt:lpstr>Unit Comparison</vt:lpstr>
      <vt:lpstr>Estimate Basis - Lines</vt:lpstr>
      <vt:lpstr>Estimate Basis - SS</vt:lpstr>
      <vt:lpstr>Estimate Closeout </vt:lpstr>
      <vt:lpstr>Chks and Balances</vt:lpstr>
      <vt:lpstr>PP4 Estimate and Schedule</vt:lpstr>
      <vt:lpstr>WBS by year</vt:lpstr>
      <vt:lpstr>Detail Summary</vt:lpstr>
      <vt:lpstr>Reference Info</vt:lpstr>
      <vt:lpstr>Peer Review Checklist</vt:lpstr>
      <vt:lpstr>Review Comments</vt:lpstr>
      <vt:lpstr>Summary-Scope</vt:lpstr>
      <vt:lpstr>PP4 Est Backup</vt:lpstr>
      <vt:lpstr>Milestone Summary</vt:lpstr>
      <vt:lpstr>Vendor Est Summary</vt:lpstr>
      <vt:lpstr>Estimated Risks</vt:lpstr>
      <vt:lpstr>Contingency</vt:lpstr>
      <vt:lpstr>Escalation</vt:lpstr>
      <vt:lpstr>Calc Sheet</vt:lpstr>
      <vt:lpstr>Additional  Est Input</vt:lpstr>
      <vt:lpstr>Structure replacements</vt:lpstr>
      <vt:lpstr>OH Constr</vt:lpstr>
      <vt:lpstr>OH Civil WS</vt:lpstr>
      <vt:lpstr>115 kV &amp; 345 kV HPFF</vt:lpstr>
      <vt:lpstr>115 kV Und XLPE</vt:lpstr>
      <vt:lpstr>345 kV Und XLPE</vt:lpstr>
      <vt:lpstr>Substation Const</vt:lpstr>
      <vt:lpstr>Substation_D</vt:lpstr>
      <vt:lpstr>Removals</vt:lpstr>
      <vt:lpstr>Eng &amp; Proj Supp</vt:lpstr>
      <vt:lpstr>Labor Rate Table</vt:lpstr>
      <vt:lpstr>Indirect Rates</vt:lpstr>
      <vt:lpstr>AFUDC Rates</vt:lpstr>
      <vt:lpstr>SCS &amp; Siting Info</vt:lpstr>
      <vt:lpstr>Parameters</vt:lpstr>
      <vt:lpstr>Revision History</vt:lpstr>
      <vt:lpstr>Indirect method</vt:lpstr>
      <vt:lpstr>'ISO comparison table'!_Hlk4486253</vt:lpstr>
      <vt:lpstr>'PAF Summary'!_Hlk4486253</vt:lpstr>
      <vt:lpstr>'PAF Summary (Full)'!_Hlk4486253</vt:lpstr>
      <vt:lpstr>BAR_Rate</vt:lpstr>
      <vt:lpstr>Company</vt:lpstr>
      <vt:lpstr>EstimateNumber</vt:lpstr>
      <vt:lpstr>EstimateType</vt:lpstr>
      <vt:lpstr>LogDetails</vt:lpstr>
      <vt:lpstr>'115 kV &amp; 345 kV HPFF'!Print_Area</vt:lpstr>
      <vt:lpstr>'115 kV Und XLPE'!Print_Area</vt:lpstr>
      <vt:lpstr>'345 kV Und XLPE'!Print_Area</vt:lpstr>
      <vt:lpstr>'Additional  Est Input'!Print_Area</vt:lpstr>
      <vt:lpstr>'Chks and Balances'!Print_Area</vt:lpstr>
      <vt:lpstr>Contingency!Print_Area</vt:lpstr>
      <vt:lpstr>Cover!Print_Area</vt:lpstr>
      <vt:lpstr>'Cover (2)'!Print_Area</vt:lpstr>
      <vt:lpstr>'Cover (old)'!Print_Area</vt:lpstr>
      <vt:lpstr>'Data Input sheet'!Print_Area</vt:lpstr>
      <vt:lpstr>Delta!Print_Area</vt:lpstr>
      <vt:lpstr>'Detail Summary'!Print_Area</vt:lpstr>
      <vt:lpstr>Escalation!Print_Area</vt:lpstr>
      <vt:lpstr>'Indirect Rates'!Print_Area</vt:lpstr>
      <vt:lpstr>'ISO comparison table'!Print_Area</vt:lpstr>
      <vt:lpstr>'Milestone Summary'!Print_Area</vt:lpstr>
      <vt:lpstr>'OH Constr'!Print_Area</vt:lpstr>
      <vt:lpstr>'PAF Summary'!Print_Area</vt:lpstr>
      <vt:lpstr>'PAF Summary (Full)'!Print_Area</vt:lpstr>
      <vt:lpstr>'PAF Summary (non WBS)'!Print_Area</vt:lpstr>
      <vt:lpstr>'PP4 Est Backup'!Print_Area</vt:lpstr>
      <vt:lpstr>'PP4 Estimate and Schedule'!Print_Area</vt:lpstr>
      <vt:lpstr>Removals!Print_Area</vt:lpstr>
      <vt:lpstr>'Review Comments'!Print_Area</vt:lpstr>
      <vt:lpstr>'Substation Const'!Print_Area</vt:lpstr>
      <vt:lpstr>Substation_D!Print_Area</vt:lpstr>
      <vt:lpstr>'Vendor Est Summary'!Print_Area</vt:lpstr>
      <vt:lpstr>'WBS by year'!Print_Area</vt:lpstr>
      <vt:lpstr>'115 kV &amp; 345 kV HPFF'!Print_Titles</vt:lpstr>
      <vt:lpstr>'115 kV Und XLPE'!Print_Titles</vt:lpstr>
      <vt:lpstr>'345 kV Und XLPE'!Print_Titles</vt:lpstr>
      <vt:lpstr>'Additional  Est Input'!Print_Titles</vt:lpstr>
      <vt:lpstr>Contingency!Print_Titles</vt:lpstr>
      <vt:lpstr>'OH Constr'!Print_Titles</vt:lpstr>
      <vt:lpstr>Removals!Print_Titles</vt:lpstr>
      <vt:lpstr>'Substation Const'!Print_Titles</vt:lpstr>
      <vt:lpstr>Substation_D!Print_Titles</vt:lpstr>
      <vt:lpstr>StationOrLine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Bassaragh, Ghari A</dc:creator>
  <cp:lastModifiedBy>Niderno, Justin R</cp:lastModifiedBy>
  <cp:lastPrinted>2021-11-09T17:59:36Z</cp:lastPrinted>
  <dcterms:created xsi:type="dcterms:W3CDTF">2019-08-29T15:04:29Z</dcterms:created>
  <dcterms:modified xsi:type="dcterms:W3CDTF">2025-12-19T20:33:53Z</dcterms:modified>
</cp:coreProperties>
</file>